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11.xml" ContentType="application/vnd.openxmlformats-officedocument.spreadsheetml.comments+xml"/>
  <Override PartName="/xl/comments10.xml" ContentType="application/vnd.openxmlformats-officedocument.spreadsheetml.comments+xml"/>
  <Override PartName="/xl/comments9.xml" ContentType="application/vnd.openxmlformats-officedocument.spreadsheetml.comments+xml"/>
  <Override PartName="/xl/comments8.xml" ContentType="application/vnd.openxmlformats-officedocument.spreadsheetml.comments+xml"/>
  <Override PartName="/xl/comments19.xml" ContentType="application/vnd.openxmlformats-officedocument.spreadsheetml.comments+xml"/>
  <Override PartName="/xl/comments18.xml" ContentType="application/vnd.openxmlformats-officedocument.spreadsheetml.comments+xml"/>
  <Override PartName="/xl/comments16.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comments4.xml" ContentType="application/vnd.openxmlformats-officedocument.spreadsheetml.comment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_rels/sheet19.xml.rels" ContentType="application/vnd.openxmlformats-package.relationships+xml"/>
  <Override PartName="/xl/worksheets/_rels/sheet18.xml.rels" ContentType="application/vnd.openxmlformats-package.relationships+xml"/>
  <Override PartName="/xl/worksheets/_rels/sheet16.xml.rels" ContentType="application/vnd.openxmlformats-package.relationships+xml"/>
  <Override PartName="/xl/worksheets/_rels/sheet13.xml.rels" ContentType="application/vnd.openxmlformats-package.relationships+xml"/>
  <Override PartName="/xl/worksheets/_rels/sheet9.xml.rels" ContentType="application/vnd.openxmlformats-package.relationships+xml"/>
  <Override PartName="/xl/worksheets/_rels/sheet14.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comments13.xml" ContentType="application/vnd.openxmlformats-officedocument.spreadsheetml.comments+xml"/>
  <Override PartName="/xl/comments14.xml" ContentType="application/vnd.openxmlformats-officedocument.spreadsheetml.comments+xml"/>
  <Override PartName="/xl/sharedStrings.xml" ContentType="application/vnd.openxmlformats-officedocument.spreadsheetml.sharedStrings+xml"/>
  <Override PartName="/xl/comments12.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10.vml" ContentType="application/vnd.openxmlformats-officedocument.vmlDrawing"/>
  <Override PartName="/xl/drawings/vmlDrawing6.vml" ContentType="application/vnd.openxmlformats-officedocument.vmlDrawing"/>
  <Override PartName="/xl/drawings/vmlDrawing11.vml" ContentType="application/vnd.openxmlformats-officedocument.vmlDrawing"/>
  <Override PartName="/xl/drawings/vmlDrawing7.vml" ContentType="application/vnd.openxmlformats-officedocument.vmlDrawing"/>
  <Override PartName="/xl/drawings/vmlDrawing12.vml" ContentType="application/vnd.openxmlformats-officedocument.vmlDrawing"/>
  <Override PartName="/xl/drawings/vmlDrawing8.vml" ContentType="application/vnd.openxmlformats-officedocument.vmlDrawing"/>
  <Override PartName="/xl/drawings/vmlDrawing9.vml" ContentType="application/vnd.openxmlformats-officedocument.vmlDrawing"/>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9"/>
  </bookViews>
  <sheets>
    <sheet name="Home" sheetId="1" state="visible" r:id="rId2"/>
    <sheet name="Spectrum" sheetId="2" state="visible" r:id="rId3"/>
    <sheet name="Prioritization" sheetId="3" state="visible" r:id="rId4"/>
    <sheet name="Cascade" sheetId="4" state="visible" r:id="rId5"/>
    <sheet name="KP" sheetId="5" state="visible" r:id="rId6"/>
    <sheet name="Year 2" sheetId="6" state="visible" r:id="rId7"/>
    <sheet name="PMTCT" sheetId="7" state="visible" r:id="rId8"/>
    <sheet name="EID" sheetId="8" state="visible" r:id="rId9"/>
    <sheet name="TB" sheetId="9" state="visible" r:id="rId10"/>
    <sheet name="VMMC" sheetId="10" state="visible" r:id="rId11"/>
    <sheet name="PrEP" sheetId="11" state="visible" r:id="rId12"/>
    <sheet name="HTS" sheetId="12" state="visible" r:id="rId13"/>
    <sheet name="CXCA" sheetId="13" state="visible" r:id="rId14"/>
    <sheet name="TX_TB_PREV" sheetId="14" state="visible" r:id="rId15"/>
    <sheet name="PP" sheetId="15" state="visible" r:id="rId16"/>
    <sheet name="OVC" sheetId="16" state="visible" r:id="rId17"/>
    <sheet name="GEND" sheetId="17" state="visible" r:id="rId18"/>
    <sheet name="AGYW" sheetId="18" state="visible" r:id="rId19"/>
    <sheet name="KP_MAT" sheetId="19" state="visible" r:id="rId20"/>
    <sheet name="KP Validation" sheetId="20" state="visible" r:id="rId21"/>
  </sheets>
  <definedNames>
    <definedName function="false" hidden="false" name="MIN_DSD" vbProcedure="false">ROUND(MAX(IF(ISNUMBER(FIND("DSD",#REF!)),#REF!)),1)</definedName>
    <definedName function="false" hidden="false" name="MIN_TA" vbProcedure="false">ROUND(MAX(IF(ISNUMBER(FIND("TA",#REF!)),#REF!)),1)</definedName>
    <definedName function="false" hidden="false" localSheetId="17" name="PrEP_CURR.N.Age_Sex.T" vbProcedure="false">agyw!#ref!</definedName>
    <definedName function="false" hidden="false" localSheetId="17" name="PrEP_NEW.N.Age_Sex.T" vbProcedure="false">agyw!#ref!</definedName>
    <definedName function="false" hidden="false" localSheetId="18" name="HTS_RECENT.N.KeyPop_HIVStatus.T" vbProcedure="false">kp_mat!#ref!</definedName>
    <definedName function="false" hidden="false" localSheetId="18" name="HTS_SELF.N.KeyPop.T" vbProcedure="false">kp_mat!#ref!</definedName>
    <definedName function="false" hidden="false" localSheetId="18" name="HTS_TST.N.KeyPop_Result.T.Negative" vbProcedure="false">kp_mat!#ref!</definedName>
    <definedName function="false" hidden="false" localSheetId="18" name="HTS_TST.N.KeyPop_Result.T.Positive" vbProcedure="false">kp_mat!#ref!</definedName>
    <definedName function="false" hidden="false" localSheetId="18" name="KP_MAT.N.Sex.T" vbProcedure="false">KP_MAT!$J:$J</definedName>
    <definedName function="false" hidden="false" localSheetId="18" name="KP_PREV.N.KeyPop.T" vbProcedure="false">kp_mat!#ref!</definedName>
    <definedName function="false" hidden="false" localSheetId="18" name="PrEP_CURR.N.KeyPop.T" vbProcedure="false">kp_mat!#ref!</definedName>
    <definedName function="false" hidden="false" localSheetId="18" name="PrEP_NEW.N.KeyPop.T" vbProcedure="false">kp_mat!#ref!</definedName>
    <definedName function="false" hidden="false" localSheetId="18" name="TX_CURR.N.KeyPop_HIVStatus.T" vbProcedure="false">kp_mat!#ref!</definedName>
    <definedName function="false" hidden="false" localSheetId="18" name="TX_NEW.N.KeyPop_HIVStatus.T" vbProcedure="false">kp_mat!#ref!</definedName>
    <definedName function="false" hidden="false" localSheetId="18" name="TX_PVLS.D.KeyPop_HIVStatus.T" vbProcedure="false">kp_mat!#ref!</definedName>
    <definedName function="false" hidden="false" localSheetId="18" name="TX_PVLS.N.KeyPop_HIVStatus.T" vbProcedure="false">kp_mat!#ref!</definedName>
    <definedName function="false" hidden="false" localSheetId="19" name="HTS_RECENT.N.KeyPop_HIVStatus.T" vbProcedure="false">'kp validation'!#ref!</definedName>
    <definedName function="false" hidden="false" localSheetId="19" name="HTS_SELF.N.KeyPop.T" vbProcedure="false">'kp validation'!#ref!</definedName>
    <definedName function="false" hidden="false" localSheetId="19" name="HTS_TST.N.KeyPop_Result.T.Negative" vbProcedure="false">'kp validation'!#ref!</definedName>
    <definedName function="false" hidden="false" localSheetId="19" name="HTS_TST.N.KeyPop_Result.T.Positive" vbProcedure="false">'kp validation'!#ref!</definedName>
    <definedName function="false" hidden="false" localSheetId="19" name="KP_MAT.N.Sex.T" vbProcedure="false">'kp validation'!#ref!</definedName>
    <definedName function="false" hidden="false" localSheetId="19" name="KP_PREV.N.KeyPop.T" vbProcedure="false">'kp validation'!#ref!</definedName>
    <definedName function="false" hidden="false" localSheetId="19" name="PrEP_CURR.N.KeyPop.T" vbProcedure="false">'kp validation'!#ref!</definedName>
    <definedName function="false" hidden="false" localSheetId="19" name="PrEP_NEW.N.KeyPop.T" vbProcedure="false">'kp validation'!#ref!</definedName>
    <definedName function="false" hidden="false" localSheetId="19" name="TX_CURR.N.KeyPop_HIVStatus.T" vbProcedure="false">'KP Validation'!$U:$U</definedName>
    <definedName function="false" hidden="false" localSheetId="19" name="TX_NEW.N.KeyPop_HIVStatus.T" vbProcedure="false">'kp validation'!#ref!</definedName>
    <definedName function="false" hidden="false" localSheetId="19" name="TX_PVLS.D.KeyPop_HIVStatus.T" vbProcedure="false">'kp validation'!#ref!</definedName>
    <definedName function="false" hidden="false" localSheetId="19" name="TX_PVLS.N.KeyPop_HIVStatus.T" vbProcedure="false">'kp validation'!#ref!</definedName>
  </definedNames>
  <calcPr iterateCount="100" refMode="A1" iterate="false" iterateDelta="0.0001"/>
  <extLst>
    <ext xmlns:loext="http://schemas.libreoffice.org/" uri="{7626C862-2A13-11E5-B345-FEFF819CDC9F}">
      <loext:extCalcPr stringRefSyntax="ExcelA1"/>
    </ext>
  </extLst>
</workbook>
</file>

<file path=xl/comments4.xml><?xml version="1.0" encoding="utf-8"?>
<comments xmlns="http://schemas.openxmlformats.org/spreadsheetml/2006/main" xmlns:xdr="http://schemas.openxmlformats.org/drawingml/2006/spreadsheetDrawing">
  <authors>
    <author> </author>
  </authors>
  <commentList>
    <comment ref="G3" authorId="0">
      <text>
        <r>
          <rPr>
            <sz val="12"/>
            <color rgb="FF000000"/>
            <rFont val="Calibri"/>
            <family val="2"/>
            <charset val="1"/>
          </rPr>
          <t xml:space="preserve">This includes both HTS_TST_POS &amp; PMTCT_HEI_POS</t>
        </r>
      </text>
    </comment>
    <comment ref="L3" authorId="0">
      <text>
        <r>
          <rPr>
            <sz val="12"/>
            <color rgb="FF000000"/>
            <rFont val="Calibri"/>
            <family val="2"/>
            <charset val="1"/>
          </rPr>
          <t xml:space="preserve">This includes both HTS_TST_POS &amp; PMTCT_HEI_POS.</t>
        </r>
      </text>
    </comment>
    <comment ref="AY1" authorId="0">
      <text>
        <r>
          <rPr>
            <sz val="12"/>
            <color rgb="FF000000"/>
            <rFont val="Calibri"/>
            <family val="2"/>
            <charset val="1"/>
          </rPr>
          <t xml:space="preserve">TX_PVLS:
</t>
        </r>
        <r>
          <rPr>
            <sz val="10"/>
            <color rgb="FF000000"/>
            <rFont val="Tahoma"/>
            <family val="2"/>
            <charset val="1"/>
          </rPr>
          <t xml:space="preserve">For targeting purposes, 100% of TX_PVLS will be allocated to Routine testing instead of Targeted.</t>
        </r>
      </text>
    </comment>
    <comment ref="BB3" authorId="0">
      <text>
        <r>
          <rPr>
            <sz val="12"/>
            <color rgb="FF000000"/>
            <rFont val="Calibri"/>
            <family val="2"/>
            <charset val="1"/>
          </rPr>
          <t xml:space="preserve">TX_PVLS (D) &gt; TX_CURR
</t>
        </r>
        <r>
          <rPr>
            <sz val="10"/>
            <color rgb="FF000000"/>
            <rFont val="Tahoma"/>
            <family val="2"/>
            <charset val="1"/>
          </rPr>
          <t xml:space="preserve">Yellow cells below denote cases where TX_PVLS (D) is less than TX_CURR. While this may be possible due to Loss to Follow-up, these cases should receive special consideration in strategies.</t>
        </r>
      </text>
    </comment>
    <comment ref="BG3" authorId="0">
      <text>
        <r>
          <rPr>
            <sz val="12"/>
            <color rgb="FF000000"/>
            <rFont val="Calibri"/>
            <family val="2"/>
            <charset val="1"/>
          </rPr>
          <t xml:space="preserve">Linkage rates set here flow to all other tabs.</t>
        </r>
      </text>
    </comment>
  </commentList>
</comments>
</file>

<file path=xl/comments7.xml><?xml version="1.0" encoding="utf-8"?>
<comments xmlns="http://schemas.openxmlformats.org/spreadsheetml/2006/main" xmlns:xdr="http://schemas.openxmlformats.org/drawingml/2006/spreadsheetDrawing">
  <authors>
    <author> </author>
  </authors>
  <commentList>
    <comment ref="T3" authorId="0">
      <text>
        <r>
          <rPr>
            <sz val="12"/>
            <color rgb="FF000000"/>
            <rFont val="Calibri"/>
            <family val="2"/>
            <charset val="1"/>
          </rPr>
          <t xml:space="preserve">Yellow Highlights</t>
        </r>
        <r>
          <rPr>
            <sz val="10"/>
            <color rgb="FF000000"/>
            <rFont val="Tahoma"/>
            <family val="2"/>
            <charset val="1"/>
          </rPr>
          <t xml:space="preserve"> indicate cases where estimated new ANC clients in column L is less than those in column S. The smaller of the two is always used in this column, U.</t>
        </r>
      </text>
    </comment>
    <comment ref="V3" authorId="0">
      <text>
        <r>
          <rPr>
            <sz val="12"/>
            <color rgb="FF000000"/>
            <rFont val="Calibri"/>
            <family val="2"/>
            <charset val="1"/>
          </rPr>
          <t xml:space="preserve">#VALUE!:</t>
        </r>
        <r>
          <rPr>
            <sz val="10"/>
            <color rgb="FF000000"/>
            <rFont val="Tahoma"/>
            <family val="0"/>
            <charset val="1"/>
          </rPr>
          <t xml:space="preserve"> Provide missing PEPFAR contribution proportions.</t>
        </r>
      </text>
    </comment>
    <comment ref="AB3" authorId="0">
      <text>
        <r>
          <rPr>
            <sz val="12"/>
            <color rgb="FF000000"/>
            <rFont val="Calibri"/>
            <family val="2"/>
            <charset val="1"/>
          </rPr>
          <t xml:space="preserve">#VALUE!:</t>
        </r>
        <r>
          <rPr>
            <sz val="10"/>
            <color rgb="FF000000"/>
            <rFont val="Tahoma"/>
            <family val="0"/>
            <charset val="1"/>
          </rPr>
          <t xml:space="preserve"> Provide missing Known Positivity (FY23) rates.</t>
        </r>
      </text>
    </comment>
    <comment ref="AC3" authorId="0">
      <text>
        <r>
          <rPr>
            <sz val="12"/>
            <color rgb="FF000000"/>
            <rFont val="Calibri"/>
            <family val="2"/>
            <charset val="1"/>
          </rPr>
          <t xml:space="preserve">#VALUE!:</t>
        </r>
        <r>
          <rPr>
            <sz val="10"/>
            <color rgb="FF000000"/>
            <rFont val="Tahoma"/>
            <family val="0"/>
            <charset val="1"/>
          </rPr>
          <t xml:space="preserve"> Provide missing Yield (FY23) rates.</t>
        </r>
      </text>
    </comment>
    <comment ref="AS3" authorId="0">
      <text>
        <r>
          <rPr>
            <sz val="12"/>
            <color rgb="FF000000"/>
            <rFont val="Calibri"/>
            <family val="2"/>
            <charset val="1"/>
          </rPr>
          <t xml:space="preserve">#VALUE!:</t>
        </r>
        <r>
          <rPr>
            <sz val="10"/>
            <color rgb="FF000000"/>
            <rFont val="Tahoma"/>
            <family val="2"/>
            <charset val="1"/>
          </rPr>
          <t xml:space="preserve"> Provide missing Yield (FY23) rates.</t>
        </r>
      </text>
    </comment>
  </commentList>
</comments>
</file>

<file path=xl/comments8.xml><?xml version="1.0" encoding="utf-8"?>
<comments xmlns="http://schemas.openxmlformats.org/spreadsheetml/2006/main" xmlns:xdr="http://schemas.openxmlformats.org/drawingml/2006/spreadsheetDrawing">
  <authors>
    <author> </author>
  </authors>
  <commentList>
    <comment ref="C3" authorId="0">
      <text>
        <r>
          <rPr>
            <sz val="12"/>
            <color rgb="FF000000"/>
            <rFont val="Calibri"/>
            <family val="2"/>
            <charset val="1"/>
          </rPr>
          <t xml:space="preserve">Estimated based on total HIV positive pregnant women identified through PEPFAR PMTCT_STAT and Post ANC1 HTS_TST.</t>
        </r>
      </text>
    </comment>
    <comment ref="H1" authorId="0">
      <text>
        <r>
          <rPr>
            <sz val="12"/>
            <color rgb="FF000000"/>
            <rFont val="Calibri"/>
            <family val="2"/>
            <charset val="1"/>
          </rPr>
          <t xml:space="preserve">Targets for PMTCT_HEI_POS are not required for target-setting, but historic data and related assumptions are used to link EID testing with TX_NEW &lt;1.</t>
        </r>
      </text>
    </comment>
    <comment ref="J3" authorId="0">
      <text>
        <r>
          <rPr>
            <sz val="12"/>
            <color rgb="FF000000"/>
            <rFont val="Calibri"/>
            <family val="2"/>
            <charset val="1"/>
          </rPr>
          <t xml:space="preserve">Red highlights:</t>
        </r>
        <r>
          <rPr>
            <sz val="10"/>
            <color rgb="FF000000"/>
            <rFont val="Tahoma"/>
            <family val="2"/>
            <charset val="1"/>
          </rPr>
          <t xml:space="preserve"> Enter yields.</t>
        </r>
      </text>
    </comment>
    <comment ref="K3" authorId="0">
      <text>
        <r>
          <rPr>
            <sz val="12"/>
            <color rgb="FF000000"/>
            <rFont val="Calibri"/>
            <family val="2"/>
            <charset val="1"/>
          </rPr>
          <t xml:space="preserve">Red highlights: </t>
        </r>
        <r>
          <rPr>
            <sz val="10"/>
            <color rgb="FF000000"/>
            <rFont val="Tahoma"/>
            <family val="2"/>
            <charset val="1"/>
          </rPr>
          <t xml:space="preserve">Enter yields</t>
        </r>
      </text>
    </comment>
  </commentList>
</comments>
</file>

<file path=xl/comments9.xml><?xml version="1.0" encoding="utf-8"?>
<comments xmlns="http://schemas.openxmlformats.org/spreadsheetml/2006/main" xmlns:xdr="http://schemas.openxmlformats.org/drawingml/2006/spreadsheetDrawing">
  <authors>
    <author> </author>
  </authors>
  <commentList>
    <comment ref="G3" authorId="0">
      <text>
        <r>
          <rPr>
            <sz val="12"/>
            <color rgb="FF000000"/>
            <rFont val="Calibri"/>
            <family val="2"/>
            <charset val="1"/>
          </rPr>
          <t xml:space="preserve">Values highlighted yellow below represent estimated increases in incidence.</t>
        </r>
      </text>
    </comment>
    <comment ref="K3" authorId="0">
      <text>
        <r>
          <rPr>
            <sz val="12"/>
            <color rgb="FF000000"/>
            <rFont val="Calibri"/>
            <family val="2"/>
            <charset val="1"/>
          </rPr>
          <t xml:space="preserve">Red Highlights </t>
        </r>
        <r>
          <rPr>
            <sz val="10"/>
            <color rgb="FF000000"/>
            <rFont val="Tahoma"/>
            <family val="2"/>
            <charset val="1"/>
          </rPr>
          <t xml:space="preserve">indicate either:
- Values &lt;0 or &gt;100%
- Missing rates.
</t>
        </r>
        <r>
          <rPr>
            <b val="true"/>
            <sz val="10"/>
            <color rgb="FF000000"/>
            <rFont val="Tahoma"/>
            <family val="2"/>
            <charset val="1"/>
          </rPr>
          <t xml:space="preserve">Yellow Highlights</t>
        </r>
        <r>
          <rPr>
            <sz val="10"/>
            <color rgb="FF000000"/>
            <rFont val="Tahoma"/>
            <family val="2"/>
            <charset val="1"/>
          </rPr>
          <t xml:space="preserve"> indicate rates ≥ 75%.</t>
        </r>
      </text>
    </comment>
    <comment ref="M3" authorId="0">
      <text>
        <r>
          <rPr>
            <sz val="12"/>
            <color rgb="FF000000"/>
            <rFont val="Calibri"/>
            <family val="2"/>
            <charset val="1"/>
          </rPr>
          <t xml:space="preserve">Red Highlights </t>
        </r>
        <r>
          <rPr>
            <sz val="10"/>
            <color rgb="FF000000"/>
            <rFont val="Tahoma"/>
            <family val="0"/>
            <charset val="1"/>
          </rPr>
          <t xml:space="preserve">indicate either:
- Values &lt;0 or &gt;100%
- Missing rates.
</t>
        </r>
        <r>
          <rPr>
            <b val="true"/>
            <sz val="10"/>
            <color rgb="FF000000"/>
            <rFont val="Tahoma"/>
            <family val="0"/>
            <charset val="1"/>
          </rPr>
          <t xml:space="preserve">Yellow Highlights</t>
        </r>
        <r>
          <rPr>
            <sz val="10"/>
            <color rgb="FF000000"/>
            <rFont val="Tahoma"/>
            <family val="0"/>
            <charset val="1"/>
          </rPr>
          <t xml:space="preserve"> indicate yields &gt; 10%.</t>
        </r>
      </text>
    </comment>
    <comment ref="O3" authorId="0">
      <text>
        <r>
          <rPr>
            <sz val="12"/>
            <color rgb="FF000000"/>
            <rFont val="Calibri"/>
            <family val="2"/>
            <charset val="1"/>
          </rPr>
          <t xml:space="preserve">#VALUE!:</t>
        </r>
        <r>
          <rPr>
            <sz val="10"/>
            <color rgb="FF000000"/>
            <rFont val="Tahoma"/>
            <family val="2"/>
            <charset val="1"/>
          </rPr>
          <t xml:space="preserve"> Provide missing Known Positivity (FY23) rates.</t>
        </r>
      </text>
    </comment>
    <comment ref="P3" authorId="0">
      <text>
        <r>
          <rPr>
            <sz val="12"/>
            <color rgb="FF000000"/>
            <rFont val="Calibri"/>
            <family val="2"/>
            <charset val="1"/>
          </rPr>
          <t xml:space="preserve">Yellow Highlights: </t>
        </r>
        <r>
          <rPr>
            <sz val="10"/>
            <color rgb="FF000000"/>
            <rFont val="Tahoma"/>
            <family val="2"/>
            <charset val="1"/>
          </rPr>
          <t xml:space="preserve">Increases over previous year targets.
</t>
        </r>
        <r>
          <rPr>
            <b val="true"/>
            <sz val="10"/>
            <color rgb="FF000000"/>
            <rFont val="Tahoma"/>
            <family val="2"/>
            <charset val="1"/>
          </rPr>
          <t xml:space="preserve">#VALUE!: </t>
        </r>
        <r>
          <rPr>
            <sz val="10"/>
            <color rgb="FF000000"/>
            <rFont val="Tahoma"/>
            <family val="2"/>
            <charset val="1"/>
          </rPr>
          <t xml:space="preserve">Provide missing Yield (FY23) rates.</t>
        </r>
      </text>
    </comment>
  </commentList>
</comments>
</file>

<file path=xl/comments10.xml><?xml version="1.0" encoding="utf-8"?>
<comments xmlns="http://schemas.openxmlformats.org/spreadsheetml/2006/main" xmlns:xdr="http://schemas.openxmlformats.org/drawingml/2006/spreadsheetDrawing">
  <authors>
    <author> </author>
  </authors>
  <commentList>
    <comment ref="M3" authorId="0">
      <text>
        <r>
          <rPr>
            <sz val="12"/>
            <color rgb="FF000000"/>
            <rFont val="Calibri"/>
            <family val="2"/>
            <charset val="1"/>
          </rPr>
          <t xml:space="preserve">If no estimate provided via Spectrum tab, this will reference PEPFAR's most recent target.</t>
        </r>
      </text>
    </comment>
    <comment ref="N3" authorId="0">
      <text>
        <r>
          <rPr>
            <sz val="12"/>
            <color rgb="FF000000"/>
            <rFont val="Calibri"/>
            <family val="2"/>
            <charset val="1"/>
          </rPr>
          <t xml:space="preserve">Yellow Highlights:</t>
        </r>
        <r>
          <rPr>
            <sz val="10"/>
            <color rgb="FF000000"/>
            <rFont val="Tahoma"/>
            <family val="2"/>
            <charset val="1"/>
          </rPr>
          <t xml:space="preserve"> VMMC_TOTALCIRC_SUBNAT &gt; VMMC_CIRC_SUBNAT</t>
        </r>
      </text>
    </comment>
    <comment ref="P3" authorId="0">
      <text>
        <r>
          <rPr>
            <sz val="12"/>
            <color rgb="FF000000"/>
            <rFont val="Calibri"/>
            <family val="2"/>
            <charset val="1"/>
          </rPr>
          <t xml:space="preserve">Yellow Highlights:</t>
        </r>
        <r>
          <rPr>
            <sz val="10"/>
            <color rgb="FF000000"/>
            <rFont val="Tahoma"/>
            <family val="2"/>
            <charset val="1"/>
          </rPr>
          <t xml:space="preserve"> Coverage &lt;80%, or &gt;100%.</t>
        </r>
      </text>
    </comment>
    <comment ref="Q3" authorId="0">
      <text>
        <r>
          <rPr>
            <sz val="12"/>
            <color rgb="FF000000"/>
            <rFont val="Calibri"/>
            <family val="2"/>
            <charset val="1"/>
          </rPr>
          <t xml:space="preserve">#VALUE!:</t>
        </r>
        <r>
          <rPr>
            <sz val="10"/>
            <color rgb="FF000000"/>
            <rFont val="Tahoma"/>
            <family val="2"/>
            <charset val="1"/>
          </rPr>
          <t xml:space="preserve"> Provide missing Targeted Host Country VMMC Coverage rates.</t>
        </r>
      </text>
    </comment>
    <comment ref="V3" authorId="0">
      <text>
        <r>
          <rPr>
            <sz val="12"/>
            <color rgb="FF000000"/>
            <rFont val="Calibri"/>
            <family val="2"/>
            <charset val="1"/>
          </rPr>
          <t xml:space="preserve">Red Highlights </t>
        </r>
        <r>
          <rPr>
            <sz val="10"/>
            <color rgb="FF000000"/>
            <rFont val="Tahoma"/>
            <family val="0"/>
            <charset val="1"/>
          </rPr>
          <t xml:space="preserve">indicate either:
- Values &lt;0 or &gt;100%
- Missing rates.</t>
        </r>
      </text>
    </comment>
    <comment ref="X3" authorId="0">
      <text>
        <r>
          <rPr>
            <sz val="12"/>
            <color rgb="FF000000"/>
            <rFont val="Calibri"/>
            <family val="2"/>
            <charset val="1"/>
          </rPr>
          <t xml:space="preserve">Red Highlights </t>
        </r>
        <r>
          <rPr>
            <sz val="10"/>
            <color rgb="FF000000"/>
            <rFont val="Tahoma"/>
            <family val="0"/>
            <charset val="1"/>
          </rPr>
          <t xml:space="preserve">indicate either:
- Values &lt;0 or &gt;100%
- Missing rates.
</t>
        </r>
        <r>
          <rPr>
            <b val="true"/>
            <sz val="10"/>
            <color rgb="FF000000"/>
            <rFont val="Tahoma"/>
            <family val="0"/>
            <charset val="1"/>
          </rPr>
          <t xml:space="preserve">Yellow Highlights</t>
        </r>
        <r>
          <rPr>
            <sz val="10"/>
            <color rgb="FF000000"/>
            <rFont val="Tahoma"/>
            <family val="0"/>
            <charset val="1"/>
          </rPr>
          <t xml:space="preserve"> indicate yield &gt;1%.</t>
        </r>
      </text>
    </comment>
    <comment ref="Z3" authorId="0">
      <text>
        <r>
          <rPr>
            <sz val="12"/>
            <color rgb="FF000000"/>
            <rFont val="Calibri"/>
            <family val="2"/>
            <charset val="1"/>
          </rPr>
          <t xml:space="preserve">#VALUE!: </t>
        </r>
        <r>
          <rPr>
            <sz val="10"/>
            <color rgb="FF000000"/>
            <rFont val="Tahoma"/>
            <family val="2"/>
            <charset val="1"/>
          </rPr>
          <t xml:space="preserve">Provide missing Indeterminate/Not Tested rates.</t>
        </r>
      </text>
    </comment>
  </commentList>
</comments>
</file>

<file path=xl/comments11.xml><?xml version="1.0" encoding="utf-8"?>
<comments xmlns="http://schemas.openxmlformats.org/spreadsheetml/2006/main" xmlns:xdr="http://schemas.openxmlformats.org/drawingml/2006/spreadsheetDrawing">
  <authors>
    <author> </author>
  </authors>
  <commentList>
    <comment ref="Q3" authorId="0">
      <text>
        <r>
          <rPr>
            <sz val="12"/>
            <color rgb="FF000000"/>
            <rFont val="Calibri"/>
            <family val="2"/>
            <charset val="1"/>
          </rPr>
          <t xml:space="preserve">HIV Tests among PrEP follow-up patients.</t>
        </r>
      </text>
    </comment>
  </commentList>
</comments>
</file>

<file path=xl/comments12.xml><?xml version="1.0" encoding="utf-8"?>
<comments xmlns="http://schemas.openxmlformats.org/spreadsheetml/2006/main" xmlns:xdr="http://schemas.openxmlformats.org/drawingml/2006/spreadsheetDrawing">
  <authors>
    <author> </author>
  </authors>
  <commentList>
    <comment ref="M1" authorId="0">
      <text>
        <r>
          <rPr>
            <sz val="12"/>
            <color rgb="FF000000"/>
            <rFont val="Calibri"/>
            <family val="2"/>
            <charset val="1"/>
          </rPr>
          <t xml:space="preserve">Gray columns</t>
        </r>
        <r>
          <rPr>
            <sz val="10"/>
            <color rgb="FF000000"/>
            <rFont val="Tahoma"/>
            <family val="2"/>
            <charset val="1"/>
          </rPr>
          <t xml:space="preserve"> cannot be altered. Allocations are determined elsewhere, as indicated by following hyperlinks.
</t>
        </r>
        <r>
          <rPr>
            <b val="true"/>
            <sz val="10"/>
            <color rgb="FF000000"/>
            <rFont val="Tahoma"/>
            <family val="2"/>
            <charset val="1"/>
          </rPr>
          <t xml:space="preserve">Green columns</t>
        </r>
        <r>
          <rPr>
            <sz val="10"/>
            <color rgb="FF000000"/>
            <rFont val="Tahoma"/>
            <family val="2"/>
            <charset val="1"/>
          </rPr>
          <t xml:space="preserve"> can and should be altered. Initial percentages are based on most recent APR results.</t>
        </r>
      </text>
    </comment>
    <comment ref="V3" authorId="0">
      <text>
        <r>
          <rPr>
            <sz val="12"/>
            <color rgb="FF000000"/>
            <rFont val="Calibri"/>
            <family val="2"/>
            <charset val="1"/>
          </rPr>
          <t xml:space="preserve">Red Highlights</t>
        </r>
        <r>
          <rPr>
            <sz val="10"/>
            <color rgb="FF000000"/>
            <rFont val="Tahoma"/>
            <family val="2"/>
            <charset val="1"/>
          </rPr>
          <t xml:space="preserve"> below indicate cases where HTS_TST_POS is either over- or under-distributed to modalities. Filter on these cases and address by reallocating among modalities as appropriate.</t>
        </r>
      </text>
    </comment>
    <comment ref="W3" authorId="0">
      <text>
        <r>
          <rPr>
            <sz val="12"/>
            <color rgb="FF000000"/>
            <rFont val="Calibri"/>
            <family val="2"/>
            <charset val="1"/>
          </rPr>
          <t xml:space="preserve">Yellow Highlights</t>
        </r>
        <r>
          <rPr>
            <sz val="10"/>
            <color rgb="FF000000"/>
            <rFont val="Tahoma"/>
            <family val="0"/>
            <charset val="1"/>
          </rPr>
          <t xml:space="preserve"> indicate either:
- ART Coverage ≥70% &amp; Yield &lt;10%
- ART Coverage &lt;70% &amp; Yield &lt;5%</t>
        </r>
      </text>
    </comment>
    <comment ref="Y4" authorId="0">
      <text>
        <r>
          <rPr>
            <sz val="12"/>
            <color rgb="FF000000"/>
            <rFont val="Calibri"/>
            <family val="2"/>
            <charset val="1"/>
          </rPr>
          <t xml:space="preserve">#DIV/0!: </t>
        </r>
        <r>
          <rPr>
            <sz val="10"/>
            <color rgb="FF000000"/>
            <rFont val="Tahoma"/>
            <family val="0"/>
            <charset val="1"/>
          </rPr>
          <t xml:space="preserve">If you see this here, check yields.</t>
        </r>
      </text>
    </comment>
    <comment ref="AB4" authorId="0">
      <text>
        <r>
          <rPr>
            <sz val="12"/>
            <color rgb="FF000000"/>
            <rFont val="Calibri"/>
            <family val="2"/>
            <charset val="1"/>
          </rPr>
          <t xml:space="preserve">#DIV/0!: </t>
        </r>
        <r>
          <rPr>
            <sz val="10"/>
            <color rgb="FF000000"/>
            <rFont val="Tahoma"/>
            <family val="0"/>
            <charset val="1"/>
          </rPr>
          <t xml:space="preserve">If you see this here, check yields.</t>
        </r>
      </text>
    </comment>
    <comment ref="AE4" authorId="0">
      <text>
        <r>
          <rPr>
            <sz val="12"/>
            <color rgb="FF000000"/>
            <rFont val="Calibri"/>
            <family val="2"/>
            <charset val="1"/>
          </rPr>
          <t xml:space="preserve">#DIV/0!: </t>
        </r>
        <r>
          <rPr>
            <sz val="10"/>
            <color rgb="FF000000"/>
            <rFont val="Tahoma"/>
            <family val="0"/>
            <charset val="1"/>
          </rPr>
          <t xml:space="preserve">If you see this here, check yields.</t>
        </r>
      </text>
    </comment>
    <comment ref="AF3" authorId="0">
      <text>
        <r>
          <rPr>
            <sz val="12"/>
            <color rgb="FF000000"/>
            <rFont val="Calibri"/>
            <family val="2"/>
            <charset val="1"/>
          </rPr>
          <t xml:space="preserve">Yellow Highlights</t>
        </r>
        <r>
          <rPr>
            <sz val="10"/>
            <color rgb="FF000000"/>
            <rFont val="Tahoma"/>
            <family val="0"/>
            <charset val="1"/>
          </rPr>
          <t xml:space="preserve"> indicate either:
- ART Coverage ≥70% &amp; Yield &lt;10%
- ART Coverage &lt;70% &amp; Yield &lt;5%</t>
        </r>
      </text>
    </comment>
    <comment ref="AH4" authorId="0">
      <text>
        <r>
          <rPr>
            <sz val="12"/>
            <color rgb="FF000000"/>
            <rFont val="Calibri"/>
            <family val="2"/>
            <charset val="1"/>
          </rPr>
          <t xml:space="preserve">#DIV/0!: </t>
        </r>
        <r>
          <rPr>
            <sz val="10"/>
            <color rgb="FF000000"/>
            <rFont val="Tahoma"/>
            <family val="0"/>
            <charset val="1"/>
          </rPr>
          <t xml:space="preserve">If you see this here, check yields.</t>
        </r>
      </text>
    </comment>
    <comment ref="AI3" authorId="0">
      <text>
        <r>
          <rPr>
            <sz val="12"/>
            <color rgb="FF000000"/>
            <rFont val="Calibri"/>
            <family val="2"/>
            <charset val="1"/>
          </rPr>
          <t xml:space="preserve">Yellow Highlights</t>
        </r>
        <r>
          <rPr>
            <sz val="10"/>
            <color rgb="FF000000"/>
            <rFont val="Tahoma"/>
            <family val="0"/>
            <charset val="1"/>
          </rPr>
          <t xml:space="preserve"> indicate either:
- ART Coverage ≥70% &amp; Yield &lt;10%
- ART Coverage &lt;70% &amp; Yield &lt;5%</t>
        </r>
      </text>
    </comment>
    <comment ref="AK4" authorId="0">
      <text>
        <r>
          <rPr>
            <sz val="12"/>
            <color rgb="FF000000"/>
            <rFont val="Calibri"/>
            <family val="2"/>
            <charset val="1"/>
          </rPr>
          <t xml:space="preserve">#DIV/0!: </t>
        </r>
        <r>
          <rPr>
            <sz val="10"/>
            <color rgb="FF000000"/>
            <rFont val="Tahoma"/>
            <family val="0"/>
            <charset val="1"/>
          </rPr>
          <t xml:space="preserve">If you see this here, check yields.</t>
        </r>
      </text>
    </comment>
    <comment ref="AM3" authorId="0">
      <text>
        <r>
          <rPr>
            <sz val="12"/>
            <color rgb="FF000000"/>
            <rFont val="Calibri"/>
            <family val="2"/>
            <charset val="1"/>
          </rPr>
          <t xml:space="preserve">Inclusive of PMTCT_STAT, HTS PMTCT Post ANC1, TB, VMMC, INDEX, and all other modalities.</t>
        </r>
      </text>
    </comment>
    <comment ref="AN3" authorId="0">
      <text>
        <r>
          <rPr>
            <sz val="12"/>
            <color rgb="FF000000"/>
            <rFont val="Calibri"/>
            <family val="2"/>
            <charset val="1"/>
          </rPr>
          <t xml:space="preserve">Small differences may be acceptable. For larger discrepancies, return to the "Distribution of Positive Tests" section and adjust distribution percentages.</t>
        </r>
      </text>
    </comment>
    <comment ref="AU3" authorId="0">
      <text>
        <r>
          <rPr>
            <sz val="12"/>
            <color rgb="FF000000"/>
            <rFont val="Calibri"/>
            <family val="2"/>
            <charset val="1"/>
          </rPr>
          <t xml:space="preserve">Inclusive of PMTCT_STAT, HTS PMTCT Post ANC1, TB, VMMC, INDEX, and all other modalities.</t>
        </r>
      </text>
    </comment>
    <comment ref="AU4" authorId="0">
      <text>
        <r>
          <rPr>
            <sz val="12"/>
            <color rgb="FF000000"/>
            <rFont val="Calibri"/>
            <family val="2"/>
            <charset val="1"/>
          </rPr>
          <t xml:space="preserve">#DIV/0!: </t>
        </r>
        <r>
          <rPr>
            <sz val="10"/>
            <color rgb="FF000000"/>
            <rFont val="Tahoma"/>
            <family val="0"/>
            <charset val="1"/>
          </rPr>
          <t xml:space="preserve">If you see this here, check yields.</t>
        </r>
      </text>
    </comment>
    <comment ref="AV3" authorId="0">
      <text>
        <r>
          <rPr>
            <sz val="12"/>
            <color rgb="FF000000"/>
            <rFont val="Calibri"/>
            <family val="2"/>
            <charset val="1"/>
          </rPr>
          <t xml:space="preserve">Total Positives divided by Total Tests.</t>
        </r>
      </text>
    </comment>
    <comment ref="AY3" authorId="0">
      <text>
        <r>
          <rPr>
            <sz val="12"/>
            <color rgb="FF000000"/>
            <rFont val="Calibri"/>
            <family val="2"/>
            <charset val="1"/>
          </rPr>
          <t xml:space="preserve">If HTS_SELF was not reported or performed previously, but will be in upcoming targets, set manually below.</t>
        </r>
      </text>
    </comment>
    <comment ref="AZ3" authorId="0">
      <text>
        <r>
          <rPr>
            <sz val="12"/>
            <color rgb="FF000000"/>
            <rFont val="Calibri"/>
            <family val="2"/>
            <charset val="1"/>
          </rPr>
          <t xml:space="preserve">Red highlights </t>
        </r>
        <r>
          <rPr>
            <sz val="10"/>
            <color rgb="FF000000"/>
            <rFont val="Tahoma"/>
            <family val="2"/>
            <charset val="1"/>
          </rPr>
          <t xml:space="preserve">= Coverage rate &gt;100%
</t>
        </r>
        <r>
          <rPr>
            <b val="true"/>
            <sz val="10"/>
            <color rgb="FF000000"/>
            <rFont val="Tahoma"/>
            <family val="2"/>
            <charset val="1"/>
          </rPr>
          <t xml:space="preserve">Yellow highlights </t>
        </r>
        <r>
          <rPr>
            <sz val="10"/>
            <color rgb="FF000000"/>
            <rFont val="Tahoma"/>
            <family val="2"/>
            <charset val="1"/>
          </rPr>
          <t xml:space="preserve">= Coverage rate &lt; 100%</t>
        </r>
      </text>
    </comment>
  </commentList>
</comments>
</file>

<file path=xl/comments13.xml><?xml version="1.0" encoding="utf-8"?>
<comments xmlns="http://schemas.openxmlformats.org/spreadsheetml/2006/main" xmlns:xdr="http://schemas.openxmlformats.org/drawingml/2006/spreadsheetDrawing">
  <authors>
    <author> </author>
  </authors>
  <commentList>
    <comment ref="K3" authorId="0">
      <text>
        <r>
          <rPr>
            <sz val="12"/>
            <color rgb="FF000000"/>
            <rFont val="Calibri"/>
            <family val="2"/>
            <charset val="1"/>
          </rPr>
          <t xml:space="preserve">Yellow highlights = </t>
        </r>
        <r>
          <rPr>
            <sz val="10"/>
            <color rgb="FF000000"/>
            <rFont val="Tahoma"/>
            <family val="2"/>
            <charset val="1"/>
          </rPr>
          <t xml:space="preserve">Screening coverage rate is less than 50%.</t>
        </r>
      </text>
    </comment>
    <comment ref="L3" authorId="0">
      <text>
        <r>
          <rPr>
            <sz val="12"/>
            <color rgb="FF000000"/>
            <rFont val="Calibri"/>
            <family val="2"/>
            <charset val="1"/>
          </rPr>
          <t xml:space="preserve">Yellow highlights = </t>
        </r>
        <r>
          <rPr>
            <sz val="10"/>
            <color rgb="FF000000"/>
            <rFont val="Tahoma"/>
            <family val="2"/>
            <charset val="1"/>
          </rPr>
          <t xml:space="preserve">Screening coverage rate is less than 50%.</t>
        </r>
      </text>
    </comment>
  </commentList>
</comments>
</file>

<file path=xl/comments14.xml><?xml version="1.0" encoding="utf-8"?>
<comments xmlns="http://schemas.openxmlformats.org/spreadsheetml/2006/main" xmlns:xdr="http://schemas.openxmlformats.org/drawingml/2006/spreadsheetDrawing">
  <authors>
    <author> </author>
  </authors>
  <commentList>
    <comment ref="H3" authorId="0">
      <text>
        <r>
          <rPr>
            <sz val="12"/>
            <color rgb="FF000000"/>
            <rFont val="Calibri"/>
            <family val="2"/>
            <charset val="1"/>
          </rPr>
          <t xml:space="preserve">Red highlights indicate cases where coverage rates are missing, but required.</t>
        </r>
      </text>
    </comment>
    <comment ref="I3" authorId="0">
      <text>
        <r>
          <rPr>
            <sz val="12"/>
            <color rgb="FF000000"/>
            <rFont val="Calibri"/>
            <family val="2"/>
            <charset val="1"/>
          </rPr>
          <t xml:space="preserve">Red highlights indicate cases where coverage rates are missing, but required.</t>
        </r>
      </text>
    </comment>
    <comment ref="J3" authorId="0">
      <text>
        <r>
          <rPr>
            <sz val="12"/>
            <color rgb="FF000000"/>
            <rFont val="Calibri"/>
            <family val="2"/>
            <charset val="1"/>
          </rPr>
          <t xml:space="preserve">Red highlights indicate cases where yields are missing, but required.</t>
        </r>
      </text>
    </comment>
    <comment ref="K3" authorId="0">
      <text>
        <r>
          <rPr>
            <sz val="12"/>
            <color rgb="FF000000"/>
            <rFont val="Calibri"/>
            <family val="2"/>
            <charset val="1"/>
          </rPr>
          <t xml:space="preserve">Red highlights indicate cases where yields are missing, but required.</t>
        </r>
      </text>
    </comment>
    <comment ref="P3" authorId="0">
      <text>
        <r>
          <rPr>
            <sz val="12"/>
            <color rgb="FF000000"/>
            <rFont val="Calibri"/>
            <family val="2"/>
            <charset val="1"/>
          </rPr>
          <t xml:space="preserve">Taken from TB_PREV (N) Results.</t>
        </r>
      </text>
    </comment>
    <comment ref="T3" authorId="0">
      <text>
        <r>
          <rPr>
            <sz val="12"/>
            <color rgb="FF000000"/>
            <rFont val="Calibri"/>
            <family val="2"/>
            <charset val="1"/>
          </rPr>
          <t xml:space="preserve">Those on ART who were screened and found negative for TB, and who likely have not completed TPT in the last 7 years.</t>
        </r>
      </text>
    </comment>
    <comment ref="V3" authorId="0">
      <text>
        <r>
          <rPr>
            <sz val="12"/>
            <color rgb="FF000000"/>
            <rFont val="Calibri"/>
            <family val="2"/>
            <charset val="1"/>
          </rPr>
          <t xml:space="preserve">All those New on ART who are found negative for TB are considered eligible for TPT in this column.</t>
        </r>
      </text>
    </comment>
  </commentList>
</comments>
</file>

<file path=xl/comments16.xml><?xml version="1.0" encoding="utf-8"?>
<comments xmlns="http://schemas.openxmlformats.org/spreadsheetml/2006/main" xmlns:xdr="http://schemas.openxmlformats.org/drawingml/2006/spreadsheetDrawing">
  <authors>
    <author> </author>
  </authors>
  <commentList>
    <comment ref="M3" authorId="0">
      <text>
        <r>
          <rPr>
            <sz val="12"/>
            <color rgb="FF000000"/>
            <rFont val="Calibri"/>
            <family val="2"/>
            <charset val="1"/>
          </rPr>
          <t xml:space="preserve">Does not include Exited or Transferred Out in Denominator.
</t>
        </r>
        <r>
          <rPr>
            <sz val="10"/>
            <color rgb="FF000000"/>
            <rFont val="Tahoma"/>
            <family val="2"/>
            <charset val="1"/>
          </rPr>
          <t xml:space="preserve">
</t>
        </r>
        <r>
          <rPr>
            <b val="true"/>
            <sz val="10"/>
            <color rgb="FF000000"/>
            <rFont val="Tahoma"/>
            <family val="2"/>
            <charset val="1"/>
          </rPr>
          <t xml:space="preserve">Yellow Highlights</t>
        </r>
        <r>
          <rPr>
            <sz val="10"/>
            <color rgb="FF000000"/>
            <rFont val="Tahoma"/>
            <family val="2"/>
            <charset val="1"/>
          </rPr>
          <t xml:space="preserve"> indicate graduation rates &lt;20%.</t>
        </r>
      </text>
    </comment>
    <comment ref="S3" authorId="0">
      <text>
        <r>
          <rPr>
            <sz val="12"/>
            <color rgb="FF000000"/>
            <rFont val="Calibri"/>
            <family val="2"/>
            <charset val="1"/>
          </rPr>
          <t xml:space="preserve">Yellow Highlights</t>
        </r>
        <r>
          <rPr>
            <sz val="10"/>
            <color rgb="FF000000"/>
            <rFont val="Tahoma"/>
            <family val="2"/>
            <charset val="1"/>
          </rPr>
          <t xml:space="preserve"> indicate rates below &lt;100%.</t>
        </r>
      </text>
    </comment>
    <comment ref="T3" authorId="0">
      <text>
        <r>
          <rPr>
            <sz val="12"/>
            <color rgb="FF000000"/>
            <rFont val="Calibri"/>
            <family val="2"/>
            <charset val="1"/>
          </rPr>
          <t xml:space="preserve">OVC_HIVSTAT will be aggregated across Age/Sex and only a numerator total will be imported into DATIM.</t>
        </r>
      </text>
    </comment>
  </commentList>
</comments>
</file>

<file path=xl/comments18.xml><?xml version="1.0" encoding="utf-8"?>
<comments xmlns="http://schemas.openxmlformats.org/spreadsheetml/2006/main" xmlns:xdr="http://schemas.openxmlformats.org/drawingml/2006/spreadsheetDrawing">
  <authors>
    <author> </author>
  </authors>
  <commentList>
    <comment ref="Q3" authorId="0">
      <text>
        <r>
          <rPr>
            <sz val="12"/>
            <color rgb="FF000000"/>
            <rFont val="Calibri"/>
            <family val="2"/>
            <charset val="1"/>
          </rPr>
          <t xml:space="preserve">Yellow Highlights</t>
        </r>
        <r>
          <rPr>
            <sz val="10"/>
            <color rgb="FF000000"/>
            <rFont val="Tahoma"/>
            <family val="2"/>
            <charset val="1"/>
          </rPr>
          <t xml:space="preserve"> indicate rates &lt;60%.</t>
        </r>
      </text>
    </comment>
    <comment ref="T3" authorId="0">
      <text>
        <r>
          <rPr>
            <sz val="12"/>
            <color rgb="FF000000"/>
            <rFont val="Calibri"/>
            <family val="2"/>
            <charset val="1"/>
          </rPr>
          <t xml:space="preserve">Red Highlights</t>
        </r>
        <r>
          <rPr>
            <sz val="10"/>
            <color rgb="FF000000"/>
            <rFont val="Tahoma"/>
            <family val="2"/>
            <charset val="1"/>
          </rPr>
          <t xml:space="preserve"> indicate Numerator greater than Denominator.</t>
        </r>
      </text>
    </comment>
  </commentList>
</comments>
</file>

<file path=xl/comments19.xml><?xml version="1.0" encoding="utf-8"?>
<comments xmlns="http://schemas.openxmlformats.org/spreadsheetml/2006/main" xmlns:xdr="http://schemas.openxmlformats.org/drawingml/2006/spreadsheetDrawing">
  <authors>
    <author> </author>
  </authors>
  <commentList>
    <comment ref="J3" authorId="0">
      <text>
        <r>
          <rPr>
            <sz val="12"/>
            <color rgb="FF000000"/>
            <rFont val="Calibri"/>
            <family val="2"/>
            <charset val="1"/>
          </rPr>
          <t xml:space="preserve">To add KP_MAT targets where no previous targets existed, overwrite the formula in this column.</t>
        </r>
      </text>
    </comment>
  </commentList>
</comments>
</file>

<file path=xl/sharedStrings.xml><?xml version="1.0" encoding="utf-8"?>
<sst xmlns="http://schemas.openxmlformats.org/spreadsheetml/2006/main" count="89210" uniqueCount="1387">
  <si>
    <t xml:space="preserve">PEPFAR</t>
  </si>
  <si>
    <t xml:space="preserve">COP23 Target Setting Tool</t>
  </si>
  <si>
    <t xml:space="preserve">Malawi</t>
  </si>
  <si>
    <t xml:space="preserve">lZsCb6y0KDX</t>
  </si>
  <si>
    <t xml:space="preserve">Generated on: 2023-02-13 15:48:23</t>
  </si>
  <si>
    <t xml:space="preserve">Package version: 6.1.0</t>
  </si>
  <si>
    <t xml:space="preserve">psnu</t>
  </si>
  <si>
    <t xml:space="preserve">psnu_uid</t>
  </si>
  <si>
    <t xml:space="preserve">area_id</t>
  </si>
  <si>
    <t xml:space="preserve">indicator_code</t>
  </si>
  <si>
    <t xml:space="preserve">dataelement_uid</t>
  </si>
  <si>
    <t xml:space="preserve">age</t>
  </si>
  <si>
    <t xml:space="preserve">age_uid</t>
  </si>
  <si>
    <t xml:space="preserve">sex</t>
  </si>
  <si>
    <t xml:space="preserve">sex_uid</t>
  </si>
  <si>
    <t xml:space="preserve">calendar_quarter</t>
  </si>
  <si>
    <t xml:space="preserve">value</t>
  </si>
  <si>
    <t xml:space="preserve">age_sex_rse</t>
  </si>
  <si>
    <t xml:space="preserve">district_rse</t>
  </si>
  <si>
    <t xml:space="preserve">parsed_age</t>
  </si>
  <si>
    <t xml:space="preserve">ID</t>
  </si>
  <si>
    <t xml:space="preserve">Select cell D2</t>
  </si>
  <si>
    <t xml:space="preserve">--&gt;</t>
  </si>
  <si>
    <t xml:space="preserve">Chitipa District</t>
  </si>
  <si>
    <t xml:space="preserve">GkIwZrXy1h2</t>
  </si>
  <si>
    <t xml:space="preserve">MWI_3_1_demo</t>
  </si>
  <si>
    <t xml:space="preserve">TX_CURR_SUBNAT.R</t>
  </si>
  <si>
    <t xml:space="preserve">MktYDp33kd6</t>
  </si>
  <si>
    <t xml:space="preserve">=""&lt;01""</t>
  </si>
  <si>
    <t xml:space="preserve">sMBMO5xAq5T</t>
  </si>
  <si>
    <t xml:space="preserve">Female</t>
  </si>
  <si>
    <t xml:space="preserve">Z1EnpTPaUfq</t>
  </si>
  <si>
    <t xml:space="preserve">CY2022Q4</t>
  </si>
  <si>
    <t xml:space="preserve">=""01-09""</t>
  </si>
  <si>
    <t xml:space="preserve">Y001_009</t>
  </si>
  <si>
    <t xml:space="preserve">Adding Estimates from Spectrum</t>
  </si>
  <si>
    <t xml:space="preserve">=""10-14""</t>
  </si>
  <si>
    <t xml:space="preserve">jcGQdcpPSJP</t>
  </si>
  <si>
    <t xml:space="preserve">=""15-24""</t>
  </si>
  <si>
    <t xml:space="preserve">Y015_024</t>
  </si>
  <si>
    <t xml:space="preserve">Follow the below instructions to successfully import Spectrum estimates into your Data Pack:</t>
  </si>
  <si>
    <t xml:space="preserve">=""25-34""</t>
  </si>
  <si>
    <t xml:space="preserve">Y025_034</t>
  </si>
  <si>
    <t xml:space="preserve">=""35-49""</t>
  </si>
  <si>
    <t xml:space="preserve">Y035_049</t>
  </si>
  <si>
    <t xml:space="preserve">=""50+""</t>
  </si>
  <si>
    <t xml:space="preserve">Y050_999</t>
  </si>
  <si>
    <t xml:space="preserve">1) Select cell D2.</t>
  </si>
  <si>
    <t xml:space="preserve">Male</t>
  </si>
  <si>
    <t xml:space="preserve">Qn0I5FbKQOA</t>
  </si>
  <si>
    <t xml:space="preserve">2) In the Excel ribbon above, select Data &gt; From Text to open the Data Import Wizard.</t>
  </si>
  <si>
    <t xml:space="preserve">3) Select the file created in and exported from Spectrum.</t>
  </si>
  <si>
    <t xml:space="preserve">4) In Step 1 of the Text Import Wizard, select `Delimited` for the Data Type, and start import at row 2. Click `Next`.</t>
  </si>
  <si>
    <t xml:space="preserve">Dowa District</t>
  </si>
  <si>
    <t xml:space="preserve">zphK9WV8JB4</t>
  </si>
  <si>
    <t xml:space="preserve">MWI_3_10_demo</t>
  </si>
  <si>
    <t xml:space="preserve">5) In Step 2 of the Text Import Wizard, select `Comma` as Delimiter Type. Click `Next`.</t>
  </si>
  <si>
    <t xml:space="preserve">6) In Step 3 of the Text Import Wizard, click `Finish`.</t>
  </si>
  <si>
    <t xml:space="preserve">7) In the next prompt, click `Ok`.</t>
  </si>
  <si>
    <t xml:space="preserve">8) In columns Q &amp; R, drag formulas down to extend to last row of Spectrum import file.</t>
  </si>
  <si>
    <t xml:space="preserve">Salima District</t>
  </si>
  <si>
    <t xml:space="preserve">msW2zpIN7up</t>
  </si>
  <si>
    <t xml:space="preserve">MWI_3_11_demo</t>
  </si>
  <si>
    <t xml:space="preserve">Mchinji District</t>
  </si>
  <si>
    <t xml:space="preserve">kxuuIFpOXyO</t>
  </si>
  <si>
    <t xml:space="preserve">MWI_3_12_demo</t>
  </si>
  <si>
    <t xml:space="preserve">Lilongwe District</t>
  </si>
  <si>
    <t xml:space="preserve">ScR9iFKAasW</t>
  </si>
  <si>
    <t xml:space="preserve">MWI_3_13_demo</t>
  </si>
  <si>
    <t xml:space="preserve">Dedza District</t>
  </si>
  <si>
    <t xml:space="preserve">PekKUkKHAzY</t>
  </si>
  <si>
    <t xml:space="preserve">MWI_3_14_demo</t>
  </si>
  <si>
    <t xml:space="preserve">Ntcheu District</t>
  </si>
  <si>
    <t xml:space="preserve">am530wpaGvr</t>
  </si>
  <si>
    <t xml:space="preserve">MWI_3_15_demo</t>
  </si>
  <si>
    <t xml:space="preserve">Mangochi District</t>
  </si>
  <si>
    <t xml:space="preserve">lLDyBx5XyUi</t>
  </si>
  <si>
    <t xml:space="preserve">MWI_3_16_demo</t>
  </si>
  <si>
    <t xml:space="preserve">Machinga District</t>
  </si>
  <si>
    <t xml:space="preserve">TYnMSwzko3z</t>
  </si>
  <si>
    <t xml:space="preserve">MWI_3_17_demo</t>
  </si>
  <si>
    <t xml:space="preserve">Balaka District</t>
  </si>
  <si>
    <t xml:space="preserve">ir8wuHHzoSs</t>
  </si>
  <si>
    <t xml:space="preserve">MWI_3_18_demo</t>
  </si>
  <si>
    <t xml:space="preserve">Zomba District</t>
  </si>
  <si>
    <t xml:space="preserve">fyEoGEPERdI</t>
  </si>
  <si>
    <t xml:space="preserve">MWI_3_19_demo</t>
  </si>
  <si>
    <t xml:space="preserve">Karonga District</t>
  </si>
  <si>
    <t xml:space="preserve">cPtvxaZqXIH</t>
  </si>
  <si>
    <t xml:space="preserve">MWI_3_2_demo</t>
  </si>
  <si>
    <t xml:space="preserve">Phalombe District</t>
  </si>
  <si>
    <t xml:space="preserve">AZyWpGzhcaA</t>
  </si>
  <si>
    <t xml:space="preserve">MWI_3_20_demo</t>
  </si>
  <si>
    <t xml:space="preserve">Mulanje District</t>
  </si>
  <si>
    <t xml:space="preserve">umc2n1Z4wNv</t>
  </si>
  <si>
    <t xml:space="preserve">MWI_3_21_demo</t>
  </si>
  <si>
    <t xml:space="preserve">Neno District</t>
  </si>
  <si>
    <t xml:space="preserve">gwVYinjBAe9</t>
  </si>
  <si>
    <t xml:space="preserve">MWI_3_22_demo</t>
  </si>
  <si>
    <t xml:space="preserve">Blantyre District</t>
  </si>
  <si>
    <t xml:space="preserve">mxqa3CDFmIT</t>
  </si>
  <si>
    <t xml:space="preserve">MWI_3_23_demo</t>
  </si>
  <si>
    <t xml:space="preserve">Mwanza District</t>
  </si>
  <si>
    <t xml:space="preserve">wNqJp8oRIcF</t>
  </si>
  <si>
    <t xml:space="preserve">MWI_3_24_demo</t>
  </si>
  <si>
    <t xml:space="preserve">Chiradzulu District</t>
  </si>
  <si>
    <t xml:space="preserve">oiPR2CiVJbf</t>
  </si>
  <si>
    <t xml:space="preserve">MWI_3_25_demo</t>
  </si>
  <si>
    <t xml:space="preserve">Thyolo District</t>
  </si>
  <si>
    <t xml:space="preserve">ul0y9diGujK</t>
  </si>
  <si>
    <t xml:space="preserve">MWI_3_26_demo</t>
  </si>
  <si>
    <t xml:space="preserve">Chikwawa District</t>
  </si>
  <si>
    <t xml:space="preserve">U8c0so51kT6</t>
  </si>
  <si>
    <t xml:space="preserve">MWI_3_27_demo</t>
  </si>
  <si>
    <t xml:space="preserve">Nsanje District</t>
  </si>
  <si>
    <t xml:space="preserve">rpw540fmNUz</t>
  </si>
  <si>
    <t xml:space="preserve">MWI_3_28_demo</t>
  </si>
  <si>
    <t xml:space="preserve">Rumphi District</t>
  </si>
  <si>
    <t xml:space="preserve">lPTyjLi4w3d</t>
  </si>
  <si>
    <t xml:space="preserve">MWI_3_3_demo</t>
  </si>
  <si>
    <t xml:space="preserve">Mzimba District</t>
  </si>
  <si>
    <t xml:space="preserve">vA4NcHxfMBq</t>
  </si>
  <si>
    <t xml:space="preserve">MWI_3_4_demo</t>
  </si>
  <si>
    <t xml:space="preserve">Nkhata Bay District</t>
  </si>
  <si>
    <t xml:space="preserve">E7zpfyBt7Tw</t>
  </si>
  <si>
    <t xml:space="preserve">MWI_3_5_demo</t>
  </si>
  <si>
    <t xml:space="preserve">Likoma District</t>
  </si>
  <si>
    <t xml:space="preserve">ZCjuwgaMB9u</t>
  </si>
  <si>
    <t xml:space="preserve">MWI_3_6_demo</t>
  </si>
  <si>
    <t xml:space="preserve">Nkhotakota District</t>
  </si>
  <si>
    <t xml:space="preserve">YCKiBAp8QAg</t>
  </si>
  <si>
    <t xml:space="preserve">MWI_3_7_demo</t>
  </si>
  <si>
    <t xml:space="preserve">Kasungu District</t>
  </si>
  <si>
    <t xml:space="preserve">JQKLKuVuY61</t>
  </si>
  <si>
    <t xml:space="preserve">MWI_3_8_demo</t>
  </si>
  <si>
    <t xml:space="preserve">Ntchisi District</t>
  </si>
  <si>
    <t xml:space="preserve">fiRkU6gEjLz</t>
  </si>
  <si>
    <t xml:space="preserve">MWI_3_9_demo</t>
  </si>
  <si>
    <t xml:space="preserve">POP_EST.T_1</t>
  </si>
  <si>
    <t xml:space="preserve">KssDaTsGWnS</t>
  </si>
  <si>
    <t xml:space="preserve">CY2023Q3</t>
  </si>
  <si>
    <t xml:space="preserve">HIV_PREV.T_1</t>
  </si>
  <si>
    <t xml:space="preserve">lJtpR5byqps</t>
  </si>
  <si>
    <t xml:space="preserve">PLHIV_Residents.T_1</t>
  </si>
  <si>
    <t xml:space="preserve">iwSejvD8cXl</t>
  </si>
  <si>
    <t xml:space="preserve">PopART.Rt.T_1</t>
  </si>
  <si>
    <t xml:space="preserve">TX_CURR_SUBNAT.T_1</t>
  </si>
  <si>
    <t xml:space="preserve">xghQXueYJxu</t>
  </si>
  <si>
    <t xml:space="preserve">DIAGNOSED_SUBNAT.T_1</t>
  </si>
  <si>
    <t xml:space="preserve">nF19GOjcnoD</t>
  </si>
  <si>
    <t xml:space="preserve">PLHIV_Attend.T_1</t>
  </si>
  <si>
    <t xml:space="preserve">Untreated_PLHIV_Attend.T_1</t>
  </si>
  <si>
    <t xml:space="preserve">Incidence_SUBNAT.Rt.T_1</t>
  </si>
  <si>
    <t xml:space="preserve">NEW_INFECTIONS_SUBNAT.T_1</t>
  </si>
  <si>
    <t xml:space="preserve">PMTCT_STAT_SUBNAT.D.T_1</t>
  </si>
  <si>
    <t xml:space="preserve">RM8gRoxtsNw</t>
  </si>
  <si>
    <t xml:space="preserve">PMTCT_ART_SUBNAT.D.T_1</t>
  </si>
  <si>
    <t xml:space="preserve">eJaChfuqUTs</t>
  </si>
  <si>
    <t xml:space="preserve">PMTCT_ART_SUBNAT.N.Already.T_1</t>
  </si>
  <si>
    <t xml:space="preserve">HVBf6Sgi6Jk</t>
  </si>
  <si>
    <t xml:space="preserve">PMTCT_ART_SUBNAT.N.New.T_1</t>
  </si>
  <si>
    <t xml:space="preserve">PMTCT_STAT_SUBNAT.N.Known.Pos.T_1</t>
  </si>
  <si>
    <t xml:space="preserve">tAE7ZD7p9zu</t>
  </si>
  <si>
    <t xml:space="preserve">PMTCT_STAT_SUBNAT.N.New.Pos.T_1</t>
  </si>
  <si>
    <t xml:space="preserve">PMTCT_STAT_SUBNAT.N.New.Neg.T_1</t>
  </si>
  <si>
    <t xml:space="preserve">PLHIV_Residents.T</t>
  </si>
  <si>
    <t xml:space="preserve">PLHIV.T</t>
  </si>
  <si>
    <t xml:space="preserve">CY2024Q3</t>
  </si>
  <si>
    <t xml:space="preserve">PLHIV_Attend.T</t>
  </si>
  <si>
    <t xml:space="preserve">Incidence_SUBNAT.Rt.T</t>
  </si>
  <si>
    <t xml:space="preserve">NEW_INFECTIONS_SUBNAT.T</t>
  </si>
  <si>
    <t xml:space="preserve">PLHIV_Residents.T2</t>
  </si>
  <si>
    <t xml:space="preserve">PLHIV.T2</t>
  </si>
  <si>
    <t xml:space="preserve">CY2025Q3</t>
  </si>
  <si>
    <t xml:space="preserve">PLHIV_Attend.T2</t>
  </si>
  <si>
    <t xml:space="preserve">NEW_INFECTIONS_SUBNAT.T2</t>
  </si>
  <si>
    <t xml:space="preserve">Prioritization</t>
  </si>
  <si>
    <t xml:space="preserve">[TARGET]</t>
  </si>
  <si>
    <t xml:space="preserve">SNU Prioritization (FY23)</t>
  </si>
  <si>
    <t xml:space="preserve">SNU Prioritization (FY24)</t>
  </si>
  <si>
    <t xml:space="preserve">FY24 SNU Prioritization Translation</t>
  </si>
  <si>
    <t xml:space="preserve">datapack</t>
  </si>
  <si>
    <t xml:space="preserve">impatt</t>
  </si>
  <si>
    <t xml:space="preserve">row_header</t>
  </si>
  <si>
    <t xml:space="preserve">past</t>
  </si>
  <si>
    <t xml:space="preserve">target</t>
  </si>
  <si>
    <t xml:space="preserve">reference</t>
  </si>
  <si>
    <t xml:space="preserve">string</t>
  </si>
  <si>
    <t xml:space="preserve">integer</t>
  </si>
  <si>
    <t xml:space="preserve">r4zbW3owX9n</t>
  </si>
  <si>
    <t xml:space="preserve">PSNU</t>
  </si>
  <si>
    <t xml:space="preserve">IMPATT.PRIORITY_SNU.T_1</t>
  </si>
  <si>
    <t xml:space="preserve">IMPATT.PRIORITY_SNU.T</t>
  </si>
  <si>
    <t xml:space="preserve">PRIORITY_SNU.translation</t>
  </si>
  <si>
    <t xml:space="preserve">_Military Malawi [PQZgU9dagaH]</t>
  </si>
  <si>
    <t xml:space="preserve">Dedza District [PekKUkKHAzY]</t>
  </si>
  <si>
    <t xml:space="preserve">Dowa District [zphK9WV8JB4]</t>
  </si>
  <si>
    <t xml:space="preserve">Kasungu District [JQKLKuVuY61]</t>
  </si>
  <si>
    <t xml:space="preserve">Lilongwe District [ScR9iFKAasW]</t>
  </si>
  <si>
    <t xml:space="preserve">Mchinji District [kxuuIFpOXyO]</t>
  </si>
  <si>
    <t xml:space="preserve">Nkhotakota District [YCKiBAp8QAg]</t>
  </si>
  <si>
    <t xml:space="preserve">Ntcheu District [am530wpaGvr]</t>
  </si>
  <si>
    <t xml:space="preserve">Ntchisi District [fiRkU6gEjLz]</t>
  </si>
  <si>
    <t xml:space="preserve">Salima District [msW2zpIN7up]</t>
  </si>
  <si>
    <t xml:space="preserve">Chitipa District [GkIwZrXy1h2]</t>
  </si>
  <si>
    <t xml:space="preserve">Karonga District [cPtvxaZqXIH]</t>
  </si>
  <si>
    <t xml:space="preserve">Likoma District [ZCjuwgaMB9u]</t>
  </si>
  <si>
    <t xml:space="preserve">Mzimba District [vA4NcHxfMBq]</t>
  </si>
  <si>
    <t xml:space="preserve">Nkhata Bay District [E7zpfyBt7Tw]</t>
  </si>
  <si>
    <t xml:space="preserve">Rumphi District [lPTyjLi4w3d]</t>
  </si>
  <si>
    <t xml:space="preserve">Balaka District [ir8wuHHzoSs]</t>
  </si>
  <si>
    <t xml:space="preserve">Blantyre District [mxqa3CDFmIT]</t>
  </si>
  <si>
    <t xml:space="preserve">Chikwawa District [U8c0so51kT6]</t>
  </si>
  <si>
    <t xml:space="preserve">Chiradzulu District [oiPR2CiVJbf]</t>
  </si>
  <si>
    <t xml:space="preserve">Machinga District [TYnMSwzko3z]</t>
  </si>
  <si>
    <t xml:space="preserve">Mangochi District [lLDyBx5XyUi]</t>
  </si>
  <si>
    <t xml:space="preserve">Mulanje District [umc2n1Z4wNv]</t>
  </si>
  <si>
    <t xml:space="preserve">Mwanza District [wNqJp8oRIcF]</t>
  </si>
  <si>
    <t xml:space="preserve">Neno District [gwVYinjBAe9]</t>
  </si>
  <si>
    <t xml:space="preserve">Nsanje District [rpw540fmNUz]</t>
  </si>
  <si>
    <t xml:space="preserve">Phalombe District [AZyWpGzhcaA]</t>
  </si>
  <si>
    <t xml:space="preserve">Thyolo District [ul0y9diGujK]</t>
  </si>
  <si>
    <t xml:space="preserve">Zomba District [fyEoGEPERdI]</t>
  </si>
  <si>
    <t xml:space="preserve">Cascade</t>
  </si>
  <si>
    <t xml:space="preserve">TX_CURR (FY24)</t>
  </si>
  <si>
    <t xml:space="preserve">PEPFAR FY22 Cascade (Observed)</t>
  </si>
  <si>
    <t xml:space="preserve">PEPFAR FY23 Cascade (Planned)</t>
  </si>
  <si>
    <t xml:space="preserve">Partner Country Cascade (from Spectrum tab, or manually entered here)</t>
  </si>
  <si>
    <t xml:space="preserve">ART Modeling</t>
  </si>
  <si>
    <t xml:space="preserve">ART</t>
  </si>
  <si>
    <t xml:space="preserve">ART Initiation</t>
  </si>
  <si>
    <t xml:space="preserve">VL Testing Coverage</t>
  </si>
  <si>
    <t xml:space="preserve">Viral Load Suppression</t>
  </si>
  <si>
    <t xml:space="preserve">Testing</t>
  </si>
  <si>
    <t xml:space="preserve">KEY:
- Est.: Estimated
- P.C.: Partner Country
- Prev.: Previously
- VL: Viral Load
- VLS: Viral Load Suppression
- VLT: Viral Load Test(ing)
- EVLT: Eligible for Viral Load Testing</t>
  </si>
  <si>
    <t xml:space="preserve">FY22 (Observed)</t>
  </si>
  <si>
    <t xml:space="preserve">FY23 (Estimated)</t>
  </si>
  <si>
    <t xml:space="preserve">FY24 (Projected)</t>
  </si>
  <si>
    <t xml:space="preserve">Skip if modeled externally (column F)</t>
  </si>
  <si>
    <r>
      <rPr>
        <sz val="12"/>
        <color rgb="FF000000"/>
        <rFont val="Calibri"/>
        <family val="0"/>
        <charset val="1"/>
      </rPr>
      <t xml:space="preserve">If TX_CURR Target derived by OU analysis, enter here: 
</t>
    </r>
    <r>
      <rPr>
        <b val="true"/>
        <sz val="12"/>
        <color rgb="FF000000"/>
        <rFont val="Calibri"/>
        <family val="2"/>
        <charset val="1"/>
      </rPr>
      <t xml:space="preserve">TX_CURR (FY24)</t>
    </r>
  </si>
  <si>
    <t xml:space="preserve">New Positives</t>
  </si>
  <si>
    <t xml:space="preserve">TX_NEW</t>
  </si>
  <si>
    <t xml:space="preserve">TX_CURR</t>
  </si>
  <si>
    <t xml:space="preserve">TX_PVLS (D)</t>
  </si>
  <si>
    <t xml:space="preserve">TX_PVLS (N)</t>
  </si>
  <si>
    <t xml:space="preserve">TX_CURR: Expected Achievement (FY23)</t>
  </si>
  <si>
    <t xml:space="preserve">TX_NET_NEW</t>
  </si>
  <si>
    <t xml:space="preserve">On ART (FY22)</t>
  </si>
  <si>
    <t xml:space="preserve">Population (FY23)</t>
  </si>
  <si>
    <t xml:space="preserve">PLHIV by Residence (FY23)</t>
  </si>
  <si>
    <t xml:space="preserve">PLHIV by ART attendance (FY23)</t>
  </si>
  <si>
    <t xml:space="preserve">HIV Prevalence (FY23) (%)</t>
  </si>
  <si>
    <t xml:space="preserve">Diagnosed (FY23)</t>
  </si>
  <si>
    <t xml:space="preserve">% PLHIV Diagnosed (FY23) (%)</t>
  </si>
  <si>
    <t xml:space="preserve">On ART (FY23)</t>
  </si>
  <si>
    <t xml:space="preserve">ART Coverage (ART/PLHIV) (FY23) (%)</t>
  </si>
  <si>
    <t xml:space="preserve">% Diagnosed on ART (FY23) (%)</t>
  </si>
  <si>
    <t xml:space="preserve">Untreated PLHIV in health facility catchment area (FY23)</t>
  </si>
  <si>
    <t xml:space="preserve">ART Patients with Documented VLT 
(FY23)</t>
  </si>
  <si>
    <t xml:space="preserve">VLT Coverage (FY23) (%)</t>
  </si>
  <si>
    <t xml:space="preserve">Virally Suppressed ART Patients (FY23)</t>
  </si>
  <si>
    <t xml:space="preserve">VLS Rate (Virally Suppressed/Documented VLT) (FY23) (%)</t>
  </si>
  <si>
    <t xml:space="preserve">Incidence Rate (FY24) (%)</t>
  </si>
  <si>
    <t xml:space="preserve">New Infections (FY24)</t>
  </si>
  <si>
    <t xml:space="preserve">PLHIV (FY24)</t>
  </si>
  <si>
    <t xml:space="preserve">PLHIV by ART attendance (FY24)</t>
  </si>
  <si>
    <t xml:space="preserve">Targeted P.C. ART Coverage (ART/PLHIV) (FY24) (%)</t>
  </si>
  <si>
    <t xml:space="preserve">Targeted P.C. # on ART (FY24)</t>
  </si>
  <si>
    <t xml:space="preserve">PMTCT_HEI_POS Linked &amp; Retained on ART (FY24)</t>
  </si>
  <si>
    <t xml:space="preserve">Calculated TX_CURR (FY24)</t>
  </si>
  <si>
    <t xml:space="preserve">P.C. # on ART (FY24)</t>
  </si>
  <si>
    <t xml:space="preserve">P.C. ART Coverage (ART/PLHIV) (FY24) (%)</t>
  </si>
  <si>
    <t xml:space="preserve">Retention - Already on ART (FY24) (%)</t>
  </si>
  <si>
    <t xml:space="preserve">Retention - Initiated on ART (FY24) (%)</t>
  </si>
  <si>
    <t xml:space="preserve">TX_NET_NEW (FY24)</t>
  </si>
  <si>
    <t xml:space="preserve">Initiated on ART (FY24)</t>
  </si>
  <si>
    <t xml:space="preserve">% Initiated on ART that are TX Naive (FY24) (%)</t>
  </si>
  <si>
    <t xml:space="preserve">TX_NEW
(FY24)</t>
  </si>
  <si>
    <t xml:space="preserve">% Initiated on ART Eligible for VLT (FY24) (%)</t>
  </si>
  <si>
    <t xml:space="preserve">Eligible for VLT (FY24)</t>
  </si>
  <si>
    <t xml:space="preserve">Planned VLT Coverage (FY24) (%)</t>
  </si>
  <si>
    <t xml:space="preserve">TX_PVLS (D) Routine (FY24)</t>
  </si>
  <si>
    <t xml:space="preserve">P.C. ART Patients with Documented VLT (FY24)</t>
  </si>
  <si>
    <t xml:space="preserve">Targeted VL Suppression Rate (FY24) (%)</t>
  </si>
  <si>
    <t xml:space="preserve">TX_PVLS (N) Routine (FY24)</t>
  </si>
  <si>
    <t xml:space="preserve">P.C. Virally Suppressed ART Patients (FY24)</t>
  </si>
  <si>
    <t xml:space="preserve">Targeted ART Linkage Rate (FY24) (%)</t>
  </si>
  <si>
    <t xml:space="preserve">PLHIV to Identify (HTS_TST_POS + PMTCT_HEI_POS) (FY24)</t>
  </si>
  <si>
    <t xml:space="preserve">Roll-up</t>
  </si>
  <si>
    <t xml:space="preserve">mer</t>
  </si>
  <si>
    <t xml:space="preserve">subnat</t>
  </si>
  <si>
    <t xml:space="preserve">assumption</t>
  </si>
  <si>
    <t xml:space="preserve">calculation</t>
  </si>
  <si>
    <t xml:space="preserve">result</t>
  </si>
  <si>
    <t xml:space="preserve">percentage</t>
  </si>
  <si>
    <t xml:space="preserve">yXZtvoYQXcD</t>
  </si>
  <si>
    <t xml:space="preserve">Hyvw9VnZ2ch</t>
  </si>
  <si>
    <t xml:space="preserve">kznQBykTtJt</t>
  </si>
  <si>
    <t xml:space="preserve">YvPOllVtINQ</t>
  </si>
  <si>
    <t xml:space="preserve">vmfKLKi1NBA</t>
  </si>
  <si>
    <t xml:space="preserve">di4b6joXm84</t>
  </si>
  <si>
    <t xml:space="preserve">WpZwPieQ060</t>
  </si>
  <si>
    <t xml:space="preserve">N55pM5ZuWcI</t>
  </si>
  <si>
    <t xml:space="preserve">zoKiMGRucOY</t>
  </si>
  <si>
    <t xml:space="preserve">FjLaCnuoQWR</t>
  </si>
  <si>
    <t xml:space="preserve">ebCEt4u78PX</t>
  </si>
  <si>
    <t xml:space="preserve">alP4jHSfacs</t>
  </si>
  <si>
    <t xml:space="preserve">MylJht530Cc</t>
  </si>
  <si>
    <t xml:space="preserve">DhrLCUBm3bK</t>
  </si>
  <si>
    <t xml:space="preserve">HGZY9RNZjRd</t>
  </si>
  <si>
    <t xml:space="preserve">KlAFsRMw17y</t>
  </si>
  <si>
    <t xml:space="preserve">LCrR2BK3wmA</t>
  </si>
  <si>
    <t xml:space="preserve">KM4dyooZHUP</t>
  </si>
  <si>
    <t xml:space="preserve">rGptWqlhaVU.KM4dyooZHUP</t>
  </si>
  <si>
    <t xml:space="preserve">10 yr, 01+</t>
  </si>
  <si>
    <t xml:space="preserve">10 yr</t>
  </si>
  <si>
    <t xml:space="preserve">&lt;01</t>
  </si>
  <si>
    <t xml:space="preserve">M/F</t>
  </si>
  <si>
    <t xml:space="preserve">Age</t>
  </si>
  <si>
    <t xml:space="preserve">Sex</t>
  </si>
  <si>
    <t xml:space="preserve">TX_CURR.C</t>
  </si>
  <si>
    <t xml:space="preserve">HTS_TST.Pos.Total_With_HEI.R</t>
  </si>
  <si>
    <t xml:space="preserve">TX_NEW.R</t>
  </si>
  <si>
    <t xml:space="preserve">TX_CURR.R</t>
  </si>
  <si>
    <t xml:space="preserve">TX_PVLS.D.Routine.R</t>
  </si>
  <si>
    <t xml:space="preserve">TX_PVLS.N.Routine.R</t>
  </si>
  <si>
    <t xml:space="preserve">HTS_TST.Pos.Total_With_HEI.T_1</t>
  </si>
  <si>
    <t xml:space="preserve">TX_NEW.T_1</t>
  </si>
  <si>
    <t xml:space="preserve">TX_CURR.T_1</t>
  </si>
  <si>
    <t xml:space="preserve">TX_CURR.Expected.T_1</t>
  </si>
  <si>
    <t xml:space="preserve">TX_PVLS.D.Routine.T_1</t>
  </si>
  <si>
    <t xml:space="preserve">TX_PVLS.N.Routine.T_1</t>
  </si>
  <si>
    <t xml:space="preserve">TX_NET_NEW.T_1</t>
  </si>
  <si>
    <t xml:space="preserve">PLHIV.T_1</t>
  </si>
  <si>
    <t xml:space="preserve">DIAGNOSED_SUBNAT.Rt.T_1</t>
  </si>
  <si>
    <t xml:space="preserve">TX_CURR_SUBNAT.Rt.T_1</t>
  </si>
  <si>
    <t xml:space="preserve">VL_TESTING_SUBNAT.T_1</t>
  </si>
  <si>
    <t xml:space="preserve">VL_TESTING_SUBNAT.Rt.T_1</t>
  </si>
  <si>
    <t xml:space="preserve">VL_SUPPRESSED.T_1</t>
  </si>
  <si>
    <t xml:space="preserve">VLS_SUBNAT.Rt.T_1</t>
  </si>
  <si>
    <t xml:space="preserve">PopART.Rt.M</t>
  </si>
  <si>
    <t xml:space="preserve">TX_CURR_SUBNAT.M</t>
  </si>
  <si>
    <t xml:space="preserve">PMTCT_HEI_POS.Linked.T</t>
  </si>
  <si>
    <t xml:space="preserve">TX_CURR.M</t>
  </si>
  <si>
    <t xml:space="preserve">TX_CURR.T</t>
  </si>
  <si>
    <t xml:space="preserve">TX_CURR_SUBNAT.T</t>
  </si>
  <si>
    <t xml:space="preserve">PopART.Rt.T</t>
  </si>
  <si>
    <t xml:space="preserve">TX_RET.Already.T</t>
  </si>
  <si>
    <t xml:space="preserve">TX_RET.New.T</t>
  </si>
  <si>
    <t xml:space="preserve">TX_NET_NEW.T</t>
  </si>
  <si>
    <t xml:space="preserve">TX_INITIATED.T</t>
  </si>
  <si>
    <t xml:space="preserve">TX_INITIATED.NewRt.T</t>
  </si>
  <si>
    <t xml:space="preserve">TX_NEW.T</t>
  </si>
  <si>
    <t xml:space="preserve">EVLT.Rt.T</t>
  </si>
  <si>
    <t xml:space="preserve">EVLT.T</t>
  </si>
  <si>
    <t xml:space="preserve">TX_PVLS.D.Rt.T</t>
  </si>
  <si>
    <t xml:space="preserve">TX_PVLS.D.Routine.T</t>
  </si>
  <si>
    <t xml:space="preserve">VL_TESTING_SUBNAT.T</t>
  </si>
  <si>
    <t xml:space="preserve">TX_PVLS.N.Rt.T</t>
  </si>
  <si>
    <t xml:space="preserve">TX_PVLS.N.Routine.T</t>
  </si>
  <si>
    <t xml:space="preserve">VL_SUPPRESSED.T</t>
  </si>
  <si>
    <t xml:space="preserve">HTS_TST.Linkage.T</t>
  </si>
  <si>
    <t xml:space="preserve">HTS_TST.Pos.Total_With_HEI.T</t>
  </si>
  <si>
    <t xml:space="preserve">01-09</t>
  </si>
  <si>
    <t xml:space="preserve">10-14</t>
  </si>
  <si>
    <t xml:space="preserve">15-24</t>
  </si>
  <si>
    <t xml:space="preserve">25-34</t>
  </si>
  <si>
    <t xml:space="preserve">35-49</t>
  </si>
  <si>
    <t xml:space="preserve">50+</t>
  </si>
  <si>
    <t xml:space="preserve">KP</t>
  </si>
  <si>
    <t xml:space="preserve">KP_ESTIMATES</t>
  </si>
  <si>
    <t xml:space="preserve">PrEP_CT</t>
  </si>
  <si>
    <t xml:space="preserve">PrEP_NEW</t>
  </si>
  <si>
    <t xml:space="preserve">KP_PREV</t>
  </si>
  <si>
    <t xml:space="preserve">HTS_TST</t>
  </si>
  <si>
    <t xml:space="preserve">HTS_RECENT</t>
  </si>
  <si>
    <t xml:space="preserve">HTS_SELF</t>
  </si>
  <si>
    <t xml:space="preserve">P.C. Est. Total Size (FY23)</t>
  </si>
  <si>
    <t xml:space="preserve">P.C. Est. KPLHIV (FY23)</t>
  </si>
  <si>
    <t xml:space="preserve">P.C. Est. HIV Prevalence (FY23) (%)</t>
  </si>
  <si>
    <t xml:space="preserve">PrEP_CT - KeyPop (FY23 Targets)</t>
  </si>
  <si>
    <t xml:space="preserve">PrEP_CT - KeyPop (FY24)</t>
  </si>
  <si>
    <t xml:space="preserve">PrEP_NEW - KeyPop (FY23 Targets)</t>
  </si>
  <si>
    <t xml:space="preserve">PrEP_NEW - KeyPop (FY24)</t>
  </si>
  <si>
    <t xml:space="preserve">KP_PREV (FY23 Targets)</t>
  </si>
  <si>
    <t xml:space="preserve">KP_PREV (FY24)</t>
  </si>
  <si>
    <t xml:space="preserve">TX_CURR - KeyPop (FY22 Results)</t>
  </si>
  <si>
    <t xml:space="preserve">TX_CURR - KeyPop (FY23 Targets)</t>
  </si>
  <si>
    <t xml:space="preserve">TX_CURR - KeyPop - Expected Achievement (FY23)</t>
  </si>
  <si>
    <t xml:space="preserve">TX_CURR - KeyPop (FY24)</t>
  </si>
  <si>
    <t xml:space="preserve">P.C. # KPLHIV on ART - KeyPop (FY24)</t>
  </si>
  <si>
    <t xml:space="preserve">KP ART Coverage (P.C. ART / KPLHIV) (FY24) (%)</t>
  </si>
  <si>
    <t xml:space="preserve">TX_NEW - KeyPop (FY23 Targets)</t>
  </si>
  <si>
    <t xml:space="preserve">TX_NET_NEW - KeyPop (FY24)</t>
  </si>
  <si>
    <t xml:space="preserve">TX_NEW - KeyPop (FY24)</t>
  </si>
  <si>
    <t xml:space="preserve">TX_PVLS (D) - KeyPop (FY24)</t>
  </si>
  <si>
    <t xml:space="preserve">TX_PVLS (N) - KeyPop (FY24)</t>
  </si>
  <si>
    <t xml:space="preserve">HTS_TST, KeyPop, Positive (FY23 Targets)</t>
  </si>
  <si>
    <t xml:space="preserve">HTS_TST, KeyPop, Negative (FY23 Targets)</t>
  </si>
  <si>
    <t xml:space="preserve">Yield (FY24) (%)</t>
  </si>
  <si>
    <t xml:space="preserve">KeyPop, Positive (FY24)</t>
  </si>
  <si>
    <t xml:space="preserve">KeyPop, Negative (FY24)</t>
  </si>
  <si>
    <t xml:space="preserve">Aggregate Recency Test Coverage (FY24) (%)</t>
  </si>
  <si>
    <t xml:space="preserve">HTS_RECENT - KeyPop (FY24)</t>
  </si>
  <si>
    <t xml:space="preserve">HTS_SELF - KeyPop (FY23 Targets)</t>
  </si>
  <si>
    <t xml:space="preserve">HTS_SELF - KeyPop (FY24)</t>
  </si>
  <si>
    <t xml:space="preserve">qFyJH6fUPQk</t>
  </si>
  <si>
    <t xml:space="preserve">LADGHYIE9m1</t>
  </si>
  <si>
    <t xml:space="preserve">P3AT3zcyRhU</t>
  </si>
  <si>
    <t xml:space="preserve">bwlf1Jfww0L</t>
  </si>
  <si>
    <t xml:space="preserve">lXqlw8UxoqF</t>
  </si>
  <si>
    <t xml:space="preserve">wDWUutgeEX8</t>
  </si>
  <si>
    <t xml:space="preserve">ScQASwweWXL</t>
  </si>
  <si>
    <t xml:space="preserve">OLbhrUez4dP</t>
  </si>
  <si>
    <t xml:space="preserve">ktZYUSS0Zjo</t>
  </si>
  <si>
    <t xml:space="preserve">P9OjdVVMHMW</t>
  </si>
  <si>
    <t xml:space="preserve">tGtB1nLnQjC</t>
  </si>
  <si>
    <t xml:space="preserve">ef1o9r1kDIH</t>
  </si>
  <si>
    <t xml:space="preserve">y42bZItNsea</t>
  </si>
  <si>
    <t xml:space="preserve">qL1qysWLZoq</t>
  </si>
  <si>
    <t xml:space="preserve">GlyNHRiJTOu</t>
  </si>
  <si>
    <t xml:space="preserve">gdHE7Kk9Q1k</t>
  </si>
  <si>
    <t xml:space="preserve">VRgwEePUvdD</t>
  </si>
  <si>
    <t xml:space="preserve">rEKqsIDMOgB</t>
  </si>
  <si>
    <t xml:space="preserve">uIqAr4ev05I</t>
  </si>
  <si>
    <t xml:space="preserve">SyQHN3Jpcww</t>
  </si>
  <si>
    <t xml:space="preserve">ZYB5AHSw7Tm</t>
  </si>
  <si>
    <t xml:space="preserve">Qshwh8ZOmYD</t>
  </si>
  <si>
    <t xml:space="preserve">MA4lEpgzAxS</t>
  </si>
  <si>
    <t xml:space="preserve">uZ2UTVh2wkJ</t>
  </si>
  <si>
    <t xml:space="preserve">Hx5jjGAdVsT</t>
  </si>
  <si>
    <t xml:space="preserve">Gb0GYkqotaO</t>
  </si>
  <si>
    <t xml:space="preserve">Coarse KPs</t>
  </si>
  <si>
    <t xml:space="preserve">KeyPop</t>
  </si>
  <si>
    <t xml:space="preserve">KP_ESTIMATES.Total.T_1</t>
  </si>
  <si>
    <t xml:space="preserve">KP_ESTIMATES.Pos.T_1</t>
  </si>
  <si>
    <t xml:space="preserve">KP_ESTIMATES.Prev.T_1</t>
  </si>
  <si>
    <t xml:space="preserve">PrEP_CT.KP.T_1</t>
  </si>
  <si>
    <t xml:space="preserve">PrEP_CT.KP.T</t>
  </si>
  <si>
    <t xml:space="preserve">PrEP_NEW.KP.T_1</t>
  </si>
  <si>
    <t xml:space="preserve">PrEP_NEW.KP.T</t>
  </si>
  <si>
    <t xml:space="preserve">KP_PREV.T_1</t>
  </si>
  <si>
    <t xml:space="preserve">KP_PREV.T</t>
  </si>
  <si>
    <t xml:space="preserve">TX_CURR.KP.R</t>
  </si>
  <si>
    <t xml:space="preserve">TX_CURR.KP.T_1</t>
  </si>
  <si>
    <t xml:space="preserve">TX_CURR.KP.Expected.T_1</t>
  </si>
  <si>
    <t xml:space="preserve">TX_CURR.KP.T</t>
  </si>
  <si>
    <t xml:space="preserve">TX_CURR_SUBNAT.KP.T</t>
  </si>
  <si>
    <t xml:space="preserve">PopART.KP.Rt.T_1</t>
  </si>
  <si>
    <t xml:space="preserve">TX_NEW.KP.T_1</t>
  </si>
  <si>
    <t xml:space="preserve">TX_RET.KP.Already.T</t>
  </si>
  <si>
    <t xml:space="preserve">TX_RET.KP.New.T</t>
  </si>
  <si>
    <t xml:space="preserve">TX_NET_NEW.KP.T</t>
  </si>
  <si>
    <t xml:space="preserve">TX_INITIATED.KP.T</t>
  </si>
  <si>
    <t xml:space="preserve">TX_INITIATED.KP.NewRt.T</t>
  </si>
  <si>
    <t xml:space="preserve">TX_NEW.KP.T</t>
  </si>
  <si>
    <t xml:space="preserve">TX_PVLS.D.KP.Rt.T</t>
  </si>
  <si>
    <t xml:space="preserve">TX_PVLS.D.KP.T</t>
  </si>
  <si>
    <t xml:space="preserve">TX_PVLS.N.KP.Rt</t>
  </si>
  <si>
    <t xml:space="preserve">TX_PVLS.N.KP.T</t>
  </si>
  <si>
    <t xml:space="preserve">HTS_TST.KP.Pos.T_1</t>
  </si>
  <si>
    <t xml:space="preserve">HTS_TST.KP.Neg.T_1</t>
  </si>
  <si>
    <t xml:space="preserve">HTS_TST.KP.Linkage.T</t>
  </si>
  <si>
    <t xml:space="preserve">HTS_TST.KP.Pos.Yield.T</t>
  </si>
  <si>
    <t xml:space="preserve">HTS_TST.KP.Pos.T</t>
  </si>
  <si>
    <t xml:space="preserve">HTS_TST.KP.Neg.T</t>
  </si>
  <si>
    <t xml:space="preserve">HTS_RECENT.KP.Rt.T</t>
  </si>
  <si>
    <t xml:space="preserve">HTS_RECENT.KP.T</t>
  </si>
  <si>
    <t xml:space="preserve">HTS_SELF.KP.T_1</t>
  </si>
  <si>
    <t xml:space="preserve">HTS_SELF.KP.T</t>
  </si>
  <si>
    <t xml:space="preserve">FSW</t>
  </si>
  <si>
    <t xml:space="preserve">MSM</t>
  </si>
  <si>
    <t xml:space="preserve">People in prisons and other enclosed settings</t>
  </si>
  <si>
    <t xml:space="preserve">PWID</t>
  </si>
  <si>
    <t xml:space="preserve">TG</t>
  </si>
  <si>
    <t xml:space="preserve">Year 2 Targets</t>
  </si>
  <si>
    <t xml:space="preserve">Testing Distribution</t>
  </si>
  <si>
    <t xml:space="preserve">All Other Indicators</t>
  </si>
  <si>
    <t xml:space="preserve">You may manually enter TX_CURR in column Q, or follow the optional Modeled ART section, as needed.</t>
  </si>
  <si>
    <t xml:space="preserve">FY24 Targets</t>
  </si>
  <si>
    <t xml:space="preserve">Modeled ART (Optional)</t>
  </si>
  <si>
    <t xml:space="preserve">VL Suppression</t>
  </si>
  <si>
    <t xml:space="preserve">FY24</t>
  </si>
  <si>
    <t xml:space="preserve">FY25</t>
  </si>
  <si>
    <t xml:space="preserve">PMTCT_STAT</t>
  </si>
  <si>
    <t xml:space="preserve">PMTCT_ART</t>
  </si>
  <si>
    <t xml:space="preserve">TB_STAT</t>
  </si>
  <si>
    <t xml:space="preserve">TB_ART</t>
  </si>
  <si>
    <t xml:space="preserve">VMMC_CIRC</t>
  </si>
  <si>
    <t xml:space="preserve">PrEP</t>
  </si>
  <si>
    <t xml:space="preserve">PP_PREV</t>
  </si>
  <si>
    <t xml:space="preserve">CXCA_SCRN</t>
  </si>
  <si>
    <t xml:space="preserve">TX_TB (D) </t>
  </si>
  <si>
    <t xml:space="preserve">TB_PREV (D)</t>
  </si>
  <si>
    <t xml:space="preserve">TB_PREV (N)</t>
  </si>
  <si>
    <t xml:space="preserve">OVC_SERV</t>
  </si>
  <si>
    <t xml:space="preserve">OVC_HIVSTAT</t>
  </si>
  <si>
    <t xml:space="preserve">AGYW_PREV</t>
  </si>
  <si>
    <t xml:space="preserve">KP_MAT</t>
  </si>
  <si>
    <t xml:space="preserve">GEND_GBV</t>
  </si>
  <si>
    <t xml:space="preserve">Total Positives (FY24)</t>
  </si>
  <si>
    <t xml:space="preserve">PLHIV
(FY24)</t>
  </si>
  <si>
    <t xml:space="preserve">P.C. # on ART
(FY24)</t>
  </si>
  <si>
    <t xml:space="preserve">P.C. ART Coverage (ART/PLHIV)
(FY24)
(%)</t>
  </si>
  <si>
    <t xml:space="preserve">New Infections (FY25)</t>
  </si>
  <si>
    <t xml:space="preserve">PLHIV
(FY25)</t>
  </si>
  <si>
    <t xml:space="preserve">Targeted P.C. ART Coverage (ART/PLHIV)
(FY25)
(%)</t>
  </si>
  <si>
    <t xml:space="preserve">Targeted P.C. # on ART
(FY25)</t>
  </si>
  <si>
    <t xml:space="preserve">P.C. % ART clients at PEPFAR-supported sites (FY25) (%)</t>
  </si>
  <si>
    <t xml:space="preserve">TX_CURR (FY25)</t>
  </si>
  <si>
    <t xml:space="preserve">P.C. # on ART
(FY25)</t>
  </si>
  <si>
    <t xml:space="preserve">P.C. ART Coverage
(ART/PHIV)
(FY25)
(%)</t>
  </si>
  <si>
    <t xml:space="preserve">Retention - Already on ART (FY25)
(%)</t>
  </si>
  <si>
    <t xml:space="preserve">Retention - Initiated on ART (FY25)
(%)</t>
  </si>
  <si>
    <t xml:space="preserve">Initiated on ART
(FY25)</t>
  </si>
  <si>
    <t xml:space="preserve">% Initiated on ART that are TX Naïve (FY25) (%)</t>
  </si>
  <si>
    <t xml:space="preserve">TX_NEW (FY25)</t>
  </si>
  <si>
    <t xml:space="preserve">% Initiated on ART Eligible for VLT (FY25) (%)</t>
  </si>
  <si>
    <t xml:space="preserve">Eligible for VLT (FY25)</t>
  </si>
  <si>
    <t xml:space="preserve">Planned VLT Coverage (FY25) (%)</t>
  </si>
  <si>
    <t xml:space="preserve">TX_PVLS (D) Routine (FY25)</t>
  </si>
  <si>
    <t xml:space="preserve">Targeted VL Suppression Rate (FY25) (%)</t>
  </si>
  <si>
    <t xml:space="preserve">TX_PVLS (N) Routine (FY25)</t>
  </si>
  <si>
    <t xml:space="preserve">Targeted ART Linkage Rate (FY25) (%)</t>
  </si>
  <si>
    <t xml:space="preserve">PLHIV to Identify (HTS_TST_POS + PMTCT_HEI_POS) (FY25)</t>
  </si>
  <si>
    <t xml:space="preserve">PMTCT_STAT: New Positive (%)</t>
  </si>
  <si>
    <t xml:space="preserve">PMTCT Post ANC1: Positive (%)</t>
  </si>
  <si>
    <t xml:space="preserve">TB_STAT: New Positive (%)</t>
  </si>
  <si>
    <t xml:space="preserve">VMMC: New Positive (%)</t>
  </si>
  <si>
    <t xml:space="preserve">Active Index: Positive (%)</t>
  </si>
  <si>
    <t xml:space="preserve">Active SNS: Positive (%)</t>
  </si>
  <si>
    <t xml:space="preserve">Active Other: Positive (%)</t>
  </si>
  <si>
    <t xml:space="preserve">STI Clinic: Positive (%)</t>
  </si>
  <si>
    <t xml:space="preserve">Other Facility: Positive (%)</t>
  </si>
  <si>
    <t xml:space="preserve">Distribution Check (%)</t>
  </si>
  <si>
    <t xml:space="preserve">HTS_RECENT (FY24)</t>
  </si>
  <si>
    <t xml:space="preserve">Aggregate Recency Test Coverage (FY24)
(%)</t>
  </si>
  <si>
    <t xml:space="preserve">Aggregate Recency Test Coverage (FY25)
(%)</t>
  </si>
  <si>
    <t xml:space="preserve">HTS_RECENT (FY25)</t>
  </si>
  <si>
    <t xml:space="preserve">HTS_SELF (FY24)</t>
  </si>
  <si>
    <t xml:space="preserve">HTS_SELF (FY25)</t>
  </si>
  <si>
    <t xml:space="preserve">Change in HTS_SELF (%)</t>
  </si>
  <si>
    <t xml:space="preserve">PMTCT_STAT (N) - Known Positive (FY24)</t>
  </si>
  <si>
    <t xml:space="preserve">PMTCT_STAT (N) - New Positive (FY24)</t>
  </si>
  <si>
    <t xml:space="preserve">PMTCT_STAT (N) - New Negative (FY24)</t>
  </si>
  <si>
    <t xml:space="preserve">Total PMTCT_STAT (N) (FY24)</t>
  </si>
  <si>
    <t xml:space="preserve">PMTCT_STAT (N) - Known Positive (FY25)</t>
  </si>
  <si>
    <t xml:space="preserve">PMTCT_STAT (N) - New Positive (FY25)</t>
  </si>
  <si>
    <t xml:space="preserve">PMTCT_STAT (N) - New Negative (FY25)</t>
  </si>
  <si>
    <t xml:space="preserve">Total PMTCT_STAT (N) (FY25)</t>
  </si>
  <si>
    <t xml:space="preserve">Change in PMTCT_STAT (N) Total (%)</t>
  </si>
  <si>
    <t xml:space="preserve">Already on ART (FY24)</t>
  </si>
  <si>
    <t xml:space="preserve">New on ART (FY24)</t>
  </si>
  <si>
    <t xml:space="preserve">Already on ART (FY25)</t>
  </si>
  <si>
    <t xml:space="preserve">New on ART (FY25)</t>
  </si>
  <si>
    <t xml:space="preserve">Known HIV+ (FY24)</t>
  </si>
  <si>
    <t xml:space="preserve">New Positive (FY24)</t>
  </si>
  <si>
    <t xml:space="preserve">New Negative (FY24)</t>
  </si>
  <si>
    <t xml:space="preserve">Total TB_STAT (N) (FY24)</t>
  </si>
  <si>
    <t xml:space="preserve">Known HIV+ (FY25)</t>
  </si>
  <si>
    <t xml:space="preserve">New Positive (FY25)</t>
  </si>
  <si>
    <t xml:space="preserve">New Negative (FY25)</t>
  </si>
  <si>
    <t xml:space="preserve">Total TB_STAT (N) (FY25)</t>
  </si>
  <si>
    <t xml:space="preserve">Change in TB_STAT (N) Total (%)</t>
  </si>
  <si>
    <t xml:space="preserve">Not Tested by PEPFAR (FY24)</t>
  </si>
  <si>
    <t xml:space="preserve">HIV Positive (FY24)</t>
  </si>
  <si>
    <t xml:space="preserve">HIV Negative (FY24)</t>
  </si>
  <si>
    <t xml:space="preserve">Total VMMC_CIRC (FY24)</t>
  </si>
  <si>
    <t xml:space="preserve">Not Tested by PEPFAR (FY25)</t>
  </si>
  <si>
    <t xml:space="preserve">HIV Positive (FY25)</t>
  </si>
  <si>
    <t xml:space="preserve">HIV Negative (FY25)</t>
  </si>
  <si>
    <t xml:space="preserve">Total VMMC_CIRC (FY25)</t>
  </si>
  <si>
    <t xml:space="preserve">Change in VMMC_CIRC (N) Total (%)</t>
  </si>
  <si>
    <t xml:space="preserve">PrEP_NEW (FY24)</t>
  </si>
  <si>
    <t xml:space="preserve">PrEP_CT (FY24)</t>
  </si>
  <si>
    <t xml:space="preserve">PrEP_NEW (FY25)</t>
  </si>
  <si>
    <t xml:space="preserve">PrEP_CT (FY25)</t>
  </si>
  <si>
    <t xml:space="preserve">Change in PrEP_NEW (%)</t>
  </si>
  <si>
    <t xml:space="preserve">Change in PrEP_CT (%)</t>
  </si>
  <si>
    <t xml:space="preserve">PP_PREV (FY24)</t>
  </si>
  <si>
    <t xml:space="preserve">PP_PREV (FY25)</t>
  </si>
  <si>
    <t xml:space="preserve">Change in PP_PREV (%)</t>
  </si>
  <si>
    <t xml:space="preserve">KP_PREV (FY25)</t>
  </si>
  <si>
    <t xml:space="preserve">Change in KP_PREV (%)</t>
  </si>
  <si>
    <t xml:space="preserve">CXCA_SCRN (FY24)</t>
  </si>
  <si>
    <t xml:space="preserve">Overall CXCA_SCRN Coverage (FY24) (%)</t>
  </si>
  <si>
    <t xml:space="preserve">CXCA_SCRN Coverage - Already on ART (FY25) (%)</t>
  </si>
  <si>
    <t xml:space="preserve">CXCA_SCRN Coverage - Initiated on ART (FY25) (%)</t>
  </si>
  <si>
    <t xml:space="preserve">CXCA_SCRN (FY25)</t>
  </si>
  <si>
    <t xml:space="preserve">Overall CXCA_SCRN Coverage (FY25) (%)</t>
  </si>
  <si>
    <t xml:space="preserve">TX_TB (D) Coverage: Already on ART (FY24) (%)</t>
  </si>
  <si>
    <t xml:space="preserve">TX_TB (D) Coverage: New on ART (FY24) (%)</t>
  </si>
  <si>
    <t xml:space="preserve">Targeted Coverage: Already on ART (FY25) (%)</t>
  </si>
  <si>
    <t xml:space="preserve">Targeted Coverage: New on ART (FY25) (%)</t>
  </si>
  <si>
    <t xml:space="preserve">Est. TB Screen Positivity Rate: Already on ART (FY25) (%)</t>
  </si>
  <si>
    <t xml:space="preserve">Est. TB Screen Positivity Rate: New on ART (FY25) (%)</t>
  </si>
  <si>
    <t xml:space="preserve">Already on ART, TB Screen + (FY25)</t>
  </si>
  <si>
    <t xml:space="preserve">Already on ART, TB Screen - (FY25)</t>
  </si>
  <si>
    <t xml:space="preserve">New on ART, TB Screen + (FY25)</t>
  </si>
  <si>
    <t xml:space="preserve">New on ART, TB Screen - (FY25)</t>
  </si>
  <si>
    <t xml:space="preserve">Est. total # completed TPT in last 8 years (FY25)</t>
  </si>
  <si>
    <t xml:space="preserve">Est. % Eligible for TPT among Already on ART, TB Screen - (FY25) (%)</t>
  </si>
  <si>
    <t xml:space="preserve">% TPT Initiation Rate - Already on ART (FY25) (%)</t>
  </si>
  <si>
    <t xml:space="preserve">% TPT Initiation Rate - New on ART (FY25) (%)</t>
  </si>
  <si>
    <t xml:space="preserve">TB_PREV (D): Already on ART (FY25)</t>
  </si>
  <si>
    <t xml:space="preserve">TB_PREV (D): New on ART (FY25)</t>
  </si>
  <si>
    <t xml:space="preserve">Targeted TPT Completion (%) (FY25)</t>
  </si>
  <si>
    <t xml:space="preserve">TB_PREV (N): Already on ART (FY25)</t>
  </si>
  <si>
    <t xml:space="preserve">TB_PREV (N): New on ART (FY25)</t>
  </si>
  <si>
    <t xml:space="preserve">DREAMS (FY24)</t>
  </si>
  <si>
    <t xml:space="preserve">Preventive (FY24)</t>
  </si>
  <si>
    <t xml:space="preserve">Comprehensive - Graduated (FY24)</t>
  </si>
  <si>
    <t xml:space="preserve">Comprehensive - Active (FY24)</t>
  </si>
  <si>
    <t xml:space="preserve">DREAMS (FY25)</t>
  </si>
  <si>
    <t xml:space="preserve">Preventive (FY25)</t>
  </si>
  <si>
    <t xml:space="preserve">Comprehensive - Graduated (FY25)</t>
  </si>
  <si>
    <t xml:space="preserve">Comprehensive - Active (FY25)</t>
  </si>
  <si>
    <t xml:space="preserve">Change in DREAMS (FY25) (%)</t>
  </si>
  <si>
    <t xml:space="preserve">Change in Preventive (FY25) (%)</t>
  </si>
  <si>
    <t xml:space="preserve">Change in Comprehensive - Graduated (FY25) (%)</t>
  </si>
  <si>
    <t xml:space="preserve">Change in Comprehensive - Active (FY25) (%)</t>
  </si>
  <si>
    <t xml:space="preserve">Targeted % Comprehensive OVC (&lt;18) with reported HIV Status (FY24) (%)</t>
  </si>
  <si>
    <t xml:space="preserve"># OVC with reported HIV Status (FY24)</t>
  </si>
  <si>
    <t xml:space="preserve">AGYW_PREV (D) (FY24)</t>
  </si>
  <si>
    <t xml:space="preserve">AGYW_PREV (N) (FY24)</t>
  </si>
  <si>
    <t xml:space="preserve">AGYW_PREV (D) (FY25)</t>
  </si>
  <si>
    <t xml:space="preserve">AGYW_PREV (N) (FY25)</t>
  </si>
  <si>
    <t xml:space="preserve">Change in AGYW_PREV (D) (FY25) (%)</t>
  </si>
  <si>
    <t xml:space="preserve">Change in AGYW_PREV (N) (FY25) (%)</t>
  </si>
  <si>
    <t xml:space="preserve">KP_MAT (FY24)</t>
  </si>
  <si>
    <t xml:space="preserve">KP_MAT (FY25)</t>
  </si>
  <si>
    <t xml:space="preserve">Change in KP_MAT (FY25) (%)</t>
  </si>
  <si>
    <t xml:space="preserve">GEND_GBV (FY24)</t>
  </si>
  <si>
    <t xml:space="preserve">GEND_GBV (FY25)</t>
  </si>
  <si>
    <t xml:space="preserve">Change in GEND_GBV (FY25) (%)</t>
  </si>
  <si>
    <t xml:space="preserve">iwSejvD8cXl.{KP}LADGHYIE9m1</t>
  </si>
  <si>
    <t xml:space="preserve">di4b6joXm84.{KP}OLbhrUez4dP</t>
  </si>
  <si>
    <t xml:space="preserve">vmfKLKi1NBA.{KP}ktZYUSS0Zjo</t>
  </si>
  <si>
    <t xml:space="preserve">WpZwPieQ060.{KP}P9OjdVVMHMW</t>
  </si>
  <si>
    <t xml:space="preserve">N55pM5ZuWcI.{KP}tGtB1nLnQjC</t>
  </si>
  <si>
    <t xml:space="preserve">{EID}euzbW4INAqn.{KP}ef1o9r1kDIH</t>
  </si>
  <si>
    <t xml:space="preserve">Qdn0vmNSflO</t>
  </si>
  <si>
    <t xml:space="preserve">dd2WtJJxFYj</t>
  </si>
  <si>
    <t xml:space="preserve">tqP00nubcdo</t>
  </si>
  <si>
    <t xml:space="preserve">jCfFnI5DZST</t>
  </si>
  <si>
    <t xml:space="preserve">U0WZIWZ2oLm</t>
  </si>
  <si>
    <t xml:space="preserve">QPXR0jhU2zo</t>
  </si>
  <si>
    <t xml:space="preserve">E8v5iyap5SV</t>
  </si>
  <si>
    <t xml:space="preserve">JDdf06ZTwyz</t>
  </si>
  <si>
    <t xml:space="preserve">X1sIFjE7Zf5</t>
  </si>
  <si>
    <t xml:space="preserve">SsqfZeIs1Va.{KP}y42bZItNsea</t>
  </si>
  <si>
    <t xml:space="preserve">r9N46a1q942.{KP}qL1qysWLZoq</t>
  </si>
  <si>
    <t xml:space="preserve">qesr9meNVYc</t>
  </si>
  <si>
    <t xml:space="preserve">hJeWl5XjzgM</t>
  </si>
  <si>
    <t xml:space="preserve">rXV784LlUQ4.{KP}lXqlw8UxoqF</t>
  </si>
  <si>
    <t xml:space="preserve">agoURWZyPpn.{KP}bwlf1Jfww0L</t>
  </si>
  <si>
    <t xml:space="preserve">LpkXILJwnmO</t>
  </si>
  <si>
    <t xml:space="preserve">hfR9r70Fk99</t>
  </si>
  <si>
    <t xml:space="preserve">BeEA8PsZ8Ky</t>
  </si>
  <si>
    <t xml:space="preserve">L3qltmjNtSr</t>
  </si>
  <si>
    <t xml:space="preserve">DA7uTAScxxi</t>
  </si>
  <si>
    <t xml:space="preserve">j3NQAv8Fe3v</t>
  </si>
  <si>
    <t xml:space="preserve">NbvZdpPzNf6</t>
  </si>
  <si>
    <t xml:space="preserve">HVzzfyVVIs1.cx8hxarh4Ke</t>
  </si>
  <si>
    <t xml:space="preserve">TqpIEl7LfV7</t>
  </si>
  <si>
    <t xml:space="preserve">HO5wSDKttn3</t>
  </si>
  <si>
    <t xml:space="preserve">tSYnSvSK200</t>
  </si>
  <si>
    <t xml:space="preserve">gG0fbMLqEB5</t>
  </si>
  <si>
    <t xml:space="preserve">N4sS65QUOP3</t>
  </si>
  <si>
    <t xml:space="preserve">KM4dyooZHUP.{KP}KM4dyooZHUP</t>
  </si>
  <si>
    <t xml:space="preserve">rGptWqlhaVU.KM4dyooZHUP.{KP}KM4dyooZHUP</t>
  </si>
  <si>
    <t xml:space="preserve">{EID}J4SQd7SnDi2.pbXCUjm50XK.{KP}KM4dyooZHUP</t>
  </si>
  <si>
    <t xml:space="preserve">Vr59uUJBySG</t>
  </si>
  <si>
    <t xml:space="preserve">rSKP7Z85FX9.KM4dyooZHUP</t>
  </si>
  <si>
    <t xml:space="preserve">udcRwufEXFQ.KM4dyooZHUP</t>
  </si>
  <si>
    <t xml:space="preserve">rSKP7Z85FX9.FNsYVm36CYM.KM4dyooZHUP</t>
  </si>
  <si>
    <t xml:space="preserve">rSKP7Z85FX9.xv3iwsb4m3m.KM4dyooZHUP</t>
  </si>
  <si>
    <t xml:space="preserve">udcRwufEXFQ.FNsYVm36CYM.KM4dyooZHUP</t>
  </si>
  <si>
    <t xml:space="preserve">udcRwufEXFQ.xv3iwsb4m3m.KM4dyooZHUP</t>
  </si>
  <si>
    <t xml:space="preserve">q1ViBVu6waQ</t>
  </si>
  <si>
    <t xml:space="preserve">PohP5DBPfMs</t>
  </si>
  <si>
    <t xml:space="preserve">AjOFwnjVTTm</t>
  </si>
  <si>
    <t xml:space="preserve">YSe4riCTiZv</t>
  </si>
  <si>
    <t xml:space="preserve">10 yr, 10+</t>
  </si>
  <si>
    <t xml:space="preserve">10 yr, 15+</t>
  </si>
  <si>
    <t xml:space="preserve">10 yr, 25-49</t>
  </si>
  <si>
    <t xml:space="preserve">Coarse Ages</t>
  </si>
  <si>
    <t xml:space="preserve">&lt;01-18+ (OVC &amp; Caregivers)</t>
  </si>
  <si>
    <t xml:space="preserve">&lt;01-17 (OVC)</t>
  </si>
  <si>
    <t xml:space="preserve">5 yr, 10-29</t>
  </si>
  <si>
    <t xml:space="preserve">Females</t>
  </si>
  <si>
    <t xml:space="preserve">Males</t>
  </si>
  <si>
    <t xml:space="preserve">Indicator Group</t>
  </si>
  <si>
    <t xml:space="preserve">PopART.Rt.M2</t>
  </si>
  <si>
    <t xml:space="preserve">TX_CURR_SUBNAT.M2</t>
  </si>
  <si>
    <t xml:space="preserve">TX_CURR.NatlContr.T2</t>
  </si>
  <si>
    <t xml:space="preserve">TX_CURR.T2</t>
  </si>
  <si>
    <t xml:space="preserve">TX_CURR_SUBNAT.T2</t>
  </si>
  <si>
    <t xml:space="preserve">PopART.Rt.T2</t>
  </si>
  <si>
    <t xml:space="preserve">TX_RET.Already.T2</t>
  </si>
  <si>
    <t xml:space="preserve">TX_RET.New.T2</t>
  </si>
  <si>
    <t xml:space="preserve">TX_INITIATED.T2</t>
  </si>
  <si>
    <t xml:space="preserve">TX_INITIATED.NewRt.T2</t>
  </si>
  <si>
    <t xml:space="preserve">TX_NEW.T2</t>
  </si>
  <si>
    <t xml:space="preserve">EVLT.Rt.T2</t>
  </si>
  <si>
    <t xml:space="preserve">EVLT.T2</t>
  </si>
  <si>
    <t xml:space="preserve">TX_PVLS.D.Rt.T2</t>
  </si>
  <si>
    <t xml:space="preserve">TX_PVLS.D.Routine.T2</t>
  </si>
  <si>
    <t xml:space="preserve">TX_PVLS.N.Rt.T2</t>
  </si>
  <si>
    <t xml:space="preserve">TX_PVLS.N.Routine.T2</t>
  </si>
  <si>
    <t xml:space="preserve">HTS_TST.Linkage.T2</t>
  </si>
  <si>
    <t xml:space="preserve">HTS_TST.Pos.Total_With_HEI.T2</t>
  </si>
  <si>
    <t xml:space="preserve">HTS_TST.PMTCT.Pos.Share.T</t>
  </si>
  <si>
    <t xml:space="preserve">HTS_TST.PostANC1.Pos.Share.T</t>
  </si>
  <si>
    <t xml:space="preserve">HTS_TST.TB.Pos.Share.T</t>
  </si>
  <si>
    <t xml:space="preserve">HTS_TST.VMMC.Pos.Share.T</t>
  </si>
  <si>
    <t xml:space="preserve">HTS_TST.Index.Pos.Share.T</t>
  </si>
  <si>
    <t xml:space="preserve">HTS_TST.SNS.Pos.Share.T</t>
  </si>
  <si>
    <t xml:space="preserve">HTS_TST.ActiveOther.Pos.Share.T</t>
  </si>
  <si>
    <t xml:space="preserve">HTS_TST.STI.Pos.Share.T</t>
  </si>
  <si>
    <t xml:space="preserve">HTS_TST.Other.Pos.Share.T</t>
  </si>
  <si>
    <t xml:space="preserve">HTS_TST.PMTCT.Pos.Share.T2</t>
  </si>
  <si>
    <t xml:space="preserve">HTS_TST.PostANC1.Pos.Share.T2</t>
  </si>
  <si>
    <t xml:space="preserve">HTS_TST.TB.Pos.Share.T2</t>
  </si>
  <si>
    <t xml:space="preserve">HTS_TST.VMMC.Pos.Share.T2</t>
  </si>
  <si>
    <t xml:space="preserve">HTS_TST.Index.Pos.Share.T2</t>
  </si>
  <si>
    <t xml:space="preserve">HTS_TST.SNS.Pos.Share.T2</t>
  </si>
  <si>
    <t xml:space="preserve">HTS_TST.ActiveOther.Pos.Share.T2</t>
  </si>
  <si>
    <t xml:space="preserve">HTS_TST.STI.Pos.Share.T2</t>
  </si>
  <si>
    <t xml:space="preserve">HTS_TST.Other.Pos.Share.T2</t>
  </si>
  <si>
    <t xml:space="preserve">HTS_TST.Pos.DistCheck.T2</t>
  </si>
  <si>
    <t xml:space="preserve">HTS_RECENT.T</t>
  </si>
  <si>
    <t xml:space="preserve">HTS_RECENT.Rt.T</t>
  </si>
  <si>
    <t xml:space="preserve">HTS_RECENT.Rt.T2</t>
  </si>
  <si>
    <t xml:space="preserve">HTS_RECENT.T2</t>
  </si>
  <si>
    <t xml:space="preserve">HTS_SELF.T</t>
  </si>
  <si>
    <t xml:space="preserve">HTS_SELF.T2</t>
  </si>
  <si>
    <t xml:space="preserve">HTS_SELF.Change.T2</t>
  </si>
  <si>
    <t xml:space="preserve">PMTCT_STAT.Linkage.T2</t>
  </si>
  <si>
    <t xml:space="preserve">PMTCT_ART.Already.T2</t>
  </si>
  <si>
    <t xml:space="preserve">PMTCT_ART.New.T2</t>
  </si>
  <si>
    <t xml:space="preserve">TB_STAT.Linkage.T2</t>
  </si>
  <si>
    <t xml:space="preserve">TB_ART.Already.T2</t>
  </si>
  <si>
    <t xml:space="preserve">TB_ART.New.T2</t>
  </si>
  <si>
    <t xml:space="preserve">PrEP_NEW.T</t>
  </si>
  <si>
    <t xml:space="preserve">PrEP_CT.T</t>
  </si>
  <si>
    <t xml:space="preserve">PrEP_NEW.T2</t>
  </si>
  <si>
    <t xml:space="preserve">PrEP_CT.T2</t>
  </si>
  <si>
    <t xml:space="preserve">PrEP_NEW.Change.T2</t>
  </si>
  <si>
    <t xml:space="preserve">PrEP_CT.Change.T2</t>
  </si>
  <si>
    <t xml:space="preserve">PP_PREV.T</t>
  </si>
  <si>
    <t xml:space="preserve">PP_PREV.T2</t>
  </si>
  <si>
    <t xml:space="preserve">PP_PREV.Change.T2</t>
  </si>
  <si>
    <t xml:space="preserve">KP_PREV.T2</t>
  </si>
  <si>
    <t xml:space="preserve">KP_PREV.Change.T2</t>
  </si>
  <si>
    <t xml:space="preserve">CXCA_SCRN.T</t>
  </si>
  <si>
    <t xml:space="preserve">CXCA_SCRN.Coverage.T</t>
  </si>
  <si>
    <t xml:space="preserve">CXCA_SCRN.Coverage.Already.T2</t>
  </si>
  <si>
    <t xml:space="preserve">CXCA_SCRN.Coverage.Initiated.T2</t>
  </si>
  <si>
    <t xml:space="preserve">CXCA_SCRN.T2</t>
  </si>
  <si>
    <t xml:space="preserve">CXCA_SCRN.Coverage.T2</t>
  </si>
  <si>
    <t xml:space="preserve">TX_TB.D.New.Cov.T</t>
  </si>
  <si>
    <t xml:space="preserve">TX_TB.D.Already.Cov.T</t>
  </si>
  <si>
    <t xml:space="preserve">TX_TB.D.New.Cov.T2</t>
  </si>
  <si>
    <t xml:space="preserve">TX_TB.D.Already.Cov.T2</t>
  </si>
  <si>
    <t xml:space="preserve">TX_TB.D.Already.Yield.T2</t>
  </si>
  <si>
    <t xml:space="preserve">TX_TB.D.New.Yield.T2</t>
  </si>
  <si>
    <t xml:space="preserve">TX_TB.D.Already.Pos.T2</t>
  </si>
  <si>
    <t xml:space="preserve">TX_TB.D.Already.Neg.T2</t>
  </si>
  <si>
    <t xml:space="preserve">TX_TB.D.New.Pos.T2</t>
  </si>
  <si>
    <t xml:space="preserve">TX_TB.D.New.Neg.T2</t>
  </si>
  <si>
    <t xml:space="preserve">TX_TB.D.Already.Ineligible.T2</t>
  </si>
  <si>
    <t xml:space="preserve">TX_TB.D.Already.Eligible.T2</t>
  </si>
  <si>
    <t xml:space="preserve">TX_TB.D.Already.Neg.Linkage.T2</t>
  </si>
  <si>
    <t xml:space="preserve">TX_TB.D.New.Neg.Linkage.T2</t>
  </si>
  <si>
    <t xml:space="preserve">TB_PREV.D.Already.T2</t>
  </si>
  <si>
    <t xml:space="preserve">TB_PREV.D.New.T2</t>
  </si>
  <si>
    <t xml:space="preserve">TB_PREV.N.Rt.T2</t>
  </si>
  <si>
    <t xml:space="preserve">TB_PREV.N.Already.T2</t>
  </si>
  <si>
    <t xml:space="preserve">TB_PREV.N.New.T2</t>
  </si>
  <si>
    <t xml:space="preserve">OVC_SERV.DREAMS.T</t>
  </si>
  <si>
    <t xml:space="preserve">OVC_SERV.Prev.T</t>
  </si>
  <si>
    <t xml:space="preserve">OVC_SERV.Grad.T</t>
  </si>
  <si>
    <t xml:space="preserve">OVC_SERV.Active.T</t>
  </si>
  <si>
    <t xml:space="preserve">OVC_SERV.DREAMS.T2</t>
  </si>
  <si>
    <t xml:space="preserve">OVC_SERV.Prev.T2</t>
  </si>
  <si>
    <t xml:space="preserve">OVC_SERV.Grad.T2</t>
  </si>
  <si>
    <t xml:space="preserve">OVC_SERV.Active.T2</t>
  </si>
  <si>
    <t xml:space="preserve">OVC_SERV.DREAMS.Change.T2</t>
  </si>
  <si>
    <t xml:space="preserve">OVC_SERV.Prev.Change.T2</t>
  </si>
  <si>
    <t xml:space="preserve">OVC_SERV.Grad.Change.T2</t>
  </si>
  <si>
    <t xml:space="preserve">OVC_SERV.Active.Change.T2</t>
  </si>
  <si>
    <t xml:space="preserve">OVC_HIVSTAT.Rt.T2</t>
  </si>
  <si>
    <t xml:space="preserve">OVC_HIVSTAT.T2</t>
  </si>
  <si>
    <t xml:space="preserve">AGYW_PREV.D.T</t>
  </si>
  <si>
    <t xml:space="preserve">AGYW_PREV.N.T</t>
  </si>
  <si>
    <t xml:space="preserve">AGYW_PREV.D.T2</t>
  </si>
  <si>
    <t xml:space="preserve">AGYW_PREV.N.T2</t>
  </si>
  <si>
    <t xml:space="preserve">AGYW_PREV.D.Change.T2</t>
  </si>
  <si>
    <t xml:space="preserve">AGYW_PREV.N.Change.T2</t>
  </si>
  <si>
    <t xml:space="preserve">KP_MAT.T</t>
  </si>
  <si>
    <t xml:space="preserve">KP_MAT.T2</t>
  </si>
  <si>
    <t xml:space="preserve">KP_MAT.Change.T2</t>
  </si>
  <si>
    <t xml:space="preserve">GEND_GBV.T</t>
  </si>
  <si>
    <t xml:space="preserve">GEND_GBV.T2</t>
  </si>
  <si>
    <t xml:space="preserve">GEND_GBV.Change.T2</t>
  </si>
  <si>
    <t xml:space="preserve">TB</t>
  </si>
  <si>
    <t xml:space="preserve">&lt;15</t>
  </si>
  <si>
    <t xml:space="preserve">15+</t>
  </si>
  <si>
    <t xml:space="preserve">OVC</t>
  </si>
  <si>
    <t xml:space="preserve">01-04</t>
  </si>
  <si>
    <t xml:space="preserve">05-09</t>
  </si>
  <si>
    <t xml:space="preserve">15-17</t>
  </si>
  <si>
    <t xml:space="preserve">18-20</t>
  </si>
  <si>
    <t xml:space="preserve">18+</t>
  </si>
  <si>
    <t xml:space="preserve">AGYW</t>
  </si>
  <si>
    <t xml:space="preserve">15-19</t>
  </si>
  <si>
    <t xml:space="preserve">20-24</t>
  </si>
  <si>
    <t xml:space="preserve">25-29</t>
  </si>
  <si>
    <t xml:space="preserve">GEND</t>
  </si>
  <si>
    <t xml:space="preserve">PMTCT_STAT &amp; PMTCT_ART</t>
  </si>
  <si>
    <t xml:space="preserve">Partner Country (P.C.) Context</t>
  </si>
  <si>
    <t xml:space="preserve">New ANC Clients</t>
  </si>
  <si>
    <t xml:space="preserve">ANC1 Testing - PEPFAR</t>
  </si>
  <si>
    <t xml:space="preserve">ANC1 Testing - Partner Country</t>
  </si>
  <si>
    <t xml:space="preserve">ART - PEPFAR</t>
  </si>
  <si>
    <t xml:space="preserve">ART - Partner Country</t>
  </si>
  <si>
    <t xml:space="preserve">Post ANC1</t>
  </si>
  <si>
    <t xml:space="preserve">Testing Rationalization</t>
  </si>
  <si>
    <t xml:space="preserve">To shut off PMTCT_STAT entirely:
1. Replace all % change values in column T with -100%.</t>
  </si>
  <si>
    <t xml:space="preserve">P.C. Est. Female Population (FY23)</t>
  </si>
  <si>
    <t xml:space="preserve">P.C. Est. PLHIV (FY23)</t>
  </si>
  <si>
    <t xml:space="preserve">P.C. Est. # on ART (FY23)</t>
  </si>
  <si>
    <t xml:space="preserve">P.C. Est. ART Coverage (ART/PLHIV) (FY23) (%)</t>
  </si>
  <si>
    <t xml:space="preserve">P.C. New ANC Clients (FY23)</t>
  </si>
  <si>
    <t xml:space="preserve">P.C. ANC Clients - Known Positive (FY23)</t>
  </si>
  <si>
    <t xml:space="preserve">P.C. ANC Clients - New Positive (FY23)</t>
  </si>
  <si>
    <t xml:space="preserve">P.C. ANC Clients - New Negative (FY23)</t>
  </si>
  <si>
    <t xml:space="preserve">P.C. HIV-positive pregnant women (FY23)</t>
  </si>
  <si>
    <t xml:space="preserve">P.C. ANC Clients - Already on ART (FY23)</t>
  </si>
  <si>
    <t xml:space="preserve">P.C. ANC Clients - New on ART (FY23)</t>
  </si>
  <si>
    <t xml:space="preserve">PMTCT_STAT (D) (FY23)</t>
  </si>
  <si>
    <t xml:space="preserve">Expected change in new ANC clients (%)</t>
  </si>
  <si>
    <t xml:space="preserve">PMTCT_STAT (D) (FY24)</t>
  </si>
  <si>
    <t xml:space="preserve">P.C. % ANC clients served at PEPFAR-supported sites (FY24) (%)</t>
  </si>
  <si>
    <t xml:space="preserve">P.C. PMTCT_STAT_SUBNAT (D) (FY24)</t>
  </si>
  <si>
    <t xml:space="preserve"> % ANC1 clients Known HIV+ (FY22 Results) (%)</t>
  </si>
  <si>
    <t xml:space="preserve">% ANC1 clients Known HIV+ (FY24) (%)</t>
  </si>
  <si>
    <t xml:space="preserve">Yield among Newly Tested ANC1 clients (FY22 Results) (%)</t>
  </si>
  <si>
    <t xml:space="preserve">Yield among Newly Tested ANC1 clients (FY24) (%)</t>
  </si>
  <si>
    <t xml:space="preserve">Total P.C. PMTCT_STAT_SUBNAT (N) (FY24)</t>
  </si>
  <si>
    <t xml:space="preserve">P.C. PMTCT_STAT_SUBNAT (N) - Known Positive (FY24)</t>
  </si>
  <si>
    <t xml:space="preserve">P.C. PMTCT_STAT_SUBNAT (N) - New Positive (FY24)</t>
  </si>
  <si>
    <t xml:space="preserve">P.C. PMTCT_STAT_SUBNAT (N) - New Negative (FY24)</t>
  </si>
  <si>
    <t xml:space="preserve">P.C. HIV+ Pregnant Women (FY24)</t>
  </si>
  <si>
    <t xml:space="preserve">P.C. HIV+ Pregnant Women Already on ART (FY24)</t>
  </si>
  <si>
    <t xml:space="preserve">P.C. HIV+ Pregnant Women New on ART (FY24)</t>
  </si>
  <si>
    <t xml:space="preserve">Total eligible for Post ANC1 retesting (FY24)</t>
  </si>
  <si>
    <t xml:space="preserve">Yield
(FY22 Results)
(%)</t>
  </si>
  <si>
    <t xml:space="preserve">Yield
(FY24) (%)</t>
  </si>
  <si>
    <t xml:space="preserve">Positive (FY24)</t>
  </si>
  <si>
    <t xml:space="preserve">Negative (FY24)</t>
  </si>
  <si>
    <t xml:space="preserve">Linked to ART (FY24)</t>
  </si>
  <si>
    <t xml:space="preserve">Total PMTCT: Positives (ANC1 + Post ANC1, incl. Known Pos) (FY24)</t>
  </si>
  <si>
    <t xml:space="preserve">Total HTS_TST_POS (FY24)</t>
  </si>
  <si>
    <t xml:space="preserve">Total New Positives from PMTCT_STAT ANC1 (FY24)</t>
  </si>
  <si>
    <t xml:space="preserve">Total New Positives from PMTCT Post ANC1 (FY24)</t>
  </si>
  <si>
    <t xml:space="preserve">Total New Positives from TB_STAT (FY24)</t>
  </si>
  <si>
    <t xml:space="preserve">Total Positives from All Other Modalities (FY24)</t>
  </si>
  <si>
    <t xml:space="preserve">jdFCj4dEvIK</t>
  </si>
  <si>
    <t xml:space="preserve">thhkv2dmiuc</t>
  </si>
  <si>
    <t xml:space="preserve">jaX3SUTcIki</t>
  </si>
  <si>
    <t xml:space="preserve">LvwJYdp0Jmr</t>
  </si>
  <si>
    <t xml:space="preserve">f10j57Ifd7k</t>
  </si>
  <si>
    <t xml:space="preserve">bu3sosk4HWn</t>
  </si>
  <si>
    <t xml:space="preserve">mfYq3HGUIX3</t>
  </si>
  <si>
    <t xml:space="preserve">vsudHZwmvb2</t>
  </si>
  <si>
    <t xml:space="preserve">CrhtWrSnb2D</t>
  </si>
  <si>
    <t xml:space="preserve">LvheCKbuFJZ</t>
  </si>
  <si>
    <t xml:space="preserve">BiB1MtA7o4A</t>
  </si>
  <si>
    <t xml:space="preserve">PMTCT_STAT_SUBNAT.N.KnownPos.T_1</t>
  </si>
  <si>
    <t xml:space="preserve">PMTCT_STAT.D.T_1</t>
  </si>
  <si>
    <t xml:space="preserve">PMTCT_STAT.D.Growth.T</t>
  </si>
  <si>
    <t xml:space="preserve">PMTCT_STAT.D.T</t>
  </si>
  <si>
    <t xml:space="preserve">PMTCT_STAT.D.NatlContr.T</t>
  </si>
  <si>
    <t xml:space="preserve">PMTCT_STAT_SUBNAT.D.T</t>
  </si>
  <si>
    <t xml:space="preserve">PMTCT_STAT.N.KnownPosRt.R</t>
  </si>
  <si>
    <t xml:space="preserve">PMTCT_STAT.N.KnownPosRt.T</t>
  </si>
  <si>
    <t xml:space="preserve">PMTCT_STAT.N.New.Yield.R</t>
  </si>
  <si>
    <t xml:space="preserve">PMTCT_STAT.N.New.Yield.T</t>
  </si>
  <si>
    <t xml:space="preserve">PMTCT_STAT.N.T</t>
  </si>
  <si>
    <t xml:space="preserve">PMTCT_STAT.N.KnownPos.T</t>
  </si>
  <si>
    <t xml:space="preserve">PMTCT_STAT.N.New.Pos.T</t>
  </si>
  <si>
    <t xml:space="preserve">PMTCT_STAT.N.New.Neg.T</t>
  </si>
  <si>
    <t xml:space="preserve">PMTCT_STAT_SUBNAT.N.T</t>
  </si>
  <si>
    <t xml:space="preserve">PMTCT_STAT_SUBNAT.N.KnownPos.T</t>
  </si>
  <si>
    <t xml:space="preserve">PMTCT_STAT_SUBNAT.N.New.Pos.T</t>
  </si>
  <si>
    <t xml:space="preserve">PMTCT_STAT_SUBNAT.N.New.Neg.T</t>
  </si>
  <si>
    <t xml:space="preserve">PMTCT_STAT.Linkage.T</t>
  </si>
  <si>
    <t xml:space="preserve">PMTCT_ART.Already.T</t>
  </si>
  <si>
    <t xml:space="preserve">PMTCT_ART.New.T</t>
  </si>
  <si>
    <t xml:space="preserve">PMTCT_ART_SUBNAT.D.T</t>
  </si>
  <si>
    <t xml:space="preserve">PMTCT_ART_SUBNAT.N.Already.T</t>
  </si>
  <si>
    <t xml:space="preserve">PMTCT_ART_SUBNAT.N.New.T</t>
  </si>
  <si>
    <t xml:space="preserve">HTS_TST.PostANC1.Eligible.T</t>
  </si>
  <si>
    <t xml:space="preserve">HTS_TST.PostANC1.Yield</t>
  </si>
  <si>
    <t xml:space="preserve">HTS_TST.PostANC1.Yield.T</t>
  </si>
  <si>
    <t xml:space="preserve">HTS_TST.PostANC1.Pos.Linkage.T</t>
  </si>
  <si>
    <t xml:space="preserve">HTS_TST.PostANC1.Pos.T</t>
  </si>
  <si>
    <t xml:space="preserve">HTS_TST.PostANC1.Neg.T</t>
  </si>
  <si>
    <t xml:space="preserve">TX_NEW.PostANC1.T</t>
  </si>
  <si>
    <t xml:space="preserve">PMTCT.Pos.T</t>
  </si>
  <si>
    <t xml:space="preserve">HTS_TST.Pos.T</t>
  </si>
  <si>
    <t xml:space="preserve">HTS_TST.PMTCT_STAT.New.Pos.T</t>
  </si>
  <si>
    <t xml:space="preserve">HTS_TST.PostANC1.New.Pos.T</t>
  </si>
  <si>
    <t xml:space="preserve">HTS_TST.TB.New.Pos.T</t>
  </si>
  <si>
    <t xml:space="preserve">HTS_TST.Total_Other.Pos.T</t>
  </si>
  <si>
    <t xml:space="preserve">PMTCT_EID</t>
  </si>
  <si>
    <t xml:space="preserve">PMTCT_EID (N)</t>
  </si>
  <si>
    <t xml:space="preserve">PMTCT_HEI_POS (N)</t>
  </si>
  <si>
    <t xml:space="preserve">Est. # infants born to HIV-positive women (FY24)</t>
  </si>
  <si>
    <t xml:space="preserve">Targeted % HIV-exposed infants tested by 2 months (FY24) (%)</t>
  </si>
  <si>
    <t xml:space="preserve">Targeted % HIV-exposed infants tested by 12 months (FY24) (%)</t>
  </si>
  <si>
    <t xml:space="preserve">≤ 02 months (FY24)</t>
  </si>
  <si>
    <t xml:space="preserve">02 - 12 months (FY24)</t>
  </si>
  <si>
    <t xml:space="preserve">Est. Positivity Rate, ≤ 02 months (FY22 Results) (%)</t>
  </si>
  <si>
    <t xml:space="preserve">Est. Positivity Rate, 02 - 12 months (FY22 Results) (%)</t>
  </si>
  <si>
    <t xml:space="preserve">Est. Positivity Rate, ≤ 02 months (FY24) (%)</t>
  </si>
  <si>
    <t xml:space="preserve">Est. Positivity Rate, 02 - 12 months (FY24) (%)</t>
  </si>
  <si>
    <t xml:space="preserve">Total HIV+ infants identified (FY24)</t>
  </si>
  <si>
    <t xml:space="preserve">HIV+ infants Initiated on ART (FY24)</t>
  </si>
  <si>
    <t xml:space="preserve">Targeted TX Retention Rate (FY24) (%)</t>
  </si>
  <si>
    <t xml:space="preserve">HIV+ infants retained on ART at end of FY24</t>
  </si>
  <si>
    <t xml:space="preserve">% Eligible for VLT (FY24) (%)</t>
  </si>
  <si>
    <t xml:space="preserve">HIV+ Infants Eligible for VLT (FY24)</t>
  </si>
  <si>
    <t xml:space="preserve">Targeted VLT Coverage (FY24) (%)</t>
  </si>
  <si>
    <t xml:space="preserve">HIV+ infants tested for VLS (FY24)</t>
  </si>
  <si>
    <t xml:space="preserve">Targeted VLS Rate (FY24) (%)</t>
  </si>
  <si>
    <t xml:space="preserve">HIV+ infants  Virally Suppressed (FY24)</t>
  </si>
  <si>
    <t xml:space="preserve">euzbW4INAqn</t>
  </si>
  <si>
    <t xml:space="preserve">aFPTXEOa7nu</t>
  </si>
  <si>
    <t xml:space="preserve">J4SQd7SnDi2</t>
  </si>
  <si>
    <t xml:space="preserve">pbXCUjm50XK</t>
  </si>
  <si>
    <t xml:space="preserve">PMTCT_EID.D.T</t>
  </si>
  <si>
    <t xml:space="preserve">PMTCT_EID.2.Rt.T</t>
  </si>
  <si>
    <t xml:space="preserve">PMTCT_EID.12.Rt.T</t>
  </si>
  <si>
    <t xml:space="preserve">PMTCT_EID.N.2.T</t>
  </si>
  <si>
    <t xml:space="preserve">PMTCT_EID.N.12.T</t>
  </si>
  <si>
    <t xml:space="preserve">PMTCT_HEI_POS.2.Yield.R</t>
  </si>
  <si>
    <t xml:space="preserve">PMTCT_HEI_POS.12.Yield.R</t>
  </si>
  <si>
    <t xml:space="preserve">PMTCT_HEI_POS.2.Yield.T</t>
  </si>
  <si>
    <t xml:space="preserve">PMTCT_HEI_POS.12.Yield.T</t>
  </si>
  <si>
    <t xml:space="preserve">PMTCT_HEI_POS.T</t>
  </si>
  <si>
    <t xml:space="preserve">PMTCT_HEI_POS.Linkage.T</t>
  </si>
  <si>
    <t xml:space="preserve">PMTCT_HEI_POS.Ret.T</t>
  </si>
  <si>
    <t xml:space="preserve">PMTCT_HEI_POS.TX_CURR.T</t>
  </si>
  <si>
    <t xml:space="preserve">PMTCT_HEI_POS.Eligible.Rt.T</t>
  </si>
  <si>
    <t xml:space="preserve">PMTCT_HEI_POS.EVLT.T</t>
  </si>
  <si>
    <t xml:space="preserve">PMTCT_HEI_POS.TX_PVLS.D.Rt.T</t>
  </si>
  <si>
    <t xml:space="preserve">PMTCT_HEI_POS.TX_PVLS.D.T</t>
  </si>
  <si>
    <t xml:space="preserve">PMTCT_HEI_POS.TX_PVLS.N.Rt.T</t>
  </si>
  <si>
    <t xml:space="preserve">PMTCT_HEI_POS.TX_PVLS.N.T</t>
  </si>
  <si>
    <t xml:space="preserve">TB_STAT &amp; TB_ART</t>
  </si>
  <si>
    <t xml:space="preserve">TB_STAT (D)</t>
  </si>
  <si>
    <t xml:space="preserve">TB_STAT (N)</t>
  </si>
  <si>
    <t xml:space="preserve">To shut off TB_STAT entirely:
1. Replace all formulas for "TB_STAT (D) (FY24) targets with zeros.</t>
  </si>
  <si>
    <t xml:space="preserve">TB_STAT (D) (FY23)</t>
  </si>
  <si>
    <t xml:space="preserve">Expected Change in Incidence (%)</t>
  </si>
  <si>
    <t xml:space="preserve">TB_STAT (D) (FY24)</t>
  </si>
  <si>
    <t xml:space="preserve">TB_STAT (N): New Positives (FY23)</t>
  </si>
  <si>
    <t xml:space="preserve">% TB clients Known HIV+ (FY22 Results) (%)</t>
  </si>
  <si>
    <t xml:space="preserve">% TB clients already Known HIV+ (FY24) (%)</t>
  </si>
  <si>
    <t xml:space="preserve">Yield among Newly Tested (FY22 Results) (%)</t>
  </si>
  <si>
    <t xml:space="preserve">Yield among Newly Tested (FY24) (%)</t>
  </si>
  <si>
    <t xml:space="preserve">Total Positives from VMMC_CIRC (FY24)</t>
  </si>
  <si>
    <t xml:space="preserve">eeYmLTvWk8k</t>
  </si>
  <si>
    <t xml:space="preserve">OLbVI34nrpu</t>
  </si>
  <si>
    <t xml:space="preserve">VkrrexUefpS</t>
  </si>
  <si>
    <t xml:space="preserve">VVixfmL4Try</t>
  </si>
  <si>
    <t xml:space="preserve">TB_STAT.D.T_1</t>
  </si>
  <si>
    <t xml:space="preserve">TB_STAT.D.Growth.T</t>
  </si>
  <si>
    <t xml:space="preserve">TB_STAT.D.T</t>
  </si>
  <si>
    <t xml:space="preserve">TB_STAT.N.New.Pos.T_1</t>
  </si>
  <si>
    <t xml:space="preserve">TB_STAT.N.KnownPosRt.R</t>
  </si>
  <si>
    <t xml:space="preserve">TB_STAT.N.KnownPosRt.T</t>
  </si>
  <si>
    <t xml:space="preserve">TB_STAT.N.New.Yield.R</t>
  </si>
  <si>
    <t xml:space="preserve">TB_STAT.N.New.Yield.T</t>
  </si>
  <si>
    <t xml:space="preserve">TB_STAT.N.T</t>
  </si>
  <si>
    <t xml:space="preserve">TB_STAT.N.KnownPos.T</t>
  </si>
  <si>
    <t xml:space="preserve">TB_STAT.N.New.Pos.T</t>
  </si>
  <si>
    <t xml:space="preserve">TB_STAT.N.New.Neg.T</t>
  </si>
  <si>
    <t xml:space="preserve">TB_STAT.Linkage.T</t>
  </si>
  <si>
    <t xml:space="preserve">TB_ART.Already.T</t>
  </si>
  <si>
    <t xml:space="preserve">TB_ART.New.T</t>
  </si>
  <si>
    <t xml:space="preserve">HTS_TST.VMMC.Pos.T</t>
  </si>
  <si>
    <t xml:space="preserve">VMMC</t>
  </si>
  <si>
    <t xml:space="preserve">VMMC_CIRC_SUBNAT</t>
  </si>
  <si>
    <t xml:space="preserve">To shut off VMMC_CIRC entirely:
1. Replace all formulas for "Total VMMC_CIRC" with zeros.</t>
  </si>
  <si>
    <t xml:space="preserve">P.C. Est. Male Population (FY23)</t>
  </si>
  <si>
    <t xml:space="preserve">PEPFAR Total VMMC_CIRC (FY22 Results)</t>
  </si>
  <si>
    <t xml:space="preserve">PEPFAR Total VMMC_CIRC (FY23 Targets)</t>
  </si>
  <si>
    <t xml:space="preserve">P.C. # Circumcised in FY23</t>
  </si>
  <si>
    <t xml:space="preserve">P.C. Total # Ever Circumcised (FY23)</t>
  </si>
  <si>
    <t xml:space="preserve">P.C. Est. VMMC Coverage (FY23) (%)</t>
  </si>
  <si>
    <t xml:space="preserve">Targeted P.C. VMMC Coverage (FY24) (%)</t>
  </si>
  <si>
    <t xml:space="preserve">Targeted P.C. Total # Ever Circumcised (FY24)</t>
  </si>
  <si>
    <t xml:space="preserve">Targeted P.C. # Circumcised in FY24</t>
  </si>
  <si>
    <t xml:space="preserve">% P.C. VMMC provided at PEPFAR-supported sites (FY24) (%)</t>
  </si>
  <si>
    <t xml:space="preserve">_Military ONLY: Expected change in VMMC_CIRC (%)</t>
  </si>
  <si>
    <t xml:space="preserve">Indeterminate/Not Tested rate
(FY22 Results) (%)</t>
  </si>
  <si>
    <t xml:space="preserve">Indeterminate/Not Tested rate
(FY24) (%)</t>
  </si>
  <si>
    <t xml:space="preserve">Total VMMC_CIRC</t>
  </si>
  <si>
    <t xml:space="preserve">Not Tested by PEPFAR</t>
  </si>
  <si>
    <t xml:space="preserve">HIV Positive</t>
  </si>
  <si>
    <t xml:space="preserve">HIV Negative</t>
  </si>
  <si>
    <t xml:space="preserve">Total Positives from TB_STAT (FY24)</t>
  </si>
  <si>
    <t xml:space="preserve">Total Tests from All Other Modalities (FY24)</t>
  </si>
  <si>
    <t xml:space="preserve">cRCw63EQEbM</t>
  </si>
  <si>
    <t xml:space="preserve">SSun4i7nHlV</t>
  </si>
  <si>
    <t xml:space="preserve">ZayJeEa6pCa</t>
  </si>
  <si>
    <t xml:space="preserve">TiMvlchPiPH</t>
  </si>
  <si>
    <t xml:space="preserve">xlSW2W3YGtk</t>
  </si>
  <si>
    <t xml:space="preserve">gUdtLH3fV1m</t>
  </si>
  <si>
    <t xml:space="preserve">VMMC_CIRC.R</t>
  </si>
  <si>
    <t xml:space="preserve">VMMC_CIRC.T_1</t>
  </si>
  <si>
    <t xml:space="preserve">VMMC_CIRC_SUBNAT.T_1</t>
  </si>
  <si>
    <t xml:space="preserve">VMMC_TOTALCIRC_SUBNAT.T_1</t>
  </si>
  <si>
    <t xml:space="preserve">VMMC_TOTALCIRC_SUBNAT.Rt.T_1</t>
  </si>
  <si>
    <t xml:space="preserve">VMMC_TOTALCIRC_SUBNAT.Rt.T</t>
  </si>
  <si>
    <t xml:space="preserve">VMMC_TOTALCIRC_SUBNAT.T</t>
  </si>
  <si>
    <t xml:space="preserve">VMMC_CIRC_SUBNAT.T</t>
  </si>
  <si>
    <t xml:space="preserve">VMMC_CIRC.NatlContr.T</t>
  </si>
  <si>
    <t xml:space="preserve">VMMC_CIRC.Change.Military</t>
  </si>
  <si>
    <t xml:space="preserve">VMMC_CIRC.Unk.Rt.R</t>
  </si>
  <si>
    <t xml:space="preserve">VMMC_CIRC.Unk.Rt.T</t>
  </si>
  <si>
    <t xml:space="preserve">VMMC_CIRC.Yield.R</t>
  </si>
  <si>
    <t xml:space="preserve">VMMC_CIRC.Yield.T</t>
  </si>
  <si>
    <t xml:space="preserve">VMMC_CIRC.T</t>
  </si>
  <si>
    <t xml:space="preserve">VMMC_CIRC.Unk.T</t>
  </si>
  <si>
    <t xml:space="preserve">VMMC_CIRC.Pos.T</t>
  </si>
  <si>
    <t xml:space="preserve">VMMC_CIRC.Neg.T</t>
  </si>
  <si>
    <t xml:space="preserve">PrEP_CT - HIV Testing</t>
  </si>
  <si>
    <t xml:space="preserve">HTS_TST_NEG
(FY24)</t>
  </si>
  <si>
    <t xml:space="preserve">PrEP_NEW (FY22 Results)</t>
  </si>
  <si>
    <t xml:space="preserve">PrEP_NEW (FY23 Targets)</t>
  </si>
  <si>
    <t xml:space="preserve">PrEP_CT (FY22 Results)</t>
  </si>
  <si>
    <t xml:space="preserve">PrEP_CT (FY23 Targets)</t>
  </si>
  <si>
    <t xml:space="preserve">PREP_CT (FY24)</t>
  </si>
  <si>
    <t xml:space="preserve"># of PrEP follow-up visits per year</t>
  </si>
  <si>
    <t xml:space="preserve">PrEP_CT - # HIV tests administered (FY24)</t>
  </si>
  <si>
    <t xml:space="preserve">KNO4emPfF91</t>
  </si>
  <si>
    <t xml:space="preserve">rXV784LlUQ4</t>
  </si>
  <si>
    <t xml:space="preserve">ectUGvYjtaK</t>
  </si>
  <si>
    <t xml:space="preserve">agoURWZyPpn</t>
  </si>
  <si>
    <t xml:space="preserve">DNuQYS2nIPf</t>
  </si>
  <si>
    <t xml:space="preserve">b6OI9qB0Who</t>
  </si>
  <si>
    <t xml:space="preserve">DjW93zhi4zZ</t>
  </si>
  <si>
    <t xml:space="preserve">CWZXh58dLvF</t>
  </si>
  <si>
    <t xml:space="preserve">G7SQxPyGfFo</t>
  </si>
  <si>
    <t xml:space="preserve">ovFwBkjVLZA</t>
  </si>
  <si>
    <t xml:space="preserve">10 yr, 15-29</t>
  </si>
  <si>
    <t xml:space="preserve">HTS_TST.Neg.T</t>
  </si>
  <si>
    <t xml:space="preserve">PrEP_NEW.R</t>
  </si>
  <si>
    <t xml:space="preserve">PrEP_NEW.T_1</t>
  </si>
  <si>
    <t xml:space="preserve">PrEP_CT.R</t>
  </si>
  <si>
    <t xml:space="preserve">PrEP_CT.T_1</t>
  </si>
  <si>
    <t xml:space="preserve">PrEP_CT.Freq.T</t>
  </si>
  <si>
    <t xml:space="preserve">PrEP_CT.TestResult.T</t>
  </si>
  <si>
    <t xml:space="preserve">HTS</t>
  </si>
  <si>
    <t xml:space="preserve">Testing Summary from Other Tabs</t>
  </si>
  <si>
    <t xml:space="preserve">HTS_TST - Distribution of Positive Tests</t>
  </si>
  <si>
    <t xml:space="preserve">Active Index (Facility and Community Index)</t>
  </si>
  <si>
    <t xml:space="preserve">Active SNS (Facility and Community SNS)</t>
  </si>
  <si>
    <t xml:space="preserve">Active Other (Community Other and Community Mobile)</t>
  </si>
  <si>
    <t xml:space="preserve">STI Clinic (Facility)</t>
  </si>
  <si>
    <t xml:space="preserve">Other Facility (Facility: Inpatient, Emergency, Other PITC, VCT, Pediatric, Malnutrition)</t>
  </si>
  <si>
    <t xml:space="preserve">HTS_TST (Total)</t>
  </si>
  <si>
    <t xml:space="preserve">HTS_SELF (N)</t>
  </si>
  <si>
    <t xml:space="preserve">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</si>
  <si>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 xml:space="preserve">PMTCT_STAT New Positives (FY24)</t>
  </si>
  <si>
    <t xml:space="preserve">HTS_TST Post ANC1 New Positives (FY24)</t>
  </si>
  <si>
    <t xml:space="preserve">TB_STAT New Positives (FY24)</t>
  </si>
  <si>
    <t xml:space="preserve">VMMC_CIRC New Positives (FY24)</t>
  </si>
  <si>
    <t xml:space="preserve">HTS_TST_POS from All Other Modalities (FY24)</t>
  </si>
  <si>
    <t xml:space="preserve">Active Index (%)</t>
  </si>
  <si>
    <t xml:space="preserve">Active SNS (%)</t>
  </si>
  <si>
    <t xml:space="preserve">Active Other (%)</t>
  </si>
  <si>
    <t xml:space="preserve">STI Clinic (%)</t>
  </si>
  <si>
    <t xml:space="preserve">Other Facility (%)</t>
  </si>
  <si>
    <t xml:space="preserve">Yield (%)</t>
  </si>
  <si>
    <t xml:space="preserve">Positive</t>
  </si>
  <si>
    <t xml:space="preserve">Negative</t>
  </si>
  <si>
    <t xml:space="preserve">Original HTS_TST_POS (FY24)</t>
  </si>
  <si>
    <t xml:space="preserve">Final HTS_TST_POS (FY24)</t>
  </si>
  <si>
    <t xml:space="preserve">HTS_TST_POS difference to adjust</t>
  </si>
  <si>
    <t xml:space="preserve">PMTCT_STAT New Negatives (FY24)</t>
  </si>
  <si>
    <t xml:space="preserve">HTS_TST Post ANC1 Negatives (FY24)</t>
  </si>
  <si>
    <t xml:space="preserve">TB_STAT New Negatives (FY24)</t>
  </si>
  <si>
    <t xml:space="preserve">VMMC_CIRC New Negatives (FY24)</t>
  </si>
  <si>
    <t xml:space="preserve">PrEP_CT Total (FY24)</t>
  </si>
  <si>
    <t xml:space="preserve">Total HTS_TST_NEG (FY24)</t>
  </si>
  <si>
    <t xml:space="preserve">Total HTS_TST (FY24)</t>
  </si>
  <si>
    <t xml:space="preserve">Aggregate Yield Rate (FY24) (%)</t>
  </si>
  <si>
    <t xml:space="preserve">HTS_SELF (FY23 Targets)</t>
  </si>
  <si>
    <t xml:space="preserve">% Change in HTS_SELF (%)</t>
  </si>
  <si>
    <t xml:space="preserve">Total HTS_RECENT (FY24)</t>
  </si>
  <si>
    <t xml:space="preserve">r9N46a1q942</t>
  </si>
  <si>
    <t xml:space="preserve">SsqfZeIs1Va</t>
  </si>
  <si>
    <t xml:space="preserve">hAX7DTwvdQS</t>
  </si>
  <si>
    <t xml:space="preserve">OeY8AsZ6vWL</t>
  </si>
  <si>
    <t xml:space="preserve">jeNpjmy1XaX</t>
  </si>
  <si>
    <t xml:space="preserve">Jky7p2XOCNk</t>
  </si>
  <si>
    <t xml:space="preserve">b1643s4qxZA</t>
  </si>
  <si>
    <t xml:space="preserve">NcMMbbymtij</t>
  </si>
  <si>
    <t xml:space="preserve">p17Oj2I1PVH</t>
  </si>
  <si>
    <t xml:space="preserve">HTS_TST.Pos.Total_Other.T</t>
  </si>
  <si>
    <t xml:space="preserve">HTS_TST.PMTCT.Pos.Share</t>
  </si>
  <si>
    <t xml:space="preserve">HTS_TST.PostANC1.Pos.Share</t>
  </si>
  <si>
    <t xml:space="preserve">HTS_TST.TB.Pos.Share</t>
  </si>
  <si>
    <t xml:space="preserve">HTS_TST.VMMC.Pos.Share</t>
  </si>
  <si>
    <t xml:space="preserve">HTS_TST.Index.Pos.Share.T_1</t>
  </si>
  <si>
    <t xml:space="preserve">HTS_TST.SNS.Pos.Share</t>
  </si>
  <si>
    <t xml:space="preserve">HTS_TST.ActiveOther.Pos.Share</t>
  </si>
  <si>
    <t xml:space="preserve">HTS_TST.STI.Pos.Share</t>
  </si>
  <si>
    <t xml:space="preserve">HTS_TST.Other.Pos.Share</t>
  </si>
  <si>
    <t xml:space="preserve">HTS_TST.Pos.DistCheck</t>
  </si>
  <si>
    <t xml:space="preserve">HTS.Index.Pos.Yield</t>
  </si>
  <si>
    <t xml:space="preserve">HTS.Index.Pos.T</t>
  </si>
  <si>
    <t xml:space="preserve">HTS.Index.Neg.T</t>
  </si>
  <si>
    <t xml:space="preserve">HTS_TST.SNS.Yield</t>
  </si>
  <si>
    <t xml:space="preserve">HTS_TST.SNS.Pos.T</t>
  </si>
  <si>
    <t xml:space="preserve">HTS_TST.SNS.Neg.T</t>
  </si>
  <si>
    <t xml:space="preserve">HTS_TST.ActiveOther.Yield</t>
  </si>
  <si>
    <t xml:space="preserve">HTS_TST.ActiveOther.Pos.T</t>
  </si>
  <si>
    <t xml:space="preserve">HTS_TST.ActiveOther.Neg.T</t>
  </si>
  <si>
    <t xml:space="preserve">HTS_TST.STI.Yield</t>
  </si>
  <si>
    <t xml:space="preserve">HTS_TST.STI.Pos.T</t>
  </si>
  <si>
    <t xml:space="preserve">HTS_TST.STI.Neg.T</t>
  </si>
  <si>
    <t xml:space="preserve">HTS_TST.Other.Yield</t>
  </si>
  <si>
    <t xml:space="preserve">HTS_TST.Other.Pos.T</t>
  </si>
  <si>
    <t xml:space="preserve">HTS_TST.Other.Neg.T</t>
  </si>
  <si>
    <t xml:space="preserve">HTS_TST.Pos.Original</t>
  </si>
  <si>
    <t xml:space="preserve">HTS_TST.Pos.Total</t>
  </si>
  <si>
    <t xml:space="preserve">HTS_TST.Pos.Diff</t>
  </si>
  <si>
    <t xml:space="preserve">PrEP_CT.Total.T</t>
  </si>
  <si>
    <t xml:space="preserve">HTS_TST.Neg.Total</t>
  </si>
  <si>
    <t xml:space="preserve">HTS_TST.Total</t>
  </si>
  <si>
    <t xml:space="preserve">HTS_TST.Yield</t>
  </si>
  <si>
    <t xml:space="preserve">HTS_SELF.T_1</t>
  </si>
  <si>
    <t xml:space="preserve">HTS_SELF.Growth</t>
  </si>
  <si>
    <t xml:space="preserve">CXCA</t>
  </si>
  <si>
    <t xml:space="preserve">To shut off CXCA_SCRN entirely, replace all percentages in the green column, "Target CXCA Screening coverage rate (%)" with zeros.</t>
  </si>
  <si>
    <t xml:space="preserve">CXCA_SCRN (FY22 Results)</t>
  </si>
  <si>
    <t xml:space="preserve">CXCA_SCRN (FY23 Targets)</t>
  </si>
  <si>
    <t xml:space="preserve">TX_CURR (FY23)</t>
  </si>
  <si>
    <t xml:space="preserve">CXCA_SCRN Coverage (FY22 Results) (%)</t>
  </si>
  <si>
    <t xml:space="preserve">CXCA_SCRN Coverage - Already on ART (FY24) (%)</t>
  </si>
  <si>
    <t xml:space="preserve">CXCA_SCRN Coverage - Initiated on ART (FY24) (%)</t>
  </si>
  <si>
    <t xml:space="preserve">XboLlTkc4Av</t>
  </si>
  <si>
    <t xml:space="preserve">XWK6yAwhol8</t>
  </si>
  <si>
    <t xml:space="preserve">wQ5XOuU0LVH</t>
  </si>
  <si>
    <t xml:space="preserve">CXCA_SCRN.R</t>
  </si>
  <si>
    <t xml:space="preserve">CXCA_SCRN.T_1</t>
  </si>
  <si>
    <t xml:space="preserve">CXCA_SCRN.Rt.R</t>
  </si>
  <si>
    <t xml:space="preserve">CXCA_SCRN.Already.Rt.T</t>
  </si>
  <si>
    <t xml:space="preserve">CXCA_SCRN.Initiated.Rt.T</t>
  </si>
  <si>
    <t xml:space="preserve">TX_TB &amp; TB_PREV</t>
  </si>
  <si>
    <t xml:space="preserve">TX_TB (D)</t>
  </si>
  <si>
    <t xml:space="preserve">TX_NEW (FY24)</t>
  </si>
  <si>
    <t xml:space="preserve">Targeted coverage: Already on ART (FY24) (%)</t>
  </si>
  <si>
    <t xml:space="preserve">Targeted coverage: New on ART (FY24) (%)</t>
  </si>
  <si>
    <t xml:space="preserve">Est. TB Screen Positivity Rate: Already on ART (FY24) (%)</t>
  </si>
  <si>
    <t xml:space="preserve">Est. TB Screen Positivity Rate: New on ART (FY24) (%)</t>
  </si>
  <si>
    <t xml:space="preserve">Already on ART, TB Screen + (FY24)</t>
  </si>
  <si>
    <t xml:space="preserve">Already on ART, TB Screen - (FY24)</t>
  </si>
  <si>
    <t xml:space="preserve">New on ART, TB Screen + (FY24)</t>
  </si>
  <si>
    <t xml:space="preserve">New on ART, TB Screen - (FY24)</t>
  </si>
  <si>
    <t xml:space="preserve">Cumulative Previous Completion of TPT (Results FY17-22)</t>
  </si>
  <si>
    <t xml:space="preserve">TB_PREV (N) - Already on ART (FY23 Targets)</t>
  </si>
  <si>
    <t xml:space="preserve">TB_PREV (N) - New on ART (FY23 Targets)</t>
  </si>
  <si>
    <t xml:space="preserve">Est. total # completed TPT in last 7 years (FY24)</t>
  </si>
  <si>
    <t xml:space="preserve">Est. % Eligible for TPT among Already on ART, TB Screen - (FY24) (%)</t>
  </si>
  <si>
    <t xml:space="preserve">% TPT Initiation Rate - Already on ART (FY24) (%)</t>
  </si>
  <si>
    <t xml:space="preserve">% TPT Initiation Rate - New on ART (FY24) (%)</t>
  </si>
  <si>
    <t xml:space="preserve">Targeted TPT completion (FY24) (%)</t>
  </si>
  <si>
    <t xml:space="preserve">Projected Change: Already on ART (FY24) (%)</t>
  </si>
  <si>
    <t xml:space="preserve">Projected Change: New on ART (FY24) (%)</t>
  </si>
  <si>
    <t xml:space="preserve">DcQet8tM3my</t>
  </si>
  <si>
    <t xml:space="preserve">MdqPezsikDr</t>
  </si>
  <si>
    <t xml:space="preserve">HUgQMmRVHMS</t>
  </si>
  <si>
    <t xml:space="preserve">TX_TB.D.Already.Cov</t>
  </si>
  <si>
    <t xml:space="preserve">TX_TB.D.New.Cov</t>
  </si>
  <si>
    <t xml:space="preserve">TX_TB.D.Already.Yield</t>
  </si>
  <si>
    <t xml:space="preserve">TX_TB.D.New.Yield</t>
  </si>
  <si>
    <t xml:space="preserve">TX_TB.D.Already.Pos.T</t>
  </si>
  <si>
    <t xml:space="preserve">TX_TB.D.Already.Neg.T</t>
  </si>
  <si>
    <t xml:space="preserve">TX_TB.D.New.Pos.T</t>
  </si>
  <si>
    <t xml:space="preserve">TX_TB.D.New.Neg.T</t>
  </si>
  <si>
    <t xml:space="preserve">TB_PREV.N.R</t>
  </si>
  <si>
    <t xml:space="preserve">TB_PREV.N.Already.T_1</t>
  </si>
  <si>
    <t xml:space="preserve">TB_PREV.N.New.T_1</t>
  </si>
  <si>
    <t xml:space="preserve">TX_TB.D.Already.Ineligible.T_1</t>
  </si>
  <si>
    <t xml:space="preserve">TX_TB.D.Already.Eligible.T</t>
  </si>
  <si>
    <t xml:space="preserve">TX_TB.D.Already.Neg.Linkage</t>
  </si>
  <si>
    <t xml:space="preserve">TX_TB.D.New.Neg.Linkage</t>
  </si>
  <si>
    <t xml:space="preserve">TB_PREV.D.Already.T</t>
  </si>
  <si>
    <t xml:space="preserve">TB_PREV.D.New.T</t>
  </si>
  <si>
    <t xml:space="preserve">TB_PREV.N.Rt.T</t>
  </si>
  <si>
    <t xml:space="preserve">TB_PREV.N.Already.T</t>
  </si>
  <si>
    <t xml:space="preserve">TB_PREV.N.New.T</t>
  </si>
  <si>
    <t xml:space="preserve">TB_PREV.N.Already.Growth.T</t>
  </si>
  <si>
    <t xml:space="preserve">TB_PREV.N.New.Growth.T</t>
  </si>
  <si>
    <t xml:space="preserve">PP</t>
  </si>
  <si>
    <t xml:space="preserve">PP_PREV (FY23)</t>
  </si>
  <si>
    <t xml:space="preserve">Expected change in PP_PREV services (%)</t>
  </si>
  <si>
    <t xml:space="preserve">HV0zRuYnuv8</t>
  </si>
  <si>
    <t xml:space="preserve">PP_PREV.T_1</t>
  </si>
  <si>
    <t xml:space="preserve">PP_PREV.Growth.T</t>
  </si>
  <si>
    <t xml:space="preserve">DREAMS SNU?</t>
  </si>
  <si>
    <t xml:space="preserve">Total OVC_SERV (FY22)</t>
  </si>
  <si>
    <t xml:space="preserve">Total OVC_SERV (FY23 Targets)</t>
  </si>
  <si>
    <t xml:space="preserve">Projected Net Change in OVC_SERV (FY24) (%)</t>
  </si>
  <si>
    <t xml:space="preserve">Targeted DREAMS % of Total OVC_SERV (FY24) (%)</t>
  </si>
  <si>
    <t xml:space="preserve">Targeted Preventive % of Total OVC_SERV (FY24) (%)</t>
  </si>
  <si>
    <t xml:space="preserve">Targeted Comprehensive % of Total OVC_SERV (FY24) (%)</t>
  </si>
  <si>
    <t xml:space="preserve">Targeted Graduation Rate among Comprehensive (FY24) (%)</t>
  </si>
  <si>
    <t xml:space="preserve">Total OVC_SERV (FY24)</t>
  </si>
  <si>
    <t xml:space="preserve">rxgD4kPnUIg.zKUTfylfIpY.qTfvIKslD0b.Wy7xYEZSf1B</t>
  </si>
  <si>
    <t xml:space="preserve">MD74x7fNR4j.HytOnKf1KbS.EfmClxvOBtK.QaxSn3WwS7e</t>
  </si>
  <si>
    <t xml:space="preserve">Qk8HjZeOBom.TIuD9nSQAd9</t>
  </si>
  <si>
    <t xml:space="preserve">DsIC5hZsqDF</t>
  </si>
  <si>
    <t xml:space="preserve">ZTN9wn0OQt1</t>
  </si>
  <si>
    <t xml:space="preserve">Tp792ZiaQed</t>
  </si>
  <si>
    <t xml:space="preserve">10-17 (OVC)</t>
  </si>
  <si>
    <t xml:space="preserve">5 yr, 05-14</t>
  </si>
  <si>
    <t xml:space="preserve">DREAMS_SNU.Flag</t>
  </si>
  <si>
    <t xml:space="preserve">OVC_SERV.R</t>
  </si>
  <si>
    <t xml:space="preserve">OVC_SERV.T_1</t>
  </si>
  <si>
    <t xml:space="preserve">OVC_SERV.Growth.T</t>
  </si>
  <si>
    <t xml:space="preserve">OVC_SERV.DREAMS.Rt.T</t>
  </si>
  <si>
    <t xml:space="preserve">OVC_SERV.Prev.Rt.T</t>
  </si>
  <si>
    <t xml:space="preserve">OVC_SERV.Comp.Rt.T</t>
  </si>
  <si>
    <t xml:space="preserve">OVC_SERV.Grad.Rt.T</t>
  </si>
  <si>
    <t xml:space="preserve">OVC_SERV.T</t>
  </si>
  <si>
    <t xml:space="preserve">OVC_HIVSTAT.Rt.T</t>
  </si>
  <si>
    <t xml:space="preserve">OVC_HIVSTAT.T</t>
  </si>
  <si>
    <t xml:space="preserve">Y</t>
  </si>
  <si>
    <t xml:space="preserve">0</t>
  </si>
  <si>
    <t xml:space="preserve">Physical/Emotional Violence (FY23 Targets)</t>
  </si>
  <si>
    <t xml:space="preserve">Sexual Violence (FY23 Targets)</t>
  </si>
  <si>
    <t xml:space="preserve">Projected change in GEND_GBV - Physical/Emotional Violence services (%)</t>
  </si>
  <si>
    <t xml:space="preserve">Projected change in GEND_GBV - Sexual Violence services (%)</t>
  </si>
  <si>
    <t xml:space="preserve">Physical/Emotional Violence (FY24)</t>
  </si>
  <si>
    <t xml:space="preserve">Sexual Violence (FY24)</t>
  </si>
  <si>
    <t xml:space="preserve">XUtNKyPozHq</t>
  </si>
  <si>
    <t xml:space="preserve">USe0kg2Bind</t>
  </si>
  <si>
    <t xml:space="preserve">bchuAJAMSZO</t>
  </si>
  <si>
    <t xml:space="preserve">GEND_GBV.PE.T_1</t>
  </si>
  <si>
    <t xml:space="preserve">GEND_GBV.S.T_1</t>
  </si>
  <si>
    <t xml:space="preserve">GEND_GBV.PE.Growth.T</t>
  </si>
  <si>
    <t xml:space="preserve">GEND_GBV.S.Growth.T</t>
  </si>
  <si>
    <t xml:space="preserve">GEND_GBV.PE.T</t>
  </si>
  <si>
    <t xml:space="preserve">GEND_GBV.S.T</t>
  </si>
  <si>
    <t xml:space="preserve">DREAMS SNUs are denoted as DNUs, though are here referred to as PSNUs. Note that these are equivalent in all PEPFAR countries except Rwanda and Eswatini.</t>
  </si>
  <si>
    <t xml:space="preserve">P.C. Est. # of Vulnerable AGYW (FY23)</t>
  </si>
  <si>
    <t xml:space="preserve">Primary Package Incomplete: Service Started (FY22 Results)</t>
  </si>
  <si>
    <t xml:space="preserve">Primary Package Incomplete: Service Completed (FY22 Results)</t>
  </si>
  <si>
    <t xml:space="preserve">Primary Package Completed (FY22 Results)</t>
  </si>
  <si>
    <t xml:space="preserve">Primary Package and Secondary (FY22 Results)</t>
  </si>
  <si>
    <t xml:space="preserve">Total AGYW_PREV (FY22 Results)</t>
  </si>
  <si>
    <t xml:space="preserve">Observed Percent Completion (FY22 Results) (%)</t>
  </si>
  <si>
    <t xml:space="preserve">Targeted Percent Completion (FY24) (%)</t>
  </si>
  <si>
    <t xml:space="preserve">Projected Net Change in Total AGYW_PREV from FY22 Results (%)</t>
  </si>
  <si>
    <t xml:space="preserve">Denominator - Started or Completed any DREAMS Service (FY24)</t>
  </si>
  <si>
    <t xml:space="preserve">Numerator - Completed at least Primary Package (FY24)</t>
  </si>
  <si>
    <t xml:space="preserve">aZrOAEKtXAo</t>
  </si>
  <si>
    <t xml:space="preserve">RAZ3P5llmi4</t>
  </si>
  <si>
    <t xml:space="preserve">ZW2qWywZuGl</t>
  </si>
  <si>
    <t xml:space="preserve">gGkFUE1ob8y</t>
  </si>
  <si>
    <t xml:space="preserve">Xxj42CRWEPD</t>
  </si>
  <si>
    <t xml:space="preserve">KvVcLT8u0I7</t>
  </si>
  <si>
    <t xml:space="preserve">sKjBJe2Um3s</t>
  </si>
  <si>
    <t xml:space="preserve">IKC8RWqIbx9</t>
  </si>
  <si>
    <t xml:space="preserve">AGYW_SUBNAT.T_1</t>
  </si>
  <si>
    <t xml:space="preserve">AGYW_PREV.Started.R</t>
  </si>
  <si>
    <t xml:space="preserve">AGYW_PREV.Incomplete.R</t>
  </si>
  <si>
    <t xml:space="preserve">AGYW_PREV.Complete.R</t>
  </si>
  <si>
    <t xml:space="preserve">AGYW_PREV.CompletePlus.R</t>
  </si>
  <si>
    <t xml:space="preserve">AGYW_PREV.D.R</t>
  </si>
  <si>
    <t xml:space="preserve">AGYW_PREV.N.Rt.R</t>
  </si>
  <si>
    <t xml:space="preserve">AGYW_PREV.N.Rt.T</t>
  </si>
  <si>
    <t xml:space="preserve">AGYW_PREV.D.Growth.T</t>
  </si>
  <si>
    <t xml:space="preserve">P.C. Est. KP_MAT_SUBNAT (FY23)</t>
  </si>
  <si>
    <t xml:space="preserve">PEPFAR KP_MAT (FY23 Targets)</t>
  </si>
  <si>
    <t xml:space="preserve">Observed PEPFAR Coverage of KP_MAT_SUBNAT (FY23 Targets) (%)</t>
  </si>
  <si>
    <t xml:space="preserve">Targeted PEPFAR Coverage of KP_MAT_SUBNAT (FY24) (%)</t>
  </si>
  <si>
    <t xml:space="preserve">Projected Change in KP_MAT (%)</t>
  </si>
  <si>
    <t xml:space="preserve">P.C. KP_MAT_SUBNAT (FY24)</t>
  </si>
  <si>
    <t xml:space="preserve">ctGo7s0K63z</t>
  </si>
  <si>
    <t xml:space="preserve">KJZrqS4XcJ2</t>
  </si>
  <si>
    <t xml:space="preserve">KP_MAT_SUBNAT.T_1</t>
  </si>
  <si>
    <t xml:space="preserve">KP_MAT.T_1</t>
  </si>
  <si>
    <t xml:space="preserve">KP_MAT.NatlContr.T_1</t>
  </si>
  <si>
    <t xml:space="preserve">KP_MAT.NatlContr.T</t>
  </si>
  <si>
    <t xml:space="preserve">KP_MAT.Growth.T</t>
  </si>
  <si>
    <t xml:space="preserve">KP_MAT_SUBNAT.T</t>
  </si>
  <si>
    <t xml:space="preserve">KP Validation</t>
  </si>
  <si>
    <t xml:space="preserve">HTS_TST - Positives</t>
  </si>
  <si>
    <t xml:space="preserve">HTS_TST - Negatives</t>
  </si>
  <si>
    <t xml:space="preserve">For each indicator, red highlighting may indicate:
- MSM &gt; Males
- FSW &gt; Females
- After removing MSM &amp; FSW from Total Targets, the sum of People in prisons and other enclosed settings, PWID, &amp; TG is still higher than the remainder from Total Targets.</t>
  </si>
  <si>
    <t xml:space="preserve">Total Targets</t>
  </si>
  <si>
    <t xml:space="preserve">KP Targets Validation</t>
  </si>
  <si>
    <t xml:space="preserve">Female, 15+ (FY24)</t>
  </si>
  <si>
    <t xml:space="preserve">AGYW, 15-34 (FY24)</t>
  </si>
  <si>
    <t xml:space="preserve">Male, 15+ (FY24)</t>
  </si>
  <si>
    <t xml:space="preserve">PrEP_CT.Female.T</t>
  </si>
  <si>
    <t xml:space="preserve">PrEP_CT.AGYW.T</t>
  </si>
  <si>
    <t xml:space="preserve">PrEP_CT.Male.T</t>
  </si>
  <si>
    <t xml:space="preserve">PrEP_CT.KP.FSW.T</t>
  </si>
  <si>
    <t xml:space="preserve">PrEP_CT.KP.MSM.T</t>
  </si>
  <si>
    <t xml:space="preserve">PrEP_CT.KP.Enclosed.T</t>
  </si>
  <si>
    <t xml:space="preserve">PrEP_CT.KP.PWID.T</t>
  </si>
  <si>
    <t xml:space="preserve">PrEP_CT.KP.TG.T</t>
  </si>
  <si>
    <t xml:space="preserve">PrEP_NEW.Female.T</t>
  </si>
  <si>
    <t xml:space="preserve">PrEP_NEW.AGYW.T</t>
  </si>
  <si>
    <t xml:space="preserve">PrEP_NEW.Male.T</t>
  </si>
  <si>
    <t xml:space="preserve">PrEP_NEW.KP.FSW.T</t>
  </si>
  <si>
    <t xml:space="preserve">PrEP_NEW.KP.MSM.T</t>
  </si>
  <si>
    <t xml:space="preserve">PrEP_NEW.KP.Enclosed.T</t>
  </si>
  <si>
    <t xml:space="preserve">PrEP_NEW.KP.PWID.T</t>
  </si>
  <si>
    <t xml:space="preserve">PrEP_NEW.KP.TG.T</t>
  </si>
  <si>
    <t xml:space="preserve">TX_CURR.Female.T</t>
  </si>
  <si>
    <t xml:space="preserve">TX_CURR.Male.T</t>
  </si>
  <si>
    <t xml:space="preserve">TX_CURR.KP.FSW.T</t>
  </si>
  <si>
    <t xml:space="preserve">TX_CURR.KP.MSM.T</t>
  </si>
  <si>
    <t xml:space="preserve">TX_CURR.KP.Enclosed.T</t>
  </si>
  <si>
    <t xml:space="preserve">TX_CURR.KP.PWID.T</t>
  </si>
  <si>
    <t xml:space="preserve">TX_CURR.KP.TG.T</t>
  </si>
  <si>
    <t xml:space="preserve">TX_NEW.Female.T</t>
  </si>
  <si>
    <t xml:space="preserve">TX_NEW.Male.T</t>
  </si>
  <si>
    <t xml:space="preserve">TX_NEW.KP.FSW.T</t>
  </si>
  <si>
    <t xml:space="preserve">TX_NEW.KP.MSM.T</t>
  </si>
  <si>
    <t xml:space="preserve">TX_NEW.KP.Enclosed.T</t>
  </si>
  <si>
    <t xml:space="preserve">TX_NEW.KP.PWID.T</t>
  </si>
  <si>
    <t xml:space="preserve">TX_NEW.KP.TG.T</t>
  </si>
  <si>
    <t xml:space="preserve">TX_PVLS.D.Female.T</t>
  </si>
  <si>
    <t xml:space="preserve">TX_PVLS.D.Male.T</t>
  </si>
  <si>
    <t xml:space="preserve">TX_PVLS.D.KP.FSW.T</t>
  </si>
  <si>
    <t xml:space="preserve">TX_PVLS.D.KP.MSM.T</t>
  </si>
  <si>
    <t xml:space="preserve">TX_PVLS.D.KP.Enclosed.T</t>
  </si>
  <si>
    <t xml:space="preserve">TX_PVLS.D.KP.PWID.T</t>
  </si>
  <si>
    <t xml:space="preserve">TX_PVLS.D.KP.TG.T</t>
  </si>
  <si>
    <t xml:space="preserve">TX_PVLS.N.Female.T</t>
  </si>
  <si>
    <t xml:space="preserve">TX_PVLS.Male.T</t>
  </si>
  <si>
    <t xml:space="preserve">TX_PVLS.N.KP.FSW.T</t>
  </si>
  <si>
    <t xml:space="preserve">TX_PVLS.N.KP.MSM.T</t>
  </si>
  <si>
    <t xml:space="preserve">TX_PVLS.N.KP.Enclosed.T</t>
  </si>
  <si>
    <t xml:space="preserve">TX_PVLS.N.KP.PWID.T</t>
  </si>
  <si>
    <t xml:space="preserve">TX_PVLS.N.KP.TG.T</t>
  </si>
  <si>
    <t xml:space="preserve">HTS_TST.Pos.Female.T</t>
  </si>
  <si>
    <t xml:space="preserve">HTS_TST.Pos.Male.T</t>
  </si>
  <si>
    <t xml:space="preserve">HTS_TST.Pos.KP.FSW.T</t>
  </si>
  <si>
    <t xml:space="preserve">HTS_TST.Pos.KP.MSM.T</t>
  </si>
  <si>
    <t xml:space="preserve">HTS_TST.Pos.KP.Enclosed.T</t>
  </si>
  <si>
    <t xml:space="preserve">HTS_TST.Pos.KP.PWID.T</t>
  </si>
  <si>
    <t xml:space="preserve">HTS_TST.Pos.KP.TG.T</t>
  </si>
  <si>
    <t xml:space="preserve">HTS_TST.Neg.Female.T</t>
  </si>
  <si>
    <t xml:space="preserve">HTS_TST.Neg.Male.T</t>
  </si>
  <si>
    <t xml:space="preserve">HTS_TST.Neg.KP.FSW.T</t>
  </si>
  <si>
    <t xml:space="preserve">HTS_TST.Neg.KP.MSM.T</t>
  </si>
  <si>
    <t xml:space="preserve">HTS_TST.Neg.KP.Enclosed.T</t>
  </si>
  <si>
    <t xml:space="preserve">HTS_TST.Neg.KP.PWID.T</t>
  </si>
  <si>
    <t xml:space="preserve">HTS_TST.Neg.KP.TG.T</t>
  </si>
  <si>
    <t xml:space="preserve">HTS_RECENT.Female.T</t>
  </si>
  <si>
    <t xml:space="preserve">HTS_RECENT.Male.T</t>
  </si>
  <si>
    <t xml:space="preserve">HTS_RECENT.KP.FSW.T</t>
  </si>
  <si>
    <t xml:space="preserve">HTS_RECENT.KP.MSM.T</t>
  </si>
  <si>
    <t xml:space="preserve">HTS_RECENT.KP.Enclosed.T</t>
  </si>
  <si>
    <t xml:space="preserve">HTS_RECENT.KP.PWID.T</t>
  </si>
  <si>
    <t xml:space="preserve">HTS_RECENT.KP.TG.T</t>
  </si>
  <si>
    <t xml:space="preserve">HTS_SELF.Female.T</t>
  </si>
  <si>
    <t xml:space="preserve">HTS_SELF.Male.T</t>
  </si>
  <si>
    <t xml:space="preserve">HTS_SELF.KP.FSW.T</t>
  </si>
  <si>
    <t xml:space="preserve">HTS_SELF.KP.MSM.T</t>
  </si>
  <si>
    <t xml:space="preserve">HTS_SELF.KP.Enclosed.T</t>
  </si>
  <si>
    <t xml:space="preserve">HTS_SELF.KP.PWID.T</t>
  </si>
  <si>
    <t xml:space="preserve">HTS_SELF.KP.TG.T</t>
  </si>
</sst>
</file>

<file path=xl/styles.xml><?xml version="1.0" encoding="utf-8"?>
<styleSheet xmlns="http://schemas.openxmlformats.org/spreadsheetml/2006/main">
  <numFmts count="6">
    <numFmt numFmtId="164" formatCode="General"/>
    <numFmt numFmtId="165" formatCode="#,##0"/>
    <numFmt numFmtId="166" formatCode="@"/>
    <numFmt numFmtId="167" formatCode="0.00%"/>
    <numFmt numFmtId="168" formatCode="0%"/>
    <numFmt numFmtId="169" formatCode="0"/>
  </numFmts>
  <fonts count="30">
    <font>
      <sz val="12"/>
      <color rgb="FF000000"/>
      <name val="Calibri"/>
      <family val="2"/>
      <charset val="1"/>
    </font>
    <font>
      <sz val="10"/>
      <name val="Arial"/>
      <family val="0"/>
    </font>
    <font>
      <sz val="10"/>
      <name val="Arial"/>
      <family val="0"/>
    </font>
    <font>
      <sz val="10"/>
      <name val="Arial"/>
      <family val="0"/>
    </font>
    <font>
      <sz val="36"/>
      <color rgb="FF7F7F7F"/>
      <name val="Calibri"/>
      <family val="0"/>
      <charset val="1"/>
    </font>
    <font>
      <b val="true"/>
      <sz val="76"/>
      <color rgb="FF000000"/>
      <name val="Calibri"/>
      <family val="0"/>
      <charset val="1"/>
    </font>
    <font>
      <b val="true"/>
      <sz val="64"/>
      <color rgb="FF073763"/>
      <name val="Calibri"/>
      <family val="0"/>
      <charset val="1"/>
    </font>
    <font>
      <sz val="12"/>
      <color rgb="FF000000"/>
      <name val="Calibri"/>
      <family val="0"/>
      <charset val="1"/>
    </font>
    <font>
      <b val="true"/>
      <sz val="12"/>
      <color rgb="FF000000"/>
      <name val="Calibri"/>
      <family val="2"/>
      <charset val="1"/>
    </font>
    <font>
      <b val="true"/>
      <sz val="12"/>
      <color rgb="FFFFFFFF"/>
      <name val="Calibri"/>
      <family val="2"/>
      <charset val="1"/>
    </font>
    <font>
      <b val="true"/>
      <u val="single"/>
      <sz val="12"/>
      <color rgb="FFFFFFFF"/>
      <name val="Calibri"/>
      <family val="2"/>
      <charset val="1"/>
    </font>
    <font>
      <sz val="12"/>
      <color rgb="FFFFFFFF"/>
      <name val="Calibri"/>
      <family val="2"/>
      <charset val="1"/>
    </font>
    <font>
      <b val="true"/>
      <sz val="18"/>
      <color rgb="FF000000"/>
      <name val="Calibri"/>
      <family val="2"/>
      <charset val="1"/>
    </font>
    <font>
      <b val="true"/>
      <sz val="18"/>
      <color rgb="FFFFFFFF"/>
      <name val="Calibri"/>
      <family val="2"/>
      <charset val="1"/>
    </font>
    <font>
      <sz val="18"/>
      <color rgb="FFFFFFFF"/>
      <name val="Calibri"/>
      <family val="2"/>
      <charset val="1"/>
    </font>
    <font>
      <i val="true"/>
      <sz val="14"/>
      <color rgb="FF000000"/>
      <name val="Calibri"/>
      <family val="2"/>
      <charset val="1"/>
    </font>
    <font>
      <b val="true"/>
      <sz val="11"/>
      <color rgb="FF000000"/>
      <name val="Calibri"/>
      <family val="2"/>
      <charset val="1"/>
    </font>
    <font>
      <b val="true"/>
      <sz val="12"/>
      <color rgb="FFBFBFBF"/>
      <name val="Calibri"/>
      <family val="2"/>
      <charset val="1"/>
    </font>
    <font>
      <sz val="12"/>
      <color rgb="FFBFBFBF"/>
      <name val="Calibri"/>
      <family val="2"/>
      <charset val="1"/>
    </font>
    <font>
      <b val="true"/>
      <sz val="12"/>
      <color rgb="FF000000"/>
      <name val="Calibri"/>
      <family val="0"/>
      <charset val="1"/>
    </font>
    <font>
      <sz val="12"/>
      <color rgb="FF000000"/>
      <name val="Calibri (Body)"/>
      <family val="0"/>
      <charset val="1"/>
    </font>
    <font>
      <sz val="10"/>
      <color rgb="FF000000"/>
      <name val="Tahoma"/>
      <family val="2"/>
      <charset val="1"/>
    </font>
    <font>
      <sz val="11"/>
      <color rgb="FF000000"/>
      <name val="Calibri"/>
      <family val="2"/>
      <charset val="1"/>
    </font>
    <font>
      <b val="true"/>
      <i val="true"/>
      <sz val="14"/>
      <color rgb="FF000000"/>
      <name val="Calibri"/>
      <family val="2"/>
      <charset val="1"/>
    </font>
    <font>
      <b val="true"/>
      <sz val="14"/>
      <color rgb="FF000000"/>
      <name val="Calibri"/>
      <family val="2"/>
      <charset val="1"/>
    </font>
    <font>
      <sz val="12"/>
      <color rgb="FF0563C1"/>
      <name val="Calibri"/>
      <family val="2"/>
      <charset val="1"/>
    </font>
    <font>
      <sz val="10"/>
      <color rgb="FF000000"/>
      <name val="Tahoma"/>
      <family val="0"/>
      <charset val="1"/>
    </font>
    <font>
      <b val="true"/>
      <sz val="12"/>
      <color rgb="FF0563C1"/>
      <name val="Calibri"/>
      <family val="2"/>
      <charset val="1"/>
    </font>
    <font>
      <b val="true"/>
      <sz val="10"/>
      <color rgb="FF000000"/>
      <name val="Tahoma"/>
      <family val="2"/>
      <charset val="1"/>
    </font>
    <font>
      <b val="true"/>
      <sz val="10"/>
      <color rgb="FF000000"/>
      <name val="Tahoma"/>
      <family val="0"/>
      <charset val="1"/>
    </font>
  </fonts>
  <fills count="8">
    <fill>
      <patternFill patternType="none"/>
    </fill>
    <fill>
      <patternFill patternType="gray125"/>
    </fill>
    <fill>
      <patternFill patternType="solid">
        <fgColor rgb="FF073763"/>
        <bgColor rgb="FF333333"/>
      </patternFill>
    </fill>
    <fill>
      <patternFill patternType="solid">
        <fgColor rgb="FFFFEB84"/>
        <bgColor rgb="FFFFEB9C"/>
      </patternFill>
    </fill>
    <fill>
      <patternFill patternType="solid">
        <fgColor rgb="FFBFBFBF"/>
        <bgColor rgb="FFC5E0B4"/>
      </patternFill>
    </fill>
    <fill>
      <patternFill patternType="solid">
        <fgColor rgb="FF8FAADC"/>
        <bgColor rgb="FF99CCFF"/>
      </patternFill>
    </fill>
    <fill>
      <patternFill patternType="solid">
        <fgColor rgb="FFC5E0B4"/>
        <bgColor rgb="FFC6EFCE"/>
      </patternFill>
    </fill>
    <fill>
      <patternFill patternType="solid">
        <fgColor rgb="FFFFF2CC"/>
        <bgColor rgb="FFFFEB9C"/>
      </patternFill>
    </fill>
  </fills>
  <borders count="5">
    <border diagonalUp="false" diagonalDown="false">
      <left/>
      <right/>
      <top/>
      <bottom/>
      <diagonal/>
    </border>
    <border diagonalUp="false" diagonalDown="false">
      <left style="medium"/>
      <right style="medium"/>
      <top style="medium"/>
      <bottom style="medium"/>
      <diagonal/>
    </border>
    <border diagonalUp="false" diagonalDown="false">
      <left style="thick">
        <color rgb="FFE7E6E6"/>
      </left>
      <right/>
      <top/>
      <bottom/>
      <diagonal/>
    </border>
    <border diagonalUp="false" diagonalDown="false">
      <left/>
      <right style="medium">
        <color rgb="FFE7E6E6"/>
      </right>
      <top/>
      <bottom/>
      <diagonal/>
    </border>
    <border diagonalUp="false" diagonalDown="false">
      <left style="medium">
        <color rgb="FFE7E6E6"/>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3">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left" vertical="center" textRotation="0" wrapText="false" indent="0" shrinkToFit="false"/>
      <protection locked="true" hidden="false"/>
    </xf>
    <xf numFmtId="165" fontId="5" fillId="0" borderId="0" xfId="0" applyFont="true" applyBorder="false" applyAlignment="true" applyProtection="false">
      <alignment horizontal="left" vertical="center" textRotation="0" wrapText="false" indent="0" shrinkToFit="false"/>
      <protection locked="true" hidden="false"/>
    </xf>
    <xf numFmtId="165" fontId="6" fillId="0" borderId="0" xfId="0" applyFont="true" applyBorder="false" applyAlignment="true" applyProtection="false">
      <alignment horizontal="left" vertical="center" textRotation="0" wrapText="false" indent="0" shrinkToFit="false"/>
      <protection locked="true" hidden="false"/>
    </xf>
    <xf numFmtId="165" fontId="7" fillId="2"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5" fontId="8" fillId="3" borderId="1" xfId="0" applyFont="true" applyBorder="true" applyAlignment="true" applyProtection="false">
      <alignment horizontal="center" vertical="bottom" textRotation="0" wrapText="false" indent="0" shrinkToFit="false"/>
      <protection locked="true" hidden="false"/>
    </xf>
    <xf numFmtId="165" fontId="9" fillId="2" borderId="0" xfId="0" applyFont="true" applyBorder="false" applyAlignment="false" applyProtection="false">
      <alignment horizontal="general" vertical="bottom" textRotation="0" wrapText="false" indent="0" shrinkToFit="false"/>
      <protection locked="true" hidden="false"/>
    </xf>
    <xf numFmtId="166" fontId="7"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5" fontId="10" fillId="2" borderId="0" xfId="0" applyFont="true" applyBorder="false" applyAlignment="true" applyProtection="false">
      <alignment horizontal="center" vertical="bottom" textRotation="0" wrapText="false" indent="0" shrinkToFit="false"/>
      <protection locked="true" hidden="false"/>
    </xf>
    <xf numFmtId="165" fontId="11" fillId="2" borderId="0" xfId="0" applyFont="true" applyBorder="true" applyAlignment="true" applyProtection="false">
      <alignment horizontal="left" vertical="top" textRotation="0" wrapText="true" indent="0" shrinkToFit="false"/>
      <protection locked="true" hidden="false"/>
    </xf>
    <xf numFmtId="165" fontId="11" fillId="2" borderId="0" xfId="0" applyFont="true" applyBorder="false" applyAlignment="true" applyProtection="false">
      <alignment horizontal="general" vertical="top" textRotation="0" wrapText="true" indent="0" shrinkToFit="false"/>
      <protection locked="true" hidden="false"/>
    </xf>
    <xf numFmtId="165" fontId="11" fillId="2" borderId="0" xfId="0" applyFont="true" applyBorder="false" applyAlignment="false" applyProtection="false">
      <alignment horizontal="general" vertical="bottom" textRotation="0" wrapText="false" indent="0" shrinkToFit="false"/>
      <protection locked="true" hidden="false"/>
    </xf>
    <xf numFmtId="166" fontId="12" fillId="0" borderId="0" xfId="0" applyFont="true" applyBorder="false" applyAlignment="true" applyProtection="false">
      <alignment horizontal="general" vertical="center" textRotation="0" wrapText="false" indent="0" shrinkToFit="false"/>
      <protection locked="true" hidden="false"/>
    </xf>
    <xf numFmtId="165" fontId="13" fillId="2" borderId="2" xfId="0" applyFont="true" applyBorder="true" applyAlignment="true" applyProtection="false">
      <alignment horizontal="left" vertical="center" textRotation="0" wrapText="false" indent="0" shrinkToFit="false"/>
      <protection locked="true" hidden="false"/>
    </xf>
    <xf numFmtId="165" fontId="13" fillId="2" borderId="0" xfId="0" applyFont="true" applyBorder="false" applyAlignment="true" applyProtection="false">
      <alignment horizontal="left" vertical="center" textRotation="0" wrapText="false" indent="0" shrinkToFit="false"/>
      <protection locked="true" hidden="false"/>
    </xf>
    <xf numFmtId="165" fontId="14" fillId="2" borderId="0" xfId="0" applyFont="true" applyBorder="false" applyAlignment="true" applyProtection="false">
      <alignment horizontal="general" vertical="center" textRotation="0" wrapText="false" indent="0" shrinkToFit="false"/>
      <protection locked="true" hidden="false"/>
    </xf>
    <xf numFmtId="166" fontId="15" fillId="0" borderId="0" xfId="0" applyFont="true" applyBorder="false" applyAlignment="false" applyProtection="false">
      <alignment horizontal="general" vertical="bottom" textRotation="0" wrapText="false" indent="0" shrinkToFit="false"/>
      <protection locked="true" hidden="false"/>
    </xf>
    <xf numFmtId="165" fontId="15" fillId="0" borderId="2" xfId="0" applyFont="true" applyBorder="true" applyAlignment="true" applyProtection="false">
      <alignment horizontal="left" vertical="bottom" textRotation="0" wrapText="false" indent="0" shrinkToFit="false"/>
      <protection locked="true" hidden="false"/>
    </xf>
    <xf numFmtId="165" fontId="16" fillId="0" borderId="0" xfId="0" applyFont="true" applyBorder="false" applyAlignment="true" applyProtection="false">
      <alignment horizontal="center" vertical="bottom" textRotation="0" wrapText="false" indent="0" shrinkToFit="false"/>
      <protection locked="true" hidden="false"/>
    </xf>
    <xf numFmtId="165" fontId="15" fillId="0" borderId="0" xfId="0" applyFont="true" applyBorder="false" applyAlignment="false" applyProtection="false">
      <alignment horizontal="general" vertical="bottom" textRotation="0" wrapText="false" indent="0" shrinkToFit="false"/>
      <protection locked="true" hidden="false"/>
    </xf>
    <xf numFmtId="166" fontId="7" fillId="0" borderId="0" xfId="0" applyFont="true" applyBorder="false" applyAlignment="true" applyProtection="false">
      <alignment horizontal="center" vertical="center" textRotation="0" wrapText="true" indent="0" shrinkToFit="false"/>
      <protection locked="true" hidden="false"/>
    </xf>
    <xf numFmtId="165" fontId="7" fillId="4" borderId="2" xfId="0" applyFont="true" applyBorder="true" applyAlignment="true" applyProtection="false">
      <alignment horizontal="center" vertical="center" textRotation="0" wrapText="true" indent="0" shrinkToFit="false"/>
      <protection locked="true" hidden="false"/>
    </xf>
    <xf numFmtId="165" fontId="8" fillId="5" borderId="0" xfId="0" applyFont="true" applyBorder="false" applyAlignment="true" applyProtection="false">
      <alignment horizontal="center" vertical="center" textRotation="0" wrapText="true" indent="0" shrinkToFit="false"/>
      <protection locked="true" hidden="false"/>
    </xf>
    <xf numFmtId="165" fontId="0" fillId="4" borderId="0" xfId="0" applyFont="true" applyBorder="false" applyAlignment="true" applyProtection="false">
      <alignment horizontal="center" vertical="center" textRotation="0" wrapText="true" indent="0" shrinkToFit="false"/>
      <protection locked="true" hidden="false"/>
    </xf>
    <xf numFmtId="166" fontId="7" fillId="0" borderId="0" xfId="0" applyFont="true" applyBorder="false" applyAlignment="true" applyProtection="false">
      <alignment horizontal="right" vertical="bottom" textRotation="0" wrapText="false" indent="0" shrinkToFit="false"/>
      <protection locked="true" hidden="false"/>
    </xf>
    <xf numFmtId="165" fontId="7" fillId="0" borderId="2" xfId="0" applyFont="true" applyBorder="true" applyAlignment="true" applyProtection="false">
      <alignment horizontal="left" vertical="bottom" textRotation="0" wrapText="false" indent="0" shrinkToFit="false"/>
      <protection locked="true" hidden="false"/>
    </xf>
    <xf numFmtId="165" fontId="8" fillId="0" borderId="0" xfId="0" applyFont="true" applyBorder="false" applyAlignment="true" applyProtection="false">
      <alignment horizontal="left" vertical="bottom" textRotation="0" wrapText="false" indent="0" shrinkToFit="false"/>
      <protection locked="true" hidden="false"/>
    </xf>
    <xf numFmtId="165" fontId="7" fillId="0" borderId="0" xfId="0" applyFont="true" applyBorder="false" applyAlignment="true" applyProtection="false">
      <alignment horizontal="center" vertical="bottom" textRotation="0" wrapText="false" indent="0" shrinkToFit="false"/>
      <protection locked="true" hidden="false"/>
    </xf>
    <xf numFmtId="165" fontId="7" fillId="6" borderId="2" xfId="0" applyFont="true" applyBorder="true" applyAlignment="true" applyProtection="false">
      <alignment horizontal="left" vertical="bottom" textRotation="0" wrapText="false" indent="0" shrinkToFit="false"/>
      <protection locked="true" hidden="false"/>
    </xf>
    <xf numFmtId="165" fontId="8" fillId="6" borderId="0" xfId="0" applyFont="true" applyBorder="false" applyAlignment="true" applyProtection="false">
      <alignment horizontal="left" vertical="bottom" textRotation="0" wrapText="false" indent="0" shrinkToFit="false"/>
      <protection locked="true" hidden="false"/>
    </xf>
    <xf numFmtId="166" fontId="8" fillId="4" borderId="0" xfId="0" applyFont="true" applyBorder="false" applyAlignment="false" applyProtection="false">
      <alignment horizontal="general" vertical="bottom" textRotation="0" wrapText="false" indent="0" shrinkToFit="false"/>
      <protection locked="true" hidden="false"/>
    </xf>
    <xf numFmtId="165" fontId="17" fillId="4" borderId="2" xfId="0" applyFont="true" applyBorder="true" applyAlignment="true" applyProtection="false">
      <alignment horizontal="left" vertical="bottom" textRotation="0" wrapText="false" indent="0" shrinkToFit="false"/>
      <protection locked="true" hidden="false"/>
    </xf>
    <xf numFmtId="165" fontId="17" fillId="4" borderId="0" xfId="0" applyFont="true" applyBorder="false" applyAlignment="true" applyProtection="false">
      <alignment horizontal="left" vertical="bottom" textRotation="0" wrapText="false" indent="0" shrinkToFit="false"/>
      <protection locked="true" hidden="false"/>
    </xf>
    <xf numFmtId="165" fontId="18" fillId="4"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true" applyProtection="false">
      <alignment horizontal="center" vertical="bottom" textRotation="0" wrapText="false" indent="0" shrinkToFit="false"/>
      <protection locked="true" hidden="false"/>
    </xf>
    <xf numFmtId="165" fontId="7" fillId="0" borderId="0" xfId="0" applyFont="true" applyBorder="false" applyAlignment="true" applyProtection="false">
      <alignment horizontal="left" vertical="bottom" textRotation="0" wrapText="false" indent="0" shrinkToFit="false"/>
      <protection locked="true" hidden="false"/>
    </xf>
    <xf numFmtId="165" fontId="19"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true" applyProtection="false">
      <alignment horizontal="general" vertical="center" textRotation="0" wrapText="false" indent="0" shrinkToFit="false"/>
      <protection locked="true" hidden="false"/>
    </xf>
    <xf numFmtId="165" fontId="13" fillId="2" borderId="2" xfId="0" applyFont="true" applyBorder="true" applyAlignment="true" applyProtection="false">
      <alignment horizontal="general" vertical="center" textRotation="0" wrapText="false" indent="0" shrinkToFit="false"/>
      <protection locked="true" hidden="false"/>
    </xf>
    <xf numFmtId="165" fontId="13" fillId="2" borderId="0" xfId="0" applyFont="true" applyBorder="false" applyAlignment="true" applyProtection="false">
      <alignment horizontal="general" vertical="center" textRotation="0" wrapText="false" indent="0" shrinkToFit="false"/>
      <protection locked="true" hidden="false"/>
    </xf>
    <xf numFmtId="167" fontId="13" fillId="2" borderId="0" xfId="0" applyFont="true" applyBorder="false" applyAlignment="true" applyProtection="false">
      <alignment horizontal="general" vertical="center" textRotation="0" wrapText="false" indent="0" shrinkToFit="false"/>
      <protection locked="true" hidden="false"/>
    </xf>
    <xf numFmtId="168" fontId="14" fillId="2" borderId="0" xfId="0" applyFont="true" applyBorder="false" applyAlignment="true" applyProtection="false">
      <alignment horizontal="general" vertical="center" textRotation="0" wrapText="false" indent="0" shrinkToFit="false"/>
      <protection locked="true" hidden="false"/>
    </xf>
    <xf numFmtId="169" fontId="14" fillId="2" borderId="0" xfId="0" applyFont="true" applyBorder="false" applyAlignment="true" applyProtection="false">
      <alignment horizontal="general" vertical="center" textRotation="0" wrapText="false" indent="0" shrinkToFit="false"/>
      <protection locked="true" hidden="false"/>
    </xf>
    <xf numFmtId="168" fontId="13" fillId="2" borderId="0" xfId="0" applyFont="true" applyBorder="false" applyAlignment="true" applyProtection="false">
      <alignment horizontal="general" vertical="center" textRotation="0" wrapText="false" indent="0" shrinkToFit="false"/>
      <protection locked="true" hidden="false"/>
    </xf>
    <xf numFmtId="168" fontId="13" fillId="2" borderId="2" xfId="0" applyFont="true" applyBorder="true" applyAlignment="true" applyProtection="false">
      <alignment horizontal="general" vertical="center" textRotation="0" wrapText="false" indent="0" shrinkToFit="false"/>
      <protection locked="true" hidden="false"/>
    </xf>
    <xf numFmtId="166" fontId="20" fillId="7" borderId="1" xfId="0" applyFont="true" applyBorder="true" applyAlignment="true" applyProtection="false">
      <alignment horizontal="left" vertical="center" textRotation="0" wrapText="true" indent="0" shrinkToFit="false"/>
      <protection locked="true" hidden="false"/>
    </xf>
    <xf numFmtId="165" fontId="15" fillId="0" borderId="2" xfId="0" applyFont="true" applyBorder="true" applyAlignment="false" applyProtection="false">
      <alignment horizontal="general" vertical="bottom" textRotation="0" wrapText="false" indent="0" shrinkToFit="false"/>
      <protection locked="true" hidden="false"/>
    </xf>
    <xf numFmtId="167" fontId="15" fillId="0" borderId="0" xfId="0" applyFont="true" applyBorder="false" applyAlignment="false" applyProtection="false">
      <alignment horizontal="general" vertical="bottom" textRotation="0" wrapText="false" indent="0" shrinkToFit="false"/>
      <protection locked="true" hidden="false"/>
    </xf>
    <xf numFmtId="168" fontId="15" fillId="0" borderId="0" xfId="0" applyFont="true" applyBorder="false" applyAlignment="false" applyProtection="false">
      <alignment horizontal="general" vertical="bottom" textRotation="0" wrapText="false" indent="0" shrinkToFit="false"/>
      <protection locked="true" hidden="false"/>
    </xf>
    <xf numFmtId="169" fontId="15" fillId="0" borderId="0" xfId="0" applyFont="true" applyBorder="false" applyAlignment="false" applyProtection="false">
      <alignment horizontal="general" vertical="bottom" textRotation="0" wrapText="false" indent="0" shrinkToFit="false"/>
      <protection locked="true" hidden="false"/>
    </xf>
    <xf numFmtId="168" fontId="15" fillId="0" borderId="2" xfId="0" applyFont="tru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true" applyProtection="false">
      <alignment horizontal="center" vertical="bottom" textRotation="0" wrapText="false" indent="0" shrinkToFit="false"/>
      <protection locked="true" hidden="false"/>
    </xf>
    <xf numFmtId="168" fontId="15" fillId="0" borderId="2" xfId="0" applyFont="true" applyBorder="true" applyAlignment="true" applyProtection="false">
      <alignment horizontal="left" vertical="bottom" textRotation="0" wrapText="false" indent="0" shrinkToFit="false"/>
      <protection locked="true" hidden="false"/>
    </xf>
    <xf numFmtId="165" fontId="15" fillId="0" borderId="0" xfId="0" applyFont="true" applyBorder="false" applyAlignment="true" applyProtection="false">
      <alignment horizontal="center" vertical="bottom" textRotation="0" wrapText="false" indent="0" shrinkToFit="false"/>
      <protection locked="true" hidden="false"/>
    </xf>
    <xf numFmtId="168" fontId="15" fillId="0" borderId="0" xfId="0" applyFont="true" applyBorder="false" applyAlignment="true" applyProtection="false">
      <alignment horizontal="center" vertical="bottom" textRotation="0" wrapText="false" indent="0" shrinkToFit="false"/>
      <protection locked="true" hidden="false"/>
    </xf>
    <xf numFmtId="165" fontId="7" fillId="0" borderId="0" xfId="0" applyFont="true" applyBorder="false" applyAlignment="true" applyProtection="false">
      <alignment horizontal="center" vertical="center" textRotation="0" wrapText="true" indent="0" shrinkToFit="false"/>
      <protection locked="true" hidden="false"/>
    </xf>
    <xf numFmtId="165" fontId="7" fillId="5" borderId="2" xfId="0" applyFont="true" applyBorder="true" applyAlignment="true" applyProtection="false">
      <alignment horizontal="center" vertical="center" textRotation="0" wrapText="true" indent="0" shrinkToFit="false"/>
      <protection locked="true" hidden="false"/>
    </xf>
    <xf numFmtId="165" fontId="0" fillId="4" borderId="2" xfId="0" applyFont="true" applyBorder="true" applyAlignment="true" applyProtection="false">
      <alignment horizontal="center" vertical="center" textRotation="0" wrapText="true" indent="0" shrinkToFit="false"/>
      <protection locked="true" hidden="false"/>
    </xf>
    <xf numFmtId="165" fontId="0" fillId="5" borderId="0" xfId="0" applyFont="true" applyBorder="false" applyAlignment="true" applyProtection="false">
      <alignment horizontal="center" vertical="center" textRotation="0" wrapText="true" indent="0" shrinkToFit="false"/>
      <protection locked="true" hidden="false"/>
    </xf>
    <xf numFmtId="165" fontId="0" fillId="5" borderId="2" xfId="0" applyFont="true" applyBorder="true" applyAlignment="true" applyProtection="false">
      <alignment horizontal="center" vertical="center" textRotation="0" wrapText="true" indent="0" shrinkToFit="false"/>
      <protection locked="true" hidden="false"/>
    </xf>
    <xf numFmtId="167" fontId="0" fillId="5" borderId="0" xfId="0" applyFont="true" applyBorder="false" applyAlignment="true" applyProtection="false">
      <alignment horizontal="center" vertical="center" textRotation="0" wrapText="true" indent="0" shrinkToFit="false"/>
      <protection locked="true" hidden="false"/>
    </xf>
    <xf numFmtId="168" fontId="0" fillId="5" borderId="0" xfId="0" applyFont="true" applyBorder="false" applyAlignment="true" applyProtection="false">
      <alignment horizontal="center" vertical="center" textRotation="0" wrapText="true" indent="0" shrinkToFit="false"/>
      <protection locked="true" hidden="false"/>
    </xf>
    <xf numFmtId="169" fontId="0" fillId="5" borderId="0" xfId="0" applyFont="true" applyBorder="false" applyAlignment="true" applyProtection="false">
      <alignment horizontal="center" vertical="center" textRotation="0" wrapText="true" indent="0" shrinkToFit="false"/>
      <protection locked="true" hidden="false"/>
    </xf>
    <xf numFmtId="165" fontId="7" fillId="5" borderId="0" xfId="0" applyFont="true" applyBorder="false" applyAlignment="true" applyProtection="false">
      <alignment horizontal="center" vertical="center" textRotation="0" wrapText="true" indent="0" shrinkToFit="false"/>
      <protection locked="true" hidden="false"/>
    </xf>
    <xf numFmtId="168" fontId="0" fillId="5" borderId="2" xfId="0" applyFont="true" applyBorder="true" applyAlignment="true" applyProtection="false">
      <alignment horizontal="center" vertical="center" textRotation="0" wrapText="true" indent="0" shrinkToFit="false"/>
      <protection locked="true" hidden="false"/>
    </xf>
    <xf numFmtId="165" fontId="7" fillId="4" borderId="0" xfId="0" applyFont="true" applyBorder="false" applyAlignment="true" applyProtection="false">
      <alignment horizontal="center" vertical="center" textRotation="0" wrapText="true" indent="0" shrinkToFit="false"/>
      <protection locked="true" hidden="false"/>
    </xf>
    <xf numFmtId="165" fontId="8" fillId="4" borderId="2" xfId="0" applyFont="true" applyBorder="true" applyAlignment="true" applyProtection="false">
      <alignment horizontal="center" vertical="center" textRotation="0" wrapText="true" indent="0" shrinkToFit="false"/>
      <protection locked="true" hidden="false"/>
    </xf>
    <xf numFmtId="168" fontId="0" fillId="4" borderId="0" xfId="0" applyFont="true" applyBorder="false" applyAlignment="true" applyProtection="false">
      <alignment horizontal="center" vertical="center" textRotation="0" wrapText="true" indent="0" shrinkToFit="false"/>
      <protection locked="true" hidden="false"/>
    </xf>
    <xf numFmtId="165" fontId="8" fillId="4" borderId="0" xfId="0" applyFont="true" applyBorder="false" applyAlignment="true" applyProtection="false">
      <alignment horizontal="center" vertical="center" textRotation="0" wrapText="true" indent="0" shrinkToFit="false"/>
      <protection locked="true" hidden="false"/>
    </xf>
    <xf numFmtId="165" fontId="7" fillId="0" borderId="0" xfId="0" applyFont="true" applyBorder="false" applyAlignment="true" applyProtection="false">
      <alignment horizontal="right" vertical="bottom" textRotation="0" wrapText="false" indent="0" shrinkToFit="false"/>
      <protection locked="true" hidden="false"/>
    </xf>
    <xf numFmtId="165" fontId="7" fillId="0" borderId="2" xfId="0" applyFont="true" applyBorder="true" applyAlignment="true" applyProtection="false">
      <alignment horizontal="right"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5" fontId="0" fillId="0" borderId="2" xfId="0" applyFont="true" applyBorder="true" applyAlignment="true" applyProtection="false">
      <alignment horizontal="right" vertical="bottom" textRotation="0" wrapText="false" indent="0" shrinkToFit="false"/>
      <protection locked="true" hidden="false"/>
    </xf>
    <xf numFmtId="167" fontId="0" fillId="0" borderId="0" xfId="0" applyFont="true" applyBorder="false" applyAlignment="true" applyProtection="false">
      <alignment horizontal="right" vertical="bottom" textRotation="0" wrapText="false" indent="0" shrinkToFit="false"/>
      <protection locked="true" hidden="false"/>
    </xf>
    <xf numFmtId="168" fontId="0" fillId="0" borderId="0" xfId="0" applyFont="true" applyBorder="false" applyAlignment="true" applyProtection="false">
      <alignment horizontal="right" vertical="bottom" textRotation="0" wrapText="false" indent="0" shrinkToFit="false"/>
      <protection locked="true" hidden="false"/>
    </xf>
    <xf numFmtId="169" fontId="0" fillId="0" borderId="0" xfId="0" applyFont="true" applyBorder="false" applyAlignment="true" applyProtection="false">
      <alignment horizontal="right" vertical="bottom" textRotation="0" wrapText="false" indent="0" shrinkToFit="false"/>
      <protection locked="true" hidden="false"/>
    </xf>
    <xf numFmtId="168" fontId="0" fillId="0" borderId="2" xfId="0" applyFont="true" applyBorder="true" applyAlignment="true" applyProtection="false">
      <alignment horizontal="right" vertical="bottom" textRotation="0" wrapText="false" indent="0" shrinkToFit="false"/>
      <protection locked="true" hidden="false"/>
    </xf>
    <xf numFmtId="165" fontId="8" fillId="0"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true" applyProtection="false">
      <alignment horizontal="right" vertical="bottom" textRotation="0" wrapText="false" indent="0" shrinkToFit="false"/>
      <protection locked="true" hidden="false"/>
    </xf>
    <xf numFmtId="168" fontId="7" fillId="0" borderId="2" xfId="0" applyFont="true" applyBorder="true" applyAlignment="true" applyProtection="false">
      <alignment horizontal="right" vertical="bottom" textRotation="0" wrapText="false" indent="0" shrinkToFit="false"/>
      <protection locked="true" hidden="false"/>
    </xf>
    <xf numFmtId="168" fontId="7" fillId="0" borderId="0" xfId="0" applyFont="true" applyBorder="false" applyAlignment="true" applyProtection="false">
      <alignment horizontal="right" vertical="bottom" textRotation="0" wrapText="false" indent="0" shrinkToFit="false"/>
      <protection locked="true" hidden="false"/>
    </xf>
    <xf numFmtId="165" fontId="7" fillId="0" borderId="2" xfId="0" applyFont="true" applyBorder="true" applyAlignment="false" applyProtection="false">
      <alignment horizontal="general" vertical="bottom" textRotation="0" wrapText="false" indent="0" shrinkToFit="false"/>
      <protection locked="true" hidden="false"/>
    </xf>
    <xf numFmtId="167" fontId="7"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7"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8" fontId="7" fillId="0" borderId="2" xfId="0" applyFont="true" applyBorder="true" applyAlignment="false" applyProtection="false">
      <alignment horizontal="general" vertical="bottom" textRotation="0" wrapText="false" indent="0" shrinkToFit="false"/>
      <protection locked="true" hidden="false"/>
    </xf>
    <xf numFmtId="165" fontId="7" fillId="6" borderId="2" xfId="0" applyFont="true" applyBorder="true" applyAlignment="false" applyProtection="false">
      <alignment horizontal="general" vertical="bottom" textRotation="0" wrapText="false" indent="0" shrinkToFit="false"/>
      <protection locked="true" hidden="false"/>
    </xf>
    <xf numFmtId="165" fontId="7" fillId="6" borderId="0" xfId="0" applyFont="true" applyBorder="false" applyAlignment="false" applyProtection="false">
      <alignment horizontal="general" vertical="bottom" textRotation="0" wrapText="false" indent="0" shrinkToFit="false"/>
      <protection locked="true" hidden="false"/>
    </xf>
    <xf numFmtId="167" fontId="7" fillId="6" borderId="0" xfId="0" applyFont="true" applyBorder="false" applyAlignment="false" applyProtection="false">
      <alignment horizontal="general" vertical="bottom" textRotation="0" wrapText="false" indent="0" shrinkToFit="false"/>
      <protection locked="true" hidden="false"/>
    </xf>
    <xf numFmtId="165" fontId="8" fillId="6" borderId="2" xfId="0" applyFont="true" applyBorder="true" applyAlignment="false" applyProtection="false">
      <alignment horizontal="general" vertical="bottom" textRotation="0" wrapText="false" indent="0" shrinkToFit="false"/>
      <protection locked="true" hidden="false"/>
    </xf>
    <xf numFmtId="165" fontId="8" fillId="6" borderId="0" xfId="0" applyFont="true" applyBorder="false" applyAlignment="false" applyProtection="false">
      <alignment horizontal="general" vertical="bottom" textRotation="0" wrapText="false" indent="0" shrinkToFit="false"/>
      <protection locked="true" hidden="false"/>
    </xf>
    <xf numFmtId="165" fontId="8" fillId="4" borderId="0" xfId="0" applyFont="true" applyBorder="false" applyAlignment="true" applyProtection="false">
      <alignment horizontal="left" vertical="bottom" textRotation="0" wrapText="false" indent="0" shrinkToFit="false"/>
      <protection locked="true" hidden="false"/>
    </xf>
    <xf numFmtId="166" fontId="8" fillId="4" borderId="0" xfId="0" applyFont="true" applyBorder="false" applyAlignment="true" applyProtection="false">
      <alignment horizontal="left" vertical="bottom" textRotation="0" wrapText="false" indent="0" shrinkToFit="false"/>
      <protection locked="true" hidden="false"/>
    </xf>
    <xf numFmtId="165" fontId="8" fillId="4" borderId="0" xfId="0" applyFont="true" applyBorder="false" applyAlignment="false" applyProtection="false">
      <alignment horizontal="general" vertical="bottom" textRotation="0" wrapText="false" indent="0" shrinkToFit="false"/>
      <protection locked="true" hidden="false"/>
    </xf>
    <xf numFmtId="165" fontId="18" fillId="4" borderId="2" xfId="0" applyFont="true" applyBorder="true" applyAlignment="false" applyProtection="false">
      <alignment horizontal="general" vertical="bottom" textRotation="0" wrapText="false" indent="0" shrinkToFit="false"/>
      <protection locked="true" hidden="false"/>
    </xf>
    <xf numFmtId="167" fontId="18" fillId="4" borderId="0" xfId="0" applyFont="true" applyBorder="false" applyAlignment="false" applyProtection="false">
      <alignment horizontal="general" vertical="bottom" textRotation="0" wrapText="false" indent="0" shrinkToFit="false"/>
      <protection locked="true" hidden="false"/>
    </xf>
    <xf numFmtId="168" fontId="18" fillId="4" borderId="0" xfId="0" applyFont="true" applyBorder="false" applyAlignment="false" applyProtection="false">
      <alignment horizontal="general" vertical="bottom" textRotation="0" wrapText="false" indent="0" shrinkToFit="false"/>
      <protection locked="true" hidden="false"/>
    </xf>
    <xf numFmtId="169" fontId="18" fillId="4" borderId="0" xfId="0" applyFont="true" applyBorder="false" applyAlignment="false" applyProtection="false">
      <alignment horizontal="general" vertical="bottom" textRotation="0" wrapText="false" indent="0" shrinkToFit="false"/>
      <protection locked="true" hidden="false"/>
    </xf>
    <xf numFmtId="168" fontId="18" fillId="4" borderId="2" xfId="0" applyFont="true" applyBorder="true" applyAlignment="false" applyProtection="false">
      <alignment horizontal="general" vertical="bottom" textRotation="0" wrapText="false" indent="0" shrinkToFit="false"/>
      <protection locked="true" hidden="false"/>
    </xf>
    <xf numFmtId="165" fontId="17" fillId="4" borderId="2" xfId="0" applyFont="true" applyBorder="true" applyAlignment="false" applyProtection="false">
      <alignment horizontal="general" vertical="bottom" textRotation="0" wrapText="false" indent="0" shrinkToFit="false"/>
      <protection locked="true" hidden="false"/>
    </xf>
    <xf numFmtId="165" fontId="17" fillId="4" borderId="0" xfId="0" applyFont="true" applyBorder="false" applyAlignment="false" applyProtection="false">
      <alignment horizontal="general" vertical="bottom" textRotation="0" wrapText="false" indent="0" shrinkToFit="false"/>
      <protection locked="true" hidden="false"/>
    </xf>
    <xf numFmtId="168" fontId="18" fillId="4" borderId="0" xfId="0" applyFont="true" applyBorder="false" applyAlignment="true" applyProtection="false">
      <alignment horizontal="left" vertical="bottom" textRotation="0" wrapText="false" indent="0" shrinkToFit="false"/>
      <protection locked="true" hidden="false"/>
    </xf>
    <xf numFmtId="168" fontId="17" fillId="4" borderId="2" xfId="0" applyFont="true" applyBorder="true" applyAlignment="true" applyProtection="false">
      <alignment horizontal="left" vertical="bottom" textRotation="0" wrapText="false" indent="0" shrinkToFit="false"/>
      <protection locked="true" hidden="false"/>
    </xf>
    <xf numFmtId="165" fontId="18" fillId="4" borderId="0" xfId="0" applyFont="true" applyBorder="false" applyAlignment="true" applyProtection="false">
      <alignment horizontal="left" vertical="bottom" textRotation="0" wrapText="false" indent="0" shrinkToFit="false"/>
      <protection locked="true" hidden="false"/>
    </xf>
    <xf numFmtId="168" fontId="18" fillId="4" borderId="2" xfId="0" applyFont="true" applyBorder="true" applyAlignment="true" applyProtection="false">
      <alignment horizontal="left"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7" fontId="19"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true" applyBorder="true" applyAlignment="false" applyProtection="false">
      <alignment horizontal="general" vertical="bottom" textRotation="0" wrapText="false" indent="0" shrinkToFit="false"/>
      <protection locked="true" hidden="false"/>
    </xf>
    <xf numFmtId="167" fontId="16" fillId="0" borderId="0" xfId="0" applyFont="true" applyBorder="false" applyAlignment="true" applyProtection="false">
      <alignment horizontal="center" vertical="bottom" textRotation="0" wrapText="false" indent="0" shrinkToFit="false"/>
      <protection locked="true" hidden="false"/>
    </xf>
    <xf numFmtId="165" fontId="22" fillId="0" borderId="0" xfId="0" applyFont="true" applyBorder="false" applyAlignment="true" applyProtection="false">
      <alignment horizontal="center" vertical="bottom" textRotation="0" wrapText="false" indent="0" shrinkToFit="false"/>
      <protection locked="true" hidden="false"/>
    </xf>
    <xf numFmtId="166" fontId="8" fillId="0" borderId="0" xfId="0" applyFont="true" applyBorder="false" applyAlignment="true" applyProtection="false">
      <alignment horizontal="center" vertical="center" textRotation="0" wrapText="true" indent="0" shrinkToFit="false"/>
      <protection locked="true" hidden="false"/>
    </xf>
    <xf numFmtId="165" fontId="8" fillId="5" borderId="2" xfId="0" applyFont="true" applyBorder="true" applyAlignment="true" applyProtection="false">
      <alignment horizontal="center" vertical="center" textRotation="0" wrapText="true" indent="0" shrinkToFit="false"/>
      <protection locked="true" hidden="false"/>
    </xf>
    <xf numFmtId="167" fontId="8" fillId="5" borderId="0" xfId="0" applyFont="true" applyBorder="false" applyAlignment="true" applyProtection="false">
      <alignment horizontal="center" vertical="center" textRotation="0" wrapText="tru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5" fontId="8" fillId="0" borderId="2" xfId="0" applyFont="true" applyBorder="true" applyAlignment="true" applyProtection="false">
      <alignment horizontal="right" vertical="bottom" textRotation="0" wrapText="false" indent="0" shrinkToFit="false"/>
      <protection locked="true" hidden="false"/>
    </xf>
    <xf numFmtId="167" fontId="8" fillId="0" borderId="0" xfId="0" applyFont="true" applyBorder="false" applyAlignment="true" applyProtection="false">
      <alignment horizontal="right" vertical="bottom" textRotation="0" wrapText="false" indent="0" shrinkToFit="false"/>
      <protection locked="true" hidden="false"/>
    </xf>
    <xf numFmtId="167" fontId="8" fillId="0" borderId="0" xfId="0" applyFont="true" applyBorder="false" applyAlignment="false" applyProtection="false">
      <alignment horizontal="general" vertical="bottom" textRotation="0" wrapText="false" indent="0" shrinkToFit="false"/>
      <protection locked="true" hidden="false"/>
    </xf>
    <xf numFmtId="167" fontId="8" fillId="6" borderId="0" xfId="0" applyFont="true" applyBorder="false" applyAlignment="false" applyProtection="false">
      <alignment horizontal="general" vertical="bottom" textRotation="0" wrapText="false" indent="0" shrinkToFit="false"/>
      <protection locked="true" hidden="false"/>
    </xf>
    <xf numFmtId="165" fontId="0" fillId="6" borderId="2" xfId="0" applyFont="true" applyBorder="true" applyAlignment="false" applyProtection="false">
      <alignment horizontal="general" vertical="bottom" textRotation="0" wrapText="false" indent="0" shrinkToFit="false"/>
      <protection locked="true" hidden="false"/>
    </xf>
    <xf numFmtId="165" fontId="0" fillId="6" borderId="0" xfId="0" applyFont="true" applyBorder="false" applyAlignment="false" applyProtection="false">
      <alignment horizontal="general" vertical="bottom" textRotation="0" wrapText="false" indent="0" shrinkToFit="false"/>
      <protection locked="true" hidden="false"/>
    </xf>
    <xf numFmtId="167" fontId="17" fillId="4" borderId="0" xfId="0" applyFont="true" applyBorder="false" applyAlignment="false" applyProtection="false">
      <alignment horizontal="general" vertical="bottom" textRotation="0" wrapText="false" indent="0" shrinkToFit="false"/>
      <protection locked="true" hidden="false"/>
    </xf>
    <xf numFmtId="165" fontId="14" fillId="2" borderId="2" xfId="0" applyFont="true" applyBorder="true" applyAlignment="true" applyProtection="false">
      <alignment horizontal="general" vertical="center" textRotation="0" wrapText="false" indent="0" shrinkToFit="false"/>
      <protection locked="true" hidden="false"/>
    </xf>
    <xf numFmtId="168" fontId="14" fillId="2" borderId="2" xfId="0" applyFont="true" applyBorder="true" applyAlignment="true" applyProtection="false">
      <alignment horizontal="general" vertical="center" textRotation="0" wrapText="false" indent="0" shrinkToFit="false"/>
      <protection locked="true" hidden="false"/>
    </xf>
    <xf numFmtId="166" fontId="7" fillId="7" borderId="0" xfId="0" applyFont="true" applyBorder="true" applyAlignment="true" applyProtection="false">
      <alignment horizontal="center" vertical="center" textRotation="0" wrapText="true" indent="0" shrinkToFit="false"/>
      <protection locked="true" hidden="false"/>
    </xf>
    <xf numFmtId="166" fontId="7" fillId="0" borderId="0" xfId="0" applyFont="true" applyBorder="false" applyAlignment="true" applyProtection="false">
      <alignment horizontal="general" vertical="center" textRotation="0" wrapText="true" indent="0" shrinkToFit="false"/>
      <protection locked="true" hidden="false"/>
    </xf>
    <xf numFmtId="165" fontId="23" fillId="0" borderId="2" xfId="0" applyFont="true" applyBorder="true" applyAlignment="false" applyProtection="false">
      <alignment horizontal="general" vertical="bottom" textRotation="0" wrapText="false" indent="0" shrinkToFit="false"/>
      <protection locked="true" hidden="false"/>
    </xf>
    <xf numFmtId="165" fontId="23" fillId="0" borderId="0" xfId="0" applyFont="true" applyBorder="false" applyAlignment="false" applyProtection="false">
      <alignment horizontal="general" vertical="bottom" textRotation="0" wrapText="false" indent="0" shrinkToFit="false"/>
      <protection locked="true" hidden="false"/>
    </xf>
    <xf numFmtId="168" fontId="23" fillId="0" borderId="0" xfId="0" applyFont="true" applyBorder="false" applyAlignment="false" applyProtection="false">
      <alignment horizontal="general" vertical="bottom" textRotation="0" wrapText="false" indent="0" shrinkToFit="false"/>
      <protection locked="true" hidden="false"/>
    </xf>
    <xf numFmtId="165" fontId="24" fillId="0" borderId="0" xfId="0" applyFont="true" applyBorder="false" applyAlignment="true" applyProtection="false">
      <alignment horizontal="center" vertical="bottom" textRotation="0" wrapText="false" indent="0" shrinkToFit="false"/>
      <protection locked="true" hidden="false"/>
    </xf>
    <xf numFmtId="168" fontId="23" fillId="0" borderId="2" xfId="0" applyFont="true" applyBorder="true" applyAlignment="false" applyProtection="false">
      <alignment horizontal="general" vertical="bottom" textRotation="0" wrapText="false" indent="0" shrinkToFit="false"/>
      <protection locked="true" hidden="false"/>
    </xf>
    <xf numFmtId="165" fontId="25" fillId="4" borderId="2" xfId="0" applyFont="true" applyBorder="true" applyAlignment="true" applyProtection="false">
      <alignment horizontal="center" vertical="center" textRotation="0" wrapText="true" indent="0" shrinkToFit="false"/>
      <protection locked="true" hidden="false"/>
    </xf>
    <xf numFmtId="165" fontId="25" fillId="4" borderId="0" xfId="0" applyFont="true" applyBorder="false" applyAlignment="true" applyProtection="false">
      <alignment horizontal="center" vertical="center" textRotation="0" wrapText="true" indent="0" shrinkToFit="false"/>
      <protection locked="true" hidden="false"/>
    </xf>
    <xf numFmtId="168" fontId="25" fillId="4" borderId="0" xfId="0" applyFont="true" applyBorder="false" applyAlignment="true" applyProtection="false">
      <alignment horizontal="center" vertical="center" textRotation="0" wrapText="true" indent="0" shrinkToFit="false"/>
      <protection locked="true" hidden="false"/>
    </xf>
    <xf numFmtId="168" fontId="0" fillId="4" borderId="2" xfId="0" applyFont="true" applyBorder="true" applyAlignment="true" applyProtection="false">
      <alignment horizontal="center" vertical="center" textRotation="0" wrapText="true" indent="0" shrinkToFit="false"/>
      <protection locked="true" hidden="false"/>
    </xf>
    <xf numFmtId="168" fontId="8" fillId="5" borderId="2" xfId="0" applyFont="true" applyBorder="true" applyAlignment="true" applyProtection="false">
      <alignment horizontal="center" vertical="center" textRotation="0" wrapText="true" indent="0" shrinkToFit="false"/>
      <protection locked="true" hidden="false"/>
    </xf>
    <xf numFmtId="168" fontId="8" fillId="5" borderId="0" xfId="0" applyFont="true" applyBorder="false" applyAlignment="true" applyProtection="false">
      <alignment horizontal="center" vertical="center" textRotation="0" wrapText="true" indent="0" shrinkToFit="false"/>
      <protection locked="true" hidden="false"/>
    </xf>
    <xf numFmtId="168" fontId="8" fillId="0" borderId="2" xfId="0" applyFont="true" applyBorder="true" applyAlignment="false" applyProtection="false">
      <alignment horizontal="general" vertical="bottom" textRotation="0" wrapText="false" indent="0" shrinkToFit="false"/>
      <protection locked="true" hidden="false"/>
    </xf>
    <xf numFmtId="168" fontId="8" fillId="0" borderId="0" xfId="0" applyFont="true" applyBorder="false" applyAlignment="false" applyProtection="false">
      <alignment horizontal="general" vertical="bottom" textRotation="0" wrapText="false" indent="0" shrinkToFit="false"/>
      <protection locked="true" hidden="false"/>
    </xf>
    <xf numFmtId="168" fontId="8" fillId="6" borderId="2" xfId="0" applyFont="true" applyBorder="true" applyAlignment="false" applyProtection="false">
      <alignment horizontal="general" vertical="bottom" textRotation="0" wrapText="false" indent="0" shrinkToFit="false"/>
      <protection locked="true" hidden="false"/>
    </xf>
    <xf numFmtId="168" fontId="8" fillId="6" borderId="0" xfId="0" applyFont="true" applyBorder="false" applyAlignment="false" applyProtection="false">
      <alignment horizontal="general" vertical="bottom" textRotation="0" wrapText="false" indent="0" shrinkToFit="false"/>
      <protection locked="true" hidden="false"/>
    </xf>
    <xf numFmtId="168" fontId="17" fillId="4" borderId="2" xfId="0" applyFont="true" applyBorder="true" applyAlignment="false" applyProtection="false">
      <alignment horizontal="general" vertical="bottom" textRotation="0" wrapText="false" indent="0" shrinkToFit="false"/>
      <protection locked="true" hidden="false"/>
    </xf>
    <xf numFmtId="168" fontId="17" fillId="4" borderId="0" xfId="0" applyFont="true" applyBorder="false" applyAlignment="false" applyProtection="false">
      <alignment horizontal="general" vertical="bottom" textRotation="0" wrapText="false" indent="0" shrinkToFit="false"/>
      <protection locked="true" hidden="false"/>
    </xf>
    <xf numFmtId="168" fontId="7" fillId="4" borderId="2" xfId="0" applyFont="true" applyBorder="true" applyAlignment="false" applyProtection="false">
      <alignment horizontal="general" vertical="bottom" textRotation="0" wrapText="false" indent="0" shrinkToFit="false"/>
      <protection locked="true" hidden="false"/>
    </xf>
    <xf numFmtId="168" fontId="7" fillId="4" borderId="0" xfId="0" applyFont="true" applyBorder="false" applyAlignment="false" applyProtection="false">
      <alignment horizontal="general" vertical="bottom" textRotation="0" wrapText="false" indent="0" shrinkToFit="false"/>
      <protection locked="true" hidden="false"/>
    </xf>
    <xf numFmtId="168" fontId="8" fillId="4" borderId="2" xfId="0" applyFont="true" applyBorder="true" applyAlignment="false" applyProtection="false">
      <alignment horizontal="general" vertical="bottom" textRotation="0" wrapText="false" indent="0" shrinkToFit="false"/>
      <protection locked="true" hidden="false"/>
    </xf>
    <xf numFmtId="168" fontId="8" fillId="4" borderId="0" xfId="0" applyFont="true" applyBorder="false" applyAlignment="false" applyProtection="false">
      <alignment horizontal="general" vertical="bottom" textRotation="0" wrapText="false" indent="0" shrinkToFit="false"/>
      <protection locked="true" hidden="false"/>
    </xf>
    <xf numFmtId="165" fontId="7" fillId="4" borderId="2" xfId="0" applyFont="true" applyBorder="true" applyAlignment="false" applyProtection="false">
      <alignment horizontal="general" vertical="bottom" textRotation="0" wrapText="false" indent="0" shrinkToFit="false"/>
      <protection locked="true" hidden="false"/>
    </xf>
    <xf numFmtId="165" fontId="7" fillId="4" borderId="0" xfId="0" applyFont="true" applyBorder="false" applyAlignment="false" applyProtection="false">
      <alignment horizontal="general" vertical="bottom" textRotation="0" wrapText="false" indent="0" shrinkToFit="false"/>
      <protection locked="true" hidden="false"/>
    </xf>
    <xf numFmtId="168" fontId="0" fillId="4" borderId="0" xfId="0" applyFont="true" applyBorder="false" applyAlignment="false" applyProtection="false">
      <alignment horizontal="general" vertical="bottom" textRotation="0" wrapText="false" indent="0" shrinkToFit="false"/>
      <protection locked="true" hidden="false"/>
    </xf>
    <xf numFmtId="165" fontId="8" fillId="4" borderId="2" xfId="0" applyFont="true" applyBorder="true" applyAlignment="false" applyProtection="false">
      <alignment horizontal="general" vertical="bottom" textRotation="0" wrapText="false" indent="0" shrinkToFit="false"/>
      <protection locked="true" hidden="false"/>
    </xf>
    <xf numFmtId="167" fontId="14" fillId="2" borderId="0" xfId="0" applyFont="true" applyBorder="false" applyAlignment="true" applyProtection="false">
      <alignment horizontal="general" vertical="center" textRotation="0" wrapText="false" indent="0" shrinkToFit="false"/>
      <protection locked="true" hidden="false"/>
    </xf>
    <xf numFmtId="166" fontId="7" fillId="7" borderId="1" xfId="0" applyFont="true" applyBorder="true" applyAlignment="true" applyProtection="false">
      <alignment horizontal="left" vertical="center" textRotation="0" wrapText="true" indent="0" shrinkToFit="false"/>
      <protection locked="true" hidden="false"/>
    </xf>
    <xf numFmtId="167" fontId="25" fillId="4" borderId="0" xfId="0" applyFont="true" applyBorder="false" applyAlignment="true" applyProtection="false">
      <alignment horizontal="center" vertical="center" textRotation="0" wrapText="true" indent="0" shrinkToFit="false"/>
      <protection locked="true" hidden="false"/>
    </xf>
    <xf numFmtId="168" fontId="7" fillId="5" borderId="0" xfId="0" applyFont="true" applyBorder="false" applyAlignment="true" applyProtection="false">
      <alignment horizontal="center" vertical="center" textRotation="0" wrapText="true" indent="0" shrinkToFit="false"/>
      <protection locked="true" hidden="false"/>
    </xf>
    <xf numFmtId="168" fontId="7" fillId="4" borderId="2" xfId="0" applyFont="true" applyBorder="true" applyAlignment="true" applyProtection="false">
      <alignment horizontal="center" vertical="center" textRotation="0" wrapText="true" indent="0" shrinkToFit="false"/>
      <protection locked="true" hidden="false"/>
    </xf>
    <xf numFmtId="168" fontId="7" fillId="4" borderId="0" xfId="0" applyFont="true" applyBorder="false" applyAlignment="true" applyProtection="false">
      <alignment horizontal="center" vertical="center" textRotation="0" wrapText="true" indent="0" shrinkToFit="false"/>
      <protection locked="true" hidden="false"/>
    </xf>
    <xf numFmtId="165" fontId="8" fillId="0" borderId="0" xfId="0" applyFont="true" applyBorder="false" applyAlignment="true" applyProtection="false">
      <alignment horizontal="right" vertical="center" textRotation="0" wrapText="false" indent="0" shrinkToFit="false"/>
      <protection locked="true" hidden="false"/>
    </xf>
    <xf numFmtId="168" fontId="22" fillId="0" borderId="0" xfId="0" applyFont="true" applyBorder="false" applyAlignment="true" applyProtection="false">
      <alignment horizontal="right" vertical="bottom" textRotation="0" wrapText="false" indent="0" shrinkToFit="false"/>
      <protection locked="true" hidden="false"/>
    </xf>
    <xf numFmtId="165" fontId="8" fillId="0" borderId="0" xfId="0" applyFont="true" applyBorder="false" applyAlignment="true" applyProtection="false">
      <alignment horizontal="general" vertical="center" textRotation="0" wrapText="false" indent="0" shrinkToFit="false"/>
      <protection locked="true" hidden="false"/>
    </xf>
    <xf numFmtId="165" fontId="8" fillId="6" borderId="0" xfId="0" applyFont="true" applyBorder="false" applyAlignment="true" applyProtection="false">
      <alignment horizontal="general" vertical="center" textRotation="0" wrapText="false" indent="0" shrinkToFit="false"/>
      <protection locked="true" hidden="false"/>
    </xf>
    <xf numFmtId="165" fontId="27" fillId="4" borderId="0" xfId="0" applyFont="true" applyBorder="false" applyAlignment="true" applyProtection="false">
      <alignment horizontal="center" vertical="center" textRotation="0" wrapText="true" indent="0" shrinkToFit="false"/>
      <protection locked="true" hidden="false"/>
    </xf>
    <xf numFmtId="168" fontId="25" fillId="4" borderId="2" xfId="0" applyFont="true" applyBorder="true" applyAlignment="true" applyProtection="false">
      <alignment horizontal="center" vertical="center" textRotation="0" wrapText="true" indent="0" shrinkToFit="false"/>
      <protection locked="true" hidden="false"/>
    </xf>
    <xf numFmtId="168" fontId="25" fillId="5" borderId="0" xfId="0" applyFont="true" applyBorder="false" applyAlignment="true" applyProtection="false">
      <alignment horizontal="center" vertical="center" textRotation="0" wrapText="true" indent="0" shrinkToFit="false"/>
      <protection locked="true" hidden="false"/>
    </xf>
    <xf numFmtId="168" fontId="7" fillId="5" borderId="2" xfId="0" applyFont="true" applyBorder="true" applyAlignment="true" applyProtection="false">
      <alignment horizontal="center" vertical="center" textRotation="0" wrapText="true" indent="0" shrinkToFit="false"/>
      <protection locked="true" hidden="false"/>
    </xf>
    <xf numFmtId="165" fontId="15" fillId="0" borderId="0" xfId="0" applyFont="true" applyBorder="false" applyAlignment="true" applyProtection="false">
      <alignment horizontal="left" vertical="bottom" textRotation="0" wrapText="false" indent="0" shrinkToFit="false"/>
      <protection locked="true" hidden="false"/>
    </xf>
    <xf numFmtId="165" fontId="0" fillId="6" borderId="0" xfId="0" applyFont="true" applyBorder="false" applyAlignment="true" applyProtection="false">
      <alignment horizontal="left" vertical="bottom" textRotation="0" wrapText="false" indent="0" shrinkToFit="false"/>
      <protection locked="true" hidden="false"/>
    </xf>
    <xf numFmtId="165" fontId="7" fillId="6" borderId="0" xfId="0" applyFont="true" applyBorder="false" applyAlignment="true" applyProtection="false">
      <alignment horizontal="left" vertical="bottom" textRotation="0" wrapText="false" indent="0" shrinkToFit="false"/>
      <protection locked="true" hidden="false"/>
    </xf>
    <xf numFmtId="165" fontId="18" fillId="4" borderId="0" xfId="0" applyFont="true" applyBorder="false" applyAlignment="true" applyProtection="false">
      <alignment horizontal="center" vertical="bottom" textRotation="0" wrapText="false" indent="0" shrinkToFit="false"/>
      <protection locked="true" hidden="false"/>
    </xf>
    <xf numFmtId="165" fontId="12" fillId="0" borderId="0" xfId="0" applyFont="true" applyBorder="false" applyAlignment="true" applyProtection="false">
      <alignment horizontal="left" vertical="center" textRotation="0" wrapText="false" indent="0" shrinkToFit="false"/>
      <protection locked="true" hidden="false"/>
    </xf>
    <xf numFmtId="166" fontId="12" fillId="0" borderId="0" xfId="0" applyFont="true" applyBorder="false" applyAlignment="true" applyProtection="false">
      <alignment horizontal="left" vertical="center" textRotation="0" wrapText="false" indent="0" shrinkToFit="false"/>
      <protection locked="true" hidden="false"/>
    </xf>
    <xf numFmtId="168" fontId="13" fillId="2" borderId="0" xfId="0" applyFont="true" applyBorder="false" applyAlignment="true" applyProtection="false">
      <alignment horizontal="left" vertical="center" textRotation="0" wrapText="false" indent="0" shrinkToFit="false"/>
      <protection locked="true" hidden="false"/>
    </xf>
    <xf numFmtId="165" fontId="19" fillId="0" borderId="2" xfId="0" applyFont="true" applyBorder="true" applyAlignment="false" applyProtection="false">
      <alignment horizontal="general" vertical="bottom" textRotation="0" wrapText="false" indent="0" shrinkToFit="false"/>
      <protection locked="true" hidden="false"/>
    </xf>
    <xf numFmtId="165" fontId="13" fillId="2" borderId="3" xfId="0" applyFont="true" applyBorder="true" applyAlignment="true" applyProtection="false">
      <alignment horizontal="general" vertical="center" textRotation="0" wrapText="false" indent="0" shrinkToFit="false"/>
      <protection locked="true" hidden="false"/>
    </xf>
    <xf numFmtId="165" fontId="13" fillId="2" borderId="4" xfId="0" applyFont="true" applyBorder="true" applyAlignment="true" applyProtection="false">
      <alignment horizontal="general" vertical="center" textRotation="0" wrapText="false" indent="0" shrinkToFit="false"/>
      <protection locked="true" hidden="false"/>
    </xf>
    <xf numFmtId="165" fontId="15" fillId="0" borderId="3" xfId="0" applyFont="true" applyBorder="true" applyAlignment="false" applyProtection="false">
      <alignment horizontal="general" vertical="bottom" textRotation="0" wrapText="false" indent="0" shrinkToFit="false"/>
      <protection locked="true" hidden="false"/>
    </xf>
    <xf numFmtId="165" fontId="23" fillId="0" borderId="4" xfId="0" applyFont="true" applyBorder="true" applyAlignment="false" applyProtection="false">
      <alignment horizontal="general" vertical="bottom" textRotation="0" wrapText="false" indent="0" shrinkToFit="false"/>
      <protection locked="true" hidden="false"/>
    </xf>
    <xf numFmtId="165" fontId="24" fillId="0" borderId="0" xfId="0" applyFont="true" applyBorder="false" applyAlignment="false" applyProtection="false">
      <alignment horizontal="general" vertical="bottom" textRotation="0" wrapText="false" indent="0" shrinkToFit="false"/>
      <protection locked="true" hidden="false"/>
    </xf>
    <xf numFmtId="165" fontId="25" fillId="4" borderId="3" xfId="0" applyFont="true" applyBorder="true" applyAlignment="true" applyProtection="false">
      <alignment horizontal="center" vertical="center" textRotation="0" wrapText="true" indent="0" shrinkToFit="false"/>
      <protection locked="true" hidden="false"/>
    </xf>
    <xf numFmtId="165" fontId="27" fillId="4" borderId="4" xfId="0" applyFont="true" applyBorder="true" applyAlignment="true" applyProtection="false">
      <alignment horizontal="center" vertical="center" textRotation="0" wrapText="true" indent="0" shrinkToFit="false"/>
      <protection locked="true" hidden="false"/>
    </xf>
    <xf numFmtId="165" fontId="0" fillId="0" borderId="3" xfId="0" applyFont="true" applyBorder="true" applyAlignment="true" applyProtection="false">
      <alignment horizontal="right" vertical="bottom" textRotation="0" wrapText="false" indent="0" shrinkToFit="false"/>
      <protection locked="true" hidden="false"/>
    </xf>
    <xf numFmtId="165" fontId="8" fillId="0" borderId="4" xfId="0" applyFont="true" applyBorder="true" applyAlignment="true" applyProtection="false">
      <alignment horizontal="right" vertical="bottom" textRotation="0" wrapText="false" indent="0" shrinkToFit="false"/>
      <protection locked="true" hidden="false"/>
    </xf>
    <xf numFmtId="165" fontId="0" fillId="0" borderId="3" xfId="0" applyFont="true" applyBorder="true" applyAlignment="false" applyProtection="false">
      <alignment horizontal="general" vertical="bottom" textRotation="0" wrapText="false" indent="0" shrinkToFit="false"/>
      <protection locked="true" hidden="false"/>
    </xf>
    <xf numFmtId="165" fontId="8" fillId="0" borderId="4" xfId="0" applyFont="true" applyBorder="true" applyAlignment="false" applyProtection="false">
      <alignment horizontal="general" vertical="bottom" textRotation="0" wrapText="false" indent="0" shrinkToFit="false"/>
      <protection locked="true" hidden="false"/>
    </xf>
    <xf numFmtId="165" fontId="18" fillId="4" borderId="3" xfId="0" applyFont="true" applyBorder="true" applyAlignment="false" applyProtection="false">
      <alignment horizontal="general" vertical="bottom" textRotation="0" wrapText="false" indent="0" shrinkToFit="false"/>
      <protection locked="true" hidden="false"/>
    </xf>
    <xf numFmtId="165" fontId="17" fillId="4" borderId="4" xfId="0" applyFont="true" applyBorder="true" applyAlignment="false" applyProtection="false">
      <alignment horizontal="general" vertical="bottom" textRotation="0" wrapText="false" indent="0" shrinkToFit="false"/>
      <protection locked="true" hidden="false"/>
    </xf>
    <xf numFmtId="165" fontId="7" fillId="0" borderId="3"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57">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patternType="solid">
          <fgColor rgb="FFBFBFBF"/>
        </patternFill>
      </fill>
    </dxf>
    <dxf>
      <fill>
        <patternFill patternType="solid">
          <fgColor rgb="00FFFFFF"/>
        </patternFill>
      </fill>
    </dxf>
    <dxf>
      <fill>
        <patternFill patternType="solid">
          <fgColor rgb="FF3D3D3D"/>
          <bgColor rgb="FFFFFFFF"/>
        </patternFill>
      </fill>
    </dxf>
    <dxf>
      <font>
        <color rgb="FF9C5700"/>
      </font>
      <fill>
        <patternFill>
          <bgColor rgb="FFFFEB9C"/>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bgColor rgb="FF80808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solid">
          <fgColor rgb="FF808080"/>
        </patternFill>
      </fill>
    </dxf>
    <dxf>
      <fill>
        <patternFill patternType="solid">
          <fgColor rgb="FFC00000"/>
        </patternFill>
      </fill>
    </dxf>
    <dxf>
      <fill>
        <patternFill patternType="solid">
          <fgColor rgb="FFFFC7CE"/>
        </patternFill>
      </fill>
    </dxf>
    <dxf>
      <fill>
        <patternFill patternType="solid">
          <fgColor rgb="FF9C0006"/>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bgColor rgb="FF80808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C00000"/>
      </font>
      <fill>
        <patternFill>
          <bgColor rgb="FF808080"/>
        </patternFill>
      </fill>
    </dxf>
    <dxf>
      <font>
        <color rgb="FFC00000"/>
      </font>
      <fill>
        <patternFill>
          <bgColor rgb="FF808080"/>
        </patternFill>
      </fill>
    </dxf>
    <dxf>
      <font>
        <color rgb="FFC00000"/>
      </font>
      <fill>
        <patternFill>
          <bgColor rgb="FF808080"/>
        </patternFill>
      </fill>
    </dxf>
    <dxf>
      <font>
        <color rgb="FF9C0006"/>
      </font>
      <fill>
        <patternFill>
          <bgColor rgb="FFFFC7CE"/>
        </patternFill>
      </fill>
    </dxf>
    <dxf>
      <font>
        <color rgb="FF9C0006"/>
      </font>
      <fill>
        <patternFill>
          <bgColor rgb="FFFFC7CE"/>
        </patternFill>
      </fill>
    </dxf>
    <dxf>
      <font>
        <color rgb="FFC00000"/>
      </font>
      <fill>
        <patternFill>
          <bgColor rgb="FF80808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bgColor rgb="FF80808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bgColor rgb="FF808080"/>
        </patternFill>
      </fill>
    </dxf>
    <dxf>
      <font>
        <color rgb="FF9C5700"/>
      </font>
      <fill>
        <patternFill>
          <bgColor rgb="FFFFEB9C"/>
        </patternFill>
      </fill>
    </dxf>
    <dxf>
      <font>
        <color rgb="FF9C0006"/>
      </font>
      <fill>
        <patternFill>
          <bgColor rgb="FF80808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808080"/>
        </patternFill>
      </fill>
    </dxf>
    <dxf>
      <font>
        <color rgb="FF9C0006"/>
      </font>
      <fill>
        <patternFill>
          <bgColor rgb="FFFFC7CE"/>
        </patternFill>
      </fill>
    </dxf>
    <dxf>
      <font>
        <color rgb="FF9C0006"/>
      </font>
      <fill>
        <patternFill>
          <bgColor rgb="FFFFC7CE"/>
        </patternFill>
      </fill>
    </dxf>
    <dxf>
      <font>
        <color rgb="FFC00000"/>
      </font>
      <fill>
        <patternFill>
          <bgColor rgb="FF80808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bgColor rgb="FF808080"/>
        </patternFill>
      </fill>
    </dxf>
    <dxf>
      <font>
        <color rgb="FFC00000"/>
      </font>
      <fill>
        <patternFill>
          <bgColor rgb="FF808080"/>
        </patternFill>
      </fill>
    </dxf>
    <dxf>
      <font>
        <color rgb="FFC00000"/>
      </font>
      <fill>
        <patternFill>
          <bgColor rgb="FF80808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C00000"/>
      <rgbColor rgb="FF00FF00"/>
      <rgbColor rgb="FF0000FF"/>
      <rgbColor rgb="FFFFEB84"/>
      <rgbColor rgb="FFFF00FF"/>
      <rgbColor rgb="FF00FFFF"/>
      <rgbColor rgb="FF9C0006"/>
      <rgbColor rgb="FF006100"/>
      <rgbColor rgb="FF000080"/>
      <rgbColor rgb="FF808000"/>
      <rgbColor rgb="FF800080"/>
      <rgbColor rgb="FF008080"/>
      <rgbColor rgb="FFBFBFBF"/>
      <rgbColor rgb="FF808080"/>
      <rgbColor rgb="FF8FAADC"/>
      <rgbColor rgb="FF993366"/>
      <rgbColor rgb="FFFFF2CC"/>
      <rgbColor rgb="FFE7E6E6"/>
      <rgbColor rgb="FF660066"/>
      <rgbColor rgb="FFFF8080"/>
      <rgbColor rgb="FF0563C1"/>
      <rgbColor rgb="FFC5E0B4"/>
      <rgbColor rgb="FF000080"/>
      <rgbColor rgb="FFFF00FF"/>
      <rgbColor rgb="FFFFFF00"/>
      <rgbColor rgb="FF00FFFF"/>
      <rgbColor rgb="FF800080"/>
      <rgbColor rgb="FF800000"/>
      <rgbColor rgb="FF008080"/>
      <rgbColor rgb="FF0000FF"/>
      <rgbColor rgb="FF00CCFF"/>
      <rgbColor rgb="FFCCFFFF"/>
      <rgbColor rgb="FFC6EFCE"/>
      <rgbColor rgb="FFFFEB9C"/>
      <rgbColor rgb="FF99CCFF"/>
      <rgbColor rgb="FFFF99CC"/>
      <rgbColor rgb="FFCC99FF"/>
      <rgbColor rgb="FFFFC7CE"/>
      <rgbColor rgb="FF3366FF"/>
      <rgbColor rgb="FF33CCCC"/>
      <rgbColor rgb="FF99CC00"/>
      <rgbColor rgb="FFFFCC00"/>
      <rgbColor rgb="FFFF9900"/>
      <rgbColor rgb="FFFF6600"/>
      <rgbColor rgb="FF666699"/>
      <rgbColor rgb="FF7F7F7F"/>
      <rgbColor rgb="FF073763"/>
      <rgbColor rgb="FF339966"/>
      <rgbColor rgb="FF003300"/>
      <rgbColor rgb="FF333300"/>
      <rgbColor rgb="FF9C57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2.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3.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4.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5.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6.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7.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8.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9.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0.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1.vml"/>
</Relationships>
</file>

<file path=xl/worksheets/_rels/sheet19.xml.rels><?xml version="1.0" encoding="UTF-8"?>
<Relationships xmlns="http://schemas.openxmlformats.org/package/2006/relationships"><Relationship Id="rId1" Type="http://schemas.openxmlformats.org/officeDocument/2006/relationships/comments" Target="../comments19.xml"/><Relationship Id="rId2" Type="http://schemas.openxmlformats.org/officeDocument/2006/relationships/vmlDrawing" Target="../drawings/vmlDrawing1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2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5" defaultRowHeight="15" zeroHeight="false" outlineLevelRow="0" outlineLevelCol="0"/>
  <cols>
    <col collapsed="false" customWidth="true" hidden="false" outlineLevel="0" max="1" min="1" style="0" width="4.83"/>
  </cols>
  <sheetData>
    <row r="2" customFormat="false" ht="46.5" hidden="false" customHeight="true" outlineLevel="0" collapsed="false">
      <c r="B2" s="1" t="s">
        <v>0</v>
      </c>
    </row>
    <row r="10" customFormat="false" ht="96.75" hidden="false" customHeight="true" outlineLevel="0" collapsed="false">
      <c r="B10" s="2" t="s">
        <v>1</v>
      </c>
    </row>
    <row r="20" customFormat="false" ht="81.75" hidden="false" customHeight="true" outlineLevel="0" collapsed="false">
      <c r="B20" s="3" t="s">
        <v>2</v>
      </c>
    </row>
    <row r="25" customFormat="false" ht="15" hidden="false" customHeight="false" outlineLevel="0" collapsed="false">
      <c r="B25" s="0" t="s">
        <v>3</v>
      </c>
    </row>
    <row r="26" customFormat="false" ht="15" hidden="false" customHeight="false" outlineLevel="0" collapsed="false">
      <c r="B26" s="0" t="s">
        <v>2</v>
      </c>
    </row>
    <row r="27" customFormat="false" ht="15" hidden="false" customHeight="false" outlineLevel="0" collapsed="false">
      <c r="B27" s="0" t="s">
        <v>4</v>
      </c>
    </row>
    <row r="29" customFormat="false" ht="15" hidden="false" customHeight="false" outlineLevel="0" collapsed="false">
      <c r="B29" s="0" t="s">
        <v>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76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5" defaultRowHeight="15" zeroHeight="false" outlineLevelRow="0" outlineLevelCol="0"/>
  <cols>
    <col collapsed="false" customWidth="true" hidden="false" outlineLevel="0" max="1" min="1" style="0" width="1.84"/>
    <col collapsed="false" customWidth="true" hidden="false" outlineLevel="0" max="2" min="2" style="0" width="49"/>
    <col collapsed="false" customWidth="true" hidden="false" outlineLevel="0" max="3" min="3" style="0" width="3.16"/>
    <col collapsed="false" customWidth="true" hidden="false" outlineLevel="0" max="4" min="4" style="0" width="32"/>
    <col collapsed="false" customWidth="true" hidden="false" outlineLevel="0" max="6" min="5" style="0" width="14.33"/>
    <col collapsed="false" customWidth="true" hidden="false" outlineLevel="0" max="8" min="7" style="0" width="35.34"/>
    <col collapsed="false" customWidth="true" hidden="false" outlineLevel="0" max="9" min="9" style="0" width="5.83"/>
    <col collapsed="false" customWidth="true" hidden="false" outlineLevel="0" max="10" min="10" style="0" width="13.83"/>
    <col collapsed="false" customWidth="true" hidden="false" outlineLevel="0" max="11" min="11" style="0" width="7.34"/>
    <col collapsed="false" customWidth="true" hidden="false" outlineLevel="0" max="12" min="12" style="0" width="12.83"/>
    <col collapsed="false" customWidth="true" hidden="false" outlineLevel="0" max="13" min="13" style="0" width="10.33"/>
    <col collapsed="false" customWidth="true" hidden="false" outlineLevel="0" max="14" min="14" style="0" width="10.17"/>
    <col collapsed="false" customWidth="true" hidden="false" outlineLevel="0" max="15" min="15" style="0" width="11.33"/>
    <col collapsed="false" customWidth="true" hidden="false" outlineLevel="0" max="17" min="16" style="0" width="10.33"/>
  </cols>
  <sheetData>
    <row r="1" customFormat="false" ht="16.5" hidden="false" customHeight="true" outlineLevel="0" collapsed="false">
      <c r="A1" s="4"/>
      <c r="B1" s="4"/>
      <c r="C1" s="4"/>
      <c r="D1" s="5" t="s">
        <v>6</v>
      </c>
      <c r="E1" s="5" t="s">
        <v>7</v>
      </c>
      <c r="F1" s="5" t="s">
        <v>8</v>
      </c>
      <c r="G1" s="5" t="s">
        <v>9</v>
      </c>
      <c r="H1" s="5" t="s">
        <v>10</v>
      </c>
      <c r="I1" s="6" t="s">
        <v>11</v>
      </c>
      <c r="J1" s="5" t="s">
        <v>12</v>
      </c>
      <c r="K1" s="5" t="s">
        <v>13</v>
      </c>
      <c r="L1" s="5" t="s">
        <v>14</v>
      </c>
      <c r="M1" s="5" t="s">
        <v>15</v>
      </c>
      <c r="N1" s="5" t="s">
        <v>16</v>
      </c>
      <c r="O1" s="5" t="s">
        <v>17</v>
      </c>
      <c r="P1" s="5" t="s">
        <v>18</v>
      </c>
      <c r="Q1" s="5" t="s">
        <v>19</v>
      </c>
      <c r="R1" s="5" t="s">
        <v>20</v>
      </c>
      <c r="S1" s="5"/>
    </row>
    <row r="2" customFormat="false" ht="16.5" hidden="false" customHeight="true" outlineLevel="0" collapsed="false">
      <c r="A2" s="4"/>
      <c r="B2" s="7" t="s">
        <v>21</v>
      </c>
      <c r="C2" s="8" t="s">
        <v>22</v>
      </c>
      <c r="D2" s="9" t="s">
        <v>23</v>
      </c>
      <c r="E2" s="9" t="s">
        <v>24</v>
      </c>
      <c r="F2" s="9" t="s">
        <v>25</v>
      </c>
      <c r="G2" s="9" t="s">
        <v>26</v>
      </c>
      <c r="H2" s="9" t="s">
        <v>27</v>
      </c>
      <c r="I2" s="0" t="s">
        <v>28</v>
      </c>
      <c r="J2" s="9" t="s">
        <v>29</v>
      </c>
      <c r="K2" s="9" t="s">
        <v>30</v>
      </c>
      <c r="L2" s="9" t="s">
        <v>31</v>
      </c>
      <c r="M2" s="0" t="s">
        <v>32</v>
      </c>
      <c r="N2" s="0" t="n">
        <v>584</v>
      </c>
      <c r="O2" s="10" t="n">
        <v>0.684928016038612</v>
      </c>
      <c r="P2" s="10" t="n">
        <v>0.404358610976487</v>
      </c>
      <c r="Q2" s="0" t="str">
        <f aca="false">SUBSTITUTE(SUBSTITUTE($I2,CHAR(61),""),CHAR(34),"")</f>
        <v>&lt;01</v>
      </c>
      <c r="R2" s="0" t="str">
        <f aca="false">IF($D2&lt;&gt;"","["&amp;$E2&amp;"]"&amp;"|"&amp;$Q2&amp;"|"&amp;$K2&amp;"|"&amp;$G2&amp;"|"&amp;IF($G2="TX_CURR_SUBNAT.R","CY2022Q4",$M2),"")</f>
        <v>[GkIwZrXy1h2]|&lt;01|Female|TX_CURR_SUBNAT.R|CY2022Q4</v>
      </c>
    </row>
    <row r="3" customFormat="false" ht="15" hidden="false" customHeight="false" outlineLevel="0" collapsed="false">
      <c r="A3" s="4"/>
      <c r="B3" s="4"/>
      <c r="C3" s="4"/>
      <c r="D3" s="9" t="s">
        <v>23</v>
      </c>
      <c r="E3" s="9" t="s">
        <v>24</v>
      </c>
      <c r="F3" s="9" t="s">
        <v>25</v>
      </c>
      <c r="G3" s="9" t="s">
        <v>26</v>
      </c>
      <c r="H3" s="9" t="s">
        <v>27</v>
      </c>
      <c r="I3" s="0" t="s">
        <v>33</v>
      </c>
      <c r="J3" s="9" t="s">
        <v>34</v>
      </c>
      <c r="K3" s="9" t="s">
        <v>30</v>
      </c>
      <c r="L3" s="9" t="s">
        <v>31</v>
      </c>
      <c r="M3" s="0" t="s">
        <v>32</v>
      </c>
      <c r="N3" s="0" t="n">
        <v>1022</v>
      </c>
      <c r="O3" s="10" t="n">
        <v>0.995196851668879</v>
      </c>
      <c r="P3" s="10" t="n">
        <v>0.404358610976487</v>
      </c>
      <c r="Q3" s="0" t="str">
        <f aca="false">SUBSTITUTE(SUBSTITUTE($I3,CHAR(61),""),CHAR(34),"")</f>
        <v>01-09</v>
      </c>
      <c r="R3" s="0" t="str">
        <f aca="false">IF($D3&lt;&gt;"","["&amp;$E3&amp;"]"&amp;"|"&amp;$Q3&amp;"|"&amp;$K3&amp;"|"&amp;$G3&amp;"|"&amp;IF($G3="TX_CURR_SUBNAT.R","CY2022Q4",$M3),"")</f>
        <v>[GkIwZrXy1h2]|01-09|Female|TX_CURR_SUBNAT.R|CY2022Q4</v>
      </c>
    </row>
    <row r="4" customFormat="false" ht="15" hidden="false" customHeight="false" outlineLevel="0" collapsed="false">
      <c r="A4" s="4"/>
      <c r="B4" s="11" t="s">
        <v>35</v>
      </c>
      <c r="C4" s="4"/>
      <c r="D4" s="9" t="s">
        <v>23</v>
      </c>
      <c r="E4" s="9" t="s">
        <v>24</v>
      </c>
      <c r="F4" s="9" t="s">
        <v>25</v>
      </c>
      <c r="G4" s="9" t="s">
        <v>26</v>
      </c>
      <c r="H4" s="9" t="s">
        <v>27</v>
      </c>
      <c r="I4" s="0" t="s">
        <v>36</v>
      </c>
      <c r="J4" s="9" t="s">
        <v>37</v>
      </c>
      <c r="K4" s="9" t="s">
        <v>30</v>
      </c>
      <c r="L4" s="9" t="s">
        <v>31</v>
      </c>
      <c r="M4" s="0" t="s">
        <v>32</v>
      </c>
      <c r="N4" s="0" t="n">
        <v>1169</v>
      </c>
      <c r="O4" s="10" t="n">
        <v>0.983569846255705</v>
      </c>
      <c r="P4" s="10" t="n">
        <v>0.404358610976487</v>
      </c>
      <c r="Q4" s="0" t="str">
        <f aca="false">SUBSTITUTE(SUBSTITUTE($I4,CHAR(61),""),CHAR(34),"")</f>
        <v>10-14</v>
      </c>
      <c r="R4" s="0" t="str">
        <f aca="false">IF($D4&lt;&gt;"","["&amp;$E4&amp;"]"&amp;"|"&amp;$Q4&amp;"|"&amp;$K4&amp;"|"&amp;$G4&amp;"|"&amp;IF($G4="TX_CURR_SUBNAT.R","CY2022Q4",$M4),"")</f>
        <v>[GkIwZrXy1h2]|10-14|Female|TX_CURR_SUBNAT.R|CY2022Q4</v>
      </c>
    </row>
    <row r="5" customFormat="false" ht="15" hidden="false" customHeight="false" outlineLevel="0" collapsed="false">
      <c r="A5" s="4"/>
      <c r="B5" s="4"/>
      <c r="C5" s="4"/>
      <c r="D5" s="9" t="s">
        <v>23</v>
      </c>
      <c r="E5" s="9" t="s">
        <v>24</v>
      </c>
      <c r="F5" s="9" t="s">
        <v>25</v>
      </c>
      <c r="G5" s="9" t="s">
        <v>26</v>
      </c>
      <c r="H5" s="9" t="s">
        <v>27</v>
      </c>
      <c r="I5" s="0" t="s">
        <v>38</v>
      </c>
      <c r="J5" s="9" t="s">
        <v>39</v>
      </c>
      <c r="K5" s="9" t="s">
        <v>30</v>
      </c>
      <c r="L5" s="9" t="s">
        <v>31</v>
      </c>
      <c r="M5" s="0" t="s">
        <v>32</v>
      </c>
      <c r="N5" s="0" t="n">
        <v>699</v>
      </c>
      <c r="O5" s="10" t="n">
        <v>0.931440164102241</v>
      </c>
      <c r="P5" s="10" t="n">
        <v>0.404358610976487</v>
      </c>
      <c r="Q5" s="0" t="str">
        <f aca="false">SUBSTITUTE(SUBSTITUTE($I5,CHAR(61),""),CHAR(34),"")</f>
        <v>15-24</v>
      </c>
      <c r="R5" s="0" t="str">
        <f aca="false">IF($D5&lt;&gt;"","["&amp;$E5&amp;"]"&amp;"|"&amp;$Q5&amp;"|"&amp;$K5&amp;"|"&amp;$G5&amp;"|"&amp;IF($G5="TX_CURR_SUBNAT.R","CY2022Q4",$M5),"")</f>
        <v>[GkIwZrXy1h2]|15-24|Female|TX_CURR_SUBNAT.R|CY2022Q4</v>
      </c>
    </row>
    <row r="6" customFormat="false" ht="15" hidden="false" customHeight="true" outlineLevel="0" collapsed="false">
      <c r="A6" s="4"/>
      <c r="B6" s="12" t="s">
        <v>40</v>
      </c>
      <c r="C6" s="4"/>
      <c r="D6" s="9" t="s">
        <v>23</v>
      </c>
      <c r="E6" s="9" t="s">
        <v>24</v>
      </c>
      <c r="F6" s="9" t="s">
        <v>25</v>
      </c>
      <c r="G6" s="9" t="s">
        <v>26</v>
      </c>
      <c r="H6" s="9" t="s">
        <v>27</v>
      </c>
      <c r="I6" s="0" t="s">
        <v>41</v>
      </c>
      <c r="J6" s="9" t="s">
        <v>42</v>
      </c>
      <c r="K6" s="9" t="s">
        <v>30</v>
      </c>
      <c r="L6" s="9" t="s">
        <v>31</v>
      </c>
      <c r="M6" s="0" t="s">
        <v>32</v>
      </c>
      <c r="N6" s="0" t="n">
        <v>1778</v>
      </c>
      <c r="O6" s="10" t="n">
        <v>0.628434813814238</v>
      </c>
      <c r="P6" s="10" t="n">
        <v>0.404358610976487</v>
      </c>
      <c r="Q6" s="0" t="str">
        <f aca="false">SUBSTITUTE(SUBSTITUTE($I6,CHAR(61),""),CHAR(34),"")</f>
        <v>25-34</v>
      </c>
      <c r="R6" s="0" t="str">
        <f aca="false">IF($D6&lt;&gt;"","["&amp;$E6&amp;"]"&amp;"|"&amp;$Q6&amp;"|"&amp;$K6&amp;"|"&amp;$G6&amp;"|"&amp;IF($G6="TX_CURR_SUBNAT.R","CY2022Q4",$M6),"")</f>
        <v>[GkIwZrXy1h2]|25-34|Female|TX_CURR_SUBNAT.R|CY2022Q4</v>
      </c>
    </row>
    <row r="7" customFormat="false" ht="15" hidden="false" customHeight="false" outlineLevel="0" collapsed="false">
      <c r="A7" s="4"/>
      <c r="B7" s="12"/>
      <c r="C7" s="4"/>
      <c r="D7" s="9" t="s">
        <v>23</v>
      </c>
      <c r="E7" s="9" t="s">
        <v>24</v>
      </c>
      <c r="F7" s="9" t="s">
        <v>25</v>
      </c>
      <c r="G7" s="9" t="s">
        <v>26</v>
      </c>
      <c r="H7" s="9" t="s">
        <v>27</v>
      </c>
      <c r="I7" s="0" t="s">
        <v>43</v>
      </c>
      <c r="J7" s="9" t="s">
        <v>44</v>
      </c>
      <c r="K7" s="9" t="s">
        <v>30</v>
      </c>
      <c r="L7" s="9" t="s">
        <v>31</v>
      </c>
      <c r="M7" s="0" t="s">
        <v>32</v>
      </c>
      <c r="N7" s="0" t="n">
        <v>1895</v>
      </c>
      <c r="O7" s="10" t="n">
        <v>0.354339170735329</v>
      </c>
      <c r="P7" s="10" t="n">
        <v>0.404358610976487</v>
      </c>
      <c r="Q7" s="0" t="str">
        <f aca="false">SUBSTITUTE(SUBSTITUTE($I7,CHAR(61),""),CHAR(34),"")</f>
        <v>35-49</v>
      </c>
      <c r="R7" s="0" t="str">
        <f aca="false">IF($D7&lt;&gt;"","["&amp;$E7&amp;"]"&amp;"|"&amp;$Q7&amp;"|"&amp;$K7&amp;"|"&amp;$G7&amp;"|"&amp;IF($G7="TX_CURR_SUBNAT.R","CY2022Q4",$M7),"")</f>
        <v>[GkIwZrXy1h2]|35-49|Female|TX_CURR_SUBNAT.R|CY2022Q4</v>
      </c>
    </row>
    <row r="8" customFormat="false" ht="15" hidden="false" customHeight="false" outlineLevel="0" collapsed="false">
      <c r="A8" s="4"/>
      <c r="B8" s="13"/>
      <c r="C8" s="4"/>
      <c r="D8" s="9" t="s">
        <v>23</v>
      </c>
      <c r="E8" s="9" t="s">
        <v>24</v>
      </c>
      <c r="F8" s="9" t="s">
        <v>25</v>
      </c>
      <c r="G8" s="9" t="s">
        <v>26</v>
      </c>
      <c r="H8" s="9" t="s">
        <v>27</v>
      </c>
      <c r="I8" s="0" t="s">
        <v>45</v>
      </c>
      <c r="J8" s="9" t="s">
        <v>46</v>
      </c>
      <c r="K8" s="9" t="s">
        <v>30</v>
      </c>
      <c r="L8" s="9" t="s">
        <v>31</v>
      </c>
      <c r="M8" s="0" t="s">
        <v>32</v>
      </c>
      <c r="N8" s="0" t="n">
        <v>1853</v>
      </c>
      <c r="O8" s="10" t="n">
        <v>0.962073032045737</v>
      </c>
      <c r="P8" s="10" t="n">
        <v>0.404358610976487</v>
      </c>
      <c r="Q8" s="0" t="str">
        <f aca="false">SUBSTITUTE(SUBSTITUTE($I8,CHAR(61),""),CHAR(34),"")</f>
        <v>50+</v>
      </c>
      <c r="R8" s="0" t="str">
        <f aca="false">IF($D8&lt;&gt;"","["&amp;$E8&amp;"]"&amp;"|"&amp;$Q8&amp;"|"&amp;$K8&amp;"|"&amp;$G8&amp;"|"&amp;IF($G8="TX_CURR_SUBNAT.R","CY2022Q4",$M8),"")</f>
        <v>[GkIwZrXy1h2]|50+|Female|TX_CURR_SUBNAT.R|CY2022Q4</v>
      </c>
    </row>
    <row r="9" customFormat="false" ht="16.5" hidden="false" customHeight="true" outlineLevel="0" collapsed="false">
      <c r="A9" s="4"/>
      <c r="B9" s="13" t="s">
        <v>47</v>
      </c>
      <c r="C9" s="4"/>
      <c r="D9" s="9" t="s">
        <v>23</v>
      </c>
      <c r="E9" s="9" t="s">
        <v>24</v>
      </c>
      <c r="F9" s="9" t="s">
        <v>25</v>
      </c>
      <c r="G9" s="9" t="s">
        <v>26</v>
      </c>
      <c r="H9" s="9" t="s">
        <v>27</v>
      </c>
      <c r="I9" s="0" t="s">
        <v>28</v>
      </c>
      <c r="J9" s="9" t="s">
        <v>29</v>
      </c>
      <c r="K9" s="9" t="s">
        <v>48</v>
      </c>
      <c r="L9" s="9" t="s">
        <v>49</v>
      </c>
      <c r="M9" s="0" t="s">
        <v>32</v>
      </c>
      <c r="N9" s="0" t="n">
        <v>894</v>
      </c>
      <c r="O9" s="10" t="n">
        <v>0.848958730464801</v>
      </c>
      <c r="P9" s="10" t="n">
        <v>0.404358610976487</v>
      </c>
      <c r="Q9" s="0" t="str">
        <f aca="false">SUBSTITUTE(SUBSTITUTE($I9,CHAR(61),""),CHAR(34),"")</f>
        <v>&lt;01</v>
      </c>
      <c r="R9" s="0" t="str">
        <f aca="false">IF($D9&lt;&gt;"","["&amp;$E9&amp;"]"&amp;"|"&amp;$Q9&amp;"|"&amp;$K9&amp;"|"&amp;$G9&amp;"|"&amp;IF($G9="TX_CURR_SUBNAT.R","CY2022Q4",$M9),"")</f>
        <v>[GkIwZrXy1h2]|&lt;01|Male|TX_CURR_SUBNAT.R|CY2022Q4</v>
      </c>
    </row>
    <row r="10" customFormat="false" ht="15" hidden="false" customHeight="false" outlineLevel="0" collapsed="false">
      <c r="A10" s="4"/>
      <c r="B10" s="13"/>
      <c r="C10" s="4"/>
      <c r="D10" s="9" t="s">
        <v>23</v>
      </c>
      <c r="E10" s="9" t="s">
        <v>24</v>
      </c>
      <c r="F10" s="9" t="s">
        <v>25</v>
      </c>
      <c r="G10" s="9" t="s">
        <v>26</v>
      </c>
      <c r="H10" s="9" t="s">
        <v>27</v>
      </c>
      <c r="I10" s="0" t="s">
        <v>33</v>
      </c>
      <c r="J10" s="9" t="s">
        <v>34</v>
      </c>
      <c r="K10" s="9" t="s">
        <v>48</v>
      </c>
      <c r="L10" s="9" t="s">
        <v>49</v>
      </c>
      <c r="M10" s="0" t="s">
        <v>32</v>
      </c>
      <c r="N10" s="0" t="n">
        <v>1747</v>
      </c>
      <c r="O10" s="10" t="n">
        <v>0.684233176521957</v>
      </c>
      <c r="P10" s="10" t="n">
        <v>0.404358610976487</v>
      </c>
      <c r="Q10" s="0" t="str">
        <f aca="false">SUBSTITUTE(SUBSTITUTE($I10,CHAR(61),""),CHAR(34),"")</f>
        <v>01-09</v>
      </c>
      <c r="R10" s="0" t="str">
        <f aca="false">IF($D10&lt;&gt;"","["&amp;$E10&amp;"]"&amp;"|"&amp;$Q10&amp;"|"&amp;$K10&amp;"|"&amp;$G10&amp;"|"&amp;IF($G10="TX_CURR_SUBNAT.R","CY2022Q4",$M10),"")</f>
        <v>[GkIwZrXy1h2]|01-09|Male|TX_CURR_SUBNAT.R|CY2022Q4</v>
      </c>
    </row>
    <row r="11" customFormat="false" ht="15" hidden="false" customHeight="true" outlineLevel="0" collapsed="false">
      <c r="A11" s="4"/>
      <c r="B11" s="12" t="s">
        <v>50</v>
      </c>
      <c r="C11" s="4"/>
      <c r="D11" s="9" t="s">
        <v>23</v>
      </c>
      <c r="E11" s="9" t="s">
        <v>24</v>
      </c>
      <c r="F11" s="9" t="s">
        <v>25</v>
      </c>
      <c r="G11" s="9" t="s">
        <v>26</v>
      </c>
      <c r="H11" s="9" t="s">
        <v>27</v>
      </c>
      <c r="I11" s="0" t="s">
        <v>36</v>
      </c>
      <c r="J11" s="9" t="s">
        <v>37</v>
      </c>
      <c r="K11" s="9" t="s">
        <v>48</v>
      </c>
      <c r="L11" s="9" t="s">
        <v>49</v>
      </c>
      <c r="M11" s="0" t="s">
        <v>32</v>
      </c>
      <c r="N11" s="0" t="n">
        <v>1325</v>
      </c>
      <c r="O11" s="10" t="n">
        <v>0.846954544540495</v>
      </c>
      <c r="P11" s="10" t="n">
        <v>0.404358610976487</v>
      </c>
      <c r="Q11" s="0" t="str">
        <f aca="false">SUBSTITUTE(SUBSTITUTE($I11,CHAR(61),""),CHAR(34),"")</f>
        <v>10-14</v>
      </c>
      <c r="R11" s="0" t="str">
        <f aca="false">IF($D11&lt;&gt;"","["&amp;$E11&amp;"]"&amp;"|"&amp;$Q11&amp;"|"&amp;$K11&amp;"|"&amp;$G11&amp;"|"&amp;IF($G11="TX_CURR_SUBNAT.R","CY2022Q4",$M11),"")</f>
        <v>[GkIwZrXy1h2]|10-14|Male|TX_CURR_SUBNAT.R|CY2022Q4</v>
      </c>
    </row>
    <row r="12" customFormat="false" ht="15" hidden="false" customHeight="false" outlineLevel="0" collapsed="false">
      <c r="A12" s="4"/>
      <c r="B12" s="12"/>
      <c r="C12" s="4"/>
      <c r="D12" s="9" t="s">
        <v>23</v>
      </c>
      <c r="E12" s="9" t="s">
        <v>24</v>
      </c>
      <c r="F12" s="9" t="s">
        <v>25</v>
      </c>
      <c r="G12" s="9" t="s">
        <v>26</v>
      </c>
      <c r="H12" s="9" t="s">
        <v>27</v>
      </c>
      <c r="I12" s="0" t="s">
        <v>38</v>
      </c>
      <c r="J12" s="9" t="s">
        <v>39</v>
      </c>
      <c r="K12" s="9" t="s">
        <v>48</v>
      </c>
      <c r="L12" s="9" t="s">
        <v>49</v>
      </c>
      <c r="M12" s="0" t="s">
        <v>32</v>
      </c>
      <c r="N12" s="0" t="n">
        <v>1608</v>
      </c>
      <c r="O12" s="10" t="n">
        <v>0.183406930183992</v>
      </c>
      <c r="P12" s="10" t="n">
        <v>0.404358610976487</v>
      </c>
      <c r="Q12" s="0" t="str">
        <f aca="false">SUBSTITUTE(SUBSTITUTE($I12,CHAR(61),""),CHAR(34),"")</f>
        <v>15-24</v>
      </c>
      <c r="R12" s="0" t="str">
        <f aca="false">IF($D12&lt;&gt;"","["&amp;$E12&amp;"]"&amp;"|"&amp;$Q12&amp;"|"&amp;$K12&amp;"|"&amp;$G12&amp;"|"&amp;IF($G12="TX_CURR_SUBNAT.R","CY2022Q4",$M12),"")</f>
        <v>[GkIwZrXy1h2]|15-24|Male|TX_CURR_SUBNAT.R|CY2022Q4</v>
      </c>
    </row>
    <row r="13" customFormat="false" ht="15" hidden="false" customHeight="false" outlineLevel="0" collapsed="false">
      <c r="A13" s="4"/>
      <c r="B13" s="13"/>
      <c r="C13" s="4"/>
      <c r="D13" s="9" t="s">
        <v>23</v>
      </c>
      <c r="E13" s="9" t="s">
        <v>24</v>
      </c>
      <c r="F13" s="9" t="s">
        <v>25</v>
      </c>
      <c r="G13" s="9" t="s">
        <v>26</v>
      </c>
      <c r="H13" s="9" t="s">
        <v>27</v>
      </c>
      <c r="I13" s="0" t="s">
        <v>41</v>
      </c>
      <c r="J13" s="9" t="s">
        <v>42</v>
      </c>
      <c r="K13" s="9" t="s">
        <v>48</v>
      </c>
      <c r="L13" s="9" t="s">
        <v>49</v>
      </c>
      <c r="M13" s="0" t="s">
        <v>32</v>
      </c>
      <c r="N13" s="0" t="n">
        <v>1077</v>
      </c>
      <c r="O13" s="10" t="n">
        <v>0.11857614479959</v>
      </c>
      <c r="P13" s="10" t="n">
        <v>0.404358610976487</v>
      </c>
      <c r="Q13" s="0" t="str">
        <f aca="false">SUBSTITUTE(SUBSTITUTE($I13,CHAR(61),""),CHAR(34),"")</f>
        <v>25-34</v>
      </c>
      <c r="R13" s="0" t="str">
        <f aca="false">IF($D13&lt;&gt;"","["&amp;$E13&amp;"]"&amp;"|"&amp;$Q13&amp;"|"&amp;$K13&amp;"|"&amp;$G13&amp;"|"&amp;IF($G13="TX_CURR_SUBNAT.R","CY2022Q4",$M13),"")</f>
        <v>[GkIwZrXy1h2]|25-34|Male|TX_CURR_SUBNAT.R|CY2022Q4</v>
      </c>
    </row>
    <row r="14" customFormat="false" ht="16.5" hidden="false" customHeight="true" outlineLevel="0" collapsed="false">
      <c r="A14" s="4"/>
      <c r="B14" s="13" t="s">
        <v>51</v>
      </c>
      <c r="C14" s="4"/>
      <c r="D14" s="9" t="s">
        <v>23</v>
      </c>
      <c r="E14" s="9" t="s">
        <v>24</v>
      </c>
      <c r="F14" s="9" t="s">
        <v>25</v>
      </c>
      <c r="G14" s="9" t="s">
        <v>26</v>
      </c>
      <c r="H14" s="9" t="s">
        <v>27</v>
      </c>
      <c r="I14" s="0" t="s">
        <v>43</v>
      </c>
      <c r="J14" s="9" t="s">
        <v>44</v>
      </c>
      <c r="K14" s="9" t="s">
        <v>48</v>
      </c>
      <c r="L14" s="9" t="s">
        <v>49</v>
      </c>
      <c r="M14" s="0" t="s">
        <v>32</v>
      </c>
      <c r="N14" s="0" t="n">
        <v>1194</v>
      </c>
      <c r="O14" s="10" t="n">
        <v>0.915719616459683</v>
      </c>
      <c r="P14" s="10" t="n">
        <v>0.404358610976487</v>
      </c>
      <c r="Q14" s="0" t="str">
        <f aca="false">SUBSTITUTE(SUBSTITUTE($I14,CHAR(61),""),CHAR(34),"")</f>
        <v>35-49</v>
      </c>
      <c r="R14" s="0" t="str">
        <f aca="false">IF($D14&lt;&gt;"","["&amp;$E14&amp;"]"&amp;"|"&amp;$Q14&amp;"|"&amp;$K14&amp;"|"&amp;$G14&amp;"|"&amp;IF($G14="TX_CURR_SUBNAT.R","CY2022Q4",$M14),"")</f>
        <v>[GkIwZrXy1h2]|35-49|Male|TX_CURR_SUBNAT.R|CY2022Q4</v>
      </c>
    </row>
    <row r="15" customFormat="false" ht="15" hidden="false" customHeight="false" outlineLevel="0" collapsed="false">
      <c r="A15" s="4"/>
      <c r="B15" s="13"/>
      <c r="C15" s="4"/>
      <c r="D15" s="9" t="s">
        <v>23</v>
      </c>
      <c r="E15" s="9" t="s">
        <v>24</v>
      </c>
      <c r="F15" s="9" t="s">
        <v>25</v>
      </c>
      <c r="G15" s="9" t="s">
        <v>26</v>
      </c>
      <c r="H15" s="9" t="s">
        <v>27</v>
      </c>
      <c r="I15" s="0" t="s">
        <v>45</v>
      </c>
      <c r="J15" s="9" t="s">
        <v>46</v>
      </c>
      <c r="K15" s="9" t="s">
        <v>48</v>
      </c>
      <c r="L15" s="9" t="s">
        <v>49</v>
      </c>
      <c r="M15" s="0" t="s">
        <v>32</v>
      </c>
      <c r="N15" s="0" t="n">
        <v>679</v>
      </c>
      <c r="O15" s="10" t="n">
        <v>0.857500890735537</v>
      </c>
      <c r="P15" s="10" t="n">
        <v>0.404358610976487</v>
      </c>
      <c r="Q15" s="0" t="str">
        <f aca="false">SUBSTITUTE(SUBSTITUTE($I15,CHAR(61),""),CHAR(34),"")</f>
        <v>50+</v>
      </c>
      <c r="R15" s="0" t="str">
        <f aca="false">IF($D15&lt;&gt;"","["&amp;$E15&amp;"]"&amp;"|"&amp;$Q15&amp;"|"&amp;$K15&amp;"|"&amp;$G15&amp;"|"&amp;IF($G15="TX_CURR_SUBNAT.R","CY2022Q4",$M15),"")</f>
        <v>[GkIwZrXy1h2]|50+|Male|TX_CURR_SUBNAT.R|CY2022Q4</v>
      </c>
    </row>
    <row r="16" customFormat="false" ht="15" hidden="false" customHeight="true" outlineLevel="0" collapsed="false">
      <c r="A16" s="4"/>
      <c r="B16" s="12" t="s">
        <v>52</v>
      </c>
      <c r="C16" s="4"/>
      <c r="D16" s="9" t="s">
        <v>53</v>
      </c>
      <c r="E16" s="9" t="s">
        <v>54</v>
      </c>
      <c r="F16" s="9" t="s">
        <v>55</v>
      </c>
      <c r="G16" s="9" t="s">
        <v>26</v>
      </c>
      <c r="H16" s="9" t="s">
        <v>27</v>
      </c>
      <c r="I16" s="0" t="s">
        <v>28</v>
      </c>
      <c r="J16" s="9" t="s">
        <v>29</v>
      </c>
      <c r="K16" s="9" t="s">
        <v>30</v>
      </c>
      <c r="L16" s="9" t="s">
        <v>31</v>
      </c>
      <c r="M16" s="0" t="s">
        <v>32</v>
      </c>
      <c r="N16" s="0" t="n">
        <v>518</v>
      </c>
      <c r="O16" s="10" t="n">
        <v>0.717187748057768</v>
      </c>
      <c r="P16" s="10" t="n">
        <v>0.616392469964921</v>
      </c>
      <c r="Q16" s="0" t="str">
        <f aca="false">SUBSTITUTE(SUBSTITUTE($I16,CHAR(61),""),CHAR(34),"")</f>
        <v>&lt;01</v>
      </c>
      <c r="R16" s="0" t="str">
        <f aca="false">IF($D16&lt;&gt;"","["&amp;$E16&amp;"]"&amp;"|"&amp;$Q16&amp;"|"&amp;$K16&amp;"|"&amp;$G16&amp;"|"&amp;IF($G16="TX_CURR_SUBNAT.R","CY2022Q4",$M16),"")</f>
        <v>[zphK9WV8JB4]|&lt;01|Female|TX_CURR_SUBNAT.R|CY2022Q4</v>
      </c>
    </row>
    <row r="17" customFormat="false" ht="15" hidden="false" customHeight="false" outlineLevel="0" collapsed="false">
      <c r="A17" s="4"/>
      <c r="B17" s="12"/>
      <c r="C17" s="4"/>
      <c r="D17" s="9" t="s">
        <v>53</v>
      </c>
      <c r="E17" s="9" t="s">
        <v>54</v>
      </c>
      <c r="F17" s="9" t="s">
        <v>55</v>
      </c>
      <c r="G17" s="9" t="s">
        <v>26</v>
      </c>
      <c r="H17" s="9" t="s">
        <v>27</v>
      </c>
      <c r="I17" s="0" t="s">
        <v>33</v>
      </c>
      <c r="J17" s="9" t="s">
        <v>34</v>
      </c>
      <c r="K17" s="9" t="s">
        <v>30</v>
      </c>
      <c r="L17" s="9" t="s">
        <v>31</v>
      </c>
      <c r="M17" s="0" t="s">
        <v>32</v>
      </c>
      <c r="N17" s="0" t="n">
        <v>1062</v>
      </c>
      <c r="O17" s="10" t="n">
        <v>0.337036482524127</v>
      </c>
      <c r="P17" s="10" t="n">
        <v>0.616392469964921</v>
      </c>
      <c r="Q17" s="0" t="str">
        <f aca="false">SUBSTITUTE(SUBSTITUTE($I17,CHAR(61),""),CHAR(34),"")</f>
        <v>01-09</v>
      </c>
      <c r="R17" s="0" t="str">
        <f aca="false">IF($D17&lt;&gt;"","["&amp;$E17&amp;"]"&amp;"|"&amp;$Q17&amp;"|"&amp;$K17&amp;"|"&amp;$G17&amp;"|"&amp;IF($G17="TX_CURR_SUBNAT.R","CY2022Q4",$M17),"")</f>
        <v>[zphK9WV8JB4]|01-09|Female|TX_CURR_SUBNAT.R|CY2022Q4</v>
      </c>
    </row>
    <row r="18" customFormat="false" ht="15" hidden="false" customHeight="false" outlineLevel="0" collapsed="false">
      <c r="A18" s="4"/>
      <c r="B18" s="13"/>
      <c r="C18" s="4"/>
      <c r="D18" s="9" t="s">
        <v>53</v>
      </c>
      <c r="E18" s="9" t="s">
        <v>54</v>
      </c>
      <c r="F18" s="9" t="s">
        <v>55</v>
      </c>
      <c r="G18" s="9" t="s">
        <v>26</v>
      </c>
      <c r="H18" s="9" t="s">
        <v>27</v>
      </c>
      <c r="I18" s="0" t="s">
        <v>36</v>
      </c>
      <c r="J18" s="9" t="s">
        <v>37</v>
      </c>
      <c r="K18" s="9" t="s">
        <v>30</v>
      </c>
      <c r="L18" s="9" t="s">
        <v>31</v>
      </c>
      <c r="M18" s="0" t="s">
        <v>32</v>
      </c>
      <c r="N18" s="0" t="n">
        <v>908</v>
      </c>
      <c r="O18" s="10" t="n">
        <v>0.499344867188483</v>
      </c>
      <c r="P18" s="10" t="n">
        <v>0.616392469964921</v>
      </c>
      <c r="Q18" s="0" t="str">
        <f aca="false">SUBSTITUTE(SUBSTITUTE($I18,CHAR(61),""),CHAR(34),"")</f>
        <v>10-14</v>
      </c>
      <c r="R18" s="0" t="str">
        <f aca="false">IF($D18&lt;&gt;"","["&amp;$E18&amp;"]"&amp;"|"&amp;$Q18&amp;"|"&amp;$K18&amp;"|"&amp;$G18&amp;"|"&amp;IF($G18="TX_CURR_SUBNAT.R","CY2022Q4",$M18),"")</f>
        <v>[zphK9WV8JB4]|10-14|Female|TX_CURR_SUBNAT.R|CY2022Q4</v>
      </c>
    </row>
    <row r="19" customFormat="false" ht="15" hidden="false" customHeight="true" outlineLevel="0" collapsed="false">
      <c r="A19" s="4"/>
      <c r="B19" s="12" t="s">
        <v>56</v>
      </c>
      <c r="C19" s="4"/>
      <c r="D19" s="9" t="s">
        <v>53</v>
      </c>
      <c r="E19" s="9" t="s">
        <v>54</v>
      </c>
      <c r="F19" s="9" t="s">
        <v>55</v>
      </c>
      <c r="G19" s="9" t="s">
        <v>26</v>
      </c>
      <c r="H19" s="9" t="s">
        <v>27</v>
      </c>
      <c r="I19" s="0" t="s">
        <v>38</v>
      </c>
      <c r="J19" s="9" t="s">
        <v>39</v>
      </c>
      <c r="K19" s="9" t="s">
        <v>30</v>
      </c>
      <c r="L19" s="9" t="s">
        <v>31</v>
      </c>
      <c r="M19" s="0" t="s">
        <v>32</v>
      </c>
      <c r="N19" s="0" t="n">
        <v>1050</v>
      </c>
      <c r="O19" s="10" t="n">
        <v>0.899434385588393</v>
      </c>
      <c r="P19" s="10" t="n">
        <v>0.616392469964921</v>
      </c>
      <c r="Q19" s="0" t="str">
        <f aca="false">SUBSTITUTE(SUBSTITUTE($I19,CHAR(61),""),CHAR(34),"")</f>
        <v>15-24</v>
      </c>
      <c r="R19" s="0" t="str">
        <f aca="false">IF($D19&lt;&gt;"","["&amp;$E19&amp;"]"&amp;"|"&amp;$Q19&amp;"|"&amp;$K19&amp;"|"&amp;$G19&amp;"|"&amp;IF($G19="TX_CURR_SUBNAT.R","CY2022Q4",$M19),"")</f>
        <v>[zphK9WV8JB4]|15-24|Female|TX_CURR_SUBNAT.R|CY2022Q4</v>
      </c>
    </row>
    <row r="20" customFormat="false" ht="15" hidden="false" customHeight="false" outlineLevel="0" collapsed="false">
      <c r="A20" s="4"/>
      <c r="B20" s="12"/>
      <c r="C20" s="4"/>
      <c r="D20" s="9" t="s">
        <v>53</v>
      </c>
      <c r="E20" s="9" t="s">
        <v>54</v>
      </c>
      <c r="F20" s="9" t="s">
        <v>55</v>
      </c>
      <c r="G20" s="9" t="s">
        <v>26</v>
      </c>
      <c r="H20" s="9" t="s">
        <v>27</v>
      </c>
      <c r="I20" s="0" t="s">
        <v>41</v>
      </c>
      <c r="J20" s="9" t="s">
        <v>42</v>
      </c>
      <c r="K20" s="9" t="s">
        <v>30</v>
      </c>
      <c r="L20" s="9" t="s">
        <v>31</v>
      </c>
      <c r="M20" s="0" t="s">
        <v>32</v>
      </c>
      <c r="N20" s="0" t="n">
        <v>1198</v>
      </c>
      <c r="O20" s="10" t="n">
        <v>0.416500451043248</v>
      </c>
      <c r="P20" s="10" t="n">
        <v>0.616392469964921</v>
      </c>
      <c r="Q20" s="0" t="str">
        <f aca="false">SUBSTITUTE(SUBSTITUTE($I20,CHAR(61),""),CHAR(34),"")</f>
        <v>25-34</v>
      </c>
      <c r="R20" s="0" t="str">
        <f aca="false">IF($D20&lt;&gt;"","["&amp;$E20&amp;"]"&amp;"|"&amp;$Q20&amp;"|"&amp;$K20&amp;"|"&amp;$G20&amp;"|"&amp;IF($G20="TX_CURR_SUBNAT.R","CY2022Q4",$M20),"")</f>
        <v>[zphK9WV8JB4]|25-34|Female|TX_CURR_SUBNAT.R|CY2022Q4</v>
      </c>
    </row>
    <row r="21" customFormat="false" ht="15" hidden="false" customHeight="false" outlineLevel="0" collapsed="false">
      <c r="A21" s="4"/>
      <c r="B21" s="4"/>
      <c r="C21" s="4"/>
      <c r="D21" s="9" t="s">
        <v>53</v>
      </c>
      <c r="E21" s="9" t="s">
        <v>54</v>
      </c>
      <c r="F21" s="9" t="s">
        <v>55</v>
      </c>
      <c r="G21" s="9" t="s">
        <v>26</v>
      </c>
      <c r="H21" s="9" t="s">
        <v>27</v>
      </c>
      <c r="I21" s="0" t="s">
        <v>43</v>
      </c>
      <c r="J21" s="9" t="s">
        <v>44</v>
      </c>
      <c r="K21" s="9" t="s">
        <v>30</v>
      </c>
      <c r="L21" s="9" t="s">
        <v>31</v>
      </c>
      <c r="M21" s="0" t="s">
        <v>32</v>
      </c>
      <c r="N21" s="0" t="n">
        <v>569</v>
      </c>
      <c r="O21" s="10" t="n">
        <v>0.563674568664283</v>
      </c>
      <c r="P21" s="10" t="n">
        <v>0.616392469964921</v>
      </c>
      <c r="Q21" s="0" t="str">
        <f aca="false">SUBSTITUTE(SUBSTITUTE($I21,CHAR(61),""),CHAR(34),"")</f>
        <v>35-49</v>
      </c>
      <c r="R21" s="0" t="str">
        <f aca="false">IF($D21&lt;&gt;"","["&amp;$E21&amp;"]"&amp;"|"&amp;$Q21&amp;"|"&amp;$K21&amp;"|"&amp;$G21&amp;"|"&amp;IF($G21="TX_CURR_SUBNAT.R","CY2022Q4",$M21),"")</f>
        <v>[zphK9WV8JB4]|35-49|Female|TX_CURR_SUBNAT.R|CY2022Q4</v>
      </c>
    </row>
    <row r="22" customFormat="false" ht="15.75" hidden="false" customHeight="true" outlineLevel="0" collapsed="false">
      <c r="A22" s="4"/>
      <c r="B22" s="13" t="s">
        <v>57</v>
      </c>
      <c r="C22" s="4"/>
      <c r="D22" s="9" t="s">
        <v>53</v>
      </c>
      <c r="E22" s="9" t="s">
        <v>54</v>
      </c>
      <c r="F22" s="9" t="s">
        <v>55</v>
      </c>
      <c r="G22" s="9" t="s">
        <v>26</v>
      </c>
      <c r="H22" s="9" t="s">
        <v>27</v>
      </c>
      <c r="I22" s="0" t="s">
        <v>45</v>
      </c>
      <c r="J22" s="9" t="s">
        <v>46</v>
      </c>
      <c r="K22" s="9" t="s">
        <v>30</v>
      </c>
      <c r="L22" s="9" t="s">
        <v>31</v>
      </c>
      <c r="M22" s="0" t="s">
        <v>32</v>
      </c>
      <c r="N22" s="0" t="n">
        <v>961</v>
      </c>
      <c r="O22" s="10" t="n">
        <v>0.801820863736793</v>
      </c>
      <c r="P22" s="10" t="n">
        <v>0.616392469964921</v>
      </c>
      <c r="Q22" s="0" t="str">
        <f aca="false">SUBSTITUTE(SUBSTITUTE($I22,CHAR(61),""),CHAR(34),"")</f>
        <v>50+</v>
      </c>
      <c r="R22" s="0" t="str">
        <f aca="false">IF($D22&lt;&gt;"","["&amp;$E22&amp;"]"&amp;"|"&amp;$Q22&amp;"|"&amp;$K22&amp;"|"&amp;$G22&amp;"|"&amp;IF($G22="TX_CURR_SUBNAT.R","CY2022Q4",$M22),"")</f>
        <v>[zphK9WV8JB4]|50+|Female|TX_CURR_SUBNAT.R|CY2022Q4</v>
      </c>
    </row>
    <row r="23" customFormat="false" ht="15" hidden="false" customHeight="false" outlineLevel="0" collapsed="false">
      <c r="A23" s="4"/>
      <c r="B23" s="13"/>
      <c r="C23" s="4"/>
      <c r="D23" s="9" t="s">
        <v>53</v>
      </c>
      <c r="E23" s="9" t="s">
        <v>54</v>
      </c>
      <c r="F23" s="9" t="s">
        <v>55</v>
      </c>
      <c r="G23" s="9" t="s">
        <v>26</v>
      </c>
      <c r="H23" s="9" t="s">
        <v>27</v>
      </c>
      <c r="I23" s="0" t="s">
        <v>28</v>
      </c>
      <c r="J23" s="9" t="s">
        <v>29</v>
      </c>
      <c r="K23" s="9" t="s">
        <v>48</v>
      </c>
      <c r="L23" s="9" t="s">
        <v>49</v>
      </c>
      <c r="M23" s="0" t="s">
        <v>32</v>
      </c>
      <c r="N23" s="0" t="n">
        <v>1979</v>
      </c>
      <c r="O23" s="10" t="n">
        <v>0.711963512469083</v>
      </c>
      <c r="P23" s="10" t="n">
        <v>0.616392469964921</v>
      </c>
      <c r="Q23" s="0" t="str">
        <f aca="false">SUBSTITUTE(SUBSTITUTE($I23,CHAR(61),""),CHAR(34),"")</f>
        <v>&lt;01</v>
      </c>
      <c r="R23" s="0" t="str">
        <f aca="false">IF($D23&lt;&gt;"","["&amp;$E23&amp;"]"&amp;"|"&amp;$Q23&amp;"|"&amp;$K23&amp;"|"&amp;$G23&amp;"|"&amp;IF($G23="TX_CURR_SUBNAT.R","CY2022Q4",$M23),"")</f>
        <v>[zphK9WV8JB4]|&lt;01|Male|TX_CURR_SUBNAT.R|CY2022Q4</v>
      </c>
    </row>
    <row r="24" customFormat="false" ht="15" hidden="false" customHeight="false" outlineLevel="0" collapsed="false">
      <c r="A24" s="4"/>
      <c r="B24" s="14" t="s">
        <v>58</v>
      </c>
      <c r="C24" s="4"/>
      <c r="D24" s="9" t="s">
        <v>53</v>
      </c>
      <c r="E24" s="9" t="s">
        <v>54</v>
      </c>
      <c r="F24" s="9" t="s">
        <v>55</v>
      </c>
      <c r="G24" s="9" t="s">
        <v>26</v>
      </c>
      <c r="H24" s="9" t="s">
        <v>27</v>
      </c>
      <c r="I24" s="0" t="s">
        <v>33</v>
      </c>
      <c r="J24" s="9" t="s">
        <v>34</v>
      </c>
      <c r="K24" s="9" t="s">
        <v>48</v>
      </c>
      <c r="L24" s="9" t="s">
        <v>49</v>
      </c>
      <c r="M24" s="0" t="s">
        <v>32</v>
      </c>
      <c r="N24" s="0" t="n">
        <v>680</v>
      </c>
      <c r="O24" s="10" t="n">
        <v>0.655984139768407</v>
      </c>
      <c r="P24" s="10" t="n">
        <v>0.616392469964921</v>
      </c>
      <c r="Q24" s="0" t="str">
        <f aca="false">SUBSTITUTE(SUBSTITUTE($I24,CHAR(61),""),CHAR(34),"")</f>
        <v>01-09</v>
      </c>
      <c r="R24" s="0" t="str">
        <f aca="false">IF($D24&lt;&gt;"","["&amp;$E24&amp;"]"&amp;"|"&amp;$Q24&amp;"|"&amp;$K24&amp;"|"&amp;$G24&amp;"|"&amp;IF($G24="TX_CURR_SUBNAT.R","CY2022Q4",$M24),"")</f>
        <v>[zphK9WV8JB4]|01-09|Male|TX_CURR_SUBNAT.R|CY2022Q4</v>
      </c>
    </row>
    <row r="25" customFormat="false" ht="15" hidden="false" customHeight="false" outlineLevel="0" collapsed="false">
      <c r="A25" s="4"/>
      <c r="B25" s="4"/>
      <c r="C25" s="4"/>
      <c r="D25" s="9" t="s">
        <v>53</v>
      </c>
      <c r="E25" s="9" t="s">
        <v>54</v>
      </c>
      <c r="F25" s="9" t="s">
        <v>55</v>
      </c>
      <c r="G25" s="9" t="s">
        <v>26</v>
      </c>
      <c r="H25" s="9" t="s">
        <v>27</v>
      </c>
      <c r="I25" s="0" t="s">
        <v>36</v>
      </c>
      <c r="J25" s="9" t="s">
        <v>37</v>
      </c>
      <c r="K25" s="9" t="s">
        <v>48</v>
      </c>
      <c r="L25" s="9" t="s">
        <v>49</v>
      </c>
      <c r="M25" s="0" t="s">
        <v>32</v>
      </c>
      <c r="N25" s="0" t="n">
        <v>1398</v>
      </c>
      <c r="O25" s="10" t="n">
        <v>0.352526835631579</v>
      </c>
      <c r="P25" s="10" t="n">
        <v>0.616392469964921</v>
      </c>
      <c r="Q25" s="0" t="str">
        <f aca="false">SUBSTITUTE(SUBSTITUTE($I25,CHAR(61),""),CHAR(34),"")</f>
        <v>10-14</v>
      </c>
      <c r="R25" s="0" t="str">
        <f aca="false">IF($D25&lt;&gt;"","["&amp;$E25&amp;"]"&amp;"|"&amp;$Q25&amp;"|"&amp;$K25&amp;"|"&amp;$G25&amp;"|"&amp;IF($G25="TX_CURR_SUBNAT.R","CY2022Q4",$M25),"")</f>
        <v>[zphK9WV8JB4]|10-14|Male|TX_CURR_SUBNAT.R|CY2022Q4</v>
      </c>
    </row>
    <row r="26" customFormat="false" ht="15" hidden="false" customHeight="true" outlineLevel="0" collapsed="false">
      <c r="A26" s="4"/>
      <c r="B26" s="12" t="s">
        <v>59</v>
      </c>
      <c r="C26" s="4"/>
      <c r="D26" s="9" t="s">
        <v>53</v>
      </c>
      <c r="E26" s="9" t="s">
        <v>54</v>
      </c>
      <c r="F26" s="9" t="s">
        <v>55</v>
      </c>
      <c r="G26" s="9" t="s">
        <v>26</v>
      </c>
      <c r="H26" s="9" t="s">
        <v>27</v>
      </c>
      <c r="I26" s="0" t="s">
        <v>38</v>
      </c>
      <c r="J26" s="9" t="s">
        <v>39</v>
      </c>
      <c r="K26" s="9" t="s">
        <v>48</v>
      </c>
      <c r="L26" s="9" t="s">
        <v>49</v>
      </c>
      <c r="M26" s="0" t="s">
        <v>32</v>
      </c>
      <c r="N26" s="0" t="n">
        <v>1043</v>
      </c>
      <c r="O26" s="10" t="n">
        <v>0.967486528912559</v>
      </c>
      <c r="P26" s="10" t="n">
        <v>0.616392469964921</v>
      </c>
      <c r="Q26" s="0" t="str">
        <f aca="false">SUBSTITUTE(SUBSTITUTE($I26,CHAR(61),""),CHAR(34),"")</f>
        <v>15-24</v>
      </c>
      <c r="R26" s="0" t="str">
        <f aca="false">IF($D26&lt;&gt;"","["&amp;$E26&amp;"]"&amp;"|"&amp;$Q26&amp;"|"&amp;$K26&amp;"|"&amp;$G26&amp;"|"&amp;IF($G26="TX_CURR_SUBNAT.R","CY2022Q4",$M26),"")</f>
        <v>[zphK9WV8JB4]|15-24|Male|TX_CURR_SUBNAT.R|CY2022Q4</v>
      </c>
    </row>
    <row r="27" customFormat="false" ht="15" hidden="false" customHeight="false" outlineLevel="0" collapsed="false">
      <c r="A27" s="4"/>
      <c r="B27" s="12"/>
      <c r="C27" s="4"/>
      <c r="D27" s="9" t="s">
        <v>53</v>
      </c>
      <c r="E27" s="9" t="s">
        <v>54</v>
      </c>
      <c r="F27" s="9" t="s">
        <v>55</v>
      </c>
      <c r="G27" s="9" t="s">
        <v>26</v>
      </c>
      <c r="H27" s="9" t="s">
        <v>27</v>
      </c>
      <c r="I27" s="0" t="s">
        <v>41</v>
      </c>
      <c r="J27" s="9" t="s">
        <v>42</v>
      </c>
      <c r="K27" s="9" t="s">
        <v>48</v>
      </c>
      <c r="L27" s="9" t="s">
        <v>49</v>
      </c>
      <c r="M27" s="0" t="s">
        <v>32</v>
      </c>
      <c r="N27" s="0" t="n">
        <v>1026</v>
      </c>
      <c r="O27" s="10" t="n">
        <v>0.18278583092615</v>
      </c>
      <c r="P27" s="10" t="n">
        <v>0.616392469964921</v>
      </c>
      <c r="Q27" s="0" t="str">
        <f aca="false">SUBSTITUTE(SUBSTITUTE($I27,CHAR(61),""),CHAR(34),"")</f>
        <v>25-34</v>
      </c>
      <c r="R27" s="0" t="str">
        <f aca="false">IF($D27&lt;&gt;"","["&amp;$E27&amp;"]"&amp;"|"&amp;$Q27&amp;"|"&amp;$K27&amp;"|"&amp;$G27&amp;"|"&amp;IF($G27="TX_CURR_SUBNAT.R","CY2022Q4",$M27),"")</f>
        <v>[zphK9WV8JB4]|25-34|Male|TX_CURR_SUBNAT.R|CY2022Q4</v>
      </c>
    </row>
    <row r="28" customFormat="false" ht="15" hidden="false" customHeight="false" outlineLevel="0" collapsed="false">
      <c r="A28" s="4"/>
      <c r="B28" s="4"/>
      <c r="C28" s="4"/>
      <c r="D28" s="9" t="s">
        <v>53</v>
      </c>
      <c r="E28" s="9" t="s">
        <v>54</v>
      </c>
      <c r="F28" s="9" t="s">
        <v>55</v>
      </c>
      <c r="G28" s="9" t="s">
        <v>26</v>
      </c>
      <c r="H28" s="9" t="s">
        <v>27</v>
      </c>
      <c r="I28" s="0" t="s">
        <v>43</v>
      </c>
      <c r="J28" s="9" t="s">
        <v>44</v>
      </c>
      <c r="K28" s="9" t="s">
        <v>48</v>
      </c>
      <c r="L28" s="9" t="s">
        <v>49</v>
      </c>
      <c r="M28" s="0" t="s">
        <v>32</v>
      </c>
      <c r="N28" s="0" t="n">
        <v>1977</v>
      </c>
      <c r="O28" s="10" t="n">
        <v>0.181268591433764</v>
      </c>
      <c r="P28" s="10" t="n">
        <v>0.616392469964921</v>
      </c>
      <c r="Q28" s="0" t="str">
        <f aca="false">SUBSTITUTE(SUBSTITUTE($I28,CHAR(61),""),CHAR(34),"")</f>
        <v>35-49</v>
      </c>
      <c r="R28" s="0" t="str">
        <f aca="false">IF($D28&lt;&gt;"","["&amp;$E28&amp;"]"&amp;"|"&amp;$Q28&amp;"|"&amp;$K28&amp;"|"&amp;$G28&amp;"|"&amp;IF($G28="TX_CURR_SUBNAT.R","CY2022Q4",$M28),"")</f>
        <v>[zphK9WV8JB4]|35-49|Male|TX_CURR_SUBNAT.R|CY2022Q4</v>
      </c>
    </row>
    <row r="29" customFormat="false" ht="15" hidden="false" customHeight="false" outlineLevel="0" collapsed="false">
      <c r="A29" s="4"/>
      <c r="B29" s="13"/>
      <c r="C29" s="4"/>
      <c r="D29" s="9" t="s">
        <v>53</v>
      </c>
      <c r="E29" s="9" t="s">
        <v>54</v>
      </c>
      <c r="F29" s="9" t="s">
        <v>55</v>
      </c>
      <c r="G29" s="9" t="s">
        <v>26</v>
      </c>
      <c r="H29" s="9" t="s">
        <v>27</v>
      </c>
      <c r="I29" s="0" t="s">
        <v>45</v>
      </c>
      <c r="J29" s="9" t="s">
        <v>46</v>
      </c>
      <c r="K29" s="9" t="s">
        <v>48</v>
      </c>
      <c r="L29" s="9" t="s">
        <v>49</v>
      </c>
      <c r="M29" s="0" t="s">
        <v>32</v>
      </c>
      <c r="N29" s="0" t="n">
        <v>1636</v>
      </c>
      <c r="O29" s="10" t="n">
        <v>0.242046911502257</v>
      </c>
      <c r="P29" s="10" t="n">
        <v>0.616392469964921</v>
      </c>
      <c r="Q29" s="0" t="str">
        <f aca="false">SUBSTITUTE(SUBSTITUTE($I29,CHAR(61),""),CHAR(34),"")</f>
        <v>50+</v>
      </c>
      <c r="R29" s="0" t="str">
        <f aca="false">IF($D29&lt;&gt;"","["&amp;$E29&amp;"]"&amp;"|"&amp;$Q29&amp;"|"&amp;$K29&amp;"|"&amp;$G29&amp;"|"&amp;IF($G29="TX_CURR_SUBNAT.R","CY2022Q4",$M29),"")</f>
        <v>[zphK9WV8JB4]|50+|Male|TX_CURR_SUBNAT.R|CY2022Q4</v>
      </c>
    </row>
    <row r="30" customFormat="false" ht="15" hidden="false" customHeight="false" outlineLevel="0" collapsed="false">
      <c r="A30" s="4"/>
      <c r="B30" s="13"/>
      <c r="C30" s="4"/>
      <c r="D30" s="9" t="s">
        <v>60</v>
      </c>
      <c r="E30" s="9" t="s">
        <v>61</v>
      </c>
      <c r="F30" s="9" t="s">
        <v>62</v>
      </c>
      <c r="G30" s="9" t="s">
        <v>26</v>
      </c>
      <c r="H30" s="9" t="s">
        <v>27</v>
      </c>
      <c r="I30" s="0" t="s">
        <v>28</v>
      </c>
      <c r="J30" s="9" t="s">
        <v>29</v>
      </c>
      <c r="K30" s="9" t="s">
        <v>30</v>
      </c>
      <c r="L30" s="9" t="s">
        <v>31</v>
      </c>
      <c r="M30" s="0" t="s">
        <v>32</v>
      </c>
      <c r="N30" s="0" t="n">
        <v>575</v>
      </c>
      <c r="O30" s="10" t="n">
        <v>0.642755459761247</v>
      </c>
      <c r="P30" s="10" t="n">
        <v>0.0268250561784953</v>
      </c>
      <c r="Q30" s="0" t="str">
        <f aca="false">SUBSTITUTE(SUBSTITUTE($I30,CHAR(61),""),CHAR(34),"")</f>
        <v>&lt;01</v>
      </c>
      <c r="R30" s="0" t="str">
        <f aca="false">IF($D30&lt;&gt;"","["&amp;$E30&amp;"]"&amp;"|"&amp;$Q30&amp;"|"&amp;$K30&amp;"|"&amp;$G30&amp;"|"&amp;IF($G30="TX_CURR_SUBNAT.R","CY2022Q4",$M30),"")</f>
        <v>[msW2zpIN7up]|&lt;01|Female|TX_CURR_SUBNAT.R|CY2022Q4</v>
      </c>
    </row>
    <row r="31" customFormat="false" ht="15" hidden="false" customHeight="false" outlineLevel="0" collapsed="false">
      <c r="A31" s="4"/>
      <c r="B31" s="13"/>
      <c r="C31" s="4"/>
      <c r="D31" s="9" t="s">
        <v>60</v>
      </c>
      <c r="E31" s="9" t="s">
        <v>61</v>
      </c>
      <c r="F31" s="9" t="s">
        <v>62</v>
      </c>
      <c r="G31" s="9" t="s">
        <v>26</v>
      </c>
      <c r="H31" s="9" t="s">
        <v>27</v>
      </c>
      <c r="I31" s="0" t="s">
        <v>33</v>
      </c>
      <c r="J31" s="9" t="s">
        <v>34</v>
      </c>
      <c r="K31" s="9" t="s">
        <v>30</v>
      </c>
      <c r="L31" s="9" t="s">
        <v>31</v>
      </c>
      <c r="M31" s="0" t="s">
        <v>32</v>
      </c>
      <c r="N31" s="0" t="n">
        <v>693</v>
      </c>
      <c r="O31" s="10" t="n">
        <v>0.108367964392528</v>
      </c>
      <c r="P31" s="10" t="n">
        <v>0.0268250561784953</v>
      </c>
      <c r="Q31" s="0" t="str">
        <f aca="false">SUBSTITUTE(SUBSTITUTE($I31,CHAR(61),""),CHAR(34),"")</f>
        <v>01-09</v>
      </c>
      <c r="R31" s="0" t="str">
        <f aca="false">IF($D31&lt;&gt;"","["&amp;$E31&amp;"]"&amp;"|"&amp;$Q31&amp;"|"&amp;$K31&amp;"|"&amp;$G31&amp;"|"&amp;IF($G31="TX_CURR_SUBNAT.R","CY2022Q4",$M31),"")</f>
        <v>[msW2zpIN7up]|01-09|Female|TX_CURR_SUBNAT.R|CY2022Q4</v>
      </c>
    </row>
    <row r="32" customFormat="false" ht="15" hidden="false" customHeight="false" outlineLevel="0" collapsed="false">
      <c r="A32" s="4"/>
      <c r="B32" s="4"/>
      <c r="C32" s="4"/>
      <c r="D32" s="9" t="s">
        <v>60</v>
      </c>
      <c r="E32" s="9" t="s">
        <v>61</v>
      </c>
      <c r="F32" s="9" t="s">
        <v>62</v>
      </c>
      <c r="G32" s="9" t="s">
        <v>26</v>
      </c>
      <c r="H32" s="9" t="s">
        <v>27</v>
      </c>
      <c r="I32" s="0" t="s">
        <v>36</v>
      </c>
      <c r="J32" s="9" t="s">
        <v>37</v>
      </c>
      <c r="K32" s="9" t="s">
        <v>30</v>
      </c>
      <c r="L32" s="9" t="s">
        <v>31</v>
      </c>
      <c r="M32" s="0" t="s">
        <v>32</v>
      </c>
      <c r="N32" s="0" t="n">
        <v>684</v>
      </c>
      <c r="O32" s="10" t="n">
        <v>0.555646140128374</v>
      </c>
      <c r="P32" s="10" t="n">
        <v>0.0268250561784953</v>
      </c>
      <c r="Q32" s="0" t="str">
        <f aca="false">SUBSTITUTE(SUBSTITUTE($I32,CHAR(61),""),CHAR(34),"")</f>
        <v>10-14</v>
      </c>
      <c r="R32" s="0" t="str">
        <f aca="false">IF($D32&lt;&gt;"","["&amp;$E32&amp;"]"&amp;"|"&amp;$Q32&amp;"|"&amp;$K32&amp;"|"&amp;$G32&amp;"|"&amp;IF($G32="TX_CURR_SUBNAT.R","CY2022Q4",$M32),"")</f>
        <v>[msW2zpIN7up]|10-14|Female|TX_CURR_SUBNAT.R|CY2022Q4</v>
      </c>
    </row>
    <row r="33" customFormat="false" ht="15" hidden="false" customHeight="false" outlineLevel="0" collapsed="false">
      <c r="A33" s="4"/>
      <c r="B33" s="4"/>
      <c r="C33" s="4"/>
      <c r="D33" s="9" t="s">
        <v>60</v>
      </c>
      <c r="E33" s="9" t="s">
        <v>61</v>
      </c>
      <c r="F33" s="9" t="s">
        <v>62</v>
      </c>
      <c r="G33" s="9" t="s">
        <v>26</v>
      </c>
      <c r="H33" s="9" t="s">
        <v>27</v>
      </c>
      <c r="I33" s="0" t="s">
        <v>38</v>
      </c>
      <c r="J33" s="9" t="s">
        <v>39</v>
      </c>
      <c r="K33" s="9" t="s">
        <v>30</v>
      </c>
      <c r="L33" s="9" t="s">
        <v>31</v>
      </c>
      <c r="M33" s="0" t="s">
        <v>32</v>
      </c>
      <c r="N33" s="0" t="n">
        <v>1897</v>
      </c>
      <c r="O33" s="10" t="n">
        <v>0.695227392716333</v>
      </c>
      <c r="P33" s="10" t="n">
        <v>0.0268250561784953</v>
      </c>
      <c r="Q33" s="0" t="str">
        <f aca="false">SUBSTITUTE(SUBSTITUTE($I33,CHAR(61),""),CHAR(34),"")</f>
        <v>15-24</v>
      </c>
      <c r="R33" s="0" t="str">
        <f aca="false">IF($D33&lt;&gt;"","["&amp;$E33&amp;"]"&amp;"|"&amp;$Q33&amp;"|"&amp;$K33&amp;"|"&amp;$G33&amp;"|"&amp;IF($G33="TX_CURR_SUBNAT.R","CY2022Q4",$M33),"")</f>
        <v>[msW2zpIN7up]|15-24|Female|TX_CURR_SUBNAT.R|CY2022Q4</v>
      </c>
    </row>
    <row r="34" customFormat="false" ht="15" hidden="false" customHeight="false" outlineLevel="0" collapsed="false">
      <c r="A34" s="4"/>
      <c r="B34" s="4"/>
      <c r="C34" s="4"/>
      <c r="D34" s="9" t="s">
        <v>60</v>
      </c>
      <c r="E34" s="9" t="s">
        <v>61</v>
      </c>
      <c r="F34" s="9" t="s">
        <v>62</v>
      </c>
      <c r="G34" s="9" t="s">
        <v>26</v>
      </c>
      <c r="H34" s="9" t="s">
        <v>27</v>
      </c>
      <c r="I34" s="0" t="s">
        <v>41</v>
      </c>
      <c r="J34" s="9" t="s">
        <v>42</v>
      </c>
      <c r="K34" s="9" t="s">
        <v>30</v>
      </c>
      <c r="L34" s="9" t="s">
        <v>31</v>
      </c>
      <c r="M34" s="0" t="s">
        <v>32</v>
      </c>
      <c r="N34" s="0" t="n">
        <v>1354</v>
      </c>
      <c r="O34" s="10" t="n">
        <v>0.739929985255003</v>
      </c>
      <c r="P34" s="10" t="n">
        <v>0.0268250561784953</v>
      </c>
      <c r="Q34" s="0" t="str">
        <f aca="false">SUBSTITUTE(SUBSTITUTE($I34,CHAR(61),""),CHAR(34),"")</f>
        <v>25-34</v>
      </c>
      <c r="R34" s="0" t="str">
        <f aca="false">IF($D34&lt;&gt;"","["&amp;$E34&amp;"]"&amp;"|"&amp;$Q34&amp;"|"&amp;$K34&amp;"|"&amp;$G34&amp;"|"&amp;IF($G34="TX_CURR_SUBNAT.R","CY2022Q4",$M34),"")</f>
        <v>[msW2zpIN7up]|25-34|Female|TX_CURR_SUBNAT.R|CY2022Q4</v>
      </c>
    </row>
    <row r="35" customFormat="false" ht="15" hidden="false" customHeight="false" outlineLevel="0" collapsed="false">
      <c r="A35" s="4"/>
      <c r="B35" s="4"/>
      <c r="C35" s="4"/>
      <c r="D35" s="9" t="s">
        <v>60</v>
      </c>
      <c r="E35" s="9" t="s">
        <v>61</v>
      </c>
      <c r="F35" s="9" t="s">
        <v>62</v>
      </c>
      <c r="G35" s="9" t="s">
        <v>26</v>
      </c>
      <c r="H35" s="9" t="s">
        <v>27</v>
      </c>
      <c r="I35" s="0" t="s">
        <v>43</v>
      </c>
      <c r="J35" s="9" t="s">
        <v>44</v>
      </c>
      <c r="K35" s="9" t="s">
        <v>30</v>
      </c>
      <c r="L35" s="9" t="s">
        <v>31</v>
      </c>
      <c r="M35" s="0" t="s">
        <v>32</v>
      </c>
      <c r="N35" s="0" t="n">
        <v>942</v>
      </c>
      <c r="O35" s="10" t="n">
        <v>0.124820968136191</v>
      </c>
      <c r="P35" s="10" t="n">
        <v>0.0268250561784953</v>
      </c>
      <c r="Q35" s="0" t="str">
        <f aca="false">SUBSTITUTE(SUBSTITUTE($I35,CHAR(61),""),CHAR(34),"")</f>
        <v>35-49</v>
      </c>
      <c r="R35" s="0" t="str">
        <f aca="false">IF($D35&lt;&gt;"","["&amp;$E35&amp;"]"&amp;"|"&amp;$Q35&amp;"|"&amp;$K35&amp;"|"&amp;$G35&amp;"|"&amp;IF($G35="TX_CURR_SUBNAT.R","CY2022Q4",$M35),"")</f>
        <v>[msW2zpIN7up]|35-49|Female|TX_CURR_SUBNAT.R|CY2022Q4</v>
      </c>
    </row>
    <row r="36" customFormat="false" ht="15" hidden="false" customHeight="false" outlineLevel="0" collapsed="false">
      <c r="A36" s="4"/>
      <c r="B36" s="4"/>
      <c r="C36" s="4"/>
      <c r="D36" s="9" t="s">
        <v>60</v>
      </c>
      <c r="E36" s="9" t="s">
        <v>61</v>
      </c>
      <c r="F36" s="9" t="s">
        <v>62</v>
      </c>
      <c r="G36" s="9" t="s">
        <v>26</v>
      </c>
      <c r="H36" s="9" t="s">
        <v>27</v>
      </c>
      <c r="I36" s="0" t="s">
        <v>45</v>
      </c>
      <c r="J36" s="9" t="s">
        <v>46</v>
      </c>
      <c r="K36" s="9" t="s">
        <v>30</v>
      </c>
      <c r="L36" s="9" t="s">
        <v>31</v>
      </c>
      <c r="M36" s="0" t="s">
        <v>32</v>
      </c>
      <c r="N36" s="0" t="n">
        <v>1218</v>
      </c>
      <c r="O36" s="10" t="n">
        <v>0.189703727373853</v>
      </c>
      <c r="P36" s="10" t="n">
        <v>0.0268250561784953</v>
      </c>
      <c r="Q36" s="0" t="str">
        <f aca="false">SUBSTITUTE(SUBSTITUTE($I36,CHAR(61),""),CHAR(34),"")</f>
        <v>50+</v>
      </c>
      <c r="R36" s="0" t="str">
        <f aca="false">IF($D36&lt;&gt;"","["&amp;$E36&amp;"]"&amp;"|"&amp;$Q36&amp;"|"&amp;$K36&amp;"|"&amp;$G36&amp;"|"&amp;IF($G36="TX_CURR_SUBNAT.R","CY2022Q4",$M36),"")</f>
        <v>[msW2zpIN7up]|50+|Female|TX_CURR_SUBNAT.R|CY2022Q4</v>
      </c>
    </row>
    <row r="37" customFormat="false" ht="15" hidden="false" customHeight="false" outlineLevel="0" collapsed="false">
      <c r="A37" s="4"/>
      <c r="B37" s="4"/>
      <c r="C37" s="4"/>
      <c r="D37" s="9" t="s">
        <v>60</v>
      </c>
      <c r="E37" s="9" t="s">
        <v>61</v>
      </c>
      <c r="F37" s="9" t="s">
        <v>62</v>
      </c>
      <c r="G37" s="9" t="s">
        <v>26</v>
      </c>
      <c r="H37" s="9" t="s">
        <v>27</v>
      </c>
      <c r="I37" s="0" t="s">
        <v>28</v>
      </c>
      <c r="J37" s="9" t="s">
        <v>29</v>
      </c>
      <c r="K37" s="9" t="s">
        <v>48</v>
      </c>
      <c r="L37" s="9" t="s">
        <v>49</v>
      </c>
      <c r="M37" s="0" t="s">
        <v>32</v>
      </c>
      <c r="N37" s="0" t="n">
        <v>1227</v>
      </c>
      <c r="O37" s="10" t="n">
        <v>0.0228178361430764</v>
      </c>
      <c r="P37" s="10" t="n">
        <v>0.0268250561784953</v>
      </c>
      <c r="Q37" s="0" t="str">
        <f aca="false">SUBSTITUTE(SUBSTITUTE($I37,CHAR(61),""),CHAR(34),"")</f>
        <v>&lt;01</v>
      </c>
      <c r="R37" s="0" t="str">
        <f aca="false">IF($D37&lt;&gt;"","["&amp;$E37&amp;"]"&amp;"|"&amp;$Q37&amp;"|"&amp;$K37&amp;"|"&amp;$G37&amp;"|"&amp;IF($G37="TX_CURR_SUBNAT.R","CY2022Q4",$M37),"")</f>
        <v>[msW2zpIN7up]|&lt;01|Male|TX_CURR_SUBNAT.R|CY2022Q4</v>
      </c>
    </row>
    <row r="38" customFormat="false" ht="15" hidden="false" customHeight="false" outlineLevel="0" collapsed="false">
      <c r="A38" s="4"/>
      <c r="B38" s="4"/>
      <c r="C38" s="4"/>
      <c r="D38" s="9" t="s">
        <v>60</v>
      </c>
      <c r="E38" s="9" t="s">
        <v>61</v>
      </c>
      <c r="F38" s="9" t="s">
        <v>62</v>
      </c>
      <c r="G38" s="9" t="s">
        <v>26</v>
      </c>
      <c r="H38" s="9" t="s">
        <v>27</v>
      </c>
      <c r="I38" s="0" t="s">
        <v>33</v>
      </c>
      <c r="J38" s="9" t="s">
        <v>34</v>
      </c>
      <c r="K38" s="9" t="s">
        <v>48</v>
      </c>
      <c r="L38" s="9" t="s">
        <v>49</v>
      </c>
      <c r="M38" s="0" t="s">
        <v>32</v>
      </c>
      <c r="N38" s="0" t="n">
        <v>1693</v>
      </c>
      <c r="O38" s="10" t="n">
        <v>0.439294945681468</v>
      </c>
      <c r="P38" s="10" t="n">
        <v>0.0268250561784953</v>
      </c>
      <c r="Q38" s="0" t="str">
        <f aca="false">SUBSTITUTE(SUBSTITUTE($I38,CHAR(61),""),CHAR(34),"")</f>
        <v>01-09</v>
      </c>
      <c r="R38" s="0" t="str">
        <f aca="false">IF($D38&lt;&gt;"","["&amp;$E38&amp;"]"&amp;"|"&amp;$Q38&amp;"|"&amp;$K38&amp;"|"&amp;$G38&amp;"|"&amp;IF($G38="TX_CURR_SUBNAT.R","CY2022Q4",$M38),"")</f>
        <v>[msW2zpIN7up]|01-09|Male|TX_CURR_SUBNAT.R|CY2022Q4</v>
      </c>
    </row>
    <row r="39" customFormat="false" ht="15" hidden="false" customHeight="false" outlineLevel="0" collapsed="false">
      <c r="A39" s="4"/>
      <c r="B39" s="4"/>
      <c r="C39" s="4"/>
      <c r="D39" s="9" t="s">
        <v>60</v>
      </c>
      <c r="E39" s="9" t="s">
        <v>61</v>
      </c>
      <c r="F39" s="9" t="s">
        <v>62</v>
      </c>
      <c r="G39" s="9" t="s">
        <v>26</v>
      </c>
      <c r="H39" s="9" t="s">
        <v>27</v>
      </c>
      <c r="I39" s="0" t="s">
        <v>36</v>
      </c>
      <c r="J39" s="9" t="s">
        <v>37</v>
      </c>
      <c r="K39" s="9" t="s">
        <v>48</v>
      </c>
      <c r="L39" s="9" t="s">
        <v>49</v>
      </c>
      <c r="M39" s="0" t="s">
        <v>32</v>
      </c>
      <c r="N39" s="0" t="n">
        <v>1199</v>
      </c>
      <c r="O39" s="10" t="n">
        <v>0.575547162443399</v>
      </c>
      <c r="P39" s="10" t="n">
        <v>0.0268250561784953</v>
      </c>
      <c r="Q39" s="0" t="str">
        <f aca="false">SUBSTITUTE(SUBSTITUTE($I39,CHAR(61),""),CHAR(34),"")</f>
        <v>10-14</v>
      </c>
      <c r="R39" s="0" t="str">
        <f aca="false">IF($D39&lt;&gt;"","["&amp;$E39&amp;"]"&amp;"|"&amp;$Q39&amp;"|"&amp;$K39&amp;"|"&amp;$G39&amp;"|"&amp;IF($G39="TX_CURR_SUBNAT.R","CY2022Q4",$M39),"")</f>
        <v>[msW2zpIN7up]|10-14|Male|TX_CURR_SUBNAT.R|CY2022Q4</v>
      </c>
    </row>
    <row r="40" customFormat="false" ht="15" hidden="false" customHeight="false" outlineLevel="0" collapsed="false">
      <c r="A40" s="4"/>
      <c r="B40" s="4"/>
      <c r="C40" s="4"/>
      <c r="D40" s="9" t="s">
        <v>60</v>
      </c>
      <c r="E40" s="9" t="s">
        <v>61</v>
      </c>
      <c r="F40" s="9" t="s">
        <v>62</v>
      </c>
      <c r="G40" s="9" t="s">
        <v>26</v>
      </c>
      <c r="H40" s="9" t="s">
        <v>27</v>
      </c>
      <c r="I40" s="0" t="s">
        <v>38</v>
      </c>
      <c r="J40" s="9" t="s">
        <v>39</v>
      </c>
      <c r="K40" s="9" t="s">
        <v>48</v>
      </c>
      <c r="L40" s="9" t="s">
        <v>49</v>
      </c>
      <c r="M40" s="0" t="s">
        <v>32</v>
      </c>
      <c r="N40" s="0" t="n">
        <v>586</v>
      </c>
      <c r="O40" s="10" t="n">
        <v>0.433595329057425</v>
      </c>
      <c r="P40" s="10" t="n">
        <v>0.0268250561784953</v>
      </c>
      <c r="Q40" s="0" t="str">
        <f aca="false">SUBSTITUTE(SUBSTITUTE($I40,CHAR(61),""),CHAR(34),"")</f>
        <v>15-24</v>
      </c>
      <c r="R40" s="0" t="str">
        <f aca="false">IF($D40&lt;&gt;"","["&amp;$E40&amp;"]"&amp;"|"&amp;$Q40&amp;"|"&amp;$K40&amp;"|"&amp;$G40&amp;"|"&amp;IF($G40="TX_CURR_SUBNAT.R","CY2022Q4",$M40),"")</f>
        <v>[msW2zpIN7up]|15-24|Male|TX_CURR_SUBNAT.R|CY2022Q4</v>
      </c>
    </row>
    <row r="41" customFormat="false" ht="15" hidden="false" customHeight="false" outlineLevel="0" collapsed="false">
      <c r="A41" s="4"/>
      <c r="B41" s="4"/>
      <c r="C41" s="4"/>
      <c r="D41" s="9" t="s">
        <v>60</v>
      </c>
      <c r="E41" s="9" t="s">
        <v>61</v>
      </c>
      <c r="F41" s="9" t="s">
        <v>62</v>
      </c>
      <c r="G41" s="9" t="s">
        <v>26</v>
      </c>
      <c r="H41" s="9" t="s">
        <v>27</v>
      </c>
      <c r="I41" s="0" t="s">
        <v>41</v>
      </c>
      <c r="J41" s="9" t="s">
        <v>42</v>
      </c>
      <c r="K41" s="9" t="s">
        <v>48</v>
      </c>
      <c r="L41" s="9" t="s">
        <v>49</v>
      </c>
      <c r="M41" s="0" t="s">
        <v>32</v>
      </c>
      <c r="N41" s="0" t="n">
        <v>1373</v>
      </c>
      <c r="O41" s="10" t="n">
        <v>0.391719776205719</v>
      </c>
      <c r="P41" s="10" t="n">
        <v>0.0268250561784953</v>
      </c>
      <c r="Q41" s="0" t="str">
        <f aca="false">SUBSTITUTE(SUBSTITUTE($I41,CHAR(61),""),CHAR(34),"")</f>
        <v>25-34</v>
      </c>
      <c r="R41" s="0" t="str">
        <f aca="false">IF($D41&lt;&gt;"","["&amp;$E41&amp;"]"&amp;"|"&amp;$Q41&amp;"|"&amp;$K41&amp;"|"&amp;$G41&amp;"|"&amp;IF($G41="TX_CURR_SUBNAT.R","CY2022Q4",$M41),"")</f>
        <v>[msW2zpIN7up]|25-34|Male|TX_CURR_SUBNAT.R|CY2022Q4</v>
      </c>
    </row>
    <row r="42" customFormat="false" ht="15" hidden="false" customHeight="false" outlineLevel="0" collapsed="false">
      <c r="A42" s="4"/>
      <c r="B42" s="4"/>
      <c r="C42" s="4"/>
      <c r="D42" s="9" t="s">
        <v>60</v>
      </c>
      <c r="E42" s="9" t="s">
        <v>61</v>
      </c>
      <c r="F42" s="9" t="s">
        <v>62</v>
      </c>
      <c r="G42" s="9" t="s">
        <v>26</v>
      </c>
      <c r="H42" s="9" t="s">
        <v>27</v>
      </c>
      <c r="I42" s="0" t="s">
        <v>43</v>
      </c>
      <c r="J42" s="9" t="s">
        <v>44</v>
      </c>
      <c r="K42" s="9" t="s">
        <v>48</v>
      </c>
      <c r="L42" s="9" t="s">
        <v>49</v>
      </c>
      <c r="M42" s="0" t="s">
        <v>32</v>
      </c>
      <c r="N42" s="0" t="n">
        <v>868</v>
      </c>
      <c r="O42" s="10" t="n">
        <v>0.0962307245936245</v>
      </c>
      <c r="P42" s="10" t="n">
        <v>0.0268250561784953</v>
      </c>
      <c r="Q42" s="0" t="str">
        <f aca="false">SUBSTITUTE(SUBSTITUTE($I42,CHAR(61),""),CHAR(34),"")</f>
        <v>35-49</v>
      </c>
      <c r="R42" s="0" t="str">
        <f aca="false">IF($D42&lt;&gt;"","["&amp;$E42&amp;"]"&amp;"|"&amp;$Q42&amp;"|"&amp;$K42&amp;"|"&amp;$G42&amp;"|"&amp;IF($G42="TX_CURR_SUBNAT.R","CY2022Q4",$M42),"")</f>
        <v>[msW2zpIN7up]|35-49|Male|TX_CURR_SUBNAT.R|CY2022Q4</v>
      </c>
    </row>
    <row r="43" customFormat="false" ht="15" hidden="false" customHeight="false" outlineLevel="0" collapsed="false">
      <c r="A43" s="4"/>
      <c r="B43" s="4"/>
      <c r="C43" s="4"/>
      <c r="D43" s="9" t="s">
        <v>60</v>
      </c>
      <c r="E43" s="9" t="s">
        <v>61</v>
      </c>
      <c r="F43" s="9" t="s">
        <v>62</v>
      </c>
      <c r="G43" s="9" t="s">
        <v>26</v>
      </c>
      <c r="H43" s="9" t="s">
        <v>27</v>
      </c>
      <c r="I43" s="0" t="s">
        <v>45</v>
      </c>
      <c r="J43" s="9" t="s">
        <v>46</v>
      </c>
      <c r="K43" s="9" t="s">
        <v>48</v>
      </c>
      <c r="L43" s="9" t="s">
        <v>49</v>
      </c>
      <c r="M43" s="0" t="s">
        <v>32</v>
      </c>
      <c r="N43" s="0" t="n">
        <v>617</v>
      </c>
      <c r="O43" s="10" t="n">
        <v>0.848833455471322</v>
      </c>
      <c r="P43" s="10" t="n">
        <v>0.0268250561784953</v>
      </c>
      <c r="Q43" s="0" t="str">
        <f aca="false">SUBSTITUTE(SUBSTITUTE($I43,CHAR(61),""),CHAR(34),"")</f>
        <v>50+</v>
      </c>
      <c r="R43" s="0" t="str">
        <f aca="false">IF($D43&lt;&gt;"","["&amp;$E43&amp;"]"&amp;"|"&amp;$Q43&amp;"|"&amp;$K43&amp;"|"&amp;$G43&amp;"|"&amp;IF($G43="TX_CURR_SUBNAT.R","CY2022Q4",$M43),"")</f>
        <v>[msW2zpIN7up]|50+|Male|TX_CURR_SUBNAT.R|CY2022Q4</v>
      </c>
    </row>
    <row r="44" customFormat="false" ht="15" hidden="false" customHeight="false" outlineLevel="0" collapsed="false">
      <c r="A44" s="4"/>
      <c r="B44" s="4"/>
      <c r="C44" s="4"/>
      <c r="D44" s="9" t="s">
        <v>63</v>
      </c>
      <c r="E44" s="9" t="s">
        <v>64</v>
      </c>
      <c r="F44" s="9" t="s">
        <v>65</v>
      </c>
      <c r="G44" s="9" t="s">
        <v>26</v>
      </c>
      <c r="H44" s="9" t="s">
        <v>27</v>
      </c>
      <c r="I44" s="0" t="s">
        <v>28</v>
      </c>
      <c r="J44" s="9" t="s">
        <v>29</v>
      </c>
      <c r="K44" s="9" t="s">
        <v>30</v>
      </c>
      <c r="L44" s="9" t="s">
        <v>31</v>
      </c>
      <c r="M44" s="0" t="s">
        <v>32</v>
      </c>
      <c r="N44" s="0" t="n">
        <v>942</v>
      </c>
      <c r="O44" s="10" t="n">
        <v>0.630582152632996</v>
      </c>
      <c r="P44" s="10" t="n">
        <v>0.790102193132043</v>
      </c>
      <c r="Q44" s="0" t="str">
        <f aca="false">SUBSTITUTE(SUBSTITUTE($I44,CHAR(61),""),CHAR(34),"")</f>
        <v>&lt;01</v>
      </c>
      <c r="R44" s="0" t="str">
        <f aca="false">IF($D44&lt;&gt;"","["&amp;$E44&amp;"]"&amp;"|"&amp;$Q44&amp;"|"&amp;$K44&amp;"|"&amp;$G44&amp;"|"&amp;IF($G44="TX_CURR_SUBNAT.R","CY2022Q4",$M44),"")</f>
        <v>[kxuuIFpOXyO]|&lt;01|Female|TX_CURR_SUBNAT.R|CY2022Q4</v>
      </c>
    </row>
    <row r="45" customFormat="false" ht="15" hidden="false" customHeight="false" outlineLevel="0" collapsed="false">
      <c r="A45" s="4"/>
      <c r="B45" s="4"/>
      <c r="C45" s="4"/>
      <c r="D45" s="9" t="s">
        <v>63</v>
      </c>
      <c r="E45" s="9" t="s">
        <v>64</v>
      </c>
      <c r="F45" s="9" t="s">
        <v>65</v>
      </c>
      <c r="G45" s="9" t="s">
        <v>26</v>
      </c>
      <c r="H45" s="9" t="s">
        <v>27</v>
      </c>
      <c r="I45" s="0" t="s">
        <v>33</v>
      </c>
      <c r="J45" s="9" t="s">
        <v>34</v>
      </c>
      <c r="K45" s="9" t="s">
        <v>30</v>
      </c>
      <c r="L45" s="9" t="s">
        <v>31</v>
      </c>
      <c r="M45" s="0" t="s">
        <v>32</v>
      </c>
      <c r="N45" s="0" t="n">
        <v>1523</v>
      </c>
      <c r="O45" s="10" t="n">
        <v>0.574984737671912</v>
      </c>
      <c r="P45" s="10" t="n">
        <v>0.790102193132043</v>
      </c>
      <c r="Q45" s="0" t="str">
        <f aca="false">SUBSTITUTE(SUBSTITUTE($I45,CHAR(61),""),CHAR(34),"")</f>
        <v>01-09</v>
      </c>
      <c r="R45" s="0" t="str">
        <f aca="false">IF($D45&lt;&gt;"","["&amp;$E45&amp;"]"&amp;"|"&amp;$Q45&amp;"|"&amp;$K45&amp;"|"&amp;$G45&amp;"|"&amp;IF($G45="TX_CURR_SUBNAT.R","CY2022Q4",$M45),"")</f>
        <v>[kxuuIFpOXyO]|01-09|Female|TX_CURR_SUBNAT.R|CY2022Q4</v>
      </c>
    </row>
    <row r="46" customFormat="false" ht="15" hidden="false" customHeight="false" outlineLevel="0" collapsed="false">
      <c r="A46" s="4"/>
      <c r="B46" s="4"/>
      <c r="C46" s="4"/>
      <c r="D46" s="9" t="s">
        <v>63</v>
      </c>
      <c r="E46" s="9" t="s">
        <v>64</v>
      </c>
      <c r="F46" s="9" t="s">
        <v>65</v>
      </c>
      <c r="G46" s="9" t="s">
        <v>26</v>
      </c>
      <c r="H46" s="9" t="s">
        <v>27</v>
      </c>
      <c r="I46" s="0" t="s">
        <v>36</v>
      </c>
      <c r="J46" s="9" t="s">
        <v>37</v>
      </c>
      <c r="K46" s="9" t="s">
        <v>30</v>
      </c>
      <c r="L46" s="9" t="s">
        <v>31</v>
      </c>
      <c r="M46" s="0" t="s">
        <v>32</v>
      </c>
      <c r="N46" s="0" t="n">
        <v>1295</v>
      </c>
      <c r="O46" s="10" t="n">
        <v>0.984880514675751</v>
      </c>
      <c r="P46" s="10" t="n">
        <v>0.790102193132043</v>
      </c>
      <c r="Q46" s="0" t="str">
        <f aca="false">SUBSTITUTE(SUBSTITUTE($I46,CHAR(61),""),CHAR(34),"")</f>
        <v>10-14</v>
      </c>
      <c r="R46" s="0" t="str">
        <f aca="false">IF($D46&lt;&gt;"","["&amp;$E46&amp;"]"&amp;"|"&amp;$Q46&amp;"|"&amp;$K46&amp;"|"&amp;$G46&amp;"|"&amp;IF($G46="TX_CURR_SUBNAT.R","CY2022Q4",$M46),"")</f>
        <v>[kxuuIFpOXyO]|10-14|Female|TX_CURR_SUBNAT.R|CY2022Q4</v>
      </c>
    </row>
    <row r="47" customFormat="false" ht="15" hidden="false" customHeight="false" outlineLevel="0" collapsed="false">
      <c r="A47" s="4"/>
      <c r="B47" s="4"/>
      <c r="C47" s="4"/>
      <c r="D47" s="9" t="s">
        <v>63</v>
      </c>
      <c r="E47" s="9" t="s">
        <v>64</v>
      </c>
      <c r="F47" s="9" t="s">
        <v>65</v>
      </c>
      <c r="G47" s="9" t="s">
        <v>26</v>
      </c>
      <c r="H47" s="9" t="s">
        <v>27</v>
      </c>
      <c r="I47" s="0" t="s">
        <v>38</v>
      </c>
      <c r="J47" s="9" t="s">
        <v>39</v>
      </c>
      <c r="K47" s="9" t="s">
        <v>30</v>
      </c>
      <c r="L47" s="9" t="s">
        <v>31</v>
      </c>
      <c r="M47" s="0" t="s">
        <v>32</v>
      </c>
      <c r="N47" s="0" t="n">
        <v>680</v>
      </c>
      <c r="O47" s="10" t="n">
        <v>0.352769900811836</v>
      </c>
      <c r="P47" s="10" t="n">
        <v>0.790102193132043</v>
      </c>
      <c r="Q47" s="0" t="str">
        <f aca="false">SUBSTITUTE(SUBSTITUTE($I47,CHAR(61),""),CHAR(34),"")</f>
        <v>15-24</v>
      </c>
      <c r="R47" s="0" t="str">
        <f aca="false">IF($D47&lt;&gt;"","["&amp;$E47&amp;"]"&amp;"|"&amp;$Q47&amp;"|"&amp;$K47&amp;"|"&amp;$G47&amp;"|"&amp;IF($G47="TX_CURR_SUBNAT.R","CY2022Q4",$M47),"")</f>
        <v>[kxuuIFpOXyO]|15-24|Female|TX_CURR_SUBNAT.R|CY2022Q4</v>
      </c>
    </row>
    <row r="48" customFormat="false" ht="15" hidden="false" customHeight="false" outlineLevel="0" collapsed="false">
      <c r="A48" s="4"/>
      <c r="B48" s="4"/>
      <c r="C48" s="4"/>
      <c r="D48" s="9" t="s">
        <v>63</v>
      </c>
      <c r="E48" s="9" t="s">
        <v>64</v>
      </c>
      <c r="F48" s="9" t="s">
        <v>65</v>
      </c>
      <c r="G48" s="9" t="s">
        <v>26</v>
      </c>
      <c r="H48" s="9" t="s">
        <v>27</v>
      </c>
      <c r="I48" s="0" t="s">
        <v>41</v>
      </c>
      <c r="J48" s="9" t="s">
        <v>42</v>
      </c>
      <c r="K48" s="9" t="s">
        <v>30</v>
      </c>
      <c r="L48" s="9" t="s">
        <v>31</v>
      </c>
      <c r="M48" s="0" t="s">
        <v>32</v>
      </c>
      <c r="N48" s="0" t="n">
        <v>1975</v>
      </c>
      <c r="O48" s="10" t="n">
        <v>0.284044286934659</v>
      </c>
      <c r="P48" s="10" t="n">
        <v>0.790102193132043</v>
      </c>
      <c r="Q48" s="0" t="str">
        <f aca="false">SUBSTITUTE(SUBSTITUTE($I48,CHAR(61),""),CHAR(34),"")</f>
        <v>25-34</v>
      </c>
      <c r="R48" s="0" t="str">
        <f aca="false">IF($D48&lt;&gt;"","["&amp;$E48&amp;"]"&amp;"|"&amp;$Q48&amp;"|"&amp;$K48&amp;"|"&amp;$G48&amp;"|"&amp;IF($G48="TX_CURR_SUBNAT.R","CY2022Q4",$M48),"")</f>
        <v>[kxuuIFpOXyO]|25-34|Female|TX_CURR_SUBNAT.R|CY2022Q4</v>
      </c>
    </row>
    <row r="49" customFormat="false" ht="15" hidden="false" customHeight="false" outlineLevel="0" collapsed="false">
      <c r="A49" s="4"/>
      <c r="B49" s="4"/>
      <c r="C49" s="4"/>
      <c r="D49" s="9" t="s">
        <v>63</v>
      </c>
      <c r="E49" s="9" t="s">
        <v>64</v>
      </c>
      <c r="F49" s="9" t="s">
        <v>65</v>
      </c>
      <c r="G49" s="9" t="s">
        <v>26</v>
      </c>
      <c r="H49" s="9" t="s">
        <v>27</v>
      </c>
      <c r="I49" s="0" t="s">
        <v>43</v>
      </c>
      <c r="J49" s="9" t="s">
        <v>44</v>
      </c>
      <c r="K49" s="9" t="s">
        <v>30</v>
      </c>
      <c r="L49" s="9" t="s">
        <v>31</v>
      </c>
      <c r="M49" s="0" t="s">
        <v>32</v>
      </c>
      <c r="N49" s="0" t="n">
        <v>865</v>
      </c>
      <c r="O49" s="10" t="n">
        <v>0.036607014015317</v>
      </c>
      <c r="P49" s="10" t="n">
        <v>0.790102193132043</v>
      </c>
      <c r="Q49" s="0" t="str">
        <f aca="false">SUBSTITUTE(SUBSTITUTE($I49,CHAR(61),""),CHAR(34),"")</f>
        <v>35-49</v>
      </c>
      <c r="R49" s="0" t="str">
        <f aca="false">IF($D49&lt;&gt;"","["&amp;$E49&amp;"]"&amp;"|"&amp;$Q49&amp;"|"&amp;$K49&amp;"|"&amp;$G49&amp;"|"&amp;IF($G49="TX_CURR_SUBNAT.R","CY2022Q4",$M49),"")</f>
        <v>[kxuuIFpOXyO]|35-49|Female|TX_CURR_SUBNAT.R|CY2022Q4</v>
      </c>
    </row>
    <row r="50" customFormat="false" ht="15" hidden="false" customHeight="false" outlineLevel="0" collapsed="false">
      <c r="A50" s="4"/>
      <c r="B50" s="4"/>
      <c r="C50" s="4"/>
      <c r="D50" s="9" t="s">
        <v>63</v>
      </c>
      <c r="E50" s="9" t="s">
        <v>64</v>
      </c>
      <c r="F50" s="9" t="s">
        <v>65</v>
      </c>
      <c r="G50" s="9" t="s">
        <v>26</v>
      </c>
      <c r="H50" s="9" t="s">
        <v>27</v>
      </c>
      <c r="I50" s="0" t="s">
        <v>45</v>
      </c>
      <c r="J50" s="9" t="s">
        <v>46</v>
      </c>
      <c r="K50" s="9" t="s">
        <v>30</v>
      </c>
      <c r="L50" s="9" t="s">
        <v>31</v>
      </c>
      <c r="M50" s="0" t="s">
        <v>32</v>
      </c>
      <c r="N50" s="0" t="n">
        <v>1425</v>
      </c>
      <c r="O50" s="10" t="n">
        <v>0.681027181213722</v>
      </c>
      <c r="P50" s="10" t="n">
        <v>0.790102193132043</v>
      </c>
      <c r="Q50" s="0" t="str">
        <f aca="false">SUBSTITUTE(SUBSTITUTE($I50,CHAR(61),""),CHAR(34),"")</f>
        <v>50+</v>
      </c>
      <c r="R50" s="0" t="str">
        <f aca="false">IF($D50&lt;&gt;"","["&amp;$E50&amp;"]"&amp;"|"&amp;$Q50&amp;"|"&amp;$K50&amp;"|"&amp;$G50&amp;"|"&amp;IF($G50="TX_CURR_SUBNAT.R","CY2022Q4",$M50),"")</f>
        <v>[kxuuIFpOXyO]|50+|Female|TX_CURR_SUBNAT.R|CY2022Q4</v>
      </c>
    </row>
    <row r="51" customFormat="false" ht="15" hidden="false" customHeight="false" outlineLevel="0" collapsed="false">
      <c r="A51" s="4"/>
      <c r="B51" s="4"/>
      <c r="C51" s="4"/>
      <c r="D51" s="9" t="s">
        <v>63</v>
      </c>
      <c r="E51" s="9" t="s">
        <v>64</v>
      </c>
      <c r="F51" s="9" t="s">
        <v>65</v>
      </c>
      <c r="G51" s="9" t="s">
        <v>26</v>
      </c>
      <c r="H51" s="9" t="s">
        <v>27</v>
      </c>
      <c r="I51" s="0" t="s">
        <v>28</v>
      </c>
      <c r="J51" s="9" t="s">
        <v>29</v>
      </c>
      <c r="K51" s="9" t="s">
        <v>48</v>
      </c>
      <c r="L51" s="9" t="s">
        <v>49</v>
      </c>
      <c r="M51" s="0" t="s">
        <v>32</v>
      </c>
      <c r="N51" s="0" t="n">
        <v>1123</v>
      </c>
      <c r="O51" s="10" t="n">
        <v>0.223802770022303</v>
      </c>
      <c r="P51" s="10" t="n">
        <v>0.790102193132043</v>
      </c>
      <c r="Q51" s="0" t="str">
        <f aca="false">SUBSTITUTE(SUBSTITUTE($I51,CHAR(61),""),CHAR(34),"")</f>
        <v>&lt;01</v>
      </c>
      <c r="R51" s="0" t="str">
        <f aca="false">IF($D51&lt;&gt;"","["&amp;$E51&amp;"]"&amp;"|"&amp;$Q51&amp;"|"&amp;$K51&amp;"|"&amp;$G51&amp;"|"&amp;IF($G51="TX_CURR_SUBNAT.R","CY2022Q4",$M51),"")</f>
        <v>[kxuuIFpOXyO]|&lt;01|Male|TX_CURR_SUBNAT.R|CY2022Q4</v>
      </c>
    </row>
    <row r="52" customFormat="false" ht="15" hidden="false" customHeight="false" outlineLevel="0" collapsed="false">
      <c r="A52" s="4"/>
      <c r="B52" s="4"/>
      <c r="C52" s="4"/>
      <c r="D52" s="9" t="s">
        <v>63</v>
      </c>
      <c r="E52" s="9" t="s">
        <v>64</v>
      </c>
      <c r="F52" s="9" t="s">
        <v>65</v>
      </c>
      <c r="G52" s="9" t="s">
        <v>26</v>
      </c>
      <c r="H52" s="9" t="s">
        <v>27</v>
      </c>
      <c r="I52" s="0" t="s">
        <v>33</v>
      </c>
      <c r="J52" s="9" t="s">
        <v>34</v>
      </c>
      <c r="K52" s="9" t="s">
        <v>48</v>
      </c>
      <c r="L52" s="9" t="s">
        <v>49</v>
      </c>
      <c r="M52" s="0" t="s">
        <v>32</v>
      </c>
      <c r="N52" s="0" t="n">
        <v>1340</v>
      </c>
      <c r="O52" s="10" t="n">
        <v>0.15579160163179</v>
      </c>
      <c r="P52" s="10" t="n">
        <v>0.790102193132043</v>
      </c>
      <c r="Q52" s="0" t="str">
        <f aca="false">SUBSTITUTE(SUBSTITUTE($I52,CHAR(61),""),CHAR(34),"")</f>
        <v>01-09</v>
      </c>
      <c r="R52" s="0" t="str">
        <f aca="false">IF($D52&lt;&gt;"","["&amp;$E52&amp;"]"&amp;"|"&amp;$Q52&amp;"|"&amp;$K52&amp;"|"&amp;$G52&amp;"|"&amp;IF($G52="TX_CURR_SUBNAT.R","CY2022Q4",$M52),"")</f>
        <v>[kxuuIFpOXyO]|01-09|Male|TX_CURR_SUBNAT.R|CY2022Q4</v>
      </c>
    </row>
    <row r="53" customFormat="false" ht="15" hidden="false" customHeight="false" outlineLevel="0" collapsed="false">
      <c r="A53" s="4"/>
      <c r="B53" s="4"/>
      <c r="C53" s="4"/>
      <c r="D53" s="9" t="s">
        <v>63</v>
      </c>
      <c r="E53" s="9" t="s">
        <v>64</v>
      </c>
      <c r="F53" s="9" t="s">
        <v>65</v>
      </c>
      <c r="G53" s="9" t="s">
        <v>26</v>
      </c>
      <c r="H53" s="9" t="s">
        <v>27</v>
      </c>
      <c r="I53" s="0" t="s">
        <v>36</v>
      </c>
      <c r="J53" s="9" t="s">
        <v>37</v>
      </c>
      <c r="K53" s="9" t="s">
        <v>48</v>
      </c>
      <c r="L53" s="9" t="s">
        <v>49</v>
      </c>
      <c r="M53" s="0" t="s">
        <v>32</v>
      </c>
      <c r="N53" s="0" t="n">
        <v>1116</v>
      </c>
      <c r="O53" s="10" t="n">
        <v>0.955214778427035</v>
      </c>
      <c r="P53" s="10" t="n">
        <v>0.790102193132043</v>
      </c>
      <c r="Q53" s="0" t="str">
        <f aca="false">SUBSTITUTE(SUBSTITUTE($I53,CHAR(61),""),CHAR(34),"")</f>
        <v>10-14</v>
      </c>
      <c r="R53" s="0" t="str">
        <f aca="false">IF($D53&lt;&gt;"","["&amp;$E53&amp;"]"&amp;"|"&amp;$Q53&amp;"|"&amp;$K53&amp;"|"&amp;$G53&amp;"|"&amp;IF($G53="TX_CURR_SUBNAT.R","CY2022Q4",$M53),"")</f>
        <v>[kxuuIFpOXyO]|10-14|Male|TX_CURR_SUBNAT.R|CY2022Q4</v>
      </c>
    </row>
    <row r="54" customFormat="false" ht="15" hidden="false" customHeight="false" outlineLevel="0" collapsed="false">
      <c r="A54" s="4"/>
      <c r="B54" s="4"/>
      <c r="C54" s="4"/>
      <c r="D54" s="9" t="s">
        <v>63</v>
      </c>
      <c r="E54" s="9" t="s">
        <v>64</v>
      </c>
      <c r="F54" s="9" t="s">
        <v>65</v>
      </c>
      <c r="G54" s="9" t="s">
        <v>26</v>
      </c>
      <c r="H54" s="9" t="s">
        <v>27</v>
      </c>
      <c r="I54" s="0" t="s">
        <v>38</v>
      </c>
      <c r="J54" s="9" t="s">
        <v>39</v>
      </c>
      <c r="K54" s="9" t="s">
        <v>48</v>
      </c>
      <c r="L54" s="9" t="s">
        <v>49</v>
      </c>
      <c r="M54" s="0" t="s">
        <v>32</v>
      </c>
      <c r="N54" s="0" t="n">
        <v>726</v>
      </c>
      <c r="O54" s="10" t="n">
        <v>0.300503844860941</v>
      </c>
      <c r="P54" s="10" t="n">
        <v>0.790102193132043</v>
      </c>
      <c r="Q54" s="0" t="str">
        <f aca="false">SUBSTITUTE(SUBSTITUTE($I54,CHAR(61),""),CHAR(34),"")</f>
        <v>15-24</v>
      </c>
      <c r="R54" s="0" t="str">
        <f aca="false">IF($D54&lt;&gt;"","["&amp;$E54&amp;"]"&amp;"|"&amp;$Q54&amp;"|"&amp;$K54&amp;"|"&amp;$G54&amp;"|"&amp;IF($G54="TX_CURR_SUBNAT.R","CY2022Q4",$M54),"")</f>
        <v>[kxuuIFpOXyO]|15-24|Male|TX_CURR_SUBNAT.R|CY2022Q4</v>
      </c>
    </row>
    <row r="55" customFormat="false" ht="15" hidden="false" customHeight="false" outlineLevel="0" collapsed="false">
      <c r="A55" s="4"/>
      <c r="B55" s="4"/>
      <c r="C55" s="4"/>
      <c r="D55" s="9" t="s">
        <v>63</v>
      </c>
      <c r="E55" s="9" t="s">
        <v>64</v>
      </c>
      <c r="F55" s="9" t="s">
        <v>65</v>
      </c>
      <c r="G55" s="9" t="s">
        <v>26</v>
      </c>
      <c r="H55" s="9" t="s">
        <v>27</v>
      </c>
      <c r="I55" s="0" t="s">
        <v>41</v>
      </c>
      <c r="J55" s="9" t="s">
        <v>42</v>
      </c>
      <c r="K55" s="9" t="s">
        <v>48</v>
      </c>
      <c r="L55" s="9" t="s">
        <v>49</v>
      </c>
      <c r="M55" s="0" t="s">
        <v>32</v>
      </c>
      <c r="N55" s="0" t="n">
        <v>963</v>
      </c>
      <c r="O55" s="10" t="n">
        <v>0.990354340523481</v>
      </c>
      <c r="P55" s="10" t="n">
        <v>0.790102193132043</v>
      </c>
      <c r="Q55" s="0" t="str">
        <f aca="false">SUBSTITUTE(SUBSTITUTE($I55,CHAR(61),""),CHAR(34),"")</f>
        <v>25-34</v>
      </c>
      <c r="R55" s="0" t="str">
        <f aca="false">IF($D55&lt;&gt;"","["&amp;$E55&amp;"]"&amp;"|"&amp;$Q55&amp;"|"&amp;$K55&amp;"|"&amp;$G55&amp;"|"&amp;IF($G55="TX_CURR_SUBNAT.R","CY2022Q4",$M55),"")</f>
        <v>[kxuuIFpOXyO]|25-34|Male|TX_CURR_SUBNAT.R|CY2022Q4</v>
      </c>
    </row>
    <row r="56" customFormat="false" ht="15" hidden="false" customHeight="false" outlineLevel="0" collapsed="false">
      <c r="A56" s="4"/>
      <c r="B56" s="4"/>
      <c r="C56" s="4"/>
      <c r="D56" s="9" t="s">
        <v>63</v>
      </c>
      <c r="E56" s="9" t="s">
        <v>64</v>
      </c>
      <c r="F56" s="9" t="s">
        <v>65</v>
      </c>
      <c r="G56" s="9" t="s">
        <v>26</v>
      </c>
      <c r="H56" s="9" t="s">
        <v>27</v>
      </c>
      <c r="I56" s="0" t="s">
        <v>43</v>
      </c>
      <c r="J56" s="9" t="s">
        <v>44</v>
      </c>
      <c r="K56" s="9" t="s">
        <v>48</v>
      </c>
      <c r="L56" s="9" t="s">
        <v>49</v>
      </c>
      <c r="M56" s="0" t="s">
        <v>32</v>
      </c>
      <c r="N56" s="0" t="n">
        <v>1101</v>
      </c>
      <c r="O56" s="10" t="n">
        <v>0.15199180576019</v>
      </c>
      <c r="P56" s="10" t="n">
        <v>0.790102193132043</v>
      </c>
      <c r="Q56" s="0" t="str">
        <f aca="false">SUBSTITUTE(SUBSTITUTE($I56,CHAR(61),""),CHAR(34),"")</f>
        <v>35-49</v>
      </c>
      <c r="R56" s="0" t="str">
        <f aca="false">IF($D56&lt;&gt;"","["&amp;$E56&amp;"]"&amp;"|"&amp;$Q56&amp;"|"&amp;$K56&amp;"|"&amp;$G56&amp;"|"&amp;IF($G56="TX_CURR_SUBNAT.R","CY2022Q4",$M56),"")</f>
        <v>[kxuuIFpOXyO]|35-49|Male|TX_CURR_SUBNAT.R|CY2022Q4</v>
      </c>
    </row>
    <row r="57" customFormat="false" ht="15" hidden="false" customHeight="false" outlineLevel="0" collapsed="false">
      <c r="A57" s="4"/>
      <c r="B57" s="4"/>
      <c r="C57" s="4"/>
      <c r="D57" s="9" t="s">
        <v>63</v>
      </c>
      <c r="E57" s="9" t="s">
        <v>64</v>
      </c>
      <c r="F57" s="9" t="s">
        <v>65</v>
      </c>
      <c r="G57" s="9" t="s">
        <v>26</v>
      </c>
      <c r="H57" s="9" t="s">
        <v>27</v>
      </c>
      <c r="I57" s="0" t="s">
        <v>45</v>
      </c>
      <c r="J57" s="9" t="s">
        <v>46</v>
      </c>
      <c r="K57" s="9" t="s">
        <v>48</v>
      </c>
      <c r="L57" s="9" t="s">
        <v>49</v>
      </c>
      <c r="M57" s="0" t="s">
        <v>32</v>
      </c>
      <c r="N57" s="0" t="n">
        <v>1984</v>
      </c>
      <c r="O57" s="10" t="n">
        <v>0.535650162957609</v>
      </c>
      <c r="P57" s="10" t="n">
        <v>0.790102193132043</v>
      </c>
      <c r="Q57" s="0" t="str">
        <f aca="false">SUBSTITUTE(SUBSTITUTE($I57,CHAR(61),""),CHAR(34),"")</f>
        <v>50+</v>
      </c>
      <c r="R57" s="0" t="str">
        <f aca="false">IF($D57&lt;&gt;"","["&amp;$E57&amp;"]"&amp;"|"&amp;$Q57&amp;"|"&amp;$K57&amp;"|"&amp;$G57&amp;"|"&amp;IF($G57="TX_CURR_SUBNAT.R","CY2022Q4",$M57),"")</f>
        <v>[kxuuIFpOXyO]|50+|Male|TX_CURR_SUBNAT.R|CY2022Q4</v>
      </c>
    </row>
    <row r="58" customFormat="false" ht="15" hidden="false" customHeight="false" outlineLevel="0" collapsed="false">
      <c r="A58" s="4"/>
      <c r="B58" s="4"/>
      <c r="C58" s="4"/>
      <c r="D58" s="9" t="s">
        <v>66</v>
      </c>
      <c r="E58" s="9" t="s">
        <v>67</v>
      </c>
      <c r="F58" s="9" t="s">
        <v>68</v>
      </c>
      <c r="G58" s="9" t="s">
        <v>26</v>
      </c>
      <c r="H58" s="9" t="s">
        <v>27</v>
      </c>
      <c r="I58" s="0" t="s">
        <v>28</v>
      </c>
      <c r="J58" s="9" t="s">
        <v>29</v>
      </c>
      <c r="K58" s="9" t="s">
        <v>30</v>
      </c>
      <c r="L58" s="9" t="s">
        <v>31</v>
      </c>
      <c r="M58" s="0" t="s">
        <v>32</v>
      </c>
      <c r="N58" s="0" t="n">
        <v>1063</v>
      </c>
      <c r="O58" s="10" t="n">
        <v>0.108165616635233</v>
      </c>
      <c r="P58" s="10" t="n">
        <v>0.164609884377569</v>
      </c>
      <c r="Q58" s="0" t="str">
        <f aca="false">SUBSTITUTE(SUBSTITUTE($I58,CHAR(61),""),CHAR(34),"")</f>
        <v>&lt;01</v>
      </c>
      <c r="R58" s="0" t="str">
        <f aca="false">IF($D58&lt;&gt;"","["&amp;$E58&amp;"]"&amp;"|"&amp;$Q58&amp;"|"&amp;$K58&amp;"|"&amp;$G58&amp;"|"&amp;IF($G58="TX_CURR_SUBNAT.R","CY2022Q4",$M58),"")</f>
        <v>[ScR9iFKAasW]|&lt;01|Female|TX_CURR_SUBNAT.R|CY2022Q4</v>
      </c>
    </row>
    <row r="59" customFormat="false" ht="15" hidden="false" customHeight="false" outlineLevel="0" collapsed="false">
      <c r="A59" s="4"/>
      <c r="B59" s="4"/>
      <c r="C59" s="4"/>
      <c r="D59" s="9" t="s">
        <v>66</v>
      </c>
      <c r="E59" s="9" t="s">
        <v>67</v>
      </c>
      <c r="F59" s="9" t="s">
        <v>68</v>
      </c>
      <c r="G59" s="9" t="s">
        <v>26</v>
      </c>
      <c r="H59" s="9" t="s">
        <v>27</v>
      </c>
      <c r="I59" s="0" t="s">
        <v>33</v>
      </c>
      <c r="J59" s="9" t="s">
        <v>34</v>
      </c>
      <c r="K59" s="9" t="s">
        <v>30</v>
      </c>
      <c r="L59" s="9" t="s">
        <v>31</v>
      </c>
      <c r="M59" s="0" t="s">
        <v>32</v>
      </c>
      <c r="N59" s="0" t="n">
        <v>597</v>
      </c>
      <c r="O59" s="10" t="n">
        <v>0.774426432093605</v>
      </c>
      <c r="P59" s="10" t="n">
        <v>0.164609884377569</v>
      </c>
      <c r="Q59" s="0" t="str">
        <f aca="false">SUBSTITUTE(SUBSTITUTE($I59,CHAR(61),""),CHAR(34),"")</f>
        <v>01-09</v>
      </c>
      <c r="R59" s="0" t="str">
        <f aca="false">IF($D59&lt;&gt;"","["&amp;$E59&amp;"]"&amp;"|"&amp;$Q59&amp;"|"&amp;$K59&amp;"|"&amp;$G59&amp;"|"&amp;IF($G59="TX_CURR_SUBNAT.R","CY2022Q4",$M59),"")</f>
        <v>[ScR9iFKAasW]|01-09|Female|TX_CURR_SUBNAT.R|CY2022Q4</v>
      </c>
    </row>
    <row r="60" customFormat="false" ht="15" hidden="false" customHeight="false" outlineLevel="0" collapsed="false">
      <c r="A60" s="4"/>
      <c r="B60" s="4"/>
      <c r="C60" s="4"/>
      <c r="D60" s="9" t="s">
        <v>66</v>
      </c>
      <c r="E60" s="9" t="s">
        <v>67</v>
      </c>
      <c r="F60" s="9" t="s">
        <v>68</v>
      </c>
      <c r="G60" s="9" t="s">
        <v>26</v>
      </c>
      <c r="H60" s="9" t="s">
        <v>27</v>
      </c>
      <c r="I60" s="0" t="s">
        <v>36</v>
      </c>
      <c r="J60" s="9" t="s">
        <v>37</v>
      </c>
      <c r="K60" s="9" t="s">
        <v>30</v>
      </c>
      <c r="L60" s="9" t="s">
        <v>31</v>
      </c>
      <c r="M60" s="0" t="s">
        <v>32</v>
      </c>
      <c r="N60" s="0" t="n">
        <v>1858</v>
      </c>
      <c r="O60" s="10" t="n">
        <v>0.0812243581749499</v>
      </c>
      <c r="P60" s="10" t="n">
        <v>0.164609884377569</v>
      </c>
      <c r="Q60" s="0" t="str">
        <f aca="false">SUBSTITUTE(SUBSTITUTE($I60,CHAR(61),""),CHAR(34),"")</f>
        <v>10-14</v>
      </c>
      <c r="R60" s="0" t="str">
        <f aca="false">IF($D60&lt;&gt;"","["&amp;$E60&amp;"]"&amp;"|"&amp;$Q60&amp;"|"&amp;$K60&amp;"|"&amp;$G60&amp;"|"&amp;IF($G60="TX_CURR_SUBNAT.R","CY2022Q4",$M60),"")</f>
        <v>[ScR9iFKAasW]|10-14|Female|TX_CURR_SUBNAT.R|CY2022Q4</v>
      </c>
    </row>
    <row r="61" customFormat="false" ht="15" hidden="false" customHeight="false" outlineLevel="0" collapsed="false">
      <c r="A61" s="4"/>
      <c r="B61" s="4"/>
      <c r="C61" s="4"/>
      <c r="D61" s="9" t="s">
        <v>66</v>
      </c>
      <c r="E61" s="9" t="s">
        <v>67</v>
      </c>
      <c r="F61" s="9" t="s">
        <v>68</v>
      </c>
      <c r="G61" s="9" t="s">
        <v>26</v>
      </c>
      <c r="H61" s="9" t="s">
        <v>27</v>
      </c>
      <c r="I61" s="0" t="s">
        <v>38</v>
      </c>
      <c r="J61" s="9" t="s">
        <v>39</v>
      </c>
      <c r="K61" s="9" t="s">
        <v>30</v>
      </c>
      <c r="L61" s="9" t="s">
        <v>31</v>
      </c>
      <c r="M61" s="0" t="s">
        <v>32</v>
      </c>
      <c r="N61" s="0" t="n">
        <v>1073</v>
      </c>
      <c r="O61" s="10" t="n">
        <v>0.0117675745859742</v>
      </c>
      <c r="P61" s="10" t="n">
        <v>0.164609884377569</v>
      </c>
      <c r="Q61" s="0" t="str">
        <f aca="false">SUBSTITUTE(SUBSTITUTE($I61,CHAR(61),""),CHAR(34),"")</f>
        <v>15-24</v>
      </c>
      <c r="R61" s="0" t="str">
        <f aca="false">IF($D61&lt;&gt;"","["&amp;$E61&amp;"]"&amp;"|"&amp;$Q61&amp;"|"&amp;$K61&amp;"|"&amp;$G61&amp;"|"&amp;IF($G61="TX_CURR_SUBNAT.R","CY2022Q4",$M61),"")</f>
        <v>[ScR9iFKAasW]|15-24|Female|TX_CURR_SUBNAT.R|CY2022Q4</v>
      </c>
    </row>
    <row r="62" customFormat="false" ht="15" hidden="false" customHeight="false" outlineLevel="0" collapsed="false">
      <c r="A62" s="4"/>
      <c r="B62" s="4"/>
      <c r="C62" s="4"/>
      <c r="D62" s="9" t="s">
        <v>66</v>
      </c>
      <c r="E62" s="9" t="s">
        <v>67</v>
      </c>
      <c r="F62" s="9" t="s">
        <v>68</v>
      </c>
      <c r="G62" s="9" t="s">
        <v>26</v>
      </c>
      <c r="H62" s="9" t="s">
        <v>27</v>
      </c>
      <c r="I62" s="0" t="s">
        <v>41</v>
      </c>
      <c r="J62" s="9" t="s">
        <v>42</v>
      </c>
      <c r="K62" s="9" t="s">
        <v>30</v>
      </c>
      <c r="L62" s="9" t="s">
        <v>31</v>
      </c>
      <c r="M62" s="0" t="s">
        <v>32</v>
      </c>
      <c r="N62" s="0" t="n">
        <v>688</v>
      </c>
      <c r="O62" s="10" t="n">
        <v>0.62224872992374</v>
      </c>
      <c r="P62" s="10" t="n">
        <v>0.164609884377569</v>
      </c>
      <c r="Q62" s="0" t="str">
        <f aca="false">SUBSTITUTE(SUBSTITUTE($I62,CHAR(61),""),CHAR(34),"")</f>
        <v>25-34</v>
      </c>
      <c r="R62" s="0" t="str">
        <f aca="false">IF($D62&lt;&gt;"","["&amp;$E62&amp;"]"&amp;"|"&amp;$Q62&amp;"|"&amp;$K62&amp;"|"&amp;$G62&amp;"|"&amp;IF($G62="TX_CURR_SUBNAT.R","CY2022Q4",$M62),"")</f>
        <v>[ScR9iFKAasW]|25-34|Female|TX_CURR_SUBNAT.R|CY2022Q4</v>
      </c>
    </row>
    <row r="63" customFormat="false" ht="15" hidden="false" customHeight="false" outlineLevel="0" collapsed="false">
      <c r="A63" s="4"/>
      <c r="B63" s="4"/>
      <c r="C63" s="4"/>
      <c r="D63" s="9" t="s">
        <v>66</v>
      </c>
      <c r="E63" s="9" t="s">
        <v>67</v>
      </c>
      <c r="F63" s="9" t="s">
        <v>68</v>
      </c>
      <c r="G63" s="9" t="s">
        <v>26</v>
      </c>
      <c r="H63" s="9" t="s">
        <v>27</v>
      </c>
      <c r="I63" s="0" t="s">
        <v>43</v>
      </c>
      <c r="J63" s="9" t="s">
        <v>44</v>
      </c>
      <c r="K63" s="9" t="s">
        <v>30</v>
      </c>
      <c r="L63" s="9" t="s">
        <v>31</v>
      </c>
      <c r="M63" s="0" t="s">
        <v>32</v>
      </c>
      <c r="N63" s="0" t="n">
        <v>831</v>
      </c>
      <c r="O63" s="10" t="n">
        <v>0.0811221662443131</v>
      </c>
      <c r="P63" s="10" t="n">
        <v>0.164609884377569</v>
      </c>
      <c r="Q63" s="0" t="str">
        <f aca="false">SUBSTITUTE(SUBSTITUTE($I63,CHAR(61),""),CHAR(34),"")</f>
        <v>35-49</v>
      </c>
      <c r="R63" s="0" t="str">
        <f aca="false">IF($D63&lt;&gt;"","["&amp;$E63&amp;"]"&amp;"|"&amp;$Q63&amp;"|"&amp;$K63&amp;"|"&amp;$G63&amp;"|"&amp;IF($G63="TX_CURR_SUBNAT.R","CY2022Q4",$M63),"")</f>
        <v>[ScR9iFKAasW]|35-49|Female|TX_CURR_SUBNAT.R|CY2022Q4</v>
      </c>
    </row>
    <row r="64" customFormat="false" ht="15" hidden="false" customHeight="false" outlineLevel="0" collapsed="false">
      <c r="A64" s="4"/>
      <c r="B64" s="4"/>
      <c r="C64" s="4"/>
      <c r="D64" s="9" t="s">
        <v>66</v>
      </c>
      <c r="E64" s="9" t="s">
        <v>67</v>
      </c>
      <c r="F64" s="9" t="s">
        <v>68</v>
      </c>
      <c r="G64" s="9" t="s">
        <v>26</v>
      </c>
      <c r="H64" s="9" t="s">
        <v>27</v>
      </c>
      <c r="I64" s="0" t="s">
        <v>45</v>
      </c>
      <c r="J64" s="9" t="s">
        <v>46</v>
      </c>
      <c r="K64" s="9" t="s">
        <v>30</v>
      </c>
      <c r="L64" s="9" t="s">
        <v>31</v>
      </c>
      <c r="M64" s="0" t="s">
        <v>32</v>
      </c>
      <c r="N64" s="0" t="n">
        <v>523</v>
      </c>
      <c r="O64" s="10" t="n">
        <v>0.12475152220577</v>
      </c>
      <c r="P64" s="10" t="n">
        <v>0.164609884377569</v>
      </c>
      <c r="Q64" s="0" t="str">
        <f aca="false">SUBSTITUTE(SUBSTITUTE($I64,CHAR(61),""),CHAR(34),"")</f>
        <v>50+</v>
      </c>
      <c r="R64" s="0" t="str">
        <f aca="false">IF($D64&lt;&gt;"","["&amp;$E64&amp;"]"&amp;"|"&amp;$Q64&amp;"|"&amp;$K64&amp;"|"&amp;$G64&amp;"|"&amp;IF($G64="TX_CURR_SUBNAT.R","CY2022Q4",$M64),"")</f>
        <v>[ScR9iFKAasW]|50+|Female|TX_CURR_SUBNAT.R|CY2022Q4</v>
      </c>
    </row>
    <row r="65" customFormat="false" ht="15" hidden="false" customHeight="false" outlineLevel="0" collapsed="false">
      <c r="A65" s="4"/>
      <c r="B65" s="4"/>
      <c r="C65" s="4"/>
      <c r="D65" s="9" t="s">
        <v>66</v>
      </c>
      <c r="E65" s="9" t="s">
        <v>67</v>
      </c>
      <c r="F65" s="9" t="s">
        <v>68</v>
      </c>
      <c r="G65" s="9" t="s">
        <v>26</v>
      </c>
      <c r="H65" s="9" t="s">
        <v>27</v>
      </c>
      <c r="I65" s="0" t="s">
        <v>28</v>
      </c>
      <c r="J65" s="9" t="s">
        <v>29</v>
      </c>
      <c r="K65" s="9" t="s">
        <v>48</v>
      </c>
      <c r="L65" s="9" t="s">
        <v>49</v>
      </c>
      <c r="M65" s="0" t="s">
        <v>32</v>
      </c>
      <c r="N65" s="0" t="n">
        <v>760</v>
      </c>
      <c r="O65" s="10" t="n">
        <v>0.384973884327337</v>
      </c>
      <c r="P65" s="10" t="n">
        <v>0.164609884377569</v>
      </c>
      <c r="Q65" s="0" t="str">
        <f aca="false">SUBSTITUTE(SUBSTITUTE($I65,CHAR(61),""),CHAR(34),"")</f>
        <v>&lt;01</v>
      </c>
      <c r="R65" s="0" t="str">
        <f aca="false">IF($D65&lt;&gt;"","["&amp;$E65&amp;"]"&amp;"|"&amp;$Q65&amp;"|"&amp;$K65&amp;"|"&amp;$G65&amp;"|"&amp;IF($G65="TX_CURR_SUBNAT.R","CY2022Q4",$M65),"")</f>
        <v>[ScR9iFKAasW]|&lt;01|Male|TX_CURR_SUBNAT.R|CY2022Q4</v>
      </c>
    </row>
    <row r="66" customFormat="false" ht="15" hidden="false" customHeight="false" outlineLevel="0" collapsed="false">
      <c r="A66" s="4"/>
      <c r="B66" s="4"/>
      <c r="C66" s="4"/>
      <c r="D66" s="9" t="s">
        <v>66</v>
      </c>
      <c r="E66" s="9" t="s">
        <v>67</v>
      </c>
      <c r="F66" s="9" t="s">
        <v>68</v>
      </c>
      <c r="G66" s="9" t="s">
        <v>26</v>
      </c>
      <c r="H66" s="9" t="s">
        <v>27</v>
      </c>
      <c r="I66" s="0" t="s">
        <v>33</v>
      </c>
      <c r="J66" s="9" t="s">
        <v>34</v>
      </c>
      <c r="K66" s="9" t="s">
        <v>48</v>
      </c>
      <c r="L66" s="9" t="s">
        <v>49</v>
      </c>
      <c r="M66" s="0" t="s">
        <v>32</v>
      </c>
      <c r="N66" s="0" t="n">
        <v>560</v>
      </c>
      <c r="O66" s="10" t="n">
        <v>0.271295560058206</v>
      </c>
      <c r="P66" s="10" t="n">
        <v>0.164609884377569</v>
      </c>
      <c r="Q66" s="0" t="str">
        <f aca="false">SUBSTITUTE(SUBSTITUTE($I66,CHAR(61),""),CHAR(34),"")</f>
        <v>01-09</v>
      </c>
      <c r="R66" s="0" t="str">
        <f aca="false">IF($D66&lt;&gt;"","["&amp;$E66&amp;"]"&amp;"|"&amp;$Q66&amp;"|"&amp;$K66&amp;"|"&amp;$G66&amp;"|"&amp;IF($G66="TX_CURR_SUBNAT.R","CY2022Q4",$M66),"")</f>
        <v>[ScR9iFKAasW]|01-09|Male|TX_CURR_SUBNAT.R|CY2022Q4</v>
      </c>
    </row>
    <row r="67" customFormat="false" ht="15" hidden="false" customHeight="false" outlineLevel="0" collapsed="false">
      <c r="A67" s="4"/>
      <c r="B67" s="4"/>
      <c r="C67" s="4"/>
      <c r="D67" s="9" t="s">
        <v>66</v>
      </c>
      <c r="E67" s="9" t="s">
        <v>67</v>
      </c>
      <c r="F67" s="9" t="s">
        <v>68</v>
      </c>
      <c r="G67" s="9" t="s">
        <v>26</v>
      </c>
      <c r="H67" s="9" t="s">
        <v>27</v>
      </c>
      <c r="I67" s="0" t="s">
        <v>36</v>
      </c>
      <c r="J67" s="9" t="s">
        <v>37</v>
      </c>
      <c r="K67" s="9" t="s">
        <v>48</v>
      </c>
      <c r="L67" s="9" t="s">
        <v>49</v>
      </c>
      <c r="M67" s="0" t="s">
        <v>32</v>
      </c>
      <c r="N67" s="0" t="n">
        <v>1162</v>
      </c>
      <c r="O67" s="10" t="n">
        <v>0.515155485831201</v>
      </c>
      <c r="P67" s="10" t="n">
        <v>0.164609884377569</v>
      </c>
      <c r="Q67" s="0" t="str">
        <f aca="false">SUBSTITUTE(SUBSTITUTE($I67,CHAR(61),""),CHAR(34),"")</f>
        <v>10-14</v>
      </c>
      <c r="R67" s="0" t="str">
        <f aca="false">IF($D67&lt;&gt;"","["&amp;$E67&amp;"]"&amp;"|"&amp;$Q67&amp;"|"&amp;$K67&amp;"|"&amp;$G67&amp;"|"&amp;IF($G67="TX_CURR_SUBNAT.R","CY2022Q4",$M67),"")</f>
        <v>[ScR9iFKAasW]|10-14|Male|TX_CURR_SUBNAT.R|CY2022Q4</v>
      </c>
    </row>
    <row r="68" customFormat="false" ht="15" hidden="false" customHeight="false" outlineLevel="0" collapsed="false">
      <c r="A68" s="4"/>
      <c r="B68" s="4"/>
      <c r="C68" s="4"/>
      <c r="D68" s="9" t="s">
        <v>66</v>
      </c>
      <c r="E68" s="9" t="s">
        <v>67</v>
      </c>
      <c r="F68" s="9" t="s">
        <v>68</v>
      </c>
      <c r="G68" s="9" t="s">
        <v>26</v>
      </c>
      <c r="H68" s="9" t="s">
        <v>27</v>
      </c>
      <c r="I68" s="0" t="s">
        <v>38</v>
      </c>
      <c r="J68" s="9" t="s">
        <v>39</v>
      </c>
      <c r="K68" s="9" t="s">
        <v>48</v>
      </c>
      <c r="L68" s="9" t="s">
        <v>49</v>
      </c>
      <c r="M68" s="0" t="s">
        <v>32</v>
      </c>
      <c r="N68" s="0" t="n">
        <v>1629</v>
      </c>
      <c r="O68" s="10" t="n">
        <v>0.500877278158441</v>
      </c>
      <c r="P68" s="10" t="n">
        <v>0.164609884377569</v>
      </c>
      <c r="Q68" s="0" t="str">
        <f aca="false">SUBSTITUTE(SUBSTITUTE($I68,CHAR(61),""),CHAR(34),"")</f>
        <v>15-24</v>
      </c>
      <c r="R68" s="0" t="str">
        <f aca="false">IF($D68&lt;&gt;"","["&amp;$E68&amp;"]"&amp;"|"&amp;$Q68&amp;"|"&amp;$K68&amp;"|"&amp;$G68&amp;"|"&amp;IF($G68="TX_CURR_SUBNAT.R","CY2022Q4",$M68),"")</f>
        <v>[ScR9iFKAasW]|15-24|Male|TX_CURR_SUBNAT.R|CY2022Q4</v>
      </c>
    </row>
    <row r="69" customFormat="false" ht="15" hidden="false" customHeight="false" outlineLevel="0" collapsed="false">
      <c r="A69" s="4"/>
      <c r="B69" s="4"/>
      <c r="C69" s="4"/>
      <c r="D69" s="9" t="s">
        <v>66</v>
      </c>
      <c r="E69" s="9" t="s">
        <v>67</v>
      </c>
      <c r="F69" s="9" t="s">
        <v>68</v>
      </c>
      <c r="G69" s="9" t="s">
        <v>26</v>
      </c>
      <c r="H69" s="9" t="s">
        <v>27</v>
      </c>
      <c r="I69" s="0" t="s">
        <v>41</v>
      </c>
      <c r="J69" s="9" t="s">
        <v>42</v>
      </c>
      <c r="K69" s="9" t="s">
        <v>48</v>
      </c>
      <c r="L69" s="9" t="s">
        <v>49</v>
      </c>
      <c r="M69" s="0" t="s">
        <v>32</v>
      </c>
      <c r="N69" s="0" t="n">
        <v>1641</v>
      </c>
      <c r="O69" s="10" t="n">
        <v>0.477043805643916</v>
      </c>
      <c r="P69" s="10" t="n">
        <v>0.164609884377569</v>
      </c>
      <c r="Q69" s="0" t="str">
        <f aca="false">SUBSTITUTE(SUBSTITUTE($I69,CHAR(61),""),CHAR(34),"")</f>
        <v>25-34</v>
      </c>
      <c r="R69" s="0" t="str">
        <f aca="false">IF($D69&lt;&gt;"","["&amp;$E69&amp;"]"&amp;"|"&amp;$Q69&amp;"|"&amp;$K69&amp;"|"&amp;$G69&amp;"|"&amp;IF($G69="TX_CURR_SUBNAT.R","CY2022Q4",$M69),"")</f>
        <v>[ScR9iFKAasW]|25-34|Male|TX_CURR_SUBNAT.R|CY2022Q4</v>
      </c>
    </row>
    <row r="70" customFormat="false" ht="15" hidden="false" customHeight="false" outlineLevel="0" collapsed="false">
      <c r="A70" s="4"/>
      <c r="B70" s="4"/>
      <c r="C70" s="4"/>
      <c r="D70" s="9" t="s">
        <v>66</v>
      </c>
      <c r="E70" s="9" t="s">
        <v>67</v>
      </c>
      <c r="F70" s="9" t="s">
        <v>68</v>
      </c>
      <c r="G70" s="9" t="s">
        <v>26</v>
      </c>
      <c r="H70" s="9" t="s">
        <v>27</v>
      </c>
      <c r="I70" s="0" t="s">
        <v>43</v>
      </c>
      <c r="J70" s="9" t="s">
        <v>44</v>
      </c>
      <c r="K70" s="9" t="s">
        <v>48</v>
      </c>
      <c r="L70" s="9" t="s">
        <v>49</v>
      </c>
      <c r="M70" s="0" t="s">
        <v>32</v>
      </c>
      <c r="N70" s="0" t="n">
        <v>1714</v>
      </c>
      <c r="O70" s="10" t="n">
        <v>0.731803111964837</v>
      </c>
      <c r="P70" s="10" t="n">
        <v>0.164609884377569</v>
      </c>
      <c r="Q70" s="0" t="str">
        <f aca="false">SUBSTITUTE(SUBSTITUTE($I70,CHAR(61),""),CHAR(34),"")</f>
        <v>35-49</v>
      </c>
      <c r="R70" s="0" t="str">
        <f aca="false">IF($D70&lt;&gt;"","["&amp;$E70&amp;"]"&amp;"|"&amp;$Q70&amp;"|"&amp;$K70&amp;"|"&amp;$G70&amp;"|"&amp;IF($G70="TX_CURR_SUBNAT.R","CY2022Q4",$M70),"")</f>
        <v>[ScR9iFKAasW]|35-49|Male|TX_CURR_SUBNAT.R|CY2022Q4</v>
      </c>
    </row>
    <row r="71" customFormat="false" ht="15" hidden="false" customHeight="false" outlineLevel="0" collapsed="false">
      <c r="A71" s="4"/>
      <c r="B71" s="4"/>
      <c r="C71" s="4"/>
      <c r="D71" s="9" t="s">
        <v>66</v>
      </c>
      <c r="E71" s="9" t="s">
        <v>67</v>
      </c>
      <c r="F71" s="9" t="s">
        <v>68</v>
      </c>
      <c r="G71" s="9" t="s">
        <v>26</v>
      </c>
      <c r="H71" s="9" t="s">
        <v>27</v>
      </c>
      <c r="I71" s="0" t="s">
        <v>45</v>
      </c>
      <c r="J71" s="9" t="s">
        <v>46</v>
      </c>
      <c r="K71" s="9" t="s">
        <v>48</v>
      </c>
      <c r="L71" s="9" t="s">
        <v>49</v>
      </c>
      <c r="M71" s="0" t="s">
        <v>32</v>
      </c>
      <c r="N71" s="0" t="n">
        <v>548</v>
      </c>
      <c r="O71" s="10" t="n">
        <v>0.0588331699836999</v>
      </c>
      <c r="P71" s="10" t="n">
        <v>0.164609884377569</v>
      </c>
      <c r="Q71" s="0" t="str">
        <f aca="false">SUBSTITUTE(SUBSTITUTE($I71,CHAR(61),""),CHAR(34),"")</f>
        <v>50+</v>
      </c>
      <c r="R71" s="0" t="str">
        <f aca="false">IF($D71&lt;&gt;"","["&amp;$E71&amp;"]"&amp;"|"&amp;$Q71&amp;"|"&amp;$K71&amp;"|"&amp;$G71&amp;"|"&amp;IF($G71="TX_CURR_SUBNAT.R","CY2022Q4",$M71),"")</f>
        <v>[ScR9iFKAasW]|50+|Male|TX_CURR_SUBNAT.R|CY2022Q4</v>
      </c>
    </row>
    <row r="72" customFormat="false" ht="15" hidden="false" customHeight="false" outlineLevel="0" collapsed="false">
      <c r="A72" s="4"/>
      <c r="B72" s="4"/>
      <c r="C72" s="4"/>
      <c r="D72" s="9" t="s">
        <v>69</v>
      </c>
      <c r="E72" s="9" t="s">
        <v>70</v>
      </c>
      <c r="F72" s="9" t="s">
        <v>71</v>
      </c>
      <c r="G72" s="9" t="s">
        <v>26</v>
      </c>
      <c r="H72" s="9" t="s">
        <v>27</v>
      </c>
      <c r="I72" s="0" t="s">
        <v>28</v>
      </c>
      <c r="J72" s="9" t="s">
        <v>29</v>
      </c>
      <c r="K72" s="9" t="s">
        <v>30</v>
      </c>
      <c r="L72" s="9" t="s">
        <v>31</v>
      </c>
      <c r="M72" s="0" t="s">
        <v>32</v>
      </c>
      <c r="N72" s="0" t="n">
        <v>769</v>
      </c>
      <c r="O72" s="10" t="n">
        <v>0.91626802040264</v>
      </c>
      <c r="P72" s="10" t="n">
        <v>0.198817263124511</v>
      </c>
      <c r="Q72" s="0" t="str">
        <f aca="false">SUBSTITUTE(SUBSTITUTE($I72,CHAR(61),""),CHAR(34),"")</f>
        <v>&lt;01</v>
      </c>
      <c r="R72" s="0" t="str">
        <f aca="false">IF($D72&lt;&gt;"","["&amp;$E72&amp;"]"&amp;"|"&amp;$Q72&amp;"|"&amp;$K72&amp;"|"&amp;$G72&amp;"|"&amp;IF($G72="TX_CURR_SUBNAT.R","CY2022Q4",$M72),"")</f>
        <v>[PekKUkKHAzY]|&lt;01|Female|TX_CURR_SUBNAT.R|CY2022Q4</v>
      </c>
    </row>
    <row r="73" customFormat="false" ht="15" hidden="false" customHeight="false" outlineLevel="0" collapsed="false">
      <c r="A73" s="4"/>
      <c r="B73" s="4"/>
      <c r="C73" s="4"/>
      <c r="D73" s="9" t="s">
        <v>69</v>
      </c>
      <c r="E73" s="9" t="s">
        <v>70</v>
      </c>
      <c r="F73" s="9" t="s">
        <v>71</v>
      </c>
      <c r="G73" s="9" t="s">
        <v>26</v>
      </c>
      <c r="H73" s="9" t="s">
        <v>27</v>
      </c>
      <c r="I73" s="0" t="s">
        <v>33</v>
      </c>
      <c r="J73" s="9" t="s">
        <v>34</v>
      </c>
      <c r="K73" s="9" t="s">
        <v>30</v>
      </c>
      <c r="L73" s="9" t="s">
        <v>31</v>
      </c>
      <c r="M73" s="0" t="s">
        <v>32</v>
      </c>
      <c r="N73" s="0" t="n">
        <v>1452</v>
      </c>
      <c r="O73" s="10" t="n">
        <v>0.387194881215692</v>
      </c>
      <c r="P73" s="10" t="n">
        <v>0.198817263124511</v>
      </c>
      <c r="Q73" s="0" t="str">
        <f aca="false">SUBSTITUTE(SUBSTITUTE($I73,CHAR(61),""),CHAR(34),"")</f>
        <v>01-09</v>
      </c>
      <c r="R73" s="0" t="str">
        <f aca="false">IF($D73&lt;&gt;"","["&amp;$E73&amp;"]"&amp;"|"&amp;$Q73&amp;"|"&amp;$K73&amp;"|"&amp;$G73&amp;"|"&amp;IF($G73="TX_CURR_SUBNAT.R","CY2022Q4",$M73),"")</f>
        <v>[PekKUkKHAzY]|01-09|Female|TX_CURR_SUBNAT.R|CY2022Q4</v>
      </c>
    </row>
    <row r="74" customFormat="false" ht="15" hidden="false" customHeight="false" outlineLevel="0" collapsed="false">
      <c r="A74" s="4"/>
      <c r="B74" s="4"/>
      <c r="C74" s="4"/>
      <c r="D74" s="9" t="s">
        <v>69</v>
      </c>
      <c r="E74" s="9" t="s">
        <v>70</v>
      </c>
      <c r="F74" s="9" t="s">
        <v>71</v>
      </c>
      <c r="G74" s="9" t="s">
        <v>26</v>
      </c>
      <c r="H74" s="9" t="s">
        <v>27</v>
      </c>
      <c r="I74" s="0" t="s">
        <v>36</v>
      </c>
      <c r="J74" s="9" t="s">
        <v>37</v>
      </c>
      <c r="K74" s="9" t="s">
        <v>30</v>
      </c>
      <c r="L74" s="9" t="s">
        <v>31</v>
      </c>
      <c r="M74" s="0" t="s">
        <v>32</v>
      </c>
      <c r="N74" s="0" t="n">
        <v>1462</v>
      </c>
      <c r="O74" s="10" t="n">
        <v>0.865050633670762</v>
      </c>
      <c r="P74" s="10" t="n">
        <v>0.198817263124511</v>
      </c>
      <c r="Q74" s="0" t="str">
        <f aca="false">SUBSTITUTE(SUBSTITUTE($I74,CHAR(61),""),CHAR(34),"")</f>
        <v>10-14</v>
      </c>
      <c r="R74" s="0" t="str">
        <f aca="false">IF($D74&lt;&gt;"","["&amp;$E74&amp;"]"&amp;"|"&amp;$Q74&amp;"|"&amp;$K74&amp;"|"&amp;$G74&amp;"|"&amp;IF($G74="TX_CURR_SUBNAT.R","CY2022Q4",$M74),"")</f>
        <v>[PekKUkKHAzY]|10-14|Female|TX_CURR_SUBNAT.R|CY2022Q4</v>
      </c>
    </row>
    <row r="75" customFormat="false" ht="15" hidden="false" customHeight="false" outlineLevel="0" collapsed="false">
      <c r="A75" s="4"/>
      <c r="B75" s="4"/>
      <c r="C75" s="4"/>
      <c r="D75" s="9" t="s">
        <v>69</v>
      </c>
      <c r="E75" s="9" t="s">
        <v>70</v>
      </c>
      <c r="F75" s="9" t="s">
        <v>71</v>
      </c>
      <c r="G75" s="9" t="s">
        <v>26</v>
      </c>
      <c r="H75" s="9" t="s">
        <v>27</v>
      </c>
      <c r="I75" s="0" t="s">
        <v>38</v>
      </c>
      <c r="J75" s="9" t="s">
        <v>39</v>
      </c>
      <c r="K75" s="9" t="s">
        <v>30</v>
      </c>
      <c r="L75" s="9" t="s">
        <v>31</v>
      </c>
      <c r="M75" s="0" t="s">
        <v>32</v>
      </c>
      <c r="N75" s="0" t="n">
        <v>584</v>
      </c>
      <c r="O75" s="10" t="n">
        <v>0.567770267371088</v>
      </c>
      <c r="P75" s="10" t="n">
        <v>0.198817263124511</v>
      </c>
      <c r="Q75" s="0" t="str">
        <f aca="false">SUBSTITUTE(SUBSTITUTE($I75,CHAR(61),""),CHAR(34),"")</f>
        <v>15-24</v>
      </c>
      <c r="R75" s="0" t="str">
        <f aca="false">IF($D75&lt;&gt;"","["&amp;$E75&amp;"]"&amp;"|"&amp;$Q75&amp;"|"&amp;$K75&amp;"|"&amp;$G75&amp;"|"&amp;IF($G75="TX_CURR_SUBNAT.R","CY2022Q4",$M75),"")</f>
        <v>[PekKUkKHAzY]|15-24|Female|TX_CURR_SUBNAT.R|CY2022Q4</v>
      </c>
    </row>
    <row r="76" customFormat="false" ht="15" hidden="false" customHeight="false" outlineLevel="0" collapsed="false">
      <c r="A76" s="4"/>
      <c r="B76" s="4"/>
      <c r="C76" s="4"/>
      <c r="D76" s="9" t="s">
        <v>69</v>
      </c>
      <c r="E76" s="9" t="s">
        <v>70</v>
      </c>
      <c r="F76" s="9" t="s">
        <v>71</v>
      </c>
      <c r="G76" s="9" t="s">
        <v>26</v>
      </c>
      <c r="H76" s="9" t="s">
        <v>27</v>
      </c>
      <c r="I76" s="0" t="s">
        <v>41</v>
      </c>
      <c r="J76" s="9" t="s">
        <v>42</v>
      </c>
      <c r="K76" s="9" t="s">
        <v>30</v>
      </c>
      <c r="L76" s="9" t="s">
        <v>31</v>
      </c>
      <c r="M76" s="0" t="s">
        <v>32</v>
      </c>
      <c r="N76" s="0" t="n">
        <v>1420</v>
      </c>
      <c r="O76" s="10" t="n">
        <v>0.540520187001675</v>
      </c>
      <c r="P76" s="10" t="n">
        <v>0.198817263124511</v>
      </c>
      <c r="Q76" s="0" t="str">
        <f aca="false">SUBSTITUTE(SUBSTITUTE($I76,CHAR(61),""),CHAR(34),"")</f>
        <v>25-34</v>
      </c>
      <c r="R76" s="0" t="str">
        <f aca="false">IF($D76&lt;&gt;"","["&amp;$E76&amp;"]"&amp;"|"&amp;$Q76&amp;"|"&amp;$K76&amp;"|"&amp;$G76&amp;"|"&amp;IF($G76="TX_CURR_SUBNAT.R","CY2022Q4",$M76),"")</f>
        <v>[PekKUkKHAzY]|25-34|Female|TX_CURR_SUBNAT.R|CY2022Q4</v>
      </c>
    </row>
    <row r="77" customFormat="false" ht="15" hidden="false" customHeight="false" outlineLevel="0" collapsed="false">
      <c r="A77" s="4"/>
      <c r="B77" s="4"/>
      <c r="C77" s="4"/>
      <c r="D77" s="9" t="s">
        <v>69</v>
      </c>
      <c r="E77" s="9" t="s">
        <v>70</v>
      </c>
      <c r="F77" s="9" t="s">
        <v>71</v>
      </c>
      <c r="G77" s="9" t="s">
        <v>26</v>
      </c>
      <c r="H77" s="9" t="s">
        <v>27</v>
      </c>
      <c r="I77" s="0" t="s">
        <v>43</v>
      </c>
      <c r="J77" s="9" t="s">
        <v>44</v>
      </c>
      <c r="K77" s="9" t="s">
        <v>30</v>
      </c>
      <c r="L77" s="9" t="s">
        <v>31</v>
      </c>
      <c r="M77" s="0" t="s">
        <v>32</v>
      </c>
      <c r="N77" s="0" t="n">
        <v>1596</v>
      </c>
      <c r="O77" s="10" t="n">
        <v>0.0561853230465204</v>
      </c>
      <c r="P77" s="10" t="n">
        <v>0.198817263124511</v>
      </c>
      <c r="Q77" s="0" t="str">
        <f aca="false">SUBSTITUTE(SUBSTITUTE($I77,CHAR(61),""),CHAR(34),"")</f>
        <v>35-49</v>
      </c>
      <c r="R77" s="0" t="str">
        <f aca="false">IF($D77&lt;&gt;"","["&amp;$E77&amp;"]"&amp;"|"&amp;$Q77&amp;"|"&amp;$K77&amp;"|"&amp;$G77&amp;"|"&amp;IF($G77="TX_CURR_SUBNAT.R","CY2022Q4",$M77),"")</f>
        <v>[PekKUkKHAzY]|35-49|Female|TX_CURR_SUBNAT.R|CY2022Q4</v>
      </c>
    </row>
    <row r="78" customFormat="false" ht="15" hidden="false" customHeight="false" outlineLevel="0" collapsed="false">
      <c r="A78" s="4"/>
      <c r="B78" s="4"/>
      <c r="C78" s="4"/>
      <c r="D78" s="9" t="s">
        <v>69</v>
      </c>
      <c r="E78" s="9" t="s">
        <v>70</v>
      </c>
      <c r="F78" s="9" t="s">
        <v>71</v>
      </c>
      <c r="G78" s="9" t="s">
        <v>26</v>
      </c>
      <c r="H78" s="9" t="s">
        <v>27</v>
      </c>
      <c r="I78" s="0" t="s">
        <v>45</v>
      </c>
      <c r="J78" s="9" t="s">
        <v>46</v>
      </c>
      <c r="K78" s="9" t="s">
        <v>30</v>
      </c>
      <c r="L78" s="9" t="s">
        <v>31</v>
      </c>
      <c r="M78" s="0" t="s">
        <v>32</v>
      </c>
      <c r="N78" s="0" t="n">
        <v>1170</v>
      </c>
      <c r="O78" s="10" t="n">
        <v>0.313804327510297</v>
      </c>
      <c r="P78" s="10" t="n">
        <v>0.198817263124511</v>
      </c>
      <c r="Q78" s="0" t="str">
        <f aca="false">SUBSTITUTE(SUBSTITUTE($I78,CHAR(61),""),CHAR(34),"")</f>
        <v>50+</v>
      </c>
      <c r="R78" s="0" t="str">
        <f aca="false">IF($D78&lt;&gt;"","["&amp;$E78&amp;"]"&amp;"|"&amp;$Q78&amp;"|"&amp;$K78&amp;"|"&amp;$G78&amp;"|"&amp;IF($G78="TX_CURR_SUBNAT.R","CY2022Q4",$M78),"")</f>
        <v>[PekKUkKHAzY]|50+|Female|TX_CURR_SUBNAT.R|CY2022Q4</v>
      </c>
    </row>
    <row r="79" customFormat="false" ht="15" hidden="false" customHeight="false" outlineLevel="0" collapsed="false">
      <c r="A79" s="4"/>
      <c r="B79" s="4"/>
      <c r="C79" s="4"/>
      <c r="D79" s="9" t="s">
        <v>69</v>
      </c>
      <c r="E79" s="9" t="s">
        <v>70</v>
      </c>
      <c r="F79" s="9" t="s">
        <v>71</v>
      </c>
      <c r="G79" s="9" t="s">
        <v>26</v>
      </c>
      <c r="H79" s="9" t="s">
        <v>27</v>
      </c>
      <c r="I79" s="0" t="s">
        <v>28</v>
      </c>
      <c r="J79" s="9" t="s">
        <v>29</v>
      </c>
      <c r="K79" s="9" t="s">
        <v>48</v>
      </c>
      <c r="L79" s="9" t="s">
        <v>49</v>
      </c>
      <c r="M79" s="0" t="s">
        <v>32</v>
      </c>
      <c r="N79" s="0" t="n">
        <v>553</v>
      </c>
      <c r="O79" s="10" t="n">
        <v>0.39689952111803</v>
      </c>
      <c r="P79" s="10" t="n">
        <v>0.198817263124511</v>
      </c>
      <c r="Q79" s="0" t="str">
        <f aca="false">SUBSTITUTE(SUBSTITUTE($I79,CHAR(61),""),CHAR(34),"")</f>
        <v>&lt;01</v>
      </c>
      <c r="R79" s="0" t="str">
        <f aca="false">IF($D79&lt;&gt;"","["&amp;$E79&amp;"]"&amp;"|"&amp;$Q79&amp;"|"&amp;$K79&amp;"|"&amp;$G79&amp;"|"&amp;IF($G79="TX_CURR_SUBNAT.R","CY2022Q4",$M79),"")</f>
        <v>[PekKUkKHAzY]|&lt;01|Male|TX_CURR_SUBNAT.R|CY2022Q4</v>
      </c>
    </row>
    <row r="80" customFormat="false" ht="15" hidden="false" customHeight="false" outlineLevel="0" collapsed="false">
      <c r="A80" s="4"/>
      <c r="B80" s="4"/>
      <c r="C80" s="4"/>
      <c r="D80" s="9" t="s">
        <v>69</v>
      </c>
      <c r="E80" s="9" t="s">
        <v>70</v>
      </c>
      <c r="F80" s="9" t="s">
        <v>71</v>
      </c>
      <c r="G80" s="9" t="s">
        <v>26</v>
      </c>
      <c r="H80" s="9" t="s">
        <v>27</v>
      </c>
      <c r="I80" s="0" t="s">
        <v>33</v>
      </c>
      <c r="J80" s="9" t="s">
        <v>34</v>
      </c>
      <c r="K80" s="9" t="s">
        <v>48</v>
      </c>
      <c r="L80" s="9" t="s">
        <v>49</v>
      </c>
      <c r="M80" s="0" t="s">
        <v>32</v>
      </c>
      <c r="N80" s="0" t="n">
        <v>1645</v>
      </c>
      <c r="O80" s="10" t="n">
        <v>0.00328434910625219</v>
      </c>
      <c r="P80" s="10" t="n">
        <v>0.198817263124511</v>
      </c>
      <c r="Q80" s="0" t="str">
        <f aca="false">SUBSTITUTE(SUBSTITUTE($I80,CHAR(61),""),CHAR(34),"")</f>
        <v>01-09</v>
      </c>
      <c r="R80" s="0" t="str">
        <f aca="false">IF($D80&lt;&gt;"","["&amp;$E80&amp;"]"&amp;"|"&amp;$Q80&amp;"|"&amp;$K80&amp;"|"&amp;$G80&amp;"|"&amp;IF($G80="TX_CURR_SUBNAT.R","CY2022Q4",$M80),"")</f>
        <v>[PekKUkKHAzY]|01-09|Male|TX_CURR_SUBNAT.R|CY2022Q4</v>
      </c>
    </row>
    <row r="81" customFormat="false" ht="15" hidden="false" customHeight="false" outlineLevel="0" collapsed="false">
      <c r="A81" s="4"/>
      <c r="B81" s="4"/>
      <c r="C81" s="4"/>
      <c r="D81" s="9" t="s">
        <v>69</v>
      </c>
      <c r="E81" s="9" t="s">
        <v>70</v>
      </c>
      <c r="F81" s="9" t="s">
        <v>71</v>
      </c>
      <c r="G81" s="9" t="s">
        <v>26</v>
      </c>
      <c r="H81" s="9" t="s">
        <v>27</v>
      </c>
      <c r="I81" s="0" t="s">
        <v>36</v>
      </c>
      <c r="J81" s="9" t="s">
        <v>37</v>
      </c>
      <c r="K81" s="9" t="s">
        <v>48</v>
      </c>
      <c r="L81" s="9" t="s">
        <v>49</v>
      </c>
      <c r="M81" s="0" t="s">
        <v>32</v>
      </c>
      <c r="N81" s="0" t="n">
        <v>1031</v>
      </c>
      <c r="O81" s="10" t="n">
        <v>0.50051209400408</v>
      </c>
      <c r="P81" s="10" t="n">
        <v>0.198817263124511</v>
      </c>
      <c r="Q81" s="0" t="str">
        <f aca="false">SUBSTITUTE(SUBSTITUTE($I81,CHAR(61),""),CHAR(34),"")</f>
        <v>10-14</v>
      </c>
      <c r="R81" s="0" t="str">
        <f aca="false">IF($D81&lt;&gt;"","["&amp;$E81&amp;"]"&amp;"|"&amp;$Q81&amp;"|"&amp;$K81&amp;"|"&amp;$G81&amp;"|"&amp;IF($G81="TX_CURR_SUBNAT.R","CY2022Q4",$M81),"")</f>
        <v>[PekKUkKHAzY]|10-14|Male|TX_CURR_SUBNAT.R|CY2022Q4</v>
      </c>
    </row>
    <row r="82" customFormat="false" ht="15" hidden="false" customHeight="false" outlineLevel="0" collapsed="false">
      <c r="A82" s="4"/>
      <c r="B82" s="4"/>
      <c r="C82" s="4"/>
      <c r="D82" s="9" t="s">
        <v>69</v>
      </c>
      <c r="E82" s="9" t="s">
        <v>70</v>
      </c>
      <c r="F82" s="9" t="s">
        <v>71</v>
      </c>
      <c r="G82" s="9" t="s">
        <v>26</v>
      </c>
      <c r="H82" s="9" t="s">
        <v>27</v>
      </c>
      <c r="I82" s="0" t="s">
        <v>38</v>
      </c>
      <c r="J82" s="9" t="s">
        <v>39</v>
      </c>
      <c r="K82" s="9" t="s">
        <v>48</v>
      </c>
      <c r="L82" s="9" t="s">
        <v>49</v>
      </c>
      <c r="M82" s="0" t="s">
        <v>32</v>
      </c>
      <c r="N82" s="0" t="n">
        <v>1397</v>
      </c>
      <c r="O82" s="10" t="n">
        <v>0.150138393975794</v>
      </c>
      <c r="P82" s="10" t="n">
        <v>0.198817263124511</v>
      </c>
      <c r="Q82" s="0" t="str">
        <f aca="false">SUBSTITUTE(SUBSTITUTE($I82,CHAR(61),""),CHAR(34),"")</f>
        <v>15-24</v>
      </c>
      <c r="R82" s="0" t="str">
        <f aca="false">IF($D82&lt;&gt;"","["&amp;$E82&amp;"]"&amp;"|"&amp;$Q82&amp;"|"&amp;$K82&amp;"|"&amp;$G82&amp;"|"&amp;IF($G82="TX_CURR_SUBNAT.R","CY2022Q4",$M82),"")</f>
        <v>[PekKUkKHAzY]|15-24|Male|TX_CURR_SUBNAT.R|CY2022Q4</v>
      </c>
    </row>
    <row r="83" customFormat="false" ht="15" hidden="false" customHeight="false" outlineLevel="0" collapsed="false">
      <c r="A83" s="4"/>
      <c r="B83" s="4"/>
      <c r="C83" s="4"/>
      <c r="D83" s="9" t="s">
        <v>69</v>
      </c>
      <c r="E83" s="9" t="s">
        <v>70</v>
      </c>
      <c r="F83" s="9" t="s">
        <v>71</v>
      </c>
      <c r="G83" s="9" t="s">
        <v>26</v>
      </c>
      <c r="H83" s="9" t="s">
        <v>27</v>
      </c>
      <c r="I83" s="0" t="s">
        <v>41</v>
      </c>
      <c r="J83" s="9" t="s">
        <v>42</v>
      </c>
      <c r="K83" s="9" t="s">
        <v>48</v>
      </c>
      <c r="L83" s="9" t="s">
        <v>49</v>
      </c>
      <c r="M83" s="0" t="s">
        <v>32</v>
      </c>
      <c r="N83" s="0" t="n">
        <v>1561</v>
      </c>
      <c r="O83" s="10" t="n">
        <v>0.99630198860541</v>
      </c>
      <c r="P83" s="10" t="n">
        <v>0.198817263124511</v>
      </c>
      <c r="Q83" s="0" t="str">
        <f aca="false">SUBSTITUTE(SUBSTITUTE($I83,CHAR(61),""),CHAR(34),"")</f>
        <v>25-34</v>
      </c>
      <c r="R83" s="0" t="str">
        <f aca="false">IF($D83&lt;&gt;"","["&amp;$E83&amp;"]"&amp;"|"&amp;$Q83&amp;"|"&amp;$K83&amp;"|"&amp;$G83&amp;"|"&amp;IF($G83="TX_CURR_SUBNAT.R","CY2022Q4",$M83),"")</f>
        <v>[PekKUkKHAzY]|25-34|Male|TX_CURR_SUBNAT.R|CY2022Q4</v>
      </c>
    </row>
    <row r="84" customFormat="false" ht="15" hidden="false" customHeight="false" outlineLevel="0" collapsed="false">
      <c r="A84" s="4"/>
      <c r="B84" s="4"/>
      <c r="C84" s="4"/>
      <c r="D84" s="9" t="s">
        <v>69</v>
      </c>
      <c r="E84" s="9" t="s">
        <v>70</v>
      </c>
      <c r="F84" s="9" t="s">
        <v>71</v>
      </c>
      <c r="G84" s="9" t="s">
        <v>26</v>
      </c>
      <c r="H84" s="9" t="s">
        <v>27</v>
      </c>
      <c r="I84" s="0" t="s">
        <v>43</v>
      </c>
      <c r="J84" s="9" t="s">
        <v>44</v>
      </c>
      <c r="K84" s="9" t="s">
        <v>48</v>
      </c>
      <c r="L84" s="9" t="s">
        <v>49</v>
      </c>
      <c r="M84" s="0" t="s">
        <v>32</v>
      </c>
      <c r="N84" s="0" t="n">
        <v>672</v>
      </c>
      <c r="O84" s="10" t="n">
        <v>0.792442484525964</v>
      </c>
      <c r="P84" s="10" t="n">
        <v>0.198817263124511</v>
      </c>
      <c r="Q84" s="0" t="str">
        <f aca="false">SUBSTITUTE(SUBSTITUTE($I84,CHAR(61),""),CHAR(34),"")</f>
        <v>35-49</v>
      </c>
      <c r="R84" s="0" t="str">
        <f aca="false">IF($D84&lt;&gt;"","["&amp;$E84&amp;"]"&amp;"|"&amp;$Q84&amp;"|"&amp;$K84&amp;"|"&amp;$G84&amp;"|"&amp;IF($G84="TX_CURR_SUBNAT.R","CY2022Q4",$M84),"")</f>
        <v>[PekKUkKHAzY]|35-49|Male|TX_CURR_SUBNAT.R|CY2022Q4</v>
      </c>
    </row>
    <row r="85" customFormat="false" ht="15" hidden="false" customHeight="false" outlineLevel="0" collapsed="false">
      <c r="A85" s="4"/>
      <c r="B85" s="4"/>
      <c r="C85" s="4"/>
      <c r="D85" s="9" t="s">
        <v>69</v>
      </c>
      <c r="E85" s="9" t="s">
        <v>70</v>
      </c>
      <c r="F85" s="9" t="s">
        <v>71</v>
      </c>
      <c r="G85" s="9" t="s">
        <v>26</v>
      </c>
      <c r="H85" s="9" t="s">
        <v>27</v>
      </c>
      <c r="I85" s="0" t="s">
        <v>45</v>
      </c>
      <c r="J85" s="9" t="s">
        <v>46</v>
      </c>
      <c r="K85" s="9" t="s">
        <v>48</v>
      </c>
      <c r="L85" s="9" t="s">
        <v>49</v>
      </c>
      <c r="M85" s="0" t="s">
        <v>32</v>
      </c>
      <c r="N85" s="0" t="n">
        <v>540</v>
      </c>
      <c r="O85" s="10" t="n">
        <v>0.664511103881523</v>
      </c>
      <c r="P85" s="10" t="n">
        <v>0.198817263124511</v>
      </c>
      <c r="Q85" s="0" t="str">
        <f aca="false">SUBSTITUTE(SUBSTITUTE($I85,CHAR(61),""),CHAR(34),"")</f>
        <v>50+</v>
      </c>
      <c r="R85" s="0" t="str">
        <f aca="false">IF($D85&lt;&gt;"","["&amp;$E85&amp;"]"&amp;"|"&amp;$Q85&amp;"|"&amp;$K85&amp;"|"&amp;$G85&amp;"|"&amp;IF($G85="TX_CURR_SUBNAT.R","CY2022Q4",$M85),"")</f>
        <v>[PekKUkKHAzY]|50+|Male|TX_CURR_SUBNAT.R|CY2022Q4</v>
      </c>
    </row>
    <row r="86" customFormat="false" ht="15" hidden="false" customHeight="false" outlineLevel="0" collapsed="false">
      <c r="A86" s="4"/>
      <c r="B86" s="4"/>
      <c r="C86" s="4"/>
      <c r="D86" s="9" t="s">
        <v>72</v>
      </c>
      <c r="E86" s="9" t="s">
        <v>73</v>
      </c>
      <c r="F86" s="9" t="s">
        <v>74</v>
      </c>
      <c r="G86" s="9" t="s">
        <v>26</v>
      </c>
      <c r="H86" s="9" t="s">
        <v>27</v>
      </c>
      <c r="I86" s="0" t="s">
        <v>28</v>
      </c>
      <c r="J86" s="9" t="s">
        <v>29</v>
      </c>
      <c r="K86" s="9" t="s">
        <v>30</v>
      </c>
      <c r="L86" s="9" t="s">
        <v>31</v>
      </c>
      <c r="M86" s="0" t="s">
        <v>32</v>
      </c>
      <c r="N86" s="0" t="n">
        <v>1415</v>
      </c>
      <c r="O86" s="10" t="n">
        <v>0.452006496721879</v>
      </c>
      <c r="P86" s="10" t="n">
        <v>0.289728706935421</v>
      </c>
      <c r="Q86" s="0" t="str">
        <f aca="false">SUBSTITUTE(SUBSTITUTE($I86,CHAR(61),""),CHAR(34),"")</f>
        <v>&lt;01</v>
      </c>
      <c r="R86" s="0" t="str">
        <f aca="false">IF($D86&lt;&gt;"","["&amp;$E86&amp;"]"&amp;"|"&amp;$Q86&amp;"|"&amp;$K86&amp;"|"&amp;$G86&amp;"|"&amp;IF($G86="TX_CURR_SUBNAT.R","CY2022Q4",$M86),"")</f>
        <v>[am530wpaGvr]|&lt;01|Female|TX_CURR_SUBNAT.R|CY2022Q4</v>
      </c>
    </row>
    <row r="87" customFormat="false" ht="15" hidden="false" customHeight="false" outlineLevel="0" collapsed="false">
      <c r="A87" s="4"/>
      <c r="B87" s="4"/>
      <c r="C87" s="4"/>
      <c r="D87" s="9" t="s">
        <v>72</v>
      </c>
      <c r="E87" s="9" t="s">
        <v>73</v>
      </c>
      <c r="F87" s="9" t="s">
        <v>74</v>
      </c>
      <c r="G87" s="9" t="s">
        <v>26</v>
      </c>
      <c r="H87" s="9" t="s">
        <v>27</v>
      </c>
      <c r="I87" s="0" t="s">
        <v>33</v>
      </c>
      <c r="J87" s="9" t="s">
        <v>34</v>
      </c>
      <c r="K87" s="9" t="s">
        <v>30</v>
      </c>
      <c r="L87" s="9" t="s">
        <v>31</v>
      </c>
      <c r="M87" s="0" t="s">
        <v>32</v>
      </c>
      <c r="N87" s="0" t="n">
        <v>1681</v>
      </c>
      <c r="O87" s="10" t="n">
        <v>0.324086005799472</v>
      </c>
      <c r="P87" s="10" t="n">
        <v>0.289728706935421</v>
      </c>
      <c r="Q87" s="0" t="str">
        <f aca="false">SUBSTITUTE(SUBSTITUTE($I87,CHAR(61),""),CHAR(34),"")</f>
        <v>01-09</v>
      </c>
      <c r="R87" s="0" t="str">
        <f aca="false">IF($D87&lt;&gt;"","["&amp;$E87&amp;"]"&amp;"|"&amp;$Q87&amp;"|"&amp;$K87&amp;"|"&amp;$G87&amp;"|"&amp;IF($G87="TX_CURR_SUBNAT.R","CY2022Q4",$M87),"")</f>
        <v>[am530wpaGvr]|01-09|Female|TX_CURR_SUBNAT.R|CY2022Q4</v>
      </c>
    </row>
    <row r="88" customFormat="false" ht="15" hidden="false" customHeight="false" outlineLevel="0" collapsed="false">
      <c r="A88" s="4"/>
      <c r="B88" s="4"/>
      <c r="C88" s="4"/>
      <c r="D88" s="9" t="s">
        <v>72</v>
      </c>
      <c r="E88" s="9" t="s">
        <v>73</v>
      </c>
      <c r="F88" s="9" t="s">
        <v>74</v>
      </c>
      <c r="G88" s="9" t="s">
        <v>26</v>
      </c>
      <c r="H88" s="9" t="s">
        <v>27</v>
      </c>
      <c r="I88" s="0" t="s">
        <v>36</v>
      </c>
      <c r="J88" s="9" t="s">
        <v>37</v>
      </c>
      <c r="K88" s="9" t="s">
        <v>30</v>
      </c>
      <c r="L88" s="9" t="s">
        <v>31</v>
      </c>
      <c r="M88" s="0" t="s">
        <v>32</v>
      </c>
      <c r="N88" s="0" t="n">
        <v>1015</v>
      </c>
      <c r="O88" s="10" t="n">
        <v>0.244486697250977</v>
      </c>
      <c r="P88" s="10" t="n">
        <v>0.289728706935421</v>
      </c>
      <c r="Q88" s="0" t="str">
        <f aca="false">SUBSTITUTE(SUBSTITUTE($I88,CHAR(61),""),CHAR(34),"")</f>
        <v>10-14</v>
      </c>
      <c r="R88" s="0" t="str">
        <f aca="false">IF($D88&lt;&gt;"","["&amp;$E88&amp;"]"&amp;"|"&amp;$Q88&amp;"|"&amp;$K88&amp;"|"&amp;$G88&amp;"|"&amp;IF($G88="TX_CURR_SUBNAT.R","CY2022Q4",$M88),"")</f>
        <v>[am530wpaGvr]|10-14|Female|TX_CURR_SUBNAT.R|CY2022Q4</v>
      </c>
    </row>
    <row r="89" customFormat="false" ht="15" hidden="false" customHeight="false" outlineLevel="0" collapsed="false">
      <c r="A89" s="4"/>
      <c r="B89" s="4"/>
      <c r="C89" s="4"/>
      <c r="D89" s="9" t="s">
        <v>72</v>
      </c>
      <c r="E89" s="9" t="s">
        <v>73</v>
      </c>
      <c r="F89" s="9" t="s">
        <v>74</v>
      </c>
      <c r="G89" s="9" t="s">
        <v>26</v>
      </c>
      <c r="H89" s="9" t="s">
        <v>27</v>
      </c>
      <c r="I89" s="0" t="s">
        <v>38</v>
      </c>
      <c r="J89" s="9" t="s">
        <v>39</v>
      </c>
      <c r="K89" s="9" t="s">
        <v>30</v>
      </c>
      <c r="L89" s="9" t="s">
        <v>31</v>
      </c>
      <c r="M89" s="0" t="s">
        <v>32</v>
      </c>
      <c r="N89" s="0" t="n">
        <v>700</v>
      </c>
      <c r="O89" s="10" t="n">
        <v>0.794290511636063</v>
      </c>
      <c r="P89" s="10" t="n">
        <v>0.289728706935421</v>
      </c>
      <c r="Q89" s="0" t="str">
        <f aca="false">SUBSTITUTE(SUBSTITUTE($I89,CHAR(61),""),CHAR(34),"")</f>
        <v>15-24</v>
      </c>
      <c r="R89" s="0" t="str">
        <f aca="false">IF($D89&lt;&gt;"","["&amp;$E89&amp;"]"&amp;"|"&amp;$Q89&amp;"|"&amp;$K89&amp;"|"&amp;$G89&amp;"|"&amp;IF($G89="TX_CURR_SUBNAT.R","CY2022Q4",$M89),"")</f>
        <v>[am530wpaGvr]|15-24|Female|TX_CURR_SUBNAT.R|CY2022Q4</v>
      </c>
    </row>
    <row r="90" customFormat="false" ht="15" hidden="false" customHeight="false" outlineLevel="0" collapsed="false">
      <c r="A90" s="4"/>
      <c r="B90" s="4"/>
      <c r="C90" s="4"/>
      <c r="D90" s="9" t="s">
        <v>72</v>
      </c>
      <c r="E90" s="9" t="s">
        <v>73</v>
      </c>
      <c r="F90" s="9" t="s">
        <v>74</v>
      </c>
      <c r="G90" s="9" t="s">
        <v>26</v>
      </c>
      <c r="H90" s="9" t="s">
        <v>27</v>
      </c>
      <c r="I90" s="0" t="s">
        <v>41</v>
      </c>
      <c r="J90" s="9" t="s">
        <v>42</v>
      </c>
      <c r="K90" s="9" t="s">
        <v>30</v>
      </c>
      <c r="L90" s="9" t="s">
        <v>31</v>
      </c>
      <c r="M90" s="0" t="s">
        <v>32</v>
      </c>
      <c r="N90" s="0" t="n">
        <v>798</v>
      </c>
      <c r="O90" s="10" t="n">
        <v>0.267563882749528</v>
      </c>
      <c r="P90" s="10" t="n">
        <v>0.289728706935421</v>
      </c>
      <c r="Q90" s="0" t="str">
        <f aca="false">SUBSTITUTE(SUBSTITUTE($I90,CHAR(61),""),CHAR(34),"")</f>
        <v>25-34</v>
      </c>
      <c r="R90" s="0" t="str">
        <f aca="false">IF($D90&lt;&gt;"","["&amp;$E90&amp;"]"&amp;"|"&amp;$Q90&amp;"|"&amp;$K90&amp;"|"&amp;$G90&amp;"|"&amp;IF($G90="TX_CURR_SUBNAT.R","CY2022Q4",$M90),"")</f>
        <v>[am530wpaGvr]|25-34|Female|TX_CURR_SUBNAT.R|CY2022Q4</v>
      </c>
    </row>
    <row r="91" customFormat="false" ht="15" hidden="false" customHeight="false" outlineLevel="0" collapsed="false">
      <c r="A91" s="4"/>
      <c r="B91" s="4"/>
      <c r="C91" s="4"/>
      <c r="D91" s="9" t="s">
        <v>72</v>
      </c>
      <c r="E91" s="9" t="s">
        <v>73</v>
      </c>
      <c r="F91" s="9" t="s">
        <v>74</v>
      </c>
      <c r="G91" s="9" t="s">
        <v>26</v>
      </c>
      <c r="H91" s="9" t="s">
        <v>27</v>
      </c>
      <c r="I91" s="0" t="s">
        <v>43</v>
      </c>
      <c r="J91" s="9" t="s">
        <v>44</v>
      </c>
      <c r="K91" s="9" t="s">
        <v>30</v>
      </c>
      <c r="L91" s="9" t="s">
        <v>31</v>
      </c>
      <c r="M91" s="0" t="s">
        <v>32</v>
      </c>
      <c r="N91" s="0" t="n">
        <v>1560</v>
      </c>
      <c r="O91" s="10" t="n">
        <v>0.842820064164698</v>
      </c>
      <c r="P91" s="10" t="n">
        <v>0.289728706935421</v>
      </c>
      <c r="Q91" s="0" t="str">
        <f aca="false">SUBSTITUTE(SUBSTITUTE($I91,CHAR(61),""),CHAR(34),"")</f>
        <v>35-49</v>
      </c>
      <c r="R91" s="0" t="str">
        <f aca="false">IF($D91&lt;&gt;"","["&amp;$E91&amp;"]"&amp;"|"&amp;$Q91&amp;"|"&amp;$K91&amp;"|"&amp;$G91&amp;"|"&amp;IF($G91="TX_CURR_SUBNAT.R","CY2022Q4",$M91),"")</f>
        <v>[am530wpaGvr]|35-49|Female|TX_CURR_SUBNAT.R|CY2022Q4</v>
      </c>
    </row>
    <row r="92" customFormat="false" ht="15" hidden="false" customHeight="false" outlineLevel="0" collapsed="false">
      <c r="A92" s="4"/>
      <c r="B92" s="4"/>
      <c r="C92" s="4"/>
      <c r="D92" s="9" t="s">
        <v>72</v>
      </c>
      <c r="E92" s="9" t="s">
        <v>73</v>
      </c>
      <c r="F92" s="9" t="s">
        <v>74</v>
      </c>
      <c r="G92" s="9" t="s">
        <v>26</v>
      </c>
      <c r="H92" s="9" t="s">
        <v>27</v>
      </c>
      <c r="I92" s="0" t="s">
        <v>45</v>
      </c>
      <c r="J92" s="9" t="s">
        <v>46</v>
      </c>
      <c r="K92" s="9" t="s">
        <v>30</v>
      </c>
      <c r="L92" s="9" t="s">
        <v>31</v>
      </c>
      <c r="M92" s="0" t="s">
        <v>32</v>
      </c>
      <c r="N92" s="0" t="n">
        <v>1631</v>
      </c>
      <c r="O92" s="10" t="n">
        <v>0.165294504957274</v>
      </c>
      <c r="P92" s="10" t="n">
        <v>0.289728706935421</v>
      </c>
      <c r="Q92" s="0" t="str">
        <f aca="false">SUBSTITUTE(SUBSTITUTE($I92,CHAR(61),""),CHAR(34),"")</f>
        <v>50+</v>
      </c>
      <c r="R92" s="0" t="str">
        <f aca="false">IF($D92&lt;&gt;"","["&amp;$E92&amp;"]"&amp;"|"&amp;$Q92&amp;"|"&amp;$K92&amp;"|"&amp;$G92&amp;"|"&amp;IF($G92="TX_CURR_SUBNAT.R","CY2022Q4",$M92),"")</f>
        <v>[am530wpaGvr]|50+|Female|TX_CURR_SUBNAT.R|CY2022Q4</v>
      </c>
    </row>
    <row r="93" customFormat="false" ht="15" hidden="false" customHeight="false" outlineLevel="0" collapsed="false">
      <c r="A93" s="4"/>
      <c r="B93" s="4"/>
      <c r="C93" s="4"/>
      <c r="D93" s="9" t="s">
        <v>72</v>
      </c>
      <c r="E93" s="9" t="s">
        <v>73</v>
      </c>
      <c r="F93" s="9" t="s">
        <v>74</v>
      </c>
      <c r="G93" s="9" t="s">
        <v>26</v>
      </c>
      <c r="H93" s="9" t="s">
        <v>27</v>
      </c>
      <c r="I93" s="0" t="s">
        <v>28</v>
      </c>
      <c r="J93" s="9" t="s">
        <v>29</v>
      </c>
      <c r="K93" s="9" t="s">
        <v>48</v>
      </c>
      <c r="L93" s="9" t="s">
        <v>49</v>
      </c>
      <c r="M93" s="0" t="s">
        <v>32</v>
      </c>
      <c r="N93" s="0" t="n">
        <v>1554</v>
      </c>
      <c r="O93" s="10" t="n">
        <v>0.992371542612091</v>
      </c>
      <c r="P93" s="10" t="n">
        <v>0.289728706935421</v>
      </c>
      <c r="Q93" s="0" t="str">
        <f aca="false">SUBSTITUTE(SUBSTITUTE($I93,CHAR(61),""),CHAR(34),"")</f>
        <v>&lt;01</v>
      </c>
      <c r="R93" s="0" t="str">
        <f aca="false">IF($D93&lt;&gt;"","["&amp;$E93&amp;"]"&amp;"|"&amp;$Q93&amp;"|"&amp;$K93&amp;"|"&amp;$G93&amp;"|"&amp;IF($G93="TX_CURR_SUBNAT.R","CY2022Q4",$M93),"")</f>
        <v>[am530wpaGvr]|&lt;01|Male|TX_CURR_SUBNAT.R|CY2022Q4</v>
      </c>
    </row>
    <row r="94" customFormat="false" ht="15" hidden="false" customHeight="false" outlineLevel="0" collapsed="false">
      <c r="A94" s="4"/>
      <c r="B94" s="4"/>
      <c r="C94" s="4"/>
      <c r="D94" s="9" t="s">
        <v>72</v>
      </c>
      <c r="E94" s="9" t="s">
        <v>73</v>
      </c>
      <c r="F94" s="9" t="s">
        <v>74</v>
      </c>
      <c r="G94" s="9" t="s">
        <v>26</v>
      </c>
      <c r="H94" s="9" t="s">
        <v>27</v>
      </c>
      <c r="I94" s="0" t="s">
        <v>33</v>
      </c>
      <c r="J94" s="9" t="s">
        <v>34</v>
      </c>
      <c r="K94" s="9" t="s">
        <v>48</v>
      </c>
      <c r="L94" s="9" t="s">
        <v>49</v>
      </c>
      <c r="M94" s="0" t="s">
        <v>32</v>
      </c>
      <c r="N94" s="0" t="n">
        <v>979</v>
      </c>
      <c r="O94" s="10" t="n">
        <v>0.5293270687107</v>
      </c>
      <c r="P94" s="10" t="n">
        <v>0.289728706935421</v>
      </c>
      <c r="Q94" s="0" t="str">
        <f aca="false">SUBSTITUTE(SUBSTITUTE($I94,CHAR(61),""),CHAR(34),"")</f>
        <v>01-09</v>
      </c>
      <c r="R94" s="0" t="str">
        <f aca="false">IF($D94&lt;&gt;"","["&amp;$E94&amp;"]"&amp;"|"&amp;$Q94&amp;"|"&amp;$K94&amp;"|"&amp;$G94&amp;"|"&amp;IF($G94="TX_CURR_SUBNAT.R","CY2022Q4",$M94),"")</f>
        <v>[am530wpaGvr]|01-09|Male|TX_CURR_SUBNAT.R|CY2022Q4</v>
      </c>
    </row>
    <row r="95" customFormat="false" ht="15" hidden="false" customHeight="false" outlineLevel="0" collapsed="false">
      <c r="A95" s="4"/>
      <c r="B95" s="4"/>
      <c r="C95" s="4"/>
      <c r="D95" s="9" t="s">
        <v>72</v>
      </c>
      <c r="E95" s="9" t="s">
        <v>73</v>
      </c>
      <c r="F95" s="9" t="s">
        <v>74</v>
      </c>
      <c r="G95" s="9" t="s">
        <v>26</v>
      </c>
      <c r="H95" s="9" t="s">
        <v>27</v>
      </c>
      <c r="I95" s="0" t="s">
        <v>36</v>
      </c>
      <c r="J95" s="9" t="s">
        <v>37</v>
      </c>
      <c r="K95" s="9" t="s">
        <v>48</v>
      </c>
      <c r="L95" s="9" t="s">
        <v>49</v>
      </c>
      <c r="M95" s="0" t="s">
        <v>32</v>
      </c>
      <c r="N95" s="0" t="n">
        <v>1534</v>
      </c>
      <c r="O95" s="10" t="n">
        <v>0.566947636893019</v>
      </c>
      <c r="P95" s="10" t="n">
        <v>0.289728706935421</v>
      </c>
      <c r="Q95" s="0" t="str">
        <f aca="false">SUBSTITUTE(SUBSTITUTE($I95,CHAR(61),""),CHAR(34),"")</f>
        <v>10-14</v>
      </c>
      <c r="R95" s="0" t="str">
        <f aca="false">IF($D95&lt;&gt;"","["&amp;$E95&amp;"]"&amp;"|"&amp;$Q95&amp;"|"&amp;$K95&amp;"|"&amp;$G95&amp;"|"&amp;IF($G95="TX_CURR_SUBNAT.R","CY2022Q4",$M95),"")</f>
        <v>[am530wpaGvr]|10-14|Male|TX_CURR_SUBNAT.R|CY2022Q4</v>
      </c>
    </row>
    <row r="96" customFormat="false" ht="15" hidden="false" customHeight="false" outlineLevel="0" collapsed="false">
      <c r="A96" s="4"/>
      <c r="B96" s="4"/>
      <c r="C96" s="4"/>
      <c r="D96" s="9" t="s">
        <v>72</v>
      </c>
      <c r="E96" s="9" t="s">
        <v>73</v>
      </c>
      <c r="F96" s="9" t="s">
        <v>74</v>
      </c>
      <c r="G96" s="9" t="s">
        <v>26</v>
      </c>
      <c r="H96" s="9" t="s">
        <v>27</v>
      </c>
      <c r="I96" s="0" t="s">
        <v>38</v>
      </c>
      <c r="J96" s="9" t="s">
        <v>39</v>
      </c>
      <c r="K96" s="9" t="s">
        <v>48</v>
      </c>
      <c r="L96" s="9" t="s">
        <v>49</v>
      </c>
      <c r="M96" s="0" t="s">
        <v>32</v>
      </c>
      <c r="N96" s="0" t="n">
        <v>856</v>
      </c>
      <c r="O96" s="10" t="n">
        <v>0.0688990254420787</v>
      </c>
      <c r="P96" s="10" t="n">
        <v>0.289728706935421</v>
      </c>
      <c r="Q96" s="0" t="str">
        <f aca="false">SUBSTITUTE(SUBSTITUTE($I96,CHAR(61),""),CHAR(34),"")</f>
        <v>15-24</v>
      </c>
      <c r="R96" s="0" t="str">
        <f aca="false">IF($D96&lt;&gt;"","["&amp;$E96&amp;"]"&amp;"|"&amp;$Q96&amp;"|"&amp;$K96&amp;"|"&amp;$G96&amp;"|"&amp;IF($G96="TX_CURR_SUBNAT.R","CY2022Q4",$M96),"")</f>
        <v>[am530wpaGvr]|15-24|Male|TX_CURR_SUBNAT.R|CY2022Q4</v>
      </c>
    </row>
    <row r="97" customFormat="false" ht="15" hidden="false" customHeight="false" outlineLevel="0" collapsed="false">
      <c r="A97" s="4"/>
      <c r="B97" s="4"/>
      <c r="C97" s="4"/>
      <c r="D97" s="9" t="s">
        <v>72</v>
      </c>
      <c r="E97" s="9" t="s">
        <v>73</v>
      </c>
      <c r="F97" s="9" t="s">
        <v>74</v>
      </c>
      <c r="G97" s="9" t="s">
        <v>26</v>
      </c>
      <c r="H97" s="9" t="s">
        <v>27</v>
      </c>
      <c r="I97" s="0" t="s">
        <v>41</v>
      </c>
      <c r="J97" s="9" t="s">
        <v>42</v>
      </c>
      <c r="K97" s="9" t="s">
        <v>48</v>
      </c>
      <c r="L97" s="9" t="s">
        <v>49</v>
      </c>
      <c r="M97" s="0" t="s">
        <v>32</v>
      </c>
      <c r="N97" s="0" t="n">
        <v>1992</v>
      </c>
      <c r="O97" s="10" t="n">
        <v>0.16859751357697</v>
      </c>
      <c r="P97" s="10" t="n">
        <v>0.289728706935421</v>
      </c>
      <c r="Q97" s="0" t="str">
        <f aca="false">SUBSTITUTE(SUBSTITUTE($I97,CHAR(61),""),CHAR(34),"")</f>
        <v>25-34</v>
      </c>
      <c r="R97" s="0" t="str">
        <f aca="false">IF($D97&lt;&gt;"","["&amp;$E97&amp;"]"&amp;"|"&amp;$Q97&amp;"|"&amp;$K97&amp;"|"&amp;$G97&amp;"|"&amp;IF($G97="TX_CURR_SUBNAT.R","CY2022Q4",$M97),"")</f>
        <v>[am530wpaGvr]|25-34|Male|TX_CURR_SUBNAT.R|CY2022Q4</v>
      </c>
    </row>
    <row r="98" customFormat="false" ht="15" hidden="false" customHeight="false" outlineLevel="0" collapsed="false">
      <c r="A98" s="4"/>
      <c r="B98" s="4"/>
      <c r="C98" s="4"/>
      <c r="D98" s="9" t="s">
        <v>72</v>
      </c>
      <c r="E98" s="9" t="s">
        <v>73</v>
      </c>
      <c r="F98" s="9" t="s">
        <v>74</v>
      </c>
      <c r="G98" s="9" t="s">
        <v>26</v>
      </c>
      <c r="H98" s="9" t="s">
        <v>27</v>
      </c>
      <c r="I98" s="0" t="s">
        <v>43</v>
      </c>
      <c r="J98" s="9" t="s">
        <v>44</v>
      </c>
      <c r="K98" s="9" t="s">
        <v>48</v>
      </c>
      <c r="L98" s="9" t="s">
        <v>49</v>
      </c>
      <c r="M98" s="0" t="s">
        <v>32</v>
      </c>
      <c r="N98" s="0" t="n">
        <v>1950</v>
      </c>
      <c r="O98" s="10" t="n">
        <v>0.102700334507972</v>
      </c>
      <c r="P98" s="10" t="n">
        <v>0.289728706935421</v>
      </c>
      <c r="Q98" s="0" t="str">
        <f aca="false">SUBSTITUTE(SUBSTITUTE($I98,CHAR(61),""),CHAR(34),"")</f>
        <v>35-49</v>
      </c>
      <c r="R98" s="0" t="str">
        <f aca="false">IF($D98&lt;&gt;"","["&amp;$E98&amp;"]"&amp;"|"&amp;$Q98&amp;"|"&amp;$K98&amp;"|"&amp;$G98&amp;"|"&amp;IF($G98="TX_CURR_SUBNAT.R","CY2022Q4",$M98),"")</f>
        <v>[am530wpaGvr]|35-49|Male|TX_CURR_SUBNAT.R|CY2022Q4</v>
      </c>
    </row>
    <row r="99" customFormat="false" ht="15" hidden="false" customHeight="false" outlineLevel="0" collapsed="false">
      <c r="A99" s="4"/>
      <c r="B99" s="4"/>
      <c r="C99" s="4"/>
      <c r="D99" s="9" t="s">
        <v>72</v>
      </c>
      <c r="E99" s="9" t="s">
        <v>73</v>
      </c>
      <c r="F99" s="9" t="s">
        <v>74</v>
      </c>
      <c r="G99" s="9" t="s">
        <v>26</v>
      </c>
      <c r="H99" s="9" t="s">
        <v>27</v>
      </c>
      <c r="I99" s="0" t="s">
        <v>45</v>
      </c>
      <c r="J99" s="9" t="s">
        <v>46</v>
      </c>
      <c r="K99" s="9" t="s">
        <v>48</v>
      </c>
      <c r="L99" s="9" t="s">
        <v>49</v>
      </c>
      <c r="M99" s="0" t="s">
        <v>32</v>
      </c>
      <c r="N99" s="0" t="n">
        <v>1430</v>
      </c>
      <c r="O99" s="10" t="n">
        <v>0.341522241476923</v>
      </c>
      <c r="P99" s="10" t="n">
        <v>0.289728706935421</v>
      </c>
      <c r="Q99" s="0" t="str">
        <f aca="false">SUBSTITUTE(SUBSTITUTE($I99,CHAR(61),""),CHAR(34),"")</f>
        <v>50+</v>
      </c>
      <c r="R99" s="0" t="str">
        <f aca="false">IF($D99&lt;&gt;"","["&amp;$E99&amp;"]"&amp;"|"&amp;$Q99&amp;"|"&amp;$K99&amp;"|"&amp;$G99&amp;"|"&amp;IF($G99="TX_CURR_SUBNAT.R","CY2022Q4",$M99),"")</f>
        <v>[am530wpaGvr]|50+|Male|TX_CURR_SUBNAT.R|CY2022Q4</v>
      </c>
    </row>
    <row r="100" customFormat="false" ht="15" hidden="false" customHeight="false" outlineLevel="0" collapsed="false">
      <c r="A100" s="4"/>
      <c r="B100" s="4"/>
      <c r="C100" s="4"/>
      <c r="D100" s="9" t="s">
        <v>75</v>
      </c>
      <c r="E100" s="9" t="s">
        <v>76</v>
      </c>
      <c r="F100" s="9" t="s">
        <v>77</v>
      </c>
      <c r="G100" s="9" t="s">
        <v>26</v>
      </c>
      <c r="H100" s="9" t="s">
        <v>27</v>
      </c>
      <c r="I100" s="0" t="s">
        <v>28</v>
      </c>
      <c r="J100" s="9" t="s">
        <v>29</v>
      </c>
      <c r="K100" s="9" t="s">
        <v>30</v>
      </c>
      <c r="L100" s="9" t="s">
        <v>31</v>
      </c>
      <c r="M100" s="0" t="s">
        <v>32</v>
      </c>
      <c r="N100" s="0" t="n">
        <v>687</v>
      </c>
      <c r="O100" s="10" t="n">
        <v>0.0291555009316653</v>
      </c>
      <c r="P100" s="10" t="n">
        <v>0.303055507596582</v>
      </c>
      <c r="Q100" s="0" t="str">
        <f aca="false">SUBSTITUTE(SUBSTITUTE($I100,CHAR(61),""),CHAR(34),"")</f>
        <v>&lt;01</v>
      </c>
      <c r="R100" s="0" t="str">
        <f aca="false">IF($D100&lt;&gt;"","["&amp;$E100&amp;"]"&amp;"|"&amp;$Q100&amp;"|"&amp;$K100&amp;"|"&amp;$G100&amp;"|"&amp;IF($G100="TX_CURR_SUBNAT.R","CY2022Q4",$M100),"")</f>
        <v>[lLDyBx5XyUi]|&lt;01|Female|TX_CURR_SUBNAT.R|CY2022Q4</v>
      </c>
    </row>
    <row r="101" customFormat="false" ht="15" hidden="false" customHeight="false" outlineLevel="0" collapsed="false">
      <c r="A101" s="4"/>
      <c r="B101" s="4"/>
      <c r="C101" s="4"/>
      <c r="D101" s="9" t="s">
        <v>75</v>
      </c>
      <c r="E101" s="9" t="s">
        <v>76</v>
      </c>
      <c r="F101" s="9" t="s">
        <v>77</v>
      </c>
      <c r="G101" s="9" t="s">
        <v>26</v>
      </c>
      <c r="H101" s="9" t="s">
        <v>27</v>
      </c>
      <c r="I101" s="0" t="s">
        <v>33</v>
      </c>
      <c r="J101" s="9" t="s">
        <v>34</v>
      </c>
      <c r="K101" s="9" t="s">
        <v>30</v>
      </c>
      <c r="L101" s="9" t="s">
        <v>31</v>
      </c>
      <c r="M101" s="0" t="s">
        <v>32</v>
      </c>
      <c r="N101" s="0" t="n">
        <v>704</v>
      </c>
      <c r="O101" s="10" t="n">
        <v>0.745406325906515</v>
      </c>
      <c r="P101" s="10" t="n">
        <v>0.303055507596582</v>
      </c>
      <c r="Q101" s="0" t="str">
        <f aca="false">SUBSTITUTE(SUBSTITUTE($I101,CHAR(61),""),CHAR(34),"")</f>
        <v>01-09</v>
      </c>
      <c r="R101" s="0" t="str">
        <f aca="false">IF($D101&lt;&gt;"","["&amp;$E101&amp;"]"&amp;"|"&amp;$Q101&amp;"|"&amp;$K101&amp;"|"&amp;$G101&amp;"|"&amp;IF($G101="TX_CURR_SUBNAT.R","CY2022Q4",$M101),"")</f>
        <v>[lLDyBx5XyUi]|01-09|Female|TX_CURR_SUBNAT.R|CY2022Q4</v>
      </c>
    </row>
    <row r="102" customFormat="false" ht="15" hidden="false" customHeight="false" outlineLevel="0" collapsed="false">
      <c r="A102" s="4"/>
      <c r="B102" s="4"/>
      <c r="C102" s="4"/>
      <c r="D102" s="9" t="s">
        <v>75</v>
      </c>
      <c r="E102" s="9" t="s">
        <v>76</v>
      </c>
      <c r="F102" s="9" t="s">
        <v>77</v>
      </c>
      <c r="G102" s="9" t="s">
        <v>26</v>
      </c>
      <c r="H102" s="9" t="s">
        <v>27</v>
      </c>
      <c r="I102" s="0" t="s">
        <v>36</v>
      </c>
      <c r="J102" s="9" t="s">
        <v>37</v>
      </c>
      <c r="K102" s="9" t="s">
        <v>30</v>
      </c>
      <c r="L102" s="9" t="s">
        <v>31</v>
      </c>
      <c r="M102" s="0" t="s">
        <v>32</v>
      </c>
      <c r="N102" s="0" t="n">
        <v>1812</v>
      </c>
      <c r="O102" s="10" t="n">
        <v>0.182417002273723</v>
      </c>
      <c r="P102" s="10" t="n">
        <v>0.303055507596582</v>
      </c>
      <c r="Q102" s="0" t="str">
        <f aca="false">SUBSTITUTE(SUBSTITUTE($I102,CHAR(61),""),CHAR(34),"")</f>
        <v>10-14</v>
      </c>
      <c r="R102" s="0" t="str">
        <f aca="false">IF($D102&lt;&gt;"","["&amp;$E102&amp;"]"&amp;"|"&amp;$Q102&amp;"|"&amp;$K102&amp;"|"&amp;$G102&amp;"|"&amp;IF($G102="TX_CURR_SUBNAT.R","CY2022Q4",$M102),"")</f>
        <v>[lLDyBx5XyUi]|10-14|Female|TX_CURR_SUBNAT.R|CY2022Q4</v>
      </c>
    </row>
    <row r="103" customFormat="false" ht="15" hidden="false" customHeight="false" outlineLevel="0" collapsed="false">
      <c r="A103" s="4"/>
      <c r="B103" s="4"/>
      <c r="C103" s="4"/>
      <c r="D103" s="9" t="s">
        <v>75</v>
      </c>
      <c r="E103" s="9" t="s">
        <v>76</v>
      </c>
      <c r="F103" s="9" t="s">
        <v>77</v>
      </c>
      <c r="G103" s="9" t="s">
        <v>26</v>
      </c>
      <c r="H103" s="9" t="s">
        <v>27</v>
      </c>
      <c r="I103" s="0" t="s">
        <v>38</v>
      </c>
      <c r="J103" s="9" t="s">
        <v>39</v>
      </c>
      <c r="K103" s="9" t="s">
        <v>30</v>
      </c>
      <c r="L103" s="9" t="s">
        <v>31</v>
      </c>
      <c r="M103" s="0" t="s">
        <v>32</v>
      </c>
      <c r="N103" s="0" t="n">
        <v>1718</v>
      </c>
      <c r="O103" s="10" t="n">
        <v>0.693887120112777</v>
      </c>
      <c r="P103" s="10" t="n">
        <v>0.303055507596582</v>
      </c>
      <c r="Q103" s="0" t="str">
        <f aca="false">SUBSTITUTE(SUBSTITUTE($I103,CHAR(61),""),CHAR(34),"")</f>
        <v>15-24</v>
      </c>
      <c r="R103" s="0" t="str">
        <f aca="false">IF($D103&lt;&gt;"","["&amp;$E103&amp;"]"&amp;"|"&amp;$Q103&amp;"|"&amp;$K103&amp;"|"&amp;$G103&amp;"|"&amp;IF($G103="TX_CURR_SUBNAT.R","CY2022Q4",$M103),"")</f>
        <v>[lLDyBx5XyUi]|15-24|Female|TX_CURR_SUBNAT.R|CY2022Q4</v>
      </c>
    </row>
    <row r="104" customFormat="false" ht="15" hidden="false" customHeight="false" outlineLevel="0" collapsed="false">
      <c r="A104" s="4"/>
      <c r="B104" s="4"/>
      <c r="C104" s="4"/>
      <c r="D104" s="9" t="s">
        <v>75</v>
      </c>
      <c r="E104" s="9" t="s">
        <v>76</v>
      </c>
      <c r="F104" s="9" t="s">
        <v>77</v>
      </c>
      <c r="G104" s="9" t="s">
        <v>26</v>
      </c>
      <c r="H104" s="9" t="s">
        <v>27</v>
      </c>
      <c r="I104" s="0" t="s">
        <v>41</v>
      </c>
      <c r="J104" s="9" t="s">
        <v>42</v>
      </c>
      <c r="K104" s="9" t="s">
        <v>30</v>
      </c>
      <c r="L104" s="9" t="s">
        <v>31</v>
      </c>
      <c r="M104" s="0" t="s">
        <v>32</v>
      </c>
      <c r="N104" s="0" t="n">
        <v>1442</v>
      </c>
      <c r="O104" s="10" t="n">
        <v>0.00863758567720652</v>
      </c>
      <c r="P104" s="10" t="n">
        <v>0.303055507596582</v>
      </c>
      <c r="Q104" s="0" t="str">
        <f aca="false">SUBSTITUTE(SUBSTITUTE($I104,CHAR(61),""),CHAR(34),"")</f>
        <v>25-34</v>
      </c>
      <c r="R104" s="0" t="str">
        <f aca="false">IF($D104&lt;&gt;"","["&amp;$E104&amp;"]"&amp;"|"&amp;$Q104&amp;"|"&amp;$K104&amp;"|"&amp;$G104&amp;"|"&amp;IF($G104="TX_CURR_SUBNAT.R","CY2022Q4",$M104),"")</f>
        <v>[lLDyBx5XyUi]|25-34|Female|TX_CURR_SUBNAT.R|CY2022Q4</v>
      </c>
    </row>
    <row r="105" customFormat="false" ht="15" hidden="false" customHeight="false" outlineLevel="0" collapsed="false">
      <c r="A105" s="4"/>
      <c r="B105" s="4"/>
      <c r="C105" s="4"/>
      <c r="D105" s="9" t="s">
        <v>75</v>
      </c>
      <c r="E105" s="9" t="s">
        <v>76</v>
      </c>
      <c r="F105" s="9" t="s">
        <v>77</v>
      </c>
      <c r="G105" s="9" t="s">
        <v>26</v>
      </c>
      <c r="H105" s="9" t="s">
        <v>27</v>
      </c>
      <c r="I105" s="0" t="s">
        <v>43</v>
      </c>
      <c r="J105" s="9" t="s">
        <v>44</v>
      </c>
      <c r="K105" s="9" t="s">
        <v>30</v>
      </c>
      <c r="L105" s="9" t="s">
        <v>31</v>
      </c>
      <c r="M105" s="0" t="s">
        <v>32</v>
      </c>
      <c r="N105" s="0" t="n">
        <v>1087</v>
      </c>
      <c r="O105" s="10" t="n">
        <v>0.714958112919703</v>
      </c>
      <c r="P105" s="10" t="n">
        <v>0.303055507596582</v>
      </c>
      <c r="Q105" s="0" t="str">
        <f aca="false">SUBSTITUTE(SUBSTITUTE($I105,CHAR(61),""),CHAR(34),"")</f>
        <v>35-49</v>
      </c>
      <c r="R105" s="0" t="str">
        <f aca="false">IF($D105&lt;&gt;"","["&amp;$E105&amp;"]"&amp;"|"&amp;$Q105&amp;"|"&amp;$K105&amp;"|"&amp;$G105&amp;"|"&amp;IF($G105="TX_CURR_SUBNAT.R","CY2022Q4",$M105),"")</f>
        <v>[lLDyBx5XyUi]|35-49|Female|TX_CURR_SUBNAT.R|CY2022Q4</v>
      </c>
    </row>
    <row r="106" customFormat="false" ht="15" hidden="false" customHeight="false" outlineLevel="0" collapsed="false">
      <c r="A106" s="4"/>
      <c r="B106" s="4"/>
      <c r="C106" s="4"/>
      <c r="D106" s="9" t="s">
        <v>75</v>
      </c>
      <c r="E106" s="9" t="s">
        <v>76</v>
      </c>
      <c r="F106" s="9" t="s">
        <v>77</v>
      </c>
      <c r="G106" s="9" t="s">
        <v>26</v>
      </c>
      <c r="H106" s="9" t="s">
        <v>27</v>
      </c>
      <c r="I106" s="0" t="s">
        <v>45</v>
      </c>
      <c r="J106" s="9" t="s">
        <v>46</v>
      </c>
      <c r="K106" s="9" t="s">
        <v>30</v>
      </c>
      <c r="L106" s="9" t="s">
        <v>31</v>
      </c>
      <c r="M106" s="0" t="s">
        <v>32</v>
      </c>
      <c r="N106" s="0" t="n">
        <v>1224</v>
      </c>
      <c r="O106" s="10" t="n">
        <v>0.139800792792812</v>
      </c>
      <c r="P106" s="10" t="n">
        <v>0.303055507596582</v>
      </c>
      <c r="Q106" s="0" t="str">
        <f aca="false">SUBSTITUTE(SUBSTITUTE($I106,CHAR(61),""),CHAR(34),"")</f>
        <v>50+</v>
      </c>
      <c r="R106" s="0" t="str">
        <f aca="false">IF($D106&lt;&gt;"","["&amp;$E106&amp;"]"&amp;"|"&amp;$Q106&amp;"|"&amp;$K106&amp;"|"&amp;$G106&amp;"|"&amp;IF($G106="TX_CURR_SUBNAT.R","CY2022Q4",$M106),"")</f>
        <v>[lLDyBx5XyUi]|50+|Female|TX_CURR_SUBNAT.R|CY2022Q4</v>
      </c>
    </row>
    <row r="107" customFormat="false" ht="15" hidden="false" customHeight="false" outlineLevel="0" collapsed="false">
      <c r="A107" s="4"/>
      <c r="B107" s="4"/>
      <c r="C107" s="4"/>
      <c r="D107" s="9" t="s">
        <v>75</v>
      </c>
      <c r="E107" s="9" t="s">
        <v>76</v>
      </c>
      <c r="F107" s="9" t="s">
        <v>77</v>
      </c>
      <c r="G107" s="9" t="s">
        <v>26</v>
      </c>
      <c r="H107" s="9" t="s">
        <v>27</v>
      </c>
      <c r="I107" s="0" t="s">
        <v>28</v>
      </c>
      <c r="J107" s="9" t="s">
        <v>29</v>
      </c>
      <c r="K107" s="9" t="s">
        <v>48</v>
      </c>
      <c r="L107" s="9" t="s">
        <v>49</v>
      </c>
      <c r="M107" s="0" t="s">
        <v>32</v>
      </c>
      <c r="N107" s="0" t="n">
        <v>1230</v>
      </c>
      <c r="O107" s="10" t="n">
        <v>0.198220490012318</v>
      </c>
      <c r="P107" s="10" t="n">
        <v>0.303055507596582</v>
      </c>
      <c r="Q107" s="0" t="str">
        <f aca="false">SUBSTITUTE(SUBSTITUTE($I107,CHAR(61),""),CHAR(34),"")</f>
        <v>&lt;01</v>
      </c>
      <c r="R107" s="0" t="str">
        <f aca="false">IF($D107&lt;&gt;"","["&amp;$E107&amp;"]"&amp;"|"&amp;$Q107&amp;"|"&amp;$K107&amp;"|"&amp;$G107&amp;"|"&amp;IF($G107="TX_CURR_SUBNAT.R","CY2022Q4",$M107),"")</f>
        <v>[lLDyBx5XyUi]|&lt;01|Male|TX_CURR_SUBNAT.R|CY2022Q4</v>
      </c>
    </row>
    <row r="108" customFormat="false" ht="15" hidden="false" customHeight="false" outlineLevel="0" collapsed="false">
      <c r="A108" s="4"/>
      <c r="B108" s="4"/>
      <c r="C108" s="4"/>
      <c r="D108" s="9" t="s">
        <v>75</v>
      </c>
      <c r="E108" s="9" t="s">
        <v>76</v>
      </c>
      <c r="F108" s="9" t="s">
        <v>77</v>
      </c>
      <c r="G108" s="9" t="s">
        <v>26</v>
      </c>
      <c r="H108" s="9" t="s">
        <v>27</v>
      </c>
      <c r="I108" s="0" t="s">
        <v>33</v>
      </c>
      <c r="J108" s="9" t="s">
        <v>34</v>
      </c>
      <c r="K108" s="9" t="s">
        <v>48</v>
      </c>
      <c r="L108" s="9" t="s">
        <v>49</v>
      </c>
      <c r="M108" s="0" t="s">
        <v>32</v>
      </c>
      <c r="N108" s="0" t="n">
        <v>1405</v>
      </c>
      <c r="O108" s="10" t="n">
        <v>0.440602377755567</v>
      </c>
      <c r="P108" s="10" t="n">
        <v>0.303055507596582</v>
      </c>
      <c r="Q108" s="0" t="str">
        <f aca="false">SUBSTITUTE(SUBSTITUTE($I108,CHAR(61),""),CHAR(34),"")</f>
        <v>01-09</v>
      </c>
      <c r="R108" s="0" t="str">
        <f aca="false">IF($D108&lt;&gt;"","["&amp;$E108&amp;"]"&amp;"|"&amp;$Q108&amp;"|"&amp;$K108&amp;"|"&amp;$G108&amp;"|"&amp;IF($G108="TX_CURR_SUBNAT.R","CY2022Q4",$M108),"")</f>
        <v>[lLDyBx5XyUi]|01-09|Male|TX_CURR_SUBNAT.R|CY2022Q4</v>
      </c>
    </row>
    <row r="109" customFormat="false" ht="15" hidden="false" customHeight="false" outlineLevel="0" collapsed="false">
      <c r="A109" s="4"/>
      <c r="B109" s="4"/>
      <c r="C109" s="4"/>
      <c r="D109" s="9" t="s">
        <v>75</v>
      </c>
      <c r="E109" s="9" t="s">
        <v>76</v>
      </c>
      <c r="F109" s="9" t="s">
        <v>77</v>
      </c>
      <c r="G109" s="9" t="s">
        <v>26</v>
      </c>
      <c r="H109" s="9" t="s">
        <v>27</v>
      </c>
      <c r="I109" s="0" t="s">
        <v>36</v>
      </c>
      <c r="J109" s="9" t="s">
        <v>37</v>
      </c>
      <c r="K109" s="9" t="s">
        <v>48</v>
      </c>
      <c r="L109" s="9" t="s">
        <v>49</v>
      </c>
      <c r="M109" s="0" t="s">
        <v>32</v>
      </c>
      <c r="N109" s="0" t="n">
        <v>1819</v>
      </c>
      <c r="O109" s="10" t="n">
        <v>0.49841100582853</v>
      </c>
      <c r="P109" s="10" t="n">
        <v>0.303055507596582</v>
      </c>
      <c r="Q109" s="0" t="str">
        <f aca="false">SUBSTITUTE(SUBSTITUTE($I109,CHAR(61),""),CHAR(34),"")</f>
        <v>10-14</v>
      </c>
      <c r="R109" s="0" t="str">
        <f aca="false">IF($D109&lt;&gt;"","["&amp;$E109&amp;"]"&amp;"|"&amp;$Q109&amp;"|"&amp;$K109&amp;"|"&amp;$G109&amp;"|"&amp;IF($G109="TX_CURR_SUBNAT.R","CY2022Q4",$M109),"")</f>
        <v>[lLDyBx5XyUi]|10-14|Male|TX_CURR_SUBNAT.R|CY2022Q4</v>
      </c>
    </row>
    <row r="110" customFormat="false" ht="15" hidden="false" customHeight="false" outlineLevel="0" collapsed="false">
      <c r="A110" s="4"/>
      <c r="B110" s="4"/>
      <c r="C110" s="4"/>
      <c r="D110" s="9" t="s">
        <v>75</v>
      </c>
      <c r="E110" s="9" t="s">
        <v>76</v>
      </c>
      <c r="F110" s="9" t="s">
        <v>77</v>
      </c>
      <c r="G110" s="9" t="s">
        <v>26</v>
      </c>
      <c r="H110" s="9" t="s">
        <v>27</v>
      </c>
      <c r="I110" s="0" t="s">
        <v>38</v>
      </c>
      <c r="J110" s="9" t="s">
        <v>39</v>
      </c>
      <c r="K110" s="9" t="s">
        <v>48</v>
      </c>
      <c r="L110" s="9" t="s">
        <v>49</v>
      </c>
      <c r="M110" s="0" t="s">
        <v>32</v>
      </c>
      <c r="N110" s="0" t="n">
        <v>1802</v>
      </c>
      <c r="O110" s="10" t="n">
        <v>0.715361845912412</v>
      </c>
      <c r="P110" s="10" t="n">
        <v>0.303055507596582</v>
      </c>
      <c r="Q110" s="0" t="str">
        <f aca="false">SUBSTITUTE(SUBSTITUTE($I110,CHAR(61),""),CHAR(34),"")</f>
        <v>15-24</v>
      </c>
      <c r="R110" s="0" t="str">
        <f aca="false">IF($D110&lt;&gt;"","["&amp;$E110&amp;"]"&amp;"|"&amp;$Q110&amp;"|"&amp;$K110&amp;"|"&amp;$G110&amp;"|"&amp;IF($G110="TX_CURR_SUBNAT.R","CY2022Q4",$M110),"")</f>
        <v>[lLDyBx5XyUi]|15-24|Male|TX_CURR_SUBNAT.R|CY2022Q4</v>
      </c>
    </row>
    <row r="111" customFormat="false" ht="15" hidden="false" customHeight="false" outlineLevel="0" collapsed="false">
      <c r="A111" s="4"/>
      <c r="B111" s="4"/>
      <c r="C111" s="4"/>
      <c r="D111" s="9" t="s">
        <v>75</v>
      </c>
      <c r="E111" s="9" t="s">
        <v>76</v>
      </c>
      <c r="F111" s="9" t="s">
        <v>77</v>
      </c>
      <c r="G111" s="9" t="s">
        <v>26</v>
      </c>
      <c r="H111" s="9" t="s">
        <v>27</v>
      </c>
      <c r="I111" s="0" t="s">
        <v>41</v>
      </c>
      <c r="J111" s="9" t="s">
        <v>42</v>
      </c>
      <c r="K111" s="9" t="s">
        <v>48</v>
      </c>
      <c r="L111" s="9" t="s">
        <v>49</v>
      </c>
      <c r="M111" s="0" t="s">
        <v>32</v>
      </c>
      <c r="N111" s="0" t="n">
        <v>728</v>
      </c>
      <c r="O111" s="10" t="n">
        <v>0.367967440979555</v>
      </c>
      <c r="P111" s="10" t="n">
        <v>0.303055507596582</v>
      </c>
      <c r="Q111" s="0" t="str">
        <f aca="false">SUBSTITUTE(SUBSTITUTE($I111,CHAR(61),""),CHAR(34),"")</f>
        <v>25-34</v>
      </c>
      <c r="R111" s="0" t="str">
        <f aca="false">IF($D111&lt;&gt;"","["&amp;$E111&amp;"]"&amp;"|"&amp;$Q111&amp;"|"&amp;$K111&amp;"|"&amp;$G111&amp;"|"&amp;IF($G111="TX_CURR_SUBNAT.R","CY2022Q4",$M111),"")</f>
        <v>[lLDyBx5XyUi]|25-34|Male|TX_CURR_SUBNAT.R|CY2022Q4</v>
      </c>
    </row>
    <row r="112" customFormat="false" ht="15" hidden="false" customHeight="false" outlineLevel="0" collapsed="false">
      <c r="A112" s="4"/>
      <c r="B112" s="4"/>
      <c r="C112" s="4"/>
      <c r="D112" s="9" t="s">
        <v>75</v>
      </c>
      <c r="E112" s="9" t="s">
        <v>76</v>
      </c>
      <c r="F112" s="9" t="s">
        <v>77</v>
      </c>
      <c r="G112" s="9" t="s">
        <v>26</v>
      </c>
      <c r="H112" s="9" t="s">
        <v>27</v>
      </c>
      <c r="I112" s="0" t="s">
        <v>43</v>
      </c>
      <c r="J112" s="9" t="s">
        <v>44</v>
      </c>
      <c r="K112" s="9" t="s">
        <v>48</v>
      </c>
      <c r="L112" s="9" t="s">
        <v>49</v>
      </c>
      <c r="M112" s="0" t="s">
        <v>32</v>
      </c>
      <c r="N112" s="0" t="n">
        <v>1566</v>
      </c>
      <c r="O112" s="10" t="n">
        <v>0.226618466433138</v>
      </c>
      <c r="P112" s="10" t="n">
        <v>0.303055507596582</v>
      </c>
      <c r="Q112" s="0" t="str">
        <f aca="false">SUBSTITUTE(SUBSTITUTE($I112,CHAR(61),""),CHAR(34),"")</f>
        <v>35-49</v>
      </c>
      <c r="R112" s="0" t="str">
        <f aca="false">IF($D112&lt;&gt;"","["&amp;$E112&amp;"]"&amp;"|"&amp;$Q112&amp;"|"&amp;$K112&amp;"|"&amp;$G112&amp;"|"&amp;IF($G112="TX_CURR_SUBNAT.R","CY2022Q4",$M112),"")</f>
        <v>[lLDyBx5XyUi]|35-49|Male|TX_CURR_SUBNAT.R|CY2022Q4</v>
      </c>
    </row>
    <row r="113" customFormat="false" ht="15" hidden="false" customHeight="false" outlineLevel="0" collapsed="false">
      <c r="A113" s="4"/>
      <c r="B113" s="4"/>
      <c r="C113" s="4"/>
      <c r="D113" s="9" t="s">
        <v>75</v>
      </c>
      <c r="E113" s="9" t="s">
        <v>76</v>
      </c>
      <c r="F113" s="9" t="s">
        <v>77</v>
      </c>
      <c r="G113" s="9" t="s">
        <v>26</v>
      </c>
      <c r="H113" s="9" t="s">
        <v>27</v>
      </c>
      <c r="I113" s="0" t="s">
        <v>45</v>
      </c>
      <c r="J113" s="9" t="s">
        <v>46</v>
      </c>
      <c r="K113" s="9" t="s">
        <v>48</v>
      </c>
      <c r="L113" s="9" t="s">
        <v>49</v>
      </c>
      <c r="M113" s="0" t="s">
        <v>32</v>
      </c>
      <c r="N113" s="0" t="n">
        <v>1250</v>
      </c>
      <c r="O113" s="10" t="n">
        <v>0.807370964437723</v>
      </c>
      <c r="P113" s="10" t="n">
        <v>0.303055507596582</v>
      </c>
      <c r="Q113" s="0" t="str">
        <f aca="false">SUBSTITUTE(SUBSTITUTE($I113,CHAR(61),""),CHAR(34),"")</f>
        <v>50+</v>
      </c>
      <c r="R113" s="0" t="str">
        <f aca="false">IF($D113&lt;&gt;"","["&amp;$E113&amp;"]"&amp;"|"&amp;$Q113&amp;"|"&amp;$K113&amp;"|"&amp;$G113&amp;"|"&amp;IF($G113="TX_CURR_SUBNAT.R","CY2022Q4",$M113),"")</f>
        <v>[lLDyBx5XyUi]|50+|Male|TX_CURR_SUBNAT.R|CY2022Q4</v>
      </c>
    </row>
    <row r="114" customFormat="false" ht="15" hidden="false" customHeight="false" outlineLevel="0" collapsed="false">
      <c r="A114" s="4"/>
      <c r="B114" s="4"/>
      <c r="C114" s="4"/>
      <c r="D114" s="9" t="s">
        <v>78</v>
      </c>
      <c r="E114" s="9" t="s">
        <v>79</v>
      </c>
      <c r="F114" s="9" t="s">
        <v>80</v>
      </c>
      <c r="G114" s="9" t="s">
        <v>26</v>
      </c>
      <c r="H114" s="9" t="s">
        <v>27</v>
      </c>
      <c r="I114" s="0" t="s">
        <v>28</v>
      </c>
      <c r="J114" s="9" t="s">
        <v>29</v>
      </c>
      <c r="K114" s="9" t="s">
        <v>30</v>
      </c>
      <c r="L114" s="9" t="s">
        <v>31</v>
      </c>
      <c r="M114" s="0" t="s">
        <v>32</v>
      </c>
      <c r="N114" s="0" t="n">
        <v>1625</v>
      </c>
      <c r="O114" s="10" t="n">
        <v>0.239163896534592</v>
      </c>
      <c r="P114" s="10" t="n">
        <v>0.831597982207313</v>
      </c>
      <c r="Q114" s="0" t="str">
        <f aca="false">SUBSTITUTE(SUBSTITUTE($I114,CHAR(61),""),CHAR(34),"")</f>
        <v>&lt;01</v>
      </c>
      <c r="R114" s="0" t="str">
        <f aca="false">IF($D114&lt;&gt;"","["&amp;$E114&amp;"]"&amp;"|"&amp;$Q114&amp;"|"&amp;$K114&amp;"|"&amp;$G114&amp;"|"&amp;IF($G114="TX_CURR_SUBNAT.R","CY2022Q4",$M114),"")</f>
        <v>[TYnMSwzko3z]|&lt;01|Female|TX_CURR_SUBNAT.R|CY2022Q4</v>
      </c>
    </row>
    <row r="115" customFormat="false" ht="15" hidden="false" customHeight="false" outlineLevel="0" collapsed="false">
      <c r="A115" s="4"/>
      <c r="B115" s="4"/>
      <c r="C115" s="4"/>
      <c r="D115" s="9" t="s">
        <v>78</v>
      </c>
      <c r="E115" s="9" t="s">
        <v>79</v>
      </c>
      <c r="F115" s="9" t="s">
        <v>80</v>
      </c>
      <c r="G115" s="9" t="s">
        <v>26</v>
      </c>
      <c r="H115" s="9" t="s">
        <v>27</v>
      </c>
      <c r="I115" s="0" t="s">
        <v>33</v>
      </c>
      <c r="J115" s="9" t="s">
        <v>34</v>
      </c>
      <c r="K115" s="9" t="s">
        <v>30</v>
      </c>
      <c r="L115" s="9" t="s">
        <v>31</v>
      </c>
      <c r="M115" s="0" t="s">
        <v>32</v>
      </c>
      <c r="N115" s="0" t="n">
        <v>1533</v>
      </c>
      <c r="O115" s="10" t="n">
        <v>0.464984237914905</v>
      </c>
      <c r="P115" s="10" t="n">
        <v>0.831597982207313</v>
      </c>
      <c r="Q115" s="0" t="str">
        <f aca="false">SUBSTITUTE(SUBSTITUTE($I115,CHAR(61),""),CHAR(34),"")</f>
        <v>01-09</v>
      </c>
      <c r="R115" s="0" t="str">
        <f aca="false">IF($D115&lt;&gt;"","["&amp;$E115&amp;"]"&amp;"|"&amp;$Q115&amp;"|"&amp;$K115&amp;"|"&amp;$G115&amp;"|"&amp;IF($G115="TX_CURR_SUBNAT.R","CY2022Q4",$M115),"")</f>
        <v>[TYnMSwzko3z]|01-09|Female|TX_CURR_SUBNAT.R|CY2022Q4</v>
      </c>
    </row>
    <row r="116" customFormat="false" ht="15" hidden="false" customHeight="false" outlineLevel="0" collapsed="false">
      <c r="A116" s="4"/>
      <c r="B116" s="4"/>
      <c r="C116" s="4"/>
      <c r="D116" s="9" t="s">
        <v>78</v>
      </c>
      <c r="E116" s="9" t="s">
        <v>79</v>
      </c>
      <c r="F116" s="9" t="s">
        <v>80</v>
      </c>
      <c r="G116" s="9" t="s">
        <v>26</v>
      </c>
      <c r="H116" s="9" t="s">
        <v>27</v>
      </c>
      <c r="I116" s="0" t="s">
        <v>36</v>
      </c>
      <c r="J116" s="9" t="s">
        <v>37</v>
      </c>
      <c r="K116" s="9" t="s">
        <v>30</v>
      </c>
      <c r="L116" s="9" t="s">
        <v>31</v>
      </c>
      <c r="M116" s="0" t="s">
        <v>32</v>
      </c>
      <c r="N116" s="0" t="n">
        <v>1335</v>
      </c>
      <c r="O116" s="10" t="n">
        <v>0.897962791379541</v>
      </c>
      <c r="P116" s="10" t="n">
        <v>0.831597982207313</v>
      </c>
      <c r="Q116" s="0" t="str">
        <f aca="false">SUBSTITUTE(SUBSTITUTE($I116,CHAR(61),""),CHAR(34),"")</f>
        <v>10-14</v>
      </c>
      <c r="R116" s="0" t="str">
        <f aca="false">IF($D116&lt;&gt;"","["&amp;$E116&amp;"]"&amp;"|"&amp;$Q116&amp;"|"&amp;$K116&amp;"|"&amp;$G116&amp;"|"&amp;IF($G116="TX_CURR_SUBNAT.R","CY2022Q4",$M116),"")</f>
        <v>[TYnMSwzko3z]|10-14|Female|TX_CURR_SUBNAT.R|CY2022Q4</v>
      </c>
    </row>
    <row r="117" customFormat="false" ht="15" hidden="false" customHeight="false" outlineLevel="0" collapsed="false">
      <c r="A117" s="4"/>
      <c r="B117" s="4"/>
      <c r="C117" s="4"/>
      <c r="D117" s="9" t="s">
        <v>78</v>
      </c>
      <c r="E117" s="9" t="s">
        <v>79</v>
      </c>
      <c r="F117" s="9" t="s">
        <v>80</v>
      </c>
      <c r="G117" s="9" t="s">
        <v>26</v>
      </c>
      <c r="H117" s="9" t="s">
        <v>27</v>
      </c>
      <c r="I117" s="0" t="s">
        <v>38</v>
      </c>
      <c r="J117" s="9" t="s">
        <v>39</v>
      </c>
      <c r="K117" s="9" t="s">
        <v>30</v>
      </c>
      <c r="L117" s="9" t="s">
        <v>31</v>
      </c>
      <c r="M117" s="0" t="s">
        <v>32</v>
      </c>
      <c r="N117" s="0" t="n">
        <v>1244</v>
      </c>
      <c r="O117" s="10" t="n">
        <v>0.581385681638494</v>
      </c>
      <c r="P117" s="10" t="n">
        <v>0.831597982207313</v>
      </c>
      <c r="Q117" s="0" t="str">
        <f aca="false">SUBSTITUTE(SUBSTITUTE($I117,CHAR(61),""),CHAR(34),"")</f>
        <v>15-24</v>
      </c>
      <c r="R117" s="0" t="str">
        <f aca="false">IF($D117&lt;&gt;"","["&amp;$E117&amp;"]"&amp;"|"&amp;$Q117&amp;"|"&amp;$K117&amp;"|"&amp;$G117&amp;"|"&amp;IF($G117="TX_CURR_SUBNAT.R","CY2022Q4",$M117),"")</f>
        <v>[TYnMSwzko3z]|15-24|Female|TX_CURR_SUBNAT.R|CY2022Q4</v>
      </c>
    </row>
    <row r="118" customFormat="false" ht="15" hidden="false" customHeight="false" outlineLevel="0" collapsed="false">
      <c r="A118" s="4"/>
      <c r="B118" s="4"/>
      <c r="C118" s="4"/>
      <c r="D118" s="9" t="s">
        <v>78</v>
      </c>
      <c r="E118" s="9" t="s">
        <v>79</v>
      </c>
      <c r="F118" s="9" t="s">
        <v>80</v>
      </c>
      <c r="G118" s="9" t="s">
        <v>26</v>
      </c>
      <c r="H118" s="9" t="s">
        <v>27</v>
      </c>
      <c r="I118" s="0" t="s">
        <v>41</v>
      </c>
      <c r="J118" s="9" t="s">
        <v>42</v>
      </c>
      <c r="K118" s="9" t="s">
        <v>30</v>
      </c>
      <c r="L118" s="9" t="s">
        <v>31</v>
      </c>
      <c r="M118" s="0" t="s">
        <v>32</v>
      </c>
      <c r="N118" s="0" t="n">
        <v>1585</v>
      </c>
      <c r="O118" s="10" t="n">
        <v>0.185930749867111</v>
      </c>
      <c r="P118" s="10" t="n">
        <v>0.831597982207313</v>
      </c>
      <c r="Q118" s="0" t="str">
        <f aca="false">SUBSTITUTE(SUBSTITUTE($I118,CHAR(61),""),CHAR(34),"")</f>
        <v>25-34</v>
      </c>
      <c r="R118" s="0" t="str">
        <f aca="false">IF($D118&lt;&gt;"","["&amp;$E118&amp;"]"&amp;"|"&amp;$Q118&amp;"|"&amp;$K118&amp;"|"&amp;$G118&amp;"|"&amp;IF($G118="TX_CURR_SUBNAT.R","CY2022Q4",$M118),"")</f>
        <v>[TYnMSwzko3z]|25-34|Female|TX_CURR_SUBNAT.R|CY2022Q4</v>
      </c>
    </row>
    <row r="119" customFormat="false" ht="15" hidden="false" customHeight="false" outlineLevel="0" collapsed="false">
      <c r="A119" s="4"/>
      <c r="B119" s="4"/>
      <c r="C119" s="4"/>
      <c r="D119" s="9" t="s">
        <v>78</v>
      </c>
      <c r="E119" s="9" t="s">
        <v>79</v>
      </c>
      <c r="F119" s="9" t="s">
        <v>80</v>
      </c>
      <c r="G119" s="9" t="s">
        <v>26</v>
      </c>
      <c r="H119" s="9" t="s">
        <v>27</v>
      </c>
      <c r="I119" s="0" t="s">
        <v>43</v>
      </c>
      <c r="J119" s="9" t="s">
        <v>44</v>
      </c>
      <c r="K119" s="9" t="s">
        <v>30</v>
      </c>
      <c r="L119" s="9" t="s">
        <v>31</v>
      </c>
      <c r="M119" s="0" t="s">
        <v>32</v>
      </c>
      <c r="N119" s="0" t="n">
        <v>1751</v>
      </c>
      <c r="O119" s="10" t="n">
        <v>0.623881194740534</v>
      </c>
      <c r="P119" s="10" t="n">
        <v>0.831597982207313</v>
      </c>
      <c r="Q119" s="0" t="str">
        <f aca="false">SUBSTITUTE(SUBSTITUTE($I119,CHAR(61),""),CHAR(34),"")</f>
        <v>35-49</v>
      </c>
      <c r="R119" s="0" t="str">
        <f aca="false">IF($D119&lt;&gt;"","["&amp;$E119&amp;"]"&amp;"|"&amp;$Q119&amp;"|"&amp;$K119&amp;"|"&amp;$G119&amp;"|"&amp;IF($G119="TX_CURR_SUBNAT.R","CY2022Q4",$M119),"")</f>
        <v>[TYnMSwzko3z]|35-49|Female|TX_CURR_SUBNAT.R|CY2022Q4</v>
      </c>
    </row>
    <row r="120" customFormat="false" ht="15" hidden="false" customHeight="false" outlineLevel="0" collapsed="false">
      <c r="A120" s="4"/>
      <c r="B120" s="4"/>
      <c r="C120" s="4"/>
      <c r="D120" s="9" t="s">
        <v>78</v>
      </c>
      <c r="E120" s="9" t="s">
        <v>79</v>
      </c>
      <c r="F120" s="9" t="s">
        <v>80</v>
      </c>
      <c r="G120" s="9" t="s">
        <v>26</v>
      </c>
      <c r="H120" s="9" t="s">
        <v>27</v>
      </c>
      <c r="I120" s="0" t="s">
        <v>45</v>
      </c>
      <c r="J120" s="9" t="s">
        <v>46</v>
      </c>
      <c r="K120" s="9" t="s">
        <v>30</v>
      </c>
      <c r="L120" s="9" t="s">
        <v>31</v>
      </c>
      <c r="M120" s="0" t="s">
        <v>32</v>
      </c>
      <c r="N120" s="0" t="n">
        <v>801</v>
      </c>
      <c r="O120" s="10" t="n">
        <v>0.67326861480251</v>
      </c>
      <c r="P120" s="10" t="n">
        <v>0.831597982207313</v>
      </c>
      <c r="Q120" s="0" t="str">
        <f aca="false">SUBSTITUTE(SUBSTITUTE($I120,CHAR(61),""),CHAR(34),"")</f>
        <v>50+</v>
      </c>
      <c r="R120" s="0" t="str">
        <f aca="false">IF($D120&lt;&gt;"","["&amp;$E120&amp;"]"&amp;"|"&amp;$Q120&amp;"|"&amp;$K120&amp;"|"&amp;$G120&amp;"|"&amp;IF($G120="TX_CURR_SUBNAT.R","CY2022Q4",$M120),"")</f>
        <v>[TYnMSwzko3z]|50+|Female|TX_CURR_SUBNAT.R|CY2022Q4</v>
      </c>
    </row>
    <row r="121" customFormat="false" ht="15" hidden="false" customHeight="false" outlineLevel="0" collapsed="false">
      <c r="A121" s="4"/>
      <c r="B121" s="4"/>
      <c r="C121" s="4"/>
      <c r="D121" s="9" t="s">
        <v>78</v>
      </c>
      <c r="E121" s="9" t="s">
        <v>79</v>
      </c>
      <c r="F121" s="9" t="s">
        <v>80</v>
      </c>
      <c r="G121" s="9" t="s">
        <v>26</v>
      </c>
      <c r="H121" s="9" t="s">
        <v>27</v>
      </c>
      <c r="I121" s="0" t="s">
        <v>28</v>
      </c>
      <c r="J121" s="9" t="s">
        <v>29</v>
      </c>
      <c r="K121" s="9" t="s">
        <v>48</v>
      </c>
      <c r="L121" s="9" t="s">
        <v>49</v>
      </c>
      <c r="M121" s="0" t="s">
        <v>32</v>
      </c>
      <c r="N121" s="0" t="n">
        <v>694</v>
      </c>
      <c r="O121" s="10" t="n">
        <v>0.587485324358568</v>
      </c>
      <c r="P121" s="10" t="n">
        <v>0.831597982207313</v>
      </c>
      <c r="Q121" s="0" t="str">
        <f aca="false">SUBSTITUTE(SUBSTITUTE($I121,CHAR(61),""),CHAR(34),"")</f>
        <v>&lt;01</v>
      </c>
      <c r="R121" s="0" t="str">
        <f aca="false">IF($D121&lt;&gt;"","["&amp;$E121&amp;"]"&amp;"|"&amp;$Q121&amp;"|"&amp;$K121&amp;"|"&amp;$G121&amp;"|"&amp;IF($G121="TX_CURR_SUBNAT.R","CY2022Q4",$M121),"")</f>
        <v>[TYnMSwzko3z]|&lt;01|Male|TX_CURR_SUBNAT.R|CY2022Q4</v>
      </c>
    </row>
    <row r="122" customFormat="false" ht="15" hidden="false" customHeight="false" outlineLevel="0" collapsed="false">
      <c r="A122" s="4"/>
      <c r="B122" s="4"/>
      <c r="C122" s="4"/>
      <c r="D122" s="9" t="s">
        <v>78</v>
      </c>
      <c r="E122" s="9" t="s">
        <v>79</v>
      </c>
      <c r="F122" s="9" t="s">
        <v>80</v>
      </c>
      <c r="G122" s="9" t="s">
        <v>26</v>
      </c>
      <c r="H122" s="9" t="s">
        <v>27</v>
      </c>
      <c r="I122" s="0" t="s">
        <v>33</v>
      </c>
      <c r="J122" s="9" t="s">
        <v>34</v>
      </c>
      <c r="K122" s="9" t="s">
        <v>48</v>
      </c>
      <c r="L122" s="9" t="s">
        <v>49</v>
      </c>
      <c r="M122" s="0" t="s">
        <v>32</v>
      </c>
      <c r="N122" s="0" t="n">
        <v>1290</v>
      </c>
      <c r="O122" s="10" t="n">
        <v>0.0998761930968612</v>
      </c>
      <c r="P122" s="10" t="n">
        <v>0.831597982207313</v>
      </c>
      <c r="Q122" s="0" t="str">
        <f aca="false">SUBSTITUTE(SUBSTITUTE($I122,CHAR(61),""),CHAR(34),"")</f>
        <v>01-09</v>
      </c>
      <c r="R122" s="0" t="str">
        <f aca="false">IF($D122&lt;&gt;"","["&amp;$E122&amp;"]"&amp;"|"&amp;$Q122&amp;"|"&amp;$K122&amp;"|"&amp;$G122&amp;"|"&amp;IF($G122="TX_CURR_SUBNAT.R","CY2022Q4",$M122),"")</f>
        <v>[TYnMSwzko3z]|01-09|Male|TX_CURR_SUBNAT.R|CY2022Q4</v>
      </c>
    </row>
    <row r="123" customFormat="false" ht="15" hidden="false" customHeight="false" outlineLevel="0" collapsed="false">
      <c r="A123" s="4"/>
      <c r="B123" s="4"/>
      <c r="C123" s="4"/>
      <c r="D123" s="9" t="s">
        <v>78</v>
      </c>
      <c r="E123" s="9" t="s">
        <v>79</v>
      </c>
      <c r="F123" s="9" t="s">
        <v>80</v>
      </c>
      <c r="G123" s="9" t="s">
        <v>26</v>
      </c>
      <c r="H123" s="9" t="s">
        <v>27</v>
      </c>
      <c r="I123" s="0" t="s">
        <v>36</v>
      </c>
      <c r="J123" s="9" t="s">
        <v>37</v>
      </c>
      <c r="K123" s="9" t="s">
        <v>48</v>
      </c>
      <c r="L123" s="9" t="s">
        <v>49</v>
      </c>
      <c r="M123" s="0" t="s">
        <v>32</v>
      </c>
      <c r="N123" s="0" t="n">
        <v>1844</v>
      </c>
      <c r="O123" s="10" t="n">
        <v>0.96810941840522</v>
      </c>
      <c r="P123" s="10" t="n">
        <v>0.831597982207313</v>
      </c>
      <c r="Q123" s="0" t="str">
        <f aca="false">SUBSTITUTE(SUBSTITUTE($I123,CHAR(61),""),CHAR(34),"")</f>
        <v>10-14</v>
      </c>
      <c r="R123" s="0" t="str">
        <f aca="false">IF($D123&lt;&gt;"","["&amp;$E123&amp;"]"&amp;"|"&amp;$Q123&amp;"|"&amp;$K123&amp;"|"&amp;$G123&amp;"|"&amp;IF($G123="TX_CURR_SUBNAT.R","CY2022Q4",$M123),"")</f>
        <v>[TYnMSwzko3z]|10-14|Male|TX_CURR_SUBNAT.R|CY2022Q4</v>
      </c>
    </row>
    <row r="124" customFormat="false" ht="15" hidden="false" customHeight="false" outlineLevel="0" collapsed="false">
      <c r="A124" s="4"/>
      <c r="B124" s="4"/>
      <c r="C124" s="4"/>
      <c r="D124" s="9" t="s">
        <v>78</v>
      </c>
      <c r="E124" s="9" t="s">
        <v>79</v>
      </c>
      <c r="F124" s="9" t="s">
        <v>80</v>
      </c>
      <c r="G124" s="9" t="s">
        <v>26</v>
      </c>
      <c r="H124" s="9" t="s">
        <v>27</v>
      </c>
      <c r="I124" s="0" t="s">
        <v>38</v>
      </c>
      <c r="J124" s="9" t="s">
        <v>39</v>
      </c>
      <c r="K124" s="9" t="s">
        <v>48</v>
      </c>
      <c r="L124" s="9" t="s">
        <v>49</v>
      </c>
      <c r="M124" s="0" t="s">
        <v>32</v>
      </c>
      <c r="N124" s="0" t="n">
        <v>532</v>
      </c>
      <c r="O124" s="10" t="n">
        <v>0.22497465251945</v>
      </c>
      <c r="P124" s="10" t="n">
        <v>0.831597982207313</v>
      </c>
      <c r="Q124" s="0" t="str">
        <f aca="false">SUBSTITUTE(SUBSTITUTE($I124,CHAR(61),""),CHAR(34),"")</f>
        <v>15-24</v>
      </c>
      <c r="R124" s="0" t="str">
        <f aca="false">IF($D124&lt;&gt;"","["&amp;$E124&amp;"]"&amp;"|"&amp;$Q124&amp;"|"&amp;$K124&amp;"|"&amp;$G124&amp;"|"&amp;IF($G124="TX_CURR_SUBNAT.R","CY2022Q4",$M124),"")</f>
        <v>[TYnMSwzko3z]|15-24|Male|TX_CURR_SUBNAT.R|CY2022Q4</v>
      </c>
    </row>
    <row r="125" customFormat="false" ht="15" hidden="false" customHeight="false" outlineLevel="0" collapsed="false">
      <c r="A125" s="4"/>
      <c r="B125" s="4"/>
      <c r="C125" s="4"/>
      <c r="D125" s="9" t="s">
        <v>78</v>
      </c>
      <c r="E125" s="9" t="s">
        <v>79</v>
      </c>
      <c r="F125" s="9" t="s">
        <v>80</v>
      </c>
      <c r="G125" s="9" t="s">
        <v>26</v>
      </c>
      <c r="H125" s="9" t="s">
        <v>27</v>
      </c>
      <c r="I125" s="0" t="s">
        <v>41</v>
      </c>
      <c r="J125" s="9" t="s">
        <v>42</v>
      </c>
      <c r="K125" s="9" t="s">
        <v>48</v>
      </c>
      <c r="L125" s="9" t="s">
        <v>49</v>
      </c>
      <c r="M125" s="0" t="s">
        <v>32</v>
      </c>
      <c r="N125" s="0" t="n">
        <v>1653</v>
      </c>
      <c r="O125" s="10" t="n">
        <v>0.242950801504776</v>
      </c>
      <c r="P125" s="10" t="n">
        <v>0.831597982207313</v>
      </c>
      <c r="Q125" s="0" t="str">
        <f aca="false">SUBSTITUTE(SUBSTITUTE($I125,CHAR(61),""),CHAR(34),"")</f>
        <v>25-34</v>
      </c>
      <c r="R125" s="0" t="str">
        <f aca="false">IF($D125&lt;&gt;"","["&amp;$E125&amp;"]"&amp;"|"&amp;$Q125&amp;"|"&amp;$K125&amp;"|"&amp;$G125&amp;"|"&amp;IF($G125="TX_CURR_SUBNAT.R","CY2022Q4",$M125),"")</f>
        <v>[TYnMSwzko3z]|25-34|Male|TX_CURR_SUBNAT.R|CY2022Q4</v>
      </c>
    </row>
    <row r="126" customFormat="false" ht="15" hidden="false" customHeight="false" outlineLevel="0" collapsed="false">
      <c r="A126" s="4"/>
      <c r="B126" s="4"/>
      <c r="C126" s="4"/>
      <c r="D126" s="9" t="s">
        <v>78</v>
      </c>
      <c r="E126" s="9" t="s">
        <v>79</v>
      </c>
      <c r="F126" s="9" t="s">
        <v>80</v>
      </c>
      <c r="G126" s="9" t="s">
        <v>26</v>
      </c>
      <c r="H126" s="9" t="s">
        <v>27</v>
      </c>
      <c r="I126" s="0" t="s">
        <v>43</v>
      </c>
      <c r="J126" s="9" t="s">
        <v>44</v>
      </c>
      <c r="K126" s="9" t="s">
        <v>48</v>
      </c>
      <c r="L126" s="9" t="s">
        <v>49</v>
      </c>
      <c r="M126" s="0" t="s">
        <v>32</v>
      </c>
      <c r="N126" s="0" t="n">
        <v>1530</v>
      </c>
      <c r="O126" s="10" t="n">
        <v>0.191218902356923</v>
      </c>
      <c r="P126" s="10" t="n">
        <v>0.831597982207313</v>
      </c>
      <c r="Q126" s="0" t="str">
        <f aca="false">SUBSTITUTE(SUBSTITUTE($I126,CHAR(61),""),CHAR(34),"")</f>
        <v>35-49</v>
      </c>
      <c r="R126" s="0" t="str">
        <f aca="false">IF($D126&lt;&gt;"","["&amp;$E126&amp;"]"&amp;"|"&amp;$Q126&amp;"|"&amp;$K126&amp;"|"&amp;$G126&amp;"|"&amp;IF($G126="TX_CURR_SUBNAT.R","CY2022Q4",$M126),"")</f>
        <v>[TYnMSwzko3z]|35-49|Male|TX_CURR_SUBNAT.R|CY2022Q4</v>
      </c>
    </row>
    <row r="127" customFormat="false" ht="15" hidden="false" customHeight="false" outlineLevel="0" collapsed="false">
      <c r="A127" s="4"/>
      <c r="B127" s="4"/>
      <c r="C127" s="4"/>
      <c r="D127" s="9" t="s">
        <v>78</v>
      </c>
      <c r="E127" s="9" t="s">
        <v>79</v>
      </c>
      <c r="F127" s="9" t="s">
        <v>80</v>
      </c>
      <c r="G127" s="9" t="s">
        <v>26</v>
      </c>
      <c r="H127" s="9" t="s">
        <v>27</v>
      </c>
      <c r="I127" s="0" t="s">
        <v>45</v>
      </c>
      <c r="J127" s="9" t="s">
        <v>46</v>
      </c>
      <c r="K127" s="9" t="s">
        <v>48</v>
      </c>
      <c r="L127" s="9" t="s">
        <v>49</v>
      </c>
      <c r="M127" s="0" t="s">
        <v>32</v>
      </c>
      <c r="N127" s="0" t="n">
        <v>1764</v>
      </c>
      <c r="O127" s="10" t="n">
        <v>0.293779963394627</v>
      </c>
      <c r="P127" s="10" t="n">
        <v>0.831597982207313</v>
      </c>
      <c r="Q127" s="0" t="str">
        <f aca="false">SUBSTITUTE(SUBSTITUTE($I127,CHAR(61),""),CHAR(34),"")</f>
        <v>50+</v>
      </c>
      <c r="R127" s="0" t="str">
        <f aca="false">IF($D127&lt;&gt;"","["&amp;$E127&amp;"]"&amp;"|"&amp;$Q127&amp;"|"&amp;$K127&amp;"|"&amp;$G127&amp;"|"&amp;IF($G127="TX_CURR_SUBNAT.R","CY2022Q4",$M127),"")</f>
        <v>[TYnMSwzko3z]|50+|Male|TX_CURR_SUBNAT.R|CY2022Q4</v>
      </c>
    </row>
    <row r="128" customFormat="false" ht="15" hidden="false" customHeight="false" outlineLevel="0" collapsed="false">
      <c r="A128" s="4"/>
      <c r="B128" s="4"/>
      <c r="C128" s="4"/>
      <c r="D128" s="9" t="s">
        <v>81</v>
      </c>
      <c r="E128" s="9" t="s">
        <v>82</v>
      </c>
      <c r="F128" s="9" t="s">
        <v>83</v>
      </c>
      <c r="G128" s="9" t="s">
        <v>26</v>
      </c>
      <c r="H128" s="9" t="s">
        <v>27</v>
      </c>
      <c r="I128" s="0" t="s">
        <v>28</v>
      </c>
      <c r="J128" s="9" t="s">
        <v>29</v>
      </c>
      <c r="K128" s="9" t="s">
        <v>30</v>
      </c>
      <c r="L128" s="9" t="s">
        <v>31</v>
      </c>
      <c r="M128" s="0" t="s">
        <v>32</v>
      </c>
      <c r="N128" s="0" t="n">
        <v>950</v>
      </c>
      <c r="O128" s="10" t="n">
        <v>0.404595738742501</v>
      </c>
      <c r="P128" s="10" t="n">
        <v>0.143331421539187</v>
      </c>
      <c r="Q128" s="0" t="str">
        <f aca="false">SUBSTITUTE(SUBSTITUTE($I128,CHAR(61),""),CHAR(34),"")</f>
        <v>&lt;01</v>
      </c>
      <c r="R128" s="0" t="str">
        <f aca="false">IF($D128&lt;&gt;"","["&amp;$E128&amp;"]"&amp;"|"&amp;$Q128&amp;"|"&amp;$K128&amp;"|"&amp;$G128&amp;"|"&amp;IF($G128="TX_CURR_SUBNAT.R","CY2022Q4",$M128),"")</f>
        <v>[ir8wuHHzoSs]|&lt;01|Female|TX_CURR_SUBNAT.R|CY2022Q4</v>
      </c>
    </row>
    <row r="129" customFormat="false" ht="15" hidden="false" customHeight="false" outlineLevel="0" collapsed="false">
      <c r="A129" s="4"/>
      <c r="B129" s="4"/>
      <c r="C129" s="4"/>
      <c r="D129" s="9" t="s">
        <v>81</v>
      </c>
      <c r="E129" s="9" t="s">
        <v>82</v>
      </c>
      <c r="F129" s="9" t="s">
        <v>83</v>
      </c>
      <c r="G129" s="9" t="s">
        <v>26</v>
      </c>
      <c r="H129" s="9" t="s">
        <v>27</v>
      </c>
      <c r="I129" s="0" t="s">
        <v>33</v>
      </c>
      <c r="J129" s="9" t="s">
        <v>34</v>
      </c>
      <c r="K129" s="9" t="s">
        <v>30</v>
      </c>
      <c r="L129" s="9" t="s">
        <v>31</v>
      </c>
      <c r="M129" s="0" t="s">
        <v>32</v>
      </c>
      <c r="N129" s="0" t="n">
        <v>1811</v>
      </c>
      <c r="O129" s="10" t="n">
        <v>0.381432022666559</v>
      </c>
      <c r="P129" s="10" t="n">
        <v>0.143331421539187</v>
      </c>
      <c r="Q129" s="0" t="str">
        <f aca="false">SUBSTITUTE(SUBSTITUTE($I129,CHAR(61),""),CHAR(34),"")</f>
        <v>01-09</v>
      </c>
      <c r="R129" s="0" t="str">
        <f aca="false">IF($D129&lt;&gt;"","["&amp;$E129&amp;"]"&amp;"|"&amp;$Q129&amp;"|"&amp;$K129&amp;"|"&amp;$G129&amp;"|"&amp;IF($G129="TX_CURR_SUBNAT.R","CY2022Q4",$M129),"")</f>
        <v>[ir8wuHHzoSs]|01-09|Female|TX_CURR_SUBNAT.R|CY2022Q4</v>
      </c>
    </row>
    <row r="130" customFormat="false" ht="15" hidden="false" customHeight="false" outlineLevel="0" collapsed="false">
      <c r="A130" s="4"/>
      <c r="B130" s="4"/>
      <c r="C130" s="4"/>
      <c r="D130" s="9" t="s">
        <v>81</v>
      </c>
      <c r="E130" s="9" t="s">
        <v>82</v>
      </c>
      <c r="F130" s="9" t="s">
        <v>83</v>
      </c>
      <c r="G130" s="9" t="s">
        <v>26</v>
      </c>
      <c r="H130" s="9" t="s">
        <v>27</v>
      </c>
      <c r="I130" s="0" t="s">
        <v>36</v>
      </c>
      <c r="J130" s="9" t="s">
        <v>37</v>
      </c>
      <c r="K130" s="9" t="s">
        <v>30</v>
      </c>
      <c r="L130" s="9" t="s">
        <v>31</v>
      </c>
      <c r="M130" s="0" t="s">
        <v>32</v>
      </c>
      <c r="N130" s="0" t="n">
        <v>867</v>
      </c>
      <c r="O130" s="10" t="n">
        <v>0.711578877875581</v>
      </c>
      <c r="P130" s="10" t="n">
        <v>0.143331421539187</v>
      </c>
      <c r="Q130" s="0" t="str">
        <f aca="false">SUBSTITUTE(SUBSTITUTE($I130,CHAR(61),""),CHAR(34),"")</f>
        <v>10-14</v>
      </c>
      <c r="R130" s="0" t="str">
        <f aca="false">IF($D130&lt;&gt;"","["&amp;$E130&amp;"]"&amp;"|"&amp;$Q130&amp;"|"&amp;$K130&amp;"|"&amp;$G130&amp;"|"&amp;IF($G130="TX_CURR_SUBNAT.R","CY2022Q4",$M130),"")</f>
        <v>[ir8wuHHzoSs]|10-14|Female|TX_CURR_SUBNAT.R|CY2022Q4</v>
      </c>
    </row>
    <row r="131" customFormat="false" ht="15" hidden="false" customHeight="false" outlineLevel="0" collapsed="false">
      <c r="A131" s="4"/>
      <c r="B131" s="4"/>
      <c r="C131" s="4"/>
      <c r="D131" s="9" t="s">
        <v>81</v>
      </c>
      <c r="E131" s="9" t="s">
        <v>82</v>
      </c>
      <c r="F131" s="9" t="s">
        <v>83</v>
      </c>
      <c r="G131" s="9" t="s">
        <v>26</v>
      </c>
      <c r="H131" s="9" t="s">
        <v>27</v>
      </c>
      <c r="I131" s="0" t="s">
        <v>38</v>
      </c>
      <c r="J131" s="9" t="s">
        <v>39</v>
      </c>
      <c r="K131" s="9" t="s">
        <v>30</v>
      </c>
      <c r="L131" s="9" t="s">
        <v>31</v>
      </c>
      <c r="M131" s="0" t="s">
        <v>32</v>
      </c>
      <c r="N131" s="0" t="n">
        <v>928</v>
      </c>
      <c r="O131" s="10" t="n">
        <v>0.375052478630096</v>
      </c>
      <c r="P131" s="10" t="n">
        <v>0.143331421539187</v>
      </c>
      <c r="Q131" s="0" t="str">
        <f aca="false">SUBSTITUTE(SUBSTITUTE($I131,CHAR(61),""),CHAR(34),"")</f>
        <v>15-24</v>
      </c>
      <c r="R131" s="0" t="str">
        <f aca="false">IF($D131&lt;&gt;"","["&amp;$E131&amp;"]"&amp;"|"&amp;$Q131&amp;"|"&amp;$K131&amp;"|"&amp;$G131&amp;"|"&amp;IF($G131="TX_CURR_SUBNAT.R","CY2022Q4",$M131),"")</f>
        <v>[ir8wuHHzoSs]|15-24|Female|TX_CURR_SUBNAT.R|CY2022Q4</v>
      </c>
    </row>
    <row r="132" customFormat="false" ht="15" hidden="false" customHeight="false" outlineLevel="0" collapsed="false">
      <c r="A132" s="4"/>
      <c r="B132" s="4"/>
      <c r="C132" s="4"/>
      <c r="D132" s="9" t="s">
        <v>81</v>
      </c>
      <c r="E132" s="9" t="s">
        <v>82</v>
      </c>
      <c r="F132" s="9" t="s">
        <v>83</v>
      </c>
      <c r="G132" s="9" t="s">
        <v>26</v>
      </c>
      <c r="H132" s="9" t="s">
        <v>27</v>
      </c>
      <c r="I132" s="0" t="s">
        <v>41</v>
      </c>
      <c r="J132" s="9" t="s">
        <v>42</v>
      </c>
      <c r="K132" s="9" t="s">
        <v>30</v>
      </c>
      <c r="L132" s="9" t="s">
        <v>31</v>
      </c>
      <c r="M132" s="0" t="s">
        <v>32</v>
      </c>
      <c r="N132" s="0" t="n">
        <v>1866</v>
      </c>
      <c r="O132" s="10" t="n">
        <v>0.0109261444304138</v>
      </c>
      <c r="P132" s="10" t="n">
        <v>0.143331421539187</v>
      </c>
      <c r="Q132" s="0" t="str">
        <f aca="false">SUBSTITUTE(SUBSTITUTE($I132,CHAR(61),""),CHAR(34),"")</f>
        <v>25-34</v>
      </c>
      <c r="R132" s="0" t="str">
        <f aca="false">IF($D132&lt;&gt;"","["&amp;$E132&amp;"]"&amp;"|"&amp;$Q132&amp;"|"&amp;$K132&amp;"|"&amp;$G132&amp;"|"&amp;IF($G132="TX_CURR_SUBNAT.R","CY2022Q4",$M132),"")</f>
        <v>[ir8wuHHzoSs]|25-34|Female|TX_CURR_SUBNAT.R|CY2022Q4</v>
      </c>
    </row>
    <row r="133" customFormat="false" ht="15" hidden="false" customHeight="false" outlineLevel="0" collapsed="false">
      <c r="A133" s="4"/>
      <c r="B133" s="4"/>
      <c r="C133" s="4"/>
      <c r="D133" s="9" t="s">
        <v>81</v>
      </c>
      <c r="E133" s="9" t="s">
        <v>82</v>
      </c>
      <c r="F133" s="9" t="s">
        <v>83</v>
      </c>
      <c r="G133" s="9" t="s">
        <v>26</v>
      </c>
      <c r="H133" s="9" t="s">
        <v>27</v>
      </c>
      <c r="I133" s="0" t="s">
        <v>43</v>
      </c>
      <c r="J133" s="9" t="s">
        <v>44</v>
      </c>
      <c r="K133" s="9" t="s">
        <v>30</v>
      </c>
      <c r="L133" s="9" t="s">
        <v>31</v>
      </c>
      <c r="M133" s="0" t="s">
        <v>32</v>
      </c>
      <c r="N133" s="0" t="n">
        <v>784</v>
      </c>
      <c r="O133" s="10" t="n">
        <v>0.0944455543067306</v>
      </c>
      <c r="P133" s="10" t="n">
        <v>0.143331421539187</v>
      </c>
      <c r="Q133" s="0" t="str">
        <f aca="false">SUBSTITUTE(SUBSTITUTE($I133,CHAR(61),""),CHAR(34),"")</f>
        <v>35-49</v>
      </c>
      <c r="R133" s="0" t="str">
        <f aca="false">IF($D133&lt;&gt;"","["&amp;$E133&amp;"]"&amp;"|"&amp;$Q133&amp;"|"&amp;$K133&amp;"|"&amp;$G133&amp;"|"&amp;IF($G133="TX_CURR_SUBNAT.R","CY2022Q4",$M133),"")</f>
        <v>[ir8wuHHzoSs]|35-49|Female|TX_CURR_SUBNAT.R|CY2022Q4</v>
      </c>
    </row>
    <row r="134" customFormat="false" ht="15" hidden="false" customHeight="false" outlineLevel="0" collapsed="false">
      <c r="A134" s="4"/>
      <c r="B134" s="4"/>
      <c r="C134" s="4"/>
      <c r="D134" s="9" t="s">
        <v>81</v>
      </c>
      <c r="E134" s="9" t="s">
        <v>82</v>
      </c>
      <c r="F134" s="9" t="s">
        <v>83</v>
      </c>
      <c r="G134" s="9" t="s">
        <v>26</v>
      </c>
      <c r="H134" s="9" t="s">
        <v>27</v>
      </c>
      <c r="I134" s="0" t="s">
        <v>45</v>
      </c>
      <c r="J134" s="9" t="s">
        <v>46</v>
      </c>
      <c r="K134" s="9" t="s">
        <v>30</v>
      </c>
      <c r="L134" s="9" t="s">
        <v>31</v>
      </c>
      <c r="M134" s="0" t="s">
        <v>32</v>
      </c>
      <c r="N134" s="0" t="n">
        <v>937</v>
      </c>
      <c r="O134" s="10" t="n">
        <v>0.331683488562703</v>
      </c>
      <c r="P134" s="10" t="n">
        <v>0.143331421539187</v>
      </c>
      <c r="Q134" s="0" t="str">
        <f aca="false">SUBSTITUTE(SUBSTITUTE($I134,CHAR(61),""),CHAR(34),"")</f>
        <v>50+</v>
      </c>
      <c r="R134" s="0" t="str">
        <f aca="false">IF($D134&lt;&gt;"","["&amp;$E134&amp;"]"&amp;"|"&amp;$Q134&amp;"|"&amp;$K134&amp;"|"&amp;$G134&amp;"|"&amp;IF($G134="TX_CURR_SUBNAT.R","CY2022Q4",$M134),"")</f>
        <v>[ir8wuHHzoSs]|50+|Female|TX_CURR_SUBNAT.R|CY2022Q4</v>
      </c>
    </row>
    <row r="135" customFormat="false" ht="15" hidden="false" customHeight="false" outlineLevel="0" collapsed="false">
      <c r="A135" s="4"/>
      <c r="B135" s="4"/>
      <c r="C135" s="4"/>
      <c r="D135" s="9" t="s">
        <v>81</v>
      </c>
      <c r="E135" s="9" t="s">
        <v>82</v>
      </c>
      <c r="F135" s="9" t="s">
        <v>83</v>
      </c>
      <c r="G135" s="9" t="s">
        <v>26</v>
      </c>
      <c r="H135" s="9" t="s">
        <v>27</v>
      </c>
      <c r="I135" s="0" t="s">
        <v>28</v>
      </c>
      <c r="J135" s="9" t="s">
        <v>29</v>
      </c>
      <c r="K135" s="9" t="s">
        <v>48</v>
      </c>
      <c r="L135" s="9" t="s">
        <v>49</v>
      </c>
      <c r="M135" s="0" t="s">
        <v>32</v>
      </c>
      <c r="N135" s="0" t="n">
        <v>912</v>
      </c>
      <c r="O135" s="10" t="n">
        <v>0.297903547994792</v>
      </c>
      <c r="P135" s="10" t="n">
        <v>0.143331421539187</v>
      </c>
      <c r="Q135" s="0" t="str">
        <f aca="false">SUBSTITUTE(SUBSTITUTE($I135,CHAR(61),""),CHAR(34),"")</f>
        <v>&lt;01</v>
      </c>
      <c r="R135" s="0" t="str">
        <f aca="false">IF($D135&lt;&gt;"","["&amp;$E135&amp;"]"&amp;"|"&amp;$Q135&amp;"|"&amp;$K135&amp;"|"&amp;$G135&amp;"|"&amp;IF($G135="TX_CURR_SUBNAT.R","CY2022Q4",$M135),"")</f>
        <v>[ir8wuHHzoSs]|&lt;01|Male|TX_CURR_SUBNAT.R|CY2022Q4</v>
      </c>
    </row>
    <row r="136" customFormat="false" ht="15" hidden="false" customHeight="false" outlineLevel="0" collapsed="false">
      <c r="A136" s="4"/>
      <c r="B136" s="4"/>
      <c r="C136" s="4"/>
      <c r="D136" s="9" t="s">
        <v>81</v>
      </c>
      <c r="E136" s="9" t="s">
        <v>82</v>
      </c>
      <c r="F136" s="9" t="s">
        <v>83</v>
      </c>
      <c r="G136" s="9" t="s">
        <v>26</v>
      </c>
      <c r="H136" s="9" t="s">
        <v>27</v>
      </c>
      <c r="I136" s="0" t="s">
        <v>33</v>
      </c>
      <c r="J136" s="9" t="s">
        <v>34</v>
      </c>
      <c r="K136" s="9" t="s">
        <v>48</v>
      </c>
      <c r="L136" s="9" t="s">
        <v>49</v>
      </c>
      <c r="M136" s="0" t="s">
        <v>32</v>
      </c>
      <c r="N136" s="0" t="n">
        <v>943</v>
      </c>
      <c r="O136" s="10" t="n">
        <v>0.102209242992103</v>
      </c>
      <c r="P136" s="10" t="n">
        <v>0.143331421539187</v>
      </c>
      <c r="Q136" s="0" t="str">
        <f aca="false">SUBSTITUTE(SUBSTITUTE($I136,CHAR(61),""),CHAR(34),"")</f>
        <v>01-09</v>
      </c>
      <c r="R136" s="0" t="str">
        <f aca="false">IF($D136&lt;&gt;"","["&amp;$E136&amp;"]"&amp;"|"&amp;$Q136&amp;"|"&amp;$K136&amp;"|"&amp;$G136&amp;"|"&amp;IF($G136="TX_CURR_SUBNAT.R","CY2022Q4",$M136),"")</f>
        <v>[ir8wuHHzoSs]|01-09|Male|TX_CURR_SUBNAT.R|CY2022Q4</v>
      </c>
    </row>
    <row r="137" customFormat="false" ht="15" hidden="false" customHeight="false" outlineLevel="0" collapsed="false">
      <c r="A137" s="4"/>
      <c r="B137" s="4"/>
      <c r="C137" s="4"/>
      <c r="D137" s="9" t="s">
        <v>81</v>
      </c>
      <c r="E137" s="9" t="s">
        <v>82</v>
      </c>
      <c r="F137" s="9" t="s">
        <v>83</v>
      </c>
      <c r="G137" s="9" t="s">
        <v>26</v>
      </c>
      <c r="H137" s="9" t="s">
        <v>27</v>
      </c>
      <c r="I137" s="0" t="s">
        <v>36</v>
      </c>
      <c r="J137" s="9" t="s">
        <v>37</v>
      </c>
      <c r="K137" s="9" t="s">
        <v>48</v>
      </c>
      <c r="L137" s="9" t="s">
        <v>49</v>
      </c>
      <c r="M137" s="0" t="s">
        <v>32</v>
      </c>
      <c r="N137" s="0" t="n">
        <v>1588</v>
      </c>
      <c r="O137" s="10" t="n">
        <v>0.525895205093548</v>
      </c>
      <c r="P137" s="10" t="n">
        <v>0.143331421539187</v>
      </c>
      <c r="Q137" s="0" t="str">
        <f aca="false">SUBSTITUTE(SUBSTITUTE($I137,CHAR(61),""),CHAR(34),"")</f>
        <v>10-14</v>
      </c>
      <c r="R137" s="0" t="str">
        <f aca="false">IF($D137&lt;&gt;"","["&amp;$E137&amp;"]"&amp;"|"&amp;$Q137&amp;"|"&amp;$K137&amp;"|"&amp;$G137&amp;"|"&amp;IF($G137="TX_CURR_SUBNAT.R","CY2022Q4",$M137),"")</f>
        <v>[ir8wuHHzoSs]|10-14|Male|TX_CURR_SUBNAT.R|CY2022Q4</v>
      </c>
    </row>
    <row r="138" customFormat="false" ht="15" hidden="false" customHeight="false" outlineLevel="0" collapsed="false">
      <c r="A138" s="4"/>
      <c r="B138" s="4"/>
      <c r="C138" s="4"/>
      <c r="D138" s="9" t="s">
        <v>81</v>
      </c>
      <c r="E138" s="9" t="s">
        <v>82</v>
      </c>
      <c r="F138" s="9" t="s">
        <v>83</v>
      </c>
      <c r="G138" s="9" t="s">
        <v>26</v>
      </c>
      <c r="H138" s="9" t="s">
        <v>27</v>
      </c>
      <c r="I138" s="0" t="s">
        <v>38</v>
      </c>
      <c r="J138" s="9" t="s">
        <v>39</v>
      </c>
      <c r="K138" s="9" t="s">
        <v>48</v>
      </c>
      <c r="L138" s="9" t="s">
        <v>49</v>
      </c>
      <c r="M138" s="0" t="s">
        <v>32</v>
      </c>
      <c r="N138" s="0" t="n">
        <v>1773</v>
      </c>
      <c r="O138" s="10" t="n">
        <v>0.145870153559372</v>
      </c>
      <c r="P138" s="10" t="n">
        <v>0.143331421539187</v>
      </c>
      <c r="Q138" s="0" t="str">
        <f aca="false">SUBSTITUTE(SUBSTITUTE($I138,CHAR(61),""),CHAR(34),"")</f>
        <v>15-24</v>
      </c>
      <c r="R138" s="0" t="str">
        <f aca="false">IF($D138&lt;&gt;"","["&amp;$E138&amp;"]"&amp;"|"&amp;$Q138&amp;"|"&amp;$K138&amp;"|"&amp;$G138&amp;"|"&amp;IF($G138="TX_CURR_SUBNAT.R","CY2022Q4",$M138),"")</f>
        <v>[ir8wuHHzoSs]|15-24|Male|TX_CURR_SUBNAT.R|CY2022Q4</v>
      </c>
    </row>
    <row r="139" customFormat="false" ht="15" hidden="false" customHeight="false" outlineLevel="0" collapsed="false">
      <c r="A139" s="4"/>
      <c r="B139" s="4"/>
      <c r="C139" s="4"/>
      <c r="D139" s="9" t="s">
        <v>81</v>
      </c>
      <c r="E139" s="9" t="s">
        <v>82</v>
      </c>
      <c r="F139" s="9" t="s">
        <v>83</v>
      </c>
      <c r="G139" s="9" t="s">
        <v>26</v>
      </c>
      <c r="H139" s="9" t="s">
        <v>27</v>
      </c>
      <c r="I139" s="0" t="s">
        <v>41</v>
      </c>
      <c r="J139" s="9" t="s">
        <v>42</v>
      </c>
      <c r="K139" s="9" t="s">
        <v>48</v>
      </c>
      <c r="L139" s="9" t="s">
        <v>49</v>
      </c>
      <c r="M139" s="0" t="s">
        <v>32</v>
      </c>
      <c r="N139" s="0" t="n">
        <v>1770</v>
      </c>
      <c r="O139" s="10" t="n">
        <v>0.225752728059888</v>
      </c>
      <c r="P139" s="10" t="n">
        <v>0.143331421539187</v>
      </c>
      <c r="Q139" s="0" t="str">
        <f aca="false">SUBSTITUTE(SUBSTITUTE($I139,CHAR(61),""),CHAR(34),"")</f>
        <v>25-34</v>
      </c>
      <c r="R139" s="0" t="str">
        <f aca="false">IF($D139&lt;&gt;"","["&amp;$E139&amp;"]"&amp;"|"&amp;$Q139&amp;"|"&amp;$K139&amp;"|"&amp;$G139&amp;"|"&amp;IF($G139="TX_CURR_SUBNAT.R","CY2022Q4",$M139),"")</f>
        <v>[ir8wuHHzoSs]|25-34|Male|TX_CURR_SUBNAT.R|CY2022Q4</v>
      </c>
    </row>
    <row r="140" customFormat="false" ht="15" hidden="false" customHeight="false" outlineLevel="0" collapsed="false">
      <c r="A140" s="4"/>
      <c r="B140" s="4"/>
      <c r="C140" s="4"/>
      <c r="D140" s="9" t="s">
        <v>81</v>
      </c>
      <c r="E140" s="9" t="s">
        <v>82</v>
      </c>
      <c r="F140" s="9" t="s">
        <v>83</v>
      </c>
      <c r="G140" s="9" t="s">
        <v>26</v>
      </c>
      <c r="H140" s="9" t="s">
        <v>27</v>
      </c>
      <c r="I140" s="0" t="s">
        <v>43</v>
      </c>
      <c r="J140" s="9" t="s">
        <v>44</v>
      </c>
      <c r="K140" s="9" t="s">
        <v>48</v>
      </c>
      <c r="L140" s="9" t="s">
        <v>49</v>
      </c>
      <c r="M140" s="0" t="s">
        <v>32</v>
      </c>
      <c r="N140" s="0" t="n">
        <v>1925</v>
      </c>
      <c r="O140" s="10" t="n">
        <v>0.665944262873381</v>
      </c>
      <c r="P140" s="10" t="n">
        <v>0.143331421539187</v>
      </c>
      <c r="Q140" s="0" t="str">
        <f aca="false">SUBSTITUTE(SUBSTITUTE($I140,CHAR(61),""),CHAR(34),"")</f>
        <v>35-49</v>
      </c>
      <c r="R140" s="0" t="str">
        <f aca="false">IF($D140&lt;&gt;"","["&amp;$E140&amp;"]"&amp;"|"&amp;$Q140&amp;"|"&amp;$K140&amp;"|"&amp;$G140&amp;"|"&amp;IF($G140="TX_CURR_SUBNAT.R","CY2022Q4",$M140),"")</f>
        <v>[ir8wuHHzoSs]|35-49|Male|TX_CURR_SUBNAT.R|CY2022Q4</v>
      </c>
    </row>
    <row r="141" customFormat="false" ht="15" hidden="false" customHeight="false" outlineLevel="0" collapsed="false">
      <c r="A141" s="4"/>
      <c r="B141" s="4"/>
      <c r="C141" s="4"/>
      <c r="D141" s="9" t="s">
        <v>81</v>
      </c>
      <c r="E141" s="9" t="s">
        <v>82</v>
      </c>
      <c r="F141" s="9" t="s">
        <v>83</v>
      </c>
      <c r="G141" s="9" t="s">
        <v>26</v>
      </c>
      <c r="H141" s="9" t="s">
        <v>27</v>
      </c>
      <c r="I141" s="0" t="s">
        <v>45</v>
      </c>
      <c r="J141" s="9" t="s">
        <v>46</v>
      </c>
      <c r="K141" s="9" t="s">
        <v>48</v>
      </c>
      <c r="L141" s="9" t="s">
        <v>49</v>
      </c>
      <c r="M141" s="0" t="s">
        <v>32</v>
      </c>
      <c r="N141" s="0" t="n">
        <v>789</v>
      </c>
      <c r="O141" s="10" t="n">
        <v>0.820933282375336</v>
      </c>
      <c r="P141" s="10" t="n">
        <v>0.143331421539187</v>
      </c>
      <c r="Q141" s="0" t="str">
        <f aca="false">SUBSTITUTE(SUBSTITUTE($I141,CHAR(61),""),CHAR(34),"")</f>
        <v>50+</v>
      </c>
      <c r="R141" s="0" t="str">
        <f aca="false">IF($D141&lt;&gt;"","["&amp;$E141&amp;"]"&amp;"|"&amp;$Q141&amp;"|"&amp;$K141&amp;"|"&amp;$G141&amp;"|"&amp;IF($G141="TX_CURR_SUBNAT.R","CY2022Q4",$M141),"")</f>
        <v>[ir8wuHHzoSs]|50+|Male|TX_CURR_SUBNAT.R|CY2022Q4</v>
      </c>
    </row>
    <row r="142" customFormat="false" ht="15" hidden="false" customHeight="false" outlineLevel="0" collapsed="false">
      <c r="A142" s="4"/>
      <c r="B142" s="4"/>
      <c r="C142" s="4"/>
      <c r="D142" s="9" t="s">
        <v>84</v>
      </c>
      <c r="E142" s="9" t="s">
        <v>85</v>
      </c>
      <c r="F142" s="9" t="s">
        <v>86</v>
      </c>
      <c r="G142" s="9" t="s">
        <v>26</v>
      </c>
      <c r="H142" s="9" t="s">
        <v>27</v>
      </c>
      <c r="I142" s="0" t="s">
        <v>28</v>
      </c>
      <c r="J142" s="9" t="s">
        <v>29</v>
      </c>
      <c r="K142" s="9" t="s">
        <v>30</v>
      </c>
      <c r="L142" s="9" t="s">
        <v>31</v>
      </c>
      <c r="M142" s="0" t="s">
        <v>32</v>
      </c>
      <c r="N142" s="0" t="n">
        <v>745</v>
      </c>
      <c r="O142" s="10" t="n">
        <v>0.735981118632481</v>
      </c>
      <c r="P142" s="10" t="n">
        <v>0.0297887143678963</v>
      </c>
      <c r="Q142" s="0" t="str">
        <f aca="false">SUBSTITUTE(SUBSTITUTE($I142,CHAR(61),""),CHAR(34),"")</f>
        <v>&lt;01</v>
      </c>
      <c r="R142" s="0" t="str">
        <f aca="false">IF($D142&lt;&gt;"","["&amp;$E142&amp;"]"&amp;"|"&amp;$Q142&amp;"|"&amp;$K142&amp;"|"&amp;$G142&amp;"|"&amp;IF($G142="TX_CURR_SUBNAT.R","CY2022Q4",$M142),"")</f>
        <v>[fyEoGEPERdI]|&lt;01|Female|TX_CURR_SUBNAT.R|CY2022Q4</v>
      </c>
    </row>
    <row r="143" customFormat="false" ht="15" hidden="false" customHeight="false" outlineLevel="0" collapsed="false">
      <c r="A143" s="4"/>
      <c r="B143" s="4"/>
      <c r="C143" s="4"/>
      <c r="D143" s="9" t="s">
        <v>84</v>
      </c>
      <c r="E143" s="9" t="s">
        <v>85</v>
      </c>
      <c r="F143" s="9" t="s">
        <v>86</v>
      </c>
      <c r="G143" s="9" t="s">
        <v>26</v>
      </c>
      <c r="H143" s="9" t="s">
        <v>27</v>
      </c>
      <c r="I143" s="0" t="s">
        <v>33</v>
      </c>
      <c r="J143" s="9" t="s">
        <v>34</v>
      </c>
      <c r="K143" s="9" t="s">
        <v>30</v>
      </c>
      <c r="L143" s="9" t="s">
        <v>31</v>
      </c>
      <c r="M143" s="0" t="s">
        <v>32</v>
      </c>
      <c r="N143" s="0" t="n">
        <v>950</v>
      </c>
      <c r="O143" s="10" t="n">
        <v>0.775794006884098</v>
      </c>
      <c r="P143" s="10" t="n">
        <v>0.0297887143678963</v>
      </c>
      <c r="Q143" s="0" t="str">
        <f aca="false">SUBSTITUTE(SUBSTITUTE($I143,CHAR(61),""),CHAR(34),"")</f>
        <v>01-09</v>
      </c>
      <c r="R143" s="0" t="str">
        <f aca="false">IF($D143&lt;&gt;"","["&amp;$E143&amp;"]"&amp;"|"&amp;$Q143&amp;"|"&amp;$K143&amp;"|"&amp;$G143&amp;"|"&amp;IF($G143="TX_CURR_SUBNAT.R","CY2022Q4",$M143),"")</f>
        <v>[fyEoGEPERdI]|01-09|Female|TX_CURR_SUBNAT.R|CY2022Q4</v>
      </c>
    </row>
    <row r="144" customFormat="false" ht="15" hidden="false" customHeight="false" outlineLevel="0" collapsed="false">
      <c r="A144" s="4"/>
      <c r="B144" s="4"/>
      <c r="C144" s="4"/>
      <c r="D144" s="9" t="s">
        <v>84</v>
      </c>
      <c r="E144" s="9" t="s">
        <v>85</v>
      </c>
      <c r="F144" s="9" t="s">
        <v>86</v>
      </c>
      <c r="G144" s="9" t="s">
        <v>26</v>
      </c>
      <c r="H144" s="9" t="s">
        <v>27</v>
      </c>
      <c r="I144" s="0" t="s">
        <v>36</v>
      </c>
      <c r="J144" s="9" t="s">
        <v>37</v>
      </c>
      <c r="K144" s="9" t="s">
        <v>30</v>
      </c>
      <c r="L144" s="9" t="s">
        <v>31</v>
      </c>
      <c r="M144" s="0" t="s">
        <v>32</v>
      </c>
      <c r="N144" s="0" t="n">
        <v>1804</v>
      </c>
      <c r="O144" s="10" t="n">
        <v>0.376396011328325</v>
      </c>
      <c r="P144" s="10" t="n">
        <v>0.0297887143678963</v>
      </c>
      <c r="Q144" s="0" t="str">
        <f aca="false">SUBSTITUTE(SUBSTITUTE($I144,CHAR(61),""),CHAR(34),"")</f>
        <v>10-14</v>
      </c>
      <c r="R144" s="0" t="str">
        <f aca="false">IF($D144&lt;&gt;"","["&amp;$E144&amp;"]"&amp;"|"&amp;$Q144&amp;"|"&amp;$K144&amp;"|"&amp;$G144&amp;"|"&amp;IF($G144="TX_CURR_SUBNAT.R","CY2022Q4",$M144),"")</f>
        <v>[fyEoGEPERdI]|10-14|Female|TX_CURR_SUBNAT.R|CY2022Q4</v>
      </c>
    </row>
    <row r="145" customFormat="false" ht="15" hidden="false" customHeight="false" outlineLevel="0" collapsed="false">
      <c r="A145" s="4"/>
      <c r="B145" s="4"/>
      <c r="C145" s="4"/>
      <c r="D145" s="9" t="s">
        <v>84</v>
      </c>
      <c r="E145" s="9" t="s">
        <v>85</v>
      </c>
      <c r="F145" s="9" t="s">
        <v>86</v>
      </c>
      <c r="G145" s="9" t="s">
        <v>26</v>
      </c>
      <c r="H145" s="9" t="s">
        <v>27</v>
      </c>
      <c r="I145" s="0" t="s">
        <v>38</v>
      </c>
      <c r="J145" s="9" t="s">
        <v>39</v>
      </c>
      <c r="K145" s="9" t="s">
        <v>30</v>
      </c>
      <c r="L145" s="9" t="s">
        <v>31</v>
      </c>
      <c r="M145" s="0" t="s">
        <v>32</v>
      </c>
      <c r="N145" s="0" t="n">
        <v>1098</v>
      </c>
      <c r="O145" s="10" t="n">
        <v>0.632113061845303</v>
      </c>
      <c r="P145" s="10" t="n">
        <v>0.0297887143678963</v>
      </c>
      <c r="Q145" s="0" t="str">
        <f aca="false">SUBSTITUTE(SUBSTITUTE($I145,CHAR(61),""),CHAR(34),"")</f>
        <v>15-24</v>
      </c>
      <c r="R145" s="0" t="str">
        <f aca="false">IF($D145&lt;&gt;"","["&amp;$E145&amp;"]"&amp;"|"&amp;$Q145&amp;"|"&amp;$K145&amp;"|"&amp;$G145&amp;"|"&amp;IF($G145="TX_CURR_SUBNAT.R","CY2022Q4",$M145),"")</f>
        <v>[fyEoGEPERdI]|15-24|Female|TX_CURR_SUBNAT.R|CY2022Q4</v>
      </c>
    </row>
    <row r="146" customFormat="false" ht="15" hidden="false" customHeight="false" outlineLevel="0" collapsed="false">
      <c r="A146" s="4"/>
      <c r="B146" s="4"/>
      <c r="C146" s="4"/>
      <c r="D146" s="9" t="s">
        <v>84</v>
      </c>
      <c r="E146" s="9" t="s">
        <v>85</v>
      </c>
      <c r="F146" s="9" t="s">
        <v>86</v>
      </c>
      <c r="G146" s="9" t="s">
        <v>26</v>
      </c>
      <c r="H146" s="9" t="s">
        <v>27</v>
      </c>
      <c r="I146" s="0" t="s">
        <v>41</v>
      </c>
      <c r="J146" s="9" t="s">
        <v>42</v>
      </c>
      <c r="K146" s="9" t="s">
        <v>30</v>
      </c>
      <c r="L146" s="9" t="s">
        <v>31</v>
      </c>
      <c r="M146" s="0" t="s">
        <v>32</v>
      </c>
      <c r="N146" s="0" t="n">
        <v>1564</v>
      </c>
      <c r="O146" s="10" t="n">
        <v>0.555897107115015</v>
      </c>
      <c r="P146" s="10" t="n">
        <v>0.0297887143678963</v>
      </c>
      <c r="Q146" s="0" t="str">
        <f aca="false">SUBSTITUTE(SUBSTITUTE($I146,CHAR(61),""),CHAR(34),"")</f>
        <v>25-34</v>
      </c>
      <c r="R146" s="0" t="str">
        <f aca="false">IF($D146&lt;&gt;"","["&amp;$E146&amp;"]"&amp;"|"&amp;$Q146&amp;"|"&amp;$K146&amp;"|"&amp;$G146&amp;"|"&amp;IF($G146="TX_CURR_SUBNAT.R","CY2022Q4",$M146),"")</f>
        <v>[fyEoGEPERdI]|25-34|Female|TX_CURR_SUBNAT.R|CY2022Q4</v>
      </c>
    </row>
    <row r="147" customFormat="false" ht="15" hidden="false" customHeight="false" outlineLevel="0" collapsed="false">
      <c r="A147" s="4"/>
      <c r="B147" s="4"/>
      <c r="C147" s="4"/>
      <c r="D147" s="9" t="s">
        <v>84</v>
      </c>
      <c r="E147" s="9" t="s">
        <v>85</v>
      </c>
      <c r="F147" s="9" t="s">
        <v>86</v>
      </c>
      <c r="G147" s="9" t="s">
        <v>26</v>
      </c>
      <c r="H147" s="9" t="s">
        <v>27</v>
      </c>
      <c r="I147" s="0" t="s">
        <v>43</v>
      </c>
      <c r="J147" s="9" t="s">
        <v>44</v>
      </c>
      <c r="K147" s="9" t="s">
        <v>30</v>
      </c>
      <c r="L147" s="9" t="s">
        <v>31</v>
      </c>
      <c r="M147" s="0" t="s">
        <v>32</v>
      </c>
      <c r="N147" s="0" t="n">
        <v>1397</v>
      </c>
      <c r="O147" s="10" t="n">
        <v>0.535628537647426</v>
      </c>
      <c r="P147" s="10" t="n">
        <v>0.0297887143678963</v>
      </c>
      <c r="Q147" s="0" t="str">
        <f aca="false">SUBSTITUTE(SUBSTITUTE($I147,CHAR(61),""),CHAR(34),"")</f>
        <v>35-49</v>
      </c>
      <c r="R147" s="0" t="str">
        <f aca="false">IF($D147&lt;&gt;"","["&amp;$E147&amp;"]"&amp;"|"&amp;$Q147&amp;"|"&amp;$K147&amp;"|"&amp;$G147&amp;"|"&amp;IF($G147="TX_CURR_SUBNAT.R","CY2022Q4",$M147),"")</f>
        <v>[fyEoGEPERdI]|35-49|Female|TX_CURR_SUBNAT.R|CY2022Q4</v>
      </c>
    </row>
    <row r="148" customFormat="false" ht="15" hidden="false" customHeight="false" outlineLevel="0" collapsed="false">
      <c r="A148" s="4"/>
      <c r="B148" s="4"/>
      <c r="C148" s="4"/>
      <c r="D148" s="9" t="s">
        <v>84</v>
      </c>
      <c r="E148" s="9" t="s">
        <v>85</v>
      </c>
      <c r="F148" s="9" t="s">
        <v>86</v>
      </c>
      <c r="G148" s="9" t="s">
        <v>26</v>
      </c>
      <c r="H148" s="9" t="s">
        <v>27</v>
      </c>
      <c r="I148" s="0" t="s">
        <v>45</v>
      </c>
      <c r="J148" s="9" t="s">
        <v>46</v>
      </c>
      <c r="K148" s="9" t="s">
        <v>30</v>
      </c>
      <c r="L148" s="9" t="s">
        <v>31</v>
      </c>
      <c r="M148" s="0" t="s">
        <v>32</v>
      </c>
      <c r="N148" s="0" t="n">
        <v>626</v>
      </c>
      <c r="O148" s="10" t="n">
        <v>0.352070283610374</v>
      </c>
      <c r="P148" s="10" t="n">
        <v>0.0297887143678963</v>
      </c>
      <c r="Q148" s="0" t="str">
        <f aca="false">SUBSTITUTE(SUBSTITUTE($I148,CHAR(61),""),CHAR(34),"")</f>
        <v>50+</v>
      </c>
      <c r="R148" s="0" t="str">
        <f aca="false">IF($D148&lt;&gt;"","["&amp;$E148&amp;"]"&amp;"|"&amp;$Q148&amp;"|"&amp;$K148&amp;"|"&amp;$G148&amp;"|"&amp;IF($G148="TX_CURR_SUBNAT.R","CY2022Q4",$M148),"")</f>
        <v>[fyEoGEPERdI]|50+|Female|TX_CURR_SUBNAT.R|CY2022Q4</v>
      </c>
    </row>
    <row r="149" customFormat="false" ht="15" hidden="false" customHeight="false" outlineLevel="0" collapsed="false">
      <c r="A149" s="4"/>
      <c r="B149" s="4"/>
      <c r="C149" s="4"/>
      <c r="D149" s="9" t="s">
        <v>84</v>
      </c>
      <c r="E149" s="9" t="s">
        <v>85</v>
      </c>
      <c r="F149" s="9" t="s">
        <v>86</v>
      </c>
      <c r="G149" s="9" t="s">
        <v>26</v>
      </c>
      <c r="H149" s="9" t="s">
        <v>27</v>
      </c>
      <c r="I149" s="0" t="s">
        <v>28</v>
      </c>
      <c r="J149" s="9" t="s">
        <v>29</v>
      </c>
      <c r="K149" s="9" t="s">
        <v>48</v>
      </c>
      <c r="L149" s="9" t="s">
        <v>49</v>
      </c>
      <c r="M149" s="0" t="s">
        <v>32</v>
      </c>
      <c r="N149" s="0" t="n">
        <v>1932</v>
      </c>
      <c r="O149" s="10" t="n">
        <v>0.789352210471407</v>
      </c>
      <c r="P149" s="10" t="n">
        <v>0.0297887143678963</v>
      </c>
      <c r="Q149" s="0" t="str">
        <f aca="false">SUBSTITUTE(SUBSTITUTE($I149,CHAR(61),""),CHAR(34),"")</f>
        <v>&lt;01</v>
      </c>
      <c r="R149" s="0" t="str">
        <f aca="false">IF($D149&lt;&gt;"","["&amp;$E149&amp;"]"&amp;"|"&amp;$Q149&amp;"|"&amp;$K149&amp;"|"&amp;$G149&amp;"|"&amp;IF($G149="TX_CURR_SUBNAT.R","CY2022Q4",$M149),"")</f>
        <v>[fyEoGEPERdI]|&lt;01|Male|TX_CURR_SUBNAT.R|CY2022Q4</v>
      </c>
    </row>
    <row r="150" customFormat="false" ht="15" hidden="false" customHeight="false" outlineLevel="0" collapsed="false">
      <c r="A150" s="4"/>
      <c r="B150" s="4"/>
      <c r="C150" s="4"/>
      <c r="D150" s="9" t="s">
        <v>84</v>
      </c>
      <c r="E150" s="9" t="s">
        <v>85</v>
      </c>
      <c r="F150" s="9" t="s">
        <v>86</v>
      </c>
      <c r="G150" s="9" t="s">
        <v>26</v>
      </c>
      <c r="H150" s="9" t="s">
        <v>27</v>
      </c>
      <c r="I150" s="0" t="s">
        <v>33</v>
      </c>
      <c r="J150" s="9" t="s">
        <v>34</v>
      </c>
      <c r="K150" s="9" t="s">
        <v>48</v>
      </c>
      <c r="L150" s="9" t="s">
        <v>49</v>
      </c>
      <c r="M150" s="0" t="s">
        <v>32</v>
      </c>
      <c r="N150" s="0" t="n">
        <v>1158</v>
      </c>
      <c r="O150" s="10" t="n">
        <v>0.976014372892678</v>
      </c>
      <c r="P150" s="10" t="n">
        <v>0.0297887143678963</v>
      </c>
      <c r="Q150" s="0" t="str">
        <f aca="false">SUBSTITUTE(SUBSTITUTE($I150,CHAR(61),""),CHAR(34),"")</f>
        <v>01-09</v>
      </c>
      <c r="R150" s="0" t="str">
        <f aca="false">IF($D150&lt;&gt;"","["&amp;$E150&amp;"]"&amp;"|"&amp;$Q150&amp;"|"&amp;$K150&amp;"|"&amp;$G150&amp;"|"&amp;IF($G150="TX_CURR_SUBNAT.R","CY2022Q4",$M150),"")</f>
        <v>[fyEoGEPERdI]|01-09|Male|TX_CURR_SUBNAT.R|CY2022Q4</v>
      </c>
    </row>
    <row r="151" customFormat="false" ht="15" hidden="false" customHeight="false" outlineLevel="0" collapsed="false">
      <c r="A151" s="4"/>
      <c r="B151" s="4"/>
      <c r="C151" s="4"/>
      <c r="D151" s="9" t="s">
        <v>84</v>
      </c>
      <c r="E151" s="9" t="s">
        <v>85</v>
      </c>
      <c r="F151" s="9" t="s">
        <v>86</v>
      </c>
      <c r="G151" s="9" t="s">
        <v>26</v>
      </c>
      <c r="H151" s="9" t="s">
        <v>27</v>
      </c>
      <c r="I151" s="0" t="s">
        <v>36</v>
      </c>
      <c r="J151" s="9" t="s">
        <v>37</v>
      </c>
      <c r="K151" s="9" t="s">
        <v>48</v>
      </c>
      <c r="L151" s="9" t="s">
        <v>49</v>
      </c>
      <c r="M151" s="0" t="s">
        <v>32</v>
      </c>
      <c r="N151" s="0" t="n">
        <v>1660</v>
      </c>
      <c r="O151" s="10" t="n">
        <v>0.392453405773267</v>
      </c>
      <c r="P151" s="10" t="n">
        <v>0.0297887143678963</v>
      </c>
      <c r="Q151" s="0" t="str">
        <f aca="false">SUBSTITUTE(SUBSTITUTE($I151,CHAR(61),""),CHAR(34),"")</f>
        <v>10-14</v>
      </c>
      <c r="R151" s="0" t="str">
        <f aca="false">IF($D151&lt;&gt;"","["&amp;$E151&amp;"]"&amp;"|"&amp;$Q151&amp;"|"&amp;$K151&amp;"|"&amp;$G151&amp;"|"&amp;IF($G151="TX_CURR_SUBNAT.R","CY2022Q4",$M151),"")</f>
        <v>[fyEoGEPERdI]|10-14|Male|TX_CURR_SUBNAT.R|CY2022Q4</v>
      </c>
    </row>
    <row r="152" customFormat="false" ht="15" hidden="false" customHeight="false" outlineLevel="0" collapsed="false">
      <c r="A152" s="4"/>
      <c r="B152" s="4"/>
      <c r="C152" s="4"/>
      <c r="D152" s="9" t="s">
        <v>84</v>
      </c>
      <c r="E152" s="9" t="s">
        <v>85</v>
      </c>
      <c r="F152" s="9" t="s">
        <v>86</v>
      </c>
      <c r="G152" s="9" t="s">
        <v>26</v>
      </c>
      <c r="H152" s="9" t="s">
        <v>27</v>
      </c>
      <c r="I152" s="0" t="s">
        <v>38</v>
      </c>
      <c r="J152" s="9" t="s">
        <v>39</v>
      </c>
      <c r="K152" s="9" t="s">
        <v>48</v>
      </c>
      <c r="L152" s="9" t="s">
        <v>49</v>
      </c>
      <c r="M152" s="0" t="s">
        <v>32</v>
      </c>
      <c r="N152" s="0" t="n">
        <v>1194</v>
      </c>
      <c r="O152" s="10" t="n">
        <v>0.387440664926544</v>
      </c>
      <c r="P152" s="10" t="n">
        <v>0.0297887143678963</v>
      </c>
      <c r="Q152" s="0" t="str">
        <f aca="false">SUBSTITUTE(SUBSTITUTE($I152,CHAR(61),""),CHAR(34),"")</f>
        <v>15-24</v>
      </c>
      <c r="R152" s="0" t="str">
        <f aca="false">IF($D152&lt;&gt;"","["&amp;$E152&amp;"]"&amp;"|"&amp;$Q152&amp;"|"&amp;$K152&amp;"|"&amp;$G152&amp;"|"&amp;IF($G152="TX_CURR_SUBNAT.R","CY2022Q4",$M152),"")</f>
        <v>[fyEoGEPERdI]|15-24|Male|TX_CURR_SUBNAT.R|CY2022Q4</v>
      </c>
    </row>
    <row r="153" customFormat="false" ht="15" hidden="false" customHeight="false" outlineLevel="0" collapsed="false">
      <c r="A153" s="4"/>
      <c r="B153" s="4"/>
      <c r="C153" s="4"/>
      <c r="D153" s="9" t="s">
        <v>84</v>
      </c>
      <c r="E153" s="9" t="s">
        <v>85</v>
      </c>
      <c r="F153" s="9" t="s">
        <v>86</v>
      </c>
      <c r="G153" s="9" t="s">
        <v>26</v>
      </c>
      <c r="H153" s="9" t="s">
        <v>27</v>
      </c>
      <c r="I153" s="0" t="s">
        <v>41</v>
      </c>
      <c r="J153" s="9" t="s">
        <v>42</v>
      </c>
      <c r="K153" s="9" t="s">
        <v>48</v>
      </c>
      <c r="L153" s="9" t="s">
        <v>49</v>
      </c>
      <c r="M153" s="0" t="s">
        <v>32</v>
      </c>
      <c r="N153" s="0" t="n">
        <v>1513</v>
      </c>
      <c r="O153" s="10" t="n">
        <v>0.587074929149821</v>
      </c>
      <c r="P153" s="10" t="n">
        <v>0.0297887143678963</v>
      </c>
      <c r="Q153" s="0" t="str">
        <f aca="false">SUBSTITUTE(SUBSTITUTE($I153,CHAR(61),""),CHAR(34),"")</f>
        <v>25-34</v>
      </c>
      <c r="R153" s="0" t="str">
        <f aca="false">IF($D153&lt;&gt;"","["&amp;$E153&amp;"]"&amp;"|"&amp;$Q153&amp;"|"&amp;$K153&amp;"|"&amp;$G153&amp;"|"&amp;IF($G153="TX_CURR_SUBNAT.R","CY2022Q4",$M153),"")</f>
        <v>[fyEoGEPERdI]|25-34|Male|TX_CURR_SUBNAT.R|CY2022Q4</v>
      </c>
    </row>
    <row r="154" customFormat="false" ht="15" hidden="false" customHeight="false" outlineLevel="0" collapsed="false">
      <c r="A154" s="4"/>
      <c r="B154" s="4"/>
      <c r="C154" s="4"/>
      <c r="D154" s="9" t="s">
        <v>84</v>
      </c>
      <c r="E154" s="9" t="s">
        <v>85</v>
      </c>
      <c r="F154" s="9" t="s">
        <v>86</v>
      </c>
      <c r="G154" s="9" t="s">
        <v>26</v>
      </c>
      <c r="H154" s="9" t="s">
        <v>27</v>
      </c>
      <c r="I154" s="0" t="s">
        <v>43</v>
      </c>
      <c r="J154" s="9" t="s">
        <v>44</v>
      </c>
      <c r="K154" s="9" t="s">
        <v>48</v>
      </c>
      <c r="L154" s="9" t="s">
        <v>49</v>
      </c>
      <c r="M154" s="0" t="s">
        <v>32</v>
      </c>
      <c r="N154" s="0" t="n">
        <v>1755</v>
      </c>
      <c r="O154" s="10" t="n">
        <v>0.588726156624034</v>
      </c>
      <c r="P154" s="10" t="n">
        <v>0.0297887143678963</v>
      </c>
      <c r="Q154" s="0" t="str">
        <f aca="false">SUBSTITUTE(SUBSTITUTE($I154,CHAR(61),""),CHAR(34),"")</f>
        <v>35-49</v>
      </c>
      <c r="R154" s="0" t="str">
        <f aca="false">IF($D154&lt;&gt;"","["&amp;$E154&amp;"]"&amp;"|"&amp;$Q154&amp;"|"&amp;$K154&amp;"|"&amp;$G154&amp;"|"&amp;IF($G154="TX_CURR_SUBNAT.R","CY2022Q4",$M154),"")</f>
        <v>[fyEoGEPERdI]|35-49|Male|TX_CURR_SUBNAT.R|CY2022Q4</v>
      </c>
    </row>
    <row r="155" customFormat="false" ht="15" hidden="false" customHeight="false" outlineLevel="0" collapsed="false">
      <c r="A155" s="4"/>
      <c r="B155" s="4"/>
      <c r="C155" s="4"/>
      <c r="D155" s="9" t="s">
        <v>84</v>
      </c>
      <c r="E155" s="9" t="s">
        <v>85</v>
      </c>
      <c r="F155" s="9" t="s">
        <v>86</v>
      </c>
      <c r="G155" s="9" t="s">
        <v>26</v>
      </c>
      <c r="H155" s="9" t="s">
        <v>27</v>
      </c>
      <c r="I155" s="0" t="s">
        <v>45</v>
      </c>
      <c r="J155" s="9" t="s">
        <v>46</v>
      </c>
      <c r="K155" s="9" t="s">
        <v>48</v>
      </c>
      <c r="L155" s="9" t="s">
        <v>49</v>
      </c>
      <c r="M155" s="0" t="s">
        <v>32</v>
      </c>
      <c r="N155" s="0" t="n">
        <v>674</v>
      </c>
      <c r="O155" s="10" t="n">
        <v>0.249389841919765</v>
      </c>
      <c r="P155" s="10" t="n">
        <v>0.0297887143678963</v>
      </c>
      <c r="Q155" s="0" t="str">
        <f aca="false">SUBSTITUTE(SUBSTITUTE($I155,CHAR(61),""),CHAR(34),"")</f>
        <v>50+</v>
      </c>
      <c r="R155" s="0" t="str">
        <f aca="false">IF($D155&lt;&gt;"","["&amp;$E155&amp;"]"&amp;"|"&amp;$Q155&amp;"|"&amp;$K155&amp;"|"&amp;$G155&amp;"|"&amp;IF($G155="TX_CURR_SUBNAT.R","CY2022Q4",$M155),"")</f>
        <v>[fyEoGEPERdI]|50+|Male|TX_CURR_SUBNAT.R|CY2022Q4</v>
      </c>
    </row>
    <row r="156" customFormat="false" ht="15" hidden="false" customHeight="false" outlineLevel="0" collapsed="false">
      <c r="A156" s="4"/>
      <c r="B156" s="4"/>
      <c r="C156" s="4"/>
      <c r="D156" s="9" t="s">
        <v>87</v>
      </c>
      <c r="E156" s="9" t="s">
        <v>88</v>
      </c>
      <c r="F156" s="9" t="s">
        <v>89</v>
      </c>
      <c r="G156" s="9" t="s">
        <v>26</v>
      </c>
      <c r="H156" s="9" t="s">
        <v>27</v>
      </c>
      <c r="I156" s="0" t="s">
        <v>28</v>
      </c>
      <c r="J156" s="9" t="s">
        <v>29</v>
      </c>
      <c r="K156" s="9" t="s">
        <v>30</v>
      </c>
      <c r="L156" s="9" t="s">
        <v>31</v>
      </c>
      <c r="M156" s="0" t="s">
        <v>32</v>
      </c>
      <c r="N156" s="0" t="n">
        <v>620</v>
      </c>
      <c r="O156" s="10" t="n">
        <v>0.679420839296654</v>
      </c>
      <c r="P156" s="10" t="n">
        <v>0.133336380822584</v>
      </c>
      <c r="Q156" s="0" t="str">
        <f aca="false">SUBSTITUTE(SUBSTITUTE($I156,CHAR(61),""),CHAR(34),"")</f>
        <v>&lt;01</v>
      </c>
      <c r="R156" s="0" t="str">
        <f aca="false">IF($D156&lt;&gt;"","["&amp;$E156&amp;"]"&amp;"|"&amp;$Q156&amp;"|"&amp;$K156&amp;"|"&amp;$G156&amp;"|"&amp;IF($G156="TX_CURR_SUBNAT.R","CY2022Q4",$M156),"")</f>
        <v>[cPtvxaZqXIH]|&lt;01|Female|TX_CURR_SUBNAT.R|CY2022Q4</v>
      </c>
    </row>
    <row r="157" customFormat="false" ht="15" hidden="false" customHeight="false" outlineLevel="0" collapsed="false">
      <c r="A157" s="4"/>
      <c r="B157" s="4"/>
      <c r="C157" s="4"/>
      <c r="D157" s="9" t="s">
        <v>87</v>
      </c>
      <c r="E157" s="9" t="s">
        <v>88</v>
      </c>
      <c r="F157" s="9" t="s">
        <v>89</v>
      </c>
      <c r="G157" s="9" t="s">
        <v>26</v>
      </c>
      <c r="H157" s="9" t="s">
        <v>27</v>
      </c>
      <c r="I157" s="0" t="s">
        <v>33</v>
      </c>
      <c r="J157" s="9" t="s">
        <v>34</v>
      </c>
      <c r="K157" s="9" t="s">
        <v>30</v>
      </c>
      <c r="L157" s="9" t="s">
        <v>31</v>
      </c>
      <c r="M157" s="0" t="s">
        <v>32</v>
      </c>
      <c r="N157" s="0" t="n">
        <v>1166</v>
      </c>
      <c r="O157" s="10" t="n">
        <v>0.890015400480479</v>
      </c>
      <c r="P157" s="10" t="n">
        <v>0.133336380822584</v>
      </c>
      <c r="Q157" s="0" t="str">
        <f aca="false">SUBSTITUTE(SUBSTITUTE($I157,CHAR(61),""),CHAR(34),"")</f>
        <v>01-09</v>
      </c>
      <c r="R157" s="0" t="str">
        <f aca="false">IF($D157&lt;&gt;"","["&amp;$E157&amp;"]"&amp;"|"&amp;$Q157&amp;"|"&amp;$K157&amp;"|"&amp;$G157&amp;"|"&amp;IF($G157="TX_CURR_SUBNAT.R","CY2022Q4",$M157),"")</f>
        <v>[cPtvxaZqXIH]|01-09|Female|TX_CURR_SUBNAT.R|CY2022Q4</v>
      </c>
    </row>
    <row r="158" customFormat="false" ht="15" hidden="false" customHeight="false" outlineLevel="0" collapsed="false">
      <c r="A158" s="4"/>
      <c r="B158" s="4"/>
      <c r="C158" s="4"/>
      <c r="D158" s="9" t="s">
        <v>87</v>
      </c>
      <c r="E158" s="9" t="s">
        <v>88</v>
      </c>
      <c r="F158" s="9" t="s">
        <v>89</v>
      </c>
      <c r="G158" s="9" t="s">
        <v>26</v>
      </c>
      <c r="H158" s="9" t="s">
        <v>27</v>
      </c>
      <c r="I158" s="0" t="s">
        <v>36</v>
      </c>
      <c r="J158" s="9" t="s">
        <v>37</v>
      </c>
      <c r="K158" s="9" t="s">
        <v>30</v>
      </c>
      <c r="L158" s="9" t="s">
        <v>31</v>
      </c>
      <c r="M158" s="0" t="s">
        <v>32</v>
      </c>
      <c r="N158" s="0" t="n">
        <v>1687</v>
      </c>
      <c r="O158" s="10" t="n">
        <v>0.313294475199655</v>
      </c>
      <c r="P158" s="10" t="n">
        <v>0.133336380822584</v>
      </c>
      <c r="Q158" s="0" t="str">
        <f aca="false">SUBSTITUTE(SUBSTITUTE($I158,CHAR(61),""),CHAR(34),"")</f>
        <v>10-14</v>
      </c>
      <c r="R158" s="0" t="str">
        <f aca="false">IF($D158&lt;&gt;"","["&amp;$E158&amp;"]"&amp;"|"&amp;$Q158&amp;"|"&amp;$K158&amp;"|"&amp;$G158&amp;"|"&amp;IF($G158="TX_CURR_SUBNAT.R","CY2022Q4",$M158),"")</f>
        <v>[cPtvxaZqXIH]|10-14|Female|TX_CURR_SUBNAT.R|CY2022Q4</v>
      </c>
    </row>
    <row r="159" customFormat="false" ht="15" hidden="false" customHeight="false" outlineLevel="0" collapsed="false">
      <c r="A159" s="4"/>
      <c r="B159" s="4"/>
      <c r="C159" s="4"/>
      <c r="D159" s="9" t="s">
        <v>87</v>
      </c>
      <c r="E159" s="9" t="s">
        <v>88</v>
      </c>
      <c r="F159" s="9" t="s">
        <v>89</v>
      </c>
      <c r="G159" s="9" t="s">
        <v>26</v>
      </c>
      <c r="H159" s="9" t="s">
        <v>27</v>
      </c>
      <c r="I159" s="0" t="s">
        <v>38</v>
      </c>
      <c r="J159" s="9" t="s">
        <v>39</v>
      </c>
      <c r="K159" s="9" t="s">
        <v>30</v>
      </c>
      <c r="L159" s="9" t="s">
        <v>31</v>
      </c>
      <c r="M159" s="0" t="s">
        <v>32</v>
      </c>
      <c r="N159" s="0" t="n">
        <v>1556</v>
      </c>
      <c r="O159" s="10" t="n">
        <v>0.769049154827371</v>
      </c>
      <c r="P159" s="10" t="n">
        <v>0.133336380822584</v>
      </c>
      <c r="Q159" s="0" t="str">
        <f aca="false">SUBSTITUTE(SUBSTITUTE($I159,CHAR(61),""),CHAR(34),"")</f>
        <v>15-24</v>
      </c>
      <c r="R159" s="0" t="str">
        <f aca="false">IF($D159&lt;&gt;"","["&amp;$E159&amp;"]"&amp;"|"&amp;$Q159&amp;"|"&amp;$K159&amp;"|"&amp;$G159&amp;"|"&amp;IF($G159="TX_CURR_SUBNAT.R","CY2022Q4",$M159),"")</f>
        <v>[cPtvxaZqXIH]|15-24|Female|TX_CURR_SUBNAT.R|CY2022Q4</v>
      </c>
    </row>
    <row r="160" customFormat="false" ht="15" hidden="false" customHeight="false" outlineLevel="0" collapsed="false">
      <c r="A160" s="4"/>
      <c r="B160" s="4"/>
      <c r="C160" s="4"/>
      <c r="D160" s="9" t="s">
        <v>87</v>
      </c>
      <c r="E160" s="9" t="s">
        <v>88</v>
      </c>
      <c r="F160" s="9" t="s">
        <v>89</v>
      </c>
      <c r="G160" s="9" t="s">
        <v>26</v>
      </c>
      <c r="H160" s="9" t="s">
        <v>27</v>
      </c>
      <c r="I160" s="0" t="s">
        <v>41</v>
      </c>
      <c r="J160" s="9" t="s">
        <v>42</v>
      </c>
      <c r="K160" s="9" t="s">
        <v>30</v>
      </c>
      <c r="L160" s="9" t="s">
        <v>31</v>
      </c>
      <c r="M160" s="0" t="s">
        <v>32</v>
      </c>
      <c r="N160" s="0" t="n">
        <v>1049</v>
      </c>
      <c r="O160" s="10" t="n">
        <v>0.707121667917818</v>
      </c>
      <c r="P160" s="10" t="n">
        <v>0.133336380822584</v>
      </c>
      <c r="Q160" s="0" t="str">
        <f aca="false">SUBSTITUTE(SUBSTITUTE($I160,CHAR(61),""),CHAR(34),"")</f>
        <v>25-34</v>
      </c>
      <c r="R160" s="0" t="str">
        <f aca="false">IF($D160&lt;&gt;"","["&amp;$E160&amp;"]"&amp;"|"&amp;$Q160&amp;"|"&amp;$K160&amp;"|"&amp;$G160&amp;"|"&amp;IF($G160="TX_CURR_SUBNAT.R","CY2022Q4",$M160),"")</f>
        <v>[cPtvxaZqXIH]|25-34|Female|TX_CURR_SUBNAT.R|CY2022Q4</v>
      </c>
    </row>
    <row r="161" customFormat="false" ht="15" hidden="false" customHeight="false" outlineLevel="0" collapsed="false">
      <c r="A161" s="4"/>
      <c r="B161" s="4"/>
      <c r="C161" s="4"/>
      <c r="D161" s="9" t="s">
        <v>87</v>
      </c>
      <c r="E161" s="9" t="s">
        <v>88</v>
      </c>
      <c r="F161" s="9" t="s">
        <v>89</v>
      </c>
      <c r="G161" s="9" t="s">
        <v>26</v>
      </c>
      <c r="H161" s="9" t="s">
        <v>27</v>
      </c>
      <c r="I161" s="0" t="s">
        <v>43</v>
      </c>
      <c r="J161" s="9" t="s">
        <v>44</v>
      </c>
      <c r="K161" s="9" t="s">
        <v>30</v>
      </c>
      <c r="L161" s="9" t="s">
        <v>31</v>
      </c>
      <c r="M161" s="0" t="s">
        <v>32</v>
      </c>
      <c r="N161" s="0" t="n">
        <v>1741</v>
      </c>
      <c r="O161" s="10" t="n">
        <v>0.974137164186686</v>
      </c>
      <c r="P161" s="10" t="n">
        <v>0.133336380822584</v>
      </c>
      <c r="Q161" s="0" t="str">
        <f aca="false">SUBSTITUTE(SUBSTITUTE($I161,CHAR(61),""),CHAR(34),"")</f>
        <v>35-49</v>
      </c>
      <c r="R161" s="0" t="str">
        <f aca="false">IF($D161&lt;&gt;"","["&amp;$E161&amp;"]"&amp;"|"&amp;$Q161&amp;"|"&amp;$K161&amp;"|"&amp;$G161&amp;"|"&amp;IF($G161="TX_CURR_SUBNAT.R","CY2022Q4",$M161),"")</f>
        <v>[cPtvxaZqXIH]|35-49|Female|TX_CURR_SUBNAT.R|CY2022Q4</v>
      </c>
    </row>
    <row r="162" customFormat="false" ht="15" hidden="false" customHeight="false" outlineLevel="0" collapsed="false">
      <c r="A162" s="4"/>
      <c r="B162" s="4"/>
      <c r="C162" s="4"/>
      <c r="D162" s="9" t="s">
        <v>87</v>
      </c>
      <c r="E162" s="9" t="s">
        <v>88</v>
      </c>
      <c r="F162" s="9" t="s">
        <v>89</v>
      </c>
      <c r="G162" s="9" t="s">
        <v>26</v>
      </c>
      <c r="H162" s="9" t="s">
        <v>27</v>
      </c>
      <c r="I162" s="0" t="s">
        <v>45</v>
      </c>
      <c r="J162" s="9" t="s">
        <v>46</v>
      </c>
      <c r="K162" s="9" t="s">
        <v>30</v>
      </c>
      <c r="L162" s="9" t="s">
        <v>31</v>
      </c>
      <c r="M162" s="0" t="s">
        <v>32</v>
      </c>
      <c r="N162" s="0" t="n">
        <v>826</v>
      </c>
      <c r="O162" s="10" t="n">
        <v>0.517632129602134</v>
      </c>
      <c r="P162" s="10" t="n">
        <v>0.133336380822584</v>
      </c>
      <c r="Q162" s="0" t="str">
        <f aca="false">SUBSTITUTE(SUBSTITUTE($I162,CHAR(61),""),CHAR(34),"")</f>
        <v>50+</v>
      </c>
      <c r="R162" s="0" t="str">
        <f aca="false">IF($D162&lt;&gt;"","["&amp;$E162&amp;"]"&amp;"|"&amp;$Q162&amp;"|"&amp;$K162&amp;"|"&amp;$G162&amp;"|"&amp;IF($G162="TX_CURR_SUBNAT.R","CY2022Q4",$M162),"")</f>
        <v>[cPtvxaZqXIH]|50+|Female|TX_CURR_SUBNAT.R|CY2022Q4</v>
      </c>
    </row>
    <row r="163" customFormat="false" ht="15" hidden="false" customHeight="false" outlineLevel="0" collapsed="false">
      <c r="A163" s="4"/>
      <c r="B163" s="4"/>
      <c r="C163" s="4"/>
      <c r="D163" s="9" t="s">
        <v>87</v>
      </c>
      <c r="E163" s="9" t="s">
        <v>88</v>
      </c>
      <c r="F163" s="9" t="s">
        <v>89</v>
      </c>
      <c r="G163" s="9" t="s">
        <v>26</v>
      </c>
      <c r="H163" s="9" t="s">
        <v>27</v>
      </c>
      <c r="I163" s="0" t="s">
        <v>28</v>
      </c>
      <c r="J163" s="9" t="s">
        <v>29</v>
      </c>
      <c r="K163" s="9" t="s">
        <v>48</v>
      </c>
      <c r="L163" s="9" t="s">
        <v>49</v>
      </c>
      <c r="M163" s="0" t="s">
        <v>32</v>
      </c>
      <c r="N163" s="0" t="n">
        <v>1176</v>
      </c>
      <c r="O163" s="10" t="n">
        <v>0.0986171662807465</v>
      </c>
      <c r="P163" s="10" t="n">
        <v>0.133336380822584</v>
      </c>
      <c r="Q163" s="0" t="str">
        <f aca="false">SUBSTITUTE(SUBSTITUTE($I163,CHAR(61),""),CHAR(34),"")</f>
        <v>&lt;01</v>
      </c>
      <c r="R163" s="0" t="str">
        <f aca="false">IF($D163&lt;&gt;"","["&amp;$E163&amp;"]"&amp;"|"&amp;$Q163&amp;"|"&amp;$K163&amp;"|"&amp;$G163&amp;"|"&amp;IF($G163="TX_CURR_SUBNAT.R","CY2022Q4",$M163),"")</f>
        <v>[cPtvxaZqXIH]|&lt;01|Male|TX_CURR_SUBNAT.R|CY2022Q4</v>
      </c>
    </row>
    <row r="164" customFormat="false" ht="15" hidden="false" customHeight="false" outlineLevel="0" collapsed="false">
      <c r="A164" s="4"/>
      <c r="B164" s="4"/>
      <c r="C164" s="4"/>
      <c r="D164" s="9" t="s">
        <v>87</v>
      </c>
      <c r="E164" s="9" t="s">
        <v>88</v>
      </c>
      <c r="F164" s="9" t="s">
        <v>89</v>
      </c>
      <c r="G164" s="9" t="s">
        <v>26</v>
      </c>
      <c r="H164" s="9" t="s">
        <v>27</v>
      </c>
      <c r="I164" s="0" t="s">
        <v>33</v>
      </c>
      <c r="J164" s="9" t="s">
        <v>34</v>
      </c>
      <c r="K164" s="9" t="s">
        <v>48</v>
      </c>
      <c r="L164" s="9" t="s">
        <v>49</v>
      </c>
      <c r="M164" s="0" t="s">
        <v>32</v>
      </c>
      <c r="N164" s="0" t="n">
        <v>1500</v>
      </c>
      <c r="O164" s="10" t="n">
        <v>0.725134725915268</v>
      </c>
      <c r="P164" s="10" t="n">
        <v>0.133336380822584</v>
      </c>
      <c r="Q164" s="0" t="str">
        <f aca="false">SUBSTITUTE(SUBSTITUTE($I164,CHAR(61),""),CHAR(34),"")</f>
        <v>01-09</v>
      </c>
      <c r="R164" s="0" t="str">
        <f aca="false">IF($D164&lt;&gt;"","["&amp;$E164&amp;"]"&amp;"|"&amp;$Q164&amp;"|"&amp;$K164&amp;"|"&amp;$G164&amp;"|"&amp;IF($G164="TX_CURR_SUBNAT.R","CY2022Q4",$M164),"")</f>
        <v>[cPtvxaZqXIH]|01-09|Male|TX_CURR_SUBNAT.R|CY2022Q4</v>
      </c>
    </row>
    <row r="165" customFormat="false" ht="15" hidden="false" customHeight="false" outlineLevel="0" collapsed="false">
      <c r="A165" s="4"/>
      <c r="B165" s="4"/>
      <c r="C165" s="4"/>
      <c r="D165" s="9" t="s">
        <v>87</v>
      </c>
      <c r="E165" s="9" t="s">
        <v>88</v>
      </c>
      <c r="F165" s="9" t="s">
        <v>89</v>
      </c>
      <c r="G165" s="9" t="s">
        <v>26</v>
      </c>
      <c r="H165" s="9" t="s">
        <v>27</v>
      </c>
      <c r="I165" s="0" t="s">
        <v>36</v>
      </c>
      <c r="J165" s="9" t="s">
        <v>37</v>
      </c>
      <c r="K165" s="9" t="s">
        <v>48</v>
      </c>
      <c r="L165" s="9" t="s">
        <v>49</v>
      </c>
      <c r="M165" s="0" t="s">
        <v>32</v>
      </c>
      <c r="N165" s="0" t="n">
        <v>1802</v>
      </c>
      <c r="O165" s="10" t="n">
        <v>0.00168887455947697</v>
      </c>
      <c r="P165" s="10" t="n">
        <v>0.133336380822584</v>
      </c>
      <c r="Q165" s="0" t="str">
        <f aca="false">SUBSTITUTE(SUBSTITUTE($I165,CHAR(61),""),CHAR(34),"")</f>
        <v>10-14</v>
      </c>
      <c r="R165" s="0" t="str">
        <f aca="false">IF($D165&lt;&gt;"","["&amp;$E165&amp;"]"&amp;"|"&amp;$Q165&amp;"|"&amp;$K165&amp;"|"&amp;$G165&amp;"|"&amp;IF($G165="TX_CURR_SUBNAT.R","CY2022Q4",$M165),"")</f>
        <v>[cPtvxaZqXIH]|10-14|Male|TX_CURR_SUBNAT.R|CY2022Q4</v>
      </c>
    </row>
    <row r="166" customFormat="false" ht="15" hidden="false" customHeight="false" outlineLevel="0" collapsed="false">
      <c r="A166" s="4"/>
      <c r="B166" s="4"/>
      <c r="C166" s="4"/>
      <c r="D166" s="9" t="s">
        <v>87</v>
      </c>
      <c r="E166" s="9" t="s">
        <v>88</v>
      </c>
      <c r="F166" s="9" t="s">
        <v>89</v>
      </c>
      <c r="G166" s="9" t="s">
        <v>26</v>
      </c>
      <c r="H166" s="9" t="s">
        <v>27</v>
      </c>
      <c r="I166" s="0" t="s">
        <v>38</v>
      </c>
      <c r="J166" s="9" t="s">
        <v>39</v>
      </c>
      <c r="K166" s="9" t="s">
        <v>48</v>
      </c>
      <c r="L166" s="9" t="s">
        <v>49</v>
      </c>
      <c r="M166" s="0" t="s">
        <v>32</v>
      </c>
      <c r="N166" s="0" t="n">
        <v>1562</v>
      </c>
      <c r="O166" s="10" t="n">
        <v>0.886105180718005</v>
      </c>
      <c r="P166" s="10" t="n">
        <v>0.133336380822584</v>
      </c>
      <c r="Q166" s="0" t="str">
        <f aca="false">SUBSTITUTE(SUBSTITUTE($I166,CHAR(61),""),CHAR(34),"")</f>
        <v>15-24</v>
      </c>
      <c r="R166" s="0" t="str">
        <f aca="false">IF($D166&lt;&gt;"","["&amp;$E166&amp;"]"&amp;"|"&amp;$Q166&amp;"|"&amp;$K166&amp;"|"&amp;$G166&amp;"|"&amp;IF($G166="TX_CURR_SUBNAT.R","CY2022Q4",$M166),"")</f>
        <v>[cPtvxaZqXIH]|15-24|Male|TX_CURR_SUBNAT.R|CY2022Q4</v>
      </c>
    </row>
    <row r="167" customFormat="false" ht="15" hidden="false" customHeight="false" outlineLevel="0" collapsed="false">
      <c r="A167" s="4"/>
      <c r="B167" s="4"/>
      <c r="C167" s="4"/>
      <c r="D167" s="9" t="s">
        <v>87</v>
      </c>
      <c r="E167" s="9" t="s">
        <v>88</v>
      </c>
      <c r="F167" s="9" t="s">
        <v>89</v>
      </c>
      <c r="G167" s="9" t="s">
        <v>26</v>
      </c>
      <c r="H167" s="9" t="s">
        <v>27</v>
      </c>
      <c r="I167" s="0" t="s">
        <v>41</v>
      </c>
      <c r="J167" s="9" t="s">
        <v>42</v>
      </c>
      <c r="K167" s="9" t="s">
        <v>48</v>
      </c>
      <c r="L167" s="9" t="s">
        <v>49</v>
      </c>
      <c r="M167" s="0" t="s">
        <v>32</v>
      </c>
      <c r="N167" s="0" t="n">
        <v>1782</v>
      </c>
      <c r="O167" s="10" t="n">
        <v>0.544336380204186</v>
      </c>
      <c r="P167" s="10" t="n">
        <v>0.133336380822584</v>
      </c>
      <c r="Q167" s="0" t="str">
        <f aca="false">SUBSTITUTE(SUBSTITUTE($I167,CHAR(61),""),CHAR(34),"")</f>
        <v>25-34</v>
      </c>
      <c r="R167" s="0" t="str">
        <f aca="false">IF($D167&lt;&gt;"","["&amp;$E167&amp;"]"&amp;"|"&amp;$Q167&amp;"|"&amp;$K167&amp;"|"&amp;$G167&amp;"|"&amp;IF($G167="TX_CURR_SUBNAT.R","CY2022Q4",$M167),"")</f>
        <v>[cPtvxaZqXIH]|25-34|Male|TX_CURR_SUBNAT.R|CY2022Q4</v>
      </c>
    </row>
    <row r="168" customFormat="false" ht="15" hidden="false" customHeight="false" outlineLevel="0" collapsed="false">
      <c r="A168" s="4"/>
      <c r="B168" s="4"/>
      <c r="C168" s="4"/>
      <c r="D168" s="9" t="s">
        <v>87</v>
      </c>
      <c r="E168" s="9" t="s">
        <v>88</v>
      </c>
      <c r="F168" s="9" t="s">
        <v>89</v>
      </c>
      <c r="G168" s="9" t="s">
        <v>26</v>
      </c>
      <c r="H168" s="9" t="s">
        <v>27</v>
      </c>
      <c r="I168" s="0" t="s">
        <v>43</v>
      </c>
      <c r="J168" s="9" t="s">
        <v>44</v>
      </c>
      <c r="K168" s="9" t="s">
        <v>48</v>
      </c>
      <c r="L168" s="9" t="s">
        <v>49</v>
      </c>
      <c r="M168" s="0" t="s">
        <v>32</v>
      </c>
      <c r="N168" s="0" t="n">
        <v>958</v>
      </c>
      <c r="O168" s="10" t="n">
        <v>0.807261511683464</v>
      </c>
      <c r="P168" s="10" t="n">
        <v>0.133336380822584</v>
      </c>
      <c r="Q168" s="0" t="str">
        <f aca="false">SUBSTITUTE(SUBSTITUTE($I168,CHAR(61),""),CHAR(34),"")</f>
        <v>35-49</v>
      </c>
      <c r="R168" s="0" t="str">
        <f aca="false">IF($D168&lt;&gt;"","["&amp;$E168&amp;"]"&amp;"|"&amp;$Q168&amp;"|"&amp;$K168&amp;"|"&amp;$G168&amp;"|"&amp;IF($G168="TX_CURR_SUBNAT.R","CY2022Q4",$M168),"")</f>
        <v>[cPtvxaZqXIH]|35-49|Male|TX_CURR_SUBNAT.R|CY2022Q4</v>
      </c>
    </row>
    <row r="169" customFormat="false" ht="15" hidden="false" customHeight="false" outlineLevel="0" collapsed="false">
      <c r="A169" s="4"/>
      <c r="B169" s="4"/>
      <c r="C169" s="4"/>
      <c r="D169" s="9" t="s">
        <v>87</v>
      </c>
      <c r="E169" s="9" t="s">
        <v>88</v>
      </c>
      <c r="F169" s="9" t="s">
        <v>89</v>
      </c>
      <c r="G169" s="9" t="s">
        <v>26</v>
      </c>
      <c r="H169" s="9" t="s">
        <v>27</v>
      </c>
      <c r="I169" s="0" t="s">
        <v>45</v>
      </c>
      <c r="J169" s="9" t="s">
        <v>46</v>
      </c>
      <c r="K169" s="9" t="s">
        <v>48</v>
      </c>
      <c r="L169" s="9" t="s">
        <v>49</v>
      </c>
      <c r="M169" s="0" t="s">
        <v>32</v>
      </c>
      <c r="N169" s="0" t="n">
        <v>1914</v>
      </c>
      <c r="O169" s="10" t="n">
        <v>0.767350411973894</v>
      </c>
      <c r="P169" s="10" t="n">
        <v>0.133336380822584</v>
      </c>
      <c r="Q169" s="0" t="str">
        <f aca="false">SUBSTITUTE(SUBSTITUTE($I169,CHAR(61),""),CHAR(34),"")</f>
        <v>50+</v>
      </c>
      <c r="R169" s="0" t="str">
        <f aca="false">IF($D169&lt;&gt;"","["&amp;$E169&amp;"]"&amp;"|"&amp;$Q169&amp;"|"&amp;$K169&amp;"|"&amp;$G169&amp;"|"&amp;IF($G169="TX_CURR_SUBNAT.R","CY2022Q4",$M169),"")</f>
        <v>[cPtvxaZqXIH]|50+|Male|TX_CURR_SUBNAT.R|CY2022Q4</v>
      </c>
    </row>
    <row r="170" customFormat="false" ht="15" hidden="false" customHeight="false" outlineLevel="0" collapsed="false">
      <c r="A170" s="4"/>
      <c r="B170" s="4"/>
      <c r="C170" s="4"/>
      <c r="D170" s="9" t="s">
        <v>90</v>
      </c>
      <c r="E170" s="9" t="s">
        <v>91</v>
      </c>
      <c r="F170" s="9" t="s">
        <v>92</v>
      </c>
      <c r="G170" s="9" t="s">
        <v>26</v>
      </c>
      <c r="H170" s="9" t="s">
        <v>27</v>
      </c>
      <c r="I170" s="0" t="s">
        <v>28</v>
      </c>
      <c r="J170" s="9" t="s">
        <v>29</v>
      </c>
      <c r="K170" s="9" t="s">
        <v>30</v>
      </c>
      <c r="L170" s="9" t="s">
        <v>31</v>
      </c>
      <c r="M170" s="0" t="s">
        <v>32</v>
      </c>
      <c r="N170" s="0" t="n">
        <v>951</v>
      </c>
      <c r="O170" s="10" t="n">
        <v>0.81405468378216</v>
      </c>
      <c r="P170" s="10" t="n">
        <v>0.719914150424302</v>
      </c>
      <c r="Q170" s="0" t="str">
        <f aca="false">SUBSTITUTE(SUBSTITUTE($I170,CHAR(61),""),CHAR(34),"")</f>
        <v>&lt;01</v>
      </c>
      <c r="R170" s="0" t="str">
        <f aca="false">IF($D170&lt;&gt;"","["&amp;$E170&amp;"]"&amp;"|"&amp;$Q170&amp;"|"&amp;$K170&amp;"|"&amp;$G170&amp;"|"&amp;IF($G170="TX_CURR_SUBNAT.R","CY2022Q4",$M170),"")</f>
        <v>[AZyWpGzhcaA]|&lt;01|Female|TX_CURR_SUBNAT.R|CY2022Q4</v>
      </c>
    </row>
    <row r="171" customFormat="false" ht="15" hidden="false" customHeight="false" outlineLevel="0" collapsed="false">
      <c r="A171" s="4"/>
      <c r="B171" s="4"/>
      <c r="C171" s="4"/>
      <c r="D171" s="9" t="s">
        <v>90</v>
      </c>
      <c r="E171" s="9" t="s">
        <v>91</v>
      </c>
      <c r="F171" s="9" t="s">
        <v>92</v>
      </c>
      <c r="G171" s="9" t="s">
        <v>26</v>
      </c>
      <c r="H171" s="9" t="s">
        <v>27</v>
      </c>
      <c r="I171" s="0" t="s">
        <v>33</v>
      </c>
      <c r="J171" s="9" t="s">
        <v>34</v>
      </c>
      <c r="K171" s="9" t="s">
        <v>30</v>
      </c>
      <c r="L171" s="9" t="s">
        <v>31</v>
      </c>
      <c r="M171" s="0" t="s">
        <v>32</v>
      </c>
      <c r="N171" s="0" t="n">
        <v>787</v>
      </c>
      <c r="O171" s="10" t="n">
        <v>0.75055153016001</v>
      </c>
      <c r="P171" s="10" t="n">
        <v>0.719914150424302</v>
      </c>
      <c r="Q171" s="0" t="str">
        <f aca="false">SUBSTITUTE(SUBSTITUTE($I171,CHAR(61),""),CHAR(34),"")</f>
        <v>01-09</v>
      </c>
      <c r="R171" s="0" t="str">
        <f aca="false">IF($D171&lt;&gt;"","["&amp;$E171&amp;"]"&amp;"|"&amp;$Q171&amp;"|"&amp;$K171&amp;"|"&amp;$G171&amp;"|"&amp;IF($G171="TX_CURR_SUBNAT.R","CY2022Q4",$M171),"")</f>
        <v>[AZyWpGzhcaA]|01-09|Female|TX_CURR_SUBNAT.R|CY2022Q4</v>
      </c>
    </row>
    <row r="172" customFormat="false" ht="15" hidden="false" customHeight="false" outlineLevel="0" collapsed="false">
      <c r="A172" s="4"/>
      <c r="B172" s="4"/>
      <c r="C172" s="4"/>
      <c r="D172" s="9" t="s">
        <v>90</v>
      </c>
      <c r="E172" s="9" t="s">
        <v>91</v>
      </c>
      <c r="F172" s="9" t="s">
        <v>92</v>
      </c>
      <c r="G172" s="9" t="s">
        <v>26</v>
      </c>
      <c r="H172" s="9" t="s">
        <v>27</v>
      </c>
      <c r="I172" s="0" t="s">
        <v>36</v>
      </c>
      <c r="J172" s="9" t="s">
        <v>37</v>
      </c>
      <c r="K172" s="9" t="s">
        <v>30</v>
      </c>
      <c r="L172" s="9" t="s">
        <v>31</v>
      </c>
      <c r="M172" s="0" t="s">
        <v>32</v>
      </c>
      <c r="N172" s="0" t="n">
        <v>917</v>
      </c>
      <c r="O172" s="10" t="n">
        <v>0.250066966749728</v>
      </c>
      <c r="P172" s="10" t="n">
        <v>0.719914150424302</v>
      </c>
      <c r="Q172" s="0" t="str">
        <f aca="false">SUBSTITUTE(SUBSTITUTE($I172,CHAR(61),""),CHAR(34),"")</f>
        <v>10-14</v>
      </c>
      <c r="R172" s="0" t="str">
        <f aca="false">IF($D172&lt;&gt;"","["&amp;$E172&amp;"]"&amp;"|"&amp;$Q172&amp;"|"&amp;$K172&amp;"|"&amp;$G172&amp;"|"&amp;IF($G172="TX_CURR_SUBNAT.R","CY2022Q4",$M172),"")</f>
        <v>[AZyWpGzhcaA]|10-14|Female|TX_CURR_SUBNAT.R|CY2022Q4</v>
      </c>
    </row>
    <row r="173" customFormat="false" ht="15" hidden="false" customHeight="false" outlineLevel="0" collapsed="false">
      <c r="A173" s="4"/>
      <c r="B173" s="4"/>
      <c r="C173" s="4"/>
      <c r="D173" s="9" t="s">
        <v>90</v>
      </c>
      <c r="E173" s="9" t="s">
        <v>91</v>
      </c>
      <c r="F173" s="9" t="s">
        <v>92</v>
      </c>
      <c r="G173" s="9" t="s">
        <v>26</v>
      </c>
      <c r="H173" s="9" t="s">
        <v>27</v>
      </c>
      <c r="I173" s="0" t="s">
        <v>38</v>
      </c>
      <c r="J173" s="9" t="s">
        <v>39</v>
      </c>
      <c r="K173" s="9" t="s">
        <v>30</v>
      </c>
      <c r="L173" s="9" t="s">
        <v>31</v>
      </c>
      <c r="M173" s="0" t="s">
        <v>32</v>
      </c>
      <c r="N173" s="0" t="n">
        <v>735</v>
      </c>
      <c r="O173" s="10" t="n">
        <v>0.367148233344778</v>
      </c>
      <c r="P173" s="10" t="n">
        <v>0.719914150424302</v>
      </c>
      <c r="Q173" s="0" t="str">
        <f aca="false">SUBSTITUTE(SUBSTITUTE($I173,CHAR(61),""),CHAR(34),"")</f>
        <v>15-24</v>
      </c>
      <c r="R173" s="0" t="str">
        <f aca="false">IF($D173&lt;&gt;"","["&amp;$E173&amp;"]"&amp;"|"&amp;$Q173&amp;"|"&amp;$K173&amp;"|"&amp;$G173&amp;"|"&amp;IF($G173="TX_CURR_SUBNAT.R","CY2022Q4",$M173),"")</f>
        <v>[AZyWpGzhcaA]|15-24|Female|TX_CURR_SUBNAT.R|CY2022Q4</v>
      </c>
    </row>
    <row r="174" customFormat="false" ht="15" hidden="false" customHeight="false" outlineLevel="0" collapsed="false">
      <c r="A174" s="4"/>
      <c r="B174" s="4"/>
      <c r="C174" s="4"/>
      <c r="D174" s="9" t="s">
        <v>90</v>
      </c>
      <c r="E174" s="9" t="s">
        <v>91</v>
      </c>
      <c r="F174" s="9" t="s">
        <v>92</v>
      </c>
      <c r="G174" s="9" t="s">
        <v>26</v>
      </c>
      <c r="H174" s="9" t="s">
        <v>27</v>
      </c>
      <c r="I174" s="0" t="s">
        <v>41</v>
      </c>
      <c r="J174" s="9" t="s">
        <v>42</v>
      </c>
      <c r="K174" s="9" t="s">
        <v>30</v>
      </c>
      <c r="L174" s="9" t="s">
        <v>31</v>
      </c>
      <c r="M174" s="0" t="s">
        <v>32</v>
      </c>
      <c r="N174" s="0" t="n">
        <v>1254</v>
      </c>
      <c r="O174" s="10" t="n">
        <v>0.13839822774753</v>
      </c>
      <c r="P174" s="10" t="n">
        <v>0.719914150424302</v>
      </c>
      <c r="Q174" s="0" t="str">
        <f aca="false">SUBSTITUTE(SUBSTITUTE($I174,CHAR(61),""),CHAR(34),"")</f>
        <v>25-34</v>
      </c>
      <c r="R174" s="0" t="str">
        <f aca="false">IF($D174&lt;&gt;"","["&amp;$E174&amp;"]"&amp;"|"&amp;$Q174&amp;"|"&amp;$K174&amp;"|"&amp;$G174&amp;"|"&amp;IF($G174="TX_CURR_SUBNAT.R","CY2022Q4",$M174),"")</f>
        <v>[AZyWpGzhcaA]|25-34|Female|TX_CURR_SUBNAT.R|CY2022Q4</v>
      </c>
    </row>
    <row r="175" customFormat="false" ht="15" hidden="false" customHeight="false" outlineLevel="0" collapsed="false">
      <c r="A175" s="4"/>
      <c r="B175" s="4"/>
      <c r="C175" s="4"/>
      <c r="D175" s="9" t="s">
        <v>90</v>
      </c>
      <c r="E175" s="9" t="s">
        <v>91</v>
      </c>
      <c r="F175" s="9" t="s">
        <v>92</v>
      </c>
      <c r="G175" s="9" t="s">
        <v>26</v>
      </c>
      <c r="H175" s="9" t="s">
        <v>27</v>
      </c>
      <c r="I175" s="0" t="s">
        <v>43</v>
      </c>
      <c r="J175" s="9" t="s">
        <v>44</v>
      </c>
      <c r="K175" s="9" t="s">
        <v>30</v>
      </c>
      <c r="L175" s="9" t="s">
        <v>31</v>
      </c>
      <c r="M175" s="0" t="s">
        <v>32</v>
      </c>
      <c r="N175" s="0" t="n">
        <v>1231</v>
      </c>
      <c r="O175" s="10" t="n">
        <v>0.90513753821142</v>
      </c>
      <c r="P175" s="10" t="n">
        <v>0.719914150424302</v>
      </c>
      <c r="Q175" s="0" t="str">
        <f aca="false">SUBSTITUTE(SUBSTITUTE($I175,CHAR(61),""),CHAR(34),"")</f>
        <v>35-49</v>
      </c>
      <c r="R175" s="0" t="str">
        <f aca="false">IF($D175&lt;&gt;"","["&amp;$E175&amp;"]"&amp;"|"&amp;$Q175&amp;"|"&amp;$K175&amp;"|"&amp;$G175&amp;"|"&amp;IF($G175="TX_CURR_SUBNAT.R","CY2022Q4",$M175),"")</f>
        <v>[AZyWpGzhcaA]|35-49|Female|TX_CURR_SUBNAT.R|CY2022Q4</v>
      </c>
    </row>
    <row r="176" customFormat="false" ht="15" hidden="false" customHeight="false" outlineLevel="0" collapsed="false">
      <c r="A176" s="4"/>
      <c r="B176" s="4"/>
      <c r="C176" s="4"/>
      <c r="D176" s="9" t="s">
        <v>90</v>
      </c>
      <c r="E176" s="9" t="s">
        <v>91</v>
      </c>
      <c r="F176" s="9" t="s">
        <v>92</v>
      </c>
      <c r="G176" s="9" t="s">
        <v>26</v>
      </c>
      <c r="H176" s="9" t="s">
        <v>27</v>
      </c>
      <c r="I176" s="0" t="s">
        <v>45</v>
      </c>
      <c r="J176" s="9" t="s">
        <v>46</v>
      </c>
      <c r="K176" s="9" t="s">
        <v>30</v>
      </c>
      <c r="L176" s="9" t="s">
        <v>31</v>
      </c>
      <c r="M176" s="0" t="s">
        <v>32</v>
      </c>
      <c r="N176" s="0" t="n">
        <v>1965</v>
      </c>
      <c r="O176" s="10" t="n">
        <v>0.201622182969004</v>
      </c>
      <c r="P176" s="10" t="n">
        <v>0.719914150424302</v>
      </c>
      <c r="Q176" s="0" t="str">
        <f aca="false">SUBSTITUTE(SUBSTITUTE($I176,CHAR(61),""),CHAR(34),"")</f>
        <v>50+</v>
      </c>
      <c r="R176" s="0" t="str">
        <f aca="false">IF($D176&lt;&gt;"","["&amp;$E176&amp;"]"&amp;"|"&amp;$Q176&amp;"|"&amp;$K176&amp;"|"&amp;$G176&amp;"|"&amp;IF($G176="TX_CURR_SUBNAT.R","CY2022Q4",$M176),"")</f>
        <v>[AZyWpGzhcaA]|50+|Female|TX_CURR_SUBNAT.R|CY2022Q4</v>
      </c>
    </row>
    <row r="177" customFormat="false" ht="15" hidden="false" customHeight="false" outlineLevel="0" collapsed="false">
      <c r="A177" s="4"/>
      <c r="B177" s="4"/>
      <c r="C177" s="4"/>
      <c r="D177" s="9" t="s">
        <v>90</v>
      </c>
      <c r="E177" s="9" t="s">
        <v>91</v>
      </c>
      <c r="F177" s="9" t="s">
        <v>92</v>
      </c>
      <c r="G177" s="9" t="s">
        <v>26</v>
      </c>
      <c r="H177" s="9" t="s">
        <v>27</v>
      </c>
      <c r="I177" s="0" t="s">
        <v>28</v>
      </c>
      <c r="J177" s="9" t="s">
        <v>29</v>
      </c>
      <c r="K177" s="9" t="s">
        <v>48</v>
      </c>
      <c r="L177" s="9" t="s">
        <v>49</v>
      </c>
      <c r="M177" s="0" t="s">
        <v>32</v>
      </c>
      <c r="N177" s="0" t="n">
        <v>1106</v>
      </c>
      <c r="O177" s="10" t="n">
        <v>0.410894630011171</v>
      </c>
      <c r="P177" s="10" t="n">
        <v>0.719914150424302</v>
      </c>
      <c r="Q177" s="0" t="str">
        <f aca="false">SUBSTITUTE(SUBSTITUTE($I177,CHAR(61),""),CHAR(34),"")</f>
        <v>&lt;01</v>
      </c>
      <c r="R177" s="0" t="str">
        <f aca="false">IF($D177&lt;&gt;"","["&amp;$E177&amp;"]"&amp;"|"&amp;$Q177&amp;"|"&amp;$K177&amp;"|"&amp;$G177&amp;"|"&amp;IF($G177="TX_CURR_SUBNAT.R","CY2022Q4",$M177),"")</f>
        <v>[AZyWpGzhcaA]|&lt;01|Male|TX_CURR_SUBNAT.R|CY2022Q4</v>
      </c>
    </row>
    <row r="178" customFormat="false" ht="15" hidden="false" customHeight="false" outlineLevel="0" collapsed="false">
      <c r="A178" s="4"/>
      <c r="B178" s="4"/>
      <c r="C178" s="4"/>
      <c r="D178" s="9" t="s">
        <v>90</v>
      </c>
      <c r="E178" s="9" t="s">
        <v>91</v>
      </c>
      <c r="F178" s="9" t="s">
        <v>92</v>
      </c>
      <c r="G178" s="9" t="s">
        <v>26</v>
      </c>
      <c r="H178" s="9" t="s">
        <v>27</v>
      </c>
      <c r="I178" s="0" t="s">
        <v>33</v>
      </c>
      <c r="J178" s="9" t="s">
        <v>34</v>
      </c>
      <c r="K178" s="9" t="s">
        <v>48</v>
      </c>
      <c r="L178" s="9" t="s">
        <v>49</v>
      </c>
      <c r="M178" s="0" t="s">
        <v>32</v>
      </c>
      <c r="N178" s="0" t="n">
        <v>884</v>
      </c>
      <c r="O178" s="10" t="n">
        <v>0.85272012767382</v>
      </c>
      <c r="P178" s="10" t="n">
        <v>0.719914150424302</v>
      </c>
      <c r="Q178" s="0" t="str">
        <f aca="false">SUBSTITUTE(SUBSTITUTE($I178,CHAR(61),""),CHAR(34),"")</f>
        <v>01-09</v>
      </c>
      <c r="R178" s="0" t="str">
        <f aca="false">IF($D178&lt;&gt;"","["&amp;$E178&amp;"]"&amp;"|"&amp;$Q178&amp;"|"&amp;$K178&amp;"|"&amp;$G178&amp;"|"&amp;IF($G178="TX_CURR_SUBNAT.R","CY2022Q4",$M178),"")</f>
        <v>[AZyWpGzhcaA]|01-09|Male|TX_CURR_SUBNAT.R|CY2022Q4</v>
      </c>
    </row>
    <row r="179" customFormat="false" ht="15" hidden="false" customHeight="false" outlineLevel="0" collapsed="false">
      <c r="A179" s="4"/>
      <c r="B179" s="4"/>
      <c r="C179" s="4"/>
      <c r="D179" s="9" t="s">
        <v>90</v>
      </c>
      <c r="E179" s="9" t="s">
        <v>91</v>
      </c>
      <c r="F179" s="9" t="s">
        <v>92</v>
      </c>
      <c r="G179" s="9" t="s">
        <v>26</v>
      </c>
      <c r="H179" s="9" t="s">
        <v>27</v>
      </c>
      <c r="I179" s="0" t="s">
        <v>36</v>
      </c>
      <c r="J179" s="9" t="s">
        <v>37</v>
      </c>
      <c r="K179" s="9" t="s">
        <v>48</v>
      </c>
      <c r="L179" s="9" t="s">
        <v>49</v>
      </c>
      <c r="M179" s="0" t="s">
        <v>32</v>
      </c>
      <c r="N179" s="0" t="n">
        <v>1755</v>
      </c>
      <c r="O179" s="10" t="n">
        <v>0.487334961304441</v>
      </c>
      <c r="P179" s="10" t="n">
        <v>0.719914150424302</v>
      </c>
      <c r="Q179" s="0" t="str">
        <f aca="false">SUBSTITUTE(SUBSTITUTE($I179,CHAR(61),""),CHAR(34),"")</f>
        <v>10-14</v>
      </c>
      <c r="R179" s="0" t="str">
        <f aca="false">IF($D179&lt;&gt;"","["&amp;$E179&amp;"]"&amp;"|"&amp;$Q179&amp;"|"&amp;$K179&amp;"|"&amp;$G179&amp;"|"&amp;IF($G179="TX_CURR_SUBNAT.R","CY2022Q4",$M179),"")</f>
        <v>[AZyWpGzhcaA]|10-14|Male|TX_CURR_SUBNAT.R|CY2022Q4</v>
      </c>
    </row>
    <row r="180" customFormat="false" ht="15" hidden="false" customHeight="false" outlineLevel="0" collapsed="false">
      <c r="A180" s="4"/>
      <c r="B180" s="4"/>
      <c r="C180" s="4"/>
      <c r="D180" s="9" t="s">
        <v>90</v>
      </c>
      <c r="E180" s="9" t="s">
        <v>91</v>
      </c>
      <c r="F180" s="9" t="s">
        <v>92</v>
      </c>
      <c r="G180" s="9" t="s">
        <v>26</v>
      </c>
      <c r="H180" s="9" t="s">
        <v>27</v>
      </c>
      <c r="I180" s="0" t="s">
        <v>38</v>
      </c>
      <c r="J180" s="9" t="s">
        <v>39</v>
      </c>
      <c r="K180" s="9" t="s">
        <v>48</v>
      </c>
      <c r="L180" s="9" t="s">
        <v>49</v>
      </c>
      <c r="M180" s="0" t="s">
        <v>32</v>
      </c>
      <c r="N180" s="0" t="n">
        <v>829</v>
      </c>
      <c r="O180" s="10" t="n">
        <v>0.838167504640296</v>
      </c>
      <c r="P180" s="10" t="n">
        <v>0.719914150424302</v>
      </c>
      <c r="Q180" s="0" t="str">
        <f aca="false">SUBSTITUTE(SUBSTITUTE($I180,CHAR(61),""),CHAR(34),"")</f>
        <v>15-24</v>
      </c>
      <c r="R180" s="0" t="str">
        <f aca="false">IF($D180&lt;&gt;"","["&amp;$E180&amp;"]"&amp;"|"&amp;$Q180&amp;"|"&amp;$K180&amp;"|"&amp;$G180&amp;"|"&amp;IF($G180="TX_CURR_SUBNAT.R","CY2022Q4",$M180),"")</f>
        <v>[AZyWpGzhcaA]|15-24|Male|TX_CURR_SUBNAT.R|CY2022Q4</v>
      </c>
    </row>
    <row r="181" customFormat="false" ht="15" hidden="false" customHeight="false" outlineLevel="0" collapsed="false">
      <c r="A181" s="4"/>
      <c r="B181" s="4"/>
      <c r="C181" s="4"/>
      <c r="D181" s="9" t="s">
        <v>90</v>
      </c>
      <c r="E181" s="9" t="s">
        <v>91</v>
      </c>
      <c r="F181" s="9" t="s">
        <v>92</v>
      </c>
      <c r="G181" s="9" t="s">
        <v>26</v>
      </c>
      <c r="H181" s="9" t="s">
        <v>27</v>
      </c>
      <c r="I181" s="0" t="s">
        <v>41</v>
      </c>
      <c r="J181" s="9" t="s">
        <v>42</v>
      </c>
      <c r="K181" s="9" t="s">
        <v>48</v>
      </c>
      <c r="L181" s="9" t="s">
        <v>49</v>
      </c>
      <c r="M181" s="0" t="s">
        <v>32</v>
      </c>
      <c r="N181" s="0" t="n">
        <v>1767</v>
      </c>
      <c r="O181" s="10" t="n">
        <v>0.0242899223230779</v>
      </c>
      <c r="P181" s="10" t="n">
        <v>0.719914150424302</v>
      </c>
      <c r="Q181" s="0" t="str">
        <f aca="false">SUBSTITUTE(SUBSTITUTE($I181,CHAR(61),""),CHAR(34),"")</f>
        <v>25-34</v>
      </c>
      <c r="R181" s="0" t="str">
        <f aca="false">IF($D181&lt;&gt;"","["&amp;$E181&amp;"]"&amp;"|"&amp;$Q181&amp;"|"&amp;$K181&amp;"|"&amp;$G181&amp;"|"&amp;IF($G181="TX_CURR_SUBNAT.R","CY2022Q4",$M181),"")</f>
        <v>[AZyWpGzhcaA]|25-34|Male|TX_CURR_SUBNAT.R|CY2022Q4</v>
      </c>
    </row>
    <row r="182" customFormat="false" ht="15" hidden="false" customHeight="false" outlineLevel="0" collapsed="false">
      <c r="A182" s="4"/>
      <c r="B182" s="4"/>
      <c r="C182" s="4"/>
      <c r="D182" s="9" t="s">
        <v>90</v>
      </c>
      <c r="E182" s="9" t="s">
        <v>91</v>
      </c>
      <c r="F182" s="9" t="s">
        <v>92</v>
      </c>
      <c r="G182" s="9" t="s">
        <v>26</v>
      </c>
      <c r="H182" s="9" t="s">
        <v>27</v>
      </c>
      <c r="I182" s="0" t="s">
        <v>43</v>
      </c>
      <c r="J182" s="9" t="s">
        <v>44</v>
      </c>
      <c r="K182" s="9" t="s">
        <v>48</v>
      </c>
      <c r="L182" s="9" t="s">
        <v>49</v>
      </c>
      <c r="M182" s="0" t="s">
        <v>32</v>
      </c>
      <c r="N182" s="0" t="n">
        <v>664</v>
      </c>
      <c r="O182" s="10" t="n">
        <v>0.705124741885811</v>
      </c>
      <c r="P182" s="10" t="n">
        <v>0.719914150424302</v>
      </c>
      <c r="Q182" s="0" t="str">
        <f aca="false">SUBSTITUTE(SUBSTITUTE($I182,CHAR(61),""),CHAR(34),"")</f>
        <v>35-49</v>
      </c>
      <c r="R182" s="0" t="str">
        <f aca="false">IF($D182&lt;&gt;"","["&amp;$E182&amp;"]"&amp;"|"&amp;$Q182&amp;"|"&amp;$K182&amp;"|"&amp;$G182&amp;"|"&amp;IF($G182="TX_CURR_SUBNAT.R","CY2022Q4",$M182),"")</f>
        <v>[AZyWpGzhcaA]|35-49|Male|TX_CURR_SUBNAT.R|CY2022Q4</v>
      </c>
    </row>
    <row r="183" customFormat="false" ht="15" hidden="false" customHeight="false" outlineLevel="0" collapsed="false">
      <c r="A183" s="4"/>
      <c r="B183" s="4"/>
      <c r="C183" s="4"/>
      <c r="D183" s="9" t="s">
        <v>90</v>
      </c>
      <c r="E183" s="9" t="s">
        <v>91</v>
      </c>
      <c r="F183" s="9" t="s">
        <v>92</v>
      </c>
      <c r="G183" s="9" t="s">
        <v>26</v>
      </c>
      <c r="H183" s="9" t="s">
        <v>27</v>
      </c>
      <c r="I183" s="0" t="s">
        <v>45</v>
      </c>
      <c r="J183" s="9" t="s">
        <v>46</v>
      </c>
      <c r="K183" s="9" t="s">
        <v>48</v>
      </c>
      <c r="L183" s="9" t="s">
        <v>49</v>
      </c>
      <c r="M183" s="0" t="s">
        <v>32</v>
      </c>
      <c r="N183" s="0" t="n">
        <v>744</v>
      </c>
      <c r="O183" s="10" t="n">
        <v>0.745987639762461</v>
      </c>
      <c r="P183" s="10" t="n">
        <v>0.719914150424302</v>
      </c>
      <c r="Q183" s="0" t="str">
        <f aca="false">SUBSTITUTE(SUBSTITUTE($I183,CHAR(61),""),CHAR(34),"")</f>
        <v>50+</v>
      </c>
      <c r="R183" s="0" t="str">
        <f aca="false">IF($D183&lt;&gt;"","["&amp;$E183&amp;"]"&amp;"|"&amp;$Q183&amp;"|"&amp;$K183&amp;"|"&amp;$G183&amp;"|"&amp;IF($G183="TX_CURR_SUBNAT.R","CY2022Q4",$M183),"")</f>
        <v>[AZyWpGzhcaA]|50+|Male|TX_CURR_SUBNAT.R|CY2022Q4</v>
      </c>
    </row>
    <row r="184" customFormat="false" ht="15" hidden="false" customHeight="false" outlineLevel="0" collapsed="false">
      <c r="A184" s="4"/>
      <c r="B184" s="4"/>
      <c r="C184" s="4"/>
      <c r="D184" s="9" t="s">
        <v>93</v>
      </c>
      <c r="E184" s="9" t="s">
        <v>94</v>
      </c>
      <c r="F184" s="9" t="s">
        <v>95</v>
      </c>
      <c r="G184" s="9" t="s">
        <v>26</v>
      </c>
      <c r="H184" s="9" t="s">
        <v>27</v>
      </c>
      <c r="I184" s="0" t="s">
        <v>28</v>
      </c>
      <c r="J184" s="9" t="s">
        <v>29</v>
      </c>
      <c r="K184" s="9" t="s">
        <v>30</v>
      </c>
      <c r="L184" s="9" t="s">
        <v>31</v>
      </c>
      <c r="M184" s="0" t="s">
        <v>32</v>
      </c>
      <c r="N184" s="0" t="n">
        <v>672</v>
      </c>
      <c r="O184" s="10" t="n">
        <v>0.460766030009836</v>
      </c>
      <c r="P184" s="10" t="n">
        <v>0.362272296566516</v>
      </c>
      <c r="Q184" s="0" t="str">
        <f aca="false">SUBSTITUTE(SUBSTITUTE($I184,CHAR(61),""),CHAR(34),"")</f>
        <v>&lt;01</v>
      </c>
      <c r="R184" s="0" t="str">
        <f aca="false">IF($D184&lt;&gt;"","["&amp;$E184&amp;"]"&amp;"|"&amp;$Q184&amp;"|"&amp;$K184&amp;"|"&amp;$G184&amp;"|"&amp;IF($G184="TX_CURR_SUBNAT.R","CY2022Q4",$M184),"")</f>
        <v>[umc2n1Z4wNv]|&lt;01|Female|TX_CURR_SUBNAT.R|CY2022Q4</v>
      </c>
    </row>
    <row r="185" customFormat="false" ht="15" hidden="false" customHeight="false" outlineLevel="0" collapsed="false">
      <c r="A185" s="4"/>
      <c r="B185" s="4"/>
      <c r="C185" s="4"/>
      <c r="D185" s="9" t="s">
        <v>93</v>
      </c>
      <c r="E185" s="9" t="s">
        <v>94</v>
      </c>
      <c r="F185" s="9" t="s">
        <v>95</v>
      </c>
      <c r="G185" s="9" t="s">
        <v>26</v>
      </c>
      <c r="H185" s="9" t="s">
        <v>27</v>
      </c>
      <c r="I185" s="0" t="s">
        <v>33</v>
      </c>
      <c r="J185" s="9" t="s">
        <v>34</v>
      </c>
      <c r="K185" s="9" t="s">
        <v>30</v>
      </c>
      <c r="L185" s="9" t="s">
        <v>31</v>
      </c>
      <c r="M185" s="0" t="s">
        <v>32</v>
      </c>
      <c r="N185" s="0" t="n">
        <v>545</v>
      </c>
      <c r="O185" s="10" t="n">
        <v>0.653198721120134</v>
      </c>
      <c r="P185" s="10" t="n">
        <v>0.362272296566516</v>
      </c>
      <c r="Q185" s="0" t="str">
        <f aca="false">SUBSTITUTE(SUBSTITUTE($I185,CHAR(61),""),CHAR(34),"")</f>
        <v>01-09</v>
      </c>
      <c r="R185" s="0" t="str">
        <f aca="false">IF($D185&lt;&gt;"","["&amp;$E185&amp;"]"&amp;"|"&amp;$Q185&amp;"|"&amp;$K185&amp;"|"&amp;$G185&amp;"|"&amp;IF($G185="TX_CURR_SUBNAT.R","CY2022Q4",$M185),"")</f>
        <v>[umc2n1Z4wNv]|01-09|Female|TX_CURR_SUBNAT.R|CY2022Q4</v>
      </c>
    </row>
    <row r="186" customFormat="false" ht="15" hidden="false" customHeight="false" outlineLevel="0" collapsed="false">
      <c r="A186" s="4"/>
      <c r="B186" s="4"/>
      <c r="C186" s="4"/>
      <c r="D186" s="9" t="s">
        <v>93</v>
      </c>
      <c r="E186" s="9" t="s">
        <v>94</v>
      </c>
      <c r="F186" s="9" t="s">
        <v>95</v>
      </c>
      <c r="G186" s="9" t="s">
        <v>26</v>
      </c>
      <c r="H186" s="9" t="s">
        <v>27</v>
      </c>
      <c r="I186" s="0" t="s">
        <v>36</v>
      </c>
      <c r="J186" s="9" t="s">
        <v>37</v>
      </c>
      <c r="K186" s="9" t="s">
        <v>30</v>
      </c>
      <c r="L186" s="9" t="s">
        <v>31</v>
      </c>
      <c r="M186" s="0" t="s">
        <v>32</v>
      </c>
      <c r="N186" s="0" t="n">
        <v>535</v>
      </c>
      <c r="O186" s="10" t="n">
        <v>0.354062588419765</v>
      </c>
      <c r="P186" s="10" t="n">
        <v>0.362272296566516</v>
      </c>
      <c r="Q186" s="0" t="str">
        <f aca="false">SUBSTITUTE(SUBSTITUTE($I186,CHAR(61),""),CHAR(34),"")</f>
        <v>10-14</v>
      </c>
      <c r="R186" s="0" t="str">
        <f aca="false">IF($D186&lt;&gt;"","["&amp;$E186&amp;"]"&amp;"|"&amp;$Q186&amp;"|"&amp;$K186&amp;"|"&amp;$G186&amp;"|"&amp;IF($G186="TX_CURR_SUBNAT.R","CY2022Q4",$M186),"")</f>
        <v>[umc2n1Z4wNv]|10-14|Female|TX_CURR_SUBNAT.R|CY2022Q4</v>
      </c>
    </row>
    <row r="187" customFormat="false" ht="15" hidden="false" customHeight="false" outlineLevel="0" collapsed="false">
      <c r="A187" s="4"/>
      <c r="B187" s="4"/>
      <c r="C187" s="4"/>
      <c r="D187" s="9" t="s">
        <v>93</v>
      </c>
      <c r="E187" s="9" t="s">
        <v>94</v>
      </c>
      <c r="F187" s="9" t="s">
        <v>95</v>
      </c>
      <c r="G187" s="9" t="s">
        <v>26</v>
      </c>
      <c r="H187" s="9" t="s">
        <v>27</v>
      </c>
      <c r="I187" s="0" t="s">
        <v>38</v>
      </c>
      <c r="J187" s="9" t="s">
        <v>39</v>
      </c>
      <c r="K187" s="9" t="s">
        <v>30</v>
      </c>
      <c r="L187" s="9" t="s">
        <v>31</v>
      </c>
      <c r="M187" s="0" t="s">
        <v>32</v>
      </c>
      <c r="N187" s="0" t="n">
        <v>791</v>
      </c>
      <c r="O187" s="10" t="n">
        <v>0.106496951775625</v>
      </c>
      <c r="P187" s="10" t="n">
        <v>0.362272296566516</v>
      </c>
      <c r="Q187" s="0" t="str">
        <f aca="false">SUBSTITUTE(SUBSTITUTE($I187,CHAR(61),""),CHAR(34),"")</f>
        <v>15-24</v>
      </c>
      <c r="R187" s="0" t="str">
        <f aca="false">IF($D187&lt;&gt;"","["&amp;$E187&amp;"]"&amp;"|"&amp;$Q187&amp;"|"&amp;$K187&amp;"|"&amp;$G187&amp;"|"&amp;IF($G187="TX_CURR_SUBNAT.R","CY2022Q4",$M187),"")</f>
        <v>[umc2n1Z4wNv]|15-24|Female|TX_CURR_SUBNAT.R|CY2022Q4</v>
      </c>
    </row>
    <row r="188" customFormat="false" ht="15" hidden="false" customHeight="false" outlineLevel="0" collapsed="false">
      <c r="A188" s="4"/>
      <c r="B188" s="4"/>
      <c r="C188" s="4"/>
      <c r="D188" s="9" t="s">
        <v>93</v>
      </c>
      <c r="E188" s="9" t="s">
        <v>94</v>
      </c>
      <c r="F188" s="9" t="s">
        <v>95</v>
      </c>
      <c r="G188" s="9" t="s">
        <v>26</v>
      </c>
      <c r="H188" s="9" t="s">
        <v>27</v>
      </c>
      <c r="I188" s="0" t="s">
        <v>41</v>
      </c>
      <c r="J188" s="9" t="s">
        <v>42</v>
      </c>
      <c r="K188" s="9" t="s">
        <v>30</v>
      </c>
      <c r="L188" s="9" t="s">
        <v>31</v>
      </c>
      <c r="M188" s="0" t="s">
        <v>32</v>
      </c>
      <c r="N188" s="0" t="n">
        <v>1086</v>
      </c>
      <c r="O188" s="10" t="n">
        <v>0.264037076383829</v>
      </c>
      <c r="P188" s="10" t="n">
        <v>0.362272296566516</v>
      </c>
      <c r="Q188" s="0" t="str">
        <f aca="false">SUBSTITUTE(SUBSTITUTE($I188,CHAR(61),""),CHAR(34),"")</f>
        <v>25-34</v>
      </c>
      <c r="R188" s="0" t="str">
        <f aca="false">IF($D188&lt;&gt;"","["&amp;$E188&amp;"]"&amp;"|"&amp;$Q188&amp;"|"&amp;$K188&amp;"|"&amp;$G188&amp;"|"&amp;IF($G188="TX_CURR_SUBNAT.R","CY2022Q4",$M188),"")</f>
        <v>[umc2n1Z4wNv]|25-34|Female|TX_CURR_SUBNAT.R|CY2022Q4</v>
      </c>
    </row>
    <row r="189" customFormat="false" ht="15" hidden="false" customHeight="false" outlineLevel="0" collapsed="false">
      <c r="A189" s="4"/>
      <c r="B189" s="4"/>
      <c r="C189" s="4"/>
      <c r="D189" s="9" t="s">
        <v>93</v>
      </c>
      <c r="E189" s="9" t="s">
        <v>94</v>
      </c>
      <c r="F189" s="9" t="s">
        <v>95</v>
      </c>
      <c r="G189" s="9" t="s">
        <v>26</v>
      </c>
      <c r="H189" s="9" t="s">
        <v>27</v>
      </c>
      <c r="I189" s="0" t="s">
        <v>43</v>
      </c>
      <c r="J189" s="9" t="s">
        <v>44</v>
      </c>
      <c r="K189" s="9" t="s">
        <v>30</v>
      </c>
      <c r="L189" s="9" t="s">
        <v>31</v>
      </c>
      <c r="M189" s="0" t="s">
        <v>32</v>
      </c>
      <c r="N189" s="0" t="n">
        <v>1696</v>
      </c>
      <c r="O189" s="10" t="n">
        <v>0.207621669862419</v>
      </c>
      <c r="P189" s="10" t="n">
        <v>0.362272296566516</v>
      </c>
      <c r="Q189" s="0" t="str">
        <f aca="false">SUBSTITUTE(SUBSTITUTE($I189,CHAR(61),""),CHAR(34),"")</f>
        <v>35-49</v>
      </c>
      <c r="R189" s="0" t="str">
        <f aca="false">IF($D189&lt;&gt;"","["&amp;$E189&amp;"]"&amp;"|"&amp;$Q189&amp;"|"&amp;$K189&amp;"|"&amp;$G189&amp;"|"&amp;IF($G189="TX_CURR_SUBNAT.R","CY2022Q4",$M189),"")</f>
        <v>[umc2n1Z4wNv]|35-49|Female|TX_CURR_SUBNAT.R|CY2022Q4</v>
      </c>
    </row>
    <row r="190" customFormat="false" ht="15" hidden="false" customHeight="false" outlineLevel="0" collapsed="false">
      <c r="A190" s="4"/>
      <c r="B190" s="4"/>
      <c r="C190" s="4"/>
      <c r="D190" s="9" t="s">
        <v>93</v>
      </c>
      <c r="E190" s="9" t="s">
        <v>94</v>
      </c>
      <c r="F190" s="9" t="s">
        <v>95</v>
      </c>
      <c r="G190" s="9" t="s">
        <v>26</v>
      </c>
      <c r="H190" s="9" t="s">
        <v>27</v>
      </c>
      <c r="I190" s="0" t="s">
        <v>45</v>
      </c>
      <c r="J190" s="9" t="s">
        <v>46</v>
      </c>
      <c r="K190" s="9" t="s">
        <v>30</v>
      </c>
      <c r="L190" s="9" t="s">
        <v>31</v>
      </c>
      <c r="M190" s="0" t="s">
        <v>32</v>
      </c>
      <c r="N190" s="0" t="n">
        <v>553</v>
      </c>
      <c r="O190" s="10" t="n">
        <v>0.986411137040704</v>
      </c>
      <c r="P190" s="10" t="n">
        <v>0.362272296566516</v>
      </c>
      <c r="Q190" s="0" t="str">
        <f aca="false">SUBSTITUTE(SUBSTITUTE($I190,CHAR(61),""),CHAR(34),"")</f>
        <v>50+</v>
      </c>
      <c r="R190" s="0" t="str">
        <f aca="false">IF($D190&lt;&gt;"","["&amp;$E190&amp;"]"&amp;"|"&amp;$Q190&amp;"|"&amp;$K190&amp;"|"&amp;$G190&amp;"|"&amp;IF($G190="TX_CURR_SUBNAT.R","CY2022Q4",$M190),"")</f>
        <v>[umc2n1Z4wNv]|50+|Female|TX_CURR_SUBNAT.R|CY2022Q4</v>
      </c>
    </row>
    <row r="191" customFormat="false" ht="15" hidden="false" customHeight="false" outlineLevel="0" collapsed="false">
      <c r="A191" s="4"/>
      <c r="B191" s="4"/>
      <c r="C191" s="4"/>
      <c r="D191" s="9" t="s">
        <v>93</v>
      </c>
      <c r="E191" s="9" t="s">
        <v>94</v>
      </c>
      <c r="F191" s="9" t="s">
        <v>95</v>
      </c>
      <c r="G191" s="9" t="s">
        <v>26</v>
      </c>
      <c r="H191" s="9" t="s">
        <v>27</v>
      </c>
      <c r="I191" s="0" t="s">
        <v>28</v>
      </c>
      <c r="J191" s="9" t="s">
        <v>29</v>
      </c>
      <c r="K191" s="9" t="s">
        <v>48</v>
      </c>
      <c r="L191" s="9" t="s">
        <v>49</v>
      </c>
      <c r="M191" s="0" t="s">
        <v>32</v>
      </c>
      <c r="N191" s="0" t="n">
        <v>1186</v>
      </c>
      <c r="O191" s="10" t="n">
        <v>0.367010602727532</v>
      </c>
      <c r="P191" s="10" t="n">
        <v>0.362272296566516</v>
      </c>
      <c r="Q191" s="0" t="str">
        <f aca="false">SUBSTITUTE(SUBSTITUTE($I191,CHAR(61),""),CHAR(34),"")</f>
        <v>&lt;01</v>
      </c>
      <c r="R191" s="0" t="str">
        <f aca="false">IF($D191&lt;&gt;"","["&amp;$E191&amp;"]"&amp;"|"&amp;$Q191&amp;"|"&amp;$K191&amp;"|"&amp;$G191&amp;"|"&amp;IF($G191="TX_CURR_SUBNAT.R","CY2022Q4",$M191),"")</f>
        <v>[umc2n1Z4wNv]|&lt;01|Male|TX_CURR_SUBNAT.R|CY2022Q4</v>
      </c>
    </row>
    <row r="192" customFormat="false" ht="15" hidden="false" customHeight="false" outlineLevel="0" collapsed="false">
      <c r="A192" s="4"/>
      <c r="B192" s="4"/>
      <c r="C192" s="4"/>
      <c r="D192" s="9" t="s">
        <v>93</v>
      </c>
      <c r="E192" s="9" t="s">
        <v>94</v>
      </c>
      <c r="F192" s="9" t="s">
        <v>95</v>
      </c>
      <c r="G192" s="9" t="s">
        <v>26</v>
      </c>
      <c r="H192" s="9" t="s">
        <v>27</v>
      </c>
      <c r="I192" s="0" t="s">
        <v>33</v>
      </c>
      <c r="J192" s="9" t="s">
        <v>34</v>
      </c>
      <c r="K192" s="9" t="s">
        <v>48</v>
      </c>
      <c r="L192" s="9" t="s">
        <v>49</v>
      </c>
      <c r="M192" s="0" t="s">
        <v>32</v>
      </c>
      <c r="N192" s="0" t="n">
        <v>1371</v>
      </c>
      <c r="O192" s="10" t="n">
        <v>0.216016293736175</v>
      </c>
      <c r="P192" s="10" t="n">
        <v>0.362272296566516</v>
      </c>
      <c r="Q192" s="0" t="str">
        <f aca="false">SUBSTITUTE(SUBSTITUTE($I192,CHAR(61),""),CHAR(34),"")</f>
        <v>01-09</v>
      </c>
      <c r="R192" s="0" t="str">
        <f aca="false">IF($D192&lt;&gt;"","["&amp;$E192&amp;"]"&amp;"|"&amp;$Q192&amp;"|"&amp;$K192&amp;"|"&amp;$G192&amp;"|"&amp;IF($G192="TX_CURR_SUBNAT.R","CY2022Q4",$M192),"")</f>
        <v>[umc2n1Z4wNv]|01-09|Male|TX_CURR_SUBNAT.R|CY2022Q4</v>
      </c>
    </row>
    <row r="193" customFormat="false" ht="15" hidden="false" customHeight="false" outlineLevel="0" collapsed="false">
      <c r="A193" s="4"/>
      <c r="B193" s="4"/>
      <c r="C193" s="4"/>
      <c r="D193" s="9" t="s">
        <v>93</v>
      </c>
      <c r="E193" s="9" t="s">
        <v>94</v>
      </c>
      <c r="F193" s="9" t="s">
        <v>95</v>
      </c>
      <c r="G193" s="9" t="s">
        <v>26</v>
      </c>
      <c r="H193" s="9" t="s">
        <v>27</v>
      </c>
      <c r="I193" s="0" t="s">
        <v>36</v>
      </c>
      <c r="J193" s="9" t="s">
        <v>37</v>
      </c>
      <c r="K193" s="9" t="s">
        <v>48</v>
      </c>
      <c r="L193" s="9" t="s">
        <v>49</v>
      </c>
      <c r="M193" s="0" t="s">
        <v>32</v>
      </c>
      <c r="N193" s="0" t="n">
        <v>1586</v>
      </c>
      <c r="O193" s="10" t="n">
        <v>0.593913960503414</v>
      </c>
      <c r="P193" s="10" t="n">
        <v>0.362272296566516</v>
      </c>
      <c r="Q193" s="0" t="str">
        <f aca="false">SUBSTITUTE(SUBSTITUTE($I193,CHAR(61),""),CHAR(34),"")</f>
        <v>10-14</v>
      </c>
      <c r="R193" s="0" t="str">
        <f aca="false">IF($D193&lt;&gt;"","["&amp;$E193&amp;"]"&amp;"|"&amp;$Q193&amp;"|"&amp;$K193&amp;"|"&amp;$G193&amp;"|"&amp;IF($G193="TX_CURR_SUBNAT.R","CY2022Q4",$M193),"")</f>
        <v>[umc2n1Z4wNv]|10-14|Male|TX_CURR_SUBNAT.R|CY2022Q4</v>
      </c>
    </row>
    <row r="194" customFormat="false" ht="15" hidden="false" customHeight="false" outlineLevel="0" collapsed="false">
      <c r="A194" s="4"/>
      <c r="B194" s="4"/>
      <c r="C194" s="4"/>
      <c r="D194" s="9" t="s">
        <v>93</v>
      </c>
      <c r="E194" s="9" t="s">
        <v>94</v>
      </c>
      <c r="F194" s="9" t="s">
        <v>95</v>
      </c>
      <c r="G194" s="9" t="s">
        <v>26</v>
      </c>
      <c r="H194" s="9" t="s">
        <v>27</v>
      </c>
      <c r="I194" s="0" t="s">
        <v>38</v>
      </c>
      <c r="J194" s="9" t="s">
        <v>39</v>
      </c>
      <c r="K194" s="9" t="s">
        <v>48</v>
      </c>
      <c r="L194" s="9" t="s">
        <v>49</v>
      </c>
      <c r="M194" s="0" t="s">
        <v>32</v>
      </c>
      <c r="N194" s="0" t="n">
        <v>1049</v>
      </c>
      <c r="O194" s="10" t="n">
        <v>0.887274160515517</v>
      </c>
      <c r="P194" s="10" t="n">
        <v>0.362272296566516</v>
      </c>
      <c r="Q194" s="0" t="str">
        <f aca="false">SUBSTITUTE(SUBSTITUTE($I194,CHAR(61),""),CHAR(34),"")</f>
        <v>15-24</v>
      </c>
      <c r="R194" s="0" t="str">
        <f aca="false">IF($D194&lt;&gt;"","["&amp;$E194&amp;"]"&amp;"|"&amp;$Q194&amp;"|"&amp;$K194&amp;"|"&amp;$G194&amp;"|"&amp;IF($G194="TX_CURR_SUBNAT.R","CY2022Q4",$M194),"")</f>
        <v>[umc2n1Z4wNv]|15-24|Male|TX_CURR_SUBNAT.R|CY2022Q4</v>
      </c>
    </row>
    <row r="195" customFormat="false" ht="15" hidden="false" customHeight="false" outlineLevel="0" collapsed="false">
      <c r="A195" s="4"/>
      <c r="B195" s="4"/>
      <c r="C195" s="4"/>
      <c r="D195" s="9" t="s">
        <v>93</v>
      </c>
      <c r="E195" s="9" t="s">
        <v>94</v>
      </c>
      <c r="F195" s="9" t="s">
        <v>95</v>
      </c>
      <c r="G195" s="9" t="s">
        <v>26</v>
      </c>
      <c r="H195" s="9" t="s">
        <v>27</v>
      </c>
      <c r="I195" s="0" t="s">
        <v>41</v>
      </c>
      <c r="J195" s="9" t="s">
        <v>42</v>
      </c>
      <c r="K195" s="9" t="s">
        <v>48</v>
      </c>
      <c r="L195" s="9" t="s">
        <v>49</v>
      </c>
      <c r="M195" s="0" t="s">
        <v>32</v>
      </c>
      <c r="N195" s="0" t="n">
        <v>741</v>
      </c>
      <c r="O195" s="10" t="n">
        <v>0.241946158232167</v>
      </c>
      <c r="P195" s="10" t="n">
        <v>0.362272296566516</v>
      </c>
      <c r="Q195" s="0" t="str">
        <f aca="false">SUBSTITUTE(SUBSTITUTE($I195,CHAR(61),""),CHAR(34),"")</f>
        <v>25-34</v>
      </c>
      <c r="R195" s="0" t="str">
        <f aca="false">IF($D195&lt;&gt;"","["&amp;$E195&amp;"]"&amp;"|"&amp;$Q195&amp;"|"&amp;$K195&amp;"|"&amp;$G195&amp;"|"&amp;IF($G195="TX_CURR_SUBNAT.R","CY2022Q4",$M195),"")</f>
        <v>[umc2n1Z4wNv]|25-34|Male|TX_CURR_SUBNAT.R|CY2022Q4</v>
      </c>
    </row>
    <row r="196" customFormat="false" ht="15" hidden="false" customHeight="false" outlineLevel="0" collapsed="false">
      <c r="A196" s="4"/>
      <c r="B196" s="4"/>
      <c r="C196" s="4"/>
      <c r="D196" s="9" t="s">
        <v>93</v>
      </c>
      <c r="E196" s="9" t="s">
        <v>94</v>
      </c>
      <c r="F196" s="9" t="s">
        <v>95</v>
      </c>
      <c r="G196" s="9" t="s">
        <v>26</v>
      </c>
      <c r="H196" s="9" t="s">
        <v>27</v>
      </c>
      <c r="I196" s="0" t="s">
        <v>43</v>
      </c>
      <c r="J196" s="9" t="s">
        <v>44</v>
      </c>
      <c r="K196" s="9" t="s">
        <v>48</v>
      </c>
      <c r="L196" s="9" t="s">
        <v>49</v>
      </c>
      <c r="M196" s="0" t="s">
        <v>32</v>
      </c>
      <c r="N196" s="0" t="n">
        <v>1358</v>
      </c>
      <c r="O196" s="10" t="n">
        <v>0.0868861433118582</v>
      </c>
      <c r="P196" s="10" t="n">
        <v>0.362272296566516</v>
      </c>
      <c r="Q196" s="0" t="str">
        <f aca="false">SUBSTITUTE(SUBSTITUTE($I196,CHAR(61),""),CHAR(34),"")</f>
        <v>35-49</v>
      </c>
      <c r="R196" s="0" t="str">
        <f aca="false">IF($D196&lt;&gt;"","["&amp;$E196&amp;"]"&amp;"|"&amp;$Q196&amp;"|"&amp;$K196&amp;"|"&amp;$G196&amp;"|"&amp;IF($G196="TX_CURR_SUBNAT.R","CY2022Q4",$M196),"")</f>
        <v>[umc2n1Z4wNv]|35-49|Male|TX_CURR_SUBNAT.R|CY2022Q4</v>
      </c>
    </row>
    <row r="197" customFormat="false" ht="15" hidden="false" customHeight="false" outlineLevel="0" collapsed="false">
      <c r="A197" s="4"/>
      <c r="B197" s="4"/>
      <c r="C197" s="4"/>
      <c r="D197" s="9" t="s">
        <v>93</v>
      </c>
      <c r="E197" s="9" t="s">
        <v>94</v>
      </c>
      <c r="F197" s="9" t="s">
        <v>95</v>
      </c>
      <c r="G197" s="9" t="s">
        <v>26</v>
      </c>
      <c r="H197" s="9" t="s">
        <v>27</v>
      </c>
      <c r="I197" s="0" t="s">
        <v>45</v>
      </c>
      <c r="J197" s="9" t="s">
        <v>46</v>
      </c>
      <c r="K197" s="9" t="s">
        <v>48</v>
      </c>
      <c r="L197" s="9" t="s">
        <v>49</v>
      </c>
      <c r="M197" s="0" t="s">
        <v>32</v>
      </c>
      <c r="N197" s="0" t="n">
        <v>881</v>
      </c>
      <c r="O197" s="10" t="n">
        <v>0.600859660422429</v>
      </c>
      <c r="P197" s="10" t="n">
        <v>0.362272296566516</v>
      </c>
      <c r="Q197" s="0" t="str">
        <f aca="false">SUBSTITUTE(SUBSTITUTE($I197,CHAR(61),""),CHAR(34),"")</f>
        <v>50+</v>
      </c>
      <c r="R197" s="0" t="str">
        <f aca="false">IF($D197&lt;&gt;"","["&amp;$E197&amp;"]"&amp;"|"&amp;$Q197&amp;"|"&amp;$K197&amp;"|"&amp;$G197&amp;"|"&amp;IF($G197="TX_CURR_SUBNAT.R","CY2022Q4",$M197),"")</f>
        <v>[umc2n1Z4wNv]|50+|Male|TX_CURR_SUBNAT.R|CY2022Q4</v>
      </c>
    </row>
    <row r="198" customFormat="false" ht="15" hidden="false" customHeight="false" outlineLevel="0" collapsed="false">
      <c r="A198" s="4"/>
      <c r="B198" s="4"/>
      <c r="C198" s="4"/>
      <c r="D198" s="9" t="s">
        <v>96</v>
      </c>
      <c r="E198" s="9" t="s">
        <v>97</v>
      </c>
      <c r="F198" s="9" t="s">
        <v>98</v>
      </c>
      <c r="G198" s="9" t="s">
        <v>26</v>
      </c>
      <c r="H198" s="9" t="s">
        <v>27</v>
      </c>
      <c r="I198" s="0" t="s">
        <v>28</v>
      </c>
      <c r="J198" s="9" t="s">
        <v>29</v>
      </c>
      <c r="K198" s="9" t="s">
        <v>30</v>
      </c>
      <c r="L198" s="9" t="s">
        <v>31</v>
      </c>
      <c r="M198" s="0" t="s">
        <v>32</v>
      </c>
      <c r="N198" s="0" t="n">
        <v>1683</v>
      </c>
      <c r="O198" s="10" t="n">
        <v>0.287081679794937</v>
      </c>
      <c r="P198" s="10" t="n">
        <v>0.601251717889681</v>
      </c>
      <c r="Q198" s="0" t="str">
        <f aca="false">SUBSTITUTE(SUBSTITUTE($I198,CHAR(61),""),CHAR(34),"")</f>
        <v>&lt;01</v>
      </c>
      <c r="R198" s="0" t="str">
        <f aca="false">IF($D198&lt;&gt;"","["&amp;$E198&amp;"]"&amp;"|"&amp;$Q198&amp;"|"&amp;$K198&amp;"|"&amp;$G198&amp;"|"&amp;IF($G198="TX_CURR_SUBNAT.R","CY2022Q4",$M198),"")</f>
        <v>[gwVYinjBAe9]|&lt;01|Female|TX_CURR_SUBNAT.R|CY2022Q4</v>
      </c>
    </row>
    <row r="199" customFormat="false" ht="15" hidden="false" customHeight="false" outlineLevel="0" collapsed="false">
      <c r="A199" s="4"/>
      <c r="B199" s="4"/>
      <c r="C199" s="4"/>
      <c r="D199" s="9" t="s">
        <v>96</v>
      </c>
      <c r="E199" s="9" t="s">
        <v>97</v>
      </c>
      <c r="F199" s="9" t="s">
        <v>98</v>
      </c>
      <c r="G199" s="9" t="s">
        <v>26</v>
      </c>
      <c r="H199" s="9" t="s">
        <v>27</v>
      </c>
      <c r="I199" s="0" t="s">
        <v>33</v>
      </c>
      <c r="J199" s="9" t="s">
        <v>34</v>
      </c>
      <c r="K199" s="9" t="s">
        <v>30</v>
      </c>
      <c r="L199" s="9" t="s">
        <v>31</v>
      </c>
      <c r="M199" s="0" t="s">
        <v>32</v>
      </c>
      <c r="N199" s="0" t="n">
        <v>980</v>
      </c>
      <c r="O199" s="10" t="n">
        <v>0.391601299401373</v>
      </c>
      <c r="P199" s="10" t="n">
        <v>0.601251717889681</v>
      </c>
      <c r="Q199" s="0" t="str">
        <f aca="false">SUBSTITUTE(SUBSTITUTE($I199,CHAR(61),""),CHAR(34),"")</f>
        <v>01-09</v>
      </c>
      <c r="R199" s="0" t="str">
        <f aca="false">IF($D199&lt;&gt;"","["&amp;$E199&amp;"]"&amp;"|"&amp;$Q199&amp;"|"&amp;$K199&amp;"|"&amp;$G199&amp;"|"&amp;IF($G199="TX_CURR_SUBNAT.R","CY2022Q4",$M199),"")</f>
        <v>[gwVYinjBAe9]|01-09|Female|TX_CURR_SUBNAT.R|CY2022Q4</v>
      </c>
    </row>
    <row r="200" customFormat="false" ht="15" hidden="false" customHeight="false" outlineLevel="0" collapsed="false">
      <c r="A200" s="4"/>
      <c r="B200" s="4"/>
      <c r="C200" s="4"/>
      <c r="D200" s="9" t="s">
        <v>96</v>
      </c>
      <c r="E200" s="9" t="s">
        <v>97</v>
      </c>
      <c r="F200" s="9" t="s">
        <v>98</v>
      </c>
      <c r="G200" s="9" t="s">
        <v>26</v>
      </c>
      <c r="H200" s="9" t="s">
        <v>27</v>
      </c>
      <c r="I200" s="0" t="s">
        <v>36</v>
      </c>
      <c r="J200" s="9" t="s">
        <v>37</v>
      </c>
      <c r="K200" s="9" t="s">
        <v>30</v>
      </c>
      <c r="L200" s="9" t="s">
        <v>31</v>
      </c>
      <c r="M200" s="0" t="s">
        <v>32</v>
      </c>
      <c r="N200" s="0" t="n">
        <v>1783</v>
      </c>
      <c r="O200" s="10" t="n">
        <v>0.718082609819248</v>
      </c>
      <c r="P200" s="10" t="n">
        <v>0.601251717889681</v>
      </c>
      <c r="Q200" s="0" t="str">
        <f aca="false">SUBSTITUTE(SUBSTITUTE($I200,CHAR(61),""),CHAR(34),"")</f>
        <v>10-14</v>
      </c>
      <c r="R200" s="0" t="str">
        <f aca="false">IF($D200&lt;&gt;"","["&amp;$E200&amp;"]"&amp;"|"&amp;$Q200&amp;"|"&amp;$K200&amp;"|"&amp;$G200&amp;"|"&amp;IF($G200="TX_CURR_SUBNAT.R","CY2022Q4",$M200),"")</f>
        <v>[gwVYinjBAe9]|10-14|Female|TX_CURR_SUBNAT.R|CY2022Q4</v>
      </c>
    </row>
    <row r="201" customFormat="false" ht="15" hidden="false" customHeight="false" outlineLevel="0" collapsed="false">
      <c r="D201" s="9" t="s">
        <v>96</v>
      </c>
      <c r="E201" s="9" t="s">
        <v>97</v>
      </c>
      <c r="F201" s="9" t="s">
        <v>98</v>
      </c>
      <c r="G201" s="9" t="s">
        <v>26</v>
      </c>
      <c r="H201" s="9" t="s">
        <v>27</v>
      </c>
      <c r="I201" s="0" t="s">
        <v>38</v>
      </c>
      <c r="J201" s="9" t="s">
        <v>39</v>
      </c>
      <c r="K201" s="9" t="s">
        <v>30</v>
      </c>
      <c r="L201" s="9" t="s">
        <v>31</v>
      </c>
      <c r="M201" s="0" t="s">
        <v>32</v>
      </c>
      <c r="N201" s="0" t="n">
        <v>626</v>
      </c>
      <c r="O201" s="10" t="n">
        <v>0.228106908500195</v>
      </c>
      <c r="P201" s="10" t="n">
        <v>0.601251717889681</v>
      </c>
      <c r="Q201" s="0" t="str">
        <f aca="false">SUBSTITUTE(SUBSTITUTE($I201,CHAR(61),""),CHAR(34),"")</f>
        <v>15-24</v>
      </c>
      <c r="R201" s="0" t="str">
        <f aca="false">IF($D201&lt;&gt;"","["&amp;$E201&amp;"]"&amp;"|"&amp;$Q201&amp;"|"&amp;$K201&amp;"|"&amp;$G201&amp;"|"&amp;IF($G201="TX_CURR_SUBNAT.R","CY2022Q4",$M201),"")</f>
        <v>[gwVYinjBAe9]|15-24|Female|TX_CURR_SUBNAT.R|CY2022Q4</v>
      </c>
    </row>
    <row r="202" customFormat="false" ht="15" hidden="false" customHeight="false" outlineLevel="0" collapsed="false">
      <c r="D202" s="9" t="s">
        <v>96</v>
      </c>
      <c r="E202" s="9" t="s">
        <v>97</v>
      </c>
      <c r="F202" s="9" t="s">
        <v>98</v>
      </c>
      <c r="G202" s="9" t="s">
        <v>26</v>
      </c>
      <c r="H202" s="9" t="s">
        <v>27</v>
      </c>
      <c r="I202" s="0" t="s">
        <v>41</v>
      </c>
      <c r="J202" s="9" t="s">
        <v>42</v>
      </c>
      <c r="K202" s="9" t="s">
        <v>30</v>
      </c>
      <c r="L202" s="9" t="s">
        <v>31</v>
      </c>
      <c r="M202" s="0" t="s">
        <v>32</v>
      </c>
      <c r="N202" s="0" t="n">
        <v>952</v>
      </c>
      <c r="O202" s="10" t="n">
        <v>0.173855767352507</v>
      </c>
      <c r="P202" s="10" t="n">
        <v>0.601251717889681</v>
      </c>
      <c r="Q202" s="0" t="str">
        <f aca="false">SUBSTITUTE(SUBSTITUTE($I202,CHAR(61),""),CHAR(34),"")</f>
        <v>25-34</v>
      </c>
      <c r="R202" s="0" t="str">
        <f aca="false">IF($D202&lt;&gt;"","["&amp;$E202&amp;"]"&amp;"|"&amp;$Q202&amp;"|"&amp;$K202&amp;"|"&amp;$G202&amp;"|"&amp;IF($G202="TX_CURR_SUBNAT.R","CY2022Q4",$M202),"")</f>
        <v>[gwVYinjBAe9]|25-34|Female|TX_CURR_SUBNAT.R|CY2022Q4</v>
      </c>
    </row>
    <row r="203" customFormat="false" ht="15" hidden="false" customHeight="false" outlineLevel="0" collapsed="false">
      <c r="D203" s="9" t="s">
        <v>96</v>
      </c>
      <c r="E203" s="9" t="s">
        <v>97</v>
      </c>
      <c r="F203" s="9" t="s">
        <v>98</v>
      </c>
      <c r="G203" s="9" t="s">
        <v>26</v>
      </c>
      <c r="H203" s="9" t="s">
        <v>27</v>
      </c>
      <c r="I203" s="0" t="s">
        <v>43</v>
      </c>
      <c r="J203" s="9" t="s">
        <v>44</v>
      </c>
      <c r="K203" s="9" t="s">
        <v>30</v>
      </c>
      <c r="L203" s="9" t="s">
        <v>31</v>
      </c>
      <c r="M203" s="0" t="s">
        <v>32</v>
      </c>
      <c r="N203" s="0" t="n">
        <v>1845</v>
      </c>
      <c r="O203" s="10" t="n">
        <v>0.242671723943204</v>
      </c>
      <c r="P203" s="10" t="n">
        <v>0.601251717889681</v>
      </c>
      <c r="Q203" s="0" t="str">
        <f aca="false">SUBSTITUTE(SUBSTITUTE($I203,CHAR(61),""),CHAR(34),"")</f>
        <v>35-49</v>
      </c>
      <c r="R203" s="0" t="str">
        <f aca="false">IF($D203&lt;&gt;"","["&amp;$E203&amp;"]"&amp;"|"&amp;$Q203&amp;"|"&amp;$K203&amp;"|"&amp;$G203&amp;"|"&amp;IF($G203="TX_CURR_SUBNAT.R","CY2022Q4",$M203),"")</f>
        <v>[gwVYinjBAe9]|35-49|Female|TX_CURR_SUBNAT.R|CY2022Q4</v>
      </c>
    </row>
    <row r="204" customFormat="false" ht="15" hidden="false" customHeight="false" outlineLevel="0" collapsed="false">
      <c r="D204" s="9" t="s">
        <v>96</v>
      </c>
      <c r="E204" s="9" t="s">
        <v>97</v>
      </c>
      <c r="F204" s="9" t="s">
        <v>98</v>
      </c>
      <c r="G204" s="9" t="s">
        <v>26</v>
      </c>
      <c r="H204" s="9" t="s">
        <v>27</v>
      </c>
      <c r="I204" s="0" t="s">
        <v>45</v>
      </c>
      <c r="J204" s="9" t="s">
        <v>46</v>
      </c>
      <c r="K204" s="9" t="s">
        <v>30</v>
      </c>
      <c r="L204" s="9" t="s">
        <v>31</v>
      </c>
      <c r="M204" s="0" t="s">
        <v>32</v>
      </c>
      <c r="N204" s="0" t="n">
        <v>1752</v>
      </c>
      <c r="O204" s="10" t="n">
        <v>0.385995796648785</v>
      </c>
      <c r="P204" s="10" t="n">
        <v>0.601251717889681</v>
      </c>
      <c r="Q204" s="0" t="str">
        <f aca="false">SUBSTITUTE(SUBSTITUTE($I204,CHAR(61),""),CHAR(34),"")</f>
        <v>50+</v>
      </c>
      <c r="R204" s="0" t="str">
        <f aca="false">IF($D204&lt;&gt;"","["&amp;$E204&amp;"]"&amp;"|"&amp;$Q204&amp;"|"&amp;$K204&amp;"|"&amp;$G204&amp;"|"&amp;IF($G204="TX_CURR_SUBNAT.R","CY2022Q4",$M204),"")</f>
        <v>[gwVYinjBAe9]|50+|Female|TX_CURR_SUBNAT.R|CY2022Q4</v>
      </c>
    </row>
    <row r="205" customFormat="false" ht="15" hidden="false" customHeight="false" outlineLevel="0" collapsed="false">
      <c r="D205" s="9" t="s">
        <v>96</v>
      </c>
      <c r="E205" s="9" t="s">
        <v>97</v>
      </c>
      <c r="F205" s="9" t="s">
        <v>98</v>
      </c>
      <c r="G205" s="9" t="s">
        <v>26</v>
      </c>
      <c r="H205" s="9" t="s">
        <v>27</v>
      </c>
      <c r="I205" s="0" t="s">
        <v>28</v>
      </c>
      <c r="J205" s="9" t="s">
        <v>29</v>
      </c>
      <c r="K205" s="9" t="s">
        <v>48</v>
      </c>
      <c r="L205" s="9" t="s">
        <v>49</v>
      </c>
      <c r="M205" s="0" t="s">
        <v>32</v>
      </c>
      <c r="N205" s="0" t="n">
        <v>549</v>
      </c>
      <c r="O205" s="10" t="n">
        <v>0.00952044874429703</v>
      </c>
      <c r="P205" s="10" t="n">
        <v>0.601251717889681</v>
      </c>
      <c r="Q205" s="0" t="str">
        <f aca="false">SUBSTITUTE(SUBSTITUTE($I205,CHAR(61),""),CHAR(34),"")</f>
        <v>&lt;01</v>
      </c>
      <c r="R205" s="0" t="str">
        <f aca="false">IF($D205&lt;&gt;"","["&amp;$E205&amp;"]"&amp;"|"&amp;$Q205&amp;"|"&amp;$K205&amp;"|"&amp;$G205&amp;"|"&amp;IF($G205="TX_CURR_SUBNAT.R","CY2022Q4",$M205),"")</f>
        <v>[gwVYinjBAe9]|&lt;01|Male|TX_CURR_SUBNAT.R|CY2022Q4</v>
      </c>
    </row>
    <row r="206" customFormat="false" ht="15" hidden="false" customHeight="false" outlineLevel="0" collapsed="false">
      <c r="D206" s="9" t="s">
        <v>96</v>
      </c>
      <c r="E206" s="9" t="s">
        <v>97</v>
      </c>
      <c r="F206" s="9" t="s">
        <v>98</v>
      </c>
      <c r="G206" s="9" t="s">
        <v>26</v>
      </c>
      <c r="H206" s="9" t="s">
        <v>27</v>
      </c>
      <c r="I206" s="0" t="s">
        <v>33</v>
      </c>
      <c r="J206" s="9" t="s">
        <v>34</v>
      </c>
      <c r="K206" s="9" t="s">
        <v>48</v>
      </c>
      <c r="L206" s="9" t="s">
        <v>49</v>
      </c>
      <c r="M206" s="0" t="s">
        <v>32</v>
      </c>
      <c r="N206" s="0" t="n">
        <v>1471</v>
      </c>
      <c r="O206" s="10" t="n">
        <v>0.975716553628445</v>
      </c>
      <c r="P206" s="10" t="n">
        <v>0.601251717889681</v>
      </c>
      <c r="Q206" s="0" t="str">
        <f aca="false">SUBSTITUTE(SUBSTITUTE($I206,CHAR(61),""),CHAR(34),"")</f>
        <v>01-09</v>
      </c>
      <c r="R206" s="0" t="str">
        <f aca="false">IF($D206&lt;&gt;"","["&amp;$E206&amp;"]"&amp;"|"&amp;$Q206&amp;"|"&amp;$K206&amp;"|"&amp;$G206&amp;"|"&amp;IF($G206="TX_CURR_SUBNAT.R","CY2022Q4",$M206),"")</f>
        <v>[gwVYinjBAe9]|01-09|Male|TX_CURR_SUBNAT.R|CY2022Q4</v>
      </c>
    </row>
    <row r="207" customFormat="false" ht="15" hidden="false" customHeight="false" outlineLevel="0" collapsed="false">
      <c r="D207" s="9" t="s">
        <v>96</v>
      </c>
      <c r="E207" s="9" t="s">
        <v>97</v>
      </c>
      <c r="F207" s="9" t="s">
        <v>98</v>
      </c>
      <c r="G207" s="9" t="s">
        <v>26</v>
      </c>
      <c r="H207" s="9" t="s">
        <v>27</v>
      </c>
      <c r="I207" s="0" t="s">
        <v>36</v>
      </c>
      <c r="J207" s="9" t="s">
        <v>37</v>
      </c>
      <c r="K207" s="9" t="s">
        <v>48</v>
      </c>
      <c r="L207" s="9" t="s">
        <v>49</v>
      </c>
      <c r="M207" s="0" t="s">
        <v>32</v>
      </c>
      <c r="N207" s="0" t="n">
        <v>1551</v>
      </c>
      <c r="O207" s="10" t="n">
        <v>0.689814586890861</v>
      </c>
      <c r="P207" s="10" t="n">
        <v>0.601251717889681</v>
      </c>
      <c r="Q207" s="0" t="str">
        <f aca="false">SUBSTITUTE(SUBSTITUTE($I207,CHAR(61),""),CHAR(34),"")</f>
        <v>10-14</v>
      </c>
      <c r="R207" s="0" t="str">
        <f aca="false">IF($D207&lt;&gt;"","["&amp;$E207&amp;"]"&amp;"|"&amp;$Q207&amp;"|"&amp;$K207&amp;"|"&amp;$G207&amp;"|"&amp;IF($G207="TX_CURR_SUBNAT.R","CY2022Q4",$M207),"")</f>
        <v>[gwVYinjBAe9]|10-14|Male|TX_CURR_SUBNAT.R|CY2022Q4</v>
      </c>
    </row>
    <row r="208" customFormat="false" ht="15" hidden="false" customHeight="false" outlineLevel="0" collapsed="false">
      <c r="D208" s="9" t="s">
        <v>96</v>
      </c>
      <c r="E208" s="9" t="s">
        <v>97</v>
      </c>
      <c r="F208" s="9" t="s">
        <v>98</v>
      </c>
      <c r="G208" s="9" t="s">
        <v>26</v>
      </c>
      <c r="H208" s="9" t="s">
        <v>27</v>
      </c>
      <c r="I208" s="0" t="s">
        <v>38</v>
      </c>
      <c r="J208" s="9" t="s">
        <v>39</v>
      </c>
      <c r="K208" s="9" t="s">
        <v>48</v>
      </c>
      <c r="L208" s="9" t="s">
        <v>49</v>
      </c>
      <c r="M208" s="0" t="s">
        <v>32</v>
      </c>
      <c r="N208" s="0" t="n">
        <v>1182</v>
      </c>
      <c r="O208" s="10" t="n">
        <v>0.391687301686034</v>
      </c>
      <c r="P208" s="10" t="n">
        <v>0.601251717889681</v>
      </c>
      <c r="Q208" s="0" t="str">
        <f aca="false">SUBSTITUTE(SUBSTITUTE($I208,CHAR(61),""),CHAR(34),"")</f>
        <v>15-24</v>
      </c>
      <c r="R208" s="0" t="str">
        <f aca="false">IF($D208&lt;&gt;"","["&amp;$E208&amp;"]"&amp;"|"&amp;$Q208&amp;"|"&amp;$K208&amp;"|"&amp;$G208&amp;"|"&amp;IF($G208="TX_CURR_SUBNAT.R","CY2022Q4",$M208),"")</f>
        <v>[gwVYinjBAe9]|15-24|Male|TX_CURR_SUBNAT.R|CY2022Q4</v>
      </c>
    </row>
    <row r="209" customFormat="false" ht="15" hidden="false" customHeight="false" outlineLevel="0" collapsed="false">
      <c r="D209" s="9" t="s">
        <v>96</v>
      </c>
      <c r="E209" s="9" t="s">
        <v>97</v>
      </c>
      <c r="F209" s="9" t="s">
        <v>98</v>
      </c>
      <c r="G209" s="9" t="s">
        <v>26</v>
      </c>
      <c r="H209" s="9" t="s">
        <v>27</v>
      </c>
      <c r="I209" s="0" t="s">
        <v>41</v>
      </c>
      <c r="J209" s="9" t="s">
        <v>42</v>
      </c>
      <c r="K209" s="9" t="s">
        <v>48</v>
      </c>
      <c r="L209" s="9" t="s">
        <v>49</v>
      </c>
      <c r="M209" s="0" t="s">
        <v>32</v>
      </c>
      <c r="N209" s="0" t="n">
        <v>1387</v>
      </c>
      <c r="O209" s="10" t="n">
        <v>0.496011512586847</v>
      </c>
      <c r="P209" s="10" t="n">
        <v>0.601251717889681</v>
      </c>
      <c r="Q209" s="0" t="str">
        <f aca="false">SUBSTITUTE(SUBSTITUTE($I209,CHAR(61),""),CHAR(34),"")</f>
        <v>25-34</v>
      </c>
      <c r="R209" s="0" t="str">
        <f aca="false">IF($D209&lt;&gt;"","["&amp;$E209&amp;"]"&amp;"|"&amp;$Q209&amp;"|"&amp;$K209&amp;"|"&amp;$G209&amp;"|"&amp;IF($G209="TX_CURR_SUBNAT.R","CY2022Q4",$M209),"")</f>
        <v>[gwVYinjBAe9]|25-34|Male|TX_CURR_SUBNAT.R|CY2022Q4</v>
      </c>
    </row>
    <row r="210" customFormat="false" ht="15" hidden="false" customHeight="false" outlineLevel="0" collapsed="false">
      <c r="D210" s="9" t="s">
        <v>96</v>
      </c>
      <c r="E210" s="9" t="s">
        <v>97</v>
      </c>
      <c r="F210" s="9" t="s">
        <v>98</v>
      </c>
      <c r="G210" s="9" t="s">
        <v>26</v>
      </c>
      <c r="H210" s="9" t="s">
        <v>27</v>
      </c>
      <c r="I210" s="0" t="s">
        <v>43</v>
      </c>
      <c r="J210" s="9" t="s">
        <v>44</v>
      </c>
      <c r="K210" s="9" t="s">
        <v>48</v>
      </c>
      <c r="L210" s="9" t="s">
        <v>49</v>
      </c>
      <c r="M210" s="0" t="s">
        <v>32</v>
      </c>
      <c r="N210" s="0" t="n">
        <v>1596</v>
      </c>
      <c r="O210" s="10" t="n">
        <v>0.487719911150634</v>
      </c>
      <c r="P210" s="10" t="n">
        <v>0.601251717889681</v>
      </c>
      <c r="Q210" s="0" t="str">
        <f aca="false">SUBSTITUTE(SUBSTITUTE($I210,CHAR(61),""),CHAR(34),"")</f>
        <v>35-49</v>
      </c>
      <c r="R210" s="0" t="str">
        <f aca="false">IF($D210&lt;&gt;"","["&amp;$E210&amp;"]"&amp;"|"&amp;$Q210&amp;"|"&amp;$K210&amp;"|"&amp;$G210&amp;"|"&amp;IF($G210="TX_CURR_SUBNAT.R","CY2022Q4",$M210),"")</f>
        <v>[gwVYinjBAe9]|35-49|Male|TX_CURR_SUBNAT.R|CY2022Q4</v>
      </c>
    </row>
    <row r="211" customFormat="false" ht="15" hidden="false" customHeight="false" outlineLevel="0" collapsed="false">
      <c r="D211" s="9" t="s">
        <v>96</v>
      </c>
      <c r="E211" s="9" t="s">
        <v>97</v>
      </c>
      <c r="F211" s="9" t="s">
        <v>98</v>
      </c>
      <c r="G211" s="9" t="s">
        <v>26</v>
      </c>
      <c r="H211" s="9" t="s">
        <v>27</v>
      </c>
      <c r="I211" s="0" t="s">
        <v>45</v>
      </c>
      <c r="J211" s="9" t="s">
        <v>46</v>
      </c>
      <c r="K211" s="9" t="s">
        <v>48</v>
      </c>
      <c r="L211" s="9" t="s">
        <v>49</v>
      </c>
      <c r="M211" s="0" t="s">
        <v>32</v>
      </c>
      <c r="N211" s="0" t="n">
        <v>1623</v>
      </c>
      <c r="O211" s="10" t="n">
        <v>0.251116052269936</v>
      </c>
      <c r="P211" s="10" t="n">
        <v>0.601251717889681</v>
      </c>
      <c r="Q211" s="0" t="str">
        <f aca="false">SUBSTITUTE(SUBSTITUTE($I211,CHAR(61),""),CHAR(34),"")</f>
        <v>50+</v>
      </c>
      <c r="R211" s="0" t="str">
        <f aca="false">IF($D211&lt;&gt;"","["&amp;$E211&amp;"]"&amp;"|"&amp;$Q211&amp;"|"&amp;$K211&amp;"|"&amp;$G211&amp;"|"&amp;IF($G211="TX_CURR_SUBNAT.R","CY2022Q4",$M211),"")</f>
        <v>[gwVYinjBAe9]|50+|Male|TX_CURR_SUBNAT.R|CY2022Q4</v>
      </c>
    </row>
    <row r="212" customFormat="false" ht="15" hidden="false" customHeight="false" outlineLevel="0" collapsed="false">
      <c r="D212" s="9" t="s">
        <v>99</v>
      </c>
      <c r="E212" s="9" t="s">
        <v>100</v>
      </c>
      <c r="F212" s="9" t="s">
        <v>101</v>
      </c>
      <c r="G212" s="9" t="s">
        <v>26</v>
      </c>
      <c r="H212" s="9" t="s">
        <v>27</v>
      </c>
      <c r="I212" s="0" t="s">
        <v>28</v>
      </c>
      <c r="J212" s="9" t="s">
        <v>29</v>
      </c>
      <c r="K212" s="9" t="s">
        <v>30</v>
      </c>
      <c r="L212" s="9" t="s">
        <v>31</v>
      </c>
      <c r="M212" s="0" t="s">
        <v>32</v>
      </c>
      <c r="N212" s="0" t="n">
        <v>1506</v>
      </c>
      <c r="O212" s="10" t="n">
        <v>0.252929624402896</v>
      </c>
      <c r="P212" s="10" t="n">
        <v>0.577288038097322</v>
      </c>
      <c r="Q212" s="0" t="str">
        <f aca="false">SUBSTITUTE(SUBSTITUTE($I212,CHAR(61),""),CHAR(34),"")</f>
        <v>&lt;01</v>
      </c>
      <c r="R212" s="0" t="str">
        <f aca="false">IF($D212&lt;&gt;"","["&amp;$E212&amp;"]"&amp;"|"&amp;$Q212&amp;"|"&amp;$K212&amp;"|"&amp;$G212&amp;"|"&amp;IF($G212="TX_CURR_SUBNAT.R","CY2022Q4",$M212),"")</f>
        <v>[mxqa3CDFmIT]|&lt;01|Female|TX_CURR_SUBNAT.R|CY2022Q4</v>
      </c>
    </row>
    <row r="213" customFormat="false" ht="15" hidden="false" customHeight="false" outlineLevel="0" collapsed="false">
      <c r="D213" s="9" t="s">
        <v>99</v>
      </c>
      <c r="E213" s="9" t="s">
        <v>100</v>
      </c>
      <c r="F213" s="9" t="s">
        <v>101</v>
      </c>
      <c r="G213" s="9" t="s">
        <v>26</v>
      </c>
      <c r="H213" s="9" t="s">
        <v>27</v>
      </c>
      <c r="I213" s="0" t="s">
        <v>33</v>
      </c>
      <c r="J213" s="9" t="s">
        <v>34</v>
      </c>
      <c r="K213" s="9" t="s">
        <v>30</v>
      </c>
      <c r="L213" s="9" t="s">
        <v>31</v>
      </c>
      <c r="M213" s="0" t="s">
        <v>32</v>
      </c>
      <c r="N213" s="0" t="n">
        <v>840</v>
      </c>
      <c r="O213" s="10" t="n">
        <v>0.11277755186893</v>
      </c>
      <c r="P213" s="10" t="n">
        <v>0.577288038097322</v>
      </c>
      <c r="Q213" s="0" t="str">
        <f aca="false">SUBSTITUTE(SUBSTITUTE($I213,CHAR(61),""),CHAR(34),"")</f>
        <v>01-09</v>
      </c>
      <c r="R213" s="0" t="str">
        <f aca="false">IF($D213&lt;&gt;"","["&amp;$E213&amp;"]"&amp;"|"&amp;$Q213&amp;"|"&amp;$K213&amp;"|"&amp;$G213&amp;"|"&amp;IF($G213="TX_CURR_SUBNAT.R","CY2022Q4",$M213),"")</f>
        <v>[mxqa3CDFmIT]|01-09|Female|TX_CURR_SUBNAT.R|CY2022Q4</v>
      </c>
    </row>
    <row r="214" customFormat="false" ht="15" hidden="false" customHeight="false" outlineLevel="0" collapsed="false">
      <c r="D214" s="9" t="s">
        <v>99</v>
      </c>
      <c r="E214" s="9" t="s">
        <v>100</v>
      </c>
      <c r="F214" s="9" t="s">
        <v>101</v>
      </c>
      <c r="G214" s="9" t="s">
        <v>26</v>
      </c>
      <c r="H214" s="9" t="s">
        <v>27</v>
      </c>
      <c r="I214" s="0" t="s">
        <v>36</v>
      </c>
      <c r="J214" s="9" t="s">
        <v>37</v>
      </c>
      <c r="K214" s="9" t="s">
        <v>30</v>
      </c>
      <c r="L214" s="9" t="s">
        <v>31</v>
      </c>
      <c r="M214" s="0" t="s">
        <v>32</v>
      </c>
      <c r="N214" s="0" t="n">
        <v>1444</v>
      </c>
      <c r="O214" s="10" t="n">
        <v>0.634467814816162</v>
      </c>
      <c r="P214" s="10" t="n">
        <v>0.577288038097322</v>
      </c>
      <c r="Q214" s="0" t="str">
        <f aca="false">SUBSTITUTE(SUBSTITUTE($I214,CHAR(61),""),CHAR(34),"")</f>
        <v>10-14</v>
      </c>
      <c r="R214" s="0" t="str">
        <f aca="false">IF($D214&lt;&gt;"","["&amp;$E214&amp;"]"&amp;"|"&amp;$Q214&amp;"|"&amp;$K214&amp;"|"&amp;$G214&amp;"|"&amp;IF($G214="TX_CURR_SUBNAT.R","CY2022Q4",$M214),"")</f>
        <v>[mxqa3CDFmIT]|10-14|Female|TX_CURR_SUBNAT.R|CY2022Q4</v>
      </c>
    </row>
    <row r="215" customFormat="false" ht="15" hidden="false" customHeight="false" outlineLevel="0" collapsed="false">
      <c r="D215" s="9" t="s">
        <v>99</v>
      </c>
      <c r="E215" s="9" t="s">
        <v>100</v>
      </c>
      <c r="F215" s="9" t="s">
        <v>101</v>
      </c>
      <c r="G215" s="9" t="s">
        <v>26</v>
      </c>
      <c r="H215" s="9" t="s">
        <v>27</v>
      </c>
      <c r="I215" s="0" t="s">
        <v>38</v>
      </c>
      <c r="J215" s="9" t="s">
        <v>39</v>
      </c>
      <c r="K215" s="9" t="s">
        <v>30</v>
      </c>
      <c r="L215" s="9" t="s">
        <v>31</v>
      </c>
      <c r="M215" s="0" t="s">
        <v>32</v>
      </c>
      <c r="N215" s="0" t="n">
        <v>1279</v>
      </c>
      <c r="O215" s="10" t="n">
        <v>0.11915648682043</v>
      </c>
      <c r="P215" s="10" t="n">
        <v>0.577288038097322</v>
      </c>
      <c r="Q215" s="0" t="str">
        <f aca="false">SUBSTITUTE(SUBSTITUTE($I215,CHAR(61),""),CHAR(34),"")</f>
        <v>15-24</v>
      </c>
      <c r="R215" s="0" t="str">
        <f aca="false">IF($D215&lt;&gt;"","["&amp;$E215&amp;"]"&amp;"|"&amp;$Q215&amp;"|"&amp;$K215&amp;"|"&amp;$G215&amp;"|"&amp;IF($G215="TX_CURR_SUBNAT.R","CY2022Q4",$M215),"")</f>
        <v>[mxqa3CDFmIT]|15-24|Female|TX_CURR_SUBNAT.R|CY2022Q4</v>
      </c>
    </row>
    <row r="216" customFormat="false" ht="15" hidden="false" customHeight="false" outlineLevel="0" collapsed="false">
      <c r="D216" s="9" t="s">
        <v>99</v>
      </c>
      <c r="E216" s="9" t="s">
        <v>100</v>
      </c>
      <c r="F216" s="9" t="s">
        <v>101</v>
      </c>
      <c r="G216" s="9" t="s">
        <v>26</v>
      </c>
      <c r="H216" s="9" t="s">
        <v>27</v>
      </c>
      <c r="I216" s="0" t="s">
        <v>41</v>
      </c>
      <c r="J216" s="9" t="s">
        <v>42</v>
      </c>
      <c r="K216" s="9" t="s">
        <v>30</v>
      </c>
      <c r="L216" s="9" t="s">
        <v>31</v>
      </c>
      <c r="M216" s="0" t="s">
        <v>32</v>
      </c>
      <c r="N216" s="0" t="n">
        <v>946</v>
      </c>
      <c r="O216" s="10" t="n">
        <v>0.220098250312731</v>
      </c>
      <c r="P216" s="10" t="n">
        <v>0.577288038097322</v>
      </c>
      <c r="Q216" s="0" t="str">
        <f aca="false">SUBSTITUTE(SUBSTITUTE($I216,CHAR(61),""),CHAR(34),"")</f>
        <v>25-34</v>
      </c>
      <c r="R216" s="0" t="str">
        <f aca="false">IF($D216&lt;&gt;"","["&amp;$E216&amp;"]"&amp;"|"&amp;$Q216&amp;"|"&amp;$K216&amp;"|"&amp;$G216&amp;"|"&amp;IF($G216="TX_CURR_SUBNAT.R","CY2022Q4",$M216),"")</f>
        <v>[mxqa3CDFmIT]|25-34|Female|TX_CURR_SUBNAT.R|CY2022Q4</v>
      </c>
    </row>
    <row r="217" customFormat="false" ht="15" hidden="false" customHeight="false" outlineLevel="0" collapsed="false">
      <c r="D217" s="9" t="s">
        <v>99</v>
      </c>
      <c r="E217" s="9" t="s">
        <v>100</v>
      </c>
      <c r="F217" s="9" t="s">
        <v>101</v>
      </c>
      <c r="G217" s="9" t="s">
        <v>26</v>
      </c>
      <c r="H217" s="9" t="s">
        <v>27</v>
      </c>
      <c r="I217" s="0" t="s">
        <v>43</v>
      </c>
      <c r="J217" s="9" t="s">
        <v>44</v>
      </c>
      <c r="K217" s="9" t="s">
        <v>30</v>
      </c>
      <c r="L217" s="9" t="s">
        <v>31</v>
      </c>
      <c r="M217" s="0" t="s">
        <v>32</v>
      </c>
      <c r="N217" s="0" t="n">
        <v>1999</v>
      </c>
      <c r="O217" s="10" t="n">
        <v>0.605932253645733</v>
      </c>
      <c r="P217" s="10" t="n">
        <v>0.577288038097322</v>
      </c>
      <c r="Q217" s="0" t="str">
        <f aca="false">SUBSTITUTE(SUBSTITUTE($I217,CHAR(61),""),CHAR(34),"")</f>
        <v>35-49</v>
      </c>
      <c r="R217" s="0" t="str">
        <f aca="false">IF($D217&lt;&gt;"","["&amp;$E217&amp;"]"&amp;"|"&amp;$Q217&amp;"|"&amp;$K217&amp;"|"&amp;$G217&amp;"|"&amp;IF($G217="TX_CURR_SUBNAT.R","CY2022Q4",$M217),"")</f>
        <v>[mxqa3CDFmIT]|35-49|Female|TX_CURR_SUBNAT.R|CY2022Q4</v>
      </c>
    </row>
    <row r="218" customFormat="false" ht="15" hidden="false" customHeight="false" outlineLevel="0" collapsed="false">
      <c r="D218" s="9" t="s">
        <v>99</v>
      </c>
      <c r="E218" s="9" t="s">
        <v>100</v>
      </c>
      <c r="F218" s="9" t="s">
        <v>101</v>
      </c>
      <c r="G218" s="9" t="s">
        <v>26</v>
      </c>
      <c r="H218" s="9" t="s">
        <v>27</v>
      </c>
      <c r="I218" s="0" t="s">
        <v>45</v>
      </c>
      <c r="J218" s="9" t="s">
        <v>46</v>
      </c>
      <c r="K218" s="9" t="s">
        <v>30</v>
      </c>
      <c r="L218" s="9" t="s">
        <v>31</v>
      </c>
      <c r="M218" s="0" t="s">
        <v>32</v>
      </c>
      <c r="N218" s="0" t="n">
        <v>503</v>
      </c>
      <c r="O218" s="10" t="n">
        <v>0.936753682093695</v>
      </c>
      <c r="P218" s="10" t="n">
        <v>0.577288038097322</v>
      </c>
      <c r="Q218" s="0" t="str">
        <f aca="false">SUBSTITUTE(SUBSTITUTE($I218,CHAR(61),""),CHAR(34),"")</f>
        <v>50+</v>
      </c>
      <c r="R218" s="0" t="str">
        <f aca="false">IF($D218&lt;&gt;"","["&amp;$E218&amp;"]"&amp;"|"&amp;$Q218&amp;"|"&amp;$K218&amp;"|"&amp;$G218&amp;"|"&amp;IF($G218="TX_CURR_SUBNAT.R","CY2022Q4",$M218),"")</f>
        <v>[mxqa3CDFmIT]|50+|Female|TX_CURR_SUBNAT.R|CY2022Q4</v>
      </c>
    </row>
    <row r="219" customFormat="false" ht="15" hidden="false" customHeight="false" outlineLevel="0" collapsed="false">
      <c r="D219" s="9" t="s">
        <v>99</v>
      </c>
      <c r="E219" s="9" t="s">
        <v>100</v>
      </c>
      <c r="F219" s="9" t="s">
        <v>101</v>
      </c>
      <c r="G219" s="9" t="s">
        <v>26</v>
      </c>
      <c r="H219" s="9" t="s">
        <v>27</v>
      </c>
      <c r="I219" s="0" t="s">
        <v>28</v>
      </c>
      <c r="J219" s="9" t="s">
        <v>29</v>
      </c>
      <c r="K219" s="9" t="s">
        <v>48</v>
      </c>
      <c r="L219" s="9" t="s">
        <v>49</v>
      </c>
      <c r="M219" s="0" t="s">
        <v>32</v>
      </c>
      <c r="N219" s="0" t="n">
        <v>1283</v>
      </c>
      <c r="O219" s="10" t="n">
        <v>0.72665581968613</v>
      </c>
      <c r="P219" s="10" t="n">
        <v>0.577288038097322</v>
      </c>
      <c r="Q219" s="0" t="str">
        <f aca="false">SUBSTITUTE(SUBSTITUTE($I219,CHAR(61),""),CHAR(34),"")</f>
        <v>&lt;01</v>
      </c>
      <c r="R219" s="0" t="str">
        <f aca="false">IF($D219&lt;&gt;"","["&amp;$E219&amp;"]"&amp;"|"&amp;$Q219&amp;"|"&amp;$K219&amp;"|"&amp;$G219&amp;"|"&amp;IF($G219="TX_CURR_SUBNAT.R","CY2022Q4",$M219),"")</f>
        <v>[mxqa3CDFmIT]|&lt;01|Male|TX_CURR_SUBNAT.R|CY2022Q4</v>
      </c>
    </row>
    <row r="220" customFormat="false" ht="15" hidden="false" customHeight="false" outlineLevel="0" collapsed="false">
      <c r="D220" s="9" t="s">
        <v>99</v>
      </c>
      <c r="E220" s="9" t="s">
        <v>100</v>
      </c>
      <c r="F220" s="9" t="s">
        <v>101</v>
      </c>
      <c r="G220" s="9" t="s">
        <v>26</v>
      </c>
      <c r="H220" s="9" t="s">
        <v>27</v>
      </c>
      <c r="I220" s="0" t="s">
        <v>33</v>
      </c>
      <c r="J220" s="9" t="s">
        <v>34</v>
      </c>
      <c r="K220" s="9" t="s">
        <v>48</v>
      </c>
      <c r="L220" s="9" t="s">
        <v>49</v>
      </c>
      <c r="M220" s="0" t="s">
        <v>32</v>
      </c>
      <c r="N220" s="0" t="n">
        <v>1680</v>
      </c>
      <c r="O220" s="10" t="n">
        <v>0.0485034224111587</v>
      </c>
      <c r="P220" s="10" t="n">
        <v>0.577288038097322</v>
      </c>
      <c r="Q220" s="0" t="str">
        <f aca="false">SUBSTITUTE(SUBSTITUTE($I220,CHAR(61),""),CHAR(34),"")</f>
        <v>01-09</v>
      </c>
      <c r="R220" s="0" t="str">
        <f aca="false">IF($D220&lt;&gt;"","["&amp;$E220&amp;"]"&amp;"|"&amp;$Q220&amp;"|"&amp;$K220&amp;"|"&amp;$G220&amp;"|"&amp;IF($G220="TX_CURR_SUBNAT.R","CY2022Q4",$M220),"")</f>
        <v>[mxqa3CDFmIT]|01-09|Male|TX_CURR_SUBNAT.R|CY2022Q4</v>
      </c>
    </row>
    <row r="221" customFormat="false" ht="15" hidden="false" customHeight="false" outlineLevel="0" collapsed="false">
      <c r="D221" s="9" t="s">
        <v>99</v>
      </c>
      <c r="E221" s="9" t="s">
        <v>100</v>
      </c>
      <c r="F221" s="9" t="s">
        <v>101</v>
      </c>
      <c r="G221" s="9" t="s">
        <v>26</v>
      </c>
      <c r="H221" s="9" t="s">
        <v>27</v>
      </c>
      <c r="I221" s="0" t="s">
        <v>36</v>
      </c>
      <c r="J221" s="9" t="s">
        <v>37</v>
      </c>
      <c r="K221" s="9" t="s">
        <v>48</v>
      </c>
      <c r="L221" s="9" t="s">
        <v>49</v>
      </c>
      <c r="M221" s="0" t="s">
        <v>32</v>
      </c>
      <c r="N221" s="0" t="n">
        <v>1305</v>
      </c>
      <c r="O221" s="10" t="n">
        <v>0.761632209876552</v>
      </c>
      <c r="P221" s="10" t="n">
        <v>0.577288038097322</v>
      </c>
      <c r="Q221" s="0" t="str">
        <f aca="false">SUBSTITUTE(SUBSTITUTE($I221,CHAR(61),""),CHAR(34),"")</f>
        <v>10-14</v>
      </c>
      <c r="R221" s="0" t="str">
        <f aca="false">IF($D221&lt;&gt;"","["&amp;$E221&amp;"]"&amp;"|"&amp;$Q221&amp;"|"&amp;$K221&amp;"|"&amp;$G221&amp;"|"&amp;IF($G221="TX_CURR_SUBNAT.R","CY2022Q4",$M221),"")</f>
        <v>[mxqa3CDFmIT]|10-14|Male|TX_CURR_SUBNAT.R|CY2022Q4</v>
      </c>
    </row>
    <row r="222" customFormat="false" ht="15" hidden="false" customHeight="false" outlineLevel="0" collapsed="false">
      <c r="D222" s="9" t="s">
        <v>99</v>
      </c>
      <c r="E222" s="9" t="s">
        <v>100</v>
      </c>
      <c r="F222" s="9" t="s">
        <v>101</v>
      </c>
      <c r="G222" s="9" t="s">
        <v>26</v>
      </c>
      <c r="H222" s="9" t="s">
        <v>27</v>
      </c>
      <c r="I222" s="0" t="s">
        <v>38</v>
      </c>
      <c r="J222" s="9" t="s">
        <v>39</v>
      </c>
      <c r="K222" s="9" t="s">
        <v>48</v>
      </c>
      <c r="L222" s="9" t="s">
        <v>49</v>
      </c>
      <c r="M222" s="0" t="s">
        <v>32</v>
      </c>
      <c r="N222" s="0" t="n">
        <v>1197</v>
      </c>
      <c r="O222" s="10" t="n">
        <v>0.92087026219815</v>
      </c>
      <c r="P222" s="10" t="n">
        <v>0.577288038097322</v>
      </c>
      <c r="Q222" s="0" t="str">
        <f aca="false">SUBSTITUTE(SUBSTITUTE($I222,CHAR(61),""),CHAR(34),"")</f>
        <v>15-24</v>
      </c>
      <c r="R222" s="0" t="str">
        <f aca="false">IF($D222&lt;&gt;"","["&amp;$E222&amp;"]"&amp;"|"&amp;$Q222&amp;"|"&amp;$K222&amp;"|"&amp;$G222&amp;"|"&amp;IF($G222="TX_CURR_SUBNAT.R","CY2022Q4",$M222),"")</f>
        <v>[mxqa3CDFmIT]|15-24|Male|TX_CURR_SUBNAT.R|CY2022Q4</v>
      </c>
    </row>
    <row r="223" customFormat="false" ht="15" hidden="false" customHeight="false" outlineLevel="0" collapsed="false">
      <c r="D223" s="9" t="s">
        <v>99</v>
      </c>
      <c r="E223" s="9" t="s">
        <v>100</v>
      </c>
      <c r="F223" s="9" t="s">
        <v>101</v>
      </c>
      <c r="G223" s="9" t="s">
        <v>26</v>
      </c>
      <c r="H223" s="9" t="s">
        <v>27</v>
      </c>
      <c r="I223" s="0" t="s">
        <v>41</v>
      </c>
      <c r="J223" s="9" t="s">
        <v>42</v>
      </c>
      <c r="K223" s="9" t="s">
        <v>48</v>
      </c>
      <c r="L223" s="9" t="s">
        <v>49</v>
      </c>
      <c r="M223" s="0" t="s">
        <v>32</v>
      </c>
      <c r="N223" s="0" t="n">
        <v>1504</v>
      </c>
      <c r="O223" s="10" t="n">
        <v>0.970935323508456</v>
      </c>
      <c r="P223" s="10" t="n">
        <v>0.577288038097322</v>
      </c>
      <c r="Q223" s="0" t="str">
        <f aca="false">SUBSTITUTE(SUBSTITUTE($I223,CHAR(61),""),CHAR(34),"")</f>
        <v>25-34</v>
      </c>
      <c r="R223" s="0" t="str">
        <f aca="false">IF($D223&lt;&gt;"","["&amp;$E223&amp;"]"&amp;"|"&amp;$Q223&amp;"|"&amp;$K223&amp;"|"&amp;$G223&amp;"|"&amp;IF($G223="TX_CURR_SUBNAT.R","CY2022Q4",$M223),"")</f>
        <v>[mxqa3CDFmIT]|25-34|Male|TX_CURR_SUBNAT.R|CY2022Q4</v>
      </c>
    </row>
    <row r="224" customFormat="false" ht="15" hidden="false" customHeight="false" outlineLevel="0" collapsed="false">
      <c r="D224" s="9" t="s">
        <v>99</v>
      </c>
      <c r="E224" s="9" t="s">
        <v>100</v>
      </c>
      <c r="F224" s="9" t="s">
        <v>101</v>
      </c>
      <c r="G224" s="9" t="s">
        <v>26</v>
      </c>
      <c r="H224" s="9" t="s">
        <v>27</v>
      </c>
      <c r="I224" s="0" t="s">
        <v>43</v>
      </c>
      <c r="J224" s="9" t="s">
        <v>44</v>
      </c>
      <c r="K224" s="9" t="s">
        <v>48</v>
      </c>
      <c r="L224" s="9" t="s">
        <v>49</v>
      </c>
      <c r="M224" s="0" t="s">
        <v>32</v>
      </c>
      <c r="N224" s="0" t="n">
        <v>663</v>
      </c>
      <c r="O224" s="10" t="n">
        <v>0.165808907942846</v>
      </c>
      <c r="P224" s="10" t="n">
        <v>0.577288038097322</v>
      </c>
      <c r="Q224" s="0" t="str">
        <f aca="false">SUBSTITUTE(SUBSTITUTE($I224,CHAR(61),""),CHAR(34),"")</f>
        <v>35-49</v>
      </c>
      <c r="R224" s="0" t="str">
        <f aca="false">IF($D224&lt;&gt;"","["&amp;$E224&amp;"]"&amp;"|"&amp;$Q224&amp;"|"&amp;$K224&amp;"|"&amp;$G224&amp;"|"&amp;IF($G224="TX_CURR_SUBNAT.R","CY2022Q4",$M224),"")</f>
        <v>[mxqa3CDFmIT]|35-49|Male|TX_CURR_SUBNAT.R|CY2022Q4</v>
      </c>
    </row>
    <row r="225" customFormat="false" ht="15" hidden="false" customHeight="false" outlineLevel="0" collapsed="false">
      <c r="D225" s="9" t="s">
        <v>99</v>
      </c>
      <c r="E225" s="9" t="s">
        <v>100</v>
      </c>
      <c r="F225" s="9" t="s">
        <v>101</v>
      </c>
      <c r="G225" s="9" t="s">
        <v>26</v>
      </c>
      <c r="H225" s="9" t="s">
        <v>27</v>
      </c>
      <c r="I225" s="0" t="s">
        <v>45</v>
      </c>
      <c r="J225" s="9" t="s">
        <v>46</v>
      </c>
      <c r="K225" s="9" t="s">
        <v>48</v>
      </c>
      <c r="L225" s="9" t="s">
        <v>49</v>
      </c>
      <c r="M225" s="0" t="s">
        <v>32</v>
      </c>
      <c r="N225" s="0" t="n">
        <v>1322</v>
      </c>
      <c r="O225" s="10" t="n">
        <v>0.590737579856068</v>
      </c>
      <c r="P225" s="10" t="n">
        <v>0.577288038097322</v>
      </c>
      <c r="Q225" s="0" t="str">
        <f aca="false">SUBSTITUTE(SUBSTITUTE($I225,CHAR(61),""),CHAR(34),"")</f>
        <v>50+</v>
      </c>
      <c r="R225" s="0" t="str">
        <f aca="false">IF($D225&lt;&gt;"","["&amp;$E225&amp;"]"&amp;"|"&amp;$Q225&amp;"|"&amp;$K225&amp;"|"&amp;$G225&amp;"|"&amp;IF($G225="TX_CURR_SUBNAT.R","CY2022Q4",$M225),"")</f>
        <v>[mxqa3CDFmIT]|50+|Male|TX_CURR_SUBNAT.R|CY2022Q4</v>
      </c>
    </row>
    <row r="226" customFormat="false" ht="15" hidden="false" customHeight="false" outlineLevel="0" collapsed="false">
      <c r="D226" s="9" t="s">
        <v>102</v>
      </c>
      <c r="E226" s="9" t="s">
        <v>103</v>
      </c>
      <c r="F226" s="9" t="s">
        <v>104</v>
      </c>
      <c r="G226" s="9" t="s">
        <v>26</v>
      </c>
      <c r="H226" s="9" t="s">
        <v>27</v>
      </c>
      <c r="I226" s="0" t="s">
        <v>28</v>
      </c>
      <c r="J226" s="9" t="s">
        <v>29</v>
      </c>
      <c r="K226" s="9" t="s">
        <v>30</v>
      </c>
      <c r="L226" s="9" t="s">
        <v>31</v>
      </c>
      <c r="M226" s="0" t="s">
        <v>32</v>
      </c>
      <c r="N226" s="0" t="n">
        <v>1364</v>
      </c>
      <c r="O226" s="10" t="n">
        <v>0.582249180180952</v>
      </c>
      <c r="P226" s="10" t="n">
        <v>0.526212359312922</v>
      </c>
      <c r="Q226" s="0" t="str">
        <f aca="false">SUBSTITUTE(SUBSTITUTE($I226,CHAR(61),""),CHAR(34),"")</f>
        <v>&lt;01</v>
      </c>
      <c r="R226" s="0" t="str">
        <f aca="false">IF($D226&lt;&gt;"","["&amp;$E226&amp;"]"&amp;"|"&amp;$Q226&amp;"|"&amp;$K226&amp;"|"&amp;$G226&amp;"|"&amp;IF($G226="TX_CURR_SUBNAT.R","CY2022Q4",$M226),"")</f>
        <v>[wNqJp8oRIcF]|&lt;01|Female|TX_CURR_SUBNAT.R|CY2022Q4</v>
      </c>
    </row>
    <row r="227" customFormat="false" ht="15" hidden="false" customHeight="false" outlineLevel="0" collapsed="false">
      <c r="D227" s="9" t="s">
        <v>102</v>
      </c>
      <c r="E227" s="9" t="s">
        <v>103</v>
      </c>
      <c r="F227" s="9" t="s">
        <v>104</v>
      </c>
      <c r="G227" s="9" t="s">
        <v>26</v>
      </c>
      <c r="H227" s="9" t="s">
        <v>27</v>
      </c>
      <c r="I227" s="0" t="s">
        <v>33</v>
      </c>
      <c r="J227" s="9" t="s">
        <v>34</v>
      </c>
      <c r="K227" s="9" t="s">
        <v>30</v>
      </c>
      <c r="L227" s="9" t="s">
        <v>31</v>
      </c>
      <c r="M227" s="0" t="s">
        <v>32</v>
      </c>
      <c r="N227" s="0" t="n">
        <v>552</v>
      </c>
      <c r="O227" s="10" t="n">
        <v>0.64776453608647</v>
      </c>
      <c r="P227" s="10" t="n">
        <v>0.526212359312922</v>
      </c>
      <c r="Q227" s="0" t="str">
        <f aca="false">SUBSTITUTE(SUBSTITUTE($I227,CHAR(61),""),CHAR(34),"")</f>
        <v>01-09</v>
      </c>
      <c r="R227" s="0" t="str">
        <f aca="false">IF($D227&lt;&gt;"","["&amp;$E227&amp;"]"&amp;"|"&amp;$Q227&amp;"|"&amp;$K227&amp;"|"&amp;$G227&amp;"|"&amp;IF($G227="TX_CURR_SUBNAT.R","CY2022Q4",$M227),"")</f>
        <v>[wNqJp8oRIcF]|01-09|Female|TX_CURR_SUBNAT.R|CY2022Q4</v>
      </c>
    </row>
    <row r="228" customFormat="false" ht="15" hidden="false" customHeight="false" outlineLevel="0" collapsed="false">
      <c r="D228" s="9" t="s">
        <v>102</v>
      </c>
      <c r="E228" s="9" t="s">
        <v>103</v>
      </c>
      <c r="F228" s="9" t="s">
        <v>104</v>
      </c>
      <c r="G228" s="9" t="s">
        <v>26</v>
      </c>
      <c r="H228" s="9" t="s">
        <v>27</v>
      </c>
      <c r="I228" s="0" t="s">
        <v>36</v>
      </c>
      <c r="J228" s="9" t="s">
        <v>37</v>
      </c>
      <c r="K228" s="9" t="s">
        <v>30</v>
      </c>
      <c r="L228" s="9" t="s">
        <v>31</v>
      </c>
      <c r="M228" s="0" t="s">
        <v>32</v>
      </c>
      <c r="N228" s="0" t="n">
        <v>1011</v>
      </c>
      <c r="O228" s="10" t="n">
        <v>0.229864136548713</v>
      </c>
      <c r="P228" s="10" t="n">
        <v>0.526212359312922</v>
      </c>
      <c r="Q228" s="0" t="str">
        <f aca="false">SUBSTITUTE(SUBSTITUTE($I228,CHAR(61),""),CHAR(34),"")</f>
        <v>10-14</v>
      </c>
      <c r="R228" s="0" t="str">
        <f aca="false">IF($D228&lt;&gt;"","["&amp;$E228&amp;"]"&amp;"|"&amp;$Q228&amp;"|"&amp;$K228&amp;"|"&amp;$G228&amp;"|"&amp;IF($G228="TX_CURR_SUBNAT.R","CY2022Q4",$M228),"")</f>
        <v>[wNqJp8oRIcF]|10-14|Female|TX_CURR_SUBNAT.R|CY2022Q4</v>
      </c>
    </row>
    <row r="229" customFormat="false" ht="15" hidden="false" customHeight="false" outlineLevel="0" collapsed="false">
      <c r="D229" s="9" t="s">
        <v>102</v>
      </c>
      <c r="E229" s="9" t="s">
        <v>103</v>
      </c>
      <c r="F229" s="9" t="s">
        <v>104</v>
      </c>
      <c r="G229" s="9" t="s">
        <v>26</v>
      </c>
      <c r="H229" s="9" t="s">
        <v>27</v>
      </c>
      <c r="I229" s="0" t="s">
        <v>38</v>
      </c>
      <c r="J229" s="9" t="s">
        <v>39</v>
      </c>
      <c r="K229" s="9" t="s">
        <v>30</v>
      </c>
      <c r="L229" s="9" t="s">
        <v>31</v>
      </c>
      <c r="M229" s="0" t="s">
        <v>32</v>
      </c>
      <c r="N229" s="0" t="n">
        <v>1332</v>
      </c>
      <c r="O229" s="10" t="n">
        <v>0.320169353857636</v>
      </c>
      <c r="P229" s="10" t="n">
        <v>0.526212359312922</v>
      </c>
      <c r="Q229" s="0" t="str">
        <f aca="false">SUBSTITUTE(SUBSTITUTE($I229,CHAR(61),""),CHAR(34),"")</f>
        <v>15-24</v>
      </c>
      <c r="R229" s="0" t="str">
        <f aca="false">IF($D229&lt;&gt;"","["&amp;$E229&amp;"]"&amp;"|"&amp;$Q229&amp;"|"&amp;$K229&amp;"|"&amp;$G229&amp;"|"&amp;IF($G229="TX_CURR_SUBNAT.R","CY2022Q4",$M229),"")</f>
        <v>[wNqJp8oRIcF]|15-24|Female|TX_CURR_SUBNAT.R|CY2022Q4</v>
      </c>
    </row>
    <row r="230" customFormat="false" ht="15" hidden="false" customHeight="false" outlineLevel="0" collapsed="false">
      <c r="D230" s="9" t="s">
        <v>102</v>
      </c>
      <c r="E230" s="9" t="s">
        <v>103</v>
      </c>
      <c r="F230" s="9" t="s">
        <v>104</v>
      </c>
      <c r="G230" s="9" t="s">
        <v>26</v>
      </c>
      <c r="H230" s="9" t="s">
        <v>27</v>
      </c>
      <c r="I230" s="0" t="s">
        <v>41</v>
      </c>
      <c r="J230" s="9" t="s">
        <v>42</v>
      </c>
      <c r="K230" s="9" t="s">
        <v>30</v>
      </c>
      <c r="L230" s="9" t="s">
        <v>31</v>
      </c>
      <c r="M230" s="0" t="s">
        <v>32</v>
      </c>
      <c r="N230" s="0" t="n">
        <v>1614</v>
      </c>
      <c r="O230" s="10" t="n">
        <v>0.715252156369388</v>
      </c>
      <c r="P230" s="10" t="n">
        <v>0.526212359312922</v>
      </c>
      <c r="Q230" s="0" t="str">
        <f aca="false">SUBSTITUTE(SUBSTITUTE($I230,CHAR(61),""),CHAR(34),"")</f>
        <v>25-34</v>
      </c>
      <c r="R230" s="0" t="str">
        <f aca="false">IF($D230&lt;&gt;"","["&amp;$E230&amp;"]"&amp;"|"&amp;$Q230&amp;"|"&amp;$K230&amp;"|"&amp;$G230&amp;"|"&amp;IF($G230="TX_CURR_SUBNAT.R","CY2022Q4",$M230),"")</f>
        <v>[wNqJp8oRIcF]|25-34|Female|TX_CURR_SUBNAT.R|CY2022Q4</v>
      </c>
    </row>
    <row r="231" customFormat="false" ht="15" hidden="false" customHeight="false" outlineLevel="0" collapsed="false">
      <c r="D231" s="9" t="s">
        <v>102</v>
      </c>
      <c r="E231" s="9" t="s">
        <v>103</v>
      </c>
      <c r="F231" s="9" t="s">
        <v>104</v>
      </c>
      <c r="G231" s="9" t="s">
        <v>26</v>
      </c>
      <c r="H231" s="9" t="s">
        <v>27</v>
      </c>
      <c r="I231" s="0" t="s">
        <v>43</v>
      </c>
      <c r="J231" s="9" t="s">
        <v>44</v>
      </c>
      <c r="K231" s="9" t="s">
        <v>30</v>
      </c>
      <c r="L231" s="9" t="s">
        <v>31</v>
      </c>
      <c r="M231" s="0" t="s">
        <v>32</v>
      </c>
      <c r="N231" s="0" t="n">
        <v>1372</v>
      </c>
      <c r="O231" s="10" t="n">
        <v>0.136495420476422</v>
      </c>
      <c r="P231" s="10" t="n">
        <v>0.526212359312922</v>
      </c>
      <c r="Q231" s="0" t="str">
        <f aca="false">SUBSTITUTE(SUBSTITUTE($I231,CHAR(61),""),CHAR(34),"")</f>
        <v>35-49</v>
      </c>
      <c r="R231" s="0" t="str">
        <f aca="false">IF($D231&lt;&gt;"","["&amp;$E231&amp;"]"&amp;"|"&amp;$Q231&amp;"|"&amp;$K231&amp;"|"&amp;$G231&amp;"|"&amp;IF($G231="TX_CURR_SUBNAT.R","CY2022Q4",$M231),"")</f>
        <v>[wNqJp8oRIcF]|35-49|Female|TX_CURR_SUBNAT.R|CY2022Q4</v>
      </c>
    </row>
    <row r="232" customFormat="false" ht="15" hidden="false" customHeight="false" outlineLevel="0" collapsed="false">
      <c r="D232" s="9" t="s">
        <v>102</v>
      </c>
      <c r="E232" s="9" t="s">
        <v>103</v>
      </c>
      <c r="F232" s="9" t="s">
        <v>104</v>
      </c>
      <c r="G232" s="9" t="s">
        <v>26</v>
      </c>
      <c r="H232" s="9" t="s">
        <v>27</v>
      </c>
      <c r="I232" s="0" t="s">
        <v>45</v>
      </c>
      <c r="J232" s="9" t="s">
        <v>46</v>
      </c>
      <c r="K232" s="9" t="s">
        <v>30</v>
      </c>
      <c r="L232" s="9" t="s">
        <v>31</v>
      </c>
      <c r="M232" s="0" t="s">
        <v>32</v>
      </c>
      <c r="N232" s="0" t="n">
        <v>1245</v>
      </c>
      <c r="O232" s="10" t="n">
        <v>0.861123874550685</v>
      </c>
      <c r="P232" s="10" t="n">
        <v>0.526212359312922</v>
      </c>
      <c r="Q232" s="0" t="str">
        <f aca="false">SUBSTITUTE(SUBSTITUTE($I232,CHAR(61),""),CHAR(34),"")</f>
        <v>50+</v>
      </c>
      <c r="R232" s="0" t="str">
        <f aca="false">IF($D232&lt;&gt;"","["&amp;$E232&amp;"]"&amp;"|"&amp;$Q232&amp;"|"&amp;$K232&amp;"|"&amp;$G232&amp;"|"&amp;IF($G232="TX_CURR_SUBNAT.R","CY2022Q4",$M232),"")</f>
        <v>[wNqJp8oRIcF]|50+|Female|TX_CURR_SUBNAT.R|CY2022Q4</v>
      </c>
    </row>
    <row r="233" customFormat="false" ht="15" hidden="false" customHeight="false" outlineLevel="0" collapsed="false">
      <c r="D233" s="9" t="s">
        <v>102</v>
      </c>
      <c r="E233" s="9" t="s">
        <v>103</v>
      </c>
      <c r="F233" s="9" t="s">
        <v>104</v>
      </c>
      <c r="G233" s="9" t="s">
        <v>26</v>
      </c>
      <c r="H233" s="9" t="s">
        <v>27</v>
      </c>
      <c r="I233" s="0" t="s">
        <v>28</v>
      </c>
      <c r="J233" s="9" t="s">
        <v>29</v>
      </c>
      <c r="K233" s="9" t="s">
        <v>48</v>
      </c>
      <c r="L233" s="9" t="s">
        <v>49</v>
      </c>
      <c r="M233" s="0" t="s">
        <v>32</v>
      </c>
      <c r="N233" s="0" t="n">
        <v>657</v>
      </c>
      <c r="O233" s="10" t="n">
        <v>0.367557281628251</v>
      </c>
      <c r="P233" s="10" t="n">
        <v>0.526212359312922</v>
      </c>
      <c r="Q233" s="0" t="str">
        <f aca="false">SUBSTITUTE(SUBSTITUTE($I233,CHAR(61),""),CHAR(34),"")</f>
        <v>&lt;01</v>
      </c>
      <c r="R233" s="0" t="str">
        <f aca="false">IF($D233&lt;&gt;"","["&amp;$E233&amp;"]"&amp;"|"&amp;$Q233&amp;"|"&amp;$K233&amp;"|"&amp;$G233&amp;"|"&amp;IF($G233="TX_CURR_SUBNAT.R","CY2022Q4",$M233),"")</f>
        <v>[wNqJp8oRIcF]|&lt;01|Male|TX_CURR_SUBNAT.R|CY2022Q4</v>
      </c>
    </row>
    <row r="234" customFormat="false" ht="15" hidden="false" customHeight="false" outlineLevel="0" collapsed="false">
      <c r="D234" s="9" t="s">
        <v>102</v>
      </c>
      <c r="E234" s="9" t="s">
        <v>103</v>
      </c>
      <c r="F234" s="9" t="s">
        <v>104</v>
      </c>
      <c r="G234" s="9" t="s">
        <v>26</v>
      </c>
      <c r="H234" s="9" t="s">
        <v>27</v>
      </c>
      <c r="I234" s="0" t="s">
        <v>33</v>
      </c>
      <c r="J234" s="9" t="s">
        <v>34</v>
      </c>
      <c r="K234" s="9" t="s">
        <v>48</v>
      </c>
      <c r="L234" s="9" t="s">
        <v>49</v>
      </c>
      <c r="M234" s="0" t="s">
        <v>32</v>
      </c>
      <c r="N234" s="0" t="n">
        <v>1364</v>
      </c>
      <c r="O234" s="10" t="n">
        <v>0.710173114901409</v>
      </c>
      <c r="P234" s="10" t="n">
        <v>0.526212359312922</v>
      </c>
      <c r="Q234" s="0" t="str">
        <f aca="false">SUBSTITUTE(SUBSTITUTE($I234,CHAR(61),""),CHAR(34),"")</f>
        <v>01-09</v>
      </c>
      <c r="R234" s="0" t="str">
        <f aca="false">IF($D234&lt;&gt;"","["&amp;$E234&amp;"]"&amp;"|"&amp;$Q234&amp;"|"&amp;$K234&amp;"|"&amp;$G234&amp;"|"&amp;IF($G234="TX_CURR_SUBNAT.R","CY2022Q4",$M234),"")</f>
        <v>[wNqJp8oRIcF]|01-09|Male|TX_CURR_SUBNAT.R|CY2022Q4</v>
      </c>
    </row>
    <row r="235" customFormat="false" ht="15" hidden="false" customHeight="false" outlineLevel="0" collapsed="false">
      <c r="D235" s="9" t="s">
        <v>102</v>
      </c>
      <c r="E235" s="9" t="s">
        <v>103</v>
      </c>
      <c r="F235" s="9" t="s">
        <v>104</v>
      </c>
      <c r="G235" s="9" t="s">
        <v>26</v>
      </c>
      <c r="H235" s="9" t="s">
        <v>27</v>
      </c>
      <c r="I235" s="0" t="s">
        <v>36</v>
      </c>
      <c r="J235" s="9" t="s">
        <v>37</v>
      </c>
      <c r="K235" s="9" t="s">
        <v>48</v>
      </c>
      <c r="L235" s="9" t="s">
        <v>49</v>
      </c>
      <c r="M235" s="0" t="s">
        <v>32</v>
      </c>
      <c r="N235" s="0" t="n">
        <v>1232</v>
      </c>
      <c r="O235" s="10" t="n">
        <v>0.2166891801171</v>
      </c>
      <c r="P235" s="10" t="n">
        <v>0.526212359312922</v>
      </c>
      <c r="Q235" s="0" t="str">
        <f aca="false">SUBSTITUTE(SUBSTITUTE($I235,CHAR(61),""),CHAR(34),"")</f>
        <v>10-14</v>
      </c>
      <c r="R235" s="0" t="str">
        <f aca="false">IF($D235&lt;&gt;"","["&amp;$E235&amp;"]"&amp;"|"&amp;$Q235&amp;"|"&amp;$K235&amp;"|"&amp;$G235&amp;"|"&amp;IF($G235="TX_CURR_SUBNAT.R","CY2022Q4",$M235),"")</f>
        <v>[wNqJp8oRIcF]|10-14|Male|TX_CURR_SUBNAT.R|CY2022Q4</v>
      </c>
    </row>
    <row r="236" customFormat="false" ht="15" hidden="false" customHeight="false" outlineLevel="0" collapsed="false">
      <c r="D236" s="9" t="s">
        <v>102</v>
      </c>
      <c r="E236" s="9" t="s">
        <v>103</v>
      </c>
      <c r="F236" s="9" t="s">
        <v>104</v>
      </c>
      <c r="G236" s="9" t="s">
        <v>26</v>
      </c>
      <c r="H236" s="9" t="s">
        <v>27</v>
      </c>
      <c r="I236" s="0" t="s">
        <v>38</v>
      </c>
      <c r="J236" s="9" t="s">
        <v>39</v>
      </c>
      <c r="K236" s="9" t="s">
        <v>48</v>
      </c>
      <c r="L236" s="9" t="s">
        <v>49</v>
      </c>
      <c r="M236" s="0" t="s">
        <v>32</v>
      </c>
      <c r="N236" s="0" t="n">
        <v>978</v>
      </c>
      <c r="O236" s="10" t="n">
        <v>0.0739287636242807</v>
      </c>
      <c r="P236" s="10" t="n">
        <v>0.526212359312922</v>
      </c>
      <c r="Q236" s="0" t="str">
        <f aca="false">SUBSTITUTE(SUBSTITUTE($I236,CHAR(61),""),CHAR(34),"")</f>
        <v>15-24</v>
      </c>
      <c r="R236" s="0" t="str">
        <f aca="false">IF($D236&lt;&gt;"","["&amp;$E236&amp;"]"&amp;"|"&amp;$Q236&amp;"|"&amp;$K236&amp;"|"&amp;$G236&amp;"|"&amp;IF($G236="TX_CURR_SUBNAT.R","CY2022Q4",$M236),"")</f>
        <v>[wNqJp8oRIcF]|15-24|Male|TX_CURR_SUBNAT.R|CY2022Q4</v>
      </c>
    </row>
    <row r="237" customFormat="false" ht="15" hidden="false" customHeight="false" outlineLevel="0" collapsed="false">
      <c r="D237" s="9" t="s">
        <v>102</v>
      </c>
      <c r="E237" s="9" t="s">
        <v>103</v>
      </c>
      <c r="F237" s="9" t="s">
        <v>104</v>
      </c>
      <c r="G237" s="9" t="s">
        <v>26</v>
      </c>
      <c r="H237" s="9" t="s">
        <v>27</v>
      </c>
      <c r="I237" s="0" t="s">
        <v>41</v>
      </c>
      <c r="J237" s="9" t="s">
        <v>42</v>
      </c>
      <c r="K237" s="9" t="s">
        <v>48</v>
      </c>
      <c r="L237" s="9" t="s">
        <v>49</v>
      </c>
      <c r="M237" s="0" t="s">
        <v>32</v>
      </c>
      <c r="N237" s="0" t="n">
        <v>1102</v>
      </c>
      <c r="O237" s="10" t="n">
        <v>0.474121922859922</v>
      </c>
      <c r="P237" s="10" t="n">
        <v>0.526212359312922</v>
      </c>
      <c r="Q237" s="0" t="str">
        <f aca="false">SUBSTITUTE(SUBSTITUTE($I237,CHAR(61),""),CHAR(34),"")</f>
        <v>25-34</v>
      </c>
      <c r="R237" s="0" t="str">
        <f aca="false">IF($D237&lt;&gt;"","["&amp;$E237&amp;"]"&amp;"|"&amp;$Q237&amp;"|"&amp;$K237&amp;"|"&amp;$G237&amp;"|"&amp;IF($G237="TX_CURR_SUBNAT.R","CY2022Q4",$M237),"")</f>
        <v>[wNqJp8oRIcF]|25-34|Male|TX_CURR_SUBNAT.R|CY2022Q4</v>
      </c>
    </row>
    <row r="238" customFormat="false" ht="15" hidden="false" customHeight="false" outlineLevel="0" collapsed="false">
      <c r="D238" s="9" t="s">
        <v>102</v>
      </c>
      <c r="E238" s="9" t="s">
        <v>103</v>
      </c>
      <c r="F238" s="9" t="s">
        <v>104</v>
      </c>
      <c r="G238" s="9" t="s">
        <v>26</v>
      </c>
      <c r="H238" s="9" t="s">
        <v>27</v>
      </c>
      <c r="I238" s="0" t="s">
        <v>43</v>
      </c>
      <c r="J238" s="9" t="s">
        <v>44</v>
      </c>
      <c r="K238" s="9" t="s">
        <v>48</v>
      </c>
      <c r="L238" s="9" t="s">
        <v>49</v>
      </c>
      <c r="M238" s="0" t="s">
        <v>32</v>
      </c>
      <c r="N238" s="0" t="n">
        <v>702</v>
      </c>
      <c r="O238" s="10" t="n">
        <v>0.0177786799613386</v>
      </c>
      <c r="P238" s="10" t="n">
        <v>0.526212359312922</v>
      </c>
      <c r="Q238" s="0" t="str">
        <f aca="false">SUBSTITUTE(SUBSTITUTE($I238,CHAR(61),""),CHAR(34),"")</f>
        <v>35-49</v>
      </c>
      <c r="R238" s="0" t="str">
        <f aca="false">IF($D238&lt;&gt;"","["&amp;$E238&amp;"]"&amp;"|"&amp;$Q238&amp;"|"&amp;$K238&amp;"|"&amp;$G238&amp;"|"&amp;IF($G238="TX_CURR_SUBNAT.R","CY2022Q4",$M238),"")</f>
        <v>[wNqJp8oRIcF]|35-49|Male|TX_CURR_SUBNAT.R|CY2022Q4</v>
      </c>
    </row>
    <row r="239" customFormat="false" ht="15" hidden="false" customHeight="false" outlineLevel="0" collapsed="false">
      <c r="D239" s="9" t="s">
        <v>102</v>
      </c>
      <c r="E239" s="9" t="s">
        <v>103</v>
      </c>
      <c r="F239" s="9" t="s">
        <v>104</v>
      </c>
      <c r="G239" s="9" t="s">
        <v>26</v>
      </c>
      <c r="H239" s="9" t="s">
        <v>27</v>
      </c>
      <c r="I239" s="0" t="s">
        <v>45</v>
      </c>
      <c r="J239" s="9" t="s">
        <v>46</v>
      </c>
      <c r="K239" s="9" t="s">
        <v>48</v>
      </c>
      <c r="L239" s="9" t="s">
        <v>49</v>
      </c>
      <c r="M239" s="0" t="s">
        <v>32</v>
      </c>
      <c r="N239" s="0" t="n">
        <v>1854</v>
      </c>
      <c r="O239" s="10" t="n">
        <v>0.219221764942631</v>
      </c>
      <c r="P239" s="10" t="n">
        <v>0.526212359312922</v>
      </c>
      <c r="Q239" s="0" t="str">
        <f aca="false">SUBSTITUTE(SUBSTITUTE($I239,CHAR(61),""),CHAR(34),"")</f>
        <v>50+</v>
      </c>
      <c r="R239" s="0" t="str">
        <f aca="false">IF($D239&lt;&gt;"","["&amp;$E239&amp;"]"&amp;"|"&amp;$Q239&amp;"|"&amp;$K239&amp;"|"&amp;$G239&amp;"|"&amp;IF($G239="TX_CURR_SUBNAT.R","CY2022Q4",$M239),"")</f>
        <v>[wNqJp8oRIcF]|50+|Male|TX_CURR_SUBNAT.R|CY2022Q4</v>
      </c>
    </row>
    <row r="240" customFormat="false" ht="15" hidden="false" customHeight="false" outlineLevel="0" collapsed="false">
      <c r="D240" s="9" t="s">
        <v>105</v>
      </c>
      <c r="E240" s="9" t="s">
        <v>106</v>
      </c>
      <c r="F240" s="9" t="s">
        <v>107</v>
      </c>
      <c r="G240" s="9" t="s">
        <v>26</v>
      </c>
      <c r="H240" s="9" t="s">
        <v>27</v>
      </c>
      <c r="I240" s="0" t="s">
        <v>28</v>
      </c>
      <c r="J240" s="9" t="s">
        <v>29</v>
      </c>
      <c r="K240" s="9" t="s">
        <v>30</v>
      </c>
      <c r="L240" s="9" t="s">
        <v>31</v>
      </c>
      <c r="M240" s="0" t="s">
        <v>32</v>
      </c>
      <c r="N240" s="0" t="n">
        <v>884</v>
      </c>
      <c r="O240" s="10" t="n">
        <v>0.883497833507136</v>
      </c>
      <c r="P240" s="10" t="n">
        <v>0.218249560333788</v>
      </c>
      <c r="Q240" s="0" t="str">
        <f aca="false">SUBSTITUTE(SUBSTITUTE($I240,CHAR(61),""),CHAR(34),"")</f>
        <v>&lt;01</v>
      </c>
      <c r="R240" s="0" t="str">
        <f aca="false">IF($D240&lt;&gt;"","["&amp;$E240&amp;"]"&amp;"|"&amp;$Q240&amp;"|"&amp;$K240&amp;"|"&amp;$G240&amp;"|"&amp;IF($G240="TX_CURR_SUBNAT.R","CY2022Q4",$M240),"")</f>
        <v>[oiPR2CiVJbf]|&lt;01|Female|TX_CURR_SUBNAT.R|CY2022Q4</v>
      </c>
    </row>
    <row r="241" customFormat="false" ht="15" hidden="false" customHeight="false" outlineLevel="0" collapsed="false">
      <c r="D241" s="9" t="s">
        <v>105</v>
      </c>
      <c r="E241" s="9" t="s">
        <v>106</v>
      </c>
      <c r="F241" s="9" t="s">
        <v>107</v>
      </c>
      <c r="G241" s="9" t="s">
        <v>26</v>
      </c>
      <c r="H241" s="9" t="s">
        <v>27</v>
      </c>
      <c r="I241" s="0" t="s">
        <v>33</v>
      </c>
      <c r="J241" s="9" t="s">
        <v>34</v>
      </c>
      <c r="K241" s="9" t="s">
        <v>30</v>
      </c>
      <c r="L241" s="9" t="s">
        <v>31</v>
      </c>
      <c r="M241" s="0" t="s">
        <v>32</v>
      </c>
      <c r="N241" s="0" t="n">
        <v>1333</v>
      </c>
      <c r="O241" s="10" t="n">
        <v>0.909817665116861</v>
      </c>
      <c r="P241" s="10" t="n">
        <v>0.218249560333788</v>
      </c>
      <c r="Q241" s="0" t="str">
        <f aca="false">SUBSTITUTE(SUBSTITUTE($I241,CHAR(61),""),CHAR(34),"")</f>
        <v>01-09</v>
      </c>
      <c r="R241" s="0" t="str">
        <f aca="false">IF($D241&lt;&gt;"","["&amp;$E241&amp;"]"&amp;"|"&amp;$Q241&amp;"|"&amp;$K241&amp;"|"&amp;$G241&amp;"|"&amp;IF($G241="TX_CURR_SUBNAT.R","CY2022Q4",$M241),"")</f>
        <v>[oiPR2CiVJbf]|01-09|Female|TX_CURR_SUBNAT.R|CY2022Q4</v>
      </c>
    </row>
    <row r="242" customFormat="false" ht="15" hidden="false" customHeight="false" outlineLevel="0" collapsed="false">
      <c r="D242" s="9" t="s">
        <v>105</v>
      </c>
      <c r="E242" s="9" t="s">
        <v>106</v>
      </c>
      <c r="F242" s="9" t="s">
        <v>107</v>
      </c>
      <c r="G242" s="9" t="s">
        <v>26</v>
      </c>
      <c r="H242" s="9" t="s">
        <v>27</v>
      </c>
      <c r="I242" s="0" t="s">
        <v>36</v>
      </c>
      <c r="J242" s="9" t="s">
        <v>37</v>
      </c>
      <c r="K242" s="9" t="s">
        <v>30</v>
      </c>
      <c r="L242" s="9" t="s">
        <v>31</v>
      </c>
      <c r="M242" s="0" t="s">
        <v>32</v>
      </c>
      <c r="N242" s="0" t="n">
        <v>925</v>
      </c>
      <c r="O242" s="10" t="n">
        <v>0.679032347630709</v>
      </c>
      <c r="P242" s="10" t="n">
        <v>0.218249560333788</v>
      </c>
      <c r="Q242" s="0" t="str">
        <f aca="false">SUBSTITUTE(SUBSTITUTE($I242,CHAR(61),""),CHAR(34),"")</f>
        <v>10-14</v>
      </c>
      <c r="R242" s="0" t="str">
        <f aca="false">IF($D242&lt;&gt;"","["&amp;$E242&amp;"]"&amp;"|"&amp;$Q242&amp;"|"&amp;$K242&amp;"|"&amp;$G242&amp;"|"&amp;IF($G242="TX_CURR_SUBNAT.R","CY2022Q4",$M242),"")</f>
        <v>[oiPR2CiVJbf]|10-14|Female|TX_CURR_SUBNAT.R|CY2022Q4</v>
      </c>
    </row>
    <row r="243" customFormat="false" ht="15" hidden="false" customHeight="false" outlineLevel="0" collapsed="false">
      <c r="D243" s="9" t="s">
        <v>105</v>
      </c>
      <c r="E243" s="9" t="s">
        <v>106</v>
      </c>
      <c r="F243" s="9" t="s">
        <v>107</v>
      </c>
      <c r="G243" s="9" t="s">
        <v>26</v>
      </c>
      <c r="H243" s="9" t="s">
        <v>27</v>
      </c>
      <c r="I243" s="0" t="s">
        <v>38</v>
      </c>
      <c r="J243" s="9" t="s">
        <v>39</v>
      </c>
      <c r="K243" s="9" t="s">
        <v>30</v>
      </c>
      <c r="L243" s="9" t="s">
        <v>31</v>
      </c>
      <c r="M243" s="0" t="s">
        <v>32</v>
      </c>
      <c r="N243" s="0" t="n">
        <v>1783</v>
      </c>
      <c r="O243" s="10" t="n">
        <v>0.48566305404529</v>
      </c>
      <c r="P243" s="10" t="n">
        <v>0.218249560333788</v>
      </c>
      <c r="Q243" s="0" t="str">
        <f aca="false">SUBSTITUTE(SUBSTITUTE($I243,CHAR(61),""),CHAR(34),"")</f>
        <v>15-24</v>
      </c>
      <c r="R243" s="0" t="str">
        <f aca="false">IF($D243&lt;&gt;"","["&amp;$E243&amp;"]"&amp;"|"&amp;$Q243&amp;"|"&amp;$K243&amp;"|"&amp;$G243&amp;"|"&amp;IF($G243="TX_CURR_SUBNAT.R","CY2022Q4",$M243),"")</f>
        <v>[oiPR2CiVJbf]|15-24|Female|TX_CURR_SUBNAT.R|CY2022Q4</v>
      </c>
    </row>
    <row r="244" customFormat="false" ht="15" hidden="false" customHeight="false" outlineLevel="0" collapsed="false">
      <c r="D244" s="9" t="s">
        <v>105</v>
      </c>
      <c r="E244" s="9" t="s">
        <v>106</v>
      </c>
      <c r="F244" s="9" t="s">
        <v>107</v>
      </c>
      <c r="G244" s="9" t="s">
        <v>26</v>
      </c>
      <c r="H244" s="9" t="s">
        <v>27</v>
      </c>
      <c r="I244" s="0" t="s">
        <v>41</v>
      </c>
      <c r="J244" s="9" t="s">
        <v>42</v>
      </c>
      <c r="K244" s="9" t="s">
        <v>30</v>
      </c>
      <c r="L244" s="9" t="s">
        <v>31</v>
      </c>
      <c r="M244" s="0" t="s">
        <v>32</v>
      </c>
      <c r="N244" s="0" t="n">
        <v>592</v>
      </c>
      <c r="O244" s="10" t="n">
        <v>0.997325927950442</v>
      </c>
      <c r="P244" s="10" t="n">
        <v>0.218249560333788</v>
      </c>
      <c r="Q244" s="0" t="str">
        <f aca="false">SUBSTITUTE(SUBSTITUTE($I244,CHAR(61),""),CHAR(34),"")</f>
        <v>25-34</v>
      </c>
      <c r="R244" s="0" t="str">
        <f aca="false">IF($D244&lt;&gt;"","["&amp;$E244&amp;"]"&amp;"|"&amp;$Q244&amp;"|"&amp;$K244&amp;"|"&amp;$G244&amp;"|"&amp;IF($G244="TX_CURR_SUBNAT.R","CY2022Q4",$M244),"")</f>
        <v>[oiPR2CiVJbf]|25-34|Female|TX_CURR_SUBNAT.R|CY2022Q4</v>
      </c>
    </row>
    <row r="245" customFormat="false" ht="15" hidden="false" customHeight="false" outlineLevel="0" collapsed="false">
      <c r="D245" s="9" t="s">
        <v>105</v>
      </c>
      <c r="E245" s="9" t="s">
        <v>106</v>
      </c>
      <c r="F245" s="9" t="s">
        <v>107</v>
      </c>
      <c r="G245" s="9" t="s">
        <v>26</v>
      </c>
      <c r="H245" s="9" t="s">
        <v>27</v>
      </c>
      <c r="I245" s="0" t="s">
        <v>43</v>
      </c>
      <c r="J245" s="9" t="s">
        <v>44</v>
      </c>
      <c r="K245" s="9" t="s">
        <v>30</v>
      </c>
      <c r="L245" s="9" t="s">
        <v>31</v>
      </c>
      <c r="M245" s="0" t="s">
        <v>32</v>
      </c>
      <c r="N245" s="0" t="n">
        <v>1999</v>
      </c>
      <c r="O245" s="10" t="n">
        <v>0.164361208677292</v>
      </c>
      <c r="P245" s="10" t="n">
        <v>0.218249560333788</v>
      </c>
      <c r="Q245" s="0" t="str">
        <f aca="false">SUBSTITUTE(SUBSTITUTE($I245,CHAR(61),""),CHAR(34),"")</f>
        <v>35-49</v>
      </c>
      <c r="R245" s="0" t="str">
        <f aca="false">IF($D245&lt;&gt;"","["&amp;$E245&amp;"]"&amp;"|"&amp;$Q245&amp;"|"&amp;$K245&amp;"|"&amp;$G245&amp;"|"&amp;IF($G245="TX_CURR_SUBNAT.R","CY2022Q4",$M245),"")</f>
        <v>[oiPR2CiVJbf]|35-49|Female|TX_CURR_SUBNAT.R|CY2022Q4</v>
      </c>
    </row>
    <row r="246" customFormat="false" ht="15" hidden="false" customHeight="false" outlineLevel="0" collapsed="false">
      <c r="D246" s="9" t="s">
        <v>105</v>
      </c>
      <c r="E246" s="9" t="s">
        <v>106</v>
      </c>
      <c r="F246" s="9" t="s">
        <v>107</v>
      </c>
      <c r="G246" s="9" t="s">
        <v>26</v>
      </c>
      <c r="H246" s="9" t="s">
        <v>27</v>
      </c>
      <c r="I246" s="0" t="s">
        <v>45</v>
      </c>
      <c r="J246" s="9" t="s">
        <v>46</v>
      </c>
      <c r="K246" s="9" t="s">
        <v>30</v>
      </c>
      <c r="L246" s="9" t="s">
        <v>31</v>
      </c>
      <c r="M246" s="0" t="s">
        <v>32</v>
      </c>
      <c r="N246" s="0" t="n">
        <v>638</v>
      </c>
      <c r="O246" s="10" t="n">
        <v>0.664211835013703</v>
      </c>
      <c r="P246" s="10" t="n">
        <v>0.218249560333788</v>
      </c>
      <c r="Q246" s="0" t="str">
        <f aca="false">SUBSTITUTE(SUBSTITUTE($I246,CHAR(61),""),CHAR(34),"")</f>
        <v>50+</v>
      </c>
      <c r="R246" s="0" t="str">
        <f aca="false">IF($D246&lt;&gt;"","["&amp;$E246&amp;"]"&amp;"|"&amp;$Q246&amp;"|"&amp;$K246&amp;"|"&amp;$G246&amp;"|"&amp;IF($G246="TX_CURR_SUBNAT.R","CY2022Q4",$M246),"")</f>
        <v>[oiPR2CiVJbf]|50+|Female|TX_CURR_SUBNAT.R|CY2022Q4</v>
      </c>
    </row>
    <row r="247" customFormat="false" ht="15" hidden="false" customHeight="false" outlineLevel="0" collapsed="false">
      <c r="D247" s="9" t="s">
        <v>105</v>
      </c>
      <c r="E247" s="9" t="s">
        <v>106</v>
      </c>
      <c r="F247" s="9" t="s">
        <v>107</v>
      </c>
      <c r="G247" s="9" t="s">
        <v>26</v>
      </c>
      <c r="H247" s="9" t="s">
        <v>27</v>
      </c>
      <c r="I247" s="0" t="s">
        <v>28</v>
      </c>
      <c r="J247" s="9" t="s">
        <v>29</v>
      </c>
      <c r="K247" s="9" t="s">
        <v>48</v>
      </c>
      <c r="L247" s="9" t="s">
        <v>49</v>
      </c>
      <c r="M247" s="0" t="s">
        <v>32</v>
      </c>
      <c r="N247" s="0" t="n">
        <v>703</v>
      </c>
      <c r="O247" s="10" t="n">
        <v>0.763417287264019</v>
      </c>
      <c r="P247" s="10" t="n">
        <v>0.218249560333788</v>
      </c>
      <c r="Q247" s="0" t="str">
        <f aca="false">SUBSTITUTE(SUBSTITUTE($I247,CHAR(61),""),CHAR(34),"")</f>
        <v>&lt;01</v>
      </c>
      <c r="R247" s="0" t="str">
        <f aca="false">IF($D247&lt;&gt;"","["&amp;$E247&amp;"]"&amp;"|"&amp;$Q247&amp;"|"&amp;$K247&amp;"|"&amp;$G247&amp;"|"&amp;IF($G247="TX_CURR_SUBNAT.R","CY2022Q4",$M247),"")</f>
        <v>[oiPR2CiVJbf]|&lt;01|Male|TX_CURR_SUBNAT.R|CY2022Q4</v>
      </c>
    </row>
    <row r="248" customFormat="false" ht="15" hidden="false" customHeight="false" outlineLevel="0" collapsed="false">
      <c r="D248" s="9" t="s">
        <v>105</v>
      </c>
      <c r="E248" s="9" t="s">
        <v>106</v>
      </c>
      <c r="F248" s="9" t="s">
        <v>107</v>
      </c>
      <c r="G248" s="9" t="s">
        <v>26</v>
      </c>
      <c r="H248" s="9" t="s">
        <v>27</v>
      </c>
      <c r="I248" s="0" t="s">
        <v>33</v>
      </c>
      <c r="J248" s="9" t="s">
        <v>34</v>
      </c>
      <c r="K248" s="9" t="s">
        <v>48</v>
      </c>
      <c r="L248" s="9" t="s">
        <v>49</v>
      </c>
      <c r="M248" s="0" t="s">
        <v>32</v>
      </c>
      <c r="N248" s="0" t="n">
        <v>611</v>
      </c>
      <c r="O248" s="10" t="n">
        <v>0.610180127667263</v>
      </c>
      <c r="P248" s="10" t="n">
        <v>0.218249560333788</v>
      </c>
      <c r="Q248" s="0" t="str">
        <f aca="false">SUBSTITUTE(SUBSTITUTE($I248,CHAR(61),""),CHAR(34),"")</f>
        <v>01-09</v>
      </c>
      <c r="R248" s="0" t="str">
        <f aca="false">IF($D248&lt;&gt;"","["&amp;$E248&amp;"]"&amp;"|"&amp;$Q248&amp;"|"&amp;$K248&amp;"|"&amp;$G248&amp;"|"&amp;IF($G248="TX_CURR_SUBNAT.R","CY2022Q4",$M248),"")</f>
        <v>[oiPR2CiVJbf]|01-09|Male|TX_CURR_SUBNAT.R|CY2022Q4</v>
      </c>
    </row>
    <row r="249" customFormat="false" ht="15" hidden="false" customHeight="false" outlineLevel="0" collapsed="false">
      <c r="D249" s="9" t="s">
        <v>105</v>
      </c>
      <c r="E249" s="9" t="s">
        <v>106</v>
      </c>
      <c r="F249" s="9" t="s">
        <v>107</v>
      </c>
      <c r="G249" s="9" t="s">
        <v>26</v>
      </c>
      <c r="H249" s="9" t="s">
        <v>27</v>
      </c>
      <c r="I249" s="0" t="s">
        <v>36</v>
      </c>
      <c r="J249" s="9" t="s">
        <v>37</v>
      </c>
      <c r="K249" s="9" t="s">
        <v>48</v>
      </c>
      <c r="L249" s="9" t="s">
        <v>49</v>
      </c>
      <c r="M249" s="0" t="s">
        <v>32</v>
      </c>
      <c r="N249" s="0" t="n">
        <v>1618</v>
      </c>
      <c r="O249" s="10" t="n">
        <v>0.664439473766834</v>
      </c>
      <c r="P249" s="10" t="n">
        <v>0.218249560333788</v>
      </c>
      <c r="Q249" s="0" t="str">
        <f aca="false">SUBSTITUTE(SUBSTITUTE($I249,CHAR(61),""),CHAR(34),"")</f>
        <v>10-14</v>
      </c>
      <c r="R249" s="0" t="str">
        <f aca="false">IF($D249&lt;&gt;"","["&amp;$E249&amp;"]"&amp;"|"&amp;$Q249&amp;"|"&amp;$K249&amp;"|"&amp;$G249&amp;"|"&amp;IF($G249="TX_CURR_SUBNAT.R","CY2022Q4",$M249),"")</f>
        <v>[oiPR2CiVJbf]|10-14|Male|TX_CURR_SUBNAT.R|CY2022Q4</v>
      </c>
    </row>
    <row r="250" customFormat="false" ht="15" hidden="false" customHeight="false" outlineLevel="0" collapsed="false">
      <c r="D250" s="9" t="s">
        <v>105</v>
      </c>
      <c r="E250" s="9" t="s">
        <v>106</v>
      </c>
      <c r="F250" s="9" t="s">
        <v>107</v>
      </c>
      <c r="G250" s="9" t="s">
        <v>26</v>
      </c>
      <c r="H250" s="9" t="s">
        <v>27</v>
      </c>
      <c r="I250" s="0" t="s">
        <v>38</v>
      </c>
      <c r="J250" s="9" t="s">
        <v>39</v>
      </c>
      <c r="K250" s="9" t="s">
        <v>48</v>
      </c>
      <c r="L250" s="9" t="s">
        <v>49</v>
      </c>
      <c r="M250" s="0" t="s">
        <v>32</v>
      </c>
      <c r="N250" s="0" t="n">
        <v>1088</v>
      </c>
      <c r="O250" s="10" t="n">
        <v>0.818458520574495</v>
      </c>
      <c r="P250" s="10" t="n">
        <v>0.218249560333788</v>
      </c>
      <c r="Q250" s="0" t="str">
        <f aca="false">SUBSTITUTE(SUBSTITUTE($I250,CHAR(61),""),CHAR(34),"")</f>
        <v>15-24</v>
      </c>
      <c r="R250" s="0" t="str">
        <f aca="false">IF($D250&lt;&gt;"","["&amp;$E250&amp;"]"&amp;"|"&amp;$Q250&amp;"|"&amp;$K250&amp;"|"&amp;$G250&amp;"|"&amp;IF($G250="TX_CURR_SUBNAT.R","CY2022Q4",$M250),"")</f>
        <v>[oiPR2CiVJbf]|15-24|Male|TX_CURR_SUBNAT.R|CY2022Q4</v>
      </c>
    </row>
    <row r="251" customFormat="false" ht="15" hidden="false" customHeight="false" outlineLevel="0" collapsed="false">
      <c r="D251" s="9" t="s">
        <v>105</v>
      </c>
      <c r="E251" s="9" t="s">
        <v>106</v>
      </c>
      <c r="F251" s="9" t="s">
        <v>107</v>
      </c>
      <c r="G251" s="9" t="s">
        <v>26</v>
      </c>
      <c r="H251" s="9" t="s">
        <v>27</v>
      </c>
      <c r="I251" s="0" t="s">
        <v>41</v>
      </c>
      <c r="J251" s="9" t="s">
        <v>42</v>
      </c>
      <c r="K251" s="9" t="s">
        <v>48</v>
      </c>
      <c r="L251" s="9" t="s">
        <v>49</v>
      </c>
      <c r="M251" s="0" t="s">
        <v>32</v>
      </c>
      <c r="N251" s="0" t="n">
        <v>1269</v>
      </c>
      <c r="O251" s="10" t="n">
        <v>0.822143103927374</v>
      </c>
      <c r="P251" s="10" t="n">
        <v>0.218249560333788</v>
      </c>
      <c r="Q251" s="0" t="str">
        <f aca="false">SUBSTITUTE(SUBSTITUTE($I251,CHAR(61),""),CHAR(34),"")</f>
        <v>25-34</v>
      </c>
      <c r="R251" s="0" t="str">
        <f aca="false">IF($D251&lt;&gt;"","["&amp;$E251&amp;"]"&amp;"|"&amp;$Q251&amp;"|"&amp;$K251&amp;"|"&amp;$G251&amp;"|"&amp;IF($G251="TX_CURR_SUBNAT.R","CY2022Q4",$M251),"")</f>
        <v>[oiPR2CiVJbf]|25-34|Male|TX_CURR_SUBNAT.R|CY2022Q4</v>
      </c>
    </row>
    <row r="252" customFormat="false" ht="15" hidden="false" customHeight="false" outlineLevel="0" collapsed="false">
      <c r="D252" s="9" t="s">
        <v>105</v>
      </c>
      <c r="E252" s="9" t="s">
        <v>106</v>
      </c>
      <c r="F252" s="9" t="s">
        <v>107</v>
      </c>
      <c r="G252" s="9" t="s">
        <v>26</v>
      </c>
      <c r="H252" s="9" t="s">
        <v>27</v>
      </c>
      <c r="I252" s="0" t="s">
        <v>43</v>
      </c>
      <c r="J252" s="9" t="s">
        <v>44</v>
      </c>
      <c r="K252" s="9" t="s">
        <v>48</v>
      </c>
      <c r="L252" s="9" t="s">
        <v>49</v>
      </c>
      <c r="M252" s="0" t="s">
        <v>32</v>
      </c>
      <c r="N252" s="0" t="n">
        <v>1974</v>
      </c>
      <c r="O252" s="10" t="n">
        <v>0.384878437733278</v>
      </c>
      <c r="P252" s="10" t="n">
        <v>0.218249560333788</v>
      </c>
      <c r="Q252" s="0" t="str">
        <f aca="false">SUBSTITUTE(SUBSTITUTE($I252,CHAR(61),""),CHAR(34),"")</f>
        <v>35-49</v>
      </c>
      <c r="R252" s="0" t="str">
        <f aca="false">IF($D252&lt;&gt;"","["&amp;$E252&amp;"]"&amp;"|"&amp;$Q252&amp;"|"&amp;$K252&amp;"|"&amp;$G252&amp;"|"&amp;IF($G252="TX_CURR_SUBNAT.R","CY2022Q4",$M252),"")</f>
        <v>[oiPR2CiVJbf]|35-49|Male|TX_CURR_SUBNAT.R|CY2022Q4</v>
      </c>
    </row>
    <row r="253" customFormat="false" ht="15" hidden="false" customHeight="false" outlineLevel="0" collapsed="false">
      <c r="D253" s="9" t="s">
        <v>105</v>
      </c>
      <c r="E253" s="9" t="s">
        <v>106</v>
      </c>
      <c r="F253" s="9" t="s">
        <v>107</v>
      </c>
      <c r="G253" s="9" t="s">
        <v>26</v>
      </c>
      <c r="H253" s="9" t="s">
        <v>27</v>
      </c>
      <c r="I253" s="0" t="s">
        <v>45</v>
      </c>
      <c r="J253" s="9" t="s">
        <v>46</v>
      </c>
      <c r="K253" s="9" t="s">
        <v>48</v>
      </c>
      <c r="L253" s="9" t="s">
        <v>49</v>
      </c>
      <c r="M253" s="0" t="s">
        <v>32</v>
      </c>
      <c r="N253" s="0" t="n">
        <v>1544</v>
      </c>
      <c r="O253" s="10" t="n">
        <v>0.854195925872773</v>
      </c>
      <c r="P253" s="10" t="n">
        <v>0.218249560333788</v>
      </c>
      <c r="Q253" s="0" t="str">
        <f aca="false">SUBSTITUTE(SUBSTITUTE($I253,CHAR(61),""),CHAR(34),"")</f>
        <v>50+</v>
      </c>
      <c r="R253" s="0" t="str">
        <f aca="false">IF($D253&lt;&gt;"","["&amp;$E253&amp;"]"&amp;"|"&amp;$Q253&amp;"|"&amp;$K253&amp;"|"&amp;$G253&amp;"|"&amp;IF($G253="TX_CURR_SUBNAT.R","CY2022Q4",$M253),"")</f>
        <v>[oiPR2CiVJbf]|50+|Male|TX_CURR_SUBNAT.R|CY2022Q4</v>
      </c>
    </row>
    <row r="254" customFormat="false" ht="15" hidden="false" customHeight="false" outlineLevel="0" collapsed="false">
      <c r="D254" s="9" t="s">
        <v>108</v>
      </c>
      <c r="E254" s="9" t="s">
        <v>109</v>
      </c>
      <c r="F254" s="9" t="s">
        <v>110</v>
      </c>
      <c r="G254" s="9" t="s">
        <v>26</v>
      </c>
      <c r="H254" s="9" t="s">
        <v>27</v>
      </c>
      <c r="I254" s="0" t="s">
        <v>28</v>
      </c>
      <c r="J254" s="9" t="s">
        <v>29</v>
      </c>
      <c r="K254" s="9" t="s">
        <v>30</v>
      </c>
      <c r="L254" s="9" t="s">
        <v>31</v>
      </c>
      <c r="M254" s="0" t="s">
        <v>32</v>
      </c>
      <c r="N254" s="0" t="n">
        <v>1758</v>
      </c>
      <c r="O254" s="10" t="n">
        <v>0.248566956492141</v>
      </c>
      <c r="P254" s="10" t="n">
        <v>0.434221804374829</v>
      </c>
      <c r="Q254" s="0" t="str">
        <f aca="false">SUBSTITUTE(SUBSTITUTE($I254,CHAR(61),""),CHAR(34),"")</f>
        <v>&lt;01</v>
      </c>
      <c r="R254" s="0" t="str">
        <f aca="false">IF($D254&lt;&gt;"","["&amp;$E254&amp;"]"&amp;"|"&amp;$Q254&amp;"|"&amp;$K254&amp;"|"&amp;$G254&amp;"|"&amp;IF($G254="TX_CURR_SUBNAT.R","CY2022Q4",$M254),"")</f>
        <v>[ul0y9diGujK]|&lt;01|Female|TX_CURR_SUBNAT.R|CY2022Q4</v>
      </c>
    </row>
    <row r="255" customFormat="false" ht="15" hidden="false" customHeight="false" outlineLevel="0" collapsed="false">
      <c r="D255" s="9" t="s">
        <v>108</v>
      </c>
      <c r="E255" s="9" t="s">
        <v>109</v>
      </c>
      <c r="F255" s="9" t="s">
        <v>110</v>
      </c>
      <c r="G255" s="9" t="s">
        <v>26</v>
      </c>
      <c r="H255" s="9" t="s">
        <v>27</v>
      </c>
      <c r="I255" s="0" t="s">
        <v>33</v>
      </c>
      <c r="J255" s="9" t="s">
        <v>34</v>
      </c>
      <c r="K255" s="9" t="s">
        <v>30</v>
      </c>
      <c r="L255" s="9" t="s">
        <v>31</v>
      </c>
      <c r="M255" s="0" t="s">
        <v>32</v>
      </c>
      <c r="N255" s="0" t="n">
        <v>1370</v>
      </c>
      <c r="O255" s="10" t="n">
        <v>0.0524115359876305</v>
      </c>
      <c r="P255" s="10" t="n">
        <v>0.434221804374829</v>
      </c>
      <c r="Q255" s="0" t="str">
        <f aca="false">SUBSTITUTE(SUBSTITUTE($I255,CHAR(61),""),CHAR(34),"")</f>
        <v>01-09</v>
      </c>
      <c r="R255" s="0" t="str">
        <f aca="false">IF($D255&lt;&gt;"","["&amp;$E255&amp;"]"&amp;"|"&amp;$Q255&amp;"|"&amp;$K255&amp;"|"&amp;$G255&amp;"|"&amp;IF($G255="TX_CURR_SUBNAT.R","CY2022Q4",$M255),"")</f>
        <v>[ul0y9diGujK]|01-09|Female|TX_CURR_SUBNAT.R|CY2022Q4</v>
      </c>
    </row>
    <row r="256" customFormat="false" ht="15" hidden="false" customHeight="false" outlineLevel="0" collapsed="false">
      <c r="D256" s="9" t="s">
        <v>108</v>
      </c>
      <c r="E256" s="9" t="s">
        <v>109</v>
      </c>
      <c r="F256" s="9" t="s">
        <v>110</v>
      </c>
      <c r="G256" s="9" t="s">
        <v>26</v>
      </c>
      <c r="H256" s="9" t="s">
        <v>27</v>
      </c>
      <c r="I256" s="0" t="s">
        <v>36</v>
      </c>
      <c r="J256" s="9" t="s">
        <v>37</v>
      </c>
      <c r="K256" s="9" t="s">
        <v>30</v>
      </c>
      <c r="L256" s="9" t="s">
        <v>31</v>
      </c>
      <c r="M256" s="0" t="s">
        <v>32</v>
      </c>
      <c r="N256" s="0" t="n">
        <v>1742</v>
      </c>
      <c r="O256" s="10" t="n">
        <v>0.515256836777553</v>
      </c>
      <c r="P256" s="10" t="n">
        <v>0.434221804374829</v>
      </c>
      <c r="Q256" s="0" t="str">
        <f aca="false">SUBSTITUTE(SUBSTITUTE($I256,CHAR(61),""),CHAR(34),"")</f>
        <v>10-14</v>
      </c>
      <c r="R256" s="0" t="str">
        <f aca="false">IF($D256&lt;&gt;"","["&amp;$E256&amp;"]"&amp;"|"&amp;$Q256&amp;"|"&amp;$K256&amp;"|"&amp;$G256&amp;"|"&amp;IF($G256="TX_CURR_SUBNAT.R","CY2022Q4",$M256),"")</f>
        <v>[ul0y9diGujK]|10-14|Female|TX_CURR_SUBNAT.R|CY2022Q4</v>
      </c>
    </row>
    <row r="257" customFormat="false" ht="15" hidden="false" customHeight="false" outlineLevel="0" collapsed="false">
      <c r="D257" s="9" t="s">
        <v>108</v>
      </c>
      <c r="E257" s="9" t="s">
        <v>109</v>
      </c>
      <c r="F257" s="9" t="s">
        <v>110</v>
      </c>
      <c r="G257" s="9" t="s">
        <v>26</v>
      </c>
      <c r="H257" s="9" t="s">
        <v>27</v>
      </c>
      <c r="I257" s="0" t="s">
        <v>38</v>
      </c>
      <c r="J257" s="9" t="s">
        <v>39</v>
      </c>
      <c r="K257" s="9" t="s">
        <v>30</v>
      </c>
      <c r="L257" s="9" t="s">
        <v>31</v>
      </c>
      <c r="M257" s="0" t="s">
        <v>32</v>
      </c>
      <c r="N257" s="0" t="n">
        <v>857</v>
      </c>
      <c r="O257" s="10" t="n">
        <v>0.564214158803225</v>
      </c>
      <c r="P257" s="10" t="n">
        <v>0.434221804374829</v>
      </c>
      <c r="Q257" s="0" t="str">
        <f aca="false">SUBSTITUTE(SUBSTITUTE($I257,CHAR(61),""),CHAR(34),"")</f>
        <v>15-24</v>
      </c>
      <c r="R257" s="0" t="str">
        <f aca="false">IF($D257&lt;&gt;"","["&amp;$E257&amp;"]"&amp;"|"&amp;$Q257&amp;"|"&amp;$K257&amp;"|"&amp;$G257&amp;"|"&amp;IF($G257="TX_CURR_SUBNAT.R","CY2022Q4",$M257),"")</f>
        <v>[ul0y9diGujK]|15-24|Female|TX_CURR_SUBNAT.R|CY2022Q4</v>
      </c>
    </row>
    <row r="258" customFormat="false" ht="15" hidden="false" customHeight="false" outlineLevel="0" collapsed="false">
      <c r="D258" s="9" t="s">
        <v>108</v>
      </c>
      <c r="E258" s="9" t="s">
        <v>109</v>
      </c>
      <c r="F258" s="9" t="s">
        <v>110</v>
      </c>
      <c r="G258" s="9" t="s">
        <v>26</v>
      </c>
      <c r="H258" s="9" t="s">
        <v>27</v>
      </c>
      <c r="I258" s="0" t="s">
        <v>41</v>
      </c>
      <c r="J258" s="9" t="s">
        <v>42</v>
      </c>
      <c r="K258" s="9" t="s">
        <v>30</v>
      </c>
      <c r="L258" s="9" t="s">
        <v>31</v>
      </c>
      <c r="M258" s="0" t="s">
        <v>32</v>
      </c>
      <c r="N258" s="0" t="n">
        <v>1601</v>
      </c>
      <c r="O258" s="10" t="n">
        <v>0.645853184396401</v>
      </c>
      <c r="P258" s="10" t="n">
        <v>0.434221804374829</v>
      </c>
      <c r="Q258" s="0" t="str">
        <f aca="false">SUBSTITUTE(SUBSTITUTE($I258,CHAR(61),""),CHAR(34),"")</f>
        <v>25-34</v>
      </c>
      <c r="R258" s="0" t="str">
        <f aca="false">IF($D258&lt;&gt;"","["&amp;$E258&amp;"]"&amp;"|"&amp;$Q258&amp;"|"&amp;$K258&amp;"|"&amp;$G258&amp;"|"&amp;IF($G258="TX_CURR_SUBNAT.R","CY2022Q4",$M258),"")</f>
        <v>[ul0y9diGujK]|25-34|Female|TX_CURR_SUBNAT.R|CY2022Q4</v>
      </c>
    </row>
    <row r="259" customFormat="false" ht="15" hidden="false" customHeight="false" outlineLevel="0" collapsed="false">
      <c r="D259" s="9" t="s">
        <v>108</v>
      </c>
      <c r="E259" s="9" t="s">
        <v>109</v>
      </c>
      <c r="F259" s="9" t="s">
        <v>110</v>
      </c>
      <c r="G259" s="9" t="s">
        <v>26</v>
      </c>
      <c r="H259" s="9" t="s">
        <v>27</v>
      </c>
      <c r="I259" s="0" t="s">
        <v>43</v>
      </c>
      <c r="J259" s="9" t="s">
        <v>44</v>
      </c>
      <c r="K259" s="9" t="s">
        <v>30</v>
      </c>
      <c r="L259" s="9" t="s">
        <v>31</v>
      </c>
      <c r="M259" s="0" t="s">
        <v>32</v>
      </c>
      <c r="N259" s="0" t="n">
        <v>700</v>
      </c>
      <c r="O259" s="10" t="n">
        <v>0.260621832683682</v>
      </c>
      <c r="P259" s="10" t="n">
        <v>0.434221804374829</v>
      </c>
      <c r="Q259" s="0" t="str">
        <f aca="false">SUBSTITUTE(SUBSTITUTE($I259,CHAR(61),""),CHAR(34),"")</f>
        <v>35-49</v>
      </c>
      <c r="R259" s="0" t="str">
        <f aca="false">IF($D259&lt;&gt;"","["&amp;$E259&amp;"]"&amp;"|"&amp;$Q259&amp;"|"&amp;$K259&amp;"|"&amp;$G259&amp;"|"&amp;IF($G259="TX_CURR_SUBNAT.R","CY2022Q4",$M259),"")</f>
        <v>[ul0y9diGujK]|35-49|Female|TX_CURR_SUBNAT.R|CY2022Q4</v>
      </c>
    </row>
    <row r="260" customFormat="false" ht="15" hidden="false" customHeight="false" outlineLevel="0" collapsed="false">
      <c r="D260" s="9" t="s">
        <v>108</v>
      </c>
      <c r="E260" s="9" t="s">
        <v>109</v>
      </c>
      <c r="F260" s="9" t="s">
        <v>110</v>
      </c>
      <c r="G260" s="9" t="s">
        <v>26</v>
      </c>
      <c r="H260" s="9" t="s">
        <v>27</v>
      </c>
      <c r="I260" s="0" t="s">
        <v>45</v>
      </c>
      <c r="J260" s="9" t="s">
        <v>46</v>
      </c>
      <c r="K260" s="9" t="s">
        <v>30</v>
      </c>
      <c r="L260" s="9" t="s">
        <v>31</v>
      </c>
      <c r="M260" s="0" t="s">
        <v>32</v>
      </c>
      <c r="N260" s="0" t="n">
        <v>706</v>
      </c>
      <c r="O260" s="10" t="n">
        <v>0.132720129331574</v>
      </c>
      <c r="P260" s="10" t="n">
        <v>0.434221804374829</v>
      </c>
      <c r="Q260" s="0" t="str">
        <f aca="false">SUBSTITUTE(SUBSTITUTE($I260,CHAR(61),""),CHAR(34),"")</f>
        <v>50+</v>
      </c>
      <c r="R260" s="0" t="str">
        <f aca="false">IF($D260&lt;&gt;"","["&amp;$E260&amp;"]"&amp;"|"&amp;$Q260&amp;"|"&amp;$K260&amp;"|"&amp;$G260&amp;"|"&amp;IF($G260="TX_CURR_SUBNAT.R","CY2022Q4",$M260),"")</f>
        <v>[ul0y9diGujK]|50+|Female|TX_CURR_SUBNAT.R|CY2022Q4</v>
      </c>
    </row>
    <row r="261" customFormat="false" ht="15" hidden="false" customHeight="false" outlineLevel="0" collapsed="false">
      <c r="D261" s="9" t="s">
        <v>108</v>
      </c>
      <c r="E261" s="9" t="s">
        <v>109</v>
      </c>
      <c r="F261" s="9" t="s">
        <v>110</v>
      </c>
      <c r="G261" s="9" t="s">
        <v>26</v>
      </c>
      <c r="H261" s="9" t="s">
        <v>27</v>
      </c>
      <c r="I261" s="0" t="s">
        <v>28</v>
      </c>
      <c r="J261" s="9" t="s">
        <v>29</v>
      </c>
      <c r="K261" s="9" t="s">
        <v>48</v>
      </c>
      <c r="L261" s="9" t="s">
        <v>49</v>
      </c>
      <c r="M261" s="0" t="s">
        <v>32</v>
      </c>
      <c r="N261" s="0" t="n">
        <v>1564</v>
      </c>
      <c r="O261" s="10" t="n">
        <v>0.849437532713637</v>
      </c>
      <c r="P261" s="10" t="n">
        <v>0.434221804374829</v>
      </c>
      <c r="Q261" s="0" t="str">
        <f aca="false">SUBSTITUTE(SUBSTITUTE($I261,CHAR(61),""),CHAR(34),"")</f>
        <v>&lt;01</v>
      </c>
      <c r="R261" s="0" t="str">
        <f aca="false">IF($D261&lt;&gt;"","["&amp;$E261&amp;"]"&amp;"|"&amp;$Q261&amp;"|"&amp;$K261&amp;"|"&amp;$G261&amp;"|"&amp;IF($G261="TX_CURR_SUBNAT.R","CY2022Q4",$M261),"")</f>
        <v>[ul0y9diGujK]|&lt;01|Male|TX_CURR_SUBNAT.R|CY2022Q4</v>
      </c>
    </row>
    <row r="262" customFormat="false" ht="15" hidden="false" customHeight="false" outlineLevel="0" collapsed="false">
      <c r="D262" s="9" t="s">
        <v>108</v>
      </c>
      <c r="E262" s="9" t="s">
        <v>109</v>
      </c>
      <c r="F262" s="9" t="s">
        <v>110</v>
      </c>
      <c r="G262" s="9" t="s">
        <v>26</v>
      </c>
      <c r="H262" s="9" t="s">
        <v>27</v>
      </c>
      <c r="I262" s="0" t="s">
        <v>33</v>
      </c>
      <c r="J262" s="9" t="s">
        <v>34</v>
      </c>
      <c r="K262" s="9" t="s">
        <v>48</v>
      </c>
      <c r="L262" s="9" t="s">
        <v>49</v>
      </c>
      <c r="M262" s="0" t="s">
        <v>32</v>
      </c>
      <c r="N262" s="0" t="n">
        <v>1099</v>
      </c>
      <c r="O262" s="10" t="n">
        <v>0.541228918358684</v>
      </c>
      <c r="P262" s="10" t="n">
        <v>0.434221804374829</v>
      </c>
      <c r="Q262" s="0" t="str">
        <f aca="false">SUBSTITUTE(SUBSTITUTE($I262,CHAR(61),""),CHAR(34),"")</f>
        <v>01-09</v>
      </c>
      <c r="R262" s="0" t="str">
        <f aca="false">IF($D262&lt;&gt;"","["&amp;$E262&amp;"]"&amp;"|"&amp;$Q262&amp;"|"&amp;$K262&amp;"|"&amp;$G262&amp;"|"&amp;IF($G262="TX_CURR_SUBNAT.R","CY2022Q4",$M262),"")</f>
        <v>[ul0y9diGujK]|01-09|Male|TX_CURR_SUBNAT.R|CY2022Q4</v>
      </c>
    </row>
    <row r="263" customFormat="false" ht="15" hidden="false" customHeight="false" outlineLevel="0" collapsed="false">
      <c r="D263" s="9" t="s">
        <v>108</v>
      </c>
      <c r="E263" s="9" t="s">
        <v>109</v>
      </c>
      <c r="F263" s="9" t="s">
        <v>110</v>
      </c>
      <c r="G263" s="9" t="s">
        <v>26</v>
      </c>
      <c r="H263" s="9" t="s">
        <v>27</v>
      </c>
      <c r="I263" s="0" t="s">
        <v>36</v>
      </c>
      <c r="J263" s="9" t="s">
        <v>37</v>
      </c>
      <c r="K263" s="9" t="s">
        <v>48</v>
      </c>
      <c r="L263" s="9" t="s">
        <v>49</v>
      </c>
      <c r="M263" s="0" t="s">
        <v>32</v>
      </c>
      <c r="N263" s="0" t="n">
        <v>1505</v>
      </c>
      <c r="O263" s="10" t="n">
        <v>0.0730026371311396</v>
      </c>
      <c r="P263" s="10" t="n">
        <v>0.434221804374829</v>
      </c>
      <c r="Q263" s="0" t="str">
        <f aca="false">SUBSTITUTE(SUBSTITUTE($I263,CHAR(61),""),CHAR(34),"")</f>
        <v>10-14</v>
      </c>
      <c r="R263" s="0" t="str">
        <f aca="false">IF($D263&lt;&gt;"","["&amp;$E263&amp;"]"&amp;"|"&amp;$Q263&amp;"|"&amp;$K263&amp;"|"&amp;$G263&amp;"|"&amp;IF($G263="TX_CURR_SUBNAT.R","CY2022Q4",$M263),"")</f>
        <v>[ul0y9diGujK]|10-14|Male|TX_CURR_SUBNAT.R|CY2022Q4</v>
      </c>
    </row>
    <row r="264" customFormat="false" ht="15" hidden="false" customHeight="false" outlineLevel="0" collapsed="false">
      <c r="D264" s="9" t="s">
        <v>108</v>
      </c>
      <c r="E264" s="9" t="s">
        <v>109</v>
      </c>
      <c r="F264" s="9" t="s">
        <v>110</v>
      </c>
      <c r="G264" s="9" t="s">
        <v>26</v>
      </c>
      <c r="H264" s="9" t="s">
        <v>27</v>
      </c>
      <c r="I264" s="0" t="s">
        <v>38</v>
      </c>
      <c r="J264" s="9" t="s">
        <v>39</v>
      </c>
      <c r="K264" s="9" t="s">
        <v>48</v>
      </c>
      <c r="L264" s="9" t="s">
        <v>49</v>
      </c>
      <c r="M264" s="0" t="s">
        <v>32</v>
      </c>
      <c r="N264" s="0" t="n">
        <v>843</v>
      </c>
      <c r="O264" s="10" t="n">
        <v>0.3983525543008</v>
      </c>
      <c r="P264" s="10" t="n">
        <v>0.434221804374829</v>
      </c>
      <c r="Q264" s="0" t="str">
        <f aca="false">SUBSTITUTE(SUBSTITUTE($I264,CHAR(61),""),CHAR(34),"")</f>
        <v>15-24</v>
      </c>
      <c r="R264" s="0" t="str">
        <f aca="false">IF($D264&lt;&gt;"","["&amp;$E264&amp;"]"&amp;"|"&amp;$Q264&amp;"|"&amp;$K264&amp;"|"&amp;$G264&amp;"|"&amp;IF($G264="TX_CURR_SUBNAT.R","CY2022Q4",$M264),"")</f>
        <v>[ul0y9diGujK]|15-24|Male|TX_CURR_SUBNAT.R|CY2022Q4</v>
      </c>
    </row>
    <row r="265" customFormat="false" ht="15" hidden="false" customHeight="false" outlineLevel="0" collapsed="false">
      <c r="D265" s="9" t="s">
        <v>108</v>
      </c>
      <c r="E265" s="9" t="s">
        <v>109</v>
      </c>
      <c r="F265" s="9" t="s">
        <v>110</v>
      </c>
      <c r="G265" s="9" t="s">
        <v>26</v>
      </c>
      <c r="H265" s="9" t="s">
        <v>27</v>
      </c>
      <c r="I265" s="0" t="s">
        <v>41</v>
      </c>
      <c r="J265" s="9" t="s">
        <v>42</v>
      </c>
      <c r="K265" s="9" t="s">
        <v>48</v>
      </c>
      <c r="L265" s="9" t="s">
        <v>49</v>
      </c>
      <c r="M265" s="0" t="s">
        <v>32</v>
      </c>
      <c r="N265" s="0" t="n">
        <v>1553</v>
      </c>
      <c r="O265" s="10" t="n">
        <v>0.194177123019472</v>
      </c>
      <c r="P265" s="10" t="n">
        <v>0.434221804374829</v>
      </c>
      <c r="Q265" s="0" t="str">
        <f aca="false">SUBSTITUTE(SUBSTITUTE($I265,CHAR(61),""),CHAR(34),"")</f>
        <v>25-34</v>
      </c>
      <c r="R265" s="0" t="str">
        <f aca="false">IF($D265&lt;&gt;"","["&amp;$E265&amp;"]"&amp;"|"&amp;$Q265&amp;"|"&amp;$K265&amp;"|"&amp;$G265&amp;"|"&amp;IF($G265="TX_CURR_SUBNAT.R","CY2022Q4",$M265),"")</f>
        <v>[ul0y9diGujK]|25-34|Male|TX_CURR_SUBNAT.R|CY2022Q4</v>
      </c>
    </row>
    <row r="266" customFormat="false" ht="15" hidden="false" customHeight="false" outlineLevel="0" collapsed="false">
      <c r="D266" s="9" t="s">
        <v>108</v>
      </c>
      <c r="E266" s="9" t="s">
        <v>109</v>
      </c>
      <c r="F266" s="9" t="s">
        <v>110</v>
      </c>
      <c r="G266" s="9" t="s">
        <v>26</v>
      </c>
      <c r="H266" s="9" t="s">
        <v>27</v>
      </c>
      <c r="I266" s="0" t="s">
        <v>43</v>
      </c>
      <c r="J266" s="9" t="s">
        <v>44</v>
      </c>
      <c r="K266" s="9" t="s">
        <v>48</v>
      </c>
      <c r="L266" s="9" t="s">
        <v>49</v>
      </c>
      <c r="M266" s="0" t="s">
        <v>32</v>
      </c>
      <c r="N266" s="0" t="n">
        <v>1573</v>
      </c>
      <c r="O266" s="10" t="n">
        <v>0.827869709813967</v>
      </c>
      <c r="P266" s="10" t="n">
        <v>0.434221804374829</v>
      </c>
      <c r="Q266" s="0" t="str">
        <f aca="false">SUBSTITUTE(SUBSTITUTE($I266,CHAR(61),""),CHAR(34),"")</f>
        <v>35-49</v>
      </c>
      <c r="R266" s="0" t="str">
        <f aca="false">IF($D266&lt;&gt;"","["&amp;$E266&amp;"]"&amp;"|"&amp;$Q266&amp;"|"&amp;$K266&amp;"|"&amp;$G266&amp;"|"&amp;IF($G266="TX_CURR_SUBNAT.R","CY2022Q4",$M266),"")</f>
        <v>[ul0y9diGujK]|35-49|Male|TX_CURR_SUBNAT.R|CY2022Q4</v>
      </c>
    </row>
    <row r="267" customFormat="false" ht="15" hidden="false" customHeight="false" outlineLevel="0" collapsed="false">
      <c r="D267" s="9" t="s">
        <v>108</v>
      </c>
      <c r="E267" s="9" t="s">
        <v>109</v>
      </c>
      <c r="F267" s="9" t="s">
        <v>110</v>
      </c>
      <c r="G267" s="9" t="s">
        <v>26</v>
      </c>
      <c r="H267" s="9" t="s">
        <v>27</v>
      </c>
      <c r="I267" s="0" t="s">
        <v>45</v>
      </c>
      <c r="J267" s="9" t="s">
        <v>46</v>
      </c>
      <c r="K267" s="9" t="s">
        <v>48</v>
      </c>
      <c r="L267" s="9" t="s">
        <v>49</v>
      </c>
      <c r="M267" s="0" t="s">
        <v>32</v>
      </c>
      <c r="N267" s="0" t="n">
        <v>1226</v>
      </c>
      <c r="O267" s="10" t="n">
        <v>0.474139294587076</v>
      </c>
      <c r="P267" s="10" t="n">
        <v>0.434221804374829</v>
      </c>
      <c r="Q267" s="0" t="str">
        <f aca="false">SUBSTITUTE(SUBSTITUTE($I267,CHAR(61),""),CHAR(34),"")</f>
        <v>50+</v>
      </c>
      <c r="R267" s="0" t="str">
        <f aca="false">IF($D267&lt;&gt;"","["&amp;$E267&amp;"]"&amp;"|"&amp;$Q267&amp;"|"&amp;$K267&amp;"|"&amp;$G267&amp;"|"&amp;IF($G267="TX_CURR_SUBNAT.R","CY2022Q4",$M267),"")</f>
        <v>[ul0y9diGujK]|50+|Male|TX_CURR_SUBNAT.R|CY2022Q4</v>
      </c>
    </row>
    <row r="268" customFormat="false" ht="15" hidden="false" customHeight="false" outlineLevel="0" collapsed="false">
      <c r="D268" s="9" t="s">
        <v>111</v>
      </c>
      <c r="E268" s="9" t="s">
        <v>112</v>
      </c>
      <c r="F268" s="9" t="s">
        <v>113</v>
      </c>
      <c r="G268" s="9" t="s">
        <v>26</v>
      </c>
      <c r="H268" s="9" t="s">
        <v>27</v>
      </c>
      <c r="I268" s="0" t="s">
        <v>28</v>
      </c>
      <c r="J268" s="9" t="s">
        <v>29</v>
      </c>
      <c r="K268" s="9" t="s">
        <v>30</v>
      </c>
      <c r="L268" s="9" t="s">
        <v>31</v>
      </c>
      <c r="M268" s="0" t="s">
        <v>32</v>
      </c>
      <c r="N268" s="0" t="n">
        <v>1847</v>
      </c>
      <c r="O268" s="10" t="n">
        <v>0.619687808211893</v>
      </c>
      <c r="P268" s="10" t="n">
        <v>0.337768794968724</v>
      </c>
      <c r="Q268" s="0" t="str">
        <f aca="false">SUBSTITUTE(SUBSTITUTE($I268,CHAR(61),""),CHAR(34),"")</f>
        <v>&lt;01</v>
      </c>
      <c r="R268" s="0" t="str">
        <f aca="false">IF($D268&lt;&gt;"","["&amp;$E268&amp;"]"&amp;"|"&amp;$Q268&amp;"|"&amp;$K268&amp;"|"&amp;$G268&amp;"|"&amp;IF($G268="TX_CURR_SUBNAT.R","CY2022Q4",$M268),"")</f>
        <v>[U8c0so51kT6]|&lt;01|Female|TX_CURR_SUBNAT.R|CY2022Q4</v>
      </c>
    </row>
    <row r="269" customFormat="false" ht="15" hidden="false" customHeight="false" outlineLevel="0" collapsed="false">
      <c r="D269" s="9" t="s">
        <v>111</v>
      </c>
      <c r="E269" s="9" t="s">
        <v>112</v>
      </c>
      <c r="F269" s="9" t="s">
        <v>113</v>
      </c>
      <c r="G269" s="9" t="s">
        <v>26</v>
      </c>
      <c r="H269" s="9" t="s">
        <v>27</v>
      </c>
      <c r="I269" s="0" t="s">
        <v>33</v>
      </c>
      <c r="J269" s="9" t="s">
        <v>34</v>
      </c>
      <c r="K269" s="9" t="s">
        <v>30</v>
      </c>
      <c r="L269" s="9" t="s">
        <v>31</v>
      </c>
      <c r="M269" s="0" t="s">
        <v>32</v>
      </c>
      <c r="N269" s="0" t="n">
        <v>804</v>
      </c>
      <c r="O269" s="10" t="n">
        <v>0.672082273289561</v>
      </c>
      <c r="P269" s="10" t="n">
        <v>0.337768794968724</v>
      </c>
      <c r="Q269" s="0" t="str">
        <f aca="false">SUBSTITUTE(SUBSTITUTE($I269,CHAR(61),""),CHAR(34),"")</f>
        <v>01-09</v>
      </c>
      <c r="R269" s="0" t="str">
        <f aca="false">IF($D269&lt;&gt;"","["&amp;$E269&amp;"]"&amp;"|"&amp;$Q269&amp;"|"&amp;$K269&amp;"|"&amp;$G269&amp;"|"&amp;IF($G269="TX_CURR_SUBNAT.R","CY2022Q4",$M269),"")</f>
        <v>[U8c0so51kT6]|01-09|Female|TX_CURR_SUBNAT.R|CY2022Q4</v>
      </c>
    </row>
    <row r="270" customFormat="false" ht="15" hidden="false" customHeight="false" outlineLevel="0" collapsed="false">
      <c r="D270" s="9" t="s">
        <v>111</v>
      </c>
      <c r="E270" s="9" t="s">
        <v>112</v>
      </c>
      <c r="F270" s="9" t="s">
        <v>113</v>
      </c>
      <c r="G270" s="9" t="s">
        <v>26</v>
      </c>
      <c r="H270" s="9" t="s">
        <v>27</v>
      </c>
      <c r="I270" s="0" t="s">
        <v>36</v>
      </c>
      <c r="J270" s="9" t="s">
        <v>37</v>
      </c>
      <c r="K270" s="9" t="s">
        <v>30</v>
      </c>
      <c r="L270" s="9" t="s">
        <v>31</v>
      </c>
      <c r="M270" s="0" t="s">
        <v>32</v>
      </c>
      <c r="N270" s="0" t="n">
        <v>889</v>
      </c>
      <c r="O270" s="10" t="n">
        <v>0.0829884130507708</v>
      </c>
      <c r="P270" s="10" t="n">
        <v>0.337768794968724</v>
      </c>
      <c r="Q270" s="0" t="str">
        <f aca="false">SUBSTITUTE(SUBSTITUTE($I270,CHAR(61),""),CHAR(34),"")</f>
        <v>10-14</v>
      </c>
      <c r="R270" s="0" t="str">
        <f aca="false">IF($D270&lt;&gt;"","["&amp;$E270&amp;"]"&amp;"|"&amp;$Q270&amp;"|"&amp;$K270&amp;"|"&amp;$G270&amp;"|"&amp;IF($G270="TX_CURR_SUBNAT.R","CY2022Q4",$M270),"")</f>
        <v>[U8c0so51kT6]|10-14|Female|TX_CURR_SUBNAT.R|CY2022Q4</v>
      </c>
    </row>
    <row r="271" customFormat="false" ht="15" hidden="false" customHeight="false" outlineLevel="0" collapsed="false">
      <c r="D271" s="9" t="s">
        <v>111</v>
      </c>
      <c r="E271" s="9" t="s">
        <v>112</v>
      </c>
      <c r="F271" s="9" t="s">
        <v>113</v>
      </c>
      <c r="G271" s="9" t="s">
        <v>26</v>
      </c>
      <c r="H271" s="9" t="s">
        <v>27</v>
      </c>
      <c r="I271" s="0" t="s">
        <v>38</v>
      </c>
      <c r="J271" s="9" t="s">
        <v>39</v>
      </c>
      <c r="K271" s="9" t="s">
        <v>30</v>
      </c>
      <c r="L271" s="9" t="s">
        <v>31</v>
      </c>
      <c r="M271" s="0" t="s">
        <v>32</v>
      </c>
      <c r="N271" s="0" t="n">
        <v>1965</v>
      </c>
      <c r="O271" s="10" t="n">
        <v>0.708771824138239</v>
      </c>
      <c r="P271" s="10" t="n">
        <v>0.337768794968724</v>
      </c>
      <c r="Q271" s="0" t="str">
        <f aca="false">SUBSTITUTE(SUBSTITUTE($I271,CHAR(61),""),CHAR(34),"")</f>
        <v>15-24</v>
      </c>
      <c r="R271" s="0" t="str">
        <f aca="false">IF($D271&lt;&gt;"","["&amp;$E271&amp;"]"&amp;"|"&amp;$Q271&amp;"|"&amp;$K271&amp;"|"&amp;$G271&amp;"|"&amp;IF($G271="TX_CURR_SUBNAT.R","CY2022Q4",$M271),"")</f>
        <v>[U8c0so51kT6]|15-24|Female|TX_CURR_SUBNAT.R|CY2022Q4</v>
      </c>
    </row>
    <row r="272" customFormat="false" ht="15" hidden="false" customHeight="false" outlineLevel="0" collapsed="false">
      <c r="D272" s="9" t="s">
        <v>111</v>
      </c>
      <c r="E272" s="9" t="s">
        <v>112</v>
      </c>
      <c r="F272" s="9" t="s">
        <v>113</v>
      </c>
      <c r="G272" s="9" t="s">
        <v>26</v>
      </c>
      <c r="H272" s="9" t="s">
        <v>27</v>
      </c>
      <c r="I272" s="0" t="s">
        <v>41</v>
      </c>
      <c r="J272" s="9" t="s">
        <v>42</v>
      </c>
      <c r="K272" s="9" t="s">
        <v>30</v>
      </c>
      <c r="L272" s="9" t="s">
        <v>31</v>
      </c>
      <c r="M272" s="0" t="s">
        <v>32</v>
      </c>
      <c r="N272" s="0" t="n">
        <v>1544</v>
      </c>
      <c r="O272" s="10" t="n">
        <v>0.35907830670476</v>
      </c>
      <c r="P272" s="10" t="n">
        <v>0.337768794968724</v>
      </c>
      <c r="Q272" s="0" t="str">
        <f aca="false">SUBSTITUTE(SUBSTITUTE($I272,CHAR(61),""),CHAR(34),"")</f>
        <v>25-34</v>
      </c>
      <c r="R272" s="0" t="str">
        <f aca="false">IF($D272&lt;&gt;"","["&amp;$E272&amp;"]"&amp;"|"&amp;$Q272&amp;"|"&amp;$K272&amp;"|"&amp;$G272&amp;"|"&amp;IF($G272="TX_CURR_SUBNAT.R","CY2022Q4",$M272),"")</f>
        <v>[U8c0so51kT6]|25-34|Female|TX_CURR_SUBNAT.R|CY2022Q4</v>
      </c>
    </row>
    <row r="273" customFormat="false" ht="15" hidden="false" customHeight="false" outlineLevel="0" collapsed="false">
      <c r="D273" s="9" t="s">
        <v>111</v>
      </c>
      <c r="E273" s="9" t="s">
        <v>112</v>
      </c>
      <c r="F273" s="9" t="s">
        <v>113</v>
      </c>
      <c r="G273" s="9" t="s">
        <v>26</v>
      </c>
      <c r="H273" s="9" t="s">
        <v>27</v>
      </c>
      <c r="I273" s="0" t="s">
        <v>43</v>
      </c>
      <c r="J273" s="9" t="s">
        <v>44</v>
      </c>
      <c r="K273" s="9" t="s">
        <v>30</v>
      </c>
      <c r="L273" s="9" t="s">
        <v>31</v>
      </c>
      <c r="M273" s="0" t="s">
        <v>32</v>
      </c>
      <c r="N273" s="0" t="n">
        <v>1309</v>
      </c>
      <c r="O273" s="10" t="n">
        <v>0.977394144050777</v>
      </c>
      <c r="P273" s="10" t="n">
        <v>0.337768794968724</v>
      </c>
      <c r="Q273" s="0" t="str">
        <f aca="false">SUBSTITUTE(SUBSTITUTE($I273,CHAR(61),""),CHAR(34),"")</f>
        <v>35-49</v>
      </c>
      <c r="R273" s="0" t="str">
        <f aca="false">IF($D273&lt;&gt;"","["&amp;$E273&amp;"]"&amp;"|"&amp;$Q273&amp;"|"&amp;$K273&amp;"|"&amp;$G273&amp;"|"&amp;IF($G273="TX_CURR_SUBNAT.R","CY2022Q4",$M273),"")</f>
        <v>[U8c0so51kT6]|35-49|Female|TX_CURR_SUBNAT.R|CY2022Q4</v>
      </c>
    </row>
    <row r="274" customFormat="false" ht="15" hidden="false" customHeight="false" outlineLevel="0" collapsed="false">
      <c r="D274" s="9" t="s">
        <v>111</v>
      </c>
      <c r="E274" s="9" t="s">
        <v>112</v>
      </c>
      <c r="F274" s="9" t="s">
        <v>113</v>
      </c>
      <c r="G274" s="9" t="s">
        <v>26</v>
      </c>
      <c r="H274" s="9" t="s">
        <v>27</v>
      </c>
      <c r="I274" s="0" t="s">
        <v>45</v>
      </c>
      <c r="J274" s="9" t="s">
        <v>46</v>
      </c>
      <c r="K274" s="9" t="s">
        <v>30</v>
      </c>
      <c r="L274" s="9" t="s">
        <v>31</v>
      </c>
      <c r="M274" s="0" t="s">
        <v>32</v>
      </c>
      <c r="N274" s="0" t="n">
        <v>1310</v>
      </c>
      <c r="O274" s="10" t="n">
        <v>0.789916824549437</v>
      </c>
      <c r="P274" s="10" t="n">
        <v>0.337768794968724</v>
      </c>
      <c r="Q274" s="0" t="str">
        <f aca="false">SUBSTITUTE(SUBSTITUTE($I274,CHAR(61),""),CHAR(34),"")</f>
        <v>50+</v>
      </c>
      <c r="R274" s="0" t="str">
        <f aca="false">IF($D274&lt;&gt;"","["&amp;$E274&amp;"]"&amp;"|"&amp;$Q274&amp;"|"&amp;$K274&amp;"|"&amp;$G274&amp;"|"&amp;IF($G274="TX_CURR_SUBNAT.R","CY2022Q4",$M274),"")</f>
        <v>[U8c0so51kT6]|50+|Female|TX_CURR_SUBNAT.R|CY2022Q4</v>
      </c>
    </row>
    <row r="275" customFormat="false" ht="15" hidden="false" customHeight="false" outlineLevel="0" collapsed="false">
      <c r="D275" s="9" t="s">
        <v>111</v>
      </c>
      <c r="E275" s="9" t="s">
        <v>112</v>
      </c>
      <c r="F275" s="9" t="s">
        <v>113</v>
      </c>
      <c r="G275" s="9" t="s">
        <v>26</v>
      </c>
      <c r="H275" s="9" t="s">
        <v>27</v>
      </c>
      <c r="I275" s="0" t="s">
        <v>28</v>
      </c>
      <c r="J275" s="9" t="s">
        <v>29</v>
      </c>
      <c r="K275" s="9" t="s">
        <v>48</v>
      </c>
      <c r="L275" s="9" t="s">
        <v>49</v>
      </c>
      <c r="M275" s="0" t="s">
        <v>32</v>
      </c>
      <c r="N275" s="0" t="n">
        <v>1893</v>
      </c>
      <c r="O275" s="10" t="n">
        <v>0.689385039964691</v>
      </c>
      <c r="P275" s="10" t="n">
        <v>0.337768794968724</v>
      </c>
      <c r="Q275" s="0" t="str">
        <f aca="false">SUBSTITUTE(SUBSTITUTE($I275,CHAR(61),""),CHAR(34),"")</f>
        <v>&lt;01</v>
      </c>
      <c r="R275" s="0" t="str">
        <f aca="false">IF($D275&lt;&gt;"","["&amp;$E275&amp;"]"&amp;"|"&amp;$Q275&amp;"|"&amp;$K275&amp;"|"&amp;$G275&amp;"|"&amp;IF($G275="TX_CURR_SUBNAT.R","CY2022Q4",$M275),"")</f>
        <v>[U8c0so51kT6]|&lt;01|Male|TX_CURR_SUBNAT.R|CY2022Q4</v>
      </c>
    </row>
    <row r="276" customFormat="false" ht="15" hidden="false" customHeight="false" outlineLevel="0" collapsed="false">
      <c r="D276" s="9" t="s">
        <v>111</v>
      </c>
      <c r="E276" s="9" t="s">
        <v>112</v>
      </c>
      <c r="F276" s="9" t="s">
        <v>113</v>
      </c>
      <c r="G276" s="9" t="s">
        <v>26</v>
      </c>
      <c r="H276" s="9" t="s">
        <v>27</v>
      </c>
      <c r="I276" s="0" t="s">
        <v>33</v>
      </c>
      <c r="J276" s="9" t="s">
        <v>34</v>
      </c>
      <c r="K276" s="9" t="s">
        <v>48</v>
      </c>
      <c r="L276" s="9" t="s">
        <v>49</v>
      </c>
      <c r="M276" s="0" t="s">
        <v>32</v>
      </c>
      <c r="N276" s="0" t="n">
        <v>929</v>
      </c>
      <c r="O276" s="10" t="n">
        <v>0.180618250044063</v>
      </c>
      <c r="P276" s="10" t="n">
        <v>0.337768794968724</v>
      </c>
      <c r="Q276" s="0" t="str">
        <f aca="false">SUBSTITUTE(SUBSTITUTE($I276,CHAR(61),""),CHAR(34),"")</f>
        <v>01-09</v>
      </c>
      <c r="R276" s="0" t="str">
        <f aca="false">IF($D276&lt;&gt;"","["&amp;$E276&amp;"]"&amp;"|"&amp;$Q276&amp;"|"&amp;$K276&amp;"|"&amp;$G276&amp;"|"&amp;IF($G276="TX_CURR_SUBNAT.R","CY2022Q4",$M276),"")</f>
        <v>[U8c0so51kT6]|01-09|Male|TX_CURR_SUBNAT.R|CY2022Q4</v>
      </c>
    </row>
    <row r="277" customFormat="false" ht="15" hidden="false" customHeight="false" outlineLevel="0" collapsed="false">
      <c r="D277" s="9" t="s">
        <v>111</v>
      </c>
      <c r="E277" s="9" t="s">
        <v>112</v>
      </c>
      <c r="F277" s="9" t="s">
        <v>113</v>
      </c>
      <c r="G277" s="9" t="s">
        <v>26</v>
      </c>
      <c r="H277" s="9" t="s">
        <v>27</v>
      </c>
      <c r="I277" s="0" t="s">
        <v>36</v>
      </c>
      <c r="J277" s="9" t="s">
        <v>37</v>
      </c>
      <c r="K277" s="9" t="s">
        <v>48</v>
      </c>
      <c r="L277" s="9" t="s">
        <v>49</v>
      </c>
      <c r="M277" s="0" t="s">
        <v>32</v>
      </c>
      <c r="N277" s="0" t="n">
        <v>1881</v>
      </c>
      <c r="O277" s="10" t="n">
        <v>0.519557226449251</v>
      </c>
      <c r="P277" s="10" t="n">
        <v>0.337768794968724</v>
      </c>
      <c r="Q277" s="0" t="str">
        <f aca="false">SUBSTITUTE(SUBSTITUTE($I277,CHAR(61),""),CHAR(34),"")</f>
        <v>10-14</v>
      </c>
      <c r="R277" s="0" t="str">
        <f aca="false">IF($D277&lt;&gt;"","["&amp;$E277&amp;"]"&amp;"|"&amp;$Q277&amp;"|"&amp;$K277&amp;"|"&amp;$G277&amp;"|"&amp;IF($G277="TX_CURR_SUBNAT.R","CY2022Q4",$M277),"")</f>
        <v>[U8c0so51kT6]|10-14|Male|TX_CURR_SUBNAT.R|CY2022Q4</v>
      </c>
    </row>
    <row r="278" customFormat="false" ht="15" hidden="false" customHeight="false" outlineLevel="0" collapsed="false">
      <c r="D278" s="9" t="s">
        <v>111</v>
      </c>
      <c r="E278" s="9" t="s">
        <v>112</v>
      </c>
      <c r="F278" s="9" t="s">
        <v>113</v>
      </c>
      <c r="G278" s="9" t="s">
        <v>26</v>
      </c>
      <c r="H278" s="9" t="s">
        <v>27</v>
      </c>
      <c r="I278" s="0" t="s">
        <v>38</v>
      </c>
      <c r="J278" s="9" t="s">
        <v>39</v>
      </c>
      <c r="K278" s="9" t="s">
        <v>48</v>
      </c>
      <c r="L278" s="9" t="s">
        <v>49</v>
      </c>
      <c r="M278" s="0" t="s">
        <v>32</v>
      </c>
      <c r="N278" s="0" t="n">
        <v>1734</v>
      </c>
      <c r="O278" s="10" t="n">
        <v>0.295711726881564</v>
      </c>
      <c r="P278" s="10" t="n">
        <v>0.337768794968724</v>
      </c>
      <c r="Q278" s="0" t="str">
        <f aca="false">SUBSTITUTE(SUBSTITUTE($I278,CHAR(61),""),CHAR(34),"")</f>
        <v>15-24</v>
      </c>
      <c r="R278" s="0" t="str">
        <f aca="false">IF($D278&lt;&gt;"","["&amp;$E278&amp;"]"&amp;"|"&amp;$Q278&amp;"|"&amp;$K278&amp;"|"&amp;$G278&amp;"|"&amp;IF($G278="TX_CURR_SUBNAT.R","CY2022Q4",$M278),"")</f>
        <v>[U8c0so51kT6]|15-24|Male|TX_CURR_SUBNAT.R|CY2022Q4</v>
      </c>
    </row>
    <row r="279" customFormat="false" ht="15" hidden="false" customHeight="false" outlineLevel="0" collapsed="false">
      <c r="D279" s="9" t="s">
        <v>111</v>
      </c>
      <c r="E279" s="9" t="s">
        <v>112</v>
      </c>
      <c r="F279" s="9" t="s">
        <v>113</v>
      </c>
      <c r="G279" s="9" t="s">
        <v>26</v>
      </c>
      <c r="H279" s="9" t="s">
        <v>27</v>
      </c>
      <c r="I279" s="0" t="s">
        <v>41</v>
      </c>
      <c r="J279" s="9" t="s">
        <v>42</v>
      </c>
      <c r="K279" s="9" t="s">
        <v>48</v>
      </c>
      <c r="L279" s="9" t="s">
        <v>49</v>
      </c>
      <c r="M279" s="0" t="s">
        <v>32</v>
      </c>
      <c r="N279" s="0" t="n">
        <v>1539</v>
      </c>
      <c r="O279" s="10" t="n">
        <v>0.218254716834053</v>
      </c>
      <c r="P279" s="10" t="n">
        <v>0.337768794968724</v>
      </c>
      <c r="Q279" s="0" t="str">
        <f aca="false">SUBSTITUTE(SUBSTITUTE($I279,CHAR(61),""),CHAR(34),"")</f>
        <v>25-34</v>
      </c>
      <c r="R279" s="0" t="str">
        <f aca="false">IF($D279&lt;&gt;"","["&amp;$E279&amp;"]"&amp;"|"&amp;$Q279&amp;"|"&amp;$K279&amp;"|"&amp;$G279&amp;"|"&amp;IF($G279="TX_CURR_SUBNAT.R","CY2022Q4",$M279),"")</f>
        <v>[U8c0so51kT6]|25-34|Male|TX_CURR_SUBNAT.R|CY2022Q4</v>
      </c>
    </row>
    <row r="280" customFormat="false" ht="15" hidden="false" customHeight="false" outlineLevel="0" collapsed="false">
      <c r="D280" s="9" t="s">
        <v>111</v>
      </c>
      <c r="E280" s="9" t="s">
        <v>112</v>
      </c>
      <c r="F280" s="9" t="s">
        <v>113</v>
      </c>
      <c r="G280" s="9" t="s">
        <v>26</v>
      </c>
      <c r="H280" s="9" t="s">
        <v>27</v>
      </c>
      <c r="I280" s="0" t="s">
        <v>43</v>
      </c>
      <c r="J280" s="9" t="s">
        <v>44</v>
      </c>
      <c r="K280" s="9" t="s">
        <v>48</v>
      </c>
      <c r="L280" s="9" t="s">
        <v>49</v>
      </c>
      <c r="M280" s="0" t="s">
        <v>32</v>
      </c>
      <c r="N280" s="0" t="n">
        <v>1707</v>
      </c>
      <c r="O280" s="10" t="n">
        <v>0.577305919025093</v>
      </c>
      <c r="P280" s="10" t="n">
        <v>0.337768794968724</v>
      </c>
      <c r="Q280" s="0" t="str">
        <f aca="false">SUBSTITUTE(SUBSTITUTE($I280,CHAR(61),""),CHAR(34),"")</f>
        <v>35-49</v>
      </c>
      <c r="R280" s="0" t="str">
        <f aca="false">IF($D280&lt;&gt;"","["&amp;$E280&amp;"]"&amp;"|"&amp;$Q280&amp;"|"&amp;$K280&amp;"|"&amp;$G280&amp;"|"&amp;IF($G280="TX_CURR_SUBNAT.R","CY2022Q4",$M280),"")</f>
        <v>[U8c0so51kT6]|35-49|Male|TX_CURR_SUBNAT.R|CY2022Q4</v>
      </c>
    </row>
    <row r="281" customFormat="false" ht="15" hidden="false" customHeight="false" outlineLevel="0" collapsed="false">
      <c r="D281" s="9" t="s">
        <v>111</v>
      </c>
      <c r="E281" s="9" t="s">
        <v>112</v>
      </c>
      <c r="F281" s="9" t="s">
        <v>113</v>
      </c>
      <c r="G281" s="9" t="s">
        <v>26</v>
      </c>
      <c r="H281" s="9" t="s">
        <v>27</v>
      </c>
      <c r="I281" s="0" t="s">
        <v>45</v>
      </c>
      <c r="J281" s="9" t="s">
        <v>46</v>
      </c>
      <c r="K281" s="9" t="s">
        <v>48</v>
      </c>
      <c r="L281" s="9" t="s">
        <v>49</v>
      </c>
      <c r="M281" s="0" t="s">
        <v>32</v>
      </c>
      <c r="N281" s="0" t="n">
        <v>1317</v>
      </c>
      <c r="O281" s="10" t="n">
        <v>0.864154116949067</v>
      </c>
      <c r="P281" s="10" t="n">
        <v>0.337768794968724</v>
      </c>
      <c r="Q281" s="0" t="str">
        <f aca="false">SUBSTITUTE(SUBSTITUTE($I281,CHAR(61),""),CHAR(34),"")</f>
        <v>50+</v>
      </c>
      <c r="R281" s="0" t="str">
        <f aca="false">IF($D281&lt;&gt;"","["&amp;$E281&amp;"]"&amp;"|"&amp;$Q281&amp;"|"&amp;$K281&amp;"|"&amp;$G281&amp;"|"&amp;IF($G281="TX_CURR_SUBNAT.R","CY2022Q4",$M281),"")</f>
        <v>[U8c0so51kT6]|50+|Male|TX_CURR_SUBNAT.R|CY2022Q4</v>
      </c>
    </row>
    <row r="282" customFormat="false" ht="15" hidden="false" customHeight="false" outlineLevel="0" collapsed="false">
      <c r="D282" s="9" t="s">
        <v>114</v>
      </c>
      <c r="E282" s="9" t="s">
        <v>115</v>
      </c>
      <c r="F282" s="9" t="s">
        <v>116</v>
      </c>
      <c r="G282" s="9" t="s">
        <v>26</v>
      </c>
      <c r="H282" s="9" t="s">
        <v>27</v>
      </c>
      <c r="I282" s="0" t="s">
        <v>28</v>
      </c>
      <c r="J282" s="9" t="s">
        <v>29</v>
      </c>
      <c r="K282" s="9" t="s">
        <v>30</v>
      </c>
      <c r="L282" s="9" t="s">
        <v>31</v>
      </c>
      <c r="M282" s="0" t="s">
        <v>32</v>
      </c>
      <c r="N282" s="0" t="n">
        <v>1188</v>
      </c>
      <c r="O282" s="10" t="n">
        <v>0.206694142892957</v>
      </c>
      <c r="P282" s="10" t="n">
        <v>0.298559809103608</v>
      </c>
      <c r="Q282" s="0" t="str">
        <f aca="false">SUBSTITUTE(SUBSTITUTE($I282,CHAR(61),""),CHAR(34),"")</f>
        <v>&lt;01</v>
      </c>
      <c r="R282" s="0" t="str">
        <f aca="false">IF($D282&lt;&gt;"","["&amp;$E282&amp;"]"&amp;"|"&amp;$Q282&amp;"|"&amp;$K282&amp;"|"&amp;$G282&amp;"|"&amp;IF($G282="TX_CURR_SUBNAT.R","CY2022Q4",$M282),"")</f>
        <v>[rpw540fmNUz]|&lt;01|Female|TX_CURR_SUBNAT.R|CY2022Q4</v>
      </c>
    </row>
    <row r="283" customFormat="false" ht="15" hidden="false" customHeight="false" outlineLevel="0" collapsed="false">
      <c r="D283" s="9" t="s">
        <v>114</v>
      </c>
      <c r="E283" s="9" t="s">
        <v>115</v>
      </c>
      <c r="F283" s="9" t="s">
        <v>116</v>
      </c>
      <c r="G283" s="9" t="s">
        <v>26</v>
      </c>
      <c r="H283" s="9" t="s">
        <v>27</v>
      </c>
      <c r="I283" s="0" t="s">
        <v>33</v>
      </c>
      <c r="J283" s="9" t="s">
        <v>34</v>
      </c>
      <c r="K283" s="9" t="s">
        <v>30</v>
      </c>
      <c r="L283" s="9" t="s">
        <v>31</v>
      </c>
      <c r="M283" s="0" t="s">
        <v>32</v>
      </c>
      <c r="N283" s="0" t="n">
        <v>1558</v>
      </c>
      <c r="O283" s="10" t="n">
        <v>0.2797393319197</v>
      </c>
      <c r="P283" s="10" t="n">
        <v>0.298559809103608</v>
      </c>
      <c r="Q283" s="0" t="str">
        <f aca="false">SUBSTITUTE(SUBSTITUTE($I283,CHAR(61),""),CHAR(34),"")</f>
        <v>01-09</v>
      </c>
      <c r="R283" s="0" t="str">
        <f aca="false">IF($D283&lt;&gt;"","["&amp;$E283&amp;"]"&amp;"|"&amp;$Q283&amp;"|"&amp;$K283&amp;"|"&amp;$G283&amp;"|"&amp;IF($G283="TX_CURR_SUBNAT.R","CY2022Q4",$M283),"")</f>
        <v>[rpw540fmNUz]|01-09|Female|TX_CURR_SUBNAT.R|CY2022Q4</v>
      </c>
    </row>
    <row r="284" customFormat="false" ht="15" hidden="false" customHeight="false" outlineLevel="0" collapsed="false">
      <c r="D284" s="9" t="s">
        <v>114</v>
      </c>
      <c r="E284" s="9" t="s">
        <v>115</v>
      </c>
      <c r="F284" s="9" t="s">
        <v>116</v>
      </c>
      <c r="G284" s="9" t="s">
        <v>26</v>
      </c>
      <c r="H284" s="9" t="s">
        <v>27</v>
      </c>
      <c r="I284" s="0" t="s">
        <v>36</v>
      </c>
      <c r="J284" s="9" t="s">
        <v>37</v>
      </c>
      <c r="K284" s="9" t="s">
        <v>30</v>
      </c>
      <c r="L284" s="9" t="s">
        <v>31</v>
      </c>
      <c r="M284" s="0" t="s">
        <v>32</v>
      </c>
      <c r="N284" s="0" t="n">
        <v>1410</v>
      </c>
      <c r="O284" s="10" t="n">
        <v>0.429502375423908</v>
      </c>
      <c r="P284" s="10" t="n">
        <v>0.298559809103608</v>
      </c>
      <c r="Q284" s="0" t="str">
        <f aca="false">SUBSTITUTE(SUBSTITUTE($I284,CHAR(61),""),CHAR(34),"")</f>
        <v>10-14</v>
      </c>
      <c r="R284" s="0" t="str">
        <f aca="false">IF($D284&lt;&gt;"","["&amp;$E284&amp;"]"&amp;"|"&amp;$Q284&amp;"|"&amp;$K284&amp;"|"&amp;$G284&amp;"|"&amp;IF($G284="TX_CURR_SUBNAT.R","CY2022Q4",$M284),"")</f>
        <v>[rpw540fmNUz]|10-14|Female|TX_CURR_SUBNAT.R|CY2022Q4</v>
      </c>
    </row>
    <row r="285" customFormat="false" ht="15" hidden="false" customHeight="false" outlineLevel="0" collapsed="false">
      <c r="D285" s="9" t="s">
        <v>114</v>
      </c>
      <c r="E285" s="9" t="s">
        <v>115</v>
      </c>
      <c r="F285" s="9" t="s">
        <v>116</v>
      </c>
      <c r="G285" s="9" t="s">
        <v>26</v>
      </c>
      <c r="H285" s="9" t="s">
        <v>27</v>
      </c>
      <c r="I285" s="0" t="s">
        <v>38</v>
      </c>
      <c r="J285" s="9" t="s">
        <v>39</v>
      </c>
      <c r="K285" s="9" t="s">
        <v>30</v>
      </c>
      <c r="L285" s="9" t="s">
        <v>31</v>
      </c>
      <c r="M285" s="0" t="s">
        <v>32</v>
      </c>
      <c r="N285" s="0" t="n">
        <v>960</v>
      </c>
      <c r="O285" s="10" t="n">
        <v>0.405714183114469</v>
      </c>
      <c r="P285" s="10" t="n">
        <v>0.298559809103608</v>
      </c>
      <c r="Q285" s="0" t="str">
        <f aca="false">SUBSTITUTE(SUBSTITUTE($I285,CHAR(61),""),CHAR(34),"")</f>
        <v>15-24</v>
      </c>
      <c r="R285" s="0" t="str">
        <f aca="false">IF($D285&lt;&gt;"","["&amp;$E285&amp;"]"&amp;"|"&amp;$Q285&amp;"|"&amp;$K285&amp;"|"&amp;$G285&amp;"|"&amp;IF($G285="TX_CURR_SUBNAT.R","CY2022Q4",$M285),"")</f>
        <v>[rpw540fmNUz]|15-24|Female|TX_CURR_SUBNAT.R|CY2022Q4</v>
      </c>
    </row>
    <row r="286" customFormat="false" ht="15" hidden="false" customHeight="false" outlineLevel="0" collapsed="false">
      <c r="D286" s="9" t="s">
        <v>114</v>
      </c>
      <c r="E286" s="9" t="s">
        <v>115</v>
      </c>
      <c r="F286" s="9" t="s">
        <v>116</v>
      </c>
      <c r="G286" s="9" t="s">
        <v>26</v>
      </c>
      <c r="H286" s="9" t="s">
        <v>27</v>
      </c>
      <c r="I286" s="0" t="s">
        <v>41</v>
      </c>
      <c r="J286" s="9" t="s">
        <v>42</v>
      </c>
      <c r="K286" s="9" t="s">
        <v>30</v>
      </c>
      <c r="L286" s="9" t="s">
        <v>31</v>
      </c>
      <c r="M286" s="0" t="s">
        <v>32</v>
      </c>
      <c r="N286" s="0" t="n">
        <v>1489</v>
      </c>
      <c r="O286" s="10" t="n">
        <v>0.939831146271899</v>
      </c>
      <c r="P286" s="10" t="n">
        <v>0.298559809103608</v>
      </c>
      <c r="Q286" s="0" t="str">
        <f aca="false">SUBSTITUTE(SUBSTITUTE($I286,CHAR(61),""),CHAR(34),"")</f>
        <v>25-34</v>
      </c>
      <c r="R286" s="0" t="str">
        <f aca="false">IF($D286&lt;&gt;"","["&amp;$E286&amp;"]"&amp;"|"&amp;$Q286&amp;"|"&amp;$K286&amp;"|"&amp;$G286&amp;"|"&amp;IF($G286="TX_CURR_SUBNAT.R","CY2022Q4",$M286),"")</f>
        <v>[rpw540fmNUz]|25-34|Female|TX_CURR_SUBNAT.R|CY2022Q4</v>
      </c>
    </row>
    <row r="287" customFormat="false" ht="15" hidden="false" customHeight="false" outlineLevel="0" collapsed="false">
      <c r="D287" s="9" t="s">
        <v>114</v>
      </c>
      <c r="E287" s="9" t="s">
        <v>115</v>
      </c>
      <c r="F287" s="9" t="s">
        <v>116</v>
      </c>
      <c r="G287" s="9" t="s">
        <v>26</v>
      </c>
      <c r="H287" s="9" t="s">
        <v>27</v>
      </c>
      <c r="I287" s="0" t="s">
        <v>43</v>
      </c>
      <c r="J287" s="9" t="s">
        <v>44</v>
      </c>
      <c r="K287" s="9" t="s">
        <v>30</v>
      </c>
      <c r="L287" s="9" t="s">
        <v>31</v>
      </c>
      <c r="M287" s="0" t="s">
        <v>32</v>
      </c>
      <c r="N287" s="0" t="n">
        <v>827</v>
      </c>
      <c r="O287" s="10" t="n">
        <v>0.430795488180593</v>
      </c>
      <c r="P287" s="10" t="n">
        <v>0.298559809103608</v>
      </c>
      <c r="Q287" s="0" t="str">
        <f aca="false">SUBSTITUTE(SUBSTITUTE($I287,CHAR(61),""),CHAR(34),"")</f>
        <v>35-49</v>
      </c>
      <c r="R287" s="0" t="str">
        <f aca="false">IF($D287&lt;&gt;"","["&amp;$E287&amp;"]"&amp;"|"&amp;$Q287&amp;"|"&amp;$K287&amp;"|"&amp;$G287&amp;"|"&amp;IF($G287="TX_CURR_SUBNAT.R","CY2022Q4",$M287),"")</f>
        <v>[rpw540fmNUz]|35-49|Female|TX_CURR_SUBNAT.R|CY2022Q4</v>
      </c>
    </row>
    <row r="288" customFormat="false" ht="15" hidden="false" customHeight="false" outlineLevel="0" collapsed="false">
      <c r="D288" s="9" t="s">
        <v>114</v>
      </c>
      <c r="E288" s="9" t="s">
        <v>115</v>
      </c>
      <c r="F288" s="9" t="s">
        <v>116</v>
      </c>
      <c r="G288" s="9" t="s">
        <v>26</v>
      </c>
      <c r="H288" s="9" t="s">
        <v>27</v>
      </c>
      <c r="I288" s="0" t="s">
        <v>45</v>
      </c>
      <c r="J288" s="9" t="s">
        <v>46</v>
      </c>
      <c r="K288" s="9" t="s">
        <v>30</v>
      </c>
      <c r="L288" s="9" t="s">
        <v>31</v>
      </c>
      <c r="M288" s="0" t="s">
        <v>32</v>
      </c>
      <c r="N288" s="0" t="n">
        <v>1930</v>
      </c>
      <c r="O288" s="10" t="n">
        <v>0.516643516486511</v>
      </c>
      <c r="P288" s="10" t="n">
        <v>0.298559809103608</v>
      </c>
      <c r="Q288" s="0" t="str">
        <f aca="false">SUBSTITUTE(SUBSTITUTE($I288,CHAR(61),""),CHAR(34),"")</f>
        <v>50+</v>
      </c>
      <c r="R288" s="0" t="str">
        <f aca="false">IF($D288&lt;&gt;"","["&amp;$E288&amp;"]"&amp;"|"&amp;$Q288&amp;"|"&amp;$K288&amp;"|"&amp;$G288&amp;"|"&amp;IF($G288="TX_CURR_SUBNAT.R","CY2022Q4",$M288),"")</f>
        <v>[rpw540fmNUz]|50+|Female|TX_CURR_SUBNAT.R|CY2022Q4</v>
      </c>
    </row>
    <row r="289" customFormat="false" ht="15" hidden="false" customHeight="false" outlineLevel="0" collapsed="false">
      <c r="D289" s="9" t="s">
        <v>114</v>
      </c>
      <c r="E289" s="9" t="s">
        <v>115</v>
      </c>
      <c r="F289" s="9" t="s">
        <v>116</v>
      </c>
      <c r="G289" s="9" t="s">
        <v>26</v>
      </c>
      <c r="H289" s="9" t="s">
        <v>27</v>
      </c>
      <c r="I289" s="0" t="s">
        <v>28</v>
      </c>
      <c r="J289" s="9" t="s">
        <v>29</v>
      </c>
      <c r="K289" s="9" t="s">
        <v>48</v>
      </c>
      <c r="L289" s="9" t="s">
        <v>49</v>
      </c>
      <c r="M289" s="0" t="s">
        <v>32</v>
      </c>
      <c r="N289" s="0" t="n">
        <v>639</v>
      </c>
      <c r="O289" s="10" t="n">
        <v>0.265612337505445</v>
      </c>
      <c r="P289" s="10" t="n">
        <v>0.298559809103608</v>
      </c>
      <c r="Q289" s="0" t="str">
        <f aca="false">SUBSTITUTE(SUBSTITUTE($I289,CHAR(61),""),CHAR(34),"")</f>
        <v>&lt;01</v>
      </c>
      <c r="R289" s="0" t="str">
        <f aca="false">IF($D289&lt;&gt;"","["&amp;$E289&amp;"]"&amp;"|"&amp;$Q289&amp;"|"&amp;$K289&amp;"|"&amp;$G289&amp;"|"&amp;IF($G289="TX_CURR_SUBNAT.R","CY2022Q4",$M289),"")</f>
        <v>[rpw540fmNUz]|&lt;01|Male|TX_CURR_SUBNAT.R|CY2022Q4</v>
      </c>
    </row>
    <row r="290" customFormat="false" ht="15" hidden="false" customHeight="false" outlineLevel="0" collapsed="false">
      <c r="D290" s="9" t="s">
        <v>114</v>
      </c>
      <c r="E290" s="9" t="s">
        <v>115</v>
      </c>
      <c r="F290" s="9" t="s">
        <v>116</v>
      </c>
      <c r="G290" s="9" t="s">
        <v>26</v>
      </c>
      <c r="H290" s="9" t="s">
        <v>27</v>
      </c>
      <c r="I290" s="0" t="s">
        <v>33</v>
      </c>
      <c r="J290" s="9" t="s">
        <v>34</v>
      </c>
      <c r="K290" s="9" t="s">
        <v>48</v>
      </c>
      <c r="L290" s="9" t="s">
        <v>49</v>
      </c>
      <c r="M290" s="0" t="s">
        <v>32</v>
      </c>
      <c r="N290" s="0" t="n">
        <v>860</v>
      </c>
      <c r="O290" s="10" t="n">
        <v>0.909257675055414</v>
      </c>
      <c r="P290" s="10" t="n">
        <v>0.298559809103608</v>
      </c>
      <c r="Q290" s="0" t="str">
        <f aca="false">SUBSTITUTE(SUBSTITUTE($I290,CHAR(61),""),CHAR(34),"")</f>
        <v>01-09</v>
      </c>
      <c r="R290" s="0" t="str">
        <f aca="false">IF($D290&lt;&gt;"","["&amp;$E290&amp;"]"&amp;"|"&amp;$Q290&amp;"|"&amp;$K290&amp;"|"&amp;$G290&amp;"|"&amp;IF($G290="TX_CURR_SUBNAT.R","CY2022Q4",$M290),"")</f>
        <v>[rpw540fmNUz]|01-09|Male|TX_CURR_SUBNAT.R|CY2022Q4</v>
      </c>
    </row>
    <row r="291" customFormat="false" ht="15" hidden="false" customHeight="false" outlineLevel="0" collapsed="false">
      <c r="D291" s="9" t="s">
        <v>114</v>
      </c>
      <c r="E291" s="9" t="s">
        <v>115</v>
      </c>
      <c r="F291" s="9" t="s">
        <v>116</v>
      </c>
      <c r="G291" s="9" t="s">
        <v>26</v>
      </c>
      <c r="H291" s="9" t="s">
        <v>27</v>
      </c>
      <c r="I291" s="0" t="s">
        <v>36</v>
      </c>
      <c r="J291" s="9" t="s">
        <v>37</v>
      </c>
      <c r="K291" s="9" t="s">
        <v>48</v>
      </c>
      <c r="L291" s="9" t="s">
        <v>49</v>
      </c>
      <c r="M291" s="0" t="s">
        <v>32</v>
      </c>
      <c r="N291" s="0" t="n">
        <v>711</v>
      </c>
      <c r="O291" s="10" t="n">
        <v>0.0963880848139524</v>
      </c>
      <c r="P291" s="10" t="n">
        <v>0.298559809103608</v>
      </c>
      <c r="Q291" s="0" t="str">
        <f aca="false">SUBSTITUTE(SUBSTITUTE($I291,CHAR(61),""),CHAR(34),"")</f>
        <v>10-14</v>
      </c>
      <c r="R291" s="0" t="str">
        <f aca="false">IF($D291&lt;&gt;"","["&amp;$E291&amp;"]"&amp;"|"&amp;$Q291&amp;"|"&amp;$K291&amp;"|"&amp;$G291&amp;"|"&amp;IF($G291="TX_CURR_SUBNAT.R","CY2022Q4",$M291),"")</f>
        <v>[rpw540fmNUz]|10-14|Male|TX_CURR_SUBNAT.R|CY2022Q4</v>
      </c>
    </row>
    <row r="292" customFormat="false" ht="15" hidden="false" customHeight="false" outlineLevel="0" collapsed="false">
      <c r="D292" s="9" t="s">
        <v>114</v>
      </c>
      <c r="E292" s="9" t="s">
        <v>115</v>
      </c>
      <c r="F292" s="9" t="s">
        <v>116</v>
      </c>
      <c r="G292" s="9" t="s">
        <v>26</v>
      </c>
      <c r="H292" s="9" t="s">
        <v>27</v>
      </c>
      <c r="I292" s="0" t="s">
        <v>38</v>
      </c>
      <c r="J292" s="9" t="s">
        <v>39</v>
      </c>
      <c r="K292" s="9" t="s">
        <v>48</v>
      </c>
      <c r="L292" s="9" t="s">
        <v>49</v>
      </c>
      <c r="M292" s="0" t="s">
        <v>32</v>
      </c>
      <c r="N292" s="0" t="n">
        <v>1379</v>
      </c>
      <c r="O292" s="10" t="n">
        <v>0.367877969518304</v>
      </c>
      <c r="P292" s="10" t="n">
        <v>0.298559809103608</v>
      </c>
      <c r="Q292" s="0" t="str">
        <f aca="false">SUBSTITUTE(SUBSTITUTE($I292,CHAR(61),""),CHAR(34),"")</f>
        <v>15-24</v>
      </c>
      <c r="R292" s="0" t="str">
        <f aca="false">IF($D292&lt;&gt;"","["&amp;$E292&amp;"]"&amp;"|"&amp;$Q292&amp;"|"&amp;$K292&amp;"|"&amp;$G292&amp;"|"&amp;IF($G292="TX_CURR_SUBNAT.R","CY2022Q4",$M292),"")</f>
        <v>[rpw540fmNUz]|15-24|Male|TX_CURR_SUBNAT.R|CY2022Q4</v>
      </c>
    </row>
    <row r="293" customFormat="false" ht="15" hidden="false" customHeight="false" outlineLevel="0" collapsed="false">
      <c r="D293" s="9" t="s">
        <v>114</v>
      </c>
      <c r="E293" s="9" t="s">
        <v>115</v>
      </c>
      <c r="F293" s="9" t="s">
        <v>116</v>
      </c>
      <c r="G293" s="9" t="s">
        <v>26</v>
      </c>
      <c r="H293" s="9" t="s">
        <v>27</v>
      </c>
      <c r="I293" s="0" t="s">
        <v>41</v>
      </c>
      <c r="J293" s="9" t="s">
        <v>42</v>
      </c>
      <c r="K293" s="9" t="s">
        <v>48</v>
      </c>
      <c r="L293" s="9" t="s">
        <v>49</v>
      </c>
      <c r="M293" s="0" t="s">
        <v>32</v>
      </c>
      <c r="N293" s="0" t="n">
        <v>1670</v>
      </c>
      <c r="O293" s="10" t="n">
        <v>0.571954240091145</v>
      </c>
      <c r="P293" s="10" t="n">
        <v>0.298559809103608</v>
      </c>
      <c r="Q293" s="0" t="str">
        <f aca="false">SUBSTITUTE(SUBSTITUTE($I293,CHAR(61),""),CHAR(34),"")</f>
        <v>25-34</v>
      </c>
      <c r="R293" s="0" t="str">
        <f aca="false">IF($D293&lt;&gt;"","["&amp;$E293&amp;"]"&amp;"|"&amp;$Q293&amp;"|"&amp;$K293&amp;"|"&amp;$G293&amp;"|"&amp;IF($G293="TX_CURR_SUBNAT.R","CY2022Q4",$M293),"")</f>
        <v>[rpw540fmNUz]|25-34|Male|TX_CURR_SUBNAT.R|CY2022Q4</v>
      </c>
    </row>
    <row r="294" customFormat="false" ht="15" hidden="false" customHeight="false" outlineLevel="0" collapsed="false">
      <c r="D294" s="9" t="s">
        <v>114</v>
      </c>
      <c r="E294" s="9" t="s">
        <v>115</v>
      </c>
      <c r="F294" s="9" t="s">
        <v>116</v>
      </c>
      <c r="G294" s="9" t="s">
        <v>26</v>
      </c>
      <c r="H294" s="9" t="s">
        <v>27</v>
      </c>
      <c r="I294" s="0" t="s">
        <v>43</v>
      </c>
      <c r="J294" s="9" t="s">
        <v>44</v>
      </c>
      <c r="K294" s="9" t="s">
        <v>48</v>
      </c>
      <c r="L294" s="9" t="s">
        <v>49</v>
      </c>
      <c r="M294" s="0" t="s">
        <v>32</v>
      </c>
      <c r="N294" s="0" t="n">
        <v>1778</v>
      </c>
      <c r="O294" s="10" t="n">
        <v>0.0170428876299411</v>
      </c>
      <c r="P294" s="10" t="n">
        <v>0.298559809103608</v>
      </c>
      <c r="Q294" s="0" t="str">
        <f aca="false">SUBSTITUTE(SUBSTITUTE($I294,CHAR(61),""),CHAR(34),"")</f>
        <v>35-49</v>
      </c>
      <c r="R294" s="0" t="str">
        <f aca="false">IF($D294&lt;&gt;"","["&amp;$E294&amp;"]"&amp;"|"&amp;$Q294&amp;"|"&amp;$K294&amp;"|"&amp;$G294&amp;"|"&amp;IF($G294="TX_CURR_SUBNAT.R","CY2022Q4",$M294),"")</f>
        <v>[rpw540fmNUz]|35-49|Male|TX_CURR_SUBNAT.R|CY2022Q4</v>
      </c>
    </row>
    <row r="295" customFormat="false" ht="15" hidden="false" customHeight="false" outlineLevel="0" collapsed="false">
      <c r="D295" s="9" t="s">
        <v>114</v>
      </c>
      <c r="E295" s="9" t="s">
        <v>115</v>
      </c>
      <c r="F295" s="9" t="s">
        <v>116</v>
      </c>
      <c r="G295" s="9" t="s">
        <v>26</v>
      </c>
      <c r="H295" s="9" t="s">
        <v>27</v>
      </c>
      <c r="I295" s="0" t="s">
        <v>45</v>
      </c>
      <c r="J295" s="9" t="s">
        <v>46</v>
      </c>
      <c r="K295" s="9" t="s">
        <v>48</v>
      </c>
      <c r="L295" s="9" t="s">
        <v>49</v>
      </c>
      <c r="M295" s="0" t="s">
        <v>32</v>
      </c>
      <c r="N295" s="0" t="n">
        <v>978</v>
      </c>
      <c r="O295" s="10" t="n">
        <v>0.75411257869564</v>
      </c>
      <c r="P295" s="10" t="n">
        <v>0.298559809103608</v>
      </c>
      <c r="Q295" s="0" t="str">
        <f aca="false">SUBSTITUTE(SUBSTITUTE($I295,CHAR(61),""),CHAR(34),"")</f>
        <v>50+</v>
      </c>
      <c r="R295" s="0" t="str">
        <f aca="false">IF($D295&lt;&gt;"","["&amp;$E295&amp;"]"&amp;"|"&amp;$Q295&amp;"|"&amp;$K295&amp;"|"&amp;$G295&amp;"|"&amp;IF($G295="TX_CURR_SUBNAT.R","CY2022Q4",$M295),"")</f>
        <v>[rpw540fmNUz]|50+|Male|TX_CURR_SUBNAT.R|CY2022Q4</v>
      </c>
    </row>
    <row r="296" customFormat="false" ht="15" hidden="false" customHeight="false" outlineLevel="0" collapsed="false">
      <c r="D296" s="9" t="s">
        <v>117</v>
      </c>
      <c r="E296" s="9" t="s">
        <v>118</v>
      </c>
      <c r="F296" s="9" t="s">
        <v>119</v>
      </c>
      <c r="G296" s="9" t="s">
        <v>26</v>
      </c>
      <c r="H296" s="9" t="s">
        <v>27</v>
      </c>
      <c r="I296" s="0" t="s">
        <v>28</v>
      </c>
      <c r="J296" s="9" t="s">
        <v>29</v>
      </c>
      <c r="K296" s="9" t="s">
        <v>30</v>
      </c>
      <c r="L296" s="9" t="s">
        <v>31</v>
      </c>
      <c r="M296" s="0" t="s">
        <v>32</v>
      </c>
      <c r="N296" s="0" t="n">
        <v>1946</v>
      </c>
      <c r="O296" s="10" t="n">
        <v>0.499865455320105</v>
      </c>
      <c r="P296" s="10" t="n">
        <v>0.206259709550068</v>
      </c>
      <c r="Q296" s="0" t="str">
        <f aca="false">SUBSTITUTE(SUBSTITUTE($I296,CHAR(61),""),CHAR(34),"")</f>
        <v>&lt;01</v>
      </c>
      <c r="R296" s="0" t="str">
        <f aca="false">IF($D296&lt;&gt;"","["&amp;$E296&amp;"]"&amp;"|"&amp;$Q296&amp;"|"&amp;$K296&amp;"|"&amp;$G296&amp;"|"&amp;IF($G296="TX_CURR_SUBNAT.R","CY2022Q4",$M296),"")</f>
        <v>[lPTyjLi4w3d]|&lt;01|Female|TX_CURR_SUBNAT.R|CY2022Q4</v>
      </c>
    </row>
    <row r="297" customFormat="false" ht="15" hidden="false" customHeight="false" outlineLevel="0" collapsed="false">
      <c r="D297" s="9" t="s">
        <v>117</v>
      </c>
      <c r="E297" s="9" t="s">
        <v>118</v>
      </c>
      <c r="F297" s="9" t="s">
        <v>119</v>
      </c>
      <c r="G297" s="9" t="s">
        <v>26</v>
      </c>
      <c r="H297" s="9" t="s">
        <v>27</v>
      </c>
      <c r="I297" s="0" t="s">
        <v>33</v>
      </c>
      <c r="J297" s="9" t="s">
        <v>34</v>
      </c>
      <c r="K297" s="9" t="s">
        <v>30</v>
      </c>
      <c r="L297" s="9" t="s">
        <v>31</v>
      </c>
      <c r="M297" s="0" t="s">
        <v>32</v>
      </c>
      <c r="N297" s="0" t="n">
        <v>1210</v>
      </c>
      <c r="O297" s="10" t="n">
        <v>0.703185805119574</v>
      </c>
      <c r="P297" s="10" t="n">
        <v>0.206259709550068</v>
      </c>
      <c r="Q297" s="0" t="str">
        <f aca="false">SUBSTITUTE(SUBSTITUTE($I297,CHAR(61),""),CHAR(34),"")</f>
        <v>01-09</v>
      </c>
      <c r="R297" s="0" t="str">
        <f aca="false">IF($D297&lt;&gt;"","["&amp;$E297&amp;"]"&amp;"|"&amp;$Q297&amp;"|"&amp;$K297&amp;"|"&amp;$G297&amp;"|"&amp;IF($G297="TX_CURR_SUBNAT.R","CY2022Q4",$M297),"")</f>
        <v>[lPTyjLi4w3d]|01-09|Female|TX_CURR_SUBNAT.R|CY2022Q4</v>
      </c>
    </row>
    <row r="298" customFormat="false" ht="15" hidden="false" customHeight="false" outlineLevel="0" collapsed="false">
      <c r="D298" s="9" t="s">
        <v>117</v>
      </c>
      <c r="E298" s="9" t="s">
        <v>118</v>
      </c>
      <c r="F298" s="9" t="s">
        <v>119</v>
      </c>
      <c r="G298" s="9" t="s">
        <v>26</v>
      </c>
      <c r="H298" s="9" t="s">
        <v>27</v>
      </c>
      <c r="I298" s="0" t="s">
        <v>36</v>
      </c>
      <c r="J298" s="9" t="s">
        <v>37</v>
      </c>
      <c r="K298" s="9" t="s">
        <v>30</v>
      </c>
      <c r="L298" s="9" t="s">
        <v>31</v>
      </c>
      <c r="M298" s="0" t="s">
        <v>32</v>
      </c>
      <c r="N298" s="0" t="n">
        <v>1172</v>
      </c>
      <c r="O298" s="10" t="n">
        <v>0.0802348214201629</v>
      </c>
      <c r="P298" s="10" t="n">
        <v>0.206259709550068</v>
      </c>
      <c r="Q298" s="0" t="str">
        <f aca="false">SUBSTITUTE(SUBSTITUTE($I298,CHAR(61),""),CHAR(34),"")</f>
        <v>10-14</v>
      </c>
      <c r="R298" s="0" t="str">
        <f aca="false">IF($D298&lt;&gt;"","["&amp;$E298&amp;"]"&amp;"|"&amp;$Q298&amp;"|"&amp;$K298&amp;"|"&amp;$G298&amp;"|"&amp;IF($G298="TX_CURR_SUBNAT.R","CY2022Q4",$M298),"")</f>
        <v>[lPTyjLi4w3d]|10-14|Female|TX_CURR_SUBNAT.R|CY2022Q4</v>
      </c>
    </row>
    <row r="299" customFormat="false" ht="15" hidden="false" customHeight="false" outlineLevel="0" collapsed="false">
      <c r="D299" s="9" t="s">
        <v>117</v>
      </c>
      <c r="E299" s="9" t="s">
        <v>118</v>
      </c>
      <c r="F299" s="9" t="s">
        <v>119</v>
      </c>
      <c r="G299" s="9" t="s">
        <v>26</v>
      </c>
      <c r="H299" s="9" t="s">
        <v>27</v>
      </c>
      <c r="I299" s="0" t="s">
        <v>38</v>
      </c>
      <c r="J299" s="9" t="s">
        <v>39</v>
      </c>
      <c r="K299" s="9" t="s">
        <v>30</v>
      </c>
      <c r="L299" s="9" t="s">
        <v>31</v>
      </c>
      <c r="M299" s="0" t="s">
        <v>32</v>
      </c>
      <c r="N299" s="0" t="n">
        <v>1318</v>
      </c>
      <c r="O299" s="10" t="n">
        <v>0.260851522907615</v>
      </c>
      <c r="P299" s="10" t="n">
        <v>0.206259709550068</v>
      </c>
      <c r="Q299" s="0" t="str">
        <f aca="false">SUBSTITUTE(SUBSTITUTE($I299,CHAR(61),""),CHAR(34),"")</f>
        <v>15-24</v>
      </c>
      <c r="R299" s="0" t="str">
        <f aca="false">IF($D299&lt;&gt;"","["&amp;$E299&amp;"]"&amp;"|"&amp;$Q299&amp;"|"&amp;$K299&amp;"|"&amp;$G299&amp;"|"&amp;IF($G299="TX_CURR_SUBNAT.R","CY2022Q4",$M299),"")</f>
        <v>[lPTyjLi4w3d]|15-24|Female|TX_CURR_SUBNAT.R|CY2022Q4</v>
      </c>
    </row>
    <row r="300" customFormat="false" ht="15" hidden="false" customHeight="false" outlineLevel="0" collapsed="false">
      <c r="D300" s="9" t="s">
        <v>117</v>
      </c>
      <c r="E300" s="9" t="s">
        <v>118</v>
      </c>
      <c r="F300" s="9" t="s">
        <v>119</v>
      </c>
      <c r="G300" s="9" t="s">
        <v>26</v>
      </c>
      <c r="H300" s="9" t="s">
        <v>27</v>
      </c>
      <c r="I300" s="0" t="s">
        <v>41</v>
      </c>
      <c r="J300" s="9" t="s">
        <v>42</v>
      </c>
      <c r="K300" s="9" t="s">
        <v>30</v>
      </c>
      <c r="L300" s="9" t="s">
        <v>31</v>
      </c>
      <c r="M300" s="0" t="s">
        <v>32</v>
      </c>
      <c r="N300" s="0" t="n">
        <v>1948</v>
      </c>
      <c r="O300" s="10" t="n">
        <v>0.873719990020618</v>
      </c>
      <c r="P300" s="10" t="n">
        <v>0.206259709550068</v>
      </c>
      <c r="Q300" s="0" t="str">
        <f aca="false">SUBSTITUTE(SUBSTITUTE($I300,CHAR(61),""),CHAR(34),"")</f>
        <v>25-34</v>
      </c>
      <c r="R300" s="0" t="str">
        <f aca="false">IF($D300&lt;&gt;"","["&amp;$E300&amp;"]"&amp;"|"&amp;$Q300&amp;"|"&amp;$K300&amp;"|"&amp;$G300&amp;"|"&amp;IF($G300="TX_CURR_SUBNAT.R","CY2022Q4",$M300),"")</f>
        <v>[lPTyjLi4w3d]|25-34|Female|TX_CURR_SUBNAT.R|CY2022Q4</v>
      </c>
    </row>
    <row r="301" customFormat="false" ht="15" hidden="false" customHeight="false" outlineLevel="0" collapsed="false">
      <c r="D301" s="9" t="s">
        <v>117</v>
      </c>
      <c r="E301" s="9" t="s">
        <v>118</v>
      </c>
      <c r="F301" s="9" t="s">
        <v>119</v>
      </c>
      <c r="G301" s="9" t="s">
        <v>26</v>
      </c>
      <c r="H301" s="9" t="s">
        <v>27</v>
      </c>
      <c r="I301" s="0" t="s">
        <v>43</v>
      </c>
      <c r="J301" s="9" t="s">
        <v>44</v>
      </c>
      <c r="K301" s="9" t="s">
        <v>30</v>
      </c>
      <c r="L301" s="9" t="s">
        <v>31</v>
      </c>
      <c r="M301" s="0" t="s">
        <v>32</v>
      </c>
      <c r="N301" s="0" t="n">
        <v>1236</v>
      </c>
      <c r="O301" s="10" t="n">
        <v>0.52876928797923</v>
      </c>
      <c r="P301" s="10" t="n">
        <v>0.206259709550068</v>
      </c>
      <c r="Q301" s="0" t="str">
        <f aca="false">SUBSTITUTE(SUBSTITUTE($I301,CHAR(61),""),CHAR(34),"")</f>
        <v>35-49</v>
      </c>
      <c r="R301" s="0" t="str">
        <f aca="false">IF($D301&lt;&gt;"","["&amp;$E301&amp;"]"&amp;"|"&amp;$Q301&amp;"|"&amp;$K301&amp;"|"&amp;$G301&amp;"|"&amp;IF($G301="TX_CURR_SUBNAT.R","CY2022Q4",$M301),"")</f>
        <v>[lPTyjLi4w3d]|35-49|Female|TX_CURR_SUBNAT.R|CY2022Q4</v>
      </c>
    </row>
    <row r="302" customFormat="false" ht="15" hidden="false" customHeight="false" outlineLevel="0" collapsed="false">
      <c r="D302" s="9" t="s">
        <v>117</v>
      </c>
      <c r="E302" s="9" t="s">
        <v>118</v>
      </c>
      <c r="F302" s="9" t="s">
        <v>119</v>
      </c>
      <c r="G302" s="9" t="s">
        <v>26</v>
      </c>
      <c r="H302" s="9" t="s">
        <v>27</v>
      </c>
      <c r="I302" s="0" t="s">
        <v>45</v>
      </c>
      <c r="J302" s="9" t="s">
        <v>46</v>
      </c>
      <c r="K302" s="9" t="s">
        <v>30</v>
      </c>
      <c r="L302" s="9" t="s">
        <v>31</v>
      </c>
      <c r="M302" s="0" t="s">
        <v>32</v>
      </c>
      <c r="N302" s="0" t="n">
        <v>979</v>
      </c>
      <c r="O302" s="10" t="n">
        <v>0.570438811322674</v>
      </c>
      <c r="P302" s="10" t="n">
        <v>0.206259709550068</v>
      </c>
      <c r="Q302" s="0" t="str">
        <f aca="false">SUBSTITUTE(SUBSTITUTE($I302,CHAR(61),""),CHAR(34),"")</f>
        <v>50+</v>
      </c>
      <c r="R302" s="0" t="str">
        <f aca="false">IF($D302&lt;&gt;"","["&amp;$E302&amp;"]"&amp;"|"&amp;$Q302&amp;"|"&amp;$K302&amp;"|"&amp;$G302&amp;"|"&amp;IF($G302="TX_CURR_SUBNAT.R","CY2022Q4",$M302),"")</f>
        <v>[lPTyjLi4w3d]|50+|Female|TX_CURR_SUBNAT.R|CY2022Q4</v>
      </c>
    </row>
    <row r="303" customFormat="false" ht="15" hidden="false" customHeight="false" outlineLevel="0" collapsed="false">
      <c r="D303" s="9" t="s">
        <v>117</v>
      </c>
      <c r="E303" s="9" t="s">
        <v>118</v>
      </c>
      <c r="F303" s="9" t="s">
        <v>119</v>
      </c>
      <c r="G303" s="9" t="s">
        <v>26</v>
      </c>
      <c r="H303" s="9" t="s">
        <v>27</v>
      </c>
      <c r="I303" s="0" t="s">
        <v>28</v>
      </c>
      <c r="J303" s="9" t="s">
        <v>29</v>
      </c>
      <c r="K303" s="9" t="s">
        <v>48</v>
      </c>
      <c r="L303" s="9" t="s">
        <v>49</v>
      </c>
      <c r="M303" s="0" t="s">
        <v>32</v>
      </c>
      <c r="N303" s="0" t="n">
        <v>1391</v>
      </c>
      <c r="O303" s="10" t="n">
        <v>0.179245428415015</v>
      </c>
      <c r="P303" s="10" t="n">
        <v>0.206259709550068</v>
      </c>
      <c r="Q303" s="0" t="str">
        <f aca="false">SUBSTITUTE(SUBSTITUTE($I303,CHAR(61),""),CHAR(34),"")</f>
        <v>&lt;01</v>
      </c>
      <c r="R303" s="0" t="str">
        <f aca="false">IF($D303&lt;&gt;"","["&amp;$E303&amp;"]"&amp;"|"&amp;$Q303&amp;"|"&amp;$K303&amp;"|"&amp;$G303&amp;"|"&amp;IF($G303="TX_CURR_SUBNAT.R","CY2022Q4",$M303),"")</f>
        <v>[lPTyjLi4w3d]|&lt;01|Male|TX_CURR_SUBNAT.R|CY2022Q4</v>
      </c>
    </row>
    <row r="304" customFormat="false" ht="15" hidden="false" customHeight="false" outlineLevel="0" collapsed="false">
      <c r="D304" s="9" t="s">
        <v>117</v>
      </c>
      <c r="E304" s="9" t="s">
        <v>118</v>
      </c>
      <c r="F304" s="9" t="s">
        <v>119</v>
      </c>
      <c r="G304" s="9" t="s">
        <v>26</v>
      </c>
      <c r="H304" s="9" t="s">
        <v>27</v>
      </c>
      <c r="I304" s="0" t="s">
        <v>33</v>
      </c>
      <c r="J304" s="9" t="s">
        <v>34</v>
      </c>
      <c r="K304" s="9" t="s">
        <v>48</v>
      </c>
      <c r="L304" s="9" t="s">
        <v>49</v>
      </c>
      <c r="M304" s="0" t="s">
        <v>32</v>
      </c>
      <c r="N304" s="0" t="n">
        <v>624</v>
      </c>
      <c r="O304" s="10" t="n">
        <v>0.681138169951737</v>
      </c>
      <c r="P304" s="10" t="n">
        <v>0.206259709550068</v>
      </c>
      <c r="Q304" s="0" t="str">
        <f aca="false">SUBSTITUTE(SUBSTITUTE($I304,CHAR(61),""),CHAR(34),"")</f>
        <v>01-09</v>
      </c>
      <c r="R304" s="0" t="str">
        <f aca="false">IF($D304&lt;&gt;"","["&amp;$E304&amp;"]"&amp;"|"&amp;$Q304&amp;"|"&amp;$K304&amp;"|"&amp;$G304&amp;"|"&amp;IF($G304="TX_CURR_SUBNAT.R","CY2022Q4",$M304),"")</f>
        <v>[lPTyjLi4w3d]|01-09|Male|TX_CURR_SUBNAT.R|CY2022Q4</v>
      </c>
    </row>
    <row r="305" customFormat="false" ht="15" hidden="false" customHeight="false" outlineLevel="0" collapsed="false">
      <c r="D305" s="9" t="s">
        <v>117</v>
      </c>
      <c r="E305" s="9" t="s">
        <v>118</v>
      </c>
      <c r="F305" s="9" t="s">
        <v>119</v>
      </c>
      <c r="G305" s="9" t="s">
        <v>26</v>
      </c>
      <c r="H305" s="9" t="s">
        <v>27</v>
      </c>
      <c r="I305" s="0" t="s">
        <v>36</v>
      </c>
      <c r="J305" s="9" t="s">
        <v>37</v>
      </c>
      <c r="K305" s="9" t="s">
        <v>48</v>
      </c>
      <c r="L305" s="9" t="s">
        <v>49</v>
      </c>
      <c r="M305" s="0" t="s">
        <v>32</v>
      </c>
      <c r="N305" s="0" t="n">
        <v>1127</v>
      </c>
      <c r="O305" s="10" t="n">
        <v>0.285637544002384</v>
      </c>
      <c r="P305" s="10" t="n">
        <v>0.206259709550068</v>
      </c>
      <c r="Q305" s="0" t="str">
        <f aca="false">SUBSTITUTE(SUBSTITUTE($I305,CHAR(61),""),CHAR(34),"")</f>
        <v>10-14</v>
      </c>
      <c r="R305" s="0" t="str">
        <f aca="false">IF($D305&lt;&gt;"","["&amp;$E305&amp;"]"&amp;"|"&amp;$Q305&amp;"|"&amp;$K305&amp;"|"&amp;$G305&amp;"|"&amp;IF($G305="TX_CURR_SUBNAT.R","CY2022Q4",$M305),"")</f>
        <v>[lPTyjLi4w3d]|10-14|Male|TX_CURR_SUBNAT.R|CY2022Q4</v>
      </c>
    </row>
    <row r="306" customFormat="false" ht="15" hidden="false" customHeight="false" outlineLevel="0" collapsed="false">
      <c r="D306" s="9" t="s">
        <v>117</v>
      </c>
      <c r="E306" s="9" t="s">
        <v>118</v>
      </c>
      <c r="F306" s="9" t="s">
        <v>119</v>
      </c>
      <c r="G306" s="9" t="s">
        <v>26</v>
      </c>
      <c r="H306" s="9" t="s">
        <v>27</v>
      </c>
      <c r="I306" s="0" t="s">
        <v>38</v>
      </c>
      <c r="J306" s="9" t="s">
        <v>39</v>
      </c>
      <c r="K306" s="9" t="s">
        <v>48</v>
      </c>
      <c r="L306" s="9" t="s">
        <v>49</v>
      </c>
      <c r="M306" s="0" t="s">
        <v>32</v>
      </c>
      <c r="N306" s="0" t="n">
        <v>1070</v>
      </c>
      <c r="O306" s="10" t="n">
        <v>0.249956194777042</v>
      </c>
      <c r="P306" s="10" t="n">
        <v>0.206259709550068</v>
      </c>
      <c r="Q306" s="0" t="str">
        <f aca="false">SUBSTITUTE(SUBSTITUTE($I306,CHAR(61),""),CHAR(34),"")</f>
        <v>15-24</v>
      </c>
      <c r="R306" s="0" t="str">
        <f aca="false">IF($D306&lt;&gt;"","["&amp;$E306&amp;"]"&amp;"|"&amp;$Q306&amp;"|"&amp;$K306&amp;"|"&amp;$G306&amp;"|"&amp;IF($G306="TX_CURR_SUBNAT.R","CY2022Q4",$M306),"")</f>
        <v>[lPTyjLi4w3d]|15-24|Male|TX_CURR_SUBNAT.R|CY2022Q4</v>
      </c>
    </row>
    <row r="307" customFormat="false" ht="15" hidden="false" customHeight="false" outlineLevel="0" collapsed="false">
      <c r="D307" s="9" t="s">
        <v>117</v>
      </c>
      <c r="E307" s="9" t="s">
        <v>118</v>
      </c>
      <c r="F307" s="9" t="s">
        <v>119</v>
      </c>
      <c r="G307" s="9" t="s">
        <v>26</v>
      </c>
      <c r="H307" s="9" t="s">
        <v>27</v>
      </c>
      <c r="I307" s="0" t="s">
        <v>41</v>
      </c>
      <c r="J307" s="9" t="s">
        <v>42</v>
      </c>
      <c r="K307" s="9" t="s">
        <v>48</v>
      </c>
      <c r="L307" s="9" t="s">
        <v>49</v>
      </c>
      <c r="M307" s="0" t="s">
        <v>32</v>
      </c>
      <c r="N307" s="0" t="n">
        <v>946</v>
      </c>
      <c r="O307" s="10" t="n">
        <v>0.190899052191526</v>
      </c>
      <c r="P307" s="10" t="n">
        <v>0.206259709550068</v>
      </c>
      <c r="Q307" s="0" t="str">
        <f aca="false">SUBSTITUTE(SUBSTITUTE($I307,CHAR(61),""),CHAR(34),"")</f>
        <v>25-34</v>
      </c>
      <c r="R307" s="0" t="str">
        <f aca="false">IF($D307&lt;&gt;"","["&amp;$E307&amp;"]"&amp;"|"&amp;$Q307&amp;"|"&amp;$K307&amp;"|"&amp;$G307&amp;"|"&amp;IF($G307="TX_CURR_SUBNAT.R","CY2022Q4",$M307),"")</f>
        <v>[lPTyjLi4w3d]|25-34|Male|TX_CURR_SUBNAT.R|CY2022Q4</v>
      </c>
    </row>
    <row r="308" customFormat="false" ht="15" hidden="false" customHeight="false" outlineLevel="0" collapsed="false">
      <c r="D308" s="9" t="s">
        <v>117</v>
      </c>
      <c r="E308" s="9" t="s">
        <v>118</v>
      </c>
      <c r="F308" s="9" t="s">
        <v>119</v>
      </c>
      <c r="G308" s="9" t="s">
        <v>26</v>
      </c>
      <c r="H308" s="9" t="s">
        <v>27</v>
      </c>
      <c r="I308" s="0" t="s">
        <v>43</v>
      </c>
      <c r="J308" s="9" t="s">
        <v>44</v>
      </c>
      <c r="K308" s="9" t="s">
        <v>48</v>
      </c>
      <c r="L308" s="9" t="s">
        <v>49</v>
      </c>
      <c r="M308" s="0" t="s">
        <v>32</v>
      </c>
      <c r="N308" s="0" t="n">
        <v>1648</v>
      </c>
      <c r="O308" s="10" t="n">
        <v>0.177842292236164</v>
      </c>
      <c r="P308" s="10" t="n">
        <v>0.206259709550068</v>
      </c>
      <c r="Q308" s="0" t="str">
        <f aca="false">SUBSTITUTE(SUBSTITUTE($I308,CHAR(61),""),CHAR(34),"")</f>
        <v>35-49</v>
      </c>
      <c r="R308" s="0" t="str">
        <f aca="false">IF($D308&lt;&gt;"","["&amp;$E308&amp;"]"&amp;"|"&amp;$Q308&amp;"|"&amp;$K308&amp;"|"&amp;$G308&amp;"|"&amp;IF($G308="TX_CURR_SUBNAT.R","CY2022Q4",$M308),"")</f>
        <v>[lPTyjLi4w3d]|35-49|Male|TX_CURR_SUBNAT.R|CY2022Q4</v>
      </c>
    </row>
    <row r="309" customFormat="false" ht="15" hidden="false" customHeight="false" outlineLevel="0" collapsed="false">
      <c r="D309" s="9" t="s">
        <v>117</v>
      </c>
      <c r="E309" s="9" t="s">
        <v>118</v>
      </c>
      <c r="F309" s="9" t="s">
        <v>119</v>
      </c>
      <c r="G309" s="9" t="s">
        <v>26</v>
      </c>
      <c r="H309" s="9" t="s">
        <v>27</v>
      </c>
      <c r="I309" s="0" t="s">
        <v>45</v>
      </c>
      <c r="J309" s="9" t="s">
        <v>46</v>
      </c>
      <c r="K309" s="9" t="s">
        <v>48</v>
      </c>
      <c r="L309" s="9" t="s">
        <v>49</v>
      </c>
      <c r="M309" s="0" t="s">
        <v>32</v>
      </c>
      <c r="N309" s="0" t="n">
        <v>1371</v>
      </c>
      <c r="O309" s="10" t="n">
        <v>0.520250161411241</v>
      </c>
      <c r="P309" s="10" t="n">
        <v>0.206259709550068</v>
      </c>
      <c r="Q309" s="0" t="str">
        <f aca="false">SUBSTITUTE(SUBSTITUTE($I309,CHAR(61),""),CHAR(34),"")</f>
        <v>50+</v>
      </c>
      <c r="R309" s="0" t="str">
        <f aca="false">IF($D309&lt;&gt;"","["&amp;$E309&amp;"]"&amp;"|"&amp;$Q309&amp;"|"&amp;$K309&amp;"|"&amp;$G309&amp;"|"&amp;IF($G309="TX_CURR_SUBNAT.R","CY2022Q4",$M309),"")</f>
        <v>[lPTyjLi4w3d]|50+|Male|TX_CURR_SUBNAT.R|CY2022Q4</v>
      </c>
    </row>
    <row r="310" customFormat="false" ht="15" hidden="false" customHeight="false" outlineLevel="0" collapsed="false">
      <c r="D310" s="9" t="s">
        <v>120</v>
      </c>
      <c r="E310" s="9" t="s">
        <v>121</v>
      </c>
      <c r="F310" s="9" t="s">
        <v>122</v>
      </c>
      <c r="G310" s="9" t="s">
        <v>26</v>
      </c>
      <c r="H310" s="9" t="s">
        <v>27</v>
      </c>
      <c r="I310" s="0" t="s">
        <v>28</v>
      </c>
      <c r="J310" s="9" t="s">
        <v>29</v>
      </c>
      <c r="K310" s="9" t="s">
        <v>30</v>
      </c>
      <c r="L310" s="9" t="s">
        <v>31</v>
      </c>
      <c r="M310" s="0" t="s">
        <v>32</v>
      </c>
      <c r="N310" s="0" t="n">
        <v>709</v>
      </c>
      <c r="O310" s="10" t="n">
        <v>0.0600343958940357</v>
      </c>
      <c r="P310" s="10" t="n">
        <v>0.430103979306296</v>
      </c>
      <c r="Q310" s="0" t="str">
        <f aca="false">SUBSTITUTE(SUBSTITUTE($I310,CHAR(61),""),CHAR(34),"")</f>
        <v>&lt;01</v>
      </c>
      <c r="R310" s="0" t="str">
        <f aca="false">IF($D310&lt;&gt;"","["&amp;$E310&amp;"]"&amp;"|"&amp;$Q310&amp;"|"&amp;$K310&amp;"|"&amp;$G310&amp;"|"&amp;IF($G310="TX_CURR_SUBNAT.R","CY2022Q4",$M310),"")</f>
        <v>[vA4NcHxfMBq]|&lt;01|Female|TX_CURR_SUBNAT.R|CY2022Q4</v>
      </c>
    </row>
    <row r="311" customFormat="false" ht="15" hidden="false" customHeight="false" outlineLevel="0" collapsed="false">
      <c r="D311" s="9" t="s">
        <v>120</v>
      </c>
      <c r="E311" s="9" t="s">
        <v>121</v>
      </c>
      <c r="F311" s="9" t="s">
        <v>122</v>
      </c>
      <c r="G311" s="9" t="s">
        <v>26</v>
      </c>
      <c r="H311" s="9" t="s">
        <v>27</v>
      </c>
      <c r="I311" s="0" t="s">
        <v>33</v>
      </c>
      <c r="J311" s="9" t="s">
        <v>34</v>
      </c>
      <c r="K311" s="9" t="s">
        <v>30</v>
      </c>
      <c r="L311" s="9" t="s">
        <v>31</v>
      </c>
      <c r="M311" s="0" t="s">
        <v>32</v>
      </c>
      <c r="N311" s="0" t="n">
        <v>944</v>
      </c>
      <c r="O311" s="10" t="n">
        <v>0.908888491569087</v>
      </c>
      <c r="P311" s="10" t="n">
        <v>0.430103979306296</v>
      </c>
      <c r="Q311" s="0" t="str">
        <f aca="false">SUBSTITUTE(SUBSTITUTE($I311,CHAR(61),""),CHAR(34),"")</f>
        <v>01-09</v>
      </c>
      <c r="R311" s="0" t="str">
        <f aca="false">IF($D311&lt;&gt;"","["&amp;$E311&amp;"]"&amp;"|"&amp;$Q311&amp;"|"&amp;$K311&amp;"|"&amp;$G311&amp;"|"&amp;IF($G311="TX_CURR_SUBNAT.R","CY2022Q4",$M311),"")</f>
        <v>[vA4NcHxfMBq]|01-09|Female|TX_CURR_SUBNAT.R|CY2022Q4</v>
      </c>
    </row>
    <row r="312" customFormat="false" ht="15" hidden="false" customHeight="false" outlineLevel="0" collapsed="false">
      <c r="D312" s="9" t="s">
        <v>120</v>
      </c>
      <c r="E312" s="9" t="s">
        <v>121</v>
      </c>
      <c r="F312" s="9" t="s">
        <v>122</v>
      </c>
      <c r="G312" s="9" t="s">
        <v>26</v>
      </c>
      <c r="H312" s="9" t="s">
        <v>27</v>
      </c>
      <c r="I312" s="0" t="s">
        <v>36</v>
      </c>
      <c r="J312" s="9" t="s">
        <v>37</v>
      </c>
      <c r="K312" s="9" t="s">
        <v>30</v>
      </c>
      <c r="L312" s="9" t="s">
        <v>31</v>
      </c>
      <c r="M312" s="0" t="s">
        <v>32</v>
      </c>
      <c r="N312" s="0" t="n">
        <v>1715</v>
      </c>
      <c r="O312" s="10" t="n">
        <v>0.138414511457086</v>
      </c>
      <c r="P312" s="10" t="n">
        <v>0.430103979306296</v>
      </c>
      <c r="Q312" s="0" t="str">
        <f aca="false">SUBSTITUTE(SUBSTITUTE($I312,CHAR(61),""),CHAR(34),"")</f>
        <v>10-14</v>
      </c>
      <c r="R312" s="0" t="str">
        <f aca="false">IF($D312&lt;&gt;"","["&amp;$E312&amp;"]"&amp;"|"&amp;$Q312&amp;"|"&amp;$K312&amp;"|"&amp;$G312&amp;"|"&amp;IF($G312="TX_CURR_SUBNAT.R","CY2022Q4",$M312),"")</f>
        <v>[vA4NcHxfMBq]|10-14|Female|TX_CURR_SUBNAT.R|CY2022Q4</v>
      </c>
    </row>
    <row r="313" customFormat="false" ht="15" hidden="false" customHeight="false" outlineLevel="0" collapsed="false">
      <c r="D313" s="9" t="s">
        <v>120</v>
      </c>
      <c r="E313" s="9" t="s">
        <v>121</v>
      </c>
      <c r="F313" s="9" t="s">
        <v>122</v>
      </c>
      <c r="G313" s="9" t="s">
        <v>26</v>
      </c>
      <c r="H313" s="9" t="s">
        <v>27</v>
      </c>
      <c r="I313" s="0" t="s">
        <v>38</v>
      </c>
      <c r="J313" s="9" t="s">
        <v>39</v>
      </c>
      <c r="K313" s="9" t="s">
        <v>30</v>
      </c>
      <c r="L313" s="9" t="s">
        <v>31</v>
      </c>
      <c r="M313" s="0" t="s">
        <v>32</v>
      </c>
      <c r="N313" s="0" t="n">
        <v>933</v>
      </c>
      <c r="O313" s="10" t="n">
        <v>0.905271361349151</v>
      </c>
      <c r="P313" s="10" t="n">
        <v>0.430103979306296</v>
      </c>
      <c r="Q313" s="0" t="str">
        <f aca="false">SUBSTITUTE(SUBSTITUTE($I313,CHAR(61),""),CHAR(34),"")</f>
        <v>15-24</v>
      </c>
      <c r="R313" s="0" t="str">
        <f aca="false">IF($D313&lt;&gt;"","["&amp;$E313&amp;"]"&amp;"|"&amp;$Q313&amp;"|"&amp;$K313&amp;"|"&amp;$G313&amp;"|"&amp;IF($G313="TX_CURR_SUBNAT.R","CY2022Q4",$M313),"")</f>
        <v>[vA4NcHxfMBq]|15-24|Female|TX_CURR_SUBNAT.R|CY2022Q4</v>
      </c>
    </row>
    <row r="314" customFormat="false" ht="15" hidden="false" customHeight="false" outlineLevel="0" collapsed="false">
      <c r="D314" s="9" t="s">
        <v>120</v>
      </c>
      <c r="E314" s="9" t="s">
        <v>121</v>
      </c>
      <c r="F314" s="9" t="s">
        <v>122</v>
      </c>
      <c r="G314" s="9" t="s">
        <v>26</v>
      </c>
      <c r="H314" s="9" t="s">
        <v>27</v>
      </c>
      <c r="I314" s="0" t="s">
        <v>41</v>
      </c>
      <c r="J314" s="9" t="s">
        <v>42</v>
      </c>
      <c r="K314" s="9" t="s">
        <v>30</v>
      </c>
      <c r="L314" s="9" t="s">
        <v>31</v>
      </c>
      <c r="M314" s="0" t="s">
        <v>32</v>
      </c>
      <c r="N314" s="0" t="n">
        <v>1921</v>
      </c>
      <c r="O314" s="10" t="n">
        <v>0.304175161058083</v>
      </c>
      <c r="P314" s="10" t="n">
        <v>0.430103979306296</v>
      </c>
      <c r="Q314" s="0" t="str">
        <f aca="false">SUBSTITUTE(SUBSTITUTE($I314,CHAR(61),""),CHAR(34),"")</f>
        <v>25-34</v>
      </c>
      <c r="R314" s="0" t="str">
        <f aca="false">IF($D314&lt;&gt;"","["&amp;$E314&amp;"]"&amp;"|"&amp;$Q314&amp;"|"&amp;$K314&amp;"|"&amp;$G314&amp;"|"&amp;IF($G314="TX_CURR_SUBNAT.R","CY2022Q4",$M314),"")</f>
        <v>[vA4NcHxfMBq]|25-34|Female|TX_CURR_SUBNAT.R|CY2022Q4</v>
      </c>
    </row>
    <row r="315" customFormat="false" ht="15" hidden="false" customHeight="false" outlineLevel="0" collapsed="false">
      <c r="D315" s="9" t="s">
        <v>120</v>
      </c>
      <c r="E315" s="9" t="s">
        <v>121</v>
      </c>
      <c r="F315" s="9" t="s">
        <v>122</v>
      </c>
      <c r="G315" s="9" t="s">
        <v>26</v>
      </c>
      <c r="H315" s="9" t="s">
        <v>27</v>
      </c>
      <c r="I315" s="0" t="s">
        <v>43</v>
      </c>
      <c r="J315" s="9" t="s">
        <v>44</v>
      </c>
      <c r="K315" s="9" t="s">
        <v>30</v>
      </c>
      <c r="L315" s="9" t="s">
        <v>31</v>
      </c>
      <c r="M315" s="0" t="s">
        <v>32</v>
      </c>
      <c r="N315" s="0" t="n">
        <v>1947</v>
      </c>
      <c r="O315" s="10" t="n">
        <v>0.228877571644261</v>
      </c>
      <c r="P315" s="10" t="n">
        <v>0.430103979306296</v>
      </c>
      <c r="Q315" s="0" t="str">
        <f aca="false">SUBSTITUTE(SUBSTITUTE($I315,CHAR(61),""),CHAR(34),"")</f>
        <v>35-49</v>
      </c>
      <c r="R315" s="0" t="str">
        <f aca="false">IF($D315&lt;&gt;"","["&amp;$E315&amp;"]"&amp;"|"&amp;$Q315&amp;"|"&amp;$K315&amp;"|"&amp;$G315&amp;"|"&amp;IF($G315="TX_CURR_SUBNAT.R","CY2022Q4",$M315),"")</f>
        <v>[vA4NcHxfMBq]|35-49|Female|TX_CURR_SUBNAT.R|CY2022Q4</v>
      </c>
    </row>
    <row r="316" customFormat="false" ht="15" hidden="false" customHeight="false" outlineLevel="0" collapsed="false">
      <c r="D316" s="9" t="s">
        <v>120</v>
      </c>
      <c r="E316" s="9" t="s">
        <v>121</v>
      </c>
      <c r="F316" s="9" t="s">
        <v>122</v>
      </c>
      <c r="G316" s="9" t="s">
        <v>26</v>
      </c>
      <c r="H316" s="9" t="s">
        <v>27</v>
      </c>
      <c r="I316" s="0" t="s">
        <v>45</v>
      </c>
      <c r="J316" s="9" t="s">
        <v>46</v>
      </c>
      <c r="K316" s="9" t="s">
        <v>30</v>
      </c>
      <c r="L316" s="9" t="s">
        <v>31</v>
      </c>
      <c r="M316" s="0" t="s">
        <v>32</v>
      </c>
      <c r="N316" s="0" t="n">
        <v>591</v>
      </c>
      <c r="O316" s="10" t="n">
        <v>0.805631787749007</v>
      </c>
      <c r="P316" s="10" t="n">
        <v>0.430103979306296</v>
      </c>
      <c r="Q316" s="0" t="str">
        <f aca="false">SUBSTITUTE(SUBSTITUTE($I316,CHAR(61),""),CHAR(34),"")</f>
        <v>50+</v>
      </c>
      <c r="R316" s="0" t="str">
        <f aca="false">IF($D316&lt;&gt;"","["&amp;$E316&amp;"]"&amp;"|"&amp;$Q316&amp;"|"&amp;$K316&amp;"|"&amp;$G316&amp;"|"&amp;IF($G316="TX_CURR_SUBNAT.R","CY2022Q4",$M316),"")</f>
        <v>[vA4NcHxfMBq]|50+|Female|TX_CURR_SUBNAT.R|CY2022Q4</v>
      </c>
    </row>
    <row r="317" customFormat="false" ht="15" hidden="false" customHeight="false" outlineLevel="0" collapsed="false">
      <c r="D317" s="9" t="s">
        <v>120</v>
      </c>
      <c r="E317" s="9" t="s">
        <v>121</v>
      </c>
      <c r="F317" s="9" t="s">
        <v>122</v>
      </c>
      <c r="G317" s="9" t="s">
        <v>26</v>
      </c>
      <c r="H317" s="9" t="s">
        <v>27</v>
      </c>
      <c r="I317" s="0" t="s">
        <v>28</v>
      </c>
      <c r="J317" s="9" t="s">
        <v>29</v>
      </c>
      <c r="K317" s="9" t="s">
        <v>48</v>
      </c>
      <c r="L317" s="9" t="s">
        <v>49</v>
      </c>
      <c r="M317" s="0" t="s">
        <v>32</v>
      </c>
      <c r="N317" s="0" t="n">
        <v>1266</v>
      </c>
      <c r="O317" s="10" t="n">
        <v>0.071079358458519</v>
      </c>
      <c r="P317" s="10" t="n">
        <v>0.430103979306296</v>
      </c>
      <c r="Q317" s="0" t="str">
        <f aca="false">SUBSTITUTE(SUBSTITUTE($I317,CHAR(61),""),CHAR(34),"")</f>
        <v>&lt;01</v>
      </c>
      <c r="R317" s="0" t="str">
        <f aca="false">IF($D317&lt;&gt;"","["&amp;$E317&amp;"]"&amp;"|"&amp;$Q317&amp;"|"&amp;$K317&amp;"|"&amp;$G317&amp;"|"&amp;IF($G317="TX_CURR_SUBNAT.R","CY2022Q4",$M317),"")</f>
        <v>[vA4NcHxfMBq]|&lt;01|Male|TX_CURR_SUBNAT.R|CY2022Q4</v>
      </c>
    </row>
    <row r="318" customFormat="false" ht="15" hidden="false" customHeight="false" outlineLevel="0" collapsed="false">
      <c r="D318" s="9" t="s">
        <v>120</v>
      </c>
      <c r="E318" s="9" t="s">
        <v>121</v>
      </c>
      <c r="F318" s="9" t="s">
        <v>122</v>
      </c>
      <c r="G318" s="9" t="s">
        <v>26</v>
      </c>
      <c r="H318" s="9" t="s">
        <v>27</v>
      </c>
      <c r="I318" s="0" t="s">
        <v>33</v>
      </c>
      <c r="J318" s="9" t="s">
        <v>34</v>
      </c>
      <c r="K318" s="9" t="s">
        <v>48</v>
      </c>
      <c r="L318" s="9" t="s">
        <v>49</v>
      </c>
      <c r="M318" s="0" t="s">
        <v>32</v>
      </c>
      <c r="N318" s="0" t="n">
        <v>735</v>
      </c>
      <c r="O318" s="10" t="n">
        <v>0.696750791976228</v>
      </c>
      <c r="P318" s="10" t="n">
        <v>0.430103979306296</v>
      </c>
      <c r="Q318" s="0" t="str">
        <f aca="false">SUBSTITUTE(SUBSTITUTE($I318,CHAR(61),""),CHAR(34),"")</f>
        <v>01-09</v>
      </c>
      <c r="R318" s="0" t="str">
        <f aca="false">IF($D318&lt;&gt;"","["&amp;$E318&amp;"]"&amp;"|"&amp;$Q318&amp;"|"&amp;$K318&amp;"|"&amp;$G318&amp;"|"&amp;IF($G318="TX_CURR_SUBNAT.R","CY2022Q4",$M318),"")</f>
        <v>[vA4NcHxfMBq]|01-09|Male|TX_CURR_SUBNAT.R|CY2022Q4</v>
      </c>
    </row>
    <row r="319" customFormat="false" ht="15" hidden="false" customHeight="false" outlineLevel="0" collapsed="false">
      <c r="D319" s="9" t="s">
        <v>120</v>
      </c>
      <c r="E319" s="9" t="s">
        <v>121</v>
      </c>
      <c r="F319" s="9" t="s">
        <v>122</v>
      </c>
      <c r="G319" s="9" t="s">
        <v>26</v>
      </c>
      <c r="H319" s="9" t="s">
        <v>27</v>
      </c>
      <c r="I319" s="0" t="s">
        <v>36</v>
      </c>
      <c r="J319" s="9" t="s">
        <v>37</v>
      </c>
      <c r="K319" s="9" t="s">
        <v>48</v>
      </c>
      <c r="L319" s="9" t="s">
        <v>49</v>
      </c>
      <c r="M319" s="0" t="s">
        <v>32</v>
      </c>
      <c r="N319" s="0" t="n">
        <v>1498</v>
      </c>
      <c r="O319" s="10" t="n">
        <v>0.921841435134411</v>
      </c>
      <c r="P319" s="10" t="n">
        <v>0.430103979306296</v>
      </c>
      <c r="Q319" s="0" t="str">
        <f aca="false">SUBSTITUTE(SUBSTITUTE($I319,CHAR(61),""),CHAR(34),"")</f>
        <v>10-14</v>
      </c>
      <c r="R319" s="0" t="str">
        <f aca="false">IF($D319&lt;&gt;"","["&amp;$E319&amp;"]"&amp;"|"&amp;$Q319&amp;"|"&amp;$K319&amp;"|"&amp;$G319&amp;"|"&amp;IF($G319="TX_CURR_SUBNAT.R","CY2022Q4",$M319),"")</f>
        <v>[vA4NcHxfMBq]|10-14|Male|TX_CURR_SUBNAT.R|CY2022Q4</v>
      </c>
    </row>
    <row r="320" customFormat="false" ht="15" hidden="false" customHeight="false" outlineLevel="0" collapsed="false">
      <c r="D320" s="9" t="s">
        <v>120</v>
      </c>
      <c r="E320" s="9" t="s">
        <v>121</v>
      </c>
      <c r="F320" s="9" t="s">
        <v>122</v>
      </c>
      <c r="G320" s="9" t="s">
        <v>26</v>
      </c>
      <c r="H320" s="9" t="s">
        <v>27</v>
      </c>
      <c r="I320" s="0" t="s">
        <v>38</v>
      </c>
      <c r="J320" s="9" t="s">
        <v>39</v>
      </c>
      <c r="K320" s="9" t="s">
        <v>48</v>
      </c>
      <c r="L320" s="9" t="s">
        <v>49</v>
      </c>
      <c r="M320" s="0" t="s">
        <v>32</v>
      </c>
      <c r="N320" s="0" t="n">
        <v>968</v>
      </c>
      <c r="O320" s="10" t="n">
        <v>0.337447179481387</v>
      </c>
      <c r="P320" s="10" t="n">
        <v>0.430103979306296</v>
      </c>
      <c r="Q320" s="0" t="str">
        <f aca="false">SUBSTITUTE(SUBSTITUTE($I320,CHAR(61),""),CHAR(34),"")</f>
        <v>15-24</v>
      </c>
      <c r="R320" s="0" t="str">
        <f aca="false">IF($D320&lt;&gt;"","["&amp;$E320&amp;"]"&amp;"|"&amp;$Q320&amp;"|"&amp;$K320&amp;"|"&amp;$G320&amp;"|"&amp;IF($G320="TX_CURR_SUBNAT.R","CY2022Q4",$M320),"")</f>
        <v>[vA4NcHxfMBq]|15-24|Male|TX_CURR_SUBNAT.R|CY2022Q4</v>
      </c>
    </row>
    <row r="321" customFormat="false" ht="15" hidden="false" customHeight="false" outlineLevel="0" collapsed="false">
      <c r="D321" s="9" t="s">
        <v>120</v>
      </c>
      <c r="E321" s="9" t="s">
        <v>121</v>
      </c>
      <c r="F321" s="9" t="s">
        <v>122</v>
      </c>
      <c r="G321" s="9" t="s">
        <v>26</v>
      </c>
      <c r="H321" s="9" t="s">
        <v>27</v>
      </c>
      <c r="I321" s="0" t="s">
        <v>41</v>
      </c>
      <c r="J321" s="9" t="s">
        <v>42</v>
      </c>
      <c r="K321" s="9" t="s">
        <v>48</v>
      </c>
      <c r="L321" s="9" t="s">
        <v>49</v>
      </c>
      <c r="M321" s="0" t="s">
        <v>32</v>
      </c>
      <c r="N321" s="0" t="n">
        <v>1938</v>
      </c>
      <c r="O321" s="10" t="n">
        <v>0.677509090397507</v>
      </c>
      <c r="P321" s="10" t="n">
        <v>0.430103979306296</v>
      </c>
      <c r="Q321" s="0" t="str">
        <f aca="false">SUBSTITUTE(SUBSTITUTE($I321,CHAR(61),""),CHAR(34),"")</f>
        <v>25-34</v>
      </c>
      <c r="R321" s="0" t="str">
        <f aca="false">IF($D321&lt;&gt;"","["&amp;$E321&amp;"]"&amp;"|"&amp;$Q321&amp;"|"&amp;$K321&amp;"|"&amp;$G321&amp;"|"&amp;IF($G321="TX_CURR_SUBNAT.R","CY2022Q4",$M321),"")</f>
        <v>[vA4NcHxfMBq]|25-34|Male|TX_CURR_SUBNAT.R|CY2022Q4</v>
      </c>
    </row>
    <row r="322" customFormat="false" ht="15" hidden="false" customHeight="false" outlineLevel="0" collapsed="false">
      <c r="D322" s="9" t="s">
        <v>120</v>
      </c>
      <c r="E322" s="9" t="s">
        <v>121</v>
      </c>
      <c r="F322" s="9" t="s">
        <v>122</v>
      </c>
      <c r="G322" s="9" t="s">
        <v>26</v>
      </c>
      <c r="H322" s="9" t="s">
        <v>27</v>
      </c>
      <c r="I322" s="0" t="s">
        <v>43</v>
      </c>
      <c r="J322" s="9" t="s">
        <v>44</v>
      </c>
      <c r="K322" s="9" t="s">
        <v>48</v>
      </c>
      <c r="L322" s="9" t="s">
        <v>49</v>
      </c>
      <c r="M322" s="0" t="s">
        <v>32</v>
      </c>
      <c r="N322" s="0" t="n">
        <v>1274</v>
      </c>
      <c r="O322" s="10" t="n">
        <v>0.0479407818056643</v>
      </c>
      <c r="P322" s="10" t="n">
        <v>0.430103979306296</v>
      </c>
      <c r="Q322" s="0" t="str">
        <f aca="false">SUBSTITUTE(SUBSTITUTE($I322,CHAR(61),""),CHAR(34),"")</f>
        <v>35-49</v>
      </c>
      <c r="R322" s="0" t="str">
        <f aca="false">IF($D322&lt;&gt;"","["&amp;$E322&amp;"]"&amp;"|"&amp;$Q322&amp;"|"&amp;$K322&amp;"|"&amp;$G322&amp;"|"&amp;IF($G322="TX_CURR_SUBNAT.R","CY2022Q4",$M322),"")</f>
        <v>[vA4NcHxfMBq]|35-49|Male|TX_CURR_SUBNAT.R|CY2022Q4</v>
      </c>
    </row>
    <row r="323" customFormat="false" ht="15" hidden="false" customHeight="false" outlineLevel="0" collapsed="false">
      <c r="D323" s="9" t="s">
        <v>120</v>
      </c>
      <c r="E323" s="9" t="s">
        <v>121</v>
      </c>
      <c r="F323" s="9" t="s">
        <v>122</v>
      </c>
      <c r="G323" s="9" t="s">
        <v>26</v>
      </c>
      <c r="H323" s="9" t="s">
        <v>27</v>
      </c>
      <c r="I323" s="0" t="s">
        <v>45</v>
      </c>
      <c r="J323" s="9" t="s">
        <v>46</v>
      </c>
      <c r="K323" s="9" t="s">
        <v>48</v>
      </c>
      <c r="L323" s="9" t="s">
        <v>49</v>
      </c>
      <c r="M323" s="0" t="s">
        <v>32</v>
      </c>
      <c r="N323" s="0" t="n">
        <v>638</v>
      </c>
      <c r="O323" s="10" t="n">
        <v>0.0518014552071691</v>
      </c>
      <c r="P323" s="10" t="n">
        <v>0.430103979306296</v>
      </c>
      <c r="Q323" s="0" t="str">
        <f aca="false">SUBSTITUTE(SUBSTITUTE($I323,CHAR(61),""),CHAR(34),"")</f>
        <v>50+</v>
      </c>
      <c r="R323" s="0" t="str">
        <f aca="false">IF($D323&lt;&gt;"","["&amp;$E323&amp;"]"&amp;"|"&amp;$Q323&amp;"|"&amp;$K323&amp;"|"&amp;$G323&amp;"|"&amp;IF($G323="TX_CURR_SUBNAT.R","CY2022Q4",$M323),"")</f>
        <v>[vA4NcHxfMBq]|50+|Male|TX_CURR_SUBNAT.R|CY2022Q4</v>
      </c>
    </row>
    <row r="324" customFormat="false" ht="15" hidden="false" customHeight="false" outlineLevel="0" collapsed="false">
      <c r="D324" s="9" t="s">
        <v>123</v>
      </c>
      <c r="E324" s="9" t="s">
        <v>124</v>
      </c>
      <c r="F324" s="9" t="s">
        <v>125</v>
      </c>
      <c r="G324" s="9" t="s">
        <v>26</v>
      </c>
      <c r="H324" s="9" t="s">
        <v>27</v>
      </c>
      <c r="I324" s="0" t="s">
        <v>28</v>
      </c>
      <c r="J324" s="9" t="s">
        <v>29</v>
      </c>
      <c r="K324" s="9" t="s">
        <v>30</v>
      </c>
      <c r="L324" s="9" t="s">
        <v>31</v>
      </c>
      <c r="M324" s="0" t="s">
        <v>32</v>
      </c>
      <c r="N324" s="0" t="n">
        <v>962</v>
      </c>
      <c r="O324" s="10" t="n">
        <v>0.785262462915853</v>
      </c>
      <c r="P324" s="10" t="n">
        <v>0.419500603340566</v>
      </c>
      <c r="Q324" s="0" t="str">
        <f aca="false">SUBSTITUTE(SUBSTITUTE($I324,CHAR(61),""),CHAR(34),"")</f>
        <v>&lt;01</v>
      </c>
      <c r="R324" s="0" t="str">
        <f aca="false">IF($D324&lt;&gt;"","["&amp;$E324&amp;"]"&amp;"|"&amp;$Q324&amp;"|"&amp;$K324&amp;"|"&amp;$G324&amp;"|"&amp;IF($G324="TX_CURR_SUBNAT.R","CY2022Q4",$M324),"")</f>
        <v>[E7zpfyBt7Tw]|&lt;01|Female|TX_CURR_SUBNAT.R|CY2022Q4</v>
      </c>
    </row>
    <row r="325" customFormat="false" ht="15" hidden="false" customHeight="false" outlineLevel="0" collapsed="false">
      <c r="D325" s="9" t="s">
        <v>123</v>
      </c>
      <c r="E325" s="9" t="s">
        <v>124</v>
      </c>
      <c r="F325" s="9" t="s">
        <v>125</v>
      </c>
      <c r="G325" s="9" t="s">
        <v>26</v>
      </c>
      <c r="H325" s="9" t="s">
        <v>27</v>
      </c>
      <c r="I325" s="0" t="s">
        <v>33</v>
      </c>
      <c r="J325" s="9" t="s">
        <v>34</v>
      </c>
      <c r="K325" s="9" t="s">
        <v>30</v>
      </c>
      <c r="L325" s="9" t="s">
        <v>31</v>
      </c>
      <c r="M325" s="0" t="s">
        <v>32</v>
      </c>
      <c r="N325" s="0" t="n">
        <v>1536</v>
      </c>
      <c r="O325" s="10" t="n">
        <v>0.130263086408377</v>
      </c>
      <c r="P325" s="10" t="n">
        <v>0.419500603340566</v>
      </c>
      <c r="Q325" s="0" t="str">
        <f aca="false">SUBSTITUTE(SUBSTITUTE($I325,CHAR(61),""),CHAR(34),"")</f>
        <v>01-09</v>
      </c>
      <c r="R325" s="0" t="str">
        <f aca="false">IF($D325&lt;&gt;"","["&amp;$E325&amp;"]"&amp;"|"&amp;$Q325&amp;"|"&amp;$K325&amp;"|"&amp;$G325&amp;"|"&amp;IF($G325="TX_CURR_SUBNAT.R","CY2022Q4",$M325),"")</f>
        <v>[E7zpfyBt7Tw]|01-09|Female|TX_CURR_SUBNAT.R|CY2022Q4</v>
      </c>
    </row>
    <row r="326" customFormat="false" ht="15" hidden="false" customHeight="false" outlineLevel="0" collapsed="false">
      <c r="D326" s="9" t="s">
        <v>123</v>
      </c>
      <c r="E326" s="9" t="s">
        <v>124</v>
      </c>
      <c r="F326" s="9" t="s">
        <v>125</v>
      </c>
      <c r="G326" s="9" t="s">
        <v>26</v>
      </c>
      <c r="H326" s="9" t="s">
        <v>27</v>
      </c>
      <c r="I326" s="0" t="s">
        <v>36</v>
      </c>
      <c r="J326" s="9" t="s">
        <v>37</v>
      </c>
      <c r="K326" s="9" t="s">
        <v>30</v>
      </c>
      <c r="L326" s="9" t="s">
        <v>31</v>
      </c>
      <c r="M326" s="0" t="s">
        <v>32</v>
      </c>
      <c r="N326" s="0" t="n">
        <v>1894</v>
      </c>
      <c r="O326" s="10" t="n">
        <v>0.0505151674151421</v>
      </c>
      <c r="P326" s="10" t="n">
        <v>0.419500603340566</v>
      </c>
      <c r="Q326" s="0" t="str">
        <f aca="false">SUBSTITUTE(SUBSTITUTE($I326,CHAR(61),""),CHAR(34),"")</f>
        <v>10-14</v>
      </c>
      <c r="R326" s="0" t="str">
        <f aca="false">IF($D326&lt;&gt;"","["&amp;$E326&amp;"]"&amp;"|"&amp;$Q326&amp;"|"&amp;$K326&amp;"|"&amp;$G326&amp;"|"&amp;IF($G326="TX_CURR_SUBNAT.R","CY2022Q4",$M326),"")</f>
        <v>[E7zpfyBt7Tw]|10-14|Female|TX_CURR_SUBNAT.R|CY2022Q4</v>
      </c>
    </row>
    <row r="327" customFormat="false" ht="15" hidden="false" customHeight="false" outlineLevel="0" collapsed="false">
      <c r="D327" s="9" t="s">
        <v>123</v>
      </c>
      <c r="E327" s="9" t="s">
        <v>124</v>
      </c>
      <c r="F327" s="9" t="s">
        <v>125</v>
      </c>
      <c r="G327" s="9" t="s">
        <v>26</v>
      </c>
      <c r="H327" s="9" t="s">
        <v>27</v>
      </c>
      <c r="I327" s="0" t="s">
        <v>38</v>
      </c>
      <c r="J327" s="9" t="s">
        <v>39</v>
      </c>
      <c r="K327" s="9" t="s">
        <v>30</v>
      </c>
      <c r="L327" s="9" t="s">
        <v>31</v>
      </c>
      <c r="M327" s="0" t="s">
        <v>32</v>
      </c>
      <c r="N327" s="0" t="n">
        <v>1936</v>
      </c>
      <c r="O327" s="10" t="n">
        <v>0.553054329939187</v>
      </c>
      <c r="P327" s="10" t="n">
        <v>0.419500603340566</v>
      </c>
      <c r="Q327" s="0" t="str">
        <f aca="false">SUBSTITUTE(SUBSTITUTE($I327,CHAR(61),""),CHAR(34),"")</f>
        <v>15-24</v>
      </c>
      <c r="R327" s="0" t="str">
        <f aca="false">IF($D327&lt;&gt;"","["&amp;$E327&amp;"]"&amp;"|"&amp;$Q327&amp;"|"&amp;$K327&amp;"|"&amp;$G327&amp;"|"&amp;IF($G327="TX_CURR_SUBNAT.R","CY2022Q4",$M327),"")</f>
        <v>[E7zpfyBt7Tw]|15-24|Female|TX_CURR_SUBNAT.R|CY2022Q4</v>
      </c>
    </row>
    <row r="328" customFormat="false" ht="15" hidden="false" customHeight="false" outlineLevel="0" collapsed="false">
      <c r="D328" s="9" t="s">
        <v>123</v>
      </c>
      <c r="E328" s="9" t="s">
        <v>124</v>
      </c>
      <c r="F328" s="9" t="s">
        <v>125</v>
      </c>
      <c r="G328" s="9" t="s">
        <v>26</v>
      </c>
      <c r="H328" s="9" t="s">
        <v>27</v>
      </c>
      <c r="I328" s="0" t="s">
        <v>41</v>
      </c>
      <c r="J328" s="9" t="s">
        <v>42</v>
      </c>
      <c r="K328" s="9" t="s">
        <v>30</v>
      </c>
      <c r="L328" s="9" t="s">
        <v>31</v>
      </c>
      <c r="M328" s="0" t="s">
        <v>32</v>
      </c>
      <c r="N328" s="0" t="n">
        <v>1709</v>
      </c>
      <c r="O328" s="10" t="n">
        <v>0.515288434457034</v>
      </c>
      <c r="P328" s="10" t="n">
        <v>0.419500603340566</v>
      </c>
      <c r="Q328" s="0" t="str">
        <f aca="false">SUBSTITUTE(SUBSTITUTE($I328,CHAR(61),""),CHAR(34),"")</f>
        <v>25-34</v>
      </c>
      <c r="R328" s="0" t="str">
        <f aca="false">IF($D328&lt;&gt;"","["&amp;$E328&amp;"]"&amp;"|"&amp;$Q328&amp;"|"&amp;$K328&amp;"|"&amp;$G328&amp;"|"&amp;IF($G328="TX_CURR_SUBNAT.R","CY2022Q4",$M328),"")</f>
        <v>[E7zpfyBt7Tw]|25-34|Female|TX_CURR_SUBNAT.R|CY2022Q4</v>
      </c>
    </row>
    <row r="329" customFormat="false" ht="15" hidden="false" customHeight="false" outlineLevel="0" collapsed="false">
      <c r="D329" s="9" t="s">
        <v>123</v>
      </c>
      <c r="E329" s="9" t="s">
        <v>124</v>
      </c>
      <c r="F329" s="9" t="s">
        <v>125</v>
      </c>
      <c r="G329" s="9" t="s">
        <v>26</v>
      </c>
      <c r="H329" s="9" t="s">
        <v>27</v>
      </c>
      <c r="I329" s="0" t="s">
        <v>43</v>
      </c>
      <c r="J329" s="9" t="s">
        <v>44</v>
      </c>
      <c r="K329" s="9" t="s">
        <v>30</v>
      </c>
      <c r="L329" s="9" t="s">
        <v>31</v>
      </c>
      <c r="M329" s="0" t="s">
        <v>32</v>
      </c>
      <c r="N329" s="0" t="n">
        <v>893</v>
      </c>
      <c r="O329" s="10" t="n">
        <v>0.354466655757278</v>
      </c>
      <c r="P329" s="10" t="n">
        <v>0.419500603340566</v>
      </c>
      <c r="Q329" s="0" t="str">
        <f aca="false">SUBSTITUTE(SUBSTITUTE($I329,CHAR(61),""),CHAR(34),"")</f>
        <v>35-49</v>
      </c>
      <c r="R329" s="0" t="str">
        <f aca="false">IF($D329&lt;&gt;"","["&amp;$E329&amp;"]"&amp;"|"&amp;$Q329&amp;"|"&amp;$K329&amp;"|"&amp;$G329&amp;"|"&amp;IF($G329="TX_CURR_SUBNAT.R","CY2022Q4",$M329),"")</f>
        <v>[E7zpfyBt7Tw]|35-49|Female|TX_CURR_SUBNAT.R|CY2022Q4</v>
      </c>
    </row>
    <row r="330" customFormat="false" ht="15" hidden="false" customHeight="false" outlineLevel="0" collapsed="false">
      <c r="D330" s="9" t="s">
        <v>123</v>
      </c>
      <c r="E330" s="9" t="s">
        <v>124</v>
      </c>
      <c r="F330" s="9" t="s">
        <v>125</v>
      </c>
      <c r="G330" s="9" t="s">
        <v>26</v>
      </c>
      <c r="H330" s="9" t="s">
        <v>27</v>
      </c>
      <c r="I330" s="0" t="s">
        <v>45</v>
      </c>
      <c r="J330" s="9" t="s">
        <v>46</v>
      </c>
      <c r="K330" s="9" t="s">
        <v>30</v>
      </c>
      <c r="L330" s="9" t="s">
        <v>31</v>
      </c>
      <c r="M330" s="0" t="s">
        <v>32</v>
      </c>
      <c r="N330" s="0" t="n">
        <v>911</v>
      </c>
      <c r="O330" s="10" t="n">
        <v>0.94843299803324</v>
      </c>
      <c r="P330" s="10" t="n">
        <v>0.419500603340566</v>
      </c>
      <c r="Q330" s="0" t="str">
        <f aca="false">SUBSTITUTE(SUBSTITUTE($I330,CHAR(61),""),CHAR(34),"")</f>
        <v>50+</v>
      </c>
      <c r="R330" s="0" t="str">
        <f aca="false">IF($D330&lt;&gt;"","["&amp;$E330&amp;"]"&amp;"|"&amp;$Q330&amp;"|"&amp;$K330&amp;"|"&amp;$G330&amp;"|"&amp;IF($G330="TX_CURR_SUBNAT.R","CY2022Q4",$M330),"")</f>
        <v>[E7zpfyBt7Tw]|50+|Female|TX_CURR_SUBNAT.R|CY2022Q4</v>
      </c>
    </row>
    <row r="331" customFormat="false" ht="15" hidden="false" customHeight="false" outlineLevel="0" collapsed="false">
      <c r="D331" s="9" t="s">
        <v>123</v>
      </c>
      <c r="E331" s="9" t="s">
        <v>124</v>
      </c>
      <c r="F331" s="9" t="s">
        <v>125</v>
      </c>
      <c r="G331" s="9" t="s">
        <v>26</v>
      </c>
      <c r="H331" s="9" t="s">
        <v>27</v>
      </c>
      <c r="I331" s="0" t="s">
        <v>28</v>
      </c>
      <c r="J331" s="9" t="s">
        <v>29</v>
      </c>
      <c r="K331" s="9" t="s">
        <v>48</v>
      </c>
      <c r="L331" s="9" t="s">
        <v>49</v>
      </c>
      <c r="M331" s="0" t="s">
        <v>32</v>
      </c>
      <c r="N331" s="0" t="n">
        <v>547</v>
      </c>
      <c r="O331" s="10" t="n">
        <v>0.723243974149227</v>
      </c>
      <c r="P331" s="10" t="n">
        <v>0.419500603340566</v>
      </c>
      <c r="Q331" s="0" t="str">
        <f aca="false">SUBSTITUTE(SUBSTITUTE($I331,CHAR(61),""),CHAR(34),"")</f>
        <v>&lt;01</v>
      </c>
      <c r="R331" s="0" t="str">
        <f aca="false">IF($D331&lt;&gt;"","["&amp;$E331&amp;"]"&amp;"|"&amp;$Q331&amp;"|"&amp;$K331&amp;"|"&amp;$G331&amp;"|"&amp;IF($G331="TX_CURR_SUBNAT.R","CY2022Q4",$M331),"")</f>
        <v>[E7zpfyBt7Tw]|&lt;01|Male|TX_CURR_SUBNAT.R|CY2022Q4</v>
      </c>
    </row>
    <row r="332" customFormat="false" ht="15" hidden="false" customHeight="false" outlineLevel="0" collapsed="false">
      <c r="D332" s="9" t="s">
        <v>123</v>
      </c>
      <c r="E332" s="9" t="s">
        <v>124</v>
      </c>
      <c r="F332" s="9" t="s">
        <v>125</v>
      </c>
      <c r="G332" s="9" t="s">
        <v>26</v>
      </c>
      <c r="H332" s="9" t="s">
        <v>27</v>
      </c>
      <c r="I332" s="0" t="s">
        <v>33</v>
      </c>
      <c r="J332" s="9" t="s">
        <v>34</v>
      </c>
      <c r="K332" s="9" t="s">
        <v>48</v>
      </c>
      <c r="L332" s="9" t="s">
        <v>49</v>
      </c>
      <c r="M332" s="0" t="s">
        <v>32</v>
      </c>
      <c r="N332" s="0" t="n">
        <v>1088</v>
      </c>
      <c r="O332" s="10" t="n">
        <v>0.506592401769012</v>
      </c>
      <c r="P332" s="10" t="n">
        <v>0.419500603340566</v>
      </c>
      <c r="Q332" s="0" t="str">
        <f aca="false">SUBSTITUTE(SUBSTITUTE($I332,CHAR(61),""),CHAR(34),"")</f>
        <v>01-09</v>
      </c>
      <c r="R332" s="0" t="str">
        <f aca="false">IF($D332&lt;&gt;"","["&amp;$E332&amp;"]"&amp;"|"&amp;$Q332&amp;"|"&amp;$K332&amp;"|"&amp;$G332&amp;"|"&amp;IF($G332="TX_CURR_SUBNAT.R","CY2022Q4",$M332),"")</f>
        <v>[E7zpfyBt7Tw]|01-09|Male|TX_CURR_SUBNAT.R|CY2022Q4</v>
      </c>
    </row>
    <row r="333" customFormat="false" ht="15" hidden="false" customHeight="false" outlineLevel="0" collapsed="false">
      <c r="D333" s="9" t="s">
        <v>123</v>
      </c>
      <c r="E333" s="9" t="s">
        <v>124</v>
      </c>
      <c r="F333" s="9" t="s">
        <v>125</v>
      </c>
      <c r="G333" s="9" t="s">
        <v>26</v>
      </c>
      <c r="H333" s="9" t="s">
        <v>27</v>
      </c>
      <c r="I333" s="0" t="s">
        <v>36</v>
      </c>
      <c r="J333" s="9" t="s">
        <v>37</v>
      </c>
      <c r="K333" s="9" t="s">
        <v>48</v>
      </c>
      <c r="L333" s="9" t="s">
        <v>49</v>
      </c>
      <c r="M333" s="0" t="s">
        <v>32</v>
      </c>
      <c r="N333" s="0" t="n">
        <v>768</v>
      </c>
      <c r="O333" s="10" t="n">
        <v>0.023317362414673</v>
      </c>
      <c r="P333" s="10" t="n">
        <v>0.419500603340566</v>
      </c>
      <c r="Q333" s="0" t="str">
        <f aca="false">SUBSTITUTE(SUBSTITUTE($I333,CHAR(61),""),CHAR(34),"")</f>
        <v>10-14</v>
      </c>
      <c r="R333" s="0" t="str">
        <f aca="false">IF($D333&lt;&gt;"","["&amp;$E333&amp;"]"&amp;"|"&amp;$Q333&amp;"|"&amp;$K333&amp;"|"&amp;$G333&amp;"|"&amp;IF($G333="TX_CURR_SUBNAT.R","CY2022Q4",$M333),"")</f>
        <v>[E7zpfyBt7Tw]|10-14|Male|TX_CURR_SUBNAT.R|CY2022Q4</v>
      </c>
    </row>
    <row r="334" customFormat="false" ht="15" hidden="false" customHeight="false" outlineLevel="0" collapsed="false">
      <c r="D334" s="9" t="s">
        <v>123</v>
      </c>
      <c r="E334" s="9" t="s">
        <v>124</v>
      </c>
      <c r="F334" s="9" t="s">
        <v>125</v>
      </c>
      <c r="G334" s="9" t="s">
        <v>26</v>
      </c>
      <c r="H334" s="9" t="s">
        <v>27</v>
      </c>
      <c r="I334" s="0" t="s">
        <v>38</v>
      </c>
      <c r="J334" s="9" t="s">
        <v>39</v>
      </c>
      <c r="K334" s="9" t="s">
        <v>48</v>
      </c>
      <c r="L334" s="9" t="s">
        <v>49</v>
      </c>
      <c r="M334" s="0" t="s">
        <v>32</v>
      </c>
      <c r="N334" s="0" t="n">
        <v>1142</v>
      </c>
      <c r="O334" s="10" t="n">
        <v>0.481691460125148</v>
      </c>
      <c r="P334" s="10" t="n">
        <v>0.419500603340566</v>
      </c>
      <c r="Q334" s="0" t="str">
        <f aca="false">SUBSTITUTE(SUBSTITUTE($I334,CHAR(61),""),CHAR(34),"")</f>
        <v>15-24</v>
      </c>
      <c r="R334" s="0" t="str">
        <f aca="false">IF($D334&lt;&gt;"","["&amp;$E334&amp;"]"&amp;"|"&amp;$Q334&amp;"|"&amp;$K334&amp;"|"&amp;$G334&amp;"|"&amp;IF($G334="TX_CURR_SUBNAT.R","CY2022Q4",$M334),"")</f>
        <v>[E7zpfyBt7Tw]|15-24|Male|TX_CURR_SUBNAT.R|CY2022Q4</v>
      </c>
    </row>
    <row r="335" customFormat="false" ht="15" hidden="false" customHeight="false" outlineLevel="0" collapsed="false">
      <c r="D335" s="9" t="s">
        <v>123</v>
      </c>
      <c r="E335" s="9" t="s">
        <v>124</v>
      </c>
      <c r="F335" s="9" t="s">
        <v>125</v>
      </c>
      <c r="G335" s="9" t="s">
        <v>26</v>
      </c>
      <c r="H335" s="9" t="s">
        <v>27</v>
      </c>
      <c r="I335" s="0" t="s">
        <v>41</v>
      </c>
      <c r="J335" s="9" t="s">
        <v>42</v>
      </c>
      <c r="K335" s="9" t="s">
        <v>48</v>
      </c>
      <c r="L335" s="9" t="s">
        <v>49</v>
      </c>
      <c r="M335" s="0" t="s">
        <v>32</v>
      </c>
      <c r="N335" s="0" t="n">
        <v>1211</v>
      </c>
      <c r="O335" s="10" t="n">
        <v>0.435079675167799</v>
      </c>
      <c r="P335" s="10" t="n">
        <v>0.419500603340566</v>
      </c>
      <c r="Q335" s="0" t="str">
        <f aca="false">SUBSTITUTE(SUBSTITUTE($I335,CHAR(61),""),CHAR(34),"")</f>
        <v>25-34</v>
      </c>
      <c r="R335" s="0" t="str">
        <f aca="false">IF($D335&lt;&gt;"","["&amp;$E335&amp;"]"&amp;"|"&amp;$Q335&amp;"|"&amp;$K335&amp;"|"&amp;$G335&amp;"|"&amp;IF($G335="TX_CURR_SUBNAT.R","CY2022Q4",$M335),"")</f>
        <v>[E7zpfyBt7Tw]|25-34|Male|TX_CURR_SUBNAT.R|CY2022Q4</v>
      </c>
    </row>
    <row r="336" customFormat="false" ht="15" hidden="false" customHeight="false" outlineLevel="0" collapsed="false">
      <c r="D336" s="9" t="s">
        <v>123</v>
      </c>
      <c r="E336" s="9" t="s">
        <v>124</v>
      </c>
      <c r="F336" s="9" t="s">
        <v>125</v>
      </c>
      <c r="G336" s="9" t="s">
        <v>26</v>
      </c>
      <c r="H336" s="9" t="s">
        <v>27</v>
      </c>
      <c r="I336" s="0" t="s">
        <v>43</v>
      </c>
      <c r="J336" s="9" t="s">
        <v>44</v>
      </c>
      <c r="K336" s="9" t="s">
        <v>48</v>
      </c>
      <c r="L336" s="9" t="s">
        <v>49</v>
      </c>
      <c r="M336" s="0" t="s">
        <v>32</v>
      </c>
      <c r="N336" s="0" t="n">
        <v>805</v>
      </c>
      <c r="O336" s="10" t="n">
        <v>0.321067951852456</v>
      </c>
      <c r="P336" s="10" t="n">
        <v>0.419500603340566</v>
      </c>
      <c r="Q336" s="0" t="str">
        <f aca="false">SUBSTITUTE(SUBSTITUTE($I336,CHAR(61),""),CHAR(34),"")</f>
        <v>35-49</v>
      </c>
      <c r="R336" s="0" t="str">
        <f aca="false">IF($D336&lt;&gt;"","["&amp;$E336&amp;"]"&amp;"|"&amp;$Q336&amp;"|"&amp;$K336&amp;"|"&amp;$G336&amp;"|"&amp;IF($G336="TX_CURR_SUBNAT.R","CY2022Q4",$M336),"")</f>
        <v>[E7zpfyBt7Tw]|35-49|Male|TX_CURR_SUBNAT.R|CY2022Q4</v>
      </c>
    </row>
    <row r="337" customFormat="false" ht="15" hidden="false" customHeight="false" outlineLevel="0" collapsed="false">
      <c r="D337" s="9" t="s">
        <v>123</v>
      </c>
      <c r="E337" s="9" t="s">
        <v>124</v>
      </c>
      <c r="F337" s="9" t="s">
        <v>125</v>
      </c>
      <c r="G337" s="9" t="s">
        <v>26</v>
      </c>
      <c r="H337" s="9" t="s">
        <v>27</v>
      </c>
      <c r="I337" s="0" t="s">
        <v>45</v>
      </c>
      <c r="J337" s="9" t="s">
        <v>46</v>
      </c>
      <c r="K337" s="9" t="s">
        <v>48</v>
      </c>
      <c r="L337" s="9" t="s">
        <v>49</v>
      </c>
      <c r="M337" s="0" t="s">
        <v>32</v>
      </c>
      <c r="N337" s="0" t="n">
        <v>1303</v>
      </c>
      <c r="O337" s="10" t="n">
        <v>0.998081426369026</v>
      </c>
      <c r="P337" s="10" t="n">
        <v>0.419500603340566</v>
      </c>
      <c r="Q337" s="0" t="str">
        <f aca="false">SUBSTITUTE(SUBSTITUTE($I337,CHAR(61),""),CHAR(34),"")</f>
        <v>50+</v>
      </c>
      <c r="R337" s="0" t="str">
        <f aca="false">IF($D337&lt;&gt;"","["&amp;$E337&amp;"]"&amp;"|"&amp;$Q337&amp;"|"&amp;$K337&amp;"|"&amp;$G337&amp;"|"&amp;IF($G337="TX_CURR_SUBNAT.R","CY2022Q4",$M337),"")</f>
        <v>[E7zpfyBt7Tw]|50+|Male|TX_CURR_SUBNAT.R|CY2022Q4</v>
      </c>
    </row>
    <row r="338" customFormat="false" ht="15" hidden="false" customHeight="false" outlineLevel="0" collapsed="false">
      <c r="D338" s="9" t="s">
        <v>126</v>
      </c>
      <c r="E338" s="9" t="s">
        <v>127</v>
      </c>
      <c r="F338" s="9" t="s">
        <v>128</v>
      </c>
      <c r="G338" s="9" t="s">
        <v>26</v>
      </c>
      <c r="H338" s="9" t="s">
        <v>27</v>
      </c>
      <c r="I338" s="0" t="s">
        <v>28</v>
      </c>
      <c r="J338" s="9" t="s">
        <v>29</v>
      </c>
      <c r="K338" s="9" t="s">
        <v>30</v>
      </c>
      <c r="L338" s="9" t="s">
        <v>31</v>
      </c>
      <c r="M338" s="0" t="s">
        <v>32</v>
      </c>
      <c r="N338" s="0" t="n">
        <v>1838</v>
      </c>
      <c r="O338" s="10" t="n">
        <v>0.298087374772877</v>
      </c>
      <c r="P338" s="10" t="n">
        <v>0.252706390339881</v>
      </c>
      <c r="Q338" s="0" t="str">
        <f aca="false">SUBSTITUTE(SUBSTITUTE($I338,CHAR(61),""),CHAR(34),"")</f>
        <v>&lt;01</v>
      </c>
      <c r="R338" s="0" t="str">
        <f aca="false">IF($D338&lt;&gt;"","["&amp;$E338&amp;"]"&amp;"|"&amp;$Q338&amp;"|"&amp;$K338&amp;"|"&amp;$G338&amp;"|"&amp;IF($G338="TX_CURR_SUBNAT.R","CY2022Q4",$M338),"")</f>
        <v>[ZCjuwgaMB9u]|&lt;01|Female|TX_CURR_SUBNAT.R|CY2022Q4</v>
      </c>
    </row>
    <row r="339" customFormat="false" ht="15" hidden="false" customHeight="false" outlineLevel="0" collapsed="false">
      <c r="D339" s="9" t="s">
        <v>126</v>
      </c>
      <c r="E339" s="9" t="s">
        <v>127</v>
      </c>
      <c r="F339" s="9" t="s">
        <v>128</v>
      </c>
      <c r="G339" s="9" t="s">
        <v>26</v>
      </c>
      <c r="H339" s="9" t="s">
        <v>27</v>
      </c>
      <c r="I339" s="0" t="s">
        <v>33</v>
      </c>
      <c r="J339" s="9" t="s">
        <v>34</v>
      </c>
      <c r="K339" s="9" t="s">
        <v>30</v>
      </c>
      <c r="L339" s="9" t="s">
        <v>31</v>
      </c>
      <c r="M339" s="0" t="s">
        <v>32</v>
      </c>
      <c r="N339" s="0" t="n">
        <v>1318</v>
      </c>
      <c r="O339" s="10" t="n">
        <v>0.585216998122633</v>
      </c>
      <c r="P339" s="10" t="n">
        <v>0.252706390339881</v>
      </c>
      <c r="Q339" s="0" t="str">
        <f aca="false">SUBSTITUTE(SUBSTITUTE($I339,CHAR(61),""),CHAR(34),"")</f>
        <v>01-09</v>
      </c>
      <c r="R339" s="0" t="str">
        <f aca="false">IF($D339&lt;&gt;"","["&amp;$E339&amp;"]"&amp;"|"&amp;$Q339&amp;"|"&amp;$K339&amp;"|"&amp;$G339&amp;"|"&amp;IF($G339="TX_CURR_SUBNAT.R","CY2022Q4",$M339),"")</f>
        <v>[ZCjuwgaMB9u]|01-09|Female|TX_CURR_SUBNAT.R|CY2022Q4</v>
      </c>
    </row>
    <row r="340" customFormat="false" ht="15" hidden="false" customHeight="false" outlineLevel="0" collapsed="false">
      <c r="D340" s="9" t="s">
        <v>126</v>
      </c>
      <c r="E340" s="9" t="s">
        <v>127</v>
      </c>
      <c r="F340" s="9" t="s">
        <v>128</v>
      </c>
      <c r="G340" s="9" t="s">
        <v>26</v>
      </c>
      <c r="H340" s="9" t="s">
        <v>27</v>
      </c>
      <c r="I340" s="0" t="s">
        <v>36</v>
      </c>
      <c r="J340" s="9" t="s">
        <v>37</v>
      </c>
      <c r="K340" s="9" t="s">
        <v>30</v>
      </c>
      <c r="L340" s="9" t="s">
        <v>31</v>
      </c>
      <c r="M340" s="0" t="s">
        <v>32</v>
      </c>
      <c r="N340" s="0" t="n">
        <v>1192</v>
      </c>
      <c r="O340" s="10" t="n">
        <v>0.757115421351045</v>
      </c>
      <c r="P340" s="10" t="n">
        <v>0.252706390339881</v>
      </c>
      <c r="Q340" s="0" t="str">
        <f aca="false">SUBSTITUTE(SUBSTITUTE($I340,CHAR(61),""),CHAR(34),"")</f>
        <v>10-14</v>
      </c>
      <c r="R340" s="0" t="str">
        <f aca="false">IF($D340&lt;&gt;"","["&amp;$E340&amp;"]"&amp;"|"&amp;$Q340&amp;"|"&amp;$K340&amp;"|"&amp;$G340&amp;"|"&amp;IF($G340="TX_CURR_SUBNAT.R","CY2022Q4",$M340),"")</f>
        <v>[ZCjuwgaMB9u]|10-14|Female|TX_CURR_SUBNAT.R|CY2022Q4</v>
      </c>
    </row>
    <row r="341" customFormat="false" ht="15" hidden="false" customHeight="false" outlineLevel="0" collapsed="false">
      <c r="D341" s="9" t="s">
        <v>126</v>
      </c>
      <c r="E341" s="9" t="s">
        <v>127</v>
      </c>
      <c r="F341" s="9" t="s">
        <v>128</v>
      </c>
      <c r="G341" s="9" t="s">
        <v>26</v>
      </c>
      <c r="H341" s="9" t="s">
        <v>27</v>
      </c>
      <c r="I341" s="0" t="s">
        <v>38</v>
      </c>
      <c r="J341" s="9" t="s">
        <v>39</v>
      </c>
      <c r="K341" s="9" t="s">
        <v>30</v>
      </c>
      <c r="L341" s="9" t="s">
        <v>31</v>
      </c>
      <c r="M341" s="0" t="s">
        <v>32</v>
      </c>
      <c r="N341" s="0" t="n">
        <v>1424</v>
      </c>
      <c r="O341" s="10" t="n">
        <v>0.131638823309913</v>
      </c>
      <c r="P341" s="10" t="n">
        <v>0.252706390339881</v>
      </c>
      <c r="Q341" s="0" t="str">
        <f aca="false">SUBSTITUTE(SUBSTITUTE($I341,CHAR(61),""),CHAR(34),"")</f>
        <v>15-24</v>
      </c>
      <c r="R341" s="0" t="str">
        <f aca="false">IF($D341&lt;&gt;"","["&amp;$E341&amp;"]"&amp;"|"&amp;$Q341&amp;"|"&amp;$K341&amp;"|"&amp;$G341&amp;"|"&amp;IF($G341="TX_CURR_SUBNAT.R","CY2022Q4",$M341),"")</f>
        <v>[ZCjuwgaMB9u]|15-24|Female|TX_CURR_SUBNAT.R|CY2022Q4</v>
      </c>
    </row>
    <row r="342" customFormat="false" ht="15" hidden="false" customHeight="false" outlineLevel="0" collapsed="false">
      <c r="D342" s="9" t="s">
        <v>126</v>
      </c>
      <c r="E342" s="9" t="s">
        <v>127</v>
      </c>
      <c r="F342" s="9" t="s">
        <v>128</v>
      </c>
      <c r="G342" s="9" t="s">
        <v>26</v>
      </c>
      <c r="H342" s="9" t="s">
        <v>27</v>
      </c>
      <c r="I342" s="0" t="s">
        <v>41</v>
      </c>
      <c r="J342" s="9" t="s">
        <v>42</v>
      </c>
      <c r="K342" s="9" t="s">
        <v>30</v>
      </c>
      <c r="L342" s="9" t="s">
        <v>31</v>
      </c>
      <c r="M342" s="0" t="s">
        <v>32</v>
      </c>
      <c r="N342" s="0" t="n">
        <v>794</v>
      </c>
      <c r="O342" s="10" t="n">
        <v>0.242301965365186</v>
      </c>
      <c r="P342" s="10" t="n">
        <v>0.252706390339881</v>
      </c>
      <c r="Q342" s="0" t="str">
        <f aca="false">SUBSTITUTE(SUBSTITUTE($I342,CHAR(61),""),CHAR(34),"")</f>
        <v>25-34</v>
      </c>
      <c r="R342" s="0" t="str">
        <f aca="false">IF($D342&lt;&gt;"","["&amp;$E342&amp;"]"&amp;"|"&amp;$Q342&amp;"|"&amp;$K342&amp;"|"&amp;$G342&amp;"|"&amp;IF($G342="TX_CURR_SUBNAT.R","CY2022Q4",$M342),"")</f>
        <v>[ZCjuwgaMB9u]|25-34|Female|TX_CURR_SUBNAT.R|CY2022Q4</v>
      </c>
    </row>
    <row r="343" customFormat="false" ht="15" hidden="false" customHeight="false" outlineLevel="0" collapsed="false">
      <c r="D343" s="9" t="s">
        <v>126</v>
      </c>
      <c r="E343" s="9" t="s">
        <v>127</v>
      </c>
      <c r="F343" s="9" t="s">
        <v>128</v>
      </c>
      <c r="G343" s="9" t="s">
        <v>26</v>
      </c>
      <c r="H343" s="9" t="s">
        <v>27</v>
      </c>
      <c r="I343" s="0" t="s">
        <v>43</v>
      </c>
      <c r="J343" s="9" t="s">
        <v>44</v>
      </c>
      <c r="K343" s="9" t="s">
        <v>30</v>
      </c>
      <c r="L343" s="9" t="s">
        <v>31</v>
      </c>
      <c r="M343" s="0" t="s">
        <v>32</v>
      </c>
      <c r="N343" s="0" t="n">
        <v>763</v>
      </c>
      <c r="O343" s="10" t="n">
        <v>0.485711466288194</v>
      </c>
      <c r="P343" s="10" t="n">
        <v>0.252706390339881</v>
      </c>
      <c r="Q343" s="0" t="str">
        <f aca="false">SUBSTITUTE(SUBSTITUTE($I343,CHAR(61),""),CHAR(34),"")</f>
        <v>35-49</v>
      </c>
      <c r="R343" s="0" t="str">
        <f aca="false">IF($D343&lt;&gt;"","["&amp;$E343&amp;"]"&amp;"|"&amp;$Q343&amp;"|"&amp;$K343&amp;"|"&amp;$G343&amp;"|"&amp;IF($G343="TX_CURR_SUBNAT.R","CY2022Q4",$M343),"")</f>
        <v>[ZCjuwgaMB9u]|35-49|Female|TX_CURR_SUBNAT.R|CY2022Q4</v>
      </c>
    </row>
    <row r="344" customFormat="false" ht="15" hidden="false" customHeight="false" outlineLevel="0" collapsed="false">
      <c r="D344" s="9" t="s">
        <v>126</v>
      </c>
      <c r="E344" s="9" t="s">
        <v>127</v>
      </c>
      <c r="F344" s="9" t="s">
        <v>128</v>
      </c>
      <c r="G344" s="9" t="s">
        <v>26</v>
      </c>
      <c r="H344" s="9" t="s">
        <v>27</v>
      </c>
      <c r="I344" s="0" t="s">
        <v>45</v>
      </c>
      <c r="J344" s="9" t="s">
        <v>46</v>
      </c>
      <c r="K344" s="9" t="s">
        <v>30</v>
      </c>
      <c r="L344" s="9" t="s">
        <v>31</v>
      </c>
      <c r="M344" s="0" t="s">
        <v>32</v>
      </c>
      <c r="N344" s="0" t="n">
        <v>1097</v>
      </c>
      <c r="O344" s="10" t="n">
        <v>0.914917812915519</v>
      </c>
      <c r="P344" s="10" t="n">
        <v>0.252706390339881</v>
      </c>
      <c r="Q344" s="0" t="str">
        <f aca="false">SUBSTITUTE(SUBSTITUTE($I344,CHAR(61),""),CHAR(34),"")</f>
        <v>50+</v>
      </c>
      <c r="R344" s="0" t="str">
        <f aca="false">IF($D344&lt;&gt;"","["&amp;$E344&amp;"]"&amp;"|"&amp;$Q344&amp;"|"&amp;$K344&amp;"|"&amp;$G344&amp;"|"&amp;IF($G344="TX_CURR_SUBNAT.R","CY2022Q4",$M344),"")</f>
        <v>[ZCjuwgaMB9u]|50+|Female|TX_CURR_SUBNAT.R|CY2022Q4</v>
      </c>
    </row>
    <row r="345" customFormat="false" ht="15" hidden="false" customHeight="false" outlineLevel="0" collapsed="false">
      <c r="D345" s="9" t="s">
        <v>126</v>
      </c>
      <c r="E345" s="9" t="s">
        <v>127</v>
      </c>
      <c r="F345" s="9" t="s">
        <v>128</v>
      </c>
      <c r="G345" s="9" t="s">
        <v>26</v>
      </c>
      <c r="H345" s="9" t="s">
        <v>27</v>
      </c>
      <c r="I345" s="0" t="s">
        <v>28</v>
      </c>
      <c r="J345" s="9" t="s">
        <v>29</v>
      </c>
      <c r="K345" s="9" t="s">
        <v>48</v>
      </c>
      <c r="L345" s="9" t="s">
        <v>49</v>
      </c>
      <c r="M345" s="0" t="s">
        <v>32</v>
      </c>
      <c r="N345" s="0" t="n">
        <v>1391</v>
      </c>
      <c r="O345" s="10" t="n">
        <v>0.241008459590375</v>
      </c>
      <c r="P345" s="10" t="n">
        <v>0.252706390339881</v>
      </c>
      <c r="Q345" s="0" t="str">
        <f aca="false">SUBSTITUTE(SUBSTITUTE($I345,CHAR(61),""),CHAR(34),"")</f>
        <v>&lt;01</v>
      </c>
      <c r="R345" s="0" t="str">
        <f aca="false">IF($D345&lt;&gt;"","["&amp;$E345&amp;"]"&amp;"|"&amp;$Q345&amp;"|"&amp;$K345&amp;"|"&amp;$G345&amp;"|"&amp;IF($G345="TX_CURR_SUBNAT.R","CY2022Q4",$M345),"")</f>
        <v>[ZCjuwgaMB9u]|&lt;01|Male|TX_CURR_SUBNAT.R|CY2022Q4</v>
      </c>
    </row>
    <row r="346" customFormat="false" ht="15" hidden="false" customHeight="false" outlineLevel="0" collapsed="false">
      <c r="D346" s="9" t="s">
        <v>126</v>
      </c>
      <c r="E346" s="9" t="s">
        <v>127</v>
      </c>
      <c r="F346" s="9" t="s">
        <v>128</v>
      </c>
      <c r="G346" s="9" t="s">
        <v>26</v>
      </c>
      <c r="H346" s="9" t="s">
        <v>27</v>
      </c>
      <c r="I346" s="0" t="s">
        <v>33</v>
      </c>
      <c r="J346" s="9" t="s">
        <v>34</v>
      </c>
      <c r="K346" s="9" t="s">
        <v>48</v>
      </c>
      <c r="L346" s="9" t="s">
        <v>49</v>
      </c>
      <c r="M346" s="0" t="s">
        <v>32</v>
      </c>
      <c r="N346" s="0" t="n">
        <v>1816</v>
      </c>
      <c r="O346" s="10" t="n">
        <v>0.711901386734098</v>
      </c>
      <c r="P346" s="10" t="n">
        <v>0.252706390339881</v>
      </c>
      <c r="Q346" s="0" t="str">
        <f aca="false">SUBSTITUTE(SUBSTITUTE($I346,CHAR(61),""),CHAR(34),"")</f>
        <v>01-09</v>
      </c>
      <c r="R346" s="0" t="str">
        <f aca="false">IF($D346&lt;&gt;"","["&amp;$E346&amp;"]"&amp;"|"&amp;$Q346&amp;"|"&amp;$K346&amp;"|"&amp;$G346&amp;"|"&amp;IF($G346="TX_CURR_SUBNAT.R","CY2022Q4",$M346),"")</f>
        <v>[ZCjuwgaMB9u]|01-09|Male|TX_CURR_SUBNAT.R|CY2022Q4</v>
      </c>
    </row>
    <row r="347" customFormat="false" ht="15" hidden="false" customHeight="false" outlineLevel="0" collapsed="false">
      <c r="D347" s="9" t="s">
        <v>126</v>
      </c>
      <c r="E347" s="9" t="s">
        <v>127</v>
      </c>
      <c r="F347" s="9" t="s">
        <v>128</v>
      </c>
      <c r="G347" s="9" t="s">
        <v>26</v>
      </c>
      <c r="H347" s="9" t="s">
        <v>27</v>
      </c>
      <c r="I347" s="0" t="s">
        <v>36</v>
      </c>
      <c r="J347" s="9" t="s">
        <v>37</v>
      </c>
      <c r="K347" s="9" t="s">
        <v>48</v>
      </c>
      <c r="L347" s="9" t="s">
        <v>49</v>
      </c>
      <c r="M347" s="0" t="s">
        <v>32</v>
      </c>
      <c r="N347" s="0" t="n">
        <v>1816</v>
      </c>
      <c r="O347" s="10" t="n">
        <v>0.969838333781809</v>
      </c>
      <c r="P347" s="10" t="n">
        <v>0.252706390339881</v>
      </c>
      <c r="Q347" s="0" t="str">
        <f aca="false">SUBSTITUTE(SUBSTITUTE($I347,CHAR(61),""),CHAR(34),"")</f>
        <v>10-14</v>
      </c>
      <c r="R347" s="0" t="str">
        <f aca="false">IF($D347&lt;&gt;"","["&amp;$E347&amp;"]"&amp;"|"&amp;$Q347&amp;"|"&amp;$K347&amp;"|"&amp;$G347&amp;"|"&amp;IF($G347="TX_CURR_SUBNAT.R","CY2022Q4",$M347),"")</f>
        <v>[ZCjuwgaMB9u]|10-14|Male|TX_CURR_SUBNAT.R|CY2022Q4</v>
      </c>
    </row>
    <row r="348" customFormat="false" ht="15" hidden="false" customHeight="false" outlineLevel="0" collapsed="false">
      <c r="D348" s="9" t="s">
        <v>126</v>
      </c>
      <c r="E348" s="9" t="s">
        <v>127</v>
      </c>
      <c r="F348" s="9" t="s">
        <v>128</v>
      </c>
      <c r="G348" s="9" t="s">
        <v>26</v>
      </c>
      <c r="H348" s="9" t="s">
        <v>27</v>
      </c>
      <c r="I348" s="0" t="s">
        <v>38</v>
      </c>
      <c r="J348" s="9" t="s">
        <v>39</v>
      </c>
      <c r="K348" s="9" t="s">
        <v>48</v>
      </c>
      <c r="L348" s="9" t="s">
        <v>49</v>
      </c>
      <c r="M348" s="0" t="s">
        <v>32</v>
      </c>
      <c r="N348" s="0" t="n">
        <v>1973</v>
      </c>
      <c r="O348" s="10" t="n">
        <v>0.264615509193391</v>
      </c>
      <c r="P348" s="10" t="n">
        <v>0.252706390339881</v>
      </c>
      <c r="Q348" s="0" t="str">
        <f aca="false">SUBSTITUTE(SUBSTITUTE($I348,CHAR(61),""),CHAR(34),"")</f>
        <v>15-24</v>
      </c>
      <c r="R348" s="0" t="str">
        <f aca="false">IF($D348&lt;&gt;"","["&amp;$E348&amp;"]"&amp;"|"&amp;$Q348&amp;"|"&amp;$K348&amp;"|"&amp;$G348&amp;"|"&amp;IF($G348="TX_CURR_SUBNAT.R","CY2022Q4",$M348),"")</f>
        <v>[ZCjuwgaMB9u]|15-24|Male|TX_CURR_SUBNAT.R|CY2022Q4</v>
      </c>
    </row>
    <row r="349" customFormat="false" ht="15" hidden="false" customHeight="false" outlineLevel="0" collapsed="false">
      <c r="D349" s="9" t="s">
        <v>126</v>
      </c>
      <c r="E349" s="9" t="s">
        <v>127</v>
      </c>
      <c r="F349" s="9" t="s">
        <v>128</v>
      </c>
      <c r="G349" s="9" t="s">
        <v>26</v>
      </c>
      <c r="H349" s="9" t="s">
        <v>27</v>
      </c>
      <c r="I349" s="0" t="s">
        <v>41</v>
      </c>
      <c r="J349" s="9" t="s">
        <v>42</v>
      </c>
      <c r="K349" s="9" t="s">
        <v>48</v>
      </c>
      <c r="L349" s="9" t="s">
        <v>49</v>
      </c>
      <c r="M349" s="0" t="s">
        <v>32</v>
      </c>
      <c r="N349" s="0" t="n">
        <v>916</v>
      </c>
      <c r="O349" s="10" t="n">
        <v>0.215865201083943</v>
      </c>
      <c r="P349" s="10" t="n">
        <v>0.252706390339881</v>
      </c>
      <c r="Q349" s="0" t="str">
        <f aca="false">SUBSTITUTE(SUBSTITUTE($I349,CHAR(61),""),CHAR(34),"")</f>
        <v>25-34</v>
      </c>
      <c r="R349" s="0" t="str">
        <f aca="false">IF($D349&lt;&gt;"","["&amp;$E349&amp;"]"&amp;"|"&amp;$Q349&amp;"|"&amp;$K349&amp;"|"&amp;$G349&amp;"|"&amp;IF($G349="TX_CURR_SUBNAT.R","CY2022Q4",$M349),"")</f>
        <v>[ZCjuwgaMB9u]|25-34|Male|TX_CURR_SUBNAT.R|CY2022Q4</v>
      </c>
    </row>
    <row r="350" customFormat="false" ht="15" hidden="false" customHeight="false" outlineLevel="0" collapsed="false">
      <c r="D350" s="9" t="s">
        <v>126</v>
      </c>
      <c r="E350" s="9" t="s">
        <v>127</v>
      </c>
      <c r="F350" s="9" t="s">
        <v>128</v>
      </c>
      <c r="G350" s="9" t="s">
        <v>26</v>
      </c>
      <c r="H350" s="9" t="s">
        <v>27</v>
      </c>
      <c r="I350" s="0" t="s">
        <v>43</v>
      </c>
      <c r="J350" s="9" t="s">
        <v>44</v>
      </c>
      <c r="K350" s="9" t="s">
        <v>48</v>
      </c>
      <c r="L350" s="9" t="s">
        <v>49</v>
      </c>
      <c r="M350" s="0" t="s">
        <v>32</v>
      </c>
      <c r="N350" s="0" t="n">
        <v>1162</v>
      </c>
      <c r="O350" s="10" t="n">
        <v>0.541402950882912</v>
      </c>
      <c r="P350" s="10" t="n">
        <v>0.252706390339881</v>
      </c>
      <c r="Q350" s="0" t="str">
        <f aca="false">SUBSTITUTE(SUBSTITUTE($I350,CHAR(61),""),CHAR(34),"")</f>
        <v>35-49</v>
      </c>
      <c r="R350" s="0" t="str">
        <f aca="false">IF($D350&lt;&gt;"","["&amp;$E350&amp;"]"&amp;"|"&amp;$Q350&amp;"|"&amp;$K350&amp;"|"&amp;$G350&amp;"|"&amp;IF($G350="TX_CURR_SUBNAT.R","CY2022Q4",$M350),"")</f>
        <v>[ZCjuwgaMB9u]|35-49|Male|TX_CURR_SUBNAT.R|CY2022Q4</v>
      </c>
    </row>
    <row r="351" customFormat="false" ht="15" hidden="false" customHeight="false" outlineLevel="0" collapsed="false">
      <c r="D351" s="9" t="s">
        <v>126</v>
      </c>
      <c r="E351" s="9" t="s">
        <v>127</v>
      </c>
      <c r="F351" s="9" t="s">
        <v>128</v>
      </c>
      <c r="G351" s="9" t="s">
        <v>26</v>
      </c>
      <c r="H351" s="9" t="s">
        <v>27</v>
      </c>
      <c r="I351" s="0" t="s">
        <v>45</v>
      </c>
      <c r="J351" s="9" t="s">
        <v>46</v>
      </c>
      <c r="K351" s="9" t="s">
        <v>48</v>
      </c>
      <c r="L351" s="9" t="s">
        <v>49</v>
      </c>
      <c r="M351" s="0" t="s">
        <v>32</v>
      </c>
      <c r="N351" s="0" t="n">
        <v>1514</v>
      </c>
      <c r="O351" s="10" t="n">
        <v>0.881457896437496</v>
      </c>
      <c r="P351" s="10" t="n">
        <v>0.252706390339881</v>
      </c>
      <c r="Q351" s="0" t="str">
        <f aca="false">SUBSTITUTE(SUBSTITUTE($I351,CHAR(61),""),CHAR(34),"")</f>
        <v>50+</v>
      </c>
      <c r="R351" s="0" t="str">
        <f aca="false">IF($D351&lt;&gt;"","["&amp;$E351&amp;"]"&amp;"|"&amp;$Q351&amp;"|"&amp;$K351&amp;"|"&amp;$G351&amp;"|"&amp;IF($G351="TX_CURR_SUBNAT.R","CY2022Q4",$M351),"")</f>
        <v>[ZCjuwgaMB9u]|50+|Male|TX_CURR_SUBNAT.R|CY2022Q4</v>
      </c>
    </row>
    <row r="352" customFormat="false" ht="15" hidden="false" customHeight="false" outlineLevel="0" collapsed="false">
      <c r="D352" s="9" t="s">
        <v>129</v>
      </c>
      <c r="E352" s="9" t="s">
        <v>130</v>
      </c>
      <c r="F352" s="9" t="s">
        <v>131</v>
      </c>
      <c r="G352" s="9" t="s">
        <v>26</v>
      </c>
      <c r="H352" s="9" t="s">
        <v>27</v>
      </c>
      <c r="I352" s="0" t="s">
        <v>28</v>
      </c>
      <c r="J352" s="9" t="s">
        <v>29</v>
      </c>
      <c r="K352" s="9" t="s">
        <v>30</v>
      </c>
      <c r="L352" s="9" t="s">
        <v>31</v>
      </c>
      <c r="M352" s="0" t="s">
        <v>32</v>
      </c>
      <c r="N352" s="0" t="n">
        <v>885</v>
      </c>
      <c r="O352" s="10" t="n">
        <v>0.631292359204963</v>
      </c>
      <c r="P352" s="10" t="n">
        <v>0.556908084778115</v>
      </c>
      <c r="Q352" s="0" t="str">
        <f aca="false">SUBSTITUTE(SUBSTITUTE($I352,CHAR(61),""),CHAR(34),"")</f>
        <v>&lt;01</v>
      </c>
      <c r="R352" s="0" t="str">
        <f aca="false">IF($D352&lt;&gt;"","["&amp;$E352&amp;"]"&amp;"|"&amp;$Q352&amp;"|"&amp;$K352&amp;"|"&amp;$G352&amp;"|"&amp;IF($G352="TX_CURR_SUBNAT.R","CY2022Q4",$M352),"")</f>
        <v>[YCKiBAp8QAg]|&lt;01|Female|TX_CURR_SUBNAT.R|CY2022Q4</v>
      </c>
    </row>
    <row r="353" customFormat="false" ht="15" hidden="false" customHeight="false" outlineLevel="0" collapsed="false">
      <c r="D353" s="9" t="s">
        <v>129</v>
      </c>
      <c r="E353" s="9" t="s">
        <v>130</v>
      </c>
      <c r="F353" s="9" t="s">
        <v>131</v>
      </c>
      <c r="G353" s="9" t="s">
        <v>26</v>
      </c>
      <c r="H353" s="9" t="s">
        <v>27</v>
      </c>
      <c r="I353" s="0" t="s">
        <v>33</v>
      </c>
      <c r="J353" s="9" t="s">
        <v>34</v>
      </c>
      <c r="K353" s="9" t="s">
        <v>30</v>
      </c>
      <c r="L353" s="9" t="s">
        <v>31</v>
      </c>
      <c r="M353" s="0" t="s">
        <v>32</v>
      </c>
      <c r="N353" s="0" t="n">
        <v>1857</v>
      </c>
      <c r="O353" s="10" t="n">
        <v>0.923276191810146</v>
      </c>
      <c r="P353" s="10" t="n">
        <v>0.556908084778115</v>
      </c>
      <c r="Q353" s="0" t="str">
        <f aca="false">SUBSTITUTE(SUBSTITUTE($I353,CHAR(61),""),CHAR(34),"")</f>
        <v>01-09</v>
      </c>
      <c r="R353" s="0" t="str">
        <f aca="false">IF($D353&lt;&gt;"","["&amp;$E353&amp;"]"&amp;"|"&amp;$Q353&amp;"|"&amp;$K353&amp;"|"&amp;$G353&amp;"|"&amp;IF($G353="TX_CURR_SUBNAT.R","CY2022Q4",$M353),"")</f>
        <v>[YCKiBAp8QAg]|01-09|Female|TX_CURR_SUBNAT.R|CY2022Q4</v>
      </c>
    </row>
    <row r="354" customFormat="false" ht="15" hidden="false" customHeight="false" outlineLevel="0" collapsed="false">
      <c r="D354" s="9" t="s">
        <v>129</v>
      </c>
      <c r="E354" s="9" t="s">
        <v>130</v>
      </c>
      <c r="F354" s="9" t="s">
        <v>131</v>
      </c>
      <c r="G354" s="9" t="s">
        <v>26</v>
      </c>
      <c r="H354" s="9" t="s">
        <v>27</v>
      </c>
      <c r="I354" s="0" t="s">
        <v>36</v>
      </c>
      <c r="J354" s="9" t="s">
        <v>37</v>
      </c>
      <c r="K354" s="9" t="s">
        <v>30</v>
      </c>
      <c r="L354" s="9" t="s">
        <v>31</v>
      </c>
      <c r="M354" s="0" t="s">
        <v>32</v>
      </c>
      <c r="N354" s="0" t="n">
        <v>1270</v>
      </c>
      <c r="O354" s="10" t="n">
        <v>0.668109353398904</v>
      </c>
      <c r="P354" s="10" t="n">
        <v>0.556908084778115</v>
      </c>
      <c r="Q354" s="0" t="str">
        <f aca="false">SUBSTITUTE(SUBSTITUTE($I354,CHAR(61),""),CHAR(34),"")</f>
        <v>10-14</v>
      </c>
      <c r="R354" s="0" t="str">
        <f aca="false">IF($D354&lt;&gt;"","["&amp;$E354&amp;"]"&amp;"|"&amp;$Q354&amp;"|"&amp;$K354&amp;"|"&amp;$G354&amp;"|"&amp;IF($G354="TX_CURR_SUBNAT.R","CY2022Q4",$M354),"")</f>
        <v>[YCKiBAp8QAg]|10-14|Female|TX_CURR_SUBNAT.R|CY2022Q4</v>
      </c>
    </row>
    <row r="355" customFormat="false" ht="15" hidden="false" customHeight="false" outlineLevel="0" collapsed="false">
      <c r="D355" s="9" t="s">
        <v>129</v>
      </c>
      <c r="E355" s="9" t="s">
        <v>130</v>
      </c>
      <c r="F355" s="9" t="s">
        <v>131</v>
      </c>
      <c r="G355" s="9" t="s">
        <v>26</v>
      </c>
      <c r="H355" s="9" t="s">
        <v>27</v>
      </c>
      <c r="I355" s="0" t="s">
        <v>38</v>
      </c>
      <c r="J355" s="9" t="s">
        <v>39</v>
      </c>
      <c r="K355" s="9" t="s">
        <v>30</v>
      </c>
      <c r="L355" s="9" t="s">
        <v>31</v>
      </c>
      <c r="M355" s="0" t="s">
        <v>32</v>
      </c>
      <c r="N355" s="0" t="n">
        <v>944</v>
      </c>
      <c r="O355" s="10" t="n">
        <v>0.731108759762719</v>
      </c>
      <c r="P355" s="10" t="n">
        <v>0.556908084778115</v>
      </c>
      <c r="Q355" s="0" t="str">
        <f aca="false">SUBSTITUTE(SUBSTITUTE($I355,CHAR(61),""),CHAR(34),"")</f>
        <v>15-24</v>
      </c>
      <c r="R355" s="0" t="str">
        <f aca="false">IF($D355&lt;&gt;"","["&amp;$E355&amp;"]"&amp;"|"&amp;$Q355&amp;"|"&amp;$K355&amp;"|"&amp;$G355&amp;"|"&amp;IF($G355="TX_CURR_SUBNAT.R","CY2022Q4",$M355),"")</f>
        <v>[YCKiBAp8QAg]|15-24|Female|TX_CURR_SUBNAT.R|CY2022Q4</v>
      </c>
    </row>
    <row r="356" customFormat="false" ht="15" hidden="false" customHeight="false" outlineLevel="0" collapsed="false">
      <c r="D356" s="9" t="s">
        <v>129</v>
      </c>
      <c r="E356" s="9" t="s">
        <v>130</v>
      </c>
      <c r="F356" s="9" t="s">
        <v>131</v>
      </c>
      <c r="G356" s="9" t="s">
        <v>26</v>
      </c>
      <c r="H356" s="9" t="s">
        <v>27</v>
      </c>
      <c r="I356" s="0" t="s">
        <v>41</v>
      </c>
      <c r="J356" s="9" t="s">
        <v>42</v>
      </c>
      <c r="K356" s="9" t="s">
        <v>30</v>
      </c>
      <c r="L356" s="9" t="s">
        <v>31</v>
      </c>
      <c r="M356" s="0" t="s">
        <v>32</v>
      </c>
      <c r="N356" s="0" t="n">
        <v>1802</v>
      </c>
      <c r="O356" s="10" t="n">
        <v>0.152546268189326</v>
      </c>
      <c r="P356" s="10" t="n">
        <v>0.556908084778115</v>
      </c>
      <c r="Q356" s="0" t="str">
        <f aca="false">SUBSTITUTE(SUBSTITUTE($I356,CHAR(61),""),CHAR(34),"")</f>
        <v>25-34</v>
      </c>
      <c r="R356" s="0" t="str">
        <f aca="false">IF($D356&lt;&gt;"","["&amp;$E356&amp;"]"&amp;"|"&amp;$Q356&amp;"|"&amp;$K356&amp;"|"&amp;$G356&amp;"|"&amp;IF($G356="TX_CURR_SUBNAT.R","CY2022Q4",$M356),"")</f>
        <v>[YCKiBAp8QAg]|25-34|Female|TX_CURR_SUBNAT.R|CY2022Q4</v>
      </c>
    </row>
    <row r="357" customFormat="false" ht="15" hidden="false" customHeight="false" outlineLevel="0" collapsed="false">
      <c r="D357" s="9" t="s">
        <v>129</v>
      </c>
      <c r="E357" s="9" t="s">
        <v>130</v>
      </c>
      <c r="F357" s="9" t="s">
        <v>131</v>
      </c>
      <c r="G357" s="9" t="s">
        <v>26</v>
      </c>
      <c r="H357" s="9" t="s">
        <v>27</v>
      </c>
      <c r="I357" s="0" t="s">
        <v>43</v>
      </c>
      <c r="J357" s="9" t="s">
        <v>44</v>
      </c>
      <c r="K357" s="9" t="s">
        <v>30</v>
      </c>
      <c r="L357" s="9" t="s">
        <v>31</v>
      </c>
      <c r="M357" s="0" t="s">
        <v>32</v>
      </c>
      <c r="N357" s="0" t="n">
        <v>717</v>
      </c>
      <c r="O357" s="10" t="n">
        <v>0.113677510293201</v>
      </c>
      <c r="P357" s="10" t="n">
        <v>0.556908084778115</v>
      </c>
      <c r="Q357" s="0" t="str">
        <f aca="false">SUBSTITUTE(SUBSTITUTE($I357,CHAR(61),""),CHAR(34),"")</f>
        <v>35-49</v>
      </c>
      <c r="R357" s="0" t="str">
        <f aca="false">IF($D357&lt;&gt;"","["&amp;$E357&amp;"]"&amp;"|"&amp;$Q357&amp;"|"&amp;$K357&amp;"|"&amp;$G357&amp;"|"&amp;IF($G357="TX_CURR_SUBNAT.R","CY2022Q4",$M357),"")</f>
        <v>[YCKiBAp8QAg]|35-49|Female|TX_CURR_SUBNAT.R|CY2022Q4</v>
      </c>
    </row>
    <row r="358" customFormat="false" ht="15" hidden="false" customHeight="false" outlineLevel="0" collapsed="false">
      <c r="D358" s="9" t="s">
        <v>129</v>
      </c>
      <c r="E358" s="9" t="s">
        <v>130</v>
      </c>
      <c r="F358" s="9" t="s">
        <v>131</v>
      </c>
      <c r="G358" s="9" t="s">
        <v>26</v>
      </c>
      <c r="H358" s="9" t="s">
        <v>27</v>
      </c>
      <c r="I358" s="0" t="s">
        <v>45</v>
      </c>
      <c r="J358" s="9" t="s">
        <v>46</v>
      </c>
      <c r="K358" s="9" t="s">
        <v>30</v>
      </c>
      <c r="L358" s="9" t="s">
        <v>31</v>
      </c>
      <c r="M358" s="0" t="s">
        <v>32</v>
      </c>
      <c r="N358" s="0" t="n">
        <v>1567</v>
      </c>
      <c r="O358" s="10" t="n">
        <v>0.411591281415895</v>
      </c>
      <c r="P358" s="10" t="n">
        <v>0.556908084778115</v>
      </c>
      <c r="Q358" s="0" t="str">
        <f aca="false">SUBSTITUTE(SUBSTITUTE($I358,CHAR(61),""),CHAR(34),"")</f>
        <v>50+</v>
      </c>
      <c r="R358" s="0" t="str">
        <f aca="false">IF($D358&lt;&gt;"","["&amp;$E358&amp;"]"&amp;"|"&amp;$Q358&amp;"|"&amp;$K358&amp;"|"&amp;$G358&amp;"|"&amp;IF($G358="TX_CURR_SUBNAT.R","CY2022Q4",$M358),"")</f>
        <v>[YCKiBAp8QAg]|50+|Female|TX_CURR_SUBNAT.R|CY2022Q4</v>
      </c>
    </row>
    <row r="359" customFormat="false" ht="15" hidden="false" customHeight="false" outlineLevel="0" collapsed="false">
      <c r="D359" s="9" t="s">
        <v>129</v>
      </c>
      <c r="E359" s="9" t="s">
        <v>130</v>
      </c>
      <c r="F359" s="9" t="s">
        <v>131</v>
      </c>
      <c r="G359" s="9" t="s">
        <v>26</v>
      </c>
      <c r="H359" s="9" t="s">
        <v>27</v>
      </c>
      <c r="I359" s="0" t="s">
        <v>28</v>
      </c>
      <c r="J359" s="9" t="s">
        <v>29</v>
      </c>
      <c r="K359" s="9" t="s">
        <v>48</v>
      </c>
      <c r="L359" s="9" t="s">
        <v>49</v>
      </c>
      <c r="M359" s="0" t="s">
        <v>32</v>
      </c>
      <c r="N359" s="0" t="n">
        <v>1715</v>
      </c>
      <c r="O359" s="10" t="n">
        <v>0.840325682191178</v>
      </c>
      <c r="P359" s="10" t="n">
        <v>0.556908084778115</v>
      </c>
      <c r="Q359" s="0" t="str">
        <f aca="false">SUBSTITUTE(SUBSTITUTE($I359,CHAR(61),""),CHAR(34),"")</f>
        <v>&lt;01</v>
      </c>
      <c r="R359" s="0" t="str">
        <f aca="false">IF($D359&lt;&gt;"","["&amp;$E359&amp;"]"&amp;"|"&amp;$Q359&amp;"|"&amp;$K359&amp;"|"&amp;$G359&amp;"|"&amp;IF($G359="TX_CURR_SUBNAT.R","CY2022Q4",$M359),"")</f>
        <v>[YCKiBAp8QAg]|&lt;01|Male|TX_CURR_SUBNAT.R|CY2022Q4</v>
      </c>
    </row>
    <row r="360" customFormat="false" ht="15" hidden="false" customHeight="false" outlineLevel="0" collapsed="false">
      <c r="D360" s="9" t="s">
        <v>129</v>
      </c>
      <c r="E360" s="9" t="s">
        <v>130</v>
      </c>
      <c r="F360" s="9" t="s">
        <v>131</v>
      </c>
      <c r="G360" s="9" t="s">
        <v>26</v>
      </c>
      <c r="H360" s="9" t="s">
        <v>27</v>
      </c>
      <c r="I360" s="0" t="s">
        <v>33</v>
      </c>
      <c r="J360" s="9" t="s">
        <v>34</v>
      </c>
      <c r="K360" s="9" t="s">
        <v>48</v>
      </c>
      <c r="L360" s="9" t="s">
        <v>49</v>
      </c>
      <c r="M360" s="0" t="s">
        <v>32</v>
      </c>
      <c r="N360" s="0" t="n">
        <v>1935</v>
      </c>
      <c r="O360" s="10" t="n">
        <v>0.990407492266968</v>
      </c>
      <c r="P360" s="10" t="n">
        <v>0.556908084778115</v>
      </c>
      <c r="Q360" s="0" t="str">
        <f aca="false">SUBSTITUTE(SUBSTITUTE($I360,CHAR(61),""),CHAR(34),"")</f>
        <v>01-09</v>
      </c>
      <c r="R360" s="0" t="str">
        <f aca="false">IF($D360&lt;&gt;"","["&amp;$E360&amp;"]"&amp;"|"&amp;$Q360&amp;"|"&amp;$K360&amp;"|"&amp;$G360&amp;"|"&amp;IF($G360="TX_CURR_SUBNAT.R","CY2022Q4",$M360),"")</f>
        <v>[YCKiBAp8QAg]|01-09|Male|TX_CURR_SUBNAT.R|CY2022Q4</v>
      </c>
    </row>
    <row r="361" customFormat="false" ht="15" hidden="false" customHeight="false" outlineLevel="0" collapsed="false">
      <c r="D361" s="9" t="s">
        <v>129</v>
      </c>
      <c r="E361" s="9" t="s">
        <v>130</v>
      </c>
      <c r="F361" s="9" t="s">
        <v>131</v>
      </c>
      <c r="G361" s="9" t="s">
        <v>26</v>
      </c>
      <c r="H361" s="9" t="s">
        <v>27</v>
      </c>
      <c r="I361" s="0" t="s">
        <v>36</v>
      </c>
      <c r="J361" s="9" t="s">
        <v>37</v>
      </c>
      <c r="K361" s="9" t="s">
        <v>48</v>
      </c>
      <c r="L361" s="9" t="s">
        <v>49</v>
      </c>
      <c r="M361" s="0" t="s">
        <v>32</v>
      </c>
      <c r="N361" s="0" t="n">
        <v>1805</v>
      </c>
      <c r="O361" s="10" t="n">
        <v>0.441038029966876</v>
      </c>
      <c r="P361" s="10" t="n">
        <v>0.556908084778115</v>
      </c>
      <c r="Q361" s="0" t="str">
        <f aca="false">SUBSTITUTE(SUBSTITUTE($I361,CHAR(61),""),CHAR(34),"")</f>
        <v>10-14</v>
      </c>
      <c r="R361" s="0" t="str">
        <f aca="false">IF($D361&lt;&gt;"","["&amp;$E361&amp;"]"&amp;"|"&amp;$Q361&amp;"|"&amp;$K361&amp;"|"&amp;$G361&amp;"|"&amp;IF($G361="TX_CURR_SUBNAT.R","CY2022Q4",$M361),"")</f>
        <v>[YCKiBAp8QAg]|10-14|Male|TX_CURR_SUBNAT.R|CY2022Q4</v>
      </c>
    </row>
    <row r="362" customFormat="false" ht="15" hidden="false" customHeight="false" outlineLevel="0" collapsed="false">
      <c r="D362" s="9" t="s">
        <v>129</v>
      </c>
      <c r="E362" s="9" t="s">
        <v>130</v>
      </c>
      <c r="F362" s="9" t="s">
        <v>131</v>
      </c>
      <c r="G362" s="9" t="s">
        <v>26</v>
      </c>
      <c r="H362" s="9" t="s">
        <v>27</v>
      </c>
      <c r="I362" s="0" t="s">
        <v>38</v>
      </c>
      <c r="J362" s="9" t="s">
        <v>39</v>
      </c>
      <c r="K362" s="9" t="s">
        <v>48</v>
      </c>
      <c r="L362" s="9" t="s">
        <v>49</v>
      </c>
      <c r="M362" s="0" t="s">
        <v>32</v>
      </c>
      <c r="N362" s="0" t="n">
        <v>876</v>
      </c>
      <c r="O362" s="10" t="n">
        <v>0.129550950601697</v>
      </c>
      <c r="P362" s="10" t="n">
        <v>0.556908084778115</v>
      </c>
      <c r="Q362" s="0" t="str">
        <f aca="false">SUBSTITUTE(SUBSTITUTE($I362,CHAR(61),""),CHAR(34),"")</f>
        <v>15-24</v>
      </c>
      <c r="R362" s="0" t="str">
        <f aca="false">IF($D362&lt;&gt;"","["&amp;$E362&amp;"]"&amp;"|"&amp;$Q362&amp;"|"&amp;$K362&amp;"|"&amp;$G362&amp;"|"&amp;IF($G362="TX_CURR_SUBNAT.R","CY2022Q4",$M362),"")</f>
        <v>[YCKiBAp8QAg]|15-24|Male|TX_CURR_SUBNAT.R|CY2022Q4</v>
      </c>
    </row>
    <row r="363" customFormat="false" ht="15" hidden="false" customHeight="false" outlineLevel="0" collapsed="false">
      <c r="D363" s="9" t="s">
        <v>129</v>
      </c>
      <c r="E363" s="9" t="s">
        <v>130</v>
      </c>
      <c r="F363" s="9" t="s">
        <v>131</v>
      </c>
      <c r="G363" s="9" t="s">
        <v>26</v>
      </c>
      <c r="H363" s="9" t="s">
        <v>27</v>
      </c>
      <c r="I363" s="0" t="s">
        <v>41</v>
      </c>
      <c r="J363" s="9" t="s">
        <v>42</v>
      </c>
      <c r="K363" s="9" t="s">
        <v>48</v>
      </c>
      <c r="L363" s="9" t="s">
        <v>49</v>
      </c>
      <c r="M363" s="0" t="s">
        <v>32</v>
      </c>
      <c r="N363" s="0" t="n">
        <v>1590</v>
      </c>
      <c r="O363" s="10" t="n">
        <v>0.781965369358659</v>
      </c>
      <c r="P363" s="10" t="n">
        <v>0.556908084778115</v>
      </c>
      <c r="Q363" s="0" t="str">
        <f aca="false">SUBSTITUTE(SUBSTITUTE($I363,CHAR(61),""),CHAR(34),"")</f>
        <v>25-34</v>
      </c>
      <c r="R363" s="0" t="str">
        <f aca="false">IF($D363&lt;&gt;"","["&amp;$E363&amp;"]"&amp;"|"&amp;$Q363&amp;"|"&amp;$K363&amp;"|"&amp;$G363&amp;"|"&amp;IF($G363="TX_CURR_SUBNAT.R","CY2022Q4",$M363),"")</f>
        <v>[YCKiBAp8QAg]|25-34|Male|TX_CURR_SUBNAT.R|CY2022Q4</v>
      </c>
    </row>
    <row r="364" customFormat="false" ht="15" hidden="false" customHeight="false" outlineLevel="0" collapsed="false">
      <c r="D364" s="9" t="s">
        <v>129</v>
      </c>
      <c r="E364" s="9" t="s">
        <v>130</v>
      </c>
      <c r="F364" s="9" t="s">
        <v>131</v>
      </c>
      <c r="G364" s="9" t="s">
        <v>26</v>
      </c>
      <c r="H364" s="9" t="s">
        <v>27</v>
      </c>
      <c r="I364" s="0" t="s">
        <v>43</v>
      </c>
      <c r="J364" s="9" t="s">
        <v>44</v>
      </c>
      <c r="K364" s="9" t="s">
        <v>48</v>
      </c>
      <c r="L364" s="9" t="s">
        <v>49</v>
      </c>
      <c r="M364" s="0" t="s">
        <v>32</v>
      </c>
      <c r="N364" s="0" t="n">
        <v>968</v>
      </c>
      <c r="O364" s="10" t="n">
        <v>0.360006486764178</v>
      </c>
      <c r="P364" s="10" t="n">
        <v>0.556908084778115</v>
      </c>
      <c r="Q364" s="0" t="str">
        <f aca="false">SUBSTITUTE(SUBSTITUTE($I364,CHAR(61),""),CHAR(34),"")</f>
        <v>35-49</v>
      </c>
      <c r="R364" s="0" t="str">
        <f aca="false">IF($D364&lt;&gt;"","["&amp;$E364&amp;"]"&amp;"|"&amp;$Q364&amp;"|"&amp;$K364&amp;"|"&amp;$G364&amp;"|"&amp;IF($G364="TX_CURR_SUBNAT.R","CY2022Q4",$M364),"")</f>
        <v>[YCKiBAp8QAg]|35-49|Male|TX_CURR_SUBNAT.R|CY2022Q4</v>
      </c>
    </row>
    <row r="365" customFormat="false" ht="15" hidden="false" customHeight="false" outlineLevel="0" collapsed="false">
      <c r="D365" s="9" t="s">
        <v>129</v>
      </c>
      <c r="E365" s="9" t="s">
        <v>130</v>
      </c>
      <c r="F365" s="9" t="s">
        <v>131</v>
      </c>
      <c r="G365" s="9" t="s">
        <v>26</v>
      </c>
      <c r="H365" s="9" t="s">
        <v>27</v>
      </c>
      <c r="I365" s="0" t="s">
        <v>45</v>
      </c>
      <c r="J365" s="9" t="s">
        <v>46</v>
      </c>
      <c r="K365" s="9" t="s">
        <v>48</v>
      </c>
      <c r="L365" s="9" t="s">
        <v>49</v>
      </c>
      <c r="M365" s="0" t="s">
        <v>32</v>
      </c>
      <c r="N365" s="0" t="n">
        <v>1669</v>
      </c>
      <c r="O365" s="10" t="n">
        <v>0.95706362160854</v>
      </c>
      <c r="P365" s="10" t="n">
        <v>0.556908084778115</v>
      </c>
      <c r="Q365" s="0" t="str">
        <f aca="false">SUBSTITUTE(SUBSTITUTE($I365,CHAR(61),""),CHAR(34),"")</f>
        <v>50+</v>
      </c>
      <c r="R365" s="0" t="str">
        <f aca="false">IF($D365&lt;&gt;"","["&amp;$E365&amp;"]"&amp;"|"&amp;$Q365&amp;"|"&amp;$K365&amp;"|"&amp;$G365&amp;"|"&amp;IF($G365="TX_CURR_SUBNAT.R","CY2022Q4",$M365),"")</f>
        <v>[YCKiBAp8QAg]|50+|Male|TX_CURR_SUBNAT.R|CY2022Q4</v>
      </c>
    </row>
    <row r="366" customFormat="false" ht="15" hidden="false" customHeight="false" outlineLevel="0" collapsed="false">
      <c r="D366" s="9" t="s">
        <v>132</v>
      </c>
      <c r="E366" s="9" t="s">
        <v>133</v>
      </c>
      <c r="F366" s="9" t="s">
        <v>134</v>
      </c>
      <c r="G366" s="9" t="s">
        <v>26</v>
      </c>
      <c r="H366" s="9" t="s">
        <v>27</v>
      </c>
      <c r="I366" s="0" t="s">
        <v>28</v>
      </c>
      <c r="J366" s="9" t="s">
        <v>29</v>
      </c>
      <c r="K366" s="9" t="s">
        <v>30</v>
      </c>
      <c r="L366" s="9" t="s">
        <v>31</v>
      </c>
      <c r="M366" s="0" t="s">
        <v>32</v>
      </c>
      <c r="N366" s="0" t="n">
        <v>880</v>
      </c>
      <c r="O366" s="10" t="n">
        <v>0.0432986258529127</v>
      </c>
      <c r="P366" s="10" t="n">
        <v>0.162863194011152</v>
      </c>
      <c r="Q366" s="0" t="str">
        <f aca="false">SUBSTITUTE(SUBSTITUTE($I366,CHAR(61),""),CHAR(34),"")</f>
        <v>&lt;01</v>
      </c>
      <c r="R366" s="0" t="str">
        <f aca="false">IF($D366&lt;&gt;"","["&amp;$E366&amp;"]"&amp;"|"&amp;$Q366&amp;"|"&amp;$K366&amp;"|"&amp;$G366&amp;"|"&amp;IF($G366="TX_CURR_SUBNAT.R","CY2022Q4",$M366),"")</f>
        <v>[JQKLKuVuY61]|&lt;01|Female|TX_CURR_SUBNAT.R|CY2022Q4</v>
      </c>
    </row>
    <row r="367" customFormat="false" ht="15" hidden="false" customHeight="false" outlineLevel="0" collapsed="false">
      <c r="D367" s="9" t="s">
        <v>132</v>
      </c>
      <c r="E367" s="9" t="s">
        <v>133</v>
      </c>
      <c r="F367" s="9" t="s">
        <v>134</v>
      </c>
      <c r="G367" s="9" t="s">
        <v>26</v>
      </c>
      <c r="H367" s="9" t="s">
        <v>27</v>
      </c>
      <c r="I367" s="0" t="s">
        <v>33</v>
      </c>
      <c r="J367" s="9" t="s">
        <v>34</v>
      </c>
      <c r="K367" s="9" t="s">
        <v>30</v>
      </c>
      <c r="L367" s="9" t="s">
        <v>31</v>
      </c>
      <c r="M367" s="0" t="s">
        <v>32</v>
      </c>
      <c r="N367" s="0" t="n">
        <v>1350</v>
      </c>
      <c r="O367" s="10" t="n">
        <v>0.274057198315859</v>
      </c>
      <c r="P367" s="10" t="n">
        <v>0.162863194011152</v>
      </c>
      <c r="Q367" s="0" t="str">
        <f aca="false">SUBSTITUTE(SUBSTITUTE($I367,CHAR(61),""),CHAR(34),"")</f>
        <v>01-09</v>
      </c>
      <c r="R367" s="0" t="str">
        <f aca="false">IF($D367&lt;&gt;"","["&amp;$E367&amp;"]"&amp;"|"&amp;$Q367&amp;"|"&amp;$K367&amp;"|"&amp;$G367&amp;"|"&amp;IF($G367="TX_CURR_SUBNAT.R","CY2022Q4",$M367),"")</f>
        <v>[JQKLKuVuY61]|01-09|Female|TX_CURR_SUBNAT.R|CY2022Q4</v>
      </c>
    </row>
    <row r="368" customFormat="false" ht="15" hidden="false" customHeight="false" outlineLevel="0" collapsed="false">
      <c r="D368" s="9" t="s">
        <v>132</v>
      </c>
      <c r="E368" s="9" t="s">
        <v>133</v>
      </c>
      <c r="F368" s="9" t="s">
        <v>134</v>
      </c>
      <c r="G368" s="9" t="s">
        <v>26</v>
      </c>
      <c r="H368" s="9" t="s">
        <v>27</v>
      </c>
      <c r="I368" s="0" t="s">
        <v>36</v>
      </c>
      <c r="J368" s="9" t="s">
        <v>37</v>
      </c>
      <c r="K368" s="9" t="s">
        <v>30</v>
      </c>
      <c r="L368" s="9" t="s">
        <v>31</v>
      </c>
      <c r="M368" s="0" t="s">
        <v>32</v>
      </c>
      <c r="N368" s="0" t="n">
        <v>599</v>
      </c>
      <c r="O368" s="10" t="n">
        <v>0.830571167869493</v>
      </c>
      <c r="P368" s="10" t="n">
        <v>0.162863194011152</v>
      </c>
      <c r="Q368" s="0" t="str">
        <f aca="false">SUBSTITUTE(SUBSTITUTE($I368,CHAR(61),""),CHAR(34),"")</f>
        <v>10-14</v>
      </c>
      <c r="R368" s="0" t="str">
        <f aca="false">IF($D368&lt;&gt;"","["&amp;$E368&amp;"]"&amp;"|"&amp;$Q368&amp;"|"&amp;$K368&amp;"|"&amp;$G368&amp;"|"&amp;IF($G368="TX_CURR_SUBNAT.R","CY2022Q4",$M368),"")</f>
        <v>[JQKLKuVuY61]|10-14|Female|TX_CURR_SUBNAT.R|CY2022Q4</v>
      </c>
    </row>
    <row r="369" customFormat="false" ht="15" hidden="false" customHeight="false" outlineLevel="0" collapsed="false">
      <c r="D369" s="9" t="s">
        <v>132</v>
      </c>
      <c r="E369" s="9" t="s">
        <v>133</v>
      </c>
      <c r="F369" s="9" t="s">
        <v>134</v>
      </c>
      <c r="G369" s="9" t="s">
        <v>26</v>
      </c>
      <c r="H369" s="9" t="s">
        <v>27</v>
      </c>
      <c r="I369" s="0" t="s">
        <v>38</v>
      </c>
      <c r="J369" s="9" t="s">
        <v>39</v>
      </c>
      <c r="K369" s="9" t="s">
        <v>30</v>
      </c>
      <c r="L369" s="9" t="s">
        <v>31</v>
      </c>
      <c r="M369" s="0" t="s">
        <v>32</v>
      </c>
      <c r="N369" s="0" t="n">
        <v>1213</v>
      </c>
      <c r="O369" s="10" t="n">
        <v>0.226895235944539</v>
      </c>
      <c r="P369" s="10" t="n">
        <v>0.162863194011152</v>
      </c>
      <c r="Q369" s="0" t="str">
        <f aca="false">SUBSTITUTE(SUBSTITUTE($I369,CHAR(61),""),CHAR(34),"")</f>
        <v>15-24</v>
      </c>
      <c r="R369" s="0" t="str">
        <f aca="false">IF($D369&lt;&gt;"","["&amp;$E369&amp;"]"&amp;"|"&amp;$Q369&amp;"|"&amp;$K369&amp;"|"&amp;$G369&amp;"|"&amp;IF($G369="TX_CURR_SUBNAT.R","CY2022Q4",$M369),"")</f>
        <v>[JQKLKuVuY61]|15-24|Female|TX_CURR_SUBNAT.R|CY2022Q4</v>
      </c>
    </row>
    <row r="370" customFormat="false" ht="15" hidden="false" customHeight="false" outlineLevel="0" collapsed="false">
      <c r="D370" s="9" t="s">
        <v>132</v>
      </c>
      <c r="E370" s="9" t="s">
        <v>133</v>
      </c>
      <c r="F370" s="9" t="s">
        <v>134</v>
      </c>
      <c r="G370" s="9" t="s">
        <v>26</v>
      </c>
      <c r="H370" s="9" t="s">
        <v>27</v>
      </c>
      <c r="I370" s="0" t="s">
        <v>41</v>
      </c>
      <c r="J370" s="9" t="s">
        <v>42</v>
      </c>
      <c r="K370" s="9" t="s">
        <v>30</v>
      </c>
      <c r="L370" s="9" t="s">
        <v>31</v>
      </c>
      <c r="M370" s="0" t="s">
        <v>32</v>
      </c>
      <c r="N370" s="0" t="n">
        <v>1932</v>
      </c>
      <c r="O370" s="10" t="n">
        <v>0.160643202951178</v>
      </c>
      <c r="P370" s="10" t="n">
        <v>0.162863194011152</v>
      </c>
      <c r="Q370" s="0" t="str">
        <f aca="false">SUBSTITUTE(SUBSTITUTE($I370,CHAR(61),""),CHAR(34),"")</f>
        <v>25-34</v>
      </c>
      <c r="R370" s="0" t="str">
        <f aca="false">IF($D370&lt;&gt;"","["&amp;$E370&amp;"]"&amp;"|"&amp;$Q370&amp;"|"&amp;$K370&amp;"|"&amp;$G370&amp;"|"&amp;IF($G370="TX_CURR_SUBNAT.R","CY2022Q4",$M370),"")</f>
        <v>[JQKLKuVuY61]|25-34|Female|TX_CURR_SUBNAT.R|CY2022Q4</v>
      </c>
    </row>
    <row r="371" customFormat="false" ht="15" hidden="false" customHeight="false" outlineLevel="0" collapsed="false">
      <c r="D371" s="9" t="s">
        <v>132</v>
      </c>
      <c r="E371" s="9" t="s">
        <v>133</v>
      </c>
      <c r="F371" s="9" t="s">
        <v>134</v>
      </c>
      <c r="G371" s="9" t="s">
        <v>26</v>
      </c>
      <c r="H371" s="9" t="s">
        <v>27</v>
      </c>
      <c r="I371" s="0" t="s">
        <v>43</v>
      </c>
      <c r="J371" s="9" t="s">
        <v>44</v>
      </c>
      <c r="K371" s="9" t="s">
        <v>30</v>
      </c>
      <c r="L371" s="9" t="s">
        <v>31</v>
      </c>
      <c r="M371" s="0" t="s">
        <v>32</v>
      </c>
      <c r="N371" s="0" t="n">
        <v>1134</v>
      </c>
      <c r="O371" s="10" t="n">
        <v>0.567791908280924</v>
      </c>
      <c r="P371" s="10" t="n">
        <v>0.162863194011152</v>
      </c>
      <c r="Q371" s="0" t="str">
        <f aca="false">SUBSTITUTE(SUBSTITUTE($I371,CHAR(61),""),CHAR(34),"")</f>
        <v>35-49</v>
      </c>
      <c r="R371" s="0" t="str">
        <f aca="false">IF($D371&lt;&gt;"","["&amp;$E371&amp;"]"&amp;"|"&amp;$Q371&amp;"|"&amp;$K371&amp;"|"&amp;$G371&amp;"|"&amp;IF($G371="TX_CURR_SUBNAT.R","CY2022Q4",$M371),"")</f>
        <v>[JQKLKuVuY61]|35-49|Female|TX_CURR_SUBNAT.R|CY2022Q4</v>
      </c>
    </row>
    <row r="372" customFormat="false" ht="15" hidden="false" customHeight="false" outlineLevel="0" collapsed="false">
      <c r="D372" s="9" t="s">
        <v>132</v>
      </c>
      <c r="E372" s="9" t="s">
        <v>133</v>
      </c>
      <c r="F372" s="9" t="s">
        <v>134</v>
      </c>
      <c r="G372" s="9" t="s">
        <v>26</v>
      </c>
      <c r="H372" s="9" t="s">
        <v>27</v>
      </c>
      <c r="I372" s="0" t="s">
        <v>45</v>
      </c>
      <c r="J372" s="9" t="s">
        <v>46</v>
      </c>
      <c r="K372" s="9" t="s">
        <v>30</v>
      </c>
      <c r="L372" s="9" t="s">
        <v>31</v>
      </c>
      <c r="M372" s="0" t="s">
        <v>32</v>
      </c>
      <c r="N372" s="0" t="n">
        <v>784</v>
      </c>
      <c r="O372" s="10" t="n">
        <v>0.801674013724551</v>
      </c>
      <c r="P372" s="10" t="n">
        <v>0.162863194011152</v>
      </c>
      <c r="Q372" s="0" t="str">
        <f aca="false">SUBSTITUTE(SUBSTITUTE($I372,CHAR(61),""),CHAR(34),"")</f>
        <v>50+</v>
      </c>
      <c r="R372" s="0" t="str">
        <f aca="false">IF($D372&lt;&gt;"","["&amp;$E372&amp;"]"&amp;"|"&amp;$Q372&amp;"|"&amp;$K372&amp;"|"&amp;$G372&amp;"|"&amp;IF($G372="TX_CURR_SUBNAT.R","CY2022Q4",$M372),"")</f>
        <v>[JQKLKuVuY61]|50+|Female|TX_CURR_SUBNAT.R|CY2022Q4</v>
      </c>
    </row>
    <row r="373" customFormat="false" ht="15" hidden="false" customHeight="false" outlineLevel="0" collapsed="false">
      <c r="D373" s="9" t="s">
        <v>132</v>
      </c>
      <c r="E373" s="9" t="s">
        <v>133</v>
      </c>
      <c r="F373" s="9" t="s">
        <v>134</v>
      </c>
      <c r="G373" s="9" t="s">
        <v>26</v>
      </c>
      <c r="H373" s="9" t="s">
        <v>27</v>
      </c>
      <c r="I373" s="0" t="s">
        <v>28</v>
      </c>
      <c r="J373" s="9" t="s">
        <v>29</v>
      </c>
      <c r="K373" s="9" t="s">
        <v>48</v>
      </c>
      <c r="L373" s="9" t="s">
        <v>49</v>
      </c>
      <c r="M373" s="0" t="s">
        <v>32</v>
      </c>
      <c r="N373" s="0" t="n">
        <v>1507</v>
      </c>
      <c r="O373" s="10" t="n">
        <v>0.160523193888366</v>
      </c>
      <c r="P373" s="10" t="n">
        <v>0.162863194011152</v>
      </c>
      <c r="Q373" s="0" t="str">
        <f aca="false">SUBSTITUTE(SUBSTITUTE($I373,CHAR(61),""),CHAR(34),"")</f>
        <v>&lt;01</v>
      </c>
      <c r="R373" s="0" t="str">
        <f aca="false">IF($D373&lt;&gt;"","["&amp;$E373&amp;"]"&amp;"|"&amp;$Q373&amp;"|"&amp;$K373&amp;"|"&amp;$G373&amp;"|"&amp;IF($G373="TX_CURR_SUBNAT.R","CY2022Q4",$M373),"")</f>
        <v>[JQKLKuVuY61]|&lt;01|Male|TX_CURR_SUBNAT.R|CY2022Q4</v>
      </c>
    </row>
    <row r="374" customFormat="false" ht="15" hidden="false" customHeight="false" outlineLevel="0" collapsed="false">
      <c r="D374" s="9" t="s">
        <v>132</v>
      </c>
      <c r="E374" s="9" t="s">
        <v>133</v>
      </c>
      <c r="F374" s="9" t="s">
        <v>134</v>
      </c>
      <c r="G374" s="9" t="s">
        <v>26</v>
      </c>
      <c r="H374" s="9" t="s">
        <v>27</v>
      </c>
      <c r="I374" s="0" t="s">
        <v>33</v>
      </c>
      <c r="J374" s="9" t="s">
        <v>34</v>
      </c>
      <c r="K374" s="9" t="s">
        <v>48</v>
      </c>
      <c r="L374" s="9" t="s">
        <v>49</v>
      </c>
      <c r="M374" s="0" t="s">
        <v>32</v>
      </c>
      <c r="N374" s="0" t="n">
        <v>1416</v>
      </c>
      <c r="O374" s="10" t="n">
        <v>0.883802890777588</v>
      </c>
      <c r="P374" s="10" t="n">
        <v>0.162863194011152</v>
      </c>
      <c r="Q374" s="0" t="str">
        <f aca="false">SUBSTITUTE(SUBSTITUTE($I374,CHAR(61),""),CHAR(34),"")</f>
        <v>01-09</v>
      </c>
      <c r="R374" s="0" t="str">
        <f aca="false">IF($D374&lt;&gt;"","["&amp;$E374&amp;"]"&amp;"|"&amp;$Q374&amp;"|"&amp;$K374&amp;"|"&amp;$G374&amp;"|"&amp;IF($G374="TX_CURR_SUBNAT.R","CY2022Q4",$M374),"")</f>
        <v>[JQKLKuVuY61]|01-09|Male|TX_CURR_SUBNAT.R|CY2022Q4</v>
      </c>
    </row>
    <row r="375" customFormat="false" ht="15" hidden="false" customHeight="false" outlineLevel="0" collapsed="false">
      <c r="D375" s="9" t="s">
        <v>132</v>
      </c>
      <c r="E375" s="9" t="s">
        <v>133</v>
      </c>
      <c r="F375" s="9" t="s">
        <v>134</v>
      </c>
      <c r="G375" s="9" t="s">
        <v>26</v>
      </c>
      <c r="H375" s="9" t="s">
        <v>27</v>
      </c>
      <c r="I375" s="0" t="s">
        <v>36</v>
      </c>
      <c r="J375" s="9" t="s">
        <v>37</v>
      </c>
      <c r="K375" s="9" t="s">
        <v>48</v>
      </c>
      <c r="L375" s="9" t="s">
        <v>49</v>
      </c>
      <c r="M375" s="0" t="s">
        <v>32</v>
      </c>
      <c r="N375" s="0" t="n">
        <v>990</v>
      </c>
      <c r="O375" s="10" t="n">
        <v>0.428925000829622</v>
      </c>
      <c r="P375" s="10" t="n">
        <v>0.162863194011152</v>
      </c>
      <c r="Q375" s="0" t="str">
        <f aca="false">SUBSTITUTE(SUBSTITUTE($I375,CHAR(61),""),CHAR(34),"")</f>
        <v>10-14</v>
      </c>
      <c r="R375" s="0" t="str">
        <f aca="false">IF($D375&lt;&gt;"","["&amp;$E375&amp;"]"&amp;"|"&amp;$Q375&amp;"|"&amp;$K375&amp;"|"&amp;$G375&amp;"|"&amp;IF($G375="TX_CURR_SUBNAT.R","CY2022Q4",$M375),"")</f>
        <v>[JQKLKuVuY61]|10-14|Male|TX_CURR_SUBNAT.R|CY2022Q4</v>
      </c>
    </row>
    <row r="376" customFormat="false" ht="15" hidden="false" customHeight="false" outlineLevel="0" collapsed="false">
      <c r="D376" s="9" t="s">
        <v>132</v>
      </c>
      <c r="E376" s="9" t="s">
        <v>133</v>
      </c>
      <c r="F376" s="9" t="s">
        <v>134</v>
      </c>
      <c r="G376" s="9" t="s">
        <v>26</v>
      </c>
      <c r="H376" s="9" t="s">
        <v>27</v>
      </c>
      <c r="I376" s="0" t="s">
        <v>38</v>
      </c>
      <c r="J376" s="9" t="s">
        <v>39</v>
      </c>
      <c r="K376" s="9" t="s">
        <v>48</v>
      </c>
      <c r="L376" s="9" t="s">
        <v>49</v>
      </c>
      <c r="M376" s="0" t="s">
        <v>32</v>
      </c>
      <c r="N376" s="0" t="n">
        <v>848</v>
      </c>
      <c r="O376" s="10" t="n">
        <v>0.948511597933248</v>
      </c>
      <c r="P376" s="10" t="n">
        <v>0.162863194011152</v>
      </c>
      <c r="Q376" s="0" t="str">
        <f aca="false">SUBSTITUTE(SUBSTITUTE($I376,CHAR(61),""),CHAR(34),"")</f>
        <v>15-24</v>
      </c>
      <c r="R376" s="0" t="str">
        <f aca="false">IF($D376&lt;&gt;"","["&amp;$E376&amp;"]"&amp;"|"&amp;$Q376&amp;"|"&amp;$K376&amp;"|"&amp;$G376&amp;"|"&amp;IF($G376="TX_CURR_SUBNAT.R","CY2022Q4",$M376),"")</f>
        <v>[JQKLKuVuY61]|15-24|Male|TX_CURR_SUBNAT.R|CY2022Q4</v>
      </c>
    </row>
    <row r="377" customFormat="false" ht="15" hidden="false" customHeight="false" outlineLevel="0" collapsed="false">
      <c r="D377" s="9" t="s">
        <v>132</v>
      </c>
      <c r="E377" s="9" t="s">
        <v>133</v>
      </c>
      <c r="F377" s="9" t="s">
        <v>134</v>
      </c>
      <c r="G377" s="9" t="s">
        <v>26</v>
      </c>
      <c r="H377" s="9" t="s">
        <v>27</v>
      </c>
      <c r="I377" s="0" t="s">
        <v>41</v>
      </c>
      <c r="J377" s="9" t="s">
        <v>42</v>
      </c>
      <c r="K377" s="9" t="s">
        <v>48</v>
      </c>
      <c r="L377" s="9" t="s">
        <v>49</v>
      </c>
      <c r="M377" s="0" t="s">
        <v>32</v>
      </c>
      <c r="N377" s="0" t="n">
        <v>571</v>
      </c>
      <c r="O377" s="10" t="n">
        <v>0.857141397893429</v>
      </c>
      <c r="P377" s="10" t="n">
        <v>0.162863194011152</v>
      </c>
      <c r="Q377" s="0" t="str">
        <f aca="false">SUBSTITUTE(SUBSTITUTE($I377,CHAR(61),""),CHAR(34),"")</f>
        <v>25-34</v>
      </c>
      <c r="R377" s="0" t="str">
        <f aca="false">IF($D377&lt;&gt;"","["&amp;$E377&amp;"]"&amp;"|"&amp;$Q377&amp;"|"&amp;$K377&amp;"|"&amp;$G377&amp;"|"&amp;IF($G377="TX_CURR_SUBNAT.R","CY2022Q4",$M377),"")</f>
        <v>[JQKLKuVuY61]|25-34|Male|TX_CURR_SUBNAT.R|CY2022Q4</v>
      </c>
    </row>
    <row r="378" customFormat="false" ht="15" hidden="false" customHeight="false" outlineLevel="0" collapsed="false">
      <c r="D378" s="9" t="s">
        <v>132</v>
      </c>
      <c r="E378" s="9" t="s">
        <v>133</v>
      </c>
      <c r="F378" s="9" t="s">
        <v>134</v>
      </c>
      <c r="G378" s="9" t="s">
        <v>26</v>
      </c>
      <c r="H378" s="9" t="s">
        <v>27</v>
      </c>
      <c r="I378" s="0" t="s">
        <v>43</v>
      </c>
      <c r="J378" s="9" t="s">
        <v>44</v>
      </c>
      <c r="K378" s="9" t="s">
        <v>48</v>
      </c>
      <c r="L378" s="9" t="s">
        <v>49</v>
      </c>
      <c r="M378" s="0" t="s">
        <v>32</v>
      </c>
      <c r="N378" s="0" t="n">
        <v>1742</v>
      </c>
      <c r="O378" s="10" t="n">
        <v>0.890085540246218</v>
      </c>
      <c r="P378" s="10" t="n">
        <v>0.162863194011152</v>
      </c>
      <c r="Q378" s="0" t="str">
        <f aca="false">SUBSTITUTE(SUBSTITUTE($I378,CHAR(61),""),CHAR(34),"")</f>
        <v>35-49</v>
      </c>
      <c r="R378" s="0" t="str">
        <f aca="false">IF($D378&lt;&gt;"","["&amp;$E378&amp;"]"&amp;"|"&amp;$Q378&amp;"|"&amp;$K378&amp;"|"&amp;$G378&amp;"|"&amp;IF($G378="TX_CURR_SUBNAT.R","CY2022Q4",$M378),"")</f>
        <v>[JQKLKuVuY61]|35-49|Male|TX_CURR_SUBNAT.R|CY2022Q4</v>
      </c>
    </row>
    <row r="379" customFormat="false" ht="15" hidden="false" customHeight="false" outlineLevel="0" collapsed="false">
      <c r="D379" s="9" t="s">
        <v>132</v>
      </c>
      <c r="E379" s="9" t="s">
        <v>133</v>
      </c>
      <c r="F379" s="9" t="s">
        <v>134</v>
      </c>
      <c r="G379" s="9" t="s">
        <v>26</v>
      </c>
      <c r="H379" s="9" t="s">
        <v>27</v>
      </c>
      <c r="I379" s="0" t="s">
        <v>45</v>
      </c>
      <c r="J379" s="9" t="s">
        <v>46</v>
      </c>
      <c r="K379" s="9" t="s">
        <v>48</v>
      </c>
      <c r="L379" s="9" t="s">
        <v>49</v>
      </c>
      <c r="M379" s="0" t="s">
        <v>32</v>
      </c>
      <c r="N379" s="0" t="n">
        <v>938</v>
      </c>
      <c r="O379" s="10" t="n">
        <v>0.130069310776889</v>
      </c>
      <c r="P379" s="10" t="n">
        <v>0.162863194011152</v>
      </c>
      <c r="Q379" s="0" t="str">
        <f aca="false">SUBSTITUTE(SUBSTITUTE($I379,CHAR(61),""),CHAR(34),"")</f>
        <v>50+</v>
      </c>
      <c r="R379" s="0" t="str">
        <f aca="false">IF($D379&lt;&gt;"","["&amp;$E379&amp;"]"&amp;"|"&amp;$Q379&amp;"|"&amp;$K379&amp;"|"&amp;$G379&amp;"|"&amp;IF($G379="TX_CURR_SUBNAT.R","CY2022Q4",$M379),"")</f>
        <v>[JQKLKuVuY61]|50+|Male|TX_CURR_SUBNAT.R|CY2022Q4</v>
      </c>
    </row>
    <row r="380" customFormat="false" ht="15" hidden="false" customHeight="false" outlineLevel="0" collapsed="false">
      <c r="D380" s="9" t="s">
        <v>135</v>
      </c>
      <c r="E380" s="9" t="s">
        <v>136</v>
      </c>
      <c r="F380" s="9" t="s">
        <v>137</v>
      </c>
      <c r="G380" s="9" t="s">
        <v>26</v>
      </c>
      <c r="H380" s="9" t="s">
        <v>27</v>
      </c>
      <c r="I380" s="0" t="s">
        <v>28</v>
      </c>
      <c r="J380" s="9" t="s">
        <v>29</v>
      </c>
      <c r="K380" s="9" t="s">
        <v>30</v>
      </c>
      <c r="L380" s="9" t="s">
        <v>31</v>
      </c>
      <c r="M380" s="0" t="s">
        <v>32</v>
      </c>
      <c r="N380" s="0" t="n">
        <v>1436</v>
      </c>
      <c r="O380" s="10" t="n">
        <v>0.466368350666016</v>
      </c>
      <c r="P380" s="10" t="n">
        <v>0.955300528323278</v>
      </c>
      <c r="Q380" s="0" t="str">
        <f aca="false">SUBSTITUTE(SUBSTITUTE($I380,CHAR(61),""),CHAR(34),"")</f>
        <v>&lt;01</v>
      </c>
      <c r="R380" s="0" t="str">
        <f aca="false">IF($D380&lt;&gt;"","["&amp;$E380&amp;"]"&amp;"|"&amp;$Q380&amp;"|"&amp;$K380&amp;"|"&amp;$G380&amp;"|"&amp;IF($G380="TX_CURR_SUBNAT.R","CY2022Q4",$M380),"")</f>
        <v>[fiRkU6gEjLz]|&lt;01|Female|TX_CURR_SUBNAT.R|CY2022Q4</v>
      </c>
    </row>
    <row r="381" customFormat="false" ht="15" hidden="false" customHeight="false" outlineLevel="0" collapsed="false">
      <c r="D381" s="9" t="s">
        <v>135</v>
      </c>
      <c r="E381" s="9" t="s">
        <v>136</v>
      </c>
      <c r="F381" s="9" t="s">
        <v>137</v>
      </c>
      <c r="G381" s="9" t="s">
        <v>26</v>
      </c>
      <c r="H381" s="9" t="s">
        <v>27</v>
      </c>
      <c r="I381" s="0" t="s">
        <v>33</v>
      </c>
      <c r="J381" s="9" t="s">
        <v>34</v>
      </c>
      <c r="K381" s="9" t="s">
        <v>30</v>
      </c>
      <c r="L381" s="9" t="s">
        <v>31</v>
      </c>
      <c r="M381" s="0" t="s">
        <v>32</v>
      </c>
      <c r="N381" s="0" t="n">
        <v>1526</v>
      </c>
      <c r="O381" s="10" t="n">
        <v>0.775845685973763</v>
      </c>
      <c r="P381" s="10" t="n">
        <v>0.955300528323278</v>
      </c>
      <c r="Q381" s="0" t="str">
        <f aca="false">SUBSTITUTE(SUBSTITUTE($I381,CHAR(61),""),CHAR(34),"")</f>
        <v>01-09</v>
      </c>
      <c r="R381" s="0" t="str">
        <f aca="false">IF($D381&lt;&gt;"","["&amp;$E381&amp;"]"&amp;"|"&amp;$Q381&amp;"|"&amp;$K381&amp;"|"&amp;$G381&amp;"|"&amp;IF($G381="TX_CURR_SUBNAT.R","CY2022Q4",$M381),"")</f>
        <v>[fiRkU6gEjLz]|01-09|Female|TX_CURR_SUBNAT.R|CY2022Q4</v>
      </c>
    </row>
    <row r="382" customFormat="false" ht="15" hidden="false" customHeight="false" outlineLevel="0" collapsed="false">
      <c r="D382" s="9" t="s">
        <v>135</v>
      </c>
      <c r="E382" s="9" t="s">
        <v>136</v>
      </c>
      <c r="F382" s="9" t="s">
        <v>137</v>
      </c>
      <c r="G382" s="9" t="s">
        <v>26</v>
      </c>
      <c r="H382" s="9" t="s">
        <v>27</v>
      </c>
      <c r="I382" s="0" t="s">
        <v>36</v>
      </c>
      <c r="J382" s="9" t="s">
        <v>37</v>
      </c>
      <c r="K382" s="9" t="s">
        <v>30</v>
      </c>
      <c r="L382" s="9" t="s">
        <v>31</v>
      </c>
      <c r="M382" s="0" t="s">
        <v>32</v>
      </c>
      <c r="N382" s="0" t="n">
        <v>1597</v>
      </c>
      <c r="O382" s="10" t="n">
        <v>0.216287780087441</v>
      </c>
      <c r="P382" s="10" t="n">
        <v>0.955300528323278</v>
      </c>
      <c r="Q382" s="0" t="str">
        <f aca="false">SUBSTITUTE(SUBSTITUTE($I382,CHAR(61),""),CHAR(34),"")</f>
        <v>10-14</v>
      </c>
      <c r="R382" s="0" t="str">
        <f aca="false">IF($D382&lt;&gt;"","["&amp;$E382&amp;"]"&amp;"|"&amp;$Q382&amp;"|"&amp;$K382&amp;"|"&amp;$G382&amp;"|"&amp;IF($G382="TX_CURR_SUBNAT.R","CY2022Q4",$M382),"")</f>
        <v>[fiRkU6gEjLz]|10-14|Female|TX_CURR_SUBNAT.R|CY2022Q4</v>
      </c>
    </row>
    <row r="383" customFormat="false" ht="15" hidden="false" customHeight="false" outlineLevel="0" collapsed="false">
      <c r="D383" s="9" t="s">
        <v>135</v>
      </c>
      <c r="E383" s="9" t="s">
        <v>136</v>
      </c>
      <c r="F383" s="9" t="s">
        <v>137</v>
      </c>
      <c r="G383" s="9" t="s">
        <v>26</v>
      </c>
      <c r="H383" s="9" t="s">
        <v>27</v>
      </c>
      <c r="I383" s="0" t="s">
        <v>38</v>
      </c>
      <c r="J383" s="9" t="s">
        <v>39</v>
      </c>
      <c r="K383" s="9" t="s">
        <v>30</v>
      </c>
      <c r="L383" s="9" t="s">
        <v>31</v>
      </c>
      <c r="M383" s="0" t="s">
        <v>32</v>
      </c>
      <c r="N383" s="0" t="n">
        <v>897</v>
      </c>
      <c r="O383" s="10" t="n">
        <v>0.127129234140739</v>
      </c>
      <c r="P383" s="10" t="n">
        <v>0.955300528323278</v>
      </c>
      <c r="Q383" s="0" t="str">
        <f aca="false">SUBSTITUTE(SUBSTITUTE($I383,CHAR(61),""),CHAR(34),"")</f>
        <v>15-24</v>
      </c>
      <c r="R383" s="0" t="str">
        <f aca="false">IF($D383&lt;&gt;"","["&amp;$E383&amp;"]"&amp;"|"&amp;$Q383&amp;"|"&amp;$K383&amp;"|"&amp;$G383&amp;"|"&amp;IF($G383="TX_CURR_SUBNAT.R","CY2022Q4",$M383),"")</f>
        <v>[fiRkU6gEjLz]|15-24|Female|TX_CURR_SUBNAT.R|CY2022Q4</v>
      </c>
    </row>
    <row r="384" customFormat="false" ht="15" hidden="false" customHeight="false" outlineLevel="0" collapsed="false">
      <c r="D384" s="9" t="s">
        <v>135</v>
      </c>
      <c r="E384" s="9" t="s">
        <v>136</v>
      </c>
      <c r="F384" s="9" t="s">
        <v>137</v>
      </c>
      <c r="G384" s="9" t="s">
        <v>26</v>
      </c>
      <c r="H384" s="9" t="s">
        <v>27</v>
      </c>
      <c r="I384" s="0" t="s">
        <v>41</v>
      </c>
      <c r="J384" s="9" t="s">
        <v>42</v>
      </c>
      <c r="K384" s="9" t="s">
        <v>30</v>
      </c>
      <c r="L384" s="9" t="s">
        <v>31</v>
      </c>
      <c r="M384" s="0" t="s">
        <v>32</v>
      </c>
      <c r="N384" s="0" t="n">
        <v>1990</v>
      </c>
      <c r="O384" s="10" t="n">
        <v>0.521246090065688</v>
      </c>
      <c r="P384" s="10" t="n">
        <v>0.955300528323278</v>
      </c>
      <c r="Q384" s="0" t="str">
        <f aca="false">SUBSTITUTE(SUBSTITUTE($I384,CHAR(61),""),CHAR(34),"")</f>
        <v>25-34</v>
      </c>
      <c r="R384" s="0" t="str">
        <f aca="false">IF($D384&lt;&gt;"","["&amp;$E384&amp;"]"&amp;"|"&amp;$Q384&amp;"|"&amp;$K384&amp;"|"&amp;$G384&amp;"|"&amp;IF($G384="TX_CURR_SUBNAT.R","CY2022Q4",$M384),"")</f>
        <v>[fiRkU6gEjLz]|25-34|Female|TX_CURR_SUBNAT.R|CY2022Q4</v>
      </c>
    </row>
    <row r="385" customFormat="false" ht="15" hidden="false" customHeight="false" outlineLevel="0" collapsed="false">
      <c r="D385" s="9" t="s">
        <v>135</v>
      </c>
      <c r="E385" s="9" t="s">
        <v>136</v>
      </c>
      <c r="F385" s="9" t="s">
        <v>137</v>
      </c>
      <c r="G385" s="9" t="s">
        <v>26</v>
      </c>
      <c r="H385" s="9" t="s">
        <v>27</v>
      </c>
      <c r="I385" s="0" t="s">
        <v>43</v>
      </c>
      <c r="J385" s="9" t="s">
        <v>44</v>
      </c>
      <c r="K385" s="9" t="s">
        <v>30</v>
      </c>
      <c r="L385" s="9" t="s">
        <v>31</v>
      </c>
      <c r="M385" s="0" t="s">
        <v>32</v>
      </c>
      <c r="N385" s="0" t="n">
        <v>697</v>
      </c>
      <c r="O385" s="10" t="n">
        <v>0.354802325367928</v>
      </c>
      <c r="P385" s="10" t="n">
        <v>0.955300528323278</v>
      </c>
      <c r="Q385" s="0" t="str">
        <f aca="false">SUBSTITUTE(SUBSTITUTE($I385,CHAR(61),""),CHAR(34),"")</f>
        <v>35-49</v>
      </c>
      <c r="R385" s="0" t="str">
        <f aca="false">IF($D385&lt;&gt;"","["&amp;$E385&amp;"]"&amp;"|"&amp;$Q385&amp;"|"&amp;$K385&amp;"|"&amp;$G385&amp;"|"&amp;IF($G385="TX_CURR_SUBNAT.R","CY2022Q4",$M385),"")</f>
        <v>[fiRkU6gEjLz]|35-49|Female|TX_CURR_SUBNAT.R|CY2022Q4</v>
      </c>
    </row>
    <row r="386" customFormat="false" ht="15" hidden="false" customHeight="false" outlineLevel="0" collapsed="false">
      <c r="D386" s="9" t="s">
        <v>135</v>
      </c>
      <c r="E386" s="9" t="s">
        <v>136</v>
      </c>
      <c r="F386" s="9" t="s">
        <v>137</v>
      </c>
      <c r="G386" s="9" t="s">
        <v>26</v>
      </c>
      <c r="H386" s="9" t="s">
        <v>27</v>
      </c>
      <c r="I386" s="0" t="s">
        <v>45</v>
      </c>
      <c r="J386" s="9" t="s">
        <v>46</v>
      </c>
      <c r="K386" s="9" t="s">
        <v>30</v>
      </c>
      <c r="L386" s="9" t="s">
        <v>31</v>
      </c>
      <c r="M386" s="0" t="s">
        <v>32</v>
      </c>
      <c r="N386" s="0" t="n">
        <v>695</v>
      </c>
      <c r="O386" s="10" t="n">
        <v>0.760875829262659</v>
      </c>
      <c r="P386" s="10" t="n">
        <v>0.955300528323278</v>
      </c>
      <c r="Q386" s="0" t="str">
        <f aca="false">SUBSTITUTE(SUBSTITUTE($I386,CHAR(61),""),CHAR(34),"")</f>
        <v>50+</v>
      </c>
      <c r="R386" s="0" t="str">
        <f aca="false">IF($D386&lt;&gt;"","["&amp;$E386&amp;"]"&amp;"|"&amp;$Q386&amp;"|"&amp;$K386&amp;"|"&amp;$G386&amp;"|"&amp;IF($G386="TX_CURR_SUBNAT.R","CY2022Q4",$M386),"")</f>
        <v>[fiRkU6gEjLz]|50+|Female|TX_CURR_SUBNAT.R|CY2022Q4</v>
      </c>
    </row>
    <row r="387" customFormat="false" ht="15" hidden="false" customHeight="false" outlineLevel="0" collapsed="false">
      <c r="D387" s="9" t="s">
        <v>135</v>
      </c>
      <c r="E387" s="9" t="s">
        <v>136</v>
      </c>
      <c r="F387" s="9" t="s">
        <v>137</v>
      </c>
      <c r="G387" s="9" t="s">
        <v>26</v>
      </c>
      <c r="H387" s="9" t="s">
        <v>27</v>
      </c>
      <c r="I387" s="0" t="s">
        <v>28</v>
      </c>
      <c r="J387" s="9" t="s">
        <v>29</v>
      </c>
      <c r="K387" s="9" t="s">
        <v>48</v>
      </c>
      <c r="L387" s="9" t="s">
        <v>49</v>
      </c>
      <c r="M387" s="0" t="s">
        <v>32</v>
      </c>
      <c r="N387" s="0" t="n">
        <v>1359</v>
      </c>
      <c r="O387" s="10" t="n">
        <v>0.355496843345463</v>
      </c>
      <c r="P387" s="10" t="n">
        <v>0.955300528323278</v>
      </c>
      <c r="Q387" s="0" t="str">
        <f aca="false">SUBSTITUTE(SUBSTITUTE($I387,CHAR(61),""),CHAR(34),"")</f>
        <v>&lt;01</v>
      </c>
      <c r="R387" s="0" t="str">
        <f aca="false">IF($D387&lt;&gt;"","["&amp;$E387&amp;"]"&amp;"|"&amp;$Q387&amp;"|"&amp;$K387&amp;"|"&amp;$G387&amp;"|"&amp;IF($G387="TX_CURR_SUBNAT.R","CY2022Q4",$M387),"")</f>
        <v>[fiRkU6gEjLz]|&lt;01|Male|TX_CURR_SUBNAT.R|CY2022Q4</v>
      </c>
    </row>
    <row r="388" customFormat="false" ht="15" hidden="false" customHeight="false" outlineLevel="0" collapsed="false">
      <c r="D388" s="9" t="s">
        <v>135</v>
      </c>
      <c r="E388" s="9" t="s">
        <v>136</v>
      </c>
      <c r="F388" s="9" t="s">
        <v>137</v>
      </c>
      <c r="G388" s="9" t="s">
        <v>26</v>
      </c>
      <c r="H388" s="9" t="s">
        <v>27</v>
      </c>
      <c r="I388" s="0" t="s">
        <v>33</v>
      </c>
      <c r="J388" s="9" t="s">
        <v>34</v>
      </c>
      <c r="K388" s="9" t="s">
        <v>48</v>
      </c>
      <c r="L388" s="9" t="s">
        <v>49</v>
      </c>
      <c r="M388" s="0" t="s">
        <v>32</v>
      </c>
      <c r="N388" s="0" t="n">
        <v>568</v>
      </c>
      <c r="O388" s="10" t="n">
        <v>0.472138122888282</v>
      </c>
      <c r="P388" s="10" t="n">
        <v>0.955300528323278</v>
      </c>
      <c r="Q388" s="0" t="str">
        <f aca="false">SUBSTITUTE(SUBSTITUTE($I388,CHAR(61),""),CHAR(34),"")</f>
        <v>01-09</v>
      </c>
      <c r="R388" s="0" t="str">
        <f aca="false">IF($D388&lt;&gt;"","["&amp;$E388&amp;"]"&amp;"|"&amp;$Q388&amp;"|"&amp;$K388&amp;"|"&amp;$G388&amp;"|"&amp;IF($G388="TX_CURR_SUBNAT.R","CY2022Q4",$M388),"")</f>
        <v>[fiRkU6gEjLz]|01-09|Male|TX_CURR_SUBNAT.R|CY2022Q4</v>
      </c>
    </row>
    <row r="389" customFormat="false" ht="15" hidden="false" customHeight="false" outlineLevel="0" collapsed="false">
      <c r="D389" s="9" t="s">
        <v>135</v>
      </c>
      <c r="E389" s="9" t="s">
        <v>136</v>
      </c>
      <c r="F389" s="9" t="s">
        <v>137</v>
      </c>
      <c r="G389" s="9" t="s">
        <v>26</v>
      </c>
      <c r="H389" s="9" t="s">
        <v>27</v>
      </c>
      <c r="I389" s="0" t="s">
        <v>36</v>
      </c>
      <c r="J389" s="9" t="s">
        <v>37</v>
      </c>
      <c r="K389" s="9" t="s">
        <v>48</v>
      </c>
      <c r="L389" s="9" t="s">
        <v>49</v>
      </c>
      <c r="M389" s="0" t="s">
        <v>32</v>
      </c>
      <c r="N389" s="0" t="n">
        <v>1190</v>
      </c>
      <c r="O389" s="10" t="n">
        <v>0.237132653594017</v>
      </c>
      <c r="P389" s="10" t="n">
        <v>0.955300528323278</v>
      </c>
      <c r="Q389" s="0" t="str">
        <f aca="false">SUBSTITUTE(SUBSTITUTE($I389,CHAR(61),""),CHAR(34),"")</f>
        <v>10-14</v>
      </c>
      <c r="R389" s="0" t="str">
        <f aca="false">IF($D389&lt;&gt;"","["&amp;$E389&amp;"]"&amp;"|"&amp;$Q389&amp;"|"&amp;$K389&amp;"|"&amp;$G389&amp;"|"&amp;IF($G389="TX_CURR_SUBNAT.R","CY2022Q4",$M389),"")</f>
        <v>[fiRkU6gEjLz]|10-14|Male|TX_CURR_SUBNAT.R|CY2022Q4</v>
      </c>
    </row>
    <row r="390" customFormat="false" ht="15" hidden="false" customHeight="false" outlineLevel="0" collapsed="false">
      <c r="D390" s="9" t="s">
        <v>135</v>
      </c>
      <c r="E390" s="9" t="s">
        <v>136</v>
      </c>
      <c r="F390" s="9" t="s">
        <v>137</v>
      </c>
      <c r="G390" s="9" t="s">
        <v>26</v>
      </c>
      <c r="H390" s="9" t="s">
        <v>27</v>
      </c>
      <c r="I390" s="0" t="s">
        <v>38</v>
      </c>
      <c r="J390" s="9" t="s">
        <v>39</v>
      </c>
      <c r="K390" s="9" t="s">
        <v>48</v>
      </c>
      <c r="L390" s="9" t="s">
        <v>49</v>
      </c>
      <c r="M390" s="0" t="s">
        <v>32</v>
      </c>
      <c r="N390" s="0" t="n">
        <v>1148</v>
      </c>
      <c r="O390" s="10" t="n">
        <v>0.581164800561965</v>
      </c>
      <c r="P390" s="10" t="n">
        <v>0.955300528323278</v>
      </c>
      <c r="Q390" s="0" t="str">
        <f aca="false">SUBSTITUTE(SUBSTITUTE($I390,CHAR(61),""),CHAR(34),"")</f>
        <v>15-24</v>
      </c>
      <c r="R390" s="0" t="str">
        <f aca="false">IF($D390&lt;&gt;"","["&amp;$E390&amp;"]"&amp;"|"&amp;$Q390&amp;"|"&amp;$K390&amp;"|"&amp;$G390&amp;"|"&amp;IF($G390="TX_CURR_SUBNAT.R","CY2022Q4",$M390),"")</f>
        <v>[fiRkU6gEjLz]|15-24|Male|TX_CURR_SUBNAT.R|CY2022Q4</v>
      </c>
    </row>
    <row r="391" customFormat="false" ht="15" hidden="false" customHeight="false" outlineLevel="0" collapsed="false">
      <c r="D391" s="9" t="s">
        <v>135</v>
      </c>
      <c r="E391" s="9" t="s">
        <v>136</v>
      </c>
      <c r="F391" s="9" t="s">
        <v>137</v>
      </c>
      <c r="G391" s="9" t="s">
        <v>26</v>
      </c>
      <c r="H391" s="9" t="s">
        <v>27</v>
      </c>
      <c r="I391" s="0" t="s">
        <v>41</v>
      </c>
      <c r="J391" s="9" t="s">
        <v>42</v>
      </c>
      <c r="K391" s="9" t="s">
        <v>48</v>
      </c>
      <c r="L391" s="9" t="s">
        <v>49</v>
      </c>
      <c r="M391" s="0" t="s">
        <v>32</v>
      </c>
      <c r="N391" s="0" t="n">
        <v>1782</v>
      </c>
      <c r="O391" s="10" t="n">
        <v>0.720102660590783</v>
      </c>
      <c r="P391" s="10" t="n">
        <v>0.955300528323278</v>
      </c>
      <c r="Q391" s="0" t="str">
        <f aca="false">SUBSTITUTE(SUBSTITUTE($I391,CHAR(61),""),CHAR(34),"")</f>
        <v>25-34</v>
      </c>
      <c r="R391" s="0" t="str">
        <f aca="false">IF($D391&lt;&gt;"","["&amp;$E391&amp;"]"&amp;"|"&amp;$Q391&amp;"|"&amp;$K391&amp;"|"&amp;$G391&amp;"|"&amp;IF($G391="TX_CURR_SUBNAT.R","CY2022Q4",$M391),"")</f>
        <v>[fiRkU6gEjLz]|25-34|Male|TX_CURR_SUBNAT.R|CY2022Q4</v>
      </c>
    </row>
    <row r="392" customFormat="false" ht="15" hidden="false" customHeight="false" outlineLevel="0" collapsed="false">
      <c r="D392" s="9" t="s">
        <v>135</v>
      </c>
      <c r="E392" s="9" t="s">
        <v>136</v>
      </c>
      <c r="F392" s="9" t="s">
        <v>137</v>
      </c>
      <c r="G392" s="9" t="s">
        <v>26</v>
      </c>
      <c r="H392" s="9" t="s">
        <v>27</v>
      </c>
      <c r="I392" s="0" t="s">
        <v>43</v>
      </c>
      <c r="J392" s="9" t="s">
        <v>44</v>
      </c>
      <c r="K392" s="9" t="s">
        <v>48</v>
      </c>
      <c r="L392" s="9" t="s">
        <v>49</v>
      </c>
      <c r="M392" s="0" t="s">
        <v>32</v>
      </c>
      <c r="N392" s="0" t="n">
        <v>978</v>
      </c>
      <c r="O392" s="10" t="n">
        <v>0.775178673444316</v>
      </c>
      <c r="P392" s="10" t="n">
        <v>0.955300528323278</v>
      </c>
      <c r="Q392" s="0" t="str">
        <f aca="false">SUBSTITUTE(SUBSTITUTE($I392,CHAR(61),""),CHAR(34),"")</f>
        <v>35-49</v>
      </c>
      <c r="R392" s="0" t="str">
        <f aca="false">IF($D392&lt;&gt;"","["&amp;$E392&amp;"]"&amp;"|"&amp;$Q392&amp;"|"&amp;$K392&amp;"|"&amp;$G392&amp;"|"&amp;IF($G392="TX_CURR_SUBNAT.R","CY2022Q4",$M392),"")</f>
        <v>[fiRkU6gEjLz]|35-49|Male|TX_CURR_SUBNAT.R|CY2022Q4</v>
      </c>
    </row>
    <row r="393" customFormat="false" ht="15" hidden="false" customHeight="false" outlineLevel="0" collapsed="false">
      <c r="D393" s="9" t="s">
        <v>135</v>
      </c>
      <c r="E393" s="9" t="s">
        <v>136</v>
      </c>
      <c r="F393" s="9" t="s">
        <v>137</v>
      </c>
      <c r="G393" s="9" t="s">
        <v>26</v>
      </c>
      <c r="H393" s="9" t="s">
        <v>27</v>
      </c>
      <c r="I393" s="0" t="s">
        <v>45</v>
      </c>
      <c r="J393" s="9" t="s">
        <v>46</v>
      </c>
      <c r="K393" s="9" t="s">
        <v>48</v>
      </c>
      <c r="L393" s="9" t="s">
        <v>49</v>
      </c>
      <c r="M393" s="0" t="s">
        <v>32</v>
      </c>
      <c r="N393" s="0" t="n">
        <v>1829</v>
      </c>
      <c r="O393" s="10" t="n">
        <v>0.607950837351382</v>
      </c>
      <c r="P393" s="10" t="n">
        <v>0.955300528323278</v>
      </c>
      <c r="Q393" s="0" t="str">
        <f aca="false">SUBSTITUTE(SUBSTITUTE($I393,CHAR(61),""),CHAR(34),"")</f>
        <v>50+</v>
      </c>
      <c r="R393" s="0" t="str">
        <f aca="false">IF($D393&lt;&gt;"","["&amp;$E393&amp;"]"&amp;"|"&amp;$Q393&amp;"|"&amp;$K393&amp;"|"&amp;$G393&amp;"|"&amp;IF($G393="TX_CURR_SUBNAT.R","CY2022Q4",$M393),"")</f>
        <v>[fiRkU6gEjLz]|50+|Male|TX_CURR_SUBNAT.R|CY2022Q4</v>
      </c>
    </row>
    <row r="394" customFormat="false" ht="15" hidden="false" customHeight="false" outlineLevel="0" collapsed="false">
      <c r="D394" s="9" t="s">
        <v>23</v>
      </c>
      <c r="E394" s="9" t="s">
        <v>24</v>
      </c>
      <c r="F394" s="9" t="s">
        <v>25</v>
      </c>
      <c r="G394" s="9" t="s">
        <v>138</v>
      </c>
      <c r="H394" s="9" t="s">
        <v>139</v>
      </c>
      <c r="I394" s="0" t="s">
        <v>28</v>
      </c>
      <c r="J394" s="9" t="s">
        <v>29</v>
      </c>
      <c r="K394" s="9" t="s">
        <v>30</v>
      </c>
      <c r="L394" s="9" t="s">
        <v>31</v>
      </c>
      <c r="M394" s="0" t="s">
        <v>140</v>
      </c>
      <c r="N394" s="0" t="n">
        <v>522</v>
      </c>
      <c r="O394" s="10" t="n">
        <v>0.477067607920617</v>
      </c>
      <c r="P394" s="10" t="n">
        <v>0.404358610976487</v>
      </c>
      <c r="Q394" s="0" t="str">
        <f aca="false">SUBSTITUTE(SUBSTITUTE($I394,CHAR(61),""),CHAR(34),"")</f>
        <v>&lt;01</v>
      </c>
      <c r="R394" s="0" t="str">
        <f aca="false">IF($D394&lt;&gt;"","["&amp;$E394&amp;"]"&amp;"|"&amp;$Q394&amp;"|"&amp;$K394&amp;"|"&amp;$G394&amp;"|"&amp;IF($G394="TX_CURR_SUBNAT.R","CY2022Q4",$M394),"")</f>
        <v>[GkIwZrXy1h2]|&lt;01|Female|POP_EST.T_1|CY2023Q3</v>
      </c>
    </row>
    <row r="395" customFormat="false" ht="15" hidden="false" customHeight="false" outlineLevel="0" collapsed="false">
      <c r="D395" s="9" t="s">
        <v>23</v>
      </c>
      <c r="E395" s="9" t="s">
        <v>24</v>
      </c>
      <c r="F395" s="9" t="s">
        <v>25</v>
      </c>
      <c r="G395" s="9" t="s">
        <v>138</v>
      </c>
      <c r="H395" s="9" t="s">
        <v>139</v>
      </c>
      <c r="I395" s="0" t="s">
        <v>33</v>
      </c>
      <c r="J395" s="9" t="s">
        <v>34</v>
      </c>
      <c r="K395" s="9" t="s">
        <v>30</v>
      </c>
      <c r="L395" s="9" t="s">
        <v>31</v>
      </c>
      <c r="M395" s="0" t="s">
        <v>140</v>
      </c>
      <c r="N395" s="0" t="n">
        <v>761</v>
      </c>
      <c r="O395" s="10" t="n">
        <v>0.924863596679643</v>
      </c>
      <c r="P395" s="10" t="n">
        <v>0.404358610976487</v>
      </c>
      <c r="Q395" s="0" t="str">
        <f aca="false">SUBSTITUTE(SUBSTITUTE($I395,CHAR(61),""),CHAR(34),"")</f>
        <v>01-09</v>
      </c>
      <c r="R395" s="0" t="str">
        <f aca="false">IF($D395&lt;&gt;"","["&amp;$E395&amp;"]"&amp;"|"&amp;$Q395&amp;"|"&amp;$K395&amp;"|"&amp;$G395&amp;"|"&amp;IF($G395="TX_CURR_SUBNAT.R","CY2022Q4",$M395),"")</f>
        <v>[GkIwZrXy1h2]|01-09|Female|POP_EST.T_1|CY2023Q3</v>
      </c>
    </row>
    <row r="396" customFormat="false" ht="15" hidden="false" customHeight="false" outlineLevel="0" collapsed="false">
      <c r="D396" s="9" t="s">
        <v>23</v>
      </c>
      <c r="E396" s="9" t="s">
        <v>24</v>
      </c>
      <c r="F396" s="9" t="s">
        <v>25</v>
      </c>
      <c r="G396" s="9" t="s">
        <v>138</v>
      </c>
      <c r="H396" s="9" t="s">
        <v>139</v>
      </c>
      <c r="I396" s="0" t="s">
        <v>36</v>
      </c>
      <c r="J396" s="9" t="s">
        <v>37</v>
      </c>
      <c r="K396" s="9" t="s">
        <v>30</v>
      </c>
      <c r="L396" s="9" t="s">
        <v>31</v>
      </c>
      <c r="M396" s="0" t="s">
        <v>140</v>
      </c>
      <c r="N396" s="0" t="n">
        <v>1643</v>
      </c>
      <c r="O396" s="10" t="n">
        <v>0.497916265623644</v>
      </c>
      <c r="P396" s="10" t="n">
        <v>0.404358610976487</v>
      </c>
      <c r="Q396" s="0" t="str">
        <f aca="false">SUBSTITUTE(SUBSTITUTE($I396,CHAR(61),""),CHAR(34),"")</f>
        <v>10-14</v>
      </c>
      <c r="R396" s="0" t="str">
        <f aca="false">IF($D396&lt;&gt;"","["&amp;$E396&amp;"]"&amp;"|"&amp;$Q396&amp;"|"&amp;$K396&amp;"|"&amp;$G396&amp;"|"&amp;IF($G396="TX_CURR_SUBNAT.R","CY2022Q4",$M396),"")</f>
        <v>[GkIwZrXy1h2]|10-14|Female|POP_EST.T_1|CY2023Q3</v>
      </c>
    </row>
    <row r="397" customFormat="false" ht="15" hidden="false" customHeight="false" outlineLevel="0" collapsed="false">
      <c r="D397" s="9" t="s">
        <v>23</v>
      </c>
      <c r="E397" s="9" t="s">
        <v>24</v>
      </c>
      <c r="F397" s="9" t="s">
        <v>25</v>
      </c>
      <c r="G397" s="9" t="s">
        <v>138</v>
      </c>
      <c r="H397" s="9" t="s">
        <v>139</v>
      </c>
      <c r="I397" s="0" t="s">
        <v>38</v>
      </c>
      <c r="J397" s="9" t="s">
        <v>39</v>
      </c>
      <c r="K397" s="9" t="s">
        <v>30</v>
      </c>
      <c r="L397" s="9" t="s">
        <v>31</v>
      </c>
      <c r="M397" s="0" t="s">
        <v>140</v>
      </c>
      <c r="N397" s="0" t="n">
        <v>1807</v>
      </c>
      <c r="O397" s="10" t="n">
        <v>0.0329063045792282</v>
      </c>
      <c r="P397" s="10" t="n">
        <v>0.404358610976487</v>
      </c>
      <c r="Q397" s="0" t="str">
        <f aca="false">SUBSTITUTE(SUBSTITUTE($I397,CHAR(61),""),CHAR(34),"")</f>
        <v>15-24</v>
      </c>
      <c r="R397" s="0" t="str">
        <f aca="false">IF($D397&lt;&gt;"","["&amp;$E397&amp;"]"&amp;"|"&amp;$Q397&amp;"|"&amp;$K397&amp;"|"&amp;$G397&amp;"|"&amp;IF($G397="TX_CURR_SUBNAT.R","CY2022Q4",$M397),"")</f>
        <v>[GkIwZrXy1h2]|15-24|Female|POP_EST.T_1|CY2023Q3</v>
      </c>
    </row>
    <row r="398" customFormat="false" ht="15" hidden="false" customHeight="false" outlineLevel="0" collapsed="false">
      <c r="D398" s="9" t="s">
        <v>23</v>
      </c>
      <c r="E398" s="9" t="s">
        <v>24</v>
      </c>
      <c r="F398" s="9" t="s">
        <v>25</v>
      </c>
      <c r="G398" s="9" t="s">
        <v>138</v>
      </c>
      <c r="H398" s="9" t="s">
        <v>139</v>
      </c>
      <c r="I398" s="0" t="s">
        <v>41</v>
      </c>
      <c r="J398" s="9" t="s">
        <v>42</v>
      </c>
      <c r="K398" s="9" t="s">
        <v>30</v>
      </c>
      <c r="L398" s="9" t="s">
        <v>31</v>
      </c>
      <c r="M398" s="0" t="s">
        <v>140</v>
      </c>
      <c r="N398" s="0" t="n">
        <v>1936</v>
      </c>
      <c r="O398" s="10" t="n">
        <v>0.369413649197668</v>
      </c>
      <c r="P398" s="10" t="n">
        <v>0.404358610976487</v>
      </c>
      <c r="Q398" s="0" t="str">
        <f aca="false">SUBSTITUTE(SUBSTITUTE($I398,CHAR(61),""),CHAR(34),"")</f>
        <v>25-34</v>
      </c>
      <c r="R398" s="0" t="str">
        <f aca="false">IF($D398&lt;&gt;"","["&amp;$E398&amp;"]"&amp;"|"&amp;$Q398&amp;"|"&amp;$K398&amp;"|"&amp;$G398&amp;"|"&amp;IF($G398="TX_CURR_SUBNAT.R","CY2022Q4",$M398),"")</f>
        <v>[GkIwZrXy1h2]|25-34|Female|POP_EST.T_1|CY2023Q3</v>
      </c>
    </row>
    <row r="399" customFormat="false" ht="15" hidden="false" customHeight="false" outlineLevel="0" collapsed="false">
      <c r="D399" s="9" t="s">
        <v>23</v>
      </c>
      <c r="E399" s="9" t="s">
        <v>24</v>
      </c>
      <c r="F399" s="9" t="s">
        <v>25</v>
      </c>
      <c r="G399" s="9" t="s">
        <v>138</v>
      </c>
      <c r="H399" s="9" t="s">
        <v>139</v>
      </c>
      <c r="I399" s="0" t="s">
        <v>43</v>
      </c>
      <c r="J399" s="9" t="s">
        <v>44</v>
      </c>
      <c r="K399" s="9" t="s">
        <v>30</v>
      </c>
      <c r="L399" s="9" t="s">
        <v>31</v>
      </c>
      <c r="M399" s="0" t="s">
        <v>140</v>
      </c>
      <c r="N399" s="0" t="n">
        <v>708</v>
      </c>
      <c r="O399" s="10" t="n">
        <v>0.834716210607439</v>
      </c>
      <c r="P399" s="10" t="n">
        <v>0.404358610976487</v>
      </c>
      <c r="Q399" s="0" t="str">
        <f aca="false">SUBSTITUTE(SUBSTITUTE($I399,CHAR(61),""),CHAR(34),"")</f>
        <v>35-49</v>
      </c>
      <c r="R399" s="0" t="str">
        <f aca="false">IF($D399&lt;&gt;"","["&amp;$E399&amp;"]"&amp;"|"&amp;$Q399&amp;"|"&amp;$K399&amp;"|"&amp;$G399&amp;"|"&amp;IF($G399="TX_CURR_SUBNAT.R","CY2022Q4",$M399),"")</f>
        <v>[GkIwZrXy1h2]|35-49|Female|POP_EST.T_1|CY2023Q3</v>
      </c>
    </row>
    <row r="400" customFormat="false" ht="15" hidden="false" customHeight="false" outlineLevel="0" collapsed="false">
      <c r="D400" s="9" t="s">
        <v>23</v>
      </c>
      <c r="E400" s="9" t="s">
        <v>24</v>
      </c>
      <c r="F400" s="9" t="s">
        <v>25</v>
      </c>
      <c r="G400" s="9" t="s">
        <v>138</v>
      </c>
      <c r="H400" s="9" t="s">
        <v>139</v>
      </c>
      <c r="I400" s="0" t="s">
        <v>45</v>
      </c>
      <c r="J400" s="9" t="s">
        <v>46</v>
      </c>
      <c r="K400" s="9" t="s">
        <v>30</v>
      </c>
      <c r="L400" s="9" t="s">
        <v>31</v>
      </c>
      <c r="M400" s="0" t="s">
        <v>140</v>
      </c>
      <c r="N400" s="0" t="n">
        <v>1175</v>
      </c>
      <c r="O400" s="10" t="n">
        <v>0.672533243196085</v>
      </c>
      <c r="P400" s="10" t="n">
        <v>0.404358610976487</v>
      </c>
      <c r="Q400" s="0" t="str">
        <f aca="false">SUBSTITUTE(SUBSTITUTE($I400,CHAR(61),""),CHAR(34),"")</f>
        <v>50+</v>
      </c>
      <c r="R400" s="0" t="str">
        <f aca="false">IF($D400&lt;&gt;"","["&amp;$E400&amp;"]"&amp;"|"&amp;$Q400&amp;"|"&amp;$K400&amp;"|"&amp;$G400&amp;"|"&amp;IF($G400="TX_CURR_SUBNAT.R","CY2022Q4",$M400),"")</f>
        <v>[GkIwZrXy1h2]|50+|Female|POP_EST.T_1|CY2023Q3</v>
      </c>
    </row>
    <row r="401" customFormat="false" ht="15" hidden="false" customHeight="false" outlineLevel="0" collapsed="false">
      <c r="D401" s="9" t="s">
        <v>23</v>
      </c>
      <c r="E401" s="9" t="s">
        <v>24</v>
      </c>
      <c r="F401" s="9" t="s">
        <v>25</v>
      </c>
      <c r="G401" s="9" t="s">
        <v>138</v>
      </c>
      <c r="H401" s="9" t="s">
        <v>139</v>
      </c>
      <c r="I401" s="0" t="s">
        <v>28</v>
      </c>
      <c r="J401" s="9" t="s">
        <v>29</v>
      </c>
      <c r="K401" s="9" t="s">
        <v>48</v>
      </c>
      <c r="L401" s="9" t="s">
        <v>49</v>
      </c>
      <c r="M401" s="0" t="s">
        <v>140</v>
      </c>
      <c r="N401" s="0" t="n">
        <v>772</v>
      </c>
      <c r="O401" s="10" t="n">
        <v>0.427317909197882</v>
      </c>
      <c r="P401" s="10" t="n">
        <v>0.404358610976487</v>
      </c>
      <c r="Q401" s="0" t="str">
        <f aca="false">SUBSTITUTE(SUBSTITUTE($I401,CHAR(61),""),CHAR(34),"")</f>
        <v>&lt;01</v>
      </c>
      <c r="R401" s="0" t="str">
        <f aca="false">IF($D401&lt;&gt;"","["&amp;$E401&amp;"]"&amp;"|"&amp;$Q401&amp;"|"&amp;$K401&amp;"|"&amp;$G401&amp;"|"&amp;IF($G401="TX_CURR_SUBNAT.R","CY2022Q4",$M401),"")</f>
        <v>[GkIwZrXy1h2]|&lt;01|Male|POP_EST.T_1|CY2023Q3</v>
      </c>
    </row>
    <row r="402" customFormat="false" ht="15" hidden="false" customHeight="false" outlineLevel="0" collapsed="false">
      <c r="D402" s="9" t="s">
        <v>23</v>
      </c>
      <c r="E402" s="9" t="s">
        <v>24</v>
      </c>
      <c r="F402" s="9" t="s">
        <v>25</v>
      </c>
      <c r="G402" s="9" t="s">
        <v>138</v>
      </c>
      <c r="H402" s="9" t="s">
        <v>139</v>
      </c>
      <c r="I402" s="0" t="s">
        <v>33</v>
      </c>
      <c r="J402" s="9" t="s">
        <v>34</v>
      </c>
      <c r="K402" s="9" t="s">
        <v>48</v>
      </c>
      <c r="L402" s="9" t="s">
        <v>49</v>
      </c>
      <c r="M402" s="0" t="s">
        <v>140</v>
      </c>
      <c r="N402" s="0" t="n">
        <v>1281</v>
      </c>
      <c r="O402" s="10" t="n">
        <v>0.864306598203257</v>
      </c>
      <c r="P402" s="10" t="n">
        <v>0.404358610976487</v>
      </c>
      <c r="Q402" s="0" t="str">
        <f aca="false">SUBSTITUTE(SUBSTITUTE($I402,CHAR(61),""),CHAR(34),"")</f>
        <v>01-09</v>
      </c>
      <c r="R402" s="0" t="str">
        <f aca="false">IF($D402&lt;&gt;"","["&amp;$E402&amp;"]"&amp;"|"&amp;$Q402&amp;"|"&amp;$K402&amp;"|"&amp;$G402&amp;"|"&amp;IF($G402="TX_CURR_SUBNAT.R","CY2022Q4",$M402),"")</f>
        <v>[GkIwZrXy1h2]|01-09|Male|POP_EST.T_1|CY2023Q3</v>
      </c>
    </row>
    <row r="403" customFormat="false" ht="15" hidden="false" customHeight="false" outlineLevel="0" collapsed="false">
      <c r="D403" s="9" t="s">
        <v>23</v>
      </c>
      <c r="E403" s="9" t="s">
        <v>24</v>
      </c>
      <c r="F403" s="9" t="s">
        <v>25</v>
      </c>
      <c r="G403" s="9" t="s">
        <v>138</v>
      </c>
      <c r="H403" s="9" t="s">
        <v>139</v>
      </c>
      <c r="I403" s="0" t="s">
        <v>36</v>
      </c>
      <c r="J403" s="9" t="s">
        <v>37</v>
      </c>
      <c r="K403" s="9" t="s">
        <v>48</v>
      </c>
      <c r="L403" s="9" t="s">
        <v>49</v>
      </c>
      <c r="M403" s="0" t="s">
        <v>140</v>
      </c>
      <c r="N403" s="0" t="n">
        <v>764</v>
      </c>
      <c r="O403" s="10" t="n">
        <v>0.831046617589891</v>
      </c>
      <c r="P403" s="10" t="n">
        <v>0.404358610976487</v>
      </c>
      <c r="Q403" s="0" t="str">
        <f aca="false">SUBSTITUTE(SUBSTITUTE($I403,CHAR(61),""),CHAR(34),"")</f>
        <v>10-14</v>
      </c>
      <c r="R403" s="0" t="str">
        <f aca="false">IF($D403&lt;&gt;"","["&amp;$E403&amp;"]"&amp;"|"&amp;$Q403&amp;"|"&amp;$K403&amp;"|"&amp;$G403&amp;"|"&amp;IF($G403="TX_CURR_SUBNAT.R","CY2022Q4",$M403),"")</f>
        <v>[GkIwZrXy1h2]|10-14|Male|POP_EST.T_1|CY2023Q3</v>
      </c>
    </row>
    <row r="404" customFormat="false" ht="15" hidden="false" customHeight="false" outlineLevel="0" collapsed="false">
      <c r="D404" s="9" t="s">
        <v>23</v>
      </c>
      <c r="E404" s="9" t="s">
        <v>24</v>
      </c>
      <c r="F404" s="9" t="s">
        <v>25</v>
      </c>
      <c r="G404" s="9" t="s">
        <v>138</v>
      </c>
      <c r="H404" s="9" t="s">
        <v>139</v>
      </c>
      <c r="I404" s="0" t="s">
        <v>38</v>
      </c>
      <c r="J404" s="9" t="s">
        <v>39</v>
      </c>
      <c r="K404" s="9" t="s">
        <v>48</v>
      </c>
      <c r="L404" s="9" t="s">
        <v>49</v>
      </c>
      <c r="M404" s="0" t="s">
        <v>140</v>
      </c>
      <c r="N404" s="0" t="n">
        <v>1977</v>
      </c>
      <c r="O404" s="10" t="n">
        <v>0.176131245214492</v>
      </c>
      <c r="P404" s="10" t="n">
        <v>0.404358610976487</v>
      </c>
      <c r="Q404" s="0" t="str">
        <f aca="false">SUBSTITUTE(SUBSTITUTE($I404,CHAR(61),""),CHAR(34),"")</f>
        <v>15-24</v>
      </c>
      <c r="R404" s="0" t="str">
        <f aca="false">IF($D404&lt;&gt;"","["&amp;$E404&amp;"]"&amp;"|"&amp;$Q404&amp;"|"&amp;$K404&amp;"|"&amp;$G404&amp;"|"&amp;IF($G404="TX_CURR_SUBNAT.R","CY2022Q4",$M404),"")</f>
        <v>[GkIwZrXy1h2]|15-24|Male|POP_EST.T_1|CY2023Q3</v>
      </c>
    </row>
    <row r="405" customFormat="false" ht="15" hidden="false" customHeight="false" outlineLevel="0" collapsed="false">
      <c r="D405" s="9" t="s">
        <v>23</v>
      </c>
      <c r="E405" s="9" t="s">
        <v>24</v>
      </c>
      <c r="F405" s="9" t="s">
        <v>25</v>
      </c>
      <c r="G405" s="9" t="s">
        <v>138</v>
      </c>
      <c r="H405" s="9" t="s">
        <v>139</v>
      </c>
      <c r="I405" s="0" t="s">
        <v>41</v>
      </c>
      <c r="J405" s="9" t="s">
        <v>42</v>
      </c>
      <c r="K405" s="9" t="s">
        <v>48</v>
      </c>
      <c r="L405" s="9" t="s">
        <v>49</v>
      </c>
      <c r="M405" s="0" t="s">
        <v>140</v>
      </c>
      <c r="N405" s="0" t="n">
        <v>638</v>
      </c>
      <c r="O405" s="10" t="n">
        <v>0.325542946346104</v>
      </c>
      <c r="P405" s="10" t="n">
        <v>0.404358610976487</v>
      </c>
      <c r="Q405" s="0" t="str">
        <f aca="false">SUBSTITUTE(SUBSTITUTE($I405,CHAR(61),""),CHAR(34),"")</f>
        <v>25-34</v>
      </c>
      <c r="R405" s="0" t="str">
        <f aca="false">IF($D405&lt;&gt;"","["&amp;$E405&amp;"]"&amp;"|"&amp;$Q405&amp;"|"&amp;$K405&amp;"|"&amp;$G405&amp;"|"&amp;IF($G405="TX_CURR_SUBNAT.R","CY2022Q4",$M405),"")</f>
        <v>[GkIwZrXy1h2]|25-34|Male|POP_EST.T_1|CY2023Q3</v>
      </c>
    </row>
    <row r="406" customFormat="false" ht="15" hidden="false" customHeight="false" outlineLevel="0" collapsed="false">
      <c r="D406" s="9" t="s">
        <v>23</v>
      </c>
      <c r="E406" s="9" t="s">
        <v>24</v>
      </c>
      <c r="F406" s="9" t="s">
        <v>25</v>
      </c>
      <c r="G406" s="9" t="s">
        <v>138</v>
      </c>
      <c r="H406" s="9" t="s">
        <v>139</v>
      </c>
      <c r="I406" s="0" t="s">
        <v>43</v>
      </c>
      <c r="J406" s="9" t="s">
        <v>44</v>
      </c>
      <c r="K406" s="9" t="s">
        <v>48</v>
      </c>
      <c r="L406" s="9" t="s">
        <v>49</v>
      </c>
      <c r="M406" s="0" t="s">
        <v>140</v>
      </c>
      <c r="N406" s="0" t="n">
        <v>687</v>
      </c>
      <c r="O406" s="10" t="n">
        <v>0.0188922241795808</v>
      </c>
      <c r="P406" s="10" t="n">
        <v>0.404358610976487</v>
      </c>
      <c r="Q406" s="0" t="str">
        <f aca="false">SUBSTITUTE(SUBSTITUTE($I406,CHAR(61),""),CHAR(34),"")</f>
        <v>35-49</v>
      </c>
      <c r="R406" s="0" t="str">
        <f aca="false">IF($D406&lt;&gt;"","["&amp;$E406&amp;"]"&amp;"|"&amp;$Q406&amp;"|"&amp;$K406&amp;"|"&amp;$G406&amp;"|"&amp;IF($G406="TX_CURR_SUBNAT.R","CY2022Q4",$M406),"")</f>
        <v>[GkIwZrXy1h2]|35-49|Male|POP_EST.T_1|CY2023Q3</v>
      </c>
    </row>
    <row r="407" customFormat="false" ht="15" hidden="false" customHeight="false" outlineLevel="0" collapsed="false">
      <c r="D407" s="9" t="s">
        <v>23</v>
      </c>
      <c r="E407" s="9" t="s">
        <v>24</v>
      </c>
      <c r="F407" s="9" t="s">
        <v>25</v>
      </c>
      <c r="G407" s="9" t="s">
        <v>138</v>
      </c>
      <c r="H407" s="9" t="s">
        <v>139</v>
      </c>
      <c r="I407" s="0" t="s">
        <v>45</v>
      </c>
      <c r="J407" s="9" t="s">
        <v>46</v>
      </c>
      <c r="K407" s="9" t="s">
        <v>48</v>
      </c>
      <c r="L407" s="9" t="s">
        <v>49</v>
      </c>
      <c r="M407" s="0" t="s">
        <v>140</v>
      </c>
      <c r="N407" s="0" t="n">
        <v>696</v>
      </c>
      <c r="O407" s="10" t="n">
        <v>0.256640429142863</v>
      </c>
      <c r="P407" s="10" t="n">
        <v>0.404358610976487</v>
      </c>
      <c r="Q407" s="0" t="str">
        <f aca="false">SUBSTITUTE(SUBSTITUTE($I407,CHAR(61),""),CHAR(34),"")</f>
        <v>50+</v>
      </c>
      <c r="R407" s="0" t="str">
        <f aca="false">IF($D407&lt;&gt;"","["&amp;$E407&amp;"]"&amp;"|"&amp;$Q407&amp;"|"&amp;$K407&amp;"|"&amp;$G407&amp;"|"&amp;IF($G407="TX_CURR_SUBNAT.R","CY2022Q4",$M407),"")</f>
        <v>[GkIwZrXy1h2]|50+|Male|POP_EST.T_1|CY2023Q3</v>
      </c>
    </row>
    <row r="408" customFormat="false" ht="15" hidden="false" customHeight="false" outlineLevel="0" collapsed="false">
      <c r="D408" s="9" t="s">
        <v>53</v>
      </c>
      <c r="E408" s="9" t="s">
        <v>54</v>
      </c>
      <c r="F408" s="9" t="s">
        <v>55</v>
      </c>
      <c r="G408" s="9" t="s">
        <v>138</v>
      </c>
      <c r="H408" s="9" t="s">
        <v>139</v>
      </c>
      <c r="I408" s="0" t="s">
        <v>28</v>
      </c>
      <c r="J408" s="9" t="s">
        <v>29</v>
      </c>
      <c r="K408" s="9" t="s">
        <v>30</v>
      </c>
      <c r="L408" s="9" t="s">
        <v>31</v>
      </c>
      <c r="M408" s="0" t="s">
        <v>140</v>
      </c>
      <c r="N408" s="0" t="n">
        <v>1295</v>
      </c>
      <c r="O408" s="10" t="n">
        <v>0.801276867976412</v>
      </c>
      <c r="P408" s="10" t="n">
        <v>0.616392469964921</v>
      </c>
      <c r="Q408" s="0" t="str">
        <f aca="false">SUBSTITUTE(SUBSTITUTE($I408,CHAR(61),""),CHAR(34),"")</f>
        <v>&lt;01</v>
      </c>
      <c r="R408" s="0" t="str">
        <f aca="false">IF($D408&lt;&gt;"","["&amp;$E408&amp;"]"&amp;"|"&amp;$Q408&amp;"|"&amp;$K408&amp;"|"&amp;$G408&amp;"|"&amp;IF($G408="TX_CURR_SUBNAT.R","CY2022Q4",$M408),"")</f>
        <v>[zphK9WV8JB4]|&lt;01|Female|POP_EST.T_1|CY2023Q3</v>
      </c>
    </row>
    <row r="409" customFormat="false" ht="15" hidden="false" customHeight="false" outlineLevel="0" collapsed="false">
      <c r="D409" s="9" t="s">
        <v>53</v>
      </c>
      <c r="E409" s="9" t="s">
        <v>54</v>
      </c>
      <c r="F409" s="9" t="s">
        <v>55</v>
      </c>
      <c r="G409" s="9" t="s">
        <v>138</v>
      </c>
      <c r="H409" s="9" t="s">
        <v>139</v>
      </c>
      <c r="I409" s="0" t="s">
        <v>33</v>
      </c>
      <c r="J409" s="9" t="s">
        <v>34</v>
      </c>
      <c r="K409" s="9" t="s">
        <v>30</v>
      </c>
      <c r="L409" s="9" t="s">
        <v>31</v>
      </c>
      <c r="M409" s="0" t="s">
        <v>140</v>
      </c>
      <c r="N409" s="0" t="n">
        <v>908</v>
      </c>
      <c r="O409" s="10" t="n">
        <v>0.243319214321673</v>
      </c>
      <c r="P409" s="10" t="n">
        <v>0.616392469964921</v>
      </c>
      <c r="Q409" s="0" t="str">
        <f aca="false">SUBSTITUTE(SUBSTITUTE($I409,CHAR(61),""),CHAR(34),"")</f>
        <v>01-09</v>
      </c>
      <c r="R409" s="0" t="str">
        <f aca="false">IF($D409&lt;&gt;"","["&amp;$E409&amp;"]"&amp;"|"&amp;$Q409&amp;"|"&amp;$K409&amp;"|"&amp;$G409&amp;"|"&amp;IF($G409="TX_CURR_SUBNAT.R","CY2022Q4",$M409),"")</f>
        <v>[zphK9WV8JB4]|01-09|Female|POP_EST.T_1|CY2023Q3</v>
      </c>
    </row>
    <row r="410" customFormat="false" ht="15" hidden="false" customHeight="false" outlineLevel="0" collapsed="false">
      <c r="D410" s="9" t="s">
        <v>53</v>
      </c>
      <c r="E410" s="9" t="s">
        <v>54</v>
      </c>
      <c r="F410" s="9" t="s">
        <v>55</v>
      </c>
      <c r="G410" s="9" t="s">
        <v>138</v>
      </c>
      <c r="H410" s="9" t="s">
        <v>139</v>
      </c>
      <c r="I410" s="0" t="s">
        <v>36</v>
      </c>
      <c r="J410" s="9" t="s">
        <v>37</v>
      </c>
      <c r="K410" s="9" t="s">
        <v>30</v>
      </c>
      <c r="L410" s="9" t="s">
        <v>31</v>
      </c>
      <c r="M410" s="0" t="s">
        <v>140</v>
      </c>
      <c r="N410" s="0" t="n">
        <v>884</v>
      </c>
      <c r="O410" s="10" t="n">
        <v>0.418264641426504</v>
      </c>
      <c r="P410" s="10" t="n">
        <v>0.616392469964921</v>
      </c>
      <c r="Q410" s="0" t="str">
        <f aca="false">SUBSTITUTE(SUBSTITUTE($I410,CHAR(61),""),CHAR(34),"")</f>
        <v>10-14</v>
      </c>
      <c r="R410" s="0" t="str">
        <f aca="false">IF($D410&lt;&gt;"","["&amp;$E410&amp;"]"&amp;"|"&amp;$Q410&amp;"|"&amp;$K410&amp;"|"&amp;$G410&amp;"|"&amp;IF($G410="TX_CURR_SUBNAT.R","CY2022Q4",$M410),"")</f>
        <v>[zphK9WV8JB4]|10-14|Female|POP_EST.T_1|CY2023Q3</v>
      </c>
    </row>
    <row r="411" customFormat="false" ht="15" hidden="false" customHeight="false" outlineLevel="0" collapsed="false">
      <c r="D411" s="9" t="s">
        <v>53</v>
      </c>
      <c r="E411" s="9" t="s">
        <v>54</v>
      </c>
      <c r="F411" s="9" t="s">
        <v>55</v>
      </c>
      <c r="G411" s="9" t="s">
        <v>138</v>
      </c>
      <c r="H411" s="9" t="s">
        <v>139</v>
      </c>
      <c r="I411" s="0" t="s">
        <v>38</v>
      </c>
      <c r="J411" s="9" t="s">
        <v>39</v>
      </c>
      <c r="K411" s="9" t="s">
        <v>30</v>
      </c>
      <c r="L411" s="9" t="s">
        <v>31</v>
      </c>
      <c r="M411" s="0" t="s">
        <v>140</v>
      </c>
      <c r="N411" s="0" t="n">
        <v>924</v>
      </c>
      <c r="O411" s="10" t="n">
        <v>0.575222339481115</v>
      </c>
      <c r="P411" s="10" t="n">
        <v>0.616392469964921</v>
      </c>
      <c r="Q411" s="0" t="str">
        <f aca="false">SUBSTITUTE(SUBSTITUTE($I411,CHAR(61),""),CHAR(34),"")</f>
        <v>15-24</v>
      </c>
      <c r="R411" s="0" t="str">
        <f aca="false">IF($D411&lt;&gt;"","["&amp;$E411&amp;"]"&amp;"|"&amp;$Q411&amp;"|"&amp;$K411&amp;"|"&amp;$G411&amp;"|"&amp;IF($G411="TX_CURR_SUBNAT.R","CY2022Q4",$M411),"")</f>
        <v>[zphK9WV8JB4]|15-24|Female|POP_EST.T_1|CY2023Q3</v>
      </c>
    </row>
    <row r="412" customFormat="false" ht="15" hidden="false" customHeight="false" outlineLevel="0" collapsed="false">
      <c r="D412" s="9" t="s">
        <v>53</v>
      </c>
      <c r="E412" s="9" t="s">
        <v>54</v>
      </c>
      <c r="F412" s="9" t="s">
        <v>55</v>
      </c>
      <c r="G412" s="9" t="s">
        <v>138</v>
      </c>
      <c r="H412" s="9" t="s">
        <v>139</v>
      </c>
      <c r="I412" s="0" t="s">
        <v>41</v>
      </c>
      <c r="J412" s="9" t="s">
        <v>42</v>
      </c>
      <c r="K412" s="9" t="s">
        <v>30</v>
      </c>
      <c r="L412" s="9" t="s">
        <v>31</v>
      </c>
      <c r="M412" s="0" t="s">
        <v>140</v>
      </c>
      <c r="N412" s="0" t="n">
        <v>1916</v>
      </c>
      <c r="O412" s="10" t="n">
        <v>0.29192044516094</v>
      </c>
      <c r="P412" s="10" t="n">
        <v>0.616392469964921</v>
      </c>
      <c r="Q412" s="0" t="str">
        <f aca="false">SUBSTITUTE(SUBSTITUTE($I412,CHAR(61),""),CHAR(34),"")</f>
        <v>25-34</v>
      </c>
      <c r="R412" s="0" t="str">
        <f aca="false">IF($D412&lt;&gt;"","["&amp;$E412&amp;"]"&amp;"|"&amp;$Q412&amp;"|"&amp;$K412&amp;"|"&amp;$G412&amp;"|"&amp;IF($G412="TX_CURR_SUBNAT.R","CY2022Q4",$M412),"")</f>
        <v>[zphK9WV8JB4]|25-34|Female|POP_EST.T_1|CY2023Q3</v>
      </c>
    </row>
    <row r="413" customFormat="false" ht="15" hidden="false" customHeight="false" outlineLevel="0" collapsed="false">
      <c r="D413" s="9" t="s">
        <v>53</v>
      </c>
      <c r="E413" s="9" t="s">
        <v>54</v>
      </c>
      <c r="F413" s="9" t="s">
        <v>55</v>
      </c>
      <c r="G413" s="9" t="s">
        <v>138</v>
      </c>
      <c r="H413" s="9" t="s">
        <v>139</v>
      </c>
      <c r="I413" s="0" t="s">
        <v>43</v>
      </c>
      <c r="J413" s="9" t="s">
        <v>44</v>
      </c>
      <c r="K413" s="9" t="s">
        <v>30</v>
      </c>
      <c r="L413" s="9" t="s">
        <v>31</v>
      </c>
      <c r="M413" s="0" t="s">
        <v>140</v>
      </c>
      <c r="N413" s="0" t="n">
        <v>1881</v>
      </c>
      <c r="O413" s="10" t="n">
        <v>0.594744550762698</v>
      </c>
      <c r="P413" s="10" t="n">
        <v>0.616392469964921</v>
      </c>
      <c r="Q413" s="0" t="str">
        <f aca="false">SUBSTITUTE(SUBSTITUTE($I413,CHAR(61),""),CHAR(34),"")</f>
        <v>35-49</v>
      </c>
      <c r="R413" s="0" t="str">
        <f aca="false">IF($D413&lt;&gt;"","["&amp;$E413&amp;"]"&amp;"|"&amp;$Q413&amp;"|"&amp;$K413&amp;"|"&amp;$G413&amp;"|"&amp;IF($G413="TX_CURR_SUBNAT.R","CY2022Q4",$M413),"")</f>
        <v>[zphK9WV8JB4]|35-49|Female|POP_EST.T_1|CY2023Q3</v>
      </c>
    </row>
    <row r="414" customFormat="false" ht="15" hidden="false" customHeight="false" outlineLevel="0" collapsed="false">
      <c r="D414" s="9" t="s">
        <v>53</v>
      </c>
      <c r="E414" s="9" t="s">
        <v>54</v>
      </c>
      <c r="F414" s="9" t="s">
        <v>55</v>
      </c>
      <c r="G414" s="9" t="s">
        <v>138</v>
      </c>
      <c r="H414" s="9" t="s">
        <v>139</v>
      </c>
      <c r="I414" s="0" t="s">
        <v>45</v>
      </c>
      <c r="J414" s="9" t="s">
        <v>46</v>
      </c>
      <c r="K414" s="9" t="s">
        <v>30</v>
      </c>
      <c r="L414" s="9" t="s">
        <v>31</v>
      </c>
      <c r="M414" s="0" t="s">
        <v>140</v>
      </c>
      <c r="N414" s="0" t="n">
        <v>915</v>
      </c>
      <c r="O414" s="10" t="n">
        <v>0.42850791127421</v>
      </c>
      <c r="P414" s="10" t="n">
        <v>0.616392469964921</v>
      </c>
      <c r="Q414" s="0" t="str">
        <f aca="false">SUBSTITUTE(SUBSTITUTE($I414,CHAR(61),""),CHAR(34),"")</f>
        <v>50+</v>
      </c>
      <c r="R414" s="0" t="str">
        <f aca="false">IF($D414&lt;&gt;"","["&amp;$E414&amp;"]"&amp;"|"&amp;$Q414&amp;"|"&amp;$K414&amp;"|"&amp;$G414&amp;"|"&amp;IF($G414="TX_CURR_SUBNAT.R","CY2022Q4",$M414),"")</f>
        <v>[zphK9WV8JB4]|50+|Female|POP_EST.T_1|CY2023Q3</v>
      </c>
    </row>
    <row r="415" customFormat="false" ht="15" hidden="false" customHeight="false" outlineLevel="0" collapsed="false">
      <c r="D415" s="9" t="s">
        <v>53</v>
      </c>
      <c r="E415" s="9" t="s">
        <v>54</v>
      </c>
      <c r="F415" s="9" t="s">
        <v>55</v>
      </c>
      <c r="G415" s="9" t="s">
        <v>138</v>
      </c>
      <c r="H415" s="9" t="s">
        <v>139</v>
      </c>
      <c r="I415" s="0" t="s">
        <v>28</v>
      </c>
      <c r="J415" s="9" t="s">
        <v>29</v>
      </c>
      <c r="K415" s="9" t="s">
        <v>48</v>
      </c>
      <c r="L415" s="9" t="s">
        <v>49</v>
      </c>
      <c r="M415" s="0" t="s">
        <v>140</v>
      </c>
      <c r="N415" s="0" t="n">
        <v>1937</v>
      </c>
      <c r="O415" s="10" t="n">
        <v>0.859651701757684</v>
      </c>
      <c r="P415" s="10" t="n">
        <v>0.616392469964921</v>
      </c>
      <c r="Q415" s="0" t="str">
        <f aca="false">SUBSTITUTE(SUBSTITUTE($I415,CHAR(61),""),CHAR(34),"")</f>
        <v>&lt;01</v>
      </c>
      <c r="R415" s="0" t="str">
        <f aca="false">IF($D415&lt;&gt;"","["&amp;$E415&amp;"]"&amp;"|"&amp;$Q415&amp;"|"&amp;$K415&amp;"|"&amp;$G415&amp;"|"&amp;IF($G415="TX_CURR_SUBNAT.R","CY2022Q4",$M415),"")</f>
        <v>[zphK9WV8JB4]|&lt;01|Male|POP_EST.T_1|CY2023Q3</v>
      </c>
    </row>
    <row r="416" customFormat="false" ht="15" hidden="false" customHeight="false" outlineLevel="0" collapsed="false">
      <c r="D416" s="9" t="s">
        <v>53</v>
      </c>
      <c r="E416" s="9" t="s">
        <v>54</v>
      </c>
      <c r="F416" s="9" t="s">
        <v>55</v>
      </c>
      <c r="G416" s="9" t="s">
        <v>138</v>
      </c>
      <c r="H416" s="9" t="s">
        <v>139</v>
      </c>
      <c r="I416" s="0" t="s">
        <v>33</v>
      </c>
      <c r="J416" s="9" t="s">
        <v>34</v>
      </c>
      <c r="K416" s="9" t="s">
        <v>48</v>
      </c>
      <c r="L416" s="9" t="s">
        <v>49</v>
      </c>
      <c r="M416" s="0" t="s">
        <v>140</v>
      </c>
      <c r="N416" s="0" t="n">
        <v>1687</v>
      </c>
      <c r="O416" s="10" t="n">
        <v>0.366833583451807</v>
      </c>
      <c r="P416" s="10" t="n">
        <v>0.616392469964921</v>
      </c>
      <c r="Q416" s="0" t="str">
        <f aca="false">SUBSTITUTE(SUBSTITUTE($I416,CHAR(61),""),CHAR(34),"")</f>
        <v>01-09</v>
      </c>
      <c r="R416" s="0" t="str">
        <f aca="false">IF($D416&lt;&gt;"","["&amp;$E416&amp;"]"&amp;"|"&amp;$Q416&amp;"|"&amp;$K416&amp;"|"&amp;$G416&amp;"|"&amp;IF($G416="TX_CURR_SUBNAT.R","CY2022Q4",$M416),"")</f>
        <v>[zphK9WV8JB4]|01-09|Male|POP_EST.T_1|CY2023Q3</v>
      </c>
    </row>
    <row r="417" customFormat="false" ht="15" hidden="false" customHeight="false" outlineLevel="0" collapsed="false">
      <c r="D417" s="9" t="s">
        <v>53</v>
      </c>
      <c r="E417" s="9" t="s">
        <v>54</v>
      </c>
      <c r="F417" s="9" t="s">
        <v>55</v>
      </c>
      <c r="G417" s="9" t="s">
        <v>138</v>
      </c>
      <c r="H417" s="9" t="s">
        <v>139</v>
      </c>
      <c r="I417" s="0" t="s">
        <v>36</v>
      </c>
      <c r="J417" s="9" t="s">
        <v>37</v>
      </c>
      <c r="K417" s="9" t="s">
        <v>48</v>
      </c>
      <c r="L417" s="9" t="s">
        <v>49</v>
      </c>
      <c r="M417" s="0" t="s">
        <v>140</v>
      </c>
      <c r="N417" s="0" t="n">
        <v>1837</v>
      </c>
      <c r="O417" s="10" t="n">
        <v>0.890445564640686</v>
      </c>
      <c r="P417" s="10" t="n">
        <v>0.616392469964921</v>
      </c>
      <c r="Q417" s="0" t="str">
        <f aca="false">SUBSTITUTE(SUBSTITUTE($I417,CHAR(61),""),CHAR(34),"")</f>
        <v>10-14</v>
      </c>
      <c r="R417" s="0" t="str">
        <f aca="false">IF($D417&lt;&gt;"","["&amp;$E417&amp;"]"&amp;"|"&amp;$Q417&amp;"|"&amp;$K417&amp;"|"&amp;$G417&amp;"|"&amp;IF($G417="TX_CURR_SUBNAT.R","CY2022Q4",$M417),"")</f>
        <v>[zphK9WV8JB4]|10-14|Male|POP_EST.T_1|CY2023Q3</v>
      </c>
    </row>
    <row r="418" customFormat="false" ht="15" hidden="false" customHeight="false" outlineLevel="0" collapsed="false">
      <c r="D418" s="9" t="s">
        <v>53</v>
      </c>
      <c r="E418" s="9" t="s">
        <v>54</v>
      </c>
      <c r="F418" s="9" t="s">
        <v>55</v>
      </c>
      <c r="G418" s="9" t="s">
        <v>138</v>
      </c>
      <c r="H418" s="9" t="s">
        <v>139</v>
      </c>
      <c r="I418" s="0" t="s">
        <v>38</v>
      </c>
      <c r="J418" s="9" t="s">
        <v>39</v>
      </c>
      <c r="K418" s="9" t="s">
        <v>48</v>
      </c>
      <c r="L418" s="9" t="s">
        <v>49</v>
      </c>
      <c r="M418" s="0" t="s">
        <v>140</v>
      </c>
      <c r="N418" s="0" t="n">
        <v>1452</v>
      </c>
      <c r="O418" s="10" t="n">
        <v>0.246383879566565</v>
      </c>
      <c r="P418" s="10" t="n">
        <v>0.616392469964921</v>
      </c>
      <c r="Q418" s="0" t="str">
        <f aca="false">SUBSTITUTE(SUBSTITUTE($I418,CHAR(61),""),CHAR(34),"")</f>
        <v>15-24</v>
      </c>
      <c r="R418" s="0" t="str">
        <f aca="false">IF($D418&lt;&gt;"","["&amp;$E418&amp;"]"&amp;"|"&amp;$Q418&amp;"|"&amp;$K418&amp;"|"&amp;$G418&amp;"|"&amp;IF($G418="TX_CURR_SUBNAT.R","CY2022Q4",$M418),"")</f>
        <v>[zphK9WV8JB4]|15-24|Male|POP_EST.T_1|CY2023Q3</v>
      </c>
    </row>
    <row r="419" customFormat="false" ht="15" hidden="false" customHeight="false" outlineLevel="0" collapsed="false">
      <c r="D419" s="9" t="s">
        <v>53</v>
      </c>
      <c r="E419" s="9" t="s">
        <v>54</v>
      </c>
      <c r="F419" s="9" t="s">
        <v>55</v>
      </c>
      <c r="G419" s="9" t="s">
        <v>138</v>
      </c>
      <c r="H419" s="9" t="s">
        <v>139</v>
      </c>
      <c r="I419" s="0" t="s">
        <v>41</v>
      </c>
      <c r="J419" s="9" t="s">
        <v>42</v>
      </c>
      <c r="K419" s="9" t="s">
        <v>48</v>
      </c>
      <c r="L419" s="9" t="s">
        <v>49</v>
      </c>
      <c r="M419" s="0" t="s">
        <v>140</v>
      </c>
      <c r="N419" s="0" t="n">
        <v>902</v>
      </c>
      <c r="O419" s="10" t="n">
        <v>0.804028676822782</v>
      </c>
      <c r="P419" s="10" t="n">
        <v>0.616392469964921</v>
      </c>
      <c r="Q419" s="0" t="str">
        <f aca="false">SUBSTITUTE(SUBSTITUTE($I419,CHAR(61),""),CHAR(34),"")</f>
        <v>25-34</v>
      </c>
      <c r="R419" s="0" t="str">
        <f aca="false">IF($D419&lt;&gt;"","["&amp;$E419&amp;"]"&amp;"|"&amp;$Q419&amp;"|"&amp;$K419&amp;"|"&amp;$G419&amp;"|"&amp;IF($G419="TX_CURR_SUBNAT.R","CY2022Q4",$M419),"")</f>
        <v>[zphK9WV8JB4]|25-34|Male|POP_EST.T_1|CY2023Q3</v>
      </c>
    </row>
    <row r="420" customFormat="false" ht="15" hidden="false" customHeight="false" outlineLevel="0" collapsed="false">
      <c r="D420" s="9" t="s">
        <v>53</v>
      </c>
      <c r="E420" s="9" t="s">
        <v>54</v>
      </c>
      <c r="F420" s="9" t="s">
        <v>55</v>
      </c>
      <c r="G420" s="9" t="s">
        <v>138</v>
      </c>
      <c r="H420" s="9" t="s">
        <v>139</v>
      </c>
      <c r="I420" s="0" t="s">
        <v>43</v>
      </c>
      <c r="J420" s="9" t="s">
        <v>44</v>
      </c>
      <c r="K420" s="9" t="s">
        <v>48</v>
      </c>
      <c r="L420" s="9" t="s">
        <v>49</v>
      </c>
      <c r="M420" s="0" t="s">
        <v>140</v>
      </c>
      <c r="N420" s="0" t="n">
        <v>1463</v>
      </c>
      <c r="O420" s="10" t="n">
        <v>0.465931551065296</v>
      </c>
      <c r="P420" s="10" t="n">
        <v>0.616392469964921</v>
      </c>
      <c r="Q420" s="0" t="str">
        <f aca="false">SUBSTITUTE(SUBSTITUTE($I420,CHAR(61),""),CHAR(34),"")</f>
        <v>35-49</v>
      </c>
      <c r="R420" s="0" t="str">
        <f aca="false">IF($D420&lt;&gt;"","["&amp;$E420&amp;"]"&amp;"|"&amp;$Q420&amp;"|"&amp;$K420&amp;"|"&amp;$G420&amp;"|"&amp;IF($G420="TX_CURR_SUBNAT.R","CY2022Q4",$M420),"")</f>
        <v>[zphK9WV8JB4]|35-49|Male|POP_EST.T_1|CY2023Q3</v>
      </c>
    </row>
    <row r="421" customFormat="false" ht="15" hidden="false" customHeight="false" outlineLevel="0" collapsed="false">
      <c r="D421" s="9" t="s">
        <v>53</v>
      </c>
      <c r="E421" s="9" t="s">
        <v>54</v>
      </c>
      <c r="F421" s="9" t="s">
        <v>55</v>
      </c>
      <c r="G421" s="9" t="s">
        <v>138</v>
      </c>
      <c r="H421" s="9" t="s">
        <v>139</v>
      </c>
      <c r="I421" s="0" t="s">
        <v>45</v>
      </c>
      <c r="J421" s="9" t="s">
        <v>46</v>
      </c>
      <c r="K421" s="9" t="s">
        <v>48</v>
      </c>
      <c r="L421" s="9" t="s">
        <v>49</v>
      </c>
      <c r="M421" s="0" t="s">
        <v>140</v>
      </c>
      <c r="N421" s="0" t="n">
        <v>816</v>
      </c>
      <c r="O421" s="10" t="n">
        <v>0.646340627223253</v>
      </c>
      <c r="P421" s="10" t="n">
        <v>0.616392469964921</v>
      </c>
      <c r="Q421" s="0" t="str">
        <f aca="false">SUBSTITUTE(SUBSTITUTE($I421,CHAR(61),""),CHAR(34),"")</f>
        <v>50+</v>
      </c>
      <c r="R421" s="0" t="str">
        <f aca="false">IF($D421&lt;&gt;"","["&amp;$E421&amp;"]"&amp;"|"&amp;$Q421&amp;"|"&amp;$K421&amp;"|"&amp;$G421&amp;"|"&amp;IF($G421="TX_CURR_SUBNAT.R","CY2022Q4",$M421),"")</f>
        <v>[zphK9WV8JB4]|50+|Male|POP_EST.T_1|CY2023Q3</v>
      </c>
    </row>
    <row r="422" customFormat="false" ht="15" hidden="false" customHeight="false" outlineLevel="0" collapsed="false">
      <c r="D422" s="9" t="s">
        <v>60</v>
      </c>
      <c r="E422" s="9" t="s">
        <v>61</v>
      </c>
      <c r="F422" s="9" t="s">
        <v>62</v>
      </c>
      <c r="G422" s="9" t="s">
        <v>138</v>
      </c>
      <c r="H422" s="9" t="s">
        <v>139</v>
      </c>
      <c r="I422" s="0" t="s">
        <v>28</v>
      </c>
      <c r="J422" s="9" t="s">
        <v>29</v>
      </c>
      <c r="K422" s="9" t="s">
        <v>30</v>
      </c>
      <c r="L422" s="9" t="s">
        <v>31</v>
      </c>
      <c r="M422" s="0" t="s">
        <v>140</v>
      </c>
      <c r="N422" s="0" t="n">
        <v>627</v>
      </c>
      <c r="O422" s="10" t="n">
        <v>0.750869661103934</v>
      </c>
      <c r="P422" s="10" t="n">
        <v>0.0268250561784953</v>
      </c>
      <c r="Q422" s="0" t="str">
        <f aca="false">SUBSTITUTE(SUBSTITUTE($I422,CHAR(61),""),CHAR(34),"")</f>
        <v>&lt;01</v>
      </c>
      <c r="R422" s="0" t="str">
        <f aca="false">IF($D422&lt;&gt;"","["&amp;$E422&amp;"]"&amp;"|"&amp;$Q422&amp;"|"&amp;$K422&amp;"|"&amp;$G422&amp;"|"&amp;IF($G422="TX_CURR_SUBNAT.R","CY2022Q4",$M422),"")</f>
        <v>[msW2zpIN7up]|&lt;01|Female|POP_EST.T_1|CY2023Q3</v>
      </c>
    </row>
    <row r="423" customFormat="false" ht="15" hidden="false" customHeight="false" outlineLevel="0" collapsed="false">
      <c r="D423" s="9" t="s">
        <v>60</v>
      </c>
      <c r="E423" s="9" t="s">
        <v>61</v>
      </c>
      <c r="F423" s="9" t="s">
        <v>62</v>
      </c>
      <c r="G423" s="9" t="s">
        <v>138</v>
      </c>
      <c r="H423" s="9" t="s">
        <v>139</v>
      </c>
      <c r="I423" s="0" t="s">
        <v>33</v>
      </c>
      <c r="J423" s="9" t="s">
        <v>34</v>
      </c>
      <c r="K423" s="9" t="s">
        <v>30</v>
      </c>
      <c r="L423" s="9" t="s">
        <v>31</v>
      </c>
      <c r="M423" s="0" t="s">
        <v>140</v>
      </c>
      <c r="N423" s="0" t="n">
        <v>1587</v>
      </c>
      <c r="O423" s="10" t="n">
        <v>0.560530431801453</v>
      </c>
      <c r="P423" s="10" t="n">
        <v>0.0268250561784953</v>
      </c>
      <c r="Q423" s="0" t="str">
        <f aca="false">SUBSTITUTE(SUBSTITUTE($I423,CHAR(61),""),CHAR(34),"")</f>
        <v>01-09</v>
      </c>
      <c r="R423" s="0" t="str">
        <f aca="false">IF($D423&lt;&gt;"","["&amp;$E423&amp;"]"&amp;"|"&amp;$Q423&amp;"|"&amp;$K423&amp;"|"&amp;$G423&amp;"|"&amp;IF($G423="TX_CURR_SUBNAT.R","CY2022Q4",$M423),"")</f>
        <v>[msW2zpIN7up]|01-09|Female|POP_EST.T_1|CY2023Q3</v>
      </c>
    </row>
    <row r="424" customFormat="false" ht="15" hidden="false" customHeight="false" outlineLevel="0" collapsed="false">
      <c r="D424" s="9" t="s">
        <v>60</v>
      </c>
      <c r="E424" s="9" t="s">
        <v>61</v>
      </c>
      <c r="F424" s="9" t="s">
        <v>62</v>
      </c>
      <c r="G424" s="9" t="s">
        <v>138</v>
      </c>
      <c r="H424" s="9" t="s">
        <v>139</v>
      </c>
      <c r="I424" s="0" t="s">
        <v>36</v>
      </c>
      <c r="J424" s="9" t="s">
        <v>37</v>
      </c>
      <c r="K424" s="9" t="s">
        <v>30</v>
      </c>
      <c r="L424" s="9" t="s">
        <v>31</v>
      </c>
      <c r="M424" s="0" t="s">
        <v>140</v>
      </c>
      <c r="N424" s="0" t="n">
        <v>1441</v>
      </c>
      <c r="O424" s="10" t="n">
        <v>0.732614084612578</v>
      </c>
      <c r="P424" s="10" t="n">
        <v>0.0268250561784953</v>
      </c>
      <c r="Q424" s="0" t="str">
        <f aca="false">SUBSTITUTE(SUBSTITUTE($I424,CHAR(61),""),CHAR(34),"")</f>
        <v>10-14</v>
      </c>
      <c r="R424" s="0" t="str">
        <f aca="false">IF($D424&lt;&gt;"","["&amp;$E424&amp;"]"&amp;"|"&amp;$Q424&amp;"|"&amp;$K424&amp;"|"&amp;$G424&amp;"|"&amp;IF($G424="TX_CURR_SUBNAT.R","CY2022Q4",$M424),"")</f>
        <v>[msW2zpIN7up]|10-14|Female|POP_EST.T_1|CY2023Q3</v>
      </c>
    </row>
    <row r="425" customFormat="false" ht="15" hidden="false" customHeight="false" outlineLevel="0" collapsed="false">
      <c r="D425" s="9" t="s">
        <v>60</v>
      </c>
      <c r="E425" s="9" t="s">
        <v>61</v>
      </c>
      <c r="F425" s="9" t="s">
        <v>62</v>
      </c>
      <c r="G425" s="9" t="s">
        <v>138</v>
      </c>
      <c r="H425" s="9" t="s">
        <v>139</v>
      </c>
      <c r="I425" s="0" t="s">
        <v>38</v>
      </c>
      <c r="J425" s="9" t="s">
        <v>39</v>
      </c>
      <c r="K425" s="9" t="s">
        <v>30</v>
      </c>
      <c r="L425" s="9" t="s">
        <v>31</v>
      </c>
      <c r="M425" s="0" t="s">
        <v>140</v>
      </c>
      <c r="N425" s="0" t="n">
        <v>500</v>
      </c>
      <c r="O425" s="10" t="n">
        <v>0.736276784678921</v>
      </c>
      <c r="P425" s="10" t="n">
        <v>0.0268250561784953</v>
      </c>
      <c r="Q425" s="0" t="str">
        <f aca="false">SUBSTITUTE(SUBSTITUTE($I425,CHAR(61),""),CHAR(34),"")</f>
        <v>15-24</v>
      </c>
      <c r="R425" s="0" t="str">
        <f aca="false">IF($D425&lt;&gt;"","["&amp;$E425&amp;"]"&amp;"|"&amp;$Q425&amp;"|"&amp;$K425&amp;"|"&amp;$G425&amp;"|"&amp;IF($G425="TX_CURR_SUBNAT.R","CY2022Q4",$M425),"")</f>
        <v>[msW2zpIN7up]|15-24|Female|POP_EST.T_1|CY2023Q3</v>
      </c>
    </row>
    <row r="426" customFormat="false" ht="15" hidden="false" customHeight="false" outlineLevel="0" collapsed="false">
      <c r="D426" s="9" t="s">
        <v>60</v>
      </c>
      <c r="E426" s="9" t="s">
        <v>61</v>
      </c>
      <c r="F426" s="9" t="s">
        <v>62</v>
      </c>
      <c r="G426" s="9" t="s">
        <v>138</v>
      </c>
      <c r="H426" s="9" t="s">
        <v>139</v>
      </c>
      <c r="I426" s="0" t="s">
        <v>41</v>
      </c>
      <c r="J426" s="9" t="s">
        <v>42</v>
      </c>
      <c r="K426" s="9" t="s">
        <v>30</v>
      </c>
      <c r="L426" s="9" t="s">
        <v>31</v>
      </c>
      <c r="M426" s="0" t="s">
        <v>140</v>
      </c>
      <c r="N426" s="0" t="n">
        <v>1415</v>
      </c>
      <c r="O426" s="10" t="n">
        <v>0.748054559575394</v>
      </c>
      <c r="P426" s="10" t="n">
        <v>0.0268250561784953</v>
      </c>
      <c r="Q426" s="0" t="str">
        <f aca="false">SUBSTITUTE(SUBSTITUTE($I426,CHAR(61),""),CHAR(34),"")</f>
        <v>25-34</v>
      </c>
      <c r="R426" s="0" t="str">
        <f aca="false">IF($D426&lt;&gt;"","["&amp;$E426&amp;"]"&amp;"|"&amp;$Q426&amp;"|"&amp;$K426&amp;"|"&amp;$G426&amp;"|"&amp;IF($G426="TX_CURR_SUBNAT.R","CY2022Q4",$M426),"")</f>
        <v>[msW2zpIN7up]|25-34|Female|POP_EST.T_1|CY2023Q3</v>
      </c>
    </row>
    <row r="427" customFormat="false" ht="15" hidden="false" customHeight="false" outlineLevel="0" collapsed="false">
      <c r="D427" s="9" t="s">
        <v>60</v>
      </c>
      <c r="E427" s="9" t="s">
        <v>61</v>
      </c>
      <c r="F427" s="9" t="s">
        <v>62</v>
      </c>
      <c r="G427" s="9" t="s">
        <v>138</v>
      </c>
      <c r="H427" s="9" t="s">
        <v>139</v>
      </c>
      <c r="I427" s="0" t="s">
        <v>43</v>
      </c>
      <c r="J427" s="9" t="s">
        <v>44</v>
      </c>
      <c r="K427" s="9" t="s">
        <v>30</v>
      </c>
      <c r="L427" s="9" t="s">
        <v>31</v>
      </c>
      <c r="M427" s="0" t="s">
        <v>140</v>
      </c>
      <c r="N427" s="0" t="n">
        <v>1393</v>
      </c>
      <c r="O427" s="10" t="n">
        <v>0.438918449683115</v>
      </c>
      <c r="P427" s="10" t="n">
        <v>0.0268250561784953</v>
      </c>
      <c r="Q427" s="0" t="str">
        <f aca="false">SUBSTITUTE(SUBSTITUTE($I427,CHAR(61),""),CHAR(34),"")</f>
        <v>35-49</v>
      </c>
      <c r="R427" s="0" t="str">
        <f aca="false">IF($D427&lt;&gt;"","["&amp;$E427&amp;"]"&amp;"|"&amp;$Q427&amp;"|"&amp;$K427&amp;"|"&amp;$G427&amp;"|"&amp;IF($G427="TX_CURR_SUBNAT.R","CY2022Q4",$M427),"")</f>
        <v>[msW2zpIN7up]|35-49|Female|POP_EST.T_1|CY2023Q3</v>
      </c>
    </row>
    <row r="428" customFormat="false" ht="15" hidden="false" customHeight="false" outlineLevel="0" collapsed="false">
      <c r="D428" s="9" t="s">
        <v>60</v>
      </c>
      <c r="E428" s="9" t="s">
        <v>61</v>
      </c>
      <c r="F428" s="9" t="s">
        <v>62</v>
      </c>
      <c r="G428" s="9" t="s">
        <v>138</v>
      </c>
      <c r="H428" s="9" t="s">
        <v>139</v>
      </c>
      <c r="I428" s="0" t="s">
        <v>45</v>
      </c>
      <c r="J428" s="9" t="s">
        <v>46</v>
      </c>
      <c r="K428" s="9" t="s">
        <v>30</v>
      </c>
      <c r="L428" s="9" t="s">
        <v>31</v>
      </c>
      <c r="M428" s="0" t="s">
        <v>140</v>
      </c>
      <c r="N428" s="0" t="n">
        <v>1473</v>
      </c>
      <c r="O428" s="10" t="n">
        <v>0.366353407036513</v>
      </c>
      <c r="P428" s="10" t="n">
        <v>0.0268250561784953</v>
      </c>
      <c r="Q428" s="0" t="str">
        <f aca="false">SUBSTITUTE(SUBSTITUTE($I428,CHAR(61),""),CHAR(34),"")</f>
        <v>50+</v>
      </c>
      <c r="R428" s="0" t="str">
        <f aca="false">IF($D428&lt;&gt;"","["&amp;$E428&amp;"]"&amp;"|"&amp;$Q428&amp;"|"&amp;$K428&amp;"|"&amp;$G428&amp;"|"&amp;IF($G428="TX_CURR_SUBNAT.R","CY2022Q4",$M428),"")</f>
        <v>[msW2zpIN7up]|50+|Female|POP_EST.T_1|CY2023Q3</v>
      </c>
    </row>
    <row r="429" customFormat="false" ht="15" hidden="false" customHeight="false" outlineLevel="0" collapsed="false">
      <c r="D429" s="9" t="s">
        <v>60</v>
      </c>
      <c r="E429" s="9" t="s">
        <v>61</v>
      </c>
      <c r="F429" s="9" t="s">
        <v>62</v>
      </c>
      <c r="G429" s="9" t="s">
        <v>138</v>
      </c>
      <c r="H429" s="9" t="s">
        <v>139</v>
      </c>
      <c r="I429" s="0" t="s">
        <v>28</v>
      </c>
      <c r="J429" s="9" t="s">
        <v>29</v>
      </c>
      <c r="K429" s="9" t="s">
        <v>48</v>
      </c>
      <c r="L429" s="9" t="s">
        <v>49</v>
      </c>
      <c r="M429" s="0" t="s">
        <v>140</v>
      </c>
      <c r="N429" s="0" t="n">
        <v>620</v>
      </c>
      <c r="O429" s="10" t="n">
        <v>0.342307467013597</v>
      </c>
      <c r="P429" s="10" t="n">
        <v>0.0268250561784953</v>
      </c>
      <c r="Q429" s="0" t="str">
        <f aca="false">SUBSTITUTE(SUBSTITUTE($I429,CHAR(61),""),CHAR(34),"")</f>
        <v>&lt;01</v>
      </c>
      <c r="R429" s="0" t="str">
        <f aca="false">IF($D429&lt;&gt;"","["&amp;$E429&amp;"]"&amp;"|"&amp;$Q429&amp;"|"&amp;$K429&amp;"|"&amp;$G429&amp;"|"&amp;IF($G429="TX_CURR_SUBNAT.R","CY2022Q4",$M429),"")</f>
        <v>[msW2zpIN7up]|&lt;01|Male|POP_EST.T_1|CY2023Q3</v>
      </c>
    </row>
    <row r="430" customFormat="false" ht="15" hidden="false" customHeight="false" outlineLevel="0" collapsed="false">
      <c r="D430" s="9" t="s">
        <v>60</v>
      </c>
      <c r="E430" s="9" t="s">
        <v>61</v>
      </c>
      <c r="F430" s="9" t="s">
        <v>62</v>
      </c>
      <c r="G430" s="9" t="s">
        <v>138</v>
      </c>
      <c r="H430" s="9" t="s">
        <v>139</v>
      </c>
      <c r="I430" s="0" t="s">
        <v>33</v>
      </c>
      <c r="J430" s="9" t="s">
        <v>34</v>
      </c>
      <c r="K430" s="9" t="s">
        <v>48</v>
      </c>
      <c r="L430" s="9" t="s">
        <v>49</v>
      </c>
      <c r="M430" s="0" t="s">
        <v>140</v>
      </c>
      <c r="N430" s="0" t="n">
        <v>1930</v>
      </c>
      <c r="O430" s="10" t="n">
        <v>0.64543205848895</v>
      </c>
      <c r="P430" s="10" t="n">
        <v>0.0268250561784953</v>
      </c>
      <c r="Q430" s="0" t="str">
        <f aca="false">SUBSTITUTE(SUBSTITUTE($I430,CHAR(61),""),CHAR(34),"")</f>
        <v>01-09</v>
      </c>
      <c r="R430" s="0" t="str">
        <f aca="false">IF($D430&lt;&gt;"","["&amp;$E430&amp;"]"&amp;"|"&amp;$Q430&amp;"|"&amp;$K430&amp;"|"&amp;$G430&amp;"|"&amp;IF($G430="TX_CURR_SUBNAT.R","CY2022Q4",$M430),"")</f>
        <v>[msW2zpIN7up]|01-09|Male|POP_EST.T_1|CY2023Q3</v>
      </c>
    </row>
    <row r="431" customFormat="false" ht="15" hidden="false" customHeight="false" outlineLevel="0" collapsed="false">
      <c r="D431" s="9" t="s">
        <v>60</v>
      </c>
      <c r="E431" s="9" t="s">
        <v>61</v>
      </c>
      <c r="F431" s="9" t="s">
        <v>62</v>
      </c>
      <c r="G431" s="9" t="s">
        <v>138</v>
      </c>
      <c r="H431" s="9" t="s">
        <v>139</v>
      </c>
      <c r="I431" s="0" t="s">
        <v>36</v>
      </c>
      <c r="J431" s="9" t="s">
        <v>37</v>
      </c>
      <c r="K431" s="9" t="s">
        <v>48</v>
      </c>
      <c r="L431" s="9" t="s">
        <v>49</v>
      </c>
      <c r="M431" s="0" t="s">
        <v>140</v>
      </c>
      <c r="N431" s="0" t="n">
        <v>771</v>
      </c>
      <c r="O431" s="10" t="n">
        <v>0.166031286120415</v>
      </c>
      <c r="P431" s="10" t="n">
        <v>0.0268250561784953</v>
      </c>
      <c r="Q431" s="0" t="str">
        <f aca="false">SUBSTITUTE(SUBSTITUTE($I431,CHAR(61),""),CHAR(34),"")</f>
        <v>10-14</v>
      </c>
      <c r="R431" s="0" t="str">
        <f aca="false">IF($D431&lt;&gt;"","["&amp;$E431&amp;"]"&amp;"|"&amp;$Q431&amp;"|"&amp;$K431&amp;"|"&amp;$G431&amp;"|"&amp;IF($G431="TX_CURR_SUBNAT.R","CY2022Q4",$M431),"")</f>
        <v>[msW2zpIN7up]|10-14|Male|POP_EST.T_1|CY2023Q3</v>
      </c>
    </row>
    <row r="432" customFormat="false" ht="15" hidden="false" customHeight="false" outlineLevel="0" collapsed="false">
      <c r="D432" s="9" t="s">
        <v>60</v>
      </c>
      <c r="E432" s="9" t="s">
        <v>61</v>
      </c>
      <c r="F432" s="9" t="s">
        <v>62</v>
      </c>
      <c r="G432" s="9" t="s">
        <v>138</v>
      </c>
      <c r="H432" s="9" t="s">
        <v>139</v>
      </c>
      <c r="I432" s="0" t="s">
        <v>38</v>
      </c>
      <c r="J432" s="9" t="s">
        <v>39</v>
      </c>
      <c r="K432" s="9" t="s">
        <v>48</v>
      </c>
      <c r="L432" s="9" t="s">
        <v>49</v>
      </c>
      <c r="M432" s="0" t="s">
        <v>140</v>
      </c>
      <c r="N432" s="0" t="n">
        <v>1297</v>
      </c>
      <c r="O432" s="10" t="n">
        <v>0.827666742261499</v>
      </c>
      <c r="P432" s="10" t="n">
        <v>0.0268250561784953</v>
      </c>
      <c r="Q432" s="0" t="str">
        <f aca="false">SUBSTITUTE(SUBSTITUTE($I432,CHAR(61),""),CHAR(34),"")</f>
        <v>15-24</v>
      </c>
      <c r="R432" s="0" t="str">
        <f aca="false">IF($D432&lt;&gt;"","["&amp;$E432&amp;"]"&amp;"|"&amp;$Q432&amp;"|"&amp;$K432&amp;"|"&amp;$G432&amp;"|"&amp;IF($G432="TX_CURR_SUBNAT.R","CY2022Q4",$M432),"")</f>
        <v>[msW2zpIN7up]|15-24|Male|POP_EST.T_1|CY2023Q3</v>
      </c>
    </row>
    <row r="433" customFormat="false" ht="15" hidden="false" customHeight="false" outlineLevel="0" collapsed="false">
      <c r="D433" s="9" t="s">
        <v>60</v>
      </c>
      <c r="E433" s="9" t="s">
        <v>61</v>
      </c>
      <c r="F433" s="9" t="s">
        <v>62</v>
      </c>
      <c r="G433" s="9" t="s">
        <v>138</v>
      </c>
      <c r="H433" s="9" t="s">
        <v>139</v>
      </c>
      <c r="I433" s="0" t="s">
        <v>41</v>
      </c>
      <c r="J433" s="9" t="s">
        <v>42</v>
      </c>
      <c r="K433" s="9" t="s">
        <v>48</v>
      </c>
      <c r="L433" s="9" t="s">
        <v>49</v>
      </c>
      <c r="M433" s="0" t="s">
        <v>140</v>
      </c>
      <c r="N433" s="0" t="n">
        <v>896</v>
      </c>
      <c r="O433" s="10" t="n">
        <v>0.506675610085949</v>
      </c>
      <c r="P433" s="10" t="n">
        <v>0.0268250561784953</v>
      </c>
      <c r="Q433" s="0" t="str">
        <f aca="false">SUBSTITUTE(SUBSTITUTE($I433,CHAR(61),""),CHAR(34),"")</f>
        <v>25-34</v>
      </c>
      <c r="R433" s="0" t="str">
        <f aca="false">IF($D433&lt;&gt;"","["&amp;$E433&amp;"]"&amp;"|"&amp;$Q433&amp;"|"&amp;$K433&amp;"|"&amp;$G433&amp;"|"&amp;IF($G433="TX_CURR_SUBNAT.R","CY2022Q4",$M433),"")</f>
        <v>[msW2zpIN7up]|25-34|Male|POP_EST.T_1|CY2023Q3</v>
      </c>
    </row>
    <row r="434" customFormat="false" ht="15" hidden="false" customHeight="false" outlineLevel="0" collapsed="false">
      <c r="D434" s="9" t="s">
        <v>60</v>
      </c>
      <c r="E434" s="9" t="s">
        <v>61</v>
      </c>
      <c r="F434" s="9" t="s">
        <v>62</v>
      </c>
      <c r="G434" s="9" t="s">
        <v>138</v>
      </c>
      <c r="H434" s="9" t="s">
        <v>139</v>
      </c>
      <c r="I434" s="0" t="s">
        <v>43</v>
      </c>
      <c r="J434" s="9" t="s">
        <v>44</v>
      </c>
      <c r="K434" s="9" t="s">
        <v>48</v>
      </c>
      <c r="L434" s="9" t="s">
        <v>49</v>
      </c>
      <c r="M434" s="0" t="s">
        <v>140</v>
      </c>
      <c r="N434" s="0" t="n">
        <v>1091</v>
      </c>
      <c r="O434" s="10" t="n">
        <v>0.310004750965163</v>
      </c>
      <c r="P434" s="10" t="n">
        <v>0.0268250561784953</v>
      </c>
      <c r="Q434" s="0" t="str">
        <f aca="false">SUBSTITUTE(SUBSTITUTE($I434,CHAR(61),""),CHAR(34),"")</f>
        <v>35-49</v>
      </c>
      <c r="R434" s="0" t="str">
        <f aca="false">IF($D434&lt;&gt;"","["&amp;$E434&amp;"]"&amp;"|"&amp;$Q434&amp;"|"&amp;$K434&amp;"|"&amp;$G434&amp;"|"&amp;IF($G434="TX_CURR_SUBNAT.R","CY2022Q4",$M434),"")</f>
        <v>[msW2zpIN7up]|35-49|Male|POP_EST.T_1|CY2023Q3</v>
      </c>
    </row>
    <row r="435" customFormat="false" ht="15" hidden="false" customHeight="false" outlineLevel="0" collapsed="false">
      <c r="D435" s="9" t="s">
        <v>60</v>
      </c>
      <c r="E435" s="9" t="s">
        <v>61</v>
      </c>
      <c r="F435" s="9" t="s">
        <v>62</v>
      </c>
      <c r="G435" s="9" t="s">
        <v>138</v>
      </c>
      <c r="H435" s="9" t="s">
        <v>139</v>
      </c>
      <c r="I435" s="0" t="s">
        <v>45</v>
      </c>
      <c r="J435" s="9" t="s">
        <v>46</v>
      </c>
      <c r="K435" s="9" t="s">
        <v>48</v>
      </c>
      <c r="L435" s="9" t="s">
        <v>49</v>
      </c>
      <c r="M435" s="0" t="s">
        <v>140</v>
      </c>
      <c r="N435" s="0" t="n">
        <v>1967</v>
      </c>
      <c r="O435" s="10" t="n">
        <v>0.192393383476883</v>
      </c>
      <c r="P435" s="10" t="n">
        <v>0.0268250561784953</v>
      </c>
      <c r="Q435" s="0" t="str">
        <f aca="false">SUBSTITUTE(SUBSTITUTE($I435,CHAR(61),""),CHAR(34),"")</f>
        <v>50+</v>
      </c>
      <c r="R435" s="0" t="str">
        <f aca="false">IF($D435&lt;&gt;"","["&amp;$E435&amp;"]"&amp;"|"&amp;$Q435&amp;"|"&amp;$K435&amp;"|"&amp;$G435&amp;"|"&amp;IF($G435="TX_CURR_SUBNAT.R","CY2022Q4",$M435),"")</f>
        <v>[msW2zpIN7up]|50+|Male|POP_EST.T_1|CY2023Q3</v>
      </c>
    </row>
    <row r="436" customFormat="false" ht="15" hidden="false" customHeight="false" outlineLevel="0" collapsed="false">
      <c r="D436" s="9" t="s">
        <v>63</v>
      </c>
      <c r="E436" s="9" t="s">
        <v>64</v>
      </c>
      <c r="F436" s="9" t="s">
        <v>65</v>
      </c>
      <c r="G436" s="9" t="s">
        <v>138</v>
      </c>
      <c r="H436" s="9" t="s">
        <v>139</v>
      </c>
      <c r="I436" s="0" t="s">
        <v>28</v>
      </c>
      <c r="J436" s="9" t="s">
        <v>29</v>
      </c>
      <c r="K436" s="9" t="s">
        <v>30</v>
      </c>
      <c r="L436" s="9" t="s">
        <v>31</v>
      </c>
      <c r="M436" s="0" t="s">
        <v>140</v>
      </c>
      <c r="N436" s="0" t="n">
        <v>810</v>
      </c>
      <c r="O436" s="10" t="n">
        <v>0.275101203937083</v>
      </c>
      <c r="P436" s="10" t="n">
        <v>0.790102193132043</v>
      </c>
      <c r="Q436" s="0" t="str">
        <f aca="false">SUBSTITUTE(SUBSTITUTE($I436,CHAR(61),""),CHAR(34),"")</f>
        <v>&lt;01</v>
      </c>
      <c r="R436" s="0" t="str">
        <f aca="false">IF($D436&lt;&gt;"","["&amp;$E436&amp;"]"&amp;"|"&amp;$Q436&amp;"|"&amp;$K436&amp;"|"&amp;$G436&amp;"|"&amp;IF($G436="TX_CURR_SUBNAT.R","CY2022Q4",$M436),"")</f>
        <v>[kxuuIFpOXyO]|&lt;01|Female|POP_EST.T_1|CY2023Q3</v>
      </c>
    </row>
    <row r="437" customFormat="false" ht="15" hidden="false" customHeight="false" outlineLevel="0" collapsed="false">
      <c r="D437" s="9" t="s">
        <v>63</v>
      </c>
      <c r="E437" s="9" t="s">
        <v>64</v>
      </c>
      <c r="F437" s="9" t="s">
        <v>65</v>
      </c>
      <c r="G437" s="9" t="s">
        <v>138</v>
      </c>
      <c r="H437" s="9" t="s">
        <v>139</v>
      </c>
      <c r="I437" s="0" t="s">
        <v>33</v>
      </c>
      <c r="J437" s="9" t="s">
        <v>34</v>
      </c>
      <c r="K437" s="9" t="s">
        <v>30</v>
      </c>
      <c r="L437" s="9" t="s">
        <v>31</v>
      </c>
      <c r="M437" s="0" t="s">
        <v>140</v>
      </c>
      <c r="N437" s="0" t="n">
        <v>1665</v>
      </c>
      <c r="O437" s="10" t="n">
        <v>0.0981970648281276</v>
      </c>
      <c r="P437" s="10" t="n">
        <v>0.790102193132043</v>
      </c>
      <c r="Q437" s="0" t="str">
        <f aca="false">SUBSTITUTE(SUBSTITUTE($I437,CHAR(61),""),CHAR(34),"")</f>
        <v>01-09</v>
      </c>
      <c r="R437" s="0" t="str">
        <f aca="false">IF($D437&lt;&gt;"","["&amp;$E437&amp;"]"&amp;"|"&amp;$Q437&amp;"|"&amp;$K437&amp;"|"&amp;$G437&amp;"|"&amp;IF($G437="TX_CURR_SUBNAT.R","CY2022Q4",$M437),"")</f>
        <v>[kxuuIFpOXyO]|01-09|Female|POP_EST.T_1|CY2023Q3</v>
      </c>
    </row>
    <row r="438" customFormat="false" ht="15" hidden="false" customHeight="false" outlineLevel="0" collapsed="false">
      <c r="D438" s="9" t="s">
        <v>63</v>
      </c>
      <c r="E438" s="9" t="s">
        <v>64</v>
      </c>
      <c r="F438" s="9" t="s">
        <v>65</v>
      </c>
      <c r="G438" s="9" t="s">
        <v>138</v>
      </c>
      <c r="H438" s="9" t="s">
        <v>139</v>
      </c>
      <c r="I438" s="0" t="s">
        <v>36</v>
      </c>
      <c r="J438" s="9" t="s">
        <v>37</v>
      </c>
      <c r="K438" s="9" t="s">
        <v>30</v>
      </c>
      <c r="L438" s="9" t="s">
        <v>31</v>
      </c>
      <c r="M438" s="0" t="s">
        <v>140</v>
      </c>
      <c r="N438" s="0" t="n">
        <v>1546</v>
      </c>
      <c r="O438" s="10" t="n">
        <v>0.172572197625414</v>
      </c>
      <c r="P438" s="10" t="n">
        <v>0.790102193132043</v>
      </c>
      <c r="Q438" s="0" t="str">
        <f aca="false">SUBSTITUTE(SUBSTITUTE($I438,CHAR(61),""),CHAR(34),"")</f>
        <v>10-14</v>
      </c>
      <c r="R438" s="0" t="str">
        <f aca="false">IF($D438&lt;&gt;"","["&amp;$E438&amp;"]"&amp;"|"&amp;$Q438&amp;"|"&amp;$K438&amp;"|"&amp;$G438&amp;"|"&amp;IF($G438="TX_CURR_SUBNAT.R","CY2022Q4",$M438),"")</f>
        <v>[kxuuIFpOXyO]|10-14|Female|POP_EST.T_1|CY2023Q3</v>
      </c>
    </row>
    <row r="439" customFormat="false" ht="15" hidden="false" customHeight="false" outlineLevel="0" collapsed="false">
      <c r="D439" s="9" t="s">
        <v>63</v>
      </c>
      <c r="E439" s="9" t="s">
        <v>64</v>
      </c>
      <c r="F439" s="9" t="s">
        <v>65</v>
      </c>
      <c r="G439" s="9" t="s">
        <v>138</v>
      </c>
      <c r="H439" s="9" t="s">
        <v>139</v>
      </c>
      <c r="I439" s="0" t="s">
        <v>38</v>
      </c>
      <c r="J439" s="9" t="s">
        <v>39</v>
      </c>
      <c r="K439" s="9" t="s">
        <v>30</v>
      </c>
      <c r="L439" s="9" t="s">
        <v>31</v>
      </c>
      <c r="M439" s="0" t="s">
        <v>140</v>
      </c>
      <c r="N439" s="0" t="n">
        <v>794</v>
      </c>
      <c r="O439" s="10" t="n">
        <v>0.691518045263365</v>
      </c>
      <c r="P439" s="10" t="n">
        <v>0.790102193132043</v>
      </c>
      <c r="Q439" s="0" t="str">
        <f aca="false">SUBSTITUTE(SUBSTITUTE($I439,CHAR(61),""),CHAR(34),"")</f>
        <v>15-24</v>
      </c>
      <c r="R439" s="0" t="str">
        <f aca="false">IF($D439&lt;&gt;"","["&amp;$E439&amp;"]"&amp;"|"&amp;$Q439&amp;"|"&amp;$K439&amp;"|"&amp;$G439&amp;"|"&amp;IF($G439="TX_CURR_SUBNAT.R","CY2022Q4",$M439),"")</f>
        <v>[kxuuIFpOXyO]|15-24|Female|POP_EST.T_1|CY2023Q3</v>
      </c>
    </row>
    <row r="440" customFormat="false" ht="15" hidden="false" customHeight="false" outlineLevel="0" collapsed="false">
      <c r="D440" s="9" t="s">
        <v>63</v>
      </c>
      <c r="E440" s="9" t="s">
        <v>64</v>
      </c>
      <c r="F440" s="9" t="s">
        <v>65</v>
      </c>
      <c r="G440" s="9" t="s">
        <v>138</v>
      </c>
      <c r="H440" s="9" t="s">
        <v>139</v>
      </c>
      <c r="I440" s="0" t="s">
        <v>41</v>
      </c>
      <c r="J440" s="9" t="s">
        <v>42</v>
      </c>
      <c r="K440" s="9" t="s">
        <v>30</v>
      </c>
      <c r="L440" s="9" t="s">
        <v>31</v>
      </c>
      <c r="M440" s="0" t="s">
        <v>140</v>
      </c>
      <c r="N440" s="0" t="n">
        <v>904</v>
      </c>
      <c r="O440" s="10" t="n">
        <v>0.181617261609063</v>
      </c>
      <c r="P440" s="10" t="n">
        <v>0.790102193132043</v>
      </c>
      <c r="Q440" s="0" t="str">
        <f aca="false">SUBSTITUTE(SUBSTITUTE($I440,CHAR(61),""),CHAR(34),"")</f>
        <v>25-34</v>
      </c>
      <c r="R440" s="0" t="str">
        <f aca="false">IF($D440&lt;&gt;"","["&amp;$E440&amp;"]"&amp;"|"&amp;$Q440&amp;"|"&amp;$K440&amp;"|"&amp;$G440&amp;"|"&amp;IF($G440="TX_CURR_SUBNAT.R","CY2022Q4",$M440),"")</f>
        <v>[kxuuIFpOXyO]|25-34|Female|POP_EST.T_1|CY2023Q3</v>
      </c>
    </row>
    <row r="441" customFormat="false" ht="15" hidden="false" customHeight="false" outlineLevel="0" collapsed="false">
      <c r="D441" s="9" t="s">
        <v>63</v>
      </c>
      <c r="E441" s="9" t="s">
        <v>64</v>
      </c>
      <c r="F441" s="9" t="s">
        <v>65</v>
      </c>
      <c r="G441" s="9" t="s">
        <v>138</v>
      </c>
      <c r="H441" s="9" t="s">
        <v>139</v>
      </c>
      <c r="I441" s="0" t="s">
        <v>43</v>
      </c>
      <c r="J441" s="9" t="s">
        <v>44</v>
      </c>
      <c r="K441" s="9" t="s">
        <v>30</v>
      </c>
      <c r="L441" s="9" t="s">
        <v>31</v>
      </c>
      <c r="M441" s="0" t="s">
        <v>140</v>
      </c>
      <c r="N441" s="0" t="n">
        <v>1652</v>
      </c>
      <c r="O441" s="10" t="n">
        <v>0.981837667291984</v>
      </c>
      <c r="P441" s="10" t="n">
        <v>0.790102193132043</v>
      </c>
      <c r="Q441" s="0" t="str">
        <f aca="false">SUBSTITUTE(SUBSTITUTE($I441,CHAR(61),""),CHAR(34),"")</f>
        <v>35-49</v>
      </c>
      <c r="R441" s="0" t="str">
        <f aca="false">IF($D441&lt;&gt;"","["&amp;$E441&amp;"]"&amp;"|"&amp;$Q441&amp;"|"&amp;$K441&amp;"|"&amp;$G441&amp;"|"&amp;IF($G441="TX_CURR_SUBNAT.R","CY2022Q4",$M441),"")</f>
        <v>[kxuuIFpOXyO]|35-49|Female|POP_EST.T_1|CY2023Q3</v>
      </c>
    </row>
    <row r="442" customFormat="false" ht="15" hidden="false" customHeight="false" outlineLevel="0" collapsed="false">
      <c r="D442" s="9" t="s">
        <v>63</v>
      </c>
      <c r="E442" s="9" t="s">
        <v>64</v>
      </c>
      <c r="F442" s="9" t="s">
        <v>65</v>
      </c>
      <c r="G442" s="9" t="s">
        <v>138</v>
      </c>
      <c r="H442" s="9" t="s">
        <v>139</v>
      </c>
      <c r="I442" s="0" t="s">
        <v>45</v>
      </c>
      <c r="J442" s="9" t="s">
        <v>46</v>
      </c>
      <c r="K442" s="9" t="s">
        <v>30</v>
      </c>
      <c r="L442" s="9" t="s">
        <v>31</v>
      </c>
      <c r="M442" s="0" t="s">
        <v>140</v>
      </c>
      <c r="N442" s="0" t="n">
        <v>1826</v>
      </c>
      <c r="O442" s="10" t="n">
        <v>0.484988696174696</v>
      </c>
      <c r="P442" s="10" t="n">
        <v>0.790102193132043</v>
      </c>
      <c r="Q442" s="0" t="str">
        <f aca="false">SUBSTITUTE(SUBSTITUTE($I442,CHAR(61),""),CHAR(34),"")</f>
        <v>50+</v>
      </c>
      <c r="R442" s="0" t="str">
        <f aca="false">IF($D442&lt;&gt;"","["&amp;$E442&amp;"]"&amp;"|"&amp;$Q442&amp;"|"&amp;$K442&amp;"|"&amp;$G442&amp;"|"&amp;IF($G442="TX_CURR_SUBNAT.R","CY2022Q4",$M442),"")</f>
        <v>[kxuuIFpOXyO]|50+|Female|POP_EST.T_1|CY2023Q3</v>
      </c>
    </row>
    <row r="443" customFormat="false" ht="15" hidden="false" customHeight="false" outlineLevel="0" collapsed="false">
      <c r="D443" s="9" t="s">
        <v>63</v>
      </c>
      <c r="E443" s="9" t="s">
        <v>64</v>
      </c>
      <c r="F443" s="9" t="s">
        <v>65</v>
      </c>
      <c r="G443" s="9" t="s">
        <v>138</v>
      </c>
      <c r="H443" s="9" t="s">
        <v>139</v>
      </c>
      <c r="I443" s="0" t="s">
        <v>28</v>
      </c>
      <c r="J443" s="9" t="s">
        <v>29</v>
      </c>
      <c r="K443" s="9" t="s">
        <v>48</v>
      </c>
      <c r="L443" s="9" t="s">
        <v>49</v>
      </c>
      <c r="M443" s="0" t="s">
        <v>140</v>
      </c>
      <c r="N443" s="0" t="n">
        <v>821</v>
      </c>
      <c r="O443" s="10" t="n">
        <v>0.279564558528364</v>
      </c>
      <c r="P443" s="10" t="n">
        <v>0.790102193132043</v>
      </c>
      <c r="Q443" s="0" t="str">
        <f aca="false">SUBSTITUTE(SUBSTITUTE($I443,CHAR(61),""),CHAR(34),"")</f>
        <v>&lt;01</v>
      </c>
      <c r="R443" s="0" t="str">
        <f aca="false">IF($D443&lt;&gt;"","["&amp;$E443&amp;"]"&amp;"|"&amp;$Q443&amp;"|"&amp;$K443&amp;"|"&amp;$G443&amp;"|"&amp;IF($G443="TX_CURR_SUBNAT.R","CY2022Q4",$M443),"")</f>
        <v>[kxuuIFpOXyO]|&lt;01|Male|POP_EST.T_1|CY2023Q3</v>
      </c>
    </row>
    <row r="444" customFormat="false" ht="15" hidden="false" customHeight="false" outlineLevel="0" collapsed="false">
      <c r="D444" s="9" t="s">
        <v>63</v>
      </c>
      <c r="E444" s="9" t="s">
        <v>64</v>
      </c>
      <c r="F444" s="9" t="s">
        <v>65</v>
      </c>
      <c r="G444" s="9" t="s">
        <v>138</v>
      </c>
      <c r="H444" s="9" t="s">
        <v>139</v>
      </c>
      <c r="I444" s="0" t="s">
        <v>33</v>
      </c>
      <c r="J444" s="9" t="s">
        <v>34</v>
      </c>
      <c r="K444" s="9" t="s">
        <v>48</v>
      </c>
      <c r="L444" s="9" t="s">
        <v>49</v>
      </c>
      <c r="M444" s="0" t="s">
        <v>140</v>
      </c>
      <c r="N444" s="0" t="n">
        <v>1219</v>
      </c>
      <c r="O444" s="10" t="n">
        <v>0.597783352946863</v>
      </c>
      <c r="P444" s="10" t="n">
        <v>0.790102193132043</v>
      </c>
      <c r="Q444" s="0" t="str">
        <f aca="false">SUBSTITUTE(SUBSTITUTE($I444,CHAR(61),""),CHAR(34),"")</f>
        <v>01-09</v>
      </c>
      <c r="R444" s="0" t="str">
        <f aca="false">IF($D444&lt;&gt;"","["&amp;$E444&amp;"]"&amp;"|"&amp;$Q444&amp;"|"&amp;$K444&amp;"|"&amp;$G444&amp;"|"&amp;IF($G444="TX_CURR_SUBNAT.R","CY2022Q4",$M444),"")</f>
        <v>[kxuuIFpOXyO]|01-09|Male|POP_EST.T_1|CY2023Q3</v>
      </c>
    </row>
    <row r="445" customFormat="false" ht="15" hidden="false" customHeight="false" outlineLevel="0" collapsed="false">
      <c r="D445" s="9" t="s">
        <v>63</v>
      </c>
      <c r="E445" s="9" t="s">
        <v>64</v>
      </c>
      <c r="F445" s="9" t="s">
        <v>65</v>
      </c>
      <c r="G445" s="9" t="s">
        <v>138</v>
      </c>
      <c r="H445" s="9" t="s">
        <v>139</v>
      </c>
      <c r="I445" s="0" t="s">
        <v>36</v>
      </c>
      <c r="J445" s="9" t="s">
        <v>37</v>
      </c>
      <c r="K445" s="9" t="s">
        <v>48</v>
      </c>
      <c r="L445" s="9" t="s">
        <v>49</v>
      </c>
      <c r="M445" s="0" t="s">
        <v>140</v>
      </c>
      <c r="N445" s="0" t="n">
        <v>603</v>
      </c>
      <c r="O445" s="10" t="n">
        <v>0.35001728637144</v>
      </c>
      <c r="P445" s="10" t="n">
        <v>0.790102193132043</v>
      </c>
      <c r="Q445" s="0" t="str">
        <f aca="false">SUBSTITUTE(SUBSTITUTE($I445,CHAR(61),""),CHAR(34),"")</f>
        <v>10-14</v>
      </c>
      <c r="R445" s="0" t="str">
        <f aca="false">IF($D445&lt;&gt;"","["&amp;$E445&amp;"]"&amp;"|"&amp;$Q445&amp;"|"&amp;$K445&amp;"|"&amp;$G445&amp;"|"&amp;IF($G445="TX_CURR_SUBNAT.R","CY2022Q4",$M445),"")</f>
        <v>[kxuuIFpOXyO]|10-14|Male|POP_EST.T_1|CY2023Q3</v>
      </c>
    </row>
    <row r="446" customFormat="false" ht="15" hidden="false" customHeight="false" outlineLevel="0" collapsed="false">
      <c r="D446" s="9" t="s">
        <v>63</v>
      </c>
      <c r="E446" s="9" t="s">
        <v>64</v>
      </c>
      <c r="F446" s="9" t="s">
        <v>65</v>
      </c>
      <c r="G446" s="9" t="s">
        <v>138</v>
      </c>
      <c r="H446" s="9" t="s">
        <v>139</v>
      </c>
      <c r="I446" s="0" t="s">
        <v>38</v>
      </c>
      <c r="J446" s="9" t="s">
        <v>39</v>
      </c>
      <c r="K446" s="9" t="s">
        <v>48</v>
      </c>
      <c r="L446" s="9" t="s">
        <v>49</v>
      </c>
      <c r="M446" s="0" t="s">
        <v>140</v>
      </c>
      <c r="N446" s="0" t="n">
        <v>1499</v>
      </c>
      <c r="O446" s="10" t="n">
        <v>0.532984561519697</v>
      </c>
      <c r="P446" s="10" t="n">
        <v>0.790102193132043</v>
      </c>
      <c r="Q446" s="0" t="str">
        <f aca="false">SUBSTITUTE(SUBSTITUTE($I446,CHAR(61),""),CHAR(34),"")</f>
        <v>15-24</v>
      </c>
      <c r="R446" s="0" t="str">
        <f aca="false">IF($D446&lt;&gt;"","["&amp;$E446&amp;"]"&amp;"|"&amp;$Q446&amp;"|"&amp;$K446&amp;"|"&amp;$G446&amp;"|"&amp;IF($G446="TX_CURR_SUBNAT.R","CY2022Q4",$M446),"")</f>
        <v>[kxuuIFpOXyO]|15-24|Male|POP_EST.T_1|CY2023Q3</v>
      </c>
    </row>
    <row r="447" customFormat="false" ht="15" hidden="false" customHeight="false" outlineLevel="0" collapsed="false">
      <c r="D447" s="9" t="s">
        <v>63</v>
      </c>
      <c r="E447" s="9" t="s">
        <v>64</v>
      </c>
      <c r="F447" s="9" t="s">
        <v>65</v>
      </c>
      <c r="G447" s="9" t="s">
        <v>138</v>
      </c>
      <c r="H447" s="9" t="s">
        <v>139</v>
      </c>
      <c r="I447" s="0" t="s">
        <v>41</v>
      </c>
      <c r="J447" s="9" t="s">
        <v>42</v>
      </c>
      <c r="K447" s="9" t="s">
        <v>48</v>
      </c>
      <c r="L447" s="9" t="s">
        <v>49</v>
      </c>
      <c r="M447" s="0" t="s">
        <v>140</v>
      </c>
      <c r="N447" s="0" t="n">
        <v>906</v>
      </c>
      <c r="O447" s="10" t="n">
        <v>0.151617467170581</v>
      </c>
      <c r="P447" s="10" t="n">
        <v>0.790102193132043</v>
      </c>
      <c r="Q447" s="0" t="str">
        <f aca="false">SUBSTITUTE(SUBSTITUTE($I447,CHAR(61),""),CHAR(34),"")</f>
        <v>25-34</v>
      </c>
      <c r="R447" s="0" t="str">
        <f aca="false">IF($D447&lt;&gt;"","["&amp;$E447&amp;"]"&amp;"|"&amp;$Q447&amp;"|"&amp;$K447&amp;"|"&amp;$G447&amp;"|"&amp;IF($G447="TX_CURR_SUBNAT.R","CY2022Q4",$M447),"")</f>
        <v>[kxuuIFpOXyO]|25-34|Male|POP_EST.T_1|CY2023Q3</v>
      </c>
    </row>
    <row r="448" customFormat="false" ht="15" hidden="false" customHeight="false" outlineLevel="0" collapsed="false">
      <c r="D448" s="9" t="s">
        <v>63</v>
      </c>
      <c r="E448" s="9" t="s">
        <v>64</v>
      </c>
      <c r="F448" s="9" t="s">
        <v>65</v>
      </c>
      <c r="G448" s="9" t="s">
        <v>138</v>
      </c>
      <c r="H448" s="9" t="s">
        <v>139</v>
      </c>
      <c r="I448" s="0" t="s">
        <v>43</v>
      </c>
      <c r="J448" s="9" t="s">
        <v>44</v>
      </c>
      <c r="K448" s="9" t="s">
        <v>48</v>
      </c>
      <c r="L448" s="9" t="s">
        <v>49</v>
      </c>
      <c r="M448" s="0" t="s">
        <v>140</v>
      </c>
      <c r="N448" s="0" t="n">
        <v>1852</v>
      </c>
      <c r="O448" s="10" t="n">
        <v>0.195069118402898</v>
      </c>
      <c r="P448" s="10" t="n">
        <v>0.790102193132043</v>
      </c>
      <c r="Q448" s="0" t="str">
        <f aca="false">SUBSTITUTE(SUBSTITUTE($I448,CHAR(61),""),CHAR(34),"")</f>
        <v>35-49</v>
      </c>
      <c r="R448" s="0" t="str">
        <f aca="false">IF($D448&lt;&gt;"","["&amp;$E448&amp;"]"&amp;"|"&amp;$Q448&amp;"|"&amp;$K448&amp;"|"&amp;$G448&amp;"|"&amp;IF($G448="TX_CURR_SUBNAT.R","CY2022Q4",$M448),"")</f>
        <v>[kxuuIFpOXyO]|35-49|Male|POP_EST.T_1|CY2023Q3</v>
      </c>
    </row>
    <row r="449" customFormat="false" ht="15" hidden="false" customHeight="false" outlineLevel="0" collapsed="false">
      <c r="D449" s="9" t="s">
        <v>63</v>
      </c>
      <c r="E449" s="9" t="s">
        <v>64</v>
      </c>
      <c r="F449" s="9" t="s">
        <v>65</v>
      </c>
      <c r="G449" s="9" t="s">
        <v>138</v>
      </c>
      <c r="H449" s="9" t="s">
        <v>139</v>
      </c>
      <c r="I449" s="0" t="s">
        <v>45</v>
      </c>
      <c r="J449" s="9" t="s">
        <v>46</v>
      </c>
      <c r="K449" s="9" t="s">
        <v>48</v>
      </c>
      <c r="L449" s="9" t="s">
        <v>49</v>
      </c>
      <c r="M449" s="0" t="s">
        <v>140</v>
      </c>
      <c r="N449" s="0" t="n">
        <v>637</v>
      </c>
      <c r="O449" s="10" t="n">
        <v>0.542395296506584</v>
      </c>
      <c r="P449" s="10" t="n">
        <v>0.790102193132043</v>
      </c>
      <c r="Q449" s="0" t="str">
        <f aca="false">SUBSTITUTE(SUBSTITUTE($I449,CHAR(61),""),CHAR(34),"")</f>
        <v>50+</v>
      </c>
      <c r="R449" s="0" t="str">
        <f aca="false">IF($D449&lt;&gt;"","["&amp;$E449&amp;"]"&amp;"|"&amp;$Q449&amp;"|"&amp;$K449&amp;"|"&amp;$G449&amp;"|"&amp;IF($G449="TX_CURR_SUBNAT.R","CY2022Q4",$M449),"")</f>
        <v>[kxuuIFpOXyO]|50+|Male|POP_EST.T_1|CY2023Q3</v>
      </c>
    </row>
    <row r="450" customFormat="false" ht="15" hidden="false" customHeight="false" outlineLevel="0" collapsed="false">
      <c r="D450" s="9" t="s">
        <v>66</v>
      </c>
      <c r="E450" s="9" t="s">
        <v>67</v>
      </c>
      <c r="F450" s="9" t="s">
        <v>68</v>
      </c>
      <c r="G450" s="9" t="s">
        <v>138</v>
      </c>
      <c r="H450" s="9" t="s">
        <v>139</v>
      </c>
      <c r="I450" s="0" t="s">
        <v>28</v>
      </c>
      <c r="J450" s="9" t="s">
        <v>29</v>
      </c>
      <c r="K450" s="9" t="s">
        <v>30</v>
      </c>
      <c r="L450" s="9" t="s">
        <v>31</v>
      </c>
      <c r="M450" s="0" t="s">
        <v>140</v>
      </c>
      <c r="N450" s="0" t="n">
        <v>551</v>
      </c>
      <c r="O450" s="10" t="n">
        <v>0.405776180326939</v>
      </c>
      <c r="P450" s="10" t="n">
        <v>0.164609884377569</v>
      </c>
      <c r="Q450" s="0" t="str">
        <f aca="false">SUBSTITUTE(SUBSTITUTE($I450,CHAR(61),""),CHAR(34),"")</f>
        <v>&lt;01</v>
      </c>
      <c r="R450" s="0" t="str">
        <f aca="false">IF($D450&lt;&gt;"","["&amp;$E450&amp;"]"&amp;"|"&amp;$Q450&amp;"|"&amp;$K450&amp;"|"&amp;$G450&amp;"|"&amp;IF($G450="TX_CURR_SUBNAT.R","CY2022Q4",$M450),"")</f>
        <v>[ScR9iFKAasW]|&lt;01|Female|POP_EST.T_1|CY2023Q3</v>
      </c>
    </row>
    <row r="451" customFormat="false" ht="15" hidden="false" customHeight="false" outlineLevel="0" collapsed="false">
      <c r="D451" s="9" t="s">
        <v>66</v>
      </c>
      <c r="E451" s="9" t="s">
        <v>67</v>
      </c>
      <c r="F451" s="9" t="s">
        <v>68</v>
      </c>
      <c r="G451" s="9" t="s">
        <v>138</v>
      </c>
      <c r="H451" s="9" t="s">
        <v>139</v>
      </c>
      <c r="I451" s="0" t="s">
        <v>33</v>
      </c>
      <c r="J451" s="9" t="s">
        <v>34</v>
      </c>
      <c r="K451" s="9" t="s">
        <v>30</v>
      </c>
      <c r="L451" s="9" t="s">
        <v>31</v>
      </c>
      <c r="M451" s="0" t="s">
        <v>140</v>
      </c>
      <c r="N451" s="0" t="n">
        <v>1756</v>
      </c>
      <c r="O451" s="10" t="n">
        <v>0.903361259028316</v>
      </c>
      <c r="P451" s="10" t="n">
        <v>0.164609884377569</v>
      </c>
      <c r="Q451" s="0" t="str">
        <f aca="false">SUBSTITUTE(SUBSTITUTE($I451,CHAR(61),""),CHAR(34),"")</f>
        <v>01-09</v>
      </c>
      <c r="R451" s="0" t="str">
        <f aca="false">IF($D451&lt;&gt;"","["&amp;$E451&amp;"]"&amp;"|"&amp;$Q451&amp;"|"&amp;$K451&amp;"|"&amp;$G451&amp;"|"&amp;IF($G451="TX_CURR_SUBNAT.R","CY2022Q4",$M451),"")</f>
        <v>[ScR9iFKAasW]|01-09|Female|POP_EST.T_1|CY2023Q3</v>
      </c>
    </row>
    <row r="452" customFormat="false" ht="15" hidden="false" customHeight="false" outlineLevel="0" collapsed="false">
      <c r="D452" s="9" t="s">
        <v>66</v>
      </c>
      <c r="E452" s="9" t="s">
        <v>67</v>
      </c>
      <c r="F452" s="9" t="s">
        <v>68</v>
      </c>
      <c r="G452" s="9" t="s">
        <v>138</v>
      </c>
      <c r="H452" s="9" t="s">
        <v>139</v>
      </c>
      <c r="I452" s="0" t="s">
        <v>36</v>
      </c>
      <c r="J452" s="9" t="s">
        <v>37</v>
      </c>
      <c r="K452" s="9" t="s">
        <v>30</v>
      </c>
      <c r="L452" s="9" t="s">
        <v>31</v>
      </c>
      <c r="M452" s="0" t="s">
        <v>140</v>
      </c>
      <c r="N452" s="0" t="n">
        <v>1687</v>
      </c>
      <c r="O452" s="10" t="n">
        <v>0.280159097863361</v>
      </c>
      <c r="P452" s="10" t="n">
        <v>0.164609884377569</v>
      </c>
      <c r="Q452" s="0" t="str">
        <f aca="false">SUBSTITUTE(SUBSTITUTE($I452,CHAR(61),""),CHAR(34),"")</f>
        <v>10-14</v>
      </c>
      <c r="R452" s="0" t="str">
        <f aca="false">IF($D452&lt;&gt;"","["&amp;$E452&amp;"]"&amp;"|"&amp;$Q452&amp;"|"&amp;$K452&amp;"|"&amp;$G452&amp;"|"&amp;IF($G452="TX_CURR_SUBNAT.R","CY2022Q4",$M452),"")</f>
        <v>[ScR9iFKAasW]|10-14|Female|POP_EST.T_1|CY2023Q3</v>
      </c>
    </row>
    <row r="453" customFormat="false" ht="15" hidden="false" customHeight="false" outlineLevel="0" collapsed="false">
      <c r="D453" s="9" t="s">
        <v>66</v>
      </c>
      <c r="E453" s="9" t="s">
        <v>67</v>
      </c>
      <c r="F453" s="9" t="s">
        <v>68</v>
      </c>
      <c r="G453" s="9" t="s">
        <v>138</v>
      </c>
      <c r="H453" s="9" t="s">
        <v>139</v>
      </c>
      <c r="I453" s="0" t="s">
        <v>38</v>
      </c>
      <c r="J453" s="9" t="s">
        <v>39</v>
      </c>
      <c r="K453" s="9" t="s">
        <v>30</v>
      </c>
      <c r="L453" s="9" t="s">
        <v>31</v>
      </c>
      <c r="M453" s="0" t="s">
        <v>140</v>
      </c>
      <c r="N453" s="0" t="n">
        <v>1885</v>
      </c>
      <c r="O453" s="10" t="n">
        <v>0.166804271284491</v>
      </c>
      <c r="P453" s="10" t="n">
        <v>0.164609884377569</v>
      </c>
      <c r="Q453" s="0" t="str">
        <f aca="false">SUBSTITUTE(SUBSTITUTE($I453,CHAR(61),""),CHAR(34),"")</f>
        <v>15-24</v>
      </c>
      <c r="R453" s="0" t="str">
        <f aca="false">IF($D453&lt;&gt;"","["&amp;$E453&amp;"]"&amp;"|"&amp;$Q453&amp;"|"&amp;$K453&amp;"|"&amp;$G453&amp;"|"&amp;IF($G453="TX_CURR_SUBNAT.R","CY2022Q4",$M453),"")</f>
        <v>[ScR9iFKAasW]|15-24|Female|POP_EST.T_1|CY2023Q3</v>
      </c>
    </row>
    <row r="454" customFormat="false" ht="15" hidden="false" customHeight="false" outlineLevel="0" collapsed="false">
      <c r="D454" s="9" t="s">
        <v>66</v>
      </c>
      <c r="E454" s="9" t="s">
        <v>67</v>
      </c>
      <c r="F454" s="9" t="s">
        <v>68</v>
      </c>
      <c r="G454" s="9" t="s">
        <v>138</v>
      </c>
      <c r="H454" s="9" t="s">
        <v>139</v>
      </c>
      <c r="I454" s="0" t="s">
        <v>41</v>
      </c>
      <c r="J454" s="9" t="s">
        <v>42</v>
      </c>
      <c r="K454" s="9" t="s">
        <v>30</v>
      </c>
      <c r="L454" s="9" t="s">
        <v>31</v>
      </c>
      <c r="M454" s="0" t="s">
        <v>140</v>
      </c>
      <c r="N454" s="0" t="n">
        <v>1646</v>
      </c>
      <c r="O454" s="10" t="n">
        <v>0.1644574359525</v>
      </c>
      <c r="P454" s="10" t="n">
        <v>0.164609884377569</v>
      </c>
      <c r="Q454" s="0" t="str">
        <f aca="false">SUBSTITUTE(SUBSTITUTE($I454,CHAR(61),""),CHAR(34),"")</f>
        <v>25-34</v>
      </c>
      <c r="R454" s="0" t="str">
        <f aca="false">IF($D454&lt;&gt;"","["&amp;$E454&amp;"]"&amp;"|"&amp;$Q454&amp;"|"&amp;$K454&amp;"|"&amp;$G454&amp;"|"&amp;IF($G454="TX_CURR_SUBNAT.R","CY2022Q4",$M454),"")</f>
        <v>[ScR9iFKAasW]|25-34|Female|POP_EST.T_1|CY2023Q3</v>
      </c>
    </row>
    <row r="455" customFormat="false" ht="15" hidden="false" customHeight="false" outlineLevel="0" collapsed="false">
      <c r="D455" s="9" t="s">
        <v>66</v>
      </c>
      <c r="E455" s="9" t="s">
        <v>67</v>
      </c>
      <c r="F455" s="9" t="s">
        <v>68</v>
      </c>
      <c r="G455" s="9" t="s">
        <v>138</v>
      </c>
      <c r="H455" s="9" t="s">
        <v>139</v>
      </c>
      <c r="I455" s="0" t="s">
        <v>43</v>
      </c>
      <c r="J455" s="9" t="s">
        <v>44</v>
      </c>
      <c r="K455" s="9" t="s">
        <v>30</v>
      </c>
      <c r="L455" s="9" t="s">
        <v>31</v>
      </c>
      <c r="M455" s="0" t="s">
        <v>140</v>
      </c>
      <c r="N455" s="0" t="n">
        <v>1574</v>
      </c>
      <c r="O455" s="10" t="n">
        <v>0.104669774184003</v>
      </c>
      <c r="P455" s="10" t="n">
        <v>0.164609884377569</v>
      </c>
      <c r="Q455" s="0" t="str">
        <f aca="false">SUBSTITUTE(SUBSTITUTE($I455,CHAR(61),""),CHAR(34),"")</f>
        <v>35-49</v>
      </c>
      <c r="R455" s="0" t="str">
        <f aca="false">IF($D455&lt;&gt;"","["&amp;$E455&amp;"]"&amp;"|"&amp;$Q455&amp;"|"&amp;$K455&amp;"|"&amp;$G455&amp;"|"&amp;IF($G455="TX_CURR_SUBNAT.R","CY2022Q4",$M455),"")</f>
        <v>[ScR9iFKAasW]|35-49|Female|POP_EST.T_1|CY2023Q3</v>
      </c>
    </row>
    <row r="456" customFormat="false" ht="15" hidden="false" customHeight="false" outlineLevel="0" collapsed="false">
      <c r="D456" s="9" t="s">
        <v>66</v>
      </c>
      <c r="E456" s="9" t="s">
        <v>67</v>
      </c>
      <c r="F456" s="9" t="s">
        <v>68</v>
      </c>
      <c r="G456" s="9" t="s">
        <v>138</v>
      </c>
      <c r="H456" s="9" t="s">
        <v>139</v>
      </c>
      <c r="I456" s="0" t="s">
        <v>45</v>
      </c>
      <c r="J456" s="9" t="s">
        <v>46</v>
      </c>
      <c r="K456" s="9" t="s">
        <v>30</v>
      </c>
      <c r="L456" s="9" t="s">
        <v>31</v>
      </c>
      <c r="M456" s="0" t="s">
        <v>140</v>
      </c>
      <c r="N456" s="0" t="n">
        <v>1581</v>
      </c>
      <c r="O456" s="10" t="n">
        <v>0.752609306480736</v>
      </c>
      <c r="P456" s="10" t="n">
        <v>0.164609884377569</v>
      </c>
      <c r="Q456" s="0" t="str">
        <f aca="false">SUBSTITUTE(SUBSTITUTE($I456,CHAR(61),""),CHAR(34),"")</f>
        <v>50+</v>
      </c>
      <c r="R456" s="0" t="str">
        <f aca="false">IF($D456&lt;&gt;"","["&amp;$E456&amp;"]"&amp;"|"&amp;$Q456&amp;"|"&amp;$K456&amp;"|"&amp;$G456&amp;"|"&amp;IF($G456="TX_CURR_SUBNAT.R","CY2022Q4",$M456),"")</f>
        <v>[ScR9iFKAasW]|50+|Female|POP_EST.T_1|CY2023Q3</v>
      </c>
    </row>
    <row r="457" customFormat="false" ht="15" hidden="false" customHeight="false" outlineLevel="0" collapsed="false">
      <c r="D457" s="9" t="s">
        <v>66</v>
      </c>
      <c r="E457" s="9" t="s">
        <v>67</v>
      </c>
      <c r="F457" s="9" t="s">
        <v>68</v>
      </c>
      <c r="G457" s="9" t="s">
        <v>138</v>
      </c>
      <c r="H457" s="9" t="s">
        <v>139</v>
      </c>
      <c r="I457" s="0" t="s">
        <v>28</v>
      </c>
      <c r="J457" s="9" t="s">
        <v>29</v>
      </c>
      <c r="K457" s="9" t="s">
        <v>48</v>
      </c>
      <c r="L457" s="9" t="s">
        <v>49</v>
      </c>
      <c r="M457" s="0" t="s">
        <v>140</v>
      </c>
      <c r="N457" s="0" t="n">
        <v>676</v>
      </c>
      <c r="O457" s="10" t="n">
        <v>0.0114179311785847</v>
      </c>
      <c r="P457" s="10" t="n">
        <v>0.164609884377569</v>
      </c>
      <c r="Q457" s="0" t="str">
        <f aca="false">SUBSTITUTE(SUBSTITUTE($I457,CHAR(61),""),CHAR(34),"")</f>
        <v>&lt;01</v>
      </c>
      <c r="R457" s="0" t="str">
        <f aca="false">IF($D457&lt;&gt;"","["&amp;$E457&amp;"]"&amp;"|"&amp;$Q457&amp;"|"&amp;$K457&amp;"|"&amp;$G457&amp;"|"&amp;IF($G457="TX_CURR_SUBNAT.R","CY2022Q4",$M457),"")</f>
        <v>[ScR9iFKAasW]|&lt;01|Male|POP_EST.T_1|CY2023Q3</v>
      </c>
    </row>
    <row r="458" customFormat="false" ht="15" hidden="false" customHeight="false" outlineLevel="0" collapsed="false">
      <c r="D458" s="9" t="s">
        <v>66</v>
      </c>
      <c r="E458" s="9" t="s">
        <v>67</v>
      </c>
      <c r="F458" s="9" t="s">
        <v>68</v>
      </c>
      <c r="G458" s="9" t="s">
        <v>138</v>
      </c>
      <c r="H458" s="9" t="s">
        <v>139</v>
      </c>
      <c r="I458" s="0" t="s">
        <v>33</v>
      </c>
      <c r="J458" s="9" t="s">
        <v>34</v>
      </c>
      <c r="K458" s="9" t="s">
        <v>48</v>
      </c>
      <c r="L458" s="9" t="s">
        <v>49</v>
      </c>
      <c r="M458" s="0" t="s">
        <v>140</v>
      </c>
      <c r="N458" s="0" t="n">
        <v>933</v>
      </c>
      <c r="O458" s="10" t="n">
        <v>0.401871063280851</v>
      </c>
      <c r="P458" s="10" t="n">
        <v>0.164609884377569</v>
      </c>
      <c r="Q458" s="0" t="str">
        <f aca="false">SUBSTITUTE(SUBSTITUTE($I458,CHAR(61),""),CHAR(34),"")</f>
        <v>01-09</v>
      </c>
      <c r="R458" s="0" t="str">
        <f aca="false">IF($D458&lt;&gt;"","["&amp;$E458&amp;"]"&amp;"|"&amp;$Q458&amp;"|"&amp;$K458&amp;"|"&amp;$G458&amp;"|"&amp;IF($G458="TX_CURR_SUBNAT.R","CY2022Q4",$M458),"")</f>
        <v>[ScR9iFKAasW]|01-09|Male|POP_EST.T_1|CY2023Q3</v>
      </c>
    </row>
    <row r="459" customFormat="false" ht="15" hidden="false" customHeight="false" outlineLevel="0" collapsed="false">
      <c r="D459" s="9" t="s">
        <v>66</v>
      </c>
      <c r="E459" s="9" t="s">
        <v>67</v>
      </c>
      <c r="F459" s="9" t="s">
        <v>68</v>
      </c>
      <c r="G459" s="9" t="s">
        <v>138</v>
      </c>
      <c r="H459" s="9" t="s">
        <v>139</v>
      </c>
      <c r="I459" s="0" t="s">
        <v>36</v>
      </c>
      <c r="J459" s="9" t="s">
        <v>37</v>
      </c>
      <c r="K459" s="9" t="s">
        <v>48</v>
      </c>
      <c r="L459" s="9" t="s">
        <v>49</v>
      </c>
      <c r="M459" s="0" t="s">
        <v>140</v>
      </c>
      <c r="N459" s="0" t="n">
        <v>1957</v>
      </c>
      <c r="O459" s="10" t="n">
        <v>0.471028300467879</v>
      </c>
      <c r="P459" s="10" t="n">
        <v>0.164609884377569</v>
      </c>
      <c r="Q459" s="0" t="str">
        <f aca="false">SUBSTITUTE(SUBSTITUTE($I459,CHAR(61),""),CHAR(34),"")</f>
        <v>10-14</v>
      </c>
      <c r="R459" s="0" t="str">
        <f aca="false">IF($D459&lt;&gt;"","["&amp;$E459&amp;"]"&amp;"|"&amp;$Q459&amp;"|"&amp;$K459&amp;"|"&amp;$G459&amp;"|"&amp;IF($G459="TX_CURR_SUBNAT.R","CY2022Q4",$M459),"")</f>
        <v>[ScR9iFKAasW]|10-14|Male|POP_EST.T_1|CY2023Q3</v>
      </c>
    </row>
    <row r="460" customFormat="false" ht="15" hidden="false" customHeight="false" outlineLevel="0" collapsed="false">
      <c r="D460" s="9" t="s">
        <v>66</v>
      </c>
      <c r="E460" s="9" t="s">
        <v>67</v>
      </c>
      <c r="F460" s="9" t="s">
        <v>68</v>
      </c>
      <c r="G460" s="9" t="s">
        <v>138</v>
      </c>
      <c r="H460" s="9" t="s">
        <v>139</v>
      </c>
      <c r="I460" s="0" t="s">
        <v>38</v>
      </c>
      <c r="J460" s="9" t="s">
        <v>39</v>
      </c>
      <c r="K460" s="9" t="s">
        <v>48</v>
      </c>
      <c r="L460" s="9" t="s">
        <v>49</v>
      </c>
      <c r="M460" s="0" t="s">
        <v>140</v>
      </c>
      <c r="N460" s="0" t="n">
        <v>1493</v>
      </c>
      <c r="O460" s="10" t="n">
        <v>0.814010952133685</v>
      </c>
      <c r="P460" s="10" t="n">
        <v>0.164609884377569</v>
      </c>
      <c r="Q460" s="0" t="str">
        <f aca="false">SUBSTITUTE(SUBSTITUTE($I460,CHAR(61),""),CHAR(34),"")</f>
        <v>15-24</v>
      </c>
      <c r="R460" s="0" t="str">
        <f aca="false">IF($D460&lt;&gt;"","["&amp;$E460&amp;"]"&amp;"|"&amp;$Q460&amp;"|"&amp;$K460&amp;"|"&amp;$G460&amp;"|"&amp;IF($G460="TX_CURR_SUBNAT.R","CY2022Q4",$M460),"")</f>
        <v>[ScR9iFKAasW]|15-24|Male|POP_EST.T_1|CY2023Q3</v>
      </c>
    </row>
    <row r="461" customFormat="false" ht="15" hidden="false" customHeight="false" outlineLevel="0" collapsed="false">
      <c r="D461" s="9" t="s">
        <v>66</v>
      </c>
      <c r="E461" s="9" t="s">
        <v>67</v>
      </c>
      <c r="F461" s="9" t="s">
        <v>68</v>
      </c>
      <c r="G461" s="9" t="s">
        <v>138</v>
      </c>
      <c r="H461" s="9" t="s">
        <v>139</v>
      </c>
      <c r="I461" s="0" t="s">
        <v>41</v>
      </c>
      <c r="J461" s="9" t="s">
        <v>42</v>
      </c>
      <c r="K461" s="9" t="s">
        <v>48</v>
      </c>
      <c r="L461" s="9" t="s">
        <v>49</v>
      </c>
      <c r="M461" s="0" t="s">
        <v>140</v>
      </c>
      <c r="N461" s="0" t="n">
        <v>1287</v>
      </c>
      <c r="O461" s="10" t="n">
        <v>0.871605715947226</v>
      </c>
      <c r="P461" s="10" t="n">
        <v>0.164609884377569</v>
      </c>
      <c r="Q461" s="0" t="str">
        <f aca="false">SUBSTITUTE(SUBSTITUTE($I461,CHAR(61),""),CHAR(34),"")</f>
        <v>25-34</v>
      </c>
      <c r="R461" s="0" t="str">
        <f aca="false">IF($D461&lt;&gt;"","["&amp;$E461&amp;"]"&amp;"|"&amp;$Q461&amp;"|"&amp;$K461&amp;"|"&amp;$G461&amp;"|"&amp;IF($G461="TX_CURR_SUBNAT.R","CY2022Q4",$M461),"")</f>
        <v>[ScR9iFKAasW]|25-34|Male|POP_EST.T_1|CY2023Q3</v>
      </c>
    </row>
    <row r="462" customFormat="false" ht="15" hidden="false" customHeight="false" outlineLevel="0" collapsed="false">
      <c r="D462" s="9" t="s">
        <v>66</v>
      </c>
      <c r="E462" s="9" t="s">
        <v>67</v>
      </c>
      <c r="F462" s="9" t="s">
        <v>68</v>
      </c>
      <c r="G462" s="9" t="s">
        <v>138</v>
      </c>
      <c r="H462" s="9" t="s">
        <v>139</v>
      </c>
      <c r="I462" s="0" t="s">
        <v>43</v>
      </c>
      <c r="J462" s="9" t="s">
        <v>44</v>
      </c>
      <c r="K462" s="9" t="s">
        <v>48</v>
      </c>
      <c r="L462" s="9" t="s">
        <v>49</v>
      </c>
      <c r="M462" s="0" t="s">
        <v>140</v>
      </c>
      <c r="N462" s="0" t="n">
        <v>1945</v>
      </c>
      <c r="O462" s="10" t="n">
        <v>0.236440784530714</v>
      </c>
      <c r="P462" s="10" t="n">
        <v>0.164609884377569</v>
      </c>
      <c r="Q462" s="0" t="str">
        <f aca="false">SUBSTITUTE(SUBSTITUTE($I462,CHAR(61),""),CHAR(34),"")</f>
        <v>35-49</v>
      </c>
      <c r="R462" s="0" t="str">
        <f aca="false">IF($D462&lt;&gt;"","["&amp;$E462&amp;"]"&amp;"|"&amp;$Q462&amp;"|"&amp;$K462&amp;"|"&amp;$G462&amp;"|"&amp;IF($G462="TX_CURR_SUBNAT.R","CY2022Q4",$M462),"")</f>
        <v>[ScR9iFKAasW]|35-49|Male|POP_EST.T_1|CY2023Q3</v>
      </c>
    </row>
    <row r="463" customFormat="false" ht="15" hidden="false" customHeight="false" outlineLevel="0" collapsed="false">
      <c r="D463" s="9" t="s">
        <v>66</v>
      </c>
      <c r="E463" s="9" t="s">
        <v>67</v>
      </c>
      <c r="F463" s="9" t="s">
        <v>68</v>
      </c>
      <c r="G463" s="9" t="s">
        <v>138</v>
      </c>
      <c r="H463" s="9" t="s">
        <v>139</v>
      </c>
      <c r="I463" s="0" t="s">
        <v>45</v>
      </c>
      <c r="J463" s="9" t="s">
        <v>46</v>
      </c>
      <c r="K463" s="9" t="s">
        <v>48</v>
      </c>
      <c r="L463" s="9" t="s">
        <v>49</v>
      </c>
      <c r="M463" s="0" t="s">
        <v>140</v>
      </c>
      <c r="N463" s="0" t="n">
        <v>1217</v>
      </c>
      <c r="O463" s="10" t="n">
        <v>0.520277483155951</v>
      </c>
      <c r="P463" s="10" t="n">
        <v>0.164609884377569</v>
      </c>
      <c r="Q463" s="0" t="str">
        <f aca="false">SUBSTITUTE(SUBSTITUTE($I463,CHAR(61),""),CHAR(34),"")</f>
        <v>50+</v>
      </c>
      <c r="R463" s="0" t="str">
        <f aca="false">IF($D463&lt;&gt;"","["&amp;$E463&amp;"]"&amp;"|"&amp;$Q463&amp;"|"&amp;$K463&amp;"|"&amp;$G463&amp;"|"&amp;IF($G463="TX_CURR_SUBNAT.R","CY2022Q4",$M463),"")</f>
        <v>[ScR9iFKAasW]|50+|Male|POP_EST.T_1|CY2023Q3</v>
      </c>
    </row>
    <row r="464" customFormat="false" ht="15" hidden="false" customHeight="false" outlineLevel="0" collapsed="false">
      <c r="D464" s="9" t="s">
        <v>69</v>
      </c>
      <c r="E464" s="9" t="s">
        <v>70</v>
      </c>
      <c r="F464" s="9" t="s">
        <v>71</v>
      </c>
      <c r="G464" s="9" t="s">
        <v>138</v>
      </c>
      <c r="H464" s="9" t="s">
        <v>139</v>
      </c>
      <c r="I464" s="0" t="s">
        <v>28</v>
      </c>
      <c r="J464" s="9" t="s">
        <v>29</v>
      </c>
      <c r="K464" s="9" t="s">
        <v>30</v>
      </c>
      <c r="L464" s="9" t="s">
        <v>31</v>
      </c>
      <c r="M464" s="0" t="s">
        <v>140</v>
      </c>
      <c r="N464" s="0" t="n">
        <v>994</v>
      </c>
      <c r="O464" s="10" t="n">
        <v>0.569320027250797</v>
      </c>
      <c r="P464" s="10" t="n">
        <v>0.198817263124511</v>
      </c>
      <c r="Q464" s="0" t="str">
        <f aca="false">SUBSTITUTE(SUBSTITUTE($I464,CHAR(61),""),CHAR(34),"")</f>
        <v>&lt;01</v>
      </c>
      <c r="R464" s="0" t="str">
        <f aca="false">IF($D464&lt;&gt;"","["&amp;$E464&amp;"]"&amp;"|"&amp;$Q464&amp;"|"&amp;$K464&amp;"|"&amp;$G464&amp;"|"&amp;IF($G464="TX_CURR_SUBNAT.R","CY2022Q4",$M464),"")</f>
        <v>[PekKUkKHAzY]|&lt;01|Female|POP_EST.T_1|CY2023Q3</v>
      </c>
    </row>
    <row r="465" customFormat="false" ht="15" hidden="false" customHeight="false" outlineLevel="0" collapsed="false">
      <c r="D465" s="9" t="s">
        <v>69</v>
      </c>
      <c r="E465" s="9" t="s">
        <v>70</v>
      </c>
      <c r="F465" s="9" t="s">
        <v>71</v>
      </c>
      <c r="G465" s="9" t="s">
        <v>138</v>
      </c>
      <c r="H465" s="9" t="s">
        <v>139</v>
      </c>
      <c r="I465" s="0" t="s">
        <v>33</v>
      </c>
      <c r="J465" s="9" t="s">
        <v>34</v>
      </c>
      <c r="K465" s="9" t="s">
        <v>30</v>
      </c>
      <c r="L465" s="9" t="s">
        <v>31</v>
      </c>
      <c r="M465" s="0" t="s">
        <v>140</v>
      </c>
      <c r="N465" s="0" t="n">
        <v>1043</v>
      </c>
      <c r="O465" s="10" t="n">
        <v>0.990888333180919</v>
      </c>
      <c r="P465" s="10" t="n">
        <v>0.198817263124511</v>
      </c>
      <c r="Q465" s="0" t="str">
        <f aca="false">SUBSTITUTE(SUBSTITUTE($I465,CHAR(61),""),CHAR(34),"")</f>
        <v>01-09</v>
      </c>
      <c r="R465" s="0" t="str">
        <f aca="false">IF($D465&lt;&gt;"","["&amp;$E465&amp;"]"&amp;"|"&amp;$Q465&amp;"|"&amp;$K465&amp;"|"&amp;$G465&amp;"|"&amp;IF($G465="TX_CURR_SUBNAT.R","CY2022Q4",$M465),"")</f>
        <v>[PekKUkKHAzY]|01-09|Female|POP_EST.T_1|CY2023Q3</v>
      </c>
    </row>
    <row r="466" customFormat="false" ht="15" hidden="false" customHeight="false" outlineLevel="0" collapsed="false">
      <c r="D466" s="9" t="s">
        <v>69</v>
      </c>
      <c r="E466" s="9" t="s">
        <v>70</v>
      </c>
      <c r="F466" s="9" t="s">
        <v>71</v>
      </c>
      <c r="G466" s="9" t="s">
        <v>138</v>
      </c>
      <c r="H466" s="9" t="s">
        <v>139</v>
      </c>
      <c r="I466" s="0" t="s">
        <v>36</v>
      </c>
      <c r="J466" s="9" t="s">
        <v>37</v>
      </c>
      <c r="K466" s="9" t="s">
        <v>30</v>
      </c>
      <c r="L466" s="9" t="s">
        <v>31</v>
      </c>
      <c r="M466" s="0" t="s">
        <v>140</v>
      </c>
      <c r="N466" s="0" t="n">
        <v>1272</v>
      </c>
      <c r="O466" s="10" t="n">
        <v>0.207705345004797</v>
      </c>
      <c r="P466" s="10" t="n">
        <v>0.198817263124511</v>
      </c>
      <c r="Q466" s="0" t="str">
        <f aca="false">SUBSTITUTE(SUBSTITUTE($I466,CHAR(61),""),CHAR(34),"")</f>
        <v>10-14</v>
      </c>
      <c r="R466" s="0" t="str">
        <f aca="false">IF($D466&lt;&gt;"","["&amp;$E466&amp;"]"&amp;"|"&amp;$Q466&amp;"|"&amp;$K466&amp;"|"&amp;$G466&amp;"|"&amp;IF($G466="TX_CURR_SUBNAT.R","CY2022Q4",$M466),"")</f>
        <v>[PekKUkKHAzY]|10-14|Female|POP_EST.T_1|CY2023Q3</v>
      </c>
    </row>
    <row r="467" customFormat="false" ht="15" hidden="false" customHeight="false" outlineLevel="0" collapsed="false">
      <c r="D467" s="9" t="s">
        <v>69</v>
      </c>
      <c r="E467" s="9" t="s">
        <v>70</v>
      </c>
      <c r="F467" s="9" t="s">
        <v>71</v>
      </c>
      <c r="G467" s="9" t="s">
        <v>138</v>
      </c>
      <c r="H467" s="9" t="s">
        <v>139</v>
      </c>
      <c r="I467" s="0" t="s">
        <v>38</v>
      </c>
      <c r="J467" s="9" t="s">
        <v>39</v>
      </c>
      <c r="K467" s="9" t="s">
        <v>30</v>
      </c>
      <c r="L467" s="9" t="s">
        <v>31</v>
      </c>
      <c r="M467" s="0" t="s">
        <v>140</v>
      </c>
      <c r="N467" s="0" t="n">
        <v>1410</v>
      </c>
      <c r="O467" s="10" t="n">
        <v>0.567327926168218</v>
      </c>
      <c r="P467" s="10" t="n">
        <v>0.198817263124511</v>
      </c>
      <c r="Q467" s="0" t="str">
        <f aca="false">SUBSTITUTE(SUBSTITUTE($I467,CHAR(61),""),CHAR(34),"")</f>
        <v>15-24</v>
      </c>
      <c r="R467" s="0" t="str">
        <f aca="false">IF($D467&lt;&gt;"","["&amp;$E467&amp;"]"&amp;"|"&amp;$Q467&amp;"|"&amp;$K467&amp;"|"&amp;$G467&amp;"|"&amp;IF($G467="TX_CURR_SUBNAT.R","CY2022Q4",$M467),"")</f>
        <v>[PekKUkKHAzY]|15-24|Female|POP_EST.T_1|CY2023Q3</v>
      </c>
    </row>
    <row r="468" customFormat="false" ht="15" hidden="false" customHeight="false" outlineLevel="0" collapsed="false">
      <c r="D468" s="9" t="s">
        <v>69</v>
      </c>
      <c r="E468" s="9" t="s">
        <v>70</v>
      </c>
      <c r="F468" s="9" t="s">
        <v>71</v>
      </c>
      <c r="G468" s="9" t="s">
        <v>138</v>
      </c>
      <c r="H468" s="9" t="s">
        <v>139</v>
      </c>
      <c r="I468" s="0" t="s">
        <v>41</v>
      </c>
      <c r="J468" s="9" t="s">
        <v>42</v>
      </c>
      <c r="K468" s="9" t="s">
        <v>30</v>
      </c>
      <c r="L468" s="9" t="s">
        <v>31</v>
      </c>
      <c r="M468" s="0" t="s">
        <v>140</v>
      </c>
      <c r="N468" s="0" t="n">
        <v>1954</v>
      </c>
      <c r="O468" s="10" t="n">
        <v>0.0482708076015115</v>
      </c>
      <c r="P468" s="10" t="n">
        <v>0.198817263124511</v>
      </c>
      <c r="Q468" s="0" t="str">
        <f aca="false">SUBSTITUTE(SUBSTITUTE($I468,CHAR(61),""),CHAR(34),"")</f>
        <v>25-34</v>
      </c>
      <c r="R468" s="0" t="str">
        <f aca="false">IF($D468&lt;&gt;"","["&amp;$E468&amp;"]"&amp;"|"&amp;$Q468&amp;"|"&amp;$K468&amp;"|"&amp;$G468&amp;"|"&amp;IF($G468="TX_CURR_SUBNAT.R","CY2022Q4",$M468),"")</f>
        <v>[PekKUkKHAzY]|25-34|Female|POP_EST.T_1|CY2023Q3</v>
      </c>
    </row>
    <row r="469" customFormat="false" ht="15" hidden="false" customHeight="false" outlineLevel="0" collapsed="false">
      <c r="D469" s="9" t="s">
        <v>69</v>
      </c>
      <c r="E469" s="9" t="s">
        <v>70</v>
      </c>
      <c r="F469" s="9" t="s">
        <v>71</v>
      </c>
      <c r="G469" s="9" t="s">
        <v>138</v>
      </c>
      <c r="H469" s="9" t="s">
        <v>139</v>
      </c>
      <c r="I469" s="0" t="s">
        <v>43</v>
      </c>
      <c r="J469" s="9" t="s">
        <v>44</v>
      </c>
      <c r="K469" s="9" t="s">
        <v>30</v>
      </c>
      <c r="L469" s="9" t="s">
        <v>31</v>
      </c>
      <c r="M469" s="0" t="s">
        <v>140</v>
      </c>
      <c r="N469" s="0" t="n">
        <v>1065</v>
      </c>
      <c r="O469" s="10" t="n">
        <v>0.545120842056349</v>
      </c>
      <c r="P469" s="10" t="n">
        <v>0.198817263124511</v>
      </c>
      <c r="Q469" s="0" t="str">
        <f aca="false">SUBSTITUTE(SUBSTITUTE($I469,CHAR(61),""),CHAR(34),"")</f>
        <v>35-49</v>
      </c>
      <c r="R469" s="0" t="str">
        <f aca="false">IF($D469&lt;&gt;"","["&amp;$E469&amp;"]"&amp;"|"&amp;$Q469&amp;"|"&amp;$K469&amp;"|"&amp;$G469&amp;"|"&amp;IF($G469="TX_CURR_SUBNAT.R","CY2022Q4",$M469),"")</f>
        <v>[PekKUkKHAzY]|35-49|Female|POP_EST.T_1|CY2023Q3</v>
      </c>
    </row>
    <row r="470" customFormat="false" ht="15" hidden="false" customHeight="false" outlineLevel="0" collapsed="false">
      <c r="D470" s="9" t="s">
        <v>69</v>
      </c>
      <c r="E470" s="9" t="s">
        <v>70</v>
      </c>
      <c r="F470" s="9" t="s">
        <v>71</v>
      </c>
      <c r="G470" s="9" t="s">
        <v>138</v>
      </c>
      <c r="H470" s="9" t="s">
        <v>139</v>
      </c>
      <c r="I470" s="0" t="s">
        <v>45</v>
      </c>
      <c r="J470" s="9" t="s">
        <v>46</v>
      </c>
      <c r="K470" s="9" t="s">
        <v>30</v>
      </c>
      <c r="L470" s="9" t="s">
        <v>31</v>
      </c>
      <c r="M470" s="0" t="s">
        <v>140</v>
      </c>
      <c r="N470" s="0" t="n">
        <v>1004</v>
      </c>
      <c r="O470" s="10" t="n">
        <v>0.458708153106272</v>
      </c>
      <c r="P470" s="10" t="n">
        <v>0.198817263124511</v>
      </c>
      <c r="Q470" s="0" t="str">
        <f aca="false">SUBSTITUTE(SUBSTITUTE($I470,CHAR(61),""),CHAR(34),"")</f>
        <v>50+</v>
      </c>
      <c r="R470" s="0" t="str">
        <f aca="false">IF($D470&lt;&gt;"","["&amp;$E470&amp;"]"&amp;"|"&amp;$Q470&amp;"|"&amp;$K470&amp;"|"&amp;$G470&amp;"|"&amp;IF($G470="TX_CURR_SUBNAT.R","CY2022Q4",$M470),"")</f>
        <v>[PekKUkKHAzY]|50+|Female|POP_EST.T_1|CY2023Q3</v>
      </c>
    </row>
    <row r="471" customFormat="false" ht="15" hidden="false" customHeight="false" outlineLevel="0" collapsed="false">
      <c r="D471" s="9" t="s">
        <v>69</v>
      </c>
      <c r="E471" s="9" t="s">
        <v>70</v>
      </c>
      <c r="F471" s="9" t="s">
        <v>71</v>
      </c>
      <c r="G471" s="9" t="s">
        <v>138</v>
      </c>
      <c r="H471" s="9" t="s">
        <v>139</v>
      </c>
      <c r="I471" s="0" t="s">
        <v>28</v>
      </c>
      <c r="J471" s="9" t="s">
        <v>29</v>
      </c>
      <c r="K471" s="9" t="s">
        <v>48</v>
      </c>
      <c r="L471" s="9" t="s">
        <v>49</v>
      </c>
      <c r="M471" s="0" t="s">
        <v>140</v>
      </c>
      <c r="N471" s="0" t="n">
        <v>1032</v>
      </c>
      <c r="O471" s="10" t="n">
        <v>0.572724383790046</v>
      </c>
      <c r="P471" s="10" t="n">
        <v>0.198817263124511</v>
      </c>
      <c r="Q471" s="0" t="str">
        <f aca="false">SUBSTITUTE(SUBSTITUTE($I471,CHAR(61),""),CHAR(34),"")</f>
        <v>&lt;01</v>
      </c>
      <c r="R471" s="0" t="str">
        <f aca="false">IF($D471&lt;&gt;"","["&amp;$E471&amp;"]"&amp;"|"&amp;$Q471&amp;"|"&amp;$K471&amp;"|"&amp;$G471&amp;"|"&amp;IF($G471="TX_CURR_SUBNAT.R","CY2022Q4",$M471),"")</f>
        <v>[PekKUkKHAzY]|&lt;01|Male|POP_EST.T_1|CY2023Q3</v>
      </c>
    </row>
    <row r="472" customFormat="false" ht="15" hidden="false" customHeight="false" outlineLevel="0" collapsed="false">
      <c r="D472" s="9" t="s">
        <v>69</v>
      </c>
      <c r="E472" s="9" t="s">
        <v>70</v>
      </c>
      <c r="F472" s="9" t="s">
        <v>71</v>
      </c>
      <c r="G472" s="9" t="s">
        <v>138</v>
      </c>
      <c r="H472" s="9" t="s">
        <v>139</v>
      </c>
      <c r="I472" s="0" t="s">
        <v>33</v>
      </c>
      <c r="J472" s="9" t="s">
        <v>34</v>
      </c>
      <c r="K472" s="9" t="s">
        <v>48</v>
      </c>
      <c r="L472" s="9" t="s">
        <v>49</v>
      </c>
      <c r="M472" s="0" t="s">
        <v>140</v>
      </c>
      <c r="N472" s="0" t="n">
        <v>1536</v>
      </c>
      <c r="O472" s="10" t="n">
        <v>0.714119695359841</v>
      </c>
      <c r="P472" s="10" t="n">
        <v>0.198817263124511</v>
      </c>
      <c r="Q472" s="0" t="str">
        <f aca="false">SUBSTITUTE(SUBSTITUTE($I472,CHAR(61),""),CHAR(34),"")</f>
        <v>01-09</v>
      </c>
      <c r="R472" s="0" t="str">
        <f aca="false">IF($D472&lt;&gt;"","["&amp;$E472&amp;"]"&amp;"|"&amp;$Q472&amp;"|"&amp;$K472&amp;"|"&amp;$G472&amp;"|"&amp;IF($G472="TX_CURR_SUBNAT.R","CY2022Q4",$M472),"")</f>
        <v>[PekKUkKHAzY]|01-09|Male|POP_EST.T_1|CY2023Q3</v>
      </c>
    </row>
    <row r="473" customFormat="false" ht="15" hidden="false" customHeight="false" outlineLevel="0" collapsed="false">
      <c r="D473" s="9" t="s">
        <v>69</v>
      </c>
      <c r="E473" s="9" t="s">
        <v>70</v>
      </c>
      <c r="F473" s="9" t="s">
        <v>71</v>
      </c>
      <c r="G473" s="9" t="s">
        <v>138</v>
      </c>
      <c r="H473" s="9" t="s">
        <v>139</v>
      </c>
      <c r="I473" s="0" t="s">
        <v>36</v>
      </c>
      <c r="J473" s="9" t="s">
        <v>37</v>
      </c>
      <c r="K473" s="9" t="s">
        <v>48</v>
      </c>
      <c r="L473" s="9" t="s">
        <v>49</v>
      </c>
      <c r="M473" s="0" t="s">
        <v>140</v>
      </c>
      <c r="N473" s="0" t="n">
        <v>1407</v>
      </c>
      <c r="O473" s="10" t="n">
        <v>0.589238955872133</v>
      </c>
      <c r="P473" s="10" t="n">
        <v>0.198817263124511</v>
      </c>
      <c r="Q473" s="0" t="str">
        <f aca="false">SUBSTITUTE(SUBSTITUTE($I473,CHAR(61),""),CHAR(34),"")</f>
        <v>10-14</v>
      </c>
      <c r="R473" s="0" t="str">
        <f aca="false">IF($D473&lt;&gt;"","["&amp;$E473&amp;"]"&amp;"|"&amp;$Q473&amp;"|"&amp;$K473&amp;"|"&amp;$G473&amp;"|"&amp;IF($G473="TX_CURR_SUBNAT.R","CY2022Q4",$M473),"")</f>
        <v>[PekKUkKHAzY]|10-14|Male|POP_EST.T_1|CY2023Q3</v>
      </c>
    </row>
    <row r="474" customFormat="false" ht="15" hidden="false" customHeight="false" outlineLevel="0" collapsed="false">
      <c r="D474" s="9" t="s">
        <v>69</v>
      </c>
      <c r="E474" s="9" t="s">
        <v>70</v>
      </c>
      <c r="F474" s="9" t="s">
        <v>71</v>
      </c>
      <c r="G474" s="9" t="s">
        <v>138</v>
      </c>
      <c r="H474" s="9" t="s">
        <v>139</v>
      </c>
      <c r="I474" s="0" t="s">
        <v>38</v>
      </c>
      <c r="J474" s="9" t="s">
        <v>39</v>
      </c>
      <c r="K474" s="9" t="s">
        <v>48</v>
      </c>
      <c r="L474" s="9" t="s">
        <v>49</v>
      </c>
      <c r="M474" s="0" t="s">
        <v>140</v>
      </c>
      <c r="N474" s="0" t="n">
        <v>1052</v>
      </c>
      <c r="O474" s="10" t="n">
        <v>0.121654388029128</v>
      </c>
      <c r="P474" s="10" t="n">
        <v>0.198817263124511</v>
      </c>
      <c r="Q474" s="0" t="str">
        <f aca="false">SUBSTITUTE(SUBSTITUTE($I474,CHAR(61),""),CHAR(34),"")</f>
        <v>15-24</v>
      </c>
      <c r="R474" s="0" t="str">
        <f aca="false">IF($D474&lt;&gt;"","["&amp;$E474&amp;"]"&amp;"|"&amp;$Q474&amp;"|"&amp;$K474&amp;"|"&amp;$G474&amp;"|"&amp;IF($G474="TX_CURR_SUBNAT.R","CY2022Q4",$M474),"")</f>
        <v>[PekKUkKHAzY]|15-24|Male|POP_EST.T_1|CY2023Q3</v>
      </c>
    </row>
    <row r="475" customFormat="false" ht="15" hidden="false" customHeight="false" outlineLevel="0" collapsed="false">
      <c r="D475" s="9" t="s">
        <v>69</v>
      </c>
      <c r="E475" s="9" t="s">
        <v>70</v>
      </c>
      <c r="F475" s="9" t="s">
        <v>71</v>
      </c>
      <c r="G475" s="9" t="s">
        <v>138</v>
      </c>
      <c r="H475" s="9" t="s">
        <v>139</v>
      </c>
      <c r="I475" s="0" t="s">
        <v>41</v>
      </c>
      <c r="J475" s="9" t="s">
        <v>42</v>
      </c>
      <c r="K475" s="9" t="s">
        <v>48</v>
      </c>
      <c r="L475" s="9" t="s">
        <v>49</v>
      </c>
      <c r="M475" s="0" t="s">
        <v>140</v>
      </c>
      <c r="N475" s="0" t="n">
        <v>996</v>
      </c>
      <c r="O475" s="10" t="n">
        <v>0.158949334174395</v>
      </c>
      <c r="P475" s="10" t="n">
        <v>0.198817263124511</v>
      </c>
      <c r="Q475" s="0" t="str">
        <f aca="false">SUBSTITUTE(SUBSTITUTE($I475,CHAR(61),""),CHAR(34),"")</f>
        <v>25-34</v>
      </c>
      <c r="R475" s="0" t="str">
        <f aca="false">IF($D475&lt;&gt;"","["&amp;$E475&amp;"]"&amp;"|"&amp;$Q475&amp;"|"&amp;$K475&amp;"|"&amp;$G475&amp;"|"&amp;IF($G475="TX_CURR_SUBNAT.R","CY2022Q4",$M475),"")</f>
        <v>[PekKUkKHAzY]|25-34|Male|POP_EST.T_1|CY2023Q3</v>
      </c>
    </row>
    <row r="476" customFormat="false" ht="15" hidden="false" customHeight="false" outlineLevel="0" collapsed="false">
      <c r="D476" s="9" t="s">
        <v>69</v>
      </c>
      <c r="E476" s="9" t="s">
        <v>70</v>
      </c>
      <c r="F476" s="9" t="s">
        <v>71</v>
      </c>
      <c r="G476" s="9" t="s">
        <v>138</v>
      </c>
      <c r="H476" s="9" t="s">
        <v>139</v>
      </c>
      <c r="I476" s="0" t="s">
        <v>43</v>
      </c>
      <c r="J476" s="9" t="s">
        <v>44</v>
      </c>
      <c r="K476" s="9" t="s">
        <v>48</v>
      </c>
      <c r="L476" s="9" t="s">
        <v>49</v>
      </c>
      <c r="M476" s="0" t="s">
        <v>140</v>
      </c>
      <c r="N476" s="0" t="n">
        <v>609</v>
      </c>
      <c r="O476" s="10" t="n">
        <v>0.193027554312721</v>
      </c>
      <c r="P476" s="10" t="n">
        <v>0.198817263124511</v>
      </c>
      <c r="Q476" s="0" t="str">
        <f aca="false">SUBSTITUTE(SUBSTITUTE($I476,CHAR(61),""),CHAR(34),"")</f>
        <v>35-49</v>
      </c>
      <c r="R476" s="0" t="str">
        <f aca="false">IF($D476&lt;&gt;"","["&amp;$E476&amp;"]"&amp;"|"&amp;$Q476&amp;"|"&amp;$K476&amp;"|"&amp;$G476&amp;"|"&amp;IF($G476="TX_CURR_SUBNAT.R","CY2022Q4",$M476),"")</f>
        <v>[PekKUkKHAzY]|35-49|Male|POP_EST.T_1|CY2023Q3</v>
      </c>
    </row>
    <row r="477" customFormat="false" ht="15" hidden="false" customHeight="false" outlineLevel="0" collapsed="false">
      <c r="D477" s="9" t="s">
        <v>69</v>
      </c>
      <c r="E477" s="9" t="s">
        <v>70</v>
      </c>
      <c r="F477" s="9" t="s">
        <v>71</v>
      </c>
      <c r="G477" s="9" t="s">
        <v>138</v>
      </c>
      <c r="H477" s="9" t="s">
        <v>139</v>
      </c>
      <c r="I477" s="0" t="s">
        <v>45</v>
      </c>
      <c r="J477" s="9" t="s">
        <v>46</v>
      </c>
      <c r="K477" s="9" t="s">
        <v>48</v>
      </c>
      <c r="L477" s="9" t="s">
        <v>49</v>
      </c>
      <c r="M477" s="0" t="s">
        <v>140</v>
      </c>
      <c r="N477" s="0" t="n">
        <v>845</v>
      </c>
      <c r="O477" s="10" t="n">
        <v>0.976481922436506</v>
      </c>
      <c r="P477" s="10" t="n">
        <v>0.198817263124511</v>
      </c>
      <c r="Q477" s="0" t="str">
        <f aca="false">SUBSTITUTE(SUBSTITUTE($I477,CHAR(61),""),CHAR(34),"")</f>
        <v>50+</v>
      </c>
      <c r="R477" s="0" t="str">
        <f aca="false">IF($D477&lt;&gt;"","["&amp;$E477&amp;"]"&amp;"|"&amp;$Q477&amp;"|"&amp;$K477&amp;"|"&amp;$G477&amp;"|"&amp;IF($G477="TX_CURR_SUBNAT.R","CY2022Q4",$M477),"")</f>
        <v>[PekKUkKHAzY]|50+|Male|POP_EST.T_1|CY2023Q3</v>
      </c>
    </row>
    <row r="478" customFormat="false" ht="15" hidden="false" customHeight="false" outlineLevel="0" collapsed="false">
      <c r="D478" s="9" t="s">
        <v>72</v>
      </c>
      <c r="E478" s="9" t="s">
        <v>73</v>
      </c>
      <c r="F478" s="9" t="s">
        <v>74</v>
      </c>
      <c r="G478" s="9" t="s">
        <v>138</v>
      </c>
      <c r="H478" s="9" t="s">
        <v>139</v>
      </c>
      <c r="I478" s="0" t="s">
        <v>28</v>
      </c>
      <c r="J478" s="9" t="s">
        <v>29</v>
      </c>
      <c r="K478" s="9" t="s">
        <v>30</v>
      </c>
      <c r="L478" s="9" t="s">
        <v>31</v>
      </c>
      <c r="M478" s="0" t="s">
        <v>140</v>
      </c>
      <c r="N478" s="0" t="n">
        <v>835</v>
      </c>
      <c r="O478" s="10" t="n">
        <v>0.472668922971934</v>
      </c>
      <c r="P478" s="10" t="n">
        <v>0.289728706935421</v>
      </c>
      <c r="Q478" s="0" t="str">
        <f aca="false">SUBSTITUTE(SUBSTITUTE($I478,CHAR(61),""),CHAR(34),"")</f>
        <v>&lt;01</v>
      </c>
      <c r="R478" s="0" t="str">
        <f aca="false">IF($D478&lt;&gt;"","["&amp;$E478&amp;"]"&amp;"|"&amp;$Q478&amp;"|"&amp;$K478&amp;"|"&amp;$G478&amp;"|"&amp;IF($G478="TX_CURR_SUBNAT.R","CY2022Q4",$M478),"")</f>
        <v>[am530wpaGvr]|&lt;01|Female|POP_EST.T_1|CY2023Q3</v>
      </c>
    </row>
    <row r="479" customFormat="false" ht="15" hidden="false" customHeight="false" outlineLevel="0" collapsed="false">
      <c r="D479" s="9" t="s">
        <v>72</v>
      </c>
      <c r="E479" s="9" t="s">
        <v>73</v>
      </c>
      <c r="F479" s="9" t="s">
        <v>74</v>
      </c>
      <c r="G479" s="9" t="s">
        <v>138</v>
      </c>
      <c r="H479" s="9" t="s">
        <v>139</v>
      </c>
      <c r="I479" s="0" t="s">
        <v>33</v>
      </c>
      <c r="J479" s="9" t="s">
        <v>34</v>
      </c>
      <c r="K479" s="9" t="s">
        <v>30</v>
      </c>
      <c r="L479" s="9" t="s">
        <v>31</v>
      </c>
      <c r="M479" s="0" t="s">
        <v>140</v>
      </c>
      <c r="N479" s="0" t="n">
        <v>889</v>
      </c>
      <c r="O479" s="10" t="n">
        <v>0.892575771547854</v>
      </c>
      <c r="P479" s="10" t="n">
        <v>0.289728706935421</v>
      </c>
      <c r="Q479" s="0" t="str">
        <f aca="false">SUBSTITUTE(SUBSTITUTE($I479,CHAR(61),""),CHAR(34),"")</f>
        <v>01-09</v>
      </c>
      <c r="R479" s="0" t="str">
        <f aca="false">IF($D479&lt;&gt;"","["&amp;$E479&amp;"]"&amp;"|"&amp;$Q479&amp;"|"&amp;$K479&amp;"|"&amp;$G479&amp;"|"&amp;IF($G479="TX_CURR_SUBNAT.R","CY2022Q4",$M479),"")</f>
        <v>[am530wpaGvr]|01-09|Female|POP_EST.T_1|CY2023Q3</v>
      </c>
    </row>
    <row r="480" customFormat="false" ht="15" hidden="false" customHeight="false" outlineLevel="0" collapsed="false">
      <c r="D480" s="9" t="s">
        <v>72</v>
      </c>
      <c r="E480" s="9" t="s">
        <v>73</v>
      </c>
      <c r="F480" s="9" t="s">
        <v>74</v>
      </c>
      <c r="G480" s="9" t="s">
        <v>138</v>
      </c>
      <c r="H480" s="9" t="s">
        <v>139</v>
      </c>
      <c r="I480" s="0" t="s">
        <v>36</v>
      </c>
      <c r="J480" s="9" t="s">
        <v>37</v>
      </c>
      <c r="K480" s="9" t="s">
        <v>30</v>
      </c>
      <c r="L480" s="9" t="s">
        <v>31</v>
      </c>
      <c r="M480" s="0" t="s">
        <v>140</v>
      </c>
      <c r="N480" s="0" t="n">
        <v>1395</v>
      </c>
      <c r="O480" s="10" t="n">
        <v>0.653674144763499</v>
      </c>
      <c r="P480" s="10" t="n">
        <v>0.289728706935421</v>
      </c>
      <c r="Q480" s="0" t="str">
        <f aca="false">SUBSTITUTE(SUBSTITUTE($I480,CHAR(61),""),CHAR(34),"")</f>
        <v>10-14</v>
      </c>
      <c r="R480" s="0" t="str">
        <f aca="false">IF($D480&lt;&gt;"","["&amp;$E480&amp;"]"&amp;"|"&amp;$Q480&amp;"|"&amp;$K480&amp;"|"&amp;$G480&amp;"|"&amp;IF($G480="TX_CURR_SUBNAT.R","CY2022Q4",$M480),"")</f>
        <v>[am530wpaGvr]|10-14|Female|POP_EST.T_1|CY2023Q3</v>
      </c>
    </row>
    <row r="481" customFormat="false" ht="15" hidden="false" customHeight="false" outlineLevel="0" collapsed="false">
      <c r="D481" s="9" t="s">
        <v>72</v>
      </c>
      <c r="E481" s="9" t="s">
        <v>73</v>
      </c>
      <c r="F481" s="9" t="s">
        <v>74</v>
      </c>
      <c r="G481" s="9" t="s">
        <v>138</v>
      </c>
      <c r="H481" s="9" t="s">
        <v>139</v>
      </c>
      <c r="I481" s="0" t="s">
        <v>38</v>
      </c>
      <c r="J481" s="9" t="s">
        <v>39</v>
      </c>
      <c r="K481" s="9" t="s">
        <v>30</v>
      </c>
      <c r="L481" s="9" t="s">
        <v>31</v>
      </c>
      <c r="M481" s="0" t="s">
        <v>140</v>
      </c>
      <c r="N481" s="0" t="n">
        <v>1559</v>
      </c>
      <c r="O481" s="10" t="n">
        <v>0.193872535834089</v>
      </c>
      <c r="P481" s="10" t="n">
        <v>0.289728706935421</v>
      </c>
      <c r="Q481" s="0" t="str">
        <f aca="false">SUBSTITUTE(SUBSTITUTE($I481,CHAR(61),""),CHAR(34),"")</f>
        <v>15-24</v>
      </c>
      <c r="R481" s="0" t="str">
        <f aca="false">IF($D481&lt;&gt;"","["&amp;$E481&amp;"]"&amp;"|"&amp;$Q481&amp;"|"&amp;$K481&amp;"|"&amp;$G481&amp;"|"&amp;IF($G481="TX_CURR_SUBNAT.R","CY2022Q4",$M481),"")</f>
        <v>[am530wpaGvr]|15-24|Female|POP_EST.T_1|CY2023Q3</v>
      </c>
    </row>
    <row r="482" customFormat="false" ht="15" hidden="false" customHeight="false" outlineLevel="0" collapsed="false">
      <c r="D482" s="9" t="s">
        <v>72</v>
      </c>
      <c r="E482" s="9" t="s">
        <v>73</v>
      </c>
      <c r="F482" s="9" t="s">
        <v>74</v>
      </c>
      <c r="G482" s="9" t="s">
        <v>138</v>
      </c>
      <c r="H482" s="9" t="s">
        <v>139</v>
      </c>
      <c r="I482" s="0" t="s">
        <v>41</v>
      </c>
      <c r="J482" s="9" t="s">
        <v>42</v>
      </c>
      <c r="K482" s="9" t="s">
        <v>30</v>
      </c>
      <c r="L482" s="9" t="s">
        <v>31</v>
      </c>
      <c r="M482" s="0" t="s">
        <v>140</v>
      </c>
      <c r="N482" s="0" t="n">
        <v>1284</v>
      </c>
      <c r="O482" s="10" t="n">
        <v>0.0590513069182634</v>
      </c>
      <c r="P482" s="10" t="n">
        <v>0.289728706935421</v>
      </c>
      <c r="Q482" s="0" t="str">
        <f aca="false">SUBSTITUTE(SUBSTITUTE($I482,CHAR(61),""),CHAR(34),"")</f>
        <v>25-34</v>
      </c>
      <c r="R482" s="0" t="str">
        <f aca="false">IF($D482&lt;&gt;"","["&amp;$E482&amp;"]"&amp;"|"&amp;$Q482&amp;"|"&amp;$K482&amp;"|"&amp;$G482&amp;"|"&amp;IF($G482="TX_CURR_SUBNAT.R","CY2022Q4",$M482),"")</f>
        <v>[am530wpaGvr]|25-34|Female|POP_EST.T_1|CY2023Q3</v>
      </c>
    </row>
    <row r="483" customFormat="false" ht="15" hidden="false" customHeight="false" outlineLevel="0" collapsed="false">
      <c r="D483" s="9" t="s">
        <v>72</v>
      </c>
      <c r="E483" s="9" t="s">
        <v>73</v>
      </c>
      <c r="F483" s="9" t="s">
        <v>74</v>
      </c>
      <c r="G483" s="9" t="s">
        <v>138</v>
      </c>
      <c r="H483" s="9" t="s">
        <v>139</v>
      </c>
      <c r="I483" s="0" t="s">
        <v>43</v>
      </c>
      <c r="J483" s="9" t="s">
        <v>44</v>
      </c>
      <c r="K483" s="9" t="s">
        <v>30</v>
      </c>
      <c r="L483" s="9" t="s">
        <v>31</v>
      </c>
      <c r="M483" s="0" t="s">
        <v>140</v>
      </c>
      <c r="N483" s="0" t="n">
        <v>874</v>
      </c>
      <c r="O483" s="10" t="n">
        <v>0.652915514539927</v>
      </c>
      <c r="P483" s="10" t="n">
        <v>0.289728706935421</v>
      </c>
      <c r="Q483" s="0" t="str">
        <f aca="false">SUBSTITUTE(SUBSTITUTE($I483,CHAR(61),""),CHAR(34),"")</f>
        <v>35-49</v>
      </c>
      <c r="R483" s="0" t="str">
        <f aca="false">IF($D483&lt;&gt;"","["&amp;$E483&amp;"]"&amp;"|"&amp;$Q483&amp;"|"&amp;$K483&amp;"|"&amp;$G483&amp;"|"&amp;IF($G483="TX_CURR_SUBNAT.R","CY2022Q4",$M483),"")</f>
        <v>[am530wpaGvr]|35-49|Female|POP_EST.T_1|CY2023Q3</v>
      </c>
    </row>
    <row r="484" customFormat="false" ht="15" hidden="false" customHeight="false" outlineLevel="0" collapsed="false">
      <c r="D484" s="9" t="s">
        <v>72</v>
      </c>
      <c r="E484" s="9" t="s">
        <v>73</v>
      </c>
      <c r="F484" s="9" t="s">
        <v>74</v>
      </c>
      <c r="G484" s="9" t="s">
        <v>138</v>
      </c>
      <c r="H484" s="9" t="s">
        <v>139</v>
      </c>
      <c r="I484" s="0" t="s">
        <v>45</v>
      </c>
      <c r="J484" s="9" t="s">
        <v>46</v>
      </c>
      <c r="K484" s="9" t="s">
        <v>30</v>
      </c>
      <c r="L484" s="9" t="s">
        <v>31</v>
      </c>
      <c r="M484" s="0" t="s">
        <v>140</v>
      </c>
      <c r="N484" s="0" t="n">
        <v>1391</v>
      </c>
      <c r="O484" s="10" t="n">
        <v>0.175196367781609</v>
      </c>
      <c r="P484" s="10" t="n">
        <v>0.289728706935421</v>
      </c>
      <c r="Q484" s="0" t="str">
        <f aca="false">SUBSTITUTE(SUBSTITUTE($I484,CHAR(61),""),CHAR(34),"")</f>
        <v>50+</v>
      </c>
      <c r="R484" s="0" t="str">
        <f aca="false">IF($D484&lt;&gt;"","["&amp;$E484&amp;"]"&amp;"|"&amp;$Q484&amp;"|"&amp;$K484&amp;"|"&amp;$G484&amp;"|"&amp;IF($G484="TX_CURR_SUBNAT.R","CY2022Q4",$M484),"")</f>
        <v>[am530wpaGvr]|50+|Female|POP_EST.T_1|CY2023Q3</v>
      </c>
    </row>
    <row r="485" customFormat="false" ht="15" hidden="false" customHeight="false" outlineLevel="0" collapsed="false">
      <c r="D485" s="9" t="s">
        <v>72</v>
      </c>
      <c r="E485" s="9" t="s">
        <v>73</v>
      </c>
      <c r="F485" s="9" t="s">
        <v>74</v>
      </c>
      <c r="G485" s="9" t="s">
        <v>138</v>
      </c>
      <c r="H485" s="9" t="s">
        <v>139</v>
      </c>
      <c r="I485" s="0" t="s">
        <v>28</v>
      </c>
      <c r="J485" s="9" t="s">
        <v>29</v>
      </c>
      <c r="K485" s="9" t="s">
        <v>48</v>
      </c>
      <c r="L485" s="9" t="s">
        <v>49</v>
      </c>
      <c r="M485" s="0" t="s">
        <v>140</v>
      </c>
      <c r="N485" s="0" t="n">
        <v>1839</v>
      </c>
      <c r="O485" s="10" t="n">
        <v>0.701302926288918</v>
      </c>
      <c r="P485" s="10" t="n">
        <v>0.289728706935421</v>
      </c>
      <c r="Q485" s="0" t="str">
        <f aca="false">SUBSTITUTE(SUBSTITUTE($I485,CHAR(61),""),CHAR(34),"")</f>
        <v>&lt;01</v>
      </c>
      <c r="R485" s="0" t="str">
        <f aca="false">IF($D485&lt;&gt;"","["&amp;$E485&amp;"]"&amp;"|"&amp;$Q485&amp;"|"&amp;$K485&amp;"|"&amp;$G485&amp;"|"&amp;IF($G485="TX_CURR_SUBNAT.R","CY2022Q4",$M485),"")</f>
        <v>[am530wpaGvr]|&lt;01|Male|POP_EST.T_1|CY2023Q3</v>
      </c>
    </row>
    <row r="486" customFormat="false" ht="15" hidden="false" customHeight="false" outlineLevel="0" collapsed="false">
      <c r="D486" s="9" t="s">
        <v>72</v>
      </c>
      <c r="E486" s="9" t="s">
        <v>73</v>
      </c>
      <c r="F486" s="9" t="s">
        <v>74</v>
      </c>
      <c r="G486" s="9" t="s">
        <v>138</v>
      </c>
      <c r="H486" s="9" t="s">
        <v>139</v>
      </c>
      <c r="I486" s="0" t="s">
        <v>33</v>
      </c>
      <c r="J486" s="9" t="s">
        <v>34</v>
      </c>
      <c r="K486" s="9" t="s">
        <v>48</v>
      </c>
      <c r="L486" s="9" t="s">
        <v>49</v>
      </c>
      <c r="M486" s="0" t="s">
        <v>140</v>
      </c>
      <c r="N486" s="0" t="n">
        <v>1952</v>
      </c>
      <c r="O486" s="10" t="n">
        <v>0.495436266995966</v>
      </c>
      <c r="P486" s="10" t="n">
        <v>0.289728706935421</v>
      </c>
      <c r="Q486" s="0" t="str">
        <f aca="false">SUBSTITUTE(SUBSTITUTE($I486,CHAR(61),""),CHAR(34),"")</f>
        <v>01-09</v>
      </c>
      <c r="R486" s="0" t="str">
        <f aca="false">IF($D486&lt;&gt;"","["&amp;$E486&amp;"]"&amp;"|"&amp;$Q486&amp;"|"&amp;$K486&amp;"|"&amp;$G486&amp;"|"&amp;IF($G486="TX_CURR_SUBNAT.R","CY2022Q4",$M486),"")</f>
        <v>[am530wpaGvr]|01-09|Male|POP_EST.T_1|CY2023Q3</v>
      </c>
    </row>
    <row r="487" customFormat="false" ht="15" hidden="false" customHeight="false" outlineLevel="0" collapsed="false">
      <c r="D487" s="9" t="s">
        <v>72</v>
      </c>
      <c r="E487" s="9" t="s">
        <v>73</v>
      </c>
      <c r="F487" s="9" t="s">
        <v>74</v>
      </c>
      <c r="G487" s="9" t="s">
        <v>138</v>
      </c>
      <c r="H487" s="9" t="s">
        <v>139</v>
      </c>
      <c r="I487" s="0" t="s">
        <v>36</v>
      </c>
      <c r="J487" s="9" t="s">
        <v>37</v>
      </c>
      <c r="K487" s="9" t="s">
        <v>48</v>
      </c>
      <c r="L487" s="9" t="s">
        <v>49</v>
      </c>
      <c r="M487" s="0" t="s">
        <v>140</v>
      </c>
      <c r="N487" s="0" t="n">
        <v>1194</v>
      </c>
      <c r="O487" s="10" t="n">
        <v>0.579982050228864</v>
      </c>
      <c r="P487" s="10" t="n">
        <v>0.289728706935421</v>
      </c>
      <c r="Q487" s="0" t="str">
        <f aca="false">SUBSTITUTE(SUBSTITUTE($I487,CHAR(61),""),CHAR(34),"")</f>
        <v>10-14</v>
      </c>
      <c r="R487" s="0" t="str">
        <f aca="false">IF($D487&lt;&gt;"","["&amp;$E487&amp;"]"&amp;"|"&amp;$Q487&amp;"|"&amp;$K487&amp;"|"&amp;$G487&amp;"|"&amp;IF($G487="TX_CURR_SUBNAT.R","CY2022Q4",$M487),"")</f>
        <v>[am530wpaGvr]|10-14|Male|POP_EST.T_1|CY2023Q3</v>
      </c>
    </row>
    <row r="488" customFormat="false" ht="15" hidden="false" customHeight="false" outlineLevel="0" collapsed="false">
      <c r="D488" s="9" t="s">
        <v>72</v>
      </c>
      <c r="E488" s="9" t="s">
        <v>73</v>
      </c>
      <c r="F488" s="9" t="s">
        <v>74</v>
      </c>
      <c r="G488" s="9" t="s">
        <v>138</v>
      </c>
      <c r="H488" s="9" t="s">
        <v>139</v>
      </c>
      <c r="I488" s="0" t="s">
        <v>38</v>
      </c>
      <c r="J488" s="9" t="s">
        <v>39</v>
      </c>
      <c r="K488" s="9" t="s">
        <v>48</v>
      </c>
      <c r="L488" s="9" t="s">
        <v>49</v>
      </c>
      <c r="M488" s="0" t="s">
        <v>140</v>
      </c>
      <c r="N488" s="0" t="n">
        <v>1551</v>
      </c>
      <c r="O488" s="10" t="n">
        <v>0.669095823774114</v>
      </c>
      <c r="P488" s="10" t="n">
        <v>0.289728706935421</v>
      </c>
      <c r="Q488" s="0" t="str">
        <f aca="false">SUBSTITUTE(SUBSTITUTE($I488,CHAR(61),""),CHAR(34),"")</f>
        <v>15-24</v>
      </c>
      <c r="R488" s="0" t="str">
        <f aca="false">IF($D488&lt;&gt;"","["&amp;$E488&amp;"]"&amp;"|"&amp;$Q488&amp;"|"&amp;$K488&amp;"|"&amp;$G488&amp;"|"&amp;IF($G488="TX_CURR_SUBNAT.R","CY2022Q4",$M488),"")</f>
        <v>[am530wpaGvr]|15-24|Male|POP_EST.T_1|CY2023Q3</v>
      </c>
    </row>
    <row r="489" customFormat="false" ht="15" hidden="false" customHeight="false" outlineLevel="0" collapsed="false">
      <c r="D489" s="9" t="s">
        <v>72</v>
      </c>
      <c r="E489" s="9" t="s">
        <v>73</v>
      </c>
      <c r="F489" s="9" t="s">
        <v>74</v>
      </c>
      <c r="G489" s="9" t="s">
        <v>138</v>
      </c>
      <c r="H489" s="9" t="s">
        <v>139</v>
      </c>
      <c r="I489" s="0" t="s">
        <v>41</v>
      </c>
      <c r="J489" s="9" t="s">
        <v>42</v>
      </c>
      <c r="K489" s="9" t="s">
        <v>48</v>
      </c>
      <c r="L489" s="9" t="s">
        <v>49</v>
      </c>
      <c r="M489" s="0" t="s">
        <v>140</v>
      </c>
      <c r="N489" s="0" t="n">
        <v>1171</v>
      </c>
      <c r="O489" s="10" t="n">
        <v>0.793479793705046</v>
      </c>
      <c r="P489" s="10" t="n">
        <v>0.289728706935421</v>
      </c>
      <c r="Q489" s="0" t="str">
        <f aca="false">SUBSTITUTE(SUBSTITUTE($I489,CHAR(61),""),CHAR(34),"")</f>
        <v>25-34</v>
      </c>
      <c r="R489" s="0" t="str">
        <f aca="false">IF($D489&lt;&gt;"","["&amp;$E489&amp;"]"&amp;"|"&amp;$Q489&amp;"|"&amp;$K489&amp;"|"&amp;$G489&amp;"|"&amp;IF($G489="TX_CURR_SUBNAT.R","CY2022Q4",$M489),"")</f>
        <v>[am530wpaGvr]|25-34|Male|POP_EST.T_1|CY2023Q3</v>
      </c>
    </row>
    <row r="490" customFormat="false" ht="15" hidden="false" customHeight="false" outlineLevel="0" collapsed="false">
      <c r="D490" s="9" t="s">
        <v>72</v>
      </c>
      <c r="E490" s="9" t="s">
        <v>73</v>
      </c>
      <c r="F490" s="9" t="s">
        <v>74</v>
      </c>
      <c r="G490" s="9" t="s">
        <v>138</v>
      </c>
      <c r="H490" s="9" t="s">
        <v>139</v>
      </c>
      <c r="I490" s="0" t="s">
        <v>43</v>
      </c>
      <c r="J490" s="9" t="s">
        <v>44</v>
      </c>
      <c r="K490" s="9" t="s">
        <v>48</v>
      </c>
      <c r="L490" s="9" t="s">
        <v>49</v>
      </c>
      <c r="M490" s="0" t="s">
        <v>140</v>
      </c>
      <c r="N490" s="0" t="n">
        <v>1353</v>
      </c>
      <c r="O490" s="10" t="n">
        <v>0.279385043308139</v>
      </c>
      <c r="P490" s="10" t="n">
        <v>0.289728706935421</v>
      </c>
      <c r="Q490" s="0" t="str">
        <f aca="false">SUBSTITUTE(SUBSTITUTE($I490,CHAR(61),""),CHAR(34),"")</f>
        <v>35-49</v>
      </c>
      <c r="R490" s="0" t="str">
        <f aca="false">IF($D490&lt;&gt;"","["&amp;$E490&amp;"]"&amp;"|"&amp;$Q490&amp;"|"&amp;$K490&amp;"|"&amp;$G490&amp;"|"&amp;IF($G490="TX_CURR_SUBNAT.R","CY2022Q4",$M490),"")</f>
        <v>[am530wpaGvr]|35-49|Male|POP_EST.T_1|CY2023Q3</v>
      </c>
    </row>
    <row r="491" customFormat="false" ht="15" hidden="false" customHeight="false" outlineLevel="0" collapsed="false">
      <c r="D491" s="9" t="s">
        <v>72</v>
      </c>
      <c r="E491" s="9" t="s">
        <v>73</v>
      </c>
      <c r="F491" s="9" t="s">
        <v>74</v>
      </c>
      <c r="G491" s="9" t="s">
        <v>138</v>
      </c>
      <c r="H491" s="9" t="s">
        <v>139</v>
      </c>
      <c r="I491" s="0" t="s">
        <v>45</v>
      </c>
      <c r="J491" s="9" t="s">
        <v>46</v>
      </c>
      <c r="K491" s="9" t="s">
        <v>48</v>
      </c>
      <c r="L491" s="9" t="s">
        <v>49</v>
      </c>
      <c r="M491" s="0" t="s">
        <v>140</v>
      </c>
      <c r="N491" s="0" t="n">
        <v>631</v>
      </c>
      <c r="O491" s="10" t="n">
        <v>0.287681005662307</v>
      </c>
      <c r="P491" s="10" t="n">
        <v>0.289728706935421</v>
      </c>
      <c r="Q491" s="0" t="str">
        <f aca="false">SUBSTITUTE(SUBSTITUTE($I491,CHAR(61),""),CHAR(34),"")</f>
        <v>50+</v>
      </c>
      <c r="R491" s="0" t="str">
        <f aca="false">IF($D491&lt;&gt;"","["&amp;$E491&amp;"]"&amp;"|"&amp;$Q491&amp;"|"&amp;$K491&amp;"|"&amp;$G491&amp;"|"&amp;IF($G491="TX_CURR_SUBNAT.R","CY2022Q4",$M491),"")</f>
        <v>[am530wpaGvr]|50+|Male|POP_EST.T_1|CY2023Q3</v>
      </c>
    </row>
    <row r="492" customFormat="false" ht="15" hidden="false" customHeight="false" outlineLevel="0" collapsed="false">
      <c r="D492" s="9" t="s">
        <v>75</v>
      </c>
      <c r="E492" s="9" t="s">
        <v>76</v>
      </c>
      <c r="F492" s="9" t="s">
        <v>77</v>
      </c>
      <c r="G492" s="9" t="s">
        <v>138</v>
      </c>
      <c r="H492" s="9" t="s">
        <v>139</v>
      </c>
      <c r="I492" s="0" t="s">
        <v>28</v>
      </c>
      <c r="J492" s="9" t="s">
        <v>29</v>
      </c>
      <c r="K492" s="9" t="s">
        <v>30</v>
      </c>
      <c r="L492" s="9" t="s">
        <v>31</v>
      </c>
      <c r="M492" s="0" t="s">
        <v>140</v>
      </c>
      <c r="N492" s="0" t="n">
        <v>830</v>
      </c>
      <c r="O492" s="10" t="n">
        <v>0.347086561145261</v>
      </c>
      <c r="P492" s="10" t="n">
        <v>0.303055507596582</v>
      </c>
      <c r="Q492" s="0" t="str">
        <f aca="false">SUBSTITUTE(SUBSTITUTE($I492,CHAR(61),""),CHAR(34),"")</f>
        <v>&lt;01</v>
      </c>
      <c r="R492" s="0" t="str">
        <f aca="false">IF($D492&lt;&gt;"","["&amp;$E492&amp;"]"&amp;"|"&amp;$Q492&amp;"|"&amp;$K492&amp;"|"&amp;$G492&amp;"|"&amp;IF($G492="TX_CURR_SUBNAT.R","CY2022Q4",$M492),"")</f>
        <v>[lLDyBx5XyUi]|&lt;01|Female|POP_EST.T_1|CY2023Q3</v>
      </c>
    </row>
    <row r="493" customFormat="false" ht="15" hidden="false" customHeight="false" outlineLevel="0" collapsed="false">
      <c r="D493" s="9" t="s">
        <v>75</v>
      </c>
      <c r="E493" s="9" t="s">
        <v>76</v>
      </c>
      <c r="F493" s="9" t="s">
        <v>77</v>
      </c>
      <c r="G493" s="9" t="s">
        <v>138</v>
      </c>
      <c r="H493" s="9" t="s">
        <v>139</v>
      </c>
      <c r="I493" s="0" t="s">
        <v>33</v>
      </c>
      <c r="J493" s="9" t="s">
        <v>34</v>
      </c>
      <c r="K493" s="9" t="s">
        <v>30</v>
      </c>
      <c r="L493" s="9" t="s">
        <v>31</v>
      </c>
      <c r="M493" s="0" t="s">
        <v>140</v>
      </c>
      <c r="N493" s="0" t="n">
        <v>963</v>
      </c>
      <c r="O493" s="10" t="n">
        <v>0.799756799126044</v>
      </c>
      <c r="P493" s="10" t="n">
        <v>0.303055507596582</v>
      </c>
      <c r="Q493" s="0" t="str">
        <f aca="false">SUBSTITUTE(SUBSTITUTE($I493,CHAR(61),""),CHAR(34),"")</f>
        <v>01-09</v>
      </c>
      <c r="R493" s="0" t="str">
        <f aca="false">IF($D493&lt;&gt;"","["&amp;$E493&amp;"]"&amp;"|"&amp;$Q493&amp;"|"&amp;$K493&amp;"|"&amp;$G493&amp;"|"&amp;IF($G493="TX_CURR_SUBNAT.R","CY2022Q4",$M493),"")</f>
        <v>[lLDyBx5XyUi]|01-09|Female|POP_EST.T_1|CY2023Q3</v>
      </c>
    </row>
    <row r="494" customFormat="false" ht="15" hidden="false" customHeight="false" outlineLevel="0" collapsed="false">
      <c r="D494" s="9" t="s">
        <v>75</v>
      </c>
      <c r="E494" s="9" t="s">
        <v>76</v>
      </c>
      <c r="F494" s="9" t="s">
        <v>77</v>
      </c>
      <c r="G494" s="9" t="s">
        <v>138</v>
      </c>
      <c r="H494" s="9" t="s">
        <v>139</v>
      </c>
      <c r="I494" s="0" t="s">
        <v>36</v>
      </c>
      <c r="J494" s="9" t="s">
        <v>37</v>
      </c>
      <c r="K494" s="9" t="s">
        <v>30</v>
      </c>
      <c r="L494" s="9" t="s">
        <v>31</v>
      </c>
      <c r="M494" s="0" t="s">
        <v>140</v>
      </c>
      <c r="N494" s="0" t="n">
        <v>1252</v>
      </c>
      <c r="O494" s="10" t="n">
        <v>0.251561856595799</v>
      </c>
      <c r="P494" s="10" t="n">
        <v>0.303055507596582</v>
      </c>
      <c r="Q494" s="0" t="str">
        <f aca="false">SUBSTITUTE(SUBSTITUTE($I494,CHAR(61),""),CHAR(34),"")</f>
        <v>10-14</v>
      </c>
      <c r="R494" s="0" t="str">
        <f aca="false">IF($D494&lt;&gt;"","["&amp;$E494&amp;"]"&amp;"|"&amp;$Q494&amp;"|"&amp;$K494&amp;"|"&amp;$G494&amp;"|"&amp;IF($G494="TX_CURR_SUBNAT.R","CY2022Q4",$M494),"")</f>
        <v>[lLDyBx5XyUi]|10-14|Female|POP_EST.T_1|CY2023Q3</v>
      </c>
    </row>
    <row r="495" customFormat="false" ht="15" hidden="false" customHeight="false" outlineLevel="0" collapsed="false">
      <c r="D495" s="9" t="s">
        <v>75</v>
      </c>
      <c r="E495" s="9" t="s">
        <v>76</v>
      </c>
      <c r="F495" s="9" t="s">
        <v>77</v>
      </c>
      <c r="G495" s="9" t="s">
        <v>138</v>
      </c>
      <c r="H495" s="9" t="s">
        <v>139</v>
      </c>
      <c r="I495" s="0" t="s">
        <v>38</v>
      </c>
      <c r="J495" s="9" t="s">
        <v>39</v>
      </c>
      <c r="K495" s="9" t="s">
        <v>30</v>
      </c>
      <c r="L495" s="9" t="s">
        <v>31</v>
      </c>
      <c r="M495" s="0" t="s">
        <v>140</v>
      </c>
      <c r="N495" s="0" t="n">
        <v>1319</v>
      </c>
      <c r="O495" s="10" t="n">
        <v>0.290476023452356</v>
      </c>
      <c r="P495" s="10" t="n">
        <v>0.303055507596582</v>
      </c>
      <c r="Q495" s="0" t="str">
        <f aca="false">SUBSTITUTE(SUBSTITUTE($I495,CHAR(61),""),CHAR(34),"")</f>
        <v>15-24</v>
      </c>
      <c r="R495" s="0" t="str">
        <f aca="false">IF($D495&lt;&gt;"","["&amp;$E495&amp;"]"&amp;"|"&amp;$Q495&amp;"|"&amp;$K495&amp;"|"&amp;$G495&amp;"|"&amp;IF($G495="TX_CURR_SUBNAT.R","CY2022Q4",$M495),"")</f>
        <v>[lLDyBx5XyUi]|15-24|Female|POP_EST.T_1|CY2023Q3</v>
      </c>
    </row>
    <row r="496" customFormat="false" ht="15" hidden="false" customHeight="false" outlineLevel="0" collapsed="false">
      <c r="D496" s="9" t="s">
        <v>75</v>
      </c>
      <c r="E496" s="9" t="s">
        <v>76</v>
      </c>
      <c r="F496" s="9" t="s">
        <v>77</v>
      </c>
      <c r="G496" s="9" t="s">
        <v>138</v>
      </c>
      <c r="H496" s="9" t="s">
        <v>139</v>
      </c>
      <c r="I496" s="0" t="s">
        <v>41</v>
      </c>
      <c r="J496" s="9" t="s">
        <v>42</v>
      </c>
      <c r="K496" s="9" t="s">
        <v>30</v>
      </c>
      <c r="L496" s="9" t="s">
        <v>31</v>
      </c>
      <c r="M496" s="0" t="s">
        <v>140</v>
      </c>
      <c r="N496" s="0" t="n">
        <v>1690</v>
      </c>
      <c r="O496" s="10" t="n">
        <v>0.688158650882542</v>
      </c>
      <c r="P496" s="10" t="n">
        <v>0.303055507596582</v>
      </c>
      <c r="Q496" s="0" t="str">
        <f aca="false">SUBSTITUTE(SUBSTITUTE($I496,CHAR(61),""),CHAR(34),"")</f>
        <v>25-34</v>
      </c>
      <c r="R496" s="0" t="str">
        <f aca="false">IF($D496&lt;&gt;"","["&amp;$E496&amp;"]"&amp;"|"&amp;$Q496&amp;"|"&amp;$K496&amp;"|"&amp;$G496&amp;"|"&amp;IF($G496="TX_CURR_SUBNAT.R","CY2022Q4",$M496),"")</f>
        <v>[lLDyBx5XyUi]|25-34|Female|POP_EST.T_1|CY2023Q3</v>
      </c>
    </row>
    <row r="497" customFormat="false" ht="15" hidden="false" customHeight="false" outlineLevel="0" collapsed="false">
      <c r="D497" s="9" t="s">
        <v>75</v>
      </c>
      <c r="E497" s="9" t="s">
        <v>76</v>
      </c>
      <c r="F497" s="9" t="s">
        <v>77</v>
      </c>
      <c r="G497" s="9" t="s">
        <v>138</v>
      </c>
      <c r="H497" s="9" t="s">
        <v>139</v>
      </c>
      <c r="I497" s="0" t="s">
        <v>43</v>
      </c>
      <c r="J497" s="9" t="s">
        <v>44</v>
      </c>
      <c r="K497" s="9" t="s">
        <v>30</v>
      </c>
      <c r="L497" s="9" t="s">
        <v>31</v>
      </c>
      <c r="M497" s="0" t="s">
        <v>140</v>
      </c>
      <c r="N497" s="0" t="n">
        <v>1460</v>
      </c>
      <c r="O497" s="10" t="n">
        <v>0.055577025283128</v>
      </c>
      <c r="P497" s="10" t="n">
        <v>0.303055507596582</v>
      </c>
      <c r="Q497" s="0" t="str">
        <f aca="false">SUBSTITUTE(SUBSTITUTE($I497,CHAR(61),""),CHAR(34),"")</f>
        <v>35-49</v>
      </c>
      <c r="R497" s="0" t="str">
        <f aca="false">IF($D497&lt;&gt;"","["&amp;$E497&amp;"]"&amp;"|"&amp;$Q497&amp;"|"&amp;$K497&amp;"|"&amp;$G497&amp;"|"&amp;IF($G497="TX_CURR_SUBNAT.R","CY2022Q4",$M497),"")</f>
        <v>[lLDyBx5XyUi]|35-49|Female|POP_EST.T_1|CY2023Q3</v>
      </c>
    </row>
    <row r="498" customFormat="false" ht="15" hidden="false" customHeight="false" outlineLevel="0" collapsed="false">
      <c r="D498" s="9" t="s">
        <v>75</v>
      </c>
      <c r="E498" s="9" t="s">
        <v>76</v>
      </c>
      <c r="F498" s="9" t="s">
        <v>77</v>
      </c>
      <c r="G498" s="9" t="s">
        <v>138</v>
      </c>
      <c r="H498" s="9" t="s">
        <v>139</v>
      </c>
      <c r="I498" s="0" t="s">
        <v>45</v>
      </c>
      <c r="J498" s="9" t="s">
        <v>46</v>
      </c>
      <c r="K498" s="9" t="s">
        <v>30</v>
      </c>
      <c r="L498" s="9" t="s">
        <v>31</v>
      </c>
      <c r="M498" s="0" t="s">
        <v>140</v>
      </c>
      <c r="N498" s="0" t="n">
        <v>1612</v>
      </c>
      <c r="O498" s="10" t="n">
        <v>0.101013455307111</v>
      </c>
      <c r="P498" s="10" t="n">
        <v>0.303055507596582</v>
      </c>
      <c r="Q498" s="0" t="str">
        <f aca="false">SUBSTITUTE(SUBSTITUTE($I498,CHAR(61),""),CHAR(34),"")</f>
        <v>50+</v>
      </c>
      <c r="R498" s="0" t="str">
        <f aca="false">IF($D498&lt;&gt;"","["&amp;$E498&amp;"]"&amp;"|"&amp;$Q498&amp;"|"&amp;$K498&amp;"|"&amp;$G498&amp;"|"&amp;IF($G498="TX_CURR_SUBNAT.R","CY2022Q4",$M498),"")</f>
        <v>[lLDyBx5XyUi]|50+|Female|POP_EST.T_1|CY2023Q3</v>
      </c>
    </row>
    <row r="499" customFormat="false" ht="15" hidden="false" customHeight="false" outlineLevel="0" collapsed="false">
      <c r="D499" s="9" t="s">
        <v>75</v>
      </c>
      <c r="E499" s="9" t="s">
        <v>76</v>
      </c>
      <c r="F499" s="9" t="s">
        <v>77</v>
      </c>
      <c r="G499" s="9" t="s">
        <v>138</v>
      </c>
      <c r="H499" s="9" t="s">
        <v>139</v>
      </c>
      <c r="I499" s="0" t="s">
        <v>28</v>
      </c>
      <c r="J499" s="9" t="s">
        <v>29</v>
      </c>
      <c r="K499" s="9" t="s">
        <v>48</v>
      </c>
      <c r="L499" s="9" t="s">
        <v>49</v>
      </c>
      <c r="M499" s="0" t="s">
        <v>140</v>
      </c>
      <c r="N499" s="0" t="n">
        <v>1271</v>
      </c>
      <c r="O499" s="10" t="n">
        <v>0.585536394501105</v>
      </c>
      <c r="P499" s="10" t="n">
        <v>0.303055507596582</v>
      </c>
      <c r="Q499" s="0" t="str">
        <f aca="false">SUBSTITUTE(SUBSTITUTE($I499,CHAR(61),""),CHAR(34),"")</f>
        <v>&lt;01</v>
      </c>
      <c r="R499" s="0" t="str">
        <f aca="false">IF($D499&lt;&gt;"","["&amp;$E499&amp;"]"&amp;"|"&amp;$Q499&amp;"|"&amp;$K499&amp;"|"&amp;$G499&amp;"|"&amp;IF($G499="TX_CURR_SUBNAT.R","CY2022Q4",$M499),"")</f>
        <v>[lLDyBx5XyUi]|&lt;01|Male|POP_EST.T_1|CY2023Q3</v>
      </c>
    </row>
    <row r="500" customFormat="false" ht="15" hidden="false" customHeight="false" outlineLevel="0" collapsed="false">
      <c r="D500" s="9" t="s">
        <v>75</v>
      </c>
      <c r="E500" s="9" t="s">
        <v>76</v>
      </c>
      <c r="F500" s="9" t="s">
        <v>77</v>
      </c>
      <c r="G500" s="9" t="s">
        <v>138</v>
      </c>
      <c r="H500" s="9" t="s">
        <v>139</v>
      </c>
      <c r="I500" s="0" t="s">
        <v>33</v>
      </c>
      <c r="J500" s="9" t="s">
        <v>34</v>
      </c>
      <c r="K500" s="9" t="s">
        <v>48</v>
      </c>
      <c r="L500" s="9" t="s">
        <v>49</v>
      </c>
      <c r="M500" s="0" t="s">
        <v>140</v>
      </c>
      <c r="N500" s="0" t="n">
        <v>554</v>
      </c>
      <c r="O500" s="10" t="n">
        <v>0.507446770789102</v>
      </c>
      <c r="P500" s="10" t="n">
        <v>0.303055507596582</v>
      </c>
      <c r="Q500" s="0" t="str">
        <f aca="false">SUBSTITUTE(SUBSTITUTE($I500,CHAR(61),""),CHAR(34),"")</f>
        <v>01-09</v>
      </c>
      <c r="R500" s="0" t="str">
        <f aca="false">IF($D500&lt;&gt;"","["&amp;$E500&amp;"]"&amp;"|"&amp;$Q500&amp;"|"&amp;$K500&amp;"|"&amp;$G500&amp;"|"&amp;IF($G500="TX_CURR_SUBNAT.R","CY2022Q4",$M500),"")</f>
        <v>[lLDyBx5XyUi]|01-09|Male|POP_EST.T_1|CY2023Q3</v>
      </c>
    </row>
    <row r="501" customFormat="false" ht="15" hidden="false" customHeight="false" outlineLevel="0" collapsed="false">
      <c r="D501" s="9" t="s">
        <v>75</v>
      </c>
      <c r="E501" s="9" t="s">
        <v>76</v>
      </c>
      <c r="F501" s="9" t="s">
        <v>77</v>
      </c>
      <c r="G501" s="9" t="s">
        <v>138</v>
      </c>
      <c r="H501" s="9" t="s">
        <v>139</v>
      </c>
      <c r="I501" s="0" t="s">
        <v>36</v>
      </c>
      <c r="J501" s="9" t="s">
        <v>37</v>
      </c>
      <c r="K501" s="9" t="s">
        <v>48</v>
      </c>
      <c r="L501" s="9" t="s">
        <v>49</v>
      </c>
      <c r="M501" s="0" t="s">
        <v>140</v>
      </c>
      <c r="N501" s="0" t="n">
        <v>937</v>
      </c>
      <c r="O501" s="10" t="n">
        <v>0.0172905304934829</v>
      </c>
      <c r="P501" s="10" t="n">
        <v>0.303055507596582</v>
      </c>
      <c r="Q501" s="0" t="str">
        <f aca="false">SUBSTITUTE(SUBSTITUTE($I501,CHAR(61),""),CHAR(34),"")</f>
        <v>10-14</v>
      </c>
      <c r="R501" s="0" t="str">
        <f aca="false">IF($D501&lt;&gt;"","["&amp;$E501&amp;"]"&amp;"|"&amp;$Q501&amp;"|"&amp;$K501&amp;"|"&amp;$G501&amp;"|"&amp;IF($G501="TX_CURR_SUBNAT.R","CY2022Q4",$M501),"")</f>
        <v>[lLDyBx5XyUi]|10-14|Male|POP_EST.T_1|CY2023Q3</v>
      </c>
    </row>
    <row r="502" customFormat="false" ht="15" hidden="false" customHeight="false" outlineLevel="0" collapsed="false">
      <c r="D502" s="9" t="s">
        <v>75</v>
      </c>
      <c r="E502" s="9" t="s">
        <v>76</v>
      </c>
      <c r="F502" s="9" t="s">
        <v>77</v>
      </c>
      <c r="G502" s="9" t="s">
        <v>138</v>
      </c>
      <c r="H502" s="9" t="s">
        <v>139</v>
      </c>
      <c r="I502" s="0" t="s">
        <v>38</v>
      </c>
      <c r="J502" s="9" t="s">
        <v>39</v>
      </c>
      <c r="K502" s="9" t="s">
        <v>48</v>
      </c>
      <c r="L502" s="9" t="s">
        <v>49</v>
      </c>
      <c r="M502" s="0" t="s">
        <v>140</v>
      </c>
      <c r="N502" s="0" t="n">
        <v>1357</v>
      </c>
      <c r="O502" s="10" t="n">
        <v>0.781139796134084</v>
      </c>
      <c r="P502" s="10" t="n">
        <v>0.303055507596582</v>
      </c>
      <c r="Q502" s="0" t="str">
        <f aca="false">SUBSTITUTE(SUBSTITUTE($I502,CHAR(61),""),CHAR(34),"")</f>
        <v>15-24</v>
      </c>
      <c r="R502" s="0" t="str">
        <f aca="false">IF($D502&lt;&gt;"","["&amp;$E502&amp;"]"&amp;"|"&amp;$Q502&amp;"|"&amp;$K502&amp;"|"&amp;$G502&amp;"|"&amp;IF($G502="TX_CURR_SUBNAT.R","CY2022Q4",$M502),"")</f>
        <v>[lLDyBx5XyUi]|15-24|Male|POP_EST.T_1|CY2023Q3</v>
      </c>
    </row>
    <row r="503" customFormat="false" ht="15" hidden="false" customHeight="false" outlineLevel="0" collapsed="false">
      <c r="D503" s="9" t="s">
        <v>75</v>
      </c>
      <c r="E503" s="9" t="s">
        <v>76</v>
      </c>
      <c r="F503" s="9" t="s">
        <v>77</v>
      </c>
      <c r="G503" s="9" t="s">
        <v>138</v>
      </c>
      <c r="H503" s="9" t="s">
        <v>139</v>
      </c>
      <c r="I503" s="0" t="s">
        <v>41</v>
      </c>
      <c r="J503" s="9" t="s">
        <v>42</v>
      </c>
      <c r="K503" s="9" t="s">
        <v>48</v>
      </c>
      <c r="L503" s="9" t="s">
        <v>49</v>
      </c>
      <c r="M503" s="0" t="s">
        <v>140</v>
      </c>
      <c r="N503" s="0" t="n">
        <v>1817</v>
      </c>
      <c r="O503" s="10" t="n">
        <v>0.0235521388240159</v>
      </c>
      <c r="P503" s="10" t="n">
        <v>0.303055507596582</v>
      </c>
      <c r="Q503" s="0" t="str">
        <f aca="false">SUBSTITUTE(SUBSTITUTE($I503,CHAR(61),""),CHAR(34),"")</f>
        <v>25-34</v>
      </c>
      <c r="R503" s="0" t="str">
        <f aca="false">IF($D503&lt;&gt;"","["&amp;$E503&amp;"]"&amp;"|"&amp;$Q503&amp;"|"&amp;$K503&amp;"|"&amp;$G503&amp;"|"&amp;IF($G503="TX_CURR_SUBNAT.R","CY2022Q4",$M503),"")</f>
        <v>[lLDyBx5XyUi]|25-34|Male|POP_EST.T_1|CY2023Q3</v>
      </c>
    </row>
    <row r="504" customFormat="false" ht="15" hidden="false" customHeight="false" outlineLevel="0" collapsed="false">
      <c r="D504" s="9" t="s">
        <v>75</v>
      </c>
      <c r="E504" s="9" t="s">
        <v>76</v>
      </c>
      <c r="F504" s="9" t="s">
        <v>77</v>
      </c>
      <c r="G504" s="9" t="s">
        <v>138</v>
      </c>
      <c r="H504" s="9" t="s">
        <v>139</v>
      </c>
      <c r="I504" s="0" t="s">
        <v>43</v>
      </c>
      <c r="J504" s="9" t="s">
        <v>44</v>
      </c>
      <c r="K504" s="9" t="s">
        <v>48</v>
      </c>
      <c r="L504" s="9" t="s">
        <v>49</v>
      </c>
      <c r="M504" s="0" t="s">
        <v>140</v>
      </c>
      <c r="N504" s="0" t="n">
        <v>1281</v>
      </c>
      <c r="O504" s="10" t="n">
        <v>0.46868751058355</v>
      </c>
      <c r="P504" s="10" t="n">
        <v>0.303055507596582</v>
      </c>
      <c r="Q504" s="0" t="str">
        <f aca="false">SUBSTITUTE(SUBSTITUTE($I504,CHAR(61),""),CHAR(34),"")</f>
        <v>35-49</v>
      </c>
      <c r="R504" s="0" t="str">
        <f aca="false">IF($D504&lt;&gt;"","["&amp;$E504&amp;"]"&amp;"|"&amp;$Q504&amp;"|"&amp;$K504&amp;"|"&amp;$G504&amp;"|"&amp;IF($G504="TX_CURR_SUBNAT.R","CY2022Q4",$M504),"")</f>
        <v>[lLDyBx5XyUi]|35-49|Male|POP_EST.T_1|CY2023Q3</v>
      </c>
    </row>
    <row r="505" customFormat="false" ht="15" hidden="false" customHeight="false" outlineLevel="0" collapsed="false">
      <c r="D505" s="9" t="s">
        <v>75</v>
      </c>
      <c r="E505" s="9" t="s">
        <v>76</v>
      </c>
      <c r="F505" s="9" t="s">
        <v>77</v>
      </c>
      <c r="G505" s="9" t="s">
        <v>138</v>
      </c>
      <c r="H505" s="9" t="s">
        <v>139</v>
      </c>
      <c r="I505" s="0" t="s">
        <v>45</v>
      </c>
      <c r="J505" s="9" t="s">
        <v>46</v>
      </c>
      <c r="K505" s="9" t="s">
        <v>48</v>
      </c>
      <c r="L505" s="9" t="s">
        <v>49</v>
      </c>
      <c r="M505" s="0" t="s">
        <v>140</v>
      </c>
      <c r="N505" s="0" t="n">
        <v>1127</v>
      </c>
      <c r="O505" s="10" t="n">
        <v>0.351136398501694</v>
      </c>
      <c r="P505" s="10" t="n">
        <v>0.303055507596582</v>
      </c>
      <c r="Q505" s="0" t="str">
        <f aca="false">SUBSTITUTE(SUBSTITUTE($I505,CHAR(61),""),CHAR(34),"")</f>
        <v>50+</v>
      </c>
      <c r="R505" s="0" t="str">
        <f aca="false">IF($D505&lt;&gt;"","["&amp;$E505&amp;"]"&amp;"|"&amp;$Q505&amp;"|"&amp;$K505&amp;"|"&amp;$G505&amp;"|"&amp;IF($G505="TX_CURR_SUBNAT.R","CY2022Q4",$M505),"")</f>
        <v>[lLDyBx5XyUi]|50+|Male|POP_EST.T_1|CY2023Q3</v>
      </c>
    </row>
    <row r="506" customFormat="false" ht="15" hidden="false" customHeight="false" outlineLevel="0" collapsed="false">
      <c r="D506" s="9" t="s">
        <v>78</v>
      </c>
      <c r="E506" s="9" t="s">
        <v>79</v>
      </c>
      <c r="F506" s="9" t="s">
        <v>80</v>
      </c>
      <c r="G506" s="9" t="s">
        <v>138</v>
      </c>
      <c r="H506" s="9" t="s">
        <v>139</v>
      </c>
      <c r="I506" s="0" t="s">
        <v>28</v>
      </c>
      <c r="J506" s="9" t="s">
        <v>29</v>
      </c>
      <c r="K506" s="9" t="s">
        <v>30</v>
      </c>
      <c r="L506" s="9" t="s">
        <v>31</v>
      </c>
      <c r="M506" s="0" t="s">
        <v>140</v>
      </c>
      <c r="N506" s="0" t="n">
        <v>1334</v>
      </c>
      <c r="O506" s="10" t="n">
        <v>0.663154424633831</v>
      </c>
      <c r="P506" s="10" t="n">
        <v>0.831597982207313</v>
      </c>
      <c r="Q506" s="0" t="str">
        <f aca="false">SUBSTITUTE(SUBSTITUTE($I506,CHAR(61),""),CHAR(34),"")</f>
        <v>&lt;01</v>
      </c>
      <c r="R506" s="0" t="str">
        <f aca="false">IF($D506&lt;&gt;"","["&amp;$E506&amp;"]"&amp;"|"&amp;$Q506&amp;"|"&amp;$K506&amp;"|"&amp;$G506&amp;"|"&amp;IF($G506="TX_CURR_SUBNAT.R","CY2022Q4",$M506),"")</f>
        <v>[TYnMSwzko3z]|&lt;01|Female|POP_EST.T_1|CY2023Q3</v>
      </c>
    </row>
    <row r="507" customFormat="false" ht="15" hidden="false" customHeight="false" outlineLevel="0" collapsed="false">
      <c r="D507" s="9" t="s">
        <v>78</v>
      </c>
      <c r="E507" s="9" t="s">
        <v>79</v>
      </c>
      <c r="F507" s="9" t="s">
        <v>80</v>
      </c>
      <c r="G507" s="9" t="s">
        <v>138</v>
      </c>
      <c r="H507" s="9" t="s">
        <v>139</v>
      </c>
      <c r="I507" s="0" t="s">
        <v>33</v>
      </c>
      <c r="J507" s="9" t="s">
        <v>34</v>
      </c>
      <c r="K507" s="9" t="s">
        <v>30</v>
      </c>
      <c r="L507" s="9" t="s">
        <v>31</v>
      </c>
      <c r="M507" s="0" t="s">
        <v>140</v>
      </c>
      <c r="N507" s="0" t="n">
        <v>1010</v>
      </c>
      <c r="O507" s="10" t="n">
        <v>0.948150655487552</v>
      </c>
      <c r="P507" s="10" t="n">
        <v>0.831597982207313</v>
      </c>
      <c r="Q507" s="0" t="str">
        <f aca="false">SUBSTITUTE(SUBSTITUTE($I507,CHAR(61),""),CHAR(34),"")</f>
        <v>01-09</v>
      </c>
      <c r="R507" s="0" t="str">
        <f aca="false">IF($D507&lt;&gt;"","["&amp;$E507&amp;"]"&amp;"|"&amp;$Q507&amp;"|"&amp;$K507&amp;"|"&amp;$G507&amp;"|"&amp;IF($G507="TX_CURR_SUBNAT.R","CY2022Q4",$M507),"")</f>
        <v>[TYnMSwzko3z]|01-09|Female|POP_EST.T_1|CY2023Q3</v>
      </c>
    </row>
    <row r="508" customFormat="false" ht="15" hidden="false" customHeight="false" outlineLevel="0" collapsed="false">
      <c r="D508" s="9" t="s">
        <v>78</v>
      </c>
      <c r="E508" s="9" t="s">
        <v>79</v>
      </c>
      <c r="F508" s="9" t="s">
        <v>80</v>
      </c>
      <c r="G508" s="9" t="s">
        <v>138</v>
      </c>
      <c r="H508" s="9" t="s">
        <v>139</v>
      </c>
      <c r="I508" s="0" t="s">
        <v>36</v>
      </c>
      <c r="J508" s="9" t="s">
        <v>37</v>
      </c>
      <c r="K508" s="9" t="s">
        <v>30</v>
      </c>
      <c r="L508" s="9" t="s">
        <v>31</v>
      </c>
      <c r="M508" s="0" t="s">
        <v>140</v>
      </c>
      <c r="N508" s="0" t="n">
        <v>1048</v>
      </c>
      <c r="O508" s="10" t="n">
        <v>0.251404517795891</v>
      </c>
      <c r="P508" s="10" t="n">
        <v>0.831597982207313</v>
      </c>
      <c r="Q508" s="0" t="str">
        <f aca="false">SUBSTITUTE(SUBSTITUTE($I508,CHAR(61),""),CHAR(34),"")</f>
        <v>10-14</v>
      </c>
      <c r="R508" s="0" t="str">
        <f aca="false">IF($D508&lt;&gt;"","["&amp;$E508&amp;"]"&amp;"|"&amp;$Q508&amp;"|"&amp;$K508&amp;"|"&amp;$G508&amp;"|"&amp;IF($G508="TX_CURR_SUBNAT.R","CY2022Q4",$M508),"")</f>
        <v>[TYnMSwzko3z]|10-14|Female|POP_EST.T_1|CY2023Q3</v>
      </c>
    </row>
    <row r="509" customFormat="false" ht="15" hidden="false" customHeight="false" outlineLevel="0" collapsed="false">
      <c r="D509" s="9" t="s">
        <v>78</v>
      </c>
      <c r="E509" s="9" t="s">
        <v>79</v>
      </c>
      <c r="F509" s="9" t="s">
        <v>80</v>
      </c>
      <c r="G509" s="9" t="s">
        <v>138</v>
      </c>
      <c r="H509" s="9" t="s">
        <v>139</v>
      </c>
      <c r="I509" s="0" t="s">
        <v>38</v>
      </c>
      <c r="J509" s="9" t="s">
        <v>39</v>
      </c>
      <c r="K509" s="9" t="s">
        <v>30</v>
      </c>
      <c r="L509" s="9" t="s">
        <v>31</v>
      </c>
      <c r="M509" s="0" t="s">
        <v>140</v>
      </c>
      <c r="N509" s="0" t="n">
        <v>610</v>
      </c>
      <c r="O509" s="10" t="n">
        <v>0.118002602364868</v>
      </c>
      <c r="P509" s="10" t="n">
        <v>0.831597982207313</v>
      </c>
      <c r="Q509" s="0" t="str">
        <f aca="false">SUBSTITUTE(SUBSTITUTE($I509,CHAR(61),""),CHAR(34),"")</f>
        <v>15-24</v>
      </c>
      <c r="R509" s="0" t="str">
        <f aca="false">IF($D509&lt;&gt;"","["&amp;$E509&amp;"]"&amp;"|"&amp;$Q509&amp;"|"&amp;$K509&amp;"|"&amp;$G509&amp;"|"&amp;IF($G509="TX_CURR_SUBNAT.R","CY2022Q4",$M509),"")</f>
        <v>[TYnMSwzko3z]|15-24|Female|POP_EST.T_1|CY2023Q3</v>
      </c>
    </row>
    <row r="510" customFormat="false" ht="15" hidden="false" customHeight="false" outlineLevel="0" collapsed="false">
      <c r="D510" s="9" t="s">
        <v>78</v>
      </c>
      <c r="E510" s="9" t="s">
        <v>79</v>
      </c>
      <c r="F510" s="9" t="s">
        <v>80</v>
      </c>
      <c r="G510" s="9" t="s">
        <v>138</v>
      </c>
      <c r="H510" s="9" t="s">
        <v>139</v>
      </c>
      <c r="I510" s="0" t="s">
        <v>41</v>
      </c>
      <c r="J510" s="9" t="s">
        <v>42</v>
      </c>
      <c r="K510" s="9" t="s">
        <v>30</v>
      </c>
      <c r="L510" s="9" t="s">
        <v>31</v>
      </c>
      <c r="M510" s="0" t="s">
        <v>140</v>
      </c>
      <c r="N510" s="0" t="n">
        <v>1209</v>
      </c>
      <c r="O510" s="10" t="n">
        <v>0.302164450054988</v>
      </c>
      <c r="P510" s="10" t="n">
        <v>0.831597982207313</v>
      </c>
      <c r="Q510" s="0" t="str">
        <f aca="false">SUBSTITUTE(SUBSTITUTE($I510,CHAR(61),""),CHAR(34),"")</f>
        <v>25-34</v>
      </c>
      <c r="R510" s="0" t="str">
        <f aca="false">IF($D510&lt;&gt;"","["&amp;$E510&amp;"]"&amp;"|"&amp;$Q510&amp;"|"&amp;$K510&amp;"|"&amp;$G510&amp;"|"&amp;IF($G510="TX_CURR_SUBNAT.R","CY2022Q4",$M510),"")</f>
        <v>[TYnMSwzko3z]|25-34|Female|POP_EST.T_1|CY2023Q3</v>
      </c>
    </row>
    <row r="511" customFormat="false" ht="15" hidden="false" customHeight="false" outlineLevel="0" collapsed="false">
      <c r="D511" s="9" t="s">
        <v>78</v>
      </c>
      <c r="E511" s="9" t="s">
        <v>79</v>
      </c>
      <c r="F511" s="9" t="s">
        <v>80</v>
      </c>
      <c r="G511" s="9" t="s">
        <v>138</v>
      </c>
      <c r="H511" s="9" t="s">
        <v>139</v>
      </c>
      <c r="I511" s="0" t="s">
        <v>43</v>
      </c>
      <c r="J511" s="9" t="s">
        <v>44</v>
      </c>
      <c r="K511" s="9" t="s">
        <v>30</v>
      </c>
      <c r="L511" s="9" t="s">
        <v>31</v>
      </c>
      <c r="M511" s="0" t="s">
        <v>140</v>
      </c>
      <c r="N511" s="0" t="n">
        <v>1015</v>
      </c>
      <c r="O511" s="10" t="n">
        <v>0.622193268733099</v>
      </c>
      <c r="P511" s="10" t="n">
        <v>0.831597982207313</v>
      </c>
      <c r="Q511" s="0" t="str">
        <f aca="false">SUBSTITUTE(SUBSTITUTE($I511,CHAR(61),""),CHAR(34),"")</f>
        <v>35-49</v>
      </c>
      <c r="R511" s="0" t="str">
        <f aca="false">IF($D511&lt;&gt;"","["&amp;$E511&amp;"]"&amp;"|"&amp;$Q511&amp;"|"&amp;$K511&amp;"|"&amp;$G511&amp;"|"&amp;IF($G511="TX_CURR_SUBNAT.R","CY2022Q4",$M511),"")</f>
        <v>[TYnMSwzko3z]|35-49|Female|POP_EST.T_1|CY2023Q3</v>
      </c>
    </row>
    <row r="512" customFormat="false" ht="15" hidden="false" customHeight="false" outlineLevel="0" collapsed="false">
      <c r="D512" s="9" t="s">
        <v>78</v>
      </c>
      <c r="E512" s="9" t="s">
        <v>79</v>
      </c>
      <c r="F512" s="9" t="s">
        <v>80</v>
      </c>
      <c r="G512" s="9" t="s">
        <v>138</v>
      </c>
      <c r="H512" s="9" t="s">
        <v>139</v>
      </c>
      <c r="I512" s="0" t="s">
        <v>45</v>
      </c>
      <c r="J512" s="9" t="s">
        <v>46</v>
      </c>
      <c r="K512" s="9" t="s">
        <v>30</v>
      </c>
      <c r="L512" s="9" t="s">
        <v>31</v>
      </c>
      <c r="M512" s="0" t="s">
        <v>140</v>
      </c>
      <c r="N512" s="0" t="n">
        <v>1173</v>
      </c>
      <c r="O512" s="10" t="n">
        <v>0.349021580303088</v>
      </c>
      <c r="P512" s="10" t="n">
        <v>0.831597982207313</v>
      </c>
      <c r="Q512" s="0" t="str">
        <f aca="false">SUBSTITUTE(SUBSTITUTE($I512,CHAR(61),""),CHAR(34),"")</f>
        <v>50+</v>
      </c>
      <c r="R512" s="0" t="str">
        <f aca="false">IF($D512&lt;&gt;"","["&amp;$E512&amp;"]"&amp;"|"&amp;$Q512&amp;"|"&amp;$K512&amp;"|"&amp;$G512&amp;"|"&amp;IF($G512="TX_CURR_SUBNAT.R","CY2022Q4",$M512),"")</f>
        <v>[TYnMSwzko3z]|50+|Female|POP_EST.T_1|CY2023Q3</v>
      </c>
    </row>
    <row r="513" customFormat="false" ht="15" hidden="false" customHeight="false" outlineLevel="0" collapsed="false">
      <c r="D513" s="9" t="s">
        <v>78</v>
      </c>
      <c r="E513" s="9" t="s">
        <v>79</v>
      </c>
      <c r="F513" s="9" t="s">
        <v>80</v>
      </c>
      <c r="G513" s="9" t="s">
        <v>138</v>
      </c>
      <c r="H513" s="9" t="s">
        <v>139</v>
      </c>
      <c r="I513" s="0" t="s">
        <v>28</v>
      </c>
      <c r="J513" s="9" t="s">
        <v>29</v>
      </c>
      <c r="K513" s="9" t="s">
        <v>48</v>
      </c>
      <c r="L513" s="9" t="s">
        <v>49</v>
      </c>
      <c r="M513" s="0" t="s">
        <v>140</v>
      </c>
      <c r="N513" s="0" t="n">
        <v>704</v>
      </c>
      <c r="O513" s="10" t="n">
        <v>0.87020922312513</v>
      </c>
      <c r="P513" s="10" t="n">
        <v>0.831597982207313</v>
      </c>
      <c r="Q513" s="0" t="str">
        <f aca="false">SUBSTITUTE(SUBSTITUTE($I513,CHAR(61),""),CHAR(34),"")</f>
        <v>&lt;01</v>
      </c>
      <c r="R513" s="0" t="str">
        <f aca="false">IF($D513&lt;&gt;"","["&amp;$E513&amp;"]"&amp;"|"&amp;$Q513&amp;"|"&amp;$K513&amp;"|"&amp;$G513&amp;"|"&amp;IF($G513="TX_CURR_SUBNAT.R","CY2022Q4",$M513),"")</f>
        <v>[TYnMSwzko3z]|&lt;01|Male|POP_EST.T_1|CY2023Q3</v>
      </c>
    </row>
    <row r="514" customFormat="false" ht="15" hidden="false" customHeight="false" outlineLevel="0" collapsed="false">
      <c r="D514" s="9" t="s">
        <v>78</v>
      </c>
      <c r="E514" s="9" t="s">
        <v>79</v>
      </c>
      <c r="F514" s="9" t="s">
        <v>80</v>
      </c>
      <c r="G514" s="9" t="s">
        <v>138</v>
      </c>
      <c r="H514" s="9" t="s">
        <v>139</v>
      </c>
      <c r="I514" s="0" t="s">
        <v>33</v>
      </c>
      <c r="J514" s="9" t="s">
        <v>34</v>
      </c>
      <c r="K514" s="9" t="s">
        <v>48</v>
      </c>
      <c r="L514" s="9" t="s">
        <v>49</v>
      </c>
      <c r="M514" s="0" t="s">
        <v>140</v>
      </c>
      <c r="N514" s="0" t="n">
        <v>512</v>
      </c>
      <c r="O514" s="10" t="n">
        <v>0.413764166412875</v>
      </c>
      <c r="P514" s="10" t="n">
        <v>0.831597982207313</v>
      </c>
      <c r="Q514" s="0" t="str">
        <f aca="false">SUBSTITUTE(SUBSTITUTE($I514,CHAR(61),""),CHAR(34),"")</f>
        <v>01-09</v>
      </c>
      <c r="R514" s="0" t="str">
        <f aca="false">IF($D514&lt;&gt;"","["&amp;$E514&amp;"]"&amp;"|"&amp;$Q514&amp;"|"&amp;$K514&amp;"|"&amp;$G514&amp;"|"&amp;IF($G514="TX_CURR_SUBNAT.R","CY2022Q4",$M514),"")</f>
        <v>[TYnMSwzko3z]|01-09|Male|POP_EST.T_1|CY2023Q3</v>
      </c>
    </row>
    <row r="515" customFormat="false" ht="15" hidden="false" customHeight="false" outlineLevel="0" collapsed="false">
      <c r="D515" s="9" t="s">
        <v>78</v>
      </c>
      <c r="E515" s="9" t="s">
        <v>79</v>
      </c>
      <c r="F515" s="9" t="s">
        <v>80</v>
      </c>
      <c r="G515" s="9" t="s">
        <v>138</v>
      </c>
      <c r="H515" s="9" t="s">
        <v>139</v>
      </c>
      <c r="I515" s="0" t="s">
        <v>36</v>
      </c>
      <c r="J515" s="9" t="s">
        <v>37</v>
      </c>
      <c r="K515" s="9" t="s">
        <v>48</v>
      </c>
      <c r="L515" s="9" t="s">
        <v>49</v>
      </c>
      <c r="M515" s="0" t="s">
        <v>140</v>
      </c>
      <c r="N515" s="0" t="n">
        <v>1804</v>
      </c>
      <c r="O515" s="10" t="n">
        <v>0.765670665539801</v>
      </c>
      <c r="P515" s="10" t="n">
        <v>0.831597982207313</v>
      </c>
      <c r="Q515" s="0" t="str">
        <f aca="false">SUBSTITUTE(SUBSTITUTE($I515,CHAR(61),""),CHAR(34),"")</f>
        <v>10-14</v>
      </c>
      <c r="R515" s="0" t="str">
        <f aca="false">IF($D515&lt;&gt;"","["&amp;$E515&amp;"]"&amp;"|"&amp;$Q515&amp;"|"&amp;$K515&amp;"|"&amp;$G515&amp;"|"&amp;IF($G515="TX_CURR_SUBNAT.R","CY2022Q4",$M515),"")</f>
        <v>[TYnMSwzko3z]|10-14|Male|POP_EST.T_1|CY2023Q3</v>
      </c>
    </row>
    <row r="516" customFormat="false" ht="15" hidden="false" customHeight="false" outlineLevel="0" collapsed="false">
      <c r="D516" s="9" t="s">
        <v>78</v>
      </c>
      <c r="E516" s="9" t="s">
        <v>79</v>
      </c>
      <c r="F516" s="9" t="s">
        <v>80</v>
      </c>
      <c r="G516" s="9" t="s">
        <v>138</v>
      </c>
      <c r="H516" s="9" t="s">
        <v>139</v>
      </c>
      <c r="I516" s="0" t="s">
        <v>38</v>
      </c>
      <c r="J516" s="9" t="s">
        <v>39</v>
      </c>
      <c r="K516" s="9" t="s">
        <v>48</v>
      </c>
      <c r="L516" s="9" t="s">
        <v>49</v>
      </c>
      <c r="M516" s="0" t="s">
        <v>140</v>
      </c>
      <c r="N516" s="0" t="n">
        <v>1199</v>
      </c>
      <c r="O516" s="10" t="n">
        <v>0.861272715730593</v>
      </c>
      <c r="P516" s="10" t="n">
        <v>0.831597982207313</v>
      </c>
      <c r="Q516" s="0" t="str">
        <f aca="false">SUBSTITUTE(SUBSTITUTE($I516,CHAR(61),""),CHAR(34),"")</f>
        <v>15-24</v>
      </c>
      <c r="R516" s="0" t="str">
        <f aca="false">IF($D516&lt;&gt;"","["&amp;$E516&amp;"]"&amp;"|"&amp;$Q516&amp;"|"&amp;$K516&amp;"|"&amp;$G516&amp;"|"&amp;IF($G516="TX_CURR_SUBNAT.R","CY2022Q4",$M516),"")</f>
        <v>[TYnMSwzko3z]|15-24|Male|POP_EST.T_1|CY2023Q3</v>
      </c>
    </row>
    <row r="517" customFormat="false" ht="15" hidden="false" customHeight="false" outlineLevel="0" collapsed="false">
      <c r="D517" s="9" t="s">
        <v>78</v>
      </c>
      <c r="E517" s="9" t="s">
        <v>79</v>
      </c>
      <c r="F517" s="9" t="s">
        <v>80</v>
      </c>
      <c r="G517" s="9" t="s">
        <v>138</v>
      </c>
      <c r="H517" s="9" t="s">
        <v>139</v>
      </c>
      <c r="I517" s="0" t="s">
        <v>41</v>
      </c>
      <c r="J517" s="9" t="s">
        <v>42</v>
      </c>
      <c r="K517" s="9" t="s">
        <v>48</v>
      </c>
      <c r="L517" s="9" t="s">
        <v>49</v>
      </c>
      <c r="M517" s="0" t="s">
        <v>140</v>
      </c>
      <c r="N517" s="0" t="n">
        <v>1565</v>
      </c>
      <c r="O517" s="10" t="n">
        <v>0.767080223420635</v>
      </c>
      <c r="P517" s="10" t="n">
        <v>0.831597982207313</v>
      </c>
      <c r="Q517" s="0" t="str">
        <f aca="false">SUBSTITUTE(SUBSTITUTE($I517,CHAR(61),""),CHAR(34),"")</f>
        <v>25-34</v>
      </c>
      <c r="R517" s="0" t="str">
        <f aca="false">IF($D517&lt;&gt;"","["&amp;$E517&amp;"]"&amp;"|"&amp;$Q517&amp;"|"&amp;$K517&amp;"|"&amp;$G517&amp;"|"&amp;IF($G517="TX_CURR_SUBNAT.R","CY2022Q4",$M517),"")</f>
        <v>[TYnMSwzko3z]|25-34|Male|POP_EST.T_1|CY2023Q3</v>
      </c>
    </row>
    <row r="518" customFormat="false" ht="15" hidden="false" customHeight="false" outlineLevel="0" collapsed="false">
      <c r="D518" s="9" t="s">
        <v>78</v>
      </c>
      <c r="E518" s="9" t="s">
        <v>79</v>
      </c>
      <c r="F518" s="9" t="s">
        <v>80</v>
      </c>
      <c r="G518" s="9" t="s">
        <v>138</v>
      </c>
      <c r="H518" s="9" t="s">
        <v>139</v>
      </c>
      <c r="I518" s="0" t="s">
        <v>43</v>
      </c>
      <c r="J518" s="9" t="s">
        <v>44</v>
      </c>
      <c r="K518" s="9" t="s">
        <v>48</v>
      </c>
      <c r="L518" s="9" t="s">
        <v>49</v>
      </c>
      <c r="M518" s="0" t="s">
        <v>140</v>
      </c>
      <c r="N518" s="0" t="n">
        <v>958</v>
      </c>
      <c r="O518" s="10" t="n">
        <v>0.202328719431534</v>
      </c>
      <c r="P518" s="10" t="n">
        <v>0.831597982207313</v>
      </c>
      <c r="Q518" s="0" t="str">
        <f aca="false">SUBSTITUTE(SUBSTITUTE($I518,CHAR(61),""),CHAR(34),"")</f>
        <v>35-49</v>
      </c>
      <c r="R518" s="0" t="str">
        <f aca="false">IF($D518&lt;&gt;"","["&amp;$E518&amp;"]"&amp;"|"&amp;$Q518&amp;"|"&amp;$K518&amp;"|"&amp;$G518&amp;"|"&amp;IF($G518="TX_CURR_SUBNAT.R","CY2022Q4",$M518),"")</f>
        <v>[TYnMSwzko3z]|35-49|Male|POP_EST.T_1|CY2023Q3</v>
      </c>
    </row>
    <row r="519" customFormat="false" ht="15" hidden="false" customHeight="false" outlineLevel="0" collapsed="false">
      <c r="D519" s="9" t="s">
        <v>78</v>
      </c>
      <c r="E519" s="9" t="s">
        <v>79</v>
      </c>
      <c r="F519" s="9" t="s">
        <v>80</v>
      </c>
      <c r="G519" s="9" t="s">
        <v>138</v>
      </c>
      <c r="H519" s="9" t="s">
        <v>139</v>
      </c>
      <c r="I519" s="0" t="s">
        <v>45</v>
      </c>
      <c r="J519" s="9" t="s">
        <v>46</v>
      </c>
      <c r="K519" s="9" t="s">
        <v>48</v>
      </c>
      <c r="L519" s="9" t="s">
        <v>49</v>
      </c>
      <c r="M519" s="0" t="s">
        <v>140</v>
      </c>
      <c r="N519" s="0" t="n">
        <v>1921</v>
      </c>
      <c r="O519" s="10" t="n">
        <v>0.598944815574214</v>
      </c>
      <c r="P519" s="10" t="n">
        <v>0.831597982207313</v>
      </c>
      <c r="Q519" s="0" t="str">
        <f aca="false">SUBSTITUTE(SUBSTITUTE($I519,CHAR(61),""),CHAR(34),"")</f>
        <v>50+</v>
      </c>
      <c r="R519" s="0" t="str">
        <f aca="false">IF($D519&lt;&gt;"","["&amp;$E519&amp;"]"&amp;"|"&amp;$Q519&amp;"|"&amp;$K519&amp;"|"&amp;$G519&amp;"|"&amp;IF($G519="TX_CURR_SUBNAT.R","CY2022Q4",$M519),"")</f>
        <v>[TYnMSwzko3z]|50+|Male|POP_EST.T_1|CY2023Q3</v>
      </c>
    </row>
    <row r="520" customFormat="false" ht="15" hidden="false" customHeight="false" outlineLevel="0" collapsed="false">
      <c r="D520" s="9" t="s">
        <v>81</v>
      </c>
      <c r="E520" s="9" t="s">
        <v>82</v>
      </c>
      <c r="F520" s="9" t="s">
        <v>83</v>
      </c>
      <c r="G520" s="9" t="s">
        <v>138</v>
      </c>
      <c r="H520" s="9" t="s">
        <v>139</v>
      </c>
      <c r="I520" s="0" t="s">
        <v>28</v>
      </c>
      <c r="J520" s="9" t="s">
        <v>29</v>
      </c>
      <c r="K520" s="9" t="s">
        <v>30</v>
      </c>
      <c r="L520" s="9" t="s">
        <v>31</v>
      </c>
      <c r="M520" s="0" t="s">
        <v>140</v>
      </c>
      <c r="N520" s="0" t="n">
        <v>999</v>
      </c>
      <c r="O520" s="10" t="n">
        <v>0.361326695187017</v>
      </c>
      <c r="P520" s="10" t="n">
        <v>0.143331421539187</v>
      </c>
      <c r="Q520" s="0" t="str">
        <f aca="false">SUBSTITUTE(SUBSTITUTE($I520,CHAR(61),""),CHAR(34),"")</f>
        <v>&lt;01</v>
      </c>
      <c r="R520" s="0" t="str">
        <f aca="false">IF($D520&lt;&gt;"","["&amp;$E520&amp;"]"&amp;"|"&amp;$Q520&amp;"|"&amp;$K520&amp;"|"&amp;$G520&amp;"|"&amp;IF($G520="TX_CURR_SUBNAT.R","CY2022Q4",$M520),"")</f>
        <v>[ir8wuHHzoSs]|&lt;01|Female|POP_EST.T_1|CY2023Q3</v>
      </c>
    </row>
    <row r="521" customFormat="false" ht="15" hidden="false" customHeight="false" outlineLevel="0" collapsed="false">
      <c r="D521" s="9" t="s">
        <v>81</v>
      </c>
      <c r="E521" s="9" t="s">
        <v>82</v>
      </c>
      <c r="F521" s="9" t="s">
        <v>83</v>
      </c>
      <c r="G521" s="9" t="s">
        <v>138</v>
      </c>
      <c r="H521" s="9" t="s">
        <v>139</v>
      </c>
      <c r="I521" s="0" t="s">
        <v>33</v>
      </c>
      <c r="J521" s="9" t="s">
        <v>34</v>
      </c>
      <c r="K521" s="9" t="s">
        <v>30</v>
      </c>
      <c r="L521" s="9" t="s">
        <v>31</v>
      </c>
      <c r="M521" s="0" t="s">
        <v>140</v>
      </c>
      <c r="N521" s="0" t="n">
        <v>1197</v>
      </c>
      <c r="O521" s="10" t="n">
        <v>0.302340692374855</v>
      </c>
      <c r="P521" s="10" t="n">
        <v>0.143331421539187</v>
      </c>
      <c r="Q521" s="0" t="str">
        <f aca="false">SUBSTITUTE(SUBSTITUTE($I521,CHAR(61),""),CHAR(34),"")</f>
        <v>01-09</v>
      </c>
      <c r="R521" s="0" t="str">
        <f aca="false">IF($D521&lt;&gt;"","["&amp;$E521&amp;"]"&amp;"|"&amp;$Q521&amp;"|"&amp;$K521&amp;"|"&amp;$G521&amp;"|"&amp;IF($G521="TX_CURR_SUBNAT.R","CY2022Q4",$M521),"")</f>
        <v>[ir8wuHHzoSs]|01-09|Female|POP_EST.T_1|CY2023Q3</v>
      </c>
    </row>
    <row r="522" customFormat="false" ht="15" hidden="false" customHeight="false" outlineLevel="0" collapsed="false">
      <c r="D522" s="9" t="s">
        <v>81</v>
      </c>
      <c r="E522" s="9" t="s">
        <v>82</v>
      </c>
      <c r="F522" s="9" t="s">
        <v>83</v>
      </c>
      <c r="G522" s="9" t="s">
        <v>138</v>
      </c>
      <c r="H522" s="9" t="s">
        <v>139</v>
      </c>
      <c r="I522" s="0" t="s">
        <v>36</v>
      </c>
      <c r="J522" s="9" t="s">
        <v>37</v>
      </c>
      <c r="K522" s="9" t="s">
        <v>30</v>
      </c>
      <c r="L522" s="9" t="s">
        <v>31</v>
      </c>
      <c r="M522" s="0" t="s">
        <v>140</v>
      </c>
      <c r="N522" s="0" t="n">
        <v>819</v>
      </c>
      <c r="O522" s="10" t="n">
        <v>0.264911281643435</v>
      </c>
      <c r="P522" s="10" t="n">
        <v>0.143331421539187</v>
      </c>
      <c r="Q522" s="0" t="str">
        <f aca="false">SUBSTITUTE(SUBSTITUTE($I522,CHAR(61),""),CHAR(34),"")</f>
        <v>10-14</v>
      </c>
      <c r="R522" s="0" t="str">
        <f aca="false">IF($D522&lt;&gt;"","["&amp;$E522&amp;"]"&amp;"|"&amp;$Q522&amp;"|"&amp;$K522&amp;"|"&amp;$G522&amp;"|"&amp;IF($G522="TX_CURR_SUBNAT.R","CY2022Q4",$M522),"")</f>
        <v>[ir8wuHHzoSs]|10-14|Female|POP_EST.T_1|CY2023Q3</v>
      </c>
    </row>
    <row r="523" customFormat="false" ht="15" hidden="false" customHeight="false" outlineLevel="0" collapsed="false">
      <c r="D523" s="9" t="s">
        <v>81</v>
      </c>
      <c r="E523" s="9" t="s">
        <v>82</v>
      </c>
      <c r="F523" s="9" t="s">
        <v>83</v>
      </c>
      <c r="G523" s="9" t="s">
        <v>138</v>
      </c>
      <c r="H523" s="9" t="s">
        <v>139</v>
      </c>
      <c r="I523" s="0" t="s">
        <v>38</v>
      </c>
      <c r="J523" s="9" t="s">
        <v>39</v>
      </c>
      <c r="K523" s="9" t="s">
        <v>30</v>
      </c>
      <c r="L523" s="9" t="s">
        <v>31</v>
      </c>
      <c r="M523" s="0" t="s">
        <v>140</v>
      </c>
      <c r="N523" s="0" t="n">
        <v>957</v>
      </c>
      <c r="O523" s="10" t="n">
        <v>0.482846763916314</v>
      </c>
      <c r="P523" s="10" t="n">
        <v>0.143331421539187</v>
      </c>
      <c r="Q523" s="0" t="str">
        <f aca="false">SUBSTITUTE(SUBSTITUTE($I523,CHAR(61),""),CHAR(34),"")</f>
        <v>15-24</v>
      </c>
      <c r="R523" s="0" t="str">
        <f aca="false">IF($D523&lt;&gt;"","["&amp;$E523&amp;"]"&amp;"|"&amp;$Q523&amp;"|"&amp;$K523&amp;"|"&amp;$G523&amp;"|"&amp;IF($G523="TX_CURR_SUBNAT.R","CY2022Q4",$M523),"")</f>
        <v>[ir8wuHHzoSs]|15-24|Female|POP_EST.T_1|CY2023Q3</v>
      </c>
    </row>
    <row r="524" customFormat="false" ht="15" hidden="false" customHeight="false" outlineLevel="0" collapsed="false">
      <c r="D524" s="9" t="s">
        <v>81</v>
      </c>
      <c r="E524" s="9" t="s">
        <v>82</v>
      </c>
      <c r="F524" s="9" t="s">
        <v>83</v>
      </c>
      <c r="G524" s="9" t="s">
        <v>138</v>
      </c>
      <c r="H524" s="9" t="s">
        <v>139</v>
      </c>
      <c r="I524" s="0" t="s">
        <v>41</v>
      </c>
      <c r="J524" s="9" t="s">
        <v>42</v>
      </c>
      <c r="K524" s="9" t="s">
        <v>30</v>
      </c>
      <c r="L524" s="9" t="s">
        <v>31</v>
      </c>
      <c r="M524" s="0" t="s">
        <v>140</v>
      </c>
      <c r="N524" s="0" t="n">
        <v>1592</v>
      </c>
      <c r="O524" s="10" t="n">
        <v>0.282154040411115</v>
      </c>
      <c r="P524" s="10" t="n">
        <v>0.143331421539187</v>
      </c>
      <c r="Q524" s="0" t="str">
        <f aca="false">SUBSTITUTE(SUBSTITUTE($I524,CHAR(61),""),CHAR(34),"")</f>
        <v>25-34</v>
      </c>
      <c r="R524" s="0" t="str">
        <f aca="false">IF($D524&lt;&gt;"","["&amp;$E524&amp;"]"&amp;"|"&amp;$Q524&amp;"|"&amp;$K524&amp;"|"&amp;$G524&amp;"|"&amp;IF($G524="TX_CURR_SUBNAT.R","CY2022Q4",$M524),"")</f>
        <v>[ir8wuHHzoSs]|25-34|Female|POP_EST.T_1|CY2023Q3</v>
      </c>
    </row>
    <row r="525" customFormat="false" ht="15" hidden="false" customHeight="false" outlineLevel="0" collapsed="false">
      <c r="D525" s="9" t="s">
        <v>81</v>
      </c>
      <c r="E525" s="9" t="s">
        <v>82</v>
      </c>
      <c r="F525" s="9" t="s">
        <v>83</v>
      </c>
      <c r="G525" s="9" t="s">
        <v>138</v>
      </c>
      <c r="H525" s="9" t="s">
        <v>139</v>
      </c>
      <c r="I525" s="0" t="s">
        <v>43</v>
      </c>
      <c r="J525" s="9" t="s">
        <v>44</v>
      </c>
      <c r="K525" s="9" t="s">
        <v>30</v>
      </c>
      <c r="L525" s="9" t="s">
        <v>31</v>
      </c>
      <c r="M525" s="0" t="s">
        <v>140</v>
      </c>
      <c r="N525" s="0" t="n">
        <v>1224</v>
      </c>
      <c r="O525" s="10" t="n">
        <v>0.175405030371621</v>
      </c>
      <c r="P525" s="10" t="n">
        <v>0.143331421539187</v>
      </c>
      <c r="Q525" s="0" t="str">
        <f aca="false">SUBSTITUTE(SUBSTITUTE($I525,CHAR(61),""),CHAR(34),"")</f>
        <v>35-49</v>
      </c>
      <c r="R525" s="0" t="str">
        <f aca="false">IF($D525&lt;&gt;"","["&amp;$E525&amp;"]"&amp;"|"&amp;$Q525&amp;"|"&amp;$K525&amp;"|"&amp;$G525&amp;"|"&amp;IF($G525="TX_CURR_SUBNAT.R","CY2022Q4",$M525),"")</f>
        <v>[ir8wuHHzoSs]|35-49|Female|POP_EST.T_1|CY2023Q3</v>
      </c>
    </row>
    <row r="526" customFormat="false" ht="15" hidden="false" customHeight="false" outlineLevel="0" collapsed="false">
      <c r="D526" s="9" t="s">
        <v>81</v>
      </c>
      <c r="E526" s="9" t="s">
        <v>82</v>
      </c>
      <c r="F526" s="9" t="s">
        <v>83</v>
      </c>
      <c r="G526" s="9" t="s">
        <v>138</v>
      </c>
      <c r="H526" s="9" t="s">
        <v>139</v>
      </c>
      <c r="I526" s="0" t="s">
        <v>45</v>
      </c>
      <c r="J526" s="9" t="s">
        <v>46</v>
      </c>
      <c r="K526" s="9" t="s">
        <v>30</v>
      </c>
      <c r="L526" s="9" t="s">
        <v>31</v>
      </c>
      <c r="M526" s="0" t="s">
        <v>140</v>
      </c>
      <c r="N526" s="0" t="n">
        <v>1618</v>
      </c>
      <c r="O526" s="10" t="n">
        <v>0.402804951416329</v>
      </c>
      <c r="P526" s="10" t="n">
        <v>0.143331421539187</v>
      </c>
      <c r="Q526" s="0" t="str">
        <f aca="false">SUBSTITUTE(SUBSTITUTE($I526,CHAR(61),""),CHAR(34),"")</f>
        <v>50+</v>
      </c>
      <c r="R526" s="0" t="str">
        <f aca="false">IF($D526&lt;&gt;"","["&amp;$E526&amp;"]"&amp;"|"&amp;$Q526&amp;"|"&amp;$K526&amp;"|"&amp;$G526&amp;"|"&amp;IF($G526="TX_CURR_SUBNAT.R","CY2022Q4",$M526),"")</f>
        <v>[ir8wuHHzoSs]|50+|Female|POP_EST.T_1|CY2023Q3</v>
      </c>
    </row>
    <row r="527" customFormat="false" ht="15" hidden="false" customHeight="false" outlineLevel="0" collapsed="false">
      <c r="D527" s="9" t="s">
        <v>81</v>
      </c>
      <c r="E527" s="9" t="s">
        <v>82</v>
      </c>
      <c r="F527" s="9" t="s">
        <v>83</v>
      </c>
      <c r="G527" s="9" t="s">
        <v>138</v>
      </c>
      <c r="H527" s="9" t="s">
        <v>139</v>
      </c>
      <c r="I527" s="0" t="s">
        <v>28</v>
      </c>
      <c r="J527" s="9" t="s">
        <v>29</v>
      </c>
      <c r="K527" s="9" t="s">
        <v>48</v>
      </c>
      <c r="L527" s="9" t="s">
        <v>49</v>
      </c>
      <c r="M527" s="0" t="s">
        <v>140</v>
      </c>
      <c r="N527" s="0" t="n">
        <v>1880</v>
      </c>
      <c r="O527" s="10" t="n">
        <v>0.843868077034131</v>
      </c>
      <c r="P527" s="10" t="n">
        <v>0.143331421539187</v>
      </c>
      <c r="Q527" s="0" t="str">
        <f aca="false">SUBSTITUTE(SUBSTITUTE($I527,CHAR(61),""),CHAR(34),"")</f>
        <v>&lt;01</v>
      </c>
      <c r="R527" s="0" t="str">
        <f aca="false">IF($D527&lt;&gt;"","["&amp;$E527&amp;"]"&amp;"|"&amp;$Q527&amp;"|"&amp;$K527&amp;"|"&amp;$G527&amp;"|"&amp;IF($G527="TX_CURR_SUBNAT.R","CY2022Q4",$M527),"")</f>
        <v>[ir8wuHHzoSs]|&lt;01|Male|POP_EST.T_1|CY2023Q3</v>
      </c>
    </row>
    <row r="528" customFormat="false" ht="15" hidden="false" customHeight="false" outlineLevel="0" collapsed="false">
      <c r="D528" s="9" t="s">
        <v>81</v>
      </c>
      <c r="E528" s="9" t="s">
        <v>82</v>
      </c>
      <c r="F528" s="9" t="s">
        <v>83</v>
      </c>
      <c r="G528" s="9" t="s">
        <v>138</v>
      </c>
      <c r="H528" s="9" t="s">
        <v>139</v>
      </c>
      <c r="I528" s="0" t="s">
        <v>33</v>
      </c>
      <c r="J528" s="9" t="s">
        <v>34</v>
      </c>
      <c r="K528" s="9" t="s">
        <v>48</v>
      </c>
      <c r="L528" s="9" t="s">
        <v>49</v>
      </c>
      <c r="M528" s="0" t="s">
        <v>140</v>
      </c>
      <c r="N528" s="0" t="n">
        <v>1326</v>
      </c>
      <c r="O528" s="10" t="n">
        <v>0.437400709604844</v>
      </c>
      <c r="P528" s="10" t="n">
        <v>0.143331421539187</v>
      </c>
      <c r="Q528" s="0" t="str">
        <f aca="false">SUBSTITUTE(SUBSTITUTE($I528,CHAR(61),""),CHAR(34),"")</f>
        <v>01-09</v>
      </c>
      <c r="R528" s="0" t="str">
        <f aca="false">IF($D528&lt;&gt;"","["&amp;$E528&amp;"]"&amp;"|"&amp;$Q528&amp;"|"&amp;$K528&amp;"|"&amp;$G528&amp;"|"&amp;IF($G528="TX_CURR_SUBNAT.R","CY2022Q4",$M528),"")</f>
        <v>[ir8wuHHzoSs]|01-09|Male|POP_EST.T_1|CY2023Q3</v>
      </c>
    </row>
    <row r="529" customFormat="false" ht="15" hidden="false" customHeight="false" outlineLevel="0" collapsed="false">
      <c r="D529" s="9" t="s">
        <v>81</v>
      </c>
      <c r="E529" s="9" t="s">
        <v>82</v>
      </c>
      <c r="F529" s="9" t="s">
        <v>83</v>
      </c>
      <c r="G529" s="9" t="s">
        <v>138</v>
      </c>
      <c r="H529" s="9" t="s">
        <v>139</v>
      </c>
      <c r="I529" s="0" t="s">
        <v>36</v>
      </c>
      <c r="J529" s="9" t="s">
        <v>37</v>
      </c>
      <c r="K529" s="9" t="s">
        <v>48</v>
      </c>
      <c r="L529" s="9" t="s">
        <v>49</v>
      </c>
      <c r="M529" s="0" t="s">
        <v>140</v>
      </c>
      <c r="N529" s="0" t="n">
        <v>812</v>
      </c>
      <c r="O529" s="10" t="n">
        <v>0.632376160472631</v>
      </c>
      <c r="P529" s="10" t="n">
        <v>0.143331421539187</v>
      </c>
      <c r="Q529" s="0" t="str">
        <f aca="false">SUBSTITUTE(SUBSTITUTE($I529,CHAR(61),""),CHAR(34),"")</f>
        <v>10-14</v>
      </c>
      <c r="R529" s="0" t="str">
        <f aca="false">IF($D529&lt;&gt;"","["&amp;$E529&amp;"]"&amp;"|"&amp;$Q529&amp;"|"&amp;$K529&amp;"|"&amp;$G529&amp;"|"&amp;IF($G529="TX_CURR_SUBNAT.R","CY2022Q4",$M529),"")</f>
        <v>[ir8wuHHzoSs]|10-14|Male|POP_EST.T_1|CY2023Q3</v>
      </c>
    </row>
    <row r="530" customFormat="false" ht="15" hidden="false" customHeight="false" outlineLevel="0" collapsed="false">
      <c r="D530" s="9" t="s">
        <v>81</v>
      </c>
      <c r="E530" s="9" t="s">
        <v>82</v>
      </c>
      <c r="F530" s="9" t="s">
        <v>83</v>
      </c>
      <c r="G530" s="9" t="s">
        <v>138</v>
      </c>
      <c r="H530" s="9" t="s">
        <v>139</v>
      </c>
      <c r="I530" s="0" t="s">
        <v>38</v>
      </c>
      <c r="J530" s="9" t="s">
        <v>39</v>
      </c>
      <c r="K530" s="9" t="s">
        <v>48</v>
      </c>
      <c r="L530" s="9" t="s">
        <v>49</v>
      </c>
      <c r="M530" s="0" t="s">
        <v>140</v>
      </c>
      <c r="N530" s="0" t="n">
        <v>1527</v>
      </c>
      <c r="O530" s="10" t="n">
        <v>0.0449755820445716</v>
      </c>
      <c r="P530" s="10" t="n">
        <v>0.143331421539187</v>
      </c>
      <c r="Q530" s="0" t="str">
        <f aca="false">SUBSTITUTE(SUBSTITUTE($I530,CHAR(61),""),CHAR(34),"")</f>
        <v>15-24</v>
      </c>
      <c r="R530" s="0" t="str">
        <f aca="false">IF($D530&lt;&gt;"","["&amp;$E530&amp;"]"&amp;"|"&amp;$Q530&amp;"|"&amp;$K530&amp;"|"&amp;$G530&amp;"|"&amp;IF($G530="TX_CURR_SUBNAT.R","CY2022Q4",$M530),"")</f>
        <v>[ir8wuHHzoSs]|15-24|Male|POP_EST.T_1|CY2023Q3</v>
      </c>
    </row>
    <row r="531" customFormat="false" ht="15" hidden="false" customHeight="false" outlineLevel="0" collapsed="false">
      <c r="D531" s="9" t="s">
        <v>81</v>
      </c>
      <c r="E531" s="9" t="s">
        <v>82</v>
      </c>
      <c r="F531" s="9" t="s">
        <v>83</v>
      </c>
      <c r="G531" s="9" t="s">
        <v>138</v>
      </c>
      <c r="H531" s="9" t="s">
        <v>139</v>
      </c>
      <c r="I531" s="0" t="s">
        <v>41</v>
      </c>
      <c r="J531" s="9" t="s">
        <v>42</v>
      </c>
      <c r="K531" s="9" t="s">
        <v>48</v>
      </c>
      <c r="L531" s="9" t="s">
        <v>49</v>
      </c>
      <c r="M531" s="0" t="s">
        <v>140</v>
      </c>
      <c r="N531" s="0" t="n">
        <v>712</v>
      </c>
      <c r="O531" s="10" t="n">
        <v>0.502711603417993</v>
      </c>
      <c r="P531" s="10" t="n">
        <v>0.143331421539187</v>
      </c>
      <c r="Q531" s="0" t="str">
        <f aca="false">SUBSTITUTE(SUBSTITUTE($I531,CHAR(61),""),CHAR(34),"")</f>
        <v>25-34</v>
      </c>
      <c r="R531" s="0" t="str">
        <f aca="false">IF($D531&lt;&gt;"","["&amp;$E531&amp;"]"&amp;"|"&amp;$Q531&amp;"|"&amp;$K531&amp;"|"&amp;$G531&amp;"|"&amp;IF($G531="TX_CURR_SUBNAT.R","CY2022Q4",$M531),"")</f>
        <v>[ir8wuHHzoSs]|25-34|Male|POP_EST.T_1|CY2023Q3</v>
      </c>
    </row>
    <row r="532" customFormat="false" ht="15" hidden="false" customHeight="false" outlineLevel="0" collapsed="false">
      <c r="D532" s="9" t="s">
        <v>81</v>
      </c>
      <c r="E532" s="9" t="s">
        <v>82</v>
      </c>
      <c r="F532" s="9" t="s">
        <v>83</v>
      </c>
      <c r="G532" s="9" t="s">
        <v>138</v>
      </c>
      <c r="H532" s="9" t="s">
        <v>139</v>
      </c>
      <c r="I532" s="0" t="s">
        <v>43</v>
      </c>
      <c r="J532" s="9" t="s">
        <v>44</v>
      </c>
      <c r="K532" s="9" t="s">
        <v>48</v>
      </c>
      <c r="L532" s="9" t="s">
        <v>49</v>
      </c>
      <c r="M532" s="0" t="s">
        <v>140</v>
      </c>
      <c r="N532" s="0" t="n">
        <v>1960</v>
      </c>
      <c r="O532" s="10" t="n">
        <v>0.815399957820773</v>
      </c>
      <c r="P532" s="10" t="n">
        <v>0.143331421539187</v>
      </c>
      <c r="Q532" s="0" t="str">
        <f aca="false">SUBSTITUTE(SUBSTITUTE($I532,CHAR(61),""),CHAR(34),"")</f>
        <v>35-49</v>
      </c>
      <c r="R532" s="0" t="str">
        <f aca="false">IF($D532&lt;&gt;"","["&amp;$E532&amp;"]"&amp;"|"&amp;$Q532&amp;"|"&amp;$K532&amp;"|"&amp;$G532&amp;"|"&amp;IF($G532="TX_CURR_SUBNAT.R","CY2022Q4",$M532),"")</f>
        <v>[ir8wuHHzoSs]|35-49|Male|POP_EST.T_1|CY2023Q3</v>
      </c>
    </row>
    <row r="533" customFormat="false" ht="15" hidden="false" customHeight="false" outlineLevel="0" collapsed="false">
      <c r="D533" s="9" t="s">
        <v>81</v>
      </c>
      <c r="E533" s="9" t="s">
        <v>82</v>
      </c>
      <c r="F533" s="9" t="s">
        <v>83</v>
      </c>
      <c r="G533" s="9" t="s">
        <v>138</v>
      </c>
      <c r="H533" s="9" t="s">
        <v>139</v>
      </c>
      <c r="I533" s="0" t="s">
        <v>45</v>
      </c>
      <c r="J533" s="9" t="s">
        <v>46</v>
      </c>
      <c r="K533" s="9" t="s">
        <v>48</v>
      </c>
      <c r="L533" s="9" t="s">
        <v>49</v>
      </c>
      <c r="M533" s="0" t="s">
        <v>140</v>
      </c>
      <c r="N533" s="0" t="n">
        <v>517</v>
      </c>
      <c r="O533" s="10" t="n">
        <v>0.799284207401797</v>
      </c>
      <c r="P533" s="10" t="n">
        <v>0.143331421539187</v>
      </c>
      <c r="Q533" s="0" t="str">
        <f aca="false">SUBSTITUTE(SUBSTITUTE($I533,CHAR(61),""),CHAR(34),"")</f>
        <v>50+</v>
      </c>
      <c r="R533" s="0" t="str">
        <f aca="false">IF($D533&lt;&gt;"","["&amp;$E533&amp;"]"&amp;"|"&amp;$Q533&amp;"|"&amp;$K533&amp;"|"&amp;$G533&amp;"|"&amp;IF($G533="TX_CURR_SUBNAT.R","CY2022Q4",$M533),"")</f>
        <v>[ir8wuHHzoSs]|50+|Male|POP_EST.T_1|CY2023Q3</v>
      </c>
    </row>
    <row r="534" customFormat="false" ht="15" hidden="false" customHeight="false" outlineLevel="0" collapsed="false">
      <c r="D534" s="9" t="s">
        <v>84</v>
      </c>
      <c r="E534" s="9" t="s">
        <v>85</v>
      </c>
      <c r="F534" s="9" t="s">
        <v>86</v>
      </c>
      <c r="G534" s="9" t="s">
        <v>138</v>
      </c>
      <c r="H534" s="9" t="s">
        <v>139</v>
      </c>
      <c r="I534" s="0" t="s">
        <v>28</v>
      </c>
      <c r="J534" s="9" t="s">
        <v>29</v>
      </c>
      <c r="K534" s="9" t="s">
        <v>30</v>
      </c>
      <c r="L534" s="9" t="s">
        <v>31</v>
      </c>
      <c r="M534" s="0" t="s">
        <v>140</v>
      </c>
      <c r="N534" s="0" t="n">
        <v>661</v>
      </c>
      <c r="O534" s="10" t="n">
        <v>0.370386644033715</v>
      </c>
      <c r="P534" s="10" t="n">
        <v>0.0297887143678963</v>
      </c>
      <c r="Q534" s="0" t="str">
        <f aca="false">SUBSTITUTE(SUBSTITUTE($I534,CHAR(61),""),CHAR(34),"")</f>
        <v>&lt;01</v>
      </c>
      <c r="R534" s="0" t="str">
        <f aca="false">IF($D534&lt;&gt;"","["&amp;$E534&amp;"]"&amp;"|"&amp;$Q534&amp;"|"&amp;$K534&amp;"|"&amp;$G534&amp;"|"&amp;IF($G534="TX_CURR_SUBNAT.R","CY2022Q4",$M534),"")</f>
        <v>[fyEoGEPERdI]|&lt;01|Female|POP_EST.T_1|CY2023Q3</v>
      </c>
    </row>
    <row r="535" customFormat="false" ht="15" hidden="false" customHeight="false" outlineLevel="0" collapsed="false">
      <c r="D535" s="9" t="s">
        <v>84</v>
      </c>
      <c r="E535" s="9" t="s">
        <v>85</v>
      </c>
      <c r="F535" s="9" t="s">
        <v>86</v>
      </c>
      <c r="G535" s="9" t="s">
        <v>138</v>
      </c>
      <c r="H535" s="9" t="s">
        <v>139</v>
      </c>
      <c r="I535" s="0" t="s">
        <v>33</v>
      </c>
      <c r="J535" s="9" t="s">
        <v>34</v>
      </c>
      <c r="K535" s="9" t="s">
        <v>30</v>
      </c>
      <c r="L535" s="9" t="s">
        <v>31</v>
      </c>
      <c r="M535" s="0" t="s">
        <v>140</v>
      </c>
      <c r="N535" s="0" t="n">
        <v>730</v>
      </c>
      <c r="O535" s="10" t="n">
        <v>0.445125190541148</v>
      </c>
      <c r="P535" s="10" t="n">
        <v>0.0297887143678963</v>
      </c>
      <c r="Q535" s="0" t="str">
        <f aca="false">SUBSTITUTE(SUBSTITUTE($I535,CHAR(61),""),CHAR(34),"")</f>
        <v>01-09</v>
      </c>
      <c r="R535" s="0" t="str">
        <f aca="false">IF($D535&lt;&gt;"","["&amp;$E535&amp;"]"&amp;"|"&amp;$Q535&amp;"|"&amp;$K535&amp;"|"&amp;$G535&amp;"|"&amp;IF($G535="TX_CURR_SUBNAT.R","CY2022Q4",$M535),"")</f>
        <v>[fyEoGEPERdI]|01-09|Female|POP_EST.T_1|CY2023Q3</v>
      </c>
    </row>
    <row r="536" customFormat="false" ht="15" hidden="false" customHeight="false" outlineLevel="0" collapsed="false">
      <c r="D536" s="9" t="s">
        <v>84</v>
      </c>
      <c r="E536" s="9" t="s">
        <v>85</v>
      </c>
      <c r="F536" s="9" t="s">
        <v>86</v>
      </c>
      <c r="G536" s="9" t="s">
        <v>138</v>
      </c>
      <c r="H536" s="9" t="s">
        <v>139</v>
      </c>
      <c r="I536" s="0" t="s">
        <v>36</v>
      </c>
      <c r="J536" s="9" t="s">
        <v>37</v>
      </c>
      <c r="K536" s="9" t="s">
        <v>30</v>
      </c>
      <c r="L536" s="9" t="s">
        <v>31</v>
      </c>
      <c r="M536" s="0" t="s">
        <v>140</v>
      </c>
      <c r="N536" s="0" t="n">
        <v>1899</v>
      </c>
      <c r="O536" s="10" t="n">
        <v>0.571507638087496</v>
      </c>
      <c r="P536" s="10" t="n">
        <v>0.0297887143678963</v>
      </c>
      <c r="Q536" s="0" t="str">
        <f aca="false">SUBSTITUTE(SUBSTITUTE($I536,CHAR(61),""),CHAR(34),"")</f>
        <v>10-14</v>
      </c>
      <c r="R536" s="0" t="str">
        <f aca="false">IF($D536&lt;&gt;"","["&amp;$E536&amp;"]"&amp;"|"&amp;$Q536&amp;"|"&amp;$K536&amp;"|"&amp;$G536&amp;"|"&amp;IF($G536="TX_CURR_SUBNAT.R","CY2022Q4",$M536),"")</f>
        <v>[fyEoGEPERdI]|10-14|Female|POP_EST.T_1|CY2023Q3</v>
      </c>
    </row>
    <row r="537" customFormat="false" ht="15" hidden="false" customHeight="false" outlineLevel="0" collapsed="false">
      <c r="D537" s="9" t="s">
        <v>84</v>
      </c>
      <c r="E537" s="9" t="s">
        <v>85</v>
      </c>
      <c r="F537" s="9" t="s">
        <v>86</v>
      </c>
      <c r="G537" s="9" t="s">
        <v>138</v>
      </c>
      <c r="H537" s="9" t="s">
        <v>139</v>
      </c>
      <c r="I537" s="0" t="s">
        <v>38</v>
      </c>
      <c r="J537" s="9" t="s">
        <v>39</v>
      </c>
      <c r="K537" s="9" t="s">
        <v>30</v>
      </c>
      <c r="L537" s="9" t="s">
        <v>31</v>
      </c>
      <c r="M537" s="0" t="s">
        <v>140</v>
      </c>
      <c r="N537" s="0" t="n">
        <v>1475</v>
      </c>
      <c r="O537" s="10" t="n">
        <v>0.544549039797857</v>
      </c>
      <c r="P537" s="10" t="n">
        <v>0.0297887143678963</v>
      </c>
      <c r="Q537" s="0" t="str">
        <f aca="false">SUBSTITUTE(SUBSTITUTE($I537,CHAR(61),""),CHAR(34),"")</f>
        <v>15-24</v>
      </c>
      <c r="R537" s="0" t="str">
        <f aca="false">IF($D537&lt;&gt;"","["&amp;$E537&amp;"]"&amp;"|"&amp;$Q537&amp;"|"&amp;$K537&amp;"|"&amp;$G537&amp;"|"&amp;IF($G537="TX_CURR_SUBNAT.R","CY2022Q4",$M537),"")</f>
        <v>[fyEoGEPERdI]|15-24|Female|POP_EST.T_1|CY2023Q3</v>
      </c>
    </row>
    <row r="538" customFormat="false" ht="15" hidden="false" customHeight="false" outlineLevel="0" collapsed="false">
      <c r="D538" s="9" t="s">
        <v>84</v>
      </c>
      <c r="E538" s="9" t="s">
        <v>85</v>
      </c>
      <c r="F538" s="9" t="s">
        <v>86</v>
      </c>
      <c r="G538" s="9" t="s">
        <v>138</v>
      </c>
      <c r="H538" s="9" t="s">
        <v>139</v>
      </c>
      <c r="I538" s="0" t="s">
        <v>41</v>
      </c>
      <c r="J538" s="9" t="s">
        <v>42</v>
      </c>
      <c r="K538" s="9" t="s">
        <v>30</v>
      </c>
      <c r="L538" s="9" t="s">
        <v>31</v>
      </c>
      <c r="M538" s="0" t="s">
        <v>140</v>
      </c>
      <c r="N538" s="0" t="n">
        <v>1113</v>
      </c>
      <c r="O538" s="10" t="n">
        <v>0.627525917487219</v>
      </c>
      <c r="P538" s="10" t="n">
        <v>0.0297887143678963</v>
      </c>
      <c r="Q538" s="0" t="str">
        <f aca="false">SUBSTITUTE(SUBSTITUTE($I538,CHAR(61),""),CHAR(34),"")</f>
        <v>25-34</v>
      </c>
      <c r="R538" s="0" t="str">
        <f aca="false">IF($D538&lt;&gt;"","["&amp;$E538&amp;"]"&amp;"|"&amp;$Q538&amp;"|"&amp;$K538&amp;"|"&amp;$G538&amp;"|"&amp;IF($G538="TX_CURR_SUBNAT.R","CY2022Q4",$M538),"")</f>
        <v>[fyEoGEPERdI]|25-34|Female|POP_EST.T_1|CY2023Q3</v>
      </c>
    </row>
    <row r="539" customFormat="false" ht="15" hidden="false" customHeight="false" outlineLevel="0" collapsed="false">
      <c r="D539" s="9" t="s">
        <v>84</v>
      </c>
      <c r="E539" s="9" t="s">
        <v>85</v>
      </c>
      <c r="F539" s="9" t="s">
        <v>86</v>
      </c>
      <c r="G539" s="9" t="s">
        <v>138</v>
      </c>
      <c r="H539" s="9" t="s">
        <v>139</v>
      </c>
      <c r="I539" s="0" t="s">
        <v>43</v>
      </c>
      <c r="J539" s="9" t="s">
        <v>44</v>
      </c>
      <c r="K539" s="9" t="s">
        <v>30</v>
      </c>
      <c r="L539" s="9" t="s">
        <v>31</v>
      </c>
      <c r="M539" s="0" t="s">
        <v>140</v>
      </c>
      <c r="N539" s="0" t="n">
        <v>1411</v>
      </c>
      <c r="O539" s="10" t="n">
        <v>0.993876435793936</v>
      </c>
      <c r="P539" s="10" t="n">
        <v>0.0297887143678963</v>
      </c>
      <c r="Q539" s="0" t="str">
        <f aca="false">SUBSTITUTE(SUBSTITUTE($I539,CHAR(61),""),CHAR(34),"")</f>
        <v>35-49</v>
      </c>
      <c r="R539" s="0" t="str">
        <f aca="false">IF($D539&lt;&gt;"","["&amp;$E539&amp;"]"&amp;"|"&amp;$Q539&amp;"|"&amp;$K539&amp;"|"&amp;$G539&amp;"|"&amp;IF($G539="TX_CURR_SUBNAT.R","CY2022Q4",$M539),"")</f>
        <v>[fyEoGEPERdI]|35-49|Female|POP_EST.T_1|CY2023Q3</v>
      </c>
    </row>
    <row r="540" customFormat="false" ht="15" hidden="false" customHeight="false" outlineLevel="0" collapsed="false">
      <c r="D540" s="9" t="s">
        <v>84</v>
      </c>
      <c r="E540" s="9" t="s">
        <v>85</v>
      </c>
      <c r="F540" s="9" t="s">
        <v>86</v>
      </c>
      <c r="G540" s="9" t="s">
        <v>138</v>
      </c>
      <c r="H540" s="9" t="s">
        <v>139</v>
      </c>
      <c r="I540" s="0" t="s">
        <v>45</v>
      </c>
      <c r="J540" s="9" t="s">
        <v>46</v>
      </c>
      <c r="K540" s="9" t="s">
        <v>30</v>
      </c>
      <c r="L540" s="9" t="s">
        <v>31</v>
      </c>
      <c r="M540" s="0" t="s">
        <v>140</v>
      </c>
      <c r="N540" s="0" t="n">
        <v>1491</v>
      </c>
      <c r="O540" s="10" t="n">
        <v>0.686448051361367</v>
      </c>
      <c r="P540" s="10" t="n">
        <v>0.0297887143678963</v>
      </c>
      <c r="Q540" s="0" t="str">
        <f aca="false">SUBSTITUTE(SUBSTITUTE($I540,CHAR(61),""),CHAR(34),"")</f>
        <v>50+</v>
      </c>
      <c r="R540" s="0" t="str">
        <f aca="false">IF($D540&lt;&gt;"","["&amp;$E540&amp;"]"&amp;"|"&amp;$Q540&amp;"|"&amp;$K540&amp;"|"&amp;$G540&amp;"|"&amp;IF($G540="TX_CURR_SUBNAT.R","CY2022Q4",$M540),"")</f>
        <v>[fyEoGEPERdI]|50+|Female|POP_EST.T_1|CY2023Q3</v>
      </c>
    </row>
    <row r="541" customFormat="false" ht="15" hidden="false" customHeight="false" outlineLevel="0" collapsed="false">
      <c r="D541" s="9" t="s">
        <v>84</v>
      </c>
      <c r="E541" s="9" t="s">
        <v>85</v>
      </c>
      <c r="F541" s="9" t="s">
        <v>86</v>
      </c>
      <c r="G541" s="9" t="s">
        <v>138</v>
      </c>
      <c r="H541" s="9" t="s">
        <v>139</v>
      </c>
      <c r="I541" s="0" t="s">
        <v>28</v>
      </c>
      <c r="J541" s="9" t="s">
        <v>29</v>
      </c>
      <c r="K541" s="9" t="s">
        <v>48</v>
      </c>
      <c r="L541" s="9" t="s">
        <v>49</v>
      </c>
      <c r="M541" s="0" t="s">
        <v>140</v>
      </c>
      <c r="N541" s="0" t="n">
        <v>1582</v>
      </c>
      <c r="O541" s="10" t="n">
        <v>0.17041505407542</v>
      </c>
      <c r="P541" s="10" t="n">
        <v>0.0297887143678963</v>
      </c>
      <c r="Q541" s="0" t="str">
        <f aca="false">SUBSTITUTE(SUBSTITUTE($I541,CHAR(61),""),CHAR(34),"")</f>
        <v>&lt;01</v>
      </c>
      <c r="R541" s="0" t="str">
        <f aca="false">IF($D541&lt;&gt;"","["&amp;$E541&amp;"]"&amp;"|"&amp;$Q541&amp;"|"&amp;$K541&amp;"|"&amp;$G541&amp;"|"&amp;IF($G541="TX_CURR_SUBNAT.R","CY2022Q4",$M541),"")</f>
        <v>[fyEoGEPERdI]|&lt;01|Male|POP_EST.T_1|CY2023Q3</v>
      </c>
    </row>
    <row r="542" customFormat="false" ht="15" hidden="false" customHeight="false" outlineLevel="0" collapsed="false">
      <c r="D542" s="9" t="s">
        <v>84</v>
      </c>
      <c r="E542" s="9" t="s">
        <v>85</v>
      </c>
      <c r="F542" s="9" t="s">
        <v>86</v>
      </c>
      <c r="G542" s="9" t="s">
        <v>138</v>
      </c>
      <c r="H542" s="9" t="s">
        <v>139</v>
      </c>
      <c r="I542" s="0" t="s">
        <v>33</v>
      </c>
      <c r="J542" s="9" t="s">
        <v>34</v>
      </c>
      <c r="K542" s="9" t="s">
        <v>48</v>
      </c>
      <c r="L542" s="9" t="s">
        <v>49</v>
      </c>
      <c r="M542" s="0" t="s">
        <v>140</v>
      </c>
      <c r="N542" s="0" t="n">
        <v>1526</v>
      </c>
      <c r="O542" s="10" t="n">
        <v>0.518432616256177</v>
      </c>
      <c r="P542" s="10" t="n">
        <v>0.0297887143678963</v>
      </c>
      <c r="Q542" s="0" t="str">
        <f aca="false">SUBSTITUTE(SUBSTITUTE($I542,CHAR(61),""),CHAR(34),"")</f>
        <v>01-09</v>
      </c>
      <c r="R542" s="0" t="str">
        <f aca="false">IF($D542&lt;&gt;"","["&amp;$E542&amp;"]"&amp;"|"&amp;$Q542&amp;"|"&amp;$K542&amp;"|"&amp;$G542&amp;"|"&amp;IF($G542="TX_CURR_SUBNAT.R","CY2022Q4",$M542),"")</f>
        <v>[fyEoGEPERdI]|01-09|Male|POP_EST.T_1|CY2023Q3</v>
      </c>
    </row>
    <row r="543" customFormat="false" ht="15" hidden="false" customHeight="false" outlineLevel="0" collapsed="false">
      <c r="D543" s="9" t="s">
        <v>84</v>
      </c>
      <c r="E543" s="9" t="s">
        <v>85</v>
      </c>
      <c r="F543" s="9" t="s">
        <v>86</v>
      </c>
      <c r="G543" s="9" t="s">
        <v>138</v>
      </c>
      <c r="H543" s="9" t="s">
        <v>139</v>
      </c>
      <c r="I543" s="0" t="s">
        <v>36</v>
      </c>
      <c r="J543" s="9" t="s">
        <v>37</v>
      </c>
      <c r="K543" s="9" t="s">
        <v>48</v>
      </c>
      <c r="L543" s="9" t="s">
        <v>49</v>
      </c>
      <c r="M543" s="0" t="s">
        <v>140</v>
      </c>
      <c r="N543" s="0" t="n">
        <v>1327</v>
      </c>
      <c r="O543" s="10" t="n">
        <v>0.640652926173061</v>
      </c>
      <c r="P543" s="10" t="n">
        <v>0.0297887143678963</v>
      </c>
      <c r="Q543" s="0" t="str">
        <f aca="false">SUBSTITUTE(SUBSTITUTE($I543,CHAR(61),""),CHAR(34),"")</f>
        <v>10-14</v>
      </c>
      <c r="R543" s="0" t="str">
        <f aca="false">IF($D543&lt;&gt;"","["&amp;$E543&amp;"]"&amp;"|"&amp;$Q543&amp;"|"&amp;$K543&amp;"|"&amp;$G543&amp;"|"&amp;IF($G543="TX_CURR_SUBNAT.R","CY2022Q4",$M543),"")</f>
        <v>[fyEoGEPERdI]|10-14|Male|POP_EST.T_1|CY2023Q3</v>
      </c>
    </row>
    <row r="544" customFormat="false" ht="15" hidden="false" customHeight="false" outlineLevel="0" collapsed="false">
      <c r="D544" s="9" t="s">
        <v>84</v>
      </c>
      <c r="E544" s="9" t="s">
        <v>85</v>
      </c>
      <c r="F544" s="9" t="s">
        <v>86</v>
      </c>
      <c r="G544" s="9" t="s">
        <v>138</v>
      </c>
      <c r="H544" s="9" t="s">
        <v>139</v>
      </c>
      <c r="I544" s="0" t="s">
        <v>38</v>
      </c>
      <c r="J544" s="9" t="s">
        <v>39</v>
      </c>
      <c r="K544" s="9" t="s">
        <v>48</v>
      </c>
      <c r="L544" s="9" t="s">
        <v>49</v>
      </c>
      <c r="M544" s="0" t="s">
        <v>140</v>
      </c>
      <c r="N544" s="0" t="n">
        <v>1345</v>
      </c>
      <c r="O544" s="10" t="n">
        <v>0.705712889553979</v>
      </c>
      <c r="P544" s="10" t="n">
        <v>0.0297887143678963</v>
      </c>
      <c r="Q544" s="0" t="str">
        <f aca="false">SUBSTITUTE(SUBSTITUTE($I544,CHAR(61),""),CHAR(34),"")</f>
        <v>15-24</v>
      </c>
      <c r="R544" s="0" t="str">
        <f aca="false">IF($D544&lt;&gt;"","["&amp;$E544&amp;"]"&amp;"|"&amp;$Q544&amp;"|"&amp;$K544&amp;"|"&amp;$G544&amp;"|"&amp;IF($G544="TX_CURR_SUBNAT.R","CY2022Q4",$M544),"")</f>
        <v>[fyEoGEPERdI]|15-24|Male|POP_EST.T_1|CY2023Q3</v>
      </c>
    </row>
    <row r="545" customFormat="false" ht="15" hidden="false" customHeight="false" outlineLevel="0" collapsed="false">
      <c r="D545" s="9" t="s">
        <v>84</v>
      </c>
      <c r="E545" s="9" t="s">
        <v>85</v>
      </c>
      <c r="F545" s="9" t="s">
        <v>86</v>
      </c>
      <c r="G545" s="9" t="s">
        <v>138</v>
      </c>
      <c r="H545" s="9" t="s">
        <v>139</v>
      </c>
      <c r="I545" s="0" t="s">
        <v>41</v>
      </c>
      <c r="J545" s="9" t="s">
        <v>42</v>
      </c>
      <c r="K545" s="9" t="s">
        <v>48</v>
      </c>
      <c r="L545" s="9" t="s">
        <v>49</v>
      </c>
      <c r="M545" s="0" t="s">
        <v>140</v>
      </c>
      <c r="N545" s="0" t="n">
        <v>927</v>
      </c>
      <c r="O545" s="10" t="n">
        <v>0.162372488295659</v>
      </c>
      <c r="P545" s="10" t="n">
        <v>0.0297887143678963</v>
      </c>
      <c r="Q545" s="0" t="str">
        <f aca="false">SUBSTITUTE(SUBSTITUTE($I545,CHAR(61),""),CHAR(34),"")</f>
        <v>25-34</v>
      </c>
      <c r="R545" s="0" t="str">
        <f aca="false">IF($D545&lt;&gt;"","["&amp;$E545&amp;"]"&amp;"|"&amp;$Q545&amp;"|"&amp;$K545&amp;"|"&amp;$G545&amp;"|"&amp;IF($G545="TX_CURR_SUBNAT.R","CY2022Q4",$M545),"")</f>
        <v>[fyEoGEPERdI]|25-34|Male|POP_EST.T_1|CY2023Q3</v>
      </c>
    </row>
    <row r="546" customFormat="false" ht="15" hidden="false" customHeight="false" outlineLevel="0" collapsed="false">
      <c r="D546" s="9" t="s">
        <v>84</v>
      </c>
      <c r="E546" s="9" t="s">
        <v>85</v>
      </c>
      <c r="F546" s="9" t="s">
        <v>86</v>
      </c>
      <c r="G546" s="9" t="s">
        <v>138</v>
      </c>
      <c r="H546" s="9" t="s">
        <v>139</v>
      </c>
      <c r="I546" s="0" t="s">
        <v>43</v>
      </c>
      <c r="J546" s="9" t="s">
        <v>44</v>
      </c>
      <c r="K546" s="9" t="s">
        <v>48</v>
      </c>
      <c r="L546" s="9" t="s">
        <v>49</v>
      </c>
      <c r="M546" s="0" t="s">
        <v>140</v>
      </c>
      <c r="N546" s="0" t="n">
        <v>1032</v>
      </c>
      <c r="O546" s="10" t="n">
        <v>0.336663292953745</v>
      </c>
      <c r="P546" s="10" t="n">
        <v>0.0297887143678963</v>
      </c>
      <c r="Q546" s="0" t="str">
        <f aca="false">SUBSTITUTE(SUBSTITUTE($I546,CHAR(61),""),CHAR(34),"")</f>
        <v>35-49</v>
      </c>
      <c r="R546" s="0" t="str">
        <f aca="false">IF($D546&lt;&gt;"","["&amp;$E546&amp;"]"&amp;"|"&amp;$Q546&amp;"|"&amp;$K546&amp;"|"&amp;$G546&amp;"|"&amp;IF($G546="TX_CURR_SUBNAT.R","CY2022Q4",$M546),"")</f>
        <v>[fyEoGEPERdI]|35-49|Male|POP_EST.T_1|CY2023Q3</v>
      </c>
    </row>
    <row r="547" customFormat="false" ht="15" hidden="false" customHeight="false" outlineLevel="0" collapsed="false">
      <c r="D547" s="9" t="s">
        <v>84</v>
      </c>
      <c r="E547" s="9" t="s">
        <v>85</v>
      </c>
      <c r="F547" s="9" t="s">
        <v>86</v>
      </c>
      <c r="G547" s="9" t="s">
        <v>138</v>
      </c>
      <c r="H547" s="9" t="s">
        <v>139</v>
      </c>
      <c r="I547" s="0" t="s">
        <v>45</v>
      </c>
      <c r="J547" s="9" t="s">
        <v>46</v>
      </c>
      <c r="K547" s="9" t="s">
        <v>48</v>
      </c>
      <c r="L547" s="9" t="s">
        <v>49</v>
      </c>
      <c r="M547" s="0" t="s">
        <v>140</v>
      </c>
      <c r="N547" s="0" t="n">
        <v>677</v>
      </c>
      <c r="O547" s="10" t="n">
        <v>0.700915833003819</v>
      </c>
      <c r="P547" s="10" t="n">
        <v>0.0297887143678963</v>
      </c>
      <c r="Q547" s="0" t="str">
        <f aca="false">SUBSTITUTE(SUBSTITUTE($I547,CHAR(61),""),CHAR(34),"")</f>
        <v>50+</v>
      </c>
      <c r="R547" s="0" t="str">
        <f aca="false">IF($D547&lt;&gt;"","["&amp;$E547&amp;"]"&amp;"|"&amp;$Q547&amp;"|"&amp;$K547&amp;"|"&amp;$G547&amp;"|"&amp;IF($G547="TX_CURR_SUBNAT.R","CY2022Q4",$M547),"")</f>
        <v>[fyEoGEPERdI]|50+|Male|POP_EST.T_1|CY2023Q3</v>
      </c>
    </row>
    <row r="548" customFormat="false" ht="15" hidden="false" customHeight="false" outlineLevel="0" collapsed="false">
      <c r="D548" s="9" t="s">
        <v>87</v>
      </c>
      <c r="E548" s="9" t="s">
        <v>88</v>
      </c>
      <c r="F548" s="9" t="s">
        <v>89</v>
      </c>
      <c r="G548" s="9" t="s">
        <v>138</v>
      </c>
      <c r="H548" s="9" t="s">
        <v>139</v>
      </c>
      <c r="I548" s="0" t="s">
        <v>28</v>
      </c>
      <c r="J548" s="9" t="s">
        <v>29</v>
      </c>
      <c r="K548" s="9" t="s">
        <v>30</v>
      </c>
      <c r="L548" s="9" t="s">
        <v>31</v>
      </c>
      <c r="M548" s="0" t="s">
        <v>140</v>
      </c>
      <c r="N548" s="0" t="n">
        <v>1038</v>
      </c>
      <c r="O548" s="10" t="n">
        <v>0.718290991149843</v>
      </c>
      <c r="P548" s="10" t="n">
        <v>0.133336380822584</v>
      </c>
      <c r="Q548" s="0" t="str">
        <f aca="false">SUBSTITUTE(SUBSTITUTE($I548,CHAR(61),""),CHAR(34),"")</f>
        <v>&lt;01</v>
      </c>
      <c r="R548" s="0" t="str">
        <f aca="false">IF($D548&lt;&gt;"","["&amp;$E548&amp;"]"&amp;"|"&amp;$Q548&amp;"|"&amp;$K548&amp;"|"&amp;$G548&amp;"|"&amp;IF($G548="TX_CURR_SUBNAT.R","CY2022Q4",$M548),"")</f>
        <v>[cPtvxaZqXIH]|&lt;01|Female|POP_EST.T_1|CY2023Q3</v>
      </c>
    </row>
    <row r="549" customFormat="false" ht="15" hidden="false" customHeight="false" outlineLevel="0" collapsed="false">
      <c r="D549" s="9" t="s">
        <v>87</v>
      </c>
      <c r="E549" s="9" t="s">
        <v>88</v>
      </c>
      <c r="F549" s="9" t="s">
        <v>89</v>
      </c>
      <c r="G549" s="9" t="s">
        <v>138</v>
      </c>
      <c r="H549" s="9" t="s">
        <v>139</v>
      </c>
      <c r="I549" s="0" t="s">
        <v>33</v>
      </c>
      <c r="J549" s="9" t="s">
        <v>34</v>
      </c>
      <c r="K549" s="9" t="s">
        <v>30</v>
      </c>
      <c r="L549" s="9" t="s">
        <v>31</v>
      </c>
      <c r="M549" s="0" t="s">
        <v>140</v>
      </c>
      <c r="N549" s="0" t="n">
        <v>1446</v>
      </c>
      <c r="O549" s="10" t="n">
        <v>0.166546175954863</v>
      </c>
      <c r="P549" s="10" t="n">
        <v>0.133336380822584</v>
      </c>
      <c r="Q549" s="0" t="str">
        <f aca="false">SUBSTITUTE(SUBSTITUTE($I549,CHAR(61),""),CHAR(34),"")</f>
        <v>01-09</v>
      </c>
      <c r="R549" s="0" t="str">
        <f aca="false">IF($D549&lt;&gt;"","["&amp;$E549&amp;"]"&amp;"|"&amp;$Q549&amp;"|"&amp;$K549&amp;"|"&amp;$G549&amp;"|"&amp;IF($G549="TX_CURR_SUBNAT.R","CY2022Q4",$M549),"")</f>
        <v>[cPtvxaZqXIH]|01-09|Female|POP_EST.T_1|CY2023Q3</v>
      </c>
    </row>
    <row r="550" customFormat="false" ht="15" hidden="false" customHeight="false" outlineLevel="0" collapsed="false">
      <c r="D550" s="9" t="s">
        <v>87</v>
      </c>
      <c r="E550" s="9" t="s">
        <v>88</v>
      </c>
      <c r="F550" s="9" t="s">
        <v>89</v>
      </c>
      <c r="G550" s="9" t="s">
        <v>138</v>
      </c>
      <c r="H550" s="9" t="s">
        <v>139</v>
      </c>
      <c r="I550" s="0" t="s">
        <v>36</v>
      </c>
      <c r="J550" s="9" t="s">
        <v>37</v>
      </c>
      <c r="K550" s="9" t="s">
        <v>30</v>
      </c>
      <c r="L550" s="9" t="s">
        <v>31</v>
      </c>
      <c r="M550" s="0" t="s">
        <v>140</v>
      </c>
      <c r="N550" s="0" t="n">
        <v>1865</v>
      </c>
      <c r="O550" s="10" t="n">
        <v>0.524804774671793</v>
      </c>
      <c r="P550" s="10" t="n">
        <v>0.133336380822584</v>
      </c>
      <c r="Q550" s="0" t="str">
        <f aca="false">SUBSTITUTE(SUBSTITUTE($I550,CHAR(61),""),CHAR(34),"")</f>
        <v>10-14</v>
      </c>
      <c r="R550" s="0" t="str">
        <f aca="false">IF($D550&lt;&gt;"","["&amp;$E550&amp;"]"&amp;"|"&amp;$Q550&amp;"|"&amp;$K550&amp;"|"&amp;$G550&amp;"|"&amp;IF($G550="TX_CURR_SUBNAT.R","CY2022Q4",$M550),"")</f>
        <v>[cPtvxaZqXIH]|10-14|Female|POP_EST.T_1|CY2023Q3</v>
      </c>
    </row>
    <row r="551" customFormat="false" ht="15" hidden="false" customHeight="false" outlineLevel="0" collapsed="false">
      <c r="D551" s="9" t="s">
        <v>87</v>
      </c>
      <c r="E551" s="9" t="s">
        <v>88</v>
      </c>
      <c r="F551" s="9" t="s">
        <v>89</v>
      </c>
      <c r="G551" s="9" t="s">
        <v>138</v>
      </c>
      <c r="H551" s="9" t="s">
        <v>139</v>
      </c>
      <c r="I551" s="0" t="s">
        <v>38</v>
      </c>
      <c r="J551" s="9" t="s">
        <v>39</v>
      </c>
      <c r="K551" s="9" t="s">
        <v>30</v>
      </c>
      <c r="L551" s="9" t="s">
        <v>31</v>
      </c>
      <c r="M551" s="0" t="s">
        <v>140</v>
      </c>
      <c r="N551" s="0" t="n">
        <v>1202</v>
      </c>
      <c r="O551" s="10" t="n">
        <v>0.356085063656792</v>
      </c>
      <c r="P551" s="10" t="n">
        <v>0.133336380822584</v>
      </c>
      <c r="Q551" s="0" t="str">
        <f aca="false">SUBSTITUTE(SUBSTITUTE($I551,CHAR(61),""),CHAR(34),"")</f>
        <v>15-24</v>
      </c>
      <c r="R551" s="0" t="str">
        <f aca="false">IF($D551&lt;&gt;"","["&amp;$E551&amp;"]"&amp;"|"&amp;$Q551&amp;"|"&amp;$K551&amp;"|"&amp;$G551&amp;"|"&amp;IF($G551="TX_CURR_SUBNAT.R","CY2022Q4",$M551),"")</f>
        <v>[cPtvxaZqXIH]|15-24|Female|POP_EST.T_1|CY2023Q3</v>
      </c>
    </row>
    <row r="552" customFormat="false" ht="15" hidden="false" customHeight="false" outlineLevel="0" collapsed="false">
      <c r="D552" s="9" t="s">
        <v>87</v>
      </c>
      <c r="E552" s="9" t="s">
        <v>88</v>
      </c>
      <c r="F552" s="9" t="s">
        <v>89</v>
      </c>
      <c r="G552" s="9" t="s">
        <v>138</v>
      </c>
      <c r="H552" s="9" t="s">
        <v>139</v>
      </c>
      <c r="I552" s="0" t="s">
        <v>41</v>
      </c>
      <c r="J552" s="9" t="s">
        <v>42</v>
      </c>
      <c r="K552" s="9" t="s">
        <v>30</v>
      </c>
      <c r="L552" s="9" t="s">
        <v>31</v>
      </c>
      <c r="M552" s="0" t="s">
        <v>140</v>
      </c>
      <c r="N552" s="0" t="n">
        <v>905</v>
      </c>
      <c r="O552" s="10" t="n">
        <v>0.397030317224562</v>
      </c>
      <c r="P552" s="10" t="n">
        <v>0.133336380822584</v>
      </c>
      <c r="Q552" s="0" t="str">
        <f aca="false">SUBSTITUTE(SUBSTITUTE($I552,CHAR(61),""),CHAR(34),"")</f>
        <v>25-34</v>
      </c>
      <c r="R552" s="0" t="str">
        <f aca="false">IF($D552&lt;&gt;"","["&amp;$E552&amp;"]"&amp;"|"&amp;$Q552&amp;"|"&amp;$K552&amp;"|"&amp;$G552&amp;"|"&amp;IF($G552="TX_CURR_SUBNAT.R","CY2022Q4",$M552),"")</f>
        <v>[cPtvxaZqXIH]|25-34|Female|POP_EST.T_1|CY2023Q3</v>
      </c>
    </row>
    <row r="553" customFormat="false" ht="15" hidden="false" customHeight="false" outlineLevel="0" collapsed="false">
      <c r="D553" s="9" t="s">
        <v>87</v>
      </c>
      <c r="E553" s="9" t="s">
        <v>88</v>
      </c>
      <c r="F553" s="9" t="s">
        <v>89</v>
      </c>
      <c r="G553" s="9" t="s">
        <v>138</v>
      </c>
      <c r="H553" s="9" t="s">
        <v>139</v>
      </c>
      <c r="I553" s="0" t="s">
        <v>43</v>
      </c>
      <c r="J553" s="9" t="s">
        <v>44</v>
      </c>
      <c r="K553" s="9" t="s">
        <v>30</v>
      </c>
      <c r="L553" s="9" t="s">
        <v>31</v>
      </c>
      <c r="M553" s="0" t="s">
        <v>140</v>
      </c>
      <c r="N553" s="0" t="n">
        <v>1416</v>
      </c>
      <c r="O553" s="10" t="n">
        <v>0.115715607302263</v>
      </c>
      <c r="P553" s="10" t="n">
        <v>0.133336380822584</v>
      </c>
      <c r="Q553" s="0" t="str">
        <f aca="false">SUBSTITUTE(SUBSTITUTE($I553,CHAR(61),""),CHAR(34),"")</f>
        <v>35-49</v>
      </c>
      <c r="R553" s="0" t="str">
        <f aca="false">IF($D553&lt;&gt;"","["&amp;$E553&amp;"]"&amp;"|"&amp;$Q553&amp;"|"&amp;$K553&amp;"|"&amp;$G553&amp;"|"&amp;IF($G553="TX_CURR_SUBNAT.R","CY2022Q4",$M553),"")</f>
        <v>[cPtvxaZqXIH]|35-49|Female|POP_EST.T_1|CY2023Q3</v>
      </c>
    </row>
    <row r="554" customFormat="false" ht="15" hidden="false" customHeight="false" outlineLevel="0" collapsed="false">
      <c r="D554" s="9" t="s">
        <v>87</v>
      </c>
      <c r="E554" s="9" t="s">
        <v>88</v>
      </c>
      <c r="F554" s="9" t="s">
        <v>89</v>
      </c>
      <c r="G554" s="9" t="s">
        <v>138</v>
      </c>
      <c r="H554" s="9" t="s">
        <v>139</v>
      </c>
      <c r="I554" s="0" t="s">
        <v>45</v>
      </c>
      <c r="J554" s="9" t="s">
        <v>46</v>
      </c>
      <c r="K554" s="9" t="s">
        <v>30</v>
      </c>
      <c r="L554" s="9" t="s">
        <v>31</v>
      </c>
      <c r="M554" s="0" t="s">
        <v>140</v>
      </c>
      <c r="N554" s="0" t="n">
        <v>1745</v>
      </c>
      <c r="O554" s="10" t="n">
        <v>0.981445693876594</v>
      </c>
      <c r="P554" s="10" t="n">
        <v>0.133336380822584</v>
      </c>
      <c r="Q554" s="0" t="str">
        <f aca="false">SUBSTITUTE(SUBSTITUTE($I554,CHAR(61),""),CHAR(34),"")</f>
        <v>50+</v>
      </c>
      <c r="R554" s="0" t="str">
        <f aca="false">IF($D554&lt;&gt;"","["&amp;$E554&amp;"]"&amp;"|"&amp;$Q554&amp;"|"&amp;$K554&amp;"|"&amp;$G554&amp;"|"&amp;IF($G554="TX_CURR_SUBNAT.R","CY2022Q4",$M554),"")</f>
        <v>[cPtvxaZqXIH]|50+|Female|POP_EST.T_1|CY2023Q3</v>
      </c>
    </row>
    <row r="555" customFormat="false" ht="15" hidden="false" customHeight="false" outlineLevel="0" collapsed="false">
      <c r="D555" s="9" t="s">
        <v>87</v>
      </c>
      <c r="E555" s="9" t="s">
        <v>88</v>
      </c>
      <c r="F555" s="9" t="s">
        <v>89</v>
      </c>
      <c r="G555" s="9" t="s">
        <v>138</v>
      </c>
      <c r="H555" s="9" t="s">
        <v>139</v>
      </c>
      <c r="I555" s="0" t="s">
        <v>28</v>
      </c>
      <c r="J555" s="9" t="s">
        <v>29</v>
      </c>
      <c r="K555" s="9" t="s">
        <v>48</v>
      </c>
      <c r="L555" s="9" t="s">
        <v>49</v>
      </c>
      <c r="M555" s="0" t="s">
        <v>140</v>
      </c>
      <c r="N555" s="0" t="n">
        <v>1937</v>
      </c>
      <c r="O555" s="10" t="n">
        <v>0.559473670786247</v>
      </c>
      <c r="P555" s="10" t="n">
        <v>0.133336380822584</v>
      </c>
      <c r="Q555" s="0" t="str">
        <f aca="false">SUBSTITUTE(SUBSTITUTE($I555,CHAR(61),""),CHAR(34),"")</f>
        <v>&lt;01</v>
      </c>
      <c r="R555" s="0" t="str">
        <f aca="false">IF($D555&lt;&gt;"","["&amp;$E555&amp;"]"&amp;"|"&amp;$Q555&amp;"|"&amp;$K555&amp;"|"&amp;$G555&amp;"|"&amp;IF($G555="TX_CURR_SUBNAT.R","CY2022Q4",$M555),"")</f>
        <v>[cPtvxaZqXIH]|&lt;01|Male|POP_EST.T_1|CY2023Q3</v>
      </c>
    </row>
    <row r="556" customFormat="false" ht="15" hidden="false" customHeight="false" outlineLevel="0" collapsed="false">
      <c r="D556" s="9" t="s">
        <v>87</v>
      </c>
      <c r="E556" s="9" t="s">
        <v>88</v>
      </c>
      <c r="F556" s="9" t="s">
        <v>89</v>
      </c>
      <c r="G556" s="9" t="s">
        <v>138</v>
      </c>
      <c r="H556" s="9" t="s">
        <v>139</v>
      </c>
      <c r="I556" s="0" t="s">
        <v>33</v>
      </c>
      <c r="J556" s="9" t="s">
        <v>34</v>
      </c>
      <c r="K556" s="9" t="s">
        <v>48</v>
      </c>
      <c r="L556" s="9" t="s">
        <v>49</v>
      </c>
      <c r="M556" s="0" t="s">
        <v>140</v>
      </c>
      <c r="N556" s="0" t="n">
        <v>1601</v>
      </c>
      <c r="O556" s="10" t="n">
        <v>0.589242868358269</v>
      </c>
      <c r="P556" s="10" t="n">
        <v>0.133336380822584</v>
      </c>
      <c r="Q556" s="0" t="str">
        <f aca="false">SUBSTITUTE(SUBSTITUTE($I556,CHAR(61),""),CHAR(34),"")</f>
        <v>01-09</v>
      </c>
      <c r="R556" s="0" t="str">
        <f aca="false">IF($D556&lt;&gt;"","["&amp;$E556&amp;"]"&amp;"|"&amp;$Q556&amp;"|"&amp;$K556&amp;"|"&amp;$G556&amp;"|"&amp;IF($G556="TX_CURR_SUBNAT.R","CY2022Q4",$M556),"")</f>
        <v>[cPtvxaZqXIH]|01-09|Male|POP_EST.T_1|CY2023Q3</v>
      </c>
    </row>
    <row r="557" customFormat="false" ht="15" hidden="false" customHeight="false" outlineLevel="0" collapsed="false">
      <c r="D557" s="9" t="s">
        <v>87</v>
      </c>
      <c r="E557" s="9" t="s">
        <v>88</v>
      </c>
      <c r="F557" s="9" t="s">
        <v>89</v>
      </c>
      <c r="G557" s="9" t="s">
        <v>138</v>
      </c>
      <c r="H557" s="9" t="s">
        <v>139</v>
      </c>
      <c r="I557" s="0" t="s">
        <v>36</v>
      </c>
      <c r="J557" s="9" t="s">
        <v>37</v>
      </c>
      <c r="K557" s="9" t="s">
        <v>48</v>
      </c>
      <c r="L557" s="9" t="s">
        <v>49</v>
      </c>
      <c r="M557" s="0" t="s">
        <v>140</v>
      </c>
      <c r="N557" s="0" t="n">
        <v>1978</v>
      </c>
      <c r="O557" s="10" t="n">
        <v>0.753993659745902</v>
      </c>
      <c r="P557" s="10" t="n">
        <v>0.133336380822584</v>
      </c>
      <c r="Q557" s="0" t="str">
        <f aca="false">SUBSTITUTE(SUBSTITUTE($I557,CHAR(61),""),CHAR(34),"")</f>
        <v>10-14</v>
      </c>
      <c r="R557" s="0" t="str">
        <f aca="false">IF($D557&lt;&gt;"","["&amp;$E557&amp;"]"&amp;"|"&amp;$Q557&amp;"|"&amp;$K557&amp;"|"&amp;$G557&amp;"|"&amp;IF($G557="TX_CURR_SUBNAT.R","CY2022Q4",$M557),"")</f>
        <v>[cPtvxaZqXIH]|10-14|Male|POP_EST.T_1|CY2023Q3</v>
      </c>
    </row>
    <row r="558" customFormat="false" ht="15" hidden="false" customHeight="false" outlineLevel="0" collapsed="false">
      <c r="D558" s="9" t="s">
        <v>87</v>
      </c>
      <c r="E558" s="9" t="s">
        <v>88</v>
      </c>
      <c r="F558" s="9" t="s">
        <v>89</v>
      </c>
      <c r="G558" s="9" t="s">
        <v>138</v>
      </c>
      <c r="H558" s="9" t="s">
        <v>139</v>
      </c>
      <c r="I558" s="0" t="s">
        <v>38</v>
      </c>
      <c r="J558" s="9" t="s">
        <v>39</v>
      </c>
      <c r="K558" s="9" t="s">
        <v>48</v>
      </c>
      <c r="L558" s="9" t="s">
        <v>49</v>
      </c>
      <c r="M558" s="0" t="s">
        <v>140</v>
      </c>
      <c r="N558" s="0" t="n">
        <v>1477</v>
      </c>
      <c r="O558" s="10" t="n">
        <v>0.370925802504644</v>
      </c>
      <c r="P558" s="10" t="n">
        <v>0.133336380822584</v>
      </c>
      <c r="Q558" s="0" t="str">
        <f aca="false">SUBSTITUTE(SUBSTITUTE($I558,CHAR(61),""),CHAR(34),"")</f>
        <v>15-24</v>
      </c>
      <c r="R558" s="0" t="str">
        <f aca="false">IF($D558&lt;&gt;"","["&amp;$E558&amp;"]"&amp;"|"&amp;$Q558&amp;"|"&amp;$K558&amp;"|"&amp;$G558&amp;"|"&amp;IF($G558="TX_CURR_SUBNAT.R","CY2022Q4",$M558),"")</f>
        <v>[cPtvxaZqXIH]|15-24|Male|POP_EST.T_1|CY2023Q3</v>
      </c>
    </row>
    <row r="559" customFormat="false" ht="15" hidden="false" customHeight="false" outlineLevel="0" collapsed="false">
      <c r="D559" s="9" t="s">
        <v>87</v>
      </c>
      <c r="E559" s="9" t="s">
        <v>88</v>
      </c>
      <c r="F559" s="9" t="s">
        <v>89</v>
      </c>
      <c r="G559" s="9" t="s">
        <v>138</v>
      </c>
      <c r="H559" s="9" t="s">
        <v>139</v>
      </c>
      <c r="I559" s="0" t="s">
        <v>41</v>
      </c>
      <c r="J559" s="9" t="s">
        <v>42</v>
      </c>
      <c r="K559" s="9" t="s">
        <v>48</v>
      </c>
      <c r="L559" s="9" t="s">
        <v>49</v>
      </c>
      <c r="M559" s="0" t="s">
        <v>140</v>
      </c>
      <c r="N559" s="0" t="n">
        <v>896</v>
      </c>
      <c r="O559" s="10" t="n">
        <v>0.279244966804981</v>
      </c>
      <c r="P559" s="10" t="n">
        <v>0.133336380822584</v>
      </c>
      <c r="Q559" s="0" t="str">
        <f aca="false">SUBSTITUTE(SUBSTITUTE($I559,CHAR(61),""),CHAR(34),"")</f>
        <v>25-34</v>
      </c>
      <c r="R559" s="0" t="str">
        <f aca="false">IF($D559&lt;&gt;"","["&amp;$E559&amp;"]"&amp;"|"&amp;$Q559&amp;"|"&amp;$K559&amp;"|"&amp;$G559&amp;"|"&amp;IF($G559="TX_CURR_SUBNAT.R","CY2022Q4",$M559),"")</f>
        <v>[cPtvxaZqXIH]|25-34|Male|POP_EST.T_1|CY2023Q3</v>
      </c>
    </row>
    <row r="560" customFormat="false" ht="15" hidden="false" customHeight="false" outlineLevel="0" collapsed="false">
      <c r="D560" s="9" t="s">
        <v>87</v>
      </c>
      <c r="E560" s="9" t="s">
        <v>88</v>
      </c>
      <c r="F560" s="9" t="s">
        <v>89</v>
      </c>
      <c r="G560" s="9" t="s">
        <v>138</v>
      </c>
      <c r="H560" s="9" t="s">
        <v>139</v>
      </c>
      <c r="I560" s="0" t="s">
        <v>43</v>
      </c>
      <c r="J560" s="9" t="s">
        <v>44</v>
      </c>
      <c r="K560" s="9" t="s">
        <v>48</v>
      </c>
      <c r="L560" s="9" t="s">
        <v>49</v>
      </c>
      <c r="M560" s="0" t="s">
        <v>140</v>
      </c>
      <c r="N560" s="0" t="n">
        <v>1038</v>
      </c>
      <c r="O560" s="10" t="n">
        <v>0.100373083958402</v>
      </c>
      <c r="P560" s="10" t="n">
        <v>0.133336380822584</v>
      </c>
      <c r="Q560" s="0" t="str">
        <f aca="false">SUBSTITUTE(SUBSTITUTE($I560,CHAR(61),""),CHAR(34),"")</f>
        <v>35-49</v>
      </c>
      <c r="R560" s="0" t="str">
        <f aca="false">IF($D560&lt;&gt;"","["&amp;$E560&amp;"]"&amp;"|"&amp;$Q560&amp;"|"&amp;$K560&amp;"|"&amp;$G560&amp;"|"&amp;IF($G560="TX_CURR_SUBNAT.R","CY2022Q4",$M560),"")</f>
        <v>[cPtvxaZqXIH]|35-49|Male|POP_EST.T_1|CY2023Q3</v>
      </c>
    </row>
    <row r="561" customFormat="false" ht="15" hidden="false" customHeight="false" outlineLevel="0" collapsed="false">
      <c r="D561" s="9" t="s">
        <v>87</v>
      </c>
      <c r="E561" s="9" t="s">
        <v>88</v>
      </c>
      <c r="F561" s="9" t="s">
        <v>89</v>
      </c>
      <c r="G561" s="9" t="s">
        <v>138</v>
      </c>
      <c r="H561" s="9" t="s">
        <v>139</v>
      </c>
      <c r="I561" s="0" t="s">
        <v>45</v>
      </c>
      <c r="J561" s="9" t="s">
        <v>46</v>
      </c>
      <c r="K561" s="9" t="s">
        <v>48</v>
      </c>
      <c r="L561" s="9" t="s">
        <v>49</v>
      </c>
      <c r="M561" s="0" t="s">
        <v>140</v>
      </c>
      <c r="N561" s="0" t="n">
        <v>891</v>
      </c>
      <c r="O561" s="10" t="n">
        <v>0.217947422061116</v>
      </c>
      <c r="P561" s="10" t="n">
        <v>0.133336380822584</v>
      </c>
      <c r="Q561" s="0" t="str">
        <f aca="false">SUBSTITUTE(SUBSTITUTE($I561,CHAR(61),""),CHAR(34),"")</f>
        <v>50+</v>
      </c>
      <c r="R561" s="0" t="str">
        <f aca="false">IF($D561&lt;&gt;"","["&amp;$E561&amp;"]"&amp;"|"&amp;$Q561&amp;"|"&amp;$K561&amp;"|"&amp;$G561&amp;"|"&amp;IF($G561="TX_CURR_SUBNAT.R","CY2022Q4",$M561),"")</f>
        <v>[cPtvxaZqXIH]|50+|Male|POP_EST.T_1|CY2023Q3</v>
      </c>
    </row>
    <row r="562" customFormat="false" ht="15" hidden="false" customHeight="false" outlineLevel="0" collapsed="false">
      <c r="D562" s="9" t="s">
        <v>90</v>
      </c>
      <c r="E562" s="9" t="s">
        <v>91</v>
      </c>
      <c r="F562" s="9" t="s">
        <v>92</v>
      </c>
      <c r="G562" s="9" t="s">
        <v>138</v>
      </c>
      <c r="H562" s="9" t="s">
        <v>139</v>
      </c>
      <c r="I562" s="0" t="s">
        <v>28</v>
      </c>
      <c r="J562" s="9" t="s">
        <v>29</v>
      </c>
      <c r="K562" s="9" t="s">
        <v>30</v>
      </c>
      <c r="L562" s="9" t="s">
        <v>31</v>
      </c>
      <c r="M562" s="0" t="s">
        <v>140</v>
      </c>
      <c r="N562" s="0" t="n">
        <v>1045</v>
      </c>
      <c r="O562" s="10" t="n">
        <v>0.376234073657542</v>
      </c>
      <c r="P562" s="10" t="n">
        <v>0.719914150424302</v>
      </c>
      <c r="Q562" s="0" t="str">
        <f aca="false">SUBSTITUTE(SUBSTITUTE($I562,CHAR(61),""),CHAR(34),"")</f>
        <v>&lt;01</v>
      </c>
      <c r="R562" s="0" t="str">
        <f aca="false">IF($D562&lt;&gt;"","["&amp;$E562&amp;"]"&amp;"|"&amp;$Q562&amp;"|"&amp;$K562&amp;"|"&amp;$G562&amp;"|"&amp;IF($G562="TX_CURR_SUBNAT.R","CY2022Q4",$M562),"")</f>
        <v>[AZyWpGzhcaA]|&lt;01|Female|POP_EST.T_1|CY2023Q3</v>
      </c>
    </row>
    <row r="563" customFormat="false" ht="15" hidden="false" customHeight="false" outlineLevel="0" collapsed="false">
      <c r="D563" s="9" t="s">
        <v>90</v>
      </c>
      <c r="E563" s="9" t="s">
        <v>91</v>
      </c>
      <c r="F563" s="9" t="s">
        <v>92</v>
      </c>
      <c r="G563" s="9" t="s">
        <v>138</v>
      </c>
      <c r="H563" s="9" t="s">
        <v>139</v>
      </c>
      <c r="I563" s="0" t="s">
        <v>33</v>
      </c>
      <c r="J563" s="9" t="s">
        <v>34</v>
      </c>
      <c r="K563" s="9" t="s">
        <v>30</v>
      </c>
      <c r="L563" s="9" t="s">
        <v>31</v>
      </c>
      <c r="M563" s="0" t="s">
        <v>140</v>
      </c>
      <c r="N563" s="0" t="n">
        <v>1929</v>
      </c>
      <c r="O563" s="10" t="n">
        <v>0.766279976116493</v>
      </c>
      <c r="P563" s="10" t="n">
        <v>0.719914150424302</v>
      </c>
      <c r="Q563" s="0" t="str">
        <f aca="false">SUBSTITUTE(SUBSTITUTE($I563,CHAR(61),""),CHAR(34),"")</f>
        <v>01-09</v>
      </c>
      <c r="R563" s="0" t="str">
        <f aca="false">IF($D563&lt;&gt;"","["&amp;$E563&amp;"]"&amp;"|"&amp;$Q563&amp;"|"&amp;$K563&amp;"|"&amp;$G563&amp;"|"&amp;IF($G563="TX_CURR_SUBNAT.R","CY2022Q4",$M563),"")</f>
        <v>[AZyWpGzhcaA]|01-09|Female|POP_EST.T_1|CY2023Q3</v>
      </c>
    </row>
    <row r="564" customFormat="false" ht="15" hidden="false" customHeight="false" outlineLevel="0" collapsed="false">
      <c r="D564" s="9" t="s">
        <v>90</v>
      </c>
      <c r="E564" s="9" t="s">
        <v>91</v>
      </c>
      <c r="F564" s="9" t="s">
        <v>92</v>
      </c>
      <c r="G564" s="9" t="s">
        <v>138</v>
      </c>
      <c r="H564" s="9" t="s">
        <v>139</v>
      </c>
      <c r="I564" s="0" t="s">
        <v>36</v>
      </c>
      <c r="J564" s="9" t="s">
        <v>37</v>
      </c>
      <c r="K564" s="9" t="s">
        <v>30</v>
      </c>
      <c r="L564" s="9" t="s">
        <v>31</v>
      </c>
      <c r="M564" s="0" t="s">
        <v>140</v>
      </c>
      <c r="N564" s="0" t="n">
        <v>678</v>
      </c>
      <c r="O564" s="10" t="n">
        <v>0.331609159242362</v>
      </c>
      <c r="P564" s="10" t="n">
        <v>0.719914150424302</v>
      </c>
      <c r="Q564" s="0" t="str">
        <f aca="false">SUBSTITUTE(SUBSTITUTE($I564,CHAR(61),""),CHAR(34),"")</f>
        <v>10-14</v>
      </c>
      <c r="R564" s="0" t="str">
        <f aca="false">IF($D564&lt;&gt;"","["&amp;$E564&amp;"]"&amp;"|"&amp;$Q564&amp;"|"&amp;$K564&amp;"|"&amp;$G564&amp;"|"&amp;IF($G564="TX_CURR_SUBNAT.R","CY2022Q4",$M564),"")</f>
        <v>[AZyWpGzhcaA]|10-14|Female|POP_EST.T_1|CY2023Q3</v>
      </c>
    </row>
    <row r="565" customFormat="false" ht="15" hidden="false" customHeight="false" outlineLevel="0" collapsed="false">
      <c r="D565" s="9" t="s">
        <v>90</v>
      </c>
      <c r="E565" s="9" t="s">
        <v>91</v>
      </c>
      <c r="F565" s="9" t="s">
        <v>92</v>
      </c>
      <c r="G565" s="9" t="s">
        <v>138</v>
      </c>
      <c r="H565" s="9" t="s">
        <v>139</v>
      </c>
      <c r="I565" s="0" t="s">
        <v>38</v>
      </c>
      <c r="J565" s="9" t="s">
        <v>39</v>
      </c>
      <c r="K565" s="9" t="s">
        <v>30</v>
      </c>
      <c r="L565" s="9" t="s">
        <v>31</v>
      </c>
      <c r="M565" s="0" t="s">
        <v>140</v>
      </c>
      <c r="N565" s="0" t="n">
        <v>794</v>
      </c>
      <c r="O565" s="10" t="n">
        <v>0.387149937218055</v>
      </c>
      <c r="P565" s="10" t="n">
        <v>0.719914150424302</v>
      </c>
      <c r="Q565" s="0" t="str">
        <f aca="false">SUBSTITUTE(SUBSTITUTE($I565,CHAR(61),""),CHAR(34),"")</f>
        <v>15-24</v>
      </c>
      <c r="R565" s="0" t="str">
        <f aca="false">IF($D565&lt;&gt;"","["&amp;$E565&amp;"]"&amp;"|"&amp;$Q565&amp;"|"&amp;$K565&amp;"|"&amp;$G565&amp;"|"&amp;IF($G565="TX_CURR_SUBNAT.R","CY2022Q4",$M565),"")</f>
        <v>[AZyWpGzhcaA]|15-24|Female|POP_EST.T_1|CY2023Q3</v>
      </c>
    </row>
    <row r="566" customFormat="false" ht="15" hidden="false" customHeight="false" outlineLevel="0" collapsed="false">
      <c r="D566" s="9" t="s">
        <v>90</v>
      </c>
      <c r="E566" s="9" t="s">
        <v>91</v>
      </c>
      <c r="F566" s="9" t="s">
        <v>92</v>
      </c>
      <c r="G566" s="9" t="s">
        <v>138</v>
      </c>
      <c r="H566" s="9" t="s">
        <v>139</v>
      </c>
      <c r="I566" s="0" t="s">
        <v>41</v>
      </c>
      <c r="J566" s="9" t="s">
        <v>42</v>
      </c>
      <c r="K566" s="9" t="s">
        <v>30</v>
      </c>
      <c r="L566" s="9" t="s">
        <v>31</v>
      </c>
      <c r="M566" s="0" t="s">
        <v>140</v>
      </c>
      <c r="N566" s="0" t="n">
        <v>1593</v>
      </c>
      <c r="O566" s="10" t="n">
        <v>0.669339220039546</v>
      </c>
      <c r="P566" s="10" t="n">
        <v>0.719914150424302</v>
      </c>
      <c r="Q566" s="0" t="str">
        <f aca="false">SUBSTITUTE(SUBSTITUTE($I566,CHAR(61),""),CHAR(34),"")</f>
        <v>25-34</v>
      </c>
      <c r="R566" s="0" t="str">
        <f aca="false">IF($D566&lt;&gt;"","["&amp;$E566&amp;"]"&amp;"|"&amp;$Q566&amp;"|"&amp;$K566&amp;"|"&amp;$G566&amp;"|"&amp;IF($G566="TX_CURR_SUBNAT.R","CY2022Q4",$M566),"")</f>
        <v>[AZyWpGzhcaA]|25-34|Female|POP_EST.T_1|CY2023Q3</v>
      </c>
    </row>
    <row r="567" customFormat="false" ht="15" hidden="false" customHeight="false" outlineLevel="0" collapsed="false">
      <c r="D567" s="9" t="s">
        <v>90</v>
      </c>
      <c r="E567" s="9" t="s">
        <v>91</v>
      </c>
      <c r="F567" s="9" t="s">
        <v>92</v>
      </c>
      <c r="G567" s="9" t="s">
        <v>138</v>
      </c>
      <c r="H567" s="9" t="s">
        <v>139</v>
      </c>
      <c r="I567" s="0" t="s">
        <v>43</v>
      </c>
      <c r="J567" s="9" t="s">
        <v>44</v>
      </c>
      <c r="K567" s="9" t="s">
        <v>30</v>
      </c>
      <c r="L567" s="9" t="s">
        <v>31</v>
      </c>
      <c r="M567" s="0" t="s">
        <v>140</v>
      </c>
      <c r="N567" s="0" t="n">
        <v>1620</v>
      </c>
      <c r="O567" s="10" t="n">
        <v>0.725689539453015</v>
      </c>
      <c r="P567" s="10" t="n">
        <v>0.719914150424302</v>
      </c>
      <c r="Q567" s="0" t="str">
        <f aca="false">SUBSTITUTE(SUBSTITUTE($I567,CHAR(61),""),CHAR(34),"")</f>
        <v>35-49</v>
      </c>
      <c r="R567" s="0" t="str">
        <f aca="false">IF($D567&lt;&gt;"","["&amp;$E567&amp;"]"&amp;"|"&amp;$Q567&amp;"|"&amp;$K567&amp;"|"&amp;$G567&amp;"|"&amp;IF($G567="TX_CURR_SUBNAT.R","CY2022Q4",$M567),"")</f>
        <v>[AZyWpGzhcaA]|35-49|Female|POP_EST.T_1|CY2023Q3</v>
      </c>
    </row>
    <row r="568" customFormat="false" ht="15" hidden="false" customHeight="false" outlineLevel="0" collapsed="false">
      <c r="D568" s="9" t="s">
        <v>90</v>
      </c>
      <c r="E568" s="9" t="s">
        <v>91</v>
      </c>
      <c r="F568" s="9" t="s">
        <v>92</v>
      </c>
      <c r="G568" s="9" t="s">
        <v>138</v>
      </c>
      <c r="H568" s="9" t="s">
        <v>139</v>
      </c>
      <c r="I568" s="0" t="s">
        <v>45</v>
      </c>
      <c r="J568" s="9" t="s">
        <v>46</v>
      </c>
      <c r="K568" s="9" t="s">
        <v>30</v>
      </c>
      <c r="L568" s="9" t="s">
        <v>31</v>
      </c>
      <c r="M568" s="0" t="s">
        <v>140</v>
      </c>
      <c r="N568" s="0" t="n">
        <v>524</v>
      </c>
      <c r="O568" s="10" t="n">
        <v>0.465472025098279</v>
      </c>
      <c r="P568" s="10" t="n">
        <v>0.719914150424302</v>
      </c>
      <c r="Q568" s="0" t="str">
        <f aca="false">SUBSTITUTE(SUBSTITUTE($I568,CHAR(61),""),CHAR(34),"")</f>
        <v>50+</v>
      </c>
      <c r="R568" s="0" t="str">
        <f aca="false">IF($D568&lt;&gt;"","["&amp;$E568&amp;"]"&amp;"|"&amp;$Q568&amp;"|"&amp;$K568&amp;"|"&amp;$G568&amp;"|"&amp;IF($G568="TX_CURR_SUBNAT.R","CY2022Q4",$M568),"")</f>
        <v>[AZyWpGzhcaA]|50+|Female|POP_EST.T_1|CY2023Q3</v>
      </c>
    </row>
    <row r="569" customFormat="false" ht="15" hidden="false" customHeight="false" outlineLevel="0" collapsed="false">
      <c r="D569" s="9" t="s">
        <v>90</v>
      </c>
      <c r="E569" s="9" t="s">
        <v>91</v>
      </c>
      <c r="F569" s="9" t="s">
        <v>92</v>
      </c>
      <c r="G569" s="9" t="s">
        <v>138</v>
      </c>
      <c r="H569" s="9" t="s">
        <v>139</v>
      </c>
      <c r="I569" s="0" t="s">
        <v>28</v>
      </c>
      <c r="J569" s="9" t="s">
        <v>29</v>
      </c>
      <c r="K569" s="9" t="s">
        <v>48</v>
      </c>
      <c r="L569" s="9" t="s">
        <v>49</v>
      </c>
      <c r="M569" s="0" t="s">
        <v>140</v>
      </c>
      <c r="N569" s="0" t="n">
        <v>641</v>
      </c>
      <c r="O569" s="10" t="n">
        <v>0.918740634107962</v>
      </c>
      <c r="P569" s="10" t="n">
        <v>0.719914150424302</v>
      </c>
      <c r="Q569" s="0" t="str">
        <f aca="false">SUBSTITUTE(SUBSTITUTE($I569,CHAR(61),""),CHAR(34),"")</f>
        <v>&lt;01</v>
      </c>
      <c r="R569" s="0" t="str">
        <f aca="false">IF($D569&lt;&gt;"","["&amp;$E569&amp;"]"&amp;"|"&amp;$Q569&amp;"|"&amp;$K569&amp;"|"&amp;$G569&amp;"|"&amp;IF($G569="TX_CURR_SUBNAT.R","CY2022Q4",$M569),"")</f>
        <v>[AZyWpGzhcaA]|&lt;01|Male|POP_EST.T_1|CY2023Q3</v>
      </c>
    </row>
    <row r="570" customFormat="false" ht="15" hidden="false" customHeight="false" outlineLevel="0" collapsed="false">
      <c r="D570" s="9" t="s">
        <v>90</v>
      </c>
      <c r="E570" s="9" t="s">
        <v>91</v>
      </c>
      <c r="F570" s="9" t="s">
        <v>92</v>
      </c>
      <c r="G570" s="9" t="s">
        <v>138</v>
      </c>
      <c r="H570" s="9" t="s">
        <v>139</v>
      </c>
      <c r="I570" s="0" t="s">
        <v>33</v>
      </c>
      <c r="J570" s="9" t="s">
        <v>34</v>
      </c>
      <c r="K570" s="9" t="s">
        <v>48</v>
      </c>
      <c r="L570" s="9" t="s">
        <v>49</v>
      </c>
      <c r="M570" s="0" t="s">
        <v>140</v>
      </c>
      <c r="N570" s="0" t="n">
        <v>1888</v>
      </c>
      <c r="O570" s="10" t="n">
        <v>0.150907285977155</v>
      </c>
      <c r="P570" s="10" t="n">
        <v>0.719914150424302</v>
      </c>
      <c r="Q570" s="0" t="str">
        <f aca="false">SUBSTITUTE(SUBSTITUTE($I570,CHAR(61),""),CHAR(34),"")</f>
        <v>01-09</v>
      </c>
      <c r="R570" s="0" t="str">
        <f aca="false">IF($D570&lt;&gt;"","["&amp;$E570&amp;"]"&amp;"|"&amp;$Q570&amp;"|"&amp;$K570&amp;"|"&amp;$G570&amp;"|"&amp;IF($G570="TX_CURR_SUBNAT.R","CY2022Q4",$M570),"")</f>
        <v>[AZyWpGzhcaA]|01-09|Male|POP_EST.T_1|CY2023Q3</v>
      </c>
    </row>
    <row r="571" customFormat="false" ht="15" hidden="false" customHeight="false" outlineLevel="0" collapsed="false">
      <c r="D571" s="9" t="s">
        <v>90</v>
      </c>
      <c r="E571" s="9" t="s">
        <v>91</v>
      </c>
      <c r="F571" s="9" t="s">
        <v>92</v>
      </c>
      <c r="G571" s="9" t="s">
        <v>138</v>
      </c>
      <c r="H571" s="9" t="s">
        <v>139</v>
      </c>
      <c r="I571" s="0" t="s">
        <v>36</v>
      </c>
      <c r="J571" s="9" t="s">
        <v>37</v>
      </c>
      <c r="K571" s="9" t="s">
        <v>48</v>
      </c>
      <c r="L571" s="9" t="s">
        <v>49</v>
      </c>
      <c r="M571" s="0" t="s">
        <v>140</v>
      </c>
      <c r="N571" s="0" t="n">
        <v>1714</v>
      </c>
      <c r="O571" s="10" t="n">
        <v>0.242991445353255</v>
      </c>
      <c r="P571" s="10" t="n">
        <v>0.719914150424302</v>
      </c>
      <c r="Q571" s="0" t="str">
        <f aca="false">SUBSTITUTE(SUBSTITUTE($I571,CHAR(61),""),CHAR(34),"")</f>
        <v>10-14</v>
      </c>
      <c r="R571" s="0" t="str">
        <f aca="false">IF($D571&lt;&gt;"","["&amp;$E571&amp;"]"&amp;"|"&amp;$Q571&amp;"|"&amp;$K571&amp;"|"&amp;$G571&amp;"|"&amp;IF($G571="TX_CURR_SUBNAT.R","CY2022Q4",$M571),"")</f>
        <v>[AZyWpGzhcaA]|10-14|Male|POP_EST.T_1|CY2023Q3</v>
      </c>
    </row>
    <row r="572" customFormat="false" ht="15" hidden="false" customHeight="false" outlineLevel="0" collapsed="false">
      <c r="D572" s="9" t="s">
        <v>90</v>
      </c>
      <c r="E572" s="9" t="s">
        <v>91</v>
      </c>
      <c r="F572" s="9" t="s">
        <v>92</v>
      </c>
      <c r="G572" s="9" t="s">
        <v>138</v>
      </c>
      <c r="H572" s="9" t="s">
        <v>139</v>
      </c>
      <c r="I572" s="0" t="s">
        <v>38</v>
      </c>
      <c r="J572" s="9" t="s">
        <v>39</v>
      </c>
      <c r="K572" s="9" t="s">
        <v>48</v>
      </c>
      <c r="L572" s="9" t="s">
        <v>49</v>
      </c>
      <c r="M572" s="0" t="s">
        <v>140</v>
      </c>
      <c r="N572" s="0" t="n">
        <v>1600</v>
      </c>
      <c r="O572" s="10" t="n">
        <v>0.0541828435380012</v>
      </c>
      <c r="P572" s="10" t="n">
        <v>0.719914150424302</v>
      </c>
      <c r="Q572" s="0" t="str">
        <f aca="false">SUBSTITUTE(SUBSTITUTE($I572,CHAR(61),""),CHAR(34),"")</f>
        <v>15-24</v>
      </c>
      <c r="R572" s="0" t="str">
        <f aca="false">IF($D572&lt;&gt;"","["&amp;$E572&amp;"]"&amp;"|"&amp;$Q572&amp;"|"&amp;$K572&amp;"|"&amp;$G572&amp;"|"&amp;IF($G572="TX_CURR_SUBNAT.R","CY2022Q4",$M572),"")</f>
        <v>[AZyWpGzhcaA]|15-24|Male|POP_EST.T_1|CY2023Q3</v>
      </c>
    </row>
    <row r="573" customFormat="false" ht="15" hidden="false" customHeight="false" outlineLevel="0" collapsed="false">
      <c r="D573" s="9" t="s">
        <v>90</v>
      </c>
      <c r="E573" s="9" t="s">
        <v>91</v>
      </c>
      <c r="F573" s="9" t="s">
        <v>92</v>
      </c>
      <c r="G573" s="9" t="s">
        <v>138</v>
      </c>
      <c r="H573" s="9" t="s">
        <v>139</v>
      </c>
      <c r="I573" s="0" t="s">
        <v>41</v>
      </c>
      <c r="J573" s="9" t="s">
        <v>42</v>
      </c>
      <c r="K573" s="9" t="s">
        <v>48</v>
      </c>
      <c r="L573" s="9" t="s">
        <v>49</v>
      </c>
      <c r="M573" s="0" t="s">
        <v>140</v>
      </c>
      <c r="N573" s="0" t="n">
        <v>774</v>
      </c>
      <c r="O573" s="10" t="n">
        <v>0.516412993893027</v>
      </c>
      <c r="P573" s="10" t="n">
        <v>0.719914150424302</v>
      </c>
      <c r="Q573" s="0" t="str">
        <f aca="false">SUBSTITUTE(SUBSTITUTE($I573,CHAR(61),""),CHAR(34),"")</f>
        <v>25-34</v>
      </c>
      <c r="R573" s="0" t="str">
        <f aca="false">IF($D573&lt;&gt;"","["&amp;$E573&amp;"]"&amp;"|"&amp;$Q573&amp;"|"&amp;$K573&amp;"|"&amp;$G573&amp;"|"&amp;IF($G573="TX_CURR_SUBNAT.R","CY2022Q4",$M573),"")</f>
        <v>[AZyWpGzhcaA]|25-34|Male|POP_EST.T_1|CY2023Q3</v>
      </c>
    </row>
    <row r="574" customFormat="false" ht="15" hidden="false" customHeight="false" outlineLevel="0" collapsed="false">
      <c r="D574" s="9" t="s">
        <v>90</v>
      </c>
      <c r="E574" s="9" t="s">
        <v>91</v>
      </c>
      <c r="F574" s="9" t="s">
        <v>92</v>
      </c>
      <c r="G574" s="9" t="s">
        <v>138</v>
      </c>
      <c r="H574" s="9" t="s">
        <v>139</v>
      </c>
      <c r="I574" s="0" t="s">
        <v>43</v>
      </c>
      <c r="J574" s="9" t="s">
        <v>44</v>
      </c>
      <c r="K574" s="9" t="s">
        <v>48</v>
      </c>
      <c r="L574" s="9" t="s">
        <v>49</v>
      </c>
      <c r="M574" s="0" t="s">
        <v>140</v>
      </c>
      <c r="N574" s="0" t="n">
        <v>1355</v>
      </c>
      <c r="O574" s="10" t="n">
        <v>0.319228004897013</v>
      </c>
      <c r="P574" s="10" t="n">
        <v>0.719914150424302</v>
      </c>
      <c r="Q574" s="0" t="str">
        <f aca="false">SUBSTITUTE(SUBSTITUTE($I574,CHAR(61),""),CHAR(34),"")</f>
        <v>35-49</v>
      </c>
      <c r="R574" s="0" t="str">
        <f aca="false">IF($D574&lt;&gt;"","["&amp;$E574&amp;"]"&amp;"|"&amp;$Q574&amp;"|"&amp;$K574&amp;"|"&amp;$G574&amp;"|"&amp;IF($G574="TX_CURR_SUBNAT.R","CY2022Q4",$M574),"")</f>
        <v>[AZyWpGzhcaA]|35-49|Male|POP_EST.T_1|CY2023Q3</v>
      </c>
    </row>
    <row r="575" customFormat="false" ht="15" hidden="false" customHeight="false" outlineLevel="0" collapsed="false">
      <c r="D575" s="9" t="s">
        <v>90</v>
      </c>
      <c r="E575" s="9" t="s">
        <v>91</v>
      </c>
      <c r="F575" s="9" t="s">
        <v>92</v>
      </c>
      <c r="G575" s="9" t="s">
        <v>138</v>
      </c>
      <c r="H575" s="9" t="s">
        <v>139</v>
      </c>
      <c r="I575" s="0" t="s">
        <v>45</v>
      </c>
      <c r="J575" s="9" t="s">
        <v>46</v>
      </c>
      <c r="K575" s="9" t="s">
        <v>48</v>
      </c>
      <c r="L575" s="9" t="s">
        <v>49</v>
      </c>
      <c r="M575" s="0" t="s">
        <v>140</v>
      </c>
      <c r="N575" s="0" t="n">
        <v>661</v>
      </c>
      <c r="O575" s="10" t="n">
        <v>0.629418096272275</v>
      </c>
      <c r="P575" s="10" t="n">
        <v>0.719914150424302</v>
      </c>
      <c r="Q575" s="0" t="str">
        <f aca="false">SUBSTITUTE(SUBSTITUTE($I575,CHAR(61),""),CHAR(34),"")</f>
        <v>50+</v>
      </c>
      <c r="R575" s="0" t="str">
        <f aca="false">IF($D575&lt;&gt;"","["&amp;$E575&amp;"]"&amp;"|"&amp;$Q575&amp;"|"&amp;$K575&amp;"|"&amp;$G575&amp;"|"&amp;IF($G575="TX_CURR_SUBNAT.R","CY2022Q4",$M575),"")</f>
        <v>[AZyWpGzhcaA]|50+|Male|POP_EST.T_1|CY2023Q3</v>
      </c>
    </row>
    <row r="576" customFormat="false" ht="15" hidden="false" customHeight="false" outlineLevel="0" collapsed="false">
      <c r="D576" s="9" t="s">
        <v>93</v>
      </c>
      <c r="E576" s="9" t="s">
        <v>94</v>
      </c>
      <c r="F576" s="9" t="s">
        <v>95</v>
      </c>
      <c r="G576" s="9" t="s">
        <v>138</v>
      </c>
      <c r="H576" s="9" t="s">
        <v>139</v>
      </c>
      <c r="I576" s="0" t="s">
        <v>28</v>
      </c>
      <c r="J576" s="9" t="s">
        <v>29</v>
      </c>
      <c r="K576" s="9" t="s">
        <v>30</v>
      </c>
      <c r="L576" s="9" t="s">
        <v>31</v>
      </c>
      <c r="M576" s="0" t="s">
        <v>140</v>
      </c>
      <c r="N576" s="0" t="n">
        <v>732</v>
      </c>
      <c r="O576" s="10" t="n">
        <v>0.832714644959196</v>
      </c>
      <c r="P576" s="10" t="n">
        <v>0.362272296566516</v>
      </c>
      <c r="Q576" s="0" t="str">
        <f aca="false">SUBSTITUTE(SUBSTITUTE($I576,CHAR(61),""),CHAR(34),"")</f>
        <v>&lt;01</v>
      </c>
      <c r="R576" s="0" t="str">
        <f aca="false">IF($D576&lt;&gt;"","["&amp;$E576&amp;"]"&amp;"|"&amp;$Q576&amp;"|"&amp;$K576&amp;"|"&amp;$G576&amp;"|"&amp;IF($G576="TX_CURR_SUBNAT.R","CY2022Q4",$M576),"")</f>
        <v>[umc2n1Z4wNv]|&lt;01|Female|POP_EST.T_1|CY2023Q3</v>
      </c>
    </row>
    <row r="577" customFormat="false" ht="15" hidden="false" customHeight="false" outlineLevel="0" collapsed="false">
      <c r="D577" s="9" t="s">
        <v>93</v>
      </c>
      <c r="E577" s="9" t="s">
        <v>94</v>
      </c>
      <c r="F577" s="9" t="s">
        <v>95</v>
      </c>
      <c r="G577" s="9" t="s">
        <v>138</v>
      </c>
      <c r="H577" s="9" t="s">
        <v>139</v>
      </c>
      <c r="I577" s="0" t="s">
        <v>33</v>
      </c>
      <c r="J577" s="9" t="s">
        <v>34</v>
      </c>
      <c r="K577" s="9" t="s">
        <v>30</v>
      </c>
      <c r="L577" s="9" t="s">
        <v>31</v>
      </c>
      <c r="M577" s="0" t="s">
        <v>140</v>
      </c>
      <c r="N577" s="0" t="n">
        <v>1172</v>
      </c>
      <c r="O577" s="10" t="n">
        <v>0.784881386673078</v>
      </c>
      <c r="P577" s="10" t="n">
        <v>0.362272296566516</v>
      </c>
      <c r="Q577" s="0" t="str">
        <f aca="false">SUBSTITUTE(SUBSTITUTE($I577,CHAR(61),""),CHAR(34),"")</f>
        <v>01-09</v>
      </c>
      <c r="R577" s="0" t="str">
        <f aca="false">IF($D577&lt;&gt;"","["&amp;$E577&amp;"]"&amp;"|"&amp;$Q577&amp;"|"&amp;$K577&amp;"|"&amp;$G577&amp;"|"&amp;IF($G577="TX_CURR_SUBNAT.R","CY2022Q4",$M577),"")</f>
        <v>[umc2n1Z4wNv]|01-09|Female|POP_EST.T_1|CY2023Q3</v>
      </c>
    </row>
    <row r="578" customFormat="false" ht="15" hidden="false" customHeight="false" outlineLevel="0" collapsed="false">
      <c r="D578" s="9" t="s">
        <v>93</v>
      </c>
      <c r="E578" s="9" t="s">
        <v>94</v>
      </c>
      <c r="F578" s="9" t="s">
        <v>95</v>
      </c>
      <c r="G578" s="9" t="s">
        <v>138</v>
      </c>
      <c r="H578" s="9" t="s">
        <v>139</v>
      </c>
      <c r="I578" s="0" t="s">
        <v>36</v>
      </c>
      <c r="J578" s="9" t="s">
        <v>37</v>
      </c>
      <c r="K578" s="9" t="s">
        <v>30</v>
      </c>
      <c r="L578" s="9" t="s">
        <v>31</v>
      </c>
      <c r="M578" s="0" t="s">
        <v>140</v>
      </c>
      <c r="N578" s="0" t="n">
        <v>950</v>
      </c>
      <c r="O578" s="10" t="n">
        <v>0.788116892566904</v>
      </c>
      <c r="P578" s="10" t="n">
        <v>0.362272296566516</v>
      </c>
      <c r="Q578" s="0" t="str">
        <f aca="false">SUBSTITUTE(SUBSTITUTE($I578,CHAR(61),""),CHAR(34),"")</f>
        <v>10-14</v>
      </c>
      <c r="R578" s="0" t="str">
        <f aca="false">IF($D578&lt;&gt;"","["&amp;$E578&amp;"]"&amp;"|"&amp;$Q578&amp;"|"&amp;$K578&amp;"|"&amp;$G578&amp;"|"&amp;IF($G578="TX_CURR_SUBNAT.R","CY2022Q4",$M578),"")</f>
        <v>[umc2n1Z4wNv]|10-14|Female|POP_EST.T_1|CY2023Q3</v>
      </c>
    </row>
    <row r="579" customFormat="false" ht="15" hidden="false" customHeight="false" outlineLevel="0" collapsed="false">
      <c r="D579" s="9" t="s">
        <v>93</v>
      </c>
      <c r="E579" s="9" t="s">
        <v>94</v>
      </c>
      <c r="F579" s="9" t="s">
        <v>95</v>
      </c>
      <c r="G579" s="9" t="s">
        <v>138</v>
      </c>
      <c r="H579" s="9" t="s">
        <v>139</v>
      </c>
      <c r="I579" s="0" t="s">
        <v>38</v>
      </c>
      <c r="J579" s="9" t="s">
        <v>39</v>
      </c>
      <c r="K579" s="9" t="s">
        <v>30</v>
      </c>
      <c r="L579" s="9" t="s">
        <v>31</v>
      </c>
      <c r="M579" s="0" t="s">
        <v>140</v>
      </c>
      <c r="N579" s="0" t="n">
        <v>1061</v>
      </c>
      <c r="O579" s="10" t="n">
        <v>0.967302281875163</v>
      </c>
      <c r="P579" s="10" t="n">
        <v>0.362272296566516</v>
      </c>
      <c r="Q579" s="0" t="str">
        <f aca="false">SUBSTITUTE(SUBSTITUTE($I579,CHAR(61),""),CHAR(34),"")</f>
        <v>15-24</v>
      </c>
      <c r="R579" s="0" t="str">
        <f aca="false">IF($D579&lt;&gt;"","["&amp;$E579&amp;"]"&amp;"|"&amp;$Q579&amp;"|"&amp;$K579&amp;"|"&amp;$G579&amp;"|"&amp;IF($G579="TX_CURR_SUBNAT.R","CY2022Q4",$M579),"")</f>
        <v>[umc2n1Z4wNv]|15-24|Female|POP_EST.T_1|CY2023Q3</v>
      </c>
    </row>
    <row r="580" customFormat="false" ht="15" hidden="false" customHeight="false" outlineLevel="0" collapsed="false">
      <c r="D580" s="9" t="s">
        <v>93</v>
      </c>
      <c r="E580" s="9" t="s">
        <v>94</v>
      </c>
      <c r="F580" s="9" t="s">
        <v>95</v>
      </c>
      <c r="G580" s="9" t="s">
        <v>138</v>
      </c>
      <c r="H580" s="9" t="s">
        <v>139</v>
      </c>
      <c r="I580" s="0" t="s">
        <v>41</v>
      </c>
      <c r="J580" s="9" t="s">
        <v>42</v>
      </c>
      <c r="K580" s="9" t="s">
        <v>30</v>
      </c>
      <c r="L580" s="9" t="s">
        <v>31</v>
      </c>
      <c r="M580" s="0" t="s">
        <v>140</v>
      </c>
      <c r="N580" s="0" t="n">
        <v>947</v>
      </c>
      <c r="O580" s="10" t="n">
        <v>0.188123750500381</v>
      </c>
      <c r="P580" s="10" t="n">
        <v>0.362272296566516</v>
      </c>
      <c r="Q580" s="0" t="str">
        <f aca="false">SUBSTITUTE(SUBSTITUTE($I580,CHAR(61),""),CHAR(34),"")</f>
        <v>25-34</v>
      </c>
      <c r="R580" s="0" t="str">
        <f aca="false">IF($D580&lt;&gt;"","["&amp;$E580&amp;"]"&amp;"|"&amp;$Q580&amp;"|"&amp;$K580&amp;"|"&amp;$G580&amp;"|"&amp;IF($G580="TX_CURR_SUBNAT.R","CY2022Q4",$M580),"")</f>
        <v>[umc2n1Z4wNv]|25-34|Female|POP_EST.T_1|CY2023Q3</v>
      </c>
    </row>
    <row r="581" customFormat="false" ht="15" hidden="false" customHeight="false" outlineLevel="0" collapsed="false">
      <c r="D581" s="9" t="s">
        <v>93</v>
      </c>
      <c r="E581" s="9" t="s">
        <v>94</v>
      </c>
      <c r="F581" s="9" t="s">
        <v>95</v>
      </c>
      <c r="G581" s="9" t="s">
        <v>138</v>
      </c>
      <c r="H581" s="9" t="s">
        <v>139</v>
      </c>
      <c r="I581" s="0" t="s">
        <v>43</v>
      </c>
      <c r="J581" s="9" t="s">
        <v>44</v>
      </c>
      <c r="K581" s="9" t="s">
        <v>30</v>
      </c>
      <c r="L581" s="9" t="s">
        <v>31</v>
      </c>
      <c r="M581" s="0" t="s">
        <v>140</v>
      </c>
      <c r="N581" s="0" t="n">
        <v>947</v>
      </c>
      <c r="O581" s="10" t="n">
        <v>0.846855689771473</v>
      </c>
      <c r="P581" s="10" t="n">
        <v>0.362272296566516</v>
      </c>
      <c r="Q581" s="0" t="str">
        <f aca="false">SUBSTITUTE(SUBSTITUTE($I581,CHAR(61),""),CHAR(34),"")</f>
        <v>35-49</v>
      </c>
      <c r="R581" s="0" t="str">
        <f aca="false">IF($D581&lt;&gt;"","["&amp;$E581&amp;"]"&amp;"|"&amp;$Q581&amp;"|"&amp;$K581&amp;"|"&amp;$G581&amp;"|"&amp;IF($G581="TX_CURR_SUBNAT.R","CY2022Q4",$M581),"")</f>
        <v>[umc2n1Z4wNv]|35-49|Female|POP_EST.T_1|CY2023Q3</v>
      </c>
    </row>
    <row r="582" customFormat="false" ht="15" hidden="false" customHeight="false" outlineLevel="0" collapsed="false">
      <c r="D582" s="9" t="s">
        <v>93</v>
      </c>
      <c r="E582" s="9" t="s">
        <v>94</v>
      </c>
      <c r="F582" s="9" t="s">
        <v>95</v>
      </c>
      <c r="G582" s="9" t="s">
        <v>138</v>
      </c>
      <c r="H582" s="9" t="s">
        <v>139</v>
      </c>
      <c r="I582" s="0" t="s">
        <v>45</v>
      </c>
      <c r="J582" s="9" t="s">
        <v>46</v>
      </c>
      <c r="K582" s="9" t="s">
        <v>30</v>
      </c>
      <c r="L582" s="9" t="s">
        <v>31</v>
      </c>
      <c r="M582" s="0" t="s">
        <v>140</v>
      </c>
      <c r="N582" s="0" t="n">
        <v>1949</v>
      </c>
      <c r="O582" s="10" t="n">
        <v>0.81670611537993</v>
      </c>
      <c r="P582" s="10" t="n">
        <v>0.362272296566516</v>
      </c>
      <c r="Q582" s="0" t="str">
        <f aca="false">SUBSTITUTE(SUBSTITUTE($I582,CHAR(61),""),CHAR(34),"")</f>
        <v>50+</v>
      </c>
      <c r="R582" s="0" t="str">
        <f aca="false">IF($D582&lt;&gt;"","["&amp;$E582&amp;"]"&amp;"|"&amp;$Q582&amp;"|"&amp;$K582&amp;"|"&amp;$G582&amp;"|"&amp;IF($G582="TX_CURR_SUBNAT.R","CY2022Q4",$M582),"")</f>
        <v>[umc2n1Z4wNv]|50+|Female|POP_EST.T_1|CY2023Q3</v>
      </c>
    </row>
    <row r="583" customFormat="false" ht="15" hidden="false" customHeight="false" outlineLevel="0" collapsed="false">
      <c r="D583" s="9" t="s">
        <v>93</v>
      </c>
      <c r="E583" s="9" t="s">
        <v>94</v>
      </c>
      <c r="F583" s="9" t="s">
        <v>95</v>
      </c>
      <c r="G583" s="9" t="s">
        <v>138</v>
      </c>
      <c r="H583" s="9" t="s">
        <v>139</v>
      </c>
      <c r="I583" s="0" t="s">
        <v>28</v>
      </c>
      <c r="J583" s="9" t="s">
        <v>29</v>
      </c>
      <c r="K583" s="9" t="s">
        <v>48</v>
      </c>
      <c r="L583" s="9" t="s">
        <v>49</v>
      </c>
      <c r="M583" s="0" t="s">
        <v>140</v>
      </c>
      <c r="N583" s="0" t="n">
        <v>677</v>
      </c>
      <c r="O583" s="10" t="n">
        <v>0.129562379792333</v>
      </c>
      <c r="P583" s="10" t="n">
        <v>0.362272296566516</v>
      </c>
      <c r="Q583" s="0" t="str">
        <f aca="false">SUBSTITUTE(SUBSTITUTE($I583,CHAR(61),""),CHAR(34),"")</f>
        <v>&lt;01</v>
      </c>
      <c r="R583" s="0" t="str">
        <f aca="false">IF($D583&lt;&gt;"","["&amp;$E583&amp;"]"&amp;"|"&amp;$Q583&amp;"|"&amp;$K583&amp;"|"&amp;$G583&amp;"|"&amp;IF($G583="TX_CURR_SUBNAT.R","CY2022Q4",$M583),"")</f>
        <v>[umc2n1Z4wNv]|&lt;01|Male|POP_EST.T_1|CY2023Q3</v>
      </c>
    </row>
    <row r="584" customFormat="false" ht="15" hidden="false" customHeight="false" outlineLevel="0" collapsed="false">
      <c r="D584" s="9" t="s">
        <v>93</v>
      </c>
      <c r="E584" s="9" t="s">
        <v>94</v>
      </c>
      <c r="F584" s="9" t="s">
        <v>95</v>
      </c>
      <c r="G584" s="9" t="s">
        <v>138</v>
      </c>
      <c r="H584" s="9" t="s">
        <v>139</v>
      </c>
      <c r="I584" s="0" t="s">
        <v>33</v>
      </c>
      <c r="J584" s="9" t="s">
        <v>34</v>
      </c>
      <c r="K584" s="9" t="s">
        <v>48</v>
      </c>
      <c r="L584" s="9" t="s">
        <v>49</v>
      </c>
      <c r="M584" s="0" t="s">
        <v>140</v>
      </c>
      <c r="N584" s="0" t="n">
        <v>1426</v>
      </c>
      <c r="O584" s="10" t="n">
        <v>0.507026953389868</v>
      </c>
      <c r="P584" s="10" t="n">
        <v>0.362272296566516</v>
      </c>
      <c r="Q584" s="0" t="str">
        <f aca="false">SUBSTITUTE(SUBSTITUTE($I584,CHAR(61),""),CHAR(34),"")</f>
        <v>01-09</v>
      </c>
      <c r="R584" s="0" t="str">
        <f aca="false">IF($D584&lt;&gt;"","["&amp;$E584&amp;"]"&amp;"|"&amp;$Q584&amp;"|"&amp;$K584&amp;"|"&amp;$G584&amp;"|"&amp;IF($G584="TX_CURR_SUBNAT.R","CY2022Q4",$M584),"")</f>
        <v>[umc2n1Z4wNv]|01-09|Male|POP_EST.T_1|CY2023Q3</v>
      </c>
    </row>
    <row r="585" customFormat="false" ht="15" hidden="false" customHeight="false" outlineLevel="0" collapsed="false">
      <c r="D585" s="9" t="s">
        <v>93</v>
      </c>
      <c r="E585" s="9" t="s">
        <v>94</v>
      </c>
      <c r="F585" s="9" t="s">
        <v>95</v>
      </c>
      <c r="G585" s="9" t="s">
        <v>138</v>
      </c>
      <c r="H585" s="9" t="s">
        <v>139</v>
      </c>
      <c r="I585" s="0" t="s">
        <v>36</v>
      </c>
      <c r="J585" s="9" t="s">
        <v>37</v>
      </c>
      <c r="K585" s="9" t="s">
        <v>48</v>
      </c>
      <c r="L585" s="9" t="s">
        <v>49</v>
      </c>
      <c r="M585" s="0" t="s">
        <v>140</v>
      </c>
      <c r="N585" s="0" t="n">
        <v>1053</v>
      </c>
      <c r="O585" s="10" t="n">
        <v>0.856650495203212</v>
      </c>
      <c r="P585" s="10" t="n">
        <v>0.362272296566516</v>
      </c>
      <c r="Q585" s="0" t="str">
        <f aca="false">SUBSTITUTE(SUBSTITUTE($I585,CHAR(61),""),CHAR(34),"")</f>
        <v>10-14</v>
      </c>
      <c r="R585" s="0" t="str">
        <f aca="false">IF($D585&lt;&gt;"","["&amp;$E585&amp;"]"&amp;"|"&amp;$Q585&amp;"|"&amp;$K585&amp;"|"&amp;$G585&amp;"|"&amp;IF($G585="TX_CURR_SUBNAT.R","CY2022Q4",$M585),"")</f>
        <v>[umc2n1Z4wNv]|10-14|Male|POP_EST.T_1|CY2023Q3</v>
      </c>
    </row>
    <row r="586" customFormat="false" ht="15" hidden="false" customHeight="false" outlineLevel="0" collapsed="false">
      <c r="D586" s="9" t="s">
        <v>93</v>
      </c>
      <c r="E586" s="9" t="s">
        <v>94</v>
      </c>
      <c r="F586" s="9" t="s">
        <v>95</v>
      </c>
      <c r="G586" s="9" t="s">
        <v>138</v>
      </c>
      <c r="H586" s="9" t="s">
        <v>139</v>
      </c>
      <c r="I586" s="0" t="s">
        <v>38</v>
      </c>
      <c r="J586" s="9" t="s">
        <v>39</v>
      </c>
      <c r="K586" s="9" t="s">
        <v>48</v>
      </c>
      <c r="L586" s="9" t="s">
        <v>49</v>
      </c>
      <c r="M586" s="0" t="s">
        <v>140</v>
      </c>
      <c r="N586" s="0" t="n">
        <v>1226</v>
      </c>
      <c r="O586" s="10" t="n">
        <v>0.0241674978751689</v>
      </c>
      <c r="P586" s="10" t="n">
        <v>0.362272296566516</v>
      </c>
      <c r="Q586" s="0" t="str">
        <f aca="false">SUBSTITUTE(SUBSTITUTE($I586,CHAR(61),""),CHAR(34),"")</f>
        <v>15-24</v>
      </c>
      <c r="R586" s="0" t="str">
        <f aca="false">IF($D586&lt;&gt;"","["&amp;$E586&amp;"]"&amp;"|"&amp;$Q586&amp;"|"&amp;$K586&amp;"|"&amp;$G586&amp;"|"&amp;IF($G586="TX_CURR_SUBNAT.R","CY2022Q4",$M586),"")</f>
        <v>[umc2n1Z4wNv]|15-24|Male|POP_EST.T_1|CY2023Q3</v>
      </c>
    </row>
    <row r="587" customFormat="false" ht="15" hidden="false" customHeight="false" outlineLevel="0" collapsed="false">
      <c r="D587" s="9" t="s">
        <v>93</v>
      </c>
      <c r="E587" s="9" t="s">
        <v>94</v>
      </c>
      <c r="F587" s="9" t="s">
        <v>95</v>
      </c>
      <c r="G587" s="9" t="s">
        <v>138</v>
      </c>
      <c r="H587" s="9" t="s">
        <v>139</v>
      </c>
      <c r="I587" s="0" t="s">
        <v>41</v>
      </c>
      <c r="J587" s="9" t="s">
        <v>42</v>
      </c>
      <c r="K587" s="9" t="s">
        <v>48</v>
      </c>
      <c r="L587" s="9" t="s">
        <v>49</v>
      </c>
      <c r="M587" s="0" t="s">
        <v>140</v>
      </c>
      <c r="N587" s="0" t="n">
        <v>1987</v>
      </c>
      <c r="O587" s="10" t="n">
        <v>0.0272487469483167</v>
      </c>
      <c r="P587" s="10" t="n">
        <v>0.362272296566516</v>
      </c>
      <c r="Q587" s="0" t="str">
        <f aca="false">SUBSTITUTE(SUBSTITUTE($I587,CHAR(61),""),CHAR(34),"")</f>
        <v>25-34</v>
      </c>
      <c r="R587" s="0" t="str">
        <f aca="false">IF($D587&lt;&gt;"","["&amp;$E587&amp;"]"&amp;"|"&amp;$Q587&amp;"|"&amp;$K587&amp;"|"&amp;$G587&amp;"|"&amp;IF($G587="TX_CURR_SUBNAT.R","CY2022Q4",$M587),"")</f>
        <v>[umc2n1Z4wNv]|25-34|Male|POP_EST.T_1|CY2023Q3</v>
      </c>
    </row>
    <row r="588" customFormat="false" ht="15" hidden="false" customHeight="false" outlineLevel="0" collapsed="false">
      <c r="D588" s="9" t="s">
        <v>93</v>
      </c>
      <c r="E588" s="9" t="s">
        <v>94</v>
      </c>
      <c r="F588" s="9" t="s">
        <v>95</v>
      </c>
      <c r="G588" s="9" t="s">
        <v>138</v>
      </c>
      <c r="H588" s="9" t="s">
        <v>139</v>
      </c>
      <c r="I588" s="0" t="s">
        <v>43</v>
      </c>
      <c r="J588" s="9" t="s">
        <v>44</v>
      </c>
      <c r="K588" s="9" t="s">
        <v>48</v>
      </c>
      <c r="L588" s="9" t="s">
        <v>49</v>
      </c>
      <c r="M588" s="0" t="s">
        <v>140</v>
      </c>
      <c r="N588" s="0" t="n">
        <v>696</v>
      </c>
      <c r="O588" s="10" t="n">
        <v>0.793948397040367</v>
      </c>
      <c r="P588" s="10" t="n">
        <v>0.362272296566516</v>
      </c>
      <c r="Q588" s="0" t="str">
        <f aca="false">SUBSTITUTE(SUBSTITUTE($I588,CHAR(61),""),CHAR(34),"")</f>
        <v>35-49</v>
      </c>
      <c r="R588" s="0" t="str">
        <f aca="false">IF($D588&lt;&gt;"","["&amp;$E588&amp;"]"&amp;"|"&amp;$Q588&amp;"|"&amp;$K588&amp;"|"&amp;$G588&amp;"|"&amp;IF($G588="TX_CURR_SUBNAT.R","CY2022Q4",$M588),"")</f>
        <v>[umc2n1Z4wNv]|35-49|Male|POP_EST.T_1|CY2023Q3</v>
      </c>
    </row>
    <row r="589" customFormat="false" ht="15" hidden="false" customHeight="false" outlineLevel="0" collapsed="false">
      <c r="D589" s="9" t="s">
        <v>93</v>
      </c>
      <c r="E589" s="9" t="s">
        <v>94</v>
      </c>
      <c r="F589" s="9" t="s">
        <v>95</v>
      </c>
      <c r="G589" s="9" t="s">
        <v>138</v>
      </c>
      <c r="H589" s="9" t="s">
        <v>139</v>
      </c>
      <c r="I589" s="0" t="s">
        <v>45</v>
      </c>
      <c r="J589" s="9" t="s">
        <v>46</v>
      </c>
      <c r="K589" s="9" t="s">
        <v>48</v>
      </c>
      <c r="L589" s="9" t="s">
        <v>49</v>
      </c>
      <c r="M589" s="0" t="s">
        <v>140</v>
      </c>
      <c r="N589" s="0" t="n">
        <v>1860</v>
      </c>
      <c r="O589" s="10" t="n">
        <v>0.52002059482038</v>
      </c>
      <c r="P589" s="10" t="n">
        <v>0.362272296566516</v>
      </c>
      <c r="Q589" s="0" t="str">
        <f aca="false">SUBSTITUTE(SUBSTITUTE($I589,CHAR(61),""),CHAR(34),"")</f>
        <v>50+</v>
      </c>
      <c r="R589" s="0" t="str">
        <f aca="false">IF($D589&lt;&gt;"","["&amp;$E589&amp;"]"&amp;"|"&amp;$Q589&amp;"|"&amp;$K589&amp;"|"&amp;$G589&amp;"|"&amp;IF($G589="TX_CURR_SUBNAT.R","CY2022Q4",$M589),"")</f>
        <v>[umc2n1Z4wNv]|50+|Male|POP_EST.T_1|CY2023Q3</v>
      </c>
    </row>
    <row r="590" customFormat="false" ht="15" hidden="false" customHeight="false" outlineLevel="0" collapsed="false">
      <c r="D590" s="9" t="s">
        <v>96</v>
      </c>
      <c r="E590" s="9" t="s">
        <v>97</v>
      </c>
      <c r="F590" s="9" t="s">
        <v>98</v>
      </c>
      <c r="G590" s="9" t="s">
        <v>138</v>
      </c>
      <c r="H590" s="9" t="s">
        <v>139</v>
      </c>
      <c r="I590" s="0" t="s">
        <v>28</v>
      </c>
      <c r="J590" s="9" t="s">
        <v>29</v>
      </c>
      <c r="K590" s="9" t="s">
        <v>30</v>
      </c>
      <c r="L590" s="9" t="s">
        <v>31</v>
      </c>
      <c r="M590" s="0" t="s">
        <v>140</v>
      </c>
      <c r="N590" s="0" t="n">
        <v>668</v>
      </c>
      <c r="O590" s="10" t="n">
        <v>0.885211489163339</v>
      </c>
      <c r="P590" s="10" t="n">
        <v>0.601251717889681</v>
      </c>
      <c r="Q590" s="0" t="str">
        <f aca="false">SUBSTITUTE(SUBSTITUTE($I590,CHAR(61),""),CHAR(34),"")</f>
        <v>&lt;01</v>
      </c>
      <c r="R590" s="0" t="str">
        <f aca="false">IF($D590&lt;&gt;"","["&amp;$E590&amp;"]"&amp;"|"&amp;$Q590&amp;"|"&amp;$K590&amp;"|"&amp;$G590&amp;"|"&amp;IF($G590="TX_CURR_SUBNAT.R","CY2022Q4",$M590),"")</f>
        <v>[gwVYinjBAe9]|&lt;01|Female|POP_EST.T_1|CY2023Q3</v>
      </c>
    </row>
    <row r="591" customFormat="false" ht="15" hidden="false" customHeight="false" outlineLevel="0" collapsed="false">
      <c r="D591" s="9" t="s">
        <v>96</v>
      </c>
      <c r="E591" s="9" t="s">
        <v>97</v>
      </c>
      <c r="F591" s="9" t="s">
        <v>98</v>
      </c>
      <c r="G591" s="9" t="s">
        <v>138</v>
      </c>
      <c r="H591" s="9" t="s">
        <v>139</v>
      </c>
      <c r="I591" s="0" t="s">
        <v>33</v>
      </c>
      <c r="J591" s="9" t="s">
        <v>34</v>
      </c>
      <c r="K591" s="9" t="s">
        <v>30</v>
      </c>
      <c r="L591" s="9" t="s">
        <v>31</v>
      </c>
      <c r="M591" s="0" t="s">
        <v>140</v>
      </c>
      <c r="N591" s="0" t="n">
        <v>876</v>
      </c>
      <c r="O591" s="10" t="n">
        <v>0.508931256830692</v>
      </c>
      <c r="P591" s="10" t="n">
        <v>0.601251717889681</v>
      </c>
      <c r="Q591" s="0" t="str">
        <f aca="false">SUBSTITUTE(SUBSTITUTE($I591,CHAR(61),""),CHAR(34),"")</f>
        <v>01-09</v>
      </c>
      <c r="R591" s="0" t="str">
        <f aca="false">IF($D591&lt;&gt;"","["&amp;$E591&amp;"]"&amp;"|"&amp;$Q591&amp;"|"&amp;$K591&amp;"|"&amp;$G591&amp;"|"&amp;IF($G591="TX_CURR_SUBNAT.R","CY2022Q4",$M591),"")</f>
        <v>[gwVYinjBAe9]|01-09|Female|POP_EST.T_1|CY2023Q3</v>
      </c>
    </row>
    <row r="592" customFormat="false" ht="15" hidden="false" customHeight="false" outlineLevel="0" collapsed="false">
      <c r="D592" s="9" t="s">
        <v>96</v>
      </c>
      <c r="E592" s="9" t="s">
        <v>97</v>
      </c>
      <c r="F592" s="9" t="s">
        <v>98</v>
      </c>
      <c r="G592" s="9" t="s">
        <v>138</v>
      </c>
      <c r="H592" s="9" t="s">
        <v>139</v>
      </c>
      <c r="I592" s="0" t="s">
        <v>36</v>
      </c>
      <c r="J592" s="9" t="s">
        <v>37</v>
      </c>
      <c r="K592" s="9" t="s">
        <v>30</v>
      </c>
      <c r="L592" s="9" t="s">
        <v>31</v>
      </c>
      <c r="M592" s="0" t="s">
        <v>140</v>
      </c>
      <c r="N592" s="0" t="n">
        <v>1505</v>
      </c>
      <c r="O592" s="10" t="n">
        <v>0.533850219799206</v>
      </c>
      <c r="P592" s="10" t="n">
        <v>0.601251717889681</v>
      </c>
      <c r="Q592" s="0" t="str">
        <f aca="false">SUBSTITUTE(SUBSTITUTE($I592,CHAR(61),""),CHAR(34),"")</f>
        <v>10-14</v>
      </c>
      <c r="R592" s="0" t="str">
        <f aca="false">IF($D592&lt;&gt;"","["&amp;$E592&amp;"]"&amp;"|"&amp;$Q592&amp;"|"&amp;$K592&amp;"|"&amp;$G592&amp;"|"&amp;IF($G592="TX_CURR_SUBNAT.R","CY2022Q4",$M592),"")</f>
        <v>[gwVYinjBAe9]|10-14|Female|POP_EST.T_1|CY2023Q3</v>
      </c>
    </row>
    <row r="593" customFormat="false" ht="15" hidden="false" customHeight="false" outlineLevel="0" collapsed="false">
      <c r="D593" s="9" t="s">
        <v>96</v>
      </c>
      <c r="E593" s="9" t="s">
        <v>97</v>
      </c>
      <c r="F593" s="9" t="s">
        <v>98</v>
      </c>
      <c r="G593" s="9" t="s">
        <v>138</v>
      </c>
      <c r="H593" s="9" t="s">
        <v>139</v>
      </c>
      <c r="I593" s="0" t="s">
        <v>38</v>
      </c>
      <c r="J593" s="9" t="s">
        <v>39</v>
      </c>
      <c r="K593" s="9" t="s">
        <v>30</v>
      </c>
      <c r="L593" s="9" t="s">
        <v>31</v>
      </c>
      <c r="M593" s="0" t="s">
        <v>140</v>
      </c>
      <c r="N593" s="0" t="n">
        <v>1886</v>
      </c>
      <c r="O593" s="10" t="n">
        <v>0.842531449859962</v>
      </c>
      <c r="P593" s="10" t="n">
        <v>0.601251717889681</v>
      </c>
      <c r="Q593" s="0" t="str">
        <f aca="false">SUBSTITUTE(SUBSTITUTE($I593,CHAR(61),""),CHAR(34),"")</f>
        <v>15-24</v>
      </c>
      <c r="R593" s="0" t="str">
        <f aca="false">IF($D593&lt;&gt;"","["&amp;$E593&amp;"]"&amp;"|"&amp;$Q593&amp;"|"&amp;$K593&amp;"|"&amp;$G593&amp;"|"&amp;IF($G593="TX_CURR_SUBNAT.R","CY2022Q4",$M593),"")</f>
        <v>[gwVYinjBAe9]|15-24|Female|POP_EST.T_1|CY2023Q3</v>
      </c>
    </row>
    <row r="594" customFormat="false" ht="15" hidden="false" customHeight="false" outlineLevel="0" collapsed="false">
      <c r="D594" s="9" t="s">
        <v>96</v>
      </c>
      <c r="E594" s="9" t="s">
        <v>97</v>
      </c>
      <c r="F594" s="9" t="s">
        <v>98</v>
      </c>
      <c r="G594" s="9" t="s">
        <v>138</v>
      </c>
      <c r="H594" s="9" t="s">
        <v>139</v>
      </c>
      <c r="I594" s="0" t="s">
        <v>41</v>
      </c>
      <c r="J594" s="9" t="s">
        <v>42</v>
      </c>
      <c r="K594" s="9" t="s">
        <v>30</v>
      </c>
      <c r="L594" s="9" t="s">
        <v>31</v>
      </c>
      <c r="M594" s="0" t="s">
        <v>140</v>
      </c>
      <c r="N594" s="0" t="n">
        <v>1797</v>
      </c>
      <c r="O594" s="10" t="n">
        <v>0.0170031492598355</v>
      </c>
      <c r="P594" s="10" t="n">
        <v>0.601251717889681</v>
      </c>
      <c r="Q594" s="0" t="str">
        <f aca="false">SUBSTITUTE(SUBSTITUTE($I594,CHAR(61),""),CHAR(34),"")</f>
        <v>25-34</v>
      </c>
      <c r="R594" s="0" t="str">
        <f aca="false">IF($D594&lt;&gt;"","["&amp;$E594&amp;"]"&amp;"|"&amp;$Q594&amp;"|"&amp;$K594&amp;"|"&amp;$G594&amp;"|"&amp;IF($G594="TX_CURR_SUBNAT.R","CY2022Q4",$M594),"")</f>
        <v>[gwVYinjBAe9]|25-34|Female|POP_EST.T_1|CY2023Q3</v>
      </c>
    </row>
    <row r="595" customFormat="false" ht="15" hidden="false" customHeight="false" outlineLevel="0" collapsed="false">
      <c r="D595" s="9" t="s">
        <v>96</v>
      </c>
      <c r="E595" s="9" t="s">
        <v>97</v>
      </c>
      <c r="F595" s="9" t="s">
        <v>98</v>
      </c>
      <c r="G595" s="9" t="s">
        <v>138</v>
      </c>
      <c r="H595" s="9" t="s">
        <v>139</v>
      </c>
      <c r="I595" s="0" t="s">
        <v>43</v>
      </c>
      <c r="J595" s="9" t="s">
        <v>44</v>
      </c>
      <c r="K595" s="9" t="s">
        <v>30</v>
      </c>
      <c r="L595" s="9" t="s">
        <v>31</v>
      </c>
      <c r="M595" s="0" t="s">
        <v>140</v>
      </c>
      <c r="N595" s="0" t="n">
        <v>1183</v>
      </c>
      <c r="O595" s="10" t="n">
        <v>0.45118850376457</v>
      </c>
      <c r="P595" s="10" t="n">
        <v>0.601251717889681</v>
      </c>
      <c r="Q595" s="0" t="str">
        <f aca="false">SUBSTITUTE(SUBSTITUTE($I595,CHAR(61),""),CHAR(34),"")</f>
        <v>35-49</v>
      </c>
      <c r="R595" s="0" t="str">
        <f aca="false">IF($D595&lt;&gt;"","["&amp;$E595&amp;"]"&amp;"|"&amp;$Q595&amp;"|"&amp;$K595&amp;"|"&amp;$G595&amp;"|"&amp;IF($G595="TX_CURR_SUBNAT.R","CY2022Q4",$M595),"")</f>
        <v>[gwVYinjBAe9]|35-49|Female|POP_EST.T_1|CY2023Q3</v>
      </c>
    </row>
    <row r="596" customFormat="false" ht="15" hidden="false" customHeight="false" outlineLevel="0" collapsed="false">
      <c r="D596" s="9" t="s">
        <v>96</v>
      </c>
      <c r="E596" s="9" t="s">
        <v>97</v>
      </c>
      <c r="F596" s="9" t="s">
        <v>98</v>
      </c>
      <c r="G596" s="9" t="s">
        <v>138</v>
      </c>
      <c r="H596" s="9" t="s">
        <v>139</v>
      </c>
      <c r="I596" s="0" t="s">
        <v>45</v>
      </c>
      <c r="J596" s="9" t="s">
        <v>46</v>
      </c>
      <c r="K596" s="9" t="s">
        <v>30</v>
      </c>
      <c r="L596" s="9" t="s">
        <v>31</v>
      </c>
      <c r="M596" s="0" t="s">
        <v>140</v>
      </c>
      <c r="N596" s="0" t="n">
        <v>1720</v>
      </c>
      <c r="O596" s="10" t="n">
        <v>0.56086510559544</v>
      </c>
      <c r="P596" s="10" t="n">
        <v>0.601251717889681</v>
      </c>
      <c r="Q596" s="0" t="str">
        <f aca="false">SUBSTITUTE(SUBSTITUTE($I596,CHAR(61),""),CHAR(34),"")</f>
        <v>50+</v>
      </c>
      <c r="R596" s="0" t="str">
        <f aca="false">IF($D596&lt;&gt;"","["&amp;$E596&amp;"]"&amp;"|"&amp;$Q596&amp;"|"&amp;$K596&amp;"|"&amp;$G596&amp;"|"&amp;IF($G596="TX_CURR_SUBNAT.R","CY2022Q4",$M596),"")</f>
        <v>[gwVYinjBAe9]|50+|Female|POP_EST.T_1|CY2023Q3</v>
      </c>
    </row>
    <row r="597" customFormat="false" ht="15" hidden="false" customHeight="false" outlineLevel="0" collapsed="false">
      <c r="D597" s="9" t="s">
        <v>96</v>
      </c>
      <c r="E597" s="9" t="s">
        <v>97</v>
      </c>
      <c r="F597" s="9" t="s">
        <v>98</v>
      </c>
      <c r="G597" s="9" t="s">
        <v>138</v>
      </c>
      <c r="H597" s="9" t="s">
        <v>139</v>
      </c>
      <c r="I597" s="0" t="s">
        <v>28</v>
      </c>
      <c r="J597" s="9" t="s">
        <v>29</v>
      </c>
      <c r="K597" s="9" t="s">
        <v>48</v>
      </c>
      <c r="L597" s="9" t="s">
        <v>49</v>
      </c>
      <c r="M597" s="0" t="s">
        <v>140</v>
      </c>
      <c r="N597" s="0" t="n">
        <v>1635</v>
      </c>
      <c r="O597" s="10" t="n">
        <v>0.348644402110949</v>
      </c>
      <c r="P597" s="10" t="n">
        <v>0.601251717889681</v>
      </c>
      <c r="Q597" s="0" t="str">
        <f aca="false">SUBSTITUTE(SUBSTITUTE($I597,CHAR(61),""),CHAR(34),"")</f>
        <v>&lt;01</v>
      </c>
      <c r="R597" s="0" t="str">
        <f aca="false">IF($D597&lt;&gt;"","["&amp;$E597&amp;"]"&amp;"|"&amp;$Q597&amp;"|"&amp;$K597&amp;"|"&amp;$G597&amp;"|"&amp;IF($G597="TX_CURR_SUBNAT.R","CY2022Q4",$M597),"")</f>
        <v>[gwVYinjBAe9]|&lt;01|Male|POP_EST.T_1|CY2023Q3</v>
      </c>
    </row>
    <row r="598" customFormat="false" ht="15" hidden="false" customHeight="false" outlineLevel="0" collapsed="false">
      <c r="D598" s="9" t="s">
        <v>96</v>
      </c>
      <c r="E598" s="9" t="s">
        <v>97</v>
      </c>
      <c r="F598" s="9" t="s">
        <v>98</v>
      </c>
      <c r="G598" s="9" t="s">
        <v>138</v>
      </c>
      <c r="H598" s="9" t="s">
        <v>139</v>
      </c>
      <c r="I598" s="0" t="s">
        <v>33</v>
      </c>
      <c r="J598" s="9" t="s">
        <v>34</v>
      </c>
      <c r="K598" s="9" t="s">
        <v>48</v>
      </c>
      <c r="L598" s="9" t="s">
        <v>49</v>
      </c>
      <c r="M598" s="0" t="s">
        <v>140</v>
      </c>
      <c r="N598" s="0" t="n">
        <v>1922</v>
      </c>
      <c r="O598" s="10" t="n">
        <v>0.0940198733005673</v>
      </c>
      <c r="P598" s="10" t="n">
        <v>0.601251717889681</v>
      </c>
      <c r="Q598" s="0" t="str">
        <f aca="false">SUBSTITUTE(SUBSTITUTE($I598,CHAR(61),""),CHAR(34),"")</f>
        <v>01-09</v>
      </c>
      <c r="R598" s="0" t="str">
        <f aca="false">IF($D598&lt;&gt;"","["&amp;$E598&amp;"]"&amp;"|"&amp;$Q598&amp;"|"&amp;$K598&amp;"|"&amp;$G598&amp;"|"&amp;IF($G598="TX_CURR_SUBNAT.R","CY2022Q4",$M598),"")</f>
        <v>[gwVYinjBAe9]|01-09|Male|POP_EST.T_1|CY2023Q3</v>
      </c>
    </row>
    <row r="599" customFormat="false" ht="15" hidden="false" customHeight="false" outlineLevel="0" collapsed="false">
      <c r="D599" s="9" t="s">
        <v>96</v>
      </c>
      <c r="E599" s="9" t="s">
        <v>97</v>
      </c>
      <c r="F599" s="9" t="s">
        <v>98</v>
      </c>
      <c r="G599" s="9" t="s">
        <v>138</v>
      </c>
      <c r="H599" s="9" t="s">
        <v>139</v>
      </c>
      <c r="I599" s="0" t="s">
        <v>36</v>
      </c>
      <c r="J599" s="9" t="s">
        <v>37</v>
      </c>
      <c r="K599" s="9" t="s">
        <v>48</v>
      </c>
      <c r="L599" s="9" t="s">
        <v>49</v>
      </c>
      <c r="M599" s="0" t="s">
        <v>140</v>
      </c>
      <c r="N599" s="0" t="n">
        <v>1960</v>
      </c>
      <c r="O599" s="10" t="n">
        <v>0.688183886231855</v>
      </c>
      <c r="P599" s="10" t="n">
        <v>0.601251717889681</v>
      </c>
      <c r="Q599" s="0" t="str">
        <f aca="false">SUBSTITUTE(SUBSTITUTE($I599,CHAR(61),""),CHAR(34),"")</f>
        <v>10-14</v>
      </c>
      <c r="R599" s="0" t="str">
        <f aca="false">IF($D599&lt;&gt;"","["&amp;$E599&amp;"]"&amp;"|"&amp;$Q599&amp;"|"&amp;$K599&amp;"|"&amp;$G599&amp;"|"&amp;IF($G599="TX_CURR_SUBNAT.R","CY2022Q4",$M599),"")</f>
        <v>[gwVYinjBAe9]|10-14|Male|POP_EST.T_1|CY2023Q3</v>
      </c>
    </row>
    <row r="600" customFormat="false" ht="15" hidden="false" customHeight="false" outlineLevel="0" collapsed="false">
      <c r="D600" s="9" t="s">
        <v>96</v>
      </c>
      <c r="E600" s="9" t="s">
        <v>97</v>
      </c>
      <c r="F600" s="9" t="s">
        <v>98</v>
      </c>
      <c r="G600" s="9" t="s">
        <v>138</v>
      </c>
      <c r="H600" s="9" t="s">
        <v>139</v>
      </c>
      <c r="I600" s="0" t="s">
        <v>38</v>
      </c>
      <c r="J600" s="9" t="s">
        <v>39</v>
      </c>
      <c r="K600" s="9" t="s">
        <v>48</v>
      </c>
      <c r="L600" s="9" t="s">
        <v>49</v>
      </c>
      <c r="M600" s="0" t="s">
        <v>140</v>
      </c>
      <c r="N600" s="0" t="n">
        <v>1900</v>
      </c>
      <c r="O600" s="10" t="n">
        <v>0.959704138105735</v>
      </c>
      <c r="P600" s="10" t="n">
        <v>0.601251717889681</v>
      </c>
      <c r="Q600" s="0" t="str">
        <f aca="false">SUBSTITUTE(SUBSTITUTE($I600,CHAR(61),""),CHAR(34),"")</f>
        <v>15-24</v>
      </c>
      <c r="R600" s="0" t="str">
        <f aca="false">IF($D600&lt;&gt;"","["&amp;$E600&amp;"]"&amp;"|"&amp;$Q600&amp;"|"&amp;$K600&amp;"|"&amp;$G600&amp;"|"&amp;IF($G600="TX_CURR_SUBNAT.R","CY2022Q4",$M600),"")</f>
        <v>[gwVYinjBAe9]|15-24|Male|POP_EST.T_1|CY2023Q3</v>
      </c>
    </row>
    <row r="601" customFormat="false" ht="15" hidden="false" customHeight="false" outlineLevel="0" collapsed="false">
      <c r="D601" s="9" t="s">
        <v>96</v>
      </c>
      <c r="E601" s="9" t="s">
        <v>97</v>
      </c>
      <c r="F601" s="9" t="s">
        <v>98</v>
      </c>
      <c r="G601" s="9" t="s">
        <v>138</v>
      </c>
      <c r="H601" s="9" t="s">
        <v>139</v>
      </c>
      <c r="I601" s="0" t="s">
        <v>41</v>
      </c>
      <c r="J601" s="9" t="s">
        <v>42</v>
      </c>
      <c r="K601" s="9" t="s">
        <v>48</v>
      </c>
      <c r="L601" s="9" t="s">
        <v>49</v>
      </c>
      <c r="M601" s="0" t="s">
        <v>140</v>
      </c>
      <c r="N601" s="0" t="n">
        <v>1220</v>
      </c>
      <c r="O601" s="10" t="n">
        <v>0.763175189029425</v>
      </c>
      <c r="P601" s="10" t="n">
        <v>0.601251717889681</v>
      </c>
      <c r="Q601" s="0" t="str">
        <f aca="false">SUBSTITUTE(SUBSTITUTE($I601,CHAR(61),""),CHAR(34),"")</f>
        <v>25-34</v>
      </c>
      <c r="R601" s="0" t="str">
        <f aca="false">IF($D601&lt;&gt;"","["&amp;$E601&amp;"]"&amp;"|"&amp;$Q601&amp;"|"&amp;$K601&amp;"|"&amp;$G601&amp;"|"&amp;IF($G601="TX_CURR_SUBNAT.R","CY2022Q4",$M601),"")</f>
        <v>[gwVYinjBAe9]|25-34|Male|POP_EST.T_1|CY2023Q3</v>
      </c>
    </row>
    <row r="602" customFormat="false" ht="15" hidden="false" customHeight="false" outlineLevel="0" collapsed="false">
      <c r="D602" s="9" t="s">
        <v>96</v>
      </c>
      <c r="E602" s="9" t="s">
        <v>97</v>
      </c>
      <c r="F602" s="9" t="s">
        <v>98</v>
      </c>
      <c r="G602" s="9" t="s">
        <v>138</v>
      </c>
      <c r="H602" s="9" t="s">
        <v>139</v>
      </c>
      <c r="I602" s="0" t="s">
        <v>43</v>
      </c>
      <c r="J602" s="9" t="s">
        <v>44</v>
      </c>
      <c r="K602" s="9" t="s">
        <v>48</v>
      </c>
      <c r="L602" s="9" t="s">
        <v>49</v>
      </c>
      <c r="M602" s="0" t="s">
        <v>140</v>
      </c>
      <c r="N602" s="0" t="n">
        <v>1318</v>
      </c>
      <c r="O602" s="10" t="n">
        <v>0.908661163179204</v>
      </c>
      <c r="P602" s="10" t="n">
        <v>0.601251717889681</v>
      </c>
      <c r="Q602" s="0" t="str">
        <f aca="false">SUBSTITUTE(SUBSTITUTE($I602,CHAR(61),""),CHAR(34),"")</f>
        <v>35-49</v>
      </c>
      <c r="R602" s="0" t="str">
        <f aca="false">IF($D602&lt;&gt;"","["&amp;$E602&amp;"]"&amp;"|"&amp;$Q602&amp;"|"&amp;$K602&amp;"|"&amp;$G602&amp;"|"&amp;IF($G602="TX_CURR_SUBNAT.R","CY2022Q4",$M602),"")</f>
        <v>[gwVYinjBAe9]|35-49|Male|POP_EST.T_1|CY2023Q3</v>
      </c>
    </row>
    <row r="603" customFormat="false" ht="15" hidden="false" customHeight="false" outlineLevel="0" collapsed="false">
      <c r="D603" s="9" t="s">
        <v>96</v>
      </c>
      <c r="E603" s="9" t="s">
        <v>97</v>
      </c>
      <c r="F603" s="9" t="s">
        <v>98</v>
      </c>
      <c r="G603" s="9" t="s">
        <v>138</v>
      </c>
      <c r="H603" s="9" t="s">
        <v>139</v>
      </c>
      <c r="I603" s="0" t="s">
        <v>45</v>
      </c>
      <c r="J603" s="9" t="s">
        <v>46</v>
      </c>
      <c r="K603" s="9" t="s">
        <v>48</v>
      </c>
      <c r="L603" s="9" t="s">
        <v>49</v>
      </c>
      <c r="M603" s="0" t="s">
        <v>140</v>
      </c>
      <c r="N603" s="0" t="n">
        <v>1059</v>
      </c>
      <c r="O603" s="10" t="n">
        <v>0.9683199794963</v>
      </c>
      <c r="P603" s="10" t="n">
        <v>0.601251717889681</v>
      </c>
      <c r="Q603" s="0" t="str">
        <f aca="false">SUBSTITUTE(SUBSTITUTE($I603,CHAR(61),""),CHAR(34),"")</f>
        <v>50+</v>
      </c>
      <c r="R603" s="0" t="str">
        <f aca="false">IF($D603&lt;&gt;"","["&amp;$E603&amp;"]"&amp;"|"&amp;$Q603&amp;"|"&amp;$K603&amp;"|"&amp;$G603&amp;"|"&amp;IF($G603="TX_CURR_SUBNAT.R","CY2022Q4",$M603),"")</f>
        <v>[gwVYinjBAe9]|50+|Male|POP_EST.T_1|CY2023Q3</v>
      </c>
    </row>
    <row r="604" customFormat="false" ht="15" hidden="false" customHeight="false" outlineLevel="0" collapsed="false">
      <c r="D604" s="9" t="s">
        <v>99</v>
      </c>
      <c r="E604" s="9" t="s">
        <v>100</v>
      </c>
      <c r="F604" s="9" t="s">
        <v>101</v>
      </c>
      <c r="G604" s="9" t="s">
        <v>138</v>
      </c>
      <c r="H604" s="9" t="s">
        <v>139</v>
      </c>
      <c r="I604" s="0" t="s">
        <v>28</v>
      </c>
      <c r="J604" s="9" t="s">
        <v>29</v>
      </c>
      <c r="K604" s="9" t="s">
        <v>30</v>
      </c>
      <c r="L604" s="9" t="s">
        <v>31</v>
      </c>
      <c r="M604" s="0" t="s">
        <v>140</v>
      </c>
      <c r="N604" s="0" t="n">
        <v>806</v>
      </c>
      <c r="O604" s="10" t="n">
        <v>0.83082448458299</v>
      </c>
      <c r="P604" s="10" t="n">
        <v>0.577288038097322</v>
      </c>
      <c r="Q604" s="0" t="str">
        <f aca="false">SUBSTITUTE(SUBSTITUTE($I604,CHAR(61),""),CHAR(34),"")</f>
        <v>&lt;01</v>
      </c>
      <c r="R604" s="0" t="str">
        <f aca="false">IF($D604&lt;&gt;"","["&amp;$E604&amp;"]"&amp;"|"&amp;$Q604&amp;"|"&amp;$K604&amp;"|"&amp;$G604&amp;"|"&amp;IF($G604="TX_CURR_SUBNAT.R","CY2022Q4",$M604),"")</f>
        <v>[mxqa3CDFmIT]|&lt;01|Female|POP_EST.T_1|CY2023Q3</v>
      </c>
    </row>
    <row r="605" customFormat="false" ht="15" hidden="false" customHeight="false" outlineLevel="0" collapsed="false">
      <c r="D605" s="9" t="s">
        <v>99</v>
      </c>
      <c r="E605" s="9" t="s">
        <v>100</v>
      </c>
      <c r="F605" s="9" t="s">
        <v>101</v>
      </c>
      <c r="G605" s="9" t="s">
        <v>138</v>
      </c>
      <c r="H605" s="9" t="s">
        <v>139</v>
      </c>
      <c r="I605" s="0" t="s">
        <v>33</v>
      </c>
      <c r="J605" s="9" t="s">
        <v>34</v>
      </c>
      <c r="K605" s="9" t="s">
        <v>30</v>
      </c>
      <c r="L605" s="9" t="s">
        <v>31</v>
      </c>
      <c r="M605" s="0" t="s">
        <v>140</v>
      </c>
      <c r="N605" s="0" t="n">
        <v>1697</v>
      </c>
      <c r="O605" s="10" t="n">
        <v>0.913017396116629</v>
      </c>
      <c r="P605" s="10" t="n">
        <v>0.577288038097322</v>
      </c>
      <c r="Q605" s="0" t="str">
        <f aca="false">SUBSTITUTE(SUBSTITUTE($I605,CHAR(61),""),CHAR(34),"")</f>
        <v>01-09</v>
      </c>
      <c r="R605" s="0" t="str">
        <f aca="false">IF($D605&lt;&gt;"","["&amp;$E605&amp;"]"&amp;"|"&amp;$Q605&amp;"|"&amp;$K605&amp;"|"&amp;$G605&amp;"|"&amp;IF($G605="TX_CURR_SUBNAT.R","CY2022Q4",$M605),"")</f>
        <v>[mxqa3CDFmIT]|01-09|Female|POP_EST.T_1|CY2023Q3</v>
      </c>
    </row>
    <row r="606" customFormat="false" ht="15" hidden="false" customHeight="false" outlineLevel="0" collapsed="false">
      <c r="D606" s="9" t="s">
        <v>99</v>
      </c>
      <c r="E606" s="9" t="s">
        <v>100</v>
      </c>
      <c r="F606" s="9" t="s">
        <v>101</v>
      </c>
      <c r="G606" s="9" t="s">
        <v>138</v>
      </c>
      <c r="H606" s="9" t="s">
        <v>139</v>
      </c>
      <c r="I606" s="0" t="s">
        <v>36</v>
      </c>
      <c r="J606" s="9" t="s">
        <v>37</v>
      </c>
      <c r="K606" s="9" t="s">
        <v>30</v>
      </c>
      <c r="L606" s="9" t="s">
        <v>31</v>
      </c>
      <c r="M606" s="0" t="s">
        <v>140</v>
      </c>
      <c r="N606" s="0" t="n">
        <v>1508</v>
      </c>
      <c r="O606" s="10" t="n">
        <v>0.284472258063033</v>
      </c>
      <c r="P606" s="10" t="n">
        <v>0.577288038097322</v>
      </c>
      <c r="Q606" s="0" t="str">
        <f aca="false">SUBSTITUTE(SUBSTITUTE($I606,CHAR(61),""),CHAR(34),"")</f>
        <v>10-14</v>
      </c>
      <c r="R606" s="0" t="str">
        <f aca="false">IF($D606&lt;&gt;"","["&amp;$E606&amp;"]"&amp;"|"&amp;$Q606&amp;"|"&amp;$K606&amp;"|"&amp;$G606&amp;"|"&amp;IF($G606="TX_CURR_SUBNAT.R","CY2022Q4",$M606),"")</f>
        <v>[mxqa3CDFmIT]|10-14|Female|POP_EST.T_1|CY2023Q3</v>
      </c>
    </row>
    <row r="607" customFormat="false" ht="15" hidden="false" customHeight="false" outlineLevel="0" collapsed="false">
      <c r="D607" s="9" t="s">
        <v>99</v>
      </c>
      <c r="E607" s="9" t="s">
        <v>100</v>
      </c>
      <c r="F607" s="9" t="s">
        <v>101</v>
      </c>
      <c r="G607" s="9" t="s">
        <v>138</v>
      </c>
      <c r="H607" s="9" t="s">
        <v>139</v>
      </c>
      <c r="I607" s="0" t="s">
        <v>38</v>
      </c>
      <c r="J607" s="9" t="s">
        <v>39</v>
      </c>
      <c r="K607" s="9" t="s">
        <v>30</v>
      </c>
      <c r="L607" s="9" t="s">
        <v>31</v>
      </c>
      <c r="M607" s="0" t="s">
        <v>140</v>
      </c>
      <c r="N607" s="0" t="n">
        <v>1328</v>
      </c>
      <c r="O607" s="10" t="n">
        <v>0.603019806323573</v>
      </c>
      <c r="P607" s="10" t="n">
        <v>0.577288038097322</v>
      </c>
      <c r="Q607" s="0" t="str">
        <f aca="false">SUBSTITUTE(SUBSTITUTE($I607,CHAR(61),""),CHAR(34),"")</f>
        <v>15-24</v>
      </c>
      <c r="R607" s="0" t="str">
        <f aca="false">IF($D607&lt;&gt;"","["&amp;$E607&amp;"]"&amp;"|"&amp;$Q607&amp;"|"&amp;$K607&amp;"|"&amp;$G607&amp;"|"&amp;IF($G607="TX_CURR_SUBNAT.R","CY2022Q4",$M607),"")</f>
        <v>[mxqa3CDFmIT]|15-24|Female|POP_EST.T_1|CY2023Q3</v>
      </c>
    </row>
    <row r="608" customFormat="false" ht="15" hidden="false" customHeight="false" outlineLevel="0" collapsed="false">
      <c r="D608" s="9" t="s">
        <v>99</v>
      </c>
      <c r="E608" s="9" t="s">
        <v>100</v>
      </c>
      <c r="F608" s="9" t="s">
        <v>101</v>
      </c>
      <c r="G608" s="9" t="s">
        <v>138</v>
      </c>
      <c r="H608" s="9" t="s">
        <v>139</v>
      </c>
      <c r="I608" s="0" t="s">
        <v>41</v>
      </c>
      <c r="J608" s="9" t="s">
        <v>42</v>
      </c>
      <c r="K608" s="9" t="s">
        <v>30</v>
      </c>
      <c r="L608" s="9" t="s">
        <v>31</v>
      </c>
      <c r="M608" s="0" t="s">
        <v>140</v>
      </c>
      <c r="N608" s="0" t="n">
        <v>1285</v>
      </c>
      <c r="O608" s="10" t="n">
        <v>0.934313016012311</v>
      </c>
      <c r="P608" s="10" t="n">
        <v>0.577288038097322</v>
      </c>
      <c r="Q608" s="0" t="str">
        <f aca="false">SUBSTITUTE(SUBSTITUTE($I608,CHAR(61),""),CHAR(34),"")</f>
        <v>25-34</v>
      </c>
      <c r="R608" s="0" t="str">
        <f aca="false">IF($D608&lt;&gt;"","["&amp;$E608&amp;"]"&amp;"|"&amp;$Q608&amp;"|"&amp;$K608&amp;"|"&amp;$G608&amp;"|"&amp;IF($G608="TX_CURR_SUBNAT.R","CY2022Q4",$M608),"")</f>
        <v>[mxqa3CDFmIT]|25-34|Female|POP_EST.T_1|CY2023Q3</v>
      </c>
    </row>
    <row r="609" customFormat="false" ht="15" hidden="false" customHeight="false" outlineLevel="0" collapsed="false">
      <c r="D609" s="9" t="s">
        <v>99</v>
      </c>
      <c r="E609" s="9" t="s">
        <v>100</v>
      </c>
      <c r="F609" s="9" t="s">
        <v>101</v>
      </c>
      <c r="G609" s="9" t="s">
        <v>138</v>
      </c>
      <c r="H609" s="9" t="s">
        <v>139</v>
      </c>
      <c r="I609" s="0" t="s">
        <v>43</v>
      </c>
      <c r="J609" s="9" t="s">
        <v>44</v>
      </c>
      <c r="K609" s="9" t="s">
        <v>30</v>
      </c>
      <c r="L609" s="9" t="s">
        <v>31</v>
      </c>
      <c r="M609" s="0" t="s">
        <v>140</v>
      </c>
      <c r="N609" s="0" t="n">
        <v>1860</v>
      </c>
      <c r="O609" s="10" t="n">
        <v>0.718816813779995</v>
      </c>
      <c r="P609" s="10" t="n">
        <v>0.577288038097322</v>
      </c>
      <c r="Q609" s="0" t="str">
        <f aca="false">SUBSTITUTE(SUBSTITUTE($I609,CHAR(61),""),CHAR(34),"")</f>
        <v>35-49</v>
      </c>
      <c r="R609" s="0" t="str">
        <f aca="false">IF($D609&lt;&gt;"","["&amp;$E609&amp;"]"&amp;"|"&amp;$Q609&amp;"|"&amp;$K609&amp;"|"&amp;$G609&amp;"|"&amp;IF($G609="TX_CURR_SUBNAT.R","CY2022Q4",$M609),"")</f>
        <v>[mxqa3CDFmIT]|35-49|Female|POP_EST.T_1|CY2023Q3</v>
      </c>
    </row>
    <row r="610" customFormat="false" ht="15" hidden="false" customHeight="false" outlineLevel="0" collapsed="false">
      <c r="D610" s="9" t="s">
        <v>99</v>
      </c>
      <c r="E610" s="9" t="s">
        <v>100</v>
      </c>
      <c r="F610" s="9" t="s">
        <v>101</v>
      </c>
      <c r="G610" s="9" t="s">
        <v>138</v>
      </c>
      <c r="H610" s="9" t="s">
        <v>139</v>
      </c>
      <c r="I610" s="0" t="s">
        <v>45</v>
      </c>
      <c r="J610" s="9" t="s">
        <v>46</v>
      </c>
      <c r="K610" s="9" t="s">
        <v>30</v>
      </c>
      <c r="L610" s="9" t="s">
        <v>31</v>
      </c>
      <c r="M610" s="0" t="s">
        <v>140</v>
      </c>
      <c r="N610" s="0" t="n">
        <v>1918</v>
      </c>
      <c r="O610" s="10" t="n">
        <v>0.85449792444706</v>
      </c>
      <c r="P610" s="10" t="n">
        <v>0.577288038097322</v>
      </c>
      <c r="Q610" s="0" t="str">
        <f aca="false">SUBSTITUTE(SUBSTITUTE($I610,CHAR(61),""),CHAR(34),"")</f>
        <v>50+</v>
      </c>
      <c r="R610" s="0" t="str">
        <f aca="false">IF($D610&lt;&gt;"","["&amp;$E610&amp;"]"&amp;"|"&amp;$Q610&amp;"|"&amp;$K610&amp;"|"&amp;$G610&amp;"|"&amp;IF($G610="TX_CURR_SUBNAT.R","CY2022Q4",$M610),"")</f>
        <v>[mxqa3CDFmIT]|50+|Female|POP_EST.T_1|CY2023Q3</v>
      </c>
    </row>
    <row r="611" customFormat="false" ht="15" hidden="false" customHeight="false" outlineLevel="0" collapsed="false">
      <c r="D611" s="9" t="s">
        <v>99</v>
      </c>
      <c r="E611" s="9" t="s">
        <v>100</v>
      </c>
      <c r="F611" s="9" t="s">
        <v>101</v>
      </c>
      <c r="G611" s="9" t="s">
        <v>138</v>
      </c>
      <c r="H611" s="9" t="s">
        <v>139</v>
      </c>
      <c r="I611" s="0" t="s">
        <v>28</v>
      </c>
      <c r="J611" s="9" t="s">
        <v>29</v>
      </c>
      <c r="K611" s="9" t="s">
        <v>48</v>
      </c>
      <c r="L611" s="9" t="s">
        <v>49</v>
      </c>
      <c r="M611" s="0" t="s">
        <v>140</v>
      </c>
      <c r="N611" s="0" t="n">
        <v>1511</v>
      </c>
      <c r="O611" s="10" t="n">
        <v>0.901727586286142</v>
      </c>
      <c r="P611" s="10" t="n">
        <v>0.577288038097322</v>
      </c>
      <c r="Q611" s="0" t="str">
        <f aca="false">SUBSTITUTE(SUBSTITUTE($I611,CHAR(61),""),CHAR(34),"")</f>
        <v>&lt;01</v>
      </c>
      <c r="R611" s="0" t="str">
        <f aca="false">IF($D611&lt;&gt;"","["&amp;$E611&amp;"]"&amp;"|"&amp;$Q611&amp;"|"&amp;$K611&amp;"|"&amp;$G611&amp;"|"&amp;IF($G611="TX_CURR_SUBNAT.R","CY2022Q4",$M611),"")</f>
        <v>[mxqa3CDFmIT]|&lt;01|Male|POP_EST.T_1|CY2023Q3</v>
      </c>
    </row>
    <row r="612" customFormat="false" ht="15" hidden="false" customHeight="false" outlineLevel="0" collapsed="false">
      <c r="D612" s="9" t="s">
        <v>99</v>
      </c>
      <c r="E612" s="9" t="s">
        <v>100</v>
      </c>
      <c r="F612" s="9" t="s">
        <v>101</v>
      </c>
      <c r="G612" s="9" t="s">
        <v>138</v>
      </c>
      <c r="H612" s="9" t="s">
        <v>139</v>
      </c>
      <c r="I612" s="0" t="s">
        <v>33</v>
      </c>
      <c r="J612" s="9" t="s">
        <v>34</v>
      </c>
      <c r="K612" s="9" t="s">
        <v>48</v>
      </c>
      <c r="L612" s="9" t="s">
        <v>49</v>
      </c>
      <c r="M612" s="0" t="s">
        <v>140</v>
      </c>
      <c r="N612" s="0" t="n">
        <v>1619</v>
      </c>
      <c r="O612" s="10" t="n">
        <v>0.405358694493771</v>
      </c>
      <c r="P612" s="10" t="n">
        <v>0.577288038097322</v>
      </c>
      <c r="Q612" s="0" t="str">
        <f aca="false">SUBSTITUTE(SUBSTITUTE($I612,CHAR(61),""),CHAR(34),"")</f>
        <v>01-09</v>
      </c>
      <c r="R612" s="0" t="str">
        <f aca="false">IF($D612&lt;&gt;"","["&amp;$E612&amp;"]"&amp;"|"&amp;$Q612&amp;"|"&amp;$K612&amp;"|"&amp;$G612&amp;"|"&amp;IF($G612="TX_CURR_SUBNAT.R","CY2022Q4",$M612),"")</f>
        <v>[mxqa3CDFmIT]|01-09|Male|POP_EST.T_1|CY2023Q3</v>
      </c>
    </row>
    <row r="613" customFormat="false" ht="15" hidden="false" customHeight="false" outlineLevel="0" collapsed="false">
      <c r="D613" s="9" t="s">
        <v>99</v>
      </c>
      <c r="E613" s="9" t="s">
        <v>100</v>
      </c>
      <c r="F613" s="9" t="s">
        <v>101</v>
      </c>
      <c r="G613" s="9" t="s">
        <v>138</v>
      </c>
      <c r="H613" s="9" t="s">
        <v>139</v>
      </c>
      <c r="I613" s="0" t="s">
        <v>36</v>
      </c>
      <c r="J613" s="9" t="s">
        <v>37</v>
      </c>
      <c r="K613" s="9" t="s">
        <v>48</v>
      </c>
      <c r="L613" s="9" t="s">
        <v>49</v>
      </c>
      <c r="M613" s="0" t="s">
        <v>140</v>
      </c>
      <c r="N613" s="0" t="n">
        <v>1528</v>
      </c>
      <c r="O613" s="10" t="n">
        <v>0.461893403204158</v>
      </c>
      <c r="P613" s="10" t="n">
        <v>0.577288038097322</v>
      </c>
      <c r="Q613" s="0" t="str">
        <f aca="false">SUBSTITUTE(SUBSTITUTE($I613,CHAR(61),""),CHAR(34),"")</f>
        <v>10-14</v>
      </c>
      <c r="R613" s="0" t="str">
        <f aca="false">IF($D613&lt;&gt;"","["&amp;$E613&amp;"]"&amp;"|"&amp;$Q613&amp;"|"&amp;$K613&amp;"|"&amp;$G613&amp;"|"&amp;IF($G613="TX_CURR_SUBNAT.R","CY2022Q4",$M613),"")</f>
        <v>[mxqa3CDFmIT]|10-14|Male|POP_EST.T_1|CY2023Q3</v>
      </c>
    </row>
    <row r="614" customFormat="false" ht="15" hidden="false" customHeight="false" outlineLevel="0" collapsed="false">
      <c r="D614" s="9" t="s">
        <v>99</v>
      </c>
      <c r="E614" s="9" t="s">
        <v>100</v>
      </c>
      <c r="F614" s="9" t="s">
        <v>101</v>
      </c>
      <c r="G614" s="9" t="s">
        <v>138</v>
      </c>
      <c r="H614" s="9" t="s">
        <v>139</v>
      </c>
      <c r="I614" s="0" t="s">
        <v>38</v>
      </c>
      <c r="J614" s="9" t="s">
        <v>39</v>
      </c>
      <c r="K614" s="9" t="s">
        <v>48</v>
      </c>
      <c r="L614" s="9" t="s">
        <v>49</v>
      </c>
      <c r="M614" s="0" t="s">
        <v>140</v>
      </c>
      <c r="N614" s="0" t="n">
        <v>1726</v>
      </c>
      <c r="O614" s="10" t="n">
        <v>0.241592203965411</v>
      </c>
      <c r="P614" s="10" t="n">
        <v>0.577288038097322</v>
      </c>
      <c r="Q614" s="0" t="str">
        <f aca="false">SUBSTITUTE(SUBSTITUTE($I614,CHAR(61),""),CHAR(34),"")</f>
        <v>15-24</v>
      </c>
      <c r="R614" s="0" t="str">
        <f aca="false">IF($D614&lt;&gt;"","["&amp;$E614&amp;"]"&amp;"|"&amp;$Q614&amp;"|"&amp;$K614&amp;"|"&amp;$G614&amp;"|"&amp;IF($G614="TX_CURR_SUBNAT.R","CY2022Q4",$M614),"")</f>
        <v>[mxqa3CDFmIT]|15-24|Male|POP_EST.T_1|CY2023Q3</v>
      </c>
    </row>
    <row r="615" customFormat="false" ht="15" hidden="false" customHeight="false" outlineLevel="0" collapsed="false">
      <c r="D615" s="9" t="s">
        <v>99</v>
      </c>
      <c r="E615" s="9" t="s">
        <v>100</v>
      </c>
      <c r="F615" s="9" t="s">
        <v>101</v>
      </c>
      <c r="G615" s="9" t="s">
        <v>138</v>
      </c>
      <c r="H615" s="9" t="s">
        <v>139</v>
      </c>
      <c r="I615" s="0" t="s">
        <v>41</v>
      </c>
      <c r="J615" s="9" t="s">
        <v>42</v>
      </c>
      <c r="K615" s="9" t="s">
        <v>48</v>
      </c>
      <c r="L615" s="9" t="s">
        <v>49</v>
      </c>
      <c r="M615" s="0" t="s">
        <v>140</v>
      </c>
      <c r="N615" s="0" t="n">
        <v>1625</v>
      </c>
      <c r="O615" s="10" t="n">
        <v>0.574401765596122</v>
      </c>
      <c r="P615" s="10" t="n">
        <v>0.577288038097322</v>
      </c>
      <c r="Q615" s="0" t="str">
        <f aca="false">SUBSTITUTE(SUBSTITUTE($I615,CHAR(61),""),CHAR(34),"")</f>
        <v>25-34</v>
      </c>
      <c r="R615" s="0" t="str">
        <f aca="false">IF($D615&lt;&gt;"","["&amp;$E615&amp;"]"&amp;"|"&amp;$Q615&amp;"|"&amp;$K615&amp;"|"&amp;$G615&amp;"|"&amp;IF($G615="TX_CURR_SUBNAT.R","CY2022Q4",$M615),"")</f>
        <v>[mxqa3CDFmIT]|25-34|Male|POP_EST.T_1|CY2023Q3</v>
      </c>
    </row>
    <row r="616" customFormat="false" ht="15" hidden="false" customHeight="false" outlineLevel="0" collapsed="false">
      <c r="D616" s="9" t="s">
        <v>99</v>
      </c>
      <c r="E616" s="9" t="s">
        <v>100</v>
      </c>
      <c r="F616" s="9" t="s">
        <v>101</v>
      </c>
      <c r="G616" s="9" t="s">
        <v>138</v>
      </c>
      <c r="H616" s="9" t="s">
        <v>139</v>
      </c>
      <c r="I616" s="0" t="s">
        <v>43</v>
      </c>
      <c r="J616" s="9" t="s">
        <v>44</v>
      </c>
      <c r="K616" s="9" t="s">
        <v>48</v>
      </c>
      <c r="L616" s="9" t="s">
        <v>49</v>
      </c>
      <c r="M616" s="0" t="s">
        <v>140</v>
      </c>
      <c r="N616" s="0" t="n">
        <v>1147</v>
      </c>
      <c r="O616" s="10" t="n">
        <v>0.0812338383402675</v>
      </c>
      <c r="P616" s="10" t="n">
        <v>0.577288038097322</v>
      </c>
      <c r="Q616" s="0" t="str">
        <f aca="false">SUBSTITUTE(SUBSTITUTE($I616,CHAR(61),""),CHAR(34),"")</f>
        <v>35-49</v>
      </c>
      <c r="R616" s="0" t="str">
        <f aca="false">IF($D616&lt;&gt;"","["&amp;$E616&amp;"]"&amp;"|"&amp;$Q616&amp;"|"&amp;$K616&amp;"|"&amp;$G616&amp;"|"&amp;IF($G616="TX_CURR_SUBNAT.R","CY2022Q4",$M616),"")</f>
        <v>[mxqa3CDFmIT]|35-49|Male|POP_EST.T_1|CY2023Q3</v>
      </c>
    </row>
    <row r="617" customFormat="false" ht="15" hidden="false" customHeight="false" outlineLevel="0" collapsed="false">
      <c r="D617" s="9" t="s">
        <v>99</v>
      </c>
      <c r="E617" s="9" t="s">
        <v>100</v>
      </c>
      <c r="F617" s="9" t="s">
        <v>101</v>
      </c>
      <c r="G617" s="9" t="s">
        <v>138</v>
      </c>
      <c r="H617" s="9" t="s">
        <v>139</v>
      </c>
      <c r="I617" s="0" t="s">
        <v>45</v>
      </c>
      <c r="J617" s="9" t="s">
        <v>46</v>
      </c>
      <c r="K617" s="9" t="s">
        <v>48</v>
      </c>
      <c r="L617" s="9" t="s">
        <v>49</v>
      </c>
      <c r="M617" s="0" t="s">
        <v>140</v>
      </c>
      <c r="N617" s="0" t="n">
        <v>815</v>
      </c>
      <c r="O617" s="10" t="n">
        <v>0.124662575544789</v>
      </c>
      <c r="P617" s="10" t="n">
        <v>0.577288038097322</v>
      </c>
      <c r="Q617" s="0" t="str">
        <f aca="false">SUBSTITUTE(SUBSTITUTE($I617,CHAR(61),""),CHAR(34),"")</f>
        <v>50+</v>
      </c>
      <c r="R617" s="0" t="str">
        <f aca="false">IF($D617&lt;&gt;"","["&amp;$E617&amp;"]"&amp;"|"&amp;$Q617&amp;"|"&amp;$K617&amp;"|"&amp;$G617&amp;"|"&amp;IF($G617="TX_CURR_SUBNAT.R","CY2022Q4",$M617),"")</f>
        <v>[mxqa3CDFmIT]|50+|Male|POP_EST.T_1|CY2023Q3</v>
      </c>
    </row>
    <row r="618" customFormat="false" ht="15" hidden="false" customHeight="false" outlineLevel="0" collapsed="false">
      <c r="D618" s="9" t="s">
        <v>102</v>
      </c>
      <c r="E618" s="9" t="s">
        <v>103</v>
      </c>
      <c r="F618" s="9" t="s">
        <v>104</v>
      </c>
      <c r="G618" s="9" t="s">
        <v>138</v>
      </c>
      <c r="H618" s="9" t="s">
        <v>139</v>
      </c>
      <c r="I618" s="0" t="s">
        <v>28</v>
      </c>
      <c r="J618" s="9" t="s">
        <v>29</v>
      </c>
      <c r="K618" s="9" t="s">
        <v>30</v>
      </c>
      <c r="L618" s="9" t="s">
        <v>31</v>
      </c>
      <c r="M618" s="0" t="s">
        <v>140</v>
      </c>
      <c r="N618" s="0" t="n">
        <v>1878</v>
      </c>
      <c r="O618" s="10" t="n">
        <v>0.794240142218769</v>
      </c>
      <c r="P618" s="10" t="n">
        <v>0.526212359312922</v>
      </c>
      <c r="Q618" s="0" t="str">
        <f aca="false">SUBSTITUTE(SUBSTITUTE($I618,CHAR(61),""),CHAR(34),"")</f>
        <v>&lt;01</v>
      </c>
      <c r="R618" s="0" t="str">
        <f aca="false">IF($D618&lt;&gt;"","["&amp;$E618&amp;"]"&amp;"|"&amp;$Q618&amp;"|"&amp;$K618&amp;"|"&amp;$G618&amp;"|"&amp;IF($G618="TX_CURR_SUBNAT.R","CY2022Q4",$M618),"")</f>
        <v>[wNqJp8oRIcF]|&lt;01|Female|POP_EST.T_1|CY2023Q3</v>
      </c>
    </row>
    <row r="619" customFormat="false" ht="15" hidden="false" customHeight="false" outlineLevel="0" collapsed="false">
      <c r="D619" s="9" t="s">
        <v>102</v>
      </c>
      <c r="E619" s="9" t="s">
        <v>103</v>
      </c>
      <c r="F619" s="9" t="s">
        <v>104</v>
      </c>
      <c r="G619" s="9" t="s">
        <v>138</v>
      </c>
      <c r="H619" s="9" t="s">
        <v>139</v>
      </c>
      <c r="I619" s="0" t="s">
        <v>33</v>
      </c>
      <c r="J619" s="9" t="s">
        <v>34</v>
      </c>
      <c r="K619" s="9" t="s">
        <v>30</v>
      </c>
      <c r="L619" s="9" t="s">
        <v>31</v>
      </c>
      <c r="M619" s="0" t="s">
        <v>140</v>
      </c>
      <c r="N619" s="0" t="n">
        <v>1180</v>
      </c>
      <c r="O619" s="10" t="n">
        <v>0.902600635075942</v>
      </c>
      <c r="P619" s="10" t="n">
        <v>0.526212359312922</v>
      </c>
      <c r="Q619" s="0" t="str">
        <f aca="false">SUBSTITUTE(SUBSTITUTE($I619,CHAR(61),""),CHAR(34),"")</f>
        <v>01-09</v>
      </c>
      <c r="R619" s="0" t="str">
        <f aca="false">IF($D619&lt;&gt;"","["&amp;$E619&amp;"]"&amp;"|"&amp;$Q619&amp;"|"&amp;$K619&amp;"|"&amp;$G619&amp;"|"&amp;IF($G619="TX_CURR_SUBNAT.R","CY2022Q4",$M619),"")</f>
        <v>[wNqJp8oRIcF]|01-09|Female|POP_EST.T_1|CY2023Q3</v>
      </c>
    </row>
    <row r="620" customFormat="false" ht="15" hidden="false" customHeight="false" outlineLevel="0" collapsed="false">
      <c r="D620" s="9" t="s">
        <v>102</v>
      </c>
      <c r="E620" s="9" t="s">
        <v>103</v>
      </c>
      <c r="F620" s="9" t="s">
        <v>104</v>
      </c>
      <c r="G620" s="9" t="s">
        <v>138</v>
      </c>
      <c r="H620" s="9" t="s">
        <v>139</v>
      </c>
      <c r="I620" s="0" t="s">
        <v>36</v>
      </c>
      <c r="J620" s="9" t="s">
        <v>37</v>
      </c>
      <c r="K620" s="9" t="s">
        <v>30</v>
      </c>
      <c r="L620" s="9" t="s">
        <v>31</v>
      </c>
      <c r="M620" s="0" t="s">
        <v>140</v>
      </c>
      <c r="N620" s="0" t="n">
        <v>842</v>
      </c>
      <c r="O620" s="10" t="n">
        <v>0.499486539745703</v>
      </c>
      <c r="P620" s="10" t="n">
        <v>0.526212359312922</v>
      </c>
      <c r="Q620" s="0" t="str">
        <f aca="false">SUBSTITUTE(SUBSTITUTE($I620,CHAR(61),""),CHAR(34),"")</f>
        <v>10-14</v>
      </c>
      <c r="R620" s="0" t="str">
        <f aca="false">IF($D620&lt;&gt;"","["&amp;$E620&amp;"]"&amp;"|"&amp;$Q620&amp;"|"&amp;$K620&amp;"|"&amp;$G620&amp;"|"&amp;IF($G620="TX_CURR_SUBNAT.R","CY2022Q4",$M620),"")</f>
        <v>[wNqJp8oRIcF]|10-14|Female|POP_EST.T_1|CY2023Q3</v>
      </c>
    </row>
    <row r="621" customFormat="false" ht="15" hidden="false" customHeight="false" outlineLevel="0" collapsed="false">
      <c r="D621" s="9" t="s">
        <v>102</v>
      </c>
      <c r="E621" s="9" t="s">
        <v>103</v>
      </c>
      <c r="F621" s="9" t="s">
        <v>104</v>
      </c>
      <c r="G621" s="9" t="s">
        <v>138</v>
      </c>
      <c r="H621" s="9" t="s">
        <v>139</v>
      </c>
      <c r="I621" s="0" t="s">
        <v>38</v>
      </c>
      <c r="J621" s="9" t="s">
        <v>39</v>
      </c>
      <c r="K621" s="9" t="s">
        <v>30</v>
      </c>
      <c r="L621" s="9" t="s">
        <v>31</v>
      </c>
      <c r="M621" s="0" t="s">
        <v>140</v>
      </c>
      <c r="N621" s="0" t="n">
        <v>1256</v>
      </c>
      <c r="O621" s="10" t="n">
        <v>0.0209536775946617</v>
      </c>
      <c r="P621" s="10" t="n">
        <v>0.526212359312922</v>
      </c>
      <c r="Q621" s="0" t="str">
        <f aca="false">SUBSTITUTE(SUBSTITUTE($I621,CHAR(61),""),CHAR(34),"")</f>
        <v>15-24</v>
      </c>
      <c r="R621" s="0" t="str">
        <f aca="false">IF($D621&lt;&gt;"","["&amp;$E621&amp;"]"&amp;"|"&amp;$Q621&amp;"|"&amp;$K621&amp;"|"&amp;$G621&amp;"|"&amp;IF($G621="TX_CURR_SUBNAT.R","CY2022Q4",$M621),"")</f>
        <v>[wNqJp8oRIcF]|15-24|Female|POP_EST.T_1|CY2023Q3</v>
      </c>
    </row>
    <row r="622" customFormat="false" ht="15" hidden="false" customHeight="false" outlineLevel="0" collapsed="false">
      <c r="D622" s="9" t="s">
        <v>102</v>
      </c>
      <c r="E622" s="9" t="s">
        <v>103</v>
      </c>
      <c r="F622" s="9" t="s">
        <v>104</v>
      </c>
      <c r="G622" s="9" t="s">
        <v>138</v>
      </c>
      <c r="H622" s="9" t="s">
        <v>139</v>
      </c>
      <c r="I622" s="0" t="s">
        <v>41</v>
      </c>
      <c r="J622" s="9" t="s">
        <v>42</v>
      </c>
      <c r="K622" s="9" t="s">
        <v>30</v>
      </c>
      <c r="L622" s="9" t="s">
        <v>31</v>
      </c>
      <c r="M622" s="0" t="s">
        <v>140</v>
      </c>
      <c r="N622" s="0" t="n">
        <v>619</v>
      </c>
      <c r="O622" s="10" t="n">
        <v>0.115796220023185</v>
      </c>
      <c r="P622" s="10" t="n">
        <v>0.526212359312922</v>
      </c>
      <c r="Q622" s="0" t="str">
        <f aca="false">SUBSTITUTE(SUBSTITUTE($I622,CHAR(61),""),CHAR(34),"")</f>
        <v>25-34</v>
      </c>
      <c r="R622" s="0" t="str">
        <f aca="false">IF($D622&lt;&gt;"","["&amp;$E622&amp;"]"&amp;"|"&amp;$Q622&amp;"|"&amp;$K622&amp;"|"&amp;$G622&amp;"|"&amp;IF($G622="TX_CURR_SUBNAT.R","CY2022Q4",$M622),"")</f>
        <v>[wNqJp8oRIcF]|25-34|Female|POP_EST.T_1|CY2023Q3</v>
      </c>
    </row>
    <row r="623" customFormat="false" ht="15" hidden="false" customHeight="false" outlineLevel="0" collapsed="false">
      <c r="D623" s="9" t="s">
        <v>102</v>
      </c>
      <c r="E623" s="9" t="s">
        <v>103</v>
      </c>
      <c r="F623" s="9" t="s">
        <v>104</v>
      </c>
      <c r="G623" s="9" t="s">
        <v>138</v>
      </c>
      <c r="H623" s="9" t="s">
        <v>139</v>
      </c>
      <c r="I623" s="0" t="s">
        <v>43</v>
      </c>
      <c r="J623" s="9" t="s">
        <v>44</v>
      </c>
      <c r="K623" s="9" t="s">
        <v>30</v>
      </c>
      <c r="L623" s="9" t="s">
        <v>31</v>
      </c>
      <c r="M623" s="0" t="s">
        <v>140</v>
      </c>
      <c r="N623" s="0" t="n">
        <v>1684</v>
      </c>
      <c r="O623" s="10" t="n">
        <v>0.384394663386047</v>
      </c>
      <c r="P623" s="10" t="n">
        <v>0.526212359312922</v>
      </c>
      <c r="Q623" s="0" t="str">
        <f aca="false">SUBSTITUTE(SUBSTITUTE($I623,CHAR(61),""),CHAR(34),"")</f>
        <v>35-49</v>
      </c>
      <c r="R623" s="0" t="str">
        <f aca="false">IF($D623&lt;&gt;"","["&amp;$E623&amp;"]"&amp;"|"&amp;$Q623&amp;"|"&amp;$K623&amp;"|"&amp;$G623&amp;"|"&amp;IF($G623="TX_CURR_SUBNAT.R","CY2022Q4",$M623),"")</f>
        <v>[wNqJp8oRIcF]|35-49|Female|POP_EST.T_1|CY2023Q3</v>
      </c>
    </row>
    <row r="624" customFormat="false" ht="15" hidden="false" customHeight="false" outlineLevel="0" collapsed="false">
      <c r="D624" s="9" t="s">
        <v>102</v>
      </c>
      <c r="E624" s="9" t="s">
        <v>103</v>
      </c>
      <c r="F624" s="9" t="s">
        <v>104</v>
      </c>
      <c r="G624" s="9" t="s">
        <v>138</v>
      </c>
      <c r="H624" s="9" t="s">
        <v>139</v>
      </c>
      <c r="I624" s="0" t="s">
        <v>45</v>
      </c>
      <c r="J624" s="9" t="s">
        <v>46</v>
      </c>
      <c r="K624" s="9" t="s">
        <v>30</v>
      </c>
      <c r="L624" s="9" t="s">
        <v>31</v>
      </c>
      <c r="M624" s="0" t="s">
        <v>140</v>
      </c>
      <c r="N624" s="0" t="n">
        <v>662</v>
      </c>
      <c r="O624" s="10" t="n">
        <v>0.975448633078486</v>
      </c>
      <c r="P624" s="10" t="n">
        <v>0.526212359312922</v>
      </c>
      <c r="Q624" s="0" t="str">
        <f aca="false">SUBSTITUTE(SUBSTITUTE($I624,CHAR(61),""),CHAR(34),"")</f>
        <v>50+</v>
      </c>
      <c r="R624" s="0" t="str">
        <f aca="false">IF($D624&lt;&gt;"","["&amp;$E624&amp;"]"&amp;"|"&amp;$Q624&amp;"|"&amp;$K624&amp;"|"&amp;$G624&amp;"|"&amp;IF($G624="TX_CURR_SUBNAT.R","CY2022Q4",$M624),"")</f>
        <v>[wNqJp8oRIcF]|50+|Female|POP_EST.T_1|CY2023Q3</v>
      </c>
    </row>
    <row r="625" customFormat="false" ht="15" hidden="false" customHeight="false" outlineLevel="0" collapsed="false">
      <c r="D625" s="9" t="s">
        <v>102</v>
      </c>
      <c r="E625" s="9" t="s">
        <v>103</v>
      </c>
      <c r="F625" s="9" t="s">
        <v>104</v>
      </c>
      <c r="G625" s="9" t="s">
        <v>138</v>
      </c>
      <c r="H625" s="9" t="s">
        <v>139</v>
      </c>
      <c r="I625" s="0" t="s">
        <v>28</v>
      </c>
      <c r="J625" s="9" t="s">
        <v>29</v>
      </c>
      <c r="K625" s="9" t="s">
        <v>48</v>
      </c>
      <c r="L625" s="9" t="s">
        <v>49</v>
      </c>
      <c r="M625" s="0" t="s">
        <v>140</v>
      </c>
      <c r="N625" s="0" t="n">
        <v>790</v>
      </c>
      <c r="O625" s="10" t="n">
        <v>0.552116325357929</v>
      </c>
      <c r="P625" s="10" t="n">
        <v>0.526212359312922</v>
      </c>
      <c r="Q625" s="0" t="str">
        <f aca="false">SUBSTITUTE(SUBSTITUTE($I625,CHAR(61),""),CHAR(34),"")</f>
        <v>&lt;01</v>
      </c>
      <c r="R625" s="0" t="str">
        <f aca="false">IF($D625&lt;&gt;"","["&amp;$E625&amp;"]"&amp;"|"&amp;$Q625&amp;"|"&amp;$K625&amp;"|"&amp;$G625&amp;"|"&amp;IF($G625="TX_CURR_SUBNAT.R","CY2022Q4",$M625),"")</f>
        <v>[wNqJp8oRIcF]|&lt;01|Male|POP_EST.T_1|CY2023Q3</v>
      </c>
    </row>
    <row r="626" customFormat="false" ht="15" hidden="false" customHeight="false" outlineLevel="0" collapsed="false">
      <c r="D626" s="9" t="s">
        <v>102</v>
      </c>
      <c r="E626" s="9" t="s">
        <v>103</v>
      </c>
      <c r="F626" s="9" t="s">
        <v>104</v>
      </c>
      <c r="G626" s="9" t="s">
        <v>138</v>
      </c>
      <c r="H626" s="9" t="s">
        <v>139</v>
      </c>
      <c r="I626" s="0" t="s">
        <v>33</v>
      </c>
      <c r="J626" s="9" t="s">
        <v>34</v>
      </c>
      <c r="K626" s="9" t="s">
        <v>48</v>
      </c>
      <c r="L626" s="9" t="s">
        <v>49</v>
      </c>
      <c r="M626" s="0" t="s">
        <v>140</v>
      </c>
      <c r="N626" s="0" t="n">
        <v>880</v>
      </c>
      <c r="O626" s="10" t="n">
        <v>0.18517937627621</v>
      </c>
      <c r="P626" s="10" t="n">
        <v>0.526212359312922</v>
      </c>
      <c r="Q626" s="0" t="str">
        <f aca="false">SUBSTITUTE(SUBSTITUTE($I626,CHAR(61),""),CHAR(34),"")</f>
        <v>01-09</v>
      </c>
      <c r="R626" s="0" t="str">
        <f aca="false">IF($D626&lt;&gt;"","["&amp;$E626&amp;"]"&amp;"|"&amp;$Q626&amp;"|"&amp;$K626&amp;"|"&amp;$G626&amp;"|"&amp;IF($G626="TX_CURR_SUBNAT.R","CY2022Q4",$M626),"")</f>
        <v>[wNqJp8oRIcF]|01-09|Male|POP_EST.T_1|CY2023Q3</v>
      </c>
    </row>
    <row r="627" customFormat="false" ht="15" hidden="false" customHeight="false" outlineLevel="0" collapsed="false">
      <c r="D627" s="9" t="s">
        <v>102</v>
      </c>
      <c r="E627" s="9" t="s">
        <v>103</v>
      </c>
      <c r="F627" s="9" t="s">
        <v>104</v>
      </c>
      <c r="G627" s="9" t="s">
        <v>138</v>
      </c>
      <c r="H627" s="9" t="s">
        <v>139</v>
      </c>
      <c r="I627" s="0" t="s">
        <v>36</v>
      </c>
      <c r="J627" s="9" t="s">
        <v>37</v>
      </c>
      <c r="K627" s="9" t="s">
        <v>48</v>
      </c>
      <c r="L627" s="9" t="s">
        <v>49</v>
      </c>
      <c r="M627" s="0" t="s">
        <v>140</v>
      </c>
      <c r="N627" s="0" t="n">
        <v>1373</v>
      </c>
      <c r="O627" s="10" t="n">
        <v>0.922126104589552</v>
      </c>
      <c r="P627" s="10" t="n">
        <v>0.526212359312922</v>
      </c>
      <c r="Q627" s="0" t="str">
        <f aca="false">SUBSTITUTE(SUBSTITUTE($I627,CHAR(61),""),CHAR(34),"")</f>
        <v>10-14</v>
      </c>
      <c r="R627" s="0" t="str">
        <f aca="false">IF($D627&lt;&gt;"","["&amp;$E627&amp;"]"&amp;"|"&amp;$Q627&amp;"|"&amp;$K627&amp;"|"&amp;$G627&amp;"|"&amp;IF($G627="TX_CURR_SUBNAT.R","CY2022Q4",$M627),"")</f>
        <v>[wNqJp8oRIcF]|10-14|Male|POP_EST.T_1|CY2023Q3</v>
      </c>
    </row>
    <row r="628" customFormat="false" ht="15" hidden="false" customHeight="false" outlineLevel="0" collapsed="false">
      <c r="D628" s="9" t="s">
        <v>102</v>
      </c>
      <c r="E628" s="9" t="s">
        <v>103</v>
      </c>
      <c r="F628" s="9" t="s">
        <v>104</v>
      </c>
      <c r="G628" s="9" t="s">
        <v>138</v>
      </c>
      <c r="H628" s="9" t="s">
        <v>139</v>
      </c>
      <c r="I628" s="0" t="s">
        <v>38</v>
      </c>
      <c r="J628" s="9" t="s">
        <v>39</v>
      </c>
      <c r="K628" s="9" t="s">
        <v>48</v>
      </c>
      <c r="L628" s="9" t="s">
        <v>49</v>
      </c>
      <c r="M628" s="0" t="s">
        <v>140</v>
      </c>
      <c r="N628" s="0" t="n">
        <v>1538</v>
      </c>
      <c r="O628" s="10" t="n">
        <v>0.231074939249083</v>
      </c>
      <c r="P628" s="10" t="n">
        <v>0.526212359312922</v>
      </c>
      <c r="Q628" s="0" t="str">
        <f aca="false">SUBSTITUTE(SUBSTITUTE($I628,CHAR(61),""),CHAR(34),"")</f>
        <v>15-24</v>
      </c>
      <c r="R628" s="0" t="str">
        <f aca="false">IF($D628&lt;&gt;"","["&amp;$E628&amp;"]"&amp;"|"&amp;$Q628&amp;"|"&amp;$K628&amp;"|"&amp;$G628&amp;"|"&amp;IF($G628="TX_CURR_SUBNAT.R","CY2022Q4",$M628),"")</f>
        <v>[wNqJp8oRIcF]|15-24|Male|POP_EST.T_1|CY2023Q3</v>
      </c>
    </row>
    <row r="629" customFormat="false" ht="15" hidden="false" customHeight="false" outlineLevel="0" collapsed="false">
      <c r="D629" s="9" t="s">
        <v>102</v>
      </c>
      <c r="E629" s="9" t="s">
        <v>103</v>
      </c>
      <c r="F629" s="9" t="s">
        <v>104</v>
      </c>
      <c r="G629" s="9" t="s">
        <v>138</v>
      </c>
      <c r="H629" s="9" t="s">
        <v>139</v>
      </c>
      <c r="I629" s="0" t="s">
        <v>41</v>
      </c>
      <c r="J629" s="9" t="s">
        <v>42</v>
      </c>
      <c r="K629" s="9" t="s">
        <v>48</v>
      </c>
      <c r="L629" s="9" t="s">
        <v>49</v>
      </c>
      <c r="M629" s="0" t="s">
        <v>140</v>
      </c>
      <c r="N629" s="0" t="n">
        <v>1510</v>
      </c>
      <c r="O629" s="10" t="n">
        <v>0.297432105522603</v>
      </c>
      <c r="P629" s="10" t="n">
        <v>0.526212359312922</v>
      </c>
      <c r="Q629" s="0" t="str">
        <f aca="false">SUBSTITUTE(SUBSTITUTE($I629,CHAR(61),""),CHAR(34),"")</f>
        <v>25-34</v>
      </c>
      <c r="R629" s="0" t="str">
        <f aca="false">IF($D629&lt;&gt;"","["&amp;$E629&amp;"]"&amp;"|"&amp;$Q629&amp;"|"&amp;$K629&amp;"|"&amp;$G629&amp;"|"&amp;IF($G629="TX_CURR_SUBNAT.R","CY2022Q4",$M629),"")</f>
        <v>[wNqJp8oRIcF]|25-34|Male|POP_EST.T_1|CY2023Q3</v>
      </c>
    </row>
    <row r="630" customFormat="false" ht="15" hidden="false" customHeight="false" outlineLevel="0" collapsed="false">
      <c r="D630" s="9" t="s">
        <v>102</v>
      </c>
      <c r="E630" s="9" t="s">
        <v>103</v>
      </c>
      <c r="F630" s="9" t="s">
        <v>104</v>
      </c>
      <c r="G630" s="9" t="s">
        <v>138</v>
      </c>
      <c r="H630" s="9" t="s">
        <v>139</v>
      </c>
      <c r="I630" s="0" t="s">
        <v>43</v>
      </c>
      <c r="J630" s="9" t="s">
        <v>44</v>
      </c>
      <c r="K630" s="9" t="s">
        <v>48</v>
      </c>
      <c r="L630" s="9" t="s">
        <v>49</v>
      </c>
      <c r="M630" s="0" t="s">
        <v>140</v>
      </c>
      <c r="N630" s="0" t="n">
        <v>1641</v>
      </c>
      <c r="O630" s="10" t="n">
        <v>0.946411623386666</v>
      </c>
      <c r="P630" s="10" t="n">
        <v>0.526212359312922</v>
      </c>
      <c r="Q630" s="0" t="str">
        <f aca="false">SUBSTITUTE(SUBSTITUTE($I630,CHAR(61),""),CHAR(34),"")</f>
        <v>35-49</v>
      </c>
      <c r="R630" s="0" t="str">
        <f aca="false">IF($D630&lt;&gt;"","["&amp;$E630&amp;"]"&amp;"|"&amp;$Q630&amp;"|"&amp;$K630&amp;"|"&amp;$G630&amp;"|"&amp;IF($G630="TX_CURR_SUBNAT.R","CY2022Q4",$M630),"")</f>
        <v>[wNqJp8oRIcF]|35-49|Male|POP_EST.T_1|CY2023Q3</v>
      </c>
    </row>
    <row r="631" customFormat="false" ht="15" hidden="false" customHeight="false" outlineLevel="0" collapsed="false">
      <c r="D631" s="9" t="s">
        <v>102</v>
      </c>
      <c r="E631" s="9" t="s">
        <v>103</v>
      </c>
      <c r="F631" s="9" t="s">
        <v>104</v>
      </c>
      <c r="G631" s="9" t="s">
        <v>138</v>
      </c>
      <c r="H631" s="9" t="s">
        <v>139</v>
      </c>
      <c r="I631" s="0" t="s">
        <v>45</v>
      </c>
      <c r="J631" s="9" t="s">
        <v>46</v>
      </c>
      <c r="K631" s="9" t="s">
        <v>48</v>
      </c>
      <c r="L631" s="9" t="s">
        <v>49</v>
      </c>
      <c r="M631" s="0" t="s">
        <v>140</v>
      </c>
      <c r="N631" s="0" t="n">
        <v>1807</v>
      </c>
      <c r="O631" s="10" t="n">
        <v>0.741249269805849</v>
      </c>
      <c r="P631" s="10" t="n">
        <v>0.526212359312922</v>
      </c>
      <c r="Q631" s="0" t="str">
        <f aca="false">SUBSTITUTE(SUBSTITUTE($I631,CHAR(61),""),CHAR(34),"")</f>
        <v>50+</v>
      </c>
      <c r="R631" s="0" t="str">
        <f aca="false">IF($D631&lt;&gt;"","["&amp;$E631&amp;"]"&amp;"|"&amp;$Q631&amp;"|"&amp;$K631&amp;"|"&amp;$G631&amp;"|"&amp;IF($G631="TX_CURR_SUBNAT.R","CY2022Q4",$M631),"")</f>
        <v>[wNqJp8oRIcF]|50+|Male|POP_EST.T_1|CY2023Q3</v>
      </c>
    </row>
    <row r="632" customFormat="false" ht="15" hidden="false" customHeight="false" outlineLevel="0" collapsed="false">
      <c r="D632" s="9" t="s">
        <v>105</v>
      </c>
      <c r="E632" s="9" t="s">
        <v>106</v>
      </c>
      <c r="F632" s="9" t="s">
        <v>107</v>
      </c>
      <c r="G632" s="9" t="s">
        <v>138</v>
      </c>
      <c r="H632" s="9" t="s">
        <v>139</v>
      </c>
      <c r="I632" s="0" t="s">
        <v>28</v>
      </c>
      <c r="J632" s="9" t="s">
        <v>29</v>
      </c>
      <c r="K632" s="9" t="s">
        <v>30</v>
      </c>
      <c r="L632" s="9" t="s">
        <v>31</v>
      </c>
      <c r="M632" s="0" t="s">
        <v>140</v>
      </c>
      <c r="N632" s="0" t="n">
        <v>1863</v>
      </c>
      <c r="O632" s="10" t="n">
        <v>0.550648957490921</v>
      </c>
      <c r="P632" s="10" t="n">
        <v>0.218249560333788</v>
      </c>
      <c r="Q632" s="0" t="str">
        <f aca="false">SUBSTITUTE(SUBSTITUTE($I632,CHAR(61),""),CHAR(34),"")</f>
        <v>&lt;01</v>
      </c>
      <c r="R632" s="0" t="str">
        <f aca="false">IF($D632&lt;&gt;"","["&amp;$E632&amp;"]"&amp;"|"&amp;$Q632&amp;"|"&amp;$K632&amp;"|"&amp;$G632&amp;"|"&amp;IF($G632="TX_CURR_SUBNAT.R","CY2022Q4",$M632),"")</f>
        <v>[oiPR2CiVJbf]|&lt;01|Female|POP_EST.T_1|CY2023Q3</v>
      </c>
    </row>
    <row r="633" customFormat="false" ht="15" hidden="false" customHeight="false" outlineLevel="0" collapsed="false">
      <c r="D633" s="9" t="s">
        <v>105</v>
      </c>
      <c r="E633" s="9" t="s">
        <v>106</v>
      </c>
      <c r="F633" s="9" t="s">
        <v>107</v>
      </c>
      <c r="G633" s="9" t="s">
        <v>138</v>
      </c>
      <c r="H633" s="9" t="s">
        <v>139</v>
      </c>
      <c r="I633" s="0" t="s">
        <v>33</v>
      </c>
      <c r="J633" s="9" t="s">
        <v>34</v>
      </c>
      <c r="K633" s="9" t="s">
        <v>30</v>
      </c>
      <c r="L633" s="9" t="s">
        <v>31</v>
      </c>
      <c r="M633" s="0" t="s">
        <v>140</v>
      </c>
      <c r="N633" s="0" t="n">
        <v>925</v>
      </c>
      <c r="O633" s="10" t="n">
        <v>0.762201877776533</v>
      </c>
      <c r="P633" s="10" t="n">
        <v>0.218249560333788</v>
      </c>
      <c r="Q633" s="0" t="str">
        <f aca="false">SUBSTITUTE(SUBSTITUTE($I633,CHAR(61),""),CHAR(34),"")</f>
        <v>01-09</v>
      </c>
      <c r="R633" s="0" t="str">
        <f aca="false">IF($D633&lt;&gt;"","["&amp;$E633&amp;"]"&amp;"|"&amp;$Q633&amp;"|"&amp;$K633&amp;"|"&amp;$G633&amp;"|"&amp;IF($G633="TX_CURR_SUBNAT.R","CY2022Q4",$M633),"")</f>
        <v>[oiPR2CiVJbf]|01-09|Female|POP_EST.T_1|CY2023Q3</v>
      </c>
    </row>
    <row r="634" customFormat="false" ht="15" hidden="false" customHeight="false" outlineLevel="0" collapsed="false">
      <c r="D634" s="9" t="s">
        <v>105</v>
      </c>
      <c r="E634" s="9" t="s">
        <v>106</v>
      </c>
      <c r="F634" s="9" t="s">
        <v>107</v>
      </c>
      <c r="G634" s="9" t="s">
        <v>138</v>
      </c>
      <c r="H634" s="9" t="s">
        <v>139</v>
      </c>
      <c r="I634" s="0" t="s">
        <v>36</v>
      </c>
      <c r="J634" s="9" t="s">
        <v>37</v>
      </c>
      <c r="K634" s="9" t="s">
        <v>30</v>
      </c>
      <c r="L634" s="9" t="s">
        <v>31</v>
      </c>
      <c r="M634" s="0" t="s">
        <v>140</v>
      </c>
      <c r="N634" s="0" t="n">
        <v>1439</v>
      </c>
      <c r="O634" s="10" t="n">
        <v>0.506156492745504</v>
      </c>
      <c r="P634" s="10" t="n">
        <v>0.218249560333788</v>
      </c>
      <c r="Q634" s="0" t="str">
        <f aca="false">SUBSTITUTE(SUBSTITUTE($I634,CHAR(61),""),CHAR(34),"")</f>
        <v>10-14</v>
      </c>
      <c r="R634" s="0" t="str">
        <f aca="false">IF($D634&lt;&gt;"","["&amp;$E634&amp;"]"&amp;"|"&amp;$Q634&amp;"|"&amp;$K634&amp;"|"&amp;$G634&amp;"|"&amp;IF($G634="TX_CURR_SUBNAT.R","CY2022Q4",$M634),"")</f>
        <v>[oiPR2CiVJbf]|10-14|Female|POP_EST.T_1|CY2023Q3</v>
      </c>
    </row>
    <row r="635" customFormat="false" ht="15" hidden="false" customHeight="false" outlineLevel="0" collapsed="false">
      <c r="D635" s="9" t="s">
        <v>105</v>
      </c>
      <c r="E635" s="9" t="s">
        <v>106</v>
      </c>
      <c r="F635" s="9" t="s">
        <v>107</v>
      </c>
      <c r="G635" s="9" t="s">
        <v>138</v>
      </c>
      <c r="H635" s="9" t="s">
        <v>139</v>
      </c>
      <c r="I635" s="0" t="s">
        <v>38</v>
      </c>
      <c r="J635" s="9" t="s">
        <v>39</v>
      </c>
      <c r="K635" s="9" t="s">
        <v>30</v>
      </c>
      <c r="L635" s="9" t="s">
        <v>31</v>
      </c>
      <c r="M635" s="0" t="s">
        <v>140</v>
      </c>
      <c r="N635" s="0" t="n">
        <v>873</v>
      </c>
      <c r="O635" s="10" t="n">
        <v>0.718683562008664</v>
      </c>
      <c r="P635" s="10" t="n">
        <v>0.218249560333788</v>
      </c>
      <c r="Q635" s="0" t="str">
        <f aca="false">SUBSTITUTE(SUBSTITUTE($I635,CHAR(61),""),CHAR(34),"")</f>
        <v>15-24</v>
      </c>
      <c r="R635" s="0" t="str">
        <f aca="false">IF($D635&lt;&gt;"","["&amp;$E635&amp;"]"&amp;"|"&amp;$Q635&amp;"|"&amp;$K635&amp;"|"&amp;$G635&amp;"|"&amp;IF($G635="TX_CURR_SUBNAT.R","CY2022Q4",$M635),"")</f>
        <v>[oiPR2CiVJbf]|15-24|Female|POP_EST.T_1|CY2023Q3</v>
      </c>
    </row>
    <row r="636" customFormat="false" ht="15" hidden="false" customHeight="false" outlineLevel="0" collapsed="false">
      <c r="D636" s="9" t="s">
        <v>105</v>
      </c>
      <c r="E636" s="9" t="s">
        <v>106</v>
      </c>
      <c r="F636" s="9" t="s">
        <v>107</v>
      </c>
      <c r="G636" s="9" t="s">
        <v>138</v>
      </c>
      <c r="H636" s="9" t="s">
        <v>139</v>
      </c>
      <c r="I636" s="0" t="s">
        <v>41</v>
      </c>
      <c r="J636" s="9" t="s">
        <v>42</v>
      </c>
      <c r="K636" s="9" t="s">
        <v>30</v>
      </c>
      <c r="L636" s="9" t="s">
        <v>31</v>
      </c>
      <c r="M636" s="0" t="s">
        <v>140</v>
      </c>
      <c r="N636" s="0" t="n">
        <v>1090</v>
      </c>
      <c r="O636" s="10" t="n">
        <v>0.53281455906108</v>
      </c>
      <c r="P636" s="10" t="n">
        <v>0.218249560333788</v>
      </c>
      <c r="Q636" s="0" t="str">
        <f aca="false">SUBSTITUTE(SUBSTITUTE($I636,CHAR(61),""),CHAR(34),"")</f>
        <v>25-34</v>
      </c>
      <c r="R636" s="0" t="str">
        <f aca="false">IF($D636&lt;&gt;"","["&amp;$E636&amp;"]"&amp;"|"&amp;$Q636&amp;"|"&amp;$K636&amp;"|"&amp;$G636&amp;"|"&amp;IF($G636="TX_CURR_SUBNAT.R","CY2022Q4",$M636),"")</f>
        <v>[oiPR2CiVJbf]|25-34|Female|POP_EST.T_1|CY2023Q3</v>
      </c>
    </row>
    <row r="637" customFormat="false" ht="15" hidden="false" customHeight="false" outlineLevel="0" collapsed="false">
      <c r="D637" s="9" t="s">
        <v>105</v>
      </c>
      <c r="E637" s="9" t="s">
        <v>106</v>
      </c>
      <c r="F637" s="9" t="s">
        <v>107</v>
      </c>
      <c r="G637" s="9" t="s">
        <v>138</v>
      </c>
      <c r="H637" s="9" t="s">
        <v>139</v>
      </c>
      <c r="I637" s="0" t="s">
        <v>43</v>
      </c>
      <c r="J637" s="9" t="s">
        <v>44</v>
      </c>
      <c r="K637" s="9" t="s">
        <v>30</v>
      </c>
      <c r="L637" s="9" t="s">
        <v>31</v>
      </c>
      <c r="M637" s="0" t="s">
        <v>140</v>
      </c>
      <c r="N637" s="0" t="n">
        <v>852</v>
      </c>
      <c r="O637" s="10" t="n">
        <v>0.884227299364284</v>
      </c>
      <c r="P637" s="10" t="n">
        <v>0.218249560333788</v>
      </c>
      <c r="Q637" s="0" t="str">
        <f aca="false">SUBSTITUTE(SUBSTITUTE($I637,CHAR(61),""),CHAR(34),"")</f>
        <v>35-49</v>
      </c>
      <c r="R637" s="0" t="str">
        <f aca="false">IF($D637&lt;&gt;"","["&amp;$E637&amp;"]"&amp;"|"&amp;$Q637&amp;"|"&amp;$K637&amp;"|"&amp;$G637&amp;"|"&amp;IF($G637="TX_CURR_SUBNAT.R","CY2022Q4",$M637),"")</f>
        <v>[oiPR2CiVJbf]|35-49|Female|POP_EST.T_1|CY2023Q3</v>
      </c>
    </row>
    <row r="638" customFormat="false" ht="15" hidden="false" customHeight="false" outlineLevel="0" collapsed="false">
      <c r="D638" s="9" t="s">
        <v>105</v>
      </c>
      <c r="E638" s="9" t="s">
        <v>106</v>
      </c>
      <c r="F638" s="9" t="s">
        <v>107</v>
      </c>
      <c r="G638" s="9" t="s">
        <v>138</v>
      </c>
      <c r="H638" s="9" t="s">
        <v>139</v>
      </c>
      <c r="I638" s="0" t="s">
        <v>45</v>
      </c>
      <c r="J638" s="9" t="s">
        <v>46</v>
      </c>
      <c r="K638" s="9" t="s">
        <v>30</v>
      </c>
      <c r="L638" s="9" t="s">
        <v>31</v>
      </c>
      <c r="M638" s="0" t="s">
        <v>140</v>
      </c>
      <c r="N638" s="0" t="n">
        <v>1061</v>
      </c>
      <c r="O638" s="10" t="n">
        <v>0.361910318024457</v>
      </c>
      <c r="P638" s="10" t="n">
        <v>0.218249560333788</v>
      </c>
      <c r="Q638" s="0" t="str">
        <f aca="false">SUBSTITUTE(SUBSTITUTE($I638,CHAR(61),""),CHAR(34),"")</f>
        <v>50+</v>
      </c>
      <c r="R638" s="0" t="str">
        <f aca="false">IF($D638&lt;&gt;"","["&amp;$E638&amp;"]"&amp;"|"&amp;$Q638&amp;"|"&amp;$K638&amp;"|"&amp;$G638&amp;"|"&amp;IF($G638="TX_CURR_SUBNAT.R","CY2022Q4",$M638),"")</f>
        <v>[oiPR2CiVJbf]|50+|Female|POP_EST.T_1|CY2023Q3</v>
      </c>
    </row>
    <row r="639" customFormat="false" ht="15" hidden="false" customHeight="false" outlineLevel="0" collapsed="false">
      <c r="D639" s="9" t="s">
        <v>105</v>
      </c>
      <c r="E639" s="9" t="s">
        <v>106</v>
      </c>
      <c r="F639" s="9" t="s">
        <v>107</v>
      </c>
      <c r="G639" s="9" t="s">
        <v>138</v>
      </c>
      <c r="H639" s="9" t="s">
        <v>139</v>
      </c>
      <c r="I639" s="0" t="s">
        <v>28</v>
      </c>
      <c r="J639" s="9" t="s">
        <v>29</v>
      </c>
      <c r="K639" s="9" t="s">
        <v>48</v>
      </c>
      <c r="L639" s="9" t="s">
        <v>49</v>
      </c>
      <c r="M639" s="0" t="s">
        <v>140</v>
      </c>
      <c r="N639" s="0" t="n">
        <v>777</v>
      </c>
      <c r="O639" s="10" t="n">
        <v>0.335989457787946</v>
      </c>
      <c r="P639" s="10" t="n">
        <v>0.218249560333788</v>
      </c>
      <c r="Q639" s="0" t="str">
        <f aca="false">SUBSTITUTE(SUBSTITUTE($I639,CHAR(61),""),CHAR(34),"")</f>
        <v>&lt;01</v>
      </c>
      <c r="R639" s="0" t="str">
        <f aca="false">IF($D639&lt;&gt;"","["&amp;$E639&amp;"]"&amp;"|"&amp;$Q639&amp;"|"&amp;$K639&amp;"|"&amp;$G639&amp;"|"&amp;IF($G639="TX_CURR_SUBNAT.R","CY2022Q4",$M639),"")</f>
        <v>[oiPR2CiVJbf]|&lt;01|Male|POP_EST.T_1|CY2023Q3</v>
      </c>
    </row>
    <row r="640" customFormat="false" ht="15" hidden="false" customHeight="false" outlineLevel="0" collapsed="false">
      <c r="D640" s="9" t="s">
        <v>105</v>
      </c>
      <c r="E640" s="9" t="s">
        <v>106</v>
      </c>
      <c r="F640" s="9" t="s">
        <v>107</v>
      </c>
      <c r="G640" s="9" t="s">
        <v>138</v>
      </c>
      <c r="H640" s="9" t="s">
        <v>139</v>
      </c>
      <c r="I640" s="0" t="s">
        <v>33</v>
      </c>
      <c r="J640" s="9" t="s">
        <v>34</v>
      </c>
      <c r="K640" s="9" t="s">
        <v>48</v>
      </c>
      <c r="L640" s="9" t="s">
        <v>49</v>
      </c>
      <c r="M640" s="0" t="s">
        <v>140</v>
      </c>
      <c r="N640" s="0" t="n">
        <v>1727</v>
      </c>
      <c r="O640" s="10" t="n">
        <v>0.0360535432118922</v>
      </c>
      <c r="P640" s="10" t="n">
        <v>0.218249560333788</v>
      </c>
      <c r="Q640" s="0" t="str">
        <f aca="false">SUBSTITUTE(SUBSTITUTE($I640,CHAR(61),""),CHAR(34),"")</f>
        <v>01-09</v>
      </c>
      <c r="R640" s="0" t="str">
        <f aca="false">IF($D640&lt;&gt;"","["&amp;$E640&amp;"]"&amp;"|"&amp;$Q640&amp;"|"&amp;$K640&amp;"|"&amp;$G640&amp;"|"&amp;IF($G640="TX_CURR_SUBNAT.R","CY2022Q4",$M640),"")</f>
        <v>[oiPR2CiVJbf]|01-09|Male|POP_EST.T_1|CY2023Q3</v>
      </c>
    </row>
    <row r="641" customFormat="false" ht="15" hidden="false" customHeight="false" outlineLevel="0" collapsed="false">
      <c r="D641" s="9" t="s">
        <v>105</v>
      </c>
      <c r="E641" s="9" t="s">
        <v>106</v>
      </c>
      <c r="F641" s="9" t="s">
        <v>107</v>
      </c>
      <c r="G641" s="9" t="s">
        <v>138</v>
      </c>
      <c r="H641" s="9" t="s">
        <v>139</v>
      </c>
      <c r="I641" s="0" t="s">
        <v>36</v>
      </c>
      <c r="J641" s="9" t="s">
        <v>37</v>
      </c>
      <c r="K641" s="9" t="s">
        <v>48</v>
      </c>
      <c r="L641" s="9" t="s">
        <v>49</v>
      </c>
      <c r="M641" s="0" t="s">
        <v>140</v>
      </c>
      <c r="N641" s="0" t="n">
        <v>1962</v>
      </c>
      <c r="O641" s="10" t="n">
        <v>0.618336191866547</v>
      </c>
      <c r="P641" s="10" t="n">
        <v>0.218249560333788</v>
      </c>
      <c r="Q641" s="0" t="str">
        <f aca="false">SUBSTITUTE(SUBSTITUTE($I641,CHAR(61),""),CHAR(34),"")</f>
        <v>10-14</v>
      </c>
      <c r="R641" s="0" t="str">
        <f aca="false">IF($D641&lt;&gt;"","["&amp;$E641&amp;"]"&amp;"|"&amp;$Q641&amp;"|"&amp;$K641&amp;"|"&amp;$G641&amp;"|"&amp;IF($G641="TX_CURR_SUBNAT.R","CY2022Q4",$M641),"")</f>
        <v>[oiPR2CiVJbf]|10-14|Male|POP_EST.T_1|CY2023Q3</v>
      </c>
    </row>
    <row r="642" customFormat="false" ht="15" hidden="false" customHeight="false" outlineLevel="0" collapsed="false">
      <c r="D642" s="9" t="s">
        <v>105</v>
      </c>
      <c r="E642" s="9" t="s">
        <v>106</v>
      </c>
      <c r="F642" s="9" t="s">
        <v>107</v>
      </c>
      <c r="G642" s="9" t="s">
        <v>138</v>
      </c>
      <c r="H642" s="9" t="s">
        <v>139</v>
      </c>
      <c r="I642" s="0" t="s">
        <v>38</v>
      </c>
      <c r="J642" s="9" t="s">
        <v>39</v>
      </c>
      <c r="K642" s="9" t="s">
        <v>48</v>
      </c>
      <c r="L642" s="9" t="s">
        <v>49</v>
      </c>
      <c r="M642" s="0" t="s">
        <v>140</v>
      </c>
      <c r="N642" s="0" t="n">
        <v>691</v>
      </c>
      <c r="O642" s="10" t="n">
        <v>0.169639514992014</v>
      </c>
      <c r="P642" s="10" t="n">
        <v>0.218249560333788</v>
      </c>
      <c r="Q642" s="0" t="str">
        <f aca="false">SUBSTITUTE(SUBSTITUTE($I642,CHAR(61),""),CHAR(34),"")</f>
        <v>15-24</v>
      </c>
      <c r="R642" s="0" t="str">
        <f aca="false">IF($D642&lt;&gt;"","["&amp;$E642&amp;"]"&amp;"|"&amp;$Q642&amp;"|"&amp;$K642&amp;"|"&amp;$G642&amp;"|"&amp;IF($G642="TX_CURR_SUBNAT.R","CY2022Q4",$M642),"")</f>
        <v>[oiPR2CiVJbf]|15-24|Male|POP_EST.T_1|CY2023Q3</v>
      </c>
    </row>
    <row r="643" customFormat="false" ht="15" hidden="false" customHeight="false" outlineLevel="0" collapsed="false">
      <c r="D643" s="9" t="s">
        <v>105</v>
      </c>
      <c r="E643" s="9" t="s">
        <v>106</v>
      </c>
      <c r="F643" s="9" t="s">
        <v>107</v>
      </c>
      <c r="G643" s="9" t="s">
        <v>138</v>
      </c>
      <c r="H643" s="9" t="s">
        <v>139</v>
      </c>
      <c r="I643" s="0" t="s">
        <v>41</v>
      </c>
      <c r="J643" s="9" t="s">
        <v>42</v>
      </c>
      <c r="K643" s="9" t="s">
        <v>48</v>
      </c>
      <c r="L643" s="9" t="s">
        <v>49</v>
      </c>
      <c r="M643" s="0" t="s">
        <v>140</v>
      </c>
      <c r="N643" s="0" t="n">
        <v>788</v>
      </c>
      <c r="O643" s="10" t="n">
        <v>0.346690659876913</v>
      </c>
      <c r="P643" s="10" t="n">
        <v>0.218249560333788</v>
      </c>
      <c r="Q643" s="0" t="str">
        <f aca="false">SUBSTITUTE(SUBSTITUTE($I643,CHAR(61),""),CHAR(34),"")</f>
        <v>25-34</v>
      </c>
      <c r="R643" s="0" t="str">
        <f aca="false">IF($D643&lt;&gt;"","["&amp;$E643&amp;"]"&amp;"|"&amp;$Q643&amp;"|"&amp;$K643&amp;"|"&amp;$G643&amp;"|"&amp;IF($G643="TX_CURR_SUBNAT.R","CY2022Q4",$M643),"")</f>
        <v>[oiPR2CiVJbf]|25-34|Male|POP_EST.T_1|CY2023Q3</v>
      </c>
    </row>
    <row r="644" customFormat="false" ht="15" hidden="false" customHeight="false" outlineLevel="0" collapsed="false">
      <c r="D644" s="9" t="s">
        <v>105</v>
      </c>
      <c r="E644" s="9" t="s">
        <v>106</v>
      </c>
      <c r="F644" s="9" t="s">
        <v>107</v>
      </c>
      <c r="G644" s="9" t="s">
        <v>138</v>
      </c>
      <c r="H644" s="9" t="s">
        <v>139</v>
      </c>
      <c r="I644" s="0" t="s">
        <v>43</v>
      </c>
      <c r="J644" s="9" t="s">
        <v>44</v>
      </c>
      <c r="K644" s="9" t="s">
        <v>48</v>
      </c>
      <c r="L644" s="9" t="s">
        <v>49</v>
      </c>
      <c r="M644" s="0" t="s">
        <v>140</v>
      </c>
      <c r="N644" s="0" t="n">
        <v>718</v>
      </c>
      <c r="O644" s="10" t="n">
        <v>0.285923834424466</v>
      </c>
      <c r="P644" s="10" t="n">
        <v>0.218249560333788</v>
      </c>
      <c r="Q644" s="0" t="str">
        <f aca="false">SUBSTITUTE(SUBSTITUTE($I644,CHAR(61),""),CHAR(34),"")</f>
        <v>35-49</v>
      </c>
      <c r="R644" s="0" t="str">
        <f aca="false">IF($D644&lt;&gt;"","["&amp;$E644&amp;"]"&amp;"|"&amp;$Q644&amp;"|"&amp;$K644&amp;"|"&amp;$G644&amp;"|"&amp;IF($G644="TX_CURR_SUBNAT.R","CY2022Q4",$M644),"")</f>
        <v>[oiPR2CiVJbf]|35-49|Male|POP_EST.T_1|CY2023Q3</v>
      </c>
    </row>
    <row r="645" customFormat="false" ht="15" hidden="false" customHeight="false" outlineLevel="0" collapsed="false">
      <c r="D645" s="9" t="s">
        <v>105</v>
      </c>
      <c r="E645" s="9" t="s">
        <v>106</v>
      </c>
      <c r="F645" s="9" t="s">
        <v>107</v>
      </c>
      <c r="G645" s="9" t="s">
        <v>138</v>
      </c>
      <c r="H645" s="9" t="s">
        <v>139</v>
      </c>
      <c r="I645" s="0" t="s">
        <v>45</v>
      </c>
      <c r="J645" s="9" t="s">
        <v>46</v>
      </c>
      <c r="K645" s="9" t="s">
        <v>48</v>
      </c>
      <c r="L645" s="9" t="s">
        <v>49</v>
      </c>
      <c r="M645" s="0" t="s">
        <v>140</v>
      </c>
      <c r="N645" s="0" t="n">
        <v>1506</v>
      </c>
      <c r="O645" s="10" t="n">
        <v>0.673314471030608</v>
      </c>
      <c r="P645" s="10" t="n">
        <v>0.218249560333788</v>
      </c>
      <c r="Q645" s="0" t="str">
        <f aca="false">SUBSTITUTE(SUBSTITUTE($I645,CHAR(61),""),CHAR(34),"")</f>
        <v>50+</v>
      </c>
      <c r="R645" s="0" t="str">
        <f aca="false">IF($D645&lt;&gt;"","["&amp;$E645&amp;"]"&amp;"|"&amp;$Q645&amp;"|"&amp;$K645&amp;"|"&amp;$G645&amp;"|"&amp;IF($G645="TX_CURR_SUBNAT.R","CY2022Q4",$M645),"")</f>
        <v>[oiPR2CiVJbf]|50+|Male|POP_EST.T_1|CY2023Q3</v>
      </c>
    </row>
    <row r="646" customFormat="false" ht="15" hidden="false" customHeight="false" outlineLevel="0" collapsed="false">
      <c r="D646" s="9" t="s">
        <v>108</v>
      </c>
      <c r="E646" s="9" t="s">
        <v>109</v>
      </c>
      <c r="F646" s="9" t="s">
        <v>110</v>
      </c>
      <c r="G646" s="9" t="s">
        <v>138</v>
      </c>
      <c r="H646" s="9" t="s">
        <v>139</v>
      </c>
      <c r="I646" s="0" t="s">
        <v>28</v>
      </c>
      <c r="J646" s="9" t="s">
        <v>29</v>
      </c>
      <c r="K646" s="9" t="s">
        <v>30</v>
      </c>
      <c r="L646" s="9" t="s">
        <v>31</v>
      </c>
      <c r="M646" s="0" t="s">
        <v>140</v>
      </c>
      <c r="N646" s="0" t="n">
        <v>1179</v>
      </c>
      <c r="O646" s="10" t="n">
        <v>0.692608409095556</v>
      </c>
      <c r="P646" s="10" t="n">
        <v>0.434221804374829</v>
      </c>
      <c r="Q646" s="0" t="str">
        <f aca="false">SUBSTITUTE(SUBSTITUTE($I646,CHAR(61),""),CHAR(34),"")</f>
        <v>&lt;01</v>
      </c>
      <c r="R646" s="0" t="str">
        <f aca="false">IF($D646&lt;&gt;"","["&amp;$E646&amp;"]"&amp;"|"&amp;$Q646&amp;"|"&amp;$K646&amp;"|"&amp;$G646&amp;"|"&amp;IF($G646="TX_CURR_SUBNAT.R","CY2022Q4",$M646),"")</f>
        <v>[ul0y9diGujK]|&lt;01|Female|POP_EST.T_1|CY2023Q3</v>
      </c>
    </row>
    <row r="647" customFormat="false" ht="15" hidden="false" customHeight="false" outlineLevel="0" collapsed="false">
      <c r="D647" s="9" t="s">
        <v>108</v>
      </c>
      <c r="E647" s="9" t="s">
        <v>109</v>
      </c>
      <c r="F647" s="9" t="s">
        <v>110</v>
      </c>
      <c r="G647" s="9" t="s">
        <v>138</v>
      </c>
      <c r="H647" s="9" t="s">
        <v>139</v>
      </c>
      <c r="I647" s="0" t="s">
        <v>33</v>
      </c>
      <c r="J647" s="9" t="s">
        <v>34</v>
      </c>
      <c r="K647" s="9" t="s">
        <v>30</v>
      </c>
      <c r="L647" s="9" t="s">
        <v>31</v>
      </c>
      <c r="M647" s="0" t="s">
        <v>140</v>
      </c>
      <c r="N647" s="0" t="n">
        <v>1188</v>
      </c>
      <c r="O647" s="10" t="n">
        <v>0.649100392358378</v>
      </c>
      <c r="P647" s="10" t="n">
        <v>0.434221804374829</v>
      </c>
      <c r="Q647" s="0" t="str">
        <f aca="false">SUBSTITUTE(SUBSTITUTE($I647,CHAR(61),""),CHAR(34),"")</f>
        <v>01-09</v>
      </c>
      <c r="R647" s="0" t="str">
        <f aca="false">IF($D647&lt;&gt;"","["&amp;$E647&amp;"]"&amp;"|"&amp;$Q647&amp;"|"&amp;$K647&amp;"|"&amp;$G647&amp;"|"&amp;IF($G647="TX_CURR_SUBNAT.R","CY2022Q4",$M647),"")</f>
        <v>[ul0y9diGujK]|01-09|Female|POP_EST.T_1|CY2023Q3</v>
      </c>
    </row>
    <row r="648" customFormat="false" ht="15" hidden="false" customHeight="false" outlineLevel="0" collapsed="false">
      <c r="D648" s="9" t="s">
        <v>108</v>
      </c>
      <c r="E648" s="9" t="s">
        <v>109</v>
      </c>
      <c r="F648" s="9" t="s">
        <v>110</v>
      </c>
      <c r="G648" s="9" t="s">
        <v>138</v>
      </c>
      <c r="H648" s="9" t="s">
        <v>139</v>
      </c>
      <c r="I648" s="0" t="s">
        <v>36</v>
      </c>
      <c r="J648" s="9" t="s">
        <v>37</v>
      </c>
      <c r="K648" s="9" t="s">
        <v>30</v>
      </c>
      <c r="L648" s="9" t="s">
        <v>31</v>
      </c>
      <c r="M648" s="0" t="s">
        <v>140</v>
      </c>
      <c r="N648" s="0" t="n">
        <v>1158</v>
      </c>
      <c r="O648" s="10" t="n">
        <v>0.249346603639424</v>
      </c>
      <c r="P648" s="10" t="n">
        <v>0.434221804374829</v>
      </c>
      <c r="Q648" s="0" t="str">
        <f aca="false">SUBSTITUTE(SUBSTITUTE($I648,CHAR(61),""),CHAR(34),"")</f>
        <v>10-14</v>
      </c>
      <c r="R648" s="0" t="str">
        <f aca="false">IF($D648&lt;&gt;"","["&amp;$E648&amp;"]"&amp;"|"&amp;$Q648&amp;"|"&amp;$K648&amp;"|"&amp;$G648&amp;"|"&amp;IF($G648="TX_CURR_SUBNAT.R","CY2022Q4",$M648),"")</f>
        <v>[ul0y9diGujK]|10-14|Female|POP_EST.T_1|CY2023Q3</v>
      </c>
    </row>
    <row r="649" customFormat="false" ht="15" hidden="false" customHeight="false" outlineLevel="0" collapsed="false">
      <c r="D649" s="9" t="s">
        <v>108</v>
      </c>
      <c r="E649" s="9" t="s">
        <v>109</v>
      </c>
      <c r="F649" s="9" t="s">
        <v>110</v>
      </c>
      <c r="G649" s="9" t="s">
        <v>138</v>
      </c>
      <c r="H649" s="9" t="s">
        <v>139</v>
      </c>
      <c r="I649" s="0" t="s">
        <v>38</v>
      </c>
      <c r="J649" s="9" t="s">
        <v>39</v>
      </c>
      <c r="K649" s="9" t="s">
        <v>30</v>
      </c>
      <c r="L649" s="9" t="s">
        <v>31</v>
      </c>
      <c r="M649" s="0" t="s">
        <v>140</v>
      </c>
      <c r="N649" s="0" t="n">
        <v>1269</v>
      </c>
      <c r="O649" s="10" t="n">
        <v>0.341848097741604</v>
      </c>
      <c r="P649" s="10" t="n">
        <v>0.434221804374829</v>
      </c>
      <c r="Q649" s="0" t="str">
        <f aca="false">SUBSTITUTE(SUBSTITUTE($I649,CHAR(61),""),CHAR(34),"")</f>
        <v>15-24</v>
      </c>
      <c r="R649" s="0" t="str">
        <f aca="false">IF($D649&lt;&gt;"","["&amp;$E649&amp;"]"&amp;"|"&amp;$Q649&amp;"|"&amp;$K649&amp;"|"&amp;$G649&amp;"|"&amp;IF($G649="TX_CURR_SUBNAT.R","CY2022Q4",$M649),"")</f>
        <v>[ul0y9diGujK]|15-24|Female|POP_EST.T_1|CY2023Q3</v>
      </c>
    </row>
    <row r="650" customFormat="false" ht="15" hidden="false" customHeight="false" outlineLevel="0" collapsed="false">
      <c r="D650" s="9" t="s">
        <v>108</v>
      </c>
      <c r="E650" s="9" t="s">
        <v>109</v>
      </c>
      <c r="F650" s="9" t="s">
        <v>110</v>
      </c>
      <c r="G650" s="9" t="s">
        <v>138</v>
      </c>
      <c r="H650" s="9" t="s">
        <v>139</v>
      </c>
      <c r="I650" s="0" t="s">
        <v>41</v>
      </c>
      <c r="J650" s="9" t="s">
        <v>42</v>
      </c>
      <c r="K650" s="9" t="s">
        <v>30</v>
      </c>
      <c r="L650" s="9" t="s">
        <v>31</v>
      </c>
      <c r="M650" s="0" t="s">
        <v>140</v>
      </c>
      <c r="N650" s="0" t="n">
        <v>1333</v>
      </c>
      <c r="O650" s="10" t="n">
        <v>0.806480407947674</v>
      </c>
      <c r="P650" s="10" t="n">
        <v>0.434221804374829</v>
      </c>
      <c r="Q650" s="0" t="str">
        <f aca="false">SUBSTITUTE(SUBSTITUTE($I650,CHAR(61),""),CHAR(34),"")</f>
        <v>25-34</v>
      </c>
      <c r="R650" s="0" t="str">
        <f aca="false">IF($D650&lt;&gt;"","["&amp;$E650&amp;"]"&amp;"|"&amp;$Q650&amp;"|"&amp;$K650&amp;"|"&amp;$G650&amp;"|"&amp;IF($G650="TX_CURR_SUBNAT.R","CY2022Q4",$M650),"")</f>
        <v>[ul0y9diGujK]|25-34|Female|POP_EST.T_1|CY2023Q3</v>
      </c>
    </row>
    <row r="651" customFormat="false" ht="15" hidden="false" customHeight="false" outlineLevel="0" collapsed="false">
      <c r="D651" s="9" t="s">
        <v>108</v>
      </c>
      <c r="E651" s="9" t="s">
        <v>109</v>
      </c>
      <c r="F651" s="9" t="s">
        <v>110</v>
      </c>
      <c r="G651" s="9" t="s">
        <v>138</v>
      </c>
      <c r="H651" s="9" t="s">
        <v>139</v>
      </c>
      <c r="I651" s="0" t="s">
        <v>43</v>
      </c>
      <c r="J651" s="9" t="s">
        <v>44</v>
      </c>
      <c r="K651" s="9" t="s">
        <v>30</v>
      </c>
      <c r="L651" s="9" t="s">
        <v>31</v>
      </c>
      <c r="M651" s="0" t="s">
        <v>140</v>
      </c>
      <c r="N651" s="0" t="n">
        <v>1642</v>
      </c>
      <c r="O651" s="10" t="n">
        <v>0.0163911983836442</v>
      </c>
      <c r="P651" s="10" t="n">
        <v>0.434221804374829</v>
      </c>
      <c r="Q651" s="0" t="str">
        <f aca="false">SUBSTITUTE(SUBSTITUTE($I651,CHAR(61),""),CHAR(34),"")</f>
        <v>35-49</v>
      </c>
      <c r="R651" s="0" t="str">
        <f aca="false">IF($D651&lt;&gt;"","["&amp;$E651&amp;"]"&amp;"|"&amp;$Q651&amp;"|"&amp;$K651&amp;"|"&amp;$G651&amp;"|"&amp;IF($G651="TX_CURR_SUBNAT.R","CY2022Q4",$M651),"")</f>
        <v>[ul0y9diGujK]|35-49|Female|POP_EST.T_1|CY2023Q3</v>
      </c>
    </row>
    <row r="652" customFormat="false" ht="15" hidden="false" customHeight="false" outlineLevel="0" collapsed="false">
      <c r="D652" s="9" t="s">
        <v>108</v>
      </c>
      <c r="E652" s="9" t="s">
        <v>109</v>
      </c>
      <c r="F652" s="9" t="s">
        <v>110</v>
      </c>
      <c r="G652" s="9" t="s">
        <v>138</v>
      </c>
      <c r="H652" s="9" t="s">
        <v>139</v>
      </c>
      <c r="I652" s="0" t="s">
        <v>45</v>
      </c>
      <c r="J652" s="9" t="s">
        <v>46</v>
      </c>
      <c r="K652" s="9" t="s">
        <v>30</v>
      </c>
      <c r="L652" s="9" t="s">
        <v>31</v>
      </c>
      <c r="M652" s="0" t="s">
        <v>140</v>
      </c>
      <c r="N652" s="0" t="n">
        <v>1622</v>
      </c>
      <c r="O652" s="10" t="n">
        <v>0.899949148064479</v>
      </c>
      <c r="P652" s="10" t="n">
        <v>0.434221804374829</v>
      </c>
      <c r="Q652" s="0" t="str">
        <f aca="false">SUBSTITUTE(SUBSTITUTE($I652,CHAR(61),""),CHAR(34),"")</f>
        <v>50+</v>
      </c>
      <c r="R652" s="0" t="str">
        <f aca="false">IF($D652&lt;&gt;"","["&amp;$E652&amp;"]"&amp;"|"&amp;$Q652&amp;"|"&amp;$K652&amp;"|"&amp;$G652&amp;"|"&amp;IF($G652="TX_CURR_SUBNAT.R","CY2022Q4",$M652),"")</f>
        <v>[ul0y9diGujK]|50+|Female|POP_EST.T_1|CY2023Q3</v>
      </c>
    </row>
    <row r="653" customFormat="false" ht="15" hidden="false" customHeight="false" outlineLevel="0" collapsed="false">
      <c r="D653" s="9" t="s">
        <v>108</v>
      </c>
      <c r="E653" s="9" t="s">
        <v>109</v>
      </c>
      <c r="F653" s="9" t="s">
        <v>110</v>
      </c>
      <c r="G653" s="9" t="s">
        <v>138</v>
      </c>
      <c r="H653" s="9" t="s">
        <v>139</v>
      </c>
      <c r="I653" s="0" t="s">
        <v>28</v>
      </c>
      <c r="J653" s="9" t="s">
        <v>29</v>
      </c>
      <c r="K653" s="9" t="s">
        <v>48</v>
      </c>
      <c r="L653" s="9" t="s">
        <v>49</v>
      </c>
      <c r="M653" s="0" t="s">
        <v>140</v>
      </c>
      <c r="N653" s="0" t="n">
        <v>918</v>
      </c>
      <c r="O653" s="10" t="n">
        <v>0.42853172076866</v>
      </c>
      <c r="P653" s="10" t="n">
        <v>0.434221804374829</v>
      </c>
      <c r="Q653" s="0" t="str">
        <f aca="false">SUBSTITUTE(SUBSTITUTE($I653,CHAR(61),""),CHAR(34),"")</f>
        <v>&lt;01</v>
      </c>
      <c r="R653" s="0" t="str">
        <f aca="false">IF($D653&lt;&gt;"","["&amp;$E653&amp;"]"&amp;"|"&amp;$Q653&amp;"|"&amp;$K653&amp;"|"&amp;$G653&amp;"|"&amp;IF($G653="TX_CURR_SUBNAT.R","CY2022Q4",$M653),"")</f>
        <v>[ul0y9diGujK]|&lt;01|Male|POP_EST.T_1|CY2023Q3</v>
      </c>
    </row>
    <row r="654" customFormat="false" ht="15" hidden="false" customHeight="false" outlineLevel="0" collapsed="false">
      <c r="D654" s="9" t="s">
        <v>108</v>
      </c>
      <c r="E654" s="9" t="s">
        <v>109</v>
      </c>
      <c r="F654" s="9" t="s">
        <v>110</v>
      </c>
      <c r="G654" s="9" t="s">
        <v>138</v>
      </c>
      <c r="H654" s="9" t="s">
        <v>139</v>
      </c>
      <c r="I654" s="0" t="s">
        <v>33</v>
      </c>
      <c r="J654" s="9" t="s">
        <v>34</v>
      </c>
      <c r="K654" s="9" t="s">
        <v>48</v>
      </c>
      <c r="L654" s="9" t="s">
        <v>49</v>
      </c>
      <c r="M654" s="0" t="s">
        <v>140</v>
      </c>
      <c r="N654" s="0" t="n">
        <v>684</v>
      </c>
      <c r="O654" s="10" t="n">
        <v>0.454912606626749</v>
      </c>
      <c r="P654" s="10" t="n">
        <v>0.434221804374829</v>
      </c>
      <c r="Q654" s="0" t="str">
        <f aca="false">SUBSTITUTE(SUBSTITUTE($I654,CHAR(61),""),CHAR(34),"")</f>
        <v>01-09</v>
      </c>
      <c r="R654" s="0" t="str">
        <f aca="false">IF($D654&lt;&gt;"","["&amp;$E654&amp;"]"&amp;"|"&amp;$Q654&amp;"|"&amp;$K654&amp;"|"&amp;$G654&amp;"|"&amp;IF($G654="TX_CURR_SUBNAT.R","CY2022Q4",$M654),"")</f>
        <v>[ul0y9diGujK]|01-09|Male|POP_EST.T_1|CY2023Q3</v>
      </c>
    </row>
    <row r="655" customFormat="false" ht="15" hidden="false" customHeight="false" outlineLevel="0" collapsed="false">
      <c r="D655" s="9" t="s">
        <v>108</v>
      </c>
      <c r="E655" s="9" t="s">
        <v>109</v>
      </c>
      <c r="F655" s="9" t="s">
        <v>110</v>
      </c>
      <c r="G655" s="9" t="s">
        <v>138</v>
      </c>
      <c r="H655" s="9" t="s">
        <v>139</v>
      </c>
      <c r="I655" s="0" t="s">
        <v>36</v>
      </c>
      <c r="J655" s="9" t="s">
        <v>37</v>
      </c>
      <c r="K655" s="9" t="s">
        <v>48</v>
      </c>
      <c r="L655" s="9" t="s">
        <v>49</v>
      </c>
      <c r="M655" s="0" t="s">
        <v>140</v>
      </c>
      <c r="N655" s="0" t="n">
        <v>1938</v>
      </c>
      <c r="O655" s="10" t="n">
        <v>0.836811172543094</v>
      </c>
      <c r="P655" s="10" t="n">
        <v>0.434221804374829</v>
      </c>
      <c r="Q655" s="0" t="str">
        <f aca="false">SUBSTITUTE(SUBSTITUTE($I655,CHAR(61),""),CHAR(34),"")</f>
        <v>10-14</v>
      </c>
      <c r="R655" s="0" t="str">
        <f aca="false">IF($D655&lt;&gt;"","["&amp;$E655&amp;"]"&amp;"|"&amp;$Q655&amp;"|"&amp;$K655&amp;"|"&amp;$G655&amp;"|"&amp;IF($G655="TX_CURR_SUBNAT.R","CY2022Q4",$M655),"")</f>
        <v>[ul0y9diGujK]|10-14|Male|POP_EST.T_1|CY2023Q3</v>
      </c>
    </row>
    <row r="656" customFormat="false" ht="15" hidden="false" customHeight="false" outlineLevel="0" collapsed="false">
      <c r="D656" s="9" t="s">
        <v>108</v>
      </c>
      <c r="E656" s="9" t="s">
        <v>109</v>
      </c>
      <c r="F656" s="9" t="s">
        <v>110</v>
      </c>
      <c r="G656" s="9" t="s">
        <v>138</v>
      </c>
      <c r="H656" s="9" t="s">
        <v>139</v>
      </c>
      <c r="I656" s="0" t="s">
        <v>38</v>
      </c>
      <c r="J656" s="9" t="s">
        <v>39</v>
      </c>
      <c r="K656" s="9" t="s">
        <v>48</v>
      </c>
      <c r="L656" s="9" t="s">
        <v>49</v>
      </c>
      <c r="M656" s="0" t="s">
        <v>140</v>
      </c>
      <c r="N656" s="0" t="n">
        <v>1129</v>
      </c>
      <c r="O656" s="10" t="n">
        <v>0.0664920387789607</v>
      </c>
      <c r="P656" s="10" t="n">
        <v>0.434221804374829</v>
      </c>
      <c r="Q656" s="0" t="str">
        <f aca="false">SUBSTITUTE(SUBSTITUTE($I656,CHAR(61),""),CHAR(34),"")</f>
        <v>15-24</v>
      </c>
      <c r="R656" s="0" t="str">
        <f aca="false">IF($D656&lt;&gt;"","["&amp;$E656&amp;"]"&amp;"|"&amp;$Q656&amp;"|"&amp;$K656&amp;"|"&amp;$G656&amp;"|"&amp;IF($G656="TX_CURR_SUBNAT.R","CY2022Q4",$M656),"")</f>
        <v>[ul0y9diGujK]|15-24|Male|POP_EST.T_1|CY2023Q3</v>
      </c>
    </row>
    <row r="657" customFormat="false" ht="15" hidden="false" customHeight="false" outlineLevel="0" collapsed="false">
      <c r="D657" s="9" t="s">
        <v>108</v>
      </c>
      <c r="E657" s="9" t="s">
        <v>109</v>
      </c>
      <c r="F657" s="9" t="s">
        <v>110</v>
      </c>
      <c r="G657" s="9" t="s">
        <v>138</v>
      </c>
      <c r="H657" s="9" t="s">
        <v>139</v>
      </c>
      <c r="I657" s="0" t="s">
        <v>41</v>
      </c>
      <c r="J657" s="9" t="s">
        <v>42</v>
      </c>
      <c r="K657" s="9" t="s">
        <v>48</v>
      </c>
      <c r="L657" s="9" t="s">
        <v>49</v>
      </c>
      <c r="M657" s="0" t="s">
        <v>140</v>
      </c>
      <c r="N657" s="0" t="n">
        <v>1064</v>
      </c>
      <c r="O657" s="10" t="n">
        <v>0.0337956957519054</v>
      </c>
      <c r="P657" s="10" t="n">
        <v>0.434221804374829</v>
      </c>
      <c r="Q657" s="0" t="str">
        <f aca="false">SUBSTITUTE(SUBSTITUTE($I657,CHAR(61),""),CHAR(34),"")</f>
        <v>25-34</v>
      </c>
      <c r="R657" s="0" t="str">
        <f aca="false">IF($D657&lt;&gt;"","["&amp;$E657&amp;"]"&amp;"|"&amp;$Q657&amp;"|"&amp;$K657&amp;"|"&amp;$G657&amp;"|"&amp;IF($G657="TX_CURR_SUBNAT.R","CY2022Q4",$M657),"")</f>
        <v>[ul0y9diGujK]|25-34|Male|POP_EST.T_1|CY2023Q3</v>
      </c>
    </row>
    <row r="658" customFormat="false" ht="15" hidden="false" customHeight="false" outlineLevel="0" collapsed="false">
      <c r="D658" s="9" t="s">
        <v>108</v>
      </c>
      <c r="E658" s="9" t="s">
        <v>109</v>
      </c>
      <c r="F658" s="9" t="s">
        <v>110</v>
      </c>
      <c r="G658" s="9" t="s">
        <v>138</v>
      </c>
      <c r="H658" s="9" t="s">
        <v>139</v>
      </c>
      <c r="I658" s="0" t="s">
        <v>43</v>
      </c>
      <c r="J658" s="9" t="s">
        <v>44</v>
      </c>
      <c r="K658" s="9" t="s">
        <v>48</v>
      </c>
      <c r="L658" s="9" t="s">
        <v>49</v>
      </c>
      <c r="M658" s="0" t="s">
        <v>140</v>
      </c>
      <c r="N658" s="0" t="n">
        <v>1367</v>
      </c>
      <c r="O658" s="10" t="n">
        <v>0.785540499724448</v>
      </c>
      <c r="P658" s="10" t="n">
        <v>0.434221804374829</v>
      </c>
      <c r="Q658" s="0" t="str">
        <f aca="false">SUBSTITUTE(SUBSTITUTE($I658,CHAR(61),""),CHAR(34),"")</f>
        <v>35-49</v>
      </c>
      <c r="R658" s="0" t="str">
        <f aca="false">IF($D658&lt;&gt;"","["&amp;$E658&amp;"]"&amp;"|"&amp;$Q658&amp;"|"&amp;$K658&amp;"|"&amp;$G658&amp;"|"&amp;IF($G658="TX_CURR_SUBNAT.R","CY2022Q4",$M658),"")</f>
        <v>[ul0y9diGujK]|35-49|Male|POP_EST.T_1|CY2023Q3</v>
      </c>
    </row>
    <row r="659" customFormat="false" ht="15" hidden="false" customHeight="false" outlineLevel="0" collapsed="false">
      <c r="D659" s="9" t="s">
        <v>108</v>
      </c>
      <c r="E659" s="9" t="s">
        <v>109</v>
      </c>
      <c r="F659" s="9" t="s">
        <v>110</v>
      </c>
      <c r="G659" s="9" t="s">
        <v>138</v>
      </c>
      <c r="H659" s="9" t="s">
        <v>139</v>
      </c>
      <c r="I659" s="0" t="s">
        <v>45</v>
      </c>
      <c r="J659" s="9" t="s">
        <v>46</v>
      </c>
      <c r="K659" s="9" t="s">
        <v>48</v>
      </c>
      <c r="L659" s="9" t="s">
        <v>49</v>
      </c>
      <c r="M659" s="0" t="s">
        <v>140</v>
      </c>
      <c r="N659" s="0" t="n">
        <v>1767</v>
      </c>
      <c r="O659" s="10" t="n">
        <v>0.163526489399374</v>
      </c>
      <c r="P659" s="10" t="n">
        <v>0.434221804374829</v>
      </c>
      <c r="Q659" s="0" t="str">
        <f aca="false">SUBSTITUTE(SUBSTITUTE($I659,CHAR(61),""),CHAR(34),"")</f>
        <v>50+</v>
      </c>
      <c r="R659" s="0" t="str">
        <f aca="false">IF($D659&lt;&gt;"","["&amp;$E659&amp;"]"&amp;"|"&amp;$Q659&amp;"|"&amp;$K659&amp;"|"&amp;$G659&amp;"|"&amp;IF($G659="TX_CURR_SUBNAT.R","CY2022Q4",$M659),"")</f>
        <v>[ul0y9diGujK]|50+|Male|POP_EST.T_1|CY2023Q3</v>
      </c>
    </row>
    <row r="660" customFormat="false" ht="15" hidden="false" customHeight="false" outlineLevel="0" collapsed="false">
      <c r="D660" s="9" t="s">
        <v>111</v>
      </c>
      <c r="E660" s="9" t="s">
        <v>112</v>
      </c>
      <c r="F660" s="9" t="s">
        <v>113</v>
      </c>
      <c r="G660" s="9" t="s">
        <v>138</v>
      </c>
      <c r="H660" s="9" t="s">
        <v>139</v>
      </c>
      <c r="I660" s="0" t="s">
        <v>28</v>
      </c>
      <c r="J660" s="9" t="s">
        <v>29</v>
      </c>
      <c r="K660" s="9" t="s">
        <v>30</v>
      </c>
      <c r="L660" s="9" t="s">
        <v>31</v>
      </c>
      <c r="M660" s="0" t="s">
        <v>140</v>
      </c>
      <c r="N660" s="0" t="n">
        <v>760</v>
      </c>
      <c r="O660" s="10" t="n">
        <v>0.17063320078887</v>
      </c>
      <c r="P660" s="10" t="n">
        <v>0.337768794968724</v>
      </c>
      <c r="Q660" s="0" t="str">
        <f aca="false">SUBSTITUTE(SUBSTITUTE($I660,CHAR(61),""),CHAR(34),"")</f>
        <v>&lt;01</v>
      </c>
      <c r="R660" s="0" t="str">
        <f aca="false">IF($D660&lt;&gt;"","["&amp;$E660&amp;"]"&amp;"|"&amp;$Q660&amp;"|"&amp;$K660&amp;"|"&amp;$G660&amp;"|"&amp;IF($G660="TX_CURR_SUBNAT.R","CY2022Q4",$M660),"")</f>
        <v>[U8c0so51kT6]|&lt;01|Female|POP_EST.T_1|CY2023Q3</v>
      </c>
    </row>
    <row r="661" customFormat="false" ht="15" hidden="false" customHeight="false" outlineLevel="0" collapsed="false">
      <c r="D661" s="9" t="s">
        <v>111</v>
      </c>
      <c r="E661" s="9" t="s">
        <v>112</v>
      </c>
      <c r="F661" s="9" t="s">
        <v>113</v>
      </c>
      <c r="G661" s="9" t="s">
        <v>138</v>
      </c>
      <c r="H661" s="9" t="s">
        <v>139</v>
      </c>
      <c r="I661" s="0" t="s">
        <v>33</v>
      </c>
      <c r="J661" s="9" t="s">
        <v>34</v>
      </c>
      <c r="K661" s="9" t="s">
        <v>30</v>
      </c>
      <c r="L661" s="9" t="s">
        <v>31</v>
      </c>
      <c r="M661" s="0" t="s">
        <v>140</v>
      </c>
      <c r="N661" s="0" t="n">
        <v>978</v>
      </c>
      <c r="O661" s="10" t="n">
        <v>0.323229794157669</v>
      </c>
      <c r="P661" s="10" t="n">
        <v>0.337768794968724</v>
      </c>
      <c r="Q661" s="0" t="str">
        <f aca="false">SUBSTITUTE(SUBSTITUTE($I661,CHAR(61),""),CHAR(34),"")</f>
        <v>01-09</v>
      </c>
      <c r="R661" s="0" t="str">
        <f aca="false">IF($D661&lt;&gt;"","["&amp;$E661&amp;"]"&amp;"|"&amp;$Q661&amp;"|"&amp;$K661&amp;"|"&amp;$G661&amp;"|"&amp;IF($G661="TX_CURR_SUBNAT.R","CY2022Q4",$M661),"")</f>
        <v>[U8c0so51kT6]|01-09|Female|POP_EST.T_1|CY2023Q3</v>
      </c>
    </row>
    <row r="662" customFormat="false" ht="15" hidden="false" customHeight="false" outlineLevel="0" collapsed="false">
      <c r="D662" s="9" t="s">
        <v>111</v>
      </c>
      <c r="E662" s="9" t="s">
        <v>112</v>
      </c>
      <c r="F662" s="9" t="s">
        <v>113</v>
      </c>
      <c r="G662" s="9" t="s">
        <v>138</v>
      </c>
      <c r="H662" s="9" t="s">
        <v>139</v>
      </c>
      <c r="I662" s="0" t="s">
        <v>36</v>
      </c>
      <c r="J662" s="9" t="s">
        <v>37</v>
      </c>
      <c r="K662" s="9" t="s">
        <v>30</v>
      </c>
      <c r="L662" s="9" t="s">
        <v>31</v>
      </c>
      <c r="M662" s="0" t="s">
        <v>140</v>
      </c>
      <c r="N662" s="0" t="n">
        <v>1063</v>
      </c>
      <c r="O662" s="10" t="n">
        <v>0.978440055623651</v>
      </c>
      <c r="P662" s="10" t="n">
        <v>0.337768794968724</v>
      </c>
      <c r="Q662" s="0" t="str">
        <f aca="false">SUBSTITUTE(SUBSTITUTE($I662,CHAR(61),""),CHAR(34),"")</f>
        <v>10-14</v>
      </c>
      <c r="R662" s="0" t="str">
        <f aca="false">IF($D662&lt;&gt;"","["&amp;$E662&amp;"]"&amp;"|"&amp;$Q662&amp;"|"&amp;$K662&amp;"|"&amp;$G662&amp;"|"&amp;IF($G662="TX_CURR_SUBNAT.R","CY2022Q4",$M662),"")</f>
        <v>[U8c0so51kT6]|10-14|Female|POP_EST.T_1|CY2023Q3</v>
      </c>
    </row>
    <row r="663" customFormat="false" ht="15" hidden="false" customHeight="false" outlineLevel="0" collapsed="false">
      <c r="D663" s="9" t="s">
        <v>111</v>
      </c>
      <c r="E663" s="9" t="s">
        <v>112</v>
      </c>
      <c r="F663" s="9" t="s">
        <v>113</v>
      </c>
      <c r="G663" s="9" t="s">
        <v>138</v>
      </c>
      <c r="H663" s="9" t="s">
        <v>139</v>
      </c>
      <c r="I663" s="0" t="s">
        <v>38</v>
      </c>
      <c r="J663" s="9" t="s">
        <v>39</v>
      </c>
      <c r="K663" s="9" t="s">
        <v>30</v>
      </c>
      <c r="L663" s="9" t="s">
        <v>31</v>
      </c>
      <c r="M663" s="0" t="s">
        <v>140</v>
      </c>
      <c r="N663" s="0" t="n">
        <v>1222</v>
      </c>
      <c r="O663" s="10" t="n">
        <v>0.803029183996841</v>
      </c>
      <c r="P663" s="10" t="n">
        <v>0.337768794968724</v>
      </c>
      <c r="Q663" s="0" t="str">
        <f aca="false">SUBSTITUTE(SUBSTITUTE($I663,CHAR(61),""),CHAR(34),"")</f>
        <v>15-24</v>
      </c>
      <c r="R663" s="0" t="str">
        <f aca="false">IF($D663&lt;&gt;"","["&amp;$E663&amp;"]"&amp;"|"&amp;$Q663&amp;"|"&amp;$K663&amp;"|"&amp;$G663&amp;"|"&amp;IF($G663="TX_CURR_SUBNAT.R","CY2022Q4",$M663),"")</f>
        <v>[U8c0so51kT6]|15-24|Female|POP_EST.T_1|CY2023Q3</v>
      </c>
    </row>
    <row r="664" customFormat="false" ht="15" hidden="false" customHeight="false" outlineLevel="0" collapsed="false">
      <c r="D664" s="9" t="s">
        <v>111</v>
      </c>
      <c r="E664" s="9" t="s">
        <v>112</v>
      </c>
      <c r="F664" s="9" t="s">
        <v>113</v>
      </c>
      <c r="G664" s="9" t="s">
        <v>138</v>
      </c>
      <c r="H664" s="9" t="s">
        <v>139</v>
      </c>
      <c r="I664" s="0" t="s">
        <v>41</v>
      </c>
      <c r="J664" s="9" t="s">
        <v>42</v>
      </c>
      <c r="K664" s="9" t="s">
        <v>30</v>
      </c>
      <c r="L664" s="9" t="s">
        <v>31</v>
      </c>
      <c r="M664" s="0" t="s">
        <v>140</v>
      </c>
      <c r="N664" s="0" t="n">
        <v>1032</v>
      </c>
      <c r="O664" s="10" t="n">
        <v>0.730121166212484</v>
      </c>
      <c r="P664" s="10" t="n">
        <v>0.337768794968724</v>
      </c>
      <c r="Q664" s="0" t="str">
        <f aca="false">SUBSTITUTE(SUBSTITUTE($I664,CHAR(61),""),CHAR(34),"")</f>
        <v>25-34</v>
      </c>
      <c r="R664" s="0" t="str">
        <f aca="false">IF($D664&lt;&gt;"","["&amp;$E664&amp;"]"&amp;"|"&amp;$Q664&amp;"|"&amp;$K664&amp;"|"&amp;$G664&amp;"|"&amp;IF($G664="TX_CURR_SUBNAT.R","CY2022Q4",$M664),"")</f>
        <v>[U8c0so51kT6]|25-34|Female|POP_EST.T_1|CY2023Q3</v>
      </c>
    </row>
    <row r="665" customFormat="false" ht="15" hidden="false" customHeight="false" outlineLevel="0" collapsed="false">
      <c r="D665" s="9" t="s">
        <v>111</v>
      </c>
      <c r="E665" s="9" t="s">
        <v>112</v>
      </c>
      <c r="F665" s="9" t="s">
        <v>113</v>
      </c>
      <c r="G665" s="9" t="s">
        <v>138</v>
      </c>
      <c r="H665" s="9" t="s">
        <v>139</v>
      </c>
      <c r="I665" s="0" t="s">
        <v>43</v>
      </c>
      <c r="J665" s="9" t="s">
        <v>44</v>
      </c>
      <c r="K665" s="9" t="s">
        <v>30</v>
      </c>
      <c r="L665" s="9" t="s">
        <v>31</v>
      </c>
      <c r="M665" s="0" t="s">
        <v>140</v>
      </c>
      <c r="N665" s="0" t="n">
        <v>1445</v>
      </c>
      <c r="O665" s="10" t="n">
        <v>0.158129289047793</v>
      </c>
      <c r="P665" s="10" t="n">
        <v>0.337768794968724</v>
      </c>
      <c r="Q665" s="0" t="str">
        <f aca="false">SUBSTITUTE(SUBSTITUTE($I665,CHAR(61),""),CHAR(34),"")</f>
        <v>35-49</v>
      </c>
      <c r="R665" s="0" t="str">
        <f aca="false">IF($D665&lt;&gt;"","["&amp;$E665&amp;"]"&amp;"|"&amp;$Q665&amp;"|"&amp;$K665&amp;"|"&amp;$G665&amp;"|"&amp;IF($G665="TX_CURR_SUBNAT.R","CY2022Q4",$M665),"")</f>
        <v>[U8c0so51kT6]|35-49|Female|POP_EST.T_1|CY2023Q3</v>
      </c>
    </row>
    <row r="666" customFormat="false" ht="15" hidden="false" customHeight="false" outlineLevel="0" collapsed="false">
      <c r="D666" s="9" t="s">
        <v>111</v>
      </c>
      <c r="E666" s="9" t="s">
        <v>112</v>
      </c>
      <c r="F666" s="9" t="s">
        <v>113</v>
      </c>
      <c r="G666" s="9" t="s">
        <v>138</v>
      </c>
      <c r="H666" s="9" t="s">
        <v>139</v>
      </c>
      <c r="I666" s="0" t="s">
        <v>45</v>
      </c>
      <c r="J666" s="9" t="s">
        <v>46</v>
      </c>
      <c r="K666" s="9" t="s">
        <v>30</v>
      </c>
      <c r="L666" s="9" t="s">
        <v>31</v>
      </c>
      <c r="M666" s="0" t="s">
        <v>140</v>
      </c>
      <c r="N666" s="0" t="n">
        <v>1018</v>
      </c>
      <c r="O666" s="10" t="n">
        <v>0.326511647785082</v>
      </c>
      <c r="P666" s="10" t="n">
        <v>0.337768794968724</v>
      </c>
      <c r="Q666" s="0" t="str">
        <f aca="false">SUBSTITUTE(SUBSTITUTE($I666,CHAR(61),""),CHAR(34),"")</f>
        <v>50+</v>
      </c>
      <c r="R666" s="0" t="str">
        <f aca="false">IF($D666&lt;&gt;"","["&amp;$E666&amp;"]"&amp;"|"&amp;$Q666&amp;"|"&amp;$K666&amp;"|"&amp;$G666&amp;"|"&amp;IF($G666="TX_CURR_SUBNAT.R","CY2022Q4",$M666),"")</f>
        <v>[U8c0so51kT6]|50+|Female|POP_EST.T_1|CY2023Q3</v>
      </c>
    </row>
    <row r="667" customFormat="false" ht="15" hidden="false" customHeight="false" outlineLevel="0" collapsed="false">
      <c r="D667" s="9" t="s">
        <v>111</v>
      </c>
      <c r="E667" s="9" t="s">
        <v>112</v>
      </c>
      <c r="F667" s="9" t="s">
        <v>113</v>
      </c>
      <c r="G667" s="9" t="s">
        <v>138</v>
      </c>
      <c r="H667" s="9" t="s">
        <v>139</v>
      </c>
      <c r="I667" s="0" t="s">
        <v>28</v>
      </c>
      <c r="J667" s="9" t="s">
        <v>29</v>
      </c>
      <c r="K667" s="9" t="s">
        <v>48</v>
      </c>
      <c r="L667" s="9" t="s">
        <v>49</v>
      </c>
      <c r="M667" s="0" t="s">
        <v>140</v>
      </c>
      <c r="N667" s="0" t="n">
        <v>1907</v>
      </c>
      <c r="O667" s="10" t="n">
        <v>0.659198143286631</v>
      </c>
      <c r="P667" s="10" t="n">
        <v>0.337768794968724</v>
      </c>
      <c r="Q667" s="0" t="str">
        <f aca="false">SUBSTITUTE(SUBSTITUTE($I667,CHAR(61),""),CHAR(34),"")</f>
        <v>&lt;01</v>
      </c>
      <c r="R667" s="0" t="str">
        <f aca="false">IF($D667&lt;&gt;"","["&amp;$E667&amp;"]"&amp;"|"&amp;$Q667&amp;"|"&amp;$K667&amp;"|"&amp;$G667&amp;"|"&amp;IF($G667="TX_CURR_SUBNAT.R","CY2022Q4",$M667),"")</f>
        <v>[U8c0so51kT6]|&lt;01|Male|POP_EST.T_1|CY2023Q3</v>
      </c>
    </row>
    <row r="668" customFormat="false" ht="15" hidden="false" customHeight="false" outlineLevel="0" collapsed="false">
      <c r="D668" s="9" t="s">
        <v>111</v>
      </c>
      <c r="E668" s="9" t="s">
        <v>112</v>
      </c>
      <c r="F668" s="9" t="s">
        <v>113</v>
      </c>
      <c r="G668" s="9" t="s">
        <v>138</v>
      </c>
      <c r="H668" s="9" t="s">
        <v>139</v>
      </c>
      <c r="I668" s="0" t="s">
        <v>33</v>
      </c>
      <c r="J668" s="9" t="s">
        <v>34</v>
      </c>
      <c r="K668" s="9" t="s">
        <v>48</v>
      </c>
      <c r="L668" s="9" t="s">
        <v>49</v>
      </c>
      <c r="M668" s="0" t="s">
        <v>140</v>
      </c>
      <c r="N668" s="0" t="n">
        <v>1337</v>
      </c>
      <c r="O668" s="10" t="n">
        <v>0.040320877218619</v>
      </c>
      <c r="P668" s="10" t="n">
        <v>0.337768794968724</v>
      </c>
      <c r="Q668" s="0" t="str">
        <f aca="false">SUBSTITUTE(SUBSTITUTE($I668,CHAR(61),""),CHAR(34),"")</f>
        <v>01-09</v>
      </c>
      <c r="R668" s="0" t="str">
        <f aca="false">IF($D668&lt;&gt;"","["&amp;$E668&amp;"]"&amp;"|"&amp;$Q668&amp;"|"&amp;$K668&amp;"|"&amp;$G668&amp;"|"&amp;IF($G668="TX_CURR_SUBNAT.R","CY2022Q4",$M668),"")</f>
        <v>[U8c0so51kT6]|01-09|Male|POP_EST.T_1|CY2023Q3</v>
      </c>
    </row>
    <row r="669" customFormat="false" ht="15" hidden="false" customHeight="false" outlineLevel="0" collapsed="false">
      <c r="D669" s="9" t="s">
        <v>111</v>
      </c>
      <c r="E669" s="9" t="s">
        <v>112</v>
      </c>
      <c r="F669" s="9" t="s">
        <v>113</v>
      </c>
      <c r="G669" s="9" t="s">
        <v>138</v>
      </c>
      <c r="H669" s="9" t="s">
        <v>139</v>
      </c>
      <c r="I669" s="0" t="s">
        <v>36</v>
      </c>
      <c r="J669" s="9" t="s">
        <v>37</v>
      </c>
      <c r="K669" s="9" t="s">
        <v>48</v>
      </c>
      <c r="L669" s="9" t="s">
        <v>49</v>
      </c>
      <c r="M669" s="0" t="s">
        <v>140</v>
      </c>
      <c r="N669" s="0" t="n">
        <v>828</v>
      </c>
      <c r="O669" s="10" t="n">
        <v>0.677310787839815</v>
      </c>
      <c r="P669" s="10" t="n">
        <v>0.337768794968724</v>
      </c>
      <c r="Q669" s="0" t="str">
        <f aca="false">SUBSTITUTE(SUBSTITUTE($I669,CHAR(61),""),CHAR(34),"")</f>
        <v>10-14</v>
      </c>
      <c r="R669" s="0" t="str">
        <f aca="false">IF($D669&lt;&gt;"","["&amp;$E669&amp;"]"&amp;"|"&amp;$Q669&amp;"|"&amp;$K669&amp;"|"&amp;$G669&amp;"|"&amp;IF($G669="TX_CURR_SUBNAT.R","CY2022Q4",$M669),"")</f>
        <v>[U8c0so51kT6]|10-14|Male|POP_EST.T_1|CY2023Q3</v>
      </c>
    </row>
    <row r="670" customFormat="false" ht="15" hidden="false" customHeight="false" outlineLevel="0" collapsed="false">
      <c r="D670" s="9" t="s">
        <v>111</v>
      </c>
      <c r="E670" s="9" t="s">
        <v>112</v>
      </c>
      <c r="F670" s="9" t="s">
        <v>113</v>
      </c>
      <c r="G670" s="9" t="s">
        <v>138</v>
      </c>
      <c r="H670" s="9" t="s">
        <v>139</v>
      </c>
      <c r="I670" s="0" t="s">
        <v>38</v>
      </c>
      <c r="J670" s="9" t="s">
        <v>39</v>
      </c>
      <c r="K670" s="9" t="s">
        <v>48</v>
      </c>
      <c r="L670" s="9" t="s">
        <v>49</v>
      </c>
      <c r="M670" s="0" t="s">
        <v>140</v>
      </c>
      <c r="N670" s="0" t="n">
        <v>999</v>
      </c>
      <c r="O670" s="10" t="n">
        <v>0.813370425254107</v>
      </c>
      <c r="P670" s="10" t="n">
        <v>0.337768794968724</v>
      </c>
      <c r="Q670" s="0" t="str">
        <f aca="false">SUBSTITUTE(SUBSTITUTE($I670,CHAR(61),""),CHAR(34),"")</f>
        <v>15-24</v>
      </c>
      <c r="R670" s="0" t="str">
        <f aca="false">IF($D670&lt;&gt;"","["&amp;$E670&amp;"]"&amp;"|"&amp;$Q670&amp;"|"&amp;$K670&amp;"|"&amp;$G670&amp;"|"&amp;IF($G670="TX_CURR_SUBNAT.R","CY2022Q4",$M670),"")</f>
        <v>[U8c0so51kT6]|15-24|Male|POP_EST.T_1|CY2023Q3</v>
      </c>
    </row>
    <row r="671" customFormat="false" ht="15" hidden="false" customHeight="false" outlineLevel="0" collapsed="false">
      <c r="D671" s="9" t="s">
        <v>111</v>
      </c>
      <c r="E671" s="9" t="s">
        <v>112</v>
      </c>
      <c r="F671" s="9" t="s">
        <v>113</v>
      </c>
      <c r="G671" s="9" t="s">
        <v>138</v>
      </c>
      <c r="H671" s="9" t="s">
        <v>139</v>
      </c>
      <c r="I671" s="0" t="s">
        <v>41</v>
      </c>
      <c r="J671" s="9" t="s">
        <v>42</v>
      </c>
      <c r="K671" s="9" t="s">
        <v>48</v>
      </c>
      <c r="L671" s="9" t="s">
        <v>49</v>
      </c>
      <c r="M671" s="0" t="s">
        <v>140</v>
      </c>
      <c r="N671" s="0" t="n">
        <v>870</v>
      </c>
      <c r="O671" s="10" t="n">
        <v>0.038529179058969</v>
      </c>
      <c r="P671" s="10" t="n">
        <v>0.337768794968724</v>
      </c>
      <c r="Q671" s="0" t="str">
        <f aca="false">SUBSTITUTE(SUBSTITUTE($I671,CHAR(61),""),CHAR(34),"")</f>
        <v>25-34</v>
      </c>
      <c r="R671" s="0" t="str">
        <f aca="false">IF($D671&lt;&gt;"","["&amp;$E671&amp;"]"&amp;"|"&amp;$Q671&amp;"|"&amp;$K671&amp;"|"&amp;$G671&amp;"|"&amp;IF($G671="TX_CURR_SUBNAT.R","CY2022Q4",$M671),"")</f>
        <v>[U8c0so51kT6]|25-34|Male|POP_EST.T_1|CY2023Q3</v>
      </c>
    </row>
    <row r="672" customFormat="false" ht="15" hidden="false" customHeight="false" outlineLevel="0" collapsed="false">
      <c r="D672" s="9" t="s">
        <v>111</v>
      </c>
      <c r="E672" s="9" t="s">
        <v>112</v>
      </c>
      <c r="F672" s="9" t="s">
        <v>113</v>
      </c>
      <c r="G672" s="9" t="s">
        <v>138</v>
      </c>
      <c r="H672" s="9" t="s">
        <v>139</v>
      </c>
      <c r="I672" s="0" t="s">
        <v>43</v>
      </c>
      <c r="J672" s="9" t="s">
        <v>44</v>
      </c>
      <c r="K672" s="9" t="s">
        <v>48</v>
      </c>
      <c r="L672" s="9" t="s">
        <v>49</v>
      </c>
      <c r="M672" s="0" t="s">
        <v>140</v>
      </c>
      <c r="N672" s="0" t="n">
        <v>1906</v>
      </c>
      <c r="O672" s="10" t="n">
        <v>0.421163932653144</v>
      </c>
      <c r="P672" s="10" t="n">
        <v>0.337768794968724</v>
      </c>
      <c r="Q672" s="0" t="str">
        <f aca="false">SUBSTITUTE(SUBSTITUTE($I672,CHAR(61),""),CHAR(34),"")</f>
        <v>35-49</v>
      </c>
      <c r="R672" s="0" t="str">
        <f aca="false">IF($D672&lt;&gt;"","["&amp;$E672&amp;"]"&amp;"|"&amp;$Q672&amp;"|"&amp;$K672&amp;"|"&amp;$G672&amp;"|"&amp;IF($G672="TX_CURR_SUBNAT.R","CY2022Q4",$M672),"")</f>
        <v>[U8c0so51kT6]|35-49|Male|POP_EST.T_1|CY2023Q3</v>
      </c>
    </row>
    <row r="673" customFormat="false" ht="15" hidden="false" customHeight="false" outlineLevel="0" collapsed="false">
      <c r="D673" s="9" t="s">
        <v>111</v>
      </c>
      <c r="E673" s="9" t="s">
        <v>112</v>
      </c>
      <c r="F673" s="9" t="s">
        <v>113</v>
      </c>
      <c r="G673" s="9" t="s">
        <v>138</v>
      </c>
      <c r="H673" s="9" t="s">
        <v>139</v>
      </c>
      <c r="I673" s="0" t="s">
        <v>45</v>
      </c>
      <c r="J673" s="9" t="s">
        <v>46</v>
      </c>
      <c r="K673" s="9" t="s">
        <v>48</v>
      </c>
      <c r="L673" s="9" t="s">
        <v>49</v>
      </c>
      <c r="M673" s="0" t="s">
        <v>140</v>
      </c>
      <c r="N673" s="0" t="n">
        <v>1031</v>
      </c>
      <c r="O673" s="10" t="n">
        <v>0.587248734897003</v>
      </c>
      <c r="P673" s="10" t="n">
        <v>0.337768794968724</v>
      </c>
      <c r="Q673" s="0" t="str">
        <f aca="false">SUBSTITUTE(SUBSTITUTE($I673,CHAR(61),""),CHAR(34),"")</f>
        <v>50+</v>
      </c>
      <c r="R673" s="0" t="str">
        <f aca="false">IF($D673&lt;&gt;"","["&amp;$E673&amp;"]"&amp;"|"&amp;$Q673&amp;"|"&amp;$K673&amp;"|"&amp;$G673&amp;"|"&amp;IF($G673="TX_CURR_SUBNAT.R","CY2022Q4",$M673),"")</f>
        <v>[U8c0so51kT6]|50+|Male|POP_EST.T_1|CY2023Q3</v>
      </c>
    </row>
    <row r="674" customFormat="false" ht="15" hidden="false" customHeight="false" outlineLevel="0" collapsed="false">
      <c r="D674" s="9" t="s">
        <v>114</v>
      </c>
      <c r="E674" s="9" t="s">
        <v>115</v>
      </c>
      <c r="F674" s="9" t="s">
        <v>116</v>
      </c>
      <c r="G674" s="9" t="s">
        <v>138</v>
      </c>
      <c r="H674" s="9" t="s">
        <v>139</v>
      </c>
      <c r="I674" s="0" t="s">
        <v>28</v>
      </c>
      <c r="J674" s="9" t="s">
        <v>29</v>
      </c>
      <c r="K674" s="9" t="s">
        <v>30</v>
      </c>
      <c r="L674" s="9" t="s">
        <v>31</v>
      </c>
      <c r="M674" s="0" t="s">
        <v>140</v>
      </c>
      <c r="N674" s="0" t="n">
        <v>582</v>
      </c>
      <c r="O674" s="10" t="n">
        <v>0.411783673102036</v>
      </c>
      <c r="P674" s="10" t="n">
        <v>0.298559809103608</v>
      </c>
      <c r="Q674" s="0" t="str">
        <f aca="false">SUBSTITUTE(SUBSTITUTE($I674,CHAR(61),""),CHAR(34),"")</f>
        <v>&lt;01</v>
      </c>
      <c r="R674" s="0" t="str">
        <f aca="false">IF($D674&lt;&gt;"","["&amp;$E674&amp;"]"&amp;"|"&amp;$Q674&amp;"|"&amp;$K674&amp;"|"&amp;$G674&amp;"|"&amp;IF($G674="TX_CURR_SUBNAT.R","CY2022Q4",$M674),"")</f>
        <v>[rpw540fmNUz]|&lt;01|Female|POP_EST.T_1|CY2023Q3</v>
      </c>
    </row>
    <row r="675" customFormat="false" ht="15" hidden="false" customHeight="false" outlineLevel="0" collapsed="false">
      <c r="D675" s="9" t="s">
        <v>114</v>
      </c>
      <c r="E675" s="9" t="s">
        <v>115</v>
      </c>
      <c r="F675" s="9" t="s">
        <v>116</v>
      </c>
      <c r="G675" s="9" t="s">
        <v>138</v>
      </c>
      <c r="H675" s="9" t="s">
        <v>139</v>
      </c>
      <c r="I675" s="0" t="s">
        <v>33</v>
      </c>
      <c r="J675" s="9" t="s">
        <v>34</v>
      </c>
      <c r="K675" s="9" t="s">
        <v>30</v>
      </c>
      <c r="L675" s="9" t="s">
        <v>31</v>
      </c>
      <c r="M675" s="0" t="s">
        <v>140</v>
      </c>
      <c r="N675" s="0" t="n">
        <v>754</v>
      </c>
      <c r="O675" s="10" t="n">
        <v>0.704468392767012</v>
      </c>
      <c r="P675" s="10" t="n">
        <v>0.298559809103608</v>
      </c>
      <c r="Q675" s="0" t="str">
        <f aca="false">SUBSTITUTE(SUBSTITUTE($I675,CHAR(61),""),CHAR(34),"")</f>
        <v>01-09</v>
      </c>
      <c r="R675" s="0" t="str">
        <f aca="false">IF($D675&lt;&gt;"","["&amp;$E675&amp;"]"&amp;"|"&amp;$Q675&amp;"|"&amp;$K675&amp;"|"&amp;$G675&amp;"|"&amp;IF($G675="TX_CURR_SUBNAT.R","CY2022Q4",$M675),"")</f>
        <v>[rpw540fmNUz]|01-09|Female|POP_EST.T_1|CY2023Q3</v>
      </c>
    </row>
    <row r="676" customFormat="false" ht="15" hidden="false" customHeight="false" outlineLevel="0" collapsed="false">
      <c r="D676" s="9" t="s">
        <v>114</v>
      </c>
      <c r="E676" s="9" t="s">
        <v>115</v>
      </c>
      <c r="F676" s="9" t="s">
        <v>116</v>
      </c>
      <c r="G676" s="9" t="s">
        <v>138</v>
      </c>
      <c r="H676" s="9" t="s">
        <v>139</v>
      </c>
      <c r="I676" s="0" t="s">
        <v>36</v>
      </c>
      <c r="J676" s="9" t="s">
        <v>37</v>
      </c>
      <c r="K676" s="9" t="s">
        <v>30</v>
      </c>
      <c r="L676" s="9" t="s">
        <v>31</v>
      </c>
      <c r="M676" s="0" t="s">
        <v>140</v>
      </c>
      <c r="N676" s="0" t="n">
        <v>765</v>
      </c>
      <c r="O676" s="10" t="n">
        <v>0.0681079332716763</v>
      </c>
      <c r="P676" s="10" t="n">
        <v>0.298559809103608</v>
      </c>
      <c r="Q676" s="0" t="str">
        <f aca="false">SUBSTITUTE(SUBSTITUTE($I676,CHAR(61),""),CHAR(34),"")</f>
        <v>10-14</v>
      </c>
      <c r="R676" s="0" t="str">
        <f aca="false">IF($D676&lt;&gt;"","["&amp;$E676&amp;"]"&amp;"|"&amp;$Q676&amp;"|"&amp;$K676&amp;"|"&amp;$G676&amp;"|"&amp;IF($G676="TX_CURR_SUBNAT.R","CY2022Q4",$M676),"")</f>
        <v>[rpw540fmNUz]|10-14|Female|POP_EST.T_1|CY2023Q3</v>
      </c>
    </row>
    <row r="677" customFormat="false" ht="15" hidden="false" customHeight="false" outlineLevel="0" collapsed="false">
      <c r="D677" s="9" t="s">
        <v>114</v>
      </c>
      <c r="E677" s="9" t="s">
        <v>115</v>
      </c>
      <c r="F677" s="9" t="s">
        <v>116</v>
      </c>
      <c r="G677" s="9" t="s">
        <v>138</v>
      </c>
      <c r="H677" s="9" t="s">
        <v>139</v>
      </c>
      <c r="I677" s="0" t="s">
        <v>38</v>
      </c>
      <c r="J677" s="9" t="s">
        <v>39</v>
      </c>
      <c r="K677" s="9" t="s">
        <v>30</v>
      </c>
      <c r="L677" s="9" t="s">
        <v>31</v>
      </c>
      <c r="M677" s="0" t="s">
        <v>140</v>
      </c>
      <c r="N677" s="0" t="n">
        <v>842</v>
      </c>
      <c r="O677" s="10" t="n">
        <v>0.824598144739866</v>
      </c>
      <c r="P677" s="10" t="n">
        <v>0.298559809103608</v>
      </c>
      <c r="Q677" s="0" t="str">
        <f aca="false">SUBSTITUTE(SUBSTITUTE($I677,CHAR(61),""),CHAR(34),"")</f>
        <v>15-24</v>
      </c>
      <c r="R677" s="0" t="str">
        <f aca="false">IF($D677&lt;&gt;"","["&amp;$E677&amp;"]"&amp;"|"&amp;$Q677&amp;"|"&amp;$K677&amp;"|"&amp;$G677&amp;"|"&amp;IF($G677="TX_CURR_SUBNAT.R","CY2022Q4",$M677),"")</f>
        <v>[rpw540fmNUz]|15-24|Female|POP_EST.T_1|CY2023Q3</v>
      </c>
    </row>
    <row r="678" customFormat="false" ht="15" hidden="false" customHeight="false" outlineLevel="0" collapsed="false">
      <c r="D678" s="9" t="s">
        <v>114</v>
      </c>
      <c r="E678" s="9" t="s">
        <v>115</v>
      </c>
      <c r="F678" s="9" t="s">
        <v>116</v>
      </c>
      <c r="G678" s="9" t="s">
        <v>138</v>
      </c>
      <c r="H678" s="9" t="s">
        <v>139</v>
      </c>
      <c r="I678" s="0" t="s">
        <v>41</v>
      </c>
      <c r="J678" s="9" t="s">
        <v>42</v>
      </c>
      <c r="K678" s="9" t="s">
        <v>30</v>
      </c>
      <c r="L678" s="9" t="s">
        <v>31</v>
      </c>
      <c r="M678" s="0" t="s">
        <v>140</v>
      </c>
      <c r="N678" s="0" t="n">
        <v>1925</v>
      </c>
      <c r="O678" s="10" t="n">
        <v>0.713016374735162</v>
      </c>
      <c r="P678" s="10" t="n">
        <v>0.298559809103608</v>
      </c>
      <c r="Q678" s="0" t="str">
        <f aca="false">SUBSTITUTE(SUBSTITUTE($I678,CHAR(61),""),CHAR(34),"")</f>
        <v>25-34</v>
      </c>
      <c r="R678" s="0" t="str">
        <f aca="false">IF($D678&lt;&gt;"","["&amp;$E678&amp;"]"&amp;"|"&amp;$Q678&amp;"|"&amp;$K678&amp;"|"&amp;$G678&amp;"|"&amp;IF($G678="TX_CURR_SUBNAT.R","CY2022Q4",$M678),"")</f>
        <v>[rpw540fmNUz]|25-34|Female|POP_EST.T_1|CY2023Q3</v>
      </c>
    </row>
    <row r="679" customFormat="false" ht="15" hidden="false" customHeight="false" outlineLevel="0" collapsed="false">
      <c r="D679" s="9" t="s">
        <v>114</v>
      </c>
      <c r="E679" s="9" t="s">
        <v>115</v>
      </c>
      <c r="F679" s="9" t="s">
        <v>116</v>
      </c>
      <c r="G679" s="9" t="s">
        <v>138</v>
      </c>
      <c r="H679" s="9" t="s">
        <v>139</v>
      </c>
      <c r="I679" s="0" t="s">
        <v>43</v>
      </c>
      <c r="J679" s="9" t="s">
        <v>44</v>
      </c>
      <c r="K679" s="9" t="s">
        <v>30</v>
      </c>
      <c r="L679" s="9" t="s">
        <v>31</v>
      </c>
      <c r="M679" s="0" t="s">
        <v>140</v>
      </c>
      <c r="N679" s="0" t="n">
        <v>1282</v>
      </c>
      <c r="O679" s="10" t="n">
        <v>0.817245344631374</v>
      </c>
      <c r="P679" s="10" t="n">
        <v>0.298559809103608</v>
      </c>
      <c r="Q679" s="0" t="str">
        <f aca="false">SUBSTITUTE(SUBSTITUTE($I679,CHAR(61),""),CHAR(34),"")</f>
        <v>35-49</v>
      </c>
      <c r="R679" s="0" t="str">
        <f aca="false">IF($D679&lt;&gt;"","["&amp;$E679&amp;"]"&amp;"|"&amp;$Q679&amp;"|"&amp;$K679&amp;"|"&amp;$G679&amp;"|"&amp;IF($G679="TX_CURR_SUBNAT.R","CY2022Q4",$M679),"")</f>
        <v>[rpw540fmNUz]|35-49|Female|POP_EST.T_1|CY2023Q3</v>
      </c>
    </row>
    <row r="680" customFormat="false" ht="15" hidden="false" customHeight="false" outlineLevel="0" collapsed="false">
      <c r="D680" s="9" t="s">
        <v>114</v>
      </c>
      <c r="E680" s="9" t="s">
        <v>115</v>
      </c>
      <c r="F680" s="9" t="s">
        <v>116</v>
      </c>
      <c r="G680" s="9" t="s">
        <v>138</v>
      </c>
      <c r="H680" s="9" t="s">
        <v>139</v>
      </c>
      <c r="I680" s="0" t="s">
        <v>45</v>
      </c>
      <c r="J680" s="9" t="s">
        <v>46</v>
      </c>
      <c r="K680" s="9" t="s">
        <v>30</v>
      </c>
      <c r="L680" s="9" t="s">
        <v>31</v>
      </c>
      <c r="M680" s="0" t="s">
        <v>140</v>
      </c>
      <c r="N680" s="0" t="n">
        <v>599</v>
      </c>
      <c r="O680" s="10" t="n">
        <v>0.933817198500037</v>
      </c>
      <c r="P680" s="10" t="n">
        <v>0.298559809103608</v>
      </c>
      <c r="Q680" s="0" t="str">
        <f aca="false">SUBSTITUTE(SUBSTITUTE($I680,CHAR(61),""),CHAR(34),"")</f>
        <v>50+</v>
      </c>
      <c r="R680" s="0" t="str">
        <f aca="false">IF($D680&lt;&gt;"","["&amp;$E680&amp;"]"&amp;"|"&amp;$Q680&amp;"|"&amp;$K680&amp;"|"&amp;$G680&amp;"|"&amp;IF($G680="TX_CURR_SUBNAT.R","CY2022Q4",$M680),"")</f>
        <v>[rpw540fmNUz]|50+|Female|POP_EST.T_1|CY2023Q3</v>
      </c>
    </row>
    <row r="681" customFormat="false" ht="15" hidden="false" customHeight="false" outlineLevel="0" collapsed="false">
      <c r="D681" s="9" t="s">
        <v>114</v>
      </c>
      <c r="E681" s="9" t="s">
        <v>115</v>
      </c>
      <c r="F681" s="9" t="s">
        <v>116</v>
      </c>
      <c r="G681" s="9" t="s">
        <v>138</v>
      </c>
      <c r="H681" s="9" t="s">
        <v>139</v>
      </c>
      <c r="I681" s="0" t="s">
        <v>28</v>
      </c>
      <c r="J681" s="9" t="s">
        <v>29</v>
      </c>
      <c r="K681" s="9" t="s">
        <v>48</v>
      </c>
      <c r="L681" s="9" t="s">
        <v>49</v>
      </c>
      <c r="M681" s="0" t="s">
        <v>140</v>
      </c>
      <c r="N681" s="0" t="n">
        <v>1120</v>
      </c>
      <c r="O681" s="10" t="n">
        <v>0.605801285477355</v>
      </c>
      <c r="P681" s="10" t="n">
        <v>0.298559809103608</v>
      </c>
      <c r="Q681" s="0" t="str">
        <f aca="false">SUBSTITUTE(SUBSTITUTE($I681,CHAR(61),""),CHAR(34),"")</f>
        <v>&lt;01</v>
      </c>
      <c r="R681" s="0" t="str">
        <f aca="false">IF($D681&lt;&gt;"","["&amp;$E681&amp;"]"&amp;"|"&amp;$Q681&amp;"|"&amp;$K681&amp;"|"&amp;$G681&amp;"|"&amp;IF($G681="TX_CURR_SUBNAT.R","CY2022Q4",$M681),"")</f>
        <v>[rpw540fmNUz]|&lt;01|Male|POP_EST.T_1|CY2023Q3</v>
      </c>
    </row>
    <row r="682" customFormat="false" ht="15" hidden="false" customHeight="false" outlineLevel="0" collapsed="false">
      <c r="D682" s="9" t="s">
        <v>114</v>
      </c>
      <c r="E682" s="9" t="s">
        <v>115</v>
      </c>
      <c r="F682" s="9" t="s">
        <v>116</v>
      </c>
      <c r="G682" s="9" t="s">
        <v>138</v>
      </c>
      <c r="H682" s="9" t="s">
        <v>139</v>
      </c>
      <c r="I682" s="0" t="s">
        <v>33</v>
      </c>
      <c r="J682" s="9" t="s">
        <v>34</v>
      </c>
      <c r="K682" s="9" t="s">
        <v>48</v>
      </c>
      <c r="L682" s="9" t="s">
        <v>49</v>
      </c>
      <c r="M682" s="0" t="s">
        <v>140</v>
      </c>
      <c r="N682" s="0" t="n">
        <v>1574</v>
      </c>
      <c r="O682" s="10" t="n">
        <v>0.303684363141656</v>
      </c>
      <c r="P682" s="10" t="n">
        <v>0.298559809103608</v>
      </c>
      <c r="Q682" s="0" t="str">
        <f aca="false">SUBSTITUTE(SUBSTITUTE($I682,CHAR(61),""),CHAR(34),"")</f>
        <v>01-09</v>
      </c>
      <c r="R682" s="0" t="str">
        <f aca="false">IF($D682&lt;&gt;"","["&amp;$E682&amp;"]"&amp;"|"&amp;$Q682&amp;"|"&amp;$K682&amp;"|"&amp;$G682&amp;"|"&amp;IF($G682="TX_CURR_SUBNAT.R","CY2022Q4",$M682),"")</f>
        <v>[rpw540fmNUz]|01-09|Male|POP_EST.T_1|CY2023Q3</v>
      </c>
    </row>
    <row r="683" customFormat="false" ht="15" hidden="false" customHeight="false" outlineLevel="0" collapsed="false">
      <c r="D683" s="9" t="s">
        <v>114</v>
      </c>
      <c r="E683" s="9" t="s">
        <v>115</v>
      </c>
      <c r="F683" s="9" t="s">
        <v>116</v>
      </c>
      <c r="G683" s="9" t="s">
        <v>138</v>
      </c>
      <c r="H683" s="9" t="s">
        <v>139</v>
      </c>
      <c r="I683" s="0" t="s">
        <v>36</v>
      </c>
      <c r="J683" s="9" t="s">
        <v>37</v>
      </c>
      <c r="K683" s="9" t="s">
        <v>48</v>
      </c>
      <c r="L683" s="9" t="s">
        <v>49</v>
      </c>
      <c r="M683" s="0" t="s">
        <v>140</v>
      </c>
      <c r="N683" s="0" t="n">
        <v>1241</v>
      </c>
      <c r="O683" s="10" t="n">
        <v>0.360146935097873</v>
      </c>
      <c r="P683" s="10" t="n">
        <v>0.298559809103608</v>
      </c>
      <c r="Q683" s="0" t="str">
        <f aca="false">SUBSTITUTE(SUBSTITUTE($I683,CHAR(61),""),CHAR(34),"")</f>
        <v>10-14</v>
      </c>
      <c r="R683" s="0" t="str">
        <f aca="false">IF($D683&lt;&gt;"","["&amp;$E683&amp;"]"&amp;"|"&amp;$Q683&amp;"|"&amp;$K683&amp;"|"&amp;$G683&amp;"|"&amp;IF($G683="TX_CURR_SUBNAT.R","CY2022Q4",$M683),"")</f>
        <v>[rpw540fmNUz]|10-14|Male|POP_EST.T_1|CY2023Q3</v>
      </c>
    </row>
    <row r="684" customFormat="false" ht="15" hidden="false" customHeight="false" outlineLevel="0" collapsed="false">
      <c r="D684" s="9" t="s">
        <v>114</v>
      </c>
      <c r="E684" s="9" t="s">
        <v>115</v>
      </c>
      <c r="F684" s="9" t="s">
        <v>116</v>
      </c>
      <c r="G684" s="9" t="s">
        <v>138</v>
      </c>
      <c r="H684" s="9" t="s">
        <v>139</v>
      </c>
      <c r="I684" s="0" t="s">
        <v>38</v>
      </c>
      <c r="J684" s="9" t="s">
        <v>39</v>
      </c>
      <c r="K684" s="9" t="s">
        <v>48</v>
      </c>
      <c r="L684" s="9" t="s">
        <v>49</v>
      </c>
      <c r="M684" s="0" t="s">
        <v>140</v>
      </c>
      <c r="N684" s="0" t="n">
        <v>603</v>
      </c>
      <c r="O684" s="10" t="n">
        <v>0.881939510582015</v>
      </c>
      <c r="P684" s="10" t="n">
        <v>0.298559809103608</v>
      </c>
      <c r="Q684" s="0" t="str">
        <f aca="false">SUBSTITUTE(SUBSTITUTE($I684,CHAR(61),""),CHAR(34),"")</f>
        <v>15-24</v>
      </c>
      <c r="R684" s="0" t="str">
        <f aca="false">IF($D684&lt;&gt;"","["&amp;$E684&amp;"]"&amp;"|"&amp;$Q684&amp;"|"&amp;$K684&amp;"|"&amp;$G684&amp;"|"&amp;IF($G684="TX_CURR_SUBNAT.R","CY2022Q4",$M684),"")</f>
        <v>[rpw540fmNUz]|15-24|Male|POP_EST.T_1|CY2023Q3</v>
      </c>
    </row>
    <row r="685" customFormat="false" ht="15" hidden="false" customHeight="false" outlineLevel="0" collapsed="false">
      <c r="D685" s="9" t="s">
        <v>114</v>
      </c>
      <c r="E685" s="9" t="s">
        <v>115</v>
      </c>
      <c r="F685" s="9" t="s">
        <v>116</v>
      </c>
      <c r="G685" s="9" t="s">
        <v>138</v>
      </c>
      <c r="H685" s="9" t="s">
        <v>139</v>
      </c>
      <c r="I685" s="0" t="s">
        <v>41</v>
      </c>
      <c r="J685" s="9" t="s">
        <v>42</v>
      </c>
      <c r="K685" s="9" t="s">
        <v>48</v>
      </c>
      <c r="L685" s="9" t="s">
        <v>49</v>
      </c>
      <c r="M685" s="0" t="s">
        <v>140</v>
      </c>
      <c r="N685" s="0" t="n">
        <v>1786</v>
      </c>
      <c r="O685" s="10" t="n">
        <v>0.877166567370296</v>
      </c>
      <c r="P685" s="10" t="n">
        <v>0.298559809103608</v>
      </c>
      <c r="Q685" s="0" t="str">
        <f aca="false">SUBSTITUTE(SUBSTITUTE($I685,CHAR(61),""),CHAR(34),"")</f>
        <v>25-34</v>
      </c>
      <c r="R685" s="0" t="str">
        <f aca="false">IF($D685&lt;&gt;"","["&amp;$E685&amp;"]"&amp;"|"&amp;$Q685&amp;"|"&amp;$K685&amp;"|"&amp;$G685&amp;"|"&amp;IF($G685="TX_CURR_SUBNAT.R","CY2022Q4",$M685),"")</f>
        <v>[rpw540fmNUz]|25-34|Male|POP_EST.T_1|CY2023Q3</v>
      </c>
    </row>
    <row r="686" customFormat="false" ht="15" hidden="false" customHeight="false" outlineLevel="0" collapsed="false">
      <c r="D686" s="9" t="s">
        <v>114</v>
      </c>
      <c r="E686" s="9" t="s">
        <v>115</v>
      </c>
      <c r="F686" s="9" t="s">
        <v>116</v>
      </c>
      <c r="G686" s="9" t="s">
        <v>138</v>
      </c>
      <c r="H686" s="9" t="s">
        <v>139</v>
      </c>
      <c r="I686" s="0" t="s">
        <v>43</v>
      </c>
      <c r="J686" s="9" t="s">
        <v>44</v>
      </c>
      <c r="K686" s="9" t="s">
        <v>48</v>
      </c>
      <c r="L686" s="9" t="s">
        <v>49</v>
      </c>
      <c r="M686" s="0" t="s">
        <v>140</v>
      </c>
      <c r="N686" s="0" t="n">
        <v>1055</v>
      </c>
      <c r="O686" s="10" t="n">
        <v>0.531615569954738</v>
      </c>
      <c r="P686" s="10" t="n">
        <v>0.298559809103608</v>
      </c>
      <c r="Q686" s="0" t="str">
        <f aca="false">SUBSTITUTE(SUBSTITUTE($I686,CHAR(61),""),CHAR(34),"")</f>
        <v>35-49</v>
      </c>
      <c r="R686" s="0" t="str">
        <f aca="false">IF($D686&lt;&gt;"","["&amp;$E686&amp;"]"&amp;"|"&amp;$Q686&amp;"|"&amp;$K686&amp;"|"&amp;$G686&amp;"|"&amp;IF($G686="TX_CURR_SUBNAT.R","CY2022Q4",$M686),"")</f>
        <v>[rpw540fmNUz]|35-49|Male|POP_EST.T_1|CY2023Q3</v>
      </c>
    </row>
    <row r="687" customFormat="false" ht="15" hidden="false" customHeight="false" outlineLevel="0" collapsed="false">
      <c r="D687" s="9" t="s">
        <v>114</v>
      </c>
      <c r="E687" s="9" t="s">
        <v>115</v>
      </c>
      <c r="F687" s="9" t="s">
        <v>116</v>
      </c>
      <c r="G687" s="9" t="s">
        <v>138</v>
      </c>
      <c r="H687" s="9" t="s">
        <v>139</v>
      </c>
      <c r="I687" s="0" t="s">
        <v>45</v>
      </c>
      <c r="J687" s="9" t="s">
        <v>46</v>
      </c>
      <c r="K687" s="9" t="s">
        <v>48</v>
      </c>
      <c r="L687" s="9" t="s">
        <v>49</v>
      </c>
      <c r="M687" s="0" t="s">
        <v>140</v>
      </c>
      <c r="N687" s="0" t="n">
        <v>983</v>
      </c>
      <c r="O687" s="10" t="n">
        <v>0.808597695780918</v>
      </c>
      <c r="P687" s="10" t="n">
        <v>0.298559809103608</v>
      </c>
      <c r="Q687" s="0" t="str">
        <f aca="false">SUBSTITUTE(SUBSTITUTE($I687,CHAR(61),""),CHAR(34),"")</f>
        <v>50+</v>
      </c>
      <c r="R687" s="0" t="str">
        <f aca="false">IF($D687&lt;&gt;"","["&amp;$E687&amp;"]"&amp;"|"&amp;$Q687&amp;"|"&amp;$K687&amp;"|"&amp;$G687&amp;"|"&amp;IF($G687="TX_CURR_SUBNAT.R","CY2022Q4",$M687),"")</f>
        <v>[rpw540fmNUz]|50+|Male|POP_EST.T_1|CY2023Q3</v>
      </c>
    </row>
    <row r="688" customFormat="false" ht="15" hidden="false" customHeight="false" outlineLevel="0" collapsed="false">
      <c r="D688" s="9" t="s">
        <v>117</v>
      </c>
      <c r="E688" s="9" t="s">
        <v>118</v>
      </c>
      <c r="F688" s="9" t="s">
        <v>119</v>
      </c>
      <c r="G688" s="9" t="s">
        <v>138</v>
      </c>
      <c r="H688" s="9" t="s">
        <v>139</v>
      </c>
      <c r="I688" s="0" t="s">
        <v>28</v>
      </c>
      <c r="J688" s="9" t="s">
        <v>29</v>
      </c>
      <c r="K688" s="9" t="s">
        <v>30</v>
      </c>
      <c r="L688" s="9" t="s">
        <v>31</v>
      </c>
      <c r="M688" s="0" t="s">
        <v>140</v>
      </c>
      <c r="N688" s="0" t="n">
        <v>665</v>
      </c>
      <c r="O688" s="10" t="n">
        <v>0.543219715123996</v>
      </c>
      <c r="P688" s="10" t="n">
        <v>0.206259709550068</v>
      </c>
      <c r="Q688" s="0" t="str">
        <f aca="false">SUBSTITUTE(SUBSTITUTE($I688,CHAR(61),""),CHAR(34),"")</f>
        <v>&lt;01</v>
      </c>
      <c r="R688" s="0" t="str">
        <f aca="false">IF($D688&lt;&gt;"","["&amp;$E688&amp;"]"&amp;"|"&amp;$Q688&amp;"|"&amp;$K688&amp;"|"&amp;$G688&amp;"|"&amp;IF($G688="TX_CURR_SUBNAT.R","CY2022Q4",$M688),"")</f>
        <v>[lPTyjLi4w3d]|&lt;01|Female|POP_EST.T_1|CY2023Q3</v>
      </c>
    </row>
    <row r="689" customFormat="false" ht="15" hidden="false" customHeight="false" outlineLevel="0" collapsed="false">
      <c r="D689" s="9" t="s">
        <v>117</v>
      </c>
      <c r="E689" s="9" t="s">
        <v>118</v>
      </c>
      <c r="F689" s="9" t="s">
        <v>119</v>
      </c>
      <c r="G689" s="9" t="s">
        <v>138</v>
      </c>
      <c r="H689" s="9" t="s">
        <v>139</v>
      </c>
      <c r="I689" s="0" t="s">
        <v>33</v>
      </c>
      <c r="J689" s="9" t="s">
        <v>34</v>
      </c>
      <c r="K689" s="9" t="s">
        <v>30</v>
      </c>
      <c r="L689" s="9" t="s">
        <v>31</v>
      </c>
      <c r="M689" s="0" t="s">
        <v>140</v>
      </c>
      <c r="N689" s="0" t="n">
        <v>618</v>
      </c>
      <c r="O689" s="10" t="n">
        <v>0.934681018115953</v>
      </c>
      <c r="P689" s="10" t="n">
        <v>0.206259709550068</v>
      </c>
      <c r="Q689" s="0" t="str">
        <f aca="false">SUBSTITUTE(SUBSTITUTE($I689,CHAR(61),""),CHAR(34),"")</f>
        <v>01-09</v>
      </c>
      <c r="R689" s="0" t="str">
        <f aca="false">IF($D689&lt;&gt;"","["&amp;$E689&amp;"]"&amp;"|"&amp;$Q689&amp;"|"&amp;$K689&amp;"|"&amp;$G689&amp;"|"&amp;IF($G689="TX_CURR_SUBNAT.R","CY2022Q4",$M689),"")</f>
        <v>[lPTyjLi4w3d]|01-09|Female|POP_EST.T_1|CY2023Q3</v>
      </c>
    </row>
    <row r="690" customFormat="false" ht="15" hidden="false" customHeight="false" outlineLevel="0" collapsed="false">
      <c r="D690" s="9" t="s">
        <v>117</v>
      </c>
      <c r="E690" s="9" t="s">
        <v>118</v>
      </c>
      <c r="F690" s="9" t="s">
        <v>119</v>
      </c>
      <c r="G690" s="9" t="s">
        <v>138</v>
      </c>
      <c r="H690" s="9" t="s">
        <v>139</v>
      </c>
      <c r="I690" s="0" t="s">
        <v>36</v>
      </c>
      <c r="J690" s="9" t="s">
        <v>37</v>
      </c>
      <c r="K690" s="9" t="s">
        <v>30</v>
      </c>
      <c r="L690" s="9" t="s">
        <v>31</v>
      </c>
      <c r="M690" s="0" t="s">
        <v>140</v>
      </c>
      <c r="N690" s="0" t="n">
        <v>767</v>
      </c>
      <c r="O690" s="10" t="n">
        <v>0.762519814539701</v>
      </c>
      <c r="P690" s="10" t="n">
        <v>0.206259709550068</v>
      </c>
      <c r="Q690" s="0" t="str">
        <f aca="false">SUBSTITUTE(SUBSTITUTE($I690,CHAR(61),""),CHAR(34),"")</f>
        <v>10-14</v>
      </c>
      <c r="R690" s="0" t="str">
        <f aca="false">IF($D690&lt;&gt;"","["&amp;$E690&amp;"]"&amp;"|"&amp;$Q690&amp;"|"&amp;$K690&amp;"|"&amp;$G690&amp;"|"&amp;IF($G690="TX_CURR_SUBNAT.R","CY2022Q4",$M690),"")</f>
        <v>[lPTyjLi4w3d]|10-14|Female|POP_EST.T_1|CY2023Q3</v>
      </c>
    </row>
    <row r="691" customFormat="false" ht="15" hidden="false" customHeight="false" outlineLevel="0" collapsed="false">
      <c r="D691" s="9" t="s">
        <v>117</v>
      </c>
      <c r="E691" s="9" t="s">
        <v>118</v>
      </c>
      <c r="F691" s="9" t="s">
        <v>119</v>
      </c>
      <c r="G691" s="9" t="s">
        <v>138</v>
      </c>
      <c r="H691" s="9" t="s">
        <v>139</v>
      </c>
      <c r="I691" s="0" t="s">
        <v>38</v>
      </c>
      <c r="J691" s="9" t="s">
        <v>39</v>
      </c>
      <c r="K691" s="9" t="s">
        <v>30</v>
      </c>
      <c r="L691" s="9" t="s">
        <v>31</v>
      </c>
      <c r="M691" s="0" t="s">
        <v>140</v>
      </c>
      <c r="N691" s="0" t="n">
        <v>896</v>
      </c>
      <c r="O691" s="10" t="n">
        <v>0.309217454167083</v>
      </c>
      <c r="P691" s="10" t="n">
        <v>0.206259709550068</v>
      </c>
      <c r="Q691" s="0" t="str">
        <f aca="false">SUBSTITUTE(SUBSTITUTE($I691,CHAR(61),""),CHAR(34),"")</f>
        <v>15-24</v>
      </c>
      <c r="R691" s="0" t="str">
        <f aca="false">IF($D691&lt;&gt;"","["&amp;$E691&amp;"]"&amp;"|"&amp;$Q691&amp;"|"&amp;$K691&amp;"|"&amp;$G691&amp;"|"&amp;IF($G691="TX_CURR_SUBNAT.R","CY2022Q4",$M691),"")</f>
        <v>[lPTyjLi4w3d]|15-24|Female|POP_EST.T_1|CY2023Q3</v>
      </c>
    </row>
    <row r="692" customFormat="false" ht="15" hidden="false" customHeight="false" outlineLevel="0" collapsed="false">
      <c r="D692" s="9" t="s">
        <v>117</v>
      </c>
      <c r="E692" s="9" t="s">
        <v>118</v>
      </c>
      <c r="F692" s="9" t="s">
        <v>119</v>
      </c>
      <c r="G692" s="9" t="s">
        <v>138</v>
      </c>
      <c r="H692" s="9" t="s">
        <v>139</v>
      </c>
      <c r="I692" s="0" t="s">
        <v>41</v>
      </c>
      <c r="J692" s="9" t="s">
        <v>42</v>
      </c>
      <c r="K692" s="9" t="s">
        <v>30</v>
      </c>
      <c r="L692" s="9" t="s">
        <v>31</v>
      </c>
      <c r="M692" s="0" t="s">
        <v>140</v>
      </c>
      <c r="N692" s="0" t="n">
        <v>1885</v>
      </c>
      <c r="O692" s="10" t="n">
        <v>0.644602044951171</v>
      </c>
      <c r="P692" s="10" t="n">
        <v>0.206259709550068</v>
      </c>
      <c r="Q692" s="0" t="str">
        <f aca="false">SUBSTITUTE(SUBSTITUTE($I692,CHAR(61),""),CHAR(34),"")</f>
        <v>25-34</v>
      </c>
      <c r="R692" s="0" t="str">
        <f aca="false">IF($D692&lt;&gt;"","["&amp;$E692&amp;"]"&amp;"|"&amp;$Q692&amp;"|"&amp;$K692&amp;"|"&amp;$G692&amp;"|"&amp;IF($G692="TX_CURR_SUBNAT.R","CY2022Q4",$M692),"")</f>
        <v>[lPTyjLi4w3d]|25-34|Female|POP_EST.T_1|CY2023Q3</v>
      </c>
    </row>
    <row r="693" customFormat="false" ht="15" hidden="false" customHeight="false" outlineLevel="0" collapsed="false">
      <c r="D693" s="9" t="s">
        <v>117</v>
      </c>
      <c r="E693" s="9" t="s">
        <v>118</v>
      </c>
      <c r="F693" s="9" t="s">
        <v>119</v>
      </c>
      <c r="G693" s="9" t="s">
        <v>138</v>
      </c>
      <c r="H693" s="9" t="s">
        <v>139</v>
      </c>
      <c r="I693" s="0" t="s">
        <v>43</v>
      </c>
      <c r="J693" s="9" t="s">
        <v>44</v>
      </c>
      <c r="K693" s="9" t="s">
        <v>30</v>
      </c>
      <c r="L693" s="9" t="s">
        <v>31</v>
      </c>
      <c r="M693" s="0" t="s">
        <v>140</v>
      </c>
      <c r="N693" s="0" t="n">
        <v>870</v>
      </c>
      <c r="O693" s="10" t="n">
        <v>0.375549062853679</v>
      </c>
      <c r="P693" s="10" t="n">
        <v>0.206259709550068</v>
      </c>
      <c r="Q693" s="0" t="str">
        <f aca="false">SUBSTITUTE(SUBSTITUTE($I693,CHAR(61),""),CHAR(34),"")</f>
        <v>35-49</v>
      </c>
      <c r="R693" s="0" t="str">
        <f aca="false">IF($D693&lt;&gt;"","["&amp;$E693&amp;"]"&amp;"|"&amp;$Q693&amp;"|"&amp;$K693&amp;"|"&amp;$G693&amp;"|"&amp;IF($G693="TX_CURR_SUBNAT.R","CY2022Q4",$M693),"")</f>
        <v>[lPTyjLi4w3d]|35-49|Female|POP_EST.T_1|CY2023Q3</v>
      </c>
    </row>
    <row r="694" customFormat="false" ht="15" hidden="false" customHeight="false" outlineLevel="0" collapsed="false">
      <c r="D694" s="9" t="s">
        <v>117</v>
      </c>
      <c r="E694" s="9" t="s">
        <v>118</v>
      </c>
      <c r="F694" s="9" t="s">
        <v>119</v>
      </c>
      <c r="G694" s="9" t="s">
        <v>138</v>
      </c>
      <c r="H694" s="9" t="s">
        <v>139</v>
      </c>
      <c r="I694" s="0" t="s">
        <v>45</v>
      </c>
      <c r="J694" s="9" t="s">
        <v>46</v>
      </c>
      <c r="K694" s="9" t="s">
        <v>30</v>
      </c>
      <c r="L694" s="9" t="s">
        <v>31</v>
      </c>
      <c r="M694" s="0" t="s">
        <v>140</v>
      </c>
      <c r="N694" s="0" t="n">
        <v>1895</v>
      </c>
      <c r="O694" s="10" t="n">
        <v>0.788099652854726</v>
      </c>
      <c r="P694" s="10" t="n">
        <v>0.206259709550068</v>
      </c>
      <c r="Q694" s="0" t="str">
        <f aca="false">SUBSTITUTE(SUBSTITUTE($I694,CHAR(61),""),CHAR(34),"")</f>
        <v>50+</v>
      </c>
      <c r="R694" s="0" t="str">
        <f aca="false">IF($D694&lt;&gt;"","["&amp;$E694&amp;"]"&amp;"|"&amp;$Q694&amp;"|"&amp;$K694&amp;"|"&amp;$G694&amp;"|"&amp;IF($G694="TX_CURR_SUBNAT.R","CY2022Q4",$M694),"")</f>
        <v>[lPTyjLi4w3d]|50+|Female|POP_EST.T_1|CY2023Q3</v>
      </c>
    </row>
    <row r="695" customFormat="false" ht="15" hidden="false" customHeight="false" outlineLevel="0" collapsed="false">
      <c r="D695" s="9" t="s">
        <v>117</v>
      </c>
      <c r="E695" s="9" t="s">
        <v>118</v>
      </c>
      <c r="F695" s="9" t="s">
        <v>119</v>
      </c>
      <c r="G695" s="9" t="s">
        <v>138</v>
      </c>
      <c r="H695" s="9" t="s">
        <v>139</v>
      </c>
      <c r="I695" s="0" t="s">
        <v>28</v>
      </c>
      <c r="J695" s="9" t="s">
        <v>29</v>
      </c>
      <c r="K695" s="9" t="s">
        <v>48</v>
      </c>
      <c r="L695" s="9" t="s">
        <v>49</v>
      </c>
      <c r="M695" s="0" t="s">
        <v>140</v>
      </c>
      <c r="N695" s="0" t="n">
        <v>924</v>
      </c>
      <c r="O695" s="10" t="n">
        <v>0.565268674865365</v>
      </c>
      <c r="P695" s="10" t="n">
        <v>0.206259709550068</v>
      </c>
      <c r="Q695" s="0" t="str">
        <f aca="false">SUBSTITUTE(SUBSTITUTE($I695,CHAR(61),""),CHAR(34),"")</f>
        <v>&lt;01</v>
      </c>
      <c r="R695" s="0" t="str">
        <f aca="false">IF($D695&lt;&gt;"","["&amp;$E695&amp;"]"&amp;"|"&amp;$Q695&amp;"|"&amp;$K695&amp;"|"&amp;$G695&amp;"|"&amp;IF($G695="TX_CURR_SUBNAT.R","CY2022Q4",$M695),"")</f>
        <v>[lPTyjLi4w3d]|&lt;01|Male|POP_EST.T_1|CY2023Q3</v>
      </c>
    </row>
    <row r="696" customFormat="false" ht="15" hidden="false" customHeight="false" outlineLevel="0" collapsed="false">
      <c r="D696" s="9" t="s">
        <v>117</v>
      </c>
      <c r="E696" s="9" t="s">
        <v>118</v>
      </c>
      <c r="F696" s="9" t="s">
        <v>119</v>
      </c>
      <c r="G696" s="9" t="s">
        <v>138</v>
      </c>
      <c r="H696" s="9" t="s">
        <v>139</v>
      </c>
      <c r="I696" s="0" t="s">
        <v>33</v>
      </c>
      <c r="J696" s="9" t="s">
        <v>34</v>
      </c>
      <c r="K696" s="9" t="s">
        <v>48</v>
      </c>
      <c r="L696" s="9" t="s">
        <v>49</v>
      </c>
      <c r="M696" s="0" t="s">
        <v>140</v>
      </c>
      <c r="N696" s="0" t="n">
        <v>1338</v>
      </c>
      <c r="O696" s="10" t="n">
        <v>0.726034025428817</v>
      </c>
      <c r="P696" s="10" t="n">
        <v>0.206259709550068</v>
      </c>
      <c r="Q696" s="0" t="str">
        <f aca="false">SUBSTITUTE(SUBSTITUTE($I696,CHAR(61),""),CHAR(34),"")</f>
        <v>01-09</v>
      </c>
      <c r="R696" s="0" t="str">
        <f aca="false">IF($D696&lt;&gt;"","["&amp;$E696&amp;"]"&amp;"|"&amp;$Q696&amp;"|"&amp;$K696&amp;"|"&amp;$G696&amp;"|"&amp;IF($G696="TX_CURR_SUBNAT.R","CY2022Q4",$M696),"")</f>
        <v>[lPTyjLi4w3d]|01-09|Male|POP_EST.T_1|CY2023Q3</v>
      </c>
    </row>
    <row r="697" customFormat="false" ht="15" hidden="false" customHeight="false" outlineLevel="0" collapsed="false">
      <c r="D697" s="9" t="s">
        <v>117</v>
      </c>
      <c r="E697" s="9" t="s">
        <v>118</v>
      </c>
      <c r="F697" s="9" t="s">
        <v>119</v>
      </c>
      <c r="G697" s="9" t="s">
        <v>138</v>
      </c>
      <c r="H697" s="9" t="s">
        <v>139</v>
      </c>
      <c r="I697" s="0" t="s">
        <v>36</v>
      </c>
      <c r="J697" s="9" t="s">
        <v>37</v>
      </c>
      <c r="K697" s="9" t="s">
        <v>48</v>
      </c>
      <c r="L697" s="9" t="s">
        <v>49</v>
      </c>
      <c r="M697" s="0" t="s">
        <v>140</v>
      </c>
      <c r="N697" s="0" t="n">
        <v>1126</v>
      </c>
      <c r="O697" s="10" t="n">
        <v>0.739781074924394</v>
      </c>
      <c r="P697" s="10" t="n">
        <v>0.206259709550068</v>
      </c>
      <c r="Q697" s="0" t="str">
        <f aca="false">SUBSTITUTE(SUBSTITUTE($I697,CHAR(61),""),CHAR(34),"")</f>
        <v>10-14</v>
      </c>
      <c r="R697" s="0" t="str">
        <f aca="false">IF($D697&lt;&gt;"","["&amp;$E697&amp;"]"&amp;"|"&amp;$Q697&amp;"|"&amp;$K697&amp;"|"&amp;$G697&amp;"|"&amp;IF($G697="TX_CURR_SUBNAT.R","CY2022Q4",$M697),"")</f>
        <v>[lPTyjLi4w3d]|10-14|Male|POP_EST.T_1|CY2023Q3</v>
      </c>
    </row>
    <row r="698" customFormat="false" ht="15" hidden="false" customHeight="false" outlineLevel="0" collapsed="false">
      <c r="D698" s="9" t="s">
        <v>117</v>
      </c>
      <c r="E698" s="9" t="s">
        <v>118</v>
      </c>
      <c r="F698" s="9" t="s">
        <v>119</v>
      </c>
      <c r="G698" s="9" t="s">
        <v>138</v>
      </c>
      <c r="H698" s="9" t="s">
        <v>139</v>
      </c>
      <c r="I698" s="0" t="s">
        <v>38</v>
      </c>
      <c r="J698" s="9" t="s">
        <v>39</v>
      </c>
      <c r="K698" s="9" t="s">
        <v>48</v>
      </c>
      <c r="L698" s="9" t="s">
        <v>49</v>
      </c>
      <c r="M698" s="0" t="s">
        <v>140</v>
      </c>
      <c r="N698" s="0" t="n">
        <v>687</v>
      </c>
      <c r="O698" s="10" t="n">
        <v>0.204273456474766</v>
      </c>
      <c r="P698" s="10" t="n">
        <v>0.206259709550068</v>
      </c>
      <c r="Q698" s="0" t="str">
        <f aca="false">SUBSTITUTE(SUBSTITUTE($I698,CHAR(61),""),CHAR(34),"")</f>
        <v>15-24</v>
      </c>
      <c r="R698" s="0" t="str">
        <f aca="false">IF($D698&lt;&gt;"","["&amp;$E698&amp;"]"&amp;"|"&amp;$Q698&amp;"|"&amp;$K698&amp;"|"&amp;$G698&amp;"|"&amp;IF($G698="TX_CURR_SUBNAT.R","CY2022Q4",$M698),"")</f>
        <v>[lPTyjLi4w3d]|15-24|Male|POP_EST.T_1|CY2023Q3</v>
      </c>
    </row>
    <row r="699" customFormat="false" ht="15" hidden="false" customHeight="false" outlineLevel="0" collapsed="false">
      <c r="D699" s="9" t="s">
        <v>117</v>
      </c>
      <c r="E699" s="9" t="s">
        <v>118</v>
      </c>
      <c r="F699" s="9" t="s">
        <v>119</v>
      </c>
      <c r="G699" s="9" t="s">
        <v>138</v>
      </c>
      <c r="H699" s="9" t="s">
        <v>139</v>
      </c>
      <c r="I699" s="0" t="s">
        <v>41</v>
      </c>
      <c r="J699" s="9" t="s">
        <v>42</v>
      </c>
      <c r="K699" s="9" t="s">
        <v>48</v>
      </c>
      <c r="L699" s="9" t="s">
        <v>49</v>
      </c>
      <c r="M699" s="0" t="s">
        <v>140</v>
      </c>
      <c r="N699" s="0" t="n">
        <v>1661</v>
      </c>
      <c r="O699" s="10" t="n">
        <v>0.649683818686754</v>
      </c>
      <c r="P699" s="10" t="n">
        <v>0.206259709550068</v>
      </c>
      <c r="Q699" s="0" t="str">
        <f aca="false">SUBSTITUTE(SUBSTITUTE($I699,CHAR(61),""),CHAR(34),"")</f>
        <v>25-34</v>
      </c>
      <c r="R699" s="0" t="str">
        <f aca="false">IF($D699&lt;&gt;"","["&amp;$E699&amp;"]"&amp;"|"&amp;$Q699&amp;"|"&amp;$K699&amp;"|"&amp;$G699&amp;"|"&amp;IF($G699="TX_CURR_SUBNAT.R","CY2022Q4",$M699),"")</f>
        <v>[lPTyjLi4w3d]|25-34|Male|POP_EST.T_1|CY2023Q3</v>
      </c>
    </row>
    <row r="700" customFormat="false" ht="15" hidden="false" customHeight="false" outlineLevel="0" collapsed="false">
      <c r="D700" s="9" t="s">
        <v>117</v>
      </c>
      <c r="E700" s="9" t="s">
        <v>118</v>
      </c>
      <c r="F700" s="9" t="s">
        <v>119</v>
      </c>
      <c r="G700" s="9" t="s">
        <v>138</v>
      </c>
      <c r="H700" s="9" t="s">
        <v>139</v>
      </c>
      <c r="I700" s="0" t="s">
        <v>43</v>
      </c>
      <c r="J700" s="9" t="s">
        <v>44</v>
      </c>
      <c r="K700" s="9" t="s">
        <v>48</v>
      </c>
      <c r="L700" s="9" t="s">
        <v>49</v>
      </c>
      <c r="M700" s="0" t="s">
        <v>140</v>
      </c>
      <c r="N700" s="0" t="n">
        <v>1605</v>
      </c>
      <c r="O700" s="10" t="n">
        <v>0.523770272731781</v>
      </c>
      <c r="P700" s="10" t="n">
        <v>0.206259709550068</v>
      </c>
      <c r="Q700" s="0" t="str">
        <f aca="false">SUBSTITUTE(SUBSTITUTE($I700,CHAR(61),""),CHAR(34),"")</f>
        <v>35-49</v>
      </c>
      <c r="R700" s="0" t="str">
        <f aca="false">IF($D700&lt;&gt;"","["&amp;$E700&amp;"]"&amp;"|"&amp;$Q700&amp;"|"&amp;$K700&amp;"|"&amp;$G700&amp;"|"&amp;IF($G700="TX_CURR_SUBNAT.R","CY2022Q4",$M700),"")</f>
        <v>[lPTyjLi4w3d]|35-49|Male|POP_EST.T_1|CY2023Q3</v>
      </c>
    </row>
    <row r="701" customFormat="false" ht="15" hidden="false" customHeight="false" outlineLevel="0" collapsed="false">
      <c r="D701" s="9" t="s">
        <v>117</v>
      </c>
      <c r="E701" s="9" t="s">
        <v>118</v>
      </c>
      <c r="F701" s="9" t="s">
        <v>119</v>
      </c>
      <c r="G701" s="9" t="s">
        <v>138</v>
      </c>
      <c r="H701" s="9" t="s">
        <v>139</v>
      </c>
      <c r="I701" s="0" t="s">
        <v>45</v>
      </c>
      <c r="J701" s="9" t="s">
        <v>46</v>
      </c>
      <c r="K701" s="9" t="s">
        <v>48</v>
      </c>
      <c r="L701" s="9" t="s">
        <v>49</v>
      </c>
      <c r="M701" s="0" t="s">
        <v>140</v>
      </c>
      <c r="N701" s="0" t="n">
        <v>527</v>
      </c>
      <c r="O701" s="10" t="n">
        <v>0.806580103700981</v>
      </c>
      <c r="P701" s="10" t="n">
        <v>0.206259709550068</v>
      </c>
      <c r="Q701" s="0" t="str">
        <f aca="false">SUBSTITUTE(SUBSTITUTE($I701,CHAR(61),""),CHAR(34),"")</f>
        <v>50+</v>
      </c>
      <c r="R701" s="0" t="str">
        <f aca="false">IF($D701&lt;&gt;"","["&amp;$E701&amp;"]"&amp;"|"&amp;$Q701&amp;"|"&amp;$K701&amp;"|"&amp;$G701&amp;"|"&amp;IF($G701="TX_CURR_SUBNAT.R","CY2022Q4",$M701),"")</f>
        <v>[lPTyjLi4w3d]|50+|Male|POP_EST.T_1|CY2023Q3</v>
      </c>
    </row>
    <row r="702" customFormat="false" ht="15" hidden="false" customHeight="false" outlineLevel="0" collapsed="false">
      <c r="D702" s="9" t="s">
        <v>120</v>
      </c>
      <c r="E702" s="9" t="s">
        <v>121</v>
      </c>
      <c r="F702" s="9" t="s">
        <v>122</v>
      </c>
      <c r="G702" s="9" t="s">
        <v>138</v>
      </c>
      <c r="H702" s="9" t="s">
        <v>139</v>
      </c>
      <c r="I702" s="0" t="s">
        <v>28</v>
      </c>
      <c r="J702" s="9" t="s">
        <v>29</v>
      </c>
      <c r="K702" s="9" t="s">
        <v>30</v>
      </c>
      <c r="L702" s="9" t="s">
        <v>31</v>
      </c>
      <c r="M702" s="0" t="s">
        <v>140</v>
      </c>
      <c r="N702" s="0" t="n">
        <v>1893</v>
      </c>
      <c r="O702" s="10" t="n">
        <v>0.0424575270153582</v>
      </c>
      <c r="P702" s="10" t="n">
        <v>0.430103979306296</v>
      </c>
      <c r="Q702" s="0" t="str">
        <f aca="false">SUBSTITUTE(SUBSTITUTE($I702,CHAR(61),""),CHAR(34),"")</f>
        <v>&lt;01</v>
      </c>
      <c r="R702" s="0" t="str">
        <f aca="false">IF($D702&lt;&gt;"","["&amp;$E702&amp;"]"&amp;"|"&amp;$Q702&amp;"|"&amp;$K702&amp;"|"&amp;$G702&amp;"|"&amp;IF($G702="TX_CURR_SUBNAT.R","CY2022Q4",$M702),"")</f>
        <v>[vA4NcHxfMBq]|&lt;01|Female|POP_EST.T_1|CY2023Q3</v>
      </c>
    </row>
    <row r="703" customFormat="false" ht="15" hidden="false" customHeight="false" outlineLevel="0" collapsed="false">
      <c r="D703" s="9" t="s">
        <v>120</v>
      </c>
      <c r="E703" s="9" t="s">
        <v>121</v>
      </c>
      <c r="F703" s="9" t="s">
        <v>122</v>
      </c>
      <c r="G703" s="9" t="s">
        <v>138</v>
      </c>
      <c r="H703" s="9" t="s">
        <v>139</v>
      </c>
      <c r="I703" s="0" t="s">
        <v>33</v>
      </c>
      <c r="J703" s="9" t="s">
        <v>34</v>
      </c>
      <c r="K703" s="9" t="s">
        <v>30</v>
      </c>
      <c r="L703" s="9" t="s">
        <v>31</v>
      </c>
      <c r="M703" s="0" t="s">
        <v>140</v>
      </c>
      <c r="N703" s="0" t="n">
        <v>1356</v>
      </c>
      <c r="O703" s="10" t="n">
        <v>0.0549749021884054</v>
      </c>
      <c r="P703" s="10" t="n">
        <v>0.430103979306296</v>
      </c>
      <c r="Q703" s="0" t="str">
        <f aca="false">SUBSTITUTE(SUBSTITUTE($I703,CHAR(61),""),CHAR(34),"")</f>
        <v>01-09</v>
      </c>
      <c r="R703" s="0" t="str">
        <f aca="false">IF($D703&lt;&gt;"","["&amp;$E703&amp;"]"&amp;"|"&amp;$Q703&amp;"|"&amp;$K703&amp;"|"&amp;$G703&amp;"|"&amp;IF($G703="TX_CURR_SUBNAT.R","CY2022Q4",$M703),"")</f>
        <v>[vA4NcHxfMBq]|01-09|Female|POP_EST.T_1|CY2023Q3</v>
      </c>
    </row>
    <row r="704" customFormat="false" ht="15" hidden="false" customHeight="false" outlineLevel="0" collapsed="false">
      <c r="D704" s="9" t="s">
        <v>120</v>
      </c>
      <c r="E704" s="9" t="s">
        <v>121</v>
      </c>
      <c r="F704" s="9" t="s">
        <v>122</v>
      </c>
      <c r="G704" s="9" t="s">
        <v>138</v>
      </c>
      <c r="H704" s="9" t="s">
        <v>139</v>
      </c>
      <c r="I704" s="0" t="s">
        <v>36</v>
      </c>
      <c r="J704" s="9" t="s">
        <v>37</v>
      </c>
      <c r="K704" s="9" t="s">
        <v>30</v>
      </c>
      <c r="L704" s="9" t="s">
        <v>31</v>
      </c>
      <c r="M704" s="0" t="s">
        <v>140</v>
      </c>
      <c r="N704" s="0" t="n">
        <v>1909</v>
      </c>
      <c r="O704" s="10" t="n">
        <v>0.106049580965191</v>
      </c>
      <c r="P704" s="10" t="n">
        <v>0.430103979306296</v>
      </c>
      <c r="Q704" s="0" t="str">
        <f aca="false">SUBSTITUTE(SUBSTITUTE($I704,CHAR(61),""),CHAR(34),"")</f>
        <v>10-14</v>
      </c>
      <c r="R704" s="0" t="str">
        <f aca="false">IF($D704&lt;&gt;"","["&amp;$E704&amp;"]"&amp;"|"&amp;$Q704&amp;"|"&amp;$K704&amp;"|"&amp;$G704&amp;"|"&amp;IF($G704="TX_CURR_SUBNAT.R","CY2022Q4",$M704),"")</f>
        <v>[vA4NcHxfMBq]|10-14|Female|POP_EST.T_1|CY2023Q3</v>
      </c>
    </row>
    <row r="705" customFormat="false" ht="15" hidden="false" customHeight="false" outlineLevel="0" collapsed="false">
      <c r="D705" s="9" t="s">
        <v>120</v>
      </c>
      <c r="E705" s="9" t="s">
        <v>121</v>
      </c>
      <c r="F705" s="9" t="s">
        <v>122</v>
      </c>
      <c r="G705" s="9" t="s">
        <v>138</v>
      </c>
      <c r="H705" s="9" t="s">
        <v>139</v>
      </c>
      <c r="I705" s="0" t="s">
        <v>38</v>
      </c>
      <c r="J705" s="9" t="s">
        <v>39</v>
      </c>
      <c r="K705" s="9" t="s">
        <v>30</v>
      </c>
      <c r="L705" s="9" t="s">
        <v>31</v>
      </c>
      <c r="M705" s="0" t="s">
        <v>140</v>
      </c>
      <c r="N705" s="0" t="n">
        <v>1732</v>
      </c>
      <c r="O705" s="10" t="n">
        <v>0.481254178099334</v>
      </c>
      <c r="P705" s="10" t="n">
        <v>0.430103979306296</v>
      </c>
      <c r="Q705" s="0" t="str">
        <f aca="false">SUBSTITUTE(SUBSTITUTE($I705,CHAR(61),""),CHAR(34),"")</f>
        <v>15-24</v>
      </c>
      <c r="R705" s="0" t="str">
        <f aca="false">IF($D705&lt;&gt;"","["&amp;$E705&amp;"]"&amp;"|"&amp;$Q705&amp;"|"&amp;$K705&amp;"|"&amp;$G705&amp;"|"&amp;IF($G705="TX_CURR_SUBNAT.R","CY2022Q4",$M705),"")</f>
        <v>[vA4NcHxfMBq]|15-24|Female|POP_EST.T_1|CY2023Q3</v>
      </c>
    </row>
    <row r="706" customFormat="false" ht="15" hidden="false" customHeight="false" outlineLevel="0" collapsed="false">
      <c r="D706" s="9" t="s">
        <v>120</v>
      </c>
      <c r="E706" s="9" t="s">
        <v>121</v>
      </c>
      <c r="F706" s="9" t="s">
        <v>122</v>
      </c>
      <c r="G706" s="9" t="s">
        <v>138</v>
      </c>
      <c r="H706" s="9" t="s">
        <v>139</v>
      </c>
      <c r="I706" s="0" t="s">
        <v>41</v>
      </c>
      <c r="J706" s="9" t="s">
        <v>42</v>
      </c>
      <c r="K706" s="9" t="s">
        <v>30</v>
      </c>
      <c r="L706" s="9" t="s">
        <v>31</v>
      </c>
      <c r="M706" s="0" t="s">
        <v>140</v>
      </c>
      <c r="N706" s="0" t="n">
        <v>593</v>
      </c>
      <c r="O706" s="10" t="n">
        <v>0.196206745691597</v>
      </c>
      <c r="P706" s="10" t="n">
        <v>0.430103979306296</v>
      </c>
      <c r="Q706" s="0" t="str">
        <f aca="false">SUBSTITUTE(SUBSTITUTE($I706,CHAR(61),""),CHAR(34),"")</f>
        <v>25-34</v>
      </c>
      <c r="R706" s="0" t="str">
        <f aca="false">IF($D706&lt;&gt;"","["&amp;$E706&amp;"]"&amp;"|"&amp;$Q706&amp;"|"&amp;$K706&amp;"|"&amp;$G706&amp;"|"&amp;IF($G706="TX_CURR_SUBNAT.R","CY2022Q4",$M706),"")</f>
        <v>[vA4NcHxfMBq]|25-34|Female|POP_EST.T_1|CY2023Q3</v>
      </c>
    </row>
    <row r="707" customFormat="false" ht="15" hidden="false" customHeight="false" outlineLevel="0" collapsed="false">
      <c r="D707" s="9" t="s">
        <v>120</v>
      </c>
      <c r="E707" s="9" t="s">
        <v>121</v>
      </c>
      <c r="F707" s="9" t="s">
        <v>122</v>
      </c>
      <c r="G707" s="9" t="s">
        <v>138</v>
      </c>
      <c r="H707" s="9" t="s">
        <v>139</v>
      </c>
      <c r="I707" s="0" t="s">
        <v>43</v>
      </c>
      <c r="J707" s="9" t="s">
        <v>44</v>
      </c>
      <c r="K707" s="9" t="s">
        <v>30</v>
      </c>
      <c r="L707" s="9" t="s">
        <v>31</v>
      </c>
      <c r="M707" s="0" t="s">
        <v>140</v>
      </c>
      <c r="N707" s="0" t="n">
        <v>1178</v>
      </c>
      <c r="O707" s="10" t="n">
        <v>0.0297107023652643</v>
      </c>
      <c r="P707" s="10" t="n">
        <v>0.430103979306296</v>
      </c>
      <c r="Q707" s="0" t="str">
        <f aca="false">SUBSTITUTE(SUBSTITUTE($I707,CHAR(61),""),CHAR(34),"")</f>
        <v>35-49</v>
      </c>
      <c r="R707" s="0" t="str">
        <f aca="false">IF($D707&lt;&gt;"","["&amp;$E707&amp;"]"&amp;"|"&amp;$Q707&amp;"|"&amp;$K707&amp;"|"&amp;$G707&amp;"|"&amp;IF($G707="TX_CURR_SUBNAT.R","CY2022Q4",$M707),"")</f>
        <v>[vA4NcHxfMBq]|35-49|Female|POP_EST.T_1|CY2023Q3</v>
      </c>
    </row>
    <row r="708" customFormat="false" ht="15" hidden="false" customHeight="false" outlineLevel="0" collapsed="false">
      <c r="D708" s="9" t="s">
        <v>120</v>
      </c>
      <c r="E708" s="9" t="s">
        <v>121</v>
      </c>
      <c r="F708" s="9" t="s">
        <v>122</v>
      </c>
      <c r="G708" s="9" t="s">
        <v>138</v>
      </c>
      <c r="H708" s="9" t="s">
        <v>139</v>
      </c>
      <c r="I708" s="0" t="s">
        <v>45</v>
      </c>
      <c r="J708" s="9" t="s">
        <v>46</v>
      </c>
      <c r="K708" s="9" t="s">
        <v>30</v>
      </c>
      <c r="L708" s="9" t="s">
        <v>31</v>
      </c>
      <c r="M708" s="0" t="s">
        <v>140</v>
      </c>
      <c r="N708" s="0" t="n">
        <v>1385</v>
      </c>
      <c r="O708" s="10" t="n">
        <v>0.562532547861338</v>
      </c>
      <c r="P708" s="10" t="n">
        <v>0.430103979306296</v>
      </c>
      <c r="Q708" s="0" t="str">
        <f aca="false">SUBSTITUTE(SUBSTITUTE($I708,CHAR(61),""),CHAR(34),"")</f>
        <v>50+</v>
      </c>
      <c r="R708" s="0" t="str">
        <f aca="false">IF($D708&lt;&gt;"","["&amp;$E708&amp;"]"&amp;"|"&amp;$Q708&amp;"|"&amp;$K708&amp;"|"&amp;$G708&amp;"|"&amp;IF($G708="TX_CURR_SUBNAT.R","CY2022Q4",$M708),"")</f>
        <v>[vA4NcHxfMBq]|50+|Female|POP_EST.T_1|CY2023Q3</v>
      </c>
    </row>
    <row r="709" customFormat="false" ht="15" hidden="false" customHeight="false" outlineLevel="0" collapsed="false">
      <c r="D709" s="9" t="s">
        <v>120</v>
      </c>
      <c r="E709" s="9" t="s">
        <v>121</v>
      </c>
      <c r="F709" s="9" t="s">
        <v>122</v>
      </c>
      <c r="G709" s="9" t="s">
        <v>138</v>
      </c>
      <c r="H709" s="9" t="s">
        <v>139</v>
      </c>
      <c r="I709" s="0" t="s">
        <v>28</v>
      </c>
      <c r="J709" s="9" t="s">
        <v>29</v>
      </c>
      <c r="K709" s="9" t="s">
        <v>48</v>
      </c>
      <c r="L709" s="9" t="s">
        <v>49</v>
      </c>
      <c r="M709" s="0" t="s">
        <v>140</v>
      </c>
      <c r="N709" s="0" t="n">
        <v>1917</v>
      </c>
      <c r="O709" s="10" t="n">
        <v>0.725176068255678</v>
      </c>
      <c r="P709" s="10" t="n">
        <v>0.430103979306296</v>
      </c>
      <c r="Q709" s="0" t="str">
        <f aca="false">SUBSTITUTE(SUBSTITUTE($I709,CHAR(61),""),CHAR(34),"")</f>
        <v>&lt;01</v>
      </c>
      <c r="R709" s="0" t="str">
        <f aca="false">IF($D709&lt;&gt;"","["&amp;$E709&amp;"]"&amp;"|"&amp;$Q709&amp;"|"&amp;$K709&amp;"|"&amp;$G709&amp;"|"&amp;IF($G709="TX_CURR_SUBNAT.R","CY2022Q4",$M709),"")</f>
        <v>[vA4NcHxfMBq]|&lt;01|Male|POP_EST.T_1|CY2023Q3</v>
      </c>
    </row>
    <row r="710" customFormat="false" ht="15" hidden="false" customHeight="false" outlineLevel="0" collapsed="false">
      <c r="D710" s="9" t="s">
        <v>120</v>
      </c>
      <c r="E710" s="9" t="s">
        <v>121</v>
      </c>
      <c r="F710" s="9" t="s">
        <v>122</v>
      </c>
      <c r="G710" s="9" t="s">
        <v>138</v>
      </c>
      <c r="H710" s="9" t="s">
        <v>139</v>
      </c>
      <c r="I710" s="0" t="s">
        <v>33</v>
      </c>
      <c r="J710" s="9" t="s">
        <v>34</v>
      </c>
      <c r="K710" s="9" t="s">
        <v>48</v>
      </c>
      <c r="L710" s="9" t="s">
        <v>49</v>
      </c>
      <c r="M710" s="0" t="s">
        <v>140</v>
      </c>
      <c r="N710" s="0" t="n">
        <v>1021</v>
      </c>
      <c r="O710" s="10" t="n">
        <v>0.63725254824385</v>
      </c>
      <c r="P710" s="10" t="n">
        <v>0.430103979306296</v>
      </c>
      <c r="Q710" s="0" t="str">
        <f aca="false">SUBSTITUTE(SUBSTITUTE($I710,CHAR(61),""),CHAR(34),"")</f>
        <v>01-09</v>
      </c>
      <c r="R710" s="0" t="str">
        <f aca="false">IF($D710&lt;&gt;"","["&amp;$E710&amp;"]"&amp;"|"&amp;$Q710&amp;"|"&amp;$K710&amp;"|"&amp;$G710&amp;"|"&amp;IF($G710="TX_CURR_SUBNAT.R","CY2022Q4",$M710),"")</f>
        <v>[vA4NcHxfMBq]|01-09|Male|POP_EST.T_1|CY2023Q3</v>
      </c>
    </row>
    <row r="711" customFormat="false" ht="15" hidden="false" customHeight="false" outlineLevel="0" collapsed="false">
      <c r="D711" s="9" t="s">
        <v>120</v>
      </c>
      <c r="E711" s="9" t="s">
        <v>121</v>
      </c>
      <c r="F711" s="9" t="s">
        <v>122</v>
      </c>
      <c r="G711" s="9" t="s">
        <v>138</v>
      </c>
      <c r="H711" s="9" t="s">
        <v>139</v>
      </c>
      <c r="I711" s="0" t="s">
        <v>36</v>
      </c>
      <c r="J711" s="9" t="s">
        <v>37</v>
      </c>
      <c r="K711" s="9" t="s">
        <v>48</v>
      </c>
      <c r="L711" s="9" t="s">
        <v>49</v>
      </c>
      <c r="M711" s="0" t="s">
        <v>140</v>
      </c>
      <c r="N711" s="0" t="n">
        <v>1149</v>
      </c>
      <c r="O711" s="10" t="n">
        <v>0.775118180084974</v>
      </c>
      <c r="P711" s="10" t="n">
        <v>0.430103979306296</v>
      </c>
      <c r="Q711" s="0" t="str">
        <f aca="false">SUBSTITUTE(SUBSTITUTE($I711,CHAR(61),""),CHAR(34),"")</f>
        <v>10-14</v>
      </c>
      <c r="R711" s="0" t="str">
        <f aca="false">IF($D711&lt;&gt;"","["&amp;$E711&amp;"]"&amp;"|"&amp;$Q711&amp;"|"&amp;$K711&amp;"|"&amp;$G711&amp;"|"&amp;IF($G711="TX_CURR_SUBNAT.R","CY2022Q4",$M711),"")</f>
        <v>[vA4NcHxfMBq]|10-14|Male|POP_EST.T_1|CY2023Q3</v>
      </c>
    </row>
    <row r="712" customFormat="false" ht="15" hidden="false" customHeight="false" outlineLevel="0" collapsed="false">
      <c r="D712" s="9" t="s">
        <v>120</v>
      </c>
      <c r="E712" s="9" t="s">
        <v>121</v>
      </c>
      <c r="F712" s="9" t="s">
        <v>122</v>
      </c>
      <c r="G712" s="9" t="s">
        <v>138</v>
      </c>
      <c r="H712" s="9" t="s">
        <v>139</v>
      </c>
      <c r="I712" s="0" t="s">
        <v>38</v>
      </c>
      <c r="J712" s="9" t="s">
        <v>39</v>
      </c>
      <c r="K712" s="9" t="s">
        <v>48</v>
      </c>
      <c r="L712" s="9" t="s">
        <v>49</v>
      </c>
      <c r="M712" s="0" t="s">
        <v>140</v>
      </c>
      <c r="N712" s="0" t="n">
        <v>734</v>
      </c>
      <c r="O712" s="10" t="n">
        <v>0.107622819952667</v>
      </c>
      <c r="P712" s="10" t="n">
        <v>0.430103979306296</v>
      </c>
      <c r="Q712" s="0" t="str">
        <f aca="false">SUBSTITUTE(SUBSTITUTE($I712,CHAR(61),""),CHAR(34),"")</f>
        <v>15-24</v>
      </c>
      <c r="R712" s="0" t="str">
        <f aca="false">IF($D712&lt;&gt;"","["&amp;$E712&amp;"]"&amp;"|"&amp;$Q712&amp;"|"&amp;$K712&amp;"|"&amp;$G712&amp;"|"&amp;IF($G712="TX_CURR_SUBNAT.R","CY2022Q4",$M712),"")</f>
        <v>[vA4NcHxfMBq]|15-24|Male|POP_EST.T_1|CY2023Q3</v>
      </c>
    </row>
    <row r="713" customFormat="false" ht="15" hidden="false" customHeight="false" outlineLevel="0" collapsed="false">
      <c r="D713" s="9" t="s">
        <v>120</v>
      </c>
      <c r="E713" s="9" t="s">
        <v>121</v>
      </c>
      <c r="F713" s="9" t="s">
        <v>122</v>
      </c>
      <c r="G713" s="9" t="s">
        <v>138</v>
      </c>
      <c r="H713" s="9" t="s">
        <v>139</v>
      </c>
      <c r="I713" s="0" t="s">
        <v>41</v>
      </c>
      <c r="J713" s="9" t="s">
        <v>42</v>
      </c>
      <c r="K713" s="9" t="s">
        <v>48</v>
      </c>
      <c r="L713" s="9" t="s">
        <v>49</v>
      </c>
      <c r="M713" s="0" t="s">
        <v>140</v>
      </c>
      <c r="N713" s="0" t="n">
        <v>1328</v>
      </c>
      <c r="O713" s="10" t="n">
        <v>0.913711491273716</v>
      </c>
      <c r="P713" s="10" t="n">
        <v>0.430103979306296</v>
      </c>
      <c r="Q713" s="0" t="str">
        <f aca="false">SUBSTITUTE(SUBSTITUTE($I713,CHAR(61),""),CHAR(34),"")</f>
        <v>25-34</v>
      </c>
      <c r="R713" s="0" t="str">
        <f aca="false">IF($D713&lt;&gt;"","["&amp;$E713&amp;"]"&amp;"|"&amp;$Q713&amp;"|"&amp;$K713&amp;"|"&amp;$G713&amp;"|"&amp;IF($G713="TX_CURR_SUBNAT.R","CY2022Q4",$M713),"")</f>
        <v>[vA4NcHxfMBq]|25-34|Male|POP_EST.T_1|CY2023Q3</v>
      </c>
    </row>
    <row r="714" customFormat="false" ht="15" hidden="false" customHeight="false" outlineLevel="0" collapsed="false">
      <c r="D714" s="9" t="s">
        <v>120</v>
      </c>
      <c r="E714" s="9" t="s">
        <v>121</v>
      </c>
      <c r="F714" s="9" t="s">
        <v>122</v>
      </c>
      <c r="G714" s="9" t="s">
        <v>138</v>
      </c>
      <c r="H714" s="9" t="s">
        <v>139</v>
      </c>
      <c r="I714" s="0" t="s">
        <v>43</v>
      </c>
      <c r="J714" s="9" t="s">
        <v>44</v>
      </c>
      <c r="K714" s="9" t="s">
        <v>48</v>
      </c>
      <c r="L714" s="9" t="s">
        <v>49</v>
      </c>
      <c r="M714" s="0" t="s">
        <v>140</v>
      </c>
      <c r="N714" s="0" t="n">
        <v>1395</v>
      </c>
      <c r="O714" s="10" t="n">
        <v>0.970892030280083</v>
      </c>
      <c r="P714" s="10" t="n">
        <v>0.430103979306296</v>
      </c>
      <c r="Q714" s="0" t="str">
        <f aca="false">SUBSTITUTE(SUBSTITUTE($I714,CHAR(61),""),CHAR(34),"")</f>
        <v>35-49</v>
      </c>
      <c r="R714" s="0" t="str">
        <f aca="false">IF($D714&lt;&gt;"","["&amp;$E714&amp;"]"&amp;"|"&amp;$Q714&amp;"|"&amp;$K714&amp;"|"&amp;$G714&amp;"|"&amp;IF($G714="TX_CURR_SUBNAT.R","CY2022Q4",$M714),"")</f>
        <v>[vA4NcHxfMBq]|35-49|Male|POP_EST.T_1|CY2023Q3</v>
      </c>
    </row>
    <row r="715" customFormat="false" ht="15" hidden="false" customHeight="false" outlineLevel="0" collapsed="false">
      <c r="D715" s="9" t="s">
        <v>120</v>
      </c>
      <c r="E715" s="9" t="s">
        <v>121</v>
      </c>
      <c r="F715" s="9" t="s">
        <v>122</v>
      </c>
      <c r="G715" s="9" t="s">
        <v>138</v>
      </c>
      <c r="H715" s="9" t="s">
        <v>139</v>
      </c>
      <c r="I715" s="0" t="s">
        <v>45</v>
      </c>
      <c r="J715" s="9" t="s">
        <v>46</v>
      </c>
      <c r="K715" s="9" t="s">
        <v>48</v>
      </c>
      <c r="L715" s="9" t="s">
        <v>49</v>
      </c>
      <c r="M715" s="0" t="s">
        <v>140</v>
      </c>
      <c r="N715" s="0" t="n">
        <v>1270</v>
      </c>
      <c r="O715" s="10" t="n">
        <v>0.144074661657214</v>
      </c>
      <c r="P715" s="10" t="n">
        <v>0.430103979306296</v>
      </c>
      <c r="Q715" s="0" t="str">
        <f aca="false">SUBSTITUTE(SUBSTITUTE($I715,CHAR(61),""),CHAR(34),"")</f>
        <v>50+</v>
      </c>
      <c r="R715" s="0" t="str">
        <f aca="false">IF($D715&lt;&gt;"","["&amp;$E715&amp;"]"&amp;"|"&amp;$Q715&amp;"|"&amp;$K715&amp;"|"&amp;$G715&amp;"|"&amp;IF($G715="TX_CURR_SUBNAT.R","CY2022Q4",$M715),"")</f>
        <v>[vA4NcHxfMBq]|50+|Male|POP_EST.T_1|CY2023Q3</v>
      </c>
    </row>
    <row r="716" customFormat="false" ht="15" hidden="false" customHeight="false" outlineLevel="0" collapsed="false">
      <c r="D716" s="9" t="s">
        <v>123</v>
      </c>
      <c r="E716" s="9" t="s">
        <v>124</v>
      </c>
      <c r="F716" s="9" t="s">
        <v>125</v>
      </c>
      <c r="G716" s="9" t="s">
        <v>138</v>
      </c>
      <c r="H716" s="9" t="s">
        <v>139</v>
      </c>
      <c r="I716" s="0" t="s">
        <v>28</v>
      </c>
      <c r="J716" s="9" t="s">
        <v>29</v>
      </c>
      <c r="K716" s="9" t="s">
        <v>30</v>
      </c>
      <c r="L716" s="9" t="s">
        <v>31</v>
      </c>
      <c r="M716" s="0" t="s">
        <v>140</v>
      </c>
      <c r="N716" s="0" t="n">
        <v>1955</v>
      </c>
      <c r="O716" s="10" t="n">
        <v>0.904855797300115</v>
      </c>
      <c r="P716" s="10" t="n">
        <v>0.419500603340566</v>
      </c>
      <c r="Q716" s="0" t="str">
        <f aca="false">SUBSTITUTE(SUBSTITUTE($I716,CHAR(61),""),CHAR(34),"")</f>
        <v>&lt;01</v>
      </c>
      <c r="R716" s="0" t="str">
        <f aca="false">IF($D716&lt;&gt;"","["&amp;$E716&amp;"]"&amp;"|"&amp;$Q716&amp;"|"&amp;$K716&amp;"|"&amp;$G716&amp;"|"&amp;IF($G716="TX_CURR_SUBNAT.R","CY2022Q4",$M716),"")</f>
        <v>[E7zpfyBt7Tw]|&lt;01|Female|POP_EST.T_1|CY2023Q3</v>
      </c>
    </row>
    <row r="717" customFormat="false" ht="15" hidden="false" customHeight="false" outlineLevel="0" collapsed="false">
      <c r="D717" s="9" t="s">
        <v>123</v>
      </c>
      <c r="E717" s="9" t="s">
        <v>124</v>
      </c>
      <c r="F717" s="9" t="s">
        <v>125</v>
      </c>
      <c r="G717" s="9" t="s">
        <v>138</v>
      </c>
      <c r="H717" s="9" t="s">
        <v>139</v>
      </c>
      <c r="I717" s="0" t="s">
        <v>33</v>
      </c>
      <c r="J717" s="9" t="s">
        <v>34</v>
      </c>
      <c r="K717" s="9" t="s">
        <v>30</v>
      </c>
      <c r="L717" s="9" t="s">
        <v>31</v>
      </c>
      <c r="M717" s="0" t="s">
        <v>140</v>
      </c>
      <c r="N717" s="0" t="n">
        <v>945</v>
      </c>
      <c r="O717" s="10" t="n">
        <v>0.719496253412217</v>
      </c>
      <c r="P717" s="10" t="n">
        <v>0.419500603340566</v>
      </c>
      <c r="Q717" s="0" t="str">
        <f aca="false">SUBSTITUTE(SUBSTITUTE($I717,CHAR(61),""),CHAR(34),"")</f>
        <v>01-09</v>
      </c>
      <c r="R717" s="0" t="str">
        <f aca="false">IF($D717&lt;&gt;"","["&amp;$E717&amp;"]"&amp;"|"&amp;$Q717&amp;"|"&amp;$K717&amp;"|"&amp;$G717&amp;"|"&amp;IF($G717="TX_CURR_SUBNAT.R","CY2022Q4",$M717),"")</f>
        <v>[E7zpfyBt7Tw]|01-09|Female|POP_EST.T_1|CY2023Q3</v>
      </c>
    </row>
    <row r="718" customFormat="false" ht="15" hidden="false" customHeight="false" outlineLevel="0" collapsed="false">
      <c r="D718" s="9" t="s">
        <v>123</v>
      </c>
      <c r="E718" s="9" t="s">
        <v>124</v>
      </c>
      <c r="F718" s="9" t="s">
        <v>125</v>
      </c>
      <c r="G718" s="9" t="s">
        <v>138</v>
      </c>
      <c r="H718" s="9" t="s">
        <v>139</v>
      </c>
      <c r="I718" s="0" t="s">
        <v>36</v>
      </c>
      <c r="J718" s="9" t="s">
        <v>37</v>
      </c>
      <c r="K718" s="9" t="s">
        <v>30</v>
      </c>
      <c r="L718" s="9" t="s">
        <v>31</v>
      </c>
      <c r="M718" s="0" t="s">
        <v>140</v>
      </c>
      <c r="N718" s="0" t="n">
        <v>830</v>
      </c>
      <c r="O718" s="10" t="n">
        <v>0.0192367581184953</v>
      </c>
      <c r="P718" s="10" t="n">
        <v>0.419500603340566</v>
      </c>
      <c r="Q718" s="0" t="str">
        <f aca="false">SUBSTITUTE(SUBSTITUTE($I718,CHAR(61),""),CHAR(34),"")</f>
        <v>10-14</v>
      </c>
      <c r="R718" s="0" t="str">
        <f aca="false">IF($D718&lt;&gt;"","["&amp;$E718&amp;"]"&amp;"|"&amp;$Q718&amp;"|"&amp;$K718&amp;"|"&amp;$G718&amp;"|"&amp;IF($G718="TX_CURR_SUBNAT.R","CY2022Q4",$M718),"")</f>
        <v>[E7zpfyBt7Tw]|10-14|Female|POP_EST.T_1|CY2023Q3</v>
      </c>
    </row>
    <row r="719" customFormat="false" ht="15" hidden="false" customHeight="false" outlineLevel="0" collapsed="false">
      <c r="D719" s="9" t="s">
        <v>123</v>
      </c>
      <c r="E719" s="9" t="s">
        <v>124</v>
      </c>
      <c r="F719" s="9" t="s">
        <v>125</v>
      </c>
      <c r="G719" s="9" t="s">
        <v>138</v>
      </c>
      <c r="H719" s="9" t="s">
        <v>139</v>
      </c>
      <c r="I719" s="0" t="s">
        <v>38</v>
      </c>
      <c r="J719" s="9" t="s">
        <v>39</v>
      </c>
      <c r="K719" s="9" t="s">
        <v>30</v>
      </c>
      <c r="L719" s="9" t="s">
        <v>31</v>
      </c>
      <c r="M719" s="0" t="s">
        <v>140</v>
      </c>
      <c r="N719" s="0" t="n">
        <v>1878</v>
      </c>
      <c r="O719" s="10" t="n">
        <v>0.930761254159734</v>
      </c>
      <c r="P719" s="10" t="n">
        <v>0.419500603340566</v>
      </c>
      <c r="Q719" s="0" t="str">
        <f aca="false">SUBSTITUTE(SUBSTITUTE($I719,CHAR(61),""),CHAR(34),"")</f>
        <v>15-24</v>
      </c>
      <c r="R719" s="0" t="str">
        <f aca="false">IF($D719&lt;&gt;"","["&amp;$E719&amp;"]"&amp;"|"&amp;$Q719&amp;"|"&amp;$K719&amp;"|"&amp;$G719&amp;"|"&amp;IF($G719="TX_CURR_SUBNAT.R","CY2022Q4",$M719),"")</f>
        <v>[E7zpfyBt7Tw]|15-24|Female|POP_EST.T_1|CY2023Q3</v>
      </c>
    </row>
    <row r="720" customFormat="false" ht="15" hidden="false" customHeight="false" outlineLevel="0" collapsed="false">
      <c r="D720" s="9" t="s">
        <v>123</v>
      </c>
      <c r="E720" s="9" t="s">
        <v>124</v>
      </c>
      <c r="F720" s="9" t="s">
        <v>125</v>
      </c>
      <c r="G720" s="9" t="s">
        <v>138</v>
      </c>
      <c r="H720" s="9" t="s">
        <v>139</v>
      </c>
      <c r="I720" s="0" t="s">
        <v>41</v>
      </c>
      <c r="J720" s="9" t="s">
        <v>42</v>
      </c>
      <c r="K720" s="9" t="s">
        <v>30</v>
      </c>
      <c r="L720" s="9" t="s">
        <v>31</v>
      </c>
      <c r="M720" s="0" t="s">
        <v>140</v>
      </c>
      <c r="N720" s="0" t="n">
        <v>795</v>
      </c>
      <c r="O720" s="10" t="n">
        <v>0.277900442481041</v>
      </c>
      <c r="P720" s="10" t="n">
        <v>0.419500603340566</v>
      </c>
      <c r="Q720" s="0" t="str">
        <f aca="false">SUBSTITUTE(SUBSTITUTE($I720,CHAR(61),""),CHAR(34),"")</f>
        <v>25-34</v>
      </c>
      <c r="R720" s="0" t="str">
        <f aca="false">IF($D720&lt;&gt;"","["&amp;$E720&amp;"]"&amp;"|"&amp;$Q720&amp;"|"&amp;$K720&amp;"|"&amp;$G720&amp;"|"&amp;IF($G720="TX_CURR_SUBNAT.R","CY2022Q4",$M720),"")</f>
        <v>[E7zpfyBt7Tw]|25-34|Female|POP_EST.T_1|CY2023Q3</v>
      </c>
    </row>
    <row r="721" customFormat="false" ht="15" hidden="false" customHeight="false" outlineLevel="0" collapsed="false">
      <c r="D721" s="9" t="s">
        <v>123</v>
      </c>
      <c r="E721" s="9" t="s">
        <v>124</v>
      </c>
      <c r="F721" s="9" t="s">
        <v>125</v>
      </c>
      <c r="G721" s="9" t="s">
        <v>138</v>
      </c>
      <c r="H721" s="9" t="s">
        <v>139</v>
      </c>
      <c r="I721" s="0" t="s">
        <v>43</v>
      </c>
      <c r="J721" s="9" t="s">
        <v>44</v>
      </c>
      <c r="K721" s="9" t="s">
        <v>30</v>
      </c>
      <c r="L721" s="9" t="s">
        <v>31</v>
      </c>
      <c r="M721" s="0" t="s">
        <v>140</v>
      </c>
      <c r="N721" s="0" t="n">
        <v>1315</v>
      </c>
      <c r="O721" s="10" t="n">
        <v>0.818201618269086</v>
      </c>
      <c r="P721" s="10" t="n">
        <v>0.419500603340566</v>
      </c>
      <c r="Q721" s="0" t="str">
        <f aca="false">SUBSTITUTE(SUBSTITUTE($I721,CHAR(61),""),CHAR(34),"")</f>
        <v>35-49</v>
      </c>
      <c r="R721" s="0" t="str">
        <f aca="false">IF($D721&lt;&gt;"","["&amp;$E721&amp;"]"&amp;"|"&amp;$Q721&amp;"|"&amp;$K721&amp;"|"&amp;$G721&amp;"|"&amp;IF($G721="TX_CURR_SUBNAT.R","CY2022Q4",$M721),"")</f>
        <v>[E7zpfyBt7Tw]|35-49|Female|POP_EST.T_1|CY2023Q3</v>
      </c>
    </row>
    <row r="722" customFormat="false" ht="15" hidden="false" customHeight="false" outlineLevel="0" collapsed="false">
      <c r="D722" s="9" t="s">
        <v>123</v>
      </c>
      <c r="E722" s="9" t="s">
        <v>124</v>
      </c>
      <c r="F722" s="9" t="s">
        <v>125</v>
      </c>
      <c r="G722" s="9" t="s">
        <v>138</v>
      </c>
      <c r="H722" s="9" t="s">
        <v>139</v>
      </c>
      <c r="I722" s="0" t="s">
        <v>45</v>
      </c>
      <c r="J722" s="9" t="s">
        <v>46</v>
      </c>
      <c r="K722" s="9" t="s">
        <v>30</v>
      </c>
      <c r="L722" s="9" t="s">
        <v>31</v>
      </c>
      <c r="M722" s="0" t="s">
        <v>140</v>
      </c>
      <c r="N722" s="0" t="n">
        <v>1406</v>
      </c>
      <c r="O722" s="10" t="n">
        <v>0.404996155295521</v>
      </c>
      <c r="P722" s="10" t="n">
        <v>0.419500603340566</v>
      </c>
      <c r="Q722" s="0" t="str">
        <f aca="false">SUBSTITUTE(SUBSTITUTE($I722,CHAR(61),""),CHAR(34),"")</f>
        <v>50+</v>
      </c>
      <c r="R722" s="0" t="str">
        <f aca="false">IF($D722&lt;&gt;"","["&amp;$E722&amp;"]"&amp;"|"&amp;$Q722&amp;"|"&amp;$K722&amp;"|"&amp;$G722&amp;"|"&amp;IF($G722="TX_CURR_SUBNAT.R","CY2022Q4",$M722),"")</f>
        <v>[E7zpfyBt7Tw]|50+|Female|POP_EST.T_1|CY2023Q3</v>
      </c>
    </row>
    <row r="723" customFormat="false" ht="15" hidden="false" customHeight="false" outlineLevel="0" collapsed="false">
      <c r="D723" s="9" t="s">
        <v>123</v>
      </c>
      <c r="E723" s="9" t="s">
        <v>124</v>
      </c>
      <c r="F723" s="9" t="s">
        <v>125</v>
      </c>
      <c r="G723" s="9" t="s">
        <v>138</v>
      </c>
      <c r="H723" s="9" t="s">
        <v>139</v>
      </c>
      <c r="I723" s="0" t="s">
        <v>28</v>
      </c>
      <c r="J723" s="9" t="s">
        <v>29</v>
      </c>
      <c r="K723" s="9" t="s">
        <v>48</v>
      </c>
      <c r="L723" s="9" t="s">
        <v>49</v>
      </c>
      <c r="M723" s="0" t="s">
        <v>140</v>
      </c>
      <c r="N723" s="0" t="n">
        <v>1695</v>
      </c>
      <c r="O723" s="10" t="n">
        <v>0.00150414393283427</v>
      </c>
      <c r="P723" s="10" t="n">
        <v>0.419500603340566</v>
      </c>
      <c r="Q723" s="0" t="str">
        <f aca="false">SUBSTITUTE(SUBSTITUTE($I723,CHAR(61),""),CHAR(34),"")</f>
        <v>&lt;01</v>
      </c>
      <c r="R723" s="0" t="str">
        <f aca="false">IF($D723&lt;&gt;"","["&amp;$E723&amp;"]"&amp;"|"&amp;$Q723&amp;"|"&amp;$K723&amp;"|"&amp;$G723&amp;"|"&amp;IF($G723="TX_CURR_SUBNAT.R","CY2022Q4",$M723),"")</f>
        <v>[E7zpfyBt7Tw]|&lt;01|Male|POP_EST.T_1|CY2023Q3</v>
      </c>
    </row>
    <row r="724" customFormat="false" ht="15" hidden="false" customHeight="false" outlineLevel="0" collapsed="false">
      <c r="D724" s="9" t="s">
        <v>123</v>
      </c>
      <c r="E724" s="9" t="s">
        <v>124</v>
      </c>
      <c r="F724" s="9" t="s">
        <v>125</v>
      </c>
      <c r="G724" s="9" t="s">
        <v>138</v>
      </c>
      <c r="H724" s="9" t="s">
        <v>139</v>
      </c>
      <c r="I724" s="0" t="s">
        <v>33</v>
      </c>
      <c r="J724" s="9" t="s">
        <v>34</v>
      </c>
      <c r="K724" s="9" t="s">
        <v>48</v>
      </c>
      <c r="L724" s="9" t="s">
        <v>49</v>
      </c>
      <c r="M724" s="0" t="s">
        <v>140</v>
      </c>
      <c r="N724" s="0" t="n">
        <v>562</v>
      </c>
      <c r="O724" s="10" t="n">
        <v>0.651473375968635</v>
      </c>
      <c r="P724" s="10" t="n">
        <v>0.419500603340566</v>
      </c>
      <c r="Q724" s="0" t="str">
        <f aca="false">SUBSTITUTE(SUBSTITUTE($I724,CHAR(61),""),CHAR(34),"")</f>
        <v>01-09</v>
      </c>
      <c r="R724" s="0" t="str">
        <f aca="false">IF($D724&lt;&gt;"","["&amp;$E724&amp;"]"&amp;"|"&amp;$Q724&amp;"|"&amp;$K724&amp;"|"&amp;$G724&amp;"|"&amp;IF($G724="TX_CURR_SUBNAT.R","CY2022Q4",$M724),"")</f>
        <v>[E7zpfyBt7Tw]|01-09|Male|POP_EST.T_1|CY2023Q3</v>
      </c>
    </row>
    <row r="725" customFormat="false" ht="15" hidden="false" customHeight="false" outlineLevel="0" collapsed="false">
      <c r="D725" s="9" t="s">
        <v>123</v>
      </c>
      <c r="E725" s="9" t="s">
        <v>124</v>
      </c>
      <c r="F725" s="9" t="s">
        <v>125</v>
      </c>
      <c r="G725" s="9" t="s">
        <v>138</v>
      </c>
      <c r="H725" s="9" t="s">
        <v>139</v>
      </c>
      <c r="I725" s="0" t="s">
        <v>36</v>
      </c>
      <c r="J725" s="9" t="s">
        <v>37</v>
      </c>
      <c r="K725" s="9" t="s">
        <v>48</v>
      </c>
      <c r="L725" s="9" t="s">
        <v>49</v>
      </c>
      <c r="M725" s="0" t="s">
        <v>140</v>
      </c>
      <c r="N725" s="0" t="n">
        <v>882</v>
      </c>
      <c r="O725" s="10" t="n">
        <v>0.78028193442151</v>
      </c>
      <c r="P725" s="10" t="n">
        <v>0.419500603340566</v>
      </c>
      <c r="Q725" s="0" t="str">
        <f aca="false">SUBSTITUTE(SUBSTITUTE($I725,CHAR(61),""),CHAR(34),"")</f>
        <v>10-14</v>
      </c>
      <c r="R725" s="0" t="str">
        <f aca="false">IF($D725&lt;&gt;"","["&amp;$E725&amp;"]"&amp;"|"&amp;$Q725&amp;"|"&amp;$K725&amp;"|"&amp;$G725&amp;"|"&amp;IF($G725="TX_CURR_SUBNAT.R","CY2022Q4",$M725),"")</f>
        <v>[E7zpfyBt7Tw]|10-14|Male|POP_EST.T_1|CY2023Q3</v>
      </c>
    </row>
    <row r="726" customFormat="false" ht="15" hidden="false" customHeight="false" outlineLevel="0" collapsed="false">
      <c r="D726" s="9" t="s">
        <v>123</v>
      </c>
      <c r="E726" s="9" t="s">
        <v>124</v>
      </c>
      <c r="F726" s="9" t="s">
        <v>125</v>
      </c>
      <c r="G726" s="9" t="s">
        <v>138</v>
      </c>
      <c r="H726" s="9" t="s">
        <v>139</v>
      </c>
      <c r="I726" s="0" t="s">
        <v>38</v>
      </c>
      <c r="J726" s="9" t="s">
        <v>39</v>
      </c>
      <c r="K726" s="9" t="s">
        <v>48</v>
      </c>
      <c r="L726" s="9" t="s">
        <v>49</v>
      </c>
      <c r="M726" s="0" t="s">
        <v>140</v>
      </c>
      <c r="N726" s="0" t="n">
        <v>1481</v>
      </c>
      <c r="O726" s="10" t="n">
        <v>0.208643972873688</v>
      </c>
      <c r="P726" s="10" t="n">
        <v>0.419500603340566</v>
      </c>
      <c r="Q726" s="0" t="str">
        <f aca="false">SUBSTITUTE(SUBSTITUTE($I726,CHAR(61),""),CHAR(34),"")</f>
        <v>15-24</v>
      </c>
      <c r="R726" s="0" t="str">
        <f aca="false">IF($D726&lt;&gt;"","["&amp;$E726&amp;"]"&amp;"|"&amp;$Q726&amp;"|"&amp;$K726&amp;"|"&amp;$G726&amp;"|"&amp;IF($G726="TX_CURR_SUBNAT.R","CY2022Q4",$M726),"")</f>
        <v>[E7zpfyBt7Tw]|15-24|Male|POP_EST.T_1|CY2023Q3</v>
      </c>
    </row>
    <row r="727" customFormat="false" ht="15" hidden="false" customHeight="false" outlineLevel="0" collapsed="false">
      <c r="D727" s="9" t="s">
        <v>123</v>
      </c>
      <c r="E727" s="9" t="s">
        <v>124</v>
      </c>
      <c r="F727" s="9" t="s">
        <v>125</v>
      </c>
      <c r="G727" s="9" t="s">
        <v>138</v>
      </c>
      <c r="H727" s="9" t="s">
        <v>139</v>
      </c>
      <c r="I727" s="0" t="s">
        <v>41</v>
      </c>
      <c r="J727" s="9" t="s">
        <v>42</v>
      </c>
      <c r="K727" s="9" t="s">
        <v>48</v>
      </c>
      <c r="L727" s="9" t="s">
        <v>49</v>
      </c>
      <c r="M727" s="0" t="s">
        <v>140</v>
      </c>
      <c r="N727" s="0" t="n">
        <v>646</v>
      </c>
      <c r="O727" s="10" t="n">
        <v>0.817036179825664</v>
      </c>
      <c r="P727" s="10" t="n">
        <v>0.419500603340566</v>
      </c>
      <c r="Q727" s="0" t="str">
        <f aca="false">SUBSTITUTE(SUBSTITUTE($I727,CHAR(61),""),CHAR(34),"")</f>
        <v>25-34</v>
      </c>
      <c r="R727" s="0" t="str">
        <f aca="false">IF($D727&lt;&gt;"","["&amp;$E727&amp;"]"&amp;"|"&amp;$Q727&amp;"|"&amp;$K727&amp;"|"&amp;$G727&amp;"|"&amp;IF($G727="TX_CURR_SUBNAT.R","CY2022Q4",$M727),"")</f>
        <v>[E7zpfyBt7Tw]|25-34|Male|POP_EST.T_1|CY2023Q3</v>
      </c>
    </row>
    <row r="728" customFormat="false" ht="15" hidden="false" customHeight="false" outlineLevel="0" collapsed="false">
      <c r="D728" s="9" t="s">
        <v>123</v>
      </c>
      <c r="E728" s="9" t="s">
        <v>124</v>
      </c>
      <c r="F728" s="9" t="s">
        <v>125</v>
      </c>
      <c r="G728" s="9" t="s">
        <v>138</v>
      </c>
      <c r="H728" s="9" t="s">
        <v>139</v>
      </c>
      <c r="I728" s="0" t="s">
        <v>43</v>
      </c>
      <c r="J728" s="9" t="s">
        <v>44</v>
      </c>
      <c r="K728" s="9" t="s">
        <v>48</v>
      </c>
      <c r="L728" s="9" t="s">
        <v>49</v>
      </c>
      <c r="M728" s="0" t="s">
        <v>140</v>
      </c>
      <c r="N728" s="0" t="n">
        <v>1335</v>
      </c>
      <c r="O728" s="10" t="n">
        <v>0.356163989054039</v>
      </c>
      <c r="P728" s="10" t="n">
        <v>0.419500603340566</v>
      </c>
      <c r="Q728" s="0" t="str">
        <f aca="false">SUBSTITUTE(SUBSTITUTE($I728,CHAR(61),""),CHAR(34),"")</f>
        <v>35-49</v>
      </c>
      <c r="R728" s="0" t="str">
        <f aca="false">IF($D728&lt;&gt;"","["&amp;$E728&amp;"]"&amp;"|"&amp;$Q728&amp;"|"&amp;$K728&amp;"|"&amp;$G728&amp;"|"&amp;IF($G728="TX_CURR_SUBNAT.R","CY2022Q4",$M728),"")</f>
        <v>[E7zpfyBt7Tw]|35-49|Male|POP_EST.T_1|CY2023Q3</v>
      </c>
    </row>
    <row r="729" customFormat="false" ht="15" hidden="false" customHeight="false" outlineLevel="0" collapsed="false">
      <c r="D729" s="9" t="s">
        <v>123</v>
      </c>
      <c r="E729" s="9" t="s">
        <v>124</v>
      </c>
      <c r="F729" s="9" t="s">
        <v>125</v>
      </c>
      <c r="G729" s="9" t="s">
        <v>138</v>
      </c>
      <c r="H729" s="9" t="s">
        <v>139</v>
      </c>
      <c r="I729" s="0" t="s">
        <v>45</v>
      </c>
      <c r="J729" s="9" t="s">
        <v>46</v>
      </c>
      <c r="K729" s="9" t="s">
        <v>48</v>
      </c>
      <c r="L729" s="9" t="s">
        <v>49</v>
      </c>
      <c r="M729" s="0" t="s">
        <v>140</v>
      </c>
      <c r="N729" s="0" t="n">
        <v>1684</v>
      </c>
      <c r="O729" s="10" t="n">
        <v>0.390399866271764</v>
      </c>
      <c r="P729" s="10" t="n">
        <v>0.419500603340566</v>
      </c>
      <c r="Q729" s="0" t="str">
        <f aca="false">SUBSTITUTE(SUBSTITUTE($I729,CHAR(61),""),CHAR(34),"")</f>
        <v>50+</v>
      </c>
      <c r="R729" s="0" t="str">
        <f aca="false">IF($D729&lt;&gt;"","["&amp;$E729&amp;"]"&amp;"|"&amp;$Q729&amp;"|"&amp;$K729&amp;"|"&amp;$G729&amp;"|"&amp;IF($G729="TX_CURR_SUBNAT.R","CY2022Q4",$M729),"")</f>
        <v>[E7zpfyBt7Tw]|50+|Male|POP_EST.T_1|CY2023Q3</v>
      </c>
    </row>
    <row r="730" customFormat="false" ht="15" hidden="false" customHeight="false" outlineLevel="0" collapsed="false">
      <c r="D730" s="9" t="s">
        <v>126</v>
      </c>
      <c r="E730" s="9" t="s">
        <v>127</v>
      </c>
      <c r="F730" s="9" t="s">
        <v>128</v>
      </c>
      <c r="G730" s="9" t="s">
        <v>138</v>
      </c>
      <c r="H730" s="9" t="s">
        <v>139</v>
      </c>
      <c r="I730" s="0" t="s">
        <v>28</v>
      </c>
      <c r="J730" s="9" t="s">
        <v>29</v>
      </c>
      <c r="K730" s="9" t="s">
        <v>30</v>
      </c>
      <c r="L730" s="9" t="s">
        <v>31</v>
      </c>
      <c r="M730" s="0" t="s">
        <v>140</v>
      </c>
      <c r="N730" s="0" t="n">
        <v>916</v>
      </c>
      <c r="O730" s="10" t="n">
        <v>0.786820913897827</v>
      </c>
      <c r="P730" s="10" t="n">
        <v>0.252706390339881</v>
      </c>
      <c r="Q730" s="0" t="str">
        <f aca="false">SUBSTITUTE(SUBSTITUTE($I730,CHAR(61),""),CHAR(34),"")</f>
        <v>&lt;01</v>
      </c>
      <c r="R730" s="0" t="str">
        <f aca="false">IF($D730&lt;&gt;"","["&amp;$E730&amp;"]"&amp;"|"&amp;$Q730&amp;"|"&amp;$K730&amp;"|"&amp;$G730&amp;"|"&amp;IF($G730="TX_CURR_SUBNAT.R","CY2022Q4",$M730),"")</f>
        <v>[ZCjuwgaMB9u]|&lt;01|Female|POP_EST.T_1|CY2023Q3</v>
      </c>
    </row>
    <row r="731" customFormat="false" ht="15" hidden="false" customHeight="false" outlineLevel="0" collapsed="false">
      <c r="D731" s="9" t="s">
        <v>126</v>
      </c>
      <c r="E731" s="9" t="s">
        <v>127</v>
      </c>
      <c r="F731" s="9" t="s">
        <v>128</v>
      </c>
      <c r="G731" s="9" t="s">
        <v>138</v>
      </c>
      <c r="H731" s="9" t="s">
        <v>139</v>
      </c>
      <c r="I731" s="0" t="s">
        <v>33</v>
      </c>
      <c r="J731" s="9" t="s">
        <v>34</v>
      </c>
      <c r="K731" s="9" t="s">
        <v>30</v>
      </c>
      <c r="L731" s="9" t="s">
        <v>31</v>
      </c>
      <c r="M731" s="0" t="s">
        <v>140</v>
      </c>
      <c r="N731" s="0" t="n">
        <v>1677</v>
      </c>
      <c r="O731" s="10" t="n">
        <v>0.0615319763310254</v>
      </c>
      <c r="P731" s="10" t="n">
        <v>0.252706390339881</v>
      </c>
      <c r="Q731" s="0" t="str">
        <f aca="false">SUBSTITUTE(SUBSTITUTE($I731,CHAR(61),""),CHAR(34),"")</f>
        <v>01-09</v>
      </c>
      <c r="R731" s="0" t="str">
        <f aca="false">IF($D731&lt;&gt;"","["&amp;$E731&amp;"]"&amp;"|"&amp;$Q731&amp;"|"&amp;$K731&amp;"|"&amp;$G731&amp;"|"&amp;IF($G731="TX_CURR_SUBNAT.R","CY2022Q4",$M731),"")</f>
        <v>[ZCjuwgaMB9u]|01-09|Female|POP_EST.T_1|CY2023Q3</v>
      </c>
    </row>
    <row r="732" customFormat="false" ht="15" hidden="false" customHeight="false" outlineLevel="0" collapsed="false">
      <c r="D732" s="9" t="s">
        <v>126</v>
      </c>
      <c r="E732" s="9" t="s">
        <v>127</v>
      </c>
      <c r="F732" s="9" t="s">
        <v>128</v>
      </c>
      <c r="G732" s="9" t="s">
        <v>138</v>
      </c>
      <c r="H732" s="9" t="s">
        <v>139</v>
      </c>
      <c r="I732" s="0" t="s">
        <v>36</v>
      </c>
      <c r="J732" s="9" t="s">
        <v>37</v>
      </c>
      <c r="K732" s="9" t="s">
        <v>30</v>
      </c>
      <c r="L732" s="9" t="s">
        <v>31</v>
      </c>
      <c r="M732" s="0" t="s">
        <v>140</v>
      </c>
      <c r="N732" s="0" t="n">
        <v>1619</v>
      </c>
      <c r="O732" s="10" t="n">
        <v>0.443036761833355</v>
      </c>
      <c r="P732" s="10" t="n">
        <v>0.252706390339881</v>
      </c>
      <c r="Q732" s="0" t="str">
        <f aca="false">SUBSTITUTE(SUBSTITUTE($I732,CHAR(61),""),CHAR(34),"")</f>
        <v>10-14</v>
      </c>
      <c r="R732" s="0" t="str">
        <f aca="false">IF($D732&lt;&gt;"","["&amp;$E732&amp;"]"&amp;"|"&amp;$Q732&amp;"|"&amp;$K732&amp;"|"&amp;$G732&amp;"|"&amp;IF($G732="TX_CURR_SUBNAT.R","CY2022Q4",$M732),"")</f>
        <v>[ZCjuwgaMB9u]|10-14|Female|POP_EST.T_1|CY2023Q3</v>
      </c>
    </row>
    <row r="733" customFormat="false" ht="15" hidden="false" customHeight="false" outlineLevel="0" collapsed="false">
      <c r="D733" s="9" t="s">
        <v>126</v>
      </c>
      <c r="E733" s="9" t="s">
        <v>127</v>
      </c>
      <c r="F733" s="9" t="s">
        <v>128</v>
      </c>
      <c r="G733" s="9" t="s">
        <v>138</v>
      </c>
      <c r="H733" s="9" t="s">
        <v>139</v>
      </c>
      <c r="I733" s="0" t="s">
        <v>38</v>
      </c>
      <c r="J733" s="9" t="s">
        <v>39</v>
      </c>
      <c r="K733" s="9" t="s">
        <v>30</v>
      </c>
      <c r="L733" s="9" t="s">
        <v>31</v>
      </c>
      <c r="M733" s="0" t="s">
        <v>140</v>
      </c>
      <c r="N733" s="0" t="n">
        <v>1154</v>
      </c>
      <c r="O733" s="10" t="n">
        <v>0.656921676592901</v>
      </c>
      <c r="P733" s="10" t="n">
        <v>0.252706390339881</v>
      </c>
      <c r="Q733" s="0" t="str">
        <f aca="false">SUBSTITUTE(SUBSTITUTE($I733,CHAR(61),""),CHAR(34),"")</f>
        <v>15-24</v>
      </c>
      <c r="R733" s="0" t="str">
        <f aca="false">IF($D733&lt;&gt;"","["&amp;$E733&amp;"]"&amp;"|"&amp;$Q733&amp;"|"&amp;$K733&amp;"|"&amp;$G733&amp;"|"&amp;IF($G733="TX_CURR_SUBNAT.R","CY2022Q4",$M733),"")</f>
        <v>[ZCjuwgaMB9u]|15-24|Female|POP_EST.T_1|CY2023Q3</v>
      </c>
    </row>
    <row r="734" customFormat="false" ht="15" hidden="false" customHeight="false" outlineLevel="0" collapsed="false">
      <c r="D734" s="9" t="s">
        <v>126</v>
      </c>
      <c r="E734" s="9" t="s">
        <v>127</v>
      </c>
      <c r="F734" s="9" t="s">
        <v>128</v>
      </c>
      <c r="G734" s="9" t="s">
        <v>138</v>
      </c>
      <c r="H734" s="9" t="s">
        <v>139</v>
      </c>
      <c r="I734" s="0" t="s">
        <v>41</v>
      </c>
      <c r="J734" s="9" t="s">
        <v>42</v>
      </c>
      <c r="K734" s="9" t="s">
        <v>30</v>
      </c>
      <c r="L734" s="9" t="s">
        <v>31</v>
      </c>
      <c r="M734" s="0" t="s">
        <v>140</v>
      </c>
      <c r="N734" s="0" t="n">
        <v>865</v>
      </c>
      <c r="O734" s="10" t="n">
        <v>0.483529746066779</v>
      </c>
      <c r="P734" s="10" t="n">
        <v>0.252706390339881</v>
      </c>
      <c r="Q734" s="0" t="str">
        <f aca="false">SUBSTITUTE(SUBSTITUTE($I734,CHAR(61),""),CHAR(34),"")</f>
        <v>25-34</v>
      </c>
      <c r="R734" s="0" t="str">
        <f aca="false">IF($D734&lt;&gt;"","["&amp;$E734&amp;"]"&amp;"|"&amp;$Q734&amp;"|"&amp;$K734&amp;"|"&amp;$G734&amp;"|"&amp;IF($G734="TX_CURR_SUBNAT.R","CY2022Q4",$M734),"")</f>
        <v>[ZCjuwgaMB9u]|25-34|Female|POP_EST.T_1|CY2023Q3</v>
      </c>
    </row>
    <row r="735" customFormat="false" ht="15" hidden="false" customHeight="false" outlineLevel="0" collapsed="false">
      <c r="D735" s="9" t="s">
        <v>126</v>
      </c>
      <c r="E735" s="9" t="s">
        <v>127</v>
      </c>
      <c r="F735" s="9" t="s">
        <v>128</v>
      </c>
      <c r="G735" s="9" t="s">
        <v>138</v>
      </c>
      <c r="H735" s="9" t="s">
        <v>139</v>
      </c>
      <c r="I735" s="0" t="s">
        <v>43</v>
      </c>
      <c r="J735" s="9" t="s">
        <v>44</v>
      </c>
      <c r="K735" s="9" t="s">
        <v>30</v>
      </c>
      <c r="L735" s="9" t="s">
        <v>31</v>
      </c>
      <c r="M735" s="0" t="s">
        <v>140</v>
      </c>
      <c r="N735" s="0" t="n">
        <v>1334</v>
      </c>
      <c r="O735" s="10" t="n">
        <v>0.940182830672711</v>
      </c>
      <c r="P735" s="10" t="n">
        <v>0.252706390339881</v>
      </c>
      <c r="Q735" s="0" t="str">
        <f aca="false">SUBSTITUTE(SUBSTITUTE($I735,CHAR(61),""),CHAR(34),"")</f>
        <v>35-49</v>
      </c>
      <c r="R735" s="0" t="str">
        <f aca="false">IF($D735&lt;&gt;"","["&amp;$E735&amp;"]"&amp;"|"&amp;$Q735&amp;"|"&amp;$K735&amp;"|"&amp;$G735&amp;"|"&amp;IF($G735="TX_CURR_SUBNAT.R","CY2022Q4",$M735),"")</f>
        <v>[ZCjuwgaMB9u]|35-49|Female|POP_EST.T_1|CY2023Q3</v>
      </c>
    </row>
    <row r="736" customFormat="false" ht="15" hidden="false" customHeight="false" outlineLevel="0" collapsed="false">
      <c r="D736" s="9" t="s">
        <v>126</v>
      </c>
      <c r="E736" s="9" t="s">
        <v>127</v>
      </c>
      <c r="F736" s="9" t="s">
        <v>128</v>
      </c>
      <c r="G736" s="9" t="s">
        <v>138</v>
      </c>
      <c r="H736" s="9" t="s">
        <v>139</v>
      </c>
      <c r="I736" s="0" t="s">
        <v>45</v>
      </c>
      <c r="J736" s="9" t="s">
        <v>46</v>
      </c>
      <c r="K736" s="9" t="s">
        <v>30</v>
      </c>
      <c r="L736" s="9" t="s">
        <v>31</v>
      </c>
      <c r="M736" s="0" t="s">
        <v>140</v>
      </c>
      <c r="N736" s="0" t="n">
        <v>1495</v>
      </c>
      <c r="O736" s="10" t="n">
        <v>0.61953800288029</v>
      </c>
      <c r="P736" s="10" t="n">
        <v>0.252706390339881</v>
      </c>
      <c r="Q736" s="0" t="str">
        <f aca="false">SUBSTITUTE(SUBSTITUTE($I736,CHAR(61),""),CHAR(34),"")</f>
        <v>50+</v>
      </c>
      <c r="R736" s="0" t="str">
        <f aca="false">IF($D736&lt;&gt;"","["&amp;$E736&amp;"]"&amp;"|"&amp;$Q736&amp;"|"&amp;$K736&amp;"|"&amp;$G736&amp;"|"&amp;IF($G736="TX_CURR_SUBNAT.R","CY2022Q4",$M736),"")</f>
        <v>[ZCjuwgaMB9u]|50+|Female|POP_EST.T_1|CY2023Q3</v>
      </c>
    </row>
    <row r="737" customFormat="false" ht="15" hidden="false" customHeight="false" outlineLevel="0" collapsed="false">
      <c r="D737" s="9" t="s">
        <v>126</v>
      </c>
      <c r="E737" s="9" t="s">
        <v>127</v>
      </c>
      <c r="F737" s="9" t="s">
        <v>128</v>
      </c>
      <c r="G737" s="9" t="s">
        <v>138</v>
      </c>
      <c r="H737" s="9" t="s">
        <v>139</v>
      </c>
      <c r="I737" s="0" t="s">
        <v>28</v>
      </c>
      <c r="J737" s="9" t="s">
        <v>29</v>
      </c>
      <c r="K737" s="9" t="s">
        <v>48</v>
      </c>
      <c r="L737" s="9" t="s">
        <v>49</v>
      </c>
      <c r="M737" s="0" t="s">
        <v>140</v>
      </c>
      <c r="N737" s="0" t="n">
        <v>1984</v>
      </c>
      <c r="O737" s="10" t="n">
        <v>0.36315293982625</v>
      </c>
      <c r="P737" s="10" t="n">
        <v>0.252706390339881</v>
      </c>
      <c r="Q737" s="0" t="str">
        <f aca="false">SUBSTITUTE(SUBSTITUTE($I737,CHAR(61),""),CHAR(34),"")</f>
        <v>&lt;01</v>
      </c>
      <c r="R737" s="0" t="str">
        <f aca="false">IF($D737&lt;&gt;"","["&amp;$E737&amp;"]"&amp;"|"&amp;$Q737&amp;"|"&amp;$K737&amp;"|"&amp;$G737&amp;"|"&amp;IF($G737="TX_CURR_SUBNAT.R","CY2022Q4",$M737),"")</f>
        <v>[ZCjuwgaMB9u]|&lt;01|Male|POP_EST.T_1|CY2023Q3</v>
      </c>
    </row>
    <row r="738" customFormat="false" ht="15" hidden="false" customHeight="false" outlineLevel="0" collapsed="false">
      <c r="D738" s="9" t="s">
        <v>126</v>
      </c>
      <c r="E738" s="9" t="s">
        <v>127</v>
      </c>
      <c r="F738" s="9" t="s">
        <v>128</v>
      </c>
      <c r="G738" s="9" t="s">
        <v>138</v>
      </c>
      <c r="H738" s="9" t="s">
        <v>139</v>
      </c>
      <c r="I738" s="0" t="s">
        <v>33</v>
      </c>
      <c r="J738" s="9" t="s">
        <v>34</v>
      </c>
      <c r="K738" s="9" t="s">
        <v>48</v>
      </c>
      <c r="L738" s="9" t="s">
        <v>49</v>
      </c>
      <c r="M738" s="0" t="s">
        <v>140</v>
      </c>
      <c r="N738" s="0" t="n">
        <v>1514</v>
      </c>
      <c r="O738" s="10" t="n">
        <v>0.803930940106511</v>
      </c>
      <c r="P738" s="10" t="n">
        <v>0.252706390339881</v>
      </c>
      <c r="Q738" s="0" t="str">
        <f aca="false">SUBSTITUTE(SUBSTITUTE($I738,CHAR(61),""),CHAR(34),"")</f>
        <v>01-09</v>
      </c>
      <c r="R738" s="0" t="str">
        <f aca="false">IF($D738&lt;&gt;"","["&amp;$E738&amp;"]"&amp;"|"&amp;$Q738&amp;"|"&amp;$K738&amp;"|"&amp;$G738&amp;"|"&amp;IF($G738="TX_CURR_SUBNAT.R","CY2022Q4",$M738),"")</f>
        <v>[ZCjuwgaMB9u]|01-09|Male|POP_EST.T_1|CY2023Q3</v>
      </c>
    </row>
    <row r="739" customFormat="false" ht="15" hidden="false" customHeight="false" outlineLevel="0" collapsed="false">
      <c r="D739" s="9" t="s">
        <v>126</v>
      </c>
      <c r="E739" s="9" t="s">
        <v>127</v>
      </c>
      <c r="F739" s="9" t="s">
        <v>128</v>
      </c>
      <c r="G739" s="9" t="s">
        <v>138</v>
      </c>
      <c r="H739" s="9" t="s">
        <v>139</v>
      </c>
      <c r="I739" s="0" t="s">
        <v>36</v>
      </c>
      <c r="J739" s="9" t="s">
        <v>37</v>
      </c>
      <c r="K739" s="9" t="s">
        <v>48</v>
      </c>
      <c r="L739" s="9" t="s">
        <v>49</v>
      </c>
      <c r="M739" s="0" t="s">
        <v>140</v>
      </c>
      <c r="N739" s="0" t="n">
        <v>1919</v>
      </c>
      <c r="O739" s="10" t="n">
        <v>0.844653161475435</v>
      </c>
      <c r="P739" s="10" t="n">
        <v>0.252706390339881</v>
      </c>
      <c r="Q739" s="0" t="str">
        <f aca="false">SUBSTITUTE(SUBSTITUTE($I739,CHAR(61),""),CHAR(34),"")</f>
        <v>10-14</v>
      </c>
      <c r="R739" s="0" t="str">
        <f aca="false">IF($D739&lt;&gt;"","["&amp;$E739&amp;"]"&amp;"|"&amp;$Q739&amp;"|"&amp;$K739&amp;"|"&amp;$G739&amp;"|"&amp;IF($G739="TX_CURR_SUBNAT.R","CY2022Q4",$M739),"")</f>
        <v>[ZCjuwgaMB9u]|10-14|Male|POP_EST.T_1|CY2023Q3</v>
      </c>
    </row>
    <row r="740" customFormat="false" ht="15" hidden="false" customHeight="false" outlineLevel="0" collapsed="false">
      <c r="D740" s="9" t="s">
        <v>126</v>
      </c>
      <c r="E740" s="9" t="s">
        <v>127</v>
      </c>
      <c r="F740" s="9" t="s">
        <v>128</v>
      </c>
      <c r="G740" s="9" t="s">
        <v>138</v>
      </c>
      <c r="H740" s="9" t="s">
        <v>139</v>
      </c>
      <c r="I740" s="0" t="s">
        <v>38</v>
      </c>
      <c r="J740" s="9" t="s">
        <v>39</v>
      </c>
      <c r="K740" s="9" t="s">
        <v>48</v>
      </c>
      <c r="L740" s="9" t="s">
        <v>49</v>
      </c>
      <c r="M740" s="0" t="s">
        <v>140</v>
      </c>
      <c r="N740" s="0" t="n">
        <v>1645</v>
      </c>
      <c r="O740" s="10" t="n">
        <v>0.823647886980325</v>
      </c>
      <c r="P740" s="10" t="n">
        <v>0.252706390339881</v>
      </c>
      <c r="Q740" s="0" t="str">
        <f aca="false">SUBSTITUTE(SUBSTITUTE($I740,CHAR(61),""),CHAR(34),"")</f>
        <v>15-24</v>
      </c>
      <c r="R740" s="0" t="str">
        <f aca="false">IF($D740&lt;&gt;"","["&amp;$E740&amp;"]"&amp;"|"&amp;$Q740&amp;"|"&amp;$K740&amp;"|"&amp;$G740&amp;"|"&amp;IF($G740="TX_CURR_SUBNAT.R","CY2022Q4",$M740),"")</f>
        <v>[ZCjuwgaMB9u]|15-24|Male|POP_EST.T_1|CY2023Q3</v>
      </c>
    </row>
    <row r="741" customFormat="false" ht="15" hidden="false" customHeight="false" outlineLevel="0" collapsed="false">
      <c r="D741" s="9" t="s">
        <v>126</v>
      </c>
      <c r="E741" s="9" t="s">
        <v>127</v>
      </c>
      <c r="F741" s="9" t="s">
        <v>128</v>
      </c>
      <c r="G741" s="9" t="s">
        <v>138</v>
      </c>
      <c r="H741" s="9" t="s">
        <v>139</v>
      </c>
      <c r="I741" s="0" t="s">
        <v>41</v>
      </c>
      <c r="J741" s="9" t="s">
        <v>42</v>
      </c>
      <c r="K741" s="9" t="s">
        <v>48</v>
      </c>
      <c r="L741" s="9" t="s">
        <v>49</v>
      </c>
      <c r="M741" s="0" t="s">
        <v>140</v>
      </c>
      <c r="N741" s="0" t="n">
        <v>506</v>
      </c>
      <c r="O741" s="10" t="n">
        <v>0.861418707296252</v>
      </c>
      <c r="P741" s="10" t="n">
        <v>0.252706390339881</v>
      </c>
      <c r="Q741" s="0" t="str">
        <f aca="false">SUBSTITUTE(SUBSTITUTE($I741,CHAR(61),""),CHAR(34),"")</f>
        <v>25-34</v>
      </c>
      <c r="R741" s="0" t="str">
        <f aca="false">IF($D741&lt;&gt;"","["&amp;$E741&amp;"]"&amp;"|"&amp;$Q741&amp;"|"&amp;$K741&amp;"|"&amp;$G741&amp;"|"&amp;IF($G741="TX_CURR_SUBNAT.R","CY2022Q4",$M741),"")</f>
        <v>[ZCjuwgaMB9u]|25-34|Male|POP_EST.T_1|CY2023Q3</v>
      </c>
    </row>
    <row r="742" customFormat="false" ht="15" hidden="false" customHeight="false" outlineLevel="0" collapsed="false">
      <c r="D742" s="9" t="s">
        <v>126</v>
      </c>
      <c r="E742" s="9" t="s">
        <v>127</v>
      </c>
      <c r="F742" s="9" t="s">
        <v>128</v>
      </c>
      <c r="G742" s="9" t="s">
        <v>138</v>
      </c>
      <c r="H742" s="9" t="s">
        <v>139</v>
      </c>
      <c r="I742" s="0" t="s">
        <v>43</v>
      </c>
      <c r="J742" s="9" t="s">
        <v>44</v>
      </c>
      <c r="K742" s="9" t="s">
        <v>48</v>
      </c>
      <c r="L742" s="9" t="s">
        <v>49</v>
      </c>
      <c r="M742" s="0" t="s">
        <v>140</v>
      </c>
      <c r="N742" s="0" t="n">
        <v>1305</v>
      </c>
      <c r="O742" s="10" t="n">
        <v>0.394031305564567</v>
      </c>
      <c r="P742" s="10" t="n">
        <v>0.252706390339881</v>
      </c>
      <c r="Q742" s="0" t="str">
        <f aca="false">SUBSTITUTE(SUBSTITUTE($I742,CHAR(61),""),CHAR(34),"")</f>
        <v>35-49</v>
      </c>
      <c r="R742" s="0" t="str">
        <f aca="false">IF($D742&lt;&gt;"","["&amp;$E742&amp;"]"&amp;"|"&amp;$Q742&amp;"|"&amp;$K742&amp;"|"&amp;$G742&amp;"|"&amp;IF($G742="TX_CURR_SUBNAT.R","CY2022Q4",$M742),"")</f>
        <v>[ZCjuwgaMB9u]|35-49|Male|POP_EST.T_1|CY2023Q3</v>
      </c>
    </row>
    <row r="743" customFormat="false" ht="15" hidden="false" customHeight="false" outlineLevel="0" collapsed="false">
      <c r="D743" s="9" t="s">
        <v>126</v>
      </c>
      <c r="E743" s="9" t="s">
        <v>127</v>
      </c>
      <c r="F743" s="9" t="s">
        <v>128</v>
      </c>
      <c r="G743" s="9" t="s">
        <v>138</v>
      </c>
      <c r="H743" s="9" t="s">
        <v>139</v>
      </c>
      <c r="I743" s="0" t="s">
        <v>45</v>
      </c>
      <c r="J743" s="9" t="s">
        <v>46</v>
      </c>
      <c r="K743" s="9" t="s">
        <v>48</v>
      </c>
      <c r="L743" s="9" t="s">
        <v>49</v>
      </c>
      <c r="M743" s="0" t="s">
        <v>140</v>
      </c>
      <c r="N743" s="0" t="n">
        <v>534</v>
      </c>
      <c r="O743" s="10" t="n">
        <v>0.0841370371636003</v>
      </c>
      <c r="P743" s="10" t="n">
        <v>0.252706390339881</v>
      </c>
      <c r="Q743" s="0" t="str">
        <f aca="false">SUBSTITUTE(SUBSTITUTE($I743,CHAR(61),""),CHAR(34),"")</f>
        <v>50+</v>
      </c>
      <c r="R743" s="0" t="str">
        <f aca="false">IF($D743&lt;&gt;"","["&amp;$E743&amp;"]"&amp;"|"&amp;$Q743&amp;"|"&amp;$K743&amp;"|"&amp;$G743&amp;"|"&amp;IF($G743="TX_CURR_SUBNAT.R","CY2022Q4",$M743),"")</f>
        <v>[ZCjuwgaMB9u]|50+|Male|POP_EST.T_1|CY2023Q3</v>
      </c>
    </row>
    <row r="744" customFormat="false" ht="15" hidden="false" customHeight="false" outlineLevel="0" collapsed="false">
      <c r="D744" s="9" t="s">
        <v>129</v>
      </c>
      <c r="E744" s="9" t="s">
        <v>130</v>
      </c>
      <c r="F744" s="9" t="s">
        <v>131</v>
      </c>
      <c r="G744" s="9" t="s">
        <v>138</v>
      </c>
      <c r="H744" s="9" t="s">
        <v>139</v>
      </c>
      <c r="I744" s="0" t="s">
        <v>28</v>
      </c>
      <c r="J744" s="9" t="s">
        <v>29</v>
      </c>
      <c r="K744" s="9" t="s">
        <v>30</v>
      </c>
      <c r="L744" s="9" t="s">
        <v>31</v>
      </c>
      <c r="M744" s="0" t="s">
        <v>140</v>
      </c>
      <c r="N744" s="0" t="n">
        <v>1375</v>
      </c>
      <c r="O744" s="10" t="n">
        <v>0.470890614902601</v>
      </c>
      <c r="P744" s="10" t="n">
        <v>0.556908084778115</v>
      </c>
      <c r="Q744" s="0" t="str">
        <f aca="false">SUBSTITUTE(SUBSTITUTE($I744,CHAR(61),""),CHAR(34),"")</f>
        <v>&lt;01</v>
      </c>
      <c r="R744" s="0" t="str">
        <f aca="false">IF($D744&lt;&gt;"","["&amp;$E744&amp;"]"&amp;"|"&amp;$Q744&amp;"|"&amp;$K744&amp;"|"&amp;$G744&amp;"|"&amp;IF($G744="TX_CURR_SUBNAT.R","CY2022Q4",$M744),"")</f>
        <v>[YCKiBAp8QAg]|&lt;01|Female|POP_EST.T_1|CY2023Q3</v>
      </c>
    </row>
    <row r="745" customFormat="false" ht="15" hidden="false" customHeight="false" outlineLevel="0" collapsed="false">
      <c r="D745" s="9" t="s">
        <v>129</v>
      </c>
      <c r="E745" s="9" t="s">
        <v>130</v>
      </c>
      <c r="F745" s="9" t="s">
        <v>131</v>
      </c>
      <c r="G745" s="9" t="s">
        <v>138</v>
      </c>
      <c r="H745" s="9" t="s">
        <v>139</v>
      </c>
      <c r="I745" s="0" t="s">
        <v>33</v>
      </c>
      <c r="J745" s="9" t="s">
        <v>34</v>
      </c>
      <c r="K745" s="9" t="s">
        <v>30</v>
      </c>
      <c r="L745" s="9" t="s">
        <v>31</v>
      </c>
      <c r="M745" s="0" t="s">
        <v>140</v>
      </c>
      <c r="N745" s="0" t="n">
        <v>578</v>
      </c>
      <c r="O745" s="10" t="n">
        <v>0.355688621290028</v>
      </c>
      <c r="P745" s="10" t="n">
        <v>0.556908084778115</v>
      </c>
      <c r="Q745" s="0" t="str">
        <f aca="false">SUBSTITUTE(SUBSTITUTE($I745,CHAR(61),""),CHAR(34),"")</f>
        <v>01-09</v>
      </c>
      <c r="R745" s="0" t="str">
        <f aca="false">IF($D745&lt;&gt;"","["&amp;$E745&amp;"]"&amp;"|"&amp;$Q745&amp;"|"&amp;$K745&amp;"|"&amp;$G745&amp;"|"&amp;IF($G745="TX_CURR_SUBNAT.R","CY2022Q4",$M745),"")</f>
        <v>[YCKiBAp8QAg]|01-09|Female|POP_EST.T_1|CY2023Q3</v>
      </c>
    </row>
    <row r="746" customFormat="false" ht="15" hidden="false" customHeight="false" outlineLevel="0" collapsed="false">
      <c r="D746" s="9" t="s">
        <v>129</v>
      </c>
      <c r="E746" s="9" t="s">
        <v>130</v>
      </c>
      <c r="F746" s="9" t="s">
        <v>131</v>
      </c>
      <c r="G746" s="9" t="s">
        <v>138</v>
      </c>
      <c r="H746" s="9" t="s">
        <v>139</v>
      </c>
      <c r="I746" s="0" t="s">
        <v>36</v>
      </c>
      <c r="J746" s="9" t="s">
        <v>37</v>
      </c>
      <c r="K746" s="9" t="s">
        <v>30</v>
      </c>
      <c r="L746" s="9" t="s">
        <v>31</v>
      </c>
      <c r="M746" s="0" t="s">
        <v>140</v>
      </c>
      <c r="N746" s="0" t="n">
        <v>1523</v>
      </c>
      <c r="O746" s="10" t="n">
        <v>0.633875319268554</v>
      </c>
      <c r="P746" s="10" t="n">
        <v>0.556908084778115</v>
      </c>
      <c r="Q746" s="0" t="str">
        <f aca="false">SUBSTITUTE(SUBSTITUTE($I746,CHAR(61),""),CHAR(34),"")</f>
        <v>10-14</v>
      </c>
      <c r="R746" s="0" t="str">
        <f aca="false">IF($D746&lt;&gt;"","["&amp;$E746&amp;"]"&amp;"|"&amp;$Q746&amp;"|"&amp;$K746&amp;"|"&amp;$G746&amp;"|"&amp;IF($G746="TX_CURR_SUBNAT.R","CY2022Q4",$M746),"")</f>
        <v>[YCKiBAp8QAg]|10-14|Female|POP_EST.T_1|CY2023Q3</v>
      </c>
    </row>
    <row r="747" customFormat="false" ht="15" hidden="false" customHeight="false" outlineLevel="0" collapsed="false">
      <c r="D747" s="9" t="s">
        <v>129</v>
      </c>
      <c r="E747" s="9" t="s">
        <v>130</v>
      </c>
      <c r="F747" s="9" t="s">
        <v>131</v>
      </c>
      <c r="G747" s="9" t="s">
        <v>138</v>
      </c>
      <c r="H747" s="9" t="s">
        <v>139</v>
      </c>
      <c r="I747" s="0" t="s">
        <v>38</v>
      </c>
      <c r="J747" s="9" t="s">
        <v>39</v>
      </c>
      <c r="K747" s="9" t="s">
        <v>30</v>
      </c>
      <c r="L747" s="9" t="s">
        <v>31</v>
      </c>
      <c r="M747" s="0" t="s">
        <v>140</v>
      </c>
      <c r="N747" s="0" t="n">
        <v>1599</v>
      </c>
      <c r="O747" s="10" t="n">
        <v>0.952038838993758</v>
      </c>
      <c r="P747" s="10" t="n">
        <v>0.556908084778115</v>
      </c>
      <c r="Q747" s="0" t="str">
        <f aca="false">SUBSTITUTE(SUBSTITUTE($I747,CHAR(61),""),CHAR(34),"")</f>
        <v>15-24</v>
      </c>
      <c r="R747" s="0" t="str">
        <f aca="false">IF($D747&lt;&gt;"","["&amp;$E747&amp;"]"&amp;"|"&amp;$Q747&amp;"|"&amp;$K747&amp;"|"&amp;$G747&amp;"|"&amp;IF($G747="TX_CURR_SUBNAT.R","CY2022Q4",$M747),"")</f>
        <v>[YCKiBAp8QAg]|15-24|Female|POP_EST.T_1|CY2023Q3</v>
      </c>
    </row>
    <row r="748" customFormat="false" ht="15" hidden="false" customHeight="false" outlineLevel="0" collapsed="false">
      <c r="D748" s="9" t="s">
        <v>129</v>
      </c>
      <c r="E748" s="9" t="s">
        <v>130</v>
      </c>
      <c r="F748" s="9" t="s">
        <v>131</v>
      </c>
      <c r="G748" s="9" t="s">
        <v>138</v>
      </c>
      <c r="H748" s="9" t="s">
        <v>139</v>
      </c>
      <c r="I748" s="0" t="s">
        <v>41</v>
      </c>
      <c r="J748" s="9" t="s">
        <v>42</v>
      </c>
      <c r="K748" s="9" t="s">
        <v>30</v>
      </c>
      <c r="L748" s="9" t="s">
        <v>31</v>
      </c>
      <c r="M748" s="0" t="s">
        <v>140</v>
      </c>
      <c r="N748" s="0" t="n">
        <v>1237</v>
      </c>
      <c r="O748" s="10" t="n">
        <v>0.063858152134344</v>
      </c>
      <c r="P748" s="10" t="n">
        <v>0.556908084778115</v>
      </c>
      <c r="Q748" s="0" t="str">
        <f aca="false">SUBSTITUTE(SUBSTITUTE($I748,CHAR(61),""),CHAR(34),"")</f>
        <v>25-34</v>
      </c>
      <c r="R748" s="0" t="str">
        <f aca="false">IF($D748&lt;&gt;"","["&amp;$E748&amp;"]"&amp;"|"&amp;$Q748&amp;"|"&amp;$K748&amp;"|"&amp;$G748&amp;"|"&amp;IF($G748="TX_CURR_SUBNAT.R","CY2022Q4",$M748),"")</f>
        <v>[YCKiBAp8QAg]|25-34|Female|POP_EST.T_1|CY2023Q3</v>
      </c>
    </row>
    <row r="749" customFormat="false" ht="15" hidden="false" customHeight="false" outlineLevel="0" collapsed="false">
      <c r="D749" s="9" t="s">
        <v>129</v>
      </c>
      <c r="E749" s="9" t="s">
        <v>130</v>
      </c>
      <c r="F749" s="9" t="s">
        <v>131</v>
      </c>
      <c r="G749" s="9" t="s">
        <v>138</v>
      </c>
      <c r="H749" s="9" t="s">
        <v>139</v>
      </c>
      <c r="I749" s="0" t="s">
        <v>43</v>
      </c>
      <c r="J749" s="9" t="s">
        <v>44</v>
      </c>
      <c r="K749" s="9" t="s">
        <v>30</v>
      </c>
      <c r="L749" s="9" t="s">
        <v>31</v>
      </c>
      <c r="M749" s="0" t="s">
        <v>140</v>
      </c>
      <c r="N749" s="0" t="n">
        <v>1440</v>
      </c>
      <c r="O749" s="10" t="n">
        <v>0.374836141243577</v>
      </c>
      <c r="P749" s="10" t="n">
        <v>0.556908084778115</v>
      </c>
      <c r="Q749" s="0" t="str">
        <f aca="false">SUBSTITUTE(SUBSTITUTE($I749,CHAR(61),""),CHAR(34),"")</f>
        <v>35-49</v>
      </c>
      <c r="R749" s="0" t="str">
        <f aca="false">IF($D749&lt;&gt;"","["&amp;$E749&amp;"]"&amp;"|"&amp;$Q749&amp;"|"&amp;$K749&amp;"|"&amp;$G749&amp;"|"&amp;IF($G749="TX_CURR_SUBNAT.R","CY2022Q4",$M749),"")</f>
        <v>[YCKiBAp8QAg]|35-49|Female|POP_EST.T_1|CY2023Q3</v>
      </c>
    </row>
    <row r="750" customFormat="false" ht="15" hidden="false" customHeight="false" outlineLevel="0" collapsed="false">
      <c r="D750" s="9" t="s">
        <v>129</v>
      </c>
      <c r="E750" s="9" t="s">
        <v>130</v>
      </c>
      <c r="F750" s="9" t="s">
        <v>131</v>
      </c>
      <c r="G750" s="9" t="s">
        <v>138</v>
      </c>
      <c r="H750" s="9" t="s">
        <v>139</v>
      </c>
      <c r="I750" s="0" t="s">
        <v>45</v>
      </c>
      <c r="J750" s="9" t="s">
        <v>46</v>
      </c>
      <c r="K750" s="9" t="s">
        <v>30</v>
      </c>
      <c r="L750" s="9" t="s">
        <v>31</v>
      </c>
      <c r="M750" s="0" t="s">
        <v>140</v>
      </c>
      <c r="N750" s="0" t="n">
        <v>728</v>
      </c>
      <c r="O750" s="10" t="n">
        <v>0.188552761683241</v>
      </c>
      <c r="P750" s="10" t="n">
        <v>0.556908084778115</v>
      </c>
      <c r="Q750" s="0" t="str">
        <f aca="false">SUBSTITUTE(SUBSTITUTE($I750,CHAR(61),""),CHAR(34),"")</f>
        <v>50+</v>
      </c>
      <c r="R750" s="0" t="str">
        <f aca="false">IF($D750&lt;&gt;"","["&amp;$E750&amp;"]"&amp;"|"&amp;$Q750&amp;"|"&amp;$K750&amp;"|"&amp;$G750&amp;"|"&amp;IF($G750="TX_CURR_SUBNAT.R","CY2022Q4",$M750),"")</f>
        <v>[YCKiBAp8QAg]|50+|Female|POP_EST.T_1|CY2023Q3</v>
      </c>
    </row>
    <row r="751" customFormat="false" ht="15" hidden="false" customHeight="false" outlineLevel="0" collapsed="false">
      <c r="D751" s="9" t="s">
        <v>129</v>
      </c>
      <c r="E751" s="9" t="s">
        <v>130</v>
      </c>
      <c r="F751" s="9" t="s">
        <v>131</v>
      </c>
      <c r="G751" s="9" t="s">
        <v>138</v>
      </c>
      <c r="H751" s="9" t="s">
        <v>139</v>
      </c>
      <c r="I751" s="0" t="s">
        <v>28</v>
      </c>
      <c r="J751" s="9" t="s">
        <v>29</v>
      </c>
      <c r="K751" s="9" t="s">
        <v>48</v>
      </c>
      <c r="L751" s="9" t="s">
        <v>49</v>
      </c>
      <c r="M751" s="0" t="s">
        <v>140</v>
      </c>
      <c r="N751" s="0" t="n">
        <v>1519</v>
      </c>
      <c r="O751" s="10" t="n">
        <v>0.631986900232732</v>
      </c>
      <c r="P751" s="10" t="n">
        <v>0.556908084778115</v>
      </c>
      <c r="Q751" s="0" t="str">
        <f aca="false">SUBSTITUTE(SUBSTITUTE($I751,CHAR(61),""),CHAR(34),"")</f>
        <v>&lt;01</v>
      </c>
      <c r="R751" s="0" t="str">
        <f aca="false">IF($D751&lt;&gt;"","["&amp;$E751&amp;"]"&amp;"|"&amp;$Q751&amp;"|"&amp;$K751&amp;"|"&amp;$G751&amp;"|"&amp;IF($G751="TX_CURR_SUBNAT.R","CY2022Q4",$M751),"")</f>
        <v>[YCKiBAp8QAg]|&lt;01|Male|POP_EST.T_1|CY2023Q3</v>
      </c>
    </row>
    <row r="752" customFormat="false" ht="15" hidden="false" customHeight="false" outlineLevel="0" collapsed="false">
      <c r="D752" s="9" t="s">
        <v>129</v>
      </c>
      <c r="E752" s="9" t="s">
        <v>130</v>
      </c>
      <c r="F752" s="9" t="s">
        <v>131</v>
      </c>
      <c r="G752" s="9" t="s">
        <v>138</v>
      </c>
      <c r="H752" s="9" t="s">
        <v>139</v>
      </c>
      <c r="I752" s="0" t="s">
        <v>33</v>
      </c>
      <c r="J752" s="9" t="s">
        <v>34</v>
      </c>
      <c r="K752" s="9" t="s">
        <v>48</v>
      </c>
      <c r="L752" s="9" t="s">
        <v>49</v>
      </c>
      <c r="M752" s="0" t="s">
        <v>140</v>
      </c>
      <c r="N752" s="0" t="n">
        <v>690</v>
      </c>
      <c r="O752" s="10" t="n">
        <v>0.612896750681102</v>
      </c>
      <c r="P752" s="10" t="n">
        <v>0.556908084778115</v>
      </c>
      <c r="Q752" s="0" t="str">
        <f aca="false">SUBSTITUTE(SUBSTITUTE($I752,CHAR(61),""),CHAR(34),"")</f>
        <v>01-09</v>
      </c>
      <c r="R752" s="0" t="str">
        <f aca="false">IF($D752&lt;&gt;"","["&amp;$E752&amp;"]"&amp;"|"&amp;$Q752&amp;"|"&amp;$K752&amp;"|"&amp;$G752&amp;"|"&amp;IF($G752="TX_CURR_SUBNAT.R","CY2022Q4",$M752),"")</f>
        <v>[YCKiBAp8QAg]|01-09|Male|POP_EST.T_1|CY2023Q3</v>
      </c>
    </row>
    <row r="753" customFormat="false" ht="15" hidden="false" customHeight="false" outlineLevel="0" collapsed="false">
      <c r="D753" s="9" t="s">
        <v>129</v>
      </c>
      <c r="E753" s="9" t="s">
        <v>130</v>
      </c>
      <c r="F753" s="9" t="s">
        <v>131</v>
      </c>
      <c r="G753" s="9" t="s">
        <v>138</v>
      </c>
      <c r="H753" s="9" t="s">
        <v>139</v>
      </c>
      <c r="I753" s="0" t="s">
        <v>36</v>
      </c>
      <c r="J753" s="9" t="s">
        <v>37</v>
      </c>
      <c r="K753" s="9" t="s">
        <v>48</v>
      </c>
      <c r="L753" s="9" t="s">
        <v>49</v>
      </c>
      <c r="M753" s="0" t="s">
        <v>140</v>
      </c>
      <c r="N753" s="0" t="n">
        <v>1994</v>
      </c>
      <c r="O753" s="10" t="n">
        <v>0.640643738908693</v>
      </c>
      <c r="P753" s="10" t="n">
        <v>0.556908084778115</v>
      </c>
      <c r="Q753" s="0" t="str">
        <f aca="false">SUBSTITUTE(SUBSTITUTE($I753,CHAR(61),""),CHAR(34),"")</f>
        <v>10-14</v>
      </c>
      <c r="R753" s="0" t="str">
        <f aca="false">IF($D753&lt;&gt;"","["&amp;$E753&amp;"]"&amp;"|"&amp;$Q753&amp;"|"&amp;$K753&amp;"|"&amp;$G753&amp;"|"&amp;IF($G753="TX_CURR_SUBNAT.R","CY2022Q4",$M753),"")</f>
        <v>[YCKiBAp8QAg]|10-14|Male|POP_EST.T_1|CY2023Q3</v>
      </c>
    </row>
    <row r="754" customFormat="false" ht="15" hidden="false" customHeight="false" outlineLevel="0" collapsed="false">
      <c r="D754" s="9" t="s">
        <v>129</v>
      </c>
      <c r="E754" s="9" t="s">
        <v>130</v>
      </c>
      <c r="F754" s="9" t="s">
        <v>131</v>
      </c>
      <c r="G754" s="9" t="s">
        <v>138</v>
      </c>
      <c r="H754" s="9" t="s">
        <v>139</v>
      </c>
      <c r="I754" s="0" t="s">
        <v>38</v>
      </c>
      <c r="J754" s="9" t="s">
        <v>39</v>
      </c>
      <c r="K754" s="9" t="s">
        <v>48</v>
      </c>
      <c r="L754" s="9" t="s">
        <v>49</v>
      </c>
      <c r="M754" s="0" t="s">
        <v>140</v>
      </c>
      <c r="N754" s="0" t="n">
        <v>1953</v>
      </c>
      <c r="O754" s="10" t="n">
        <v>0.355504265287891</v>
      </c>
      <c r="P754" s="10" t="n">
        <v>0.556908084778115</v>
      </c>
      <c r="Q754" s="0" t="str">
        <f aca="false">SUBSTITUTE(SUBSTITUTE($I754,CHAR(61),""),CHAR(34),"")</f>
        <v>15-24</v>
      </c>
      <c r="R754" s="0" t="str">
        <f aca="false">IF($D754&lt;&gt;"","["&amp;$E754&amp;"]"&amp;"|"&amp;$Q754&amp;"|"&amp;$K754&amp;"|"&amp;$G754&amp;"|"&amp;IF($G754="TX_CURR_SUBNAT.R","CY2022Q4",$M754),"")</f>
        <v>[YCKiBAp8QAg]|15-24|Male|POP_EST.T_1|CY2023Q3</v>
      </c>
    </row>
    <row r="755" customFormat="false" ht="15" hidden="false" customHeight="false" outlineLevel="0" collapsed="false">
      <c r="D755" s="9" t="s">
        <v>129</v>
      </c>
      <c r="E755" s="9" t="s">
        <v>130</v>
      </c>
      <c r="F755" s="9" t="s">
        <v>131</v>
      </c>
      <c r="G755" s="9" t="s">
        <v>138</v>
      </c>
      <c r="H755" s="9" t="s">
        <v>139</v>
      </c>
      <c r="I755" s="0" t="s">
        <v>41</v>
      </c>
      <c r="J755" s="9" t="s">
        <v>42</v>
      </c>
      <c r="K755" s="9" t="s">
        <v>48</v>
      </c>
      <c r="L755" s="9" t="s">
        <v>49</v>
      </c>
      <c r="M755" s="0" t="s">
        <v>140</v>
      </c>
      <c r="N755" s="0" t="n">
        <v>1777</v>
      </c>
      <c r="O755" s="10" t="n">
        <v>0.0257281290832907</v>
      </c>
      <c r="P755" s="10" t="n">
        <v>0.556908084778115</v>
      </c>
      <c r="Q755" s="0" t="str">
        <f aca="false">SUBSTITUTE(SUBSTITUTE($I755,CHAR(61),""),CHAR(34),"")</f>
        <v>25-34</v>
      </c>
      <c r="R755" s="0" t="str">
        <f aca="false">IF($D755&lt;&gt;"","["&amp;$E755&amp;"]"&amp;"|"&amp;$Q755&amp;"|"&amp;$K755&amp;"|"&amp;$G755&amp;"|"&amp;IF($G755="TX_CURR_SUBNAT.R","CY2022Q4",$M755),"")</f>
        <v>[YCKiBAp8QAg]|25-34|Male|POP_EST.T_1|CY2023Q3</v>
      </c>
    </row>
    <row r="756" customFormat="false" ht="15" hidden="false" customHeight="false" outlineLevel="0" collapsed="false">
      <c r="D756" s="9" t="s">
        <v>129</v>
      </c>
      <c r="E756" s="9" t="s">
        <v>130</v>
      </c>
      <c r="F756" s="9" t="s">
        <v>131</v>
      </c>
      <c r="G756" s="9" t="s">
        <v>138</v>
      </c>
      <c r="H756" s="9" t="s">
        <v>139</v>
      </c>
      <c r="I756" s="0" t="s">
        <v>43</v>
      </c>
      <c r="J756" s="9" t="s">
        <v>44</v>
      </c>
      <c r="K756" s="9" t="s">
        <v>48</v>
      </c>
      <c r="L756" s="9" t="s">
        <v>49</v>
      </c>
      <c r="M756" s="0" t="s">
        <v>140</v>
      </c>
      <c r="N756" s="0" t="n">
        <v>1337</v>
      </c>
      <c r="O756" s="10" t="n">
        <v>0.489961401559412</v>
      </c>
      <c r="P756" s="10" t="n">
        <v>0.556908084778115</v>
      </c>
      <c r="Q756" s="0" t="str">
        <f aca="false">SUBSTITUTE(SUBSTITUTE($I756,CHAR(61),""),CHAR(34),"")</f>
        <v>35-49</v>
      </c>
      <c r="R756" s="0" t="str">
        <f aca="false">IF($D756&lt;&gt;"","["&amp;$E756&amp;"]"&amp;"|"&amp;$Q756&amp;"|"&amp;$K756&amp;"|"&amp;$G756&amp;"|"&amp;IF($G756="TX_CURR_SUBNAT.R","CY2022Q4",$M756),"")</f>
        <v>[YCKiBAp8QAg]|35-49|Male|POP_EST.T_1|CY2023Q3</v>
      </c>
    </row>
    <row r="757" customFormat="false" ht="15" hidden="false" customHeight="false" outlineLevel="0" collapsed="false">
      <c r="D757" s="9" t="s">
        <v>129</v>
      </c>
      <c r="E757" s="9" t="s">
        <v>130</v>
      </c>
      <c r="F757" s="9" t="s">
        <v>131</v>
      </c>
      <c r="G757" s="9" t="s">
        <v>138</v>
      </c>
      <c r="H757" s="9" t="s">
        <v>139</v>
      </c>
      <c r="I757" s="0" t="s">
        <v>45</v>
      </c>
      <c r="J757" s="9" t="s">
        <v>46</v>
      </c>
      <c r="K757" s="9" t="s">
        <v>48</v>
      </c>
      <c r="L757" s="9" t="s">
        <v>49</v>
      </c>
      <c r="M757" s="0" t="s">
        <v>140</v>
      </c>
      <c r="N757" s="0" t="n">
        <v>610</v>
      </c>
      <c r="O757" s="10" t="n">
        <v>0.732802583370358</v>
      </c>
      <c r="P757" s="10" t="n">
        <v>0.556908084778115</v>
      </c>
      <c r="Q757" s="0" t="str">
        <f aca="false">SUBSTITUTE(SUBSTITUTE($I757,CHAR(61),""),CHAR(34),"")</f>
        <v>50+</v>
      </c>
      <c r="R757" s="0" t="str">
        <f aca="false">IF($D757&lt;&gt;"","["&amp;$E757&amp;"]"&amp;"|"&amp;$Q757&amp;"|"&amp;$K757&amp;"|"&amp;$G757&amp;"|"&amp;IF($G757="TX_CURR_SUBNAT.R","CY2022Q4",$M757),"")</f>
        <v>[YCKiBAp8QAg]|50+|Male|POP_EST.T_1|CY2023Q3</v>
      </c>
    </row>
    <row r="758" customFormat="false" ht="15" hidden="false" customHeight="false" outlineLevel="0" collapsed="false">
      <c r="D758" s="9" t="s">
        <v>132</v>
      </c>
      <c r="E758" s="9" t="s">
        <v>133</v>
      </c>
      <c r="F758" s="9" t="s">
        <v>134</v>
      </c>
      <c r="G758" s="9" t="s">
        <v>138</v>
      </c>
      <c r="H758" s="9" t="s">
        <v>139</v>
      </c>
      <c r="I758" s="0" t="s">
        <v>28</v>
      </c>
      <c r="J758" s="9" t="s">
        <v>29</v>
      </c>
      <c r="K758" s="9" t="s">
        <v>30</v>
      </c>
      <c r="L758" s="9" t="s">
        <v>31</v>
      </c>
      <c r="M758" s="0" t="s">
        <v>140</v>
      </c>
      <c r="N758" s="0" t="n">
        <v>693</v>
      </c>
      <c r="O758" s="10" t="n">
        <v>0.883714922936633</v>
      </c>
      <c r="P758" s="10" t="n">
        <v>0.162863194011152</v>
      </c>
      <c r="Q758" s="0" t="str">
        <f aca="false">SUBSTITUTE(SUBSTITUTE($I758,CHAR(61),""),CHAR(34),"")</f>
        <v>&lt;01</v>
      </c>
      <c r="R758" s="0" t="str">
        <f aca="false">IF($D758&lt;&gt;"","["&amp;$E758&amp;"]"&amp;"|"&amp;$Q758&amp;"|"&amp;$K758&amp;"|"&amp;$G758&amp;"|"&amp;IF($G758="TX_CURR_SUBNAT.R","CY2022Q4",$M758),"")</f>
        <v>[JQKLKuVuY61]|&lt;01|Female|POP_EST.T_1|CY2023Q3</v>
      </c>
    </row>
    <row r="759" customFormat="false" ht="15" hidden="false" customHeight="false" outlineLevel="0" collapsed="false">
      <c r="D759" s="9" t="s">
        <v>132</v>
      </c>
      <c r="E759" s="9" t="s">
        <v>133</v>
      </c>
      <c r="F759" s="9" t="s">
        <v>134</v>
      </c>
      <c r="G759" s="9" t="s">
        <v>138</v>
      </c>
      <c r="H759" s="9" t="s">
        <v>139</v>
      </c>
      <c r="I759" s="0" t="s">
        <v>33</v>
      </c>
      <c r="J759" s="9" t="s">
        <v>34</v>
      </c>
      <c r="K759" s="9" t="s">
        <v>30</v>
      </c>
      <c r="L759" s="9" t="s">
        <v>31</v>
      </c>
      <c r="M759" s="0" t="s">
        <v>140</v>
      </c>
      <c r="N759" s="0" t="n">
        <v>1605</v>
      </c>
      <c r="O759" s="10" t="n">
        <v>0.851027339696884</v>
      </c>
      <c r="P759" s="10" t="n">
        <v>0.162863194011152</v>
      </c>
      <c r="Q759" s="0" t="str">
        <f aca="false">SUBSTITUTE(SUBSTITUTE($I759,CHAR(61),""),CHAR(34),"")</f>
        <v>01-09</v>
      </c>
      <c r="R759" s="0" t="str">
        <f aca="false">IF($D759&lt;&gt;"","["&amp;$E759&amp;"]"&amp;"|"&amp;$Q759&amp;"|"&amp;$K759&amp;"|"&amp;$G759&amp;"|"&amp;IF($G759="TX_CURR_SUBNAT.R","CY2022Q4",$M759),"")</f>
        <v>[JQKLKuVuY61]|01-09|Female|POP_EST.T_1|CY2023Q3</v>
      </c>
    </row>
    <row r="760" customFormat="false" ht="15" hidden="false" customHeight="false" outlineLevel="0" collapsed="false">
      <c r="D760" s="9" t="s">
        <v>132</v>
      </c>
      <c r="E760" s="9" t="s">
        <v>133</v>
      </c>
      <c r="F760" s="9" t="s">
        <v>134</v>
      </c>
      <c r="G760" s="9" t="s">
        <v>138</v>
      </c>
      <c r="H760" s="9" t="s">
        <v>139</v>
      </c>
      <c r="I760" s="0" t="s">
        <v>36</v>
      </c>
      <c r="J760" s="9" t="s">
        <v>37</v>
      </c>
      <c r="K760" s="9" t="s">
        <v>30</v>
      </c>
      <c r="L760" s="9" t="s">
        <v>31</v>
      </c>
      <c r="M760" s="0" t="s">
        <v>140</v>
      </c>
      <c r="N760" s="0" t="n">
        <v>1308</v>
      </c>
      <c r="O760" s="10" t="n">
        <v>0.155415756162256</v>
      </c>
      <c r="P760" s="10" t="n">
        <v>0.162863194011152</v>
      </c>
      <c r="Q760" s="0" t="str">
        <f aca="false">SUBSTITUTE(SUBSTITUTE($I760,CHAR(61),""),CHAR(34),"")</f>
        <v>10-14</v>
      </c>
      <c r="R760" s="0" t="str">
        <f aca="false">IF($D760&lt;&gt;"","["&amp;$E760&amp;"]"&amp;"|"&amp;$Q760&amp;"|"&amp;$K760&amp;"|"&amp;$G760&amp;"|"&amp;IF($G760="TX_CURR_SUBNAT.R","CY2022Q4",$M760),"")</f>
        <v>[JQKLKuVuY61]|10-14|Female|POP_EST.T_1|CY2023Q3</v>
      </c>
    </row>
    <row r="761" customFormat="false" ht="15" hidden="false" customHeight="false" outlineLevel="0" collapsed="false">
      <c r="D761" s="9" t="s">
        <v>132</v>
      </c>
      <c r="E761" s="9" t="s">
        <v>133</v>
      </c>
      <c r="F761" s="9" t="s">
        <v>134</v>
      </c>
      <c r="G761" s="9" t="s">
        <v>138</v>
      </c>
      <c r="H761" s="9" t="s">
        <v>139</v>
      </c>
      <c r="I761" s="0" t="s">
        <v>38</v>
      </c>
      <c r="J761" s="9" t="s">
        <v>39</v>
      </c>
      <c r="K761" s="9" t="s">
        <v>30</v>
      </c>
      <c r="L761" s="9" t="s">
        <v>31</v>
      </c>
      <c r="M761" s="0" t="s">
        <v>140</v>
      </c>
      <c r="N761" s="0" t="n">
        <v>1478</v>
      </c>
      <c r="O761" s="10" t="n">
        <v>0.715570056112483</v>
      </c>
      <c r="P761" s="10" t="n">
        <v>0.162863194011152</v>
      </c>
      <c r="Q761" s="0" t="str">
        <f aca="false">SUBSTITUTE(SUBSTITUTE($I761,CHAR(61),""),CHAR(34),"")</f>
        <v>15-24</v>
      </c>
      <c r="R761" s="0" t="str">
        <f aca="false">IF($D761&lt;&gt;"","["&amp;$E761&amp;"]"&amp;"|"&amp;$Q761&amp;"|"&amp;$K761&amp;"|"&amp;$G761&amp;"|"&amp;IF($G761="TX_CURR_SUBNAT.R","CY2022Q4",$M761),"")</f>
        <v>[JQKLKuVuY61]|15-24|Female|POP_EST.T_1|CY2023Q3</v>
      </c>
    </row>
    <row r="762" customFormat="false" ht="15" hidden="false" customHeight="false" outlineLevel="0" collapsed="false">
      <c r="D762" s="9" t="s">
        <v>132</v>
      </c>
      <c r="E762" s="9" t="s">
        <v>133</v>
      </c>
      <c r="F762" s="9" t="s">
        <v>134</v>
      </c>
      <c r="G762" s="9" t="s">
        <v>138</v>
      </c>
      <c r="H762" s="9" t="s">
        <v>139</v>
      </c>
      <c r="I762" s="0" t="s">
        <v>41</v>
      </c>
      <c r="J762" s="9" t="s">
        <v>42</v>
      </c>
      <c r="K762" s="9" t="s">
        <v>30</v>
      </c>
      <c r="L762" s="9" t="s">
        <v>31</v>
      </c>
      <c r="M762" s="0" t="s">
        <v>140</v>
      </c>
      <c r="N762" s="0" t="n">
        <v>657</v>
      </c>
      <c r="O762" s="10" t="n">
        <v>0.626031309831887</v>
      </c>
      <c r="P762" s="10" t="n">
        <v>0.162863194011152</v>
      </c>
      <c r="Q762" s="0" t="str">
        <f aca="false">SUBSTITUTE(SUBSTITUTE($I762,CHAR(61),""),CHAR(34),"")</f>
        <v>25-34</v>
      </c>
      <c r="R762" s="0" t="str">
        <f aca="false">IF($D762&lt;&gt;"","["&amp;$E762&amp;"]"&amp;"|"&amp;$Q762&amp;"|"&amp;$K762&amp;"|"&amp;$G762&amp;"|"&amp;IF($G762="TX_CURR_SUBNAT.R","CY2022Q4",$M762),"")</f>
        <v>[JQKLKuVuY61]|25-34|Female|POP_EST.T_1|CY2023Q3</v>
      </c>
    </row>
    <row r="763" customFormat="false" ht="15" hidden="false" customHeight="false" outlineLevel="0" collapsed="false">
      <c r="D763" s="9" t="s">
        <v>132</v>
      </c>
      <c r="E763" s="9" t="s">
        <v>133</v>
      </c>
      <c r="F763" s="9" t="s">
        <v>134</v>
      </c>
      <c r="G763" s="9" t="s">
        <v>138</v>
      </c>
      <c r="H763" s="9" t="s">
        <v>139</v>
      </c>
      <c r="I763" s="0" t="s">
        <v>43</v>
      </c>
      <c r="J763" s="9" t="s">
        <v>44</v>
      </c>
      <c r="K763" s="9" t="s">
        <v>30</v>
      </c>
      <c r="L763" s="9" t="s">
        <v>31</v>
      </c>
      <c r="M763" s="0" t="s">
        <v>140</v>
      </c>
      <c r="N763" s="0" t="n">
        <v>1514</v>
      </c>
      <c r="O763" s="10" t="n">
        <v>0.92547485162504</v>
      </c>
      <c r="P763" s="10" t="n">
        <v>0.162863194011152</v>
      </c>
      <c r="Q763" s="0" t="str">
        <f aca="false">SUBSTITUTE(SUBSTITUTE($I763,CHAR(61),""),CHAR(34),"")</f>
        <v>35-49</v>
      </c>
      <c r="R763" s="0" t="str">
        <f aca="false">IF($D763&lt;&gt;"","["&amp;$E763&amp;"]"&amp;"|"&amp;$Q763&amp;"|"&amp;$K763&amp;"|"&amp;$G763&amp;"|"&amp;IF($G763="TX_CURR_SUBNAT.R","CY2022Q4",$M763),"")</f>
        <v>[JQKLKuVuY61]|35-49|Female|POP_EST.T_1|CY2023Q3</v>
      </c>
    </row>
    <row r="764" customFormat="false" ht="15" hidden="false" customHeight="false" outlineLevel="0" collapsed="false">
      <c r="D764" s="9" t="s">
        <v>132</v>
      </c>
      <c r="E764" s="9" t="s">
        <v>133</v>
      </c>
      <c r="F764" s="9" t="s">
        <v>134</v>
      </c>
      <c r="G764" s="9" t="s">
        <v>138</v>
      </c>
      <c r="H764" s="9" t="s">
        <v>139</v>
      </c>
      <c r="I764" s="0" t="s">
        <v>45</v>
      </c>
      <c r="J764" s="9" t="s">
        <v>46</v>
      </c>
      <c r="K764" s="9" t="s">
        <v>30</v>
      </c>
      <c r="L764" s="9" t="s">
        <v>31</v>
      </c>
      <c r="M764" s="0" t="s">
        <v>140</v>
      </c>
      <c r="N764" s="0" t="n">
        <v>1737</v>
      </c>
      <c r="O764" s="10" t="n">
        <v>0.701405094237998</v>
      </c>
      <c r="P764" s="10" t="n">
        <v>0.162863194011152</v>
      </c>
      <c r="Q764" s="0" t="str">
        <f aca="false">SUBSTITUTE(SUBSTITUTE($I764,CHAR(61),""),CHAR(34),"")</f>
        <v>50+</v>
      </c>
      <c r="R764" s="0" t="str">
        <f aca="false">IF($D764&lt;&gt;"","["&amp;$E764&amp;"]"&amp;"|"&amp;$Q764&amp;"|"&amp;$K764&amp;"|"&amp;$G764&amp;"|"&amp;IF($G764="TX_CURR_SUBNAT.R","CY2022Q4",$M764),"")</f>
        <v>[JQKLKuVuY61]|50+|Female|POP_EST.T_1|CY2023Q3</v>
      </c>
    </row>
    <row r="765" customFormat="false" ht="15" hidden="false" customHeight="false" outlineLevel="0" collapsed="false">
      <c r="D765" s="9" t="s">
        <v>132</v>
      </c>
      <c r="E765" s="9" t="s">
        <v>133</v>
      </c>
      <c r="F765" s="9" t="s">
        <v>134</v>
      </c>
      <c r="G765" s="9" t="s">
        <v>138</v>
      </c>
      <c r="H765" s="9" t="s">
        <v>139</v>
      </c>
      <c r="I765" s="0" t="s">
        <v>28</v>
      </c>
      <c r="J765" s="9" t="s">
        <v>29</v>
      </c>
      <c r="K765" s="9" t="s">
        <v>48</v>
      </c>
      <c r="L765" s="9" t="s">
        <v>49</v>
      </c>
      <c r="M765" s="0" t="s">
        <v>140</v>
      </c>
      <c r="N765" s="0" t="n">
        <v>1954</v>
      </c>
      <c r="O765" s="10" t="n">
        <v>0.270470964256674</v>
      </c>
      <c r="P765" s="10" t="n">
        <v>0.162863194011152</v>
      </c>
      <c r="Q765" s="0" t="str">
        <f aca="false">SUBSTITUTE(SUBSTITUTE($I765,CHAR(61),""),CHAR(34),"")</f>
        <v>&lt;01</v>
      </c>
      <c r="R765" s="0" t="str">
        <f aca="false">IF($D765&lt;&gt;"","["&amp;$E765&amp;"]"&amp;"|"&amp;$Q765&amp;"|"&amp;$K765&amp;"|"&amp;$G765&amp;"|"&amp;IF($G765="TX_CURR_SUBNAT.R","CY2022Q4",$M765),"")</f>
        <v>[JQKLKuVuY61]|&lt;01|Male|POP_EST.T_1|CY2023Q3</v>
      </c>
    </row>
    <row r="766" customFormat="false" ht="15" hidden="false" customHeight="false" outlineLevel="0" collapsed="false">
      <c r="D766" s="9" t="s">
        <v>132</v>
      </c>
      <c r="E766" s="9" t="s">
        <v>133</v>
      </c>
      <c r="F766" s="9" t="s">
        <v>134</v>
      </c>
      <c r="G766" s="9" t="s">
        <v>138</v>
      </c>
      <c r="H766" s="9" t="s">
        <v>139</v>
      </c>
      <c r="I766" s="0" t="s">
        <v>33</v>
      </c>
      <c r="J766" s="9" t="s">
        <v>34</v>
      </c>
      <c r="K766" s="9" t="s">
        <v>48</v>
      </c>
      <c r="L766" s="9" t="s">
        <v>49</v>
      </c>
      <c r="M766" s="0" t="s">
        <v>140</v>
      </c>
      <c r="N766" s="0" t="n">
        <v>613</v>
      </c>
      <c r="O766" s="10" t="n">
        <v>0.929796648444608</v>
      </c>
      <c r="P766" s="10" t="n">
        <v>0.162863194011152</v>
      </c>
      <c r="Q766" s="0" t="str">
        <f aca="false">SUBSTITUTE(SUBSTITUTE($I766,CHAR(61),""),CHAR(34),"")</f>
        <v>01-09</v>
      </c>
      <c r="R766" s="0" t="str">
        <f aca="false">IF($D766&lt;&gt;"","["&amp;$E766&amp;"]"&amp;"|"&amp;$Q766&amp;"|"&amp;$K766&amp;"|"&amp;$G766&amp;"|"&amp;IF($G766="TX_CURR_SUBNAT.R","CY2022Q4",$M766),"")</f>
        <v>[JQKLKuVuY61]|01-09|Male|POP_EST.T_1|CY2023Q3</v>
      </c>
    </row>
    <row r="767" customFormat="false" ht="15" hidden="false" customHeight="false" outlineLevel="0" collapsed="false">
      <c r="D767" s="9" t="s">
        <v>132</v>
      </c>
      <c r="E767" s="9" t="s">
        <v>133</v>
      </c>
      <c r="F767" s="9" t="s">
        <v>134</v>
      </c>
      <c r="G767" s="9" t="s">
        <v>138</v>
      </c>
      <c r="H767" s="9" t="s">
        <v>139</v>
      </c>
      <c r="I767" s="0" t="s">
        <v>36</v>
      </c>
      <c r="J767" s="9" t="s">
        <v>37</v>
      </c>
      <c r="K767" s="9" t="s">
        <v>48</v>
      </c>
      <c r="L767" s="9" t="s">
        <v>49</v>
      </c>
      <c r="M767" s="0" t="s">
        <v>140</v>
      </c>
      <c r="N767" s="0" t="n">
        <v>1779</v>
      </c>
      <c r="O767" s="10" t="n">
        <v>0.0179020678624511</v>
      </c>
      <c r="P767" s="10" t="n">
        <v>0.162863194011152</v>
      </c>
      <c r="Q767" s="0" t="str">
        <f aca="false">SUBSTITUTE(SUBSTITUTE($I767,CHAR(61),""),CHAR(34),"")</f>
        <v>10-14</v>
      </c>
      <c r="R767" s="0" t="str">
        <f aca="false">IF($D767&lt;&gt;"","["&amp;$E767&amp;"]"&amp;"|"&amp;$Q767&amp;"|"&amp;$K767&amp;"|"&amp;$G767&amp;"|"&amp;IF($G767="TX_CURR_SUBNAT.R","CY2022Q4",$M767),"")</f>
        <v>[JQKLKuVuY61]|10-14|Male|POP_EST.T_1|CY2023Q3</v>
      </c>
    </row>
    <row r="768" customFormat="false" ht="15" hidden="false" customHeight="false" outlineLevel="0" collapsed="false">
      <c r="D768" s="9" t="s">
        <v>132</v>
      </c>
      <c r="E768" s="9" t="s">
        <v>133</v>
      </c>
      <c r="F768" s="9" t="s">
        <v>134</v>
      </c>
      <c r="G768" s="9" t="s">
        <v>138</v>
      </c>
      <c r="H768" s="9" t="s">
        <v>139</v>
      </c>
      <c r="I768" s="0" t="s">
        <v>38</v>
      </c>
      <c r="J768" s="9" t="s">
        <v>39</v>
      </c>
      <c r="K768" s="9" t="s">
        <v>48</v>
      </c>
      <c r="L768" s="9" t="s">
        <v>49</v>
      </c>
      <c r="M768" s="0" t="s">
        <v>140</v>
      </c>
      <c r="N768" s="0" t="n">
        <v>591</v>
      </c>
      <c r="O768" s="10" t="n">
        <v>0.653496075887233</v>
      </c>
      <c r="P768" s="10" t="n">
        <v>0.162863194011152</v>
      </c>
      <c r="Q768" s="0" t="str">
        <f aca="false">SUBSTITUTE(SUBSTITUTE($I768,CHAR(61),""),CHAR(34),"")</f>
        <v>15-24</v>
      </c>
      <c r="R768" s="0" t="str">
        <f aca="false">IF($D768&lt;&gt;"","["&amp;$E768&amp;"]"&amp;"|"&amp;$Q768&amp;"|"&amp;$K768&amp;"|"&amp;$G768&amp;"|"&amp;IF($G768="TX_CURR_SUBNAT.R","CY2022Q4",$M768),"")</f>
        <v>[JQKLKuVuY61]|15-24|Male|POP_EST.T_1|CY2023Q3</v>
      </c>
    </row>
    <row r="769" customFormat="false" ht="15" hidden="false" customHeight="false" outlineLevel="0" collapsed="false">
      <c r="D769" s="9" t="s">
        <v>132</v>
      </c>
      <c r="E769" s="9" t="s">
        <v>133</v>
      </c>
      <c r="F769" s="9" t="s">
        <v>134</v>
      </c>
      <c r="G769" s="9" t="s">
        <v>138</v>
      </c>
      <c r="H769" s="9" t="s">
        <v>139</v>
      </c>
      <c r="I769" s="0" t="s">
        <v>41</v>
      </c>
      <c r="J769" s="9" t="s">
        <v>42</v>
      </c>
      <c r="K769" s="9" t="s">
        <v>48</v>
      </c>
      <c r="L769" s="9" t="s">
        <v>49</v>
      </c>
      <c r="M769" s="0" t="s">
        <v>140</v>
      </c>
      <c r="N769" s="0" t="n">
        <v>1929</v>
      </c>
      <c r="O769" s="10" t="n">
        <v>0.965394993312657</v>
      </c>
      <c r="P769" s="10" t="n">
        <v>0.162863194011152</v>
      </c>
      <c r="Q769" s="0" t="str">
        <f aca="false">SUBSTITUTE(SUBSTITUTE($I769,CHAR(61),""),CHAR(34),"")</f>
        <v>25-34</v>
      </c>
      <c r="R769" s="0" t="str">
        <f aca="false">IF($D769&lt;&gt;"","["&amp;$E769&amp;"]"&amp;"|"&amp;$Q769&amp;"|"&amp;$K769&amp;"|"&amp;$G769&amp;"|"&amp;IF($G769="TX_CURR_SUBNAT.R","CY2022Q4",$M769),"")</f>
        <v>[JQKLKuVuY61]|25-34|Male|POP_EST.T_1|CY2023Q3</v>
      </c>
    </row>
    <row r="770" customFormat="false" ht="15" hidden="false" customHeight="false" outlineLevel="0" collapsed="false">
      <c r="D770" s="9" t="s">
        <v>132</v>
      </c>
      <c r="E770" s="9" t="s">
        <v>133</v>
      </c>
      <c r="F770" s="9" t="s">
        <v>134</v>
      </c>
      <c r="G770" s="9" t="s">
        <v>138</v>
      </c>
      <c r="H770" s="9" t="s">
        <v>139</v>
      </c>
      <c r="I770" s="0" t="s">
        <v>43</v>
      </c>
      <c r="J770" s="9" t="s">
        <v>44</v>
      </c>
      <c r="K770" s="9" t="s">
        <v>48</v>
      </c>
      <c r="L770" s="9" t="s">
        <v>49</v>
      </c>
      <c r="M770" s="0" t="s">
        <v>140</v>
      </c>
      <c r="N770" s="0" t="n">
        <v>1723</v>
      </c>
      <c r="O770" s="10" t="n">
        <v>0.972197335213423</v>
      </c>
      <c r="P770" s="10" t="n">
        <v>0.162863194011152</v>
      </c>
      <c r="Q770" s="0" t="str">
        <f aca="false">SUBSTITUTE(SUBSTITUTE($I770,CHAR(61),""),CHAR(34),"")</f>
        <v>35-49</v>
      </c>
      <c r="R770" s="0" t="str">
        <f aca="false">IF($D770&lt;&gt;"","["&amp;$E770&amp;"]"&amp;"|"&amp;$Q770&amp;"|"&amp;$K770&amp;"|"&amp;$G770&amp;"|"&amp;IF($G770="TX_CURR_SUBNAT.R","CY2022Q4",$M770),"")</f>
        <v>[JQKLKuVuY61]|35-49|Male|POP_EST.T_1|CY2023Q3</v>
      </c>
    </row>
    <row r="771" customFormat="false" ht="15" hidden="false" customHeight="false" outlineLevel="0" collapsed="false">
      <c r="D771" s="9" t="s">
        <v>132</v>
      </c>
      <c r="E771" s="9" t="s">
        <v>133</v>
      </c>
      <c r="F771" s="9" t="s">
        <v>134</v>
      </c>
      <c r="G771" s="9" t="s">
        <v>138</v>
      </c>
      <c r="H771" s="9" t="s">
        <v>139</v>
      </c>
      <c r="I771" s="0" t="s">
        <v>45</v>
      </c>
      <c r="J771" s="9" t="s">
        <v>46</v>
      </c>
      <c r="K771" s="9" t="s">
        <v>48</v>
      </c>
      <c r="L771" s="9" t="s">
        <v>49</v>
      </c>
      <c r="M771" s="0" t="s">
        <v>140</v>
      </c>
      <c r="N771" s="0" t="n">
        <v>963</v>
      </c>
      <c r="O771" s="10" t="n">
        <v>0.983612292911857</v>
      </c>
      <c r="P771" s="10" t="n">
        <v>0.162863194011152</v>
      </c>
      <c r="Q771" s="0" t="str">
        <f aca="false">SUBSTITUTE(SUBSTITUTE($I771,CHAR(61),""),CHAR(34),"")</f>
        <v>50+</v>
      </c>
      <c r="R771" s="0" t="str">
        <f aca="false">IF($D771&lt;&gt;"","["&amp;$E771&amp;"]"&amp;"|"&amp;$Q771&amp;"|"&amp;$K771&amp;"|"&amp;$G771&amp;"|"&amp;IF($G771="TX_CURR_SUBNAT.R","CY2022Q4",$M771),"")</f>
        <v>[JQKLKuVuY61]|50+|Male|POP_EST.T_1|CY2023Q3</v>
      </c>
    </row>
    <row r="772" customFormat="false" ht="15" hidden="false" customHeight="false" outlineLevel="0" collapsed="false">
      <c r="D772" s="9" t="s">
        <v>135</v>
      </c>
      <c r="E772" s="9" t="s">
        <v>136</v>
      </c>
      <c r="F772" s="9" t="s">
        <v>137</v>
      </c>
      <c r="G772" s="9" t="s">
        <v>138</v>
      </c>
      <c r="H772" s="9" t="s">
        <v>139</v>
      </c>
      <c r="I772" s="0" t="s">
        <v>28</v>
      </c>
      <c r="J772" s="9" t="s">
        <v>29</v>
      </c>
      <c r="K772" s="9" t="s">
        <v>30</v>
      </c>
      <c r="L772" s="9" t="s">
        <v>31</v>
      </c>
      <c r="M772" s="0" t="s">
        <v>140</v>
      </c>
      <c r="N772" s="0" t="n">
        <v>1797</v>
      </c>
      <c r="O772" s="10" t="n">
        <v>0.104055986972526</v>
      </c>
      <c r="P772" s="10" t="n">
        <v>0.955300528323278</v>
      </c>
      <c r="Q772" s="0" t="str">
        <f aca="false">SUBSTITUTE(SUBSTITUTE($I772,CHAR(61),""),CHAR(34),"")</f>
        <v>&lt;01</v>
      </c>
      <c r="R772" s="0" t="str">
        <f aca="false">IF($D772&lt;&gt;"","["&amp;$E772&amp;"]"&amp;"|"&amp;$Q772&amp;"|"&amp;$K772&amp;"|"&amp;$G772&amp;"|"&amp;IF($G772="TX_CURR_SUBNAT.R","CY2022Q4",$M772),"")</f>
        <v>[fiRkU6gEjLz]|&lt;01|Female|POP_EST.T_1|CY2023Q3</v>
      </c>
    </row>
    <row r="773" customFormat="false" ht="15" hidden="false" customHeight="false" outlineLevel="0" collapsed="false">
      <c r="D773" s="9" t="s">
        <v>135</v>
      </c>
      <c r="E773" s="9" t="s">
        <v>136</v>
      </c>
      <c r="F773" s="9" t="s">
        <v>137</v>
      </c>
      <c r="G773" s="9" t="s">
        <v>138</v>
      </c>
      <c r="H773" s="9" t="s">
        <v>139</v>
      </c>
      <c r="I773" s="0" t="s">
        <v>33</v>
      </c>
      <c r="J773" s="9" t="s">
        <v>34</v>
      </c>
      <c r="K773" s="9" t="s">
        <v>30</v>
      </c>
      <c r="L773" s="9" t="s">
        <v>31</v>
      </c>
      <c r="M773" s="0" t="s">
        <v>140</v>
      </c>
      <c r="N773" s="0" t="n">
        <v>1253</v>
      </c>
      <c r="O773" s="10" t="n">
        <v>0.157674764050171</v>
      </c>
      <c r="P773" s="10" t="n">
        <v>0.955300528323278</v>
      </c>
      <c r="Q773" s="0" t="str">
        <f aca="false">SUBSTITUTE(SUBSTITUTE($I773,CHAR(61),""),CHAR(34),"")</f>
        <v>01-09</v>
      </c>
      <c r="R773" s="0" t="str">
        <f aca="false">IF($D773&lt;&gt;"","["&amp;$E773&amp;"]"&amp;"|"&amp;$Q773&amp;"|"&amp;$K773&amp;"|"&amp;$G773&amp;"|"&amp;IF($G773="TX_CURR_SUBNAT.R","CY2022Q4",$M773),"")</f>
        <v>[fiRkU6gEjLz]|01-09|Female|POP_EST.T_1|CY2023Q3</v>
      </c>
    </row>
    <row r="774" customFormat="false" ht="15" hidden="false" customHeight="false" outlineLevel="0" collapsed="false">
      <c r="D774" s="9" t="s">
        <v>135</v>
      </c>
      <c r="E774" s="9" t="s">
        <v>136</v>
      </c>
      <c r="F774" s="9" t="s">
        <v>137</v>
      </c>
      <c r="G774" s="9" t="s">
        <v>138</v>
      </c>
      <c r="H774" s="9" t="s">
        <v>139</v>
      </c>
      <c r="I774" s="0" t="s">
        <v>36</v>
      </c>
      <c r="J774" s="9" t="s">
        <v>37</v>
      </c>
      <c r="K774" s="9" t="s">
        <v>30</v>
      </c>
      <c r="L774" s="9" t="s">
        <v>31</v>
      </c>
      <c r="M774" s="0" t="s">
        <v>140</v>
      </c>
      <c r="N774" s="0" t="n">
        <v>610</v>
      </c>
      <c r="O774" s="10" t="n">
        <v>0.285917409230024</v>
      </c>
      <c r="P774" s="10" t="n">
        <v>0.955300528323278</v>
      </c>
      <c r="Q774" s="0" t="str">
        <f aca="false">SUBSTITUTE(SUBSTITUTE($I774,CHAR(61),""),CHAR(34),"")</f>
        <v>10-14</v>
      </c>
      <c r="R774" s="0" t="str">
        <f aca="false">IF($D774&lt;&gt;"","["&amp;$E774&amp;"]"&amp;"|"&amp;$Q774&amp;"|"&amp;$K774&amp;"|"&amp;$G774&amp;"|"&amp;IF($G774="TX_CURR_SUBNAT.R","CY2022Q4",$M774),"")</f>
        <v>[fiRkU6gEjLz]|10-14|Female|POP_EST.T_1|CY2023Q3</v>
      </c>
    </row>
    <row r="775" customFormat="false" ht="15" hidden="false" customHeight="false" outlineLevel="0" collapsed="false">
      <c r="D775" s="9" t="s">
        <v>135</v>
      </c>
      <c r="E775" s="9" t="s">
        <v>136</v>
      </c>
      <c r="F775" s="9" t="s">
        <v>137</v>
      </c>
      <c r="G775" s="9" t="s">
        <v>138</v>
      </c>
      <c r="H775" s="9" t="s">
        <v>139</v>
      </c>
      <c r="I775" s="0" t="s">
        <v>38</v>
      </c>
      <c r="J775" s="9" t="s">
        <v>39</v>
      </c>
      <c r="K775" s="9" t="s">
        <v>30</v>
      </c>
      <c r="L775" s="9" t="s">
        <v>31</v>
      </c>
      <c r="M775" s="0" t="s">
        <v>140</v>
      </c>
      <c r="N775" s="0" t="n">
        <v>677</v>
      </c>
      <c r="O775" s="10" t="n">
        <v>0.722233544569463</v>
      </c>
      <c r="P775" s="10" t="n">
        <v>0.955300528323278</v>
      </c>
      <c r="Q775" s="0" t="str">
        <f aca="false">SUBSTITUTE(SUBSTITUTE($I775,CHAR(61),""),CHAR(34),"")</f>
        <v>15-24</v>
      </c>
      <c r="R775" s="0" t="str">
        <f aca="false">IF($D775&lt;&gt;"","["&amp;$E775&amp;"]"&amp;"|"&amp;$Q775&amp;"|"&amp;$K775&amp;"|"&amp;$G775&amp;"|"&amp;IF($G775="TX_CURR_SUBNAT.R","CY2022Q4",$M775),"")</f>
        <v>[fiRkU6gEjLz]|15-24|Female|POP_EST.T_1|CY2023Q3</v>
      </c>
    </row>
    <row r="776" customFormat="false" ht="15" hidden="false" customHeight="false" outlineLevel="0" collapsed="false">
      <c r="D776" s="9" t="s">
        <v>135</v>
      </c>
      <c r="E776" s="9" t="s">
        <v>136</v>
      </c>
      <c r="F776" s="9" t="s">
        <v>137</v>
      </c>
      <c r="G776" s="9" t="s">
        <v>138</v>
      </c>
      <c r="H776" s="9" t="s">
        <v>139</v>
      </c>
      <c r="I776" s="0" t="s">
        <v>41</v>
      </c>
      <c r="J776" s="9" t="s">
        <v>42</v>
      </c>
      <c r="K776" s="9" t="s">
        <v>30</v>
      </c>
      <c r="L776" s="9" t="s">
        <v>31</v>
      </c>
      <c r="M776" s="0" t="s">
        <v>140</v>
      </c>
      <c r="N776" s="0" t="n">
        <v>1015</v>
      </c>
      <c r="O776" s="10" t="n">
        <v>0.937944071134552</v>
      </c>
      <c r="P776" s="10" t="n">
        <v>0.955300528323278</v>
      </c>
      <c r="Q776" s="0" t="str">
        <f aca="false">SUBSTITUTE(SUBSTITUTE($I776,CHAR(61),""),CHAR(34),"")</f>
        <v>25-34</v>
      </c>
      <c r="R776" s="0" t="str">
        <f aca="false">IF($D776&lt;&gt;"","["&amp;$E776&amp;"]"&amp;"|"&amp;$Q776&amp;"|"&amp;$K776&amp;"|"&amp;$G776&amp;"|"&amp;IF($G776="TX_CURR_SUBNAT.R","CY2022Q4",$M776),"")</f>
        <v>[fiRkU6gEjLz]|25-34|Female|POP_EST.T_1|CY2023Q3</v>
      </c>
    </row>
    <row r="777" customFormat="false" ht="15" hidden="false" customHeight="false" outlineLevel="0" collapsed="false">
      <c r="D777" s="9" t="s">
        <v>135</v>
      </c>
      <c r="E777" s="9" t="s">
        <v>136</v>
      </c>
      <c r="F777" s="9" t="s">
        <v>137</v>
      </c>
      <c r="G777" s="9" t="s">
        <v>138</v>
      </c>
      <c r="H777" s="9" t="s">
        <v>139</v>
      </c>
      <c r="I777" s="0" t="s">
        <v>43</v>
      </c>
      <c r="J777" s="9" t="s">
        <v>44</v>
      </c>
      <c r="K777" s="9" t="s">
        <v>30</v>
      </c>
      <c r="L777" s="9" t="s">
        <v>31</v>
      </c>
      <c r="M777" s="0" t="s">
        <v>140</v>
      </c>
      <c r="N777" s="0" t="n">
        <v>769</v>
      </c>
      <c r="O777" s="10" t="n">
        <v>0.00722277630120516</v>
      </c>
      <c r="P777" s="10" t="n">
        <v>0.955300528323278</v>
      </c>
      <c r="Q777" s="0" t="str">
        <f aca="false">SUBSTITUTE(SUBSTITUTE($I777,CHAR(61),""),CHAR(34),"")</f>
        <v>35-49</v>
      </c>
      <c r="R777" s="0" t="str">
        <f aca="false">IF($D777&lt;&gt;"","["&amp;$E777&amp;"]"&amp;"|"&amp;$Q777&amp;"|"&amp;$K777&amp;"|"&amp;$G777&amp;"|"&amp;IF($G777="TX_CURR_SUBNAT.R","CY2022Q4",$M777),"")</f>
        <v>[fiRkU6gEjLz]|35-49|Female|POP_EST.T_1|CY2023Q3</v>
      </c>
    </row>
    <row r="778" customFormat="false" ht="15" hidden="false" customHeight="false" outlineLevel="0" collapsed="false">
      <c r="D778" s="9" t="s">
        <v>135</v>
      </c>
      <c r="E778" s="9" t="s">
        <v>136</v>
      </c>
      <c r="F778" s="9" t="s">
        <v>137</v>
      </c>
      <c r="G778" s="9" t="s">
        <v>138</v>
      </c>
      <c r="H778" s="9" t="s">
        <v>139</v>
      </c>
      <c r="I778" s="0" t="s">
        <v>45</v>
      </c>
      <c r="J778" s="9" t="s">
        <v>46</v>
      </c>
      <c r="K778" s="9" t="s">
        <v>30</v>
      </c>
      <c r="L778" s="9" t="s">
        <v>31</v>
      </c>
      <c r="M778" s="0" t="s">
        <v>140</v>
      </c>
      <c r="N778" s="0" t="n">
        <v>1519</v>
      </c>
      <c r="O778" s="10" t="n">
        <v>0.0627582706511021</v>
      </c>
      <c r="P778" s="10" t="n">
        <v>0.955300528323278</v>
      </c>
      <c r="Q778" s="0" t="str">
        <f aca="false">SUBSTITUTE(SUBSTITUTE($I778,CHAR(61),""),CHAR(34),"")</f>
        <v>50+</v>
      </c>
      <c r="R778" s="0" t="str">
        <f aca="false">IF($D778&lt;&gt;"","["&amp;$E778&amp;"]"&amp;"|"&amp;$Q778&amp;"|"&amp;$K778&amp;"|"&amp;$G778&amp;"|"&amp;IF($G778="TX_CURR_SUBNAT.R","CY2022Q4",$M778),"")</f>
        <v>[fiRkU6gEjLz]|50+|Female|POP_EST.T_1|CY2023Q3</v>
      </c>
    </row>
    <row r="779" customFormat="false" ht="15" hidden="false" customHeight="false" outlineLevel="0" collapsed="false">
      <c r="D779" s="9" t="s">
        <v>135</v>
      </c>
      <c r="E779" s="9" t="s">
        <v>136</v>
      </c>
      <c r="F779" s="9" t="s">
        <v>137</v>
      </c>
      <c r="G779" s="9" t="s">
        <v>138</v>
      </c>
      <c r="H779" s="9" t="s">
        <v>139</v>
      </c>
      <c r="I779" s="0" t="s">
        <v>28</v>
      </c>
      <c r="J779" s="9" t="s">
        <v>29</v>
      </c>
      <c r="K779" s="9" t="s">
        <v>48</v>
      </c>
      <c r="L779" s="9" t="s">
        <v>49</v>
      </c>
      <c r="M779" s="0" t="s">
        <v>140</v>
      </c>
      <c r="N779" s="0" t="n">
        <v>1790</v>
      </c>
      <c r="O779" s="10" t="n">
        <v>0.825334638822824</v>
      </c>
      <c r="P779" s="10" t="n">
        <v>0.955300528323278</v>
      </c>
      <c r="Q779" s="0" t="str">
        <f aca="false">SUBSTITUTE(SUBSTITUTE($I779,CHAR(61),""),CHAR(34),"")</f>
        <v>&lt;01</v>
      </c>
      <c r="R779" s="0" t="str">
        <f aca="false">IF($D779&lt;&gt;"","["&amp;$E779&amp;"]"&amp;"|"&amp;$Q779&amp;"|"&amp;$K779&amp;"|"&amp;$G779&amp;"|"&amp;IF($G779="TX_CURR_SUBNAT.R","CY2022Q4",$M779),"")</f>
        <v>[fiRkU6gEjLz]|&lt;01|Male|POP_EST.T_1|CY2023Q3</v>
      </c>
    </row>
    <row r="780" customFormat="false" ht="15" hidden="false" customHeight="false" outlineLevel="0" collapsed="false">
      <c r="D780" s="9" t="s">
        <v>135</v>
      </c>
      <c r="E780" s="9" t="s">
        <v>136</v>
      </c>
      <c r="F780" s="9" t="s">
        <v>137</v>
      </c>
      <c r="G780" s="9" t="s">
        <v>138</v>
      </c>
      <c r="H780" s="9" t="s">
        <v>139</v>
      </c>
      <c r="I780" s="0" t="s">
        <v>33</v>
      </c>
      <c r="J780" s="9" t="s">
        <v>34</v>
      </c>
      <c r="K780" s="9" t="s">
        <v>48</v>
      </c>
      <c r="L780" s="9" t="s">
        <v>49</v>
      </c>
      <c r="M780" s="0" t="s">
        <v>140</v>
      </c>
      <c r="N780" s="0" t="n">
        <v>503</v>
      </c>
      <c r="O780" s="10" t="n">
        <v>0.669946401845664</v>
      </c>
      <c r="P780" s="10" t="n">
        <v>0.955300528323278</v>
      </c>
      <c r="Q780" s="0" t="str">
        <f aca="false">SUBSTITUTE(SUBSTITUTE($I780,CHAR(61),""),CHAR(34),"")</f>
        <v>01-09</v>
      </c>
      <c r="R780" s="0" t="str">
        <f aca="false">IF($D780&lt;&gt;"","["&amp;$E780&amp;"]"&amp;"|"&amp;$Q780&amp;"|"&amp;$K780&amp;"|"&amp;$G780&amp;"|"&amp;IF($G780="TX_CURR_SUBNAT.R","CY2022Q4",$M780),"")</f>
        <v>[fiRkU6gEjLz]|01-09|Male|POP_EST.T_1|CY2023Q3</v>
      </c>
    </row>
    <row r="781" customFormat="false" ht="15" hidden="false" customHeight="false" outlineLevel="0" collapsed="false">
      <c r="D781" s="9" t="s">
        <v>135</v>
      </c>
      <c r="E781" s="9" t="s">
        <v>136</v>
      </c>
      <c r="F781" s="9" t="s">
        <v>137</v>
      </c>
      <c r="G781" s="9" t="s">
        <v>138</v>
      </c>
      <c r="H781" s="9" t="s">
        <v>139</v>
      </c>
      <c r="I781" s="0" t="s">
        <v>36</v>
      </c>
      <c r="J781" s="9" t="s">
        <v>37</v>
      </c>
      <c r="K781" s="9" t="s">
        <v>48</v>
      </c>
      <c r="L781" s="9" t="s">
        <v>49</v>
      </c>
      <c r="M781" s="0" t="s">
        <v>140</v>
      </c>
      <c r="N781" s="0" t="n">
        <v>1127</v>
      </c>
      <c r="O781" s="10" t="n">
        <v>0.0411534591112286</v>
      </c>
      <c r="P781" s="10" t="n">
        <v>0.955300528323278</v>
      </c>
      <c r="Q781" s="0" t="str">
        <f aca="false">SUBSTITUTE(SUBSTITUTE($I781,CHAR(61),""),CHAR(34),"")</f>
        <v>10-14</v>
      </c>
      <c r="R781" s="0" t="str">
        <f aca="false">IF($D781&lt;&gt;"","["&amp;$E781&amp;"]"&amp;"|"&amp;$Q781&amp;"|"&amp;$K781&amp;"|"&amp;$G781&amp;"|"&amp;IF($G781="TX_CURR_SUBNAT.R","CY2022Q4",$M781),"")</f>
        <v>[fiRkU6gEjLz]|10-14|Male|POP_EST.T_1|CY2023Q3</v>
      </c>
    </row>
    <row r="782" customFormat="false" ht="15" hidden="false" customHeight="false" outlineLevel="0" collapsed="false">
      <c r="D782" s="9" t="s">
        <v>135</v>
      </c>
      <c r="E782" s="9" t="s">
        <v>136</v>
      </c>
      <c r="F782" s="9" t="s">
        <v>137</v>
      </c>
      <c r="G782" s="9" t="s">
        <v>138</v>
      </c>
      <c r="H782" s="9" t="s">
        <v>139</v>
      </c>
      <c r="I782" s="0" t="s">
        <v>38</v>
      </c>
      <c r="J782" s="9" t="s">
        <v>39</v>
      </c>
      <c r="K782" s="9" t="s">
        <v>48</v>
      </c>
      <c r="L782" s="9" t="s">
        <v>49</v>
      </c>
      <c r="M782" s="0" t="s">
        <v>140</v>
      </c>
      <c r="N782" s="0" t="n">
        <v>1940</v>
      </c>
      <c r="O782" s="10" t="n">
        <v>0.779193285154179</v>
      </c>
      <c r="P782" s="10" t="n">
        <v>0.955300528323278</v>
      </c>
      <c r="Q782" s="0" t="str">
        <f aca="false">SUBSTITUTE(SUBSTITUTE($I782,CHAR(61),""),CHAR(34),"")</f>
        <v>15-24</v>
      </c>
      <c r="R782" s="0" t="str">
        <f aca="false">IF($D782&lt;&gt;"","["&amp;$E782&amp;"]"&amp;"|"&amp;$Q782&amp;"|"&amp;$K782&amp;"|"&amp;$G782&amp;"|"&amp;IF($G782="TX_CURR_SUBNAT.R","CY2022Q4",$M782),"")</f>
        <v>[fiRkU6gEjLz]|15-24|Male|POP_EST.T_1|CY2023Q3</v>
      </c>
    </row>
    <row r="783" customFormat="false" ht="15" hidden="false" customHeight="false" outlineLevel="0" collapsed="false">
      <c r="D783" s="9" t="s">
        <v>135</v>
      </c>
      <c r="E783" s="9" t="s">
        <v>136</v>
      </c>
      <c r="F783" s="9" t="s">
        <v>137</v>
      </c>
      <c r="G783" s="9" t="s">
        <v>138</v>
      </c>
      <c r="H783" s="9" t="s">
        <v>139</v>
      </c>
      <c r="I783" s="0" t="s">
        <v>41</v>
      </c>
      <c r="J783" s="9" t="s">
        <v>42</v>
      </c>
      <c r="K783" s="9" t="s">
        <v>48</v>
      </c>
      <c r="L783" s="9" t="s">
        <v>49</v>
      </c>
      <c r="M783" s="0" t="s">
        <v>140</v>
      </c>
      <c r="N783" s="0" t="n">
        <v>1613</v>
      </c>
      <c r="O783" s="10" t="n">
        <v>0.942495836643502</v>
      </c>
      <c r="P783" s="10" t="n">
        <v>0.955300528323278</v>
      </c>
      <c r="Q783" s="0" t="str">
        <f aca="false">SUBSTITUTE(SUBSTITUTE($I783,CHAR(61),""),CHAR(34),"")</f>
        <v>25-34</v>
      </c>
      <c r="R783" s="0" t="str">
        <f aca="false">IF($D783&lt;&gt;"","["&amp;$E783&amp;"]"&amp;"|"&amp;$Q783&amp;"|"&amp;$K783&amp;"|"&amp;$G783&amp;"|"&amp;IF($G783="TX_CURR_SUBNAT.R","CY2022Q4",$M783),"")</f>
        <v>[fiRkU6gEjLz]|25-34|Male|POP_EST.T_1|CY2023Q3</v>
      </c>
    </row>
    <row r="784" customFormat="false" ht="15" hidden="false" customHeight="false" outlineLevel="0" collapsed="false">
      <c r="D784" s="9" t="s">
        <v>135</v>
      </c>
      <c r="E784" s="9" t="s">
        <v>136</v>
      </c>
      <c r="F784" s="9" t="s">
        <v>137</v>
      </c>
      <c r="G784" s="9" t="s">
        <v>138</v>
      </c>
      <c r="H784" s="9" t="s">
        <v>139</v>
      </c>
      <c r="I784" s="0" t="s">
        <v>43</v>
      </c>
      <c r="J784" s="9" t="s">
        <v>44</v>
      </c>
      <c r="K784" s="9" t="s">
        <v>48</v>
      </c>
      <c r="L784" s="9" t="s">
        <v>49</v>
      </c>
      <c r="M784" s="0" t="s">
        <v>140</v>
      </c>
      <c r="N784" s="0" t="n">
        <v>1172</v>
      </c>
      <c r="O784" s="10" t="n">
        <v>0.264979195781052</v>
      </c>
      <c r="P784" s="10" t="n">
        <v>0.955300528323278</v>
      </c>
      <c r="Q784" s="0" t="str">
        <f aca="false">SUBSTITUTE(SUBSTITUTE($I784,CHAR(61),""),CHAR(34),"")</f>
        <v>35-49</v>
      </c>
      <c r="R784" s="0" t="str">
        <f aca="false">IF($D784&lt;&gt;"","["&amp;$E784&amp;"]"&amp;"|"&amp;$Q784&amp;"|"&amp;$K784&amp;"|"&amp;$G784&amp;"|"&amp;IF($G784="TX_CURR_SUBNAT.R","CY2022Q4",$M784),"")</f>
        <v>[fiRkU6gEjLz]|35-49|Male|POP_EST.T_1|CY2023Q3</v>
      </c>
    </row>
    <row r="785" customFormat="false" ht="15" hidden="false" customHeight="false" outlineLevel="0" collapsed="false">
      <c r="D785" s="9" t="s">
        <v>135</v>
      </c>
      <c r="E785" s="9" t="s">
        <v>136</v>
      </c>
      <c r="F785" s="9" t="s">
        <v>137</v>
      </c>
      <c r="G785" s="9" t="s">
        <v>138</v>
      </c>
      <c r="H785" s="9" t="s">
        <v>139</v>
      </c>
      <c r="I785" s="0" t="s">
        <v>45</v>
      </c>
      <c r="J785" s="9" t="s">
        <v>46</v>
      </c>
      <c r="K785" s="9" t="s">
        <v>48</v>
      </c>
      <c r="L785" s="9" t="s">
        <v>49</v>
      </c>
      <c r="M785" s="0" t="s">
        <v>140</v>
      </c>
      <c r="N785" s="0" t="n">
        <v>536</v>
      </c>
      <c r="O785" s="10" t="n">
        <v>0.00504544610157609</v>
      </c>
      <c r="P785" s="10" t="n">
        <v>0.955300528323278</v>
      </c>
      <c r="Q785" s="0" t="str">
        <f aca="false">SUBSTITUTE(SUBSTITUTE($I785,CHAR(61),""),CHAR(34),"")</f>
        <v>50+</v>
      </c>
      <c r="R785" s="0" t="str">
        <f aca="false">IF($D785&lt;&gt;"","["&amp;$E785&amp;"]"&amp;"|"&amp;$Q785&amp;"|"&amp;$K785&amp;"|"&amp;$G785&amp;"|"&amp;IF($G785="TX_CURR_SUBNAT.R","CY2022Q4",$M785),"")</f>
        <v>[fiRkU6gEjLz]|50+|Male|POP_EST.T_1|CY2023Q3</v>
      </c>
    </row>
    <row r="786" customFormat="false" ht="15" hidden="false" customHeight="false" outlineLevel="0" collapsed="false">
      <c r="D786" s="9" t="s">
        <v>23</v>
      </c>
      <c r="E786" s="9" t="s">
        <v>24</v>
      </c>
      <c r="F786" s="9" t="s">
        <v>25</v>
      </c>
      <c r="G786" s="9" t="s">
        <v>141</v>
      </c>
      <c r="H786" s="9" t="s">
        <v>142</v>
      </c>
      <c r="I786" s="0" t="s">
        <v>28</v>
      </c>
      <c r="J786" s="9" t="s">
        <v>29</v>
      </c>
      <c r="K786" s="9" t="s">
        <v>30</v>
      </c>
      <c r="L786" s="9" t="s">
        <v>31</v>
      </c>
      <c r="M786" s="0" t="s">
        <v>140</v>
      </c>
      <c r="N786" s="0" t="n">
        <v>716</v>
      </c>
      <c r="O786" s="10" t="n">
        <v>0.254671046044677</v>
      </c>
      <c r="P786" s="10" t="n">
        <v>0.404358610976487</v>
      </c>
      <c r="Q786" s="0" t="str">
        <f aca="false">SUBSTITUTE(SUBSTITUTE($I786,CHAR(61),""),CHAR(34),"")</f>
        <v>&lt;01</v>
      </c>
      <c r="R786" s="0" t="str">
        <f aca="false">IF($D786&lt;&gt;"","["&amp;$E786&amp;"]"&amp;"|"&amp;$Q786&amp;"|"&amp;$K786&amp;"|"&amp;$G786&amp;"|"&amp;IF($G786="TX_CURR_SUBNAT.R","CY2022Q4",$M786),"")</f>
        <v>[GkIwZrXy1h2]|&lt;01|Female|HIV_PREV.T_1|CY2023Q3</v>
      </c>
    </row>
    <row r="787" customFormat="false" ht="15" hidden="false" customHeight="false" outlineLevel="0" collapsed="false">
      <c r="D787" s="9" t="s">
        <v>23</v>
      </c>
      <c r="E787" s="9" t="s">
        <v>24</v>
      </c>
      <c r="F787" s="9" t="s">
        <v>25</v>
      </c>
      <c r="G787" s="9" t="s">
        <v>141</v>
      </c>
      <c r="H787" s="9" t="s">
        <v>142</v>
      </c>
      <c r="I787" s="0" t="s">
        <v>33</v>
      </c>
      <c r="J787" s="9" t="s">
        <v>34</v>
      </c>
      <c r="K787" s="9" t="s">
        <v>30</v>
      </c>
      <c r="L787" s="9" t="s">
        <v>31</v>
      </c>
      <c r="M787" s="0" t="s">
        <v>140</v>
      </c>
      <c r="N787" s="0" t="n">
        <v>1189</v>
      </c>
      <c r="O787" s="10" t="n">
        <v>0.863873343914747</v>
      </c>
      <c r="P787" s="10" t="n">
        <v>0.404358610976487</v>
      </c>
      <c r="Q787" s="0" t="str">
        <f aca="false">SUBSTITUTE(SUBSTITUTE($I787,CHAR(61),""),CHAR(34),"")</f>
        <v>01-09</v>
      </c>
      <c r="R787" s="0" t="str">
        <f aca="false">IF($D787&lt;&gt;"","["&amp;$E787&amp;"]"&amp;"|"&amp;$Q787&amp;"|"&amp;$K787&amp;"|"&amp;$G787&amp;"|"&amp;IF($G787="TX_CURR_SUBNAT.R","CY2022Q4",$M787),"")</f>
        <v>[GkIwZrXy1h2]|01-09|Female|HIV_PREV.T_1|CY2023Q3</v>
      </c>
    </row>
    <row r="788" customFormat="false" ht="15" hidden="false" customHeight="false" outlineLevel="0" collapsed="false">
      <c r="D788" s="9" t="s">
        <v>23</v>
      </c>
      <c r="E788" s="9" t="s">
        <v>24</v>
      </c>
      <c r="F788" s="9" t="s">
        <v>25</v>
      </c>
      <c r="G788" s="9" t="s">
        <v>141</v>
      </c>
      <c r="H788" s="9" t="s">
        <v>142</v>
      </c>
      <c r="I788" s="0" t="s">
        <v>36</v>
      </c>
      <c r="J788" s="9" t="s">
        <v>37</v>
      </c>
      <c r="K788" s="9" t="s">
        <v>30</v>
      </c>
      <c r="L788" s="9" t="s">
        <v>31</v>
      </c>
      <c r="M788" s="0" t="s">
        <v>140</v>
      </c>
      <c r="N788" s="0" t="n">
        <v>1822</v>
      </c>
      <c r="O788" s="10" t="n">
        <v>0.623848446644843</v>
      </c>
      <c r="P788" s="10" t="n">
        <v>0.404358610976487</v>
      </c>
      <c r="Q788" s="0" t="str">
        <f aca="false">SUBSTITUTE(SUBSTITUTE($I788,CHAR(61),""),CHAR(34),"")</f>
        <v>10-14</v>
      </c>
      <c r="R788" s="0" t="str">
        <f aca="false">IF($D788&lt;&gt;"","["&amp;$E788&amp;"]"&amp;"|"&amp;$Q788&amp;"|"&amp;$K788&amp;"|"&amp;$G788&amp;"|"&amp;IF($G788="TX_CURR_SUBNAT.R","CY2022Q4",$M788),"")</f>
        <v>[GkIwZrXy1h2]|10-14|Female|HIV_PREV.T_1|CY2023Q3</v>
      </c>
    </row>
    <row r="789" customFormat="false" ht="15" hidden="false" customHeight="false" outlineLevel="0" collapsed="false">
      <c r="D789" s="9" t="s">
        <v>23</v>
      </c>
      <c r="E789" s="9" t="s">
        <v>24</v>
      </c>
      <c r="F789" s="9" t="s">
        <v>25</v>
      </c>
      <c r="G789" s="9" t="s">
        <v>141</v>
      </c>
      <c r="H789" s="9" t="s">
        <v>142</v>
      </c>
      <c r="I789" s="0" t="s">
        <v>38</v>
      </c>
      <c r="J789" s="9" t="s">
        <v>39</v>
      </c>
      <c r="K789" s="9" t="s">
        <v>30</v>
      </c>
      <c r="L789" s="9" t="s">
        <v>31</v>
      </c>
      <c r="M789" s="0" t="s">
        <v>140</v>
      </c>
      <c r="N789" s="0" t="n">
        <v>1369</v>
      </c>
      <c r="O789" s="10" t="n">
        <v>0.901290012756363</v>
      </c>
      <c r="P789" s="10" t="n">
        <v>0.404358610976487</v>
      </c>
      <c r="Q789" s="0" t="str">
        <f aca="false">SUBSTITUTE(SUBSTITUTE($I789,CHAR(61),""),CHAR(34),"")</f>
        <v>15-24</v>
      </c>
      <c r="R789" s="0" t="str">
        <f aca="false">IF($D789&lt;&gt;"","["&amp;$E789&amp;"]"&amp;"|"&amp;$Q789&amp;"|"&amp;$K789&amp;"|"&amp;$G789&amp;"|"&amp;IF($G789="TX_CURR_SUBNAT.R","CY2022Q4",$M789),"")</f>
        <v>[GkIwZrXy1h2]|15-24|Female|HIV_PREV.T_1|CY2023Q3</v>
      </c>
    </row>
    <row r="790" customFormat="false" ht="15" hidden="false" customHeight="false" outlineLevel="0" collapsed="false">
      <c r="D790" s="9" t="s">
        <v>23</v>
      </c>
      <c r="E790" s="9" t="s">
        <v>24</v>
      </c>
      <c r="F790" s="9" t="s">
        <v>25</v>
      </c>
      <c r="G790" s="9" t="s">
        <v>141</v>
      </c>
      <c r="H790" s="9" t="s">
        <v>142</v>
      </c>
      <c r="I790" s="0" t="s">
        <v>41</v>
      </c>
      <c r="J790" s="9" t="s">
        <v>42</v>
      </c>
      <c r="K790" s="9" t="s">
        <v>30</v>
      </c>
      <c r="L790" s="9" t="s">
        <v>31</v>
      </c>
      <c r="M790" s="0" t="s">
        <v>140</v>
      </c>
      <c r="N790" s="0" t="n">
        <v>771</v>
      </c>
      <c r="O790" s="10" t="n">
        <v>0.076137613505125</v>
      </c>
      <c r="P790" s="10" t="n">
        <v>0.404358610976487</v>
      </c>
      <c r="Q790" s="0" t="str">
        <f aca="false">SUBSTITUTE(SUBSTITUTE($I790,CHAR(61),""),CHAR(34),"")</f>
        <v>25-34</v>
      </c>
      <c r="R790" s="0" t="str">
        <f aca="false">IF($D790&lt;&gt;"","["&amp;$E790&amp;"]"&amp;"|"&amp;$Q790&amp;"|"&amp;$K790&amp;"|"&amp;$G790&amp;"|"&amp;IF($G790="TX_CURR_SUBNAT.R","CY2022Q4",$M790),"")</f>
        <v>[GkIwZrXy1h2]|25-34|Female|HIV_PREV.T_1|CY2023Q3</v>
      </c>
    </row>
    <row r="791" customFormat="false" ht="15" hidden="false" customHeight="false" outlineLevel="0" collapsed="false">
      <c r="D791" s="9" t="s">
        <v>23</v>
      </c>
      <c r="E791" s="9" t="s">
        <v>24</v>
      </c>
      <c r="F791" s="9" t="s">
        <v>25</v>
      </c>
      <c r="G791" s="9" t="s">
        <v>141</v>
      </c>
      <c r="H791" s="9" t="s">
        <v>142</v>
      </c>
      <c r="I791" s="0" t="s">
        <v>43</v>
      </c>
      <c r="J791" s="9" t="s">
        <v>44</v>
      </c>
      <c r="K791" s="9" t="s">
        <v>30</v>
      </c>
      <c r="L791" s="9" t="s">
        <v>31</v>
      </c>
      <c r="M791" s="0" t="s">
        <v>140</v>
      </c>
      <c r="N791" s="0" t="n">
        <v>1179</v>
      </c>
      <c r="O791" s="10" t="n">
        <v>0.197182262782007</v>
      </c>
      <c r="P791" s="10" t="n">
        <v>0.404358610976487</v>
      </c>
      <c r="Q791" s="0" t="str">
        <f aca="false">SUBSTITUTE(SUBSTITUTE($I791,CHAR(61),""),CHAR(34),"")</f>
        <v>35-49</v>
      </c>
      <c r="R791" s="0" t="str">
        <f aca="false">IF($D791&lt;&gt;"","["&amp;$E791&amp;"]"&amp;"|"&amp;$Q791&amp;"|"&amp;$K791&amp;"|"&amp;$G791&amp;"|"&amp;IF($G791="TX_CURR_SUBNAT.R","CY2022Q4",$M791),"")</f>
        <v>[GkIwZrXy1h2]|35-49|Female|HIV_PREV.T_1|CY2023Q3</v>
      </c>
    </row>
    <row r="792" customFormat="false" ht="15" hidden="false" customHeight="false" outlineLevel="0" collapsed="false">
      <c r="D792" s="9" t="s">
        <v>23</v>
      </c>
      <c r="E792" s="9" t="s">
        <v>24</v>
      </c>
      <c r="F792" s="9" t="s">
        <v>25</v>
      </c>
      <c r="G792" s="9" t="s">
        <v>141</v>
      </c>
      <c r="H792" s="9" t="s">
        <v>142</v>
      </c>
      <c r="I792" s="0" t="s">
        <v>45</v>
      </c>
      <c r="J792" s="9" t="s">
        <v>46</v>
      </c>
      <c r="K792" s="9" t="s">
        <v>30</v>
      </c>
      <c r="L792" s="9" t="s">
        <v>31</v>
      </c>
      <c r="M792" s="0" t="s">
        <v>140</v>
      </c>
      <c r="N792" s="0" t="n">
        <v>1183</v>
      </c>
      <c r="O792" s="10" t="n">
        <v>0.978467801818624</v>
      </c>
      <c r="P792" s="10" t="n">
        <v>0.404358610976487</v>
      </c>
      <c r="Q792" s="0" t="str">
        <f aca="false">SUBSTITUTE(SUBSTITUTE($I792,CHAR(61),""),CHAR(34),"")</f>
        <v>50+</v>
      </c>
      <c r="R792" s="0" t="str">
        <f aca="false">IF($D792&lt;&gt;"","["&amp;$E792&amp;"]"&amp;"|"&amp;$Q792&amp;"|"&amp;$K792&amp;"|"&amp;$G792&amp;"|"&amp;IF($G792="TX_CURR_SUBNAT.R","CY2022Q4",$M792),"")</f>
        <v>[GkIwZrXy1h2]|50+|Female|HIV_PREV.T_1|CY2023Q3</v>
      </c>
    </row>
    <row r="793" customFormat="false" ht="15" hidden="false" customHeight="false" outlineLevel="0" collapsed="false">
      <c r="D793" s="9" t="s">
        <v>23</v>
      </c>
      <c r="E793" s="9" t="s">
        <v>24</v>
      </c>
      <c r="F793" s="9" t="s">
        <v>25</v>
      </c>
      <c r="G793" s="9" t="s">
        <v>141</v>
      </c>
      <c r="H793" s="9" t="s">
        <v>142</v>
      </c>
      <c r="I793" s="0" t="s">
        <v>28</v>
      </c>
      <c r="J793" s="9" t="s">
        <v>29</v>
      </c>
      <c r="K793" s="9" t="s">
        <v>48</v>
      </c>
      <c r="L793" s="9" t="s">
        <v>49</v>
      </c>
      <c r="M793" s="0" t="s">
        <v>140</v>
      </c>
      <c r="N793" s="0" t="n">
        <v>1204</v>
      </c>
      <c r="O793" s="10" t="n">
        <v>0.903026977088302</v>
      </c>
      <c r="P793" s="10" t="n">
        <v>0.404358610976487</v>
      </c>
      <c r="Q793" s="0" t="str">
        <f aca="false">SUBSTITUTE(SUBSTITUTE($I793,CHAR(61),""),CHAR(34),"")</f>
        <v>&lt;01</v>
      </c>
      <c r="R793" s="0" t="str">
        <f aca="false">IF($D793&lt;&gt;"","["&amp;$E793&amp;"]"&amp;"|"&amp;$Q793&amp;"|"&amp;$K793&amp;"|"&amp;$G793&amp;"|"&amp;IF($G793="TX_CURR_SUBNAT.R","CY2022Q4",$M793),"")</f>
        <v>[GkIwZrXy1h2]|&lt;01|Male|HIV_PREV.T_1|CY2023Q3</v>
      </c>
    </row>
    <row r="794" customFormat="false" ht="15" hidden="false" customHeight="false" outlineLevel="0" collapsed="false">
      <c r="D794" s="9" t="s">
        <v>23</v>
      </c>
      <c r="E794" s="9" t="s">
        <v>24</v>
      </c>
      <c r="F794" s="9" t="s">
        <v>25</v>
      </c>
      <c r="G794" s="9" t="s">
        <v>141</v>
      </c>
      <c r="H794" s="9" t="s">
        <v>142</v>
      </c>
      <c r="I794" s="0" t="s">
        <v>33</v>
      </c>
      <c r="J794" s="9" t="s">
        <v>34</v>
      </c>
      <c r="K794" s="9" t="s">
        <v>48</v>
      </c>
      <c r="L794" s="9" t="s">
        <v>49</v>
      </c>
      <c r="M794" s="0" t="s">
        <v>140</v>
      </c>
      <c r="N794" s="0" t="n">
        <v>606</v>
      </c>
      <c r="O794" s="10" t="n">
        <v>0.279688221635297</v>
      </c>
      <c r="P794" s="10" t="n">
        <v>0.404358610976487</v>
      </c>
      <c r="Q794" s="0" t="str">
        <f aca="false">SUBSTITUTE(SUBSTITUTE($I794,CHAR(61),""),CHAR(34),"")</f>
        <v>01-09</v>
      </c>
      <c r="R794" s="0" t="str">
        <f aca="false">IF($D794&lt;&gt;"","["&amp;$E794&amp;"]"&amp;"|"&amp;$Q794&amp;"|"&amp;$K794&amp;"|"&amp;$G794&amp;"|"&amp;IF($G794="TX_CURR_SUBNAT.R","CY2022Q4",$M794),"")</f>
        <v>[GkIwZrXy1h2]|01-09|Male|HIV_PREV.T_1|CY2023Q3</v>
      </c>
    </row>
    <row r="795" customFormat="false" ht="15" hidden="false" customHeight="false" outlineLevel="0" collapsed="false">
      <c r="D795" s="9" t="s">
        <v>23</v>
      </c>
      <c r="E795" s="9" t="s">
        <v>24</v>
      </c>
      <c r="F795" s="9" t="s">
        <v>25</v>
      </c>
      <c r="G795" s="9" t="s">
        <v>141</v>
      </c>
      <c r="H795" s="9" t="s">
        <v>142</v>
      </c>
      <c r="I795" s="0" t="s">
        <v>36</v>
      </c>
      <c r="J795" s="9" t="s">
        <v>37</v>
      </c>
      <c r="K795" s="9" t="s">
        <v>48</v>
      </c>
      <c r="L795" s="9" t="s">
        <v>49</v>
      </c>
      <c r="M795" s="0" t="s">
        <v>140</v>
      </c>
      <c r="N795" s="0" t="n">
        <v>1744</v>
      </c>
      <c r="O795" s="10" t="n">
        <v>0.764562132302672</v>
      </c>
      <c r="P795" s="10" t="n">
        <v>0.404358610976487</v>
      </c>
      <c r="Q795" s="0" t="str">
        <f aca="false">SUBSTITUTE(SUBSTITUTE($I795,CHAR(61),""),CHAR(34),"")</f>
        <v>10-14</v>
      </c>
      <c r="R795" s="0" t="str">
        <f aca="false">IF($D795&lt;&gt;"","["&amp;$E795&amp;"]"&amp;"|"&amp;$Q795&amp;"|"&amp;$K795&amp;"|"&amp;$G795&amp;"|"&amp;IF($G795="TX_CURR_SUBNAT.R","CY2022Q4",$M795),"")</f>
        <v>[GkIwZrXy1h2]|10-14|Male|HIV_PREV.T_1|CY2023Q3</v>
      </c>
    </row>
    <row r="796" customFormat="false" ht="15" hidden="false" customHeight="false" outlineLevel="0" collapsed="false">
      <c r="D796" s="9" t="s">
        <v>23</v>
      </c>
      <c r="E796" s="9" t="s">
        <v>24</v>
      </c>
      <c r="F796" s="9" t="s">
        <v>25</v>
      </c>
      <c r="G796" s="9" t="s">
        <v>141</v>
      </c>
      <c r="H796" s="9" t="s">
        <v>142</v>
      </c>
      <c r="I796" s="0" t="s">
        <v>38</v>
      </c>
      <c r="J796" s="9" t="s">
        <v>39</v>
      </c>
      <c r="K796" s="9" t="s">
        <v>48</v>
      </c>
      <c r="L796" s="9" t="s">
        <v>49</v>
      </c>
      <c r="M796" s="0" t="s">
        <v>140</v>
      </c>
      <c r="N796" s="0" t="n">
        <v>1784</v>
      </c>
      <c r="O796" s="10" t="n">
        <v>0.441026337677613</v>
      </c>
      <c r="P796" s="10" t="n">
        <v>0.404358610976487</v>
      </c>
      <c r="Q796" s="0" t="str">
        <f aca="false">SUBSTITUTE(SUBSTITUTE($I796,CHAR(61),""),CHAR(34),"")</f>
        <v>15-24</v>
      </c>
      <c r="R796" s="0" t="str">
        <f aca="false">IF($D796&lt;&gt;"","["&amp;$E796&amp;"]"&amp;"|"&amp;$Q796&amp;"|"&amp;$K796&amp;"|"&amp;$G796&amp;"|"&amp;IF($G796="TX_CURR_SUBNAT.R","CY2022Q4",$M796),"")</f>
        <v>[GkIwZrXy1h2]|15-24|Male|HIV_PREV.T_1|CY2023Q3</v>
      </c>
    </row>
    <row r="797" customFormat="false" ht="15" hidden="false" customHeight="false" outlineLevel="0" collapsed="false">
      <c r="D797" s="9" t="s">
        <v>23</v>
      </c>
      <c r="E797" s="9" t="s">
        <v>24</v>
      </c>
      <c r="F797" s="9" t="s">
        <v>25</v>
      </c>
      <c r="G797" s="9" t="s">
        <v>141</v>
      </c>
      <c r="H797" s="9" t="s">
        <v>142</v>
      </c>
      <c r="I797" s="0" t="s">
        <v>41</v>
      </c>
      <c r="J797" s="9" t="s">
        <v>42</v>
      </c>
      <c r="K797" s="9" t="s">
        <v>48</v>
      </c>
      <c r="L797" s="9" t="s">
        <v>49</v>
      </c>
      <c r="M797" s="0" t="s">
        <v>140</v>
      </c>
      <c r="N797" s="0" t="n">
        <v>838</v>
      </c>
      <c r="O797" s="10" t="n">
        <v>0.595303491689265</v>
      </c>
      <c r="P797" s="10" t="n">
        <v>0.404358610976487</v>
      </c>
      <c r="Q797" s="0" t="str">
        <f aca="false">SUBSTITUTE(SUBSTITUTE($I797,CHAR(61),""),CHAR(34),"")</f>
        <v>25-34</v>
      </c>
      <c r="R797" s="0" t="str">
        <f aca="false">IF($D797&lt;&gt;"","["&amp;$E797&amp;"]"&amp;"|"&amp;$Q797&amp;"|"&amp;$K797&amp;"|"&amp;$G797&amp;"|"&amp;IF($G797="TX_CURR_SUBNAT.R","CY2022Q4",$M797),"")</f>
        <v>[GkIwZrXy1h2]|25-34|Male|HIV_PREV.T_1|CY2023Q3</v>
      </c>
    </row>
    <row r="798" customFormat="false" ht="15" hidden="false" customHeight="false" outlineLevel="0" collapsed="false">
      <c r="D798" s="9" t="s">
        <v>23</v>
      </c>
      <c r="E798" s="9" t="s">
        <v>24</v>
      </c>
      <c r="F798" s="9" t="s">
        <v>25</v>
      </c>
      <c r="G798" s="9" t="s">
        <v>141</v>
      </c>
      <c r="H798" s="9" t="s">
        <v>142</v>
      </c>
      <c r="I798" s="0" t="s">
        <v>43</v>
      </c>
      <c r="J798" s="9" t="s">
        <v>44</v>
      </c>
      <c r="K798" s="9" t="s">
        <v>48</v>
      </c>
      <c r="L798" s="9" t="s">
        <v>49</v>
      </c>
      <c r="M798" s="0" t="s">
        <v>140</v>
      </c>
      <c r="N798" s="0" t="n">
        <v>987</v>
      </c>
      <c r="O798" s="10" t="n">
        <v>0.830671157687902</v>
      </c>
      <c r="P798" s="10" t="n">
        <v>0.404358610976487</v>
      </c>
      <c r="Q798" s="0" t="str">
        <f aca="false">SUBSTITUTE(SUBSTITUTE($I798,CHAR(61),""),CHAR(34),"")</f>
        <v>35-49</v>
      </c>
      <c r="R798" s="0" t="str">
        <f aca="false">IF($D798&lt;&gt;"","["&amp;$E798&amp;"]"&amp;"|"&amp;$Q798&amp;"|"&amp;$K798&amp;"|"&amp;$G798&amp;"|"&amp;IF($G798="TX_CURR_SUBNAT.R","CY2022Q4",$M798),"")</f>
        <v>[GkIwZrXy1h2]|35-49|Male|HIV_PREV.T_1|CY2023Q3</v>
      </c>
    </row>
    <row r="799" customFormat="false" ht="15" hidden="false" customHeight="false" outlineLevel="0" collapsed="false">
      <c r="D799" s="9" t="s">
        <v>23</v>
      </c>
      <c r="E799" s="9" t="s">
        <v>24</v>
      </c>
      <c r="F799" s="9" t="s">
        <v>25</v>
      </c>
      <c r="G799" s="9" t="s">
        <v>141</v>
      </c>
      <c r="H799" s="9" t="s">
        <v>142</v>
      </c>
      <c r="I799" s="0" t="s">
        <v>45</v>
      </c>
      <c r="J799" s="9" t="s">
        <v>46</v>
      </c>
      <c r="K799" s="9" t="s">
        <v>48</v>
      </c>
      <c r="L799" s="9" t="s">
        <v>49</v>
      </c>
      <c r="M799" s="0" t="s">
        <v>140</v>
      </c>
      <c r="N799" s="0" t="n">
        <v>1130</v>
      </c>
      <c r="O799" s="10" t="n">
        <v>0.883587300078943</v>
      </c>
      <c r="P799" s="10" t="n">
        <v>0.404358610976487</v>
      </c>
      <c r="Q799" s="0" t="str">
        <f aca="false">SUBSTITUTE(SUBSTITUTE($I799,CHAR(61),""),CHAR(34),"")</f>
        <v>50+</v>
      </c>
      <c r="R799" s="0" t="str">
        <f aca="false">IF($D799&lt;&gt;"","["&amp;$E799&amp;"]"&amp;"|"&amp;$Q799&amp;"|"&amp;$K799&amp;"|"&amp;$G799&amp;"|"&amp;IF($G799="TX_CURR_SUBNAT.R","CY2022Q4",$M799),"")</f>
        <v>[GkIwZrXy1h2]|50+|Male|HIV_PREV.T_1|CY2023Q3</v>
      </c>
    </row>
    <row r="800" customFormat="false" ht="15" hidden="false" customHeight="false" outlineLevel="0" collapsed="false">
      <c r="D800" s="9" t="s">
        <v>53</v>
      </c>
      <c r="E800" s="9" t="s">
        <v>54</v>
      </c>
      <c r="F800" s="9" t="s">
        <v>55</v>
      </c>
      <c r="G800" s="9" t="s">
        <v>141</v>
      </c>
      <c r="H800" s="9" t="s">
        <v>142</v>
      </c>
      <c r="I800" s="0" t="s">
        <v>28</v>
      </c>
      <c r="J800" s="9" t="s">
        <v>29</v>
      </c>
      <c r="K800" s="9" t="s">
        <v>30</v>
      </c>
      <c r="L800" s="9" t="s">
        <v>31</v>
      </c>
      <c r="M800" s="0" t="s">
        <v>140</v>
      </c>
      <c r="N800" s="0" t="n">
        <v>1657</v>
      </c>
      <c r="O800" s="10" t="n">
        <v>0.201950876973569</v>
      </c>
      <c r="P800" s="10" t="n">
        <v>0.616392469964921</v>
      </c>
      <c r="Q800" s="0" t="str">
        <f aca="false">SUBSTITUTE(SUBSTITUTE($I800,CHAR(61),""),CHAR(34),"")</f>
        <v>&lt;01</v>
      </c>
      <c r="R800" s="0" t="str">
        <f aca="false">IF($D800&lt;&gt;"","["&amp;$E800&amp;"]"&amp;"|"&amp;$Q800&amp;"|"&amp;$K800&amp;"|"&amp;$G800&amp;"|"&amp;IF($G800="TX_CURR_SUBNAT.R","CY2022Q4",$M800),"")</f>
        <v>[zphK9WV8JB4]|&lt;01|Female|HIV_PREV.T_1|CY2023Q3</v>
      </c>
    </row>
    <row r="801" customFormat="false" ht="15" hidden="false" customHeight="false" outlineLevel="0" collapsed="false">
      <c r="D801" s="9" t="s">
        <v>53</v>
      </c>
      <c r="E801" s="9" t="s">
        <v>54</v>
      </c>
      <c r="F801" s="9" t="s">
        <v>55</v>
      </c>
      <c r="G801" s="9" t="s">
        <v>141</v>
      </c>
      <c r="H801" s="9" t="s">
        <v>142</v>
      </c>
      <c r="I801" s="0" t="s">
        <v>33</v>
      </c>
      <c r="J801" s="9" t="s">
        <v>34</v>
      </c>
      <c r="K801" s="9" t="s">
        <v>30</v>
      </c>
      <c r="L801" s="9" t="s">
        <v>31</v>
      </c>
      <c r="M801" s="0" t="s">
        <v>140</v>
      </c>
      <c r="N801" s="0" t="n">
        <v>1967</v>
      </c>
      <c r="O801" s="10" t="n">
        <v>0.838169089285657</v>
      </c>
      <c r="P801" s="10" t="n">
        <v>0.616392469964921</v>
      </c>
      <c r="Q801" s="0" t="str">
        <f aca="false">SUBSTITUTE(SUBSTITUTE($I801,CHAR(61),""),CHAR(34),"")</f>
        <v>01-09</v>
      </c>
      <c r="R801" s="0" t="str">
        <f aca="false">IF($D801&lt;&gt;"","["&amp;$E801&amp;"]"&amp;"|"&amp;$Q801&amp;"|"&amp;$K801&amp;"|"&amp;$G801&amp;"|"&amp;IF($G801="TX_CURR_SUBNAT.R","CY2022Q4",$M801),"")</f>
        <v>[zphK9WV8JB4]|01-09|Female|HIV_PREV.T_1|CY2023Q3</v>
      </c>
    </row>
    <row r="802" customFormat="false" ht="15" hidden="false" customHeight="false" outlineLevel="0" collapsed="false">
      <c r="D802" s="9" t="s">
        <v>53</v>
      </c>
      <c r="E802" s="9" t="s">
        <v>54</v>
      </c>
      <c r="F802" s="9" t="s">
        <v>55</v>
      </c>
      <c r="G802" s="9" t="s">
        <v>141</v>
      </c>
      <c r="H802" s="9" t="s">
        <v>142</v>
      </c>
      <c r="I802" s="0" t="s">
        <v>36</v>
      </c>
      <c r="J802" s="9" t="s">
        <v>37</v>
      </c>
      <c r="K802" s="9" t="s">
        <v>30</v>
      </c>
      <c r="L802" s="9" t="s">
        <v>31</v>
      </c>
      <c r="M802" s="0" t="s">
        <v>140</v>
      </c>
      <c r="N802" s="0" t="n">
        <v>1550</v>
      </c>
      <c r="O802" s="10" t="n">
        <v>0.567142126616091</v>
      </c>
      <c r="P802" s="10" t="n">
        <v>0.616392469964921</v>
      </c>
      <c r="Q802" s="0" t="str">
        <f aca="false">SUBSTITUTE(SUBSTITUTE($I802,CHAR(61),""),CHAR(34),"")</f>
        <v>10-14</v>
      </c>
      <c r="R802" s="0" t="str">
        <f aca="false">IF($D802&lt;&gt;"","["&amp;$E802&amp;"]"&amp;"|"&amp;$Q802&amp;"|"&amp;$K802&amp;"|"&amp;$G802&amp;"|"&amp;IF($G802="TX_CURR_SUBNAT.R","CY2022Q4",$M802),"")</f>
        <v>[zphK9WV8JB4]|10-14|Female|HIV_PREV.T_1|CY2023Q3</v>
      </c>
    </row>
    <row r="803" customFormat="false" ht="15" hidden="false" customHeight="false" outlineLevel="0" collapsed="false">
      <c r="D803" s="9" t="s">
        <v>53</v>
      </c>
      <c r="E803" s="9" t="s">
        <v>54</v>
      </c>
      <c r="F803" s="9" t="s">
        <v>55</v>
      </c>
      <c r="G803" s="9" t="s">
        <v>141</v>
      </c>
      <c r="H803" s="9" t="s">
        <v>142</v>
      </c>
      <c r="I803" s="0" t="s">
        <v>38</v>
      </c>
      <c r="J803" s="9" t="s">
        <v>39</v>
      </c>
      <c r="K803" s="9" t="s">
        <v>30</v>
      </c>
      <c r="L803" s="9" t="s">
        <v>31</v>
      </c>
      <c r="M803" s="0" t="s">
        <v>140</v>
      </c>
      <c r="N803" s="0" t="n">
        <v>1645</v>
      </c>
      <c r="O803" s="10" t="n">
        <v>0.803112849360332</v>
      </c>
      <c r="P803" s="10" t="n">
        <v>0.616392469964921</v>
      </c>
      <c r="Q803" s="0" t="str">
        <f aca="false">SUBSTITUTE(SUBSTITUTE($I803,CHAR(61),""),CHAR(34),"")</f>
        <v>15-24</v>
      </c>
      <c r="R803" s="0" t="str">
        <f aca="false">IF($D803&lt;&gt;"","["&amp;$E803&amp;"]"&amp;"|"&amp;$Q803&amp;"|"&amp;$K803&amp;"|"&amp;$G803&amp;"|"&amp;IF($G803="TX_CURR_SUBNAT.R","CY2022Q4",$M803),"")</f>
        <v>[zphK9WV8JB4]|15-24|Female|HIV_PREV.T_1|CY2023Q3</v>
      </c>
    </row>
    <row r="804" customFormat="false" ht="15" hidden="false" customHeight="false" outlineLevel="0" collapsed="false">
      <c r="D804" s="9" t="s">
        <v>53</v>
      </c>
      <c r="E804" s="9" t="s">
        <v>54</v>
      </c>
      <c r="F804" s="9" t="s">
        <v>55</v>
      </c>
      <c r="G804" s="9" t="s">
        <v>141</v>
      </c>
      <c r="H804" s="9" t="s">
        <v>142</v>
      </c>
      <c r="I804" s="0" t="s">
        <v>41</v>
      </c>
      <c r="J804" s="9" t="s">
        <v>42</v>
      </c>
      <c r="K804" s="9" t="s">
        <v>30</v>
      </c>
      <c r="L804" s="9" t="s">
        <v>31</v>
      </c>
      <c r="M804" s="0" t="s">
        <v>140</v>
      </c>
      <c r="N804" s="0" t="n">
        <v>1117</v>
      </c>
      <c r="O804" s="10" t="n">
        <v>0.143871945794672</v>
      </c>
      <c r="P804" s="10" t="n">
        <v>0.616392469964921</v>
      </c>
      <c r="Q804" s="0" t="str">
        <f aca="false">SUBSTITUTE(SUBSTITUTE($I804,CHAR(61),""),CHAR(34),"")</f>
        <v>25-34</v>
      </c>
      <c r="R804" s="0" t="str">
        <f aca="false">IF($D804&lt;&gt;"","["&amp;$E804&amp;"]"&amp;"|"&amp;$Q804&amp;"|"&amp;$K804&amp;"|"&amp;$G804&amp;"|"&amp;IF($G804="TX_CURR_SUBNAT.R","CY2022Q4",$M804),"")</f>
        <v>[zphK9WV8JB4]|25-34|Female|HIV_PREV.T_1|CY2023Q3</v>
      </c>
    </row>
    <row r="805" customFormat="false" ht="15" hidden="false" customHeight="false" outlineLevel="0" collapsed="false">
      <c r="D805" s="9" t="s">
        <v>53</v>
      </c>
      <c r="E805" s="9" t="s">
        <v>54</v>
      </c>
      <c r="F805" s="9" t="s">
        <v>55</v>
      </c>
      <c r="G805" s="9" t="s">
        <v>141</v>
      </c>
      <c r="H805" s="9" t="s">
        <v>142</v>
      </c>
      <c r="I805" s="0" t="s">
        <v>43</v>
      </c>
      <c r="J805" s="9" t="s">
        <v>44</v>
      </c>
      <c r="K805" s="9" t="s">
        <v>30</v>
      </c>
      <c r="L805" s="9" t="s">
        <v>31</v>
      </c>
      <c r="M805" s="0" t="s">
        <v>140</v>
      </c>
      <c r="N805" s="0" t="n">
        <v>590</v>
      </c>
      <c r="O805" s="10" t="n">
        <v>0.410493603674695</v>
      </c>
      <c r="P805" s="10" t="n">
        <v>0.616392469964921</v>
      </c>
      <c r="Q805" s="0" t="str">
        <f aca="false">SUBSTITUTE(SUBSTITUTE($I805,CHAR(61),""),CHAR(34),"")</f>
        <v>35-49</v>
      </c>
      <c r="R805" s="0" t="str">
        <f aca="false">IF($D805&lt;&gt;"","["&amp;$E805&amp;"]"&amp;"|"&amp;$Q805&amp;"|"&amp;$K805&amp;"|"&amp;$G805&amp;"|"&amp;IF($G805="TX_CURR_SUBNAT.R","CY2022Q4",$M805),"")</f>
        <v>[zphK9WV8JB4]|35-49|Female|HIV_PREV.T_1|CY2023Q3</v>
      </c>
    </row>
    <row r="806" customFormat="false" ht="15" hidden="false" customHeight="false" outlineLevel="0" collapsed="false">
      <c r="D806" s="9" t="s">
        <v>53</v>
      </c>
      <c r="E806" s="9" t="s">
        <v>54</v>
      </c>
      <c r="F806" s="9" t="s">
        <v>55</v>
      </c>
      <c r="G806" s="9" t="s">
        <v>141</v>
      </c>
      <c r="H806" s="9" t="s">
        <v>142</v>
      </c>
      <c r="I806" s="0" t="s">
        <v>45</v>
      </c>
      <c r="J806" s="9" t="s">
        <v>46</v>
      </c>
      <c r="K806" s="9" t="s">
        <v>30</v>
      </c>
      <c r="L806" s="9" t="s">
        <v>31</v>
      </c>
      <c r="M806" s="0" t="s">
        <v>140</v>
      </c>
      <c r="N806" s="0" t="n">
        <v>621</v>
      </c>
      <c r="O806" s="10" t="n">
        <v>0.0453726486302912</v>
      </c>
      <c r="P806" s="10" t="n">
        <v>0.616392469964921</v>
      </c>
      <c r="Q806" s="0" t="str">
        <f aca="false">SUBSTITUTE(SUBSTITUTE($I806,CHAR(61),""),CHAR(34),"")</f>
        <v>50+</v>
      </c>
      <c r="R806" s="0" t="str">
        <f aca="false">IF($D806&lt;&gt;"","["&amp;$E806&amp;"]"&amp;"|"&amp;$Q806&amp;"|"&amp;$K806&amp;"|"&amp;$G806&amp;"|"&amp;IF($G806="TX_CURR_SUBNAT.R","CY2022Q4",$M806),"")</f>
        <v>[zphK9WV8JB4]|50+|Female|HIV_PREV.T_1|CY2023Q3</v>
      </c>
    </row>
    <row r="807" customFormat="false" ht="15" hidden="false" customHeight="false" outlineLevel="0" collapsed="false">
      <c r="D807" s="9" t="s">
        <v>53</v>
      </c>
      <c r="E807" s="9" t="s">
        <v>54</v>
      </c>
      <c r="F807" s="9" t="s">
        <v>55</v>
      </c>
      <c r="G807" s="9" t="s">
        <v>141</v>
      </c>
      <c r="H807" s="9" t="s">
        <v>142</v>
      </c>
      <c r="I807" s="0" t="s">
        <v>28</v>
      </c>
      <c r="J807" s="9" t="s">
        <v>29</v>
      </c>
      <c r="K807" s="9" t="s">
        <v>48</v>
      </c>
      <c r="L807" s="9" t="s">
        <v>49</v>
      </c>
      <c r="M807" s="0" t="s">
        <v>140</v>
      </c>
      <c r="N807" s="0" t="n">
        <v>1982</v>
      </c>
      <c r="O807" s="10" t="n">
        <v>0.596307744272053</v>
      </c>
      <c r="P807" s="10" t="n">
        <v>0.616392469964921</v>
      </c>
      <c r="Q807" s="0" t="str">
        <f aca="false">SUBSTITUTE(SUBSTITUTE($I807,CHAR(61),""),CHAR(34),"")</f>
        <v>&lt;01</v>
      </c>
      <c r="R807" s="0" t="str">
        <f aca="false">IF($D807&lt;&gt;"","["&amp;$E807&amp;"]"&amp;"|"&amp;$Q807&amp;"|"&amp;$K807&amp;"|"&amp;$G807&amp;"|"&amp;IF($G807="TX_CURR_SUBNAT.R","CY2022Q4",$M807),"")</f>
        <v>[zphK9WV8JB4]|&lt;01|Male|HIV_PREV.T_1|CY2023Q3</v>
      </c>
    </row>
    <row r="808" customFormat="false" ht="15" hidden="false" customHeight="false" outlineLevel="0" collapsed="false">
      <c r="D808" s="9" t="s">
        <v>53</v>
      </c>
      <c r="E808" s="9" t="s">
        <v>54</v>
      </c>
      <c r="F808" s="9" t="s">
        <v>55</v>
      </c>
      <c r="G808" s="9" t="s">
        <v>141</v>
      </c>
      <c r="H808" s="9" t="s">
        <v>142</v>
      </c>
      <c r="I808" s="0" t="s">
        <v>33</v>
      </c>
      <c r="J808" s="9" t="s">
        <v>34</v>
      </c>
      <c r="K808" s="9" t="s">
        <v>48</v>
      </c>
      <c r="L808" s="9" t="s">
        <v>49</v>
      </c>
      <c r="M808" s="0" t="s">
        <v>140</v>
      </c>
      <c r="N808" s="0" t="n">
        <v>813</v>
      </c>
      <c r="O808" s="10" t="n">
        <v>0.944838859606534</v>
      </c>
      <c r="P808" s="10" t="n">
        <v>0.616392469964921</v>
      </c>
      <c r="Q808" s="0" t="str">
        <f aca="false">SUBSTITUTE(SUBSTITUTE($I808,CHAR(61),""),CHAR(34),"")</f>
        <v>01-09</v>
      </c>
      <c r="R808" s="0" t="str">
        <f aca="false">IF($D808&lt;&gt;"","["&amp;$E808&amp;"]"&amp;"|"&amp;$Q808&amp;"|"&amp;$K808&amp;"|"&amp;$G808&amp;"|"&amp;IF($G808="TX_CURR_SUBNAT.R","CY2022Q4",$M808),"")</f>
        <v>[zphK9WV8JB4]|01-09|Male|HIV_PREV.T_1|CY2023Q3</v>
      </c>
    </row>
    <row r="809" customFormat="false" ht="15" hidden="false" customHeight="false" outlineLevel="0" collapsed="false">
      <c r="D809" s="9" t="s">
        <v>53</v>
      </c>
      <c r="E809" s="9" t="s">
        <v>54</v>
      </c>
      <c r="F809" s="9" t="s">
        <v>55</v>
      </c>
      <c r="G809" s="9" t="s">
        <v>141</v>
      </c>
      <c r="H809" s="9" t="s">
        <v>142</v>
      </c>
      <c r="I809" s="0" t="s">
        <v>36</v>
      </c>
      <c r="J809" s="9" t="s">
        <v>37</v>
      </c>
      <c r="K809" s="9" t="s">
        <v>48</v>
      </c>
      <c r="L809" s="9" t="s">
        <v>49</v>
      </c>
      <c r="M809" s="0" t="s">
        <v>140</v>
      </c>
      <c r="N809" s="0" t="n">
        <v>1402</v>
      </c>
      <c r="O809" s="10" t="n">
        <v>0.296729666879401</v>
      </c>
      <c r="P809" s="10" t="n">
        <v>0.616392469964921</v>
      </c>
      <c r="Q809" s="0" t="str">
        <f aca="false">SUBSTITUTE(SUBSTITUTE($I809,CHAR(61),""),CHAR(34),"")</f>
        <v>10-14</v>
      </c>
      <c r="R809" s="0" t="str">
        <f aca="false">IF($D809&lt;&gt;"","["&amp;$E809&amp;"]"&amp;"|"&amp;$Q809&amp;"|"&amp;$K809&amp;"|"&amp;$G809&amp;"|"&amp;IF($G809="TX_CURR_SUBNAT.R","CY2022Q4",$M809),"")</f>
        <v>[zphK9WV8JB4]|10-14|Male|HIV_PREV.T_1|CY2023Q3</v>
      </c>
    </row>
    <row r="810" customFormat="false" ht="15" hidden="false" customHeight="false" outlineLevel="0" collapsed="false">
      <c r="D810" s="9" t="s">
        <v>53</v>
      </c>
      <c r="E810" s="9" t="s">
        <v>54</v>
      </c>
      <c r="F810" s="9" t="s">
        <v>55</v>
      </c>
      <c r="G810" s="9" t="s">
        <v>141</v>
      </c>
      <c r="H810" s="9" t="s">
        <v>142</v>
      </c>
      <c r="I810" s="0" t="s">
        <v>38</v>
      </c>
      <c r="J810" s="9" t="s">
        <v>39</v>
      </c>
      <c r="K810" s="9" t="s">
        <v>48</v>
      </c>
      <c r="L810" s="9" t="s">
        <v>49</v>
      </c>
      <c r="M810" s="0" t="s">
        <v>140</v>
      </c>
      <c r="N810" s="0" t="n">
        <v>988</v>
      </c>
      <c r="O810" s="10" t="n">
        <v>0.108100582147017</v>
      </c>
      <c r="P810" s="10" t="n">
        <v>0.616392469964921</v>
      </c>
      <c r="Q810" s="0" t="str">
        <f aca="false">SUBSTITUTE(SUBSTITUTE($I810,CHAR(61),""),CHAR(34),"")</f>
        <v>15-24</v>
      </c>
      <c r="R810" s="0" t="str">
        <f aca="false">IF($D810&lt;&gt;"","["&amp;$E810&amp;"]"&amp;"|"&amp;$Q810&amp;"|"&amp;$K810&amp;"|"&amp;$G810&amp;"|"&amp;IF($G810="TX_CURR_SUBNAT.R","CY2022Q4",$M810),"")</f>
        <v>[zphK9WV8JB4]|15-24|Male|HIV_PREV.T_1|CY2023Q3</v>
      </c>
    </row>
    <row r="811" customFormat="false" ht="15" hidden="false" customHeight="false" outlineLevel="0" collapsed="false">
      <c r="D811" s="9" t="s">
        <v>53</v>
      </c>
      <c r="E811" s="9" t="s">
        <v>54</v>
      </c>
      <c r="F811" s="9" t="s">
        <v>55</v>
      </c>
      <c r="G811" s="9" t="s">
        <v>141</v>
      </c>
      <c r="H811" s="9" t="s">
        <v>142</v>
      </c>
      <c r="I811" s="0" t="s">
        <v>41</v>
      </c>
      <c r="J811" s="9" t="s">
        <v>42</v>
      </c>
      <c r="K811" s="9" t="s">
        <v>48</v>
      </c>
      <c r="L811" s="9" t="s">
        <v>49</v>
      </c>
      <c r="M811" s="0" t="s">
        <v>140</v>
      </c>
      <c r="N811" s="0" t="n">
        <v>1243</v>
      </c>
      <c r="O811" s="10" t="n">
        <v>0.473982863128185</v>
      </c>
      <c r="P811" s="10" t="n">
        <v>0.616392469964921</v>
      </c>
      <c r="Q811" s="0" t="str">
        <f aca="false">SUBSTITUTE(SUBSTITUTE($I811,CHAR(61),""),CHAR(34),"")</f>
        <v>25-34</v>
      </c>
      <c r="R811" s="0" t="str">
        <f aca="false">IF($D811&lt;&gt;"","["&amp;$E811&amp;"]"&amp;"|"&amp;$Q811&amp;"|"&amp;$K811&amp;"|"&amp;$G811&amp;"|"&amp;IF($G811="TX_CURR_SUBNAT.R","CY2022Q4",$M811),"")</f>
        <v>[zphK9WV8JB4]|25-34|Male|HIV_PREV.T_1|CY2023Q3</v>
      </c>
    </row>
    <row r="812" customFormat="false" ht="15" hidden="false" customHeight="false" outlineLevel="0" collapsed="false">
      <c r="D812" s="9" t="s">
        <v>53</v>
      </c>
      <c r="E812" s="9" t="s">
        <v>54</v>
      </c>
      <c r="F812" s="9" t="s">
        <v>55</v>
      </c>
      <c r="G812" s="9" t="s">
        <v>141</v>
      </c>
      <c r="H812" s="9" t="s">
        <v>142</v>
      </c>
      <c r="I812" s="0" t="s">
        <v>43</v>
      </c>
      <c r="J812" s="9" t="s">
        <v>44</v>
      </c>
      <c r="K812" s="9" t="s">
        <v>48</v>
      </c>
      <c r="L812" s="9" t="s">
        <v>49</v>
      </c>
      <c r="M812" s="0" t="s">
        <v>140</v>
      </c>
      <c r="N812" s="0" t="n">
        <v>532</v>
      </c>
      <c r="O812" s="10" t="n">
        <v>0.813941698521376</v>
      </c>
      <c r="P812" s="10" t="n">
        <v>0.616392469964921</v>
      </c>
      <c r="Q812" s="0" t="str">
        <f aca="false">SUBSTITUTE(SUBSTITUTE($I812,CHAR(61),""),CHAR(34),"")</f>
        <v>35-49</v>
      </c>
      <c r="R812" s="0" t="str">
        <f aca="false">IF($D812&lt;&gt;"","["&amp;$E812&amp;"]"&amp;"|"&amp;$Q812&amp;"|"&amp;$K812&amp;"|"&amp;$G812&amp;"|"&amp;IF($G812="TX_CURR_SUBNAT.R","CY2022Q4",$M812),"")</f>
        <v>[zphK9WV8JB4]|35-49|Male|HIV_PREV.T_1|CY2023Q3</v>
      </c>
    </row>
    <row r="813" customFormat="false" ht="15" hidden="false" customHeight="false" outlineLevel="0" collapsed="false">
      <c r="D813" s="9" t="s">
        <v>53</v>
      </c>
      <c r="E813" s="9" t="s">
        <v>54</v>
      </c>
      <c r="F813" s="9" t="s">
        <v>55</v>
      </c>
      <c r="G813" s="9" t="s">
        <v>141</v>
      </c>
      <c r="H813" s="9" t="s">
        <v>142</v>
      </c>
      <c r="I813" s="0" t="s">
        <v>45</v>
      </c>
      <c r="J813" s="9" t="s">
        <v>46</v>
      </c>
      <c r="K813" s="9" t="s">
        <v>48</v>
      </c>
      <c r="L813" s="9" t="s">
        <v>49</v>
      </c>
      <c r="M813" s="0" t="s">
        <v>140</v>
      </c>
      <c r="N813" s="0" t="n">
        <v>636</v>
      </c>
      <c r="O813" s="10" t="n">
        <v>0.740471374709159</v>
      </c>
      <c r="P813" s="10" t="n">
        <v>0.616392469964921</v>
      </c>
      <c r="Q813" s="0" t="str">
        <f aca="false">SUBSTITUTE(SUBSTITUTE($I813,CHAR(61),""),CHAR(34),"")</f>
        <v>50+</v>
      </c>
      <c r="R813" s="0" t="str">
        <f aca="false">IF($D813&lt;&gt;"","["&amp;$E813&amp;"]"&amp;"|"&amp;$Q813&amp;"|"&amp;$K813&amp;"|"&amp;$G813&amp;"|"&amp;IF($G813="TX_CURR_SUBNAT.R","CY2022Q4",$M813),"")</f>
        <v>[zphK9WV8JB4]|50+|Male|HIV_PREV.T_1|CY2023Q3</v>
      </c>
    </row>
    <row r="814" customFormat="false" ht="15" hidden="false" customHeight="false" outlineLevel="0" collapsed="false">
      <c r="D814" s="9" t="s">
        <v>60</v>
      </c>
      <c r="E814" s="9" t="s">
        <v>61</v>
      </c>
      <c r="F814" s="9" t="s">
        <v>62</v>
      </c>
      <c r="G814" s="9" t="s">
        <v>141</v>
      </c>
      <c r="H814" s="9" t="s">
        <v>142</v>
      </c>
      <c r="I814" s="0" t="s">
        <v>28</v>
      </c>
      <c r="J814" s="9" t="s">
        <v>29</v>
      </c>
      <c r="K814" s="9" t="s">
        <v>30</v>
      </c>
      <c r="L814" s="9" t="s">
        <v>31</v>
      </c>
      <c r="M814" s="0" t="s">
        <v>140</v>
      </c>
      <c r="N814" s="0" t="n">
        <v>1153</v>
      </c>
      <c r="O814" s="10" t="n">
        <v>0.549012402072549</v>
      </c>
      <c r="P814" s="10" t="n">
        <v>0.0268250561784953</v>
      </c>
      <c r="Q814" s="0" t="str">
        <f aca="false">SUBSTITUTE(SUBSTITUTE($I814,CHAR(61),""),CHAR(34),"")</f>
        <v>&lt;01</v>
      </c>
      <c r="R814" s="0" t="str">
        <f aca="false">IF($D814&lt;&gt;"","["&amp;$E814&amp;"]"&amp;"|"&amp;$Q814&amp;"|"&amp;$K814&amp;"|"&amp;$G814&amp;"|"&amp;IF($G814="TX_CURR_SUBNAT.R","CY2022Q4",$M814),"")</f>
        <v>[msW2zpIN7up]|&lt;01|Female|HIV_PREV.T_1|CY2023Q3</v>
      </c>
    </row>
    <row r="815" customFormat="false" ht="15" hidden="false" customHeight="false" outlineLevel="0" collapsed="false">
      <c r="D815" s="9" t="s">
        <v>60</v>
      </c>
      <c r="E815" s="9" t="s">
        <v>61</v>
      </c>
      <c r="F815" s="9" t="s">
        <v>62</v>
      </c>
      <c r="G815" s="9" t="s">
        <v>141</v>
      </c>
      <c r="H815" s="9" t="s">
        <v>142</v>
      </c>
      <c r="I815" s="0" t="s">
        <v>33</v>
      </c>
      <c r="J815" s="9" t="s">
        <v>34</v>
      </c>
      <c r="K815" s="9" t="s">
        <v>30</v>
      </c>
      <c r="L815" s="9" t="s">
        <v>31</v>
      </c>
      <c r="M815" s="0" t="s">
        <v>140</v>
      </c>
      <c r="N815" s="0" t="n">
        <v>623</v>
      </c>
      <c r="O815" s="10" t="n">
        <v>0.86534371948801</v>
      </c>
      <c r="P815" s="10" t="n">
        <v>0.0268250561784953</v>
      </c>
      <c r="Q815" s="0" t="str">
        <f aca="false">SUBSTITUTE(SUBSTITUTE($I815,CHAR(61),""),CHAR(34),"")</f>
        <v>01-09</v>
      </c>
      <c r="R815" s="0" t="str">
        <f aca="false">IF($D815&lt;&gt;"","["&amp;$E815&amp;"]"&amp;"|"&amp;$Q815&amp;"|"&amp;$K815&amp;"|"&amp;$G815&amp;"|"&amp;IF($G815="TX_CURR_SUBNAT.R","CY2022Q4",$M815),"")</f>
        <v>[msW2zpIN7up]|01-09|Female|HIV_PREV.T_1|CY2023Q3</v>
      </c>
    </row>
    <row r="816" customFormat="false" ht="15" hidden="false" customHeight="false" outlineLevel="0" collapsed="false">
      <c r="D816" s="9" t="s">
        <v>60</v>
      </c>
      <c r="E816" s="9" t="s">
        <v>61</v>
      </c>
      <c r="F816" s="9" t="s">
        <v>62</v>
      </c>
      <c r="G816" s="9" t="s">
        <v>141</v>
      </c>
      <c r="H816" s="9" t="s">
        <v>142</v>
      </c>
      <c r="I816" s="0" t="s">
        <v>36</v>
      </c>
      <c r="J816" s="9" t="s">
        <v>37</v>
      </c>
      <c r="K816" s="9" t="s">
        <v>30</v>
      </c>
      <c r="L816" s="9" t="s">
        <v>31</v>
      </c>
      <c r="M816" s="0" t="s">
        <v>140</v>
      </c>
      <c r="N816" s="0" t="n">
        <v>1937</v>
      </c>
      <c r="O816" s="10" t="n">
        <v>0.40854217344895</v>
      </c>
      <c r="P816" s="10" t="n">
        <v>0.0268250561784953</v>
      </c>
      <c r="Q816" s="0" t="str">
        <f aca="false">SUBSTITUTE(SUBSTITUTE($I816,CHAR(61),""),CHAR(34),"")</f>
        <v>10-14</v>
      </c>
      <c r="R816" s="0" t="str">
        <f aca="false">IF($D816&lt;&gt;"","["&amp;$E816&amp;"]"&amp;"|"&amp;$Q816&amp;"|"&amp;$K816&amp;"|"&amp;$G816&amp;"|"&amp;IF($G816="TX_CURR_SUBNAT.R","CY2022Q4",$M816),"")</f>
        <v>[msW2zpIN7up]|10-14|Female|HIV_PREV.T_1|CY2023Q3</v>
      </c>
    </row>
    <row r="817" customFormat="false" ht="15" hidden="false" customHeight="false" outlineLevel="0" collapsed="false">
      <c r="D817" s="9" t="s">
        <v>60</v>
      </c>
      <c r="E817" s="9" t="s">
        <v>61</v>
      </c>
      <c r="F817" s="9" t="s">
        <v>62</v>
      </c>
      <c r="G817" s="9" t="s">
        <v>141</v>
      </c>
      <c r="H817" s="9" t="s">
        <v>142</v>
      </c>
      <c r="I817" s="0" t="s">
        <v>38</v>
      </c>
      <c r="J817" s="9" t="s">
        <v>39</v>
      </c>
      <c r="K817" s="9" t="s">
        <v>30</v>
      </c>
      <c r="L817" s="9" t="s">
        <v>31</v>
      </c>
      <c r="M817" s="0" t="s">
        <v>140</v>
      </c>
      <c r="N817" s="0" t="n">
        <v>1947</v>
      </c>
      <c r="O817" s="10" t="n">
        <v>0.632436387939379</v>
      </c>
      <c r="P817" s="10" t="n">
        <v>0.0268250561784953</v>
      </c>
      <c r="Q817" s="0" t="str">
        <f aca="false">SUBSTITUTE(SUBSTITUTE($I817,CHAR(61),""),CHAR(34),"")</f>
        <v>15-24</v>
      </c>
      <c r="R817" s="0" t="str">
        <f aca="false">IF($D817&lt;&gt;"","["&amp;$E817&amp;"]"&amp;"|"&amp;$Q817&amp;"|"&amp;$K817&amp;"|"&amp;$G817&amp;"|"&amp;IF($G817="TX_CURR_SUBNAT.R","CY2022Q4",$M817),"")</f>
        <v>[msW2zpIN7up]|15-24|Female|HIV_PREV.T_1|CY2023Q3</v>
      </c>
    </row>
    <row r="818" customFormat="false" ht="15" hidden="false" customHeight="false" outlineLevel="0" collapsed="false">
      <c r="D818" s="9" t="s">
        <v>60</v>
      </c>
      <c r="E818" s="9" t="s">
        <v>61</v>
      </c>
      <c r="F818" s="9" t="s">
        <v>62</v>
      </c>
      <c r="G818" s="9" t="s">
        <v>141</v>
      </c>
      <c r="H818" s="9" t="s">
        <v>142</v>
      </c>
      <c r="I818" s="0" t="s">
        <v>41</v>
      </c>
      <c r="J818" s="9" t="s">
        <v>42</v>
      </c>
      <c r="K818" s="9" t="s">
        <v>30</v>
      </c>
      <c r="L818" s="9" t="s">
        <v>31</v>
      </c>
      <c r="M818" s="0" t="s">
        <v>140</v>
      </c>
      <c r="N818" s="0" t="n">
        <v>1128</v>
      </c>
      <c r="O818" s="10" t="n">
        <v>0.347934439312667</v>
      </c>
      <c r="P818" s="10" t="n">
        <v>0.0268250561784953</v>
      </c>
      <c r="Q818" s="0" t="str">
        <f aca="false">SUBSTITUTE(SUBSTITUTE($I818,CHAR(61),""),CHAR(34),"")</f>
        <v>25-34</v>
      </c>
      <c r="R818" s="0" t="str">
        <f aca="false">IF($D818&lt;&gt;"","["&amp;$E818&amp;"]"&amp;"|"&amp;$Q818&amp;"|"&amp;$K818&amp;"|"&amp;$G818&amp;"|"&amp;IF($G818="TX_CURR_SUBNAT.R","CY2022Q4",$M818),"")</f>
        <v>[msW2zpIN7up]|25-34|Female|HIV_PREV.T_1|CY2023Q3</v>
      </c>
    </row>
    <row r="819" customFormat="false" ht="15" hidden="false" customHeight="false" outlineLevel="0" collapsed="false">
      <c r="D819" s="9" t="s">
        <v>60</v>
      </c>
      <c r="E819" s="9" t="s">
        <v>61</v>
      </c>
      <c r="F819" s="9" t="s">
        <v>62</v>
      </c>
      <c r="G819" s="9" t="s">
        <v>141</v>
      </c>
      <c r="H819" s="9" t="s">
        <v>142</v>
      </c>
      <c r="I819" s="0" t="s">
        <v>43</v>
      </c>
      <c r="J819" s="9" t="s">
        <v>44</v>
      </c>
      <c r="K819" s="9" t="s">
        <v>30</v>
      </c>
      <c r="L819" s="9" t="s">
        <v>31</v>
      </c>
      <c r="M819" s="0" t="s">
        <v>140</v>
      </c>
      <c r="N819" s="0" t="n">
        <v>1962</v>
      </c>
      <c r="O819" s="10" t="n">
        <v>0.016987407580018</v>
      </c>
      <c r="P819" s="10" t="n">
        <v>0.0268250561784953</v>
      </c>
      <c r="Q819" s="0" t="str">
        <f aca="false">SUBSTITUTE(SUBSTITUTE($I819,CHAR(61),""),CHAR(34),"")</f>
        <v>35-49</v>
      </c>
      <c r="R819" s="0" t="str">
        <f aca="false">IF($D819&lt;&gt;"","["&amp;$E819&amp;"]"&amp;"|"&amp;$Q819&amp;"|"&amp;$K819&amp;"|"&amp;$G819&amp;"|"&amp;IF($G819="TX_CURR_SUBNAT.R","CY2022Q4",$M819),"")</f>
        <v>[msW2zpIN7up]|35-49|Female|HIV_PREV.T_1|CY2023Q3</v>
      </c>
    </row>
    <row r="820" customFormat="false" ht="15" hidden="false" customHeight="false" outlineLevel="0" collapsed="false">
      <c r="D820" s="9" t="s">
        <v>60</v>
      </c>
      <c r="E820" s="9" t="s">
        <v>61</v>
      </c>
      <c r="F820" s="9" t="s">
        <v>62</v>
      </c>
      <c r="G820" s="9" t="s">
        <v>141</v>
      </c>
      <c r="H820" s="9" t="s">
        <v>142</v>
      </c>
      <c r="I820" s="0" t="s">
        <v>45</v>
      </c>
      <c r="J820" s="9" t="s">
        <v>46</v>
      </c>
      <c r="K820" s="9" t="s">
        <v>30</v>
      </c>
      <c r="L820" s="9" t="s">
        <v>31</v>
      </c>
      <c r="M820" s="0" t="s">
        <v>140</v>
      </c>
      <c r="N820" s="0" t="n">
        <v>838</v>
      </c>
      <c r="O820" s="10" t="n">
        <v>0.901153657818213</v>
      </c>
      <c r="P820" s="10" t="n">
        <v>0.0268250561784953</v>
      </c>
      <c r="Q820" s="0" t="str">
        <f aca="false">SUBSTITUTE(SUBSTITUTE($I820,CHAR(61),""),CHAR(34),"")</f>
        <v>50+</v>
      </c>
      <c r="R820" s="0" t="str">
        <f aca="false">IF($D820&lt;&gt;"","["&amp;$E820&amp;"]"&amp;"|"&amp;$Q820&amp;"|"&amp;$K820&amp;"|"&amp;$G820&amp;"|"&amp;IF($G820="TX_CURR_SUBNAT.R","CY2022Q4",$M820),"")</f>
        <v>[msW2zpIN7up]|50+|Female|HIV_PREV.T_1|CY2023Q3</v>
      </c>
    </row>
    <row r="821" customFormat="false" ht="15" hidden="false" customHeight="false" outlineLevel="0" collapsed="false">
      <c r="D821" s="9" t="s">
        <v>60</v>
      </c>
      <c r="E821" s="9" t="s">
        <v>61</v>
      </c>
      <c r="F821" s="9" t="s">
        <v>62</v>
      </c>
      <c r="G821" s="9" t="s">
        <v>141</v>
      </c>
      <c r="H821" s="9" t="s">
        <v>142</v>
      </c>
      <c r="I821" s="0" t="s">
        <v>28</v>
      </c>
      <c r="J821" s="9" t="s">
        <v>29</v>
      </c>
      <c r="K821" s="9" t="s">
        <v>48</v>
      </c>
      <c r="L821" s="9" t="s">
        <v>49</v>
      </c>
      <c r="M821" s="0" t="s">
        <v>140</v>
      </c>
      <c r="N821" s="0" t="n">
        <v>586</v>
      </c>
      <c r="O821" s="10" t="n">
        <v>0.923848676029593</v>
      </c>
      <c r="P821" s="10" t="n">
        <v>0.0268250561784953</v>
      </c>
      <c r="Q821" s="0" t="str">
        <f aca="false">SUBSTITUTE(SUBSTITUTE($I821,CHAR(61),""),CHAR(34),"")</f>
        <v>&lt;01</v>
      </c>
      <c r="R821" s="0" t="str">
        <f aca="false">IF($D821&lt;&gt;"","["&amp;$E821&amp;"]"&amp;"|"&amp;$Q821&amp;"|"&amp;$K821&amp;"|"&amp;$G821&amp;"|"&amp;IF($G821="TX_CURR_SUBNAT.R","CY2022Q4",$M821),"")</f>
        <v>[msW2zpIN7up]|&lt;01|Male|HIV_PREV.T_1|CY2023Q3</v>
      </c>
    </row>
    <row r="822" customFormat="false" ht="15" hidden="false" customHeight="false" outlineLevel="0" collapsed="false">
      <c r="D822" s="9" t="s">
        <v>60</v>
      </c>
      <c r="E822" s="9" t="s">
        <v>61</v>
      </c>
      <c r="F822" s="9" t="s">
        <v>62</v>
      </c>
      <c r="G822" s="9" t="s">
        <v>141</v>
      </c>
      <c r="H822" s="9" t="s">
        <v>142</v>
      </c>
      <c r="I822" s="0" t="s">
        <v>33</v>
      </c>
      <c r="J822" s="9" t="s">
        <v>34</v>
      </c>
      <c r="K822" s="9" t="s">
        <v>48</v>
      </c>
      <c r="L822" s="9" t="s">
        <v>49</v>
      </c>
      <c r="M822" s="0" t="s">
        <v>140</v>
      </c>
      <c r="N822" s="0" t="n">
        <v>1425</v>
      </c>
      <c r="O822" s="10" t="n">
        <v>0.472993277246132</v>
      </c>
      <c r="P822" s="10" t="n">
        <v>0.0268250561784953</v>
      </c>
      <c r="Q822" s="0" t="str">
        <f aca="false">SUBSTITUTE(SUBSTITUTE($I822,CHAR(61),""),CHAR(34),"")</f>
        <v>01-09</v>
      </c>
      <c r="R822" s="0" t="str">
        <f aca="false">IF($D822&lt;&gt;"","["&amp;$E822&amp;"]"&amp;"|"&amp;$Q822&amp;"|"&amp;$K822&amp;"|"&amp;$G822&amp;"|"&amp;IF($G822="TX_CURR_SUBNAT.R","CY2022Q4",$M822),"")</f>
        <v>[msW2zpIN7up]|01-09|Male|HIV_PREV.T_1|CY2023Q3</v>
      </c>
    </row>
    <row r="823" customFormat="false" ht="15" hidden="false" customHeight="false" outlineLevel="0" collapsed="false">
      <c r="D823" s="9" t="s">
        <v>60</v>
      </c>
      <c r="E823" s="9" t="s">
        <v>61</v>
      </c>
      <c r="F823" s="9" t="s">
        <v>62</v>
      </c>
      <c r="G823" s="9" t="s">
        <v>141</v>
      </c>
      <c r="H823" s="9" t="s">
        <v>142</v>
      </c>
      <c r="I823" s="0" t="s">
        <v>36</v>
      </c>
      <c r="J823" s="9" t="s">
        <v>37</v>
      </c>
      <c r="K823" s="9" t="s">
        <v>48</v>
      </c>
      <c r="L823" s="9" t="s">
        <v>49</v>
      </c>
      <c r="M823" s="0" t="s">
        <v>140</v>
      </c>
      <c r="N823" s="0" t="n">
        <v>1066</v>
      </c>
      <c r="O823" s="10" t="n">
        <v>0.650775948539376</v>
      </c>
      <c r="P823" s="10" t="n">
        <v>0.0268250561784953</v>
      </c>
      <c r="Q823" s="0" t="str">
        <f aca="false">SUBSTITUTE(SUBSTITUTE($I823,CHAR(61),""),CHAR(34),"")</f>
        <v>10-14</v>
      </c>
      <c r="R823" s="0" t="str">
        <f aca="false">IF($D823&lt;&gt;"","["&amp;$E823&amp;"]"&amp;"|"&amp;$Q823&amp;"|"&amp;$K823&amp;"|"&amp;$G823&amp;"|"&amp;IF($G823="TX_CURR_SUBNAT.R","CY2022Q4",$M823),"")</f>
        <v>[msW2zpIN7up]|10-14|Male|HIV_PREV.T_1|CY2023Q3</v>
      </c>
    </row>
    <row r="824" customFormat="false" ht="15" hidden="false" customHeight="false" outlineLevel="0" collapsed="false">
      <c r="D824" s="9" t="s">
        <v>60</v>
      </c>
      <c r="E824" s="9" t="s">
        <v>61</v>
      </c>
      <c r="F824" s="9" t="s">
        <v>62</v>
      </c>
      <c r="G824" s="9" t="s">
        <v>141</v>
      </c>
      <c r="H824" s="9" t="s">
        <v>142</v>
      </c>
      <c r="I824" s="0" t="s">
        <v>38</v>
      </c>
      <c r="J824" s="9" t="s">
        <v>39</v>
      </c>
      <c r="K824" s="9" t="s">
        <v>48</v>
      </c>
      <c r="L824" s="9" t="s">
        <v>49</v>
      </c>
      <c r="M824" s="0" t="s">
        <v>140</v>
      </c>
      <c r="N824" s="0" t="n">
        <v>1984</v>
      </c>
      <c r="O824" s="10" t="n">
        <v>0.207708363886923</v>
      </c>
      <c r="P824" s="10" t="n">
        <v>0.0268250561784953</v>
      </c>
      <c r="Q824" s="0" t="str">
        <f aca="false">SUBSTITUTE(SUBSTITUTE($I824,CHAR(61),""),CHAR(34),"")</f>
        <v>15-24</v>
      </c>
      <c r="R824" s="0" t="str">
        <f aca="false">IF($D824&lt;&gt;"","["&amp;$E824&amp;"]"&amp;"|"&amp;$Q824&amp;"|"&amp;$K824&amp;"|"&amp;$G824&amp;"|"&amp;IF($G824="TX_CURR_SUBNAT.R","CY2022Q4",$M824),"")</f>
        <v>[msW2zpIN7up]|15-24|Male|HIV_PREV.T_1|CY2023Q3</v>
      </c>
    </row>
    <row r="825" customFormat="false" ht="15" hidden="false" customHeight="false" outlineLevel="0" collapsed="false">
      <c r="D825" s="9" t="s">
        <v>60</v>
      </c>
      <c r="E825" s="9" t="s">
        <v>61</v>
      </c>
      <c r="F825" s="9" t="s">
        <v>62</v>
      </c>
      <c r="G825" s="9" t="s">
        <v>141</v>
      </c>
      <c r="H825" s="9" t="s">
        <v>142</v>
      </c>
      <c r="I825" s="0" t="s">
        <v>41</v>
      </c>
      <c r="J825" s="9" t="s">
        <v>42</v>
      </c>
      <c r="K825" s="9" t="s">
        <v>48</v>
      </c>
      <c r="L825" s="9" t="s">
        <v>49</v>
      </c>
      <c r="M825" s="0" t="s">
        <v>140</v>
      </c>
      <c r="N825" s="0" t="n">
        <v>888</v>
      </c>
      <c r="O825" s="10" t="n">
        <v>0.162812877679244</v>
      </c>
      <c r="P825" s="10" t="n">
        <v>0.0268250561784953</v>
      </c>
      <c r="Q825" s="0" t="str">
        <f aca="false">SUBSTITUTE(SUBSTITUTE($I825,CHAR(61),""),CHAR(34),"")</f>
        <v>25-34</v>
      </c>
      <c r="R825" s="0" t="str">
        <f aca="false">IF($D825&lt;&gt;"","["&amp;$E825&amp;"]"&amp;"|"&amp;$Q825&amp;"|"&amp;$K825&amp;"|"&amp;$G825&amp;"|"&amp;IF($G825="TX_CURR_SUBNAT.R","CY2022Q4",$M825),"")</f>
        <v>[msW2zpIN7up]|25-34|Male|HIV_PREV.T_1|CY2023Q3</v>
      </c>
    </row>
    <row r="826" customFormat="false" ht="15" hidden="false" customHeight="false" outlineLevel="0" collapsed="false">
      <c r="D826" s="9" t="s">
        <v>60</v>
      </c>
      <c r="E826" s="9" t="s">
        <v>61</v>
      </c>
      <c r="F826" s="9" t="s">
        <v>62</v>
      </c>
      <c r="G826" s="9" t="s">
        <v>141</v>
      </c>
      <c r="H826" s="9" t="s">
        <v>142</v>
      </c>
      <c r="I826" s="0" t="s">
        <v>43</v>
      </c>
      <c r="J826" s="9" t="s">
        <v>44</v>
      </c>
      <c r="K826" s="9" t="s">
        <v>48</v>
      </c>
      <c r="L826" s="9" t="s">
        <v>49</v>
      </c>
      <c r="M826" s="0" t="s">
        <v>140</v>
      </c>
      <c r="N826" s="0" t="n">
        <v>1594</v>
      </c>
      <c r="O826" s="10" t="n">
        <v>0.948584988713264</v>
      </c>
      <c r="P826" s="10" t="n">
        <v>0.0268250561784953</v>
      </c>
      <c r="Q826" s="0" t="str">
        <f aca="false">SUBSTITUTE(SUBSTITUTE($I826,CHAR(61),""),CHAR(34),"")</f>
        <v>35-49</v>
      </c>
      <c r="R826" s="0" t="str">
        <f aca="false">IF($D826&lt;&gt;"","["&amp;$E826&amp;"]"&amp;"|"&amp;$Q826&amp;"|"&amp;$K826&amp;"|"&amp;$G826&amp;"|"&amp;IF($G826="TX_CURR_SUBNAT.R","CY2022Q4",$M826),"")</f>
        <v>[msW2zpIN7up]|35-49|Male|HIV_PREV.T_1|CY2023Q3</v>
      </c>
    </row>
    <row r="827" customFormat="false" ht="15" hidden="false" customHeight="false" outlineLevel="0" collapsed="false">
      <c r="D827" s="9" t="s">
        <v>60</v>
      </c>
      <c r="E827" s="9" t="s">
        <v>61</v>
      </c>
      <c r="F827" s="9" t="s">
        <v>62</v>
      </c>
      <c r="G827" s="9" t="s">
        <v>141</v>
      </c>
      <c r="H827" s="9" t="s">
        <v>142</v>
      </c>
      <c r="I827" s="0" t="s">
        <v>45</v>
      </c>
      <c r="J827" s="9" t="s">
        <v>46</v>
      </c>
      <c r="K827" s="9" t="s">
        <v>48</v>
      </c>
      <c r="L827" s="9" t="s">
        <v>49</v>
      </c>
      <c r="M827" s="0" t="s">
        <v>140</v>
      </c>
      <c r="N827" s="0" t="n">
        <v>1609</v>
      </c>
      <c r="O827" s="10" t="n">
        <v>0.66710559441708</v>
      </c>
      <c r="P827" s="10" t="n">
        <v>0.0268250561784953</v>
      </c>
      <c r="Q827" s="0" t="str">
        <f aca="false">SUBSTITUTE(SUBSTITUTE($I827,CHAR(61),""),CHAR(34),"")</f>
        <v>50+</v>
      </c>
      <c r="R827" s="0" t="str">
        <f aca="false">IF($D827&lt;&gt;"","["&amp;$E827&amp;"]"&amp;"|"&amp;$Q827&amp;"|"&amp;$K827&amp;"|"&amp;$G827&amp;"|"&amp;IF($G827="TX_CURR_SUBNAT.R","CY2022Q4",$M827),"")</f>
        <v>[msW2zpIN7up]|50+|Male|HIV_PREV.T_1|CY2023Q3</v>
      </c>
    </row>
    <row r="828" customFormat="false" ht="15" hidden="false" customHeight="false" outlineLevel="0" collapsed="false">
      <c r="D828" s="9" t="s">
        <v>63</v>
      </c>
      <c r="E828" s="9" t="s">
        <v>64</v>
      </c>
      <c r="F828" s="9" t="s">
        <v>65</v>
      </c>
      <c r="G828" s="9" t="s">
        <v>141</v>
      </c>
      <c r="H828" s="9" t="s">
        <v>142</v>
      </c>
      <c r="I828" s="0" t="s">
        <v>28</v>
      </c>
      <c r="J828" s="9" t="s">
        <v>29</v>
      </c>
      <c r="K828" s="9" t="s">
        <v>30</v>
      </c>
      <c r="L828" s="9" t="s">
        <v>31</v>
      </c>
      <c r="M828" s="0" t="s">
        <v>140</v>
      </c>
      <c r="N828" s="0" t="n">
        <v>931</v>
      </c>
      <c r="O828" s="10" t="n">
        <v>0.53823230182752</v>
      </c>
      <c r="P828" s="10" t="n">
        <v>0.790102193132043</v>
      </c>
      <c r="Q828" s="0" t="str">
        <f aca="false">SUBSTITUTE(SUBSTITUTE($I828,CHAR(61),""),CHAR(34),"")</f>
        <v>&lt;01</v>
      </c>
      <c r="R828" s="0" t="str">
        <f aca="false">IF($D828&lt;&gt;"","["&amp;$E828&amp;"]"&amp;"|"&amp;$Q828&amp;"|"&amp;$K828&amp;"|"&amp;$G828&amp;"|"&amp;IF($G828="TX_CURR_SUBNAT.R","CY2022Q4",$M828),"")</f>
        <v>[kxuuIFpOXyO]|&lt;01|Female|HIV_PREV.T_1|CY2023Q3</v>
      </c>
    </row>
    <row r="829" customFormat="false" ht="15" hidden="false" customHeight="false" outlineLevel="0" collapsed="false">
      <c r="D829" s="9" t="s">
        <v>63</v>
      </c>
      <c r="E829" s="9" t="s">
        <v>64</v>
      </c>
      <c r="F829" s="9" t="s">
        <v>65</v>
      </c>
      <c r="G829" s="9" t="s">
        <v>141</v>
      </c>
      <c r="H829" s="9" t="s">
        <v>142</v>
      </c>
      <c r="I829" s="0" t="s">
        <v>33</v>
      </c>
      <c r="J829" s="9" t="s">
        <v>34</v>
      </c>
      <c r="K829" s="9" t="s">
        <v>30</v>
      </c>
      <c r="L829" s="9" t="s">
        <v>31</v>
      </c>
      <c r="M829" s="0" t="s">
        <v>140</v>
      </c>
      <c r="N829" s="0" t="n">
        <v>589</v>
      </c>
      <c r="O829" s="10" t="n">
        <v>0.335240588057786</v>
      </c>
      <c r="P829" s="10" t="n">
        <v>0.790102193132043</v>
      </c>
      <c r="Q829" s="0" t="str">
        <f aca="false">SUBSTITUTE(SUBSTITUTE($I829,CHAR(61),""),CHAR(34),"")</f>
        <v>01-09</v>
      </c>
      <c r="R829" s="0" t="str">
        <f aca="false">IF($D829&lt;&gt;"","["&amp;$E829&amp;"]"&amp;"|"&amp;$Q829&amp;"|"&amp;$K829&amp;"|"&amp;$G829&amp;"|"&amp;IF($G829="TX_CURR_SUBNAT.R","CY2022Q4",$M829),"")</f>
        <v>[kxuuIFpOXyO]|01-09|Female|HIV_PREV.T_1|CY2023Q3</v>
      </c>
    </row>
    <row r="830" customFormat="false" ht="15" hidden="false" customHeight="false" outlineLevel="0" collapsed="false">
      <c r="D830" s="9" t="s">
        <v>63</v>
      </c>
      <c r="E830" s="9" t="s">
        <v>64</v>
      </c>
      <c r="F830" s="9" t="s">
        <v>65</v>
      </c>
      <c r="G830" s="9" t="s">
        <v>141</v>
      </c>
      <c r="H830" s="9" t="s">
        <v>142</v>
      </c>
      <c r="I830" s="0" t="s">
        <v>36</v>
      </c>
      <c r="J830" s="9" t="s">
        <v>37</v>
      </c>
      <c r="K830" s="9" t="s">
        <v>30</v>
      </c>
      <c r="L830" s="9" t="s">
        <v>31</v>
      </c>
      <c r="M830" s="0" t="s">
        <v>140</v>
      </c>
      <c r="N830" s="0" t="n">
        <v>1287</v>
      </c>
      <c r="O830" s="10" t="n">
        <v>0.203457827912644</v>
      </c>
      <c r="P830" s="10" t="n">
        <v>0.790102193132043</v>
      </c>
      <c r="Q830" s="0" t="str">
        <f aca="false">SUBSTITUTE(SUBSTITUTE($I830,CHAR(61),""),CHAR(34),"")</f>
        <v>10-14</v>
      </c>
      <c r="R830" s="0" t="str">
        <f aca="false">IF($D830&lt;&gt;"","["&amp;$E830&amp;"]"&amp;"|"&amp;$Q830&amp;"|"&amp;$K830&amp;"|"&amp;$G830&amp;"|"&amp;IF($G830="TX_CURR_SUBNAT.R","CY2022Q4",$M830),"")</f>
        <v>[kxuuIFpOXyO]|10-14|Female|HIV_PREV.T_1|CY2023Q3</v>
      </c>
    </row>
    <row r="831" customFormat="false" ht="15" hidden="false" customHeight="false" outlineLevel="0" collapsed="false">
      <c r="D831" s="9" t="s">
        <v>63</v>
      </c>
      <c r="E831" s="9" t="s">
        <v>64</v>
      </c>
      <c r="F831" s="9" t="s">
        <v>65</v>
      </c>
      <c r="G831" s="9" t="s">
        <v>141</v>
      </c>
      <c r="H831" s="9" t="s">
        <v>142</v>
      </c>
      <c r="I831" s="0" t="s">
        <v>38</v>
      </c>
      <c r="J831" s="9" t="s">
        <v>39</v>
      </c>
      <c r="K831" s="9" t="s">
        <v>30</v>
      </c>
      <c r="L831" s="9" t="s">
        <v>31</v>
      </c>
      <c r="M831" s="0" t="s">
        <v>140</v>
      </c>
      <c r="N831" s="0" t="n">
        <v>1193</v>
      </c>
      <c r="O831" s="10" t="n">
        <v>0.0634065174963325</v>
      </c>
      <c r="P831" s="10" t="n">
        <v>0.790102193132043</v>
      </c>
      <c r="Q831" s="0" t="str">
        <f aca="false">SUBSTITUTE(SUBSTITUTE($I831,CHAR(61),""),CHAR(34),"")</f>
        <v>15-24</v>
      </c>
      <c r="R831" s="0" t="str">
        <f aca="false">IF($D831&lt;&gt;"","["&amp;$E831&amp;"]"&amp;"|"&amp;$Q831&amp;"|"&amp;$K831&amp;"|"&amp;$G831&amp;"|"&amp;IF($G831="TX_CURR_SUBNAT.R","CY2022Q4",$M831),"")</f>
        <v>[kxuuIFpOXyO]|15-24|Female|HIV_PREV.T_1|CY2023Q3</v>
      </c>
    </row>
    <row r="832" customFormat="false" ht="15" hidden="false" customHeight="false" outlineLevel="0" collapsed="false">
      <c r="D832" s="9" t="s">
        <v>63</v>
      </c>
      <c r="E832" s="9" t="s">
        <v>64</v>
      </c>
      <c r="F832" s="9" t="s">
        <v>65</v>
      </c>
      <c r="G832" s="9" t="s">
        <v>141</v>
      </c>
      <c r="H832" s="9" t="s">
        <v>142</v>
      </c>
      <c r="I832" s="0" t="s">
        <v>41</v>
      </c>
      <c r="J832" s="9" t="s">
        <v>42</v>
      </c>
      <c r="K832" s="9" t="s">
        <v>30</v>
      </c>
      <c r="L832" s="9" t="s">
        <v>31</v>
      </c>
      <c r="M832" s="0" t="s">
        <v>140</v>
      </c>
      <c r="N832" s="0" t="n">
        <v>834</v>
      </c>
      <c r="O832" s="10" t="n">
        <v>0.340860072523355</v>
      </c>
      <c r="P832" s="10" t="n">
        <v>0.790102193132043</v>
      </c>
      <c r="Q832" s="0" t="str">
        <f aca="false">SUBSTITUTE(SUBSTITUTE($I832,CHAR(61),""),CHAR(34),"")</f>
        <v>25-34</v>
      </c>
      <c r="R832" s="0" t="str">
        <f aca="false">IF($D832&lt;&gt;"","["&amp;$E832&amp;"]"&amp;"|"&amp;$Q832&amp;"|"&amp;$K832&amp;"|"&amp;$G832&amp;"|"&amp;IF($G832="TX_CURR_SUBNAT.R","CY2022Q4",$M832),"")</f>
        <v>[kxuuIFpOXyO]|25-34|Female|HIV_PREV.T_1|CY2023Q3</v>
      </c>
    </row>
    <row r="833" customFormat="false" ht="15" hidden="false" customHeight="false" outlineLevel="0" collapsed="false">
      <c r="D833" s="9" t="s">
        <v>63</v>
      </c>
      <c r="E833" s="9" t="s">
        <v>64</v>
      </c>
      <c r="F833" s="9" t="s">
        <v>65</v>
      </c>
      <c r="G833" s="9" t="s">
        <v>141</v>
      </c>
      <c r="H833" s="9" t="s">
        <v>142</v>
      </c>
      <c r="I833" s="0" t="s">
        <v>43</v>
      </c>
      <c r="J833" s="9" t="s">
        <v>44</v>
      </c>
      <c r="K833" s="9" t="s">
        <v>30</v>
      </c>
      <c r="L833" s="9" t="s">
        <v>31</v>
      </c>
      <c r="M833" s="0" t="s">
        <v>140</v>
      </c>
      <c r="N833" s="0" t="n">
        <v>677</v>
      </c>
      <c r="O833" s="10" t="n">
        <v>0.251200794475153</v>
      </c>
      <c r="P833" s="10" t="n">
        <v>0.790102193132043</v>
      </c>
      <c r="Q833" s="0" t="str">
        <f aca="false">SUBSTITUTE(SUBSTITUTE($I833,CHAR(61),""),CHAR(34),"")</f>
        <v>35-49</v>
      </c>
      <c r="R833" s="0" t="str">
        <f aca="false">IF($D833&lt;&gt;"","["&amp;$E833&amp;"]"&amp;"|"&amp;$Q833&amp;"|"&amp;$K833&amp;"|"&amp;$G833&amp;"|"&amp;IF($G833="TX_CURR_SUBNAT.R","CY2022Q4",$M833),"")</f>
        <v>[kxuuIFpOXyO]|35-49|Female|HIV_PREV.T_1|CY2023Q3</v>
      </c>
    </row>
    <row r="834" customFormat="false" ht="15" hidden="false" customHeight="false" outlineLevel="0" collapsed="false">
      <c r="D834" s="9" t="s">
        <v>63</v>
      </c>
      <c r="E834" s="9" t="s">
        <v>64</v>
      </c>
      <c r="F834" s="9" t="s">
        <v>65</v>
      </c>
      <c r="G834" s="9" t="s">
        <v>141</v>
      </c>
      <c r="H834" s="9" t="s">
        <v>142</v>
      </c>
      <c r="I834" s="0" t="s">
        <v>45</v>
      </c>
      <c r="J834" s="9" t="s">
        <v>46</v>
      </c>
      <c r="K834" s="9" t="s">
        <v>30</v>
      </c>
      <c r="L834" s="9" t="s">
        <v>31</v>
      </c>
      <c r="M834" s="0" t="s">
        <v>140</v>
      </c>
      <c r="N834" s="0" t="n">
        <v>1133</v>
      </c>
      <c r="O834" s="10" t="n">
        <v>0.201809140155092</v>
      </c>
      <c r="P834" s="10" t="n">
        <v>0.790102193132043</v>
      </c>
      <c r="Q834" s="0" t="str">
        <f aca="false">SUBSTITUTE(SUBSTITUTE($I834,CHAR(61),""),CHAR(34),"")</f>
        <v>50+</v>
      </c>
      <c r="R834" s="0" t="str">
        <f aca="false">IF($D834&lt;&gt;"","["&amp;$E834&amp;"]"&amp;"|"&amp;$Q834&amp;"|"&amp;$K834&amp;"|"&amp;$G834&amp;"|"&amp;IF($G834="TX_CURR_SUBNAT.R","CY2022Q4",$M834),"")</f>
        <v>[kxuuIFpOXyO]|50+|Female|HIV_PREV.T_1|CY2023Q3</v>
      </c>
    </row>
    <row r="835" customFormat="false" ht="15" hidden="false" customHeight="false" outlineLevel="0" collapsed="false">
      <c r="D835" s="9" t="s">
        <v>63</v>
      </c>
      <c r="E835" s="9" t="s">
        <v>64</v>
      </c>
      <c r="F835" s="9" t="s">
        <v>65</v>
      </c>
      <c r="G835" s="9" t="s">
        <v>141</v>
      </c>
      <c r="H835" s="9" t="s">
        <v>142</v>
      </c>
      <c r="I835" s="0" t="s">
        <v>28</v>
      </c>
      <c r="J835" s="9" t="s">
        <v>29</v>
      </c>
      <c r="K835" s="9" t="s">
        <v>48</v>
      </c>
      <c r="L835" s="9" t="s">
        <v>49</v>
      </c>
      <c r="M835" s="0" t="s">
        <v>140</v>
      </c>
      <c r="N835" s="0" t="n">
        <v>1569</v>
      </c>
      <c r="O835" s="10" t="n">
        <v>0.631858550943434</v>
      </c>
      <c r="P835" s="10" t="n">
        <v>0.790102193132043</v>
      </c>
      <c r="Q835" s="0" t="str">
        <f aca="false">SUBSTITUTE(SUBSTITUTE($I835,CHAR(61),""),CHAR(34),"")</f>
        <v>&lt;01</v>
      </c>
      <c r="R835" s="0" t="str">
        <f aca="false">IF($D835&lt;&gt;"","["&amp;$E835&amp;"]"&amp;"|"&amp;$Q835&amp;"|"&amp;$K835&amp;"|"&amp;$G835&amp;"|"&amp;IF($G835="TX_CURR_SUBNAT.R","CY2022Q4",$M835),"")</f>
        <v>[kxuuIFpOXyO]|&lt;01|Male|HIV_PREV.T_1|CY2023Q3</v>
      </c>
    </row>
    <row r="836" customFormat="false" ht="15" hidden="false" customHeight="false" outlineLevel="0" collapsed="false">
      <c r="D836" s="9" t="s">
        <v>63</v>
      </c>
      <c r="E836" s="9" t="s">
        <v>64</v>
      </c>
      <c r="F836" s="9" t="s">
        <v>65</v>
      </c>
      <c r="G836" s="9" t="s">
        <v>141</v>
      </c>
      <c r="H836" s="9" t="s">
        <v>142</v>
      </c>
      <c r="I836" s="0" t="s">
        <v>33</v>
      </c>
      <c r="J836" s="9" t="s">
        <v>34</v>
      </c>
      <c r="K836" s="9" t="s">
        <v>48</v>
      </c>
      <c r="L836" s="9" t="s">
        <v>49</v>
      </c>
      <c r="M836" s="0" t="s">
        <v>140</v>
      </c>
      <c r="N836" s="0" t="n">
        <v>1930</v>
      </c>
      <c r="O836" s="10" t="n">
        <v>0.662273653084412</v>
      </c>
      <c r="P836" s="10" t="n">
        <v>0.790102193132043</v>
      </c>
      <c r="Q836" s="0" t="str">
        <f aca="false">SUBSTITUTE(SUBSTITUTE($I836,CHAR(61),""),CHAR(34),"")</f>
        <v>01-09</v>
      </c>
      <c r="R836" s="0" t="str">
        <f aca="false">IF($D836&lt;&gt;"","["&amp;$E836&amp;"]"&amp;"|"&amp;$Q836&amp;"|"&amp;$K836&amp;"|"&amp;$G836&amp;"|"&amp;IF($G836="TX_CURR_SUBNAT.R","CY2022Q4",$M836),"")</f>
        <v>[kxuuIFpOXyO]|01-09|Male|HIV_PREV.T_1|CY2023Q3</v>
      </c>
    </row>
    <row r="837" customFormat="false" ht="15" hidden="false" customHeight="false" outlineLevel="0" collapsed="false">
      <c r="D837" s="9" t="s">
        <v>63</v>
      </c>
      <c r="E837" s="9" t="s">
        <v>64</v>
      </c>
      <c r="F837" s="9" t="s">
        <v>65</v>
      </c>
      <c r="G837" s="9" t="s">
        <v>141</v>
      </c>
      <c r="H837" s="9" t="s">
        <v>142</v>
      </c>
      <c r="I837" s="0" t="s">
        <v>36</v>
      </c>
      <c r="J837" s="9" t="s">
        <v>37</v>
      </c>
      <c r="K837" s="9" t="s">
        <v>48</v>
      </c>
      <c r="L837" s="9" t="s">
        <v>49</v>
      </c>
      <c r="M837" s="0" t="s">
        <v>140</v>
      </c>
      <c r="N837" s="0" t="n">
        <v>1440</v>
      </c>
      <c r="O837" s="10" t="n">
        <v>0.988614219939336</v>
      </c>
      <c r="P837" s="10" t="n">
        <v>0.790102193132043</v>
      </c>
      <c r="Q837" s="0" t="str">
        <f aca="false">SUBSTITUTE(SUBSTITUTE($I837,CHAR(61),""),CHAR(34),"")</f>
        <v>10-14</v>
      </c>
      <c r="R837" s="0" t="str">
        <f aca="false">IF($D837&lt;&gt;"","["&amp;$E837&amp;"]"&amp;"|"&amp;$Q837&amp;"|"&amp;$K837&amp;"|"&amp;$G837&amp;"|"&amp;IF($G837="TX_CURR_SUBNAT.R","CY2022Q4",$M837),"")</f>
        <v>[kxuuIFpOXyO]|10-14|Male|HIV_PREV.T_1|CY2023Q3</v>
      </c>
    </row>
    <row r="838" customFormat="false" ht="15" hidden="false" customHeight="false" outlineLevel="0" collapsed="false">
      <c r="D838" s="9" t="s">
        <v>63</v>
      </c>
      <c r="E838" s="9" t="s">
        <v>64</v>
      </c>
      <c r="F838" s="9" t="s">
        <v>65</v>
      </c>
      <c r="G838" s="9" t="s">
        <v>141</v>
      </c>
      <c r="H838" s="9" t="s">
        <v>142</v>
      </c>
      <c r="I838" s="0" t="s">
        <v>38</v>
      </c>
      <c r="J838" s="9" t="s">
        <v>39</v>
      </c>
      <c r="K838" s="9" t="s">
        <v>48</v>
      </c>
      <c r="L838" s="9" t="s">
        <v>49</v>
      </c>
      <c r="M838" s="0" t="s">
        <v>140</v>
      </c>
      <c r="N838" s="0" t="n">
        <v>1090</v>
      </c>
      <c r="O838" s="10" t="n">
        <v>0.158494761912152</v>
      </c>
      <c r="P838" s="10" t="n">
        <v>0.790102193132043</v>
      </c>
      <c r="Q838" s="0" t="str">
        <f aca="false">SUBSTITUTE(SUBSTITUTE($I838,CHAR(61),""),CHAR(34),"")</f>
        <v>15-24</v>
      </c>
      <c r="R838" s="0" t="str">
        <f aca="false">IF($D838&lt;&gt;"","["&amp;$E838&amp;"]"&amp;"|"&amp;$Q838&amp;"|"&amp;$K838&amp;"|"&amp;$G838&amp;"|"&amp;IF($G838="TX_CURR_SUBNAT.R","CY2022Q4",$M838),"")</f>
        <v>[kxuuIFpOXyO]|15-24|Male|HIV_PREV.T_1|CY2023Q3</v>
      </c>
    </row>
    <row r="839" customFormat="false" ht="15" hidden="false" customHeight="false" outlineLevel="0" collapsed="false">
      <c r="D839" s="9" t="s">
        <v>63</v>
      </c>
      <c r="E839" s="9" t="s">
        <v>64</v>
      </c>
      <c r="F839" s="9" t="s">
        <v>65</v>
      </c>
      <c r="G839" s="9" t="s">
        <v>141</v>
      </c>
      <c r="H839" s="9" t="s">
        <v>142</v>
      </c>
      <c r="I839" s="0" t="s">
        <v>41</v>
      </c>
      <c r="J839" s="9" t="s">
        <v>42</v>
      </c>
      <c r="K839" s="9" t="s">
        <v>48</v>
      </c>
      <c r="L839" s="9" t="s">
        <v>49</v>
      </c>
      <c r="M839" s="0" t="s">
        <v>140</v>
      </c>
      <c r="N839" s="0" t="n">
        <v>916</v>
      </c>
      <c r="O839" s="10" t="n">
        <v>0.749604181852192</v>
      </c>
      <c r="P839" s="10" t="n">
        <v>0.790102193132043</v>
      </c>
      <c r="Q839" s="0" t="str">
        <f aca="false">SUBSTITUTE(SUBSTITUTE($I839,CHAR(61),""),CHAR(34),"")</f>
        <v>25-34</v>
      </c>
      <c r="R839" s="0" t="str">
        <f aca="false">IF($D839&lt;&gt;"","["&amp;$E839&amp;"]"&amp;"|"&amp;$Q839&amp;"|"&amp;$K839&amp;"|"&amp;$G839&amp;"|"&amp;IF($G839="TX_CURR_SUBNAT.R","CY2022Q4",$M839),"")</f>
        <v>[kxuuIFpOXyO]|25-34|Male|HIV_PREV.T_1|CY2023Q3</v>
      </c>
    </row>
    <row r="840" customFormat="false" ht="15" hidden="false" customHeight="false" outlineLevel="0" collapsed="false">
      <c r="D840" s="9" t="s">
        <v>63</v>
      </c>
      <c r="E840" s="9" t="s">
        <v>64</v>
      </c>
      <c r="F840" s="9" t="s">
        <v>65</v>
      </c>
      <c r="G840" s="9" t="s">
        <v>141</v>
      </c>
      <c r="H840" s="9" t="s">
        <v>142</v>
      </c>
      <c r="I840" s="0" t="s">
        <v>43</v>
      </c>
      <c r="J840" s="9" t="s">
        <v>44</v>
      </c>
      <c r="K840" s="9" t="s">
        <v>48</v>
      </c>
      <c r="L840" s="9" t="s">
        <v>49</v>
      </c>
      <c r="M840" s="0" t="s">
        <v>140</v>
      </c>
      <c r="N840" s="0" t="n">
        <v>1731</v>
      </c>
      <c r="O840" s="10" t="n">
        <v>0.749589668121189</v>
      </c>
      <c r="P840" s="10" t="n">
        <v>0.790102193132043</v>
      </c>
      <c r="Q840" s="0" t="str">
        <f aca="false">SUBSTITUTE(SUBSTITUTE($I840,CHAR(61),""),CHAR(34),"")</f>
        <v>35-49</v>
      </c>
      <c r="R840" s="0" t="str">
        <f aca="false">IF($D840&lt;&gt;"","["&amp;$E840&amp;"]"&amp;"|"&amp;$Q840&amp;"|"&amp;$K840&amp;"|"&amp;$G840&amp;"|"&amp;IF($G840="TX_CURR_SUBNAT.R","CY2022Q4",$M840),"")</f>
        <v>[kxuuIFpOXyO]|35-49|Male|HIV_PREV.T_1|CY2023Q3</v>
      </c>
    </row>
    <row r="841" customFormat="false" ht="15" hidden="false" customHeight="false" outlineLevel="0" collapsed="false">
      <c r="D841" s="9" t="s">
        <v>63</v>
      </c>
      <c r="E841" s="9" t="s">
        <v>64</v>
      </c>
      <c r="F841" s="9" t="s">
        <v>65</v>
      </c>
      <c r="G841" s="9" t="s">
        <v>141</v>
      </c>
      <c r="H841" s="9" t="s">
        <v>142</v>
      </c>
      <c r="I841" s="0" t="s">
        <v>45</v>
      </c>
      <c r="J841" s="9" t="s">
        <v>46</v>
      </c>
      <c r="K841" s="9" t="s">
        <v>48</v>
      </c>
      <c r="L841" s="9" t="s">
        <v>49</v>
      </c>
      <c r="M841" s="0" t="s">
        <v>140</v>
      </c>
      <c r="N841" s="0" t="n">
        <v>908</v>
      </c>
      <c r="O841" s="10" t="n">
        <v>0.918197207851335</v>
      </c>
      <c r="P841" s="10" t="n">
        <v>0.790102193132043</v>
      </c>
      <c r="Q841" s="0" t="str">
        <f aca="false">SUBSTITUTE(SUBSTITUTE($I841,CHAR(61),""),CHAR(34),"")</f>
        <v>50+</v>
      </c>
      <c r="R841" s="0" t="str">
        <f aca="false">IF($D841&lt;&gt;"","["&amp;$E841&amp;"]"&amp;"|"&amp;$Q841&amp;"|"&amp;$K841&amp;"|"&amp;$G841&amp;"|"&amp;IF($G841="TX_CURR_SUBNAT.R","CY2022Q4",$M841),"")</f>
        <v>[kxuuIFpOXyO]|50+|Male|HIV_PREV.T_1|CY2023Q3</v>
      </c>
    </row>
    <row r="842" customFormat="false" ht="15" hidden="false" customHeight="false" outlineLevel="0" collapsed="false">
      <c r="D842" s="9" t="s">
        <v>66</v>
      </c>
      <c r="E842" s="9" t="s">
        <v>67</v>
      </c>
      <c r="F842" s="9" t="s">
        <v>68</v>
      </c>
      <c r="G842" s="9" t="s">
        <v>141</v>
      </c>
      <c r="H842" s="9" t="s">
        <v>142</v>
      </c>
      <c r="I842" s="0" t="s">
        <v>28</v>
      </c>
      <c r="J842" s="9" t="s">
        <v>29</v>
      </c>
      <c r="K842" s="9" t="s">
        <v>30</v>
      </c>
      <c r="L842" s="9" t="s">
        <v>31</v>
      </c>
      <c r="M842" s="0" t="s">
        <v>140</v>
      </c>
      <c r="N842" s="0" t="n">
        <v>1042</v>
      </c>
      <c r="O842" s="10" t="n">
        <v>0.370459100464359</v>
      </c>
      <c r="P842" s="10" t="n">
        <v>0.164609884377569</v>
      </c>
      <c r="Q842" s="0" t="str">
        <f aca="false">SUBSTITUTE(SUBSTITUTE($I842,CHAR(61),""),CHAR(34),"")</f>
        <v>&lt;01</v>
      </c>
      <c r="R842" s="0" t="str">
        <f aca="false">IF($D842&lt;&gt;"","["&amp;$E842&amp;"]"&amp;"|"&amp;$Q842&amp;"|"&amp;$K842&amp;"|"&amp;$G842&amp;"|"&amp;IF($G842="TX_CURR_SUBNAT.R","CY2022Q4",$M842),"")</f>
        <v>[ScR9iFKAasW]|&lt;01|Female|HIV_PREV.T_1|CY2023Q3</v>
      </c>
    </row>
    <row r="843" customFormat="false" ht="15" hidden="false" customHeight="false" outlineLevel="0" collapsed="false">
      <c r="D843" s="9" t="s">
        <v>66</v>
      </c>
      <c r="E843" s="9" t="s">
        <v>67</v>
      </c>
      <c r="F843" s="9" t="s">
        <v>68</v>
      </c>
      <c r="G843" s="9" t="s">
        <v>141</v>
      </c>
      <c r="H843" s="9" t="s">
        <v>142</v>
      </c>
      <c r="I843" s="0" t="s">
        <v>33</v>
      </c>
      <c r="J843" s="9" t="s">
        <v>34</v>
      </c>
      <c r="K843" s="9" t="s">
        <v>30</v>
      </c>
      <c r="L843" s="9" t="s">
        <v>31</v>
      </c>
      <c r="M843" s="0" t="s">
        <v>140</v>
      </c>
      <c r="N843" s="0" t="n">
        <v>616</v>
      </c>
      <c r="O843" s="10" t="n">
        <v>0.728531865403056</v>
      </c>
      <c r="P843" s="10" t="n">
        <v>0.164609884377569</v>
      </c>
      <c r="Q843" s="0" t="str">
        <f aca="false">SUBSTITUTE(SUBSTITUTE($I843,CHAR(61),""),CHAR(34),"")</f>
        <v>01-09</v>
      </c>
      <c r="R843" s="0" t="str">
        <f aca="false">IF($D843&lt;&gt;"","["&amp;$E843&amp;"]"&amp;"|"&amp;$Q843&amp;"|"&amp;$K843&amp;"|"&amp;$G843&amp;"|"&amp;IF($G843="TX_CURR_SUBNAT.R","CY2022Q4",$M843),"")</f>
        <v>[ScR9iFKAasW]|01-09|Female|HIV_PREV.T_1|CY2023Q3</v>
      </c>
    </row>
    <row r="844" customFormat="false" ht="15" hidden="false" customHeight="false" outlineLevel="0" collapsed="false">
      <c r="D844" s="9" t="s">
        <v>66</v>
      </c>
      <c r="E844" s="9" t="s">
        <v>67</v>
      </c>
      <c r="F844" s="9" t="s">
        <v>68</v>
      </c>
      <c r="G844" s="9" t="s">
        <v>141</v>
      </c>
      <c r="H844" s="9" t="s">
        <v>142</v>
      </c>
      <c r="I844" s="0" t="s">
        <v>36</v>
      </c>
      <c r="J844" s="9" t="s">
        <v>37</v>
      </c>
      <c r="K844" s="9" t="s">
        <v>30</v>
      </c>
      <c r="L844" s="9" t="s">
        <v>31</v>
      </c>
      <c r="M844" s="0" t="s">
        <v>140</v>
      </c>
      <c r="N844" s="0" t="n">
        <v>1552</v>
      </c>
      <c r="O844" s="10" t="n">
        <v>0.878413460217416</v>
      </c>
      <c r="P844" s="10" t="n">
        <v>0.164609884377569</v>
      </c>
      <c r="Q844" s="0" t="str">
        <f aca="false">SUBSTITUTE(SUBSTITUTE($I844,CHAR(61),""),CHAR(34),"")</f>
        <v>10-14</v>
      </c>
      <c r="R844" s="0" t="str">
        <f aca="false">IF($D844&lt;&gt;"","["&amp;$E844&amp;"]"&amp;"|"&amp;$Q844&amp;"|"&amp;$K844&amp;"|"&amp;$G844&amp;"|"&amp;IF($G844="TX_CURR_SUBNAT.R","CY2022Q4",$M844),"")</f>
        <v>[ScR9iFKAasW]|10-14|Female|HIV_PREV.T_1|CY2023Q3</v>
      </c>
    </row>
    <row r="845" customFormat="false" ht="15" hidden="false" customHeight="false" outlineLevel="0" collapsed="false">
      <c r="D845" s="9" t="s">
        <v>66</v>
      </c>
      <c r="E845" s="9" t="s">
        <v>67</v>
      </c>
      <c r="F845" s="9" t="s">
        <v>68</v>
      </c>
      <c r="G845" s="9" t="s">
        <v>141</v>
      </c>
      <c r="H845" s="9" t="s">
        <v>142</v>
      </c>
      <c r="I845" s="0" t="s">
        <v>38</v>
      </c>
      <c r="J845" s="9" t="s">
        <v>39</v>
      </c>
      <c r="K845" s="9" t="s">
        <v>30</v>
      </c>
      <c r="L845" s="9" t="s">
        <v>31</v>
      </c>
      <c r="M845" s="0" t="s">
        <v>140</v>
      </c>
      <c r="N845" s="0" t="n">
        <v>1802</v>
      </c>
      <c r="O845" s="10" t="n">
        <v>0.226867008022964</v>
      </c>
      <c r="P845" s="10" t="n">
        <v>0.164609884377569</v>
      </c>
      <c r="Q845" s="0" t="str">
        <f aca="false">SUBSTITUTE(SUBSTITUTE($I845,CHAR(61),""),CHAR(34),"")</f>
        <v>15-24</v>
      </c>
      <c r="R845" s="0" t="str">
        <f aca="false">IF($D845&lt;&gt;"","["&amp;$E845&amp;"]"&amp;"|"&amp;$Q845&amp;"|"&amp;$K845&amp;"|"&amp;$G845&amp;"|"&amp;IF($G845="TX_CURR_SUBNAT.R","CY2022Q4",$M845),"")</f>
        <v>[ScR9iFKAasW]|15-24|Female|HIV_PREV.T_1|CY2023Q3</v>
      </c>
    </row>
    <row r="846" customFormat="false" ht="15" hidden="false" customHeight="false" outlineLevel="0" collapsed="false">
      <c r="D846" s="9" t="s">
        <v>66</v>
      </c>
      <c r="E846" s="9" t="s">
        <v>67</v>
      </c>
      <c r="F846" s="9" t="s">
        <v>68</v>
      </c>
      <c r="G846" s="9" t="s">
        <v>141</v>
      </c>
      <c r="H846" s="9" t="s">
        <v>142</v>
      </c>
      <c r="I846" s="0" t="s">
        <v>41</v>
      </c>
      <c r="J846" s="9" t="s">
        <v>42</v>
      </c>
      <c r="K846" s="9" t="s">
        <v>30</v>
      </c>
      <c r="L846" s="9" t="s">
        <v>31</v>
      </c>
      <c r="M846" s="0" t="s">
        <v>140</v>
      </c>
      <c r="N846" s="0" t="n">
        <v>812</v>
      </c>
      <c r="O846" s="10" t="n">
        <v>0.728890592232347</v>
      </c>
      <c r="P846" s="10" t="n">
        <v>0.164609884377569</v>
      </c>
      <c r="Q846" s="0" t="str">
        <f aca="false">SUBSTITUTE(SUBSTITUTE($I846,CHAR(61),""),CHAR(34),"")</f>
        <v>25-34</v>
      </c>
      <c r="R846" s="0" t="str">
        <f aca="false">IF($D846&lt;&gt;"","["&amp;$E846&amp;"]"&amp;"|"&amp;$Q846&amp;"|"&amp;$K846&amp;"|"&amp;$G846&amp;"|"&amp;IF($G846="TX_CURR_SUBNAT.R","CY2022Q4",$M846),"")</f>
        <v>[ScR9iFKAasW]|25-34|Female|HIV_PREV.T_1|CY2023Q3</v>
      </c>
    </row>
    <row r="847" customFormat="false" ht="15" hidden="false" customHeight="false" outlineLevel="0" collapsed="false">
      <c r="D847" s="9" t="s">
        <v>66</v>
      </c>
      <c r="E847" s="9" t="s">
        <v>67</v>
      </c>
      <c r="F847" s="9" t="s">
        <v>68</v>
      </c>
      <c r="G847" s="9" t="s">
        <v>141</v>
      </c>
      <c r="H847" s="9" t="s">
        <v>142</v>
      </c>
      <c r="I847" s="0" t="s">
        <v>43</v>
      </c>
      <c r="J847" s="9" t="s">
        <v>44</v>
      </c>
      <c r="K847" s="9" t="s">
        <v>30</v>
      </c>
      <c r="L847" s="9" t="s">
        <v>31</v>
      </c>
      <c r="M847" s="0" t="s">
        <v>140</v>
      </c>
      <c r="N847" s="0" t="n">
        <v>1781</v>
      </c>
      <c r="O847" s="10" t="n">
        <v>0.0952226752415299</v>
      </c>
      <c r="P847" s="10" t="n">
        <v>0.164609884377569</v>
      </c>
      <c r="Q847" s="0" t="str">
        <f aca="false">SUBSTITUTE(SUBSTITUTE($I847,CHAR(61),""),CHAR(34),"")</f>
        <v>35-49</v>
      </c>
      <c r="R847" s="0" t="str">
        <f aca="false">IF($D847&lt;&gt;"","["&amp;$E847&amp;"]"&amp;"|"&amp;$Q847&amp;"|"&amp;$K847&amp;"|"&amp;$G847&amp;"|"&amp;IF($G847="TX_CURR_SUBNAT.R","CY2022Q4",$M847),"")</f>
        <v>[ScR9iFKAasW]|35-49|Female|HIV_PREV.T_1|CY2023Q3</v>
      </c>
    </row>
    <row r="848" customFormat="false" ht="15" hidden="false" customHeight="false" outlineLevel="0" collapsed="false">
      <c r="D848" s="9" t="s">
        <v>66</v>
      </c>
      <c r="E848" s="9" t="s">
        <v>67</v>
      </c>
      <c r="F848" s="9" t="s">
        <v>68</v>
      </c>
      <c r="G848" s="9" t="s">
        <v>141</v>
      </c>
      <c r="H848" s="9" t="s">
        <v>142</v>
      </c>
      <c r="I848" s="0" t="s">
        <v>45</v>
      </c>
      <c r="J848" s="9" t="s">
        <v>46</v>
      </c>
      <c r="K848" s="9" t="s">
        <v>30</v>
      </c>
      <c r="L848" s="9" t="s">
        <v>31</v>
      </c>
      <c r="M848" s="0" t="s">
        <v>140</v>
      </c>
      <c r="N848" s="0" t="n">
        <v>1836</v>
      </c>
      <c r="O848" s="10" t="n">
        <v>0.469778415514156</v>
      </c>
      <c r="P848" s="10" t="n">
        <v>0.164609884377569</v>
      </c>
      <c r="Q848" s="0" t="str">
        <f aca="false">SUBSTITUTE(SUBSTITUTE($I848,CHAR(61),""),CHAR(34),"")</f>
        <v>50+</v>
      </c>
      <c r="R848" s="0" t="str">
        <f aca="false">IF($D848&lt;&gt;"","["&amp;$E848&amp;"]"&amp;"|"&amp;$Q848&amp;"|"&amp;$K848&amp;"|"&amp;$G848&amp;"|"&amp;IF($G848="TX_CURR_SUBNAT.R","CY2022Q4",$M848),"")</f>
        <v>[ScR9iFKAasW]|50+|Female|HIV_PREV.T_1|CY2023Q3</v>
      </c>
    </row>
    <row r="849" customFormat="false" ht="15" hidden="false" customHeight="false" outlineLevel="0" collapsed="false">
      <c r="D849" s="9" t="s">
        <v>66</v>
      </c>
      <c r="E849" s="9" t="s">
        <v>67</v>
      </c>
      <c r="F849" s="9" t="s">
        <v>68</v>
      </c>
      <c r="G849" s="9" t="s">
        <v>141</v>
      </c>
      <c r="H849" s="9" t="s">
        <v>142</v>
      </c>
      <c r="I849" s="0" t="s">
        <v>28</v>
      </c>
      <c r="J849" s="9" t="s">
        <v>29</v>
      </c>
      <c r="K849" s="9" t="s">
        <v>48</v>
      </c>
      <c r="L849" s="9" t="s">
        <v>49</v>
      </c>
      <c r="M849" s="0" t="s">
        <v>140</v>
      </c>
      <c r="N849" s="0" t="n">
        <v>690</v>
      </c>
      <c r="O849" s="10" t="n">
        <v>0.366541048744693</v>
      </c>
      <c r="P849" s="10" t="n">
        <v>0.164609884377569</v>
      </c>
      <c r="Q849" s="0" t="str">
        <f aca="false">SUBSTITUTE(SUBSTITUTE($I849,CHAR(61),""),CHAR(34),"")</f>
        <v>&lt;01</v>
      </c>
      <c r="R849" s="0" t="str">
        <f aca="false">IF($D849&lt;&gt;"","["&amp;$E849&amp;"]"&amp;"|"&amp;$Q849&amp;"|"&amp;$K849&amp;"|"&amp;$G849&amp;"|"&amp;IF($G849="TX_CURR_SUBNAT.R","CY2022Q4",$M849),"")</f>
        <v>[ScR9iFKAasW]|&lt;01|Male|HIV_PREV.T_1|CY2023Q3</v>
      </c>
    </row>
    <row r="850" customFormat="false" ht="15" hidden="false" customHeight="false" outlineLevel="0" collapsed="false">
      <c r="D850" s="9" t="s">
        <v>66</v>
      </c>
      <c r="E850" s="9" t="s">
        <v>67</v>
      </c>
      <c r="F850" s="9" t="s">
        <v>68</v>
      </c>
      <c r="G850" s="9" t="s">
        <v>141</v>
      </c>
      <c r="H850" s="9" t="s">
        <v>142</v>
      </c>
      <c r="I850" s="0" t="s">
        <v>33</v>
      </c>
      <c r="J850" s="9" t="s">
        <v>34</v>
      </c>
      <c r="K850" s="9" t="s">
        <v>48</v>
      </c>
      <c r="L850" s="9" t="s">
        <v>49</v>
      </c>
      <c r="M850" s="0" t="s">
        <v>140</v>
      </c>
      <c r="N850" s="0" t="n">
        <v>1878</v>
      </c>
      <c r="O850" s="10" t="n">
        <v>0.698264238424599</v>
      </c>
      <c r="P850" s="10" t="n">
        <v>0.164609884377569</v>
      </c>
      <c r="Q850" s="0" t="str">
        <f aca="false">SUBSTITUTE(SUBSTITUTE($I850,CHAR(61),""),CHAR(34),"")</f>
        <v>01-09</v>
      </c>
      <c r="R850" s="0" t="str">
        <f aca="false">IF($D850&lt;&gt;"","["&amp;$E850&amp;"]"&amp;"|"&amp;$Q850&amp;"|"&amp;$K850&amp;"|"&amp;$G850&amp;"|"&amp;IF($G850="TX_CURR_SUBNAT.R","CY2022Q4",$M850),"")</f>
        <v>[ScR9iFKAasW]|01-09|Male|HIV_PREV.T_1|CY2023Q3</v>
      </c>
    </row>
    <row r="851" customFormat="false" ht="15" hidden="false" customHeight="false" outlineLevel="0" collapsed="false">
      <c r="D851" s="9" t="s">
        <v>66</v>
      </c>
      <c r="E851" s="9" t="s">
        <v>67</v>
      </c>
      <c r="F851" s="9" t="s">
        <v>68</v>
      </c>
      <c r="G851" s="9" t="s">
        <v>141</v>
      </c>
      <c r="H851" s="9" t="s">
        <v>142</v>
      </c>
      <c r="I851" s="0" t="s">
        <v>36</v>
      </c>
      <c r="J851" s="9" t="s">
        <v>37</v>
      </c>
      <c r="K851" s="9" t="s">
        <v>48</v>
      </c>
      <c r="L851" s="9" t="s">
        <v>49</v>
      </c>
      <c r="M851" s="0" t="s">
        <v>140</v>
      </c>
      <c r="N851" s="0" t="n">
        <v>1806</v>
      </c>
      <c r="O851" s="10" t="n">
        <v>0.187396235065535</v>
      </c>
      <c r="P851" s="10" t="n">
        <v>0.164609884377569</v>
      </c>
      <c r="Q851" s="0" t="str">
        <f aca="false">SUBSTITUTE(SUBSTITUTE($I851,CHAR(61),""),CHAR(34),"")</f>
        <v>10-14</v>
      </c>
      <c r="R851" s="0" t="str">
        <f aca="false">IF($D851&lt;&gt;"","["&amp;$E851&amp;"]"&amp;"|"&amp;$Q851&amp;"|"&amp;$K851&amp;"|"&amp;$G851&amp;"|"&amp;IF($G851="TX_CURR_SUBNAT.R","CY2022Q4",$M851),"")</f>
        <v>[ScR9iFKAasW]|10-14|Male|HIV_PREV.T_1|CY2023Q3</v>
      </c>
    </row>
    <row r="852" customFormat="false" ht="15" hidden="false" customHeight="false" outlineLevel="0" collapsed="false">
      <c r="D852" s="9" t="s">
        <v>66</v>
      </c>
      <c r="E852" s="9" t="s">
        <v>67</v>
      </c>
      <c r="F852" s="9" t="s">
        <v>68</v>
      </c>
      <c r="G852" s="9" t="s">
        <v>141</v>
      </c>
      <c r="H852" s="9" t="s">
        <v>142</v>
      </c>
      <c r="I852" s="0" t="s">
        <v>38</v>
      </c>
      <c r="J852" s="9" t="s">
        <v>39</v>
      </c>
      <c r="K852" s="9" t="s">
        <v>48</v>
      </c>
      <c r="L852" s="9" t="s">
        <v>49</v>
      </c>
      <c r="M852" s="0" t="s">
        <v>140</v>
      </c>
      <c r="N852" s="0" t="n">
        <v>1947</v>
      </c>
      <c r="O852" s="10" t="n">
        <v>0.605068485252559</v>
      </c>
      <c r="P852" s="10" t="n">
        <v>0.164609884377569</v>
      </c>
      <c r="Q852" s="0" t="str">
        <f aca="false">SUBSTITUTE(SUBSTITUTE($I852,CHAR(61),""),CHAR(34),"")</f>
        <v>15-24</v>
      </c>
      <c r="R852" s="0" t="str">
        <f aca="false">IF($D852&lt;&gt;"","["&amp;$E852&amp;"]"&amp;"|"&amp;$Q852&amp;"|"&amp;$K852&amp;"|"&amp;$G852&amp;"|"&amp;IF($G852="TX_CURR_SUBNAT.R","CY2022Q4",$M852),"")</f>
        <v>[ScR9iFKAasW]|15-24|Male|HIV_PREV.T_1|CY2023Q3</v>
      </c>
    </row>
    <row r="853" customFormat="false" ht="15" hidden="false" customHeight="false" outlineLevel="0" collapsed="false">
      <c r="D853" s="9" t="s">
        <v>66</v>
      </c>
      <c r="E853" s="9" t="s">
        <v>67</v>
      </c>
      <c r="F853" s="9" t="s">
        <v>68</v>
      </c>
      <c r="G853" s="9" t="s">
        <v>141</v>
      </c>
      <c r="H853" s="9" t="s">
        <v>142</v>
      </c>
      <c r="I853" s="0" t="s">
        <v>41</v>
      </c>
      <c r="J853" s="9" t="s">
        <v>42</v>
      </c>
      <c r="K853" s="9" t="s">
        <v>48</v>
      </c>
      <c r="L853" s="9" t="s">
        <v>49</v>
      </c>
      <c r="M853" s="0" t="s">
        <v>140</v>
      </c>
      <c r="N853" s="0" t="n">
        <v>1679</v>
      </c>
      <c r="O853" s="10" t="n">
        <v>0.000933155650272965</v>
      </c>
      <c r="P853" s="10" t="n">
        <v>0.164609884377569</v>
      </c>
      <c r="Q853" s="0" t="str">
        <f aca="false">SUBSTITUTE(SUBSTITUTE($I853,CHAR(61),""),CHAR(34),"")</f>
        <v>25-34</v>
      </c>
      <c r="R853" s="0" t="str">
        <f aca="false">IF($D853&lt;&gt;"","["&amp;$E853&amp;"]"&amp;"|"&amp;$Q853&amp;"|"&amp;$K853&amp;"|"&amp;$G853&amp;"|"&amp;IF($G853="TX_CURR_SUBNAT.R","CY2022Q4",$M853),"")</f>
        <v>[ScR9iFKAasW]|25-34|Male|HIV_PREV.T_1|CY2023Q3</v>
      </c>
    </row>
    <row r="854" customFormat="false" ht="15" hidden="false" customHeight="false" outlineLevel="0" collapsed="false">
      <c r="D854" s="9" t="s">
        <v>66</v>
      </c>
      <c r="E854" s="9" t="s">
        <v>67</v>
      </c>
      <c r="F854" s="9" t="s">
        <v>68</v>
      </c>
      <c r="G854" s="9" t="s">
        <v>141</v>
      </c>
      <c r="H854" s="9" t="s">
        <v>142</v>
      </c>
      <c r="I854" s="0" t="s">
        <v>43</v>
      </c>
      <c r="J854" s="9" t="s">
        <v>44</v>
      </c>
      <c r="K854" s="9" t="s">
        <v>48</v>
      </c>
      <c r="L854" s="9" t="s">
        <v>49</v>
      </c>
      <c r="M854" s="0" t="s">
        <v>140</v>
      </c>
      <c r="N854" s="0" t="n">
        <v>727</v>
      </c>
      <c r="O854" s="10" t="n">
        <v>0.610735399648547</v>
      </c>
      <c r="P854" s="10" t="n">
        <v>0.164609884377569</v>
      </c>
      <c r="Q854" s="0" t="str">
        <f aca="false">SUBSTITUTE(SUBSTITUTE($I854,CHAR(61),""),CHAR(34),"")</f>
        <v>35-49</v>
      </c>
      <c r="R854" s="0" t="str">
        <f aca="false">IF($D854&lt;&gt;"","["&amp;$E854&amp;"]"&amp;"|"&amp;$Q854&amp;"|"&amp;$K854&amp;"|"&amp;$G854&amp;"|"&amp;IF($G854="TX_CURR_SUBNAT.R","CY2022Q4",$M854),"")</f>
        <v>[ScR9iFKAasW]|35-49|Male|HIV_PREV.T_1|CY2023Q3</v>
      </c>
    </row>
    <row r="855" customFormat="false" ht="15" hidden="false" customHeight="false" outlineLevel="0" collapsed="false">
      <c r="D855" s="9" t="s">
        <v>66</v>
      </c>
      <c r="E855" s="9" t="s">
        <v>67</v>
      </c>
      <c r="F855" s="9" t="s">
        <v>68</v>
      </c>
      <c r="G855" s="9" t="s">
        <v>141</v>
      </c>
      <c r="H855" s="9" t="s">
        <v>142</v>
      </c>
      <c r="I855" s="0" t="s">
        <v>45</v>
      </c>
      <c r="J855" s="9" t="s">
        <v>46</v>
      </c>
      <c r="K855" s="9" t="s">
        <v>48</v>
      </c>
      <c r="L855" s="9" t="s">
        <v>49</v>
      </c>
      <c r="M855" s="0" t="s">
        <v>140</v>
      </c>
      <c r="N855" s="0" t="n">
        <v>1686</v>
      </c>
      <c r="O855" s="10" t="n">
        <v>0.273590899771079</v>
      </c>
      <c r="P855" s="10" t="n">
        <v>0.164609884377569</v>
      </c>
      <c r="Q855" s="0" t="str">
        <f aca="false">SUBSTITUTE(SUBSTITUTE($I855,CHAR(61),""),CHAR(34),"")</f>
        <v>50+</v>
      </c>
      <c r="R855" s="0" t="str">
        <f aca="false">IF($D855&lt;&gt;"","["&amp;$E855&amp;"]"&amp;"|"&amp;$Q855&amp;"|"&amp;$K855&amp;"|"&amp;$G855&amp;"|"&amp;IF($G855="TX_CURR_SUBNAT.R","CY2022Q4",$M855),"")</f>
        <v>[ScR9iFKAasW]|50+|Male|HIV_PREV.T_1|CY2023Q3</v>
      </c>
    </row>
    <row r="856" customFormat="false" ht="15" hidden="false" customHeight="false" outlineLevel="0" collapsed="false">
      <c r="D856" s="9" t="s">
        <v>69</v>
      </c>
      <c r="E856" s="9" t="s">
        <v>70</v>
      </c>
      <c r="F856" s="9" t="s">
        <v>71</v>
      </c>
      <c r="G856" s="9" t="s">
        <v>141</v>
      </c>
      <c r="H856" s="9" t="s">
        <v>142</v>
      </c>
      <c r="I856" s="0" t="s">
        <v>28</v>
      </c>
      <c r="J856" s="9" t="s">
        <v>29</v>
      </c>
      <c r="K856" s="9" t="s">
        <v>30</v>
      </c>
      <c r="L856" s="9" t="s">
        <v>31</v>
      </c>
      <c r="M856" s="0" t="s">
        <v>140</v>
      </c>
      <c r="N856" s="0" t="n">
        <v>1236</v>
      </c>
      <c r="O856" s="10" t="n">
        <v>0.410585090750828</v>
      </c>
      <c r="P856" s="10" t="n">
        <v>0.198817263124511</v>
      </c>
      <c r="Q856" s="0" t="str">
        <f aca="false">SUBSTITUTE(SUBSTITUTE($I856,CHAR(61),""),CHAR(34),"")</f>
        <v>&lt;01</v>
      </c>
      <c r="R856" s="0" t="str">
        <f aca="false">IF($D856&lt;&gt;"","["&amp;$E856&amp;"]"&amp;"|"&amp;$Q856&amp;"|"&amp;$K856&amp;"|"&amp;$G856&amp;"|"&amp;IF($G856="TX_CURR_SUBNAT.R","CY2022Q4",$M856),"")</f>
        <v>[PekKUkKHAzY]|&lt;01|Female|HIV_PREV.T_1|CY2023Q3</v>
      </c>
    </row>
    <row r="857" customFormat="false" ht="15" hidden="false" customHeight="false" outlineLevel="0" collapsed="false">
      <c r="D857" s="9" t="s">
        <v>69</v>
      </c>
      <c r="E857" s="9" t="s">
        <v>70</v>
      </c>
      <c r="F857" s="9" t="s">
        <v>71</v>
      </c>
      <c r="G857" s="9" t="s">
        <v>141</v>
      </c>
      <c r="H857" s="9" t="s">
        <v>142</v>
      </c>
      <c r="I857" s="0" t="s">
        <v>33</v>
      </c>
      <c r="J857" s="9" t="s">
        <v>34</v>
      </c>
      <c r="K857" s="9" t="s">
        <v>30</v>
      </c>
      <c r="L857" s="9" t="s">
        <v>31</v>
      </c>
      <c r="M857" s="0" t="s">
        <v>140</v>
      </c>
      <c r="N857" s="0" t="n">
        <v>1903</v>
      </c>
      <c r="O857" s="10" t="n">
        <v>0.604858558857813</v>
      </c>
      <c r="P857" s="10" t="n">
        <v>0.198817263124511</v>
      </c>
      <c r="Q857" s="0" t="str">
        <f aca="false">SUBSTITUTE(SUBSTITUTE($I857,CHAR(61),""),CHAR(34),"")</f>
        <v>01-09</v>
      </c>
      <c r="R857" s="0" t="str">
        <f aca="false">IF($D857&lt;&gt;"","["&amp;$E857&amp;"]"&amp;"|"&amp;$Q857&amp;"|"&amp;$K857&amp;"|"&amp;$G857&amp;"|"&amp;IF($G857="TX_CURR_SUBNAT.R","CY2022Q4",$M857),"")</f>
        <v>[PekKUkKHAzY]|01-09|Female|HIV_PREV.T_1|CY2023Q3</v>
      </c>
    </row>
    <row r="858" customFormat="false" ht="15" hidden="false" customHeight="false" outlineLevel="0" collapsed="false">
      <c r="D858" s="9" t="s">
        <v>69</v>
      </c>
      <c r="E858" s="9" t="s">
        <v>70</v>
      </c>
      <c r="F858" s="9" t="s">
        <v>71</v>
      </c>
      <c r="G858" s="9" t="s">
        <v>141</v>
      </c>
      <c r="H858" s="9" t="s">
        <v>142</v>
      </c>
      <c r="I858" s="0" t="s">
        <v>36</v>
      </c>
      <c r="J858" s="9" t="s">
        <v>37</v>
      </c>
      <c r="K858" s="9" t="s">
        <v>30</v>
      </c>
      <c r="L858" s="9" t="s">
        <v>31</v>
      </c>
      <c r="M858" s="0" t="s">
        <v>140</v>
      </c>
      <c r="N858" s="0" t="n">
        <v>945</v>
      </c>
      <c r="O858" s="10" t="n">
        <v>0.498699254123494</v>
      </c>
      <c r="P858" s="10" t="n">
        <v>0.198817263124511</v>
      </c>
      <c r="Q858" s="0" t="str">
        <f aca="false">SUBSTITUTE(SUBSTITUTE($I858,CHAR(61),""),CHAR(34),"")</f>
        <v>10-14</v>
      </c>
      <c r="R858" s="0" t="str">
        <f aca="false">IF($D858&lt;&gt;"","["&amp;$E858&amp;"]"&amp;"|"&amp;$Q858&amp;"|"&amp;$K858&amp;"|"&amp;$G858&amp;"|"&amp;IF($G858="TX_CURR_SUBNAT.R","CY2022Q4",$M858),"")</f>
        <v>[PekKUkKHAzY]|10-14|Female|HIV_PREV.T_1|CY2023Q3</v>
      </c>
    </row>
    <row r="859" customFormat="false" ht="15" hidden="false" customHeight="false" outlineLevel="0" collapsed="false">
      <c r="D859" s="9" t="s">
        <v>69</v>
      </c>
      <c r="E859" s="9" t="s">
        <v>70</v>
      </c>
      <c r="F859" s="9" t="s">
        <v>71</v>
      </c>
      <c r="G859" s="9" t="s">
        <v>141</v>
      </c>
      <c r="H859" s="9" t="s">
        <v>142</v>
      </c>
      <c r="I859" s="0" t="s">
        <v>38</v>
      </c>
      <c r="J859" s="9" t="s">
        <v>39</v>
      </c>
      <c r="K859" s="9" t="s">
        <v>30</v>
      </c>
      <c r="L859" s="9" t="s">
        <v>31</v>
      </c>
      <c r="M859" s="0" t="s">
        <v>140</v>
      </c>
      <c r="N859" s="0" t="n">
        <v>939</v>
      </c>
      <c r="O859" s="10" t="n">
        <v>0.408220958895981</v>
      </c>
      <c r="P859" s="10" t="n">
        <v>0.198817263124511</v>
      </c>
      <c r="Q859" s="0" t="str">
        <f aca="false">SUBSTITUTE(SUBSTITUTE($I859,CHAR(61),""),CHAR(34),"")</f>
        <v>15-24</v>
      </c>
      <c r="R859" s="0" t="str">
        <f aca="false">IF($D859&lt;&gt;"","["&amp;$E859&amp;"]"&amp;"|"&amp;$Q859&amp;"|"&amp;$K859&amp;"|"&amp;$G859&amp;"|"&amp;IF($G859="TX_CURR_SUBNAT.R","CY2022Q4",$M859),"")</f>
        <v>[PekKUkKHAzY]|15-24|Female|HIV_PREV.T_1|CY2023Q3</v>
      </c>
    </row>
    <row r="860" customFormat="false" ht="15" hidden="false" customHeight="false" outlineLevel="0" collapsed="false">
      <c r="D860" s="9" t="s">
        <v>69</v>
      </c>
      <c r="E860" s="9" t="s">
        <v>70</v>
      </c>
      <c r="F860" s="9" t="s">
        <v>71</v>
      </c>
      <c r="G860" s="9" t="s">
        <v>141</v>
      </c>
      <c r="H860" s="9" t="s">
        <v>142</v>
      </c>
      <c r="I860" s="0" t="s">
        <v>41</v>
      </c>
      <c r="J860" s="9" t="s">
        <v>42</v>
      </c>
      <c r="K860" s="9" t="s">
        <v>30</v>
      </c>
      <c r="L860" s="9" t="s">
        <v>31</v>
      </c>
      <c r="M860" s="0" t="s">
        <v>140</v>
      </c>
      <c r="N860" s="0" t="n">
        <v>909</v>
      </c>
      <c r="O860" s="10" t="n">
        <v>0.420179052976891</v>
      </c>
      <c r="P860" s="10" t="n">
        <v>0.198817263124511</v>
      </c>
      <c r="Q860" s="0" t="str">
        <f aca="false">SUBSTITUTE(SUBSTITUTE($I860,CHAR(61),""),CHAR(34),"")</f>
        <v>25-34</v>
      </c>
      <c r="R860" s="0" t="str">
        <f aca="false">IF($D860&lt;&gt;"","["&amp;$E860&amp;"]"&amp;"|"&amp;$Q860&amp;"|"&amp;$K860&amp;"|"&amp;$G860&amp;"|"&amp;IF($G860="TX_CURR_SUBNAT.R","CY2022Q4",$M860),"")</f>
        <v>[PekKUkKHAzY]|25-34|Female|HIV_PREV.T_1|CY2023Q3</v>
      </c>
    </row>
    <row r="861" customFormat="false" ht="15" hidden="false" customHeight="false" outlineLevel="0" collapsed="false">
      <c r="D861" s="9" t="s">
        <v>69</v>
      </c>
      <c r="E861" s="9" t="s">
        <v>70</v>
      </c>
      <c r="F861" s="9" t="s">
        <v>71</v>
      </c>
      <c r="G861" s="9" t="s">
        <v>141</v>
      </c>
      <c r="H861" s="9" t="s">
        <v>142</v>
      </c>
      <c r="I861" s="0" t="s">
        <v>43</v>
      </c>
      <c r="J861" s="9" t="s">
        <v>44</v>
      </c>
      <c r="K861" s="9" t="s">
        <v>30</v>
      </c>
      <c r="L861" s="9" t="s">
        <v>31</v>
      </c>
      <c r="M861" s="0" t="s">
        <v>140</v>
      </c>
      <c r="N861" s="0" t="n">
        <v>1692</v>
      </c>
      <c r="O861" s="10" t="n">
        <v>0.308862265199423</v>
      </c>
      <c r="P861" s="10" t="n">
        <v>0.198817263124511</v>
      </c>
      <c r="Q861" s="0" t="str">
        <f aca="false">SUBSTITUTE(SUBSTITUTE($I861,CHAR(61),""),CHAR(34),"")</f>
        <v>35-49</v>
      </c>
      <c r="R861" s="0" t="str">
        <f aca="false">IF($D861&lt;&gt;"","["&amp;$E861&amp;"]"&amp;"|"&amp;$Q861&amp;"|"&amp;$K861&amp;"|"&amp;$G861&amp;"|"&amp;IF($G861="TX_CURR_SUBNAT.R","CY2022Q4",$M861),"")</f>
        <v>[PekKUkKHAzY]|35-49|Female|HIV_PREV.T_1|CY2023Q3</v>
      </c>
    </row>
    <row r="862" customFormat="false" ht="15" hidden="false" customHeight="false" outlineLevel="0" collapsed="false">
      <c r="D862" s="9" t="s">
        <v>69</v>
      </c>
      <c r="E862" s="9" t="s">
        <v>70</v>
      </c>
      <c r="F862" s="9" t="s">
        <v>71</v>
      </c>
      <c r="G862" s="9" t="s">
        <v>141</v>
      </c>
      <c r="H862" s="9" t="s">
        <v>142</v>
      </c>
      <c r="I862" s="0" t="s">
        <v>45</v>
      </c>
      <c r="J862" s="9" t="s">
        <v>46</v>
      </c>
      <c r="K862" s="9" t="s">
        <v>30</v>
      </c>
      <c r="L862" s="9" t="s">
        <v>31</v>
      </c>
      <c r="M862" s="0" t="s">
        <v>140</v>
      </c>
      <c r="N862" s="0" t="n">
        <v>1642</v>
      </c>
      <c r="O862" s="10" t="n">
        <v>0.634805279551074</v>
      </c>
      <c r="P862" s="10" t="n">
        <v>0.198817263124511</v>
      </c>
      <c r="Q862" s="0" t="str">
        <f aca="false">SUBSTITUTE(SUBSTITUTE($I862,CHAR(61),""),CHAR(34),"")</f>
        <v>50+</v>
      </c>
      <c r="R862" s="0" t="str">
        <f aca="false">IF($D862&lt;&gt;"","["&amp;$E862&amp;"]"&amp;"|"&amp;$Q862&amp;"|"&amp;$K862&amp;"|"&amp;$G862&amp;"|"&amp;IF($G862="TX_CURR_SUBNAT.R","CY2022Q4",$M862),"")</f>
        <v>[PekKUkKHAzY]|50+|Female|HIV_PREV.T_1|CY2023Q3</v>
      </c>
    </row>
    <row r="863" customFormat="false" ht="15" hidden="false" customHeight="false" outlineLevel="0" collapsed="false">
      <c r="D863" s="9" t="s">
        <v>69</v>
      </c>
      <c r="E863" s="9" t="s">
        <v>70</v>
      </c>
      <c r="F863" s="9" t="s">
        <v>71</v>
      </c>
      <c r="G863" s="9" t="s">
        <v>141</v>
      </c>
      <c r="H863" s="9" t="s">
        <v>142</v>
      </c>
      <c r="I863" s="0" t="s">
        <v>28</v>
      </c>
      <c r="J863" s="9" t="s">
        <v>29</v>
      </c>
      <c r="K863" s="9" t="s">
        <v>48</v>
      </c>
      <c r="L863" s="9" t="s">
        <v>49</v>
      </c>
      <c r="M863" s="0" t="s">
        <v>140</v>
      </c>
      <c r="N863" s="0" t="n">
        <v>1036</v>
      </c>
      <c r="O863" s="10" t="n">
        <v>0.817214315524325</v>
      </c>
      <c r="P863" s="10" t="n">
        <v>0.198817263124511</v>
      </c>
      <c r="Q863" s="0" t="str">
        <f aca="false">SUBSTITUTE(SUBSTITUTE($I863,CHAR(61),""),CHAR(34),"")</f>
        <v>&lt;01</v>
      </c>
      <c r="R863" s="0" t="str">
        <f aca="false">IF($D863&lt;&gt;"","["&amp;$E863&amp;"]"&amp;"|"&amp;$Q863&amp;"|"&amp;$K863&amp;"|"&amp;$G863&amp;"|"&amp;IF($G863="TX_CURR_SUBNAT.R","CY2022Q4",$M863),"")</f>
        <v>[PekKUkKHAzY]|&lt;01|Male|HIV_PREV.T_1|CY2023Q3</v>
      </c>
    </row>
    <row r="864" customFormat="false" ht="15" hidden="false" customHeight="false" outlineLevel="0" collapsed="false">
      <c r="D864" s="9" t="s">
        <v>69</v>
      </c>
      <c r="E864" s="9" t="s">
        <v>70</v>
      </c>
      <c r="F864" s="9" t="s">
        <v>71</v>
      </c>
      <c r="G864" s="9" t="s">
        <v>141</v>
      </c>
      <c r="H864" s="9" t="s">
        <v>142</v>
      </c>
      <c r="I864" s="0" t="s">
        <v>33</v>
      </c>
      <c r="J864" s="9" t="s">
        <v>34</v>
      </c>
      <c r="K864" s="9" t="s">
        <v>48</v>
      </c>
      <c r="L864" s="9" t="s">
        <v>49</v>
      </c>
      <c r="M864" s="0" t="s">
        <v>140</v>
      </c>
      <c r="N864" s="0" t="n">
        <v>570</v>
      </c>
      <c r="O864" s="10" t="n">
        <v>0.2300344936084</v>
      </c>
      <c r="P864" s="10" t="n">
        <v>0.198817263124511</v>
      </c>
      <c r="Q864" s="0" t="str">
        <f aca="false">SUBSTITUTE(SUBSTITUTE($I864,CHAR(61),""),CHAR(34),"")</f>
        <v>01-09</v>
      </c>
      <c r="R864" s="0" t="str">
        <f aca="false">IF($D864&lt;&gt;"","["&amp;$E864&amp;"]"&amp;"|"&amp;$Q864&amp;"|"&amp;$K864&amp;"|"&amp;$G864&amp;"|"&amp;IF($G864="TX_CURR_SUBNAT.R","CY2022Q4",$M864),"")</f>
        <v>[PekKUkKHAzY]|01-09|Male|HIV_PREV.T_1|CY2023Q3</v>
      </c>
    </row>
    <row r="865" customFormat="false" ht="15" hidden="false" customHeight="false" outlineLevel="0" collapsed="false">
      <c r="D865" s="9" t="s">
        <v>69</v>
      </c>
      <c r="E865" s="9" t="s">
        <v>70</v>
      </c>
      <c r="F865" s="9" t="s">
        <v>71</v>
      </c>
      <c r="G865" s="9" t="s">
        <v>141</v>
      </c>
      <c r="H865" s="9" t="s">
        <v>142</v>
      </c>
      <c r="I865" s="0" t="s">
        <v>36</v>
      </c>
      <c r="J865" s="9" t="s">
        <v>37</v>
      </c>
      <c r="K865" s="9" t="s">
        <v>48</v>
      </c>
      <c r="L865" s="9" t="s">
        <v>49</v>
      </c>
      <c r="M865" s="0" t="s">
        <v>140</v>
      </c>
      <c r="N865" s="0" t="n">
        <v>1871</v>
      </c>
      <c r="O865" s="10" t="n">
        <v>0.753187868511304</v>
      </c>
      <c r="P865" s="10" t="n">
        <v>0.198817263124511</v>
      </c>
      <c r="Q865" s="0" t="str">
        <f aca="false">SUBSTITUTE(SUBSTITUTE($I865,CHAR(61),""),CHAR(34),"")</f>
        <v>10-14</v>
      </c>
      <c r="R865" s="0" t="str">
        <f aca="false">IF($D865&lt;&gt;"","["&amp;$E865&amp;"]"&amp;"|"&amp;$Q865&amp;"|"&amp;$K865&amp;"|"&amp;$G865&amp;"|"&amp;IF($G865="TX_CURR_SUBNAT.R","CY2022Q4",$M865),"")</f>
        <v>[PekKUkKHAzY]|10-14|Male|HIV_PREV.T_1|CY2023Q3</v>
      </c>
    </row>
    <row r="866" customFormat="false" ht="15" hidden="false" customHeight="false" outlineLevel="0" collapsed="false">
      <c r="D866" s="9" t="s">
        <v>69</v>
      </c>
      <c r="E866" s="9" t="s">
        <v>70</v>
      </c>
      <c r="F866" s="9" t="s">
        <v>71</v>
      </c>
      <c r="G866" s="9" t="s">
        <v>141</v>
      </c>
      <c r="H866" s="9" t="s">
        <v>142</v>
      </c>
      <c r="I866" s="0" t="s">
        <v>38</v>
      </c>
      <c r="J866" s="9" t="s">
        <v>39</v>
      </c>
      <c r="K866" s="9" t="s">
        <v>48</v>
      </c>
      <c r="L866" s="9" t="s">
        <v>49</v>
      </c>
      <c r="M866" s="0" t="s">
        <v>140</v>
      </c>
      <c r="N866" s="0" t="n">
        <v>1526</v>
      </c>
      <c r="O866" s="10" t="n">
        <v>0.848760816734284</v>
      </c>
      <c r="P866" s="10" t="n">
        <v>0.198817263124511</v>
      </c>
      <c r="Q866" s="0" t="str">
        <f aca="false">SUBSTITUTE(SUBSTITUTE($I866,CHAR(61),""),CHAR(34),"")</f>
        <v>15-24</v>
      </c>
      <c r="R866" s="0" t="str">
        <f aca="false">IF($D866&lt;&gt;"","["&amp;$E866&amp;"]"&amp;"|"&amp;$Q866&amp;"|"&amp;$K866&amp;"|"&amp;$G866&amp;"|"&amp;IF($G866="TX_CURR_SUBNAT.R","CY2022Q4",$M866),"")</f>
        <v>[PekKUkKHAzY]|15-24|Male|HIV_PREV.T_1|CY2023Q3</v>
      </c>
    </row>
    <row r="867" customFormat="false" ht="15" hidden="false" customHeight="false" outlineLevel="0" collapsed="false">
      <c r="D867" s="9" t="s">
        <v>69</v>
      </c>
      <c r="E867" s="9" t="s">
        <v>70</v>
      </c>
      <c r="F867" s="9" t="s">
        <v>71</v>
      </c>
      <c r="G867" s="9" t="s">
        <v>141</v>
      </c>
      <c r="H867" s="9" t="s">
        <v>142</v>
      </c>
      <c r="I867" s="0" t="s">
        <v>41</v>
      </c>
      <c r="J867" s="9" t="s">
        <v>42</v>
      </c>
      <c r="K867" s="9" t="s">
        <v>48</v>
      </c>
      <c r="L867" s="9" t="s">
        <v>49</v>
      </c>
      <c r="M867" s="0" t="s">
        <v>140</v>
      </c>
      <c r="N867" s="0" t="n">
        <v>1934</v>
      </c>
      <c r="O867" s="10" t="n">
        <v>0.689393067732453</v>
      </c>
      <c r="P867" s="10" t="n">
        <v>0.198817263124511</v>
      </c>
      <c r="Q867" s="0" t="str">
        <f aca="false">SUBSTITUTE(SUBSTITUTE($I867,CHAR(61),""),CHAR(34),"")</f>
        <v>25-34</v>
      </c>
      <c r="R867" s="0" t="str">
        <f aca="false">IF($D867&lt;&gt;"","["&amp;$E867&amp;"]"&amp;"|"&amp;$Q867&amp;"|"&amp;$K867&amp;"|"&amp;$G867&amp;"|"&amp;IF($G867="TX_CURR_SUBNAT.R","CY2022Q4",$M867),"")</f>
        <v>[PekKUkKHAzY]|25-34|Male|HIV_PREV.T_1|CY2023Q3</v>
      </c>
    </row>
    <row r="868" customFormat="false" ht="15" hidden="false" customHeight="false" outlineLevel="0" collapsed="false">
      <c r="D868" s="9" t="s">
        <v>69</v>
      </c>
      <c r="E868" s="9" t="s">
        <v>70</v>
      </c>
      <c r="F868" s="9" t="s">
        <v>71</v>
      </c>
      <c r="G868" s="9" t="s">
        <v>141</v>
      </c>
      <c r="H868" s="9" t="s">
        <v>142</v>
      </c>
      <c r="I868" s="0" t="s">
        <v>43</v>
      </c>
      <c r="J868" s="9" t="s">
        <v>44</v>
      </c>
      <c r="K868" s="9" t="s">
        <v>48</v>
      </c>
      <c r="L868" s="9" t="s">
        <v>49</v>
      </c>
      <c r="M868" s="0" t="s">
        <v>140</v>
      </c>
      <c r="N868" s="0" t="n">
        <v>1076</v>
      </c>
      <c r="O868" s="10" t="n">
        <v>0.501269691623747</v>
      </c>
      <c r="P868" s="10" t="n">
        <v>0.198817263124511</v>
      </c>
      <c r="Q868" s="0" t="str">
        <f aca="false">SUBSTITUTE(SUBSTITUTE($I868,CHAR(61),""),CHAR(34),"")</f>
        <v>35-49</v>
      </c>
      <c r="R868" s="0" t="str">
        <f aca="false">IF($D868&lt;&gt;"","["&amp;$E868&amp;"]"&amp;"|"&amp;$Q868&amp;"|"&amp;$K868&amp;"|"&amp;$G868&amp;"|"&amp;IF($G868="TX_CURR_SUBNAT.R","CY2022Q4",$M868),"")</f>
        <v>[PekKUkKHAzY]|35-49|Male|HIV_PREV.T_1|CY2023Q3</v>
      </c>
    </row>
    <row r="869" customFormat="false" ht="15" hidden="false" customHeight="false" outlineLevel="0" collapsed="false">
      <c r="D869" s="9" t="s">
        <v>69</v>
      </c>
      <c r="E869" s="9" t="s">
        <v>70</v>
      </c>
      <c r="F869" s="9" t="s">
        <v>71</v>
      </c>
      <c r="G869" s="9" t="s">
        <v>141</v>
      </c>
      <c r="H869" s="9" t="s">
        <v>142</v>
      </c>
      <c r="I869" s="0" t="s">
        <v>45</v>
      </c>
      <c r="J869" s="9" t="s">
        <v>46</v>
      </c>
      <c r="K869" s="9" t="s">
        <v>48</v>
      </c>
      <c r="L869" s="9" t="s">
        <v>49</v>
      </c>
      <c r="M869" s="0" t="s">
        <v>140</v>
      </c>
      <c r="N869" s="0" t="n">
        <v>1688</v>
      </c>
      <c r="O869" s="10" t="n">
        <v>0.112396675162017</v>
      </c>
      <c r="P869" s="10" t="n">
        <v>0.198817263124511</v>
      </c>
      <c r="Q869" s="0" t="str">
        <f aca="false">SUBSTITUTE(SUBSTITUTE($I869,CHAR(61),""),CHAR(34),"")</f>
        <v>50+</v>
      </c>
      <c r="R869" s="0" t="str">
        <f aca="false">IF($D869&lt;&gt;"","["&amp;$E869&amp;"]"&amp;"|"&amp;$Q869&amp;"|"&amp;$K869&amp;"|"&amp;$G869&amp;"|"&amp;IF($G869="TX_CURR_SUBNAT.R","CY2022Q4",$M869),"")</f>
        <v>[PekKUkKHAzY]|50+|Male|HIV_PREV.T_1|CY2023Q3</v>
      </c>
    </row>
    <row r="870" customFormat="false" ht="15" hidden="false" customHeight="false" outlineLevel="0" collapsed="false">
      <c r="D870" s="9" t="s">
        <v>72</v>
      </c>
      <c r="E870" s="9" t="s">
        <v>73</v>
      </c>
      <c r="F870" s="9" t="s">
        <v>74</v>
      </c>
      <c r="G870" s="9" t="s">
        <v>141</v>
      </c>
      <c r="H870" s="9" t="s">
        <v>142</v>
      </c>
      <c r="I870" s="0" t="s">
        <v>28</v>
      </c>
      <c r="J870" s="9" t="s">
        <v>29</v>
      </c>
      <c r="K870" s="9" t="s">
        <v>30</v>
      </c>
      <c r="L870" s="9" t="s">
        <v>31</v>
      </c>
      <c r="M870" s="0" t="s">
        <v>140</v>
      </c>
      <c r="N870" s="0" t="n">
        <v>1107</v>
      </c>
      <c r="O870" s="10" t="n">
        <v>0.403288127388805</v>
      </c>
      <c r="P870" s="10" t="n">
        <v>0.289728706935421</v>
      </c>
      <c r="Q870" s="0" t="str">
        <f aca="false">SUBSTITUTE(SUBSTITUTE($I870,CHAR(61),""),CHAR(34),"")</f>
        <v>&lt;01</v>
      </c>
      <c r="R870" s="0" t="str">
        <f aca="false">IF($D870&lt;&gt;"","["&amp;$E870&amp;"]"&amp;"|"&amp;$Q870&amp;"|"&amp;$K870&amp;"|"&amp;$G870&amp;"|"&amp;IF($G870="TX_CURR_SUBNAT.R","CY2022Q4",$M870),"")</f>
        <v>[am530wpaGvr]|&lt;01|Female|HIV_PREV.T_1|CY2023Q3</v>
      </c>
    </row>
    <row r="871" customFormat="false" ht="15" hidden="false" customHeight="false" outlineLevel="0" collapsed="false">
      <c r="D871" s="9" t="s">
        <v>72</v>
      </c>
      <c r="E871" s="9" t="s">
        <v>73</v>
      </c>
      <c r="F871" s="9" t="s">
        <v>74</v>
      </c>
      <c r="G871" s="9" t="s">
        <v>141</v>
      </c>
      <c r="H871" s="9" t="s">
        <v>142</v>
      </c>
      <c r="I871" s="0" t="s">
        <v>33</v>
      </c>
      <c r="J871" s="9" t="s">
        <v>34</v>
      </c>
      <c r="K871" s="9" t="s">
        <v>30</v>
      </c>
      <c r="L871" s="9" t="s">
        <v>31</v>
      </c>
      <c r="M871" s="0" t="s">
        <v>140</v>
      </c>
      <c r="N871" s="0" t="n">
        <v>1833</v>
      </c>
      <c r="O871" s="10" t="n">
        <v>0.107122624758631</v>
      </c>
      <c r="P871" s="10" t="n">
        <v>0.289728706935421</v>
      </c>
      <c r="Q871" s="0" t="str">
        <f aca="false">SUBSTITUTE(SUBSTITUTE($I871,CHAR(61),""),CHAR(34),"")</f>
        <v>01-09</v>
      </c>
      <c r="R871" s="0" t="str">
        <f aca="false">IF($D871&lt;&gt;"","["&amp;$E871&amp;"]"&amp;"|"&amp;$Q871&amp;"|"&amp;$K871&amp;"|"&amp;$G871&amp;"|"&amp;IF($G871="TX_CURR_SUBNAT.R","CY2022Q4",$M871),"")</f>
        <v>[am530wpaGvr]|01-09|Female|HIV_PREV.T_1|CY2023Q3</v>
      </c>
    </row>
    <row r="872" customFormat="false" ht="15" hidden="false" customHeight="false" outlineLevel="0" collapsed="false">
      <c r="D872" s="9" t="s">
        <v>72</v>
      </c>
      <c r="E872" s="9" t="s">
        <v>73</v>
      </c>
      <c r="F872" s="9" t="s">
        <v>74</v>
      </c>
      <c r="G872" s="9" t="s">
        <v>141</v>
      </c>
      <c r="H872" s="9" t="s">
        <v>142</v>
      </c>
      <c r="I872" s="0" t="s">
        <v>36</v>
      </c>
      <c r="J872" s="9" t="s">
        <v>37</v>
      </c>
      <c r="K872" s="9" t="s">
        <v>30</v>
      </c>
      <c r="L872" s="9" t="s">
        <v>31</v>
      </c>
      <c r="M872" s="0" t="s">
        <v>140</v>
      </c>
      <c r="N872" s="0" t="n">
        <v>768</v>
      </c>
      <c r="O872" s="10" t="n">
        <v>0.528951859800145</v>
      </c>
      <c r="P872" s="10" t="n">
        <v>0.289728706935421</v>
      </c>
      <c r="Q872" s="0" t="str">
        <f aca="false">SUBSTITUTE(SUBSTITUTE($I872,CHAR(61),""),CHAR(34),"")</f>
        <v>10-14</v>
      </c>
      <c r="R872" s="0" t="str">
        <f aca="false">IF($D872&lt;&gt;"","["&amp;$E872&amp;"]"&amp;"|"&amp;$Q872&amp;"|"&amp;$K872&amp;"|"&amp;$G872&amp;"|"&amp;IF($G872="TX_CURR_SUBNAT.R","CY2022Q4",$M872),"")</f>
        <v>[am530wpaGvr]|10-14|Female|HIV_PREV.T_1|CY2023Q3</v>
      </c>
    </row>
    <row r="873" customFormat="false" ht="15" hidden="false" customHeight="false" outlineLevel="0" collapsed="false">
      <c r="D873" s="9" t="s">
        <v>72</v>
      </c>
      <c r="E873" s="9" t="s">
        <v>73</v>
      </c>
      <c r="F873" s="9" t="s">
        <v>74</v>
      </c>
      <c r="G873" s="9" t="s">
        <v>141</v>
      </c>
      <c r="H873" s="9" t="s">
        <v>142</v>
      </c>
      <c r="I873" s="0" t="s">
        <v>38</v>
      </c>
      <c r="J873" s="9" t="s">
        <v>39</v>
      </c>
      <c r="K873" s="9" t="s">
        <v>30</v>
      </c>
      <c r="L873" s="9" t="s">
        <v>31</v>
      </c>
      <c r="M873" s="0" t="s">
        <v>140</v>
      </c>
      <c r="N873" s="0" t="n">
        <v>655</v>
      </c>
      <c r="O873" s="10" t="n">
        <v>0.895263186888769</v>
      </c>
      <c r="P873" s="10" t="n">
        <v>0.289728706935421</v>
      </c>
      <c r="Q873" s="0" t="str">
        <f aca="false">SUBSTITUTE(SUBSTITUTE($I873,CHAR(61),""),CHAR(34),"")</f>
        <v>15-24</v>
      </c>
      <c r="R873" s="0" t="str">
        <f aca="false">IF($D873&lt;&gt;"","["&amp;$E873&amp;"]"&amp;"|"&amp;$Q873&amp;"|"&amp;$K873&amp;"|"&amp;$G873&amp;"|"&amp;IF($G873="TX_CURR_SUBNAT.R","CY2022Q4",$M873),"")</f>
        <v>[am530wpaGvr]|15-24|Female|HIV_PREV.T_1|CY2023Q3</v>
      </c>
    </row>
    <row r="874" customFormat="false" ht="15" hidden="false" customHeight="false" outlineLevel="0" collapsed="false">
      <c r="D874" s="9" t="s">
        <v>72</v>
      </c>
      <c r="E874" s="9" t="s">
        <v>73</v>
      </c>
      <c r="F874" s="9" t="s">
        <v>74</v>
      </c>
      <c r="G874" s="9" t="s">
        <v>141</v>
      </c>
      <c r="H874" s="9" t="s">
        <v>142</v>
      </c>
      <c r="I874" s="0" t="s">
        <v>41</v>
      </c>
      <c r="J874" s="9" t="s">
        <v>42</v>
      </c>
      <c r="K874" s="9" t="s">
        <v>30</v>
      </c>
      <c r="L874" s="9" t="s">
        <v>31</v>
      </c>
      <c r="M874" s="0" t="s">
        <v>140</v>
      </c>
      <c r="N874" s="0" t="n">
        <v>1893</v>
      </c>
      <c r="O874" s="10" t="n">
        <v>0.844304748112336</v>
      </c>
      <c r="P874" s="10" t="n">
        <v>0.289728706935421</v>
      </c>
      <c r="Q874" s="0" t="str">
        <f aca="false">SUBSTITUTE(SUBSTITUTE($I874,CHAR(61),""),CHAR(34),"")</f>
        <v>25-34</v>
      </c>
      <c r="R874" s="0" t="str">
        <f aca="false">IF($D874&lt;&gt;"","["&amp;$E874&amp;"]"&amp;"|"&amp;$Q874&amp;"|"&amp;$K874&amp;"|"&amp;$G874&amp;"|"&amp;IF($G874="TX_CURR_SUBNAT.R","CY2022Q4",$M874),"")</f>
        <v>[am530wpaGvr]|25-34|Female|HIV_PREV.T_1|CY2023Q3</v>
      </c>
    </row>
    <row r="875" customFormat="false" ht="15" hidden="false" customHeight="false" outlineLevel="0" collapsed="false">
      <c r="D875" s="9" t="s">
        <v>72</v>
      </c>
      <c r="E875" s="9" t="s">
        <v>73</v>
      </c>
      <c r="F875" s="9" t="s">
        <v>74</v>
      </c>
      <c r="G875" s="9" t="s">
        <v>141</v>
      </c>
      <c r="H875" s="9" t="s">
        <v>142</v>
      </c>
      <c r="I875" s="0" t="s">
        <v>43</v>
      </c>
      <c r="J875" s="9" t="s">
        <v>44</v>
      </c>
      <c r="K875" s="9" t="s">
        <v>30</v>
      </c>
      <c r="L875" s="9" t="s">
        <v>31</v>
      </c>
      <c r="M875" s="0" t="s">
        <v>140</v>
      </c>
      <c r="N875" s="0" t="n">
        <v>715</v>
      </c>
      <c r="O875" s="10" t="n">
        <v>0.331813209457323</v>
      </c>
      <c r="P875" s="10" t="n">
        <v>0.289728706935421</v>
      </c>
      <c r="Q875" s="0" t="str">
        <f aca="false">SUBSTITUTE(SUBSTITUTE($I875,CHAR(61),""),CHAR(34),"")</f>
        <v>35-49</v>
      </c>
      <c r="R875" s="0" t="str">
        <f aca="false">IF($D875&lt;&gt;"","["&amp;$E875&amp;"]"&amp;"|"&amp;$Q875&amp;"|"&amp;$K875&amp;"|"&amp;$G875&amp;"|"&amp;IF($G875="TX_CURR_SUBNAT.R","CY2022Q4",$M875),"")</f>
        <v>[am530wpaGvr]|35-49|Female|HIV_PREV.T_1|CY2023Q3</v>
      </c>
    </row>
    <row r="876" customFormat="false" ht="15" hidden="false" customHeight="false" outlineLevel="0" collapsed="false">
      <c r="D876" s="9" t="s">
        <v>72</v>
      </c>
      <c r="E876" s="9" t="s">
        <v>73</v>
      </c>
      <c r="F876" s="9" t="s">
        <v>74</v>
      </c>
      <c r="G876" s="9" t="s">
        <v>141</v>
      </c>
      <c r="H876" s="9" t="s">
        <v>142</v>
      </c>
      <c r="I876" s="0" t="s">
        <v>45</v>
      </c>
      <c r="J876" s="9" t="s">
        <v>46</v>
      </c>
      <c r="K876" s="9" t="s">
        <v>30</v>
      </c>
      <c r="L876" s="9" t="s">
        <v>31</v>
      </c>
      <c r="M876" s="0" t="s">
        <v>140</v>
      </c>
      <c r="N876" s="0" t="n">
        <v>928</v>
      </c>
      <c r="O876" s="10" t="n">
        <v>0.401380909839645</v>
      </c>
      <c r="P876" s="10" t="n">
        <v>0.289728706935421</v>
      </c>
      <c r="Q876" s="0" t="str">
        <f aca="false">SUBSTITUTE(SUBSTITUTE($I876,CHAR(61),""),CHAR(34),"")</f>
        <v>50+</v>
      </c>
      <c r="R876" s="0" t="str">
        <f aca="false">IF($D876&lt;&gt;"","["&amp;$E876&amp;"]"&amp;"|"&amp;$Q876&amp;"|"&amp;$K876&amp;"|"&amp;$G876&amp;"|"&amp;IF($G876="TX_CURR_SUBNAT.R","CY2022Q4",$M876),"")</f>
        <v>[am530wpaGvr]|50+|Female|HIV_PREV.T_1|CY2023Q3</v>
      </c>
    </row>
    <row r="877" customFormat="false" ht="15" hidden="false" customHeight="false" outlineLevel="0" collapsed="false">
      <c r="D877" s="9" t="s">
        <v>72</v>
      </c>
      <c r="E877" s="9" t="s">
        <v>73</v>
      </c>
      <c r="F877" s="9" t="s">
        <v>74</v>
      </c>
      <c r="G877" s="9" t="s">
        <v>141</v>
      </c>
      <c r="H877" s="9" t="s">
        <v>142</v>
      </c>
      <c r="I877" s="0" t="s">
        <v>28</v>
      </c>
      <c r="J877" s="9" t="s">
        <v>29</v>
      </c>
      <c r="K877" s="9" t="s">
        <v>48</v>
      </c>
      <c r="L877" s="9" t="s">
        <v>49</v>
      </c>
      <c r="M877" s="0" t="s">
        <v>140</v>
      </c>
      <c r="N877" s="0" t="n">
        <v>1994</v>
      </c>
      <c r="O877" s="10" t="n">
        <v>0.935463000321761</v>
      </c>
      <c r="P877" s="10" t="n">
        <v>0.289728706935421</v>
      </c>
      <c r="Q877" s="0" t="str">
        <f aca="false">SUBSTITUTE(SUBSTITUTE($I877,CHAR(61),""),CHAR(34),"")</f>
        <v>&lt;01</v>
      </c>
      <c r="R877" s="0" t="str">
        <f aca="false">IF($D877&lt;&gt;"","["&amp;$E877&amp;"]"&amp;"|"&amp;$Q877&amp;"|"&amp;$K877&amp;"|"&amp;$G877&amp;"|"&amp;IF($G877="TX_CURR_SUBNAT.R","CY2022Q4",$M877),"")</f>
        <v>[am530wpaGvr]|&lt;01|Male|HIV_PREV.T_1|CY2023Q3</v>
      </c>
    </row>
    <row r="878" customFormat="false" ht="15" hidden="false" customHeight="false" outlineLevel="0" collapsed="false">
      <c r="D878" s="9" t="s">
        <v>72</v>
      </c>
      <c r="E878" s="9" t="s">
        <v>73</v>
      </c>
      <c r="F878" s="9" t="s">
        <v>74</v>
      </c>
      <c r="G878" s="9" t="s">
        <v>141</v>
      </c>
      <c r="H878" s="9" t="s">
        <v>142</v>
      </c>
      <c r="I878" s="0" t="s">
        <v>33</v>
      </c>
      <c r="J878" s="9" t="s">
        <v>34</v>
      </c>
      <c r="K878" s="9" t="s">
        <v>48</v>
      </c>
      <c r="L878" s="9" t="s">
        <v>49</v>
      </c>
      <c r="M878" s="0" t="s">
        <v>140</v>
      </c>
      <c r="N878" s="0" t="n">
        <v>550</v>
      </c>
      <c r="O878" s="10" t="n">
        <v>0.132701120339334</v>
      </c>
      <c r="P878" s="10" t="n">
        <v>0.289728706935421</v>
      </c>
      <c r="Q878" s="0" t="str">
        <f aca="false">SUBSTITUTE(SUBSTITUTE($I878,CHAR(61),""),CHAR(34),"")</f>
        <v>01-09</v>
      </c>
      <c r="R878" s="0" t="str">
        <f aca="false">IF($D878&lt;&gt;"","["&amp;$E878&amp;"]"&amp;"|"&amp;$Q878&amp;"|"&amp;$K878&amp;"|"&amp;$G878&amp;"|"&amp;IF($G878="TX_CURR_SUBNAT.R","CY2022Q4",$M878),"")</f>
        <v>[am530wpaGvr]|01-09|Male|HIV_PREV.T_1|CY2023Q3</v>
      </c>
    </row>
    <row r="879" customFormat="false" ht="15" hidden="false" customHeight="false" outlineLevel="0" collapsed="false">
      <c r="D879" s="9" t="s">
        <v>72</v>
      </c>
      <c r="E879" s="9" t="s">
        <v>73</v>
      </c>
      <c r="F879" s="9" t="s">
        <v>74</v>
      </c>
      <c r="G879" s="9" t="s">
        <v>141</v>
      </c>
      <c r="H879" s="9" t="s">
        <v>142</v>
      </c>
      <c r="I879" s="0" t="s">
        <v>36</v>
      </c>
      <c r="J879" s="9" t="s">
        <v>37</v>
      </c>
      <c r="K879" s="9" t="s">
        <v>48</v>
      </c>
      <c r="L879" s="9" t="s">
        <v>49</v>
      </c>
      <c r="M879" s="0" t="s">
        <v>140</v>
      </c>
      <c r="N879" s="0" t="n">
        <v>1383</v>
      </c>
      <c r="O879" s="10" t="n">
        <v>0.556863816687837</v>
      </c>
      <c r="P879" s="10" t="n">
        <v>0.289728706935421</v>
      </c>
      <c r="Q879" s="0" t="str">
        <f aca="false">SUBSTITUTE(SUBSTITUTE($I879,CHAR(61),""),CHAR(34),"")</f>
        <v>10-14</v>
      </c>
      <c r="R879" s="0" t="str">
        <f aca="false">IF($D879&lt;&gt;"","["&amp;$E879&amp;"]"&amp;"|"&amp;$Q879&amp;"|"&amp;$K879&amp;"|"&amp;$G879&amp;"|"&amp;IF($G879="TX_CURR_SUBNAT.R","CY2022Q4",$M879),"")</f>
        <v>[am530wpaGvr]|10-14|Male|HIV_PREV.T_1|CY2023Q3</v>
      </c>
    </row>
    <row r="880" customFormat="false" ht="15" hidden="false" customHeight="false" outlineLevel="0" collapsed="false">
      <c r="D880" s="9" t="s">
        <v>72</v>
      </c>
      <c r="E880" s="9" t="s">
        <v>73</v>
      </c>
      <c r="F880" s="9" t="s">
        <v>74</v>
      </c>
      <c r="G880" s="9" t="s">
        <v>141</v>
      </c>
      <c r="H880" s="9" t="s">
        <v>142</v>
      </c>
      <c r="I880" s="0" t="s">
        <v>38</v>
      </c>
      <c r="J880" s="9" t="s">
        <v>39</v>
      </c>
      <c r="K880" s="9" t="s">
        <v>48</v>
      </c>
      <c r="L880" s="9" t="s">
        <v>49</v>
      </c>
      <c r="M880" s="0" t="s">
        <v>140</v>
      </c>
      <c r="N880" s="0" t="n">
        <v>607</v>
      </c>
      <c r="O880" s="10" t="n">
        <v>0.673317071981728</v>
      </c>
      <c r="P880" s="10" t="n">
        <v>0.289728706935421</v>
      </c>
      <c r="Q880" s="0" t="str">
        <f aca="false">SUBSTITUTE(SUBSTITUTE($I880,CHAR(61),""),CHAR(34),"")</f>
        <v>15-24</v>
      </c>
      <c r="R880" s="0" t="str">
        <f aca="false">IF($D880&lt;&gt;"","["&amp;$E880&amp;"]"&amp;"|"&amp;$Q880&amp;"|"&amp;$K880&amp;"|"&amp;$G880&amp;"|"&amp;IF($G880="TX_CURR_SUBNAT.R","CY2022Q4",$M880),"")</f>
        <v>[am530wpaGvr]|15-24|Male|HIV_PREV.T_1|CY2023Q3</v>
      </c>
    </row>
    <row r="881" customFormat="false" ht="15" hidden="false" customHeight="false" outlineLevel="0" collapsed="false">
      <c r="D881" s="9" t="s">
        <v>72</v>
      </c>
      <c r="E881" s="9" t="s">
        <v>73</v>
      </c>
      <c r="F881" s="9" t="s">
        <v>74</v>
      </c>
      <c r="G881" s="9" t="s">
        <v>141</v>
      </c>
      <c r="H881" s="9" t="s">
        <v>142</v>
      </c>
      <c r="I881" s="0" t="s">
        <v>41</v>
      </c>
      <c r="J881" s="9" t="s">
        <v>42</v>
      </c>
      <c r="K881" s="9" t="s">
        <v>48</v>
      </c>
      <c r="L881" s="9" t="s">
        <v>49</v>
      </c>
      <c r="M881" s="0" t="s">
        <v>140</v>
      </c>
      <c r="N881" s="0" t="n">
        <v>1623</v>
      </c>
      <c r="O881" s="10" t="n">
        <v>0.262632538564503</v>
      </c>
      <c r="P881" s="10" t="n">
        <v>0.289728706935421</v>
      </c>
      <c r="Q881" s="0" t="str">
        <f aca="false">SUBSTITUTE(SUBSTITUTE($I881,CHAR(61),""),CHAR(34),"")</f>
        <v>25-34</v>
      </c>
      <c r="R881" s="0" t="str">
        <f aca="false">IF($D881&lt;&gt;"","["&amp;$E881&amp;"]"&amp;"|"&amp;$Q881&amp;"|"&amp;$K881&amp;"|"&amp;$G881&amp;"|"&amp;IF($G881="TX_CURR_SUBNAT.R","CY2022Q4",$M881),"")</f>
        <v>[am530wpaGvr]|25-34|Male|HIV_PREV.T_1|CY2023Q3</v>
      </c>
    </row>
    <row r="882" customFormat="false" ht="15" hidden="false" customHeight="false" outlineLevel="0" collapsed="false">
      <c r="D882" s="9" t="s">
        <v>72</v>
      </c>
      <c r="E882" s="9" t="s">
        <v>73</v>
      </c>
      <c r="F882" s="9" t="s">
        <v>74</v>
      </c>
      <c r="G882" s="9" t="s">
        <v>141</v>
      </c>
      <c r="H882" s="9" t="s">
        <v>142</v>
      </c>
      <c r="I882" s="0" t="s">
        <v>43</v>
      </c>
      <c r="J882" s="9" t="s">
        <v>44</v>
      </c>
      <c r="K882" s="9" t="s">
        <v>48</v>
      </c>
      <c r="L882" s="9" t="s">
        <v>49</v>
      </c>
      <c r="M882" s="0" t="s">
        <v>140</v>
      </c>
      <c r="N882" s="0" t="n">
        <v>527</v>
      </c>
      <c r="O882" s="10" t="n">
        <v>0.495422391220927</v>
      </c>
      <c r="P882" s="10" t="n">
        <v>0.289728706935421</v>
      </c>
      <c r="Q882" s="0" t="str">
        <f aca="false">SUBSTITUTE(SUBSTITUTE($I882,CHAR(61),""),CHAR(34),"")</f>
        <v>35-49</v>
      </c>
      <c r="R882" s="0" t="str">
        <f aca="false">IF($D882&lt;&gt;"","["&amp;$E882&amp;"]"&amp;"|"&amp;$Q882&amp;"|"&amp;$K882&amp;"|"&amp;$G882&amp;"|"&amp;IF($G882="TX_CURR_SUBNAT.R","CY2022Q4",$M882),"")</f>
        <v>[am530wpaGvr]|35-49|Male|HIV_PREV.T_1|CY2023Q3</v>
      </c>
    </row>
    <row r="883" customFormat="false" ht="15" hidden="false" customHeight="false" outlineLevel="0" collapsed="false">
      <c r="D883" s="9" t="s">
        <v>72</v>
      </c>
      <c r="E883" s="9" t="s">
        <v>73</v>
      </c>
      <c r="F883" s="9" t="s">
        <v>74</v>
      </c>
      <c r="G883" s="9" t="s">
        <v>141</v>
      </c>
      <c r="H883" s="9" t="s">
        <v>142</v>
      </c>
      <c r="I883" s="0" t="s">
        <v>45</v>
      </c>
      <c r="J883" s="9" t="s">
        <v>46</v>
      </c>
      <c r="K883" s="9" t="s">
        <v>48</v>
      </c>
      <c r="L883" s="9" t="s">
        <v>49</v>
      </c>
      <c r="M883" s="0" t="s">
        <v>140</v>
      </c>
      <c r="N883" s="0" t="n">
        <v>1350</v>
      </c>
      <c r="O883" s="10" t="n">
        <v>0.478334872983396</v>
      </c>
      <c r="P883" s="10" t="n">
        <v>0.289728706935421</v>
      </c>
      <c r="Q883" s="0" t="str">
        <f aca="false">SUBSTITUTE(SUBSTITUTE($I883,CHAR(61),""),CHAR(34),"")</f>
        <v>50+</v>
      </c>
      <c r="R883" s="0" t="str">
        <f aca="false">IF($D883&lt;&gt;"","["&amp;$E883&amp;"]"&amp;"|"&amp;$Q883&amp;"|"&amp;$K883&amp;"|"&amp;$G883&amp;"|"&amp;IF($G883="TX_CURR_SUBNAT.R","CY2022Q4",$M883),"")</f>
        <v>[am530wpaGvr]|50+|Male|HIV_PREV.T_1|CY2023Q3</v>
      </c>
    </row>
    <row r="884" customFormat="false" ht="15" hidden="false" customHeight="false" outlineLevel="0" collapsed="false">
      <c r="D884" s="9" t="s">
        <v>75</v>
      </c>
      <c r="E884" s="9" t="s">
        <v>76</v>
      </c>
      <c r="F884" s="9" t="s">
        <v>77</v>
      </c>
      <c r="G884" s="9" t="s">
        <v>141</v>
      </c>
      <c r="H884" s="9" t="s">
        <v>142</v>
      </c>
      <c r="I884" s="0" t="s">
        <v>28</v>
      </c>
      <c r="J884" s="9" t="s">
        <v>29</v>
      </c>
      <c r="K884" s="9" t="s">
        <v>30</v>
      </c>
      <c r="L884" s="9" t="s">
        <v>31</v>
      </c>
      <c r="M884" s="0" t="s">
        <v>140</v>
      </c>
      <c r="N884" s="0" t="n">
        <v>1576</v>
      </c>
      <c r="O884" s="10" t="n">
        <v>0.146321733016521</v>
      </c>
      <c r="P884" s="10" t="n">
        <v>0.303055507596582</v>
      </c>
      <c r="Q884" s="0" t="str">
        <f aca="false">SUBSTITUTE(SUBSTITUTE($I884,CHAR(61),""),CHAR(34),"")</f>
        <v>&lt;01</v>
      </c>
      <c r="R884" s="0" t="str">
        <f aca="false">IF($D884&lt;&gt;"","["&amp;$E884&amp;"]"&amp;"|"&amp;$Q884&amp;"|"&amp;$K884&amp;"|"&amp;$G884&amp;"|"&amp;IF($G884="TX_CURR_SUBNAT.R","CY2022Q4",$M884),"")</f>
        <v>[lLDyBx5XyUi]|&lt;01|Female|HIV_PREV.T_1|CY2023Q3</v>
      </c>
    </row>
    <row r="885" customFormat="false" ht="15" hidden="false" customHeight="false" outlineLevel="0" collapsed="false">
      <c r="D885" s="9" t="s">
        <v>75</v>
      </c>
      <c r="E885" s="9" t="s">
        <v>76</v>
      </c>
      <c r="F885" s="9" t="s">
        <v>77</v>
      </c>
      <c r="G885" s="9" t="s">
        <v>141</v>
      </c>
      <c r="H885" s="9" t="s">
        <v>142</v>
      </c>
      <c r="I885" s="0" t="s">
        <v>33</v>
      </c>
      <c r="J885" s="9" t="s">
        <v>34</v>
      </c>
      <c r="K885" s="9" t="s">
        <v>30</v>
      </c>
      <c r="L885" s="9" t="s">
        <v>31</v>
      </c>
      <c r="M885" s="0" t="s">
        <v>140</v>
      </c>
      <c r="N885" s="0" t="n">
        <v>1578</v>
      </c>
      <c r="O885" s="10" t="n">
        <v>0.0816338111180812</v>
      </c>
      <c r="P885" s="10" t="n">
        <v>0.303055507596582</v>
      </c>
      <c r="Q885" s="0" t="str">
        <f aca="false">SUBSTITUTE(SUBSTITUTE($I885,CHAR(61),""),CHAR(34),"")</f>
        <v>01-09</v>
      </c>
      <c r="R885" s="0" t="str">
        <f aca="false">IF($D885&lt;&gt;"","["&amp;$E885&amp;"]"&amp;"|"&amp;$Q885&amp;"|"&amp;$K885&amp;"|"&amp;$G885&amp;"|"&amp;IF($G885="TX_CURR_SUBNAT.R","CY2022Q4",$M885),"")</f>
        <v>[lLDyBx5XyUi]|01-09|Female|HIV_PREV.T_1|CY2023Q3</v>
      </c>
    </row>
    <row r="886" customFormat="false" ht="15" hidden="false" customHeight="false" outlineLevel="0" collapsed="false">
      <c r="D886" s="9" t="s">
        <v>75</v>
      </c>
      <c r="E886" s="9" t="s">
        <v>76</v>
      </c>
      <c r="F886" s="9" t="s">
        <v>77</v>
      </c>
      <c r="G886" s="9" t="s">
        <v>141</v>
      </c>
      <c r="H886" s="9" t="s">
        <v>142</v>
      </c>
      <c r="I886" s="0" t="s">
        <v>36</v>
      </c>
      <c r="J886" s="9" t="s">
        <v>37</v>
      </c>
      <c r="K886" s="9" t="s">
        <v>30</v>
      </c>
      <c r="L886" s="9" t="s">
        <v>31</v>
      </c>
      <c r="M886" s="0" t="s">
        <v>140</v>
      </c>
      <c r="N886" s="0" t="n">
        <v>1133</v>
      </c>
      <c r="O886" s="10" t="n">
        <v>0.802387087838724</v>
      </c>
      <c r="P886" s="10" t="n">
        <v>0.303055507596582</v>
      </c>
      <c r="Q886" s="0" t="str">
        <f aca="false">SUBSTITUTE(SUBSTITUTE($I886,CHAR(61),""),CHAR(34),"")</f>
        <v>10-14</v>
      </c>
      <c r="R886" s="0" t="str">
        <f aca="false">IF($D886&lt;&gt;"","["&amp;$E886&amp;"]"&amp;"|"&amp;$Q886&amp;"|"&amp;$K886&amp;"|"&amp;$G886&amp;"|"&amp;IF($G886="TX_CURR_SUBNAT.R","CY2022Q4",$M886),"")</f>
        <v>[lLDyBx5XyUi]|10-14|Female|HIV_PREV.T_1|CY2023Q3</v>
      </c>
    </row>
    <row r="887" customFormat="false" ht="15" hidden="false" customHeight="false" outlineLevel="0" collapsed="false">
      <c r="D887" s="9" t="s">
        <v>75</v>
      </c>
      <c r="E887" s="9" t="s">
        <v>76</v>
      </c>
      <c r="F887" s="9" t="s">
        <v>77</v>
      </c>
      <c r="G887" s="9" t="s">
        <v>141</v>
      </c>
      <c r="H887" s="9" t="s">
        <v>142</v>
      </c>
      <c r="I887" s="0" t="s">
        <v>38</v>
      </c>
      <c r="J887" s="9" t="s">
        <v>39</v>
      </c>
      <c r="K887" s="9" t="s">
        <v>30</v>
      </c>
      <c r="L887" s="9" t="s">
        <v>31</v>
      </c>
      <c r="M887" s="0" t="s">
        <v>140</v>
      </c>
      <c r="N887" s="0" t="n">
        <v>1883</v>
      </c>
      <c r="O887" s="10" t="n">
        <v>0.535026179160923</v>
      </c>
      <c r="P887" s="10" t="n">
        <v>0.303055507596582</v>
      </c>
      <c r="Q887" s="0" t="str">
        <f aca="false">SUBSTITUTE(SUBSTITUTE($I887,CHAR(61),""),CHAR(34),"")</f>
        <v>15-24</v>
      </c>
      <c r="R887" s="0" t="str">
        <f aca="false">IF($D887&lt;&gt;"","["&amp;$E887&amp;"]"&amp;"|"&amp;$Q887&amp;"|"&amp;$K887&amp;"|"&amp;$G887&amp;"|"&amp;IF($G887="TX_CURR_SUBNAT.R","CY2022Q4",$M887),"")</f>
        <v>[lLDyBx5XyUi]|15-24|Female|HIV_PREV.T_1|CY2023Q3</v>
      </c>
    </row>
    <row r="888" customFormat="false" ht="15" hidden="false" customHeight="false" outlineLevel="0" collapsed="false">
      <c r="D888" s="9" t="s">
        <v>75</v>
      </c>
      <c r="E888" s="9" t="s">
        <v>76</v>
      </c>
      <c r="F888" s="9" t="s">
        <v>77</v>
      </c>
      <c r="G888" s="9" t="s">
        <v>141</v>
      </c>
      <c r="H888" s="9" t="s">
        <v>142</v>
      </c>
      <c r="I888" s="0" t="s">
        <v>41</v>
      </c>
      <c r="J888" s="9" t="s">
        <v>42</v>
      </c>
      <c r="K888" s="9" t="s">
        <v>30</v>
      </c>
      <c r="L888" s="9" t="s">
        <v>31</v>
      </c>
      <c r="M888" s="0" t="s">
        <v>140</v>
      </c>
      <c r="N888" s="0" t="n">
        <v>534</v>
      </c>
      <c r="O888" s="10" t="n">
        <v>0.259750684723258</v>
      </c>
      <c r="P888" s="10" t="n">
        <v>0.303055507596582</v>
      </c>
      <c r="Q888" s="0" t="str">
        <f aca="false">SUBSTITUTE(SUBSTITUTE($I888,CHAR(61),""),CHAR(34),"")</f>
        <v>25-34</v>
      </c>
      <c r="R888" s="0" t="str">
        <f aca="false">IF($D888&lt;&gt;"","["&amp;$E888&amp;"]"&amp;"|"&amp;$Q888&amp;"|"&amp;$K888&amp;"|"&amp;$G888&amp;"|"&amp;IF($G888="TX_CURR_SUBNAT.R","CY2022Q4",$M888),"")</f>
        <v>[lLDyBx5XyUi]|25-34|Female|HIV_PREV.T_1|CY2023Q3</v>
      </c>
    </row>
    <row r="889" customFormat="false" ht="15" hidden="false" customHeight="false" outlineLevel="0" collapsed="false">
      <c r="D889" s="9" t="s">
        <v>75</v>
      </c>
      <c r="E889" s="9" t="s">
        <v>76</v>
      </c>
      <c r="F889" s="9" t="s">
        <v>77</v>
      </c>
      <c r="G889" s="9" t="s">
        <v>141</v>
      </c>
      <c r="H889" s="9" t="s">
        <v>142</v>
      </c>
      <c r="I889" s="0" t="s">
        <v>43</v>
      </c>
      <c r="J889" s="9" t="s">
        <v>44</v>
      </c>
      <c r="K889" s="9" t="s">
        <v>30</v>
      </c>
      <c r="L889" s="9" t="s">
        <v>31</v>
      </c>
      <c r="M889" s="0" t="s">
        <v>140</v>
      </c>
      <c r="N889" s="0" t="n">
        <v>1134</v>
      </c>
      <c r="O889" s="10" t="n">
        <v>0.430226949974895</v>
      </c>
      <c r="P889" s="10" t="n">
        <v>0.303055507596582</v>
      </c>
      <c r="Q889" s="0" t="str">
        <f aca="false">SUBSTITUTE(SUBSTITUTE($I889,CHAR(61),""),CHAR(34),"")</f>
        <v>35-49</v>
      </c>
      <c r="R889" s="0" t="str">
        <f aca="false">IF($D889&lt;&gt;"","["&amp;$E889&amp;"]"&amp;"|"&amp;$Q889&amp;"|"&amp;$K889&amp;"|"&amp;$G889&amp;"|"&amp;IF($G889="TX_CURR_SUBNAT.R","CY2022Q4",$M889),"")</f>
        <v>[lLDyBx5XyUi]|35-49|Female|HIV_PREV.T_1|CY2023Q3</v>
      </c>
    </row>
    <row r="890" customFormat="false" ht="15" hidden="false" customHeight="false" outlineLevel="0" collapsed="false">
      <c r="D890" s="9" t="s">
        <v>75</v>
      </c>
      <c r="E890" s="9" t="s">
        <v>76</v>
      </c>
      <c r="F890" s="9" t="s">
        <v>77</v>
      </c>
      <c r="G890" s="9" t="s">
        <v>141</v>
      </c>
      <c r="H890" s="9" t="s">
        <v>142</v>
      </c>
      <c r="I890" s="0" t="s">
        <v>45</v>
      </c>
      <c r="J890" s="9" t="s">
        <v>46</v>
      </c>
      <c r="K890" s="9" t="s">
        <v>30</v>
      </c>
      <c r="L890" s="9" t="s">
        <v>31</v>
      </c>
      <c r="M890" s="0" t="s">
        <v>140</v>
      </c>
      <c r="N890" s="0" t="n">
        <v>1324</v>
      </c>
      <c r="O890" s="10" t="n">
        <v>0.318576011573896</v>
      </c>
      <c r="P890" s="10" t="n">
        <v>0.303055507596582</v>
      </c>
      <c r="Q890" s="0" t="str">
        <f aca="false">SUBSTITUTE(SUBSTITUTE($I890,CHAR(61),""),CHAR(34),"")</f>
        <v>50+</v>
      </c>
      <c r="R890" s="0" t="str">
        <f aca="false">IF($D890&lt;&gt;"","["&amp;$E890&amp;"]"&amp;"|"&amp;$Q890&amp;"|"&amp;$K890&amp;"|"&amp;$G890&amp;"|"&amp;IF($G890="TX_CURR_SUBNAT.R","CY2022Q4",$M890),"")</f>
        <v>[lLDyBx5XyUi]|50+|Female|HIV_PREV.T_1|CY2023Q3</v>
      </c>
    </row>
    <row r="891" customFormat="false" ht="15" hidden="false" customHeight="false" outlineLevel="0" collapsed="false">
      <c r="D891" s="9" t="s">
        <v>75</v>
      </c>
      <c r="E891" s="9" t="s">
        <v>76</v>
      </c>
      <c r="F891" s="9" t="s">
        <v>77</v>
      </c>
      <c r="G891" s="9" t="s">
        <v>141</v>
      </c>
      <c r="H891" s="9" t="s">
        <v>142</v>
      </c>
      <c r="I891" s="0" t="s">
        <v>28</v>
      </c>
      <c r="J891" s="9" t="s">
        <v>29</v>
      </c>
      <c r="K891" s="9" t="s">
        <v>48</v>
      </c>
      <c r="L891" s="9" t="s">
        <v>49</v>
      </c>
      <c r="M891" s="0" t="s">
        <v>140</v>
      </c>
      <c r="N891" s="0" t="n">
        <v>975</v>
      </c>
      <c r="O891" s="10" t="n">
        <v>0.975165025563911</v>
      </c>
      <c r="P891" s="10" t="n">
        <v>0.303055507596582</v>
      </c>
      <c r="Q891" s="0" t="str">
        <f aca="false">SUBSTITUTE(SUBSTITUTE($I891,CHAR(61),""),CHAR(34),"")</f>
        <v>&lt;01</v>
      </c>
      <c r="R891" s="0" t="str">
        <f aca="false">IF($D891&lt;&gt;"","["&amp;$E891&amp;"]"&amp;"|"&amp;$Q891&amp;"|"&amp;$K891&amp;"|"&amp;$G891&amp;"|"&amp;IF($G891="TX_CURR_SUBNAT.R","CY2022Q4",$M891),"")</f>
        <v>[lLDyBx5XyUi]|&lt;01|Male|HIV_PREV.T_1|CY2023Q3</v>
      </c>
    </row>
    <row r="892" customFormat="false" ht="15" hidden="false" customHeight="false" outlineLevel="0" collapsed="false">
      <c r="D892" s="9" t="s">
        <v>75</v>
      </c>
      <c r="E892" s="9" t="s">
        <v>76</v>
      </c>
      <c r="F892" s="9" t="s">
        <v>77</v>
      </c>
      <c r="G892" s="9" t="s">
        <v>141</v>
      </c>
      <c r="H892" s="9" t="s">
        <v>142</v>
      </c>
      <c r="I892" s="0" t="s">
        <v>33</v>
      </c>
      <c r="J892" s="9" t="s">
        <v>34</v>
      </c>
      <c r="K892" s="9" t="s">
        <v>48</v>
      </c>
      <c r="L892" s="9" t="s">
        <v>49</v>
      </c>
      <c r="M892" s="0" t="s">
        <v>140</v>
      </c>
      <c r="N892" s="0" t="n">
        <v>1668</v>
      </c>
      <c r="O892" s="10" t="n">
        <v>0.602818124229088</v>
      </c>
      <c r="P892" s="10" t="n">
        <v>0.303055507596582</v>
      </c>
      <c r="Q892" s="0" t="str">
        <f aca="false">SUBSTITUTE(SUBSTITUTE($I892,CHAR(61),""),CHAR(34),"")</f>
        <v>01-09</v>
      </c>
      <c r="R892" s="0" t="str">
        <f aca="false">IF($D892&lt;&gt;"","["&amp;$E892&amp;"]"&amp;"|"&amp;$Q892&amp;"|"&amp;$K892&amp;"|"&amp;$G892&amp;"|"&amp;IF($G892="TX_CURR_SUBNAT.R","CY2022Q4",$M892),"")</f>
        <v>[lLDyBx5XyUi]|01-09|Male|HIV_PREV.T_1|CY2023Q3</v>
      </c>
    </row>
    <row r="893" customFormat="false" ht="15" hidden="false" customHeight="false" outlineLevel="0" collapsed="false">
      <c r="D893" s="9" t="s">
        <v>75</v>
      </c>
      <c r="E893" s="9" t="s">
        <v>76</v>
      </c>
      <c r="F893" s="9" t="s">
        <v>77</v>
      </c>
      <c r="G893" s="9" t="s">
        <v>141</v>
      </c>
      <c r="H893" s="9" t="s">
        <v>142</v>
      </c>
      <c r="I893" s="0" t="s">
        <v>36</v>
      </c>
      <c r="J893" s="9" t="s">
        <v>37</v>
      </c>
      <c r="K893" s="9" t="s">
        <v>48</v>
      </c>
      <c r="L893" s="9" t="s">
        <v>49</v>
      </c>
      <c r="M893" s="0" t="s">
        <v>140</v>
      </c>
      <c r="N893" s="0" t="n">
        <v>1602</v>
      </c>
      <c r="O893" s="10" t="n">
        <v>0.142576140817255</v>
      </c>
      <c r="P893" s="10" t="n">
        <v>0.303055507596582</v>
      </c>
      <c r="Q893" s="0" t="str">
        <f aca="false">SUBSTITUTE(SUBSTITUTE($I893,CHAR(61),""),CHAR(34),"")</f>
        <v>10-14</v>
      </c>
      <c r="R893" s="0" t="str">
        <f aca="false">IF($D893&lt;&gt;"","["&amp;$E893&amp;"]"&amp;"|"&amp;$Q893&amp;"|"&amp;$K893&amp;"|"&amp;$G893&amp;"|"&amp;IF($G893="TX_CURR_SUBNAT.R","CY2022Q4",$M893),"")</f>
        <v>[lLDyBx5XyUi]|10-14|Male|HIV_PREV.T_1|CY2023Q3</v>
      </c>
    </row>
    <row r="894" customFormat="false" ht="15" hidden="false" customHeight="false" outlineLevel="0" collapsed="false">
      <c r="D894" s="9" t="s">
        <v>75</v>
      </c>
      <c r="E894" s="9" t="s">
        <v>76</v>
      </c>
      <c r="F894" s="9" t="s">
        <v>77</v>
      </c>
      <c r="G894" s="9" t="s">
        <v>141</v>
      </c>
      <c r="H894" s="9" t="s">
        <v>142</v>
      </c>
      <c r="I894" s="0" t="s">
        <v>38</v>
      </c>
      <c r="J894" s="9" t="s">
        <v>39</v>
      </c>
      <c r="K894" s="9" t="s">
        <v>48</v>
      </c>
      <c r="L894" s="9" t="s">
        <v>49</v>
      </c>
      <c r="M894" s="0" t="s">
        <v>140</v>
      </c>
      <c r="N894" s="0" t="n">
        <v>1736</v>
      </c>
      <c r="O894" s="10" t="n">
        <v>0.919861855218187</v>
      </c>
      <c r="P894" s="10" t="n">
        <v>0.303055507596582</v>
      </c>
      <c r="Q894" s="0" t="str">
        <f aca="false">SUBSTITUTE(SUBSTITUTE($I894,CHAR(61),""),CHAR(34),"")</f>
        <v>15-24</v>
      </c>
      <c r="R894" s="0" t="str">
        <f aca="false">IF($D894&lt;&gt;"","["&amp;$E894&amp;"]"&amp;"|"&amp;$Q894&amp;"|"&amp;$K894&amp;"|"&amp;$G894&amp;"|"&amp;IF($G894="TX_CURR_SUBNAT.R","CY2022Q4",$M894),"")</f>
        <v>[lLDyBx5XyUi]|15-24|Male|HIV_PREV.T_1|CY2023Q3</v>
      </c>
    </row>
    <row r="895" customFormat="false" ht="15" hidden="false" customHeight="false" outlineLevel="0" collapsed="false">
      <c r="D895" s="9" t="s">
        <v>75</v>
      </c>
      <c r="E895" s="9" t="s">
        <v>76</v>
      </c>
      <c r="F895" s="9" t="s">
        <v>77</v>
      </c>
      <c r="G895" s="9" t="s">
        <v>141</v>
      </c>
      <c r="H895" s="9" t="s">
        <v>142</v>
      </c>
      <c r="I895" s="0" t="s">
        <v>41</v>
      </c>
      <c r="J895" s="9" t="s">
        <v>42</v>
      </c>
      <c r="K895" s="9" t="s">
        <v>48</v>
      </c>
      <c r="L895" s="9" t="s">
        <v>49</v>
      </c>
      <c r="M895" s="0" t="s">
        <v>140</v>
      </c>
      <c r="N895" s="0" t="n">
        <v>1763</v>
      </c>
      <c r="O895" s="10" t="n">
        <v>0.584461180027574</v>
      </c>
      <c r="P895" s="10" t="n">
        <v>0.303055507596582</v>
      </c>
      <c r="Q895" s="0" t="str">
        <f aca="false">SUBSTITUTE(SUBSTITUTE($I895,CHAR(61),""),CHAR(34),"")</f>
        <v>25-34</v>
      </c>
      <c r="R895" s="0" t="str">
        <f aca="false">IF($D895&lt;&gt;"","["&amp;$E895&amp;"]"&amp;"|"&amp;$Q895&amp;"|"&amp;$K895&amp;"|"&amp;$G895&amp;"|"&amp;IF($G895="TX_CURR_SUBNAT.R","CY2022Q4",$M895),"")</f>
        <v>[lLDyBx5XyUi]|25-34|Male|HIV_PREV.T_1|CY2023Q3</v>
      </c>
    </row>
    <row r="896" customFormat="false" ht="15" hidden="false" customHeight="false" outlineLevel="0" collapsed="false">
      <c r="D896" s="9" t="s">
        <v>75</v>
      </c>
      <c r="E896" s="9" t="s">
        <v>76</v>
      </c>
      <c r="F896" s="9" t="s">
        <v>77</v>
      </c>
      <c r="G896" s="9" t="s">
        <v>141</v>
      </c>
      <c r="H896" s="9" t="s">
        <v>142</v>
      </c>
      <c r="I896" s="0" t="s">
        <v>43</v>
      </c>
      <c r="J896" s="9" t="s">
        <v>44</v>
      </c>
      <c r="K896" s="9" t="s">
        <v>48</v>
      </c>
      <c r="L896" s="9" t="s">
        <v>49</v>
      </c>
      <c r="M896" s="0" t="s">
        <v>140</v>
      </c>
      <c r="N896" s="0" t="n">
        <v>1665</v>
      </c>
      <c r="O896" s="10" t="n">
        <v>0.653157917782664</v>
      </c>
      <c r="P896" s="10" t="n">
        <v>0.303055507596582</v>
      </c>
      <c r="Q896" s="0" t="str">
        <f aca="false">SUBSTITUTE(SUBSTITUTE($I896,CHAR(61),""),CHAR(34),"")</f>
        <v>35-49</v>
      </c>
      <c r="R896" s="0" t="str">
        <f aca="false">IF($D896&lt;&gt;"","["&amp;$E896&amp;"]"&amp;"|"&amp;$Q896&amp;"|"&amp;$K896&amp;"|"&amp;$G896&amp;"|"&amp;IF($G896="TX_CURR_SUBNAT.R","CY2022Q4",$M896),"")</f>
        <v>[lLDyBx5XyUi]|35-49|Male|HIV_PREV.T_1|CY2023Q3</v>
      </c>
    </row>
    <row r="897" customFormat="false" ht="15" hidden="false" customHeight="false" outlineLevel="0" collapsed="false">
      <c r="D897" s="9" t="s">
        <v>75</v>
      </c>
      <c r="E897" s="9" t="s">
        <v>76</v>
      </c>
      <c r="F897" s="9" t="s">
        <v>77</v>
      </c>
      <c r="G897" s="9" t="s">
        <v>141</v>
      </c>
      <c r="H897" s="9" t="s">
        <v>142</v>
      </c>
      <c r="I897" s="0" t="s">
        <v>45</v>
      </c>
      <c r="J897" s="9" t="s">
        <v>46</v>
      </c>
      <c r="K897" s="9" t="s">
        <v>48</v>
      </c>
      <c r="L897" s="9" t="s">
        <v>49</v>
      </c>
      <c r="M897" s="0" t="s">
        <v>140</v>
      </c>
      <c r="N897" s="0" t="n">
        <v>595</v>
      </c>
      <c r="O897" s="10" t="n">
        <v>0.080929181072861</v>
      </c>
      <c r="P897" s="10" t="n">
        <v>0.303055507596582</v>
      </c>
      <c r="Q897" s="0" t="str">
        <f aca="false">SUBSTITUTE(SUBSTITUTE($I897,CHAR(61),""),CHAR(34),"")</f>
        <v>50+</v>
      </c>
      <c r="R897" s="0" t="str">
        <f aca="false">IF($D897&lt;&gt;"","["&amp;$E897&amp;"]"&amp;"|"&amp;$Q897&amp;"|"&amp;$K897&amp;"|"&amp;$G897&amp;"|"&amp;IF($G897="TX_CURR_SUBNAT.R","CY2022Q4",$M897),"")</f>
        <v>[lLDyBx5XyUi]|50+|Male|HIV_PREV.T_1|CY2023Q3</v>
      </c>
    </row>
    <row r="898" customFormat="false" ht="15" hidden="false" customHeight="false" outlineLevel="0" collapsed="false">
      <c r="D898" s="9" t="s">
        <v>78</v>
      </c>
      <c r="E898" s="9" t="s">
        <v>79</v>
      </c>
      <c r="F898" s="9" t="s">
        <v>80</v>
      </c>
      <c r="G898" s="9" t="s">
        <v>141</v>
      </c>
      <c r="H898" s="9" t="s">
        <v>142</v>
      </c>
      <c r="I898" s="0" t="s">
        <v>28</v>
      </c>
      <c r="J898" s="9" t="s">
        <v>29</v>
      </c>
      <c r="K898" s="9" t="s">
        <v>30</v>
      </c>
      <c r="L898" s="9" t="s">
        <v>31</v>
      </c>
      <c r="M898" s="0" t="s">
        <v>140</v>
      </c>
      <c r="N898" s="0" t="n">
        <v>1356</v>
      </c>
      <c r="O898" s="10" t="n">
        <v>0.970309322001413</v>
      </c>
      <c r="P898" s="10" t="n">
        <v>0.831597982207313</v>
      </c>
      <c r="Q898" s="0" t="str">
        <f aca="false">SUBSTITUTE(SUBSTITUTE($I898,CHAR(61),""),CHAR(34),"")</f>
        <v>&lt;01</v>
      </c>
      <c r="R898" s="0" t="str">
        <f aca="false">IF($D898&lt;&gt;"","["&amp;$E898&amp;"]"&amp;"|"&amp;$Q898&amp;"|"&amp;$K898&amp;"|"&amp;$G898&amp;"|"&amp;IF($G898="TX_CURR_SUBNAT.R","CY2022Q4",$M898),"")</f>
        <v>[TYnMSwzko3z]|&lt;01|Female|HIV_PREV.T_1|CY2023Q3</v>
      </c>
    </row>
    <row r="899" customFormat="false" ht="15" hidden="false" customHeight="false" outlineLevel="0" collapsed="false">
      <c r="D899" s="9" t="s">
        <v>78</v>
      </c>
      <c r="E899" s="9" t="s">
        <v>79</v>
      </c>
      <c r="F899" s="9" t="s">
        <v>80</v>
      </c>
      <c r="G899" s="9" t="s">
        <v>141</v>
      </c>
      <c r="H899" s="9" t="s">
        <v>142</v>
      </c>
      <c r="I899" s="0" t="s">
        <v>33</v>
      </c>
      <c r="J899" s="9" t="s">
        <v>34</v>
      </c>
      <c r="K899" s="9" t="s">
        <v>30</v>
      </c>
      <c r="L899" s="9" t="s">
        <v>31</v>
      </c>
      <c r="M899" s="0" t="s">
        <v>140</v>
      </c>
      <c r="N899" s="0" t="n">
        <v>1689</v>
      </c>
      <c r="O899" s="10" t="n">
        <v>0.0524868220090866</v>
      </c>
      <c r="P899" s="10" t="n">
        <v>0.831597982207313</v>
      </c>
      <c r="Q899" s="0" t="str">
        <f aca="false">SUBSTITUTE(SUBSTITUTE($I899,CHAR(61),""),CHAR(34),"")</f>
        <v>01-09</v>
      </c>
      <c r="R899" s="0" t="str">
        <f aca="false">IF($D899&lt;&gt;"","["&amp;$E899&amp;"]"&amp;"|"&amp;$Q899&amp;"|"&amp;$K899&amp;"|"&amp;$G899&amp;"|"&amp;IF($G899="TX_CURR_SUBNAT.R","CY2022Q4",$M899),"")</f>
        <v>[TYnMSwzko3z]|01-09|Female|HIV_PREV.T_1|CY2023Q3</v>
      </c>
    </row>
    <row r="900" customFormat="false" ht="15" hidden="false" customHeight="false" outlineLevel="0" collapsed="false">
      <c r="D900" s="9" t="s">
        <v>78</v>
      </c>
      <c r="E900" s="9" t="s">
        <v>79</v>
      </c>
      <c r="F900" s="9" t="s">
        <v>80</v>
      </c>
      <c r="G900" s="9" t="s">
        <v>141</v>
      </c>
      <c r="H900" s="9" t="s">
        <v>142</v>
      </c>
      <c r="I900" s="0" t="s">
        <v>36</v>
      </c>
      <c r="J900" s="9" t="s">
        <v>37</v>
      </c>
      <c r="K900" s="9" t="s">
        <v>30</v>
      </c>
      <c r="L900" s="9" t="s">
        <v>31</v>
      </c>
      <c r="M900" s="0" t="s">
        <v>140</v>
      </c>
      <c r="N900" s="0" t="n">
        <v>1272</v>
      </c>
      <c r="O900" s="10" t="n">
        <v>0.131632292177528</v>
      </c>
      <c r="P900" s="10" t="n">
        <v>0.831597982207313</v>
      </c>
      <c r="Q900" s="0" t="str">
        <f aca="false">SUBSTITUTE(SUBSTITUTE($I900,CHAR(61),""),CHAR(34),"")</f>
        <v>10-14</v>
      </c>
      <c r="R900" s="0" t="str">
        <f aca="false">IF($D900&lt;&gt;"","["&amp;$E900&amp;"]"&amp;"|"&amp;$Q900&amp;"|"&amp;$K900&amp;"|"&amp;$G900&amp;"|"&amp;IF($G900="TX_CURR_SUBNAT.R","CY2022Q4",$M900),"")</f>
        <v>[TYnMSwzko3z]|10-14|Female|HIV_PREV.T_1|CY2023Q3</v>
      </c>
    </row>
    <row r="901" customFormat="false" ht="15" hidden="false" customHeight="false" outlineLevel="0" collapsed="false">
      <c r="D901" s="9" t="s">
        <v>78</v>
      </c>
      <c r="E901" s="9" t="s">
        <v>79</v>
      </c>
      <c r="F901" s="9" t="s">
        <v>80</v>
      </c>
      <c r="G901" s="9" t="s">
        <v>141</v>
      </c>
      <c r="H901" s="9" t="s">
        <v>142</v>
      </c>
      <c r="I901" s="0" t="s">
        <v>38</v>
      </c>
      <c r="J901" s="9" t="s">
        <v>39</v>
      </c>
      <c r="K901" s="9" t="s">
        <v>30</v>
      </c>
      <c r="L901" s="9" t="s">
        <v>31</v>
      </c>
      <c r="M901" s="0" t="s">
        <v>140</v>
      </c>
      <c r="N901" s="0" t="n">
        <v>1807</v>
      </c>
      <c r="O901" s="10" t="n">
        <v>0.219085495918989</v>
      </c>
      <c r="P901" s="10" t="n">
        <v>0.831597982207313</v>
      </c>
      <c r="Q901" s="0" t="str">
        <f aca="false">SUBSTITUTE(SUBSTITUTE($I901,CHAR(61),""),CHAR(34),"")</f>
        <v>15-24</v>
      </c>
      <c r="R901" s="0" t="str">
        <f aca="false">IF($D901&lt;&gt;"","["&amp;$E901&amp;"]"&amp;"|"&amp;$Q901&amp;"|"&amp;$K901&amp;"|"&amp;$G901&amp;"|"&amp;IF($G901="TX_CURR_SUBNAT.R","CY2022Q4",$M901),"")</f>
        <v>[TYnMSwzko3z]|15-24|Female|HIV_PREV.T_1|CY2023Q3</v>
      </c>
    </row>
    <row r="902" customFormat="false" ht="15" hidden="false" customHeight="false" outlineLevel="0" collapsed="false">
      <c r="D902" s="9" t="s">
        <v>78</v>
      </c>
      <c r="E902" s="9" t="s">
        <v>79</v>
      </c>
      <c r="F902" s="9" t="s">
        <v>80</v>
      </c>
      <c r="G902" s="9" t="s">
        <v>141</v>
      </c>
      <c r="H902" s="9" t="s">
        <v>142</v>
      </c>
      <c r="I902" s="0" t="s">
        <v>41</v>
      </c>
      <c r="J902" s="9" t="s">
        <v>42</v>
      </c>
      <c r="K902" s="9" t="s">
        <v>30</v>
      </c>
      <c r="L902" s="9" t="s">
        <v>31</v>
      </c>
      <c r="M902" s="0" t="s">
        <v>140</v>
      </c>
      <c r="N902" s="0" t="n">
        <v>535</v>
      </c>
      <c r="O902" s="10" t="n">
        <v>0.0916777942329645</v>
      </c>
      <c r="P902" s="10" t="n">
        <v>0.831597982207313</v>
      </c>
      <c r="Q902" s="0" t="str">
        <f aca="false">SUBSTITUTE(SUBSTITUTE($I902,CHAR(61),""),CHAR(34),"")</f>
        <v>25-34</v>
      </c>
      <c r="R902" s="0" t="str">
        <f aca="false">IF($D902&lt;&gt;"","["&amp;$E902&amp;"]"&amp;"|"&amp;$Q902&amp;"|"&amp;$K902&amp;"|"&amp;$G902&amp;"|"&amp;IF($G902="TX_CURR_SUBNAT.R","CY2022Q4",$M902),"")</f>
        <v>[TYnMSwzko3z]|25-34|Female|HIV_PREV.T_1|CY2023Q3</v>
      </c>
    </row>
    <row r="903" customFormat="false" ht="15" hidden="false" customHeight="false" outlineLevel="0" collapsed="false">
      <c r="D903" s="9" t="s">
        <v>78</v>
      </c>
      <c r="E903" s="9" t="s">
        <v>79</v>
      </c>
      <c r="F903" s="9" t="s">
        <v>80</v>
      </c>
      <c r="G903" s="9" t="s">
        <v>141</v>
      </c>
      <c r="H903" s="9" t="s">
        <v>142</v>
      </c>
      <c r="I903" s="0" t="s">
        <v>43</v>
      </c>
      <c r="J903" s="9" t="s">
        <v>44</v>
      </c>
      <c r="K903" s="9" t="s">
        <v>30</v>
      </c>
      <c r="L903" s="9" t="s">
        <v>31</v>
      </c>
      <c r="M903" s="0" t="s">
        <v>140</v>
      </c>
      <c r="N903" s="0" t="n">
        <v>1940</v>
      </c>
      <c r="O903" s="10" t="n">
        <v>0.670481667853892</v>
      </c>
      <c r="P903" s="10" t="n">
        <v>0.831597982207313</v>
      </c>
      <c r="Q903" s="0" t="str">
        <f aca="false">SUBSTITUTE(SUBSTITUTE($I903,CHAR(61),""),CHAR(34),"")</f>
        <v>35-49</v>
      </c>
      <c r="R903" s="0" t="str">
        <f aca="false">IF($D903&lt;&gt;"","["&amp;$E903&amp;"]"&amp;"|"&amp;$Q903&amp;"|"&amp;$K903&amp;"|"&amp;$G903&amp;"|"&amp;IF($G903="TX_CURR_SUBNAT.R","CY2022Q4",$M903),"")</f>
        <v>[TYnMSwzko3z]|35-49|Female|HIV_PREV.T_1|CY2023Q3</v>
      </c>
    </row>
    <row r="904" customFormat="false" ht="15" hidden="false" customHeight="false" outlineLevel="0" collapsed="false">
      <c r="D904" s="9" t="s">
        <v>78</v>
      </c>
      <c r="E904" s="9" t="s">
        <v>79</v>
      </c>
      <c r="F904" s="9" t="s">
        <v>80</v>
      </c>
      <c r="G904" s="9" t="s">
        <v>141</v>
      </c>
      <c r="H904" s="9" t="s">
        <v>142</v>
      </c>
      <c r="I904" s="0" t="s">
        <v>45</v>
      </c>
      <c r="J904" s="9" t="s">
        <v>46</v>
      </c>
      <c r="K904" s="9" t="s">
        <v>30</v>
      </c>
      <c r="L904" s="9" t="s">
        <v>31</v>
      </c>
      <c r="M904" s="0" t="s">
        <v>140</v>
      </c>
      <c r="N904" s="0" t="n">
        <v>789</v>
      </c>
      <c r="O904" s="10" t="n">
        <v>0.32099157338962</v>
      </c>
      <c r="P904" s="10" t="n">
        <v>0.831597982207313</v>
      </c>
      <c r="Q904" s="0" t="str">
        <f aca="false">SUBSTITUTE(SUBSTITUTE($I904,CHAR(61),""),CHAR(34),"")</f>
        <v>50+</v>
      </c>
      <c r="R904" s="0" t="str">
        <f aca="false">IF($D904&lt;&gt;"","["&amp;$E904&amp;"]"&amp;"|"&amp;$Q904&amp;"|"&amp;$K904&amp;"|"&amp;$G904&amp;"|"&amp;IF($G904="TX_CURR_SUBNAT.R","CY2022Q4",$M904),"")</f>
        <v>[TYnMSwzko3z]|50+|Female|HIV_PREV.T_1|CY2023Q3</v>
      </c>
    </row>
    <row r="905" customFormat="false" ht="15" hidden="false" customHeight="false" outlineLevel="0" collapsed="false">
      <c r="D905" s="9" t="s">
        <v>78</v>
      </c>
      <c r="E905" s="9" t="s">
        <v>79</v>
      </c>
      <c r="F905" s="9" t="s">
        <v>80</v>
      </c>
      <c r="G905" s="9" t="s">
        <v>141</v>
      </c>
      <c r="H905" s="9" t="s">
        <v>142</v>
      </c>
      <c r="I905" s="0" t="s">
        <v>28</v>
      </c>
      <c r="J905" s="9" t="s">
        <v>29</v>
      </c>
      <c r="K905" s="9" t="s">
        <v>48</v>
      </c>
      <c r="L905" s="9" t="s">
        <v>49</v>
      </c>
      <c r="M905" s="0" t="s">
        <v>140</v>
      </c>
      <c r="N905" s="0" t="n">
        <v>1872</v>
      </c>
      <c r="O905" s="10" t="n">
        <v>0.361086559016258</v>
      </c>
      <c r="P905" s="10" t="n">
        <v>0.831597982207313</v>
      </c>
      <c r="Q905" s="0" t="str">
        <f aca="false">SUBSTITUTE(SUBSTITUTE($I905,CHAR(61),""),CHAR(34),"")</f>
        <v>&lt;01</v>
      </c>
      <c r="R905" s="0" t="str">
        <f aca="false">IF($D905&lt;&gt;"","["&amp;$E905&amp;"]"&amp;"|"&amp;$Q905&amp;"|"&amp;$K905&amp;"|"&amp;$G905&amp;"|"&amp;IF($G905="TX_CURR_SUBNAT.R","CY2022Q4",$M905),"")</f>
        <v>[TYnMSwzko3z]|&lt;01|Male|HIV_PREV.T_1|CY2023Q3</v>
      </c>
    </row>
    <row r="906" customFormat="false" ht="15" hidden="false" customHeight="false" outlineLevel="0" collapsed="false">
      <c r="D906" s="9" t="s">
        <v>78</v>
      </c>
      <c r="E906" s="9" t="s">
        <v>79</v>
      </c>
      <c r="F906" s="9" t="s">
        <v>80</v>
      </c>
      <c r="G906" s="9" t="s">
        <v>141</v>
      </c>
      <c r="H906" s="9" t="s">
        <v>142</v>
      </c>
      <c r="I906" s="0" t="s">
        <v>33</v>
      </c>
      <c r="J906" s="9" t="s">
        <v>34</v>
      </c>
      <c r="K906" s="9" t="s">
        <v>48</v>
      </c>
      <c r="L906" s="9" t="s">
        <v>49</v>
      </c>
      <c r="M906" s="0" t="s">
        <v>140</v>
      </c>
      <c r="N906" s="0" t="n">
        <v>1269</v>
      </c>
      <c r="O906" s="10" t="n">
        <v>0.6697589578107</v>
      </c>
      <c r="P906" s="10" t="n">
        <v>0.831597982207313</v>
      </c>
      <c r="Q906" s="0" t="str">
        <f aca="false">SUBSTITUTE(SUBSTITUTE($I906,CHAR(61),""),CHAR(34),"")</f>
        <v>01-09</v>
      </c>
      <c r="R906" s="0" t="str">
        <f aca="false">IF($D906&lt;&gt;"","["&amp;$E906&amp;"]"&amp;"|"&amp;$Q906&amp;"|"&amp;$K906&amp;"|"&amp;$G906&amp;"|"&amp;IF($G906="TX_CURR_SUBNAT.R","CY2022Q4",$M906),"")</f>
        <v>[TYnMSwzko3z]|01-09|Male|HIV_PREV.T_1|CY2023Q3</v>
      </c>
    </row>
    <row r="907" customFormat="false" ht="15" hidden="false" customHeight="false" outlineLevel="0" collapsed="false">
      <c r="D907" s="9" t="s">
        <v>78</v>
      </c>
      <c r="E907" s="9" t="s">
        <v>79</v>
      </c>
      <c r="F907" s="9" t="s">
        <v>80</v>
      </c>
      <c r="G907" s="9" t="s">
        <v>141</v>
      </c>
      <c r="H907" s="9" t="s">
        <v>142</v>
      </c>
      <c r="I907" s="0" t="s">
        <v>36</v>
      </c>
      <c r="J907" s="9" t="s">
        <v>37</v>
      </c>
      <c r="K907" s="9" t="s">
        <v>48</v>
      </c>
      <c r="L907" s="9" t="s">
        <v>49</v>
      </c>
      <c r="M907" s="0" t="s">
        <v>140</v>
      </c>
      <c r="N907" s="0" t="n">
        <v>1500</v>
      </c>
      <c r="O907" s="10" t="n">
        <v>0.680560436099768</v>
      </c>
      <c r="P907" s="10" t="n">
        <v>0.831597982207313</v>
      </c>
      <c r="Q907" s="0" t="str">
        <f aca="false">SUBSTITUTE(SUBSTITUTE($I907,CHAR(61),""),CHAR(34),"")</f>
        <v>10-14</v>
      </c>
      <c r="R907" s="0" t="str">
        <f aca="false">IF($D907&lt;&gt;"","["&amp;$E907&amp;"]"&amp;"|"&amp;$Q907&amp;"|"&amp;$K907&amp;"|"&amp;$G907&amp;"|"&amp;IF($G907="TX_CURR_SUBNAT.R","CY2022Q4",$M907),"")</f>
        <v>[TYnMSwzko3z]|10-14|Male|HIV_PREV.T_1|CY2023Q3</v>
      </c>
    </row>
    <row r="908" customFormat="false" ht="15" hidden="false" customHeight="false" outlineLevel="0" collapsed="false">
      <c r="D908" s="9" t="s">
        <v>78</v>
      </c>
      <c r="E908" s="9" t="s">
        <v>79</v>
      </c>
      <c r="F908" s="9" t="s">
        <v>80</v>
      </c>
      <c r="G908" s="9" t="s">
        <v>141</v>
      </c>
      <c r="H908" s="9" t="s">
        <v>142</v>
      </c>
      <c r="I908" s="0" t="s">
        <v>38</v>
      </c>
      <c r="J908" s="9" t="s">
        <v>39</v>
      </c>
      <c r="K908" s="9" t="s">
        <v>48</v>
      </c>
      <c r="L908" s="9" t="s">
        <v>49</v>
      </c>
      <c r="M908" s="0" t="s">
        <v>140</v>
      </c>
      <c r="N908" s="0" t="n">
        <v>1194</v>
      </c>
      <c r="O908" s="10" t="n">
        <v>0.755251867230982</v>
      </c>
      <c r="P908" s="10" t="n">
        <v>0.831597982207313</v>
      </c>
      <c r="Q908" s="0" t="str">
        <f aca="false">SUBSTITUTE(SUBSTITUTE($I908,CHAR(61),""),CHAR(34),"")</f>
        <v>15-24</v>
      </c>
      <c r="R908" s="0" t="str">
        <f aca="false">IF($D908&lt;&gt;"","["&amp;$E908&amp;"]"&amp;"|"&amp;$Q908&amp;"|"&amp;$K908&amp;"|"&amp;$G908&amp;"|"&amp;IF($G908="TX_CURR_SUBNAT.R","CY2022Q4",$M908),"")</f>
        <v>[TYnMSwzko3z]|15-24|Male|HIV_PREV.T_1|CY2023Q3</v>
      </c>
    </row>
    <row r="909" customFormat="false" ht="15" hidden="false" customHeight="false" outlineLevel="0" collapsed="false">
      <c r="D909" s="9" t="s">
        <v>78</v>
      </c>
      <c r="E909" s="9" t="s">
        <v>79</v>
      </c>
      <c r="F909" s="9" t="s">
        <v>80</v>
      </c>
      <c r="G909" s="9" t="s">
        <v>141</v>
      </c>
      <c r="H909" s="9" t="s">
        <v>142</v>
      </c>
      <c r="I909" s="0" t="s">
        <v>41</v>
      </c>
      <c r="J909" s="9" t="s">
        <v>42</v>
      </c>
      <c r="K909" s="9" t="s">
        <v>48</v>
      </c>
      <c r="L909" s="9" t="s">
        <v>49</v>
      </c>
      <c r="M909" s="0" t="s">
        <v>140</v>
      </c>
      <c r="N909" s="0" t="n">
        <v>1382</v>
      </c>
      <c r="O909" s="10" t="n">
        <v>0.90176913025789</v>
      </c>
      <c r="P909" s="10" t="n">
        <v>0.831597982207313</v>
      </c>
      <c r="Q909" s="0" t="str">
        <f aca="false">SUBSTITUTE(SUBSTITUTE($I909,CHAR(61),""),CHAR(34),"")</f>
        <v>25-34</v>
      </c>
      <c r="R909" s="0" t="str">
        <f aca="false">IF($D909&lt;&gt;"","["&amp;$E909&amp;"]"&amp;"|"&amp;$Q909&amp;"|"&amp;$K909&amp;"|"&amp;$G909&amp;"|"&amp;IF($G909="TX_CURR_SUBNAT.R","CY2022Q4",$M909),"")</f>
        <v>[TYnMSwzko3z]|25-34|Male|HIV_PREV.T_1|CY2023Q3</v>
      </c>
    </row>
    <row r="910" customFormat="false" ht="15" hidden="false" customHeight="false" outlineLevel="0" collapsed="false">
      <c r="D910" s="9" t="s">
        <v>78</v>
      </c>
      <c r="E910" s="9" t="s">
        <v>79</v>
      </c>
      <c r="F910" s="9" t="s">
        <v>80</v>
      </c>
      <c r="G910" s="9" t="s">
        <v>141</v>
      </c>
      <c r="H910" s="9" t="s">
        <v>142</v>
      </c>
      <c r="I910" s="0" t="s">
        <v>43</v>
      </c>
      <c r="J910" s="9" t="s">
        <v>44</v>
      </c>
      <c r="K910" s="9" t="s">
        <v>48</v>
      </c>
      <c r="L910" s="9" t="s">
        <v>49</v>
      </c>
      <c r="M910" s="0" t="s">
        <v>140</v>
      </c>
      <c r="N910" s="0" t="n">
        <v>1547</v>
      </c>
      <c r="O910" s="10" t="n">
        <v>0.661633643787354</v>
      </c>
      <c r="P910" s="10" t="n">
        <v>0.831597982207313</v>
      </c>
      <c r="Q910" s="0" t="str">
        <f aca="false">SUBSTITUTE(SUBSTITUTE($I910,CHAR(61),""),CHAR(34),"")</f>
        <v>35-49</v>
      </c>
      <c r="R910" s="0" t="str">
        <f aca="false">IF($D910&lt;&gt;"","["&amp;$E910&amp;"]"&amp;"|"&amp;$Q910&amp;"|"&amp;$K910&amp;"|"&amp;$G910&amp;"|"&amp;IF($G910="TX_CURR_SUBNAT.R","CY2022Q4",$M910),"")</f>
        <v>[TYnMSwzko3z]|35-49|Male|HIV_PREV.T_1|CY2023Q3</v>
      </c>
    </row>
    <row r="911" customFormat="false" ht="15" hidden="false" customHeight="false" outlineLevel="0" collapsed="false">
      <c r="D911" s="9" t="s">
        <v>78</v>
      </c>
      <c r="E911" s="9" t="s">
        <v>79</v>
      </c>
      <c r="F911" s="9" t="s">
        <v>80</v>
      </c>
      <c r="G911" s="9" t="s">
        <v>141</v>
      </c>
      <c r="H911" s="9" t="s">
        <v>142</v>
      </c>
      <c r="I911" s="0" t="s">
        <v>45</v>
      </c>
      <c r="J911" s="9" t="s">
        <v>46</v>
      </c>
      <c r="K911" s="9" t="s">
        <v>48</v>
      </c>
      <c r="L911" s="9" t="s">
        <v>49</v>
      </c>
      <c r="M911" s="0" t="s">
        <v>140</v>
      </c>
      <c r="N911" s="0" t="n">
        <v>769</v>
      </c>
      <c r="O911" s="10" t="n">
        <v>0.0273143541999161</v>
      </c>
      <c r="P911" s="10" t="n">
        <v>0.831597982207313</v>
      </c>
      <c r="Q911" s="0" t="str">
        <f aca="false">SUBSTITUTE(SUBSTITUTE($I911,CHAR(61),""),CHAR(34),"")</f>
        <v>50+</v>
      </c>
      <c r="R911" s="0" t="str">
        <f aca="false">IF($D911&lt;&gt;"","["&amp;$E911&amp;"]"&amp;"|"&amp;$Q911&amp;"|"&amp;$K911&amp;"|"&amp;$G911&amp;"|"&amp;IF($G911="TX_CURR_SUBNAT.R","CY2022Q4",$M911),"")</f>
        <v>[TYnMSwzko3z]|50+|Male|HIV_PREV.T_1|CY2023Q3</v>
      </c>
    </row>
    <row r="912" customFormat="false" ht="15" hidden="false" customHeight="false" outlineLevel="0" collapsed="false">
      <c r="D912" s="9" t="s">
        <v>81</v>
      </c>
      <c r="E912" s="9" t="s">
        <v>82</v>
      </c>
      <c r="F912" s="9" t="s">
        <v>83</v>
      </c>
      <c r="G912" s="9" t="s">
        <v>141</v>
      </c>
      <c r="H912" s="9" t="s">
        <v>142</v>
      </c>
      <c r="I912" s="0" t="s">
        <v>28</v>
      </c>
      <c r="J912" s="9" t="s">
        <v>29</v>
      </c>
      <c r="K912" s="9" t="s">
        <v>30</v>
      </c>
      <c r="L912" s="9" t="s">
        <v>31</v>
      </c>
      <c r="M912" s="0" t="s">
        <v>140</v>
      </c>
      <c r="N912" s="0" t="n">
        <v>1428</v>
      </c>
      <c r="O912" s="10" t="n">
        <v>0.322802035138011</v>
      </c>
      <c r="P912" s="10" t="n">
        <v>0.143331421539187</v>
      </c>
      <c r="Q912" s="0" t="str">
        <f aca="false">SUBSTITUTE(SUBSTITUTE($I912,CHAR(61),""),CHAR(34),"")</f>
        <v>&lt;01</v>
      </c>
      <c r="R912" s="0" t="str">
        <f aca="false">IF($D912&lt;&gt;"","["&amp;$E912&amp;"]"&amp;"|"&amp;$Q912&amp;"|"&amp;$K912&amp;"|"&amp;$G912&amp;"|"&amp;IF($G912="TX_CURR_SUBNAT.R","CY2022Q4",$M912),"")</f>
        <v>[ir8wuHHzoSs]|&lt;01|Female|HIV_PREV.T_1|CY2023Q3</v>
      </c>
    </row>
    <row r="913" customFormat="false" ht="15" hidden="false" customHeight="false" outlineLevel="0" collapsed="false">
      <c r="D913" s="9" t="s">
        <v>81</v>
      </c>
      <c r="E913" s="9" t="s">
        <v>82</v>
      </c>
      <c r="F913" s="9" t="s">
        <v>83</v>
      </c>
      <c r="G913" s="9" t="s">
        <v>141</v>
      </c>
      <c r="H913" s="9" t="s">
        <v>142</v>
      </c>
      <c r="I913" s="0" t="s">
        <v>33</v>
      </c>
      <c r="J913" s="9" t="s">
        <v>34</v>
      </c>
      <c r="K913" s="9" t="s">
        <v>30</v>
      </c>
      <c r="L913" s="9" t="s">
        <v>31</v>
      </c>
      <c r="M913" s="0" t="s">
        <v>140</v>
      </c>
      <c r="N913" s="0" t="n">
        <v>1601</v>
      </c>
      <c r="O913" s="10" t="n">
        <v>0.571704296628013</v>
      </c>
      <c r="P913" s="10" t="n">
        <v>0.143331421539187</v>
      </c>
      <c r="Q913" s="0" t="str">
        <f aca="false">SUBSTITUTE(SUBSTITUTE($I913,CHAR(61),""),CHAR(34),"")</f>
        <v>01-09</v>
      </c>
      <c r="R913" s="0" t="str">
        <f aca="false">IF($D913&lt;&gt;"","["&amp;$E913&amp;"]"&amp;"|"&amp;$Q913&amp;"|"&amp;$K913&amp;"|"&amp;$G913&amp;"|"&amp;IF($G913="TX_CURR_SUBNAT.R","CY2022Q4",$M913),"")</f>
        <v>[ir8wuHHzoSs]|01-09|Female|HIV_PREV.T_1|CY2023Q3</v>
      </c>
    </row>
    <row r="914" customFormat="false" ht="15" hidden="false" customHeight="false" outlineLevel="0" collapsed="false">
      <c r="D914" s="9" t="s">
        <v>81</v>
      </c>
      <c r="E914" s="9" t="s">
        <v>82</v>
      </c>
      <c r="F914" s="9" t="s">
        <v>83</v>
      </c>
      <c r="G914" s="9" t="s">
        <v>141</v>
      </c>
      <c r="H914" s="9" t="s">
        <v>142</v>
      </c>
      <c r="I914" s="0" t="s">
        <v>36</v>
      </c>
      <c r="J914" s="9" t="s">
        <v>37</v>
      </c>
      <c r="K914" s="9" t="s">
        <v>30</v>
      </c>
      <c r="L914" s="9" t="s">
        <v>31</v>
      </c>
      <c r="M914" s="0" t="s">
        <v>140</v>
      </c>
      <c r="N914" s="0" t="n">
        <v>1085</v>
      </c>
      <c r="O914" s="10" t="n">
        <v>0.627266390016302</v>
      </c>
      <c r="P914" s="10" t="n">
        <v>0.143331421539187</v>
      </c>
      <c r="Q914" s="0" t="str">
        <f aca="false">SUBSTITUTE(SUBSTITUTE($I914,CHAR(61),""),CHAR(34),"")</f>
        <v>10-14</v>
      </c>
      <c r="R914" s="0" t="str">
        <f aca="false">IF($D914&lt;&gt;"","["&amp;$E914&amp;"]"&amp;"|"&amp;$Q914&amp;"|"&amp;$K914&amp;"|"&amp;$G914&amp;"|"&amp;IF($G914="TX_CURR_SUBNAT.R","CY2022Q4",$M914),"")</f>
        <v>[ir8wuHHzoSs]|10-14|Female|HIV_PREV.T_1|CY2023Q3</v>
      </c>
    </row>
    <row r="915" customFormat="false" ht="15" hidden="false" customHeight="false" outlineLevel="0" collapsed="false">
      <c r="D915" s="9" t="s">
        <v>81</v>
      </c>
      <c r="E915" s="9" t="s">
        <v>82</v>
      </c>
      <c r="F915" s="9" t="s">
        <v>83</v>
      </c>
      <c r="G915" s="9" t="s">
        <v>141</v>
      </c>
      <c r="H915" s="9" t="s">
        <v>142</v>
      </c>
      <c r="I915" s="0" t="s">
        <v>38</v>
      </c>
      <c r="J915" s="9" t="s">
        <v>39</v>
      </c>
      <c r="K915" s="9" t="s">
        <v>30</v>
      </c>
      <c r="L915" s="9" t="s">
        <v>31</v>
      </c>
      <c r="M915" s="0" t="s">
        <v>140</v>
      </c>
      <c r="N915" s="0" t="n">
        <v>1392</v>
      </c>
      <c r="O915" s="10" t="n">
        <v>0.470564797287807</v>
      </c>
      <c r="P915" s="10" t="n">
        <v>0.143331421539187</v>
      </c>
      <c r="Q915" s="0" t="str">
        <f aca="false">SUBSTITUTE(SUBSTITUTE($I915,CHAR(61),""),CHAR(34),"")</f>
        <v>15-24</v>
      </c>
      <c r="R915" s="0" t="str">
        <f aca="false">IF($D915&lt;&gt;"","["&amp;$E915&amp;"]"&amp;"|"&amp;$Q915&amp;"|"&amp;$K915&amp;"|"&amp;$G915&amp;"|"&amp;IF($G915="TX_CURR_SUBNAT.R","CY2022Q4",$M915),"")</f>
        <v>[ir8wuHHzoSs]|15-24|Female|HIV_PREV.T_1|CY2023Q3</v>
      </c>
    </row>
    <row r="916" customFormat="false" ht="15" hidden="false" customHeight="false" outlineLevel="0" collapsed="false">
      <c r="D916" s="9" t="s">
        <v>81</v>
      </c>
      <c r="E916" s="9" t="s">
        <v>82</v>
      </c>
      <c r="F916" s="9" t="s">
        <v>83</v>
      </c>
      <c r="G916" s="9" t="s">
        <v>141</v>
      </c>
      <c r="H916" s="9" t="s">
        <v>142</v>
      </c>
      <c r="I916" s="0" t="s">
        <v>41</v>
      </c>
      <c r="J916" s="9" t="s">
        <v>42</v>
      </c>
      <c r="K916" s="9" t="s">
        <v>30</v>
      </c>
      <c r="L916" s="9" t="s">
        <v>31</v>
      </c>
      <c r="M916" s="0" t="s">
        <v>140</v>
      </c>
      <c r="N916" s="0" t="n">
        <v>1233</v>
      </c>
      <c r="O916" s="10" t="n">
        <v>0.565338695654646</v>
      </c>
      <c r="P916" s="10" t="n">
        <v>0.143331421539187</v>
      </c>
      <c r="Q916" s="0" t="str">
        <f aca="false">SUBSTITUTE(SUBSTITUTE($I916,CHAR(61),""),CHAR(34),"")</f>
        <v>25-34</v>
      </c>
      <c r="R916" s="0" t="str">
        <f aca="false">IF($D916&lt;&gt;"","["&amp;$E916&amp;"]"&amp;"|"&amp;$Q916&amp;"|"&amp;$K916&amp;"|"&amp;$G916&amp;"|"&amp;IF($G916="TX_CURR_SUBNAT.R","CY2022Q4",$M916),"")</f>
        <v>[ir8wuHHzoSs]|25-34|Female|HIV_PREV.T_1|CY2023Q3</v>
      </c>
    </row>
    <row r="917" customFormat="false" ht="15" hidden="false" customHeight="false" outlineLevel="0" collapsed="false">
      <c r="D917" s="9" t="s">
        <v>81</v>
      </c>
      <c r="E917" s="9" t="s">
        <v>82</v>
      </c>
      <c r="F917" s="9" t="s">
        <v>83</v>
      </c>
      <c r="G917" s="9" t="s">
        <v>141</v>
      </c>
      <c r="H917" s="9" t="s">
        <v>142</v>
      </c>
      <c r="I917" s="0" t="s">
        <v>43</v>
      </c>
      <c r="J917" s="9" t="s">
        <v>44</v>
      </c>
      <c r="K917" s="9" t="s">
        <v>30</v>
      </c>
      <c r="L917" s="9" t="s">
        <v>31</v>
      </c>
      <c r="M917" s="0" t="s">
        <v>140</v>
      </c>
      <c r="N917" s="0" t="n">
        <v>1757</v>
      </c>
      <c r="O917" s="10" t="n">
        <v>0.0373438016977161</v>
      </c>
      <c r="P917" s="10" t="n">
        <v>0.143331421539187</v>
      </c>
      <c r="Q917" s="0" t="str">
        <f aca="false">SUBSTITUTE(SUBSTITUTE($I917,CHAR(61),""),CHAR(34),"")</f>
        <v>35-49</v>
      </c>
      <c r="R917" s="0" t="str">
        <f aca="false">IF($D917&lt;&gt;"","["&amp;$E917&amp;"]"&amp;"|"&amp;$Q917&amp;"|"&amp;$K917&amp;"|"&amp;$G917&amp;"|"&amp;IF($G917="TX_CURR_SUBNAT.R","CY2022Q4",$M917),"")</f>
        <v>[ir8wuHHzoSs]|35-49|Female|HIV_PREV.T_1|CY2023Q3</v>
      </c>
    </row>
    <row r="918" customFormat="false" ht="15" hidden="false" customHeight="false" outlineLevel="0" collapsed="false">
      <c r="D918" s="9" t="s">
        <v>81</v>
      </c>
      <c r="E918" s="9" t="s">
        <v>82</v>
      </c>
      <c r="F918" s="9" t="s">
        <v>83</v>
      </c>
      <c r="G918" s="9" t="s">
        <v>141</v>
      </c>
      <c r="H918" s="9" t="s">
        <v>142</v>
      </c>
      <c r="I918" s="0" t="s">
        <v>45</v>
      </c>
      <c r="J918" s="9" t="s">
        <v>46</v>
      </c>
      <c r="K918" s="9" t="s">
        <v>30</v>
      </c>
      <c r="L918" s="9" t="s">
        <v>31</v>
      </c>
      <c r="M918" s="0" t="s">
        <v>140</v>
      </c>
      <c r="N918" s="0" t="n">
        <v>1737</v>
      </c>
      <c r="O918" s="10" t="n">
        <v>0.177958243060857</v>
      </c>
      <c r="P918" s="10" t="n">
        <v>0.143331421539187</v>
      </c>
      <c r="Q918" s="0" t="str">
        <f aca="false">SUBSTITUTE(SUBSTITUTE($I918,CHAR(61),""),CHAR(34),"")</f>
        <v>50+</v>
      </c>
      <c r="R918" s="0" t="str">
        <f aca="false">IF($D918&lt;&gt;"","["&amp;$E918&amp;"]"&amp;"|"&amp;$Q918&amp;"|"&amp;$K918&amp;"|"&amp;$G918&amp;"|"&amp;IF($G918="TX_CURR_SUBNAT.R","CY2022Q4",$M918),"")</f>
        <v>[ir8wuHHzoSs]|50+|Female|HIV_PREV.T_1|CY2023Q3</v>
      </c>
    </row>
    <row r="919" customFormat="false" ht="15" hidden="false" customHeight="false" outlineLevel="0" collapsed="false">
      <c r="D919" s="9" t="s">
        <v>81</v>
      </c>
      <c r="E919" s="9" t="s">
        <v>82</v>
      </c>
      <c r="F919" s="9" t="s">
        <v>83</v>
      </c>
      <c r="G919" s="9" t="s">
        <v>141</v>
      </c>
      <c r="H919" s="9" t="s">
        <v>142</v>
      </c>
      <c r="I919" s="0" t="s">
        <v>28</v>
      </c>
      <c r="J919" s="9" t="s">
        <v>29</v>
      </c>
      <c r="K919" s="9" t="s">
        <v>48</v>
      </c>
      <c r="L919" s="9" t="s">
        <v>49</v>
      </c>
      <c r="M919" s="0" t="s">
        <v>140</v>
      </c>
      <c r="N919" s="0" t="n">
        <v>1569</v>
      </c>
      <c r="O919" s="10" t="n">
        <v>0.00736144138500094</v>
      </c>
      <c r="P919" s="10" t="n">
        <v>0.143331421539187</v>
      </c>
      <c r="Q919" s="0" t="str">
        <f aca="false">SUBSTITUTE(SUBSTITUTE($I919,CHAR(61),""),CHAR(34),"")</f>
        <v>&lt;01</v>
      </c>
      <c r="R919" s="0" t="str">
        <f aca="false">IF($D919&lt;&gt;"","["&amp;$E919&amp;"]"&amp;"|"&amp;$Q919&amp;"|"&amp;$K919&amp;"|"&amp;$G919&amp;"|"&amp;IF($G919="TX_CURR_SUBNAT.R","CY2022Q4",$M919),"")</f>
        <v>[ir8wuHHzoSs]|&lt;01|Male|HIV_PREV.T_1|CY2023Q3</v>
      </c>
    </row>
    <row r="920" customFormat="false" ht="15" hidden="false" customHeight="false" outlineLevel="0" collapsed="false">
      <c r="D920" s="9" t="s">
        <v>81</v>
      </c>
      <c r="E920" s="9" t="s">
        <v>82</v>
      </c>
      <c r="F920" s="9" t="s">
        <v>83</v>
      </c>
      <c r="G920" s="9" t="s">
        <v>141</v>
      </c>
      <c r="H920" s="9" t="s">
        <v>142</v>
      </c>
      <c r="I920" s="0" t="s">
        <v>33</v>
      </c>
      <c r="J920" s="9" t="s">
        <v>34</v>
      </c>
      <c r="K920" s="9" t="s">
        <v>48</v>
      </c>
      <c r="L920" s="9" t="s">
        <v>49</v>
      </c>
      <c r="M920" s="0" t="s">
        <v>140</v>
      </c>
      <c r="N920" s="0" t="n">
        <v>1534</v>
      </c>
      <c r="O920" s="10" t="n">
        <v>0.419201180804521</v>
      </c>
      <c r="P920" s="10" t="n">
        <v>0.143331421539187</v>
      </c>
      <c r="Q920" s="0" t="str">
        <f aca="false">SUBSTITUTE(SUBSTITUTE($I920,CHAR(61),""),CHAR(34),"")</f>
        <v>01-09</v>
      </c>
      <c r="R920" s="0" t="str">
        <f aca="false">IF($D920&lt;&gt;"","["&amp;$E920&amp;"]"&amp;"|"&amp;$Q920&amp;"|"&amp;$K920&amp;"|"&amp;$G920&amp;"|"&amp;IF($G920="TX_CURR_SUBNAT.R","CY2022Q4",$M920),"")</f>
        <v>[ir8wuHHzoSs]|01-09|Male|HIV_PREV.T_1|CY2023Q3</v>
      </c>
    </row>
    <row r="921" customFormat="false" ht="15" hidden="false" customHeight="false" outlineLevel="0" collapsed="false">
      <c r="D921" s="9" t="s">
        <v>81</v>
      </c>
      <c r="E921" s="9" t="s">
        <v>82</v>
      </c>
      <c r="F921" s="9" t="s">
        <v>83</v>
      </c>
      <c r="G921" s="9" t="s">
        <v>141</v>
      </c>
      <c r="H921" s="9" t="s">
        <v>142</v>
      </c>
      <c r="I921" s="0" t="s">
        <v>36</v>
      </c>
      <c r="J921" s="9" t="s">
        <v>37</v>
      </c>
      <c r="K921" s="9" t="s">
        <v>48</v>
      </c>
      <c r="L921" s="9" t="s">
        <v>49</v>
      </c>
      <c r="M921" s="0" t="s">
        <v>140</v>
      </c>
      <c r="N921" s="0" t="n">
        <v>1481</v>
      </c>
      <c r="O921" s="10" t="n">
        <v>0.0649695647880435</v>
      </c>
      <c r="P921" s="10" t="n">
        <v>0.143331421539187</v>
      </c>
      <c r="Q921" s="0" t="str">
        <f aca="false">SUBSTITUTE(SUBSTITUTE($I921,CHAR(61),""),CHAR(34),"")</f>
        <v>10-14</v>
      </c>
      <c r="R921" s="0" t="str">
        <f aca="false">IF($D921&lt;&gt;"","["&amp;$E921&amp;"]"&amp;"|"&amp;$Q921&amp;"|"&amp;$K921&amp;"|"&amp;$G921&amp;"|"&amp;IF($G921="TX_CURR_SUBNAT.R","CY2022Q4",$M921),"")</f>
        <v>[ir8wuHHzoSs]|10-14|Male|HIV_PREV.T_1|CY2023Q3</v>
      </c>
    </row>
    <row r="922" customFormat="false" ht="15" hidden="false" customHeight="false" outlineLevel="0" collapsed="false">
      <c r="D922" s="9" t="s">
        <v>81</v>
      </c>
      <c r="E922" s="9" t="s">
        <v>82</v>
      </c>
      <c r="F922" s="9" t="s">
        <v>83</v>
      </c>
      <c r="G922" s="9" t="s">
        <v>141</v>
      </c>
      <c r="H922" s="9" t="s">
        <v>142</v>
      </c>
      <c r="I922" s="0" t="s">
        <v>38</v>
      </c>
      <c r="J922" s="9" t="s">
        <v>39</v>
      </c>
      <c r="K922" s="9" t="s">
        <v>48</v>
      </c>
      <c r="L922" s="9" t="s">
        <v>49</v>
      </c>
      <c r="M922" s="0" t="s">
        <v>140</v>
      </c>
      <c r="N922" s="0" t="n">
        <v>1455</v>
      </c>
      <c r="O922" s="10" t="n">
        <v>0.280856559285894</v>
      </c>
      <c r="P922" s="10" t="n">
        <v>0.143331421539187</v>
      </c>
      <c r="Q922" s="0" t="str">
        <f aca="false">SUBSTITUTE(SUBSTITUTE($I922,CHAR(61),""),CHAR(34),"")</f>
        <v>15-24</v>
      </c>
      <c r="R922" s="0" t="str">
        <f aca="false">IF($D922&lt;&gt;"","["&amp;$E922&amp;"]"&amp;"|"&amp;$Q922&amp;"|"&amp;$K922&amp;"|"&amp;$G922&amp;"|"&amp;IF($G922="TX_CURR_SUBNAT.R","CY2022Q4",$M922),"")</f>
        <v>[ir8wuHHzoSs]|15-24|Male|HIV_PREV.T_1|CY2023Q3</v>
      </c>
    </row>
    <row r="923" customFormat="false" ht="15" hidden="false" customHeight="false" outlineLevel="0" collapsed="false">
      <c r="D923" s="9" t="s">
        <v>81</v>
      </c>
      <c r="E923" s="9" t="s">
        <v>82</v>
      </c>
      <c r="F923" s="9" t="s">
        <v>83</v>
      </c>
      <c r="G923" s="9" t="s">
        <v>141</v>
      </c>
      <c r="H923" s="9" t="s">
        <v>142</v>
      </c>
      <c r="I923" s="0" t="s">
        <v>41</v>
      </c>
      <c r="J923" s="9" t="s">
        <v>42</v>
      </c>
      <c r="K923" s="9" t="s">
        <v>48</v>
      </c>
      <c r="L923" s="9" t="s">
        <v>49</v>
      </c>
      <c r="M923" s="0" t="s">
        <v>140</v>
      </c>
      <c r="N923" s="0" t="n">
        <v>1125</v>
      </c>
      <c r="O923" s="10" t="n">
        <v>0.71655554859899</v>
      </c>
      <c r="P923" s="10" t="n">
        <v>0.143331421539187</v>
      </c>
      <c r="Q923" s="0" t="str">
        <f aca="false">SUBSTITUTE(SUBSTITUTE($I923,CHAR(61),""),CHAR(34),"")</f>
        <v>25-34</v>
      </c>
      <c r="R923" s="0" t="str">
        <f aca="false">IF($D923&lt;&gt;"","["&amp;$E923&amp;"]"&amp;"|"&amp;$Q923&amp;"|"&amp;$K923&amp;"|"&amp;$G923&amp;"|"&amp;IF($G923="TX_CURR_SUBNAT.R","CY2022Q4",$M923),"")</f>
        <v>[ir8wuHHzoSs]|25-34|Male|HIV_PREV.T_1|CY2023Q3</v>
      </c>
    </row>
    <row r="924" customFormat="false" ht="15" hidden="false" customHeight="false" outlineLevel="0" collapsed="false">
      <c r="D924" s="9" t="s">
        <v>81</v>
      </c>
      <c r="E924" s="9" t="s">
        <v>82</v>
      </c>
      <c r="F924" s="9" t="s">
        <v>83</v>
      </c>
      <c r="G924" s="9" t="s">
        <v>141</v>
      </c>
      <c r="H924" s="9" t="s">
        <v>142</v>
      </c>
      <c r="I924" s="0" t="s">
        <v>43</v>
      </c>
      <c r="J924" s="9" t="s">
        <v>44</v>
      </c>
      <c r="K924" s="9" t="s">
        <v>48</v>
      </c>
      <c r="L924" s="9" t="s">
        <v>49</v>
      </c>
      <c r="M924" s="0" t="s">
        <v>140</v>
      </c>
      <c r="N924" s="0" t="n">
        <v>1724</v>
      </c>
      <c r="O924" s="10" t="n">
        <v>0.443924508057535</v>
      </c>
      <c r="P924" s="10" t="n">
        <v>0.143331421539187</v>
      </c>
      <c r="Q924" s="0" t="str">
        <f aca="false">SUBSTITUTE(SUBSTITUTE($I924,CHAR(61),""),CHAR(34),"")</f>
        <v>35-49</v>
      </c>
      <c r="R924" s="0" t="str">
        <f aca="false">IF($D924&lt;&gt;"","["&amp;$E924&amp;"]"&amp;"|"&amp;$Q924&amp;"|"&amp;$K924&amp;"|"&amp;$G924&amp;"|"&amp;IF($G924="TX_CURR_SUBNAT.R","CY2022Q4",$M924),"")</f>
        <v>[ir8wuHHzoSs]|35-49|Male|HIV_PREV.T_1|CY2023Q3</v>
      </c>
    </row>
    <row r="925" customFormat="false" ht="15" hidden="false" customHeight="false" outlineLevel="0" collapsed="false">
      <c r="D925" s="9" t="s">
        <v>81</v>
      </c>
      <c r="E925" s="9" t="s">
        <v>82</v>
      </c>
      <c r="F925" s="9" t="s">
        <v>83</v>
      </c>
      <c r="G925" s="9" t="s">
        <v>141</v>
      </c>
      <c r="H925" s="9" t="s">
        <v>142</v>
      </c>
      <c r="I925" s="0" t="s">
        <v>45</v>
      </c>
      <c r="J925" s="9" t="s">
        <v>46</v>
      </c>
      <c r="K925" s="9" t="s">
        <v>48</v>
      </c>
      <c r="L925" s="9" t="s">
        <v>49</v>
      </c>
      <c r="M925" s="0" t="s">
        <v>140</v>
      </c>
      <c r="N925" s="0" t="n">
        <v>666</v>
      </c>
      <c r="O925" s="10" t="n">
        <v>0.708718835841864</v>
      </c>
      <c r="P925" s="10" t="n">
        <v>0.143331421539187</v>
      </c>
      <c r="Q925" s="0" t="str">
        <f aca="false">SUBSTITUTE(SUBSTITUTE($I925,CHAR(61),""),CHAR(34),"")</f>
        <v>50+</v>
      </c>
      <c r="R925" s="0" t="str">
        <f aca="false">IF($D925&lt;&gt;"","["&amp;$E925&amp;"]"&amp;"|"&amp;$Q925&amp;"|"&amp;$K925&amp;"|"&amp;$G925&amp;"|"&amp;IF($G925="TX_CURR_SUBNAT.R","CY2022Q4",$M925),"")</f>
        <v>[ir8wuHHzoSs]|50+|Male|HIV_PREV.T_1|CY2023Q3</v>
      </c>
    </row>
    <row r="926" customFormat="false" ht="15" hidden="false" customHeight="false" outlineLevel="0" collapsed="false">
      <c r="D926" s="9" t="s">
        <v>84</v>
      </c>
      <c r="E926" s="9" t="s">
        <v>85</v>
      </c>
      <c r="F926" s="9" t="s">
        <v>86</v>
      </c>
      <c r="G926" s="9" t="s">
        <v>141</v>
      </c>
      <c r="H926" s="9" t="s">
        <v>142</v>
      </c>
      <c r="I926" s="0" t="s">
        <v>28</v>
      </c>
      <c r="J926" s="9" t="s">
        <v>29</v>
      </c>
      <c r="K926" s="9" t="s">
        <v>30</v>
      </c>
      <c r="L926" s="9" t="s">
        <v>31</v>
      </c>
      <c r="M926" s="0" t="s">
        <v>140</v>
      </c>
      <c r="N926" s="0" t="n">
        <v>804</v>
      </c>
      <c r="O926" s="10" t="n">
        <v>0.195689491927624</v>
      </c>
      <c r="P926" s="10" t="n">
        <v>0.0297887143678963</v>
      </c>
      <c r="Q926" s="0" t="str">
        <f aca="false">SUBSTITUTE(SUBSTITUTE($I926,CHAR(61),""),CHAR(34),"")</f>
        <v>&lt;01</v>
      </c>
      <c r="R926" s="0" t="str">
        <f aca="false">IF($D926&lt;&gt;"","["&amp;$E926&amp;"]"&amp;"|"&amp;$Q926&amp;"|"&amp;$K926&amp;"|"&amp;$G926&amp;"|"&amp;IF($G926="TX_CURR_SUBNAT.R","CY2022Q4",$M926),"")</f>
        <v>[fyEoGEPERdI]|&lt;01|Female|HIV_PREV.T_1|CY2023Q3</v>
      </c>
    </row>
    <row r="927" customFormat="false" ht="15" hidden="false" customHeight="false" outlineLevel="0" collapsed="false">
      <c r="D927" s="9" t="s">
        <v>84</v>
      </c>
      <c r="E927" s="9" t="s">
        <v>85</v>
      </c>
      <c r="F927" s="9" t="s">
        <v>86</v>
      </c>
      <c r="G927" s="9" t="s">
        <v>141</v>
      </c>
      <c r="H927" s="9" t="s">
        <v>142</v>
      </c>
      <c r="I927" s="0" t="s">
        <v>33</v>
      </c>
      <c r="J927" s="9" t="s">
        <v>34</v>
      </c>
      <c r="K927" s="9" t="s">
        <v>30</v>
      </c>
      <c r="L927" s="9" t="s">
        <v>31</v>
      </c>
      <c r="M927" s="0" t="s">
        <v>140</v>
      </c>
      <c r="N927" s="0" t="n">
        <v>1154</v>
      </c>
      <c r="O927" s="10" t="n">
        <v>0.841492959065363</v>
      </c>
      <c r="P927" s="10" t="n">
        <v>0.0297887143678963</v>
      </c>
      <c r="Q927" s="0" t="str">
        <f aca="false">SUBSTITUTE(SUBSTITUTE($I927,CHAR(61),""),CHAR(34),"")</f>
        <v>01-09</v>
      </c>
      <c r="R927" s="0" t="str">
        <f aca="false">IF($D927&lt;&gt;"","["&amp;$E927&amp;"]"&amp;"|"&amp;$Q927&amp;"|"&amp;$K927&amp;"|"&amp;$G927&amp;"|"&amp;IF($G927="TX_CURR_SUBNAT.R","CY2022Q4",$M927),"")</f>
        <v>[fyEoGEPERdI]|01-09|Female|HIV_PREV.T_1|CY2023Q3</v>
      </c>
    </row>
    <row r="928" customFormat="false" ht="15" hidden="false" customHeight="false" outlineLevel="0" collapsed="false">
      <c r="D928" s="9" t="s">
        <v>84</v>
      </c>
      <c r="E928" s="9" t="s">
        <v>85</v>
      </c>
      <c r="F928" s="9" t="s">
        <v>86</v>
      </c>
      <c r="G928" s="9" t="s">
        <v>141</v>
      </c>
      <c r="H928" s="9" t="s">
        <v>142</v>
      </c>
      <c r="I928" s="0" t="s">
        <v>36</v>
      </c>
      <c r="J928" s="9" t="s">
        <v>37</v>
      </c>
      <c r="K928" s="9" t="s">
        <v>30</v>
      </c>
      <c r="L928" s="9" t="s">
        <v>31</v>
      </c>
      <c r="M928" s="0" t="s">
        <v>140</v>
      </c>
      <c r="N928" s="0" t="n">
        <v>1198</v>
      </c>
      <c r="O928" s="10" t="n">
        <v>0.63514259387739</v>
      </c>
      <c r="P928" s="10" t="n">
        <v>0.0297887143678963</v>
      </c>
      <c r="Q928" s="0" t="str">
        <f aca="false">SUBSTITUTE(SUBSTITUTE($I928,CHAR(61),""),CHAR(34),"")</f>
        <v>10-14</v>
      </c>
      <c r="R928" s="0" t="str">
        <f aca="false">IF($D928&lt;&gt;"","["&amp;$E928&amp;"]"&amp;"|"&amp;$Q928&amp;"|"&amp;$K928&amp;"|"&amp;$G928&amp;"|"&amp;IF($G928="TX_CURR_SUBNAT.R","CY2022Q4",$M928),"")</f>
        <v>[fyEoGEPERdI]|10-14|Female|HIV_PREV.T_1|CY2023Q3</v>
      </c>
    </row>
    <row r="929" customFormat="false" ht="15" hidden="false" customHeight="false" outlineLevel="0" collapsed="false">
      <c r="D929" s="9" t="s">
        <v>84</v>
      </c>
      <c r="E929" s="9" t="s">
        <v>85</v>
      </c>
      <c r="F929" s="9" t="s">
        <v>86</v>
      </c>
      <c r="G929" s="9" t="s">
        <v>141</v>
      </c>
      <c r="H929" s="9" t="s">
        <v>142</v>
      </c>
      <c r="I929" s="0" t="s">
        <v>38</v>
      </c>
      <c r="J929" s="9" t="s">
        <v>39</v>
      </c>
      <c r="K929" s="9" t="s">
        <v>30</v>
      </c>
      <c r="L929" s="9" t="s">
        <v>31</v>
      </c>
      <c r="M929" s="0" t="s">
        <v>140</v>
      </c>
      <c r="N929" s="0" t="n">
        <v>845</v>
      </c>
      <c r="O929" s="10" t="n">
        <v>0.444637021282688</v>
      </c>
      <c r="P929" s="10" t="n">
        <v>0.0297887143678963</v>
      </c>
      <c r="Q929" s="0" t="str">
        <f aca="false">SUBSTITUTE(SUBSTITUTE($I929,CHAR(61),""),CHAR(34),"")</f>
        <v>15-24</v>
      </c>
      <c r="R929" s="0" t="str">
        <f aca="false">IF($D929&lt;&gt;"","["&amp;$E929&amp;"]"&amp;"|"&amp;$Q929&amp;"|"&amp;$K929&amp;"|"&amp;$G929&amp;"|"&amp;IF($G929="TX_CURR_SUBNAT.R","CY2022Q4",$M929),"")</f>
        <v>[fyEoGEPERdI]|15-24|Female|HIV_PREV.T_1|CY2023Q3</v>
      </c>
    </row>
    <row r="930" customFormat="false" ht="15" hidden="false" customHeight="false" outlineLevel="0" collapsed="false">
      <c r="D930" s="9" t="s">
        <v>84</v>
      </c>
      <c r="E930" s="9" t="s">
        <v>85</v>
      </c>
      <c r="F930" s="9" t="s">
        <v>86</v>
      </c>
      <c r="G930" s="9" t="s">
        <v>141</v>
      </c>
      <c r="H930" s="9" t="s">
        <v>142</v>
      </c>
      <c r="I930" s="0" t="s">
        <v>41</v>
      </c>
      <c r="J930" s="9" t="s">
        <v>42</v>
      </c>
      <c r="K930" s="9" t="s">
        <v>30</v>
      </c>
      <c r="L930" s="9" t="s">
        <v>31</v>
      </c>
      <c r="M930" s="0" t="s">
        <v>140</v>
      </c>
      <c r="N930" s="0" t="n">
        <v>707</v>
      </c>
      <c r="O930" s="10" t="n">
        <v>0.982806969434023</v>
      </c>
      <c r="P930" s="10" t="n">
        <v>0.0297887143678963</v>
      </c>
      <c r="Q930" s="0" t="str">
        <f aca="false">SUBSTITUTE(SUBSTITUTE($I930,CHAR(61),""),CHAR(34),"")</f>
        <v>25-34</v>
      </c>
      <c r="R930" s="0" t="str">
        <f aca="false">IF($D930&lt;&gt;"","["&amp;$E930&amp;"]"&amp;"|"&amp;$Q930&amp;"|"&amp;$K930&amp;"|"&amp;$G930&amp;"|"&amp;IF($G930="TX_CURR_SUBNAT.R","CY2022Q4",$M930),"")</f>
        <v>[fyEoGEPERdI]|25-34|Female|HIV_PREV.T_1|CY2023Q3</v>
      </c>
    </row>
    <row r="931" customFormat="false" ht="15" hidden="false" customHeight="false" outlineLevel="0" collapsed="false">
      <c r="D931" s="9" t="s">
        <v>84</v>
      </c>
      <c r="E931" s="9" t="s">
        <v>85</v>
      </c>
      <c r="F931" s="9" t="s">
        <v>86</v>
      </c>
      <c r="G931" s="9" t="s">
        <v>141</v>
      </c>
      <c r="H931" s="9" t="s">
        <v>142</v>
      </c>
      <c r="I931" s="0" t="s">
        <v>43</v>
      </c>
      <c r="J931" s="9" t="s">
        <v>44</v>
      </c>
      <c r="K931" s="9" t="s">
        <v>30</v>
      </c>
      <c r="L931" s="9" t="s">
        <v>31</v>
      </c>
      <c r="M931" s="0" t="s">
        <v>140</v>
      </c>
      <c r="N931" s="0" t="n">
        <v>615</v>
      </c>
      <c r="O931" s="10" t="n">
        <v>0.104074044851586</v>
      </c>
      <c r="P931" s="10" t="n">
        <v>0.0297887143678963</v>
      </c>
      <c r="Q931" s="0" t="str">
        <f aca="false">SUBSTITUTE(SUBSTITUTE($I931,CHAR(61),""),CHAR(34),"")</f>
        <v>35-49</v>
      </c>
      <c r="R931" s="0" t="str">
        <f aca="false">IF($D931&lt;&gt;"","["&amp;$E931&amp;"]"&amp;"|"&amp;$Q931&amp;"|"&amp;$K931&amp;"|"&amp;$G931&amp;"|"&amp;IF($G931="TX_CURR_SUBNAT.R","CY2022Q4",$M931),"")</f>
        <v>[fyEoGEPERdI]|35-49|Female|HIV_PREV.T_1|CY2023Q3</v>
      </c>
    </row>
    <row r="932" customFormat="false" ht="15" hidden="false" customHeight="false" outlineLevel="0" collapsed="false">
      <c r="D932" s="9" t="s">
        <v>84</v>
      </c>
      <c r="E932" s="9" t="s">
        <v>85</v>
      </c>
      <c r="F932" s="9" t="s">
        <v>86</v>
      </c>
      <c r="G932" s="9" t="s">
        <v>141</v>
      </c>
      <c r="H932" s="9" t="s">
        <v>142</v>
      </c>
      <c r="I932" s="0" t="s">
        <v>45</v>
      </c>
      <c r="J932" s="9" t="s">
        <v>46</v>
      </c>
      <c r="K932" s="9" t="s">
        <v>30</v>
      </c>
      <c r="L932" s="9" t="s">
        <v>31</v>
      </c>
      <c r="M932" s="0" t="s">
        <v>140</v>
      </c>
      <c r="N932" s="0" t="n">
        <v>1678</v>
      </c>
      <c r="O932" s="10" t="n">
        <v>0.538193546235561</v>
      </c>
      <c r="P932" s="10" t="n">
        <v>0.0297887143678963</v>
      </c>
      <c r="Q932" s="0" t="str">
        <f aca="false">SUBSTITUTE(SUBSTITUTE($I932,CHAR(61),""),CHAR(34),"")</f>
        <v>50+</v>
      </c>
      <c r="R932" s="0" t="str">
        <f aca="false">IF($D932&lt;&gt;"","["&amp;$E932&amp;"]"&amp;"|"&amp;$Q932&amp;"|"&amp;$K932&amp;"|"&amp;$G932&amp;"|"&amp;IF($G932="TX_CURR_SUBNAT.R","CY2022Q4",$M932),"")</f>
        <v>[fyEoGEPERdI]|50+|Female|HIV_PREV.T_1|CY2023Q3</v>
      </c>
    </row>
    <row r="933" customFormat="false" ht="15" hidden="false" customHeight="false" outlineLevel="0" collapsed="false">
      <c r="D933" s="9" t="s">
        <v>84</v>
      </c>
      <c r="E933" s="9" t="s">
        <v>85</v>
      </c>
      <c r="F933" s="9" t="s">
        <v>86</v>
      </c>
      <c r="G933" s="9" t="s">
        <v>141</v>
      </c>
      <c r="H933" s="9" t="s">
        <v>142</v>
      </c>
      <c r="I933" s="0" t="s">
        <v>28</v>
      </c>
      <c r="J933" s="9" t="s">
        <v>29</v>
      </c>
      <c r="K933" s="9" t="s">
        <v>48</v>
      </c>
      <c r="L933" s="9" t="s">
        <v>49</v>
      </c>
      <c r="M933" s="0" t="s">
        <v>140</v>
      </c>
      <c r="N933" s="0" t="n">
        <v>566</v>
      </c>
      <c r="O933" s="10" t="n">
        <v>0.497488336171955</v>
      </c>
      <c r="P933" s="10" t="n">
        <v>0.0297887143678963</v>
      </c>
      <c r="Q933" s="0" t="str">
        <f aca="false">SUBSTITUTE(SUBSTITUTE($I933,CHAR(61),""),CHAR(34),"")</f>
        <v>&lt;01</v>
      </c>
      <c r="R933" s="0" t="str">
        <f aca="false">IF($D933&lt;&gt;"","["&amp;$E933&amp;"]"&amp;"|"&amp;$Q933&amp;"|"&amp;$K933&amp;"|"&amp;$G933&amp;"|"&amp;IF($G933="TX_CURR_SUBNAT.R","CY2022Q4",$M933),"")</f>
        <v>[fyEoGEPERdI]|&lt;01|Male|HIV_PREV.T_1|CY2023Q3</v>
      </c>
    </row>
    <row r="934" customFormat="false" ht="15" hidden="false" customHeight="false" outlineLevel="0" collapsed="false">
      <c r="D934" s="9" t="s">
        <v>84</v>
      </c>
      <c r="E934" s="9" t="s">
        <v>85</v>
      </c>
      <c r="F934" s="9" t="s">
        <v>86</v>
      </c>
      <c r="G934" s="9" t="s">
        <v>141</v>
      </c>
      <c r="H934" s="9" t="s">
        <v>142</v>
      </c>
      <c r="I934" s="0" t="s">
        <v>33</v>
      </c>
      <c r="J934" s="9" t="s">
        <v>34</v>
      </c>
      <c r="K934" s="9" t="s">
        <v>48</v>
      </c>
      <c r="L934" s="9" t="s">
        <v>49</v>
      </c>
      <c r="M934" s="0" t="s">
        <v>140</v>
      </c>
      <c r="N934" s="0" t="n">
        <v>1488</v>
      </c>
      <c r="O934" s="10" t="n">
        <v>0.157327399356291</v>
      </c>
      <c r="P934" s="10" t="n">
        <v>0.0297887143678963</v>
      </c>
      <c r="Q934" s="0" t="str">
        <f aca="false">SUBSTITUTE(SUBSTITUTE($I934,CHAR(61),""),CHAR(34),"")</f>
        <v>01-09</v>
      </c>
      <c r="R934" s="0" t="str">
        <f aca="false">IF($D934&lt;&gt;"","["&amp;$E934&amp;"]"&amp;"|"&amp;$Q934&amp;"|"&amp;$K934&amp;"|"&amp;$G934&amp;"|"&amp;IF($G934="TX_CURR_SUBNAT.R","CY2022Q4",$M934),"")</f>
        <v>[fyEoGEPERdI]|01-09|Male|HIV_PREV.T_1|CY2023Q3</v>
      </c>
    </row>
    <row r="935" customFormat="false" ht="15" hidden="false" customHeight="false" outlineLevel="0" collapsed="false">
      <c r="D935" s="9" t="s">
        <v>84</v>
      </c>
      <c r="E935" s="9" t="s">
        <v>85</v>
      </c>
      <c r="F935" s="9" t="s">
        <v>86</v>
      </c>
      <c r="G935" s="9" t="s">
        <v>141</v>
      </c>
      <c r="H935" s="9" t="s">
        <v>142</v>
      </c>
      <c r="I935" s="0" t="s">
        <v>36</v>
      </c>
      <c r="J935" s="9" t="s">
        <v>37</v>
      </c>
      <c r="K935" s="9" t="s">
        <v>48</v>
      </c>
      <c r="L935" s="9" t="s">
        <v>49</v>
      </c>
      <c r="M935" s="0" t="s">
        <v>140</v>
      </c>
      <c r="N935" s="0" t="n">
        <v>509</v>
      </c>
      <c r="O935" s="10" t="n">
        <v>0.86810187716037</v>
      </c>
      <c r="P935" s="10" t="n">
        <v>0.0297887143678963</v>
      </c>
      <c r="Q935" s="0" t="str">
        <f aca="false">SUBSTITUTE(SUBSTITUTE($I935,CHAR(61),""),CHAR(34),"")</f>
        <v>10-14</v>
      </c>
      <c r="R935" s="0" t="str">
        <f aca="false">IF($D935&lt;&gt;"","["&amp;$E935&amp;"]"&amp;"|"&amp;$Q935&amp;"|"&amp;$K935&amp;"|"&amp;$G935&amp;"|"&amp;IF($G935="TX_CURR_SUBNAT.R","CY2022Q4",$M935),"")</f>
        <v>[fyEoGEPERdI]|10-14|Male|HIV_PREV.T_1|CY2023Q3</v>
      </c>
    </row>
    <row r="936" customFormat="false" ht="15" hidden="false" customHeight="false" outlineLevel="0" collapsed="false">
      <c r="D936" s="9" t="s">
        <v>84</v>
      </c>
      <c r="E936" s="9" t="s">
        <v>85</v>
      </c>
      <c r="F936" s="9" t="s">
        <v>86</v>
      </c>
      <c r="G936" s="9" t="s">
        <v>141</v>
      </c>
      <c r="H936" s="9" t="s">
        <v>142</v>
      </c>
      <c r="I936" s="0" t="s">
        <v>38</v>
      </c>
      <c r="J936" s="9" t="s">
        <v>39</v>
      </c>
      <c r="K936" s="9" t="s">
        <v>48</v>
      </c>
      <c r="L936" s="9" t="s">
        <v>49</v>
      </c>
      <c r="M936" s="0" t="s">
        <v>140</v>
      </c>
      <c r="N936" s="0" t="n">
        <v>892</v>
      </c>
      <c r="O936" s="10" t="n">
        <v>0.522638239897788</v>
      </c>
      <c r="P936" s="10" t="n">
        <v>0.0297887143678963</v>
      </c>
      <c r="Q936" s="0" t="str">
        <f aca="false">SUBSTITUTE(SUBSTITUTE($I936,CHAR(61),""),CHAR(34),"")</f>
        <v>15-24</v>
      </c>
      <c r="R936" s="0" t="str">
        <f aca="false">IF($D936&lt;&gt;"","["&amp;$E936&amp;"]"&amp;"|"&amp;$Q936&amp;"|"&amp;$K936&amp;"|"&amp;$G936&amp;"|"&amp;IF($G936="TX_CURR_SUBNAT.R","CY2022Q4",$M936),"")</f>
        <v>[fyEoGEPERdI]|15-24|Male|HIV_PREV.T_1|CY2023Q3</v>
      </c>
    </row>
    <row r="937" customFormat="false" ht="15" hidden="false" customHeight="false" outlineLevel="0" collapsed="false">
      <c r="D937" s="9" t="s">
        <v>84</v>
      </c>
      <c r="E937" s="9" t="s">
        <v>85</v>
      </c>
      <c r="F937" s="9" t="s">
        <v>86</v>
      </c>
      <c r="G937" s="9" t="s">
        <v>141</v>
      </c>
      <c r="H937" s="9" t="s">
        <v>142</v>
      </c>
      <c r="I937" s="0" t="s">
        <v>41</v>
      </c>
      <c r="J937" s="9" t="s">
        <v>42</v>
      </c>
      <c r="K937" s="9" t="s">
        <v>48</v>
      </c>
      <c r="L937" s="9" t="s">
        <v>49</v>
      </c>
      <c r="M937" s="0" t="s">
        <v>140</v>
      </c>
      <c r="N937" s="0" t="n">
        <v>1505</v>
      </c>
      <c r="O937" s="10" t="n">
        <v>0.953399778343737</v>
      </c>
      <c r="P937" s="10" t="n">
        <v>0.0297887143678963</v>
      </c>
      <c r="Q937" s="0" t="str">
        <f aca="false">SUBSTITUTE(SUBSTITUTE($I937,CHAR(61),""),CHAR(34),"")</f>
        <v>25-34</v>
      </c>
      <c r="R937" s="0" t="str">
        <f aca="false">IF($D937&lt;&gt;"","["&amp;$E937&amp;"]"&amp;"|"&amp;$Q937&amp;"|"&amp;$K937&amp;"|"&amp;$G937&amp;"|"&amp;IF($G937="TX_CURR_SUBNAT.R","CY2022Q4",$M937),"")</f>
        <v>[fyEoGEPERdI]|25-34|Male|HIV_PREV.T_1|CY2023Q3</v>
      </c>
    </row>
    <row r="938" customFormat="false" ht="15" hidden="false" customHeight="false" outlineLevel="0" collapsed="false">
      <c r="D938" s="9" t="s">
        <v>84</v>
      </c>
      <c r="E938" s="9" t="s">
        <v>85</v>
      </c>
      <c r="F938" s="9" t="s">
        <v>86</v>
      </c>
      <c r="G938" s="9" t="s">
        <v>141</v>
      </c>
      <c r="H938" s="9" t="s">
        <v>142</v>
      </c>
      <c r="I938" s="0" t="s">
        <v>43</v>
      </c>
      <c r="J938" s="9" t="s">
        <v>44</v>
      </c>
      <c r="K938" s="9" t="s">
        <v>48</v>
      </c>
      <c r="L938" s="9" t="s">
        <v>49</v>
      </c>
      <c r="M938" s="0" t="s">
        <v>140</v>
      </c>
      <c r="N938" s="0" t="n">
        <v>1565</v>
      </c>
      <c r="O938" s="10" t="n">
        <v>0.264779647113755</v>
      </c>
      <c r="P938" s="10" t="n">
        <v>0.0297887143678963</v>
      </c>
      <c r="Q938" s="0" t="str">
        <f aca="false">SUBSTITUTE(SUBSTITUTE($I938,CHAR(61),""),CHAR(34),"")</f>
        <v>35-49</v>
      </c>
      <c r="R938" s="0" t="str">
        <f aca="false">IF($D938&lt;&gt;"","["&amp;$E938&amp;"]"&amp;"|"&amp;$Q938&amp;"|"&amp;$K938&amp;"|"&amp;$G938&amp;"|"&amp;IF($G938="TX_CURR_SUBNAT.R","CY2022Q4",$M938),"")</f>
        <v>[fyEoGEPERdI]|35-49|Male|HIV_PREV.T_1|CY2023Q3</v>
      </c>
    </row>
    <row r="939" customFormat="false" ht="15" hidden="false" customHeight="false" outlineLevel="0" collapsed="false">
      <c r="D939" s="9" t="s">
        <v>84</v>
      </c>
      <c r="E939" s="9" t="s">
        <v>85</v>
      </c>
      <c r="F939" s="9" t="s">
        <v>86</v>
      </c>
      <c r="G939" s="9" t="s">
        <v>141</v>
      </c>
      <c r="H939" s="9" t="s">
        <v>142</v>
      </c>
      <c r="I939" s="0" t="s">
        <v>45</v>
      </c>
      <c r="J939" s="9" t="s">
        <v>46</v>
      </c>
      <c r="K939" s="9" t="s">
        <v>48</v>
      </c>
      <c r="L939" s="9" t="s">
        <v>49</v>
      </c>
      <c r="M939" s="0" t="s">
        <v>140</v>
      </c>
      <c r="N939" s="0" t="n">
        <v>1933</v>
      </c>
      <c r="O939" s="10" t="n">
        <v>0.896145653910935</v>
      </c>
      <c r="P939" s="10" t="n">
        <v>0.0297887143678963</v>
      </c>
      <c r="Q939" s="0" t="str">
        <f aca="false">SUBSTITUTE(SUBSTITUTE($I939,CHAR(61),""),CHAR(34),"")</f>
        <v>50+</v>
      </c>
      <c r="R939" s="0" t="str">
        <f aca="false">IF($D939&lt;&gt;"","["&amp;$E939&amp;"]"&amp;"|"&amp;$Q939&amp;"|"&amp;$K939&amp;"|"&amp;$G939&amp;"|"&amp;IF($G939="TX_CURR_SUBNAT.R","CY2022Q4",$M939),"")</f>
        <v>[fyEoGEPERdI]|50+|Male|HIV_PREV.T_1|CY2023Q3</v>
      </c>
    </row>
    <row r="940" customFormat="false" ht="15" hidden="false" customHeight="false" outlineLevel="0" collapsed="false">
      <c r="D940" s="9" t="s">
        <v>87</v>
      </c>
      <c r="E940" s="9" t="s">
        <v>88</v>
      </c>
      <c r="F940" s="9" t="s">
        <v>89</v>
      </c>
      <c r="G940" s="9" t="s">
        <v>141</v>
      </c>
      <c r="H940" s="9" t="s">
        <v>142</v>
      </c>
      <c r="I940" s="0" t="s">
        <v>28</v>
      </c>
      <c r="J940" s="9" t="s">
        <v>29</v>
      </c>
      <c r="K940" s="9" t="s">
        <v>30</v>
      </c>
      <c r="L940" s="9" t="s">
        <v>31</v>
      </c>
      <c r="M940" s="0" t="s">
        <v>140</v>
      </c>
      <c r="N940" s="0" t="n">
        <v>578</v>
      </c>
      <c r="O940" s="10" t="n">
        <v>0.477409261045977</v>
      </c>
      <c r="P940" s="10" t="n">
        <v>0.133336380822584</v>
      </c>
      <c r="Q940" s="0" t="str">
        <f aca="false">SUBSTITUTE(SUBSTITUTE($I940,CHAR(61),""),CHAR(34),"")</f>
        <v>&lt;01</v>
      </c>
      <c r="R940" s="0" t="str">
        <f aca="false">IF($D940&lt;&gt;"","["&amp;$E940&amp;"]"&amp;"|"&amp;$Q940&amp;"|"&amp;$K940&amp;"|"&amp;$G940&amp;"|"&amp;IF($G940="TX_CURR_SUBNAT.R","CY2022Q4",$M940),"")</f>
        <v>[cPtvxaZqXIH]|&lt;01|Female|HIV_PREV.T_1|CY2023Q3</v>
      </c>
    </row>
    <row r="941" customFormat="false" ht="15" hidden="false" customHeight="false" outlineLevel="0" collapsed="false">
      <c r="D941" s="9" t="s">
        <v>87</v>
      </c>
      <c r="E941" s="9" t="s">
        <v>88</v>
      </c>
      <c r="F941" s="9" t="s">
        <v>89</v>
      </c>
      <c r="G941" s="9" t="s">
        <v>141</v>
      </c>
      <c r="H941" s="9" t="s">
        <v>142</v>
      </c>
      <c r="I941" s="0" t="s">
        <v>33</v>
      </c>
      <c r="J941" s="9" t="s">
        <v>34</v>
      </c>
      <c r="K941" s="9" t="s">
        <v>30</v>
      </c>
      <c r="L941" s="9" t="s">
        <v>31</v>
      </c>
      <c r="M941" s="0" t="s">
        <v>140</v>
      </c>
      <c r="N941" s="0" t="n">
        <v>1364</v>
      </c>
      <c r="O941" s="10" t="n">
        <v>0.321892491774634</v>
      </c>
      <c r="P941" s="10" t="n">
        <v>0.133336380822584</v>
      </c>
      <c r="Q941" s="0" t="str">
        <f aca="false">SUBSTITUTE(SUBSTITUTE($I941,CHAR(61),""),CHAR(34),"")</f>
        <v>01-09</v>
      </c>
      <c r="R941" s="0" t="str">
        <f aca="false">IF($D941&lt;&gt;"","["&amp;$E941&amp;"]"&amp;"|"&amp;$Q941&amp;"|"&amp;$K941&amp;"|"&amp;$G941&amp;"|"&amp;IF($G941="TX_CURR_SUBNAT.R","CY2022Q4",$M941),"")</f>
        <v>[cPtvxaZqXIH]|01-09|Female|HIV_PREV.T_1|CY2023Q3</v>
      </c>
    </row>
    <row r="942" customFormat="false" ht="15" hidden="false" customHeight="false" outlineLevel="0" collapsed="false">
      <c r="D942" s="9" t="s">
        <v>87</v>
      </c>
      <c r="E942" s="9" t="s">
        <v>88</v>
      </c>
      <c r="F942" s="9" t="s">
        <v>89</v>
      </c>
      <c r="G942" s="9" t="s">
        <v>141</v>
      </c>
      <c r="H942" s="9" t="s">
        <v>142</v>
      </c>
      <c r="I942" s="0" t="s">
        <v>36</v>
      </c>
      <c r="J942" s="9" t="s">
        <v>37</v>
      </c>
      <c r="K942" s="9" t="s">
        <v>30</v>
      </c>
      <c r="L942" s="9" t="s">
        <v>31</v>
      </c>
      <c r="M942" s="0" t="s">
        <v>140</v>
      </c>
      <c r="N942" s="0" t="n">
        <v>1834</v>
      </c>
      <c r="O942" s="10" t="n">
        <v>0.384247768670321</v>
      </c>
      <c r="P942" s="10" t="n">
        <v>0.133336380822584</v>
      </c>
      <c r="Q942" s="0" t="str">
        <f aca="false">SUBSTITUTE(SUBSTITUTE($I942,CHAR(61),""),CHAR(34),"")</f>
        <v>10-14</v>
      </c>
      <c r="R942" s="0" t="str">
        <f aca="false">IF($D942&lt;&gt;"","["&amp;$E942&amp;"]"&amp;"|"&amp;$Q942&amp;"|"&amp;$K942&amp;"|"&amp;$G942&amp;"|"&amp;IF($G942="TX_CURR_SUBNAT.R","CY2022Q4",$M942),"")</f>
        <v>[cPtvxaZqXIH]|10-14|Female|HIV_PREV.T_1|CY2023Q3</v>
      </c>
    </row>
    <row r="943" customFormat="false" ht="15" hidden="false" customHeight="false" outlineLevel="0" collapsed="false">
      <c r="D943" s="9" t="s">
        <v>87</v>
      </c>
      <c r="E943" s="9" t="s">
        <v>88</v>
      </c>
      <c r="F943" s="9" t="s">
        <v>89</v>
      </c>
      <c r="G943" s="9" t="s">
        <v>141</v>
      </c>
      <c r="H943" s="9" t="s">
        <v>142</v>
      </c>
      <c r="I943" s="0" t="s">
        <v>38</v>
      </c>
      <c r="J943" s="9" t="s">
        <v>39</v>
      </c>
      <c r="K943" s="9" t="s">
        <v>30</v>
      </c>
      <c r="L943" s="9" t="s">
        <v>31</v>
      </c>
      <c r="M943" s="0" t="s">
        <v>140</v>
      </c>
      <c r="N943" s="0" t="n">
        <v>1330</v>
      </c>
      <c r="O943" s="10" t="n">
        <v>0.818230109522119</v>
      </c>
      <c r="P943" s="10" t="n">
        <v>0.133336380822584</v>
      </c>
      <c r="Q943" s="0" t="str">
        <f aca="false">SUBSTITUTE(SUBSTITUTE($I943,CHAR(61),""),CHAR(34),"")</f>
        <v>15-24</v>
      </c>
      <c r="R943" s="0" t="str">
        <f aca="false">IF($D943&lt;&gt;"","["&amp;$E943&amp;"]"&amp;"|"&amp;$Q943&amp;"|"&amp;$K943&amp;"|"&amp;$G943&amp;"|"&amp;IF($G943="TX_CURR_SUBNAT.R","CY2022Q4",$M943),"")</f>
        <v>[cPtvxaZqXIH]|15-24|Female|HIV_PREV.T_1|CY2023Q3</v>
      </c>
    </row>
    <row r="944" customFormat="false" ht="15" hidden="false" customHeight="false" outlineLevel="0" collapsed="false">
      <c r="D944" s="9" t="s">
        <v>87</v>
      </c>
      <c r="E944" s="9" t="s">
        <v>88</v>
      </c>
      <c r="F944" s="9" t="s">
        <v>89</v>
      </c>
      <c r="G944" s="9" t="s">
        <v>141</v>
      </c>
      <c r="H944" s="9" t="s">
        <v>142</v>
      </c>
      <c r="I944" s="0" t="s">
        <v>41</v>
      </c>
      <c r="J944" s="9" t="s">
        <v>42</v>
      </c>
      <c r="K944" s="9" t="s">
        <v>30</v>
      </c>
      <c r="L944" s="9" t="s">
        <v>31</v>
      </c>
      <c r="M944" s="0" t="s">
        <v>140</v>
      </c>
      <c r="N944" s="0" t="n">
        <v>1493</v>
      </c>
      <c r="O944" s="10" t="n">
        <v>0.865307391854003</v>
      </c>
      <c r="P944" s="10" t="n">
        <v>0.133336380822584</v>
      </c>
      <c r="Q944" s="0" t="str">
        <f aca="false">SUBSTITUTE(SUBSTITUTE($I944,CHAR(61),""),CHAR(34),"")</f>
        <v>25-34</v>
      </c>
      <c r="R944" s="0" t="str">
        <f aca="false">IF($D944&lt;&gt;"","["&amp;$E944&amp;"]"&amp;"|"&amp;$Q944&amp;"|"&amp;$K944&amp;"|"&amp;$G944&amp;"|"&amp;IF($G944="TX_CURR_SUBNAT.R","CY2022Q4",$M944),"")</f>
        <v>[cPtvxaZqXIH]|25-34|Female|HIV_PREV.T_1|CY2023Q3</v>
      </c>
    </row>
    <row r="945" customFormat="false" ht="15" hidden="false" customHeight="false" outlineLevel="0" collapsed="false">
      <c r="D945" s="9" t="s">
        <v>87</v>
      </c>
      <c r="E945" s="9" t="s">
        <v>88</v>
      </c>
      <c r="F945" s="9" t="s">
        <v>89</v>
      </c>
      <c r="G945" s="9" t="s">
        <v>141</v>
      </c>
      <c r="H945" s="9" t="s">
        <v>142</v>
      </c>
      <c r="I945" s="0" t="s">
        <v>43</v>
      </c>
      <c r="J945" s="9" t="s">
        <v>44</v>
      </c>
      <c r="K945" s="9" t="s">
        <v>30</v>
      </c>
      <c r="L945" s="9" t="s">
        <v>31</v>
      </c>
      <c r="M945" s="0" t="s">
        <v>140</v>
      </c>
      <c r="N945" s="0" t="n">
        <v>1992</v>
      </c>
      <c r="O945" s="10" t="n">
        <v>0.874847137834877</v>
      </c>
      <c r="P945" s="10" t="n">
        <v>0.133336380822584</v>
      </c>
      <c r="Q945" s="0" t="str">
        <f aca="false">SUBSTITUTE(SUBSTITUTE($I945,CHAR(61),""),CHAR(34),"")</f>
        <v>35-49</v>
      </c>
      <c r="R945" s="0" t="str">
        <f aca="false">IF($D945&lt;&gt;"","["&amp;$E945&amp;"]"&amp;"|"&amp;$Q945&amp;"|"&amp;$K945&amp;"|"&amp;$G945&amp;"|"&amp;IF($G945="TX_CURR_SUBNAT.R","CY2022Q4",$M945),"")</f>
        <v>[cPtvxaZqXIH]|35-49|Female|HIV_PREV.T_1|CY2023Q3</v>
      </c>
    </row>
    <row r="946" customFormat="false" ht="15" hidden="false" customHeight="false" outlineLevel="0" collapsed="false">
      <c r="D946" s="9" t="s">
        <v>87</v>
      </c>
      <c r="E946" s="9" t="s">
        <v>88</v>
      </c>
      <c r="F946" s="9" t="s">
        <v>89</v>
      </c>
      <c r="G946" s="9" t="s">
        <v>141</v>
      </c>
      <c r="H946" s="9" t="s">
        <v>142</v>
      </c>
      <c r="I946" s="0" t="s">
        <v>45</v>
      </c>
      <c r="J946" s="9" t="s">
        <v>46</v>
      </c>
      <c r="K946" s="9" t="s">
        <v>30</v>
      </c>
      <c r="L946" s="9" t="s">
        <v>31</v>
      </c>
      <c r="M946" s="0" t="s">
        <v>140</v>
      </c>
      <c r="N946" s="0" t="n">
        <v>1324</v>
      </c>
      <c r="O946" s="10" t="n">
        <v>0.942058530868962</v>
      </c>
      <c r="P946" s="10" t="n">
        <v>0.133336380822584</v>
      </c>
      <c r="Q946" s="0" t="str">
        <f aca="false">SUBSTITUTE(SUBSTITUTE($I946,CHAR(61),""),CHAR(34),"")</f>
        <v>50+</v>
      </c>
      <c r="R946" s="0" t="str">
        <f aca="false">IF($D946&lt;&gt;"","["&amp;$E946&amp;"]"&amp;"|"&amp;$Q946&amp;"|"&amp;$K946&amp;"|"&amp;$G946&amp;"|"&amp;IF($G946="TX_CURR_SUBNAT.R","CY2022Q4",$M946),"")</f>
        <v>[cPtvxaZqXIH]|50+|Female|HIV_PREV.T_1|CY2023Q3</v>
      </c>
    </row>
    <row r="947" customFormat="false" ht="15" hidden="false" customHeight="false" outlineLevel="0" collapsed="false">
      <c r="D947" s="9" t="s">
        <v>87</v>
      </c>
      <c r="E947" s="9" t="s">
        <v>88</v>
      </c>
      <c r="F947" s="9" t="s">
        <v>89</v>
      </c>
      <c r="G947" s="9" t="s">
        <v>141</v>
      </c>
      <c r="H947" s="9" t="s">
        <v>142</v>
      </c>
      <c r="I947" s="0" t="s">
        <v>28</v>
      </c>
      <c r="J947" s="9" t="s">
        <v>29</v>
      </c>
      <c r="K947" s="9" t="s">
        <v>48</v>
      </c>
      <c r="L947" s="9" t="s">
        <v>49</v>
      </c>
      <c r="M947" s="0" t="s">
        <v>140</v>
      </c>
      <c r="N947" s="0" t="n">
        <v>1009</v>
      </c>
      <c r="O947" s="10" t="n">
        <v>0.446733731543645</v>
      </c>
      <c r="P947" s="10" t="n">
        <v>0.133336380822584</v>
      </c>
      <c r="Q947" s="0" t="str">
        <f aca="false">SUBSTITUTE(SUBSTITUTE($I947,CHAR(61),""),CHAR(34),"")</f>
        <v>&lt;01</v>
      </c>
      <c r="R947" s="0" t="str">
        <f aca="false">IF($D947&lt;&gt;"","["&amp;$E947&amp;"]"&amp;"|"&amp;$Q947&amp;"|"&amp;$K947&amp;"|"&amp;$G947&amp;"|"&amp;IF($G947="TX_CURR_SUBNAT.R","CY2022Q4",$M947),"")</f>
        <v>[cPtvxaZqXIH]|&lt;01|Male|HIV_PREV.T_1|CY2023Q3</v>
      </c>
    </row>
    <row r="948" customFormat="false" ht="15" hidden="false" customHeight="false" outlineLevel="0" collapsed="false">
      <c r="D948" s="9" t="s">
        <v>87</v>
      </c>
      <c r="E948" s="9" t="s">
        <v>88</v>
      </c>
      <c r="F948" s="9" t="s">
        <v>89</v>
      </c>
      <c r="G948" s="9" t="s">
        <v>141</v>
      </c>
      <c r="H948" s="9" t="s">
        <v>142</v>
      </c>
      <c r="I948" s="0" t="s">
        <v>33</v>
      </c>
      <c r="J948" s="9" t="s">
        <v>34</v>
      </c>
      <c r="K948" s="9" t="s">
        <v>48</v>
      </c>
      <c r="L948" s="9" t="s">
        <v>49</v>
      </c>
      <c r="M948" s="0" t="s">
        <v>140</v>
      </c>
      <c r="N948" s="0" t="n">
        <v>793</v>
      </c>
      <c r="O948" s="10" t="n">
        <v>0.270540337543935</v>
      </c>
      <c r="P948" s="10" t="n">
        <v>0.133336380822584</v>
      </c>
      <c r="Q948" s="0" t="str">
        <f aca="false">SUBSTITUTE(SUBSTITUTE($I948,CHAR(61),""),CHAR(34),"")</f>
        <v>01-09</v>
      </c>
      <c r="R948" s="0" t="str">
        <f aca="false">IF($D948&lt;&gt;"","["&amp;$E948&amp;"]"&amp;"|"&amp;$Q948&amp;"|"&amp;$K948&amp;"|"&amp;$G948&amp;"|"&amp;IF($G948="TX_CURR_SUBNAT.R","CY2022Q4",$M948),"")</f>
        <v>[cPtvxaZqXIH]|01-09|Male|HIV_PREV.T_1|CY2023Q3</v>
      </c>
    </row>
    <row r="949" customFormat="false" ht="15" hidden="false" customHeight="false" outlineLevel="0" collapsed="false">
      <c r="D949" s="9" t="s">
        <v>87</v>
      </c>
      <c r="E949" s="9" t="s">
        <v>88</v>
      </c>
      <c r="F949" s="9" t="s">
        <v>89</v>
      </c>
      <c r="G949" s="9" t="s">
        <v>141</v>
      </c>
      <c r="H949" s="9" t="s">
        <v>142</v>
      </c>
      <c r="I949" s="0" t="s">
        <v>36</v>
      </c>
      <c r="J949" s="9" t="s">
        <v>37</v>
      </c>
      <c r="K949" s="9" t="s">
        <v>48</v>
      </c>
      <c r="L949" s="9" t="s">
        <v>49</v>
      </c>
      <c r="M949" s="0" t="s">
        <v>140</v>
      </c>
      <c r="N949" s="0" t="n">
        <v>1837</v>
      </c>
      <c r="O949" s="10" t="n">
        <v>0.388694656547159</v>
      </c>
      <c r="P949" s="10" t="n">
        <v>0.133336380822584</v>
      </c>
      <c r="Q949" s="0" t="str">
        <f aca="false">SUBSTITUTE(SUBSTITUTE($I949,CHAR(61),""),CHAR(34),"")</f>
        <v>10-14</v>
      </c>
      <c r="R949" s="0" t="str">
        <f aca="false">IF($D949&lt;&gt;"","["&amp;$E949&amp;"]"&amp;"|"&amp;$Q949&amp;"|"&amp;$K949&amp;"|"&amp;$G949&amp;"|"&amp;IF($G949="TX_CURR_SUBNAT.R","CY2022Q4",$M949),"")</f>
        <v>[cPtvxaZqXIH]|10-14|Male|HIV_PREV.T_1|CY2023Q3</v>
      </c>
    </row>
    <row r="950" customFormat="false" ht="15" hidden="false" customHeight="false" outlineLevel="0" collapsed="false">
      <c r="D950" s="9" t="s">
        <v>87</v>
      </c>
      <c r="E950" s="9" t="s">
        <v>88</v>
      </c>
      <c r="F950" s="9" t="s">
        <v>89</v>
      </c>
      <c r="G950" s="9" t="s">
        <v>141</v>
      </c>
      <c r="H950" s="9" t="s">
        <v>142</v>
      </c>
      <c r="I950" s="0" t="s">
        <v>38</v>
      </c>
      <c r="J950" s="9" t="s">
        <v>39</v>
      </c>
      <c r="K950" s="9" t="s">
        <v>48</v>
      </c>
      <c r="L950" s="9" t="s">
        <v>49</v>
      </c>
      <c r="M950" s="0" t="s">
        <v>140</v>
      </c>
      <c r="N950" s="0" t="n">
        <v>803</v>
      </c>
      <c r="O950" s="10" t="n">
        <v>0.057852468220517</v>
      </c>
      <c r="P950" s="10" t="n">
        <v>0.133336380822584</v>
      </c>
      <c r="Q950" s="0" t="str">
        <f aca="false">SUBSTITUTE(SUBSTITUTE($I950,CHAR(61),""),CHAR(34),"")</f>
        <v>15-24</v>
      </c>
      <c r="R950" s="0" t="str">
        <f aca="false">IF($D950&lt;&gt;"","["&amp;$E950&amp;"]"&amp;"|"&amp;$Q950&amp;"|"&amp;$K950&amp;"|"&amp;$G950&amp;"|"&amp;IF($G950="TX_CURR_SUBNAT.R","CY2022Q4",$M950),"")</f>
        <v>[cPtvxaZqXIH]|15-24|Male|HIV_PREV.T_1|CY2023Q3</v>
      </c>
    </row>
    <row r="951" customFormat="false" ht="15" hidden="false" customHeight="false" outlineLevel="0" collapsed="false">
      <c r="D951" s="9" t="s">
        <v>87</v>
      </c>
      <c r="E951" s="9" t="s">
        <v>88</v>
      </c>
      <c r="F951" s="9" t="s">
        <v>89</v>
      </c>
      <c r="G951" s="9" t="s">
        <v>141</v>
      </c>
      <c r="H951" s="9" t="s">
        <v>142</v>
      </c>
      <c r="I951" s="0" t="s">
        <v>41</v>
      </c>
      <c r="J951" s="9" t="s">
        <v>42</v>
      </c>
      <c r="K951" s="9" t="s">
        <v>48</v>
      </c>
      <c r="L951" s="9" t="s">
        <v>49</v>
      </c>
      <c r="M951" s="0" t="s">
        <v>140</v>
      </c>
      <c r="N951" s="0" t="n">
        <v>660</v>
      </c>
      <c r="O951" s="10" t="n">
        <v>0.914804650936276</v>
      </c>
      <c r="P951" s="10" t="n">
        <v>0.133336380822584</v>
      </c>
      <c r="Q951" s="0" t="str">
        <f aca="false">SUBSTITUTE(SUBSTITUTE($I951,CHAR(61),""),CHAR(34),"")</f>
        <v>25-34</v>
      </c>
      <c r="R951" s="0" t="str">
        <f aca="false">IF($D951&lt;&gt;"","["&amp;$E951&amp;"]"&amp;"|"&amp;$Q951&amp;"|"&amp;$K951&amp;"|"&amp;$G951&amp;"|"&amp;IF($G951="TX_CURR_SUBNAT.R","CY2022Q4",$M951),"")</f>
        <v>[cPtvxaZqXIH]|25-34|Male|HIV_PREV.T_1|CY2023Q3</v>
      </c>
    </row>
    <row r="952" customFormat="false" ht="15" hidden="false" customHeight="false" outlineLevel="0" collapsed="false">
      <c r="D952" s="9" t="s">
        <v>87</v>
      </c>
      <c r="E952" s="9" t="s">
        <v>88</v>
      </c>
      <c r="F952" s="9" t="s">
        <v>89</v>
      </c>
      <c r="G952" s="9" t="s">
        <v>141</v>
      </c>
      <c r="H952" s="9" t="s">
        <v>142</v>
      </c>
      <c r="I952" s="0" t="s">
        <v>43</v>
      </c>
      <c r="J952" s="9" t="s">
        <v>44</v>
      </c>
      <c r="K952" s="9" t="s">
        <v>48</v>
      </c>
      <c r="L952" s="9" t="s">
        <v>49</v>
      </c>
      <c r="M952" s="0" t="s">
        <v>140</v>
      </c>
      <c r="N952" s="0" t="n">
        <v>1738</v>
      </c>
      <c r="O952" s="10" t="n">
        <v>0.255344749195501</v>
      </c>
      <c r="P952" s="10" t="n">
        <v>0.133336380822584</v>
      </c>
      <c r="Q952" s="0" t="str">
        <f aca="false">SUBSTITUTE(SUBSTITUTE($I952,CHAR(61),""),CHAR(34),"")</f>
        <v>35-49</v>
      </c>
      <c r="R952" s="0" t="str">
        <f aca="false">IF($D952&lt;&gt;"","["&amp;$E952&amp;"]"&amp;"|"&amp;$Q952&amp;"|"&amp;$K952&amp;"|"&amp;$G952&amp;"|"&amp;IF($G952="TX_CURR_SUBNAT.R","CY2022Q4",$M952),"")</f>
        <v>[cPtvxaZqXIH]|35-49|Male|HIV_PREV.T_1|CY2023Q3</v>
      </c>
    </row>
    <row r="953" customFormat="false" ht="15" hidden="false" customHeight="false" outlineLevel="0" collapsed="false">
      <c r="D953" s="9" t="s">
        <v>87</v>
      </c>
      <c r="E953" s="9" t="s">
        <v>88</v>
      </c>
      <c r="F953" s="9" t="s">
        <v>89</v>
      </c>
      <c r="G953" s="9" t="s">
        <v>141</v>
      </c>
      <c r="H953" s="9" t="s">
        <v>142</v>
      </c>
      <c r="I953" s="0" t="s">
        <v>45</v>
      </c>
      <c r="J953" s="9" t="s">
        <v>46</v>
      </c>
      <c r="K953" s="9" t="s">
        <v>48</v>
      </c>
      <c r="L953" s="9" t="s">
        <v>49</v>
      </c>
      <c r="M953" s="0" t="s">
        <v>140</v>
      </c>
      <c r="N953" s="0" t="n">
        <v>1344</v>
      </c>
      <c r="O953" s="10" t="n">
        <v>0.993443719111383</v>
      </c>
      <c r="P953" s="10" t="n">
        <v>0.133336380822584</v>
      </c>
      <c r="Q953" s="0" t="str">
        <f aca="false">SUBSTITUTE(SUBSTITUTE($I953,CHAR(61),""),CHAR(34),"")</f>
        <v>50+</v>
      </c>
      <c r="R953" s="0" t="str">
        <f aca="false">IF($D953&lt;&gt;"","["&amp;$E953&amp;"]"&amp;"|"&amp;$Q953&amp;"|"&amp;$K953&amp;"|"&amp;$G953&amp;"|"&amp;IF($G953="TX_CURR_SUBNAT.R","CY2022Q4",$M953),"")</f>
        <v>[cPtvxaZqXIH]|50+|Male|HIV_PREV.T_1|CY2023Q3</v>
      </c>
    </row>
    <row r="954" customFormat="false" ht="15" hidden="false" customHeight="false" outlineLevel="0" collapsed="false">
      <c r="D954" s="9" t="s">
        <v>90</v>
      </c>
      <c r="E954" s="9" t="s">
        <v>91</v>
      </c>
      <c r="F954" s="9" t="s">
        <v>92</v>
      </c>
      <c r="G954" s="9" t="s">
        <v>141</v>
      </c>
      <c r="H954" s="9" t="s">
        <v>142</v>
      </c>
      <c r="I954" s="0" t="s">
        <v>28</v>
      </c>
      <c r="J954" s="9" t="s">
        <v>29</v>
      </c>
      <c r="K954" s="9" t="s">
        <v>30</v>
      </c>
      <c r="L954" s="9" t="s">
        <v>31</v>
      </c>
      <c r="M954" s="0" t="s">
        <v>140</v>
      </c>
      <c r="N954" s="0" t="n">
        <v>1881</v>
      </c>
      <c r="O954" s="10" t="n">
        <v>0.0798905326519161</v>
      </c>
      <c r="P954" s="10" t="n">
        <v>0.719914150424302</v>
      </c>
      <c r="Q954" s="0" t="str">
        <f aca="false">SUBSTITUTE(SUBSTITUTE($I954,CHAR(61),""),CHAR(34),"")</f>
        <v>&lt;01</v>
      </c>
      <c r="R954" s="0" t="str">
        <f aca="false">IF($D954&lt;&gt;"","["&amp;$E954&amp;"]"&amp;"|"&amp;$Q954&amp;"|"&amp;$K954&amp;"|"&amp;$G954&amp;"|"&amp;IF($G954="TX_CURR_SUBNAT.R","CY2022Q4",$M954),"")</f>
        <v>[AZyWpGzhcaA]|&lt;01|Female|HIV_PREV.T_1|CY2023Q3</v>
      </c>
    </row>
    <row r="955" customFormat="false" ht="15" hidden="false" customHeight="false" outlineLevel="0" collapsed="false">
      <c r="D955" s="9" t="s">
        <v>90</v>
      </c>
      <c r="E955" s="9" t="s">
        <v>91</v>
      </c>
      <c r="F955" s="9" t="s">
        <v>92</v>
      </c>
      <c r="G955" s="9" t="s">
        <v>141</v>
      </c>
      <c r="H955" s="9" t="s">
        <v>142</v>
      </c>
      <c r="I955" s="0" t="s">
        <v>33</v>
      </c>
      <c r="J955" s="9" t="s">
        <v>34</v>
      </c>
      <c r="K955" s="9" t="s">
        <v>30</v>
      </c>
      <c r="L955" s="9" t="s">
        <v>31</v>
      </c>
      <c r="M955" s="0" t="s">
        <v>140</v>
      </c>
      <c r="N955" s="0" t="n">
        <v>691</v>
      </c>
      <c r="O955" s="10" t="n">
        <v>0.0462148985825479</v>
      </c>
      <c r="P955" s="10" t="n">
        <v>0.719914150424302</v>
      </c>
      <c r="Q955" s="0" t="str">
        <f aca="false">SUBSTITUTE(SUBSTITUTE($I955,CHAR(61),""),CHAR(34),"")</f>
        <v>01-09</v>
      </c>
      <c r="R955" s="0" t="str">
        <f aca="false">IF($D955&lt;&gt;"","["&amp;$E955&amp;"]"&amp;"|"&amp;$Q955&amp;"|"&amp;$K955&amp;"|"&amp;$G955&amp;"|"&amp;IF($G955="TX_CURR_SUBNAT.R","CY2022Q4",$M955),"")</f>
        <v>[AZyWpGzhcaA]|01-09|Female|HIV_PREV.T_1|CY2023Q3</v>
      </c>
    </row>
    <row r="956" customFormat="false" ht="15" hidden="false" customHeight="false" outlineLevel="0" collapsed="false">
      <c r="D956" s="9" t="s">
        <v>90</v>
      </c>
      <c r="E956" s="9" t="s">
        <v>91</v>
      </c>
      <c r="F956" s="9" t="s">
        <v>92</v>
      </c>
      <c r="G956" s="9" t="s">
        <v>141</v>
      </c>
      <c r="H956" s="9" t="s">
        <v>142</v>
      </c>
      <c r="I956" s="0" t="s">
        <v>36</v>
      </c>
      <c r="J956" s="9" t="s">
        <v>37</v>
      </c>
      <c r="K956" s="9" t="s">
        <v>30</v>
      </c>
      <c r="L956" s="9" t="s">
        <v>31</v>
      </c>
      <c r="M956" s="0" t="s">
        <v>140</v>
      </c>
      <c r="N956" s="0" t="n">
        <v>1592</v>
      </c>
      <c r="O956" s="10" t="n">
        <v>0.453490714309737</v>
      </c>
      <c r="P956" s="10" t="n">
        <v>0.719914150424302</v>
      </c>
      <c r="Q956" s="0" t="str">
        <f aca="false">SUBSTITUTE(SUBSTITUTE($I956,CHAR(61),""),CHAR(34),"")</f>
        <v>10-14</v>
      </c>
      <c r="R956" s="0" t="str">
        <f aca="false">IF($D956&lt;&gt;"","["&amp;$E956&amp;"]"&amp;"|"&amp;$Q956&amp;"|"&amp;$K956&amp;"|"&amp;$G956&amp;"|"&amp;IF($G956="TX_CURR_SUBNAT.R","CY2022Q4",$M956),"")</f>
        <v>[AZyWpGzhcaA]|10-14|Female|HIV_PREV.T_1|CY2023Q3</v>
      </c>
    </row>
    <row r="957" customFormat="false" ht="15" hidden="false" customHeight="false" outlineLevel="0" collapsed="false">
      <c r="D957" s="9" t="s">
        <v>90</v>
      </c>
      <c r="E957" s="9" t="s">
        <v>91</v>
      </c>
      <c r="F957" s="9" t="s">
        <v>92</v>
      </c>
      <c r="G957" s="9" t="s">
        <v>141</v>
      </c>
      <c r="H957" s="9" t="s">
        <v>142</v>
      </c>
      <c r="I957" s="0" t="s">
        <v>38</v>
      </c>
      <c r="J957" s="9" t="s">
        <v>39</v>
      </c>
      <c r="K957" s="9" t="s">
        <v>30</v>
      </c>
      <c r="L957" s="9" t="s">
        <v>31</v>
      </c>
      <c r="M957" s="0" t="s">
        <v>140</v>
      </c>
      <c r="N957" s="0" t="n">
        <v>1015</v>
      </c>
      <c r="O957" s="10" t="n">
        <v>0.460440373513848</v>
      </c>
      <c r="P957" s="10" t="n">
        <v>0.719914150424302</v>
      </c>
      <c r="Q957" s="0" t="str">
        <f aca="false">SUBSTITUTE(SUBSTITUTE($I957,CHAR(61),""),CHAR(34),"")</f>
        <v>15-24</v>
      </c>
      <c r="R957" s="0" t="str">
        <f aca="false">IF($D957&lt;&gt;"","["&amp;$E957&amp;"]"&amp;"|"&amp;$Q957&amp;"|"&amp;$K957&amp;"|"&amp;$G957&amp;"|"&amp;IF($G957="TX_CURR_SUBNAT.R","CY2022Q4",$M957),"")</f>
        <v>[AZyWpGzhcaA]|15-24|Female|HIV_PREV.T_1|CY2023Q3</v>
      </c>
    </row>
    <row r="958" customFormat="false" ht="15" hidden="false" customHeight="false" outlineLevel="0" collapsed="false">
      <c r="D958" s="9" t="s">
        <v>90</v>
      </c>
      <c r="E958" s="9" t="s">
        <v>91</v>
      </c>
      <c r="F958" s="9" t="s">
        <v>92</v>
      </c>
      <c r="G958" s="9" t="s">
        <v>141</v>
      </c>
      <c r="H958" s="9" t="s">
        <v>142</v>
      </c>
      <c r="I958" s="0" t="s">
        <v>41</v>
      </c>
      <c r="J958" s="9" t="s">
        <v>42</v>
      </c>
      <c r="K958" s="9" t="s">
        <v>30</v>
      </c>
      <c r="L958" s="9" t="s">
        <v>31</v>
      </c>
      <c r="M958" s="0" t="s">
        <v>140</v>
      </c>
      <c r="N958" s="0" t="n">
        <v>1352</v>
      </c>
      <c r="O958" s="10" t="n">
        <v>0.542911013588309</v>
      </c>
      <c r="P958" s="10" t="n">
        <v>0.719914150424302</v>
      </c>
      <c r="Q958" s="0" t="str">
        <f aca="false">SUBSTITUTE(SUBSTITUTE($I958,CHAR(61),""),CHAR(34),"")</f>
        <v>25-34</v>
      </c>
      <c r="R958" s="0" t="str">
        <f aca="false">IF($D958&lt;&gt;"","["&amp;$E958&amp;"]"&amp;"|"&amp;$Q958&amp;"|"&amp;$K958&amp;"|"&amp;$G958&amp;"|"&amp;IF($G958="TX_CURR_SUBNAT.R","CY2022Q4",$M958),"")</f>
        <v>[AZyWpGzhcaA]|25-34|Female|HIV_PREV.T_1|CY2023Q3</v>
      </c>
    </row>
    <row r="959" customFormat="false" ht="15" hidden="false" customHeight="false" outlineLevel="0" collapsed="false">
      <c r="D959" s="9" t="s">
        <v>90</v>
      </c>
      <c r="E959" s="9" t="s">
        <v>91</v>
      </c>
      <c r="F959" s="9" t="s">
        <v>92</v>
      </c>
      <c r="G959" s="9" t="s">
        <v>141</v>
      </c>
      <c r="H959" s="9" t="s">
        <v>142</v>
      </c>
      <c r="I959" s="0" t="s">
        <v>43</v>
      </c>
      <c r="J959" s="9" t="s">
        <v>44</v>
      </c>
      <c r="K959" s="9" t="s">
        <v>30</v>
      </c>
      <c r="L959" s="9" t="s">
        <v>31</v>
      </c>
      <c r="M959" s="0" t="s">
        <v>140</v>
      </c>
      <c r="N959" s="0" t="n">
        <v>1300</v>
      </c>
      <c r="O959" s="10" t="n">
        <v>0.267994520952925</v>
      </c>
      <c r="P959" s="10" t="n">
        <v>0.719914150424302</v>
      </c>
      <c r="Q959" s="0" t="str">
        <f aca="false">SUBSTITUTE(SUBSTITUTE($I959,CHAR(61),""),CHAR(34),"")</f>
        <v>35-49</v>
      </c>
      <c r="R959" s="0" t="str">
        <f aca="false">IF($D959&lt;&gt;"","["&amp;$E959&amp;"]"&amp;"|"&amp;$Q959&amp;"|"&amp;$K959&amp;"|"&amp;$G959&amp;"|"&amp;IF($G959="TX_CURR_SUBNAT.R","CY2022Q4",$M959),"")</f>
        <v>[AZyWpGzhcaA]|35-49|Female|HIV_PREV.T_1|CY2023Q3</v>
      </c>
    </row>
    <row r="960" customFormat="false" ht="15" hidden="false" customHeight="false" outlineLevel="0" collapsed="false">
      <c r="D960" s="9" t="s">
        <v>90</v>
      </c>
      <c r="E960" s="9" t="s">
        <v>91</v>
      </c>
      <c r="F960" s="9" t="s">
        <v>92</v>
      </c>
      <c r="G960" s="9" t="s">
        <v>141</v>
      </c>
      <c r="H960" s="9" t="s">
        <v>142</v>
      </c>
      <c r="I960" s="0" t="s">
        <v>45</v>
      </c>
      <c r="J960" s="9" t="s">
        <v>46</v>
      </c>
      <c r="K960" s="9" t="s">
        <v>30</v>
      </c>
      <c r="L960" s="9" t="s">
        <v>31</v>
      </c>
      <c r="M960" s="0" t="s">
        <v>140</v>
      </c>
      <c r="N960" s="0" t="n">
        <v>1532</v>
      </c>
      <c r="O960" s="10" t="n">
        <v>0.223772800061852</v>
      </c>
      <c r="P960" s="10" t="n">
        <v>0.719914150424302</v>
      </c>
      <c r="Q960" s="0" t="str">
        <f aca="false">SUBSTITUTE(SUBSTITUTE($I960,CHAR(61),""),CHAR(34),"")</f>
        <v>50+</v>
      </c>
      <c r="R960" s="0" t="str">
        <f aca="false">IF($D960&lt;&gt;"","["&amp;$E960&amp;"]"&amp;"|"&amp;$Q960&amp;"|"&amp;$K960&amp;"|"&amp;$G960&amp;"|"&amp;IF($G960="TX_CURR_SUBNAT.R","CY2022Q4",$M960),"")</f>
        <v>[AZyWpGzhcaA]|50+|Female|HIV_PREV.T_1|CY2023Q3</v>
      </c>
    </row>
    <row r="961" customFormat="false" ht="15" hidden="false" customHeight="false" outlineLevel="0" collapsed="false">
      <c r="D961" s="9" t="s">
        <v>90</v>
      </c>
      <c r="E961" s="9" t="s">
        <v>91</v>
      </c>
      <c r="F961" s="9" t="s">
        <v>92</v>
      </c>
      <c r="G961" s="9" t="s">
        <v>141</v>
      </c>
      <c r="H961" s="9" t="s">
        <v>142</v>
      </c>
      <c r="I961" s="0" t="s">
        <v>28</v>
      </c>
      <c r="J961" s="9" t="s">
        <v>29</v>
      </c>
      <c r="K961" s="9" t="s">
        <v>48</v>
      </c>
      <c r="L961" s="9" t="s">
        <v>49</v>
      </c>
      <c r="M961" s="0" t="s">
        <v>140</v>
      </c>
      <c r="N961" s="0" t="n">
        <v>640</v>
      </c>
      <c r="O961" s="10" t="n">
        <v>0.829070444917306</v>
      </c>
      <c r="P961" s="10" t="n">
        <v>0.719914150424302</v>
      </c>
      <c r="Q961" s="0" t="str">
        <f aca="false">SUBSTITUTE(SUBSTITUTE($I961,CHAR(61),""),CHAR(34),"")</f>
        <v>&lt;01</v>
      </c>
      <c r="R961" s="0" t="str">
        <f aca="false">IF($D961&lt;&gt;"","["&amp;$E961&amp;"]"&amp;"|"&amp;$Q961&amp;"|"&amp;$K961&amp;"|"&amp;$G961&amp;"|"&amp;IF($G961="TX_CURR_SUBNAT.R","CY2022Q4",$M961),"")</f>
        <v>[AZyWpGzhcaA]|&lt;01|Male|HIV_PREV.T_1|CY2023Q3</v>
      </c>
    </row>
    <row r="962" customFormat="false" ht="15" hidden="false" customHeight="false" outlineLevel="0" collapsed="false">
      <c r="D962" s="9" t="s">
        <v>90</v>
      </c>
      <c r="E962" s="9" t="s">
        <v>91</v>
      </c>
      <c r="F962" s="9" t="s">
        <v>92</v>
      </c>
      <c r="G962" s="9" t="s">
        <v>141</v>
      </c>
      <c r="H962" s="9" t="s">
        <v>142</v>
      </c>
      <c r="I962" s="0" t="s">
        <v>33</v>
      </c>
      <c r="J962" s="9" t="s">
        <v>34</v>
      </c>
      <c r="K962" s="9" t="s">
        <v>48</v>
      </c>
      <c r="L962" s="9" t="s">
        <v>49</v>
      </c>
      <c r="M962" s="0" t="s">
        <v>140</v>
      </c>
      <c r="N962" s="0" t="n">
        <v>1725</v>
      </c>
      <c r="O962" s="10" t="n">
        <v>0.228243970777839</v>
      </c>
      <c r="P962" s="10" t="n">
        <v>0.719914150424302</v>
      </c>
      <c r="Q962" s="0" t="str">
        <f aca="false">SUBSTITUTE(SUBSTITUTE($I962,CHAR(61),""),CHAR(34),"")</f>
        <v>01-09</v>
      </c>
      <c r="R962" s="0" t="str">
        <f aca="false">IF($D962&lt;&gt;"","["&amp;$E962&amp;"]"&amp;"|"&amp;$Q962&amp;"|"&amp;$K962&amp;"|"&amp;$G962&amp;"|"&amp;IF($G962="TX_CURR_SUBNAT.R","CY2022Q4",$M962),"")</f>
        <v>[AZyWpGzhcaA]|01-09|Male|HIV_PREV.T_1|CY2023Q3</v>
      </c>
    </row>
    <row r="963" customFormat="false" ht="15" hidden="false" customHeight="false" outlineLevel="0" collapsed="false">
      <c r="D963" s="9" t="s">
        <v>90</v>
      </c>
      <c r="E963" s="9" t="s">
        <v>91</v>
      </c>
      <c r="F963" s="9" t="s">
        <v>92</v>
      </c>
      <c r="G963" s="9" t="s">
        <v>141</v>
      </c>
      <c r="H963" s="9" t="s">
        <v>142</v>
      </c>
      <c r="I963" s="0" t="s">
        <v>36</v>
      </c>
      <c r="J963" s="9" t="s">
        <v>37</v>
      </c>
      <c r="K963" s="9" t="s">
        <v>48</v>
      </c>
      <c r="L963" s="9" t="s">
        <v>49</v>
      </c>
      <c r="M963" s="0" t="s">
        <v>140</v>
      </c>
      <c r="N963" s="0" t="n">
        <v>1625</v>
      </c>
      <c r="O963" s="10" t="n">
        <v>0.80698979482986</v>
      </c>
      <c r="P963" s="10" t="n">
        <v>0.719914150424302</v>
      </c>
      <c r="Q963" s="0" t="str">
        <f aca="false">SUBSTITUTE(SUBSTITUTE($I963,CHAR(61),""),CHAR(34),"")</f>
        <v>10-14</v>
      </c>
      <c r="R963" s="0" t="str">
        <f aca="false">IF($D963&lt;&gt;"","["&amp;$E963&amp;"]"&amp;"|"&amp;$Q963&amp;"|"&amp;$K963&amp;"|"&amp;$G963&amp;"|"&amp;IF($G963="TX_CURR_SUBNAT.R","CY2022Q4",$M963),"")</f>
        <v>[AZyWpGzhcaA]|10-14|Male|HIV_PREV.T_1|CY2023Q3</v>
      </c>
    </row>
    <row r="964" customFormat="false" ht="15" hidden="false" customHeight="false" outlineLevel="0" collapsed="false">
      <c r="D964" s="9" t="s">
        <v>90</v>
      </c>
      <c r="E964" s="9" t="s">
        <v>91</v>
      </c>
      <c r="F964" s="9" t="s">
        <v>92</v>
      </c>
      <c r="G964" s="9" t="s">
        <v>141</v>
      </c>
      <c r="H964" s="9" t="s">
        <v>142</v>
      </c>
      <c r="I964" s="0" t="s">
        <v>38</v>
      </c>
      <c r="J964" s="9" t="s">
        <v>39</v>
      </c>
      <c r="K964" s="9" t="s">
        <v>48</v>
      </c>
      <c r="L964" s="9" t="s">
        <v>49</v>
      </c>
      <c r="M964" s="0" t="s">
        <v>140</v>
      </c>
      <c r="N964" s="0" t="n">
        <v>602</v>
      </c>
      <c r="O964" s="10" t="n">
        <v>0.677183862542734</v>
      </c>
      <c r="P964" s="10" t="n">
        <v>0.719914150424302</v>
      </c>
      <c r="Q964" s="0" t="str">
        <f aca="false">SUBSTITUTE(SUBSTITUTE($I964,CHAR(61),""),CHAR(34),"")</f>
        <v>15-24</v>
      </c>
      <c r="R964" s="0" t="str">
        <f aca="false">IF($D964&lt;&gt;"","["&amp;$E964&amp;"]"&amp;"|"&amp;$Q964&amp;"|"&amp;$K964&amp;"|"&amp;$G964&amp;"|"&amp;IF($G964="TX_CURR_SUBNAT.R","CY2022Q4",$M964),"")</f>
        <v>[AZyWpGzhcaA]|15-24|Male|HIV_PREV.T_1|CY2023Q3</v>
      </c>
    </row>
    <row r="965" customFormat="false" ht="15" hidden="false" customHeight="false" outlineLevel="0" collapsed="false">
      <c r="D965" s="9" t="s">
        <v>90</v>
      </c>
      <c r="E965" s="9" t="s">
        <v>91</v>
      </c>
      <c r="F965" s="9" t="s">
        <v>92</v>
      </c>
      <c r="G965" s="9" t="s">
        <v>141</v>
      </c>
      <c r="H965" s="9" t="s">
        <v>142</v>
      </c>
      <c r="I965" s="0" t="s">
        <v>41</v>
      </c>
      <c r="J965" s="9" t="s">
        <v>42</v>
      </c>
      <c r="K965" s="9" t="s">
        <v>48</v>
      </c>
      <c r="L965" s="9" t="s">
        <v>49</v>
      </c>
      <c r="M965" s="0" t="s">
        <v>140</v>
      </c>
      <c r="N965" s="0" t="n">
        <v>1325</v>
      </c>
      <c r="O965" s="10" t="n">
        <v>0.14872495434247</v>
      </c>
      <c r="P965" s="10" t="n">
        <v>0.719914150424302</v>
      </c>
      <c r="Q965" s="0" t="str">
        <f aca="false">SUBSTITUTE(SUBSTITUTE($I965,CHAR(61),""),CHAR(34),"")</f>
        <v>25-34</v>
      </c>
      <c r="R965" s="0" t="str">
        <f aca="false">IF($D965&lt;&gt;"","["&amp;$E965&amp;"]"&amp;"|"&amp;$Q965&amp;"|"&amp;$K965&amp;"|"&amp;$G965&amp;"|"&amp;IF($G965="TX_CURR_SUBNAT.R","CY2022Q4",$M965),"")</f>
        <v>[AZyWpGzhcaA]|25-34|Male|HIV_PREV.T_1|CY2023Q3</v>
      </c>
    </row>
    <row r="966" customFormat="false" ht="15" hidden="false" customHeight="false" outlineLevel="0" collapsed="false">
      <c r="D966" s="9" t="s">
        <v>90</v>
      </c>
      <c r="E966" s="9" t="s">
        <v>91</v>
      </c>
      <c r="F966" s="9" t="s">
        <v>92</v>
      </c>
      <c r="G966" s="9" t="s">
        <v>141</v>
      </c>
      <c r="H966" s="9" t="s">
        <v>142</v>
      </c>
      <c r="I966" s="0" t="s">
        <v>43</v>
      </c>
      <c r="J966" s="9" t="s">
        <v>44</v>
      </c>
      <c r="K966" s="9" t="s">
        <v>48</v>
      </c>
      <c r="L966" s="9" t="s">
        <v>49</v>
      </c>
      <c r="M966" s="0" t="s">
        <v>140</v>
      </c>
      <c r="N966" s="0" t="n">
        <v>1176</v>
      </c>
      <c r="O966" s="10" t="n">
        <v>0.538879254832864</v>
      </c>
      <c r="P966" s="10" t="n">
        <v>0.719914150424302</v>
      </c>
      <c r="Q966" s="0" t="str">
        <f aca="false">SUBSTITUTE(SUBSTITUTE($I966,CHAR(61),""),CHAR(34),"")</f>
        <v>35-49</v>
      </c>
      <c r="R966" s="0" t="str">
        <f aca="false">IF($D966&lt;&gt;"","["&amp;$E966&amp;"]"&amp;"|"&amp;$Q966&amp;"|"&amp;$K966&amp;"|"&amp;$G966&amp;"|"&amp;IF($G966="TX_CURR_SUBNAT.R","CY2022Q4",$M966),"")</f>
        <v>[AZyWpGzhcaA]|35-49|Male|HIV_PREV.T_1|CY2023Q3</v>
      </c>
    </row>
    <row r="967" customFormat="false" ht="15" hidden="false" customHeight="false" outlineLevel="0" collapsed="false">
      <c r="D967" s="9" t="s">
        <v>90</v>
      </c>
      <c r="E967" s="9" t="s">
        <v>91</v>
      </c>
      <c r="F967" s="9" t="s">
        <v>92</v>
      </c>
      <c r="G967" s="9" t="s">
        <v>141</v>
      </c>
      <c r="H967" s="9" t="s">
        <v>142</v>
      </c>
      <c r="I967" s="0" t="s">
        <v>45</v>
      </c>
      <c r="J967" s="9" t="s">
        <v>46</v>
      </c>
      <c r="K967" s="9" t="s">
        <v>48</v>
      </c>
      <c r="L967" s="9" t="s">
        <v>49</v>
      </c>
      <c r="M967" s="0" t="s">
        <v>140</v>
      </c>
      <c r="N967" s="0" t="n">
        <v>1501</v>
      </c>
      <c r="O967" s="10" t="n">
        <v>0.919055005069822</v>
      </c>
      <c r="P967" s="10" t="n">
        <v>0.719914150424302</v>
      </c>
      <c r="Q967" s="0" t="str">
        <f aca="false">SUBSTITUTE(SUBSTITUTE($I967,CHAR(61),""),CHAR(34),"")</f>
        <v>50+</v>
      </c>
      <c r="R967" s="0" t="str">
        <f aca="false">IF($D967&lt;&gt;"","["&amp;$E967&amp;"]"&amp;"|"&amp;$Q967&amp;"|"&amp;$K967&amp;"|"&amp;$G967&amp;"|"&amp;IF($G967="TX_CURR_SUBNAT.R","CY2022Q4",$M967),"")</f>
        <v>[AZyWpGzhcaA]|50+|Male|HIV_PREV.T_1|CY2023Q3</v>
      </c>
    </row>
    <row r="968" customFormat="false" ht="15" hidden="false" customHeight="false" outlineLevel="0" collapsed="false">
      <c r="D968" s="9" t="s">
        <v>93</v>
      </c>
      <c r="E968" s="9" t="s">
        <v>94</v>
      </c>
      <c r="F968" s="9" t="s">
        <v>95</v>
      </c>
      <c r="G968" s="9" t="s">
        <v>141</v>
      </c>
      <c r="H968" s="9" t="s">
        <v>142</v>
      </c>
      <c r="I968" s="0" t="s">
        <v>28</v>
      </c>
      <c r="J968" s="9" t="s">
        <v>29</v>
      </c>
      <c r="K968" s="9" t="s">
        <v>30</v>
      </c>
      <c r="L968" s="9" t="s">
        <v>31</v>
      </c>
      <c r="M968" s="0" t="s">
        <v>140</v>
      </c>
      <c r="N968" s="0" t="n">
        <v>1869</v>
      </c>
      <c r="O968" s="10" t="n">
        <v>0.303270809585229</v>
      </c>
      <c r="P968" s="10" t="n">
        <v>0.362272296566516</v>
      </c>
      <c r="Q968" s="0" t="str">
        <f aca="false">SUBSTITUTE(SUBSTITUTE($I968,CHAR(61),""),CHAR(34),"")</f>
        <v>&lt;01</v>
      </c>
      <c r="R968" s="0" t="str">
        <f aca="false">IF($D968&lt;&gt;"","["&amp;$E968&amp;"]"&amp;"|"&amp;$Q968&amp;"|"&amp;$K968&amp;"|"&amp;$G968&amp;"|"&amp;IF($G968="TX_CURR_SUBNAT.R","CY2022Q4",$M968),"")</f>
        <v>[umc2n1Z4wNv]|&lt;01|Female|HIV_PREV.T_1|CY2023Q3</v>
      </c>
    </row>
    <row r="969" customFormat="false" ht="15" hidden="false" customHeight="false" outlineLevel="0" collapsed="false">
      <c r="D969" s="9" t="s">
        <v>93</v>
      </c>
      <c r="E969" s="9" t="s">
        <v>94</v>
      </c>
      <c r="F969" s="9" t="s">
        <v>95</v>
      </c>
      <c r="G969" s="9" t="s">
        <v>141</v>
      </c>
      <c r="H969" s="9" t="s">
        <v>142</v>
      </c>
      <c r="I969" s="0" t="s">
        <v>33</v>
      </c>
      <c r="J969" s="9" t="s">
        <v>34</v>
      </c>
      <c r="K969" s="9" t="s">
        <v>30</v>
      </c>
      <c r="L969" s="9" t="s">
        <v>31</v>
      </c>
      <c r="M969" s="0" t="s">
        <v>140</v>
      </c>
      <c r="N969" s="0" t="n">
        <v>1047</v>
      </c>
      <c r="O969" s="10" t="n">
        <v>0.829325419617817</v>
      </c>
      <c r="P969" s="10" t="n">
        <v>0.362272296566516</v>
      </c>
      <c r="Q969" s="0" t="str">
        <f aca="false">SUBSTITUTE(SUBSTITUTE($I969,CHAR(61),""),CHAR(34),"")</f>
        <v>01-09</v>
      </c>
      <c r="R969" s="0" t="str">
        <f aca="false">IF($D969&lt;&gt;"","["&amp;$E969&amp;"]"&amp;"|"&amp;$Q969&amp;"|"&amp;$K969&amp;"|"&amp;$G969&amp;"|"&amp;IF($G969="TX_CURR_SUBNAT.R","CY2022Q4",$M969),"")</f>
        <v>[umc2n1Z4wNv]|01-09|Female|HIV_PREV.T_1|CY2023Q3</v>
      </c>
    </row>
    <row r="970" customFormat="false" ht="15" hidden="false" customHeight="false" outlineLevel="0" collapsed="false">
      <c r="D970" s="9" t="s">
        <v>93</v>
      </c>
      <c r="E970" s="9" t="s">
        <v>94</v>
      </c>
      <c r="F970" s="9" t="s">
        <v>95</v>
      </c>
      <c r="G970" s="9" t="s">
        <v>141</v>
      </c>
      <c r="H970" s="9" t="s">
        <v>142</v>
      </c>
      <c r="I970" s="0" t="s">
        <v>36</v>
      </c>
      <c r="J970" s="9" t="s">
        <v>37</v>
      </c>
      <c r="K970" s="9" t="s">
        <v>30</v>
      </c>
      <c r="L970" s="9" t="s">
        <v>31</v>
      </c>
      <c r="M970" s="0" t="s">
        <v>140</v>
      </c>
      <c r="N970" s="0" t="n">
        <v>1652</v>
      </c>
      <c r="O970" s="10" t="n">
        <v>0.667601150227711</v>
      </c>
      <c r="P970" s="10" t="n">
        <v>0.362272296566516</v>
      </c>
      <c r="Q970" s="0" t="str">
        <f aca="false">SUBSTITUTE(SUBSTITUTE($I970,CHAR(61),""),CHAR(34),"")</f>
        <v>10-14</v>
      </c>
      <c r="R970" s="0" t="str">
        <f aca="false">IF($D970&lt;&gt;"","["&amp;$E970&amp;"]"&amp;"|"&amp;$Q970&amp;"|"&amp;$K970&amp;"|"&amp;$G970&amp;"|"&amp;IF($G970="TX_CURR_SUBNAT.R","CY2022Q4",$M970),"")</f>
        <v>[umc2n1Z4wNv]|10-14|Female|HIV_PREV.T_1|CY2023Q3</v>
      </c>
    </row>
    <row r="971" customFormat="false" ht="15" hidden="false" customHeight="false" outlineLevel="0" collapsed="false">
      <c r="D971" s="9" t="s">
        <v>93</v>
      </c>
      <c r="E971" s="9" t="s">
        <v>94</v>
      </c>
      <c r="F971" s="9" t="s">
        <v>95</v>
      </c>
      <c r="G971" s="9" t="s">
        <v>141</v>
      </c>
      <c r="H971" s="9" t="s">
        <v>142</v>
      </c>
      <c r="I971" s="0" t="s">
        <v>38</v>
      </c>
      <c r="J971" s="9" t="s">
        <v>39</v>
      </c>
      <c r="K971" s="9" t="s">
        <v>30</v>
      </c>
      <c r="L971" s="9" t="s">
        <v>31</v>
      </c>
      <c r="M971" s="0" t="s">
        <v>140</v>
      </c>
      <c r="N971" s="0" t="n">
        <v>1930</v>
      </c>
      <c r="O971" s="10" t="n">
        <v>0.412006072001532</v>
      </c>
      <c r="P971" s="10" t="n">
        <v>0.362272296566516</v>
      </c>
      <c r="Q971" s="0" t="str">
        <f aca="false">SUBSTITUTE(SUBSTITUTE($I971,CHAR(61),""),CHAR(34),"")</f>
        <v>15-24</v>
      </c>
      <c r="R971" s="0" t="str">
        <f aca="false">IF($D971&lt;&gt;"","["&amp;$E971&amp;"]"&amp;"|"&amp;$Q971&amp;"|"&amp;$K971&amp;"|"&amp;$G971&amp;"|"&amp;IF($G971="TX_CURR_SUBNAT.R","CY2022Q4",$M971),"")</f>
        <v>[umc2n1Z4wNv]|15-24|Female|HIV_PREV.T_1|CY2023Q3</v>
      </c>
    </row>
    <row r="972" customFormat="false" ht="15" hidden="false" customHeight="false" outlineLevel="0" collapsed="false">
      <c r="D972" s="9" t="s">
        <v>93</v>
      </c>
      <c r="E972" s="9" t="s">
        <v>94</v>
      </c>
      <c r="F972" s="9" t="s">
        <v>95</v>
      </c>
      <c r="G972" s="9" t="s">
        <v>141</v>
      </c>
      <c r="H972" s="9" t="s">
        <v>142</v>
      </c>
      <c r="I972" s="0" t="s">
        <v>41</v>
      </c>
      <c r="J972" s="9" t="s">
        <v>42</v>
      </c>
      <c r="K972" s="9" t="s">
        <v>30</v>
      </c>
      <c r="L972" s="9" t="s">
        <v>31</v>
      </c>
      <c r="M972" s="0" t="s">
        <v>140</v>
      </c>
      <c r="N972" s="0" t="n">
        <v>938</v>
      </c>
      <c r="O972" s="10" t="n">
        <v>0.292132029077038</v>
      </c>
      <c r="P972" s="10" t="n">
        <v>0.362272296566516</v>
      </c>
      <c r="Q972" s="0" t="str">
        <f aca="false">SUBSTITUTE(SUBSTITUTE($I972,CHAR(61),""),CHAR(34),"")</f>
        <v>25-34</v>
      </c>
      <c r="R972" s="0" t="str">
        <f aca="false">IF($D972&lt;&gt;"","["&amp;$E972&amp;"]"&amp;"|"&amp;$Q972&amp;"|"&amp;$K972&amp;"|"&amp;$G972&amp;"|"&amp;IF($G972="TX_CURR_SUBNAT.R","CY2022Q4",$M972),"")</f>
        <v>[umc2n1Z4wNv]|25-34|Female|HIV_PREV.T_1|CY2023Q3</v>
      </c>
    </row>
    <row r="973" customFormat="false" ht="15" hidden="false" customHeight="false" outlineLevel="0" collapsed="false">
      <c r="D973" s="9" t="s">
        <v>93</v>
      </c>
      <c r="E973" s="9" t="s">
        <v>94</v>
      </c>
      <c r="F973" s="9" t="s">
        <v>95</v>
      </c>
      <c r="G973" s="9" t="s">
        <v>141</v>
      </c>
      <c r="H973" s="9" t="s">
        <v>142</v>
      </c>
      <c r="I973" s="0" t="s">
        <v>43</v>
      </c>
      <c r="J973" s="9" t="s">
        <v>44</v>
      </c>
      <c r="K973" s="9" t="s">
        <v>30</v>
      </c>
      <c r="L973" s="9" t="s">
        <v>31</v>
      </c>
      <c r="M973" s="0" t="s">
        <v>140</v>
      </c>
      <c r="N973" s="0" t="n">
        <v>647</v>
      </c>
      <c r="O973" s="10" t="n">
        <v>0.377542726229876</v>
      </c>
      <c r="P973" s="10" t="n">
        <v>0.362272296566516</v>
      </c>
      <c r="Q973" s="0" t="str">
        <f aca="false">SUBSTITUTE(SUBSTITUTE($I973,CHAR(61),""),CHAR(34),"")</f>
        <v>35-49</v>
      </c>
      <c r="R973" s="0" t="str">
        <f aca="false">IF($D973&lt;&gt;"","["&amp;$E973&amp;"]"&amp;"|"&amp;$Q973&amp;"|"&amp;$K973&amp;"|"&amp;$G973&amp;"|"&amp;IF($G973="TX_CURR_SUBNAT.R","CY2022Q4",$M973),"")</f>
        <v>[umc2n1Z4wNv]|35-49|Female|HIV_PREV.T_1|CY2023Q3</v>
      </c>
    </row>
    <row r="974" customFormat="false" ht="15" hidden="false" customHeight="false" outlineLevel="0" collapsed="false">
      <c r="D974" s="9" t="s">
        <v>93</v>
      </c>
      <c r="E974" s="9" t="s">
        <v>94</v>
      </c>
      <c r="F974" s="9" t="s">
        <v>95</v>
      </c>
      <c r="G974" s="9" t="s">
        <v>141</v>
      </c>
      <c r="H974" s="9" t="s">
        <v>142</v>
      </c>
      <c r="I974" s="0" t="s">
        <v>45</v>
      </c>
      <c r="J974" s="9" t="s">
        <v>46</v>
      </c>
      <c r="K974" s="9" t="s">
        <v>30</v>
      </c>
      <c r="L974" s="9" t="s">
        <v>31</v>
      </c>
      <c r="M974" s="0" t="s">
        <v>140</v>
      </c>
      <c r="N974" s="0" t="n">
        <v>1889</v>
      </c>
      <c r="O974" s="10" t="n">
        <v>0.77088585589081</v>
      </c>
      <c r="P974" s="10" t="n">
        <v>0.362272296566516</v>
      </c>
      <c r="Q974" s="0" t="str">
        <f aca="false">SUBSTITUTE(SUBSTITUTE($I974,CHAR(61),""),CHAR(34),"")</f>
        <v>50+</v>
      </c>
      <c r="R974" s="0" t="str">
        <f aca="false">IF($D974&lt;&gt;"","["&amp;$E974&amp;"]"&amp;"|"&amp;$Q974&amp;"|"&amp;$K974&amp;"|"&amp;$G974&amp;"|"&amp;IF($G974="TX_CURR_SUBNAT.R","CY2022Q4",$M974),"")</f>
        <v>[umc2n1Z4wNv]|50+|Female|HIV_PREV.T_1|CY2023Q3</v>
      </c>
    </row>
    <row r="975" customFormat="false" ht="15" hidden="false" customHeight="false" outlineLevel="0" collapsed="false">
      <c r="D975" s="9" t="s">
        <v>93</v>
      </c>
      <c r="E975" s="9" t="s">
        <v>94</v>
      </c>
      <c r="F975" s="9" t="s">
        <v>95</v>
      </c>
      <c r="G975" s="9" t="s">
        <v>141</v>
      </c>
      <c r="H975" s="9" t="s">
        <v>142</v>
      </c>
      <c r="I975" s="0" t="s">
        <v>28</v>
      </c>
      <c r="J975" s="9" t="s">
        <v>29</v>
      </c>
      <c r="K975" s="9" t="s">
        <v>48</v>
      </c>
      <c r="L975" s="9" t="s">
        <v>49</v>
      </c>
      <c r="M975" s="0" t="s">
        <v>140</v>
      </c>
      <c r="N975" s="0" t="n">
        <v>1666</v>
      </c>
      <c r="O975" s="10" t="n">
        <v>0.542859368026257</v>
      </c>
      <c r="P975" s="10" t="n">
        <v>0.362272296566516</v>
      </c>
      <c r="Q975" s="0" t="str">
        <f aca="false">SUBSTITUTE(SUBSTITUTE($I975,CHAR(61),""),CHAR(34),"")</f>
        <v>&lt;01</v>
      </c>
      <c r="R975" s="0" t="str">
        <f aca="false">IF($D975&lt;&gt;"","["&amp;$E975&amp;"]"&amp;"|"&amp;$Q975&amp;"|"&amp;$K975&amp;"|"&amp;$G975&amp;"|"&amp;IF($G975="TX_CURR_SUBNAT.R","CY2022Q4",$M975),"")</f>
        <v>[umc2n1Z4wNv]|&lt;01|Male|HIV_PREV.T_1|CY2023Q3</v>
      </c>
    </row>
    <row r="976" customFormat="false" ht="15" hidden="false" customHeight="false" outlineLevel="0" collapsed="false">
      <c r="D976" s="9" t="s">
        <v>93</v>
      </c>
      <c r="E976" s="9" t="s">
        <v>94</v>
      </c>
      <c r="F976" s="9" t="s">
        <v>95</v>
      </c>
      <c r="G976" s="9" t="s">
        <v>141</v>
      </c>
      <c r="H976" s="9" t="s">
        <v>142</v>
      </c>
      <c r="I976" s="0" t="s">
        <v>33</v>
      </c>
      <c r="J976" s="9" t="s">
        <v>34</v>
      </c>
      <c r="K976" s="9" t="s">
        <v>48</v>
      </c>
      <c r="L976" s="9" t="s">
        <v>49</v>
      </c>
      <c r="M976" s="0" t="s">
        <v>140</v>
      </c>
      <c r="N976" s="0" t="n">
        <v>1863</v>
      </c>
      <c r="O976" s="10" t="n">
        <v>0.0984640133101493</v>
      </c>
      <c r="P976" s="10" t="n">
        <v>0.362272296566516</v>
      </c>
      <c r="Q976" s="0" t="str">
        <f aca="false">SUBSTITUTE(SUBSTITUTE($I976,CHAR(61),""),CHAR(34),"")</f>
        <v>01-09</v>
      </c>
      <c r="R976" s="0" t="str">
        <f aca="false">IF($D976&lt;&gt;"","["&amp;$E976&amp;"]"&amp;"|"&amp;$Q976&amp;"|"&amp;$K976&amp;"|"&amp;$G976&amp;"|"&amp;IF($G976="TX_CURR_SUBNAT.R","CY2022Q4",$M976),"")</f>
        <v>[umc2n1Z4wNv]|01-09|Male|HIV_PREV.T_1|CY2023Q3</v>
      </c>
    </row>
    <row r="977" customFormat="false" ht="15" hidden="false" customHeight="false" outlineLevel="0" collapsed="false">
      <c r="D977" s="9" t="s">
        <v>93</v>
      </c>
      <c r="E977" s="9" t="s">
        <v>94</v>
      </c>
      <c r="F977" s="9" t="s">
        <v>95</v>
      </c>
      <c r="G977" s="9" t="s">
        <v>141</v>
      </c>
      <c r="H977" s="9" t="s">
        <v>142</v>
      </c>
      <c r="I977" s="0" t="s">
        <v>36</v>
      </c>
      <c r="J977" s="9" t="s">
        <v>37</v>
      </c>
      <c r="K977" s="9" t="s">
        <v>48</v>
      </c>
      <c r="L977" s="9" t="s">
        <v>49</v>
      </c>
      <c r="M977" s="0" t="s">
        <v>140</v>
      </c>
      <c r="N977" s="0" t="n">
        <v>1755</v>
      </c>
      <c r="O977" s="10" t="n">
        <v>0.640073416754603</v>
      </c>
      <c r="P977" s="10" t="n">
        <v>0.362272296566516</v>
      </c>
      <c r="Q977" s="0" t="str">
        <f aca="false">SUBSTITUTE(SUBSTITUTE($I977,CHAR(61),""),CHAR(34),"")</f>
        <v>10-14</v>
      </c>
      <c r="R977" s="0" t="str">
        <f aca="false">IF($D977&lt;&gt;"","["&amp;$E977&amp;"]"&amp;"|"&amp;$Q977&amp;"|"&amp;$K977&amp;"|"&amp;$G977&amp;"|"&amp;IF($G977="TX_CURR_SUBNAT.R","CY2022Q4",$M977),"")</f>
        <v>[umc2n1Z4wNv]|10-14|Male|HIV_PREV.T_1|CY2023Q3</v>
      </c>
    </row>
    <row r="978" customFormat="false" ht="15" hidden="false" customHeight="false" outlineLevel="0" collapsed="false">
      <c r="D978" s="9" t="s">
        <v>93</v>
      </c>
      <c r="E978" s="9" t="s">
        <v>94</v>
      </c>
      <c r="F978" s="9" t="s">
        <v>95</v>
      </c>
      <c r="G978" s="9" t="s">
        <v>141</v>
      </c>
      <c r="H978" s="9" t="s">
        <v>142</v>
      </c>
      <c r="I978" s="0" t="s">
        <v>38</v>
      </c>
      <c r="J978" s="9" t="s">
        <v>39</v>
      </c>
      <c r="K978" s="9" t="s">
        <v>48</v>
      </c>
      <c r="L978" s="9" t="s">
        <v>49</v>
      </c>
      <c r="M978" s="0" t="s">
        <v>140</v>
      </c>
      <c r="N978" s="0" t="n">
        <v>1543</v>
      </c>
      <c r="O978" s="10" t="n">
        <v>0.505623070057482</v>
      </c>
      <c r="P978" s="10" t="n">
        <v>0.362272296566516</v>
      </c>
      <c r="Q978" s="0" t="str">
        <f aca="false">SUBSTITUTE(SUBSTITUTE($I978,CHAR(61),""),CHAR(34),"")</f>
        <v>15-24</v>
      </c>
      <c r="R978" s="0" t="str">
        <f aca="false">IF($D978&lt;&gt;"","["&amp;$E978&amp;"]"&amp;"|"&amp;$Q978&amp;"|"&amp;$K978&amp;"|"&amp;$G978&amp;"|"&amp;IF($G978="TX_CURR_SUBNAT.R","CY2022Q4",$M978),"")</f>
        <v>[umc2n1Z4wNv]|15-24|Male|HIV_PREV.T_1|CY2023Q3</v>
      </c>
    </row>
    <row r="979" customFormat="false" ht="15" hidden="false" customHeight="false" outlineLevel="0" collapsed="false">
      <c r="D979" s="9" t="s">
        <v>93</v>
      </c>
      <c r="E979" s="9" t="s">
        <v>94</v>
      </c>
      <c r="F979" s="9" t="s">
        <v>95</v>
      </c>
      <c r="G979" s="9" t="s">
        <v>141</v>
      </c>
      <c r="H979" s="9" t="s">
        <v>142</v>
      </c>
      <c r="I979" s="0" t="s">
        <v>41</v>
      </c>
      <c r="J979" s="9" t="s">
        <v>42</v>
      </c>
      <c r="K979" s="9" t="s">
        <v>48</v>
      </c>
      <c r="L979" s="9" t="s">
        <v>49</v>
      </c>
      <c r="M979" s="0" t="s">
        <v>140</v>
      </c>
      <c r="N979" s="0" t="n">
        <v>688</v>
      </c>
      <c r="O979" s="10" t="n">
        <v>0.103882915573195</v>
      </c>
      <c r="P979" s="10" t="n">
        <v>0.362272296566516</v>
      </c>
      <c r="Q979" s="0" t="str">
        <f aca="false">SUBSTITUTE(SUBSTITUTE($I979,CHAR(61),""),CHAR(34),"")</f>
        <v>25-34</v>
      </c>
      <c r="R979" s="0" t="str">
        <f aca="false">IF($D979&lt;&gt;"","["&amp;$E979&amp;"]"&amp;"|"&amp;$Q979&amp;"|"&amp;$K979&amp;"|"&amp;$G979&amp;"|"&amp;IF($G979="TX_CURR_SUBNAT.R","CY2022Q4",$M979),"")</f>
        <v>[umc2n1Z4wNv]|25-34|Male|HIV_PREV.T_1|CY2023Q3</v>
      </c>
    </row>
    <row r="980" customFormat="false" ht="15" hidden="false" customHeight="false" outlineLevel="0" collapsed="false">
      <c r="D980" s="9" t="s">
        <v>93</v>
      </c>
      <c r="E980" s="9" t="s">
        <v>94</v>
      </c>
      <c r="F980" s="9" t="s">
        <v>95</v>
      </c>
      <c r="G980" s="9" t="s">
        <v>141</v>
      </c>
      <c r="H980" s="9" t="s">
        <v>142</v>
      </c>
      <c r="I980" s="0" t="s">
        <v>43</v>
      </c>
      <c r="J980" s="9" t="s">
        <v>44</v>
      </c>
      <c r="K980" s="9" t="s">
        <v>48</v>
      </c>
      <c r="L980" s="9" t="s">
        <v>49</v>
      </c>
      <c r="M980" s="0" t="s">
        <v>140</v>
      </c>
      <c r="N980" s="0" t="n">
        <v>1889</v>
      </c>
      <c r="O980" s="10" t="n">
        <v>0.190253166249022</v>
      </c>
      <c r="P980" s="10" t="n">
        <v>0.362272296566516</v>
      </c>
      <c r="Q980" s="0" t="str">
        <f aca="false">SUBSTITUTE(SUBSTITUTE($I980,CHAR(61),""),CHAR(34),"")</f>
        <v>35-49</v>
      </c>
      <c r="R980" s="0" t="str">
        <f aca="false">IF($D980&lt;&gt;"","["&amp;$E980&amp;"]"&amp;"|"&amp;$Q980&amp;"|"&amp;$K980&amp;"|"&amp;$G980&amp;"|"&amp;IF($G980="TX_CURR_SUBNAT.R","CY2022Q4",$M980),"")</f>
        <v>[umc2n1Z4wNv]|35-49|Male|HIV_PREV.T_1|CY2023Q3</v>
      </c>
    </row>
    <row r="981" customFormat="false" ht="15" hidden="false" customHeight="false" outlineLevel="0" collapsed="false">
      <c r="D981" s="9" t="s">
        <v>93</v>
      </c>
      <c r="E981" s="9" t="s">
        <v>94</v>
      </c>
      <c r="F981" s="9" t="s">
        <v>95</v>
      </c>
      <c r="G981" s="9" t="s">
        <v>141</v>
      </c>
      <c r="H981" s="9" t="s">
        <v>142</v>
      </c>
      <c r="I981" s="0" t="s">
        <v>45</v>
      </c>
      <c r="J981" s="9" t="s">
        <v>46</v>
      </c>
      <c r="K981" s="9" t="s">
        <v>48</v>
      </c>
      <c r="L981" s="9" t="s">
        <v>49</v>
      </c>
      <c r="M981" s="0" t="s">
        <v>140</v>
      </c>
      <c r="N981" s="0" t="n">
        <v>1556</v>
      </c>
      <c r="O981" s="10" t="n">
        <v>0.582077169558033</v>
      </c>
      <c r="P981" s="10" t="n">
        <v>0.362272296566516</v>
      </c>
      <c r="Q981" s="0" t="str">
        <f aca="false">SUBSTITUTE(SUBSTITUTE($I981,CHAR(61),""),CHAR(34),"")</f>
        <v>50+</v>
      </c>
      <c r="R981" s="0" t="str">
        <f aca="false">IF($D981&lt;&gt;"","["&amp;$E981&amp;"]"&amp;"|"&amp;$Q981&amp;"|"&amp;$K981&amp;"|"&amp;$G981&amp;"|"&amp;IF($G981="TX_CURR_SUBNAT.R","CY2022Q4",$M981),"")</f>
        <v>[umc2n1Z4wNv]|50+|Male|HIV_PREV.T_1|CY2023Q3</v>
      </c>
    </row>
    <row r="982" customFormat="false" ht="15" hidden="false" customHeight="false" outlineLevel="0" collapsed="false">
      <c r="D982" s="9" t="s">
        <v>96</v>
      </c>
      <c r="E982" s="9" t="s">
        <v>97</v>
      </c>
      <c r="F982" s="9" t="s">
        <v>98</v>
      </c>
      <c r="G982" s="9" t="s">
        <v>141</v>
      </c>
      <c r="H982" s="9" t="s">
        <v>142</v>
      </c>
      <c r="I982" s="0" t="s">
        <v>28</v>
      </c>
      <c r="J982" s="9" t="s">
        <v>29</v>
      </c>
      <c r="K982" s="9" t="s">
        <v>30</v>
      </c>
      <c r="L982" s="9" t="s">
        <v>31</v>
      </c>
      <c r="M982" s="0" t="s">
        <v>140</v>
      </c>
      <c r="N982" s="0" t="n">
        <v>1094</v>
      </c>
      <c r="O982" s="10" t="n">
        <v>0.329714018851519</v>
      </c>
      <c r="P982" s="10" t="n">
        <v>0.601251717889681</v>
      </c>
      <c r="Q982" s="0" t="str">
        <f aca="false">SUBSTITUTE(SUBSTITUTE($I982,CHAR(61),""),CHAR(34),"")</f>
        <v>&lt;01</v>
      </c>
      <c r="R982" s="0" t="str">
        <f aca="false">IF($D982&lt;&gt;"","["&amp;$E982&amp;"]"&amp;"|"&amp;$Q982&amp;"|"&amp;$K982&amp;"|"&amp;$G982&amp;"|"&amp;IF($G982="TX_CURR_SUBNAT.R","CY2022Q4",$M982),"")</f>
        <v>[gwVYinjBAe9]|&lt;01|Female|HIV_PREV.T_1|CY2023Q3</v>
      </c>
    </row>
    <row r="983" customFormat="false" ht="15" hidden="false" customHeight="false" outlineLevel="0" collapsed="false">
      <c r="D983" s="9" t="s">
        <v>96</v>
      </c>
      <c r="E983" s="9" t="s">
        <v>97</v>
      </c>
      <c r="F983" s="9" t="s">
        <v>98</v>
      </c>
      <c r="G983" s="9" t="s">
        <v>141</v>
      </c>
      <c r="H983" s="9" t="s">
        <v>142</v>
      </c>
      <c r="I983" s="0" t="s">
        <v>33</v>
      </c>
      <c r="J983" s="9" t="s">
        <v>34</v>
      </c>
      <c r="K983" s="9" t="s">
        <v>30</v>
      </c>
      <c r="L983" s="9" t="s">
        <v>31</v>
      </c>
      <c r="M983" s="0" t="s">
        <v>140</v>
      </c>
      <c r="N983" s="0" t="n">
        <v>1729</v>
      </c>
      <c r="O983" s="10" t="n">
        <v>0.113582593854517</v>
      </c>
      <c r="P983" s="10" t="n">
        <v>0.601251717889681</v>
      </c>
      <c r="Q983" s="0" t="str">
        <f aca="false">SUBSTITUTE(SUBSTITUTE($I983,CHAR(61),""),CHAR(34),"")</f>
        <v>01-09</v>
      </c>
      <c r="R983" s="0" t="str">
        <f aca="false">IF($D983&lt;&gt;"","["&amp;$E983&amp;"]"&amp;"|"&amp;$Q983&amp;"|"&amp;$K983&amp;"|"&amp;$G983&amp;"|"&amp;IF($G983="TX_CURR_SUBNAT.R","CY2022Q4",$M983),"")</f>
        <v>[gwVYinjBAe9]|01-09|Female|HIV_PREV.T_1|CY2023Q3</v>
      </c>
    </row>
    <row r="984" customFormat="false" ht="15" hidden="false" customHeight="false" outlineLevel="0" collapsed="false">
      <c r="D984" s="9" t="s">
        <v>96</v>
      </c>
      <c r="E984" s="9" t="s">
        <v>97</v>
      </c>
      <c r="F984" s="9" t="s">
        <v>98</v>
      </c>
      <c r="G984" s="9" t="s">
        <v>141</v>
      </c>
      <c r="H984" s="9" t="s">
        <v>142</v>
      </c>
      <c r="I984" s="0" t="s">
        <v>36</v>
      </c>
      <c r="J984" s="9" t="s">
        <v>37</v>
      </c>
      <c r="K984" s="9" t="s">
        <v>30</v>
      </c>
      <c r="L984" s="9" t="s">
        <v>31</v>
      </c>
      <c r="M984" s="0" t="s">
        <v>140</v>
      </c>
      <c r="N984" s="0" t="n">
        <v>685</v>
      </c>
      <c r="O984" s="10" t="n">
        <v>0.236709744436666</v>
      </c>
      <c r="P984" s="10" t="n">
        <v>0.601251717889681</v>
      </c>
      <c r="Q984" s="0" t="str">
        <f aca="false">SUBSTITUTE(SUBSTITUTE($I984,CHAR(61),""),CHAR(34),"")</f>
        <v>10-14</v>
      </c>
      <c r="R984" s="0" t="str">
        <f aca="false">IF($D984&lt;&gt;"","["&amp;$E984&amp;"]"&amp;"|"&amp;$Q984&amp;"|"&amp;$K984&amp;"|"&amp;$G984&amp;"|"&amp;IF($G984="TX_CURR_SUBNAT.R","CY2022Q4",$M984),"")</f>
        <v>[gwVYinjBAe9]|10-14|Female|HIV_PREV.T_1|CY2023Q3</v>
      </c>
    </row>
    <row r="985" customFormat="false" ht="15" hidden="false" customHeight="false" outlineLevel="0" collapsed="false">
      <c r="D985" s="9" t="s">
        <v>96</v>
      </c>
      <c r="E985" s="9" t="s">
        <v>97</v>
      </c>
      <c r="F985" s="9" t="s">
        <v>98</v>
      </c>
      <c r="G985" s="9" t="s">
        <v>141</v>
      </c>
      <c r="H985" s="9" t="s">
        <v>142</v>
      </c>
      <c r="I985" s="0" t="s">
        <v>38</v>
      </c>
      <c r="J985" s="9" t="s">
        <v>39</v>
      </c>
      <c r="K985" s="9" t="s">
        <v>30</v>
      </c>
      <c r="L985" s="9" t="s">
        <v>31</v>
      </c>
      <c r="M985" s="0" t="s">
        <v>140</v>
      </c>
      <c r="N985" s="0" t="n">
        <v>1166</v>
      </c>
      <c r="O985" s="10" t="n">
        <v>0.100599410710856</v>
      </c>
      <c r="P985" s="10" t="n">
        <v>0.601251717889681</v>
      </c>
      <c r="Q985" s="0" t="str">
        <f aca="false">SUBSTITUTE(SUBSTITUTE($I985,CHAR(61),""),CHAR(34),"")</f>
        <v>15-24</v>
      </c>
      <c r="R985" s="0" t="str">
        <f aca="false">IF($D985&lt;&gt;"","["&amp;$E985&amp;"]"&amp;"|"&amp;$Q985&amp;"|"&amp;$K985&amp;"|"&amp;$G985&amp;"|"&amp;IF($G985="TX_CURR_SUBNAT.R","CY2022Q4",$M985),"")</f>
        <v>[gwVYinjBAe9]|15-24|Female|HIV_PREV.T_1|CY2023Q3</v>
      </c>
    </row>
    <row r="986" customFormat="false" ht="15" hidden="false" customHeight="false" outlineLevel="0" collapsed="false">
      <c r="D986" s="9" t="s">
        <v>96</v>
      </c>
      <c r="E986" s="9" t="s">
        <v>97</v>
      </c>
      <c r="F986" s="9" t="s">
        <v>98</v>
      </c>
      <c r="G986" s="9" t="s">
        <v>141</v>
      </c>
      <c r="H986" s="9" t="s">
        <v>142</v>
      </c>
      <c r="I986" s="0" t="s">
        <v>41</v>
      </c>
      <c r="J986" s="9" t="s">
        <v>42</v>
      </c>
      <c r="K986" s="9" t="s">
        <v>30</v>
      </c>
      <c r="L986" s="9" t="s">
        <v>31</v>
      </c>
      <c r="M986" s="0" t="s">
        <v>140</v>
      </c>
      <c r="N986" s="0" t="n">
        <v>1779</v>
      </c>
      <c r="O986" s="10" t="n">
        <v>0.996617940953001</v>
      </c>
      <c r="P986" s="10" t="n">
        <v>0.601251717889681</v>
      </c>
      <c r="Q986" s="0" t="str">
        <f aca="false">SUBSTITUTE(SUBSTITUTE($I986,CHAR(61),""),CHAR(34),"")</f>
        <v>25-34</v>
      </c>
      <c r="R986" s="0" t="str">
        <f aca="false">IF($D986&lt;&gt;"","["&amp;$E986&amp;"]"&amp;"|"&amp;$Q986&amp;"|"&amp;$K986&amp;"|"&amp;$G986&amp;"|"&amp;IF($G986="TX_CURR_SUBNAT.R","CY2022Q4",$M986),"")</f>
        <v>[gwVYinjBAe9]|25-34|Female|HIV_PREV.T_1|CY2023Q3</v>
      </c>
    </row>
    <row r="987" customFormat="false" ht="15" hidden="false" customHeight="false" outlineLevel="0" collapsed="false">
      <c r="D987" s="9" t="s">
        <v>96</v>
      </c>
      <c r="E987" s="9" t="s">
        <v>97</v>
      </c>
      <c r="F987" s="9" t="s">
        <v>98</v>
      </c>
      <c r="G987" s="9" t="s">
        <v>141</v>
      </c>
      <c r="H987" s="9" t="s">
        <v>142</v>
      </c>
      <c r="I987" s="0" t="s">
        <v>43</v>
      </c>
      <c r="J987" s="9" t="s">
        <v>44</v>
      </c>
      <c r="K987" s="9" t="s">
        <v>30</v>
      </c>
      <c r="L987" s="9" t="s">
        <v>31</v>
      </c>
      <c r="M987" s="0" t="s">
        <v>140</v>
      </c>
      <c r="N987" s="0" t="n">
        <v>1409</v>
      </c>
      <c r="O987" s="10" t="n">
        <v>0.621845520334318</v>
      </c>
      <c r="P987" s="10" t="n">
        <v>0.601251717889681</v>
      </c>
      <c r="Q987" s="0" t="str">
        <f aca="false">SUBSTITUTE(SUBSTITUTE($I987,CHAR(61),""),CHAR(34),"")</f>
        <v>35-49</v>
      </c>
      <c r="R987" s="0" t="str">
        <f aca="false">IF($D987&lt;&gt;"","["&amp;$E987&amp;"]"&amp;"|"&amp;$Q987&amp;"|"&amp;$K987&amp;"|"&amp;$G987&amp;"|"&amp;IF($G987="TX_CURR_SUBNAT.R","CY2022Q4",$M987),"")</f>
        <v>[gwVYinjBAe9]|35-49|Female|HIV_PREV.T_1|CY2023Q3</v>
      </c>
    </row>
    <row r="988" customFormat="false" ht="15" hidden="false" customHeight="false" outlineLevel="0" collapsed="false">
      <c r="D988" s="9" t="s">
        <v>96</v>
      </c>
      <c r="E988" s="9" t="s">
        <v>97</v>
      </c>
      <c r="F988" s="9" t="s">
        <v>98</v>
      </c>
      <c r="G988" s="9" t="s">
        <v>141</v>
      </c>
      <c r="H988" s="9" t="s">
        <v>142</v>
      </c>
      <c r="I988" s="0" t="s">
        <v>45</v>
      </c>
      <c r="J988" s="9" t="s">
        <v>46</v>
      </c>
      <c r="K988" s="9" t="s">
        <v>30</v>
      </c>
      <c r="L988" s="9" t="s">
        <v>31</v>
      </c>
      <c r="M988" s="0" t="s">
        <v>140</v>
      </c>
      <c r="N988" s="0" t="n">
        <v>1086</v>
      </c>
      <c r="O988" s="10" t="n">
        <v>0.0191254306118935</v>
      </c>
      <c r="P988" s="10" t="n">
        <v>0.601251717889681</v>
      </c>
      <c r="Q988" s="0" t="str">
        <f aca="false">SUBSTITUTE(SUBSTITUTE($I988,CHAR(61),""),CHAR(34),"")</f>
        <v>50+</v>
      </c>
      <c r="R988" s="0" t="str">
        <f aca="false">IF($D988&lt;&gt;"","["&amp;$E988&amp;"]"&amp;"|"&amp;$Q988&amp;"|"&amp;$K988&amp;"|"&amp;$G988&amp;"|"&amp;IF($G988="TX_CURR_SUBNAT.R","CY2022Q4",$M988),"")</f>
        <v>[gwVYinjBAe9]|50+|Female|HIV_PREV.T_1|CY2023Q3</v>
      </c>
    </row>
    <row r="989" customFormat="false" ht="15" hidden="false" customHeight="false" outlineLevel="0" collapsed="false">
      <c r="D989" s="9" t="s">
        <v>96</v>
      </c>
      <c r="E989" s="9" t="s">
        <v>97</v>
      </c>
      <c r="F989" s="9" t="s">
        <v>98</v>
      </c>
      <c r="G989" s="9" t="s">
        <v>141</v>
      </c>
      <c r="H989" s="9" t="s">
        <v>142</v>
      </c>
      <c r="I989" s="0" t="s">
        <v>28</v>
      </c>
      <c r="J989" s="9" t="s">
        <v>29</v>
      </c>
      <c r="K989" s="9" t="s">
        <v>48</v>
      </c>
      <c r="L989" s="9" t="s">
        <v>49</v>
      </c>
      <c r="M989" s="0" t="s">
        <v>140</v>
      </c>
      <c r="N989" s="0" t="n">
        <v>867</v>
      </c>
      <c r="O989" s="10" t="n">
        <v>0.56747113307938</v>
      </c>
      <c r="P989" s="10" t="n">
        <v>0.601251717889681</v>
      </c>
      <c r="Q989" s="0" t="str">
        <f aca="false">SUBSTITUTE(SUBSTITUTE($I989,CHAR(61),""),CHAR(34),"")</f>
        <v>&lt;01</v>
      </c>
      <c r="R989" s="0" t="str">
        <f aca="false">IF($D989&lt;&gt;"","["&amp;$E989&amp;"]"&amp;"|"&amp;$Q989&amp;"|"&amp;$K989&amp;"|"&amp;$G989&amp;"|"&amp;IF($G989="TX_CURR_SUBNAT.R","CY2022Q4",$M989),"")</f>
        <v>[gwVYinjBAe9]|&lt;01|Male|HIV_PREV.T_1|CY2023Q3</v>
      </c>
    </row>
    <row r="990" customFormat="false" ht="15" hidden="false" customHeight="false" outlineLevel="0" collapsed="false">
      <c r="D990" s="9" t="s">
        <v>96</v>
      </c>
      <c r="E990" s="9" t="s">
        <v>97</v>
      </c>
      <c r="F990" s="9" t="s">
        <v>98</v>
      </c>
      <c r="G990" s="9" t="s">
        <v>141</v>
      </c>
      <c r="H990" s="9" t="s">
        <v>142</v>
      </c>
      <c r="I990" s="0" t="s">
        <v>33</v>
      </c>
      <c r="J990" s="9" t="s">
        <v>34</v>
      </c>
      <c r="K990" s="9" t="s">
        <v>48</v>
      </c>
      <c r="L990" s="9" t="s">
        <v>49</v>
      </c>
      <c r="M990" s="0" t="s">
        <v>140</v>
      </c>
      <c r="N990" s="0" t="n">
        <v>1903</v>
      </c>
      <c r="O990" s="10" t="n">
        <v>0.877943090861663</v>
      </c>
      <c r="P990" s="10" t="n">
        <v>0.601251717889681</v>
      </c>
      <c r="Q990" s="0" t="str">
        <f aca="false">SUBSTITUTE(SUBSTITUTE($I990,CHAR(61),""),CHAR(34),"")</f>
        <v>01-09</v>
      </c>
      <c r="R990" s="0" t="str">
        <f aca="false">IF($D990&lt;&gt;"","["&amp;$E990&amp;"]"&amp;"|"&amp;$Q990&amp;"|"&amp;$K990&amp;"|"&amp;$G990&amp;"|"&amp;IF($G990="TX_CURR_SUBNAT.R","CY2022Q4",$M990),"")</f>
        <v>[gwVYinjBAe9]|01-09|Male|HIV_PREV.T_1|CY2023Q3</v>
      </c>
    </row>
    <row r="991" customFormat="false" ht="15" hidden="false" customHeight="false" outlineLevel="0" collapsed="false">
      <c r="D991" s="9" t="s">
        <v>96</v>
      </c>
      <c r="E991" s="9" t="s">
        <v>97</v>
      </c>
      <c r="F991" s="9" t="s">
        <v>98</v>
      </c>
      <c r="G991" s="9" t="s">
        <v>141</v>
      </c>
      <c r="H991" s="9" t="s">
        <v>142</v>
      </c>
      <c r="I991" s="0" t="s">
        <v>36</v>
      </c>
      <c r="J991" s="9" t="s">
        <v>37</v>
      </c>
      <c r="K991" s="9" t="s">
        <v>48</v>
      </c>
      <c r="L991" s="9" t="s">
        <v>49</v>
      </c>
      <c r="M991" s="0" t="s">
        <v>140</v>
      </c>
      <c r="N991" s="0" t="n">
        <v>1679</v>
      </c>
      <c r="O991" s="10" t="n">
        <v>0.292493595276028</v>
      </c>
      <c r="P991" s="10" t="n">
        <v>0.601251717889681</v>
      </c>
      <c r="Q991" s="0" t="str">
        <f aca="false">SUBSTITUTE(SUBSTITUTE($I991,CHAR(61),""),CHAR(34),"")</f>
        <v>10-14</v>
      </c>
      <c r="R991" s="0" t="str">
        <f aca="false">IF($D991&lt;&gt;"","["&amp;$E991&amp;"]"&amp;"|"&amp;$Q991&amp;"|"&amp;$K991&amp;"|"&amp;$G991&amp;"|"&amp;IF($G991="TX_CURR_SUBNAT.R","CY2022Q4",$M991),"")</f>
        <v>[gwVYinjBAe9]|10-14|Male|HIV_PREV.T_1|CY2023Q3</v>
      </c>
    </row>
    <row r="992" customFormat="false" ht="15" hidden="false" customHeight="false" outlineLevel="0" collapsed="false">
      <c r="D992" s="9" t="s">
        <v>96</v>
      </c>
      <c r="E992" s="9" t="s">
        <v>97</v>
      </c>
      <c r="F992" s="9" t="s">
        <v>98</v>
      </c>
      <c r="G992" s="9" t="s">
        <v>141</v>
      </c>
      <c r="H992" s="9" t="s">
        <v>142</v>
      </c>
      <c r="I992" s="0" t="s">
        <v>38</v>
      </c>
      <c r="J992" s="9" t="s">
        <v>39</v>
      </c>
      <c r="K992" s="9" t="s">
        <v>48</v>
      </c>
      <c r="L992" s="9" t="s">
        <v>49</v>
      </c>
      <c r="M992" s="0" t="s">
        <v>140</v>
      </c>
      <c r="N992" s="0" t="n">
        <v>545</v>
      </c>
      <c r="O992" s="10" t="n">
        <v>0.0193200530484319</v>
      </c>
      <c r="P992" s="10" t="n">
        <v>0.601251717889681</v>
      </c>
      <c r="Q992" s="0" t="str">
        <f aca="false">SUBSTITUTE(SUBSTITUTE($I992,CHAR(61),""),CHAR(34),"")</f>
        <v>15-24</v>
      </c>
      <c r="R992" s="0" t="str">
        <f aca="false">IF($D992&lt;&gt;"","["&amp;$E992&amp;"]"&amp;"|"&amp;$Q992&amp;"|"&amp;$K992&amp;"|"&amp;$G992&amp;"|"&amp;IF($G992="TX_CURR_SUBNAT.R","CY2022Q4",$M992),"")</f>
        <v>[gwVYinjBAe9]|15-24|Male|HIV_PREV.T_1|CY2023Q3</v>
      </c>
    </row>
    <row r="993" customFormat="false" ht="15" hidden="false" customHeight="false" outlineLevel="0" collapsed="false">
      <c r="D993" s="9" t="s">
        <v>96</v>
      </c>
      <c r="E993" s="9" t="s">
        <v>97</v>
      </c>
      <c r="F993" s="9" t="s">
        <v>98</v>
      </c>
      <c r="G993" s="9" t="s">
        <v>141</v>
      </c>
      <c r="H993" s="9" t="s">
        <v>142</v>
      </c>
      <c r="I993" s="0" t="s">
        <v>41</v>
      </c>
      <c r="J993" s="9" t="s">
        <v>42</v>
      </c>
      <c r="K993" s="9" t="s">
        <v>48</v>
      </c>
      <c r="L993" s="9" t="s">
        <v>49</v>
      </c>
      <c r="M993" s="0" t="s">
        <v>140</v>
      </c>
      <c r="N993" s="0" t="n">
        <v>1875</v>
      </c>
      <c r="O993" s="10" t="n">
        <v>0.0485101663507521</v>
      </c>
      <c r="P993" s="10" t="n">
        <v>0.601251717889681</v>
      </c>
      <c r="Q993" s="0" t="str">
        <f aca="false">SUBSTITUTE(SUBSTITUTE($I993,CHAR(61),""),CHAR(34),"")</f>
        <v>25-34</v>
      </c>
      <c r="R993" s="0" t="str">
        <f aca="false">IF($D993&lt;&gt;"","["&amp;$E993&amp;"]"&amp;"|"&amp;$Q993&amp;"|"&amp;$K993&amp;"|"&amp;$G993&amp;"|"&amp;IF($G993="TX_CURR_SUBNAT.R","CY2022Q4",$M993),"")</f>
        <v>[gwVYinjBAe9]|25-34|Male|HIV_PREV.T_1|CY2023Q3</v>
      </c>
    </row>
    <row r="994" customFormat="false" ht="15" hidden="false" customHeight="false" outlineLevel="0" collapsed="false">
      <c r="D994" s="9" t="s">
        <v>96</v>
      </c>
      <c r="E994" s="9" t="s">
        <v>97</v>
      </c>
      <c r="F994" s="9" t="s">
        <v>98</v>
      </c>
      <c r="G994" s="9" t="s">
        <v>141</v>
      </c>
      <c r="H994" s="9" t="s">
        <v>142</v>
      </c>
      <c r="I994" s="0" t="s">
        <v>43</v>
      </c>
      <c r="J994" s="9" t="s">
        <v>44</v>
      </c>
      <c r="K994" s="9" t="s">
        <v>48</v>
      </c>
      <c r="L994" s="9" t="s">
        <v>49</v>
      </c>
      <c r="M994" s="0" t="s">
        <v>140</v>
      </c>
      <c r="N994" s="0" t="n">
        <v>884</v>
      </c>
      <c r="O994" s="10" t="n">
        <v>0.711926518008113</v>
      </c>
      <c r="P994" s="10" t="n">
        <v>0.601251717889681</v>
      </c>
      <c r="Q994" s="0" t="str">
        <f aca="false">SUBSTITUTE(SUBSTITUTE($I994,CHAR(61),""),CHAR(34),"")</f>
        <v>35-49</v>
      </c>
      <c r="R994" s="0" t="str">
        <f aca="false">IF($D994&lt;&gt;"","["&amp;$E994&amp;"]"&amp;"|"&amp;$Q994&amp;"|"&amp;$K994&amp;"|"&amp;$G994&amp;"|"&amp;IF($G994="TX_CURR_SUBNAT.R","CY2022Q4",$M994),"")</f>
        <v>[gwVYinjBAe9]|35-49|Male|HIV_PREV.T_1|CY2023Q3</v>
      </c>
    </row>
    <row r="995" customFormat="false" ht="15" hidden="false" customHeight="false" outlineLevel="0" collapsed="false">
      <c r="D995" s="9" t="s">
        <v>96</v>
      </c>
      <c r="E995" s="9" t="s">
        <v>97</v>
      </c>
      <c r="F995" s="9" t="s">
        <v>98</v>
      </c>
      <c r="G995" s="9" t="s">
        <v>141</v>
      </c>
      <c r="H995" s="9" t="s">
        <v>142</v>
      </c>
      <c r="I995" s="0" t="s">
        <v>45</v>
      </c>
      <c r="J995" s="9" t="s">
        <v>46</v>
      </c>
      <c r="K995" s="9" t="s">
        <v>48</v>
      </c>
      <c r="L995" s="9" t="s">
        <v>49</v>
      </c>
      <c r="M995" s="0" t="s">
        <v>140</v>
      </c>
      <c r="N995" s="0" t="n">
        <v>1640</v>
      </c>
      <c r="O995" s="10" t="n">
        <v>0.481465868884698</v>
      </c>
      <c r="P995" s="10" t="n">
        <v>0.601251717889681</v>
      </c>
      <c r="Q995" s="0" t="str">
        <f aca="false">SUBSTITUTE(SUBSTITUTE($I995,CHAR(61),""),CHAR(34),"")</f>
        <v>50+</v>
      </c>
      <c r="R995" s="0" t="str">
        <f aca="false">IF($D995&lt;&gt;"","["&amp;$E995&amp;"]"&amp;"|"&amp;$Q995&amp;"|"&amp;$K995&amp;"|"&amp;$G995&amp;"|"&amp;IF($G995="TX_CURR_SUBNAT.R","CY2022Q4",$M995),"")</f>
        <v>[gwVYinjBAe9]|50+|Male|HIV_PREV.T_1|CY2023Q3</v>
      </c>
    </row>
    <row r="996" customFormat="false" ht="15" hidden="false" customHeight="false" outlineLevel="0" collapsed="false">
      <c r="D996" s="9" t="s">
        <v>99</v>
      </c>
      <c r="E996" s="9" t="s">
        <v>100</v>
      </c>
      <c r="F996" s="9" t="s">
        <v>101</v>
      </c>
      <c r="G996" s="9" t="s">
        <v>141</v>
      </c>
      <c r="H996" s="9" t="s">
        <v>142</v>
      </c>
      <c r="I996" s="0" t="s">
        <v>28</v>
      </c>
      <c r="J996" s="9" t="s">
        <v>29</v>
      </c>
      <c r="K996" s="9" t="s">
        <v>30</v>
      </c>
      <c r="L996" s="9" t="s">
        <v>31</v>
      </c>
      <c r="M996" s="0" t="s">
        <v>140</v>
      </c>
      <c r="N996" s="0" t="n">
        <v>1961</v>
      </c>
      <c r="O996" s="10" t="n">
        <v>0.781385476933792</v>
      </c>
      <c r="P996" s="10" t="n">
        <v>0.577288038097322</v>
      </c>
      <c r="Q996" s="0" t="str">
        <f aca="false">SUBSTITUTE(SUBSTITUTE($I996,CHAR(61),""),CHAR(34),"")</f>
        <v>&lt;01</v>
      </c>
      <c r="R996" s="0" t="str">
        <f aca="false">IF($D996&lt;&gt;"","["&amp;$E996&amp;"]"&amp;"|"&amp;$Q996&amp;"|"&amp;$K996&amp;"|"&amp;$G996&amp;"|"&amp;IF($G996="TX_CURR_SUBNAT.R","CY2022Q4",$M996),"")</f>
        <v>[mxqa3CDFmIT]|&lt;01|Female|HIV_PREV.T_1|CY2023Q3</v>
      </c>
    </row>
    <row r="997" customFormat="false" ht="15" hidden="false" customHeight="false" outlineLevel="0" collapsed="false">
      <c r="D997" s="9" t="s">
        <v>99</v>
      </c>
      <c r="E997" s="9" t="s">
        <v>100</v>
      </c>
      <c r="F997" s="9" t="s">
        <v>101</v>
      </c>
      <c r="G997" s="9" t="s">
        <v>141</v>
      </c>
      <c r="H997" s="9" t="s">
        <v>142</v>
      </c>
      <c r="I997" s="0" t="s">
        <v>33</v>
      </c>
      <c r="J997" s="9" t="s">
        <v>34</v>
      </c>
      <c r="K997" s="9" t="s">
        <v>30</v>
      </c>
      <c r="L997" s="9" t="s">
        <v>31</v>
      </c>
      <c r="M997" s="0" t="s">
        <v>140</v>
      </c>
      <c r="N997" s="0" t="n">
        <v>1237</v>
      </c>
      <c r="O997" s="10" t="n">
        <v>0.904309150762856</v>
      </c>
      <c r="P997" s="10" t="n">
        <v>0.577288038097322</v>
      </c>
      <c r="Q997" s="0" t="str">
        <f aca="false">SUBSTITUTE(SUBSTITUTE($I997,CHAR(61),""),CHAR(34),"")</f>
        <v>01-09</v>
      </c>
      <c r="R997" s="0" t="str">
        <f aca="false">IF($D997&lt;&gt;"","["&amp;$E997&amp;"]"&amp;"|"&amp;$Q997&amp;"|"&amp;$K997&amp;"|"&amp;$G997&amp;"|"&amp;IF($G997="TX_CURR_SUBNAT.R","CY2022Q4",$M997),"")</f>
        <v>[mxqa3CDFmIT]|01-09|Female|HIV_PREV.T_1|CY2023Q3</v>
      </c>
    </row>
    <row r="998" customFormat="false" ht="15" hidden="false" customHeight="false" outlineLevel="0" collapsed="false">
      <c r="D998" s="9" t="s">
        <v>99</v>
      </c>
      <c r="E998" s="9" t="s">
        <v>100</v>
      </c>
      <c r="F998" s="9" t="s">
        <v>101</v>
      </c>
      <c r="G998" s="9" t="s">
        <v>141</v>
      </c>
      <c r="H998" s="9" t="s">
        <v>142</v>
      </c>
      <c r="I998" s="0" t="s">
        <v>36</v>
      </c>
      <c r="J998" s="9" t="s">
        <v>37</v>
      </c>
      <c r="K998" s="9" t="s">
        <v>30</v>
      </c>
      <c r="L998" s="9" t="s">
        <v>31</v>
      </c>
      <c r="M998" s="0" t="s">
        <v>140</v>
      </c>
      <c r="N998" s="0" t="n">
        <v>849</v>
      </c>
      <c r="O998" s="10" t="n">
        <v>0.361471836920828</v>
      </c>
      <c r="P998" s="10" t="n">
        <v>0.577288038097322</v>
      </c>
      <c r="Q998" s="0" t="str">
        <f aca="false">SUBSTITUTE(SUBSTITUTE($I998,CHAR(61),""),CHAR(34),"")</f>
        <v>10-14</v>
      </c>
      <c r="R998" s="0" t="str">
        <f aca="false">IF($D998&lt;&gt;"","["&amp;$E998&amp;"]"&amp;"|"&amp;$Q998&amp;"|"&amp;$K998&amp;"|"&amp;$G998&amp;"|"&amp;IF($G998="TX_CURR_SUBNAT.R","CY2022Q4",$M998),"")</f>
        <v>[mxqa3CDFmIT]|10-14|Female|HIV_PREV.T_1|CY2023Q3</v>
      </c>
    </row>
    <row r="999" customFormat="false" ht="15" hidden="false" customHeight="false" outlineLevel="0" collapsed="false">
      <c r="D999" s="9" t="s">
        <v>99</v>
      </c>
      <c r="E999" s="9" t="s">
        <v>100</v>
      </c>
      <c r="F999" s="9" t="s">
        <v>101</v>
      </c>
      <c r="G999" s="9" t="s">
        <v>141</v>
      </c>
      <c r="H999" s="9" t="s">
        <v>142</v>
      </c>
      <c r="I999" s="0" t="s">
        <v>38</v>
      </c>
      <c r="J999" s="9" t="s">
        <v>39</v>
      </c>
      <c r="K999" s="9" t="s">
        <v>30</v>
      </c>
      <c r="L999" s="9" t="s">
        <v>31</v>
      </c>
      <c r="M999" s="0" t="s">
        <v>140</v>
      </c>
      <c r="N999" s="0" t="n">
        <v>1376</v>
      </c>
      <c r="O999" s="10" t="n">
        <v>0.0709302895702422</v>
      </c>
      <c r="P999" s="10" t="n">
        <v>0.577288038097322</v>
      </c>
      <c r="Q999" s="0" t="str">
        <f aca="false">SUBSTITUTE(SUBSTITUTE($I999,CHAR(61),""),CHAR(34),"")</f>
        <v>15-24</v>
      </c>
      <c r="R999" s="0" t="str">
        <f aca="false">IF($D999&lt;&gt;"","["&amp;$E999&amp;"]"&amp;"|"&amp;$Q999&amp;"|"&amp;$K999&amp;"|"&amp;$G999&amp;"|"&amp;IF($G999="TX_CURR_SUBNAT.R","CY2022Q4",$M999),"")</f>
        <v>[mxqa3CDFmIT]|15-24|Female|HIV_PREV.T_1|CY2023Q3</v>
      </c>
    </row>
    <row r="1000" customFormat="false" ht="15" hidden="false" customHeight="false" outlineLevel="0" collapsed="false">
      <c r="D1000" s="9" t="s">
        <v>99</v>
      </c>
      <c r="E1000" s="9" t="s">
        <v>100</v>
      </c>
      <c r="F1000" s="9" t="s">
        <v>101</v>
      </c>
      <c r="G1000" s="9" t="s">
        <v>141</v>
      </c>
      <c r="H1000" s="9" t="s">
        <v>142</v>
      </c>
      <c r="I1000" s="0" t="s">
        <v>41</v>
      </c>
      <c r="J1000" s="9" t="s">
        <v>42</v>
      </c>
      <c r="K1000" s="9" t="s">
        <v>30</v>
      </c>
      <c r="L1000" s="9" t="s">
        <v>31</v>
      </c>
      <c r="M1000" s="0" t="s">
        <v>140</v>
      </c>
      <c r="N1000" s="0" t="n">
        <v>1300</v>
      </c>
      <c r="O1000" s="10" t="n">
        <v>0.169392831157893</v>
      </c>
      <c r="P1000" s="10" t="n">
        <v>0.577288038097322</v>
      </c>
      <c r="Q1000" s="0" t="str">
        <f aca="false">SUBSTITUTE(SUBSTITUTE($I1000,CHAR(61),""),CHAR(34),"")</f>
        <v>25-34</v>
      </c>
      <c r="R1000" s="0" t="str">
        <f aca="false">IF($D1000&lt;&gt;"","["&amp;$E1000&amp;"]"&amp;"|"&amp;$Q1000&amp;"|"&amp;$K1000&amp;"|"&amp;$G1000&amp;"|"&amp;IF($G1000="TX_CURR_SUBNAT.R","CY2022Q4",$M1000),"")</f>
        <v>[mxqa3CDFmIT]|25-34|Female|HIV_PREV.T_1|CY2023Q3</v>
      </c>
    </row>
    <row r="1001" customFormat="false" ht="15" hidden="false" customHeight="false" outlineLevel="0" collapsed="false">
      <c r="D1001" s="9" t="s">
        <v>99</v>
      </c>
      <c r="E1001" s="9" t="s">
        <v>100</v>
      </c>
      <c r="F1001" s="9" t="s">
        <v>101</v>
      </c>
      <c r="G1001" s="9" t="s">
        <v>141</v>
      </c>
      <c r="H1001" s="9" t="s">
        <v>142</v>
      </c>
      <c r="I1001" s="0" t="s">
        <v>43</v>
      </c>
      <c r="J1001" s="9" t="s">
        <v>44</v>
      </c>
      <c r="K1001" s="9" t="s">
        <v>30</v>
      </c>
      <c r="L1001" s="9" t="s">
        <v>31</v>
      </c>
      <c r="M1001" s="0" t="s">
        <v>140</v>
      </c>
      <c r="N1001" s="0" t="n">
        <v>1101</v>
      </c>
      <c r="O1001" s="10" t="n">
        <v>0.467735259095207</v>
      </c>
      <c r="P1001" s="10" t="n">
        <v>0.577288038097322</v>
      </c>
      <c r="Q1001" s="0" t="str">
        <f aca="false">SUBSTITUTE(SUBSTITUTE($I1001,CHAR(61),""),CHAR(34),"")</f>
        <v>35-49</v>
      </c>
      <c r="R1001" s="0" t="str">
        <f aca="false">IF($D1001&lt;&gt;"","["&amp;$E1001&amp;"]"&amp;"|"&amp;$Q1001&amp;"|"&amp;$K1001&amp;"|"&amp;$G1001&amp;"|"&amp;IF($G1001="TX_CURR_SUBNAT.R","CY2022Q4",$M1001),"")</f>
        <v>[mxqa3CDFmIT]|35-49|Female|HIV_PREV.T_1|CY2023Q3</v>
      </c>
    </row>
    <row r="1002" customFormat="false" ht="15" hidden="false" customHeight="false" outlineLevel="0" collapsed="false">
      <c r="D1002" s="9" t="s">
        <v>99</v>
      </c>
      <c r="E1002" s="9" t="s">
        <v>100</v>
      </c>
      <c r="F1002" s="9" t="s">
        <v>101</v>
      </c>
      <c r="G1002" s="9" t="s">
        <v>141</v>
      </c>
      <c r="H1002" s="9" t="s">
        <v>142</v>
      </c>
      <c r="I1002" s="0" t="s">
        <v>45</v>
      </c>
      <c r="J1002" s="9" t="s">
        <v>46</v>
      </c>
      <c r="K1002" s="9" t="s">
        <v>30</v>
      </c>
      <c r="L1002" s="9" t="s">
        <v>31</v>
      </c>
      <c r="M1002" s="0" t="s">
        <v>140</v>
      </c>
      <c r="N1002" s="0" t="n">
        <v>1987</v>
      </c>
      <c r="O1002" s="10" t="n">
        <v>0.279480251483619</v>
      </c>
      <c r="P1002" s="10" t="n">
        <v>0.577288038097322</v>
      </c>
      <c r="Q1002" s="0" t="str">
        <f aca="false">SUBSTITUTE(SUBSTITUTE($I1002,CHAR(61),""),CHAR(34),"")</f>
        <v>50+</v>
      </c>
      <c r="R1002" s="0" t="str">
        <f aca="false">IF($D1002&lt;&gt;"","["&amp;$E1002&amp;"]"&amp;"|"&amp;$Q1002&amp;"|"&amp;$K1002&amp;"|"&amp;$G1002&amp;"|"&amp;IF($G1002="TX_CURR_SUBNAT.R","CY2022Q4",$M1002),"")</f>
        <v>[mxqa3CDFmIT]|50+|Female|HIV_PREV.T_1|CY2023Q3</v>
      </c>
    </row>
    <row r="1003" customFormat="false" ht="15" hidden="false" customHeight="false" outlineLevel="0" collapsed="false">
      <c r="D1003" s="9" t="s">
        <v>99</v>
      </c>
      <c r="E1003" s="9" t="s">
        <v>100</v>
      </c>
      <c r="F1003" s="9" t="s">
        <v>101</v>
      </c>
      <c r="G1003" s="9" t="s">
        <v>141</v>
      </c>
      <c r="H1003" s="9" t="s">
        <v>142</v>
      </c>
      <c r="I1003" s="0" t="s">
        <v>28</v>
      </c>
      <c r="J1003" s="9" t="s">
        <v>29</v>
      </c>
      <c r="K1003" s="9" t="s">
        <v>48</v>
      </c>
      <c r="L1003" s="9" t="s">
        <v>49</v>
      </c>
      <c r="M1003" s="0" t="s">
        <v>140</v>
      </c>
      <c r="N1003" s="0" t="n">
        <v>1642</v>
      </c>
      <c r="O1003" s="10" t="n">
        <v>0.0974001111462712</v>
      </c>
      <c r="P1003" s="10" t="n">
        <v>0.577288038097322</v>
      </c>
      <c r="Q1003" s="0" t="str">
        <f aca="false">SUBSTITUTE(SUBSTITUTE($I1003,CHAR(61),""),CHAR(34),"")</f>
        <v>&lt;01</v>
      </c>
      <c r="R1003" s="0" t="str">
        <f aca="false">IF($D1003&lt;&gt;"","["&amp;$E1003&amp;"]"&amp;"|"&amp;$Q1003&amp;"|"&amp;$K1003&amp;"|"&amp;$G1003&amp;"|"&amp;IF($G1003="TX_CURR_SUBNAT.R","CY2022Q4",$M1003),"")</f>
        <v>[mxqa3CDFmIT]|&lt;01|Male|HIV_PREV.T_1|CY2023Q3</v>
      </c>
    </row>
    <row r="1004" customFormat="false" ht="15" hidden="false" customHeight="false" outlineLevel="0" collapsed="false">
      <c r="D1004" s="9" t="s">
        <v>99</v>
      </c>
      <c r="E1004" s="9" t="s">
        <v>100</v>
      </c>
      <c r="F1004" s="9" t="s">
        <v>101</v>
      </c>
      <c r="G1004" s="9" t="s">
        <v>141</v>
      </c>
      <c r="H1004" s="9" t="s">
        <v>142</v>
      </c>
      <c r="I1004" s="0" t="s">
        <v>33</v>
      </c>
      <c r="J1004" s="9" t="s">
        <v>34</v>
      </c>
      <c r="K1004" s="9" t="s">
        <v>48</v>
      </c>
      <c r="L1004" s="9" t="s">
        <v>49</v>
      </c>
      <c r="M1004" s="0" t="s">
        <v>140</v>
      </c>
      <c r="N1004" s="0" t="n">
        <v>1387</v>
      </c>
      <c r="O1004" s="10" t="n">
        <v>0.174559459090233</v>
      </c>
      <c r="P1004" s="10" t="n">
        <v>0.577288038097322</v>
      </c>
      <c r="Q1004" s="0" t="str">
        <f aca="false">SUBSTITUTE(SUBSTITUTE($I1004,CHAR(61),""),CHAR(34),"")</f>
        <v>01-09</v>
      </c>
      <c r="R1004" s="0" t="str">
        <f aca="false">IF($D1004&lt;&gt;"","["&amp;$E1004&amp;"]"&amp;"|"&amp;$Q1004&amp;"|"&amp;$K1004&amp;"|"&amp;$G1004&amp;"|"&amp;IF($G1004="TX_CURR_SUBNAT.R","CY2022Q4",$M1004),"")</f>
        <v>[mxqa3CDFmIT]|01-09|Male|HIV_PREV.T_1|CY2023Q3</v>
      </c>
    </row>
    <row r="1005" customFormat="false" ht="15" hidden="false" customHeight="false" outlineLevel="0" collapsed="false">
      <c r="D1005" s="9" t="s">
        <v>99</v>
      </c>
      <c r="E1005" s="9" t="s">
        <v>100</v>
      </c>
      <c r="F1005" s="9" t="s">
        <v>101</v>
      </c>
      <c r="G1005" s="9" t="s">
        <v>141</v>
      </c>
      <c r="H1005" s="9" t="s">
        <v>142</v>
      </c>
      <c r="I1005" s="0" t="s">
        <v>36</v>
      </c>
      <c r="J1005" s="9" t="s">
        <v>37</v>
      </c>
      <c r="K1005" s="9" t="s">
        <v>48</v>
      </c>
      <c r="L1005" s="9" t="s">
        <v>49</v>
      </c>
      <c r="M1005" s="0" t="s">
        <v>140</v>
      </c>
      <c r="N1005" s="0" t="n">
        <v>1528</v>
      </c>
      <c r="O1005" s="10" t="n">
        <v>0.517074041999876</v>
      </c>
      <c r="P1005" s="10" t="n">
        <v>0.577288038097322</v>
      </c>
      <c r="Q1005" s="0" t="str">
        <f aca="false">SUBSTITUTE(SUBSTITUTE($I1005,CHAR(61),""),CHAR(34),"")</f>
        <v>10-14</v>
      </c>
      <c r="R1005" s="0" t="str">
        <f aca="false">IF($D1005&lt;&gt;"","["&amp;$E1005&amp;"]"&amp;"|"&amp;$Q1005&amp;"|"&amp;$K1005&amp;"|"&amp;$G1005&amp;"|"&amp;IF($G1005="TX_CURR_SUBNAT.R","CY2022Q4",$M1005),"")</f>
        <v>[mxqa3CDFmIT]|10-14|Male|HIV_PREV.T_1|CY2023Q3</v>
      </c>
    </row>
    <row r="1006" customFormat="false" ht="15" hidden="false" customHeight="false" outlineLevel="0" collapsed="false">
      <c r="D1006" s="9" t="s">
        <v>99</v>
      </c>
      <c r="E1006" s="9" t="s">
        <v>100</v>
      </c>
      <c r="F1006" s="9" t="s">
        <v>101</v>
      </c>
      <c r="G1006" s="9" t="s">
        <v>141</v>
      </c>
      <c r="H1006" s="9" t="s">
        <v>142</v>
      </c>
      <c r="I1006" s="0" t="s">
        <v>38</v>
      </c>
      <c r="J1006" s="9" t="s">
        <v>39</v>
      </c>
      <c r="K1006" s="9" t="s">
        <v>48</v>
      </c>
      <c r="L1006" s="9" t="s">
        <v>49</v>
      </c>
      <c r="M1006" s="0" t="s">
        <v>140</v>
      </c>
      <c r="N1006" s="0" t="n">
        <v>1282</v>
      </c>
      <c r="O1006" s="10" t="n">
        <v>0.136670906329527</v>
      </c>
      <c r="P1006" s="10" t="n">
        <v>0.577288038097322</v>
      </c>
      <c r="Q1006" s="0" t="str">
        <f aca="false">SUBSTITUTE(SUBSTITUTE($I1006,CHAR(61),""),CHAR(34),"")</f>
        <v>15-24</v>
      </c>
      <c r="R1006" s="0" t="str">
        <f aca="false">IF($D1006&lt;&gt;"","["&amp;$E1006&amp;"]"&amp;"|"&amp;$Q1006&amp;"|"&amp;$K1006&amp;"|"&amp;$G1006&amp;"|"&amp;IF($G1006="TX_CURR_SUBNAT.R","CY2022Q4",$M1006),"")</f>
        <v>[mxqa3CDFmIT]|15-24|Male|HIV_PREV.T_1|CY2023Q3</v>
      </c>
    </row>
    <row r="1007" customFormat="false" ht="15" hidden="false" customHeight="false" outlineLevel="0" collapsed="false">
      <c r="D1007" s="9" t="s">
        <v>99</v>
      </c>
      <c r="E1007" s="9" t="s">
        <v>100</v>
      </c>
      <c r="F1007" s="9" t="s">
        <v>101</v>
      </c>
      <c r="G1007" s="9" t="s">
        <v>141</v>
      </c>
      <c r="H1007" s="9" t="s">
        <v>142</v>
      </c>
      <c r="I1007" s="0" t="s">
        <v>41</v>
      </c>
      <c r="J1007" s="9" t="s">
        <v>42</v>
      </c>
      <c r="K1007" s="9" t="s">
        <v>48</v>
      </c>
      <c r="L1007" s="9" t="s">
        <v>49</v>
      </c>
      <c r="M1007" s="0" t="s">
        <v>140</v>
      </c>
      <c r="N1007" s="0" t="n">
        <v>1886</v>
      </c>
      <c r="O1007" s="10" t="n">
        <v>0.131536239059642</v>
      </c>
      <c r="P1007" s="10" t="n">
        <v>0.577288038097322</v>
      </c>
      <c r="Q1007" s="0" t="str">
        <f aca="false">SUBSTITUTE(SUBSTITUTE($I1007,CHAR(61),""),CHAR(34),"")</f>
        <v>25-34</v>
      </c>
      <c r="R1007" s="0" t="str">
        <f aca="false">IF($D1007&lt;&gt;"","["&amp;$E1007&amp;"]"&amp;"|"&amp;$Q1007&amp;"|"&amp;$K1007&amp;"|"&amp;$G1007&amp;"|"&amp;IF($G1007="TX_CURR_SUBNAT.R","CY2022Q4",$M1007),"")</f>
        <v>[mxqa3CDFmIT]|25-34|Male|HIV_PREV.T_1|CY2023Q3</v>
      </c>
    </row>
    <row r="1008" customFormat="false" ht="15" hidden="false" customHeight="false" outlineLevel="0" collapsed="false">
      <c r="D1008" s="9" t="s">
        <v>99</v>
      </c>
      <c r="E1008" s="9" t="s">
        <v>100</v>
      </c>
      <c r="F1008" s="9" t="s">
        <v>101</v>
      </c>
      <c r="G1008" s="9" t="s">
        <v>141</v>
      </c>
      <c r="H1008" s="9" t="s">
        <v>142</v>
      </c>
      <c r="I1008" s="0" t="s">
        <v>43</v>
      </c>
      <c r="J1008" s="9" t="s">
        <v>44</v>
      </c>
      <c r="K1008" s="9" t="s">
        <v>48</v>
      </c>
      <c r="L1008" s="9" t="s">
        <v>49</v>
      </c>
      <c r="M1008" s="0" t="s">
        <v>140</v>
      </c>
      <c r="N1008" s="0" t="n">
        <v>555</v>
      </c>
      <c r="O1008" s="10" t="n">
        <v>0.258737326366827</v>
      </c>
      <c r="P1008" s="10" t="n">
        <v>0.577288038097322</v>
      </c>
      <c r="Q1008" s="0" t="str">
        <f aca="false">SUBSTITUTE(SUBSTITUTE($I1008,CHAR(61),""),CHAR(34),"")</f>
        <v>35-49</v>
      </c>
      <c r="R1008" s="0" t="str">
        <f aca="false">IF($D1008&lt;&gt;"","["&amp;$E1008&amp;"]"&amp;"|"&amp;$Q1008&amp;"|"&amp;$K1008&amp;"|"&amp;$G1008&amp;"|"&amp;IF($G1008="TX_CURR_SUBNAT.R","CY2022Q4",$M1008),"")</f>
        <v>[mxqa3CDFmIT]|35-49|Male|HIV_PREV.T_1|CY2023Q3</v>
      </c>
    </row>
    <row r="1009" customFormat="false" ht="15" hidden="false" customHeight="false" outlineLevel="0" collapsed="false">
      <c r="D1009" s="9" t="s">
        <v>99</v>
      </c>
      <c r="E1009" s="9" t="s">
        <v>100</v>
      </c>
      <c r="F1009" s="9" t="s">
        <v>101</v>
      </c>
      <c r="G1009" s="9" t="s">
        <v>141</v>
      </c>
      <c r="H1009" s="9" t="s">
        <v>142</v>
      </c>
      <c r="I1009" s="0" t="s">
        <v>45</v>
      </c>
      <c r="J1009" s="9" t="s">
        <v>46</v>
      </c>
      <c r="K1009" s="9" t="s">
        <v>48</v>
      </c>
      <c r="L1009" s="9" t="s">
        <v>49</v>
      </c>
      <c r="M1009" s="0" t="s">
        <v>140</v>
      </c>
      <c r="N1009" s="0" t="n">
        <v>1517</v>
      </c>
      <c r="O1009" s="10" t="n">
        <v>0.494481428526342</v>
      </c>
      <c r="P1009" s="10" t="n">
        <v>0.577288038097322</v>
      </c>
      <c r="Q1009" s="0" t="str">
        <f aca="false">SUBSTITUTE(SUBSTITUTE($I1009,CHAR(61),""),CHAR(34),"")</f>
        <v>50+</v>
      </c>
      <c r="R1009" s="0" t="str">
        <f aca="false">IF($D1009&lt;&gt;"","["&amp;$E1009&amp;"]"&amp;"|"&amp;$Q1009&amp;"|"&amp;$K1009&amp;"|"&amp;$G1009&amp;"|"&amp;IF($G1009="TX_CURR_SUBNAT.R","CY2022Q4",$M1009),"")</f>
        <v>[mxqa3CDFmIT]|50+|Male|HIV_PREV.T_1|CY2023Q3</v>
      </c>
    </row>
    <row r="1010" customFormat="false" ht="15" hidden="false" customHeight="false" outlineLevel="0" collapsed="false">
      <c r="D1010" s="9" t="s">
        <v>102</v>
      </c>
      <c r="E1010" s="9" t="s">
        <v>103</v>
      </c>
      <c r="F1010" s="9" t="s">
        <v>104</v>
      </c>
      <c r="G1010" s="9" t="s">
        <v>141</v>
      </c>
      <c r="H1010" s="9" t="s">
        <v>142</v>
      </c>
      <c r="I1010" s="0" t="s">
        <v>28</v>
      </c>
      <c r="J1010" s="9" t="s">
        <v>29</v>
      </c>
      <c r="K1010" s="9" t="s">
        <v>30</v>
      </c>
      <c r="L1010" s="9" t="s">
        <v>31</v>
      </c>
      <c r="M1010" s="0" t="s">
        <v>140</v>
      </c>
      <c r="N1010" s="0" t="n">
        <v>1752</v>
      </c>
      <c r="O1010" s="10" t="n">
        <v>0.0954907396808267</v>
      </c>
      <c r="P1010" s="10" t="n">
        <v>0.526212359312922</v>
      </c>
      <c r="Q1010" s="0" t="str">
        <f aca="false">SUBSTITUTE(SUBSTITUTE($I1010,CHAR(61),""),CHAR(34),"")</f>
        <v>&lt;01</v>
      </c>
      <c r="R1010" s="0" t="str">
        <f aca="false">IF($D1010&lt;&gt;"","["&amp;$E1010&amp;"]"&amp;"|"&amp;$Q1010&amp;"|"&amp;$K1010&amp;"|"&amp;$G1010&amp;"|"&amp;IF($G1010="TX_CURR_SUBNAT.R","CY2022Q4",$M1010),"")</f>
        <v>[wNqJp8oRIcF]|&lt;01|Female|HIV_PREV.T_1|CY2023Q3</v>
      </c>
    </row>
    <row r="1011" customFormat="false" ht="15" hidden="false" customHeight="false" outlineLevel="0" collapsed="false">
      <c r="D1011" s="9" t="s">
        <v>102</v>
      </c>
      <c r="E1011" s="9" t="s">
        <v>103</v>
      </c>
      <c r="F1011" s="9" t="s">
        <v>104</v>
      </c>
      <c r="G1011" s="9" t="s">
        <v>141</v>
      </c>
      <c r="H1011" s="9" t="s">
        <v>142</v>
      </c>
      <c r="I1011" s="0" t="s">
        <v>33</v>
      </c>
      <c r="J1011" s="9" t="s">
        <v>34</v>
      </c>
      <c r="K1011" s="9" t="s">
        <v>30</v>
      </c>
      <c r="L1011" s="9" t="s">
        <v>31</v>
      </c>
      <c r="M1011" s="0" t="s">
        <v>140</v>
      </c>
      <c r="N1011" s="0" t="n">
        <v>1166</v>
      </c>
      <c r="O1011" s="10" t="n">
        <v>0.675851000938565</v>
      </c>
      <c r="P1011" s="10" t="n">
        <v>0.526212359312922</v>
      </c>
      <c r="Q1011" s="0" t="str">
        <f aca="false">SUBSTITUTE(SUBSTITUTE($I1011,CHAR(61),""),CHAR(34),"")</f>
        <v>01-09</v>
      </c>
      <c r="R1011" s="0" t="str">
        <f aca="false">IF($D1011&lt;&gt;"","["&amp;$E1011&amp;"]"&amp;"|"&amp;$Q1011&amp;"|"&amp;$K1011&amp;"|"&amp;$G1011&amp;"|"&amp;IF($G1011="TX_CURR_SUBNAT.R","CY2022Q4",$M1011),"")</f>
        <v>[wNqJp8oRIcF]|01-09|Female|HIV_PREV.T_1|CY2023Q3</v>
      </c>
    </row>
    <row r="1012" customFormat="false" ht="15" hidden="false" customHeight="false" outlineLevel="0" collapsed="false">
      <c r="D1012" s="9" t="s">
        <v>102</v>
      </c>
      <c r="E1012" s="9" t="s">
        <v>103</v>
      </c>
      <c r="F1012" s="9" t="s">
        <v>104</v>
      </c>
      <c r="G1012" s="9" t="s">
        <v>141</v>
      </c>
      <c r="H1012" s="9" t="s">
        <v>142</v>
      </c>
      <c r="I1012" s="0" t="s">
        <v>36</v>
      </c>
      <c r="J1012" s="9" t="s">
        <v>37</v>
      </c>
      <c r="K1012" s="9" t="s">
        <v>30</v>
      </c>
      <c r="L1012" s="9" t="s">
        <v>31</v>
      </c>
      <c r="M1012" s="0" t="s">
        <v>140</v>
      </c>
      <c r="N1012" s="0" t="n">
        <v>1463</v>
      </c>
      <c r="O1012" s="10" t="n">
        <v>0.435759678948671</v>
      </c>
      <c r="P1012" s="10" t="n">
        <v>0.526212359312922</v>
      </c>
      <c r="Q1012" s="0" t="str">
        <f aca="false">SUBSTITUTE(SUBSTITUTE($I1012,CHAR(61),""),CHAR(34),"")</f>
        <v>10-14</v>
      </c>
      <c r="R1012" s="0" t="str">
        <f aca="false">IF($D1012&lt;&gt;"","["&amp;$E1012&amp;"]"&amp;"|"&amp;$Q1012&amp;"|"&amp;$K1012&amp;"|"&amp;$G1012&amp;"|"&amp;IF($G1012="TX_CURR_SUBNAT.R","CY2022Q4",$M1012),"")</f>
        <v>[wNqJp8oRIcF]|10-14|Female|HIV_PREV.T_1|CY2023Q3</v>
      </c>
    </row>
    <row r="1013" customFormat="false" ht="15" hidden="false" customHeight="false" outlineLevel="0" collapsed="false">
      <c r="D1013" s="9" t="s">
        <v>102</v>
      </c>
      <c r="E1013" s="9" t="s">
        <v>103</v>
      </c>
      <c r="F1013" s="9" t="s">
        <v>104</v>
      </c>
      <c r="G1013" s="9" t="s">
        <v>141</v>
      </c>
      <c r="H1013" s="9" t="s">
        <v>142</v>
      </c>
      <c r="I1013" s="0" t="s">
        <v>38</v>
      </c>
      <c r="J1013" s="9" t="s">
        <v>39</v>
      </c>
      <c r="K1013" s="9" t="s">
        <v>30</v>
      </c>
      <c r="L1013" s="9" t="s">
        <v>31</v>
      </c>
      <c r="M1013" s="0" t="s">
        <v>140</v>
      </c>
      <c r="N1013" s="0" t="n">
        <v>1690</v>
      </c>
      <c r="O1013" s="10" t="n">
        <v>0.448435064405203</v>
      </c>
      <c r="P1013" s="10" t="n">
        <v>0.526212359312922</v>
      </c>
      <c r="Q1013" s="0" t="str">
        <f aca="false">SUBSTITUTE(SUBSTITUTE($I1013,CHAR(61),""),CHAR(34),"")</f>
        <v>15-24</v>
      </c>
      <c r="R1013" s="0" t="str">
        <f aca="false">IF($D1013&lt;&gt;"","["&amp;$E1013&amp;"]"&amp;"|"&amp;$Q1013&amp;"|"&amp;$K1013&amp;"|"&amp;$G1013&amp;"|"&amp;IF($G1013="TX_CURR_SUBNAT.R","CY2022Q4",$M1013),"")</f>
        <v>[wNqJp8oRIcF]|15-24|Female|HIV_PREV.T_1|CY2023Q3</v>
      </c>
    </row>
    <row r="1014" customFormat="false" ht="15" hidden="false" customHeight="false" outlineLevel="0" collapsed="false">
      <c r="D1014" s="9" t="s">
        <v>102</v>
      </c>
      <c r="E1014" s="9" t="s">
        <v>103</v>
      </c>
      <c r="F1014" s="9" t="s">
        <v>104</v>
      </c>
      <c r="G1014" s="9" t="s">
        <v>141</v>
      </c>
      <c r="H1014" s="9" t="s">
        <v>142</v>
      </c>
      <c r="I1014" s="0" t="s">
        <v>41</v>
      </c>
      <c r="J1014" s="9" t="s">
        <v>42</v>
      </c>
      <c r="K1014" s="9" t="s">
        <v>30</v>
      </c>
      <c r="L1014" s="9" t="s">
        <v>31</v>
      </c>
      <c r="M1014" s="0" t="s">
        <v>140</v>
      </c>
      <c r="N1014" s="0" t="n">
        <v>1468</v>
      </c>
      <c r="O1014" s="10" t="n">
        <v>0.409811329795048</v>
      </c>
      <c r="P1014" s="10" t="n">
        <v>0.526212359312922</v>
      </c>
      <c r="Q1014" s="0" t="str">
        <f aca="false">SUBSTITUTE(SUBSTITUTE($I1014,CHAR(61),""),CHAR(34),"")</f>
        <v>25-34</v>
      </c>
      <c r="R1014" s="0" t="str">
        <f aca="false">IF($D1014&lt;&gt;"","["&amp;$E1014&amp;"]"&amp;"|"&amp;$Q1014&amp;"|"&amp;$K1014&amp;"|"&amp;$G1014&amp;"|"&amp;IF($G1014="TX_CURR_SUBNAT.R","CY2022Q4",$M1014),"")</f>
        <v>[wNqJp8oRIcF]|25-34|Female|HIV_PREV.T_1|CY2023Q3</v>
      </c>
    </row>
    <row r="1015" customFormat="false" ht="15" hidden="false" customHeight="false" outlineLevel="0" collapsed="false">
      <c r="D1015" s="9" t="s">
        <v>102</v>
      </c>
      <c r="E1015" s="9" t="s">
        <v>103</v>
      </c>
      <c r="F1015" s="9" t="s">
        <v>104</v>
      </c>
      <c r="G1015" s="9" t="s">
        <v>141</v>
      </c>
      <c r="H1015" s="9" t="s">
        <v>142</v>
      </c>
      <c r="I1015" s="0" t="s">
        <v>43</v>
      </c>
      <c r="J1015" s="9" t="s">
        <v>44</v>
      </c>
      <c r="K1015" s="9" t="s">
        <v>30</v>
      </c>
      <c r="L1015" s="9" t="s">
        <v>31</v>
      </c>
      <c r="M1015" s="0" t="s">
        <v>140</v>
      </c>
      <c r="N1015" s="0" t="n">
        <v>1421</v>
      </c>
      <c r="O1015" s="10" t="n">
        <v>0.331806480884552</v>
      </c>
      <c r="P1015" s="10" t="n">
        <v>0.526212359312922</v>
      </c>
      <c r="Q1015" s="0" t="str">
        <f aca="false">SUBSTITUTE(SUBSTITUTE($I1015,CHAR(61),""),CHAR(34),"")</f>
        <v>35-49</v>
      </c>
      <c r="R1015" s="0" t="str">
        <f aca="false">IF($D1015&lt;&gt;"","["&amp;$E1015&amp;"]"&amp;"|"&amp;$Q1015&amp;"|"&amp;$K1015&amp;"|"&amp;$G1015&amp;"|"&amp;IF($G1015="TX_CURR_SUBNAT.R","CY2022Q4",$M1015),"")</f>
        <v>[wNqJp8oRIcF]|35-49|Female|HIV_PREV.T_1|CY2023Q3</v>
      </c>
    </row>
    <row r="1016" customFormat="false" ht="15" hidden="false" customHeight="false" outlineLevel="0" collapsed="false">
      <c r="D1016" s="9" t="s">
        <v>102</v>
      </c>
      <c r="E1016" s="9" t="s">
        <v>103</v>
      </c>
      <c r="F1016" s="9" t="s">
        <v>104</v>
      </c>
      <c r="G1016" s="9" t="s">
        <v>141</v>
      </c>
      <c r="H1016" s="9" t="s">
        <v>142</v>
      </c>
      <c r="I1016" s="0" t="s">
        <v>45</v>
      </c>
      <c r="J1016" s="9" t="s">
        <v>46</v>
      </c>
      <c r="K1016" s="9" t="s">
        <v>30</v>
      </c>
      <c r="L1016" s="9" t="s">
        <v>31</v>
      </c>
      <c r="M1016" s="0" t="s">
        <v>140</v>
      </c>
      <c r="N1016" s="0" t="n">
        <v>1975</v>
      </c>
      <c r="O1016" s="10" t="n">
        <v>0.876455046702176</v>
      </c>
      <c r="P1016" s="10" t="n">
        <v>0.526212359312922</v>
      </c>
      <c r="Q1016" s="0" t="str">
        <f aca="false">SUBSTITUTE(SUBSTITUTE($I1016,CHAR(61),""),CHAR(34),"")</f>
        <v>50+</v>
      </c>
      <c r="R1016" s="0" t="str">
        <f aca="false">IF($D1016&lt;&gt;"","["&amp;$E1016&amp;"]"&amp;"|"&amp;$Q1016&amp;"|"&amp;$K1016&amp;"|"&amp;$G1016&amp;"|"&amp;IF($G1016="TX_CURR_SUBNAT.R","CY2022Q4",$M1016),"")</f>
        <v>[wNqJp8oRIcF]|50+|Female|HIV_PREV.T_1|CY2023Q3</v>
      </c>
    </row>
    <row r="1017" customFormat="false" ht="15" hidden="false" customHeight="false" outlineLevel="0" collapsed="false">
      <c r="D1017" s="9" t="s">
        <v>102</v>
      </c>
      <c r="E1017" s="9" t="s">
        <v>103</v>
      </c>
      <c r="F1017" s="9" t="s">
        <v>104</v>
      </c>
      <c r="G1017" s="9" t="s">
        <v>141</v>
      </c>
      <c r="H1017" s="9" t="s">
        <v>142</v>
      </c>
      <c r="I1017" s="0" t="s">
        <v>28</v>
      </c>
      <c r="J1017" s="9" t="s">
        <v>29</v>
      </c>
      <c r="K1017" s="9" t="s">
        <v>48</v>
      </c>
      <c r="L1017" s="9" t="s">
        <v>49</v>
      </c>
      <c r="M1017" s="0" t="s">
        <v>140</v>
      </c>
      <c r="N1017" s="0" t="n">
        <v>1835</v>
      </c>
      <c r="O1017" s="10" t="n">
        <v>0.980528446147218</v>
      </c>
      <c r="P1017" s="10" t="n">
        <v>0.526212359312922</v>
      </c>
      <c r="Q1017" s="0" t="str">
        <f aca="false">SUBSTITUTE(SUBSTITUTE($I1017,CHAR(61),""),CHAR(34),"")</f>
        <v>&lt;01</v>
      </c>
      <c r="R1017" s="0" t="str">
        <f aca="false">IF($D1017&lt;&gt;"","["&amp;$E1017&amp;"]"&amp;"|"&amp;$Q1017&amp;"|"&amp;$K1017&amp;"|"&amp;$G1017&amp;"|"&amp;IF($G1017="TX_CURR_SUBNAT.R","CY2022Q4",$M1017),"")</f>
        <v>[wNqJp8oRIcF]|&lt;01|Male|HIV_PREV.T_1|CY2023Q3</v>
      </c>
    </row>
    <row r="1018" customFormat="false" ht="15" hidden="false" customHeight="false" outlineLevel="0" collapsed="false">
      <c r="D1018" s="9" t="s">
        <v>102</v>
      </c>
      <c r="E1018" s="9" t="s">
        <v>103</v>
      </c>
      <c r="F1018" s="9" t="s">
        <v>104</v>
      </c>
      <c r="G1018" s="9" t="s">
        <v>141</v>
      </c>
      <c r="H1018" s="9" t="s">
        <v>142</v>
      </c>
      <c r="I1018" s="0" t="s">
        <v>33</v>
      </c>
      <c r="J1018" s="9" t="s">
        <v>34</v>
      </c>
      <c r="K1018" s="9" t="s">
        <v>48</v>
      </c>
      <c r="L1018" s="9" t="s">
        <v>49</v>
      </c>
      <c r="M1018" s="0" t="s">
        <v>140</v>
      </c>
      <c r="N1018" s="0" t="n">
        <v>779</v>
      </c>
      <c r="O1018" s="10" t="n">
        <v>0.693305168533698</v>
      </c>
      <c r="P1018" s="10" t="n">
        <v>0.526212359312922</v>
      </c>
      <c r="Q1018" s="0" t="str">
        <f aca="false">SUBSTITUTE(SUBSTITUTE($I1018,CHAR(61),""),CHAR(34),"")</f>
        <v>01-09</v>
      </c>
      <c r="R1018" s="0" t="str">
        <f aca="false">IF($D1018&lt;&gt;"","["&amp;$E1018&amp;"]"&amp;"|"&amp;$Q1018&amp;"|"&amp;$K1018&amp;"|"&amp;$G1018&amp;"|"&amp;IF($G1018="TX_CURR_SUBNAT.R","CY2022Q4",$M1018),"")</f>
        <v>[wNqJp8oRIcF]|01-09|Male|HIV_PREV.T_1|CY2023Q3</v>
      </c>
    </row>
    <row r="1019" customFormat="false" ht="15" hidden="false" customHeight="false" outlineLevel="0" collapsed="false">
      <c r="D1019" s="9" t="s">
        <v>102</v>
      </c>
      <c r="E1019" s="9" t="s">
        <v>103</v>
      </c>
      <c r="F1019" s="9" t="s">
        <v>104</v>
      </c>
      <c r="G1019" s="9" t="s">
        <v>141</v>
      </c>
      <c r="H1019" s="9" t="s">
        <v>142</v>
      </c>
      <c r="I1019" s="0" t="s">
        <v>36</v>
      </c>
      <c r="J1019" s="9" t="s">
        <v>37</v>
      </c>
      <c r="K1019" s="9" t="s">
        <v>48</v>
      </c>
      <c r="L1019" s="9" t="s">
        <v>49</v>
      </c>
      <c r="M1019" s="0" t="s">
        <v>140</v>
      </c>
      <c r="N1019" s="0" t="n">
        <v>1832</v>
      </c>
      <c r="O1019" s="10" t="n">
        <v>0.293999319896102</v>
      </c>
      <c r="P1019" s="10" t="n">
        <v>0.526212359312922</v>
      </c>
      <c r="Q1019" s="0" t="str">
        <f aca="false">SUBSTITUTE(SUBSTITUTE($I1019,CHAR(61),""),CHAR(34),"")</f>
        <v>10-14</v>
      </c>
      <c r="R1019" s="0" t="str">
        <f aca="false">IF($D1019&lt;&gt;"","["&amp;$E1019&amp;"]"&amp;"|"&amp;$Q1019&amp;"|"&amp;$K1019&amp;"|"&amp;$G1019&amp;"|"&amp;IF($G1019="TX_CURR_SUBNAT.R","CY2022Q4",$M1019),"")</f>
        <v>[wNqJp8oRIcF]|10-14|Male|HIV_PREV.T_1|CY2023Q3</v>
      </c>
    </row>
    <row r="1020" customFormat="false" ht="15" hidden="false" customHeight="false" outlineLevel="0" collapsed="false">
      <c r="D1020" s="9" t="s">
        <v>102</v>
      </c>
      <c r="E1020" s="9" t="s">
        <v>103</v>
      </c>
      <c r="F1020" s="9" t="s">
        <v>104</v>
      </c>
      <c r="G1020" s="9" t="s">
        <v>141</v>
      </c>
      <c r="H1020" s="9" t="s">
        <v>142</v>
      </c>
      <c r="I1020" s="0" t="s">
        <v>38</v>
      </c>
      <c r="J1020" s="9" t="s">
        <v>39</v>
      </c>
      <c r="K1020" s="9" t="s">
        <v>48</v>
      </c>
      <c r="L1020" s="9" t="s">
        <v>49</v>
      </c>
      <c r="M1020" s="0" t="s">
        <v>140</v>
      </c>
      <c r="N1020" s="0" t="n">
        <v>709</v>
      </c>
      <c r="O1020" s="10" t="n">
        <v>0.789882970973849</v>
      </c>
      <c r="P1020" s="10" t="n">
        <v>0.526212359312922</v>
      </c>
      <c r="Q1020" s="0" t="str">
        <f aca="false">SUBSTITUTE(SUBSTITUTE($I1020,CHAR(61),""),CHAR(34),"")</f>
        <v>15-24</v>
      </c>
      <c r="R1020" s="0" t="str">
        <f aca="false">IF($D1020&lt;&gt;"","["&amp;$E1020&amp;"]"&amp;"|"&amp;$Q1020&amp;"|"&amp;$K1020&amp;"|"&amp;$G1020&amp;"|"&amp;IF($G1020="TX_CURR_SUBNAT.R","CY2022Q4",$M1020),"")</f>
        <v>[wNqJp8oRIcF]|15-24|Male|HIV_PREV.T_1|CY2023Q3</v>
      </c>
    </row>
    <row r="1021" customFormat="false" ht="15" hidden="false" customHeight="false" outlineLevel="0" collapsed="false">
      <c r="D1021" s="9" t="s">
        <v>102</v>
      </c>
      <c r="E1021" s="9" t="s">
        <v>103</v>
      </c>
      <c r="F1021" s="9" t="s">
        <v>104</v>
      </c>
      <c r="G1021" s="9" t="s">
        <v>141</v>
      </c>
      <c r="H1021" s="9" t="s">
        <v>142</v>
      </c>
      <c r="I1021" s="0" t="s">
        <v>41</v>
      </c>
      <c r="J1021" s="9" t="s">
        <v>42</v>
      </c>
      <c r="K1021" s="9" t="s">
        <v>48</v>
      </c>
      <c r="L1021" s="9" t="s">
        <v>49</v>
      </c>
      <c r="M1021" s="0" t="s">
        <v>140</v>
      </c>
      <c r="N1021" s="0" t="n">
        <v>1486</v>
      </c>
      <c r="O1021" s="10" t="n">
        <v>0.400118963094428</v>
      </c>
      <c r="P1021" s="10" t="n">
        <v>0.526212359312922</v>
      </c>
      <c r="Q1021" s="0" t="str">
        <f aca="false">SUBSTITUTE(SUBSTITUTE($I1021,CHAR(61),""),CHAR(34),"")</f>
        <v>25-34</v>
      </c>
      <c r="R1021" s="0" t="str">
        <f aca="false">IF($D1021&lt;&gt;"","["&amp;$E1021&amp;"]"&amp;"|"&amp;$Q1021&amp;"|"&amp;$K1021&amp;"|"&amp;$G1021&amp;"|"&amp;IF($G1021="TX_CURR_SUBNAT.R","CY2022Q4",$M1021),"")</f>
        <v>[wNqJp8oRIcF]|25-34|Male|HIV_PREV.T_1|CY2023Q3</v>
      </c>
    </row>
    <row r="1022" customFormat="false" ht="15" hidden="false" customHeight="false" outlineLevel="0" collapsed="false">
      <c r="D1022" s="9" t="s">
        <v>102</v>
      </c>
      <c r="E1022" s="9" t="s">
        <v>103</v>
      </c>
      <c r="F1022" s="9" t="s">
        <v>104</v>
      </c>
      <c r="G1022" s="9" t="s">
        <v>141</v>
      </c>
      <c r="H1022" s="9" t="s">
        <v>142</v>
      </c>
      <c r="I1022" s="0" t="s">
        <v>43</v>
      </c>
      <c r="J1022" s="9" t="s">
        <v>44</v>
      </c>
      <c r="K1022" s="9" t="s">
        <v>48</v>
      </c>
      <c r="L1022" s="9" t="s">
        <v>49</v>
      </c>
      <c r="M1022" s="0" t="s">
        <v>140</v>
      </c>
      <c r="N1022" s="0" t="n">
        <v>1592</v>
      </c>
      <c r="O1022" s="10" t="n">
        <v>0.444214895134792</v>
      </c>
      <c r="P1022" s="10" t="n">
        <v>0.526212359312922</v>
      </c>
      <c r="Q1022" s="0" t="str">
        <f aca="false">SUBSTITUTE(SUBSTITUTE($I1022,CHAR(61),""),CHAR(34),"")</f>
        <v>35-49</v>
      </c>
      <c r="R1022" s="0" t="str">
        <f aca="false">IF($D1022&lt;&gt;"","["&amp;$E1022&amp;"]"&amp;"|"&amp;$Q1022&amp;"|"&amp;$K1022&amp;"|"&amp;$G1022&amp;"|"&amp;IF($G1022="TX_CURR_SUBNAT.R","CY2022Q4",$M1022),"")</f>
        <v>[wNqJp8oRIcF]|35-49|Male|HIV_PREV.T_1|CY2023Q3</v>
      </c>
    </row>
    <row r="1023" customFormat="false" ht="15" hidden="false" customHeight="false" outlineLevel="0" collapsed="false">
      <c r="D1023" s="9" t="s">
        <v>102</v>
      </c>
      <c r="E1023" s="9" t="s">
        <v>103</v>
      </c>
      <c r="F1023" s="9" t="s">
        <v>104</v>
      </c>
      <c r="G1023" s="9" t="s">
        <v>141</v>
      </c>
      <c r="H1023" s="9" t="s">
        <v>142</v>
      </c>
      <c r="I1023" s="0" t="s">
        <v>45</v>
      </c>
      <c r="J1023" s="9" t="s">
        <v>46</v>
      </c>
      <c r="K1023" s="9" t="s">
        <v>48</v>
      </c>
      <c r="L1023" s="9" t="s">
        <v>49</v>
      </c>
      <c r="M1023" s="0" t="s">
        <v>140</v>
      </c>
      <c r="N1023" s="0" t="n">
        <v>1230</v>
      </c>
      <c r="O1023" s="10" t="n">
        <v>0.2358119469136</v>
      </c>
      <c r="P1023" s="10" t="n">
        <v>0.526212359312922</v>
      </c>
      <c r="Q1023" s="0" t="str">
        <f aca="false">SUBSTITUTE(SUBSTITUTE($I1023,CHAR(61),""),CHAR(34),"")</f>
        <v>50+</v>
      </c>
      <c r="R1023" s="0" t="str">
        <f aca="false">IF($D1023&lt;&gt;"","["&amp;$E1023&amp;"]"&amp;"|"&amp;$Q1023&amp;"|"&amp;$K1023&amp;"|"&amp;$G1023&amp;"|"&amp;IF($G1023="TX_CURR_SUBNAT.R","CY2022Q4",$M1023),"")</f>
        <v>[wNqJp8oRIcF]|50+|Male|HIV_PREV.T_1|CY2023Q3</v>
      </c>
    </row>
    <row r="1024" customFormat="false" ht="15" hidden="false" customHeight="false" outlineLevel="0" collapsed="false">
      <c r="D1024" s="9" t="s">
        <v>105</v>
      </c>
      <c r="E1024" s="9" t="s">
        <v>106</v>
      </c>
      <c r="F1024" s="9" t="s">
        <v>107</v>
      </c>
      <c r="G1024" s="9" t="s">
        <v>141</v>
      </c>
      <c r="H1024" s="9" t="s">
        <v>142</v>
      </c>
      <c r="I1024" s="0" t="s">
        <v>28</v>
      </c>
      <c r="J1024" s="9" t="s">
        <v>29</v>
      </c>
      <c r="K1024" s="9" t="s">
        <v>30</v>
      </c>
      <c r="L1024" s="9" t="s">
        <v>31</v>
      </c>
      <c r="M1024" s="0" t="s">
        <v>140</v>
      </c>
      <c r="N1024" s="0" t="n">
        <v>522</v>
      </c>
      <c r="O1024" s="10" t="n">
        <v>0.331642451463267</v>
      </c>
      <c r="P1024" s="10" t="n">
        <v>0.218249560333788</v>
      </c>
      <c r="Q1024" s="0" t="str">
        <f aca="false">SUBSTITUTE(SUBSTITUTE($I1024,CHAR(61),""),CHAR(34),"")</f>
        <v>&lt;01</v>
      </c>
      <c r="R1024" s="0" t="str">
        <f aca="false">IF($D1024&lt;&gt;"","["&amp;$E1024&amp;"]"&amp;"|"&amp;$Q1024&amp;"|"&amp;$K1024&amp;"|"&amp;$G1024&amp;"|"&amp;IF($G1024="TX_CURR_SUBNAT.R","CY2022Q4",$M1024),"")</f>
        <v>[oiPR2CiVJbf]|&lt;01|Female|HIV_PREV.T_1|CY2023Q3</v>
      </c>
    </row>
    <row r="1025" customFormat="false" ht="15" hidden="false" customHeight="false" outlineLevel="0" collapsed="false">
      <c r="D1025" s="9" t="s">
        <v>105</v>
      </c>
      <c r="E1025" s="9" t="s">
        <v>106</v>
      </c>
      <c r="F1025" s="9" t="s">
        <v>107</v>
      </c>
      <c r="G1025" s="9" t="s">
        <v>141</v>
      </c>
      <c r="H1025" s="9" t="s">
        <v>142</v>
      </c>
      <c r="I1025" s="0" t="s">
        <v>33</v>
      </c>
      <c r="J1025" s="9" t="s">
        <v>34</v>
      </c>
      <c r="K1025" s="9" t="s">
        <v>30</v>
      </c>
      <c r="L1025" s="9" t="s">
        <v>31</v>
      </c>
      <c r="M1025" s="0" t="s">
        <v>140</v>
      </c>
      <c r="N1025" s="0" t="n">
        <v>1073</v>
      </c>
      <c r="O1025" s="10" t="n">
        <v>0.538054016884416</v>
      </c>
      <c r="P1025" s="10" t="n">
        <v>0.218249560333788</v>
      </c>
      <c r="Q1025" s="0" t="str">
        <f aca="false">SUBSTITUTE(SUBSTITUTE($I1025,CHAR(61),""),CHAR(34),"")</f>
        <v>01-09</v>
      </c>
      <c r="R1025" s="0" t="str">
        <f aca="false">IF($D1025&lt;&gt;"","["&amp;$E1025&amp;"]"&amp;"|"&amp;$Q1025&amp;"|"&amp;$K1025&amp;"|"&amp;$G1025&amp;"|"&amp;IF($G1025="TX_CURR_SUBNAT.R","CY2022Q4",$M1025),"")</f>
        <v>[oiPR2CiVJbf]|01-09|Female|HIV_PREV.T_1|CY2023Q3</v>
      </c>
    </row>
    <row r="1026" customFormat="false" ht="15" hidden="false" customHeight="false" outlineLevel="0" collapsed="false">
      <c r="D1026" s="9" t="s">
        <v>105</v>
      </c>
      <c r="E1026" s="9" t="s">
        <v>106</v>
      </c>
      <c r="F1026" s="9" t="s">
        <v>107</v>
      </c>
      <c r="G1026" s="9" t="s">
        <v>141</v>
      </c>
      <c r="H1026" s="9" t="s">
        <v>142</v>
      </c>
      <c r="I1026" s="0" t="s">
        <v>36</v>
      </c>
      <c r="J1026" s="9" t="s">
        <v>37</v>
      </c>
      <c r="K1026" s="9" t="s">
        <v>30</v>
      </c>
      <c r="L1026" s="9" t="s">
        <v>31</v>
      </c>
      <c r="M1026" s="0" t="s">
        <v>140</v>
      </c>
      <c r="N1026" s="0" t="n">
        <v>1248</v>
      </c>
      <c r="O1026" s="10" t="n">
        <v>0.970149982254952</v>
      </c>
      <c r="P1026" s="10" t="n">
        <v>0.218249560333788</v>
      </c>
      <c r="Q1026" s="0" t="str">
        <f aca="false">SUBSTITUTE(SUBSTITUTE($I1026,CHAR(61),""),CHAR(34),"")</f>
        <v>10-14</v>
      </c>
      <c r="R1026" s="0" t="str">
        <f aca="false">IF($D1026&lt;&gt;"","["&amp;$E1026&amp;"]"&amp;"|"&amp;$Q1026&amp;"|"&amp;$K1026&amp;"|"&amp;$G1026&amp;"|"&amp;IF($G1026="TX_CURR_SUBNAT.R","CY2022Q4",$M1026),"")</f>
        <v>[oiPR2CiVJbf]|10-14|Female|HIV_PREV.T_1|CY2023Q3</v>
      </c>
    </row>
    <row r="1027" customFormat="false" ht="15" hidden="false" customHeight="false" outlineLevel="0" collapsed="false">
      <c r="D1027" s="9" t="s">
        <v>105</v>
      </c>
      <c r="E1027" s="9" t="s">
        <v>106</v>
      </c>
      <c r="F1027" s="9" t="s">
        <v>107</v>
      </c>
      <c r="G1027" s="9" t="s">
        <v>141</v>
      </c>
      <c r="H1027" s="9" t="s">
        <v>142</v>
      </c>
      <c r="I1027" s="0" t="s">
        <v>38</v>
      </c>
      <c r="J1027" s="9" t="s">
        <v>39</v>
      </c>
      <c r="K1027" s="9" t="s">
        <v>30</v>
      </c>
      <c r="L1027" s="9" t="s">
        <v>31</v>
      </c>
      <c r="M1027" s="0" t="s">
        <v>140</v>
      </c>
      <c r="N1027" s="0" t="n">
        <v>1019</v>
      </c>
      <c r="O1027" s="10" t="n">
        <v>0.903884213417768</v>
      </c>
      <c r="P1027" s="10" t="n">
        <v>0.218249560333788</v>
      </c>
      <c r="Q1027" s="0" t="str">
        <f aca="false">SUBSTITUTE(SUBSTITUTE($I1027,CHAR(61),""),CHAR(34),"")</f>
        <v>15-24</v>
      </c>
      <c r="R1027" s="0" t="str">
        <f aca="false">IF($D1027&lt;&gt;"","["&amp;$E1027&amp;"]"&amp;"|"&amp;$Q1027&amp;"|"&amp;$K1027&amp;"|"&amp;$G1027&amp;"|"&amp;IF($G1027="TX_CURR_SUBNAT.R","CY2022Q4",$M1027),"")</f>
        <v>[oiPR2CiVJbf]|15-24|Female|HIV_PREV.T_1|CY2023Q3</v>
      </c>
    </row>
    <row r="1028" customFormat="false" ht="15" hidden="false" customHeight="false" outlineLevel="0" collapsed="false">
      <c r="D1028" s="9" t="s">
        <v>105</v>
      </c>
      <c r="E1028" s="9" t="s">
        <v>106</v>
      </c>
      <c r="F1028" s="9" t="s">
        <v>107</v>
      </c>
      <c r="G1028" s="9" t="s">
        <v>141</v>
      </c>
      <c r="H1028" s="9" t="s">
        <v>142</v>
      </c>
      <c r="I1028" s="0" t="s">
        <v>41</v>
      </c>
      <c r="J1028" s="9" t="s">
        <v>42</v>
      </c>
      <c r="K1028" s="9" t="s">
        <v>30</v>
      </c>
      <c r="L1028" s="9" t="s">
        <v>31</v>
      </c>
      <c r="M1028" s="0" t="s">
        <v>140</v>
      </c>
      <c r="N1028" s="0" t="n">
        <v>702</v>
      </c>
      <c r="O1028" s="10" t="n">
        <v>0.707141614053398</v>
      </c>
      <c r="P1028" s="10" t="n">
        <v>0.218249560333788</v>
      </c>
      <c r="Q1028" s="0" t="str">
        <f aca="false">SUBSTITUTE(SUBSTITUTE($I1028,CHAR(61),""),CHAR(34),"")</f>
        <v>25-34</v>
      </c>
      <c r="R1028" s="0" t="str">
        <f aca="false">IF($D1028&lt;&gt;"","["&amp;$E1028&amp;"]"&amp;"|"&amp;$Q1028&amp;"|"&amp;$K1028&amp;"|"&amp;$G1028&amp;"|"&amp;IF($G1028="TX_CURR_SUBNAT.R","CY2022Q4",$M1028),"")</f>
        <v>[oiPR2CiVJbf]|25-34|Female|HIV_PREV.T_1|CY2023Q3</v>
      </c>
    </row>
    <row r="1029" customFormat="false" ht="15" hidden="false" customHeight="false" outlineLevel="0" collapsed="false">
      <c r="D1029" s="9" t="s">
        <v>105</v>
      </c>
      <c r="E1029" s="9" t="s">
        <v>106</v>
      </c>
      <c r="F1029" s="9" t="s">
        <v>107</v>
      </c>
      <c r="G1029" s="9" t="s">
        <v>141</v>
      </c>
      <c r="H1029" s="9" t="s">
        <v>142</v>
      </c>
      <c r="I1029" s="0" t="s">
        <v>43</v>
      </c>
      <c r="J1029" s="9" t="s">
        <v>44</v>
      </c>
      <c r="K1029" s="9" t="s">
        <v>30</v>
      </c>
      <c r="L1029" s="9" t="s">
        <v>31</v>
      </c>
      <c r="M1029" s="0" t="s">
        <v>140</v>
      </c>
      <c r="N1029" s="0" t="n">
        <v>948</v>
      </c>
      <c r="O1029" s="10" t="n">
        <v>0.545242883032188</v>
      </c>
      <c r="P1029" s="10" t="n">
        <v>0.218249560333788</v>
      </c>
      <c r="Q1029" s="0" t="str">
        <f aca="false">SUBSTITUTE(SUBSTITUTE($I1029,CHAR(61),""),CHAR(34),"")</f>
        <v>35-49</v>
      </c>
      <c r="R1029" s="0" t="str">
        <f aca="false">IF($D1029&lt;&gt;"","["&amp;$E1029&amp;"]"&amp;"|"&amp;$Q1029&amp;"|"&amp;$K1029&amp;"|"&amp;$G1029&amp;"|"&amp;IF($G1029="TX_CURR_SUBNAT.R","CY2022Q4",$M1029),"")</f>
        <v>[oiPR2CiVJbf]|35-49|Female|HIV_PREV.T_1|CY2023Q3</v>
      </c>
    </row>
    <row r="1030" customFormat="false" ht="15" hidden="false" customHeight="false" outlineLevel="0" collapsed="false">
      <c r="D1030" s="9" t="s">
        <v>105</v>
      </c>
      <c r="E1030" s="9" t="s">
        <v>106</v>
      </c>
      <c r="F1030" s="9" t="s">
        <v>107</v>
      </c>
      <c r="G1030" s="9" t="s">
        <v>141</v>
      </c>
      <c r="H1030" s="9" t="s">
        <v>142</v>
      </c>
      <c r="I1030" s="0" t="s">
        <v>45</v>
      </c>
      <c r="J1030" s="9" t="s">
        <v>46</v>
      </c>
      <c r="K1030" s="9" t="s">
        <v>30</v>
      </c>
      <c r="L1030" s="9" t="s">
        <v>31</v>
      </c>
      <c r="M1030" s="0" t="s">
        <v>140</v>
      </c>
      <c r="N1030" s="0" t="n">
        <v>1422</v>
      </c>
      <c r="O1030" s="10" t="n">
        <v>0.563302330905572</v>
      </c>
      <c r="P1030" s="10" t="n">
        <v>0.218249560333788</v>
      </c>
      <c r="Q1030" s="0" t="str">
        <f aca="false">SUBSTITUTE(SUBSTITUTE($I1030,CHAR(61),""),CHAR(34),"")</f>
        <v>50+</v>
      </c>
      <c r="R1030" s="0" t="str">
        <f aca="false">IF($D1030&lt;&gt;"","["&amp;$E1030&amp;"]"&amp;"|"&amp;$Q1030&amp;"|"&amp;$K1030&amp;"|"&amp;$G1030&amp;"|"&amp;IF($G1030="TX_CURR_SUBNAT.R","CY2022Q4",$M1030),"")</f>
        <v>[oiPR2CiVJbf]|50+|Female|HIV_PREV.T_1|CY2023Q3</v>
      </c>
    </row>
    <row r="1031" customFormat="false" ht="15" hidden="false" customHeight="false" outlineLevel="0" collapsed="false">
      <c r="D1031" s="9" t="s">
        <v>105</v>
      </c>
      <c r="E1031" s="9" t="s">
        <v>106</v>
      </c>
      <c r="F1031" s="9" t="s">
        <v>107</v>
      </c>
      <c r="G1031" s="9" t="s">
        <v>141</v>
      </c>
      <c r="H1031" s="9" t="s">
        <v>142</v>
      </c>
      <c r="I1031" s="0" t="s">
        <v>28</v>
      </c>
      <c r="J1031" s="9" t="s">
        <v>29</v>
      </c>
      <c r="K1031" s="9" t="s">
        <v>48</v>
      </c>
      <c r="L1031" s="9" t="s">
        <v>49</v>
      </c>
      <c r="M1031" s="0" t="s">
        <v>140</v>
      </c>
      <c r="N1031" s="0" t="n">
        <v>1228</v>
      </c>
      <c r="O1031" s="10" t="n">
        <v>0.28628219012171</v>
      </c>
      <c r="P1031" s="10" t="n">
        <v>0.218249560333788</v>
      </c>
      <c r="Q1031" s="0" t="str">
        <f aca="false">SUBSTITUTE(SUBSTITUTE($I1031,CHAR(61),""),CHAR(34),"")</f>
        <v>&lt;01</v>
      </c>
      <c r="R1031" s="0" t="str">
        <f aca="false">IF($D1031&lt;&gt;"","["&amp;$E1031&amp;"]"&amp;"|"&amp;$Q1031&amp;"|"&amp;$K1031&amp;"|"&amp;$G1031&amp;"|"&amp;IF($G1031="TX_CURR_SUBNAT.R","CY2022Q4",$M1031),"")</f>
        <v>[oiPR2CiVJbf]|&lt;01|Male|HIV_PREV.T_1|CY2023Q3</v>
      </c>
    </row>
    <row r="1032" customFormat="false" ht="15" hidden="false" customHeight="false" outlineLevel="0" collapsed="false">
      <c r="D1032" s="9" t="s">
        <v>105</v>
      </c>
      <c r="E1032" s="9" t="s">
        <v>106</v>
      </c>
      <c r="F1032" s="9" t="s">
        <v>107</v>
      </c>
      <c r="G1032" s="9" t="s">
        <v>141</v>
      </c>
      <c r="H1032" s="9" t="s">
        <v>142</v>
      </c>
      <c r="I1032" s="0" t="s">
        <v>33</v>
      </c>
      <c r="J1032" s="9" t="s">
        <v>34</v>
      </c>
      <c r="K1032" s="9" t="s">
        <v>48</v>
      </c>
      <c r="L1032" s="9" t="s">
        <v>49</v>
      </c>
      <c r="M1032" s="0" t="s">
        <v>140</v>
      </c>
      <c r="N1032" s="0" t="n">
        <v>1874</v>
      </c>
      <c r="O1032" s="10" t="n">
        <v>0.340950356097892</v>
      </c>
      <c r="P1032" s="10" t="n">
        <v>0.218249560333788</v>
      </c>
      <c r="Q1032" s="0" t="str">
        <f aca="false">SUBSTITUTE(SUBSTITUTE($I1032,CHAR(61),""),CHAR(34),"")</f>
        <v>01-09</v>
      </c>
      <c r="R1032" s="0" t="str">
        <f aca="false">IF($D1032&lt;&gt;"","["&amp;$E1032&amp;"]"&amp;"|"&amp;$Q1032&amp;"|"&amp;$K1032&amp;"|"&amp;$G1032&amp;"|"&amp;IF($G1032="TX_CURR_SUBNAT.R","CY2022Q4",$M1032),"")</f>
        <v>[oiPR2CiVJbf]|01-09|Male|HIV_PREV.T_1|CY2023Q3</v>
      </c>
    </row>
    <row r="1033" customFormat="false" ht="15" hidden="false" customHeight="false" outlineLevel="0" collapsed="false">
      <c r="D1033" s="9" t="s">
        <v>105</v>
      </c>
      <c r="E1033" s="9" t="s">
        <v>106</v>
      </c>
      <c r="F1033" s="9" t="s">
        <v>107</v>
      </c>
      <c r="G1033" s="9" t="s">
        <v>141</v>
      </c>
      <c r="H1033" s="9" t="s">
        <v>142</v>
      </c>
      <c r="I1033" s="0" t="s">
        <v>36</v>
      </c>
      <c r="J1033" s="9" t="s">
        <v>37</v>
      </c>
      <c r="K1033" s="9" t="s">
        <v>48</v>
      </c>
      <c r="L1033" s="9" t="s">
        <v>49</v>
      </c>
      <c r="M1033" s="0" t="s">
        <v>140</v>
      </c>
      <c r="N1033" s="0" t="n">
        <v>946</v>
      </c>
      <c r="O1033" s="10" t="n">
        <v>0.509541439823806</v>
      </c>
      <c r="P1033" s="10" t="n">
        <v>0.218249560333788</v>
      </c>
      <c r="Q1033" s="0" t="str">
        <f aca="false">SUBSTITUTE(SUBSTITUTE($I1033,CHAR(61),""),CHAR(34),"")</f>
        <v>10-14</v>
      </c>
      <c r="R1033" s="0" t="str">
        <f aca="false">IF($D1033&lt;&gt;"","["&amp;$E1033&amp;"]"&amp;"|"&amp;$Q1033&amp;"|"&amp;$K1033&amp;"|"&amp;$G1033&amp;"|"&amp;IF($G1033="TX_CURR_SUBNAT.R","CY2022Q4",$M1033),"")</f>
        <v>[oiPR2CiVJbf]|10-14|Male|HIV_PREV.T_1|CY2023Q3</v>
      </c>
    </row>
    <row r="1034" customFormat="false" ht="15" hidden="false" customHeight="false" outlineLevel="0" collapsed="false">
      <c r="D1034" s="9" t="s">
        <v>105</v>
      </c>
      <c r="E1034" s="9" t="s">
        <v>106</v>
      </c>
      <c r="F1034" s="9" t="s">
        <v>107</v>
      </c>
      <c r="G1034" s="9" t="s">
        <v>141</v>
      </c>
      <c r="H1034" s="9" t="s">
        <v>142</v>
      </c>
      <c r="I1034" s="0" t="s">
        <v>38</v>
      </c>
      <c r="J1034" s="9" t="s">
        <v>39</v>
      </c>
      <c r="K1034" s="9" t="s">
        <v>48</v>
      </c>
      <c r="L1034" s="9" t="s">
        <v>49</v>
      </c>
      <c r="M1034" s="0" t="s">
        <v>140</v>
      </c>
      <c r="N1034" s="0" t="n">
        <v>952</v>
      </c>
      <c r="O1034" s="10" t="n">
        <v>0.668607652653009</v>
      </c>
      <c r="P1034" s="10" t="n">
        <v>0.218249560333788</v>
      </c>
      <c r="Q1034" s="0" t="str">
        <f aca="false">SUBSTITUTE(SUBSTITUTE($I1034,CHAR(61),""),CHAR(34),"")</f>
        <v>15-24</v>
      </c>
      <c r="R1034" s="0" t="str">
        <f aca="false">IF($D1034&lt;&gt;"","["&amp;$E1034&amp;"]"&amp;"|"&amp;$Q1034&amp;"|"&amp;$K1034&amp;"|"&amp;$G1034&amp;"|"&amp;IF($G1034="TX_CURR_SUBNAT.R","CY2022Q4",$M1034),"")</f>
        <v>[oiPR2CiVJbf]|15-24|Male|HIV_PREV.T_1|CY2023Q3</v>
      </c>
    </row>
    <row r="1035" customFormat="false" ht="15" hidden="false" customHeight="false" outlineLevel="0" collapsed="false">
      <c r="D1035" s="9" t="s">
        <v>105</v>
      </c>
      <c r="E1035" s="9" t="s">
        <v>106</v>
      </c>
      <c r="F1035" s="9" t="s">
        <v>107</v>
      </c>
      <c r="G1035" s="9" t="s">
        <v>141</v>
      </c>
      <c r="H1035" s="9" t="s">
        <v>142</v>
      </c>
      <c r="I1035" s="0" t="s">
        <v>41</v>
      </c>
      <c r="J1035" s="9" t="s">
        <v>42</v>
      </c>
      <c r="K1035" s="9" t="s">
        <v>48</v>
      </c>
      <c r="L1035" s="9" t="s">
        <v>49</v>
      </c>
      <c r="M1035" s="0" t="s">
        <v>140</v>
      </c>
      <c r="N1035" s="0" t="n">
        <v>1638</v>
      </c>
      <c r="O1035" s="10" t="n">
        <v>0.203858803957701</v>
      </c>
      <c r="P1035" s="10" t="n">
        <v>0.218249560333788</v>
      </c>
      <c r="Q1035" s="0" t="str">
        <f aca="false">SUBSTITUTE(SUBSTITUTE($I1035,CHAR(61),""),CHAR(34),"")</f>
        <v>25-34</v>
      </c>
      <c r="R1035" s="0" t="str">
        <f aca="false">IF($D1035&lt;&gt;"","["&amp;$E1035&amp;"]"&amp;"|"&amp;$Q1035&amp;"|"&amp;$K1035&amp;"|"&amp;$G1035&amp;"|"&amp;IF($G1035="TX_CURR_SUBNAT.R","CY2022Q4",$M1035),"")</f>
        <v>[oiPR2CiVJbf]|25-34|Male|HIV_PREV.T_1|CY2023Q3</v>
      </c>
    </row>
    <row r="1036" customFormat="false" ht="15" hidden="false" customHeight="false" outlineLevel="0" collapsed="false">
      <c r="D1036" s="9" t="s">
        <v>105</v>
      </c>
      <c r="E1036" s="9" t="s">
        <v>106</v>
      </c>
      <c r="F1036" s="9" t="s">
        <v>107</v>
      </c>
      <c r="G1036" s="9" t="s">
        <v>141</v>
      </c>
      <c r="H1036" s="9" t="s">
        <v>142</v>
      </c>
      <c r="I1036" s="0" t="s">
        <v>43</v>
      </c>
      <c r="J1036" s="9" t="s">
        <v>44</v>
      </c>
      <c r="K1036" s="9" t="s">
        <v>48</v>
      </c>
      <c r="L1036" s="9" t="s">
        <v>49</v>
      </c>
      <c r="M1036" s="0" t="s">
        <v>140</v>
      </c>
      <c r="N1036" s="0" t="n">
        <v>679</v>
      </c>
      <c r="O1036" s="10" t="n">
        <v>0.348097561625764</v>
      </c>
      <c r="P1036" s="10" t="n">
        <v>0.218249560333788</v>
      </c>
      <c r="Q1036" s="0" t="str">
        <f aca="false">SUBSTITUTE(SUBSTITUTE($I1036,CHAR(61),""),CHAR(34),"")</f>
        <v>35-49</v>
      </c>
      <c r="R1036" s="0" t="str">
        <f aca="false">IF($D1036&lt;&gt;"","["&amp;$E1036&amp;"]"&amp;"|"&amp;$Q1036&amp;"|"&amp;$K1036&amp;"|"&amp;$G1036&amp;"|"&amp;IF($G1036="TX_CURR_SUBNAT.R","CY2022Q4",$M1036),"")</f>
        <v>[oiPR2CiVJbf]|35-49|Male|HIV_PREV.T_1|CY2023Q3</v>
      </c>
    </row>
    <row r="1037" customFormat="false" ht="15" hidden="false" customHeight="false" outlineLevel="0" collapsed="false">
      <c r="D1037" s="9" t="s">
        <v>105</v>
      </c>
      <c r="E1037" s="9" t="s">
        <v>106</v>
      </c>
      <c r="F1037" s="9" t="s">
        <v>107</v>
      </c>
      <c r="G1037" s="9" t="s">
        <v>141</v>
      </c>
      <c r="H1037" s="9" t="s">
        <v>142</v>
      </c>
      <c r="I1037" s="0" t="s">
        <v>45</v>
      </c>
      <c r="J1037" s="9" t="s">
        <v>46</v>
      </c>
      <c r="K1037" s="9" t="s">
        <v>48</v>
      </c>
      <c r="L1037" s="9" t="s">
        <v>49</v>
      </c>
      <c r="M1037" s="0" t="s">
        <v>140</v>
      </c>
      <c r="N1037" s="0" t="n">
        <v>873</v>
      </c>
      <c r="O1037" s="10" t="n">
        <v>0.665169187355787</v>
      </c>
      <c r="P1037" s="10" t="n">
        <v>0.218249560333788</v>
      </c>
      <c r="Q1037" s="0" t="str">
        <f aca="false">SUBSTITUTE(SUBSTITUTE($I1037,CHAR(61),""),CHAR(34),"")</f>
        <v>50+</v>
      </c>
      <c r="R1037" s="0" t="str">
        <f aca="false">IF($D1037&lt;&gt;"","["&amp;$E1037&amp;"]"&amp;"|"&amp;$Q1037&amp;"|"&amp;$K1037&amp;"|"&amp;$G1037&amp;"|"&amp;IF($G1037="TX_CURR_SUBNAT.R","CY2022Q4",$M1037),"")</f>
        <v>[oiPR2CiVJbf]|50+|Male|HIV_PREV.T_1|CY2023Q3</v>
      </c>
    </row>
    <row r="1038" customFormat="false" ht="15" hidden="false" customHeight="false" outlineLevel="0" collapsed="false">
      <c r="D1038" s="9" t="s">
        <v>108</v>
      </c>
      <c r="E1038" s="9" t="s">
        <v>109</v>
      </c>
      <c r="F1038" s="9" t="s">
        <v>110</v>
      </c>
      <c r="G1038" s="9" t="s">
        <v>141</v>
      </c>
      <c r="H1038" s="9" t="s">
        <v>142</v>
      </c>
      <c r="I1038" s="0" t="s">
        <v>28</v>
      </c>
      <c r="J1038" s="9" t="s">
        <v>29</v>
      </c>
      <c r="K1038" s="9" t="s">
        <v>30</v>
      </c>
      <c r="L1038" s="9" t="s">
        <v>31</v>
      </c>
      <c r="M1038" s="0" t="s">
        <v>140</v>
      </c>
      <c r="N1038" s="0" t="n">
        <v>1228</v>
      </c>
      <c r="O1038" s="10" t="n">
        <v>0.0972590956371278</v>
      </c>
      <c r="P1038" s="10" t="n">
        <v>0.434221804374829</v>
      </c>
      <c r="Q1038" s="0" t="str">
        <f aca="false">SUBSTITUTE(SUBSTITUTE($I1038,CHAR(61),""),CHAR(34),"")</f>
        <v>&lt;01</v>
      </c>
      <c r="R1038" s="0" t="str">
        <f aca="false">IF($D1038&lt;&gt;"","["&amp;$E1038&amp;"]"&amp;"|"&amp;$Q1038&amp;"|"&amp;$K1038&amp;"|"&amp;$G1038&amp;"|"&amp;IF($G1038="TX_CURR_SUBNAT.R","CY2022Q4",$M1038),"")</f>
        <v>[ul0y9diGujK]|&lt;01|Female|HIV_PREV.T_1|CY2023Q3</v>
      </c>
    </row>
    <row r="1039" customFormat="false" ht="15" hidden="false" customHeight="false" outlineLevel="0" collapsed="false">
      <c r="D1039" s="9" t="s">
        <v>108</v>
      </c>
      <c r="E1039" s="9" t="s">
        <v>109</v>
      </c>
      <c r="F1039" s="9" t="s">
        <v>110</v>
      </c>
      <c r="G1039" s="9" t="s">
        <v>141</v>
      </c>
      <c r="H1039" s="9" t="s">
        <v>142</v>
      </c>
      <c r="I1039" s="0" t="s">
        <v>33</v>
      </c>
      <c r="J1039" s="9" t="s">
        <v>34</v>
      </c>
      <c r="K1039" s="9" t="s">
        <v>30</v>
      </c>
      <c r="L1039" s="9" t="s">
        <v>31</v>
      </c>
      <c r="M1039" s="0" t="s">
        <v>140</v>
      </c>
      <c r="N1039" s="0" t="n">
        <v>896</v>
      </c>
      <c r="O1039" s="10" t="n">
        <v>0.985697154421359</v>
      </c>
      <c r="P1039" s="10" t="n">
        <v>0.434221804374829</v>
      </c>
      <c r="Q1039" s="0" t="str">
        <f aca="false">SUBSTITUTE(SUBSTITUTE($I1039,CHAR(61),""),CHAR(34),"")</f>
        <v>01-09</v>
      </c>
      <c r="R1039" s="0" t="str">
        <f aca="false">IF($D1039&lt;&gt;"","["&amp;$E1039&amp;"]"&amp;"|"&amp;$Q1039&amp;"|"&amp;$K1039&amp;"|"&amp;$G1039&amp;"|"&amp;IF($G1039="TX_CURR_SUBNAT.R","CY2022Q4",$M1039),"")</f>
        <v>[ul0y9diGujK]|01-09|Female|HIV_PREV.T_1|CY2023Q3</v>
      </c>
    </row>
    <row r="1040" customFormat="false" ht="15" hidden="false" customHeight="false" outlineLevel="0" collapsed="false">
      <c r="D1040" s="9" t="s">
        <v>108</v>
      </c>
      <c r="E1040" s="9" t="s">
        <v>109</v>
      </c>
      <c r="F1040" s="9" t="s">
        <v>110</v>
      </c>
      <c r="G1040" s="9" t="s">
        <v>141</v>
      </c>
      <c r="H1040" s="9" t="s">
        <v>142</v>
      </c>
      <c r="I1040" s="0" t="s">
        <v>36</v>
      </c>
      <c r="J1040" s="9" t="s">
        <v>37</v>
      </c>
      <c r="K1040" s="9" t="s">
        <v>30</v>
      </c>
      <c r="L1040" s="9" t="s">
        <v>31</v>
      </c>
      <c r="M1040" s="0" t="s">
        <v>140</v>
      </c>
      <c r="N1040" s="0" t="n">
        <v>1415</v>
      </c>
      <c r="O1040" s="10" t="n">
        <v>0.108643579529598</v>
      </c>
      <c r="P1040" s="10" t="n">
        <v>0.434221804374829</v>
      </c>
      <c r="Q1040" s="0" t="str">
        <f aca="false">SUBSTITUTE(SUBSTITUTE($I1040,CHAR(61),""),CHAR(34),"")</f>
        <v>10-14</v>
      </c>
      <c r="R1040" s="0" t="str">
        <f aca="false">IF($D1040&lt;&gt;"","["&amp;$E1040&amp;"]"&amp;"|"&amp;$Q1040&amp;"|"&amp;$K1040&amp;"|"&amp;$G1040&amp;"|"&amp;IF($G1040="TX_CURR_SUBNAT.R","CY2022Q4",$M1040),"")</f>
        <v>[ul0y9diGujK]|10-14|Female|HIV_PREV.T_1|CY2023Q3</v>
      </c>
    </row>
    <row r="1041" customFormat="false" ht="15" hidden="false" customHeight="false" outlineLevel="0" collapsed="false">
      <c r="D1041" s="9" t="s">
        <v>108</v>
      </c>
      <c r="E1041" s="9" t="s">
        <v>109</v>
      </c>
      <c r="F1041" s="9" t="s">
        <v>110</v>
      </c>
      <c r="G1041" s="9" t="s">
        <v>141</v>
      </c>
      <c r="H1041" s="9" t="s">
        <v>142</v>
      </c>
      <c r="I1041" s="0" t="s">
        <v>38</v>
      </c>
      <c r="J1041" s="9" t="s">
        <v>39</v>
      </c>
      <c r="K1041" s="9" t="s">
        <v>30</v>
      </c>
      <c r="L1041" s="9" t="s">
        <v>31</v>
      </c>
      <c r="M1041" s="0" t="s">
        <v>140</v>
      </c>
      <c r="N1041" s="0" t="n">
        <v>1338</v>
      </c>
      <c r="O1041" s="10" t="n">
        <v>0.6241737047676</v>
      </c>
      <c r="P1041" s="10" t="n">
        <v>0.434221804374829</v>
      </c>
      <c r="Q1041" s="0" t="str">
        <f aca="false">SUBSTITUTE(SUBSTITUTE($I1041,CHAR(61),""),CHAR(34),"")</f>
        <v>15-24</v>
      </c>
      <c r="R1041" s="0" t="str">
        <f aca="false">IF($D1041&lt;&gt;"","["&amp;$E1041&amp;"]"&amp;"|"&amp;$Q1041&amp;"|"&amp;$K1041&amp;"|"&amp;$G1041&amp;"|"&amp;IF($G1041="TX_CURR_SUBNAT.R","CY2022Q4",$M1041),"")</f>
        <v>[ul0y9diGujK]|15-24|Female|HIV_PREV.T_1|CY2023Q3</v>
      </c>
    </row>
    <row r="1042" customFormat="false" ht="15" hidden="false" customHeight="false" outlineLevel="0" collapsed="false">
      <c r="D1042" s="9" t="s">
        <v>108</v>
      </c>
      <c r="E1042" s="9" t="s">
        <v>109</v>
      </c>
      <c r="F1042" s="9" t="s">
        <v>110</v>
      </c>
      <c r="G1042" s="9" t="s">
        <v>141</v>
      </c>
      <c r="H1042" s="9" t="s">
        <v>142</v>
      </c>
      <c r="I1042" s="0" t="s">
        <v>41</v>
      </c>
      <c r="J1042" s="9" t="s">
        <v>42</v>
      </c>
      <c r="K1042" s="9" t="s">
        <v>30</v>
      </c>
      <c r="L1042" s="9" t="s">
        <v>31</v>
      </c>
      <c r="M1042" s="0" t="s">
        <v>140</v>
      </c>
      <c r="N1042" s="0" t="n">
        <v>1486</v>
      </c>
      <c r="O1042" s="10" t="n">
        <v>0.49289034307003</v>
      </c>
      <c r="P1042" s="10" t="n">
        <v>0.434221804374829</v>
      </c>
      <c r="Q1042" s="0" t="str">
        <f aca="false">SUBSTITUTE(SUBSTITUTE($I1042,CHAR(61),""),CHAR(34),"")</f>
        <v>25-34</v>
      </c>
      <c r="R1042" s="0" t="str">
        <f aca="false">IF($D1042&lt;&gt;"","["&amp;$E1042&amp;"]"&amp;"|"&amp;$Q1042&amp;"|"&amp;$K1042&amp;"|"&amp;$G1042&amp;"|"&amp;IF($G1042="TX_CURR_SUBNAT.R","CY2022Q4",$M1042),"")</f>
        <v>[ul0y9diGujK]|25-34|Female|HIV_PREV.T_1|CY2023Q3</v>
      </c>
    </row>
    <row r="1043" customFormat="false" ht="15" hidden="false" customHeight="false" outlineLevel="0" collapsed="false">
      <c r="D1043" s="9" t="s">
        <v>108</v>
      </c>
      <c r="E1043" s="9" t="s">
        <v>109</v>
      </c>
      <c r="F1043" s="9" t="s">
        <v>110</v>
      </c>
      <c r="G1043" s="9" t="s">
        <v>141</v>
      </c>
      <c r="H1043" s="9" t="s">
        <v>142</v>
      </c>
      <c r="I1043" s="0" t="s">
        <v>43</v>
      </c>
      <c r="J1043" s="9" t="s">
        <v>44</v>
      </c>
      <c r="K1043" s="9" t="s">
        <v>30</v>
      </c>
      <c r="L1043" s="9" t="s">
        <v>31</v>
      </c>
      <c r="M1043" s="0" t="s">
        <v>140</v>
      </c>
      <c r="N1043" s="0" t="n">
        <v>1695</v>
      </c>
      <c r="O1043" s="10" t="n">
        <v>0.445284737506881</v>
      </c>
      <c r="P1043" s="10" t="n">
        <v>0.434221804374829</v>
      </c>
      <c r="Q1043" s="0" t="str">
        <f aca="false">SUBSTITUTE(SUBSTITUTE($I1043,CHAR(61),""),CHAR(34),"")</f>
        <v>35-49</v>
      </c>
      <c r="R1043" s="0" t="str">
        <f aca="false">IF($D1043&lt;&gt;"","["&amp;$E1043&amp;"]"&amp;"|"&amp;$Q1043&amp;"|"&amp;$K1043&amp;"|"&amp;$G1043&amp;"|"&amp;IF($G1043="TX_CURR_SUBNAT.R","CY2022Q4",$M1043),"")</f>
        <v>[ul0y9diGujK]|35-49|Female|HIV_PREV.T_1|CY2023Q3</v>
      </c>
    </row>
    <row r="1044" customFormat="false" ht="15" hidden="false" customHeight="false" outlineLevel="0" collapsed="false">
      <c r="D1044" s="9" t="s">
        <v>108</v>
      </c>
      <c r="E1044" s="9" t="s">
        <v>109</v>
      </c>
      <c r="F1044" s="9" t="s">
        <v>110</v>
      </c>
      <c r="G1044" s="9" t="s">
        <v>141</v>
      </c>
      <c r="H1044" s="9" t="s">
        <v>142</v>
      </c>
      <c r="I1044" s="0" t="s">
        <v>45</v>
      </c>
      <c r="J1044" s="9" t="s">
        <v>46</v>
      </c>
      <c r="K1044" s="9" t="s">
        <v>30</v>
      </c>
      <c r="L1044" s="9" t="s">
        <v>31</v>
      </c>
      <c r="M1044" s="0" t="s">
        <v>140</v>
      </c>
      <c r="N1044" s="0" t="n">
        <v>1323</v>
      </c>
      <c r="O1044" s="10" t="n">
        <v>0.592974343104288</v>
      </c>
      <c r="P1044" s="10" t="n">
        <v>0.434221804374829</v>
      </c>
      <c r="Q1044" s="0" t="str">
        <f aca="false">SUBSTITUTE(SUBSTITUTE($I1044,CHAR(61),""),CHAR(34),"")</f>
        <v>50+</v>
      </c>
      <c r="R1044" s="0" t="str">
        <f aca="false">IF($D1044&lt;&gt;"","["&amp;$E1044&amp;"]"&amp;"|"&amp;$Q1044&amp;"|"&amp;$K1044&amp;"|"&amp;$G1044&amp;"|"&amp;IF($G1044="TX_CURR_SUBNAT.R","CY2022Q4",$M1044),"")</f>
        <v>[ul0y9diGujK]|50+|Female|HIV_PREV.T_1|CY2023Q3</v>
      </c>
    </row>
    <row r="1045" customFormat="false" ht="15" hidden="false" customHeight="false" outlineLevel="0" collapsed="false">
      <c r="D1045" s="9" t="s">
        <v>108</v>
      </c>
      <c r="E1045" s="9" t="s">
        <v>109</v>
      </c>
      <c r="F1045" s="9" t="s">
        <v>110</v>
      </c>
      <c r="G1045" s="9" t="s">
        <v>141</v>
      </c>
      <c r="H1045" s="9" t="s">
        <v>142</v>
      </c>
      <c r="I1045" s="0" t="s">
        <v>28</v>
      </c>
      <c r="J1045" s="9" t="s">
        <v>29</v>
      </c>
      <c r="K1045" s="9" t="s">
        <v>48</v>
      </c>
      <c r="L1045" s="9" t="s">
        <v>49</v>
      </c>
      <c r="M1045" s="0" t="s">
        <v>140</v>
      </c>
      <c r="N1045" s="0" t="n">
        <v>717</v>
      </c>
      <c r="O1045" s="10" t="n">
        <v>0.381407459732145</v>
      </c>
      <c r="P1045" s="10" t="n">
        <v>0.434221804374829</v>
      </c>
      <c r="Q1045" s="0" t="str">
        <f aca="false">SUBSTITUTE(SUBSTITUTE($I1045,CHAR(61),""),CHAR(34),"")</f>
        <v>&lt;01</v>
      </c>
      <c r="R1045" s="0" t="str">
        <f aca="false">IF($D1045&lt;&gt;"","["&amp;$E1045&amp;"]"&amp;"|"&amp;$Q1045&amp;"|"&amp;$K1045&amp;"|"&amp;$G1045&amp;"|"&amp;IF($G1045="TX_CURR_SUBNAT.R","CY2022Q4",$M1045),"")</f>
        <v>[ul0y9diGujK]|&lt;01|Male|HIV_PREV.T_1|CY2023Q3</v>
      </c>
    </row>
    <row r="1046" customFormat="false" ht="15" hidden="false" customHeight="false" outlineLevel="0" collapsed="false">
      <c r="D1046" s="9" t="s">
        <v>108</v>
      </c>
      <c r="E1046" s="9" t="s">
        <v>109</v>
      </c>
      <c r="F1046" s="9" t="s">
        <v>110</v>
      </c>
      <c r="G1046" s="9" t="s">
        <v>141</v>
      </c>
      <c r="H1046" s="9" t="s">
        <v>142</v>
      </c>
      <c r="I1046" s="0" t="s">
        <v>33</v>
      </c>
      <c r="J1046" s="9" t="s">
        <v>34</v>
      </c>
      <c r="K1046" s="9" t="s">
        <v>48</v>
      </c>
      <c r="L1046" s="9" t="s">
        <v>49</v>
      </c>
      <c r="M1046" s="0" t="s">
        <v>140</v>
      </c>
      <c r="N1046" s="0" t="n">
        <v>603</v>
      </c>
      <c r="O1046" s="10" t="n">
        <v>0.789714652812108</v>
      </c>
      <c r="P1046" s="10" t="n">
        <v>0.434221804374829</v>
      </c>
      <c r="Q1046" s="0" t="str">
        <f aca="false">SUBSTITUTE(SUBSTITUTE($I1046,CHAR(61),""),CHAR(34),"")</f>
        <v>01-09</v>
      </c>
      <c r="R1046" s="0" t="str">
        <f aca="false">IF($D1046&lt;&gt;"","["&amp;$E1046&amp;"]"&amp;"|"&amp;$Q1046&amp;"|"&amp;$K1046&amp;"|"&amp;$G1046&amp;"|"&amp;IF($G1046="TX_CURR_SUBNAT.R","CY2022Q4",$M1046),"")</f>
        <v>[ul0y9diGujK]|01-09|Male|HIV_PREV.T_1|CY2023Q3</v>
      </c>
    </row>
    <row r="1047" customFormat="false" ht="15" hidden="false" customHeight="false" outlineLevel="0" collapsed="false">
      <c r="D1047" s="9" t="s">
        <v>108</v>
      </c>
      <c r="E1047" s="9" t="s">
        <v>109</v>
      </c>
      <c r="F1047" s="9" t="s">
        <v>110</v>
      </c>
      <c r="G1047" s="9" t="s">
        <v>141</v>
      </c>
      <c r="H1047" s="9" t="s">
        <v>142</v>
      </c>
      <c r="I1047" s="0" t="s">
        <v>36</v>
      </c>
      <c r="J1047" s="9" t="s">
        <v>37</v>
      </c>
      <c r="K1047" s="9" t="s">
        <v>48</v>
      </c>
      <c r="L1047" s="9" t="s">
        <v>49</v>
      </c>
      <c r="M1047" s="0" t="s">
        <v>140</v>
      </c>
      <c r="N1047" s="0" t="n">
        <v>1673</v>
      </c>
      <c r="O1047" s="10" t="n">
        <v>0.848958156770095</v>
      </c>
      <c r="P1047" s="10" t="n">
        <v>0.434221804374829</v>
      </c>
      <c r="Q1047" s="0" t="str">
        <f aca="false">SUBSTITUTE(SUBSTITUTE($I1047,CHAR(61),""),CHAR(34),"")</f>
        <v>10-14</v>
      </c>
      <c r="R1047" s="0" t="str">
        <f aca="false">IF($D1047&lt;&gt;"","["&amp;$E1047&amp;"]"&amp;"|"&amp;$Q1047&amp;"|"&amp;$K1047&amp;"|"&amp;$G1047&amp;"|"&amp;IF($G1047="TX_CURR_SUBNAT.R","CY2022Q4",$M1047),"")</f>
        <v>[ul0y9diGujK]|10-14|Male|HIV_PREV.T_1|CY2023Q3</v>
      </c>
    </row>
    <row r="1048" customFormat="false" ht="15" hidden="false" customHeight="false" outlineLevel="0" collapsed="false">
      <c r="D1048" s="9" t="s">
        <v>108</v>
      </c>
      <c r="E1048" s="9" t="s">
        <v>109</v>
      </c>
      <c r="F1048" s="9" t="s">
        <v>110</v>
      </c>
      <c r="G1048" s="9" t="s">
        <v>141</v>
      </c>
      <c r="H1048" s="9" t="s">
        <v>142</v>
      </c>
      <c r="I1048" s="0" t="s">
        <v>38</v>
      </c>
      <c r="J1048" s="9" t="s">
        <v>39</v>
      </c>
      <c r="K1048" s="9" t="s">
        <v>48</v>
      </c>
      <c r="L1048" s="9" t="s">
        <v>49</v>
      </c>
      <c r="M1048" s="0" t="s">
        <v>140</v>
      </c>
      <c r="N1048" s="0" t="n">
        <v>1846</v>
      </c>
      <c r="O1048" s="10" t="n">
        <v>0.821720708394423</v>
      </c>
      <c r="P1048" s="10" t="n">
        <v>0.434221804374829</v>
      </c>
      <c r="Q1048" s="0" t="str">
        <f aca="false">SUBSTITUTE(SUBSTITUTE($I1048,CHAR(61),""),CHAR(34),"")</f>
        <v>15-24</v>
      </c>
      <c r="R1048" s="0" t="str">
        <f aca="false">IF($D1048&lt;&gt;"","["&amp;$E1048&amp;"]"&amp;"|"&amp;$Q1048&amp;"|"&amp;$K1048&amp;"|"&amp;$G1048&amp;"|"&amp;IF($G1048="TX_CURR_SUBNAT.R","CY2022Q4",$M1048),"")</f>
        <v>[ul0y9diGujK]|15-24|Male|HIV_PREV.T_1|CY2023Q3</v>
      </c>
    </row>
    <row r="1049" customFormat="false" ht="15" hidden="false" customHeight="false" outlineLevel="0" collapsed="false">
      <c r="D1049" s="9" t="s">
        <v>108</v>
      </c>
      <c r="E1049" s="9" t="s">
        <v>109</v>
      </c>
      <c r="F1049" s="9" t="s">
        <v>110</v>
      </c>
      <c r="G1049" s="9" t="s">
        <v>141</v>
      </c>
      <c r="H1049" s="9" t="s">
        <v>142</v>
      </c>
      <c r="I1049" s="0" t="s">
        <v>41</v>
      </c>
      <c r="J1049" s="9" t="s">
        <v>42</v>
      </c>
      <c r="K1049" s="9" t="s">
        <v>48</v>
      </c>
      <c r="L1049" s="9" t="s">
        <v>49</v>
      </c>
      <c r="M1049" s="0" t="s">
        <v>140</v>
      </c>
      <c r="N1049" s="0" t="n">
        <v>1963</v>
      </c>
      <c r="O1049" s="10" t="n">
        <v>0.655618644552305</v>
      </c>
      <c r="P1049" s="10" t="n">
        <v>0.434221804374829</v>
      </c>
      <c r="Q1049" s="0" t="str">
        <f aca="false">SUBSTITUTE(SUBSTITUTE($I1049,CHAR(61),""),CHAR(34),"")</f>
        <v>25-34</v>
      </c>
      <c r="R1049" s="0" t="str">
        <f aca="false">IF($D1049&lt;&gt;"","["&amp;$E1049&amp;"]"&amp;"|"&amp;$Q1049&amp;"|"&amp;$K1049&amp;"|"&amp;$G1049&amp;"|"&amp;IF($G1049="TX_CURR_SUBNAT.R","CY2022Q4",$M1049),"")</f>
        <v>[ul0y9diGujK]|25-34|Male|HIV_PREV.T_1|CY2023Q3</v>
      </c>
    </row>
    <row r="1050" customFormat="false" ht="15" hidden="false" customHeight="false" outlineLevel="0" collapsed="false">
      <c r="D1050" s="9" t="s">
        <v>108</v>
      </c>
      <c r="E1050" s="9" t="s">
        <v>109</v>
      </c>
      <c r="F1050" s="9" t="s">
        <v>110</v>
      </c>
      <c r="G1050" s="9" t="s">
        <v>141</v>
      </c>
      <c r="H1050" s="9" t="s">
        <v>142</v>
      </c>
      <c r="I1050" s="0" t="s">
        <v>43</v>
      </c>
      <c r="J1050" s="9" t="s">
        <v>44</v>
      </c>
      <c r="K1050" s="9" t="s">
        <v>48</v>
      </c>
      <c r="L1050" s="9" t="s">
        <v>49</v>
      </c>
      <c r="M1050" s="0" t="s">
        <v>140</v>
      </c>
      <c r="N1050" s="0" t="n">
        <v>1812</v>
      </c>
      <c r="O1050" s="10" t="n">
        <v>0.247044793795794</v>
      </c>
      <c r="P1050" s="10" t="n">
        <v>0.434221804374829</v>
      </c>
      <c r="Q1050" s="0" t="str">
        <f aca="false">SUBSTITUTE(SUBSTITUTE($I1050,CHAR(61),""),CHAR(34),"")</f>
        <v>35-49</v>
      </c>
      <c r="R1050" s="0" t="str">
        <f aca="false">IF($D1050&lt;&gt;"","["&amp;$E1050&amp;"]"&amp;"|"&amp;$Q1050&amp;"|"&amp;$K1050&amp;"|"&amp;$G1050&amp;"|"&amp;IF($G1050="TX_CURR_SUBNAT.R","CY2022Q4",$M1050),"")</f>
        <v>[ul0y9diGujK]|35-49|Male|HIV_PREV.T_1|CY2023Q3</v>
      </c>
    </row>
    <row r="1051" customFormat="false" ht="15" hidden="false" customHeight="false" outlineLevel="0" collapsed="false">
      <c r="D1051" s="9" t="s">
        <v>108</v>
      </c>
      <c r="E1051" s="9" t="s">
        <v>109</v>
      </c>
      <c r="F1051" s="9" t="s">
        <v>110</v>
      </c>
      <c r="G1051" s="9" t="s">
        <v>141</v>
      </c>
      <c r="H1051" s="9" t="s">
        <v>142</v>
      </c>
      <c r="I1051" s="0" t="s">
        <v>45</v>
      </c>
      <c r="J1051" s="9" t="s">
        <v>46</v>
      </c>
      <c r="K1051" s="9" t="s">
        <v>48</v>
      </c>
      <c r="L1051" s="9" t="s">
        <v>49</v>
      </c>
      <c r="M1051" s="0" t="s">
        <v>140</v>
      </c>
      <c r="N1051" s="0" t="n">
        <v>967</v>
      </c>
      <c r="O1051" s="10" t="n">
        <v>0.277786299353465</v>
      </c>
      <c r="P1051" s="10" t="n">
        <v>0.434221804374829</v>
      </c>
      <c r="Q1051" s="0" t="str">
        <f aca="false">SUBSTITUTE(SUBSTITUTE($I1051,CHAR(61),""),CHAR(34),"")</f>
        <v>50+</v>
      </c>
      <c r="R1051" s="0" t="str">
        <f aca="false">IF($D1051&lt;&gt;"","["&amp;$E1051&amp;"]"&amp;"|"&amp;$Q1051&amp;"|"&amp;$K1051&amp;"|"&amp;$G1051&amp;"|"&amp;IF($G1051="TX_CURR_SUBNAT.R","CY2022Q4",$M1051),"")</f>
        <v>[ul0y9diGujK]|50+|Male|HIV_PREV.T_1|CY2023Q3</v>
      </c>
    </row>
    <row r="1052" customFormat="false" ht="15" hidden="false" customHeight="false" outlineLevel="0" collapsed="false">
      <c r="D1052" s="9" t="s">
        <v>111</v>
      </c>
      <c r="E1052" s="9" t="s">
        <v>112</v>
      </c>
      <c r="F1052" s="9" t="s">
        <v>113</v>
      </c>
      <c r="G1052" s="9" t="s">
        <v>141</v>
      </c>
      <c r="H1052" s="9" t="s">
        <v>142</v>
      </c>
      <c r="I1052" s="0" t="s">
        <v>28</v>
      </c>
      <c r="J1052" s="9" t="s">
        <v>29</v>
      </c>
      <c r="K1052" s="9" t="s">
        <v>30</v>
      </c>
      <c r="L1052" s="9" t="s">
        <v>31</v>
      </c>
      <c r="M1052" s="0" t="s">
        <v>140</v>
      </c>
      <c r="N1052" s="0" t="n">
        <v>990</v>
      </c>
      <c r="O1052" s="10" t="n">
        <v>0.861958343768492</v>
      </c>
      <c r="P1052" s="10" t="n">
        <v>0.337768794968724</v>
      </c>
      <c r="Q1052" s="0" t="str">
        <f aca="false">SUBSTITUTE(SUBSTITUTE($I1052,CHAR(61),""),CHAR(34),"")</f>
        <v>&lt;01</v>
      </c>
      <c r="R1052" s="0" t="str">
        <f aca="false">IF($D1052&lt;&gt;"","["&amp;$E1052&amp;"]"&amp;"|"&amp;$Q1052&amp;"|"&amp;$K1052&amp;"|"&amp;$G1052&amp;"|"&amp;IF($G1052="TX_CURR_SUBNAT.R","CY2022Q4",$M1052),"")</f>
        <v>[U8c0so51kT6]|&lt;01|Female|HIV_PREV.T_1|CY2023Q3</v>
      </c>
    </row>
    <row r="1053" customFormat="false" ht="15" hidden="false" customHeight="false" outlineLevel="0" collapsed="false">
      <c r="D1053" s="9" t="s">
        <v>111</v>
      </c>
      <c r="E1053" s="9" t="s">
        <v>112</v>
      </c>
      <c r="F1053" s="9" t="s">
        <v>113</v>
      </c>
      <c r="G1053" s="9" t="s">
        <v>141</v>
      </c>
      <c r="H1053" s="9" t="s">
        <v>142</v>
      </c>
      <c r="I1053" s="0" t="s">
        <v>33</v>
      </c>
      <c r="J1053" s="9" t="s">
        <v>34</v>
      </c>
      <c r="K1053" s="9" t="s">
        <v>30</v>
      </c>
      <c r="L1053" s="9" t="s">
        <v>31</v>
      </c>
      <c r="M1053" s="0" t="s">
        <v>140</v>
      </c>
      <c r="N1053" s="0" t="n">
        <v>553</v>
      </c>
      <c r="O1053" s="10" t="n">
        <v>0.341493499232456</v>
      </c>
      <c r="P1053" s="10" t="n">
        <v>0.337768794968724</v>
      </c>
      <c r="Q1053" s="0" t="str">
        <f aca="false">SUBSTITUTE(SUBSTITUTE($I1053,CHAR(61),""),CHAR(34),"")</f>
        <v>01-09</v>
      </c>
      <c r="R1053" s="0" t="str">
        <f aca="false">IF($D1053&lt;&gt;"","["&amp;$E1053&amp;"]"&amp;"|"&amp;$Q1053&amp;"|"&amp;$K1053&amp;"|"&amp;$G1053&amp;"|"&amp;IF($G1053="TX_CURR_SUBNAT.R","CY2022Q4",$M1053),"")</f>
        <v>[U8c0so51kT6]|01-09|Female|HIV_PREV.T_1|CY2023Q3</v>
      </c>
    </row>
    <row r="1054" customFormat="false" ht="15" hidden="false" customHeight="false" outlineLevel="0" collapsed="false">
      <c r="D1054" s="9" t="s">
        <v>111</v>
      </c>
      <c r="E1054" s="9" t="s">
        <v>112</v>
      </c>
      <c r="F1054" s="9" t="s">
        <v>113</v>
      </c>
      <c r="G1054" s="9" t="s">
        <v>141</v>
      </c>
      <c r="H1054" s="9" t="s">
        <v>142</v>
      </c>
      <c r="I1054" s="0" t="s">
        <v>36</v>
      </c>
      <c r="J1054" s="9" t="s">
        <v>37</v>
      </c>
      <c r="K1054" s="9" t="s">
        <v>30</v>
      </c>
      <c r="L1054" s="9" t="s">
        <v>31</v>
      </c>
      <c r="M1054" s="0" t="s">
        <v>140</v>
      </c>
      <c r="N1054" s="0" t="n">
        <v>1531</v>
      </c>
      <c r="O1054" s="10" t="n">
        <v>0.253242743201554</v>
      </c>
      <c r="P1054" s="10" t="n">
        <v>0.337768794968724</v>
      </c>
      <c r="Q1054" s="0" t="str">
        <f aca="false">SUBSTITUTE(SUBSTITUTE($I1054,CHAR(61),""),CHAR(34),"")</f>
        <v>10-14</v>
      </c>
      <c r="R1054" s="0" t="str">
        <f aca="false">IF($D1054&lt;&gt;"","["&amp;$E1054&amp;"]"&amp;"|"&amp;$Q1054&amp;"|"&amp;$K1054&amp;"|"&amp;$G1054&amp;"|"&amp;IF($G1054="TX_CURR_SUBNAT.R","CY2022Q4",$M1054),"")</f>
        <v>[U8c0so51kT6]|10-14|Female|HIV_PREV.T_1|CY2023Q3</v>
      </c>
    </row>
    <row r="1055" customFormat="false" ht="15" hidden="false" customHeight="false" outlineLevel="0" collapsed="false">
      <c r="D1055" s="9" t="s">
        <v>111</v>
      </c>
      <c r="E1055" s="9" t="s">
        <v>112</v>
      </c>
      <c r="F1055" s="9" t="s">
        <v>113</v>
      </c>
      <c r="G1055" s="9" t="s">
        <v>141</v>
      </c>
      <c r="H1055" s="9" t="s">
        <v>142</v>
      </c>
      <c r="I1055" s="0" t="s">
        <v>38</v>
      </c>
      <c r="J1055" s="9" t="s">
        <v>39</v>
      </c>
      <c r="K1055" s="9" t="s">
        <v>30</v>
      </c>
      <c r="L1055" s="9" t="s">
        <v>31</v>
      </c>
      <c r="M1055" s="0" t="s">
        <v>140</v>
      </c>
      <c r="N1055" s="0" t="n">
        <v>956</v>
      </c>
      <c r="O1055" s="10" t="n">
        <v>0.453676558798179</v>
      </c>
      <c r="P1055" s="10" t="n">
        <v>0.337768794968724</v>
      </c>
      <c r="Q1055" s="0" t="str">
        <f aca="false">SUBSTITUTE(SUBSTITUTE($I1055,CHAR(61),""),CHAR(34),"")</f>
        <v>15-24</v>
      </c>
      <c r="R1055" s="0" t="str">
        <f aca="false">IF($D1055&lt;&gt;"","["&amp;$E1055&amp;"]"&amp;"|"&amp;$Q1055&amp;"|"&amp;$K1055&amp;"|"&amp;$G1055&amp;"|"&amp;IF($G1055="TX_CURR_SUBNAT.R","CY2022Q4",$M1055),"")</f>
        <v>[U8c0so51kT6]|15-24|Female|HIV_PREV.T_1|CY2023Q3</v>
      </c>
    </row>
    <row r="1056" customFormat="false" ht="15" hidden="false" customHeight="false" outlineLevel="0" collapsed="false">
      <c r="D1056" s="9" t="s">
        <v>111</v>
      </c>
      <c r="E1056" s="9" t="s">
        <v>112</v>
      </c>
      <c r="F1056" s="9" t="s">
        <v>113</v>
      </c>
      <c r="G1056" s="9" t="s">
        <v>141</v>
      </c>
      <c r="H1056" s="9" t="s">
        <v>142</v>
      </c>
      <c r="I1056" s="0" t="s">
        <v>41</v>
      </c>
      <c r="J1056" s="9" t="s">
        <v>42</v>
      </c>
      <c r="K1056" s="9" t="s">
        <v>30</v>
      </c>
      <c r="L1056" s="9" t="s">
        <v>31</v>
      </c>
      <c r="M1056" s="0" t="s">
        <v>140</v>
      </c>
      <c r="N1056" s="0" t="n">
        <v>1086</v>
      </c>
      <c r="O1056" s="10" t="n">
        <v>0.811397707555443</v>
      </c>
      <c r="P1056" s="10" t="n">
        <v>0.337768794968724</v>
      </c>
      <c r="Q1056" s="0" t="str">
        <f aca="false">SUBSTITUTE(SUBSTITUTE($I1056,CHAR(61),""),CHAR(34),"")</f>
        <v>25-34</v>
      </c>
      <c r="R1056" s="0" t="str">
        <f aca="false">IF($D1056&lt;&gt;"","["&amp;$E1056&amp;"]"&amp;"|"&amp;$Q1056&amp;"|"&amp;$K1056&amp;"|"&amp;$G1056&amp;"|"&amp;IF($G1056="TX_CURR_SUBNAT.R","CY2022Q4",$M1056),"")</f>
        <v>[U8c0so51kT6]|25-34|Female|HIV_PREV.T_1|CY2023Q3</v>
      </c>
    </row>
    <row r="1057" customFormat="false" ht="15" hidden="false" customHeight="false" outlineLevel="0" collapsed="false">
      <c r="D1057" s="9" t="s">
        <v>111</v>
      </c>
      <c r="E1057" s="9" t="s">
        <v>112</v>
      </c>
      <c r="F1057" s="9" t="s">
        <v>113</v>
      </c>
      <c r="G1057" s="9" t="s">
        <v>141</v>
      </c>
      <c r="H1057" s="9" t="s">
        <v>142</v>
      </c>
      <c r="I1057" s="0" t="s">
        <v>43</v>
      </c>
      <c r="J1057" s="9" t="s">
        <v>44</v>
      </c>
      <c r="K1057" s="9" t="s">
        <v>30</v>
      </c>
      <c r="L1057" s="9" t="s">
        <v>31</v>
      </c>
      <c r="M1057" s="0" t="s">
        <v>140</v>
      </c>
      <c r="N1057" s="0" t="n">
        <v>1441</v>
      </c>
      <c r="O1057" s="10" t="n">
        <v>0.825205203145742</v>
      </c>
      <c r="P1057" s="10" t="n">
        <v>0.337768794968724</v>
      </c>
      <c r="Q1057" s="0" t="str">
        <f aca="false">SUBSTITUTE(SUBSTITUTE($I1057,CHAR(61),""),CHAR(34),"")</f>
        <v>35-49</v>
      </c>
      <c r="R1057" s="0" t="str">
        <f aca="false">IF($D1057&lt;&gt;"","["&amp;$E1057&amp;"]"&amp;"|"&amp;$Q1057&amp;"|"&amp;$K1057&amp;"|"&amp;$G1057&amp;"|"&amp;IF($G1057="TX_CURR_SUBNAT.R","CY2022Q4",$M1057),"")</f>
        <v>[U8c0so51kT6]|35-49|Female|HIV_PREV.T_1|CY2023Q3</v>
      </c>
    </row>
    <row r="1058" customFormat="false" ht="15" hidden="false" customHeight="false" outlineLevel="0" collapsed="false">
      <c r="D1058" s="9" t="s">
        <v>111</v>
      </c>
      <c r="E1058" s="9" t="s">
        <v>112</v>
      </c>
      <c r="F1058" s="9" t="s">
        <v>113</v>
      </c>
      <c r="G1058" s="9" t="s">
        <v>141</v>
      </c>
      <c r="H1058" s="9" t="s">
        <v>142</v>
      </c>
      <c r="I1058" s="0" t="s">
        <v>45</v>
      </c>
      <c r="J1058" s="9" t="s">
        <v>46</v>
      </c>
      <c r="K1058" s="9" t="s">
        <v>30</v>
      </c>
      <c r="L1058" s="9" t="s">
        <v>31</v>
      </c>
      <c r="M1058" s="0" t="s">
        <v>140</v>
      </c>
      <c r="N1058" s="0" t="n">
        <v>1347</v>
      </c>
      <c r="O1058" s="10" t="n">
        <v>0.150617646286264</v>
      </c>
      <c r="P1058" s="10" t="n">
        <v>0.337768794968724</v>
      </c>
      <c r="Q1058" s="0" t="str">
        <f aca="false">SUBSTITUTE(SUBSTITUTE($I1058,CHAR(61),""),CHAR(34),"")</f>
        <v>50+</v>
      </c>
      <c r="R1058" s="0" t="str">
        <f aca="false">IF($D1058&lt;&gt;"","["&amp;$E1058&amp;"]"&amp;"|"&amp;$Q1058&amp;"|"&amp;$K1058&amp;"|"&amp;$G1058&amp;"|"&amp;IF($G1058="TX_CURR_SUBNAT.R","CY2022Q4",$M1058),"")</f>
        <v>[U8c0so51kT6]|50+|Female|HIV_PREV.T_1|CY2023Q3</v>
      </c>
    </row>
    <row r="1059" customFormat="false" ht="15" hidden="false" customHeight="false" outlineLevel="0" collapsed="false">
      <c r="D1059" s="9" t="s">
        <v>111</v>
      </c>
      <c r="E1059" s="9" t="s">
        <v>112</v>
      </c>
      <c r="F1059" s="9" t="s">
        <v>113</v>
      </c>
      <c r="G1059" s="9" t="s">
        <v>141</v>
      </c>
      <c r="H1059" s="9" t="s">
        <v>142</v>
      </c>
      <c r="I1059" s="0" t="s">
        <v>28</v>
      </c>
      <c r="J1059" s="9" t="s">
        <v>29</v>
      </c>
      <c r="K1059" s="9" t="s">
        <v>48</v>
      </c>
      <c r="L1059" s="9" t="s">
        <v>49</v>
      </c>
      <c r="M1059" s="0" t="s">
        <v>140</v>
      </c>
      <c r="N1059" s="0" t="n">
        <v>1443</v>
      </c>
      <c r="O1059" s="10" t="n">
        <v>0.234082747716457</v>
      </c>
      <c r="P1059" s="10" t="n">
        <v>0.337768794968724</v>
      </c>
      <c r="Q1059" s="0" t="str">
        <f aca="false">SUBSTITUTE(SUBSTITUTE($I1059,CHAR(61),""),CHAR(34),"")</f>
        <v>&lt;01</v>
      </c>
      <c r="R1059" s="0" t="str">
        <f aca="false">IF($D1059&lt;&gt;"","["&amp;$E1059&amp;"]"&amp;"|"&amp;$Q1059&amp;"|"&amp;$K1059&amp;"|"&amp;$G1059&amp;"|"&amp;IF($G1059="TX_CURR_SUBNAT.R","CY2022Q4",$M1059),"")</f>
        <v>[U8c0so51kT6]|&lt;01|Male|HIV_PREV.T_1|CY2023Q3</v>
      </c>
    </row>
    <row r="1060" customFormat="false" ht="15" hidden="false" customHeight="false" outlineLevel="0" collapsed="false">
      <c r="D1060" s="9" t="s">
        <v>111</v>
      </c>
      <c r="E1060" s="9" t="s">
        <v>112</v>
      </c>
      <c r="F1060" s="9" t="s">
        <v>113</v>
      </c>
      <c r="G1060" s="9" t="s">
        <v>141</v>
      </c>
      <c r="H1060" s="9" t="s">
        <v>142</v>
      </c>
      <c r="I1060" s="0" t="s">
        <v>33</v>
      </c>
      <c r="J1060" s="9" t="s">
        <v>34</v>
      </c>
      <c r="K1060" s="9" t="s">
        <v>48</v>
      </c>
      <c r="L1060" s="9" t="s">
        <v>49</v>
      </c>
      <c r="M1060" s="0" t="s">
        <v>140</v>
      </c>
      <c r="N1060" s="0" t="n">
        <v>892</v>
      </c>
      <c r="O1060" s="10" t="n">
        <v>0.312257894780487</v>
      </c>
      <c r="P1060" s="10" t="n">
        <v>0.337768794968724</v>
      </c>
      <c r="Q1060" s="0" t="str">
        <f aca="false">SUBSTITUTE(SUBSTITUTE($I1060,CHAR(61),""),CHAR(34),"")</f>
        <v>01-09</v>
      </c>
      <c r="R1060" s="0" t="str">
        <f aca="false">IF($D1060&lt;&gt;"","["&amp;$E1060&amp;"]"&amp;"|"&amp;$Q1060&amp;"|"&amp;$K1060&amp;"|"&amp;$G1060&amp;"|"&amp;IF($G1060="TX_CURR_SUBNAT.R","CY2022Q4",$M1060),"")</f>
        <v>[U8c0so51kT6]|01-09|Male|HIV_PREV.T_1|CY2023Q3</v>
      </c>
    </row>
    <row r="1061" customFormat="false" ht="15" hidden="false" customHeight="false" outlineLevel="0" collapsed="false">
      <c r="D1061" s="9" t="s">
        <v>111</v>
      </c>
      <c r="E1061" s="9" t="s">
        <v>112</v>
      </c>
      <c r="F1061" s="9" t="s">
        <v>113</v>
      </c>
      <c r="G1061" s="9" t="s">
        <v>141</v>
      </c>
      <c r="H1061" s="9" t="s">
        <v>142</v>
      </c>
      <c r="I1061" s="0" t="s">
        <v>36</v>
      </c>
      <c r="J1061" s="9" t="s">
        <v>37</v>
      </c>
      <c r="K1061" s="9" t="s">
        <v>48</v>
      </c>
      <c r="L1061" s="9" t="s">
        <v>49</v>
      </c>
      <c r="M1061" s="0" t="s">
        <v>140</v>
      </c>
      <c r="N1061" s="0" t="n">
        <v>717</v>
      </c>
      <c r="O1061" s="10" t="n">
        <v>0.14369683037512</v>
      </c>
      <c r="P1061" s="10" t="n">
        <v>0.337768794968724</v>
      </c>
      <c r="Q1061" s="0" t="str">
        <f aca="false">SUBSTITUTE(SUBSTITUTE($I1061,CHAR(61),""),CHAR(34),"")</f>
        <v>10-14</v>
      </c>
      <c r="R1061" s="0" t="str">
        <f aca="false">IF($D1061&lt;&gt;"","["&amp;$E1061&amp;"]"&amp;"|"&amp;$Q1061&amp;"|"&amp;$K1061&amp;"|"&amp;$G1061&amp;"|"&amp;IF($G1061="TX_CURR_SUBNAT.R","CY2022Q4",$M1061),"")</f>
        <v>[U8c0so51kT6]|10-14|Male|HIV_PREV.T_1|CY2023Q3</v>
      </c>
    </row>
    <row r="1062" customFormat="false" ht="15" hidden="false" customHeight="false" outlineLevel="0" collapsed="false">
      <c r="D1062" s="9" t="s">
        <v>111</v>
      </c>
      <c r="E1062" s="9" t="s">
        <v>112</v>
      </c>
      <c r="F1062" s="9" t="s">
        <v>113</v>
      </c>
      <c r="G1062" s="9" t="s">
        <v>141</v>
      </c>
      <c r="H1062" s="9" t="s">
        <v>142</v>
      </c>
      <c r="I1062" s="0" t="s">
        <v>38</v>
      </c>
      <c r="J1062" s="9" t="s">
        <v>39</v>
      </c>
      <c r="K1062" s="9" t="s">
        <v>48</v>
      </c>
      <c r="L1062" s="9" t="s">
        <v>49</v>
      </c>
      <c r="M1062" s="0" t="s">
        <v>140</v>
      </c>
      <c r="N1062" s="0" t="n">
        <v>1193</v>
      </c>
      <c r="O1062" s="10" t="n">
        <v>0.407364301849157</v>
      </c>
      <c r="P1062" s="10" t="n">
        <v>0.337768794968724</v>
      </c>
      <c r="Q1062" s="0" t="str">
        <f aca="false">SUBSTITUTE(SUBSTITUTE($I1062,CHAR(61),""),CHAR(34),"")</f>
        <v>15-24</v>
      </c>
      <c r="R1062" s="0" t="str">
        <f aca="false">IF($D1062&lt;&gt;"","["&amp;$E1062&amp;"]"&amp;"|"&amp;$Q1062&amp;"|"&amp;$K1062&amp;"|"&amp;$G1062&amp;"|"&amp;IF($G1062="TX_CURR_SUBNAT.R","CY2022Q4",$M1062),"")</f>
        <v>[U8c0so51kT6]|15-24|Male|HIV_PREV.T_1|CY2023Q3</v>
      </c>
    </row>
    <row r="1063" customFormat="false" ht="15" hidden="false" customHeight="false" outlineLevel="0" collapsed="false">
      <c r="D1063" s="9" t="s">
        <v>111</v>
      </c>
      <c r="E1063" s="9" t="s">
        <v>112</v>
      </c>
      <c r="F1063" s="9" t="s">
        <v>113</v>
      </c>
      <c r="G1063" s="9" t="s">
        <v>141</v>
      </c>
      <c r="H1063" s="9" t="s">
        <v>142</v>
      </c>
      <c r="I1063" s="0" t="s">
        <v>41</v>
      </c>
      <c r="J1063" s="9" t="s">
        <v>42</v>
      </c>
      <c r="K1063" s="9" t="s">
        <v>48</v>
      </c>
      <c r="L1063" s="9" t="s">
        <v>49</v>
      </c>
      <c r="M1063" s="0" t="s">
        <v>140</v>
      </c>
      <c r="N1063" s="0" t="n">
        <v>1112</v>
      </c>
      <c r="O1063" s="10" t="n">
        <v>0.323011072352529</v>
      </c>
      <c r="P1063" s="10" t="n">
        <v>0.337768794968724</v>
      </c>
      <c r="Q1063" s="0" t="str">
        <f aca="false">SUBSTITUTE(SUBSTITUTE($I1063,CHAR(61),""),CHAR(34),"")</f>
        <v>25-34</v>
      </c>
      <c r="R1063" s="0" t="str">
        <f aca="false">IF($D1063&lt;&gt;"","["&amp;$E1063&amp;"]"&amp;"|"&amp;$Q1063&amp;"|"&amp;$K1063&amp;"|"&amp;$G1063&amp;"|"&amp;IF($G1063="TX_CURR_SUBNAT.R","CY2022Q4",$M1063),"")</f>
        <v>[U8c0so51kT6]|25-34|Male|HIV_PREV.T_1|CY2023Q3</v>
      </c>
    </row>
    <row r="1064" customFormat="false" ht="15" hidden="false" customHeight="false" outlineLevel="0" collapsed="false">
      <c r="D1064" s="9" t="s">
        <v>111</v>
      </c>
      <c r="E1064" s="9" t="s">
        <v>112</v>
      </c>
      <c r="F1064" s="9" t="s">
        <v>113</v>
      </c>
      <c r="G1064" s="9" t="s">
        <v>141</v>
      </c>
      <c r="H1064" s="9" t="s">
        <v>142</v>
      </c>
      <c r="I1064" s="0" t="s">
        <v>43</v>
      </c>
      <c r="J1064" s="9" t="s">
        <v>44</v>
      </c>
      <c r="K1064" s="9" t="s">
        <v>48</v>
      </c>
      <c r="L1064" s="9" t="s">
        <v>49</v>
      </c>
      <c r="M1064" s="0" t="s">
        <v>140</v>
      </c>
      <c r="N1064" s="0" t="n">
        <v>1035</v>
      </c>
      <c r="O1064" s="10" t="n">
        <v>0.477154534775764</v>
      </c>
      <c r="P1064" s="10" t="n">
        <v>0.337768794968724</v>
      </c>
      <c r="Q1064" s="0" t="str">
        <f aca="false">SUBSTITUTE(SUBSTITUTE($I1064,CHAR(61),""),CHAR(34),"")</f>
        <v>35-49</v>
      </c>
      <c r="R1064" s="0" t="str">
        <f aca="false">IF($D1064&lt;&gt;"","["&amp;$E1064&amp;"]"&amp;"|"&amp;$Q1064&amp;"|"&amp;$K1064&amp;"|"&amp;$G1064&amp;"|"&amp;IF($G1064="TX_CURR_SUBNAT.R","CY2022Q4",$M1064),"")</f>
        <v>[U8c0so51kT6]|35-49|Male|HIV_PREV.T_1|CY2023Q3</v>
      </c>
    </row>
    <row r="1065" customFormat="false" ht="15" hidden="false" customHeight="false" outlineLevel="0" collapsed="false">
      <c r="D1065" s="9" t="s">
        <v>111</v>
      </c>
      <c r="E1065" s="9" t="s">
        <v>112</v>
      </c>
      <c r="F1065" s="9" t="s">
        <v>113</v>
      </c>
      <c r="G1065" s="9" t="s">
        <v>141</v>
      </c>
      <c r="H1065" s="9" t="s">
        <v>142</v>
      </c>
      <c r="I1065" s="0" t="s">
        <v>45</v>
      </c>
      <c r="J1065" s="9" t="s">
        <v>46</v>
      </c>
      <c r="K1065" s="9" t="s">
        <v>48</v>
      </c>
      <c r="L1065" s="9" t="s">
        <v>49</v>
      </c>
      <c r="M1065" s="0" t="s">
        <v>140</v>
      </c>
      <c r="N1065" s="0" t="n">
        <v>1776</v>
      </c>
      <c r="O1065" s="10" t="n">
        <v>0.409257407533005</v>
      </c>
      <c r="P1065" s="10" t="n">
        <v>0.337768794968724</v>
      </c>
      <c r="Q1065" s="0" t="str">
        <f aca="false">SUBSTITUTE(SUBSTITUTE($I1065,CHAR(61),""),CHAR(34),"")</f>
        <v>50+</v>
      </c>
      <c r="R1065" s="0" t="str">
        <f aca="false">IF($D1065&lt;&gt;"","["&amp;$E1065&amp;"]"&amp;"|"&amp;$Q1065&amp;"|"&amp;$K1065&amp;"|"&amp;$G1065&amp;"|"&amp;IF($G1065="TX_CURR_SUBNAT.R","CY2022Q4",$M1065),"")</f>
        <v>[U8c0so51kT6]|50+|Male|HIV_PREV.T_1|CY2023Q3</v>
      </c>
    </row>
    <row r="1066" customFormat="false" ht="15" hidden="false" customHeight="false" outlineLevel="0" collapsed="false">
      <c r="D1066" s="9" t="s">
        <v>114</v>
      </c>
      <c r="E1066" s="9" t="s">
        <v>115</v>
      </c>
      <c r="F1066" s="9" t="s">
        <v>116</v>
      </c>
      <c r="G1066" s="9" t="s">
        <v>141</v>
      </c>
      <c r="H1066" s="9" t="s">
        <v>142</v>
      </c>
      <c r="I1066" s="0" t="s">
        <v>28</v>
      </c>
      <c r="J1066" s="9" t="s">
        <v>29</v>
      </c>
      <c r="K1066" s="9" t="s">
        <v>30</v>
      </c>
      <c r="L1066" s="9" t="s">
        <v>31</v>
      </c>
      <c r="M1066" s="0" t="s">
        <v>140</v>
      </c>
      <c r="N1066" s="0" t="n">
        <v>987</v>
      </c>
      <c r="O1066" s="10" t="n">
        <v>0.827841168036684</v>
      </c>
      <c r="P1066" s="10" t="n">
        <v>0.298559809103608</v>
      </c>
      <c r="Q1066" s="0" t="str">
        <f aca="false">SUBSTITUTE(SUBSTITUTE($I1066,CHAR(61),""),CHAR(34),"")</f>
        <v>&lt;01</v>
      </c>
      <c r="R1066" s="0" t="str">
        <f aca="false">IF($D1066&lt;&gt;"","["&amp;$E1066&amp;"]"&amp;"|"&amp;$Q1066&amp;"|"&amp;$K1066&amp;"|"&amp;$G1066&amp;"|"&amp;IF($G1066="TX_CURR_SUBNAT.R","CY2022Q4",$M1066),"")</f>
        <v>[rpw540fmNUz]|&lt;01|Female|HIV_PREV.T_1|CY2023Q3</v>
      </c>
    </row>
    <row r="1067" customFormat="false" ht="15" hidden="false" customHeight="false" outlineLevel="0" collapsed="false">
      <c r="D1067" s="9" t="s">
        <v>114</v>
      </c>
      <c r="E1067" s="9" t="s">
        <v>115</v>
      </c>
      <c r="F1067" s="9" t="s">
        <v>116</v>
      </c>
      <c r="G1067" s="9" t="s">
        <v>141</v>
      </c>
      <c r="H1067" s="9" t="s">
        <v>142</v>
      </c>
      <c r="I1067" s="0" t="s">
        <v>33</v>
      </c>
      <c r="J1067" s="9" t="s">
        <v>34</v>
      </c>
      <c r="K1067" s="9" t="s">
        <v>30</v>
      </c>
      <c r="L1067" s="9" t="s">
        <v>31</v>
      </c>
      <c r="M1067" s="0" t="s">
        <v>140</v>
      </c>
      <c r="N1067" s="0" t="n">
        <v>1045</v>
      </c>
      <c r="O1067" s="10" t="n">
        <v>0.896261721616611</v>
      </c>
      <c r="P1067" s="10" t="n">
        <v>0.298559809103608</v>
      </c>
      <c r="Q1067" s="0" t="str">
        <f aca="false">SUBSTITUTE(SUBSTITUTE($I1067,CHAR(61),""),CHAR(34),"")</f>
        <v>01-09</v>
      </c>
      <c r="R1067" s="0" t="str">
        <f aca="false">IF($D1067&lt;&gt;"","["&amp;$E1067&amp;"]"&amp;"|"&amp;$Q1067&amp;"|"&amp;$K1067&amp;"|"&amp;$G1067&amp;"|"&amp;IF($G1067="TX_CURR_SUBNAT.R","CY2022Q4",$M1067),"")</f>
        <v>[rpw540fmNUz]|01-09|Female|HIV_PREV.T_1|CY2023Q3</v>
      </c>
    </row>
    <row r="1068" customFormat="false" ht="15" hidden="false" customHeight="false" outlineLevel="0" collapsed="false">
      <c r="D1068" s="9" t="s">
        <v>114</v>
      </c>
      <c r="E1068" s="9" t="s">
        <v>115</v>
      </c>
      <c r="F1068" s="9" t="s">
        <v>116</v>
      </c>
      <c r="G1068" s="9" t="s">
        <v>141</v>
      </c>
      <c r="H1068" s="9" t="s">
        <v>142</v>
      </c>
      <c r="I1068" s="0" t="s">
        <v>36</v>
      </c>
      <c r="J1068" s="9" t="s">
        <v>37</v>
      </c>
      <c r="K1068" s="9" t="s">
        <v>30</v>
      </c>
      <c r="L1068" s="9" t="s">
        <v>31</v>
      </c>
      <c r="M1068" s="0" t="s">
        <v>140</v>
      </c>
      <c r="N1068" s="0" t="n">
        <v>1322</v>
      </c>
      <c r="O1068" s="10" t="n">
        <v>0.715601783478633</v>
      </c>
      <c r="P1068" s="10" t="n">
        <v>0.298559809103608</v>
      </c>
      <c r="Q1068" s="0" t="str">
        <f aca="false">SUBSTITUTE(SUBSTITUTE($I1068,CHAR(61),""),CHAR(34),"")</f>
        <v>10-14</v>
      </c>
      <c r="R1068" s="0" t="str">
        <f aca="false">IF($D1068&lt;&gt;"","["&amp;$E1068&amp;"]"&amp;"|"&amp;$Q1068&amp;"|"&amp;$K1068&amp;"|"&amp;$G1068&amp;"|"&amp;IF($G1068="TX_CURR_SUBNAT.R","CY2022Q4",$M1068),"")</f>
        <v>[rpw540fmNUz]|10-14|Female|HIV_PREV.T_1|CY2023Q3</v>
      </c>
    </row>
    <row r="1069" customFormat="false" ht="15" hidden="false" customHeight="false" outlineLevel="0" collapsed="false">
      <c r="D1069" s="9" t="s">
        <v>114</v>
      </c>
      <c r="E1069" s="9" t="s">
        <v>115</v>
      </c>
      <c r="F1069" s="9" t="s">
        <v>116</v>
      </c>
      <c r="G1069" s="9" t="s">
        <v>141</v>
      </c>
      <c r="H1069" s="9" t="s">
        <v>142</v>
      </c>
      <c r="I1069" s="0" t="s">
        <v>38</v>
      </c>
      <c r="J1069" s="9" t="s">
        <v>39</v>
      </c>
      <c r="K1069" s="9" t="s">
        <v>30</v>
      </c>
      <c r="L1069" s="9" t="s">
        <v>31</v>
      </c>
      <c r="M1069" s="0" t="s">
        <v>140</v>
      </c>
      <c r="N1069" s="0" t="n">
        <v>1646</v>
      </c>
      <c r="O1069" s="10" t="n">
        <v>0.0415372925344855</v>
      </c>
      <c r="P1069" s="10" t="n">
        <v>0.298559809103608</v>
      </c>
      <c r="Q1069" s="0" t="str">
        <f aca="false">SUBSTITUTE(SUBSTITUTE($I1069,CHAR(61),""),CHAR(34),"")</f>
        <v>15-24</v>
      </c>
      <c r="R1069" s="0" t="str">
        <f aca="false">IF($D1069&lt;&gt;"","["&amp;$E1069&amp;"]"&amp;"|"&amp;$Q1069&amp;"|"&amp;$K1069&amp;"|"&amp;$G1069&amp;"|"&amp;IF($G1069="TX_CURR_SUBNAT.R","CY2022Q4",$M1069),"")</f>
        <v>[rpw540fmNUz]|15-24|Female|HIV_PREV.T_1|CY2023Q3</v>
      </c>
    </row>
    <row r="1070" customFormat="false" ht="15" hidden="false" customHeight="false" outlineLevel="0" collapsed="false">
      <c r="D1070" s="9" t="s">
        <v>114</v>
      </c>
      <c r="E1070" s="9" t="s">
        <v>115</v>
      </c>
      <c r="F1070" s="9" t="s">
        <v>116</v>
      </c>
      <c r="G1070" s="9" t="s">
        <v>141</v>
      </c>
      <c r="H1070" s="9" t="s">
        <v>142</v>
      </c>
      <c r="I1070" s="0" t="s">
        <v>41</v>
      </c>
      <c r="J1070" s="9" t="s">
        <v>42</v>
      </c>
      <c r="K1070" s="9" t="s">
        <v>30</v>
      </c>
      <c r="L1070" s="9" t="s">
        <v>31</v>
      </c>
      <c r="M1070" s="0" t="s">
        <v>140</v>
      </c>
      <c r="N1070" s="0" t="n">
        <v>1535</v>
      </c>
      <c r="O1070" s="10" t="n">
        <v>0.257903252728283</v>
      </c>
      <c r="P1070" s="10" t="n">
        <v>0.298559809103608</v>
      </c>
      <c r="Q1070" s="0" t="str">
        <f aca="false">SUBSTITUTE(SUBSTITUTE($I1070,CHAR(61),""),CHAR(34),"")</f>
        <v>25-34</v>
      </c>
      <c r="R1070" s="0" t="str">
        <f aca="false">IF($D1070&lt;&gt;"","["&amp;$E1070&amp;"]"&amp;"|"&amp;$Q1070&amp;"|"&amp;$K1070&amp;"|"&amp;$G1070&amp;"|"&amp;IF($G1070="TX_CURR_SUBNAT.R","CY2022Q4",$M1070),"")</f>
        <v>[rpw540fmNUz]|25-34|Female|HIV_PREV.T_1|CY2023Q3</v>
      </c>
    </row>
    <row r="1071" customFormat="false" ht="15" hidden="false" customHeight="false" outlineLevel="0" collapsed="false">
      <c r="D1071" s="9" t="s">
        <v>114</v>
      </c>
      <c r="E1071" s="9" t="s">
        <v>115</v>
      </c>
      <c r="F1071" s="9" t="s">
        <v>116</v>
      </c>
      <c r="G1071" s="9" t="s">
        <v>141</v>
      </c>
      <c r="H1071" s="9" t="s">
        <v>142</v>
      </c>
      <c r="I1071" s="0" t="s">
        <v>43</v>
      </c>
      <c r="J1071" s="9" t="s">
        <v>44</v>
      </c>
      <c r="K1071" s="9" t="s">
        <v>30</v>
      </c>
      <c r="L1071" s="9" t="s">
        <v>31</v>
      </c>
      <c r="M1071" s="0" t="s">
        <v>140</v>
      </c>
      <c r="N1071" s="0" t="n">
        <v>701</v>
      </c>
      <c r="O1071" s="10" t="n">
        <v>0.883960120379925</v>
      </c>
      <c r="P1071" s="10" t="n">
        <v>0.298559809103608</v>
      </c>
      <c r="Q1071" s="0" t="str">
        <f aca="false">SUBSTITUTE(SUBSTITUTE($I1071,CHAR(61),""),CHAR(34),"")</f>
        <v>35-49</v>
      </c>
      <c r="R1071" s="0" t="str">
        <f aca="false">IF($D1071&lt;&gt;"","["&amp;$E1071&amp;"]"&amp;"|"&amp;$Q1071&amp;"|"&amp;$K1071&amp;"|"&amp;$G1071&amp;"|"&amp;IF($G1071="TX_CURR_SUBNAT.R","CY2022Q4",$M1071),"")</f>
        <v>[rpw540fmNUz]|35-49|Female|HIV_PREV.T_1|CY2023Q3</v>
      </c>
    </row>
    <row r="1072" customFormat="false" ht="15" hidden="false" customHeight="false" outlineLevel="0" collapsed="false">
      <c r="D1072" s="9" t="s">
        <v>114</v>
      </c>
      <c r="E1072" s="9" t="s">
        <v>115</v>
      </c>
      <c r="F1072" s="9" t="s">
        <v>116</v>
      </c>
      <c r="G1072" s="9" t="s">
        <v>141</v>
      </c>
      <c r="H1072" s="9" t="s">
        <v>142</v>
      </c>
      <c r="I1072" s="0" t="s">
        <v>45</v>
      </c>
      <c r="J1072" s="9" t="s">
        <v>46</v>
      </c>
      <c r="K1072" s="9" t="s">
        <v>30</v>
      </c>
      <c r="L1072" s="9" t="s">
        <v>31</v>
      </c>
      <c r="M1072" s="0" t="s">
        <v>140</v>
      </c>
      <c r="N1072" s="0" t="n">
        <v>1864</v>
      </c>
      <c r="O1072" s="10" t="n">
        <v>0.0257727024145424</v>
      </c>
      <c r="P1072" s="10" t="n">
        <v>0.298559809103608</v>
      </c>
      <c r="Q1072" s="0" t="str">
        <f aca="false">SUBSTITUTE(SUBSTITUTE($I1072,CHAR(61),""),CHAR(34),"")</f>
        <v>50+</v>
      </c>
      <c r="R1072" s="0" t="str">
        <f aca="false">IF($D1072&lt;&gt;"","["&amp;$E1072&amp;"]"&amp;"|"&amp;$Q1072&amp;"|"&amp;$K1072&amp;"|"&amp;$G1072&amp;"|"&amp;IF($G1072="TX_CURR_SUBNAT.R","CY2022Q4",$M1072),"")</f>
        <v>[rpw540fmNUz]|50+|Female|HIV_PREV.T_1|CY2023Q3</v>
      </c>
    </row>
    <row r="1073" customFormat="false" ht="15" hidden="false" customHeight="false" outlineLevel="0" collapsed="false">
      <c r="D1073" s="9" t="s">
        <v>114</v>
      </c>
      <c r="E1073" s="9" t="s">
        <v>115</v>
      </c>
      <c r="F1073" s="9" t="s">
        <v>116</v>
      </c>
      <c r="G1073" s="9" t="s">
        <v>141</v>
      </c>
      <c r="H1073" s="9" t="s">
        <v>142</v>
      </c>
      <c r="I1073" s="0" t="s">
        <v>28</v>
      </c>
      <c r="J1073" s="9" t="s">
        <v>29</v>
      </c>
      <c r="K1073" s="9" t="s">
        <v>48</v>
      </c>
      <c r="L1073" s="9" t="s">
        <v>49</v>
      </c>
      <c r="M1073" s="0" t="s">
        <v>140</v>
      </c>
      <c r="N1073" s="0" t="n">
        <v>1624</v>
      </c>
      <c r="O1073" s="10" t="n">
        <v>0.328987635904923</v>
      </c>
      <c r="P1073" s="10" t="n">
        <v>0.298559809103608</v>
      </c>
      <c r="Q1073" s="0" t="str">
        <f aca="false">SUBSTITUTE(SUBSTITUTE($I1073,CHAR(61),""),CHAR(34),"")</f>
        <v>&lt;01</v>
      </c>
      <c r="R1073" s="0" t="str">
        <f aca="false">IF($D1073&lt;&gt;"","["&amp;$E1073&amp;"]"&amp;"|"&amp;$Q1073&amp;"|"&amp;$K1073&amp;"|"&amp;$G1073&amp;"|"&amp;IF($G1073="TX_CURR_SUBNAT.R","CY2022Q4",$M1073),"")</f>
        <v>[rpw540fmNUz]|&lt;01|Male|HIV_PREV.T_1|CY2023Q3</v>
      </c>
    </row>
    <row r="1074" customFormat="false" ht="15" hidden="false" customHeight="false" outlineLevel="0" collapsed="false">
      <c r="D1074" s="9" t="s">
        <v>114</v>
      </c>
      <c r="E1074" s="9" t="s">
        <v>115</v>
      </c>
      <c r="F1074" s="9" t="s">
        <v>116</v>
      </c>
      <c r="G1074" s="9" t="s">
        <v>141</v>
      </c>
      <c r="H1074" s="9" t="s">
        <v>142</v>
      </c>
      <c r="I1074" s="0" t="s">
        <v>33</v>
      </c>
      <c r="J1074" s="9" t="s">
        <v>34</v>
      </c>
      <c r="K1074" s="9" t="s">
        <v>48</v>
      </c>
      <c r="L1074" s="9" t="s">
        <v>49</v>
      </c>
      <c r="M1074" s="0" t="s">
        <v>140</v>
      </c>
      <c r="N1074" s="0" t="n">
        <v>1599</v>
      </c>
      <c r="O1074" s="10" t="n">
        <v>0.705435445997864</v>
      </c>
      <c r="P1074" s="10" t="n">
        <v>0.298559809103608</v>
      </c>
      <c r="Q1074" s="0" t="str">
        <f aca="false">SUBSTITUTE(SUBSTITUTE($I1074,CHAR(61),""),CHAR(34),"")</f>
        <v>01-09</v>
      </c>
      <c r="R1074" s="0" t="str">
        <f aca="false">IF($D1074&lt;&gt;"","["&amp;$E1074&amp;"]"&amp;"|"&amp;$Q1074&amp;"|"&amp;$K1074&amp;"|"&amp;$G1074&amp;"|"&amp;IF($G1074="TX_CURR_SUBNAT.R","CY2022Q4",$M1074),"")</f>
        <v>[rpw540fmNUz]|01-09|Male|HIV_PREV.T_1|CY2023Q3</v>
      </c>
    </row>
    <row r="1075" customFormat="false" ht="15" hidden="false" customHeight="false" outlineLevel="0" collapsed="false">
      <c r="D1075" s="9" t="s">
        <v>114</v>
      </c>
      <c r="E1075" s="9" t="s">
        <v>115</v>
      </c>
      <c r="F1075" s="9" t="s">
        <v>116</v>
      </c>
      <c r="G1075" s="9" t="s">
        <v>141</v>
      </c>
      <c r="H1075" s="9" t="s">
        <v>142</v>
      </c>
      <c r="I1075" s="0" t="s">
        <v>36</v>
      </c>
      <c r="J1075" s="9" t="s">
        <v>37</v>
      </c>
      <c r="K1075" s="9" t="s">
        <v>48</v>
      </c>
      <c r="L1075" s="9" t="s">
        <v>49</v>
      </c>
      <c r="M1075" s="0" t="s">
        <v>140</v>
      </c>
      <c r="N1075" s="0" t="n">
        <v>1872</v>
      </c>
      <c r="O1075" s="10" t="n">
        <v>0.362843451788649</v>
      </c>
      <c r="P1075" s="10" t="n">
        <v>0.298559809103608</v>
      </c>
      <c r="Q1075" s="0" t="str">
        <f aca="false">SUBSTITUTE(SUBSTITUTE($I1075,CHAR(61),""),CHAR(34),"")</f>
        <v>10-14</v>
      </c>
      <c r="R1075" s="0" t="str">
        <f aca="false">IF($D1075&lt;&gt;"","["&amp;$E1075&amp;"]"&amp;"|"&amp;$Q1075&amp;"|"&amp;$K1075&amp;"|"&amp;$G1075&amp;"|"&amp;IF($G1075="TX_CURR_SUBNAT.R","CY2022Q4",$M1075),"")</f>
        <v>[rpw540fmNUz]|10-14|Male|HIV_PREV.T_1|CY2023Q3</v>
      </c>
    </row>
    <row r="1076" customFormat="false" ht="15" hidden="false" customHeight="false" outlineLevel="0" collapsed="false">
      <c r="D1076" s="9" t="s">
        <v>114</v>
      </c>
      <c r="E1076" s="9" t="s">
        <v>115</v>
      </c>
      <c r="F1076" s="9" t="s">
        <v>116</v>
      </c>
      <c r="G1076" s="9" t="s">
        <v>141</v>
      </c>
      <c r="H1076" s="9" t="s">
        <v>142</v>
      </c>
      <c r="I1076" s="0" t="s">
        <v>38</v>
      </c>
      <c r="J1076" s="9" t="s">
        <v>39</v>
      </c>
      <c r="K1076" s="9" t="s">
        <v>48</v>
      </c>
      <c r="L1076" s="9" t="s">
        <v>49</v>
      </c>
      <c r="M1076" s="0" t="s">
        <v>140</v>
      </c>
      <c r="N1076" s="0" t="n">
        <v>1620</v>
      </c>
      <c r="O1076" s="10" t="n">
        <v>0.266320002963766</v>
      </c>
      <c r="P1076" s="10" t="n">
        <v>0.298559809103608</v>
      </c>
      <c r="Q1076" s="0" t="str">
        <f aca="false">SUBSTITUTE(SUBSTITUTE($I1076,CHAR(61),""),CHAR(34),"")</f>
        <v>15-24</v>
      </c>
      <c r="R1076" s="0" t="str">
        <f aca="false">IF($D1076&lt;&gt;"","["&amp;$E1076&amp;"]"&amp;"|"&amp;$Q1076&amp;"|"&amp;$K1076&amp;"|"&amp;$G1076&amp;"|"&amp;IF($G1076="TX_CURR_SUBNAT.R","CY2022Q4",$M1076),"")</f>
        <v>[rpw540fmNUz]|15-24|Male|HIV_PREV.T_1|CY2023Q3</v>
      </c>
    </row>
    <row r="1077" customFormat="false" ht="15" hidden="false" customHeight="false" outlineLevel="0" collapsed="false">
      <c r="D1077" s="9" t="s">
        <v>114</v>
      </c>
      <c r="E1077" s="9" t="s">
        <v>115</v>
      </c>
      <c r="F1077" s="9" t="s">
        <v>116</v>
      </c>
      <c r="G1077" s="9" t="s">
        <v>141</v>
      </c>
      <c r="H1077" s="9" t="s">
        <v>142</v>
      </c>
      <c r="I1077" s="0" t="s">
        <v>41</v>
      </c>
      <c r="J1077" s="9" t="s">
        <v>42</v>
      </c>
      <c r="K1077" s="9" t="s">
        <v>48</v>
      </c>
      <c r="L1077" s="9" t="s">
        <v>49</v>
      </c>
      <c r="M1077" s="0" t="s">
        <v>140</v>
      </c>
      <c r="N1077" s="0" t="n">
        <v>584</v>
      </c>
      <c r="O1077" s="10" t="n">
        <v>0.281063974136487</v>
      </c>
      <c r="P1077" s="10" t="n">
        <v>0.298559809103608</v>
      </c>
      <c r="Q1077" s="0" t="str">
        <f aca="false">SUBSTITUTE(SUBSTITUTE($I1077,CHAR(61),""),CHAR(34),"")</f>
        <v>25-34</v>
      </c>
      <c r="R1077" s="0" t="str">
        <f aca="false">IF($D1077&lt;&gt;"","["&amp;$E1077&amp;"]"&amp;"|"&amp;$Q1077&amp;"|"&amp;$K1077&amp;"|"&amp;$G1077&amp;"|"&amp;IF($G1077="TX_CURR_SUBNAT.R","CY2022Q4",$M1077),"")</f>
        <v>[rpw540fmNUz]|25-34|Male|HIV_PREV.T_1|CY2023Q3</v>
      </c>
    </row>
    <row r="1078" customFormat="false" ht="15" hidden="false" customHeight="false" outlineLevel="0" collapsed="false">
      <c r="D1078" s="9" t="s">
        <v>114</v>
      </c>
      <c r="E1078" s="9" t="s">
        <v>115</v>
      </c>
      <c r="F1078" s="9" t="s">
        <v>116</v>
      </c>
      <c r="G1078" s="9" t="s">
        <v>141</v>
      </c>
      <c r="H1078" s="9" t="s">
        <v>142</v>
      </c>
      <c r="I1078" s="0" t="s">
        <v>43</v>
      </c>
      <c r="J1078" s="9" t="s">
        <v>44</v>
      </c>
      <c r="K1078" s="9" t="s">
        <v>48</v>
      </c>
      <c r="L1078" s="9" t="s">
        <v>49</v>
      </c>
      <c r="M1078" s="0" t="s">
        <v>140</v>
      </c>
      <c r="N1078" s="0" t="n">
        <v>527</v>
      </c>
      <c r="O1078" s="10" t="n">
        <v>0.93628583708778</v>
      </c>
      <c r="P1078" s="10" t="n">
        <v>0.298559809103608</v>
      </c>
      <c r="Q1078" s="0" t="str">
        <f aca="false">SUBSTITUTE(SUBSTITUTE($I1078,CHAR(61),""),CHAR(34),"")</f>
        <v>35-49</v>
      </c>
      <c r="R1078" s="0" t="str">
        <f aca="false">IF($D1078&lt;&gt;"","["&amp;$E1078&amp;"]"&amp;"|"&amp;$Q1078&amp;"|"&amp;$K1078&amp;"|"&amp;$G1078&amp;"|"&amp;IF($G1078="TX_CURR_SUBNAT.R","CY2022Q4",$M1078),"")</f>
        <v>[rpw540fmNUz]|35-49|Male|HIV_PREV.T_1|CY2023Q3</v>
      </c>
    </row>
    <row r="1079" customFormat="false" ht="15" hidden="false" customHeight="false" outlineLevel="0" collapsed="false">
      <c r="D1079" s="9" t="s">
        <v>114</v>
      </c>
      <c r="E1079" s="9" t="s">
        <v>115</v>
      </c>
      <c r="F1079" s="9" t="s">
        <v>116</v>
      </c>
      <c r="G1079" s="9" t="s">
        <v>141</v>
      </c>
      <c r="H1079" s="9" t="s">
        <v>142</v>
      </c>
      <c r="I1079" s="0" t="s">
        <v>45</v>
      </c>
      <c r="J1079" s="9" t="s">
        <v>46</v>
      </c>
      <c r="K1079" s="9" t="s">
        <v>48</v>
      </c>
      <c r="L1079" s="9" t="s">
        <v>49</v>
      </c>
      <c r="M1079" s="0" t="s">
        <v>140</v>
      </c>
      <c r="N1079" s="0" t="n">
        <v>893</v>
      </c>
      <c r="O1079" s="10" t="n">
        <v>0.0887523163110018</v>
      </c>
      <c r="P1079" s="10" t="n">
        <v>0.298559809103608</v>
      </c>
      <c r="Q1079" s="0" t="str">
        <f aca="false">SUBSTITUTE(SUBSTITUTE($I1079,CHAR(61),""),CHAR(34),"")</f>
        <v>50+</v>
      </c>
      <c r="R1079" s="0" t="str">
        <f aca="false">IF($D1079&lt;&gt;"","["&amp;$E1079&amp;"]"&amp;"|"&amp;$Q1079&amp;"|"&amp;$K1079&amp;"|"&amp;$G1079&amp;"|"&amp;IF($G1079="TX_CURR_SUBNAT.R","CY2022Q4",$M1079),"")</f>
        <v>[rpw540fmNUz]|50+|Male|HIV_PREV.T_1|CY2023Q3</v>
      </c>
    </row>
    <row r="1080" customFormat="false" ht="15" hidden="false" customHeight="false" outlineLevel="0" collapsed="false">
      <c r="D1080" s="9" t="s">
        <v>117</v>
      </c>
      <c r="E1080" s="9" t="s">
        <v>118</v>
      </c>
      <c r="F1080" s="9" t="s">
        <v>119</v>
      </c>
      <c r="G1080" s="9" t="s">
        <v>141</v>
      </c>
      <c r="H1080" s="9" t="s">
        <v>142</v>
      </c>
      <c r="I1080" s="0" t="s">
        <v>28</v>
      </c>
      <c r="J1080" s="9" t="s">
        <v>29</v>
      </c>
      <c r="K1080" s="9" t="s">
        <v>30</v>
      </c>
      <c r="L1080" s="9" t="s">
        <v>31</v>
      </c>
      <c r="M1080" s="0" t="s">
        <v>140</v>
      </c>
      <c r="N1080" s="0" t="n">
        <v>1453</v>
      </c>
      <c r="O1080" s="10" t="n">
        <v>0.868811003863811</v>
      </c>
      <c r="P1080" s="10" t="n">
        <v>0.206259709550068</v>
      </c>
      <c r="Q1080" s="0" t="str">
        <f aca="false">SUBSTITUTE(SUBSTITUTE($I1080,CHAR(61),""),CHAR(34),"")</f>
        <v>&lt;01</v>
      </c>
      <c r="R1080" s="0" t="str">
        <f aca="false">IF($D1080&lt;&gt;"","["&amp;$E1080&amp;"]"&amp;"|"&amp;$Q1080&amp;"|"&amp;$K1080&amp;"|"&amp;$G1080&amp;"|"&amp;IF($G1080="TX_CURR_SUBNAT.R","CY2022Q4",$M1080),"")</f>
        <v>[lPTyjLi4w3d]|&lt;01|Female|HIV_PREV.T_1|CY2023Q3</v>
      </c>
    </row>
    <row r="1081" customFormat="false" ht="15" hidden="false" customHeight="false" outlineLevel="0" collapsed="false">
      <c r="D1081" s="9" t="s">
        <v>117</v>
      </c>
      <c r="E1081" s="9" t="s">
        <v>118</v>
      </c>
      <c r="F1081" s="9" t="s">
        <v>119</v>
      </c>
      <c r="G1081" s="9" t="s">
        <v>141</v>
      </c>
      <c r="H1081" s="9" t="s">
        <v>142</v>
      </c>
      <c r="I1081" s="0" t="s">
        <v>33</v>
      </c>
      <c r="J1081" s="9" t="s">
        <v>34</v>
      </c>
      <c r="K1081" s="9" t="s">
        <v>30</v>
      </c>
      <c r="L1081" s="9" t="s">
        <v>31</v>
      </c>
      <c r="M1081" s="0" t="s">
        <v>140</v>
      </c>
      <c r="N1081" s="0" t="n">
        <v>660</v>
      </c>
      <c r="O1081" s="10" t="n">
        <v>0.373686368111521</v>
      </c>
      <c r="P1081" s="10" t="n">
        <v>0.206259709550068</v>
      </c>
      <c r="Q1081" s="0" t="str">
        <f aca="false">SUBSTITUTE(SUBSTITUTE($I1081,CHAR(61),""),CHAR(34),"")</f>
        <v>01-09</v>
      </c>
      <c r="R1081" s="0" t="str">
        <f aca="false">IF($D1081&lt;&gt;"","["&amp;$E1081&amp;"]"&amp;"|"&amp;$Q1081&amp;"|"&amp;$K1081&amp;"|"&amp;$G1081&amp;"|"&amp;IF($G1081="TX_CURR_SUBNAT.R","CY2022Q4",$M1081),"")</f>
        <v>[lPTyjLi4w3d]|01-09|Female|HIV_PREV.T_1|CY2023Q3</v>
      </c>
    </row>
    <row r="1082" customFormat="false" ht="15" hidden="false" customHeight="false" outlineLevel="0" collapsed="false">
      <c r="D1082" s="9" t="s">
        <v>117</v>
      </c>
      <c r="E1082" s="9" t="s">
        <v>118</v>
      </c>
      <c r="F1082" s="9" t="s">
        <v>119</v>
      </c>
      <c r="G1082" s="9" t="s">
        <v>141</v>
      </c>
      <c r="H1082" s="9" t="s">
        <v>142</v>
      </c>
      <c r="I1082" s="0" t="s">
        <v>36</v>
      </c>
      <c r="J1082" s="9" t="s">
        <v>37</v>
      </c>
      <c r="K1082" s="9" t="s">
        <v>30</v>
      </c>
      <c r="L1082" s="9" t="s">
        <v>31</v>
      </c>
      <c r="M1082" s="0" t="s">
        <v>140</v>
      </c>
      <c r="N1082" s="0" t="n">
        <v>1983</v>
      </c>
      <c r="O1082" s="10" t="n">
        <v>0.752676650648937</v>
      </c>
      <c r="P1082" s="10" t="n">
        <v>0.206259709550068</v>
      </c>
      <c r="Q1082" s="0" t="str">
        <f aca="false">SUBSTITUTE(SUBSTITUTE($I1082,CHAR(61),""),CHAR(34),"")</f>
        <v>10-14</v>
      </c>
      <c r="R1082" s="0" t="str">
        <f aca="false">IF($D1082&lt;&gt;"","["&amp;$E1082&amp;"]"&amp;"|"&amp;$Q1082&amp;"|"&amp;$K1082&amp;"|"&amp;$G1082&amp;"|"&amp;IF($G1082="TX_CURR_SUBNAT.R","CY2022Q4",$M1082),"")</f>
        <v>[lPTyjLi4w3d]|10-14|Female|HIV_PREV.T_1|CY2023Q3</v>
      </c>
    </row>
    <row r="1083" customFormat="false" ht="15" hidden="false" customHeight="false" outlineLevel="0" collapsed="false">
      <c r="D1083" s="9" t="s">
        <v>117</v>
      </c>
      <c r="E1083" s="9" t="s">
        <v>118</v>
      </c>
      <c r="F1083" s="9" t="s">
        <v>119</v>
      </c>
      <c r="G1083" s="9" t="s">
        <v>141</v>
      </c>
      <c r="H1083" s="9" t="s">
        <v>142</v>
      </c>
      <c r="I1083" s="0" t="s">
        <v>38</v>
      </c>
      <c r="J1083" s="9" t="s">
        <v>39</v>
      </c>
      <c r="K1083" s="9" t="s">
        <v>30</v>
      </c>
      <c r="L1083" s="9" t="s">
        <v>31</v>
      </c>
      <c r="M1083" s="0" t="s">
        <v>140</v>
      </c>
      <c r="N1083" s="0" t="n">
        <v>647</v>
      </c>
      <c r="O1083" s="10" t="n">
        <v>0.31776134762913</v>
      </c>
      <c r="P1083" s="10" t="n">
        <v>0.206259709550068</v>
      </c>
      <c r="Q1083" s="0" t="str">
        <f aca="false">SUBSTITUTE(SUBSTITUTE($I1083,CHAR(61),""),CHAR(34),"")</f>
        <v>15-24</v>
      </c>
      <c r="R1083" s="0" t="str">
        <f aca="false">IF($D1083&lt;&gt;"","["&amp;$E1083&amp;"]"&amp;"|"&amp;$Q1083&amp;"|"&amp;$K1083&amp;"|"&amp;$G1083&amp;"|"&amp;IF($G1083="TX_CURR_SUBNAT.R","CY2022Q4",$M1083),"")</f>
        <v>[lPTyjLi4w3d]|15-24|Female|HIV_PREV.T_1|CY2023Q3</v>
      </c>
    </row>
    <row r="1084" customFormat="false" ht="15" hidden="false" customHeight="false" outlineLevel="0" collapsed="false">
      <c r="D1084" s="9" t="s">
        <v>117</v>
      </c>
      <c r="E1084" s="9" t="s">
        <v>118</v>
      </c>
      <c r="F1084" s="9" t="s">
        <v>119</v>
      </c>
      <c r="G1084" s="9" t="s">
        <v>141</v>
      </c>
      <c r="H1084" s="9" t="s">
        <v>142</v>
      </c>
      <c r="I1084" s="0" t="s">
        <v>41</v>
      </c>
      <c r="J1084" s="9" t="s">
        <v>42</v>
      </c>
      <c r="K1084" s="9" t="s">
        <v>30</v>
      </c>
      <c r="L1084" s="9" t="s">
        <v>31</v>
      </c>
      <c r="M1084" s="0" t="s">
        <v>140</v>
      </c>
      <c r="N1084" s="0" t="n">
        <v>986</v>
      </c>
      <c r="O1084" s="10" t="n">
        <v>0.0621937334071845</v>
      </c>
      <c r="P1084" s="10" t="n">
        <v>0.206259709550068</v>
      </c>
      <c r="Q1084" s="0" t="str">
        <f aca="false">SUBSTITUTE(SUBSTITUTE($I1084,CHAR(61),""),CHAR(34),"")</f>
        <v>25-34</v>
      </c>
      <c r="R1084" s="0" t="str">
        <f aca="false">IF($D1084&lt;&gt;"","["&amp;$E1084&amp;"]"&amp;"|"&amp;$Q1084&amp;"|"&amp;$K1084&amp;"|"&amp;$G1084&amp;"|"&amp;IF($G1084="TX_CURR_SUBNAT.R","CY2022Q4",$M1084),"")</f>
        <v>[lPTyjLi4w3d]|25-34|Female|HIV_PREV.T_1|CY2023Q3</v>
      </c>
    </row>
    <row r="1085" customFormat="false" ht="15" hidden="false" customHeight="false" outlineLevel="0" collapsed="false">
      <c r="D1085" s="9" t="s">
        <v>117</v>
      </c>
      <c r="E1085" s="9" t="s">
        <v>118</v>
      </c>
      <c r="F1085" s="9" t="s">
        <v>119</v>
      </c>
      <c r="G1085" s="9" t="s">
        <v>141</v>
      </c>
      <c r="H1085" s="9" t="s">
        <v>142</v>
      </c>
      <c r="I1085" s="0" t="s">
        <v>43</v>
      </c>
      <c r="J1085" s="9" t="s">
        <v>44</v>
      </c>
      <c r="K1085" s="9" t="s">
        <v>30</v>
      </c>
      <c r="L1085" s="9" t="s">
        <v>31</v>
      </c>
      <c r="M1085" s="0" t="s">
        <v>140</v>
      </c>
      <c r="N1085" s="0" t="n">
        <v>1716</v>
      </c>
      <c r="O1085" s="10" t="n">
        <v>0.77446270827204</v>
      </c>
      <c r="P1085" s="10" t="n">
        <v>0.206259709550068</v>
      </c>
      <c r="Q1085" s="0" t="str">
        <f aca="false">SUBSTITUTE(SUBSTITUTE($I1085,CHAR(61),""),CHAR(34),"")</f>
        <v>35-49</v>
      </c>
      <c r="R1085" s="0" t="str">
        <f aca="false">IF($D1085&lt;&gt;"","["&amp;$E1085&amp;"]"&amp;"|"&amp;$Q1085&amp;"|"&amp;$K1085&amp;"|"&amp;$G1085&amp;"|"&amp;IF($G1085="TX_CURR_SUBNAT.R","CY2022Q4",$M1085),"")</f>
        <v>[lPTyjLi4w3d]|35-49|Female|HIV_PREV.T_1|CY2023Q3</v>
      </c>
    </row>
    <row r="1086" customFormat="false" ht="15" hidden="false" customHeight="false" outlineLevel="0" collapsed="false">
      <c r="D1086" s="9" t="s">
        <v>117</v>
      </c>
      <c r="E1086" s="9" t="s">
        <v>118</v>
      </c>
      <c r="F1086" s="9" t="s">
        <v>119</v>
      </c>
      <c r="G1086" s="9" t="s">
        <v>141</v>
      </c>
      <c r="H1086" s="9" t="s">
        <v>142</v>
      </c>
      <c r="I1086" s="0" t="s">
        <v>45</v>
      </c>
      <c r="J1086" s="9" t="s">
        <v>46</v>
      </c>
      <c r="K1086" s="9" t="s">
        <v>30</v>
      </c>
      <c r="L1086" s="9" t="s">
        <v>31</v>
      </c>
      <c r="M1086" s="0" t="s">
        <v>140</v>
      </c>
      <c r="N1086" s="0" t="n">
        <v>932</v>
      </c>
      <c r="O1086" s="10" t="n">
        <v>0.651427743723616</v>
      </c>
      <c r="P1086" s="10" t="n">
        <v>0.206259709550068</v>
      </c>
      <c r="Q1086" s="0" t="str">
        <f aca="false">SUBSTITUTE(SUBSTITUTE($I1086,CHAR(61),""),CHAR(34),"")</f>
        <v>50+</v>
      </c>
      <c r="R1086" s="0" t="str">
        <f aca="false">IF($D1086&lt;&gt;"","["&amp;$E1086&amp;"]"&amp;"|"&amp;$Q1086&amp;"|"&amp;$K1086&amp;"|"&amp;$G1086&amp;"|"&amp;IF($G1086="TX_CURR_SUBNAT.R","CY2022Q4",$M1086),"")</f>
        <v>[lPTyjLi4w3d]|50+|Female|HIV_PREV.T_1|CY2023Q3</v>
      </c>
    </row>
    <row r="1087" customFormat="false" ht="15" hidden="false" customHeight="false" outlineLevel="0" collapsed="false">
      <c r="D1087" s="9" t="s">
        <v>117</v>
      </c>
      <c r="E1087" s="9" t="s">
        <v>118</v>
      </c>
      <c r="F1087" s="9" t="s">
        <v>119</v>
      </c>
      <c r="G1087" s="9" t="s">
        <v>141</v>
      </c>
      <c r="H1087" s="9" t="s">
        <v>142</v>
      </c>
      <c r="I1087" s="0" t="s">
        <v>28</v>
      </c>
      <c r="J1087" s="9" t="s">
        <v>29</v>
      </c>
      <c r="K1087" s="9" t="s">
        <v>48</v>
      </c>
      <c r="L1087" s="9" t="s">
        <v>49</v>
      </c>
      <c r="M1087" s="0" t="s">
        <v>140</v>
      </c>
      <c r="N1087" s="0" t="n">
        <v>1271</v>
      </c>
      <c r="O1087" s="10" t="n">
        <v>0.14161084103398</v>
      </c>
      <c r="P1087" s="10" t="n">
        <v>0.206259709550068</v>
      </c>
      <c r="Q1087" s="0" t="str">
        <f aca="false">SUBSTITUTE(SUBSTITUTE($I1087,CHAR(61),""),CHAR(34),"")</f>
        <v>&lt;01</v>
      </c>
      <c r="R1087" s="0" t="str">
        <f aca="false">IF($D1087&lt;&gt;"","["&amp;$E1087&amp;"]"&amp;"|"&amp;$Q1087&amp;"|"&amp;$K1087&amp;"|"&amp;$G1087&amp;"|"&amp;IF($G1087="TX_CURR_SUBNAT.R","CY2022Q4",$M1087),"")</f>
        <v>[lPTyjLi4w3d]|&lt;01|Male|HIV_PREV.T_1|CY2023Q3</v>
      </c>
    </row>
    <row r="1088" customFormat="false" ht="15" hidden="false" customHeight="false" outlineLevel="0" collapsed="false">
      <c r="D1088" s="9" t="s">
        <v>117</v>
      </c>
      <c r="E1088" s="9" t="s">
        <v>118</v>
      </c>
      <c r="F1088" s="9" t="s">
        <v>119</v>
      </c>
      <c r="G1088" s="9" t="s">
        <v>141</v>
      </c>
      <c r="H1088" s="9" t="s">
        <v>142</v>
      </c>
      <c r="I1088" s="0" t="s">
        <v>33</v>
      </c>
      <c r="J1088" s="9" t="s">
        <v>34</v>
      </c>
      <c r="K1088" s="9" t="s">
        <v>48</v>
      </c>
      <c r="L1088" s="9" t="s">
        <v>49</v>
      </c>
      <c r="M1088" s="0" t="s">
        <v>140</v>
      </c>
      <c r="N1088" s="0" t="n">
        <v>1049</v>
      </c>
      <c r="O1088" s="10" t="n">
        <v>0.29454166512005</v>
      </c>
      <c r="P1088" s="10" t="n">
        <v>0.206259709550068</v>
      </c>
      <c r="Q1088" s="0" t="str">
        <f aca="false">SUBSTITUTE(SUBSTITUTE($I1088,CHAR(61),""),CHAR(34),"")</f>
        <v>01-09</v>
      </c>
      <c r="R1088" s="0" t="str">
        <f aca="false">IF($D1088&lt;&gt;"","["&amp;$E1088&amp;"]"&amp;"|"&amp;$Q1088&amp;"|"&amp;$K1088&amp;"|"&amp;$G1088&amp;"|"&amp;IF($G1088="TX_CURR_SUBNAT.R","CY2022Q4",$M1088),"")</f>
        <v>[lPTyjLi4w3d]|01-09|Male|HIV_PREV.T_1|CY2023Q3</v>
      </c>
    </row>
    <row r="1089" customFormat="false" ht="15" hidden="false" customHeight="false" outlineLevel="0" collapsed="false">
      <c r="D1089" s="9" t="s">
        <v>117</v>
      </c>
      <c r="E1089" s="9" t="s">
        <v>118</v>
      </c>
      <c r="F1089" s="9" t="s">
        <v>119</v>
      </c>
      <c r="G1089" s="9" t="s">
        <v>141</v>
      </c>
      <c r="H1089" s="9" t="s">
        <v>142</v>
      </c>
      <c r="I1089" s="0" t="s">
        <v>36</v>
      </c>
      <c r="J1089" s="9" t="s">
        <v>37</v>
      </c>
      <c r="K1089" s="9" t="s">
        <v>48</v>
      </c>
      <c r="L1089" s="9" t="s">
        <v>49</v>
      </c>
      <c r="M1089" s="0" t="s">
        <v>140</v>
      </c>
      <c r="N1089" s="0" t="n">
        <v>1509</v>
      </c>
      <c r="O1089" s="10" t="n">
        <v>0.112980037461966</v>
      </c>
      <c r="P1089" s="10" t="n">
        <v>0.206259709550068</v>
      </c>
      <c r="Q1089" s="0" t="str">
        <f aca="false">SUBSTITUTE(SUBSTITUTE($I1089,CHAR(61),""),CHAR(34),"")</f>
        <v>10-14</v>
      </c>
      <c r="R1089" s="0" t="str">
        <f aca="false">IF($D1089&lt;&gt;"","["&amp;$E1089&amp;"]"&amp;"|"&amp;$Q1089&amp;"|"&amp;$K1089&amp;"|"&amp;$G1089&amp;"|"&amp;IF($G1089="TX_CURR_SUBNAT.R","CY2022Q4",$M1089),"")</f>
        <v>[lPTyjLi4w3d]|10-14|Male|HIV_PREV.T_1|CY2023Q3</v>
      </c>
    </row>
    <row r="1090" customFormat="false" ht="15" hidden="false" customHeight="false" outlineLevel="0" collapsed="false">
      <c r="D1090" s="9" t="s">
        <v>117</v>
      </c>
      <c r="E1090" s="9" t="s">
        <v>118</v>
      </c>
      <c r="F1090" s="9" t="s">
        <v>119</v>
      </c>
      <c r="G1090" s="9" t="s">
        <v>141</v>
      </c>
      <c r="H1090" s="9" t="s">
        <v>142</v>
      </c>
      <c r="I1090" s="0" t="s">
        <v>38</v>
      </c>
      <c r="J1090" s="9" t="s">
        <v>39</v>
      </c>
      <c r="K1090" s="9" t="s">
        <v>48</v>
      </c>
      <c r="L1090" s="9" t="s">
        <v>49</v>
      </c>
      <c r="M1090" s="0" t="s">
        <v>140</v>
      </c>
      <c r="N1090" s="0" t="n">
        <v>677</v>
      </c>
      <c r="O1090" s="10" t="n">
        <v>0.0899345355574042</v>
      </c>
      <c r="P1090" s="10" t="n">
        <v>0.206259709550068</v>
      </c>
      <c r="Q1090" s="0" t="str">
        <f aca="false">SUBSTITUTE(SUBSTITUTE($I1090,CHAR(61),""),CHAR(34),"")</f>
        <v>15-24</v>
      </c>
      <c r="R1090" s="0" t="str">
        <f aca="false">IF($D1090&lt;&gt;"","["&amp;$E1090&amp;"]"&amp;"|"&amp;$Q1090&amp;"|"&amp;$K1090&amp;"|"&amp;$G1090&amp;"|"&amp;IF($G1090="TX_CURR_SUBNAT.R","CY2022Q4",$M1090),"")</f>
        <v>[lPTyjLi4w3d]|15-24|Male|HIV_PREV.T_1|CY2023Q3</v>
      </c>
    </row>
    <row r="1091" customFormat="false" ht="15" hidden="false" customHeight="false" outlineLevel="0" collapsed="false">
      <c r="D1091" s="9" t="s">
        <v>117</v>
      </c>
      <c r="E1091" s="9" t="s">
        <v>118</v>
      </c>
      <c r="F1091" s="9" t="s">
        <v>119</v>
      </c>
      <c r="G1091" s="9" t="s">
        <v>141</v>
      </c>
      <c r="H1091" s="9" t="s">
        <v>142</v>
      </c>
      <c r="I1091" s="0" t="s">
        <v>41</v>
      </c>
      <c r="J1091" s="9" t="s">
        <v>42</v>
      </c>
      <c r="K1091" s="9" t="s">
        <v>48</v>
      </c>
      <c r="L1091" s="9" t="s">
        <v>49</v>
      </c>
      <c r="M1091" s="0" t="s">
        <v>140</v>
      </c>
      <c r="N1091" s="0" t="n">
        <v>1858</v>
      </c>
      <c r="O1091" s="10" t="n">
        <v>0.935229685390368</v>
      </c>
      <c r="P1091" s="10" t="n">
        <v>0.206259709550068</v>
      </c>
      <c r="Q1091" s="0" t="str">
        <f aca="false">SUBSTITUTE(SUBSTITUTE($I1091,CHAR(61),""),CHAR(34),"")</f>
        <v>25-34</v>
      </c>
      <c r="R1091" s="0" t="str">
        <f aca="false">IF($D1091&lt;&gt;"","["&amp;$E1091&amp;"]"&amp;"|"&amp;$Q1091&amp;"|"&amp;$K1091&amp;"|"&amp;$G1091&amp;"|"&amp;IF($G1091="TX_CURR_SUBNAT.R","CY2022Q4",$M1091),"")</f>
        <v>[lPTyjLi4w3d]|25-34|Male|HIV_PREV.T_1|CY2023Q3</v>
      </c>
    </row>
    <row r="1092" customFormat="false" ht="15" hidden="false" customHeight="false" outlineLevel="0" collapsed="false">
      <c r="D1092" s="9" t="s">
        <v>117</v>
      </c>
      <c r="E1092" s="9" t="s">
        <v>118</v>
      </c>
      <c r="F1092" s="9" t="s">
        <v>119</v>
      </c>
      <c r="G1092" s="9" t="s">
        <v>141</v>
      </c>
      <c r="H1092" s="9" t="s">
        <v>142</v>
      </c>
      <c r="I1092" s="0" t="s">
        <v>43</v>
      </c>
      <c r="J1092" s="9" t="s">
        <v>44</v>
      </c>
      <c r="K1092" s="9" t="s">
        <v>48</v>
      </c>
      <c r="L1092" s="9" t="s">
        <v>49</v>
      </c>
      <c r="M1092" s="0" t="s">
        <v>140</v>
      </c>
      <c r="N1092" s="0" t="n">
        <v>1212</v>
      </c>
      <c r="O1092" s="10" t="n">
        <v>0.781874507665634</v>
      </c>
      <c r="P1092" s="10" t="n">
        <v>0.206259709550068</v>
      </c>
      <c r="Q1092" s="0" t="str">
        <f aca="false">SUBSTITUTE(SUBSTITUTE($I1092,CHAR(61),""),CHAR(34),"")</f>
        <v>35-49</v>
      </c>
      <c r="R1092" s="0" t="str">
        <f aca="false">IF($D1092&lt;&gt;"","["&amp;$E1092&amp;"]"&amp;"|"&amp;$Q1092&amp;"|"&amp;$K1092&amp;"|"&amp;$G1092&amp;"|"&amp;IF($G1092="TX_CURR_SUBNAT.R","CY2022Q4",$M1092),"")</f>
        <v>[lPTyjLi4w3d]|35-49|Male|HIV_PREV.T_1|CY2023Q3</v>
      </c>
    </row>
    <row r="1093" customFormat="false" ht="15" hidden="false" customHeight="false" outlineLevel="0" collapsed="false">
      <c r="D1093" s="9" t="s">
        <v>117</v>
      </c>
      <c r="E1093" s="9" t="s">
        <v>118</v>
      </c>
      <c r="F1093" s="9" t="s">
        <v>119</v>
      </c>
      <c r="G1093" s="9" t="s">
        <v>141</v>
      </c>
      <c r="H1093" s="9" t="s">
        <v>142</v>
      </c>
      <c r="I1093" s="0" t="s">
        <v>45</v>
      </c>
      <c r="J1093" s="9" t="s">
        <v>46</v>
      </c>
      <c r="K1093" s="9" t="s">
        <v>48</v>
      </c>
      <c r="L1093" s="9" t="s">
        <v>49</v>
      </c>
      <c r="M1093" s="0" t="s">
        <v>140</v>
      </c>
      <c r="N1093" s="0" t="n">
        <v>726</v>
      </c>
      <c r="O1093" s="10" t="n">
        <v>0.562725919531658</v>
      </c>
      <c r="P1093" s="10" t="n">
        <v>0.206259709550068</v>
      </c>
      <c r="Q1093" s="0" t="str">
        <f aca="false">SUBSTITUTE(SUBSTITUTE($I1093,CHAR(61),""),CHAR(34),"")</f>
        <v>50+</v>
      </c>
      <c r="R1093" s="0" t="str">
        <f aca="false">IF($D1093&lt;&gt;"","["&amp;$E1093&amp;"]"&amp;"|"&amp;$Q1093&amp;"|"&amp;$K1093&amp;"|"&amp;$G1093&amp;"|"&amp;IF($G1093="TX_CURR_SUBNAT.R","CY2022Q4",$M1093),"")</f>
        <v>[lPTyjLi4w3d]|50+|Male|HIV_PREV.T_1|CY2023Q3</v>
      </c>
    </row>
    <row r="1094" customFormat="false" ht="15" hidden="false" customHeight="false" outlineLevel="0" collapsed="false">
      <c r="D1094" s="9" t="s">
        <v>120</v>
      </c>
      <c r="E1094" s="9" t="s">
        <v>121</v>
      </c>
      <c r="F1094" s="9" t="s">
        <v>122</v>
      </c>
      <c r="G1094" s="9" t="s">
        <v>141</v>
      </c>
      <c r="H1094" s="9" t="s">
        <v>142</v>
      </c>
      <c r="I1094" s="0" t="s">
        <v>28</v>
      </c>
      <c r="J1094" s="9" t="s">
        <v>29</v>
      </c>
      <c r="K1094" s="9" t="s">
        <v>30</v>
      </c>
      <c r="L1094" s="9" t="s">
        <v>31</v>
      </c>
      <c r="M1094" s="0" t="s">
        <v>140</v>
      </c>
      <c r="N1094" s="0" t="n">
        <v>1416</v>
      </c>
      <c r="O1094" s="10" t="n">
        <v>0.700308444211259</v>
      </c>
      <c r="P1094" s="10" t="n">
        <v>0.430103979306296</v>
      </c>
      <c r="Q1094" s="0" t="str">
        <f aca="false">SUBSTITUTE(SUBSTITUTE($I1094,CHAR(61),""),CHAR(34),"")</f>
        <v>&lt;01</v>
      </c>
      <c r="R1094" s="0" t="str">
        <f aca="false">IF($D1094&lt;&gt;"","["&amp;$E1094&amp;"]"&amp;"|"&amp;$Q1094&amp;"|"&amp;$K1094&amp;"|"&amp;$G1094&amp;"|"&amp;IF($G1094="TX_CURR_SUBNAT.R","CY2022Q4",$M1094),"")</f>
        <v>[vA4NcHxfMBq]|&lt;01|Female|HIV_PREV.T_1|CY2023Q3</v>
      </c>
    </row>
    <row r="1095" customFormat="false" ht="15" hidden="false" customHeight="false" outlineLevel="0" collapsed="false">
      <c r="D1095" s="9" t="s">
        <v>120</v>
      </c>
      <c r="E1095" s="9" t="s">
        <v>121</v>
      </c>
      <c r="F1095" s="9" t="s">
        <v>122</v>
      </c>
      <c r="G1095" s="9" t="s">
        <v>141</v>
      </c>
      <c r="H1095" s="9" t="s">
        <v>142</v>
      </c>
      <c r="I1095" s="0" t="s">
        <v>33</v>
      </c>
      <c r="J1095" s="9" t="s">
        <v>34</v>
      </c>
      <c r="K1095" s="9" t="s">
        <v>30</v>
      </c>
      <c r="L1095" s="9" t="s">
        <v>31</v>
      </c>
      <c r="M1095" s="0" t="s">
        <v>140</v>
      </c>
      <c r="N1095" s="0" t="n">
        <v>813</v>
      </c>
      <c r="O1095" s="10" t="n">
        <v>0.428323650034145</v>
      </c>
      <c r="P1095" s="10" t="n">
        <v>0.430103979306296</v>
      </c>
      <c r="Q1095" s="0" t="str">
        <f aca="false">SUBSTITUTE(SUBSTITUTE($I1095,CHAR(61),""),CHAR(34),"")</f>
        <v>01-09</v>
      </c>
      <c r="R1095" s="0" t="str">
        <f aca="false">IF($D1095&lt;&gt;"","["&amp;$E1095&amp;"]"&amp;"|"&amp;$Q1095&amp;"|"&amp;$K1095&amp;"|"&amp;$G1095&amp;"|"&amp;IF($G1095="TX_CURR_SUBNAT.R","CY2022Q4",$M1095),"")</f>
        <v>[vA4NcHxfMBq]|01-09|Female|HIV_PREV.T_1|CY2023Q3</v>
      </c>
    </row>
    <row r="1096" customFormat="false" ht="15" hidden="false" customHeight="false" outlineLevel="0" collapsed="false">
      <c r="D1096" s="9" t="s">
        <v>120</v>
      </c>
      <c r="E1096" s="9" t="s">
        <v>121</v>
      </c>
      <c r="F1096" s="9" t="s">
        <v>122</v>
      </c>
      <c r="G1096" s="9" t="s">
        <v>141</v>
      </c>
      <c r="H1096" s="9" t="s">
        <v>142</v>
      </c>
      <c r="I1096" s="0" t="s">
        <v>36</v>
      </c>
      <c r="J1096" s="9" t="s">
        <v>37</v>
      </c>
      <c r="K1096" s="9" t="s">
        <v>30</v>
      </c>
      <c r="L1096" s="9" t="s">
        <v>31</v>
      </c>
      <c r="M1096" s="0" t="s">
        <v>140</v>
      </c>
      <c r="N1096" s="0" t="n">
        <v>1365</v>
      </c>
      <c r="O1096" s="10" t="n">
        <v>0.943991387495771</v>
      </c>
      <c r="P1096" s="10" t="n">
        <v>0.430103979306296</v>
      </c>
      <c r="Q1096" s="0" t="str">
        <f aca="false">SUBSTITUTE(SUBSTITUTE($I1096,CHAR(61),""),CHAR(34),"")</f>
        <v>10-14</v>
      </c>
      <c r="R1096" s="0" t="str">
        <f aca="false">IF($D1096&lt;&gt;"","["&amp;$E1096&amp;"]"&amp;"|"&amp;$Q1096&amp;"|"&amp;$K1096&amp;"|"&amp;$G1096&amp;"|"&amp;IF($G1096="TX_CURR_SUBNAT.R","CY2022Q4",$M1096),"")</f>
        <v>[vA4NcHxfMBq]|10-14|Female|HIV_PREV.T_1|CY2023Q3</v>
      </c>
    </row>
    <row r="1097" customFormat="false" ht="15" hidden="false" customHeight="false" outlineLevel="0" collapsed="false">
      <c r="D1097" s="9" t="s">
        <v>120</v>
      </c>
      <c r="E1097" s="9" t="s">
        <v>121</v>
      </c>
      <c r="F1097" s="9" t="s">
        <v>122</v>
      </c>
      <c r="G1097" s="9" t="s">
        <v>141</v>
      </c>
      <c r="H1097" s="9" t="s">
        <v>142</v>
      </c>
      <c r="I1097" s="0" t="s">
        <v>38</v>
      </c>
      <c r="J1097" s="9" t="s">
        <v>39</v>
      </c>
      <c r="K1097" s="9" t="s">
        <v>30</v>
      </c>
      <c r="L1097" s="9" t="s">
        <v>31</v>
      </c>
      <c r="M1097" s="0" t="s">
        <v>140</v>
      </c>
      <c r="N1097" s="0" t="n">
        <v>1095</v>
      </c>
      <c r="O1097" s="10" t="n">
        <v>0.500745878554881</v>
      </c>
      <c r="P1097" s="10" t="n">
        <v>0.430103979306296</v>
      </c>
      <c r="Q1097" s="0" t="str">
        <f aca="false">SUBSTITUTE(SUBSTITUTE($I1097,CHAR(61),""),CHAR(34),"")</f>
        <v>15-24</v>
      </c>
      <c r="R1097" s="0" t="str">
        <f aca="false">IF($D1097&lt;&gt;"","["&amp;$E1097&amp;"]"&amp;"|"&amp;$Q1097&amp;"|"&amp;$K1097&amp;"|"&amp;$G1097&amp;"|"&amp;IF($G1097="TX_CURR_SUBNAT.R","CY2022Q4",$M1097),"")</f>
        <v>[vA4NcHxfMBq]|15-24|Female|HIV_PREV.T_1|CY2023Q3</v>
      </c>
    </row>
    <row r="1098" customFormat="false" ht="15" hidden="false" customHeight="false" outlineLevel="0" collapsed="false">
      <c r="D1098" s="9" t="s">
        <v>120</v>
      </c>
      <c r="E1098" s="9" t="s">
        <v>121</v>
      </c>
      <c r="F1098" s="9" t="s">
        <v>122</v>
      </c>
      <c r="G1098" s="9" t="s">
        <v>141</v>
      </c>
      <c r="H1098" s="9" t="s">
        <v>142</v>
      </c>
      <c r="I1098" s="0" t="s">
        <v>41</v>
      </c>
      <c r="J1098" s="9" t="s">
        <v>42</v>
      </c>
      <c r="K1098" s="9" t="s">
        <v>30</v>
      </c>
      <c r="L1098" s="9" t="s">
        <v>31</v>
      </c>
      <c r="M1098" s="0" t="s">
        <v>140</v>
      </c>
      <c r="N1098" s="0" t="n">
        <v>1543</v>
      </c>
      <c r="O1098" s="10" t="n">
        <v>0.584666003705934</v>
      </c>
      <c r="P1098" s="10" t="n">
        <v>0.430103979306296</v>
      </c>
      <c r="Q1098" s="0" t="str">
        <f aca="false">SUBSTITUTE(SUBSTITUTE($I1098,CHAR(61),""),CHAR(34),"")</f>
        <v>25-34</v>
      </c>
      <c r="R1098" s="0" t="str">
        <f aca="false">IF($D1098&lt;&gt;"","["&amp;$E1098&amp;"]"&amp;"|"&amp;$Q1098&amp;"|"&amp;$K1098&amp;"|"&amp;$G1098&amp;"|"&amp;IF($G1098="TX_CURR_SUBNAT.R","CY2022Q4",$M1098),"")</f>
        <v>[vA4NcHxfMBq]|25-34|Female|HIV_PREV.T_1|CY2023Q3</v>
      </c>
    </row>
    <row r="1099" customFormat="false" ht="15" hidden="false" customHeight="false" outlineLevel="0" collapsed="false">
      <c r="D1099" s="9" t="s">
        <v>120</v>
      </c>
      <c r="E1099" s="9" t="s">
        <v>121</v>
      </c>
      <c r="F1099" s="9" t="s">
        <v>122</v>
      </c>
      <c r="G1099" s="9" t="s">
        <v>141</v>
      </c>
      <c r="H1099" s="9" t="s">
        <v>142</v>
      </c>
      <c r="I1099" s="0" t="s">
        <v>43</v>
      </c>
      <c r="J1099" s="9" t="s">
        <v>44</v>
      </c>
      <c r="K1099" s="9" t="s">
        <v>30</v>
      </c>
      <c r="L1099" s="9" t="s">
        <v>31</v>
      </c>
      <c r="M1099" s="0" t="s">
        <v>140</v>
      </c>
      <c r="N1099" s="0" t="n">
        <v>1121</v>
      </c>
      <c r="O1099" s="10" t="n">
        <v>0.945223728893325</v>
      </c>
      <c r="P1099" s="10" t="n">
        <v>0.430103979306296</v>
      </c>
      <c r="Q1099" s="0" t="str">
        <f aca="false">SUBSTITUTE(SUBSTITUTE($I1099,CHAR(61),""),CHAR(34),"")</f>
        <v>35-49</v>
      </c>
      <c r="R1099" s="0" t="str">
        <f aca="false">IF($D1099&lt;&gt;"","["&amp;$E1099&amp;"]"&amp;"|"&amp;$Q1099&amp;"|"&amp;$K1099&amp;"|"&amp;$G1099&amp;"|"&amp;IF($G1099="TX_CURR_SUBNAT.R","CY2022Q4",$M1099),"")</f>
        <v>[vA4NcHxfMBq]|35-49|Female|HIV_PREV.T_1|CY2023Q3</v>
      </c>
    </row>
    <row r="1100" customFormat="false" ht="15" hidden="false" customHeight="false" outlineLevel="0" collapsed="false">
      <c r="D1100" s="9" t="s">
        <v>120</v>
      </c>
      <c r="E1100" s="9" t="s">
        <v>121</v>
      </c>
      <c r="F1100" s="9" t="s">
        <v>122</v>
      </c>
      <c r="G1100" s="9" t="s">
        <v>141</v>
      </c>
      <c r="H1100" s="9" t="s">
        <v>142</v>
      </c>
      <c r="I1100" s="0" t="s">
        <v>45</v>
      </c>
      <c r="J1100" s="9" t="s">
        <v>46</v>
      </c>
      <c r="K1100" s="9" t="s">
        <v>30</v>
      </c>
      <c r="L1100" s="9" t="s">
        <v>31</v>
      </c>
      <c r="M1100" s="0" t="s">
        <v>140</v>
      </c>
      <c r="N1100" s="0" t="n">
        <v>1596</v>
      </c>
      <c r="O1100" s="10" t="n">
        <v>0.508639907464385</v>
      </c>
      <c r="P1100" s="10" t="n">
        <v>0.430103979306296</v>
      </c>
      <c r="Q1100" s="0" t="str">
        <f aca="false">SUBSTITUTE(SUBSTITUTE($I1100,CHAR(61),""),CHAR(34),"")</f>
        <v>50+</v>
      </c>
      <c r="R1100" s="0" t="str">
        <f aca="false">IF($D1100&lt;&gt;"","["&amp;$E1100&amp;"]"&amp;"|"&amp;$Q1100&amp;"|"&amp;$K1100&amp;"|"&amp;$G1100&amp;"|"&amp;IF($G1100="TX_CURR_SUBNAT.R","CY2022Q4",$M1100),"")</f>
        <v>[vA4NcHxfMBq]|50+|Female|HIV_PREV.T_1|CY2023Q3</v>
      </c>
    </row>
    <row r="1101" customFormat="false" ht="15" hidden="false" customHeight="false" outlineLevel="0" collapsed="false">
      <c r="D1101" s="9" t="s">
        <v>120</v>
      </c>
      <c r="E1101" s="9" t="s">
        <v>121</v>
      </c>
      <c r="F1101" s="9" t="s">
        <v>122</v>
      </c>
      <c r="G1101" s="9" t="s">
        <v>141</v>
      </c>
      <c r="H1101" s="9" t="s">
        <v>142</v>
      </c>
      <c r="I1101" s="0" t="s">
        <v>28</v>
      </c>
      <c r="J1101" s="9" t="s">
        <v>29</v>
      </c>
      <c r="K1101" s="9" t="s">
        <v>48</v>
      </c>
      <c r="L1101" s="9" t="s">
        <v>49</v>
      </c>
      <c r="M1101" s="0" t="s">
        <v>140</v>
      </c>
      <c r="N1101" s="0" t="n">
        <v>1160</v>
      </c>
      <c r="O1101" s="10" t="n">
        <v>0.568846998969093</v>
      </c>
      <c r="P1101" s="10" t="n">
        <v>0.430103979306296</v>
      </c>
      <c r="Q1101" s="0" t="str">
        <f aca="false">SUBSTITUTE(SUBSTITUTE($I1101,CHAR(61),""),CHAR(34),"")</f>
        <v>&lt;01</v>
      </c>
      <c r="R1101" s="0" t="str">
        <f aca="false">IF($D1101&lt;&gt;"","["&amp;$E1101&amp;"]"&amp;"|"&amp;$Q1101&amp;"|"&amp;$K1101&amp;"|"&amp;$G1101&amp;"|"&amp;IF($G1101="TX_CURR_SUBNAT.R","CY2022Q4",$M1101),"")</f>
        <v>[vA4NcHxfMBq]|&lt;01|Male|HIV_PREV.T_1|CY2023Q3</v>
      </c>
    </row>
    <row r="1102" customFormat="false" ht="15" hidden="false" customHeight="false" outlineLevel="0" collapsed="false">
      <c r="D1102" s="9" t="s">
        <v>120</v>
      </c>
      <c r="E1102" s="9" t="s">
        <v>121</v>
      </c>
      <c r="F1102" s="9" t="s">
        <v>122</v>
      </c>
      <c r="G1102" s="9" t="s">
        <v>141</v>
      </c>
      <c r="H1102" s="9" t="s">
        <v>142</v>
      </c>
      <c r="I1102" s="0" t="s">
        <v>33</v>
      </c>
      <c r="J1102" s="9" t="s">
        <v>34</v>
      </c>
      <c r="K1102" s="9" t="s">
        <v>48</v>
      </c>
      <c r="L1102" s="9" t="s">
        <v>49</v>
      </c>
      <c r="M1102" s="0" t="s">
        <v>140</v>
      </c>
      <c r="N1102" s="0" t="n">
        <v>1960</v>
      </c>
      <c r="O1102" s="10" t="n">
        <v>0.683815436437726</v>
      </c>
      <c r="P1102" s="10" t="n">
        <v>0.430103979306296</v>
      </c>
      <c r="Q1102" s="0" t="str">
        <f aca="false">SUBSTITUTE(SUBSTITUTE($I1102,CHAR(61),""),CHAR(34),"")</f>
        <v>01-09</v>
      </c>
      <c r="R1102" s="0" t="str">
        <f aca="false">IF($D1102&lt;&gt;"","["&amp;$E1102&amp;"]"&amp;"|"&amp;$Q1102&amp;"|"&amp;$K1102&amp;"|"&amp;$G1102&amp;"|"&amp;IF($G1102="TX_CURR_SUBNAT.R","CY2022Q4",$M1102),"")</f>
        <v>[vA4NcHxfMBq]|01-09|Male|HIV_PREV.T_1|CY2023Q3</v>
      </c>
    </row>
    <row r="1103" customFormat="false" ht="15" hidden="false" customHeight="false" outlineLevel="0" collapsed="false">
      <c r="D1103" s="9" t="s">
        <v>120</v>
      </c>
      <c r="E1103" s="9" t="s">
        <v>121</v>
      </c>
      <c r="F1103" s="9" t="s">
        <v>122</v>
      </c>
      <c r="G1103" s="9" t="s">
        <v>141</v>
      </c>
      <c r="H1103" s="9" t="s">
        <v>142</v>
      </c>
      <c r="I1103" s="0" t="s">
        <v>36</v>
      </c>
      <c r="J1103" s="9" t="s">
        <v>37</v>
      </c>
      <c r="K1103" s="9" t="s">
        <v>48</v>
      </c>
      <c r="L1103" s="9" t="s">
        <v>49</v>
      </c>
      <c r="M1103" s="0" t="s">
        <v>140</v>
      </c>
      <c r="N1103" s="0" t="n">
        <v>601</v>
      </c>
      <c r="O1103" s="10" t="n">
        <v>0.747110962169245</v>
      </c>
      <c r="P1103" s="10" t="n">
        <v>0.430103979306296</v>
      </c>
      <c r="Q1103" s="0" t="str">
        <f aca="false">SUBSTITUTE(SUBSTITUTE($I1103,CHAR(61),""),CHAR(34),"")</f>
        <v>10-14</v>
      </c>
      <c r="R1103" s="0" t="str">
        <f aca="false">IF($D1103&lt;&gt;"","["&amp;$E1103&amp;"]"&amp;"|"&amp;$Q1103&amp;"|"&amp;$K1103&amp;"|"&amp;$G1103&amp;"|"&amp;IF($G1103="TX_CURR_SUBNAT.R","CY2022Q4",$M1103),"")</f>
        <v>[vA4NcHxfMBq]|10-14|Male|HIV_PREV.T_1|CY2023Q3</v>
      </c>
    </row>
    <row r="1104" customFormat="false" ht="15" hidden="false" customHeight="false" outlineLevel="0" collapsed="false">
      <c r="D1104" s="9" t="s">
        <v>120</v>
      </c>
      <c r="E1104" s="9" t="s">
        <v>121</v>
      </c>
      <c r="F1104" s="9" t="s">
        <v>122</v>
      </c>
      <c r="G1104" s="9" t="s">
        <v>141</v>
      </c>
      <c r="H1104" s="9" t="s">
        <v>142</v>
      </c>
      <c r="I1104" s="0" t="s">
        <v>38</v>
      </c>
      <c r="J1104" s="9" t="s">
        <v>39</v>
      </c>
      <c r="K1104" s="9" t="s">
        <v>48</v>
      </c>
      <c r="L1104" s="9" t="s">
        <v>49</v>
      </c>
      <c r="M1104" s="0" t="s">
        <v>140</v>
      </c>
      <c r="N1104" s="0" t="n">
        <v>1106</v>
      </c>
      <c r="O1104" s="10" t="n">
        <v>0.212430398445576</v>
      </c>
      <c r="P1104" s="10" t="n">
        <v>0.430103979306296</v>
      </c>
      <c r="Q1104" s="0" t="str">
        <f aca="false">SUBSTITUTE(SUBSTITUTE($I1104,CHAR(61),""),CHAR(34),"")</f>
        <v>15-24</v>
      </c>
      <c r="R1104" s="0" t="str">
        <f aca="false">IF($D1104&lt;&gt;"","["&amp;$E1104&amp;"]"&amp;"|"&amp;$Q1104&amp;"|"&amp;$K1104&amp;"|"&amp;$G1104&amp;"|"&amp;IF($G1104="TX_CURR_SUBNAT.R","CY2022Q4",$M1104),"")</f>
        <v>[vA4NcHxfMBq]|15-24|Male|HIV_PREV.T_1|CY2023Q3</v>
      </c>
    </row>
    <row r="1105" customFormat="false" ht="15" hidden="false" customHeight="false" outlineLevel="0" collapsed="false">
      <c r="D1105" s="9" t="s">
        <v>120</v>
      </c>
      <c r="E1105" s="9" t="s">
        <v>121</v>
      </c>
      <c r="F1105" s="9" t="s">
        <v>122</v>
      </c>
      <c r="G1105" s="9" t="s">
        <v>141</v>
      </c>
      <c r="H1105" s="9" t="s">
        <v>142</v>
      </c>
      <c r="I1105" s="0" t="s">
        <v>41</v>
      </c>
      <c r="J1105" s="9" t="s">
        <v>42</v>
      </c>
      <c r="K1105" s="9" t="s">
        <v>48</v>
      </c>
      <c r="L1105" s="9" t="s">
        <v>49</v>
      </c>
      <c r="M1105" s="0" t="s">
        <v>140</v>
      </c>
      <c r="N1105" s="0" t="n">
        <v>1558</v>
      </c>
      <c r="O1105" s="10" t="n">
        <v>0.333358739735559</v>
      </c>
      <c r="P1105" s="10" t="n">
        <v>0.430103979306296</v>
      </c>
      <c r="Q1105" s="0" t="str">
        <f aca="false">SUBSTITUTE(SUBSTITUTE($I1105,CHAR(61),""),CHAR(34),"")</f>
        <v>25-34</v>
      </c>
      <c r="R1105" s="0" t="str">
        <f aca="false">IF($D1105&lt;&gt;"","["&amp;$E1105&amp;"]"&amp;"|"&amp;$Q1105&amp;"|"&amp;$K1105&amp;"|"&amp;$G1105&amp;"|"&amp;IF($G1105="TX_CURR_SUBNAT.R","CY2022Q4",$M1105),"")</f>
        <v>[vA4NcHxfMBq]|25-34|Male|HIV_PREV.T_1|CY2023Q3</v>
      </c>
    </row>
    <row r="1106" customFormat="false" ht="15" hidden="false" customHeight="false" outlineLevel="0" collapsed="false">
      <c r="D1106" s="9" t="s">
        <v>120</v>
      </c>
      <c r="E1106" s="9" t="s">
        <v>121</v>
      </c>
      <c r="F1106" s="9" t="s">
        <v>122</v>
      </c>
      <c r="G1106" s="9" t="s">
        <v>141</v>
      </c>
      <c r="H1106" s="9" t="s">
        <v>142</v>
      </c>
      <c r="I1106" s="0" t="s">
        <v>43</v>
      </c>
      <c r="J1106" s="9" t="s">
        <v>44</v>
      </c>
      <c r="K1106" s="9" t="s">
        <v>48</v>
      </c>
      <c r="L1106" s="9" t="s">
        <v>49</v>
      </c>
      <c r="M1106" s="0" t="s">
        <v>140</v>
      </c>
      <c r="N1106" s="0" t="n">
        <v>952</v>
      </c>
      <c r="O1106" s="10" t="n">
        <v>0.598982326453552</v>
      </c>
      <c r="P1106" s="10" t="n">
        <v>0.430103979306296</v>
      </c>
      <c r="Q1106" s="0" t="str">
        <f aca="false">SUBSTITUTE(SUBSTITUTE($I1106,CHAR(61),""),CHAR(34),"")</f>
        <v>35-49</v>
      </c>
      <c r="R1106" s="0" t="str">
        <f aca="false">IF($D1106&lt;&gt;"","["&amp;$E1106&amp;"]"&amp;"|"&amp;$Q1106&amp;"|"&amp;$K1106&amp;"|"&amp;$G1106&amp;"|"&amp;IF($G1106="TX_CURR_SUBNAT.R","CY2022Q4",$M1106),"")</f>
        <v>[vA4NcHxfMBq]|35-49|Male|HIV_PREV.T_1|CY2023Q3</v>
      </c>
    </row>
    <row r="1107" customFormat="false" ht="15" hidden="false" customHeight="false" outlineLevel="0" collapsed="false">
      <c r="D1107" s="9" t="s">
        <v>120</v>
      </c>
      <c r="E1107" s="9" t="s">
        <v>121</v>
      </c>
      <c r="F1107" s="9" t="s">
        <v>122</v>
      </c>
      <c r="G1107" s="9" t="s">
        <v>141</v>
      </c>
      <c r="H1107" s="9" t="s">
        <v>142</v>
      </c>
      <c r="I1107" s="0" t="s">
        <v>45</v>
      </c>
      <c r="J1107" s="9" t="s">
        <v>46</v>
      </c>
      <c r="K1107" s="9" t="s">
        <v>48</v>
      </c>
      <c r="L1107" s="9" t="s">
        <v>49</v>
      </c>
      <c r="M1107" s="0" t="s">
        <v>140</v>
      </c>
      <c r="N1107" s="0" t="n">
        <v>678</v>
      </c>
      <c r="O1107" s="10" t="n">
        <v>0.267097992356867</v>
      </c>
      <c r="P1107" s="10" t="n">
        <v>0.430103979306296</v>
      </c>
      <c r="Q1107" s="0" t="str">
        <f aca="false">SUBSTITUTE(SUBSTITUTE($I1107,CHAR(61),""),CHAR(34),"")</f>
        <v>50+</v>
      </c>
      <c r="R1107" s="0" t="str">
        <f aca="false">IF($D1107&lt;&gt;"","["&amp;$E1107&amp;"]"&amp;"|"&amp;$Q1107&amp;"|"&amp;$K1107&amp;"|"&amp;$G1107&amp;"|"&amp;IF($G1107="TX_CURR_SUBNAT.R","CY2022Q4",$M1107),"")</f>
        <v>[vA4NcHxfMBq]|50+|Male|HIV_PREV.T_1|CY2023Q3</v>
      </c>
    </row>
    <row r="1108" customFormat="false" ht="15" hidden="false" customHeight="false" outlineLevel="0" collapsed="false">
      <c r="D1108" s="9" t="s">
        <v>123</v>
      </c>
      <c r="E1108" s="9" t="s">
        <v>124</v>
      </c>
      <c r="F1108" s="9" t="s">
        <v>125</v>
      </c>
      <c r="G1108" s="9" t="s">
        <v>141</v>
      </c>
      <c r="H1108" s="9" t="s">
        <v>142</v>
      </c>
      <c r="I1108" s="0" t="s">
        <v>28</v>
      </c>
      <c r="J1108" s="9" t="s">
        <v>29</v>
      </c>
      <c r="K1108" s="9" t="s">
        <v>30</v>
      </c>
      <c r="L1108" s="9" t="s">
        <v>31</v>
      </c>
      <c r="M1108" s="0" t="s">
        <v>140</v>
      </c>
      <c r="N1108" s="0" t="n">
        <v>1522</v>
      </c>
      <c r="O1108" s="10" t="n">
        <v>0.738355521811172</v>
      </c>
      <c r="P1108" s="10" t="n">
        <v>0.419500603340566</v>
      </c>
      <c r="Q1108" s="0" t="str">
        <f aca="false">SUBSTITUTE(SUBSTITUTE($I1108,CHAR(61),""),CHAR(34),"")</f>
        <v>&lt;01</v>
      </c>
      <c r="R1108" s="0" t="str">
        <f aca="false">IF($D1108&lt;&gt;"","["&amp;$E1108&amp;"]"&amp;"|"&amp;$Q1108&amp;"|"&amp;$K1108&amp;"|"&amp;$G1108&amp;"|"&amp;IF($G1108="TX_CURR_SUBNAT.R","CY2022Q4",$M1108),"")</f>
        <v>[E7zpfyBt7Tw]|&lt;01|Female|HIV_PREV.T_1|CY2023Q3</v>
      </c>
    </row>
    <row r="1109" customFormat="false" ht="15" hidden="false" customHeight="false" outlineLevel="0" collapsed="false">
      <c r="D1109" s="9" t="s">
        <v>123</v>
      </c>
      <c r="E1109" s="9" t="s">
        <v>124</v>
      </c>
      <c r="F1109" s="9" t="s">
        <v>125</v>
      </c>
      <c r="G1109" s="9" t="s">
        <v>141</v>
      </c>
      <c r="H1109" s="9" t="s">
        <v>142</v>
      </c>
      <c r="I1109" s="0" t="s">
        <v>33</v>
      </c>
      <c r="J1109" s="9" t="s">
        <v>34</v>
      </c>
      <c r="K1109" s="9" t="s">
        <v>30</v>
      </c>
      <c r="L1109" s="9" t="s">
        <v>31</v>
      </c>
      <c r="M1109" s="0" t="s">
        <v>140</v>
      </c>
      <c r="N1109" s="0" t="n">
        <v>1397</v>
      </c>
      <c r="O1109" s="10" t="n">
        <v>0.86308331717737</v>
      </c>
      <c r="P1109" s="10" t="n">
        <v>0.419500603340566</v>
      </c>
      <c r="Q1109" s="0" t="str">
        <f aca="false">SUBSTITUTE(SUBSTITUTE($I1109,CHAR(61),""),CHAR(34),"")</f>
        <v>01-09</v>
      </c>
      <c r="R1109" s="0" t="str">
        <f aca="false">IF($D1109&lt;&gt;"","["&amp;$E1109&amp;"]"&amp;"|"&amp;$Q1109&amp;"|"&amp;$K1109&amp;"|"&amp;$G1109&amp;"|"&amp;IF($G1109="TX_CURR_SUBNAT.R","CY2022Q4",$M1109),"")</f>
        <v>[E7zpfyBt7Tw]|01-09|Female|HIV_PREV.T_1|CY2023Q3</v>
      </c>
    </row>
    <row r="1110" customFormat="false" ht="15" hidden="false" customHeight="false" outlineLevel="0" collapsed="false">
      <c r="D1110" s="9" t="s">
        <v>123</v>
      </c>
      <c r="E1110" s="9" t="s">
        <v>124</v>
      </c>
      <c r="F1110" s="9" t="s">
        <v>125</v>
      </c>
      <c r="G1110" s="9" t="s">
        <v>141</v>
      </c>
      <c r="H1110" s="9" t="s">
        <v>142</v>
      </c>
      <c r="I1110" s="0" t="s">
        <v>36</v>
      </c>
      <c r="J1110" s="9" t="s">
        <v>37</v>
      </c>
      <c r="K1110" s="9" t="s">
        <v>30</v>
      </c>
      <c r="L1110" s="9" t="s">
        <v>31</v>
      </c>
      <c r="M1110" s="0" t="s">
        <v>140</v>
      </c>
      <c r="N1110" s="0" t="n">
        <v>744</v>
      </c>
      <c r="O1110" s="10" t="n">
        <v>0.399869582150131</v>
      </c>
      <c r="P1110" s="10" t="n">
        <v>0.419500603340566</v>
      </c>
      <c r="Q1110" s="0" t="str">
        <f aca="false">SUBSTITUTE(SUBSTITUTE($I1110,CHAR(61),""),CHAR(34),"")</f>
        <v>10-14</v>
      </c>
      <c r="R1110" s="0" t="str">
        <f aca="false">IF($D1110&lt;&gt;"","["&amp;$E1110&amp;"]"&amp;"|"&amp;$Q1110&amp;"|"&amp;$K1110&amp;"|"&amp;$G1110&amp;"|"&amp;IF($G1110="TX_CURR_SUBNAT.R","CY2022Q4",$M1110),"")</f>
        <v>[E7zpfyBt7Tw]|10-14|Female|HIV_PREV.T_1|CY2023Q3</v>
      </c>
    </row>
    <row r="1111" customFormat="false" ht="15" hidden="false" customHeight="false" outlineLevel="0" collapsed="false">
      <c r="D1111" s="9" t="s">
        <v>123</v>
      </c>
      <c r="E1111" s="9" t="s">
        <v>124</v>
      </c>
      <c r="F1111" s="9" t="s">
        <v>125</v>
      </c>
      <c r="G1111" s="9" t="s">
        <v>141</v>
      </c>
      <c r="H1111" s="9" t="s">
        <v>142</v>
      </c>
      <c r="I1111" s="0" t="s">
        <v>38</v>
      </c>
      <c r="J1111" s="9" t="s">
        <v>39</v>
      </c>
      <c r="K1111" s="9" t="s">
        <v>30</v>
      </c>
      <c r="L1111" s="9" t="s">
        <v>31</v>
      </c>
      <c r="M1111" s="0" t="s">
        <v>140</v>
      </c>
      <c r="N1111" s="0" t="n">
        <v>717</v>
      </c>
      <c r="O1111" s="10" t="n">
        <v>0.00518329371698201</v>
      </c>
      <c r="P1111" s="10" t="n">
        <v>0.419500603340566</v>
      </c>
      <c r="Q1111" s="0" t="str">
        <f aca="false">SUBSTITUTE(SUBSTITUTE($I1111,CHAR(61),""),CHAR(34),"")</f>
        <v>15-24</v>
      </c>
      <c r="R1111" s="0" t="str">
        <f aca="false">IF($D1111&lt;&gt;"","["&amp;$E1111&amp;"]"&amp;"|"&amp;$Q1111&amp;"|"&amp;$K1111&amp;"|"&amp;$G1111&amp;"|"&amp;IF($G1111="TX_CURR_SUBNAT.R","CY2022Q4",$M1111),"")</f>
        <v>[E7zpfyBt7Tw]|15-24|Female|HIV_PREV.T_1|CY2023Q3</v>
      </c>
    </row>
    <row r="1112" customFormat="false" ht="15" hidden="false" customHeight="false" outlineLevel="0" collapsed="false">
      <c r="D1112" s="9" t="s">
        <v>123</v>
      </c>
      <c r="E1112" s="9" t="s">
        <v>124</v>
      </c>
      <c r="F1112" s="9" t="s">
        <v>125</v>
      </c>
      <c r="G1112" s="9" t="s">
        <v>141</v>
      </c>
      <c r="H1112" s="9" t="s">
        <v>142</v>
      </c>
      <c r="I1112" s="0" t="s">
        <v>41</v>
      </c>
      <c r="J1112" s="9" t="s">
        <v>42</v>
      </c>
      <c r="K1112" s="9" t="s">
        <v>30</v>
      </c>
      <c r="L1112" s="9" t="s">
        <v>31</v>
      </c>
      <c r="M1112" s="0" t="s">
        <v>140</v>
      </c>
      <c r="N1112" s="0" t="n">
        <v>1859</v>
      </c>
      <c r="O1112" s="10" t="n">
        <v>0.681554596638307</v>
      </c>
      <c r="P1112" s="10" t="n">
        <v>0.419500603340566</v>
      </c>
      <c r="Q1112" s="0" t="str">
        <f aca="false">SUBSTITUTE(SUBSTITUTE($I1112,CHAR(61),""),CHAR(34),"")</f>
        <v>25-34</v>
      </c>
      <c r="R1112" s="0" t="str">
        <f aca="false">IF($D1112&lt;&gt;"","["&amp;$E1112&amp;"]"&amp;"|"&amp;$Q1112&amp;"|"&amp;$K1112&amp;"|"&amp;$G1112&amp;"|"&amp;IF($G1112="TX_CURR_SUBNAT.R","CY2022Q4",$M1112),"")</f>
        <v>[E7zpfyBt7Tw]|25-34|Female|HIV_PREV.T_1|CY2023Q3</v>
      </c>
    </row>
    <row r="1113" customFormat="false" ht="15" hidden="false" customHeight="false" outlineLevel="0" collapsed="false">
      <c r="D1113" s="9" t="s">
        <v>123</v>
      </c>
      <c r="E1113" s="9" t="s">
        <v>124</v>
      </c>
      <c r="F1113" s="9" t="s">
        <v>125</v>
      </c>
      <c r="G1113" s="9" t="s">
        <v>141</v>
      </c>
      <c r="H1113" s="9" t="s">
        <v>142</v>
      </c>
      <c r="I1113" s="0" t="s">
        <v>43</v>
      </c>
      <c r="J1113" s="9" t="s">
        <v>44</v>
      </c>
      <c r="K1113" s="9" t="s">
        <v>30</v>
      </c>
      <c r="L1113" s="9" t="s">
        <v>31</v>
      </c>
      <c r="M1113" s="0" t="s">
        <v>140</v>
      </c>
      <c r="N1113" s="0" t="n">
        <v>811</v>
      </c>
      <c r="O1113" s="10" t="n">
        <v>0.35099401907064</v>
      </c>
      <c r="P1113" s="10" t="n">
        <v>0.419500603340566</v>
      </c>
      <c r="Q1113" s="0" t="str">
        <f aca="false">SUBSTITUTE(SUBSTITUTE($I1113,CHAR(61),""),CHAR(34),"")</f>
        <v>35-49</v>
      </c>
      <c r="R1113" s="0" t="str">
        <f aca="false">IF($D1113&lt;&gt;"","["&amp;$E1113&amp;"]"&amp;"|"&amp;$Q1113&amp;"|"&amp;$K1113&amp;"|"&amp;$G1113&amp;"|"&amp;IF($G1113="TX_CURR_SUBNAT.R","CY2022Q4",$M1113),"")</f>
        <v>[E7zpfyBt7Tw]|35-49|Female|HIV_PREV.T_1|CY2023Q3</v>
      </c>
    </row>
    <row r="1114" customFormat="false" ht="15" hidden="false" customHeight="false" outlineLevel="0" collapsed="false">
      <c r="D1114" s="9" t="s">
        <v>123</v>
      </c>
      <c r="E1114" s="9" t="s">
        <v>124</v>
      </c>
      <c r="F1114" s="9" t="s">
        <v>125</v>
      </c>
      <c r="G1114" s="9" t="s">
        <v>141</v>
      </c>
      <c r="H1114" s="9" t="s">
        <v>142</v>
      </c>
      <c r="I1114" s="0" t="s">
        <v>45</v>
      </c>
      <c r="J1114" s="9" t="s">
        <v>46</v>
      </c>
      <c r="K1114" s="9" t="s">
        <v>30</v>
      </c>
      <c r="L1114" s="9" t="s">
        <v>31</v>
      </c>
      <c r="M1114" s="0" t="s">
        <v>140</v>
      </c>
      <c r="N1114" s="0" t="n">
        <v>1237</v>
      </c>
      <c r="O1114" s="10" t="n">
        <v>0.0814939308911562</v>
      </c>
      <c r="P1114" s="10" t="n">
        <v>0.419500603340566</v>
      </c>
      <c r="Q1114" s="0" t="str">
        <f aca="false">SUBSTITUTE(SUBSTITUTE($I1114,CHAR(61),""),CHAR(34),"")</f>
        <v>50+</v>
      </c>
      <c r="R1114" s="0" t="str">
        <f aca="false">IF($D1114&lt;&gt;"","["&amp;$E1114&amp;"]"&amp;"|"&amp;$Q1114&amp;"|"&amp;$K1114&amp;"|"&amp;$G1114&amp;"|"&amp;IF($G1114="TX_CURR_SUBNAT.R","CY2022Q4",$M1114),"")</f>
        <v>[E7zpfyBt7Tw]|50+|Female|HIV_PREV.T_1|CY2023Q3</v>
      </c>
    </row>
    <row r="1115" customFormat="false" ht="15" hidden="false" customHeight="false" outlineLevel="0" collapsed="false">
      <c r="D1115" s="9" t="s">
        <v>123</v>
      </c>
      <c r="E1115" s="9" t="s">
        <v>124</v>
      </c>
      <c r="F1115" s="9" t="s">
        <v>125</v>
      </c>
      <c r="G1115" s="9" t="s">
        <v>141</v>
      </c>
      <c r="H1115" s="9" t="s">
        <v>142</v>
      </c>
      <c r="I1115" s="0" t="s">
        <v>28</v>
      </c>
      <c r="J1115" s="9" t="s">
        <v>29</v>
      </c>
      <c r="K1115" s="9" t="s">
        <v>48</v>
      </c>
      <c r="L1115" s="9" t="s">
        <v>49</v>
      </c>
      <c r="M1115" s="0" t="s">
        <v>140</v>
      </c>
      <c r="N1115" s="0" t="n">
        <v>1201</v>
      </c>
      <c r="O1115" s="10" t="n">
        <v>0.0813301699236035</v>
      </c>
      <c r="P1115" s="10" t="n">
        <v>0.419500603340566</v>
      </c>
      <c r="Q1115" s="0" t="str">
        <f aca="false">SUBSTITUTE(SUBSTITUTE($I1115,CHAR(61),""),CHAR(34),"")</f>
        <v>&lt;01</v>
      </c>
      <c r="R1115" s="0" t="str">
        <f aca="false">IF($D1115&lt;&gt;"","["&amp;$E1115&amp;"]"&amp;"|"&amp;$Q1115&amp;"|"&amp;$K1115&amp;"|"&amp;$G1115&amp;"|"&amp;IF($G1115="TX_CURR_SUBNAT.R","CY2022Q4",$M1115),"")</f>
        <v>[E7zpfyBt7Tw]|&lt;01|Male|HIV_PREV.T_1|CY2023Q3</v>
      </c>
    </row>
    <row r="1116" customFormat="false" ht="15" hidden="false" customHeight="false" outlineLevel="0" collapsed="false">
      <c r="D1116" s="9" t="s">
        <v>123</v>
      </c>
      <c r="E1116" s="9" t="s">
        <v>124</v>
      </c>
      <c r="F1116" s="9" t="s">
        <v>125</v>
      </c>
      <c r="G1116" s="9" t="s">
        <v>141</v>
      </c>
      <c r="H1116" s="9" t="s">
        <v>142</v>
      </c>
      <c r="I1116" s="0" t="s">
        <v>33</v>
      </c>
      <c r="J1116" s="9" t="s">
        <v>34</v>
      </c>
      <c r="K1116" s="9" t="s">
        <v>48</v>
      </c>
      <c r="L1116" s="9" t="s">
        <v>49</v>
      </c>
      <c r="M1116" s="0" t="s">
        <v>140</v>
      </c>
      <c r="N1116" s="0" t="n">
        <v>1950</v>
      </c>
      <c r="O1116" s="10" t="n">
        <v>0.0526768371928483</v>
      </c>
      <c r="P1116" s="10" t="n">
        <v>0.419500603340566</v>
      </c>
      <c r="Q1116" s="0" t="str">
        <f aca="false">SUBSTITUTE(SUBSTITUTE($I1116,CHAR(61),""),CHAR(34),"")</f>
        <v>01-09</v>
      </c>
      <c r="R1116" s="0" t="str">
        <f aca="false">IF($D1116&lt;&gt;"","["&amp;$E1116&amp;"]"&amp;"|"&amp;$Q1116&amp;"|"&amp;$K1116&amp;"|"&amp;$G1116&amp;"|"&amp;IF($G1116="TX_CURR_SUBNAT.R","CY2022Q4",$M1116),"")</f>
        <v>[E7zpfyBt7Tw]|01-09|Male|HIV_PREV.T_1|CY2023Q3</v>
      </c>
    </row>
    <row r="1117" customFormat="false" ht="15" hidden="false" customHeight="false" outlineLevel="0" collapsed="false">
      <c r="D1117" s="9" t="s">
        <v>123</v>
      </c>
      <c r="E1117" s="9" t="s">
        <v>124</v>
      </c>
      <c r="F1117" s="9" t="s">
        <v>125</v>
      </c>
      <c r="G1117" s="9" t="s">
        <v>141</v>
      </c>
      <c r="H1117" s="9" t="s">
        <v>142</v>
      </c>
      <c r="I1117" s="0" t="s">
        <v>36</v>
      </c>
      <c r="J1117" s="9" t="s">
        <v>37</v>
      </c>
      <c r="K1117" s="9" t="s">
        <v>48</v>
      </c>
      <c r="L1117" s="9" t="s">
        <v>49</v>
      </c>
      <c r="M1117" s="0" t="s">
        <v>140</v>
      </c>
      <c r="N1117" s="0" t="n">
        <v>992</v>
      </c>
      <c r="O1117" s="10" t="n">
        <v>0.795763714239001</v>
      </c>
      <c r="P1117" s="10" t="n">
        <v>0.419500603340566</v>
      </c>
      <c r="Q1117" s="0" t="str">
        <f aca="false">SUBSTITUTE(SUBSTITUTE($I1117,CHAR(61),""),CHAR(34),"")</f>
        <v>10-14</v>
      </c>
      <c r="R1117" s="0" t="str">
        <f aca="false">IF($D1117&lt;&gt;"","["&amp;$E1117&amp;"]"&amp;"|"&amp;$Q1117&amp;"|"&amp;$K1117&amp;"|"&amp;$G1117&amp;"|"&amp;IF($G1117="TX_CURR_SUBNAT.R","CY2022Q4",$M1117),"")</f>
        <v>[E7zpfyBt7Tw]|10-14|Male|HIV_PREV.T_1|CY2023Q3</v>
      </c>
    </row>
    <row r="1118" customFormat="false" ht="15" hidden="false" customHeight="false" outlineLevel="0" collapsed="false">
      <c r="D1118" s="9" t="s">
        <v>123</v>
      </c>
      <c r="E1118" s="9" t="s">
        <v>124</v>
      </c>
      <c r="F1118" s="9" t="s">
        <v>125</v>
      </c>
      <c r="G1118" s="9" t="s">
        <v>141</v>
      </c>
      <c r="H1118" s="9" t="s">
        <v>142</v>
      </c>
      <c r="I1118" s="0" t="s">
        <v>38</v>
      </c>
      <c r="J1118" s="9" t="s">
        <v>39</v>
      </c>
      <c r="K1118" s="9" t="s">
        <v>48</v>
      </c>
      <c r="L1118" s="9" t="s">
        <v>49</v>
      </c>
      <c r="M1118" s="0" t="s">
        <v>140</v>
      </c>
      <c r="N1118" s="0" t="n">
        <v>1363</v>
      </c>
      <c r="O1118" s="10" t="n">
        <v>0.0257837229873985</v>
      </c>
      <c r="P1118" s="10" t="n">
        <v>0.419500603340566</v>
      </c>
      <c r="Q1118" s="0" t="str">
        <f aca="false">SUBSTITUTE(SUBSTITUTE($I1118,CHAR(61),""),CHAR(34),"")</f>
        <v>15-24</v>
      </c>
      <c r="R1118" s="0" t="str">
        <f aca="false">IF($D1118&lt;&gt;"","["&amp;$E1118&amp;"]"&amp;"|"&amp;$Q1118&amp;"|"&amp;$K1118&amp;"|"&amp;$G1118&amp;"|"&amp;IF($G1118="TX_CURR_SUBNAT.R","CY2022Q4",$M1118),"")</f>
        <v>[E7zpfyBt7Tw]|15-24|Male|HIV_PREV.T_1|CY2023Q3</v>
      </c>
    </row>
    <row r="1119" customFormat="false" ht="15" hidden="false" customHeight="false" outlineLevel="0" collapsed="false">
      <c r="D1119" s="9" t="s">
        <v>123</v>
      </c>
      <c r="E1119" s="9" t="s">
        <v>124</v>
      </c>
      <c r="F1119" s="9" t="s">
        <v>125</v>
      </c>
      <c r="G1119" s="9" t="s">
        <v>141</v>
      </c>
      <c r="H1119" s="9" t="s">
        <v>142</v>
      </c>
      <c r="I1119" s="0" t="s">
        <v>41</v>
      </c>
      <c r="J1119" s="9" t="s">
        <v>42</v>
      </c>
      <c r="K1119" s="9" t="s">
        <v>48</v>
      </c>
      <c r="L1119" s="9" t="s">
        <v>49</v>
      </c>
      <c r="M1119" s="0" t="s">
        <v>140</v>
      </c>
      <c r="N1119" s="0" t="n">
        <v>743</v>
      </c>
      <c r="O1119" s="10" t="n">
        <v>0.415727568557486</v>
      </c>
      <c r="P1119" s="10" t="n">
        <v>0.419500603340566</v>
      </c>
      <c r="Q1119" s="0" t="str">
        <f aca="false">SUBSTITUTE(SUBSTITUTE($I1119,CHAR(61),""),CHAR(34),"")</f>
        <v>25-34</v>
      </c>
      <c r="R1119" s="0" t="str">
        <f aca="false">IF($D1119&lt;&gt;"","["&amp;$E1119&amp;"]"&amp;"|"&amp;$Q1119&amp;"|"&amp;$K1119&amp;"|"&amp;$G1119&amp;"|"&amp;IF($G1119="TX_CURR_SUBNAT.R","CY2022Q4",$M1119),"")</f>
        <v>[E7zpfyBt7Tw]|25-34|Male|HIV_PREV.T_1|CY2023Q3</v>
      </c>
    </row>
    <row r="1120" customFormat="false" ht="15" hidden="false" customHeight="false" outlineLevel="0" collapsed="false">
      <c r="D1120" s="9" t="s">
        <v>123</v>
      </c>
      <c r="E1120" s="9" t="s">
        <v>124</v>
      </c>
      <c r="F1120" s="9" t="s">
        <v>125</v>
      </c>
      <c r="G1120" s="9" t="s">
        <v>141</v>
      </c>
      <c r="H1120" s="9" t="s">
        <v>142</v>
      </c>
      <c r="I1120" s="0" t="s">
        <v>43</v>
      </c>
      <c r="J1120" s="9" t="s">
        <v>44</v>
      </c>
      <c r="K1120" s="9" t="s">
        <v>48</v>
      </c>
      <c r="L1120" s="9" t="s">
        <v>49</v>
      </c>
      <c r="M1120" s="0" t="s">
        <v>140</v>
      </c>
      <c r="N1120" s="0" t="n">
        <v>940</v>
      </c>
      <c r="O1120" s="10" t="n">
        <v>0.678537893807516</v>
      </c>
      <c r="P1120" s="10" t="n">
        <v>0.419500603340566</v>
      </c>
      <c r="Q1120" s="0" t="str">
        <f aca="false">SUBSTITUTE(SUBSTITUTE($I1120,CHAR(61),""),CHAR(34),"")</f>
        <v>35-49</v>
      </c>
      <c r="R1120" s="0" t="str">
        <f aca="false">IF($D1120&lt;&gt;"","["&amp;$E1120&amp;"]"&amp;"|"&amp;$Q1120&amp;"|"&amp;$K1120&amp;"|"&amp;$G1120&amp;"|"&amp;IF($G1120="TX_CURR_SUBNAT.R","CY2022Q4",$M1120),"")</f>
        <v>[E7zpfyBt7Tw]|35-49|Male|HIV_PREV.T_1|CY2023Q3</v>
      </c>
    </row>
    <row r="1121" customFormat="false" ht="15" hidden="false" customHeight="false" outlineLevel="0" collapsed="false">
      <c r="D1121" s="9" t="s">
        <v>123</v>
      </c>
      <c r="E1121" s="9" t="s">
        <v>124</v>
      </c>
      <c r="F1121" s="9" t="s">
        <v>125</v>
      </c>
      <c r="G1121" s="9" t="s">
        <v>141</v>
      </c>
      <c r="H1121" s="9" t="s">
        <v>142</v>
      </c>
      <c r="I1121" s="0" t="s">
        <v>45</v>
      </c>
      <c r="J1121" s="9" t="s">
        <v>46</v>
      </c>
      <c r="K1121" s="9" t="s">
        <v>48</v>
      </c>
      <c r="L1121" s="9" t="s">
        <v>49</v>
      </c>
      <c r="M1121" s="0" t="s">
        <v>140</v>
      </c>
      <c r="N1121" s="0" t="n">
        <v>575</v>
      </c>
      <c r="O1121" s="10" t="n">
        <v>0.411337268073112</v>
      </c>
      <c r="P1121" s="10" t="n">
        <v>0.419500603340566</v>
      </c>
      <c r="Q1121" s="0" t="str">
        <f aca="false">SUBSTITUTE(SUBSTITUTE($I1121,CHAR(61),""),CHAR(34),"")</f>
        <v>50+</v>
      </c>
      <c r="R1121" s="0" t="str">
        <f aca="false">IF($D1121&lt;&gt;"","["&amp;$E1121&amp;"]"&amp;"|"&amp;$Q1121&amp;"|"&amp;$K1121&amp;"|"&amp;$G1121&amp;"|"&amp;IF($G1121="TX_CURR_SUBNAT.R","CY2022Q4",$M1121),"")</f>
        <v>[E7zpfyBt7Tw]|50+|Male|HIV_PREV.T_1|CY2023Q3</v>
      </c>
    </row>
    <row r="1122" customFormat="false" ht="15" hidden="false" customHeight="false" outlineLevel="0" collapsed="false">
      <c r="D1122" s="9" t="s">
        <v>126</v>
      </c>
      <c r="E1122" s="9" t="s">
        <v>127</v>
      </c>
      <c r="F1122" s="9" t="s">
        <v>128</v>
      </c>
      <c r="G1122" s="9" t="s">
        <v>141</v>
      </c>
      <c r="H1122" s="9" t="s">
        <v>142</v>
      </c>
      <c r="I1122" s="0" t="s">
        <v>28</v>
      </c>
      <c r="J1122" s="9" t="s">
        <v>29</v>
      </c>
      <c r="K1122" s="9" t="s">
        <v>30</v>
      </c>
      <c r="L1122" s="9" t="s">
        <v>31</v>
      </c>
      <c r="M1122" s="0" t="s">
        <v>140</v>
      </c>
      <c r="N1122" s="0" t="n">
        <v>1045</v>
      </c>
      <c r="O1122" s="10" t="n">
        <v>0.623167338548228</v>
      </c>
      <c r="P1122" s="10" t="n">
        <v>0.252706390339881</v>
      </c>
      <c r="Q1122" s="0" t="str">
        <f aca="false">SUBSTITUTE(SUBSTITUTE($I1122,CHAR(61),""),CHAR(34),"")</f>
        <v>&lt;01</v>
      </c>
      <c r="R1122" s="0" t="str">
        <f aca="false">IF($D1122&lt;&gt;"","["&amp;$E1122&amp;"]"&amp;"|"&amp;$Q1122&amp;"|"&amp;$K1122&amp;"|"&amp;$G1122&amp;"|"&amp;IF($G1122="TX_CURR_SUBNAT.R","CY2022Q4",$M1122),"")</f>
        <v>[ZCjuwgaMB9u]|&lt;01|Female|HIV_PREV.T_1|CY2023Q3</v>
      </c>
    </row>
    <row r="1123" customFormat="false" ht="15" hidden="false" customHeight="false" outlineLevel="0" collapsed="false">
      <c r="D1123" s="9" t="s">
        <v>126</v>
      </c>
      <c r="E1123" s="9" t="s">
        <v>127</v>
      </c>
      <c r="F1123" s="9" t="s">
        <v>128</v>
      </c>
      <c r="G1123" s="9" t="s">
        <v>141</v>
      </c>
      <c r="H1123" s="9" t="s">
        <v>142</v>
      </c>
      <c r="I1123" s="0" t="s">
        <v>33</v>
      </c>
      <c r="J1123" s="9" t="s">
        <v>34</v>
      </c>
      <c r="K1123" s="9" t="s">
        <v>30</v>
      </c>
      <c r="L1123" s="9" t="s">
        <v>31</v>
      </c>
      <c r="M1123" s="0" t="s">
        <v>140</v>
      </c>
      <c r="N1123" s="0" t="n">
        <v>1468</v>
      </c>
      <c r="O1123" s="10" t="n">
        <v>0.233134117908776</v>
      </c>
      <c r="P1123" s="10" t="n">
        <v>0.252706390339881</v>
      </c>
      <c r="Q1123" s="0" t="str">
        <f aca="false">SUBSTITUTE(SUBSTITUTE($I1123,CHAR(61),""),CHAR(34),"")</f>
        <v>01-09</v>
      </c>
      <c r="R1123" s="0" t="str">
        <f aca="false">IF($D1123&lt;&gt;"","["&amp;$E1123&amp;"]"&amp;"|"&amp;$Q1123&amp;"|"&amp;$K1123&amp;"|"&amp;$G1123&amp;"|"&amp;IF($G1123="TX_CURR_SUBNAT.R","CY2022Q4",$M1123),"")</f>
        <v>[ZCjuwgaMB9u]|01-09|Female|HIV_PREV.T_1|CY2023Q3</v>
      </c>
    </row>
    <row r="1124" customFormat="false" ht="15" hidden="false" customHeight="false" outlineLevel="0" collapsed="false">
      <c r="D1124" s="9" t="s">
        <v>126</v>
      </c>
      <c r="E1124" s="9" t="s">
        <v>127</v>
      </c>
      <c r="F1124" s="9" t="s">
        <v>128</v>
      </c>
      <c r="G1124" s="9" t="s">
        <v>141</v>
      </c>
      <c r="H1124" s="9" t="s">
        <v>142</v>
      </c>
      <c r="I1124" s="0" t="s">
        <v>36</v>
      </c>
      <c r="J1124" s="9" t="s">
        <v>37</v>
      </c>
      <c r="K1124" s="9" t="s">
        <v>30</v>
      </c>
      <c r="L1124" s="9" t="s">
        <v>31</v>
      </c>
      <c r="M1124" s="0" t="s">
        <v>140</v>
      </c>
      <c r="N1124" s="0" t="n">
        <v>1595</v>
      </c>
      <c r="O1124" s="10" t="n">
        <v>0.147684758529067</v>
      </c>
      <c r="P1124" s="10" t="n">
        <v>0.252706390339881</v>
      </c>
      <c r="Q1124" s="0" t="str">
        <f aca="false">SUBSTITUTE(SUBSTITUTE($I1124,CHAR(61),""),CHAR(34),"")</f>
        <v>10-14</v>
      </c>
      <c r="R1124" s="0" t="str">
        <f aca="false">IF($D1124&lt;&gt;"","["&amp;$E1124&amp;"]"&amp;"|"&amp;$Q1124&amp;"|"&amp;$K1124&amp;"|"&amp;$G1124&amp;"|"&amp;IF($G1124="TX_CURR_SUBNAT.R","CY2022Q4",$M1124),"")</f>
        <v>[ZCjuwgaMB9u]|10-14|Female|HIV_PREV.T_1|CY2023Q3</v>
      </c>
    </row>
    <row r="1125" customFormat="false" ht="15" hidden="false" customHeight="false" outlineLevel="0" collapsed="false">
      <c r="D1125" s="9" t="s">
        <v>126</v>
      </c>
      <c r="E1125" s="9" t="s">
        <v>127</v>
      </c>
      <c r="F1125" s="9" t="s">
        <v>128</v>
      </c>
      <c r="G1125" s="9" t="s">
        <v>141</v>
      </c>
      <c r="H1125" s="9" t="s">
        <v>142</v>
      </c>
      <c r="I1125" s="0" t="s">
        <v>38</v>
      </c>
      <c r="J1125" s="9" t="s">
        <v>39</v>
      </c>
      <c r="K1125" s="9" t="s">
        <v>30</v>
      </c>
      <c r="L1125" s="9" t="s">
        <v>31</v>
      </c>
      <c r="M1125" s="0" t="s">
        <v>140</v>
      </c>
      <c r="N1125" s="0" t="n">
        <v>974</v>
      </c>
      <c r="O1125" s="10" t="n">
        <v>0.749617950292304</v>
      </c>
      <c r="P1125" s="10" t="n">
        <v>0.252706390339881</v>
      </c>
      <c r="Q1125" s="0" t="str">
        <f aca="false">SUBSTITUTE(SUBSTITUTE($I1125,CHAR(61),""),CHAR(34),"")</f>
        <v>15-24</v>
      </c>
      <c r="R1125" s="0" t="str">
        <f aca="false">IF($D1125&lt;&gt;"","["&amp;$E1125&amp;"]"&amp;"|"&amp;$Q1125&amp;"|"&amp;$K1125&amp;"|"&amp;$G1125&amp;"|"&amp;IF($G1125="TX_CURR_SUBNAT.R","CY2022Q4",$M1125),"")</f>
        <v>[ZCjuwgaMB9u]|15-24|Female|HIV_PREV.T_1|CY2023Q3</v>
      </c>
    </row>
    <row r="1126" customFormat="false" ht="15" hidden="false" customHeight="false" outlineLevel="0" collapsed="false">
      <c r="D1126" s="9" t="s">
        <v>126</v>
      </c>
      <c r="E1126" s="9" t="s">
        <v>127</v>
      </c>
      <c r="F1126" s="9" t="s">
        <v>128</v>
      </c>
      <c r="G1126" s="9" t="s">
        <v>141</v>
      </c>
      <c r="H1126" s="9" t="s">
        <v>142</v>
      </c>
      <c r="I1126" s="0" t="s">
        <v>41</v>
      </c>
      <c r="J1126" s="9" t="s">
        <v>42</v>
      </c>
      <c r="K1126" s="9" t="s">
        <v>30</v>
      </c>
      <c r="L1126" s="9" t="s">
        <v>31</v>
      </c>
      <c r="M1126" s="0" t="s">
        <v>140</v>
      </c>
      <c r="N1126" s="0" t="n">
        <v>1175</v>
      </c>
      <c r="O1126" s="10" t="n">
        <v>0.754893962759525</v>
      </c>
      <c r="P1126" s="10" t="n">
        <v>0.252706390339881</v>
      </c>
      <c r="Q1126" s="0" t="str">
        <f aca="false">SUBSTITUTE(SUBSTITUTE($I1126,CHAR(61),""),CHAR(34),"")</f>
        <v>25-34</v>
      </c>
      <c r="R1126" s="0" t="str">
        <f aca="false">IF($D1126&lt;&gt;"","["&amp;$E1126&amp;"]"&amp;"|"&amp;$Q1126&amp;"|"&amp;$K1126&amp;"|"&amp;$G1126&amp;"|"&amp;IF($G1126="TX_CURR_SUBNAT.R","CY2022Q4",$M1126),"")</f>
        <v>[ZCjuwgaMB9u]|25-34|Female|HIV_PREV.T_1|CY2023Q3</v>
      </c>
    </row>
    <row r="1127" customFormat="false" ht="15" hidden="false" customHeight="false" outlineLevel="0" collapsed="false">
      <c r="D1127" s="9" t="s">
        <v>126</v>
      </c>
      <c r="E1127" s="9" t="s">
        <v>127</v>
      </c>
      <c r="F1127" s="9" t="s">
        <v>128</v>
      </c>
      <c r="G1127" s="9" t="s">
        <v>141</v>
      </c>
      <c r="H1127" s="9" t="s">
        <v>142</v>
      </c>
      <c r="I1127" s="0" t="s">
        <v>43</v>
      </c>
      <c r="J1127" s="9" t="s">
        <v>44</v>
      </c>
      <c r="K1127" s="9" t="s">
        <v>30</v>
      </c>
      <c r="L1127" s="9" t="s">
        <v>31</v>
      </c>
      <c r="M1127" s="0" t="s">
        <v>140</v>
      </c>
      <c r="N1127" s="0" t="n">
        <v>1895</v>
      </c>
      <c r="O1127" s="10" t="n">
        <v>0.99427648819983</v>
      </c>
      <c r="P1127" s="10" t="n">
        <v>0.252706390339881</v>
      </c>
      <c r="Q1127" s="0" t="str">
        <f aca="false">SUBSTITUTE(SUBSTITUTE($I1127,CHAR(61),""),CHAR(34),"")</f>
        <v>35-49</v>
      </c>
      <c r="R1127" s="0" t="str">
        <f aca="false">IF($D1127&lt;&gt;"","["&amp;$E1127&amp;"]"&amp;"|"&amp;$Q1127&amp;"|"&amp;$K1127&amp;"|"&amp;$G1127&amp;"|"&amp;IF($G1127="TX_CURR_SUBNAT.R","CY2022Q4",$M1127),"")</f>
        <v>[ZCjuwgaMB9u]|35-49|Female|HIV_PREV.T_1|CY2023Q3</v>
      </c>
    </row>
    <row r="1128" customFormat="false" ht="15" hidden="false" customHeight="false" outlineLevel="0" collapsed="false">
      <c r="D1128" s="9" t="s">
        <v>126</v>
      </c>
      <c r="E1128" s="9" t="s">
        <v>127</v>
      </c>
      <c r="F1128" s="9" t="s">
        <v>128</v>
      </c>
      <c r="G1128" s="9" t="s">
        <v>141</v>
      </c>
      <c r="H1128" s="9" t="s">
        <v>142</v>
      </c>
      <c r="I1128" s="0" t="s">
        <v>45</v>
      </c>
      <c r="J1128" s="9" t="s">
        <v>46</v>
      </c>
      <c r="K1128" s="9" t="s">
        <v>30</v>
      </c>
      <c r="L1128" s="9" t="s">
        <v>31</v>
      </c>
      <c r="M1128" s="0" t="s">
        <v>140</v>
      </c>
      <c r="N1128" s="0" t="n">
        <v>1443</v>
      </c>
      <c r="O1128" s="10" t="n">
        <v>0.453105740714818</v>
      </c>
      <c r="P1128" s="10" t="n">
        <v>0.252706390339881</v>
      </c>
      <c r="Q1128" s="0" t="str">
        <f aca="false">SUBSTITUTE(SUBSTITUTE($I1128,CHAR(61),""),CHAR(34),"")</f>
        <v>50+</v>
      </c>
      <c r="R1128" s="0" t="str">
        <f aca="false">IF($D1128&lt;&gt;"","["&amp;$E1128&amp;"]"&amp;"|"&amp;$Q1128&amp;"|"&amp;$K1128&amp;"|"&amp;$G1128&amp;"|"&amp;IF($G1128="TX_CURR_SUBNAT.R","CY2022Q4",$M1128),"")</f>
        <v>[ZCjuwgaMB9u]|50+|Female|HIV_PREV.T_1|CY2023Q3</v>
      </c>
    </row>
    <row r="1129" customFormat="false" ht="15" hidden="false" customHeight="false" outlineLevel="0" collapsed="false">
      <c r="D1129" s="9" t="s">
        <v>126</v>
      </c>
      <c r="E1129" s="9" t="s">
        <v>127</v>
      </c>
      <c r="F1129" s="9" t="s">
        <v>128</v>
      </c>
      <c r="G1129" s="9" t="s">
        <v>141</v>
      </c>
      <c r="H1129" s="9" t="s">
        <v>142</v>
      </c>
      <c r="I1129" s="0" t="s">
        <v>28</v>
      </c>
      <c r="J1129" s="9" t="s">
        <v>29</v>
      </c>
      <c r="K1129" s="9" t="s">
        <v>48</v>
      </c>
      <c r="L1129" s="9" t="s">
        <v>49</v>
      </c>
      <c r="M1129" s="0" t="s">
        <v>140</v>
      </c>
      <c r="N1129" s="0" t="n">
        <v>1169</v>
      </c>
      <c r="O1129" s="10" t="n">
        <v>0.745445009088144</v>
      </c>
      <c r="P1129" s="10" t="n">
        <v>0.252706390339881</v>
      </c>
      <c r="Q1129" s="0" t="str">
        <f aca="false">SUBSTITUTE(SUBSTITUTE($I1129,CHAR(61),""),CHAR(34),"")</f>
        <v>&lt;01</v>
      </c>
      <c r="R1129" s="0" t="str">
        <f aca="false">IF($D1129&lt;&gt;"","["&amp;$E1129&amp;"]"&amp;"|"&amp;$Q1129&amp;"|"&amp;$K1129&amp;"|"&amp;$G1129&amp;"|"&amp;IF($G1129="TX_CURR_SUBNAT.R","CY2022Q4",$M1129),"")</f>
        <v>[ZCjuwgaMB9u]|&lt;01|Male|HIV_PREV.T_1|CY2023Q3</v>
      </c>
    </row>
    <row r="1130" customFormat="false" ht="15" hidden="false" customHeight="false" outlineLevel="0" collapsed="false">
      <c r="D1130" s="9" t="s">
        <v>126</v>
      </c>
      <c r="E1130" s="9" t="s">
        <v>127</v>
      </c>
      <c r="F1130" s="9" t="s">
        <v>128</v>
      </c>
      <c r="G1130" s="9" t="s">
        <v>141</v>
      </c>
      <c r="H1130" s="9" t="s">
        <v>142</v>
      </c>
      <c r="I1130" s="0" t="s">
        <v>33</v>
      </c>
      <c r="J1130" s="9" t="s">
        <v>34</v>
      </c>
      <c r="K1130" s="9" t="s">
        <v>48</v>
      </c>
      <c r="L1130" s="9" t="s">
        <v>49</v>
      </c>
      <c r="M1130" s="0" t="s">
        <v>140</v>
      </c>
      <c r="N1130" s="0" t="n">
        <v>915</v>
      </c>
      <c r="O1130" s="10" t="n">
        <v>0.558696520980448</v>
      </c>
      <c r="P1130" s="10" t="n">
        <v>0.252706390339881</v>
      </c>
      <c r="Q1130" s="0" t="str">
        <f aca="false">SUBSTITUTE(SUBSTITUTE($I1130,CHAR(61),""),CHAR(34),"")</f>
        <v>01-09</v>
      </c>
      <c r="R1130" s="0" t="str">
        <f aca="false">IF($D1130&lt;&gt;"","["&amp;$E1130&amp;"]"&amp;"|"&amp;$Q1130&amp;"|"&amp;$K1130&amp;"|"&amp;$G1130&amp;"|"&amp;IF($G1130="TX_CURR_SUBNAT.R","CY2022Q4",$M1130),"")</f>
        <v>[ZCjuwgaMB9u]|01-09|Male|HIV_PREV.T_1|CY2023Q3</v>
      </c>
    </row>
    <row r="1131" customFormat="false" ht="15" hidden="false" customHeight="false" outlineLevel="0" collapsed="false">
      <c r="D1131" s="9" t="s">
        <v>126</v>
      </c>
      <c r="E1131" s="9" t="s">
        <v>127</v>
      </c>
      <c r="F1131" s="9" t="s">
        <v>128</v>
      </c>
      <c r="G1131" s="9" t="s">
        <v>141</v>
      </c>
      <c r="H1131" s="9" t="s">
        <v>142</v>
      </c>
      <c r="I1131" s="0" t="s">
        <v>36</v>
      </c>
      <c r="J1131" s="9" t="s">
        <v>37</v>
      </c>
      <c r="K1131" s="9" t="s">
        <v>48</v>
      </c>
      <c r="L1131" s="9" t="s">
        <v>49</v>
      </c>
      <c r="M1131" s="0" t="s">
        <v>140</v>
      </c>
      <c r="N1131" s="0" t="n">
        <v>919</v>
      </c>
      <c r="O1131" s="10" t="n">
        <v>0.321138387778774</v>
      </c>
      <c r="P1131" s="10" t="n">
        <v>0.252706390339881</v>
      </c>
      <c r="Q1131" s="0" t="str">
        <f aca="false">SUBSTITUTE(SUBSTITUTE($I1131,CHAR(61),""),CHAR(34),"")</f>
        <v>10-14</v>
      </c>
      <c r="R1131" s="0" t="str">
        <f aca="false">IF($D1131&lt;&gt;"","["&amp;$E1131&amp;"]"&amp;"|"&amp;$Q1131&amp;"|"&amp;$K1131&amp;"|"&amp;$G1131&amp;"|"&amp;IF($G1131="TX_CURR_SUBNAT.R","CY2022Q4",$M1131),"")</f>
        <v>[ZCjuwgaMB9u]|10-14|Male|HIV_PREV.T_1|CY2023Q3</v>
      </c>
    </row>
    <row r="1132" customFormat="false" ht="15" hidden="false" customHeight="false" outlineLevel="0" collapsed="false">
      <c r="D1132" s="9" t="s">
        <v>126</v>
      </c>
      <c r="E1132" s="9" t="s">
        <v>127</v>
      </c>
      <c r="F1132" s="9" t="s">
        <v>128</v>
      </c>
      <c r="G1132" s="9" t="s">
        <v>141</v>
      </c>
      <c r="H1132" s="9" t="s">
        <v>142</v>
      </c>
      <c r="I1132" s="0" t="s">
        <v>38</v>
      </c>
      <c r="J1132" s="9" t="s">
        <v>39</v>
      </c>
      <c r="K1132" s="9" t="s">
        <v>48</v>
      </c>
      <c r="L1132" s="9" t="s">
        <v>49</v>
      </c>
      <c r="M1132" s="0" t="s">
        <v>140</v>
      </c>
      <c r="N1132" s="0" t="n">
        <v>1915</v>
      </c>
      <c r="O1132" s="10" t="n">
        <v>0.130129929631948</v>
      </c>
      <c r="P1132" s="10" t="n">
        <v>0.252706390339881</v>
      </c>
      <c r="Q1132" s="0" t="str">
        <f aca="false">SUBSTITUTE(SUBSTITUTE($I1132,CHAR(61),""),CHAR(34),"")</f>
        <v>15-24</v>
      </c>
      <c r="R1132" s="0" t="str">
        <f aca="false">IF($D1132&lt;&gt;"","["&amp;$E1132&amp;"]"&amp;"|"&amp;$Q1132&amp;"|"&amp;$K1132&amp;"|"&amp;$G1132&amp;"|"&amp;IF($G1132="TX_CURR_SUBNAT.R","CY2022Q4",$M1132),"")</f>
        <v>[ZCjuwgaMB9u]|15-24|Male|HIV_PREV.T_1|CY2023Q3</v>
      </c>
    </row>
    <row r="1133" customFormat="false" ht="15" hidden="false" customHeight="false" outlineLevel="0" collapsed="false">
      <c r="D1133" s="9" t="s">
        <v>126</v>
      </c>
      <c r="E1133" s="9" t="s">
        <v>127</v>
      </c>
      <c r="F1133" s="9" t="s">
        <v>128</v>
      </c>
      <c r="G1133" s="9" t="s">
        <v>141</v>
      </c>
      <c r="H1133" s="9" t="s">
        <v>142</v>
      </c>
      <c r="I1133" s="0" t="s">
        <v>41</v>
      </c>
      <c r="J1133" s="9" t="s">
        <v>42</v>
      </c>
      <c r="K1133" s="9" t="s">
        <v>48</v>
      </c>
      <c r="L1133" s="9" t="s">
        <v>49</v>
      </c>
      <c r="M1133" s="0" t="s">
        <v>140</v>
      </c>
      <c r="N1133" s="0" t="n">
        <v>1075</v>
      </c>
      <c r="O1133" s="10" t="n">
        <v>0.0619047600775957</v>
      </c>
      <c r="P1133" s="10" t="n">
        <v>0.252706390339881</v>
      </c>
      <c r="Q1133" s="0" t="str">
        <f aca="false">SUBSTITUTE(SUBSTITUTE($I1133,CHAR(61),""),CHAR(34),"")</f>
        <v>25-34</v>
      </c>
      <c r="R1133" s="0" t="str">
        <f aca="false">IF($D1133&lt;&gt;"","["&amp;$E1133&amp;"]"&amp;"|"&amp;$Q1133&amp;"|"&amp;$K1133&amp;"|"&amp;$G1133&amp;"|"&amp;IF($G1133="TX_CURR_SUBNAT.R","CY2022Q4",$M1133),"")</f>
        <v>[ZCjuwgaMB9u]|25-34|Male|HIV_PREV.T_1|CY2023Q3</v>
      </c>
    </row>
    <row r="1134" customFormat="false" ht="15" hidden="false" customHeight="false" outlineLevel="0" collapsed="false">
      <c r="D1134" s="9" t="s">
        <v>126</v>
      </c>
      <c r="E1134" s="9" t="s">
        <v>127</v>
      </c>
      <c r="F1134" s="9" t="s">
        <v>128</v>
      </c>
      <c r="G1134" s="9" t="s">
        <v>141</v>
      </c>
      <c r="H1134" s="9" t="s">
        <v>142</v>
      </c>
      <c r="I1134" s="0" t="s">
        <v>43</v>
      </c>
      <c r="J1134" s="9" t="s">
        <v>44</v>
      </c>
      <c r="K1134" s="9" t="s">
        <v>48</v>
      </c>
      <c r="L1134" s="9" t="s">
        <v>49</v>
      </c>
      <c r="M1134" s="0" t="s">
        <v>140</v>
      </c>
      <c r="N1134" s="0" t="n">
        <v>1845</v>
      </c>
      <c r="O1134" s="10" t="n">
        <v>0.517118606949225</v>
      </c>
      <c r="P1134" s="10" t="n">
        <v>0.252706390339881</v>
      </c>
      <c r="Q1134" s="0" t="str">
        <f aca="false">SUBSTITUTE(SUBSTITUTE($I1134,CHAR(61),""),CHAR(34),"")</f>
        <v>35-49</v>
      </c>
      <c r="R1134" s="0" t="str">
        <f aca="false">IF($D1134&lt;&gt;"","["&amp;$E1134&amp;"]"&amp;"|"&amp;$Q1134&amp;"|"&amp;$K1134&amp;"|"&amp;$G1134&amp;"|"&amp;IF($G1134="TX_CURR_SUBNAT.R","CY2022Q4",$M1134),"")</f>
        <v>[ZCjuwgaMB9u]|35-49|Male|HIV_PREV.T_1|CY2023Q3</v>
      </c>
    </row>
    <row r="1135" customFormat="false" ht="15" hidden="false" customHeight="false" outlineLevel="0" collapsed="false">
      <c r="D1135" s="9" t="s">
        <v>126</v>
      </c>
      <c r="E1135" s="9" t="s">
        <v>127</v>
      </c>
      <c r="F1135" s="9" t="s">
        <v>128</v>
      </c>
      <c r="G1135" s="9" t="s">
        <v>141</v>
      </c>
      <c r="H1135" s="9" t="s">
        <v>142</v>
      </c>
      <c r="I1135" s="0" t="s">
        <v>45</v>
      </c>
      <c r="J1135" s="9" t="s">
        <v>46</v>
      </c>
      <c r="K1135" s="9" t="s">
        <v>48</v>
      </c>
      <c r="L1135" s="9" t="s">
        <v>49</v>
      </c>
      <c r="M1135" s="0" t="s">
        <v>140</v>
      </c>
      <c r="N1135" s="0" t="n">
        <v>1541</v>
      </c>
      <c r="O1135" s="10" t="n">
        <v>0.830940682208166</v>
      </c>
      <c r="P1135" s="10" t="n">
        <v>0.252706390339881</v>
      </c>
      <c r="Q1135" s="0" t="str">
        <f aca="false">SUBSTITUTE(SUBSTITUTE($I1135,CHAR(61),""),CHAR(34),"")</f>
        <v>50+</v>
      </c>
      <c r="R1135" s="0" t="str">
        <f aca="false">IF($D1135&lt;&gt;"","["&amp;$E1135&amp;"]"&amp;"|"&amp;$Q1135&amp;"|"&amp;$K1135&amp;"|"&amp;$G1135&amp;"|"&amp;IF($G1135="TX_CURR_SUBNAT.R","CY2022Q4",$M1135),"")</f>
        <v>[ZCjuwgaMB9u]|50+|Male|HIV_PREV.T_1|CY2023Q3</v>
      </c>
    </row>
    <row r="1136" customFormat="false" ht="15" hidden="false" customHeight="false" outlineLevel="0" collapsed="false">
      <c r="D1136" s="9" t="s">
        <v>129</v>
      </c>
      <c r="E1136" s="9" t="s">
        <v>130</v>
      </c>
      <c r="F1136" s="9" t="s">
        <v>131</v>
      </c>
      <c r="G1136" s="9" t="s">
        <v>141</v>
      </c>
      <c r="H1136" s="9" t="s">
        <v>142</v>
      </c>
      <c r="I1136" s="0" t="s">
        <v>28</v>
      </c>
      <c r="J1136" s="9" t="s">
        <v>29</v>
      </c>
      <c r="K1136" s="9" t="s">
        <v>30</v>
      </c>
      <c r="L1136" s="9" t="s">
        <v>31</v>
      </c>
      <c r="M1136" s="0" t="s">
        <v>140</v>
      </c>
      <c r="N1136" s="0" t="n">
        <v>1108</v>
      </c>
      <c r="O1136" s="10" t="n">
        <v>0.950181921711192</v>
      </c>
      <c r="P1136" s="10" t="n">
        <v>0.556908084778115</v>
      </c>
      <c r="Q1136" s="0" t="str">
        <f aca="false">SUBSTITUTE(SUBSTITUTE($I1136,CHAR(61),""),CHAR(34),"")</f>
        <v>&lt;01</v>
      </c>
      <c r="R1136" s="0" t="str">
        <f aca="false">IF($D1136&lt;&gt;"","["&amp;$E1136&amp;"]"&amp;"|"&amp;$Q1136&amp;"|"&amp;$K1136&amp;"|"&amp;$G1136&amp;"|"&amp;IF($G1136="TX_CURR_SUBNAT.R","CY2022Q4",$M1136),"")</f>
        <v>[YCKiBAp8QAg]|&lt;01|Female|HIV_PREV.T_1|CY2023Q3</v>
      </c>
    </row>
    <row r="1137" customFormat="false" ht="15" hidden="false" customHeight="false" outlineLevel="0" collapsed="false">
      <c r="D1137" s="9" t="s">
        <v>129</v>
      </c>
      <c r="E1137" s="9" t="s">
        <v>130</v>
      </c>
      <c r="F1137" s="9" t="s">
        <v>131</v>
      </c>
      <c r="G1137" s="9" t="s">
        <v>141</v>
      </c>
      <c r="H1137" s="9" t="s">
        <v>142</v>
      </c>
      <c r="I1137" s="0" t="s">
        <v>33</v>
      </c>
      <c r="J1137" s="9" t="s">
        <v>34</v>
      </c>
      <c r="K1137" s="9" t="s">
        <v>30</v>
      </c>
      <c r="L1137" s="9" t="s">
        <v>31</v>
      </c>
      <c r="M1137" s="0" t="s">
        <v>140</v>
      </c>
      <c r="N1137" s="0" t="n">
        <v>1078</v>
      </c>
      <c r="O1137" s="10" t="n">
        <v>0.784219052409753</v>
      </c>
      <c r="P1137" s="10" t="n">
        <v>0.556908084778115</v>
      </c>
      <c r="Q1137" s="0" t="str">
        <f aca="false">SUBSTITUTE(SUBSTITUTE($I1137,CHAR(61),""),CHAR(34),"")</f>
        <v>01-09</v>
      </c>
      <c r="R1137" s="0" t="str">
        <f aca="false">IF($D1137&lt;&gt;"","["&amp;$E1137&amp;"]"&amp;"|"&amp;$Q1137&amp;"|"&amp;$K1137&amp;"|"&amp;$G1137&amp;"|"&amp;IF($G1137="TX_CURR_SUBNAT.R","CY2022Q4",$M1137),"")</f>
        <v>[YCKiBAp8QAg]|01-09|Female|HIV_PREV.T_1|CY2023Q3</v>
      </c>
    </row>
    <row r="1138" customFormat="false" ht="15" hidden="false" customHeight="false" outlineLevel="0" collapsed="false">
      <c r="D1138" s="9" t="s">
        <v>129</v>
      </c>
      <c r="E1138" s="9" t="s">
        <v>130</v>
      </c>
      <c r="F1138" s="9" t="s">
        <v>131</v>
      </c>
      <c r="G1138" s="9" t="s">
        <v>141</v>
      </c>
      <c r="H1138" s="9" t="s">
        <v>142</v>
      </c>
      <c r="I1138" s="0" t="s">
        <v>36</v>
      </c>
      <c r="J1138" s="9" t="s">
        <v>37</v>
      </c>
      <c r="K1138" s="9" t="s">
        <v>30</v>
      </c>
      <c r="L1138" s="9" t="s">
        <v>31</v>
      </c>
      <c r="M1138" s="0" t="s">
        <v>140</v>
      </c>
      <c r="N1138" s="0" t="n">
        <v>1754</v>
      </c>
      <c r="O1138" s="10" t="n">
        <v>0.876166945556179</v>
      </c>
      <c r="P1138" s="10" t="n">
        <v>0.556908084778115</v>
      </c>
      <c r="Q1138" s="0" t="str">
        <f aca="false">SUBSTITUTE(SUBSTITUTE($I1138,CHAR(61),""),CHAR(34),"")</f>
        <v>10-14</v>
      </c>
      <c r="R1138" s="0" t="str">
        <f aca="false">IF($D1138&lt;&gt;"","["&amp;$E1138&amp;"]"&amp;"|"&amp;$Q1138&amp;"|"&amp;$K1138&amp;"|"&amp;$G1138&amp;"|"&amp;IF($G1138="TX_CURR_SUBNAT.R","CY2022Q4",$M1138),"")</f>
        <v>[YCKiBAp8QAg]|10-14|Female|HIV_PREV.T_1|CY2023Q3</v>
      </c>
    </row>
    <row r="1139" customFormat="false" ht="15" hidden="false" customHeight="false" outlineLevel="0" collapsed="false">
      <c r="D1139" s="9" t="s">
        <v>129</v>
      </c>
      <c r="E1139" s="9" t="s">
        <v>130</v>
      </c>
      <c r="F1139" s="9" t="s">
        <v>131</v>
      </c>
      <c r="G1139" s="9" t="s">
        <v>141</v>
      </c>
      <c r="H1139" s="9" t="s">
        <v>142</v>
      </c>
      <c r="I1139" s="0" t="s">
        <v>38</v>
      </c>
      <c r="J1139" s="9" t="s">
        <v>39</v>
      </c>
      <c r="K1139" s="9" t="s">
        <v>30</v>
      </c>
      <c r="L1139" s="9" t="s">
        <v>31</v>
      </c>
      <c r="M1139" s="0" t="s">
        <v>140</v>
      </c>
      <c r="N1139" s="0" t="n">
        <v>1616</v>
      </c>
      <c r="O1139" s="10" t="n">
        <v>0.466084757586941</v>
      </c>
      <c r="P1139" s="10" t="n">
        <v>0.556908084778115</v>
      </c>
      <c r="Q1139" s="0" t="str">
        <f aca="false">SUBSTITUTE(SUBSTITUTE($I1139,CHAR(61),""),CHAR(34),"")</f>
        <v>15-24</v>
      </c>
      <c r="R1139" s="0" t="str">
        <f aca="false">IF($D1139&lt;&gt;"","["&amp;$E1139&amp;"]"&amp;"|"&amp;$Q1139&amp;"|"&amp;$K1139&amp;"|"&amp;$G1139&amp;"|"&amp;IF($G1139="TX_CURR_SUBNAT.R","CY2022Q4",$M1139),"")</f>
        <v>[YCKiBAp8QAg]|15-24|Female|HIV_PREV.T_1|CY2023Q3</v>
      </c>
    </row>
    <row r="1140" customFormat="false" ht="15" hidden="false" customHeight="false" outlineLevel="0" collapsed="false">
      <c r="D1140" s="9" t="s">
        <v>129</v>
      </c>
      <c r="E1140" s="9" t="s">
        <v>130</v>
      </c>
      <c r="F1140" s="9" t="s">
        <v>131</v>
      </c>
      <c r="G1140" s="9" t="s">
        <v>141</v>
      </c>
      <c r="H1140" s="9" t="s">
        <v>142</v>
      </c>
      <c r="I1140" s="0" t="s">
        <v>41</v>
      </c>
      <c r="J1140" s="9" t="s">
        <v>42</v>
      </c>
      <c r="K1140" s="9" t="s">
        <v>30</v>
      </c>
      <c r="L1140" s="9" t="s">
        <v>31</v>
      </c>
      <c r="M1140" s="0" t="s">
        <v>140</v>
      </c>
      <c r="N1140" s="0" t="n">
        <v>1905</v>
      </c>
      <c r="O1140" s="10" t="n">
        <v>0.478858089540154</v>
      </c>
      <c r="P1140" s="10" t="n">
        <v>0.556908084778115</v>
      </c>
      <c r="Q1140" s="0" t="str">
        <f aca="false">SUBSTITUTE(SUBSTITUTE($I1140,CHAR(61),""),CHAR(34),"")</f>
        <v>25-34</v>
      </c>
      <c r="R1140" s="0" t="str">
        <f aca="false">IF($D1140&lt;&gt;"","["&amp;$E1140&amp;"]"&amp;"|"&amp;$Q1140&amp;"|"&amp;$K1140&amp;"|"&amp;$G1140&amp;"|"&amp;IF($G1140="TX_CURR_SUBNAT.R","CY2022Q4",$M1140),"")</f>
        <v>[YCKiBAp8QAg]|25-34|Female|HIV_PREV.T_1|CY2023Q3</v>
      </c>
    </row>
    <row r="1141" customFormat="false" ht="15" hidden="false" customHeight="false" outlineLevel="0" collapsed="false">
      <c r="D1141" s="9" t="s">
        <v>129</v>
      </c>
      <c r="E1141" s="9" t="s">
        <v>130</v>
      </c>
      <c r="F1141" s="9" t="s">
        <v>131</v>
      </c>
      <c r="G1141" s="9" t="s">
        <v>141</v>
      </c>
      <c r="H1141" s="9" t="s">
        <v>142</v>
      </c>
      <c r="I1141" s="0" t="s">
        <v>43</v>
      </c>
      <c r="J1141" s="9" t="s">
        <v>44</v>
      </c>
      <c r="K1141" s="9" t="s">
        <v>30</v>
      </c>
      <c r="L1141" s="9" t="s">
        <v>31</v>
      </c>
      <c r="M1141" s="0" t="s">
        <v>140</v>
      </c>
      <c r="N1141" s="0" t="n">
        <v>1121</v>
      </c>
      <c r="O1141" s="10" t="n">
        <v>0.421157024335116</v>
      </c>
      <c r="P1141" s="10" t="n">
        <v>0.556908084778115</v>
      </c>
      <c r="Q1141" s="0" t="str">
        <f aca="false">SUBSTITUTE(SUBSTITUTE($I1141,CHAR(61),""),CHAR(34),"")</f>
        <v>35-49</v>
      </c>
      <c r="R1141" s="0" t="str">
        <f aca="false">IF($D1141&lt;&gt;"","["&amp;$E1141&amp;"]"&amp;"|"&amp;$Q1141&amp;"|"&amp;$K1141&amp;"|"&amp;$G1141&amp;"|"&amp;IF($G1141="TX_CURR_SUBNAT.R","CY2022Q4",$M1141),"")</f>
        <v>[YCKiBAp8QAg]|35-49|Female|HIV_PREV.T_1|CY2023Q3</v>
      </c>
    </row>
    <row r="1142" customFormat="false" ht="15" hidden="false" customHeight="false" outlineLevel="0" collapsed="false">
      <c r="D1142" s="9" t="s">
        <v>129</v>
      </c>
      <c r="E1142" s="9" t="s">
        <v>130</v>
      </c>
      <c r="F1142" s="9" t="s">
        <v>131</v>
      </c>
      <c r="G1142" s="9" t="s">
        <v>141</v>
      </c>
      <c r="H1142" s="9" t="s">
        <v>142</v>
      </c>
      <c r="I1142" s="0" t="s">
        <v>45</v>
      </c>
      <c r="J1142" s="9" t="s">
        <v>46</v>
      </c>
      <c r="K1142" s="9" t="s">
        <v>30</v>
      </c>
      <c r="L1142" s="9" t="s">
        <v>31</v>
      </c>
      <c r="M1142" s="0" t="s">
        <v>140</v>
      </c>
      <c r="N1142" s="0" t="n">
        <v>774</v>
      </c>
      <c r="O1142" s="10" t="n">
        <v>0.655429146951064</v>
      </c>
      <c r="P1142" s="10" t="n">
        <v>0.556908084778115</v>
      </c>
      <c r="Q1142" s="0" t="str">
        <f aca="false">SUBSTITUTE(SUBSTITUTE($I1142,CHAR(61),""),CHAR(34),"")</f>
        <v>50+</v>
      </c>
      <c r="R1142" s="0" t="str">
        <f aca="false">IF($D1142&lt;&gt;"","["&amp;$E1142&amp;"]"&amp;"|"&amp;$Q1142&amp;"|"&amp;$K1142&amp;"|"&amp;$G1142&amp;"|"&amp;IF($G1142="TX_CURR_SUBNAT.R","CY2022Q4",$M1142),"")</f>
        <v>[YCKiBAp8QAg]|50+|Female|HIV_PREV.T_1|CY2023Q3</v>
      </c>
    </row>
    <row r="1143" customFormat="false" ht="15" hidden="false" customHeight="false" outlineLevel="0" collapsed="false">
      <c r="D1143" s="9" t="s">
        <v>129</v>
      </c>
      <c r="E1143" s="9" t="s">
        <v>130</v>
      </c>
      <c r="F1143" s="9" t="s">
        <v>131</v>
      </c>
      <c r="G1143" s="9" t="s">
        <v>141</v>
      </c>
      <c r="H1143" s="9" t="s">
        <v>142</v>
      </c>
      <c r="I1143" s="0" t="s">
        <v>28</v>
      </c>
      <c r="J1143" s="9" t="s">
        <v>29</v>
      </c>
      <c r="K1143" s="9" t="s">
        <v>48</v>
      </c>
      <c r="L1143" s="9" t="s">
        <v>49</v>
      </c>
      <c r="M1143" s="0" t="s">
        <v>140</v>
      </c>
      <c r="N1143" s="0" t="n">
        <v>1289</v>
      </c>
      <c r="O1143" s="10" t="n">
        <v>0.0331573823932558</v>
      </c>
      <c r="P1143" s="10" t="n">
        <v>0.556908084778115</v>
      </c>
      <c r="Q1143" s="0" t="str">
        <f aca="false">SUBSTITUTE(SUBSTITUTE($I1143,CHAR(61),""),CHAR(34),"")</f>
        <v>&lt;01</v>
      </c>
      <c r="R1143" s="0" t="str">
        <f aca="false">IF($D1143&lt;&gt;"","["&amp;$E1143&amp;"]"&amp;"|"&amp;$Q1143&amp;"|"&amp;$K1143&amp;"|"&amp;$G1143&amp;"|"&amp;IF($G1143="TX_CURR_SUBNAT.R","CY2022Q4",$M1143),"")</f>
        <v>[YCKiBAp8QAg]|&lt;01|Male|HIV_PREV.T_1|CY2023Q3</v>
      </c>
    </row>
    <row r="1144" customFormat="false" ht="15" hidden="false" customHeight="false" outlineLevel="0" collapsed="false">
      <c r="D1144" s="9" t="s">
        <v>129</v>
      </c>
      <c r="E1144" s="9" t="s">
        <v>130</v>
      </c>
      <c r="F1144" s="9" t="s">
        <v>131</v>
      </c>
      <c r="G1144" s="9" t="s">
        <v>141</v>
      </c>
      <c r="H1144" s="9" t="s">
        <v>142</v>
      </c>
      <c r="I1144" s="0" t="s">
        <v>33</v>
      </c>
      <c r="J1144" s="9" t="s">
        <v>34</v>
      </c>
      <c r="K1144" s="9" t="s">
        <v>48</v>
      </c>
      <c r="L1144" s="9" t="s">
        <v>49</v>
      </c>
      <c r="M1144" s="0" t="s">
        <v>140</v>
      </c>
      <c r="N1144" s="0" t="n">
        <v>1159</v>
      </c>
      <c r="O1144" s="10" t="n">
        <v>0.978845877572894</v>
      </c>
      <c r="P1144" s="10" t="n">
        <v>0.556908084778115</v>
      </c>
      <c r="Q1144" s="0" t="str">
        <f aca="false">SUBSTITUTE(SUBSTITUTE($I1144,CHAR(61),""),CHAR(34),"")</f>
        <v>01-09</v>
      </c>
      <c r="R1144" s="0" t="str">
        <f aca="false">IF($D1144&lt;&gt;"","["&amp;$E1144&amp;"]"&amp;"|"&amp;$Q1144&amp;"|"&amp;$K1144&amp;"|"&amp;$G1144&amp;"|"&amp;IF($G1144="TX_CURR_SUBNAT.R","CY2022Q4",$M1144),"")</f>
        <v>[YCKiBAp8QAg]|01-09|Male|HIV_PREV.T_1|CY2023Q3</v>
      </c>
    </row>
    <row r="1145" customFormat="false" ht="15" hidden="false" customHeight="false" outlineLevel="0" collapsed="false">
      <c r="D1145" s="9" t="s">
        <v>129</v>
      </c>
      <c r="E1145" s="9" t="s">
        <v>130</v>
      </c>
      <c r="F1145" s="9" t="s">
        <v>131</v>
      </c>
      <c r="G1145" s="9" t="s">
        <v>141</v>
      </c>
      <c r="H1145" s="9" t="s">
        <v>142</v>
      </c>
      <c r="I1145" s="0" t="s">
        <v>36</v>
      </c>
      <c r="J1145" s="9" t="s">
        <v>37</v>
      </c>
      <c r="K1145" s="9" t="s">
        <v>48</v>
      </c>
      <c r="L1145" s="9" t="s">
        <v>49</v>
      </c>
      <c r="M1145" s="0" t="s">
        <v>140</v>
      </c>
      <c r="N1145" s="0" t="n">
        <v>1003</v>
      </c>
      <c r="O1145" s="10" t="n">
        <v>0.930998471798375</v>
      </c>
      <c r="P1145" s="10" t="n">
        <v>0.556908084778115</v>
      </c>
      <c r="Q1145" s="0" t="str">
        <f aca="false">SUBSTITUTE(SUBSTITUTE($I1145,CHAR(61),""),CHAR(34),"")</f>
        <v>10-14</v>
      </c>
      <c r="R1145" s="0" t="str">
        <f aca="false">IF($D1145&lt;&gt;"","["&amp;$E1145&amp;"]"&amp;"|"&amp;$Q1145&amp;"|"&amp;$K1145&amp;"|"&amp;$G1145&amp;"|"&amp;IF($G1145="TX_CURR_SUBNAT.R","CY2022Q4",$M1145),"")</f>
        <v>[YCKiBAp8QAg]|10-14|Male|HIV_PREV.T_1|CY2023Q3</v>
      </c>
    </row>
    <row r="1146" customFormat="false" ht="15" hidden="false" customHeight="false" outlineLevel="0" collapsed="false">
      <c r="D1146" s="9" t="s">
        <v>129</v>
      </c>
      <c r="E1146" s="9" t="s">
        <v>130</v>
      </c>
      <c r="F1146" s="9" t="s">
        <v>131</v>
      </c>
      <c r="G1146" s="9" t="s">
        <v>141</v>
      </c>
      <c r="H1146" s="9" t="s">
        <v>142</v>
      </c>
      <c r="I1146" s="0" t="s">
        <v>38</v>
      </c>
      <c r="J1146" s="9" t="s">
        <v>39</v>
      </c>
      <c r="K1146" s="9" t="s">
        <v>48</v>
      </c>
      <c r="L1146" s="9" t="s">
        <v>49</v>
      </c>
      <c r="M1146" s="0" t="s">
        <v>140</v>
      </c>
      <c r="N1146" s="0" t="n">
        <v>1488</v>
      </c>
      <c r="O1146" s="10" t="n">
        <v>0.0749934096820652</v>
      </c>
      <c r="P1146" s="10" t="n">
        <v>0.556908084778115</v>
      </c>
      <c r="Q1146" s="0" t="str">
        <f aca="false">SUBSTITUTE(SUBSTITUTE($I1146,CHAR(61),""),CHAR(34),"")</f>
        <v>15-24</v>
      </c>
      <c r="R1146" s="0" t="str">
        <f aca="false">IF($D1146&lt;&gt;"","["&amp;$E1146&amp;"]"&amp;"|"&amp;$Q1146&amp;"|"&amp;$K1146&amp;"|"&amp;$G1146&amp;"|"&amp;IF($G1146="TX_CURR_SUBNAT.R","CY2022Q4",$M1146),"")</f>
        <v>[YCKiBAp8QAg]|15-24|Male|HIV_PREV.T_1|CY2023Q3</v>
      </c>
    </row>
    <row r="1147" customFormat="false" ht="15" hidden="false" customHeight="false" outlineLevel="0" collapsed="false">
      <c r="D1147" s="9" t="s">
        <v>129</v>
      </c>
      <c r="E1147" s="9" t="s">
        <v>130</v>
      </c>
      <c r="F1147" s="9" t="s">
        <v>131</v>
      </c>
      <c r="G1147" s="9" t="s">
        <v>141</v>
      </c>
      <c r="H1147" s="9" t="s">
        <v>142</v>
      </c>
      <c r="I1147" s="0" t="s">
        <v>41</v>
      </c>
      <c r="J1147" s="9" t="s">
        <v>42</v>
      </c>
      <c r="K1147" s="9" t="s">
        <v>48</v>
      </c>
      <c r="L1147" s="9" t="s">
        <v>49</v>
      </c>
      <c r="M1147" s="0" t="s">
        <v>140</v>
      </c>
      <c r="N1147" s="0" t="n">
        <v>905</v>
      </c>
      <c r="O1147" s="10" t="n">
        <v>0.800566198769957</v>
      </c>
      <c r="P1147" s="10" t="n">
        <v>0.556908084778115</v>
      </c>
      <c r="Q1147" s="0" t="str">
        <f aca="false">SUBSTITUTE(SUBSTITUTE($I1147,CHAR(61),""),CHAR(34),"")</f>
        <v>25-34</v>
      </c>
      <c r="R1147" s="0" t="str">
        <f aca="false">IF($D1147&lt;&gt;"","["&amp;$E1147&amp;"]"&amp;"|"&amp;$Q1147&amp;"|"&amp;$K1147&amp;"|"&amp;$G1147&amp;"|"&amp;IF($G1147="TX_CURR_SUBNAT.R","CY2022Q4",$M1147),"")</f>
        <v>[YCKiBAp8QAg]|25-34|Male|HIV_PREV.T_1|CY2023Q3</v>
      </c>
    </row>
    <row r="1148" customFormat="false" ht="15" hidden="false" customHeight="false" outlineLevel="0" collapsed="false">
      <c r="D1148" s="9" t="s">
        <v>129</v>
      </c>
      <c r="E1148" s="9" t="s">
        <v>130</v>
      </c>
      <c r="F1148" s="9" t="s">
        <v>131</v>
      </c>
      <c r="G1148" s="9" t="s">
        <v>141</v>
      </c>
      <c r="H1148" s="9" t="s">
        <v>142</v>
      </c>
      <c r="I1148" s="0" t="s">
        <v>43</v>
      </c>
      <c r="J1148" s="9" t="s">
        <v>44</v>
      </c>
      <c r="K1148" s="9" t="s">
        <v>48</v>
      </c>
      <c r="L1148" s="9" t="s">
        <v>49</v>
      </c>
      <c r="M1148" s="0" t="s">
        <v>140</v>
      </c>
      <c r="N1148" s="0" t="n">
        <v>511</v>
      </c>
      <c r="O1148" s="10" t="n">
        <v>0.906991946045309</v>
      </c>
      <c r="P1148" s="10" t="n">
        <v>0.556908084778115</v>
      </c>
      <c r="Q1148" s="0" t="str">
        <f aca="false">SUBSTITUTE(SUBSTITUTE($I1148,CHAR(61),""),CHAR(34),"")</f>
        <v>35-49</v>
      </c>
      <c r="R1148" s="0" t="str">
        <f aca="false">IF($D1148&lt;&gt;"","["&amp;$E1148&amp;"]"&amp;"|"&amp;$Q1148&amp;"|"&amp;$K1148&amp;"|"&amp;$G1148&amp;"|"&amp;IF($G1148="TX_CURR_SUBNAT.R","CY2022Q4",$M1148),"")</f>
        <v>[YCKiBAp8QAg]|35-49|Male|HIV_PREV.T_1|CY2023Q3</v>
      </c>
    </row>
    <row r="1149" customFormat="false" ht="15" hidden="false" customHeight="false" outlineLevel="0" collapsed="false">
      <c r="D1149" s="9" t="s">
        <v>129</v>
      </c>
      <c r="E1149" s="9" t="s">
        <v>130</v>
      </c>
      <c r="F1149" s="9" t="s">
        <v>131</v>
      </c>
      <c r="G1149" s="9" t="s">
        <v>141</v>
      </c>
      <c r="H1149" s="9" t="s">
        <v>142</v>
      </c>
      <c r="I1149" s="0" t="s">
        <v>45</v>
      </c>
      <c r="J1149" s="9" t="s">
        <v>46</v>
      </c>
      <c r="K1149" s="9" t="s">
        <v>48</v>
      </c>
      <c r="L1149" s="9" t="s">
        <v>49</v>
      </c>
      <c r="M1149" s="0" t="s">
        <v>140</v>
      </c>
      <c r="N1149" s="0" t="n">
        <v>1395</v>
      </c>
      <c r="O1149" s="10" t="n">
        <v>0.0766834300011396</v>
      </c>
      <c r="P1149" s="10" t="n">
        <v>0.556908084778115</v>
      </c>
      <c r="Q1149" s="0" t="str">
        <f aca="false">SUBSTITUTE(SUBSTITUTE($I1149,CHAR(61),""),CHAR(34),"")</f>
        <v>50+</v>
      </c>
      <c r="R1149" s="0" t="str">
        <f aca="false">IF($D1149&lt;&gt;"","["&amp;$E1149&amp;"]"&amp;"|"&amp;$Q1149&amp;"|"&amp;$K1149&amp;"|"&amp;$G1149&amp;"|"&amp;IF($G1149="TX_CURR_SUBNAT.R","CY2022Q4",$M1149),"")</f>
        <v>[YCKiBAp8QAg]|50+|Male|HIV_PREV.T_1|CY2023Q3</v>
      </c>
    </row>
    <row r="1150" customFormat="false" ht="15" hidden="false" customHeight="false" outlineLevel="0" collapsed="false">
      <c r="D1150" s="9" t="s">
        <v>132</v>
      </c>
      <c r="E1150" s="9" t="s">
        <v>133</v>
      </c>
      <c r="F1150" s="9" t="s">
        <v>134</v>
      </c>
      <c r="G1150" s="9" t="s">
        <v>141</v>
      </c>
      <c r="H1150" s="9" t="s">
        <v>142</v>
      </c>
      <c r="I1150" s="0" t="s">
        <v>28</v>
      </c>
      <c r="J1150" s="9" t="s">
        <v>29</v>
      </c>
      <c r="K1150" s="9" t="s">
        <v>30</v>
      </c>
      <c r="L1150" s="9" t="s">
        <v>31</v>
      </c>
      <c r="M1150" s="0" t="s">
        <v>140</v>
      </c>
      <c r="N1150" s="0" t="n">
        <v>685</v>
      </c>
      <c r="O1150" s="10" t="n">
        <v>0.435104347299784</v>
      </c>
      <c r="P1150" s="10" t="n">
        <v>0.162863194011152</v>
      </c>
      <c r="Q1150" s="0" t="str">
        <f aca="false">SUBSTITUTE(SUBSTITUTE($I1150,CHAR(61),""),CHAR(34),"")</f>
        <v>&lt;01</v>
      </c>
      <c r="R1150" s="0" t="str">
        <f aca="false">IF($D1150&lt;&gt;"","["&amp;$E1150&amp;"]"&amp;"|"&amp;$Q1150&amp;"|"&amp;$K1150&amp;"|"&amp;$G1150&amp;"|"&amp;IF($G1150="TX_CURR_SUBNAT.R","CY2022Q4",$M1150),"")</f>
        <v>[JQKLKuVuY61]|&lt;01|Female|HIV_PREV.T_1|CY2023Q3</v>
      </c>
    </row>
    <row r="1151" customFormat="false" ht="15" hidden="false" customHeight="false" outlineLevel="0" collapsed="false">
      <c r="D1151" s="9" t="s">
        <v>132</v>
      </c>
      <c r="E1151" s="9" t="s">
        <v>133</v>
      </c>
      <c r="F1151" s="9" t="s">
        <v>134</v>
      </c>
      <c r="G1151" s="9" t="s">
        <v>141</v>
      </c>
      <c r="H1151" s="9" t="s">
        <v>142</v>
      </c>
      <c r="I1151" s="0" t="s">
        <v>33</v>
      </c>
      <c r="J1151" s="9" t="s">
        <v>34</v>
      </c>
      <c r="K1151" s="9" t="s">
        <v>30</v>
      </c>
      <c r="L1151" s="9" t="s">
        <v>31</v>
      </c>
      <c r="M1151" s="0" t="s">
        <v>140</v>
      </c>
      <c r="N1151" s="0" t="n">
        <v>952</v>
      </c>
      <c r="O1151" s="10" t="n">
        <v>0.655108493985608</v>
      </c>
      <c r="P1151" s="10" t="n">
        <v>0.162863194011152</v>
      </c>
      <c r="Q1151" s="0" t="str">
        <f aca="false">SUBSTITUTE(SUBSTITUTE($I1151,CHAR(61),""),CHAR(34),"")</f>
        <v>01-09</v>
      </c>
      <c r="R1151" s="0" t="str">
        <f aca="false">IF($D1151&lt;&gt;"","["&amp;$E1151&amp;"]"&amp;"|"&amp;$Q1151&amp;"|"&amp;$K1151&amp;"|"&amp;$G1151&amp;"|"&amp;IF($G1151="TX_CURR_SUBNAT.R","CY2022Q4",$M1151),"")</f>
        <v>[JQKLKuVuY61]|01-09|Female|HIV_PREV.T_1|CY2023Q3</v>
      </c>
    </row>
    <row r="1152" customFormat="false" ht="15" hidden="false" customHeight="false" outlineLevel="0" collapsed="false">
      <c r="D1152" s="9" t="s">
        <v>132</v>
      </c>
      <c r="E1152" s="9" t="s">
        <v>133</v>
      </c>
      <c r="F1152" s="9" t="s">
        <v>134</v>
      </c>
      <c r="G1152" s="9" t="s">
        <v>141</v>
      </c>
      <c r="H1152" s="9" t="s">
        <v>142</v>
      </c>
      <c r="I1152" s="0" t="s">
        <v>36</v>
      </c>
      <c r="J1152" s="9" t="s">
        <v>37</v>
      </c>
      <c r="K1152" s="9" t="s">
        <v>30</v>
      </c>
      <c r="L1152" s="9" t="s">
        <v>31</v>
      </c>
      <c r="M1152" s="0" t="s">
        <v>140</v>
      </c>
      <c r="N1152" s="0" t="n">
        <v>1824</v>
      </c>
      <c r="O1152" s="10" t="n">
        <v>0.531391183380038</v>
      </c>
      <c r="P1152" s="10" t="n">
        <v>0.162863194011152</v>
      </c>
      <c r="Q1152" s="0" t="str">
        <f aca="false">SUBSTITUTE(SUBSTITUTE($I1152,CHAR(61),""),CHAR(34),"")</f>
        <v>10-14</v>
      </c>
      <c r="R1152" s="0" t="str">
        <f aca="false">IF($D1152&lt;&gt;"","["&amp;$E1152&amp;"]"&amp;"|"&amp;$Q1152&amp;"|"&amp;$K1152&amp;"|"&amp;$G1152&amp;"|"&amp;IF($G1152="TX_CURR_SUBNAT.R","CY2022Q4",$M1152),"")</f>
        <v>[JQKLKuVuY61]|10-14|Female|HIV_PREV.T_1|CY2023Q3</v>
      </c>
    </row>
    <row r="1153" customFormat="false" ht="15" hidden="false" customHeight="false" outlineLevel="0" collapsed="false">
      <c r="D1153" s="9" t="s">
        <v>132</v>
      </c>
      <c r="E1153" s="9" t="s">
        <v>133</v>
      </c>
      <c r="F1153" s="9" t="s">
        <v>134</v>
      </c>
      <c r="G1153" s="9" t="s">
        <v>141</v>
      </c>
      <c r="H1153" s="9" t="s">
        <v>142</v>
      </c>
      <c r="I1153" s="0" t="s">
        <v>38</v>
      </c>
      <c r="J1153" s="9" t="s">
        <v>39</v>
      </c>
      <c r="K1153" s="9" t="s">
        <v>30</v>
      </c>
      <c r="L1153" s="9" t="s">
        <v>31</v>
      </c>
      <c r="M1153" s="0" t="s">
        <v>140</v>
      </c>
      <c r="N1153" s="0" t="n">
        <v>1393</v>
      </c>
      <c r="O1153" s="10" t="n">
        <v>0.555217238375917</v>
      </c>
      <c r="P1153" s="10" t="n">
        <v>0.162863194011152</v>
      </c>
      <c r="Q1153" s="0" t="str">
        <f aca="false">SUBSTITUTE(SUBSTITUTE($I1153,CHAR(61),""),CHAR(34),"")</f>
        <v>15-24</v>
      </c>
      <c r="R1153" s="0" t="str">
        <f aca="false">IF($D1153&lt;&gt;"","["&amp;$E1153&amp;"]"&amp;"|"&amp;$Q1153&amp;"|"&amp;$K1153&amp;"|"&amp;$G1153&amp;"|"&amp;IF($G1153="TX_CURR_SUBNAT.R","CY2022Q4",$M1153),"")</f>
        <v>[JQKLKuVuY61]|15-24|Female|HIV_PREV.T_1|CY2023Q3</v>
      </c>
    </row>
    <row r="1154" customFormat="false" ht="15" hidden="false" customHeight="false" outlineLevel="0" collapsed="false">
      <c r="D1154" s="9" t="s">
        <v>132</v>
      </c>
      <c r="E1154" s="9" t="s">
        <v>133</v>
      </c>
      <c r="F1154" s="9" t="s">
        <v>134</v>
      </c>
      <c r="G1154" s="9" t="s">
        <v>141</v>
      </c>
      <c r="H1154" s="9" t="s">
        <v>142</v>
      </c>
      <c r="I1154" s="0" t="s">
        <v>41</v>
      </c>
      <c r="J1154" s="9" t="s">
        <v>42</v>
      </c>
      <c r="K1154" s="9" t="s">
        <v>30</v>
      </c>
      <c r="L1154" s="9" t="s">
        <v>31</v>
      </c>
      <c r="M1154" s="0" t="s">
        <v>140</v>
      </c>
      <c r="N1154" s="0" t="n">
        <v>1103</v>
      </c>
      <c r="O1154" s="10" t="n">
        <v>0.977403763914481</v>
      </c>
      <c r="P1154" s="10" t="n">
        <v>0.162863194011152</v>
      </c>
      <c r="Q1154" s="0" t="str">
        <f aca="false">SUBSTITUTE(SUBSTITUTE($I1154,CHAR(61),""),CHAR(34),"")</f>
        <v>25-34</v>
      </c>
      <c r="R1154" s="0" t="str">
        <f aca="false">IF($D1154&lt;&gt;"","["&amp;$E1154&amp;"]"&amp;"|"&amp;$Q1154&amp;"|"&amp;$K1154&amp;"|"&amp;$G1154&amp;"|"&amp;IF($G1154="TX_CURR_SUBNAT.R","CY2022Q4",$M1154),"")</f>
        <v>[JQKLKuVuY61]|25-34|Female|HIV_PREV.T_1|CY2023Q3</v>
      </c>
    </row>
    <row r="1155" customFormat="false" ht="15" hidden="false" customHeight="false" outlineLevel="0" collapsed="false">
      <c r="D1155" s="9" t="s">
        <v>132</v>
      </c>
      <c r="E1155" s="9" t="s">
        <v>133</v>
      </c>
      <c r="F1155" s="9" t="s">
        <v>134</v>
      </c>
      <c r="G1155" s="9" t="s">
        <v>141</v>
      </c>
      <c r="H1155" s="9" t="s">
        <v>142</v>
      </c>
      <c r="I1155" s="0" t="s">
        <v>43</v>
      </c>
      <c r="J1155" s="9" t="s">
        <v>44</v>
      </c>
      <c r="K1155" s="9" t="s">
        <v>30</v>
      </c>
      <c r="L1155" s="9" t="s">
        <v>31</v>
      </c>
      <c r="M1155" s="0" t="s">
        <v>140</v>
      </c>
      <c r="N1155" s="0" t="n">
        <v>1656</v>
      </c>
      <c r="O1155" s="10" t="n">
        <v>0.0140416242647916</v>
      </c>
      <c r="P1155" s="10" t="n">
        <v>0.162863194011152</v>
      </c>
      <c r="Q1155" s="0" t="str">
        <f aca="false">SUBSTITUTE(SUBSTITUTE($I1155,CHAR(61),""),CHAR(34),"")</f>
        <v>35-49</v>
      </c>
      <c r="R1155" s="0" t="str">
        <f aca="false">IF($D1155&lt;&gt;"","["&amp;$E1155&amp;"]"&amp;"|"&amp;$Q1155&amp;"|"&amp;$K1155&amp;"|"&amp;$G1155&amp;"|"&amp;IF($G1155="TX_CURR_SUBNAT.R","CY2022Q4",$M1155),"")</f>
        <v>[JQKLKuVuY61]|35-49|Female|HIV_PREV.T_1|CY2023Q3</v>
      </c>
    </row>
    <row r="1156" customFormat="false" ht="15" hidden="false" customHeight="false" outlineLevel="0" collapsed="false">
      <c r="D1156" s="9" t="s">
        <v>132</v>
      </c>
      <c r="E1156" s="9" t="s">
        <v>133</v>
      </c>
      <c r="F1156" s="9" t="s">
        <v>134</v>
      </c>
      <c r="G1156" s="9" t="s">
        <v>141</v>
      </c>
      <c r="H1156" s="9" t="s">
        <v>142</v>
      </c>
      <c r="I1156" s="0" t="s">
        <v>45</v>
      </c>
      <c r="J1156" s="9" t="s">
        <v>46</v>
      </c>
      <c r="K1156" s="9" t="s">
        <v>30</v>
      </c>
      <c r="L1156" s="9" t="s">
        <v>31</v>
      </c>
      <c r="M1156" s="0" t="s">
        <v>140</v>
      </c>
      <c r="N1156" s="0" t="n">
        <v>627</v>
      </c>
      <c r="O1156" s="10" t="n">
        <v>0.0969311534427106</v>
      </c>
      <c r="P1156" s="10" t="n">
        <v>0.162863194011152</v>
      </c>
      <c r="Q1156" s="0" t="str">
        <f aca="false">SUBSTITUTE(SUBSTITUTE($I1156,CHAR(61),""),CHAR(34),"")</f>
        <v>50+</v>
      </c>
      <c r="R1156" s="0" t="str">
        <f aca="false">IF($D1156&lt;&gt;"","["&amp;$E1156&amp;"]"&amp;"|"&amp;$Q1156&amp;"|"&amp;$K1156&amp;"|"&amp;$G1156&amp;"|"&amp;IF($G1156="TX_CURR_SUBNAT.R","CY2022Q4",$M1156),"")</f>
        <v>[JQKLKuVuY61]|50+|Female|HIV_PREV.T_1|CY2023Q3</v>
      </c>
    </row>
    <row r="1157" customFormat="false" ht="15" hidden="false" customHeight="false" outlineLevel="0" collapsed="false">
      <c r="D1157" s="9" t="s">
        <v>132</v>
      </c>
      <c r="E1157" s="9" t="s">
        <v>133</v>
      </c>
      <c r="F1157" s="9" t="s">
        <v>134</v>
      </c>
      <c r="G1157" s="9" t="s">
        <v>141</v>
      </c>
      <c r="H1157" s="9" t="s">
        <v>142</v>
      </c>
      <c r="I1157" s="0" t="s">
        <v>28</v>
      </c>
      <c r="J1157" s="9" t="s">
        <v>29</v>
      </c>
      <c r="K1157" s="9" t="s">
        <v>48</v>
      </c>
      <c r="L1157" s="9" t="s">
        <v>49</v>
      </c>
      <c r="M1157" s="0" t="s">
        <v>140</v>
      </c>
      <c r="N1157" s="0" t="n">
        <v>1515</v>
      </c>
      <c r="O1157" s="10" t="n">
        <v>0.226099581224844</v>
      </c>
      <c r="P1157" s="10" t="n">
        <v>0.162863194011152</v>
      </c>
      <c r="Q1157" s="0" t="str">
        <f aca="false">SUBSTITUTE(SUBSTITUTE($I1157,CHAR(61),""),CHAR(34),"")</f>
        <v>&lt;01</v>
      </c>
      <c r="R1157" s="0" t="str">
        <f aca="false">IF($D1157&lt;&gt;"","["&amp;$E1157&amp;"]"&amp;"|"&amp;$Q1157&amp;"|"&amp;$K1157&amp;"|"&amp;$G1157&amp;"|"&amp;IF($G1157="TX_CURR_SUBNAT.R","CY2022Q4",$M1157),"")</f>
        <v>[JQKLKuVuY61]|&lt;01|Male|HIV_PREV.T_1|CY2023Q3</v>
      </c>
    </row>
    <row r="1158" customFormat="false" ht="15" hidden="false" customHeight="false" outlineLevel="0" collapsed="false">
      <c r="D1158" s="9" t="s">
        <v>132</v>
      </c>
      <c r="E1158" s="9" t="s">
        <v>133</v>
      </c>
      <c r="F1158" s="9" t="s">
        <v>134</v>
      </c>
      <c r="G1158" s="9" t="s">
        <v>141</v>
      </c>
      <c r="H1158" s="9" t="s">
        <v>142</v>
      </c>
      <c r="I1158" s="0" t="s">
        <v>33</v>
      </c>
      <c r="J1158" s="9" t="s">
        <v>34</v>
      </c>
      <c r="K1158" s="9" t="s">
        <v>48</v>
      </c>
      <c r="L1158" s="9" t="s">
        <v>49</v>
      </c>
      <c r="M1158" s="0" t="s">
        <v>140</v>
      </c>
      <c r="N1158" s="0" t="n">
        <v>1948</v>
      </c>
      <c r="O1158" s="10" t="n">
        <v>0.346289279870689</v>
      </c>
      <c r="P1158" s="10" t="n">
        <v>0.162863194011152</v>
      </c>
      <c r="Q1158" s="0" t="str">
        <f aca="false">SUBSTITUTE(SUBSTITUTE($I1158,CHAR(61),""),CHAR(34),"")</f>
        <v>01-09</v>
      </c>
      <c r="R1158" s="0" t="str">
        <f aca="false">IF($D1158&lt;&gt;"","["&amp;$E1158&amp;"]"&amp;"|"&amp;$Q1158&amp;"|"&amp;$K1158&amp;"|"&amp;$G1158&amp;"|"&amp;IF($G1158="TX_CURR_SUBNAT.R","CY2022Q4",$M1158),"")</f>
        <v>[JQKLKuVuY61]|01-09|Male|HIV_PREV.T_1|CY2023Q3</v>
      </c>
    </row>
    <row r="1159" customFormat="false" ht="15" hidden="false" customHeight="false" outlineLevel="0" collapsed="false">
      <c r="D1159" s="9" t="s">
        <v>132</v>
      </c>
      <c r="E1159" s="9" t="s">
        <v>133</v>
      </c>
      <c r="F1159" s="9" t="s">
        <v>134</v>
      </c>
      <c r="G1159" s="9" t="s">
        <v>141</v>
      </c>
      <c r="H1159" s="9" t="s">
        <v>142</v>
      </c>
      <c r="I1159" s="0" t="s">
        <v>36</v>
      </c>
      <c r="J1159" s="9" t="s">
        <v>37</v>
      </c>
      <c r="K1159" s="9" t="s">
        <v>48</v>
      </c>
      <c r="L1159" s="9" t="s">
        <v>49</v>
      </c>
      <c r="M1159" s="0" t="s">
        <v>140</v>
      </c>
      <c r="N1159" s="0" t="n">
        <v>1227</v>
      </c>
      <c r="O1159" s="10" t="n">
        <v>0.0935700535774231</v>
      </c>
      <c r="P1159" s="10" t="n">
        <v>0.162863194011152</v>
      </c>
      <c r="Q1159" s="0" t="str">
        <f aca="false">SUBSTITUTE(SUBSTITUTE($I1159,CHAR(61),""),CHAR(34),"")</f>
        <v>10-14</v>
      </c>
      <c r="R1159" s="0" t="str">
        <f aca="false">IF($D1159&lt;&gt;"","["&amp;$E1159&amp;"]"&amp;"|"&amp;$Q1159&amp;"|"&amp;$K1159&amp;"|"&amp;$G1159&amp;"|"&amp;IF($G1159="TX_CURR_SUBNAT.R","CY2022Q4",$M1159),"")</f>
        <v>[JQKLKuVuY61]|10-14|Male|HIV_PREV.T_1|CY2023Q3</v>
      </c>
    </row>
    <row r="1160" customFormat="false" ht="15" hidden="false" customHeight="false" outlineLevel="0" collapsed="false">
      <c r="D1160" s="9" t="s">
        <v>132</v>
      </c>
      <c r="E1160" s="9" t="s">
        <v>133</v>
      </c>
      <c r="F1160" s="9" t="s">
        <v>134</v>
      </c>
      <c r="G1160" s="9" t="s">
        <v>141</v>
      </c>
      <c r="H1160" s="9" t="s">
        <v>142</v>
      </c>
      <c r="I1160" s="0" t="s">
        <v>38</v>
      </c>
      <c r="J1160" s="9" t="s">
        <v>39</v>
      </c>
      <c r="K1160" s="9" t="s">
        <v>48</v>
      </c>
      <c r="L1160" s="9" t="s">
        <v>49</v>
      </c>
      <c r="M1160" s="0" t="s">
        <v>140</v>
      </c>
      <c r="N1160" s="0" t="n">
        <v>604</v>
      </c>
      <c r="O1160" s="10" t="n">
        <v>0.476332591380924</v>
      </c>
      <c r="P1160" s="10" t="n">
        <v>0.162863194011152</v>
      </c>
      <c r="Q1160" s="0" t="str">
        <f aca="false">SUBSTITUTE(SUBSTITUTE($I1160,CHAR(61),""),CHAR(34),"")</f>
        <v>15-24</v>
      </c>
      <c r="R1160" s="0" t="str">
        <f aca="false">IF($D1160&lt;&gt;"","["&amp;$E1160&amp;"]"&amp;"|"&amp;$Q1160&amp;"|"&amp;$K1160&amp;"|"&amp;$G1160&amp;"|"&amp;IF($G1160="TX_CURR_SUBNAT.R","CY2022Q4",$M1160),"")</f>
        <v>[JQKLKuVuY61]|15-24|Male|HIV_PREV.T_1|CY2023Q3</v>
      </c>
    </row>
    <row r="1161" customFormat="false" ht="15" hidden="false" customHeight="false" outlineLevel="0" collapsed="false">
      <c r="D1161" s="9" t="s">
        <v>132</v>
      </c>
      <c r="E1161" s="9" t="s">
        <v>133</v>
      </c>
      <c r="F1161" s="9" t="s">
        <v>134</v>
      </c>
      <c r="G1161" s="9" t="s">
        <v>141</v>
      </c>
      <c r="H1161" s="9" t="s">
        <v>142</v>
      </c>
      <c r="I1161" s="0" t="s">
        <v>41</v>
      </c>
      <c r="J1161" s="9" t="s">
        <v>42</v>
      </c>
      <c r="K1161" s="9" t="s">
        <v>48</v>
      </c>
      <c r="L1161" s="9" t="s">
        <v>49</v>
      </c>
      <c r="M1161" s="0" t="s">
        <v>140</v>
      </c>
      <c r="N1161" s="0" t="n">
        <v>1365</v>
      </c>
      <c r="O1161" s="10" t="n">
        <v>0.180017654318362</v>
      </c>
      <c r="P1161" s="10" t="n">
        <v>0.162863194011152</v>
      </c>
      <c r="Q1161" s="0" t="str">
        <f aca="false">SUBSTITUTE(SUBSTITUTE($I1161,CHAR(61),""),CHAR(34),"")</f>
        <v>25-34</v>
      </c>
      <c r="R1161" s="0" t="str">
        <f aca="false">IF($D1161&lt;&gt;"","["&amp;$E1161&amp;"]"&amp;"|"&amp;$Q1161&amp;"|"&amp;$K1161&amp;"|"&amp;$G1161&amp;"|"&amp;IF($G1161="TX_CURR_SUBNAT.R","CY2022Q4",$M1161),"")</f>
        <v>[JQKLKuVuY61]|25-34|Male|HIV_PREV.T_1|CY2023Q3</v>
      </c>
    </row>
    <row r="1162" customFormat="false" ht="15" hidden="false" customHeight="false" outlineLevel="0" collapsed="false">
      <c r="D1162" s="9" t="s">
        <v>132</v>
      </c>
      <c r="E1162" s="9" t="s">
        <v>133</v>
      </c>
      <c r="F1162" s="9" t="s">
        <v>134</v>
      </c>
      <c r="G1162" s="9" t="s">
        <v>141</v>
      </c>
      <c r="H1162" s="9" t="s">
        <v>142</v>
      </c>
      <c r="I1162" s="0" t="s">
        <v>43</v>
      </c>
      <c r="J1162" s="9" t="s">
        <v>44</v>
      </c>
      <c r="K1162" s="9" t="s">
        <v>48</v>
      </c>
      <c r="L1162" s="9" t="s">
        <v>49</v>
      </c>
      <c r="M1162" s="0" t="s">
        <v>140</v>
      </c>
      <c r="N1162" s="0" t="n">
        <v>1408</v>
      </c>
      <c r="O1162" s="10" t="n">
        <v>0.455467464635149</v>
      </c>
      <c r="P1162" s="10" t="n">
        <v>0.162863194011152</v>
      </c>
      <c r="Q1162" s="0" t="str">
        <f aca="false">SUBSTITUTE(SUBSTITUTE($I1162,CHAR(61),""),CHAR(34),"")</f>
        <v>35-49</v>
      </c>
      <c r="R1162" s="0" t="str">
        <f aca="false">IF($D1162&lt;&gt;"","["&amp;$E1162&amp;"]"&amp;"|"&amp;$Q1162&amp;"|"&amp;$K1162&amp;"|"&amp;$G1162&amp;"|"&amp;IF($G1162="TX_CURR_SUBNAT.R","CY2022Q4",$M1162),"")</f>
        <v>[JQKLKuVuY61]|35-49|Male|HIV_PREV.T_1|CY2023Q3</v>
      </c>
    </row>
    <row r="1163" customFormat="false" ht="15" hidden="false" customHeight="false" outlineLevel="0" collapsed="false">
      <c r="D1163" s="9" t="s">
        <v>132</v>
      </c>
      <c r="E1163" s="9" t="s">
        <v>133</v>
      </c>
      <c r="F1163" s="9" t="s">
        <v>134</v>
      </c>
      <c r="G1163" s="9" t="s">
        <v>141</v>
      </c>
      <c r="H1163" s="9" t="s">
        <v>142</v>
      </c>
      <c r="I1163" s="0" t="s">
        <v>45</v>
      </c>
      <c r="J1163" s="9" t="s">
        <v>46</v>
      </c>
      <c r="K1163" s="9" t="s">
        <v>48</v>
      </c>
      <c r="L1163" s="9" t="s">
        <v>49</v>
      </c>
      <c r="M1163" s="0" t="s">
        <v>140</v>
      </c>
      <c r="N1163" s="0" t="n">
        <v>580</v>
      </c>
      <c r="O1163" s="10" t="n">
        <v>0.902510178275406</v>
      </c>
      <c r="P1163" s="10" t="n">
        <v>0.162863194011152</v>
      </c>
      <c r="Q1163" s="0" t="str">
        <f aca="false">SUBSTITUTE(SUBSTITUTE($I1163,CHAR(61),""),CHAR(34),"")</f>
        <v>50+</v>
      </c>
      <c r="R1163" s="0" t="str">
        <f aca="false">IF($D1163&lt;&gt;"","["&amp;$E1163&amp;"]"&amp;"|"&amp;$Q1163&amp;"|"&amp;$K1163&amp;"|"&amp;$G1163&amp;"|"&amp;IF($G1163="TX_CURR_SUBNAT.R","CY2022Q4",$M1163),"")</f>
        <v>[JQKLKuVuY61]|50+|Male|HIV_PREV.T_1|CY2023Q3</v>
      </c>
    </row>
    <row r="1164" customFormat="false" ht="15" hidden="false" customHeight="false" outlineLevel="0" collapsed="false">
      <c r="D1164" s="9" t="s">
        <v>135</v>
      </c>
      <c r="E1164" s="9" t="s">
        <v>136</v>
      </c>
      <c r="F1164" s="9" t="s">
        <v>137</v>
      </c>
      <c r="G1164" s="9" t="s">
        <v>141</v>
      </c>
      <c r="H1164" s="9" t="s">
        <v>142</v>
      </c>
      <c r="I1164" s="0" t="s">
        <v>28</v>
      </c>
      <c r="J1164" s="9" t="s">
        <v>29</v>
      </c>
      <c r="K1164" s="9" t="s">
        <v>30</v>
      </c>
      <c r="L1164" s="9" t="s">
        <v>31</v>
      </c>
      <c r="M1164" s="0" t="s">
        <v>140</v>
      </c>
      <c r="N1164" s="0" t="n">
        <v>865</v>
      </c>
      <c r="O1164" s="10" t="n">
        <v>0.0168709838762879</v>
      </c>
      <c r="P1164" s="10" t="n">
        <v>0.955300528323278</v>
      </c>
      <c r="Q1164" s="0" t="str">
        <f aca="false">SUBSTITUTE(SUBSTITUTE($I1164,CHAR(61),""),CHAR(34),"")</f>
        <v>&lt;01</v>
      </c>
      <c r="R1164" s="0" t="str">
        <f aca="false">IF($D1164&lt;&gt;"","["&amp;$E1164&amp;"]"&amp;"|"&amp;$Q1164&amp;"|"&amp;$K1164&amp;"|"&amp;$G1164&amp;"|"&amp;IF($G1164="TX_CURR_SUBNAT.R","CY2022Q4",$M1164),"")</f>
        <v>[fiRkU6gEjLz]|&lt;01|Female|HIV_PREV.T_1|CY2023Q3</v>
      </c>
    </row>
    <row r="1165" customFormat="false" ht="15" hidden="false" customHeight="false" outlineLevel="0" collapsed="false">
      <c r="D1165" s="9" t="s">
        <v>135</v>
      </c>
      <c r="E1165" s="9" t="s">
        <v>136</v>
      </c>
      <c r="F1165" s="9" t="s">
        <v>137</v>
      </c>
      <c r="G1165" s="9" t="s">
        <v>141</v>
      </c>
      <c r="H1165" s="9" t="s">
        <v>142</v>
      </c>
      <c r="I1165" s="0" t="s">
        <v>33</v>
      </c>
      <c r="J1165" s="9" t="s">
        <v>34</v>
      </c>
      <c r="K1165" s="9" t="s">
        <v>30</v>
      </c>
      <c r="L1165" s="9" t="s">
        <v>31</v>
      </c>
      <c r="M1165" s="0" t="s">
        <v>140</v>
      </c>
      <c r="N1165" s="0" t="n">
        <v>1341</v>
      </c>
      <c r="O1165" s="10" t="n">
        <v>0.782573136035353</v>
      </c>
      <c r="P1165" s="10" t="n">
        <v>0.955300528323278</v>
      </c>
      <c r="Q1165" s="0" t="str">
        <f aca="false">SUBSTITUTE(SUBSTITUTE($I1165,CHAR(61),""),CHAR(34),"")</f>
        <v>01-09</v>
      </c>
      <c r="R1165" s="0" t="str">
        <f aca="false">IF($D1165&lt;&gt;"","["&amp;$E1165&amp;"]"&amp;"|"&amp;$Q1165&amp;"|"&amp;$K1165&amp;"|"&amp;$G1165&amp;"|"&amp;IF($G1165="TX_CURR_SUBNAT.R","CY2022Q4",$M1165),"")</f>
        <v>[fiRkU6gEjLz]|01-09|Female|HIV_PREV.T_1|CY2023Q3</v>
      </c>
    </row>
    <row r="1166" customFormat="false" ht="15" hidden="false" customHeight="false" outlineLevel="0" collapsed="false">
      <c r="D1166" s="9" t="s">
        <v>135</v>
      </c>
      <c r="E1166" s="9" t="s">
        <v>136</v>
      </c>
      <c r="F1166" s="9" t="s">
        <v>137</v>
      </c>
      <c r="G1166" s="9" t="s">
        <v>141</v>
      </c>
      <c r="H1166" s="9" t="s">
        <v>142</v>
      </c>
      <c r="I1166" s="0" t="s">
        <v>36</v>
      </c>
      <c r="J1166" s="9" t="s">
        <v>37</v>
      </c>
      <c r="K1166" s="9" t="s">
        <v>30</v>
      </c>
      <c r="L1166" s="9" t="s">
        <v>31</v>
      </c>
      <c r="M1166" s="0" t="s">
        <v>140</v>
      </c>
      <c r="N1166" s="0" t="n">
        <v>1056</v>
      </c>
      <c r="O1166" s="10" t="n">
        <v>0.204856708180159</v>
      </c>
      <c r="P1166" s="10" t="n">
        <v>0.955300528323278</v>
      </c>
      <c r="Q1166" s="0" t="str">
        <f aca="false">SUBSTITUTE(SUBSTITUTE($I1166,CHAR(61),""),CHAR(34),"")</f>
        <v>10-14</v>
      </c>
      <c r="R1166" s="0" t="str">
        <f aca="false">IF($D1166&lt;&gt;"","["&amp;$E1166&amp;"]"&amp;"|"&amp;$Q1166&amp;"|"&amp;$K1166&amp;"|"&amp;$G1166&amp;"|"&amp;IF($G1166="TX_CURR_SUBNAT.R","CY2022Q4",$M1166),"")</f>
        <v>[fiRkU6gEjLz]|10-14|Female|HIV_PREV.T_1|CY2023Q3</v>
      </c>
    </row>
    <row r="1167" customFormat="false" ht="15" hidden="false" customHeight="false" outlineLevel="0" collapsed="false">
      <c r="D1167" s="9" t="s">
        <v>135</v>
      </c>
      <c r="E1167" s="9" t="s">
        <v>136</v>
      </c>
      <c r="F1167" s="9" t="s">
        <v>137</v>
      </c>
      <c r="G1167" s="9" t="s">
        <v>141</v>
      </c>
      <c r="H1167" s="9" t="s">
        <v>142</v>
      </c>
      <c r="I1167" s="0" t="s">
        <v>38</v>
      </c>
      <c r="J1167" s="9" t="s">
        <v>39</v>
      </c>
      <c r="K1167" s="9" t="s">
        <v>30</v>
      </c>
      <c r="L1167" s="9" t="s">
        <v>31</v>
      </c>
      <c r="M1167" s="0" t="s">
        <v>140</v>
      </c>
      <c r="N1167" s="0" t="n">
        <v>633</v>
      </c>
      <c r="O1167" s="10" t="n">
        <v>0.152127997018397</v>
      </c>
      <c r="P1167" s="10" t="n">
        <v>0.955300528323278</v>
      </c>
      <c r="Q1167" s="0" t="str">
        <f aca="false">SUBSTITUTE(SUBSTITUTE($I1167,CHAR(61),""),CHAR(34),"")</f>
        <v>15-24</v>
      </c>
      <c r="R1167" s="0" t="str">
        <f aca="false">IF($D1167&lt;&gt;"","["&amp;$E1167&amp;"]"&amp;"|"&amp;$Q1167&amp;"|"&amp;$K1167&amp;"|"&amp;$G1167&amp;"|"&amp;IF($G1167="TX_CURR_SUBNAT.R","CY2022Q4",$M1167),"")</f>
        <v>[fiRkU6gEjLz]|15-24|Female|HIV_PREV.T_1|CY2023Q3</v>
      </c>
    </row>
    <row r="1168" customFormat="false" ht="15" hidden="false" customHeight="false" outlineLevel="0" collapsed="false">
      <c r="D1168" s="9" t="s">
        <v>135</v>
      </c>
      <c r="E1168" s="9" t="s">
        <v>136</v>
      </c>
      <c r="F1168" s="9" t="s">
        <v>137</v>
      </c>
      <c r="G1168" s="9" t="s">
        <v>141</v>
      </c>
      <c r="H1168" s="9" t="s">
        <v>142</v>
      </c>
      <c r="I1168" s="0" t="s">
        <v>41</v>
      </c>
      <c r="J1168" s="9" t="s">
        <v>42</v>
      </c>
      <c r="K1168" s="9" t="s">
        <v>30</v>
      </c>
      <c r="L1168" s="9" t="s">
        <v>31</v>
      </c>
      <c r="M1168" s="0" t="s">
        <v>140</v>
      </c>
      <c r="N1168" s="0" t="n">
        <v>699</v>
      </c>
      <c r="O1168" s="10" t="n">
        <v>0.0686792673077434</v>
      </c>
      <c r="P1168" s="10" t="n">
        <v>0.955300528323278</v>
      </c>
      <c r="Q1168" s="0" t="str">
        <f aca="false">SUBSTITUTE(SUBSTITUTE($I1168,CHAR(61),""),CHAR(34),"")</f>
        <v>25-34</v>
      </c>
      <c r="R1168" s="0" t="str">
        <f aca="false">IF($D1168&lt;&gt;"","["&amp;$E1168&amp;"]"&amp;"|"&amp;$Q1168&amp;"|"&amp;$K1168&amp;"|"&amp;$G1168&amp;"|"&amp;IF($G1168="TX_CURR_SUBNAT.R","CY2022Q4",$M1168),"")</f>
        <v>[fiRkU6gEjLz]|25-34|Female|HIV_PREV.T_1|CY2023Q3</v>
      </c>
    </row>
    <row r="1169" customFormat="false" ht="15" hidden="false" customHeight="false" outlineLevel="0" collapsed="false">
      <c r="D1169" s="9" t="s">
        <v>135</v>
      </c>
      <c r="E1169" s="9" t="s">
        <v>136</v>
      </c>
      <c r="F1169" s="9" t="s">
        <v>137</v>
      </c>
      <c r="G1169" s="9" t="s">
        <v>141</v>
      </c>
      <c r="H1169" s="9" t="s">
        <v>142</v>
      </c>
      <c r="I1169" s="0" t="s">
        <v>43</v>
      </c>
      <c r="J1169" s="9" t="s">
        <v>44</v>
      </c>
      <c r="K1169" s="9" t="s">
        <v>30</v>
      </c>
      <c r="L1169" s="9" t="s">
        <v>31</v>
      </c>
      <c r="M1169" s="0" t="s">
        <v>140</v>
      </c>
      <c r="N1169" s="0" t="n">
        <v>546</v>
      </c>
      <c r="O1169" s="10" t="n">
        <v>0.610868487507105</v>
      </c>
      <c r="P1169" s="10" t="n">
        <v>0.955300528323278</v>
      </c>
      <c r="Q1169" s="0" t="str">
        <f aca="false">SUBSTITUTE(SUBSTITUTE($I1169,CHAR(61),""),CHAR(34),"")</f>
        <v>35-49</v>
      </c>
      <c r="R1169" s="0" t="str">
        <f aca="false">IF($D1169&lt;&gt;"","["&amp;$E1169&amp;"]"&amp;"|"&amp;$Q1169&amp;"|"&amp;$K1169&amp;"|"&amp;$G1169&amp;"|"&amp;IF($G1169="TX_CURR_SUBNAT.R","CY2022Q4",$M1169),"")</f>
        <v>[fiRkU6gEjLz]|35-49|Female|HIV_PREV.T_1|CY2023Q3</v>
      </c>
    </row>
    <row r="1170" customFormat="false" ht="15" hidden="false" customHeight="false" outlineLevel="0" collapsed="false">
      <c r="D1170" s="9" t="s">
        <v>135</v>
      </c>
      <c r="E1170" s="9" t="s">
        <v>136</v>
      </c>
      <c r="F1170" s="9" t="s">
        <v>137</v>
      </c>
      <c r="G1170" s="9" t="s">
        <v>141</v>
      </c>
      <c r="H1170" s="9" t="s">
        <v>142</v>
      </c>
      <c r="I1170" s="0" t="s">
        <v>45</v>
      </c>
      <c r="J1170" s="9" t="s">
        <v>46</v>
      </c>
      <c r="K1170" s="9" t="s">
        <v>30</v>
      </c>
      <c r="L1170" s="9" t="s">
        <v>31</v>
      </c>
      <c r="M1170" s="0" t="s">
        <v>140</v>
      </c>
      <c r="N1170" s="0" t="n">
        <v>1732</v>
      </c>
      <c r="O1170" s="10" t="n">
        <v>0.698137846309692</v>
      </c>
      <c r="P1170" s="10" t="n">
        <v>0.955300528323278</v>
      </c>
      <c r="Q1170" s="0" t="str">
        <f aca="false">SUBSTITUTE(SUBSTITUTE($I1170,CHAR(61),""),CHAR(34),"")</f>
        <v>50+</v>
      </c>
      <c r="R1170" s="0" t="str">
        <f aca="false">IF($D1170&lt;&gt;"","["&amp;$E1170&amp;"]"&amp;"|"&amp;$Q1170&amp;"|"&amp;$K1170&amp;"|"&amp;$G1170&amp;"|"&amp;IF($G1170="TX_CURR_SUBNAT.R","CY2022Q4",$M1170),"")</f>
        <v>[fiRkU6gEjLz]|50+|Female|HIV_PREV.T_1|CY2023Q3</v>
      </c>
    </row>
    <row r="1171" customFormat="false" ht="15" hidden="false" customHeight="false" outlineLevel="0" collapsed="false">
      <c r="D1171" s="9" t="s">
        <v>135</v>
      </c>
      <c r="E1171" s="9" t="s">
        <v>136</v>
      </c>
      <c r="F1171" s="9" t="s">
        <v>137</v>
      </c>
      <c r="G1171" s="9" t="s">
        <v>141</v>
      </c>
      <c r="H1171" s="9" t="s">
        <v>142</v>
      </c>
      <c r="I1171" s="0" t="s">
        <v>28</v>
      </c>
      <c r="J1171" s="9" t="s">
        <v>29</v>
      </c>
      <c r="K1171" s="9" t="s">
        <v>48</v>
      </c>
      <c r="L1171" s="9" t="s">
        <v>49</v>
      </c>
      <c r="M1171" s="0" t="s">
        <v>140</v>
      </c>
      <c r="N1171" s="0" t="n">
        <v>1037</v>
      </c>
      <c r="O1171" s="10" t="n">
        <v>0.944314404157922</v>
      </c>
      <c r="P1171" s="10" t="n">
        <v>0.955300528323278</v>
      </c>
      <c r="Q1171" s="0" t="str">
        <f aca="false">SUBSTITUTE(SUBSTITUTE($I1171,CHAR(61),""),CHAR(34),"")</f>
        <v>&lt;01</v>
      </c>
      <c r="R1171" s="0" t="str">
        <f aca="false">IF($D1171&lt;&gt;"","["&amp;$E1171&amp;"]"&amp;"|"&amp;$Q1171&amp;"|"&amp;$K1171&amp;"|"&amp;$G1171&amp;"|"&amp;IF($G1171="TX_CURR_SUBNAT.R","CY2022Q4",$M1171),"")</f>
        <v>[fiRkU6gEjLz]|&lt;01|Male|HIV_PREV.T_1|CY2023Q3</v>
      </c>
    </row>
    <row r="1172" customFormat="false" ht="15" hidden="false" customHeight="false" outlineLevel="0" collapsed="false">
      <c r="D1172" s="9" t="s">
        <v>135</v>
      </c>
      <c r="E1172" s="9" t="s">
        <v>136</v>
      </c>
      <c r="F1172" s="9" t="s">
        <v>137</v>
      </c>
      <c r="G1172" s="9" t="s">
        <v>141</v>
      </c>
      <c r="H1172" s="9" t="s">
        <v>142</v>
      </c>
      <c r="I1172" s="0" t="s">
        <v>33</v>
      </c>
      <c r="J1172" s="9" t="s">
        <v>34</v>
      </c>
      <c r="K1172" s="9" t="s">
        <v>48</v>
      </c>
      <c r="L1172" s="9" t="s">
        <v>49</v>
      </c>
      <c r="M1172" s="0" t="s">
        <v>140</v>
      </c>
      <c r="N1172" s="0" t="n">
        <v>1001</v>
      </c>
      <c r="O1172" s="10" t="n">
        <v>0.472282318631187</v>
      </c>
      <c r="P1172" s="10" t="n">
        <v>0.955300528323278</v>
      </c>
      <c r="Q1172" s="0" t="str">
        <f aca="false">SUBSTITUTE(SUBSTITUTE($I1172,CHAR(61),""),CHAR(34),"")</f>
        <v>01-09</v>
      </c>
      <c r="R1172" s="0" t="str">
        <f aca="false">IF($D1172&lt;&gt;"","["&amp;$E1172&amp;"]"&amp;"|"&amp;$Q1172&amp;"|"&amp;$K1172&amp;"|"&amp;$G1172&amp;"|"&amp;IF($G1172="TX_CURR_SUBNAT.R","CY2022Q4",$M1172),"")</f>
        <v>[fiRkU6gEjLz]|01-09|Male|HIV_PREV.T_1|CY2023Q3</v>
      </c>
    </row>
    <row r="1173" customFormat="false" ht="15" hidden="false" customHeight="false" outlineLevel="0" collapsed="false">
      <c r="D1173" s="9" t="s">
        <v>135</v>
      </c>
      <c r="E1173" s="9" t="s">
        <v>136</v>
      </c>
      <c r="F1173" s="9" t="s">
        <v>137</v>
      </c>
      <c r="G1173" s="9" t="s">
        <v>141</v>
      </c>
      <c r="H1173" s="9" t="s">
        <v>142</v>
      </c>
      <c r="I1173" s="0" t="s">
        <v>36</v>
      </c>
      <c r="J1173" s="9" t="s">
        <v>37</v>
      </c>
      <c r="K1173" s="9" t="s">
        <v>48</v>
      </c>
      <c r="L1173" s="9" t="s">
        <v>49</v>
      </c>
      <c r="M1173" s="0" t="s">
        <v>140</v>
      </c>
      <c r="N1173" s="0" t="n">
        <v>1662</v>
      </c>
      <c r="O1173" s="10" t="n">
        <v>0.476557187968865</v>
      </c>
      <c r="P1173" s="10" t="n">
        <v>0.955300528323278</v>
      </c>
      <c r="Q1173" s="0" t="str">
        <f aca="false">SUBSTITUTE(SUBSTITUTE($I1173,CHAR(61),""),CHAR(34),"")</f>
        <v>10-14</v>
      </c>
      <c r="R1173" s="0" t="str">
        <f aca="false">IF($D1173&lt;&gt;"","["&amp;$E1173&amp;"]"&amp;"|"&amp;$Q1173&amp;"|"&amp;$K1173&amp;"|"&amp;$G1173&amp;"|"&amp;IF($G1173="TX_CURR_SUBNAT.R","CY2022Q4",$M1173),"")</f>
        <v>[fiRkU6gEjLz]|10-14|Male|HIV_PREV.T_1|CY2023Q3</v>
      </c>
    </row>
    <row r="1174" customFormat="false" ht="15" hidden="false" customHeight="false" outlineLevel="0" collapsed="false">
      <c r="D1174" s="9" t="s">
        <v>135</v>
      </c>
      <c r="E1174" s="9" t="s">
        <v>136</v>
      </c>
      <c r="F1174" s="9" t="s">
        <v>137</v>
      </c>
      <c r="G1174" s="9" t="s">
        <v>141</v>
      </c>
      <c r="H1174" s="9" t="s">
        <v>142</v>
      </c>
      <c r="I1174" s="0" t="s">
        <v>38</v>
      </c>
      <c r="J1174" s="9" t="s">
        <v>39</v>
      </c>
      <c r="K1174" s="9" t="s">
        <v>48</v>
      </c>
      <c r="L1174" s="9" t="s">
        <v>49</v>
      </c>
      <c r="M1174" s="0" t="s">
        <v>140</v>
      </c>
      <c r="N1174" s="0" t="n">
        <v>605</v>
      </c>
      <c r="O1174" s="10" t="n">
        <v>0.641366301570088</v>
      </c>
      <c r="P1174" s="10" t="n">
        <v>0.955300528323278</v>
      </c>
      <c r="Q1174" s="0" t="str">
        <f aca="false">SUBSTITUTE(SUBSTITUTE($I1174,CHAR(61),""),CHAR(34),"")</f>
        <v>15-24</v>
      </c>
      <c r="R1174" s="0" t="str">
        <f aca="false">IF($D1174&lt;&gt;"","["&amp;$E1174&amp;"]"&amp;"|"&amp;$Q1174&amp;"|"&amp;$K1174&amp;"|"&amp;$G1174&amp;"|"&amp;IF($G1174="TX_CURR_SUBNAT.R","CY2022Q4",$M1174),"")</f>
        <v>[fiRkU6gEjLz]|15-24|Male|HIV_PREV.T_1|CY2023Q3</v>
      </c>
    </row>
    <row r="1175" customFormat="false" ht="15" hidden="false" customHeight="false" outlineLevel="0" collapsed="false">
      <c r="D1175" s="9" t="s">
        <v>135</v>
      </c>
      <c r="E1175" s="9" t="s">
        <v>136</v>
      </c>
      <c r="F1175" s="9" t="s">
        <v>137</v>
      </c>
      <c r="G1175" s="9" t="s">
        <v>141</v>
      </c>
      <c r="H1175" s="9" t="s">
        <v>142</v>
      </c>
      <c r="I1175" s="0" t="s">
        <v>41</v>
      </c>
      <c r="J1175" s="9" t="s">
        <v>42</v>
      </c>
      <c r="K1175" s="9" t="s">
        <v>48</v>
      </c>
      <c r="L1175" s="9" t="s">
        <v>49</v>
      </c>
      <c r="M1175" s="0" t="s">
        <v>140</v>
      </c>
      <c r="N1175" s="0" t="n">
        <v>1909</v>
      </c>
      <c r="O1175" s="10" t="n">
        <v>0.908868891885504</v>
      </c>
      <c r="P1175" s="10" t="n">
        <v>0.955300528323278</v>
      </c>
      <c r="Q1175" s="0" t="str">
        <f aca="false">SUBSTITUTE(SUBSTITUTE($I1175,CHAR(61),""),CHAR(34),"")</f>
        <v>25-34</v>
      </c>
      <c r="R1175" s="0" t="str">
        <f aca="false">IF($D1175&lt;&gt;"","["&amp;$E1175&amp;"]"&amp;"|"&amp;$Q1175&amp;"|"&amp;$K1175&amp;"|"&amp;$G1175&amp;"|"&amp;IF($G1175="TX_CURR_SUBNAT.R","CY2022Q4",$M1175),"")</f>
        <v>[fiRkU6gEjLz]|25-34|Male|HIV_PREV.T_1|CY2023Q3</v>
      </c>
    </row>
    <row r="1176" customFormat="false" ht="15" hidden="false" customHeight="false" outlineLevel="0" collapsed="false">
      <c r="D1176" s="9" t="s">
        <v>135</v>
      </c>
      <c r="E1176" s="9" t="s">
        <v>136</v>
      </c>
      <c r="F1176" s="9" t="s">
        <v>137</v>
      </c>
      <c r="G1176" s="9" t="s">
        <v>141</v>
      </c>
      <c r="H1176" s="9" t="s">
        <v>142</v>
      </c>
      <c r="I1176" s="0" t="s">
        <v>43</v>
      </c>
      <c r="J1176" s="9" t="s">
        <v>44</v>
      </c>
      <c r="K1176" s="9" t="s">
        <v>48</v>
      </c>
      <c r="L1176" s="9" t="s">
        <v>49</v>
      </c>
      <c r="M1176" s="0" t="s">
        <v>140</v>
      </c>
      <c r="N1176" s="0" t="n">
        <v>935</v>
      </c>
      <c r="O1176" s="10" t="n">
        <v>0.793627748033032</v>
      </c>
      <c r="P1176" s="10" t="n">
        <v>0.955300528323278</v>
      </c>
      <c r="Q1176" s="0" t="str">
        <f aca="false">SUBSTITUTE(SUBSTITUTE($I1176,CHAR(61),""),CHAR(34),"")</f>
        <v>35-49</v>
      </c>
      <c r="R1176" s="0" t="str">
        <f aca="false">IF($D1176&lt;&gt;"","["&amp;$E1176&amp;"]"&amp;"|"&amp;$Q1176&amp;"|"&amp;$K1176&amp;"|"&amp;$G1176&amp;"|"&amp;IF($G1176="TX_CURR_SUBNAT.R","CY2022Q4",$M1176),"")</f>
        <v>[fiRkU6gEjLz]|35-49|Male|HIV_PREV.T_1|CY2023Q3</v>
      </c>
    </row>
    <row r="1177" customFormat="false" ht="15" hidden="false" customHeight="false" outlineLevel="0" collapsed="false">
      <c r="D1177" s="9" t="s">
        <v>135</v>
      </c>
      <c r="E1177" s="9" t="s">
        <v>136</v>
      </c>
      <c r="F1177" s="9" t="s">
        <v>137</v>
      </c>
      <c r="G1177" s="9" t="s">
        <v>141</v>
      </c>
      <c r="H1177" s="9" t="s">
        <v>142</v>
      </c>
      <c r="I1177" s="0" t="s">
        <v>45</v>
      </c>
      <c r="J1177" s="9" t="s">
        <v>46</v>
      </c>
      <c r="K1177" s="9" t="s">
        <v>48</v>
      </c>
      <c r="L1177" s="9" t="s">
        <v>49</v>
      </c>
      <c r="M1177" s="0" t="s">
        <v>140</v>
      </c>
      <c r="N1177" s="0" t="n">
        <v>1644</v>
      </c>
      <c r="O1177" s="10" t="n">
        <v>0.832647451665252</v>
      </c>
      <c r="P1177" s="10" t="n">
        <v>0.955300528323278</v>
      </c>
      <c r="Q1177" s="0" t="str">
        <f aca="false">SUBSTITUTE(SUBSTITUTE($I1177,CHAR(61),""),CHAR(34),"")</f>
        <v>50+</v>
      </c>
      <c r="R1177" s="0" t="str">
        <f aca="false">IF($D1177&lt;&gt;"","["&amp;$E1177&amp;"]"&amp;"|"&amp;$Q1177&amp;"|"&amp;$K1177&amp;"|"&amp;$G1177&amp;"|"&amp;IF($G1177="TX_CURR_SUBNAT.R","CY2022Q4",$M1177),"")</f>
        <v>[fiRkU6gEjLz]|50+|Male|HIV_PREV.T_1|CY2023Q3</v>
      </c>
    </row>
    <row r="1178" customFormat="false" ht="15" hidden="false" customHeight="false" outlineLevel="0" collapsed="false">
      <c r="D1178" s="9" t="s">
        <v>23</v>
      </c>
      <c r="E1178" s="9" t="s">
        <v>24</v>
      </c>
      <c r="F1178" s="9" t="s">
        <v>25</v>
      </c>
      <c r="G1178" s="9" t="s">
        <v>143</v>
      </c>
      <c r="H1178" s="9" t="s">
        <v>144</v>
      </c>
      <c r="I1178" s="0" t="s">
        <v>28</v>
      </c>
      <c r="J1178" s="9" t="s">
        <v>29</v>
      </c>
      <c r="K1178" s="9" t="s">
        <v>30</v>
      </c>
      <c r="L1178" s="9" t="s">
        <v>31</v>
      </c>
      <c r="M1178" s="0" t="s">
        <v>140</v>
      </c>
      <c r="N1178" s="0" t="n">
        <v>1458</v>
      </c>
      <c r="O1178" s="10" t="n">
        <v>0.18081266246736</v>
      </c>
      <c r="P1178" s="10" t="n">
        <v>0.404358610976487</v>
      </c>
      <c r="Q1178" s="0" t="str">
        <f aca="false">SUBSTITUTE(SUBSTITUTE($I1178,CHAR(61),""),CHAR(34),"")</f>
        <v>&lt;01</v>
      </c>
      <c r="R1178" s="0" t="str">
        <f aca="false">IF($D1178&lt;&gt;"","["&amp;$E1178&amp;"]"&amp;"|"&amp;$Q1178&amp;"|"&amp;$K1178&amp;"|"&amp;$G1178&amp;"|"&amp;IF($G1178="TX_CURR_SUBNAT.R","CY2022Q4",$M1178),"")</f>
        <v>[GkIwZrXy1h2]|&lt;01|Female|PLHIV_Residents.T_1|CY2023Q3</v>
      </c>
    </row>
    <row r="1179" customFormat="false" ht="15" hidden="false" customHeight="false" outlineLevel="0" collapsed="false">
      <c r="D1179" s="9" t="s">
        <v>23</v>
      </c>
      <c r="E1179" s="9" t="s">
        <v>24</v>
      </c>
      <c r="F1179" s="9" t="s">
        <v>25</v>
      </c>
      <c r="G1179" s="9" t="s">
        <v>143</v>
      </c>
      <c r="H1179" s="9" t="s">
        <v>144</v>
      </c>
      <c r="I1179" s="0" t="s">
        <v>33</v>
      </c>
      <c r="J1179" s="9" t="s">
        <v>34</v>
      </c>
      <c r="K1179" s="9" t="s">
        <v>30</v>
      </c>
      <c r="L1179" s="9" t="s">
        <v>31</v>
      </c>
      <c r="M1179" s="0" t="s">
        <v>140</v>
      </c>
      <c r="N1179" s="0" t="n">
        <v>1144</v>
      </c>
      <c r="O1179" s="10" t="n">
        <v>0.107515489682555</v>
      </c>
      <c r="P1179" s="10" t="n">
        <v>0.404358610976487</v>
      </c>
      <c r="Q1179" s="0" t="str">
        <f aca="false">SUBSTITUTE(SUBSTITUTE($I1179,CHAR(61),""),CHAR(34),"")</f>
        <v>01-09</v>
      </c>
      <c r="R1179" s="0" t="str">
        <f aca="false">IF($D1179&lt;&gt;"","["&amp;$E1179&amp;"]"&amp;"|"&amp;$Q1179&amp;"|"&amp;$K1179&amp;"|"&amp;$G1179&amp;"|"&amp;IF($G1179="TX_CURR_SUBNAT.R","CY2022Q4",$M1179),"")</f>
        <v>[GkIwZrXy1h2]|01-09|Female|PLHIV_Residents.T_1|CY2023Q3</v>
      </c>
    </row>
    <row r="1180" customFormat="false" ht="15" hidden="false" customHeight="false" outlineLevel="0" collapsed="false">
      <c r="D1180" s="9" t="s">
        <v>23</v>
      </c>
      <c r="E1180" s="9" t="s">
        <v>24</v>
      </c>
      <c r="F1180" s="9" t="s">
        <v>25</v>
      </c>
      <c r="G1180" s="9" t="s">
        <v>143</v>
      </c>
      <c r="H1180" s="9" t="s">
        <v>144</v>
      </c>
      <c r="I1180" s="0" t="s">
        <v>36</v>
      </c>
      <c r="J1180" s="9" t="s">
        <v>37</v>
      </c>
      <c r="K1180" s="9" t="s">
        <v>30</v>
      </c>
      <c r="L1180" s="9" t="s">
        <v>31</v>
      </c>
      <c r="M1180" s="0" t="s">
        <v>140</v>
      </c>
      <c r="N1180" s="0" t="n">
        <v>1955</v>
      </c>
      <c r="O1180" s="10" t="n">
        <v>0.66811716882512</v>
      </c>
      <c r="P1180" s="10" t="n">
        <v>0.404358610976487</v>
      </c>
      <c r="Q1180" s="0" t="str">
        <f aca="false">SUBSTITUTE(SUBSTITUTE($I1180,CHAR(61),""),CHAR(34),"")</f>
        <v>10-14</v>
      </c>
      <c r="R1180" s="0" t="str">
        <f aca="false">IF($D1180&lt;&gt;"","["&amp;$E1180&amp;"]"&amp;"|"&amp;$Q1180&amp;"|"&amp;$K1180&amp;"|"&amp;$G1180&amp;"|"&amp;IF($G1180="TX_CURR_SUBNAT.R","CY2022Q4",$M1180),"")</f>
        <v>[GkIwZrXy1h2]|10-14|Female|PLHIV_Residents.T_1|CY2023Q3</v>
      </c>
    </row>
    <row r="1181" customFormat="false" ht="15" hidden="false" customHeight="false" outlineLevel="0" collapsed="false">
      <c r="D1181" s="9" t="s">
        <v>23</v>
      </c>
      <c r="E1181" s="9" t="s">
        <v>24</v>
      </c>
      <c r="F1181" s="9" t="s">
        <v>25</v>
      </c>
      <c r="G1181" s="9" t="s">
        <v>143</v>
      </c>
      <c r="H1181" s="9" t="s">
        <v>144</v>
      </c>
      <c r="I1181" s="0" t="s">
        <v>38</v>
      </c>
      <c r="J1181" s="9" t="s">
        <v>39</v>
      </c>
      <c r="K1181" s="9" t="s">
        <v>30</v>
      </c>
      <c r="L1181" s="9" t="s">
        <v>31</v>
      </c>
      <c r="M1181" s="0" t="s">
        <v>140</v>
      </c>
      <c r="N1181" s="0" t="n">
        <v>1486</v>
      </c>
      <c r="O1181" s="10" t="n">
        <v>0.719368935795501</v>
      </c>
      <c r="P1181" s="10" t="n">
        <v>0.404358610976487</v>
      </c>
      <c r="Q1181" s="0" t="str">
        <f aca="false">SUBSTITUTE(SUBSTITUTE($I1181,CHAR(61),""),CHAR(34),"")</f>
        <v>15-24</v>
      </c>
      <c r="R1181" s="0" t="str">
        <f aca="false">IF($D1181&lt;&gt;"","["&amp;$E1181&amp;"]"&amp;"|"&amp;$Q1181&amp;"|"&amp;$K1181&amp;"|"&amp;$G1181&amp;"|"&amp;IF($G1181="TX_CURR_SUBNAT.R","CY2022Q4",$M1181),"")</f>
        <v>[GkIwZrXy1h2]|15-24|Female|PLHIV_Residents.T_1|CY2023Q3</v>
      </c>
    </row>
    <row r="1182" customFormat="false" ht="15" hidden="false" customHeight="false" outlineLevel="0" collapsed="false">
      <c r="D1182" s="9" t="s">
        <v>23</v>
      </c>
      <c r="E1182" s="9" t="s">
        <v>24</v>
      </c>
      <c r="F1182" s="9" t="s">
        <v>25</v>
      </c>
      <c r="G1182" s="9" t="s">
        <v>143</v>
      </c>
      <c r="H1182" s="9" t="s">
        <v>144</v>
      </c>
      <c r="I1182" s="0" t="s">
        <v>41</v>
      </c>
      <c r="J1182" s="9" t="s">
        <v>42</v>
      </c>
      <c r="K1182" s="9" t="s">
        <v>30</v>
      </c>
      <c r="L1182" s="9" t="s">
        <v>31</v>
      </c>
      <c r="M1182" s="0" t="s">
        <v>140</v>
      </c>
      <c r="N1182" s="0" t="n">
        <v>1384</v>
      </c>
      <c r="O1182" s="10" t="n">
        <v>0.561071612173691</v>
      </c>
      <c r="P1182" s="10" t="n">
        <v>0.404358610976487</v>
      </c>
      <c r="Q1182" s="0" t="str">
        <f aca="false">SUBSTITUTE(SUBSTITUTE($I1182,CHAR(61),""),CHAR(34),"")</f>
        <v>25-34</v>
      </c>
      <c r="R1182" s="0" t="str">
        <f aca="false">IF($D1182&lt;&gt;"","["&amp;$E1182&amp;"]"&amp;"|"&amp;$Q1182&amp;"|"&amp;$K1182&amp;"|"&amp;$G1182&amp;"|"&amp;IF($G1182="TX_CURR_SUBNAT.R","CY2022Q4",$M1182),"")</f>
        <v>[GkIwZrXy1h2]|25-34|Female|PLHIV_Residents.T_1|CY2023Q3</v>
      </c>
    </row>
    <row r="1183" customFormat="false" ht="15" hidden="false" customHeight="false" outlineLevel="0" collapsed="false">
      <c r="D1183" s="9" t="s">
        <v>23</v>
      </c>
      <c r="E1183" s="9" t="s">
        <v>24</v>
      </c>
      <c r="F1183" s="9" t="s">
        <v>25</v>
      </c>
      <c r="G1183" s="9" t="s">
        <v>143</v>
      </c>
      <c r="H1183" s="9" t="s">
        <v>144</v>
      </c>
      <c r="I1183" s="0" t="s">
        <v>43</v>
      </c>
      <c r="J1183" s="9" t="s">
        <v>44</v>
      </c>
      <c r="K1183" s="9" t="s">
        <v>30</v>
      </c>
      <c r="L1183" s="9" t="s">
        <v>31</v>
      </c>
      <c r="M1183" s="0" t="s">
        <v>140</v>
      </c>
      <c r="N1183" s="0" t="n">
        <v>1672</v>
      </c>
      <c r="O1183" s="10" t="n">
        <v>0.955946661299095</v>
      </c>
      <c r="P1183" s="10" t="n">
        <v>0.404358610976487</v>
      </c>
      <c r="Q1183" s="0" t="str">
        <f aca="false">SUBSTITUTE(SUBSTITUTE($I1183,CHAR(61),""),CHAR(34),"")</f>
        <v>35-49</v>
      </c>
      <c r="R1183" s="0" t="str">
        <f aca="false">IF($D1183&lt;&gt;"","["&amp;$E1183&amp;"]"&amp;"|"&amp;$Q1183&amp;"|"&amp;$K1183&amp;"|"&amp;$G1183&amp;"|"&amp;IF($G1183="TX_CURR_SUBNAT.R","CY2022Q4",$M1183),"")</f>
        <v>[GkIwZrXy1h2]|35-49|Female|PLHIV_Residents.T_1|CY2023Q3</v>
      </c>
    </row>
    <row r="1184" customFormat="false" ht="15" hidden="false" customHeight="false" outlineLevel="0" collapsed="false">
      <c r="D1184" s="9" t="s">
        <v>23</v>
      </c>
      <c r="E1184" s="9" t="s">
        <v>24</v>
      </c>
      <c r="F1184" s="9" t="s">
        <v>25</v>
      </c>
      <c r="G1184" s="9" t="s">
        <v>143</v>
      </c>
      <c r="H1184" s="9" t="s">
        <v>144</v>
      </c>
      <c r="I1184" s="0" t="s">
        <v>45</v>
      </c>
      <c r="J1184" s="9" t="s">
        <v>46</v>
      </c>
      <c r="K1184" s="9" t="s">
        <v>30</v>
      </c>
      <c r="L1184" s="9" t="s">
        <v>31</v>
      </c>
      <c r="M1184" s="0" t="s">
        <v>140</v>
      </c>
      <c r="N1184" s="0" t="n">
        <v>701</v>
      </c>
      <c r="O1184" s="10" t="n">
        <v>0.806056963978335</v>
      </c>
      <c r="P1184" s="10" t="n">
        <v>0.404358610976487</v>
      </c>
      <c r="Q1184" s="0" t="str">
        <f aca="false">SUBSTITUTE(SUBSTITUTE($I1184,CHAR(61),""),CHAR(34),"")</f>
        <v>50+</v>
      </c>
      <c r="R1184" s="0" t="str">
        <f aca="false">IF($D1184&lt;&gt;"","["&amp;$E1184&amp;"]"&amp;"|"&amp;$Q1184&amp;"|"&amp;$K1184&amp;"|"&amp;$G1184&amp;"|"&amp;IF($G1184="TX_CURR_SUBNAT.R","CY2022Q4",$M1184),"")</f>
        <v>[GkIwZrXy1h2]|50+|Female|PLHIV_Residents.T_1|CY2023Q3</v>
      </c>
    </row>
    <row r="1185" customFormat="false" ht="15" hidden="false" customHeight="false" outlineLevel="0" collapsed="false">
      <c r="D1185" s="9" t="s">
        <v>23</v>
      </c>
      <c r="E1185" s="9" t="s">
        <v>24</v>
      </c>
      <c r="F1185" s="9" t="s">
        <v>25</v>
      </c>
      <c r="G1185" s="9" t="s">
        <v>143</v>
      </c>
      <c r="H1185" s="9" t="s">
        <v>144</v>
      </c>
      <c r="I1185" s="0" t="s">
        <v>28</v>
      </c>
      <c r="J1185" s="9" t="s">
        <v>29</v>
      </c>
      <c r="K1185" s="9" t="s">
        <v>48</v>
      </c>
      <c r="L1185" s="9" t="s">
        <v>49</v>
      </c>
      <c r="M1185" s="0" t="s">
        <v>140</v>
      </c>
      <c r="N1185" s="0" t="n">
        <v>1060</v>
      </c>
      <c r="O1185" s="10" t="n">
        <v>0.673275339184329</v>
      </c>
      <c r="P1185" s="10" t="n">
        <v>0.404358610976487</v>
      </c>
      <c r="Q1185" s="0" t="str">
        <f aca="false">SUBSTITUTE(SUBSTITUTE($I1185,CHAR(61),""),CHAR(34),"")</f>
        <v>&lt;01</v>
      </c>
      <c r="R1185" s="0" t="str">
        <f aca="false">IF($D1185&lt;&gt;"","["&amp;$E1185&amp;"]"&amp;"|"&amp;$Q1185&amp;"|"&amp;$K1185&amp;"|"&amp;$G1185&amp;"|"&amp;IF($G1185="TX_CURR_SUBNAT.R","CY2022Q4",$M1185),"")</f>
        <v>[GkIwZrXy1h2]|&lt;01|Male|PLHIV_Residents.T_1|CY2023Q3</v>
      </c>
    </row>
    <row r="1186" customFormat="false" ht="15" hidden="false" customHeight="false" outlineLevel="0" collapsed="false">
      <c r="D1186" s="9" t="s">
        <v>23</v>
      </c>
      <c r="E1186" s="9" t="s">
        <v>24</v>
      </c>
      <c r="F1186" s="9" t="s">
        <v>25</v>
      </c>
      <c r="G1186" s="9" t="s">
        <v>143</v>
      </c>
      <c r="H1186" s="9" t="s">
        <v>144</v>
      </c>
      <c r="I1186" s="0" t="s">
        <v>33</v>
      </c>
      <c r="J1186" s="9" t="s">
        <v>34</v>
      </c>
      <c r="K1186" s="9" t="s">
        <v>48</v>
      </c>
      <c r="L1186" s="9" t="s">
        <v>49</v>
      </c>
      <c r="M1186" s="0" t="s">
        <v>140</v>
      </c>
      <c r="N1186" s="0" t="n">
        <v>1253</v>
      </c>
      <c r="O1186" s="10" t="n">
        <v>0.658044087002054</v>
      </c>
      <c r="P1186" s="10" t="n">
        <v>0.404358610976487</v>
      </c>
      <c r="Q1186" s="0" t="str">
        <f aca="false">SUBSTITUTE(SUBSTITUTE($I1186,CHAR(61),""),CHAR(34),"")</f>
        <v>01-09</v>
      </c>
      <c r="R1186" s="0" t="str">
        <f aca="false">IF($D1186&lt;&gt;"","["&amp;$E1186&amp;"]"&amp;"|"&amp;$Q1186&amp;"|"&amp;$K1186&amp;"|"&amp;$G1186&amp;"|"&amp;IF($G1186="TX_CURR_SUBNAT.R","CY2022Q4",$M1186),"")</f>
        <v>[GkIwZrXy1h2]|01-09|Male|PLHIV_Residents.T_1|CY2023Q3</v>
      </c>
    </row>
    <row r="1187" customFormat="false" ht="15" hidden="false" customHeight="false" outlineLevel="0" collapsed="false">
      <c r="D1187" s="9" t="s">
        <v>23</v>
      </c>
      <c r="E1187" s="9" t="s">
        <v>24</v>
      </c>
      <c r="F1187" s="9" t="s">
        <v>25</v>
      </c>
      <c r="G1187" s="9" t="s">
        <v>143</v>
      </c>
      <c r="H1187" s="9" t="s">
        <v>144</v>
      </c>
      <c r="I1187" s="0" t="s">
        <v>36</v>
      </c>
      <c r="J1187" s="9" t="s">
        <v>37</v>
      </c>
      <c r="K1187" s="9" t="s">
        <v>48</v>
      </c>
      <c r="L1187" s="9" t="s">
        <v>49</v>
      </c>
      <c r="M1187" s="0" t="s">
        <v>140</v>
      </c>
      <c r="N1187" s="0" t="n">
        <v>1655</v>
      </c>
      <c r="O1187" s="10" t="n">
        <v>0.599700906081125</v>
      </c>
      <c r="P1187" s="10" t="n">
        <v>0.404358610976487</v>
      </c>
      <c r="Q1187" s="0" t="str">
        <f aca="false">SUBSTITUTE(SUBSTITUTE($I1187,CHAR(61),""),CHAR(34),"")</f>
        <v>10-14</v>
      </c>
      <c r="R1187" s="0" t="str">
        <f aca="false">IF($D1187&lt;&gt;"","["&amp;$E1187&amp;"]"&amp;"|"&amp;$Q1187&amp;"|"&amp;$K1187&amp;"|"&amp;$G1187&amp;"|"&amp;IF($G1187="TX_CURR_SUBNAT.R","CY2022Q4",$M1187),"")</f>
        <v>[GkIwZrXy1h2]|10-14|Male|PLHIV_Residents.T_1|CY2023Q3</v>
      </c>
    </row>
    <row r="1188" customFormat="false" ht="15" hidden="false" customHeight="false" outlineLevel="0" collapsed="false">
      <c r="D1188" s="9" t="s">
        <v>23</v>
      </c>
      <c r="E1188" s="9" t="s">
        <v>24</v>
      </c>
      <c r="F1188" s="9" t="s">
        <v>25</v>
      </c>
      <c r="G1188" s="9" t="s">
        <v>143</v>
      </c>
      <c r="H1188" s="9" t="s">
        <v>144</v>
      </c>
      <c r="I1188" s="0" t="s">
        <v>38</v>
      </c>
      <c r="J1188" s="9" t="s">
        <v>39</v>
      </c>
      <c r="K1188" s="9" t="s">
        <v>48</v>
      </c>
      <c r="L1188" s="9" t="s">
        <v>49</v>
      </c>
      <c r="M1188" s="0" t="s">
        <v>140</v>
      </c>
      <c r="N1188" s="0" t="n">
        <v>1720</v>
      </c>
      <c r="O1188" s="10" t="n">
        <v>0.741791251348332</v>
      </c>
      <c r="P1188" s="10" t="n">
        <v>0.404358610976487</v>
      </c>
      <c r="Q1188" s="0" t="str">
        <f aca="false">SUBSTITUTE(SUBSTITUTE($I1188,CHAR(61),""),CHAR(34),"")</f>
        <v>15-24</v>
      </c>
      <c r="R1188" s="0" t="str">
        <f aca="false">IF($D1188&lt;&gt;"","["&amp;$E1188&amp;"]"&amp;"|"&amp;$Q1188&amp;"|"&amp;$K1188&amp;"|"&amp;$G1188&amp;"|"&amp;IF($G1188="TX_CURR_SUBNAT.R","CY2022Q4",$M1188),"")</f>
        <v>[GkIwZrXy1h2]|15-24|Male|PLHIV_Residents.T_1|CY2023Q3</v>
      </c>
    </row>
    <row r="1189" customFormat="false" ht="15" hidden="false" customHeight="false" outlineLevel="0" collapsed="false">
      <c r="D1189" s="9" t="s">
        <v>23</v>
      </c>
      <c r="E1189" s="9" t="s">
        <v>24</v>
      </c>
      <c r="F1189" s="9" t="s">
        <v>25</v>
      </c>
      <c r="G1189" s="9" t="s">
        <v>143</v>
      </c>
      <c r="H1189" s="9" t="s">
        <v>144</v>
      </c>
      <c r="I1189" s="0" t="s">
        <v>41</v>
      </c>
      <c r="J1189" s="9" t="s">
        <v>42</v>
      </c>
      <c r="K1189" s="9" t="s">
        <v>48</v>
      </c>
      <c r="L1189" s="9" t="s">
        <v>49</v>
      </c>
      <c r="M1189" s="0" t="s">
        <v>140</v>
      </c>
      <c r="N1189" s="0" t="n">
        <v>1758</v>
      </c>
      <c r="O1189" s="10" t="n">
        <v>0.560405071824789</v>
      </c>
      <c r="P1189" s="10" t="n">
        <v>0.404358610976487</v>
      </c>
      <c r="Q1189" s="0" t="str">
        <f aca="false">SUBSTITUTE(SUBSTITUTE($I1189,CHAR(61),""),CHAR(34),"")</f>
        <v>25-34</v>
      </c>
      <c r="R1189" s="0" t="str">
        <f aca="false">IF($D1189&lt;&gt;"","["&amp;$E1189&amp;"]"&amp;"|"&amp;$Q1189&amp;"|"&amp;$K1189&amp;"|"&amp;$G1189&amp;"|"&amp;IF($G1189="TX_CURR_SUBNAT.R","CY2022Q4",$M1189),"")</f>
        <v>[GkIwZrXy1h2]|25-34|Male|PLHIV_Residents.T_1|CY2023Q3</v>
      </c>
    </row>
    <row r="1190" customFormat="false" ht="15" hidden="false" customHeight="false" outlineLevel="0" collapsed="false">
      <c r="D1190" s="9" t="s">
        <v>23</v>
      </c>
      <c r="E1190" s="9" t="s">
        <v>24</v>
      </c>
      <c r="F1190" s="9" t="s">
        <v>25</v>
      </c>
      <c r="G1190" s="9" t="s">
        <v>143</v>
      </c>
      <c r="H1190" s="9" t="s">
        <v>144</v>
      </c>
      <c r="I1190" s="0" t="s">
        <v>43</v>
      </c>
      <c r="J1190" s="9" t="s">
        <v>44</v>
      </c>
      <c r="K1190" s="9" t="s">
        <v>48</v>
      </c>
      <c r="L1190" s="9" t="s">
        <v>49</v>
      </c>
      <c r="M1190" s="0" t="s">
        <v>140</v>
      </c>
      <c r="N1190" s="0" t="n">
        <v>799</v>
      </c>
      <c r="O1190" s="10" t="n">
        <v>0.435191048774868</v>
      </c>
      <c r="P1190" s="10" t="n">
        <v>0.404358610976487</v>
      </c>
      <c r="Q1190" s="0" t="str">
        <f aca="false">SUBSTITUTE(SUBSTITUTE($I1190,CHAR(61),""),CHAR(34),"")</f>
        <v>35-49</v>
      </c>
      <c r="R1190" s="0" t="str">
        <f aca="false">IF($D1190&lt;&gt;"","["&amp;$E1190&amp;"]"&amp;"|"&amp;$Q1190&amp;"|"&amp;$K1190&amp;"|"&amp;$G1190&amp;"|"&amp;IF($G1190="TX_CURR_SUBNAT.R","CY2022Q4",$M1190),"")</f>
        <v>[GkIwZrXy1h2]|35-49|Male|PLHIV_Residents.T_1|CY2023Q3</v>
      </c>
    </row>
    <row r="1191" customFormat="false" ht="15" hidden="false" customHeight="false" outlineLevel="0" collapsed="false">
      <c r="D1191" s="9" t="s">
        <v>23</v>
      </c>
      <c r="E1191" s="9" t="s">
        <v>24</v>
      </c>
      <c r="F1191" s="9" t="s">
        <v>25</v>
      </c>
      <c r="G1191" s="9" t="s">
        <v>143</v>
      </c>
      <c r="H1191" s="9" t="s">
        <v>144</v>
      </c>
      <c r="I1191" s="0" t="s">
        <v>45</v>
      </c>
      <c r="J1191" s="9" t="s">
        <v>46</v>
      </c>
      <c r="K1191" s="9" t="s">
        <v>48</v>
      </c>
      <c r="L1191" s="9" t="s">
        <v>49</v>
      </c>
      <c r="M1191" s="0" t="s">
        <v>140</v>
      </c>
      <c r="N1191" s="0" t="n">
        <v>1664</v>
      </c>
      <c r="O1191" s="10" t="n">
        <v>0.106682849815115</v>
      </c>
      <c r="P1191" s="10" t="n">
        <v>0.404358610976487</v>
      </c>
      <c r="Q1191" s="0" t="str">
        <f aca="false">SUBSTITUTE(SUBSTITUTE($I1191,CHAR(61),""),CHAR(34),"")</f>
        <v>50+</v>
      </c>
      <c r="R1191" s="0" t="str">
        <f aca="false">IF($D1191&lt;&gt;"","["&amp;$E1191&amp;"]"&amp;"|"&amp;$Q1191&amp;"|"&amp;$K1191&amp;"|"&amp;$G1191&amp;"|"&amp;IF($G1191="TX_CURR_SUBNAT.R","CY2022Q4",$M1191),"")</f>
        <v>[GkIwZrXy1h2]|50+|Male|PLHIV_Residents.T_1|CY2023Q3</v>
      </c>
    </row>
    <row r="1192" customFormat="false" ht="15" hidden="false" customHeight="false" outlineLevel="0" collapsed="false">
      <c r="D1192" s="9" t="s">
        <v>53</v>
      </c>
      <c r="E1192" s="9" t="s">
        <v>54</v>
      </c>
      <c r="F1192" s="9" t="s">
        <v>55</v>
      </c>
      <c r="G1192" s="9" t="s">
        <v>143</v>
      </c>
      <c r="H1192" s="9" t="s">
        <v>144</v>
      </c>
      <c r="I1192" s="0" t="s">
        <v>28</v>
      </c>
      <c r="J1192" s="9" t="s">
        <v>29</v>
      </c>
      <c r="K1192" s="9" t="s">
        <v>30</v>
      </c>
      <c r="L1192" s="9" t="s">
        <v>31</v>
      </c>
      <c r="M1192" s="0" t="s">
        <v>140</v>
      </c>
      <c r="N1192" s="0" t="n">
        <v>1467</v>
      </c>
      <c r="O1192" s="10" t="n">
        <v>0.80168658355251</v>
      </c>
      <c r="P1192" s="10" t="n">
        <v>0.616392469964921</v>
      </c>
      <c r="Q1192" s="0" t="str">
        <f aca="false">SUBSTITUTE(SUBSTITUTE($I1192,CHAR(61),""),CHAR(34),"")</f>
        <v>&lt;01</v>
      </c>
      <c r="R1192" s="0" t="str">
        <f aca="false">IF($D1192&lt;&gt;"","["&amp;$E1192&amp;"]"&amp;"|"&amp;$Q1192&amp;"|"&amp;$K1192&amp;"|"&amp;$G1192&amp;"|"&amp;IF($G1192="TX_CURR_SUBNAT.R","CY2022Q4",$M1192),"")</f>
        <v>[zphK9WV8JB4]|&lt;01|Female|PLHIV_Residents.T_1|CY2023Q3</v>
      </c>
    </row>
    <row r="1193" customFormat="false" ht="15" hidden="false" customHeight="false" outlineLevel="0" collapsed="false">
      <c r="D1193" s="9" t="s">
        <v>53</v>
      </c>
      <c r="E1193" s="9" t="s">
        <v>54</v>
      </c>
      <c r="F1193" s="9" t="s">
        <v>55</v>
      </c>
      <c r="G1193" s="9" t="s">
        <v>143</v>
      </c>
      <c r="H1193" s="9" t="s">
        <v>144</v>
      </c>
      <c r="I1193" s="0" t="s">
        <v>33</v>
      </c>
      <c r="J1193" s="9" t="s">
        <v>34</v>
      </c>
      <c r="K1193" s="9" t="s">
        <v>30</v>
      </c>
      <c r="L1193" s="9" t="s">
        <v>31</v>
      </c>
      <c r="M1193" s="0" t="s">
        <v>140</v>
      </c>
      <c r="N1193" s="0" t="n">
        <v>1315</v>
      </c>
      <c r="O1193" s="10" t="n">
        <v>0.890272477408871</v>
      </c>
      <c r="P1193" s="10" t="n">
        <v>0.616392469964921</v>
      </c>
      <c r="Q1193" s="0" t="str">
        <f aca="false">SUBSTITUTE(SUBSTITUTE($I1193,CHAR(61),""),CHAR(34),"")</f>
        <v>01-09</v>
      </c>
      <c r="R1193" s="0" t="str">
        <f aca="false">IF($D1193&lt;&gt;"","["&amp;$E1193&amp;"]"&amp;"|"&amp;$Q1193&amp;"|"&amp;$K1193&amp;"|"&amp;$G1193&amp;"|"&amp;IF($G1193="TX_CURR_SUBNAT.R","CY2022Q4",$M1193),"")</f>
        <v>[zphK9WV8JB4]|01-09|Female|PLHIV_Residents.T_1|CY2023Q3</v>
      </c>
    </row>
    <row r="1194" customFormat="false" ht="15" hidden="false" customHeight="false" outlineLevel="0" collapsed="false">
      <c r="D1194" s="9" t="s">
        <v>53</v>
      </c>
      <c r="E1194" s="9" t="s">
        <v>54</v>
      </c>
      <c r="F1194" s="9" t="s">
        <v>55</v>
      </c>
      <c r="G1194" s="9" t="s">
        <v>143</v>
      </c>
      <c r="H1194" s="9" t="s">
        <v>144</v>
      </c>
      <c r="I1194" s="0" t="s">
        <v>36</v>
      </c>
      <c r="J1194" s="9" t="s">
        <v>37</v>
      </c>
      <c r="K1194" s="9" t="s">
        <v>30</v>
      </c>
      <c r="L1194" s="9" t="s">
        <v>31</v>
      </c>
      <c r="M1194" s="0" t="s">
        <v>140</v>
      </c>
      <c r="N1194" s="0" t="n">
        <v>739</v>
      </c>
      <c r="O1194" s="10" t="n">
        <v>0.303381484234706</v>
      </c>
      <c r="P1194" s="10" t="n">
        <v>0.616392469964921</v>
      </c>
      <c r="Q1194" s="0" t="str">
        <f aca="false">SUBSTITUTE(SUBSTITUTE($I1194,CHAR(61),""),CHAR(34),"")</f>
        <v>10-14</v>
      </c>
      <c r="R1194" s="0" t="str">
        <f aca="false">IF($D1194&lt;&gt;"","["&amp;$E1194&amp;"]"&amp;"|"&amp;$Q1194&amp;"|"&amp;$K1194&amp;"|"&amp;$G1194&amp;"|"&amp;IF($G1194="TX_CURR_SUBNAT.R","CY2022Q4",$M1194),"")</f>
        <v>[zphK9WV8JB4]|10-14|Female|PLHIV_Residents.T_1|CY2023Q3</v>
      </c>
    </row>
    <row r="1195" customFormat="false" ht="15" hidden="false" customHeight="false" outlineLevel="0" collapsed="false">
      <c r="D1195" s="9" t="s">
        <v>53</v>
      </c>
      <c r="E1195" s="9" t="s">
        <v>54</v>
      </c>
      <c r="F1195" s="9" t="s">
        <v>55</v>
      </c>
      <c r="G1195" s="9" t="s">
        <v>143</v>
      </c>
      <c r="H1195" s="9" t="s">
        <v>144</v>
      </c>
      <c r="I1195" s="0" t="s">
        <v>38</v>
      </c>
      <c r="J1195" s="9" t="s">
        <v>39</v>
      </c>
      <c r="K1195" s="9" t="s">
        <v>30</v>
      </c>
      <c r="L1195" s="9" t="s">
        <v>31</v>
      </c>
      <c r="M1195" s="0" t="s">
        <v>140</v>
      </c>
      <c r="N1195" s="0" t="n">
        <v>580</v>
      </c>
      <c r="O1195" s="10" t="n">
        <v>0.761381882010028</v>
      </c>
      <c r="P1195" s="10" t="n">
        <v>0.616392469964921</v>
      </c>
      <c r="Q1195" s="0" t="str">
        <f aca="false">SUBSTITUTE(SUBSTITUTE($I1195,CHAR(61),""),CHAR(34),"")</f>
        <v>15-24</v>
      </c>
      <c r="R1195" s="0" t="str">
        <f aca="false">IF($D1195&lt;&gt;"","["&amp;$E1195&amp;"]"&amp;"|"&amp;$Q1195&amp;"|"&amp;$K1195&amp;"|"&amp;$G1195&amp;"|"&amp;IF($G1195="TX_CURR_SUBNAT.R","CY2022Q4",$M1195),"")</f>
        <v>[zphK9WV8JB4]|15-24|Female|PLHIV_Residents.T_1|CY2023Q3</v>
      </c>
    </row>
    <row r="1196" customFormat="false" ht="15" hidden="false" customHeight="false" outlineLevel="0" collapsed="false">
      <c r="D1196" s="9" t="s">
        <v>53</v>
      </c>
      <c r="E1196" s="9" t="s">
        <v>54</v>
      </c>
      <c r="F1196" s="9" t="s">
        <v>55</v>
      </c>
      <c r="G1196" s="9" t="s">
        <v>143</v>
      </c>
      <c r="H1196" s="9" t="s">
        <v>144</v>
      </c>
      <c r="I1196" s="0" t="s">
        <v>41</v>
      </c>
      <c r="J1196" s="9" t="s">
        <v>42</v>
      </c>
      <c r="K1196" s="9" t="s">
        <v>30</v>
      </c>
      <c r="L1196" s="9" t="s">
        <v>31</v>
      </c>
      <c r="M1196" s="0" t="s">
        <v>140</v>
      </c>
      <c r="N1196" s="0" t="n">
        <v>1152</v>
      </c>
      <c r="O1196" s="10" t="n">
        <v>0.573637306690216</v>
      </c>
      <c r="P1196" s="10" t="n">
        <v>0.616392469964921</v>
      </c>
      <c r="Q1196" s="0" t="str">
        <f aca="false">SUBSTITUTE(SUBSTITUTE($I1196,CHAR(61),""),CHAR(34),"")</f>
        <v>25-34</v>
      </c>
      <c r="R1196" s="0" t="str">
        <f aca="false">IF($D1196&lt;&gt;"","["&amp;$E1196&amp;"]"&amp;"|"&amp;$Q1196&amp;"|"&amp;$K1196&amp;"|"&amp;$G1196&amp;"|"&amp;IF($G1196="TX_CURR_SUBNAT.R","CY2022Q4",$M1196),"")</f>
        <v>[zphK9WV8JB4]|25-34|Female|PLHIV_Residents.T_1|CY2023Q3</v>
      </c>
    </row>
    <row r="1197" customFormat="false" ht="15" hidden="false" customHeight="false" outlineLevel="0" collapsed="false">
      <c r="D1197" s="9" t="s">
        <v>53</v>
      </c>
      <c r="E1197" s="9" t="s">
        <v>54</v>
      </c>
      <c r="F1197" s="9" t="s">
        <v>55</v>
      </c>
      <c r="G1197" s="9" t="s">
        <v>143</v>
      </c>
      <c r="H1197" s="9" t="s">
        <v>144</v>
      </c>
      <c r="I1197" s="0" t="s">
        <v>43</v>
      </c>
      <c r="J1197" s="9" t="s">
        <v>44</v>
      </c>
      <c r="K1197" s="9" t="s">
        <v>30</v>
      </c>
      <c r="L1197" s="9" t="s">
        <v>31</v>
      </c>
      <c r="M1197" s="0" t="s">
        <v>140</v>
      </c>
      <c r="N1197" s="0" t="n">
        <v>990</v>
      </c>
      <c r="O1197" s="10" t="n">
        <v>0.312663664808497</v>
      </c>
      <c r="P1197" s="10" t="n">
        <v>0.616392469964921</v>
      </c>
      <c r="Q1197" s="0" t="str">
        <f aca="false">SUBSTITUTE(SUBSTITUTE($I1197,CHAR(61),""),CHAR(34),"")</f>
        <v>35-49</v>
      </c>
      <c r="R1197" s="0" t="str">
        <f aca="false">IF($D1197&lt;&gt;"","["&amp;$E1197&amp;"]"&amp;"|"&amp;$Q1197&amp;"|"&amp;$K1197&amp;"|"&amp;$G1197&amp;"|"&amp;IF($G1197="TX_CURR_SUBNAT.R","CY2022Q4",$M1197),"")</f>
        <v>[zphK9WV8JB4]|35-49|Female|PLHIV_Residents.T_1|CY2023Q3</v>
      </c>
    </row>
    <row r="1198" customFormat="false" ht="15" hidden="false" customHeight="false" outlineLevel="0" collapsed="false">
      <c r="D1198" s="9" t="s">
        <v>53</v>
      </c>
      <c r="E1198" s="9" t="s">
        <v>54</v>
      </c>
      <c r="F1198" s="9" t="s">
        <v>55</v>
      </c>
      <c r="G1198" s="9" t="s">
        <v>143</v>
      </c>
      <c r="H1198" s="9" t="s">
        <v>144</v>
      </c>
      <c r="I1198" s="0" t="s">
        <v>45</v>
      </c>
      <c r="J1198" s="9" t="s">
        <v>46</v>
      </c>
      <c r="K1198" s="9" t="s">
        <v>30</v>
      </c>
      <c r="L1198" s="9" t="s">
        <v>31</v>
      </c>
      <c r="M1198" s="0" t="s">
        <v>140</v>
      </c>
      <c r="N1198" s="0" t="n">
        <v>859</v>
      </c>
      <c r="O1198" s="10" t="n">
        <v>0.800916653592139</v>
      </c>
      <c r="P1198" s="10" t="n">
        <v>0.616392469964921</v>
      </c>
      <c r="Q1198" s="0" t="str">
        <f aca="false">SUBSTITUTE(SUBSTITUTE($I1198,CHAR(61),""),CHAR(34),"")</f>
        <v>50+</v>
      </c>
      <c r="R1198" s="0" t="str">
        <f aca="false">IF($D1198&lt;&gt;"","["&amp;$E1198&amp;"]"&amp;"|"&amp;$Q1198&amp;"|"&amp;$K1198&amp;"|"&amp;$G1198&amp;"|"&amp;IF($G1198="TX_CURR_SUBNAT.R","CY2022Q4",$M1198),"")</f>
        <v>[zphK9WV8JB4]|50+|Female|PLHIV_Residents.T_1|CY2023Q3</v>
      </c>
    </row>
    <row r="1199" customFormat="false" ht="15" hidden="false" customHeight="false" outlineLevel="0" collapsed="false">
      <c r="D1199" s="9" t="s">
        <v>53</v>
      </c>
      <c r="E1199" s="9" t="s">
        <v>54</v>
      </c>
      <c r="F1199" s="9" t="s">
        <v>55</v>
      </c>
      <c r="G1199" s="9" t="s">
        <v>143</v>
      </c>
      <c r="H1199" s="9" t="s">
        <v>144</v>
      </c>
      <c r="I1199" s="0" t="s">
        <v>28</v>
      </c>
      <c r="J1199" s="9" t="s">
        <v>29</v>
      </c>
      <c r="K1199" s="9" t="s">
        <v>48</v>
      </c>
      <c r="L1199" s="9" t="s">
        <v>49</v>
      </c>
      <c r="M1199" s="0" t="s">
        <v>140</v>
      </c>
      <c r="N1199" s="0" t="n">
        <v>898</v>
      </c>
      <c r="O1199" s="10" t="n">
        <v>0.990825296845287</v>
      </c>
      <c r="P1199" s="10" t="n">
        <v>0.616392469964921</v>
      </c>
      <c r="Q1199" s="0" t="str">
        <f aca="false">SUBSTITUTE(SUBSTITUTE($I1199,CHAR(61),""),CHAR(34),"")</f>
        <v>&lt;01</v>
      </c>
      <c r="R1199" s="0" t="str">
        <f aca="false">IF($D1199&lt;&gt;"","["&amp;$E1199&amp;"]"&amp;"|"&amp;$Q1199&amp;"|"&amp;$K1199&amp;"|"&amp;$G1199&amp;"|"&amp;IF($G1199="TX_CURR_SUBNAT.R","CY2022Q4",$M1199),"")</f>
        <v>[zphK9WV8JB4]|&lt;01|Male|PLHIV_Residents.T_1|CY2023Q3</v>
      </c>
    </row>
    <row r="1200" customFormat="false" ht="15" hidden="false" customHeight="false" outlineLevel="0" collapsed="false">
      <c r="D1200" s="9" t="s">
        <v>53</v>
      </c>
      <c r="E1200" s="9" t="s">
        <v>54</v>
      </c>
      <c r="F1200" s="9" t="s">
        <v>55</v>
      </c>
      <c r="G1200" s="9" t="s">
        <v>143</v>
      </c>
      <c r="H1200" s="9" t="s">
        <v>144</v>
      </c>
      <c r="I1200" s="0" t="s">
        <v>33</v>
      </c>
      <c r="J1200" s="9" t="s">
        <v>34</v>
      </c>
      <c r="K1200" s="9" t="s">
        <v>48</v>
      </c>
      <c r="L1200" s="9" t="s">
        <v>49</v>
      </c>
      <c r="M1200" s="0" t="s">
        <v>140</v>
      </c>
      <c r="N1200" s="0" t="n">
        <v>1911</v>
      </c>
      <c r="O1200" s="10" t="n">
        <v>0.269352696835995</v>
      </c>
      <c r="P1200" s="10" t="n">
        <v>0.616392469964921</v>
      </c>
      <c r="Q1200" s="0" t="str">
        <f aca="false">SUBSTITUTE(SUBSTITUTE($I1200,CHAR(61),""),CHAR(34),"")</f>
        <v>01-09</v>
      </c>
      <c r="R1200" s="0" t="str">
        <f aca="false">IF($D1200&lt;&gt;"","["&amp;$E1200&amp;"]"&amp;"|"&amp;$Q1200&amp;"|"&amp;$K1200&amp;"|"&amp;$G1200&amp;"|"&amp;IF($G1200="TX_CURR_SUBNAT.R","CY2022Q4",$M1200),"")</f>
        <v>[zphK9WV8JB4]|01-09|Male|PLHIV_Residents.T_1|CY2023Q3</v>
      </c>
    </row>
    <row r="1201" customFormat="false" ht="15" hidden="false" customHeight="false" outlineLevel="0" collapsed="false">
      <c r="D1201" s="9" t="s">
        <v>53</v>
      </c>
      <c r="E1201" s="9" t="s">
        <v>54</v>
      </c>
      <c r="F1201" s="9" t="s">
        <v>55</v>
      </c>
      <c r="G1201" s="9" t="s">
        <v>143</v>
      </c>
      <c r="H1201" s="9" t="s">
        <v>144</v>
      </c>
      <c r="I1201" s="0" t="s">
        <v>36</v>
      </c>
      <c r="J1201" s="9" t="s">
        <v>37</v>
      </c>
      <c r="K1201" s="9" t="s">
        <v>48</v>
      </c>
      <c r="L1201" s="9" t="s">
        <v>49</v>
      </c>
      <c r="M1201" s="0" t="s">
        <v>140</v>
      </c>
      <c r="N1201" s="0" t="n">
        <v>872</v>
      </c>
      <c r="O1201" s="10" t="n">
        <v>0.531419125152752</v>
      </c>
      <c r="P1201" s="10" t="n">
        <v>0.616392469964921</v>
      </c>
      <c r="Q1201" s="0" t="str">
        <f aca="false">SUBSTITUTE(SUBSTITUTE($I1201,CHAR(61),""),CHAR(34),"")</f>
        <v>10-14</v>
      </c>
      <c r="R1201" s="0" t="str">
        <f aca="false">IF($D1201&lt;&gt;"","["&amp;$E1201&amp;"]"&amp;"|"&amp;$Q1201&amp;"|"&amp;$K1201&amp;"|"&amp;$G1201&amp;"|"&amp;IF($G1201="TX_CURR_SUBNAT.R","CY2022Q4",$M1201),"")</f>
        <v>[zphK9WV8JB4]|10-14|Male|PLHIV_Residents.T_1|CY2023Q3</v>
      </c>
    </row>
    <row r="1202" customFormat="false" ht="15" hidden="false" customHeight="false" outlineLevel="0" collapsed="false">
      <c r="D1202" s="9" t="s">
        <v>53</v>
      </c>
      <c r="E1202" s="9" t="s">
        <v>54</v>
      </c>
      <c r="F1202" s="9" t="s">
        <v>55</v>
      </c>
      <c r="G1202" s="9" t="s">
        <v>143</v>
      </c>
      <c r="H1202" s="9" t="s">
        <v>144</v>
      </c>
      <c r="I1202" s="0" t="s">
        <v>38</v>
      </c>
      <c r="J1202" s="9" t="s">
        <v>39</v>
      </c>
      <c r="K1202" s="9" t="s">
        <v>48</v>
      </c>
      <c r="L1202" s="9" t="s">
        <v>49</v>
      </c>
      <c r="M1202" s="0" t="s">
        <v>140</v>
      </c>
      <c r="N1202" s="0" t="n">
        <v>1864</v>
      </c>
      <c r="O1202" s="10" t="n">
        <v>0.625682017300278</v>
      </c>
      <c r="P1202" s="10" t="n">
        <v>0.616392469964921</v>
      </c>
      <c r="Q1202" s="0" t="str">
        <f aca="false">SUBSTITUTE(SUBSTITUTE($I1202,CHAR(61),""),CHAR(34),"")</f>
        <v>15-24</v>
      </c>
      <c r="R1202" s="0" t="str">
        <f aca="false">IF($D1202&lt;&gt;"","["&amp;$E1202&amp;"]"&amp;"|"&amp;$Q1202&amp;"|"&amp;$K1202&amp;"|"&amp;$G1202&amp;"|"&amp;IF($G1202="TX_CURR_SUBNAT.R","CY2022Q4",$M1202),"")</f>
        <v>[zphK9WV8JB4]|15-24|Male|PLHIV_Residents.T_1|CY2023Q3</v>
      </c>
    </row>
    <row r="1203" customFormat="false" ht="15" hidden="false" customHeight="false" outlineLevel="0" collapsed="false">
      <c r="D1203" s="9" t="s">
        <v>53</v>
      </c>
      <c r="E1203" s="9" t="s">
        <v>54</v>
      </c>
      <c r="F1203" s="9" t="s">
        <v>55</v>
      </c>
      <c r="G1203" s="9" t="s">
        <v>143</v>
      </c>
      <c r="H1203" s="9" t="s">
        <v>144</v>
      </c>
      <c r="I1203" s="0" t="s">
        <v>41</v>
      </c>
      <c r="J1203" s="9" t="s">
        <v>42</v>
      </c>
      <c r="K1203" s="9" t="s">
        <v>48</v>
      </c>
      <c r="L1203" s="9" t="s">
        <v>49</v>
      </c>
      <c r="M1203" s="0" t="s">
        <v>140</v>
      </c>
      <c r="N1203" s="0" t="n">
        <v>750</v>
      </c>
      <c r="O1203" s="10" t="n">
        <v>0.405653063440695</v>
      </c>
      <c r="P1203" s="10" t="n">
        <v>0.616392469964921</v>
      </c>
      <c r="Q1203" s="0" t="str">
        <f aca="false">SUBSTITUTE(SUBSTITUTE($I1203,CHAR(61),""),CHAR(34),"")</f>
        <v>25-34</v>
      </c>
      <c r="R1203" s="0" t="str">
        <f aca="false">IF($D1203&lt;&gt;"","["&amp;$E1203&amp;"]"&amp;"|"&amp;$Q1203&amp;"|"&amp;$K1203&amp;"|"&amp;$G1203&amp;"|"&amp;IF($G1203="TX_CURR_SUBNAT.R","CY2022Q4",$M1203),"")</f>
        <v>[zphK9WV8JB4]|25-34|Male|PLHIV_Residents.T_1|CY2023Q3</v>
      </c>
    </row>
    <row r="1204" customFormat="false" ht="15" hidden="false" customHeight="false" outlineLevel="0" collapsed="false">
      <c r="D1204" s="9" t="s">
        <v>53</v>
      </c>
      <c r="E1204" s="9" t="s">
        <v>54</v>
      </c>
      <c r="F1204" s="9" t="s">
        <v>55</v>
      </c>
      <c r="G1204" s="9" t="s">
        <v>143</v>
      </c>
      <c r="H1204" s="9" t="s">
        <v>144</v>
      </c>
      <c r="I1204" s="0" t="s">
        <v>43</v>
      </c>
      <c r="J1204" s="9" t="s">
        <v>44</v>
      </c>
      <c r="K1204" s="9" t="s">
        <v>48</v>
      </c>
      <c r="L1204" s="9" t="s">
        <v>49</v>
      </c>
      <c r="M1204" s="0" t="s">
        <v>140</v>
      </c>
      <c r="N1204" s="0" t="n">
        <v>1865</v>
      </c>
      <c r="O1204" s="10" t="n">
        <v>0.960770306875929</v>
      </c>
      <c r="P1204" s="10" t="n">
        <v>0.616392469964921</v>
      </c>
      <c r="Q1204" s="0" t="str">
        <f aca="false">SUBSTITUTE(SUBSTITUTE($I1204,CHAR(61),""),CHAR(34),"")</f>
        <v>35-49</v>
      </c>
      <c r="R1204" s="0" t="str">
        <f aca="false">IF($D1204&lt;&gt;"","["&amp;$E1204&amp;"]"&amp;"|"&amp;$Q1204&amp;"|"&amp;$K1204&amp;"|"&amp;$G1204&amp;"|"&amp;IF($G1204="TX_CURR_SUBNAT.R","CY2022Q4",$M1204),"")</f>
        <v>[zphK9WV8JB4]|35-49|Male|PLHIV_Residents.T_1|CY2023Q3</v>
      </c>
    </row>
    <row r="1205" customFormat="false" ht="15" hidden="false" customHeight="false" outlineLevel="0" collapsed="false">
      <c r="D1205" s="9" t="s">
        <v>53</v>
      </c>
      <c r="E1205" s="9" t="s">
        <v>54</v>
      </c>
      <c r="F1205" s="9" t="s">
        <v>55</v>
      </c>
      <c r="G1205" s="9" t="s">
        <v>143</v>
      </c>
      <c r="H1205" s="9" t="s">
        <v>144</v>
      </c>
      <c r="I1205" s="0" t="s">
        <v>45</v>
      </c>
      <c r="J1205" s="9" t="s">
        <v>46</v>
      </c>
      <c r="K1205" s="9" t="s">
        <v>48</v>
      </c>
      <c r="L1205" s="9" t="s">
        <v>49</v>
      </c>
      <c r="M1205" s="0" t="s">
        <v>140</v>
      </c>
      <c r="N1205" s="0" t="n">
        <v>1274</v>
      </c>
      <c r="O1205" s="10" t="n">
        <v>0.758694882737473</v>
      </c>
      <c r="P1205" s="10" t="n">
        <v>0.616392469964921</v>
      </c>
      <c r="Q1205" s="0" t="str">
        <f aca="false">SUBSTITUTE(SUBSTITUTE($I1205,CHAR(61),""),CHAR(34),"")</f>
        <v>50+</v>
      </c>
      <c r="R1205" s="0" t="str">
        <f aca="false">IF($D1205&lt;&gt;"","["&amp;$E1205&amp;"]"&amp;"|"&amp;$Q1205&amp;"|"&amp;$K1205&amp;"|"&amp;$G1205&amp;"|"&amp;IF($G1205="TX_CURR_SUBNAT.R","CY2022Q4",$M1205),"")</f>
        <v>[zphK9WV8JB4]|50+|Male|PLHIV_Residents.T_1|CY2023Q3</v>
      </c>
    </row>
    <row r="1206" customFormat="false" ht="15" hidden="false" customHeight="false" outlineLevel="0" collapsed="false">
      <c r="D1206" s="9" t="s">
        <v>60</v>
      </c>
      <c r="E1206" s="9" t="s">
        <v>61</v>
      </c>
      <c r="F1206" s="9" t="s">
        <v>62</v>
      </c>
      <c r="G1206" s="9" t="s">
        <v>143</v>
      </c>
      <c r="H1206" s="9" t="s">
        <v>144</v>
      </c>
      <c r="I1206" s="0" t="s">
        <v>28</v>
      </c>
      <c r="J1206" s="9" t="s">
        <v>29</v>
      </c>
      <c r="K1206" s="9" t="s">
        <v>30</v>
      </c>
      <c r="L1206" s="9" t="s">
        <v>31</v>
      </c>
      <c r="M1206" s="0" t="s">
        <v>140</v>
      </c>
      <c r="N1206" s="0" t="n">
        <v>888</v>
      </c>
      <c r="O1206" s="10" t="n">
        <v>0.797660227166489</v>
      </c>
      <c r="P1206" s="10" t="n">
        <v>0.0268250561784953</v>
      </c>
      <c r="Q1206" s="0" t="str">
        <f aca="false">SUBSTITUTE(SUBSTITUTE($I1206,CHAR(61),""),CHAR(34),"")</f>
        <v>&lt;01</v>
      </c>
      <c r="R1206" s="0" t="str">
        <f aca="false">IF($D1206&lt;&gt;"","["&amp;$E1206&amp;"]"&amp;"|"&amp;$Q1206&amp;"|"&amp;$K1206&amp;"|"&amp;$G1206&amp;"|"&amp;IF($G1206="TX_CURR_SUBNAT.R","CY2022Q4",$M1206),"")</f>
        <v>[msW2zpIN7up]|&lt;01|Female|PLHIV_Residents.T_1|CY2023Q3</v>
      </c>
    </row>
    <row r="1207" customFormat="false" ht="15" hidden="false" customHeight="false" outlineLevel="0" collapsed="false">
      <c r="D1207" s="9" t="s">
        <v>60</v>
      </c>
      <c r="E1207" s="9" t="s">
        <v>61</v>
      </c>
      <c r="F1207" s="9" t="s">
        <v>62</v>
      </c>
      <c r="G1207" s="9" t="s">
        <v>143</v>
      </c>
      <c r="H1207" s="9" t="s">
        <v>144</v>
      </c>
      <c r="I1207" s="0" t="s">
        <v>33</v>
      </c>
      <c r="J1207" s="9" t="s">
        <v>34</v>
      </c>
      <c r="K1207" s="9" t="s">
        <v>30</v>
      </c>
      <c r="L1207" s="9" t="s">
        <v>31</v>
      </c>
      <c r="M1207" s="0" t="s">
        <v>140</v>
      </c>
      <c r="N1207" s="0" t="n">
        <v>1069</v>
      </c>
      <c r="O1207" s="10" t="n">
        <v>0.965228660264984</v>
      </c>
      <c r="P1207" s="10" t="n">
        <v>0.0268250561784953</v>
      </c>
      <c r="Q1207" s="0" t="str">
        <f aca="false">SUBSTITUTE(SUBSTITUTE($I1207,CHAR(61),""),CHAR(34),"")</f>
        <v>01-09</v>
      </c>
      <c r="R1207" s="0" t="str">
        <f aca="false">IF($D1207&lt;&gt;"","["&amp;$E1207&amp;"]"&amp;"|"&amp;$Q1207&amp;"|"&amp;$K1207&amp;"|"&amp;$G1207&amp;"|"&amp;IF($G1207="TX_CURR_SUBNAT.R","CY2022Q4",$M1207),"")</f>
        <v>[msW2zpIN7up]|01-09|Female|PLHIV_Residents.T_1|CY2023Q3</v>
      </c>
    </row>
    <row r="1208" customFormat="false" ht="15" hidden="false" customHeight="false" outlineLevel="0" collapsed="false">
      <c r="D1208" s="9" t="s">
        <v>60</v>
      </c>
      <c r="E1208" s="9" t="s">
        <v>61</v>
      </c>
      <c r="F1208" s="9" t="s">
        <v>62</v>
      </c>
      <c r="G1208" s="9" t="s">
        <v>143</v>
      </c>
      <c r="H1208" s="9" t="s">
        <v>144</v>
      </c>
      <c r="I1208" s="0" t="s">
        <v>36</v>
      </c>
      <c r="J1208" s="9" t="s">
        <v>37</v>
      </c>
      <c r="K1208" s="9" t="s">
        <v>30</v>
      </c>
      <c r="L1208" s="9" t="s">
        <v>31</v>
      </c>
      <c r="M1208" s="0" t="s">
        <v>140</v>
      </c>
      <c r="N1208" s="0" t="n">
        <v>997</v>
      </c>
      <c r="O1208" s="10" t="n">
        <v>0.34729280276224</v>
      </c>
      <c r="P1208" s="10" t="n">
        <v>0.0268250561784953</v>
      </c>
      <c r="Q1208" s="0" t="str">
        <f aca="false">SUBSTITUTE(SUBSTITUTE($I1208,CHAR(61),""),CHAR(34),"")</f>
        <v>10-14</v>
      </c>
      <c r="R1208" s="0" t="str">
        <f aca="false">IF($D1208&lt;&gt;"","["&amp;$E1208&amp;"]"&amp;"|"&amp;$Q1208&amp;"|"&amp;$K1208&amp;"|"&amp;$G1208&amp;"|"&amp;IF($G1208="TX_CURR_SUBNAT.R","CY2022Q4",$M1208),"")</f>
        <v>[msW2zpIN7up]|10-14|Female|PLHIV_Residents.T_1|CY2023Q3</v>
      </c>
    </row>
    <row r="1209" customFormat="false" ht="15" hidden="false" customHeight="false" outlineLevel="0" collapsed="false">
      <c r="D1209" s="9" t="s">
        <v>60</v>
      </c>
      <c r="E1209" s="9" t="s">
        <v>61</v>
      </c>
      <c r="F1209" s="9" t="s">
        <v>62</v>
      </c>
      <c r="G1209" s="9" t="s">
        <v>143</v>
      </c>
      <c r="H1209" s="9" t="s">
        <v>144</v>
      </c>
      <c r="I1209" s="0" t="s">
        <v>38</v>
      </c>
      <c r="J1209" s="9" t="s">
        <v>39</v>
      </c>
      <c r="K1209" s="9" t="s">
        <v>30</v>
      </c>
      <c r="L1209" s="9" t="s">
        <v>31</v>
      </c>
      <c r="M1209" s="0" t="s">
        <v>140</v>
      </c>
      <c r="N1209" s="0" t="n">
        <v>976</v>
      </c>
      <c r="O1209" s="10" t="n">
        <v>0.607859893236309</v>
      </c>
      <c r="P1209" s="10" t="n">
        <v>0.0268250561784953</v>
      </c>
      <c r="Q1209" s="0" t="str">
        <f aca="false">SUBSTITUTE(SUBSTITUTE($I1209,CHAR(61),""),CHAR(34),"")</f>
        <v>15-24</v>
      </c>
      <c r="R1209" s="0" t="str">
        <f aca="false">IF($D1209&lt;&gt;"","["&amp;$E1209&amp;"]"&amp;"|"&amp;$Q1209&amp;"|"&amp;$K1209&amp;"|"&amp;$G1209&amp;"|"&amp;IF($G1209="TX_CURR_SUBNAT.R","CY2022Q4",$M1209),"")</f>
        <v>[msW2zpIN7up]|15-24|Female|PLHIV_Residents.T_1|CY2023Q3</v>
      </c>
    </row>
    <row r="1210" customFormat="false" ht="15" hidden="false" customHeight="false" outlineLevel="0" collapsed="false">
      <c r="D1210" s="9" t="s">
        <v>60</v>
      </c>
      <c r="E1210" s="9" t="s">
        <v>61</v>
      </c>
      <c r="F1210" s="9" t="s">
        <v>62</v>
      </c>
      <c r="G1210" s="9" t="s">
        <v>143</v>
      </c>
      <c r="H1210" s="9" t="s">
        <v>144</v>
      </c>
      <c r="I1210" s="0" t="s">
        <v>41</v>
      </c>
      <c r="J1210" s="9" t="s">
        <v>42</v>
      </c>
      <c r="K1210" s="9" t="s">
        <v>30</v>
      </c>
      <c r="L1210" s="9" t="s">
        <v>31</v>
      </c>
      <c r="M1210" s="0" t="s">
        <v>140</v>
      </c>
      <c r="N1210" s="0" t="n">
        <v>986</v>
      </c>
      <c r="O1210" s="10" t="n">
        <v>0.198377279797569</v>
      </c>
      <c r="P1210" s="10" t="n">
        <v>0.0268250561784953</v>
      </c>
      <c r="Q1210" s="0" t="str">
        <f aca="false">SUBSTITUTE(SUBSTITUTE($I1210,CHAR(61),""),CHAR(34),"")</f>
        <v>25-34</v>
      </c>
      <c r="R1210" s="0" t="str">
        <f aca="false">IF($D1210&lt;&gt;"","["&amp;$E1210&amp;"]"&amp;"|"&amp;$Q1210&amp;"|"&amp;$K1210&amp;"|"&amp;$G1210&amp;"|"&amp;IF($G1210="TX_CURR_SUBNAT.R","CY2022Q4",$M1210),"")</f>
        <v>[msW2zpIN7up]|25-34|Female|PLHIV_Residents.T_1|CY2023Q3</v>
      </c>
    </row>
    <row r="1211" customFormat="false" ht="15" hidden="false" customHeight="false" outlineLevel="0" collapsed="false">
      <c r="D1211" s="9" t="s">
        <v>60</v>
      </c>
      <c r="E1211" s="9" t="s">
        <v>61</v>
      </c>
      <c r="F1211" s="9" t="s">
        <v>62</v>
      </c>
      <c r="G1211" s="9" t="s">
        <v>143</v>
      </c>
      <c r="H1211" s="9" t="s">
        <v>144</v>
      </c>
      <c r="I1211" s="0" t="s">
        <v>43</v>
      </c>
      <c r="J1211" s="9" t="s">
        <v>44</v>
      </c>
      <c r="K1211" s="9" t="s">
        <v>30</v>
      </c>
      <c r="L1211" s="9" t="s">
        <v>31</v>
      </c>
      <c r="M1211" s="0" t="s">
        <v>140</v>
      </c>
      <c r="N1211" s="0" t="n">
        <v>584</v>
      </c>
      <c r="O1211" s="10" t="n">
        <v>0.542312761070207</v>
      </c>
      <c r="P1211" s="10" t="n">
        <v>0.0268250561784953</v>
      </c>
      <c r="Q1211" s="0" t="str">
        <f aca="false">SUBSTITUTE(SUBSTITUTE($I1211,CHAR(61),""),CHAR(34),"")</f>
        <v>35-49</v>
      </c>
      <c r="R1211" s="0" t="str">
        <f aca="false">IF($D1211&lt;&gt;"","["&amp;$E1211&amp;"]"&amp;"|"&amp;$Q1211&amp;"|"&amp;$K1211&amp;"|"&amp;$G1211&amp;"|"&amp;IF($G1211="TX_CURR_SUBNAT.R","CY2022Q4",$M1211),"")</f>
        <v>[msW2zpIN7up]|35-49|Female|PLHIV_Residents.T_1|CY2023Q3</v>
      </c>
    </row>
    <row r="1212" customFormat="false" ht="15" hidden="false" customHeight="false" outlineLevel="0" collapsed="false">
      <c r="D1212" s="9" t="s">
        <v>60</v>
      </c>
      <c r="E1212" s="9" t="s">
        <v>61</v>
      </c>
      <c r="F1212" s="9" t="s">
        <v>62</v>
      </c>
      <c r="G1212" s="9" t="s">
        <v>143</v>
      </c>
      <c r="H1212" s="9" t="s">
        <v>144</v>
      </c>
      <c r="I1212" s="0" t="s">
        <v>45</v>
      </c>
      <c r="J1212" s="9" t="s">
        <v>46</v>
      </c>
      <c r="K1212" s="9" t="s">
        <v>30</v>
      </c>
      <c r="L1212" s="9" t="s">
        <v>31</v>
      </c>
      <c r="M1212" s="0" t="s">
        <v>140</v>
      </c>
      <c r="N1212" s="0" t="n">
        <v>513</v>
      </c>
      <c r="O1212" s="10" t="n">
        <v>0.918430476682261</v>
      </c>
      <c r="P1212" s="10" t="n">
        <v>0.0268250561784953</v>
      </c>
      <c r="Q1212" s="0" t="str">
        <f aca="false">SUBSTITUTE(SUBSTITUTE($I1212,CHAR(61),""),CHAR(34),"")</f>
        <v>50+</v>
      </c>
      <c r="R1212" s="0" t="str">
        <f aca="false">IF($D1212&lt;&gt;"","["&amp;$E1212&amp;"]"&amp;"|"&amp;$Q1212&amp;"|"&amp;$K1212&amp;"|"&amp;$G1212&amp;"|"&amp;IF($G1212="TX_CURR_SUBNAT.R","CY2022Q4",$M1212),"")</f>
        <v>[msW2zpIN7up]|50+|Female|PLHIV_Residents.T_1|CY2023Q3</v>
      </c>
    </row>
    <row r="1213" customFormat="false" ht="15" hidden="false" customHeight="false" outlineLevel="0" collapsed="false">
      <c r="D1213" s="9" t="s">
        <v>60</v>
      </c>
      <c r="E1213" s="9" t="s">
        <v>61</v>
      </c>
      <c r="F1213" s="9" t="s">
        <v>62</v>
      </c>
      <c r="G1213" s="9" t="s">
        <v>143</v>
      </c>
      <c r="H1213" s="9" t="s">
        <v>144</v>
      </c>
      <c r="I1213" s="0" t="s">
        <v>28</v>
      </c>
      <c r="J1213" s="9" t="s">
        <v>29</v>
      </c>
      <c r="K1213" s="9" t="s">
        <v>48</v>
      </c>
      <c r="L1213" s="9" t="s">
        <v>49</v>
      </c>
      <c r="M1213" s="0" t="s">
        <v>140</v>
      </c>
      <c r="N1213" s="0" t="n">
        <v>772</v>
      </c>
      <c r="O1213" s="10" t="n">
        <v>0.559505328768864</v>
      </c>
      <c r="P1213" s="10" t="n">
        <v>0.0268250561784953</v>
      </c>
      <c r="Q1213" s="0" t="str">
        <f aca="false">SUBSTITUTE(SUBSTITUTE($I1213,CHAR(61),""),CHAR(34),"")</f>
        <v>&lt;01</v>
      </c>
      <c r="R1213" s="0" t="str">
        <f aca="false">IF($D1213&lt;&gt;"","["&amp;$E1213&amp;"]"&amp;"|"&amp;$Q1213&amp;"|"&amp;$K1213&amp;"|"&amp;$G1213&amp;"|"&amp;IF($G1213="TX_CURR_SUBNAT.R","CY2022Q4",$M1213),"")</f>
        <v>[msW2zpIN7up]|&lt;01|Male|PLHIV_Residents.T_1|CY2023Q3</v>
      </c>
    </row>
    <row r="1214" customFormat="false" ht="15" hidden="false" customHeight="false" outlineLevel="0" collapsed="false">
      <c r="D1214" s="9" t="s">
        <v>60</v>
      </c>
      <c r="E1214" s="9" t="s">
        <v>61</v>
      </c>
      <c r="F1214" s="9" t="s">
        <v>62</v>
      </c>
      <c r="G1214" s="9" t="s">
        <v>143</v>
      </c>
      <c r="H1214" s="9" t="s">
        <v>144</v>
      </c>
      <c r="I1214" s="0" t="s">
        <v>33</v>
      </c>
      <c r="J1214" s="9" t="s">
        <v>34</v>
      </c>
      <c r="K1214" s="9" t="s">
        <v>48</v>
      </c>
      <c r="L1214" s="9" t="s">
        <v>49</v>
      </c>
      <c r="M1214" s="0" t="s">
        <v>140</v>
      </c>
      <c r="N1214" s="0" t="n">
        <v>609</v>
      </c>
      <c r="O1214" s="10" t="n">
        <v>0.535076311789453</v>
      </c>
      <c r="P1214" s="10" t="n">
        <v>0.0268250561784953</v>
      </c>
      <c r="Q1214" s="0" t="str">
        <f aca="false">SUBSTITUTE(SUBSTITUTE($I1214,CHAR(61),""),CHAR(34),"")</f>
        <v>01-09</v>
      </c>
      <c r="R1214" s="0" t="str">
        <f aca="false">IF($D1214&lt;&gt;"","["&amp;$E1214&amp;"]"&amp;"|"&amp;$Q1214&amp;"|"&amp;$K1214&amp;"|"&amp;$G1214&amp;"|"&amp;IF($G1214="TX_CURR_SUBNAT.R","CY2022Q4",$M1214),"")</f>
        <v>[msW2zpIN7up]|01-09|Male|PLHIV_Residents.T_1|CY2023Q3</v>
      </c>
    </row>
    <row r="1215" customFormat="false" ht="15" hidden="false" customHeight="false" outlineLevel="0" collapsed="false">
      <c r="D1215" s="9" t="s">
        <v>60</v>
      </c>
      <c r="E1215" s="9" t="s">
        <v>61</v>
      </c>
      <c r="F1215" s="9" t="s">
        <v>62</v>
      </c>
      <c r="G1215" s="9" t="s">
        <v>143</v>
      </c>
      <c r="H1215" s="9" t="s">
        <v>144</v>
      </c>
      <c r="I1215" s="0" t="s">
        <v>36</v>
      </c>
      <c r="J1215" s="9" t="s">
        <v>37</v>
      </c>
      <c r="K1215" s="9" t="s">
        <v>48</v>
      </c>
      <c r="L1215" s="9" t="s">
        <v>49</v>
      </c>
      <c r="M1215" s="0" t="s">
        <v>140</v>
      </c>
      <c r="N1215" s="0" t="n">
        <v>773</v>
      </c>
      <c r="O1215" s="10" t="n">
        <v>0.949784608092159</v>
      </c>
      <c r="P1215" s="10" t="n">
        <v>0.0268250561784953</v>
      </c>
      <c r="Q1215" s="0" t="str">
        <f aca="false">SUBSTITUTE(SUBSTITUTE($I1215,CHAR(61),""),CHAR(34),"")</f>
        <v>10-14</v>
      </c>
      <c r="R1215" s="0" t="str">
        <f aca="false">IF($D1215&lt;&gt;"","["&amp;$E1215&amp;"]"&amp;"|"&amp;$Q1215&amp;"|"&amp;$K1215&amp;"|"&amp;$G1215&amp;"|"&amp;IF($G1215="TX_CURR_SUBNAT.R","CY2022Q4",$M1215),"")</f>
        <v>[msW2zpIN7up]|10-14|Male|PLHIV_Residents.T_1|CY2023Q3</v>
      </c>
    </row>
    <row r="1216" customFormat="false" ht="15" hidden="false" customHeight="false" outlineLevel="0" collapsed="false">
      <c r="D1216" s="9" t="s">
        <v>60</v>
      </c>
      <c r="E1216" s="9" t="s">
        <v>61</v>
      </c>
      <c r="F1216" s="9" t="s">
        <v>62</v>
      </c>
      <c r="G1216" s="9" t="s">
        <v>143</v>
      </c>
      <c r="H1216" s="9" t="s">
        <v>144</v>
      </c>
      <c r="I1216" s="0" t="s">
        <v>38</v>
      </c>
      <c r="J1216" s="9" t="s">
        <v>39</v>
      </c>
      <c r="K1216" s="9" t="s">
        <v>48</v>
      </c>
      <c r="L1216" s="9" t="s">
        <v>49</v>
      </c>
      <c r="M1216" s="0" t="s">
        <v>140</v>
      </c>
      <c r="N1216" s="0" t="n">
        <v>889</v>
      </c>
      <c r="O1216" s="10" t="n">
        <v>0.649251443101093</v>
      </c>
      <c r="P1216" s="10" t="n">
        <v>0.0268250561784953</v>
      </c>
      <c r="Q1216" s="0" t="str">
        <f aca="false">SUBSTITUTE(SUBSTITUTE($I1216,CHAR(61),""),CHAR(34),"")</f>
        <v>15-24</v>
      </c>
      <c r="R1216" s="0" t="str">
        <f aca="false">IF($D1216&lt;&gt;"","["&amp;$E1216&amp;"]"&amp;"|"&amp;$Q1216&amp;"|"&amp;$K1216&amp;"|"&amp;$G1216&amp;"|"&amp;IF($G1216="TX_CURR_SUBNAT.R","CY2022Q4",$M1216),"")</f>
        <v>[msW2zpIN7up]|15-24|Male|PLHIV_Residents.T_1|CY2023Q3</v>
      </c>
    </row>
    <row r="1217" customFormat="false" ht="15" hidden="false" customHeight="false" outlineLevel="0" collapsed="false">
      <c r="D1217" s="9" t="s">
        <v>60</v>
      </c>
      <c r="E1217" s="9" t="s">
        <v>61</v>
      </c>
      <c r="F1217" s="9" t="s">
        <v>62</v>
      </c>
      <c r="G1217" s="9" t="s">
        <v>143</v>
      </c>
      <c r="H1217" s="9" t="s">
        <v>144</v>
      </c>
      <c r="I1217" s="0" t="s">
        <v>41</v>
      </c>
      <c r="J1217" s="9" t="s">
        <v>42</v>
      </c>
      <c r="K1217" s="9" t="s">
        <v>48</v>
      </c>
      <c r="L1217" s="9" t="s">
        <v>49</v>
      </c>
      <c r="M1217" s="0" t="s">
        <v>140</v>
      </c>
      <c r="N1217" s="0" t="n">
        <v>1238</v>
      </c>
      <c r="O1217" s="10" t="n">
        <v>0.890191359212622</v>
      </c>
      <c r="P1217" s="10" t="n">
        <v>0.0268250561784953</v>
      </c>
      <c r="Q1217" s="0" t="str">
        <f aca="false">SUBSTITUTE(SUBSTITUTE($I1217,CHAR(61),""),CHAR(34),"")</f>
        <v>25-34</v>
      </c>
      <c r="R1217" s="0" t="str">
        <f aca="false">IF($D1217&lt;&gt;"","["&amp;$E1217&amp;"]"&amp;"|"&amp;$Q1217&amp;"|"&amp;$K1217&amp;"|"&amp;$G1217&amp;"|"&amp;IF($G1217="TX_CURR_SUBNAT.R","CY2022Q4",$M1217),"")</f>
        <v>[msW2zpIN7up]|25-34|Male|PLHIV_Residents.T_1|CY2023Q3</v>
      </c>
    </row>
    <row r="1218" customFormat="false" ht="15" hidden="false" customHeight="false" outlineLevel="0" collapsed="false">
      <c r="D1218" s="9" t="s">
        <v>60</v>
      </c>
      <c r="E1218" s="9" t="s">
        <v>61</v>
      </c>
      <c r="F1218" s="9" t="s">
        <v>62</v>
      </c>
      <c r="G1218" s="9" t="s">
        <v>143</v>
      </c>
      <c r="H1218" s="9" t="s">
        <v>144</v>
      </c>
      <c r="I1218" s="0" t="s">
        <v>43</v>
      </c>
      <c r="J1218" s="9" t="s">
        <v>44</v>
      </c>
      <c r="K1218" s="9" t="s">
        <v>48</v>
      </c>
      <c r="L1218" s="9" t="s">
        <v>49</v>
      </c>
      <c r="M1218" s="0" t="s">
        <v>140</v>
      </c>
      <c r="N1218" s="0" t="n">
        <v>1686</v>
      </c>
      <c r="O1218" s="10" t="n">
        <v>0.143418338848278</v>
      </c>
      <c r="P1218" s="10" t="n">
        <v>0.0268250561784953</v>
      </c>
      <c r="Q1218" s="0" t="str">
        <f aca="false">SUBSTITUTE(SUBSTITUTE($I1218,CHAR(61),""),CHAR(34),"")</f>
        <v>35-49</v>
      </c>
      <c r="R1218" s="0" t="str">
        <f aca="false">IF($D1218&lt;&gt;"","["&amp;$E1218&amp;"]"&amp;"|"&amp;$Q1218&amp;"|"&amp;$K1218&amp;"|"&amp;$G1218&amp;"|"&amp;IF($G1218="TX_CURR_SUBNAT.R","CY2022Q4",$M1218),"")</f>
        <v>[msW2zpIN7up]|35-49|Male|PLHIV_Residents.T_1|CY2023Q3</v>
      </c>
    </row>
    <row r="1219" customFormat="false" ht="15" hidden="false" customHeight="false" outlineLevel="0" collapsed="false">
      <c r="D1219" s="9" t="s">
        <v>60</v>
      </c>
      <c r="E1219" s="9" t="s">
        <v>61</v>
      </c>
      <c r="F1219" s="9" t="s">
        <v>62</v>
      </c>
      <c r="G1219" s="9" t="s">
        <v>143</v>
      </c>
      <c r="H1219" s="9" t="s">
        <v>144</v>
      </c>
      <c r="I1219" s="0" t="s">
        <v>45</v>
      </c>
      <c r="J1219" s="9" t="s">
        <v>46</v>
      </c>
      <c r="K1219" s="9" t="s">
        <v>48</v>
      </c>
      <c r="L1219" s="9" t="s">
        <v>49</v>
      </c>
      <c r="M1219" s="0" t="s">
        <v>140</v>
      </c>
      <c r="N1219" s="0" t="n">
        <v>1292</v>
      </c>
      <c r="O1219" s="10" t="n">
        <v>0.317264038138092</v>
      </c>
      <c r="P1219" s="10" t="n">
        <v>0.0268250561784953</v>
      </c>
      <c r="Q1219" s="0" t="str">
        <f aca="false">SUBSTITUTE(SUBSTITUTE($I1219,CHAR(61),""),CHAR(34),"")</f>
        <v>50+</v>
      </c>
      <c r="R1219" s="0" t="str">
        <f aca="false">IF($D1219&lt;&gt;"","["&amp;$E1219&amp;"]"&amp;"|"&amp;$Q1219&amp;"|"&amp;$K1219&amp;"|"&amp;$G1219&amp;"|"&amp;IF($G1219="TX_CURR_SUBNAT.R","CY2022Q4",$M1219),"")</f>
        <v>[msW2zpIN7up]|50+|Male|PLHIV_Residents.T_1|CY2023Q3</v>
      </c>
    </row>
    <row r="1220" customFormat="false" ht="15" hidden="false" customHeight="false" outlineLevel="0" collapsed="false">
      <c r="D1220" s="9" t="s">
        <v>63</v>
      </c>
      <c r="E1220" s="9" t="s">
        <v>64</v>
      </c>
      <c r="F1220" s="9" t="s">
        <v>65</v>
      </c>
      <c r="G1220" s="9" t="s">
        <v>143</v>
      </c>
      <c r="H1220" s="9" t="s">
        <v>144</v>
      </c>
      <c r="I1220" s="0" t="s">
        <v>28</v>
      </c>
      <c r="J1220" s="9" t="s">
        <v>29</v>
      </c>
      <c r="K1220" s="9" t="s">
        <v>30</v>
      </c>
      <c r="L1220" s="9" t="s">
        <v>31</v>
      </c>
      <c r="M1220" s="0" t="s">
        <v>140</v>
      </c>
      <c r="N1220" s="0" t="n">
        <v>1945</v>
      </c>
      <c r="O1220" s="10" t="n">
        <v>0.472640904132277</v>
      </c>
      <c r="P1220" s="10" t="n">
        <v>0.790102193132043</v>
      </c>
      <c r="Q1220" s="0" t="str">
        <f aca="false">SUBSTITUTE(SUBSTITUTE($I1220,CHAR(61),""),CHAR(34),"")</f>
        <v>&lt;01</v>
      </c>
      <c r="R1220" s="0" t="str">
        <f aca="false">IF($D1220&lt;&gt;"","["&amp;$E1220&amp;"]"&amp;"|"&amp;$Q1220&amp;"|"&amp;$K1220&amp;"|"&amp;$G1220&amp;"|"&amp;IF($G1220="TX_CURR_SUBNAT.R","CY2022Q4",$M1220),"")</f>
        <v>[kxuuIFpOXyO]|&lt;01|Female|PLHIV_Residents.T_1|CY2023Q3</v>
      </c>
    </row>
    <row r="1221" customFormat="false" ht="15" hidden="false" customHeight="false" outlineLevel="0" collapsed="false">
      <c r="D1221" s="9" t="s">
        <v>63</v>
      </c>
      <c r="E1221" s="9" t="s">
        <v>64</v>
      </c>
      <c r="F1221" s="9" t="s">
        <v>65</v>
      </c>
      <c r="G1221" s="9" t="s">
        <v>143</v>
      </c>
      <c r="H1221" s="9" t="s">
        <v>144</v>
      </c>
      <c r="I1221" s="0" t="s">
        <v>33</v>
      </c>
      <c r="J1221" s="9" t="s">
        <v>34</v>
      </c>
      <c r="K1221" s="9" t="s">
        <v>30</v>
      </c>
      <c r="L1221" s="9" t="s">
        <v>31</v>
      </c>
      <c r="M1221" s="0" t="s">
        <v>140</v>
      </c>
      <c r="N1221" s="0" t="n">
        <v>1572</v>
      </c>
      <c r="O1221" s="10" t="n">
        <v>0.879296030849218</v>
      </c>
      <c r="P1221" s="10" t="n">
        <v>0.790102193132043</v>
      </c>
      <c r="Q1221" s="0" t="str">
        <f aca="false">SUBSTITUTE(SUBSTITUTE($I1221,CHAR(61),""),CHAR(34),"")</f>
        <v>01-09</v>
      </c>
      <c r="R1221" s="0" t="str">
        <f aca="false">IF($D1221&lt;&gt;"","["&amp;$E1221&amp;"]"&amp;"|"&amp;$Q1221&amp;"|"&amp;$K1221&amp;"|"&amp;$G1221&amp;"|"&amp;IF($G1221="TX_CURR_SUBNAT.R","CY2022Q4",$M1221),"")</f>
        <v>[kxuuIFpOXyO]|01-09|Female|PLHIV_Residents.T_1|CY2023Q3</v>
      </c>
    </row>
    <row r="1222" customFormat="false" ht="15" hidden="false" customHeight="false" outlineLevel="0" collapsed="false">
      <c r="D1222" s="9" t="s">
        <v>63</v>
      </c>
      <c r="E1222" s="9" t="s">
        <v>64</v>
      </c>
      <c r="F1222" s="9" t="s">
        <v>65</v>
      </c>
      <c r="G1222" s="9" t="s">
        <v>143</v>
      </c>
      <c r="H1222" s="9" t="s">
        <v>144</v>
      </c>
      <c r="I1222" s="0" t="s">
        <v>36</v>
      </c>
      <c r="J1222" s="9" t="s">
        <v>37</v>
      </c>
      <c r="K1222" s="9" t="s">
        <v>30</v>
      </c>
      <c r="L1222" s="9" t="s">
        <v>31</v>
      </c>
      <c r="M1222" s="0" t="s">
        <v>140</v>
      </c>
      <c r="N1222" s="0" t="n">
        <v>1433</v>
      </c>
      <c r="O1222" s="10" t="n">
        <v>0.995536966249347</v>
      </c>
      <c r="P1222" s="10" t="n">
        <v>0.790102193132043</v>
      </c>
      <c r="Q1222" s="0" t="str">
        <f aca="false">SUBSTITUTE(SUBSTITUTE($I1222,CHAR(61),""),CHAR(34),"")</f>
        <v>10-14</v>
      </c>
      <c r="R1222" s="0" t="str">
        <f aca="false">IF($D1222&lt;&gt;"","["&amp;$E1222&amp;"]"&amp;"|"&amp;$Q1222&amp;"|"&amp;$K1222&amp;"|"&amp;$G1222&amp;"|"&amp;IF($G1222="TX_CURR_SUBNAT.R","CY2022Q4",$M1222),"")</f>
        <v>[kxuuIFpOXyO]|10-14|Female|PLHIV_Residents.T_1|CY2023Q3</v>
      </c>
    </row>
    <row r="1223" customFormat="false" ht="15" hidden="false" customHeight="false" outlineLevel="0" collapsed="false">
      <c r="D1223" s="9" t="s">
        <v>63</v>
      </c>
      <c r="E1223" s="9" t="s">
        <v>64</v>
      </c>
      <c r="F1223" s="9" t="s">
        <v>65</v>
      </c>
      <c r="G1223" s="9" t="s">
        <v>143</v>
      </c>
      <c r="H1223" s="9" t="s">
        <v>144</v>
      </c>
      <c r="I1223" s="0" t="s">
        <v>38</v>
      </c>
      <c r="J1223" s="9" t="s">
        <v>39</v>
      </c>
      <c r="K1223" s="9" t="s">
        <v>30</v>
      </c>
      <c r="L1223" s="9" t="s">
        <v>31</v>
      </c>
      <c r="M1223" s="0" t="s">
        <v>140</v>
      </c>
      <c r="N1223" s="0" t="n">
        <v>963</v>
      </c>
      <c r="O1223" s="10" t="n">
        <v>0.377823898335919</v>
      </c>
      <c r="P1223" s="10" t="n">
        <v>0.790102193132043</v>
      </c>
      <c r="Q1223" s="0" t="str">
        <f aca="false">SUBSTITUTE(SUBSTITUTE($I1223,CHAR(61),""),CHAR(34),"")</f>
        <v>15-24</v>
      </c>
      <c r="R1223" s="0" t="str">
        <f aca="false">IF($D1223&lt;&gt;"","["&amp;$E1223&amp;"]"&amp;"|"&amp;$Q1223&amp;"|"&amp;$K1223&amp;"|"&amp;$G1223&amp;"|"&amp;IF($G1223="TX_CURR_SUBNAT.R","CY2022Q4",$M1223),"")</f>
        <v>[kxuuIFpOXyO]|15-24|Female|PLHIV_Residents.T_1|CY2023Q3</v>
      </c>
    </row>
    <row r="1224" customFormat="false" ht="15" hidden="false" customHeight="false" outlineLevel="0" collapsed="false">
      <c r="D1224" s="9" t="s">
        <v>63</v>
      </c>
      <c r="E1224" s="9" t="s">
        <v>64</v>
      </c>
      <c r="F1224" s="9" t="s">
        <v>65</v>
      </c>
      <c r="G1224" s="9" t="s">
        <v>143</v>
      </c>
      <c r="H1224" s="9" t="s">
        <v>144</v>
      </c>
      <c r="I1224" s="0" t="s">
        <v>41</v>
      </c>
      <c r="J1224" s="9" t="s">
        <v>42</v>
      </c>
      <c r="K1224" s="9" t="s">
        <v>30</v>
      </c>
      <c r="L1224" s="9" t="s">
        <v>31</v>
      </c>
      <c r="M1224" s="0" t="s">
        <v>140</v>
      </c>
      <c r="N1224" s="0" t="n">
        <v>702</v>
      </c>
      <c r="O1224" s="10" t="n">
        <v>0.873697102535516</v>
      </c>
      <c r="P1224" s="10" t="n">
        <v>0.790102193132043</v>
      </c>
      <c r="Q1224" s="0" t="str">
        <f aca="false">SUBSTITUTE(SUBSTITUTE($I1224,CHAR(61),""),CHAR(34),"")</f>
        <v>25-34</v>
      </c>
      <c r="R1224" s="0" t="str">
        <f aca="false">IF($D1224&lt;&gt;"","["&amp;$E1224&amp;"]"&amp;"|"&amp;$Q1224&amp;"|"&amp;$K1224&amp;"|"&amp;$G1224&amp;"|"&amp;IF($G1224="TX_CURR_SUBNAT.R","CY2022Q4",$M1224),"")</f>
        <v>[kxuuIFpOXyO]|25-34|Female|PLHIV_Residents.T_1|CY2023Q3</v>
      </c>
    </row>
    <row r="1225" customFormat="false" ht="15" hidden="false" customHeight="false" outlineLevel="0" collapsed="false">
      <c r="D1225" s="9" t="s">
        <v>63</v>
      </c>
      <c r="E1225" s="9" t="s">
        <v>64</v>
      </c>
      <c r="F1225" s="9" t="s">
        <v>65</v>
      </c>
      <c r="G1225" s="9" t="s">
        <v>143</v>
      </c>
      <c r="H1225" s="9" t="s">
        <v>144</v>
      </c>
      <c r="I1225" s="0" t="s">
        <v>43</v>
      </c>
      <c r="J1225" s="9" t="s">
        <v>44</v>
      </c>
      <c r="K1225" s="9" t="s">
        <v>30</v>
      </c>
      <c r="L1225" s="9" t="s">
        <v>31</v>
      </c>
      <c r="M1225" s="0" t="s">
        <v>140</v>
      </c>
      <c r="N1225" s="0" t="n">
        <v>1010</v>
      </c>
      <c r="O1225" s="10" t="n">
        <v>0.790322165936232</v>
      </c>
      <c r="P1225" s="10" t="n">
        <v>0.790102193132043</v>
      </c>
      <c r="Q1225" s="0" t="str">
        <f aca="false">SUBSTITUTE(SUBSTITUTE($I1225,CHAR(61),""),CHAR(34),"")</f>
        <v>35-49</v>
      </c>
      <c r="R1225" s="0" t="str">
        <f aca="false">IF($D1225&lt;&gt;"","["&amp;$E1225&amp;"]"&amp;"|"&amp;$Q1225&amp;"|"&amp;$K1225&amp;"|"&amp;$G1225&amp;"|"&amp;IF($G1225="TX_CURR_SUBNAT.R","CY2022Q4",$M1225),"")</f>
        <v>[kxuuIFpOXyO]|35-49|Female|PLHIV_Residents.T_1|CY2023Q3</v>
      </c>
    </row>
    <row r="1226" customFormat="false" ht="15" hidden="false" customHeight="false" outlineLevel="0" collapsed="false">
      <c r="D1226" s="9" t="s">
        <v>63</v>
      </c>
      <c r="E1226" s="9" t="s">
        <v>64</v>
      </c>
      <c r="F1226" s="9" t="s">
        <v>65</v>
      </c>
      <c r="G1226" s="9" t="s">
        <v>143</v>
      </c>
      <c r="H1226" s="9" t="s">
        <v>144</v>
      </c>
      <c r="I1226" s="0" t="s">
        <v>45</v>
      </c>
      <c r="J1226" s="9" t="s">
        <v>46</v>
      </c>
      <c r="K1226" s="9" t="s">
        <v>30</v>
      </c>
      <c r="L1226" s="9" t="s">
        <v>31</v>
      </c>
      <c r="M1226" s="0" t="s">
        <v>140</v>
      </c>
      <c r="N1226" s="0" t="n">
        <v>1830</v>
      </c>
      <c r="O1226" s="10" t="n">
        <v>0.348560959566385</v>
      </c>
      <c r="P1226" s="10" t="n">
        <v>0.790102193132043</v>
      </c>
      <c r="Q1226" s="0" t="str">
        <f aca="false">SUBSTITUTE(SUBSTITUTE($I1226,CHAR(61),""),CHAR(34),"")</f>
        <v>50+</v>
      </c>
      <c r="R1226" s="0" t="str">
        <f aca="false">IF($D1226&lt;&gt;"","["&amp;$E1226&amp;"]"&amp;"|"&amp;$Q1226&amp;"|"&amp;$K1226&amp;"|"&amp;$G1226&amp;"|"&amp;IF($G1226="TX_CURR_SUBNAT.R","CY2022Q4",$M1226),"")</f>
        <v>[kxuuIFpOXyO]|50+|Female|PLHIV_Residents.T_1|CY2023Q3</v>
      </c>
    </row>
    <row r="1227" customFormat="false" ht="15" hidden="false" customHeight="false" outlineLevel="0" collapsed="false">
      <c r="D1227" s="9" t="s">
        <v>63</v>
      </c>
      <c r="E1227" s="9" t="s">
        <v>64</v>
      </c>
      <c r="F1227" s="9" t="s">
        <v>65</v>
      </c>
      <c r="G1227" s="9" t="s">
        <v>143</v>
      </c>
      <c r="H1227" s="9" t="s">
        <v>144</v>
      </c>
      <c r="I1227" s="0" t="s">
        <v>28</v>
      </c>
      <c r="J1227" s="9" t="s">
        <v>29</v>
      </c>
      <c r="K1227" s="9" t="s">
        <v>48</v>
      </c>
      <c r="L1227" s="9" t="s">
        <v>49</v>
      </c>
      <c r="M1227" s="0" t="s">
        <v>140</v>
      </c>
      <c r="N1227" s="0" t="n">
        <v>969</v>
      </c>
      <c r="O1227" s="10" t="n">
        <v>0.994696903042495</v>
      </c>
      <c r="P1227" s="10" t="n">
        <v>0.790102193132043</v>
      </c>
      <c r="Q1227" s="0" t="str">
        <f aca="false">SUBSTITUTE(SUBSTITUTE($I1227,CHAR(61),""),CHAR(34),"")</f>
        <v>&lt;01</v>
      </c>
      <c r="R1227" s="0" t="str">
        <f aca="false">IF($D1227&lt;&gt;"","["&amp;$E1227&amp;"]"&amp;"|"&amp;$Q1227&amp;"|"&amp;$K1227&amp;"|"&amp;$G1227&amp;"|"&amp;IF($G1227="TX_CURR_SUBNAT.R","CY2022Q4",$M1227),"")</f>
        <v>[kxuuIFpOXyO]|&lt;01|Male|PLHIV_Residents.T_1|CY2023Q3</v>
      </c>
    </row>
    <row r="1228" customFormat="false" ht="15" hidden="false" customHeight="false" outlineLevel="0" collapsed="false">
      <c r="D1228" s="9" t="s">
        <v>63</v>
      </c>
      <c r="E1228" s="9" t="s">
        <v>64</v>
      </c>
      <c r="F1228" s="9" t="s">
        <v>65</v>
      </c>
      <c r="G1228" s="9" t="s">
        <v>143</v>
      </c>
      <c r="H1228" s="9" t="s">
        <v>144</v>
      </c>
      <c r="I1228" s="0" t="s">
        <v>33</v>
      </c>
      <c r="J1228" s="9" t="s">
        <v>34</v>
      </c>
      <c r="K1228" s="9" t="s">
        <v>48</v>
      </c>
      <c r="L1228" s="9" t="s">
        <v>49</v>
      </c>
      <c r="M1228" s="0" t="s">
        <v>140</v>
      </c>
      <c r="N1228" s="0" t="n">
        <v>819</v>
      </c>
      <c r="O1228" s="10" t="n">
        <v>0.116805114084855</v>
      </c>
      <c r="P1228" s="10" t="n">
        <v>0.790102193132043</v>
      </c>
      <c r="Q1228" s="0" t="str">
        <f aca="false">SUBSTITUTE(SUBSTITUTE($I1228,CHAR(61),""),CHAR(34),"")</f>
        <v>01-09</v>
      </c>
      <c r="R1228" s="0" t="str">
        <f aca="false">IF($D1228&lt;&gt;"","["&amp;$E1228&amp;"]"&amp;"|"&amp;$Q1228&amp;"|"&amp;$K1228&amp;"|"&amp;$G1228&amp;"|"&amp;IF($G1228="TX_CURR_SUBNAT.R","CY2022Q4",$M1228),"")</f>
        <v>[kxuuIFpOXyO]|01-09|Male|PLHIV_Residents.T_1|CY2023Q3</v>
      </c>
    </row>
    <row r="1229" customFormat="false" ht="15" hidden="false" customHeight="false" outlineLevel="0" collapsed="false">
      <c r="D1229" s="9" t="s">
        <v>63</v>
      </c>
      <c r="E1229" s="9" t="s">
        <v>64</v>
      </c>
      <c r="F1229" s="9" t="s">
        <v>65</v>
      </c>
      <c r="G1229" s="9" t="s">
        <v>143</v>
      </c>
      <c r="H1229" s="9" t="s">
        <v>144</v>
      </c>
      <c r="I1229" s="0" t="s">
        <v>36</v>
      </c>
      <c r="J1229" s="9" t="s">
        <v>37</v>
      </c>
      <c r="K1229" s="9" t="s">
        <v>48</v>
      </c>
      <c r="L1229" s="9" t="s">
        <v>49</v>
      </c>
      <c r="M1229" s="0" t="s">
        <v>140</v>
      </c>
      <c r="N1229" s="0" t="n">
        <v>839</v>
      </c>
      <c r="O1229" s="10" t="n">
        <v>0.417528865160421</v>
      </c>
      <c r="P1229" s="10" t="n">
        <v>0.790102193132043</v>
      </c>
      <c r="Q1229" s="0" t="str">
        <f aca="false">SUBSTITUTE(SUBSTITUTE($I1229,CHAR(61),""),CHAR(34),"")</f>
        <v>10-14</v>
      </c>
      <c r="R1229" s="0" t="str">
        <f aca="false">IF($D1229&lt;&gt;"","["&amp;$E1229&amp;"]"&amp;"|"&amp;$Q1229&amp;"|"&amp;$K1229&amp;"|"&amp;$G1229&amp;"|"&amp;IF($G1229="TX_CURR_SUBNAT.R","CY2022Q4",$M1229),"")</f>
        <v>[kxuuIFpOXyO]|10-14|Male|PLHIV_Residents.T_1|CY2023Q3</v>
      </c>
    </row>
    <row r="1230" customFormat="false" ht="15" hidden="false" customHeight="false" outlineLevel="0" collapsed="false">
      <c r="D1230" s="9" t="s">
        <v>63</v>
      </c>
      <c r="E1230" s="9" t="s">
        <v>64</v>
      </c>
      <c r="F1230" s="9" t="s">
        <v>65</v>
      </c>
      <c r="G1230" s="9" t="s">
        <v>143</v>
      </c>
      <c r="H1230" s="9" t="s">
        <v>144</v>
      </c>
      <c r="I1230" s="0" t="s">
        <v>38</v>
      </c>
      <c r="J1230" s="9" t="s">
        <v>39</v>
      </c>
      <c r="K1230" s="9" t="s">
        <v>48</v>
      </c>
      <c r="L1230" s="9" t="s">
        <v>49</v>
      </c>
      <c r="M1230" s="0" t="s">
        <v>140</v>
      </c>
      <c r="N1230" s="0" t="n">
        <v>1113</v>
      </c>
      <c r="O1230" s="10" t="n">
        <v>0.589379273587838</v>
      </c>
      <c r="P1230" s="10" t="n">
        <v>0.790102193132043</v>
      </c>
      <c r="Q1230" s="0" t="str">
        <f aca="false">SUBSTITUTE(SUBSTITUTE($I1230,CHAR(61),""),CHAR(34),"")</f>
        <v>15-24</v>
      </c>
      <c r="R1230" s="0" t="str">
        <f aca="false">IF($D1230&lt;&gt;"","["&amp;$E1230&amp;"]"&amp;"|"&amp;$Q1230&amp;"|"&amp;$K1230&amp;"|"&amp;$G1230&amp;"|"&amp;IF($G1230="TX_CURR_SUBNAT.R","CY2022Q4",$M1230),"")</f>
        <v>[kxuuIFpOXyO]|15-24|Male|PLHIV_Residents.T_1|CY2023Q3</v>
      </c>
    </row>
    <row r="1231" customFormat="false" ht="15" hidden="false" customHeight="false" outlineLevel="0" collapsed="false">
      <c r="D1231" s="9" t="s">
        <v>63</v>
      </c>
      <c r="E1231" s="9" t="s">
        <v>64</v>
      </c>
      <c r="F1231" s="9" t="s">
        <v>65</v>
      </c>
      <c r="G1231" s="9" t="s">
        <v>143</v>
      </c>
      <c r="H1231" s="9" t="s">
        <v>144</v>
      </c>
      <c r="I1231" s="0" t="s">
        <v>41</v>
      </c>
      <c r="J1231" s="9" t="s">
        <v>42</v>
      </c>
      <c r="K1231" s="9" t="s">
        <v>48</v>
      </c>
      <c r="L1231" s="9" t="s">
        <v>49</v>
      </c>
      <c r="M1231" s="0" t="s">
        <v>140</v>
      </c>
      <c r="N1231" s="0" t="n">
        <v>738</v>
      </c>
      <c r="O1231" s="10" t="n">
        <v>0.00212532817386091</v>
      </c>
      <c r="P1231" s="10" t="n">
        <v>0.790102193132043</v>
      </c>
      <c r="Q1231" s="0" t="str">
        <f aca="false">SUBSTITUTE(SUBSTITUTE($I1231,CHAR(61),""),CHAR(34),"")</f>
        <v>25-34</v>
      </c>
      <c r="R1231" s="0" t="str">
        <f aca="false">IF($D1231&lt;&gt;"","["&amp;$E1231&amp;"]"&amp;"|"&amp;$Q1231&amp;"|"&amp;$K1231&amp;"|"&amp;$G1231&amp;"|"&amp;IF($G1231="TX_CURR_SUBNAT.R","CY2022Q4",$M1231),"")</f>
        <v>[kxuuIFpOXyO]|25-34|Male|PLHIV_Residents.T_1|CY2023Q3</v>
      </c>
    </row>
    <row r="1232" customFormat="false" ht="15" hidden="false" customHeight="false" outlineLevel="0" collapsed="false">
      <c r="D1232" s="9" t="s">
        <v>63</v>
      </c>
      <c r="E1232" s="9" t="s">
        <v>64</v>
      </c>
      <c r="F1232" s="9" t="s">
        <v>65</v>
      </c>
      <c r="G1232" s="9" t="s">
        <v>143</v>
      </c>
      <c r="H1232" s="9" t="s">
        <v>144</v>
      </c>
      <c r="I1232" s="0" t="s">
        <v>43</v>
      </c>
      <c r="J1232" s="9" t="s">
        <v>44</v>
      </c>
      <c r="K1232" s="9" t="s">
        <v>48</v>
      </c>
      <c r="L1232" s="9" t="s">
        <v>49</v>
      </c>
      <c r="M1232" s="0" t="s">
        <v>140</v>
      </c>
      <c r="N1232" s="0" t="n">
        <v>1793</v>
      </c>
      <c r="O1232" s="10" t="n">
        <v>0.558593790978193</v>
      </c>
      <c r="P1232" s="10" t="n">
        <v>0.790102193132043</v>
      </c>
      <c r="Q1232" s="0" t="str">
        <f aca="false">SUBSTITUTE(SUBSTITUTE($I1232,CHAR(61),""),CHAR(34),"")</f>
        <v>35-49</v>
      </c>
      <c r="R1232" s="0" t="str">
        <f aca="false">IF($D1232&lt;&gt;"","["&amp;$E1232&amp;"]"&amp;"|"&amp;$Q1232&amp;"|"&amp;$K1232&amp;"|"&amp;$G1232&amp;"|"&amp;IF($G1232="TX_CURR_SUBNAT.R","CY2022Q4",$M1232),"")</f>
        <v>[kxuuIFpOXyO]|35-49|Male|PLHIV_Residents.T_1|CY2023Q3</v>
      </c>
    </row>
    <row r="1233" customFormat="false" ht="15" hidden="false" customHeight="false" outlineLevel="0" collapsed="false">
      <c r="D1233" s="9" t="s">
        <v>63</v>
      </c>
      <c r="E1233" s="9" t="s">
        <v>64</v>
      </c>
      <c r="F1233" s="9" t="s">
        <v>65</v>
      </c>
      <c r="G1233" s="9" t="s">
        <v>143</v>
      </c>
      <c r="H1233" s="9" t="s">
        <v>144</v>
      </c>
      <c r="I1233" s="0" t="s">
        <v>45</v>
      </c>
      <c r="J1233" s="9" t="s">
        <v>46</v>
      </c>
      <c r="K1233" s="9" t="s">
        <v>48</v>
      </c>
      <c r="L1233" s="9" t="s">
        <v>49</v>
      </c>
      <c r="M1233" s="0" t="s">
        <v>140</v>
      </c>
      <c r="N1233" s="0" t="n">
        <v>1853</v>
      </c>
      <c r="O1233" s="10" t="n">
        <v>0.916459664236754</v>
      </c>
      <c r="P1233" s="10" t="n">
        <v>0.790102193132043</v>
      </c>
      <c r="Q1233" s="0" t="str">
        <f aca="false">SUBSTITUTE(SUBSTITUTE($I1233,CHAR(61),""),CHAR(34),"")</f>
        <v>50+</v>
      </c>
      <c r="R1233" s="0" t="str">
        <f aca="false">IF($D1233&lt;&gt;"","["&amp;$E1233&amp;"]"&amp;"|"&amp;$Q1233&amp;"|"&amp;$K1233&amp;"|"&amp;$G1233&amp;"|"&amp;IF($G1233="TX_CURR_SUBNAT.R","CY2022Q4",$M1233),"")</f>
        <v>[kxuuIFpOXyO]|50+|Male|PLHIV_Residents.T_1|CY2023Q3</v>
      </c>
    </row>
    <row r="1234" customFormat="false" ht="15" hidden="false" customHeight="false" outlineLevel="0" collapsed="false">
      <c r="D1234" s="9" t="s">
        <v>66</v>
      </c>
      <c r="E1234" s="9" t="s">
        <v>67</v>
      </c>
      <c r="F1234" s="9" t="s">
        <v>68</v>
      </c>
      <c r="G1234" s="9" t="s">
        <v>143</v>
      </c>
      <c r="H1234" s="9" t="s">
        <v>144</v>
      </c>
      <c r="I1234" s="0" t="s">
        <v>28</v>
      </c>
      <c r="J1234" s="9" t="s">
        <v>29</v>
      </c>
      <c r="K1234" s="9" t="s">
        <v>30</v>
      </c>
      <c r="L1234" s="9" t="s">
        <v>31</v>
      </c>
      <c r="M1234" s="0" t="s">
        <v>140</v>
      </c>
      <c r="N1234" s="0" t="n">
        <v>1031</v>
      </c>
      <c r="O1234" s="10" t="n">
        <v>0.969374179141596</v>
      </c>
      <c r="P1234" s="10" t="n">
        <v>0.164609884377569</v>
      </c>
      <c r="Q1234" s="0" t="str">
        <f aca="false">SUBSTITUTE(SUBSTITUTE($I1234,CHAR(61),""),CHAR(34),"")</f>
        <v>&lt;01</v>
      </c>
      <c r="R1234" s="0" t="str">
        <f aca="false">IF($D1234&lt;&gt;"","["&amp;$E1234&amp;"]"&amp;"|"&amp;$Q1234&amp;"|"&amp;$K1234&amp;"|"&amp;$G1234&amp;"|"&amp;IF($G1234="TX_CURR_SUBNAT.R","CY2022Q4",$M1234),"")</f>
        <v>[ScR9iFKAasW]|&lt;01|Female|PLHIV_Residents.T_1|CY2023Q3</v>
      </c>
    </row>
    <row r="1235" customFormat="false" ht="15" hidden="false" customHeight="false" outlineLevel="0" collapsed="false">
      <c r="D1235" s="9" t="s">
        <v>66</v>
      </c>
      <c r="E1235" s="9" t="s">
        <v>67</v>
      </c>
      <c r="F1235" s="9" t="s">
        <v>68</v>
      </c>
      <c r="G1235" s="9" t="s">
        <v>143</v>
      </c>
      <c r="H1235" s="9" t="s">
        <v>144</v>
      </c>
      <c r="I1235" s="0" t="s">
        <v>33</v>
      </c>
      <c r="J1235" s="9" t="s">
        <v>34</v>
      </c>
      <c r="K1235" s="9" t="s">
        <v>30</v>
      </c>
      <c r="L1235" s="9" t="s">
        <v>31</v>
      </c>
      <c r="M1235" s="0" t="s">
        <v>140</v>
      </c>
      <c r="N1235" s="0" t="n">
        <v>679</v>
      </c>
      <c r="O1235" s="10" t="n">
        <v>0.335285282460973</v>
      </c>
      <c r="P1235" s="10" t="n">
        <v>0.164609884377569</v>
      </c>
      <c r="Q1235" s="0" t="str">
        <f aca="false">SUBSTITUTE(SUBSTITUTE($I1235,CHAR(61),""),CHAR(34),"")</f>
        <v>01-09</v>
      </c>
      <c r="R1235" s="0" t="str">
        <f aca="false">IF($D1235&lt;&gt;"","["&amp;$E1235&amp;"]"&amp;"|"&amp;$Q1235&amp;"|"&amp;$K1235&amp;"|"&amp;$G1235&amp;"|"&amp;IF($G1235="TX_CURR_SUBNAT.R","CY2022Q4",$M1235),"")</f>
        <v>[ScR9iFKAasW]|01-09|Female|PLHIV_Residents.T_1|CY2023Q3</v>
      </c>
    </row>
    <row r="1236" customFormat="false" ht="15" hidden="false" customHeight="false" outlineLevel="0" collapsed="false">
      <c r="D1236" s="9" t="s">
        <v>66</v>
      </c>
      <c r="E1236" s="9" t="s">
        <v>67</v>
      </c>
      <c r="F1236" s="9" t="s">
        <v>68</v>
      </c>
      <c r="G1236" s="9" t="s">
        <v>143</v>
      </c>
      <c r="H1236" s="9" t="s">
        <v>144</v>
      </c>
      <c r="I1236" s="0" t="s">
        <v>36</v>
      </c>
      <c r="J1236" s="9" t="s">
        <v>37</v>
      </c>
      <c r="K1236" s="9" t="s">
        <v>30</v>
      </c>
      <c r="L1236" s="9" t="s">
        <v>31</v>
      </c>
      <c r="M1236" s="0" t="s">
        <v>140</v>
      </c>
      <c r="N1236" s="0" t="n">
        <v>1763</v>
      </c>
      <c r="O1236" s="10" t="n">
        <v>0.538857094943523</v>
      </c>
      <c r="P1236" s="10" t="n">
        <v>0.164609884377569</v>
      </c>
      <c r="Q1236" s="0" t="str">
        <f aca="false">SUBSTITUTE(SUBSTITUTE($I1236,CHAR(61),""),CHAR(34),"")</f>
        <v>10-14</v>
      </c>
      <c r="R1236" s="0" t="str">
        <f aca="false">IF($D1236&lt;&gt;"","["&amp;$E1236&amp;"]"&amp;"|"&amp;$Q1236&amp;"|"&amp;$K1236&amp;"|"&amp;$G1236&amp;"|"&amp;IF($G1236="TX_CURR_SUBNAT.R","CY2022Q4",$M1236),"")</f>
        <v>[ScR9iFKAasW]|10-14|Female|PLHIV_Residents.T_1|CY2023Q3</v>
      </c>
    </row>
    <row r="1237" customFormat="false" ht="15" hidden="false" customHeight="false" outlineLevel="0" collapsed="false">
      <c r="D1237" s="9" t="s">
        <v>66</v>
      </c>
      <c r="E1237" s="9" t="s">
        <v>67</v>
      </c>
      <c r="F1237" s="9" t="s">
        <v>68</v>
      </c>
      <c r="G1237" s="9" t="s">
        <v>143</v>
      </c>
      <c r="H1237" s="9" t="s">
        <v>144</v>
      </c>
      <c r="I1237" s="0" t="s">
        <v>38</v>
      </c>
      <c r="J1237" s="9" t="s">
        <v>39</v>
      </c>
      <c r="K1237" s="9" t="s">
        <v>30</v>
      </c>
      <c r="L1237" s="9" t="s">
        <v>31</v>
      </c>
      <c r="M1237" s="0" t="s">
        <v>140</v>
      </c>
      <c r="N1237" s="0" t="n">
        <v>659</v>
      </c>
      <c r="O1237" s="10" t="n">
        <v>0.92151240259409</v>
      </c>
      <c r="P1237" s="10" t="n">
        <v>0.164609884377569</v>
      </c>
      <c r="Q1237" s="0" t="str">
        <f aca="false">SUBSTITUTE(SUBSTITUTE($I1237,CHAR(61),""),CHAR(34),"")</f>
        <v>15-24</v>
      </c>
      <c r="R1237" s="0" t="str">
        <f aca="false">IF($D1237&lt;&gt;"","["&amp;$E1237&amp;"]"&amp;"|"&amp;$Q1237&amp;"|"&amp;$K1237&amp;"|"&amp;$G1237&amp;"|"&amp;IF($G1237="TX_CURR_SUBNAT.R","CY2022Q4",$M1237),"")</f>
        <v>[ScR9iFKAasW]|15-24|Female|PLHIV_Residents.T_1|CY2023Q3</v>
      </c>
    </row>
    <row r="1238" customFormat="false" ht="15" hidden="false" customHeight="false" outlineLevel="0" collapsed="false">
      <c r="D1238" s="9" t="s">
        <v>66</v>
      </c>
      <c r="E1238" s="9" t="s">
        <v>67</v>
      </c>
      <c r="F1238" s="9" t="s">
        <v>68</v>
      </c>
      <c r="G1238" s="9" t="s">
        <v>143</v>
      </c>
      <c r="H1238" s="9" t="s">
        <v>144</v>
      </c>
      <c r="I1238" s="0" t="s">
        <v>41</v>
      </c>
      <c r="J1238" s="9" t="s">
        <v>42</v>
      </c>
      <c r="K1238" s="9" t="s">
        <v>30</v>
      </c>
      <c r="L1238" s="9" t="s">
        <v>31</v>
      </c>
      <c r="M1238" s="0" t="s">
        <v>140</v>
      </c>
      <c r="N1238" s="0" t="n">
        <v>1117</v>
      </c>
      <c r="O1238" s="10" t="n">
        <v>0.134483136702329</v>
      </c>
      <c r="P1238" s="10" t="n">
        <v>0.164609884377569</v>
      </c>
      <c r="Q1238" s="0" t="str">
        <f aca="false">SUBSTITUTE(SUBSTITUTE($I1238,CHAR(61),""),CHAR(34),"")</f>
        <v>25-34</v>
      </c>
      <c r="R1238" s="0" t="str">
        <f aca="false">IF($D1238&lt;&gt;"","["&amp;$E1238&amp;"]"&amp;"|"&amp;$Q1238&amp;"|"&amp;$K1238&amp;"|"&amp;$G1238&amp;"|"&amp;IF($G1238="TX_CURR_SUBNAT.R","CY2022Q4",$M1238),"")</f>
        <v>[ScR9iFKAasW]|25-34|Female|PLHIV_Residents.T_1|CY2023Q3</v>
      </c>
    </row>
    <row r="1239" customFormat="false" ht="15" hidden="false" customHeight="false" outlineLevel="0" collapsed="false">
      <c r="D1239" s="9" t="s">
        <v>66</v>
      </c>
      <c r="E1239" s="9" t="s">
        <v>67</v>
      </c>
      <c r="F1239" s="9" t="s">
        <v>68</v>
      </c>
      <c r="G1239" s="9" t="s">
        <v>143</v>
      </c>
      <c r="H1239" s="9" t="s">
        <v>144</v>
      </c>
      <c r="I1239" s="0" t="s">
        <v>43</v>
      </c>
      <c r="J1239" s="9" t="s">
        <v>44</v>
      </c>
      <c r="K1239" s="9" t="s">
        <v>30</v>
      </c>
      <c r="L1239" s="9" t="s">
        <v>31</v>
      </c>
      <c r="M1239" s="0" t="s">
        <v>140</v>
      </c>
      <c r="N1239" s="0" t="n">
        <v>1674</v>
      </c>
      <c r="O1239" s="10" t="n">
        <v>0.194375407183543</v>
      </c>
      <c r="P1239" s="10" t="n">
        <v>0.164609884377569</v>
      </c>
      <c r="Q1239" s="0" t="str">
        <f aca="false">SUBSTITUTE(SUBSTITUTE($I1239,CHAR(61),""),CHAR(34),"")</f>
        <v>35-49</v>
      </c>
      <c r="R1239" s="0" t="str">
        <f aca="false">IF($D1239&lt;&gt;"","["&amp;$E1239&amp;"]"&amp;"|"&amp;$Q1239&amp;"|"&amp;$K1239&amp;"|"&amp;$G1239&amp;"|"&amp;IF($G1239="TX_CURR_SUBNAT.R","CY2022Q4",$M1239),"")</f>
        <v>[ScR9iFKAasW]|35-49|Female|PLHIV_Residents.T_1|CY2023Q3</v>
      </c>
    </row>
    <row r="1240" customFormat="false" ht="15" hidden="false" customHeight="false" outlineLevel="0" collapsed="false">
      <c r="D1240" s="9" t="s">
        <v>66</v>
      </c>
      <c r="E1240" s="9" t="s">
        <v>67</v>
      </c>
      <c r="F1240" s="9" t="s">
        <v>68</v>
      </c>
      <c r="G1240" s="9" t="s">
        <v>143</v>
      </c>
      <c r="H1240" s="9" t="s">
        <v>144</v>
      </c>
      <c r="I1240" s="0" t="s">
        <v>45</v>
      </c>
      <c r="J1240" s="9" t="s">
        <v>46</v>
      </c>
      <c r="K1240" s="9" t="s">
        <v>30</v>
      </c>
      <c r="L1240" s="9" t="s">
        <v>31</v>
      </c>
      <c r="M1240" s="0" t="s">
        <v>140</v>
      </c>
      <c r="N1240" s="0" t="n">
        <v>743</v>
      </c>
      <c r="O1240" s="10" t="n">
        <v>0.248670918866992</v>
      </c>
      <c r="P1240" s="10" t="n">
        <v>0.164609884377569</v>
      </c>
      <c r="Q1240" s="0" t="str">
        <f aca="false">SUBSTITUTE(SUBSTITUTE($I1240,CHAR(61),""),CHAR(34),"")</f>
        <v>50+</v>
      </c>
      <c r="R1240" s="0" t="str">
        <f aca="false">IF($D1240&lt;&gt;"","["&amp;$E1240&amp;"]"&amp;"|"&amp;$Q1240&amp;"|"&amp;$K1240&amp;"|"&amp;$G1240&amp;"|"&amp;IF($G1240="TX_CURR_SUBNAT.R","CY2022Q4",$M1240),"")</f>
        <v>[ScR9iFKAasW]|50+|Female|PLHIV_Residents.T_1|CY2023Q3</v>
      </c>
    </row>
    <row r="1241" customFormat="false" ht="15" hidden="false" customHeight="false" outlineLevel="0" collapsed="false">
      <c r="D1241" s="9" t="s">
        <v>66</v>
      </c>
      <c r="E1241" s="9" t="s">
        <v>67</v>
      </c>
      <c r="F1241" s="9" t="s">
        <v>68</v>
      </c>
      <c r="G1241" s="9" t="s">
        <v>143</v>
      </c>
      <c r="H1241" s="9" t="s">
        <v>144</v>
      </c>
      <c r="I1241" s="0" t="s">
        <v>28</v>
      </c>
      <c r="J1241" s="9" t="s">
        <v>29</v>
      </c>
      <c r="K1241" s="9" t="s">
        <v>48</v>
      </c>
      <c r="L1241" s="9" t="s">
        <v>49</v>
      </c>
      <c r="M1241" s="0" t="s">
        <v>140</v>
      </c>
      <c r="N1241" s="0" t="n">
        <v>536</v>
      </c>
      <c r="O1241" s="10" t="n">
        <v>0.691951366374269</v>
      </c>
      <c r="P1241" s="10" t="n">
        <v>0.164609884377569</v>
      </c>
      <c r="Q1241" s="0" t="str">
        <f aca="false">SUBSTITUTE(SUBSTITUTE($I1241,CHAR(61),""),CHAR(34),"")</f>
        <v>&lt;01</v>
      </c>
      <c r="R1241" s="0" t="str">
        <f aca="false">IF($D1241&lt;&gt;"","["&amp;$E1241&amp;"]"&amp;"|"&amp;$Q1241&amp;"|"&amp;$K1241&amp;"|"&amp;$G1241&amp;"|"&amp;IF($G1241="TX_CURR_SUBNAT.R","CY2022Q4",$M1241),"")</f>
        <v>[ScR9iFKAasW]|&lt;01|Male|PLHIV_Residents.T_1|CY2023Q3</v>
      </c>
    </row>
    <row r="1242" customFormat="false" ht="15" hidden="false" customHeight="false" outlineLevel="0" collapsed="false">
      <c r="D1242" s="9" t="s">
        <v>66</v>
      </c>
      <c r="E1242" s="9" t="s">
        <v>67</v>
      </c>
      <c r="F1242" s="9" t="s">
        <v>68</v>
      </c>
      <c r="G1242" s="9" t="s">
        <v>143</v>
      </c>
      <c r="H1242" s="9" t="s">
        <v>144</v>
      </c>
      <c r="I1242" s="0" t="s">
        <v>33</v>
      </c>
      <c r="J1242" s="9" t="s">
        <v>34</v>
      </c>
      <c r="K1242" s="9" t="s">
        <v>48</v>
      </c>
      <c r="L1242" s="9" t="s">
        <v>49</v>
      </c>
      <c r="M1242" s="0" t="s">
        <v>140</v>
      </c>
      <c r="N1242" s="0" t="n">
        <v>1171</v>
      </c>
      <c r="O1242" s="10" t="n">
        <v>0.901476290076971</v>
      </c>
      <c r="P1242" s="10" t="n">
        <v>0.164609884377569</v>
      </c>
      <c r="Q1242" s="0" t="str">
        <f aca="false">SUBSTITUTE(SUBSTITUTE($I1242,CHAR(61),""),CHAR(34),"")</f>
        <v>01-09</v>
      </c>
      <c r="R1242" s="0" t="str">
        <f aca="false">IF($D1242&lt;&gt;"","["&amp;$E1242&amp;"]"&amp;"|"&amp;$Q1242&amp;"|"&amp;$K1242&amp;"|"&amp;$G1242&amp;"|"&amp;IF($G1242="TX_CURR_SUBNAT.R","CY2022Q4",$M1242),"")</f>
        <v>[ScR9iFKAasW]|01-09|Male|PLHIV_Residents.T_1|CY2023Q3</v>
      </c>
    </row>
    <row r="1243" customFormat="false" ht="15" hidden="false" customHeight="false" outlineLevel="0" collapsed="false">
      <c r="D1243" s="9" t="s">
        <v>66</v>
      </c>
      <c r="E1243" s="9" t="s">
        <v>67</v>
      </c>
      <c r="F1243" s="9" t="s">
        <v>68</v>
      </c>
      <c r="G1243" s="9" t="s">
        <v>143</v>
      </c>
      <c r="H1243" s="9" t="s">
        <v>144</v>
      </c>
      <c r="I1243" s="0" t="s">
        <v>36</v>
      </c>
      <c r="J1243" s="9" t="s">
        <v>37</v>
      </c>
      <c r="K1243" s="9" t="s">
        <v>48</v>
      </c>
      <c r="L1243" s="9" t="s">
        <v>49</v>
      </c>
      <c r="M1243" s="0" t="s">
        <v>140</v>
      </c>
      <c r="N1243" s="0" t="n">
        <v>1418</v>
      </c>
      <c r="O1243" s="10" t="n">
        <v>0.0061622909270227</v>
      </c>
      <c r="P1243" s="10" t="n">
        <v>0.164609884377569</v>
      </c>
      <c r="Q1243" s="0" t="str">
        <f aca="false">SUBSTITUTE(SUBSTITUTE($I1243,CHAR(61),""),CHAR(34),"")</f>
        <v>10-14</v>
      </c>
      <c r="R1243" s="0" t="str">
        <f aca="false">IF($D1243&lt;&gt;"","["&amp;$E1243&amp;"]"&amp;"|"&amp;$Q1243&amp;"|"&amp;$K1243&amp;"|"&amp;$G1243&amp;"|"&amp;IF($G1243="TX_CURR_SUBNAT.R","CY2022Q4",$M1243),"")</f>
        <v>[ScR9iFKAasW]|10-14|Male|PLHIV_Residents.T_1|CY2023Q3</v>
      </c>
    </row>
    <row r="1244" customFormat="false" ht="15" hidden="false" customHeight="false" outlineLevel="0" collapsed="false">
      <c r="D1244" s="9" t="s">
        <v>66</v>
      </c>
      <c r="E1244" s="9" t="s">
        <v>67</v>
      </c>
      <c r="F1244" s="9" t="s">
        <v>68</v>
      </c>
      <c r="G1244" s="9" t="s">
        <v>143</v>
      </c>
      <c r="H1244" s="9" t="s">
        <v>144</v>
      </c>
      <c r="I1244" s="0" t="s">
        <v>38</v>
      </c>
      <c r="J1244" s="9" t="s">
        <v>39</v>
      </c>
      <c r="K1244" s="9" t="s">
        <v>48</v>
      </c>
      <c r="L1244" s="9" t="s">
        <v>49</v>
      </c>
      <c r="M1244" s="0" t="s">
        <v>140</v>
      </c>
      <c r="N1244" s="0" t="n">
        <v>1441</v>
      </c>
      <c r="O1244" s="10" t="n">
        <v>0.340438962681219</v>
      </c>
      <c r="P1244" s="10" t="n">
        <v>0.164609884377569</v>
      </c>
      <c r="Q1244" s="0" t="str">
        <f aca="false">SUBSTITUTE(SUBSTITUTE($I1244,CHAR(61),""),CHAR(34),"")</f>
        <v>15-24</v>
      </c>
      <c r="R1244" s="0" t="str">
        <f aca="false">IF($D1244&lt;&gt;"","["&amp;$E1244&amp;"]"&amp;"|"&amp;$Q1244&amp;"|"&amp;$K1244&amp;"|"&amp;$G1244&amp;"|"&amp;IF($G1244="TX_CURR_SUBNAT.R","CY2022Q4",$M1244),"")</f>
        <v>[ScR9iFKAasW]|15-24|Male|PLHIV_Residents.T_1|CY2023Q3</v>
      </c>
    </row>
    <row r="1245" customFormat="false" ht="15" hidden="false" customHeight="false" outlineLevel="0" collapsed="false">
      <c r="D1245" s="9" t="s">
        <v>66</v>
      </c>
      <c r="E1245" s="9" t="s">
        <v>67</v>
      </c>
      <c r="F1245" s="9" t="s">
        <v>68</v>
      </c>
      <c r="G1245" s="9" t="s">
        <v>143</v>
      </c>
      <c r="H1245" s="9" t="s">
        <v>144</v>
      </c>
      <c r="I1245" s="0" t="s">
        <v>41</v>
      </c>
      <c r="J1245" s="9" t="s">
        <v>42</v>
      </c>
      <c r="K1245" s="9" t="s">
        <v>48</v>
      </c>
      <c r="L1245" s="9" t="s">
        <v>49</v>
      </c>
      <c r="M1245" s="0" t="s">
        <v>140</v>
      </c>
      <c r="N1245" s="0" t="n">
        <v>1919</v>
      </c>
      <c r="O1245" s="10" t="n">
        <v>0.772896399255842</v>
      </c>
      <c r="P1245" s="10" t="n">
        <v>0.164609884377569</v>
      </c>
      <c r="Q1245" s="0" t="str">
        <f aca="false">SUBSTITUTE(SUBSTITUTE($I1245,CHAR(61),""),CHAR(34),"")</f>
        <v>25-34</v>
      </c>
      <c r="R1245" s="0" t="str">
        <f aca="false">IF($D1245&lt;&gt;"","["&amp;$E1245&amp;"]"&amp;"|"&amp;$Q1245&amp;"|"&amp;$K1245&amp;"|"&amp;$G1245&amp;"|"&amp;IF($G1245="TX_CURR_SUBNAT.R","CY2022Q4",$M1245),"")</f>
        <v>[ScR9iFKAasW]|25-34|Male|PLHIV_Residents.T_1|CY2023Q3</v>
      </c>
    </row>
    <row r="1246" customFormat="false" ht="15" hidden="false" customHeight="false" outlineLevel="0" collapsed="false">
      <c r="D1246" s="9" t="s">
        <v>66</v>
      </c>
      <c r="E1246" s="9" t="s">
        <v>67</v>
      </c>
      <c r="F1246" s="9" t="s">
        <v>68</v>
      </c>
      <c r="G1246" s="9" t="s">
        <v>143</v>
      </c>
      <c r="H1246" s="9" t="s">
        <v>144</v>
      </c>
      <c r="I1246" s="0" t="s">
        <v>43</v>
      </c>
      <c r="J1246" s="9" t="s">
        <v>44</v>
      </c>
      <c r="K1246" s="9" t="s">
        <v>48</v>
      </c>
      <c r="L1246" s="9" t="s">
        <v>49</v>
      </c>
      <c r="M1246" s="0" t="s">
        <v>140</v>
      </c>
      <c r="N1246" s="0" t="n">
        <v>1333</v>
      </c>
      <c r="O1246" s="10" t="n">
        <v>0.681352281942964</v>
      </c>
      <c r="P1246" s="10" t="n">
        <v>0.164609884377569</v>
      </c>
      <c r="Q1246" s="0" t="str">
        <f aca="false">SUBSTITUTE(SUBSTITUTE($I1246,CHAR(61),""),CHAR(34),"")</f>
        <v>35-49</v>
      </c>
      <c r="R1246" s="0" t="str">
        <f aca="false">IF($D1246&lt;&gt;"","["&amp;$E1246&amp;"]"&amp;"|"&amp;$Q1246&amp;"|"&amp;$K1246&amp;"|"&amp;$G1246&amp;"|"&amp;IF($G1246="TX_CURR_SUBNAT.R","CY2022Q4",$M1246),"")</f>
        <v>[ScR9iFKAasW]|35-49|Male|PLHIV_Residents.T_1|CY2023Q3</v>
      </c>
    </row>
    <row r="1247" customFormat="false" ht="15" hidden="false" customHeight="false" outlineLevel="0" collapsed="false">
      <c r="D1247" s="9" t="s">
        <v>66</v>
      </c>
      <c r="E1247" s="9" t="s">
        <v>67</v>
      </c>
      <c r="F1247" s="9" t="s">
        <v>68</v>
      </c>
      <c r="G1247" s="9" t="s">
        <v>143</v>
      </c>
      <c r="H1247" s="9" t="s">
        <v>144</v>
      </c>
      <c r="I1247" s="0" t="s">
        <v>45</v>
      </c>
      <c r="J1247" s="9" t="s">
        <v>46</v>
      </c>
      <c r="K1247" s="9" t="s">
        <v>48</v>
      </c>
      <c r="L1247" s="9" t="s">
        <v>49</v>
      </c>
      <c r="M1247" s="0" t="s">
        <v>140</v>
      </c>
      <c r="N1247" s="0" t="n">
        <v>1289</v>
      </c>
      <c r="O1247" s="10" t="n">
        <v>0.542409360408783</v>
      </c>
      <c r="P1247" s="10" t="n">
        <v>0.164609884377569</v>
      </c>
      <c r="Q1247" s="0" t="str">
        <f aca="false">SUBSTITUTE(SUBSTITUTE($I1247,CHAR(61),""),CHAR(34),"")</f>
        <v>50+</v>
      </c>
      <c r="R1247" s="0" t="str">
        <f aca="false">IF($D1247&lt;&gt;"","["&amp;$E1247&amp;"]"&amp;"|"&amp;$Q1247&amp;"|"&amp;$K1247&amp;"|"&amp;$G1247&amp;"|"&amp;IF($G1247="TX_CURR_SUBNAT.R","CY2022Q4",$M1247),"")</f>
        <v>[ScR9iFKAasW]|50+|Male|PLHIV_Residents.T_1|CY2023Q3</v>
      </c>
    </row>
    <row r="1248" customFormat="false" ht="15" hidden="false" customHeight="false" outlineLevel="0" collapsed="false">
      <c r="D1248" s="9" t="s">
        <v>69</v>
      </c>
      <c r="E1248" s="9" t="s">
        <v>70</v>
      </c>
      <c r="F1248" s="9" t="s">
        <v>71</v>
      </c>
      <c r="G1248" s="9" t="s">
        <v>143</v>
      </c>
      <c r="H1248" s="9" t="s">
        <v>144</v>
      </c>
      <c r="I1248" s="0" t="s">
        <v>28</v>
      </c>
      <c r="J1248" s="9" t="s">
        <v>29</v>
      </c>
      <c r="K1248" s="9" t="s">
        <v>30</v>
      </c>
      <c r="L1248" s="9" t="s">
        <v>31</v>
      </c>
      <c r="M1248" s="0" t="s">
        <v>140</v>
      </c>
      <c r="N1248" s="0" t="n">
        <v>1518</v>
      </c>
      <c r="O1248" s="10" t="n">
        <v>0.926008359529078</v>
      </c>
      <c r="P1248" s="10" t="n">
        <v>0.198817263124511</v>
      </c>
      <c r="Q1248" s="0" t="str">
        <f aca="false">SUBSTITUTE(SUBSTITUTE($I1248,CHAR(61),""),CHAR(34),"")</f>
        <v>&lt;01</v>
      </c>
      <c r="R1248" s="0" t="str">
        <f aca="false">IF($D1248&lt;&gt;"","["&amp;$E1248&amp;"]"&amp;"|"&amp;$Q1248&amp;"|"&amp;$K1248&amp;"|"&amp;$G1248&amp;"|"&amp;IF($G1248="TX_CURR_SUBNAT.R","CY2022Q4",$M1248),"")</f>
        <v>[PekKUkKHAzY]|&lt;01|Female|PLHIV_Residents.T_1|CY2023Q3</v>
      </c>
    </row>
    <row r="1249" customFormat="false" ht="15" hidden="false" customHeight="false" outlineLevel="0" collapsed="false">
      <c r="D1249" s="9" t="s">
        <v>69</v>
      </c>
      <c r="E1249" s="9" t="s">
        <v>70</v>
      </c>
      <c r="F1249" s="9" t="s">
        <v>71</v>
      </c>
      <c r="G1249" s="9" t="s">
        <v>143</v>
      </c>
      <c r="H1249" s="9" t="s">
        <v>144</v>
      </c>
      <c r="I1249" s="0" t="s">
        <v>33</v>
      </c>
      <c r="J1249" s="9" t="s">
        <v>34</v>
      </c>
      <c r="K1249" s="9" t="s">
        <v>30</v>
      </c>
      <c r="L1249" s="9" t="s">
        <v>31</v>
      </c>
      <c r="M1249" s="0" t="s">
        <v>140</v>
      </c>
      <c r="N1249" s="0" t="n">
        <v>921</v>
      </c>
      <c r="O1249" s="10" t="n">
        <v>0.580096814548597</v>
      </c>
      <c r="P1249" s="10" t="n">
        <v>0.198817263124511</v>
      </c>
      <c r="Q1249" s="0" t="str">
        <f aca="false">SUBSTITUTE(SUBSTITUTE($I1249,CHAR(61),""),CHAR(34),"")</f>
        <v>01-09</v>
      </c>
      <c r="R1249" s="0" t="str">
        <f aca="false">IF($D1249&lt;&gt;"","["&amp;$E1249&amp;"]"&amp;"|"&amp;$Q1249&amp;"|"&amp;$K1249&amp;"|"&amp;$G1249&amp;"|"&amp;IF($G1249="TX_CURR_SUBNAT.R","CY2022Q4",$M1249),"")</f>
        <v>[PekKUkKHAzY]|01-09|Female|PLHIV_Residents.T_1|CY2023Q3</v>
      </c>
    </row>
    <row r="1250" customFormat="false" ht="15" hidden="false" customHeight="false" outlineLevel="0" collapsed="false">
      <c r="D1250" s="9" t="s">
        <v>69</v>
      </c>
      <c r="E1250" s="9" t="s">
        <v>70</v>
      </c>
      <c r="F1250" s="9" t="s">
        <v>71</v>
      </c>
      <c r="G1250" s="9" t="s">
        <v>143</v>
      </c>
      <c r="H1250" s="9" t="s">
        <v>144</v>
      </c>
      <c r="I1250" s="0" t="s">
        <v>36</v>
      </c>
      <c r="J1250" s="9" t="s">
        <v>37</v>
      </c>
      <c r="K1250" s="9" t="s">
        <v>30</v>
      </c>
      <c r="L1250" s="9" t="s">
        <v>31</v>
      </c>
      <c r="M1250" s="0" t="s">
        <v>140</v>
      </c>
      <c r="N1250" s="0" t="n">
        <v>977</v>
      </c>
      <c r="O1250" s="10" t="n">
        <v>0.961946964962408</v>
      </c>
      <c r="P1250" s="10" t="n">
        <v>0.198817263124511</v>
      </c>
      <c r="Q1250" s="0" t="str">
        <f aca="false">SUBSTITUTE(SUBSTITUTE($I1250,CHAR(61),""),CHAR(34),"")</f>
        <v>10-14</v>
      </c>
      <c r="R1250" s="0" t="str">
        <f aca="false">IF($D1250&lt;&gt;"","["&amp;$E1250&amp;"]"&amp;"|"&amp;$Q1250&amp;"|"&amp;$K1250&amp;"|"&amp;$G1250&amp;"|"&amp;IF($G1250="TX_CURR_SUBNAT.R","CY2022Q4",$M1250),"")</f>
        <v>[PekKUkKHAzY]|10-14|Female|PLHIV_Residents.T_1|CY2023Q3</v>
      </c>
    </row>
    <row r="1251" customFormat="false" ht="15" hidden="false" customHeight="false" outlineLevel="0" collapsed="false">
      <c r="D1251" s="9" t="s">
        <v>69</v>
      </c>
      <c r="E1251" s="9" t="s">
        <v>70</v>
      </c>
      <c r="F1251" s="9" t="s">
        <v>71</v>
      </c>
      <c r="G1251" s="9" t="s">
        <v>143</v>
      </c>
      <c r="H1251" s="9" t="s">
        <v>144</v>
      </c>
      <c r="I1251" s="0" t="s">
        <v>38</v>
      </c>
      <c r="J1251" s="9" t="s">
        <v>39</v>
      </c>
      <c r="K1251" s="9" t="s">
        <v>30</v>
      </c>
      <c r="L1251" s="9" t="s">
        <v>31</v>
      </c>
      <c r="M1251" s="0" t="s">
        <v>140</v>
      </c>
      <c r="N1251" s="0" t="n">
        <v>1333</v>
      </c>
      <c r="O1251" s="10" t="n">
        <v>0.613864744082093</v>
      </c>
      <c r="P1251" s="10" t="n">
        <v>0.198817263124511</v>
      </c>
      <c r="Q1251" s="0" t="str">
        <f aca="false">SUBSTITUTE(SUBSTITUTE($I1251,CHAR(61),""),CHAR(34),"")</f>
        <v>15-24</v>
      </c>
      <c r="R1251" s="0" t="str">
        <f aca="false">IF($D1251&lt;&gt;"","["&amp;$E1251&amp;"]"&amp;"|"&amp;$Q1251&amp;"|"&amp;$K1251&amp;"|"&amp;$G1251&amp;"|"&amp;IF($G1251="TX_CURR_SUBNAT.R","CY2022Q4",$M1251),"")</f>
        <v>[PekKUkKHAzY]|15-24|Female|PLHIV_Residents.T_1|CY2023Q3</v>
      </c>
    </row>
    <row r="1252" customFormat="false" ht="15" hidden="false" customHeight="false" outlineLevel="0" collapsed="false">
      <c r="D1252" s="9" t="s">
        <v>69</v>
      </c>
      <c r="E1252" s="9" t="s">
        <v>70</v>
      </c>
      <c r="F1252" s="9" t="s">
        <v>71</v>
      </c>
      <c r="G1252" s="9" t="s">
        <v>143</v>
      </c>
      <c r="H1252" s="9" t="s">
        <v>144</v>
      </c>
      <c r="I1252" s="0" t="s">
        <v>41</v>
      </c>
      <c r="J1252" s="9" t="s">
        <v>42</v>
      </c>
      <c r="K1252" s="9" t="s">
        <v>30</v>
      </c>
      <c r="L1252" s="9" t="s">
        <v>31</v>
      </c>
      <c r="M1252" s="0" t="s">
        <v>140</v>
      </c>
      <c r="N1252" s="0" t="n">
        <v>1900</v>
      </c>
      <c r="O1252" s="10" t="n">
        <v>0.418248421745375</v>
      </c>
      <c r="P1252" s="10" t="n">
        <v>0.198817263124511</v>
      </c>
      <c r="Q1252" s="0" t="str">
        <f aca="false">SUBSTITUTE(SUBSTITUTE($I1252,CHAR(61),""),CHAR(34),"")</f>
        <v>25-34</v>
      </c>
      <c r="R1252" s="0" t="str">
        <f aca="false">IF($D1252&lt;&gt;"","["&amp;$E1252&amp;"]"&amp;"|"&amp;$Q1252&amp;"|"&amp;$K1252&amp;"|"&amp;$G1252&amp;"|"&amp;IF($G1252="TX_CURR_SUBNAT.R","CY2022Q4",$M1252),"")</f>
        <v>[PekKUkKHAzY]|25-34|Female|PLHIV_Residents.T_1|CY2023Q3</v>
      </c>
    </row>
    <row r="1253" customFormat="false" ht="15" hidden="false" customHeight="false" outlineLevel="0" collapsed="false">
      <c r="D1253" s="9" t="s">
        <v>69</v>
      </c>
      <c r="E1253" s="9" t="s">
        <v>70</v>
      </c>
      <c r="F1253" s="9" t="s">
        <v>71</v>
      </c>
      <c r="G1253" s="9" t="s">
        <v>143</v>
      </c>
      <c r="H1253" s="9" t="s">
        <v>144</v>
      </c>
      <c r="I1253" s="0" t="s">
        <v>43</v>
      </c>
      <c r="J1253" s="9" t="s">
        <v>44</v>
      </c>
      <c r="K1253" s="9" t="s">
        <v>30</v>
      </c>
      <c r="L1253" s="9" t="s">
        <v>31</v>
      </c>
      <c r="M1253" s="0" t="s">
        <v>140</v>
      </c>
      <c r="N1253" s="0" t="n">
        <v>1532</v>
      </c>
      <c r="O1253" s="10" t="n">
        <v>0.491963593289256</v>
      </c>
      <c r="P1253" s="10" t="n">
        <v>0.198817263124511</v>
      </c>
      <c r="Q1253" s="0" t="str">
        <f aca="false">SUBSTITUTE(SUBSTITUTE($I1253,CHAR(61),""),CHAR(34),"")</f>
        <v>35-49</v>
      </c>
      <c r="R1253" s="0" t="str">
        <f aca="false">IF($D1253&lt;&gt;"","["&amp;$E1253&amp;"]"&amp;"|"&amp;$Q1253&amp;"|"&amp;$K1253&amp;"|"&amp;$G1253&amp;"|"&amp;IF($G1253="TX_CURR_SUBNAT.R","CY2022Q4",$M1253),"")</f>
        <v>[PekKUkKHAzY]|35-49|Female|PLHIV_Residents.T_1|CY2023Q3</v>
      </c>
    </row>
    <row r="1254" customFormat="false" ht="15" hidden="false" customHeight="false" outlineLevel="0" collapsed="false">
      <c r="D1254" s="9" t="s">
        <v>69</v>
      </c>
      <c r="E1254" s="9" t="s">
        <v>70</v>
      </c>
      <c r="F1254" s="9" t="s">
        <v>71</v>
      </c>
      <c r="G1254" s="9" t="s">
        <v>143</v>
      </c>
      <c r="H1254" s="9" t="s">
        <v>144</v>
      </c>
      <c r="I1254" s="0" t="s">
        <v>45</v>
      </c>
      <c r="J1254" s="9" t="s">
        <v>46</v>
      </c>
      <c r="K1254" s="9" t="s">
        <v>30</v>
      </c>
      <c r="L1254" s="9" t="s">
        <v>31</v>
      </c>
      <c r="M1254" s="0" t="s">
        <v>140</v>
      </c>
      <c r="N1254" s="0" t="n">
        <v>588</v>
      </c>
      <c r="O1254" s="10" t="n">
        <v>0.367918714648113</v>
      </c>
      <c r="P1254" s="10" t="n">
        <v>0.198817263124511</v>
      </c>
      <c r="Q1254" s="0" t="str">
        <f aca="false">SUBSTITUTE(SUBSTITUTE($I1254,CHAR(61),""),CHAR(34),"")</f>
        <v>50+</v>
      </c>
      <c r="R1254" s="0" t="str">
        <f aca="false">IF($D1254&lt;&gt;"","["&amp;$E1254&amp;"]"&amp;"|"&amp;$Q1254&amp;"|"&amp;$K1254&amp;"|"&amp;$G1254&amp;"|"&amp;IF($G1254="TX_CURR_SUBNAT.R","CY2022Q4",$M1254),"")</f>
        <v>[PekKUkKHAzY]|50+|Female|PLHIV_Residents.T_1|CY2023Q3</v>
      </c>
    </row>
    <row r="1255" customFormat="false" ht="15" hidden="false" customHeight="false" outlineLevel="0" collapsed="false">
      <c r="D1255" s="9" t="s">
        <v>69</v>
      </c>
      <c r="E1255" s="9" t="s">
        <v>70</v>
      </c>
      <c r="F1255" s="9" t="s">
        <v>71</v>
      </c>
      <c r="G1255" s="9" t="s">
        <v>143</v>
      </c>
      <c r="H1255" s="9" t="s">
        <v>144</v>
      </c>
      <c r="I1255" s="0" t="s">
        <v>28</v>
      </c>
      <c r="J1255" s="9" t="s">
        <v>29</v>
      </c>
      <c r="K1255" s="9" t="s">
        <v>48</v>
      </c>
      <c r="L1255" s="9" t="s">
        <v>49</v>
      </c>
      <c r="M1255" s="0" t="s">
        <v>140</v>
      </c>
      <c r="N1255" s="0" t="n">
        <v>1571</v>
      </c>
      <c r="O1255" s="10" t="n">
        <v>0.25250162743032</v>
      </c>
      <c r="P1255" s="10" t="n">
        <v>0.198817263124511</v>
      </c>
      <c r="Q1255" s="0" t="str">
        <f aca="false">SUBSTITUTE(SUBSTITUTE($I1255,CHAR(61),""),CHAR(34),"")</f>
        <v>&lt;01</v>
      </c>
      <c r="R1255" s="0" t="str">
        <f aca="false">IF($D1255&lt;&gt;"","["&amp;$E1255&amp;"]"&amp;"|"&amp;$Q1255&amp;"|"&amp;$K1255&amp;"|"&amp;$G1255&amp;"|"&amp;IF($G1255="TX_CURR_SUBNAT.R","CY2022Q4",$M1255),"")</f>
        <v>[PekKUkKHAzY]|&lt;01|Male|PLHIV_Residents.T_1|CY2023Q3</v>
      </c>
    </row>
    <row r="1256" customFormat="false" ht="15" hidden="false" customHeight="false" outlineLevel="0" collapsed="false">
      <c r="D1256" s="9" t="s">
        <v>69</v>
      </c>
      <c r="E1256" s="9" t="s">
        <v>70</v>
      </c>
      <c r="F1256" s="9" t="s">
        <v>71</v>
      </c>
      <c r="G1256" s="9" t="s">
        <v>143</v>
      </c>
      <c r="H1256" s="9" t="s">
        <v>144</v>
      </c>
      <c r="I1256" s="0" t="s">
        <v>33</v>
      </c>
      <c r="J1256" s="9" t="s">
        <v>34</v>
      </c>
      <c r="K1256" s="9" t="s">
        <v>48</v>
      </c>
      <c r="L1256" s="9" t="s">
        <v>49</v>
      </c>
      <c r="M1256" s="0" t="s">
        <v>140</v>
      </c>
      <c r="N1256" s="0" t="n">
        <v>641</v>
      </c>
      <c r="O1256" s="10" t="n">
        <v>0.649594829417765</v>
      </c>
      <c r="P1256" s="10" t="n">
        <v>0.198817263124511</v>
      </c>
      <c r="Q1256" s="0" t="str">
        <f aca="false">SUBSTITUTE(SUBSTITUTE($I1256,CHAR(61),""),CHAR(34),"")</f>
        <v>01-09</v>
      </c>
      <c r="R1256" s="0" t="str">
        <f aca="false">IF($D1256&lt;&gt;"","["&amp;$E1256&amp;"]"&amp;"|"&amp;$Q1256&amp;"|"&amp;$K1256&amp;"|"&amp;$G1256&amp;"|"&amp;IF($G1256="TX_CURR_SUBNAT.R","CY2022Q4",$M1256),"")</f>
        <v>[PekKUkKHAzY]|01-09|Male|PLHIV_Residents.T_1|CY2023Q3</v>
      </c>
    </row>
    <row r="1257" customFormat="false" ht="15" hidden="false" customHeight="false" outlineLevel="0" collapsed="false">
      <c r="D1257" s="9" t="s">
        <v>69</v>
      </c>
      <c r="E1257" s="9" t="s">
        <v>70</v>
      </c>
      <c r="F1257" s="9" t="s">
        <v>71</v>
      </c>
      <c r="G1257" s="9" t="s">
        <v>143</v>
      </c>
      <c r="H1257" s="9" t="s">
        <v>144</v>
      </c>
      <c r="I1257" s="0" t="s">
        <v>36</v>
      </c>
      <c r="J1257" s="9" t="s">
        <v>37</v>
      </c>
      <c r="K1257" s="9" t="s">
        <v>48</v>
      </c>
      <c r="L1257" s="9" t="s">
        <v>49</v>
      </c>
      <c r="M1257" s="0" t="s">
        <v>140</v>
      </c>
      <c r="N1257" s="0" t="n">
        <v>1222</v>
      </c>
      <c r="O1257" s="10" t="n">
        <v>0.321374915307388</v>
      </c>
      <c r="P1257" s="10" t="n">
        <v>0.198817263124511</v>
      </c>
      <c r="Q1257" s="0" t="str">
        <f aca="false">SUBSTITUTE(SUBSTITUTE($I1257,CHAR(61),""),CHAR(34),"")</f>
        <v>10-14</v>
      </c>
      <c r="R1257" s="0" t="str">
        <f aca="false">IF($D1257&lt;&gt;"","["&amp;$E1257&amp;"]"&amp;"|"&amp;$Q1257&amp;"|"&amp;$K1257&amp;"|"&amp;$G1257&amp;"|"&amp;IF($G1257="TX_CURR_SUBNAT.R","CY2022Q4",$M1257),"")</f>
        <v>[PekKUkKHAzY]|10-14|Male|PLHIV_Residents.T_1|CY2023Q3</v>
      </c>
    </row>
    <row r="1258" customFormat="false" ht="15" hidden="false" customHeight="false" outlineLevel="0" collapsed="false">
      <c r="D1258" s="9" t="s">
        <v>69</v>
      </c>
      <c r="E1258" s="9" t="s">
        <v>70</v>
      </c>
      <c r="F1258" s="9" t="s">
        <v>71</v>
      </c>
      <c r="G1258" s="9" t="s">
        <v>143</v>
      </c>
      <c r="H1258" s="9" t="s">
        <v>144</v>
      </c>
      <c r="I1258" s="0" t="s">
        <v>38</v>
      </c>
      <c r="J1258" s="9" t="s">
        <v>39</v>
      </c>
      <c r="K1258" s="9" t="s">
        <v>48</v>
      </c>
      <c r="L1258" s="9" t="s">
        <v>49</v>
      </c>
      <c r="M1258" s="0" t="s">
        <v>140</v>
      </c>
      <c r="N1258" s="0" t="n">
        <v>786</v>
      </c>
      <c r="O1258" s="10" t="n">
        <v>0.301724421558902</v>
      </c>
      <c r="P1258" s="10" t="n">
        <v>0.198817263124511</v>
      </c>
      <c r="Q1258" s="0" t="str">
        <f aca="false">SUBSTITUTE(SUBSTITUTE($I1258,CHAR(61),""),CHAR(34),"")</f>
        <v>15-24</v>
      </c>
      <c r="R1258" s="0" t="str">
        <f aca="false">IF($D1258&lt;&gt;"","["&amp;$E1258&amp;"]"&amp;"|"&amp;$Q1258&amp;"|"&amp;$K1258&amp;"|"&amp;$G1258&amp;"|"&amp;IF($G1258="TX_CURR_SUBNAT.R","CY2022Q4",$M1258),"")</f>
        <v>[PekKUkKHAzY]|15-24|Male|PLHIV_Residents.T_1|CY2023Q3</v>
      </c>
    </row>
    <row r="1259" customFormat="false" ht="15" hidden="false" customHeight="false" outlineLevel="0" collapsed="false">
      <c r="D1259" s="9" t="s">
        <v>69</v>
      </c>
      <c r="E1259" s="9" t="s">
        <v>70</v>
      </c>
      <c r="F1259" s="9" t="s">
        <v>71</v>
      </c>
      <c r="G1259" s="9" t="s">
        <v>143</v>
      </c>
      <c r="H1259" s="9" t="s">
        <v>144</v>
      </c>
      <c r="I1259" s="0" t="s">
        <v>41</v>
      </c>
      <c r="J1259" s="9" t="s">
        <v>42</v>
      </c>
      <c r="K1259" s="9" t="s">
        <v>48</v>
      </c>
      <c r="L1259" s="9" t="s">
        <v>49</v>
      </c>
      <c r="M1259" s="0" t="s">
        <v>140</v>
      </c>
      <c r="N1259" s="0" t="n">
        <v>1515</v>
      </c>
      <c r="O1259" s="10" t="n">
        <v>0.542476573726162</v>
      </c>
      <c r="P1259" s="10" t="n">
        <v>0.198817263124511</v>
      </c>
      <c r="Q1259" s="0" t="str">
        <f aca="false">SUBSTITUTE(SUBSTITUTE($I1259,CHAR(61),""),CHAR(34),"")</f>
        <v>25-34</v>
      </c>
      <c r="R1259" s="0" t="str">
        <f aca="false">IF($D1259&lt;&gt;"","["&amp;$E1259&amp;"]"&amp;"|"&amp;$Q1259&amp;"|"&amp;$K1259&amp;"|"&amp;$G1259&amp;"|"&amp;IF($G1259="TX_CURR_SUBNAT.R","CY2022Q4",$M1259),"")</f>
        <v>[PekKUkKHAzY]|25-34|Male|PLHIV_Residents.T_1|CY2023Q3</v>
      </c>
    </row>
    <row r="1260" customFormat="false" ht="15" hidden="false" customHeight="false" outlineLevel="0" collapsed="false">
      <c r="D1260" s="9" t="s">
        <v>69</v>
      </c>
      <c r="E1260" s="9" t="s">
        <v>70</v>
      </c>
      <c r="F1260" s="9" t="s">
        <v>71</v>
      </c>
      <c r="G1260" s="9" t="s">
        <v>143</v>
      </c>
      <c r="H1260" s="9" t="s">
        <v>144</v>
      </c>
      <c r="I1260" s="0" t="s">
        <v>43</v>
      </c>
      <c r="J1260" s="9" t="s">
        <v>44</v>
      </c>
      <c r="K1260" s="9" t="s">
        <v>48</v>
      </c>
      <c r="L1260" s="9" t="s">
        <v>49</v>
      </c>
      <c r="M1260" s="0" t="s">
        <v>140</v>
      </c>
      <c r="N1260" s="0" t="n">
        <v>1176</v>
      </c>
      <c r="O1260" s="10" t="n">
        <v>0.583594667492434</v>
      </c>
      <c r="P1260" s="10" t="n">
        <v>0.198817263124511</v>
      </c>
      <c r="Q1260" s="0" t="str">
        <f aca="false">SUBSTITUTE(SUBSTITUTE($I1260,CHAR(61),""),CHAR(34),"")</f>
        <v>35-49</v>
      </c>
      <c r="R1260" s="0" t="str">
        <f aca="false">IF($D1260&lt;&gt;"","["&amp;$E1260&amp;"]"&amp;"|"&amp;$Q1260&amp;"|"&amp;$K1260&amp;"|"&amp;$G1260&amp;"|"&amp;IF($G1260="TX_CURR_SUBNAT.R","CY2022Q4",$M1260),"")</f>
        <v>[PekKUkKHAzY]|35-49|Male|PLHIV_Residents.T_1|CY2023Q3</v>
      </c>
    </row>
    <row r="1261" customFormat="false" ht="15" hidden="false" customHeight="false" outlineLevel="0" collapsed="false">
      <c r="D1261" s="9" t="s">
        <v>69</v>
      </c>
      <c r="E1261" s="9" t="s">
        <v>70</v>
      </c>
      <c r="F1261" s="9" t="s">
        <v>71</v>
      </c>
      <c r="G1261" s="9" t="s">
        <v>143</v>
      </c>
      <c r="H1261" s="9" t="s">
        <v>144</v>
      </c>
      <c r="I1261" s="0" t="s">
        <v>45</v>
      </c>
      <c r="J1261" s="9" t="s">
        <v>46</v>
      </c>
      <c r="K1261" s="9" t="s">
        <v>48</v>
      </c>
      <c r="L1261" s="9" t="s">
        <v>49</v>
      </c>
      <c r="M1261" s="0" t="s">
        <v>140</v>
      </c>
      <c r="N1261" s="0" t="n">
        <v>1191</v>
      </c>
      <c r="O1261" s="10" t="n">
        <v>0.684132948983461</v>
      </c>
      <c r="P1261" s="10" t="n">
        <v>0.198817263124511</v>
      </c>
      <c r="Q1261" s="0" t="str">
        <f aca="false">SUBSTITUTE(SUBSTITUTE($I1261,CHAR(61),""),CHAR(34),"")</f>
        <v>50+</v>
      </c>
      <c r="R1261" s="0" t="str">
        <f aca="false">IF($D1261&lt;&gt;"","["&amp;$E1261&amp;"]"&amp;"|"&amp;$Q1261&amp;"|"&amp;$K1261&amp;"|"&amp;$G1261&amp;"|"&amp;IF($G1261="TX_CURR_SUBNAT.R","CY2022Q4",$M1261),"")</f>
        <v>[PekKUkKHAzY]|50+|Male|PLHIV_Residents.T_1|CY2023Q3</v>
      </c>
    </row>
    <row r="1262" customFormat="false" ht="15" hidden="false" customHeight="false" outlineLevel="0" collapsed="false">
      <c r="D1262" s="9" t="s">
        <v>72</v>
      </c>
      <c r="E1262" s="9" t="s">
        <v>73</v>
      </c>
      <c r="F1262" s="9" t="s">
        <v>74</v>
      </c>
      <c r="G1262" s="9" t="s">
        <v>143</v>
      </c>
      <c r="H1262" s="9" t="s">
        <v>144</v>
      </c>
      <c r="I1262" s="0" t="s">
        <v>28</v>
      </c>
      <c r="J1262" s="9" t="s">
        <v>29</v>
      </c>
      <c r="K1262" s="9" t="s">
        <v>30</v>
      </c>
      <c r="L1262" s="9" t="s">
        <v>31</v>
      </c>
      <c r="M1262" s="0" t="s">
        <v>140</v>
      </c>
      <c r="N1262" s="0" t="n">
        <v>868</v>
      </c>
      <c r="O1262" s="10" t="n">
        <v>0.703621485736221</v>
      </c>
      <c r="P1262" s="10" t="n">
        <v>0.289728706935421</v>
      </c>
      <c r="Q1262" s="0" t="str">
        <f aca="false">SUBSTITUTE(SUBSTITUTE($I1262,CHAR(61),""),CHAR(34),"")</f>
        <v>&lt;01</v>
      </c>
      <c r="R1262" s="0" t="str">
        <f aca="false">IF($D1262&lt;&gt;"","["&amp;$E1262&amp;"]"&amp;"|"&amp;$Q1262&amp;"|"&amp;$K1262&amp;"|"&amp;$G1262&amp;"|"&amp;IF($G1262="TX_CURR_SUBNAT.R","CY2022Q4",$M1262),"")</f>
        <v>[am530wpaGvr]|&lt;01|Female|PLHIV_Residents.T_1|CY2023Q3</v>
      </c>
    </row>
    <row r="1263" customFormat="false" ht="15" hidden="false" customHeight="false" outlineLevel="0" collapsed="false">
      <c r="D1263" s="9" t="s">
        <v>72</v>
      </c>
      <c r="E1263" s="9" t="s">
        <v>73</v>
      </c>
      <c r="F1263" s="9" t="s">
        <v>74</v>
      </c>
      <c r="G1263" s="9" t="s">
        <v>143</v>
      </c>
      <c r="H1263" s="9" t="s">
        <v>144</v>
      </c>
      <c r="I1263" s="0" t="s">
        <v>33</v>
      </c>
      <c r="J1263" s="9" t="s">
        <v>34</v>
      </c>
      <c r="K1263" s="9" t="s">
        <v>30</v>
      </c>
      <c r="L1263" s="9" t="s">
        <v>31</v>
      </c>
      <c r="M1263" s="0" t="s">
        <v>140</v>
      </c>
      <c r="N1263" s="0" t="n">
        <v>1006</v>
      </c>
      <c r="O1263" s="10" t="n">
        <v>0.620471886824816</v>
      </c>
      <c r="P1263" s="10" t="n">
        <v>0.289728706935421</v>
      </c>
      <c r="Q1263" s="0" t="str">
        <f aca="false">SUBSTITUTE(SUBSTITUTE($I1263,CHAR(61),""),CHAR(34),"")</f>
        <v>01-09</v>
      </c>
      <c r="R1263" s="0" t="str">
        <f aca="false">IF($D1263&lt;&gt;"","["&amp;$E1263&amp;"]"&amp;"|"&amp;$Q1263&amp;"|"&amp;$K1263&amp;"|"&amp;$G1263&amp;"|"&amp;IF($G1263="TX_CURR_SUBNAT.R","CY2022Q4",$M1263),"")</f>
        <v>[am530wpaGvr]|01-09|Female|PLHIV_Residents.T_1|CY2023Q3</v>
      </c>
    </row>
    <row r="1264" customFormat="false" ht="15" hidden="false" customHeight="false" outlineLevel="0" collapsed="false">
      <c r="D1264" s="9" t="s">
        <v>72</v>
      </c>
      <c r="E1264" s="9" t="s">
        <v>73</v>
      </c>
      <c r="F1264" s="9" t="s">
        <v>74</v>
      </c>
      <c r="G1264" s="9" t="s">
        <v>143</v>
      </c>
      <c r="H1264" s="9" t="s">
        <v>144</v>
      </c>
      <c r="I1264" s="0" t="s">
        <v>36</v>
      </c>
      <c r="J1264" s="9" t="s">
        <v>37</v>
      </c>
      <c r="K1264" s="9" t="s">
        <v>30</v>
      </c>
      <c r="L1264" s="9" t="s">
        <v>31</v>
      </c>
      <c r="M1264" s="0" t="s">
        <v>140</v>
      </c>
      <c r="N1264" s="0" t="n">
        <v>1774</v>
      </c>
      <c r="O1264" s="10" t="n">
        <v>0.735782465431839</v>
      </c>
      <c r="P1264" s="10" t="n">
        <v>0.289728706935421</v>
      </c>
      <c r="Q1264" s="0" t="str">
        <f aca="false">SUBSTITUTE(SUBSTITUTE($I1264,CHAR(61),""),CHAR(34),"")</f>
        <v>10-14</v>
      </c>
      <c r="R1264" s="0" t="str">
        <f aca="false">IF($D1264&lt;&gt;"","["&amp;$E1264&amp;"]"&amp;"|"&amp;$Q1264&amp;"|"&amp;$K1264&amp;"|"&amp;$G1264&amp;"|"&amp;IF($G1264="TX_CURR_SUBNAT.R","CY2022Q4",$M1264),"")</f>
        <v>[am530wpaGvr]|10-14|Female|PLHIV_Residents.T_1|CY2023Q3</v>
      </c>
    </row>
    <row r="1265" customFormat="false" ht="15" hidden="false" customHeight="false" outlineLevel="0" collapsed="false">
      <c r="D1265" s="9" t="s">
        <v>72</v>
      </c>
      <c r="E1265" s="9" t="s">
        <v>73</v>
      </c>
      <c r="F1265" s="9" t="s">
        <v>74</v>
      </c>
      <c r="G1265" s="9" t="s">
        <v>143</v>
      </c>
      <c r="H1265" s="9" t="s">
        <v>144</v>
      </c>
      <c r="I1265" s="0" t="s">
        <v>38</v>
      </c>
      <c r="J1265" s="9" t="s">
        <v>39</v>
      </c>
      <c r="K1265" s="9" t="s">
        <v>30</v>
      </c>
      <c r="L1265" s="9" t="s">
        <v>31</v>
      </c>
      <c r="M1265" s="0" t="s">
        <v>140</v>
      </c>
      <c r="N1265" s="0" t="n">
        <v>700</v>
      </c>
      <c r="O1265" s="10" t="n">
        <v>0.551774983061478</v>
      </c>
      <c r="P1265" s="10" t="n">
        <v>0.289728706935421</v>
      </c>
      <c r="Q1265" s="0" t="str">
        <f aca="false">SUBSTITUTE(SUBSTITUTE($I1265,CHAR(61),""),CHAR(34),"")</f>
        <v>15-24</v>
      </c>
      <c r="R1265" s="0" t="str">
        <f aca="false">IF($D1265&lt;&gt;"","["&amp;$E1265&amp;"]"&amp;"|"&amp;$Q1265&amp;"|"&amp;$K1265&amp;"|"&amp;$G1265&amp;"|"&amp;IF($G1265="TX_CURR_SUBNAT.R","CY2022Q4",$M1265),"")</f>
        <v>[am530wpaGvr]|15-24|Female|PLHIV_Residents.T_1|CY2023Q3</v>
      </c>
    </row>
    <row r="1266" customFormat="false" ht="15" hidden="false" customHeight="false" outlineLevel="0" collapsed="false">
      <c r="D1266" s="9" t="s">
        <v>72</v>
      </c>
      <c r="E1266" s="9" t="s">
        <v>73</v>
      </c>
      <c r="F1266" s="9" t="s">
        <v>74</v>
      </c>
      <c r="G1266" s="9" t="s">
        <v>143</v>
      </c>
      <c r="H1266" s="9" t="s">
        <v>144</v>
      </c>
      <c r="I1266" s="0" t="s">
        <v>41</v>
      </c>
      <c r="J1266" s="9" t="s">
        <v>42</v>
      </c>
      <c r="K1266" s="9" t="s">
        <v>30</v>
      </c>
      <c r="L1266" s="9" t="s">
        <v>31</v>
      </c>
      <c r="M1266" s="0" t="s">
        <v>140</v>
      </c>
      <c r="N1266" s="0" t="n">
        <v>1117</v>
      </c>
      <c r="O1266" s="10" t="n">
        <v>0.955445947125554</v>
      </c>
      <c r="P1266" s="10" t="n">
        <v>0.289728706935421</v>
      </c>
      <c r="Q1266" s="0" t="str">
        <f aca="false">SUBSTITUTE(SUBSTITUTE($I1266,CHAR(61),""),CHAR(34),"")</f>
        <v>25-34</v>
      </c>
      <c r="R1266" s="0" t="str">
        <f aca="false">IF($D1266&lt;&gt;"","["&amp;$E1266&amp;"]"&amp;"|"&amp;$Q1266&amp;"|"&amp;$K1266&amp;"|"&amp;$G1266&amp;"|"&amp;IF($G1266="TX_CURR_SUBNAT.R","CY2022Q4",$M1266),"")</f>
        <v>[am530wpaGvr]|25-34|Female|PLHIV_Residents.T_1|CY2023Q3</v>
      </c>
    </row>
    <row r="1267" customFormat="false" ht="15" hidden="false" customHeight="false" outlineLevel="0" collapsed="false">
      <c r="D1267" s="9" t="s">
        <v>72</v>
      </c>
      <c r="E1267" s="9" t="s">
        <v>73</v>
      </c>
      <c r="F1267" s="9" t="s">
        <v>74</v>
      </c>
      <c r="G1267" s="9" t="s">
        <v>143</v>
      </c>
      <c r="H1267" s="9" t="s">
        <v>144</v>
      </c>
      <c r="I1267" s="0" t="s">
        <v>43</v>
      </c>
      <c r="J1267" s="9" t="s">
        <v>44</v>
      </c>
      <c r="K1267" s="9" t="s">
        <v>30</v>
      </c>
      <c r="L1267" s="9" t="s">
        <v>31</v>
      </c>
      <c r="M1267" s="0" t="s">
        <v>140</v>
      </c>
      <c r="N1267" s="0" t="n">
        <v>1913</v>
      </c>
      <c r="O1267" s="10" t="n">
        <v>0.234770715236664</v>
      </c>
      <c r="P1267" s="10" t="n">
        <v>0.289728706935421</v>
      </c>
      <c r="Q1267" s="0" t="str">
        <f aca="false">SUBSTITUTE(SUBSTITUTE($I1267,CHAR(61),""),CHAR(34),"")</f>
        <v>35-49</v>
      </c>
      <c r="R1267" s="0" t="str">
        <f aca="false">IF($D1267&lt;&gt;"","["&amp;$E1267&amp;"]"&amp;"|"&amp;$Q1267&amp;"|"&amp;$K1267&amp;"|"&amp;$G1267&amp;"|"&amp;IF($G1267="TX_CURR_SUBNAT.R","CY2022Q4",$M1267),"")</f>
        <v>[am530wpaGvr]|35-49|Female|PLHIV_Residents.T_1|CY2023Q3</v>
      </c>
    </row>
    <row r="1268" customFormat="false" ht="15" hidden="false" customHeight="false" outlineLevel="0" collapsed="false">
      <c r="D1268" s="9" t="s">
        <v>72</v>
      </c>
      <c r="E1268" s="9" t="s">
        <v>73</v>
      </c>
      <c r="F1268" s="9" t="s">
        <v>74</v>
      </c>
      <c r="G1268" s="9" t="s">
        <v>143</v>
      </c>
      <c r="H1268" s="9" t="s">
        <v>144</v>
      </c>
      <c r="I1268" s="0" t="s">
        <v>45</v>
      </c>
      <c r="J1268" s="9" t="s">
        <v>46</v>
      </c>
      <c r="K1268" s="9" t="s">
        <v>30</v>
      </c>
      <c r="L1268" s="9" t="s">
        <v>31</v>
      </c>
      <c r="M1268" s="0" t="s">
        <v>140</v>
      </c>
      <c r="N1268" s="0" t="n">
        <v>1984</v>
      </c>
      <c r="O1268" s="10" t="n">
        <v>0.591074027121067</v>
      </c>
      <c r="P1268" s="10" t="n">
        <v>0.289728706935421</v>
      </c>
      <c r="Q1268" s="0" t="str">
        <f aca="false">SUBSTITUTE(SUBSTITUTE($I1268,CHAR(61),""),CHAR(34),"")</f>
        <v>50+</v>
      </c>
      <c r="R1268" s="0" t="str">
        <f aca="false">IF($D1268&lt;&gt;"","["&amp;$E1268&amp;"]"&amp;"|"&amp;$Q1268&amp;"|"&amp;$K1268&amp;"|"&amp;$G1268&amp;"|"&amp;IF($G1268="TX_CURR_SUBNAT.R","CY2022Q4",$M1268),"")</f>
        <v>[am530wpaGvr]|50+|Female|PLHIV_Residents.T_1|CY2023Q3</v>
      </c>
    </row>
    <row r="1269" customFormat="false" ht="15" hidden="false" customHeight="false" outlineLevel="0" collapsed="false">
      <c r="D1269" s="9" t="s">
        <v>72</v>
      </c>
      <c r="E1269" s="9" t="s">
        <v>73</v>
      </c>
      <c r="F1269" s="9" t="s">
        <v>74</v>
      </c>
      <c r="G1269" s="9" t="s">
        <v>143</v>
      </c>
      <c r="H1269" s="9" t="s">
        <v>144</v>
      </c>
      <c r="I1269" s="0" t="s">
        <v>28</v>
      </c>
      <c r="J1269" s="9" t="s">
        <v>29</v>
      </c>
      <c r="K1269" s="9" t="s">
        <v>48</v>
      </c>
      <c r="L1269" s="9" t="s">
        <v>49</v>
      </c>
      <c r="M1269" s="0" t="s">
        <v>140</v>
      </c>
      <c r="N1269" s="0" t="n">
        <v>756</v>
      </c>
      <c r="O1269" s="10" t="n">
        <v>0.810039172647521</v>
      </c>
      <c r="P1269" s="10" t="n">
        <v>0.289728706935421</v>
      </c>
      <c r="Q1269" s="0" t="str">
        <f aca="false">SUBSTITUTE(SUBSTITUTE($I1269,CHAR(61),""),CHAR(34),"")</f>
        <v>&lt;01</v>
      </c>
      <c r="R1269" s="0" t="str">
        <f aca="false">IF($D1269&lt;&gt;"","["&amp;$E1269&amp;"]"&amp;"|"&amp;$Q1269&amp;"|"&amp;$K1269&amp;"|"&amp;$G1269&amp;"|"&amp;IF($G1269="TX_CURR_SUBNAT.R","CY2022Q4",$M1269),"")</f>
        <v>[am530wpaGvr]|&lt;01|Male|PLHIV_Residents.T_1|CY2023Q3</v>
      </c>
    </row>
    <row r="1270" customFormat="false" ht="15" hidden="false" customHeight="false" outlineLevel="0" collapsed="false">
      <c r="D1270" s="9" t="s">
        <v>72</v>
      </c>
      <c r="E1270" s="9" t="s">
        <v>73</v>
      </c>
      <c r="F1270" s="9" t="s">
        <v>74</v>
      </c>
      <c r="G1270" s="9" t="s">
        <v>143</v>
      </c>
      <c r="H1270" s="9" t="s">
        <v>144</v>
      </c>
      <c r="I1270" s="0" t="s">
        <v>33</v>
      </c>
      <c r="J1270" s="9" t="s">
        <v>34</v>
      </c>
      <c r="K1270" s="9" t="s">
        <v>48</v>
      </c>
      <c r="L1270" s="9" t="s">
        <v>49</v>
      </c>
      <c r="M1270" s="0" t="s">
        <v>140</v>
      </c>
      <c r="N1270" s="0" t="n">
        <v>1762</v>
      </c>
      <c r="O1270" s="10" t="n">
        <v>0.751439514104277</v>
      </c>
      <c r="P1270" s="10" t="n">
        <v>0.289728706935421</v>
      </c>
      <c r="Q1270" s="0" t="str">
        <f aca="false">SUBSTITUTE(SUBSTITUTE($I1270,CHAR(61),""),CHAR(34),"")</f>
        <v>01-09</v>
      </c>
      <c r="R1270" s="0" t="str">
        <f aca="false">IF($D1270&lt;&gt;"","["&amp;$E1270&amp;"]"&amp;"|"&amp;$Q1270&amp;"|"&amp;$K1270&amp;"|"&amp;$G1270&amp;"|"&amp;IF($G1270="TX_CURR_SUBNAT.R","CY2022Q4",$M1270),"")</f>
        <v>[am530wpaGvr]|01-09|Male|PLHIV_Residents.T_1|CY2023Q3</v>
      </c>
    </row>
    <row r="1271" customFormat="false" ht="15" hidden="false" customHeight="false" outlineLevel="0" collapsed="false">
      <c r="D1271" s="9" t="s">
        <v>72</v>
      </c>
      <c r="E1271" s="9" t="s">
        <v>73</v>
      </c>
      <c r="F1271" s="9" t="s">
        <v>74</v>
      </c>
      <c r="G1271" s="9" t="s">
        <v>143</v>
      </c>
      <c r="H1271" s="9" t="s">
        <v>144</v>
      </c>
      <c r="I1271" s="0" t="s">
        <v>36</v>
      </c>
      <c r="J1271" s="9" t="s">
        <v>37</v>
      </c>
      <c r="K1271" s="9" t="s">
        <v>48</v>
      </c>
      <c r="L1271" s="9" t="s">
        <v>49</v>
      </c>
      <c r="M1271" s="0" t="s">
        <v>140</v>
      </c>
      <c r="N1271" s="0" t="n">
        <v>1081</v>
      </c>
      <c r="O1271" s="10" t="n">
        <v>0.0583752852398902</v>
      </c>
      <c r="P1271" s="10" t="n">
        <v>0.289728706935421</v>
      </c>
      <c r="Q1271" s="0" t="str">
        <f aca="false">SUBSTITUTE(SUBSTITUTE($I1271,CHAR(61),""),CHAR(34),"")</f>
        <v>10-14</v>
      </c>
      <c r="R1271" s="0" t="str">
        <f aca="false">IF($D1271&lt;&gt;"","["&amp;$E1271&amp;"]"&amp;"|"&amp;$Q1271&amp;"|"&amp;$K1271&amp;"|"&amp;$G1271&amp;"|"&amp;IF($G1271="TX_CURR_SUBNAT.R","CY2022Q4",$M1271),"")</f>
        <v>[am530wpaGvr]|10-14|Male|PLHIV_Residents.T_1|CY2023Q3</v>
      </c>
    </row>
    <row r="1272" customFormat="false" ht="15" hidden="false" customHeight="false" outlineLevel="0" collapsed="false">
      <c r="D1272" s="9" t="s">
        <v>72</v>
      </c>
      <c r="E1272" s="9" t="s">
        <v>73</v>
      </c>
      <c r="F1272" s="9" t="s">
        <v>74</v>
      </c>
      <c r="G1272" s="9" t="s">
        <v>143</v>
      </c>
      <c r="H1272" s="9" t="s">
        <v>144</v>
      </c>
      <c r="I1272" s="0" t="s">
        <v>38</v>
      </c>
      <c r="J1272" s="9" t="s">
        <v>39</v>
      </c>
      <c r="K1272" s="9" t="s">
        <v>48</v>
      </c>
      <c r="L1272" s="9" t="s">
        <v>49</v>
      </c>
      <c r="M1272" s="0" t="s">
        <v>140</v>
      </c>
      <c r="N1272" s="0" t="n">
        <v>1725</v>
      </c>
      <c r="O1272" s="10" t="n">
        <v>0.00258499290794134</v>
      </c>
      <c r="P1272" s="10" t="n">
        <v>0.289728706935421</v>
      </c>
      <c r="Q1272" s="0" t="str">
        <f aca="false">SUBSTITUTE(SUBSTITUTE($I1272,CHAR(61),""),CHAR(34),"")</f>
        <v>15-24</v>
      </c>
      <c r="R1272" s="0" t="str">
        <f aca="false">IF($D1272&lt;&gt;"","["&amp;$E1272&amp;"]"&amp;"|"&amp;$Q1272&amp;"|"&amp;$K1272&amp;"|"&amp;$G1272&amp;"|"&amp;IF($G1272="TX_CURR_SUBNAT.R","CY2022Q4",$M1272),"")</f>
        <v>[am530wpaGvr]|15-24|Male|PLHIV_Residents.T_1|CY2023Q3</v>
      </c>
    </row>
    <row r="1273" customFormat="false" ht="15" hidden="false" customHeight="false" outlineLevel="0" collapsed="false">
      <c r="D1273" s="9" t="s">
        <v>72</v>
      </c>
      <c r="E1273" s="9" t="s">
        <v>73</v>
      </c>
      <c r="F1273" s="9" t="s">
        <v>74</v>
      </c>
      <c r="G1273" s="9" t="s">
        <v>143</v>
      </c>
      <c r="H1273" s="9" t="s">
        <v>144</v>
      </c>
      <c r="I1273" s="0" t="s">
        <v>41</v>
      </c>
      <c r="J1273" s="9" t="s">
        <v>42</v>
      </c>
      <c r="K1273" s="9" t="s">
        <v>48</v>
      </c>
      <c r="L1273" s="9" t="s">
        <v>49</v>
      </c>
      <c r="M1273" s="0" t="s">
        <v>140</v>
      </c>
      <c r="N1273" s="0" t="n">
        <v>1246</v>
      </c>
      <c r="O1273" s="10" t="n">
        <v>0.0507361781783402</v>
      </c>
      <c r="P1273" s="10" t="n">
        <v>0.289728706935421</v>
      </c>
      <c r="Q1273" s="0" t="str">
        <f aca="false">SUBSTITUTE(SUBSTITUTE($I1273,CHAR(61),""),CHAR(34),"")</f>
        <v>25-34</v>
      </c>
      <c r="R1273" s="0" t="str">
        <f aca="false">IF($D1273&lt;&gt;"","["&amp;$E1273&amp;"]"&amp;"|"&amp;$Q1273&amp;"|"&amp;$K1273&amp;"|"&amp;$G1273&amp;"|"&amp;IF($G1273="TX_CURR_SUBNAT.R","CY2022Q4",$M1273),"")</f>
        <v>[am530wpaGvr]|25-34|Male|PLHIV_Residents.T_1|CY2023Q3</v>
      </c>
    </row>
    <row r="1274" customFormat="false" ht="15" hidden="false" customHeight="false" outlineLevel="0" collapsed="false">
      <c r="D1274" s="9" t="s">
        <v>72</v>
      </c>
      <c r="E1274" s="9" t="s">
        <v>73</v>
      </c>
      <c r="F1274" s="9" t="s">
        <v>74</v>
      </c>
      <c r="G1274" s="9" t="s">
        <v>143</v>
      </c>
      <c r="H1274" s="9" t="s">
        <v>144</v>
      </c>
      <c r="I1274" s="0" t="s">
        <v>43</v>
      </c>
      <c r="J1274" s="9" t="s">
        <v>44</v>
      </c>
      <c r="K1274" s="9" t="s">
        <v>48</v>
      </c>
      <c r="L1274" s="9" t="s">
        <v>49</v>
      </c>
      <c r="M1274" s="0" t="s">
        <v>140</v>
      </c>
      <c r="N1274" s="0" t="n">
        <v>919</v>
      </c>
      <c r="O1274" s="10" t="n">
        <v>0.93538258317858</v>
      </c>
      <c r="P1274" s="10" t="n">
        <v>0.289728706935421</v>
      </c>
      <c r="Q1274" s="0" t="str">
        <f aca="false">SUBSTITUTE(SUBSTITUTE($I1274,CHAR(61),""),CHAR(34),"")</f>
        <v>35-49</v>
      </c>
      <c r="R1274" s="0" t="str">
        <f aca="false">IF($D1274&lt;&gt;"","["&amp;$E1274&amp;"]"&amp;"|"&amp;$Q1274&amp;"|"&amp;$K1274&amp;"|"&amp;$G1274&amp;"|"&amp;IF($G1274="TX_CURR_SUBNAT.R","CY2022Q4",$M1274),"")</f>
        <v>[am530wpaGvr]|35-49|Male|PLHIV_Residents.T_1|CY2023Q3</v>
      </c>
    </row>
    <row r="1275" customFormat="false" ht="15" hidden="false" customHeight="false" outlineLevel="0" collapsed="false">
      <c r="D1275" s="9" t="s">
        <v>72</v>
      </c>
      <c r="E1275" s="9" t="s">
        <v>73</v>
      </c>
      <c r="F1275" s="9" t="s">
        <v>74</v>
      </c>
      <c r="G1275" s="9" t="s">
        <v>143</v>
      </c>
      <c r="H1275" s="9" t="s">
        <v>144</v>
      </c>
      <c r="I1275" s="0" t="s">
        <v>45</v>
      </c>
      <c r="J1275" s="9" t="s">
        <v>46</v>
      </c>
      <c r="K1275" s="9" t="s">
        <v>48</v>
      </c>
      <c r="L1275" s="9" t="s">
        <v>49</v>
      </c>
      <c r="M1275" s="0" t="s">
        <v>140</v>
      </c>
      <c r="N1275" s="0" t="n">
        <v>1944</v>
      </c>
      <c r="O1275" s="10" t="n">
        <v>0.271273616002873</v>
      </c>
      <c r="P1275" s="10" t="n">
        <v>0.289728706935421</v>
      </c>
      <c r="Q1275" s="0" t="str">
        <f aca="false">SUBSTITUTE(SUBSTITUTE($I1275,CHAR(61),""),CHAR(34),"")</f>
        <v>50+</v>
      </c>
      <c r="R1275" s="0" t="str">
        <f aca="false">IF($D1275&lt;&gt;"","["&amp;$E1275&amp;"]"&amp;"|"&amp;$Q1275&amp;"|"&amp;$K1275&amp;"|"&amp;$G1275&amp;"|"&amp;IF($G1275="TX_CURR_SUBNAT.R","CY2022Q4",$M1275),"")</f>
        <v>[am530wpaGvr]|50+|Male|PLHIV_Residents.T_1|CY2023Q3</v>
      </c>
    </row>
    <row r="1276" customFormat="false" ht="15" hidden="false" customHeight="false" outlineLevel="0" collapsed="false">
      <c r="D1276" s="9" t="s">
        <v>75</v>
      </c>
      <c r="E1276" s="9" t="s">
        <v>76</v>
      </c>
      <c r="F1276" s="9" t="s">
        <v>77</v>
      </c>
      <c r="G1276" s="9" t="s">
        <v>143</v>
      </c>
      <c r="H1276" s="9" t="s">
        <v>144</v>
      </c>
      <c r="I1276" s="0" t="s">
        <v>28</v>
      </c>
      <c r="J1276" s="9" t="s">
        <v>29</v>
      </c>
      <c r="K1276" s="9" t="s">
        <v>30</v>
      </c>
      <c r="L1276" s="9" t="s">
        <v>31</v>
      </c>
      <c r="M1276" s="0" t="s">
        <v>140</v>
      </c>
      <c r="N1276" s="0" t="n">
        <v>1707</v>
      </c>
      <c r="O1276" s="10" t="n">
        <v>0.70229426282458</v>
      </c>
      <c r="P1276" s="10" t="n">
        <v>0.303055507596582</v>
      </c>
      <c r="Q1276" s="0" t="str">
        <f aca="false">SUBSTITUTE(SUBSTITUTE($I1276,CHAR(61),""),CHAR(34),"")</f>
        <v>&lt;01</v>
      </c>
      <c r="R1276" s="0" t="str">
        <f aca="false">IF($D1276&lt;&gt;"","["&amp;$E1276&amp;"]"&amp;"|"&amp;$Q1276&amp;"|"&amp;$K1276&amp;"|"&amp;$G1276&amp;"|"&amp;IF($G1276="TX_CURR_SUBNAT.R","CY2022Q4",$M1276),"")</f>
        <v>[lLDyBx5XyUi]|&lt;01|Female|PLHIV_Residents.T_1|CY2023Q3</v>
      </c>
    </row>
    <row r="1277" customFormat="false" ht="15" hidden="false" customHeight="false" outlineLevel="0" collapsed="false">
      <c r="D1277" s="9" t="s">
        <v>75</v>
      </c>
      <c r="E1277" s="9" t="s">
        <v>76</v>
      </c>
      <c r="F1277" s="9" t="s">
        <v>77</v>
      </c>
      <c r="G1277" s="9" t="s">
        <v>143</v>
      </c>
      <c r="H1277" s="9" t="s">
        <v>144</v>
      </c>
      <c r="I1277" s="0" t="s">
        <v>33</v>
      </c>
      <c r="J1277" s="9" t="s">
        <v>34</v>
      </c>
      <c r="K1277" s="9" t="s">
        <v>30</v>
      </c>
      <c r="L1277" s="9" t="s">
        <v>31</v>
      </c>
      <c r="M1277" s="0" t="s">
        <v>140</v>
      </c>
      <c r="N1277" s="0" t="n">
        <v>578</v>
      </c>
      <c r="O1277" s="10" t="n">
        <v>0.108419241849333</v>
      </c>
      <c r="P1277" s="10" t="n">
        <v>0.303055507596582</v>
      </c>
      <c r="Q1277" s="0" t="str">
        <f aca="false">SUBSTITUTE(SUBSTITUTE($I1277,CHAR(61),""),CHAR(34),"")</f>
        <v>01-09</v>
      </c>
      <c r="R1277" s="0" t="str">
        <f aca="false">IF($D1277&lt;&gt;"","["&amp;$E1277&amp;"]"&amp;"|"&amp;$Q1277&amp;"|"&amp;$K1277&amp;"|"&amp;$G1277&amp;"|"&amp;IF($G1277="TX_CURR_SUBNAT.R","CY2022Q4",$M1277),"")</f>
        <v>[lLDyBx5XyUi]|01-09|Female|PLHIV_Residents.T_1|CY2023Q3</v>
      </c>
    </row>
    <row r="1278" customFormat="false" ht="15" hidden="false" customHeight="false" outlineLevel="0" collapsed="false">
      <c r="D1278" s="9" t="s">
        <v>75</v>
      </c>
      <c r="E1278" s="9" t="s">
        <v>76</v>
      </c>
      <c r="F1278" s="9" t="s">
        <v>77</v>
      </c>
      <c r="G1278" s="9" t="s">
        <v>143</v>
      </c>
      <c r="H1278" s="9" t="s">
        <v>144</v>
      </c>
      <c r="I1278" s="0" t="s">
        <v>36</v>
      </c>
      <c r="J1278" s="9" t="s">
        <v>37</v>
      </c>
      <c r="K1278" s="9" t="s">
        <v>30</v>
      </c>
      <c r="L1278" s="9" t="s">
        <v>31</v>
      </c>
      <c r="M1278" s="0" t="s">
        <v>140</v>
      </c>
      <c r="N1278" s="0" t="n">
        <v>1565</v>
      </c>
      <c r="O1278" s="10" t="n">
        <v>0.999755806056783</v>
      </c>
      <c r="P1278" s="10" t="n">
        <v>0.303055507596582</v>
      </c>
      <c r="Q1278" s="0" t="str">
        <f aca="false">SUBSTITUTE(SUBSTITUTE($I1278,CHAR(61),""),CHAR(34),"")</f>
        <v>10-14</v>
      </c>
      <c r="R1278" s="0" t="str">
        <f aca="false">IF($D1278&lt;&gt;"","["&amp;$E1278&amp;"]"&amp;"|"&amp;$Q1278&amp;"|"&amp;$K1278&amp;"|"&amp;$G1278&amp;"|"&amp;IF($G1278="TX_CURR_SUBNAT.R","CY2022Q4",$M1278),"")</f>
        <v>[lLDyBx5XyUi]|10-14|Female|PLHIV_Residents.T_1|CY2023Q3</v>
      </c>
    </row>
    <row r="1279" customFormat="false" ht="15" hidden="false" customHeight="false" outlineLevel="0" collapsed="false">
      <c r="D1279" s="9" t="s">
        <v>75</v>
      </c>
      <c r="E1279" s="9" t="s">
        <v>76</v>
      </c>
      <c r="F1279" s="9" t="s">
        <v>77</v>
      </c>
      <c r="G1279" s="9" t="s">
        <v>143</v>
      </c>
      <c r="H1279" s="9" t="s">
        <v>144</v>
      </c>
      <c r="I1279" s="0" t="s">
        <v>38</v>
      </c>
      <c r="J1279" s="9" t="s">
        <v>39</v>
      </c>
      <c r="K1279" s="9" t="s">
        <v>30</v>
      </c>
      <c r="L1279" s="9" t="s">
        <v>31</v>
      </c>
      <c r="M1279" s="0" t="s">
        <v>140</v>
      </c>
      <c r="N1279" s="0" t="n">
        <v>944</v>
      </c>
      <c r="O1279" s="10" t="n">
        <v>0.666204755892977</v>
      </c>
      <c r="P1279" s="10" t="n">
        <v>0.303055507596582</v>
      </c>
      <c r="Q1279" s="0" t="str">
        <f aca="false">SUBSTITUTE(SUBSTITUTE($I1279,CHAR(61),""),CHAR(34),"")</f>
        <v>15-24</v>
      </c>
      <c r="R1279" s="0" t="str">
        <f aca="false">IF($D1279&lt;&gt;"","["&amp;$E1279&amp;"]"&amp;"|"&amp;$Q1279&amp;"|"&amp;$K1279&amp;"|"&amp;$G1279&amp;"|"&amp;IF($G1279="TX_CURR_SUBNAT.R","CY2022Q4",$M1279),"")</f>
        <v>[lLDyBx5XyUi]|15-24|Female|PLHIV_Residents.T_1|CY2023Q3</v>
      </c>
    </row>
    <row r="1280" customFormat="false" ht="15" hidden="false" customHeight="false" outlineLevel="0" collapsed="false">
      <c r="D1280" s="9" t="s">
        <v>75</v>
      </c>
      <c r="E1280" s="9" t="s">
        <v>76</v>
      </c>
      <c r="F1280" s="9" t="s">
        <v>77</v>
      </c>
      <c r="G1280" s="9" t="s">
        <v>143</v>
      </c>
      <c r="H1280" s="9" t="s">
        <v>144</v>
      </c>
      <c r="I1280" s="0" t="s">
        <v>41</v>
      </c>
      <c r="J1280" s="9" t="s">
        <v>42</v>
      </c>
      <c r="K1280" s="9" t="s">
        <v>30</v>
      </c>
      <c r="L1280" s="9" t="s">
        <v>31</v>
      </c>
      <c r="M1280" s="0" t="s">
        <v>140</v>
      </c>
      <c r="N1280" s="0" t="n">
        <v>559</v>
      </c>
      <c r="O1280" s="10" t="n">
        <v>0.863337808521464</v>
      </c>
      <c r="P1280" s="10" t="n">
        <v>0.303055507596582</v>
      </c>
      <c r="Q1280" s="0" t="str">
        <f aca="false">SUBSTITUTE(SUBSTITUTE($I1280,CHAR(61),""),CHAR(34),"")</f>
        <v>25-34</v>
      </c>
      <c r="R1280" s="0" t="str">
        <f aca="false">IF($D1280&lt;&gt;"","["&amp;$E1280&amp;"]"&amp;"|"&amp;$Q1280&amp;"|"&amp;$K1280&amp;"|"&amp;$G1280&amp;"|"&amp;IF($G1280="TX_CURR_SUBNAT.R","CY2022Q4",$M1280),"")</f>
        <v>[lLDyBx5XyUi]|25-34|Female|PLHIV_Residents.T_1|CY2023Q3</v>
      </c>
    </row>
    <row r="1281" customFormat="false" ht="15" hidden="false" customHeight="false" outlineLevel="0" collapsed="false">
      <c r="D1281" s="9" t="s">
        <v>75</v>
      </c>
      <c r="E1281" s="9" t="s">
        <v>76</v>
      </c>
      <c r="F1281" s="9" t="s">
        <v>77</v>
      </c>
      <c r="G1281" s="9" t="s">
        <v>143</v>
      </c>
      <c r="H1281" s="9" t="s">
        <v>144</v>
      </c>
      <c r="I1281" s="0" t="s">
        <v>43</v>
      </c>
      <c r="J1281" s="9" t="s">
        <v>44</v>
      </c>
      <c r="K1281" s="9" t="s">
        <v>30</v>
      </c>
      <c r="L1281" s="9" t="s">
        <v>31</v>
      </c>
      <c r="M1281" s="0" t="s">
        <v>140</v>
      </c>
      <c r="N1281" s="0" t="n">
        <v>892</v>
      </c>
      <c r="O1281" s="10" t="n">
        <v>0.193458741297945</v>
      </c>
      <c r="P1281" s="10" t="n">
        <v>0.303055507596582</v>
      </c>
      <c r="Q1281" s="0" t="str">
        <f aca="false">SUBSTITUTE(SUBSTITUTE($I1281,CHAR(61),""),CHAR(34),"")</f>
        <v>35-49</v>
      </c>
      <c r="R1281" s="0" t="str">
        <f aca="false">IF($D1281&lt;&gt;"","["&amp;$E1281&amp;"]"&amp;"|"&amp;$Q1281&amp;"|"&amp;$K1281&amp;"|"&amp;$G1281&amp;"|"&amp;IF($G1281="TX_CURR_SUBNAT.R","CY2022Q4",$M1281),"")</f>
        <v>[lLDyBx5XyUi]|35-49|Female|PLHIV_Residents.T_1|CY2023Q3</v>
      </c>
    </row>
    <row r="1282" customFormat="false" ht="15" hidden="false" customHeight="false" outlineLevel="0" collapsed="false">
      <c r="D1282" s="9" t="s">
        <v>75</v>
      </c>
      <c r="E1282" s="9" t="s">
        <v>76</v>
      </c>
      <c r="F1282" s="9" t="s">
        <v>77</v>
      </c>
      <c r="G1282" s="9" t="s">
        <v>143</v>
      </c>
      <c r="H1282" s="9" t="s">
        <v>144</v>
      </c>
      <c r="I1282" s="0" t="s">
        <v>45</v>
      </c>
      <c r="J1282" s="9" t="s">
        <v>46</v>
      </c>
      <c r="K1282" s="9" t="s">
        <v>30</v>
      </c>
      <c r="L1282" s="9" t="s">
        <v>31</v>
      </c>
      <c r="M1282" s="0" t="s">
        <v>140</v>
      </c>
      <c r="N1282" s="0" t="n">
        <v>1752</v>
      </c>
      <c r="O1282" s="10" t="n">
        <v>0.879650599556044</v>
      </c>
      <c r="P1282" s="10" t="n">
        <v>0.303055507596582</v>
      </c>
      <c r="Q1282" s="0" t="str">
        <f aca="false">SUBSTITUTE(SUBSTITUTE($I1282,CHAR(61),""),CHAR(34),"")</f>
        <v>50+</v>
      </c>
      <c r="R1282" s="0" t="str">
        <f aca="false">IF($D1282&lt;&gt;"","["&amp;$E1282&amp;"]"&amp;"|"&amp;$Q1282&amp;"|"&amp;$K1282&amp;"|"&amp;$G1282&amp;"|"&amp;IF($G1282="TX_CURR_SUBNAT.R","CY2022Q4",$M1282),"")</f>
        <v>[lLDyBx5XyUi]|50+|Female|PLHIV_Residents.T_1|CY2023Q3</v>
      </c>
    </row>
    <row r="1283" customFormat="false" ht="15" hidden="false" customHeight="false" outlineLevel="0" collapsed="false">
      <c r="D1283" s="9" t="s">
        <v>75</v>
      </c>
      <c r="E1283" s="9" t="s">
        <v>76</v>
      </c>
      <c r="F1283" s="9" t="s">
        <v>77</v>
      </c>
      <c r="G1283" s="9" t="s">
        <v>143</v>
      </c>
      <c r="H1283" s="9" t="s">
        <v>144</v>
      </c>
      <c r="I1283" s="0" t="s">
        <v>28</v>
      </c>
      <c r="J1283" s="9" t="s">
        <v>29</v>
      </c>
      <c r="K1283" s="9" t="s">
        <v>48</v>
      </c>
      <c r="L1283" s="9" t="s">
        <v>49</v>
      </c>
      <c r="M1283" s="0" t="s">
        <v>140</v>
      </c>
      <c r="N1283" s="0" t="n">
        <v>1309</v>
      </c>
      <c r="O1283" s="10" t="n">
        <v>0.642932149348781</v>
      </c>
      <c r="P1283" s="10" t="n">
        <v>0.303055507596582</v>
      </c>
      <c r="Q1283" s="0" t="str">
        <f aca="false">SUBSTITUTE(SUBSTITUTE($I1283,CHAR(61),""),CHAR(34),"")</f>
        <v>&lt;01</v>
      </c>
      <c r="R1283" s="0" t="str">
        <f aca="false">IF($D1283&lt;&gt;"","["&amp;$E1283&amp;"]"&amp;"|"&amp;$Q1283&amp;"|"&amp;$K1283&amp;"|"&amp;$G1283&amp;"|"&amp;IF($G1283="TX_CURR_SUBNAT.R","CY2022Q4",$M1283),"")</f>
        <v>[lLDyBx5XyUi]|&lt;01|Male|PLHIV_Residents.T_1|CY2023Q3</v>
      </c>
    </row>
    <row r="1284" customFormat="false" ht="15" hidden="false" customHeight="false" outlineLevel="0" collapsed="false">
      <c r="D1284" s="9" t="s">
        <v>75</v>
      </c>
      <c r="E1284" s="9" t="s">
        <v>76</v>
      </c>
      <c r="F1284" s="9" t="s">
        <v>77</v>
      </c>
      <c r="G1284" s="9" t="s">
        <v>143</v>
      </c>
      <c r="H1284" s="9" t="s">
        <v>144</v>
      </c>
      <c r="I1284" s="0" t="s">
        <v>33</v>
      </c>
      <c r="J1284" s="9" t="s">
        <v>34</v>
      </c>
      <c r="K1284" s="9" t="s">
        <v>48</v>
      </c>
      <c r="L1284" s="9" t="s">
        <v>49</v>
      </c>
      <c r="M1284" s="0" t="s">
        <v>140</v>
      </c>
      <c r="N1284" s="0" t="n">
        <v>950</v>
      </c>
      <c r="O1284" s="10" t="n">
        <v>0.443430648650974</v>
      </c>
      <c r="P1284" s="10" t="n">
        <v>0.303055507596582</v>
      </c>
      <c r="Q1284" s="0" t="str">
        <f aca="false">SUBSTITUTE(SUBSTITUTE($I1284,CHAR(61),""),CHAR(34),"")</f>
        <v>01-09</v>
      </c>
      <c r="R1284" s="0" t="str">
        <f aca="false">IF($D1284&lt;&gt;"","["&amp;$E1284&amp;"]"&amp;"|"&amp;$Q1284&amp;"|"&amp;$K1284&amp;"|"&amp;$G1284&amp;"|"&amp;IF($G1284="TX_CURR_SUBNAT.R","CY2022Q4",$M1284),"")</f>
        <v>[lLDyBx5XyUi]|01-09|Male|PLHIV_Residents.T_1|CY2023Q3</v>
      </c>
    </row>
    <row r="1285" customFormat="false" ht="15" hidden="false" customHeight="false" outlineLevel="0" collapsed="false">
      <c r="D1285" s="9" t="s">
        <v>75</v>
      </c>
      <c r="E1285" s="9" t="s">
        <v>76</v>
      </c>
      <c r="F1285" s="9" t="s">
        <v>77</v>
      </c>
      <c r="G1285" s="9" t="s">
        <v>143</v>
      </c>
      <c r="H1285" s="9" t="s">
        <v>144</v>
      </c>
      <c r="I1285" s="0" t="s">
        <v>36</v>
      </c>
      <c r="J1285" s="9" t="s">
        <v>37</v>
      </c>
      <c r="K1285" s="9" t="s">
        <v>48</v>
      </c>
      <c r="L1285" s="9" t="s">
        <v>49</v>
      </c>
      <c r="M1285" s="0" t="s">
        <v>140</v>
      </c>
      <c r="N1285" s="0" t="n">
        <v>1227</v>
      </c>
      <c r="O1285" s="10" t="n">
        <v>0.472995644202456</v>
      </c>
      <c r="P1285" s="10" t="n">
        <v>0.303055507596582</v>
      </c>
      <c r="Q1285" s="0" t="str">
        <f aca="false">SUBSTITUTE(SUBSTITUTE($I1285,CHAR(61),""),CHAR(34),"")</f>
        <v>10-14</v>
      </c>
      <c r="R1285" s="0" t="str">
        <f aca="false">IF($D1285&lt;&gt;"","["&amp;$E1285&amp;"]"&amp;"|"&amp;$Q1285&amp;"|"&amp;$K1285&amp;"|"&amp;$G1285&amp;"|"&amp;IF($G1285="TX_CURR_SUBNAT.R","CY2022Q4",$M1285),"")</f>
        <v>[lLDyBx5XyUi]|10-14|Male|PLHIV_Residents.T_1|CY2023Q3</v>
      </c>
    </row>
    <row r="1286" customFormat="false" ht="15" hidden="false" customHeight="false" outlineLevel="0" collapsed="false">
      <c r="D1286" s="9" t="s">
        <v>75</v>
      </c>
      <c r="E1286" s="9" t="s">
        <v>76</v>
      </c>
      <c r="F1286" s="9" t="s">
        <v>77</v>
      </c>
      <c r="G1286" s="9" t="s">
        <v>143</v>
      </c>
      <c r="H1286" s="9" t="s">
        <v>144</v>
      </c>
      <c r="I1286" s="0" t="s">
        <v>38</v>
      </c>
      <c r="J1286" s="9" t="s">
        <v>39</v>
      </c>
      <c r="K1286" s="9" t="s">
        <v>48</v>
      </c>
      <c r="L1286" s="9" t="s">
        <v>49</v>
      </c>
      <c r="M1286" s="0" t="s">
        <v>140</v>
      </c>
      <c r="N1286" s="0" t="n">
        <v>1168</v>
      </c>
      <c r="O1286" s="10" t="n">
        <v>0.313360458239913</v>
      </c>
      <c r="P1286" s="10" t="n">
        <v>0.303055507596582</v>
      </c>
      <c r="Q1286" s="0" t="str">
        <f aca="false">SUBSTITUTE(SUBSTITUTE($I1286,CHAR(61),""),CHAR(34),"")</f>
        <v>15-24</v>
      </c>
      <c r="R1286" s="0" t="str">
        <f aca="false">IF($D1286&lt;&gt;"","["&amp;$E1286&amp;"]"&amp;"|"&amp;$Q1286&amp;"|"&amp;$K1286&amp;"|"&amp;$G1286&amp;"|"&amp;IF($G1286="TX_CURR_SUBNAT.R","CY2022Q4",$M1286),"")</f>
        <v>[lLDyBx5XyUi]|15-24|Male|PLHIV_Residents.T_1|CY2023Q3</v>
      </c>
    </row>
    <row r="1287" customFormat="false" ht="15" hidden="false" customHeight="false" outlineLevel="0" collapsed="false">
      <c r="D1287" s="9" t="s">
        <v>75</v>
      </c>
      <c r="E1287" s="9" t="s">
        <v>76</v>
      </c>
      <c r="F1287" s="9" t="s">
        <v>77</v>
      </c>
      <c r="G1287" s="9" t="s">
        <v>143</v>
      </c>
      <c r="H1287" s="9" t="s">
        <v>144</v>
      </c>
      <c r="I1287" s="0" t="s">
        <v>41</v>
      </c>
      <c r="J1287" s="9" t="s">
        <v>42</v>
      </c>
      <c r="K1287" s="9" t="s">
        <v>48</v>
      </c>
      <c r="L1287" s="9" t="s">
        <v>49</v>
      </c>
      <c r="M1287" s="0" t="s">
        <v>140</v>
      </c>
      <c r="N1287" s="0" t="n">
        <v>1302</v>
      </c>
      <c r="O1287" s="10" t="n">
        <v>0.489232273539528</v>
      </c>
      <c r="P1287" s="10" t="n">
        <v>0.303055507596582</v>
      </c>
      <c r="Q1287" s="0" t="str">
        <f aca="false">SUBSTITUTE(SUBSTITUTE($I1287,CHAR(61),""),CHAR(34),"")</f>
        <v>25-34</v>
      </c>
      <c r="R1287" s="0" t="str">
        <f aca="false">IF($D1287&lt;&gt;"","["&amp;$E1287&amp;"]"&amp;"|"&amp;$Q1287&amp;"|"&amp;$K1287&amp;"|"&amp;$G1287&amp;"|"&amp;IF($G1287="TX_CURR_SUBNAT.R","CY2022Q4",$M1287),"")</f>
        <v>[lLDyBx5XyUi]|25-34|Male|PLHIV_Residents.T_1|CY2023Q3</v>
      </c>
    </row>
    <row r="1288" customFormat="false" ht="15" hidden="false" customHeight="false" outlineLevel="0" collapsed="false">
      <c r="D1288" s="9" t="s">
        <v>75</v>
      </c>
      <c r="E1288" s="9" t="s">
        <v>76</v>
      </c>
      <c r="F1288" s="9" t="s">
        <v>77</v>
      </c>
      <c r="G1288" s="9" t="s">
        <v>143</v>
      </c>
      <c r="H1288" s="9" t="s">
        <v>144</v>
      </c>
      <c r="I1288" s="0" t="s">
        <v>43</v>
      </c>
      <c r="J1288" s="9" t="s">
        <v>44</v>
      </c>
      <c r="K1288" s="9" t="s">
        <v>48</v>
      </c>
      <c r="L1288" s="9" t="s">
        <v>49</v>
      </c>
      <c r="M1288" s="0" t="s">
        <v>140</v>
      </c>
      <c r="N1288" s="0" t="n">
        <v>1676</v>
      </c>
      <c r="O1288" s="10" t="n">
        <v>0.0909789733123034</v>
      </c>
      <c r="P1288" s="10" t="n">
        <v>0.303055507596582</v>
      </c>
      <c r="Q1288" s="0" t="str">
        <f aca="false">SUBSTITUTE(SUBSTITUTE($I1288,CHAR(61),""),CHAR(34),"")</f>
        <v>35-49</v>
      </c>
      <c r="R1288" s="0" t="str">
        <f aca="false">IF($D1288&lt;&gt;"","["&amp;$E1288&amp;"]"&amp;"|"&amp;$Q1288&amp;"|"&amp;$K1288&amp;"|"&amp;$G1288&amp;"|"&amp;IF($G1288="TX_CURR_SUBNAT.R","CY2022Q4",$M1288),"")</f>
        <v>[lLDyBx5XyUi]|35-49|Male|PLHIV_Residents.T_1|CY2023Q3</v>
      </c>
    </row>
    <row r="1289" customFormat="false" ht="15" hidden="false" customHeight="false" outlineLevel="0" collapsed="false">
      <c r="D1289" s="9" t="s">
        <v>75</v>
      </c>
      <c r="E1289" s="9" t="s">
        <v>76</v>
      </c>
      <c r="F1289" s="9" t="s">
        <v>77</v>
      </c>
      <c r="G1289" s="9" t="s">
        <v>143</v>
      </c>
      <c r="H1289" s="9" t="s">
        <v>144</v>
      </c>
      <c r="I1289" s="0" t="s">
        <v>45</v>
      </c>
      <c r="J1289" s="9" t="s">
        <v>46</v>
      </c>
      <c r="K1289" s="9" t="s">
        <v>48</v>
      </c>
      <c r="L1289" s="9" t="s">
        <v>49</v>
      </c>
      <c r="M1289" s="0" t="s">
        <v>140</v>
      </c>
      <c r="N1289" s="0" t="n">
        <v>1577</v>
      </c>
      <c r="O1289" s="10" t="n">
        <v>0.585632621776313</v>
      </c>
      <c r="P1289" s="10" t="n">
        <v>0.303055507596582</v>
      </c>
      <c r="Q1289" s="0" t="str">
        <f aca="false">SUBSTITUTE(SUBSTITUTE($I1289,CHAR(61),""),CHAR(34),"")</f>
        <v>50+</v>
      </c>
      <c r="R1289" s="0" t="str">
        <f aca="false">IF($D1289&lt;&gt;"","["&amp;$E1289&amp;"]"&amp;"|"&amp;$Q1289&amp;"|"&amp;$K1289&amp;"|"&amp;$G1289&amp;"|"&amp;IF($G1289="TX_CURR_SUBNAT.R","CY2022Q4",$M1289),"")</f>
        <v>[lLDyBx5XyUi]|50+|Male|PLHIV_Residents.T_1|CY2023Q3</v>
      </c>
    </row>
    <row r="1290" customFormat="false" ht="15" hidden="false" customHeight="false" outlineLevel="0" collapsed="false">
      <c r="D1290" s="9" t="s">
        <v>78</v>
      </c>
      <c r="E1290" s="9" t="s">
        <v>79</v>
      </c>
      <c r="F1290" s="9" t="s">
        <v>80</v>
      </c>
      <c r="G1290" s="9" t="s">
        <v>143</v>
      </c>
      <c r="H1290" s="9" t="s">
        <v>144</v>
      </c>
      <c r="I1290" s="0" t="s">
        <v>28</v>
      </c>
      <c r="J1290" s="9" t="s">
        <v>29</v>
      </c>
      <c r="K1290" s="9" t="s">
        <v>30</v>
      </c>
      <c r="L1290" s="9" t="s">
        <v>31</v>
      </c>
      <c r="M1290" s="0" t="s">
        <v>140</v>
      </c>
      <c r="N1290" s="0" t="n">
        <v>1707</v>
      </c>
      <c r="O1290" s="10" t="n">
        <v>0.0543632144108415</v>
      </c>
      <c r="P1290" s="10" t="n">
        <v>0.831597982207313</v>
      </c>
      <c r="Q1290" s="0" t="str">
        <f aca="false">SUBSTITUTE(SUBSTITUTE($I1290,CHAR(61),""),CHAR(34),"")</f>
        <v>&lt;01</v>
      </c>
      <c r="R1290" s="0" t="str">
        <f aca="false">IF($D1290&lt;&gt;"","["&amp;$E1290&amp;"]"&amp;"|"&amp;$Q1290&amp;"|"&amp;$K1290&amp;"|"&amp;$G1290&amp;"|"&amp;IF($G1290="TX_CURR_SUBNAT.R","CY2022Q4",$M1290),"")</f>
        <v>[TYnMSwzko3z]|&lt;01|Female|PLHIV_Residents.T_1|CY2023Q3</v>
      </c>
    </row>
    <row r="1291" customFormat="false" ht="15" hidden="false" customHeight="false" outlineLevel="0" collapsed="false">
      <c r="D1291" s="9" t="s">
        <v>78</v>
      </c>
      <c r="E1291" s="9" t="s">
        <v>79</v>
      </c>
      <c r="F1291" s="9" t="s">
        <v>80</v>
      </c>
      <c r="G1291" s="9" t="s">
        <v>143</v>
      </c>
      <c r="H1291" s="9" t="s">
        <v>144</v>
      </c>
      <c r="I1291" s="0" t="s">
        <v>33</v>
      </c>
      <c r="J1291" s="9" t="s">
        <v>34</v>
      </c>
      <c r="K1291" s="9" t="s">
        <v>30</v>
      </c>
      <c r="L1291" s="9" t="s">
        <v>31</v>
      </c>
      <c r="M1291" s="0" t="s">
        <v>140</v>
      </c>
      <c r="N1291" s="0" t="n">
        <v>1563</v>
      </c>
      <c r="O1291" s="10" t="n">
        <v>0.425394595600665</v>
      </c>
      <c r="P1291" s="10" t="n">
        <v>0.831597982207313</v>
      </c>
      <c r="Q1291" s="0" t="str">
        <f aca="false">SUBSTITUTE(SUBSTITUTE($I1291,CHAR(61),""),CHAR(34),"")</f>
        <v>01-09</v>
      </c>
      <c r="R1291" s="0" t="str">
        <f aca="false">IF($D1291&lt;&gt;"","["&amp;$E1291&amp;"]"&amp;"|"&amp;$Q1291&amp;"|"&amp;$K1291&amp;"|"&amp;$G1291&amp;"|"&amp;IF($G1291="TX_CURR_SUBNAT.R","CY2022Q4",$M1291),"")</f>
        <v>[TYnMSwzko3z]|01-09|Female|PLHIV_Residents.T_1|CY2023Q3</v>
      </c>
    </row>
    <row r="1292" customFormat="false" ht="15" hidden="false" customHeight="false" outlineLevel="0" collapsed="false">
      <c r="D1292" s="9" t="s">
        <v>78</v>
      </c>
      <c r="E1292" s="9" t="s">
        <v>79</v>
      </c>
      <c r="F1292" s="9" t="s">
        <v>80</v>
      </c>
      <c r="G1292" s="9" t="s">
        <v>143</v>
      </c>
      <c r="H1292" s="9" t="s">
        <v>144</v>
      </c>
      <c r="I1292" s="0" t="s">
        <v>36</v>
      </c>
      <c r="J1292" s="9" t="s">
        <v>37</v>
      </c>
      <c r="K1292" s="9" t="s">
        <v>30</v>
      </c>
      <c r="L1292" s="9" t="s">
        <v>31</v>
      </c>
      <c r="M1292" s="0" t="s">
        <v>140</v>
      </c>
      <c r="N1292" s="0" t="n">
        <v>930</v>
      </c>
      <c r="O1292" s="10" t="n">
        <v>0.575219010002911</v>
      </c>
      <c r="P1292" s="10" t="n">
        <v>0.831597982207313</v>
      </c>
      <c r="Q1292" s="0" t="str">
        <f aca="false">SUBSTITUTE(SUBSTITUTE($I1292,CHAR(61),""),CHAR(34),"")</f>
        <v>10-14</v>
      </c>
      <c r="R1292" s="0" t="str">
        <f aca="false">IF($D1292&lt;&gt;"","["&amp;$E1292&amp;"]"&amp;"|"&amp;$Q1292&amp;"|"&amp;$K1292&amp;"|"&amp;$G1292&amp;"|"&amp;IF($G1292="TX_CURR_SUBNAT.R","CY2022Q4",$M1292),"")</f>
        <v>[TYnMSwzko3z]|10-14|Female|PLHIV_Residents.T_1|CY2023Q3</v>
      </c>
    </row>
    <row r="1293" customFormat="false" ht="15" hidden="false" customHeight="false" outlineLevel="0" collapsed="false">
      <c r="D1293" s="9" t="s">
        <v>78</v>
      </c>
      <c r="E1293" s="9" t="s">
        <v>79</v>
      </c>
      <c r="F1293" s="9" t="s">
        <v>80</v>
      </c>
      <c r="G1293" s="9" t="s">
        <v>143</v>
      </c>
      <c r="H1293" s="9" t="s">
        <v>144</v>
      </c>
      <c r="I1293" s="0" t="s">
        <v>38</v>
      </c>
      <c r="J1293" s="9" t="s">
        <v>39</v>
      </c>
      <c r="K1293" s="9" t="s">
        <v>30</v>
      </c>
      <c r="L1293" s="9" t="s">
        <v>31</v>
      </c>
      <c r="M1293" s="0" t="s">
        <v>140</v>
      </c>
      <c r="N1293" s="0" t="n">
        <v>1101</v>
      </c>
      <c r="O1293" s="10" t="n">
        <v>0.185543172759935</v>
      </c>
      <c r="P1293" s="10" t="n">
        <v>0.831597982207313</v>
      </c>
      <c r="Q1293" s="0" t="str">
        <f aca="false">SUBSTITUTE(SUBSTITUTE($I1293,CHAR(61),""),CHAR(34),"")</f>
        <v>15-24</v>
      </c>
      <c r="R1293" s="0" t="str">
        <f aca="false">IF($D1293&lt;&gt;"","["&amp;$E1293&amp;"]"&amp;"|"&amp;$Q1293&amp;"|"&amp;$K1293&amp;"|"&amp;$G1293&amp;"|"&amp;IF($G1293="TX_CURR_SUBNAT.R","CY2022Q4",$M1293),"")</f>
        <v>[TYnMSwzko3z]|15-24|Female|PLHIV_Residents.T_1|CY2023Q3</v>
      </c>
    </row>
    <row r="1294" customFormat="false" ht="15" hidden="false" customHeight="false" outlineLevel="0" collapsed="false">
      <c r="D1294" s="9" t="s">
        <v>78</v>
      </c>
      <c r="E1294" s="9" t="s">
        <v>79</v>
      </c>
      <c r="F1294" s="9" t="s">
        <v>80</v>
      </c>
      <c r="G1294" s="9" t="s">
        <v>143</v>
      </c>
      <c r="H1294" s="9" t="s">
        <v>144</v>
      </c>
      <c r="I1294" s="0" t="s">
        <v>41</v>
      </c>
      <c r="J1294" s="9" t="s">
        <v>42</v>
      </c>
      <c r="K1294" s="9" t="s">
        <v>30</v>
      </c>
      <c r="L1294" s="9" t="s">
        <v>31</v>
      </c>
      <c r="M1294" s="0" t="s">
        <v>140</v>
      </c>
      <c r="N1294" s="0" t="n">
        <v>1870</v>
      </c>
      <c r="O1294" s="10" t="n">
        <v>0.892303416039795</v>
      </c>
      <c r="P1294" s="10" t="n">
        <v>0.831597982207313</v>
      </c>
      <c r="Q1294" s="0" t="str">
        <f aca="false">SUBSTITUTE(SUBSTITUTE($I1294,CHAR(61),""),CHAR(34),"")</f>
        <v>25-34</v>
      </c>
      <c r="R1294" s="0" t="str">
        <f aca="false">IF($D1294&lt;&gt;"","["&amp;$E1294&amp;"]"&amp;"|"&amp;$Q1294&amp;"|"&amp;$K1294&amp;"|"&amp;$G1294&amp;"|"&amp;IF($G1294="TX_CURR_SUBNAT.R","CY2022Q4",$M1294),"")</f>
        <v>[TYnMSwzko3z]|25-34|Female|PLHIV_Residents.T_1|CY2023Q3</v>
      </c>
    </row>
    <row r="1295" customFormat="false" ht="15" hidden="false" customHeight="false" outlineLevel="0" collapsed="false">
      <c r="D1295" s="9" t="s">
        <v>78</v>
      </c>
      <c r="E1295" s="9" t="s">
        <v>79</v>
      </c>
      <c r="F1295" s="9" t="s">
        <v>80</v>
      </c>
      <c r="G1295" s="9" t="s">
        <v>143</v>
      </c>
      <c r="H1295" s="9" t="s">
        <v>144</v>
      </c>
      <c r="I1295" s="0" t="s">
        <v>43</v>
      </c>
      <c r="J1295" s="9" t="s">
        <v>44</v>
      </c>
      <c r="K1295" s="9" t="s">
        <v>30</v>
      </c>
      <c r="L1295" s="9" t="s">
        <v>31</v>
      </c>
      <c r="M1295" s="0" t="s">
        <v>140</v>
      </c>
      <c r="N1295" s="0" t="n">
        <v>1390</v>
      </c>
      <c r="O1295" s="10" t="n">
        <v>0.569225910352543</v>
      </c>
      <c r="P1295" s="10" t="n">
        <v>0.831597982207313</v>
      </c>
      <c r="Q1295" s="0" t="str">
        <f aca="false">SUBSTITUTE(SUBSTITUTE($I1295,CHAR(61),""),CHAR(34),"")</f>
        <v>35-49</v>
      </c>
      <c r="R1295" s="0" t="str">
        <f aca="false">IF($D1295&lt;&gt;"","["&amp;$E1295&amp;"]"&amp;"|"&amp;$Q1295&amp;"|"&amp;$K1295&amp;"|"&amp;$G1295&amp;"|"&amp;IF($G1295="TX_CURR_SUBNAT.R","CY2022Q4",$M1295),"")</f>
        <v>[TYnMSwzko3z]|35-49|Female|PLHIV_Residents.T_1|CY2023Q3</v>
      </c>
    </row>
    <row r="1296" customFormat="false" ht="15" hidden="false" customHeight="false" outlineLevel="0" collapsed="false">
      <c r="D1296" s="9" t="s">
        <v>78</v>
      </c>
      <c r="E1296" s="9" t="s">
        <v>79</v>
      </c>
      <c r="F1296" s="9" t="s">
        <v>80</v>
      </c>
      <c r="G1296" s="9" t="s">
        <v>143</v>
      </c>
      <c r="H1296" s="9" t="s">
        <v>144</v>
      </c>
      <c r="I1296" s="0" t="s">
        <v>45</v>
      </c>
      <c r="J1296" s="9" t="s">
        <v>46</v>
      </c>
      <c r="K1296" s="9" t="s">
        <v>30</v>
      </c>
      <c r="L1296" s="9" t="s">
        <v>31</v>
      </c>
      <c r="M1296" s="0" t="s">
        <v>140</v>
      </c>
      <c r="N1296" s="0" t="n">
        <v>663</v>
      </c>
      <c r="O1296" s="10" t="n">
        <v>0.403285337844864</v>
      </c>
      <c r="P1296" s="10" t="n">
        <v>0.831597982207313</v>
      </c>
      <c r="Q1296" s="0" t="str">
        <f aca="false">SUBSTITUTE(SUBSTITUTE($I1296,CHAR(61),""),CHAR(34),"")</f>
        <v>50+</v>
      </c>
      <c r="R1296" s="0" t="str">
        <f aca="false">IF($D1296&lt;&gt;"","["&amp;$E1296&amp;"]"&amp;"|"&amp;$Q1296&amp;"|"&amp;$K1296&amp;"|"&amp;$G1296&amp;"|"&amp;IF($G1296="TX_CURR_SUBNAT.R","CY2022Q4",$M1296),"")</f>
        <v>[TYnMSwzko3z]|50+|Female|PLHIV_Residents.T_1|CY2023Q3</v>
      </c>
    </row>
    <row r="1297" customFormat="false" ht="15" hidden="false" customHeight="false" outlineLevel="0" collapsed="false">
      <c r="D1297" s="9" t="s">
        <v>78</v>
      </c>
      <c r="E1297" s="9" t="s">
        <v>79</v>
      </c>
      <c r="F1297" s="9" t="s">
        <v>80</v>
      </c>
      <c r="G1297" s="9" t="s">
        <v>143</v>
      </c>
      <c r="H1297" s="9" t="s">
        <v>144</v>
      </c>
      <c r="I1297" s="0" t="s">
        <v>28</v>
      </c>
      <c r="J1297" s="9" t="s">
        <v>29</v>
      </c>
      <c r="K1297" s="9" t="s">
        <v>48</v>
      </c>
      <c r="L1297" s="9" t="s">
        <v>49</v>
      </c>
      <c r="M1297" s="0" t="s">
        <v>140</v>
      </c>
      <c r="N1297" s="0" t="n">
        <v>978</v>
      </c>
      <c r="O1297" s="10" t="n">
        <v>0.527371331583709</v>
      </c>
      <c r="P1297" s="10" t="n">
        <v>0.831597982207313</v>
      </c>
      <c r="Q1297" s="0" t="str">
        <f aca="false">SUBSTITUTE(SUBSTITUTE($I1297,CHAR(61),""),CHAR(34),"")</f>
        <v>&lt;01</v>
      </c>
      <c r="R1297" s="0" t="str">
        <f aca="false">IF($D1297&lt;&gt;"","["&amp;$E1297&amp;"]"&amp;"|"&amp;$Q1297&amp;"|"&amp;$K1297&amp;"|"&amp;$G1297&amp;"|"&amp;IF($G1297="TX_CURR_SUBNAT.R","CY2022Q4",$M1297),"")</f>
        <v>[TYnMSwzko3z]|&lt;01|Male|PLHIV_Residents.T_1|CY2023Q3</v>
      </c>
    </row>
    <row r="1298" customFormat="false" ht="15" hidden="false" customHeight="false" outlineLevel="0" collapsed="false">
      <c r="D1298" s="9" t="s">
        <v>78</v>
      </c>
      <c r="E1298" s="9" t="s">
        <v>79</v>
      </c>
      <c r="F1298" s="9" t="s">
        <v>80</v>
      </c>
      <c r="G1298" s="9" t="s">
        <v>143</v>
      </c>
      <c r="H1298" s="9" t="s">
        <v>144</v>
      </c>
      <c r="I1298" s="0" t="s">
        <v>33</v>
      </c>
      <c r="J1298" s="9" t="s">
        <v>34</v>
      </c>
      <c r="K1298" s="9" t="s">
        <v>48</v>
      </c>
      <c r="L1298" s="9" t="s">
        <v>49</v>
      </c>
      <c r="M1298" s="0" t="s">
        <v>140</v>
      </c>
      <c r="N1298" s="0" t="n">
        <v>1801</v>
      </c>
      <c r="O1298" s="10" t="n">
        <v>0.78140953858383</v>
      </c>
      <c r="P1298" s="10" t="n">
        <v>0.831597982207313</v>
      </c>
      <c r="Q1298" s="0" t="str">
        <f aca="false">SUBSTITUTE(SUBSTITUTE($I1298,CHAR(61),""),CHAR(34),"")</f>
        <v>01-09</v>
      </c>
      <c r="R1298" s="0" t="str">
        <f aca="false">IF($D1298&lt;&gt;"","["&amp;$E1298&amp;"]"&amp;"|"&amp;$Q1298&amp;"|"&amp;$K1298&amp;"|"&amp;$G1298&amp;"|"&amp;IF($G1298="TX_CURR_SUBNAT.R","CY2022Q4",$M1298),"")</f>
        <v>[TYnMSwzko3z]|01-09|Male|PLHIV_Residents.T_1|CY2023Q3</v>
      </c>
    </row>
    <row r="1299" customFormat="false" ht="15" hidden="false" customHeight="false" outlineLevel="0" collapsed="false">
      <c r="D1299" s="9" t="s">
        <v>78</v>
      </c>
      <c r="E1299" s="9" t="s">
        <v>79</v>
      </c>
      <c r="F1299" s="9" t="s">
        <v>80</v>
      </c>
      <c r="G1299" s="9" t="s">
        <v>143</v>
      </c>
      <c r="H1299" s="9" t="s">
        <v>144</v>
      </c>
      <c r="I1299" s="0" t="s">
        <v>36</v>
      </c>
      <c r="J1299" s="9" t="s">
        <v>37</v>
      </c>
      <c r="K1299" s="9" t="s">
        <v>48</v>
      </c>
      <c r="L1299" s="9" t="s">
        <v>49</v>
      </c>
      <c r="M1299" s="0" t="s">
        <v>140</v>
      </c>
      <c r="N1299" s="0" t="n">
        <v>1046</v>
      </c>
      <c r="O1299" s="10" t="n">
        <v>0.802293016109616</v>
      </c>
      <c r="P1299" s="10" t="n">
        <v>0.831597982207313</v>
      </c>
      <c r="Q1299" s="0" t="str">
        <f aca="false">SUBSTITUTE(SUBSTITUTE($I1299,CHAR(61),""),CHAR(34),"")</f>
        <v>10-14</v>
      </c>
      <c r="R1299" s="0" t="str">
        <f aca="false">IF($D1299&lt;&gt;"","["&amp;$E1299&amp;"]"&amp;"|"&amp;$Q1299&amp;"|"&amp;$K1299&amp;"|"&amp;$G1299&amp;"|"&amp;IF($G1299="TX_CURR_SUBNAT.R","CY2022Q4",$M1299),"")</f>
        <v>[TYnMSwzko3z]|10-14|Male|PLHIV_Residents.T_1|CY2023Q3</v>
      </c>
    </row>
    <row r="1300" customFormat="false" ht="15" hidden="false" customHeight="false" outlineLevel="0" collapsed="false">
      <c r="D1300" s="9" t="s">
        <v>78</v>
      </c>
      <c r="E1300" s="9" t="s">
        <v>79</v>
      </c>
      <c r="F1300" s="9" t="s">
        <v>80</v>
      </c>
      <c r="G1300" s="9" t="s">
        <v>143</v>
      </c>
      <c r="H1300" s="9" t="s">
        <v>144</v>
      </c>
      <c r="I1300" s="0" t="s">
        <v>38</v>
      </c>
      <c r="J1300" s="9" t="s">
        <v>39</v>
      </c>
      <c r="K1300" s="9" t="s">
        <v>48</v>
      </c>
      <c r="L1300" s="9" t="s">
        <v>49</v>
      </c>
      <c r="M1300" s="0" t="s">
        <v>140</v>
      </c>
      <c r="N1300" s="0" t="n">
        <v>774</v>
      </c>
      <c r="O1300" s="10" t="n">
        <v>0.671417247969657</v>
      </c>
      <c r="P1300" s="10" t="n">
        <v>0.831597982207313</v>
      </c>
      <c r="Q1300" s="0" t="str">
        <f aca="false">SUBSTITUTE(SUBSTITUTE($I1300,CHAR(61),""),CHAR(34),"")</f>
        <v>15-24</v>
      </c>
      <c r="R1300" s="0" t="str">
        <f aca="false">IF($D1300&lt;&gt;"","["&amp;$E1300&amp;"]"&amp;"|"&amp;$Q1300&amp;"|"&amp;$K1300&amp;"|"&amp;$G1300&amp;"|"&amp;IF($G1300="TX_CURR_SUBNAT.R","CY2022Q4",$M1300),"")</f>
        <v>[TYnMSwzko3z]|15-24|Male|PLHIV_Residents.T_1|CY2023Q3</v>
      </c>
    </row>
    <row r="1301" customFormat="false" ht="15" hidden="false" customHeight="false" outlineLevel="0" collapsed="false">
      <c r="D1301" s="9" t="s">
        <v>78</v>
      </c>
      <c r="E1301" s="9" t="s">
        <v>79</v>
      </c>
      <c r="F1301" s="9" t="s">
        <v>80</v>
      </c>
      <c r="G1301" s="9" t="s">
        <v>143</v>
      </c>
      <c r="H1301" s="9" t="s">
        <v>144</v>
      </c>
      <c r="I1301" s="0" t="s">
        <v>41</v>
      </c>
      <c r="J1301" s="9" t="s">
        <v>42</v>
      </c>
      <c r="K1301" s="9" t="s">
        <v>48</v>
      </c>
      <c r="L1301" s="9" t="s">
        <v>49</v>
      </c>
      <c r="M1301" s="0" t="s">
        <v>140</v>
      </c>
      <c r="N1301" s="0" t="n">
        <v>1205</v>
      </c>
      <c r="O1301" s="10" t="n">
        <v>0.33072068868205</v>
      </c>
      <c r="P1301" s="10" t="n">
        <v>0.831597982207313</v>
      </c>
      <c r="Q1301" s="0" t="str">
        <f aca="false">SUBSTITUTE(SUBSTITUTE($I1301,CHAR(61),""),CHAR(34),"")</f>
        <v>25-34</v>
      </c>
      <c r="R1301" s="0" t="str">
        <f aca="false">IF($D1301&lt;&gt;"","["&amp;$E1301&amp;"]"&amp;"|"&amp;$Q1301&amp;"|"&amp;$K1301&amp;"|"&amp;$G1301&amp;"|"&amp;IF($G1301="TX_CURR_SUBNAT.R","CY2022Q4",$M1301),"")</f>
        <v>[TYnMSwzko3z]|25-34|Male|PLHIV_Residents.T_1|CY2023Q3</v>
      </c>
    </row>
    <row r="1302" customFormat="false" ht="15" hidden="false" customHeight="false" outlineLevel="0" collapsed="false">
      <c r="D1302" s="9" t="s">
        <v>78</v>
      </c>
      <c r="E1302" s="9" t="s">
        <v>79</v>
      </c>
      <c r="F1302" s="9" t="s">
        <v>80</v>
      </c>
      <c r="G1302" s="9" t="s">
        <v>143</v>
      </c>
      <c r="H1302" s="9" t="s">
        <v>144</v>
      </c>
      <c r="I1302" s="0" t="s">
        <v>43</v>
      </c>
      <c r="J1302" s="9" t="s">
        <v>44</v>
      </c>
      <c r="K1302" s="9" t="s">
        <v>48</v>
      </c>
      <c r="L1302" s="9" t="s">
        <v>49</v>
      </c>
      <c r="M1302" s="0" t="s">
        <v>140</v>
      </c>
      <c r="N1302" s="0" t="n">
        <v>1055</v>
      </c>
      <c r="O1302" s="10" t="n">
        <v>0.954020033357665</v>
      </c>
      <c r="P1302" s="10" t="n">
        <v>0.831597982207313</v>
      </c>
      <c r="Q1302" s="0" t="str">
        <f aca="false">SUBSTITUTE(SUBSTITUTE($I1302,CHAR(61),""),CHAR(34),"")</f>
        <v>35-49</v>
      </c>
      <c r="R1302" s="0" t="str">
        <f aca="false">IF($D1302&lt;&gt;"","["&amp;$E1302&amp;"]"&amp;"|"&amp;$Q1302&amp;"|"&amp;$K1302&amp;"|"&amp;$G1302&amp;"|"&amp;IF($G1302="TX_CURR_SUBNAT.R","CY2022Q4",$M1302),"")</f>
        <v>[TYnMSwzko3z]|35-49|Male|PLHIV_Residents.T_1|CY2023Q3</v>
      </c>
    </row>
    <row r="1303" customFormat="false" ht="15" hidden="false" customHeight="false" outlineLevel="0" collapsed="false">
      <c r="D1303" s="9" t="s">
        <v>78</v>
      </c>
      <c r="E1303" s="9" t="s">
        <v>79</v>
      </c>
      <c r="F1303" s="9" t="s">
        <v>80</v>
      </c>
      <c r="G1303" s="9" t="s">
        <v>143</v>
      </c>
      <c r="H1303" s="9" t="s">
        <v>144</v>
      </c>
      <c r="I1303" s="0" t="s">
        <v>45</v>
      </c>
      <c r="J1303" s="9" t="s">
        <v>46</v>
      </c>
      <c r="K1303" s="9" t="s">
        <v>48</v>
      </c>
      <c r="L1303" s="9" t="s">
        <v>49</v>
      </c>
      <c r="M1303" s="0" t="s">
        <v>140</v>
      </c>
      <c r="N1303" s="0" t="n">
        <v>817</v>
      </c>
      <c r="O1303" s="10" t="n">
        <v>0.528913839021698</v>
      </c>
      <c r="P1303" s="10" t="n">
        <v>0.831597982207313</v>
      </c>
      <c r="Q1303" s="0" t="str">
        <f aca="false">SUBSTITUTE(SUBSTITUTE($I1303,CHAR(61),""),CHAR(34),"")</f>
        <v>50+</v>
      </c>
      <c r="R1303" s="0" t="str">
        <f aca="false">IF($D1303&lt;&gt;"","["&amp;$E1303&amp;"]"&amp;"|"&amp;$Q1303&amp;"|"&amp;$K1303&amp;"|"&amp;$G1303&amp;"|"&amp;IF($G1303="TX_CURR_SUBNAT.R","CY2022Q4",$M1303),"")</f>
        <v>[TYnMSwzko3z]|50+|Male|PLHIV_Residents.T_1|CY2023Q3</v>
      </c>
    </row>
    <row r="1304" customFormat="false" ht="15" hidden="false" customHeight="false" outlineLevel="0" collapsed="false">
      <c r="D1304" s="9" t="s">
        <v>81</v>
      </c>
      <c r="E1304" s="9" t="s">
        <v>82</v>
      </c>
      <c r="F1304" s="9" t="s">
        <v>83</v>
      </c>
      <c r="G1304" s="9" t="s">
        <v>143</v>
      </c>
      <c r="H1304" s="9" t="s">
        <v>144</v>
      </c>
      <c r="I1304" s="0" t="s">
        <v>28</v>
      </c>
      <c r="J1304" s="9" t="s">
        <v>29</v>
      </c>
      <c r="K1304" s="9" t="s">
        <v>30</v>
      </c>
      <c r="L1304" s="9" t="s">
        <v>31</v>
      </c>
      <c r="M1304" s="0" t="s">
        <v>140</v>
      </c>
      <c r="N1304" s="0" t="n">
        <v>979</v>
      </c>
      <c r="O1304" s="10" t="n">
        <v>0.452489867573604</v>
      </c>
      <c r="P1304" s="10" t="n">
        <v>0.143331421539187</v>
      </c>
      <c r="Q1304" s="0" t="str">
        <f aca="false">SUBSTITUTE(SUBSTITUTE($I1304,CHAR(61),""),CHAR(34),"")</f>
        <v>&lt;01</v>
      </c>
      <c r="R1304" s="0" t="str">
        <f aca="false">IF($D1304&lt;&gt;"","["&amp;$E1304&amp;"]"&amp;"|"&amp;$Q1304&amp;"|"&amp;$K1304&amp;"|"&amp;$G1304&amp;"|"&amp;IF($G1304="TX_CURR_SUBNAT.R","CY2022Q4",$M1304),"")</f>
        <v>[ir8wuHHzoSs]|&lt;01|Female|PLHIV_Residents.T_1|CY2023Q3</v>
      </c>
    </row>
    <row r="1305" customFormat="false" ht="15" hidden="false" customHeight="false" outlineLevel="0" collapsed="false">
      <c r="D1305" s="9" t="s">
        <v>81</v>
      </c>
      <c r="E1305" s="9" t="s">
        <v>82</v>
      </c>
      <c r="F1305" s="9" t="s">
        <v>83</v>
      </c>
      <c r="G1305" s="9" t="s">
        <v>143</v>
      </c>
      <c r="H1305" s="9" t="s">
        <v>144</v>
      </c>
      <c r="I1305" s="0" t="s">
        <v>33</v>
      </c>
      <c r="J1305" s="9" t="s">
        <v>34</v>
      </c>
      <c r="K1305" s="9" t="s">
        <v>30</v>
      </c>
      <c r="L1305" s="9" t="s">
        <v>31</v>
      </c>
      <c r="M1305" s="0" t="s">
        <v>140</v>
      </c>
      <c r="N1305" s="0" t="n">
        <v>1293</v>
      </c>
      <c r="O1305" s="10" t="n">
        <v>0.177819885779172</v>
      </c>
      <c r="P1305" s="10" t="n">
        <v>0.143331421539187</v>
      </c>
      <c r="Q1305" s="0" t="str">
        <f aca="false">SUBSTITUTE(SUBSTITUTE($I1305,CHAR(61),""),CHAR(34),"")</f>
        <v>01-09</v>
      </c>
      <c r="R1305" s="0" t="str">
        <f aca="false">IF($D1305&lt;&gt;"","["&amp;$E1305&amp;"]"&amp;"|"&amp;$Q1305&amp;"|"&amp;$K1305&amp;"|"&amp;$G1305&amp;"|"&amp;IF($G1305="TX_CURR_SUBNAT.R","CY2022Q4",$M1305),"")</f>
        <v>[ir8wuHHzoSs]|01-09|Female|PLHIV_Residents.T_1|CY2023Q3</v>
      </c>
    </row>
    <row r="1306" customFormat="false" ht="15" hidden="false" customHeight="false" outlineLevel="0" collapsed="false">
      <c r="D1306" s="9" t="s">
        <v>81</v>
      </c>
      <c r="E1306" s="9" t="s">
        <v>82</v>
      </c>
      <c r="F1306" s="9" t="s">
        <v>83</v>
      </c>
      <c r="G1306" s="9" t="s">
        <v>143</v>
      </c>
      <c r="H1306" s="9" t="s">
        <v>144</v>
      </c>
      <c r="I1306" s="0" t="s">
        <v>36</v>
      </c>
      <c r="J1306" s="9" t="s">
        <v>37</v>
      </c>
      <c r="K1306" s="9" t="s">
        <v>30</v>
      </c>
      <c r="L1306" s="9" t="s">
        <v>31</v>
      </c>
      <c r="M1306" s="0" t="s">
        <v>140</v>
      </c>
      <c r="N1306" s="0" t="n">
        <v>710</v>
      </c>
      <c r="O1306" s="10" t="n">
        <v>0.426285794237629</v>
      </c>
      <c r="P1306" s="10" t="n">
        <v>0.143331421539187</v>
      </c>
      <c r="Q1306" s="0" t="str">
        <f aca="false">SUBSTITUTE(SUBSTITUTE($I1306,CHAR(61),""),CHAR(34),"")</f>
        <v>10-14</v>
      </c>
      <c r="R1306" s="0" t="str">
        <f aca="false">IF($D1306&lt;&gt;"","["&amp;$E1306&amp;"]"&amp;"|"&amp;$Q1306&amp;"|"&amp;$K1306&amp;"|"&amp;$G1306&amp;"|"&amp;IF($G1306="TX_CURR_SUBNAT.R","CY2022Q4",$M1306),"")</f>
        <v>[ir8wuHHzoSs]|10-14|Female|PLHIV_Residents.T_1|CY2023Q3</v>
      </c>
    </row>
    <row r="1307" customFormat="false" ht="15" hidden="false" customHeight="false" outlineLevel="0" collapsed="false">
      <c r="D1307" s="9" t="s">
        <v>81</v>
      </c>
      <c r="E1307" s="9" t="s">
        <v>82</v>
      </c>
      <c r="F1307" s="9" t="s">
        <v>83</v>
      </c>
      <c r="G1307" s="9" t="s">
        <v>143</v>
      </c>
      <c r="H1307" s="9" t="s">
        <v>144</v>
      </c>
      <c r="I1307" s="0" t="s">
        <v>38</v>
      </c>
      <c r="J1307" s="9" t="s">
        <v>39</v>
      </c>
      <c r="K1307" s="9" t="s">
        <v>30</v>
      </c>
      <c r="L1307" s="9" t="s">
        <v>31</v>
      </c>
      <c r="M1307" s="0" t="s">
        <v>140</v>
      </c>
      <c r="N1307" s="0" t="n">
        <v>1216</v>
      </c>
      <c r="O1307" s="10" t="n">
        <v>0.0416358311194927</v>
      </c>
      <c r="P1307" s="10" t="n">
        <v>0.143331421539187</v>
      </c>
      <c r="Q1307" s="0" t="str">
        <f aca="false">SUBSTITUTE(SUBSTITUTE($I1307,CHAR(61),""),CHAR(34),"")</f>
        <v>15-24</v>
      </c>
      <c r="R1307" s="0" t="str">
        <f aca="false">IF($D1307&lt;&gt;"","["&amp;$E1307&amp;"]"&amp;"|"&amp;$Q1307&amp;"|"&amp;$K1307&amp;"|"&amp;$G1307&amp;"|"&amp;IF($G1307="TX_CURR_SUBNAT.R","CY2022Q4",$M1307),"")</f>
        <v>[ir8wuHHzoSs]|15-24|Female|PLHIV_Residents.T_1|CY2023Q3</v>
      </c>
    </row>
    <row r="1308" customFormat="false" ht="15" hidden="false" customHeight="false" outlineLevel="0" collapsed="false">
      <c r="D1308" s="9" t="s">
        <v>81</v>
      </c>
      <c r="E1308" s="9" t="s">
        <v>82</v>
      </c>
      <c r="F1308" s="9" t="s">
        <v>83</v>
      </c>
      <c r="G1308" s="9" t="s">
        <v>143</v>
      </c>
      <c r="H1308" s="9" t="s">
        <v>144</v>
      </c>
      <c r="I1308" s="0" t="s">
        <v>41</v>
      </c>
      <c r="J1308" s="9" t="s">
        <v>42</v>
      </c>
      <c r="K1308" s="9" t="s">
        <v>30</v>
      </c>
      <c r="L1308" s="9" t="s">
        <v>31</v>
      </c>
      <c r="M1308" s="0" t="s">
        <v>140</v>
      </c>
      <c r="N1308" s="0" t="n">
        <v>866</v>
      </c>
      <c r="O1308" s="10" t="n">
        <v>0.278971106046811</v>
      </c>
      <c r="P1308" s="10" t="n">
        <v>0.143331421539187</v>
      </c>
      <c r="Q1308" s="0" t="str">
        <f aca="false">SUBSTITUTE(SUBSTITUTE($I1308,CHAR(61),""),CHAR(34),"")</f>
        <v>25-34</v>
      </c>
      <c r="R1308" s="0" t="str">
        <f aca="false">IF($D1308&lt;&gt;"","["&amp;$E1308&amp;"]"&amp;"|"&amp;$Q1308&amp;"|"&amp;$K1308&amp;"|"&amp;$G1308&amp;"|"&amp;IF($G1308="TX_CURR_SUBNAT.R","CY2022Q4",$M1308),"")</f>
        <v>[ir8wuHHzoSs]|25-34|Female|PLHIV_Residents.T_1|CY2023Q3</v>
      </c>
    </row>
    <row r="1309" customFormat="false" ht="15" hidden="false" customHeight="false" outlineLevel="0" collapsed="false">
      <c r="D1309" s="9" t="s">
        <v>81</v>
      </c>
      <c r="E1309" s="9" t="s">
        <v>82</v>
      </c>
      <c r="F1309" s="9" t="s">
        <v>83</v>
      </c>
      <c r="G1309" s="9" t="s">
        <v>143</v>
      </c>
      <c r="H1309" s="9" t="s">
        <v>144</v>
      </c>
      <c r="I1309" s="0" t="s">
        <v>43</v>
      </c>
      <c r="J1309" s="9" t="s">
        <v>44</v>
      </c>
      <c r="K1309" s="9" t="s">
        <v>30</v>
      </c>
      <c r="L1309" s="9" t="s">
        <v>31</v>
      </c>
      <c r="M1309" s="0" t="s">
        <v>140</v>
      </c>
      <c r="N1309" s="0" t="n">
        <v>771</v>
      </c>
      <c r="O1309" s="10" t="n">
        <v>0.363310268614441</v>
      </c>
      <c r="P1309" s="10" t="n">
        <v>0.143331421539187</v>
      </c>
      <c r="Q1309" s="0" t="str">
        <f aca="false">SUBSTITUTE(SUBSTITUTE($I1309,CHAR(61),""),CHAR(34),"")</f>
        <v>35-49</v>
      </c>
      <c r="R1309" s="0" t="str">
        <f aca="false">IF($D1309&lt;&gt;"","["&amp;$E1309&amp;"]"&amp;"|"&amp;$Q1309&amp;"|"&amp;$K1309&amp;"|"&amp;$G1309&amp;"|"&amp;IF($G1309="TX_CURR_SUBNAT.R","CY2022Q4",$M1309),"")</f>
        <v>[ir8wuHHzoSs]|35-49|Female|PLHIV_Residents.T_1|CY2023Q3</v>
      </c>
    </row>
    <row r="1310" customFormat="false" ht="15" hidden="false" customHeight="false" outlineLevel="0" collapsed="false">
      <c r="D1310" s="9" t="s">
        <v>81</v>
      </c>
      <c r="E1310" s="9" t="s">
        <v>82</v>
      </c>
      <c r="F1310" s="9" t="s">
        <v>83</v>
      </c>
      <c r="G1310" s="9" t="s">
        <v>143</v>
      </c>
      <c r="H1310" s="9" t="s">
        <v>144</v>
      </c>
      <c r="I1310" s="0" t="s">
        <v>45</v>
      </c>
      <c r="J1310" s="9" t="s">
        <v>46</v>
      </c>
      <c r="K1310" s="9" t="s">
        <v>30</v>
      </c>
      <c r="L1310" s="9" t="s">
        <v>31</v>
      </c>
      <c r="M1310" s="0" t="s">
        <v>140</v>
      </c>
      <c r="N1310" s="0" t="n">
        <v>1552</v>
      </c>
      <c r="O1310" s="10" t="n">
        <v>0.3991467168089</v>
      </c>
      <c r="P1310" s="10" t="n">
        <v>0.143331421539187</v>
      </c>
      <c r="Q1310" s="0" t="str">
        <f aca="false">SUBSTITUTE(SUBSTITUTE($I1310,CHAR(61),""),CHAR(34),"")</f>
        <v>50+</v>
      </c>
      <c r="R1310" s="0" t="str">
        <f aca="false">IF($D1310&lt;&gt;"","["&amp;$E1310&amp;"]"&amp;"|"&amp;$Q1310&amp;"|"&amp;$K1310&amp;"|"&amp;$G1310&amp;"|"&amp;IF($G1310="TX_CURR_SUBNAT.R","CY2022Q4",$M1310),"")</f>
        <v>[ir8wuHHzoSs]|50+|Female|PLHIV_Residents.T_1|CY2023Q3</v>
      </c>
    </row>
    <row r="1311" customFormat="false" ht="15" hidden="false" customHeight="false" outlineLevel="0" collapsed="false">
      <c r="D1311" s="9" t="s">
        <v>81</v>
      </c>
      <c r="E1311" s="9" t="s">
        <v>82</v>
      </c>
      <c r="F1311" s="9" t="s">
        <v>83</v>
      </c>
      <c r="G1311" s="9" t="s">
        <v>143</v>
      </c>
      <c r="H1311" s="9" t="s">
        <v>144</v>
      </c>
      <c r="I1311" s="0" t="s">
        <v>28</v>
      </c>
      <c r="J1311" s="9" t="s">
        <v>29</v>
      </c>
      <c r="K1311" s="9" t="s">
        <v>48</v>
      </c>
      <c r="L1311" s="9" t="s">
        <v>49</v>
      </c>
      <c r="M1311" s="0" t="s">
        <v>140</v>
      </c>
      <c r="N1311" s="0" t="n">
        <v>1268</v>
      </c>
      <c r="O1311" s="10" t="n">
        <v>0.533173525705934</v>
      </c>
      <c r="P1311" s="10" t="n">
        <v>0.143331421539187</v>
      </c>
      <c r="Q1311" s="0" t="str">
        <f aca="false">SUBSTITUTE(SUBSTITUTE($I1311,CHAR(61),""),CHAR(34),"")</f>
        <v>&lt;01</v>
      </c>
      <c r="R1311" s="0" t="str">
        <f aca="false">IF($D1311&lt;&gt;"","["&amp;$E1311&amp;"]"&amp;"|"&amp;$Q1311&amp;"|"&amp;$K1311&amp;"|"&amp;$G1311&amp;"|"&amp;IF($G1311="TX_CURR_SUBNAT.R","CY2022Q4",$M1311),"")</f>
        <v>[ir8wuHHzoSs]|&lt;01|Male|PLHIV_Residents.T_1|CY2023Q3</v>
      </c>
    </row>
    <row r="1312" customFormat="false" ht="15" hidden="false" customHeight="false" outlineLevel="0" collapsed="false">
      <c r="D1312" s="9" t="s">
        <v>81</v>
      </c>
      <c r="E1312" s="9" t="s">
        <v>82</v>
      </c>
      <c r="F1312" s="9" t="s">
        <v>83</v>
      </c>
      <c r="G1312" s="9" t="s">
        <v>143</v>
      </c>
      <c r="H1312" s="9" t="s">
        <v>144</v>
      </c>
      <c r="I1312" s="0" t="s">
        <v>33</v>
      </c>
      <c r="J1312" s="9" t="s">
        <v>34</v>
      </c>
      <c r="K1312" s="9" t="s">
        <v>48</v>
      </c>
      <c r="L1312" s="9" t="s">
        <v>49</v>
      </c>
      <c r="M1312" s="0" t="s">
        <v>140</v>
      </c>
      <c r="N1312" s="0" t="n">
        <v>577</v>
      </c>
      <c r="O1312" s="10" t="n">
        <v>0.818300577346236</v>
      </c>
      <c r="P1312" s="10" t="n">
        <v>0.143331421539187</v>
      </c>
      <c r="Q1312" s="0" t="str">
        <f aca="false">SUBSTITUTE(SUBSTITUTE($I1312,CHAR(61),""),CHAR(34),"")</f>
        <v>01-09</v>
      </c>
      <c r="R1312" s="0" t="str">
        <f aca="false">IF($D1312&lt;&gt;"","["&amp;$E1312&amp;"]"&amp;"|"&amp;$Q1312&amp;"|"&amp;$K1312&amp;"|"&amp;$G1312&amp;"|"&amp;IF($G1312="TX_CURR_SUBNAT.R","CY2022Q4",$M1312),"")</f>
        <v>[ir8wuHHzoSs]|01-09|Male|PLHIV_Residents.T_1|CY2023Q3</v>
      </c>
    </row>
    <row r="1313" customFormat="false" ht="15" hidden="false" customHeight="false" outlineLevel="0" collapsed="false">
      <c r="D1313" s="9" t="s">
        <v>81</v>
      </c>
      <c r="E1313" s="9" t="s">
        <v>82</v>
      </c>
      <c r="F1313" s="9" t="s">
        <v>83</v>
      </c>
      <c r="G1313" s="9" t="s">
        <v>143</v>
      </c>
      <c r="H1313" s="9" t="s">
        <v>144</v>
      </c>
      <c r="I1313" s="0" t="s">
        <v>36</v>
      </c>
      <c r="J1313" s="9" t="s">
        <v>37</v>
      </c>
      <c r="K1313" s="9" t="s">
        <v>48</v>
      </c>
      <c r="L1313" s="9" t="s">
        <v>49</v>
      </c>
      <c r="M1313" s="0" t="s">
        <v>140</v>
      </c>
      <c r="N1313" s="0" t="n">
        <v>1991</v>
      </c>
      <c r="O1313" s="10" t="n">
        <v>0.249606551602483</v>
      </c>
      <c r="P1313" s="10" t="n">
        <v>0.143331421539187</v>
      </c>
      <c r="Q1313" s="0" t="str">
        <f aca="false">SUBSTITUTE(SUBSTITUTE($I1313,CHAR(61),""),CHAR(34),"")</f>
        <v>10-14</v>
      </c>
      <c r="R1313" s="0" t="str">
        <f aca="false">IF($D1313&lt;&gt;"","["&amp;$E1313&amp;"]"&amp;"|"&amp;$Q1313&amp;"|"&amp;$K1313&amp;"|"&amp;$G1313&amp;"|"&amp;IF($G1313="TX_CURR_SUBNAT.R","CY2022Q4",$M1313),"")</f>
        <v>[ir8wuHHzoSs]|10-14|Male|PLHIV_Residents.T_1|CY2023Q3</v>
      </c>
    </row>
    <row r="1314" customFormat="false" ht="15" hidden="false" customHeight="false" outlineLevel="0" collapsed="false">
      <c r="D1314" s="9" t="s">
        <v>81</v>
      </c>
      <c r="E1314" s="9" t="s">
        <v>82</v>
      </c>
      <c r="F1314" s="9" t="s">
        <v>83</v>
      </c>
      <c r="G1314" s="9" t="s">
        <v>143</v>
      </c>
      <c r="H1314" s="9" t="s">
        <v>144</v>
      </c>
      <c r="I1314" s="0" t="s">
        <v>38</v>
      </c>
      <c r="J1314" s="9" t="s">
        <v>39</v>
      </c>
      <c r="K1314" s="9" t="s">
        <v>48</v>
      </c>
      <c r="L1314" s="9" t="s">
        <v>49</v>
      </c>
      <c r="M1314" s="0" t="s">
        <v>140</v>
      </c>
      <c r="N1314" s="0" t="n">
        <v>1966</v>
      </c>
      <c r="O1314" s="10" t="n">
        <v>0.976540305186063</v>
      </c>
      <c r="P1314" s="10" t="n">
        <v>0.143331421539187</v>
      </c>
      <c r="Q1314" s="0" t="str">
        <f aca="false">SUBSTITUTE(SUBSTITUTE($I1314,CHAR(61),""),CHAR(34),"")</f>
        <v>15-24</v>
      </c>
      <c r="R1314" s="0" t="str">
        <f aca="false">IF($D1314&lt;&gt;"","["&amp;$E1314&amp;"]"&amp;"|"&amp;$Q1314&amp;"|"&amp;$K1314&amp;"|"&amp;$G1314&amp;"|"&amp;IF($G1314="TX_CURR_SUBNAT.R","CY2022Q4",$M1314),"")</f>
        <v>[ir8wuHHzoSs]|15-24|Male|PLHIV_Residents.T_1|CY2023Q3</v>
      </c>
    </row>
    <row r="1315" customFormat="false" ht="15" hidden="false" customHeight="false" outlineLevel="0" collapsed="false">
      <c r="D1315" s="9" t="s">
        <v>81</v>
      </c>
      <c r="E1315" s="9" t="s">
        <v>82</v>
      </c>
      <c r="F1315" s="9" t="s">
        <v>83</v>
      </c>
      <c r="G1315" s="9" t="s">
        <v>143</v>
      </c>
      <c r="H1315" s="9" t="s">
        <v>144</v>
      </c>
      <c r="I1315" s="0" t="s">
        <v>41</v>
      </c>
      <c r="J1315" s="9" t="s">
        <v>42</v>
      </c>
      <c r="K1315" s="9" t="s">
        <v>48</v>
      </c>
      <c r="L1315" s="9" t="s">
        <v>49</v>
      </c>
      <c r="M1315" s="0" t="s">
        <v>140</v>
      </c>
      <c r="N1315" s="0" t="n">
        <v>581</v>
      </c>
      <c r="O1315" s="10" t="n">
        <v>0.923752923961729</v>
      </c>
      <c r="P1315" s="10" t="n">
        <v>0.143331421539187</v>
      </c>
      <c r="Q1315" s="0" t="str">
        <f aca="false">SUBSTITUTE(SUBSTITUTE($I1315,CHAR(61),""),CHAR(34),"")</f>
        <v>25-34</v>
      </c>
      <c r="R1315" s="0" t="str">
        <f aca="false">IF($D1315&lt;&gt;"","["&amp;$E1315&amp;"]"&amp;"|"&amp;$Q1315&amp;"|"&amp;$K1315&amp;"|"&amp;$G1315&amp;"|"&amp;IF($G1315="TX_CURR_SUBNAT.R","CY2022Q4",$M1315),"")</f>
        <v>[ir8wuHHzoSs]|25-34|Male|PLHIV_Residents.T_1|CY2023Q3</v>
      </c>
    </row>
    <row r="1316" customFormat="false" ht="15" hidden="false" customHeight="false" outlineLevel="0" collapsed="false">
      <c r="D1316" s="9" t="s">
        <v>81</v>
      </c>
      <c r="E1316" s="9" t="s">
        <v>82</v>
      </c>
      <c r="F1316" s="9" t="s">
        <v>83</v>
      </c>
      <c r="G1316" s="9" t="s">
        <v>143</v>
      </c>
      <c r="H1316" s="9" t="s">
        <v>144</v>
      </c>
      <c r="I1316" s="0" t="s">
        <v>43</v>
      </c>
      <c r="J1316" s="9" t="s">
        <v>44</v>
      </c>
      <c r="K1316" s="9" t="s">
        <v>48</v>
      </c>
      <c r="L1316" s="9" t="s">
        <v>49</v>
      </c>
      <c r="M1316" s="0" t="s">
        <v>140</v>
      </c>
      <c r="N1316" s="0" t="n">
        <v>1382</v>
      </c>
      <c r="O1316" s="10" t="n">
        <v>0.444125033682212</v>
      </c>
      <c r="P1316" s="10" t="n">
        <v>0.143331421539187</v>
      </c>
      <c r="Q1316" s="0" t="str">
        <f aca="false">SUBSTITUTE(SUBSTITUTE($I1316,CHAR(61),""),CHAR(34),"")</f>
        <v>35-49</v>
      </c>
      <c r="R1316" s="0" t="str">
        <f aca="false">IF($D1316&lt;&gt;"","["&amp;$E1316&amp;"]"&amp;"|"&amp;$Q1316&amp;"|"&amp;$K1316&amp;"|"&amp;$G1316&amp;"|"&amp;IF($G1316="TX_CURR_SUBNAT.R","CY2022Q4",$M1316),"")</f>
        <v>[ir8wuHHzoSs]|35-49|Male|PLHIV_Residents.T_1|CY2023Q3</v>
      </c>
    </row>
    <row r="1317" customFormat="false" ht="15" hidden="false" customHeight="false" outlineLevel="0" collapsed="false">
      <c r="D1317" s="9" t="s">
        <v>81</v>
      </c>
      <c r="E1317" s="9" t="s">
        <v>82</v>
      </c>
      <c r="F1317" s="9" t="s">
        <v>83</v>
      </c>
      <c r="G1317" s="9" t="s">
        <v>143</v>
      </c>
      <c r="H1317" s="9" t="s">
        <v>144</v>
      </c>
      <c r="I1317" s="0" t="s">
        <v>45</v>
      </c>
      <c r="J1317" s="9" t="s">
        <v>46</v>
      </c>
      <c r="K1317" s="9" t="s">
        <v>48</v>
      </c>
      <c r="L1317" s="9" t="s">
        <v>49</v>
      </c>
      <c r="M1317" s="0" t="s">
        <v>140</v>
      </c>
      <c r="N1317" s="0" t="n">
        <v>858</v>
      </c>
      <c r="O1317" s="10" t="n">
        <v>0.251602626871318</v>
      </c>
      <c r="P1317" s="10" t="n">
        <v>0.143331421539187</v>
      </c>
      <c r="Q1317" s="0" t="str">
        <f aca="false">SUBSTITUTE(SUBSTITUTE($I1317,CHAR(61),""),CHAR(34),"")</f>
        <v>50+</v>
      </c>
      <c r="R1317" s="0" t="str">
        <f aca="false">IF($D1317&lt;&gt;"","["&amp;$E1317&amp;"]"&amp;"|"&amp;$Q1317&amp;"|"&amp;$K1317&amp;"|"&amp;$G1317&amp;"|"&amp;IF($G1317="TX_CURR_SUBNAT.R","CY2022Q4",$M1317),"")</f>
        <v>[ir8wuHHzoSs]|50+|Male|PLHIV_Residents.T_1|CY2023Q3</v>
      </c>
    </row>
    <row r="1318" customFormat="false" ht="15" hidden="false" customHeight="false" outlineLevel="0" collapsed="false">
      <c r="D1318" s="9" t="s">
        <v>84</v>
      </c>
      <c r="E1318" s="9" t="s">
        <v>85</v>
      </c>
      <c r="F1318" s="9" t="s">
        <v>86</v>
      </c>
      <c r="G1318" s="9" t="s">
        <v>143</v>
      </c>
      <c r="H1318" s="9" t="s">
        <v>144</v>
      </c>
      <c r="I1318" s="0" t="s">
        <v>28</v>
      </c>
      <c r="J1318" s="9" t="s">
        <v>29</v>
      </c>
      <c r="K1318" s="9" t="s">
        <v>30</v>
      </c>
      <c r="L1318" s="9" t="s">
        <v>31</v>
      </c>
      <c r="M1318" s="0" t="s">
        <v>140</v>
      </c>
      <c r="N1318" s="0" t="n">
        <v>1883</v>
      </c>
      <c r="O1318" s="10" t="n">
        <v>0.590008194558322</v>
      </c>
      <c r="P1318" s="10" t="n">
        <v>0.0297887143678963</v>
      </c>
      <c r="Q1318" s="0" t="str">
        <f aca="false">SUBSTITUTE(SUBSTITUTE($I1318,CHAR(61),""),CHAR(34),"")</f>
        <v>&lt;01</v>
      </c>
      <c r="R1318" s="0" t="str">
        <f aca="false">IF($D1318&lt;&gt;"","["&amp;$E1318&amp;"]"&amp;"|"&amp;$Q1318&amp;"|"&amp;$K1318&amp;"|"&amp;$G1318&amp;"|"&amp;IF($G1318="TX_CURR_SUBNAT.R","CY2022Q4",$M1318),"")</f>
        <v>[fyEoGEPERdI]|&lt;01|Female|PLHIV_Residents.T_1|CY2023Q3</v>
      </c>
    </row>
    <row r="1319" customFormat="false" ht="15" hidden="false" customHeight="false" outlineLevel="0" collapsed="false">
      <c r="D1319" s="9" t="s">
        <v>84</v>
      </c>
      <c r="E1319" s="9" t="s">
        <v>85</v>
      </c>
      <c r="F1319" s="9" t="s">
        <v>86</v>
      </c>
      <c r="G1319" s="9" t="s">
        <v>143</v>
      </c>
      <c r="H1319" s="9" t="s">
        <v>144</v>
      </c>
      <c r="I1319" s="0" t="s">
        <v>33</v>
      </c>
      <c r="J1319" s="9" t="s">
        <v>34</v>
      </c>
      <c r="K1319" s="9" t="s">
        <v>30</v>
      </c>
      <c r="L1319" s="9" t="s">
        <v>31</v>
      </c>
      <c r="M1319" s="0" t="s">
        <v>140</v>
      </c>
      <c r="N1319" s="0" t="n">
        <v>1921</v>
      </c>
      <c r="O1319" s="10" t="n">
        <v>0.625926852226257</v>
      </c>
      <c r="P1319" s="10" t="n">
        <v>0.0297887143678963</v>
      </c>
      <c r="Q1319" s="0" t="str">
        <f aca="false">SUBSTITUTE(SUBSTITUTE($I1319,CHAR(61),""),CHAR(34),"")</f>
        <v>01-09</v>
      </c>
      <c r="R1319" s="0" t="str">
        <f aca="false">IF($D1319&lt;&gt;"","["&amp;$E1319&amp;"]"&amp;"|"&amp;$Q1319&amp;"|"&amp;$K1319&amp;"|"&amp;$G1319&amp;"|"&amp;IF($G1319="TX_CURR_SUBNAT.R","CY2022Q4",$M1319),"")</f>
        <v>[fyEoGEPERdI]|01-09|Female|PLHIV_Residents.T_1|CY2023Q3</v>
      </c>
    </row>
    <row r="1320" customFormat="false" ht="15" hidden="false" customHeight="false" outlineLevel="0" collapsed="false">
      <c r="D1320" s="9" t="s">
        <v>84</v>
      </c>
      <c r="E1320" s="9" t="s">
        <v>85</v>
      </c>
      <c r="F1320" s="9" t="s">
        <v>86</v>
      </c>
      <c r="G1320" s="9" t="s">
        <v>143</v>
      </c>
      <c r="H1320" s="9" t="s">
        <v>144</v>
      </c>
      <c r="I1320" s="0" t="s">
        <v>36</v>
      </c>
      <c r="J1320" s="9" t="s">
        <v>37</v>
      </c>
      <c r="K1320" s="9" t="s">
        <v>30</v>
      </c>
      <c r="L1320" s="9" t="s">
        <v>31</v>
      </c>
      <c r="M1320" s="0" t="s">
        <v>140</v>
      </c>
      <c r="N1320" s="0" t="n">
        <v>758</v>
      </c>
      <c r="O1320" s="10" t="n">
        <v>0.48309452063404</v>
      </c>
      <c r="P1320" s="10" t="n">
        <v>0.0297887143678963</v>
      </c>
      <c r="Q1320" s="0" t="str">
        <f aca="false">SUBSTITUTE(SUBSTITUTE($I1320,CHAR(61),""),CHAR(34),"")</f>
        <v>10-14</v>
      </c>
      <c r="R1320" s="0" t="str">
        <f aca="false">IF($D1320&lt;&gt;"","["&amp;$E1320&amp;"]"&amp;"|"&amp;$Q1320&amp;"|"&amp;$K1320&amp;"|"&amp;$G1320&amp;"|"&amp;IF($G1320="TX_CURR_SUBNAT.R","CY2022Q4",$M1320),"")</f>
        <v>[fyEoGEPERdI]|10-14|Female|PLHIV_Residents.T_1|CY2023Q3</v>
      </c>
    </row>
    <row r="1321" customFormat="false" ht="15" hidden="false" customHeight="false" outlineLevel="0" collapsed="false">
      <c r="D1321" s="9" t="s">
        <v>84</v>
      </c>
      <c r="E1321" s="9" t="s">
        <v>85</v>
      </c>
      <c r="F1321" s="9" t="s">
        <v>86</v>
      </c>
      <c r="G1321" s="9" t="s">
        <v>143</v>
      </c>
      <c r="H1321" s="9" t="s">
        <v>144</v>
      </c>
      <c r="I1321" s="0" t="s">
        <v>38</v>
      </c>
      <c r="J1321" s="9" t="s">
        <v>39</v>
      </c>
      <c r="K1321" s="9" t="s">
        <v>30</v>
      </c>
      <c r="L1321" s="9" t="s">
        <v>31</v>
      </c>
      <c r="M1321" s="0" t="s">
        <v>140</v>
      </c>
      <c r="N1321" s="0" t="n">
        <v>1218</v>
      </c>
      <c r="O1321" s="10" t="n">
        <v>0.746005554217845</v>
      </c>
      <c r="P1321" s="10" t="n">
        <v>0.0297887143678963</v>
      </c>
      <c r="Q1321" s="0" t="str">
        <f aca="false">SUBSTITUTE(SUBSTITUTE($I1321,CHAR(61),""),CHAR(34),"")</f>
        <v>15-24</v>
      </c>
      <c r="R1321" s="0" t="str">
        <f aca="false">IF($D1321&lt;&gt;"","["&amp;$E1321&amp;"]"&amp;"|"&amp;$Q1321&amp;"|"&amp;$K1321&amp;"|"&amp;$G1321&amp;"|"&amp;IF($G1321="TX_CURR_SUBNAT.R","CY2022Q4",$M1321),"")</f>
        <v>[fyEoGEPERdI]|15-24|Female|PLHIV_Residents.T_1|CY2023Q3</v>
      </c>
    </row>
    <row r="1322" customFormat="false" ht="15" hidden="false" customHeight="false" outlineLevel="0" collapsed="false">
      <c r="D1322" s="9" t="s">
        <v>84</v>
      </c>
      <c r="E1322" s="9" t="s">
        <v>85</v>
      </c>
      <c r="F1322" s="9" t="s">
        <v>86</v>
      </c>
      <c r="G1322" s="9" t="s">
        <v>143</v>
      </c>
      <c r="H1322" s="9" t="s">
        <v>144</v>
      </c>
      <c r="I1322" s="0" t="s">
        <v>41</v>
      </c>
      <c r="J1322" s="9" t="s">
        <v>42</v>
      </c>
      <c r="K1322" s="9" t="s">
        <v>30</v>
      </c>
      <c r="L1322" s="9" t="s">
        <v>31</v>
      </c>
      <c r="M1322" s="0" t="s">
        <v>140</v>
      </c>
      <c r="N1322" s="0" t="n">
        <v>1661</v>
      </c>
      <c r="O1322" s="10" t="n">
        <v>0.59294742019847</v>
      </c>
      <c r="P1322" s="10" t="n">
        <v>0.0297887143678963</v>
      </c>
      <c r="Q1322" s="0" t="str">
        <f aca="false">SUBSTITUTE(SUBSTITUTE($I1322,CHAR(61),""),CHAR(34),"")</f>
        <v>25-34</v>
      </c>
      <c r="R1322" s="0" t="str">
        <f aca="false">IF($D1322&lt;&gt;"","["&amp;$E1322&amp;"]"&amp;"|"&amp;$Q1322&amp;"|"&amp;$K1322&amp;"|"&amp;$G1322&amp;"|"&amp;IF($G1322="TX_CURR_SUBNAT.R","CY2022Q4",$M1322),"")</f>
        <v>[fyEoGEPERdI]|25-34|Female|PLHIV_Residents.T_1|CY2023Q3</v>
      </c>
    </row>
    <row r="1323" customFormat="false" ht="15" hidden="false" customHeight="false" outlineLevel="0" collapsed="false">
      <c r="D1323" s="9" t="s">
        <v>84</v>
      </c>
      <c r="E1323" s="9" t="s">
        <v>85</v>
      </c>
      <c r="F1323" s="9" t="s">
        <v>86</v>
      </c>
      <c r="G1323" s="9" t="s">
        <v>143</v>
      </c>
      <c r="H1323" s="9" t="s">
        <v>144</v>
      </c>
      <c r="I1323" s="0" t="s">
        <v>43</v>
      </c>
      <c r="J1323" s="9" t="s">
        <v>44</v>
      </c>
      <c r="K1323" s="9" t="s">
        <v>30</v>
      </c>
      <c r="L1323" s="9" t="s">
        <v>31</v>
      </c>
      <c r="M1323" s="0" t="s">
        <v>140</v>
      </c>
      <c r="N1323" s="0" t="n">
        <v>637</v>
      </c>
      <c r="O1323" s="10" t="n">
        <v>0.189155929721892</v>
      </c>
      <c r="P1323" s="10" t="n">
        <v>0.0297887143678963</v>
      </c>
      <c r="Q1323" s="0" t="str">
        <f aca="false">SUBSTITUTE(SUBSTITUTE($I1323,CHAR(61),""),CHAR(34),"")</f>
        <v>35-49</v>
      </c>
      <c r="R1323" s="0" t="str">
        <f aca="false">IF($D1323&lt;&gt;"","["&amp;$E1323&amp;"]"&amp;"|"&amp;$Q1323&amp;"|"&amp;$K1323&amp;"|"&amp;$G1323&amp;"|"&amp;IF($G1323="TX_CURR_SUBNAT.R","CY2022Q4",$M1323),"")</f>
        <v>[fyEoGEPERdI]|35-49|Female|PLHIV_Residents.T_1|CY2023Q3</v>
      </c>
    </row>
    <row r="1324" customFormat="false" ht="15" hidden="false" customHeight="false" outlineLevel="0" collapsed="false">
      <c r="D1324" s="9" t="s">
        <v>84</v>
      </c>
      <c r="E1324" s="9" t="s">
        <v>85</v>
      </c>
      <c r="F1324" s="9" t="s">
        <v>86</v>
      </c>
      <c r="G1324" s="9" t="s">
        <v>143</v>
      </c>
      <c r="H1324" s="9" t="s">
        <v>144</v>
      </c>
      <c r="I1324" s="0" t="s">
        <v>45</v>
      </c>
      <c r="J1324" s="9" t="s">
        <v>46</v>
      </c>
      <c r="K1324" s="9" t="s">
        <v>30</v>
      </c>
      <c r="L1324" s="9" t="s">
        <v>31</v>
      </c>
      <c r="M1324" s="0" t="s">
        <v>140</v>
      </c>
      <c r="N1324" s="0" t="n">
        <v>547</v>
      </c>
      <c r="O1324" s="10" t="n">
        <v>0.0137408832088113</v>
      </c>
      <c r="P1324" s="10" t="n">
        <v>0.0297887143678963</v>
      </c>
      <c r="Q1324" s="0" t="str">
        <f aca="false">SUBSTITUTE(SUBSTITUTE($I1324,CHAR(61),""),CHAR(34),"")</f>
        <v>50+</v>
      </c>
      <c r="R1324" s="0" t="str">
        <f aca="false">IF($D1324&lt;&gt;"","["&amp;$E1324&amp;"]"&amp;"|"&amp;$Q1324&amp;"|"&amp;$K1324&amp;"|"&amp;$G1324&amp;"|"&amp;IF($G1324="TX_CURR_SUBNAT.R","CY2022Q4",$M1324),"")</f>
        <v>[fyEoGEPERdI]|50+|Female|PLHIV_Residents.T_1|CY2023Q3</v>
      </c>
    </row>
    <row r="1325" customFormat="false" ht="15" hidden="false" customHeight="false" outlineLevel="0" collapsed="false">
      <c r="D1325" s="9" t="s">
        <v>84</v>
      </c>
      <c r="E1325" s="9" t="s">
        <v>85</v>
      </c>
      <c r="F1325" s="9" t="s">
        <v>86</v>
      </c>
      <c r="G1325" s="9" t="s">
        <v>143</v>
      </c>
      <c r="H1325" s="9" t="s">
        <v>144</v>
      </c>
      <c r="I1325" s="0" t="s">
        <v>28</v>
      </c>
      <c r="J1325" s="9" t="s">
        <v>29</v>
      </c>
      <c r="K1325" s="9" t="s">
        <v>48</v>
      </c>
      <c r="L1325" s="9" t="s">
        <v>49</v>
      </c>
      <c r="M1325" s="0" t="s">
        <v>140</v>
      </c>
      <c r="N1325" s="0" t="n">
        <v>1571</v>
      </c>
      <c r="O1325" s="10" t="n">
        <v>0.602484525414184</v>
      </c>
      <c r="P1325" s="10" t="n">
        <v>0.0297887143678963</v>
      </c>
      <c r="Q1325" s="0" t="str">
        <f aca="false">SUBSTITUTE(SUBSTITUTE($I1325,CHAR(61),""),CHAR(34),"")</f>
        <v>&lt;01</v>
      </c>
      <c r="R1325" s="0" t="str">
        <f aca="false">IF($D1325&lt;&gt;"","["&amp;$E1325&amp;"]"&amp;"|"&amp;$Q1325&amp;"|"&amp;$K1325&amp;"|"&amp;$G1325&amp;"|"&amp;IF($G1325="TX_CURR_SUBNAT.R","CY2022Q4",$M1325),"")</f>
        <v>[fyEoGEPERdI]|&lt;01|Male|PLHIV_Residents.T_1|CY2023Q3</v>
      </c>
    </row>
    <row r="1326" customFormat="false" ht="15" hidden="false" customHeight="false" outlineLevel="0" collapsed="false">
      <c r="D1326" s="9" t="s">
        <v>84</v>
      </c>
      <c r="E1326" s="9" t="s">
        <v>85</v>
      </c>
      <c r="F1326" s="9" t="s">
        <v>86</v>
      </c>
      <c r="G1326" s="9" t="s">
        <v>143</v>
      </c>
      <c r="H1326" s="9" t="s">
        <v>144</v>
      </c>
      <c r="I1326" s="0" t="s">
        <v>33</v>
      </c>
      <c r="J1326" s="9" t="s">
        <v>34</v>
      </c>
      <c r="K1326" s="9" t="s">
        <v>48</v>
      </c>
      <c r="L1326" s="9" t="s">
        <v>49</v>
      </c>
      <c r="M1326" s="0" t="s">
        <v>140</v>
      </c>
      <c r="N1326" s="0" t="n">
        <v>710</v>
      </c>
      <c r="O1326" s="10" t="n">
        <v>0.624646607553586</v>
      </c>
      <c r="P1326" s="10" t="n">
        <v>0.0297887143678963</v>
      </c>
      <c r="Q1326" s="0" t="str">
        <f aca="false">SUBSTITUTE(SUBSTITUTE($I1326,CHAR(61),""),CHAR(34),"")</f>
        <v>01-09</v>
      </c>
      <c r="R1326" s="0" t="str">
        <f aca="false">IF($D1326&lt;&gt;"","["&amp;$E1326&amp;"]"&amp;"|"&amp;$Q1326&amp;"|"&amp;$K1326&amp;"|"&amp;$G1326&amp;"|"&amp;IF($G1326="TX_CURR_SUBNAT.R","CY2022Q4",$M1326),"")</f>
        <v>[fyEoGEPERdI]|01-09|Male|PLHIV_Residents.T_1|CY2023Q3</v>
      </c>
    </row>
    <row r="1327" customFormat="false" ht="15" hidden="false" customHeight="false" outlineLevel="0" collapsed="false">
      <c r="D1327" s="9" t="s">
        <v>84</v>
      </c>
      <c r="E1327" s="9" t="s">
        <v>85</v>
      </c>
      <c r="F1327" s="9" t="s">
        <v>86</v>
      </c>
      <c r="G1327" s="9" t="s">
        <v>143</v>
      </c>
      <c r="H1327" s="9" t="s">
        <v>144</v>
      </c>
      <c r="I1327" s="0" t="s">
        <v>36</v>
      </c>
      <c r="J1327" s="9" t="s">
        <v>37</v>
      </c>
      <c r="K1327" s="9" t="s">
        <v>48</v>
      </c>
      <c r="L1327" s="9" t="s">
        <v>49</v>
      </c>
      <c r="M1327" s="0" t="s">
        <v>140</v>
      </c>
      <c r="N1327" s="0" t="n">
        <v>1965</v>
      </c>
      <c r="O1327" s="10" t="n">
        <v>0.895070459926501</v>
      </c>
      <c r="P1327" s="10" t="n">
        <v>0.0297887143678963</v>
      </c>
      <c r="Q1327" s="0" t="str">
        <f aca="false">SUBSTITUTE(SUBSTITUTE($I1327,CHAR(61),""),CHAR(34),"")</f>
        <v>10-14</v>
      </c>
      <c r="R1327" s="0" t="str">
        <f aca="false">IF($D1327&lt;&gt;"","["&amp;$E1327&amp;"]"&amp;"|"&amp;$Q1327&amp;"|"&amp;$K1327&amp;"|"&amp;$G1327&amp;"|"&amp;IF($G1327="TX_CURR_SUBNAT.R","CY2022Q4",$M1327),"")</f>
        <v>[fyEoGEPERdI]|10-14|Male|PLHIV_Residents.T_1|CY2023Q3</v>
      </c>
    </row>
    <row r="1328" customFormat="false" ht="15" hidden="false" customHeight="false" outlineLevel="0" collapsed="false">
      <c r="D1328" s="9" t="s">
        <v>84</v>
      </c>
      <c r="E1328" s="9" t="s">
        <v>85</v>
      </c>
      <c r="F1328" s="9" t="s">
        <v>86</v>
      </c>
      <c r="G1328" s="9" t="s">
        <v>143</v>
      </c>
      <c r="H1328" s="9" t="s">
        <v>144</v>
      </c>
      <c r="I1328" s="0" t="s">
        <v>38</v>
      </c>
      <c r="J1328" s="9" t="s">
        <v>39</v>
      </c>
      <c r="K1328" s="9" t="s">
        <v>48</v>
      </c>
      <c r="L1328" s="9" t="s">
        <v>49</v>
      </c>
      <c r="M1328" s="0" t="s">
        <v>140</v>
      </c>
      <c r="N1328" s="0" t="n">
        <v>1263</v>
      </c>
      <c r="O1328" s="10" t="n">
        <v>0.574702552752569</v>
      </c>
      <c r="P1328" s="10" t="n">
        <v>0.0297887143678963</v>
      </c>
      <c r="Q1328" s="0" t="str">
        <f aca="false">SUBSTITUTE(SUBSTITUTE($I1328,CHAR(61),""),CHAR(34),"")</f>
        <v>15-24</v>
      </c>
      <c r="R1328" s="0" t="str">
        <f aca="false">IF($D1328&lt;&gt;"","["&amp;$E1328&amp;"]"&amp;"|"&amp;$Q1328&amp;"|"&amp;$K1328&amp;"|"&amp;$G1328&amp;"|"&amp;IF($G1328="TX_CURR_SUBNAT.R","CY2022Q4",$M1328),"")</f>
        <v>[fyEoGEPERdI]|15-24|Male|PLHIV_Residents.T_1|CY2023Q3</v>
      </c>
    </row>
    <row r="1329" customFormat="false" ht="15" hidden="false" customHeight="false" outlineLevel="0" collapsed="false">
      <c r="D1329" s="9" t="s">
        <v>84</v>
      </c>
      <c r="E1329" s="9" t="s">
        <v>85</v>
      </c>
      <c r="F1329" s="9" t="s">
        <v>86</v>
      </c>
      <c r="G1329" s="9" t="s">
        <v>143</v>
      </c>
      <c r="H1329" s="9" t="s">
        <v>144</v>
      </c>
      <c r="I1329" s="0" t="s">
        <v>41</v>
      </c>
      <c r="J1329" s="9" t="s">
        <v>42</v>
      </c>
      <c r="K1329" s="9" t="s">
        <v>48</v>
      </c>
      <c r="L1329" s="9" t="s">
        <v>49</v>
      </c>
      <c r="M1329" s="0" t="s">
        <v>140</v>
      </c>
      <c r="N1329" s="0" t="n">
        <v>1249</v>
      </c>
      <c r="O1329" s="10" t="n">
        <v>0.257892204448581</v>
      </c>
      <c r="P1329" s="10" t="n">
        <v>0.0297887143678963</v>
      </c>
      <c r="Q1329" s="0" t="str">
        <f aca="false">SUBSTITUTE(SUBSTITUTE($I1329,CHAR(61),""),CHAR(34),"")</f>
        <v>25-34</v>
      </c>
      <c r="R1329" s="0" t="str">
        <f aca="false">IF($D1329&lt;&gt;"","["&amp;$E1329&amp;"]"&amp;"|"&amp;$Q1329&amp;"|"&amp;$K1329&amp;"|"&amp;$G1329&amp;"|"&amp;IF($G1329="TX_CURR_SUBNAT.R","CY2022Q4",$M1329),"")</f>
        <v>[fyEoGEPERdI]|25-34|Male|PLHIV_Residents.T_1|CY2023Q3</v>
      </c>
    </row>
    <row r="1330" customFormat="false" ht="15" hidden="false" customHeight="false" outlineLevel="0" collapsed="false">
      <c r="D1330" s="9" t="s">
        <v>84</v>
      </c>
      <c r="E1330" s="9" t="s">
        <v>85</v>
      </c>
      <c r="F1330" s="9" t="s">
        <v>86</v>
      </c>
      <c r="G1330" s="9" t="s">
        <v>143</v>
      </c>
      <c r="H1330" s="9" t="s">
        <v>144</v>
      </c>
      <c r="I1330" s="0" t="s">
        <v>43</v>
      </c>
      <c r="J1330" s="9" t="s">
        <v>44</v>
      </c>
      <c r="K1330" s="9" t="s">
        <v>48</v>
      </c>
      <c r="L1330" s="9" t="s">
        <v>49</v>
      </c>
      <c r="M1330" s="0" t="s">
        <v>140</v>
      </c>
      <c r="N1330" s="0" t="n">
        <v>1892</v>
      </c>
      <c r="O1330" s="10" t="n">
        <v>0.922458943212405</v>
      </c>
      <c r="P1330" s="10" t="n">
        <v>0.0297887143678963</v>
      </c>
      <c r="Q1330" s="0" t="str">
        <f aca="false">SUBSTITUTE(SUBSTITUTE($I1330,CHAR(61),""),CHAR(34),"")</f>
        <v>35-49</v>
      </c>
      <c r="R1330" s="0" t="str">
        <f aca="false">IF($D1330&lt;&gt;"","["&amp;$E1330&amp;"]"&amp;"|"&amp;$Q1330&amp;"|"&amp;$K1330&amp;"|"&amp;$G1330&amp;"|"&amp;IF($G1330="TX_CURR_SUBNAT.R","CY2022Q4",$M1330),"")</f>
        <v>[fyEoGEPERdI]|35-49|Male|PLHIV_Residents.T_1|CY2023Q3</v>
      </c>
    </row>
    <row r="1331" customFormat="false" ht="15" hidden="false" customHeight="false" outlineLevel="0" collapsed="false">
      <c r="D1331" s="9" t="s">
        <v>84</v>
      </c>
      <c r="E1331" s="9" t="s">
        <v>85</v>
      </c>
      <c r="F1331" s="9" t="s">
        <v>86</v>
      </c>
      <c r="G1331" s="9" t="s">
        <v>143</v>
      </c>
      <c r="H1331" s="9" t="s">
        <v>144</v>
      </c>
      <c r="I1331" s="0" t="s">
        <v>45</v>
      </c>
      <c r="J1331" s="9" t="s">
        <v>46</v>
      </c>
      <c r="K1331" s="9" t="s">
        <v>48</v>
      </c>
      <c r="L1331" s="9" t="s">
        <v>49</v>
      </c>
      <c r="M1331" s="0" t="s">
        <v>140</v>
      </c>
      <c r="N1331" s="0" t="n">
        <v>1788</v>
      </c>
      <c r="O1331" s="10" t="n">
        <v>0.447807870572433</v>
      </c>
      <c r="P1331" s="10" t="n">
        <v>0.0297887143678963</v>
      </c>
      <c r="Q1331" s="0" t="str">
        <f aca="false">SUBSTITUTE(SUBSTITUTE($I1331,CHAR(61),""),CHAR(34),"")</f>
        <v>50+</v>
      </c>
      <c r="R1331" s="0" t="str">
        <f aca="false">IF($D1331&lt;&gt;"","["&amp;$E1331&amp;"]"&amp;"|"&amp;$Q1331&amp;"|"&amp;$K1331&amp;"|"&amp;$G1331&amp;"|"&amp;IF($G1331="TX_CURR_SUBNAT.R","CY2022Q4",$M1331),"")</f>
        <v>[fyEoGEPERdI]|50+|Male|PLHIV_Residents.T_1|CY2023Q3</v>
      </c>
    </row>
    <row r="1332" customFormat="false" ht="15" hidden="false" customHeight="false" outlineLevel="0" collapsed="false">
      <c r="D1332" s="9" t="s">
        <v>87</v>
      </c>
      <c r="E1332" s="9" t="s">
        <v>88</v>
      </c>
      <c r="F1332" s="9" t="s">
        <v>89</v>
      </c>
      <c r="G1332" s="9" t="s">
        <v>143</v>
      </c>
      <c r="H1332" s="9" t="s">
        <v>144</v>
      </c>
      <c r="I1332" s="0" t="s">
        <v>28</v>
      </c>
      <c r="J1332" s="9" t="s">
        <v>29</v>
      </c>
      <c r="K1332" s="9" t="s">
        <v>30</v>
      </c>
      <c r="L1332" s="9" t="s">
        <v>31</v>
      </c>
      <c r="M1332" s="0" t="s">
        <v>140</v>
      </c>
      <c r="N1332" s="0" t="n">
        <v>1627</v>
      </c>
      <c r="O1332" s="10" t="n">
        <v>0.911491535604</v>
      </c>
      <c r="P1332" s="10" t="n">
        <v>0.133336380822584</v>
      </c>
      <c r="Q1332" s="0" t="str">
        <f aca="false">SUBSTITUTE(SUBSTITUTE($I1332,CHAR(61),""),CHAR(34),"")</f>
        <v>&lt;01</v>
      </c>
      <c r="R1332" s="0" t="str">
        <f aca="false">IF($D1332&lt;&gt;"","["&amp;$E1332&amp;"]"&amp;"|"&amp;$Q1332&amp;"|"&amp;$K1332&amp;"|"&amp;$G1332&amp;"|"&amp;IF($G1332="TX_CURR_SUBNAT.R","CY2022Q4",$M1332),"")</f>
        <v>[cPtvxaZqXIH]|&lt;01|Female|PLHIV_Residents.T_1|CY2023Q3</v>
      </c>
    </row>
    <row r="1333" customFormat="false" ht="15" hidden="false" customHeight="false" outlineLevel="0" collapsed="false">
      <c r="D1333" s="9" t="s">
        <v>87</v>
      </c>
      <c r="E1333" s="9" t="s">
        <v>88</v>
      </c>
      <c r="F1333" s="9" t="s">
        <v>89</v>
      </c>
      <c r="G1333" s="9" t="s">
        <v>143</v>
      </c>
      <c r="H1333" s="9" t="s">
        <v>144</v>
      </c>
      <c r="I1333" s="0" t="s">
        <v>33</v>
      </c>
      <c r="J1333" s="9" t="s">
        <v>34</v>
      </c>
      <c r="K1333" s="9" t="s">
        <v>30</v>
      </c>
      <c r="L1333" s="9" t="s">
        <v>31</v>
      </c>
      <c r="M1333" s="0" t="s">
        <v>140</v>
      </c>
      <c r="N1333" s="0" t="n">
        <v>1651</v>
      </c>
      <c r="O1333" s="10" t="n">
        <v>0.24596086028032</v>
      </c>
      <c r="P1333" s="10" t="n">
        <v>0.133336380822584</v>
      </c>
      <c r="Q1333" s="0" t="str">
        <f aca="false">SUBSTITUTE(SUBSTITUTE($I1333,CHAR(61),""),CHAR(34),"")</f>
        <v>01-09</v>
      </c>
      <c r="R1333" s="0" t="str">
        <f aca="false">IF($D1333&lt;&gt;"","["&amp;$E1333&amp;"]"&amp;"|"&amp;$Q1333&amp;"|"&amp;$K1333&amp;"|"&amp;$G1333&amp;"|"&amp;IF($G1333="TX_CURR_SUBNAT.R","CY2022Q4",$M1333),"")</f>
        <v>[cPtvxaZqXIH]|01-09|Female|PLHIV_Residents.T_1|CY2023Q3</v>
      </c>
    </row>
    <row r="1334" customFormat="false" ht="15" hidden="false" customHeight="false" outlineLevel="0" collapsed="false">
      <c r="D1334" s="9" t="s">
        <v>87</v>
      </c>
      <c r="E1334" s="9" t="s">
        <v>88</v>
      </c>
      <c r="F1334" s="9" t="s">
        <v>89</v>
      </c>
      <c r="G1334" s="9" t="s">
        <v>143</v>
      </c>
      <c r="H1334" s="9" t="s">
        <v>144</v>
      </c>
      <c r="I1334" s="0" t="s">
        <v>36</v>
      </c>
      <c r="J1334" s="9" t="s">
        <v>37</v>
      </c>
      <c r="K1334" s="9" t="s">
        <v>30</v>
      </c>
      <c r="L1334" s="9" t="s">
        <v>31</v>
      </c>
      <c r="M1334" s="0" t="s">
        <v>140</v>
      </c>
      <c r="N1334" s="0" t="n">
        <v>1184</v>
      </c>
      <c r="O1334" s="10" t="n">
        <v>0.72505359002389</v>
      </c>
      <c r="P1334" s="10" t="n">
        <v>0.133336380822584</v>
      </c>
      <c r="Q1334" s="0" t="str">
        <f aca="false">SUBSTITUTE(SUBSTITUTE($I1334,CHAR(61),""),CHAR(34),"")</f>
        <v>10-14</v>
      </c>
      <c r="R1334" s="0" t="str">
        <f aca="false">IF($D1334&lt;&gt;"","["&amp;$E1334&amp;"]"&amp;"|"&amp;$Q1334&amp;"|"&amp;$K1334&amp;"|"&amp;$G1334&amp;"|"&amp;IF($G1334="TX_CURR_SUBNAT.R","CY2022Q4",$M1334),"")</f>
        <v>[cPtvxaZqXIH]|10-14|Female|PLHIV_Residents.T_1|CY2023Q3</v>
      </c>
    </row>
    <row r="1335" customFormat="false" ht="15" hidden="false" customHeight="false" outlineLevel="0" collapsed="false">
      <c r="D1335" s="9" t="s">
        <v>87</v>
      </c>
      <c r="E1335" s="9" t="s">
        <v>88</v>
      </c>
      <c r="F1335" s="9" t="s">
        <v>89</v>
      </c>
      <c r="G1335" s="9" t="s">
        <v>143</v>
      </c>
      <c r="H1335" s="9" t="s">
        <v>144</v>
      </c>
      <c r="I1335" s="0" t="s">
        <v>38</v>
      </c>
      <c r="J1335" s="9" t="s">
        <v>39</v>
      </c>
      <c r="K1335" s="9" t="s">
        <v>30</v>
      </c>
      <c r="L1335" s="9" t="s">
        <v>31</v>
      </c>
      <c r="M1335" s="0" t="s">
        <v>140</v>
      </c>
      <c r="N1335" s="0" t="n">
        <v>554</v>
      </c>
      <c r="O1335" s="10" t="n">
        <v>0.608276199316606</v>
      </c>
      <c r="P1335" s="10" t="n">
        <v>0.133336380822584</v>
      </c>
      <c r="Q1335" s="0" t="str">
        <f aca="false">SUBSTITUTE(SUBSTITUTE($I1335,CHAR(61),""),CHAR(34),"")</f>
        <v>15-24</v>
      </c>
      <c r="R1335" s="0" t="str">
        <f aca="false">IF($D1335&lt;&gt;"","["&amp;$E1335&amp;"]"&amp;"|"&amp;$Q1335&amp;"|"&amp;$K1335&amp;"|"&amp;$G1335&amp;"|"&amp;IF($G1335="TX_CURR_SUBNAT.R","CY2022Q4",$M1335),"")</f>
        <v>[cPtvxaZqXIH]|15-24|Female|PLHIV_Residents.T_1|CY2023Q3</v>
      </c>
    </row>
    <row r="1336" customFormat="false" ht="15" hidden="false" customHeight="false" outlineLevel="0" collapsed="false">
      <c r="D1336" s="9" t="s">
        <v>87</v>
      </c>
      <c r="E1336" s="9" t="s">
        <v>88</v>
      </c>
      <c r="F1336" s="9" t="s">
        <v>89</v>
      </c>
      <c r="G1336" s="9" t="s">
        <v>143</v>
      </c>
      <c r="H1336" s="9" t="s">
        <v>144</v>
      </c>
      <c r="I1336" s="0" t="s">
        <v>41</v>
      </c>
      <c r="J1336" s="9" t="s">
        <v>42</v>
      </c>
      <c r="K1336" s="9" t="s">
        <v>30</v>
      </c>
      <c r="L1336" s="9" t="s">
        <v>31</v>
      </c>
      <c r="M1336" s="0" t="s">
        <v>140</v>
      </c>
      <c r="N1336" s="0" t="n">
        <v>752</v>
      </c>
      <c r="O1336" s="10" t="n">
        <v>0.742923245532438</v>
      </c>
      <c r="P1336" s="10" t="n">
        <v>0.133336380822584</v>
      </c>
      <c r="Q1336" s="0" t="str">
        <f aca="false">SUBSTITUTE(SUBSTITUTE($I1336,CHAR(61),""),CHAR(34),"")</f>
        <v>25-34</v>
      </c>
      <c r="R1336" s="0" t="str">
        <f aca="false">IF($D1336&lt;&gt;"","["&amp;$E1336&amp;"]"&amp;"|"&amp;$Q1336&amp;"|"&amp;$K1336&amp;"|"&amp;$G1336&amp;"|"&amp;IF($G1336="TX_CURR_SUBNAT.R","CY2022Q4",$M1336),"")</f>
        <v>[cPtvxaZqXIH]|25-34|Female|PLHIV_Residents.T_1|CY2023Q3</v>
      </c>
    </row>
    <row r="1337" customFormat="false" ht="15" hidden="false" customHeight="false" outlineLevel="0" collapsed="false">
      <c r="D1337" s="9" t="s">
        <v>87</v>
      </c>
      <c r="E1337" s="9" t="s">
        <v>88</v>
      </c>
      <c r="F1337" s="9" t="s">
        <v>89</v>
      </c>
      <c r="G1337" s="9" t="s">
        <v>143</v>
      </c>
      <c r="H1337" s="9" t="s">
        <v>144</v>
      </c>
      <c r="I1337" s="0" t="s">
        <v>43</v>
      </c>
      <c r="J1337" s="9" t="s">
        <v>44</v>
      </c>
      <c r="K1337" s="9" t="s">
        <v>30</v>
      </c>
      <c r="L1337" s="9" t="s">
        <v>31</v>
      </c>
      <c r="M1337" s="0" t="s">
        <v>140</v>
      </c>
      <c r="N1337" s="0" t="n">
        <v>1245</v>
      </c>
      <c r="O1337" s="10" t="n">
        <v>0.0965150997508317</v>
      </c>
      <c r="P1337" s="10" t="n">
        <v>0.133336380822584</v>
      </c>
      <c r="Q1337" s="0" t="str">
        <f aca="false">SUBSTITUTE(SUBSTITUTE($I1337,CHAR(61),""),CHAR(34),"")</f>
        <v>35-49</v>
      </c>
      <c r="R1337" s="0" t="str">
        <f aca="false">IF($D1337&lt;&gt;"","["&amp;$E1337&amp;"]"&amp;"|"&amp;$Q1337&amp;"|"&amp;$K1337&amp;"|"&amp;$G1337&amp;"|"&amp;IF($G1337="TX_CURR_SUBNAT.R","CY2022Q4",$M1337),"")</f>
        <v>[cPtvxaZqXIH]|35-49|Female|PLHIV_Residents.T_1|CY2023Q3</v>
      </c>
    </row>
    <row r="1338" customFormat="false" ht="15" hidden="false" customHeight="false" outlineLevel="0" collapsed="false">
      <c r="D1338" s="9" t="s">
        <v>87</v>
      </c>
      <c r="E1338" s="9" t="s">
        <v>88</v>
      </c>
      <c r="F1338" s="9" t="s">
        <v>89</v>
      </c>
      <c r="G1338" s="9" t="s">
        <v>143</v>
      </c>
      <c r="H1338" s="9" t="s">
        <v>144</v>
      </c>
      <c r="I1338" s="0" t="s">
        <v>45</v>
      </c>
      <c r="J1338" s="9" t="s">
        <v>46</v>
      </c>
      <c r="K1338" s="9" t="s">
        <v>30</v>
      </c>
      <c r="L1338" s="9" t="s">
        <v>31</v>
      </c>
      <c r="M1338" s="0" t="s">
        <v>140</v>
      </c>
      <c r="N1338" s="0" t="n">
        <v>1906</v>
      </c>
      <c r="O1338" s="10" t="n">
        <v>0.595004598842934</v>
      </c>
      <c r="P1338" s="10" t="n">
        <v>0.133336380822584</v>
      </c>
      <c r="Q1338" s="0" t="str">
        <f aca="false">SUBSTITUTE(SUBSTITUTE($I1338,CHAR(61),""),CHAR(34),"")</f>
        <v>50+</v>
      </c>
      <c r="R1338" s="0" t="str">
        <f aca="false">IF($D1338&lt;&gt;"","["&amp;$E1338&amp;"]"&amp;"|"&amp;$Q1338&amp;"|"&amp;$K1338&amp;"|"&amp;$G1338&amp;"|"&amp;IF($G1338="TX_CURR_SUBNAT.R","CY2022Q4",$M1338),"")</f>
        <v>[cPtvxaZqXIH]|50+|Female|PLHIV_Residents.T_1|CY2023Q3</v>
      </c>
    </row>
    <row r="1339" customFormat="false" ht="15" hidden="false" customHeight="false" outlineLevel="0" collapsed="false">
      <c r="D1339" s="9" t="s">
        <v>87</v>
      </c>
      <c r="E1339" s="9" t="s">
        <v>88</v>
      </c>
      <c r="F1339" s="9" t="s">
        <v>89</v>
      </c>
      <c r="G1339" s="9" t="s">
        <v>143</v>
      </c>
      <c r="H1339" s="9" t="s">
        <v>144</v>
      </c>
      <c r="I1339" s="0" t="s">
        <v>28</v>
      </c>
      <c r="J1339" s="9" t="s">
        <v>29</v>
      </c>
      <c r="K1339" s="9" t="s">
        <v>48</v>
      </c>
      <c r="L1339" s="9" t="s">
        <v>49</v>
      </c>
      <c r="M1339" s="0" t="s">
        <v>140</v>
      </c>
      <c r="N1339" s="0" t="n">
        <v>1245</v>
      </c>
      <c r="O1339" s="10" t="n">
        <v>0.110091760288924</v>
      </c>
      <c r="P1339" s="10" t="n">
        <v>0.133336380822584</v>
      </c>
      <c r="Q1339" s="0" t="str">
        <f aca="false">SUBSTITUTE(SUBSTITUTE($I1339,CHAR(61),""),CHAR(34),"")</f>
        <v>&lt;01</v>
      </c>
      <c r="R1339" s="0" t="str">
        <f aca="false">IF($D1339&lt;&gt;"","["&amp;$E1339&amp;"]"&amp;"|"&amp;$Q1339&amp;"|"&amp;$K1339&amp;"|"&amp;$G1339&amp;"|"&amp;IF($G1339="TX_CURR_SUBNAT.R","CY2022Q4",$M1339),"")</f>
        <v>[cPtvxaZqXIH]|&lt;01|Male|PLHIV_Residents.T_1|CY2023Q3</v>
      </c>
    </row>
    <row r="1340" customFormat="false" ht="15" hidden="false" customHeight="false" outlineLevel="0" collapsed="false">
      <c r="D1340" s="9" t="s">
        <v>87</v>
      </c>
      <c r="E1340" s="9" t="s">
        <v>88</v>
      </c>
      <c r="F1340" s="9" t="s">
        <v>89</v>
      </c>
      <c r="G1340" s="9" t="s">
        <v>143</v>
      </c>
      <c r="H1340" s="9" t="s">
        <v>144</v>
      </c>
      <c r="I1340" s="0" t="s">
        <v>33</v>
      </c>
      <c r="J1340" s="9" t="s">
        <v>34</v>
      </c>
      <c r="K1340" s="9" t="s">
        <v>48</v>
      </c>
      <c r="L1340" s="9" t="s">
        <v>49</v>
      </c>
      <c r="M1340" s="0" t="s">
        <v>140</v>
      </c>
      <c r="N1340" s="0" t="n">
        <v>1440</v>
      </c>
      <c r="O1340" s="10" t="n">
        <v>0.151308452244848</v>
      </c>
      <c r="P1340" s="10" t="n">
        <v>0.133336380822584</v>
      </c>
      <c r="Q1340" s="0" t="str">
        <f aca="false">SUBSTITUTE(SUBSTITUTE($I1340,CHAR(61),""),CHAR(34),"")</f>
        <v>01-09</v>
      </c>
      <c r="R1340" s="0" t="str">
        <f aca="false">IF($D1340&lt;&gt;"","["&amp;$E1340&amp;"]"&amp;"|"&amp;$Q1340&amp;"|"&amp;$K1340&amp;"|"&amp;$G1340&amp;"|"&amp;IF($G1340="TX_CURR_SUBNAT.R","CY2022Q4",$M1340),"")</f>
        <v>[cPtvxaZqXIH]|01-09|Male|PLHIV_Residents.T_1|CY2023Q3</v>
      </c>
    </row>
    <row r="1341" customFormat="false" ht="15" hidden="false" customHeight="false" outlineLevel="0" collapsed="false">
      <c r="D1341" s="9" t="s">
        <v>87</v>
      </c>
      <c r="E1341" s="9" t="s">
        <v>88</v>
      </c>
      <c r="F1341" s="9" t="s">
        <v>89</v>
      </c>
      <c r="G1341" s="9" t="s">
        <v>143</v>
      </c>
      <c r="H1341" s="9" t="s">
        <v>144</v>
      </c>
      <c r="I1341" s="0" t="s">
        <v>36</v>
      </c>
      <c r="J1341" s="9" t="s">
        <v>37</v>
      </c>
      <c r="K1341" s="9" t="s">
        <v>48</v>
      </c>
      <c r="L1341" s="9" t="s">
        <v>49</v>
      </c>
      <c r="M1341" s="0" t="s">
        <v>140</v>
      </c>
      <c r="N1341" s="0" t="n">
        <v>748</v>
      </c>
      <c r="O1341" s="10" t="n">
        <v>0.287334893830121</v>
      </c>
      <c r="P1341" s="10" t="n">
        <v>0.133336380822584</v>
      </c>
      <c r="Q1341" s="0" t="str">
        <f aca="false">SUBSTITUTE(SUBSTITUTE($I1341,CHAR(61),""),CHAR(34),"")</f>
        <v>10-14</v>
      </c>
      <c r="R1341" s="0" t="str">
        <f aca="false">IF($D1341&lt;&gt;"","["&amp;$E1341&amp;"]"&amp;"|"&amp;$Q1341&amp;"|"&amp;$K1341&amp;"|"&amp;$G1341&amp;"|"&amp;IF($G1341="TX_CURR_SUBNAT.R","CY2022Q4",$M1341),"")</f>
        <v>[cPtvxaZqXIH]|10-14|Male|PLHIV_Residents.T_1|CY2023Q3</v>
      </c>
    </row>
    <row r="1342" customFormat="false" ht="15" hidden="false" customHeight="false" outlineLevel="0" collapsed="false">
      <c r="D1342" s="9" t="s">
        <v>87</v>
      </c>
      <c r="E1342" s="9" t="s">
        <v>88</v>
      </c>
      <c r="F1342" s="9" t="s">
        <v>89</v>
      </c>
      <c r="G1342" s="9" t="s">
        <v>143</v>
      </c>
      <c r="H1342" s="9" t="s">
        <v>144</v>
      </c>
      <c r="I1342" s="0" t="s">
        <v>38</v>
      </c>
      <c r="J1342" s="9" t="s">
        <v>39</v>
      </c>
      <c r="K1342" s="9" t="s">
        <v>48</v>
      </c>
      <c r="L1342" s="9" t="s">
        <v>49</v>
      </c>
      <c r="M1342" s="0" t="s">
        <v>140</v>
      </c>
      <c r="N1342" s="0" t="n">
        <v>1339</v>
      </c>
      <c r="O1342" s="10" t="n">
        <v>0.825301544042304</v>
      </c>
      <c r="P1342" s="10" t="n">
        <v>0.133336380822584</v>
      </c>
      <c r="Q1342" s="0" t="str">
        <f aca="false">SUBSTITUTE(SUBSTITUTE($I1342,CHAR(61),""),CHAR(34),"")</f>
        <v>15-24</v>
      </c>
      <c r="R1342" s="0" t="str">
        <f aca="false">IF($D1342&lt;&gt;"","["&amp;$E1342&amp;"]"&amp;"|"&amp;$Q1342&amp;"|"&amp;$K1342&amp;"|"&amp;$G1342&amp;"|"&amp;IF($G1342="TX_CURR_SUBNAT.R","CY2022Q4",$M1342),"")</f>
        <v>[cPtvxaZqXIH]|15-24|Male|PLHIV_Residents.T_1|CY2023Q3</v>
      </c>
    </row>
    <row r="1343" customFormat="false" ht="15" hidden="false" customHeight="false" outlineLevel="0" collapsed="false">
      <c r="D1343" s="9" t="s">
        <v>87</v>
      </c>
      <c r="E1343" s="9" t="s">
        <v>88</v>
      </c>
      <c r="F1343" s="9" t="s">
        <v>89</v>
      </c>
      <c r="G1343" s="9" t="s">
        <v>143</v>
      </c>
      <c r="H1343" s="9" t="s">
        <v>144</v>
      </c>
      <c r="I1343" s="0" t="s">
        <v>41</v>
      </c>
      <c r="J1343" s="9" t="s">
        <v>42</v>
      </c>
      <c r="K1343" s="9" t="s">
        <v>48</v>
      </c>
      <c r="L1343" s="9" t="s">
        <v>49</v>
      </c>
      <c r="M1343" s="0" t="s">
        <v>140</v>
      </c>
      <c r="N1343" s="0" t="n">
        <v>1553</v>
      </c>
      <c r="O1343" s="10" t="n">
        <v>0.906567067606375</v>
      </c>
      <c r="P1343" s="10" t="n">
        <v>0.133336380822584</v>
      </c>
      <c r="Q1343" s="0" t="str">
        <f aca="false">SUBSTITUTE(SUBSTITUTE($I1343,CHAR(61),""),CHAR(34),"")</f>
        <v>25-34</v>
      </c>
      <c r="R1343" s="0" t="str">
        <f aca="false">IF($D1343&lt;&gt;"","["&amp;$E1343&amp;"]"&amp;"|"&amp;$Q1343&amp;"|"&amp;$K1343&amp;"|"&amp;$G1343&amp;"|"&amp;IF($G1343="TX_CURR_SUBNAT.R","CY2022Q4",$M1343),"")</f>
        <v>[cPtvxaZqXIH]|25-34|Male|PLHIV_Residents.T_1|CY2023Q3</v>
      </c>
    </row>
    <row r="1344" customFormat="false" ht="15" hidden="false" customHeight="false" outlineLevel="0" collapsed="false">
      <c r="D1344" s="9" t="s">
        <v>87</v>
      </c>
      <c r="E1344" s="9" t="s">
        <v>88</v>
      </c>
      <c r="F1344" s="9" t="s">
        <v>89</v>
      </c>
      <c r="G1344" s="9" t="s">
        <v>143</v>
      </c>
      <c r="H1344" s="9" t="s">
        <v>144</v>
      </c>
      <c r="I1344" s="0" t="s">
        <v>43</v>
      </c>
      <c r="J1344" s="9" t="s">
        <v>44</v>
      </c>
      <c r="K1344" s="9" t="s">
        <v>48</v>
      </c>
      <c r="L1344" s="9" t="s">
        <v>49</v>
      </c>
      <c r="M1344" s="0" t="s">
        <v>140</v>
      </c>
      <c r="N1344" s="0" t="n">
        <v>1147</v>
      </c>
      <c r="O1344" s="10" t="n">
        <v>0.238603676436469</v>
      </c>
      <c r="P1344" s="10" t="n">
        <v>0.133336380822584</v>
      </c>
      <c r="Q1344" s="0" t="str">
        <f aca="false">SUBSTITUTE(SUBSTITUTE($I1344,CHAR(61),""),CHAR(34),"")</f>
        <v>35-49</v>
      </c>
      <c r="R1344" s="0" t="str">
        <f aca="false">IF($D1344&lt;&gt;"","["&amp;$E1344&amp;"]"&amp;"|"&amp;$Q1344&amp;"|"&amp;$K1344&amp;"|"&amp;$G1344&amp;"|"&amp;IF($G1344="TX_CURR_SUBNAT.R","CY2022Q4",$M1344),"")</f>
        <v>[cPtvxaZqXIH]|35-49|Male|PLHIV_Residents.T_1|CY2023Q3</v>
      </c>
    </row>
    <row r="1345" customFormat="false" ht="15" hidden="false" customHeight="false" outlineLevel="0" collapsed="false">
      <c r="D1345" s="9" t="s">
        <v>87</v>
      </c>
      <c r="E1345" s="9" t="s">
        <v>88</v>
      </c>
      <c r="F1345" s="9" t="s">
        <v>89</v>
      </c>
      <c r="G1345" s="9" t="s">
        <v>143</v>
      </c>
      <c r="H1345" s="9" t="s">
        <v>144</v>
      </c>
      <c r="I1345" s="0" t="s">
        <v>45</v>
      </c>
      <c r="J1345" s="9" t="s">
        <v>46</v>
      </c>
      <c r="K1345" s="9" t="s">
        <v>48</v>
      </c>
      <c r="L1345" s="9" t="s">
        <v>49</v>
      </c>
      <c r="M1345" s="0" t="s">
        <v>140</v>
      </c>
      <c r="N1345" s="0" t="n">
        <v>505</v>
      </c>
      <c r="O1345" s="10" t="n">
        <v>0.823396687628701</v>
      </c>
      <c r="P1345" s="10" t="n">
        <v>0.133336380822584</v>
      </c>
      <c r="Q1345" s="0" t="str">
        <f aca="false">SUBSTITUTE(SUBSTITUTE($I1345,CHAR(61),""),CHAR(34),"")</f>
        <v>50+</v>
      </c>
      <c r="R1345" s="0" t="str">
        <f aca="false">IF($D1345&lt;&gt;"","["&amp;$E1345&amp;"]"&amp;"|"&amp;$Q1345&amp;"|"&amp;$K1345&amp;"|"&amp;$G1345&amp;"|"&amp;IF($G1345="TX_CURR_SUBNAT.R","CY2022Q4",$M1345),"")</f>
        <v>[cPtvxaZqXIH]|50+|Male|PLHIV_Residents.T_1|CY2023Q3</v>
      </c>
    </row>
    <row r="1346" customFormat="false" ht="15" hidden="false" customHeight="false" outlineLevel="0" collapsed="false">
      <c r="D1346" s="9" t="s">
        <v>90</v>
      </c>
      <c r="E1346" s="9" t="s">
        <v>91</v>
      </c>
      <c r="F1346" s="9" t="s">
        <v>92</v>
      </c>
      <c r="G1346" s="9" t="s">
        <v>143</v>
      </c>
      <c r="H1346" s="9" t="s">
        <v>144</v>
      </c>
      <c r="I1346" s="0" t="s">
        <v>28</v>
      </c>
      <c r="J1346" s="9" t="s">
        <v>29</v>
      </c>
      <c r="K1346" s="9" t="s">
        <v>30</v>
      </c>
      <c r="L1346" s="9" t="s">
        <v>31</v>
      </c>
      <c r="M1346" s="0" t="s">
        <v>140</v>
      </c>
      <c r="N1346" s="0" t="n">
        <v>1212</v>
      </c>
      <c r="O1346" s="10" t="n">
        <v>0.143242271151394</v>
      </c>
      <c r="P1346" s="10" t="n">
        <v>0.719914150424302</v>
      </c>
      <c r="Q1346" s="0" t="str">
        <f aca="false">SUBSTITUTE(SUBSTITUTE($I1346,CHAR(61),""),CHAR(34),"")</f>
        <v>&lt;01</v>
      </c>
      <c r="R1346" s="0" t="str">
        <f aca="false">IF($D1346&lt;&gt;"","["&amp;$E1346&amp;"]"&amp;"|"&amp;$Q1346&amp;"|"&amp;$K1346&amp;"|"&amp;$G1346&amp;"|"&amp;IF($G1346="TX_CURR_SUBNAT.R","CY2022Q4",$M1346),"")</f>
        <v>[AZyWpGzhcaA]|&lt;01|Female|PLHIV_Residents.T_1|CY2023Q3</v>
      </c>
    </row>
    <row r="1347" customFormat="false" ht="15" hidden="false" customHeight="false" outlineLevel="0" collapsed="false">
      <c r="D1347" s="9" t="s">
        <v>90</v>
      </c>
      <c r="E1347" s="9" t="s">
        <v>91</v>
      </c>
      <c r="F1347" s="9" t="s">
        <v>92</v>
      </c>
      <c r="G1347" s="9" t="s">
        <v>143</v>
      </c>
      <c r="H1347" s="9" t="s">
        <v>144</v>
      </c>
      <c r="I1347" s="0" t="s">
        <v>33</v>
      </c>
      <c r="J1347" s="9" t="s">
        <v>34</v>
      </c>
      <c r="K1347" s="9" t="s">
        <v>30</v>
      </c>
      <c r="L1347" s="9" t="s">
        <v>31</v>
      </c>
      <c r="M1347" s="0" t="s">
        <v>140</v>
      </c>
      <c r="N1347" s="0" t="n">
        <v>1539</v>
      </c>
      <c r="O1347" s="10" t="n">
        <v>0.209445588523522</v>
      </c>
      <c r="P1347" s="10" t="n">
        <v>0.719914150424302</v>
      </c>
      <c r="Q1347" s="0" t="str">
        <f aca="false">SUBSTITUTE(SUBSTITUTE($I1347,CHAR(61),""),CHAR(34),"")</f>
        <v>01-09</v>
      </c>
      <c r="R1347" s="0" t="str">
        <f aca="false">IF($D1347&lt;&gt;"","["&amp;$E1347&amp;"]"&amp;"|"&amp;$Q1347&amp;"|"&amp;$K1347&amp;"|"&amp;$G1347&amp;"|"&amp;IF($G1347="TX_CURR_SUBNAT.R","CY2022Q4",$M1347),"")</f>
        <v>[AZyWpGzhcaA]|01-09|Female|PLHIV_Residents.T_1|CY2023Q3</v>
      </c>
    </row>
    <row r="1348" customFormat="false" ht="15" hidden="false" customHeight="false" outlineLevel="0" collapsed="false">
      <c r="D1348" s="9" t="s">
        <v>90</v>
      </c>
      <c r="E1348" s="9" t="s">
        <v>91</v>
      </c>
      <c r="F1348" s="9" t="s">
        <v>92</v>
      </c>
      <c r="G1348" s="9" t="s">
        <v>143</v>
      </c>
      <c r="H1348" s="9" t="s">
        <v>144</v>
      </c>
      <c r="I1348" s="0" t="s">
        <v>36</v>
      </c>
      <c r="J1348" s="9" t="s">
        <v>37</v>
      </c>
      <c r="K1348" s="9" t="s">
        <v>30</v>
      </c>
      <c r="L1348" s="9" t="s">
        <v>31</v>
      </c>
      <c r="M1348" s="0" t="s">
        <v>140</v>
      </c>
      <c r="N1348" s="0" t="n">
        <v>849</v>
      </c>
      <c r="O1348" s="10" t="n">
        <v>0.733911150367931</v>
      </c>
      <c r="P1348" s="10" t="n">
        <v>0.719914150424302</v>
      </c>
      <c r="Q1348" s="0" t="str">
        <f aca="false">SUBSTITUTE(SUBSTITUTE($I1348,CHAR(61),""),CHAR(34),"")</f>
        <v>10-14</v>
      </c>
      <c r="R1348" s="0" t="str">
        <f aca="false">IF($D1348&lt;&gt;"","["&amp;$E1348&amp;"]"&amp;"|"&amp;$Q1348&amp;"|"&amp;$K1348&amp;"|"&amp;$G1348&amp;"|"&amp;IF($G1348="TX_CURR_SUBNAT.R","CY2022Q4",$M1348),"")</f>
        <v>[AZyWpGzhcaA]|10-14|Female|PLHIV_Residents.T_1|CY2023Q3</v>
      </c>
    </row>
    <row r="1349" customFormat="false" ht="15" hidden="false" customHeight="false" outlineLevel="0" collapsed="false">
      <c r="D1349" s="9" t="s">
        <v>90</v>
      </c>
      <c r="E1349" s="9" t="s">
        <v>91</v>
      </c>
      <c r="F1349" s="9" t="s">
        <v>92</v>
      </c>
      <c r="G1349" s="9" t="s">
        <v>143</v>
      </c>
      <c r="H1349" s="9" t="s">
        <v>144</v>
      </c>
      <c r="I1349" s="0" t="s">
        <v>38</v>
      </c>
      <c r="J1349" s="9" t="s">
        <v>39</v>
      </c>
      <c r="K1349" s="9" t="s">
        <v>30</v>
      </c>
      <c r="L1349" s="9" t="s">
        <v>31</v>
      </c>
      <c r="M1349" s="0" t="s">
        <v>140</v>
      </c>
      <c r="N1349" s="0" t="n">
        <v>1888</v>
      </c>
      <c r="O1349" s="10" t="n">
        <v>0.200759967789054</v>
      </c>
      <c r="P1349" s="10" t="n">
        <v>0.719914150424302</v>
      </c>
      <c r="Q1349" s="0" t="str">
        <f aca="false">SUBSTITUTE(SUBSTITUTE($I1349,CHAR(61),""),CHAR(34),"")</f>
        <v>15-24</v>
      </c>
      <c r="R1349" s="0" t="str">
        <f aca="false">IF($D1349&lt;&gt;"","["&amp;$E1349&amp;"]"&amp;"|"&amp;$Q1349&amp;"|"&amp;$K1349&amp;"|"&amp;$G1349&amp;"|"&amp;IF($G1349="TX_CURR_SUBNAT.R","CY2022Q4",$M1349),"")</f>
        <v>[AZyWpGzhcaA]|15-24|Female|PLHIV_Residents.T_1|CY2023Q3</v>
      </c>
    </row>
    <row r="1350" customFormat="false" ht="15" hidden="false" customHeight="false" outlineLevel="0" collapsed="false">
      <c r="D1350" s="9" t="s">
        <v>90</v>
      </c>
      <c r="E1350" s="9" t="s">
        <v>91</v>
      </c>
      <c r="F1350" s="9" t="s">
        <v>92</v>
      </c>
      <c r="G1350" s="9" t="s">
        <v>143</v>
      </c>
      <c r="H1350" s="9" t="s">
        <v>144</v>
      </c>
      <c r="I1350" s="0" t="s">
        <v>41</v>
      </c>
      <c r="J1350" s="9" t="s">
        <v>42</v>
      </c>
      <c r="K1350" s="9" t="s">
        <v>30</v>
      </c>
      <c r="L1350" s="9" t="s">
        <v>31</v>
      </c>
      <c r="M1350" s="0" t="s">
        <v>140</v>
      </c>
      <c r="N1350" s="0" t="n">
        <v>569</v>
      </c>
      <c r="O1350" s="10" t="n">
        <v>0.268264374462888</v>
      </c>
      <c r="P1350" s="10" t="n">
        <v>0.719914150424302</v>
      </c>
      <c r="Q1350" s="0" t="str">
        <f aca="false">SUBSTITUTE(SUBSTITUTE($I1350,CHAR(61),""),CHAR(34),"")</f>
        <v>25-34</v>
      </c>
      <c r="R1350" s="0" t="str">
        <f aca="false">IF($D1350&lt;&gt;"","["&amp;$E1350&amp;"]"&amp;"|"&amp;$Q1350&amp;"|"&amp;$K1350&amp;"|"&amp;$G1350&amp;"|"&amp;IF($G1350="TX_CURR_SUBNAT.R","CY2022Q4",$M1350),"")</f>
        <v>[AZyWpGzhcaA]|25-34|Female|PLHIV_Residents.T_1|CY2023Q3</v>
      </c>
    </row>
    <row r="1351" customFormat="false" ht="15" hidden="false" customHeight="false" outlineLevel="0" collapsed="false">
      <c r="D1351" s="9" t="s">
        <v>90</v>
      </c>
      <c r="E1351" s="9" t="s">
        <v>91</v>
      </c>
      <c r="F1351" s="9" t="s">
        <v>92</v>
      </c>
      <c r="G1351" s="9" t="s">
        <v>143</v>
      </c>
      <c r="H1351" s="9" t="s">
        <v>144</v>
      </c>
      <c r="I1351" s="0" t="s">
        <v>43</v>
      </c>
      <c r="J1351" s="9" t="s">
        <v>44</v>
      </c>
      <c r="K1351" s="9" t="s">
        <v>30</v>
      </c>
      <c r="L1351" s="9" t="s">
        <v>31</v>
      </c>
      <c r="M1351" s="0" t="s">
        <v>140</v>
      </c>
      <c r="N1351" s="0" t="n">
        <v>911</v>
      </c>
      <c r="O1351" s="10" t="n">
        <v>0.741155467694625</v>
      </c>
      <c r="P1351" s="10" t="n">
        <v>0.719914150424302</v>
      </c>
      <c r="Q1351" s="0" t="str">
        <f aca="false">SUBSTITUTE(SUBSTITUTE($I1351,CHAR(61),""),CHAR(34),"")</f>
        <v>35-49</v>
      </c>
      <c r="R1351" s="0" t="str">
        <f aca="false">IF($D1351&lt;&gt;"","["&amp;$E1351&amp;"]"&amp;"|"&amp;$Q1351&amp;"|"&amp;$K1351&amp;"|"&amp;$G1351&amp;"|"&amp;IF($G1351="TX_CURR_SUBNAT.R","CY2022Q4",$M1351),"")</f>
        <v>[AZyWpGzhcaA]|35-49|Female|PLHIV_Residents.T_1|CY2023Q3</v>
      </c>
    </row>
    <row r="1352" customFormat="false" ht="15" hidden="false" customHeight="false" outlineLevel="0" collapsed="false">
      <c r="D1352" s="9" t="s">
        <v>90</v>
      </c>
      <c r="E1352" s="9" t="s">
        <v>91</v>
      </c>
      <c r="F1352" s="9" t="s">
        <v>92</v>
      </c>
      <c r="G1352" s="9" t="s">
        <v>143</v>
      </c>
      <c r="H1352" s="9" t="s">
        <v>144</v>
      </c>
      <c r="I1352" s="0" t="s">
        <v>45</v>
      </c>
      <c r="J1352" s="9" t="s">
        <v>46</v>
      </c>
      <c r="K1352" s="9" t="s">
        <v>30</v>
      </c>
      <c r="L1352" s="9" t="s">
        <v>31</v>
      </c>
      <c r="M1352" s="0" t="s">
        <v>140</v>
      </c>
      <c r="N1352" s="0" t="n">
        <v>1072</v>
      </c>
      <c r="O1352" s="10" t="n">
        <v>0.0317209751810879</v>
      </c>
      <c r="P1352" s="10" t="n">
        <v>0.719914150424302</v>
      </c>
      <c r="Q1352" s="0" t="str">
        <f aca="false">SUBSTITUTE(SUBSTITUTE($I1352,CHAR(61),""),CHAR(34),"")</f>
        <v>50+</v>
      </c>
      <c r="R1352" s="0" t="str">
        <f aca="false">IF($D1352&lt;&gt;"","["&amp;$E1352&amp;"]"&amp;"|"&amp;$Q1352&amp;"|"&amp;$K1352&amp;"|"&amp;$G1352&amp;"|"&amp;IF($G1352="TX_CURR_SUBNAT.R","CY2022Q4",$M1352),"")</f>
        <v>[AZyWpGzhcaA]|50+|Female|PLHIV_Residents.T_1|CY2023Q3</v>
      </c>
    </row>
    <row r="1353" customFormat="false" ht="15" hidden="false" customHeight="false" outlineLevel="0" collapsed="false">
      <c r="D1353" s="9" t="s">
        <v>90</v>
      </c>
      <c r="E1353" s="9" t="s">
        <v>91</v>
      </c>
      <c r="F1353" s="9" t="s">
        <v>92</v>
      </c>
      <c r="G1353" s="9" t="s">
        <v>143</v>
      </c>
      <c r="H1353" s="9" t="s">
        <v>144</v>
      </c>
      <c r="I1353" s="0" t="s">
        <v>28</v>
      </c>
      <c r="J1353" s="9" t="s">
        <v>29</v>
      </c>
      <c r="K1353" s="9" t="s">
        <v>48</v>
      </c>
      <c r="L1353" s="9" t="s">
        <v>49</v>
      </c>
      <c r="M1353" s="0" t="s">
        <v>140</v>
      </c>
      <c r="N1353" s="0" t="n">
        <v>685</v>
      </c>
      <c r="O1353" s="10" t="n">
        <v>0.783229546388611</v>
      </c>
      <c r="P1353" s="10" t="n">
        <v>0.719914150424302</v>
      </c>
      <c r="Q1353" s="0" t="str">
        <f aca="false">SUBSTITUTE(SUBSTITUTE($I1353,CHAR(61),""),CHAR(34),"")</f>
        <v>&lt;01</v>
      </c>
      <c r="R1353" s="0" t="str">
        <f aca="false">IF($D1353&lt;&gt;"","["&amp;$E1353&amp;"]"&amp;"|"&amp;$Q1353&amp;"|"&amp;$K1353&amp;"|"&amp;$G1353&amp;"|"&amp;IF($G1353="TX_CURR_SUBNAT.R","CY2022Q4",$M1353),"")</f>
        <v>[AZyWpGzhcaA]|&lt;01|Male|PLHIV_Residents.T_1|CY2023Q3</v>
      </c>
    </row>
    <row r="1354" customFormat="false" ht="15" hidden="false" customHeight="false" outlineLevel="0" collapsed="false">
      <c r="D1354" s="9" t="s">
        <v>90</v>
      </c>
      <c r="E1354" s="9" t="s">
        <v>91</v>
      </c>
      <c r="F1354" s="9" t="s">
        <v>92</v>
      </c>
      <c r="G1354" s="9" t="s">
        <v>143</v>
      </c>
      <c r="H1354" s="9" t="s">
        <v>144</v>
      </c>
      <c r="I1354" s="0" t="s">
        <v>33</v>
      </c>
      <c r="J1354" s="9" t="s">
        <v>34</v>
      </c>
      <c r="K1354" s="9" t="s">
        <v>48</v>
      </c>
      <c r="L1354" s="9" t="s">
        <v>49</v>
      </c>
      <c r="M1354" s="0" t="s">
        <v>140</v>
      </c>
      <c r="N1354" s="0" t="n">
        <v>1806</v>
      </c>
      <c r="O1354" s="10" t="n">
        <v>0.947811101330444</v>
      </c>
      <c r="P1354" s="10" t="n">
        <v>0.719914150424302</v>
      </c>
      <c r="Q1354" s="0" t="str">
        <f aca="false">SUBSTITUTE(SUBSTITUTE($I1354,CHAR(61),""),CHAR(34),"")</f>
        <v>01-09</v>
      </c>
      <c r="R1354" s="0" t="str">
        <f aca="false">IF($D1354&lt;&gt;"","["&amp;$E1354&amp;"]"&amp;"|"&amp;$Q1354&amp;"|"&amp;$K1354&amp;"|"&amp;$G1354&amp;"|"&amp;IF($G1354="TX_CURR_SUBNAT.R","CY2022Q4",$M1354),"")</f>
        <v>[AZyWpGzhcaA]|01-09|Male|PLHIV_Residents.T_1|CY2023Q3</v>
      </c>
    </row>
    <row r="1355" customFormat="false" ht="15" hidden="false" customHeight="false" outlineLevel="0" collapsed="false">
      <c r="D1355" s="9" t="s">
        <v>90</v>
      </c>
      <c r="E1355" s="9" t="s">
        <v>91</v>
      </c>
      <c r="F1355" s="9" t="s">
        <v>92</v>
      </c>
      <c r="G1355" s="9" t="s">
        <v>143</v>
      </c>
      <c r="H1355" s="9" t="s">
        <v>144</v>
      </c>
      <c r="I1355" s="0" t="s">
        <v>36</v>
      </c>
      <c r="J1355" s="9" t="s">
        <v>37</v>
      </c>
      <c r="K1355" s="9" t="s">
        <v>48</v>
      </c>
      <c r="L1355" s="9" t="s">
        <v>49</v>
      </c>
      <c r="M1355" s="0" t="s">
        <v>140</v>
      </c>
      <c r="N1355" s="0" t="n">
        <v>1452</v>
      </c>
      <c r="O1355" s="10" t="n">
        <v>0.34614647552371</v>
      </c>
      <c r="P1355" s="10" t="n">
        <v>0.719914150424302</v>
      </c>
      <c r="Q1355" s="0" t="str">
        <f aca="false">SUBSTITUTE(SUBSTITUTE($I1355,CHAR(61),""),CHAR(34),"")</f>
        <v>10-14</v>
      </c>
      <c r="R1355" s="0" t="str">
        <f aca="false">IF($D1355&lt;&gt;"","["&amp;$E1355&amp;"]"&amp;"|"&amp;$Q1355&amp;"|"&amp;$K1355&amp;"|"&amp;$G1355&amp;"|"&amp;IF($G1355="TX_CURR_SUBNAT.R","CY2022Q4",$M1355),"")</f>
        <v>[AZyWpGzhcaA]|10-14|Male|PLHIV_Residents.T_1|CY2023Q3</v>
      </c>
    </row>
    <row r="1356" customFormat="false" ht="15" hidden="false" customHeight="false" outlineLevel="0" collapsed="false">
      <c r="D1356" s="9" t="s">
        <v>90</v>
      </c>
      <c r="E1356" s="9" t="s">
        <v>91</v>
      </c>
      <c r="F1356" s="9" t="s">
        <v>92</v>
      </c>
      <c r="G1356" s="9" t="s">
        <v>143</v>
      </c>
      <c r="H1356" s="9" t="s">
        <v>144</v>
      </c>
      <c r="I1356" s="0" t="s">
        <v>38</v>
      </c>
      <c r="J1356" s="9" t="s">
        <v>39</v>
      </c>
      <c r="K1356" s="9" t="s">
        <v>48</v>
      </c>
      <c r="L1356" s="9" t="s">
        <v>49</v>
      </c>
      <c r="M1356" s="0" t="s">
        <v>140</v>
      </c>
      <c r="N1356" s="0" t="n">
        <v>1426</v>
      </c>
      <c r="O1356" s="10" t="n">
        <v>0.101110917516053</v>
      </c>
      <c r="P1356" s="10" t="n">
        <v>0.719914150424302</v>
      </c>
      <c r="Q1356" s="0" t="str">
        <f aca="false">SUBSTITUTE(SUBSTITUTE($I1356,CHAR(61),""),CHAR(34),"")</f>
        <v>15-24</v>
      </c>
      <c r="R1356" s="0" t="str">
        <f aca="false">IF($D1356&lt;&gt;"","["&amp;$E1356&amp;"]"&amp;"|"&amp;$Q1356&amp;"|"&amp;$K1356&amp;"|"&amp;$G1356&amp;"|"&amp;IF($G1356="TX_CURR_SUBNAT.R","CY2022Q4",$M1356),"")</f>
        <v>[AZyWpGzhcaA]|15-24|Male|PLHIV_Residents.T_1|CY2023Q3</v>
      </c>
    </row>
    <row r="1357" customFormat="false" ht="15" hidden="false" customHeight="false" outlineLevel="0" collapsed="false">
      <c r="D1357" s="9" t="s">
        <v>90</v>
      </c>
      <c r="E1357" s="9" t="s">
        <v>91</v>
      </c>
      <c r="F1357" s="9" t="s">
        <v>92</v>
      </c>
      <c r="G1357" s="9" t="s">
        <v>143</v>
      </c>
      <c r="H1357" s="9" t="s">
        <v>144</v>
      </c>
      <c r="I1357" s="0" t="s">
        <v>41</v>
      </c>
      <c r="J1357" s="9" t="s">
        <v>42</v>
      </c>
      <c r="K1357" s="9" t="s">
        <v>48</v>
      </c>
      <c r="L1357" s="9" t="s">
        <v>49</v>
      </c>
      <c r="M1357" s="0" t="s">
        <v>140</v>
      </c>
      <c r="N1357" s="0" t="n">
        <v>1038</v>
      </c>
      <c r="O1357" s="10" t="n">
        <v>0.210935782408342</v>
      </c>
      <c r="P1357" s="10" t="n">
        <v>0.719914150424302</v>
      </c>
      <c r="Q1357" s="0" t="str">
        <f aca="false">SUBSTITUTE(SUBSTITUTE($I1357,CHAR(61),""),CHAR(34),"")</f>
        <v>25-34</v>
      </c>
      <c r="R1357" s="0" t="str">
        <f aca="false">IF($D1357&lt;&gt;"","["&amp;$E1357&amp;"]"&amp;"|"&amp;$Q1357&amp;"|"&amp;$K1357&amp;"|"&amp;$G1357&amp;"|"&amp;IF($G1357="TX_CURR_SUBNAT.R","CY2022Q4",$M1357),"")</f>
        <v>[AZyWpGzhcaA]|25-34|Male|PLHIV_Residents.T_1|CY2023Q3</v>
      </c>
    </row>
    <row r="1358" customFormat="false" ht="15" hidden="false" customHeight="false" outlineLevel="0" collapsed="false">
      <c r="D1358" s="9" t="s">
        <v>90</v>
      </c>
      <c r="E1358" s="9" t="s">
        <v>91</v>
      </c>
      <c r="F1358" s="9" t="s">
        <v>92</v>
      </c>
      <c r="G1358" s="9" t="s">
        <v>143</v>
      </c>
      <c r="H1358" s="9" t="s">
        <v>144</v>
      </c>
      <c r="I1358" s="0" t="s">
        <v>43</v>
      </c>
      <c r="J1358" s="9" t="s">
        <v>44</v>
      </c>
      <c r="K1358" s="9" t="s">
        <v>48</v>
      </c>
      <c r="L1358" s="9" t="s">
        <v>49</v>
      </c>
      <c r="M1358" s="0" t="s">
        <v>140</v>
      </c>
      <c r="N1358" s="0" t="n">
        <v>1971</v>
      </c>
      <c r="O1358" s="10" t="n">
        <v>0.856422596843913</v>
      </c>
      <c r="P1358" s="10" t="n">
        <v>0.719914150424302</v>
      </c>
      <c r="Q1358" s="0" t="str">
        <f aca="false">SUBSTITUTE(SUBSTITUTE($I1358,CHAR(61),""),CHAR(34),"")</f>
        <v>35-49</v>
      </c>
      <c r="R1358" s="0" t="str">
        <f aca="false">IF($D1358&lt;&gt;"","["&amp;$E1358&amp;"]"&amp;"|"&amp;$Q1358&amp;"|"&amp;$K1358&amp;"|"&amp;$G1358&amp;"|"&amp;IF($G1358="TX_CURR_SUBNAT.R","CY2022Q4",$M1358),"")</f>
        <v>[AZyWpGzhcaA]|35-49|Male|PLHIV_Residents.T_1|CY2023Q3</v>
      </c>
    </row>
    <row r="1359" customFormat="false" ht="15" hidden="false" customHeight="false" outlineLevel="0" collapsed="false">
      <c r="D1359" s="9" t="s">
        <v>90</v>
      </c>
      <c r="E1359" s="9" t="s">
        <v>91</v>
      </c>
      <c r="F1359" s="9" t="s">
        <v>92</v>
      </c>
      <c r="G1359" s="9" t="s">
        <v>143</v>
      </c>
      <c r="H1359" s="9" t="s">
        <v>144</v>
      </c>
      <c r="I1359" s="0" t="s">
        <v>45</v>
      </c>
      <c r="J1359" s="9" t="s">
        <v>46</v>
      </c>
      <c r="K1359" s="9" t="s">
        <v>48</v>
      </c>
      <c r="L1359" s="9" t="s">
        <v>49</v>
      </c>
      <c r="M1359" s="0" t="s">
        <v>140</v>
      </c>
      <c r="N1359" s="0" t="n">
        <v>911</v>
      </c>
      <c r="O1359" s="10" t="n">
        <v>0.118011347483844</v>
      </c>
      <c r="P1359" s="10" t="n">
        <v>0.719914150424302</v>
      </c>
      <c r="Q1359" s="0" t="str">
        <f aca="false">SUBSTITUTE(SUBSTITUTE($I1359,CHAR(61),""),CHAR(34),"")</f>
        <v>50+</v>
      </c>
      <c r="R1359" s="0" t="str">
        <f aca="false">IF($D1359&lt;&gt;"","["&amp;$E1359&amp;"]"&amp;"|"&amp;$Q1359&amp;"|"&amp;$K1359&amp;"|"&amp;$G1359&amp;"|"&amp;IF($G1359="TX_CURR_SUBNAT.R","CY2022Q4",$M1359),"")</f>
        <v>[AZyWpGzhcaA]|50+|Male|PLHIV_Residents.T_1|CY2023Q3</v>
      </c>
    </row>
    <row r="1360" customFormat="false" ht="15" hidden="false" customHeight="false" outlineLevel="0" collapsed="false">
      <c r="D1360" s="9" t="s">
        <v>93</v>
      </c>
      <c r="E1360" s="9" t="s">
        <v>94</v>
      </c>
      <c r="F1360" s="9" t="s">
        <v>95</v>
      </c>
      <c r="G1360" s="9" t="s">
        <v>143</v>
      </c>
      <c r="H1360" s="9" t="s">
        <v>144</v>
      </c>
      <c r="I1360" s="0" t="s">
        <v>28</v>
      </c>
      <c r="J1360" s="9" t="s">
        <v>29</v>
      </c>
      <c r="K1360" s="9" t="s">
        <v>30</v>
      </c>
      <c r="L1360" s="9" t="s">
        <v>31</v>
      </c>
      <c r="M1360" s="0" t="s">
        <v>140</v>
      </c>
      <c r="N1360" s="0" t="n">
        <v>1812</v>
      </c>
      <c r="O1360" s="10" t="n">
        <v>0.522978585679084</v>
      </c>
      <c r="P1360" s="10" t="n">
        <v>0.362272296566516</v>
      </c>
      <c r="Q1360" s="0" t="str">
        <f aca="false">SUBSTITUTE(SUBSTITUTE($I1360,CHAR(61),""),CHAR(34),"")</f>
        <v>&lt;01</v>
      </c>
      <c r="R1360" s="0" t="str">
        <f aca="false">IF($D1360&lt;&gt;"","["&amp;$E1360&amp;"]"&amp;"|"&amp;$Q1360&amp;"|"&amp;$K1360&amp;"|"&amp;$G1360&amp;"|"&amp;IF($G1360="TX_CURR_SUBNAT.R","CY2022Q4",$M1360),"")</f>
        <v>[umc2n1Z4wNv]|&lt;01|Female|PLHIV_Residents.T_1|CY2023Q3</v>
      </c>
    </row>
    <row r="1361" customFormat="false" ht="15" hidden="false" customHeight="false" outlineLevel="0" collapsed="false">
      <c r="D1361" s="9" t="s">
        <v>93</v>
      </c>
      <c r="E1361" s="9" t="s">
        <v>94</v>
      </c>
      <c r="F1361" s="9" t="s">
        <v>95</v>
      </c>
      <c r="G1361" s="9" t="s">
        <v>143</v>
      </c>
      <c r="H1361" s="9" t="s">
        <v>144</v>
      </c>
      <c r="I1361" s="0" t="s">
        <v>33</v>
      </c>
      <c r="J1361" s="9" t="s">
        <v>34</v>
      </c>
      <c r="K1361" s="9" t="s">
        <v>30</v>
      </c>
      <c r="L1361" s="9" t="s">
        <v>31</v>
      </c>
      <c r="M1361" s="0" t="s">
        <v>140</v>
      </c>
      <c r="N1361" s="0" t="n">
        <v>805</v>
      </c>
      <c r="O1361" s="10" t="n">
        <v>0.371965778758749</v>
      </c>
      <c r="P1361" s="10" t="n">
        <v>0.362272296566516</v>
      </c>
      <c r="Q1361" s="0" t="str">
        <f aca="false">SUBSTITUTE(SUBSTITUTE($I1361,CHAR(61),""),CHAR(34),"")</f>
        <v>01-09</v>
      </c>
      <c r="R1361" s="0" t="str">
        <f aca="false">IF($D1361&lt;&gt;"","["&amp;$E1361&amp;"]"&amp;"|"&amp;$Q1361&amp;"|"&amp;$K1361&amp;"|"&amp;$G1361&amp;"|"&amp;IF($G1361="TX_CURR_SUBNAT.R","CY2022Q4",$M1361),"")</f>
        <v>[umc2n1Z4wNv]|01-09|Female|PLHIV_Residents.T_1|CY2023Q3</v>
      </c>
    </row>
    <row r="1362" customFormat="false" ht="15" hidden="false" customHeight="false" outlineLevel="0" collapsed="false">
      <c r="D1362" s="9" t="s">
        <v>93</v>
      </c>
      <c r="E1362" s="9" t="s">
        <v>94</v>
      </c>
      <c r="F1362" s="9" t="s">
        <v>95</v>
      </c>
      <c r="G1362" s="9" t="s">
        <v>143</v>
      </c>
      <c r="H1362" s="9" t="s">
        <v>144</v>
      </c>
      <c r="I1362" s="0" t="s">
        <v>36</v>
      </c>
      <c r="J1362" s="9" t="s">
        <v>37</v>
      </c>
      <c r="K1362" s="9" t="s">
        <v>30</v>
      </c>
      <c r="L1362" s="9" t="s">
        <v>31</v>
      </c>
      <c r="M1362" s="0" t="s">
        <v>140</v>
      </c>
      <c r="N1362" s="0" t="n">
        <v>852</v>
      </c>
      <c r="O1362" s="10" t="n">
        <v>0.309636757709086</v>
      </c>
      <c r="P1362" s="10" t="n">
        <v>0.362272296566516</v>
      </c>
      <c r="Q1362" s="0" t="str">
        <f aca="false">SUBSTITUTE(SUBSTITUTE($I1362,CHAR(61),""),CHAR(34),"")</f>
        <v>10-14</v>
      </c>
      <c r="R1362" s="0" t="str">
        <f aca="false">IF($D1362&lt;&gt;"","["&amp;$E1362&amp;"]"&amp;"|"&amp;$Q1362&amp;"|"&amp;$K1362&amp;"|"&amp;$G1362&amp;"|"&amp;IF($G1362="TX_CURR_SUBNAT.R","CY2022Q4",$M1362),"")</f>
        <v>[umc2n1Z4wNv]|10-14|Female|PLHIV_Residents.T_1|CY2023Q3</v>
      </c>
    </row>
    <row r="1363" customFormat="false" ht="15" hidden="false" customHeight="false" outlineLevel="0" collapsed="false">
      <c r="D1363" s="9" t="s">
        <v>93</v>
      </c>
      <c r="E1363" s="9" t="s">
        <v>94</v>
      </c>
      <c r="F1363" s="9" t="s">
        <v>95</v>
      </c>
      <c r="G1363" s="9" t="s">
        <v>143</v>
      </c>
      <c r="H1363" s="9" t="s">
        <v>144</v>
      </c>
      <c r="I1363" s="0" t="s">
        <v>38</v>
      </c>
      <c r="J1363" s="9" t="s">
        <v>39</v>
      </c>
      <c r="K1363" s="9" t="s">
        <v>30</v>
      </c>
      <c r="L1363" s="9" t="s">
        <v>31</v>
      </c>
      <c r="M1363" s="0" t="s">
        <v>140</v>
      </c>
      <c r="N1363" s="0" t="n">
        <v>1970</v>
      </c>
      <c r="O1363" s="10" t="n">
        <v>0.774826587177813</v>
      </c>
      <c r="P1363" s="10" t="n">
        <v>0.362272296566516</v>
      </c>
      <c r="Q1363" s="0" t="str">
        <f aca="false">SUBSTITUTE(SUBSTITUTE($I1363,CHAR(61),""),CHAR(34),"")</f>
        <v>15-24</v>
      </c>
      <c r="R1363" s="0" t="str">
        <f aca="false">IF($D1363&lt;&gt;"","["&amp;$E1363&amp;"]"&amp;"|"&amp;$Q1363&amp;"|"&amp;$K1363&amp;"|"&amp;$G1363&amp;"|"&amp;IF($G1363="TX_CURR_SUBNAT.R","CY2022Q4",$M1363),"")</f>
        <v>[umc2n1Z4wNv]|15-24|Female|PLHIV_Residents.T_1|CY2023Q3</v>
      </c>
    </row>
    <row r="1364" customFormat="false" ht="15" hidden="false" customHeight="false" outlineLevel="0" collapsed="false">
      <c r="D1364" s="9" t="s">
        <v>93</v>
      </c>
      <c r="E1364" s="9" t="s">
        <v>94</v>
      </c>
      <c r="F1364" s="9" t="s">
        <v>95</v>
      </c>
      <c r="G1364" s="9" t="s">
        <v>143</v>
      </c>
      <c r="H1364" s="9" t="s">
        <v>144</v>
      </c>
      <c r="I1364" s="0" t="s">
        <v>41</v>
      </c>
      <c r="J1364" s="9" t="s">
        <v>42</v>
      </c>
      <c r="K1364" s="9" t="s">
        <v>30</v>
      </c>
      <c r="L1364" s="9" t="s">
        <v>31</v>
      </c>
      <c r="M1364" s="0" t="s">
        <v>140</v>
      </c>
      <c r="N1364" s="0" t="n">
        <v>720</v>
      </c>
      <c r="O1364" s="10" t="n">
        <v>0.941606999374926</v>
      </c>
      <c r="P1364" s="10" t="n">
        <v>0.362272296566516</v>
      </c>
      <c r="Q1364" s="0" t="str">
        <f aca="false">SUBSTITUTE(SUBSTITUTE($I1364,CHAR(61),""),CHAR(34),"")</f>
        <v>25-34</v>
      </c>
      <c r="R1364" s="0" t="str">
        <f aca="false">IF($D1364&lt;&gt;"","["&amp;$E1364&amp;"]"&amp;"|"&amp;$Q1364&amp;"|"&amp;$K1364&amp;"|"&amp;$G1364&amp;"|"&amp;IF($G1364="TX_CURR_SUBNAT.R","CY2022Q4",$M1364),"")</f>
        <v>[umc2n1Z4wNv]|25-34|Female|PLHIV_Residents.T_1|CY2023Q3</v>
      </c>
    </row>
    <row r="1365" customFormat="false" ht="15" hidden="false" customHeight="false" outlineLevel="0" collapsed="false">
      <c r="D1365" s="9" t="s">
        <v>93</v>
      </c>
      <c r="E1365" s="9" t="s">
        <v>94</v>
      </c>
      <c r="F1365" s="9" t="s">
        <v>95</v>
      </c>
      <c r="G1365" s="9" t="s">
        <v>143</v>
      </c>
      <c r="H1365" s="9" t="s">
        <v>144</v>
      </c>
      <c r="I1365" s="0" t="s">
        <v>43</v>
      </c>
      <c r="J1365" s="9" t="s">
        <v>44</v>
      </c>
      <c r="K1365" s="9" t="s">
        <v>30</v>
      </c>
      <c r="L1365" s="9" t="s">
        <v>31</v>
      </c>
      <c r="M1365" s="0" t="s">
        <v>140</v>
      </c>
      <c r="N1365" s="0" t="n">
        <v>1123</v>
      </c>
      <c r="O1365" s="10" t="n">
        <v>0.177367096068338</v>
      </c>
      <c r="P1365" s="10" t="n">
        <v>0.362272296566516</v>
      </c>
      <c r="Q1365" s="0" t="str">
        <f aca="false">SUBSTITUTE(SUBSTITUTE($I1365,CHAR(61),""),CHAR(34),"")</f>
        <v>35-49</v>
      </c>
      <c r="R1365" s="0" t="str">
        <f aca="false">IF($D1365&lt;&gt;"","["&amp;$E1365&amp;"]"&amp;"|"&amp;$Q1365&amp;"|"&amp;$K1365&amp;"|"&amp;$G1365&amp;"|"&amp;IF($G1365="TX_CURR_SUBNAT.R","CY2022Q4",$M1365),"")</f>
        <v>[umc2n1Z4wNv]|35-49|Female|PLHIV_Residents.T_1|CY2023Q3</v>
      </c>
    </row>
    <row r="1366" customFormat="false" ht="15" hidden="false" customHeight="false" outlineLevel="0" collapsed="false">
      <c r="D1366" s="9" t="s">
        <v>93</v>
      </c>
      <c r="E1366" s="9" t="s">
        <v>94</v>
      </c>
      <c r="F1366" s="9" t="s">
        <v>95</v>
      </c>
      <c r="G1366" s="9" t="s">
        <v>143</v>
      </c>
      <c r="H1366" s="9" t="s">
        <v>144</v>
      </c>
      <c r="I1366" s="0" t="s">
        <v>45</v>
      </c>
      <c r="J1366" s="9" t="s">
        <v>46</v>
      </c>
      <c r="K1366" s="9" t="s">
        <v>30</v>
      </c>
      <c r="L1366" s="9" t="s">
        <v>31</v>
      </c>
      <c r="M1366" s="0" t="s">
        <v>140</v>
      </c>
      <c r="N1366" s="0" t="n">
        <v>1399</v>
      </c>
      <c r="O1366" s="10" t="n">
        <v>0.703739075921476</v>
      </c>
      <c r="P1366" s="10" t="n">
        <v>0.362272296566516</v>
      </c>
      <c r="Q1366" s="0" t="str">
        <f aca="false">SUBSTITUTE(SUBSTITUTE($I1366,CHAR(61),""),CHAR(34),"")</f>
        <v>50+</v>
      </c>
      <c r="R1366" s="0" t="str">
        <f aca="false">IF($D1366&lt;&gt;"","["&amp;$E1366&amp;"]"&amp;"|"&amp;$Q1366&amp;"|"&amp;$K1366&amp;"|"&amp;$G1366&amp;"|"&amp;IF($G1366="TX_CURR_SUBNAT.R","CY2022Q4",$M1366),"")</f>
        <v>[umc2n1Z4wNv]|50+|Female|PLHIV_Residents.T_1|CY2023Q3</v>
      </c>
    </row>
    <row r="1367" customFormat="false" ht="15" hidden="false" customHeight="false" outlineLevel="0" collapsed="false">
      <c r="D1367" s="9" t="s">
        <v>93</v>
      </c>
      <c r="E1367" s="9" t="s">
        <v>94</v>
      </c>
      <c r="F1367" s="9" t="s">
        <v>95</v>
      </c>
      <c r="G1367" s="9" t="s">
        <v>143</v>
      </c>
      <c r="H1367" s="9" t="s">
        <v>144</v>
      </c>
      <c r="I1367" s="0" t="s">
        <v>28</v>
      </c>
      <c r="J1367" s="9" t="s">
        <v>29</v>
      </c>
      <c r="K1367" s="9" t="s">
        <v>48</v>
      </c>
      <c r="L1367" s="9" t="s">
        <v>49</v>
      </c>
      <c r="M1367" s="0" t="s">
        <v>140</v>
      </c>
      <c r="N1367" s="0" t="n">
        <v>1029</v>
      </c>
      <c r="O1367" s="10" t="n">
        <v>0.622538262046874</v>
      </c>
      <c r="P1367" s="10" t="n">
        <v>0.362272296566516</v>
      </c>
      <c r="Q1367" s="0" t="str">
        <f aca="false">SUBSTITUTE(SUBSTITUTE($I1367,CHAR(61),""),CHAR(34),"")</f>
        <v>&lt;01</v>
      </c>
      <c r="R1367" s="0" t="str">
        <f aca="false">IF($D1367&lt;&gt;"","["&amp;$E1367&amp;"]"&amp;"|"&amp;$Q1367&amp;"|"&amp;$K1367&amp;"|"&amp;$G1367&amp;"|"&amp;IF($G1367="TX_CURR_SUBNAT.R","CY2022Q4",$M1367),"")</f>
        <v>[umc2n1Z4wNv]|&lt;01|Male|PLHIV_Residents.T_1|CY2023Q3</v>
      </c>
    </row>
    <row r="1368" customFormat="false" ht="15" hidden="false" customHeight="false" outlineLevel="0" collapsed="false">
      <c r="D1368" s="9" t="s">
        <v>93</v>
      </c>
      <c r="E1368" s="9" t="s">
        <v>94</v>
      </c>
      <c r="F1368" s="9" t="s">
        <v>95</v>
      </c>
      <c r="G1368" s="9" t="s">
        <v>143</v>
      </c>
      <c r="H1368" s="9" t="s">
        <v>144</v>
      </c>
      <c r="I1368" s="0" t="s">
        <v>33</v>
      </c>
      <c r="J1368" s="9" t="s">
        <v>34</v>
      </c>
      <c r="K1368" s="9" t="s">
        <v>48</v>
      </c>
      <c r="L1368" s="9" t="s">
        <v>49</v>
      </c>
      <c r="M1368" s="0" t="s">
        <v>140</v>
      </c>
      <c r="N1368" s="0" t="n">
        <v>1758</v>
      </c>
      <c r="O1368" s="10" t="n">
        <v>0.243054273538291</v>
      </c>
      <c r="P1368" s="10" t="n">
        <v>0.362272296566516</v>
      </c>
      <c r="Q1368" s="0" t="str">
        <f aca="false">SUBSTITUTE(SUBSTITUTE($I1368,CHAR(61),""),CHAR(34),"")</f>
        <v>01-09</v>
      </c>
      <c r="R1368" s="0" t="str">
        <f aca="false">IF($D1368&lt;&gt;"","["&amp;$E1368&amp;"]"&amp;"|"&amp;$Q1368&amp;"|"&amp;$K1368&amp;"|"&amp;$G1368&amp;"|"&amp;IF($G1368="TX_CURR_SUBNAT.R","CY2022Q4",$M1368),"")</f>
        <v>[umc2n1Z4wNv]|01-09|Male|PLHIV_Residents.T_1|CY2023Q3</v>
      </c>
    </row>
    <row r="1369" customFormat="false" ht="15" hidden="false" customHeight="false" outlineLevel="0" collapsed="false">
      <c r="D1369" s="9" t="s">
        <v>93</v>
      </c>
      <c r="E1369" s="9" t="s">
        <v>94</v>
      </c>
      <c r="F1369" s="9" t="s">
        <v>95</v>
      </c>
      <c r="G1369" s="9" t="s">
        <v>143</v>
      </c>
      <c r="H1369" s="9" t="s">
        <v>144</v>
      </c>
      <c r="I1369" s="0" t="s">
        <v>36</v>
      </c>
      <c r="J1369" s="9" t="s">
        <v>37</v>
      </c>
      <c r="K1369" s="9" t="s">
        <v>48</v>
      </c>
      <c r="L1369" s="9" t="s">
        <v>49</v>
      </c>
      <c r="M1369" s="0" t="s">
        <v>140</v>
      </c>
      <c r="N1369" s="0" t="n">
        <v>1192</v>
      </c>
      <c r="O1369" s="10" t="n">
        <v>0.247420598752797</v>
      </c>
      <c r="P1369" s="10" t="n">
        <v>0.362272296566516</v>
      </c>
      <c r="Q1369" s="0" t="str">
        <f aca="false">SUBSTITUTE(SUBSTITUTE($I1369,CHAR(61),""),CHAR(34),"")</f>
        <v>10-14</v>
      </c>
      <c r="R1369" s="0" t="str">
        <f aca="false">IF($D1369&lt;&gt;"","["&amp;$E1369&amp;"]"&amp;"|"&amp;$Q1369&amp;"|"&amp;$K1369&amp;"|"&amp;$G1369&amp;"|"&amp;IF($G1369="TX_CURR_SUBNAT.R","CY2022Q4",$M1369),"")</f>
        <v>[umc2n1Z4wNv]|10-14|Male|PLHIV_Residents.T_1|CY2023Q3</v>
      </c>
    </row>
    <row r="1370" customFormat="false" ht="15" hidden="false" customHeight="false" outlineLevel="0" collapsed="false">
      <c r="D1370" s="9" t="s">
        <v>93</v>
      </c>
      <c r="E1370" s="9" t="s">
        <v>94</v>
      </c>
      <c r="F1370" s="9" t="s">
        <v>95</v>
      </c>
      <c r="G1370" s="9" t="s">
        <v>143</v>
      </c>
      <c r="H1370" s="9" t="s">
        <v>144</v>
      </c>
      <c r="I1370" s="0" t="s">
        <v>38</v>
      </c>
      <c r="J1370" s="9" t="s">
        <v>39</v>
      </c>
      <c r="K1370" s="9" t="s">
        <v>48</v>
      </c>
      <c r="L1370" s="9" t="s">
        <v>49</v>
      </c>
      <c r="M1370" s="0" t="s">
        <v>140</v>
      </c>
      <c r="N1370" s="0" t="n">
        <v>1793</v>
      </c>
      <c r="O1370" s="10" t="n">
        <v>0.512057061307132</v>
      </c>
      <c r="P1370" s="10" t="n">
        <v>0.362272296566516</v>
      </c>
      <c r="Q1370" s="0" t="str">
        <f aca="false">SUBSTITUTE(SUBSTITUTE($I1370,CHAR(61),""),CHAR(34),"")</f>
        <v>15-24</v>
      </c>
      <c r="R1370" s="0" t="str">
        <f aca="false">IF($D1370&lt;&gt;"","["&amp;$E1370&amp;"]"&amp;"|"&amp;$Q1370&amp;"|"&amp;$K1370&amp;"|"&amp;$G1370&amp;"|"&amp;IF($G1370="TX_CURR_SUBNAT.R","CY2022Q4",$M1370),"")</f>
        <v>[umc2n1Z4wNv]|15-24|Male|PLHIV_Residents.T_1|CY2023Q3</v>
      </c>
    </row>
    <row r="1371" customFormat="false" ht="15" hidden="false" customHeight="false" outlineLevel="0" collapsed="false">
      <c r="D1371" s="9" t="s">
        <v>93</v>
      </c>
      <c r="E1371" s="9" t="s">
        <v>94</v>
      </c>
      <c r="F1371" s="9" t="s">
        <v>95</v>
      </c>
      <c r="G1371" s="9" t="s">
        <v>143</v>
      </c>
      <c r="H1371" s="9" t="s">
        <v>144</v>
      </c>
      <c r="I1371" s="0" t="s">
        <v>41</v>
      </c>
      <c r="J1371" s="9" t="s">
        <v>42</v>
      </c>
      <c r="K1371" s="9" t="s">
        <v>48</v>
      </c>
      <c r="L1371" s="9" t="s">
        <v>49</v>
      </c>
      <c r="M1371" s="0" t="s">
        <v>140</v>
      </c>
      <c r="N1371" s="0" t="n">
        <v>879</v>
      </c>
      <c r="O1371" s="10" t="n">
        <v>0.587820502696559</v>
      </c>
      <c r="P1371" s="10" t="n">
        <v>0.362272296566516</v>
      </c>
      <c r="Q1371" s="0" t="str">
        <f aca="false">SUBSTITUTE(SUBSTITUTE($I1371,CHAR(61),""),CHAR(34),"")</f>
        <v>25-34</v>
      </c>
      <c r="R1371" s="0" t="str">
        <f aca="false">IF($D1371&lt;&gt;"","["&amp;$E1371&amp;"]"&amp;"|"&amp;$Q1371&amp;"|"&amp;$K1371&amp;"|"&amp;$G1371&amp;"|"&amp;IF($G1371="TX_CURR_SUBNAT.R","CY2022Q4",$M1371),"")</f>
        <v>[umc2n1Z4wNv]|25-34|Male|PLHIV_Residents.T_1|CY2023Q3</v>
      </c>
    </row>
    <row r="1372" customFormat="false" ht="15" hidden="false" customHeight="false" outlineLevel="0" collapsed="false">
      <c r="D1372" s="9" t="s">
        <v>93</v>
      </c>
      <c r="E1372" s="9" t="s">
        <v>94</v>
      </c>
      <c r="F1372" s="9" t="s">
        <v>95</v>
      </c>
      <c r="G1372" s="9" t="s">
        <v>143</v>
      </c>
      <c r="H1372" s="9" t="s">
        <v>144</v>
      </c>
      <c r="I1372" s="0" t="s">
        <v>43</v>
      </c>
      <c r="J1372" s="9" t="s">
        <v>44</v>
      </c>
      <c r="K1372" s="9" t="s">
        <v>48</v>
      </c>
      <c r="L1372" s="9" t="s">
        <v>49</v>
      </c>
      <c r="M1372" s="0" t="s">
        <v>140</v>
      </c>
      <c r="N1372" s="0" t="n">
        <v>1469</v>
      </c>
      <c r="O1372" s="10" t="n">
        <v>0.681650454411283</v>
      </c>
      <c r="P1372" s="10" t="n">
        <v>0.362272296566516</v>
      </c>
      <c r="Q1372" s="0" t="str">
        <f aca="false">SUBSTITUTE(SUBSTITUTE($I1372,CHAR(61),""),CHAR(34),"")</f>
        <v>35-49</v>
      </c>
      <c r="R1372" s="0" t="str">
        <f aca="false">IF($D1372&lt;&gt;"","["&amp;$E1372&amp;"]"&amp;"|"&amp;$Q1372&amp;"|"&amp;$K1372&amp;"|"&amp;$G1372&amp;"|"&amp;IF($G1372="TX_CURR_SUBNAT.R","CY2022Q4",$M1372),"")</f>
        <v>[umc2n1Z4wNv]|35-49|Male|PLHIV_Residents.T_1|CY2023Q3</v>
      </c>
    </row>
    <row r="1373" customFormat="false" ht="15" hidden="false" customHeight="false" outlineLevel="0" collapsed="false">
      <c r="D1373" s="9" t="s">
        <v>93</v>
      </c>
      <c r="E1373" s="9" t="s">
        <v>94</v>
      </c>
      <c r="F1373" s="9" t="s">
        <v>95</v>
      </c>
      <c r="G1373" s="9" t="s">
        <v>143</v>
      </c>
      <c r="H1373" s="9" t="s">
        <v>144</v>
      </c>
      <c r="I1373" s="0" t="s">
        <v>45</v>
      </c>
      <c r="J1373" s="9" t="s">
        <v>46</v>
      </c>
      <c r="K1373" s="9" t="s">
        <v>48</v>
      </c>
      <c r="L1373" s="9" t="s">
        <v>49</v>
      </c>
      <c r="M1373" s="0" t="s">
        <v>140</v>
      </c>
      <c r="N1373" s="0" t="n">
        <v>1309</v>
      </c>
      <c r="O1373" s="10" t="n">
        <v>0.669415394309908</v>
      </c>
      <c r="P1373" s="10" t="n">
        <v>0.362272296566516</v>
      </c>
      <c r="Q1373" s="0" t="str">
        <f aca="false">SUBSTITUTE(SUBSTITUTE($I1373,CHAR(61),""),CHAR(34),"")</f>
        <v>50+</v>
      </c>
      <c r="R1373" s="0" t="str">
        <f aca="false">IF($D1373&lt;&gt;"","["&amp;$E1373&amp;"]"&amp;"|"&amp;$Q1373&amp;"|"&amp;$K1373&amp;"|"&amp;$G1373&amp;"|"&amp;IF($G1373="TX_CURR_SUBNAT.R","CY2022Q4",$M1373),"")</f>
        <v>[umc2n1Z4wNv]|50+|Male|PLHIV_Residents.T_1|CY2023Q3</v>
      </c>
    </row>
    <row r="1374" customFormat="false" ht="15" hidden="false" customHeight="false" outlineLevel="0" collapsed="false">
      <c r="D1374" s="9" t="s">
        <v>96</v>
      </c>
      <c r="E1374" s="9" t="s">
        <v>97</v>
      </c>
      <c r="F1374" s="9" t="s">
        <v>98</v>
      </c>
      <c r="G1374" s="9" t="s">
        <v>143</v>
      </c>
      <c r="H1374" s="9" t="s">
        <v>144</v>
      </c>
      <c r="I1374" s="0" t="s">
        <v>28</v>
      </c>
      <c r="J1374" s="9" t="s">
        <v>29</v>
      </c>
      <c r="K1374" s="9" t="s">
        <v>30</v>
      </c>
      <c r="L1374" s="9" t="s">
        <v>31</v>
      </c>
      <c r="M1374" s="0" t="s">
        <v>140</v>
      </c>
      <c r="N1374" s="0" t="n">
        <v>1571</v>
      </c>
      <c r="O1374" s="10" t="n">
        <v>0.478115307632834</v>
      </c>
      <c r="P1374" s="10" t="n">
        <v>0.601251717889681</v>
      </c>
      <c r="Q1374" s="0" t="str">
        <f aca="false">SUBSTITUTE(SUBSTITUTE($I1374,CHAR(61),""),CHAR(34),"")</f>
        <v>&lt;01</v>
      </c>
      <c r="R1374" s="0" t="str">
        <f aca="false">IF($D1374&lt;&gt;"","["&amp;$E1374&amp;"]"&amp;"|"&amp;$Q1374&amp;"|"&amp;$K1374&amp;"|"&amp;$G1374&amp;"|"&amp;IF($G1374="TX_CURR_SUBNAT.R","CY2022Q4",$M1374),"")</f>
        <v>[gwVYinjBAe9]|&lt;01|Female|PLHIV_Residents.T_1|CY2023Q3</v>
      </c>
    </row>
    <row r="1375" customFormat="false" ht="15" hidden="false" customHeight="false" outlineLevel="0" collapsed="false">
      <c r="D1375" s="9" t="s">
        <v>96</v>
      </c>
      <c r="E1375" s="9" t="s">
        <v>97</v>
      </c>
      <c r="F1375" s="9" t="s">
        <v>98</v>
      </c>
      <c r="G1375" s="9" t="s">
        <v>143</v>
      </c>
      <c r="H1375" s="9" t="s">
        <v>144</v>
      </c>
      <c r="I1375" s="0" t="s">
        <v>33</v>
      </c>
      <c r="J1375" s="9" t="s">
        <v>34</v>
      </c>
      <c r="K1375" s="9" t="s">
        <v>30</v>
      </c>
      <c r="L1375" s="9" t="s">
        <v>31</v>
      </c>
      <c r="M1375" s="0" t="s">
        <v>140</v>
      </c>
      <c r="N1375" s="0" t="n">
        <v>513</v>
      </c>
      <c r="O1375" s="10" t="n">
        <v>0.735079026082531</v>
      </c>
      <c r="P1375" s="10" t="n">
        <v>0.601251717889681</v>
      </c>
      <c r="Q1375" s="0" t="str">
        <f aca="false">SUBSTITUTE(SUBSTITUTE($I1375,CHAR(61),""),CHAR(34),"")</f>
        <v>01-09</v>
      </c>
      <c r="R1375" s="0" t="str">
        <f aca="false">IF($D1375&lt;&gt;"","["&amp;$E1375&amp;"]"&amp;"|"&amp;$Q1375&amp;"|"&amp;$K1375&amp;"|"&amp;$G1375&amp;"|"&amp;IF($G1375="TX_CURR_SUBNAT.R","CY2022Q4",$M1375),"")</f>
        <v>[gwVYinjBAe9]|01-09|Female|PLHIV_Residents.T_1|CY2023Q3</v>
      </c>
    </row>
    <row r="1376" customFormat="false" ht="15" hidden="false" customHeight="false" outlineLevel="0" collapsed="false">
      <c r="D1376" s="9" t="s">
        <v>96</v>
      </c>
      <c r="E1376" s="9" t="s">
        <v>97</v>
      </c>
      <c r="F1376" s="9" t="s">
        <v>98</v>
      </c>
      <c r="G1376" s="9" t="s">
        <v>143</v>
      </c>
      <c r="H1376" s="9" t="s">
        <v>144</v>
      </c>
      <c r="I1376" s="0" t="s">
        <v>36</v>
      </c>
      <c r="J1376" s="9" t="s">
        <v>37</v>
      </c>
      <c r="K1376" s="9" t="s">
        <v>30</v>
      </c>
      <c r="L1376" s="9" t="s">
        <v>31</v>
      </c>
      <c r="M1376" s="0" t="s">
        <v>140</v>
      </c>
      <c r="N1376" s="0" t="n">
        <v>1068</v>
      </c>
      <c r="O1376" s="10" t="n">
        <v>0.304159594001248</v>
      </c>
      <c r="P1376" s="10" t="n">
        <v>0.601251717889681</v>
      </c>
      <c r="Q1376" s="0" t="str">
        <f aca="false">SUBSTITUTE(SUBSTITUTE($I1376,CHAR(61),""),CHAR(34),"")</f>
        <v>10-14</v>
      </c>
      <c r="R1376" s="0" t="str">
        <f aca="false">IF($D1376&lt;&gt;"","["&amp;$E1376&amp;"]"&amp;"|"&amp;$Q1376&amp;"|"&amp;$K1376&amp;"|"&amp;$G1376&amp;"|"&amp;IF($G1376="TX_CURR_SUBNAT.R","CY2022Q4",$M1376),"")</f>
        <v>[gwVYinjBAe9]|10-14|Female|PLHIV_Residents.T_1|CY2023Q3</v>
      </c>
    </row>
    <row r="1377" customFormat="false" ht="15" hidden="false" customHeight="false" outlineLevel="0" collapsed="false">
      <c r="D1377" s="9" t="s">
        <v>96</v>
      </c>
      <c r="E1377" s="9" t="s">
        <v>97</v>
      </c>
      <c r="F1377" s="9" t="s">
        <v>98</v>
      </c>
      <c r="G1377" s="9" t="s">
        <v>143</v>
      </c>
      <c r="H1377" s="9" t="s">
        <v>144</v>
      </c>
      <c r="I1377" s="0" t="s">
        <v>38</v>
      </c>
      <c r="J1377" s="9" t="s">
        <v>39</v>
      </c>
      <c r="K1377" s="9" t="s">
        <v>30</v>
      </c>
      <c r="L1377" s="9" t="s">
        <v>31</v>
      </c>
      <c r="M1377" s="0" t="s">
        <v>140</v>
      </c>
      <c r="N1377" s="0" t="n">
        <v>1810</v>
      </c>
      <c r="O1377" s="10" t="n">
        <v>0.31301375804469</v>
      </c>
      <c r="P1377" s="10" t="n">
        <v>0.601251717889681</v>
      </c>
      <c r="Q1377" s="0" t="str">
        <f aca="false">SUBSTITUTE(SUBSTITUTE($I1377,CHAR(61),""),CHAR(34),"")</f>
        <v>15-24</v>
      </c>
      <c r="R1377" s="0" t="str">
        <f aca="false">IF($D1377&lt;&gt;"","["&amp;$E1377&amp;"]"&amp;"|"&amp;$Q1377&amp;"|"&amp;$K1377&amp;"|"&amp;$G1377&amp;"|"&amp;IF($G1377="TX_CURR_SUBNAT.R","CY2022Q4",$M1377),"")</f>
        <v>[gwVYinjBAe9]|15-24|Female|PLHIV_Residents.T_1|CY2023Q3</v>
      </c>
    </row>
    <row r="1378" customFormat="false" ht="15" hidden="false" customHeight="false" outlineLevel="0" collapsed="false">
      <c r="D1378" s="9" t="s">
        <v>96</v>
      </c>
      <c r="E1378" s="9" t="s">
        <v>97</v>
      </c>
      <c r="F1378" s="9" t="s">
        <v>98</v>
      </c>
      <c r="G1378" s="9" t="s">
        <v>143</v>
      </c>
      <c r="H1378" s="9" t="s">
        <v>144</v>
      </c>
      <c r="I1378" s="0" t="s">
        <v>41</v>
      </c>
      <c r="J1378" s="9" t="s">
        <v>42</v>
      </c>
      <c r="K1378" s="9" t="s">
        <v>30</v>
      </c>
      <c r="L1378" s="9" t="s">
        <v>31</v>
      </c>
      <c r="M1378" s="0" t="s">
        <v>140</v>
      </c>
      <c r="N1378" s="0" t="n">
        <v>1880</v>
      </c>
      <c r="O1378" s="10" t="n">
        <v>0.173617145512253</v>
      </c>
      <c r="P1378" s="10" t="n">
        <v>0.601251717889681</v>
      </c>
      <c r="Q1378" s="0" t="str">
        <f aca="false">SUBSTITUTE(SUBSTITUTE($I1378,CHAR(61),""),CHAR(34),"")</f>
        <v>25-34</v>
      </c>
      <c r="R1378" s="0" t="str">
        <f aca="false">IF($D1378&lt;&gt;"","["&amp;$E1378&amp;"]"&amp;"|"&amp;$Q1378&amp;"|"&amp;$K1378&amp;"|"&amp;$G1378&amp;"|"&amp;IF($G1378="TX_CURR_SUBNAT.R","CY2022Q4",$M1378),"")</f>
        <v>[gwVYinjBAe9]|25-34|Female|PLHIV_Residents.T_1|CY2023Q3</v>
      </c>
    </row>
    <row r="1379" customFormat="false" ht="15" hidden="false" customHeight="false" outlineLevel="0" collapsed="false">
      <c r="D1379" s="0" t="s">
        <v>96</v>
      </c>
      <c r="E1379" s="0" t="s">
        <v>97</v>
      </c>
      <c r="F1379" s="0" t="s">
        <v>98</v>
      </c>
      <c r="G1379" s="0" t="s">
        <v>143</v>
      </c>
      <c r="H1379" s="0" t="s">
        <v>144</v>
      </c>
      <c r="I1379" s="0" t="s">
        <v>43</v>
      </c>
      <c r="J1379" s="0" t="s">
        <v>44</v>
      </c>
      <c r="K1379" s="0" t="s">
        <v>30</v>
      </c>
      <c r="L1379" s="0" t="s">
        <v>31</v>
      </c>
      <c r="M1379" s="0" t="s">
        <v>140</v>
      </c>
      <c r="N1379" s="0" t="n">
        <v>681</v>
      </c>
      <c r="O1379" s="10" t="n">
        <v>0.452264556195587</v>
      </c>
      <c r="P1379" s="10" t="n">
        <v>0.601251717889681</v>
      </c>
      <c r="Q1379" s="0" t="str">
        <f aca="false">SUBSTITUTE(SUBSTITUTE($I1379,CHAR(61),""),CHAR(34),"")</f>
        <v>35-49</v>
      </c>
      <c r="R1379" s="0" t="str">
        <f aca="false">IF($D1379&lt;&gt;"","["&amp;$E1379&amp;"]"&amp;"|"&amp;$Q1379&amp;"|"&amp;$K1379&amp;"|"&amp;$G1379&amp;"|"&amp;IF($G1379="TX_CURR_SUBNAT.R","CY2022Q4",$M1379),"")</f>
        <v>[gwVYinjBAe9]|35-49|Female|PLHIV_Residents.T_1|CY2023Q3</v>
      </c>
    </row>
    <row r="1380" customFormat="false" ht="15" hidden="false" customHeight="false" outlineLevel="0" collapsed="false">
      <c r="D1380" s="0" t="s">
        <v>96</v>
      </c>
      <c r="E1380" s="0" t="s">
        <v>97</v>
      </c>
      <c r="F1380" s="0" t="s">
        <v>98</v>
      </c>
      <c r="G1380" s="0" t="s">
        <v>143</v>
      </c>
      <c r="H1380" s="0" t="s">
        <v>144</v>
      </c>
      <c r="I1380" s="0" t="s">
        <v>45</v>
      </c>
      <c r="J1380" s="0" t="s">
        <v>46</v>
      </c>
      <c r="K1380" s="0" t="s">
        <v>30</v>
      </c>
      <c r="L1380" s="0" t="s">
        <v>31</v>
      </c>
      <c r="M1380" s="0" t="s">
        <v>140</v>
      </c>
      <c r="N1380" s="0" t="n">
        <v>1724</v>
      </c>
      <c r="O1380" s="10" t="n">
        <v>0.252426329767331</v>
      </c>
      <c r="P1380" s="10" t="n">
        <v>0.601251717889681</v>
      </c>
      <c r="Q1380" s="0" t="str">
        <f aca="false">SUBSTITUTE(SUBSTITUTE($I1380,CHAR(61),""),CHAR(34),"")</f>
        <v>50+</v>
      </c>
      <c r="R1380" s="0" t="str">
        <f aca="false">IF($D1380&lt;&gt;"","["&amp;$E1380&amp;"]"&amp;"|"&amp;$Q1380&amp;"|"&amp;$K1380&amp;"|"&amp;$G1380&amp;"|"&amp;IF($G1380="TX_CURR_SUBNAT.R","CY2022Q4",$M1380),"")</f>
        <v>[gwVYinjBAe9]|50+|Female|PLHIV_Residents.T_1|CY2023Q3</v>
      </c>
    </row>
    <row r="1381" customFormat="false" ht="15" hidden="false" customHeight="false" outlineLevel="0" collapsed="false">
      <c r="D1381" s="0" t="s">
        <v>96</v>
      </c>
      <c r="E1381" s="0" t="s">
        <v>97</v>
      </c>
      <c r="F1381" s="0" t="s">
        <v>98</v>
      </c>
      <c r="G1381" s="0" t="s">
        <v>143</v>
      </c>
      <c r="H1381" s="0" t="s">
        <v>144</v>
      </c>
      <c r="I1381" s="0" t="s">
        <v>28</v>
      </c>
      <c r="J1381" s="0" t="s">
        <v>29</v>
      </c>
      <c r="K1381" s="0" t="s">
        <v>48</v>
      </c>
      <c r="L1381" s="0" t="s">
        <v>49</v>
      </c>
      <c r="M1381" s="0" t="s">
        <v>140</v>
      </c>
      <c r="N1381" s="0" t="n">
        <v>1650</v>
      </c>
      <c r="O1381" s="10" t="n">
        <v>0.2228186680004</v>
      </c>
      <c r="P1381" s="10" t="n">
        <v>0.601251717889681</v>
      </c>
      <c r="Q1381" s="0" t="str">
        <f aca="false">SUBSTITUTE(SUBSTITUTE($I1381,CHAR(61),""),CHAR(34),"")</f>
        <v>&lt;01</v>
      </c>
      <c r="R1381" s="0" t="str">
        <f aca="false">IF($D1381&lt;&gt;"","["&amp;$E1381&amp;"]"&amp;"|"&amp;$Q1381&amp;"|"&amp;$K1381&amp;"|"&amp;$G1381&amp;"|"&amp;IF($G1381="TX_CURR_SUBNAT.R","CY2022Q4",$M1381),"")</f>
        <v>[gwVYinjBAe9]|&lt;01|Male|PLHIV_Residents.T_1|CY2023Q3</v>
      </c>
    </row>
    <row r="1382" customFormat="false" ht="15" hidden="false" customHeight="false" outlineLevel="0" collapsed="false">
      <c r="D1382" s="0" t="s">
        <v>96</v>
      </c>
      <c r="E1382" s="0" t="s">
        <v>97</v>
      </c>
      <c r="F1382" s="0" t="s">
        <v>98</v>
      </c>
      <c r="G1382" s="0" t="s">
        <v>143</v>
      </c>
      <c r="H1382" s="0" t="s">
        <v>144</v>
      </c>
      <c r="I1382" s="0" t="s">
        <v>33</v>
      </c>
      <c r="J1382" s="0" t="s">
        <v>34</v>
      </c>
      <c r="K1382" s="0" t="s">
        <v>48</v>
      </c>
      <c r="L1382" s="0" t="s">
        <v>49</v>
      </c>
      <c r="M1382" s="0" t="s">
        <v>140</v>
      </c>
      <c r="N1382" s="0" t="n">
        <v>1661</v>
      </c>
      <c r="O1382" s="10" t="n">
        <v>0.595558642642573</v>
      </c>
      <c r="P1382" s="10" t="n">
        <v>0.601251717889681</v>
      </c>
      <c r="Q1382" s="0" t="str">
        <f aca="false">SUBSTITUTE(SUBSTITUTE($I1382,CHAR(61),""),CHAR(34),"")</f>
        <v>01-09</v>
      </c>
      <c r="R1382" s="0" t="str">
        <f aca="false">IF($D1382&lt;&gt;"","["&amp;$E1382&amp;"]"&amp;"|"&amp;$Q1382&amp;"|"&amp;$K1382&amp;"|"&amp;$G1382&amp;"|"&amp;IF($G1382="TX_CURR_SUBNAT.R","CY2022Q4",$M1382),"")</f>
        <v>[gwVYinjBAe9]|01-09|Male|PLHIV_Residents.T_1|CY2023Q3</v>
      </c>
    </row>
    <row r="1383" customFormat="false" ht="15" hidden="false" customHeight="false" outlineLevel="0" collapsed="false">
      <c r="D1383" s="0" t="s">
        <v>96</v>
      </c>
      <c r="E1383" s="0" t="s">
        <v>97</v>
      </c>
      <c r="F1383" s="0" t="s">
        <v>98</v>
      </c>
      <c r="G1383" s="0" t="s">
        <v>143</v>
      </c>
      <c r="H1383" s="0" t="s">
        <v>144</v>
      </c>
      <c r="I1383" s="0" t="s">
        <v>36</v>
      </c>
      <c r="J1383" s="0" t="s">
        <v>37</v>
      </c>
      <c r="K1383" s="0" t="s">
        <v>48</v>
      </c>
      <c r="L1383" s="0" t="s">
        <v>49</v>
      </c>
      <c r="M1383" s="0" t="s">
        <v>140</v>
      </c>
      <c r="N1383" s="0" t="n">
        <v>1167</v>
      </c>
      <c r="O1383" s="10" t="n">
        <v>0.22603480075486</v>
      </c>
      <c r="P1383" s="10" t="n">
        <v>0.601251717889681</v>
      </c>
      <c r="Q1383" s="0" t="str">
        <f aca="false">SUBSTITUTE(SUBSTITUTE($I1383,CHAR(61),""),CHAR(34),"")</f>
        <v>10-14</v>
      </c>
      <c r="R1383" s="0" t="str">
        <f aca="false">IF($D1383&lt;&gt;"","["&amp;$E1383&amp;"]"&amp;"|"&amp;$Q1383&amp;"|"&amp;$K1383&amp;"|"&amp;$G1383&amp;"|"&amp;IF($G1383="TX_CURR_SUBNAT.R","CY2022Q4",$M1383),"")</f>
        <v>[gwVYinjBAe9]|10-14|Male|PLHIV_Residents.T_1|CY2023Q3</v>
      </c>
    </row>
    <row r="1384" customFormat="false" ht="15" hidden="false" customHeight="false" outlineLevel="0" collapsed="false">
      <c r="D1384" s="0" t="s">
        <v>96</v>
      </c>
      <c r="E1384" s="0" t="s">
        <v>97</v>
      </c>
      <c r="F1384" s="0" t="s">
        <v>98</v>
      </c>
      <c r="G1384" s="0" t="s">
        <v>143</v>
      </c>
      <c r="H1384" s="0" t="s">
        <v>144</v>
      </c>
      <c r="I1384" s="0" t="s">
        <v>38</v>
      </c>
      <c r="J1384" s="0" t="s">
        <v>39</v>
      </c>
      <c r="K1384" s="0" t="s">
        <v>48</v>
      </c>
      <c r="L1384" s="0" t="s">
        <v>49</v>
      </c>
      <c r="M1384" s="0" t="s">
        <v>140</v>
      </c>
      <c r="N1384" s="0" t="n">
        <v>722</v>
      </c>
      <c r="O1384" s="10" t="n">
        <v>0.209789735497907</v>
      </c>
      <c r="P1384" s="10" t="n">
        <v>0.601251717889681</v>
      </c>
      <c r="Q1384" s="0" t="str">
        <f aca="false">SUBSTITUTE(SUBSTITUTE($I1384,CHAR(61),""),CHAR(34),"")</f>
        <v>15-24</v>
      </c>
      <c r="R1384" s="0" t="str">
        <f aca="false">IF($D1384&lt;&gt;"","["&amp;$E1384&amp;"]"&amp;"|"&amp;$Q1384&amp;"|"&amp;$K1384&amp;"|"&amp;$G1384&amp;"|"&amp;IF($G1384="TX_CURR_SUBNAT.R","CY2022Q4",$M1384),"")</f>
        <v>[gwVYinjBAe9]|15-24|Male|PLHIV_Residents.T_1|CY2023Q3</v>
      </c>
    </row>
    <row r="1385" customFormat="false" ht="15" hidden="false" customHeight="false" outlineLevel="0" collapsed="false">
      <c r="D1385" s="0" t="s">
        <v>96</v>
      </c>
      <c r="E1385" s="0" t="s">
        <v>97</v>
      </c>
      <c r="F1385" s="0" t="s">
        <v>98</v>
      </c>
      <c r="G1385" s="0" t="s">
        <v>143</v>
      </c>
      <c r="H1385" s="0" t="s">
        <v>144</v>
      </c>
      <c r="I1385" s="0" t="s">
        <v>41</v>
      </c>
      <c r="J1385" s="0" t="s">
        <v>42</v>
      </c>
      <c r="K1385" s="0" t="s">
        <v>48</v>
      </c>
      <c r="L1385" s="0" t="s">
        <v>49</v>
      </c>
      <c r="M1385" s="0" t="s">
        <v>140</v>
      </c>
      <c r="N1385" s="0" t="n">
        <v>836</v>
      </c>
      <c r="O1385" s="10" t="n">
        <v>0.767317434540018</v>
      </c>
      <c r="P1385" s="10" t="n">
        <v>0.601251717889681</v>
      </c>
      <c r="Q1385" s="0" t="str">
        <f aca="false">SUBSTITUTE(SUBSTITUTE($I1385,CHAR(61),""),CHAR(34),"")</f>
        <v>25-34</v>
      </c>
      <c r="R1385" s="0" t="str">
        <f aca="false">IF($D1385&lt;&gt;"","["&amp;$E1385&amp;"]"&amp;"|"&amp;$Q1385&amp;"|"&amp;$K1385&amp;"|"&amp;$G1385&amp;"|"&amp;IF($G1385="TX_CURR_SUBNAT.R","CY2022Q4",$M1385),"")</f>
        <v>[gwVYinjBAe9]|25-34|Male|PLHIV_Residents.T_1|CY2023Q3</v>
      </c>
    </row>
    <row r="1386" customFormat="false" ht="15" hidden="false" customHeight="false" outlineLevel="0" collapsed="false">
      <c r="D1386" s="0" t="s">
        <v>96</v>
      </c>
      <c r="E1386" s="0" t="s">
        <v>97</v>
      </c>
      <c r="F1386" s="0" t="s">
        <v>98</v>
      </c>
      <c r="G1386" s="0" t="s">
        <v>143</v>
      </c>
      <c r="H1386" s="0" t="s">
        <v>144</v>
      </c>
      <c r="I1386" s="0" t="s">
        <v>43</v>
      </c>
      <c r="J1386" s="0" t="s">
        <v>44</v>
      </c>
      <c r="K1386" s="0" t="s">
        <v>48</v>
      </c>
      <c r="L1386" s="0" t="s">
        <v>49</v>
      </c>
      <c r="M1386" s="0" t="s">
        <v>140</v>
      </c>
      <c r="N1386" s="0" t="n">
        <v>1644</v>
      </c>
      <c r="O1386" s="10" t="n">
        <v>0.702767648268491</v>
      </c>
      <c r="P1386" s="10" t="n">
        <v>0.601251717889681</v>
      </c>
      <c r="Q1386" s="0" t="str">
        <f aca="false">SUBSTITUTE(SUBSTITUTE($I1386,CHAR(61),""),CHAR(34),"")</f>
        <v>35-49</v>
      </c>
      <c r="R1386" s="0" t="str">
        <f aca="false">IF($D1386&lt;&gt;"","["&amp;$E1386&amp;"]"&amp;"|"&amp;$Q1386&amp;"|"&amp;$K1386&amp;"|"&amp;$G1386&amp;"|"&amp;IF($G1386="TX_CURR_SUBNAT.R","CY2022Q4",$M1386),"")</f>
        <v>[gwVYinjBAe9]|35-49|Male|PLHIV_Residents.T_1|CY2023Q3</v>
      </c>
    </row>
    <row r="1387" customFormat="false" ht="15" hidden="false" customHeight="false" outlineLevel="0" collapsed="false">
      <c r="D1387" s="0" t="s">
        <v>96</v>
      </c>
      <c r="E1387" s="0" t="s">
        <v>97</v>
      </c>
      <c r="F1387" s="0" t="s">
        <v>98</v>
      </c>
      <c r="G1387" s="0" t="s">
        <v>143</v>
      </c>
      <c r="H1387" s="0" t="s">
        <v>144</v>
      </c>
      <c r="I1387" s="0" t="s">
        <v>45</v>
      </c>
      <c r="J1387" s="0" t="s">
        <v>46</v>
      </c>
      <c r="K1387" s="0" t="s">
        <v>48</v>
      </c>
      <c r="L1387" s="0" t="s">
        <v>49</v>
      </c>
      <c r="M1387" s="0" t="s">
        <v>140</v>
      </c>
      <c r="N1387" s="0" t="n">
        <v>1774</v>
      </c>
      <c r="O1387" s="10" t="n">
        <v>0.659865888999775</v>
      </c>
      <c r="P1387" s="10" t="n">
        <v>0.601251717889681</v>
      </c>
      <c r="Q1387" s="0" t="str">
        <f aca="false">SUBSTITUTE(SUBSTITUTE($I1387,CHAR(61),""),CHAR(34),"")</f>
        <v>50+</v>
      </c>
      <c r="R1387" s="0" t="str">
        <f aca="false">IF($D1387&lt;&gt;"","["&amp;$E1387&amp;"]"&amp;"|"&amp;$Q1387&amp;"|"&amp;$K1387&amp;"|"&amp;$G1387&amp;"|"&amp;IF($G1387="TX_CURR_SUBNAT.R","CY2022Q4",$M1387),"")</f>
        <v>[gwVYinjBAe9]|50+|Male|PLHIV_Residents.T_1|CY2023Q3</v>
      </c>
    </row>
    <row r="1388" customFormat="false" ht="15" hidden="false" customHeight="false" outlineLevel="0" collapsed="false">
      <c r="D1388" s="0" t="s">
        <v>99</v>
      </c>
      <c r="E1388" s="0" t="s">
        <v>100</v>
      </c>
      <c r="F1388" s="0" t="s">
        <v>101</v>
      </c>
      <c r="G1388" s="0" t="s">
        <v>143</v>
      </c>
      <c r="H1388" s="0" t="s">
        <v>144</v>
      </c>
      <c r="I1388" s="0" t="s">
        <v>28</v>
      </c>
      <c r="J1388" s="0" t="s">
        <v>29</v>
      </c>
      <c r="K1388" s="0" t="s">
        <v>30</v>
      </c>
      <c r="L1388" s="0" t="s">
        <v>31</v>
      </c>
      <c r="M1388" s="0" t="s">
        <v>140</v>
      </c>
      <c r="N1388" s="0" t="n">
        <v>1831</v>
      </c>
      <c r="O1388" s="10" t="n">
        <v>0.957321082940325</v>
      </c>
      <c r="P1388" s="10" t="n">
        <v>0.577288038097322</v>
      </c>
      <c r="Q1388" s="0" t="str">
        <f aca="false">SUBSTITUTE(SUBSTITUTE($I1388,CHAR(61),""),CHAR(34),"")</f>
        <v>&lt;01</v>
      </c>
      <c r="R1388" s="0" t="str">
        <f aca="false">IF($D1388&lt;&gt;"","["&amp;$E1388&amp;"]"&amp;"|"&amp;$Q1388&amp;"|"&amp;$K1388&amp;"|"&amp;$G1388&amp;"|"&amp;IF($G1388="TX_CURR_SUBNAT.R","CY2022Q4",$M1388),"")</f>
        <v>[mxqa3CDFmIT]|&lt;01|Female|PLHIV_Residents.T_1|CY2023Q3</v>
      </c>
    </row>
    <row r="1389" customFormat="false" ht="15" hidden="false" customHeight="false" outlineLevel="0" collapsed="false">
      <c r="D1389" s="0" t="s">
        <v>99</v>
      </c>
      <c r="E1389" s="0" t="s">
        <v>100</v>
      </c>
      <c r="F1389" s="0" t="s">
        <v>101</v>
      </c>
      <c r="G1389" s="0" t="s">
        <v>143</v>
      </c>
      <c r="H1389" s="0" t="s">
        <v>144</v>
      </c>
      <c r="I1389" s="0" t="s">
        <v>33</v>
      </c>
      <c r="J1389" s="0" t="s">
        <v>34</v>
      </c>
      <c r="K1389" s="0" t="s">
        <v>30</v>
      </c>
      <c r="L1389" s="0" t="s">
        <v>31</v>
      </c>
      <c r="M1389" s="0" t="s">
        <v>140</v>
      </c>
      <c r="N1389" s="0" t="n">
        <v>511</v>
      </c>
      <c r="O1389" s="10" t="n">
        <v>0.0327789287548512</v>
      </c>
      <c r="P1389" s="10" t="n">
        <v>0.577288038097322</v>
      </c>
      <c r="Q1389" s="0" t="str">
        <f aca="false">SUBSTITUTE(SUBSTITUTE($I1389,CHAR(61),""),CHAR(34),"")</f>
        <v>01-09</v>
      </c>
      <c r="R1389" s="0" t="str">
        <f aca="false">IF($D1389&lt;&gt;"","["&amp;$E1389&amp;"]"&amp;"|"&amp;$Q1389&amp;"|"&amp;$K1389&amp;"|"&amp;$G1389&amp;"|"&amp;IF($G1389="TX_CURR_SUBNAT.R","CY2022Q4",$M1389),"")</f>
        <v>[mxqa3CDFmIT]|01-09|Female|PLHIV_Residents.T_1|CY2023Q3</v>
      </c>
    </row>
    <row r="1390" customFormat="false" ht="15" hidden="false" customHeight="false" outlineLevel="0" collapsed="false">
      <c r="D1390" s="0" t="s">
        <v>99</v>
      </c>
      <c r="E1390" s="0" t="s">
        <v>100</v>
      </c>
      <c r="F1390" s="0" t="s">
        <v>101</v>
      </c>
      <c r="G1390" s="0" t="s">
        <v>143</v>
      </c>
      <c r="H1390" s="0" t="s">
        <v>144</v>
      </c>
      <c r="I1390" s="0" t="s">
        <v>36</v>
      </c>
      <c r="J1390" s="0" t="s">
        <v>37</v>
      </c>
      <c r="K1390" s="0" t="s">
        <v>30</v>
      </c>
      <c r="L1390" s="0" t="s">
        <v>31</v>
      </c>
      <c r="M1390" s="0" t="s">
        <v>140</v>
      </c>
      <c r="N1390" s="0" t="n">
        <v>979</v>
      </c>
      <c r="O1390" s="10" t="n">
        <v>0.914827715605497</v>
      </c>
      <c r="P1390" s="10" t="n">
        <v>0.577288038097322</v>
      </c>
      <c r="Q1390" s="0" t="str">
        <f aca="false">SUBSTITUTE(SUBSTITUTE($I1390,CHAR(61),""),CHAR(34),"")</f>
        <v>10-14</v>
      </c>
      <c r="R1390" s="0" t="str">
        <f aca="false">IF($D1390&lt;&gt;"","["&amp;$E1390&amp;"]"&amp;"|"&amp;$Q1390&amp;"|"&amp;$K1390&amp;"|"&amp;$G1390&amp;"|"&amp;IF($G1390="TX_CURR_SUBNAT.R","CY2022Q4",$M1390),"")</f>
        <v>[mxqa3CDFmIT]|10-14|Female|PLHIV_Residents.T_1|CY2023Q3</v>
      </c>
    </row>
    <row r="1391" customFormat="false" ht="15" hidden="false" customHeight="false" outlineLevel="0" collapsed="false">
      <c r="D1391" s="0" t="s">
        <v>99</v>
      </c>
      <c r="E1391" s="0" t="s">
        <v>100</v>
      </c>
      <c r="F1391" s="0" t="s">
        <v>101</v>
      </c>
      <c r="G1391" s="0" t="s">
        <v>143</v>
      </c>
      <c r="H1391" s="0" t="s">
        <v>144</v>
      </c>
      <c r="I1391" s="0" t="s">
        <v>38</v>
      </c>
      <c r="J1391" s="0" t="s">
        <v>39</v>
      </c>
      <c r="K1391" s="0" t="s">
        <v>30</v>
      </c>
      <c r="L1391" s="0" t="s">
        <v>31</v>
      </c>
      <c r="M1391" s="0" t="s">
        <v>140</v>
      </c>
      <c r="N1391" s="0" t="n">
        <v>1864</v>
      </c>
      <c r="O1391" s="10" t="n">
        <v>0.0872799311764538</v>
      </c>
      <c r="P1391" s="10" t="n">
        <v>0.577288038097322</v>
      </c>
      <c r="Q1391" s="0" t="str">
        <f aca="false">SUBSTITUTE(SUBSTITUTE($I1391,CHAR(61),""),CHAR(34),"")</f>
        <v>15-24</v>
      </c>
      <c r="R1391" s="0" t="str">
        <f aca="false">IF($D1391&lt;&gt;"","["&amp;$E1391&amp;"]"&amp;"|"&amp;$Q1391&amp;"|"&amp;$K1391&amp;"|"&amp;$G1391&amp;"|"&amp;IF($G1391="TX_CURR_SUBNAT.R","CY2022Q4",$M1391),"")</f>
        <v>[mxqa3CDFmIT]|15-24|Female|PLHIV_Residents.T_1|CY2023Q3</v>
      </c>
    </row>
    <row r="1392" customFormat="false" ht="15" hidden="false" customHeight="false" outlineLevel="0" collapsed="false">
      <c r="D1392" s="0" t="s">
        <v>99</v>
      </c>
      <c r="E1392" s="0" t="s">
        <v>100</v>
      </c>
      <c r="F1392" s="0" t="s">
        <v>101</v>
      </c>
      <c r="G1392" s="0" t="s">
        <v>143</v>
      </c>
      <c r="H1392" s="0" t="s">
        <v>144</v>
      </c>
      <c r="I1392" s="0" t="s">
        <v>41</v>
      </c>
      <c r="J1392" s="0" t="s">
        <v>42</v>
      </c>
      <c r="K1392" s="0" t="s">
        <v>30</v>
      </c>
      <c r="L1392" s="0" t="s">
        <v>31</v>
      </c>
      <c r="M1392" s="0" t="s">
        <v>140</v>
      </c>
      <c r="N1392" s="0" t="n">
        <v>807</v>
      </c>
      <c r="O1392" s="10" t="n">
        <v>0.305686145555228</v>
      </c>
      <c r="P1392" s="10" t="n">
        <v>0.577288038097322</v>
      </c>
      <c r="Q1392" s="0" t="str">
        <f aca="false">SUBSTITUTE(SUBSTITUTE($I1392,CHAR(61),""),CHAR(34),"")</f>
        <v>25-34</v>
      </c>
      <c r="R1392" s="0" t="str">
        <f aca="false">IF($D1392&lt;&gt;"","["&amp;$E1392&amp;"]"&amp;"|"&amp;$Q1392&amp;"|"&amp;$K1392&amp;"|"&amp;$G1392&amp;"|"&amp;IF($G1392="TX_CURR_SUBNAT.R","CY2022Q4",$M1392),"")</f>
        <v>[mxqa3CDFmIT]|25-34|Female|PLHIV_Residents.T_1|CY2023Q3</v>
      </c>
    </row>
    <row r="1393" customFormat="false" ht="15" hidden="false" customHeight="false" outlineLevel="0" collapsed="false">
      <c r="D1393" s="0" t="s">
        <v>99</v>
      </c>
      <c r="E1393" s="0" t="s">
        <v>100</v>
      </c>
      <c r="F1393" s="0" t="s">
        <v>101</v>
      </c>
      <c r="G1393" s="0" t="s">
        <v>143</v>
      </c>
      <c r="H1393" s="0" t="s">
        <v>144</v>
      </c>
      <c r="I1393" s="0" t="s">
        <v>43</v>
      </c>
      <c r="J1393" s="0" t="s">
        <v>44</v>
      </c>
      <c r="K1393" s="0" t="s">
        <v>30</v>
      </c>
      <c r="L1393" s="0" t="s">
        <v>31</v>
      </c>
      <c r="M1393" s="0" t="s">
        <v>140</v>
      </c>
      <c r="N1393" s="0" t="n">
        <v>566</v>
      </c>
      <c r="O1393" s="10" t="n">
        <v>0.413295582868159</v>
      </c>
      <c r="P1393" s="10" t="n">
        <v>0.577288038097322</v>
      </c>
      <c r="Q1393" s="0" t="str">
        <f aca="false">SUBSTITUTE(SUBSTITUTE($I1393,CHAR(61),""),CHAR(34),"")</f>
        <v>35-49</v>
      </c>
      <c r="R1393" s="0" t="str">
        <f aca="false">IF($D1393&lt;&gt;"","["&amp;$E1393&amp;"]"&amp;"|"&amp;$Q1393&amp;"|"&amp;$K1393&amp;"|"&amp;$G1393&amp;"|"&amp;IF($G1393="TX_CURR_SUBNAT.R","CY2022Q4",$M1393),"")</f>
        <v>[mxqa3CDFmIT]|35-49|Female|PLHIV_Residents.T_1|CY2023Q3</v>
      </c>
    </row>
    <row r="1394" customFormat="false" ht="15" hidden="false" customHeight="false" outlineLevel="0" collapsed="false">
      <c r="D1394" s="0" t="s">
        <v>99</v>
      </c>
      <c r="E1394" s="0" t="s">
        <v>100</v>
      </c>
      <c r="F1394" s="0" t="s">
        <v>101</v>
      </c>
      <c r="G1394" s="0" t="s">
        <v>143</v>
      </c>
      <c r="H1394" s="0" t="s">
        <v>144</v>
      </c>
      <c r="I1394" s="0" t="s">
        <v>45</v>
      </c>
      <c r="J1394" s="0" t="s">
        <v>46</v>
      </c>
      <c r="K1394" s="0" t="s">
        <v>30</v>
      </c>
      <c r="L1394" s="0" t="s">
        <v>31</v>
      </c>
      <c r="M1394" s="0" t="s">
        <v>140</v>
      </c>
      <c r="N1394" s="0" t="n">
        <v>1804</v>
      </c>
      <c r="O1394" s="10" t="n">
        <v>0.59055735450238</v>
      </c>
      <c r="P1394" s="10" t="n">
        <v>0.577288038097322</v>
      </c>
      <c r="Q1394" s="0" t="str">
        <f aca="false">SUBSTITUTE(SUBSTITUTE($I1394,CHAR(61),""),CHAR(34),"")</f>
        <v>50+</v>
      </c>
      <c r="R1394" s="0" t="str">
        <f aca="false">IF($D1394&lt;&gt;"","["&amp;$E1394&amp;"]"&amp;"|"&amp;$Q1394&amp;"|"&amp;$K1394&amp;"|"&amp;$G1394&amp;"|"&amp;IF($G1394="TX_CURR_SUBNAT.R","CY2022Q4",$M1394),"")</f>
        <v>[mxqa3CDFmIT]|50+|Female|PLHIV_Residents.T_1|CY2023Q3</v>
      </c>
    </row>
    <row r="1395" customFormat="false" ht="15" hidden="false" customHeight="false" outlineLevel="0" collapsed="false">
      <c r="D1395" s="0" t="s">
        <v>99</v>
      </c>
      <c r="E1395" s="0" t="s">
        <v>100</v>
      </c>
      <c r="F1395" s="0" t="s">
        <v>101</v>
      </c>
      <c r="G1395" s="0" t="s">
        <v>143</v>
      </c>
      <c r="H1395" s="0" t="s">
        <v>144</v>
      </c>
      <c r="I1395" s="0" t="s">
        <v>28</v>
      </c>
      <c r="J1395" s="0" t="s">
        <v>29</v>
      </c>
      <c r="K1395" s="0" t="s">
        <v>48</v>
      </c>
      <c r="L1395" s="0" t="s">
        <v>49</v>
      </c>
      <c r="M1395" s="0" t="s">
        <v>140</v>
      </c>
      <c r="N1395" s="0" t="n">
        <v>1935</v>
      </c>
      <c r="O1395" s="10" t="n">
        <v>0.875711954664439</v>
      </c>
      <c r="P1395" s="10" t="n">
        <v>0.577288038097322</v>
      </c>
      <c r="Q1395" s="0" t="str">
        <f aca="false">SUBSTITUTE(SUBSTITUTE($I1395,CHAR(61),""),CHAR(34),"")</f>
        <v>&lt;01</v>
      </c>
      <c r="R1395" s="0" t="str">
        <f aca="false">IF($D1395&lt;&gt;"","["&amp;$E1395&amp;"]"&amp;"|"&amp;$Q1395&amp;"|"&amp;$K1395&amp;"|"&amp;$G1395&amp;"|"&amp;IF($G1395="TX_CURR_SUBNAT.R","CY2022Q4",$M1395),"")</f>
        <v>[mxqa3CDFmIT]|&lt;01|Male|PLHIV_Residents.T_1|CY2023Q3</v>
      </c>
    </row>
    <row r="1396" customFormat="false" ht="15" hidden="false" customHeight="false" outlineLevel="0" collapsed="false">
      <c r="D1396" s="0" t="s">
        <v>99</v>
      </c>
      <c r="E1396" s="0" t="s">
        <v>100</v>
      </c>
      <c r="F1396" s="0" t="s">
        <v>101</v>
      </c>
      <c r="G1396" s="0" t="s">
        <v>143</v>
      </c>
      <c r="H1396" s="0" t="s">
        <v>144</v>
      </c>
      <c r="I1396" s="0" t="s">
        <v>33</v>
      </c>
      <c r="J1396" s="0" t="s">
        <v>34</v>
      </c>
      <c r="K1396" s="0" t="s">
        <v>48</v>
      </c>
      <c r="L1396" s="0" t="s">
        <v>49</v>
      </c>
      <c r="M1396" s="0" t="s">
        <v>140</v>
      </c>
      <c r="N1396" s="0" t="n">
        <v>1762</v>
      </c>
      <c r="O1396" s="10" t="n">
        <v>0.112749056424946</v>
      </c>
      <c r="P1396" s="10" t="n">
        <v>0.577288038097322</v>
      </c>
      <c r="Q1396" s="0" t="str">
        <f aca="false">SUBSTITUTE(SUBSTITUTE($I1396,CHAR(61),""),CHAR(34),"")</f>
        <v>01-09</v>
      </c>
      <c r="R1396" s="0" t="str">
        <f aca="false">IF($D1396&lt;&gt;"","["&amp;$E1396&amp;"]"&amp;"|"&amp;$Q1396&amp;"|"&amp;$K1396&amp;"|"&amp;$G1396&amp;"|"&amp;IF($G1396="TX_CURR_SUBNAT.R","CY2022Q4",$M1396),"")</f>
        <v>[mxqa3CDFmIT]|01-09|Male|PLHIV_Residents.T_1|CY2023Q3</v>
      </c>
    </row>
    <row r="1397" customFormat="false" ht="15" hidden="false" customHeight="false" outlineLevel="0" collapsed="false">
      <c r="D1397" s="0" t="s">
        <v>99</v>
      </c>
      <c r="E1397" s="0" t="s">
        <v>100</v>
      </c>
      <c r="F1397" s="0" t="s">
        <v>101</v>
      </c>
      <c r="G1397" s="0" t="s">
        <v>143</v>
      </c>
      <c r="H1397" s="0" t="s">
        <v>144</v>
      </c>
      <c r="I1397" s="0" t="s">
        <v>36</v>
      </c>
      <c r="J1397" s="0" t="s">
        <v>37</v>
      </c>
      <c r="K1397" s="0" t="s">
        <v>48</v>
      </c>
      <c r="L1397" s="0" t="s">
        <v>49</v>
      </c>
      <c r="M1397" s="0" t="s">
        <v>140</v>
      </c>
      <c r="N1397" s="0" t="n">
        <v>943</v>
      </c>
      <c r="O1397" s="10" t="n">
        <v>0.568853658623993</v>
      </c>
      <c r="P1397" s="10" t="n">
        <v>0.577288038097322</v>
      </c>
      <c r="Q1397" s="0" t="str">
        <f aca="false">SUBSTITUTE(SUBSTITUTE($I1397,CHAR(61),""),CHAR(34),"")</f>
        <v>10-14</v>
      </c>
      <c r="R1397" s="0" t="str">
        <f aca="false">IF($D1397&lt;&gt;"","["&amp;$E1397&amp;"]"&amp;"|"&amp;$Q1397&amp;"|"&amp;$K1397&amp;"|"&amp;$G1397&amp;"|"&amp;IF($G1397="TX_CURR_SUBNAT.R","CY2022Q4",$M1397),"")</f>
        <v>[mxqa3CDFmIT]|10-14|Male|PLHIV_Residents.T_1|CY2023Q3</v>
      </c>
    </row>
    <row r="1398" customFormat="false" ht="15" hidden="false" customHeight="false" outlineLevel="0" collapsed="false">
      <c r="D1398" s="0" t="s">
        <v>99</v>
      </c>
      <c r="E1398" s="0" t="s">
        <v>100</v>
      </c>
      <c r="F1398" s="0" t="s">
        <v>101</v>
      </c>
      <c r="G1398" s="0" t="s">
        <v>143</v>
      </c>
      <c r="H1398" s="0" t="s">
        <v>144</v>
      </c>
      <c r="I1398" s="0" t="s">
        <v>38</v>
      </c>
      <c r="J1398" s="0" t="s">
        <v>39</v>
      </c>
      <c r="K1398" s="0" t="s">
        <v>48</v>
      </c>
      <c r="L1398" s="0" t="s">
        <v>49</v>
      </c>
      <c r="M1398" s="0" t="s">
        <v>140</v>
      </c>
      <c r="N1398" s="0" t="n">
        <v>1721</v>
      </c>
      <c r="O1398" s="10" t="n">
        <v>0.457462425809354</v>
      </c>
      <c r="P1398" s="10" t="n">
        <v>0.577288038097322</v>
      </c>
      <c r="Q1398" s="0" t="str">
        <f aca="false">SUBSTITUTE(SUBSTITUTE($I1398,CHAR(61),""),CHAR(34),"")</f>
        <v>15-24</v>
      </c>
      <c r="R1398" s="0" t="str">
        <f aca="false">IF($D1398&lt;&gt;"","["&amp;$E1398&amp;"]"&amp;"|"&amp;$Q1398&amp;"|"&amp;$K1398&amp;"|"&amp;$G1398&amp;"|"&amp;IF($G1398="TX_CURR_SUBNAT.R","CY2022Q4",$M1398),"")</f>
        <v>[mxqa3CDFmIT]|15-24|Male|PLHIV_Residents.T_1|CY2023Q3</v>
      </c>
    </row>
    <row r="1399" customFormat="false" ht="15" hidden="false" customHeight="false" outlineLevel="0" collapsed="false">
      <c r="D1399" s="0" t="s">
        <v>99</v>
      </c>
      <c r="E1399" s="0" t="s">
        <v>100</v>
      </c>
      <c r="F1399" s="0" t="s">
        <v>101</v>
      </c>
      <c r="G1399" s="0" t="s">
        <v>143</v>
      </c>
      <c r="H1399" s="0" t="s">
        <v>144</v>
      </c>
      <c r="I1399" s="0" t="s">
        <v>41</v>
      </c>
      <c r="J1399" s="0" t="s">
        <v>42</v>
      </c>
      <c r="K1399" s="0" t="s">
        <v>48</v>
      </c>
      <c r="L1399" s="0" t="s">
        <v>49</v>
      </c>
      <c r="M1399" s="0" t="s">
        <v>140</v>
      </c>
      <c r="N1399" s="0" t="n">
        <v>709</v>
      </c>
      <c r="O1399" s="10" t="n">
        <v>0.198020678479224</v>
      </c>
      <c r="P1399" s="10" t="n">
        <v>0.577288038097322</v>
      </c>
      <c r="Q1399" s="0" t="str">
        <f aca="false">SUBSTITUTE(SUBSTITUTE($I1399,CHAR(61),""),CHAR(34),"")</f>
        <v>25-34</v>
      </c>
      <c r="R1399" s="0" t="str">
        <f aca="false">IF($D1399&lt;&gt;"","["&amp;$E1399&amp;"]"&amp;"|"&amp;$Q1399&amp;"|"&amp;$K1399&amp;"|"&amp;$G1399&amp;"|"&amp;IF($G1399="TX_CURR_SUBNAT.R","CY2022Q4",$M1399),"")</f>
        <v>[mxqa3CDFmIT]|25-34|Male|PLHIV_Residents.T_1|CY2023Q3</v>
      </c>
    </row>
    <row r="1400" customFormat="false" ht="15" hidden="false" customHeight="false" outlineLevel="0" collapsed="false">
      <c r="D1400" s="0" t="s">
        <v>99</v>
      </c>
      <c r="E1400" s="0" t="s">
        <v>100</v>
      </c>
      <c r="F1400" s="0" t="s">
        <v>101</v>
      </c>
      <c r="G1400" s="0" t="s">
        <v>143</v>
      </c>
      <c r="H1400" s="0" t="s">
        <v>144</v>
      </c>
      <c r="I1400" s="0" t="s">
        <v>43</v>
      </c>
      <c r="J1400" s="0" t="s">
        <v>44</v>
      </c>
      <c r="K1400" s="0" t="s">
        <v>48</v>
      </c>
      <c r="L1400" s="0" t="s">
        <v>49</v>
      </c>
      <c r="M1400" s="0" t="s">
        <v>140</v>
      </c>
      <c r="N1400" s="0" t="n">
        <v>835</v>
      </c>
      <c r="O1400" s="10" t="n">
        <v>0.266035719309002</v>
      </c>
      <c r="P1400" s="10" t="n">
        <v>0.577288038097322</v>
      </c>
      <c r="Q1400" s="0" t="str">
        <f aca="false">SUBSTITUTE(SUBSTITUTE($I1400,CHAR(61),""),CHAR(34),"")</f>
        <v>35-49</v>
      </c>
      <c r="R1400" s="0" t="str">
        <f aca="false">IF($D1400&lt;&gt;"","["&amp;$E1400&amp;"]"&amp;"|"&amp;$Q1400&amp;"|"&amp;$K1400&amp;"|"&amp;$G1400&amp;"|"&amp;IF($G1400="TX_CURR_SUBNAT.R","CY2022Q4",$M1400),"")</f>
        <v>[mxqa3CDFmIT]|35-49|Male|PLHIV_Residents.T_1|CY2023Q3</v>
      </c>
    </row>
    <row r="1401" customFormat="false" ht="15" hidden="false" customHeight="false" outlineLevel="0" collapsed="false">
      <c r="D1401" s="0" t="s">
        <v>99</v>
      </c>
      <c r="E1401" s="0" t="s">
        <v>100</v>
      </c>
      <c r="F1401" s="0" t="s">
        <v>101</v>
      </c>
      <c r="G1401" s="0" t="s">
        <v>143</v>
      </c>
      <c r="H1401" s="0" t="s">
        <v>144</v>
      </c>
      <c r="I1401" s="0" t="s">
        <v>45</v>
      </c>
      <c r="J1401" s="0" t="s">
        <v>46</v>
      </c>
      <c r="K1401" s="0" t="s">
        <v>48</v>
      </c>
      <c r="L1401" s="0" t="s">
        <v>49</v>
      </c>
      <c r="M1401" s="0" t="s">
        <v>140</v>
      </c>
      <c r="N1401" s="0" t="n">
        <v>1219</v>
      </c>
      <c r="O1401" s="10" t="n">
        <v>0.588594543747604</v>
      </c>
      <c r="P1401" s="10" t="n">
        <v>0.577288038097322</v>
      </c>
      <c r="Q1401" s="0" t="str">
        <f aca="false">SUBSTITUTE(SUBSTITUTE($I1401,CHAR(61),""),CHAR(34),"")</f>
        <v>50+</v>
      </c>
      <c r="R1401" s="0" t="str">
        <f aca="false">IF($D1401&lt;&gt;"","["&amp;$E1401&amp;"]"&amp;"|"&amp;$Q1401&amp;"|"&amp;$K1401&amp;"|"&amp;$G1401&amp;"|"&amp;IF($G1401="TX_CURR_SUBNAT.R","CY2022Q4",$M1401),"")</f>
        <v>[mxqa3CDFmIT]|50+|Male|PLHIV_Residents.T_1|CY2023Q3</v>
      </c>
    </row>
    <row r="1402" customFormat="false" ht="15" hidden="false" customHeight="false" outlineLevel="0" collapsed="false">
      <c r="D1402" s="0" t="s">
        <v>102</v>
      </c>
      <c r="E1402" s="0" t="s">
        <v>103</v>
      </c>
      <c r="F1402" s="0" t="s">
        <v>104</v>
      </c>
      <c r="G1402" s="0" t="s">
        <v>143</v>
      </c>
      <c r="H1402" s="0" t="s">
        <v>144</v>
      </c>
      <c r="I1402" s="0" t="s">
        <v>28</v>
      </c>
      <c r="J1402" s="0" t="s">
        <v>29</v>
      </c>
      <c r="K1402" s="0" t="s">
        <v>30</v>
      </c>
      <c r="L1402" s="0" t="s">
        <v>31</v>
      </c>
      <c r="M1402" s="0" t="s">
        <v>140</v>
      </c>
      <c r="N1402" s="0" t="n">
        <v>1676</v>
      </c>
      <c r="O1402" s="10" t="n">
        <v>0.659274263540283</v>
      </c>
      <c r="P1402" s="10" t="n">
        <v>0.526212359312922</v>
      </c>
      <c r="Q1402" s="0" t="str">
        <f aca="false">SUBSTITUTE(SUBSTITUTE($I1402,CHAR(61),""),CHAR(34),"")</f>
        <v>&lt;01</v>
      </c>
      <c r="R1402" s="0" t="str">
        <f aca="false">IF($D1402&lt;&gt;"","["&amp;$E1402&amp;"]"&amp;"|"&amp;$Q1402&amp;"|"&amp;$K1402&amp;"|"&amp;$G1402&amp;"|"&amp;IF($G1402="TX_CURR_SUBNAT.R","CY2022Q4",$M1402),"")</f>
        <v>[wNqJp8oRIcF]|&lt;01|Female|PLHIV_Residents.T_1|CY2023Q3</v>
      </c>
    </row>
    <row r="1403" customFormat="false" ht="15" hidden="false" customHeight="false" outlineLevel="0" collapsed="false">
      <c r="D1403" s="0" t="s">
        <v>102</v>
      </c>
      <c r="E1403" s="0" t="s">
        <v>103</v>
      </c>
      <c r="F1403" s="0" t="s">
        <v>104</v>
      </c>
      <c r="G1403" s="0" t="s">
        <v>143</v>
      </c>
      <c r="H1403" s="0" t="s">
        <v>144</v>
      </c>
      <c r="I1403" s="0" t="s">
        <v>33</v>
      </c>
      <c r="J1403" s="0" t="s">
        <v>34</v>
      </c>
      <c r="K1403" s="0" t="s">
        <v>30</v>
      </c>
      <c r="L1403" s="0" t="s">
        <v>31</v>
      </c>
      <c r="M1403" s="0" t="s">
        <v>140</v>
      </c>
      <c r="N1403" s="0" t="n">
        <v>1764</v>
      </c>
      <c r="O1403" s="10" t="n">
        <v>0.541482847649604</v>
      </c>
      <c r="P1403" s="10" t="n">
        <v>0.526212359312922</v>
      </c>
      <c r="Q1403" s="0" t="str">
        <f aca="false">SUBSTITUTE(SUBSTITUTE($I1403,CHAR(61),""),CHAR(34),"")</f>
        <v>01-09</v>
      </c>
      <c r="R1403" s="0" t="str">
        <f aca="false">IF($D1403&lt;&gt;"","["&amp;$E1403&amp;"]"&amp;"|"&amp;$Q1403&amp;"|"&amp;$K1403&amp;"|"&amp;$G1403&amp;"|"&amp;IF($G1403="TX_CURR_SUBNAT.R","CY2022Q4",$M1403),"")</f>
        <v>[wNqJp8oRIcF]|01-09|Female|PLHIV_Residents.T_1|CY2023Q3</v>
      </c>
    </row>
    <row r="1404" customFormat="false" ht="15" hidden="false" customHeight="false" outlineLevel="0" collapsed="false">
      <c r="D1404" s="0" t="s">
        <v>102</v>
      </c>
      <c r="E1404" s="0" t="s">
        <v>103</v>
      </c>
      <c r="F1404" s="0" t="s">
        <v>104</v>
      </c>
      <c r="G1404" s="0" t="s">
        <v>143</v>
      </c>
      <c r="H1404" s="0" t="s">
        <v>144</v>
      </c>
      <c r="I1404" s="0" t="s">
        <v>36</v>
      </c>
      <c r="J1404" s="0" t="s">
        <v>37</v>
      </c>
      <c r="K1404" s="0" t="s">
        <v>30</v>
      </c>
      <c r="L1404" s="0" t="s">
        <v>31</v>
      </c>
      <c r="M1404" s="0" t="s">
        <v>140</v>
      </c>
      <c r="N1404" s="0" t="n">
        <v>998</v>
      </c>
      <c r="O1404" s="10" t="n">
        <v>0.258367798058316</v>
      </c>
      <c r="P1404" s="10" t="n">
        <v>0.526212359312922</v>
      </c>
      <c r="Q1404" s="0" t="str">
        <f aca="false">SUBSTITUTE(SUBSTITUTE($I1404,CHAR(61),""),CHAR(34),"")</f>
        <v>10-14</v>
      </c>
      <c r="R1404" s="0" t="str">
        <f aca="false">IF($D1404&lt;&gt;"","["&amp;$E1404&amp;"]"&amp;"|"&amp;$Q1404&amp;"|"&amp;$K1404&amp;"|"&amp;$G1404&amp;"|"&amp;IF($G1404="TX_CURR_SUBNAT.R","CY2022Q4",$M1404),"")</f>
        <v>[wNqJp8oRIcF]|10-14|Female|PLHIV_Residents.T_1|CY2023Q3</v>
      </c>
    </row>
    <row r="1405" customFormat="false" ht="15" hidden="false" customHeight="false" outlineLevel="0" collapsed="false">
      <c r="D1405" s="0" t="s">
        <v>102</v>
      </c>
      <c r="E1405" s="0" t="s">
        <v>103</v>
      </c>
      <c r="F1405" s="0" t="s">
        <v>104</v>
      </c>
      <c r="G1405" s="0" t="s">
        <v>143</v>
      </c>
      <c r="H1405" s="0" t="s">
        <v>144</v>
      </c>
      <c r="I1405" s="0" t="s">
        <v>38</v>
      </c>
      <c r="J1405" s="0" t="s">
        <v>39</v>
      </c>
      <c r="K1405" s="0" t="s">
        <v>30</v>
      </c>
      <c r="L1405" s="0" t="s">
        <v>31</v>
      </c>
      <c r="M1405" s="0" t="s">
        <v>140</v>
      </c>
      <c r="N1405" s="0" t="n">
        <v>1378</v>
      </c>
      <c r="O1405" s="10" t="n">
        <v>0.750184229575098</v>
      </c>
      <c r="P1405" s="10" t="n">
        <v>0.526212359312922</v>
      </c>
      <c r="Q1405" s="0" t="str">
        <f aca="false">SUBSTITUTE(SUBSTITUTE($I1405,CHAR(61),""),CHAR(34),"")</f>
        <v>15-24</v>
      </c>
      <c r="R1405" s="0" t="str">
        <f aca="false">IF($D1405&lt;&gt;"","["&amp;$E1405&amp;"]"&amp;"|"&amp;$Q1405&amp;"|"&amp;$K1405&amp;"|"&amp;$G1405&amp;"|"&amp;IF($G1405="TX_CURR_SUBNAT.R","CY2022Q4",$M1405),"")</f>
        <v>[wNqJp8oRIcF]|15-24|Female|PLHIV_Residents.T_1|CY2023Q3</v>
      </c>
    </row>
    <row r="1406" customFormat="false" ht="15" hidden="false" customHeight="false" outlineLevel="0" collapsed="false">
      <c r="D1406" s="0" t="s">
        <v>102</v>
      </c>
      <c r="E1406" s="0" t="s">
        <v>103</v>
      </c>
      <c r="F1406" s="0" t="s">
        <v>104</v>
      </c>
      <c r="G1406" s="0" t="s">
        <v>143</v>
      </c>
      <c r="H1406" s="0" t="s">
        <v>144</v>
      </c>
      <c r="I1406" s="0" t="s">
        <v>41</v>
      </c>
      <c r="J1406" s="0" t="s">
        <v>42</v>
      </c>
      <c r="K1406" s="0" t="s">
        <v>30</v>
      </c>
      <c r="L1406" s="0" t="s">
        <v>31</v>
      </c>
      <c r="M1406" s="0" t="s">
        <v>140</v>
      </c>
      <c r="N1406" s="0" t="n">
        <v>1011</v>
      </c>
      <c r="O1406" s="10" t="n">
        <v>0.674688253784552</v>
      </c>
      <c r="P1406" s="10" t="n">
        <v>0.526212359312922</v>
      </c>
      <c r="Q1406" s="0" t="str">
        <f aca="false">SUBSTITUTE(SUBSTITUTE($I1406,CHAR(61),""),CHAR(34),"")</f>
        <v>25-34</v>
      </c>
      <c r="R1406" s="0" t="str">
        <f aca="false">IF($D1406&lt;&gt;"","["&amp;$E1406&amp;"]"&amp;"|"&amp;$Q1406&amp;"|"&amp;$K1406&amp;"|"&amp;$G1406&amp;"|"&amp;IF($G1406="TX_CURR_SUBNAT.R","CY2022Q4",$M1406),"")</f>
        <v>[wNqJp8oRIcF]|25-34|Female|PLHIV_Residents.T_1|CY2023Q3</v>
      </c>
    </row>
    <row r="1407" customFormat="false" ht="15" hidden="false" customHeight="false" outlineLevel="0" collapsed="false">
      <c r="D1407" s="0" t="s">
        <v>102</v>
      </c>
      <c r="E1407" s="0" t="s">
        <v>103</v>
      </c>
      <c r="F1407" s="0" t="s">
        <v>104</v>
      </c>
      <c r="G1407" s="0" t="s">
        <v>143</v>
      </c>
      <c r="H1407" s="0" t="s">
        <v>144</v>
      </c>
      <c r="I1407" s="0" t="s">
        <v>43</v>
      </c>
      <c r="J1407" s="0" t="s">
        <v>44</v>
      </c>
      <c r="K1407" s="0" t="s">
        <v>30</v>
      </c>
      <c r="L1407" s="0" t="s">
        <v>31</v>
      </c>
      <c r="M1407" s="0" t="s">
        <v>140</v>
      </c>
      <c r="N1407" s="0" t="n">
        <v>1311</v>
      </c>
      <c r="O1407" s="10" t="n">
        <v>0.913777339272201</v>
      </c>
      <c r="P1407" s="10" t="n">
        <v>0.526212359312922</v>
      </c>
      <c r="Q1407" s="0" t="str">
        <f aca="false">SUBSTITUTE(SUBSTITUTE($I1407,CHAR(61),""),CHAR(34),"")</f>
        <v>35-49</v>
      </c>
      <c r="R1407" s="0" t="str">
        <f aca="false">IF($D1407&lt;&gt;"","["&amp;$E1407&amp;"]"&amp;"|"&amp;$Q1407&amp;"|"&amp;$K1407&amp;"|"&amp;$G1407&amp;"|"&amp;IF($G1407="TX_CURR_SUBNAT.R","CY2022Q4",$M1407),"")</f>
        <v>[wNqJp8oRIcF]|35-49|Female|PLHIV_Residents.T_1|CY2023Q3</v>
      </c>
    </row>
    <row r="1408" customFormat="false" ht="15" hidden="false" customHeight="false" outlineLevel="0" collapsed="false">
      <c r="D1408" s="0" t="s">
        <v>102</v>
      </c>
      <c r="E1408" s="0" t="s">
        <v>103</v>
      </c>
      <c r="F1408" s="0" t="s">
        <v>104</v>
      </c>
      <c r="G1408" s="0" t="s">
        <v>143</v>
      </c>
      <c r="H1408" s="0" t="s">
        <v>144</v>
      </c>
      <c r="I1408" s="0" t="s">
        <v>45</v>
      </c>
      <c r="J1408" s="0" t="s">
        <v>46</v>
      </c>
      <c r="K1408" s="0" t="s">
        <v>30</v>
      </c>
      <c r="L1408" s="0" t="s">
        <v>31</v>
      </c>
      <c r="M1408" s="0" t="s">
        <v>140</v>
      </c>
      <c r="N1408" s="0" t="n">
        <v>539</v>
      </c>
      <c r="O1408" s="10" t="n">
        <v>0.0459514602553099</v>
      </c>
      <c r="P1408" s="10" t="n">
        <v>0.526212359312922</v>
      </c>
      <c r="Q1408" s="0" t="str">
        <f aca="false">SUBSTITUTE(SUBSTITUTE($I1408,CHAR(61),""),CHAR(34),"")</f>
        <v>50+</v>
      </c>
      <c r="R1408" s="0" t="str">
        <f aca="false">IF($D1408&lt;&gt;"","["&amp;$E1408&amp;"]"&amp;"|"&amp;$Q1408&amp;"|"&amp;$K1408&amp;"|"&amp;$G1408&amp;"|"&amp;IF($G1408="TX_CURR_SUBNAT.R","CY2022Q4",$M1408),"")</f>
        <v>[wNqJp8oRIcF]|50+|Female|PLHIV_Residents.T_1|CY2023Q3</v>
      </c>
    </row>
    <row r="1409" customFormat="false" ht="15" hidden="false" customHeight="false" outlineLevel="0" collapsed="false">
      <c r="D1409" s="0" t="s">
        <v>102</v>
      </c>
      <c r="E1409" s="0" t="s">
        <v>103</v>
      </c>
      <c r="F1409" s="0" t="s">
        <v>104</v>
      </c>
      <c r="G1409" s="0" t="s">
        <v>143</v>
      </c>
      <c r="H1409" s="0" t="s">
        <v>144</v>
      </c>
      <c r="I1409" s="0" t="s">
        <v>28</v>
      </c>
      <c r="J1409" s="0" t="s">
        <v>29</v>
      </c>
      <c r="K1409" s="0" t="s">
        <v>48</v>
      </c>
      <c r="L1409" s="0" t="s">
        <v>49</v>
      </c>
      <c r="M1409" s="0" t="s">
        <v>140</v>
      </c>
      <c r="N1409" s="0" t="n">
        <v>1909</v>
      </c>
      <c r="O1409" s="10" t="n">
        <v>0.734008712461218</v>
      </c>
      <c r="P1409" s="10" t="n">
        <v>0.526212359312922</v>
      </c>
      <c r="Q1409" s="0" t="str">
        <f aca="false">SUBSTITUTE(SUBSTITUTE($I1409,CHAR(61),""),CHAR(34),"")</f>
        <v>&lt;01</v>
      </c>
      <c r="R1409" s="0" t="str">
        <f aca="false">IF($D1409&lt;&gt;"","["&amp;$E1409&amp;"]"&amp;"|"&amp;$Q1409&amp;"|"&amp;$K1409&amp;"|"&amp;$G1409&amp;"|"&amp;IF($G1409="TX_CURR_SUBNAT.R","CY2022Q4",$M1409),"")</f>
        <v>[wNqJp8oRIcF]|&lt;01|Male|PLHIV_Residents.T_1|CY2023Q3</v>
      </c>
    </row>
    <row r="1410" customFormat="false" ht="15" hidden="false" customHeight="false" outlineLevel="0" collapsed="false">
      <c r="D1410" s="0" t="s">
        <v>102</v>
      </c>
      <c r="E1410" s="0" t="s">
        <v>103</v>
      </c>
      <c r="F1410" s="0" t="s">
        <v>104</v>
      </c>
      <c r="G1410" s="0" t="s">
        <v>143</v>
      </c>
      <c r="H1410" s="0" t="s">
        <v>144</v>
      </c>
      <c r="I1410" s="0" t="s">
        <v>33</v>
      </c>
      <c r="J1410" s="0" t="s">
        <v>34</v>
      </c>
      <c r="K1410" s="0" t="s">
        <v>48</v>
      </c>
      <c r="L1410" s="0" t="s">
        <v>49</v>
      </c>
      <c r="M1410" s="0" t="s">
        <v>140</v>
      </c>
      <c r="N1410" s="0" t="n">
        <v>559</v>
      </c>
      <c r="O1410" s="10" t="n">
        <v>0.261791823199019</v>
      </c>
      <c r="P1410" s="10" t="n">
        <v>0.526212359312922</v>
      </c>
      <c r="Q1410" s="0" t="str">
        <f aca="false">SUBSTITUTE(SUBSTITUTE($I1410,CHAR(61),""),CHAR(34),"")</f>
        <v>01-09</v>
      </c>
      <c r="R1410" s="0" t="str">
        <f aca="false">IF($D1410&lt;&gt;"","["&amp;$E1410&amp;"]"&amp;"|"&amp;$Q1410&amp;"|"&amp;$K1410&amp;"|"&amp;$G1410&amp;"|"&amp;IF($G1410="TX_CURR_SUBNAT.R","CY2022Q4",$M1410),"")</f>
        <v>[wNqJp8oRIcF]|01-09|Male|PLHIV_Residents.T_1|CY2023Q3</v>
      </c>
    </row>
    <row r="1411" customFormat="false" ht="15" hidden="false" customHeight="false" outlineLevel="0" collapsed="false">
      <c r="D1411" s="0" t="s">
        <v>102</v>
      </c>
      <c r="E1411" s="0" t="s">
        <v>103</v>
      </c>
      <c r="F1411" s="0" t="s">
        <v>104</v>
      </c>
      <c r="G1411" s="0" t="s">
        <v>143</v>
      </c>
      <c r="H1411" s="0" t="s">
        <v>144</v>
      </c>
      <c r="I1411" s="0" t="s">
        <v>36</v>
      </c>
      <c r="J1411" s="0" t="s">
        <v>37</v>
      </c>
      <c r="K1411" s="0" t="s">
        <v>48</v>
      </c>
      <c r="L1411" s="0" t="s">
        <v>49</v>
      </c>
      <c r="M1411" s="0" t="s">
        <v>140</v>
      </c>
      <c r="N1411" s="0" t="n">
        <v>1831</v>
      </c>
      <c r="O1411" s="10" t="n">
        <v>0.722041157074273</v>
      </c>
      <c r="P1411" s="10" t="n">
        <v>0.526212359312922</v>
      </c>
      <c r="Q1411" s="0" t="str">
        <f aca="false">SUBSTITUTE(SUBSTITUTE($I1411,CHAR(61),""),CHAR(34),"")</f>
        <v>10-14</v>
      </c>
      <c r="R1411" s="0" t="str">
        <f aca="false">IF($D1411&lt;&gt;"","["&amp;$E1411&amp;"]"&amp;"|"&amp;$Q1411&amp;"|"&amp;$K1411&amp;"|"&amp;$G1411&amp;"|"&amp;IF($G1411="TX_CURR_SUBNAT.R","CY2022Q4",$M1411),"")</f>
        <v>[wNqJp8oRIcF]|10-14|Male|PLHIV_Residents.T_1|CY2023Q3</v>
      </c>
    </row>
    <row r="1412" customFormat="false" ht="15" hidden="false" customHeight="false" outlineLevel="0" collapsed="false">
      <c r="D1412" s="0" t="s">
        <v>102</v>
      </c>
      <c r="E1412" s="0" t="s">
        <v>103</v>
      </c>
      <c r="F1412" s="0" t="s">
        <v>104</v>
      </c>
      <c r="G1412" s="0" t="s">
        <v>143</v>
      </c>
      <c r="H1412" s="0" t="s">
        <v>144</v>
      </c>
      <c r="I1412" s="0" t="s">
        <v>38</v>
      </c>
      <c r="J1412" s="0" t="s">
        <v>39</v>
      </c>
      <c r="K1412" s="0" t="s">
        <v>48</v>
      </c>
      <c r="L1412" s="0" t="s">
        <v>49</v>
      </c>
      <c r="M1412" s="0" t="s">
        <v>140</v>
      </c>
      <c r="N1412" s="0" t="n">
        <v>1121</v>
      </c>
      <c r="O1412" s="10" t="n">
        <v>0.804062833543867</v>
      </c>
      <c r="P1412" s="10" t="n">
        <v>0.526212359312922</v>
      </c>
      <c r="Q1412" s="0" t="str">
        <f aca="false">SUBSTITUTE(SUBSTITUTE($I1412,CHAR(61),""),CHAR(34),"")</f>
        <v>15-24</v>
      </c>
      <c r="R1412" s="0" t="str">
        <f aca="false">IF($D1412&lt;&gt;"","["&amp;$E1412&amp;"]"&amp;"|"&amp;$Q1412&amp;"|"&amp;$K1412&amp;"|"&amp;$G1412&amp;"|"&amp;IF($G1412="TX_CURR_SUBNAT.R","CY2022Q4",$M1412),"")</f>
        <v>[wNqJp8oRIcF]|15-24|Male|PLHIV_Residents.T_1|CY2023Q3</v>
      </c>
    </row>
    <row r="1413" customFormat="false" ht="15" hidden="false" customHeight="false" outlineLevel="0" collapsed="false">
      <c r="D1413" s="0" t="s">
        <v>102</v>
      </c>
      <c r="E1413" s="0" t="s">
        <v>103</v>
      </c>
      <c r="F1413" s="0" t="s">
        <v>104</v>
      </c>
      <c r="G1413" s="0" t="s">
        <v>143</v>
      </c>
      <c r="H1413" s="0" t="s">
        <v>144</v>
      </c>
      <c r="I1413" s="0" t="s">
        <v>41</v>
      </c>
      <c r="J1413" s="0" t="s">
        <v>42</v>
      </c>
      <c r="K1413" s="0" t="s">
        <v>48</v>
      </c>
      <c r="L1413" s="0" t="s">
        <v>49</v>
      </c>
      <c r="M1413" s="0" t="s">
        <v>140</v>
      </c>
      <c r="N1413" s="0" t="n">
        <v>1301</v>
      </c>
      <c r="O1413" s="10" t="n">
        <v>0.612466450082138</v>
      </c>
      <c r="P1413" s="10" t="n">
        <v>0.526212359312922</v>
      </c>
      <c r="Q1413" s="0" t="str">
        <f aca="false">SUBSTITUTE(SUBSTITUTE($I1413,CHAR(61),""),CHAR(34),"")</f>
        <v>25-34</v>
      </c>
      <c r="R1413" s="0" t="str">
        <f aca="false">IF($D1413&lt;&gt;"","["&amp;$E1413&amp;"]"&amp;"|"&amp;$Q1413&amp;"|"&amp;$K1413&amp;"|"&amp;$G1413&amp;"|"&amp;IF($G1413="TX_CURR_SUBNAT.R","CY2022Q4",$M1413),"")</f>
        <v>[wNqJp8oRIcF]|25-34|Male|PLHIV_Residents.T_1|CY2023Q3</v>
      </c>
    </row>
    <row r="1414" customFormat="false" ht="15" hidden="false" customHeight="false" outlineLevel="0" collapsed="false">
      <c r="D1414" s="0" t="s">
        <v>102</v>
      </c>
      <c r="E1414" s="0" t="s">
        <v>103</v>
      </c>
      <c r="F1414" s="0" t="s">
        <v>104</v>
      </c>
      <c r="G1414" s="0" t="s">
        <v>143</v>
      </c>
      <c r="H1414" s="0" t="s">
        <v>144</v>
      </c>
      <c r="I1414" s="0" t="s">
        <v>43</v>
      </c>
      <c r="J1414" s="0" t="s">
        <v>44</v>
      </c>
      <c r="K1414" s="0" t="s">
        <v>48</v>
      </c>
      <c r="L1414" s="0" t="s">
        <v>49</v>
      </c>
      <c r="M1414" s="0" t="s">
        <v>140</v>
      </c>
      <c r="N1414" s="0" t="n">
        <v>531</v>
      </c>
      <c r="O1414" s="10" t="n">
        <v>0.380283081438392</v>
      </c>
      <c r="P1414" s="10" t="n">
        <v>0.526212359312922</v>
      </c>
      <c r="Q1414" s="0" t="str">
        <f aca="false">SUBSTITUTE(SUBSTITUTE($I1414,CHAR(61),""),CHAR(34),"")</f>
        <v>35-49</v>
      </c>
      <c r="R1414" s="0" t="str">
        <f aca="false">IF($D1414&lt;&gt;"","["&amp;$E1414&amp;"]"&amp;"|"&amp;$Q1414&amp;"|"&amp;$K1414&amp;"|"&amp;$G1414&amp;"|"&amp;IF($G1414="TX_CURR_SUBNAT.R","CY2022Q4",$M1414),"")</f>
        <v>[wNqJp8oRIcF]|35-49|Male|PLHIV_Residents.T_1|CY2023Q3</v>
      </c>
    </row>
    <row r="1415" customFormat="false" ht="15" hidden="false" customHeight="false" outlineLevel="0" collapsed="false">
      <c r="D1415" s="0" t="s">
        <v>102</v>
      </c>
      <c r="E1415" s="0" t="s">
        <v>103</v>
      </c>
      <c r="F1415" s="0" t="s">
        <v>104</v>
      </c>
      <c r="G1415" s="0" t="s">
        <v>143</v>
      </c>
      <c r="H1415" s="0" t="s">
        <v>144</v>
      </c>
      <c r="I1415" s="0" t="s">
        <v>45</v>
      </c>
      <c r="J1415" s="0" t="s">
        <v>46</v>
      </c>
      <c r="K1415" s="0" t="s">
        <v>48</v>
      </c>
      <c r="L1415" s="0" t="s">
        <v>49</v>
      </c>
      <c r="M1415" s="0" t="s">
        <v>140</v>
      </c>
      <c r="N1415" s="0" t="n">
        <v>1509</v>
      </c>
      <c r="O1415" s="10" t="n">
        <v>0.969305708538741</v>
      </c>
      <c r="P1415" s="10" t="n">
        <v>0.526212359312922</v>
      </c>
      <c r="Q1415" s="0" t="str">
        <f aca="false">SUBSTITUTE(SUBSTITUTE($I1415,CHAR(61),""),CHAR(34),"")</f>
        <v>50+</v>
      </c>
      <c r="R1415" s="0" t="str">
        <f aca="false">IF($D1415&lt;&gt;"","["&amp;$E1415&amp;"]"&amp;"|"&amp;$Q1415&amp;"|"&amp;$K1415&amp;"|"&amp;$G1415&amp;"|"&amp;IF($G1415="TX_CURR_SUBNAT.R","CY2022Q4",$M1415),"")</f>
        <v>[wNqJp8oRIcF]|50+|Male|PLHIV_Residents.T_1|CY2023Q3</v>
      </c>
    </row>
    <row r="1416" customFormat="false" ht="15" hidden="false" customHeight="false" outlineLevel="0" collapsed="false">
      <c r="D1416" s="0" t="s">
        <v>105</v>
      </c>
      <c r="E1416" s="0" t="s">
        <v>106</v>
      </c>
      <c r="F1416" s="0" t="s">
        <v>107</v>
      </c>
      <c r="G1416" s="0" t="s">
        <v>143</v>
      </c>
      <c r="H1416" s="0" t="s">
        <v>144</v>
      </c>
      <c r="I1416" s="0" t="s">
        <v>28</v>
      </c>
      <c r="J1416" s="0" t="s">
        <v>29</v>
      </c>
      <c r="K1416" s="0" t="s">
        <v>30</v>
      </c>
      <c r="L1416" s="0" t="s">
        <v>31</v>
      </c>
      <c r="M1416" s="0" t="s">
        <v>140</v>
      </c>
      <c r="N1416" s="0" t="n">
        <v>1750</v>
      </c>
      <c r="O1416" s="10" t="n">
        <v>0.923136393772438</v>
      </c>
      <c r="P1416" s="10" t="n">
        <v>0.218249560333788</v>
      </c>
      <c r="Q1416" s="0" t="str">
        <f aca="false">SUBSTITUTE(SUBSTITUTE($I1416,CHAR(61),""),CHAR(34),"")</f>
        <v>&lt;01</v>
      </c>
      <c r="R1416" s="0" t="str">
        <f aca="false">IF($D1416&lt;&gt;"","["&amp;$E1416&amp;"]"&amp;"|"&amp;$Q1416&amp;"|"&amp;$K1416&amp;"|"&amp;$G1416&amp;"|"&amp;IF($G1416="TX_CURR_SUBNAT.R","CY2022Q4",$M1416),"")</f>
        <v>[oiPR2CiVJbf]|&lt;01|Female|PLHIV_Residents.T_1|CY2023Q3</v>
      </c>
    </row>
    <row r="1417" customFormat="false" ht="15" hidden="false" customHeight="false" outlineLevel="0" collapsed="false">
      <c r="D1417" s="0" t="s">
        <v>105</v>
      </c>
      <c r="E1417" s="0" t="s">
        <v>106</v>
      </c>
      <c r="F1417" s="0" t="s">
        <v>107</v>
      </c>
      <c r="G1417" s="0" t="s">
        <v>143</v>
      </c>
      <c r="H1417" s="0" t="s">
        <v>144</v>
      </c>
      <c r="I1417" s="0" t="s">
        <v>33</v>
      </c>
      <c r="J1417" s="0" t="s">
        <v>34</v>
      </c>
      <c r="K1417" s="0" t="s">
        <v>30</v>
      </c>
      <c r="L1417" s="0" t="s">
        <v>31</v>
      </c>
      <c r="M1417" s="0" t="s">
        <v>140</v>
      </c>
      <c r="N1417" s="0" t="n">
        <v>1434</v>
      </c>
      <c r="O1417" s="10" t="n">
        <v>0.698378124507144</v>
      </c>
      <c r="P1417" s="10" t="n">
        <v>0.218249560333788</v>
      </c>
      <c r="Q1417" s="0" t="str">
        <f aca="false">SUBSTITUTE(SUBSTITUTE($I1417,CHAR(61),""),CHAR(34),"")</f>
        <v>01-09</v>
      </c>
      <c r="R1417" s="0" t="str">
        <f aca="false">IF($D1417&lt;&gt;"","["&amp;$E1417&amp;"]"&amp;"|"&amp;$Q1417&amp;"|"&amp;$K1417&amp;"|"&amp;$G1417&amp;"|"&amp;IF($G1417="TX_CURR_SUBNAT.R","CY2022Q4",$M1417),"")</f>
        <v>[oiPR2CiVJbf]|01-09|Female|PLHIV_Residents.T_1|CY2023Q3</v>
      </c>
    </row>
    <row r="1418" customFormat="false" ht="15" hidden="false" customHeight="false" outlineLevel="0" collapsed="false">
      <c r="D1418" s="0" t="s">
        <v>105</v>
      </c>
      <c r="E1418" s="0" t="s">
        <v>106</v>
      </c>
      <c r="F1418" s="0" t="s">
        <v>107</v>
      </c>
      <c r="G1418" s="0" t="s">
        <v>143</v>
      </c>
      <c r="H1418" s="0" t="s">
        <v>144</v>
      </c>
      <c r="I1418" s="0" t="s">
        <v>36</v>
      </c>
      <c r="J1418" s="0" t="s">
        <v>37</v>
      </c>
      <c r="K1418" s="0" t="s">
        <v>30</v>
      </c>
      <c r="L1418" s="0" t="s">
        <v>31</v>
      </c>
      <c r="M1418" s="0" t="s">
        <v>140</v>
      </c>
      <c r="N1418" s="0" t="n">
        <v>1647</v>
      </c>
      <c r="O1418" s="10" t="n">
        <v>0.263856563251466</v>
      </c>
      <c r="P1418" s="10" t="n">
        <v>0.218249560333788</v>
      </c>
      <c r="Q1418" s="0" t="str">
        <f aca="false">SUBSTITUTE(SUBSTITUTE($I1418,CHAR(61),""),CHAR(34),"")</f>
        <v>10-14</v>
      </c>
      <c r="R1418" s="0" t="str">
        <f aca="false">IF($D1418&lt;&gt;"","["&amp;$E1418&amp;"]"&amp;"|"&amp;$Q1418&amp;"|"&amp;$K1418&amp;"|"&amp;$G1418&amp;"|"&amp;IF($G1418="TX_CURR_SUBNAT.R","CY2022Q4",$M1418),"")</f>
        <v>[oiPR2CiVJbf]|10-14|Female|PLHIV_Residents.T_1|CY2023Q3</v>
      </c>
    </row>
    <row r="1419" customFormat="false" ht="15" hidden="false" customHeight="false" outlineLevel="0" collapsed="false">
      <c r="D1419" s="0" t="s">
        <v>105</v>
      </c>
      <c r="E1419" s="0" t="s">
        <v>106</v>
      </c>
      <c r="F1419" s="0" t="s">
        <v>107</v>
      </c>
      <c r="G1419" s="0" t="s">
        <v>143</v>
      </c>
      <c r="H1419" s="0" t="s">
        <v>144</v>
      </c>
      <c r="I1419" s="0" t="s">
        <v>38</v>
      </c>
      <c r="J1419" s="0" t="s">
        <v>39</v>
      </c>
      <c r="K1419" s="0" t="s">
        <v>30</v>
      </c>
      <c r="L1419" s="0" t="s">
        <v>31</v>
      </c>
      <c r="M1419" s="0" t="s">
        <v>140</v>
      </c>
      <c r="N1419" s="0" t="n">
        <v>1623</v>
      </c>
      <c r="O1419" s="10" t="n">
        <v>0.490135553060099</v>
      </c>
      <c r="P1419" s="10" t="n">
        <v>0.218249560333788</v>
      </c>
      <c r="Q1419" s="0" t="str">
        <f aca="false">SUBSTITUTE(SUBSTITUTE($I1419,CHAR(61),""),CHAR(34),"")</f>
        <v>15-24</v>
      </c>
      <c r="R1419" s="0" t="str">
        <f aca="false">IF($D1419&lt;&gt;"","["&amp;$E1419&amp;"]"&amp;"|"&amp;$Q1419&amp;"|"&amp;$K1419&amp;"|"&amp;$G1419&amp;"|"&amp;IF($G1419="TX_CURR_SUBNAT.R","CY2022Q4",$M1419),"")</f>
        <v>[oiPR2CiVJbf]|15-24|Female|PLHIV_Residents.T_1|CY2023Q3</v>
      </c>
    </row>
    <row r="1420" customFormat="false" ht="15" hidden="false" customHeight="false" outlineLevel="0" collapsed="false">
      <c r="D1420" s="0" t="s">
        <v>105</v>
      </c>
      <c r="E1420" s="0" t="s">
        <v>106</v>
      </c>
      <c r="F1420" s="0" t="s">
        <v>107</v>
      </c>
      <c r="G1420" s="0" t="s">
        <v>143</v>
      </c>
      <c r="H1420" s="0" t="s">
        <v>144</v>
      </c>
      <c r="I1420" s="0" t="s">
        <v>41</v>
      </c>
      <c r="J1420" s="0" t="s">
        <v>42</v>
      </c>
      <c r="K1420" s="0" t="s">
        <v>30</v>
      </c>
      <c r="L1420" s="0" t="s">
        <v>31</v>
      </c>
      <c r="M1420" s="0" t="s">
        <v>140</v>
      </c>
      <c r="N1420" s="0" t="n">
        <v>1635</v>
      </c>
      <c r="O1420" s="10" t="n">
        <v>0.69754055631347</v>
      </c>
      <c r="P1420" s="10" t="n">
        <v>0.218249560333788</v>
      </c>
      <c r="Q1420" s="0" t="str">
        <f aca="false">SUBSTITUTE(SUBSTITUTE($I1420,CHAR(61),""),CHAR(34),"")</f>
        <v>25-34</v>
      </c>
      <c r="R1420" s="0" t="str">
        <f aca="false">IF($D1420&lt;&gt;"","["&amp;$E1420&amp;"]"&amp;"|"&amp;$Q1420&amp;"|"&amp;$K1420&amp;"|"&amp;$G1420&amp;"|"&amp;IF($G1420="TX_CURR_SUBNAT.R","CY2022Q4",$M1420),"")</f>
        <v>[oiPR2CiVJbf]|25-34|Female|PLHIV_Residents.T_1|CY2023Q3</v>
      </c>
    </row>
    <row r="1421" customFormat="false" ht="15" hidden="false" customHeight="false" outlineLevel="0" collapsed="false">
      <c r="D1421" s="0" t="s">
        <v>105</v>
      </c>
      <c r="E1421" s="0" t="s">
        <v>106</v>
      </c>
      <c r="F1421" s="0" t="s">
        <v>107</v>
      </c>
      <c r="G1421" s="0" t="s">
        <v>143</v>
      </c>
      <c r="H1421" s="0" t="s">
        <v>144</v>
      </c>
      <c r="I1421" s="0" t="s">
        <v>43</v>
      </c>
      <c r="J1421" s="0" t="s">
        <v>44</v>
      </c>
      <c r="K1421" s="0" t="s">
        <v>30</v>
      </c>
      <c r="L1421" s="0" t="s">
        <v>31</v>
      </c>
      <c r="M1421" s="0" t="s">
        <v>140</v>
      </c>
      <c r="N1421" s="0" t="n">
        <v>921</v>
      </c>
      <c r="O1421" s="10" t="n">
        <v>0.298934075282887</v>
      </c>
      <c r="P1421" s="10" t="n">
        <v>0.218249560333788</v>
      </c>
      <c r="Q1421" s="0" t="str">
        <f aca="false">SUBSTITUTE(SUBSTITUTE($I1421,CHAR(61),""),CHAR(34),"")</f>
        <v>35-49</v>
      </c>
      <c r="R1421" s="0" t="str">
        <f aca="false">IF($D1421&lt;&gt;"","["&amp;$E1421&amp;"]"&amp;"|"&amp;$Q1421&amp;"|"&amp;$K1421&amp;"|"&amp;$G1421&amp;"|"&amp;IF($G1421="TX_CURR_SUBNAT.R","CY2022Q4",$M1421),"")</f>
        <v>[oiPR2CiVJbf]|35-49|Female|PLHIV_Residents.T_1|CY2023Q3</v>
      </c>
    </row>
    <row r="1422" customFormat="false" ht="15" hidden="false" customHeight="false" outlineLevel="0" collapsed="false">
      <c r="D1422" s="0" t="s">
        <v>105</v>
      </c>
      <c r="E1422" s="0" t="s">
        <v>106</v>
      </c>
      <c r="F1422" s="0" t="s">
        <v>107</v>
      </c>
      <c r="G1422" s="0" t="s">
        <v>143</v>
      </c>
      <c r="H1422" s="0" t="s">
        <v>144</v>
      </c>
      <c r="I1422" s="0" t="s">
        <v>45</v>
      </c>
      <c r="J1422" s="0" t="s">
        <v>46</v>
      </c>
      <c r="K1422" s="0" t="s">
        <v>30</v>
      </c>
      <c r="L1422" s="0" t="s">
        <v>31</v>
      </c>
      <c r="M1422" s="0" t="s">
        <v>140</v>
      </c>
      <c r="N1422" s="0" t="n">
        <v>660</v>
      </c>
      <c r="O1422" s="10" t="n">
        <v>0.611719021108001</v>
      </c>
      <c r="P1422" s="10" t="n">
        <v>0.218249560333788</v>
      </c>
      <c r="Q1422" s="0" t="str">
        <f aca="false">SUBSTITUTE(SUBSTITUTE($I1422,CHAR(61),""),CHAR(34),"")</f>
        <v>50+</v>
      </c>
      <c r="R1422" s="0" t="str">
        <f aca="false">IF($D1422&lt;&gt;"","["&amp;$E1422&amp;"]"&amp;"|"&amp;$Q1422&amp;"|"&amp;$K1422&amp;"|"&amp;$G1422&amp;"|"&amp;IF($G1422="TX_CURR_SUBNAT.R","CY2022Q4",$M1422),"")</f>
        <v>[oiPR2CiVJbf]|50+|Female|PLHIV_Residents.T_1|CY2023Q3</v>
      </c>
    </row>
    <row r="1423" customFormat="false" ht="15" hidden="false" customHeight="false" outlineLevel="0" collapsed="false">
      <c r="D1423" s="0" t="s">
        <v>105</v>
      </c>
      <c r="E1423" s="0" t="s">
        <v>106</v>
      </c>
      <c r="F1423" s="0" t="s">
        <v>107</v>
      </c>
      <c r="G1423" s="0" t="s">
        <v>143</v>
      </c>
      <c r="H1423" s="0" t="s">
        <v>144</v>
      </c>
      <c r="I1423" s="0" t="s">
        <v>28</v>
      </c>
      <c r="J1423" s="0" t="s">
        <v>29</v>
      </c>
      <c r="K1423" s="0" t="s">
        <v>48</v>
      </c>
      <c r="L1423" s="0" t="s">
        <v>49</v>
      </c>
      <c r="M1423" s="0" t="s">
        <v>140</v>
      </c>
      <c r="N1423" s="0" t="n">
        <v>1713</v>
      </c>
      <c r="O1423" s="10" t="n">
        <v>0.855413044337183</v>
      </c>
      <c r="P1423" s="10" t="n">
        <v>0.218249560333788</v>
      </c>
      <c r="Q1423" s="0" t="str">
        <f aca="false">SUBSTITUTE(SUBSTITUTE($I1423,CHAR(61),""),CHAR(34),"")</f>
        <v>&lt;01</v>
      </c>
      <c r="R1423" s="0" t="str">
        <f aca="false">IF($D1423&lt;&gt;"","["&amp;$E1423&amp;"]"&amp;"|"&amp;$Q1423&amp;"|"&amp;$K1423&amp;"|"&amp;$G1423&amp;"|"&amp;IF($G1423="TX_CURR_SUBNAT.R","CY2022Q4",$M1423),"")</f>
        <v>[oiPR2CiVJbf]|&lt;01|Male|PLHIV_Residents.T_1|CY2023Q3</v>
      </c>
    </row>
    <row r="1424" customFormat="false" ht="15" hidden="false" customHeight="false" outlineLevel="0" collapsed="false">
      <c r="D1424" s="0" t="s">
        <v>105</v>
      </c>
      <c r="E1424" s="0" t="s">
        <v>106</v>
      </c>
      <c r="F1424" s="0" t="s">
        <v>107</v>
      </c>
      <c r="G1424" s="0" t="s">
        <v>143</v>
      </c>
      <c r="H1424" s="0" t="s">
        <v>144</v>
      </c>
      <c r="I1424" s="0" t="s">
        <v>33</v>
      </c>
      <c r="J1424" s="0" t="s">
        <v>34</v>
      </c>
      <c r="K1424" s="0" t="s">
        <v>48</v>
      </c>
      <c r="L1424" s="0" t="s">
        <v>49</v>
      </c>
      <c r="M1424" s="0" t="s">
        <v>140</v>
      </c>
      <c r="N1424" s="0" t="n">
        <v>1090</v>
      </c>
      <c r="O1424" s="10" t="n">
        <v>0.18747014622204</v>
      </c>
      <c r="P1424" s="10" t="n">
        <v>0.218249560333788</v>
      </c>
      <c r="Q1424" s="0" t="str">
        <f aca="false">SUBSTITUTE(SUBSTITUTE($I1424,CHAR(61),""),CHAR(34),"")</f>
        <v>01-09</v>
      </c>
      <c r="R1424" s="0" t="str">
        <f aca="false">IF($D1424&lt;&gt;"","["&amp;$E1424&amp;"]"&amp;"|"&amp;$Q1424&amp;"|"&amp;$K1424&amp;"|"&amp;$G1424&amp;"|"&amp;IF($G1424="TX_CURR_SUBNAT.R","CY2022Q4",$M1424),"")</f>
        <v>[oiPR2CiVJbf]|01-09|Male|PLHIV_Residents.T_1|CY2023Q3</v>
      </c>
    </row>
    <row r="1425" customFormat="false" ht="15" hidden="false" customHeight="false" outlineLevel="0" collapsed="false">
      <c r="D1425" s="0" t="s">
        <v>105</v>
      </c>
      <c r="E1425" s="0" t="s">
        <v>106</v>
      </c>
      <c r="F1425" s="0" t="s">
        <v>107</v>
      </c>
      <c r="G1425" s="0" t="s">
        <v>143</v>
      </c>
      <c r="H1425" s="0" t="s">
        <v>144</v>
      </c>
      <c r="I1425" s="0" t="s">
        <v>36</v>
      </c>
      <c r="J1425" s="0" t="s">
        <v>37</v>
      </c>
      <c r="K1425" s="0" t="s">
        <v>48</v>
      </c>
      <c r="L1425" s="0" t="s">
        <v>49</v>
      </c>
      <c r="M1425" s="0" t="s">
        <v>140</v>
      </c>
      <c r="N1425" s="0" t="n">
        <v>1993</v>
      </c>
      <c r="O1425" s="10" t="n">
        <v>0.108979957178235</v>
      </c>
      <c r="P1425" s="10" t="n">
        <v>0.218249560333788</v>
      </c>
      <c r="Q1425" s="0" t="str">
        <f aca="false">SUBSTITUTE(SUBSTITUTE($I1425,CHAR(61),""),CHAR(34),"")</f>
        <v>10-14</v>
      </c>
      <c r="R1425" s="0" t="str">
        <f aca="false">IF($D1425&lt;&gt;"","["&amp;$E1425&amp;"]"&amp;"|"&amp;$Q1425&amp;"|"&amp;$K1425&amp;"|"&amp;$G1425&amp;"|"&amp;IF($G1425="TX_CURR_SUBNAT.R","CY2022Q4",$M1425),"")</f>
        <v>[oiPR2CiVJbf]|10-14|Male|PLHIV_Residents.T_1|CY2023Q3</v>
      </c>
    </row>
    <row r="1426" customFormat="false" ht="15" hidden="false" customHeight="false" outlineLevel="0" collapsed="false">
      <c r="D1426" s="0" t="s">
        <v>105</v>
      </c>
      <c r="E1426" s="0" t="s">
        <v>106</v>
      </c>
      <c r="F1426" s="0" t="s">
        <v>107</v>
      </c>
      <c r="G1426" s="0" t="s">
        <v>143</v>
      </c>
      <c r="H1426" s="0" t="s">
        <v>144</v>
      </c>
      <c r="I1426" s="0" t="s">
        <v>38</v>
      </c>
      <c r="J1426" s="0" t="s">
        <v>39</v>
      </c>
      <c r="K1426" s="0" t="s">
        <v>48</v>
      </c>
      <c r="L1426" s="0" t="s">
        <v>49</v>
      </c>
      <c r="M1426" s="0" t="s">
        <v>140</v>
      </c>
      <c r="N1426" s="0" t="n">
        <v>869</v>
      </c>
      <c r="O1426" s="10" t="n">
        <v>0.528806463815272</v>
      </c>
      <c r="P1426" s="10" t="n">
        <v>0.218249560333788</v>
      </c>
      <c r="Q1426" s="0" t="str">
        <f aca="false">SUBSTITUTE(SUBSTITUTE($I1426,CHAR(61),""),CHAR(34),"")</f>
        <v>15-24</v>
      </c>
      <c r="R1426" s="0" t="str">
        <f aca="false">IF($D1426&lt;&gt;"","["&amp;$E1426&amp;"]"&amp;"|"&amp;$Q1426&amp;"|"&amp;$K1426&amp;"|"&amp;$G1426&amp;"|"&amp;IF($G1426="TX_CURR_SUBNAT.R","CY2022Q4",$M1426),"")</f>
        <v>[oiPR2CiVJbf]|15-24|Male|PLHIV_Residents.T_1|CY2023Q3</v>
      </c>
    </row>
    <row r="1427" customFormat="false" ht="15" hidden="false" customHeight="false" outlineLevel="0" collapsed="false">
      <c r="D1427" s="0" t="s">
        <v>105</v>
      </c>
      <c r="E1427" s="0" t="s">
        <v>106</v>
      </c>
      <c r="F1427" s="0" t="s">
        <v>107</v>
      </c>
      <c r="G1427" s="0" t="s">
        <v>143</v>
      </c>
      <c r="H1427" s="0" t="s">
        <v>144</v>
      </c>
      <c r="I1427" s="0" t="s">
        <v>41</v>
      </c>
      <c r="J1427" s="0" t="s">
        <v>42</v>
      </c>
      <c r="K1427" s="0" t="s">
        <v>48</v>
      </c>
      <c r="L1427" s="0" t="s">
        <v>49</v>
      </c>
      <c r="M1427" s="0" t="s">
        <v>140</v>
      </c>
      <c r="N1427" s="0" t="n">
        <v>1164</v>
      </c>
      <c r="O1427" s="10" t="n">
        <v>0.854505053954199</v>
      </c>
      <c r="P1427" s="10" t="n">
        <v>0.218249560333788</v>
      </c>
      <c r="Q1427" s="0" t="str">
        <f aca="false">SUBSTITUTE(SUBSTITUTE($I1427,CHAR(61),""),CHAR(34),"")</f>
        <v>25-34</v>
      </c>
      <c r="R1427" s="0" t="str">
        <f aca="false">IF($D1427&lt;&gt;"","["&amp;$E1427&amp;"]"&amp;"|"&amp;$Q1427&amp;"|"&amp;$K1427&amp;"|"&amp;$G1427&amp;"|"&amp;IF($G1427="TX_CURR_SUBNAT.R","CY2022Q4",$M1427),"")</f>
        <v>[oiPR2CiVJbf]|25-34|Male|PLHIV_Residents.T_1|CY2023Q3</v>
      </c>
    </row>
    <row r="1428" customFormat="false" ht="15" hidden="false" customHeight="false" outlineLevel="0" collapsed="false">
      <c r="D1428" s="0" t="s">
        <v>105</v>
      </c>
      <c r="E1428" s="0" t="s">
        <v>106</v>
      </c>
      <c r="F1428" s="0" t="s">
        <v>107</v>
      </c>
      <c r="G1428" s="0" t="s">
        <v>143</v>
      </c>
      <c r="H1428" s="0" t="s">
        <v>144</v>
      </c>
      <c r="I1428" s="0" t="s">
        <v>43</v>
      </c>
      <c r="J1428" s="0" t="s">
        <v>44</v>
      </c>
      <c r="K1428" s="0" t="s">
        <v>48</v>
      </c>
      <c r="L1428" s="0" t="s">
        <v>49</v>
      </c>
      <c r="M1428" s="0" t="s">
        <v>140</v>
      </c>
      <c r="N1428" s="0" t="n">
        <v>909</v>
      </c>
      <c r="O1428" s="10" t="n">
        <v>0.263467455981299</v>
      </c>
      <c r="P1428" s="10" t="n">
        <v>0.218249560333788</v>
      </c>
      <c r="Q1428" s="0" t="str">
        <f aca="false">SUBSTITUTE(SUBSTITUTE($I1428,CHAR(61),""),CHAR(34),"")</f>
        <v>35-49</v>
      </c>
      <c r="R1428" s="0" t="str">
        <f aca="false">IF($D1428&lt;&gt;"","["&amp;$E1428&amp;"]"&amp;"|"&amp;$Q1428&amp;"|"&amp;$K1428&amp;"|"&amp;$G1428&amp;"|"&amp;IF($G1428="TX_CURR_SUBNAT.R","CY2022Q4",$M1428),"")</f>
        <v>[oiPR2CiVJbf]|35-49|Male|PLHIV_Residents.T_1|CY2023Q3</v>
      </c>
    </row>
    <row r="1429" customFormat="false" ht="15" hidden="false" customHeight="false" outlineLevel="0" collapsed="false">
      <c r="D1429" s="0" t="s">
        <v>105</v>
      </c>
      <c r="E1429" s="0" t="s">
        <v>106</v>
      </c>
      <c r="F1429" s="0" t="s">
        <v>107</v>
      </c>
      <c r="G1429" s="0" t="s">
        <v>143</v>
      </c>
      <c r="H1429" s="0" t="s">
        <v>144</v>
      </c>
      <c r="I1429" s="0" t="s">
        <v>45</v>
      </c>
      <c r="J1429" s="0" t="s">
        <v>46</v>
      </c>
      <c r="K1429" s="0" t="s">
        <v>48</v>
      </c>
      <c r="L1429" s="0" t="s">
        <v>49</v>
      </c>
      <c r="M1429" s="0" t="s">
        <v>140</v>
      </c>
      <c r="N1429" s="0" t="n">
        <v>537</v>
      </c>
      <c r="O1429" s="10" t="n">
        <v>0.0685073465574533</v>
      </c>
      <c r="P1429" s="10" t="n">
        <v>0.218249560333788</v>
      </c>
      <c r="Q1429" s="0" t="str">
        <f aca="false">SUBSTITUTE(SUBSTITUTE($I1429,CHAR(61),""),CHAR(34),"")</f>
        <v>50+</v>
      </c>
      <c r="R1429" s="0" t="str">
        <f aca="false">IF($D1429&lt;&gt;"","["&amp;$E1429&amp;"]"&amp;"|"&amp;$Q1429&amp;"|"&amp;$K1429&amp;"|"&amp;$G1429&amp;"|"&amp;IF($G1429="TX_CURR_SUBNAT.R","CY2022Q4",$M1429),"")</f>
        <v>[oiPR2CiVJbf]|50+|Male|PLHIV_Residents.T_1|CY2023Q3</v>
      </c>
    </row>
    <row r="1430" customFormat="false" ht="15" hidden="false" customHeight="false" outlineLevel="0" collapsed="false">
      <c r="D1430" s="0" t="s">
        <v>108</v>
      </c>
      <c r="E1430" s="0" t="s">
        <v>109</v>
      </c>
      <c r="F1430" s="0" t="s">
        <v>110</v>
      </c>
      <c r="G1430" s="0" t="s">
        <v>143</v>
      </c>
      <c r="H1430" s="0" t="s">
        <v>144</v>
      </c>
      <c r="I1430" s="0" t="s">
        <v>28</v>
      </c>
      <c r="J1430" s="0" t="s">
        <v>29</v>
      </c>
      <c r="K1430" s="0" t="s">
        <v>30</v>
      </c>
      <c r="L1430" s="0" t="s">
        <v>31</v>
      </c>
      <c r="M1430" s="0" t="s">
        <v>140</v>
      </c>
      <c r="N1430" s="0" t="n">
        <v>1887</v>
      </c>
      <c r="O1430" s="10" t="n">
        <v>0.525212960550562</v>
      </c>
      <c r="P1430" s="10" t="n">
        <v>0.434221804374829</v>
      </c>
      <c r="Q1430" s="0" t="str">
        <f aca="false">SUBSTITUTE(SUBSTITUTE($I1430,CHAR(61),""),CHAR(34),"")</f>
        <v>&lt;01</v>
      </c>
      <c r="R1430" s="0" t="str">
        <f aca="false">IF($D1430&lt;&gt;"","["&amp;$E1430&amp;"]"&amp;"|"&amp;$Q1430&amp;"|"&amp;$K1430&amp;"|"&amp;$G1430&amp;"|"&amp;IF($G1430="TX_CURR_SUBNAT.R","CY2022Q4",$M1430),"")</f>
        <v>[ul0y9diGujK]|&lt;01|Female|PLHIV_Residents.T_1|CY2023Q3</v>
      </c>
    </row>
    <row r="1431" customFormat="false" ht="15" hidden="false" customHeight="false" outlineLevel="0" collapsed="false">
      <c r="D1431" s="0" t="s">
        <v>108</v>
      </c>
      <c r="E1431" s="0" t="s">
        <v>109</v>
      </c>
      <c r="F1431" s="0" t="s">
        <v>110</v>
      </c>
      <c r="G1431" s="0" t="s">
        <v>143</v>
      </c>
      <c r="H1431" s="0" t="s">
        <v>144</v>
      </c>
      <c r="I1431" s="0" t="s">
        <v>33</v>
      </c>
      <c r="J1431" s="0" t="s">
        <v>34</v>
      </c>
      <c r="K1431" s="0" t="s">
        <v>30</v>
      </c>
      <c r="L1431" s="0" t="s">
        <v>31</v>
      </c>
      <c r="M1431" s="0" t="s">
        <v>140</v>
      </c>
      <c r="N1431" s="0" t="n">
        <v>1523</v>
      </c>
      <c r="O1431" s="10" t="n">
        <v>0.176500001223758</v>
      </c>
      <c r="P1431" s="10" t="n">
        <v>0.434221804374829</v>
      </c>
      <c r="Q1431" s="0" t="str">
        <f aca="false">SUBSTITUTE(SUBSTITUTE($I1431,CHAR(61),""),CHAR(34),"")</f>
        <v>01-09</v>
      </c>
      <c r="R1431" s="0" t="str">
        <f aca="false">IF($D1431&lt;&gt;"","["&amp;$E1431&amp;"]"&amp;"|"&amp;$Q1431&amp;"|"&amp;$K1431&amp;"|"&amp;$G1431&amp;"|"&amp;IF($G1431="TX_CURR_SUBNAT.R","CY2022Q4",$M1431),"")</f>
        <v>[ul0y9diGujK]|01-09|Female|PLHIV_Residents.T_1|CY2023Q3</v>
      </c>
    </row>
    <row r="1432" customFormat="false" ht="15" hidden="false" customHeight="false" outlineLevel="0" collapsed="false">
      <c r="D1432" s="0" t="s">
        <v>108</v>
      </c>
      <c r="E1432" s="0" t="s">
        <v>109</v>
      </c>
      <c r="F1432" s="0" t="s">
        <v>110</v>
      </c>
      <c r="G1432" s="0" t="s">
        <v>143</v>
      </c>
      <c r="H1432" s="0" t="s">
        <v>144</v>
      </c>
      <c r="I1432" s="0" t="s">
        <v>36</v>
      </c>
      <c r="J1432" s="0" t="s">
        <v>37</v>
      </c>
      <c r="K1432" s="0" t="s">
        <v>30</v>
      </c>
      <c r="L1432" s="0" t="s">
        <v>31</v>
      </c>
      <c r="M1432" s="0" t="s">
        <v>140</v>
      </c>
      <c r="N1432" s="0" t="n">
        <v>1543</v>
      </c>
      <c r="O1432" s="10" t="n">
        <v>0.198180941864848</v>
      </c>
      <c r="P1432" s="10" t="n">
        <v>0.434221804374829</v>
      </c>
      <c r="Q1432" s="0" t="str">
        <f aca="false">SUBSTITUTE(SUBSTITUTE($I1432,CHAR(61),""),CHAR(34),"")</f>
        <v>10-14</v>
      </c>
      <c r="R1432" s="0" t="str">
        <f aca="false">IF($D1432&lt;&gt;"","["&amp;$E1432&amp;"]"&amp;"|"&amp;$Q1432&amp;"|"&amp;$K1432&amp;"|"&amp;$G1432&amp;"|"&amp;IF($G1432="TX_CURR_SUBNAT.R","CY2022Q4",$M1432),"")</f>
        <v>[ul0y9diGujK]|10-14|Female|PLHIV_Residents.T_1|CY2023Q3</v>
      </c>
    </row>
    <row r="1433" customFormat="false" ht="15" hidden="false" customHeight="false" outlineLevel="0" collapsed="false">
      <c r="D1433" s="0" t="s">
        <v>108</v>
      </c>
      <c r="E1433" s="0" t="s">
        <v>109</v>
      </c>
      <c r="F1433" s="0" t="s">
        <v>110</v>
      </c>
      <c r="G1433" s="0" t="s">
        <v>143</v>
      </c>
      <c r="H1433" s="0" t="s">
        <v>144</v>
      </c>
      <c r="I1433" s="0" t="s">
        <v>38</v>
      </c>
      <c r="J1433" s="0" t="s">
        <v>39</v>
      </c>
      <c r="K1433" s="0" t="s">
        <v>30</v>
      </c>
      <c r="L1433" s="0" t="s">
        <v>31</v>
      </c>
      <c r="M1433" s="0" t="s">
        <v>140</v>
      </c>
      <c r="N1433" s="0" t="n">
        <v>1344</v>
      </c>
      <c r="O1433" s="10" t="n">
        <v>0.356336711440235</v>
      </c>
      <c r="P1433" s="10" t="n">
        <v>0.434221804374829</v>
      </c>
      <c r="Q1433" s="0" t="str">
        <f aca="false">SUBSTITUTE(SUBSTITUTE($I1433,CHAR(61),""),CHAR(34),"")</f>
        <v>15-24</v>
      </c>
      <c r="R1433" s="0" t="str">
        <f aca="false">IF($D1433&lt;&gt;"","["&amp;$E1433&amp;"]"&amp;"|"&amp;$Q1433&amp;"|"&amp;$K1433&amp;"|"&amp;$G1433&amp;"|"&amp;IF($G1433="TX_CURR_SUBNAT.R","CY2022Q4",$M1433),"")</f>
        <v>[ul0y9diGujK]|15-24|Female|PLHIV_Residents.T_1|CY2023Q3</v>
      </c>
    </row>
    <row r="1434" customFormat="false" ht="15" hidden="false" customHeight="false" outlineLevel="0" collapsed="false">
      <c r="D1434" s="0" t="s">
        <v>108</v>
      </c>
      <c r="E1434" s="0" t="s">
        <v>109</v>
      </c>
      <c r="F1434" s="0" t="s">
        <v>110</v>
      </c>
      <c r="G1434" s="0" t="s">
        <v>143</v>
      </c>
      <c r="H1434" s="0" t="s">
        <v>144</v>
      </c>
      <c r="I1434" s="0" t="s">
        <v>41</v>
      </c>
      <c r="J1434" s="0" t="s">
        <v>42</v>
      </c>
      <c r="K1434" s="0" t="s">
        <v>30</v>
      </c>
      <c r="L1434" s="0" t="s">
        <v>31</v>
      </c>
      <c r="M1434" s="0" t="s">
        <v>140</v>
      </c>
      <c r="N1434" s="0" t="n">
        <v>1266</v>
      </c>
      <c r="O1434" s="10" t="n">
        <v>0.72837294684723</v>
      </c>
      <c r="P1434" s="10" t="n">
        <v>0.434221804374829</v>
      </c>
      <c r="Q1434" s="0" t="str">
        <f aca="false">SUBSTITUTE(SUBSTITUTE($I1434,CHAR(61),""),CHAR(34),"")</f>
        <v>25-34</v>
      </c>
      <c r="R1434" s="0" t="str">
        <f aca="false">IF($D1434&lt;&gt;"","["&amp;$E1434&amp;"]"&amp;"|"&amp;$Q1434&amp;"|"&amp;$K1434&amp;"|"&amp;$G1434&amp;"|"&amp;IF($G1434="TX_CURR_SUBNAT.R","CY2022Q4",$M1434),"")</f>
        <v>[ul0y9diGujK]|25-34|Female|PLHIV_Residents.T_1|CY2023Q3</v>
      </c>
    </row>
    <row r="1435" customFormat="false" ht="15" hidden="false" customHeight="false" outlineLevel="0" collapsed="false">
      <c r="D1435" s="0" t="s">
        <v>108</v>
      </c>
      <c r="E1435" s="0" t="s">
        <v>109</v>
      </c>
      <c r="F1435" s="0" t="s">
        <v>110</v>
      </c>
      <c r="G1435" s="0" t="s">
        <v>143</v>
      </c>
      <c r="H1435" s="0" t="s">
        <v>144</v>
      </c>
      <c r="I1435" s="0" t="s">
        <v>43</v>
      </c>
      <c r="J1435" s="0" t="s">
        <v>44</v>
      </c>
      <c r="K1435" s="0" t="s">
        <v>30</v>
      </c>
      <c r="L1435" s="0" t="s">
        <v>31</v>
      </c>
      <c r="M1435" s="0" t="s">
        <v>140</v>
      </c>
      <c r="N1435" s="0" t="n">
        <v>509</v>
      </c>
      <c r="O1435" s="10" t="n">
        <v>0.0567645304836333</v>
      </c>
      <c r="P1435" s="10" t="n">
        <v>0.434221804374829</v>
      </c>
      <c r="Q1435" s="0" t="str">
        <f aca="false">SUBSTITUTE(SUBSTITUTE($I1435,CHAR(61),""),CHAR(34),"")</f>
        <v>35-49</v>
      </c>
      <c r="R1435" s="0" t="str">
        <f aca="false">IF($D1435&lt;&gt;"","["&amp;$E1435&amp;"]"&amp;"|"&amp;$Q1435&amp;"|"&amp;$K1435&amp;"|"&amp;$G1435&amp;"|"&amp;IF($G1435="TX_CURR_SUBNAT.R","CY2022Q4",$M1435),"")</f>
        <v>[ul0y9diGujK]|35-49|Female|PLHIV_Residents.T_1|CY2023Q3</v>
      </c>
    </row>
    <row r="1436" customFormat="false" ht="15" hidden="false" customHeight="false" outlineLevel="0" collapsed="false">
      <c r="D1436" s="0" t="s">
        <v>108</v>
      </c>
      <c r="E1436" s="0" t="s">
        <v>109</v>
      </c>
      <c r="F1436" s="0" t="s">
        <v>110</v>
      </c>
      <c r="G1436" s="0" t="s">
        <v>143</v>
      </c>
      <c r="H1436" s="0" t="s">
        <v>144</v>
      </c>
      <c r="I1436" s="0" t="s">
        <v>45</v>
      </c>
      <c r="J1436" s="0" t="s">
        <v>46</v>
      </c>
      <c r="K1436" s="0" t="s">
        <v>30</v>
      </c>
      <c r="L1436" s="0" t="s">
        <v>31</v>
      </c>
      <c r="M1436" s="0" t="s">
        <v>140</v>
      </c>
      <c r="N1436" s="0" t="n">
        <v>1795</v>
      </c>
      <c r="O1436" s="10" t="n">
        <v>0.627969177672639</v>
      </c>
      <c r="P1436" s="10" t="n">
        <v>0.434221804374829</v>
      </c>
      <c r="Q1436" s="0" t="str">
        <f aca="false">SUBSTITUTE(SUBSTITUTE($I1436,CHAR(61),""),CHAR(34),"")</f>
        <v>50+</v>
      </c>
      <c r="R1436" s="0" t="str">
        <f aca="false">IF($D1436&lt;&gt;"","["&amp;$E1436&amp;"]"&amp;"|"&amp;$Q1436&amp;"|"&amp;$K1436&amp;"|"&amp;$G1436&amp;"|"&amp;IF($G1436="TX_CURR_SUBNAT.R","CY2022Q4",$M1436),"")</f>
        <v>[ul0y9diGujK]|50+|Female|PLHIV_Residents.T_1|CY2023Q3</v>
      </c>
    </row>
    <row r="1437" customFormat="false" ht="15" hidden="false" customHeight="false" outlineLevel="0" collapsed="false">
      <c r="D1437" s="0" t="s">
        <v>108</v>
      </c>
      <c r="E1437" s="0" t="s">
        <v>109</v>
      </c>
      <c r="F1437" s="0" t="s">
        <v>110</v>
      </c>
      <c r="G1437" s="0" t="s">
        <v>143</v>
      </c>
      <c r="H1437" s="0" t="s">
        <v>144</v>
      </c>
      <c r="I1437" s="0" t="s">
        <v>28</v>
      </c>
      <c r="J1437" s="0" t="s">
        <v>29</v>
      </c>
      <c r="K1437" s="0" t="s">
        <v>48</v>
      </c>
      <c r="L1437" s="0" t="s">
        <v>49</v>
      </c>
      <c r="M1437" s="0" t="s">
        <v>140</v>
      </c>
      <c r="N1437" s="0" t="n">
        <v>790</v>
      </c>
      <c r="O1437" s="10" t="n">
        <v>0.672352506546304</v>
      </c>
      <c r="P1437" s="10" t="n">
        <v>0.434221804374829</v>
      </c>
      <c r="Q1437" s="0" t="str">
        <f aca="false">SUBSTITUTE(SUBSTITUTE($I1437,CHAR(61),""),CHAR(34),"")</f>
        <v>&lt;01</v>
      </c>
      <c r="R1437" s="0" t="str">
        <f aca="false">IF($D1437&lt;&gt;"","["&amp;$E1437&amp;"]"&amp;"|"&amp;$Q1437&amp;"|"&amp;$K1437&amp;"|"&amp;$G1437&amp;"|"&amp;IF($G1437="TX_CURR_SUBNAT.R","CY2022Q4",$M1437),"")</f>
        <v>[ul0y9diGujK]|&lt;01|Male|PLHIV_Residents.T_1|CY2023Q3</v>
      </c>
    </row>
    <row r="1438" customFormat="false" ht="15" hidden="false" customHeight="false" outlineLevel="0" collapsed="false">
      <c r="D1438" s="0" t="s">
        <v>108</v>
      </c>
      <c r="E1438" s="0" t="s">
        <v>109</v>
      </c>
      <c r="F1438" s="0" t="s">
        <v>110</v>
      </c>
      <c r="G1438" s="0" t="s">
        <v>143</v>
      </c>
      <c r="H1438" s="0" t="s">
        <v>144</v>
      </c>
      <c r="I1438" s="0" t="s">
        <v>33</v>
      </c>
      <c r="J1438" s="0" t="s">
        <v>34</v>
      </c>
      <c r="K1438" s="0" t="s">
        <v>48</v>
      </c>
      <c r="L1438" s="0" t="s">
        <v>49</v>
      </c>
      <c r="M1438" s="0" t="s">
        <v>140</v>
      </c>
      <c r="N1438" s="0" t="n">
        <v>819</v>
      </c>
      <c r="O1438" s="10" t="n">
        <v>0.942451220238581</v>
      </c>
      <c r="P1438" s="10" t="n">
        <v>0.434221804374829</v>
      </c>
      <c r="Q1438" s="0" t="str">
        <f aca="false">SUBSTITUTE(SUBSTITUTE($I1438,CHAR(61),""),CHAR(34),"")</f>
        <v>01-09</v>
      </c>
      <c r="R1438" s="0" t="str">
        <f aca="false">IF($D1438&lt;&gt;"","["&amp;$E1438&amp;"]"&amp;"|"&amp;$Q1438&amp;"|"&amp;$K1438&amp;"|"&amp;$G1438&amp;"|"&amp;IF($G1438="TX_CURR_SUBNAT.R","CY2022Q4",$M1438),"")</f>
        <v>[ul0y9diGujK]|01-09|Male|PLHIV_Residents.T_1|CY2023Q3</v>
      </c>
    </row>
    <row r="1439" customFormat="false" ht="15" hidden="false" customHeight="false" outlineLevel="0" collapsed="false">
      <c r="D1439" s="0" t="s">
        <v>108</v>
      </c>
      <c r="E1439" s="0" t="s">
        <v>109</v>
      </c>
      <c r="F1439" s="0" t="s">
        <v>110</v>
      </c>
      <c r="G1439" s="0" t="s">
        <v>143</v>
      </c>
      <c r="H1439" s="0" t="s">
        <v>144</v>
      </c>
      <c r="I1439" s="0" t="s">
        <v>36</v>
      </c>
      <c r="J1439" s="0" t="s">
        <v>37</v>
      </c>
      <c r="K1439" s="0" t="s">
        <v>48</v>
      </c>
      <c r="L1439" s="0" t="s">
        <v>49</v>
      </c>
      <c r="M1439" s="0" t="s">
        <v>140</v>
      </c>
      <c r="N1439" s="0" t="n">
        <v>1353</v>
      </c>
      <c r="O1439" s="10" t="n">
        <v>0.0249009970575571</v>
      </c>
      <c r="P1439" s="10" t="n">
        <v>0.434221804374829</v>
      </c>
      <c r="Q1439" s="0" t="str">
        <f aca="false">SUBSTITUTE(SUBSTITUTE($I1439,CHAR(61),""),CHAR(34),"")</f>
        <v>10-14</v>
      </c>
      <c r="R1439" s="0" t="str">
        <f aca="false">IF($D1439&lt;&gt;"","["&amp;$E1439&amp;"]"&amp;"|"&amp;$Q1439&amp;"|"&amp;$K1439&amp;"|"&amp;$G1439&amp;"|"&amp;IF($G1439="TX_CURR_SUBNAT.R","CY2022Q4",$M1439),"")</f>
        <v>[ul0y9diGujK]|10-14|Male|PLHIV_Residents.T_1|CY2023Q3</v>
      </c>
    </row>
    <row r="1440" customFormat="false" ht="15" hidden="false" customHeight="false" outlineLevel="0" collapsed="false">
      <c r="D1440" s="0" t="s">
        <v>108</v>
      </c>
      <c r="E1440" s="0" t="s">
        <v>109</v>
      </c>
      <c r="F1440" s="0" t="s">
        <v>110</v>
      </c>
      <c r="G1440" s="0" t="s">
        <v>143</v>
      </c>
      <c r="H1440" s="0" t="s">
        <v>144</v>
      </c>
      <c r="I1440" s="0" t="s">
        <v>38</v>
      </c>
      <c r="J1440" s="0" t="s">
        <v>39</v>
      </c>
      <c r="K1440" s="0" t="s">
        <v>48</v>
      </c>
      <c r="L1440" s="0" t="s">
        <v>49</v>
      </c>
      <c r="M1440" s="0" t="s">
        <v>140</v>
      </c>
      <c r="N1440" s="0" t="n">
        <v>1759</v>
      </c>
      <c r="O1440" s="10" t="n">
        <v>0.170289648231119</v>
      </c>
      <c r="P1440" s="10" t="n">
        <v>0.434221804374829</v>
      </c>
      <c r="Q1440" s="0" t="str">
        <f aca="false">SUBSTITUTE(SUBSTITUTE($I1440,CHAR(61),""),CHAR(34),"")</f>
        <v>15-24</v>
      </c>
      <c r="R1440" s="0" t="str">
        <f aca="false">IF($D1440&lt;&gt;"","["&amp;$E1440&amp;"]"&amp;"|"&amp;$Q1440&amp;"|"&amp;$K1440&amp;"|"&amp;$G1440&amp;"|"&amp;IF($G1440="TX_CURR_SUBNAT.R","CY2022Q4",$M1440),"")</f>
        <v>[ul0y9diGujK]|15-24|Male|PLHIV_Residents.T_1|CY2023Q3</v>
      </c>
    </row>
    <row r="1441" customFormat="false" ht="15" hidden="false" customHeight="false" outlineLevel="0" collapsed="false">
      <c r="D1441" s="0" t="s">
        <v>108</v>
      </c>
      <c r="E1441" s="0" t="s">
        <v>109</v>
      </c>
      <c r="F1441" s="0" t="s">
        <v>110</v>
      </c>
      <c r="G1441" s="0" t="s">
        <v>143</v>
      </c>
      <c r="H1441" s="0" t="s">
        <v>144</v>
      </c>
      <c r="I1441" s="0" t="s">
        <v>41</v>
      </c>
      <c r="J1441" s="0" t="s">
        <v>42</v>
      </c>
      <c r="K1441" s="0" t="s">
        <v>48</v>
      </c>
      <c r="L1441" s="0" t="s">
        <v>49</v>
      </c>
      <c r="M1441" s="0" t="s">
        <v>140</v>
      </c>
      <c r="N1441" s="0" t="n">
        <v>1549</v>
      </c>
      <c r="O1441" s="10" t="n">
        <v>0.966037246398628</v>
      </c>
      <c r="P1441" s="10" t="n">
        <v>0.434221804374829</v>
      </c>
      <c r="Q1441" s="0" t="str">
        <f aca="false">SUBSTITUTE(SUBSTITUTE($I1441,CHAR(61),""),CHAR(34),"")</f>
        <v>25-34</v>
      </c>
      <c r="R1441" s="0" t="str">
        <f aca="false">IF($D1441&lt;&gt;"","["&amp;$E1441&amp;"]"&amp;"|"&amp;$Q1441&amp;"|"&amp;$K1441&amp;"|"&amp;$G1441&amp;"|"&amp;IF($G1441="TX_CURR_SUBNAT.R","CY2022Q4",$M1441),"")</f>
        <v>[ul0y9diGujK]|25-34|Male|PLHIV_Residents.T_1|CY2023Q3</v>
      </c>
    </row>
    <row r="1442" customFormat="false" ht="15" hidden="false" customHeight="false" outlineLevel="0" collapsed="false">
      <c r="D1442" s="0" t="s">
        <v>108</v>
      </c>
      <c r="E1442" s="0" t="s">
        <v>109</v>
      </c>
      <c r="F1442" s="0" t="s">
        <v>110</v>
      </c>
      <c r="G1442" s="0" t="s">
        <v>143</v>
      </c>
      <c r="H1442" s="0" t="s">
        <v>144</v>
      </c>
      <c r="I1442" s="0" t="s">
        <v>43</v>
      </c>
      <c r="J1442" s="0" t="s">
        <v>44</v>
      </c>
      <c r="K1442" s="0" t="s">
        <v>48</v>
      </c>
      <c r="L1442" s="0" t="s">
        <v>49</v>
      </c>
      <c r="M1442" s="0" t="s">
        <v>140</v>
      </c>
      <c r="N1442" s="0" t="n">
        <v>996</v>
      </c>
      <c r="O1442" s="10" t="n">
        <v>0.559955398086458</v>
      </c>
      <c r="P1442" s="10" t="n">
        <v>0.434221804374829</v>
      </c>
      <c r="Q1442" s="0" t="str">
        <f aca="false">SUBSTITUTE(SUBSTITUTE($I1442,CHAR(61),""),CHAR(34),"")</f>
        <v>35-49</v>
      </c>
      <c r="R1442" s="0" t="str">
        <f aca="false">IF($D1442&lt;&gt;"","["&amp;$E1442&amp;"]"&amp;"|"&amp;$Q1442&amp;"|"&amp;$K1442&amp;"|"&amp;$G1442&amp;"|"&amp;IF($G1442="TX_CURR_SUBNAT.R","CY2022Q4",$M1442),"")</f>
        <v>[ul0y9diGujK]|35-49|Male|PLHIV_Residents.T_1|CY2023Q3</v>
      </c>
    </row>
    <row r="1443" customFormat="false" ht="15" hidden="false" customHeight="false" outlineLevel="0" collapsed="false">
      <c r="D1443" s="0" t="s">
        <v>108</v>
      </c>
      <c r="E1443" s="0" t="s">
        <v>109</v>
      </c>
      <c r="F1443" s="0" t="s">
        <v>110</v>
      </c>
      <c r="G1443" s="0" t="s">
        <v>143</v>
      </c>
      <c r="H1443" s="0" t="s">
        <v>144</v>
      </c>
      <c r="I1443" s="0" t="s">
        <v>45</v>
      </c>
      <c r="J1443" s="0" t="s">
        <v>46</v>
      </c>
      <c r="K1443" s="0" t="s">
        <v>48</v>
      </c>
      <c r="L1443" s="0" t="s">
        <v>49</v>
      </c>
      <c r="M1443" s="0" t="s">
        <v>140</v>
      </c>
      <c r="N1443" s="0" t="n">
        <v>505</v>
      </c>
      <c r="O1443" s="10" t="n">
        <v>0.154244242468849</v>
      </c>
      <c r="P1443" s="10" t="n">
        <v>0.434221804374829</v>
      </c>
      <c r="Q1443" s="0" t="str">
        <f aca="false">SUBSTITUTE(SUBSTITUTE($I1443,CHAR(61),""),CHAR(34),"")</f>
        <v>50+</v>
      </c>
      <c r="R1443" s="0" t="str">
        <f aca="false">IF($D1443&lt;&gt;"","["&amp;$E1443&amp;"]"&amp;"|"&amp;$Q1443&amp;"|"&amp;$K1443&amp;"|"&amp;$G1443&amp;"|"&amp;IF($G1443="TX_CURR_SUBNAT.R","CY2022Q4",$M1443),"")</f>
        <v>[ul0y9diGujK]|50+|Male|PLHIV_Residents.T_1|CY2023Q3</v>
      </c>
    </row>
    <row r="1444" customFormat="false" ht="15" hidden="false" customHeight="false" outlineLevel="0" collapsed="false">
      <c r="D1444" s="0" t="s">
        <v>111</v>
      </c>
      <c r="E1444" s="0" t="s">
        <v>112</v>
      </c>
      <c r="F1444" s="0" t="s">
        <v>113</v>
      </c>
      <c r="G1444" s="0" t="s">
        <v>143</v>
      </c>
      <c r="H1444" s="0" t="s">
        <v>144</v>
      </c>
      <c r="I1444" s="0" t="s">
        <v>28</v>
      </c>
      <c r="J1444" s="0" t="s">
        <v>29</v>
      </c>
      <c r="K1444" s="0" t="s">
        <v>30</v>
      </c>
      <c r="L1444" s="0" t="s">
        <v>31</v>
      </c>
      <c r="M1444" s="0" t="s">
        <v>140</v>
      </c>
      <c r="N1444" s="0" t="n">
        <v>546</v>
      </c>
      <c r="O1444" s="10" t="n">
        <v>0.379047041060403</v>
      </c>
      <c r="P1444" s="10" t="n">
        <v>0.337768794968724</v>
      </c>
      <c r="Q1444" s="0" t="str">
        <f aca="false">SUBSTITUTE(SUBSTITUTE($I1444,CHAR(61),""),CHAR(34),"")</f>
        <v>&lt;01</v>
      </c>
      <c r="R1444" s="0" t="str">
        <f aca="false">IF($D1444&lt;&gt;"","["&amp;$E1444&amp;"]"&amp;"|"&amp;$Q1444&amp;"|"&amp;$K1444&amp;"|"&amp;$G1444&amp;"|"&amp;IF($G1444="TX_CURR_SUBNAT.R","CY2022Q4",$M1444),"")</f>
        <v>[U8c0so51kT6]|&lt;01|Female|PLHIV_Residents.T_1|CY2023Q3</v>
      </c>
    </row>
    <row r="1445" customFormat="false" ht="15" hidden="false" customHeight="false" outlineLevel="0" collapsed="false">
      <c r="D1445" s="0" t="s">
        <v>111</v>
      </c>
      <c r="E1445" s="0" t="s">
        <v>112</v>
      </c>
      <c r="F1445" s="0" t="s">
        <v>113</v>
      </c>
      <c r="G1445" s="0" t="s">
        <v>143</v>
      </c>
      <c r="H1445" s="0" t="s">
        <v>144</v>
      </c>
      <c r="I1445" s="0" t="s">
        <v>33</v>
      </c>
      <c r="J1445" s="0" t="s">
        <v>34</v>
      </c>
      <c r="K1445" s="0" t="s">
        <v>30</v>
      </c>
      <c r="L1445" s="0" t="s">
        <v>31</v>
      </c>
      <c r="M1445" s="0" t="s">
        <v>140</v>
      </c>
      <c r="N1445" s="0" t="n">
        <v>1190</v>
      </c>
      <c r="O1445" s="10" t="n">
        <v>0.559010836528614</v>
      </c>
      <c r="P1445" s="10" t="n">
        <v>0.337768794968724</v>
      </c>
      <c r="Q1445" s="0" t="str">
        <f aca="false">SUBSTITUTE(SUBSTITUTE($I1445,CHAR(61),""),CHAR(34),"")</f>
        <v>01-09</v>
      </c>
      <c r="R1445" s="0" t="str">
        <f aca="false">IF($D1445&lt;&gt;"","["&amp;$E1445&amp;"]"&amp;"|"&amp;$Q1445&amp;"|"&amp;$K1445&amp;"|"&amp;$G1445&amp;"|"&amp;IF($G1445="TX_CURR_SUBNAT.R","CY2022Q4",$M1445),"")</f>
        <v>[U8c0so51kT6]|01-09|Female|PLHIV_Residents.T_1|CY2023Q3</v>
      </c>
    </row>
    <row r="1446" customFormat="false" ht="15" hidden="false" customHeight="false" outlineLevel="0" collapsed="false">
      <c r="D1446" s="0" t="s">
        <v>111</v>
      </c>
      <c r="E1446" s="0" t="s">
        <v>112</v>
      </c>
      <c r="F1446" s="0" t="s">
        <v>113</v>
      </c>
      <c r="G1446" s="0" t="s">
        <v>143</v>
      </c>
      <c r="H1446" s="0" t="s">
        <v>144</v>
      </c>
      <c r="I1446" s="0" t="s">
        <v>36</v>
      </c>
      <c r="J1446" s="0" t="s">
        <v>37</v>
      </c>
      <c r="K1446" s="0" t="s">
        <v>30</v>
      </c>
      <c r="L1446" s="0" t="s">
        <v>31</v>
      </c>
      <c r="M1446" s="0" t="s">
        <v>140</v>
      </c>
      <c r="N1446" s="0" t="n">
        <v>1316</v>
      </c>
      <c r="O1446" s="10" t="n">
        <v>0.25161571870558</v>
      </c>
      <c r="P1446" s="10" t="n">
        <v>0.337768794968724</v>
      </c>
      <c r="Q1446" s="0" t="str">
        <f aca="false">SUBSTITUTE(SUBSTITUTE($I1446,CHAR(61),""),CHAR(34),"")</f>
        <v>10-14</v>
      </c>
      <c r="R1446" s="0" t="str">
        <f aca="false">IF($D1446&lt;&gt;"","["&amp;$E1446&amp;"]"&amp;"|"&amp;$Q1446&amp;"|"&amp;$K1446&amp;"|"&amp;$G1446&amp;"|"&amp;IF($G1446="TX_CURR_SUBNAT.R","CY2022Q4",$M1446),"")</f>
        <v>[U8c0so51kT6]|10-14|Female|PLHIV_Residents.T_1|CY2023Q3</v>
      </c>
    </row>
    <row r="1447" customFormat="false" ht="15" hidden="false" customHeight="false" outlineLevel="0" collapsed="false">
      <c r="D1447" s="0" t="s">
        <v>111</v>
      </c>
      <c r="E1447" s="0" t="s">
        <v>112</v>
      </c>
      <c r="F1447" s="0" t="s">
        <v>113</v>
      </c>
      <c r="G1447" s="0" t="s">
        <v>143</v>
      </c>
      <c r="H1447" s="0" t="s">
        <v>144</v>
      </c>
      <c r="I1447" s="0" t="s">
        <v>38</v>
      </c>
      <c r="J1447" s="0" t="s">
        <v>39</v>
      </c>
      <c r="K1447" s="0" t="s">
        <v>30</v>
      </c>
      <c r="L1447" s="0" t="s">
        <v>31</v>
      </c>
      <c r="M1447" s="0" t="s">
        <v>140</v>
      </c>
      <c r="N1447" s="0" t="n">
        <v>1201</v>
      </c>
      <c r="O1447" s="10" t="n">
        <v>0.536868270486593</v>
      </c>
      <c r="P1447" s="10" t="n">
        <v>0.337768794968724</v>
      </c>
      <c r="Q1447" s="0" t="str">
        <f aca="false">SUBSTITUTE(SUBSTITUTE($I1447,CHAR(61),""),CHAR(34),"")</f>
        <v>15-24</v>
      </c>
      <c r="R1447" s="0" t="str">
        <f aca="false">IF($D1447&lt;&gt;"","["&amp;$E1447&amp;"]"&amp;"|"&amp;$Q1447&amp;"|"&amp;$K1447&amp;"|"&amp;$G1447&amp;"|"&amp;IF($G1447="TX_CURR_SUBNAT.R","CY2022Q4",$M1447),"")</f>
        <v>[U8c0so51kT6]|15-24|Female|PLHIV_Residents.T_1|CY2023Q3</v>
      </c>
    </row>
    <row r="1448" customFormat="false" ht="15" hidden="false" customHeight="false" outlineLevel="0" collapsed="false">
      <c r="D1448" s="0" t="s">
        <v>111</v>
      </c>
      <c r="E1448" s="0" t="s">
        <v>112</v>
      </c>
      <c r="F1448" s="0" t="s">
        <v>113</v>
      </c>
      <c r="G1448" s="0" t="s">
        <v>143</v>
      </c>
      <c r="H1448" s="0" t="s">
        <v>144</v>
      </c>
      <c r="I1448" s="0" t="s">
        <v>41</v>
      </c>
      <c r="J1448" s="0" t="s">
        <v>42</v>
      </c>
      <c r="K1448" s="0" t="s">
        <v>30</v>
      </c>
      <c r="L1448" s="0" t="s">
        <v>31</v>
      </c>
      <c r="M1448" s="0" t="s">
        <v>140</v>
      </c>
      <c r="N1448" s="0" t="n">
        <v>1775</v>
      </c>
      <c r="O1448" s="10" t="n">
        <v>0.228801805526018</v>
      </c>
      <c r="P1448" s="10" t="n">
        <v>0.337768794968724</v>
      </c>
      <c r="Q1448" s="0" t="str">
        <f aca="false">SUBSTITUTE(SUBSTITUTE($I1448,CHAR(61),""),CHAR(34),"")</f>
        <v>25-34</v>
      </c>
      <c r="R1448" s="0" t="str">
        <f aca="false">IF($D1448&lt;&gt;"","["&amp;$E1448&amp;"]"&amp;"|"&amp;$Q1448&amp;"|"&amp;$K1448&amp;"|"&amp;$G1448&amp;"|"&amp;IF($G1448="TX_CURR_SUBNAT.R","CY2022Q4",$M1448),"")</f>
        <v>[U8c0so51kT6]|25-34|Female|PLHIV_Residents.T_1|CY2023Q3</v>
      </c>
    </row>
    <row r="1449" customFormat="false" ht="15" hidden="false" customHeight="false" outlineLevel="0" collapsed="false">
      <c r="D1449" s="0" t="s">
        <v>111</v>
      </c>
      <c r="E1449" s="0" t="s">
        <v>112</v>
      </c>
      <c r="F1449" s="0" t="s">
        <v>113</v>
      </c>
      <c r="G1449" s="0" t="s">
        <v>143</v>
      </c>
      <c r="H1449" s="0" t="s">
        <v>144</v>
      </c>
      <c r="I1449" s="0" t="s">
        <v>43</v>
      </c>
      <c r="J1449" s="0" t="s">
        <v>44</v>
      </c>
      <c r="K1449" s="0" t="s">
        <v>30</v>
      </c>
      <c r="L1449" s="0" t="s">
        <v>31</v>
      </c>
      <c r="M1449" s="0" t="s">
        <v>140</v>
      </c>
      <c r="N1449" s="0" t="n">
        <v>1014</v>
      </c>
      <c r="O1449" s="10" t="n">
        <v>0.936703502666205</v>
      </c>
      <c r="P1449" s="10" t="n">
        <v>0.337768794968724</v>
      </c>
      <c r="Q1449" s="0" t="str">
        <f aca="false">SUBSTITUTE(SUBSTITUTE($I1449,CHAR(61),""),CHAR(34),"")</f>
        <v>35-49</v>
      </c>
      <c r="R1449" s="0" t="str">
        <f aca="false">IF($D1449&lt;&gt;"","["&amp;$E1449&amp;"]"&amp;"|"&amp;$Q1449&amp;"|"&amp;$K1449&amp;"|"&amp;$G1449&amp;"|"&amp;IF($G1449="TX_CURR_SUBNAT.R","CY2022Q4",$M1449),"")</f>
        <v>[U8c0so51kT6]|35-49|Female|PLHIV_Residents.T_1|CY2023Q3</v>
      </c>
    </row>
    <row r="1450" customFormat="false" ht="15" hidden="false" customHeight="false" outlineLevel="0" collapsed="false">
      <c r="D1450" s="0" t="s">
        <v>111</v>
      </c>
      <c r="E1450" s="0" t="s">
        <v>112</v>
      </c>
      <c r="F1450" s="0" t="s">
        <v>113</v>
      </c>
      <c r="G1450" s="0" t="s">
        <v>143</v>
      </c>
      <c r="H1450" s="0" t="s">
        <v>144</v>
      </c>
      <c r="I1450" s="0" t="s">
        <v>45</v>
      </c>
      <c r="J1450" s="0" t="s">
        <v>46</v>
      </c>
      <c r="K1450" s="0" t="s">
        <v>30</v>
      </c>
      <c r="L1450" s="0" t="s">
        <v>31</v>
      </c>
      <c r="M1450" s="0" t="s">
        <v>140</v>
      </c>
      <c r="N1450" s="0" t="n">
        <v>509</v>
      </c>
      <c r="O1450" s="10" t="n">
        <v>0.18639626307413</v>
      </c>
      <c r="P1450" s="10" t="n">
        <v>0.337768794968724</v>
      </c>
      <c r="Q1450" s="0" t="str">
        <f aca="false">SUBSTITUTE(SUBSTITUTE($I1450,CHAR(61),""),CHAR(34),"")</f>
        <v>50+</v>
      </c>
      <c r="R1450" s="0" t="str">
        <f aca="false">IF($D1450&lt;&gt;"","["&amp;$E1450&amp;"]"&amp;"|"&amp;$Q1450&amp;"|"&amp;$K1450&amp;"|"&amp;$G1450&amp;"|"&amp;IF($G1450="TX_CURR_SUBNAT.R","CY2022Q4",$M1450),"")</f>
        <v>[U8c0so51kT6]|50+|Female|PLHIV_Residents.T_1|CY2023Q3</v>
      </c>
    </row>
    <row r="1451" customFormat="false" ht="15" hidden="false" customHeight="false" outlineLevel="0" collapsed="false">
      <c r="D1451" s="0" t="s">
        <v>111</v>
      </c>
      <c r="E1451" s="0" t="s">
        <v>112</v>
      </c>
      <c r="F1451" s="0" t="s">
        <v>113</v>
      </c>
      <c r="G1451" s="0" t="s">
        <v>143</v>
      </c>
      <c r="H1451" s="0" t="s">
        <v>144</v>
      </c>
      <c r="I1451" s="0" t="s">
        <v>28</v>
      </c>
      <c r="J1451" s="0" t="s">
        <v>29</v>
      </c>
      <c r="K1451" s="0" t="s">
        <v>48</v>
      </c>
      <c r="L1451" s="0" t="s">
        <v>49</v>
      </c>
      <c r="M1451" s="0" t="s">
        <v>140</v>
      </c>
      <c r="N1451" s="0" t="n">
        <v>858</v>
      </c>
      <c r="O1451" s="10" t="n">
        <v>0.416480864631012</v>
      </c>
      <c r="P1451" s="10" t="n">
        <v>0.337768794968724</v>
      </c>
      <c r="Q1451" s="0" t="str">
        <f aca="false">SUBSTITUTE(SUBSTITUTE($I1451,CHAR(61),""),CHAR(34),"")</f>
        <v>&lt;01</v>
      </c>
      <c r="R1451" s="0" t="str">
        <f aca="false">IF($D1451&lt;&gt;"","["&amp;$E1451&amp;"]"&amp;"|"&amp;$Q1451&amp;"|"&amp;$K1451&amp;"|"&amp;$G1451&amp;"|"&amp;IF($G1451="TX_CURR_SUBNAT.R","CY2022Q4",$M1451),"")</f>
        <v>[U8c0so51kT6]|&lt;01|Male|PLHIV_Residents.T_1|CY2023Q3</v>
      </c>
    </row>
    <row r="1452" customFormat="false" ht="15" hidden="false" customHeight="false" outlineLevel="0" collapsed="false">
      <c r="D1452" s="0" t="s">
        <v>111</v>
      </c>
      <c r="E1452" s="0" t="s">
        <v>112</v>
      </c>
      <c r="F1452" s="0" t="s">
        <v>113</v>
      </c>
      <c r="G1452" s="0" t="s">
        <v>143</v>
      </c>
      <c r="H1452" s="0" t="s">
        <v>144</v>
      </c>
      <c r="I1452" s="0" t="s">
        <v>33</v>
      </c>
      <c r="J1452" s="0" t="s">
        <v>34</v>
      </c>
      <c r="K1452" s="0" t="s">
        <v>48</v>
      </c>
      <c r="L1452" s="0" t="s">
        <v>49</v>
      </c>
      <c r="M1452" s="0" t="s">
        <v>140</v>
      </c>
      <c r="N1452" s="0" t="n">
        <v>626</v>
      </c>
      <c r="O1452" s="10" t="n">
        <v>0.744285353459418</v>
      </c>
      <c r="P1452" s="10" t="n">
        <v>0.337768794968724</v>
      </c>
      <c r="Q1452" s="0" t="str">
        <f aca="false">SUBSTITUTE(SUBSTITUTE($I1452,CHAR(61),""),CHAR(34),"")</f>
        <v>01-09</v>
      </c>
      <c r="R1452" s="0" t="str">
        <f aca="false">IF($D1452&lt;&gt;"","["&amp;$E1452&amp;"]"&amp;"|"&amp;$Q1452&amp;"|"&amp;$K1452&amp;"|"&amp;$G1452&amp;"|"&amp;IF($G1452="TX_CURR_SUBNAT.R","CY2022Q4",$M1452),"")</f>
        <v>[U8c0so51kT6]|01-09|Male|PLHIV_Residents.T_1|CY2023Q3</v>
      </c>
    </row>
    <row r="1453" customFormat="false" ht="15" hidden="false" customHeight="false" outlineLevel="0" collapsed="false">
      <c r="D1453" s="0" t="s">
        <v>111</v>
      </c>
      <c r="E1453" s="0" t="s">
        <v>112</v>
      </c>
      <c r="F1453" s="0" t="s">
        <v>113</v>
      </c>
      <c r="G1453" s="0" t="s">
        <v>143</v>
      </c>
      <c r="H1453" s="0" t="s">
        <v>144</v>
      </c>
      <c r="I1453" s="0" t="s">
        <v>36</v>
      </c>
      <c r="J1453" s="0" t="s">
        <v>37</v>
      </c>
      <c r="K1453" s="0" t="s">
        <v>48</v>
      </c>
      <c r="L1453" s="0" t="s">
        <v>49</v>
      </c>
      <c r="M1453" s="0" t="s">
        <v>140</v>
      </c>
      <c r="N1453" s="0" t="n">
        <v>716</v>
      </c>
      <c r="O1453" s="10" t="n">
        <v>0.448597188107669</v>
      </c>
      <c r="P1453" s="10" t="n">
        <v>0.337768794968724</v>
      </c>
      <c r="Q1453" s="0" t="str">
        <f aca="false">SUBSTITUTE(SUBSTITUTE($I1453,CHAR(61),""),CHAR(34),"")</f>
        <v>10-14</v>
      </c>
      <c r="R1453" s="0" t="str">
        <f aca="false">IF($D1453&lt;&gt;"","["&amp;$E1453&amp;"]"&amp;"|"&amp;$Q1453&amp;"|"&amp;$K1453&amp;"|"&amp;$G1453&amp;"|"&amp;IF($G1453="TX_CURR_SUBNAT.R","CY2022Q4",$M1453),"")</f>
        <v>[U8c0so51kT6]|10-14|Male|PLHIV_Residents.T_1|CY2023Q3</v>
      </c>
    </row>
    <row r="1454" customFormat="false" ht="15" hidden="false" customHeight="false" outlineLevel="0" collapsed="false">
      <c r="D1454" s="0" t="s">
        <v>111</v>
      </c>
      <c r="E1454" s="0" t="s">
        <v>112</v>
      </c>
      <c r="F1454" s="0" t="s">
        <v>113</v>
      </c>
      <c r="G1454" s="0" t="s">
        <v>143</v>
      </c>
      <c r="H1454" s="0" t="s">
        <v>144</v>
      </c>
      <c r="I1454" s="0" t="s">
        <v>38</v>
      </c>
      <c r="J1454" s="0" t="s">
        <v>39</v>
      </c>
      <c r="K1454" s="0" t="s">
        <v>48</v>
      </c>
      <c r="L1454" s="0" t="s">
        <v>49</v>
      </c>
      <c r="M1454" s="0" t="s">
        <v>140</v>
      </c>
      <c r="N1454" s="0" t="n">
        <v>1233</v>
      </c>
      <c r="O1454" s="10" t="n">
        <v>0.916131582343951</v>
      </c>
      <c r="P1454" s="10" t="n">
        <v>0.337768794968724</v>
      </c>
      <c r="Q1454" s="0" t="str">
        <f aca="false">SUBSTITUTE(SUBSTITUTE($I1454,CHAR(61),""),CHAR(34),"")</f>
        <v>15-24</v>
      </c>
      <c r="R1454" s="0" t="str">
        <f aca="false">IF($D1454&lt;&gt;"","["&amp;$E1454&amp;"]"&amp;"|"&amp;$Q1454&amp;"|"&amp;$K1454&amp;"|"&amp;$G1454&amp;"|"&amp;IF($G1454="TX_CURR_SUBNAT.R","CY2022Q4",$M1454),"")</f>
        <v>[U8c0so51kT6]|15-24|Male|PLHIV_Residents.T_1|CY2023Q3</v>
      </c>
    </row>
    <row r="1455" customFormat="false" ht="15" hidden="false" customHeight="false" outlineLevel="0" collapsed="false">
      <c r="D1455" s="0" t="s">
        <v>111</v>
      </c>
      <c r="E1455" s="0" t="s">
        <v>112</v>
      </c>
      <c r="F1455" s="0" t="s">
        <v>113</v>
      </c>
      <c r="G1455" s="0" t="s">
        <v>143</v>
      </c>
      <c r="H1455" s="0" t="s">
        <v>144</v>
      </c>
      <c r="I1455" s="0" t="s">
        <v>41</v>
      </c>
      <c r="J1455" s="0" t="s">
        <v>42</v>
      </c>
      <c r="K1455" s="0" t="s">
        <v>48</v>
      </c>
      <c r="L1455" s="0" t="s">
        <v>49</v>
      </c>
      <c r="M1455" s="0" t="s">
        <v>140</v>
      </c>
      <c r="N1455" s="0" t="n">
        <v>1119</v>
      </c>
      <c r="O1455" s="10" t="n">
        <v>0.217364385491237</v>
      </c>
      <c r="P1455" s="10" t="n">
        <v>0.337768794968724</v>
      </c>
      <c r="Q1455" s="0" t="str">
        <f aca="false">SUBSTITUTE(SUBSTITUTE($I1455,CHAR(61),""),CHAR(34),"")</f>
        <v>25-34</v>
      </c>
      <c r="R1455" s="0" t="str">
        <f aca="false">IF($D1455&lt;&gt;"","["&amp;$E1455&amp;"]"&amp;"|"&amp;$Q1455&amp;"|"&amp;$K1455&amp;"|"&amp;$G1455&amp;"|"&amp;IF($G1455="TX_CURR_SUBNAT.R","CY2022Q4",$M1455),"")</f>
        <v>[U8c0so51kT6]|25-34|Male|PLHIV_Residents.T_1|CY2023Q3</v>
      </c>
    </row>
    <row r="1456" customFormat="false" ht="15" hidden="false" customHeight="false" outlineLevel="0" collapsed="false">
      <c r="D1456" s="0" t="s">
        <v>111</v>
      </c>
      <c r="E1456" s="0" t="s">
        <v>112</v>
      </c>
      <c r="F1456" s="0" t="s">
        <v>113</v>
      </c>
      <c r="G1456" s="0" t="s">
        <v>143</v>
      </c>
      <c r="H1456" s="0" t="s">
        <v>144</v>
      </c>
      <c r="I1456" s="0" t="s">
        <v>43</v>
      </c>
      <c r="J1456" s="0" t="s">
        <v>44</v>
      </c>
      <c r="K1456" s="0" t="s">
        <v>48</v>
      </c>
      <c r="L1456" s="0" t="s">
        <v>49</v>
      </c>
      <c r="M1456" s="0" t="s">
        <v>140</v>
      </c>
      <c r="N1456" s="0" t="n">
        <v>1228</v>
      </c>
      <c r="O1456" s="10" t="n">
        <v>0.185069226659834</v>
      </c>
      <c r="P1456" s="10" t="n">
        <v>0.337768794968724</v>
      </c>
      <c r="Q1456" s="0" t="str">
        <f aca="false">SUBSTITUTE(SUBSTITUTE($I1456,CHAR(61),""),CHAR(34),"")</f>
        <v>35-49</v>
      </c>
      <c r="R1456" s="0" t="str">
        <f aca="false">IF($D1456&lt;&gt;"","["&amp;$E1456&amp;"]"&amp;"|"&amp;$Q1456&amp;"|"&amp;$K1456&amp;"|"&amp;$G1456&amp;"|"&amp;IF($G1456="TX_CURR_SUBNAT.R","CY2022Q4",$M1456),"")</f>
        <v>[U8c0so51kT6]|35-49|Male|PLHIV_Residents.T_1|CY2023Q3</v>
      </c>
    </row>
    <row r="1457" customFormat="false" ht="15" hidden="false" customHeight="false" outlineLevel="0" collapsed="false">
      <c r="D1457" s="0" t="s">
        <v>111</v>
      </c>
      <c r="E1457" s="0" t="s">
        <v>112</v>
      </c>
      <c r="F1457" s="0" t="s">
        <v>113</v>
      </c>
      <c r="G1457" s="0" t="s">
        <v>143</v>
      </c>
      <c r="H1457" s="0" t="s">
        <v>144</v>
      </c>
      <c r="I1457" s="0" t="s">
        <v>45</v>
      </c>
      <c r="J1457" s="0" t="s">
        <v>46</v>
      </c>
      <c r="K1457" s="0" t="s">
        <v>48</v>
      </c>
      <c r="L1457" s="0" t="s">
        <v>49</v>
      </c>
      <c r="M1457" s="0" t="s">
        <v>140</v>
      </c>
      <c r="N1457" s="0" t="n">
        <v>1523</v>
      </c>
      <c r="O1457" s="10" t="n">
        <v>0.116465563885868</v>
      </c>
      <c r="P1457" s="10" t="n">
        <v>0.337768794968724</v>
      </c>
      <c r="Q1457" s="0" t="str">
        <f aca="false">SUBSTITUTE(SUBSTITUTE($I1457,CHAR(61),""),CHAR(34),"")</f>
        <v>50+</v>
      </c>
      <c r="R1457" s="0" t="str">
        <f aca="false">IF($D1457&lt;&gt;"","["&amp;$E1457&amp;"]"&amp;"|"&amp;$Q1457&amp;"|"&amp;$K1457&amp;"|"&amp;$G1457&amp;"|"&amp;IF($G1457="TX_CURR_SUBNAT.R","CY2022Q4",$M1457),"")</f>
        <v>[U8c0so51kT6]|50+|Male|PLHIV_Residents.T_1|CY2023Q3</v>
      </c>
    </row>
    <row r="1458" customFormat="false" ht="15" hidden="false" customHeight="false" outlineLevel="0" collapsed="false">
      <c r="D1458" s="0" t="s">
        <v>114</v>
      </c>
      <c r="E1458" s="0" t="s">
        <v>115</v>
      </c>
      <c r="F1458" s="0" t="s">
        <v>116</v>
      </c>
      <c r="G1458" s="0" t="s">
        <v>143</v>
      </c>
      <c r="H1458" s="0" t="s">
        <v>144</v>
      </c>
      <c r="I1458" s="0" t="s">
        <v>28</v>
      </c>
      <c r="J1458" s="0" t="s">
        <v>29</v>
      </c>
      <c r="K1458" s="0" t="s">
        <v>30</v>
      </c>
      <c r="L1458" s="0" t="s">
        <v>31</v>
      </c>
      <c r="M1458" s="0" t="s">
        <v>140</v>
      </c>
      <c r="N1458" s="0" t="n">
        <v>1683</v>
      </c>
      <c r="O1458" s="10" t="n">
        <v>0.163604957982898</v>
      </c>
      <c r="P1458" s="10" t="n">
        <v>0.298559809103608</v>
      </c>
      <c r="Q1458" s="0" t="str">
        <f aca="false">SUBSTITUTE(SUBSTITUTE($I1458,CHAR(61),""),CHAR(34),"")</f>
        <v>&lt;01</v>
      </c>
      <c r="R1458" s="0" t="str">
        <f aca="false">IF($D1458&lt;&gt;"","["&amp;$E1458&amp;"]"&amp;"|"&amp;$Q1458&amp;"|"&amp;$K1458&amp;"|"&amp;$G1458&amp;"|"&amp;IF($G1458="TX_CURR_SUBNAT.R","CY2022Q4",$M1458),"")</f>
        <v>[rpw540fmNUz]|&lt;01|Female|PLHIV_Residents.T_1|CY2023Q3</v>
      </c>
    </row>
    <row r="1459" customFormat="false" ht="15" hidden="false" customHeight="false" outlineLevel="0" collapsed="false">
      <c r="D1459" s="0" t="s">
        <v>114</v>
      </c>
      <c r="E1459" s="0" t="s">
        <v>115</v>
      </c>
      <c r="F1459" s="0" t="s">
        <v>116</v>
      </c>
      <c r="G1459" s="0" t="s">
        <v>143</v>
      </c>
      <c r="H1459" s="0" t="s">
        <v>144</v>
      </c>
      <c r="I1459" s="0" t="s">
        <v>33</v>
      </c>
      <c r="J1459" s="0" t="s">
        <v>34</v>
      </c>
      <c r="K1459" s="0" t="s">
        <v>30</v>
      </c>
      <c r="L1459" s="0" t="s">
        <v>31</v>
      </c>
      <c r="M1459" s="0" t="s">
        <v>140</v>
      </c>
      <c r="N1459" s="0" t="n">
        <v>624</v>
      </c>
      <c r="O1459" s="10" t="n">
        <v>0.43890755623579</v>
      </c>
      <c r="P1459" s="10" t="n">
        <v>0.298559809103608</v>
      </c>
      <c r="Q1459" s="0" t="str">
        <f aca="false">SUBSTITUTE(SUBSTITUTE($I1459,CHAR(61),""),CHAR(34),"")</f>
        <v>01-09</v>
      </c>
      <c r="R1459" s="0" t="str">
        <f aca="false">IF($D1459&lt;&gt;"","["&amp;$E1459&amp;"]"&amp;"|"&amp;$Q1459&amp;"|"&amp;$K1459&amp;"|"&amp;$G1459&amp;"|"&amp;IF($G1459="TX_CURR_SUBNAT.R","CY2022Q4",$M1459),"")</f>
        <v>[rpw540fmNUz]|01-09|Female|PLHIV_Residents.T_1|CY2023Q3</v>
      </c>
    </row>
    <row r="1460" customFormat="false" ht="15" hidden="false" customHeight="false" outlineLevel="0" collapsed="false">
      <c r="D1460" s="0" t="s">
        <v>114</v>
      </c>
      <c r="E1460" s="0" t="s">
        <v>115</v>
      </c>
      <c r="F1460" s="0" t="s">
        <v>116</v>
      </c>
      <c r="G1460" s="0" t="s">
        <v>143</v>
      </c>
      <c r="H1460" s="0" t="s">
        <v>144</v>
      </c>
      <c r="I1460" s="0" t="s">
        <v>36</v>
      </c>
      <c r="J1460" s="0" t="s">
        <v>37</v>
      </c>
      <c r="K1460" s="0" t="s">
        <v>30</v>
      </c>
      <c r="L1460" s="0" t="s">
        <v>31</v>
      </c>
      <c r="M1460" s="0" t="s">
        <v>140</v>
      </c>
      <c r="N1460" s="0" t="n">
        <v>1647</v>
      </c>
      <c r="O1460" s="10" t="n">
        <v>0.150371443945915</v>
      </c>
      <c r="P1460" s="10" t="n">
        <v>0.298559809103608</v>
      </c>
      <c r="Q1460" s="0" t="str">
        <f aca="false">SUBSTITUTE(SUBSTITUTE($I1460,CHAR(61),""),CHAR(34),"")</f>
        <v>10-14</v>
      </c>
      <c r="R1460" s="0" t="str">
        <f aca="false">IF($D1460&lt;&gt;"","["&amp;$E1460&amp;"]"&amp;"|"&amp;$Q1460&amp;"|"&amp;$K1460&amp;"|"&amp;$G1460&amp;"|"&amp;IF($G1460="TX_CURR_SUBNAT.R","CY2022Q4",$M1460),"")</f>
        <v>[rpw540fmNUz]|10-14|Female|PLHIV_Residents.T_1|CY2023Q3</v>
      </c>
    </row>
    <row r="1461" customFormat="false" ht="15" hidden="false" customHeight="false" outlineLevel="0" collapsed="false">
      <c r="D1461" s="0" t="s">
        <v>114</v>
      </c>
      <c r="E1461" s="0" t="s">
        <v>115</v>
      </c>
      <c r="F1461" s="0" t="s">
        <v>116</v>
      </c>
      <c r="G1461" s="0" t="s">
        <v>143</v>
      </c>
      <c r="H1461" s="0" t="s">
        <v>144</v>
      </c>
      <c r="I1461" s="0" t="s">
        <v>38</v>
      </c>
      <c r="J1461" s="0" t="s">
        <v>39</v>
      </c>
      <c r="K1461" s="0" t="s">
        <v>30</v>
      </c>
      <c r="L1461" s="0" t="s">
        <v>31</v>
      </c>
      <c r="M1461" s="0" t="s">
        <v>140</v>
      </c>
      <c r="N1461" s="0" t="n">
        <v>1059</v>
      </c>
      <c r="O1461" s="10" t="n">
        <v>0.534672415582463</v>
      </c>
      <c r="P1461" s="10" t="n">
        <v>0.298559809103608</v>
      </c>
      <c r="Q1461" s="0" t="str">
        <f aca="false">SUBSTITUTE(SUBSTITUTE($I1461,CHAR(61),""),CHAR(34),"")</f>
        <v>15-24</v>
      </c>
      <c r="R1461" s="0" t="str">
        <f aca="false">IF($D1461&lt;&gt;"","["&amp;$E1461&amp;"]"&amp;"|"&amp;$Q1461&amp;"|"&amp;$K1461&amp;"|"&amp;$G1461&amp;"|"&amp;IF($G1461="TX_CURR_SUBNAT.R","CY2022Q4",$M1461),"")</f>
        <v>[rpw540fmNUz]|15-24|Female|PLHIV_Residents.T_1|CY2023Q3</v>
      </c>
    </row>
    <row r="1462" customFormat="false" ht="15" hidden="false" customHeight="false" outlineLevel="0" collapsed="false">
      <c r="D1462" s="0" t="s">
        <v>114</v>
      </c>
      <c r="E1462" s="0" t="s">
        <v>115</v>
      </c>
      <c r="F1462" s="0" t="s">
        <v>116</v>
      </c>
      <c r="G1462" s="0" t="s">
        <v>143</v>
      </c>
      <c r="H1462" s="0" t="s">
        <v>144</v>
      </c>
      <c r="I1462" s="0" t="s">
        <v>41</v>
      </c>
      <c r="J1462" s="0" t="s">
        <v>42</v>
      </c>
      <c r="K1462" s="0" t="s">
        <v>30</v>
      </c>
      <c r="L1462" s="0" t="s">
        <v>31</v>
      </c>
      <c r="M1462" s="0" t="s">
        <v>140</v>
      </c>
      <c r="N1462" s="0" t="n">
        <v>1199</v>
      </c>
      <c r="O1462" s="10" t="n">
        <v>0.307149423286319</v>
      </c>
      <c r="P1462" s="10" t="n">
        <v>0.298559809103608</v>
      </c>
      <c r="Q1462" s="0" t="str">
        <f aca="false">SUBSTITUTE(SUBSTITUTE($I1462,CHAR(61),""),CHAR(34),"")</f>
        <v>25-34</v>
      </c>
      <c r="R1462" s="0" t="str">
        <f aca="false">IF($D1462&lt;&gt;"","["&amp;$E1462&amp;"]"&amp;"|"&amp;$Q1462&amp;"|"&amp;$K1462&amp;"|"&amp;$G1462&amp;"|"&amp;IF($G1462="TX_CURR_SUBNAT.R","CY2022Q4",$M1462),"")</f>
        <v>[rpw540fmNUz]|25-34|Female|PLHIV_Residents.T_1|CY2023Q3</v>
      </c>
    </row>
    <row r="1463" customFormat="false" ht="15" hidden="false" customHeight="false" outlineLevel="0" collapsed="false">
      <c r="D1463" s="0" t="s">
        <v>114</v>
      </c>
      <c r="E1463" s="0" t="s">
        <v>115</v>
      </c>
      <c r="F1463" s="0" t="s">
        <v>116</v>
      </c>
      <c r="G1463" s="0" t="s">
        <v>143</v>
      </c>
      <c r="H1463" s="0" t="s">
        <v>144</v>
      </c>
      <c r="I1463" s="0" t="s">
        <v>43</v>
      </c>
      <c r="J1463" s="0" t="s">
        <v>44</v>
      </c>
      <c r="K1463" s="0" t="s">
        <v>30</v>
      </c>
      <c r="L1463" s="0" t="s">
        <v>31</v>
      </c>
      <c r="M1463" s="0" t="s">
        <v>140</v>
      </c>
      <c r="N1463" s="0" t="n">
        <v>1355</v>
      </c>
      <c r="O1463" s="10" t="n">
        <v>0.878371477127075</v>
      </c>
      <c r="P1463" s="10" t="n">
        <v>0.298559809103608</v>
      </c>
      <c r="Q1463" s="0" t="str">
        <f aca="false">SUBSTITUTE(SUBSTITUTE($I1463,CHAR(61),""),CHAR(34),"")</f>
        <v>35-49</v>
      </c>
      <c r="R1463" s="0" t="str">
        <f aca="false">IF($D1463&lt;&gt;"","["&amp;$E1463&amp;"]"&amp;"|"&amp;$Q1463&amp;"|"&amp;$K1463&amp;"|"&amp;$G1463&amp;"|"&amp;IF($G1463="TX_CURR_SUBNAT.R","CY2022Q4",$M1463),"")</f>
        <v>[rpw540fmNUz]|35-49|Female|PLHIV_Residents.T_1|CY2023Q3</v>
      </c>
    </row>
    <row r="1464" customFormat="false" ht="15" hidden="false" customHeight="false" outlineLevel="0" collapsed="false">
      <c r="D1464" s="0" t="s">
        <v>114</v>
      </c>
      <c r="E1464" s="0" t="s">
        <v>115</v>
      </c>
      <c r="F1464" s="0" t="s">
        <v>116</v>
      </c>
      <c r="G1464" s="0" t="s">
        <v>143</v>
      </c>
      <c r="H1464" s="0" t="s">
        <v>144</v>
      </c>
      <c r="I1464" s="0" t="s">
        <v>45</v>
      </c>
      <c r="J1464" s="0" t="s">
        <v>46</v>
      </c>
      <c r="K1464" s="0" t="s">
        <v>30</v>
      </c>
      <c r="L1464" s="0" t="s">
        <v>31</v>
      </c>
      <c r="M1464" s="0" t="s">
        <v>140</v>
      </c>
      <c r="N1464" s="0" t="n">
        <v>1867</v>
      </c>
      <c r="O1464" s="10" t="n">
        <v>0.150480751413852</v>
      </c>
      <c r="P1464" s="10" t="n">
        <v>0.298559809103608</v>
      </c>
      <c r="Q1464" s="0" t="str">
        <f aca="false">SUBSTITUTE(SUBSTITUTE($I1464,CHAR(61),""),CHAR(34),"")</f>
        <v>50+</v>
      </c>
      <c r="R1464" s="0" t="str">
        <f aca="false">IF($D1464&lt;&gt;"","["&amp;$E1464&amp;"]"&amp;"|"&amp;$Q1464&amp;"|"&amp;$K1464&amp;"|"&amp;$G1464&amp;"|"&amp;IF($G1464="TX_CURR_SUBNAT.R","CY2022Q4",$M1464),"")</f>
        <v>[rpw540fmNUz]|50+|Female|PLHIV_Residents.T_1|CY2023Q3</v>
      </c>
    </row>
    <row r="1465" customFormat="false" ht="15" hidden="false" customHeight="false" outlineLevel="0" collapsed="false">
      <c r="D1465" s="0" t="s">
        <v>114</v>
      </c>
      <c r="E1465" s="0" t="s">
        <v>115</v>
      </c>
      <c r="F1465" s="0" t="s">
        <v>116</v>
      </c>
      <c r="G1465" s="0" t="s">
        <v>143</v>
      </c>
      <c r="H1465" s="0" t="s">
        <v>144</v>
      </c>
      <c r="I1465" s="0" t="s">
        <v>28</v>
      </c>
      <c r="J1465" s="0" t="s">
        <v>29</v>
      </c>
      <c r="K1465" s="0" t="s">
        <v>48</v>
      </c>
      <c r="L1465" s="0" t="s">
        <v>49</v>
      </c>
      <c r="M1465" s="0" t="s">
        <v>140</v>
      </c>
      <c r="N1465" s="0" t="n">
        <v>1994</v>
      </c>
      <c r="O1465" s="10" t="n">
        <v>0.295933772111312</v>
      </c>
      <c r="P1465" s="10" t="n">
        <v>0.298559809103608</v>
      </c>
      <c r="Q1465" s="0" t="str">
        <f aca="false">SUBSTITUTE(SUBSTITUTE($I1465,CHAR(61),""),CHAR(34),"")</f>
        <v>&lt;01</v>
      </c>
      <c r="R1465" s="0" t="str">
        <f aca="false">IF($D1465&lt;&gt;"","["&amp;$E1465&amp;"]"&amp;"|"&amp;$Q1465&amp;"|"&amp;$K1465&amp;"|"&amp;$G1465&amp;"|"&amp;IF($G1465="TX_CURR_SUBNAT.R","CY2022Q4",$M1465),"")</f>
        <v>[rpw540fmNUz]|&lt;01|Male|PLHIV_Residents.T_1|CY2023Q3</v>
      </c>
    </row>
    <row r="1466" customFormat="false" ht="15" hidden="false" customHeight="false" outlineLevel="0" collapsed="false">
      <c r="D1466" s="0" t="s">
        <v>114</v>
      </c>
      <c r="E1466" s="0" t="s">
        <v>115</v>
      </c>
      <c r="F1466" s="0" t="s">
        <v>116</v>
      </c>
      <c r="G1466" s="0" t="s">
        <v>143</v>
      </c>
      <c r="H1466" s="0" t="s">
        <v>144</v>
      </c>
      <c r="I1466" s="0" t="s">
        <v>33</v>
      </c>
      <c r="J1466" s="0" t="s">
        <v>34</v>
      </c>
      <c r="K1466" s="0" t="s">
        <v>48</v>
      </c>
      <c r="L1466" s="0" t="s">
        <v>49</v>
      </c>
      <c r="M1466" s="0" t="s">
        <v>140</v>
      </c>
      <c r="N1466" s="0" t="n">
        <v>811</v>
      </c>
      <c r="O1466" s="10" t="n">
        <v>0.261478752130643</v>
      </c>
      <c r="P1466" s="10" t="n">
        <v>0.298559809103608</v>
      </c>
      <c r="Q1466" s="0" t="str">
        <f aca="false">SUBSTITUTE(SUBSTITUTE($I1466,CHAR(61),""),CHAR(34),"")</f>
        <v>01-09</v>
      </c>
      <c r="R1466" s="0" t="str">
        <f aca="false">IF($D1466&lt;&gt;"","["&amp;$E1466&amp;"]"&amp;"|"&amp;$Q1466&amp;"|"&amp;$K1466&amp;"|"&amp;$G1466&amp;"|"&amp;IF($G1466="TX_CURR_SUBNAT.R","CY2022Q4",$M1466),"")</f>
        <v>[rpw540fmNUz]|01-09|Male|PLHIV_Residents.T_1|CY2023Q3</v>
      </c>
    </row>
    <row r="1467" customFormat="false" ht="15" hidden="false" customHeight="false" outlineLevel="0" collapsed="false">
      <c r="D1467" s="0" t="s">
        <v>114</v>
      </c>
      <c r="E1467" s="0" t="s">
        <v>115</v>
      </c>
      <c r="F1467" s="0" t="s">
        <v>116</v>
      </c>
      <c r="G1467" s="0" t="s">
        <v>143</v>
      </c>
      <c r="H1467" s="0" t="s">
        <v>144</v>
      </c>
      <c r="I1467" s="0" t="s">
        <v>36</v>
      </c>
      <c r="J1467" s="0" t="s">
        <v>37</v>
      </c>
      <c r="K1467" s="0" t="s">
        <v>48</v>
      </c>
      <c r="L1467" s="0" t="s">
        <v>49</v>
      </c>
      <c r="M1467" s="0" t="s">
        <v>140</v>
      </c>
      <c r="N1467" s="0" t="n">
        <v>777</v>
      </c>
      <c r="O1467" s="10" t="n">
        <v>0.374892164953053</v>
      </c>
      <c r="P1467" s="10" t="n">
        <v>0.298559809103608</v>
      </c>
      <c r="Q1467" s="0" t="str">
        <f aca="false">SUBSTITUTE(SUBSTITUTE($I1467,CHAR(61),""),CHAR(34),"")</f>
        <v>10-14</v>
      </c>
      <c r="R1467" s="0" t="str">
        <f aca="false">IF($D1467&lt;&gt;"","["&amp;$E1467&amp;"]"&amp;"|"&amp;$Q1467&amp;"|"&amp;$K1467&amp;"|"&amp;$G1467&amp;"|"&amp;IF($G1467="TX_CURR_SUBNAT.R","CY2022Q4",$M1467),"")</f>
        <v>[rpw540fmNUz]|10-14|Male|PLHIV_Residents.T_1|CY2023Q3</v>
      </c>
    </row>
    <row r="1468" customFormat="false" ht="15" hidden="false" customHeight="false" outlineLevel="0" collapsed="false">
      <c r="D1468" s="0" t="s">
        <v>114</v>
      </c>
      <c r="E1468" s="0" t="s">
        <v>115</v>
      </c>
      <c r="F1468" s="0" t="s">
        <v>116</v>
      </c>
      <c r="G1468" s="0" t="s">
        <v>143</v>
      </c>
      <c r="H1468" s="0" t="s">
        <v>144</v>
      </c>
      <c r="I1468" s="0" t="s">
        <v>38</v>
      </c>
      <c r="J1468" s="0" t="s">
        <v>39</v>
      </c>
      <c r="K1468" s="0" t="s">
        <v>48</v>
      </c>
      <c r="L1468" s="0" t="s">
        <v>49</v>
      </c>
      <c r="M1468" s="0" t="s">
        <v>140</v>
      </c>
      <c r="N1468" s="0" t="n">
        <v>1937</v>
      </c>
      <c r="O1468" s="10" t="n">
        <v>0.616705974331126</v>
      </c>
      <c r="P1468" s="10" t="n">
        <v>0.298559809103608</v>
      </c>
      <c r="Q1468" s="0" t="str">
        <f aca="false">SUBSTITUTE(SUBSTITUTE($I1468,CHAR(61),""),CHAR(34),"")</f>
        <v>15-24</v>
      </c>
      <c r="R1468" s="0" t="str">
        <f aca="false">IF($D1468&lt;&gt;"","["&amp;$E1468&amp;"]"&amp;"|"&amp;$Q1468&amp;"|"&amp;$K1468&amp;"|"&amp;$G1468&amp;"|"&amp;IF($G1468="TX_CURR_SUBNAT.R","CY2022Q4",$M1468),"")</f>
        <v>[rpw540fmNUz]|15-24|Male|PLHIV_Residents.T_1|CY2023Q3</v>
      </c>
    </row>
    <row r="1469" customFormat="false" ht="15" hidden="false" customHeight="false" outlineLevel="0" collapsed="false">
      <c r="D1469" s="0" t="s">
        <v>114</v>
      </c>
      <c r="E1469" s="0" t="s">
        <v>115</v>
      </c>
      <c r="F1469" s="0" t="s">
        <v>116</v>
      </c>
      <c r="G1469" s="0" t="s">
        <v>143</v>
      </c>
      <c r="H1469" s="0" t="s">
        <v>144</v>
      </c>
      <c r="I1469" s="0" t="s">
        <v>41</v>
      </c>
      <c r="J1469" s="0" t="s">
        <v>42</v>
      </c>
      <c r="K1469" s="0" t="s">
        <v>48</v>
      </c>
      <c r="L1469" s="0" t="s">
        <v>49</v>
      </c>
      <c r="M1469" s="0" t="s">
        <v>140</v>
      </c>
      <c r="N1469" s="0" t="n">
        <v>1010</v>
      </c>
      <c r="O1469" s="10" t="n">
        <v>0.715272236149758</v>
      </c>
      <c r="P1469" s="10" t="n">
        <v>0.298559809103608</v>
      </c>
      <c r="Q1469" s="0" t="str">
        <f aca="false">SUBSTITUTE(SUBSTITUTE($I1469,CHAR(61),""),CHAR(34),"")</f>
        <v>25-34</v>
      </c>
      <c r="R1469" s="0" t="str">
        <f aca="false">IF($D1469&lt;&gt;"","["&amp;$E1469&amp;"]"&amp;"|"&amp;$Q1469&amp;"|"&amp;$K1469&amp;"|"&amp;$G1469&amp;"|"&amp;IF($G1469="TX_CURR_SUBNAT.R","CY2022Q4",$M1469),"")</f>
        <v>[rpw540fmNUz]|25-34|Male|PLHIV_Residents.T_1|CY2023Q3</v>
      </c>
    </row>
    <row r="1470" customFormat="false" ht="15" hidden="false" customHeight="false" outlineLevel="0" collapsed="false">
      <c r="D1470" s="0" t="s">
        <v>114</v>
      </c>
      <c r="E1470" s="0" t="s">
        <v>115</v>
      </c>
      <c r="F1470" s="0" t="s">
        <v>116</v>
      </c>
      <c r="G1470" s="0" t="s">
        <v>143</v>
      </c>
      <c r="H1470" s="0" t="s">
        <v>144</v>
      </c>
      <c r="I1470" s="0" t="s">
        <v>43</v>
      </c>
      <c r="J1470" s="0" t="s">
        <v>44</v>
      </c>
      <c r="K1470" s="0" t="s">
        <v>48</v>
      </c>
      <c r="L1470" s="0" t="s">
        <v>49</v>
      </c>
      <c r="M1470" s="0" t="s">
        <v>140</v>
      </c>
      <c r="N1470" s="0" t="n">
        <v>1261</v>
      </c>
      <c r="O1470" s="10" t="n">
        <v>0.973364928970113</v>
      </c>
      <c r="P1470" s="10" t="n">
        <v>0.298559809103608</v>
      </c>
      <c r="Q1470" s="0" t="str">
        <f aca="false">SUBSTITUTE(SUBSTITUTE($I1470,CHAR(61),""),CHAR(34),"")</f>
        <v>35-49</v>
      </c>
      <c r="R1470" s="0" t="str">
        <f aca="false">IF($D1470&lt;&gt;"","["&amp;$E1470&amp;"]"&amp;"|"&amp;$Q1470&amp;"|"&amp;$K1470&amp;"|"&amp;$G1470&amp;"|"&amp;IF($G1470="TX_CURR_SUBNAT.R","CY2022Q4",$M1470),"")</f>
        <v>[rpw540fmNUz]|35-49|Male|PLHIV_Residents.T_1|CY2023Q3</v>
      </c>
    </row>
    <row r="1471" customFormat="false" ht="15" hidden="false" customHeight="false" outlineLevel="0" collapsed="false">
      <c r="D1471" s="0" t="s">
        <v>114</v>
      </c>
      <c r="E1471" s="0" t="s">
        <v>115</v>
      </c>
      <c r="F1471" s="0" t="s">
        <v>116</v>
      </c>
      <c r="G1471" s="0" t="s">
        <v>143</v>
      </c>
      <c r="H1471" s="0" t="s">
        <v>144</v>
      </c>
      <c r="I1471" s="0" t="s">
        <v>45</v>
      </c>
      <c r="J1471" s="0" t="s">
        <v>46</v>
      </c>
      <c r="K1471" s="0" t="s">
        <v>48</v>
      </c>
      <c r="L1471" s="0" t="s">
        <v>49</v>
      </c>
      <c r="M1471" s="0" t="s">
        <v>140</v>
      </c>
      <c r="N1471" s="0" t="n">
        <v>931</v>
      </c>
      <c r="O1471" s="10" t="n">
        <v>0.893612087704241</v>
      </c>
      <c r="P1471" s="10" t="n">
        <v>0.298559809103608</v>
      </c>
      <c r="Q1471" s="0" t="str">
        <f aca="false">SUBSTITUTE(SUBSTITUTE($I1471,CHAR(61),""),CHAR(34),"")</f>
        <v>50+</v>
      </c>
      <c r="R1471" s="0" t="str">
        <f aca="false">IF($D1471&lt;&gt;"","["&amp;$E1471&amp;"]"&amp;"|"&amp;$Q1471&amp;"|"&amp;$K1471&amp;"|"&amp;$G1471&amp;"|"&amp;IF($G1471="TX_CURR_SUBNAT.R","CY2022Q4",$M1471),"")</f>
        <v>[rpw540fmNUz]|50+|Male|PLHIV_Residents.T_1|CY2023Q3</v>
      </c>
    </row>
    <row r="1472" customFormat="false" ht="15" hidden="false" customHeight="false" outlineLevel="0" collapsed="false">
      <c r="D1472" s="0" t="s">
        <v>117</v>
      </c>
      <c r="E1472" s="0" t="s">
        <v>118</v>
      </c>
      <c r="F1472" s="0" t="s">
        <v>119</v>
      </c>
      <c r="G1472" s="0" t="s">
        <v>143</v>
      </c>
      <c r="H1472" s="0" t="s">
        <v>144</v>
      </c>
      <c r="I1472" s="0" t="s">
        <v>28</v>
      </c>
      <c r="J1472" s="0" t="s">
        <v>29</v>
      </c>
      <c r="K1472" s="0" t="s">
        <v>30</v>
      </c>
      <c r="L1472" s="0" t="s">
        <v>31</v>
      </c>
      <c r="M1472" s="0" t="s">
        <v>140</v>
      </c>
      <c r="N1472" s="0" t="n">
        <v>822</v>
      </c>
      <c r="O1472" s="10" t="n">
        <v>0.428540003718808</v>
      </c>
      <c r="P1472" s="10" t="n">
        <v>0.206259709550068</v>
      </c>
      <c r="Q1472" s="0" t="str">
        <f aca="false">SUBSTITUTE(SUBSTITUTE($I1472,CHAR(61),""),CHAR(34),"")</f>
        <v>&lt;01</v>
      </c>
      <c r="R1472" s="0" t="str">
        <f aca="false">IF($D1472&lt;&gt;"","["&amp;$E1472&amp;"]"&amp;"|"&amp;$Q1472&amp;"|"&amp;$K1472&amp;"|"&amp;$G1472&amp;"|"&amp;IF($G1472="TX_CURR_SUBNAT.R","CY2022Q4",$M1472),"")</f>
        <v>[lPTyjLi4w3d]|&lt;01|Female|PLHIV_Residents.T_1|CY2023Q3</v>
      </c>
    </row>
    <row r="1473" customFormat="false" ht="15" hidden="false" customHeight="false" outlineLevel="0" collapsed="false">
      <c r="D1473" s="0" t="s">
        <v>117</v>
      </c>
      <c r="E1473" s="0" t="s">
        <v>118</v>
      </c>
      <c r="F1473" s="0" t="s">
        <v>119</v>
      </c>
      <c r="G1473" s="0" t="s">
        <v>143</v>
      </c>
      <c r="H1473" s="0" t="s">
        <v>144</v>
      </c>
      <c r="I1473" s="0" t="s">
        <v>33</v>
      </c>
      <c r="J1473" s="0" t="s">
        <v>34</v>
      </c>
      <c r="K1473" s="0" t="s">
        <v>30</v>
      </c>
      <c r="L1473" s="0" t="s">
        <v>31</v>
      </c>
      <c r="M1473" s="0" t="s">
        <v>140</v>
      </c>
      <c r="N1473" s="0" t="n">
        <v>1102</v>
      </c>
      <c r="O1473" s="10" t="n">
        <v>0.484103281516582</v>
      </c>
      <c r="P1473" s="10" t="n">
        <v>0.206259709550068</v>
      </c>
      <c r="Q1473" s="0" t="str">
        <f aca="false">SUBSTITUTE(SUBSTITUTE($I1473,CHAR(61),""),CHAR(34),"")</f>
        <v>01-09</v>
      </c>
      <c r="R1473" s="0" t="str">
        <f aca="false">IF($D1473&lt;&gt;"","["&amp;$E1473&amp;"]"&amp;"|"&amp;$Q1473&amp;"|"&amp;$K1473&amp;"|"&amp;$G1473&amp;"|"&amp;IF($G1473="TX_CURR_SUBNAT.R","CY2022Q4",$M1473),"")</f>
        <v>[lPTyjLi4w3d]|01-09|Female|PLHIV_Residents.T_1|CY2023Q3</v>
      </c>
    </row>
    <row r="1474" customFormat="false" ht="15" hidden="false" customHeight="false" outlineLevel="0" collapsed="false">
      <c r="D1474" s="0" t="s">
        <v>117</v>
      </c>
      <c r="E1474" s="0" t="s">
        <v>118</v>
      </c>
      <c r="F1474" s="0" t="s">
        <v>119</v>
      </c>
      <c r="G1474" s="0" t="s">
        <v>143</v>
      </c>
      <c r="H1474" s="0" t="s">
        <v>144</v>
      </c>
      <c r="I1474" s="0" t="s">
        <v>36</v>
      </c>
      <c r="J1474" s="0" t="s">
        <v>37</v>
      </c>
      <c r="K1474" s="0" t="s">
        <v>30</v>
      </c>
      <c r="L1474" s="0" t="s">
        <v>31</v>
      </c>
      <c r="M1474" s="0" t="s">
        <v>140</v>
      </c>
      <c r="N1474" s="0" t="n">
        <v>1947</v>
      </c>
      <c r="O1474" s="10" t="n">
        <v>0.487002281704918</v>
      </c>
      <c r="P1474" s="10" t="n">
        <v>0.206259709550068</v>
      </c>
      <c r="Q1474" s="0" t="str">
        <f aca="false">SUBSTITUTE(SUBSTITUTE($I1474,CHAR(61),""),CHAR(34),"")</f>
        <v>10-14</v>
      </c>
      <c r="R1474" s="0" t="str">
        <f aca="false">IF($D1474&lt;&gt;"","["&amp;$E1474&amp;"]"&amp;"|"&amp;$Q1474&amp;"|"&amp;$K1474&amp;"|"&amp;$G1474&amp;"|"&amp;IF($G1474="TX_CURR_SUBNAT.R","CY2022Q4",$M1474),"")</f>
        <v>[lPTyjLi4w3d]|10-14|Female|PLHIV_Residents.T_1|CY2023Q3</v>
      </c>
    </row>
    <row r="1475" customFormat="false" ht="15" hidden="false" customHeight="false" outlineLevel="0" collapsed="false">
      <c r="D1475" s="0" t="s">
        <v>117</v>
      </c>
      <c r="E1475" s="0" t="s">
        <v>118</v>
      </c>
      <c r="F1475" s="0" t="s">
        <v>119</v>
      </c>
      <c r="G1475" s="0" t="s">
        <v>143</v>
      </c>
      <c r="H1475" s="0" t="s">
        <v>144</v>
      </c>
      <c r="I1475" s="0" t="s">
        <v>38</v>
      </c>
      <c r="J1475" s="0" t="s">
        <v>39</v>
      </c>
      <c r="K1475" s="0" t="s">
        <v>30</v>
      </c>
      <c r="L1475" s="0" t="s">
        <v>31</v>
      </c>
      <c r="M1475" s="0" t="s">
        <v>140</v>
      </c>
      <c r="N1475" s="0" t="n">
        <v>997</v>
      </c>
      <c r="O1475" s="10" t="n">
        <v>0.87358442437835</v>
      </c>
      <c r="P1475" s="10" t="n">
        <v>0.206259709550068</v>
      </c>
      <c r="Q1475" s="0" t="str">
        <f aca="false">SUBSTITUTE(SUBSTITUTE($I1475,CHAR(61),""),CHAR(34),"")</f>
        <v>15-24</v>
      </c>
      <c r="R1475" s="0" t="str">
        <f aca="false">IF($D1475&lt;&gt;"","["&amp;$E1475&amp;"]"&amp;"|"&amp;$Q1475&amp;"|"&amp;$K1475&amp;"|"&amp;$G1475&amp;"|"&amp;IF($G1475="TX_CURR_SUBNAT.R","CY2022Q4",$M1475),"")</f>
        <v>[lPTyjLi4w3d]|15-24|Female|PLHIV_Residents.T_1|CY2023Q3</v>
      </c>
    </row>
    <row r="1476" customFormat="false" ht="15" hidden="false" customHeight="false" outlineLevel="0" collapsed="false">
      <c r="D1476" s="0" t="s">
        <v>117</v>
      </c>
      <c r="E1476" s="0" t="s">
        <v>118</v>
      </c>
      <c r="F1476" s="0" t="s">
        <v>119</v>
      </c>
      <c r="G1476" s="0" t="s">
        <v>143</v>
      </c>
      <c r="H1476" s="0" t="s">
        <v>144</v>
      </c>
      <c r="I1476" s="0" t="s">
        <v>41</v>
      </c>
      <c r="J1476" s="0" t="s">
        <v>42</v>
      </c>
      <c r="K1476" s="0" t="s">
        <v>30</v>
      </c>
      <c r="L1476" s="0" t="s">
        <v>31</v>
      </c>
      <c r="M1476" s="0" t="s">
        <v>140</v>
      </c>
      <c r="N1476" s="0" t="n">
        <v>1040</v>
      </c>
      <c r="O1476" s="10" t="n">
        <v>0.985639292979613</v>
      </c>
      <c r="P1476" s="10" t="n">
        <v>0.206259709550068</v>
      </c>
      <c r="Q1476" s="0" t="str">
        <f aca="false">SUBSTITUTE(SUBSTITUTE($I1476,CHAR(61),""),CHAR(34),"")</f>
        <v>25-34</v>
      </c>
      <c r="R1476" s="0" t="str">
        <f aca="false">IF($D1476&lt;&gt;"","["&amp;$E1476&amp;"]"&amp;"|"&amp;$Q1476&amp;"|"&amp;$K1476&amp;"|"&amp;$G1476&amp;"|"&amp;IF($G1476="TX_CURR_SUBNAT.R","CY2022Q4",$M1476),"")</f>
        <v>[lPTyjLi4w3d]|25-34|Female|PLHIV_Residents.T_1|CY2023Q3</v>
      </c>
    </row>
    <row r="1477" customFormat="false" ht="15" hidden="false" customHeight="false" outlineLevel="0" collapsed="false">
      <c r="D1477" s="0" t="s">
        <v>117</v>
      </c>
      <c r="E1477" s="0" t="s">
        <v>118</v>
      </c>
      <c r="F1477" s="0" t="s">
        <v>119</v>
      </c>
      <c r="G1477" s="0" t="s">
        <v>143</v>
      </c>
      <c r="H1477" s="0" t="s">
        <v>144</v>
      </c>
      <c r="I1477" s="0" t="s">
        <v>43</v>
      </c>
      <c r="J1477" s="0" t="s">
        <v>44</v>
      </c>
      <c r="K1477" s="0" t="s">
        <v>30</v>
      </c>
      <c r="L1477" s="0" t="s">
        <v>31</v>
      </c>
      <c r="M1477" s="0" t="s">
        <v>140</v>
      </c>
      <c r="N1477" s="0" t="n">
        <v>1267</v>
      </c>
      <c r="O1477" s="10" t="n">
        <v>0.218596164369956</v>
      </c>
      <c r="P1477" s="10" t="n">
        <v>0.206259709550068</v>
      </c>
      <c r="Q1477" s="0" t="str">
        <f aca="false">SUBSTITUTE(SUBSTITUTE($I1477,CHAR(61),""),CHAR(34),"")</f>
        <v>35-49</v>
      </c>
      <c r="R1477" s="0" t="str">
        <f aca="false">IF($D1477&lt;&gt;"","["&amp;$E1477&amp;"]"&amp;"|"&amp;$Q1477&amp;"|"&amp;$K1477&amp;"|"&amp;$G1477&amp;"|"&amp;IF($G1477="TX_CURR_SUBNAT.R","CY2022Q4",$M1477),"")</f>
        <v>[lPTyjLi4w3d]|35-49|Female|PLHIV_Residents.T_1|CY2023Q3</v>
      </c>
    </row>
    <row r="1478" customFormat="false" ht="15" hidden="false" customHeight="false" outlineLevel="0" collapsed="false">
      <c r="D1478" s="0" t="s">
        <v>117</v>
      </c>
      <c r="E1478" s="0" t="s">
        <v>118</v>
      </c>
      <c r="F1478" s="0" t="s">
        <v>119</v>
      </c>
      <c r="G1478" s="0" t="s">
        <v>143</v>
      </c>
      <c r="H1478" s="0" t="s">
        <v>144</v>
      </c>
      <c r="I1478" s="0" t="s">
        <v>45</v>
      </c>
      <c r="J1478" s="0" t="s">
        <v>46</v>
      </c>
      <c r="K1478" s="0" t="s">
        <v>30</v>
      </c>
      <c r="L1478" s="0" t="s">
        <v>31</v>
      </c>
      <c r="M1478" s="0" t="s">
        <v>140</v>
      </c>
      <c r="N1478" s="0" t="n">
        <v>1310</v>
      </c>
      <c r="O1478" s="10" t="n">
        <v>0.66829630243592</v>
      </c>
      <c r="P1478" s="10" t="n">
        <v>0.206259709550068</v>
      </c>
      <c r="Q1478" s="0" t="str">
        <f aca="false">SUBSTITUTE(SUBSTITUTE($I1478,CHAR(61),""),CHAR(34),"")</f>
        <v>50+</v>
      </c>
      <c r="R1478" s="0" t="str">
        <f aca="false">IF($D1478&lt;&gt;"","["&amp;$E1478&amp;"]"&amp;"|"&amp;$Q1478&amp;"|"&amp;$K1478&amp;"|"&amp;$G1478&amp;"|"&amp;IF($G1478="TX_CURR_SUBNAT.R","CY2022Q4",$M1478),"")</f>
        <v>[lPTyjLi4w3d]|50+|Female|PLHIV_Residents.T_1|CY2023Q3</v>
      </c>
    </row>
    <row r="1479" customFormat="false" ht="15" hidden="false" customHeight="false" outlineLevel="0" collapsed="false">
      <c r="D1479" s="0" t="s">
        <v>117</v>
      </c>
      <c r="E1479" s="0" t="s">
        <v>118</v>
      </c>
      <c r="F1479" s="0" t="s">
        <v>119</v>
      </c>
      <c r="G1479" s="0" t="s">
        <v>143</v>
      </c>
      <c r="H1479" s="0" t="s">
        <v>144</v>
      </c>
      <c r="I1479" s="0" t="s">
        <v>28</v>
      </c>
      <c r="J1479" s="0" t="s">
        <v>29</v>
      </c>
      <c r="K1479" s="0" t="s">
        <v>48</v>
      </c>
      <c r="L1479" s="0" t="s">
        <v>49</v>
      </c>
      <c r="M1479" s="0" t="s">
        <v>140</v>
      </c>
      <c r="N1479" s="0" t="n">
        <v>1706</v>
      </c>
      <c r="O1479" s="10" t="n">
        <v>0.167667903704569</v>
      </c>
      <c r="P1479" s="10" t="n">
        <v>0.206259709550068</v>
      </c>
      <c r="Q1479" s="0" t="str">
        <f aca="false">SUBSTITUTE(SUBSTITUTE($I1479,CHAR(61),""),CHAR(34),"")</f>
        <v>&lt;01</v>
      </c>
      <c r="R1479" s="0" t="str">
        <f aca="false">IF($D1479&lt;&gt;"","["&amp;$E1479&amp;"]"&amp;"|"&amp;$Q1479&amp;"|"&amp;$K1479&amp;"|"&amp;$G1479&amp;"|"&amp;IF($G1479="TX_CURR_SUBNAT.R","CY2022Q4",$M1479),"")</f>
        <v>[lPTyjLi4w3d]|&lt;01|Male|PLHIV_Residents.T_1|CY2023Q3</v>
      </c>
    </row>
    <row r="1480" customFormat="false" ht="15" hidden="false" customHeight="false" outlineLevel="0" collapsed="false">
      <c r="D1480" s="0" t="s">
        <v>117</v>
      </c>
      <c r="E1480" s="0" t="s">
        <v>118</v>
      </c>
      <c r="F1480" s="0" t="s">
        <v>119</v>
      </c>
      <c r="G1480" s="0" t="s">
        <v>143</v>
      </c>
      <c r="H1480" s="0" t="s">
        <v>144</v>
      </c>
      <c r="I1480" s="0" t="s">
        <v>33</v>
      </c>
      <c r="J1480" s="0" t="s">
        <v>34</v>
      </c>
      <c r="K1480" s="0" t="s">
        <v>48</v>
      </c>
      <c r="L1480" s="0" t="s">
        <v>49</v>
      </c>
      <c r="M1480" s="0" t="s">
        <v>140</v>
      </c>
      <c r="N1480" s="0" t="n">
        <v>543</v>
      </c>
      <c r="O1480" s="10" t="n">
        <v>0.037861033109948</v>
      </c>
      <c r="P1480" s="10" t="n">
        <v>0.206259709550068</v>
      </c>
      <c r="Q1480" s="0" t="str">
        <f aca="false">SUBSTITUTE(SUBSTITUTE($I1480,CHAR(61),""),CHAR(34),"")</f>
        <v>01-09</v>
      </c>
      <c r="R1480" s="0" t="str">
        <f aca="false">IF($D1480&lt;&gt;"","["&amp;$E1480&amp;"]"&amp;"|"&amp;$Q1480&amp;"|"&amp;$K1480&amp;"|"&amp;$G1480&amp;"|"&amp;IF($G1480="TX_CURR_SUBNAT.R","CY2022Q4",$M1480),"")</f>
        <v>[lPTyjLi4w3d]|01-09|Male|PLHIV_Residents.T_1|CY2023Q3</v>
      </c>
    </row>
    <row r="1481" customFormat="false" ht="15" hidden="false" customHeight="false" outlineLevel="0" collapsed="false">
      <c r="D1481" s="0" t="s">
        <v>117</v>
      </c>
      <c r="E1481" s="0" t="s">
        <v>118</v>
      </c>
      <c r="F1481" s="0" t="s">
        <v>119</v>
      </c>
      <c r="G1481" s="0" t="s">
        <v>143</v>
      </c>
      <c r="H1481" s="0" t="s">
        <v>144</v>
      </c>
      <c r="I1481" s="0" t="s">
        <v>36</v>
      </c>
      <c r="J1481" s="0" t="s">
        <v>37</v>
      </c>
      <c r="K1481" s="0" t="s">
        <v>48</v>
      </c>
      <c r="L1481" s="0" t="s">
        <v>49</v>
      </c>
      <c r="M1481" s="0" t="s">
        <v>140</v>
      </c>
      <c r="N1481" s="0" t="n">
        <v>1493</v>
      </c>
      <c r="O1481" s="10" t="n">
        <v>0.611259869998321</v>
      </c>
      <c r="P1481" s="10" t="n">
        <v>0.206259709550068</v>
      </c>
      <c r="Q1481" s="0" t="str">
        <f aca="false">SUBSTITUTE(SUBSTITUTE($I1481,CHAR(61),""),CHAR(34),"")</f>
        <v>10-14</v>
      </c>
      <c r="R1481" s="0" t="str">
        <f aca="false">IF($D1481&lt;&gt;"","["&amp;$E1481&amp;"]"&amp;"|"&amp;$Q1481&amp;"|"&amp;$K1481&amp;"|"&amp;$G1481&amp;"|"&amp;IF($G1481="TX_CURR_SUBNAT.R","CY2022Q4",$M1481),"")</f>
        <v>[lPTyjLi4w3d]|10-14|Male|PLHIV_Residents.T_1|CY2023Q3</v>
      </c>
    </row>
    <row r="1482" customFormat="false" ht="15" hidden="false" customHeight="false" outlineLevel="0" collapsed="false">
      <c r="D1482" s="0" t="s">
        <v>117</v>
      </c>
      <c r="E1482" s="0" t="s">
        <v>118</v>
      </c>
      <c r="F1482" s="0" t="s">
        <v>119</v>
      </c>
      <c r="G1482" s="0" t="s">
        <v>143</v>
      </c>
      <c r="H1482" s="0" t="s">
        <v>144</v>
      </c>
      <c r="I1482" s="0" t="s">
        <v>38</v>
      </c>
      <c r="J1482" s="0" t="s">
        <v>39</v>
      </c>
      <c r="K1482" s="0" t="s">
        <v>48</v>
      </c>
      <c r="L1482" s="0" t="s">
        <v>49</v>
      </c>
      <c r="M1482" s="0" t="s">
        <v>140</v>
      </c>
      <c r="N1482" s="0" t="n">
        <v>1799</v>
      </c>
      <c r="O1482" s="10" t="n">
        <v>0.854722179239616</v>
      </c>
      <c r="P1482" s="10" t="n">
        <v>0.206259709550068</v>
      </c>
      <c r="Q1482" s="0" t="str">
        <f aca="false">SUBSTITUTE(SUBSTITUTE($I1482,CHAR(61),""),CHAR(34),"")</f>
        <v>15-24</v>
      </c>
      <c r="R1482" s="0" t="str">
        <f aca="false">IF($D1482&lt;&gt;"","["&amp;$E1482&amp;"]"&amp;"|"&amp;$Q1482&amp;"|"&amp;$K1482&amp;"|"&amp;$G1482&amp;"|"&amp;IF($G1482="TX_CURR_SUBNAT.R","CY2022Q4",$M1482),"")</f>
        <v>[lPTyjLi4w3d]|15-24|Male|PLHIV_Residents.T_1|CY2023Q3</v>
      </c>
    </row>
    <row r="1483" customFormat="false" ht="15" hidden="false" customHeight="false" outlineLevel="0" collapsed="false">
      <c r="D1483" s="0" t="s">
        <v>117</v>
      </c>
      <c r="E1483" s="0" t="s">
        <v>118</v>
      </c>
      <c r="F1483" s="0" t="s">
        <v>119</v>
      </c>
      <c r="G1483" s="0" t="s">
        <v>143</v>
      </c>
      <c r="H1483" s="0" t="s">
        <v>144</v>
      </c>
      <c r="I1483" s="0" t="s">
        <v>41</v>
      </c>
      <c r="J1483" s="0" t="s">
        <v>42</v>
      </c>
      <c r="K1483" s="0" t="s">
        <v>48</v>
      </c>
      <c r="L1483" s="0" t="s">
        <v>49</v>
      </c>
      <c r="M1483" s="0" t="s">
        <v>140</v>
      </c>
      <c r="N1483" s="0" t="n">
        <v>1310</v>
      </c>
      <c r="O1483" s="10" t="n">
        <v>0.207235092530027</v>
      </c>
      <c r="P1483" s="10" t="n">
        <v>0.206259709550068</v>
      </c>
      <c r="Q1483" s="0" t="str">
        <f aca="false">SUBSTITUTE(SUBSTITUTE($I1483,CHAR(61),""),CHAR(34),"")</f>
        <v>25-34</v>
      </c>
      <c r="R1483" s="0" t="str">
        <f aca="false">IF($D1483&lt;&gt;"","["&amp;$E1483&amp;"]"&amp;"|"&amp;$Q1483&amp;"|"&amp;$K1483&amp;"|"&amp;$G1483&amp;"|"&amp;IF($G1483="TX_CURR_SUBNAT.R","CY2022Q4",$M1483),"")</f>
        <v>[lPTyjLi4w3d]|25-34|Male|PLHIV_Residents.T_1|CY2023Q3</v>
      </c>
    </row>
    <row r="1484" customFormat="false" ht="15" hidden="false" customHeight="false" outlineLevel="0" collapsed="false">
      <c r="D1484" s="0" t="s">
        <v>117</v>
      </c>
      <c r="E1484" s="0" t="s">
        <v>118</v>
      </c>
      <c r="F1484" s="0" t="s">
        <v>119</v>
      </c>
      <c r="G1484" s="0" t="s">
        <v>143</v>
      </c>
      <c r="H1484" s="0" t="s">
        <v>144</v>
      </c>
      <c r="I1484" s="0" t="s">
        <v>43</v>
      </c>
      <c r="J1484" s="0" t="s">
        <v>44</v>
      </c>
      <c r="K1484" s="0" t="s">
        <v>48</v>
      </c>
      <c r="L1484" s="0" t="s">
        <v>49</v>
      </c>
      <c r="M1484" s="0" t="s">
        <v>140</v>
      </c>
      <c r="N1484" s="0" t="n">
        <v>1374</v>
      </c>
      <c r="O1484" s="10" t="n">
        <v>0.620453858282417</v>
      </c>
      <c r="P1484" s="10" t="n">
        <v>0.206259709550068</v>
      </c>
      <c r="Q1484" s="0" t="str">
        <f aca="false">SUBSTITUTE(SUBSTITUTE($I1484,CHAR(61),""),CHAR(34),"")</f>
        <v>35-49</v>
      </c>
      <c r="R1484" s="0" t="str">
        <f aca="false">IF($D1484&lt;&gt;"","["&amp;$E1484&amp;"]"&amp;"|"&amp;$Q1484&amp;"|"&amp;$K1484&amp;"|"&amp;$G1484&amp;"|"&amp;IF($G1484="TX_CURR_SUBNAT.R","CY2022Q4",$M1484),"")</f>
        <v>[lPTyjLi4w3d]|35-49|Male|PLHIV_Residents.T_1|CY2023Q3</v>
      </c>
    </row>
    <row r="1485" customFormat="false" ht="15" hidden="false" customHeight="false" outlineLevel="0" collapsed="false">
      <c r="D1485" s="0" t="s">
        <v>117</v>
      </c>
      <c r="E1485" s="0" t="s">
        <v>118</v>
      </c>
      <c r="F1485" s="0" t="s">
        <v>119</v>
      </c>
      <c r="G1485" s="0" t="s">
        <v>143</v>
      </c>
      <c r="H1485" s="0" t="s">
        <v>144</v>
      </c>
      <c r="I1485" s="0" t="s">
        <v>45</v>
      </c>
      <c r="J1485" s="0" t="s">
        <v>46</v>
      </c>
      <c r="K1485" s="0" t="s">
        <v>48</v>
      </c>
      <c r="L1485" s="0" t="s">
        <v>49</v>
      </c>
      <c r="M1485" s="0" t="s">
        <v>140</v>
      </c>
      <c r="N1485" s="0" t="n">
        <v>557</v>
      </c>
      <c r="O1485" s="10" t="n">
        <v>0.758709592511877</v>
      </c>
      <c r="P1485" s="10" t="n">
        <v>0.206259709550068</v>
      </c>
      <c r="Q1485" s="0" t="str">
        <f aca="false">SUBSTITUTE(SUBSTITUTE($I1485,CHAR(61),""),CHAR(34),"")</f>
        <v>50+</v>
      </c>
      <c r="R1485" s="0" t="str">
        <f aca="false">IF($D1485&lt;&gt;"","["&amp;$E1485&amp;"]"&amp;"|"&amp;$Q1485&amp;"|"&amp;$K1485&amp;"|"&amp;$G1485&amp;"|"&amp;IF($G1485="TX_CURR_SUBNAT.R","CY2022Q4",$M1485),"")</f>
        <v>[lPTyjLi4w3d]|50+|Male|PLHIV_Residents.T_1|CY2023Q3</v>
      </c>
    </row>
    <row r="1486" customFormat="false" ht="15" hidden="false" customHeight="false" outlineLevel="0" collapsed="false">
      <c r="D1486" s="0" t="s">
        <v>120</v>
      </c>
      <c r="E1486" s="0" t="s">
        <v>121</v>
      </c>
      <c r="F1486" s="0" t="s">
        <v>122</v>
      </c>
      <c r="G1486" s="0" t="s">
        <v>143</v>
      </c>
      <c r="H1486" s="0" t="s">
        <v>144</v>
      </c>
      <c r="I1486" s="0" t="s">
        <v>28</v>
      </c>
      <c r="J1486" s="0" t="s">
        <v>29</v>
      </c>
      <c r="K1486" s="0" t="s">
        <v>30</v>
      </c>
      <c r="L1486" s="0" t="s">
        <v>31</v>
      </c>
      <c r="M1486" s="0" t="s">
        <v>140</v>
      </c>
      <c r="N1486" s="0" t="n">
        <v>1384</v>
      </c>
      <c r="O1486" s="10" t="n">
        <v>0.979485192103311</v>
      </c>
      <c r="P1486" s="10" t="n">
        <v>0.430103979306296</v>
      </c>
      <c r="Q1486" s="0" t="str">
        <f aca="false">SUBSTITUTE(SUBSTITUTE($I1486,CHAR(61),""),CHAR(34),"")</f>
        <v>&lt;01</v>
      </c>
      <c r="R1486" s="0" t="str">
        <f aca="false">IF($D1486&lt;&gt;"","["&amp;$E1486&amp;"]"&amp;"|"&amp;$Q1486&amp;"|"&amp;$K1486&amp;"|"&amp;$G1486&amp;"|"&amp;IF($G1486="TX_CURR_SUBNAT.R","CY2022Q4",$M1486),"")</f>
        <v>[vA4NcHxfMBq]|&lt;01|Female|PLHIV_Residents.T_1|CY2023Q3</v>
      </c>
    </row>
    <row r="1487" customFormat="false" ht="15" hidden="false" customHeight="false" outlineLevel="0" collapsed="false">
      <c r="D1487" s="0" t="s">
        <v>120</v>
      </c>
      <c r="E1487" s="0" t="s">
        <v>121</v>
      </c>
      <c r="F1487" s="0" t="s">
        <v>122</v>
      </c>
      <c r="G1487" s="0" t="s">
        <v>143</v>
      </c>
      <c r="H1487" s="0" t="s">
        <v>144</v>
      </c>
      <c r="I1487" s="0" t="s">
        <v>33</v>
      </c>
      <c r="J1487" s="0" t="s">
        <v>34</v>
      </c>
      <c r="K1487" s="0" t="s">
        <v>30</v>
      </c>
      <c r="L1487" s="0" t="s">
        <v>31</v>
      </c>
      <c r="M1487" s="0" t="s">
        <v>140</v>
      </c>
      <c r="N1487" s="0" t="n">
        <v>949</v>
      </c>
      <c r="O1487" s="10" t="n">
        <v>0.588565079495311</v>
      </c>
      <c r="P1487" s="10" t="n">
        <v>0.430103979306296</v>
      </c>
      <c r="Q1487" s="0" t="str">
        <f aca="false">SUBSTITUTE(SUBSTITUTE($I1487,CHAR(61),""),CHAR(34),"")</f>
        <v>01-09</v>
      </c>
      <c r="R1487" s="0" t="str">
        <f aca="false">IF($D1487&lt;&gt;"","["&amp;$E1487&amp;"]"&amp;"|"&amp;$Q1487&amp;"|"&amp;$K1487&amp;"|"&amp;$G1487&amp;"|"&amp;IF($G1487="TX_CURR_SUBNAT.R","CY2022Q4",$M1487),"")</f>
        <v>[vA4NcHxfMBq]|01-09|Female|PLHIV_Residents.T_1|CY2023Q3</v>
      </c>
    </row>
    <row r="1488" customFormat="false" ht="15" hidden="false" customHeight="false" outlineLevel="0" collapsed="false">
      <c r="D1488" s="0" t="s">
        <v>120</v>
      </c>
      <c r="E1488" s="0" t="s">
        <v>121</v>
      </c>
      <c r="F1488" s="0" t="s">
        <v>122</v>
      </c>
      <c r="G1488" s="0" t="s">
        <v>143</v>
      </c>
      <c r="H1488" s="0" t="s">
        <v>144</v>
      </c>
      <c r="I1488" s="0" t="s">
        <v>36</v>
      </c>
      <c r="J1488" s="0" t="s">
        <v>37</v>
      </c>
      <c r="K1488" s="0" t="s">
        <v>30</v>
      </c>
      <c r="L1488" s="0" t="s">
        <v>31</v>
      </c>
      <c r="M1488" s="0" t="s">
        <v>140</v>
      </c>
      <c r="N1488" s="0" t="n">
        <v>507</v>
      </c>
      <c r="O1488" s="10" t="n">
        <v>0.675344606395811</v>
      </c>
      <c r="P1488" s="10" t="n">
        <v>0.430103979306296</v>
      </c>
      <c r="Q1488" s="0" t="str">
        <f aca="false">SUBSTITUTE(SUBSTITUTE($I1488,CHAR(61),""),CHAR(34),"")</f>
        <v>10-14</v>
      </c>
      <c r="R1488" s="0" t="str">
        <f aca="false">IF($D1488&lt;&gt;"","["&amp;$E1488&amp;"]"&amp;"|"&amp;$Q1488&amp;"|"&amp;$K1488&amp;"|"&amp;$G1488&amp;"|"&amp;IF($G1488="TX_CURR_SUBNAT.R","CY2022Q4",$M1488),"")</f>
        <v>[vA4NcHxfMBq]|10-14|Female|PLHIV_Residents.T_1|CY2023Q3</v>
      </c>
    </row>
    <row r="1489" customFormat="false" ht="15" hidden="false" customHeight="false" outlineLevel="0" collapsed="false">
      <c r="D1489" s="0" t="s">
        <v>120</v>
      </c>
      <c r="E1489" s="0" t="s">
        <v>121</v>
      </c>
      <c r="F1489" s="0" t="s">
        <v>122</v>
      </c>
      <c r="G1489" s="0" t="s">
        <v>143</v>
      </c>
      <c r="H1489" s="0" t="s">
        <v>144</v>
      </c>
      <c r="I1489" s="0" t="s">
        <v>38</v>
      </c>
      <c r="J1489" s="0" t="s">
        <v>39</v>
      </c>
      <c r="K1489" s="0" t="s">
        <v>30</v>
      </c>
      <c r="L1489" s="0" t="s">
        <v>31</v>
      </c>
      <c r="M1489" s="0" t="s">
        <v>140</v>
      </c>
      <c r="N1489" s="0" t="n">
        <v>1143</v>
      </c>
      <c r="O1489" s="10" t="n">
        <v>0.538103329949081</v>
      </c>
      <c r="P1489" s="10" t="n">
        <v>0.430103979306296</v>
      </c>
      <c r="Q1489" s="0" t="str">
        <f aca="false">SUBSTITUTE(SUBSTITUTE($I1489,CHAR(61),""),CHAR(34),"")</f>
        <v>15-24</v>
      </c>
      <c r="R1489" s="0" t="str">
        <f aca="false">IF($D1489&lt;&gt;"","["&amp;$E1489&amp;"]"&amp;"|"&amp;$Q1489&amp;"|"&amp;$K1489&amp;"|"&amp;$G1489&amp;"|"&amp;IF($G1489="TX_CURR_SUBNAT.R","CY2022Q4",$M1489),"")</f>
        <v>[vA4NcHxfMBq]|15-24|Female|PLHIV_Residents.T_1|CY2023Q3</v>
      </c>
    </row>
    <row r="1490" customFormat="false" ht="15" hidden="false" customHeight="false" outlineLevel="0" collapsed="false">
      <c r="D1490" s="0" t="s">
        <v>120</v>
      </c>
      <c r="E1490" s="0" t="s">
        <v>121</v>
      </c>
      <c r="F1490" s="0" t="s">
        <v>122</v>
      </c>
      <c r="G1490" s="0" t="s">
        <v>143</v>
      </c>
      <c r="H1490" s="0" t="s">
        <v>144</v>
      </c>
      <c r="I1490" s="0" t="s">
        <v>41</v>
      </c>
      <c r="J1490" s="0" t="s">
        <v>42</v>
      </c>
      <c r="K1490" s="0" t="s">
        <v>30</v>
      </c>
      <c r="L1490" s="0" t="s">
        <v>31</v>
      </c>
      <c r="M1490" s="0" t="s">
        <v>140</v>
      </c>
      <c r="N1490" s="0" t="n">
        <v>578</v>
      </c>
      <c r="O1490" s="10" t="n">
        <v>0.230163649888709</v>
      </c>
      <c r="P1490" s="10" t="n">
        <v>0.430103979306296</v>
      </c>
      <c r="Q1490" s="0" t="str">
        <f aca="false">SUBSTITUTE(SUBSTITUTE($I1490,CHAR(61),""),CHAR(34),"")</f>
        <v>25-34</v>
      </c>
      <c r="R1490" s="0" t="str">
        <f aca="false">IF($D1490&lt;&gt;"","["&amp;$E1490&amp;"]"&amp;"|"&amp;$Q1490&amp;"|"&amp;$K1490&amp;"|"&amp;$G1490&amp;"|"&amp;IF($G1490="TX_CURR_SUBNAT.R","CY2022Q4",$M1490),"")</f>
        <v>[vA4NcHxfMBq]|25-34|Female|PLHIV_Residents.T_1|CY2023Q3</v>
      </c>
    </row>
    <row r="1491" customFormat="false" ht="15" hidden="false" customHeight="false" outlineLevel="0" collapsed="false">
      <c r="D1491" s="0" t="s">
        <v>120</v>
      </c>
      <c r="E1491" s="0" t="s">
        <v>121</v>
      </c>
      <c r="F1491" s="0" t="s">
        <v>122</v>
      </c>
      <c r="G1491" s="0" t="s">
        <v>143</v>
      </c>
      <c r="H1491" s="0" t="s">
        <v>144</v>
      </c>
      <c r="I1491" s="0" t="s">
        <v>43</v>
      </c>
      <c r="J1491" s="0" t="s">
        <v>44</v>
      </c>
      <c r="K1491" s="0" t="s">
        <v>30</v>
      </c>
      <c r="L1491" s="0" t="s">
        <v>31</v>
      </c>
      <c r="M1491" s="0" t="s">
        <v>140</v>
      </c>
      <c r="N1491" s="0" t="n">
        <v>1799</v>
      </c>
      <c r="O1491" s="10" t="n">
        <v>0.295946319121867</v>
      </c>
      <c r="P1491" s="10" t="n">
        <v>0.430103979306296</v>
      </c>
      <c r="Q1491" s="0" t="str">
        <f aca="false">SUBSTITUTE(SUBSTITUTE($I1491,CHAR(61),""),CHAR(34),"")</f>
        <v>35-49</v>
      </c>
      <c r="R1491" s="0" t="str">
        <f aca="false">IF($D1491&lt;&gt;"","["&amp;$E1491&amp;"]"&amp;"|"&amp;$Q1491&amp;"|"&amp;$K1491&amp;"|"&amp;$G1491&amp;"|"&amp;IF($G1491="TX_CURR_SUBNAT.R","CY2022Q4",$M1491),"")</f>
        <v>[vA4NcHxfMBq]|35-49|Female|PLHIV_Residents.T_1|CY2023Q3</v>
      </c>
    </row>
    <row r="1492" customFormat="false" ht="15" hidden="false" customHeight="false" outlineLevel="0" collapsed="false">
      <c r="D1492" s="0" t="s">
        <v>120</v>
      </c>
      <c r="E1492" s="0" t="s">
        <v>121</v>
      </c>
      <c r="F1492" s="0" t="s">
        <v>122</v>
      </c>
      <c r="G1492" s="0" t="s">
        <v>143</v>
      </c>
      <c r="H1492" s="0" t="s">
        <v>144</v>
      </c>
      <c r="I1492" s="0" t="s">
        <v>45</v>
      </c>
      <c r="J1492" s="0" t="s">
        <v>46</v>
      </c>
      <c r="K1492" s="0" t="s">
        <v>30</v>
      </c>
      <c r="L1492" s="0" t="s">
        <v>31</v>
      </c>
      <c r="M1492" s="0" t="s">
        <v>140</v>
      </c>
      <c r="N1492" s="0" t="n">
        <v>1478</v>
      </c>
      <c r="O1492" s="10" t="n">
        <v>0.953212598571554</v>
      </c>
      <c r="P1492" s="10" t="n">
        <v>0.430103979306296</v>
      </c>
      <c r="Q1492" s="0" t="str">
        <f aca="false">SUBSTITUTE(SUBSTITUTE($I1492,CHAR(61),""),CHAR(34),"")</f>
        <v>50+</v>
      </c>
      <c r="R1492" s="0" t="str">
        <f aca="false">IF($D1492&lt;&gt;"","["&amp;$E1492&amp;"]"&amp;"|"&amp;$Q1492&amp;"|"&amp;$K1492&amp;"|"&amp;$G1492&amp;"|"&amp;IF($G1492="TX_CURR_SUBNAT.R","CY2022Q4",$M1492),"")</f>
        <v>[vA4NcHxfMBq]|50+|Female|PLHIV_Residents.T_1|CY2023Q3</v>
      </c>
    </row>
    <row r="1493" customFormat="false" ht="15" hidden="false" customHeight="false" outlineLevel="0" collapsed="false">
      <c r="D1493" s="0" t="s">
        <v>120</v>
      </c>
      <c r="E1493" s="0" t="s">
        <v>121</v>
      </c>
      <c r="F1493" s="0" t="s">
        <v>122</v>
      </c>
      <c r="G1493" s="0" t="s">
        <v>143</v>
      </c>
      <c r="H1493" s="0" t="s">
        <v>144</v>
      </c>
      <c r="I1493" s="0" t="s">
        <v>28</v>
      </c>
      <c r="J1493" s="0" t="s">
        <v>29</v>
      </c>
      <c r="K1493" s="0" t="s">
        <v>48</v>
      </c>
      <c r="L1493" s="0" t="s">
        <v>49</v>
      </c>
      <c r="M1493" s="0" t="s">
        <v>140</v>
      </c>
      <c r="N1493" s="0" t="n">
        <v>1248</v>
      </c>
      <c r="O1493" s="10" t="n">
        <v>0.218958417652175</v>
      </c>
      <c r="P1493" s="10" t="n">
        <v>0.430103979306296</v>
      </c>
      <c r="Q1493" s="0" t="str">
        <f aca="false">SUBSTITUTE(SUBSTITUTE($I1493,CHAR(61),""),CHAR(34),"")</f>
        <v>&lt;01</v>
      </c>
      <c r="R1493" s="0" t="str">
        <f aca="false">IF($D1493&lt;&gt;"","["&amp;$E1493&amp;"]"&amp;"|"&amp;$Q1493&amp;"|"&amp;$K1493&amp;"|"&amp;$G1493&amp;"|"&amp;IF($G1493="TX_CURR_SUBNAT.R","CY2022Q4",$M1493),"")</f>
        <v>[vA4NcHxfMBq]|&lt;01|Male|PLHIV_Residents.T_1|CY2023Q3</v>
      </c>
    </row>
    <row r="1494" customFormat="false" ht="15" hidden="false" customHeight="false" outlineLevel="0" collapsed="false">
      <c r="D1494" s="0" t="s">
        <v>120</v>
      </c>
      <c r="E1494" s="0" t="s">
        <v>121</v>
      </c>
      <c r="F1494" s="0" t="s">
        <v>122</v>
      </c>
      <c r="G1494" s="0" t="s">
        <v>143</v>
      </c>
      <c r="H1494" s="0" t="s">
        <v>144</v>
      </c>
      <c r="I1494" s="0" t="s">
        <v>33</v>
      </c>
      <c r="J1494" s="0" t="s">
        <v>34</v>
      </c>
      <c r="K1494" s="0" t="s">
        <v>48</v>
      </c>
      <c r="L1494" s="0" t="s">
        <v>49</v>
      </c>
      <c r="M1494" s="0" t="s">
        <v>140</v>
      </c>
      <c r="N1494" s="0" t="n">
        <v>1896</v>
      </c>
      <c r="O1494" s="10" t="n">
        <v>0.513005179353058</v>
      </c>
      <c r="P1494" s="10" t="n">
        <v>0.430103979306296</v>
      </c>
      <c r="Q1494" s="0" t="str">
        <f aca="false">SUBSTITUTE(SUBSTITUTE($I1494,CHAR(61),""),CHAR(34),"")</f>
        <v>01-09</v>
      </c>
      <c r="R1494" s="0" t="str">
        <f aca="false">IF($D1494&lt;&gt;"","["&amp;$E1494&amp;"]"&amp;"|"&amp;$Q1494&amp;"|"&amp;$K1494&amp;"|"&amp;$G1494&amp;"|"&amp;IF($G1494="TX_CURR_SUBNAT.R","CY2022Q4",$M1494),"")</f>
        <v>[vA4NcHxfMBq]|01-09|Male|PLHIV_Residents.T_1|CY2023Q3</v>
      </c>
    </row>
    <row r="1495" customFormat="false" ht="15" hidden="false" customHeight="false" outlineLevel="0" collapsed="false">
      <c r="D1495" s="0" t="s">
        <v>120</v>
      </c>
      <c r="E1495" s="0" t="s">
        <v>121</v>
      </c>
      <c r="F1495" s="0" t="s">
        <v>122</v>
      </c>
      <c r="G1495" s="0" t="s">
        <v>143</v>
      </c>
      <c r="H1495" s="0" t="s">
        <v>144</v>
      </c>
      <c r="I1495" s="0" t="s">
        <v>36</v>
      </c>
      <c r="J1495" s="0" t="s">
        <v>37</v>
      </c>
      <c r="K1495" s="0" t="s">
        <v>48</v>
      </c>
      <c r="L1495" s="0" t="s">
        <v>49</v>
      </c>
      <c r="M1495" s="0" t="s">
        <v>140</v>
      </c>
      <c r="N1495" s="0" t="n">
        <v>1249</v>
      </c>
      <c r="O1495" s="10" t="n">
        <v>0.306420734617859</v>
      </c>
      <c r="P1495" s="10" t="n">
        <v>0.430103979306296</v>
      </c>
      <c r="Q1495" s="0" t="str">
        <f aca="false">SUBSTITUTE(SUBSTITUTE($I1495,CHAR(61),""),CHAR(34),"")</f>
        <v>10-14</v>
      </c>
      <c r="R1495" s="0" t="str">
        <f aca="false">IF($D1495&lt;&gt;"","["&amp;$E1495&amp;"]"&amp;"|"&amp;$Q1495&amp;"|"&amp;$K1495&amp;"|"&amp;$G1495&amp;"|"&amp;IF($G1495="TX_CURR_SUBNAT.R","CY2022Q4",$M1495),"")</f>
        <v>[vA4NcHxfMBq]|10-14|Male|PLHIV_Residents.T_1|CY2023Q3</v>
      </c>
    </row>
    <row r="1496" customFormat="false" ht="15" hidden="false" customHeight="false" outlineLevel="0" collapsed="false">
      <c r="D1496" s="0" t="s">
        <v>120</v>
      </c>
      <c r="E1496" s="0" t="s">
        <v>121</v>
      </c>
      <c r="F1496" s="0" t="s">
        <v>122</v>
      </c>
      <c r="G1496" s="0" t="s">
        <v>143</v>
      </c>
      <c r="H1496" s="0" t="s">
        <v>144</v>
      </c>
      <c r="I1496" s="0" t="s">
        <v>38</v>
      </c>
      <c r="J1496" s="0" t="s">
        <v>39</v>
      </c>
      <c r="K1496" s="0" t="s">
        <v>48</v>
      </c>
      <c r="L1496" s="0" t="s">
        <v>49</v>
      </c>
      <c r="M1496" s="0" t="s">
        <v>140</v>
      </c>
      <c r="N1496" s="0" t="n">
        <v>1358</v>
      </c>
      <c r="O1496" s="10" t="n">
        <v>0.401187748648226</v>
      </c>
      <c r="P1496" s="10" t="n">
        <v>0.430103979306296</v>
      </c>
      <c r="Q1496" s="0" t="str">
        <f aca="false">SUBSTITUTE(SUBSTITUTE($I1496,CHAR(61),""),CHAR(34),"")</f>
        <v>15-24</v>
      </c>
      <c r="R1496" s="0" t="str">
        <f aca="false">IF($D1496&lt;&gt;"","["&amp;$E1496&amp;"]"&amp;"|"&amp;$Q1496&amp;"|"&amp;$K1496&amp;"|"&amp;$G1496&amp;"|"&amp;IF($G1496="TX_CURR_SUBNAT.R","CY2022Q4",$M1496),"")</f>
        <v>[vA4NcHxfMBq]|15-24|Male|PLHIV_Residents.T_1|CY2023Q3</v>
      </c>
    </row>
    <row r="1497" customFormat="false" ht="15" hidden="false" customHeight="false" outlineLevel="0" collapsed="false">
      <c r="D1497" s="0" t="s">
        <v>120</v>
      </c>
      <c r="E1497" s="0" t="s">
        <v>121</v>
      </c>
      <c r="F1497" s="0" t="s">
        <v>122</v>
      </c>
      <c r="G1497" s="0" t="s">
        <v>143</v>
      </c>
      <c r="H1497" s="0" t="s">
        <v>144</v>
      </c>
      <c r="I1497" s="0" t="s">
        <v>41</v>
      </c>
      <c r="J1497" s="0" t="s">
        <v>42</v>
      </c>
      <c r="K1497" s="0" t="s">
        <v>48</v>
      </c>
      <c r="L1497" s="0" t="s">
        <v>49</v>
      </c>
      <c r="M1497" s="0" t="s">
        <v>140</v>
      </c>
      <c r="N1497" s="0" t="n">
        <v>872</v>
      </c>
      <c r="O1497" s="10" t="n">
        <v>0.252078891033307</v>
      </c>
      <c r="P1497" s="10" t="n">
        <v>0.430103979306296</v>
      </c>
      <c r="Q1497" s="0" t="str">
        <f aca="false">SUBSTITUTE(SUBSTITUTE($I1497,CHAR(61),""),CHAR(34),"")</f>
        <v>25-34</v>
      </c>
      <c r="R1497" s="0" t="str">
        <f aca="false">IF($D1497&lt;&gt;"","["&amp;$E1497&amp;"]"&amp;"|"&amp;$Q1497&amp;"|"&amp;$K1497&amp;"|"&amp;$G1497&amp;"|"&amp;IF($G1497="TX_CURR_SUBNAT.R","CY2022Q4",$M1497),"")</f>
        <v>[vA4NcHxfMBq]|25-34|Male|PLHIV_Residents.T_1|CY2023Q3</v>
      </c>
    </row>
    <row r="1498" customFormat="false" ht="15" hidden="false" customHeight="false" outlineLevel="0" collapsed="false">
      <c r="D1498" s="0" t="s">
        <v>120</v>
      </c>
      <c r="E1498" s="0" t="s">
        <v>121</v>
      </c>
      <c r="F1498" s="0" t="s">
        <v>122</v>
      </c>
      <c r="G1498" s="0" t="s">
        <v>143</v>
      </c>
      <c r="H1498" s="0" t="s">
        <v>144</v>
      </c>
      <c r="I1498" s="0" t="s">
        <v>43</v>
      </c>
      <c r="J1498" s="0" t="s">
        <v>44</v>
      </c>
      <c r="K1498" s="0" t="s">
        <v>48</v>
      </c>
      <c r="L1498" s="0" t="s">
        <v>49</v>
      </c>
      <c r="M1498" s="0" t="s">
        <v>140</v>
      </c>
      <c r="N1498" s="0" t="n">
        <v>1671</v>
      </c>
      <c r="O1498" s="10" t="n">
        <v>0.00461453921161592</v>
      </c>
      <c r="P1498" s="10" t="n">
        <v>0.430103979306296</v>
      </c>
      <c r="Q1498" s="0" t="str">
        <f aca="false">SUBSTITUTE(SUBSTITUTE($I1498,CHAR(61),""),CHAR(34),"")</f>
        <v>35-49</v>
      </c>
      <c r="R1498" s="0" t="str">
        <f aca="false">IF($D1498&lt;&gt;"","["&amp;$E1498&amp;"]"&amp;"|"&amp;$Q1498&amp;"|"&amp;$K1498&amp;"|"&amp;$G1498&amp;"|"&amp;IF($G1498="TX_CURR_SUBNAT.R","CY2022Q4",$M1498),"")</f>
        <v>[vA4NcHxfMBq]|35-49|Male|PLHIV_Residents.T_1|CY2023Q3</v>
      </c>
    </row>
    <row r="1499" customFormat="false" ht="15" hidden="false" customHeight="false" outlineLevel="0" collapsed="false">
      <c r="D1499" s="0" t="s">
        <v>120</v>
      </c>
      <c r="E1499" s="0" t="s">
        <v>121</v>
      </c>
      <c r="F1499" s="0" t="s">
        <v>122</v>
      </c>
      <c r="G1499" s="0" t="s">
        <v>143</v>
      </c>
      <c r="H1499" s="0" t="s">
        <v>144</v>
      </c>
      <c r="I1499" s="0" t="s">
        <v>45</v>
      </c>
      <c r="J1499" s="0" t="s">
        <v>46</v>
      </c>
      <c r="K1499" s="0" t="s">
        <v>48</v>
      </c>
      <c r="L1499" s="0" t="s">
        <v>49</v>
      </c>
      <c r="M1499" s="0" t="s">
        <v>140</v>
      </c>
      <c r="N1499" s="0" t="n">
        <v>548</v>
      </c>
      <c r="O1499" s="10" t="n">
        <v>0.132812818745151</v>
      </c>
      <c r="P1499" s="10" t="n">
        <v>0.430103979306296</v>
      </c>
      <c r="Q1499" s="0" t="str">
        <f aca="false">SUBSTITUTE(SUBSTITUTE($I1499,CHAR(61),""),CHAR(34),"")</f>
        <v>50+</v>
      </c>
      <c r="R1499" s="0" t="str">
        <f aca="false">IF($D1499&lt;&gt;"","["&amp;$E1499&amp;"]"&amp;"|"&amp;$Q1499&amp;"|"&amp;$K1499&amp;"|"&amp;$G1499&amp;"|"&amp;IF($G1499="TX_CURR_SUBNAT.R","CY2022Q4",$M1499),"")</f>
        <v>[vA4NcHxfMBq]|50+|Male|PLHIV_Residents.T_1|CY2023Q3</v>
      </c>
    </row>
    <row r="1500" customFormat="false" ht="15" hidden="false" customHeight="false" outlineLevel="0" collapsed="false">
      <c r="D1500" s="0" t="s">
        <v>123</v>
      </c>
      <c r="E1500" s="0" t="s">
        <v>124</v>
      </c>
      <c r="F1500" s="0" t="s">
        <v>125</v>
      </c>
      <c r="G1500" s="0" t="s">
        <v>143</v>
      </c>
      <c r="H1500" s="0" t="s">
        <v>144</v>
      </c>
      <c r="I1500" s="0" t="s">
        <v>28</v>
      </c>
      <c r="J1500" s="0" t="s">
        <v>29</v>
      </c>
      <c r="K1500" s="0" t="s">
        <v>30</v>
      </c>
      <c r="L1500" s="0" t="s">
        <v>31</v>
      </c>
      <c r="M1500" s="0" t="s">
        <v>140</v>
      </c>
      <c r="N1500" s="0" t="n">
        <v>682</v>
      </c>
      <c r="O1500" s="10" t="n">
        <v>0.279233897803351</v>
      </c>
      <c r="P1500" s="10" t="n">
        <v>0.419500603340566</v>
      </c>
      <c r="Q1500" s="0" t="str">
        <f aca="false">SUBSTITUTE(SUBSTITUTE($I1500,CHAR(61),""),CHAR(34),"")</f>
        <v>&lt;01</v>
      </c>
      <c r="R1500" s="0" t="str">
        <f aca="false">IF($D1500&lt;&gt;"","["&amp;$E1500&amp;"]"&amp;"|"&amp;$Q1500&amp;"|"&amp;$K1500&amp;"|"&amp;$G1500&amp;"|"&amp;IF($G1500="TX_CURR_SUBNAT.R","CY2022Q4",$M1500),"")</f>
        <v>[E7zpfyBt7Tw]|&lt;01|Female|PLHIV_Residents.T_1|CY2023Q3</v>
      </c>
    </row>
    <row r="1501" customFormat="false" ht="15" hidden="false" customHeight="false" outlineLevel="0" collapsed="false">
      <c r="D1501" s="0" t="s">
        <v>123</v>
      </c>
      <c r="E1501" s="0" t="s">
        <v>124</v>
      </c>
      <c r="F1501" s="0" t="s">
        <v>125</v>
      </c>
      <c r="G1501" s="0" t="s">
        <v>143</v>
      </c>
      <c r="H1501" s="0" t="s">
        <v>144</v>
      </c>
      <c r="I1501" s="0" t="s">
        <v>33</v>
      </c>
      <c r="J1501" s="0" t="s">
        <v>34</v>
      </c>
      <c r="K1501" s="0" t="s">
        <v>30</v>
      </c>
      <c r="L1501" s="0" t="s">
        <v>31</v>
      </c>
      <c r="M1501" s="0" t="s">
        <v>140</v>
      </c>
      <c r="N1501" s="0" t="n">
        <v>774</v>
      </c>
      <c r="O1501" s="10" t="n">
        <v>0.608180113136768</v>
      </c>
      <c r="P1501" s="10" t="n">
        <v>0.419500603340566</v>
      </c>
      <c r="Q1501" s="0" t="str">
        <f aca="false">SUBSTITUTE(SUBSTITUTE($I1501,CHAR(61),""),CHAR(34),"")</f>
        <v>01-09</v>
      </c>
      <c r="R1501" s="0" t="str">
        <f aca="false">IF($D1501&lt;&gt;"","["&amp;$E1501&amp;"]"&amp;"|"&amp;$Q1501&amp;"|"&amp;$K1501&amp;"|"&amp;$G1501&amp;"|"&amp;IF($G1501="TX_CURR_SUBNAT.R","CY2022Q4",$M1501),"")</f>
        <v>[E7zpfyBt7Tw]|01-09|Female|PLHIV_Residents.T_1|CY2023Q3</v>
      </c>
    </row>
    <row r="1502" customFormat="false" ht="15" hidden="false" customHeight="false" outlineLevel="0" collapsed="false">
      <c r="D1502" s="0" t="s">
        <v>123</v>
      </c>
      <c r="E1502" s="0" t="s">
        <v>124</v>
      </c>
      <c r="F1502" s="0" t="s">
        <v>125</v>
      </c>
      <c r="G1502" s="0" t="s">
        <v>143</v>
      </c>
      <c r="H1502" s="0" t="s">
        <v>144</v>
      </c>
      <c r="I1502" s="0" t="s">
        <v>36</v>
      </c>
      <c r="J1502" s="0" t="s">
        <v>37</v>
      </c>
      <c r="K1502" s="0" t="s">
        <v>30</v>
      </c>
      <c r="L1502" s="0" t="s">
        <v>31</v>
      </c>
      <c r="M1502" s="0" t="s">
        <v>140</v>
      </c>
      <c r="N1502" s="0" t="n">
        <v>1261</v>
      </c>
      <c r="O1502" s="10" t="n">
        <v>0.0906208795495331</v>
      </c>
      <c r="P1502" s="10" t="n">
        <v>0.419500603340566</v>
      </c>
      <c r="Q1502" s="0" t="str">
        <f aca="false">SUBSTITUTE(SUBSTITUTE($I1502,CHAR(61),""),CHAR(34),"")</f>
        <v>10-14</v>
      </c>
      <c r="R1502" s="0" t="str">
        <f aca="false">IF($D1502&lt;&gt;"","["&amp;$E1502&amp;"]"&amp;"|"&amp;$Q1502&amp;"|"&amp;$K1502&amp;"|"&amp;$G1502&amp;"|"&amp;IF($G1502="TX_CURR_SUBNAT.R","CY2022Q4",$M1502),"")</f>
        <v>[E7zpfyBt7Tw]|10-14|Female|PLHIV_Residents.T_1|CY2023Q3</v>
      </c>
    </row>
    <row r="1503" customFormat="false" ht="15" hidden="false" customHeight="false" outlineLevel="0" collapsed="false">
      <c r="D1503" s="0" t="s">
        <v>123</v>
      </c>
      <c r="E1503" s="0" t="s">
        <v>124</v>
      </c>
      <c r="F1503" s="0" t="s">
        <v>125</v>
      </c>
      <c r="G1503" s="0" t="s">
        <v>143</v>
      </c>
      <c r="H1503" s="0" t="s">
        <v>144</v>
      </c>
      <c r="I1503" s="0" t="s">
        <v>38</v>
      </c>
      <c r="J1503" s="0" t="s">
        <v>39</v>
      </c>
      <c r="K1503" s="0" t="s">
        <v>30</v>
      </c>
      <c r="L1503" s="0" t="s">
        <v>31</v>
      </c>
      <c r="M1503" s="0" t="s">
        <v>140</v>
      </c>
      <c r="N1503" s="0" t="n">
        <v>1578</v>
      </c>
      <c r="O1503" s="10" t="n">
        <v>0.133270720485598</v>
      </c>
      <c r="P1503" s="10" t="n">
        <v>0.419500603340566</v>
      </c>
      <c r="Q1503" s="0" t="str">
        <f aca="false">SUBSTITUTE(SUBSTITUTE($I1503,CHAR(61),""),CHAR(34),"")</f>
        <v>15-24</v>
      </c>
      <c r="R1503" s="0" t="str">
        <f aca="false">IF($D1503&lt;&gt;"","["&amp;$E1503&amp;"]"&amp;"|"&amp;$Q1503&amp;"|"&amp;$K1503&amp;"|"&amp;$G1503&amp;"|"&amp;IF($G1503="TX_CURR_SUBNAT.R","CY2022Q4",$M1503),"")</f>
        <v>[E7zpfyBt7Tw]|15-24|Female|PLHIV_Residents.T_1|CY2023Q3</v>
      </c>
    </row>
    <row r="1504" customFormat="false" ht="15" hidden="false" customHeight="false" outlineLevel="0" collapsed="false">
      <c r="D1504" s="0" t="s">
        <v>123</v>
      </c>
      <c r="E1504" s="0" t="s">
        <v>124</v>
      </c>
      <c r="F1504" s="0" t="s">
        <v>125</v>
      </c>
      <c r="G1504" s="0" t="s">
        <v>143</v>
      </c>
      <c r="H1504" s="0" t="s">
        <v>144</v>
      </c>
      <c r="I1504" s="0" t="s">
        <v>41</v>
      </c>
      <c r="J1504" s="0" t="s">
        <v>42</v>
      </c>
      <c r="K1504" s="0" t="s">
        <v>30</v>
      </c>
      <c r="L1504" s="0" t="s">
        <v>31</v>
      </c>
      <c r="M1504" s="0" t="s">
        <v>140</v>
      </c>
      <c r="N1504" s="0" t="n">
        <v>1824</v>
      </c>
      <c r="O1504" s="10" t="n">
        <v>0.484511939808726</v>
      </c>
      <c r="P1504" s="10" t="n">
        <v>0.419500603340566</v>
      </c>
      <c r="Q1504" s="0" t="str">
        <f aca="false">SUBSTITUTE(SUBSTITUTE($I1504,CHAR(61),""),CHAR(34),"")</f>
        <v>25-34</v>
      </c>
      <c r="R1504" s="0" t="str">
        <f aca="false">IF($D1504&lt;&gt;"","["&amp;$E1504&amp;"]"&amp;"|"&amp;$Q1504&amp;"|"&amp;$K1504&amp;"|"&amp;$G1504&amp;"|"&amp;IF($G1504="TX_CURR_SUBNAT.R","CY2022Q4",$M1504),"")</f>
        <v>[E7zpfyBt7Tw]|25-34|Female|PLHIV_Residents.T_1|CY2023Q3</v>
      </c>
    </row>
    <row r="1505" customFormat="false" ht="15" hidden="false" customHeight="false" outlineLevel="0" collapsed="false">
      <c r="D1505" s="0" t="s">
        <v>123</v>
      </c>
      <c r="E1505" s="0" t="s">
        <v>124</v>
      </c>
      <c r="F1505" s="0" t="s">
        <v>125</v>
      </c>
      <c r="G1505" s="0" t="s">
        <v>143</v>
      </c>
      <c r="H1505" s="0" t="s">
        <v>144</v>
      </c>
      <c r="I1505" s="0" t="s">
        <v>43</v>
      </c>
      <c r="J1505" s="0" t="s">
        <v>44</v>
      </c>
      <c r="K1505" s="0" t="s">
        <v>30</v>
      </c>
      <c r="L1505" s="0" t="s">
        <v>31</v>
      </c>
      <c r="M1505" s="0" t="s">
        <v>140</v>
      </c>
      <c r="N1505" s="0" t="n">
        <v>1103</v>
      </c>
      <c r="O1505" s="10" t="n">
        <v>0.622599870432168</v>
      </c>
      <c r="P1505" s="10" t="n">
        <v>0.419500603340566</v>
      </c>
      <c r="Q1505" s="0" t="str">
        <f aca="false">SUBSTITUTE(SUBSTITUTE($I1505,CHAR(61),""),CHAR(34),"")</f>
        <v>35-49</v>
      </c>
      <c r="R1505" s="0" t="str">
        <f aca="false">IF($D1505&lt;&gt;"","["&amp;$E1505&amp;"]"&amp;"|"&amp;$Q1505&amp;"|"&amp;$K1505&amp;"|"&amp;$G1505&amp;"|"&amp;IF($G1505="TX_CURR_SUBNAT.R","CY2022Q4",$M1505),"")</f>
        <v>[E7zpfyBt7Tw]|35-49|Female|PLHIV_Residents.T_1|CY2023Q3</v>
      </c>
    </row>
    <row r="1506" customFormat="false" ht="15" hidden="false" customHeight="false" outlineLevel="0" collapsed="false">
      <c r="D1506" s="0" t="s">
        <v>123</v>
      </c>
      <c r="E1506" s="0" t="s">
        <v>124</v>
      </c>
      <c r="F1506" s="0" t="s">
        <v>125</v>
      </c>
      <c r="G1506" s="0" t="s">
        <v>143</v>
      </c>
      <c r="H1506" s="0" t="s">
        <v>144</v>
      </c>
      <c r="I1506" s="0" t="s">
        <v>45</v>
      </c>
      <c r="J1506" s="0" t="s">
        <v>46</v>
      </c>
      <c r="K1506" s="0" t="s">
        <v>30</v>
      </c>
      <c r="L1506" s="0" t="s">
        <v>31</v>
      </c>
      <c r="M1506" s="0" t="s">
        <v>140</v>
      </c>
      <c r="N1506" s="0" t="n">
        <v>1707</v>
      </c>
      <c r="O1506" s="10" t="n">
        <v>0.877574561396614</v>
      </c>
      <c r="P1506" s="10" t="n">
        <v>0.419500603340566</v>
      </c>
      <c r="Q1506" s="0" t="str">
        <f aca="false">SUBSTITUTE(SUBSTITUTE($I1506,CHAR(61),""),CHAR(34),"")</f>
        <v>50+</v>
      </c>
      <c r="R1506" s="0" t="str">
        <f aca="false">IF($D1506&lt;&gt;"","["&amp;$E1506&amp;"]"&amp;"|"&amp;$Q1506&amp;"|"&amp;$K1506&amp;"|"&amp;$G1506&amp;"|"&amp;IF($G1506="TX_CURR_SUBNAT.R","CY2022Q4",$M1506),"")</f>
        <v>[E7zpfyBt7Tw]|50+|Female|PLHIV_Residents.T_1|CY2023Q3</v>
      </c>
    </row>
    <row r="1507" customFormat="false" ht="15" hidden="false" customHeight="false" outlineLevel="0" collapsed="false">
      <c r="D1507" s="0" t="s">
        <v>123</v>
      </c>
      <c r="E1507" s="0" t="s">
        <v>124</v>
      </c>
      <c r="F1507" s="0" t="s">
        <v>125</v>
      </c>
      <c r="G1507" s="0" t="s">
        <v>143</v>
      </c>
      <c r="H1507" s="0" t="s">
        <v>144</v>
      </c>
      <c r="I1507" s="0" t="s">
        <v>28</v>
      </c>
      <c r="J1507" s="0" t="s">
        <v>29</v>
      </c>
      <c r="K1507" s="0" t="s">
        <v>48</v>
      </c>
      <c r="L1507" s="0" t="s">
        <v>49</v>
      </c>
      <c r="M1507" s="0" t="s">
        <v>140</v>
      </c>
      <c r="N1507" s="0" t="n">
        <v>690</v>
      </c>
      <c r="O1507" s="10" t="n">
        <v>0.501878930721432</v>
      </c>
      <c r="P1507" s="10" t="n">
        <v>0.419500603340566</v>
      </c>
      <c r="Q1507" s="0" t="str">
        <f aca="false">SUBSTITUTE(SUBSTITUTE($I1507,CHAR(61),""),CHAR(34),"")</f>
        <v>&lt;01</v>
      </c>
      <c r="R1507" s="0" t="str">
        <f aca="false">IF($D1507&lt;&gt;"","["&amp;$E1507&amp;"]"&amp;"|"&amp;$Q1507&amp;"|"&amp;$K1507&amp;"|"&amp;$G1507&amp;"|"&amp;IF($G1507="TX_CURR_SUBNAT.R","CY2022Q4",$M1507),"")</f>
        <v>[E7zpfyBt7Tw]|&lt;01|Male|PLHIV_Residents.T_1|CY2023Q3</v>
      </c>
    </row>
    <row r="1508" customFormat="false" ht="15" hidden="false" customHeight="false" outlineLevel="0" collapsed="false">
      <c r="D1508" s="0" t="s">
        <v>123</v>
      </c>
      <c r="E1508" s="0" t="s">
        <v>124</v>
      </c>
      <c r="F1508" s="0" t="s">
        <v>125</v>
      </c>
      <c r="G1508" s="0" t="s">
        <v>143</v>
      </c>
      <c r="H1508" s="0" t="s">
        <v>144</v>
      </c>
      <c r="I1508" s="0" t="s">
        <v>33</v>
      </c>
      <c r="J1508" s="0" t="s">
        <v>34</v>
      </c>
      <c r="K1508" s="0" t="s">
        <v>48</v>
      </c>
      <c r="L1508" s="0" t="s">
        <v>49</v>
      </c>
      <c r="M1508" s="0" t="s">
        <v>140</v>
      </c>
      <c r="N1508" s="0" t="n">
        <v>1748</v>
      </c>
      <c r="O1508" s="10" t="n">
        <v>0.451331266434863</v>
      </c>
      <c r="P1508" s="10" t="n">
        <v>0.419500603340566</v>
      </c>
      <c r="Q1508" s="0" t="str">
        <f aca="false">SUBSTITUTE(SUBSTITUTE($I1508,CHAR(61),""),CHAR(34),"")</f>
        <v>01-09</v>
      </c>
      <c r="R1508" s="0" t="str">
        <f aca="false">IF($D1508&lt;&gt;"","["&amp;$E1508&amp;"]"&amp;"|"&amp;$Q1508&amp;"|"&amp;$K1508&amp;"|"&amp;$G1508&amp;"|"&amp;IF($G1508="TX_CURR_SUBNAT.R","CY2022Q4",$M1508),"")</f>
        <v>[E7zpfyBt7Tw]|01-09|Male|PLHIV_Residents.T_1|CY2023Q3</v>
      </c>
    </row>
    <row r="1509" customFormat="false" ht="15" hidden="false" customHeight="false" outlineLevel="0" collapsed="false">
      <c r="D1509" s="0" t="s">
        <v>123</v>
      </c>
      <c r="E1509" s="0" t="s">
        <v>124</v>
      </c>
      <c r="F1509" s="0" t="s">
        <v>125</v>
      </c>
      <c r="G1509" s="0" t="s">
        <v>143</v>
      </c>
      <c r="H1509" s="0" t="s">
        <v>144</v>
      </c>
      <c r="I1509" s="0" t="s">
        <v>36</v>
      </c>
      <c r="J1509" s="0" t="s">
        <v>37</v>
      </c>
      <c r="K1509" s="0" t="s">
        <v>48</v>
      </c>
      <c r="L1509" s="0" t="s">
        <v>49</v>
      </c>
      <c r="M1509" s="0" t="s">
        <v>140</v>
      </c>
      <c r="N1509" s="0" t="n">
        <v>597</v>
      </c>
      <c r="O1509" s="10" t="n">
        <v>0.964722273172811</v>
      </c>
      <c r="P1509" s="10" t="n">
        <v>0.419500603340566</v>
      </c>
      <c r="Q1509" s="0" t="str">
        <f aca="false">SUBSTITUTE(SUBSTITUTE($I1509,CHAR(61),""),CHAR(34),"")</f>
        <v>10-14</v>
      </c>
      <c r="R1509" s="0" t="str">
        <f aca="false">IF($D1509&lt;&gt;"","["&amp;$E1509&amp;"]"&amp;"|"&amp;$Q1509&amp;"|"&amp;$K1509&amp;"|"&amp;$G1509&amp;"|"&amp;IF($G1509="TX_CURR_SUBNAT.R","CY2022Q4",$M1509),"")</f>
        <v>[E7zpfyBt7Tw]|10-14|Male|PLHIV_Residents.T_1|CY2023Q3</v>
      </c>
    </row>
    <row r="1510" customFormat="false" ht="15" hidden="false" customHeight="false" outlineLevel="0" collapsed="false">
      <c r="D1510" s="0" t="s">
        <v>123</v>
      </c>
      <c r="E1510" s="0" t="s">
        <v>124</v>
      </c>
      <c r="F1510" s="0" t="s">
        <v>125</v>
      </c>
      <c r="G1510" s="0" t="s">
        <v>143</v>
      </c>
      <c r="H1510" s="0" t="s">
        <v>144</v>
      </c>
      <c r="I1510" s="0" t="s">
        <v>38</v>
      </c>
      <c r="J1510" s="0" t="s">
        <v>39</v>
      </c>
      <c r="K1510" s="0" t="s">
        <v>48</v>
      </c>
      <c r="L1510" s="0" t="s">
        <v>49</v>
      </c>
      <c r="M1510" s="0" t="s">
        <v>140</v>
      </c>
      <c r="N1510" s="0" t="n">
        <v>694</v>
      </c>
      <c r="O1510" s="10" t="n">
        <v>0.104725224664435</v>
      </c>
      <c r="P1510" s="10" t="n">
        <v>0.419500603340566</v>
      </c>
      <c r="Q1510" s="0" t="str">
        <f aca="false">SUBSTITUTE(SUBSTITUTE($I1510,CHAR(61),""),CHAR(34),"")</f>
        <v>15-24</v>
      </c>
      <c r="R1510" s="0" t="str">
        <f aca="false">IF($D1510&lt;&gt;"","["&amp;$E1510&amp;"]"&amp;"|"&amp;$Q1510&amp;"|"&amp;$K1510&amp;"|"&amp;$G1510&amp;"|"&amp;IF($G1510="TX_CURR_SUBNAT.R","CY2022Q4",$M1510),"")</f>
        <v>[E7zpfyBt7Tw]|15-24|Male|PLHIV_Residents.T_1|CY2023Q3</v>
      </c>
    </row>
    <row r="1511" customFormat="false" ht="15" hidden="false" customHeight="false" outlineLevel="0" collapsed="false">
      <c r="D1511" s="0" t="s">
        <v>123</v>
      </c>
      <c r="E1511" s="0" t="s">
        <v>124</v>
      </c>
      <c r="F1511" s="0" t="s">
        <v>125</v>
      </c>
      <c r="G1511" s="0" t="s">
        <v>143</v>
      </c>
      <c r="H1511" s="0" t="s">
        <v>144</v>
      </c>
      <c r="I1511" s="0" t="s">
        <v>41</v>
      </c>
      <c r="J1511" s="0" t="s">
        <v>42</v>
      </c>
      <c r="K1511" s="0" t="s">
        <v>48</v>
      </c>
      <c r="L1511" s="0" t="s">
        <v>49</v>
      </c>
      <c r="M1511" s="0" t="s">
        <v>140</v>
      </c>
      <c r="N1511" s="0" t="n">
        <v>1363</v>
      </c>
      <c r="O1511" s="10" t="n">
        <v>0.503286584047601</v>
      </c>
      <c r="P1511" s="10" t="n">
        <v>0.419500603340566</v>
      </c>
      <c r="Q1511" s="0" t="str">
        <f aca="false">SUBSTITUTE(SUBSTITUTE($I1511,CHAR(61),""),CHAR(34),"")</f>
        <v>25-34</v>
      </c>
      <c r="R1511" s="0" t="str">
        <f aca="false">IF($D1511&lt;&gt;"","["&amp;$E1511&amp;"]"&amp;"|"&amp;$Q1511&amp;"|"&amp;$K1511&amp;"|"&amp;$G1511&amp;"|"&amp;IF($G1511="TX_CURR_SUBNAT.R","CY2022Q4",$M1511),"")</f>
        <v>[E7zpfyBt7Tw]|25-34|Male|PLHIV_Residents.T_1|CY2023Q3</v>
      </c>
    </row>
    <row r="1512" customFormat="false" ht="15" hidden="false" customHeight="false" outlineLevel="0" collapsed="false">
      <c r="D1512" s="0" t="s">
        <v>123</v>
      </c>
      <c r="E1512" s="0" t="s">
        <v>124</v>
      </c>
      <c r="F1512" s="0" t="s">
        <v>125</v>
      </c>
      <c r="G1512" s="0" t="s">
        <v>143</v>
      </c>
      <c r="H1512" s="0" t="s">
        <v>144</v>
      </c>
      <c r="I1512" s="0" t="s">
        <v>43</v>
      </c>
      <c r="J1512" s="0" t="s">
        <v>44</v>
      </c>
      <c r="K1512" s="0" t="s">
        <v>48</v>
      </c>
      <c r="L1512" s="0" t="s">
        <v>49</v>
      </c>
      <c r="M1512" s="0" t="s">
        <v>140</v>
      </c>
      <c r="N1512" s="0" t="n">
        <v>1217</v>
      </c>
      <c r="O1512" s="10" t="n">
        <v>0.231947298161685</v>
      </c>
      <c r="P1512" s="10" t="n">
        <v>0.419500603340566</v>
      </c>
      <c r="Q1512" s="0" t="str">
        <f aca="false">SUBSTITUTE(SUBSTITUTE($I1512,CHAR(61),""),CHAR(34),"")</f>
        <v>35-49</v>
      </c>
      <c r="R1512" s="0" t="str">
        <f aca="false">IF($D1512&lt;&gt;"","["&amp;$E1512&amp;"]"&amp;"|"&amp;$Q1512&amp;"|"&amp;$K1512&amp;"|"&amp;$G1512&amp;"|"&amp;IF($G1512="TX_CURR_SUBNAT.R","CY2022Q4",$M1512),"")</f>
        <v>[E7zpfyBt7Tw]|35-49|Male|PLHIV_Residents.T_1|CY2023Q3</v>
      </c>
    </row>
    <row r="1513" customFormat="false" ht="15" hidden="false" customHeight="false" outlineLevel="0" collapsed="false">
      <c r="D1513" s="0" t="s">
        <v>123</v>
      </c>
      <c r="E1513" s="0" t="s">
        <v>124</v>
      </c>
      <c r="F1513" s="0" t="s">
        <v>125</v>
      </c>
      <c r="G1513" s="0" t="s">
        <v>143</v>
      </c>
      <c r="H1513" s="0" t="s">
        <v>144</v>
      </c>
      <c r="I1513" s="0" t="s">
        <v>45</v>
      </c>
      <c r="J1513" s="0" t="s">
        <v>46</v>
      </c>
      <c r="K1513" s="0" t="s">
        <v>48</v>
      </c>
      <c r="L1513" s="0" t="s">
        <v>49</v>
      </c>
      <c r="M1513" s="0" t="s">
        <v>140</v>
      </c>
      <c r="N1513" s="0" t="n">
        <v>1431</v>
      </c>
      <c r="O1513" s="10" t="n">
        <v>0.563254181761295</v>
      </c>
      <c r="P1513" s="10" t="n">
        <v>0.419500603340566</v>
      </c>
      <c r="Q1513" s="0" t="str">
        <f aca="false">SUBSTITUTE(SUBSTITUTE($I1513,CHAR(61),""),CHAR(34),"")</f>
        <v>50+</v>
      </c>
      <c r="R1513" s="0" t="str">
        <f aca="false">IF($D1513&lt;&gt;"","["&amp;$E1513&amp;"]"&amp;"|"&amp;$Q1513&amp;"|"&amp;$K1513&amp;"|"&amp;$G1513&amp;"|"&amp;IF($G1513="TX_CURR_SUBNAT.R","CY2022Q4",$M1513),"")</f>
        <v>[E7zpfyBt7Tw]|50+|Male|PLHIV_Residents.T_1|CY2023Q3</v>
      </c>
    </row>
    <row r="1514" customFormat="false" ht="15" hidden="false" customHeight="false" outlineLevel="0" collapsed="false">
      <c r="D1514" s="0" t="s">
        <v>126</v>
      </c>
      <c r="E1514" s="0" t="s">
        <v>127</v>
      </c>
      <c r="F1514" s="0" t="s">
        <v>128</v>
      </c>
      <c r="G1514" s="0" t="s">
        <v>143</v>
      </c>
      <c r="H1514" s="0" t="s">
        <v>144</v>
      </c>
      <c r="I1514" s="0" t="s">
        <v>28</v>
      </c>
      <c r="J1514" s="0" t="s">
        <v>29</v>
      </c>
      <c r="K1514" s="0" t="s">
        <v>30</v>
      </c>
      <c r="L1514" s="0" t="s">
        <v>31</v>
      </c>
      <c r="M1514" s="0" t="s">
        <v>140</v>
      </c>
      <c r="N1514" s="0" t="n">
        <v>1113</v>
      </c>
      <c r="O1514" s="10" t="n">
        <v>0.241344748297706</v>
      </c>
      <c r="P1514" s="10" t="n">
        <v>0.252706390339881</v>
      </c>
      <c r="Q1514" s="0" t="str">
        <f aca="false">SUBSTITUTE(SUBSTITUTE($I1514,CHAR(61),""),CHAR(34),"")</f>
        <v>&lt;01</v>
      </c>
      <c r="R1514" s="0" t="str">
        <f aca="false">IF($D1514&lt;&gt;"","["&amp;$E1514&amp;"]"&amp;"|"&amp;$Q1514&amp;"|"&amp;$K1514&amp;"|"&amp;$G1514&amp;"|"&amp;IF($G1514="TX_CURR_SUBNAT.R","CY2022Q4",$M1514),"")</f>
        <v>[ZCjuwgaMB9u]|&lt;01|Female|PLHIV_Residents.T_1|CY2023Q3</v>
      </c>
    </row>
    <row r="1515" customFormat="false" ht="15" hidden="false" customHeight="false" outlineLevel="0" collapsed="false">
      <c r="D1515" s="0" t="s">
        <v>126</v>
      </c>
      <c r="E1515" s="0" t="s">
        <v>127</v>
      </c>
      <c r="F1515" s="0" t="s">
        <v>128</v>
      </c>
      <c r="G1515" s="0" t="s">
        <v>143</v>
      </c>
      <c r="H1515" s="0" t="s">
        <v>144</v>
      </c>
      <c r="I1515" s="0" t="s">
        <v>33</v>
      </c>
      <c r="J1515" s="0" t="s">
        <v>34</v>
      </c>
      <c r="K1515" s="0" t="s">
        <v>30</v>
      </c>
      <c r="L1515" s="0" t="s">
        <v>31</v>
      </c>
      <c r="M1515" s="0" t="s">
        <v>140</v>
      </c>
      <c r="N1515" s="0" t="n">
        <v>1159</v>
      </c>
      <c r="O1515" s="10" t="n">
        <v>0.716032979544252</v>
      </c>
      <c r="P1515" s="10" t="n">
        <v>0.252706390339881</v>
      </c>
      <c r="Q1515" s="0" t="str">
        <f aca="false">SUBSTITUTE(SUBSTITUTE($I1515,CHAR(61),""),CHAR(34),"")</f>
        <v>01-09</v>
      </c>
      <c r="R1515" s="0" t="str">
        <f aca="false">IF($D1515&lt;&gt;"","["&amp;$E1515&amp;"]"&amp;"|"&amp;$Q1515&amp;"|"&amp;$K1515&amp;"|"&amp;$G1515&amp;"|"&amp;IF($G1515="TX_CURR_SUBNAT.R","CY2022Q4",$M1515),"")</f>
        <v>[ZCjuwgaMB9u]|01-09|Female|PLHIV_Residents.T_1|CY2023Q3</v>
      </c>
    </row>
    <row r="1516" customFormat="false" ht="15" hidden="false" customHeight="false" outlineLevel="0" collapsed="false">
      <c r="D1516" s="0" t="s">
        <v>126</v>
      </c>
      <c r="E1516" s="0" t="s">
        <v>127</v>
      </c>
      <c r="F1516" s="0" t="s">
        <v>128</v>
      </c>
      <c r="G1516" s="0" t="s">
        <v>143</v>
      </c>
      <c r="H1516" s="0" t="s">
        <v>144</v>
      </c>
      <c r="I1516" s="0" t="s">
        <v>36</v>
      </c>
      <c r="J1516" s="0" t="s">
        <v>37</v>
      </c>
      <c r="K1516" s="0" t="s">
        <v>30</v>
      </c>
      <c r="L1516" s="0" t="s">
        <v>31</v>
      </c>
      <c r="M1516" s="0" t="s">
        <v>140</v>
      </c>
      <c r="N1516" s="0" t="n">
        <v>1382</v>
      </c>
      <c r="O1516" s="10" t="n">
        <v>0.624221265083179</v>
      </c>
      <c r="P1516" s="10" t="n">
        <v>0.252706390339881</v>
      </c>
      <c r="Q1516" s="0" t="str">
        <f aca="false">SUBSTITUTE(SUBSTITUTE($I1516,CHAR(61),""),CHAR(34),"")</f>
        <v>10-14</v>
      </c>
      <c r="R1516" s="0" t="str">
        <f aca="false">IF($D1516&lt;&gt;"","["&amp;$E1516&amp;"]"&amp;"|"&amp;$Q1516&amp;"|"&amp;$K1516&amp;"|"&amp;$G1516&amp;"|"&amp;IF($G1516="TX_CURR_SUBNAT.R","CY2022Q4",$M1516),"")</f>
        <v>[ZCjuwgaMB9u]|10-14|Female|PLHIV_Residents.T_1|CY2023Q3</v>
      </c>
    </row>
    <row r="1517" customFormat="false" ht="15" hidden="false" customHeight="false" outlineLevel="0" collapsed="false">
      <c r="D1517" s="0" t="s">
        <v>126</v>
      </c>
      <c r="E1517" s="0" t="s">
        <v>127</v>
      </c>
      <c r="F1517" s="0" t="s">
        <v>128</v>
      </c>
      <c r="G1517" s="0" t="s">
        <v>143</v>
      </c>
      <c r="H1517" s="0" t="s">
        <v>144</v>
      </c>
      <c r="I1517" s="0" t="s">
        <v>38</v>
      </c>
      <c r="J1517" s="0" t="s">
        <v>39</v>
      </c>
      <c r="K1517" s="0" t="s">
        <v>30</v>
      </c>
      <c r="L1517" s="0" t="s">
        <v>31</v>
      </c>
      <c r="M1517" s="0" t="s">
        <v>140</v>
      </c>
      <c r="N1517" s="0" t="n">
        <v>1050</v>
      </c>
      <c r="O1517" s="10" t="n">
        <v>0.607803175691515</v>
      </c>
      <c r="P1517" s="10" t="n">
        <v>0.252706390339881</v>
      </c>
      <c r="Q1517" s="0" t="str">
        <f aca="false">SUBSTITUTE(SUBSTITUTE($I1517,CHAR(61),""),CHAR(34),"")</f>
        <v>15-24</v>
      </c>
      <c r="R1517" s="0" t="str">
        <f aca="false">IF($D1517&lt;&gt;"","["&amp;$E1517&amp;"]"&amp;"|"&amp;$Q1517&amp;"|"&amp;$K1517&amp;"|"&amp;$G1517&amp;"|"&amp;IF($G1517="TX_CURR_SUBNAT.R","CY2022Q4",$M1517),"")</f>
        <v>[ZCjuwgaMB9u]|15-24|Female|PLHIV_Residents.T_1|CY2023Q3</v>
      </c>
    </row>
    <row r="1518" customFormat="false" ht="15" hidden="false" customHeight="false" outlineLevel="0" collapsed="false">
      <c r="D1518" s="0" t="s">
        <v>126</v>
      </c>
      <c r="E1518" s="0" t="s">
        <v>127</v>
      </c>
      <c r="F1518" s="0" t="s">
        <v>128</v>
      </c>
      <c r="G1518" s="0" t="s">
        <v>143</v>
      </c>
      <c r="H1518" s="0" t="s">
        <v>144</v>
      </c>
      <c r="I1518" s="0" t="s">
        <v>41</v>
      </c>
      <c r="J1518" s="0" t="s">
        <v>42</v>
      </c>
      <c r="K1518" s="0" t="s">
        <v>30</v>
      </c>
      <c r="L1518" s="0" t="s">
        <v>31</v>
      </c>
      <c r="M1518" s="0" t="s">
        <v>140</v>
      </c>
      <c r="N1518" s="0" t="n">
        <v>949</v>
      </c>
      <c r="O1518" s="10" t="n">
        <v>0.695315279532224</v>
      </c>
      <c r="P1518" s="10" t="n">
        <v>0.252706390339881</v>
      </c>
      <c r="Q1518" s="0" t="str">
        <f aca="false">SUBSTITUTE(SUBSTITUTE($I1518,CHAR(61),""),CHAR(34),"")</f>
        <v>25-34</v>
      </c>
      <c r="R1518" s="0" t="str">
        <f aca="false">IF($D1518&lt;&gt;"","["&amp;$E1518&amp;"]"&amp;"|"&amp;$Q1518&amp;"|"&amp;$K1518&amp;"|"&amp;$G1518&amp;"|"&amp;IF($G1518="TX_CURR_SUBNAT.R","CY2022Q4",$M1518),"")</f>
        <v>[ZCjuwgaMB9u]|25-34|Female|PLHIV_Residents.T_1|CY2023Q3</v>
      </c>
    </row>
    <row r="1519" customFormat="false" ht="15" hidden="false" customHeight="false" outlineLevel="0" collapsed="false">
      <c r="D1519" s="0" t="s">
        <v>126</v>
      </c>
      <c r="E1519" s="0" t="s">
        <v>127</v>
      </c>
      <c r="F1519" s="0" t="s">
        <v>128</v>
      </c>
      <c r="G1519" s="0" t="s">
        <v>143</v>
      </c>
      <c r="H1519" s="0" t="s">
        <v>144</v>
      </c>
      <c r="I1519" s="0" t="s">
        <v>43</v>
      </c>
      <c r="J1519" s="0" t="s">
        <v>44</v>
      </c>
      <c r="K1519" s="0" t="s">
        <v>30</v>
      </c>
      <c r="L1519" s="0" t="s">
        <v>31</v>
      </c>
      <c r="M1519" s="0" t="s">
        <v>140</v>
      </c>
      <c r="N1519" s="0" t="n">
        <v>1692</v>
      </c>
      <c r="O1519" s="10" t="n">
        <v>0.922799924388528</v>
      </c>
      <c r="P1519" s="10" t="n">
        <v>0.252706390339881</v>
      </c>
      <c r="Q1519" s="0" t="str">
        <f aca="false">SUBSTITUTE(SUBSTITUTE($I1519,CHAR(61),""),CHAR(34),"")</f>
        <v>35-49</v>
      </c>
      <c r="R1519" s="0" t="str">
        <f aca="false">IF($D1519&lt;&gt;"","["&amp;$E1519&amp;"]"&amp;"|"&amp;$Q1519&amp;"|"&amp;$K1519&amp;"|"&amp;$G1519&amp;"|"&amp;IF($G1519="TX_CURR_SUBNAT.R","CY2022Q4",$M1519),"")</f>
        <v>[ZCjuwgaMB9u]|35-49|Female|PLHIV_Residents.T_1|CY2023Q3</v>
      </c>
    </row>
    <row r="1520" customFormat="false" ht="15" hidden="false" customHeight="false" outlineLevel="0" collapsed="false">
      <c r="D1520" s="0" t="s">
        <v>126</v>
      </c>
      <c r="E1520" s="0" t="s">
        <v>127</v>
      </c>
      <c r="F1520" s="0" t="s">
        <v>128</v>
      </c>
      <c r="G1520" s="0" t="s">
        <v>143</v>
      </c>
      <c r="H1520" s="0" t="s">
        <v>144</v>
      </c>
      <c r="I1520" s="0" t="s">
        <v>45</v>
      </c>
      <c r="J1520" s="0" t="s">
        <v>46</v>
      </c>
      <c r="K1520" s="0" t="s">
        <v>30</v>
      </c>
      <c r="L1520" s="0" t="s">
        <v>31</v>
      </c>
      <c r="M1520" s="0" t="s">
        <v>140</v>
      </c>
      <c r="N1520" s="0" t="n">
        <v>1640</v>
      </c>
      <c r="O1520" s="10" t="n">
        <v>0.168163202470168</v>
      </c>
      <c r="P1520" s="10" t="n">
        <v>0.252706390339881</v>
      </c>
      <c r="Q1520" s="0" t="str">
        <f aca="false">SUBSTITUTE(SUBSTITUTE($I1520,CHAR(61),""),CHAR(34),"")</f>
        <v>50+</v>
      </c>
      <c r="R1520" s="0" t="str">
        <f aca="false">IF($D1520&lt;&gt;"","["&amp;$E1520&amp;"]"&amp;"|"&amp;$Q1520&amp;"|"&amp;$K1520&amp;"|"&amp;$G1520&amp;"|"&amp;IF($G1520="TX_CURR_SUBNAT.R","CY2022Q4",$M1520),"")</f>
        <v>[ZCjuwgaMB9u]|50+|Female|PLHIV_Residents.T_1|CY2023Q3</v>
      </c>
    </row>
    <row r="1521" customFormat="false" ht="15" hidden="false" customHeight="false" outlineLevel="0" collapsed="false">
      <c r="D1521" s="0" t="s">
        <v>126</v>
      </c>
      <c r="E1521" s="0" t="s">
        <v>127</v>
      </c>
      <c r="F1521" s="0" t="s">
        <v>128</v>
      </c>
      <c r="G1521" s="0" t="s">
        <v>143</v>
      </c>
      <c r="H1521" s="0" t="s">
        <v>144</v>
      </c>
      <c r="I1521" s="0" t="s">
        <v>28</v>
      </c>
      <c r="J1521" s="0" t="s">
        <v>29</v>
      </c>
      <c r="K1521" s="0" t="s">
        <v>48</v>
      </c>
      <c r="L1521" s="0" t="s">
        <v>49</v>
      </c>
      <c r="M1521" s="0" t="s">
        <v>140</v>
      </c>
      <c r="N1521" s="0" t="n">
        <v>988</v>
      </c>
      <c r="O1521" s="10" t="n">
        <v>0.786149392602965</v>
      </c>
      <c r="P1521" s="10" t="n">
        <v>0.252706390339881</v>
      </c>
      <c r="Q1521" s="0" t="str">
        <f aca="false">SUBSTITUTE(SUBSTITUTE($I1521,CHAR(61),""),CHAR(34),"")</f>
        <v>&lt;01</v>
      </c>
      <c r="R1521" s="0" t="str">
        <f aca="false">IF($D1521&lt;&gt;"","["&amp;$E1521&amp;"]"&amp;"|"&amp;$Q1521&amp;"|"&amp;$K1521&amp;"|"&amp;$G1521&amp;"|"&amp;IF($G1521="TX_CURR_SUBNAT.R","CY2022Q4",$M1521),"")</f>
        <v>[ZCjuwgaMB9u]|&lt;01|Male|PLHIV_Residents.T_1|CY2023Q3</v>
      </c>
    </row>
    <row r="1522" customFormat="false" ht="15" hidden="false" customHeight="false" outlineLevel="0" collapsed="false">
      <c r="D1522" s="0" t="s">
        <v>126</v>
      </c>
      <c r="E1522" s="0" t="s">
        <v>127</v>
      </c>
      <c r="F1522" s="0" t="s">
        <v>128</v>
      </c>
      <c r="G1522" s="0" t="s">
        <v>143</v>
      </c>
      <c r="H1522" s="0" t="s">
        <v>144</v>
      </c>
      <c r="I1522" s="0" t="s">
        <v>33</v>
      </c>
      <c r="J1522" s="0" t="s">
        <v>34</v>
      </c>
      <c r="K1522" s="0" t="s">
        <v>48</v>
      </c>
      <c r="L1522" s="0" t="s">
        <v>49</v>
      </c>
      <c r="M1522" s="0" t="s">
        <v>140</v>
      </c>
      <c r="N1522" s="0" t="n">
        <v>706</v>
      </c>
      <c r="O1522" s="10" t="n">
        <v>0.760484431870282</v>
      </c>
      <c r="P1522" s="10" t="n">
        <v>0.252706390339881</v>
      </c>
      <c r="Q1522" s="0" t="str">
        <f aca="false">SUBSTITUTE(SUBSTITUTE($I1522,CHAR(61),""),CHAR(34),"")</f>
        <v>01-09</v>
      </c>
      <c r="R1522" s="0" t="str">
        <f aca="false">IF($D1522&lt;&gt;"","["&amp;$E1522&amp;"]"&amp;"|"&amp;$Q1522&amp;"|"&amp;$K1522&amp;"|"&amp;$G1522&amp;"|"&amp;IF($G1522="TX_CURR_SUBNAT.R","CY2022Q4",$M1522),"")</f>
        <v>[ZCjuwgaMB9u]|01-09|Male|PLHIV_Residents.T_1|CY2023Q3</v>
      </c>
    </row>
    <row r="1523" customFormat="false" ht="15" hidden="false" customHeight="false" outlineLevel="0" collapsed="false">
      <c r="D1523" s="0" t="s">
        <v>126</v>
      </c>
      <c r="E1523" s="0" t="s">
        <v>127</v>
      </c>
      <c r="F1523" s="0" t="s">
        <v>128</v>
      </c>
      <c r="G1523" s="0" t="s">
        <v>143</v>
      </c>
      <c r="H1523" s="0" t="s">
        <v>144</v>
      </c>
      <c r="I1523" s="0" t="s">
        <v>36</v>
      </c>
      <c r="J1523" s="0" t="s">
        <v>37</v>
      </c>
      <c r="K1523" s="0" t="s">
        <v>48</v>
      </c>
      <c r="L1523" s="0" t="s">
        <v>49</v>
      </c>
      <c r="M1523" s="0" t="s">
        <v>140</v>
      </c>
      <c r="N1523" s="0" t="n">
        <v>824</v>
      </c>
      <c r="O1523" s="10" t="n">
        <v>0.22896596766077</v>
      </c>
      <c r="P1523" s="10" t="n">
        <v>0.252706390339881</v>
      </c>
      <c r="Q1523" s="0" t="str">
        <f aca="false">SUBSTITUTE(SUBSTITUTE($I1523,CHAR(61),""),CHAR(34),"")</f>
        <v>10-14</v>
      </c>
      <c r="R1523" s="0" t="str">
        <f aca="false">IF($D1523&lt;&gt;"","["&amp;$E1523&amp;"]"&amp;"|"&amp;$Q1523&amp;"|"&amp;$K1523&amp;"|"&amp;$G1523&amp;"|"&amp;IF($G1523="TX_CURR_SUBNAT.R","CY2022Q4",$M1523),"")</f>
        <v>[ZCjuwgaMB9u]|10-14|Male|PLHIV_Residents.T_1|CY2023Q3</v>
      </c>
    </row>
    <row r="1524" customFormat="false" ht="15" hidden="false" customHeight="false" outlineLevel="0" collapsed="false">
      <c r="D1524" s="0" t="s">
        <v>126</v>
      </c>
      <c r="E1524" s="0" t="s">
        <v>127</v>
      </c>
      <c r="F1524" s="0" t="s">
        <v>128</v>
      </c>
      <c r="G1524" s="0" t="s">
        <v>143</v>
      </c>
      <c r="H1524" s="0" t="s">
        <v>144</v>
      </c>
      <c r="I1524" s="0" t="s">
        <v>38</v>
      </c>
      <c r="J1524" s="0" t="s">
        <v>39</v>
      </c>
      <c r="K1524" s="0" t="s">
        <v>48</v>
      </c>
      <c r="L1524" s="0" t="s">
        <v>49</v>
      </c>
      <c r="M1524" s="0" t="s">
        <v>140</v>
      </c>
      <c r="N1524" s="0" t="n">
        <v>1986</v>
      </c>
      <c r="O1524" s="10" t="n">
        <v>0.924939357209951</v>
      </c>
      <c r="P1524" s="10" t="n">
        <v>0.252706390339881</v>
      </c>
      <c r="Q1524" s="0" t="str">
        <f aca="false">SUBSTITUTE(SUBSTITUTE($I1524,CHAR(61),""),CHAR(34),"")</f>
        <v>15-24</v>
      </c>
      <c r="R1524" s="0" t="str">
        <f aca="false">IF($D1524&lt;&gt;"","["&amp;$E1524&amp;"]"&amp;"|"&amp;$Q1524&amp;"|"&amp;$K1524&amp;"|"&amp;$G1524&amp;"|"&amp;IF($G1524="TX_CURR_SUBNAT.R","CY2022Q4",$M1524),"")</f>
        <v>[ZCjuwgaMB9u]|15-24|Male|PLHIV_Residents.T_1|CY2023Q3</v>
      </c>
    </row>
    <row r="1525" customFormat="false" ht="15" hidden="false" customHeight="false" outlineLevel="0" collapsed="false">
      <c r="D1525" s="0" t="s">
        <v>126</v>
      </c>
      <c r="E1525" s="0" t="s">
        <v>127</v>
      </c>
      <c r="F1525" s="0" t="s">
        <v>128</v>
      </c>
      <c r="G1525" s="0" t="s">
        <v>143</v>
      </c>
      <c r="H1525" s="0" t="s">
        <v>144</v>
      </c>
      <c r="I1525" s="0" t="s">
        <v>41</v>
      </c>
      <c r="J1525" s="0" t="s">
        <v>42</v>
      </c>
      <c r="K1525" s="0" t="s">
        <v>48</v>
      </c>
      <c r="L1525" s="0" t="s">
        <v>49</v>
      </c>
      <c r="M1525" s="0" t="s">
        <v>140</v>
      </c>
      <c r="N1525" s="0" t="n">
        <v>1989</v>
      </c>
      <c r="O1525" s="10" t="n">
        <v>0.309791502775624</v>
      </c>
      <c r="P1525" s="10" t="n">
        <v>0.252706390339881</v>
      </c>
      <c r="Q1525" s="0" t="str">
        <f aca="false">SUBSTITUTE(SUBSTITUTE($I1525,CHAR(61),""),CHAR(34),"")</f>
        <v>25-34</v>
      </c>
      <c r="R1525" s="0" t="str">
        <f aca="false">IF($D1525&lt;&gt;"","["&amp;$E1525&amp;"]"&amp;"|"&amp;$Q1525&amp;"|"&amp;$K1525&amp;"|"&amp;$G1525&amp;"|"&amp;IF($G1525="TX_CURR_SUBNAT.R","CY2022Q4",$M1525),"")</f>
        <v>[ZCjuwgaMB9u]|25-34|Male|PLHIV_Residents.T_1|CY2023Q3</v>
      </c>
    </row>
    <row r="1526" customFormat="false" ht="15" hidden="false" customHeight="false" outlineLevel="0" collapsed="false">
      <c r="D1526" s="0" t="s">
        <v>126</v>
      </c>
      <c r="E1526" s="0" t="s">
        <v>127</v>
      </c>
      <c r="F1526" s="0" t="s">
        <v>128</v>
      </c>
      <c r="G1526" s="0" t="s">
        <v>143</v>
      </c>
      <c r="H1526" s="0" t="s">
        <v>144</v>
      </c>
      <c r="I1526" s="0" t="s">
        <v>43</v>
      </c>
      <c r="J1526" s="0" t="s">
        <v>44</v>
      </c>
      <c r="K1526" s="0" t="s">
        <v>48</v>
      </c>
      <c r="L1526" s="0" t="s">
        <v>49</v>
      </c>
      <c r="M1526" s="0" t="s">
        <v>140</v>
      </c>
      <c r="N1526" s="0" t="n">
        <v>1179</v>
      </c>
      <c r="O1526" s="10" t="n">
        <v>0.139519909629598</v>
      </c>
      <c r="P1526" s="10" t="n">
        <v>0.252706390339881</v>
      </c>
      <c r="Q1526" s="0" t="str">
        <f aca="false">SUBSTITUTE(SUBSTITUTE($I1526,CHAR(61),""),CHAR(34),"")</f>
        <v>35-49</v>
      </c>
      <c r="R1526" s="0" t="str">
        <f aca="false">IF($D1526&lt;&gt;"","["&amp;$E1526&amp;"]"&amp;"|"&amp;$Q1526&amp;"|"&amp;$K1526&amp;"|"&amp;$G1526&amp;"|"&amp;IF($G1526="TX_CURR_SUBNAT.R","CY2022Q4",$M1526),"")</f>
        <v>[ZCjuwgaMB9u]|35-49|Male|PLHIV_Residents.T_1|CY2023Q3</v>
      </c>
    </row>
    <row r="1527" customFormat="false" ht="15" hidden="false" customHeight="false" outlineLevel="0" collapsed="false">
      <c r="D1527" s="0" t="s">
        <v>126</v>
      </c>
      <c r="E1527" s="0" t="s">
        <v>127</v>
      </c>
      <c r="F1527" s="0" t="s">
        <v>128</v>
      </c>
      <c r="G1527" s="0" t="s">
        <v>143</v>
      </c>
      <c r="H1527" s="0" t="s">
        <v>144</v>
      </c>
      <c r="I1527" s="0" t="s">
        <v>45</v>
      </c>
      <c r="J1527" s="0" t="s">
        <v>46</v>
      </c>
      <c r="K1527" s="0" t="s">
        <v>48</v>
      </c>
      <c r="L1527" s="0" t="s">
        <v>49</v>
      </c>
      <c r="M1527" s="0" t="s">
        <v>140</v>
      </c>
      <c r="N1527" s="0" t="n">
        <v>1844</v>
      </c>
      <c r="O1527" s="10" t="n">
        <v>0.654138378566131</v>
      </c>
      <c r="P1527" s="10" t="n">
        <v>0.252706390339881</v>
      </c>
      <c r="Q1527" s="0" t="str">
        <f aca="false">SUBSTITUTE(SUBSTITUTE($I1527,CHAR(61),""),CHAR(34),"")</f>
        <v>50+</v>
      </c>
      <c r="R1527" s="0" t="str">
        <f aca="false">IF($D1527&lt;&gt;"","["&amp;$E1527&amp;"]"&amp;"|"&amp;$Q1527&amp;"|"&amp;$K1527&amp;"|"&amp;$G1527&amp;"|"&amp;IF($G1527="TX_CURR_SUBNAT.R","CY2022Q4",$M1527),"")</f>
        <v>[ZCjuwgaMB9u]|50+|Male|PLHIV_Residents.T_1|CY2023Q3</v>
      </c>
    </row>
    <row r="1528" customFormat="false" ht="15" hidden="false" customHeight="false" outlineLevel="0" collapsed="false">
      <c r="D1528" s="0" t="s">
        <v>129</v>
      </c>
      <c r="E1528" s="0" t="s">
        <v>130</v>
      </c>
      <c r="F1528" s="0" t="s">
        <v>131</v>
      </c>
      <c r="G1528" s="0" t="s">
        <v>143</v>
      </c>
      <c r="H1528" s="0" t="s">
        <v>144</v>
      </c>
      <c r="I1528" s="0" t="s">
        <v>28</v>
      </c>
      <c r="J1528" s="0" t="s">
        <v>29</v>
      </c>
      <c r="K1528" s="0" t="s">
        <v>30</v>
      </c>
      <c r="L1528" s="0" t="s">
        <v>31</v>
      </c>
      <c r="M1528" s="0" t="s">
        <v>140</v>
      </c>
      <c r="N1528" s="0" t="n">
        <v>1529</v>
      </c>
      <c r="O1528" s="10" t="n">
        <v>0.916745062218979</v>
      </c>
      <c r="P1528" s="10" t="n">
        <v>0.556908084778115</v>
      </c>
      <c r="Q1528" s="0" t="str">
        <f aca="false">SUBSTITUTE(SUBSTITUTE($I1528,CHAR(61),""),CHAR(34),"")</f>
        <v>&lt;01</v>
      </c>
      <c r="R1528" s="0" t="str">
        <f aca="false">IF($D1528&lt;&gt;"","["&amp;$E1528&amp;"]"&amp;"|"&amp;$Q1528&amp;"|"&amp;$K1528&amp;"|"&amp;$G1528&amp;"|"&amp;IF($G1528="TX_CURR_SUBNAT.R","CY2022Q4",$M1528),"")</f>
        <v>[YCKiBAp8QAg]|&lt;01|Female|PLHIV_Residents.T_1|CY2023Q3</v>
      </c>
    </row>
    <row r="1529" customFormat="false" ht="15" hidden="false" customHeight="false" outlineLevel="0" collapsed="false">
      <c r="D1529" s="0" t="s">
        <v>129</v>
      </c>
      <c r="E1529" s="0" t="s">
        <v>130</v>
      </c>
      <c r="F1529" s="0" t="s">
        <v>131</v>
      </c>
      <c r="G1529" s="0" t="s">
        <v>143</v>
      </c>
      <c r="H1529" s="0" t="s">
        <v>144</v>
      </c>
      <c r="I1529" s="0" t="s">
        <v>33</v>
      </c>
      <c r="J1529" s="0" t="s">
        <v>34</v>
      </c>
      <c r="K1529" s="0" t="s">
        <v>30</v>
      </c>
      <c r="L1529" s="0" t="s">
        <v>31</v>
      </c>
      <c r="M1529" s="0" t="s">
        <v>140</v>
      </c>
      <c r="N1529" s="0" t="n">
        <v>1485</v>
      </c>
      <c r="O1529" s="10" t="n">
        <v>0.0151514480821788</v>
      </c>
      <c r="P1529" s="10" t="n">
        <v>0.556908084778115</v>
      </c>
      <c r="Q1529" s="0" t="str">
        <f aca="false">SUBSTITUTE(SUBSTITUTE($I1529,CHAR(61),""),CHAR(34),"")</f>
        <v>01-09</v>
      </c>
      <c r="R1529" s="0" t="str">
        <f aca="false">IF($D1529&lt;&gt;"","["&amp;$E1529&amp;"]"&amp;"|"&amp;$Q1529&amp;"|"&amp;$K1529&amp;"|"&amp;$G1529&amp;"|"&amp;IF($G1529="TX_CURR_SUBNAT.R","CY2022Q4",$M1529),"")</f>
        <v>[YCKiBAp8QAg]|01-09|Female|PLHIV_Residents.T_1|CY2023Q3</v>
      </c>
    </row>
    <row r="1530" customFormat="false" ht="15" hidden="false" customHeight="false" outlineLevel="0" collapsed="false">
      <c r="D1530" s="0" t="s">
        <v>129</v>
      </c>
      <c r="E1530" s="0" t="s">
        <v>130</v>
      </c>
      <c r="F1530" s="0" t="s">
        <v>131</v>
      </c>
      <c r="G1530" s="0" t="s">
        <v>143</v>
      </c>
      <c r="H1530" s="0" t="s">
        <v>144</v>
      </c>
      <c r="I1530" s="0" t="s">
        <v>36</v>
      </c>
      <c r="J1530" s="0" t="s">
        <v>37</v>
      </c>
      <c r="K1530" s="0" t="s">
        <v>30</v>
      </c>
      <c r="L1530" s="0" t="s">
        <v>31</v>
      </c>
      <c r="M1530" s="0" t="s">
        <v>140</v>
      </c>
      <c r="N1530" s="0" t="n">
        <v>668</v>
      </c>
      <c r="O1530" s="10" t="n">
        <v>0.993243715725839</v>
      </c>
      <c r="P1530" s="10" t="n">
        <v>0.556908084778115</v>
      </c>
      <c r="Q1530" s="0" t="str">
        <f aca="false">SUBSTITUTE(SUBSTITUTE($I1530,CHAR(61),""),CHAR(34),"")</f>
        <v>10-14</v>
      </c>
      <c r="R1530" s="0" t="str">
        <f aca="false">IF($D1530&lt;&gt;"","["&amp;$E1530&amp;"]"&amp;"|"&amp;$Q1530&amp;"|"&amp;$K1530&amp;"|"&amp;$G1530&amp;"|"&amp;IF($G1530="TX_CURR_SUBNAT.R","CY2022Q4",$M1530),"")</f>
        <v>[YCKiBAp8QAg]|10-14|Female|PLHIV_Residents.T_1|CY2023Q3</v>
      </c>
    </row>
    <row r="1531" customFormat="false" ht="15" hidden="false" customHeight="false" outlineLevel="0" collapsed="false">
      <c r="D1531" s="0" t="s">
        <v>129</v>
      </c>
      <c r="E1531" s="0" t="s">
        <v>130</v>
      </c>
      <c r="F1531" s="0" t="s">
        <v>131</v>
      </c>
      <c r="G1531" s="0" t="s">
        <v>143</v>
      </c>
      <c r="H1531" s="0" t="s">
        <v>144</v>
      </c>
      <c r="I1531" s="0" t="s">
        <v>38</v>
      </c>
      <c r="J1531" s="0" t="s">
        <v>39</v>
      </c>
      <c r="K1531" s="0" t="s">
        <v>30</v>
      </c>
      <c r="L1531" s="0" t="s">
        <v>31</v>
      </c>
      <c r="M1531" s="0" t="s">
        <v>140</v>
      </c>
      <c r="N1531" s="0" t="n">
        <v>1471</v>
      </c>
      <c r="O1531" s="10" t="n">
        <v>0.351676588878036</v>
      </c>
      <c r="P1531" s="10" t="n">
        <v>0.556908084778115</v>
      </c>
      <c r="Q1531" s="0" t="str">
        <f aca="false">SUBSTITUTE(SUBSTITUTE($I1531,CHAR(61),""),CHAR(34),"")</f>
        <v>15-24</v>
      </c>
      <c r="R1531" s="0" t="str">
        <f aca="false">IF($D1531&lt;&gt;"","["&amp;$E1531&amp;"]"&amp;"|"&amp;$Q1531&amp;"|"&amp;$K1531&amp;"|"&amp;$G1531&amp;"|"&amp;IF($G1531="TX_CURR_SUBNAT.R","CY2022Q4",$M1531),"")</f>
        <v>[YCKiBAp8QAg]|15-24|Female|PLHIV_Residents.T_1|CY2023Q3</v>
      </c>
    </row>
    <row r="1532" customFormat="false" ht="15" hidden="false" customHeight="false" outlineLevel="0" collapsed="false">
      <c r="D1532" s="0" t="s">
        <v>129</v>
      </c>
      <c r="E1532" s="0" t="s">
        <v>130</v>
      </c>
      <c r="F1532" s="0" t="s">
        <v>131</v>
      </c>
      <c r="G1532" s="0" t="s">
        <v>143</v>
      </c>
      <c r="H1532" s="0" t="s">
        <v>144</v>
      </c>
      <c r="I1532" s="0" t="s">
        <v>41</v>
      </c>
      <c r="J1532" s="0" t="s">
        <v>42</v>
      </c>
      <c r="K1532" s="0" t="s">
        <v>30</v>
      </c>
      <c r="L1532" s="0" t="s">
        <v>31</v>
      </c>
      <c r="M1532" s="0" t="s">
        <v>140</v>
      </c>
      <c r="N1532" s="0" t="n">
        <v>1817</v>
      </c>
      <c r="O1532" s="10" t="n">
        <v>0.630247539374977</v>
      </c>
      <c r="P1532" s="10" t="n">
        <v>0.556908084778115</v>
      </c>
      <c r="Q1532" s="0" t="str">
        <f aca="false">SUBSTITUTE(SUBSTITUTE($I1532,CHAR(61),""),CHAR(34),"")</f>
        <v>25-34</v>
      </c>
      <c r="R1532" s="0" t="str">
        <f aca="false">IF($D1532&lt;&gt;"","["&amp;$E1532&amp;"]"&amp;"|"&amp;$Q1532&amp;"|"&amp;$K1532&amp;"|"&amp;$G1532&amp;"|"&amp;IF($G1532="TX_CURR_SUBNAT.R","CY2022Q4",$M1532),"")</f>
        <v>[YCKiBAp8QAg]|25-34|Female|PLHIV_Residents.T_1|CY2023Q3</v>
      </c>
    </row>
    <row r="1533" customFormat="false" ht="15" hidden="false" customHeight="false" outlineLevel="0" collapsed="false">
      <c r="D1533" s="0" t="s">
        <v>129</v>
      </c>
      <c r="E1533" s="0" t="s">
        <v>130</v>
      </c>
      <c r="F1533" s="0" t="s">
        <v>131</v>
      </c>
      <c r="G1533" s="0" t="s">
        <v>143</v>
      </c>
      <c r="H1533" s="0" t="s">
        <v>144</v>
      </c>
      <c r="I1533" s="0" t="s">
        <v>43</v>
      </c>
      <c r="J1533" s="0" t="s">
        <v>44</v>
      </c>
      <c r="K1533" s="0" t="s">
        <v>30</v>
      </c>
      <c r="L1533" s="0" t="s">
        <v>31</v>
      </c>
      <c r="M1533" s="0" t="s">
        <v>140</v>
      </c>
      <c r="N1533" s="0" t="n">
        <v>674</v>
      </c>
      <c r="O1533" s="10" t="n">
        <v>0.435941253090277</v>
      </c>
      <c r="P1533" s="10" t="n">
        <v>0.556908084778115</v>
      </c>
      <c r="Q1533" s="0" t="str">
        <f aca="false">SUBSTITUTE(SUBSTITUTE($I1533,CHAR(61),""),CHAR(34),"")</f>
        <v>35-49</v>
      </c>
      <c r="R1533" s="0" t="str">
        <f aca="false">IF($D1533&lt;&gt;"","["&amp;$E1533&amp;"]"&amp;"|"&amp;$Q1533&amp;"|"&amp;$K1533&amp;"|"&amp;$G1533&amp;"|"&amp;IF($G1533="TX_CURR_SUBNAT.R","CY2022Q4",$M1533),"")</f>
        <v>[YCKiBAp8QAg]|35-49|Female|PLHIV_Residents.T_1|CY2023Q3</v>
      </c>
    </row>
    <row r="1534" customFormat="false" ht="15" hidden="false" customHeight="false" outlineLevel="0" collapsed="false">
      <c r="D1534" s="0" t="s">
        <v>129</v>
      </c>
      <c r="E1534" s="0" t="s">
        <v>130</v>
      </c>
      <c r="F1534" s="0" t="s">
        <v>131</v>
      </c>
      <c r="G1534" s="0" t="s">
        <v>143</v>
      </c>
      <c r="H1534" s="0" t="s">
        <v>144</v>
      </c>
      <c r="I1534" s="0" t="s">
        <v>45</v>
      </c>
      <c r="J1534" s="0" t="s">
        <v>46</v>
      </c>
      <c r="K1534" s="0" t="s">
        <v>30</v>
      </c>
      <c r="L1534" s="0" t="s">
        <v>31</v>
      </c>
      <c r="M1534" s="0" t="s">
        <v>140</v>
      </c>
      <c r="N1534" s="0" t="n">
        <v>1424</v>
      </c>
      <c r="O1534" s="10" t="n">
        <v>0.34158758004196</v>
      </c>
      <c r="P1534" s="10" t="n">
        <v>0.556908084778115</v>
      </c>
      <c r="Q1534" s="0" t="str">
        <f aca="false">SUBSTITUTE(SUBSTITUTE($I1534,CHAR(61),""),CHAR(34),"")</f>
        <v>50+</v>
      </c>
      <c r="R1534" s="0" t="str">
        <f aca="false">IF($D1534&lt;&gt;"","["&amp;$E1534&amp;"]"&amp;"|"&amp;$Q1534&amp;"|"&amp;$K1534&amp;"|"&amp;$G1534&amp;"|"&amp;IF($G1534="TX_CURR_SUBNAT.R","CY2022Q4",$M1534),"")</f>
        <v>[YCKiBAp8QAg]|50+|Female|PLHIV_Residents.T_1|CY2023Q3</v>
      </c>
    </row>
    <row r="1535" customFormat="false" ht="15" hidden="false" customHeight="false" outlineLevel="0" collapsed="false">
      <c r="D1535" s="0" t="s">
        <v>129</v>
      </c>
      <c r="E1535" s="0" t="s">
        <v>130</v>
      </c>
      <c r="F1535" s="0" t="s">
        <v>131</v>
      </c>
      <c r="G1535" s="0" t="s">
        <v>143</v>
      </c>
      <c r="H1535" s="0" t="s">
        <v>144</v>
      </c>
      <c r="I1535" s="0" t="s">
        <v>28</v>
      </c>
      <c r="J1535" s="0" t="s">
        <v>29</v>
      </c>
      <c r="K1535" s="0" t="s">
        <v>48</v>
      </c>
      <c r="L1535" s="0" t="s">
        <v>49</v>
      </c>
      <c r="M1535" s="0" t="s">
        <v>140</v>
      </c>
      <c r="N1535" s="0" t="n">
        <v>519</v>
      </c>
      <c r="O1535" s="10" t="n">
        <v>0.344204087741673</v>
      </c>
      <c r="P1535" s="10" t="n">
        <v>0.556908084778115</v>
      </c>
      <c r="Q1535" s="0" t="str">
        <f aca="false">SUBSTITUTE(SUBSTITUTE($I1535,CHAR(61),""),CHAR(34),"")</f>
        <v>&lt;01</v>
      </c>
      <c r="R1535" s="0" t="str">
        <f aca="false">IF($D1535&lt;&gt;"","["&amp;$E1535&amp;"]"&amp;"|"&amp;$Q1535&amp;"|"&amp;$K1535&amp;"|"&amp;$G1535&amp;"|"&amp;IF($G1535="TX_CURR_SUBNAT.R","CY2022Q4",$M1535),"")</f>
        <v>[YCKiBAp8QAg]|&lt;01|Male|PLHIV_Residents.T_1|CY2023Q3</v>
      </c>
    </row>
    <row r="1536" customFormat="false" ht="15" hidden="false" customHeight="false" outlineLevel="0" collapsed="false">
      <c r="D1536" s="0" t="s">
        <v>129</v>
      </c>
      <c r="E1536" s="0" t="s">
        <v>130</v>
      </c>
      <c r="F1536" s="0" t="s">
        <v>131</v>
      </c>
      <c r="G1536" s="0" t="s">
        <v>143</v>
      </c>
      <c r="H1536" s="0" t="s">
        <v>144</v>
      </c>
      <c r="I1536" s="0" t="s">
        <v>33</v>
      </c>
      <c r="J1536" s="0" t="s">
        <v>34</v>
      </c>
      <c r="K1536" s="0" t="s">
        <v>48</v>
      </c>
      <c r="L1536" s="0" t="s">
        <v>49</v>
      </c>
      <c r="M1536" s="0" t="s">
        <v>140</v>
      </c>
      <c r="N1536" s="0" t="n">
        <v>1990</v>
      </c>
      <c r="O1536" s="10" t="n">
        <v>0.487925477325916</v>
      </c>
      <c r="P1536" s="10" t="n">
        <v>0.556908084778115</v>
      </c>
      <c r="Q1536" s="0" t="str">
        <f aca="false">SUBSTITUTE(SUBSTITUTE($I1536,CHAR(61),""),CHAR(34),"")</f>
        <v>01-09</v>
      </c>
      <c r="R1536" s="0" t="str">
        <f aca="false">IF($D1536&lt;&gt;"","["&amp;$E1536&amp;"]"&amp;"|"&amp;$Q1536&amp;"|"&amp;$K1536&amp;"|"&amp;$G1536&amp;"|"&amp;IF($G1536="TX_CURR_SUBNAT.R","CY2022Q4",$M1536),"")</f>
        <v>[YCKiBAp8QAg]|01-09|Male|PLHIV_Residents.T_1|CY2023Q3</v>
      </c>
    </row>
    <row r="1537" customFormat="false" ht="15" hidden="false" customHeight="false" outlineLevel="0" collapsed="false">
      <c r="D1537" s="0" t="s">
        <v>129</v>
      </c>
      <c r="E1537" s="0" t="s">
        <v>130</v>
      </c>
      <c r="F1537" s="0" t="s">
        <v>131</v>
      </c>
      <c r="G1537" s="0" t="s">
        <v>143</v>
      </c>
      <c r="H1537" s="0" t="s">
        <v>144</v>
      </c>
      <c r="I1537" s="0" t="s">
        <v>36</v>
      </c>
      <c r="J1537" s="0" t="s">
        <v>37</v>
      </c>
      <c r="K1537" s="0" t="s">
        <v>48</v>
      </c>
      <c r="L1537" s="0" t="s">
        <v>49</v>
      </c>
      <c r="M1537" s="0" t="s">
        <v>140</v>
      </c>
      <c r="N1537" s="0" t="n">
        <v>1694</v>
      </c>
      <c r="O1537" s="10" t="n">
        <v>0.230487746419385</v>
      </c>
      <c r="P1537" s="10" t="n">
        <v>0.556908084778115</v>
      </c>
      <c r="Q1537" s="0" t="str">
        <f aca="false">SUBSTITUTE(SUBSTITUTE($I1537,CHAR(61),""),CHAR(34),"")</f>
        <v>10-14</v>
      </c>
      <c r="R1537" s="0" t="str">
        <f aca="false">IF($D1537&lt;&gt;"","["&amp;$E1537&amp;"]"&amp;"|"&amp;$Q1537&amp;"|"&amp;$K1537&amp;"|"&amp;$G1537&amp;"|"&amp;IF($G1537="TX_CURR_SUBNAT.R","CY2022Q4",$M1537),"")</f>
        <v>[YCKiBAp8QAg]|10-14|Male|PLHIV_Residents.T_1|CY2023Q3</v>
      </c>
    </row>
    <row r="1538" customFormat="false" ht="15" hidden="false" customHeight="false" outlineLevel="0" collapsed="false">
      <c r="D1538" s="0" t="s">
        <v>129</v>
      </c>
      <c r="E1538" s="0" t="s">
        <v>130</v>
      </c>
      <c r="F1538" s="0" t="s">
        <v>131</v>
      </c>
      <c r="G1538" s="0" t="s">
        <v>143</v>
      </c>
      <c r="H1538" s="0" t="s">
        <v>144</v>
      </c>
      <c r="I1538" s="0" t="s">
        <v>38</v>
      </c>
      <c r="J1538" s="0" t="s">
        <v>39</v>
      </c>
      <c r="K1538" s="0" t="s">
        <v>48</v>
      </c>
      <c r="L1538" s="0" t="s">
        <v>49</v>
      </c>
      <c r="M1538" s="0" t="s">
        <v>140</v>
      </c>
      <c r="N1538" s="0" t="n">
        <v>602</v>
      </c>
      <c r="O1538" s="10" t="n">
        <v>0.971057577989995</v>
      </c>
      <c r="P1538" s="10" t="n">
        <v>0.556908084778115</v>
      </c>
      <c r="Q1538" s="0" t="str">
        <f aca="false">SUBSTITUTE(SUBSTITUTE($I1538,CHAR(61),""),CHAR(34),"")</f>
        <v>15-24</v>
      </c>
      <c r="R1538" s="0" t="str">
        <f aca="false">IF($D1538&lt;&gt;"","["&amp;$E1538&amp;"]"&amp;"|"&amp;$Q1538&amp;"|"&amp;$K1538&amp;"|"&amp;$G1538&amp;"|"&amp;IF($G1538="TX_CURR_SUBNAT.R","CY2022Q4",$M1538),"")</f>
        <v>[YCKiBAp8QAg]|15-24|Male|PLHIV_Residents.T_1|CY2023Q3</v>
      </c>
    </row>
    <row r="1539" customFormat="false" ht="15" hidden="false" customHeight="false" outlineLevel="0" collapsed="false">
      <c r="D1539" s="0" t="s">
        <v>129</v>
      </c>
      <c r="E1539" s="0" t="s">
        <v>130</v>
      </c>
      <c r="F1539" s="0" t="s">
        <v>131</v>
      </c>
      <c r="G1539" s="0" t="s">
        <v>143</v>
      </c>
      <c r="H1539" s="0" t="s">
        <v>144</v>
      </c>
      <c r="I1539" s="0" t="s">
        <v>41</v>
      </c>
      <c r="J1539" s="0" t="s">
        <v>42</v>
      </c>
      <c r="K1539" s="0" t="s">
        <v>48</v>
      </c>
      <c r="L1539" s="0" t="s">
        <v>49</v>
      </c>
      <c r="M1539" s="0" t="s">
        <v>140</v>
      </c>
      <c r="N1539" s="0" t="n">
        <v>608</v>
      </c>
      <c r="O1539" s="10" t="n">
        <v>0.552826581289992</v>
      </c>
      <c r="P1539" s="10" t="n">
        <v>0.556908084778115</v>
      </c>
      <c r="Q1539" s="0" t="str">
        <f aca="false">SUBSTITUTE(SUBSTITUTE($I1539,CHAR(61),""),CHAR(34),"")</f>
        <v>25-34</v>
      </c>
      <c r="R1539" s="0" t="str">
        <f aca="false">IF($D1539&lt;&gt;"","["&amp;$E1539&amp;"]"&amp;"|"&amp;$Q1539&amp;"|"&amp;$K1539&amp;"|"&amp;$G1539&amp;"|"&amp;IF($G1539="TX_CURR_SUBNAT.R","CY2022Q4",$M1539),"")</f>
        <v>[YCKiBAp8QAg]|25-34|Male|PLHIV_Residents.T_1|CY2023Q3</v>
      </c>
    </row>
    <row r="1540" customFormat="false" ht="15" hidden="false" customHeight="false" outlineLevel="0" collapsed="false">
      <c r="D1540" s="0" t="s">
        <v>129</v>
      </c>
      <c r="E1540" s="0" t="s">
        <v>130</v>
      </c>
      <c r="F1540" s="0" t="s">
        <v>131</v>
      </c>
      <c r="G1540" s="0" t="s">
        <v>143</v>
      </c>
      <c r="H1540" s="0" t="s">
        <v>144</v>
      </c>
      <c r="I1540" s="0" t="s">
        <v>43</v>
      </c>
      <c r="J1540" s="0" t="s">
        <v>44</v>
      </c>
      <c r="K1540" s="0" t="s">
        <v>48</v>
      </c>
      <c r="L1540" s="0" t="s">
        <v>49</v>
      </c>
      <c r="M1540" s="0" t="s">
        <v>140</v>
      </c>
      <c r="N1540" s="0" t="n">
        <v>1478</v>
      </c>
      <c r="O1540" s="10" t="n">
        <v>0.600121882511303</v>
      </c>
      <c r="P1540" s="10" t="n">
        <v>0.556908084778115</v>
      </c>
      <c r="Q1540" s="0" t="str">
        <f aca="false">SUBSTITUTE(SUBSTITUTE($I1540,CHAR(61),""),CHAR(34),"")</f>
        <v>35-49</v>
      </c>
      <c r="R1540" s="0" t="str">
        <f aca="false">IF($D1540&lt;&gt;"","["&amp;$E1540&amp;"]"&amp;"|"&amp;$Q1540&amp;"|"&amp;$K1540&amp;"|"&amp;$G1540&amp;"|"&amp;IF($G1540="TX_CURR_SUBNAT.R","CY2022Q4",$M1540),"")</f>
        <v>[YCKiBAp8QAg]|35-49|Male|PLHIV_Residents.T_1|CY2023Q3</v>
      </c>
    </row>
    <row r="1541" customFormat="false" ht="15" hidden="false" customHeight="false" outlineLevel="0" collapsed="false">
      <c r="D1541" s="0" t="s">
        <v>129</v>
      </c>
      <c r="E1541" s="0" t="s">
        <v>130</v>
      </c>
      <c r="F1541" s="0" t="s">
        <v>131</v>
      </c>
      <c r="G1541" s="0" t="s">
        <v>143</v>
      </c>
      <c r="H1541" s="0" t="s">
        <v>144</v>
      </c>
      <c r="I1541" s="0" t="s">
        <v>45</v>
      </c>
      <c r="J1541" s="0" t="s">
        <v>46</v>
      </c>
      <c r="K1541" s="0" t="s">
        <v>48</v>
      </c>
      <c r="L1541" s="0" t="s">
        <v>49</v>
      </c>
      <c r="M1541" s="0" t="s">
        <v>140</v>
      </c>
      <c r="N1541" s="0" t="n">
        <v>1605</v>
      </c>
      <c r="O1541" s="10" t="n">
        <v>0.853378621395677</v>
      </c>
      <c r="P1541" s="10" t="n">
        <v>0.556908084778115</v>
      </c>
      <c r="Q1541" s="0" t="str">
        <f aca="false">SUBSTITUTE(SUBSTITUTE($I1541,CHAR(61),""),CHAR(34),"")</f>
        <v>50+</v>
      </c>
      <c r="R1541" s="0" t="str">
        <f aca="false">IF($D1541&lt;&gt;"","["&amp;$E1541&amp;"]"&amp;"|"&amp;$Q1541&amp;"|"&amp;$K1541&amp;"|"&amp;$G1541&amp;"|"&amp;IF($G1541="TX_CURR_SUBNAT.R","CY2022Q4",$M1541),"")</f>
        <v>[YCKiBAp8QAg]|50+|Male|PLHIV_Residents.T_1|CY2023Q3</v>
      </c>
    </row>
    <row r="1542" customFormat="false" ht="15" hidden="false" customHeight="false" outlineLevel="0" collapsed="false">
      <c r="D1542" s="0" t="s">
        <v>132</v>
      </c>
      <c r="E1542" s="0" t="s">
        <v>133</v>
      </c>
      <c r="F1542" s="0" t="s">
        <v>134</v>
      </c>
      <c r="G1542" s="0" t="s">
        <v>143</v>
      </c>
      <c r="H1542" s="0" t="s">
        <v>144</v>
      </c>
      <c r="I1542" s="0" t="s">
        <v>28</v>
      </c>
      <c r="J1542" s="0" t="s">
        <v>29</v>
      </c>
      <c r="K1542" s="0" t="s">
        <v>30</v>
      </c>
      <c r="L1542" s="0" t="s">
        <v>31</v>
      </c>
      <c r="M1542" s="0" t="s">
        <v>140</v>
      </c>
      <c r="N1542" s="0" t="n">
        <v>1790</v>
      </c>
      <c r="O1542" s="10" t="n">
        <v>0.227005118038505</v>
      </c>
      <c r="P1542" s="10" t="n">
        <v>0.162863194011152</v>
      </c>
      <c r="Q1542" s="0" t="str">
        <f aca="false">SUBSTITUTE(SUBSTITUTE($I1542,CHAR(61),""),CHAR(34),"")</f>
        <v>&lt;01</v>
      </c>
      <c r="R1542" s="0" t="str">
        <f aca="false">IF($D1542&lt;&gt;"","["&amp;$E1542&amp;"]"&amp;"|"&amp;$Q1542&amp;"|"&amp;$K1542&amp;"|"&amp;$G1542&amp;"|"&amp;IF($G1542="TX_CURR_SUBNAT.R","CY2022Q4",$M1542),"")</f>
        <v>[JQKLKuVuY61]|&lt;01|Female|PLHIV_Residents.T_1|CY2023Q3</v>
      </c>
    </row>
    <row r="1543" customFormat="false" ht="15" hidden="false" customHeight="false" outlineLevel="0" collapsed="false">
      <c r="D1543" s="0" t="s">
        <v>132</v>
      </c>
      <c r="E1543" s="0" t="s">
        <v>133</v>
      </c>
      <c r="F1543" s="0" t="s">
        <v>134</v>
      </c>
      <c r="G1543" s="0" t="s">
        <v>143</v>
      </c>
      <c r="H1543" s="0" t="s">
        <v>144</v>
      </c>
      <c r="I1543" s="0" t="s">
        <v>33</v>
      </c>
      <c r="J1543" s="0" t="s">
        <v>34</v>
      </c>
      <c r="K1543" s="0" t="s">
        <v>30</v>
      </c>
      <c r="L1543" s="0" t="s">
        <v>31</v>
      </c>
      <c r="M1543" s="0" t="s">
        <v>140</v>
      </c>
      <c r="N1543" s="0" t="n">
        <v>1340</v>
      </c>
      <c r="O1543" s="10" t="n">
        <v>0.31731835543178</v>
      </c>
      <c r="P1543" s="10" t="n">
        <v>0.162863194011152</v>
      </c>
      <c r="Q1543" s="0" t="str">
        <f aca="false">SUBSTITUTE(SUBSTITUTE($I1543,CHAR(61),""),CHAR(34),"")</f>
        <v>01-09</v>
      </c>
      <c r="R1543" s="0" t="str">
        <f aca="false">IF($D1543&lt;&gt;"","["&amp;$E1543&amp;"]"&amp;"|"&amp;$Q1543&amp;"|"&amp;$K1543&amp;"|"&amp;$G1543&amp;"|"&amp;IF($G1543="TX_CURR_SUBNAT.R","CY2022Q4",$M1543),"")</f>
        <v>[JQKLKuVuY61]|01-09|Female|PLHIV_Residents.T_1|CY2023Q3</v>
      </c>
    </row>
    <row r="1544" customFormat="false" ht="15" hidden="false" customHeight="false" outlineLevel="0" collapsed="false">
      <c r="D1544" s="0" t="s">
        <v>132</v>
      </c>
      <c r="E1544" s="0" t="s">
        <v>133</v>
      </c>
      <c r="F1544" s="0" t="s">
        <v>134</v>
      </c>
      <c r="G1544" s="0" t="s">
        <v>143</v>
      </c>
      <c r="H1544" s="0" t="s">
        <v>144</v>
      </c>
      <c r="I1544" s="0" t="s">
        <v>36</v>
      </c>
      <c r="J1544" s="0" t="s">
        <v>37</v>
      </c>
      <c r="K1544" s="0" t="s">
        <v>30</v>
      </c>
      <c r="L1544" s="0" t="s">
        <v>31</v>
      </c>
      <c r="M1544" s="0" t="s">
        <v>140</v>
      </c>
      <c r="N1544" s="0" t="n">
        <v>1543</v>
      </c>
      <c r="O1544" s="10" t="n">
        <v>0.0142537264619023</v>
      </c>
      <c r="P1544" s="10" t="n">
        <v>0.162863194011152</v>
      </c>
      <c r="Q1544" s="0" t="str">
        <f aca="false">SUBSTITUTE(SUBSTITUTE($I1544,CHAR(61),""),CHAR(34),"")</f>
        <v>10-14</v>
      </c>
      <c r="R1544" s="0" t="str">
        <f aca="false">IF($D1544&lt;&gt;"","["&amp;$E1544&amp;"]"&amp;"|"&amp;$Q1544&amp;"|"&amp;$K1544&amp;"|"&amp;$G1544&amp;"|"&amp;IF($G1544="TX_CURR_SUBNAT.R","CY2022Q4",$M1544),"")</f>
        <v>[JQKLKuVuY61]|10-14|Female|PLHIV_Residents.T_1|CY2023Q3</v>
      </c>
    </row>
    <row r="1545" customFormat="false" ht="15" hidden="false" customHeight="false" outlineLevel="0" collapsed="false">
      <c r="D1545" s="0" t="s">
        <v>132</v>
      </c>
      <c r="E1545" s="0" t="s">
        <v>133</v>
      </c>
      <c r="F1545" s="0" t="s">
        <v>134</v>
      </c>
      <c r="G1545" s="0" t="s">
        <v>143</v>
      </c>
      <c r="H1545" s="0" t="s">
        <v>144</v>
      </c>
      <c r="I1545" s="0" t="s">
        <v>38</v>
      </c>
      <c r="J1545" s="0" t="s">
        <v>39</v>
      </c>
      <c r="K1545" s="0" t="s">
        <v>30</v>
      </c>
      <c r="L1545" s="0" t="s">
        <v>31</v>
      </c>
      <c r="M1545" s="0" t="s">
        <v>140</v>
      </c>
      <c r="N1545" s="0" t="n">
        <v>754</v>
      </c>
      <c r="O1545" s="10" t="n">
        <v>0.197561875684187</v>
      </c>
      <c r="P1545" s="10" t="n">
        <v>0.162863194011152</v>
      </c>
      <c r="Q1545" s="0" t="str">
        <f aca="false">SUBSTITUTE(SUBSTITUTE($I1545,CHAR(61),""),CHAR(34),"")</f>
        <v>15-24</v>
      </c>
      <c r="R1545" s="0" t="str">
        <f aca="false">IF($D1545&lt;&gt;"","["&amp;$E1545&amp;"]"&amp;"|"&amp;$Q1545&amp;"|"&amp;$K1545&amp;"|"&amp;$G1545&amp;"|"&amp;IF($G1545="TX_CURR_SUBNAT.R","CY2022Q4",$M1545),"")</f>
        <v>[JQKLKuVuY61]|15-24|Female|PLHIV_Residents.T_1|CY2023Q3</v>
      </c>
    </row>
    <row r="1546" customFormat="false" ht="15" hidden="false" customHeight="false" outlineLevel="0" collapsed="false">
      <c r="D1546" s="0" t="s">
        <v>132</v>
      </c>
      <c r="E1546" s="0" t="s">
        <v>133</v>
      </c>
      <c r="F1546" s="0" t="s">
        <v>134</v>
      </c>
      <c r="G1546" s="0" t="s">
        <v>143</v>
      </c>
      <c r="H1546" s="0" t="s">
        <v>144</v>
      </c>
      <c r="I1546" s="0" t="s">
        <v>41</v>
      </c>
      <c r="J1546" s="0" t="s">
        <v>42</v>
      </c>
      <c r="K1546" s="0" t="s">
        <v>30</v>
      </c>
      <c r="L1546" s="0" t="s">
        <v>31</v>
      </c>
      <c r="M1546" s="0" t="s">
        <v>140</v>
      </c>
      <c r="N1546" s="0" t="n">
        <v>1728</v>
      </c>
      <c r="O1546" s="10" t="n">
        <v>0.403790974756703</v>
      </c>
      <c r="P1546" s="10" t="n">
        <v>0.162863194011152</v>
      </c>
      <c r="Q1546" s="0" t="str">
        <f aca="false">SUBSTITUTE(SUBSTITUTE($I1546,CHAR(61),""),CHAR(34),"")</f>
        <v>25-34</v>
      </c>
      <c r="R1546" s="0" t="str">
        <f aca="false">IF($D1546&lt;&gt;"","["&amp;$E1546&amp;"]"&amp;"|"&amp;$Q1546&amp;"|"&amp;$K1546&amp;"|"&amp;$G1546&amp;"|"&amp;IF($G1546="TX_CURR_SUBNAT.R","CY2022Q4",$M1546),"")</f>
        <v>[JQKLKuVuY61]|25-34|Female|PLHIV_Residents.T_1|CY2023Q3</v>
      </c>
    </row>
    <row r="1547" customFormat="false" ht="15" hidden="false" customHeight="false" outlineLevel="0" collapsed="false">
      <c r="D1547" s="0" t="s">
        <v>132</v>
      </c>
      <c r="E1547" s="0" t="s">
        <v>133</v>
      </c>
      <c r="F1547" s="0" t="s">
        <v>134</v>
      </c>
      <c r="G1547" s="0" t="s">
        <v>143</v>
      </c>
      <c r="H1547" s="0" t="s">
        <v>144</v>
      </c>
      <c r="I1547" s="0" t="s">
        <v>43</v>
      </c>
      <c r="J1547" s="0" t="s">
        <v>44</v>
      </c>
      <c r="K1547" s="0" t="s">
        <v>30</v>
      </c>
      <c r="L1547" s="0" t="s">
        <v>31</v>
      </c>
      <c r="M1547" s="0" t="s">
        <v>140</v>
      </c>
      <c r="N1547" s="0" t="n">
        <v>1443</v>
      </c>
      <c r="O1547" s="10" t="n">
        <v>0.825898825889453</v>
      </c>
      <c r="P1547" s="10" t="n">
        <v>0.162863194011152</v>
      </c>
      <c r="Q1547" s="0" t="str">
        <f aca="false">SUBSTITUTE(SUBSTITUTE($I1547,CHAR(61),""),CHAR(34),"")</f>
        <v>35-49</v>
      </c>
      <c r="R1547" s="0" t="str">
        <f aca="false">IF($D1547&lt;&gt;"","["&amp;$E1547&amp;"]"&amp;"|"&amp;$Q1547&amp;"|"&amp;$K1547&amp;"|"&amp;$G1547&amp;"|"&amp;IF($G1547="TX_CURR_SUBNAT.R","CY2022Q4",$M1547),"")</f>
        <v>[JQKLKuVuY61]|35-49|Female|PLHIV_Residents.T_1|CY2023Q3</v>
      </c>
    </row>
    <row r="1548" customFormat="false" ht="15" hidden="false" customHeight="false" outlineLevel="0" collapsed="false">
      <c r="D1548" s="0" t="s">
        <v>132</v>
      </c>
      <c r="E1548" s="0" t="s">
        <v>133</v>
      </c>
      <c r="F1548" s="0" t="s">
        <v>134</v>
      </c>
      <c r="G1548" s="0" t="s">
        <v>143</v>
      </c>
      <c r="H1548" s="0" t="s">
        <v>144</v>
      </c>
      <c r="I1548" s="0" t="s">
        <v>45</v>
      </c>
      <c r="J1548" s="0" t="s">
        <v>46</v>
      </c>
      <c r="K1548" s="0" t="s">
        <v>30</v>
      </c>
      <c r="L1548" s="0" t="s">
        <v>31</v>
      </c>
      <c r="M1548" s="0" t="s">
        <v>140</v>
      </c>
      <c r="N1548" s="0" t="n">
        <v>1745</v>
      </c>
      <c r="O1548" s="10" t="n">
        <v>0.639893083367497</v>
      </c>
      <c r="P1548" s="10" t="n">
        <v>0.162863194011152</v>
      </c>
      <c r="Q1548" s="0" t="str">
        <f aca="false">SUBSTITUTE(SUBSTITUTE($I1548,CHAR(61),""),CHAR(34),"")</f>
        <v>50+</v>
      </c>
      <c r="R1548" s="0" t="str">
        <f aca="false">IF($D1548&lt;&gt;"","["&amp;$E1548&amp;"]"&amp;"|"&amp;$Q1548&amp;"|"&amp;$K1548&amp;"|"&amp;$G1548&amp;"|"&amp;IF($G1548="TX_CURR_SUBNAT.R","CY2022Q4",$M1548),"")</f>
        <v>[JQKLKuVuY61]|50+|Female|PLHIV_Residents.T_1|CY2023Q3</v>
      </c>
    </row>
    <row r="1549" customFormat="false" ht="15" hidden="false" customHeight="false" outlineLevel="0" collapsed="false">
      <c r="D1549" s="0" t="s">
        <v>132</v>
      </c>
      <c r="E1549" s="0" t="s">
        <v>133</v>
      </c>
      <c r="F1549" s="0" t="s">
        <v>134</v>
      </c>
      <c r="G1549" s="0" t="s">
        <v>143</v>
      </c>
      <c r="H1549" s="0" t="s">
        <v>144</v>
      </c>
      <c r="I1549" s="0" t="s">
        <v>28</v>
      </c>
      <c r="J1549" s="0" t="s">
        <v>29</v>
      </c>
      <c r="K1549" s="0" t="s">
        <v>48</v>
      </c>
      <c r="L1549" s="0" t="s">
        <v>49</v>
      </c>
      <c r="M1549" s="0" t="s">
        <v>140</v>
      </c>
      <c r="N1549" s="0" t="n">
        <v>672</v>
      </c>
      <c r="O1549" s="10" t="n">
        <v>0.860384602099657</v>
      </c>
      <c r="P1549" s="10" t="n">
        <v>0.162863194011152</v>
      </c>
      <c r="Q1549" s="0" t="str">
        <f aca="false">SUBSTITUTE(SUBSTITUTE($I1549,CHAR(61),""),CHAR(34),"")</f>
        <v>&lt;01</v>
      </c>
      <c r="R1549" s="0" t="str">
        <f aca="false">IF($D1549&lt;&gt;"","["&amp;$E1549&amp;"]"&amp;"|"&amp;$Q1549&amp;"|"&amp;$K1549&amp;"|"&amp;$G1549&amp;"|"&amp;IF($G1549="TX_CURR_SUBNAT.R","CY2022Q4",$M1549),"")</f>
        <v>[JQKLKuVuY61]|&lt;01|Male|PLHIV_Residents.T_1|CY2023Q3</v>
      </c>
    </row>
    <row r="1550" customFormat="false" ht="15" hidden="false" customHeight="false" outlineLevel="0" collapsed="false">
      <c r="D1550" s="0" t="s">
        <v>132</v>
      </c>
      <c r="E1550" s="0" t="s">
        <v>133</v>
      </c>
      <c r="F1550" s="0" t="s">
        <v>134</v>
      </c>
      <c r="G1550" s="0" t="s">
        <v>143</v>
      </c>
      <c r="H1550" s="0" t="s">
        <v>144</v>
      </c>
      <c r="I1550" s="0" t="s">
        <v>33</v>
      </c>
      <c r="J1550" s="0" t="s">
        <v>34</v>
      </c>
      <c r="K1550" s="0" t="s">
        <v>48</v>
      </c>
      <c r="L1550" s="0" t="s">
        <v>49</v>
      </c>
      <c r="M1550" s="0" t="s">
        <v>140</v>
      </c>
      <c r="N1550" s="0" t="n">
        <v>1442</v>
      </c>
      <c r="O1550" s="10" t="n">
        <v>0.990305468440056</v>
      </c>
      <c r="P1550" s="10" t="n">
        <v>0.162863194011152</v>
      </c>
      <c r="Q1550" s="0" t="str">
        <f aca="false">SUBSTITUTE(SUBSTITUTE($I1550,CHAR(61),""),CHAR(34),"")</f>
        <v>01-09</v>
      </c>
      <c r="R1550" s="0" t="str">
        <f aca="false">IF($D1550&lt;&gt;"","["&amp;$E1550&amp;"]"&amp;"|"&amp;$Q1550&amp;"|"&amp;$K1550&amp;"|"&amp;$G1550&amp;"|"&amp;IF($G1550="TX_CURR_SUBNAT.R","CY2022Q4",$M1550),"")</f>
        <v>[JQKLKuVuY61]|01-09|Male|PLHIV_Residents.T_1|CY2023Q3</v>
      </c>
    </row>
    <row r="1551" customFormat="false" ht="15" hidden="false" customHeight="false" outlineLevel="0" collapsed="false">
      <c r="D1551" s="0" t="s">
        <v>132</v>
      </c>
      <c r="E1551" s="0" t="s">
        <v>133</v>
      </c>
      <c r="F1551" s="0" t="s">
        <v>134</v>
      </c>
      <c r="G1551" s="0" t="s">
        <v>143</v>
      </c>
      <c r="H1551" s="0" t="s">
        <v>144</v>
      </c>
      <c r="I1551" s="0" t="s">
        <v>36</v>
      </c>
      <c r="J1551" s="0" t="s">
        <v>37</v>
      </c>
      <c r="K1551" s="0" t="s">
        <v>48</v>
      </c>
      <c r="L1551" s="0" t="s">
        <v>49</v>
      </c>
      <c r="M1551" s="0" t="s">
        <v>140</v>
      </c>
      <c r="N1551" s="0" t="n">
        <v>1012</v>
      </c>
      <c r="O1551" s="10" t="n">
        <v>0.321691211778671</v>
      </c>
      <c r="P1551" s="10" t="n">
        <v>0.162863194011152</v>
      </c>
      <c r="Q1551" s="0" t="str">
        <f aca="false">SUBSTITUTE(SUBSTITUTE($I1551,CHAR(61),""),CHAR(34),"")</f>
        <v>10-14</v>
      </c>
      <c r="R1551" s="0" t="str">
        <f aca="false">IF($D1551&lt;&gt;"","["&amp;$E1551&amp;"]"&amp;"|"&amp;$Q1551&amp;"|"&amp;$K1551&amp;"|"&amp;$G1551&amp;"|"&amp;IF($G1551="TX_CURR_SUBNAT.R","CY2022Q4",$M1551),"")</f>
        <v>[JQKLKuVuY61]|10-14|Male|PLHIV_Residents.T_1|CY2023Q3</v>
      </c>
    </row>
    <row r="1552" customFormat="false" ht="15" hidden="false" customHeight="false" outlineLevel="0" collapsed="false">
      <c r="D1552" s="0" t="s">
        <v>132</v>
      </c>
      <c r="E1552" s="0" t="s">
        <v>133</v>
      </c>
      <c r="F1552" s="0" t="s">
        <v>134</v>
      </c>
      <c r="G1552" s="0" t="s">
        <v>143</v>
      </c>
      <c r="H1552" s="0" t="s">
        <v>144</v>
      </c>
      <c r="I1552" s="0" t="s">
        <v>38</v>
      </c>
      <c r="J1552" s="0" t="s">
        <v>39</v>
      </c>
      <c r="K1552" s="0" t="s">
        <v>48</v>
      </c>
      <c r="L1552" s="0" t="s">
        <v>49</v>
      </c>
      <c r="M1552" s="0" t="s">
        <v>140</v>
      </c>
      <c r="N1552" s="0" t="n">
        <v>1076</v>
      </c>
      <c r="O1552" s="10" t="n">
        <v>0.691891028312966</v>
      </c>
      <c r="P1552" s="10" t="n">
        <v>0.162863194011152</v>
      </c>
      <c r="Q1552" s="0" t="str">
        <f aca="false">SUBSTITUTE(SUBSTITUTE($I1552,CHAR(61),""),CHAR(34),"")</f>
        <v>15-24</v>
      </c>
      <c r="R1552" s="0" t="str">
        <f aca="false">IF($D1552&lt;&gt;"","["&amp;$E1552&amp;"]"&amp;"|"&amp;$Q1552&amp;"|"&amp;$K1552&amp;"|"&amp;$G1552&amp;"|"&amp;IF($G1552="TX_CURR_SUBNAT.R","CY2022Q4",$M1552),"")</f>
        <v>[JQKLKuVuY61]|15-24|Male|PLHIV_Residents.T_1|CY2023Q3</v>
      </c>
    </row>
    <row r="1553" customFormat="false" ht="15" hidden="false" customHeight="false" outlineLevel="0" collapsed="false">
      <c r="D1553" s="0" t="s">
        <v>132</v>
      </c>
      <c r="E1553" s="0" t="s">
        <v>133</v>
      </c>
      <c r="F1553" s="0" t="s">
        <v>134</v>
      </c>
      <c r="G1553" s="0" t="s">
        <v>143</v>
      </c>
      <c r="H1553" s="0" t="s">
        <v>144</v>
      </c>
      <c r="I1553" s="0" t="s">
        <v>41</v>
      </c>
      <c r="J1553" s="0" t="s">
        <v>42</v>
      </c>
      <c r="K1553" s="0" t="s">
        <v>48</v>
      </c>
      <c r="L1553" s="0" t="s">
        <v>49</v>
      </c>
      <c r="M1553" s="0" t="s">
        <v>140</v>
      </c>
      <c r="N1553" s="0" t="n">
        <v>1061</v>
      </c>
      <c r="O1553" s="10" t="n">
        <v>0.56900502438657</v>
      </c>
      <c r="P1553" s="10" t="n">
        <v>0.162863194011152</v>
      </c>
      <c r="Q1553" s="0" t="str">
        <f aca="false">SUBSTITUTE(SUBSTITUTE($I1553,CHAR(61),""),CHAR(34),"")</f>
        <v>25-34</v>
      </c>
      <c r="R1553" s="0" t="str">
        <f aca="false">IF($D1553&lt;&gt;"","["&amp;$E1553&amp;"]"&amp;"|"&amp;$Q1553&amp;"|"&amp;$K1553&amp;"|"&amp;$G1553&amp;"|"&amp;IF($G1553="TX_CURR_SUBNAT.R","CY2022Q4",$M1553),"")</f>
        <v>[JQKLKuVuY61]|25-34|Male|PLHIV_Residents.T_1|CY2023Q3</v>
      </c>
    </row>
    <row r="1554" customFormat="false" ht="15" hidden="false" customHeight="false" outlineLevel="0" collapsed="false">
      <c r="D1554" s="0" t="s">
        <v>132</v>
      </c>
      <c r="E1554" s="0" t="s">
        <v>133</v>
      </c>
      <c r="F1554" s="0" t="s">
        <v>134</v>
      </c>
      <c r="G1554" s="0" t="s">
        <v>143</v>
      </c>
      <c r="H1554" s="0" t="s">
        <v>144</v>
      </c>
      <c r="I1554" s="0" t="s">
        <v>43</v>
      </c>
      <c r="J1554" s="0" t="s">
        <v>44</v>
      </c>
      <c r="K1554" s="0" t="s">
        <v>48</v>
      </c>
      <c r="L1554" s="0" t="s">
        <v>49</v>
      </c>
      <c r="M1554" s="0" t="s">
        <v>140</v>
      </c>
      <c r="N1554" s="0" t="n">
        <v>779</v>
      </c>
      <c r="O1554" s="10" t="n">
        <v>0.506998806959018</v>
      </c>
      <c r="P1554" s="10" t="n">
        <v>0.162863194011152</v>
      </c>
      <c r="Q1554" s="0" t="str">
        <f aca="false">SUBSTITUTE(SUBSTITUTE($I1554,CHAR(61),""),CHAR(34),"")</f>
        <v>35-49</v>
      </c>
      <c r="R1554" s="0" t="str">
        <f aca="false">IF($D1554&lt;&gt;"","["&amp;$E1554&amp;"]"&amp;"|"&amp;$Q1554&amp;"|"&amp;$K1554&amp;"|"&amp;$G1554&amp;"|"&amp;IF($G1554="TX_CURR_SUBNAT.R","CY2022Q4",$M1554),"")</f>
        <v>[JQKLKuVuY61]|35-49|Male|PLHIV_Residents.T_1|CY2023Q3</v>
      </c>
    </row>
    <row r="1555" customFormat="false" ht="15" hidden="false" customHeight="false" outlineLevel="0" collapsed="false">
      <c r="D1555" s="0" t="s">
        <v>132</v>
      </c>
      <c r="E1555" s="0" t="s">
        <v>133</v>
      </c>
      <c r="F1555" s="0" t="s">
        <v>134</v>
      </c>
      <c r="G1555" s="0" t="s">
        <v>143</v>
      </c>
      <c r="H1555" s="0" t="s">
        <v>144</v>
      </c>
      <c r="I1555" s="0" t="s">
        <v>45</v>
      </c>
      <c r="J1555" s="0" t="s">
        <v>46</v>
      </c>
      <c r="K1555" s="0" t="s">
        <v>48</v>
      </c>
      <c r="L1555" s="0" t="s">
        <v>49</v>
      </c>
      <c r="M1555" s="0" t="s">
        <v>140</v>
      </c>
      <c r="N1555" s="0" t="n">
        <v>943</v>
      </c>
      <c r="O1555" s="10" t="n">
        <v>0.685622479300946</v>
      </c>
      <c r="P1555" s="10" t="n">
        <v>0.162863194011152</v>
      </c>
      <c r="Q1555" s="0" t="str">
        <f aca="false">SUBSTITUTE(SUBSTITUTE($I1555,CHAR(61),""),CHAR(34),"")</f>
        <v>50+</v>
      </c>
      <c r="R1555" s="0" t="str">
        <f aca="false">IF($D1555&lt;&gt;"","["&amp;$E1555&amp;"]"&amp;"|"&amp;$Q1555&amp;"|"&amp;$K1555&amp;"|"&amp;$G1555&amp;"|"&amp;IF($G1555="TX_CURR_SUBNAT.R","CY2022Q4",$M1555),"")</f>
        <v>[JQKLKuVuY61]|50+|Male|PLHIV_Residents.T_1|CY2023Q3</v>
      </c>
    </row>
    <row r="1556" customFormat="false" ht="15" hidden="false" customHeight="false" outlineLevel="0" collapsed="false">
      <c r="D1556" s="0" t="s">
        <v>135</v>
      </c>
      <c r="E1556" s="0" t="s">
        <v>136</v>
      </c>
      <c r="F1556" s="0" t="s">
        <v>137</v>
      </c>
      <c r="G1556" s="0" t="s">
        <v>143</v>
      </c>
      <c r="H1556" s="0" t="s">
        <v>144</v>
      </c>
      <c r="I1556" s="0" t="s">
        <v>28</v>
      </c>
      <c r="J1556" s="0" t="s">
        <v>29</v>
      </c>
      <c r="K1556" s="0" t="s">
        <v>30</v>
      </c>
      <c r="L1556" s="0" t="s">
        <v>31</v>
      </c>
      <c r="M1556" s="0" t="s">
        <v>140</v>
      </c>
      <c r="N1556" s="0" t="n">
        <v>1801</v>
      </c>
      <c r="O1556" s="10" t="n">
        <v>0.607885475503281</v>
      </c>
      <c r="P1556" s="10" t="n">
        <v>0.955300528323278</v>
      </c>
      <c r="Q1556" s="0" t="str">
        <f aca="false">SUBSTITUTE(SUBSTITUTE($I1556,CHAR(61),""),CHAR(34),"")</f>
        <v>&lt;01</v>
      </c>
      <c r="R1556" s="0" t="str">
        <f aca="false">IF($D1556&lt;&gt;"","["&amp;$E1556&amp;"]"&amp;"|"&amp;$Q1556&amp;"|"&amp;$K1556&amp;"|"&amp;$G1556&amp;"|"&amp;IF($G1556="TX_CURR_SUBNAT.R","CY2022Q4",$M1556),"")</f>
        <v>[fiRkU6gEjLz]|&lt;01|Female|PLHIV_Residents.T_1|CY2023Q3</v>
      </c>
    </row>
    <row r="1557" customFormat="false" ht="15" hidden="false" customHeight="false" outlineLevel="0" collapsed="false">
      <c r="D1557" s="0" t="s">
        <v>135</v>
      </c>
      <c r="E1557" s="0" t="s">
        <v>136</v>
      </c>
      <c r="F1557" s="0" t="s">
        <v>137</v>
      </c>
      <c r="G1557" s="0" t="s">
        <v>143</v>
      </c>
      <c r="H1557" s="0" t="s">
        <v>144</v>
      </c>
      <c r="I1557" s="0" t="s">
        <v>33</v>
      </c>
      <c r="J1557" s="0" t="s">
        <v>34</v>
      </c>
      <c r="K1557" s="0" t="s">
        <v>30</v>
      </c>
      <c r="L1557" s="0" t="s">
        <v>31</v>
      </c>
      <c r="M1557" s="0" t="s">
        <v>140</v>
      </c>
      <c r="N1557" s="0" t="n">
        <v>914</v>
      </c>
      <c r="O1557" s="10" t="n">
        <v>0.706637413939461</v>
      </c>
      <c r="P1557" s="10" t="n">
        <v>0.955300528323278</v>
      </c>
      <c r="Q1557" s="0" t="str">
        <f aca="false">SUBSTITUTE(SUBSTITUTE($I1557,CHAR(61),""),CHAR(34),"")</f>
        <v>01-09</v>
      </c>
      <c r="R1557" s="0" t="str">
        <f aca="false">IF($D1557&lt;&gt;"","["&amp;$E1557&amp;"]"&amp;"|"&amp;$Q1557&amp;"|"&amp;$K1557&amp;"|"&amp;$G1557&amp;"|"&amp;IF($G1557="TX_CURR_SUBNAT.R","CY2022Q4",$M1557),"")</f>
        <v>[fiRkU6gEjLz]|01-09|Female|PLHIV_Residents.T_1|CY2023Q3</v>
      </c>
    </row>
    <row r="1558" customFormat="false" ht="15" hidden="false" customHeight="false" outlineLevel="0" collapsed="false">
      <c r="D1558" s="0" t="s">
        <v>135</v>
      </c>
      <c r="E1558" s="0" t="s">
        <v>136</v>
      </c>
      <c r="F1558" s="0" t="s">
        <v>137</v>
      </c>
      <c r="G1558" s="0" t="s">
        <v>143</v>
      </c>
      <c r="H1558" s="0" t="s">
        <v>144</v>
      </c>
      <c r="I1558" s="0" t="s">
        <v>36</v>
      </c>
      <c r="J1558" s="0" t="s">
        <v>37</v>
      </c>
      <c r="K1558" s="0" t="s">
        <v>30</v>
      </c>
      <c r="L1558" s="0" t="s">
        <v>31</v>
      </c>
      <c r="M1558" s="0" t="s">
        <v>140</v>
      </c>
      <c r="N1558" s="0" t="n">
        <v>1818</v>
      </c>
      <c r="O1558" s="10" t="n">
        <v>0.0160780805163085</v>
      </c>
      <c r="P1558" s="10" t="n">
        <v>0.955300528323278</v>
      </c>
      <c r="Q1558" s="0" t="str">
        <f aca="false">SUBSTITUTE(SUBSTITUTE($I1558,CHAR(61),""),CHAR(34),"")</f>
        <v>10-14</v>
      </c>
      <c r="R1558" s="0" t="str">
        <f aca="false">IF($D1558&lt;&gt;"","["&amp;$E1558&amp;"]"&amp;"|"&amp;$Q1558&amp;"|"&amp;$K1558&amp;"|"&amp;$G1558&amp;"|"&amp;IF($G1558="TX_CURR_SUBNAT.R","CY2022Q4",$M1558),"")</f>
        <v>[fiRkU6gEjLz]|10-14|Female|PLHIV_Residents.T_1|CY2023Q3</v>
      </c>
    </row>
    <row r="1559" customFormat="false" ht="15" hidden="false" customHeight="false" outlineLevel="0" collapsed="false">
      <c r="D1559" s="0" t="s">
        <v>135</v>
      </c>
      <c r="E1559" s="0" t="s">
        <v>136</v>
      </c>
      <c r="F1559" s="0" t="s">
        <v>137</v>
      </c>
      <c r="G1559" s="0" t="s">
        <v>143</v>
      </c>
      <c r="H1559" s="0" t="s">
        <v>144</v>
      </c>
      <c r="I1559" s="0" t="s">
        <v>38</v>
      </c>
      <c r="J1559" s="0" t="s">
        <v>39</v>
      </c>
      <c r="K1559" s="0" t="s">
        <v>30</v>
      </c>
      <c r="L1559" s="0" t="s">
        <v>31</v>
      </c>
      <c r="M1559" s="0" t="s">
        <v>140</v>
      </c>
      <c r="N1559" s="0" t="n">
        <v>1764</v>
      </c>
      <c r="O1559" s="10" t="n">
        <v>0.395954815670848</v>
      </c>
      <c r="P1559" s="10" t="n">
        <v>0.955300528323278</v>
      </c>
      <c r="Q1559" s="0" t="str">
        <f aca="false">SUBSTITUTE(SUBSTITUTE($I1559,CHAR(61),""),CHAR(34),"")</f>
        <v>15-24</v>
      </c>
      <c r="R1559" s="0" t="str">
        <f aca="false">IF($D1559&lt;&gt;"","["&amp;$E1559&amp;"]"&amp;"|"&amp;$Q1559&amp;"|"&amp;$K1559&amp;"|"&amp;$G1559&amp;"|"&amp;IF($G1559="TX_CURR_SUBNAT.R","CY2022Q4",$M1559),"")</f>
        <v>[fiRkU6gEjLz]|15-24|Female|PLHIV_Residents.T_1|CY2023Q3</v>
      </c>
    </row>
    <row r="1560" customFormat="false" ht="15" hidden="false" customHeight="false" outlineLevel="0" collapsed="false">
      <c r="D1560" s="0" t="s">
        <v>135</v>
      </c>
      <c r="E1560" s="0" t="s">
        <v>136</v>
      </c>
      <c r="F1560" s="0" t="s">
        <v>137</v>
      </c>
      <c r="G1560" s="0" t="s">
        <v>143</v>
      </c>
      <c r="H1560" s="0" t="s">
        <v>144</v>
      </c>
      <c r="I1560" s="0" t="s">
        <v>41</v>
      </c>
      <c r="J1560" s="0" t="s">
        <v>42</v>
      </c>
      <c r="K1560" s="0" t="s">
        <v>30</v>
      </c>
      <c r="L1560" s="0" t="s">
        <v>31</v>
      </c>
      <c r="M1560" s="0" t="s">
        <v>140</v>
      </c>
      <c r="N1560" s="0" t="n">
        <v>1103</v>
      </c>
      <c r="O1560" s="10" t="n">
        <v>0.853495507035404</v>
      </c>
      <c r="P1560" s="10" t="n">
        <v>0.955300528323278</v>
      </c>
      <c r="Q1560" s="0" t="str">
        <f aca="false">SUBSTITUTE(SUBSTITUTE($I1560,CHAR(61),""),CHAR(34),"")</f>
        <v>25-34</v>
      </c>
      <c r="R1560" s="0" t="str">
        <f aca="false">IF($D1560&lt;&gt;"","["&amp;$E1560&amp;"]"&amp;"|"&amp;$Q1560&amp;"|"&amp;$K1560&amp;"|"&amp;$G1560&amp;"|"&amp;IF($G1560="TX_CURR_SUBNAT.R","CY2022Q4",$M1560),"")</f>
        <v>[fiRkU6gEjLz]|25-34|Female|PLHIV_Residents.T_1|CY2023Q3</v>
      </c>
    </row>
    <row r="1561" customFormat="false" ht="15" hidden="false" customHeight="false" outlineLevel="0" collapsed="false">
      <c r="D1561" s="0" t="s">
        <v>135</v>
      </c>
      <c r="E1561" s="0" t="s">
        <v>136</v>
      </c>
      <c r="F1561" s="0" t="s">
        <v>137</v>
      </c>
      <c r="G1561" s="0" t="s">
        <v>143</v>
      </c>
      <c r="H1561" s="0" t="s">
        <v>144</v>
      </c>
      <c r="I1561" s="0" t="s">
        <v>43</v>
      </c>
      <c r="J1561" s="0" t="s">
        <v>44</v>
      </c>
      <c r="K1561" s="0" t="s">
        <v>30</v>
      </c>
      <c r="L1561" s="0" t="s">
        <v>31</v>
      </c>
      <c r="M1561" s="0" t="s">
        <v>140</v>
      </c>
      <c r="N1561" s="0" t="n">
        <v>762</v>
      </c>
      <c r="O1561" s="10" t="n">
        <v>0.0690062614157796</v>
      </c>
      <c r="P1561" s="10" t="n">
        <v>0.955300528323278</v>
      </c>
      <c r="Q1561" s="0" t="str">
        <f aca="false">SUBSTITUTE(SUBSTITUTE($I1561,CHAR(61),""),CHAR(34),"")</f>
        <v>35-49</v>
      </c>
      <c r="R1561" s="0" t="str">
        <f aca="false">IF($D1561&lt;&gt;"","["&amp;$E1561&amp;"]"&amp;"|"&amp;$Q1561&amp;"|"&amp;$K1561&amp;"|"&amp;$G1561&amp;"|"&amp;IF($G1561="TX_CURR_SUBNAT.R","CY2022Q4",$M1561),"")</f>
        <v>[fiRkU6gEjLz]|35-49|Female|PLHIV_Residents.T_1|CY2023Q3</v>
      </c>
    </row>
    <row r="1562" customFormat="false" ht="15" hidden="false" customHeight="false" outlineLevel="0" collapsed="false">
      <c r="D1562" s="0" t="s">
        <v>135</v>
      </c>
      <c r="E1562" s="0" t="s">
        <v>136</v>
      </c>
      <c r="F1562" s="0" t="s">
        <v>137</v>
      </c>
      <c r="G1562" s="0" t="s">
        <v>143</v>
      </c>
      <c r="H1562" s="0" t="s">
        <v>144</v>
      </c>
      <c r="I1562" s="0" t="s">
        <v>45</v>
      </c>
      <c r="J1562" s="0" t="s">
        <v>46</v>
      </c>
      <c r="K1562" s="0" t="s">
        <v>30</v>
      </c>
      <c r="L1562" s="0" t="s">
        <v>31</v>
      </c>
      <c r="M1562" s="0" t="s">
        <v>140</v>
      </c>
      <c r="N1562" s="0" t="n">
        <v>1415</v>
      </c>
      <c r="O1562" s="10" t="n">
        <v>0.589711669832468</v>
      </c>
      <c r="P1562" s="10" t="n">
        <v>0.955300528323278</v>
      </c>
      <c r="Q1562" s="0" t="str">
        <f aca="false">SUBSTITUTE(SUBSTITUTE($I1562,CHAR(61),""),CHAR(34),"")</f>
        <v>50+</v>
      </c>
      <c r="R1562" s="0" t="str">
        <f aca="false">IF($D1562&lt;&gt;"","["&amp;$E1562&amp;"]"&amp;"|"&amp;$Q1562&amp;"|"&amp;$K1562&amp;"|"&amp;$G1562&amp;"|"&amp;IF($G1562="TX_CURR_SUBNAT.R","CY2022Q4",$M1562),"")</f>
        <v>[fiRkU6gEjLz]|50+|Female|PLHIV_Residents.T_1|CY2023Q3</v>
      </c>
    </row>
    <row r="1563" customFormat="false" ht="15" hidden="false" customHeight="false" outlineLevel="0" collapsed="false">
      <c r="D1563" s="0" t="s">
        <v>135</v>
      </c>
      <c r="E1563" s="0" t="s">
        <v>136</v>
      </c>
      <c r="F1563" s="0" t="s">
        <v>137</v>
      </c>
      <c r="G1563" s="0" t="s">
        <v>143</v>
      </c>
      <c r="H1563" s="0" t="s">
        <v>144</v>
      </c>
      <c r="I1563" s="0" t="s">
        <v>28</v>
      </c>
      <c r="J1563" s="0" t="s">
        <v>29</v>
      </c>
      <c r="K1563" s="0" t="s">
        <v>48</v>
      </c>
      <c r="L1563" s="0" t="s">
        <v>49</v>
      </c>
      <c r="M1563" s="0" t="s">
        <v>140</v>
      </c>
      <c r="N1563" s="0" t="n">
        <v>537</v>
      </c>
      <c r="O1563" s="10" t="n">
        <v>0.534631005255505</v>
      </c>
      <c r="P1563" s="10" t="n">
        <v>0.955300528323278</v>
      </c>
      <c r="Q1563" s="0" t="str">
        <f aca="false">SUBSTITUTE(SUBSTITUTE($I1563,CHAR(61),""),CHAR(34),"")</f>
        <v>&lt;01</v>
      </c>
      <c r="R1563" s="0" t="str">
        <f aca="false">IF($D1563&lt;&gt;"","["&amp;$E1563&amp;"]"&amp;"|"&amp;$Q1563&amp;"|"&amp;$K1563&amp;"|"&amp;$G1563&amp;"|"&amp;IF($G1563="TX_CURR_SUBNAT.R","CY2022Q4",$M1563),"")</f>
        <v>[fiRkU6gEjLz]|&lt;01|Male|PLHIV_Residents.T_1|CY2023Q3</v>
      </c>
    </row>
    <row r="1564" customFormat="false" ht="15" hidden="false" customHeight="false" outlineLevel="0" collapsed="false">
      <c r="D1564" s="0" t="s">
        <v>135</v>
      </c>
      <c r="E1564" s="0" t="s">
        <v>136</v>
      </c>
      <c r="F1564" s="0" t="s">
        <v>137</v>
      </c>
      <c r="G1564" s="0" t="s">
        <v>143</v>
      </c>
      <c r="H1564" s="0" t="s">
        <v>144</v>
      </c>
      <c r="I1564" s="0" t="s">
        <v>33</v>
      </c>
      <c r="J1564" s="0" t="s">
        <v>34</v>
      </c>
      <c r="K1564" s="0" t="s">
        <v>48</v>
      </c>
      <c r="L1564" s="0" t="s">
        <v>49</v>
      </c>
      <c r="M1564" s="0" t="s">
        <v>140</v>
      </c>
      <c r="N1564" s="0" t="n">
        <v>1518</v>
      </c>
      <c r="O1564" s="10" t="n">
        <v>0.235648889793083</v>
      </c>
      <c r="P1564" s="10" t="n">
        <v>0.955300528323278</v>
      </c>
      <c r="Q1564" s="0" t="str">
        <f aca="false">SUBSTITUTE(SUBSTITUTE($I1564,CHAR(61),""),CHAR(34),"")</f>
        <v>01-09</v>
      </c>
      <c r="R1564" s="0" t="str">
        <f aca="false">IF($D1564&lt;&gt;"","["&amp;$E1564&amp;"]"&amp;"|"&amp;$Q1564&amp;"|"&amp;$K1564&amp;"|"&amp;$G1564&amp;"|"&amp;IF($G1564="TX_CURR_SUBNAT.R","CY2022Q4",$M1564),"")</f>
        <v>[fiRkU6gEjLz]|01-09|Male|PLHIV_Residents.T_1|CY2023Q3</v>
      </c>
    </row>
    <row r="1565" customFormat="false" ht="15" hidden="false" customHeight="false" outlineLevel="0" collapsed="false">
      <c r="D1565" s="0" t="s">
        <v>135</v>
      </c>
      <c r="E1565" s="0" t="s">
        <v>136</v>
      </c>
      <c r="F1565" s="0" t="s">
        <v>137</v>
      </c>
      <c r="G1565" s="0" t="s">
        <v>143</v>
      </c>
      <c r="H1565" s="0" t="s">
        <v>144</v>
      </c>
      <c r="I1565" s="0" t="s">
        <v>36</v>
      </c>
      <c r="J1565" s="0" t="s">
        <v>37</v>
      </c>
      <c r="K1565" s="0" t="s">
        <v>48</v>
      </c>
      <c r="L1565" s="0" t="s">
        <v>49</v>
      </c>
      <c r="M1565" s="0" t="s">
        <v>140</v>
      </c>
      <c r="N1565" s="0" t="n">
        <v>784</v>
      </c>
      <c r="O1565" s="10" t="n">
        <v>0.0376135234255344</v>
      </c>
      <c r="P1565" s="10" t="n">
        <v>0.955300528323278</v>
      </c>
      <c r="Q1565" s="0" t="str">
        <f aca="false">SUBSTITUTE(SUBSTITUTE($I1565,CHAR(61),""),CHAR(34),"")</f>
        <v>10-14</v>
      </c>
      <c r="R1565" s="0" t="str">
        <f aca="false">IF($D1565&lt;&gt;"","["&amp;$E1565&amp;"]"&amp;"|"&amp;$Q1565&amp;"|"&amp;$K1565&amp;"|"&amp;$G1565&amp;"|"&amp;IF($G1565="TX_CURR_SUBNAT.R","CY2022Q4",$M1565),"")</f>
        <v>[fiRkU6gEjLz]|10-14|Male|PLHIV_Residents.T_1|CY2023Q3</v>
      </c>
    </row>
    <row r="1566" customFormat="false" ht="15" hidden="false" customHeight="false" outlineLevel="0" collapsed="false">
      <c r="D1566" s="0" t="s">
        <v>135</v>
      </c>
      <c r="E1566" s="0" t="s">
        <v>136</v>
      </c>
      <c r="F1566" s="0" t="s">
        <v>137</v>
      </c>
      <c r="G1566" s="0" t="s">
        <v>143</v>
      </c>
      <c r="H1566" s="0" t="s">
        <v>144</v>
      </c>
      <c r="I1566" s="0" t="s">
        <v>38</v>
      </c>
      <c r="J1566" s="0" t="s">
        <v>39</v>
      </c>
      <c r="K1566" s="0" t="s">
        <v>48</v>
      </c>
      <c r="L1566" s="0" t="s">
        <v>49</v>
      </c>
      <c r="M1566" s="0" t="s">
        <v>140</v>
      </c>
      <c r="N1566" s="0" t="n">
        <v>1494</v>
      </c>
      <c r="O1566" s="10" t="n">
        <v>0.197316389996558</v>
      </c>
      <c r="P1566" s="10" t="n">
        <v>0.955300528323278</v>
      </c>
      <c r="Q1566" s="0" t="str">
        <f aca="false">SUBSTITUTE(SUBSTITUTE($I1566,CHAR(61),""),CHAR(34),"")</f>
        <v>15-24</v>
      </c>
      <c r="R1566" s="0" t="str">
        <f aca="false">IF($D1566&lt;&gt;"","["&amp;$E1566&amp;"]"&amp;"|"&amp;$Q1566&amp;"|"&amp;$K1566&amp;"|"&amp;$G1566&amp;"|"&amp;IF($G1566="TX_CURR_SUBNAT.R","CY2022Q4",$M1566),"")</f>
        <v>[fiRkU6gEjLz]|15-24|Male|PLHIV_Residents.T_1|CY2023Q3</v>
      </c>
    </row>
    <row r="1567" customFormat="false" ht="15" hidden="false" customHeight="false" outlineLevel="0" collapsed="false">
      <c r="D1567" s="0" t="s">
        <v>135</v>
      </c>
      <c r="E1567" s="0" t="s">
        <v>136</v>
      </c>
      <c r="F1567" s="0" t="s">
        <v>137</v>
      </c>
      <c r="G1567" s="0" t="s">
        <v>143</v>
      </c>
      <c r="H1567" s="0" t="s">
        <v>144</v>
      </c>
      <c r="I1567" s="0" t="s">
        <v>41</v>
      </c>
      <c r="J1567" s="0" t="s">
        <v>42</v>
      </c>
      <c r="K1567" s="0" t="s">
        <v>48</v>
      </c>
      <c r="L1567" s="0" t="s">
        <v>49</v>
      </c>
      <c r="M1567" s="0" t="s">
        <v>140</v>
      </c>
      <c r="N1567" s="0" t="n">
        <v>1960</v>
      </c>
      <c r="O1567" s="10" t="n">
        <v>0.426856552716345</v>
      </c>
      <c r="P1567" s="10" t="n">
        <v>0.955300528323278</v>
      </c>
      <c r="Q1567" s="0" t="str">
        <f aca="false">SUBSTITUTE(SUBSTITUTE($I1567,CHAR(61),""),CHAR(34),"")</f>
        <v>25-34</v>
      </c>
      <c r="R1567" s="0" t="str">
        <f aca="false">IF($D1567&lt;&gt;"","["&amp;$E1567&amp;"]"&amp;"|"&amp;$Q1567&amp;"|"&amp;$K1567&amp;"|"&amp;$G1567&amp;"|"&amp;IF($G1567="TX_CURR_SUBNAT.R","CY2022Q4",$M1567),"")</f>
        <v>[fiRkU6gEjLz]|25-34|Male|PLHIV_Residents.T_1|CY2023Q3</v>
      </c>
    </row>
    <row r="1568" customFormat="false" ht="15" hidden="false" customHeight="false" outlineLevel="0" collapsed="false">
      <c r="D1568" s="0" t="s">
        <v>135</v>
      </c>
      <c r="E1568" s="0" t="s">
        <v>136</v>
      </c>
      <c r="F1568" s="0" t="s">
        <v>137</v>
      </c>
      <c r="G1568" s="0" t="s">
        <v>143</v>
      </c>
      <c r="H1568" s="0" t="s">
        <v>144</v>
      </c>
      <c r="I1568" s="0" t="s">
        <v>43</v>
      </c>
      <c r="J1568" s="0" t="s">
        <v>44</v>
      </c>
      <c r="K1568" s="0" t="s">
        <v>48</v>
      </c>
      <c r="L1568" s="0" t="s">
        <v>49</v>
      </c>
      <c r="M1568" s="0" t="s">
        <v>140</v>
      </c>
      <c r="N1568" s="0" t="n">
        <v>1717</v>
      </c>
      <c r="O1568" s="10" t="n">
        <v>0.496960768010467</v>
      </c>
      <c r="P1568" s="10" t="n">
        <v>0.955300528323278</v>
      </c>
      <c r="Q1568" s="0" t="str">
        <f aca="false">SUBSTITUTE(SUBSTITUTE($I1568,CHAR(61),""),CHAR(34),"")</f>
        <v>35-49</v>
      </c>
      <c r="R1568" s="0" t="str">
        <f aca="false">IF($D1568&lt;&gt;"","["&amp;$E1568&amp;"]"&amp;"|"&amp;$Q1568&amp;"|"&amp;$K1568&amp;"|"&amp;$G1568&amp;"|"&amp;IF($G1568="TX_CURR_SUBNAT.R","CY2022Q4",$M1568),"")</f>
        <v>[fiRkU6gEjLz]|35-49|Male|PLHIV_Residents.T_1|CY2023Q3</v>
      </c>
    </row>
    <row r="1569" customFormat="false" ht="15" hidden="false" customHeight="false" outlineLevel="0" collapsed="false">
      <c r="D1569" s="0" t="s">
        <v>135</v>
      </c>
      <c r="E1569" s="0" t="s">
        <v>136</v>
      </c>
      <c r="F1569" s="0" t="s">
        <v>137</v>
      </c>
      <c r="G1569" s="0" t="s">
        <v>143</v>
      </c>
      <c r="H1569" s="0" t="s">
        <v>144</v>
      </c>
      <c r="I1569" s="0" t="s">
        <v>45</v>
      </c>
      <c r="J1569" s="0" t="s">
        <v>46</v>
      </c>
      <c r="K1569" s="0" t="s">
        <v>48</v>
      </c>
      <c r="L1569" s="0" t="s">
        <v>49</v>
      </c>
      <c r="M1569" s="0" t="s">
        <v>140</v>
      </c>
      <c r="N1569" s="0" t="n">
        <v>1780</v>
      </c>
      <c r="O1569" s="10" t="n">
        <v>0.754149219719693</v>
      </c>
      <c r="P1569" s="10" t="n">
        <v>0.955300528323278</v>
      </c>
      <c r="Q1569" s="0" t="str">
        <f aca="false">SUBSTITUTE(SUBSTITUTE($I1569,CHAR(61),""),CHAR(34),"")</f>
        <v>50+</v>
      </c>
      <c r="R1569" s="0" t="str">
        <f aca="false">IF($D1569&lt;&gt;"","["&amp;$E1569&amp;"]"&amp;"|"&amp;$Q1569&amp;"|"&amp;$K1569&amp;"|"&amp;$G1569&amp;"|"&amp;IF($G1569="TX_CURR_SUBNAT.R","CY2022Q4",$M1569),"")</f>
        <v>[fiRkU6gEjLz]|50+|Male|PLHIV_Residents.T_1|CY2023Q3</v>
      </c>
    </row>
    <row r="1570" customFormat="false" ht="15" hidden="false" customHeight="false" outlineLevel="0" collapsed="false">
      <c r="D1570" s="0" t="s">
        <v>23</v>
      </c>
      <c r="E1570" s="0" t="s">
        <v>24</v>
      </c>
      <c r="F1570" s="0" t="s">
        <v>25</v>
      </c>
      <c r="G1570" s="0" t="s">
        <v>145</v>
      </c>
      <c r="H1570" s="0" t="s">
        <v>145</v>
      </c>
      <c r="I1570" s="0" t="s">
        <v>28</v>
      </c>
      <c r="J1570" s="0" t="s">
        <v>29</v>
      </c>
      <c r="K1570" s="0" t="s">
        <v>30</v>
      </c>
      <c r="L1570" s="0" t="s">
        <v>31</v>
      </c>
      <c r="M1570" s="0" t="s">
        <v>140</v>
      </c>
      <c r="N1570" s="0" t="n">
        <v>1533</v>
      </c>
      <c r="O1570" s="10" t="n">
        <v>0.64397796895355</v>
      </c>
      <c r="P1570" s="10" t="n">
        <v>0.404358610976487</v>
      </c>
      <c r="Q1570" s="0" t="str">
        <f aca="false">SUBSTITUTE(SUBSTITUTE($I1570,CHAR(61),""),CHAR(34),"")</f>
        <v>&lt;01</v>
      </c>
      <c r="R1570" s="0" t="str">
        <f aca="false">IF($D1570&lt;&gt;"","["&amp;$E1570&amp;"]"&amp;"|"&amp;$Q1570&amp;"|"&amp;$K1570&amp;"|"&amp;$G1570&amp;"|"&amp;IF($G1570="TX_CURR_SUBNAT.R","CY2022Q4",$M1570),"")</f>
        <v>[GkIwZrXy1h2]|&lt;01|Female|PopART.Rt.T_1|CY2023Q3</v>
      </c>
    </row>
    <row r="1571" customFormat="false" ht="15" hidden="false" customHeight="false" outlineLevel="0" collapsed="false">
      <c r="D1571" s="0" t="s">
        <v>23</v>
      </c>
      <c r="E1571" s="0" t="s">
        <v>24</v>
      </c>
      <c r="F1571" s="0" t="s">
        <v>25</v>
      </c>
      <c r="G1571" s="0" t="s">
        <v>145</v>
      </c>
      <c r="H1571" s="0" t="s">
        <v>145</v>
      </c>
      <c r="I1571" s="0" t="s">
        <v>33</v>
      </c>
      <c r="J1571" s="0" t="s">
        <v>34</v>
      </c>
      <c r="K1571" s="0" t="s">
        <v>30</v>
      </c>
      <c r="L1571" s="0" t="s">
        <v>31</v>
      </c>
      <c r="M1571" s="0" t="s">
        <v>140</v>
      </c>
      <c r="N1571" s="0" t="n">
        <v>1608</v>
      </c>
      <c r="O1571" s="10" t="n">
        <v>0.28975071106106</v>
      </c>
      <c r="P1571" s="10" t="n">
        <v>0.404358610976487</v>
      </c>
      <c r="Q1571" s="0" t="str">
        <f aca="false">SUBSTITUTE(SUBSTITUTE($I1571,CHAR(61),""),CHAR(34),"")</f>
        <v>01-09</v>
      </c>
      <c r="R1571" s="0" t="str">
        <f aca="false">IF($D1571&lt;&gt;"","["&amp;$E1571&amp;"]"&amp;"|"&amp;$Q1571&amp;"|"&amp;$K1571&amp;"|"&amp;$G1571&amp;"|"&amp;IF($G1571="TX_CURR_SUBNAT.R","CY2022Q4",$M1571),"")</f>
        <v>[GkIwZrXy1h2]|01-09|Female|PopART.Rt.T_1|CY2023Q3</v>
      </c>
    </row>
    <row r="1572" customFormat="false" ht="15" hidden="false" customHeight="false" outlineLevel="0" collapsed="false">
      <c r="D1572" s="0" t="s">
        <v>23</v>
      </c>
      <c r="E1572" s="0" t="s">
        <v>24</v>
      </c>
      <c r="F1572" s="0" t="s">
        <v>25</v>
      </c>
      <c r="G1572" s="0" t="s">
        <v>145</v>
      </c>
      <c r="H1572" s="0" t="s">
        <v>145</v>
      </c>
      <c r="I1572" s="0" t="s">
        <v>36</v>
      </c>
      <c r="J1572" s="0" t="s">
        <v>37</v>
      </c>
      <c r="K1572" s="0" t="s">
        <v>30</v>
      </c>
      <c r="L1572" s="0" t="s">
        <v>31</v>
      </c>
      <c r="M1572" s="0" t="s">
        <v>140</v>
      </c>
      <c r="N1572" s="0" t="n">
        <v>1803</v>
      </c>
      <c r="O1572" s="10" t="n">
        <v>0.1927612896543</v>
      </c>
      <c r="P1572" s="10" t="n">
        <v>0.404358610976487</v>
      </c>
      <c r="Q1572" s="0" t="str">
        <f aca="false">SUBSTITUTE(SUBSTITUTE($I1572,CHAR(61),""),CHAR(34),"")</f>
        <v>10-14</v>
      </c>
      <c r="R1572" s="0" t="str">
        <f aca="false">IF($D1572&lt;&gt;"","["&amp;$E1572&amp;"]"&amp;"|"&amp;$Q1572&amp;"|"&amp;$K1572&amp;"|"&amp;$G1572&amp;"|"&amp;IF($G1572="TX_CURR_SUBNAT.R","CY2022Q4",$M1572),"")</f>
        <v>[GkIwZrXy1h2]|10-14|Female|PopART.Rt.T_1|CY2023Q3</v>
      </c>
    </row>
    <row r="1573" customFormat="false" ht="15" hidden="false" customHeight="false" outlineLevel="0" collapsed="false">
      <c r="D1573" s="0" t="s">
        <v>23</v>
      </c>
      <c r="E1573" s="0" t="s">
        <v>24</v>
      </c>
      <c r="F1573" s="0" t="s">
        <v>25</v>
      </c>
      <c r="G1573" s="0" t="s">
        <v>145</v>
      </c>
      <c r="H1573" s="0" t="s">
        <v>145</v>
      </c>
      <c r="I1573" s="0" t="s">
        <v>38</v>
      </c>
      <c r="J1573" s="0" t="s">
        <v>39</v>
      </c>
      <c r="K1573" s="0" t="s">
        <v>30</v>
      </c>
      <c r="L1573" s="0" t="s">
        <v>31</v>
      </c>
      <c r="M1573" s="0" t="s">
        <v>140</v>
      </c>
      <c r="N1573" s="0" t="n">
        <v>1790</v>
      </c>
      <c r="O1573" s="10" t="n">
        <v>0.752573781879619</v>
      </c>
      <c r="P1573" s="10" t="n">
        <v>0.404358610976487</v>
      </c>
      <c r="Q1573" s="0" t="str">
        <f aca="false">SUBSTITUTE(SUBSTITUTE($I1573,CHAR(61),""),CHAR(34),"")</f>
        <v>15-24</v>
      </c>
      <c r="R1573" s="0" t="str">
        <f aca="false">IF($D1573&lt;&gt;"","["&amp;$E1573&amp;"]"&amp;"|"&amp;$Q1573&amp;"|"&amp;$K1573&amp;"|"&amp;$G1573&amp;"|"&amp;IF($G1573="TX_CURR_SUBNAT.R","CY2022Q4",$M1573),"")</f>
        <v>[GkIwZrXy1h2]|15-24|Female|PopART.Rt.T_1|CY2023Q3</v>
      </c>
    </row>
    <row r="1574" customFormat="false" ht="15" hidden="false" customHeight="false" outlineLevel="0" collapsed="false">
      <c r="D1574" s="0" t="s">
        <v>23</v>
      </c>
      <c r="E1574" s="0" t="s">
        <v>24</v>
      </c>
      <c r="F1574" s="0" t="s">
        <v>25</v>
      </c>
      <c r="G1574" s="0" t="s">
        <v>145</v>
      </c>
      <c r="H1574" s="0" t="s">
        <v>145</v>
      </c>
      <c r="I1574" s="0" t="s">
        <v>41</v>
      </c>
      <c r="J1574" s="0" t="s">
        <v>42</v>
      </c>
      <c r="K1574" s="0" t="s">
        <v>30</v>
      </c>
      <c r="L1574" s="0" t="s">
        <v>31</v>
      </c>
      <c r="M1574" s="0" t="s">
        <v>140</v>
      </c>
      <c r="N1574" s="0" t="n">
        <v>739</v>
      </c>
      <c r="O1574" s="10" t="n">
        <v>0.634162302361801</v>
      </c>
      <c r="P1574" s="10" t="n">
        <v>0.404358610976487</v>
      </c>
      <c r="Q1574" s="0" t="str">
        <f aca="false">SUBSTITUTE(SUBSTITUTE($I1574,CHAR(61),""),CHAR(34),"")</f>
        <v>25-34</v>
      </c>
      <c r="R1574" s="0" t="str">
        <f aca="false">IF($D1574&lt;&gt;"","["&amp;$E1574&amp;"]"&amp;"|"&amp;$Q1574&amp;"|"&amp;$K1574&amp;"|"&amp;$G1574&amp;"|"&amp;IF($G1574="TX_CURR_SUBNAT.R","CY2022Q4",$M1574),"")</f>
        <v>[GkIwZrXy1h2]|25-34|Female|PopART.Rt.T_1|CY2023Q3</v>
      </c>
    </row>
    <row r="1575" customFormat="false" ht="15" hidden="false" customHeight="false" outlineLevel="0" collapsed="false">
      <c r="D1575" s="0" t="s">
        <v>23</v>
      </c>
      <c r="E1575" s="0" t="s">
        <v>24</v>
      </c>
      <c r="F1575" s="0" t="s">
        <v>25</v>
      </c>
      <c r="G1575" s="0" t="s">
        <v>145</v>
      </c>
      <c r="H1575" s="0" t="s">
        <v>145</v>
      </c>
      <c r="I1575" s="0" t="s">
        <v>43</v>
      </c>
      <c r="J1575" s="0" t="s">
        <v>44</v>
      </c>
      <c r="K1575" s="0" t="s">
        <v>30</v>
      </c>
      <c r="L1575" s="0" t="s">
        <v>31</v>
      </c>
      <c r="M1575" s="0" t="s">
        <v>140</v>
      </c>
      <c r="N1575" s="0" t="n">
        <v>1516</v>
      </c>
      <c r="O1575" s="10" t="n">
        <v>0.636973077896982</v>
      </c>
      <c r="P1575" s="10" t="n">
        <v>0.404358610976487</v>
      </c>
      <c r="Q1575" s="0" t="str">
        <f aca="false">SUBSTITUTE(SUBSTITUTE($I1575,CHAR(61),""),CHAR(34),"")</f>
        <v>35-49</v>
      </c>
      <c r="R1575" s="0" t="str">
        <f aca="false">IF($D1575&lt;&gt;"","["&amp;$E1575&amp;"]"&amp;"|"&amp;$Q1575&amp;"|"&amp;$K1575&amp;"|"&amp;$G1575&amp;"|"&amp;IF($G1575="TX_CURR_SUBNAT.R","CY2022Q4",$M1575),"")</f>
        <v>[GkIwZrXy1h2]|35-49|Female|PopART.Rt.T_1|CY2023Q3</v>
      </c>
    </row>
    <row r="1576" customFormat="false" ht="15" hidden="false" customHeight="false" outlineLevel="0" collapsed="false">
      <c r="D1576" s="0" t="s">
        <v>23</v>
      </c>
      <c r="E1576" s="0" t="s">
        <v>24</v>
      </c>
      <c r="F1576" s="0" t="s">
        <v>25</v>
      </c>
      <c r="G1576" s="0" t="s">
        <v>145</v>
      </c>
      <c r="H1576" s="0" t="s">
        <v>145</v>
      </c>
      <c r="I1576" s="0" t="s">
        <v>45</v>
      </c>
      <c r="J1576" s="0" t="s">
        <v>46</v>
      </c>
      <c r="K1576" s="0" t="s">
        <v>30</v>
      </c>
      <c r="L1576" s="0" t="s">
        <v>31</v>
      </c>
      <c r="M1576" s="0" t="s">
        <v>140</v>
      </c>
      <c r="N1576" s="0" t="n">
        <v>868</v>
      </c>
      <c r="O1576" s="10" t="n">
        <v>0.392038376070559</v>
      </c>
      <c r="P1576" s="10" t="n">
        <v>0.404358610976487</v>
      </c>
      <c r="Q1576" s="0" t="str">
        <f aca="false">SUBSTITUTE(SUBSTITUTE($I1576,CHAR(61),""),CHAR(34),"")</f>
        <v>50+</v>
      </c>
      <c r="R1576" s="0" t="str">
        <f aca="false">IF($D1576&lt;&gt;"","["&amp;$E1576&amp;"]"&amp;"|"&amp;$Q1576&amp;"|"&amp;$K1576&amp;"|"&amp;$G1576&amp;"|"&amp;IF($G1576="TX_CURR_SUBNAT.R","CY2022Q4",$M1576),"")</f>
        <v>[GkIwZrXy1h2]|50+|Female|PopART.Rt.T_1|CY2023Q3</v>
      </c>
    </row>
    <row r="1577" customFormat="false" ht="15" hidden="false" customHeight="false" outlineLevel="0" collapsed="false">
      <c r="D1577" s="0" t="s">
        <v>23</v>
      </c>
      <c r="E1577" s="0" t="s">
        <v>24</v>
      </c>
      <c r="F1577" s="0" t="s">
        <v>25</v>
      </c>
      <c r="G1577" s="0" t="s">
        <v>145</v>
      </c>
      <c r="H1577" s="0" t="s">
        <v>145</v>
      </c>
      <c r="I1577" s="0" t="s">
        <v>28</v>
      </c>
      <c r="J1577" s="0" t="s">
        <v>29</v>
      </c>
      <c r="K1577" s="0" t="s">
        <v>48</v>
      </c>
      <c r="L1577" s="0" t="s">
        <v>49</v>
      </c>
      <c r="M1577" s="0" t="s">
        <v>140</v>
      </c>
      <c r="N1577" s="0" t="n">
        <v>791</v>
      </c>
      <c r="O1577" s="10" t="n">
        <v>0.981547464849427</v>
      </c>
      <c r="P1577" s="10" t="n">
        <v>0.404358610976487</v>
      </c>
      <c r="Q1577" s="0" t="str">
        <f aca="false">SUBSTITUTE(SUBSTITUTE($I1577,CHAR(61),""),CHAR(34),"")</f>
        <v>&lt;01</v>
      </c>
      <c r="R1577" s="0" t="str">
        <f aca="false">IF($D1577&lt;&gt;"","["&amp;$E1577&amp;"]"&amp;"|"&amp;$Q1577&amp;"|"&amp;$K1577&amp;"|"&amp;$G1577&amp;"|"&amp;IF($G1577="TX_CURR_SUBNAT.R","CY2022Q4",$M1577),"")</f>
        <v>[GkIwZrXy1h2]|&lt;01|Male|PopART.Rt.T_1|CY2023Q3</v>
      </c>
    </row>
    <row r="1578" customFormat="false" ht="15" hidden="false" customHeight="false" outlineLevel="0" collapsed="false">
      <c r="D1578" s="0" t="s">
        <v>23</v>
      </c>
      <c r="E1578" s="0" t="s">
        <v>24</v>
      </c>
      <c r="F1578" s="0" t="s">
        <v>25</v>
      </c>
      <c r="G1578" s="0" t="s">
        <v>145</v>
      </c>
      <c r="H1578" s="0" t="s">
        <v>145</v>
      </c>
      <c r="I1578" s="0" t="s">
        <v>33</v>
      </c>
      <c r="J1578" s="0" t="s">
        <v>34</v>
      </c>
      <c r="K1578" s="0" t="s">
        <v>48</v>
      </c>
      <c r="L1578" s="0" t="s">
        <v>49</v>
      </c>
      <c r="M1578" s="0" t="s">
        <v>140</v>
      </c>
      <c r="N1578" s="0" t="n">
        <v>1392</v>
      </c>
      <c r="O1578" s="10" t="n">
        <v>0.0702679648529738</v>
      </c>
      <c r="P1578" s="10" t="n">
        <v>0.404358610976487</v>
      </c>
      <c r="Q1578" s="0" t="str">
        <f aca="false">SUBSTITUTE(SUBSTITUTE($I1578,CHAR(61),""),CHAR(34),"")</f>
        <v>01-09</v>
      </c>
      <c r="R1578" s="0" t="str">
        <f aca="false">IF($D1578&lt;&gt;"","["&amp;$E1578&amp;"]"&amp;"|"&amp;$Q1578&amp;"|"&amp;$K1578&amp;"|"&amp;$G1578&amp;"|"&amp;IF($G1578="TX_CURR_SUBNAT.R","CY2022Q4",$M1578),"")</f>
        <v>[GkIwZrXy1h2]|01-09|Male|PopART.Rt.T_1|CY2023Q3</v>
      </c>
    </row>
    <row r="1579" customFormat="false" ht="15" hidden="false" customHeight="false" outlineLevel="0" collapsed="false">
      <c r="D1579" s="0" t="s">
        <v>23</v>
      </c>
      <c r="E1579" s="0" t="s">
        <v>24</v>
      </c>
      <c r="F1579" s="0" t="s">
        <v>25</v>
      </c>
      <c r="G1579" s="0" t="s">
        <v>145</v>
      </c>
      <c r="H1579" s="0" t="s">
        <v>145</v>
      </c>
      <c r="I1579" s="0" t="s">
        <v>36</v>
      </c>
      <c r="J1579" s="0" t="s">
        <v>37</v>
      </c>
      <c r="K1579" s="0" t="s">
        <v>48</v>
      </c>
      <c r="L1579" s="0" t="s">
        <v>49</v>
      </c>
      <c r="M1579" s="0" t="s">
        <v>140</v>
      </c>
      <c r="N1579" s="0" t="n">
        <v>1825</v>
      </c>
      <c r="O1579" s="10" t="n">
        <v>0.161867602262646</v>
      </c>
      <c r="P1579" s="10" t="n">
        <v>0.404358610976487</v>
      </c>
      <c r="Q1579" s="0" t="str">
        <f aca="false">SUBSTITUTE(SUBSTITUTE($I1579,CHAR(61),""),CHAR(34),"")</f>
        <v>10-14</v>
      </c>
      <c r="R1579" s="0" t="str">
        <f aca="false">IF($D1579&lt;&gt;"","["&amp;$E1579&amp;"]"&amp;"|"&amp;$Q1579&amp;"|"&amp;$K1579&amp;"|"&amp;$G1579&amp;"|"&amp;IF($G1579="TX_CURR_SUBNAT.R","CY2022Q4",$M1579),"")</f>
        <v>[GkIwZrXy1h2]|10-14|Male|PopART.Rt.T_1|CY2023Q3</v>
      </c>
    </row>
    <row r="1580" customFormat="false" ht="15" hidden="false" customHeight="false" outlineLevel="0" collapsed="false">
      <c r="D1580" s="0" t="s">
        <v>23</v>
      </c>
      <c r="E1580" s="0" t="s">
        <v>24</v>
      </c>
      <c r="F1580" s="0" t="s">
        <v>25</v>
      </c>
      <c r="G1580" s="0" t="s">
        <v>145</v>
      </c>
      <c r="H1580" s="0" t="s">
        <v>145</v>
      </c>
      <c r="I1580" s="0" t="s">
        <v>38</v>
      </c>
      <c r="J1580" s="0" t="s">
        <v>39</v>
      </c>
      <c r="K1580" s="0" t="s">
        <v>48</v>
      </c>
      <c r="L1580" s="0" t="s">
        <v>49</v>
      </c>
      <c r="M1580" s="0" t="s">
        <v>140</v>
      </c>
      <c r="N1580" s="0" t="n">
        <v>690</v>
      </c>
      <c r="O1580" s="10" t="n">
        <v>0.369299014331773</v>
      </c>
      <c r="P1580" s="10" t="n">
        <v>0.404358610976487</v>
      </c>
      <c r="Q1580" s="0" t="str">
        <f aca="false">SUBSTITUTE(SUBSTITUTE($I1580,CHAR(61),""),CHAR(34),"")</f>
        <v>15-24</v>
      </c>
      <c r="R1580" s="0" t="str">
        <f aca="false">IF($D1580&lt;&gt;"","["&amp;$E1580&amp;"]"&amp;"|"&amp;$Q1580&amp;"|"&amp;$K1580&amp;"|"&amp;$G1580&amp;"|"&amp;IF($G1580="TX_CURR_SUBNAT.R","CY2022Q4",$M1580),"")</f>
        <v>[GkIwZrXy1h2]|15-24|Male|PopART.Rt.T_1|CY2023Q3</v>
      </c>
    </row>
    <row r="1581" customFormat="false" ht="15" hidden="false" customHeight="false" outlineLevel="0" collapsed="false">
      <c r="D1581" s="0" t="s">
        <v>23</v>
      </c>
      <c r="E1581" s="0" t="s">
        <v>24</v>
      </c>
      <c r="F1581" s="0" t="s">
        <v>25</v>
      </c>
      <c r="G1581" s="0" t="s">
        <v>145</v>
      </c>
      <c r="H1581" s="0" t="s">
        <v>145</v>
      </c>
      <c r="I1581" s="0" t="s">
        <v>41</v>
      </c>
      <c r="J1581" s="0" t="s">
        <v>42</v>
      </c>
      <c r="K1581" s="0" t="s">
        <v>48</v>
      </c>
      <c r="L1581" s="0" t="s">
        <v>49</v>
      </c>
      <c r="M1581" s="0" t="s">
        <v>140</v>
      </c>
      <c r="N1581" s="0" t="n">
        <v>647</v>
      </c>
      <c r="O1581" s="10" t="n">
        <v>0.0908613763749599</v>
      </c>
      <c r="P1581" s="10" t="n">
        <v>0.404358610976487</v>
      </c>
      <c r="Q1581" s="0" t="str">
        <f aca="false">SUBSTITUTE(SUBSTITUTE($I1581,CHAR(61),""),CHAR(34),"")</f>
        <v>25-34</v>
      </c>
      <c r="R1581" s="0" t="str">
        <f aca="false">IF($D1581&lt;&gt;"","["&amp;$E1581&amp;"]"&amp;"|"&amp;$Q1581&amp;"|"&amp;$K1581&amp;"|"&amp;$G1581&amp;"|"&amp;IF($G1581="TX_CURR_SUBNAT.R","CY2022Q4",$M1581),"")</f>
        <v>[GkIwZrXy1h2]|25-34|Male|PopART.Rt.T_1|CY2023Q3</v>
      </c>
    </row>
    <row r="1582" customFormat="false" ht="15" hidden="false" customHeight="false" outlineLevel="0" collapsed="false">
      <c r="D1582" s="0" t="s">
        <v>23</v>
      </c>
      <c r="E1582" s="0" t="s">
        <v>24</v>
      </c>
      <c r="F1582" s="0" t="s">
        <v>25</v>
      </c>
      <c r="G1582" s="0" t="s">
        <v>145</v>
      </c>
      <c r="H1582" s="0" t="s">
        <v>145</v>
      </c>
      <c r="I1582" s="0" t="s">
        <v>43</v>
      </c>
      <c r="J1582" s="0" t="s">
        <v>44</v>
      </c>
      <c r="K1582" s="0" t="s">
        <v>48</v>
      </c>
      <c r="L1582" s="0" t="s">
        <v>49</v>
      </c>
      <c r="M1582" s="0" t="s">
        <v>140</v>
      </c>
      <c r="N1582" s="0" t="n">
        <v>1192</v>
      </c>
      <c r="O1582" s="10" t="n">
        <v>0.293234953423962</v>
      </c>
      <c r="P1582" s="10" t="n">
        <v>0.404358610976487</v>
      </c>
      <c r="Q1582" s="0" t="str">
        <f aca="false">SUBSTITUTE(SUBSTITUTE($I1582,CHAR(61),""),CHAR(34),"")</f>
        <v>35-49</v>
      </c>
      <c r="R1582" s="0" t="str">
        <f aca="false">IF($D1582&lt;&gt;"","["&amp;$E1582&amp;"]"&amp;"|"&amp;$Q1582&amp;"|"&amp;$K1582&amp;"|"&amp;$G1582&amp;"|"&amp;IF($G1582="TX_CURR_SUBNAT.R","CY2022Q4",$M1582),"")</f>
        <v>[GkIwZrXy1h2]|35-49|Male|PopART.Rt.T_1|CY2023Q3</v>
      </c>
    </row>
    <row r="1583" customFormat="false" ht="15" hidden="false" customHeight="false" outlineLevel="0" collapsed="false">
      <c r="D1583" s="0" t="s">
        <v>23</v>
      </c>
      <c r="E1583" s="0" t="s">
        <v>24</v>
      </c>
      <c r="F1583" s="0" t="s">
        <v>25</v>
      </c>
      <c r="G1583" s="0" t="s">
        <v>145</v>
      </c>
      <c r="H1583" s="0" t="s">
        <v>145</v>
      </c>
      <c r="I1583" s="0" t="s">
        <v>45</v>
      </c>
      <c r="J1583" s="0" t="s">
        <v>46</v>
      </c>
      <c r="K1583" s="0" t="s">
        <v>48</v>
      </c>
      <c r="L1583" s="0" t="s">
        <v>49</v>
      </c>
      <c r="M1583" s="0" t="s">
        <v>140</v>
      </c>
      <c r="N1583" s="0" t="n">
        <v>1816</v>
      </c>
      <c r="O1583" s="10" t="n">
        <v>0.823896428337321</v>
      </c>
      <c r="P1583" s="10" t="n">
        <v>0.404358610976487</v>
      </c>
      <c r="Q1583" s="0" t="str">
        <f aca="false">SUBSTITUTE(SUBSTITUTE($I1583,CHAR(61),""),CHAR(34),"")</f>
        <v>50+</v>
      </c>
      <c r="R1583" s="0" t="str">
        <f aca="false">IF($D1583&lt;&gt;"","["&amp;$E1583&amp;"]"&amp;"|"&amp;$Q1583&amp;"|"&amp;$K1583&amp;"|"&amp;$G1583&amp;"|"&amp;IF($G1583="TX_CURR_SUBNAT.R","CY2022Q4",$M1583),"")</f>
        <v>[GkIwZrXy1h2]|50+|Male|PopART.Rt.T_1|CY2023Q3</v>
      </c>
    </row>
    <row r="1584" customFormat="false" ht="15" hidden="false" customHeight="false" outlineLevel="0" collapsed="false">
      <c r="D1584" s="0" t="s">
        <v>53</v>
      </c>
      <c r="E1584" s="0" t="s">
        <v>54</v>
      </c>
      <c r="F1584" s="0" t="s">
        <v>55</v>
      </c>
      <c r="G1584" s="0" t="s">
        <v>145</v>
      </c>
      <c r="H1584" s="0" t="s">
        <v>145</v>
      </c>
      <c r="I1584" s="0" t="s">
        <v>28</v>
      </c>
      <c r="J1584" s="0" t="s">
        <v>29</v>
      </c>
      <c r="K1584" s="0" t="s">
        <v>30</v>
      </c>
      <c r="L1584" s="0" t="s">
        <v>31</v>
      </c>
      <c r="M1584" s="0" t="s">
        <v>140</v>
      </c>
      <c r="N1584" s="0" t="n">
        <v>1798</v>
      </c>
      <c r="O1584" s="10" t="n">
        <v>0.771220050519332</v>
      </c>
      <c r="P1584" s="10" t="n">
        <v>0.616392469964921</v>
      </c>
      <c r="Q1584" s="0" t="str">
        <f aca="false">SUBSTITUTE(SUBSTITUTE($I1584,CHAR(61),""),CHAR(34),"")</f>
        <v>&lt;01</v>
      </c>
      <c r="R1584" s="0" t="str">
        <f aca="false">IF($D1584&lt;&gt;"","["&amp;$E1584&amp;"]"&amp;"|"&amp;$Q1584&amp;"|"&amp;$K1584&amp;"|"&amp;$G1584&amp;"|"&amp;IF($G1584="TX_CURR_SUBNAT.R","CY2022Q4",$M1584),"")</f>
        <v>[zphK9WV8JB4]|&lt;01|Female|PopART.Rt.T_1|CY2023Q3</v>
      </c>
    </row>
    <row r="1585" customFormat="false" ht="15" hidden="false" customHeight="false" outlineLevel="0" collapsed="false">
      <c r="D1585" s="0" t="s">
        <v>53</v>
      </c>
      <c r="E1585" s="0" t="s">
        <v>54</v>
      </c>
      <c r="F1585" s="0" t="s">
        <v>55</v>
      </c>
      <c r="G1585" s="0" t="s">
        <v>145</v>
      </c>
      <c r="H1585" s="0" t="s">
        <v>145</v>
      </c>
      <c r="I1585" s="0" t="s">
        <v>33</v>
      </c>
      <c r="J1585" s="0" t="s">
        <v>34</v>
      </c>
      <c r="K1585" s="0" t="s">
        <v>30</v>
      </c>
      <c r="L1585" s="0" t="s">
        <v>31</v>
      </c>
      <c r="M1585" s="0" t="s">
        <v>140</v>
      </c>
      <c r="N1585" s="0" t="n">
        <v>1089</v>
      </c>
      <c r="O1585" s="10" t="n">
        <v>0.510177199728787</v>
      </c>
      <c r="P1585" s="10" t="n">
        <v>0.616392469964921</v>
      </c>
      <c r="Q1585" s="0" t="str">
        <f aca="false">SUBSTITUTE(SUBSTITUTE($I1585,CHAR(61),""),CHAR(34),"")</f>
        <v>01-09</v>
      </c>
      <c r="R1585" s="0" t="str">
        <f aca="false">IF($D1585&lt;&gt;"","["&amp;$E1585&amp;"]"&amp;"|"&amp;$Q1585&amp;"|"&amp;$K1585&amp;"|"&amp;$G1585&amp;"|"&amp;IF($G1585="TX_CURR_SUBNAT.R","CY2022Q4",$M1585),"")</f>
        <v>[zphK9WV8JB4]|01-09|Female|PopART.Rt.T_1|CY2023Q3</v>
      </c>
    </row>
    <row r="1586" customFormat="false" ht="15" hidden="false" customHeight="false" outlineLevel="0" collapsed="false">
      <c r="D1586" s="0" t="s">
        <v>53</v>
      </c>
      <c r="E1586" s="0" t="s">
        <v>54</v>
      </c>
      <c r="F1586" s="0" t="s">
        <v>55</v>
      </c>
      <c r="G1586" s="0" t="s">
        <v>145</v>
      </c>
      <c r="H1586" s="0" t="s">
        <v>145</v>
      </c>
      <c r="I1586" s="0" t="s">
        <v>36</v>
      </c>
      <c r="J1586" s="0" t="s">
        <v>37</v>
      </c>
      <c r="K1586" s="0" t="s">
        <v>30</v>
      </c>
      <c r="L1586" s="0" t="s">
        <v>31</v>
      </c>
      <c r="M1586" s="0" t="s">
        <v>140</v>
      </c>
      <c r="N1586" s="0" t="n">
        <v>1756</v>
      </c>
      <c r="O1586" s="10" t="n">
        <v>0.323414681479335</v>
      </c>
      <c r="P1586" s="10" t="n">
        <v>0.616392469964921</v>
      </c>
      <c r="Q1586" s="0" t="str">
        <f aca="false">SUBSTITUTE(SUBSTITUTE($I1586,CHAR(61),""),CHAR(34),"")</f>
        <v>10-14</v>
      </c>
      <c r="R1586" s="0" t="str">
        <f aca="false">IF($D1586&lt;&gt;"","["&amp;$E1586&amp;"]"&amp;"|"&amp;$Q1586&amp;"|"&amp;$K1586&amp;"|"&amp;$G1586&amp;"|"&amp;IF($G1586="TX_CURR_SUBNAT.R","CY2022Q4",$M1586),"")</f>
        <v>[zphK9WV8JB4]|10-14|Female|PopART.Rt.T_1|CY2023Q3</v>
      </c>
    </row>
    <row r="1587" customFormat="false" ht="15" hidden="false" customHeight="false" outlineLevel="0" collapsed="false">
      <c r="D1587" s="0" t="s">
        <v>53</v>
      </c>
      <c r="E1587" s="0" t="s">
        <v>54</v>
      </c>
      <c r="F1587" s="0" t="s">
        <v>55</v>
      </c>
      <c r="G1587" s="0" t="s">
        <v>145</v>
      </c>
      <c r="H1587" s="0" t="s">
        <v>145</v>
      </c>
      <c r="I1587" s="0" t="s">
        <v>38</v>
      </c>
      <c r="J1587" s="0" t="s">
        <v>39</v>
      </c>
      <c r="K1587" s="0" t="s">
        <v>30</v>
      </c>
      <c r="L1587" s="0" t="s">
        <v>31</v>
      </c>
      <c r="M1587" s="0" t="s">
        <v>140</v>
      </c>
      <c r="N1587" s="0" t="n">
        <v>1568</v>
      </c>
      <c r="O1587" s="10" t="n">
        <v>0.676458926172927</v>
      </c>
      <c r="P1587" s="10" t="n">
        <v>0.616392469964921</v>
      </c>
      <c r="Q1587" s="0" t="str">
        <f aca="false">SUBSTITUTE(SUBSTITUTE($I1587,CHAR(61),""),CHAR(34),"")</f>
        <v>15-24</v>
      </c>
      <c r="R1587" s="0" t="str">
        <f aca="false">IF($D1587&lt;&gt;"","["&amp;$E1587&amp;"]"&amp;"|"&amp;$Q1587&amp;"|"&amp;$K1587&amp;"|"&amp;$G1587&amp;"|"&amp;IF($G1587="TX_CURR_SUBNAT.R","CY2022Q4",$M1587),"")</f>
        <v>[zphK9WV8JB4]|15-24|Female|PopART.Rt.T_1|CY2023Q3</v>
      </c>
    </row>
    <row r="1588" customFormat="false" ht="15" hidden="false" customHeight="false" outlineLevel="0" collapsed="false">
      <c r="D1588" s="0" t="s">
        <v>53</v>
      </c>
      <c r="E1588" s="0" t="s">
        <v>54</v>
      </c>
      <c r="F1588" s="0" t="s">
        <v>55</v>
      </c>
      <c r="G1588" s="0" t="s">
        <v>145</v>
      </c>
      <c r="H1588" s="0" t="s">
        <v>145</v>
      </c>
      <c r="I1588" s="0" t="s">
        <v>41</v>
      </c>
      <c r="J1588" s="0" t="s">
        <v>42</v>
      </c>
      <c r="K1588" s="0" t="s">
        <v>30</v>
      </c>
      <c r="L1588" s="0" t="s">
        <v>31</v>
      </c>
      <c r="M1588" s="0" t="s">
        <v>140</v>
      </c>
      <c r="N1588" s="0" t="n">
        <v>1569</v>
      </c>
      <c r="O1588" s="10" t="n">
        <v>0.349675155244768</v>
      </c>
      <c r="P1588" s="10" t="n">
        <v>0.616392469964921</v>
      </c>
      <c r="Q1588" s="0" t="str">
        <f aca="false">SUBSTITUTE(SUBSTITUTE($I1588,CHAR(61),""),CHAR(34),"")</f>
        <v>25-34</v>
      </c>
      <c r="R1588" s="0" t="str">
        <f aca="false">IF($D1588&lt;&gt;"","["&amp;$E1588&amp;"]"&amp;"|"&amp;$Q1588&amp;"|"&amp;$K1588&amp;"|"&amp;$G1588&amp;"|"&amp;IF($G1588="TX_CURR_SUBNAT.R","CY2022Q4",$M1588),"")</f>
        <v>[zphK9WV8JB4]|25-34|Female|PopART.Rt.T_1|CY2023Q3</v>
      </c>
    </row>
    <row r="1589" customFormat="false" ht="15" hidden="false" customHeight="false" outlineLevel="0" collapsed="false">
      <c r="D1589" s="0" t="s">
        <v>53</v>
      </c>
      <c r="E1589" s="0" t="s">
        <v>54</v>
      </c>
      <c r="F1589" s="0" t="s">
        <v>55</v>
      </c>
      <c r="G1589" s="0" t="s">
        <v>145</v>
      </c>
      <c r="H1589" s="0" t="s">
        <v>145</v>
      </c>
      <c r="I1589" s="0" t="s">
        <v>43</v>
      </c>
      <c r="J1589" s="0" t="s">
        <v>44</v>
      </c>
      <c r="K1589" s="0" t="s">
        <v>30</v>
      </c>
      <c r="L1589" s="0" t="s">
        <v>31</v>
      </c>
      <c r="M1589" s="0" t="s">
        <v>140</v>
      </c>
      <c r="N1589" s="0" t="n">
        <v>606</v>
      </c>
      <c r="O1589" s="10" t="n">
        <v>0.473821951076388</v>
      </c>
      <c r="P1589" s="10" t="n">
        <v>0.616392469964921</v>
      </c>
      <c r="Q1589" s="0" t="str">
        <f aca="false">SUBSTITUTE(SUBSTITUTE($I1589,CHAR(61),""),CHAR(34),"")</f>
        <v>35-49</v>
      </c>
      <c r="R1589" s="0" t="str">
        <f aca="false">IF($D1589&lt;&gt;"","["&amp;$E1589&amp;"]"&amp;"|"&amp;$Q1589&amp;"|"&amp;$K1589&amp;"|"&amp;$G1589&amp;"|"&amp;IF($G1589="TX_CURR_SUBNAT.R","CY2022Q4",$M1589),"")</f>
        <v>[zphK9WV8JB4]|35-49|Female|PopART.Rt.T_1|CY2023Q3</v>
      </c>
    </row>
    <row r="1590" customFormat="false" ht="15" hidden="false" customHeight="false" outlineLevel="0" collapsed="false">
      <c r="D1590" s="0" t="s">
        <v>53</v>
      </c>
      <c r="E1590" s="0" t="s">
        <v>54</v>
      </c>
      <c r="F1590" s="0" t="s">
        <v>55</v>
      </c>
      <c r="G1590" s="0" t="s">
        <v>145</v>
      </c>
      <c r="H1590" s="0" t="s">
        <v>145</v>
      </c>
      <c r="I1590" s="0" t="s">
        <v>45</v>
      </c>
      <c r="J1590" s="0" t="s">
        <v>46</v>
      </c>
      <c r="K1590" s="0" t="s">
        <v>30</v>
      </c>
      <c r="L1590" s="0" t="s">
        <v>31</v>
      </c>
      <c r="M1590" s="0" t="s">
        <v>140</v>
      </c>
      <c r="N1590" s="0" t="n">
        <v>838</v>
      </c>
      <c r="O1590" s="10" t="n">
        <v>0.1584072324913</v>
      </c>
      <c r="P1590" s="10" t="n">
        <v>0.616392469964921</v>
      </c>
      <c r="Q1590" s="0" t="str">
        <f aca="false">SUBSTITUTE(SUBSTITUTE($I1590,CHAR(61),""),CHAR(34),"")</f>
        <v>50+</v>
      </c>
      <c r="R1590" s="0" t="str">
        <f aca="false">IF($D1590&lt;&gt;"","["&amp;$E1590&amp;"]"&amp;"|"&amp;$Q1590&amp;"|"&amp;$K1590&amp;"|"&amp;$G1590&amp;"|"&amp;IF($G1590="TX_CURR_SUBNAT.R","CY2022Q4",$M1590),"")</f>
        <v>[zphK9WV8JB4]|50+|Female|PopART.Rt.T_1|CY2023Q3</v>
      </c>
    </row>
    <row r="1591" customFormat="false" ht="15" hidden="false" customHeight="false" outlineLevel="0" collapsed="false">
      <c r="D1591" s="0" t="s">
        <v>53</v>
      </c>
      <c r="E1591" s="0" t="s">
        <v>54</v>
      </c>
      <c r="F1591" s="0" t="s">
        <v>55</v>
      </c>
      <c r="G1591" s="0" t="s">
        <v>145</v>
      </c>
      <c r="H1591" s="0" t="s">
        <v>145</v>
      </c>
      <c r="I1591" s="0" t="s">
        <v>28</v>
      </c>
      <c r="J1591" s="0" t="s">
        <v>29</v>
      </c>
      <c r="K1591" s="0" t="s">
        <v>48</v>
      </c>
      <c r="L1591" s="0" t="s">
        <v>49</v>
      </c>
      <c r="M1591" s="0" t="s">
        <v>140</v>
      </c>
      <c r="N1591" s="0" t="n">
        <v>1907</v>
      </c>
      <c r="O1591" s="10" t="n">
        <v>0.416083462070674</v>
      </c>
      <c r="P1591" s="10" t="n">
        <v>0.616392469964921</v>
      </c>
      <c r="Q1591" s="0" t="str">
        <f aca="false">SUBSTITUTE(SUBSTITUTE($I1591,CHAR(61),""),CHAR(34),"")</f>
        <v>&lt;01</v>
      </c>
      <c r="R1591" s="0" t="str">
        <f aca="false">IF($D1591&lt;&gt;"","["&amp;$E1591&amp;"]"&amp;"|"&amp;$Q1591&amp;"|"&amp;$K1591&amp;"|"&amp;$G1591&amp;"|"&amp;IF($G1591="TX_CURR_SUBNAT.R","CY2022Q4",$M1591),"")</f>
        <v>[zphK9WV8JB4]|&lt;01|Male|PopART.Rt.T_1|CY2023Q3</v>
      </c>
    </row>
    <row r="1592" customFormat="false" ht="15" hidden="false" customHeight="false" outlineLevel="0" collapsed="false">
      <c r="D1592" s="0" t="s">
        <v>53</v>
      </c>
      <c r="E1592" s="0" t="s">
        <v>54</v>
      </c>
      <c r="F1592" s="0" t="s">
        <v>55</v>
      </c>
      <c r="G1592" s="0" t="s">
        <v>145</v>
      </c>
      <c r="H1592" s="0" t="s">
        <v>145</v>
      </c>
      <c r="I1592" s="0" t="s">
        <v>33</v>
      </c>
      <c r="J1592" s="0" t="s">
        <v>34</v>
      </c>
      <c r="K1592" s="0" t="s">
        <v>48</v>
      </c>
      <c r="L1592" s="0" t="s">
        <v>49</v>
      </c>
      <c r="M1592" s="0" t="s">
        <v>140</v>
      </c>
      <c r="N1592" s="0" t="n">
        <v>961</v>
      </c>
      <c r="O1592" s="10" t="n">
        <v>0.597256551031023</v>
      </c>
      <c r="P1592" s="10" t="n">
        <v>0.616392469964921</v>
      </c>
      <c r="Q1592" s="0" t="str">
        <f aca="false">SUBSTITUTE(SUBSTITUTE($I1592,CHAR(61),""),CHAR(34),"")</f>
        <v>01-09</v>
      </c>
      <c r="R1592" s="0" t="str">
        <f aca="false">IF($D1592&lt;&gt;"","["&amp;$E1592&amp;"]"&amp;"|"&amp;$Q1592&amp;"|"&amp;$K1592&amp;"|"&amp;$G1592&amp;"|"&amp;IF($G1592="TX_CURR_SUBNAT.R","CY2022Q4",$M1592),"")</f>
        <v>[zphK9WV8JB4]|01-09|Male|PopART.Rt.T_1|CY2023Q3</v>
      </c>
    </row>
    <row r="1593" customFormat="false" ht="15" hidden="false" customHeight="false" outlineLevel="0" collapsed="false">
      <c r="D1593" s="0" t="s">
        <v>53</v>
      </c>
      <c r="E1593" s="0" t="s">
        <v>54</v>
      </c>
      <c r="F1593" s="0" t="s">
        <v>55</v>
      </c>
      <c r="G1593" s="0" t="s">
        <v>145</v>
      </c>
      <c r="H1593" s="0" t="s">
        <v>145</v>
      </c>
      <c r="I1593" s="0" t="s">
        <v>36</v>
      </c>
      <c r="J1593" s="0" t="s">
        <v>37</v>
      </c>
      <c r="K1593" s="0" t="s">
        <v>48</v>
      </c>
      <c r="L1593" s="0" t="s">
        <v>49</v>
      </c>
      <c r="M1593" s="0" t="s">
        <v>140</v>
      </c>
      <c r="N1593" s="0" t="n">
        <v>617</v>
      </c>
      <c r="O1593" s="10" t="n">
        <v>0.1253185600508</v>
      </c>
      <c r="P1593" s="10" t="n">
        <v>0.616392469964921</v>
      </c>
      <c r="Q1593" s="0" t="str">
        <f aca="false">SUBSTITUTE(SUBSTITUTE($I1593,CHAR(61),""),CHAR(34),"")</f>
        <v>10-14</v>
      </c>
      <c r="R1593" s="0" t="str">
        <f aca="false">IF($D1593&lt;&gt;"","["&amp;$E1593&amp;"]"&amp;"|"&amp;$Q1593&amp;"|"&amp;$K1593&amp;"|"&amp;$G1593&amp;"|"&amp;IF($G1593="TX_CURR_SUBNAT.R","CY2022Q4",$M1593),"")</f>
        <v>[zphK9WV8JB4]|10-14|Male|PopART.Rt.T_1|CY2023Q3</v>
      </c>
    </row>
    <row r="1594" customFormat="false" ht="15" hidden="false" customHeight="false" outlineLevel="0" collapsed="false">
      <c r="D1594" s="0" t="s">
        <v>53</v>
      </c>
      <c r="E1594" s="0" t="s">
        <v>54</v>
      </c>
      <c r="F1594" s="0" t="s">
        <v>55</v>
      </c>
      <c r="G1594" s="0" t="s">
        <v>145</v>
      </c>
      <c r="H1594" s="0" t="s">
        <v>145</v>
      </c>
      <c r="I1594" s="0" t="s">
        <v>38</v>
      </c>
      <c r="J1594" s="0" t="s">
        <v>39</v>
      </c>
      <c r="K1594" s="0" t="s">
        <v>48</v>
      </c>
      <c r="L1594" s="0" t="s">
        <v>49</v>
      </c>
      <c r="M1594" s="0" t="s">
        <v>140</v>
      </c>
      <c r="N1594" s="0" t="n">
        <v>1202</v>
      </c>
      <c r="O1594" s="10" t="n">
        <v>0.0398251046426594</v>
      </c>
      <c r="P1594" s="10" t="n">
        <v>0.616392469964921</v>
      </c>
      <c r="Q1594" s="0" t="str">
        <f aca="false">SUBSTITUTE(SUBSTITUTE($I1594,CHAR(61),""),CHAR(34),"")</f>
        <v>15-24</v>
      </c>
      <c r="R1594" s="0" t="str">
        <f aca="false">IF($D1594&lt;&gt;"","["&amp;$E1594&amp;"]"&amp;"|"&amp;$Q1594&amp;"|"&amp;$K1594&amp;"|"&amp;$G1594&amp;"|"&amp;IF($G1594="TX_CURR_SUBNAT.R","CY2022Q4",$M1594),"")</f>
        <v>[zphK9WV8JB4]|15-24|Male|PopART.Rt.T_1|CY2023Q3</v>
      </c>
    </row>
    <row r="1595" customFormat="false" ht="15" hidden="false" customHeight="false" outlineLevel="0" collapsed="false">
      <c r="D1595" s="0" t="s">
        <v>53</v>
      </c>
      <c r="E1595" s="0" t="s">
        <v>54</v>
      </c>
      <c r="F1595" s="0" t="s">
        <v>55</v>
      </c>
      <c r="G1595" s="0" t="s">
        <v>145</v>
      </c>
      <c r="H1595" s="0" t="s">
        <v>145</v>
      </c>
      <c r="I1595" s="0" t="s">
        <v>41</v>
      </c>
      <c r="J1595" s="0" t="s">
        <v>42</v>
      </c>
      <c r="K1595" s="0" t="s">
        <v>48</v>
      </c>
      <c r="L1595" s="0" t="s">
        <v>49</v>
      </c>
      <c r="M1595" s="0" t="s">
        <v>140</v>
      </c>
      <c r="N1595" s="0" t="n">
        <v>1826</v>
      </c>
      <c r="O1595" s="10" t="n">
        <v>0.566729323938489</v>
      </c>
      <c r="P1595" s="10" t="n">
        <v>0.616392469964921</v>
      </c>
      <c r="Q1595" s="0" t="str">
        <f aca="false">SUBSTITUTE(SUBSTITUTE($I1595,CHAR(61),""),CHAR(34),"")</f>
        <v>25-34</v>
      </c>
      <c r="R1595" s="0" t="str">
        <f aca="false">IF($D1595&lt;&gt;"","["&amp;$E1595&amp;"]"&amp;"|"&amp;$Q1595&amp;"|"&amp;$K1595&amp;"|"&amp;$G1595&amp;"|"&amp;IF($G1595="TX_CURR_SUBNAT.R","CY2022Q4",$M1595),"")</f>
        <v>[zphK9WV8JB4]|25-34|Male|PopART.Rt.T_1|CY2023Q3</v>
      </c>
    </row>
    <row r="1596" customFormat="false" ht="15" hidden="false" customHeight="false" outlineLevel="0" collapsed="false">
      <c r="D1596" s="0" t="s">
        <v>53</v>
      </c>
      <c r="E1596" s="0" t="s">
        <v>54</v>
      </c>
      <c r="F1596" s="0" t="s">
        <v>55</v>
      </c>
      <c r="G1596" s="0" t="s">
        <v>145</v>
      </c>
      <c r="H1596" s="0" t="s">
        <v>145</v>
      </c>
      <c r="I1596" s="0" t="s">
        <v>43</v>
      </c>
      <c r="J1596" s="0" t="s">
        <v>44</v>
      </c>
      <c r="K1596" s="0" t="s">
        <v>48</v>
      </c>
      <c r="L1596" s="0" t="s">
        <v>49</v>
      </c>
      <c r="M1596" s="0" t="s">
        <v>140</v>
      </c>
      <c r="N1596" s="0" t="n">
        <v>1724</v>
      </c>
      <c r="O1596" s="10" t="n">
        <v>0.629742182558402</v>
      </c>
      <c r="P1596" s="10" t="n">
        <v>0.616392469964921</v>
      </c>
      <c r="Q1596" s="0" t="str">
        <f aca="false">SUBSTITUTE(SUBSTITUTE($I1596,CHAR(61),""),CHAR(34),"")</f>
        <v>35-49</v>
      </c>
      <c r="R1596" s="0" t="str">
        <f aca="false">IF($D1596&lt;&gt;"","["&amp;$E1596&amp;"]"&amp;"|"&amp;$Q1596&amp;"|"&amp;$K1596&amp;"|"&amp;$G1596&amp;"|"&amp;IF($G1596="TX_CURR_SUBNAT.R","CY2022Q4",$M1596),"")</f>
        <v>[zphK9WV8JB4]|35-49|Male|PopART.Rt.T_1|CY2023Q3</v>
      </c>
    </row>
    <row r="1597" customFormat="false" ht="15" hidden="false" customHeight="false" outlineLevel="0" collapsed="false">
      <c r="D1597" s="0" t="s">
        <v>53</v>
      </c>
      <c r="E1597" s="0" t="s">
        <v>54</v>
      </c>
      <c r="F1597" s="0" t="s">
        <v>55</v>
      </c>
      <c r="G1597" s="0" t="s">
        <v>145</v>
      </c>
      <c r="H1597" s="0" t="s">
        <v>145</v>
      </c>
      <c r="I1597" s="0" t="s">
        <v>45</v>
      </c>
      <c r="J1597" s="0" t="s">
        <v>46</v>
      </c>
      <c r="K1597" s="0" t="s">
        <v>48</v>
      </c>
      <c r="L1597" s="0" t="s">
        <v>49</v>
      </c>
      <c r="M1597" s="0" t="s">
        <v>140</v>
      </c>
      <c r="N1597" s="0" t="n">
        <v>1591</v>
      </c>
      <c r="O1597" s="10" t="n">
        <v>0.95021682488732</v>
      </c>
      <c r="P1597" s="10" t="n">
        <v>0.616392469964921</v>
      </c>
      <c r="Q1597" s="0" t="str">
        <f aca="false">SUBSTITUTE(SUBSTITUTE($I1597,CHAR(61),""),CHAR(34),"")</f>
        <v>50+</v>
      </c>
      <c r="R1597" s="0" t="str">
        <f aca="false">IF($D1597&lt;&gt;"","["&amp;$E1597&amp;"]"&amp;"|"&amp;$Q1597&amp;"|"&amp;$K1597&amp;"|"&amp;$G1597&amp;"|"&amp;IF($G1597="TX_CURR_SUBNAT.R","CY2022Q4",$M1597),"")</f>
        <v>[zphK9WV8JB4]|50+|Male|PopART.Rt.T_1|CY2023Q3</v>
      </c>
    </row>
    <row r="1598" customFormat="false" ht="15" hidden="false" customHeight="false" outlineLevel="0" collapsed="false">
      <c r="D1598" s="0" t="s">
        <v>60</v>
      </c>
      <c r="E1598" s="0" t="s">
        <v>61</v>
      </c>
      <c r="F1598" s="0" t="s">
        <v>62</v>
      </c>
      <c r="G1598" s="0" t="s">
        <v>145</v>
      </c>
      <c r="H1598" s="0" t="s">
        <v>145</v>
      </c>
      <c r="I1598" s="0" t="s">
        <v>28</v>
      </c>
      <c r="J1598" s="0" t="s">
        <v>29</v>
      </c>
      <c r="K1598" s="0" t="s">
        <v>30</v>
      </c>
      <c r="L1598" s="0" t="s">
        <v>31</v>
      </c>
      <c r="M1598" s="0" t="s">
        <v>140</v>
      </c>
      <c r="N1598" s="0" t="n">
        <v>740</v>
      </c>
      <c r="O1598" s="10" t="n">
        <v>0.755777810700238</v>
      </c>
      <c r="P1598" s="10" t="n">
        <v>0.0268250561784953</v>
      </c>
      <c r="Q1598" s="0" t="str">
        <f aca="false">SUBSTITUTE(SUBSTITUTE($I1598,CHAR(61),""),CHAR(34),"")</f>
        <v>&lt;01</v>
      </c>
      <c r="R1598" s="0" t="str">
        <f aca="false">IF($D1598&lt;&gt;"","["&amp;$E1598&amp;"]"&amp;"|"&amp;$Q1598&amp;"|"&amp;$K1598&amp;"|"&amp;$G1598&amp;"|"&amp;IF($G1598="TX_CURR_SUBNAT.R","CY2022Q4",$M1598),"")</f>
        <v>[msW2zpIN7up]|&lt;01|Female|PopART.Rt.T_1|CY2023Q3</v>
      </c>
    </row>
    <row r="1599" customFormat="false" ht="15" hidden="false" customHeight="false" outlineLevel="0" collapsed="false">
      <c r="D1599" s="0" t="s">
        <v>60</v>
      </c>
      <c r="E1599" s="0" t="s">
        <v>61</v>
      </c>
      <c r="F1599" s="0" t="s">
        <v>62</v>
      </c>
      <c r="G1599" s="0" t="s">
        <v>145</v>
      </c>
      <c r="H1599" s="0" t="s">
        <v>145</v>
      </c>
      <c r="I1599" s="0" t="s">
        <v>33</v>
      </c>
      <c r="J1599" s="0" t="s">
        <v>34</v>
      </c>
      <c r="K1599" s="0" t="s">
        <v>30</v>
      </c>
      <c r="L1599" s="0" t="s">
        <v>31</v>
      </c>
      <c r="M1599" s="0" t="s">
        <v>140</v>
      </c>
      <c r="N1599" s="0" t="n">
        <v>772</v>
      </c>
      <c r="O1599" s="10" t="n">
        <v>0.36339433118701</v>
      </c>
      <c r="P1599" s="10" t="n">
        <v>0.0268250561784953</v>
      </c>
      <c r="Q1599" s="0" t="str">
        <f aca="false">SUBSTITUTE(SUBSTITUTE($I1599,CHAR(61),""),CHAR(34),"")</f>
        <v>01-09</v>
      </c>
      <c r="R1599" s="0" t="str">
        <f aca="false">IF($D1599&lt;&gt;"","["&amp;$E1599&amp;"]"&amp;"|"&amp;$Q1599&amp;"|"&amp;$K1599&amp;"|"&amp;$G1599&amp;"|"&amp;IF($G1599="TX_CURR_SUBNAT.R","CY2022Q4",$M1599),"")</f>
        <v>[msW2zpIN7up]|01-09|Female|PopART.Rt.T_1|CY2023Q3</v>
      </c>
    </row>
    <row r="1600" customFormat="false" ht="15" hidden="false" customHeight="false" outlineLevel="0" collapsed="false">
      <c r="D1600" s="0" t="s">
        <v>60</v>
      </c>
      <c r="E1600" s="0" t="s">
        <v>61</v>
      </c>
      <c r="F1600" s="0" t="s">
        <v>62</v>
      </c>
      <c r="G1600" s="0" t="s">
        <v>145</v>
      </c>
      <c r="H1600" s="0" t="s">
        <v>145</v>
      </c>
      <c r="I1600" s="0" t="s">
        <v>36</v>
      </c>
      <c r="J1600" s="0" t="s">
        <v>37</v>
      </c>
      <c r="K1600" s="0" t="s">
        <v>30</v>
      </c>
      <c r="L1600" s="0" t="s">
        <v>31</v>
      </c>
      <c r="M1600" s="0" t="s">
        <v>140</v>
      </c>
      <c r="N1600" s="0" t="n">
        <v>842</v>
      </c>
      <c r="O1600" s="10" t="n">
        <v>0.256568634882569</v>
      </c>
      <c r="P1600" s="10" t="n">
        <v>0.0268250561784953</v>
      </c>
      <c r="Q1600" s="0" t="str">
        <f aca="false">SUBSTITUTE(SUBSTITUTE($I1600,CHAR(61),""),CHAR(34),"")</f>
        <v>10-14</v>
      </c>
      <c r="R1600" s="0" t="str">
        <f aca="false">IF($D1600&lt;&gt;"","["&amp;$E1600&amp;"]"&amp;"|"&amp;$Q1600&amp;"|"&amp;$K1600&amp;"|"&amp;$G1600&amp;"|"&amp;IF($G1600="TX_CURR_SUBNAT.R","CY2022Q4",$M1600),"")</f>
        <v>[msW2zpIN7up]|10-14|Female|PopART.Rt.T_1|CY2023Q3</v>
      </c>
    </row>
    <row r="1601" customFormat="false" ht="15" hidden="false" customHeight="false" outlineLevel="0" collapsed="false">
      <c r="D1601" s="0" t="s">
        <v>60</v>
      </c>
      <c r="E1601" s="0" t="s">
        <v>61</v>
      </c>
      <c r="F1601" s="0" t="s">
        <v>62</v>
      </c>
      <c r="G1601" s="0" t="s">
        <v>145</v>
      </c>
      <c r="H1601" s="0" t="s">
        <v>145</v>
      </c>
      <c r="I1601" s="0" t="s">
        <v>38</v>
      </c>
      <c r="J1601" s="0" t="s">
        <v>39</v>
      </c>
      <c r="K1601" s="0" t="s">
        <v>30</v>
      </c>
      <c r="L1601" s="0" t="s">
        <v>31</v>
      </c>
      <c r="M1601" s="0" t="s">
        <v>140</v>
      </c>
      <c r="N1601" s="0" t="n">
        <v>1176</v>
      </c>
      <c r="O1601" s="10" t="n">
        <v>0.706177973886952</v>
      </c>
      <c r="P1601" s="10" t="n">
        <v>0.0268250561784953</v>
      </c>
      <c r="Q1601" s="0" t="str">
        <f aca="false">SUBSTITUTE(SUBSTITUTE($I1601,CHAR(61),""),CHAR(34),"")</f>
        <v>15-24</v>
      </c>
      <c r="R1601" s="0" t="str">
        <f aca="false">IF($D1601&lt;&gt;"","["&amp;$E1601&amp;"]"&amp;"|"&amp;$Q1601&amp;"|"&amp;$K1601&amp;"|"&amp;$G1601&amp;"|"&amp;IF($G1601="TX_CURR_SUBNAT.R","CY2022Q4",$M1601),"")</f>
        <v>[msW2zpIN7up]|15-24|Female|PopART.Rt.T_1|CY2023Q3</v>
      </c>
    </row>
    <row r="1602" customFormat="false" ht="15" hidden="false" customHeight="false" outlineLevel="0" collapsed="false">
      <c r="D1602" s="0" t="s">
        <v>60</v>
      </c>
      <c r="E1602" s="0" t="s">
        <v>61</v>
      </c>
      <c r="F1602" s="0" t="s">
        <v>62</v>
      </c>
      <c r="G1602" s="0" t="s">
        <v>145</v>
      </c>
      <c r="H1602" s="0" t="s">
        <v>145</v>
      </c>
      <c r="I1602" s="0" t="s">
        <v>41</v>
      </c>
      <c r="J1602" s="0" t="s">
        <v>42</v>
      </c>
      <c r="K1602" s="0" t="s">
        <v>30</v>
      </c>
      <c r="L1602" s="0" t="s">
        <v>31</v>
      </c>
      <c r="M1602" s="0" t="s">
        <v>140</v>
      </c>
      <c r="N1602" s="0" t="n">
        <v>1721</v>
      </c>
      <c r="O1602" s="10" t="n">
        <v>0.61416680412367</v>
      </c>
      <c r="P1602" s="10" t="n">
        <v>0.0268250561784953</v>
      </c>
      <c r="Q1602" s="0" t="str">
        <f aca="false">SUBSTITUTE(SUBSTITUTE($I1602,CHAR(61),""),CHAR(34),"")</f>
        <v>25-34</v>
      </c>
      <c r="R1602" s="0" t="str">
        <f aca="false">IF($D1602&lt;&gt;"","["&amp;$E1602&amp;"]"&amp;"|"&amp;$Q1602&amp;"|"&amp;$K1602&amp;"|"&amp;$G1602&amp;"|"&amp;IF($G1602="TX_CURR_SUBNAT.R","CY2022Q4",$M1602),"")</f>
        <v>[msW2zpIN7up]|25-34|Female|PopART.Rt.T_1|CY2023Q3</v>
      </c>
    </row>
    <row r="1603" customFormat="false" ht="15" hidden="false" customHeight="false" outlineLevel="0" collapsed="false">
      <c r="D1603" s="0" t="s">
        <v>60</v>
      </c>
      <c r="E1603" s="0" t="s">
        <v>61</v>
      </c>
      <c r="F1603" s="0" t="s">
        <v>62</v>
      </c>
      <c r="G1603" s="0" t="s">
        <v>145</v>
      </c>
      <c r="H1603" s="0" t="s">
        <v>145</v>
      </c>
      <c r="I1603" s="0" t="s">
        <v>43</v>
      </c>
      <c r="J1603" s="0" t="s">
        <v>44</v>
      </c>
      <c r="K1603" s="0" t="s">
        <v>30</v>
      </c>
      <c r="L1603" s="0" t="s">
        <v>31</v>
      </c>
      <c r="M1603" s="0" t="s">
        <v>140</v>
      </c>
      <c r="N1603" s="0" t="n">
        <v>1206</v>
      </c>
      <c r="O1603" s="10" t="n">
        <v>0.0147152461577207</v>
      </c>
      <c r="P1603" s="10" t="n">
        <v>0.0268250561784953</v>
      </c>
      <c r="Q1603" s="0" t="str">
        <f aca="false">SUBSTITUTE(SUBSTITUTE($I1603,CHAR(61),""),CHAR(34),"")</f>
        <v>35-49</v>
      </c>
      <c r="R1603" s="0" t="str">
        <f aca="false">IF($D1603&lt;&gt;"","["&amp;$E1603&amp;"]"&amp;"|"&amp;$Q1603&amp;"|"&amp;$K1603&amp;"|"&amp;$G1603&amp;"|"&amp;IF($G1603="TX_CURR_SUBNAT.R","CY2022Q4",$M1603),"")</f>
        <v>[msW2zpIN7up]|35-49|Female|PopART.Rt.T_1|CY2023Q3</v>
      </c>
    </row>
    <row r="1604" customFormat="false" ht="15" hidden="false" customHeight="false" outlineLevel="0" collapsed="false">
      <c r="D1604" s="0" t="s">
        <v>60</v>
      </c>
      <c r="E1604" s="0" t="s">
        <v>61</v>
      </c>
      <c r="F1604" s="0" t="s">
        <v>62</v>
      </c>
      <c r="G1604" s="0" t="s">
        <v>145</v>
      </c>
      <c r="H1604" s="0" t="s">
        <v>145</v>
      </c>
      <c r="I1604" s="0" t="s">
        <v>45</v>
      </c>
      <c r="J1604" s="0" t="s">
        <v>46</v>
      </c>
      <c r="K1604" s="0" t="s">
        <v>30</v>
      </c>
      <c r="L1604" s="0" t="s">
        <v>31</v>
      </c>
      <c r="M1604" s="0" t="s">
        <v>140</v>
      </c>
      <c r="N1604" s="0" t="n">
        <v>1991</v>
      </c>
      <c r="O1604" s="10" t="n">
        <v>0.820039649028331</v>
      </c>
      <c r="P1604" s="10" t="n">
        <v>0.0268250561784953</v>
      </c>
      <c r="Q1604" s="0" t="str">
        <f aca="false">SUBSTITUTE(SUBSTITUTE($I1604,CHAR(61),""),CHAR(34),"")</f>
        <v>50+</v>
      </c>
      <c r="R1604" s="0" t="str">
        <f aca="false">IF($D1604&lt;&gt;"","["&amp;$E1604&amp;"]"&amp;"|"&amp;$Q1604&amp;"|"&amp;$K1604&amp;"|"&amp;$G1604&amp;"|"&amp;IF($G1604="TX_CURR_SUBNAT.R","CY2022Q4",$M1604),"")</f>
        <v>[msW2zpIN7up]|50+|Female|PopART.Rt.T_1|CY2023Q3</v>
      </c>
    </row>
    <row r="1605" customFormat="false" ht="15" hidden="false" customHeight="false" outlineLevel="0" collapsed="false">
      <c r="D1605" s="0" t="s">
        <v>60</v>
      </c>
      <c r="E1605" s="0" t="s">
        <v>61</v>
      </c>
      <c r="F1605" s="0" t="s">
        <v>62</v>
      </c>
      <c r="G1605" s="0" t="s">
        <v>145</v>
      </c>
      <c r="H1605" s="0" t="s">
        <v>145</v>
      </c>
      <c r="I1605" s="0" t="s">
        <v>28</v>
      </c>
      <c r="J1605" s="0" t="s">
        <v>29</v>
      </c>
      <c r="K1605" s="0" t="s">
        <v>48</v>
      </c>
      <c r="L1605" s="0" t="s">
        <v>49</v>
      </c>
      <c r="M1605" s="0" t="s">
        <v>140</v>
      </c>
      <c r="N1605" s="0" t="n">
        <v>696</v>
      </c>
      <c r="O1605" s="10" t="n">
        <v>0.485554215032607</v>
      </c>
      <c r="P1605" s="10" t="n">
        <v>0.0268250561784953</v>
      </c>
      <c r="Q1605" s="0" t="str">
        <f aca="false">SUBSTITUTE(SUBSTITUTE($I1605,CHAR(61),""),CHAR(34),"")</f>
        <v>&lt;01</v>
      </c>
      <c r="R1605" s="0" t="str">
        <f aca="false">IF($D1605&lt;&gt;"","["&amp;$E1605&amp;"]"&amp;"|"&amp;$Q1605&amp;"|"&amp;$K1605&amp;"|"&amp;$G1605&amp;"|"&amp;IF($G1605="TX_CURR_SUBNAT.R","CY2022Q4",$M1605),"")</f>
        <v>[msW2zpIN7up]|&lt;01|Male|PopART.Rt.T_1|CY2023Q3</v>
      </c>
    </row>
    <row r="1606" customFormat="false" ht="15" hidden="false" customHeight="false" outlineLevel="0" collapsed="false">
      <c r="D1606" s="0" t="s">
        <v>60</v>
      </c>
      <c r="E1606" s="0" t="s">
        <v>61</v>
      </c>
      <c r="F1606" s="0" t="s">
        <v>62</v>
      </c>
      <c r="G1606" s="0" t="s">
        <v>145</v>
      </c>
      <c r="H1606" s="0" t="s">
        <v>145</v>
      </c>
      <c r="I1606" s="0" t="s">
        <v>33</v>
      </c>
      <c r="J1606" s="0" t="s">
        <v>34</v>
      </c>
      <c r="K1606" s="0" t="s">
        <v>48</v>
      </c>
      <c r="L1606" s="0" t="s">
        <v>49</v>
      </c>
      <c r="M1606" s="0" t="s">
        <v>140</v>
      </c>
      <c r="N1606" s="0" t="n">
        <v>554</v>
      </c>
      <c r="O1606" s="10" t="n">
        <v>0.671940934844315</v>
      </c>
      <c r="P1606" s="10" t="n">
        <v>0.0268250561784953</v>
      </c>
      <c r="Q1606" s="0" t="str">
        <f aca="false">SUBSTITUTE(SUBSTITUTE($I1606,CHAR(61),""),CHAR(34),"")</f>
        <v>01-09</v>
      </c>
      <c r="R1606" s="0" t="str">
        <f aca="false">IF($D1606&lt;&gt;"","["&amp;$E1606&amp;"]"&amp;"|"&amp;$Q1606&amp;"|"&amp;$K1606&amp;"|"&amp;$G1606&amp;"|"&amp;IF($G1606="TX_CURR_SUBNAT.R","CY2022Q4",$M1606),"")</f>
        <v>[msW2zpIN7up]|01-09|Male|PopART.Rt.T_1|CY2023Q3</v>
      </c>
    </row>
    <row r="1607" customFormat="false" ht="15" hidden="false" customHeight="false" outlineLevel="0" collapsed="false">
      <c r="D1607" s="0" t="s">
        <v>60</v>
      </c>
      <c r="E1607" s="0" t="s">
        <v>61</v>
      </c>
      <c r="F1607" s="0" t="s">
        <v>62</v>
      </c>
      <c r="G1607" s="0" t="s">
        <v>145</v>
      </c>
      <c r="H1607" s="0" t="s">
        <v>145</v>
      </c>
      <c r="I1607" s="0" t="s">
        <v>36</v>
      </c>
      <c r="J1607" s="0" t="s">
        <v>37</v>
      </c>
      <c r="K1607" s="0" t="s">
        <v>48</v>
      </c>
      <c r="L1607" s="0" t="s">
        <v>49</v>
      </c>
      <c r="M1607" s="0" t="s">
        <v>140</v>
      </c>
      <c r="N1607" s="0" t="n">
        <v>751</v>
      </c>
      <c r="O1607" s="10" t="n">
        <v>0.734296452254057</v>
      </c>
      <c r="P1607" s="10" t="n">
        <v>0.0268250561784953</v>
      </c>
      <c r="Q1607" s="0" t="str">
        <f aca="false">SUBSTITUTE(SUBSTITUTE($I1607,CHAR(61),""),CHAR(34),"")</f>
        <v>10-14</v>
      </c>
      <c r="R1607" s="0" t="str">
        <f aca="false">IF($D1607&lt;&gt;"","["&amp;$E1607&amp;"]"&amp;"|"&amp;$Q1607&amp;"|"&amp;$K1607&amp;"|"&amp;$G1607&amp;"|"&amp;IF($G1607="TX_CURR_SUBNAT.R","CY2022Q4",$M1607),"")</f>
        <v>[msW2zpIN7up]|10-14|Male|PopART.Rt.T_1|CY2023Q3</v>
      </c>
    </row>
    <row r="1608" customFormat="false" ht="15" hidden="false" customHeight="false" outlineLevel="0" collapsed="false">
      <c r="D1608" s="0" t="s">
        <v>60</v>
      </c>
      <c r="E1608" s="0" t="s">
        <v>61</v>
      </c>
      <c r="F1608" s="0" t="s">
        <v>62</v>
      </c>
      <c r="G1608" s="0" t="s">
        <v>145</v>
      </c>
      <c r="H1608" s="0" t="s">
        <v>145</v>
      </c>
      <c r="I1608" s="0" t="s">
        <v>38</v>
      </c>
      <c r="J1608" s="0" t="s">
        <v>39</v>
      </c>
      <c r="K1608" s="0" t="s">
        <v>48</v>
      </c>
      <c r="L1608" s="0" t="s">
        <v>49</v>
      </c>
      <c r="M1608" s="0" t="s">
        <v>140</v>
      </c>
      <c r="N1608" s="0" t="n">
        <v>1321</v>
      </c>
      <c r="O1608" s="10" t="n">
        <v>0.037979785585776</v>
      </c>
      <c r="P1608" s="10" t="n">
        <v>0.0268250561784953</v>
      </c>
      <c r="Q1608" s="0" t="str">
        <f aca="false">SUBSTITUTE(SUBSTITUTE($I1608,CHAR(61),""),CHAR(34),"")</f>
        <v>15-24</v>
      </c>
      <c r="R1608" s="0" t="str">
        <f aca="false">IF($D1608&lt;&gt;"","["&amp;$E1608&amp;"]"&amp;"|"&amp;$Q1608&amp;"|"&amp;$K1608&amp;"|"&amp;$G1608&amp;"|"&amp;IF($G1608="TX_CURR_SUBNAT.R","CY2022Q4",$M1608),"")</f>
        <v>[msW2zpIN7up]|15-24|Male|PopART.Rt.T_1|CY2023Q3</v>
      </c>
    </row>
    <row r="1609" customFormat="false" ht="15" hidden="false" customHeight="false" outlineLevel="0" collapsed="false">
      <c r="D1609" s="0" t="s">
        <v>60</v>
      </c>
      <c r="E1609" s="0" t="s">
        <v>61</v>
      </c>
      <c r="F1609" s="0" t="s">
        <v>62</v>
      </c>
      <c r="G1609" s="0" t="s">
        <v>145</v>
      </c>
      <c r="H1609" s="0" t="s">
        <v>145</v>
      </c>
      <c r="I1609" s="0" t="s">
        <v>41</v>
      </c>
      <c r="J1609" s="0" t="s">
        <v>42</v>
      </c>
      <c r="K1609" s="0" t="s">
        <v>48</v>
      </c>
      <c r="L1609" s="0" t="s">
        <v>49</v>
      </c>
      <c r="M1609" s="0" t="s">
        <v>140</v>
      </c>
      <c r="N1609" s="0" t="n">
        <v>509</v>
      </c>
      <c r="O1609" s="10" t="n">
        <v>0.087822463363409</v>
      </c>
      <c r="P1609" s="10" t="n">
        <v>0.0268250561784953</v>
      </c>
      <c r="Q1609" s="0" t="str">
        <f aca="false">SUBSTITUTE(SUBSTITUTE($I1609,CHAR(61),""),CHAR(34),"")</f>
        <v>25-34</v>
      </c>
      <c r="R1609" s="0" t="str">
        <f aca="false">IF($D1609&lt;&gt;"","["&amp;$E1609&amp;"]"&amp;"|"&amp;$Q1609&amp;"|"&amp;$K1609&amp;"|"&amp;$G1609&amp;"|"&amp;IF($G1609="TX_CURR_SUBNAT.R","CY2022Q4",$M1609),"")</f>
        <v>[msW2zpIN7up]|25-34|Male|PopART.Rt.T_1|CY2023Q3</v>
      </c>
    </row>
    <row r="1610" customFormat="false" ht="15" hidden="false" customHeight="false" outlineLevel="0" collapsed="false">
      <c r="D1610" s="0" t="s">
        <v>60</v>
      </c>
      <c r="E1610" s="0" t="s">
        <v>61</v>
      </c>
      <c r="F1610" s="0" t="s">
        <v>62</v>
      </c>
      <c r="G1610" s="0" t="s">
        <v>145</v>
      </c>
      <c r="H1610" s="0" t="s">
        <v>145</v>
      </c>
      <c r="I1610" s="0" t="s">
        <v>43</v>
      </c>
      <c r="J1610" s="0" t="s">
        <v>44</v>
      </c>
      <c r="K1610" s="0" t="s">
        <v>48</v>
      </c>
      <c r="L1610" s="0" t="s">
        <v>49</v>
      </c>
      <c r="M1610" s="0" t="s">
        <v>140</v>
      </c>
      <c r="N1610" s="0" t="n">
        <v>1338</v>
      </c>
      <c r="O1610" s="10" t="n">
        <v>0.475788079202175</v>
      </c>
      <c r="P1610" s="10" t="n">
        <v>0.0268250561784953</v>
      </c>
      <c r="Q1610" s="0" t="str">
        <f aca="false">SUBSTITUTE(SUBSTITUTE($I1610,CHAR(61),""),CHAR(34),"")</f>
        <v>35-49</v>
      </c>
      <c r="R1610" s="0" t="str">
        <f aca="false">IF($D1610&lt;&gt;"","["&amp;$E1610&amp;"]"&amp;"|"&amp;$Q1610&amp;"|"&amp;$K1610&amp;"|"&amp;$G1610&amp;"|"&amp;IF($G1610="TX_CURR_SUBNAT.R","CY2022Q4",$M1610),"")</f>
        <v>[msW2zpIN7up]|35-49|Male|PopART.Rt.T_1|CY2023Q3</v>
      </c>
    </row>
    <row r="1611" customFormat="false" ht="15" hidden="false" customHeight="false" outlineLevel="0" collapsed="false">
      <c r="D1611" s="0" t="s">
        <v>60</v>
      </c>
      <c r="E1611" s="0" t="s">
        <v>61</v>
      </c>
      <c r="F1611" s="0" t="s">
        <v>62</v>
      </c>
      <c r="G1611" s="0" t="s">
        <v>145</v>
      </c>
      <c r="H1611" s="0" t="s">
        <v>145</v>
      </c>
      <c r="I1611" s="0" t="s">
        <v>45</v>
      </c>
      <c r="J1611" s="0" t="s">
        <v>46</v>
      </c>
      <c r="K1611" s="0" t="s">
        <v>48</v>
      </c>
      <c r="L1611" s="0" t="s">
        <v>49</v>
      </c>
      <c r="M1611" s="0" t="s">
        <v>140</v>
      </c>
      <c r="N1611" s="0" t="n">
        <v>716</v>
      </c>
      <c r="O1611" s="10" t="n">
        <v>0.276482360204682</v>
      </c>
      <c r="P1611" s="10" t="n">
        <v>0.0268250561784953</v>
      </c>
      <c r="Q1611" s="0" t="str">
        <f aca="false">SUBSTITUTE(SUBSTITUTE($I1611,CHAR(61),""),CHAR(34),"")</f>
        <v>50+</v>
      </c>
      <c r="R1611" s="0" t="str">
        <f aca="false">IF($D1611&lt;&gt;"","["&amp;$E1611&amp;"]"&amp;"|"&amp;$Q1611&amp;"|"&amp;$K1611&amp;"|"&amp;$G1611&amp;"|"&amp;IF($G1611="TX_CURR_SUBNAT.R","CY2022Q4",$M1611),"")</f>
        <v>[msW2zpIN7up]|50+|Male|PopART.Rt.T_1|CY2023Q3</v>
      </c>
    </row>
    <row r="1612" customFormat="false" ht="15" hidden="false" customHeight="false" outlineLevel="0" collapsed="false">
      <c r="D1612" s="0" t="s">
        <v>63</v>
      </c>
      <c r="E1612" s="0" t="s">
        <v>64</v>
      </c>
      <c r="F1612" s="0" t="s">
        <v>65</v>
      </c>
      <c r="G1612" s="0" t="s">
        <v>145</v>
      </c>
      <c r="H1612" s="0" t="s">
        <v>145</v>
      </c>
      <c r="I1612" s="0" t="s">
        <v>28</v>
      </c>
      <c r="J1612" s="0" t="s">
        <v>29</v>
      </c>
      <c r="K1612" s="0" t="s">
        <v>30</v>
      </c>
      <c r="L1612" s="0" t="s">
        <v>31</v>
      </c>
      <c r="M1612" s="0" t="s">
        <v>140</v>
      </c>
      <c r="N1612" s="0" t="n">
        <v>765</v>
      </c>
      <c r="O1612" s="10" t="n">
        <v>0.0544571231584996</v>
      </c>
      <c r="P1612" s="10" t="n">
        <v>0.790102193132043</v>
      </c>
      <c r="Q1612" s="0" t="str">
        <f aca="false">SUBSTITUTE(SUBSTITUTE($I1612,CHAR(61),""),CHAR(34),"")</f>
        <v>&lt;01</v>
      </c>
      <c r="R1612" s="0" t="str">
        <f aca="false">IF($D1612&lt;&gt;"","["&amp;$E1612&amp;"]"&amp;"|"&amp;$Q1612&amp;"|"&amp;$K1612&amp;"|"&amp;$G1612&amp;"|"&amp;IF($G1612="TX_CURR_SUBNAT.R","CY2022Q4",$M1612),"")</f>
        <v>[kxuuIFpOXyO]|&lt;01|Female|PopART.Rt.T_1|CY2023Q3</v>
      </c>
    </row>
    <row r="1613" customFormat="false" ht="15" hidden="false" customHeight="false" outlineLevel="0" collapsed="false">
      <c r="D1613" s="0" t="s">
        <v>63</v>
      </c>
      <c r="E1613" s="0" t="s">
        <v>64</v>
      </c>
      <c r="F1613" s="0" t="s">
        <v>65</v>
      </c>
      <c r="G1613" s="0" t="s">
        <v>145</v>
      </c>
      <c r="H1613" s="0" t="s">
        <v>145</v>
      </c>
      <c r="I1613" s="0" t="s">
        <v>33</v>
      </c>
      <c r="J1613" s="0" t="s">
        <v>34</v>
      </c>
      <c r="K1613" s="0" t="s">
        <v>30</v>
      </c>
      <c r="L1613" s="0" t="s">
        <v>31</v>
      </c>
      <c r="M1613" s="0" t="s">
        <v>140</v>
      </c>
      <c r="N1613" s="0" t="n">
        <v>1421</v>
      </c>
      <c r="O1613" s="10" t="n">
        <v>0.68324787192978</v>
      </c>
      <c r="P1613" s="10" t="n">
        <v>0.790102193132043</v>
      </c>
      <c r="Q1613" s="0" t="str">
        <f aca="false">SUBSTITUTE(SUBSTITUTE($I1613,CHAR(61),""),CHAR(34),"")</f>
        <v>01-09</v>
      </c>
      <c r="R1613" s="0" t="str">
        <f aca="false">IF($D1613&lt;&gt;"","["&amp;$E1613&amp;"]"&amp;"|"&amp;$Q1613&amp;"|"&amp;$K1613&amp;"|"&amp;$G1613&amp;"|"&amp;IF($G1613="TX_CURR_SUBNAT.R","CY2022Q4",$M1613),"")</f>
        <v>[kxuuIFpOXyO]|01-09|Female|PopART.Rt.T_1|CY2023Q3</v>
      </c>
    </row>
    <row r="1614" customFormat="false" ht="15" hidden="false" customHeight="false" outlineLevel="0" collapsed="false">
      <c r="D1614" s="0" t="s">
        <v>63</v>
      </c>
      <c r="E1614" s="0" t="s">
        <v>64</v>
      </c>
      <c r="F1614" s="0" t="s">
        <v>65</v>
      </c>
      <c r="G1614" s="0" t="s">
        <v>145</v>
      </c>
      <c r="H1614" s="0" t="s">
        <v>145</v>
      </c>
      <c r="I1614" s="0" t="s">
        <v>36</v>
      </c>
      <c r="J1614" s="0" t="s">
        <v>37</v>
      </c>
      <c r="K1614" s="0" t="s">
        <v>30</v>
      </c>
      <c r="L1614" s="0" t="s">
        <v>31</v>
      </c>
      <c r="M1614" s="0" t="s">
        <v>140</v>
      </c>
      <c r="N1614" s="0" t="n">
        <v>911</v>
      </c>
      <c r="O1614" s="10" t="n">
        <v>0.504842138849199</v>
      </c>
      <c r="P1614" s="10" t="n">
        <v>0.790102193132043</v>
      </c>
      <c r="Q1614" s="0" t="str">
        <f aca="false">SUBSTITUTE(SUBSTITUTE($I1614,CHAR(61),""),CHAR(34),"")</f>
        <v>10-14</v>
      </c>
      <c r="R1614" s="0" t="str">
        <f aca="false">IF($D1614&lt;&gt;"","["&amp;$E1614&amp;"]"&amp;"|"&amp;$Q1614&amp;"|"&amp;$K1614&amp;"|"&amp;$G1614&amp;"|"&amp;IF($G1614="TX_CURR_SUBNAT.R","CY2022Q4",$M1614),"")</f>
        <v>[kxuuIFpOXyO]|10-14|Female|PopART.Rt.T_1|CY2023Q3</v>
      </c>
    </row>
    <row r="1615" customFormat="false" ht="15" hidden="false" customHeight="false" outlineLevel="0" collapsed="false">
      <c r="D1615" s="0" t="s">
        <v>63</v>
      </c>
      <c r="E1615" s="0" t="s">
        <v>64</v>
      </c>
      <c r="F1615" s="0" t="s">
        <v>65</v>
      </c>
      <c r="G1615" s="0" t="s">
        <v>145</v>
      </c>
      <c r="H1615" s="0" t="s">
        <v>145</v>
      </c>
      <c r="I1615" s="0" t="s">
        <v>38</v>
      </c>
      <c r="J1615" s="0" t="s">
        <v>39</v>
      </c>
      <c r="K1615" s="0" t="s">
        <v>30</v>
      </c>
      <c r="L1615" s="0" t="s">
        <v>31</v>
      </c>
      <c r="M1615" s="0" t="s">
        <v>140</v>
      </c>
      <c r="N1615" s="0" t="n">
        <v>1889</v>
      </c>
      <c r="O1615" s="10" t="n">
        <v>0.749840954318643</v>
      </c>
      <c r="P1615" s="10" t="n">
        <v>0.790102193132043</v>
      </c>
      <c r="Q1615" s="0" t="str">
        <f aca="false">SUBSTITUTE(SUBSTITUTE($I1615,CHAR(61),""),CHAR(34),"")</f>
        <v>15-24</v>
      </c>
      <c r="R1615" s="0" t="str">
        <f aca="false">IF($D1615&lt;&gt;"","["&amp;$E1615&amp;"]"&amp;"|"&amp;$Q1615&amp;"|"&amp;$K1615&amp;"|"&amp;$G1615&amp;"|"&amp;IF($G1615="TX_CURR_SUBNAT.R","CY2022Q4",$M1615),"")</f>
        <v>[kxuuIFpOXyO]|15-24|Female|PopART.Rt.T_1|CY2023Q3</v>
      </c>
    </row>
    <row r="1616" customFormat="false" ht="15" hidden="false" customHeight="false" outlineLevel="0" collapsed="false">
      <c r="D1616" s="0" t="s">
        <v>63</v>
      </c>
      <c r="E1616" s="0" t="s">
        <v>64</v>
      </c>
      <c r="F1616" s="0" t="s">
        <v>65</v>
      </c>
      <c r="G1616" s="0" t="s">
        <v>145</v>
      </c>
      <c r="H1616" s="0" t="s">
        <v>145</v>
      </c>
      <c r="I1616" s="0" t="s">
        <v>41</v>
      </c>
      <c r="J1616" s="0" t="s">
        <v>42</v>
      </c>
      <c r="K1616" s="0" t="s">
        <v>30</v>
      </c>
      <c r="L1616" s="0" t="s">
        <v>31</v>
      </c>
      <c r="M1616" s="0" t="s">
        <v>140</v>
      </c>
      <c r="N1616" s="0" t="n">
        <v>1744</v>
      </c>
      <c r="O1616" s="10" t="n">
        <v>0.234198787016794</v>
      </c>
      <c r="P1616" s="10" t="n">
        <v>0.790102193132043</v>
      </c>
      <c r="Q1616" s="0" t="str">
        <f aca="false">SUBSTITUTE(SUBSTITUTE($I1616,CHAR(61),""),CHAR(34),"")</f>
        <v>25-34</v>
      </c>
      <c r="R1616" s="0" t="str">
        <f aca="false">IF($D1616&lt;&gt;"","["&amp;$E1616&amp;"]"&amp;"|"&amp;$Q1616&amp;"|"&amp;$K1616&amp;"|"&amp;$G1616&amp;"|"&amp;IF($G1616="TX_CURR_SUBNAT.R","CY2022Q4",$M1616),"")</f>
        <v>[kxuuIFpOXyO]|25-34|Female|PopART.Rt.T_1|CY2023Q3</v>
      </c>
    </row>
    <row r="1617" customFormat="false" ht="15" hidden="false" customHeight="false" outlineLevel="0" collapsed="false">
      <c r="D1617" s="0" t="s">
        <v>63</v>
      </c>
      <c r="E1617" s="0" t="s">
        <v>64</v>
      </c>
      <c r="F1617" s="0" t="s">
        <v>65</v>
      </c>
      <c r="G1617" s="0" t="s">
        <v>145</v>
      </c>
      <c r="H1617" s="0" t="s">
        <v>145</v>
      </c>
      <c r="I1617" s="0" t="s">
        <v>43</v>
      </c>
      <c r="J1617" s="0" t="s">
        <v>44</v>
      </c>
      <c r="K1617" s="0" t="s">
        <v>30</v>
      </c>
      <c r="L1617" s="0" t="s">
        <v>31</v>
      </c>
      <c r="M1617" s="0" t="s">
        <v>140</v>
      </c>
      <c r="N1617" s="0" t="n">
        <v>647</v>
      </c>
      <c r="O1617" s="10" t="n">
        <v>0.12078494601883</v>
      </c>
      <c r="P1617" s="10" t="n">
        <v>0.790102193132043</v>
      </c>
      <c r="Q1617" s="0" t="str">
        <f aca="false">SUBSTITUTE(SUBSTITUTE($I1617,CHAR(61),""),CHAR(34),"")</f>
        <v>35-49</v>
      </c>
      <c r="R1617" s="0" t="str">
        <f aca="false">IF($D1617&lt;&gt;"","["&amp;$E1617&amp;"]"&amp;"|"&amp;$Q1617&amp;"|"&amp;$K1617&amp;"|"&amp;$G1617&amp;"|"&amp;IF($G1617="TX_CURR_SUBNAT.R","CY2022Q4",$M1617),"")</f>
        <v>[kxuuIFpOXyO]|35-49|Female|PopART.Rt.T_1|CY2023Q3</v>
      </c>
    </row>
    <row r="1618" customFormat="false" ht="15" hidden="false" customHeight="false" outlineLevel="0" collapsed="false">
      <c r="D1618" s="0" t="s">
        <v>63</v>
      </c>
      <c r="E1618" s="0" t="s">
        <v>64</v>
      </c>
      <c r="F1618" s="0" t="s">
        <v>65</v>
      </c>
      <c r="G1618" s="0" t="s">
        <v>145</v>
      </c>
      <c r="H1618" s="0" t="s">
        <v>145</v>
      </c>
      <c r="I1618" s="0" t="s">
        <v>45</v>
      </c>
      <c r="J1618" s="0" t="s">
        <v>46</v>
      </c>
      <c r="K1618" s="0" t="s">
        <v>30</v>
      </c>
      <c r="L1618" s="0" t="s">
        <v>31</v>
      </c>
      <c r="M1618" s="0" t="s">
        <v>140</v>
      </c>
      <c r="N1618" s="0" t="n">
        <v>1492</v>
      </c>
      <c r="O1618" s="10" t="n">
        <v>0.233431196538731</v>
      </c>
      <c r="P1618" s="10" t="n">
        <v>0.790102193132043</v>
      </c>
      <c r="Q1618" s="0" t="str">
        <f aca="false">SUBSTITUTE(SUBSTITUTE($I1618,CHAR(61),""),CHAR(34),"")</f>
        <v>50+</v>
      </c>
      <c r="R1618" s="0" t="str">
        <f aca="false">IF($D1618&lt;&gt;"","["&amp;$E1618&amp;"]"&amp;"|"&amp;$Q1618&amp;"|"&amp;$K1618&amp;"|"&amp;$G1618&amp;"|"&amp;IF($G1618="TX_CURR_SUBNAT.R","CY2022Q4",$M1618),"")</f>
        <v>[kxuuIFpOXyO]|50+|Female|PopART.Rt.T_1|CY2023Q3</v>
      </c>
    </row>
    <row r="1619" customFormat="false" ht="15" hidden="false" customHeight="false" outlineLevel="0" collapsed="false">
      <c r="D1619" s="0" t="s">
        <v>63</v>
      </c>
      <c r="E1619" s="0" t="s">
        <v>64</v>
      </c>
      <c r="F1619" s="0" t="s">
        <v>65</v>
      </c>
      <c r="G1619" s="0" t="s">
        <v>145</v>
      </c>
      <c r="H1619" s="0" t="s">
        <v>145</v>
      </c>
      <c r="I1619" s="0" t="s">
        <v>28</v>
      </c>
      <c r="J1619" s="0" t="s">
        <v>29</v>
      </c>
      <c r="K1619" s="0" t="s">
        <v>48</v>
      </c>
      <c r="L1619" s="0" t="s">
        <v>49</v>
      </c>
      <c r="M1619" s="0" t="s">
        <v>140</v>
      </c>
      <c r="N1619" s="0" t="n">
        <v>1304</v>
      </c>
      <c r="O1619" s="10" t="n">
        <v>0.329753740690649</v>
      </c>
      <c r="P1619" s="10" t="n">
        <v>0.790102193132043</v>
      </c>
      <c r="Q1619" s="0" t="str">
        <f aca="false">SUBSTITUTE(SUBSTITUTE($I1619,CHAR(61),""),CHAR(34),"")</f>
        <v>&lt;01</v>
      </c>
      <c r="R1619" s="0" t="str">
        <f aca="false">IF($D1619&lt;&gt;"","["&amp;$E1619&amp;"]"&amp;"|"&amp;$Q1619&amp;"|"&amp;$K1619&amp;"|"&amp;$G1619&amp;"|"&amp;IF($G1619="TX_CURR_SUBNAT.R","CY2022Q4",$M1619),"")</f>
        <v>[kxuuIFpOXyO]|&lt;01|Male|PopART.Rt.T_1|CY2023Q3</v>
      </c>
    </row>
    <row r="1620" customFormat="false" ht="15" hidden="false" customHeight="false" outlineLevel="0" collapsed="false">
      <c r="D1620" s="0" t="s">
        <v>63</v>
      </c>
      <c r="E1620" s="0" t="s">
        <v>64</v>
      </c>
      <c r="F1620" s="0" t="s">
        <v>65</v>
      </c>
      <c r="G1620" s="0" t="s">
        <v>145</v>
      </c>
      <c r="H1620" s="0" t="s">
        <v>145</v>
      </c>
      <c r="I1620" s="0" t="s">
        <v>33</v>
      </c>
      <c r="J1620" s="0" t="s">
        <v>34</v>
      </c>
      <c r="K1620" s="0" t="s">
        <v>48</v>
      </c>
      <c r="L1620" s="0" t="s">
        <v>49</v>
      </c>
      <c r="M1620" s="0" t="s">
        <v>140</v>
      </c>
      <c r="N1620" s="0" t="n">
        <v>1003</v>
      </c>
      <c r="O1620" s="10" t="n">
        <v>0.1050491547212</v>
      </c>
      <c r="P1620" s="10" t="n">
        <v>0.790102193132043</v>
      </c>
      <c r="Q1620" s="0" t="str">
        <f aca="false">SUBSTITUTE(SUBSTITUTE($I1620,CHAR(61),""),CHAR(34),"")</f>
        <v>01-09</v>
      </c>
      <c r="R1620" s="0" t="str">
        <f aca="false">IF($D1620&lt;&gt;"","["&amp;$E1620&amp;"]"&amp;"|"&amp;$Q1620&amp;"|"&amp;$K1620&amp;"|"&amp;$G1620&amp;"|"&amp;IF($G1620="TX_CURR_SUBNAT.R","CY2022Q4",$M1620),"")</f>
        <v>[kxuuIFpOXyO]|01-09|Male|PopART.Rt.T_1|CY2023Q3</v>
      </c>
    </row>
    <row r="1621" customFormat="false" ht="15" hidden="false" customHeight="false" outlineLevel="0" collapsed="false">
      <c r="D1621" s="0" t="s">
        <v>63</v>
      </c>
      <c r="E1621" s="0" t="s">
        <v>64</v>
      </c>
      <c r="F1621" s="0" t="s">
        <v>65</v>
      </c>
      <c r="G1621" s="0" t="s">
        <v>145</v>
      </c>
      <c r="H1621" s="0" t="s">
        <v>145</v>
      </c>
      <c r="I1621" s="0" t="s">
        <v>36</v>
      </c>
      <c r="J1621" s="0" t="s">
        <v>37</v>
      </c>
      <c r="K1621" s="0" t="s">
        <v>48</v>
      </c>
      <c r="L1621" s="0" t="s">
        <v>49</v>
      </c>
      <c r="M1621" s="0" t="s">
        <v>140</v>
      </c>
      <c r="N1621" s="0" t="n">
        <v>1496</v>
      </c>
      <c r="O1621" s="10" t="n">
        <v>0.065496722701937</v>
      </c>
      <c r="P1621" s="10" t="n">
        <v>0.790102193132043</v>
      </c>
      <c r="Q1621" s="0" t="str">
        <f aca="false">SUBSTITUTE(SUBSTITUTE($I1621,CHAR(61),""),CHAR(34),"")</f>
        <v>10-14</v>
      </c>
      <c r="R1621" s="0" t="str">
        <f aca="false">IF($D1621&lt;&gt;"","["&amp;$E1621&amp;"]"&amp;"|"&amp;$Q1621&amp;"|"&amp;$K1621&amp;"|"&amp;$G1621&amp;"|"&amp;IF($G1621="TX_CURR_SUBNAT.R","CY2022Q4",$M1621),"")</f>
        <v>[kxuuIFpOXyO]|10-14|Male|PopART.Rt.T_1|CY2023Q3</v>
      </c>
    </row>
    <row r="1622" customFormat="false" ht="15" hidden="false" customHeight="false" outlineLevel="0" collapsed="false">
      <c r="D1622" s="0" t="s">
        <v>63</v>
      </c>
      <c r="E1622" s="0" t="s">
        <v>64</v>
      </c>
      <c r="F1622" s="0" t="s">
        <v>65</v>
      </c>
      <c r="G1622" s="0" t="s">
        <v>145</v>
      </c>
      <c r="H1622" s="0" t="s">
        <v>145</v>
      </c>
      <c r="I1622" s="0" t="s">
        <v>38</v>
      </c>
      <c r="J1622" s="0" t="s">
        <v>39</v>
      </c>
      <c r="K1622" s="0" t="s">
        <v>48</v>
      </c>
      <c r="L1622" s="0" t="s">
        <v>49</v>
      </c>
      <c r="M1622" s="0" t="s">
        <v>140</v>
      </c>
      <c r="N1622" s="0" t="n">
        <v>742</v>
      </c>
      <c r="O1622" s="10" t="n">
        <v>0.211536976974458</v>
      </c>
      <c r="P1622" s="10" t="n">
        <v>0.790102193132043</v>
      </c>
      <c r="Q1622" s="0" t="str">
        <f aca="false">SUBSTITUTE(SUBSTITUTE($I1622,CHAR(61),""),CHAR(34),"")</f>
        <v>15-24</v>
      </c>
      <c r="R1622" s="0" t="str">
        <f aca="false">IF($D1622&lt;&gt;"","["&amp;$E1622&amp;"]"&amp;"|"&amp;$Q1622&amp;"|"&amp;$K1622&amp;"|"&amp;$G1622&amp;"|"&amp;IF($G1622="TX_CURR_SUBNAT.R","CY2022Q4",$M1622),"")</f>
        <v>[kxuuIFpOXyO]|15-24|Male|PopART.Rt.T_1|CY2023Q3</v>
      </c>
    </row>
    <row r="1623" customFormat="false" ht="15" hidden="false" customHeight="false" outlineLevel="0" collapsed="false">
      <c r="D1623" s="0" t="s">
        <v>63</v>
      </c>
      <c r="E1623" s="0" t="s">
        <v>64</v>
      </c>
      <c r="F1623" s="0" t="s">
        <v>65</v>
      </c>
      <c r="G1623" s="0" t="s">
        <v>145</v>
      </c>
      <c r="H1623" s="0" t="s">
        <v>145</v>
      </c>
      <c r="I1623" s="0" t="s">
        <v>41</v>
      </c>
      <c r="J1623" s="0" t="s">
        <v>42</v>
      </c>
      <c r="K1623" s="0" t="s">
        <v>48</v>
      </c>
      <c r="L1623" s="0" t="s">
        <v>49</v>
      </c>
      <c r="M1623" s="0" t="s">
        <v>140</v>
      </c>
      <c r="N1623" s="0" t="n">
        <v>539</v>
      </c>
      <c r="O1623" s="10" t="n">
        <v>0.675606787204742</v>
      </c>
      <c r="P1623" s="10" t="n">
        <v>0.790102193132043</v>
      </c>
      <c r="Q1623" s="0" t="str">
        <f aca="false">SUBSTITUTE(SUBSTITUTE($I1623,CHAR(61),""),CHAR(34),"")</f>
        <v>25-34</v>
      </c>
      <c r="R1623" s="0" t="str">
        <f aca="false">IF($D1623&lt;&gt;"","["&amp;$E1623&amp;"]"&amp;"|"&amp;$Q1623&amp;"|"&amp;$K1623&amp;"|"&amp;$G1623&amp;"|"&amp;IF($G1623="TX_CURR_SUBNAT.R","CY2022Q4",$M1623),"")</f>
        <v>[kxuuIFpOXyO]|25-34|Male|PopART.Rt.T_1|CY2023Q3</v>
      </c>
    </row>
    <row r="1624" customFormat="false" ht="15" hidden="false" customHeight="false" outlineLevel="0" collapsed="false">
      <c r="D1624" s="0" t="s">
        <v>63</v>
      </c>
      <c r="E1624" s="0" t="s">
        <v>64</v>
      </c>
      <c r="F1624" s="0" t="s">
        <v>65</v>
      </c>
      <c r="G1624" s="0" t="s">
        <v>145</v>
      </c>
      <c r="H1624" s="0" t="s">
        <v>145</v>
      </c>
      <c r="I1624" s="0" t="s">
        <v>43</v>
      </c>
      <c r="J1624" s="0" t="s">
        <v>44</v>
      </c>
      <c r="K1624" s="0" t="s">
        <v>48</v>
      </c>
      <c r="L1624" s="0" t="s">
        <v>49</v>
      </c>
      <c r="M1624" s="0" t="s">
        <v>140</v>
      </c>
      <c r="N1624" s="0" t="n">
        <v>1493</v>
      </c>
      <c r="O1624" s="10" t="n">
        <v>0.172290488146245</v>
      </c>
      <c r="P1624" s="10" t="n">
        <v>0.790102193132043</v>
      </c>
      <c r="Q1624" s="0" t="str">
        <f aca="false">SUBSTITUTE(SUBSTITUTE($I1624,CHAR(61),""),CHAR(34),"")</f>
        <v>35-49</v>
      </c>
      <c r="R1624" s="0" t="str">
        <f aca="false">IF($D1624&lt;&gt;"","["&amp;$E1624&amp;"]"&amp;"|"&amp;$Q1624&amp;"|"&amp;$K1624&amp;"|"&amp;$G1624&amp;"|"&amp;IF($G1624="TX_CURR_SUBNAT.R","CY2022Q4",$M1624),"")</f>
        <v>[kxuuIFpOXyO]|35-49|Male|PopART.Rt.T_1|CY2023Q3</v>
      </c>
    </row>
    <row r="1625" customFormat="false" ht="15" hidden="false" customHeight="false" outlineLevel="0" collapsed="false">
      <c r="D1625" s="0" t="s">
        <v>63</v>
      </c>
      <c r="E1625" s="0" t="s">
        <v>64</v>
      </c>
      <c r="F1625" s="0" t="s">
        <v>65</v>
      </c>
      <c r="G1625" s="0" t="s">
        <v>145</v>
      </c>
      <c r="H1625" s="0" t="s">
        <v>145</v>
      </c>
      <c r="I1625" s="0" t="s">
        <v>45</v>
      </c>
      <c r="J1625" s="0" t="s">
        <v>46</v>
      </c>
      <c r="K1625" s="0" t="s">
        <v>48</v>
      </c>
      <c r="L1625" s="0" t="s">
        <v>49</v>
      </c>
      <c r="M1625" s="0" t="s">
        <v>140</v>
      </c>
      <c r="N1625" s="0" t="n">
        <v>1145</v>
      </c>
      <c r="O1625" s="10" t="n">
        <v>0.454550757771358</v>
      </c>
      <c r="P1625" s="10" t="n">
        <v>0.790102193132043</v>
      </c>
      <c r="Q1625" s="0" t="str">
        <f aca="false">SUBSTITUTE(SUBSTITUTE($I1625,CHAR(61),""),CHAR(34),"")</f>
        <v>50+</v>
      </c>
      <c r="R1625" s="0" t="str">
        <f aca="false">IF($D1625&lt;&gt;"","["&amp;$E1625&amp;"]"&amp;"|"&amp;$Q1625&amp;"|"&amp;$K1625&amp;"|"&amp;$G1625&amp;"|"&amp;IF($G1625="TX_CURR_SUBNAT.R","CY2022Q4",$M1625),"")</f>
        <v>[kxuuIFpOXyO]|50+|Male|PopART.Rt.T_1|CY2023Q3</v>
      </c>
    </row>
    <row r="1626" customFormat="false" ht="15" hidden="false" customHeight="false" outlineLevel="0" collapsed="false">
      <c r="D1626" s="0" t="s">
        <v>66</v>
      </c>
      <c r="E1626" s="0" t="s">
        <v>67</v>
      </c>
      <c r="F1626" s="0" t="s">
        <v>68</v>
      </c>
      <c r="G1626" s="0" t="s">
        <v>145</v>
      </c>
      <c r="H1626" s="0" t="s">
        <v>145</v>
      </c>
      <c r="I1626" s="0" t="s">
        <v>28</v>
      </c>
      <c r="J1626" s="0" t="s">
        <v>29</v>
      </c>
      <c r="K1626" s="0" t="s">
        <v>30</v>
      </c>
      <c r="L1626" s="0" t="s">
        <v>31</v>
      </c>
      <c r="M1626" s="0" t="s">
        <v>140</v>
      </c>
      <c r="N1626" s="0" t="n">
        <v>1087</v>
      </c>
      <c r="O1626" s="10" t="n">
        <v>0.0521357776597142</v>
      </c>
      <c r="P1626" s="10" t="n">
        <v>0.164609884377569</v>
      </c>
      <c r="Q1626" s="0" t="str">
        <f aca="false">SUBSTITUTE(SUBSTITUTE($I1626,CHAR(61),""),CHAR(34),"")</f>
        <v>&lt;01</v>
      </c>
      <c r="R1626" s="0" t="str">
        <f aca="false">IF($D1626&lt;&gt;"","["&amp;$E1626&amp;"]"&amp;"|"&amp;$Q1626&amp;"|"&amp;$K1626&amp;"|"&amp;$G1626&amp;"|"&amp;IF($G1626="TX_CURR_SUBNAT.R","CY2022Q4",$M1626),"")</f>
        <v>[ScR9iFKAasW]|&lt;01|Female|PopART.Rt.T_1|CY2023Q3</v>
      </c>
    </row>
    <row r="1627" customFormat="false" ht="15" hidden="false" customHeight="false" outlineLevel="0" collapsed="false">
      <c r="D1627" s="0" t="s">
        <v>66</v>
      </c>
      <c r="E1627" s="0" t="s">
        <v>67</v>
      </c>
      <c r="F1627" s="0" t="s">
        <v>68</v>
      </c>
      <c r="G1627" s="0" t="s">
        <v>145</v>
      </c>
      <c r="H1627" s="0" t="s">
        <v>145</v>
      </c>
      <c r="I1627" s="0" t="s">
        <v>33</v>
      </c>
      <c r="J1627" s="0" t="s">
        <v>34</v>
      </c>
      <c r="K1627" s="0" t="s">
        <v>30</v>
      </c>
      <c r="L1627" s="0" t="s">
        <v>31</v>
      </c>
      <c r="M1627" s="0" t="s">
        <v>140</v>
      </c>
      <c r="N1627" s="0" t="n">
        <v>997</v>
      </c>
      <c r="O1627" s="10" t="n">
        <v>0.816568143200129</v>
      </c>
      <c r="P1627" s="10" t="n">
        <v>0.164609884377569</v>
      </c>
      <c r="Q1627" s="0" t="str">
        <f aca="false">SUBSTITUTE(SUBSTITUTE($I1627,CHAR(61),""),CHAR(34),"")</f>
        <v>01-09</v>
      </c>
      <c r="R1627" s="0" t="str">
        <f aca="false">IF($D1627&lt;&gt;"","["&amp;$E1627&amp;"]"&amp;"|"&amp;$Q1627&amp;"|"&amp;$K1627&amp;"|"&amp;$G1627&amp;"|"&amp;IF($G1627="TX_CURR_SUBNAT.R","CY2022Q4",$M1627),"")</f>
        <v>[ScR9iFKAasW]|01-09|Female|PopART.Rt.T_1|CY2023Q3</v>
      </c>
    </row>
    <row r="1628" customFormat="false" ht="15" hidden="false" customHeight="false" outlineLevel="0" collapsed="false">
      <c r="D1628" s="0" t="s">
        <v>66</v>
      </c>
      <c r="E1628" s="0" t="s">
        <v>67</v>
      </c>
      <c r="F1628" s="0" t="s">
        <v>68</v>
      </c>
      <c r="G1628" s="0" t="s">
        <v>145</v>
      </c>
      <c r="H1628" s="0" t="s">
        <v>145</v>
      </c>
      <c r="I1628" s="0" t="s">
        <v>36</v>
      </c>
      <c r="J1628" s="0" t="s">
        <v>37</v>
      </c>
      <c r="K1628" s="0" t="s">
        <v>30</v>
      </c>
      <c r="L1628" s="0" t="s">
        <v>31</v>
      </c>
      <c r="M1628" s="0" t="s">
        <v>140</v>
      </c>
      <c r="N1628" s="0" t="n">
        <v>1545</v>
      </c>
      <c r="O1628" s="10" t="n">
        <v>0.00377045874483883</v>
      </c>
      <c r="P1628" s="10" t="n">
        <v>0.164609884377569</v>
      </c>
      <c r="Q1628" s="0" t="str">
        <f aca="false">SUBSTITUTE(SUBSTITUTE($I1628,CHAR(61),""),CHAR(34),"")</f>
        <v>10-14</v>
      </c>
      <c r="R1628" s="0" t="str">
        <f aca="false">IF($D1628&lt;&gt;"","["&amp;$E1628&amp;"]"&amp;"|"&amp;$Q1628&amp;"|"&amp;$K1628&amp;"|"&amp;$G1628&amp;"|"&amp;IF($G1628="TX_CURR_SUBNAT.R","CY2022Q4",$M1628),"")</f>
        <v>[ScR9iFKAasW]|10-14|Female|PopART.Rt.T_1|CY2023Q3</v>
      </c>
    </row>
    <row r="1629" customFormat="false" ht="15" hidden="false" customHeight="false" outlineLevel="0" collapsed="false">
      <c r="D1629" s="0" t="s">
        <v>66</v>
      </c>
      <c r="E1629" s="0" t="s">
        <v>67</v>
      </c>
      <c r="F1629" s="0" t="s">
        <v>68</v>
      </c>
      <c r="G1629" s="0" t="s">
        <v>145</v>
      </c>
      <c r="H1629" s="0" t="s">
        <v>145</v>
      </c>
      <c r="I1629" s="0" t="s">
        <v>38</v>
      </c>
      <c r="J1629" s="0" t="s">
        <v>39</v>
      </c>
      <c r="K1629" s="0" t="s">
        <v>30</v>
      </c>
      <c r="L1629" s="0" t="s">
        <v>31</v>
      </c>
      <c r="M1629" s="0" t="s">
        <v>140</v>
      </c>
      <c r="N1629" s="0" t="n">
        <v>1520</v>
      </c>
      <c r="O1629" s="10" t="n">
        <v>0.586509415879846</v>
      </c>
      <c r="P1629" s="10" t="n">
        <v>0.164609884377569</v>
      </c>
      <c r="Q1629" s="0" t="str">
        <f aca="false">SUBSTITUTE(SUBSTITUTE($I1629,CHAR(61),""),CHAR(34),"")</f>
        <v>15-24</v>
      </c>
      <c r="R1629" s="0" t="str">
        <f aca="false">IF($D1629&lt;&gt;"","["&amp;$E1629&amp;"]"&amp;"|"&amp;$Q1629&amp;"|"&amp;$K1629&amp;"|"&amp;$G1629&amp;"|"&amp;IF($G1629="TX_CURR_SUBNAT.R","CY2022Q4",$M1629),"")</f>
        <v>[ScR9iFKAasW]|15-24|Female|PopART.Rt.T_1|CY2023Q3</v>
      </c>
    </row>
    <row r="1630" customFormat="false" ht="15" hidden="false" customHeight="false" outlineLevel="0" collapsed="false">
      <c r="D1630" s="0" t="s">
        <v>66</v>
      </c>
      <c r="E1630" s="0" t="s">
        <v>67</v>
      </c>
      <c r="F1630" s="0" t="s">
        <v>68</v>
      </c>
      <c r="G1630" s="0" t="s">
        <v>145</v>
      </c>
      <c r="H1630" s="0" t="s">
        <v>145</v>
      </c>
      <c r="I1630" s="0" t="s">
        <v>41</v>
      </c>
      <c r="J1630" s="0" t="s">
        <v>42</v>
      </c>
      <c r="K1630" s="0" t="s">
        <v>30</v>
      </c>
      <c r="L1630" s="0" t="s">
        <v>31</v>
      </c>
      <c r="M1630" s="0" t="s">
        <v>140</v>
      </c>
      <c r="N1630" s="0" t="n">
        <v>1656</v>
      </c>
      <c r="O1630" s="10" t="n">
        <v>0.801604464417323</v>
      </c>
      <c r="P1630" s="10" t="n">
        <v>0.164609884377569</v>
      </c>
      <c r="Q1630" s="0" t="str">
        <f aca="false">SUBSTITUTE(SUBSTITUTE($I1630,CHAR(61),""),CHAR(34),"")</f>
        <v>25-34</v>
      </c>
      <c r="R1630" s="0" t="str">
        <f aca="false">IF($D1630&lt;&gt;"","["&amp;$E1630&amp;"]"&amp;"|"&amp;$Q1630&amp;"|"&amp;$K1630&amp;"|"&amp;$G1630&amp;"|"&amp;IF($G1630="TX_CURR_SUBNAT.R","CY2022Q4",$M1630),"")</f>
        <v>[ScR9iFKAasW]|25-34|Female|PopART.Rt.T_1|CY2023Q3</v>
      </c>
    </row>
    <row r="1631" customFormat="false" ht="15" hidden="false" customHeight="false" outlineLevel="0" collapsed="false">
      <c r="D1631" s="0" t="s">
        <v>66</v>
      </c>
      <c r="E1631" s="0" t="s">
        <v>67</v>
      </c>
      <c r="F1631" s="0" t="s">
        <v>68</v>
      </c>
      <c r="G1631" s="0" t="s">
        <v>145</v>
      </c>
      <c r="H1631" s="0" t="s">
        <v>145</v>
      </c>
      <c r="I1631" s="0" t="s">
        <v>43</v>
      </c>
      <c r="J1631" s="0" t="s">
        <v>44</v>
      </c>
      <c r="K1631" s="0" t="s">
        <v>30</v>
      </c>
      <c r="L1631" s="0" t="s">
        <v>31</v>
      </c>
      <c r="M1631" s="0" t="s">
        <v>140</v>
      </c>
      <c r="N1631" s="0" t="n">
        <v>1181</v>
      </c>
      <c r="O1631" s="10" t="n">
        <v>0.272358243353665</v>
      </c>
      <c r="P1631" s="10" t="n">
        <v>0.164609884377569</v>
      </c>
      <c r="Q1631" s="0" t="str">
        <f aca="false">SUBSTITUTE(SUBSTITUTE($I1631,CHAR(61),""),CHAR(34),"")</f>
        <v>35-49</v>
      </c>
      <c r="R1631" s="0" t="str">
        <f aca="false">IF($D1631&lt;&gt;"","["&amp;$E1631&amp;"]"&amp;"|"&amp;$Q1631&amp;"|"&amp;$K1631&amp;"|"&amp;$G1631&amp;"|"&amp;IF($G1631="TX_CURR_SUBNAT.R","CY2022Q4",$M1631),"")</f>
        <v>[ScR9iFKAasW]|35-49|Female|PopART.Rt.T_1|CY2023Q3</v>
      </c>
    </row>
    <row r="1632" customFormat="false" ht="15" hidden="false" customHeight="false" outlineLevel="0" collapsed="false">
      <c r="D1632" s="0" t="s">
        <v>66</v>
      </c>
      <c r="E1632" s="0" t="s">
        <v>67</v>
      </c>
      <c r="F1632" s="0" t="s">
        <v>68</v>
      </c>
      <c r="G1632" s="0" t="s">
        <v>145</v>
      </c>
      <c r="H1632" s="0" t="s">
        <v>145</v>
      </c>
      <c r="I1632" s="0" t="s">
        <v>45</v>
      </c>
      <c r="J1632" s="0" t="s">
        <v>46</v>
      </c>
      <c r="K1632" s="0" t="s">
        <v>30</v>
      </c>
      <c r="L1632" s="0" t="s">
        <v>31</v>
      </c>
      <c r="M1632" s="0" t="s">
        <v>140</v>
      </c>
      <c r="N1632" s="0" t="n">
        <v>1925</v>
      </c>
      <c r="O1632" s="10" t="n">
        <v>0.409140963805839</v>
      </c>
      <c r="P1632" s="10" t="n">
        <v>0.164609884377569</v>
      </c>
      <c r="Q1632" s="0" t="str">
        <f aca="false">SUBSTITUTE(SUBSTITUTE($I1632,CHAR(61),""),CHAR(34),"")</f>
        <v>50+</v>
      </c>
      <c r="R1632" s="0" t="str">
        <f aca="false">IF($D1632&lt;&gt;"","["&amp;$E1632&amp;"]"&amp;"|"&amp;$Q1632&amp;"|"&amp;$K1632&amp;"|"&amp;$G1632&amp;"|"&amp;IF($G1632="TX_CURR_SUBNAT.R","CY2022Q4",$M1632),"")</f>
        <v>[ScR9iFKAasW]|50+|Female|PopART.Rt.T_1|CY2023Q3</v>
      </c>
    </row>
    <row r="1633" customFormat="false" ht="15" hidden="false" customHeight="false" outlineLevel="0" collapsed="false">
      <c r="D1633" s="0" t="s">
        <v>66</v>
      </c>
      <c r="E1633" s="0" t="s">
        <v>67</v>
      </c>
      <c r="F1633" s="0" t="s">
        <v>68</v>
      </c>
      <c r="G1633" s="0" t="s">
        <v>145</v>
      </c>
      <c r="H1633" s="0" t="s">
        <v>145</v>
      </c>
      <c r="I1633" s="0" t="s">
        <v>28</v>
      </c>
      <c r="J1633" s="0" t="s">
        <v>29</v>
      </c>
      <c r="K1633" s="0" t="s">
        <v>48</v>
      </c>
      <c r="L1633" s="0" t="s">
        <v>49</v>
      </c>
      <c r="M1633" s="0" t="s">
        <v>140</v>
      </c>
      <c r="N1633" s="0" t="n">
        <v>1798</v>
      </c>
      <c r="O1633" s="10" t="n">
        <v>0.0193209168501198</v>
      </c>
      <c r="P1633" s="10" t="n">
        <v>0.164609884377569</v>
      </c>
      <c r="Q1633" s="0" t="str">
        <f aca="false">SUBSTITUTE(SUBSTITUTE($I1633,CHAR(61),""),CHAR(34),"")</f>
        <v>&lt;01</v>
      </c>
      <c r="R1633" s="0" t="str">
        <f aca="false">IF($D1633&lt;&gt;"","["&amp;$E1633&amp;"]"&amp;"|"&amp;$Q1633&amp;"|"&amp;$K1633&amp;"|"&amp;$G1633&amp;"|"&amp;IF($G1633="TX_CURR_SUBNAT.R","CY2022Q4",$M1633),"")</f>
        <v>[ScR9iFKAasW]|&lt;01|Male|PopART.Rt.T_1|CY2023Q3</v>
      </c>
    </row>
    <row r="1634" customFormat="false" ht="15" hidden="false" customHeight="false" outlineLevel="0" collapsed="false">
      <c r="D1634" s="0" t="s">
        <v>66</v>
      </c>
      <c r="E1634" s="0" t="s">
        <v>67</v>
      </c>
      <c r="F1634" s="0" t="s">
        <v>68</v>
      </c>
      <c r="G1634" s="0" t="s">
        <v>145</v>
      </c>
      <c r="H1634" s="0" t="s">
        <v>145</v>
      </c>
      <c r="I1634" s="0" t="s">
        <v>33</v>
      </c>
      <c r="J1634" s="0" t="s">
        <v>34</v>
      </c>
      <c r="K1634" s="0" t="s">
        <v>48</v>
      </c>
      <c r="L1634" s="0" t="s">
        <v>49</v>
      </c>
      <c r="M1634" s="0" t="s">
        <v>140</v>
      </c>
      <c r="N1634" s="0" t="n">
        <v>1709</v>
      </c>
      <c r="O1634" s="10" t="n">
        <v>0.960806706221774</v>
      </c>
      <c r="P1634" s="10" t="n">
        <v>0.164609884377569</v>
      </c>
      <c r="Q1634" s="0" t="str">
        <f aca="false">SUBSTITUTE(SUBSTITUTE($I1634,CHAR(61),""),CHAR(34),"")</f>
        <v>01-09</v>
      </c>
      <c r="R1634" s="0" t="str">
        <f aca="false">IF($D1634&lt;&gt;"","["&amp;$E1634&amp;"]"&amp;"|"&amp;$Q1634&amp;"|"&amp;$K1634&amp;"|"&amp;$G1634&amp;"|"&amp;IF($G1634="TX_CURR_SUBNAT.R","CY2022Q4",$M1634),"")</f>
        <v>[ScR9iFKAasW]|01-09|Male|PopART.Rt.T_1|CY2023Q3</v>
      </c>
    </row>
    <row r="1635" customFormat="false" ht="15" hidden="false" customHeight="false" outlineLevel="0" collapsed="false">
      <c r="D1635" s="0" t="s">
        <v>66</v>
      </c>
      <c r="E1635" s="0" t="s">
        <v>67</v>
      </c>
      <c r="F1635" s="0" t="s">
        <v>68</v>
      </c>
      <c r="G1635" s="0" t="s">
        <v>145</v>
      </c>
      <c r="H1635" s="0" t="s">
        <v>145</v>
      </c>
      <c r="I1635" s="0" t="s">
        <v>36</v>
      </c>
      <c r="J1635" s="0" t="s">
        <v>37</v>
      </c>
      <c r="K1635" s="0" t="s">
        <v>48</v>
      </c>
      <c r="L1635" s="0" t="s">
        <v>49</v>
      </c>
      <c r="M1635" s="0" t="s">
        <v>140</v>
      </c>
      <c r="N1635" s="0" t="n">
        <v>1220</v>
      </c>
      <c r="O1635" s="10" t="n">
        <v>0.538309597177431</v>
      </c>
      <c r="P1635" s="10" t="n">
        <v>0.164609884377569</v>
      </c>
      <c r="Q1635" s="0" t="str">
        <f aca="false">SUBSTITUTE(SUBSTITUTE($I1635,CHAR(61),""),CHAR(34),"")</f>
        <v>10-14</v>
      </c>
      <c r="R1635" s="0" t="str">
        <f aca="false">IF($D1635&lt;&gt;"","["&amp;$E1635&amp;"]"&amp;"|"&amp;$Q1635&amp;"|"&amp;$K1635&amp;"|"&amp;$G1635&amp;"|"&amp;IF($G1635="TX_CURR_SUBNAT.R","CY2022Q4",$M1635),"")</f>
        <v>[ScR9iFKAasW]|10-14|Male|PopART.Rt.T_1|CY2023Q3</v>
      </c>
    </row>
    <row r="1636" customFormat="false" ht="15" hidden="false" customHeight="false" outlineLevel="0" collapsed="false">
      <c r="D1636" s="0" t="s">
        <v>66</v>
      </c>
      <c r="E1636" s="0" t="s">
        <v>67</v>
      </c>
      <c r="F1636" s="0" t="s">
        <v>68</v>
      </c>
      <c r="G1636" s="0" t="s">
        <v>145</v>
      </c>
      <c r="H1636" s="0" t="s">
        <v>145</v>
      </c>
      <c r="I1636" s="0" t="s">
        <v>38</v>
      </c>
      <c r="J1636" s="0" t="s">
        <v>39</v>
      </c>
      <c r="K1636" s="0" t="s">
        <v>48</v>
      </c>
      <c r="L1636" s="0" t="s">
        <v>49</v>
      </c>
      <c r="M1636" s="0" t="s">
        <v>140</v>
      </c>
      <c r="N1636" s="0" t="n">
        <v>590</v>
      </c>
      <c r="O1636" s="10" t="n">
        <v>0.268834016518667</v>
      </c>
      <c r="P1636" s="10" t="n">
        <v>0.164609884377569</v>
      </c>
      <c r="Q1636" s="0" t="str">
        <f aca="false">SUBSTITUTE(SUBSTITUTE($I1636,CHAR(61),""),CHAR(34),"")</f>
        <v>15-24</v>
      </c>
      <c r="R1636" s="0" t="str">
        <f aca="false">IF($D1636&lt;&gt;"","["&amp;$E1636&amp;"]"&amp;"|"&amp;$Q1636&amp;"|"&amp;$K1636&amp;"|"&amp;$G1636&amp;"|"&amp;IF($G1636="TX_CURR_SUBNAT.R","CY2022Q4",$M1636),"")</f>
        <v>[ScR9iFKAasW]|15-24|Male|PopART.Rt.T_1|CY2023Q3</v>
      </c>
    </row>
    <row r="1637" customFormat="false" ht="15" hidden="false" customHeight="false" outlineLevel="0" collapsed="false">
      <c r="D1637" s="0" t="s">
        <v>66</v>
      </c>
      <c r="E1637" s="0" t="s">
        <v>67</v>
      </c>
      <c r="F1637" s="0" t="s">
        <v>68</v>
      </c>
      <c r="G1637" s="0" t="s">
        <v>145</v>
      </c>
      <c r="H1637" s="0" t="s">
        <v>145</v>
      </c>
      <c r="I1637" s="0" t="s">
        <v>41</v>
      </c>
      <c r="J1637" s="0" t="s">
        <v>42</v>
      </c>
      <c r="K1637" s="0" t="s">
        <v>48</v>
      </c>
      <c r="L1637" s="0" t="s">
        <v>49</v>
      </c>
      <c r="M1637" s="0" t="s">
        <v>140</v>
      </c>
      <c r="N1637" s="0" t="n">
        <v>1520</v>
      </c>
      <c r="O1637" s="10" t="n">
        <v>0.424245810136199</v>
      </c>
      <c r="P1637" s="10" t="n">
        <v>0.164609884377569</v>
      </c>
      <c r="Q1637" s="0" t="str">
        <f aca="false">SUBSTITUTE(SUBSTITUTE($I1637,CHAR(61),""),CHAR(34),"")</f>
        <v>25-34</v>
      </c>
      <c r="R1637" s="0" t="str">
        <f aca="false">IF($D1637&lt;&gt;"","["&amp;$E1637&amp;"]"&amp;"|"&amp;$Q1637&amp;"|"&amp;$K1637&amp;"|"&amp;$G1637&amp;"|"&amp;IF($G1637="TX_CURR_SUBNAT.R","CY2022Q4",$M1637),"")</f>
        <v>[ScR9iFKAasW]|25-34|Male|PopART.Rt.T_1|CY2023Q3</v>
      </c>
    </row>
    <row r="1638" customFormat="false" ht="15" hidden="false" customHeight="false" outlineLevel="0" collapsed="false">
      <c r="D1638" s="0" t="s">
        <v>66</v>
      </c>
      <c r="E1638" s="0" t="s">
        <v>67</v>
      </c>
      <c r="F1638" s="0" t="s">
        <v>68</v>
      </c>
      <c r="G1638" s="0" t="s">
        <v>145</v>
      </c>
      <c r="H1638" s="0" t="s">
        <v>145</v>
      </c>
      <c r="I1638" s="0" t="s">
        <v>43</v>
      </c>
      <c r="J1638" s="0" t="s">
        <v>44</v>
      </c>
      <c r="K1638" s="0" t="s">
        <v>48</v>
      </c>
      <c r="L1638" s="0" t="s">
        <v>49</v>
      </c>
      <c r="M1638" s="0" t="s">
        <v>140</v>
      </c>
      <c r="N1638" s="0" t="n">
        <v>1735</v>
      </c>
      <c r="O1638" s="10" t="n">
        <v>0.0564769459888339</v>
      </c>
      <c r="P1638" s="10" t="n">
        <v>0.164609884377569</v>
      </c>
      <c r="Q1638" s="0" t="str">
        <f aca="false">SUBSTITUTE(SUBSTITUTE($I1638,CHAR(61),""),CHAR(34),"")</f>
        <v>35-49</v>
      </c>
      <c r="R1638" s="0" t="str">
        <f aca="false">IF($D1638&lt;&gt;"","["&amp;$E1638&amp;"]"&amp;"|"&amp;$Q1638&amp;"|"&amp;$K1638&amp;"|"&amp;$G1638&amp;"|"&amp;IF($G1638="TX_CURR_SUBNAT.R","CY2022Q4",$M1638),"")</f>
        <v>[ScR9iFKAasW]|35-49|Male|PopART.Rt.T_1|CY2023Q3</v>
      </c>
    </row>
    <row r="1639" customFormat="false" ht="15" hidden="false" customHeight="false" outlineLevel="0" collapsed="false">
      <c r="D1639" s="0" t="s">
        <v>66</v>
      </c>
      <c r="E1639" s="0" t="s">
        <v>67</v>
      </c>
      <c r="F1639" s="0" t="s">
        <v>68</v>
      </c>
      <c r="G1639" s="0" t="s">
        <v>145</v>
      </c>
      <c r="H1639" s="0" t="s">
        <v>145</v>
      </c>
      <c r="I1639" s="0" t="s">
        <v>45</v>
      </c>
      <c r="J1639" s="0" t="s">
        <v>46</v>
      </c>
      <c r="K1639" s="0" t="s">
        <v>48</v>
      </c>
      <c r="L1639" s="0" t="s">
        <v>49</v>
      </c>
      <c r="M1639" s="0" t="s">
        <v>140</v>
      </c>
      <c r="N1639" s="0" t="n">
        <v>1820</v>
      </c>
      <c r="O1639" s="10" t="n">
        <v>0.510751112597063</v>
      </c>
      <c r="P1639" s="10" t="n">
        <v>0.164609884377569</v>
      </c>
      <c r="Q1639" s="0" t="str">
        <f aca="false">SUBSTITUTE(SUBSTITUTE($I1639,CHAR(61),""),CHAR(34),"")</f>
        <v>50+</v>
      </c>
      <c r="R1639" s="0" t="str">
        <f aca="false">IF($D1639&lt;&gt;"","["&amp;$E1639&amp;"]"&amp;"|"&amp;$Q1639&amp;"|"&amp;$K1639&amp;"|"&amp;$G1639&amp;"|"&amp;IF($G1639="TX_CURR_SUBNAT.R","CY2022Q4",$M1639),"")</f>
        <v>[ScR9iFKAasW]|50+|Male|PopART.Rt.T_1|CY2023Q3</v>
      </c>
    </row>
    <row r="1640" customFormat="false" ht="15" hidden="false" customHeight="false" outlineLevel="0" collapsed="false">
      <c r="D1640" s="0" t="s">
        <v>69</v>
      </c>
      <c r="E1640" s="0" t="s">
        <v>70</v>
      </c>
      <c r="F1640" s="0" t="s">
        <v>71</v>
      </c>
      <c r="G1640" s="0" t="s">
        <v>145</v>
      </c>
      <c r="H1640" s="0" t="s">
        <v>145</v>
      </c>
      <c r="I1640" s="0" t="s">
        <v>28</v>
      </c>
      <c r="J1640" s="0" t="s">
        <v>29</v>
      </c>
      <c r="K1640" s="0" t="s">
        <v>30</v>
      </c>
      <c r="L1640" s="0" t="s">
        <v>31</v>
      </c>
      <c r="M1640" s="0" t="s">
        <v>140</v>
      </c>
      <c r="N1640" s="0" t="n">
        <v>1725</v>
      </c>
      <c r="O1640" s="10" t="n">
        <v>0.614052687538788</v>
      </c>
      <c r="P1640" s="10" t="n">
        <v>0.198817263124511</v>
      </c>
      <c r="Q1640" s="0" t="str">
        <f aca="false">SUBSTITUTE(SUBSTITUTE($I1640,CHAR(61),""),CHAR(34),"")</f>
        <v>&lt;01</v>
      </c>
      <c r="R1640" s="0" t="str">
        <f aca="false">IF($D1640&lt;&gt;"","["&amp;$E1640&amp;"]"&amp;"|"&amp;$Q1640&amp;"|"&amp;$K1640&amp;"|"&amp;$G1640&amp;"|"&amp;IF($G1640="TX_CURR_SUBNAT.R","CY2022Q4",$M1640),"")</f>
        <v>[PekKUkKHAzY]|&lt;01|Female|PopART.Rt.T_1|CY2023Q3</v>
      </c>
    </row>
    <row r="1641" customFormat="false" ht="15" hidden="false" customHeight="false" outlineLevel="0" collapsed="false">
      <c r="D1641" s="0" t="s">
        <v>69</v>
      </c>
      <c r="E1641" s="0" t="s">
        <v>70</v>
      </c>
      <c r="F1641" s="0" t="s">
        <v>71</v>
      </c>
      <c r="G1641" s="0" t="s">
        <v>145</v>
      </c>
      <c r="H1641" s="0" t="s">
        <v>145</v>
      </c>
      <c r="I1641" s="0" t="s">
        <v>33</v>
      </c>
      <c r="J1641" s="0" t="s">
        <v>34</v>
      </c>
      <c r="K1641" s="0" t="s">
        <v>30</v>
      </c>
      <c r="L1641" s="0" t="s">
        <v>31</v>
      </c>
      <c r="M1641" s="0" t="s">
        <v>140</v>
      </c>
      <c r="N1641" s="0" t="n">
        <v>1993</v>
      </c>
      <c r="O1641" s="10" t="n">
        <v>0.434036457678303</v>
      </c>
      <c r="P1641" s="10" t="n">
        <v>0.198817263124511</v>
      </c>
      <c r="Q1641" s="0" t="str">
        <f aca="false">SUBSTITUTE(SUBSTITUTE($I1641,CHAR(61),""),CHAR(34),"")</f>
        <v>01-09</v>
      </c>
      <c r="R1641" s="0" t="str">
        <f aca="false">IF($D1641&lt;&gt;"","["&amp;$E1641&amp;"]"&amp;"|"&amp;$Q1641&amp;"|"&amp;$K1641&amp;"|"&amp;$G1641&amp;"|"&amp;IF($G1641="TX_CURR_SUBNAT.R","CY2022Q4",$M1641),"")</f>
        <v>[PekKUkKHAzY]|01-09|Female|PopART.Rt.T_1|CY2023Q3</v>
      </c>
    </row>
    <row r="1642" customFormat="false" ht="15" hidden="false" customHeight="false" outlineLevel="0" collapsed="false">
      <c r="D1642" s="0" t="s">
        <v>69</v>
      </c>
      <c r="E1642" s="0" t="s">
        <v>70</v>
      </c>
      <c r="F1642" s="0" t="s">
        <v>71</v>
      </c>
      <c r="G1642" s="0" t="s">
        <v>145</v>
      </c>
      <c r="H1642" s="0" t="s">
        <v>145</v>
      </c>
      <c r="I1642" s="0" t="s">
        <v>36</v>
      </c>
      <c r="J1642" s="0" t="s">
        <v>37</v>
      </c>
      <c r="K1642" s="0" t="s">
        <v>30</v>
      </c>
      <c r="L1642" s="0" t="s">
        <v>31</v>
      </c>
      <c r="M1642" s="0" t="s">
        <v>140</v>
      </c>
      <c r="N1642" s="0" t="n">
        <v>1044</v>
      </c>
      <c r="O1642" s="10" t="n">
        <v>0.533372967038304</v>
      </c>
      <c r="P1642" s="10" t="n">
        <v>0.198817263124511</v>
      </c>
      <c r="Q1642" s="0" t="str">
        <f aca="false">SUBSTITUTE(SUBSTITUTE($I1642,CHAR(61),""),CHAR(34),"")</f>
        <v>10-14</v>
      </c>
      <c r="R1642" s="0" t="str">
        <f aca="false">IF($D1642&lt;&gt;"","["&amp;$E1642&amp;"]"&amp;"|"&amp;$Q1642&amp;"|"&amp;$K1642&amp;"|"&amp;$G1642&amp;"|"&amp;IF($G1642="TX_CURR_SUBNAT.R","CY2022Q4",$M1642),"")</f>
        <v>[PekKUkKHAzY]|10-14|Female|PopART.Rt.T_1|CY2023Q3</v>
      </c>
    </row>
    <row r="1643" customFormat="false" ht="15" hidden="false" customHeight="false" outlineLevel="0" collapsed="false">
      <c r="D1643" s="0" t="s">
        <v>69</v>
      </c>
      <c r="E1643" s="0" t="s">
        <v>70</v>
      </c>
      <c r="F1643" s="0" t="s">
        <v>71</v>
      </c>
      <c r="G1643" s="0" t="s">
        <v>145</v>
      </c>
      <c r="H1643" s="0" t="s">
        <v>145</v>
      </c>
      <c r="I1643" s="0" t="s">
        <v>38</v>
      </c>
      <c r="J1643" s="0" t="s">
        <v>39</v>
      </c>
      <c r="K1643" s="0" t="s">
        <v>30</v>
      </c>
      <c r="L1643" s="0" t="s">
        <v>31</v>
      </c>
      <c r="M1643" s="0" t="s">
        <v>140</v>
      </c>
      <c r="N1643" s="0" t="n">
        <v>1089</v>
      </c>
      <c r="O1643" s="10" t="n">
        <v>0.58625784306787</v>
      </c>
      <c r="P1643" s="10" t="n">
        <v>0.198817263124511</v>
      </c>
      <c r="Q1643" s="0" t="str">
        <f aca="false">SUBSTITUTE(SUBSTITUTE($I1643,CHAR(61),""),CHAR(34),"")</f>
        <v>15-24</v>
      </c>
      <c r="R1643" s="0" t="str">
        <f aca="false">IF($D1643&lt;&gt;"","["&amp;$E1643&amp;"]"&amp;"|"&amp;$Q1643&amp;"|"&amp;$K1643&amp;"|"&amp;$G1643&amp;"|"&amp;IF($G1643="TX_CURR_SUBNAT.R","CY2022Q4",$M1643),"")</f>
        <v>[PekKUkKHAzY]|15-24|Female|PopART.Rt.T_1|CY2023Q3</v>
      </c>
    </row>
    <row r="1644" customFormat="false" ht="15" hidden="false" customHeight="false" outlineLevel="0" collapsed="false">
      <c r="D1644" s="0" t="s">
        <v>69</v>
      </c>
      <c r="E1644" s="0" t="s">
        <v>70</v>
      </c>
      <c r="F1644" s="0" t="s">
        <v>71</v>
      </c>
      <c r="G1644" s="0" t="s">
        <v>145</v>
      </c>
      <c r="H1644" s="0" t="s">
        <v>145</v>
      </c>
      <c r="I1644" s="0" t="s">
        <v>41</v>
      </c>
      <c r="J1644" s="0" t="s">
        <v>42</v>
      </c>
      <c r="K1644" s="0" t="s">
        <v>30</v>
      </c>
      <c r="L1644" s="0" t="s">
        <v>31</v>
      </c>
      <c r="M1644" s="0" t="s">
        <v>140</v>
      </c>
      <c r="N1644" s="0" t="n">
        <v>835</v>
      </c>
      <c r="O1644" s="10" t="n">
        <v>0.267891054740176</v>
      </c>
      <c r="P1644" s="10" t="n">
        <v>0.198817263124511</v>
      </c>
      <c r="Q1644" s="0" t="str">
        <f aca="false">SUBSTITUTE(SUBSTITUTE($I1644,CHAR(61),""),CHAR(34),"")</f>
        <v>25-34</v>
      </c>
      <c r="R1644" s="0" t="str">
        <f aca="false">IF($D1644&lt;&gt;"","["&amp;$E1644&amp;"]"&amp;"|"&amp;$Q1644&amp;"|"&amp;$K1644&amp;"|"&amp;$G1644&amp;"|"&amp;IF($G1644="TX_CURR_SUBNAT.R","CY2022Q4",$M1644),"")</f>
        <v>[PekKUkKHAzY]|25-34|Female|PopART.Rt.T_1|CY2023Q3</v>
      </c>
    </row>
    <row r="1645" customFormat="false" ht="15" hidden="false" customHeight="false" outlineLevel="0" collapsed="false">
      <c r="D1645" s="0" t="s">
        <v>69</v>
      </c>
      <c r="E1645" s="0" t="s">
        <v>70</v>
      </c>
      <c r="F1645" s="0" t="s">
        <v>71</v>
      </c>
      <c r="G1645" s="0" t="s">
        <v>145</v>
      </c>
      <c r="H1645" s="0" t="s">
        <v>145</v>
      </c>
      <c r="I1645" s="0" t="s">
        <v>43</v>
      </c>
      <c r="J1645" s="0" t="s">
        <v>44</v>
      </c>
      <c r="K1645" s="0" t="s">
        <v>30</v>
      </c>
      <c r="L1645" s="0" t="s">
        <v>31</v>
      </c>
      <c r="M1645" s="0" t="s">
        <v>140</v>
      </c>
      <c r="N1645" s="0" t="n">
        <v>1942</v>
      </c>
      <c r="O1645" s="10" t="n">
        <v>0.0435446323826909</v>
      </c>
      <c r="P1645" s="10" t="n">
        <v>0.198817263124511</v>
      </c>
      <c r="Q1645" s="0" t="str">
        <f aca="false">SUBSTITUTE(SUBSTITUTE($I1645,CHAR(61),""),CHAR(34),"")</f>
        <v>35-49</v>
      </c>
      <c r="R1645" s="0" t="str">
        <f aca="false">IF($D1645&lt;&gt;"","["&amp;$E1645&amp;"]"&amp;"|"&amp;$Q1645&amp;"|"&amp;$K1645&amp;"|"&amp;$G1645&amp;"|"&amp;IF($G1645="TX_CURR_SUBNAT.R","CY2022Q4",$M1645),"")</f>
        <v>[PekKUkKHAzY]|35-49|Female|PopART.Rt.T_1|CY2023Q3</v>
      </c>
    </row>
    <row r="1646" customFormat="false" ht="15" hidden="false" customHeight="false" outlineLevel="0" collapsed="false">
      <c r="D1646" s="0" t="s">
        <v>69</v>
      </c>
      <c r="E1646" s="0" t="s">
        <v>70</v>
      </c>
      <c r="F1646" s="0" t="s">
        <v>71</v>
      </c>
      <c r="G1646" s="0" t="s">
        <v>145</v>
      </c>
      <c r="H1646" s="0" t="s">
        <v>145</v>
      </c>
      <c r="I1646" s="0" t="s">
        <v>45</v>
      </c>
      <c r="J1646" s="0" t="s">
        <v>46</v>
      </c>
      <c r="K1646" s="0" t="s">
        <v>30</v>
      </c>
      <c r="L1646" s="0" t="s">
        <v>31</v>
      </c>
      <c r="M1646" s="0" t="s">
        <v>140</v>
      </c>
      <c r="N1646" s="0" t="n">
        <v>873</v>
      </c>
      <c r="O1646" s="10" t="n">
        <v>0.126119748689234</v>
      </c>
      <c r="P1646" s="10" t="n">
        <v>0.198817263124511</v>
      </c>
      <c r="Q1646" s="0" t="str">
        <f aca="false">SUBSTITUTE(SUBSTITUTE($I1646,CHAR(61),""),CHAR(34),"")</f>
        <v>50+</v>
      </c>
      <c r="R1646" s="0" t="str">
        <f aca="false">IF($D1646&lt;&gt;"","["&amp;$E1646&amp;"]"&amp;"|"&amp;$Q1646&amp;"|"&amp;$K1646&amp;"|"&amp;$G1646&amp;"|"&amp;IF($G1646="TX_CURR_SUBNAT.R","CY2022Q4",$M1646),"")</f>
        <v>[PekKUkKHAzY]|50+|Female|PopART.Rt.T_1|CY2023Q3</v>
      </c>
    </row>
    <row r="1647" customFormat="false" ht="15" hidden="false" customHeight="false" outlineLevel="0" collapsed="false">
      <c r="D1647" s="0" t="s">
        <v>69</v>
      </c>
      <c r="E1647" s="0" t="s">
        <v>70</v>
      </c>
      <c r="F1647" s="0" t="s">
        <v>71</v>
      </c>
      <c r="G1647" s="0" t="s">
        <v>145</v>
      </c>
      <c r="H1647" s="0" t="s">
        <v>145</v>
      </c>
      <c r="I1647" s="0" t="s">
        <v>28</v>
      </c>
      <c r="J1647" s="0" t="s">
        <v>29</v>
      </c>
      <c r="K1647" s="0" t="s">
        <v>48</v>
      </c>
      <c r="L1647" s="0" t="s">
        <v>49</v>
      </c>
      <c r="M1647" s="0" t="s">
        <v>140</v>
      </c>
      <c r="N1647" s="0" t="n">
        <v>1935</v>
      </c>
      <c r="O1647" s="10" t="n">
        <v>0.952363313408569</v>
      </c>
      <c r="P1647" s="10" t="n">
        <v>0.198817263124511</v>
      </c>
      <c r="Q1647" s="0" t="str">
        <f aca="false">SUBSTITUTE(SUBSTITUTE($I1647,CHAR(61),""),CHAR(34),"")</f>
        <v>&lt;01</v>
      </c>
      <c r="R1647" s="0" t="str">
        <f aca="false">IF($D1647&lt;&gt;"","["&amp;$E1647&amp;"]"&amp;"|"&amp;$Q1647&amp;"|"&amp;$K1647&amp;"|"&amp;$G1647&amp;"|"&amp;IF($G1647="TX_CURR_SUBNAT.R","CY2022Q4",$M1647),"")</f>
        <v>[PekKUkKHAzY]|&lt;01|Male|PopART.Rt.T_1|CY2023Q3</v>
      </c>
    </row>
    <row r="1648" customFormat="false" ht="15" hidden="false" customHeight="false" outlineLevel="0" collapsed="false">
      <c r="D1648" s="0" t="s">
        <v>69</v>
      </c>
      <c r="E1648" s="0" t="s">
        <v>70</v>
      </c>
      <c r="F1648" s="0" t="s">
        <v>71</v>
      </c>
      <c r="G1648" s="0" t="s">
        <v>145</v>
      </c>
      <c r="H1648" s="0" t="s">
        <v>145</v>
      </c>
      <c r="I1648" s="0" t="s">
        <v>33</v>
      </c>
      <c r="J1648" s="0" t="s">
        <v>34</v>
      </c>
      <c r="K1648" s="0" t="s">
        <v>48</v>
      </c>
      <c r="L1648" s="0" t="s">
        <v>49</v>
      </c>
      <c r="M1648" s="0" t="s">
        <v>140</v>
      </c>
      <c r="N1648" s="0" t="n">
        <v>1004</v>
      </c>
      <c r="O1648" s="10" t="n">
        <v>0.489893869729713</v>
      </c>
      <c r="P1648" s="10" t="n">
        <v>0.198817263124511</v>
      </c>
      <c r="Q1648" s="0" t="str">
        <f aca="false">SUBSTITUTE(SUBSTITUTE($I1648,CHAR(61),""),CHAR(34),"")</f>
        <v>01-09</v>
      </c>
      <c r="R1648" s="0" t="str">
        <f aca="false">IF($D1648&lt;&gt;"","["&amp;$E1648&amp;"]"&amp;"|"&amp;$Q1648&amp;"|"&amp;$K1648&amp;"|"&amp;$G1648&amp;"|"&amp;IF($G1648="TX_CURR_SUBNAT.R","CY2022Q4",$M1648),"")</f>
        <v>[PekKUkKHAzY]|01-09|Male|PopART.Rt.T_1|CY2023Q3</v>
      </c>
    </row>
    <row r="1649" customFormat="false" ht="15" hidden="false" customHeight="false" outlineLevel="0" collapsed="false">
      <c r="D1649" s="0" t="s">
        <v>69</v>
      </c>
      <c r="E1649" s="0" t="s">
        <v>70</v>
      </c>
      <c r="F1649" s="0" t="s">
        <v>71</v>
      </c>
      <c r="G1649" s="0" t="s">
        <v>145</v>
      </c>
      <c r="H1649" s="0" t="s">
        <v>145</v>
      </c>
      <c r="I1649" s="0" t="s">
        <v>36</v>
      </c>
      <c r="J1649" s="0" t="s">
        <v>37</v>
      </c>
      <c r="K1649" s="0" t="s">
        <v>48</v>
      </c>
      <c r="L1649" s="0" t="s">
        <v>49</v>
      </c>
      <c r="M1649" s="0" t="s">
        <v>140</v>
      </c>
      <c r="N1649" s="0" t="n">
        <v>1312</v>
      </c>
      <c r="O1649" s="10" t="n">
        <v>0.287536831339821</v>
      </c>
      <c r="P1649" s="10" t="n">
        <v>0.198817263124511</v>
      </c>
      <c r="Q1649" s="0" t="str">
        <f aca="false">SUBSTITUTE(SUBSTITUTE($I1649,CHAR(61),""),CHAR(34),"")</f>
        <v>10-14</v>
      </c>
      <c r="R1649" s="0" t="str">
        <f aca="false">IF($D1649&lt;&gt;"","["&amp;$E1649&amp;"]"&amp;"|"&amp;$Q1649&amp;"|"&amp;$K1649&amp;"|"&amp;$G1649&amp;"|"&amp;IF($G1649="TX_CURR_SUBNAT.R","CY2022Q4",$M1649),"")</f>
        <v>[PekKUkKHAzY]|10-14|Male|PopART.Rt.T_1|CY2023Q3</v>
      </c>
    </row>
    <row r="1650" customFormat="false" ht="15" hidden="false" customHeight="false" outlineLevel="0" collapsed="false">
      <c r="D1650" s="0" t="s">
        <v>69</v>
      </c>
      <c r="E1650" s="0" t="s">
        <v>70</v>
      </c>
      <c r="F1650" s="0" t="s">
        <v>71</v>
      </c>
      <c r="G1650" s="0" t="s">
        <v>145</v>
      </c>
      <c r="H1650" s="0" t="s">
        <v>145</v>
      </c>
      <c r="I1650" s="0" t="s">
        <v>38</v>
      </c>
      <c r="J1650" s="0" t="s">
        <v>39</v>
      </c>
      <c r="K1650" s="0" t="s">
        <v>48</v>
      </c>
      <c r="L1650" s="0" t="s">
        <v>49</v>
      </c>
      <c r="M1650" s="0" t="s">
        <v>140</v>
      </c>
      <c r="N1650" s="0" t="n">
        <v>911</v>
      </c>
      <c r="O1650" s="10" t="n">
        <v>0.521395968273282</v>
      </c>
      <c r="P1650" s="10" t="n">
        <v>0.198817263124511</v>
      </c>
      <c r="Q1650" s="0" t="str">
        <f aca="false">SUBSTITUTE(SUBSTITUTE($I1650,CHAR(61),""),CHAR(34),"")</f>
        <v>15-24</v>
      </c>
      <c r="R1650" s="0" t="str">
        <f aca="false">IF($D1650&lt;&gt;"","["&amp;$E1650&amp;"]"&amp;"|"&amp;$Q1650&amp;"|"&amp;$K1650&amp;"|"&amp;$G1650&amp;"|"&amp;IF($G1650="TX_CURR_SUBNAT.R","CY2022Q4",$M1650),"")</f>
        <v>[PekKUkKHAzY]|15-24|Male|PopART.Rt.T_1|CY2023Q3</v>
      </c>
    </row>
    <row r="1651" customFormat="false" ht="15" hidden="false" customHeight="false" outlineLevel="0" collapsed="false">
      <c r="D1651" s="0" t="s">
        <v>69</v>
      </c>
      <c r="E1651" s="0" t="s">
        <v>70</v>
      </c>
      <c r="F1651" s="0" t="s">
        <v>71</v>
      </c>
      <c r="G1651" s="0" t="s">
        <v>145</v>
      </c>
      <c r="H1651" s="0" t="s">
        <v>145</v>
      </c>
      <c r="I1651" s="0" t="s">
        <v>41</v>
      </c>
      <c r="J1651" s="0" t="s">
        <v>42</v>
      </c>
      <c r="K1651" s="0" t="s">
        <v>48</v>
      </c>
      <c r="L1651" s="0" t="s">
        <v>49</v>
      </c>
      <c r="M1651" s="0" t="s">
        <v>140</v>
      </c>
      <c r="N1651" s="0" t="n">
        <v>707</v>
      </c>
      <c r="O1651" s="10" t="n">
        <v>0.505042004864663</v>
      </c>
      <c r="P1651" s="10" t="n">
        <v>0.198817263124511</v>
      </c>
      <c r="Q1651" s="0" t="str">
        <f aca="false">SUBSTITUTE(SUBSTITUTE($I1651,CHAR(61),""),CHAR(34),"")</f>
        <v>25-34</v>
      </c>
      <c r="R1651" s="0" t="str">
        <f aca="false">IF($D1651&lt;&gt;"","["&amp;$E1651&amp;"]"&amp;"|"&amp;$Q1651&amp;"|"&amp;$K1651&amp;"|"&amp;$G1651&amp;"|"&amp;IF($G1651="TX_CURR_SUBNAT.R","CY2022Q4",$M1651),"")</f>
        <v>[PekKUkKHAzY]|25-34|Male|PopART.Rt.T_1|CY2023Q3</v>
      </c>
    </row>
    <row r="1652" customFormat="false" ht="15" hidden="false" customHeight="false" outlineLevel="0" collapsed="false">
      <c r="D1652" s="0" t="s">
        <v>69</v>
      </c>
      <c r="E1652" s="0" t="s">
        <v>70</v>
      </c>
      <c r="F1652" s="0" t="s">
        <v>71</v>
      </c>
      <c r="G1652" s="0" t="s">
        <v>145</v>
      </c>
      <c r="H1652" s="0" t="s">
        <v>145</v>
      </c>
      <c r="I1652" s="0" t="s">
        <v>43</v>
      </c>
      <c r="J1652" s="0" t="s">
        <v>44</v>
      </c>
      <c r="K1652" s="0" t="s">
        <v>48</v>
      </c>
      <c r="L1652" s="0" t="s">
        <v>49</v>
      </c>
      <c r="M1652" s="0" t="s">
        <v>140</v>
      </c>
      <c r="N1652" s="0" t="n">
        <v>1114</v>
      </c>
      <c r="O1652" s="10" t="n">
        <v>0.573030528379604</v>
      </c>
      <c r="P1652" s="10" t="n">
        <v>0.198817263124511</v>
      </c>
      <c r="Q1652" s="0" t="str">
        <f aca="false">SUBSTITUTE(SUBSTITUTE($I1652,CHAR(61),""),CHAR(34),"")</f>
        <v>35-49</v>
      </c>
      <c r="R1652" s="0" t="str">
        <f aca="false">IF($D1652&lt;&gt;"","["&amp;$E1652&amp;"]"&amp;"|"&amp;$Q1652&amp;"|"&amp;$K1652&amp;"|"&amp;$G1652&amp;"|"&amp;IF($G1652="TX_CURR_SUBNAT.R","CY2022Q4",$M1652),"")</f>
        <v>[PekKUkKHAzY]|35-49|Male|PopART.Rt.T_1|CY2023Q3</v>
      </c>
    </row>
    <row r="1653" customFormat="false" ht="15" hidden="false" customHeight="false" outlineLevel="0" collapsed="false">
      <c r="D1653" s="0" t="s">
        <v>69</v>
      </c>
      <c r="E1653" s="0" t="s">
        <v>70</v>
      </c>
      <c r="F1653" s="0" t="s">
        <v>71</v>
      </c>
      <c r="G1653" s="0" t="s">
        <v>145</v>
      </c>
      <c r="H1653" s="0" t="s">
        <v>145</v>
      </c>
      <c r="I1653" s="0" t="s">
        <v>45</v>
      </c>
      <c r="J1653" s="0" t="s">
        <v>46</v>
      </c>
      <c r="K1653" s="0" t="s">
        <v>48</v>
      </c>
      <c r="L1653" s="0" t="s">
        <v>49</v>
      </c>
      <c r="M1653" s="0" t="s">
        <v>140</v>
      </c>
      <c r="N1653" s="0" t="n">
        <v>1974</v>
      </c>
      <c r="O1653" s="10" t="n">
        <v>0.995747552486137</v>
      </c>
      <c r="P1653" s="10" t="n">
        <v>0.198817263124511</v>
      </c>
      <c r="Q1653" s="0" t="str">
        <f aca="false">SUBSTITUTE(SUBSTITUTE($I1653,CHAR(61),""),CHAR(34),"")</f>
        <v>50+</v>
      </c>
      <c r="R1653" s="0" t="str">
        <f aca="false">IF($D1653&lt;&gt;"","["&amp;$E1653&amp;"]"&amp;"|"&amp;$Q1653&amp;"|"&amp;$K1653&amp;"|"&amp;$G1653&amp;"|"&amp;IF($G1653="TX_CURR_SUBNAT.R","CY2022Q4",$M1653),"")</f>
        <v>[PekKUkKHAzY]|50+|Male|PopART.Rt.T_1|CY2023Q3</v>
      </c>
    </row>
    <row r="1654" customFormat="false" ht="15" hidden="false" customHeight="false" outlineLevel="0" collapsed="false">
      <c r="D1654" s="0" t="s">
        <v>72</v>
      </c>
      <c r="E1654" s="0" t="s">
        <v>73</v>
      </c>
      <c r="F1654" s="0" t="s">
        <v>74</v>
      </c>
      <c r="G1654" s="0" t="s">
        <v>145</v>
      </c>
      <c r="H1654" s="0" t="s">
        <v>145</v>
      </c>
      <c r="I1654" s="0" t="s">
        <v>28</v>
      </c>
      <c r="J1654" s="0" t="s">
        <v>29</v>
      </c>
      <c r="K1654" s="0" t="s">
        <v>30</v>
      </c>
      <c r="L1654" s="0" t="s">
        <v>31</v>
      </c>
      <c r="M1654" s="0" t="s">
        <v>140</v>
      </c>
      <c r="N1654" s="0" t="n">
        <v>1782</v>
      </c>
      <c r="O1654" s="10" t="n">
        <v>0.863749408395961</v>
      </c>
      <c r="P1654" s="10" t="n">
        <v>0.289728706935421</v>
      </c>
      <c r="Q1654" s="0" t="str">
        <f aca="false">SUBSTITUTE(SUBSTITUTE($I1654,CHAR(61),""),CHAR(34),"")</f>
        <v>&lt;01</v>
      </c>
      <c r="R1654" s="0" t="str">
        <f aca="false">IF($D1654&lt;&gt;"","["&amp;$E1654&amp;"]"&amp;"|"&amp;$Q1654&amp;"|"&amp;$K1654&amp;"|"&amp;$G1654&amp;"|"&amp;IF($G1654="TX_CURR_SUBNAT.R","CY2022Q4",$M1654),"")</f>
        <v>[am530wpaGvr]|&lt;01|Female|PopART.Rt.T_1|CY2023Q3</v>
      </c>
    </row>
    <row r="1655" customFormat="false" ht="15" hidden="false" customHeight="false" outlineLevel="0" collapsed="false">
      <c r="D1655" s="0" t="s">
        <v>72</v>
      </c>
      <c r="E1655" s="0" t="s">
        <v>73</v>
      </c>
      <c r="F1655" s="0" t="s">
        <v>74</v>
      </c>
      <c r="G1655" s="0" t="s">
        <v>145</v>
      </c>
      <c r="H1655" s="0" t="s">
        <v>145</v>
      </c>
      <c r="I1655" s="0" t="s">
        <v>33</v>
      </c>
      <c r="J1655" s="0" t="s">
        <v>34</v>
      </c>
      <c r="K1655" s="0" t="s">
        <v>30</v>
      </c>
      <c r="L1655" s="0" t="s">
        <v>31</v>
      </c>
      <c r="M1655" s="0" t="s">
        <v>140</v>
      </c>
      <c r="N1655" s="0" t="n">
        <v>527</v>
      </c>
      <c r="O1655" s="10" t="n">
        <v>0.566402158001438</v>
      </c>
      <c r="P1655" s="10" t="n">
        <v>0.289728706935421</v>
      </c>
      <c r="Q1655" s="0" t="str">
        <f aca="false">SUBSTITUTE(SUBSTITUTE($I1655,CHAR(61),""),CHAR(34),"")</f>
        <v>01-09</v>
      </c>
      <c r="R1655" s="0" t="str">
        <f aca="false">IF($D1655&lt;&gt;"","["&amp;$E1655&amp;"]"&amp;"|"&amp;$Q1655&amp;"|"&amp;$K1655&amp;"|"&amp;$G1655&amp;"|"&amp;IF($G1655="TX_CURR_SUBNAT.R","CY2022Q4",$M1655),"")</f>
        <v>[am530wpaGvr]|01-09|Female|PopART.Rt.T_1|CY2023Q3</v>
      </c>
    </row>
    <row r="1656" customFormat="false" ht="15" hidden="false" customHeight="false" outlineLevel="0" collapsed="false">
      <c r="D1656" s="0" t="s">
        <v>72</v>
      </c>
      <c r="E1656" s="0" t="s">
        <v>73</v>
      </c>
      <c r="F1656" s="0" t="s">
        <v>74</v>
      </c>
      <c r="G1656" s="0" t="s">
        <v>145</v>
      </c>
      <c r="H1656" s="0" t="s">
        <v>145</v>
      </c>
      <c r="I1656" s="0" t="s">
        <v>36</v>
      </c>
      <c r="J1656" s="0" t="s">
        <v>37</v>
      </c>
      <c r="K1656" s="0" t="s">
        <v>30</v>
      </c>
      <c r="L1656" s="0" t="s">
        <v>31</v>
      </c>
      <c r="M1656" s="0" t="s">
        <v>140</v>
      </c>
      <c r="N1656" s="0" t="n">
        <v>1730</v>
      </c>
      <c r="O1656" s="10" t="n">
        <v>0.679076148895547</v>
      </c>
      <c r="P1656" s="10" t="n">
        <v>0.289728706935421</v>
      </c>
      <c r="Q1656" s="0" t="str">
        <f aca="false">SUBSTITUTE(SUBSTITUTE($I1656,CHAR(61),""),CHAR(34),"")</f>
        <v>10-14</v>
      </c>
      <c r="R1656" s="0" t="str">
        <f aca="false">IF($D1656&lt;&gt;"","["&amp;$E1656&amp;"]"&amp;"|"&amp;$Q1656&amp;"|"&amp;$K1656&amp;"|"&amp;$G1656&amp;"|"&amp;IF($G1656="TX_CURR_SUBNAT.R","CY2022Q4",$M1656),"")</f>
        <v>[am530wpaGvr]|10-14|Female|PopART.Rt.T_1|CY2023Q3</v>
      </c>
    </row>
    <row r="1657" customFormat="false" ht="15" hidden="false" customHeight="false" outlineLevel="0" collapsed="false">
      <c r="D1657" s="0" t="s">
        <v>72</v>
      </c>
      <c r="E1657" s="0" t="s">
        <v>73</v>
      </c>
      <c r="F1657" s="0" t="s">
        <v>74</v>
      </c>
      <c r="G1657" s="0" t="s">
        <v>145</v>
      </c>
      <c r="H1657" s="0" t="s">
        <v>145</v>
      </c>
      <c r="I1657" s="0" t="s">
        <v>38</v>
      </c>
      <c r="J1657" s="0" t="s">
        <v>39</v>
      </c>
      <c r="K1657" s="0" t="s">
        <v>30</v>
      </c>
      <c r="L1657" s="0" t="s">
        <v>31</v>
      </c>
      <c r="M1657" s="0" t="s">
        <v>140</v>
      </c>
      <c r="N1657" s="0" t="n">
        <v>1897</v>
      </c>
      <c r="O1657" s="10" t="n">
        <v>0.592044765595347</v>
      </c>
      <c r="P1657" s="10" t="n">
        <v>0.289728706935421</v>
      </c>
      <c r="Q1657" s="0" t="str">
        <f aca="false">SUBSTITUTE(SUBSTITUTE($I1657,CHAR(61),""),CHAR(34),"")</f>
        <v>15-24</v>
      </c>
      <c r="R1657" s="0" t="str">
        <f aca="false">IF($D1657&lt;&gt;"","["&amp;$E1657&amp;"]"&amp;"|"&amp;$Q1657&amp;"|"&amp;$K1657&amp;"|"&amp;$G1657&amp;"|"&amp;IF($G1657="TX_CURR_SUBNAT.R","CY2022Q4",$M1657),"")</f>
        <v>[am530wpaGvr]|15-24|Female|PopART.Rt.T_1|CY2023Q3</v>
      </c>
    </row>
    <row r="1658" customFormat="false" ht="15" hidden="false" customHeight="false" outlineLevel="0" collapsed="false">
      <c r="D1658" s="0" t="s">
        <v>72</v>
      </c>
      <c r="E1658" s="0" t="s">
        <v>73</v>
      </c>
      <c r="F1658" s="0" t="s">
        <v>74</v>
      </c>
      <c r="G1658" s="0" t="s">
        <v>145</v>
      </c>
      <c r="H1658" s="0" t="s">
        <v>145</v>
      </c>
      <c r="I1658" s="0" t="s">
        <v>41</v>
      </c>
      <c r="J1658" s="0" t="s">
        <v>42</v>
      </c>
      <c r="K1658" s="0" t="s">
        <v>30</v>
      </c>
      <c r="L1658" s="0" t="s">
        <v>31</v>
      </c>
      <c r="M1658" s="0" t="s">
        <v>140</v>
      </c>
      <c r="N1658" s="0" t="n">
        <v>1115</v>
      </c>
      <c r="O1658" s="10" t="n">
        <v>0.88826328353025</v>
      </c>
      <c r="P1658" s="10" t="n">
        <v>0.289728706935421</v>
      </c>
      <c r="Q1658" s="0" t="str">
        <f aca="false">SUBSTITUTE(SUBSTITUTE($I1658,CHAR(61),""),CHAR(34),"")</f>
        <v>25-34</v>
      </c>
      <c r="R1658" s="0" t="str">
        <f aca="false">IF($D1658&lt;&gt;"","["&amp;$E1658&amp;"]"&amp;"|"&amp;$Q1658&amp;"|"&amp;$K1658&amp;"|"&amp;$G1658&amp;"|"&amp;IF($G1658="TX_CURR_SUBNAT.R","CY2022Q4",$M1658),"")</f>
        <v>[am530wpaGvr]|25-34|Female|PopART.Rt.T_1|CY2023Q3</v>
      </c>
    </row>
    <row r="1659" customFormat="false" ht="15" hidden="false" customHeight="false" outlineLevel="0" collapsed="false">
      <c r="D1659" s="0" t="s">
        <v>72</v>
      </c>
      <c r="E1659" s="0" t="s">
        <v>73</v>
      </c>
      <c r="F1659" s="0" t="s">
        <v>74</v>
      </c>
      <c r="G1659" s="0" t="s">
        <v>145</v>
      </c>
      <c r="H1659" s="0" t="s">
        <v>145</v>
      </c>
      <c r="I1659" s="0" t="s">
        <v>43</v>
      </c>
      <c r="J1659" s="0" t="s">
        <v>44</v>
      </c>
      <c r="K1659" s="0" t="s">
        <v>30</v>
      </c>
      <c r="L1659" s="0" t="s">
        <v>31</v>
      </c>
      <c r="M1659" s="0" t="s">
        <v>140</v>
      </c>
      <c r="N1659" s="0" t="n">
        <v>1338</v>
      </c>
      <c r="O1659" s="10" t="n">
        <v>0.758196043316275</v>
      </c>
      <c r="P1659" s="10" t="n">
        <v>0.289728706935421</v>
      </c>
      <c r="Q1659" s="0" t="str">
        <f aca="false">SUBSTITUTE(SUBSTITUTE($I1659,CHAR(61),""),CHAR(34),"")</f>
        <v>35-49</v>
      </c>
      <c r="R1659" s="0" t="str">
        <f aca="false">IF($D1659&lt;&gt;"","["&amp;$E1659&amp;"]"&amp;"|"&amp;$Q1659&amp;"|"&amp;$K1659&amp;"|"&amp;$G1659&amp;"|"&amp;IF($G1659="TX_CURR_SUBNAT.R","CY2022Q4",$M1659),"")</f>
        <v>[am530wpaGvr]|35-49|Female|PopART.Rt.T_1|CY2023Q3</v>
      </c>
    </row>
    <row r="1660" customFormat="false" ht="15" hidden="false" customHeight="false" outlineLevel="0" collapsed="false">
      <c r="D1660" s="0" t="s">
        <v>72</v>
      </c>
      <c r="E1660" s="0" t="s">
        <v>73</v>
      </c>
      <c r="F1660" s="0" t="s">
        <v>74</v>
      </c>
      <c r="G1660" s="0" t="s">
        <v>145</v>
      </c>
      <c r="H1660" s="0" t="s">
        <v>145</v>
      </c>
      <c r="I1660" s="0" t="s">
        <v>45</v>
      </c>
      <c r="J1660" s="0" t="s">
        <v>46</v>
      </c>
      <c r="K1660" s="0" t="s">
        <v>30</v>
      </c>
      <c r="L1660" s="0" t="s">
        <v>31</v>
      </c>
      <c r="M1660" s="0" t="s">
        <v>140</v>
      </c>
      <c r="N1660" s="0" t="n">
        <v>1518</v>
      </c>
      <c r="O1660" s="10" t="n">
        <v>0.533412467222661</v>
      </c>
      <c r="P1660" s="10" t="n">
        <v>0.289728706935421</v>
      </c>
      <c r="Q1660" s="0" t="str">
        <f aca="false">SUBSTITUTE(SUBSTITUTE($I1660,CHAR(61),""),CHAR(34),"")</f>
        <v>50+</v>
      </c>
      <c r="R1660" s="0" t="str">
        <f aca="false">IF($D1660&lt;&gt;"","["&amp;$E1660&amp;"]"&amp;"|"&amp;$Q1660&amp;"|"&amp;$K1660&amp;"|"&amp;$G1660&amp;"|"&amp;IF($G1660="TX_CURR_SUBNAT.R","CY2022Q4",$M1660),"")</f>
        <v>[am530wpaGvr]|50+|Female|PopART.Rt.T_1|CY2023Q3</v>
      </c>
    </row>
    <row r="1661" customFormat="false" ht="15" hidden="false" customHeight="false" outlineLevel="0" collapsed="false">
      <c r="D1661" s="0" t="s">
        <v>72</v>
      </c>
      <c r="E1661" s="0" t="s">
        <v>73</v>
      </c>
      <c r="F1661" s="0" t="s">
        <v>74</v>
      </c>
      <c r="G1661" s="0" t="s">
        <v>145</v>
      </c>
      <c r="H1661" s="0" t="s">
        <v>145</v>
      </c>
      <c r="I1661" s="0" t="s">
        <v>28</v>
      </c>
      <c r="J1661" s="0" t="s">
        <v>29</v>
      </c>
      <c r="K1661" s="0" t="s">
        <v>48</v>
      </c>
      <c r="L1661" s="0" t="s">
        <v>49</v>
      </c>
      <c r="M1661" s="0" t="s">
        <v>140</v>
      </c>
      <c r="N1661" s="0" t="n">
        <v>626</v>
      </c>
      <c r="O1661" s="10" t="n">
        <v>0.408301081741229</v>
      </c>
      <c r="P1661" s="10" t="n">
        <v>0.289728706935421</v>
      </c>
      <c r="Q1661" s="0" t="str">
        <f aca="false">SUBSTITUTE(SUBSTITUTE($I1661,CHAR(61),""),CHAR(34),"")</f>
        <v>&lt;01</v>
      </c>
      <c r="R1661" s="0" t="str">
        <f aca="false">IF($D1661&lt;&gt;"","["&amp;$E1661&amp;"]"&amp;"|"&amp;$Q1661&amp;"|"&amp;$K1661&amp;"|"&amp;$G1661&amp;"|"&amp;IF($G1661="TX_CURR_SUBNAT.R","CY2022Q4",$M1661),"")</f>
        <v>[am530wpaGvr]|&lt;01|Male|PopART.Rt.T_1|CY2023Q3</v>
      </c>
    </row>
    <row r="1662" customFormat="false" ht="15" hidden="false" customHeight="false" outlineLevel="0" collapsed="false">
      <c r="D1662" s="0" t="s">
        <v>72</v>
      </c>
      <c r="E1662" s="0" t="s">
        <v>73</v>
      </c>
      <c r="F1662" s="0" t="s">
        <v>74</v>
      </c>
      <c r="G1662" s="0" t="s">
        <v>145</v>
      </c>
      <c r="H1662" s="0" t="s">
        <v>145</v>
      </c>
      <c r="I1662" s="0" t="s">
        <v>33</v>
      </c>
      <c r="J1662" s="0" t="s">
        <v>34</v>
      </c>
      <c r="K1662" s="0" t="s">
        <v>48</v>
      </c>
      <c r="L1662" s="0" t="s">
        <v>49</v>
      </c>
      <c r="M1662" s="0" t="s">
        <v>140</v>
      </c>
      <c r="N1662" s="0" t="n">
        <v>1346</v>
      </c>
      <c r="O1662" s="10" t="n">
        <v>0.0332220576237887</v>
      </c>
      <c r="P1662" s="10" t="n">
        <v>0.289728706935421</v>
      </c>
      <c r="Q1662" s="0" t="str">
        <f aca="false">SUBSTITUTE(SUBSTITUTE($I1662,CHAR(61),""),CHAR(34),"")</f>
        <v>01-09</v>
      </c>
      <c r="R1662" s="0" t="str">
        <f aca="false">IF($D1662&lt;&gt;"","["&amp;$E1662&amp;"]"&amp;"|"&amp;$Q1662&amp;"|"&amp;$K1662&amp;"|"&amp;$G1662&amp;"|"&amp;IF($G1662="TX_CURR_SUBNAT.R","CY2022Q4",$M1662),"")</f>
        <v>[am530wpaGvr]|01-09|Male|PopART.Rt.T_1|CY2023Q3</v>
      </c>
    </row>
    <row r="1663" customFormat="false" ht="15" hidden="false" customHeight="false" outlineLevel="0" collapsed="false">
      <c r="D1663" s="0" t="s">
        <v>72</v>
      </c>
      <c r="E1663" s="0" t="s">
        <v>73</v>
      </c>
      <c r="F1663" s="0" t="s">
        <v>74</v>
      </c>
      <c r="G1663" s="0" t="s">
        <v>145</v>
      </c>
      <c r="H1663" s="0" t="s">
        <v>145</v>
      </c>
      <c r="I1663" s="0" t="s">
        <v>36</v>
      </c>
      <c r="J1663" s="0" t="s">
        <v>37</v>
      </c>
      <c r="K1663" s="0" t="s">
        <v>48</v>
      </c>
      <c r="L1663" s="0" t="s">
        <v>49</v>
      </c>
      <c r="M1663" s="0" t="s">
        <v>140</v>
      </c>
      <c r="N1663" s="0" t="n">
        <v>1385</v>
      </c>
      <c r="O1663" s="10" t="n">
        <v>0.500104713486508</v>
      </c>
      <c r="P1663" s="10" t="n">
        <v>0.289728706935421</v>
      </c>
      <c r="Q1663" s="0" t="str">
        <f aca="false">SUBSTITUTE(SUBSTITUTE($I1663,CHAR(61),""),CHAR(34),"")</f>
        <v>10-14</v>
      </c>
      <c r="R1663" s="0" t="str">
        <f aca="false">IF($D1663&lt;&gt;"","["&amp;$E1663&amp;"]"&amp;"|"&amp;$Q1663&amp;"|"&amp;$K1663&amp;"|"&amp;$G1663&amp;"|"&amp;IF($G1663="TX_CURR_SUBNAT.R","CY2022Q4",$M1663),"")</f>
        <v>[am530wpaGvr]|10-14|Male|PopART.Rt.T_1|CY2023Q3</v>
      </c>
    </row>
    <row r="1664" customFormat="false" ht="15" hidden="false" customHeight="false" outlineLevel="0" collapsed="false">
      <c r="D1664" s="0" t="s">
        <v>72</v>
      </c>
      <c r="E1664" s="0" t="s">
        <v>73</v>
      </c>
      <c r="F1664" s="0" t="s">
        <v>74</v>
      </c>
      <c r="G1664" s="0" t="s">
        <v>145</v>
      </c>
      <c r="H1664" s="0" t="s">
        <v>145</v>
      </c>
      <c r="I1664" s="0" t="s">
        <v>38</v>
      </c>
      <c r="J1664" s="0" t="s">
        <v>39</v>
      </c>
      <c r="K1664" s="0" t="s">
        <v>48</v>
      </c>
      <c r="L1664" s="0" t="s">
        <v>49</v>
      </c>
      <c r="M1664" s="0" t="s">
        <v>140</v>
      </c>
      <c r="N1664" s="0" t="n">
        <v>1256</v>
      </c>
      <c r="O1664" s="10" t="n">
        <v>0.0258003671187907</v>
      </c>
      <c r="P1664" s="10" t="n">
        <v>0.289728706935421</v>
      </c>
      <c r="Q1664" s="0" t="str">
        <f aca="false">SUBSTITUTE(SUBSTITUTE($I1664,CHAR(61),""),CHAR(34),"")</f>
        <v>15-24</v>
      </c>
      <c r="R1664" s="0" t="str">
        <f aca="false">IF($D1664&lt;&gt;"","["&amp;$E1664&amp;"]"&amp;"|"&amp;$Q1664&amp;"|"&amp;$K1664&amp;"|"&amp;$G1664&amp;"|"&amp;IF($G1664="TX_CURR_SUBNAT.R","CY2022Q4",$M1664),"")</f>
        <v>[am530wpaGvr]|15-24|Male|PopART.Rt.T_1|CY2023Q3</v>
      </c>
    </row>
    <row r="1665" customFormat="false" ht="15" hidden="false" customHeight="false" outlineLevel="0" collapsed="false">
      <c r="D1665" s="0" t="s">
        <v>72</v>
      </c>
      <c r="E1665" s="0" t="s">
        <v>73</v>
      </c>
      <c r="F1665" s="0" t="s">
        <v>74</v>
      </c>
      <c r="G1665" s="0" t="s">
        <v>145</v>
      </c>
      <c r="H1665" s="0" t="s">
        <v>145</v>
      </c>
      <c r="I1665" s="0" t="s">
        <v>41</v>
      </c>
      <c r="J1665" s="0" t="s">
        <v>42</v>
      </c>
      <c r="K1665" s="0" t="s">
        <v>48</v>
      </c>
      <c r="L1665" s="0" t="s">
        <v>49</v>
      </c>
      <c r="M1665" s="0" t="s">
        <v>140</v>
      </c>
      <c r="N1665" s="0" t="n">
        <v>506</v>
      </c>
      <c r="O1665" s="10" t="n">
        <v>0.0832721116021276</v>
      </c>
      <c r="P1665" s="10" t="n">
        <v>0.289728706935421</v>
      </c>
      <c r="Q1665" s="0" t="str">
        <f aca="false">SUBSTITUTE(SUBSTITUTE($I1665,CHAR(61),""),CHAR(34),"")</f>
        <v>25-34</v>
      </c>
      <c r="R1665" s="0" t="str">
        <f aca="false">IF($D1665&lt;&gt;"","["&amp;$E1665&amp;"]"&amp;"|"&amp;$Q1665&amp;"|"&amp;$K1665&amp;"|"&amp;$G1665&amp;"|"&amp;IF($G1665="TX_CURR_SUBNAT.R","CY2022Q4",$M1665),"")</f>
        <v>[am530wpaGvr]|25-34|Male|PopART.Rt.T_1|CY2023Q3</v>
      </c>
    </row>
    <row r="1666" customFormat="false" ht="15" hidden="false" customHeight="false" outlineLevel="0" collapsed="false">
      <c r="D1666" s="0" t="s">
        <v>72</v>
      </c>
      <c r="E1666" s="0" t="s">
        <v>73</v>
      </c>
      <c r="F1666" s="0" t="s">
        <v>74</v>
      </c>
      <c r="G1666" s="0" t="s">
        <v>145</v>
      </c>
      <c r="H1666" s="0" t="s">
        <v>145</v>
      </c>
      <c r="I1666" s="0" t="s">
        <v>43</v>
      </c>
      <c r="J1666" s="0" t="s">
        <v>44</v>
      </c>
      <c r="K1666" s="0" t="s">
        <v>48</v>
      </c>
      <c r="L1666" s="0" t="s">
        <v>49</v>
      </c>
      <c r="M1666" s="0" t="s">
        <v>140</v>
      </c>
      <c r="N1666" s="0" t="n">
        <v>697</v>
      </c>
      <c r="O1666" s="10" t="n">
        <v>0.399944853503257</v>
      </c>
      <c r="P1666" s="10" t="n">
        <v>0.289728706935421</v>
      </c>
      <c r="Q1666" s="0" t="str">
        <f aca="false">SUBSTITUTE(SUBSTITUTE($I1666,CHAR(61),""),CHAR(34),"")</f>
        <v>35-49</v>
      </c>
      <c r="R1666" s="0" t="str">
        <f aca="false">IF($D1666&lt;&gt;"","["&amp;$E1666&amp;"]"&amp;"|"&amp;$Q1666&amp;"|"&amp;$K1666&amp;"|"&amp;$G1666&amp;"|"&amp;IF($G1666="TX_CURR_SUBNAT.R","CY2022Q4",$M1666),"")</f>
        <v>[am530wpaGvr]|35-49|Male|PopART.Rt.T_1|CY2023Q3</v>
      </c>
    </row>
    <row r="1667" customFormat="false" ht="15" hidden="false" customHeight="false" outlineLevel="0" collapsed="false">
      <c r="D1667" s="0" t="s">
        <v>72</v>
      </c>
      <c r="E1667" s="0" t="s">
        <v>73</v>
      </c>
      <c r="F1667" s="0" t="s">
        <v>74</v>
      </c>
      <c r="G1667" s="0" t="s">
        <v>145</v>
      </c>
      <c r="H1667" s="0" t="s">
        <v>145</v>
      </c>
      <c r="I1667" s="0" t="s">
        <v>45</v>
      </c>
      <c r="J1667" s="0" t="s">
        <v>46</v>
      </c>
      <c r="K1667" s="0" t="s">
        <v>48</v>
      </c>
      <c r="L1667" s="0" t="s">
        <v>49</v>
      </c>
      <c r="M1667" s="0" t="s">
        <v>140</v>
      </c>
      <c r="N1667" s="0" t="n">
        <v>1977</v>
      </c>
      <c r="O1667" s="10" t="n">
        <v>0.956387023674324</v>
      </c>
      <c r="P1667" s="10" t="n">
        <v>0.289728706935421</v>
      </c>
      <c r="Q1667" s="0" t="str">
        <f aca="false">SUBSTITUTE(SUBSTITUTE($I1667,CHAR(61),""),CHAR(34),"")</f>
        <v>50+</v>
      </c>
      <c r="R1667" s="0" t="str">
        <f aca="false">IF($D1667&lt;&gt;"","["&amp;$E1667&amp;"]"&amp;"|"&amp;$Q1667&amp;"|"&amp;$K1667&amp;"|"&amp;$G1667&amp;"|"&amp;IF($G1667="TX_CURR_SUBNAT.R","CY2022Q4",$M1667),"")</f>
        <v>[am530wpaGvr]|50+|Male|PopART.Rt.T_1|CY2023Q3</v>
      </c>
    </row>
    <row r="1668" customFormat="false" ht="15" hidden="false" customHeight="false" outlineLevel="0" collapsed="false">
      <c r="D1668" s="0" t="s">
        <v>75</v>
      </c>
      <c r="E1668" s="0" t="s">
        <v>76</v>
      </c>
      <c r="F1668" s="0" t="s">
        <v>77</v>
      </c>
      <c r="G1668" s="0" t="s">
        <v>145</v>
      </c>
      <c r="H1668" s="0" t="s">
        <v>145</v>
      </c>
      <c r="I1668" s="0" t="s">
        <v>28</v>
      </c>
      <c r="J1668" s="0" t="s">
        <v>29</v>
      </c>
      <c r="K1668" s="0" t="s">
        <v>30</v>
      </c>
      <c r="L1668" s="0" t="s">
        <v>31</v>
      </c>
      <c r="M1668" s="0" t="s">
        <v>140</v>
      </c>
      <c r="N1668" s="0" t="n">
        <v>1031</v>
      </c>
      <c r="O1668" s="10" t="n">
        <v>0.104103398509324</v>
      </c>
      <c r="P1668" s="10" t="n">
        <v>0.303055507596582</v>
      </c>
      <c r="Q1668" s="0" t="str">
        <f aca="false">SUBSTITUTE(SUBSTITUTE($I1668,CHAR(61),""),CHAR(34),"")</f>
        <v>&lt;01</v>
      </c>
      <c r="R1668" s="0" t="str">
        <f aca="false">IF($D1668&lt;&gt;"","["&amp;$E1668&amp;"]"&amp;"|"&amp;$Q1668&amp;"|"&amp;$K1668&amp;"|"&amp;$G1668&amp;"|"&amp;IF($G1668="TX_CURR_SUBNAT.R","CY2022Q4",$M1668),"")</f>
        <v>[lLDyBx5XyUi]|&lt;01|Female|PopART.Rt.T_1|CY2023Q3</v>
      </c>
    </row>
    <row r="1669" customFormat="false" ht="15" hidden="false" customHeight="false" outlineLevel="0" collapsed="false">
      <c r="D1669" s="0" t="s">
        <v>75</v>
      </c>
      <c r="E1669" s="0" t="s">
        <v>76</v>
      </c>
      <c r="F1669" s="0" t="s">
        <v>77</v>
      </c>
      <c r="G1669" s="0" t="s">
        <v>145</v>
      </c>
      <c r="H1669" s="0" t="s">
        <v>145</v>
      </c>
      <c r="I1669" s="0" t="s">
        <v>33</v>
      </c>
      <c r="J1669" s="0" t="s">
        <v>34</v>
      </c>
      <c r="K1669" s="0" t="s">
        <v>30</v>
      </c>
      <c r="L1669" s="0" t="s">
        <v>31</v>
      </c>
      <c r="M1669" s="0" t="s">
        <v>140</v>
      </c>
      <c r="N1669" s="0" t="n">
        <v>1235</v>
      </c>
      <c r="O1669" s="10" t="n">
        <v>0.605264622252434</v>
      </c>
      <c r="P1669" s="10" t="n">
        <v>0.303055507596582</v>
      </c>
      <c r="Q1669" s="0" t="str">
        <f aca="false">SUBSTITUTE(SUBSTITUTE($I1669,CHAR(61),""),CHAR(34),"")</f>
        <v>01-09</v>
      </c>
      <c r="R1669" s="0" t="str">
        <f aca="false">IF($D1669&lt;&gt;"","["&amp;$E1669&amp;"]"&amp;"|"&amp;$Q1669&amp;"|"&amp;$K1669&amp;"|"&amp;$G1669&amp;"|"&amp;IF($G1669="TX_CURR_SUBNAT.R","CY2022Q4",$M1669),"")</f>
        <v>[lLDyBx5XyUi]|01-09|Female|PopART.Rt.T_1|CY2023Q3</v>
      </c>
    </row>
    <row r="1670" customFormat="false" ht="15" hidden="false" customHeight="false" outlineLevel="0" collapsed="false">
      <c r="D1670" s="0" t="s">
        <v>75</v>
      </c>
      <c r="E1670" s="0" t="s">
        <v>76</v>
      </c>
      <c r="F1670" s="0" t="s">
        <v>77</v>
      </c>
      <c r="G1670" s="0" t="s">
        <v>145</v>
      </c>
      <c r="H1670" s="0" t="s">
        <v>145</v>
      </c>
      <c r="I1670" s="0" t="s">
        <v>36</v>
      </c>
      <c r="J1670" s="0" t="s">
        <v>37</v>
      </c>
      <c r="K1670" s="0" t="s">
        <v>30</v>
      </c>
      <c r="L1670" s="0" t="s">
        <v>31</v>
      </c>
      <c r="M1670" s="0" t="s">
        <v>140</v>
      </c>
      <c r="N1670" s="0" t="n">
        <v>1988</v>
      </c>
      <c r="O1670" s="10" t="n">
        <v>0.21968065504916</v>
      </c>
      <c r="P1670" s="10" t="n">
        <v>0.303055507596582</v>
      </c>
      <c r="Q1670" s="0" t="str">
        <f aca="false">SUBSTITUTE(SUBSTITUTE($I1670,CHAR(61),""),CHAR(34),"")</f>
        <v>10-14</v>
      </c>
      <c r="R1670" s="0" t="str">
        <f aca="false">IF($D1670&lt;&gt;"","["&amp;$E1670&amp;"]"&amp;"|"&amp;$Q1670&amp;"|"&amp;$K1670&amp;"|"&amp;$G1670&amp;"|"&amp;IF($G1670="TX_CURR_SUBNAT.R","CY2022Q4",$M1670),"")</f>
        <v>[lLDyBx5XyUi]|10-14|Female|PopART.Rt.T_1|CY2023Q3</v>
      </c>
    </row>
    <row r="1671" customFormat="false" ht="15" hidden="false" customHeight="false" outlineLevel="0" collapsed="false">
      <c r="D1671" s="0" t="s">
        <v>75</v>
      </c>
      <c r="E1671" s="0" t="s">
        <v>76</v>
      </c>
      <c r="F1671" s="0" t="s">
        <v>77</v>
      </c>
      <c r="G1671" s="0" t="s">
        <v>145</v>
      </c>
      <c r="H1671" s="0" t="s">
        <v>145</v>
      </c>
      <c r="I1671" s="0" t="s">
        <v>38</v>
      </c>
      <c r="J1671" s="0" t="s">
        <v>39</v>
      </c>
      <c r="K1671" s="0" t="s">
        <v>30</v>
      </c>
      <c r="L1671" s="0" t="s">
        <v>31</v>
      </c>
      <c r="M1671" s="0" t="s">
        <v>140</v>
      </c>
      <c r="N1671" s="0" t="n">
        <v>1449</v>
      </c>
      <c r="O1671" s="10" t="n">
        <v>0.138033193536103</v>
      </c>
      <c r="P1671" s="10" t="n">
        <v>0.303055507596582</v>
      </c>
      <c r="Q1671" s="0" t="str">
        <f aca="false">SUBSTITUTE(SUBSTITUTE($I1671,CHAR(61),""),CHAR(34),"")</f>
        <v>15-24</v>
      </c>
      <c r="R1671" s="0" t="str">
        <f aca="false">IF($D1671&lt;&gt;"","["&amp;$E1671&amp;"]"&amp;"|"&amp;$Q1671&amp;"|"&amp;$K1671&amp;"|"&amp;$G1671&amp;"|"&amp;IF($G1671="TX_CURR_SUBNAT.R","CY2022Q4",$M1671),"")</f>
        <v>[lLDyBx5XyUi]|15-24|Female|PopART.Rt.T_1|CY2023Q3</v>
      </c>
    </row>
    <row r="1672" customFormat="false" ht="15" hidden="false" customHeight="false" outlineLevel="0" collapsed="false">
      <c r="D1672" s="0" t="s">
        <v>75</v>
      </c>
      <c r="E1672" s="0" t="s">
        <v>76</v>
      </c>
      <c r="F1672" s="0" t="s">
        <v>77</v>
      </c>
      <c r="G1672" s="0" t="s">
        <v>145</v>
      </c>
      <c r="H1672" s="0" t="s">
        <v>145</v>
      </c>
      <c r="I1672" s="0" t="s">
        <v>41</v>
      </c>
      <c r="J1672" s="0" t="s">
        <v>42</v>
      </c>
      <c r="K1672" s="0" t="s">
        <v>30</v>
      </c>
      <c r="L1672" s="0" t="s">
        <v>31</v>
      </c>
      <c r="M1672" s="0" t="s">
        <v>140</v>
      </c>
      <c r="N1672" s="0" t="n">
        <v>1569</v>
      </c>
      <c r="O1672" s="10" t="n">
        <v>0.353231250541285</v>
      </c>
      <c r="P1672" s="10" t="n">
        <v>0.303055507596582</v>
      </c>
      <c r="Q1672" s="0" t="str">
        <f aca="false">SUBSTITUTE(SUBSTITUTE($I1672,CHAR(61),""),CHAR(34),"")</f>
        <v>25-34</v>
      </c>
      <c r="R1672" s="0" t="str">
        <f aca="false">IF($D1672&lt;&gt;"","["&amp;$E1672&amp;"]"&amp;"|"&amp;$Q1672&amp;"|"&amp;$K1672&amp;"|"&amp;$G1672&amp;"|"&amp;IF($G1672="TX_CURR_SUBNAT.R","CY2022Q4",$M1672),"")</f>
        <v>[lLDyBx5XyUi]|25-34|Female|PopART.Rt.T_1|CY2023Q3</v>
      </c>
    </row>
    <row r="1673" customFormat="false" ht="15" hidden="false" customHeight="false" outlineLevel="0" collapsed="false">
      <c r="D1673" s="0" t="s">
        <v>75</v>
      </c>
      <c r="E1673" s="0" t="s">
        <v>76</v>
      </c>
      <c r="F1673" s="0" t="s">
        <v>77</v>
      </c>
      <c r="G1673" s="0" t="s">
        <v>145</v>
      </c>
      <c r="H1673" s="0" t="s">
        <v>145</v>
      </c>
      <c r="I1673" s="0" t="s">
        <v>43</v>
      </c>
      <c r="J1673" s="0" t="s">
        <v>44</v>
      </c>
      <c r="K1673" s="0" t="s">
        <v>30</v>
      </c>
      <c r="L1673" s="0" t="s">
        <v>31</v>
      </c>
      <c r="M1673" s="0" t="s">
        <v>140</v>
      </c>
      <c r="N1673" s="0" t="n">
        <v>982</v>
      </c>
      <c r="O1673" s="10" t="n">
        <v>0.779380263527855</v>
      </c>
      <c r="P1673" s="10" t="n">
        <v>0.303055507596582</v>
      </c>
      <c r="Q1673" s="0" t="str">
        <f aca="false">SUBSTITUTE(SUBSTITUTE($I1673,CHAR(61),""),CHAR(34),"")</f>
        <v>35-49</v>
      </c>
      <c r="R1673" s="0" t="str">
        <f aca="false">IF($D1673&lt;&gt;"","["&amp;$E1673&amp;"]"&amp;"|"&amp;$Q1673&amp;"|"&amp;$K1673&amp;"|"&amp;$G1673&amp;"|"&amp;IF($G1673="TX_CURR_SUBNAT.R","CY2022Q4",$M1673),"")</f>
        <v>[lLDyBx5XyUi]|35-49|Female|PopART.Rt.T_1|CY2023Q3</v>
      </c>
    </row>
    <row r="1674" customFormat="false" ht="15" hidden="false" customHeight="false" outlineLevel="0" collapsed="false">
      <c r="D1674" s="0" t="s">
        <v>75</v>
      </c>
      <c r="E1674" s="0" t="s">
        <v>76</v>
      </c>
      <c r="F1674" s="0" t="s">
        <v>77</v>
      </c>
      <c r="G1674" s="0" t="s">
        <v>145</v>
      </c>
      <c r="H1674" s="0" t="s">
        <v>145</v>
      </c>
      <c r="I1674" s="0" t="s">
        <v>45</v>
      </c>
      <c r="J1674" s="0" t="s">
        <v>46</v>
      </c>
      <c r="K1674" s="0" t="s">
        <v>30</v>
      </c>
      <c r="L1674" s="0" t="s">
        <v>31</v>
      </c>
      <c r="M1674" s="0" t="s">
        <v>140</v>
      </c>
      <c r="N1674" s="0" t="n">
        <v>596</v>
      </c>
      <c r="O1674" s="10" t="n">
        <v>0.121691958978772</v>
      </c>
      <c r="P1674" s="10" t="n">
        <v>0.303055507596582</v>
      </c>
      <c r="Q1674" s="0" t="str">
        <f aca="false">SUBSTITUTE(SUBSTITUTE($I1674,CHAR(61),""),CHAR(34),"")</f>
        <v>50+</v>
      </c>
      <c r="R1674" s="0" t="str">
        <f aca="false">IF($D1674&lt;&gt;"","["&amp;$E1674&amp;"]"&amp;"|"&amp;$Q1674&amp;"|"&amp;$K1674&amp;"|"&amp;$G1674&amp;"|"&amp;IF($G1674="TX_CURR_SUBNAT.R","CY2022Q4",$M1674),"")</f>
        <v>[lLDyBx5XyUi]|50+|Female|PopART.Rt.T_1|CY2023Q3</v>
      </c>
    </row>
    <row r="1675" customFormat="false" ht="15" hidden="false" customHeight="false" outlineLevel="0" collapsed="false">
      <c r="D1675" s="0" t="s">
        <v>75</v>
      </c>
      <c r="E1675" s="0" t="s">
        <v>76</v>
      </c>
      <c r="F1675" s="0" t="s">
        <v>77</v>
      </c>
      <c r="G1675" s="0" t="s">
        <v>145</v>
      </c>
      <c r="H1675" s="0" t="s">
        <v>145</v>
      </c>
      <c r="I1675" s="0" t="s">
        <v>28</v>
      </c>
      <c r="J1675" s="0" t="s">
        <v>29</v>
      </c>
      <c r="K1675" s="0" t="s">
        <v>48</v>
      </c>
      <c r="L1675" s="0" t="s">
        <v>49</v>
      </c>
      <c r="M1675" s="0" t="s">
        <v>140</v>
      </c>
      <c r="N1675" s="0" t="n">
        <v>1316</v>
      </c>
      <c r="O1675" s="10" t="n">
        <v>0.194984494475648</v>
      </c>
      <c r="P1675" s="10" t="n">
        <v>0.303055507596582</v>
      </c>
      <c r="Q1675" s="0" t="str">
        <f aca="false">SUBSTITUTE(SUBSTITUTE($I1675,CHAR(61),""),CHAR(34),"")</f>
        <v>&lt;01</v>
      </c>
      <c r="R1675" s="0" t="str">
        <f aca="false">IF($D1675&lt;&gt;"","["&amp;$E1675&amp;"]"&amp;"|"&amp;$Q1675&amp;"|"&amp;$K1675&amp;"|"&amp;$G1675&amp;"|"&amp;IF($G1675="TX_CURR_SUBNAT.R","CY2022Q4",$M1675),"")</f>
        <v>[lLDyBx5XyUi]|&lt;01|Male|PopART.Rt.T_1|CY2023Q3</v>
      </c>
    </row>
    <row r="1676" customFormat="false" ht="15" hidden="false" customHeight="false" outlineLevel="0" collapsed="false">
      <c r="D1676" s="0" t="s">
        <v>75</v>
      </c>
      <c r="E1676" s="0" t="s">
        <v>76</v>
      </c>
      <c r="F1676" s="0" t="s">
        <v>77</v>
      </c>
      <c r="G1676" s="0" t="s">
        <v>145</v>
      </c>
      <c r="H1676" s="0" t="s">
        <v>145</v>
      </c>
      <c r="I1676" s="0" t="s">
        <v>33</v>
      </c>
      <c r="J1676" s="0" t="s">
        <v>34</v>
      </c>
      <c r="K1676" s="0" t="s">
        <v>48</v>
      </c>
      <c r="L1676" s="0" t="s">
        <v>49</v>
      </c>
      <c r="M1676" s="0" t="s">
        <v>140</v>
      </c>
      <c r="N1676" s="0" t="n">
        <v>685</v>
      </c>
      <c r="O1676" s="10" t="n">
        <v>0.0440979255363345</v>
      </c>
      <c r="P1676" s="10" t="n">
        <v>0.303055507596582</v>
      </c>
      <c r="Q1676" s="0" t="str">
        <f aca="false">SUBSTITUTE(SUBSTITUTE($I1676,CHAR(61),""),CHAR(34),"")</f>
        <v>01-09</v>
      </c>
      <c r="R1676" s="0" t="str">
        <f aca="false">IF($D1676&lt;&gt;"","["&amp;$E1676&amp;"]"&amp;"|"&amp;$Q1676&amp;"|"&amp;$K1676&amp;"|"&amp;$G1676&amp;"|"&amp;IF($G1676="TX_CURR_SUBNAT.R","CY2022Q4",$M1676),"")</f>
        <v>[lLDyBx5XyUi]|01-09|Male|PopART.Rt.T_1|CY2023Q3</v>
      </c>
    </row>
    <row r="1677" customFormat="false" ht="15" hidden="false" customHeight="false" outlineLevel="0" collapsed="false">
      <c r="D1677" s="0" t="s">
        <v>75</v>
      </c>
      <c r="E1677" s="0" t="s">
        <v>76</v>
      </c>
      <c r="F1677" s="0" t="s">
        <v>77</v>
      </c>
      <c r="G1677" s="0" t="s">
        <v>145</v>
      </c>
      <c r="H1677" s="0" t="s">
        <v>145</v>
      </c>
      <c r="I1677" s="0" t="s">
        <v>36</v>
      </c>
      <c r="J1677" s="0" t="s">
        <v>37</v>
      </c>
      <c r="K1677" s="0" t="s">
        <v>48</v>
      </c>
      <c r="L1677" s="0" t="s">
        <v>49</v>
      </c>
      <c r="M1677" s="0" t="s">
        <v>140</v>
      </c>
      <c r="N1677" s="0" t="n">
        <v>1681</v>
      </c>
      <c r="O1677" s="10" t="n">
        <v>0.69283956871368</v>
      </c>
      <c r="P1677" s="10" t="n">
        <v>0.303055507596582</v>
      </c>
      <c r="Q1677" s="0" t="str">
        <f aca="false">SUBSTITUTE(SUBSTITUTE($I1677,CHAR(61),""),CHAR(34),"")</f>
        <v>10-14</v>
      </c>
      <c r="R1677" s="0" t="str">
        <f aca="false">IF($D1677&lt;&gt;"","["&amp;$E1677&amp;"]"&amp;"|"&amp;$Q1677&amp;"|"&amp;$K1677&amp;"|"&amp;$G1677&amp;"|"&amp;IF($G1677="TX_CURR_SUBNAT.R","CY2022Q4",$M1677),"")</f>
        <v>[lLDyBx5XyUi]|10-14|Male|PopART.Rt.T_1|CY2023Q3</v>
      </c>
    </row>
    <row r="1678" customFormat="false" ht="15" hidden="false" customHeight="false" outlineLevel="0" collapsed="false">
      <c r="D1678" s="0" t="s">
        <v>75</v>
      </c>
      <c r="E1678" s="0" t="s">
        <v>76</v>
      </c>
      <c r="F1678" s="0" t="s">
        <v>77</v>
      </c>
      <c r="G1678" s="0" t="s">
        <v>145</v>
      </c>
      <c r="H1678" s="0" t="s">
        <v>145</v>
      </c>
      <c r="I1678" s="0" t="s">
        <v>38</v>
      </c>
      <c r="J1678" s="0" t="s">
        <v>39</v>
      </c>
      <c r="K1678" s="0" t="s">
        <v>48</v>
      </c>
      <c r="L1678" s="0" t="s">
        <v>49</v>
      </c>
      <c r="M1678" s="0" t="s">
        <v>140</v>
      </c>
      <c r="N1678" s="0" t="n">
        <v>1416</v>
      </c>
      <c r="O1678" s="10" t="n">
        <v>0.597377168247476</v>
      </c>
      <c r="P1678" s="10" t="n">
        <v>0.303055507596582</v>
      </c>
      <c r="Q1678" s="0" t="str">
        <f aca="false">SUBSTITUTE(SUBSTITUTE($I1678,CHAR(61),""),CHAR(34),"")</f>
        <v>15-24</v>
      </c>
      <c r="R1678" s="0" t="str">
        <f aca="false">IF($D1678&lt;&gt;"","["&amp;$E1678&amp;"]"&amp;"|"&amp;$Q1678&amp;"|"&amp;$K1678&amp;"|"&amp;$G1678&amp;"|"&amp;IF($G1678="TX_CURR_SUBNAT.R","CY2022Q4",$M1678),"")</f>
        <v>[lLDyBx5XyUi]|15-24|Male|PopART.Rt.T_1|CY2023Q3</v>
      </c>
    </row>
    <row r="1679" customFormat="false" ht="15" hidden="false" customHeight="false" outlineLevel="0" collapsed="false">
      <c r="D1679" s="0" t="s">
        <v>75</v>
      </c>
      <c r="E1679" s="0" t="s">
        <v>76</v>
      </c>
      <c r="F1679" s="0" t="s">
        <v>77</v>
      </c>
      <c r="G1679" s="0" t="s">
        <v>145</v>
      </c>
      <c r="H1679" s="0" t="s">
        <v>145</v>
      </c>
      <c r="I1679" s="0" t="s">
        <v>41</v>
      </c>
      <c r="J1679" s="0" t="s">
        <v>42</v>
      </c>
      <c r="K1679" s="0" t="s">
        <v>48</v>
      </c>
      <c r="L1679" s="0" t="s">
        <v>49</v>
      </c>
      <c r="M1679" s="0" t="s">
        <v>140</v>
      </c>
      <c r="N1679" s="0" t="n">
        <v>926</v>
      </c>
      <c r="O1679" s="10" t="n">
        <v>5.29689714312553E-007</v>
      </c>
      <c r="P1679" s="10" t="n">
        <v>0.303055507596582</v>
      </c>
      <c r="Q1679" s="0" t="str">
        <f aca="false">SUBSTITUTE(SUBSTITUTE($I1679,CHAR(61),""),CHAR(34),"")</f>
        <v>25-34</v>
      </c>
      <c r="R1679" s="0" t="str">
        <f aca="false">IF($D1679&lt;&gt;"","["&amp;$E1679&amp;"]"&amp;"|"&amp;$Q1679&amp;"|"&amp;$K1679&amp;"|"&amp;$G1679&amp;"|"&amp;IF($G1679="TX_CURR_SUBNAT.R","CY2022Q4",$M1679),"")</f>
        <v>[lLDyBx5XyUi]|25-34|Male|PopART.Rt.T_1|CY2023Q3</v>
      </c>
    </row>
    <row r="1680" customFormat="false" ht="15" hidden="false" customHeight="false" outlineLevel="0" collapsed="false">
      <c r="D1680" s="0" t="s">
        <v>75</v>
      </c>
      <c r="E1680" s="0" t="s">
        <v>76</v>
      </c>
      <c r="F1680" s="0" t="s">
        <v>77</v>
      </c>
      <c r="G1680" s="0" t="s">
        <v>145</v>
      </c>
      <c r="H1680" s="0" t="s">
        <v>145</v>
      </c>
      <c r="I1680" s="0" t="s">
        <v>43</v>
      </c>
      <c r="J1680" s="0" t="s">
        <v>44</v>
      </c>
      <c r="K1680" s="0" t="s">
        <v>48</v>
      </c>
      <c r="L1680" s="0" t="s">
        <v>49</v>
      </c>
      <c r="M1680" s="0" t="s">
        <v>140</v>
      </c>
      <c r="N1680" s="0" t="n">
        <v>1820</v>
      </c>
      <c r="O1680" s="10" t="n">
        <v>0.89390967041254</v>
      </c>
      <c r="P1680" s="10" t="n">
        <v>0.303055507596582</v>
      </c>
      <c r="Q1680" s="0" t="str">
        <f aca="false">SUBSTITUTE(SUBSTITUTE($I1680,CHAR(61),""),CHAR(34),"")</f>
        <v>35-49</v>
      </c>
      <c r="R1680" s="0" t="str">
        <f aca="false">IF($D1680&lt;&gt;"","["&amp;$E1680&amp;"]"&amp;"|"&amp;$Q1680&amp;"|"&amp;$K1680&amp;"|"&amp;$G1680&amp;"|"&amp;IF($G1680="TX_CURR_SUBNAT.R","CY2022Q4",$M1680),"")</f>
        <v>[lLDyBx5XyUi]|35-49|Male|PopART.Rt.T_1|CY2023Q3</v>
      </c>
    </row>
    <row r="1681" customFormat="false" ht="15" hidden="false" customHeight="false" outlineLevel="0" collapsed="false">
      <c r="D1681" s="0" t="s">
        <v>75</v>
      </c>
      <c r="E1681" s="0" t="s">
        <v>76</v>
      </c>
      <c r="F1681" s="0" t="s">
        <v>77</v>
      </c>
      <c r="G1681" s="0" t="s">
        <v>145</v>
      </c>
      <c r="H1681" s="0" t="s">
        <v>145</v>
      </c>
      <c r="I1681" s="0" t="s">
        <v>45</v>
      </c>
      <c r="J1681" s="0" t="s">
        <v>46</v>
      </c>
      <c r="K1681" s="0" t="s">
        <v>48</v>
      </c>
      <c r="L1681" s="0" t="s">
        <v>49</v>
      </c>
      <c r="M1681" s="0" t="s">
        <v>140</v>
      </c>
      <c r="N1681" s="0" t="n">
        <v>1818</v>
      </c>
      <c r="O1681" s="10" t="n">
        <v>0.978564008371904</v>
      </c>
      <c r="P1681" s="10" t="n">
        <v>0.303055507596582</v>
      </c>
      <c r="Q1681" s="0" t="str">
        <f aca="false">SUBSTITUTE(SUBSTITUTE($I1681,CHAR(61),""),CHAR(34),"")</f>
        <v>50+</v>
      </c>
      <c r="R1681" s="0" t="str">
        <f aca="false">IF($D1681&lt;&gt;"","["&amp;$E1681&amp;"]"&amp;"|"&amp;$Q1681&amp;"|"&amp;$K1681&amp;"|"&amp;$G1681&amp;"|"&amp;IF($G1681="TX_CURR_SUBNAT.R","CY2022Q4",$M1681),"")</f>
        <v>[lLDyBx5XyUi]|50+|Male|PopART.Rt.T_1|CY2023Q3</v>
      </c>
    </row>
    <row r="1682" customFormat="false" ht="15" hidden="false" customHeight="false" outlineLevel="0" collapsed="false">
      <c r="D1682" s="0" t="s">
        <v>78</v>
      </c>
      <c r="E1682" s="0" t="s">
        <v>79</v>
      </c>
      <c r="F1682" s="0" t="s">
        <v>80</v>
      </c>
      <c r="G1682" s="0" t="s">
        <v>145</v>
      </c>
      <c r="H1682" s="0" t="s">
        <v>145</v>
      </c>
      <c r="I1682" s="0" t="s">
        <v>28</v>
      </c>
      <c r="J1682" s="0" t="s">
        <v>29</v>
      </c>
      <c r="K1682" s="0" t="s">
        <v>30</v>
      </c>
      <c r="L1682" s="0" t="s">
        <v>31</v>
      </c>
      <c r="M1682" s="0" t="s">
        <v>140</v>
      </c>
      <c r="N1682" s="0" t="n">
        <v>681</v>
      </c>
      <c r="O1682" s="10" t="n">
        <v>0.0804675940889865</v>
      </c>
      <c r="P1682" s="10" t="n">
        <v>0.831597982207313</v>
      </c>
      <c r="Q1682" s="0" t="str">
        <f aca="false">SUBSTITUTE(SUBSTITUTE($I1682,CHAR(61),""),CHAR(34),"")</f>
        <v>&lt;01</v>
      </c>
      <c r="R1682" s="0" t="str">
        <f aca="false">IF($D1682&lt;&gt;"","["&amp;$E1682&amp;"]"&amp;"|"&amp;$Q1682&amp;"|"&amp;$K1682&amp;"|"&amp;$G1682&amp;"|"&amp;IF($G1682="TX_CURR_SUBNAT.R","CY2022Q4",$M1682),"")</f>
        <v>[TYnMSwzko3z]|&lt;01|Female|PopART.Rt.T_1|CY2023Q3</v>
      </c>
    </row>
    <row r="1683" customFormat="false" ht="15" hidden="false" customHeight="false" outlineLevel="0" collapsed="false">
      <c r="D1683" s="0" t="s">
        <v>78</v>
      </c>
      <c r="E1683" s="0" t="s">
        <v>79</v>
      </c>
      <c r="F1683" s="0" t="s">
        <v>80</v>
      </c>
      <c r="G1683" s="0" t="s">
        <v>145</v>
      </c>
      <c r="H1683" s="0" t="s">
        <v>145</v>
      </c>
      <c r="I1683" s="0" t="s">
        <v>33</v>
      </c>
      <c r="J1683" s="0" t="s">
        <v>34</v>
      </c>
      <c r="K1683" s="0" t="s">
        <v>30</v>
      </c>
      <c r="L1683" s="0" t="s">
        <v>31</v>
      </c>
      <c r="M1683" s="0" t="s">
        <v>140</v>
      </c>
      <c r="N1683" s="0" t="n">
        <v>885</v>
      </c>
      <c r="O1683" s="10" t="n">
        <v>0.231391542591155</v>
      </c>
      <c r="P1683" s="10" t="n">
        <v>0.831597982207313</v>
      </c>
      <c r="Q1683" s="0" t="str">
        <f aca="false">SUBSTITUTE(SUBSTITUTE($I1683,CHAR(61),""),CHAR(34),"")</f>
        <v>01-09</v>
      </c>
      <c r="R1683" s="0" t="str">
        <f aca="false">IF($D1683&lt;&gt;"","["&amp;$E1683&amp;"]"&amp;"|"&amp;$Q1683&amp;"|"&amp;$K1683&amp;"|"&amp;$G1683&amp;"|"&amp;IF($G1683="TX_CURR_SUBNAT.R","CY2022Q4",$M1683),"")</f>
        <v>[TYnMSwzko3z]|01-09|Female|PopART.Rt.T_1|CY2023Q3</v>
      </c>
    </row>
    <row r="1684" customFormat="false" ht="15" hidden="false" customHeight="false" outlineLevel="0" collapsed="false">
      <c r="D1684" s="0" t="s">
        <v>78</v>
      </c>
      <c r="E1684" s="0" t="s">
        <v>79</v>
      </c>
      <c r="F1684" s="0" t="s">
        <v>80</v>
      </c>
      <c r="G1684" s="0" t="s">
        <v>145</v>
      </c>
      <c r="H1684" s="0" t="s">
        <v>145</v>
      </c>
      <c r="I1684" s="0" t="s">
        <v>36</v>
      </c>
      <c r="J1684" s="0" t="s">
        <v>37</v>
      </c>
      <c r="K1684" s="0" t="s">
        <v>30</v>
      </c>
      <c r="L1684" s="0" t="s">
        <v>31</v>
      </c>
      <c r="M1684" s="0" t="s">
        <v>140</v>
      </c>
      <c r="N1684" s="0" t="n">
        <v>1635</v>
      </c>
      <c r="O1684" s="10" t="n">
        <v>0.337431980995461</v>
      </c>
      <c r="P1684" s="10" t="n">
        <v>0.831597982207313</v>
      </c>
      <c r="Q1684" s="0" t="str">
        <f aca="false">SUBSTITUTE(SUBSTITUTE($I1684,CHAR(61),""),CHAR(34),"")</f>
        <v>10-14</v>
      </c>
      <c r="R1684" s="0" t="str">
        <f aca="false">IF($D1684&lt;&gt;"","["&amp;$E1684&amp;"]"&amp;"|"&amp;$Q1684&amp;"|"&amp;$K1684&amp;"|"&amp;$G1684&amp;"|"&amp;IF($G1684="TX_CURR_SUBNAT.R","CY2022Q4",$M1684),"")</f>
        <v>[TYnMSwzko3z]|10-14|Female|PopART.Rt.T_1|CY2023Q3</v>
      </c>
    </row>
    <row r="1685" customFormat="false" ht="15" hidden="false" customHeight="false" outlineLevel="0" collapsed="false">
      <c r="D1685" s="0" t="s">
        <v>78</v>
      </c>
      <c r="E1685" s="0" t="s">
        <v>79</v>
      </c>
      <c r="F1685" s="0" t="s">
        <v>80</v>
      </c>
      <c r="G1685" s="0" t="s">
        <v>145</v>
      </c>
      <c r="H1685" s="0" t="s">
        <v>145</v>
      </c>
      <c r="I1685" s="0" t="s">
        <v>38</v>
      </c>
      <c r="J1685" s="0" t="s">
        <v>39</v>
      </c>
      <c r="K1685" s="0" t="s">
        <v>30</v>
      </c>
      <c r="L1685" s="0" t="s">
        <v>31</v>
      </c>
      <c r="M1685" s="0" t="s">
        <v>140</v>
      </c>
      <c r="N1685" s="0" t="n">
        <v>756</v>
      </c>
      <c r="O1685" s="10" t="n">
        <v>0.61972239613533</v>
      </c>
      <c r="P1685" s="10" t="n">
        <v>0.831597982207313</v>
      </c>
      <c r="Q1685" s="0" t="str">
        <f aca="false">SUBSTITUTE(SUBSTITUTE($I1685,CHAR(61),""),CHAR(34),"")</f>
        <v>15-24</v>
      </c>
      <c r="R1685" s="0" t="str">
        <f aca="false">IF($D1685&lt;&gt;"","["&amp;$E1685&amp;"]"&amp;"|"&amp;$Q1685&amp;"|"&amp;$K1685&amp;"|"&amp;$G1685&amp;"|"&amp;IF($G1685="TX_CURR_SUBNAT.R","CY2022Q4",$M1685),"")</f>
        <v>[TYnMSwzko3z]|15-24|Female|PopART.Rt.T_1|CY2023Q3</v>
      </c>
    </row>
    <row r="1686" customFormat="false" ht="15" hidden="false" customHeight="false" outlineLevel="0" collapsed="false">
      <c r="D1686" s="0" t="s">
        <v>78</v>
      </c>
      <c r="E1686" s="0" t="s">
        <v>79</v>
      </c>
      <c r="F1686" s="0" t="s">
        <v>80</v>
      </c>
      <c r="G1686" s="0" t="s">
        <v>145</v>
      </c>
      <c r="H1686" s="0" t="s">
        <v>145</v>
      </c>
      <c r="I1686" s="0" t="s">
        <v>41</v>
      </c>
      <c r="J1686" s="0" t="s">
        <v>42</v>
      </c>
      <c r="K1686" s="0" t="s">
        <v>30</v>
      </c>
      <c r="L1686" s="0" t="s">
        <v>31</v>
      </c>
      <c r="M1686" s="0" t="s">
        <v>140</v>
      </c>
      <c r="N1686" s="0" t="n">
        <v>742</v>
      </c>
      <c r="O1686" s="10" t="n">
        <v>0.427447129040956</v>
      </c>
      <c r="P1686" s="10" t="n">
        <v>0.831597982207313</v>
      </c>
      <c r="Q1686" s="0" t="str">
        <f aca="false">SUBSTITUTE(SUBSTITUTE($I1686,CHAR(61),""),CHAR(34),"")</f>
        <v>25-34</v>
      </c>
      <c r="R1686" s="0" t="str">
        <f aca="false">IF($D1686&lt;&gt;"","["&amp;$E1686&amp;"]"&amp;"|"&amp;$Q1686&amp;"|"&amp;$K1686&amp;"|"&amp;$G1686&amp;"|"&amp;IF($G1686="TX_CURR_SUBNAT.R","CY2022Q4",$M1686),"")</f>
        <v>[TYnMSwzko3z]|25-34|Female|PopART.Rt.T_1|CY2023Q3</v>
      </c>
    </row>
    <row r="1687" customFormat="false" ht="15" hidden="false" customHeight="false" outlineLevel="0" collapsed="false">
      <c r="D1687" s="0" t="s">
        <v>78</v>
      </c>
      <c r="E1687" s="0" t="s">
        <v>79</v>
      </c>
      <c r="F1687" s="0" t="s">
        <v>80</v>
      </c>
      <c r="G1687" s="0" t="s">
        <v>145</v>
      </c>
      <c r="H1687" s="0" t="s">
        <v>145</v>
      </c>
      <c r="I1687" s="0" t="s">
        <v>43</v>
      </c>
      <c r="J1687" s="0" t="s">
        <v>44</v>
      </c>
      <c r="K1687" s="0" t="s">
        <v>30</v>
      </c>
      <c r="L1687" s="0" t="s">
        <v>31</v>
      </c>
      <c r="M1687" s="0" t="s">
        <v>140</v>
      </c>
      <c r="N1687" s="0" t="n">
        <v>1197</v>
      </c>
      <c r="O1687" s="10" t="n">
        <v>0.860081984428689</v>
      </c>
      <c r="P1687" s="10" t="n">
        <v>0.831597982207313</v>
      </c>
      <c r="Q1687" s="0" t="str">
        <f aca="false">SUBSTITUTE(SUBSTITUTE($I1687,CHAR(61),""),CHAR(34),"")</f>
        <v>35-49</v>
      </c>
      <c r="R1687" s="0" t="str">
        <f aca="false">IF($D1687&lt;&gt;"","["&amp;$E1687&amp;"]"&amp;"|"&amp;$Q1687&amp;"|"&amp;$K1687&amp;"|"&amp;$G1687&amp;"|"&amp;IF($G1687="TX_CURR_SUBNAT.R","CY2022Q4",$M1687),"")</f>
        <v>[TYnMSwzko3z]|35-49|Female|PopART.Rt.T_1|CY2023Q3</v>
      </c>
    </row>
    <row r="1688" customFormat="false" ht="15" hidden="false" customHeight="false" outlineLevel="0" collapsed="false">
      <c r="D1688" s="0" t="s">
        <v>78</v>
      </c>
      <c r="E1688" s="0" t="s">
        <v>79</v>
      </c>
      <c r="F1688" s="0" t="s">
        <v>80</v>
      </c>
      <c r="G1688" s="0" t="s">
        <v>145</v>
      </c>
      <c r="H1688" s="0" t="s">
        <v>145</v>
      </c>
      <c r="I1688" s="0" t="s">
        <v>45</v>
      </c>
      <c r="J1688" s="0" t="s">
        <v>46</v>
      </c>
      <c r="K1688" s="0" t="s">
        <v>30</v>
      </c>
      <c r="L1688" s="0" t="s">
        <v>31</v>
      </c>
      <c r="M1688" s="0" t="s">
        <v>140</v>
      </c>
      <c r="N1688" s="0" t="n">
        <v>1953</v>
      </c>
      <c r="O1688" s="10" t="n">
        <v>0.567036370979622</v>
      </c>
      <c r="P1688" s="10" t="n">
        <v>0.831597982207313</v>
      </c>
      <c r="Q1688" s="0" t="str">
        <f aca="false">SUBSTITUTE(SUBSTITUTE($I1688,CHAR(61),""),CHAR(34),"")</f>
        <v>50+</v>
      </c>
      <c r="R1688" s="0" t="str">
        <f aca="false">IF($D1688&lt;&gt;"","["&amp;$E1688&amp;"]"&amp;"|"&amp;$Q1688&amp;"|"&amp;$K1688&amp;"|"&amp;$G1688&amp;"|"&amp;IF($G1688="TX_CURR_SUBNAT.R","CY2022Q4",$M1688),"")</f>
        <v>[TYnMSwzko3z]|50+|Female|PopART.Rt.T_1|CY2023Q3</v>
      </c>
    </row>
    <row r="1689" customFormat="false" ht="15" hidden="false" customHeight="false" outlineLevel="0" collapsed="false">
      <c r="D1689" s="0" t="s">
        <v>78</v>
      </c>
      <c r="E1689" s="0" t="s">
        <v>79</v>
      </c>
      <c r="F1689" s="0" t="s">
        <v>80</v>
      </c>
      <c r="G1689" s="0" t="s">
        <v>145</v>
      </c>
      <c r="H1689" s="0" t="s">
        <v>145</v>
      </c>
      <c r="I1689" s="0" t="s">
        <v>28</v>
      </c>
      <c r="J1689" s="0" t="s">
        <v>29</v>
      </c>
      <c r="K1689" s="0" t="s">
        <v>48</v>
      </c>
      <c r="L1689" s="0" t="s">
        <v>49</v>
      </c>
      <c r="M1689" s="0" t="s">
        <v>140</v>
      </c>
      <c r="N1689" s="0" t="n">
        <v>524</v>
      </c>
      <c r="O1689" s="10" t="n">
        <v>0.42159972153604</v>
      </c>
      <c r="P1689" s="10" t="n">
        <v>0.831597982207313</v>
      </c>
      <c r="Q1689" s="0" t="str">
        <f aca="false">SUBSTITUTE(SUBSTITUTE($I1689,CHAR(61),""),CHAR(34),"")</f>
        <v>&lt;01</v>
      </c>
      <c r="R1689" s="0" t="str">
        <f aca="false">IF($D1689&lt;&gt;"","["&amp;$E1689&amp;"]"&amp;"|"&amp;$Q1689&amp;"|"&amp;$K1689&amp;"|"&amp;$G1689&amp;"|"&amp;IF($G1689="TX_CURR_SUBNAT.R","CY2022Q4",$M1689),"")</f>
        <v>[TYnMSwzko3z]|&lt;01|Male|PopART.Rt.T_1|CY2023Q3</v>
      </c>
    </row>
    <row r="1690" customFormat="false" ht="15" hidden="false" customHeight="false" outlineLevel="0" collapsed="false">
      <c r="D1690" s="0" t="s">
        <v>78</v>
      </c>
      <c r="E1690" s="0" t="s">
        <v>79</v>
      </c>
      <c r="F1690" s="0" t="s">
        <v>80</v>
      </c>
      <c r="G1690" s="0" t="s">
        <v>145</v>
      </c>
      <c r="H1690" s="0" t="s">
        <v>145</v>
      </c>
      <c r="I1690" s="0" t="s">
        <v>33</v>
      </c>
      <c r="J1690" s="0" t="s">
        <v>34</v>
      </c>
      <c r="K1690" s="0" t="s">
        <v>48</v>
      </c>
      <c r="L1690" s="0" t="s">
        <v>49</v>
      </c>
      <c r="M1690" s="0" t="s">
        <v>140</v>
      </c>
      <c r="N1690" s="0" t="n">
        <v>1751</v>
      </c>
      <c r="O1690" s="10" t="n">
        <v>0.567317967070267</v>
      </c>
      <c r="P1690" s="10" t="n">
        <v>0.831597982207313</v>
      </c>
      <c r="Q1690" s="0" t="str">
        <f aca="false">SUBSTITUTE(SUBSTITUTE($I1690,CHAR(61),""),CHAR(34),"")</f>
        <v>01-09</v>
      </c>
      <c r="R1690" s="0" t="str">
        <f aca="false">IF($D1690&lt;&gt;"","["&amp;$E1690&amp;"]"&amp;"|"&amp;$Q1690&amp;"|"&amp;$K1690&amp;"|"&amp;$G1690&amp;"|"&amp;IF($G1690="TX_CURR_SUBNAT.R","CY2022Q4",$M1690),"")</f>
        <v>[TYnMSwzko3z]|01-09|Male|PopART.Rt.T_1|CY2023Q3</v>
      </c>
    </row>
    <row r="1691" customFormat="false" ht="15" hidden="false" customHeight="false" outlineLevel="0" collapsed="false">
      <c r="D1691" s="0" t="s">
        <v>78</v>
      </c>
      <c r="E1691" s="0" t="s">
        <v>79</v>
      </c>
      <c r="F1691" s="0" t="s">
        <v>80</v>
      </c>
      <c r="G1691" s="0" t="s">
        <v>145</v>
      </c>
      <c r="H1691" s="0" t="s">
        <v>145</v>
      </c>
      <c r="I1691" s="0" t="s">
        <v>36</v>
      </c>
      <c r="J1691" s="0" t="s">
        <v>37</v>
      </c>
      <c r="K1691" s="0" t="s">
        <v>48</v>
      </c>
      <c r="L1691" s="0" t="s">
        <v>49</v>
      </c>
      <c r="M1691" s="0" t="s">
        <v>140</v>
      </c>
      <c r="N1691" s="0" t="n">
        <v>685</v>
      </c>
      <c r="O1691" s="10" t="n">
        <v>0.0224693017080426</v>
      </c>
      <c r="P1691" s="10" t="n">
        <v>0.831597982207313</v>
      </c>
      <c r="Q1691" s="0" t="str">
        <f aca="false">SUBSTITUTE(SUBSTITUTE($I1691,CHAR(61),""),CHAR(34),"")</f>
        <v>10-14</v>
      </c>
      <c r="R1691" s="0" t="str">
        <f aca="false">IF($D1691&lt;&gt;"","["&amp;$E1691&amp;"]"&amp;"|"&amp;$Q1691&amp;"|"&amp;$K1691&amp;"|"&amp;$G1691&amp;"|"&amp;IF($G1691="TX_CURR_SUBNAT.R","CY2022Q4",$M1691),"")</f>
        <v>[TYnMSwzko3z]|10-14|Male|PopART.Rt.T_1|CY2023Q3</v>
      </c>
    </row>
    <row r="1692" customFormat="false" ht="15" hidden="false" customHeight="false" outlineLevel="0" collapsed="false">
      <c r="D1692" s="0" t="s">
        <v>78</v>
      </c>
      <c r="E1692" s="0" t="s">
        <v>79</v>
      </c>
      <c r="F1692" s="0" t="s">
        <v>80</v>
      </c>
      <c r="G1692" s="0" t="s">
        <v>145</v>
      </c>
      <c r="H1692" s="0" t="s">
        <v>145</v>
      </c>
      <c r="I1692" s="0" t="s">
        <v>38</v>
      </c>
      <c r="J1692" s="0" t="s">
        <v>39</v>
      </c>
      <c r="K1692" s="0" t="s">
        <v>48</v>
      </c>
      <c r="L1692" s="0" t="s">
        <v>49</v>
      </c>
      <c r="M1692" s="0" t="s">
        <v>140</v>
      </c>
      <c r="N1692" s="0" t="n">
        <v>1565</v>
      </c>
      <c r="O1692" s="10" t="n">
        <v>0.306115553015843</v>
      </c>
      <c r="P1692" s="10" t="n">
        <v>0.831597982207313</v>
      </c>
      <c r="Q1692" s="0" t="str">
        <f aca="false">SUBSTITUTE(SUBSTITUTE($I1692,CHAR(61),""),CHAR(34),"")</f>
        <v>15-24</v>
      </c>
      <c r="R1692" s="0" t="str">
        <f aca="false">IF($D1692&lt;&gt;"","["&amp;$E1692&amp;"]"&amp;"|"&amp;$Q1692&amp;"|"&amp;$K1692&amp;"|"&amp;$G1692&amp;"|"&amp;IF($G1692="TX_CURR_SUBNAT.R","CY2022Q4",$M1692),"")</f>
        <v>[TYnMSwzko3z]|15-24|Male|PopART.Rt.T_1|CY2023Q3</v>
      </c>
    </row>
    <row r="1693" customFormat="false" ht="15" hidden="false" customHeight="false" outlineLevel="0" collapsed="false">
      <c r="D1693" s="0" t="s">
        <v>78</v>
      </c>
      <c r="E1693" s="0" t="s">
        <v>79</v>
      </c>
      <c r="F1693" s="0" t="s">
        <v>80</v>
      </c>
      <c r="G1693" s="0" t="s">
        <v>145</v>
      </c>
      <c r="H1693" s="0" t="s">
        <v>145</v>
      </c>
      <c r="I1693" s="0" t="s">
        <v>41</v>
      </c>
      <c r="J1693" s="0" t="s">
        <v>42</v>
      </c>
      <c r="K1693" s="0" t="s">
        <v>48</v>
      </c>
      <c r="L1693" s="0" t="s">
        <v>49</v>
      </c>
      <c r="M1693" s="0" t="s">
        <v>140</v>
      </c>
      <c r="N1693" s="0" t="n">
        <v>1897</v>
      </c>
      <c r="O1693" s="10" t="n">
        <v>0.896062499843538</v>
      </c>
      <c r="P1693" s="10" t="n">
        <v>0.831597982207313</v>
      </c>
      <c r="Q1693" s="0" t="str">
        <f aca="false">SUBSTITUTE(SUBSTITUTE($I1693,CHAR(61),""),CHAR(34),"")</f>
        <v>25-34</v>
      </c>
      <c r="R1693" s="0" t="str">
        <f aca="false">IF($D1693&lt;&gt;"","["&amp;$E1693&amp;"]"&amp;"|"&amp;$Q1693&amp;"|"&amp;$K1693&amp;"|"&amp;$G1693&amp;"|"&amp;IF($G1693="TX_CURR_SUBNAT.R","CY2022Q4",$M1693),"")</f>
        <v>[TYnMSwzko3z]|25-34|Male|PopART.Rt.T_1|CY2023Q3</v>
      </c>
    </row>
    <row r="1694" customFormat="false" ht="15" hidden="false" customHeight="false" outlineLevel="0" collapsed="false">
      <c r="D1694" s="0" t="s">
        <v>78</v>
      </c>
      <c r="E1694" s="0" t="s">
        <v>79</v>
      </c>
      <c r="F1694" s="0" t="s">
        <v>80</v>
      </c>
      <c r="G1694" s="0" t="s">
        <v>145</v>
      </c>
      <c r="H1694" s="0" t="s">
        <v>145</v>
      </c>
      <c r="I1694" s="0" t="s">
        <v>43</v>
      </c>
      <c r="J1694" s="0" t="s">
        <v>44</v>
      </c>
      <c r="K1694" s="0" t="s">
        <v>48</v>
      </c>
      <c r="L1694" s="0" t="s">
        <v>49</v>
      </c>
      <c r="M1694" s="0" t="s">
        <v>140</v>
      </c>
      <c r="N1694" s="0" t="n">
        <v>1776</v>
      </c>
      <c r="O1694" s="10" t="n">
        <v>0.429635618347675</v>
      </c>
      <c r="P1694" s="10" t="n">
        <v>0.831597982207313</v>
      </c>
      <c r="Q1694" s="0" t="str">
        <f aca="false">SUBSTITUTE(SUBSTITUTE($I1694,CHAR(61),""),CHAR(34),"")</f>
        <v>35-49</v>
      </c>
      <c r="R1694" s="0" t="str">
        <f aca="false">IF($D1694&lt;&gt;"","["&amp;$E1694&amp;"]"&amp;"|"&amp;$Q1694&amp;"|"&amp;$K1694&amp;"|"&amp;$G1694&amp;"|"&amp;IF($G1694="TX_CURR_SUBNAT.R","CY2022Q4",$M1694),"")</f>
        <v>[TYnMSwzko3z]|35-49|Male|PopART.Rt.T_1|CY2023Q3</v>
      </c>
    </row>
    <row r="1695" customFormat="false" ht="15" hidden="false" customHeight="false" outlineLevel="0" collapsed="false">
      <c r="D1695" s="0" t="s">
        <v>78</v>
      </c>
      <c r="E1695" s="0" t="s">
        <v>79</v>
      </c>
      <c r="F1695" s="0" t="s">
        <v>80</v>
      </c>
      <c r="G1695" s="0" t="s">
        <v>145</v>
      </c>
      <c r="H1695" s="0" t="s">
        <v>145</v>
      </c>
      <c r="I1695" s="0" t="s">
        <v>45</v>
      </c>
      <c r="J1695" s="0" t="s">
        <v>46</v>
      </c>
      <c r="K1695" s="0" t="s">
        <v>48</v>
      </c>
      <c r="L1695" s="0" t="s">
        <v>49</v>
      </c>
      <c r="M1695" s="0" t="s">
        <v>140</v>
      </c>
      <c r="N1695" s="0" t="n">
        <v>1772</v>
      </c>
      <c r="O1695" s="10" t="n">
        <v>0.325127877295017</v>
      </c>
      <c r="P1695" s="10" t="n">
        <v>0.831597982207313</v>
      </c>
      <c r="Q1695" s="0" t="str">
        <f aca="false">SUBSTITUTE(SUBSTITUTE($I1695,CHAR(61),""),CHAR(34),"")</f>
        <v>50+</v>
      </c>
      <c r="R1695" s="0" t="str">
        <f aca="false">IF($D1695&lt;&gt;"","["&amp;$E1695&amp;"]"&amp;"|"&amp;$Q1695&amp;"|"&amp;$K1695&amp;"|"&amp;$G1695&amp;"|"&amp;IF($G1695="TX_CURR_SUBNAT.R","CY2022Q4",$M1695),"")</f>
        <v>[TYnMSwzko3z]|50+|Male|PopART.Rt.T_1|CY2023Q3</v>
      </c>
    </row>
    <row r="1696" customFormat="false" ht="15" hidden="false" customHeight="false" outlineLevel="0" collapsed="false">
      <c r="D1696" s="0" t="s">
        <v>81</v>
      </c>
      <c r="E1696" s="0" t="s">
        <v>82</v>
      </c>
      <c r="F1696" s="0" t="s">
        <v>83</v>
      </c>
      <c r="G1696" s="0" t="s">
        <v>145</v>
      </c>
      <c r="H1696" s="0" t="s">
        <v>145</v>
      </c>
      <c r="I1696" s="0" t="s">
        <v>28</v>
      </c>
      <c r="J1696" s="0" t="s">
        <v>29</v>
      </c>
      <c r="K1696" s="0" t="s">
        <v>30</v>
      </c>
      <c r="L1696" s="0" t="s">
        <v>31</v>
      </c>
      <c r="M1696" s="0" t="s">
        <v>140</v>
      </c>
      <c r="N1696" s="0" t="n">
        <v>1856</v>
      </c>
      <c r="O1696" s="10" t="n">
        <v>0.307016692589968</v>
      </c>
      <c r="P1696" s="10" t="n">
        <v>0.143331421539187</v>
      </c>
      <c r="Q1696" s="0" t="str">
        <f aca="false">SUBSTITUTE(SUBSTITUTE($I1696,CHAR(61),""),CHAR(34),"")</f>
        <v>&lt;01</v>
      </c>
      <c r="R1696" s="0" t="str">
        <f aca="false">IF($D1696&lt;&gt;"","["&amp;$E1696&amp;"]"&amp;"|"&amp;$Q1696&amp;"|"&amp;$K1696&amp;"|"&amp;$G1696&amp;"|"&amp;IF($G1696="TX_CURR_SUBNAT.R","CY2022Q4",$M1696),"")</f>
        <v>[ir8wuHHzoSs]|&lt;01|Female|PopART.Rt.T_1|CY2023Q3</v>
      </c>
    </row>
    <row r="1697" customFormat="false" ht="15" hidden="false" customHeight="false" outlineLevel="0" collapsed="false">
      <c r="D1697" s="0" t="s">
        <v>81</v>
      </c>
      <c r="E1697" s="0" t="s">
        <v>82</v>
      </c>
      <c r="F1697" s="0" t="s">
        <v>83</v>
      </c>
      <c r="G1697" s="0" t="s">
        <v>145</v>
      </c>
      <c r="H1697" s="0" t="s">
        <v>145</v>
      </c>
      <c r="I1697" s="0" t="s">
        <v>33</v>
      </c>
      <c r="J1697" s="0" t="s">
        <v>34</v>
      </c>
      <c r="K1697" s="0" t="s">
        <v>30</v>
      </c>
      <c r="L1697" s="0" t="s">
        <v>31</v>
      </c>
      <c r="M1697" s="0" t="s">
        <v>140</v>
      </c>
      <c r="N1697" s="0" t="n">
        <v>670</v>
      </c>
      <c r="O1697" s="10" t="n">
        <v>0.0511810285970569</v>
      </c>
      <c r="P1697" s="10" t="n">
        <v>0.143331421539187</v>
      </c>
      <c r="Q1697" s="0" t="str">
        <f aca="false">SUBSTITUTE(SUBSTITUTE($I1697,CHAR(61),""),CHAR(34),"")</f>
        <v>01-09</v>
      </c>
      <c r="R1697" s="0" t="str">
        <f aca="false">IF($D1697&lt;&gt;"","["&amp;$E1697&amp;"]"&amp;"|"&amp;$Q1697&amp;"|"&amp;$K1697&amp;"|"&amp;$G1697&amp;"|"&amp;IF($G1697="TX_CURR_SUBNAT.R","CY2022Q4",$M1697),"")</f>
        <v>[ir8wuHHzoSs]|01-09|Female|PopART.Rt.T_1|CY2023Q3</v>
      </c>
    </row>
    <row r="1698" customFormat="false" ht="15" hidden="false" customHeight="false" outlineLevel="0" collapsed="false">
      <c r="D1698" s="0" t="s">
        <v>81</v>
      </c>
      <c r="E1698" s="0" t="s">
        <v>82</v>
      </c>
      <c r="F1698" s="0" t="s">
        <v>83</v>
      </c>
      <c r="G1698" s="0" t="s">
        <v>145</v>
      </c>
      <c r="H1698" s="0" t="s">
        <v>145</v>
      </c>
      <c r="I1698" s="0" t="s">
        <v>36</v>
      </c>
      <c r="J1698" s="0" t="s">
        <v>37</v>
      </c>
      <c r="K1698" s="0" t="s">
        <v>30</v>
      </c>
      <c r="L1698" s="0" t="s">
        <v>31</v>
      </c>
      <c r="M1698" s="0" t="s">
        <v>140</v>
      </c>
      <c r="N1698" s="0" t="n">
        <v>698</v>
      </c>
      <c r="O1698" s="10" t="n">
        <v>0.334904862102121</v>
      </c>
      <c r="P1698" s="10" t="n">
        <v>0.143331421539187</v>
      </c>
      <c r="Q1698" s="0" t="str">
        <f aca="false">SUBSTITUTE(SUBSTITUTE($I1698,CHAR(61),""),CHAR(34),"")</f>
        <v>10-14</v>
      </c>
      <c r="R1698" s="0" t="str">
        <f aca="false">IF($D1698&lt;&gt;"","["&amp;$E1698&amp;"]"&amp;"|"&amp;$Q1698&amp;"|"&amp;$K1698&amp;"|"&amp;$G1698&amp;"|"&amp;IF($G1698="TX_CURR_SUBNAT.R","CY2022Q4",$M1698),"")</f>
        <v>[ir8wuHHzoSs]|10-14|Female|PopART.Rt.T_1|CY2023Q3</v>
      </c>
    </row>
    <row r="1699" customFormat="false" ht="15" hidden="false" customHeight="false" outlineLevel="0" collapsed="false">
      <c r="D1699" s="0" t="s">
        <v>81</v>
      </c>
      <c r="E1699" s="0" t="s">
        <v>82</v>
      </c>
      <c r="F1699" s="0" t="s">
        <v>83</v>
      </c>
      <c r="G1699" s="0" t="s">
        <v>145</v>
      </c>
      <c r="H1699" s="0" t="s">
        <v>145</v>
      </c>
      <c r="I1699" s="0" t="s">
        <v>38</v>
      </c>
      <c r="J1699" s="0" t="s">
        <v>39</v>
      </c>
      <c r="K1699" s="0" t="s">
        <v>30</v>
      </c>
      <c r="L1699" s="0" t="s">
        <v>31</v>
      </c>
      <c r="M1699" s="0" t="s">
        <v>140</v>
      </c>
      <c r="N1699" s="0" t="n">
        <v>1157</v>
      </c>
      <c r="O1699" s="10" t="n">
        <v>0.871235033264384</v>
      </c>
      <c r="P1699" s="10" t="n">
        <v>0.143331421539187</v>
      </c>
      <c r="Q1699" s="0" t="str">
        <f aca="false">SUBSTITUTE(SUBSTITUTE($I1699,CHAR(61),""),CHAR(34),"")</f>
        <v>15-24</v>
      </c>
      <c r="R1699" s="0" t="str">
        <f aca="false">IF($D1699&lt;&gt;"","["&amp;$E1699&amp;"]"&amp;"|"&amp;$Q1699&amp;"|"&amp;$K1699&amp;"|"&amp;$G1699&amp;"|"&amp;IF($G1699="TX_CURR_SUBNAT.R","CY2022Q4",$M1699),"")</f>
        <v>[ir8wuHHzoSs]|15-24|Female|PopART.Rt.T_1|CY2023Q3</v>
      </c>
    </row>
    <row r="1700" customFormat="false" ht="15" hidden="false" customHeight="false" outlineLevel="0" collapsed="false">
      <c r="D1700" s="0" t="s">
        <v>81</v>
      </c>
      <c r="E1700" s="0" t="s">
        <v>82</v>
      </c>
      <c r="F1700" s="0" t="s">
        <v>83</v>
      </c>
      <c r="G1700" s="0" t="s">
        <v>145</v>
      </c>
      <c r="H1700" s="0" t="s">
        <v>145</v>
      </c>
      <c r="I1700" s="0" t="s">
        <v>41</v>
      </c>
      <c r="J1700" s="0" t="s">
        <v>42</v>
      </c>
      <c r="K1700" s="0" t="s">
        <v>30</v>
      </c>
      <c r="L1700" s="0" t="s">
        <v>31</v>
      </c>
      <c r="M1700" s="0" t="s">
        <v>140</v>
      </c>
      <c r="N1700" s="0" t="n">
        <v>1496</v>
      </c>
      <c r="O1700" s="10" t="n">
        <v>0.858082491904497</v>
      </c>
      <c r="P1700" s="10" t="n">
        <v>0.143331421539187</v>
      </c>
      <c r="Q1700" s="0" t="str">
        <f aca="false">SUBSTITUTE(SUBSTITUTE($I1700,CHAR(61),""),CHAR(34),"")</f>
        <v>25-34</v>
      </c>
      <c r="R1700" s="0" t="str">
        <f aca="false">IF($D1700&lt;&gt;"","["&amp;$E1700&amp;"]"&amp;"|"&amp;$Q1700&amp;"|"&amp;$K1700&amp;"|"&amp;$G1700&amp;"|"&amp;IF($G1700="TX_CURR_SUBNAT.R","CY2022Q4",$M1700),"")</f>
        <v>[ir8wuHHzoSs]|25-34|Female|PopART.Rt.T_1|CY2023Q3</v>
      </c>
    </row>
    <row r="1701" customFormat="false" ht="15" hidden="false" customHeight="false" outlineLevel="0" collapsed="false">
      <c r="D1701" s="0" t="s">
        <v>81</v>
      </c>
      <c r="E1701" s="0" t="s">
        <v>82</v>
      </c>
      <c r="F1701" s="0" t="s">
        <v>83</v>
      </c>
      <c r="G1701" s="0" t="s">
        <v>145</v>
      </c>
      <c r="H1701" s="0" t="s">
        <v>145</v>
      </c>
      <c r="I1701" s="0" t="s">
        <v>43</v>
      </c>
      <c r="J1701" s="0" t="s">
        <v>44</v>
      </c>
      <c r="K1701" s="0" t="s">
        <v>30</v>
      </c>
      <c r="L1701" s="0" t="s">
        <v>31</v>
      </c>
      <c r="M1701" s="0" t="s">
        <v>140</v>
      </c>
      <c r="N1701" s="0" t="n">
        <v>522</v>
      </c>
      <c r="O1701" s="10" t="n">
        <v>0.110738391755149</v>
      </c>
      <c r="P1701" s="10" t="n">
        <v>0.143331421539187</v>
      </c>
      <c r="Q1701" s="0" t="str">
        <f aca="false">SUBSTITUTE(SUBSTITUTE($I1701,CHAR(61),""),CHAR(34),"")</f>
        <v>35-49</v>
      </c>
      <c r="R1701" s="0" t="str">
        <f aca="false">IF($D1701&lt;&gt;"","["&amp;$E1701&amp;"]"&amp;"|"&amp;$Q1701&amp;"|"&amp;$K1701&amp;"|"&amp;$G1701&amp;"|"&amp;IF($G1701="TX_CURR_SUBNAT.R","CY2022Q4",$M1701),"")</f>
        <v>[ir8wuHHzoSs]|35-49|Female|PopART.Rt.T_1|CY2023Q3</v>
      </c>
    </row>
    <row r="1702" customFormat="false" ht="15" hidden="false" customHeight="false" outlineLevel="0" collapsed="false">
      <c r="D1702" s="0" t="s">
        <v>81</v>
      </c>
      <c r="E1702" s="0" t="s">
        <v>82</v>
      </c>
      <c r="F1702" s="0" t="s">
        <v>83</v>
      </c>
      <c r="G1702" s="0" t="s">
        <v>145</v>
      </c>
      <c r="H1702" s="0" t="s">
        <v>145</v>
      </c>
      <c r="I1702" s="0" t="s">
        <v>45</v>
      </c>
      <c r="J1702" s="0" t="s">
        <v>46</v>
      </c>
      <c r="K1702" s="0" t="s">
        <v>30</v>
      </c>
      <c r="L1702" s="0" t="s">
        <v>31</v>
      </c>
      <c r="M1702" s="0" t="s">
        <v>140</v>
      </c>
      <c r="N1702" s="0" t="n">
        <v>1763</v>
      </c>
      <c r="O1702" s="10" t="n">
        <v>0.601620620815083</v>
      </c>
      <c r="P1702" s="10" t="n">
        <v>0.143331421539187</v>
      </c>
      <c r="Q1702" s="0" t="str">
        <f aca="false">SUBSTITUTE(SUBSTITUTE($I1702,CHAR(61),""),CHAR(34),"")</f>
        <v>50+</v>
      </c>
      <c r="R1702" s="0" t="str">
        <f aca="false">IF($D1702&lt;&gt;"","["&amp;$E1702&amp;"]"&amp;"|"&amp;$Q1702&amp;"|"&amp;$K1702&amp;"|"&amp;$G1702&amp;"|"&amp;IF($G1702="TX_CURR_SUBNAT.R","CY2022Q4",$M1702),"")</f>
        <v>[ir8wuHHzoSs]|50+|Female|PopART.Rt.T_1|CY2023Q3</v>
      </c>
    </row>
    <row r="1703" customFormat="false" ht="15" hidden="false" customHeight="false" outlineLevel="0" collapsed="false">
      <c r="D1703" s="0" t="s">
        <v>81</v>
      </c>
      <c r="E1703" s="0" t="s">
        <v>82</v>
      </c>
      <c r="F1703" s="0" t="s">
        <v>83</v>
      </c>
      <c r="G1703" s="0" t="s">
        <v>145</v>
      </c>
      <c r="H1703" s="0" t="s">
        <v>145</v>
      </c>
      <c r="I1703" s="0" t="s">
        <v>28</v>
      </c>
      <c r="J1703" s="0" t="s">
        <v>29</v>
      </c>
      <c r="K1703" s="0" t="s">
        <v>48</v>
      </c>
      <c r="L1703" s="0" t="s">
        <v>49</v>
      </c>
      <c r="M1703" s="0" t="s">
        <v>140</v>
      </c>
      <c r="N1703" s="0" t="n">
        <v>1942</v>
      </c>
      <c r="O1703" s="10" t="n">
        <v>0.828344645444304</v>
      </c>
      <c r="P1703" s="10" t="n">
        <v>0.143331421539187</v>
      </c>
      <c r="Q1703" s="0" t="str">
        <f aca="false">SUBSTITUTE(SUBSTITUTE($I1703,CHAR(61),""),CHAR(34),"")</f>
        <v>&lt;01</v>
      </c>
      <c r="R1703" s="0" t="str">
        <f aca="false">IF($D1703&lt;&gt;"","["&amp;$E1703&amp;"]"&amp;"|"&amp;$Q1703&amp;"|"&amp;$K1703&amp;"|"&amp;$G1703&amp;"|"&amp;IF($G1703="TX_CURR_SUBNAT.R","CY2022Q4",$M1703),"")</f>
        <v>[ir8wuHHzoSs]|&lt;01|Male|PopART.Rt.T_1|CY2023Q3</v>
      </c>
    </row>
    <row r="1704" customFormat="false" ht="15" hidden="false" customHeight="false" outlineLevel="0" collapsed="false">
      <c r="D1704" s="0" t="s">
        <v>81</v>
      </c>
      <c r="E1704" s="0" t="s">
        <v>82</v>
      </c>
      <c r="F1704" s="0" t="s">
        <v>83</v>
      </c>
      <c r="G1704" s="0" t="s">
        <v>145</v>
      </c>
      <c r="H1704" s="0" t="s">
        <v>145</v>
      </c>
      <c r="I1704" s="0" t="s">
        <v>33</v>
      </c>
      <c r="J1704" s="0" t="s">
        <v>34</v>
      </c>
      <c r="K1704" s="0" t="s">
        <v>48</v>
      </c>
      <c r="L1704" s="0" t="s">
        <v>49</v>
      </c>
      <c r="M1704" s="0" t="s">
        <v>140</v>
      </c>
      <c r="N1704" s="0" t="n">
        <v>602</v>
      </c>
      <c r="O1704" s="10" t="n">
        <v>0.893623534822837</v>
      </c>
      <c r="P1704" s="10" t="n">
        <v>0.143331421539187</v>
      </c>
      <c r="Q1704" s="0" t="str">
        <f aca="false">SUBSTITUTE(SUBSTITUTE($I1704,CHAR(61),""),CHAR(34),"")</f>
        <v>01-09</v>
      </c>
      <c r="R1704" s="0" t="str">
        <f aca="false">IF($D1704&lt;&gt;"","["&amp;$E1704&amp;"]"&amp;"|"&amp;$Q1704&amp;"|"&amp;$K1704&amp;"|"&amp;$G1704&amp;"|"&amp;IF($G1704="TX_CURR_SUBNAT.R","CY2022Q4",$M1704),"")</f>
        <v>[ir8wuHHzoSs]|01-09|Male|PopART.Rt.T_1|CY2023Q3</v>
      </c>
    </row>
    <row r="1705" customFormat="false" ht="15" hidden="false" customHeight="false" outlineLevel="0" collapsed="false">
      <c r="D1705" s="0" t="s">
        <v>81</v>
      </c>
      <c r="E1705" s="0" t="s">
        <v>82</v>
      </c>
      <c r="F1705" s="0" t="s">
        <v>83</v>
      </c>
      <c r="G1705" s="0" t="s">
        <v>145</v>
      </c>
      <c r="H1705" s="0" t="s">
        <v>145</v>
      </c>
      <c r="I1705" s="0" t="s">
        <v>36</v>
      </c>
      <c r="J1705" s="0" t="s">
        <v>37</v>
      </c>
      <c r="K1705" s="0" t="s">
        <v>48</v>
      </c>
      <c r="L1705" s="0" t="s">
        <v>49</v>
      </c>
      <c r="M1705" s="0" t="s">
        <v>140</v>
      </c>
      <c r="N1705" s="0" t="n">
        <v>1493</v>
      </c>
      <c r="O1705" s="10" t="n">
        <v>0.722231707535684</v>
      </c>
      <c r="P1705" s="10" t="n">
        <v>0.143331421539187</v>
      </c>
      <c r="Q1705" s="0" t="str">
        <f aca="false">SUBSTITUTE(SUBSTITUTE($I1705,CHAR(61),""),CHAR(34),"")</f>
        <v>10-14</v>
      </c>
      <c r="R1705" s="0" t="str">
        <f aca="false">IF($D1705&lt;&gt;"","["&amp;$E1705&amp;"]"&amp;"|"&amp;$Q1705&amp;"|"&amp;$K1705&amp;"|"&amp;$G1705&amp;"|"&amp;IF($G1705="TX_CURR_SUBNAT.R","CY2022Q4",$M1705),"")</f>
        <v>[ir8wuHHzoSs]|10-14|Male|PopART.Rt.T_1|CY2023Q3</v>
      </c>
    </row>
    <row r="1706" customFormat="false" ht="15" hidden="false" customHeight="false" outlineLevel="0" collapsed="false">
      <c r="D1706" s="0" t="s">
        <v>81</v>
      </c>
      <c r="E1706" s="0" t="s">
        <v>82</v>
      </c>
      <c r="F1706" s="0" t="s">
        <v>83</v>
      </c>
      <c r="G1706" s="0" t="s">
        <v>145</v>
      </c>
      <c r="H1706" s="0" t="s">
        <v>145</v>
      </c>
      <c r="I1706" s="0" t="s">
        <v>38</v>
      </c>
      <c r="J1706" s="0" t="s">
        <v>39</v>
      </c>
      <c r="K1706" s="0" t="s">
        <v>48</v>
      </c>
      <c r="L1706" s="0" t="s">
        <v>49</v>
      </c>
      <c r="M1706" s="0" t="s">
        <v>140</v>
      </c>
      <c r="N1706" s="0" t="n">
        <v>802</v>
      </c>
      <c r="O1706" s="10" t="n">
        <v>0.0745509304106236</v>
      </c>
      <c r="P1706" s="10" t="n">
        <v>0.143331421539187</v>
      </c>
      <c r="Q1706" s="0" t="str">
        <f aca="false">SUBSTITUTE(SUBSTITUTE($I1706,CHAR(61),""),CHAR(34),"")</f>
        <v>15-24</v>
      </c>
      <c r="R1706" s="0" t="str">
        <f aca="false">IF($D1706&lt;&gt;"","["&amp;$E1706&amp;"]"&amp;"|"&amp;$Q1706&amp;"|"&amp;$K1706&amp;"|"&amp;$G1706&amp;"|"&amp;IF($G1706="TX_CURR_SUBNAT.R","CY2022Q4",$M1706),"")</f>
        <v>[ir8wuHHzoSs]|15-24|Male|PopART.Rt.T_1|CY2023Q3</v>
      </c>
    </row>
    <row r="1707" customFormat="false" ht="15" hidden="false" customHeight="false" outlineLevel="0" collapsed="false">
      <c r="D1707" s="0" t="s">
        <v>81</v>
      </c>
      <c r="E1707" s="0" t="s">
        <v>82</v>
      </c>
      <c r="F1707" s="0" t="s">
        <v>83</v>
      </c>
      <c r="G1707" s="0" t="s">
        <v>145</v>
      </c>
      <c r="H1707" s="0" t="s">
        <v>145</v>
      </c>
      <c r="I1707" s="0" t="s">
        <v>41</v>
      </c>
      <c r="J1707" s="0" t="s">
        <v>42</v>
      </c>
      <c r="K1707" s="0" t="s">
        <v>48</v>
      </c>
      <c r="L1707" s="0" t="s">
        <v>49</v>
      </c>
      <c r="M1707" s="0" t="s">
        <v>140</v>
      </c>
      <c r="N1707" s="0" t="n">
        <v>1361</v>
      </c>
      <c r="O1707" s="10" t="n">
        <v>0.271601890446618</v>
      </c>
      <c r="P1707" s="10" t="n">
        <v>0.143331421539187</v>
      </c>
      <c r="Q1707" s="0" t="str">
        <f aca="false">SUBSTITUTE(SUBSTITUTE($I1707,CHAR(61),""),CHAR(34),"")</f>
        <v>25-34</v>
      </c>
      <c r="R1707" s="0" t="str">
        <f aca="false">IF($D1707&lt;&gt;"","["&amp;$E1707&amp;"]"&amp;"|"&amp;$Q1707&amp;"|"&amp;$K1707&amp;"|"&amp;$G1707&amp;"|"&amp;IF($G1707="TX_CURR_SUBNAT.R","CY2022Q4",$M1707),"")</f>
        <v>[ir8wuHHzoSs]|25-34|Male|PopART.Rt.T_1|CY2023Q3</v>
      </c>
    </row>
    <row r="1708" customFormat="false" ht="15" hidden="false" customHeight="false" outlineLevel="0" collapsed="false">
      <c r="D1708" s="0" t="s">
        <v>81</v>
      </c>
      <c r="E1708" s="0" t="s">
        <v>82</v>
      </c>
      <c r="F1708" s="0" t="s">
        <v>83</v>
      </c>
      <c r="G1708" s="0" t="s">
        <v>145</v>
      </c>
      <c r="H1708" s="0" t="s">
        <v>145</v>
      </c>
      <c r="I1708" s="0" t="s">
        <v>43</v>
      </c>
      <c r="J1708" s="0" t="s">
        <v>44</v>
      </c>
      <c r="K1708" s="0" t="s">
        <v>48</v>
      </c>
      <c r="L1708" s="0" t="s">
        <v>49</v>
      </c>
      <c r="M1708" s="0" t="s">
        <v>140</v>
      </c>
      <c r="N1708" s="0" t="n">
        <v>1800</v>
      </c>
      <c r="O1708" s="10" t="n">
        <v>0.260101679246873</v>
      </c>
      <c r="P1708" s="10" t="n">
        <v>0.143331421539187</v>
      </c>
      <c r="Q1708" s="0" t="str">
        <f aca="false">SUBSTITUTE(SUBSTITUTE($I1708,CHAR(61),""),CHAR(34),"")</f>
        <v>35-49</v>
      </c>
      <c r="R1708" s="0" t="str">
        <f aca="false">IF($D1708&lt;&gt;"","["&amp;$E1708&amp;"]"&amp;"|"&amp;$Q1708&amp;"|"&amp;$K1708&amp;"|"&amp;$G1708&amp;"|"&amp;IF($G1708="TX_CURR_SUBNAT.R","CY2022Q4",$M1708),"")</f>
        <v>[ir8wuHHzoSs]|35-49|Male|PopART.Rt.T_1|CY2023Q3</v>
      </c>
    </row>
    <row r="1709" customFormat="false" ht="15" hidden="false" customHeight="false" outlineLevel="0" collapsed="false">
      <c r="D1709" s="0" t="s">
        <v>81</v>
      </c>
      <c r="E1709" s="0" t="s">
        <v>82</v>
      </c>
      <c r="F1709" s="0" t="s">
        <v>83</v>
      </c>
      <c r="G1709" s="0" t="s">
        <v>145</v>
      </c>
      <c r="H1709" s="0" t="s">
        <v>145</v>
      </c>
      <c r="I1709" s="0" t="s">
        <v>45</v>
      </c>
      <c r="J1709" s="0" t="s">
        <v>46</v>
      </c>
      <c r="K1709" s="0" t="s">
        <v>48</v>
      </c>
      <c r="L1709" s="0" t="s">
        <v>49</v>
      </c>
      <c r="M1709" s="0" t="s">
        <v>140</v>
      </c>
      <c r="N1709" s="0" t="n">
        <v>1036</v>
      </c>
      <c r="O1709" s="10" t="n">
        <v>0.373932489426807</v>
      </c>
      <c r="P1709" s="10" t="n">
        <v>0.143331421539187</v>
      </c>
      <c r="Q1709" s="0" t="str">
        <f aca="false">SUBSTITUTE(SUBSTITUTE($I1709,CHAR(61),""),CHAR(34),"")</f>
        <v>50+</v>
      </c>
      <c r="R1709" s="0" t="str">
        <f aca="false">IF($D1709&lt;&gt;"","["&amp;$E1709&amp;"]"&amp;"|"&amp;$Q1709&amp;"|"&amp;$K1709&amp;"|"&amp;$G1709&amp;"|"&amp;IF($G1709="TX_CURR_SUBNAT.R","CY2022Q4",$M1709),"")</f>
        <v>[ir8wuHHzoSs]|50+|Male|PopART.Rt.T_1|CY2023Q3</v>
      </c>
    </row>
    <row r="1710" customFormat="false" ht="15" hidden="false" customHeight="false" outlineLevel="0" collapsed="false">
      <c r="D1710" s="0" t="s">
        <v>84</v>
      </c>
      <c r="E1710" s="0" t="s">
        <v>85</v>
      </c>
      <c r="F1710" s="0" t="s">
        <v>86</v>
      </c>
      <c r="G1710" s="0" t="s">
        <v>145</v>
      </c>
      <c r="H1710" s="0" t="s">
        <v>145</v>
      </c>
      <c r="I1710" s="0" t="s">
        <v>28</v>
      </c>
      <c r="J1710" s="0" t="s">
        <v>29</v>
      </c>
      <c r="K1710" s="0" t="s">
        <v>30</v>
      </c>
      <c r="L1710" s="0" t="s">
        <v>31</v>
      </c>
      <c r="M1710" s="0" t="s">
        <v>140</v>
      </c>
      <c r="N1710" s="0" t="n">
        <v>1272</v>
      </c>
      <c r="O1710" s="10" t="n">
        <v>0.0398495758417994</v>
      </c>
      <c r="P1710" s="10" t="n">
        <v>0.0297887143678963</v>
      </c>
      <c r="Q1710" s="0" t="str">
        <f aca="false">SUBSTITUTE(SUBSTITUTE($I1710,CHAR(61),""),CHAR(34),"")</f>
        <v>&lt;01</v>
      </c>
      <c r="R1710" s="0" t="str">
        <f aca="false">IF($D1710&lt;&gt;"","["&amp;$E1710&amp;"]"&amp;"|"&amp;$Q1710&amp;"|"&amp;$K1710&amp;"|"&amp;$G1710&amp;"|"&amp;IF($G1710="TX_CURR_SUBNAT.R","CY2022Q4",$M1710),"")</f>
        <v>[fyEoGEPERdI]|&lt;01|Female|PopART.Rt.T_1|CY2023Q3</v>
      </c>
    </row>
    <row r="1711" customFormat="false" ht="15" hidden="false" customHeight="false" outlineLevel="0" collapsed="false">
      <c r="D1711" s="0" t="s">
        <v>84</v>
      </c>
      <c r="E1711" s="0" t="s">
        <v>85</v>
      </c>
      <c r="F1711" s="0" t="s">
        <v>86</v>
      </c>
      <c r="G1711" s="0" t="s">
        <v>145</v>
      </c>
      <c r="H1711" s="0" t="s">
        <v>145</v>
      </c>
      <c r="I1711" s="0" t="s">
        <v>33</v>
      </c>
      <c r="J1711" s="0" t="s">
        <v>34</v>
      </c>
      <c r="K1711" s="0" t="s">
        <v>30</v>
      </c>
      <c r="L1711" s="0" t="s">
        <v>31</v>
      </c>
      <c r="M1711" s="0" t="s">
        <v>140</v>
      </c>
      <c r="N1711" s="0" t="n">
        <v>1618</v>
      </c>
      <c r="O1711" s="10" t="n">
        <v>0.539199010934681</v>
      </c>
      <c r="P1711" s="10" t="n">
        <v>0.0297887143678963</v>
      </c>
      <c r="Q1711" s="0" t="str">
        <f aca="false">SUBSTITUTE(SUBSTITUTE($I1711,CHAR(61),""),CHAR(34),"")</f>
        <v>01-09</v>
      </c>
      <c r="R1711" s="0" t="str">
        <f aca="false">IF($D1711&lt;&gt;"","["&amp;$E1711&amp;"]"&amp;"|"&amp;$Q1711&amp;"|"&amp;$K1711&amp;"|"&amp;$G1711&amp;"|"&amp;IF($G1711="TX_CURR_SUBNAT.R","CY2022Q4",$M1711),"")</f>
        <v>[fyEoGEPERdI]|01-09|Female|PopART.Rt.T_1|CY2023Q3</v>
      </c>
    </row>
    <row r="1712" customFormat="false" ht="15" hidden="false" customHeight="false" outlineLevel="0" collapsed="false">
      <c r="D1712" s="0" t="s">
        <v>84</v>
      </c>
      <c r="E1712" s="0" t="s">
        <v>85</v>
      </c>
      <c r="F1712" s="0" t="s">
        <v>86</v>
      </c>
      <c r="G1712" s="0" t="s">
        <v>145</v>
      </c>
      <c r="H1712" s="0" t="s">
        <v>145</v>
      </c>
      <c r="I1712" s="0" t="s">
        <v>36</v>
      </c>
      <c r="J1712" s="0" t="s">
        <v>37</v>
      </c>
      <c r="K1712" s="0" t="s">
        <v>30</v>
      </c>
      <c r="L1712" s="0" t="s">
        <v>31</v>
      </c>
      <c r="M1712" s="0" t="s">
        <v>140</v>
      </c>
      <c r="N1712" s="0" t="n">
        <v>1522</v>
      </c>
      <c r="O1712" s="10" t="n">
        <v>0.552041057962924</v>
      </c>
      <c r="P1712" s="10" t="n">
        <v>0.0297887143678963</v>
      </c>
      <c r="Q1712" s="0" t="str">
        <f aca="false">SUBSTITUTE(SUBSTITUTE($I1712,CHAR(61),""),CHAR(34),"")</f>
        <v>10-14</v>
      </c>
      <c r="R1712" s="0" t="str">
        <f aca="false">IF($D1712&lt;&gt;"","["&amp;$E1712&amp;"]"&amp;"|"&amp;$Q1712&amp;"|"&amp;$K1712&amp;"|"&amp;$G1712&amp;"|"&amp;IF($G1712="TX_CURR_SUBNAT.R","CY2022Q4",$M1712),"")</f>
        <v>[fyEoGEPERdI]|10-14|Female|PopART.Rt.T_1|CY2023Q3</v>
      </c>
    </row>
    <row r="1713" customFormat="false" ht="15" hidden="false" customHeight="false" outlineLevel="0" collapsed="false">
      <c r="D1713" s="0" t="s">
        <v>84</v>
      </c>
      <c r="E1713" s="0" t="s">
        <v>85</v>
      </c>
      <c r="F1713" s="0" t="s">
        <v>86</v>
      </c>
      <c r="G1713" s="0" t="s">
        <v>145</v>
      </c>
      <c r="H1713" s="0" t="s">
        <v>145</v>
      </c>
      <c r="I1713" s="0" t="s">
        <v>38</v>
      </c>
      <c r="J1713" s="0" t="s">
        <v>39</v>
      </c>
      <c r="K1713" s="0" t="s">
        <v>30</v>
      </c>
      <c r="L1713" s="0" t="s">
        <v>31</v>
      </c>
      <c r="M1713" s="0" t="s">
        <v>140</v>
      </c>
      <c r="N1713" s="0" t="n">
        <v>654</v>
      </c>
      <c r="O1713" s="10" t="n">
        <v>0.925934616476297</v>
      </c>
      <c r="P1713" s="10" t="n">
        <v>0.0297887143678963</v>
      </c>
      <c r="Q1713" s="0" t="str">
        <f aca="false">SUBSTITUTE(SUBSTITUTE($I1713,CHAR(61),""),CHAR(34),"")</f>
        <v>15-24</v>
      </c>
      <c r="R1713" s="0" t="str">
        <f aca="false">IF($D1713&lt;&gt;"","["&amp;$E1713&amp;"]"&amp;"|"&amp;$Q1713&amp;"|"&amp;$K1713&amp;"|"&amp;$G1713&amp;"|"&amp;IF($G1713="TX_CURR_SUBNAT.R","CY2022Q4",$M1713),"")</f>
        <v>[fyEoGEPERdI]|15-24|Female|PopART.Rt.T_1|CY2023Q3</v>
      </c>
    </row>
    <row r="1714" customFormat="false" ht="15" hidden="false" customHeight="false" outlineLevel="0" collapsed="false">
      <c r="D1714" s="0" t="s">
        <v>84</v>
      </c>
      <c r="E1714" s="0" t="s">
        <v>85</v>
      </c>
      <c r="F1714" s="0" t="s">
        <v>86</v>
      </c>
      <c r="G1714" s="0" t="s">
        <v>145</v>
      </c>
      <c r="H1714" s="0" t="s">
        <v>145</v>
      </c>
      <c r="I1714" s="0" t="s">
        <v>41</v>
      </c>
      <c r="J1714" s="0" t="s">
        <v>42</v>
      </c>
      <c r="K1714" s="0" t="s">
        <v>30</v>
      </c>
      <c r="L1714" s="0" t="s">
        <v>31</v>
      </c>
      <c r="M1714" s="0" t="s">
        <v>140</v>
      </c>
      <c r="N1714" s="0" t="n">
        <v>1525</v>
      </c>
      <c r="O1714" s="10" t="n">
        <v>0.324429953237996</v>
      </c>
      <c r="P1714" s="10" t="n">
        <v>0.0297887143678963</v>
      </c>
      <c r="Q1714" s="0" t="str">
        <f aca="false">SUBSTITUTE(SUBSTITUTE($I1714,CHAR(61),""),CHAR(34),"")</f>
        <v>25-34</v>
      </c>
      <c r="R1714" s="0" t="str">
        <f aca="false">IF($D1714&lt;&gt;"","["&amp;$E1714&amp;"]"&amp;"|"&amp;$Q1714&amp;"|"&amp;$K1714&amp;"|"&amp;$G1714&amp;"|"&amp;IF($G1714="TX_CURR_SUBNAT.R","CY2022Q4",$M1714),"")</f>
        <v>[fyEoGEPERdI]|25-34|Female|PopART.Rt.T_1|CY2023Q3</v>
      </c>
    </row>
    <row r="1715" customFormat="false" ht="15" hidden="false" customHeight="false" outlineLevel="0" collapsed="false">
      <c r="D1715" s="0" t="s">
        <v>84</v>
      </c>
      <c r="E1715" s="0" t="s">
        <v>85</v>
      </c>
      <c r="F1715" s="0" t="s">
        <v>86</v>
      </c>
      <c r="G1715" s="0" t="s">
        <v>145</v>
      </c>
      <c r="H1715" s="0" t="s">
        <v>145</v>
      </c>
      <c r="I1715" s="0" t="s">
        <v>43</v>
      </c>
      <c r="J1715" s="0" t="s">
        <v>44</v>
      </c>
      <c r="K1715" s="0" t="s">
        <v>30</v>
      </c>
      <c r="L1715" s="0" t="s">
        <v>31</v>
      </c>
      <c r="M1715" s="0" t="s">
        <v>140</v>
      </c>
      <c r="N1715" s="0" t="n">
        <v>1588</v>
      </c>
      <c r="O1715" s="10" t="n">
        <v>0.8724649338983</v>
      </c>
      <c r="P1715" s="10" t="n">
        <v>0.0297887143678963</v>
      </c>
      <c r="Q1715" s="0" t="str">
        <f aca="false">SUBSTITUTE(SUBSTITUTE($I1715,CHAR(61),""),CHAR(34),"")</f>
        <v>35-49</v>
      </c>
      <c r="R1715" s="0" t="str">
        <f aca="false">IF($D1715&lt;&gt;"","["&amp;$E1715&amp;"]"&amp;"|"&amp;$Q1715&amp;"|"&amp;$K1715&amp;"|"&amp;$G1715&amp;"|"&amp;IF($G1715="TX_CURR_SUBNAT.R","CY2022Q4",$M1715),"")</f>
        <v>[fyEoGEPERdI]|35-49|Female|PopART.Rt.T_1|CY2023Q3</v>
      </c>
    </row>
    <row r="1716" customFormat="false" ht="15" hidden="false" customHeight="false" outlineLevel="0" collapsed="false">
      <c r="D1716" s="0" t="s">
        <v>84</v>
      </c>
      <c r="E1716" s="0" t="s">
        <v>85</v>
      </c>
      <c r="F1716" s="0" t="s">
        <v>86</v>
      </c>
      <c r="G1716" s="0" t="s">
        <v>145</v>
      </c>
      <c r="H1716" s="0" t="s">
        <v>145</v>
      </c>
      <c r="I1716" s="0" t="s">
        <v>45</v>
      </c>
      <c r="J1716" s="0" t="s">
        <v>46</v>
      </c>
      <c r="K1716" s="0" t="s">
        <v>30</v>
      </c>
      <c r="L1716" s="0" t="s">
        <v>31</v>
      </c>
      <c r="M1716" s="0" t="s">
        <v>140</v>
      </c>
      <c r="N1716" s="0" t="n">
        <v>1194</v>
      </c>
      <c r="O1716" s="10" t="n">
        <v>0.985209525097162</v>
      </c>
      <c r="P1716" s="10" t="n">
        <v>0.0297887143678963</v>
      </c>
      <c r="Q1716" s="0" t="str">
        <f aca="false">SUBSTITUTE(SUBSTITUTE($I1716,CHAR(61),""),CHAR(34),"")</f>
        <v>50+</v>
      </c>
      <c r="R1716" s="0" t="str">
        <f aca="false">IF($D1716&lt;&gt;"","["&amp;$E1716&amp;"]"&amp;"|"&amp;$Q1716&amp;"|"&amp;$K1716&amp;"|"&amp;$G1716&amp;"|"&amp;IF($G1716="TX_CURR_SUBNAT.R","CY2022Q4",$M1716),"")</f>
        <v>[fyEoGEPERdI]|50+|Female|PopART.Rt.T_1|CY2023Q3</v>
      </c>
    </row>
    <row r="1717" customFormat="false" ht="15" hidden="false" customHeight="false" outlineLevel="0" collapsed="false">
      <c r="D1717" s="0" t="s">
        <v>84</v>
      </c>
      <c r="E1717" s="0" t="s">
        <v>85</v>
      </c>
      <c r="F1717" s="0" t="s">
        <v>86</v>
      </c>
      <c r="G1717" s="0" t="s">
        <v>145</v>
      </c>
      <c r="H1717" s="0" t="s">
        <v>145</v>
      </c>
      <c r="I1717" s="0" t="s">
        <v>28</v>
      </c>
      <c r="J1717" s="0" t="s">
        <v>29</v>
      </c>
      <c r="K1717" s="0" t="s">
        <v>48</v>
      </c>
      <c r="L1717" s="0" t="s">
        <v>49</v>
      </c>
      <c r="M1717" s="0" t="s">
        <v>140</v>
      </c>
      <c r="N1717" s="0" t="n">
        <v>892</v>
      </c>
      <c r="O1717" s="10" t="n">
        <v>0.243719130987301</v>
      </c>
      <c r="P1717" s="10" t="n">
        <v>0.0297887143678963</v>
      </c>
      <c r="Q1717" s="0" t="str">
        <f aca="false">SUBSTITUTE(SUBSTITUTE($I1717,CHAR(61),""),CHAR(34),"")</f>
        <v>&lt;01</v>
      </c>
      <c r="R1717" s="0" t="str">
        <f aca="false">IF($D1717&lt;&gt;"","["&amp;$E1717&amp;"]"&amp;"|"&amp;$Q1717&amp;"|"&amp;$K1717&amp;"|"&amp;$G1717&amp;"|"&amp;IF($G1717="TX_CURR_SUBNAT.R","CY2022Q4",$M1717),"")</f>
        <v>[fyEoGEPERdI]|&lt;01|Male|PopART.Rt.T_1|CY2023Q3</v>
      </c>
    </row>
    <row r="1718" customFormat="false" ht="15" hidden="false" customHeight="false" outlineLevel="0" collapsed="false">
      <c r="D1718" s="0" t="s">
        <v>84</v>
      </c>
      <c r="E1718" s="0" t="s">
        <v>85</v>
      </c>
      <c r="F1718" s="0" t="s">
        <v>86</v>
      </c>
      <c r="G1718" s="0" t="s">
        <v>145</v>
      </c>
      <c r="H1718" s="0" t="s">
        <v>145</v>
      </c>
      <c r="I1718" s="0" t="s">
        <v>33</v>
      </c>
      <c r="J1718" s="0" t="s">
        <v>34</v>
      </c>
      <c r="K1718" s="0" t="s">
        <v>48</v>
      </c>
      <c r="L1718" s="0" t="s">
        <v>49</v>
      </c>
      <c r="M1718" s="0" t="s">
        <v>140</v>
      </c>
      <c r="N1718" s="0" t="n">
        <v>1864</v>
      </c>
      <c r="O1718" s="10" t="n">
        <v>0.301454714965075</v>
      </c>
      <c r="P1718" s="10" t="n">
        <v>0.0297887143678963</v>
      </c>
      <c r="Q1718" s="0" t="str">
        <f aca="false">SUBSTITUTE(SUBSTITUTE($I1718,CHAR(61),""),CHAR(34),"")</f>
        <v>01-09</v>
      </c>
      <c r="R1718" s="0" t="str">
        <f aca="false">IF($D1718&lt;&gt;"","["&amp;$E1718&amp;"]"&amp;"|"&amp;$Q1718&amp;"|"&amp;$K1718&amp;"|"&amp;$G1718&amp;"|"&amp;IF($G1718="TX_CURR_SUBNAT.R","CY2022Q4",$M1718),"")</f>
        <v>[fyEoGEPERdI]|01-09|Male|PopART.Rt.T_1|CY2023Q3</v>
      </c>
    </row>
    <row r="1719" customFormat="false" ht="15" hidden="false" customHeight="false" outlineLevel="0" collapsed="false">
      <c r="D1719" s="0" t="s">
        <v>84</v>
      </c>
      <c r="E1719" s="0" t="s">
        <v>85</v>
      </c>
      <c r="F1719" s="0" t="s">
        <v>86</v>
      </c>
      <c r="G1719" s="0" t="s">
        <v>145</v>
      </c>
      <c r="H1719" s="0" t="s">
        <v>145</v>
      </c>
      <c r="I1719" s="0" t="s">
        <v>36</v>
      </c>
      <c r="J1719" s="0" t="s">
        <v>37</v>
      </c>
      <c r="K1719" s="0" t="s">
        <v>48</v>
      </c>
      <c r="L1719" s="0" t="s">
        <v>49</v>
      </c>
      <c r="M1719" s="0" t="s">
        <v>140</v>
      </c>
      <c r="N1719" s="0" t="n">
        <v>1355</v>
      </c>
      <c r="O1719" s="10" t="n">
        <v>0.305109011940658</v>
      </c>
      <c r="P1719" s="10" t="n">
        <v>0.0297887143678963</v>
      </c>
      <c r="Q1719" s="0" t="str">
        <f aca="false">SUBSTITUTE(SUBSTITUTE($I1719,CHAR(61),""),CHAR(34),"")</f>
        <v>10-14</v>
      </c>
      <c r="R1719" s="0" t="str">
        <f aca="false">IF($D1719&lt;&gt;"","["&amp;$E1719&amp;"]"&amp;"|"&amp;$Q1719&amp;"|"&amp;$K1719&amp;"|"&amp;$G1719&amp;"|"&amp;IF($G1719="TX_CURR_SUBNAT.R","CY2022Q4",$M1719),"")</f>
        <v>[fyEoGEPERdI]|10-14|Male|PopART.Rt.T_1|CY2023Q3</v>
      </c>
    </row>
    <row r="1720" customFormat="false" ht="15" hidden="false" customHeight="false" outlineLevel="0" collapsed="false">
      <c r="D1720" s="0" t="s">
        <v>84</v>
      </c>
      <c r="E1720" s="0" t="s">
        <v>85</v>
      </c>
      <c r="F1720" s="0" t="s">
        <v>86</v>
      </c>
      <c r="G1720" s="0" t="s">
        <v>145</v>
      </c>
      <c r="H1720" s="0" t="s">
        <v>145</v>
      </c>
      <c r="I1720" s="0" t="s">
        <v>38</v>
      </c>
      <c r="J1720" s="0" t="s">
        <v>39</v>
      </c>
      <c r="K1720" s="0" t="s">
        <v>48</v>
      </c>
      <c r="L1720" s="0" t="s">
        <v>49</v>
      </c>
      <c r="M1720" s="0" t="s">
        <v>140</v>
      </c>
      <c r="N1720" s="0" t="n">
        <v>1449</v>
      </c>
      <c r="O1720" s="10" t="n">
        <v>0.624877533875406</v>
      </c>
      <c r="P1720" s="10" t="n">
        <v>0.0297887143678963</v>
      </c>
      <c r="Q1720" s="0" t="str">
        <f aca="false">SUBSTITUTE(SUBSTITUTE($I1720,CHAR(61),""),CHAR(34),"")</f>
        <v>15-24</v>
      </c>
      <c r="R1720" s="0" t="str">
        <f aca="false">IF($D1720&lt;&gt;"","["&amp;$E1720&amp;"]"&amp;"|"&amp;$Q1720&amp;"|"&amp;$K1720&amp;"|"&amp;$G1720&amp;"|"&amp;IF($G1720="TX_CURR_SUBNAT.R","CY2022Q4",$M1720),"")</f>
        <v>[fyEoGEPERdI]|15-24|Male|PopART.Rt.T_1|CY2023Q3</v>
      </c>
    </row>
    <row r="1721" customFormat="false" ht="15" hidden="false" customHeight="false" outlineLevel="0" collapsed="false">
      <c r="D1721" s="0" t="s">
        <v>84</v>
      </c>
      <c r="E1721" s="0" t="s">
        <v>85</v>
      </c>
      <c r="F1721" s="0" t="s">
        <v>86</v>
      </c>
      <c r="G1721" s="0" t="s">
        <v>145</v>
      </c>
      <c r="H1721" s="0" t="s">
        <v>145</v>
      </c>
      <c r="I1721" s="0" t="s">
        <v>41</v>
      </c>
      <c r="J1721" s="0" t="s">
        <v>42</v>
      </c>
      <c r="K1721" s="0" t="s">
        <v>48</v>
      </c>
      <c r="L1721" s="0" t="s">
        <v>49</v>
      </c>
      <c r="M1721" s="0" t="s">
        <v>140</v>
      </c>
      <c r="N1721" s="0" t="n">
        <v>1332</v>
      </c>
      <c r="O1721" s="10" t="n">
        <v>0.153101843548939</v>
      </c>
      <c r="P1721" s="10" t="n">
        <v>0.0297887143678963</v>
      </c>
      <c r="Q1721" s="0" t="str">
        <f aca="false">SUBSTITUTE(SUBSTITUTE($I1721,CHAR(61),""),CHAR(34),"")</f>
        <v>25-34</v>
      </c>
      <c r="R1721" s="0" t="str">
        <f aca="false">IF($D1721&lt;&gt;"","["&amp;$E1721&amp;"]"&amp;"|"&amp;$Q1721&amp;"|"&amp;$K1721&amp;"|"&amp;$G1721&amp;"|"&amp;IF($G1721="TX_CURR_SUBNAT.R","CY2022Q4",$M1721),"")</f>
        <v>[fyEoGEPERdI]|25-34|Male|PopART.Rt.T_1|CY2023Q3</v>
      </c>
    </row>
    <row r="1722" customFormat="false" ht="15" hidden="false" customHeight="false" outlineLevel="0" collapsed="false">
      <c r="D1722" s="0" t="s">
        <v>84</v>
      </c>
      <c r="E1722" s="0" t="s">
        <v>85</v>
      </c>
      <c r="F1722" s="0" t="s">
        <v>86</v>
      </c>
      <c r="G1722" s="0" t="s">
        <v>145</v>
      </c>
      <c r="H1722" s="0" t="s">
        <v>145</v>
      </c>
      <c r="I1722" s="0" t="s">
        <v>43</v>
      </c>
      <c r="J1722" s="0" t="s">
        <v>44</v>
      </c>
      <c r="K1722" s="0" t="s">
        <v>48</v>
      </c>
      <c r="L1722" s="0" t="s">
        <v>49</v>
      </c>
      <c r="M1722" s="0" t="s">
        <v>140</v>
      </c>
      <c r="N1722" s="0" t="n">
        <v>1946</v>
      </c>
      <c r="O1722" s="10" t="n">
        <v>0.404147345805541</v>
      </c>
      <c r="P1722" s="10" t="n">
        <v>0.0297887143678963</v>
      </c>
      <c r="Q1722" s="0" t="str">
        <f aca="false">SUBSTITUTE(SUBSTITUTE($I1722,CHAR(61),""),CHAR(34),"")</f>
        <v>35-49</v>
      </c>
      <c r="R1722" s="0" t="str">
        <f aca="false">IF($D1722&lt;&gt;"","["&amp;$E1722&amp;"]"&amp;"|"&amp;$Q1722&amp;"|"&amp;$K1722&amp;"|"&amp;$G1722&amp;"|"&amp;IF($G1722="TX_CURR_SUBNAT.R","CY2022Q4",$M1722),"")</f>
        <v>[fyEoGEPERdI]|35-49|Male|PopART.Rt.T_1|CY2023Q3</v>
      </c>
    </row>
    <row r="1723" customFormat="false" ht="15" hidden="false" customHeight="false" outlineLevel="0" collapsed="false">
      <c r="D1723" s="0" t="s">
        <v>84</v>
      </c>
      <c r="E1723" s="0" t="s">
        <v>85</v>
      </c>
      <c r="F1723" s="0" t="s">
        <v>86</v>
      </c>
      <c r="G1723" s="0" t="s">
        <v>145</v>
      </c>
      <c r="H1723" s="0" t="s">
        <v>145</v>
      </c>
      <c r="I1723" s="0" t="s">
        <v>45</v>
      </c>
      <c r="J1723" s="0" t="s">
        <v>46</v>
      </c>
      <c r="K1723" s="0" t="s">
        <v>48</v>
      </c>
      <c r="L1723" s="0" t="s">
        <v>49</v>
      </c>
      <c r="M1723" s="0" t="s">
        <v>140</v>
      </c>
      <c r="N1723" s="0" t="n">
        <v>794</v>
      </c>
      <c r="O1723" s="10" t="n">
        <v>0.401512637967244</v>
      </c>
      <c r="P1723" s="10" t="n">
        <v>0.0297887143678963</v>
      </c>
      <c r="Q1723" s="0" t="str">
        <f aca="false">SUBSTITUTE(SUBSTITUTE($I1723,CHAR(61),""),CHAR(34),"")</f>
        <v>50+</v>
      </c>
      <c r="R1723" s="0" t="str">
        <f aca="false">IF($D1723&lt;&gt;"","["&amp;$E1723&amp;"]"&amp;"|"&amp;$Q1723&amp;"|"&amp;$K1723&amp;"|"&amp;$G1723&amp;"|"&amp;IF($G1723="TX_CURR_SUBNAT.R","CY2022Q4",$M1723),"")</f>
        <v>[fyEoGEPERdI]|50+|Male|PopART.Rt.T_1|CY2023Q3</v>
      </c>
    </row>
    <row r="1724" customFormat="false" ht="15" hidden="false" customHeight="false" outlineLevel="0" collapsed="false">
      <c r="D1724" s="0" t="s">
        <v>87</v>
      </c>
      <c r="E1724" s="0" t="s">
        <v>88</v>
      </c>
      <c r="F1724" s="0" t="s">
        <v>89</v>
      </c>
      <c r="G1724" s="0" t="s">
        <v>145</v>
      </c>
      <c r="H1724" s="0" t="s">
        <v>145</v>
      </c>
      <c r="I1724" s="0" t="s">
        <v>28</v>
      </c>
      <c r="J1724" s="0" t="s">
        <v>29</v>
      </c>
      <c r="K1724" s="0" t="s">
        <v>30</v>
      </c>
      <c r="L1724" s="0" t="s">
        <v>31</v>
      </c>
      <c r="M1724" s="0" t="s">
        <v>140</v>
      </c>
      <c r="N1724" s="0" t="n">
        <v>1144</v>
      </c>
      <c r="O1724" s="10" t="n">
        <v>0.309888270916417</v>
      </c>
      <c r="P1724" s="10" t="n">
        <v>0.133336380822584</v>
      </c>
      <c r="Q1724" s="0" t="str">
        <f aca="false">SUBSTITUTE(SUBSTITUTE($I1724,CHAR(61),""),CHAR(34),"")</f>
        <v>&lt;01</v>
      </c>
      <c r="R1724" s="0" t="str">
        <f aca="false">IF($D1724&lt;&gt;"","["&amp;$E1724&amp;"]"&amp;"|"&amp;$Q1724&amp;"|"&amp;$K1724&amp;"|"&amp;$G1724&amp;"|"&amp;IF($G1724="TX_CURR_SUBNAT.R","CY2022Q4",$M1724),"")</f>
        <v>[cPtvxaZqXIH]|&lt;01|Female|PopART.Rt.T_1|CY2023Q3</v>
      </c>
    </row>
    <row r="1725" customFormat="false" ht="15" hidden="false" customHeight="false" outlineLevel="0" collapsed="false">
      <c r="D1725" s="0" t="s">
        <v>87</v>
      </c>
      <c r="E1725" s="0" t="s">
        <v>88</v>
      </c>
      <c r="F1725" s="0" t="s">
        <v>89</v>
      </c>
      <c r="G1725" s="0" t="s">
        <v>145</v>
      </c>
      <c r="H1725" s="0" t="s">
        <v>145</v>
      </c>
      <c r="I1725" s="0" t="s">
        <v>33</v>
      </c>
      <c r="J1725" s="0" t="s">
        <v>34</v>
      </c>
      <c r="K1725" s="0" t="s">
        <v>30</v>
      </c>
      <c r="L1725" s="0" t="s">
        <v>31</v>
      </c>
      <c r="M1725" s="0" t="s">
        <v>140</v>
      </c>
      <c r="N1725" s="0" t="n">
        <v>1171</v>
      </c>
      <c r="O1725" s="10" t="n">
        <v>0.191826183116063</v>
      </c>
      <c r="P1725" s="10" t="n">
        <v>0.133336380822584</v>
      </c>
      <c r="Q1725" s="0" t="str">
        <f aca="false">SUBSTITUTE(SUBSTITUTE($I1725,CHAR(61),""),CHAR(34),"")</f>
        <v>01-09</v>
      </c>
      <c r="R1725" s="0" t="str">
        <f aca="false">IF($D1725&lt;&gt;"","["&amp;$E1725&amp;"]"&amp;"|"&amp;$Q1725&amp;"|"&amp;$K1725&amp;"|"&amp;$G1725&amp;"|"&amp;IF($G1725="TX_CURR_SUBNAT.R","CY2022Q4",$M1725),"")</f>
        <v>[cPtvxaZqXIH]|01-09|Female|PopART.Rt.T_1|CY2023Q3</v>
      </c>
    </row>
    <row r="1726" customFormat="false" ht="15" hidden="false" customHeight="false" outlineLevel="0" collapsed="false">
      <c r="D1726" s="0" t="s">
        <v>87</v>
      </c>
      <c r="E1726" s="0" t="s">
        <v>88</v>
      </c>
      <c r="F1726" s="0" t="s">
        <v>89</v>
      </c>
      <c r="G1726" s="0" t="s">
        <v>145</v>
      </c>
      <c r="H1726" s="0" t="s">
        <v>145</v>
      </c>
      <c r="I1726" s="0" t="s">
        <v>36</v>
      </c>
      <c r="J1726" s="0" t="s">
        <v>37</v>
      </c>
      <c r="K1726" s="0" t="s">
        <v>30</v>
      </c>
      <c r="L1726" s="0" t="s">
        <v>31</v>
      </c>
      <c r="M1726" s="0" t="s">
        <v>140</v>
      </c>
      <c r="N1726" s="0" t="n">
        <v>1487</v>
      </c>
      <c r="O1726" s="10" t="n">
        <v>0.908832981949672</v>
      </c>
      <c r="P1726" s="10" t="n">
        <v>0.133336380822584</v>
      </c>
      <c r="Q1726" s="0" t="str">
        <f aca="false">SUBSTITUTE(SUBSTITUTE($I1726,CHAR(61),""),CHAR(34),"")</f>
        <v>10-14</v>
      </c>
      <c r="R1726" s="0" t="str">
        <f aca="false">IF($D1726&lt;&gt;"","["&amp;$E1726&amp;"]"&amp;"|"&amp;$Q1726&amp;"|"&amp;$K1726&amp;"|"&amp;$G1726&amp;"|"&amp;IF($G1726="TX_CURR_SUBNAT.R","CY2022Q4",$M1726),"")</f>
        <v>[cPtvxaZqXIH]|10-14|Female|PopART.Rt.T_1|CY2023Q3</v>
      </c>
    </row>
    <row r="1727" customFormat="false" ht="15" hidden="false" customHeight="false" outlineLevel="0" collapsed="false">
      <c r="D1727" s="0" t="s">
        <v>87</v>
      </c>
      <c r="E1727" s="0" t="s">
        <v>88</v>
      </c>
      <c r="F1727" s="0" t="s">
        <v>89</v>
      </c>
      <c r="G1727" s="0" t="s">
        <v>145</v>
      </c>
      <c r="H1727" s="0" t="s">
        <v>145</v>
      </c>
      <c r="I1727" s="0" t="s">
        <v>38</v>
      </c>
      <c r="J1727" s="0" t="s">
        <v>39</v>
      </c>
      <c r="K1727" s="0" t="s">
        <v>30</v>
      </c>
      <c r="L1727" s="0" t="s">
        <v>31</v>
      </c>
      <c r="M1727" s="0" t="s">
        <v>140</v>
      </c>
      <c r="N1727" s="0" t="n">
        <v>1022</v>
      </c>
      <c r="O1727" s="10" t="n">
        <v>0.711860307957977</v>
      </c>
      <c r="P1727" s="10" t="n">
        <v>0.133336380822584</v>
      </c>
      <c r="Q1727" s="0" t="str">
        <f aca="false">SUBSTITUTE(SUBSTITUTE($I1727,CHAR(61),""),CHAR(34),"")</f>
        <v>15-24</v>
      </c>
      <c r="R1727" s="0" t="str">
        <f aca="false">IF($D1727&lt;&gt;"","["&amp;$E1727&amp;"]"&amp;"|"&amp;$Q1727&amp;"|"&amp;$K1727&amp;"|"&amp;$G1727&amp;"|"&amp;IF($G1727="TX_CURR_SUBNAT.R","CY2022Q4",$M1727),"")</f>
        <v>[cPtvxaZqXIH]|15-24|Female|PopART.Rt.T_1|CY2023Q3</v>
      </c>
    </row>
    <row r="1728" customFormat="false" ht="15" hidden="false" customHeight="false" outlineLevel="0" collapsed="false">
      <c r="D1728" s="0" t="s">
        <v>87</v>
      </c>
      <c r="E1728" s="0" t="s">
        <v>88</v>
      </c>
      <c r="F1728" s="0" t="s">
        <v>89</v>
      </c>
      <c r="G1728" s="0" t="s">
        <v>145</v>
      </c>
      <c r="H1728" s="0" t="s">
        <v>145</v>
      </c>
      <c r="I1728" s="0" t="s">
        <v>41</v>
      </c>
      <c r="J1728" s="0" t="s">
        <v>42</v>
      </c>
      <c r="K1728" s="0" t="s">
        <v>30</v>
      </c>
      <c r="L1728" s="0" t="s">
        <v>31</v>
      </c>
      <c r="M1728" s="0" t="s">
        <v>140</v>
      </c>
      <c r="N1728" s="0" t="n">
        <v>1236</v>
      </c>
      <c r="O1728" s="10" t="n">
        <v>0.24862272827886</v>
      </c>
      <c r="P1728" s="10" t="n">
        <v>0.133336380822584</v>
      </c>
      <c r="Q1728" s="0" t="str">
        <f aca="false">SUBSTITUTE(SUBSTITUTE($I1728,CHAR(61),""),CHAR(34),"")</f>
        <v>25-34</v>
      </c>
      <c r="R1728" s="0" t="str">
        <f aca="false">IF($D1728&lt;&gt;"","["&amp;$E1728&amp;"]"&amp;"|"&amp;$Q1728&amp;"|"&amp;$K1728&amp;"|"&amp;$G1728&amp;"|"&amp;IF($G1728="TX_CURR_SUBNAT.R","CY2022Q4",$M1728),"")</f>
        <v>[cPtvxaZqXIH]|25-34|Female|PopART.Rt.T_1|CY2023Q3</v>
      </c>
    </row>
    <row r="1729" customFormat="false" ht="15" hidden="false" customHeight="false" outlineLevel="0" collapsed="false">
      <c r="D1729" s="0" t="s">
        <v>87</v>
      </c>
      <c r="E1729" s="0" t="s">
        <v>88</v>
      </c>
      <c r="F1729" s="0" t="s">
        <v>89</v>
      </c>
      <c r="G1729" s="0" t="s">
        <v>145</v>
      </c>
      <c r="H1729" s="0" t="s">
        <v>145</v>
      </c>
      <c r="I1729" s="0" t="s">
        <v>43</v>
      </c>
      <c r="J1729" s="0" t="s">
        <v>44</v>
      </c>
      <c r="K1729" s="0" t="s">
        <v>30</v>
      </c>
      <c r="L1729" s="0" t="s">
        <v>31</v>
      </c>
      <c r="M1729" s="0" t="s">
        <v>140</v>
      </c>
      <c r="N1729" s="0" t="n">
        <v>1838</v>
      </c>
      <c r="O1729" s="10" t="n">
        <v>0.0407845792360604</v>
      </c>
      <c r="P1729" s="10" t="n">
        <v>0.133336380822584</v>
      </c>
      <c r="Q1729" s="0" t="str">
        <f aca="false">SUBSTITUTE(SUBSTITUTE($I1729,CHAR(61),""),CHAR(34),"")</f>
        <v>35-49</v>
      </c>
      <c r="R1729" s="0" t="str">
        <f aca="false">IF($D1729&lt;&gt;"","["&amp;$E1729&amp;"]"&amp;"|"&amp;$Q1729&amp;"|"&amp;$K1729&amp;"|"&amp;$G1729&amp;"|"&amp;IF($G1729="TX_CURR_SUBNAT.R","CY2022Q4",$M1729),"")</f>
        <v>[cPtvxaZqXIH]|35-49|Female|PopART.Rt.T_1|CY2023Q3</v>
      </c>
    </row>
    <row r="1730" customFormat="false" ht="15" hidden="false" customHeight="false" outlineLevel="0" collapsed="false">
      <c r="D1730" s="0" t="s">
        <v>87</v>
      </c>
      <c r="E1730" s="0" t="s">
        <v>88</v>
      </c>
      <c r="F1730" s="0" t="s">
        <v>89</v>
      </c>
      <c r="G1730" s="0" t="s">
        <v>145</v>
      </c>
      <c r="H1730" s="0" t="s">
        <v>145</v>
      </c>
      <c r="I1730" s="0" t="s">
        <v>45</v>
      </c>
      <c r="J1730" s="0" t="s">
        <v>46</v>
      </c>
      <c r="K1730" s="0" t="s">
        <v>30</v>
      </c>
      <c r="L1730" s="0" t="s">
        <v>31</v>
      </c>
      <c r="M1730" s="0" t="s">
        <v>140</v>
      </c>
      <c r="N1730" s="0" t="n">
        <v>1027</v>
      </c>
      <c r="O1730" s="10" t="n">
        <v>0.983346610330045</v>
      </c>
      <c r="P1730" s="10" t="n">
        <v>0.133336380822584</v>
      </c>
      <c r="Q1730" s="0" t="str">
        <f aca="false">SUBSTITUTE(SUBSTITUTE($I1730,CHAR(61),""),CHAR(34),"")</f>
        <v>50+</v>
      </c>
      <c r="R1730" s="0" t="str">
        <f aca="false">IF($D1730&lt;&gt;"","["&amp;$E1730&amp;"]"&amp;"|"&amp;$Q1730&amp;"|"&amp;$K1730&amp;"|"&amp;$G1730&amp;"|"&amp;IF($G1730="TX_CURR_SUBNAT.R","CY2022Q4",$M1730),"")</f>
        <v>[cPtvxaZqXIH]|50+|Female|PopART.Rt.T_1|CY2023Q3</v>
      </c>
    </row>
    <row r="1731" customFormat="false" ht="15" hidden="false" customHeight="false" outlineLevel="0" collapsed="false">
      <c r="D1731" s="0" t="s">
        <v>87</v>
      </c>
      <c r="E1731" s="0" t="s">
        <v>88</v>
      </c>
      <c r="F1731" s="0" t="s">
        <v>89</v>
      </c>
      <c r="G1731" s="0" t="s">
        <v>145</v>
      </c>
      <c r="H1731" s="0" t="s">
        <v>145</v>
      </c>
      <c r="I1731" s="0" t="s">
        <v>28</v>
      </c>
      <c r="J1731" s="0" t="s">
        <v>29</v>
      </c>
      <c r="K1731" s="0" t="s">
        <v>48</v>
      </c>
      <c r="L1731" s="0" t="s">
        <v>49</v>
      </c>
      <c r="M1731" s="0" t="s">
        <v>140</v>
      </c>
      <c r="N1731" s="0" t="n">
        <v>1489</v>
      </c>
      <c r="O1731" s="10" t="n">
        <v>0.972548971418291</v>
      </c>
      <c r="P1731" s="10" t="n">
        <v>0.133336380822584</v>
      </c>
      <c r="Q1731" s="0" t="str">
        <f aca="false">SUBSTITUTE(SUBSTITUTE($I1731,CHAR(61),""),CHAR(34),"")</f>
        <v>&lt;01</v>
      </c>
      <c r="R1731" s="0" t="str">
        <f aca="false">IF($D1731&lt;&gt;"","["&amp;$E1731&amp;"]"&amp;"|"&amp;$Q1731&amp;"|"&amp;$K1731&amp;"|"&amp;$G1731&amp;"|"&amp;IF($G1731="TX_CURR_SUBNAT.R","CY2022Q4",$M1731),"")</f>
        <v>[cPtvxaZqXIH]|&lt;01|Male|PopART.Rt.T_1|CY2023Q3</v>
      </c>
    </row>
    <row r="1732" customFormat="false" ht="15" hidden="false" customHeight="false" outlineLevel="0" collapsed="false">
      <c r="D1732" s="0" t="s">
        <v>87</v>
      </c>
      <c r="E1732" s="0" t="s">
        <v>88</v>
      </c>
      <c r="F1732" s="0" t="s">
        <v>89</v>
      </c>
      <c r="G1732" s="0" t="s">
        <v>145</v>
      </c>
      <c r="H1732" s="0" t="s">
        <v>145</v>
      </c>
      <c r="I1732" s="0" t="s">
        <v>33</v>
      </c>
      <c r="J1732" s="0" t="s">
        <v>34</v>
      </c>
      <c r="K1732" s="0" t="s">
        <v>48</v>
      </c>
      <c r="L1732" s="0" t="s">
        <v>49</v>
      </c>
      <c r="M1732" s="0" t="s">
        <v>140</v>
      </c>
      <c r="N1732" s="0" t="n">
        <v>1417</v>
      </c>
      <c r="O1732" s="10" t="n">
        <v>0.0844153405632824</v>
      </c>
      <c r="P1732" s="10" t="n">
        <v>0.133336380822584</v>
      </c>
      <c r="Q1732" s="0" t="str">
        <f aca="false">SUBSTITUTE(SUBSTITUTE($I1732,CHAR(61),""),CHAR(34),"")</f>
        <v>01-09</v>
      </c>
      <c r="R1732" s="0" t="str">
        <f aca="false">IF($D1732&lt;&gt;"","["&amp;$E1732&amp;"]"&amp;"|"&amp;$Q1732&amp;"|"&amp;$K1732&amp;"|"&amp;$G1732&amp;"|"&amp;IF($G1732="TX_CURR_SUBNAT.R","CY2022Q4",$M1732),"")</f>
        <v>[cPtvxaZqXIH]|01-09|Male|PopART.Rt.T_1|CY2023Q3</v>
      </c>
    </row>
    <row r="1733" customFormat="false" ht="15" hidden="false" customHeight="false" outlineLevel="0" collapsed="false">
      <c r="D1733" s="0" t="s">
        <v>87</v>
      </c>
      <c r="E1733" s="0" t="s">
        <v>88</v>
      </c>
      <c r="F1733" s="0" t="s">
        <v>89</v>
      </c>
      <c r="G1733" s="0" t="s">
        <v>145</v>
      </c>
      <c r="H1733" s="0" t="s">
        <v>145</v>
      </c>
      <c r="I1733" s="0" t="s">
        <v>36</v>
      </c>
      <c r="J1733" s="0" t="s">
        <v>37</v>
      </c>
      <c r="K1733" s="0" t="s">
        <v>48</v>
      </c>
      <c r="L1733" s="0" t="s">
        <v>49</v>
      </c>
      <c r="M1733" s="0" t="s">
        <v>140</v>
      </c>
      <c r="N1733" s="0" t="n">
        <v>1518</v>
      </c>
      <c r="O1733" s="10" t="n">
        <v>0.702925720950589</v>
      </c>
      <c r="P1733" s="10" t="n">
        <v>0.133336380822584</v>
      </c>
      <c r="Q1733" s="0" t="str">
        <f aca="false">SUBSTITUTE(SUBSTITUTE($I1733,CHAR(61),""),CHAR(34),"")</f>
        <v>10-14</v>
      </c>
      <c r="R1733" s="0" t="str">
        <f aca="false">IF($D1733&lt;&gt;"","["&amp;$E1733&amp;"]"&amp;"|"&amp;$Q1733&amp;"|"&amp;$K1733&amp;"|"&amp;$G1733&amp;"|"&amp;IF($G1733="TX_CURR_SUBNAT.R","CY2022Q4",$M1733),"")</f>
        <v>[cPtvxaZqXIH]|10-14|Male|PopART.Rt.T_1|CY2023Q3</v>
      </c>
    </row>
    <row r="1734" customFormat="false" ht="15" hidden="false" customHeight="false" outlineLevel="0" collapsed="false">
      <c r="D1734" s="0" t="s">
        <v>87</v>
      </c>
      <c r="E1734" s="0" t="s">
        <v>88</v>
      </c>
      <c r="F1734" s="0" t="s">
        <v>89</v>
      </c>
      <c r="G1734" s="0" t="s">
        <v>145</v>
      </c>
      <c r="H1734" s="0" t="s">
        <v>145</v>
      </c>
      <c r="I1734" s="0" t="s">
        <v>38</v>
      </c>
      <c r="J1734" s="0" t="s">
        <v>39</v>
      </c>
      <c r="K1734" s="0" t="s">
        <v>48</v>
      </c>
      <c r="L1734" s="0" t="s">
        <v>49</v>
      </c>
      <c r="M1734" s="0" t="s">
        <v>140</v>
      </c>
      <c r="N1734" s="0" t="n">
        <v>569</v>
      </c>
      <c r="O1734" s="10" t="n">
        <v>0.888811340555549</v>
      </c>
      <c r="P1734" s="10" t="n">
        <v>0.133336380822584</v>
      </c>
      <c r="Q1734" s="0" t="str">
        <f aca="false">SUBSTITUTE(SUBSTITUTE($I1734,CHAR(61),""),CHAR(34),"")</f>
        <v>15-24</v>
      </c>
      <c r="R1734" s="0" t="str">
        <f aca="false">IF($D1734&lt;&gt;"","["&amp;$E1734&amp;"]"&amp;"|"&amp;$Q1734&amp;"|"&amp;$K1734&amp;"|"&amp;$G1734&amp;"|"&amp;IF($G1734="TX_CURR_SUBNAT.R","CY2022Q4",$M1734),"")</f>
        <v>[cPtvxaZqXIH]|15-24|Male|PopART.Rt.T_1|CY2023Q3</v>
      </c>
    </row>
    <row r="1735" customFormat="false" ht="15" hidden="false" customHeight="false" outlineLevel="0" collapsed="false">
      <c r="D1735" s="0" t="s">
        <v>87</v>
      </c>
      <c r="E1735" s="0" t="s">
        <v>88</v>
      </c>
      <c r="F1735" s="0" t="s">
        <v>89</v>
      </c>
      <c r="G1735" s="0" t="s">
        <v>145</v>
      </c>
      <c r="H1735" s="0" t="s">
        <v>145</v>
      </c>
      <c r="I1735" s="0" t="s">
        <v>41</v>
      </c>
      <c r="J1735" s="0" t="s">
        <v>42</v>
      </c>
      <c r="K1735" s="0" t="s">
        <v>48</v>
      </c>
      <c r="L1735" s="0" t="s">
        <v>49</v>
      </c>
      <c r="M1735" s="0" t="s">
        <v>140</v>
      </c>
      <c r="N1735" s="0" t="n">
        <v>751</v>
      </c>
      <c r="O1735" s="10" t="n">
        <v>0.385553776519373</v>
      </c>
      <c r="P1735" s="10" t="n">
        <v>0.133336380822584</v>
      </c>
      <c r="Q1735" s="0" t="str">
        <f aca="false">SUBSTITUTE(SUBSTITUTE($I1735,CHAR(61),""),CHAR(34),"")</f>
        <v>25-34</v>
      </c>
      <c r="R1735" s="0" t="str">
        <f aca="false">IF($D1735&lt;&gt;"","["&amp;$E1735&amp;"]"&amp;"|"&amp;$Q1735&amp;"|"&amp;$K1735&amp;"|"&amp;$G1735&amp;"|"&amp;IF($G1735="TX_CURR_SUBNAT.R","CY2022Q4",$M1735),"")</f>
        <v>[cPtvxaZqXIH]|25-34|Male|PopART.Rt.T_1|CY2023Q3</v>
      </c>
    </row>
    <row r="1736" customFormat="false" ht="15" hidden="false" customHeight="false" outlineLevel="0" collapsed="false">
      <c r="D1736" s="0" t="s">
        <v>87</v>
      </c>
      <c r="E1736" s="0" t="s">
        <v>88</v>
      </c>
      <c r="F1736" s="0" t="s">
        <v>89</v>
      </c>
      <c r="G1736" s="0" t="s">
        <v>145</v>
      </c>
      <c r="H1736" s="0" t="s">
        <v>145</v>
      </c>
      <c r="I1736" s="0" t="s">
        <v>43</v>
      </c>
      <c r="J1736" s="0" t="s">
        <v>44</v>
      </c>
      <c r="K1736" s="0" t="s">
        <v>48</v>
      </c>
      <c r="L1736" s="0" t="s">
        <v>49</v>
      </c>
      <c r="M1736" s="0" t="s">
        <v>140</v>
      </c>
      <c r="N1736" s="0" t="n">
        <v>771</v>
      </c>
      <c r="O1736" s="10" t="n">
        <v>0.622551607433707</v>
      </c>
      <c r="P1736" s="10" t="n">
        <v>0.133336380822584</v>
      </c>
      <c r="Q1736" s="0" t="str">
        <f aca="false">SUBSTITUTE(SUBSTITUTE($I1736,CHAR(61),""),CHAR(34),"")</f>
        <v>35-49</v>
      </c>
      <c r="R1736" s="0" t="str">
        <f aca="false">IF($D1736&lt;&gt;"","["&amp;$E1736&amp;"]"&amp;"|"&amp;$Q1736&amp;"|"&amp;$K1736&amp;"|"&amp;$G1736&amp;"|"&amp;IF($G1736="TX_CURR_SUBNAT.R","CY2022Q4",$M1736),"")</f>
        <v>[cPtvxaZqXIH]|35-49|Male|PopART.Rt.T_1|CY2023Q3</v>
      </c>
    </row>
    <row r="1737" customFormat="false" ht="15" hidden="false" customHeight="false" outlineLevel="0" collapsed="false">
      <c r="D1737" s="0" t="s">
        <v>87</v>
      </c>
      <c r="E1737" s="0" t="s">
        <v>88</v>
      </c>
      <c r="F1737" s="0" t="s">
        <v>89</v>
      </c>
      <c r="G1737" s="0" t="s">
        <v>145</v>
      </c>
      <c r="H1737" s="0" t="s">
        <v>145</v>
      </c>
      <c r="I1737" s="0" t="s">
        <v>45</v>
      </c>
      <c r="J1737" s="0" t="s">
        <v>46</v>
      </c>
      <c r="K1737" s="0" t="s">
        <v>48</v>
      </c>
      <c r="L1737" s="0" t="s">
        <v>49</v>
      </c>
      <c r="M1737" s="0" t="s">
        <v>140</v>
      </c>
      <c r="N1737" s="0" t="n">
        <v>1897</v>
      </c>
      <c r="O1737" s="10" t="n">
        <v>0.0149190216325223</v>
      </c>
      <c r="P1737" s="10" t="n">
        <v>0.133336380822584</v>
      </c>
      <c r="Q1737" s="0" t="str">
        <f aca="false">SUBSTITUTE(SUBSTITUTE($I1737,CHAR(61),""),CHAR(34),"")</f>
        <v>50+</v>
      </c>
      <c r="R1737" s="0" t="str">
        <f aca="false">IF($D1737&lt;&gt;"","["&amp;$E1737&amp;"]"&amp;"|"&amp;$Q1737&amp;"|"&amp;$K1737&amp;"|"&amp;$G1737&amp;"|"&amp;IF($G1737="TX_CURR_SUBNAT.R","CY2022Q4",$M1737),"")</f>
        <v>[cPtvxaZqXIH]|50+|Male|PopART.Rt.T_1|CY2023Q3</v>
      </c>
    </row>
    <row r="1738" customFormat="false" ht="15" hidden="false" customHeight="false" outlineLevel="0" collapsed="false">
      <c r="D1738" s="0" t="s">
        <v>90</v>
      </c>
      <c r="E1738" s="0" t="s">
        <v>91</v>
      </c>
      <c r="F1738" s="0" t="s">
        <v>92</v>
      </c>
      <c r="G1738" s="0" t="s">
        <v>145</v>
      </c>
      <c r="H1738" s="0" t="s">
        <v>145</v>
      </c>
      <c r="I1738" s="0" t="s">
        <v>28</v>
      </c>
      <c r="J1738" s="0" t="s">
        <v>29</v>
      </c>
      <c r="K1738" s="0" t="s">
        <v>30</v>
      </c>
      <c r="L1738" s="0" t="s">
        <v>31</v>
      </c>
      <c r="M1738" s="0" t="s">
        <v>140</v>
      </c>
      <c r="N1738" s="0" t="n">
        <v>1004</v>
      </c>
      <c r="O1738" s="10" t="n">
        <v>0.372482202248648</v>
      </c>
      <c r="P1738" s="10" t="n">
        <v>0.719914150424302</v>
      </c>
      <c r="Q1738" s="0" t="str">
        <f aca="false">SUBSTITUTE(SUBSTITUTE($I1738,CHAR(61),""),CHAR(34),"")</f>
        <v>&lt;01</v>
      </c>
      <c r="R1738" s="0" t="str">
        <f aca="false">IF($D1738&lt;&gt;"","["&amp;$E1738&amp;"]"&amp;"|"&amp;$Q1738&amp;"|"&amp;$K1738&amp;"|"&amp;$G1738&amp;"|"&amp;IF($G1738="TX_CURR_SUBNAT.R","CY2022Q4",$M1738),"")</f>
        <v>[AZyWpGzhcaA]|&lt;01|Female|PopART.Rt.T_1|CY2023Q3</v>
      </c>
    </row>
    <row r="1739" customFormat="false" ht="15" hidden="false" customHeight="false" outlineLevel="0" collapsed="false">
      <c r="D1739" s="0" t="s">
        <v>90</v>
      </c>
      <c r="E1739" s="0" t="s">
        <v>91</v>
      </c>
      <c r="F1739" s="0" t="s">
        <v>92</v>
      </c>
      <c r="G1739" s="0" t="s">
        <v>145</v>
      </c>
      <c r="H1739" s="0" t="s">
        <v>145</v>
      </c>
      <c r="I1739" s="0" t="s">
        <v>33</v>
      </c>
      <c r="J1739" s="0" t="s">
        <v>34</v>
      </c>
      <c r="K1739" s="0" t="s">
        <v>30</v>
      </c>
      <c r="L1739" s="0" t="s">
        <v>31</v>
      </c>
      <c r="M1739" s="0" t="s">
        <v>140</v>
      </c>
      <c r="N1739" s="0" t="n">
        <v>1930</v>
      </c>
      <c r="O1739" s="10" t="n">
        <v>0.266360877780244</v>
      </c>
      <c r="P1739" s="10" t="n">
        <v>0.719914150424302</v>
      </c>
      <c r="Q1739" s="0" t="str">
        <f aca="false">SUBSTITUTE(SUBSTITUTE($I1739,CHAR(61),""),CHAR(34),"")</f>
        <v>01-09</v>
      </c>
      <c r="R1739" s="0" t="str">
        <f aca="false">IF($D1739&lt;&gt;"","["&amp;$E1739&amp;"]"&amp;"|"&amp;$Q1739&amp;"|"&amp;$K1739&amp;"|"&amp;$G1739&amp;"|"&amp;IF($G1739="TX_CURR_SUBNAT.R","CY2022Q4",$M1739),"")</f>
        <v>[AZyWpGzhcaA]|01-09|Female|PopART.Rt.T_1|CY2023Q3</v>
      </c>
    </row>
    <row r="1740" customFormat="false" ht="15" hidden="false" customHeight="false" outlineLevel="0" collapsed="false">
      <c r="D1740" s="0" t="s">
        <v>90</v>
      </c>
      <c r="E1740" s="0" t="s">
        <v>91</v>
      </c>
      <c r="F1740" s="0" t="s">
        <v>92</v>
      </c>
      <c r="G1740" s="0" t="s">
        <v>145</v>
      </c>
      <c r="H1740" s="0" t="s">
        <v>145</v>
      </c>
      <c r="I1740" s="0" t="s">
        <v>36</v>
      </c>
      <c r="J1740" s="0" t="s">
        <v>37</v>
      </c>
      <c r="K1740" s="0" t="s">
        <v>30</v>
      </c>
      <c r="L1740" s="0" t="s">
        <v>31</v>
      </c>
      <c r="M1740" s="0" t="s">
        <v>140</v>
      </c>
      <c r="N1740" s="0" t="n">
        <v>858</v>
      </c>
      <c r="O1740" s="10" t="n">
        <v>0.837395944166929</v>
      </c>
      <c r="P1740" s="10" t="n">
        <v>0.719914150424302</v>
      </c>
      <c r="Q1740" s="0" t="str">
        <f aca="false">SUBSTITUTE(SUBSTITUTE($I1740,CHAR(61),""),CHAR(34),"")</f>
        <v>10-14</v>
      </c>
      <c r="R1740" s="0" t="str">
        <f aca="false">IF($D1740&lt;&gt;"","["&amp;$E1740&amp;"]"&amp;"|"&amp;$Q1740&amp;"|"&amp;$K1740&amp;"|"&amp;$G1740&amp;"|"&amp;IF($G1740="TX_CURR_SUBNAT.R","CY2022Q4",$M1740),"")</f>
        <v>[AZyWpGzhcaA]|10-14|Female|PopART.Rt.T_1|CY2023Q3</v>
      </c>
    </row>
    <row r="1741" customFormat="false" ht="15" hidden="false" customHeight="false" outlineLevel="0" collapsed="false">
      <c r="D1741" s="0" t="s">
        <v>90</v>
      </c>
      <c r="E1741" s="0" t="s">
        <v>91</v>
      </c>
      <c r="F1741" s="0" t="s">
        <v>92</v>
      </c>
      <c r="G1741" s="0" t="s">
        <v>145</v>
      </c>
      <c r="H1741" s="0" t="s">
        <v>145</v>
      </c>
      <c r="I1741" s="0" t="s">
        <v>38</v>
      </c>
      <c r="J1741" s="0" t="s">
        <v>39</v>
      </c>
      <c r="K1741" s="0" t="s">
        <v>30</v>
      </c>
      <c r="L1741" s="0" t="s">
        <v>31</v>
      </c>
      <c r="M1741" s="0" t="s">
        <v>140</v>
      </c>
      <c r="N1741" s="0" t="n">
        <v>515</v>
      </c>
      <c r="O1741" s="10" t="n">
        <v>0.931717029074207</v>
      </c>
      <c r="P1741" s="10" t="n">
        <v>0.719914150424302</v>
      </c>
      <c r="Q1741" s="0" t="str">
        <f aca="false">SUBSTITUTE(SUBSTITUTE($I1741,CHAR(61),""),CHAR(34),"")</f>
        <v>15-24</v>
      </c>
      <c r="R1741" s="0" t="str">
        <f aca="false">IF($D1741&lt;&gt;"","["&amp;$E1741&amp;"]"&amp;"|"&amp;$Q1741&amp;"|"&amp;$K1741&amp;"|"&amp;$G1741&amp;"|"&amp;IF($G1741="TX_CURR_SUBNAT.R","CY2022Q4",$M1741),"")</f>
        <v>[AZyWpGzhcaA]|15-24|Female|PopART.Rt.T_1|CY2023Q3</v>
      </c>
    </row>
    <row r="1742" customFormat="false" ht="15" hidden="false" customHeight="false" outlineLevel="0" collapsed="false">
      <c r="D1742" s="0" t="s">
        <v>90</v>
      </c>
      <c r="E1742" s="0" t="s">
        <v>91</v>
      </c>
      <c r="F1742" s="0" t="s">
        <v>92</v>
      </c>
      <c r="G1742" s="0" t="s">
        <v>145</v>
      </c>
      <c r="H1742" s="0" t="s">
        <v>145</v>
      </c>
      <c r="I1742" s="0" t="s">
        <v>41</v>
      </c>
      <c r="J1742" s="0" t="s">
        <v>42</v>
      </c>
      <c r="K1742" s="0" t="s">
        <v>30</v>
      </c>
      <c r="L1742" s="0" t="s">
        <v>31</v>
      </c>
      <c r="M1742" s="0" t="s">
        <v>140</v>
      </c>
      <c r="N1742" s="0" t="n">
        <v>1966</v>
      </c>
      <c r="O1742" s="10" t="n">
        <v>0.174183551687747</v>
      </c>
      <c r="P1742" s="10" t="n">
        <v>0.719914150424302</v>
      </c>
      <c r="Q1742" s="0" t="str">
        <f aca="false">SUBSTITUTE(SUBSTITUTE($I1742,CHAR(61),""),CHAR(34),"")</f>
        <v>25-34</v>
      </c>
      <c r="R1742" s="0" t="str">
        <f aca="false">IF($D1742&lt;&gt;"","["&amp;$E1742&amp;"]"&amp;"|"&amp;$Q1742&amp;"|"&amp;$K1742&amp;"|"&amp;$G1742&amp;"|"&amp;IF($G1742="TX_CURR_SUBNAT.R","CY2022Q4",$M1742),"")</f>
        <v>[AZyWpGzhcaA]|25-34|Female|PopART.Rt.T_1|CY2023Q3</v>
      </c>
    </row>
    <row r="1743" customFormat="false" ht="15" hidden="false" customHeight="false" outlineLevel="0" collapsed="false">
      <c r="D1743" s="0" t="s">
        <v>90</v>
      </c>
      <c r="E1743" s="0" t="s">
        <v>91</v>
      </c>
      <c r="F1743" s="0" t="s">
        <v>92</v>
      </c>
      <c r="G1743" s="0" t="s">
        <v>145</v>
      </c>
      <c r="H1743" s="0" t="s">
        <v>145</v>
      </c>
      <c r="I1743" s="0" t="s">
        <v>43</v>
      </c>
      <c r="J1743" s="0" t="s">
        <v>44</v>
      </c>
      <c r="K1743" s="0" t="s">
        <v>30</v>
      </c>
      <c r="L1743" s="0" t="s">
        <v>31</v>
      </c>
      <c r="M1743" s="0" t="s">
        <v>140</v>
      </c>
      <c r="N1743" s="0" t="n">
        <v>643</v>
      </c>
      <c r="O1743" s="10" t="n">
        <v>0.767827642615885</v>
      </c>
      <c r="P1743" s="10" t="n">
        <v>0.719914150424302</v>
      </c>
      <c r="Q1743" s="0" t="str">
        <f aca="false">SUBSTITUTE(SUBSTITUTE($I1743,CHAR(61),""),CHAR(34),"")</f>
        <v>35-49</v>
      </c>
      <c r="R1743" s="0" t="str">
        <f aca="false">IF($D1743&lt;&gt;"","["&amp;$E1743&amp;"]"&amp;"|"&amp;$Q1743&amp;"|"&amp;$K1743&amp;"|"&amp;$G1743&amp;"|"&amp;IF($G1743="TX_CURR_SUBNAT.R","CY2022Q4",$M1743),"")</f>
        <v>[AZyWpGzhcaA]|35-49|Female|PopART.Rt.T_1|CY2023Q3</v>
      </c>
    </row>
    <row r="1744" customFormat="false" ht="15" hidden="false" customHeight="false" outlineLevel="0" collapsed="false">
      <c r="D1744" s="0" t="s">
        <v>90</v>
      </c>
      <c r="E1744" s="0" t="s">
        <v>91</v>
      </c>
      <c r="F1744" s="0" t="s">
        <v>92</v>
      </c>
      <c r="G1744" s="0" t="s">
        <v>145</v>
      </c>
      <c r="H1744" s="0" t="s">
        <v>145</v>
      </c>
      <c r="I1744" s="0" t="s">
        <v>45</v>
      </c>
      <c r="J1744" s="0" t="s">
        <v>46</v>
      </c>
      <c r="K1744" s="0" t="s">
        <v>30</v>
      </c>
      <c r="L1744" s="0" t="s">
        <v>31</v>
      </c>
      <c r="M1744" s="0" t="s">
        <v>140</v>
      </c>
      <c r="N1744" s="0" t="n">
        <v>660</v>
      </c>
      <c r="O1744" s="10" t="n">
        <v>0.0239092377014458</v>
      </c>
      <c r="P1744" s="10" t="n">
        <v>0.719914150424302</v>
      </c>
      <c r="Q1744" s="0" t="str">
        <f aca="false">SUBSTITUTE(SUBSTITUTE($I1744,CHAR(61),""),CHAR(34),"")</f>
        <v>50+</v>
      </c>
      <c r="R1744" s="0" t="str">
        <f aca="false">IF($D1744&lt;&gt;"","["&amp;$E1744&amp;"]"&amp;"|"&amp;$Q1744&amp;"|"&amp;$K1744&amp;"|"&amp;$G1744&amp;"|"&amp;IF($G1744="TX_CURR_SUBNAT.R","CY2022Q4",$M1744),"")</f>
        <v>[AZyWpGzhcaA]|50+|Female|PopART.Rt.T_1|CY2023Q3</v>
      </c>
    </row>
    <row r="1745" customFormat="false" ht="15" hidden="false" customHeight="false" outlineLevel="0" collapsed="false">
      <c r="D1745" s="0" t="s">
        <v>90</v>
      </c>
      <c r="E1745" s="0" t="s">
        <v>91</v>
      </c>
      <c r="F1745" s="0" t="s">
        <v>92</v>
      </c>
      <c r="G1745" s="0" t="s">
        <v>145</v>
      </c>
      <c r="H1745" s="0" t="s">
        <v>145</v>
      </c>
      <c r="I1745" s="0" t="s">
        <v>28</v>
      </c>
      <c r="J1745" s="0" t="s">
        <v>29</v>
      </c>
      <c r="K1745" s="0" t="s">
        <v>48</v>
      </c>
      <c r="L1745" s="0" t="s">
        <v>49</v>
      </c>
      <c r="M1745" s="0" t="s">
        <v>140</v>
      </c>
      <c r="N1745" s="0" t="n">
        <v>1982</v>
      </c>
      <c r="O1745" s="10" t="n">
        <v>0.330226194346324</v>
      </c>
      <c r="P1745" s="10" t="n">
        <v>0.719914150424302</v>
      </c>
      <c r="Q1745" s="0" t="str">
        <f aca="false">SUBSTITUTE(SUBSTITUTE($I1745,CHAR(61),""),CHAR(34),"")</f>
        <v>&lt;01</v>
      </c>
      <c r="R1745" s="0" t="str">
        <f aca="false">IF($D1745&lt;&gt;"","["&amp;$E1745&amp;"]"&amp;"|"&amp;$Q1745&amp;"|"&amp;$K1745&amp;"|"&amp;$G1745&amp;"|"&amp;IF($G1745="TX_CURR_SUBNAT.R","CY2022Q4",$M1745),"")</f>
        <v>[AZyWpGzhcaA]|&lt;01|Male|PopART.Rt.T_1|CY2023Q3</v>
      </c>
    </row>
    <row r="1746" customFormat="false" ht="15" hidden="false" customHeight="false" outlineLevel="0" collapsed="false">
      <c r="D1746" s="0" t="s">
        <v>90</v>
      </c>
      <c r="E1746" s="0" t="s">
        <v>91</v>
      </c>
      <c r="F1746" s="0" t="s">
        <v>92</v>
      </c>
      <c r="G1746" s="0" t="s">
        <v>145</v>
      </c>
      <c r="H1746" s="0" t="s">
        <v>145</v>
      </c>
      <c r="I1746" s="0" t="s">
        <v>33</v>
      </c>
      <c r="J1746" s="0" t="s">
        <v>34</v>
      </c>
      <c r="K1746" s="0" t="s">
        <v>48</v>
      </c>
      <c r="L1746" s="0" t="s">
        <v>49</v>
      </c>
      <c r="M1746" s="0" t="s">
        <v>140</v>
      </c>
      <c r="N1746" s="0" t="n">
        <v>517</v>
      </c>
      <c r="O1746" s="10" t="n">
        <v>0.907588261878118</v>
      </c>
      <c r="P1746" s="10" t="n">
        <v>0.719914150424302</v>
      </c>
      <c r="Q1746" s="0" t="str">
        <f aca="false">SUBSTITUTE(SUBSTITUTE($I1746,CHAR(61),""),CHAR(34),"")</f>
        <v>01-09</v>
      </c>
      <c r="R1746" s="0" t="str">
        <f aca="false">IF($D1746&lt;&gt;"","["&amp;$E1746&amp;"]"&amp;"|"&amp;$Q1746&amp;"|"&amp;$K1746&amp;"|"&amp;$G1746&amp;"|"&amp;IF($G1746="TX_CURR_SUBNAT.R","CY2022Q4",$M1746),"")</f>
        <v>[AZyWpGzhcaA]|01-09|Male|PopART.Rt.T_1|CY2023Q3</v>
      </c>
    </row>
    <row r="1747" customFormat="false" ht="15" hidden="false" customHeight="false" outlineLevel="0" collapsed="false">
      <c r="D1747" s="0" t="s">
        <v>90</v>
      </c>
      <c r="E1747" s="0" t="s">
        <v>91</v>
      </c>
      <c r="F1747" s="0" t="s">
        <v>92</v>
      </c>
      <c r="G1747" s="0" t="s">
        <v>145</v>
      </c>
      <c r="H1747" s="0" t="s">
        <v>145</v>
      </c>
      <c r="I1747" s="0" t="s">
        <v>36</v>
      </c>
      <c r="J1747" s="0" t="s">
        <v>37</v>
      </c>
      <c r="K1747" s="0" t="s">
        <v>48</v>
      </c>
      <c r="L1747" s="0" t="s">
        <v>49</v>
      </c>
      <c r="M1747" s="0" t="s">
        <v>140</v>
      </c>
      <c r="N1747" s="0" t="n">
        <v>1896</v>
      </c>
      <c r="O1747" s="10" t="n">
        <v>0.0195776345208287</v>
      </c>
      <c r="P1747" s="10" t="n">
        <v>0.719914150424302</v>
      </c>
      <c r="Q1747" s="0" t="str">
        <f aca="false">SUBSTITUTE(SUBSTITUTE($I1747,CHAR(61),""),CHAR(34),"")</f>
        <v>10-14</v>
      </c>
      <c r="R1747" s="0" t="str">
        <f aca="false">IF($D1747&lt;&gt;"","["&amp;$E1747&amp;"]"&amp;"|"&amp;$Q1747&amp;"|"&amp;$K1747&amp;"|"&amp;$G1747&amp;"|"&amp;IF($G1747="TX_CURR_SUBNAT.R","CY2022Q4",$M1747),"")</f>
        <v>[AZyWpGzhcaA]|10-14|Male|PopART.Rt.T_1|CY2023Q3</v>
      </c>
    </row>
    <row r="1748" customFormat="false" ht="15" hidden="false" customHeight="false" outlineLevel="0" collapsed="false">
      <c r="D1748" s="0" t="s">
        <v>90</v>
      </c>
      <c r="E1748" s="0" t="s">
        <v>91</v>
      </c>
      <c r="F1748" s="0" t="s">
        <v>92</v>
      </c>
      <c r="G1748" s="0" t="s">
        <v>145</v>
      </c>
      <c r="H1748" s="0" t="s">
        <v>145</v>
      </c>
      <c r="I1748" s="0" t="s">
        <v>38</v>
      </c>
      <c r="J1748" s="0" t="s">
        <v>39</v>
      </c>
      <c r="K1748" s="0" t="s">
        <v>48</v>
      </c>
      <c r="L1748" s="0" t="s">
        <v>49</v>
      </c>
      <c r="M1748" s="0" t="s">
        <v>140</v>
      </c>
      <c r="N1748" s="0" t="n">
        <v>1031</v>
      </c>
      <c r="O1748" s="10" t="n">
        <v>0.812365745194256</v>
      </c>
      <c r="P1748" s="10" t="n">
        <v>0.719914150424302</v>
      </c>
      <c r="Q1748" s="0" t="str">
        <f aca="false">SUBSTITUTE(SUBSTITUTE($I1748,CHAR(61),""),CHAR(34),"")</f>
        <v>15-24</v>
      </c>
      <c r="R1748" s="0" t="str">
        <f aca="false">IF($D1748&lt;&gt;"","["&amp;$E1748&amp;"]"&amp;"|"&amp;$Q1748&amp;"|"&amp;$K1748&amp;"|"&amp;$G1748&amp;"|"&amp;IF($G1748="TX_CURR_SUBNAT.R","CY2022Q4",$M1748),"")</f>
        <v>[AZyWpGzhcaA]|15-24|Male|PopART.Rt.T_1|CY2023Q3</v>
      </c>
    </row>
    <row r="1749" customFormat="false" ht="15" hidden="false" customHeight="false" outlineLevel="0" collapsed="false">
      <c r="D1749" s="0" t="s">
        <v>90</v>
      </c>
      <c r="E1749" s="0" t="s">
        <v>91</v>
      </c>
      <c r="F1749" s="0" t="s">
        <v>92</v>
      </c>
      <c r="G1749" s="0" t="s">
        <v>145</v>
      </c>
      <c r="H1749" s="0" t="s">
        <v>145</v>
      </c>
      <c r="I1749" s="0" t="s">
        <v>41</v>
      </c>
      <c r="J1749" s="0" t="s">
        <v>42</v>
      </c>
      <c r="K1749" s="0" t="s">
        <v>48</v>
      </c>
      <c r="L1749" s="0" t="s">
        <v>49</v>
      </c>
      <c r="M1749" s="0" t="s">
        <v>140</v>
      </c>
      <c r="N1749" s="0" t="n">
        <v>1376</v>
      </c>
      <c r="O1749" s="10" t="n">
        <v>0.248625497799367</v>
      </c>
      <c r="P1749" s="10" t="n">
        <v>0.719914150424302</v>
      </c>
      <c r="Q1749" s="0" t="str">
        <f aca="false">SUBSTITUTE(SUBSTITUTE($I1749,CHAR(61),""),CHAR(34),"")</f>
        <v>25-34</v>
      </c>
      <c r="R1749" s="0" t="str">
        <f aca="false">IF($D1749&lt;&gt;"","["&amp;$E1749&amp;"]"&amp;"|"&amp;$Q1749&amp;"|"&amp;$K1749&amp;"|"&amp;$G1749&amp;"|"&amp;IF($G1749="TX_CURR_SUBNAT.R","CY2022Q4",$M1749),"")</f>
        <v>[AZyWpGzhcaA]|25-34|Male|PopART.Rt.T_1|CY2023Q3</v>
      </c>
    </row>
    <row r="1750" customFormat="false" ht="15" hidden="false" customHeight="false" outlineLevel="0" collapsed="false">
      <c r="D1750" s="0" t="s">
        <v>90</v>
      </c>
      <c r="E1750" s="0" t="s">
        <v>91</v>
      </c>
      <c r="F1750" s="0" t="s">
        <v>92</v>
      </c>
      <c r="G1750" s="0" t="s">
        <v>145</v>
      </c>
      <c r="H1750" s="0" t="s">
        <v>145</v>
      </c>
      <c r="I1750" s="0" t="s">
        <v>43</v>
      </c>
      <c r="J1750" s="0" t="s">
        <v>44</v>
      </c>
      <c r="K1750" s="0" t="s">
        <v>48</v>
      </c>
      <c r="L1750" s="0" t="s">
        <v>49</v>
      </c>
      <c r="M1750" s="0" t="s">
        <v>140</v>
      </c>
      <c r="N1750" s="0" t="n">
        <v>1029</v>
      </c>
      <c r="O1750" s="10" t="n">
        <v>0.356574525590986</v>
      </c>
      <c r="P1750" s="10" t="n">
        <v>0.719914150424302</v>
      </c>
      <c r="Q1750" s="0" t="str">
        <f aca="false">SUBSTITUTE(SUBSTITUTE($I1750,CHAR(61),""),CHAR(34),"")</f>
        <v>35-49</v>
      </c>
      <c r="R1750" s="0" t="str">
        <f aca="false">IF($D1750&lt;&gt;"","["&amp;$E1750&amp;"]"&amp;"|"&amp;$Q1750&amp;"|"&amp;$K1750&amp;"|"&amp;$G1750&amp;"|"&amp;IF($G1750="TX_CURR_SUBNAT.R","CY2022Q4",$M1750),"")</f>
        <v>[AZyWpGzhcaA]|35-49|Male|PopART.Rt.T_1|CY2023Q3</v>
      </c>
    </row>
    <row r="1751" customFormat="false" ht="15" hidden="false" customHeight="false" outlineLevel="0" collapsed="false">
      <c r="D1751" s="0" t="s">
        <v>90</v>
      </c>
      <c r="E1751" s="0" t="s">
        <v>91</v>
      </c>
      <c r="F1751" s="0" t="s">
        <v>92</v>
      </c>
      <c r="G1751" s="0" t="s">
        <v>145</v>
      </c>
      <c r="H1751" s="0" t="s">
        <v>145</v>
      </c>
      <c r="I1751" s="0" t="s">
        <v>45</v>
      </c>
      <c r="J1751" s="0" t="s">
        <v>46</v>
      </c>
      <c r="K1751" s="0" t="s">
        <v>48</v>
      </c>
      <c r="L1751" s="0" t="s">
        <v>49</v>
      </c>
      <c r="M1751" s="0" t="s">
        <v>140</v>
      </c>
      <c r="N1751" s="0" t="n">
        <v>1796</v>
      </c>
      <c r="O1751" s="10" t="n">
        <v>0.801242611836642</v>
      </c>
      <c r="P1751" s="10" t="n">
        <v>0.719914150424302</v>
      </c>
      <c r="Q1751" s="0" t="str">
        <f aca="false">SUBSTITUTE(SUBSTITUTE($I1751,CHAR(61),""),CHAR(34),"")</f>
        <v>50+</v>
      </c>
      <c r="R1751" s="0" t="str">
        <f aca="false">IF($D1751&lt;&gt;"","["&amp;$E1751&amp;"]"&amp;"|"&amp;$Q1751&amp;"|"&amp;$K1751&amp;"|"&amp;$G1751&amp;"|"&amp;IF($G1751="TX_CURR_SUBNAT.R","CY2022Q4",$M1751),"")</f>
        <v>[AZyWpGzhcaA]|50+|Male|PopART.Rt.T_1|CY2023Q3</v>
      </c>
    </row>
    <row r="1752" customFormat="false" ht="15" hidden="false" customHeight="false" outlineLevel="0" collapsed="false">
      <c r="D1752" s="0" t="s">
        <v>93</v>
      </c>
      <c r="E1752" s="0" t="s">
        <v>94</v>
      </c>
      <c r="F1752" s="0" t="s">
        <v>95</v>
      </c>
      <c r="G1752" s="0" t="s">
        <v>145</v>
      </c>
      <c r="H1752" s="0" t="s">
        <v>145</v>
      </c>
      <c r="I1752" s="0" t="s">
        <v>28</v>
      </c>
      <c r="J1752" s="0" t="s">
        <v>29</v>
      </c>
      <c r="K1752" s="0" t="s">
        <v>30</v>
      </c>
      <c r="L1752" s="0" t="s">
        <v>31</v>
      </c>
      <c r="M1752" s="0" t="s">
        <v>140</v>
      </c>
      <c r="N1752" s="0" t="n">
        <v>921</v>
      </c>
      <c r="O1752" s="10" t="n">
        <v>0.473744467366487</v>
      </c>
      <c r="P1752" s="10" t="n">
        <v>0.362272296566516</v>
      </c>
      <c r="Q1752" s="0" t="str">
        <f aca="false">SUBSTITUTE(SUBSTITUTE($I1752,CHAR(61),""),CHAR(34),"")</f>
        <v>&lt;01</v>
      </c>
      <c r="R1752" s="0" t="str">
        <f aca="false">IF($D1752&lt;&gt;"","["&amp;$E1752&amp;"]"&amp;"|"&amp;$Q1752&amp;"|"&amp;$K1752&amp;"|"&amp;$G1752&amp;"|"&amp;IF($G1752="TX_CURR_SUBNAT.R","CY2022Q4",$M1752),"")</f>
        <v>[umc2n1Z4wNv]|&lt;01|Female|PopART.Rt.T_1|CY2023Q3</v>
      </c>
    </row>
    <row r="1753" customFormat="false" ht="15" hidden="false" customHeight="false" outlineLevel="0" collapsed="false">
      <c r="D1753" s="0" t="s">
        <v>93</v>
      </c>
      <c r="E1753" s="0" t="s">
        <v>94</v>
      </c>
      <c r="F1753" s="0" t="s">
        <v>95</v>
      </c>
      <c r="G1753" s="0" t="s">
        <v>145</v>
      </c>
      <c r="H1753" s="0" t="s">
        <v>145</v>
      </c>
      <c r="I1753" s="0" t="s">
        <v>33</v>
      </c>
      <c r="J1753" s="0" t="s">
        <v>34</v>
      </c>
      <c r="K1753" s="0" t="s">
        <v>30</v>
      </c>
      <c r="L1753" s="0" t="s">
        <v>31</v>
      </c>
      <c r="M1753" s="0" t="s">
        <v>140</v>
      </c>
      <c r="N1753" s="0" t="n">
        <v>1611</v>
      </c>
      <c r="O1753" s="10" t="n">
        <v>0.966437585186213</v>
      </c>
      <c r="P1753" s="10" t="n">
        <v>0.362272296566516</v>
      </c>
      <c r="Q1753" s="0" t="str">
        <f aca="false">SUBSTITUTE(SUBSTITUTE($I1753,CHAR(61),""),CHAR(34),"")</f>
        <v>01-09</v>
      </c>
      <c r="R1753" s="0" t="str">
        <f aca="false">IF($D1753&lt;&gt;"","["&amp;$E1753&amp;"]"&amp;"|"&amp;$Q1753&amp;"|"&amp;$K1753&amp;"|"&amp;$G1753&amp;"|"&amp;IF($G1753="TX_CURR_SUBNAT.R","CY2022Q4",$M1753),"")</f>
        <v>[umc2n1Z4wNv]|01-09|Female|PopART.Rt.T_1|CY2023Q3</v>
      </c>
    </row>
    <row r="1754" customFormat="false" ht="15" hidden="false" customHeight="false" outlineLevel="0" collapsed="false">
      <c r="D1754" s="0" t="s">
        <v>93</v>
      </c>
      <c r="E1754" s="0" t="s">
        <v>94</v>
      </c>
      <c r="F1754" s="0" t="s">
        <v>95</v>
      </c>
      <c r="G1754" s="0" t="s">
        <v>145</v>
      </c>
      <c r="H1754" s="0" t="s">
        <v>145</v>
      </c>
      <c r="I1754" s="0" t="s">
        <v>36</v>
      </c>
      <c r="J1754" s="0" t="s">
        <v>37</v>
      </c>
      <c r="K1754" s="0" t="s">
        <v>30</v>
      </c>
      <c r="L1754" s="0" t="s">
        <v>31</v>
      </c>
      <c r="M1754" s="0" t="s">
        <v>140</v>
      </c>
      <c r="N1754" s="0" t="n">
        <v>1670</v>
      </c>
      <c r="O1754" s="10" t="n">
        <v>0.207805201178417</v>
      </c>
      <c r="P1754" s="10" t="n">
        <v>0.362272296566516</v>
      </c>
      <c r="Q1754" s="0" t="str">
        <f aca="false">SUBSTITUTE(SUBSTITUTE($I1754,CHAR(61),""),CHAR(34),"")</f>
        <v>10-14</v>
      </c>
      <c r="R1754" s="0" t="str">
        <f aca="false">IF($D1754&lt;&gt;"","["&amp;$E1754&amp;"]"&amp;"|"&amp;$Q1754&amp;"|"&amp;$K1754&amp;"|"&amp;$G1754&amp;"|"&amp;IF($G1754="TX_CURR_SUBNAT.R","CY2022Q4",$M1754),"")</f>
        <v>[umc2n1Z4wNv]|10-14|Female|PopART.Rt.T_1|CY2023Q3</v>
      </c>
    </row>
    <row r="1755" customFormat="false" ht="15" hidden="false" customHeight="false" outlineLevel="0" collapsed="false">
      <c r="D1755" s="0" t="s">
        <v>93</v>
      </c>
      <c r="E1755" s="0" t="s">
        <v>94</v>
      </c>
      <c r="F1755" s="0" t="s">
        <v>95</v>
      </c>
      <c r="G1755" s="0" t="s">
        <v>145</v>
      </c>
      <c r="H1755" s="0" t="s">
        <v>145</v>
      </c>
      <c r="I1755" s="0" t="s">
        <v>38</v>
      </c>
      <c r="J1755" s="0" t="s">
        <v>39</v>
      </c>
      <c r="K1755" s="0" t="s">
        <v>30</v>
      </c>
      <c r="L1755" s="0" t="s">
        <v>31</v>
      </c>
      <c r="M1755" s="0" t="s">
        <v>140</v>
      </c>
      <c r="N1755" s="0" t="n">
        <v>1660</v>
      </c>
      <c r="O1755" s="10" t="n">
        <v>0.176947897532955</v>
      </c>
      <c r="P1755" s="10" t="n">
        <v>0.362272296566516</v>
      </c>
      <c r="Q1755" s="0" t="str">
        <f aca="false">SUBSTITUTE(SUBSTITUTE($I1755,CHAR(61),""),CHAR(34),"")</f>
        <v>15-24</v>
      </c>
      <c r="R1755" s="0" t="str">
        <f aca="false">IF($D1755&lt;&gt;"","["&amp;$E1755&amp;"]"&amp;"|"&amp;$Q1755&amp;"|"&amp;$K1755&amp;"|"&amp;$G1755&amp;"|"&amp;IF($G1755="TX_CURR_SUBNAT.R","CY2022Q4",$M1755),"")</f>
        <v>[umc2n1Z4wNv]|15-24|Female|PopART.Rt.T_1|CY2023Q3</v>
      </c>
    </row>
    <row r="1756" customFormat="false" ht="15" hidden="false" customHeight="false" outlineLevel="0" collapsed="false">
      <c r="D1756" s="0" t="s">
        <v>93</v>
      </c>
      <c r="E1756" s="0" t="s">
        <v>94</v>
      </c>
      <c r="F1756" s="0" t="s">
        <v>95</v>
      </c>
      <c r="G1756" s="0" t="s">
        <v>145</v>
      </c>
      <c r="H1756" s="0" t="s">
        <v>145</v>
      </c>
      <c r="I1756" s="0" t="s">
        <v>41</v>
      </c>
      <c r="J1756" s="0" t="s">
        <v>42</v>
      </c>
      <c r="K1756" s="0" t="s">
        <v>30</v>
      </c>
      <c r="L1756" s="0" t="s">
        <v>31</v>
      </c>
      <c r="M1756" s="0" t="s">
        <v>140</v>
      </c>
      <c r="N1756" s="0" t="n">
        <v>1980</v>
      </c>
      <c r="O1756" s="10" t="n">
        <v>0.0667117838747799</v>
      </c>
      <c r="P1756" s="10" t="n">
        <v>0.362272296566516</v>
      </c>
      <c r="Q1756" s="0" t="str">
        <f aca="false">SUBSTITUTE(SUBSTITUTE($I1756,CHAR(61),""),CHAR(34),"")</f>
        <v>25-34</v>
      </c>
      <c r="R1756" s="0" t="str">
        <f aca="false">IF($D1756&lt;&gt;"","["&amp;$E1756&amp;"]"&amp;"|"&amp;$Q1756&amp;"|"&amp;$K1756&amp;"|"&amp;$G1756&amp;"|"&amp;IF($G1756="TX_CURR_SUBNAT.R","CY2022Q4",$M1756),"")</f>
        <v>[umc2n1Z4wNv]|25-34|Female|PopART.Rt.T_1|CY2023Q3</v>
      </c>
    </row>
    <row r="1757" customFormat="false" ht="15" hidden="false" customHeight="false" outlineLevel="0" collapsed="false">
      <c r="D1757" s="0" t="s">
        <v>93</v>
      </c>
      <c r="E1757" s="0" t="s">
        <v>94</v>
      </c>
      <c r="F1757" s="0" t="s">
        <v>95</v>
      </c>
      <c r="G1757" s="0" t="s">
        <v>145</v>
      </c>
      <c r="H1757" s="0" t="s">
        <v>145</v>
      </c>
      <c r="I1757" s="0" t="s">
        <v>43</v>
      </c>
      <c r="J1757" s="0" t="s">
        <v>44</v>
      </c>
      <c r="K1757" s="0" t="s">
        <v>30</v>
      </c>
      <c r="L1757" s="0" t="s">
        <v>31</v>
      </c>
      <c r="M1757" s="0" t="s">
        <v>140</v>
      </c>
      <c r="N1757" s="0" t="n">
        <v>783</v>
      </c>
      <c r="O1757" s="10" t="n">
        <v>0.169884630013257</v>
      </c>
      <c r="P1757" s="10" t="n">
        <v>0.362272296566516</v>
      </c>
      <c r="Q1757" s="0" t="str">
        <f aca="false">SUBSTITUTE(SUBSTITUTE($I1757,CHAR(61),""),CHAR(34),"")</f>
        <v>35-49</v>
      </c>
      <c r="R1757" s="0" t="str">
        <f aca="false">IF($D1757&lt;&gt;"","["&amp;$E1757&amp;"]"&amp;"|"&amp;$Q1757&amp;"|"&amp;$K1757&amp;"|"&amp;$G1757&amp;"|"&amp;IF($G1757="TX_CURR_SUBNAT.R","CY2022Q4",$M1757),"")</f>
        <v>[umc2n1Z4wNv]|35-49|Female|PopART.Rt.T_1|CY2023Q3</v>
      </c>
    </row>
    <row r="1758" customFormat="false" ht="15" hidden="false" customHeight="false" outlineLevel="0" collapsed="false">
      <c r="D1758" s="0" t="s">
        <v>93</v>
      </c>
      <c r="E1758" s="0" t="s">
        <v>94</v>
      </c>
      <c r="F1758" s="0" t="s">
        <v>95</v>
      </c>
      <c r="G1758" s="0" t="s">
        <v>145</v>
      </c>
      <c r="H1758" s="0" t="s">
        <v>145</v>
      </c>
      <c r="I1758" s="0" t="s">
        <v>45</v>
      </c>
      <c r="J1758" s="0" t="s">
        <v>46</v>
      </c>
      <c r="K1758" s="0" t="s">
        <v>30</v>
      </c>
      <c r="L1758" s="0" t="s">
        <v>31</v>
      </c>
      <c r="M1758" s="0" t="s">
        <v>140</v>
      </c>
      <c r="N1758" s="0" t="n">
        <v>1352</v>
      </c>
      <c r="O1758" s="10" t="n">
        <v>0.948039863957092</v>
      </c>
      <c r="P1758" s="10" t="n">
        <v>0.362272296566516</v>
      </c>
      <c r="Q1758" s="0" t="str">
        <f aca="false">SUBSTITUTE(SUBSTITUTE($I1758,CHAR(61),""),CHAR(34),"")</f>
        <v>50+</v>
      </c>
      <c r="R1758" s="0" t="str">
        <f aca="false">IF($D1758&lt;&gt;"","["&amp;$E1758&amp;"]"&amp;"|"&amp;$Q1758&amp;"|"&amp;$K1758&amp;"|"&amp;$G1758&amp;"|"&amp;IF($G1758="TX_CURR_SUBNAT.R","CY2022Q4",$M1758),"")</f>
        <v>[umc2n1Z4wNv]|50+|Female|PopART.Rt.T_1|CY2023Q3</v>
      </c>
    </row>
    <row r="1759" customFormat="false" ht="15" hidden="false" customHeight="false" outlineLevel="0" collapsed="false">
      <c r="D1759" s="0" t="s">
        <v>93</v>
      </c>
      <c r="E1759" s="0" t="s">
        <v>94</v>
      </c>
      <c r="F1759" s="0" t="s">
        <v>95</v>
      </c>
      <c r="G1759" s="0" t="s">
        <v>145</v>
      </c>
      <c r="H1759" s="0" t="s">
        <v>145</v>
      </c>
      <c r="I1759" s="0" t="s">
        <v>28</v>
      </c>
      <c r="J1759" s="0" t="s">
        <v>29</v>
      </c>
      <c r="K1759" s="0" t="s">
        <v>48</v>
      </c>
      <c r="L1759" s="0" t="s">
        <v>49</v>
      </c>
      <c r="M1759" s="0" t="s">
        <v>140</v>
      </c>
      <c r="N1759" s="0" t="n">
        <v>818</v>
      </c>
      <c r="O1759" s="10" t="n">
        <v>0.168005454586819</v>
      </c>
      <c r="P1759" s="10" t="n">
        <v>0.362272296566516</v>
      </c>
      <c r="Q1759" s="0" t="str">
        <f aca="false">SUBSTITUTE(SUBSTITUTE($I1759,CHAR(61),""),CHAR(34),"")</f>
        <v>&lt;01</v>
      </c>
      <c r="R1759" s="0" t="str">
        <f aca="false">IF($D1759&lt;&gt;"","["&amp;$E1759&amp;"]"&amp;"|"&amp;$Q1759&amp;"|"&amp;$K1759&amp;"|"&amp;$G1759&amp;"|"&amp;IF($G1759="TX_CURR_SUBNAT.R","CY2022Q4",$M1759),"")</f>
        <v>[umc2n1Z4wNv]|&lt;01|Male|PopART.Rt.T_1|CY2023Q3</v>
      </c>
    </row>
    <row r="1760" customFormat="false" ht="15" hidden="false" customHeight="false" outlineLevel="0" collapsed="false">
      <c r="D1760" s="0" t="s">
        <v>93</v>
      </c>
      <c r="E1760" s="0" t="s">
        <v>94</v>
      </c>
      <c r="F1760" s="0" t="s">
        <v>95</v>
      </c>
      <c r="G1760" s="0" t="s">
        <v>145</v>
      </c>
      <c r="H1760" s="0" t="s">
        <v>145</v>
      </c>
      <c r="I1760" s="0" t="s">
        <v>33</v>
      </c>
      <c r="J1760" s="0" t="s">
        <v>34</v>
      </c>
      <c r="K1760" s="0" t="s">
        <v>48</v>
      </c>
      <c r="L1760" s="0" t="s">
        <v>49</v>
      </c>
      <c r="M1760" s="0" t="s">
        <v>140</v>
      </c>
      <c r="N1760" s="0" t="n">
        <v>1664</v>
      </c>
      <c r="O1760" s="10" t="n">
        <v>0.152021982474253</v>
      </c>
      <c r="P1760" s="10" t="n">
        <v>0.362272296566516</v>
      </c>
      <c r="Q1760" s="0" t="str">
        <f aca="false">SUBSTITUTE(SUBSTITUTE($I1760,CHAR(61),""),CHAR(34),"")</f>
        <v>01-09</v>
      </c>
      <c r="R1760" s="0" t="str">
        <f aca="false">IF($D1760&lt;&gt;"","["&amp;$E1760&amp;"]"&amp;"|"&amp;$Q1760&amp;"|"&amp;$K1760&amp;"|"&amp;$G1760&amp;"|"&amp;IF($G1760="TX_CURR_SUBNAT.R","CY2022Q4",$M1760),"")</f>
        <v>[umc2n1Z4wNv]|01-09|Male|PopART.Rt.T_1|CY2023Q3</v>
      </c>
    </row>
    <row r="1761" customFormat="false" ht="15" hidden="false" customHeight="false" outlineLevel="0" collapsed="false">
      <c r="D1761" s="0" t="s">
        <v>93</v>
      </c>
      <c r="E1761" s="0" t="s">
        <v>94</v>
      </c>
      <c r="F1761" s="0" t="s">
        <v>95</v>
      </c>
      <c r="G1761" s="0" t="s">
        <v>145</v>
      </c>
      <c r="H1761" s="0" t="s">
        <v>145</v>
      </c>
      <c r="I1761" s="0" t="s">
        <v>36</v>
      </c>
      <c r="J1761" s="0" t="s">
        <v>37</v>
      </c>
      <c r="K1761" s="0" t="s">
        <v>48</v>
      </c>
      <c r="L1761" s="0" t="s">
        <v>49</v>
      </c>
      <c r="M1761" s="0" t="s">
        <v>140</v>
      </c>
      <c r="N1761" s="0" t="n">
        <v>692</v>
      </c>
      <c r="O1761" s="10" t="n">
        <v>0.408325839554891</v>
      </c>
      <c r="P1761" s="10" t="n">
        <v>0.362272296566516</v>
      </c>
      <c r="Q1761" s="0" t="str">
        <f aca="false">SUBSTITUTE(SUBSTITUTE($I1761,CHAR(61),""),CHAR(34),"")</f>
        <v>10-14</v>
      </c>
      <c r="R1761" s="0" t="str">
        <f aca="false">IF($D1761&lt;&gt;"","["&amp;$E1761&amp;"]"&amp;"|"&amp;$Q1761&amp;"|"&amp;$K1761&amp;"|"&amp;$G1761&amp;"|"&amp;IF($G1761="TX_CURR_SUBNAT.R","CY2022Q4",$M1761),"")</f>
        <v>[umc2n1Z4wNv]|10-14|Male|PopART.Rt.T_1|CY2023Q3</v>
      </c>
    </row>
    <row r="1762" customFormat="false" ht="15" hidden="false" customHeight="false" outlineLevel="0" collapsed="false">
      <c r="D1762" s="0" t="s">
        <v>93</v>
      </c>
      <c r="E1762" s="0" t="s">
        <v>94</v>
      </c>
      <c r="F1762" s="0" t="s">
        <v>95</v>
      </c>
      <c r="G1762" s="0" t="s">
        <v>145</v>
      </c>
      <c r="H1762" s="0" t="s">
        <v>145</v>
      </c>
      <c r="I1762" s="0" t="s">
        <v>38</v>
      </c>
      <c r="J1762" s="0" t="s">
        <v>39</v>
      </c>
      <c r="K1762" s="0" t="s">
        <v>48</v>
      </c>
      <c r="L1762" s="0" t="s">
        <v>49</v>
      </c>
      <c r="M1762" s="0" t="s">
        <v>140</v>
      </c>
      <c r="N1762" s="0" t="n">
        <v>1023</v>
      </c>
      <c r="O1762" s="10" t="n">
        <v>0.976118981372565</v>
      </c>
      <c r="P1762" s="10" t="n">
        <v>0.362272296566516</v>
      </c>
      <c r="Q1762" s="0" t="str">
        <f aca="false">SUBSTITUTE(SUBSTITUTE($I1762,CHAR(61),""),CHAR(34),"")</f>
        <v>15-24</v>
      </c>
      <c r="R1762" s="0" t="str">
        <f aca="false">IF($D1762&lt;&gt;"","["&amp;$E1762&amp;"]"&amp;"|"&amp;$Q1762&amp;"|"&amp;$K1762&amp;"|"&amp;$G1762&amp;"|"&amp;IF($G1762="TX_CURR_SUBNAT.R","CY2022Q4",$M1762),"")</f>
        <v>[umc2n1Z4wNv]|15-24|Male|PopART.Rt.T_1|CY2023Q3</v>
      </c>
    </row>
    <row r="1763" customFormat="false" ht="15" hidden="false" customHeight="false" outlineLevel="0" collapsed="false">
      <c r="D1763" s="0" t="s">
        <v>93</v>
      </c>
      <c r="E1763" s="0" t="s">
        <v>94</v>
      </c>
      <c r="F1763" s="0" t="s">
        <v>95</v>
      </c>
      <c r="G1763" s="0" t="s">
        <v>145</v>
      </c>
      <c r="H1763" s="0" t="s">
        <v>145</v>
      </c>
      <c r="I1763" s="0" t="s">
        <v>41</v>
      </c>
      <c r="J1763" s="0" t="s">
        <v>42</v>
      </c>
      <c r="K1763" s="0" t="s">
        <v>48</v>
      </c>
      <c r="L1763" s="0" t="s">
        <v>49</v>
      </c>
      <c r="M1763" s="0" t="s">
        <v>140</v>
      </c>
      <c r="N1763" s="0" t="n">
        <v>1972</v>
      </c>
      <c r="O1763" s="10" t="n">
        <v>0.69376247189939</v>
      </c>
      <c r="P1763" s="10" t="n">
        <v>0.362272296566516</v>
      </c>
      <c r="Q1763" s="0" t="str">
        <f aca="false">SUBSTITUTE(SUBSTITUTE($I1763,CHAR(61),""),CHAR(34),"")</f>
        <v>25-34</v>
      </c>
      <c r="R1763" s="0" t="str">
        <f aca="false">IF($D1763&lt;&gt;"","["&amp;$E1763&amp;"]"&amp;"|"&amp;$Q1763&amp;"|"&amp;$K1763&amp;"|"&amp;$G1763&amp;"|"&amp;IF($G1763="TX_CURR_SUBNAT.R","CY2022Q4",$M1763),"")</f>
        <v>[umc2n1Z4wNv]|25-34|Male|PopART.Rt.T_1|CY2023Q3</v>
      </c>
    </row>
    <row r="1764" customFormat="false" ht="15" hidden="false" customHeight="false" outlineLevel="0" collapsed="false">
      <c r="D1764" s="0" t="s">
        <v>93</v>
      </c>
      <c r="E1764" s="0" t="s">
        <v>94</v>
      </c>
      <c r="F1764" s="0" t="s">
        <v>95</v>
      </c>
      <c r="G1764" s="0" t="s">
        <v>145</v>
      </c>
      <c r="H1764" s="0" t="s">
        <v>145</v>
      </c>
      <c r="I1764" s="0" t="s">
        <v>43</v>
      </c>
      <c r="J1764" s="0" t="s">
        <v>44</v>
      </c>
      <c r="K1764" s="0" t="s">
        <v>48</v>
      </c>
      <c r="L1764" s="0" t="s">
        <v>49</v>
      </c>
      <c r="M1764" s="0" t="s">
        <v>140</v>
      </c>
      <c r="N1764" s="0" t="n">
        <v>849</v>
      </c>
      <c r="O1764" s="10" t="n">
        <v>0.189129530685022</v>
      </c>
      <c r="P1764" s="10" t="n">
        <v>0.362272296566516</v>
      </c>
      <c r="Q1764" s="0" t="str">
        <f aca="false">SUBSTITUTE(SUBSTITUTE($I1764,CHAR(61),""),CHAR(34),"")</f>
        <v>35-49</v>
      </c>
      <c r="R1764" s="0" t="str">
        <f aca="false">IF($D1764&lt;&gt;"","["&amp;$E1764&amp;"]"&amp;"|"&amp;$Q1764&amp;"|"&amp;$K1764&amp;"|"&amp;$G1764&amp;"|"&amp;IF($G1764="TX_CURR_SUBNAT.R","CY2022Q4",$M1764),"")</f>
        <v>[umc2n1Z4wNv]|35-49|Male|PopART.Rt.T_1|CY2023Q3</v>
      </c>
    </row>
    <row r="1765" customFormat="false" ht="15" hidden="false" customHeight="false" outlineLevel="0" collapsed="false">
      <c r="D1765" s="0" t="s">
        <v>93</v>
      </c>
      <c r="E1765" s="0" t="s">
        <v>94</v>
      </c>
      <c r="F1765" s="0" t="s">
        <v>95</v>
      </c>
      <c r="G1765" s="0" t="s">
        <v>145</v>
      </c>
      <c r="H1765" s="0" t="s">
        <v>145</v>
      </c>
      <c r="I1765" s="0" t="s">
        <v>45</v>
      </c>
      <c r="J1765" s="0" t="s">
        <v>46</v>
      </c>
      <c r="K1765" s="0" t="s">
        <v>48</v>
      </c>
      <c r="L1765" s="0" t="s">
        <v>49</v>
      </c>
      <c r="M1765" s="0" t="s">
        <v>140</v>
      </c>
      <c r="N1765" s="0" t="n">
        <v>996</v>
      </c>
      <c r="O1765" s="10" t="n">
        <v>0.00541970343329012</v>
      </c>
      <c r="P1765" s="10" t="n">
        <v>0.362272296566516</v>
      </c>
      <c r="Q1765" s="0" t="str">
        <f aca="false">SUBSTITUTE(SUBSTITUTE($I1765,CHAR(61),""),CHAR(34),"")</f>
        <v>50+</v>
      </c>
      <c r="R1765" s="0" t="str">
        <f aca="false">IF($D1765&lt;&gt;"","["&amp;$E1765&amp;"]"&amp;"|"&amp;$Q1765&amp;"|"&amp;$K1765&amp;"|"&amp;$G1765&amp;"|"&amp;IF($G1765="TX_CURR_SUBNAT.R","CY2022Q4",$M1765),"")</f>
        <v>[umc2n1Z4wNv]|50+|Male|PopART.Rt.T_1|CY2023Q3</v>
      </c>
    </row>
    <row r="1766" customFormat="false" ht="15" hidden="false" customHeight="false" outlineLevel="0" collapsed="false">
      <c r="D1766" s="0" t="s">
        <v>96</v>
      </c>
      <c r="E1766" s="0" t="s">
        <v>97</v>
      </c>
      <c r="F1766" s="0" t="s">
        <v>98</v>
      </c>
      <c r="G1766" s="0" t="s">
        <v>145</v>
      </c>
      <c r="H1766" s="0" t="s">
        <v>145</v>
      </c>
      <c r="I1766" s="0" t="s">
        <v>28</v>
      </c>
      <c r="J1766" s="0" t="s">
        <v>29</v>
      </c>
      <c r="K1766" s="0" t="s">
        <v>30</v>
      </c>
      <c r="L1766" s="0" t="s">
        <v>31</v>
      </c>
      <c r="M1766" s="0" t="s">
        <v>140</v>
      </c>
      <c r="N1766" s="0" t="n">
        <v>626</v>
      </c>
      <c r="O1766" s="10" t="n">
        <v>0.851975295227021</v>
      </c>
      <c r="P1766" s="10" t="n">
        <v>0.601251717889681</v>
      </c>
      <c r="Q1766" s="0" t="str">
        <f aca="false">SUBSTITUTE(SUBSTITUTE($I1766,CHAR(61),""),CHAR(34),"")</f>
        <v>&lt;01</v>
      </c>
      <c r="R1766" s="0" t="str">
        <f aca="false">IF($D1766&lt;&gt;"","["&amp;$E1766&amp;"]"&amp;"|"&amp;$Q1766&amp;"|"&amp;$K1766&amp;"|"&amp;$G1766&amp;"|"&amp;IF($G1766="TX_CURR_SUBNAT.R","CY2022Q4",$M1766),"")</f>
        <v>[gwVYinjBAe9]|&lt;01|Female|PopART.Rt.T_1|CY2023Q3</v>
      </c>
    </row>
    <row r="1767" customFormat="false" ht="15" hidden="false" customHeight="false" outlineLevel="0" collapsed="false">
      <c r="D1767" s="0" t="s">
        <v>96</v>
      </c>
      <c r="E1767" s="0" t="s">
        <v>97</v>
      </c>
      <c r="F1767" s="0" t="s">
        <v>98</v>
      </c>
      <c r="G1767" s="0" t="s">
        <v>145</v>
      </c>
      <c r="H1767" s="0" t="s">
        <v>145</v>
      </c>
      <c r="I1767" s="0" t="s">
        <v>33</v>
      </c>
      <c r="J1767" s="0" t="s">
        <v>34</v>
      </c>
      <c r="K1767" s="0" t="s">
        <v>30</v>
      </c>
      <c r="L1767" s="0" t="s">
        <v>31</v>
      </c>
      <c r="M1767" s="0" t="s">
        <v>140</v>
      </c>
      <c r="N1767" s="0" t="n">
        <v>606</v>
      </c>
      <c r="O1767" s="10" t="n">
        <v>0.200920929433778</v>
      </c>
      <c r="P1767" s="10" t="n">
        <v>0.601251717889681</v>
      </c>
      <c r="Q1767" s="0" t="str">
        <f aca="false">SUBSTITUTE(SUBSTITUTE($I1767,CHAR(61),""),CHAR(34),"")</f>
        <v>01-09</v>
      </c>
      <c r="R1767" s="0" t="str">
        <f aca="false">IF($D1767&lt;&gt;"","["&amp;$E1767&amp;"]"&amp;"|"&amp;$Q1767&amp;"|"&amp;$K1767&amp;"|"&amp;$G1767&amp;"|"&amp;IF($G1767="TX_CURR_SUBNAT.R","CY2022Q4",$M1767),"")</f>
        <v>[gwVYinjBAe9]|01-09|Female|PopART.Rt.T_1|CY2023Q3</v>
      </c>
    </row>
    <row r="1768" customFormat="false" ht="15" hidden="false" customHeight="false" outlineLevel="0" collapsed="false">
      <c r="D1768" s="0" t="s">
        <v>96</v>
      </c>
      <c r="E1768" s="0" t="s">
        <v>97</v>
      </c>
      <c r="F1768" s="0" t="s">
        <v>98</v>
      </c>
      <c r="G1768" s="0" t="s">
        <v>145</v>
      </c>
      <c r="H1768" s="0" t="s">
        <v>145</v>
      </c>
      <c r="I1768" s="0" t="s">
        <v>36</v>
      </c>
      <c r="J1768" s="0" t="s">
        <v>37</v>
      </c>
      <c r="K1768" s="0" t="s">
        <v>30</v>
      </c>
      <c r="L1768" s="0" t="s">
        <v>31</v>
      </c>
      <c r="M1768" s="0" t="s">
        <v>140</v>
      </c>
      <c r="N1768" s="0" t="n">
        <v>574</v>
      </c>
      <c r="O1768" s="10" t="n">
        <v>0.826137074036524</v>
      </c>
      <c r="P1768" s="10" t="n">
        <v>0.601251717889681</v>
      </c>
      <c r="Q1768" s="0" t="str">
        <f aca="false">SUBSTITUTE(SUBSTITUTE($I1768,CHAR(61),""),CHAR(34),"")</f>
        <v>10-14</v>
      </c>
      <c r="R1768" s="0" t="str">
        <f aca="false">IF($D1768&lt;&gt;"","["&amp;$E1768&amp;"]"&amp;"|"&amp;$Q1768&amp;"|"&amp;$K1768&amp;"|"&amp;$G1768&amp;"|"&amp;IF($G1768="TX_CURR_SUBNAT.R","CY2022Q4",$M1768),"")</f>
        <v>[gwVYinjBAe9]|10-14|Female|PopART.Rt.T_1|CY2023Q3</v>
      </c>
    </row>
    <row r="1769" customFormat="false" ht="15" hidden="false" customHeight="false" outlineLevel="0" collapsed="false">
      <c r="D1769" s="0" t="s">
        <v>96</v>
      </c>
      <c r="E1769" s="0" t="s">
        <v>97</v>
      </c>
      <c r="F1769" s="0" t="s">
        <v>98</v>
      </c>
      <c r="G1769" s="0" t="s">
        <v>145</v>
      </c>
      <c r="H1769" s="0" t="s">
        <v>145</v>
      </c>
      <c r="I1769" s="0" t="s">
        <v>38</v>
      </c>
      <c r="J1769" s="0" t="s">
        <v>39</v>
      </c>
      <c r="K1769" s="0" t="s">
        <v>30</v>
      </c>
      <c r="L1769" s="0" t="s">
        <v>31</v>
      </c>
      <c r="M1769" s="0" t="s">
        <v>140</v>
      </c>
      <c r="N1769" s="0" t="n">
        <v>1569</v>
      </c>
      <c r="O1769" s="10" t="n">
        <v>0.839825278613716</v>
      </c>
      <c r="P1769" s="10" t="n">
        <v>0.601251717889681</v>
      </c>
      <c r="Q1769" s="0" t="str">
        <f aca="false">SUBSTITUTE(SUBSTITUTE($I1769,CHAR(61),""),CHAR(34),"")</f>
        <v>15-24</v>
      </c>
      <c r="R1769" s="0" t="str">
        <f aca="false">IF($D1769&lt;&gt;"","["&amp;$E1769&amp;"]"&amp;"|"&amp;$Q1769&amp;"|"&amp;$K1769&amp;"|"&amp;$G1769&amp;"|"&amp;IF($G1769="TX_CURR_SUBNAT.R","CY2022Q4",$M1769),"")</f>
        <v>[gwVYinjBAe9]|15-24|Female|PopART.Rt.T_1|CY2023Q3</v>
      </c>
    </row>
    <row r="1770" customFormat="false" ht="15" hidden="false" customHeight="false" outlineLevel="0" collapsed="false">
      <c r="D1770" s="0" t="s">
        <v>96</v>
      </c>
      <c r="E1770" s="0" t="s">
        <v>97</v>
      </c>
      <c r="F1770" s="0" t="s">
        <v>98</v>
      </c>
      <c r="G1770" s="0" t="s">
        <v>145</v>
      </c>
      <c r="H1770" s="0" t="s">
        <v>145</v>
      </c>
      <c r="I1770" s="0" t="s">
        <v>41</v>
      </c>
      <c r="J1770" s="0" t="s">
        <v>42</v>
      </c>
      <c r="K1770" s="0" t="s">
        <v>30</v>
      </c>
      <c r="L1770" s="0" t="s">
        <v>31</v>
      </c>
      <c r="M1770" s="0" t="s">
        <v>140</v>
      </c>
      <c r="N1770" s="0" t="n">
        <v>1438</v>
      </c>
      <c r="O1770" s="10" t="n">
        <v>0.721933777211234</v>
      </c>
      <c r="P1770" s="10" t="n">
        <v>0.601251717889681</v>
      </c>
      <c r="Q1770" s="0" t="str">
        <f aca="false">SUBSTITUTE(SUBSTITUTE($I1770,CHAR(61),""),CHAR(34),"")</f>
        <v>25-34</v>
      </c>
      <c r="R1770" s="0" t="str">
        <f aca="false">IF($D1770&lt;&gt;"","["&amp;$E1770&amp;"]"&amp;"|"&amp;$Q1770&amp;"|"&amp;$K1770&amp;"|"&amp;$G1770&amp;"|"&amp;IF($G1770="TX_CURR_SUBNAT.R","CY2022Q4",$M1770),"")</f>
        <v>[gwVYinjBAe9]|25-34|Female|PopART.Rt.T_1|CY2023Q3</v>
      </c>
    </row>
    <row r="1771" customFormat="false" ht="15" hidden="false" customHeight="false" outlineLevel="0" collapsed="false">
      <c r="D1771" s="0" t="s">
        <v>96</v>
      </c>
      <c r="E1771" s="0" t="s">
        <v>97</v>
      </c>
      <c r="F1771" s="0" t="s">
        <v>98</v>
      </c>
      <c r="G1771" s="0" t="s">
        <v>145</v>
      </c>
      <c r="H1771" s="0" t="s">
        <v>145</v>
      </c>
      <c r="I1771" s="0" t="s">
        <v>43</v>
      </c>
      <c r="J1771" s="0" t="s">
        <v>44</v>
      </c>
      <c r="K1771" s="0" t="s">
        <v>30</v>
      </c>
      <c r="L1771" s="0" t="s">
        <v>31</v>
      </c>
      <c r="M1771" s="0" t="s">
        <v>140</v>
      </c>
      <c r="N1771" s="0" t="n">
        <v>969</v>
      </c>
      <c r="O1771" s="10" t="n">
        <v>0.422111834399402</v>
      </c>
      <c r="P1771" s="10" t="n">
        <v>0.601251717889681</v>
      </c>
      <c r="Q1771" s="0" t="str">
        <f aca="false">SUBSTITUTE(SUBSTITUTE($I1771,CHAR(61),""),CHAR(34),"")</f>
        <v>35-49</v>
      </c>
      <c r="R1771" s="0" t="str">
        <f aca="false">IF($D1771&lt;&gt;"","["&amp;$E1771&amp;"]"&amp;"|"&amp;$Q1771&amp;"|"&amp;$K1771&amp;"|"&amp;$G1771&amp;"|"&amp;IF($G1771="TX_CURR_SUBNAT.R","CY2022Q4",$M1771),"")</f>
        <v>[gwVYinjBAe9]|35-49|Female|PopART.Rt.T_1|CY2023Q3</v>
      </c>
    </row>
    <row r="1772" customFormat="false" ht="15" hidden="false" customHeight="false" outlineLevel="0" collapsed="false">
      <c r="D1772" s="0" t="s">
        <v>96</v>
      </c>
      <c r="E1772" s="0" t="s">
        <v>97</v>
      </c>
      <c r="F1772" s="0" t="s">
        <v>98</v>
      </c>
      <c r="G1772" s="0" t="s">
        <v>145</v>
      </c>
      <c r="H1772" s="0" t="s">
        <v>145</v>
      </c>
      <c r="I1772" s="0" t="s">
        <v>45</v>
      </c>
      <c r="J1772" s="0" t="s">
        <v>46</v>
      </c>
      <c r="K1772" s="0" t="s">
        <v>30</v>
      </c>
      <c r="L1772" s="0" t="s">
        <v>31</v>
      </c>
      <c r="M1772" s="0" t="s">
        <v>140</v>
      </c>
      <c r="N1772" s="0" t="n">
        <v>1649</v>
      </c>
      <c r="O1772" s="10" t="n">
        <v>0.17698257858865</v>
      </c>
      <c r="P1772" s="10" t="n">
        <v>0.601251717889681</v>
      </c>
      <c r="Q1772" s="0" t="str">
        <f aca="false">SUBSTITUTE(SUBSTITUTE($I1772,CHAR(61),""),CHAR(34),"")</f>
        <v>50+</v>
      </c>
      <c r="R1772" s="0" t="str">
        <f aca="false">IF($D1772&lt;&gt;"","["&amp;$E1772&amp;"]"&amp;"|"&amp;$Q1772&amp;"|"&amp;$K1772&amp;"|"&amp;$G1772&amp;"|"&amp;IF($G1772="TX_CURR_SUBNAT.R","CY2022Q4",$M1772),"")</f>
        <v>[gwVYinjBAe9]|50+|Female|PopART.Rt.T_1|CY2023Q3</v>
      </c>
    </row>
    <row r="1773" customFormat="false" ht="15" hidden="false" customHeight="false" outlineLevel="0" collapsed="false">
      <c r="D1773" s="0" t="s">
        <v>96</v>
      </c>
      <c r="E1773" s="0" t="s">
        <v>97</v>
      </c>
      <c r="F1773" s="0" t="s">
        <v>98</v>
      </c>
      <c r="G1773" s="0" t="s">
        <v>145</v>
      </c>
      <c r="H1773" s="0" t="s">
        <v>145</v>
      </c>
      <c r="I1773" s="0" t="s">
        <v>28</v>
      </c>
      <c r="J1773" s="0" t="s">
        <v>29</v>
      </c>
      <c r="K1773" s="0" t="s">
        <v>48</v>
      </c>
      <c r="L1773" s="0" t="s">
        <v>49</v>
      </c>
      <c r="M1773" s="0" t="s">
        <v>140</v>
      </c>
      <c r="N1773" s="0" t="n">
        <v>546</v>
      </c>
      <c r="O1773" s="10" t="n">
        <v>0.858499489491805</v>
      </c>
      <c r="P1773" s="10" t="n">
        <v>0.601251717889681</v>
      </c>
      <c r="Q1773" s="0" t="str">
        <f aca="false">SUBSTITUTE(SUBSTITUTE($I1773,CHAR(61),""),CHAR(34),"")</f>
        <v>&lt;01</v>
      </c>
      <c r="R1773" s="0" t="str">
        <f aca="false">IF($D1773&lt;&gt;"","["&amp;$E1773&amp;"]"&amp;"|"&amp;$Q1773&amp;"|"&amp;$K1773&amp;"|"&amp;$G1773&amp;"|"&amp;IF($G1773="TX_CURR_SUBNAT.R","CY2022Q4",$M1773),"")</f>
        <v>[gwVYinjBAe9]|&lt;01|Male|PopART.Rt.T_1|CY2023Q3</v>
      </c>
    </row>
    <row r="1774" customFormat="false" ht="15" hidden="false" customHeight="false" outlineLevel="0" collapsed="false">
      <c r="D1774" s="0" t="s">
        <v>96</v>
      </c>
      <c r="E1774" s="0" t="s">
        <v>97</v>
      </c>
      <c r="F1774" s="0" t="s">
        <v>98</v>
      </c>
      <c r="G1774" s="0" t="s">
        <v>145</v>
      </c>
      <c r="H1774" s="0" t="s">
        <v>145</v>
      </c>
      <c r="I1774" s="0" t="s">
        <v>33</v>
      </c>
      <c r="J1774" s="0" t="s">
        <v>34</v>
      </c>
      <c r="K1774" s="0" t="s">
        <v>48</v>
      </c>
      <c r="L1774" s="0" t="s">
        <v>49</v>
      </c>
      <c r="M1774" s="0" t="s">
        <v>140</v>
      </c>
      <c r="N1774" s="0" t="n">
        <v>1144</v>
      </c>
      <c r="O1774" s="10" t="n">
        <v>0.912167101399973</v>
      </c>
      <c r="P1774" s="10" t="n">
        <v>0.601251717889681</v>
      </c>
      <c r="Q1774" s="0" t="str">
        <f aca="false">SUBSTITUTE(SUBSTITUTE($I1774,CHAR(61),""),CHAR(34),"")</f>
        <v>01-09</v>
      </c>
      <c r="R1774" s="0" t="str">
        <f aca="false">IF($D1774&lt;&gt;"","["&amp;$E1774&amp;"]"&amp;"|"&amp;$Q1774&amp;"|"&amp;$K1774&amp;"|"&amp;$G1774&amp;"|"&amp;IF($G1774="TX_CURR_SUBNAT.R","CY2022Q4",$M1774),"")</f>
        <v>[gwVYinjBAe9]|01-09|Male|PopART.Rt.T_1|CY2023Q3</v>
      </c>
    </row>
    <row r="1775" customFormat="false" ht="15" hidden="false" customHeight="false" outlineLevel="0" collapsed="false">
      <c r="D1775" s="0" t="s">
        <v>96</v>
      </c>
      <c r="E1775" s="0" t="s">
        <v>97</v>
      </c>
      <c r="F1775" s="0" t="s">
        <v>98</v>
      </c>
      <c r="G1775" s="0" t="s">
        <v>145</v>
      </c>
      <c r="H1775" s="0" t="s">
        <v>145</v>
      </c>
      <c r="I1775" s="0" t="s">
        <v>36</v>
      </c>
      <c r="J1775" s="0" t="s">
        <v>37</v>
      </c>
      <c r="K1775" s="0" t="s">
        <v>48</v>
      </c>
      <c r="L1775" s="0" t="s">
        <v>49</v>
      </c>
      <c r="M1775" s="0" t="s">
        <v>140</v>
      </c>
      <c r="N1775" s="0" t="n">
        <v>1598</v>
      </c>
      <c r="O1775" s="10" t="n">
        <v>0.974597934866324</v>
      </c>
      <c r="P1775" s="10" t="n">
        <v>0.601251717889681</v>
      </c>
      <c r="Q1775" s="0" t="str">
        <f aca="false">SUBSTITUTE(SUBSTITUTE($I1775,CHAR(61),""),CHAR(34),"")</f>
        <v>10-14</v>
      </c>
      <c r="R1775" s="0" t="str">
        <f aca="false">IF($D1775&lt;&gt;"","["&amp;$E1775&amp;"]"&amp;"|"&amp;$Q1775&amp;"|"&amp;$K1775&amp;"|"&amp;$G1775&amp;"|"&amp;IF($G1775="TX_CURR_SUBNAT.R","CY2022Q4",$M1775),"")</f>
        <v>[gwVYinjBAe9]|10-14|Male|PopART.Rt.T_1|CY2023Q3</v>
      </c>
    </row>
    <row r="1776" customFormat="false" ht="15" hidden="false" customHeight="false" outlineLevel="0" collapsed="false">
      <c r="D1776" s="0" t="s">
        <v>96</v>
      </c>
      <c r="E1776" s="0" t="s">
        <v>97</v>
      </c>
      <c r="F1776" s="0" t="s">
        <v>98</v>
      </c>
      <c r="G1776" s="0" t="s">
        <v>145</v>
      </c>
      <c r="H1776" s="0" t="s">
        <v>145</v>
      </c>
      <c r="I1776" s="0" t="s">
        <v>38</v>
      </c>
      <c r="J1776" s="0" t="s">
        <v>39</v>
      </c>
      <c r="K1776" s="0" t="s">
        <v>48</v>
      </c>
      <c r="L1776" s="0" t="s">
        <v>49</v>
      </c>
      <c r="M1776" s="0" t="s">
        <v>140</v>
      </c>
      <c r="N1776" s="0" t="n">
        <v>760</v>
      </c>
      <c r="O1776" s="10" t="n">
        <v>0.487226831028238</v>
      </c>
      <c r="P1776" s="10" t="n">
        <v>0.601251717889681</v>
      </c>
      <c r="Q1776" s="0" t="str">
        <f aca="false">SUBSTITUTE(SUBSTITUTE($I1776,CHAR(61),""),CHAR(34),"")</f>
        <v>15-24</v>
      </c>
      <c r="R1776" s="0" t="str">
        <f aca="false">IF($D1776&lt;&gt;"","["&amp;$E1776&amp;"]"&amp;"|"&amp;$Q1776&amp;"|"&amp;$K1776&amp;"|"&amp;$G1776&amp;"|"&amp;IF($G1776="TX_CURR_SUBNAT.R","CY2022Q4",$M1776),"")</f>
        <v>[gwVYinjBAe9]|15-24|Male|PopART.Rt.T_1|CY2023Q3</v>
      </c>
    </row>
    <row r="1777" customFormat="false" ht="15" hidden="false" customHeight="false" outlineLevel="0" collapsed="false">
      <c r="D1777" s="0" t="s">
        <v>96</v>
      </c>
      <c r="E1777" s="0" t="s">
        <v>97</v>
      </c>
      <c r="F1777" s="0" t="s">
        <v>98</v>
      </c>
      <c r="G1777" s="0" t="s">
        <v>145</v>
      </c>
      <c r="H1777" s="0" t="s">
        <v>145</v>
      </c>
      <c r="I1777" s="0" t="s">
        <v>41</v>
      </c>
      <c r="J1777" s="0" t="s">
        <v>42</v>
      </c>
      <c r="K1777" s="0" t="s">
        <v>48</v>
      </c>
      <c r="L1777" s="0" t="s">
        <v>49</v>
      </c>
      <c r="M1777" s="0" t="s">
        <v>140</v>
      </c>
      <c r="N1777" s="0" t="n">
        <v>1491</v>
      </c>
      <c r="O1777" s="10" t="n">
        <v>0.272895603673533</v>
      </c>
      <c r="P1777" s="10" t="n">
        <v>0.601251717889681</v>
      </c>
      <c r="Q1777" s="0" t="str">
        <f aca="false">SUBSTITUTE(SUBSTITUTE($I1777,CHAR(61),""),CHAR(34),"")</f>
        <v>25-34</v>
      </c>
      <c r="R1777" s="0" t="str">
        <f aca="false">IF($D1777&lt;&gt;"","["&amp;$E1777&amp;"]"&amp;"|"&amp;$Q1777&amp;"|"&amp;$K1777&amp;"|"&amp;$G1777&amp;"|"&amp;IF($G1777="TX_CURR_SUBNAT.R","CY2022Q4",$M1777),"")</f>
        <v>[gwVYinjBAe9]|25-34|Male|PopART.Rt.T_1|CY2023Q3</v>
      </c>
    </row>
    <row r="1778" customFormat="false" ht="15" hidden="false" customHeight="false" outlineLevel="0" collapsed="false">
      <c r="D1778" s="0" t="s">
        <v>96</v>
      </c>
      <c r="E1778" s="0" t="s">
        <v>97</v>
      </c>
      <c r="F1778" s="0" t="s">
        <v>98</v>
      </c>
      <c r="G1778" s="0" t="s">
        <v>145</v>
      </c>
      <c r="H1778" s="0" t="s">
        <v>145</v>
      </c>
      <c r="I1778" s="0" t="s">
        <v>43</v>
      </c>
      <c r="J1778" s="0" t="s">
        <v>44</v>
      </c>
      <c r="K1778" s="0" t="s">
        <v>48</v>
      </c>
      <c r="L1778" s="0" t="s">
        <v>49</v>
      </c>
      <c r="M1778" s="0" t="s">
        <v>140</v>
      </c>
      <c r="N1778" s="0" t="n">
        <v>1386</v>
      </c>
      <c r="O1778" s="10" t="n">
        <v>0.479869514936581</v>
      </c>
      <c r="P1778" s="10" t="n">
        <v>0.601251717889681</v>
      </c>
      <c r="Q1778" s="0" t="str">
        <f aca="false">SUBSTITUTE(SUBSTITUTE($I1778,CHAR(61),""),CHAR(34),"")</f>
        <v>35-49</v>
      </c>
      <c r="R1778" s="0" t="str">
        <f aca="false">IF($D1778&lt;&gt;"","["&amp;$E1778&amp;"]"&amp;"|"&amp;$Q1778&amp;"|"&amp;$K1778&amp;"|"&amp;$G1778&amp;"|"&amp;IF($G1778="TX_CURR_SUBNAT.R","CY2022Q4",$M1778),"")</f>
        <v>[gwVYinjBAe9]|35-49|Male|PopART.Rt.T_1|CY2023Q3</v>
      </c>
    </row>
    <row r="1779" customFormat="false" ht="15" hidden="false" customHeight="false" outlineLevel="0" collapsed="false">
      <c r="D1779" s="0" t="s">
        <v>96</v>
      </c>
      <c r="E1779" s="0" t="s">
        <v>97</v>
      </c>
      <c r="F1779" s="0" t="s">
        <v>98</v>
      </c>
      <c r="G1779" s="0" t="s">
        <v>145</v>
      </c>
      <c r="H1779" s="0" t="s">
        <v>145</v>
      </c>
      <c r="I1779" s="0" t="s">
        <v>45</v>
      </c>
      <c r="J1779" s="0" t="s">
        <v>46</v>
      </c>
      <c r="K1779" s="0" t="s">
        <v>48</v>
      </c>
      <c r="L1779" s="0" t="s">
        <v>49</v>
      </c>
      <c r="M1779" s="0" t="s">
        <v>140</v>
      </c>
      <c r="N1779" s="0" t="n">
        <v>1199</v>
      </c>
      <c r="O1779" s="10" t="n">
        <v>0.159890156006441</v>
      </c>
      <c r="P1779" s="10" t="n">
        <v>0.601251717889681</v>
      </c>
      <c r="Q1779" s="0" t="str">
        <f aca="false">SUBSTITUTE(SUBSTITUTE($I1779,CHAR(61),""),CHAR(34),"")</f>
        <v>50+</v>
      </c>
      <c r="R1779" s="0" t="str">
        <f aca="false">IF($D1779&lt;&gt;"","["&amp;$E1779&amp;"]"&amp;"|"&amp;$Q1779&amp;"|"&amp;$K1779&amp;"|"&amp;$G1779&amp;"|"&amp;IF($G1779="TX_CURR_SUBNAT.R","CY2022Q4",$M1779),"")</f>
        <v>[gwVYinjBAe9]|50+|Male|PopART.Rt.T_1|CY2023Q3</v>
      </c>
    </row>
    <row r="1780" customFormat="false" ht="15" hidden="false" customHeight="false" outlineLevel="0" collapsed="false">
      <c r="D1780" s="0" t="s">
        <v>99</v>
      </c>
      <c r="E1780" s="0" t="s">
        <v>100</v>
      </c>
      <c r="F1780" s="0" t="s">
        <v>101</v>
      </c>
      <c r="G1780" s="0" t="s">
        <v>145</v>
      </c>
      <c r="H1780" s="0" t="s">
        <v>145</v>
      </c>
      <c r="I1780" s="0" t="s">
        <v>28</v>
      </c>
      <c r="J1780" s="0" t="s">
        <v>29</v>
      </c>
      <c r="K1780" s="0" t="s">
        <v>30</v>
      </c>
      <c r="L1780" s="0" t="s">
        <v>31</v>
      </c>
      <c r="M1780" s="0" t="s">
        <v>140</v>
      </c>
      <c r="N1780" s="0" t="n">
        <v>1198</v>
      </c>
      <c r="O1780" s="10" t="n">
        <v>0.603824285091832</v>
      </c>
      <c r="P1780" s="10" t="n">
        <v>0.577288038097322</v>
      </c>
      <c r="Q1780" s="0" t="str">
        <f aca="false">SUBSTITUTE(SUBSTITUTE($I1780,CHAR(61),""),CHAR(34),"")</f>
        <v>&lt;01</v>
      </c>
      <c r="R1780" s="0" t="str">
        <f aca="false">IF($D1780&lt;&gt;"","["&amp;$E1780&amp;"]"&amp;"|"&amp;$Q1780&amp;"|"&amp;$K1780&amp;"|"&amp;$G1780&amp;"|"&amp;IF($G1780="TX_CURR_SUBNAT.R","CY2022Q4",$M1780),"")</f>
        <v>[mxqa3CDFmIT]|&lt;01|Female|PopART.Rt.T_1|CY2023Q3</v>
      </c>
    </row>
    <row r="1781" customFormat="false" ht="15" hidden="false" customHeight="false" outlineLevel="0" collapsed="false">
      <c r="D1781" s="0" t="s">
        <v>99</v>
      </c>
      <c r="E1781" s="0" t="s">
        <v>100</v>
      </c>
      <c r="F1781" s="0" t="s">
        <v>101</v>
      </c>
      <c r="G1781" s="0" t="s">
        <v>145</v>
      </c>
      <c r="H1781" s="0" t="s">
        <v>145</v>
      </c>
      <c r="I1781" s="0" t="s">
        <v>33</v>
      </c>
      <c r="J1781" s="0" t="s">
        <v>34</v>
      </c>
      <c r="K1781" s="0" t="s">
        <v>30</v>
      </c>
      <c r="L1781" s="0" t="s">
        <v>31</v>
      </c>
      <c r="M1781" s="0" t="s">
        <v>140</v>
      </c>
      <c r="N1781" s="0" t="n">
        <v>1393</v>
      </c>
      <c r="O1781" s="10" t="n">
        <v>0.0705948832910508</v>
      </c>
      <c r="P1781" s="10" t="n">
        <v>0.577288038097322</v>
      </c>
      <c r="Q1781" s="0" t="str">
        <f aca="false">SUBSTITUTE(SUBSTITUTE($I1781,CHAR(61),""),CHAR(34),"")</f>
        <v>01-09</v>
      </c>
      <c r="R1781" s="0" t="str">
        <f aca="false">IF($D1781&lt;&gt;"","["&amp;$E1781&amp;"]"&amp;"|"&amp;$Q1781&amp;"|"&amp;$K1781&amp;"|"&amp;$G1781&amp;"|"&amp;IF($G1781="TX_CURR_SUBNAT.R","CY2022Q4",$M1781),"")</f>
        <v>[mxqa3CDFmIT]|01-09|Female|PopART.Rt.T_1|CY2023Q3</v>
      </c>
    </row>
    <row r="1782" customFormat="false" ht="15" hidden="false" customHeight="false" outlineLevel="0" collapsed="false">
      <c r="D1782" s="0" t="s">
        <v>99</v>
      </c>
      <c r="E1782" s="0" t="s">
        <v>100</v>
      </c>
      <c r="F1782" s="0" t="s">
        <v>101</v>
      </c>
      <c r="G1782" s="0" t="s">
        <v>145</v>
      </c>
      <c r="H1782" s="0" t="s">
        <v>145</v>
      </c>
      <c r="I1782" s="0" t="s">
        <v>36</v>
      </c>
      <c r="J1782" s="0" t="s">
        <v>37</v>
      </c>
      <c r="K1782" s="0" t="s">
        <v>30</v>
      </c>
      <c r="L1782" s="0" t="s">
        <v>31</v>
      </c>
      <c r="M1782" s="0" t="s">
        <v>140</v>
      </c>
      <c r="N1782" s="0" t="n">
        <v>628</v>
      </c>
      <c r="O1782" s="10" t="n">
        <v>0.163099541794509</v>
      </c>
      <c r="P1782" s="10" t="n">
        <v>0.577288038097322</v>
      </c>
      <c r="Q1782" s="0" t="str">
        <f aca="false">SUBSTITUTE(SUBSTITUTE($I1782,CHAR(61),""),CHAR(34),"")</f>
        <v>10-14</v>
      </c>
      <c r="R1782" s="0" t="str">
        <f aca="false">IF($D1782&lt;&gt;"","["&amp;$E1782&amp;"]"&amp;"|"&amp;$Q1782&amp;"|"&amp;$K1782&amp;"|"&amp;$G1782&amp;"|"&amp;IF($G1782="TX_CURR_SUBNAT.R","CY2022Q4",$M1782),"")</f>
        <v>[mxqa3CDFmIT]|10-14|Female|PopART.Rt.T_1|CY2023Q3</v>
      </c>
    </row>
    <row r="1783" customFormat="false" ht="15" hidden="false" customHeight="false" outlineLevel="0" collapsed="false">
      <c r="D1783" s="0" t="s">
        <v>99</v>
      </c>
      <c r="E1783" s="0" t="s">
        <v>100</v>
      </c>
      <c r="F1783" s="0" t="s">
        <v>101</v>
      </c>
      <c r="G1783" s="0" t="s">
        <v>145</v>
      </c>
      <c r="H1783" s="0" t="s">
        <v>145</v>
      </c>
      <c r="I1783" s="0" t="s">
        <v>38</v>
      </c>
      <c r="J1783" s="0" t="s">
        <v>39</v>
      </c>
      <c r="K1783" s="0" t="s">
        <v>30</v>
      </c>
      <c r="L1783" s="0" t="s">
        <v>31</v>
      </c>
      <c r="M1783" s="0" t="s">
        <v>140</v>
      </c>
      <c r="N1783" s="0" t="n">
        <v>534</v>
      </c>
      <c r="O1783" s="10" t="n">
        <v>0.71132600796409</v>
      </c>
      <c r="P1783" s="10" t="n">
        <v>0.577288038097322</v>
      </c>
      <c r="Q1783" s="0" t="str">
        <f aca="false">SUBSTITUTE(SUBSTITUTE($I1783,CHAR(61),""),CHAR(34),"")</f>
        <v>15-24</v>
      </c>
      <c r="R1783" s="0" t="str">
        <f aca="false">IF($D1783&lt;&gt;"","["&amp;$E1783&amp;"]"&amp;"|"&amp;$Q1783&amp;"|"&amp;$K1783&amp;"|"&amp;$G1783&amp;"|"&amp;IF($G1783="TX_CURR_SUBNAT.R","CY2022Q4",$M1783),"")</f>
        <v>[mxqa3CDFmIT]|15-24|Female|PopART.Rt.T_1|CY2023Q3</v>
      </c>
    </row>
    <row r="1784" customFormat="false" ht="15" hidden="false" customHeight="false" outlineLevel="0" collapsed="false">
      <c r="D1784" s="0" t="s">
        <v>99</v>
      </c>
      <c r="E1784" s="0" t="s">
        <v>100</v>
      </c>
      <c r="F1784" s="0" t="s">
        <v>101</v>
      </c>
      <c r="G1784" s="0" t="s">
        <v>145</v>
      </c>
      <c r="H1784" s="0" t="s">
        <v>145</v>
      </c>
      <c r="I1784" s="0" t="s">
        <v>41</v>
      </c>
      <c r="J1784" s="0" t="s">
        <v>42</v>
      </c>
      <c r="K1784" s="0" t="s">
        <v>30</v>
      </c>
      <c r="L1784" s="0" t="s">
        <v>31</v>
      </c>
      <c r="M1784" s="0" t="s">
        <v>140</v>
      </c>
      <c r="N1784" s="0" t="n">
        <v>553</v>
      </c>
      <c r="O1784" s="10" t="n">
        <v>0.475448811193928</v>
      </c>
      <c r="P1784" s="10" t="n">
        <v>0.577288038097322</v>
      </c>
      <c r="Q1784" s="0" t="str">
        <f aca="false">SUBSTITUTE(SUBSTITUTE($I1784,CHAR(61),""),CHAR(34),"")</f>
        <v>25-34</v>
      </c>
      <c r="R1784" s="0" t="str">
        <f aca="false">IF($D1784&lt;&gt;"","["&amp;$E1784&amp;"]"&amp;"|"&amp;$Q1784&amp;"|"&amp;$K1784&amp;"|"&amp;$G1784&amp;"|"&amp;IF($G1784="TX_CURR_SUBNAT.R","CY2022Q4",$M1784),"")</f>
        <v>[mxqa3CDFmIT]|25-34|Female|PopART.Rt.T_1|CY2023Q3</v>
      </c>
    </row>
    <row r="1785" customFormat="false" ht="15" hidden="false" customHeight="false" outlineLevel="0" collapsed="false">
      <c r="D1785" s="0" t="s">
        <v>99</v>
      </c>
      <c r="E1785" s="0" t="s">
        <v>100</v>
      </c>
      <c r="F1785" s="0" t="s">
        <v>101</v>
      </c>
      <c r="G1785" s="0" t="s">
        <v>145</v>
      </c>
      <c r="H1785" s="0" t="s">
        <v>145</v>
      </c>
      <c r="I1785" s="0" t="s">
        <v>43</v>
      </c>
      <c r="J1785" s="0" t="s">
        <v>44</v>
      </c>
      <c r="K1785" s="0" t="s">
        <v>30</v>
      </c>
      <c r="L1785" s="0" t="s">
        <v>31</v>
      </c>
      <c r="M1785" s="0" t="s">
        <v>140</v>
      </c>
      <c r="N1785" s="0" t="n">
        <v>1227</v>
      </c>
      <c r="O1785" s="10" t="n">
        <v>0.0701983750332147</v>
      </c>
      <c r="P1785" s="10" t="n">
        <v>0.577288038097322</v>
      </c>
      <c r="Q1785" s="0" t="str">
        <f aca="false">SUBSTITUTE(SUBSTITUTE($I1785,CHAR(61),""),CHAR(34),"")</f>
        <v>35-49</v>
      </c>
      <c r="R1785" s="0" t="str">
        <f aca="false">IF($D1785&lt;&gt;"","["&amp;$E1785&amp;"]"&amp;"|"&amp;$Q1785&amp;"|"&amp;$K1785&amp;"|"&amp;$G1785&amp;"|"&amp;IF($G1785="TX_CURR_SUBNAT.R","CY2022Q4",$M1785),"")</f>
        <v>[mxqa3CDFmIT]|35-49|Female|PopART.Rt.T_1|CY2023Q3</v>
      </c>
    </row>
    <row r="1786" customFormat="false" ht="15" hidden="false" customHeight="false" outlineLevel="0" collapsed="false">
      <c r="D1786" s="0" t="s">
        <v>99</v>
      </c>
      <c r="E1786" s="0" t="s">
        <v>100</v>
      </c>
      <c r="F1786" s="0" t="s">
        <v>101</v>
      </c>
      <c r="G1786" s="0" t="s">
        <v>145</v>
      </c>
      <c r="H1786" s="0" t="s">
        <v>145</v>
      </c>
      <c r="I1786" s="0" t="s">
        <v>45</v>
      </c>
      <c r="J1786" s="0" t="s">
        <v>46</v>
      </c>
      <c r="K1786" s="0" t="s">
        <v>30</v>
      </c>
      <c r="L1786" s="0" t="s">
        <v>31</v>
      </c>
      <c r="M1786" s="0" t="s">
        <v>140</v>
      </c>
      <c r="N1786" s="0" t="n">
        <v>673</v>
      </c>
      <c r="O1786" s="10" t="n">
        <v>0.95076837297529</v>
      </c>
      <c r="P1786" s="10" t="n">
        <v>0.577288038097322</v>
      </c>
      <c r="Q1786" s="0" t="str">
        <f aca="false">SUBSTITUTE(SUBSTITUTE($I1786,CHAR(61),""),CHAR(34),"")</f>
        <v>50+</v>
      </c>
      <c r="R1786" s="0" t="str">
        <f aca="false">IF($D1786&lt;&gt;"","["&amp;$E1786&amp;"]"&amp;"|"&amp;$Q1786&amp;"|"&amp;$K1786&amp;"|"&amp;$G1786&amp;"|"&amp;IF($G1786="TX_CURR_SUBNAT.R","CY2022Q4",$M1786),"")</f>
        <v>[mxqa3CDFmIT]|50+|Female|PopART.Rt.T_1|CY2023Q3</v>
      </c>
    </row>
    <row r="1787" customFormat="false" ht="15" hidden="false" customHeight="false" outlineLevel="0" collapsed="false">
      <c r="D1787" s="0" t="s">
        <v>99</v>
      </c>
      <c r="E1787" s="0" t="s">
        <v>100</v>
      </c>
      <c r="F1787" s="0" t="s">
        <v>101</v>
      </c>
      <c r="G1787" s="0" t="s">
        <v>145</v>
      </c>
      <c r="H1787" s="0" t="s">
        <v>145</v>
      </c>
      <c r="I1787" s="0" t="s">
        <v>28</v>
      </c>
      <c r="J1787" s="0" t="s">
        <v>29</v>
      </c>
      <c r="K1787" s="0" t="s">
        <v>48</v>
      </c>
      <c r="L1787" s="0" t="s">
        <v>49</v>
      </c>
      <c r="M1787" s="0" t="s">
        <v>140</v>
      </c>
      <c r="N1787" s="0" t="n">
        <v>993</v>
      </c>
      <c r="O1787" s="10" t="n">
        <v>0.107957678847015</v>
      </c>
      <c r="P1787" s="10" t="n">
        <v>0.577288038097322</v>
      </c>
      <c r="Q1787" s="0" t="str">
        <f aca="false">SUBSTITUTE(SUBSTITUTE($I1787,CHAR(61),""),CHAR(34),"")</f>
        <v>&lt;01</v>
      </c>
      <c r="R1787" s="0" t="str">
        <f aca="false">IF($D1787&lt;&gt;"","["&amp;$E1787&amp;"]"&amp;"|"&amp;$Q1787&amp;"|"&amp;$K1787&amp;"|"&amp;$G1787&amp;"|"&amp;IF($G1787="TX_CURR_SUBNAT.R","CY2022Q4",$M1787),"")</f>
        <v>[mxqa3CDFmIT]|&lt;01|Male|PopART.Rt.T_1|CY2023Q3</v>
      </c>
    </row>
    <row r="1788" customFormat="false" ht="15" hidden="false" customHeight="false" outlineLevel="0" collapsed="false">
      <c r="D1788" s="0" t="s">
        <v>99</v>
      </c>
      <c r="E1788" s="0" t="s">
        <v>100</v>
      </c>
      <c r="F1788" s="0" t="s">
        <v>101</v>
      </c>
      <c r="G1788" s="0" t="s">
        <v>145</v>
      </c>
      <c r="H1788" s="0" t="s">
        <v>145</v>
      </c>
      <c r="I1788" s="0" t="s">
        <v>33</v>
      </c>
      <c r="J1788" s="0" t="s">
        <v>34</v>
      </c>
      <c r="K1788" s="0" t="s">
        <v>48</v>
      </c>
      <c r="L1788" s="0" t="s">
        <v>49</v>
      </c>
      <c r="M1788" s="0" t="s">
        <v>140</v>
      </c>
      <c r="N1788" s="0" t="n">
        <v>1471</v>
      </c>
      <c r="O1788" s="10" t="n">
        <v>0.887483334401622</v>
      </c>
      <c r="P1788" s="10" t="n">
        <v>0.577288038097322</v>
      </c>
      <c r="Q1788" s="0" t="str">
        <f aca="false">SUBSTITUTE(SUBSTITUTE($I1788,CHAR(61),""),CHAR(34),"")</f>
        <v>01-09</v>
      </c>
      <c r="R1788" s="0" t="str">
        <f aca="false">IF($D1788&lt;&gt;"","["&amp;$E1788&amp;"]"&amp;"|"&amp;$Q1788&amp;"|"&amp;$K1788&amp;"|"&amp;$G1788&amp;"|"&amp;IF($G1788="TX_CURR_SUBNAT.R","CY2022Q4",$M1788),"")</f>
        <v>[mxqa3CDFmIT]|01-09|Male|PopART.Rt.T_1|CY2023Q3</v>
      </c>
    </row>
    <row r="1789" customFormat="false" ht="15" hidden="false" customHeight="false" outlineLevel="0" collapsed="false">
      <c r="D1789" s="0" t="s">
        <v>99</v>
      </c>
      <c r="E1789" s="0" t="s">
        <v>100</v>
      </c>
      <c r="F1789" s="0" t="s">
        <v>101</v>
      </c>
      <c r="G1789" s="0" t="s">
        <v>145</v>
      </c>
      <c r="H1789" s="0" t="s">
        <v>145</v>
      </c>
      <c r="I1789" s="0" t="s">
        <v>36</v>
      </c>
      <c r="J1789" s="0" t="s">
        <v>37</v>
      </c>
      <c r="K1789" s="0" t="s">
        <v>48</v>
      </c>
      <c r="L1789" s="0" t="s">
        <v>49</v>
      </c>
      <c r="M1789" s="0" t="s">
        <v>140</v>
      </c>
      <c r="N1789" s="0" t="n">
        <v>936</v>
      </c>
      <c r="O1789" s="10" t="n">
        <v>0.696148338261992</v>
      </c>
      <c r="P1789" s="10" t="n">
        <v>0.577288038097322</v>
      </c>
      <c r="Q1789" s="0" t="str">
        <f aca="false">SUBSTITUTE(SUBSTITUTE($I1789,CHAR(61),""),CHAR(34),"")</f>
        <v>10-14</v>
      </c>
      <c r="R1789" s="0" t="str">
        <f aca="false">IF($D1789&lt;&gt;"","["&amp;$E1789&amp;"]"&amp;"|"&amp;$Q1789&amp;"|"&amp;$K1789&amp;"|"&amp;$G1789&amp;"|"&amp;IF($G1789="TX_CURR_SUBNAT.R","CY2022Q4",$M1789),"")</f>
        <v>[mxqa3CDFmIT]|10-14|Male|PopART.Rt.T_1|CY2023Q3</v>
      </c>
    </row>
    <row r="1790" customFormat="false" ht="15" hidden="false" customHeight="false" outlineLevel="0" collapsed="false">
      <c r="D1790" s="0" t="s">
        <v>99</v>
      </c>
      <c r="E1790" s="0" t="s">
        <v>100</v>
      </c>
      <c r="F1790" s="0" t="s">
        <v>101</v>
      </c>
      <c r="G1790" s="0" t="s">
        <v>145</v>
      </c>
      <c r="H1790" s="0" t="s">
        <v>145</v>
      </c>
      <c r="I1790" s="0" t="s">
        <v>38</v>
      </c>
      <c r="J1790" s="0" t="s">
        <v>39</v>
      </c>
      <c r="K1790" s="0" t="s">
        <v>48</v>
      </c>
      <c r="L1790" s="0" t="s">
        <v>49</v>
      </c>
      <c r="M1790" s="0" t="s">
        <v>140</v>
      </c>
      <c r="N1790" s="0" t="n">
        <v>1085</v>
      </c>
      <c r="O1790" s="10" t="n">
        <v>0.388679523952305</v>
      </c>
      <c r="P1790" s="10" t="n">
        <v>0.577288038097322</v>
      </c>
      <c r="Q1790" s="0" t="str">
        <f aca="false">SUBSTITUTE(SUBSTITUTE($I1790,CHAR(61),""),CHAR(34),"")</f>
        <v>15-24</v>
      </c>
      <c r="R1790" s="0" t="str">
        <f aca="false">IF($D1790&lt;&gt;"","["&amp;$E1790&amp;"]"&amp;"|"&amp;$Q1790&amp;"|"&amp;$K1790&amp;"|"&amp;$G1790&amp;"|"&amp;IF($G1790="TX_CURR_SUBNAT.R","CY2022Q4",$M1790),"")</f>
        <v>[mxqa3CDFmIT]|15-24|Male|PopART.Rt.T_1|CY2023Q3</v>
      </c>
    </row>
    <row r="1791" customFormat="false" ht="15" hidden="false" customHeight="false" outlineLevel="0" collapsed="false">
      <c r="D1791" s="0" t="s">
        <v>99</v>
      </c>
      <c r="E1791" s="0" t="s">
        <v>100</v>
      </c>
      <c r="F1791" s="0" t="s">
        <v>101</v>
      </c>
      <c r="G1791" s="0" t="s">
        <v>145</v>
      </c>
      <c r="H1791" s="0" t="s">
        <v>145</v>
      </c>
      <c r="I1791" s="0" t="s">
        <v>41</v>
      </c>
      <c r="J1791" s="0" t="s">
        <v>42</v>
      </c>
      <c r="K1791" s="0" t="s">
        <v>48</v>
      </c>
      <c r="L1791" s="0" t="s">
        <v>49</v>
      </c>
      <c r="M1791" s="0" t="s">
        <v>140</v>
      </c>
      <c r="N1791" s="0" t="n">
        <v>1673</v>
      </c>
      <c r="O1791" s="10" t="n">
        <v>0.268602954223752</v>
      </c>
      <c r="P1791" s="10" t="n">
        <v>0.577288038097322</v>
      </c>
      <c r="Q1791" s="0" t="str">
        <f aca="false">SUBSTITUTE(SUBSTITUTE($I1791,CHAR(61),""),CHAR(34),"")</f>
        <v>25-34</v>
      </c>
      <c r="R1791" s="0" t="str">
        <f aca="false">IF($D1791&lt;&gt;"","["&amp;$E1791&amp;"]"&amp;"|"&amp;$Q1791&amp;"|"&amp;$K1791&amp;"|"&amp;$G1791&amp;"|"&amp;IF($G1791="TX_CURR_SUBNAT.R","CY2022Q4",$M1791),"")</f>
        <v>[mxqa3CDFmIT]|25-34|Male|PopART.Rt.T_1|CY2023Q3</v>
      </c>
    </row>
    <row r="1792" customFormat="false" ht="15" hidden="false" customHeight="false" outlineLevel="0" collapsed="false">
      <c r="D1792" s="0" t="s">
        <v>99</v>
      </c>
      <c r="E1792" s="0" t="s">
        <v>100</v>
      </c>
      <c r="F1792" s="0" t="s">
        <v>101</v>
      </c>
      <c r="G1792" s="0" t="s">
        <v>145</v>
      </c>
      <c r="H1792" s="0" t="s">
        <v>145</v>
      </c>
      <c r="I1792" s="0" t="s">
        <v>43</v>
      </c>
      <c r="J1792" s="0" t="s">
        <v>44</v>
      </c>
      <c r="K1792" s="0" t="s">
        <v>48</v>
      </c>
      <c r="L1792" s="0" t="s">
        <v>49</v>
      </c>
      <c r="M1792" s="0" t="s">
        <v>140</v>
      </c>
      <c r="N1792" s="0" t="n">
        <v>1340</v>
      </c>
      <c r="O1792" s="10" t="n">
        <v>0.968754202593118</v>
      </c>
      <c r="P1792" s="10" t="n">
        <v>0.577288038097322</v>
      </c>
      <c r="Q1792" s="0" t="str">
        <f aca="false">SUBSTITUTE(SUBSTITUTE($I1792,CHAR(61),""),CHAR(34),"")</f>
        <v>35-49</v>
      </c>
      <c r="R1792" s="0" t="str">
        <f aca="false">IF($D1792&lt;&gt;"","["&amp;$E1792&amp;"]"&amp;"|"&amp;$Q1792&amp;"|"&amp;$K1792&amp;"|"&amp;$G1792&amp;"|"&amp;IF($G1792="TX_CURR_SUBNAT.R","CY2022Q4",$M1792),"")</f>
        <v>[mxqa3CDFmIT]|35-49|Male|PopART.Rt.T_1|CY2023Q3</v>
      </c>
    </row>
    <row r="1793" customFormat="false" ht="15" hidden="false" customHeight="false" outlineLevel="0" collapsed="false">
      <c r="D1793" s="0" t="s">
        <v>99</v>
      </c>
      <c r="E1793" s="0" t="s">
        <v>100</v>
      </c>
      <c r="F1793" s="0" t="s">
        <v>101</v>
      </c>
      <c r="G1793" s="0" t="s">
        <v>145</v>
      </c>
      <c r="H1793" s="0" t="s">
        <v>145</v>
      </c>
      <c r="I1793" s="0" t="s">
        <v>45</v>
      </c>
      <c r="J1793" s="0" t="s">
        <v>46</v>
      </c>
      <c r="K1793" s="0" t="s">
        <v>48</v>
      </c>
      <c r="L1793" s="0" t="s">
        <v>49</v>
      </c>
      <c r="M1793" s="0" t="s">
        <v>140</v>
      </c>
      <c r="N1793" s="0" t="n">
        <v>747</v>
      </c>
      <c r="O1793" s="10" t="n">
        <v>0.889237626921386</v>
      </c>
      <c r="P1793" s="10" t="n">
        <v>0.577288038097322</v>
      </c>
      <c r="Q1793" s="0" t="str">
        <f aca="false">SUBSTITUTE(SUBSTITUTE($I1793,CHAR(61),""),CHAR(34),"")</f>
        <v>50+</v>
      </c>
      <c r="R1793" s="0" t="str">
        <f aca="false">IF($D1793&lt;&gt;"","["&amp;$E1793&amp;"]"&amp;"|"&amp;$Q1793&amp;"|"&amp;$K1793&amp;"|"&amp;$G1793&amp;"|"&amp;IF($G1793="TX_CURR_SUBNAT.R","CY2022Q4",$M1793),"")</f>
        <v>[mxqa3CDFmIT]|50+|Male|PopART.Rt.T_1|CY2023Q3</v>
      </c>
    </row>
    <row r="1794" customFormat="false" ht="15" hidden="false" customHeight="false" outlineLevel="0" collapsed="false">
      <c r="D1794" s="0" t="s">
        <v>102</v>
      </c>
      <c r="E1794" s="0" t="s">
        <v>103</v>
      </c>
      <c r="F1794" s="0" t="s">
        <v>104</v>
      </c>
      <c r="G1794" s="0" t="s">
        <v>145</v>
      </c>
      <c r="H1794" s="0" t="s">
        <v>145</v>
      </c>
      <c r="I1794" s="0" t="s">
        <v>28</v>
      </c>
      <c r="J1794" s="0" t="s">
        <v>29</v>
      </c>
      <c r="K1794" s="0" t="s">
        <v>30</v>
      </c>
      <c r="L1794" s="0" t="s">
        <v>31</v>
      </c>
      <c r="M1794" s="0" t="s">
        <v>140</v>
      </c>
      <c r="N1794" s="0" t="n">
        <v>1315</v>
      </c>
      <c r="O1794" s="10" t="n">
        <v>0.084045949857682</v>
      </c>
      <c r="P1794" s="10" t="n">
        <v>0.526212359312922</v>
      </c>
      <c r="Q1794" s="0" t="str">
        <f aca="false">SUBSTITUTE(SUBSTITUTE($I1794,CHAR(61),""),CHAR(34),"")</f>
        <v>&lt;01</v>
      </c>
      <c r="R1794" s="0" t="str">
        <f aca="false">IF($D1794&lt;&gt;"","["&amp;$E1794&amp;"]"&amp;"|"&amp;$Q1794&amp;"|"&amp;$K1794&amp;"|"&amp;$G1794&amp;"|"&amp;IF($G1794="TX_CURR_SUBNAT.R","CY2022Q4",$M1794),"")</f>
        <v>[wNqJp8oRIcF]|&lt;01|Female|PopART.Rt.T_1|CY2023Q3</v>
      </c>
    </row>
    <row r="1795" customFormat="false" ht="15" hidden="false" customHeight="false" outlineLevel="0" collapsed="false">
      <c r="D1795" s="0" t="s">
        <v>102</v>
      </c>
      <c r="E1795" s="0" t="s">
        <v>103</v>
      </c>
      <c r="F1795" s="0" t="s">
        <v>104</v>
      </c>
      <c r="G1795" s="0" t="s">
        <v>145</v>
      </c>
      <c r="H1795" s="0" t="s">
        <v>145</v>
      </c>
      <c r="I1795" s="0" t="s">
        <v>33</v>
      </c>
      <c r="J1795" s="0" t="s">
        <v>34</v>
      </c>
      <c r="K1795" s="0" t="s">
        <v>30</v>
      </c>
      <c r="L1795" s="0" t="s">
        <v>31</v>
      </c>
      <c r="M1795" s="0" t="s">
        <v>140</v>
      </c>
      <c r="N1795" s="0" t="n">
        <v>1944</v>
      </c>
      <c r="O1795" s="10" t="n">
        <v>0.181224942905828</v>
      </c>
      <c r="P1795" s="10" t="n">
        <v>0.526212359312922</v>
      </c>
      <c r="Q1795" s="0" t="str">
        <f aca="false">SUBSTITUTE(SUBSTITUTE($I1795,CHAR(61),""),CHAR(34),"")</f>
        <v>01-09</v>
      </c>
      <c r="R1795" s="0" t="str">
        <f aca="false">IF($D1795&lt;&gt;"","["&amp;$E1795&amp;"]"&amp;"|"&amp;$Q1795&amp;"|"&amp;$K1795&amp;"|"&amp;$G1795&amp;"|"&amp;IF($G1795="TX_CURR_SUBNAT.R","CY2022Q4",$M1795),"")</f>
        <v>[wNqJp8oRIcF]|01-09|Female|PopART.Rt.T_1|CY2023Q3</v>
      </c>
    </row>
    <row r="1796" customFormat="false" ht="15" hidden="false" customHeight="false" outlineLevel="0" collapsed="false">
      <c r="D1796" s="0" t="s">
        <v>102</v>
      </c>
      <c r="E1796" s="0" t="s">
        <v>103</v>
      </c>
      <c r="F1796" s="0" t="s">
        <v>104</v>
      </c>
      <c r="G1796" s="0" t="s">
        <v>145</v>
      </c>
      <c r="H1796" s="0" t="s">
        <v>145</v>
      </c>
      <c r="I1796" s="0" t="s">
        <v>36</v>
      </c>
      <c r="J1796" s="0" t="s">
        <v>37</v>
      </c>
      <c r="K1796" s="0" t="s">
        <v>30</v>
      </c>
      <c r="L1796" s="0" t="s">
        <v>31</v>
      </c>
      <c r="M1796" s="0" t="s">
        <v>140</v>
      </c>
      <c r="N1796" s="0" t="n">
        <v>918</v>
      </c>
      <c r="O1796" s="10" t="n">
        <v>0.666775757679716</v>
      </c>
      <c r="P1796" s="10" t="n">
        <v>0.526212359312922</v>
      </c>
      <c r="Q1796" s="0" t="str">
        <f aca="false">SUBSTITUTE(SUBSTITUTE($I1796,CHAR(61),""),CHAR(34),"")</f>
        <v>10-14</v>
      </c>
      <c r="R1796" s="0" t="str">
        <f aca="false">IF($D1796&lt;&gt;"","["&amp;$E1796&amp;"]"&amp;"|"&amp;$Q1796&amp;"|"&amp;$K1796&amp;"|"&amp;$G1796&amp;"|"&amp;IF($G1796="TX_CURR_SUBNAT.R","CY2022Q4",$M1796),"")</f>
        <v>[wNqJp8oRIcF]|10-14|Female|PopART.Rt.T_1|CY2023Q3</v>
      </c>
    </row>
    <row r="1797" customFormat="false" ht="15" hidden="false" customHeight="false" outlineLevel="0" collapsed="false">
      <c r="D1797" s="0" t="s">
        <v>102</v>
      </c>
      <c r="E1797" s="0" t="s">
        <v>103</v>
      </c>
      <c r="F1797" s="0" t="s">
        <v>104</v>
      </c>
      <c r="G1797" s="0" t="s">
        <v>145</v>
      </c>
      <c r="H1797" s="0" t="s">
        <v>145</v>
      </c>
      <c r="I1797" s="0" t="s">
        <v>38</v>
      </c>
      <c r="J1797" s="0" t="s">
        <v>39</v>
      </c>
      <c r="K1797" s="0" t="s">
        <v>30</v>
      </c>
      <c r="L1797" s="0" t="s">
        <v>31</v>
      </c>
      <c r="M1797" s="0" t="s">
        <v>140</v>
      </c>
      <c r="N1797" s="0" t="n">
        <v>1427</v>
      </c>
      <c r="O1797" s="10" t="n">
        <v>0.33484434732236</v>
      </c>
      <c r="P1797" s="10" t="n">
        <v>0.526212359312922</v>
      </c>
      <c r="Q1797" s="0" t="str">
        <f aca="false">SUBSTITUTE(SUBSTITUTE($I1797,CHAR(61),""),CHAR(34),"")</f>
        <v>15-24</v>
      </c>
      <c r="R1797" s="0" t="str">
        <f aca="false">IF($D1797&lt;&gt;"","["&amp;$E1797&amp;"]"&amp;"|"&amp;$Q1797&amp;"|"&amp;$K1797&amp;"|"&amp;$G1797&amp;"|"&amp;IF($G1797="TX_CURR_SUBNAT.R","CY2022Q4",$M1797),"")</f>
        <v>[wNqJp8oRIcF]|15-24|Female|PopART.Rt.T_1|CY2023Q3</v>
      </c>
    </row>
    <row r="1798" customFormat="false" ht="15" hidden="false" customHeight="false" outlineLevel="0" collapsed="false">
      <c r="D1798" s="0" t="s">
        <v>102</v>
      </c>
      <c r="E1798" s="0" t="s">
        <v>103</v>
      </c>
      <c r="F1798" s="0" t="s">
        <v>104</v>
      </c>
      <c r="G1798" s="0" t="s">
        <v>145</v>
      </c>
      <c r="H1798" s="0" t="s">
        <v>145</v>
      </c>
      <c r="I1798" s="0" t="s">
        <v>41</v>
      </c>
      <c r="J1798" s="0" t="s">
        <v>42</v>
      </c>
      <c r="K1798" s="0" t="s">
        <v>30</v>
      </c>
      <c r="L1798" s="0" t="s">
        <v>31</v>
      </c>
      <c r="M1798" s="0" t="s">
        <v>140</v>
      </c>
      <c r="N1798" s="0" t="n">
        <v>935</v>
      </c>
      <c r="O1798" s="10" t="n">
        <v>0.830048497766256</v>
      </c>
      <c r="P1798" s="10" t="n">
        <v>0.526212359312922</v>
      </c>
      <c r="Q1798" s="0" t="str">
        <f aca="false">SUBSTITUTE(SUBSTITUTE($I1798,CHAR(61),""),CHAR(34),"")</f>
        <v>25-34</v>
      </c>
      <c r="R1798" s="0" t="str">
        <f aca="false">IF($D1798&lt;&gt;"","["&amp;$E1798&amp;"]"&amp;"|"&amp;$Q1798&amp;"|"&amp;$K1798&amp;"|"&amp;$G1798&amp;"|"&amp;IF($G1798="TX_CURR_SUBNAT.R","CY2022Q4",$M1798),"")</f>
        <v>[wNqJp8oRIcF]|25-34|Female|PopART.Rt.T_1|CY2023Q3</v>
      </c>
    </row>
    <row r="1799" customFormat="false" ht="15" hidden="false" customHeight="false" outlineLevel="0" collapsed="false">
      <c r="D1799" s="0" t="s">
        <v>102</v>
      </c>
      <c r="E1799" s="0" t="s">
        <v>103</v>
      </c>
      <c r="F1799" s="0" t="s">
        <v>104</v>
      </c>
      <c r="G1799" s="0" t="s">
        <v>145</v>
      </c>
      <c r="H1799" s="0" t="s">
        <v>145</v>
      </c>
      <c r="I1799" s="0" t="s">
        <v>43</v>
      </c>
      <c r="J1799" s="0" t="s">
        <v>44</v>
      </c>
      <c r="K1799" s="0" t="s">
        <v>30</v>
      </c>
      <c r="L1799" s="0" t="s">
        <v>31</v>
      </c>
      <c r="M1799" s="0" t="s">
        <v>140</v>
      </c>
      <c r="N1799" s="0" t="n">
        <v>1672</v>
      </c>
      <c r="O1799" s="10" t="n">
        <v>0.425208022119477</v>
      </c>
      <c r="P1799" s="10" t="n">
        <v>0.526212359312922</v>
      </c>
      <c r="Q1799" s="0" t="str">
        <f aca="false">SUBSTITUTE(SUBSTITUTE($I1799,CHAR(61),""),CHAR(34),"")</f>
        <v>35-49</v>
      </c>
      <c r="R1799" s="0" t="str">
        <f aca="false">IF($D1799&lt;&gt;"","["&amp;$E1799&amp;"]"&amp;"|"&amp;$Q1799&amp;"|"&amp;$K1799&amp;"|"&amp;$G1799&amp;"|"&amp;IF($G1799="TX_CURR_SUBNAT.R","CY2022Q4",$M1799),"")</f>
        <v>[wNqJp8oRIcF]|35-49|Female|PopART.Rt.T_1|CY2023Q3</v>
      </c>
    </row>
    <row r="1800" customFormat="false" ht="15" hidden="false" customHeight="false" outlineLevel="0" collapsed="false">
      <c r="D1800" s="0" t="s">
        <v>102</v>
      </c>
      <c r="E1800" s="0" t="s">
        <v>103</v>
      </c>
      <c r="F1800" s="0" t="s">
        <v>104</v>
      </c>
      <c r="G1800" s="0" t="s">
        <v>145</v>
      </c>
      <c r="H1800" s="0" t="s">
        <v>145</v>
      </c>
      <c r="I1800" s="0" t="s">
        <v>45</v>
      </c>
      <c r="J1800" s="0" t="s">
        <v>46</v>
      </c>
      <c r="K1800" s="0" t="s">
        <v>30</v>
      </c>
      <c r="L1800" s="0" t="s">
        <v>31</v>
      </c>
      <c r="M1800" s="0" t="s">
        <v>140</v>
      </c>
      <c r="N1800" s="0" t="n">
        <v>1191</v>
      </c>
      <c r="O1800" s="10" t="n">
        <v>0.67917333659716</v>
      </c>
      <c r="P1800" s="10" t="n">
        <v>0.526212359312922</v>
      </c>
      <c r="Q1800" s="0" t="str">
        <f aca="false">SUBSTITUTE(SUBSTITUTE($I1800,CHAR(61),""),CHAR(34),"")</f>
        <v>50+</v>
      </c>
      <c r="R1800" s="0" t="str">
        <f aca="false">IF($D1800&lt;&gt;"","["&amp;$E1800&amp;"]"&amp;"|"&amp;$Q1800&amp;"|"&amp;$K1800&amp;"|"&amp;$G1800&amp;"|"&amp;IF($G1800="TX_CURR_SUBNAT.R","CY2022Q4",$M1800),"")</f>
        <v>[wNqJp8oRIcF]|50+|Female|PopART.Rt.T_1|CY2023Q3</v>
      </c>
    </row>
    <row r="1801" customFormat="false" ht="15" hidden="false" customHeight="false" outlineLevel="0" collapsed="false">
      <c r="D1801" s="0" t="s">
        <v>102</v>
      </c>
      <c r="E1801" s="0" t="s">
        <v>103</v>
      </c>
      <c r="F1801" s="0" t="s">
        <v>104</v>
      </c>
      <c r="G1801" s="0" t="s">
        <v>145</v>
      </c>
      <c r="H1801" s="0" t="s">
        <v>145</v>
      </c>
      <c r="I1801" s="0" t="s">
        <v>28</v>
      </c>
      <c r="J1801" s="0" t="s">
        <v>29</v>
      </c>
      <c r="K1801" s="0" t="s">
        <v>48</v>
      </c>
      <c r="L1801" s="0" t="s">
        <v>49</v>
      </c>
      <c r="M1801" s="0" t="s">
        <v>140</v>
      </c>
      <c r="N1801" s="0" t="n">
        <v>1250</v>
      </c>
      <c r="O1801" s="10" t="n">
        <v>0.897095009218901</v>
      </c>
      <c r="P1801" s="10" t="n">
        <v>0.526212359312922</v>
      </c>
      <c r="Q1801" s="0" t="str">
        <f aca="false">SUBSTITUTE(SUBSTITUTE($I1801,CHAR(61),""),CHAR(34),"")</f>
        <v>&lt;01</v>
      </c>
      <c r="R1801" s="0" t="str">
        <f aca="false">IF($D1801&lt;&gt;"","["&amp;$E1801&amp;"]"&amp;"|"&amp;$Q1801&amp;"|"&amp;$K1801&amp;"|"&amp;$G1801&amp;"|"&amp;IF($G1801="TX_CURR_SUBNAT.R","CY2022Q4",$M1801),"")</f>
        <v>[wNqJp8oRIcF]|&lt;01|Male|PopART.Rt.T_1|CY2023Q3</v>
      </c>
    </row>
    <row r="1802" customFormat="false" ht="15" hidden="false" customHeight="false" outlineLevel="0" collapsed="false">
      <c r="D1802" s="0" t="s">
        <v>102</v>
      </c>
      <c r="E1802" s="0" t="s">
        <v>103</v>
      </c>
      <c r="F1802" s="0" t="s">
        <v>104</v>
      </c>
      <c r="G1802" s="0" t="s">
        <v>145</v>
      </c>
      <c r="H1802" s="0" t="s">
        <v>145</v>
      </c>
      <c r="I1802" s="0" t="s">
        <v>33</v>
      </c>
      <c r="J1802" s="0" t="s">
        <v>34</v>
      </c>
      <c r="K1802" s="0" t="s">
        <v>48</v>
      </c>
      <c r="L1802" s="0" t="s">
        <v>49</v>
      </c>
      <c r="M1802" s="0" t="s">
        <v>140</v>
      </c>
      <c r="N1802" s="0" t="n">
        <v>582</v>
      </c>
      <c r="O1802" s="10" t="n">
        <v>0.0970117663964629</v>
      </c>
      <c r="P1802" s="10" t="n">
        <v>0.526212359312922</v>
      </c>
      <c r="Q1802" s="0" t="str">
        <f aca="false">SUBSTITUTE(SUBSTITUTE($I1802,CHAR(61),""),CHAR(34),"")</f>
        <v>01-09</v>
      </c>
      <c r="R1802" s="0" t="str">
        <f aca="false">IF($D1802&lt;&gt;"","["&amp;$E1802&amp;"]"&amp;"|"&amp;$Q1802&amp;"|"&amp;$K1802&amp;"|"&amp;$G1802&amp;"|"&amp;IF($G1802="TX_CURR_SUBNAT.R","CY2022Q4",$M1802),"")</f>
        <v>[wNqJp8oRIcF]|01-09|Male|PopART.Rt.T_1|CY2023Q3</v>
      </c>
    </row>
    <row r="1803" customFormat="false" ht="15" hidden="false" customHeight="false" outlineLevel="0" collapsed="false">
      <c r="D1803" s="0" t="s">
        <v>102</v>
      </c>
      <c r="E1803" s="0" t="s">
        <v>103</v>
      </c>
      <c r="F1803" s="0" t="s">
        <v>104</v>
      </c>
      <c r="G1803" s="0" t="s">
        <v>145</v>
      </c>
      <c r="H1803" s="0" t="s">
        <v>145</v>
      </c>
      <c r="I1803" s="0" t="s">
        <v>36</v>
      </c>
      <c r="J1803" s="0" t="s">
        <v>37</v>
      </c>
      <c r="K1803" s="0" t="s">
        <v>48</v>
      </c>
      <c r="L1803" s="0" t="s">
        <v>49</v>
      </c>
      <c r="M1803" s="0" t="s">
        <v>140</v>
      </c>
      <c r="N1803" s="0" t="n">
        <v>1859</v>
      </c>
      <c r="O1803" s="10" t="n">
        <v>0.514932334655896</v>
      </c>
      <c r="P1803" s="10" t="n">
        <v>0.526212359312922</v>
      </c>
      <c r="Q1803" s="0" t="str">
        <f aca="false">SUBSTITUTE(SUBSTITUTE($I1803,CHAR(61),""),CHAR(34),"")</f>
        <v>10-14</v>
      </c>
      <c r="R1803" s="0" t="str">
        <f aca="false">IF($D1803&lt;&gt;"","["&amp;$E1803&amp;"]"&amp;"|"&amp;$Q1803&amp;"|"&amp;$K1803&amp;"|"&amp;$G1803&amp;"|"&amp;IF($G1803="TX_CURR_SUBNAT.R","CY2022Q4",$M1803),"")</f>
        <v>[wNqJp8oRIcF]|10-14|Male|PopART.Rt.T_1|CY2023Q3</v>
      </c>
    </row>
    <row r="1804" customFormat="false" ht="15" hidden="false" customHeight="false" outlineLevel="0" collapsed="false">
      <c r="D1804" s="0" t="s">
        <v>102</v>
      </c>
      <c r="E1804" s="0" t="s">
        <v>103</v>
      </c>
      <c r="F1804" s="0" t="s">
        <v>104</v>
      </c>
      <c r="G1804" s="0" t="s">
        <v>145</v>
      </c>
      <c r="H1804" s="0" t="s">
        <v>145</v>
      </c>
      <c r="I1804" s="0" t="s">
        <v>38</v>
      </c>
      <c r="J1804" s="0" t="s">
        <v>39</v>
      </c>
      <c r="K1804" s="0" t="s">
        <v>48</v>
      </c>
      <c r="L1804" s="0" t="s">
        <v>49</v>
      </c>
      <c r="M1804" s="0" t="s">
        <v>140</v>
      </c>
      <c r="N1804" s="0" t="n">
        <v>636</v>
      </c>
      <c r="O1804" s="10" t="n">
        <v>0.953386452281848</v>
      </c>
      <c r="P1804" s="10" t="n">
        <v>0.526212359312922</v>
      </c>
      <c r="Q1804" s="0" t="str">
        <f aca="false">SUBSTITUTE(SUBSTITUTE($I1804,CHAR(61),""),CHAR(34),"")</f>
        <v>15-24</v>
      </c>
      <c r="R1804" s="0" t="str">
        <f aca="false">IF($D1804&lt;&gt;"","["&amp;$E1804&amp;"]"&amp;"|"&amp;$Q1804&amp;"|"&amp;$K1804&amp;"|"&amp;$G1804&amp;"|"&amp;IF($G1804="TX_CURR_SUBNAT.R","CY2022Q4",$M1804),"")</f>
        <v>[wNqJp8oRIcF]|15-24|Male|PopART.Rt.T_1|CY2023Q3</v>
      </c>
    </row>
    <row r="1805" customFormat="false" ht="15" hidden="false" customHeight="false" outlineLevel="0" collapsed="false">
      <c r="D1805" s="0" t="s">
        <v>102</v>
      </c>
      <c r="E1805" s="0" t="s">
        <v>103</v>
      </c>
      <c r="F1805" s="0" t="s">
        <v>104</v>
      </c>
      <c r="G1805" s="0" t="s">
        <v>145</v>
      </c>
      <c r="H1805" s="0" t="s">
        <v>145</v>
      </c>
      <c r="I1805" s="0" t="s">
        <v>41</v>
      </c>
      <c r="J1805" s="0" t="s">
        <v>42</v>
      </c>
      <c r="K1805" s="0" t="s">
        <v>48</v>
      </c>
      <c r="L1805" s="0" t="s">
        <v>49</v>
      </c>
      <c r="M1805" s="0" t="s">
        <v>140</v>
      </c>
      <c r="N1805" s="0" t="n">
        <v>635</v>
      </c>
      <c r="O1805" s="10" t="n">
        <v>0.498190157115459</v>
      </c>
      <c r="P1805" s="10" t="n">
        <v>0.526212359312922</v>
      </c>
      <c r="Q1805" s="0" t="str">
        <f aca="false">SUBSTITUTE(SUBSTITUTE($I1805,CHAR(61),""),CHAR(34),"")</f>
        <v>25-34</v>
      </c>
      <c r="R1805" s="0" t="str">
        <f aca="false">IF($D1805&lt;&gt;"","["&amp;$E1805&amp;"]"&amp;"|"&amp;$Q1805&amp;"|"&amp;$K1805&amp;"|"&amp;$G1805&amp;"|"&amp;IF($G1805="TX_CURR_SUBNAT.R","CY2022Q4",$M1805),"")</f>
        <v>[wNqJp8oRIcF]|25-34|Male|PopART.Rt.T_1|CY2023Q3</v>
      </c>
    </row>
    <row r="1806" customFormat="false" ht="15" hidden="false" customHeight="false" outlineLevel="0" collapsed="false">
      <c r="D1806" s="0" t="s">
        <v>102</v>
      </c>
      <c r="E1806" s="0" t="s">
        <v>103</v>
      </c>
      <c r="F1806" s="0" t="s">
        <v>104</v>
      </c>
      <c r="G1806" s="0" t="s">
        <v>145</v>
      </c>
      <c r="H1806" s="0" t="s">
        <v>145</v>
      </c>
      <c r="I1806" s="0" t="s">
        <v>43</v>
      </c>
      <c r="J1806" s="0" t="s">
        <v>44</v>
      </c>
      <c r="K1806" s="0" t="s">
        <v>48</v>
      </c>
      <c r="L1806" s="0" t="s">
        <v>49</v>
      </c>
      <c r="M1806" s="0" t="s">
        <v>140</v>
      </c>
      <c r="N1806" s="0" t="n">
        <v>1010</v>
      </c>
      <c r="O1806" s="10" t="n">
        <v>0.259016105206683</v>
      </c>
      <c r="P1806" s="10" t="n">
        <v>0.526212359312922</v>
      </c>
      <c r="Q1806" s="0" t="str">
        <f aca="false">SUBSTITUTE(SUBSTITUTE($I1806,CHAR(61),""),CHAR(34),"")</f>
        <v>35-49</v>
      </c>
      <c r="R1806" s="0" t="str">
        <f aca="false">IF($D1806&lt;&gt;"","["&amp;$E1806&amp;"]"&amp;"|"&amp;$Q1806&amp;"|"&amp;$K1806&amp;"|"&amp;$G1806&amp;"|"&amp;IF($G1806="TX_CURR_SUBNAT.R","CY2022Q4",$M1806),"")</f>
        <v>[wNqJp8oRIcF]|35-49|Male|PopART.Rt.T_1|CY2023Q3</v>
      </c>
    </row>
    <row r="1807" customFormat="false" ht="15" hidden="false" customHeight="false" outlineLevel="0" collapsed="false">
      <c r="D1807" s="0" t="s">
        <v>102</v>
      </c>
      <c r="E1807" s="0" t="s">
        <v>103</v>
      </c>
      <c r="F1807" s="0" t="s">
        <v>104</v>
      </c>
      <c r="G1807" s="0" t="s">
        <v>145</v>
      </c>
      <c r="H1807" s="0" t="s">
        <v>145</v>
      </c>
      <c r="I1807" s="0" t="s">
        <v>45</v>
      </c>
      <c r="J1807" s="0" t="s">
        <v>46</v>
      </c>
      <c r="K1807" s="0" t="s">
        <v>48</v>
      </c>
      <c r="L1807" s="0" t="s">
        <v>49</v>
      </c>
      <c r="M1807" s="0" t="s">
        <v>140</v>
      </c>
      <c r="N1807" s="0" t="n">
        <v>1772</v>
      </c>
      <c r="O1807" s="10" t="n">
        <v>0.0321731516160071</v>
      </c>
      <c r="P1807" s="10" t="n">
        <v>0.526212359312922</v>
      </c>
      <c r="Q1807" s="0" t="str">
        <f aca="false">SUBSTITUTE(SUBSTITUTE($I1807,CHAR(61),""),CHAR(34),"")</f>
        <v>50+</v>
      </c>
      <c r="R1807" s="0" t="str">
        <f aca="false">IF($D1807&lt;&gt;"","["&amp;$E1807&amp;"]"&amp;"|"&amp;$Q1807&amp;"|"&amp;$K1807&amp;"|"&amp;$G1807&amp;"|"&amp;IF($G1807="TX_CURR_SUBNAT.R","CY2022Q4",$M1807),"")</f>
        <v>[wNqJp8oRIcF]|50+|Male|PopART.Rt.T_1|CY2023Q3</v>
      </c>
    </row>
    <row r="1808" customFormat="false" ht="15" hidden="false" customHeight="false" outlineLevel="0" collapsed="false">
      <c r="D1808" s="0" t="s">
        <v>105</v>
      </c>
      <c r="E1808" s="0" t="s">
        <v>106</v>
      </c>
      <c r="F1808" s="0" t="s">
        <v>107</v>
      </c>
      <c r="G1808" s="0" t="s">
        <v>145</v>
      </c>
      <c r="H1808" s="0" t="s">
        <v>145</v>
      </c>
      <c r="I1808" s="0" t="s">
        <v>28</v>
      </c>
      <c r="J1808" s="0" t="s">
        <v>29</v>
      </c>
      <c r="K1808" s="0" t="s">
        <v>30</v>
      </c>
      <c r="L1808" s="0" t="s">
        <v>31</v>
      </c>
      <c r="M1808" s="0" t="s">
        <v>140</v>
      </c>
      <c r="N1808" s="0" t="n">
        <v>1367</v>
      </c>
      <c r="O1808" s="10" t="n">
        <v>0.30094123003073</v>
      </c>
      <c r="P1808" s="10" t="n">
        <v>0.218249560333788</v>
      </c>
      <c r="Q1808" s="0" t="str">
        <f aca="false">SUBSTITUTE(SUBSTITUTE($I1808,CHAR(61),""),CHAR(34),"")</f>
        <v>&lt;01</v>
      </c>
      <c r="R1808" s="0" t="str">
        <f aca="false">IF($D1808&lt;&gt;"","["&amp;$E1808&amp;"]"&amp;"|"&amp;$Q1808&amp;"|"&amp;$K1808&amp;"|"&amp;$G1808&amp;"|"&amp;IF($G1808="TX_CURR_SUBNAT.R","CY2022Q4",$M1808),"")</f>
        <v>[oiPR2CiVJbf]|&lt;01|Female|PopART.Rt.T_1|CY2023Q3</v>
      </c>
    </row>
    <row r="1809" customFormat="false" ht="15" hidden="false" customHeight="false" outlineLevel="0" collapsed="false">
      <c r="D1809" s="0" t="s">
        <v>105</v>
      </c>
      <c r="E1809" s="0" t="s">
        <v>106</v>
      </c>
      <c r="F1809" s="0" t="s">
        <v>107</v>
      </c>
      <c r="G1809" s="0" t="s">
        <v>145</v>
      </c>
      <c r="H1809" s="0" t="s">
        <v>145</v>
      </c>
      <c r="I1809" s="0" t="s">
        <v>33</v>
      </c>
      <c r="J1809" s="0" t="s">
        <v>34</v>
      </c>
      <c r="K1809" s="0" t="s">
        <v>30</v>
      </c>
      <c r="L1809" s="0" t="s">
        <v>31</v>
      </c>
      <c r="M1809" s="0" t="s">
        <v>140</v>
      </c>
      <c r="N1809" s="0" t="n">
        <v>607</v>
      </c>
      <c r="O1809" s="10" t="n">
        <v>0.329614312853664</v>
      </c>
      <c r="P1809" s="10" t="n">
        <v>0.218249560333788</v>
      </c>
      <c r="Q1809" s="0" t="str">
        <f aca="false">SUBSTITUTE(SUBSTITUTE($I1809,CHAR(61),""),CHAR(34),"")</f>
        <v>01-09</v>
      </c>
      <c r="R1809" s="0" t="str">
        <f aca="false">IF($D1809&lt;&gt;"","["&amp;$E1809&amp;"]"&amp;"|"&amp;$Q1809&amp;"|"&amp;$K1809&amp;"|"&amp;$G1809&amp;"|"&amp;IF($G1809="TX_CURR_SUBNAT.R","CY2022Q4",$M1809),"")</f>
        <v>[oiPR2CiVJbf]|01-09|Female|PopART.Rt.T_1|CY2023Q3</v>
      </c>
    </row>
    <row r="1810" customFormat="false" ht="15" hidden="false" customHeight="false" outlineLevel="0" collapsed="false">
      <c r="D1810" s="0" t="s">
        <v>105</v>
      </c>
      <c r="E1810" s="0" t="s">
        <v>106</v>
      </c>
      <c r="F1810" s="0" t="s">
        <v>107</v>
      </c>
      <c r="G1810" s="0" t="s">
        <v>145</v>
      </c>
      <c r="H1810" s="0" t="s">
        <v>145</v>
      </c>
      <c r="I1810" s="0" t="s">
        <v>36</v>
      </c>
      <c r="J1810" s="0" t="s">
        <v>37</v>
      </c>
      <c r="K1810" s="0" t="s">
        <v>30</v>
      </c>
      <c r="L1810" s="0" t="s">
        <v>31</v>
      </c>
      <c r="M1810" s="0" t="s">
        <v>140</v>
      </c>
      <c r="N1810" s="0" t="n">
        <v>1675</v>
      </c>
      <c r="O1810" s="10" t="n">
        <v>0.803520855493844</v>
      </c>
      <c r="P1810" s="10" t="n">
        <v>0.218249560333788</v>
      </c>
      <c r="Q1810" s="0" t="str">
        <f aca="false">SUBSTITUTE(SUBSTITUTE($I1810,CHAR(61),""),CHAR(34),"")</f>
        <v>10-14</v>
      </c>
      <c r="R1810" s="0" t="str">
        <f aca="false">IF($D1810&lt;&gt;"","["&amp;$E1810&amp;"]"&amp;"|"&amp;$Q1810&amp;"|"&amp;$K1810&amp;"|"&amp;$G1810&amp;"|"&amp;IF($G1810="TX_CURR_SUBNAT.R","CY2022Q4",$M1810),"")</f>
        <v>[oiPR2CiVJbf]|10-14|Female|PopART.Rt.T_1|CY2023Q3</v>
      </c>
    </row>
    <row r="1811" customFormat="false" ht="15" hidden="false" customHeight="false" outlineLevel="0" collapsed="false">
      <c r="D1811" s="0" t="s">
        <v>105</v>
      </c>
      <c r="E1811" s="0" t="s">
        <v>106</v>
      </c>
      <c r="F1811" s="0" t="s">
        <v>107</v>
      </c>
      <c r="G1811" s="0" t="s">
        <v>145</v>
      </c>
      <c r="H1811" s="0" t="s">
        <v>145</v>
      </c>
      <c r="I1811" s="0" t="s">
        <v>38</v>
      </c>
      <c r="J1811" s="0" t="s">
        <v>39</v>
      </c>
      <c r="K1811" s="0" t="s">
        <v>30</v>
      </c>
      <c r="L1811" s="0" t="s">
        <v>31</v>
      </c>
      <c r="M1811" s="0" t="s">
        <v>140</v>
      </c>
      <c r="N1811" s="0" t="n">
        <v>1181</v>
      </c>
      <c r="O1811" s="10" t="n">
        <v>0.967874424299225</v>
      </c>
      <c r="P1811" s="10" t="n">
        <v>0.218249560333788</v>
      </c>
      <c r="Q1811" s="0" t="str">
        <f aca="false">SUBSTITUTE(SUBSTITUTE($I1811,CHAR(61),""),CHAR(34),"")</f>
        <v>15-24</v>
      </c>
      <c r="R1811" s="0" t="str">
        <f aca="false">IF($D1811&lt;&gt;"","["&amp;$E1811&amp;"]"&amp;"|"&amp;$Q1811&amp;"|"&amp;$K1811&amp;"|"&amp;$G1811&amp;"|"&amp;IF($G1811="TX_CURR_SUBNAT.R","CY2022Q4",$M1811),"")</f>
        <v>[oiPR2CiVJbf]|15-24|Female|PopART.Rt.T_1|CY2023Q3</v>
      </c>
    </row>
    <row r="1812" customFormat="false" ht="15" hidden="false" customHeight="false" outlineLevel="0" collapsed="false">
      <c r="D1812" s="0" t="s">
        <v>105</v>
      </c>
      <c r="E1812" s="0" t="s">
        <v>106</v>
      </c>
      <c r="F1812" s="0" t="s">
        <v>107</v>
      </c>
      <c r="G1812" s="0" t="s">
        <v>145</v>
      </c>
      <c r="H1812" s="0" t="s">
        <v>145</v>
      </c>
      <c r="I1812" s="0" t="s">
        <v>41</v>
      </c>
      <c r="J1812" s="0" t="s">
        <v>42</v>
      </c>
      <c r="K1812" s="0" t="s">
        <v>30</v>
      </c>
      <c r="L1812" s="0" t="s">
        <v>31</v>
      </c>
      <c r="M1812" s="0" t="s">
        <v>140</v>
      </c>
      <c r="N1812" s="0" t="n">
        <v>873</v>
      </c>
      <c r="O1812" s="10" t="n">
        <v>0.552034022985026</v>
      </c>
      <c r="P1812" s="10" t="n">
        <v>0.218249560333788</v>
      </c>
      <c r="Q1812" s="0" t="str">
        <f aca="false">SUBSTITUTE(SUBSTITUTE($I1812,CHAR(61),""),CHAR(34),"")</f>
        <v>25-34</v>
      </c>
      <c r="R1812" s="0" t="str">
        <f aca="false">IF($D1812&lt;&gt;"","["&amp;$E1812&amp;"]"&amp;"|"&amp;$Q1812&amp;"|"&amp;$K1812&amp;"|"&amp;$G1812&amp;"|"&amp;IF($G1812="TX_CURR_SUBNAT.R","CY2022Q4",$M1812),"")</f>
        <v>[oiPR2CiVJbf]|25-34|Female|PopART.Rt.T_1|CY2023Q3</v>
      </c>
    </row>
    <row r="1813" customFormat="false" ht="15" hidden="false" customHeight="false" outlineLevel="0" collapsed="false">
      <c r="D1813" s="0" t="s">
        <v>105</v>
      </c>
      <c r="E1813" s="0" t="s">
        <v>106</v>
      </c>
      <c r="F1813" s="0" t="s">
        <v>107</v>
      </c>
      <c r="G1813" s="0" t="s">
        <v>145</v>
      </c>
      <c r="H1813" s="0" t="s">
        <v>145</v>
      </c>
      <c r="I1813" s="0" t="s">
        <v>43</v>
      </c>
      <c r="J1813" s="0" t="s">
        <v>44</v>
      </c>
      <c r="K1813" s="0" t="s">
        <v>30</v>
      </c>
      <c r="L1813" s="0" t="s">
        <v>31</v>
      </c>
      <c r="M1813" s="0" t="s">
        <v>140</v>
      </c>
      <c r="N1813" s="0" t="n">
        <v>1122</v>
      </c>
      <c r="O1813" s="10" t="n">
        <v>0.363915103022009</v>
      </c>
      <c r="P1813" s="10" t="n">
        <v>0.218249560333788</v>
      </c>
      <c r="Q1813" s="0" t="str">
        <f aca="false">SUBSTITUTE(SUBSTITUTE($I1813,CHAR(61),""),CHAR(34),"")</f>
        <v>35-49</v>
      </c>
      <c r="R1813" s="0" t="str">
        <f aca="false">IF($D1813&lt;&gt;"","["&amp;$E1813&amp;"]"&amp;"|"&amp;$Q1813&amp;"|"&amp;$K1813&amp;"|"&amp;$G1813&amp;"|"&amp;IF($G1813="TX_CURR_SUBNAT.R","CY2022Q4",$M1813),"")</f>
        <v>[oiPR2CiVJbf]|35-49|Female|PopART.Rt.T_1|CY2023Q3</v>
      </c>
    </row>
    <row r="1814" customFormat="false" ht="15" hidden="false" customHeight="false" outlineLevel="0" collapsed="false">
      <c r="D1814" s="0" t="s">
        <v>105</v>
      </c>
      <c r="E1814" s="0" t="s">
        <v>106</v>
      </c>
      <c r="F1814" s="0" t="s">
        <v>107</v>
      </c>
      <c r="G1814" s="0" t="s">
        <v>145</v>
      </c>
      <c r="H1814" s="0" t="s">
        <v>145</v>
      </c>
      <c r="I1814" s="0" t="s">
        <v>45</v>
      </c>
      <c r="J1814" s="0" t="s">
        <v>46</v>
      </c>
      <c r="K1814" s="0" t="s">
        <v>30</v>
      </c>
      <c r="L1814" s="0" t="s">
        <v>31</v>
      </c>
      <c r="M1814" s="0" t="s">
        <v>140</v>
      </c>
      <c r="N1814" s="0" t="n">
        <v>1159</v>
      </c>
      <c r="O1814" s="10" t="n">
        <v>0.560617075534537</v>
      </c>
      <c r="P1814" s="10" t="n">
        <v>0.218249560333788</v>
      </c>
      <c r="Q1814" s="0" t="str">
        <f aca="false">SUBSTITUTE(SUBSTITUTE($I1814,CHAR(61),""),CHAR(34),"")</f>
        <v>50+</v>
      </c>
      <c r="R1814" s="0" t="str">
        <f aca="false">IF($D1814&lt;&gt;"","["&amp;$E1814&amp;"]"&amp;"|"&amp;$Q1814&amp;"|"&amp;$K1814&amp;"|"&amp;$G1814&amp;"|"&amp;IF($G1814="TX_CURR_SUBNAT.R","CY2022Q4",$M1814),"")</f>
        <v>[oiPR2CiVJbf]|50+|Female|PopART.Rt.T_1|CY2023Q3</v>
      </c>
    </row>
    <row r="1815" customFormat="false" ht="15" hidden="false" customHeight="false" outlineLevel="0" collapsed="false">
      <c r="D1815" s="0" t="s">
        <v>105</v>
      </c>
      <c r="E1815" s="0" t="s">
        <v>106</v>
      </c>
      <c r="F1815" s="0" t="s">
        <v>107</v>
      </c>
      <c r="G1815" s="0" t="s">
        <v>145</v>
      </c>
      <c r="H1815" s="0" t="s">
        <v>145</v>
      </c>
      <c r="I1815" s="0" t="s">
        <v>28</v>
      </c>
      <c r="J1815" s="0" t="s">
        <v>29</v>
      </c>
      <c r="K1815" s="0" t="s">
        <v>48</v>
      </c>
      <c r="L1815" s="0" t="s">
        <v>49</v>
      </c>
      <c r="M1815" s="0" t="s">
        <v>140</v>
      </c>
      <c r="N1815" s="0" t="n">
        <v>1311</v>
      </c>
      <c r="O1815" s="10" t="n">
        <v>0.596330838510767</v>
      </c>
      <c r="P1815" s="10" t="n">
        <v>0.218249560333788</v>
      </c>
      <c r="Q1815" s="0" t="str">
        <f aca="false">SUBSTITUTE(SUBSTITUTE($I1815,CHAR(61),""),CHAR(34),"")</f>
        <v>&lt;01</v>
      </c>
      <c r="R1815" s="0" t="str">
        <f aca="false">IF($D1815&lt;&gt;"","["&amp;$E1815&amp;"]"&amp;"|"&amp;$Q1815&amp;"|"&amp;$K1815&amp;"|"&amp;$G1815&amp;"|"&amp;IF($G1815="TX_CURR_SUBNAT.R","CY2022Q4",$M1815),"")</f>
        <v>[oiPR2CiVJbf]|&lt;01|Male|PopART.Rt.T_1|CY2023Q3</v>
      </c>
    </row>
    <row r="1816" customFormat="false" ht="15" hidden="false" customHeight="false" outlineLevel="0" collapsed="false">
      <c r="D1816" s="0" t="s">
        <v>105</v>
      </c>
      <c r="E1816" s="0" t="s">
        <v>106</v>
      </c>
      <c r="F1816" s="0" t="s">
        <v>107</v>
      </c>
      <c r="G1816" s="0" t="s">
        <v>145</v>
      </c>
      <c r="H1816" s="0" t="s">
        <v>145</v>
      </c>
      <c r="I1816" s="0" t="s">
        <v>33</v>
      </c>
      <c r="J1816" s="0" t="s">
        <v>34</v>
      </c>
      <c r="K1816" s="0" t="s">
        <v>48</v>
      </c>
      <c r="L1816" s="0" t="s">
        <v>49</v>
      </c>
      <c r="M1816" s="0" t="s">
        <v>140</v>
      </c>
      <c r="N1816" s="0" t="n">
        <v>1387</v>
      </c>
      <c r="O1816" s="10" t="n">
        <v>0.113565583014861</v>
      </c>
      <c r="P1816" s="10" t="n">
        <v>0.218249560333788</v>
      </c>
      <c r="Q1816" s="0" t="str">
        <f aca="false">SUBSTITUTE(SUBSTITUTE($I1816,CHAR(61),""),CHAR(34),"")</f>
        <v>01-09</v>
      </c>
      <c r="R1816" s="0" t="str">
        <f aca="false">IF($D1816&lt;&gt;"","["&amp;$E1816&amp;"]"&amp;"|"&amp;$Q1816&amp;"|"&amp;$K1816&amp;"|"&amp;$G1816&amp;"|"&amp;IF($G1816="TX_CURR_SUBNAT.R","CY2022Q4",$M1816),"")</f>
        <v>[oiPR2CiVJbf]|01-09|Male|PopART.Rt.T_1|CY2023Q3</v>
      </c>
    </row>
    <row r="1817" customFormat="false" ht="15" hidden="false" customHeight="false" outlineLevel="0" collapsed="false">
      <c r="D1817" s="0" t="s">
        <v>105</v>
      </c>
      <c r="E1817" s="0" t="s">
        <v>106</v>
      </c>
      <c r="F1817" s="0" t="s">
        <v>107</v>
      </c>
      <c r="G1817" s="0" t="s">
        <v>145</v>
      </c>
      <c r="H1817" s="0" t="s">
        <v>145</v>
      </c>
      <c r="I1817" s="0" t="s">
        <v>36</v>
      </c>
      <c r="J1817" s="0" t="s">
        <v>37</v>
      </c>
      <c r="K1817" s="0" t="s">
        <v>48</v>
      </c>
      <c r="L1817" s="0" t="s">
        <v>49</v>
      </c>
      <c r="M1817" s="0" t="s">
        <v>140</v>
      </c>
      <c r="N1817" s="0" t="n">
        <v>1851</v>
      </c>
      <c r="O1817" s="10" t="n">
        <v>0.937042801408097</v>
      </c>
      <c r="P1817" s="10" t="n">
        <v>0.218249560333788</v>
      </c>
      <c r="Q1817" s="0" t="str">
        <f aca="false">SUBSTITUTE(SUBSTITUTE($I1817,CHAR(61),""),CHAR(34),"")</f>
        <v>10-14</v>
      </c>
      <c r="R1817" s="0" t="str">
        <f aca="false">IF($D1817&lt;&gt;"","["&amp;$E1817&amp;"]"&amp;"|"&amp;$Q1817&amp;"|"&amp;$K1817&amp;"|"&amp;$G1817&amp;"|"&amp;IF($G1817="TX_CURR_SUBNAT.R","CY2022Q4",$M1817),"")</f>
        <v>[oiPR2CiVJbf]|10-14|Male|PopART.Rt.T_1|CY2023Q3</v>
      </c>
    </row>
    <row r="1818" customFormat="false" ht="15" hidden="false" customHeight="false" outlineLevel="0" collapsed="false">
      <c r="D1818" s="0" t="s">
        <v>105</v>
      </c>
      <c r="E1818" s="0" t="s">
        <v>106</v>
      </c>
      <c r="F1818" s="0" t="s">
        <v>107</v>
      </c>
      <c r="G1818" s="0" t="s">
        <v>145</v>
      </c>
      <c r="H1818" s="0" t="s">
        <v>145</v>
      </c>
      <c r="I1818" s="0" t="s">
        <v>38</v>
      </c>
      <c r="J1818" s="0" t="s">
        <v>39</v>
      </c>
      <c r="K1818" s="0" t="s">
        <v>48</v>
      </c>
      <c r="L1818" s="0" t="s">
        <v>49</v>
      </c>
      <c r="M1818" s="0" t="s">
        <v>140</v>
      </c>
      <c r="N1818" s="0" t="n">
        <v>1765</v>
      </c>
      <c r="O1818" s="10" t="n">
        <v>0.0688369499985129</v>
      </c>
      <c r="P1818" s="10" t="n">
        <v>0.218249560333788</v>
      </c>
      <c r="Q1818" s="0" t="str">
        <f aca="false">SUBSTITUTE(SUBSTITUTE($I1818,CHAR(61),""),CHAR(34),"")</f>
        <v>15-24</v>
      </c>
      <c r="R1818" s="0" t="str">
        <f aca="false">IF($D1818&lt;&gt;"","["&amp;$E1818&amp;"]"&amp;"|"&amp;$Q1818&amp;"|"&amp;$K1818&amp;"|"&amp;$G1818&amp;"|"&amp;IF($G1818="TX_CURR_SUBNAT.R","CY2022Q4",$M1818),"")</f>
        <v>[oiPR2CiVJbf]|15-24|Male|PopART.Rt.T_1|CY2023Q3</v>
      </c>
    </row>
    <row r="1819" customFormat="false" ht="15" hidden="false" customHeight="false" outlineLevel="0" collapsed="false">
      <c r="D1819" s="0" t="s">
        <v>105</v>
      </c>
      <c r="E1819" s="0" t="s">
        <v>106</v>
      </c>
      <c r="F1819" s="0" t="s">
        <v>107</v>
      </c>
      <c r="G1819" s="0" t="s">
        <v>145</v>
      </c>
      <c r="H1819" s="0" t="s">
        <v>145</v>
      </c>
      <c r="I1819" s="0" t="s">
        <v>41</v>
      </c>
      <c r="J1819" s="0" t="s">
        <v>42</v>
      </c>
      <c r="K1819" s="0" t="s">
        <v>48</v>
      </c>
      <c r="L1819" s="0" t="s">
        <v>49</v>
      </c>
      <c r="M1819" s="0" t="s">
        <v>140</v>
      </c>
      <c r="N1819" s="0" t="n">
        <v>759</v>
      </c>
      <c r="O1819" s="10" t="n">
        <v>0.65656940639019</v>
      </c>
      <c r="P1819" s="10" t="n">
        <v>0.218249560333788</v>
      </c>
      <c r="Q1819" s="0" t="str">
        <f aca="false">SUBSTITUTE(SUBSTITUTE($I1819,CHAR(61),""),CHAR(34),"")</f>
        <v>25-34</v>
      </c>
      <c r="R1819" s="0" t="str">
        <f aca="false">IF($D1819&lt;&gt;"","["&amp;$E1819&amp;"]"&amp;"|"&amp;$Q1819&amp;"|"&amp;$K1819&amp;"|"&amp;$G1819&amp;"|"&amp;IF($G1819="TX_CURR_SUBNAT.R","CY2022Q4",$M1819),"")</f>
        <v>[oiPR2CiVJbf]|25-34|Male|PopART.Rt.T_1|CY2023Q3</v>
      </c>
    </row>
    <row r="1820" customFormat="false" ht="15" hidden="false" customHeight="false" outlineLevel="0" collapsed="false">
      <c r="D1820" s="0" t="s">
        <v>105</v>
      </c>
      <c r="E1820" s="0" t="s">
        <v>106</v>
      </c>
      <c r="F1820" s="0" t="s">
        <v>107</v>
      </c>
      <c r="G1820" s="0" t="s">
        <v>145</v>
      </c>
      <c r="H1820" s="0" t="s">
        <v>145</v>
      </c>
      <c r="I1820" s="0" t="s">
        <v>43</v>
      </c>
      <c r="J1820" s="0" t="s">
        <v>44</v>
      </c>
      <c r="K1820" s="0" t="s">
        <v>48</v>
      </c>
      <c r="L1820" s="0" t="s">
        <v>49</v>
      </c>
      <c r="M1820" s="0" t="s">
        <v>140</v>
      </c>
      <c r="N1820" s="0" t="n">
        <v>1258</v>
      </c>
      <c r="O1820" s="10" t="n">
        <v>0.161621980369091</v>
      </c>
      <c r="P1820" s="10" t="n">
        <v>0.218249560333788</v>
      </c>
      <c r="Q1820" s="0" t="str">
        <f aca="false">SUBSTITUTE(SUBSTITUTE($I1820,CHAR(61),""),CHAR(34),"")</f>
        <v>35-49</v>
      </c>
      <c r="R1820" s="0" t="str">
        <f aca="false">IF($D1820&lt;&gt;"","["&amp;$E1820&amp;"]"&amp;"|"&amp;$Q1820&amp;"|"&amp;$K1820&amp;"|"&amp;$G1820&amp;"|"&amp;IF($G1820="TX_CURR_SUBNAT.R","CY2022Q4",$M1820),"")</f>
        <v>[oiPR2CiVJbf]|35-49|Male|PopART.Rt.T_1|CY2023Q3</v>
      </c>
    </row>
    <row r="1821" customFormat="false" ht="15" hidden="false" customHeight="false" outlineLevel="0" collapsed="false">
      <c r="D1821" s="0" t="s">
        <v>105</v>
      </c>
      <c r="E1821" s="0" t="s">
        <v>106</v>
      </c>
      <c r="F1821" s="0" t="s">
        <v>107</v>
      </c>
      <c r="G1821" s="0" t="s">
        <v>145</v>
      </c>
      <c r="H1821" s="0" t="s">
        <v>145</v>
      </c>
      <c r="I1821" s="0" t="s">
        <v>45</v>
      </c>
      <c r="J1821" s="0" t="s">
        <v>46</v>
      </c>
      <c r="K1821" s="0" t="s">
        <v>48</v>
      </c>
      <c r="L1821" s="0" t="s">
        <v>49</v>
      </c>
      <c r="M1821" s="0" t="s">
        <v>140</v>
      </c>
      <c r="N1821" s="0" t="n">
        <v>1792</v>
      </c>
      <c r="O1821" s="10" t="n">
        <v>0.256210383959115</v>
      </c>
      <c r="P1821" s="10" t="n">
        <v>0.218249560333788</v>
      </c>
      <c r="Q1821" s="0" t="str">
        <f aca="false">SUBSTITUTE(SUBSTITUTE($I1821,CHAR(61),""),CHAR(34),"")</f>
        <v>50+</v>
      </c>
      <c r="R1821" s="0" t="str">
        <f aca="false">IF($D1821&lt;&gt;"","["&amp;$E1821&amp;"]"&amp;"|"&amp;$Q1821&amp;"|"&amp;$K1821&amp;"|"&amp;$G1821&amp;"|"&amp;IF($G1821="TX_CURR_SUBNAT.R","CY2022Q4",$M1821),"")</f>
        <v>[oiPR2CiVJbf]|50+|Male|PopART.Rt.T_1|CY2023Q3</v>
      </c>
    </row>
    <row r="1822" customFormat="false" ht="15" hidden="false" customHeight="false" outlineLevel="0" collapsed="false">
      <c r="D1822" s="0" t="s">
        <v>108</v>
      </c>
      <c r="E1822" s="0" t="s">
        <v>109</v>
      </c>
      <c r="F1822" s="0" t="s">
        <v>110</v>
      </c>
      <c r="G1822" s="0" t="s">
        <v>145</v>
      </c>
      <c r="H1822" s="0" t="s">
        <v>145</v>
      </c>
      <c r="I1822" s="0" t="s">
        <v>28</v>
      </c>
      <c r="J1822" s="0" t="s">
        <v>29</v>
      </c>
      <c r="K1822" s="0" t="s">
        <v>30</v>
      </c>
      <c r="L1822" s="0" t="s">
        <v>31</v>
      </c>
      <c r="M1822" s="0" t="s">
        <v>140</v>
      </c>
      <c r="N1822" s="0" t="n">
        <v>1051</v>
      </c>
      <c r="O1822" s="10" t="n">
        <v>0.0527344450820237</v>
      </c>
      <c r="P1822" s="10" t="n">
        <v>0.434221804374829</v>
      </c>
      <c r="Q1822" s="0" t="str">
        <f aca="false">SUBSTITUTE(SUBSTITUTE($I1822,CHAR(61),""),CHAR(34),"")</f>
        <v>&lt;01</v>
      </c>
      <c r="R1822" s="0" t="str">
        <f aca="false">IF($D1822&lt;&gt;"","["&amp;$E1822&amp;"]"&amp;"|"&amp;$Q1822&amp;"|"&amp;$K1822&amp;"|"&amp;$G1822&amp;"|"&amp;IF($G1822="TX_CURR_SUBNAT.R","CY2022Q4",$M1822),"")</f>
        <v>[ul0y9diGujK]|&lt;01|Female|PopART.Rt.T_1|CY2023Q3</v>
      </c>
    </row>
    <row r="1823" customFormat="false" ht="15" hidden="false" customHeight="false" outlineLevel="0" collapsed="false">
      <c r="D1823" s="0" t="s">
        <v>108</v>
      </c>
      <c r="E1823" s="0" t="s">
        <v>109</v>
      </c>
      <c r="F1823" s="0" t="s">
        <v>110</v>
      </c>
      <c r="G1823" s="0" t="s">
        <v>145</v>
      </c>
      <c r="H1823" s="0" t="s">
        <v>145</v>
      </c>
      <c r="I1823" s="0" t="s">
        <v>33</v>
      </c>
      <c r="J1823" s="0" t="s">
        <v>34</v>
      </c>
      <c r="K1823" s="0" t="s">
        <v>30</v>
      </c>
      <c r="L1823" s="0" t="s">
        <v>31</v>
      </c>
      <c r="M1823" s="0" t="s">
        <v>140</v>
      </c>
      <c r="N1823" s="0" t="n">
        <v>1921</v>
      </c>
      <c r="O1823" s="10" t="n">
        <v>0.446972964331508</v>
      </c>
      <c r="P1823" s="10" t="n">
        <v>0.434221804374829</v>
      </c>
      <c r="Q1823" s="0" t="str">
        <f aca="false">SUBSTITUTE(SUBSTITUTE($I1823,CHAR(61),""),CHAR(34),"")</f>
        <v>01-09</v>
      </c>
      <c r="R1823" s="0" t="str">
        <f aca="false">IF($D1823&lt;&gt;"","["&amp;$E1823&amp;"]"&amp;"|"&amp;$Q1823&amp;"|"&amp;$K1823&amp;"|"&amp;$G1823&amp;"|"&amp;IF($G1823="TX_CURR_SUBNAT.R","CY2022Q4",$M1823),"")</f>
        <v>[ul0y9diGujK]|01-09|Female|PopART.Rt.T_1|CY2023Q3</v>
      </c>
    </row>
    <row r="1824" customFormat="false" ht="15" hidden="false" customHeight="false" outlineLevel="0" collapsed="false">
      <c r="D1824" s="0" t="s">
        <v>108</v>
      </c>
      <c r="E1824" s="0" t="s">
        <v>109</v>
      </c>
      <c r="F1824" s="0" t="s">
        <v>110</v>
      </c>
      <c r="G1824" s="0" t="s">
        <v>145</v>
      </c>
      <c r="H1824" s="0" t="s">
        <v>145</v>
      </c>
      <c r="I1824" s="0" t="s">
        <v>36</v>
      </c>
      <c r="J1824" s="0" t="s">
        <v>37</v>
      </c>
      <c r="K1824" s="0" t="s">
        <v>30</v>
      </c>
      <c r="L1824" s="0" t="s">
        <v>31</v>
      </c>
      <c r="M1824" s="0" t="s">
        <v>140</v>
      </c>
      <c r="N1824" s="0" t="n">
        <v>680</v>
      </c>
      <c r="O1824" s="10" t="n">
        <v>0.638962159398943</v>
      </c>
      <c r="P1824" s="10" t="n">
        <v>0.434221804374829</v>
      </c>
      <c r="Q1824" s="0" t="str">
        <f aca="false">SUBSTITUTE(SUBSTITUTE($I1824,CHAR(61),""),CHAR(34),"")</f>
        <v>10-14</v>
      </c>
      <c r="R1824" s="0" t="str">
        <f aca="false">IF($D1824&lt;&gt;"","["&amp;$E1824&amp;"]"&amp;"|"&amp;$Q1824&amp;"|"&amp;$K1824&amp;"|"&amp;$G1824&amp;"|"&amp;IF($G1824="TX_CURR_SUBNAT.R","CY2022Q4",$M1824),"")</f>
        <v>[ul0y9diGujK]|10-14|Female|PopART.Rt.T_1|CY2023Q3</v>
      </c>
    </row>
    <row r="1825" customFormat="false" ht="15" hidden="false" customHeight="false" outlineLevel="0" collapsed="false">
      <c r="D1825" s="0" t="s">
        <v>108</v>
      </c>
      <c r="E1825" s="0" t="s">
        <v>109</v>
      </c>
      <c r="F1825" s="0" t="s">
        <v>110</v>
      </c>
      <c r="G1825" s="0" t="s">
        <v>145</v>
      </c>
      <c r="H1825" s="0" t="s">
        <v>145</v>
      </c>
      <c r="I1825" s="0" t="s">
        <v>38</v>
      </c>
      <c r="J1825" s="0" t="s">
        <v>39</v>
      </c>
      <c r="K1825" s="0" t="s">
        <v>30</v>
      </c>
      <c r="L1825" s="0" t="s">
        <v>31</v>
      </c>
      <c r="M1825" s="0" t="s">
        <v>140</v>
      </c>
      <c r="N1825" s="0" t="n">
        <v>1462</v>
      </c>
      <c r="O1825" s="10" t="n">
        <v>0.168296593008563</v>
      </c>
      <c r="P1825" s="10" t="n">
        <v>0.434221804374829</v>
      </c>
      <c r="Q1825" s="0" t="str">
        <f aca="false">SUBSTITUTE(SUBSTITUTE($I1825,CHAR(61),""),CHAR(34),"")</f>
        <v>15-24</v>
      </c>
      <c r="R1825" s="0" t="str">
        <f aca="false">IF($D1825&lt;&gt;"","["&amp;$E1825&amp;"]"&amp;"|"&amp;$Q1825&amp;"|"&amp;$K1825&amp;"|"&amp;$G1825&amp;"|"&amp;IF($G1825="TX_CURR_SUBNAT.R","CY2022Q4",$M1825),"")</f>
        <v>[ul0y9diGujK]|15-24|Female|PopART.Rt.T_1|CY2023Q3</v>
      </c>
    </row>
    <row r="1826" customFormat="false" ht="15" hidden="false" customHeight="false" outlineLevel="0" collapsed="false">
      <c r="D1826" s="0" t="s">
        <v>108</v>
      </c>
      <c r="E1826" s="0" t="s">
        <v>109</v>
      </c>
      <c r="F1826" s="0" t="s">
        <v>110</v>
      </c>
      <c r="G1826" s="0" t="s">
        <v>145</v>
      </c>
      <c r="H1826" s="0" t="s">
        <v>145</v>
      </c>
      <c r="I1826" s="0" t="s">
        <v>41</v>
      </c>
      <c r="J1826" s="0" t="s">
        <v>42</v>
      </c>
      <c r="K1826" s="0" t="s">
        <v>30</v>
      </c>
      <c r="L1826" s="0" t="s">
        <v>31</v>
      </c>
      <c r="M1826" s="0" t="s">
        <v>140</v>
      </c>
      <c r="N1826" s="0" t="n">
        <v>1158</v>
      </c>
      <c r="O1826" s="10" t="n">
        <v>0.822844018461183</v>
      </c>
      <c r="P1826" s="10" t="n">
        <v>0.434221804374829</v>
      </c>
      <c r="Q1826" s="0" t="str">
        <f aca="false">SUBSTITUTE(SUBSTITUTE($I1826,CHAR(61),""),CHAR(34),"")</f>
        <v>25-34</v>
      </c>
      <c r="R1826" s="0" t="str">
        <f aca="false">IF($D1826&lt;&gt;"","["&amp;$E1826&amp;"]"&amp;"|"&amp;$Q1826&amp;"|"&amp;$K1826&amp;"|"&amp;$G1826&amp;"|"&amp;IF($G1826="TX_CURR_SUBNAT.R","CY2022Q4",$M1826),"")</f>
        <v>[ul0y9diGujK]|25-34|Female|PopART.Rt.T_1|CY2023Q3</v>
      </c>
    </row>
    <row r="1827" customFormat="false" ht="15" hidden="false" customHeight="false" outlineLevel="0" collapsed="false">
      <c r="D1827" s="0" t="s">
        <v>108</v>
      </c>
      <c r="E1827" s="0" t="s">
        <v>109</v>
      </c>
      <c r="F1827" s="0" t="s">
        <v>110</v>
      </c>
      <c r="G1827" s="0" t="s">
        <v>145</v>
      </c>
      <c r="H1827" s="0" t="s">
        <v>145</v>
      </c>
      <c r="I1827" s="0" t="s">
        <v>43</v>
      </c>
      <c r="J1827" s="0" t="s">
        <v>44</v>
      </c>
      <c r="K1827" s="0" t="s">
        <v>30</v>
      </c>
      <c r="L1827" s="0" t="s">
        <v>31</v>
      </c>
      <c r="M1827" s="0" t="s">
        <v>140</v>
      </c>
      <c r="N1827" s="0" t="n">
        <v>508</v>
      </c>
      <c r="O1827" s="10" t="n">
        <v>0.354846249800175</v>
      </c>
      <c r="P1827" s="10" t="n">
        <v>0.434221804374829</v>
      </c>
      <c r="Q1827" s="0" t="str">
        <f aca="false">SUBSTITUTE(SUBSTITUTE($I1827,CHAR(61),""),CHAR(34),"")</f>
        <v>35-49</v>
      </c>
      <c r="R1827" s="0" t="str">
        <f aca="false">IF($D1827&lt;&gt;"","["&amp;$E1827&amp;"]"&amp;"|"&amp;$Q1827&amp;"|"&amp;$K1827&amp;"|"&amp;$G1827&amp;"|"&amp;IF($G1827="TX_CURR_SUBNAT.R","CY2022Q4",$M1827),"")</f>
        <v>[ul0y9diGujK]|35-49|Female|PopART.Rt.T_1|CY2023Q3</v>
      </c>
    </row>
    <row r="1828" customFormat="false" ht="15" hidden="false" customHeight="false" outlineLevel="0" collapsed="false">
      <c r="D1828" s="0" t="s">
        <v>108</v>
      </c>
      <c r="E1828" s="0" t="s">
        <v>109</v>
      </c>
      <c r="F1828" s="0" t="s">
        <v>110</v>
      </c>
      <c r="G1828" s="0" t="s">
        <v>145</v>
      </c>
      <c r="H1828" s="0" t="s">
        <v>145</v>
      </c>
      <c r="I1828" s="0" t="s">
        <v>45</v>
      </c>
      <c r="J1828" s="0" t="s">
        <v>46</v>
      </c>
      <c r="K1828" s="0" t="s">
        <v>30</v>
      </c>
      <c r="L1828" s="0" t="s">
        <v>31</v>
      </c>
      <c r="M1828" s="0" t="s">
        <v>140</v>
      </c>
      <c r="N1828" s="0" t="n">
        <v>574</v>
      </c>
      <c r="O1828" s="10" t="n">
        <v>0.608914272859693</v>
      </c>
      <c r="P1828" s="10" t="n">
        <v>0.434221804374829</v>
      </c>
      <c r="Q1828" s="0" t="str">
        <f aca="false">SUBSTITUTE(SUBSTITUTE($I1828,CHAR(61),""),CHAR(34),"")</f>
        <v>50+</v>
      </c>
      <c r="R1828" s="0" t="str">
        <f aca="false">IF($D1828&lt;&gt;"","["&amp;$E1828&amp;"]"&amp;"|"&amp;$Q1828&amp;"|"&amp;$K1828&amp;"|"&amp;$G1828&amp;"|"&amp;IF($G1828="TX_CURR_SUBNAT.R","CY2022Q4",$M1828),"")</f>
        <v>[ul0y9diGujK]|50+|Female|PopART.Rt.T_1|CY2023Q3</v>
      </c>
    </row>
    <row r="1829" customFormat="false" ht="15" hidden="false" customHeight="false" outlineLevel="0" collapsed="false">
      <c r="D1829" s="0" t="s">
        <v>108</v>
      </c>
      <c r="E1829" s="0" t="s">
        <v>109</v>
      </c>
      <c r="F1829" s="0" t="s">
        <v>110</v>
      </c>
      <c r="G1829" s="0" t="s">
        <v>145</v>
      </c>
      <c r="H1829" s="0" t="s">
        <v>145</v>
      </c>
      <c r="I1829" s="0" t="s">
        <v>28</v>
      </c>
      <c r="J1829" s="0" t="s">
        <v>29</v>
      </c>
      <c r="K1829" s="0" t="s">
        <v>48</v>
      </c>
      <c r="L1829" s="0" t="s">
        <v>49</v>
      </c>
      <c r="M1829" s="0" t="s">
        <v>140</v>
      </c>
      <c r="N1829" s="0" t="n">
        <v>585</v>
      </c>
      <c r="O1829" s="10" t="n">
        <v>0.292063751257956</v>
      </c>
      <c r="P1829" s="10" t="n">
        <v>0.434221804374829</v>
      </c>
      <c r="Q1829" s="0" t="str">
        <f aca="false">SUBSTITUTE(SUBSTITUTE($I1829,CHAR(61),""),CHAR(34),"")</f>
        <v>&lt;01</v>
      </c>
      <c r="R1829" s="0" t="str">
        <f aca="false">IF($D1829&lt;&gt;"","["&amp;$E1829&amp;"]"&amp;"|"&amp;$Q1829&amp;"|"&amp;$K1829&amp;"|"&amp;$G1829&amp;"|"&amp;IF($G1829="TX_CURR_SUBNAT.R","CY2022Q4",$M1829),"")</f>
        <v>[ul0y9diGujK]|&lt;01|Male|PopART.Rt.T_1|CY2023Q3</v>
      </c>
    </row>
    <row r="1830" customFormat="false" ht="15" hidden="false" customHeight="false" outlineLevel="0" collapsed="false">
      <c r="D1830" s="0" t="s">
        <v>108</v>
      </c>
      <c r="E1830" s="0" t="s">
        <v>109</v>
      </c>
      <c r="F1830" s="0" t="s">
        <v>110</v>
      </c>
      <c r="G1830" s="0" t="s">
        <v>145</v>
      </c>
      <c r="H1830" s="0" t="s">
        <v>145</v>
      </c>
      <c r="I1830" s="0" t="s">
        <v>33</v>
      </c>
      <c r="J1830" s="0" t="s">
        <v>34</v>
      </c>
      <c r="K1830" s="0" t="s">
        <v>48</v>
      </c>
      <c r="L1830" s="0" t="s">
        <v>49</v>
      </c>
      <c r="M1830" s="0" t="s">
        <v>140</v>
      </c>
      <c r="N1830" s="0" t="n">
        <v>1426</v>
      </c>
      <c r="O1830" s="10" t="n">
        <v>0.439710918115452</v>
      </c>
      <c r="P1830" s="10" t="n">
        <v>0.434221804374829</v>
      </c>
      <c r="Q1830" s="0" t="str">
        <f aca="false">SUBSTITUTE(SUBSTITUTE($I1830,CHAR(61),""),CHAR(34),"")</f>
        <v>01-09</v>
      </c>
      <c r="R1830" s="0" t="str">
        <f aca="false">IF($D1830&lt;&gt;"","["&amp;$E1830&amp;"]"&amp;"|"&amp;$Q1830&amp;"|"&amp;$K1830&amp;"|"&amp;$G1830&amp;"|"&amp;IF($G1830="TX_CURR_SUBNAT.R","CY2022Q4",$M1830),"")</f>
        <v>[ul0y9diGujK]|01-09|Male|PopART.Rt.T_1|CY2023Q3</v>
      </c>
    </row>
    <row r="1831" customFormat="false" ht="15" hidden="false" customHeight="false" outlineLevel="0" collapsed="false">
      <c r="D1831" s="0" t="s">
        <v>108</v>
      </c>
      <c r="E1831" s="0" t="s">
        <v>109</v>
      </c>
      <c r="F1831" s="0" t="s">
        <v>110</v>
      </c>
      <c r="G1831" s="0" t="s">
        <v>145</v>
      </c>
      <c r="H1831" s="0" t="s">
        <v>145</v>
      </c>
      <c r="I1831" s="0" t="s">
        <v>36</v>
      </c>
      <c r="J1831" s="0" t="s">
        <v>37</v>
      </c>
      <c r="K1831" s="0" t="s">
        <v>48</v>
      </c>
      <c r="L1831" s="0" t="s">
        <v>49</v>
      </c>
      <c r="M1831" s="0" t="s">
        <v>140</v>
      </c>
      <c r="N1831" s="0" t="n">
        <v>1575</v>
      </c>
      <c r="O1831" s="10" t="n">
        <v>0.0571635477244854</v>
      </c>
      <c r="P1831" s="10" t="n">
        <v>0.434221804374829</v>
      </c>
      <c r="Q1831" s="0" t="str">
        <f aca="false">SUBSTITUTE(SUBSTITUTE($I1831,CHAR(61),""),CHAR(34),"")</f>
        <v>10-14</v>
      </c>
      <c r="R1831" s="0" t="str">
        <f aca="false">IF($D1831&lt;&gt;"","["&amp;$E1831&amp;"]"&amp;"|"&amp;$Q1831&amp;"|"&amp;$K1831&amp;"|"&amp;$G1831&amp;"|"&amp;IF($G1831="TX_CURR_SUBNAT.R","CY2022Q4",$M1831),"")</f>
        <v>[ul0y9diGujK]|10-14|Male|PopART.Rt.T_1|CY2023Q3</v>
      </c>
    </row>
    <row r="1832" customFormat="false" ht="15" hidden="false" customHeight="false" outlineLevel="0" collapsed="false">
      <c r="D1832" s="0" t="s">
        <v>108</v>
      </c>
      <c r="E1832" s="0" t="s">
        <v>109</v>
      </c>
      <c r="F1832" s="0" t="s">
        <v>110</v>
      </c>
      <c r="G1832" s="0" t="s">
        <v>145</v>
      </c>
      <c r="H1832" s="0" t="s">
        <v>145</v>
      </c>
      <c r="I1832" s="0" t="s">
        <v>38</v>
      </c>
      <c r="J1832" s="0" t="s">
        <v>39</v>
      </c>
      <c r="K1832" s="0" t="s">
        <v>48</v>
      </c>
      <c r="L1832" s="0" t="s">
        <v>49</v>
      </c>
      <c r="M1832" s="0" t="s">
        <v>140</v>
      </c>
      <c r="N1832" s="0" t="n">
        <v>1208</v>
      </c>
      <c r="O1832" s="10" t="n">
        <v>0.385823084739968</v>
      </c>
      <c r="P1832" s="10" t="n">
        <v>0.434221804374829</v>
      </c>
      <c r="Q1832" s="0" t="str">
        <f aca="false">SUBSTITUTE(SUBSTITUTE($I1832,CHAR(61),""),CHAR(34),"")</f>
        <v>15-24</v>
      </c>
      <c r="R1832" s="0" t="str">
        <f aca="false">IF($D1832&lt;&gt;"","["&amp;$E1832&amp;"]"&amp;"|"&amp;$Q1832&amp;"|"&amp;$K1832&amp;"|"&amp;$G1832&amp;"|"&amp;IF($G1832="TX_CURR_SUBNAT.R","CY2022Q4",$M1832),"")</f>
        <v>[ul0y9diGujK]|15-24|Male|PopART.Rt.T_1|CY2023Q3</v>
      </c>
    </row>
    <row r="1833" customFormat="false" ht="15" hidden="false" customHeight="false" outlineLevel="0" collapsed="false">
      <c r="D1833" s="0" t="s">
        <v>108</v>
      </c>
      <c r="E1833" s="0" t="s">
        <v>109</v>
      </c>
      <c r="F1833" s="0" t="s">
        <v>110</v>
      </c>
      <c r="G1833" s="0" t="s">
        <v>145</v>
      </c>
      <c r="H1833" s="0" t="s">
        <v>145</v>
      </c>
      <c r="I1833" s="0" t="s">
        <v>41</v>
      </c>
      <c r="J1833" s="0" t="s">
        <v>42</v>
      </c>
      <c r="K1833" s="0" t="s">
        <v>48</v>
      </c>
      <c r="L1833" s="0" t="s">
        <v>49</v>
      </c>
      <c r="M1833" s="0" t="s">
        <v>140</v>
      </c>
      <c r="N1833" s="0" t="n">
        <v>1667</v>
      </c>
      <c r="O1833" s="10" t="n">
        <v>0.31214461568743</v>
      </c>
      <c r="P1833" s="10" t="n">
        <v>0.434221804374829</v>
      </c>
      <c r="Q1833" s="0" t="str">
        <f aca="false">SUBSTITUTE(SUBSTITUTE($I1833,CHAR(61),""),CHAR(34),"")</f>
        <v>25-34</v>
      </c>
      <c r="R1833" s="0" t="str">
        <f aca="false">IF($D1833&lt;&gt;"","["&amp;$E1833&amp;"]"&amp;"|"&amp;$Q1833&amp;"|"&amp;$K1833&amp;"|"&amp;$G1833&amp;"|"&amp;IF($G1833="TX_CURR_SUBNAT.R","CY2022Q4",$M1833),"")</f>
        <v>[ul0y9diGujK]|25-34|Male|PopART.Rt.T_1|CY2023Q3</v>
      </c>
    </row>
    <row r="1834" customFormat="false" ht="15" hidden="false" customHeight="false" outlineLevel="0" collapsed="false">
      <c r="D1834" s="0" t="s">
        <v>108</v>
      </c>
      <c r="E1834" s="0" t="s">
        <v>109</v>
      </c>
      <c r="F1834" s="0" t="s">
        <v>110</v>
      </c>
      <c r="G1834" s="0" t="s">
        <v>145</v>
      </c>
      <c r="H1834" s="0" t="s">
        <v>145</v>
      </c>
      <c r="I1834" s="0" t="s">
        <v>43</v>
      </c>
      <c r="J1834" s="0" t="s">
        <v>44</v>
      </c>
      <c r="K1834" s="0" t="s">
        <v>48</v>
      </c>
      <c r="L1834" s="0" t="s">
        <v>49</v>
      </c>
      <c r="M1834" s="0" t="s">
        <v>140</v>
      </c>
      <c r="N1834" s="0" t="n">
        <v>835</v>
      </c>
      <c r="O1834" s="10" t="n">
        <v>0.87532935035415</v>
      </c>
      <c r="P1834" s="10" t="n">
        <v>0.434221804374829</v>
      </c>
      <c r="Q1834" s="0" t="str">
        <f aca="false">SUBSTITUTE(SUBSTITUTE($I1834,CHAR(61),""),CHAR(34),"")</f>
        <v>35-49</v>
      </c>
      <c r="R1834" s="0" t="str">
        <f aca="false">IF($D1834&lt;&gt;"","["&amp;$E1834&amp;"]"&amp;"|"&amp;$Q1834&amp;"|"&amp;$K1834&amp;"|"&amp;$G1834&amp;"|"&amp;IF($G1834="TX_CURR_SUBNAT.R","CY2022Q4",$M1834),"")</f>
        <v>[ul0y9diGujK]|35-49|Male|PopART.Rt.T_1|CY2023Q3</v>
      </c>
    </row>
    <row r="1835" customFormat="false" ht="15" hidden="false" customHeight="false" outlineLevel="0" collapsed="false">
      <c r="D1835" s="0" t="s">
        <v>108</v>
      </c>
      <c r="E1835" s="0" t="s">
        <v>109</v>
      </c>
      <c r="F1835" s="0" t="s">
        <v>110</v>
      </c>
      <c r="G1835" s="0" t="s">
        <v>145</v>
      </c>
      <c r="H1835" s="0" t="s">
        <v>145</v>
      </c>
      <c r="I1835" s="0" t="s">
        <v>45</v>
      </c>
      <c r="J1835" s="0" t="s">
        <v>46</v>
      </c>
      <c r="K1835" s="0" t="s">
        <v>48</v>
      </c>
      <c r="L1835" s="0" t="s">
        <v>49</v>
      </c>
      <c r="M1835" s="0" t="s">
        <v>140</v>
      </c>
      <c r="N1835" s="0" t="n">
        <v>1826</v>
      </c>
      <c r="O1835" s="10" t="n">
        <v>0.178081936435774</v>
      </c>
      <c r="P1835" s="10" t="n">
        <v>0.434221804374829</v>
      </c>
      <c r="Q1835" s="0" t="str">
        <f aca="false">SUBSTITUTE(SUBSTITUTE($I1835,CHAR(61),""),CHAR(34),"")</f>
        <v>50+</v>
      </c>
      <c r="R1835" s="0" t="str">
        <f aca="false">IF($D1835&lt;&gt;"","["&amp;$E1835&amp;"]"&amp;"|"&amp;$Q1835&amp;"|"&amp;$K1835&amp;"|"&amp;$G1835&amp;"|"&amp;IF($G1835="TX_CURR_SUBNAT.R","CY2022Q4",$M1835),"")</f>
        <v>[ul0y9diGujK]|50+|Male|PopART.Rt.T_1|CY2023Q3</v>
      </c>
    </row>
    <row r="1836" customFormat="false" ht="15" hidden="false" customHeight="false" outlineLevel="0" collapsed="false">
      <c r="D1836" s="0" t="s">
        <v>111</v>
      </c>
      <c r="E1836" s="0" t="s">
        <v>112</v>
      </c>
      <c r="F1836" s="0" t="s">
        <v>113</v>
      </c>
      <c r="G1836" s="0" t="s">
        <v>145</v>
      </c>
      <c r="H1836" s="0" t="s">
        <v>145</v>
      </c>
      <c r="I1836" s="0" t="s">
        <v>28</v>
      </c>
      <c r="J1836" s="0" t="s">
        <v>29</v>
      </c>
      <c r="K1836" s="0" t="s">
        <v>30</v>
      </c>
      <c r="L1836" s="0" t="s">
        <v>31</v>
      </c>
      <c r="M1836" s="0" t="s">
        <v>140</v>
      </c>
      <c r="N1836" s="0" t="n">
        <v>1666</v>
      </c>
      <c r="O1836" s="10" t="n">
        <v>0.561294233892113</v>
      </c>
      <c r="P1836" s="10" t="n">
        <v>0.337768794968724</v>
      </c>
      <c r="Q1836" s="0" t="str">
        <f aca="false">SUBSTITUTE(SUBSTITUTE($I1836,CHAR(61),""),CHAR(34),"")</f>
        <v>&lt;01</v>
      </c>
      <c r="R1836" s="0" t="str">
        <f aca="false">IF($D1836&lt;&gt;"","["&amp;$E1836&amp;"]"&amp;"|"&amp;$Q1836&amp;"|"&amp;$K1836&amp;"|"&amp;$G1836&amp;"|"&amp;IF($G1836="TX_CURR_SUBNAT.R","CY2022Q4",$M1836),"")</f>
        <v>[U8c0so51kT6]|&lt;01|Female|PopART.Rt.T_1|CY2023Q3</v>
      </c>
    </row>
    <row r="1837" customFormat="false" ht="15" hidden="false" customHeight="false" outlineLevel="0" collapsed="false">
      <c r="D1837" s="0" t="s">
        <v>111</v>
      </c>
      <c r="E1837" s="0" t="s">
        <v>112</v>
      </c>
      <c r="F1837" s="0" t="s">
        <v>113</v>
      </c>
      <c r="G1837" s="0" t="s">
        <v>145</v>
      </c>
      <c r="H1837" s="0" t="s">
        <v>145</v>
      </c>
      <c r="I1837" s="0" t="s">
        <v>33</v>
      </c>
      <c r="J1837" s="0" t="s">
        <v>34</v>
      </c>
      <c r="K1837" s="0" t="s">
        <v>30</v>
      </c>
      <c r="L1837" s="0" t="s">
        <v>31</v>
      </c>
      <c r="M1837" s="0" t="s">
        <v>140</v>
      </c>
      <c r="N1837" s="0" t="n">
        <v>1437</v>
      </c>
      <c r="O1837" s="10" t="n">
        <v>0.704516432480887</v>
      </c>
      <c r="P1837" s="10" t="n">
        <v>0.337768794968724</v>
      </c>
      <c r="Q1837" s="0" t="str">
        <f aca="false">SUBSTITUTE(SUBSTITUTE($I1837,CHAR(61),""),CHAR(34),"")</f>
        <v>01-09</v>
      </c>
      <c r="R1837" s="0" t="str">
        <f aca="false">IF($D1837&lt;&gt;"","["&amp;$E1837&amp;"]"&amp;"|"&amp;$Q1837&amp;"|"&amp;$K1837&amp;"|"&amp;$G1837&amp;"|"&amp;IF($G1837="TX_CURR_SUBNAT.R","CY2022Q4",$M1837),"")</f>
        <v>[U8c0so51kT6]|01-09|Female|PopART.Rt.T_1|CY2023Q3</v>
      </c>
    </row>
    <row r="1838" customFormat="false" ht="15" hidden="false" customHeight="false" outlineLevel="0" collapsed="false">
      <c r="D1838" s="0" t="s">
        <v>111</v>
      </c>
      <c r="E1838" s="0" t="s">
        <v>112</v>
      </c>
      <c r="F1838" s="0" t="s">
        <v>113</v>
      </c>
      <c r="G1838" s="0" t="s">
        <v>145</v>
      </c>
      <c r="H1838" s="0" t="s">
        <v>145</v>
      </c>
      <c r="I1838" s="0" t="s">
        <v>36</v>
      </c>
      <c r="J1838" s="0" t="s">
        <v>37</v>
      </c>
      <c r="K1838" s="0" t="s">
        <v>30</v>
      </c>
      <c r="L1838" s="0" t="s">
        <v>31</v>
      </c>
      <c r="M1838" s="0" t="s">
        <v>140</v>
      </c>
      <c r="N1838" s="0" t="n">
        <v>1243</v>
      </c>
      <c r="O1838" s="10" t="n">
        <v>0.23326448071748</v>
      </c>
      <c r="P1838" s="10" t="n">
        <v>0.337768794968724</v>
      </c>
      <c r="Q1838" s="0" t="str">
        <f aca="false">SUBSTITUTE(SUBSTITUTE($I1838,CHAR(61),""),CHAR(34),"")</f>
        <v>10-14</v>
      </c>
      <c r="R1838" s="0" t="str">
        <f aca="false">IF($D1838&lt;&gt;"","["&amp;$E1838&amp;"]"&amp;"|"&amp;$Q1838&amp;"|"&amp;$K1838&amp;"|"&amp;$G1838&amp;"|"&amp;IF($G1838="TX_CURR_SUBNAT.R","CY2022Q4",$M1838),"")</f>
        <v>[U8c0so51kT6]|10-14|Female|PopART.Rt.T_1|CY2023Q3</v>
      </c>
    </row>
    <row r="1839" customFormat="false" ht="15" hidden="false" customHeight="false" outlineLevel="0" collapsed="false">
      <c r="D1839" s="0" t="s">
        <v>111</v>
      </c>
      <c r="E1839" s="0" t="s">
        <v>112</v>
      </c>
      <c r="F1839" s="0" t="s">
        <v>113</v>
      </c>
      <c r="G1839" s="0" t="s">
        <v>145</v>
      </c>
      <c r="H1839" s="0" t="s">
        <v>145</v>
      </c>
      <c r="I1839" s="0" t="s">
        <v>38</v>
      </c>
      <c r="J1839" s="0" t="s">
        <v>39</v>
      </c>
      <c r="K1839" s="0" t="s">
        <v>30</v>
      </c>
      <c r="L1839" s="0" t="s">
        <v>31</v>
      </c>
      <c r="M1839" s="0" t="s">
        <v>140</v>
      </c>
      <c r="N1839" s="0" t="n">
        <v>800</v>
      </c>
      <c r="O1839" s="10" t="n">
        <v>0.55537608359009</v>
      </c>
      <c r="P1839" s="10" t="n">
        <v>0.337768794968724</v>
      </c>
      <c r="Q1839" s="0" t="str">
        <f aca="false">SUBSTITUTE(SUBSTITUTE($I1839,CHAR(61),""),CHAR(34),"")</f>
        <v>15-24</v>
      </c>
      <c r="R1839" s="0" t="str">
        <f aca="false">IF($D1839&lt;&gt;"","["&amp;$E1839&amp;"]"&amp;"|"&amp;$Q1839&amp;"|"&amp;$K1839&amp;"|"&amp;$G1839&amp;"|"&amp;IF($G1839="TX_CURR_SUBNAT.R","CY2022Q4",$M1839),"")</f>
        <v>[U8c0so51kT6]|15-24|Female|PopART.Rt.T_1|CY2023Q3</v>
      </c>
    </row>
    <row r="1840" customFormat="false" ht="15" hidden="false" customHeight="false" outlineLevel="0" collapsed="false">
      <c r="D1840" s="0" t="s">
        <v>111</v>
      </c>
      <c r="E1840" s="0" t="s">
        <v>112</v>
      </c>
      <c r="F1840" s="0" t="s">
        <v>113</v>
      </c>
      <c r="G1840" s="0" t="s">
        <v>145</v>
      </c>
      <c r="H1840" s="0" t="s">
        <v>145</v>
      </c>
      <c r="I1840" s="0" t="s">
        <v>41</v>
      </c>
      <c r="J1840" s="0" t="s">
        <v>42</v>
      </c>
      <c r="K1840" s="0" t="s">
        <v>30</v>
      </c>
      <c r="L1840" s="0" t="s">
        <v>31</v>
      </c>
      <c r="M1840" s="0" t="s">
        <v>140</v>
      </c>
      <c r="N1840" s="0" t="n">
        <v>885</v>
      </c>
      <c r="O1840" s="10" t="n">
        <v>0.674643309321254</v>
      </c>
      <c r="P1840" s="10" t="n">
        <v>0.337768794968724</v>
      </c>
      <c r="Q1840" s="0" t="str">
        <f aca="false">SUBSTITUTE(SUBSTITUTE($I1840,CHAR(61),""),CHAR(34),"")</f>
        <v>25-34</v>
      </c>
      <c r="R1840" s="0" t="str">
        <f aca="false">IF($D1840&lt;&gt;"","["&amp;$E1840&amp;"]"&amp;"|"&amp;$Q1840&amp;"|"&amp;$K1840&amp;"|"&amp;$G1840&amp;"|"&amp;IF($G1840="TX_CURR_SUBNAT.R","CY2022Q4",$M1840),"")</f>
        <v>[U8c0so51kT6]|25-34|Female|PopART.Rt.T_1|CY2023Q3</v>
      </c>
    </row>
    <row r="1841" customFormat="false" ht="15" hidden="false" customHeight="false" outlineLevel="0" collapsed="false">
      <c r="D1841" s="0" t="s">
        <v>111</v>
      </c>
      <c r="E1841" s="0" t="s">
        <v>112</v>
      </c>
      <c r="F1841" s="0" t="s">
        <v>113</v>
      </c>
      <c r="G1841" s="0" t="s">
        <v>145</v>
      </c>
      <c r="H1841" s="0" t="s">
        <v>145</v>
      </c>
      <c r="I1841" s="0" t="s">
        <v>43</v>
      </c>
      <c r="J1841" s="0" t="s">
        <v>44</v>
      </c>
      <c r="K1841" s="0" t="s">
        <v>30</v>
      </c>
      <c r="L1841" s="0" t="s">
        <v>31</v>
      </c>
      <c r="M1841" s="0" t="s">
        <v>140</v>
      </c>
      <c r="N1841" s="0" t="n">
        <v>1024</v>
      </c>
      <c r="O1841" s="10" t="n">
        <v>0.0700786076486111</v>
      </c>
      <c r="P1841" s="10" t="n">
        <v>0.337768794968724</v>
      </c>
      <c r="Q1841" s="0" t="str">
        <f aca="false">SUBSTITUTE(SUBSTITUTE($I1841,CHAR(61),""),CHAR(34),"")</f>
        <v>35-49</v>
      </c>
      <c r="R1841" s="0" t="str">
        <f aca="false">IF($D1841&lt;&gt;"","["&amp;$E1841&amp;"]"&amp;"|"&amp;$Q1841&amp;"|"&amp;$K1841&amp;"|"&amp;$G1841&amp;"|"&amp;IF($G1841="TX_CURR_SUBNAT.R","CY2022Q4",$M1841),"")</f>
        <v>[U8c0so51kT6]|35-49|Female|PopART.Rt.T_1|CY2023Q3</v>
      </c>
    </row>
    <row r="1842" customFormat="false" ht="15" hidden="false" customHeight="false" outlineLevel="0" collapsed="false">
      <c r="D1842" s="0" t="s">
        <v>111</v>
      </c>
      <c r="E1842" s="0" t="s">
        <v>112</v>
      </c>
      <c r="F1842" s="0" t="s">
        <v>113</v>
      </c>
      <c r="G1842" s="0" t="s">
        <v>145</v>
      </c>
      <c r="H1842" s="0" t="s">
        <v>145</v>
      </c>
      <c r="I1842" s="0" t="s">
        <v>45</v>
      </c>
      <c r="J1842" s="0" t="s">
        <v>46</v>
      </c>
      <c r="K1842" s="0" t="s">
        <v>30</v>
      </c>
      <c r="L1842" s="0" t="s">
        <v>31</v>
      </c>
      <c r="M1842" s="0" t="s">
        <v>140</v>
      </c>
      <c r="N1842" s="0" t="n">
        <v>1469</v>
      </c>
      <c r="O1842" s="10" t="n">
        <v>0.470597870182246</v>
      </c>
      <c r="P1842" s="10" t="n">
        <v>0.337768794968724</v>
      </c>
      <c r="Q1842" s="0" t="str">
        <f aca="false">SUBSTITUTE(SUBSTITUTE($I1842,CHAR(61),""),CHAR(34),"")</f>
        <v>50+</v>
      </c>
      <c r="R1842" s="0" t="str">
        <f aca="false">IF($D1842&lt;&gt;"","["&amp;$E1842&amp;"]"&amp;"|"&amp;$Q1842&amp;"|"&amp;$K1842&amp;"|"&amp;$G1842&amp;"|"&amp;IF($G1842="TX_CURR_SUBNAT.R","CY2022Q4",$M1842),"")</f>
        <v>[U8c0so51kT6]|50+|Female|PopART.Rt.T_1|CY2023Q3</v>
      </c>
    </row>
    <row r="1843" customFormat="false" ht="15" hidden="false" customHeight="false" outlineLevel="0" collapsed="false">
      <c r="D1843" s="0" t="s">
        <v>111</v>
      </c>
      <c r="E1843" s="0" t="s">
        <v>112</v>
      </c>
      <c r="F1843" s="0" t="s">
        <v>113</v>
      </c>
      <c r="G1843" s="0" t="s">
        <v>145</v>
      </c>
      <c r="H1843" s="0" t="s">
        <v>145</v>
      </c>
      <c r="I1843" s="0" t="s">
        <v>28</v>
      </c>
      <c r="J1843" s="0" t="s">
        <v>29</v>
      </c>
      <c r="K1843" s="0" t="s">
        <v>48</v>
      </c>
      <c r="L1843" s="0" t="s">
        <v>49</v>
      </c>
      <c r="M1843" s="0" t="s">
        <v>140</v>
      </c>
      <c r="N1843" s="0" t="n">
        <v>1378</v>
      </c>
      <c r="O1843" s="10" t="n">
        <v>0.585572653217241</v>
      </c>
      <c r="P1843" s="10" t="n">
        <v>0.337768794968724</v>
      </c>
      <c r="Q1843" s="0" t="str">
        <f aca="false">SUBSTITUTE(SUBSTITUTE($I1843,CHAR(61),""),CHAR(34),"")</f>
        <v>&lt;01</v>
      </c>
      <c r="R1843" s="0" t="str">
        <f aca="false">IF($D1843&lt;&gt;"","["&amp;$E1843&amp;"]"&amp;"|"&amp;$Q1843&amp;"|"&amp;$K1843&amp;"|"&amp;$G1843&amp;"|"&amp;IF($G1843="TX_CURR_SUBNAT.R","CY2022Q4",$M1843),"")</f>
        <v>[U8c0so51kT6]|&lt;01|Male|PopART.Rt.T_1|CY2023Q3</v>
      </c>
    </row>
    <row r="1844" customFormat="false" ht="15" hidden="false" customHeight="false" outlineLevel="0" collapsed="false">
      <c r="D1844" s="0" t="s">
        <v>111</v>
      </c>
      <c r="E1844" s="0" t="s">
        <v>112</v>
      </c>
      <c r="F1844" s="0" t="s">
        <v>113</v>
      </c>
      <c r="G1844" s="0" t="s">
        <v>145</v>
      </c>
      <c r="H1844" s="0" t="s">
        <v>145</v>
      </c>
      <c r="I1844" s="0" t="s">
        <v>33</v>
      </c>
      <c r="J1844" s="0" t="s">
        <v>34</v>
      </c>
      <c r="K1844" s="0" t="s">
        <v>48</v>
      </c>
      <c r="L1844" s="0" t="s">
        <v>49</v>
      </c>
      <c r="M1844" s="0" t="s">
        <v>140</v>
      </c>
      <c r="N1844" s="0" t="n">
        <v>522</v>
      </c>
      <c r="O1844" s="10" t="n">
        <v>0.105504798470065</v>
      </c>
      <c r="P1844" s="10" t="n">
        <v>0.337768794968724</v>
      </c>
      <c r="Q1844" s="0" t="str">
        <f aca="false">SUBSTITUTE(SUBSTITUTE($I1844,CHAR(61),""),CHAR(34),"")</f>
        <v>01-09</v>
      </c>
      <c r="R1844" s="0" t="str">
        <f aca="false">IF($D1844&lt;&gt;"","["&amp;$E1844&amp;"]"&amp;"|"&amp;$Q1844&amp;"|"&amp;$K1844&amp;"|"&amp;$G1844&amp;"|"&amp;IF($G1844="TX_CURR_SUBNAT.R","CY2022Q4",$M1844),"")</f>
        <v>[U8c0so51kT6]|01-09|Male|PopART.Rt.T_1|CY2023Q3</v>
      </c>
    </row>
    <row r="1845" customFormat="false" ht="15" hidden="false" customHeight="false" outlineLevel="0" collapsed="false">
      <c r="D1845" s="0" t="s">
        <v>111</v>
      </c>
      <c r="E1845" s="0" t="s">
        <v>112</v>
      </c>
      <c r="F1845" s="0" t="s">
        <v>113</v>
      </c>
      <c r="G1845" s="0" t="s">
        <v>145</v>
      </c>
      <c r="H1845" s="0" t="s">
        <v>145</v>
      </c>
      <c r="I1845" s="0" t="s">
        <v>36</v>
      </c>
      <c r="J1845" s="0" t="s">
        <v>37</v>
      </c>
      <c r="K1845" s="0" t="s">
        <v>48</v>
      </c>
      <c r="L1845" s="0" t="s">
        <v>49</v>
      </c>
      <c r="M1845" s="0" t="s">
        <v>140</v>
      </c>
      <c r="N1845" s="0" t="n">
        <v>915</v>
      </c>
      <c r="O1845" s="10" t="n">
        <v>0.642183567397296</v>
      </c>
      <c r="P1845" s="10" t="n">
        <v>0.337768794968724</v>
      </c>
      <c r="Q1845" s="0" t="str">
        <f aca="false">SUBSTITUTE(SUBSTITUTE($I1845,CHAR(61),""),CHAR(34),"")</f>
        <v>10-14</v>
      </c>
      <c r="R1845" s="0" t="str">
        <f aca="false">IF($D1845&lt;&gt;"","["&amp;$E1845&amp;"]"&amp;"|"&amp;$Q1845&amp;"|"&amp;$K1845&amp;"|"&amp;$G1845&amp;"|"&amp;IF($G1845="TX_CURR_SUBNAT.R","CY2022Q4",$M1845),"")</f>
        <v>[U8c0so51kT6]|10-14|Male|PopART.Rt.T_1|CY2023Q3</v>
      </c>
    </row>
    <row r="1846" customFormat="false" ht="15" hidden="false" customHeight="false" outlineLevel="0" collapsed="false">
      <c r="D1846" s="0" t="s">
        <v>111</v>
      </c>
      <c r="E1846" s="0" t="s">
        <v>112</v>
      </c>
      <c r="F1846" s="0" t="s">
        <v>113</v>
      </c>
      <c r="G1846" s="0" t="s">
        <v>145</v>
      </c>
      <c r="H1846" s="0" t="s">
        <v>145</v>
      </c>
      <c r="I1846" s="0" t="s">
        <v>38</v>
      </c>
      <c r="J1846" s="0" t="s">
        <v>39</v>
      </c>
      <c r="K1846" s="0" t="s">
        <v>48</v>
      </c>
      <c r="L1846" s="0" t="s">
        <v>49</v>
      </c>
      <c r="M1846" s="0" t="s">
        <v>140</v>
      </c>
      <c r="N1846" s="0" t="n">
        <v>1268</v>
      </c>
      <c r="O1846" s="10" t="n">
        <v>0.673618998844177</v>
      </c>
      <c r="P1846" s="10" t="n">
        <v>0.337768794968724</v>
      </c>
      <c r="Q1846" s="0" t="str">
        <f aca="false">SUBSTITUTE(SUBSTITUTE($I1846,CHAR(61),""),CHAR(34),"")</f>
        <v>15-24</v>
      </c>
      <c r="R1846" s="0" t="str">
        <f aca="false">IF($D1846&lt;&gt;"","["&amp;$E1846&amp;"]"&amp;"|"&amp;$Q1846&amp;"|"&amp;$K1846&amp;"|"&amp;$G1846&amp;"|"&amp;IF($G1846="TX_CURR_SUBNAT.R","CY2022Q4",$M1846),"")</f>
        <v>[U8c0so51kT6]|15-24|Male|PopART.Rt.T_1|CY2023Q3</v>
      </c>
    </row>
    <row r="1847" customFormat="false" ht="15" hidden="false" customHeight="false" outlineLevel="0" collapsed="false">
      <c r="D1847" s="0" t="s">
        <v>111</v>
      </c>
      <c r="E1847" s="0" t="s">
        <v>112</v>
      </c>
      <c r="F1847" s="0" t="s">
        <v>113</v>
      </c>
      <c r="G1847" s="0" t="s">
        <v>145</v>
      </c>
      <c r="H1847" s="0" t="s">
        <v>145</v>
      </c>
      <c r="I1847" s="0" t="s">
        <v>41</v>
      </c>
      <c r="J1847" s="0" t="s">
        <v>42</v>
      </c>
      <c r="K1847" s="0" t="s">
        <v>48</v>
      </c>
      <c r="L1847" s="0" t="s">
        <v>49</v>
      </c>
      <c r="M1847" s="0" t="s">
        <v>140</v>
      </c>
      <c r="N1847" s="0" t="n">
        <v>1897</v>
      </c>
      <c r="O1847" s="10" t="n">
        <v>0.591925201471895</v>
      </c>
      <c r="P1847" s="10" t="n">
        <v>0.337768794968724</v>
      </c>
      <c r="Q1847" s="0" t="str">
        <f aca="false">SUBSTITUTE(SUBSTITUTE($I1847,CHAR(61),""),CHAR(34),"")</f>
        <v>25-34</v>
      </c>
      <c r="R1847" s="0" t="str">
        <f aca="false">IF($D1847&lt;&gt;"","["&amp;$E1847&amp;"]"&amp;"|"&amp;$Q1847&amp;"|"&amp;$K1847&amp;"|"&amp;$G1847&amp;"|"&amp;IF($G1847="TX_CURR_SUBNAT.R","CY2022Q4",$M1847),"")</f>
        <v>[U8c0so51kT6]|25-34|Male|PopART.Rt.T_1|CY2023Q3</v>
      </c>
    </row>
    <row r="1848" customFormat="false" ht="15" hidden="false" customHeight="false" outlineLevel="0" collapsed="false">
      <c r="D1848" s="0" t="s">
        <v>111</v>
      </c>
      <c r="E1848" s="0" t="s">
        <v>112</v>
      </c>
      <c r="F1848" s="0" t="s">
        <v>113</v>
      </c>
      <c r="G1848" s="0" t="s">
        <v>145</v>
      </c>
      <c r="H1848" s="0" t="s">
        <v>145</v>
      </c>
      <c r="I1848" s="0" t="s">
        <v>43</v>
      </c>
      <c r="J1848" s="0" t="s">
        <v>44</v>
      </c>
      <c r="K1848" s="0" t="s">
        <v>48</v>
      </c>
      <c r="L1848" s="0" t="s">
        <v>49</v>
      </c>
      <c r="M1848" s="0" t="s">
        <v>140</v>
      </c>
      <c r="N1848" s="0" t="n">
        <v>506</v>
      </c>
      <c r="O1848" s="10" t="n">
        <v>0.551299289101735</v>
      </c>
      <c r="P1848" s="10" t="n">
        <v>0.337768794968724</v>
      </c>
      <c r="Q1848" s="0" t="str">
        <f aca="false">SUBSTITUTE(SUBSTITUTE($I1848,CHAR(61),""),CHAR(34),"")</f>
        <v>35-49</v>
      </c>
      <c r="R1848" s="0" t="str">
        <f aca="false">IF($D1848&lt;&gt;"","["&amp;$E1848&amp;"]"&amp;"|"&amp;$Q1848&amp;"|"&amp;$K1848&amp;"|"&amp;$G1848&amp;"|"&amp;IF($G1848="TX_CURR_SUBNAT.R","CY2022Q4",$M1848),"")</f>
        <v>[U8c0so51kT6]|35-49|Male|PopART.Rt.T_1|CY2023Q3</v>
      </c>
    </row>
    <row r="1849" customFormat="false" ht="15" hidden="false" customHeight="false" outlineLevel="0" collapsed="false">
      <c r="D1849" s="0" t="s">
        <v>111</v>
      </c>
      <c r="E1849" s="0" t="s">
        <v>112</v>
      </c>
      <c r="F1849" s="0" t="s">
        <v>113</v>
      </c>
      <c r="G1849" s="0" t="s">
        <v>145</v>
      </c>
      <c r="H1849" s="0" t="s">
        <v>145</v>
      </c>
      <c r="I1849" s="0" t="s">
        <v>45</v>
      </c>
      <c r="J1849" s="0" t="s">
        <v>46</v>
      </c>
      <c r="K1849" s="0" t="s">
        <v>48</v>
      </c>
      <c r="L1849" s="0" t="s">
        <v>49</v>
      </c>
      <c r="M1849" s="0" t="s">
        <v>140</v>
      </c>
      <c r="N1849" s="0" t="n">
        <v>1963</v>
      </c>
      <c r="O1849" s="10" t="n">
        <v>0.531482144258916</v>
      </c>
      <c r="P1849" s="10" t="n">
        <v>0.337768794968724</v>
      </c>
      <c r="Q1849" s="0" t="str">
        <f aca="false">SUBSTITUTE(SUBSTITUTE($I1849,CHAR(61),""),CHAR(34),"")</f>
        <v>50+</v>
      </c>
      <c r="R1849" s="0" t="str">
        <f aca="false">IF($D1849&lt;&gt;"","["&amp;$E1849&amp;"]"&amp;"|"&amp;$Q1849&amp;"|"&amp;$K1849&amp;"|"&amp;$G1849&amp;"|"&amp;IF($G1849="TX_CURR_SUBNAT.R","CY2022Q4",$M1849),"")</f>
        <v>[U8c0so51kT6]|50+|Male|PopART.Rt.T_1|CY2023Q3</v>
      </c>
    </row>
    <row r="1850" customFormat="false" ht="15" hidden="false" customHeight="false" outlineLevel="0" collapsed="false">
      <c r="D1850" s="0" t="s">
        <v>114</v>
      </c>
      <c r="E1850" s="0" t="s">
        <v>115</v>
      </c>
      <c r="F1850" s="0" t="s">
        <v>116</v>
      </c>
      <c r="G1850" s="0" t="s">
        <v>145</v>
      </c>
      <c r="H1850" s="0" t="s">
        <v>145</v>
      </c>
      <c r="I1850" s="0" t="s">
        <v>28</v>
      </c>
      <c r="J1850" s="0" t="s">
        <v>29</v>
      </c>
      <c r="K1850" s="0" t="s">
        <v>30</v>
      </c>
      <c r="L1850" s="0" t="s">
        <v>31</v>
      </c>
      <c r="M1850" s="0" t="s">
        <v>140</v>
      </c>
      <c r="N1850" s="0" t="n">
        <v>1246</v>
      </c>
      <c r="O1850" s="10" t="n">
        <v>0.263340205419809</v>
      </c>
      <c r="P1850" s="10" t="n">
        <v>0.298559809103608</v>
      </c>
      <c r="Q1850" s="0" t="str">
        <f aca="false">SUBSTITUTE(SUBSTITUTE($I1850,CHAR(61),""),CHAR(34),"")</f>
        <v>&lt;01</v>
      </c>
      <c r="R1850" s="0" t="str">
        <f aca="false">IF($D1850&lt;&gt;"","["&amp;$E1850&amp;"]"&amp;"|"&amp;$Q1850&amp;"|"&amp;$K1850&amp;"|"&amp;$G1850&amp;"|"&amp;IF($G1850="TX_CURR_SUBNAT.R","CY2022Q4",$M1850),"")</f>
        <v>[rpw540fmNUz]|&lt;01|Female|PopART.Rt.T_1|CY2023Q3</v>
      </c>
    </row>
    <row r="1851" customFormat="false" ht="15" hidden="false" customHeight="false" outlineLevel="0" collapsed="false">
      <c r="D1851" s="0" t="s">
        <v>114</v>
      </c>
      <c r="E1851" s="0" t="s">
        <v>115</v>
      </c>
      <c r="F1851" s="0" t="s">
        <v>116</v>
      </c>
      <c r="G1851" s="0" t="s">
        <v>145</v>
      </c>
      <c r="H1851" s="0" t="s">
        <v>145</v>
      </c>
      <c r="I1851" s="0" t="s">
        <v>33</v>
      </c>
      <c r="J1851" s="0" t="s">
        <v>34</v>
      </c>
      <c r="K1851" s="0" t="s">
        <v>30</v>
      </c>
      <c r="L1851" s="0" t="s">
        <v>31</v>
      </c>
      <c r="M1851" s="0" t="s">
        <v>140</v>
      </c>
      <c r="N1851" s="0" t="n">
        <v>1844</v>
      </c>
      <c r="O1851" s="10" t="n">
        <v>0.972425437066704</v>
      </c>
      <c r="P1851" s="10" t="n">
        <v>0.298559809103608</v>
      </c>
      <c r="Q1851" s="0" t="str">
        <f aca="false">SUBSTITUTE(SUBSTITUTE($I1851,CHAR(61),""),CHAR(34),"")</f>
        <v>01-09</v>
      </c>
      <c r="R1851" s="0" t="str">
        <f aca="false">IF($D1851&lt;&gt;"","["&amp;$E1851&amp;"]"&amp;"|"&amp;$Q1851&amp;"|"&amp;$K1851&amp;"|"&amp;$G1851&amp;"|"&amp;IF($G1851="TX_CURR_SUBNAT.R","CY2022Q4",$M1851),"")</f>
        <v>[rpw540fmNUz]|01-09|Female|PopART.Rt.T_1|CY2023Q3</v>
      </c>
    </row>
    <row r="1852" customFormat="false" ht="15" hidden="false" customHeight="false" outlineLevel="0" collapsed="false">
      <c r="D1852" s="0" t="s">
        <v>114</v>
      </c>
      <c r="E1852" s="0" t="s">
        <v>115</v>
      </c>
      <c r="F1852" s="0" t="s">
        <v>116</v>
      </c>
      <c r="G1852" s="0" t="s">
        <v>145</v>
      </c>
      <c r="H1852" s="0" t="s">
        <v>145</v>
      </c>
      <c r="I1852" s="0" t="s">
        <v>36</v>
      </c>
      <c r="J1852" s="0" t="s">
        <v>37</v>
      </c>
      <c r="K1852" s="0" t="s">
        <v>30</v>
      </c>
      <c r="L1852" s="0" t="s">
        <v>31</v>
      </c>
      <c r="M1852" s="0" t="s">
        <v>140</v>
      </c>
      <c r="N1852" s="0" t="n">
        <v>767</v>
      </c>
      <c r="O1852" s="10" t="n">
        <v>0.369553684722632</v>
      </c>
      <c r="P1852" s="10" t="n">
        <v>0.298559809103608</v>
      </c>
      <c r="Q1852" s="0" t="str">
        <f aca="false">SUBSTITUTE(SUBSTITUTE($I1852,CHAR(61),""),CHAR(34),"")</f>
        <v>10-14</v>
      </c>
      <c r="R1852" s="0" t="str">
        <f aca="false">IF($D1852&lt;&gt;"","["&amp;$E1852&amp;"]"&amp;"|"&amp;$Q1852&amp;"|"&amp;$K1852&amp;"|"&amp;$G1852&amp;"|"&amp;IF($G1852="TX_CURR_SUBNAT.R","CY2022Q4",$M1852),"")</f>
        <v>[rpw540fmNUz]|10-14|Female|PopART.Rt.T_1|CY2023Q3</v>
      </c>
    </row>
    <row r="1853" customFormat="false" ht="15" hidden="false" customHeight="false" outlineLevel="0" collapsed="false">
      <c r="D1853" s="0" t="s">
        <v>114</v>
      </c>
      <c r="E1853" s="0" t="s">
        <v>115</v>
      </c>
      <c r="F1853" s="0" t="s">
        <v>116</v>
      </c>
      <c r="G1853" s="0" t="s">
        <v>145</v>
      </c>
      <c r="H1853" s="0" t="s">
        <v>145</v>
      </c>
      <c r="I1853" s="0" t="s">
        <v>38</v>
      </c>
      <c r="J1853" s="0" t="s">
        <v>39</v>
      </c>
      <c r="K1853" s="0" t="s">
        <v>30</v>
      </c>
      <c r="L1853" s="0" t="s">
        <v>31</v>
      </c>
      <c r="M1853" s="0" t="s">
        <v>140</v>
      </c>
      <c r="N1853" s="0" t="n">
        <v>1877</v>
      </c>
      <c r="O1853" s="10" t="n">
        <v>0.684701706282794</v>
      </c>
      <c r="P1853" s="10" t="n">
        <v>0.298559809103608</v>
      </c>
      <c r="Q1853" s="0" t="str">
        <f aca="false">SUBSTITUTE(SUBSTITUTE($I1853,CHAR(61),""),CHAR(34),"")</f>
        <v>15-24</v>
      </c>
      <c r="R1853" s="0" t="str">
        <f aca="false">IF($D1853&lt;&gt;"","["&amp;$E1853&amp;"]"&amp;"|"&amp;$Q1853&amp;"|"&amp;$K1853&amp;"|"&amp;$G1853&amp;"|"&amp;IF($G1853="TX_CURR_SUBNAT.R","CY2022Q4",$M1853),"")</f>
        <v>[rpw540fmNUz]|15-24|Female|PopART.Rt.T_1|CY2023Q3</v>
      </c>
    </row>
    <row r="1854" customFormat="false" ht="15" hidden="false" customHeight="false" outlineLevel="0" collapsed="false">
      <c r="D1854" s="0" t="s">
        <v>114</v>
      </c>
      <c r="E1854" s="0" t="s">
        <v>115</v>
      </c>
      <c r="F1854" s="0" t="s">
        <v>116</v>
      </c>
      <c r="G1854" s="0" t="s">
        <v>145</v>
      </c>
      <c r="H1854" s="0" t="s">
        <v>145</v>
      </c>
      <c r="I1854" s="0" t="s">
        <v>41</v>
      </c>
      <c r="J1854" s="0" t="s">
        <v>42</v>
      </c>
      <c r="K1854" s="0" t="s">
        <v>30</v>
      </c>
      <c r="L1854" s="0" t="s">
        <v>31</v>
      </c>
      <c r="M1854" s="0" t="s">
        <v>140</v>
      </c>
      <c r="N1854" s="0" t="n">
        <v>1848</v>
      </c>
      <c r="O1854" s="10" t="n">
        <v>0.0297677118796855</v>
      </c>
      <c r="P1854" s="10" t="n">
        <v>0.298559809103608</v>
      </c>
      <c r="Q1854" s="0" t="str">
        <f aca="false">SUBSTITUTE(SUBSTITUTE($I1854,CHAR(61),""),CHAR(34),"")</f>
        <v>25-34</v>
      </c>
      <c r="R1854" s="0" t="str">
        <f aca="false">IF($D1854&lt;&gt;"","["&amp;$E1854&amp;"]"&amp;"|"&amp;$Q1854&amp;"|"&amp;$K1854&amp;"|"&amp;$G1854&amp;"|"&amp;IF($G1854="TX_CURR_SUBNAT.R","CY2022Q4",$M1854),"")</f>
        <v>[rpw540fmNUz]|25-34|Female|PopART.Rt.T_1|CY2023Q3</v>
      </c>
    </row>
    <row r="1855" customFormat="false" ht="15" hidden="false" customHeight="false" outlineLevel="0" collapsed="false">
      <c r="D1855" s="0" t="s">
        <v>114</v>
      </c>
      <c r="E1855" s="0" t="s">
        <v>115</v>
      </c>
      <c r="F1855" s="0" t="s">
        <v>116</v>
      </c>
      <c r="G1855" s="0" t="s">
        <v>145</v>
      </c>
      <c r="H1855" s="0" t="s">
        <v>145</v>
      </c>
      <c r="I1855" s="0" t="s">
        <v>43</v>
      </c>
      <c r="J1855" s="0" t="s">
        <v>44</v>
      </c>
      <c r="K1855" s="0" t="s">
        <v>30</v>
      </c>
      <c r="L1855" s="0" t="s">
        <v>31</v>
      </c>
      <c r="M1855" s="0" t="s">
        <v>140</v>
      </c>
      <c r="N1855" s="0" t="n">
        <v>1027</v>
      </c>
      <c r="O1855" s="10" t="n">
        <v>0.331408526748419</v>
      </c>
      <c r="P1855" s="10" t="n">
        <v>0.298559809103608</v>
      </c>
      <c r="Q1855" s="0" t="str">
        <f aca="false">SUBSTITUTE(SUBSTITUTE($I1855,CHAR(61),""),CHAR(34),"")</f>
        <v>35-49</v>
      </c>
      <c r="R1855" s="0" t="str">
        <f aca="false">IF($D1855&lt;&gt;"","["&amp;$E1855&amp;"]"&amp;"|"&amp;$Q1855&amp;"|"&amp;$K1855&amp;"|"&amp;$G1855&amp;"|"&amp;IF($G1855="TX_CURR_SUBNAT.R","CY2022Q4",$M1855),"")</f>
        <v>[rpw540fmNUz]|35-49|Female|PopART.Rt.T_1|CY2023Q3</v>
      </c>
    </row>
    <row r="1856" customFormat="false" ht="15" hidden="false" customHeight="false" outlineLevel="0" collapsed="false">
      <c r="D1856" s="0" t="s">
        <v>114</v>
      </c>
      <c r="E1856" s="0" t="s">
        <v>115</v>
      </c>
      <c r="F1856" s="0" t="s">
        <v>116</v>
      </c>
      <c r="G1856" s="0" t="s">
        <v>145</v>
      </c>
      <c r="H1856" s="0" t="s">
        <v>145</v>
      </c>
      <c r="I1856" s="0" t="s">
        <v>45</v>
      </c>
      <c r="J1856" s="0" t="s">
        <v>46</v>
      </c>
      <c r="K1856" s="0" t="s">
        <v>30</v>
      </c>
      <c r="L1856" s="0" t="s">
        <v>31</v>
      </c>
      <c r="M1856" s="0" t="s">
        <v>140</v>
      </c>
      <c r="N1856" s="0" t="n">
        <v>1564</v>
      </c>
      <c r="O1856" s="10" t="n">
        <v>0.427761203609407</v>
      </c>
      <c r="P1856" s="10" t="n">
        <v>0.298559809103608</v>
      </c>
      <c r="Q1856" s="0" t="str">
        <f aca="false">SUBSTITUTE(SUBSTITUTE($I1856,CHAR(61),""),CHAR(34),"")</f>
        <v>50+</v>
      </c>
      <c r="R1856" s="0" t="str">
        <f aca="false">IF($D1856&lt;&gt;"","["&amp;$E1856&amp;"]"&amp;"|"&amp;$Q1856&amp;"|"&amp;$K1856&amp;"|"&amp;$G1856&amp;"|"&amp;IF($G1856="TX_CURR_SUBNAT.R","CY2022Q4",$M1856),"")</f>
        <v>[rpw540fmNUz]|50+|Female|PopART.Rt.T_1|CY2023Q3</v>
      </c>
    </row>
    <row r="1857" customFormat="false" ht="15" hidden="false" customHeight="false" outlineLevel="0" collapsed="false">
      <c r="D1857" s="0" t="s">
        <v>114</v>
      </c>
      <c r="E1857" s="0" t="s">
        <v>115</v>
      </c>
      <c r="F1857" s="0" t="s">
        <v>116</v>
      </c>
      <c r="G1857" s="0" t="s">
        <v>145</v>
      </c>
      <c r="H1857" s="0" t="s">
        <v>145</v>
      </c>
      <c r="I1857" s="0" t="s">
        <v>28</v>
      </c>
      <c r="J1857" s="0" t="s">
        <v>29</v>
      </c>
      <c r="K1857" s="0" t="s">
        <v>48</v>
      </c>
      <c r="L1857" s="0" t="s">
        <v>49</v>
      </c>
      <c r="M1857" s="0" t="s">
        <v>140</v>
      </c>
      <c r="N1857" s="0" t="n">
        <v>790</v>
      </c>
      <c r="O1857" s="10" t="n">
        <v>0.261271090479568</v>
      </c>
      <c r="P1857" s="10" t="n">
        <v>0.298559809103608</v>
      </c>
      <c r="Q1857" s="0" t="str">
        <f aca="false">SUBSTITUTE(SUBSTITUTE($I1857,CHAR(61),""),CHAR(34),"")</f>
        <v>&lt;01</v>
      </c>
      <c r="R1857" s="0" t="str">
        <f aca="false">IF($D1857&lt;&gt;"","["&amp;$E1857&amp;"]"&amp;"|"&amp;$Q1857&amp;"|"&amp;$K1857&amp;"|"&amp;$G1857&amp;"|"&amp;IF($G1857="TX_CURR_SUBNAT.R","CY2022Q4",$M1857),"")</f>
        <v>[rpw540fmNUz]|&lt;01|Male|PopART.Rt.T_1|CY2023Q3</v>
      </c>
    </row>
    <row r="1858" customFormat="false" ht="15" hidden="false" customHeight="false" outlineLevel="0" collapsed="false">
      <c r="D1858" s="0" t="s">
        <v>114</v>
      </c>
      <c r="E1858" s="0" t="s">
        <v>115</v>
      </c>
      <c r="F1858" s="0" t="s">
        <v>116</v>
      </c>
      <c r="G1858" s="0" t="s">
        <v>145</v>
      </c>
      <c r="H1858" s="0" t="s">
        <v>145</v>
      </c>
      <c r="I1858" s="0" t="s">
        <v>33</v>
      </c>
      <c r="J1858" s="0" t="s">
        <v>34</v>
      </c>
      <c r="K1858" s="0" t="s">
        <v>48</v>
      </c>
      <c r="L1858" s="0" t="s">
        <v>49</v>
      </c>
      <c r="M1858" s="0" t="s">
        <v>140</v>
      </c>
      <c r="N1858" s="0" t="n">
        <v>928</v>
      </c>
      <c r="O1858" s="10" t="n">
        <v>0.114873361773789</v>
      </c>
      <c r="P1858" s="10" t="n">
        <v>0.298559809103608</v>
      </c>
      <c r="Q1858" s="0" t="str">
        <f aca="false">SUBSTITUTE(SUBSTITUTE($I1858,CHAR(61),""),CHAR(34),"")</f>
        <v>01-09</v>
      </c>
      <c r="R1858" s="0" t="str">
        <f aca="false">IF($D1858&lt;&gt;"","["&amp;$E1858&amp;"]"&amp;"|"&amp;$Q1858&amp;"|"&amp;$K1858&amp;"|"&amp;$G1858&amp;"|"&amp;IF($G1858="TX_CURR_SUBNAT.R","CY2022Q4",$M1858),"")</f>
        <v>[rpw540fmNUz]|01-09|Male|PopART.Rt.T_1|CY2023Q3</v>
      </c>
    </row>
    <row r="1859" customFormat="false" ht="15" hidden="false" customHeight="false" outlineLevel="0" collapsed="false">
      <c r="D1859" s="0" t="s">
        <v>114</v>
      </c>
      <c r="E1859" s="0" t="s">
        <v>115</v>
      </c>
      <c r="F1859" s="0" t="s">
        <v>116</v>
      </c>
      <c r="G1859" s="0" t="s">
        <v>145</v>
      </c>
      <c r="H1859" s="0" t="s">
        <v>145</v>
      </c>
      <c r="I1859" s="0" t="s">
        <v>36</v>
      </c>
      <c r="J1859" s="0" t="s">
        <v>37</v>
      </c>
      <c r="K1859" s="0" t="s">
        <v>48</v>
      </c>
      <c r="L1859" s="0" t="s">
        <v>49</v>
      </c>
      <c r="M1859" s="0" t="s">
        <v>140</v>
      </c>
      <c r="N1859" s="0" t="n">
        <v>1797</v>
      </c>
      <c r="O1859" s="10" t="n">
        <v>0.119222813053057</v>
      </c>
      <c r="P1859" s="10" t="n">
        <v>0.298559809103608</v>
      </c>
      <c r="Q1859" s="0" t="str">
        <f aca="false">SUBSTITUTE(SUBSTITUTE($I1859,CHAR(61),""),CHAR(34),"")</f>
        <v>10-14</v>
      </c>
      <c r="R1859" s="0" t="str">
        <f aca="false">IF($D1859&lt;&gt;"","["&amp;$E1859&amp;"]"&amp;"|"&amp;$Q1859&amp;"|"&amp;$K1859&amp;"|"&amp;$G1859&amp;"|"&amp;IF($G1859="TX_CURR_SUBNAT.R","CY2022Q4",$M1859),"")</f>
        <v>[rpw540fmNUz]|10-14|Male|PopART.Rt.T_1|CY2023Q3</v>
      </c>
    </row>
    <row r="1860" customFormat="false" ht="15" hidden="false" customHeight="false" outlineLevel="0" collapsed="false">
      <c r="D1860" s="0" t="s">
        <v>114</v>
      </c>
      <c r="E1860" s="0" t="s">
        <v>115</v>
      </c>
      <c r="F1860" s="0" t="s">
        <v>116</v>
      </c>
      <c r="G1860" s="0" t="s">
        <v>145</v>
      </c>
      <c r="H1860" s="0" t="s">
        <v>145</v>
      </c>
      <c r="I1860" s="0" t="s">
        <v>38</v>
      </c>
      <c r="J1860" s="0" t="s">
        <v>39</v>
      </c>
      <c r="K1860" s="0" t="s">
        <v>48</v>
      </c>
      <c r="L1860" s="0" t="s">
        <v>49</v>
      </c>
      <c r="M1860" s="0" t="s">
        <v>140</v>
      </c>
      <c r="N1860" s="0" t="n">
        <v>1525</v>
      </c>
      <c r="O1860" s="10" t="n">
        <v>0.201026408467442</v>
      </c>
      <c r="P1860" s="10" t="n">
        <v>0.298559809103608</v>
      </c>
      <c r="Q1860" s="0" t="str">
        <f aca="false">SUBSTITUTE(SUBSTITUTE($I1860,CHAR(61),""),CHAR(34),"")</f>
        <v>15-24</v>
      </c>
      <c r="R1860" s="0" t="str">
        <f aca="false">IF($D1860&lt;&gt;"","["&amp;$E1860&amp;"]"&amp;"|"&amp;$Q1860&amp;"|"&amp;$K1860&amp;"|"&amp;$G1860&amp;"|"&amp;IF($G1860="TX_CURR_SUBNAT.R","CY2022Q4",$M1860),"")</f>
        <v>[rpw540fmNUz]|15-24|Male|PopART.Rt.T_1|CY2023Q3</v>
      </c>
    </row>
    <row r="1861" customFormat="false" ht="15" hidden="false" customHeight="false" outlineLevel="0" collapsed="false">
      <c r="D1861" s="0" t="s">
        <v>114</v>
      </c>
      <c r="E1861" s="0" t="s">
        <v>115</v>
      </c>
      <c r="F1861" s="0" t="s">
        <v>116</v>
      </c>
      <c r="G1861" s="0" t="s">
        <v>145</v>
      </c>
      <c r="H1861" s="0" t="s">
        <v>145</v>
      </c>
      <c r="I1861" s="0" t="s">
        <v>41</v>
      </c>
      <c r="J1861" s="0" t="s">
        <v>42</v>
      </c>
      <c r="K1861" s="0" t="s">
        <v>48</v>
      </c>
      <c r="L1861" s="0" t="s">
        <v>49</v>
      </c>
      <c r="M1861" s="0" t="s">
        <v>140</v>
      </c>
      <c r="N1861" s="0" t="n">
        <v>1838</v>
      </c>
      <c r="O1861" s="10" t="n">
        <v>0.92070872685872</v>
      </c>
      <c r="P1861" s="10" t="n">
        <v>0.298559809103608</v>
      </c>
      <c r="Q1861" s="0" t="str">
        <f aca="false">SUBSTITUTE(SUBSTITUTE($I1861,CHAR(61),""),CHAR(34),"")</f>
        <v>25-34</v>
      </c>
      <c r="R1861" s="0" t="str">
        <f aca="false">IF($D1861&lt;&gt;"","["&amp;$E1861&amp;"]"&amp;"|"&amp;$Q1861&amp;"|"&amp;$K1861&amp;"|"&amp;$G1861&amp;"|"&amp;IF($G1861="TX_CURR_SUBNAT.R","CY2022Q4",$M1861),"")</f>
        <v>[rpw540fmNUz]|25-34|Male|PopART.Rt.T_1|CY2023Q3</v>
      </c>
    </row>
    <row r="1862" customFormat="false" ht="15" hidden="false" customHeight="false" outlineLevel="0" collapsed="false">
      <c r="D1862" s="0" t="s">
        <v>114</v>
      </c>
      <c r="E1862" s="0" t="s">
        <v>115</v>
      </c>
      <c r="F1862" s="0" t="s">
        <v>116</v>
      </c>
      <c r="G1862" s="0" t="s">
        <v>145</v>
      </c>
      <c r="H1862" s="0" t="s">
        <v>145</v>
      </c>
      <c r="I1862" s="0" t="s">
        <v>43</v>
      </c>
      <c r="J1862" s="0" t="s">
        <v>44</v>
      </c>
      <c r="K1862" s="0" t="s">
        <v>48</v>
      </c>
      <c r="L1862" s="0" t="s">
        <v>49</v>
      </c>
      <c r="M1862" s="0" t="s">
        <v>140</v>
      </c>
      <c r="N1862" s="0" t="n">
        <v>1346</v>
      </c>
      <c r="O1862" s="10" t="n">
        <v>0.078052279073745</v>
      </c>
      <c r="P1862" s="10" t="n">
        <v>0.298559809103608</v>
      </c>
      <c r="Q1862" s="0" t="str">
        <f aca="false">SUBSTITUTE(SUBSTITUTE($I1862,CHAR(61),""),CHAR(34),"")</f>
        <v>35-49</v>
      </c>
      <c r="R1862" s="0" t="str">
        <f aca="false">IF($D1862&lt;&gt;"","["&amp;$E1862&amp;"]"&amp;"|"&amp;$Q1862&amp;"|"&amp;$K1862&amp;"|"&amp;$G1862&amp;"|"&amp;IF($G1862="TX_CURR_SUBNAT.R","CY2022Q4",$M1862),"")</f>
        <v>[rpw540fmNUz]|35-49|Male|PopART.Rt.T_1|CY2023Q3</v>
      </c>
    </row>
    <row r="1863" customFormat="false" ht="15" hidden="false" customHeight="false" outlineLevel="0" collapsed="false">
      <c r="D1863" s="0" t="s">
        <v>114</v>
      </c>
      <c r="E1863" s="0" t="s">
        <v>115</v>
      </c>
      <c r="F1863" s="0" t="s">
        <v>116</v>
      </c>
      <c r="G1863" s="0" t="s">
        <v>145</v>
      </c>
      <c r="H1863" s="0" t="s">
        <v>145</v>
      </c>
      <c r="I1863" s="0" t="s">
        <v>45</v>
      </c>
      <c r="J1863" s="0" t="s">
        <v>46</v>
      </c>
      <c r="K1863" s="0" t="s">
        <v>48</v>
      </c>
      <c r="L1863" s="0" t="s">
        <v>49</v>
      </c>
      <c r="M1863" s="0" t="s">
        <v>140</v>
      </c>
      <c r="N1863" s="0" t="n">
        <v>1286</v>
      </c>
      <c r="O1863" s="10" t="n">
        <v>0.458914070622995</v>
      </c>
      <c r="P1863" s="10" t="n">
        <v>0.298559809103608</v>
      </c>
      <c r="Q1863" s="0" t="str">
        <f aca="false">SUBSTITUTE(SUBSTITUTE($I1863,CHAR(61),""),CHAR(34),"")</f>
        <v>50+</v>
      </c>
      <c r="R1863" s="0" t="str">
        <f aca="false">IF($D1863&lt;&gt;"","["&amp;$E1863&amp;"]"&amp;"|"&amp;$Q1863&amp;"|"&amp;$K1863&amp;"|"&amp;$G1863&amp;"|"&amp;IF($G1863="TX_CURR_SUBNAT.R","CY2022Q4",$M1863),"")</f>
        <v>[rpw540fmNUz]|50+|Male|PopART.Rt.T_1|CY2023Q3</v>
      </c>
    </row>
    <row r="1864" customFormat="false" ht="15" hidden="false" customHeight="false" outlineLevel="0" collapsed="false">
      <c r="D1864" s="0" t="s">
        <v>117</v>
      </c>
      <c r="E1864" s="0" t="s">
        <v>118</v>
      </c>
      <c r="F1864" s="0" t="s">
        <v>119</v>
      </c>
      <c r="G1864" s="0" t="s">
        <v>145</v>
      </c>
      <c r="H1864" s="0" t="s">
        <v>145</v>
      </c>
      <c r="I1864" s="0" t="s">
        <v>28</v>
      </c>
      <c r="J1864" s="0" t="s">
        <v>29</v>
      </c>
      <c r="K1864" s="0" t="s">
        <v>30</v>
      </c>
      <c r="L1864" s="0" t="s">
        <v>31</v>
      </c>
      <c r="M1864" s="0" t="s">
        <v>140</v>
      </c>
      <c r="N1864" s="0" t="n">
        <v>858</v>
      </c>
      <c r="O1864" s="10" t="n">
        <v>0.748516671126708</v>
      </c>
      <c r="P1864" s="10" t="n">
        <v>0.206259709550068</v>
      </c>
      <c r="Q1864" s="0" t="str">
        <f aca="false">SUBSTITUTE(SUBSTITUTE($I1864,CHAR(61),""),CHAR(34),"")</f>
        <v>&lt;01</v>
      </c>
      <c r="R1864" s="0" t="str">
        <f aca="false">IF($D1864&lt;&gt;"","["&amp;$E1864&amp;"]"&amp;"|"&amp;$Q1864&amp;"|"&amp;$K1864&amp;"|"&amp;$G1864&amp;"|"&amp;IF($G1864="TX_CURR_SUBNAT.R","CY2022Q4",$M1864),"")</f>
        <v>[lPTyjLi4w3d]|&lt;01|Female|PopART.Rt.T_1|CY2023Q3</v>
      </c>
    </row>
    <row r="1865" customFormat="false" ht="15" hidden="false" customHeight="false" outlineLevel="0" collapsed="false">
      <c r="D1865" s="0" t="s">
        <v>117</v>
      </c>
      <c r="E1865" s="0" t="s">
        <v>118</v>
      </c>
      <c r="F1865" s="0" t="s">
        <v>119</v>
      </c>
      <c r="G1865" s="0" t="s">
        <v>145</v>
      </c>
      <c r="H1865" s="0" t="s">
        <v>145</v>
      </c>
      <c r="I1865" s="0" t="s">
        <v>33</v>
      </c>
      <c r="J1865" s="0" t="s">
        <v>34</v>
      </c>
      <c r="K1865" s="0" t="s">
        <v>30</v>
      </c>
      <c r="L1865" s="0" t="s">
        <v>31</v>
      </c>
      <c r="M1865" s="0" t="s">
        <v>140</v>
      </c>
      <c r="N1865" s="0" t="n">
        <v>754</v>
      </c>
      <c r="O1865" s="10" t="n">
        <v>0.976023168768734</v>
      </c>
      <c r="P1865" s="10" t="n">
        <v>0.206259709550068</v>
      </c>
      <c r="Q1865" s="0" t="str">
        <f aca="false">SUBSTITUTE(SUBSTITUTE($I1865,CHAR(61),""),CHAR(34),"")</f>
        <v>01-09</v>
      </c>
      <c r="R1865" s="0" t="str">
        <f aca="false">IF($D1865&lt;&gt;"","["&amp;$E1865&amp;"]"&amp;"|"&amp;$Q1865&amp;"|"&amp;$K1865&amp;"|"&amp;$G1865&amp;"|"&amp;IF($G1865="TX_CURR_SUBNAT.R","CY2022Q4",$M1865),"")</f>
        <v>[lPTyjLi4w3d]|01-09|Female|PopART.Rt.T_1|CY2023Q3</v>
      </c>
    </row>
    <row r="1866" customFormat="false" ht="15" hidden="false" customHeight="false" outlineLevel="0" collapsed="false">
      <c r="D1866" s="0" t="s">
        <v>117</v>
      </c>
      <c r="E1866" s="0" t="s">
        <v>118</v>
      </c>
      <c r="F1866" s="0" t="s">
        <v>119</v>
      </c>
      <c r="G1866" s="0" t="s">
        <v>145</v>
      </c>
      <c r="H1866" s="0" t="s">
        <v>145</v>
      </c>
      <c r="I1866" s="0" t="s">
        <v>36</v>
      </c>
      <c r="J1866" s="0" t="s">
        <v>37</v>
      </c>
      <c r="K1866" s="0" t="s">
        <v>30</v>
      </c>
      <c r="L1866" s="0" t="s">
        <v>31</v>
      </c>
      <c r="M1866" s="0" t="s">
        <v>140</v>
      </c>
      <c r="N1866" s="0" t="n">
        <v>1448</v>
      </c>
      <c r="O1866" s="10" t="n">
        <v>0.68615150032565</v>
      </c>
      <c r="P1866" s="10" t="n">
        <v>0.206259709550068</v>
      </c>
      <c r="Q1866" s="0" t="str">
        <f aca="false">SUBSTITUTE(SUBSTITUTE($I1866,CHAR(61),""),CHAR(34),"")</f>
        <v>10-14</v>
      </c>
      <c r="R1866" s="0" t="str">
        <f aca="false">IF($D1866&lt;&gt;"","["&amp;$E1866&amp;"]"&amp;"|"&amp;$Q1866&amp;"|"&amp;$K1866&amp;"|"&amp;$G1866&amp;"|"&amp;IF($G1866="TX_CURR_SUBNAT.R","CY2022Q4",$M1866),"")</f>
        <v>[lPTyjLi4w3d]|10-14|Female|PopART.Rt.T_1|CY2023Q3</v>
      </c>
    </row>
    <row r="1867" customFormat="false" ht="15" hidden="false" customHeight="false" outlineLevel="0" collapsed="false">
      <c r="D1867" s="0" t="s">
        <v>117</v>
      </c>
      <c r="E1867" s="0" t="s">
        <v>118</v>
      </c>
      <c r="F1867" s="0" t="s">
        <v>119</v>
      </c>
      <c r="G1867" s="0" t="s">
        <v>145</v>
      </c>
      <c r="H1867" s="0" t="s">
        <v>145</v>
      </c>
      <c r="I1867" s="0" t="s">
        <v>38</v>
      </c>
      <c r="J1867" s="0" t="s">
        <v>39</v>
      </c>
      <c r="K1867" s="0" t="s">
        <v>30</v>
      </c>
      <c r="L1867" s="0" t="s">
        <v>31</v>
      </c>
      <c r="M1867" s="0" t="s">
        <v>140</v>
      </c>
      <c r="N1867" s="0" t="n">
        <v>1175</v>
      </c>
      <c r="O1867" s="10" t="n">
        <v>0.567691777367145</v>
      </c>
      <c r="P1867" s="10" t="n">
        <v>0.206259709550068</v>
      </c>
      <c r="Q1867" s="0" t="str">
        <f aca="false">SUBSTITUTE(SUBSTITUTE($I1867,CHAR(61),""),CHAR(34),"")</f>
        <v>15-24</v>
      </c>
      <c r="R1867" s="0" t="str">
        <f aca="false">IF($D1867&lt;&gt;"","["&amp;$E1867&amp;"]"&amp;"|"&amp;$Q1867&amp;"|"&amp;$K1867&amp;"|"&amp;$G1867&amp;"|"&amp;IF($G1867="TX_CURR_SUBNAT.R","CY2022Q4",$M1867),"")</f>
        <v>[lPTyjLi4w3d]|15-24|Female|PopART.Rt.T_1|CY2023Q3</v>
      </c>
    </row>
    <row r="1868" customFormat="false" ht="15" hidden="false" customHeight="false" outlineLevel="0" collapsed="false">
      <c r="D1868" s="0" t="s">
        <v>117</v>
      </c>
      <c r="E1868" s="0" t="s">
        <v>118</v>
      </c>
      <c r="F1868" s="0" t="s">
        <v>119</v>
      </c>
      <c r="G1868" s="0" t="s">
        <v>145</v>
      </c>
      <c r="H1868" s="0" t="s">
        <v>145</v>
      </c>
      <c r="I1868" s="0" t="s">
        <v>41</v>
      </c>
      <c r="J1868" s="0" t="s">
        <v>42</v>
      </c>
      <c r="K1868" s="0" t="s">
        <v>30</v>
      </c>
      <c r="L1868" s="0" t="s">
        <v>31</v>
      </c>
      <c r="M1868" s="0" t="s">
        <v>140</v>
      </c>
      <c r="N1868" s="0" t="n">
        <v>1520</v>
      </c>
      <c r="O1868" s="10" t="n">
        <v>0.063369199866429</v>
      </c>
      <c r="P1868" s="10" t="n">
        <v>0.206259709550068</v>
      </c>
      <c r="Q1868" s="0" t="str">
        <f aca="false">SUBSTITUTE(SUBSTITUTE($I1868,CHAR(61),""),CHAR(34),"")</f>
        <v>25-34</v>
      </c>
      <c r="R1868" s="0" t="str">
        <f aca="false">IF($D1868&lt;&gt;"","["&amp;$E1868&amp;"]"&amp;"|"&amp;$Q1868&amp;"|"&amp;$K1868&amp;"|"&amp;$G1868&amp;"|"&amp;IF($G1868="TX_CURR_SUBNAT.R","CY2022Q4",$M1868),"")</f>
        <v>[lPTyjLi4w3d]|25-34|Female|PopART.Rt.T_1|CY2023Q3</v>
      </c>
    </row>
    <row r="1869" customFormat="false" ht="15" hidden="false" customHeight="false" outlineLevel="0" collapsed="false">
      <c r="D1869" s="0" t="s">
        <v>117</v>
      </c>
      <c r="E1869" s="0" t="s">
        <v>118</v>
      </c>
      <c r="F1869" s="0" t="s">
        <v>119</v>
      </c>
      <c r="G1869" s="0" t="s">
        <v>145</v>
      </c>
      <c r="H1869" s="0" t="s">
        <v>145</v>
      </c>
      <c r="I1869" s="0" t="s">
        <v>43</v>
      </c>
      <c r="J1869" s="0" t="s">
        <v>44</v>
      </c>
      <c r="K1869" s="0" t="s">
        <v>30</v>
      </c>
      <c r="L1869" s="0" t="s">
        <v>31</v>
      </c>
      <c r="M1869" s="0" t="s">
        <v>140</v>
      </c>
      <c r="N1869" s="0" t="n">
        <v>971</v>
      </c>
      <c r="O1869" s="10" t="n">
        <v>0.562555256066844</v>
      </c>
      <c r="P1869" s="10" t="n">
        <v>0.206259709550068</v>
      </c>
      <c r="Q1869" s="0" t="str">
        <f aca="false">SUBSTITUTE(SUBSTITUTE($I1869,CHAR(61),""),CHAR(34),"")</f>
        <v>35-49</v>
      </c>
      <c r="R1869" s="0" t="str">
        <f aca="false">IF($D1869&lt;&gt;"","["&amp;$E1869&amp;"]"&amp;"|"&amp;$Q1869&amp;"|"&amp;$K1869&amp;"|"&amp;$G1869&amp;"|"&amp;IF($G1869="TX_CURR_SUBNAT.R","CY2022Q4",$M1869),"")</f>
        <v>[lPTyjLi4w3d]|35-49|Female|PopART.Rt.T_1|CY2023Q3</v>
      </c>
    </row>
    <row r="1870" customFormat="false" ht="15" hidden="false" customHeight="false" outlineLevel="0" collapsed="false">
      <c r="D1870" s="0" t="s">
        <v>117</v>
      </c>
      <c r="E1870" s="0" t="s">
        <v>118</v>
      </c>
      <c r="F1870" s="0" t="s">
        <v>119</v>
      </c>
      <c r="G1870" s="0" t="s">
        <v>145</v>
      </c>
      <c r="H1870" s="0" t="s">
        <v>145</v>
      </c>
      <c r="I1870" s="0" t="s">
        <v>45</v>
      </c>
      <c r="J1870" s="0" t="s">
        <v>46</v>
      </c>
      <c r="K1870" s="0" t="s">
        <v>30</v>
      </c>
      <c r="L1870" s="0" t="s">
        <v>31</v>
      </c>
      <c r="M1870" s="0" t="s">
        <v>140</v>
      </c>
      <c r="N1870" s="0" t="n">
        <v>1370</v>
      </c>
      <c r="O1870" s="10" t="n">
        <v>0.825868363725021</v>
      </c>
      <c r="P1870" s="10" t="n">
        <v>0.206259709550068</v>
      </c>
      <c r="Q1870" s="0" t="str">
        <f aca="false">SUBSTITUTE(SUBSTITUTE($I1870,CHAR(61),""),CHAR(34),"")</f>
        <v>50+</v>
      </c>
      <c r="R1870" s="0" t="str">
        <f aca="false">IF($D1870&lt;&gt;"","["&amp;$E1870&amp;"]"&amp;"|"&amp;$Q1870&amp;"|"&amp;$K1870&amp;"|"&amp;$G1870&amp;"|"&amp;IF($G1870="TX_CURR_SUBNAT.R","CY2022Q4",$M1870),"")</f>
        <v>[lPTyjLi4w3d]|50+|Female|PopART.Rt.T_1|CY2023Q3</v>
      </c>
    </row>
    <row r="1871" customFormat="false" ht="15" hidden="false" customHeight="false" outlineLevel="0" collapsed="false">
      <c r="D1871" s="0" t="s">
        <v>117</v>
      </c>
      <c r="E1871" s="0" t="s">
        <v>118</v>
      </c>
      <c r="F1871" s="0" t="s">
        <v>119</v>
      </c>
      <c r="G1871" s="0" t="s">
        <v>145</v>
      </c>
      <c r="H1871" s="0" t="s">
        <v>145</v>
      </c>
      <c r="I1871" s="0" t="s">
        <v>28</v>
      </c>
      <c r="J1871" s="0" t="s">
        <v>29</v>
      </c>
      <c r="K1871" s="0" t="s">
        <v>48</v>
      </c>
      <c r="L1871" s="0" t="s">
        <v>49</v>
      </c>
      <c r="M1871" s="0" t="s">
        <v>140</v>
      </c>
      <c r="N1871" s="0" t="n">
        <v>1472</v>
      </c>
      <c r="O1871" s="10" t="n">
        <v>0.81820025597699</v>
      </c>
      <c r="P1871" s="10" t="n">
        <v>0.206259709550068</v>
      </c>
      <c r="Q1871" s="0" t="str">
        <f aca="false">SUBSTITUTE(SUBSTITUTE($I1871,CHAR(61),""),CHAR(34),"")</f>
        <v>&lt;01</v>
      </c>
      <c r="R1871" s="0" t="str">
        <f aca="false">IF($D1871&lt;&gt;"","["&amp;$E1871&amp;"]"&amp;"|"&amp;$Q1871&amp;"|"&amp;$K1871&amp;"|"&amp;$G1871&amp;"|"&amp;IF($G1871="TX_CURR_SUBNAT.R","CY2022Q4",$M1871),"")</f>
        <v>[lPTyjLi4w3d]|&lt;01|Male|PopART.Rt.T_1|CY2023Q3</v>
      </c>
    </row>
    <row r="1872" customFormat="false" ht="15" hidden="false" customHeight="false" outlineLevel="0" collapsed="false">
      <c r="D1872" s="0" t="s">
        <v>117</v>
      </c>
      <c r="E1872" s="0" t="s">
        <v>118</v>
      </c>
      <c r="F1872" s="0" t="s">
        <v>119</v>
      </c>
      <c r="G1872" s="0" t="s">
        <v>145</v>
      </c>
      <c r="H1872" s="0" t="s">
        <v>145</v>
      </c>
      <c r="I1872" s="0" t="s">
        <v>33</v>
      </c>
      <c r="J1872" s="0" t="s">
        <v>34</v>
      </c>
      <c r="K1872" s="0" t="s">
        <v>48</v>
      </c>
      <c r="L1872" s="0" t="s">
        <v>49</v>
      </c>
      <c r="M1872" s="0" t="s">
        <v>140</v>
      </c>
      <c r="N1872" s="0" t="n">
        <v>796</v>
      </c>
      <c r="O1872" s="10" t="n">
        <v>0.628300541080534</v>
      </c>
      <c r="P1872" s="10" t="n">
        <v>0.206259709550068</v>
      </c>
      <c r="Q1872" s="0" t="str">
        <f aca="false">SUBSTITUTE(SUBSTITUTE($I1872,CHAR(61),""),CHAR(34),"")</f>
        <v>01-09</v>
      </c>
      <c r="R1872" s="0" t="str">
        <f aca="false">IF($D1872&lt;&gt;"","["&amp;$E1872&amp;"]"&amp;"|"&amp;$Q1872&amp;"|"&amp;$K1872&amp;"|"&amp;$G1872&amp;"|"&amp;IF($G1872="TX_CURR_SUBNAT.R","CY2022Q4",$M1872),"")</f>
        <v>[lPTyjLi4w3d]|01-09|Male|PopART.Rt.T_1|CY2023Q3</v>
      </c>
    </row>
    <row r="1873" customFormat="false" ht="15" hidden="false" customHeight="false" outlineLevel="0" collapsed="false">
      <c r="D1873" s="0" t="s">
        <v>117</v>
      </c>
      <c r="E1873" s="0" t="s">
        <v>118</v>
      </c>
      <c r="F1873" s="0" t="s">
        <v>119</v>
      </c>
      <c r="G1873" s="0" t="s">
        <v>145</v>
      </c>
      <c r="H1873" s="0" t="s">
        <v>145</v>
      </c>
      <c r="I1873" s="0" t="s">
        <v>36</v>
      </c>
      <c r="J1873" s="0" t="s">
        <v>37</v>
      </c>
      <c r="K1873" s="0" t="s">
        <v>48</v>
      </c>
      <c r="L1873" s="0" t="s">
        <v>49</v>
      </c>
      <c r="M1873" s="0" t="s">
        <v>140</v>
      </c>
      <c r="N1873" s="0" t="n">
        <v>1149</v>
      </c>
      <c r="O1873" s="10" t="n">
        <v>0.935330630512908</v>
      </c>
      <c r="P1873" s="10" t="n">
        <v>0.206259709550068</v>
      </c>
      <c r="Q1873" s="0" t="str">
        <f aca="false">SUBSTITUTE(SUBSTITUTE($I1873,CHAR(61),""),CHAR(34),"")</f>
        <v>10-14</v>
      </c>
      <c r="R1873" s="0" t="str">
        <f aca="false">IF($D1873&lt;&gt;"","["&amp;$E1873&amp;"]"&amp;"|"&amp;$Q1873&amp;"|"&amp;$K1873&amp;"|"&amp;$G1873&amp;"|"&amp;IF($G1873="TX_CURR_SUBNAT.R","CY2022Q4",$M1873),"")</f>
        <v>[lPTyjLi4w3d]|10-14|Male|PopART.Rt.T_1|CY2023Q3</v>
      </c>
    </row>
    <row r="1874" customFormat="false" ht="15" hidden="false" customHeight="false" outlineLevel="0" collapsed="false">
      <c r="D1874" s="0" t="s">
        <v>117</v>
      </c>
      <c r="E1874" s="0" t="s">
        <v>118</v>
      </c>
      <c r="F1874" s="0" t="s">
        <v>119</v>
      </c>
      <c r="G1874" s="0" t="s">
        <v>145</v>
      </c>
      <c r="H1874" s="0" t="s">
        <v>145</v>
      </c>
      <c r="I1874" s="0" t="s">
        <v>38</v>
      </c>
      <c r="J1874" s="0" t="s">
        <v>39</v>
      </c>
      <c r="K1874" s="0" t="s">
        <v>48</v>
      </c>
      <c r="L1874" s="0" t="s">
        <v>49</v>
      </c>
      <c r="M1874" s="0" t="s">
        <v>140</v>
      </c>
      <c r="N1874" s="0" t="n">
        <v>1548</v>
      </c>
      <c r="O1874" s="10" t="n">
        <v>0.370693868258968</v>
      </c>
      <c r="P1874" s="10" t="n">
        <v>0.206259709550068</v>
      </c>
      <c r="Q1874" s="0" t="str">
        <f aca="false">SUBSTITUTE(SUBSTITUTE($I1874,CHAR(61),""),CHAR(34),"")</f>
        <v>15-24</v>
      </c>
      <c r="R1874" s="0" t="str">
        <f aca="false">IF($D1874&lt;&gt;"","["&amp;$E1874&amp;"]"&amp;"|"&amp;$Q1874&amp;"|"&amp;$K1874&amp;"|"&amp;$G1874&amp;"|"&amp;IF($G1874="TX_CURR_SUBNAT.R","CY2022Q4",$M1874),"")</f>
        <v>[lPTyjLi4w3d]|15-24|Male|PopART.Rt.T_1|CY2023Q3</v>
      </c>
    </row>
    <row r="1875" customFormat="false" ht="15" hidden="false" customHeight="false" outlineLevel="0" collapsed="false">
      <c r="D1875" s="0" t="s">
        <v>117</v>
      </c>
      <c r="E1875" s="0" t="s">
        <v>118</v>
      </c>
      <c r="F1875" s="0" t="s">
        <v>119</v>
      </c>
      <c r="G1875" s="0" t="s">
        <v>145</v>
      </c>
      <c r="H1875" s="0" t="s">
        <v>145</v>
      </c>
      <c r="I1875" s="0" t="s">
        <v>41</v>
      </c>
      <c r="J1875" s="0" t="s">
        <v>42</v>
      </c>
      <c r="K1875" s="0" t="s">
        <v>48</v>
      </c>
      <c r="L1875" s="0" t="s">
        <v>49</v>
      </c>
      <c r="M1875" s="0" t="s">
        <v>140</v>
      </c>
      <c r="N1875" s="0" t="n">
        <v>1048</v>
      </c>
      <c r="O1875" s="10" t="n">
        <v>0.931328488746658</v>
      </c>
      <c r="P1875" s="10" t="n">
        <v>0.206259709550068</v>
      </c>
      <c r="Q1875" s="0" t="str">
        <f aca="false">SUBSTITUTE(SUBSTITUTE($I1875,CHAR(61),""),CHAR(34),"")</f>
        <v>25-34</v>
      </c>
      <c r="R1875" s="0" t="str">
        <f aca="false">IF($D1875&lt;&gt;"","["&amp;$E1875&amp;"]"&amp;"|"&amp;$Q1875&amp;"|"&amp;$K1875&amp;"|"&amp;$G1875&amp;"|"&amp;IF($G1875="TX_CURR_SUBNAT.R","CY2022Q4",$M1875),"")</f>
        <v>[lPTyjLi4w3d]|25-34|Male|PopART.Rt.T_1|CY2023Q3</v>
      </c>
    </row>
    <row r="1876" customFormat="false" ht="15" hidden="false" customHeight="false" outlineLevel="0" collapsed="false">
      <c r="D1876" s="0" t="s">
        <v>117</v>
      </c>
      <c r="E1876" s="0" t="s">
        <v>118</v>
      </c>
      <c r="F1876" s="0" t="s">
        <v>119</v>
      </c>
      <c r="G1876" s="0" t="s">
        <v>145</v>
      </c>
      <c r="H1876" s="0" t="s">
        <v>145</v>
      </c>
      <c r="I1876" s="0" t="s">
        <v>43</v>
      </c>
      <c r="J1876" s="0" t="s">
        <v>44</v>
      </c>
      <c r="K1876" s="0" t="s">
        <v>48</v>
      </c>
      <c r="L1876" s="0" t="s">
        <v>49</v>
      </c>
      <c r="M1876" s="0" t="s">
        <v>140</v>
      </c>
      <c r="N1876" s="0" t="n">
        <v>1836</v>
      </c>
      <c r="O1876" s="10" t="n">
        <v>0.383029598509893</v>
      </c>
      <c r="P1876" s="10" t="n">
        <v>0.206259709550068</v>
      </c>
      <c r="Q1876" s="0" t="str">
        <f aca="false">SUBSTITUTE(SUBSTITUTE($I1876,CHAR(61),""),CHAR(34),"")</f>
        <v>35-49</v>
      </c>
      <c r="R1876" s="0" t="str">
        <f aca="false">IF($D1876&lt;&gt;"","["&amp;$E1876&amp;"]"&amp;"|"&amp;$Q1876&amp;"|"&amp;$K1876&amp;"|"&amp;$G1876&amp;"|"&amp;IF($G1876="TX_CURR_SUBNAT.R","CY2022Q4",$M1876),"")</f>
        <v>[lPTyjLi4w3d]|35-49|Male|PopART.Rt.T_1|CY2023Q3</v>
      </c>
    </row>
    <row r="1877" customFormat="false" ht="15" hidden="false" customHeight="false" outlineLevel="0" collapsed="false">
      <c r="D1877" s="0" t="s">
        <v>117</v>
      </c>
      <c r="E1877" s="0" t="s">
        <v>118</v>
      </c>
      <c r="F1877" s="0" t="s">
        <v>119</v>
      </c>
      <c r="G1877" s="0" t="s">
        <v>145</v>
      </c>
      <c r="H1877" s="0" t="s">
        <v>145</v>
      </c>
      <c r="I1877" s="0" t="s">
        <v>45</v>
      </c>
      <c r="J1877" s="0" t="s">
        <v>46</v>
      </c>
      <c r="K1877" s="0" t="s">
        <v>48</v>
      </c>
      <c r="L1877" s="0" t="s">
        <v>49</v>
      </c>
      <c r="M1877" s="0" t="s">
        <v>140</v>
      </c>
      <c r="N1877" s="0" t="n">
        <v>1898</v>
      </c>
      <c r="O1877" s="10" t="n">
        <v>0.187146584736183</v>
      </c>
      <c r="P1877" s="10" t="n">
        <v>0.206259709550068</v>
      </c>
      <c r="Q1877" s="0" t="str">
        <f aca="false">SUBSTITUTE(SUBSTITUTE($I1877,CHAR(61),""),CHAR(34),"")</f>
        <v>50+</v>
      </c>
      <c r="R1877" s="0" t="str">
        <f aca="false">IF($D1877&lt;&gt;"","["&amp;$E1877&amp;"]"&amp;"|"&amp;$Q1877&amp;"|"&amp;$K1877&amp;"|"&amp;$G1877&amp;"|"&amp;IF($G1877="TX_CURR_SUBNAT.R","CY2022Q4",$M1877),"")</f>
        <v>[lPTyjLi4w3d]|50+|Male|PopART.Rt.T_1|CY2023Q3</v>
      </c>
    </row>
    <row r="1878" customFormat="false" ht="15" hidden="false" customHeight="false" outlineLevel="0" collapsed="false">
      <c r="D1878" s="0" t="s">
        <v>120</v>
      </c>
      <c r="E1878" s="0" t="s">
        <v>121</v>
      </c>
      <c r="F1878" s="0" t="s">
        <v>122</v>
      </c>
      <c r="G1878" s="0" t="s">
        <v>145</v>
      </c>
      <c r="H1878" s="0" t="s">
        <v>145</v>
      </c>
      <c r="I1878" s="0" t="s">
        <v>28</v>
      </c>
      <c r="J1878" s="0" t="s">
        <v>29</v>
      </c>
      <c r="K1878" s="0" t="s">
        <v>30</v>
      </c>
      <c r="L1878" s="0" t="s">
        <v>31</v>
      </c>
      <c r="M1878" s="0" t="s">
        <v>140</v>
      </c>
      <c r="N1878" s="0" t="n">
        <v>1980</v>
      </c>
      <c r="O1878" s="10" t="n">
        <v>0.187092561507598</v>
      </c>
      <c r="P1878" s="10" t="n">
        <v>0.430103979306296</v>
      </c>
      <c r="Q1878" s="0" t="str">
        <f aca="false">SUBSTITUTE(SUBSTITUTE($I1878,CHAR(61),""),CHAR(34),"")</f>
        <v>&lt;01</v>
      </c>
      <c r="R1878" s="0" t="str">
        <f aca="false">IF($D1878&lt;&gt;"","["&amp;$E1878&amp;"]"&amp;"|"&amp;$Q1878&amp;"|"&amp;$K1878&amp;"|"&amp;$G1878&amp;"|"&amp;IF($G1878="TX_CURR_SUBNAT.R","CY2022Q4",$M1878),"")</f>
        <v>[vA4NcHxfMBq]|&lt;01|Female|PopART.Rt.T_1|CY2023Q3</v>
      </c>
    </row>
    <row r="1879" customFormat="false" ht="15" hidden="false" customHeight="false" outlineLevel="0" collapsed="false">
      <c r="D1879" s="0" t="s">
        <v>120</v>
      </c>
      <c r="E1879" s="0" t="s">
        <v>121</v>
      </c>
      <c r="F1879" s="0" t="s">
        <v>122</v>
      </c>
      <c r="G1879" s="0" t="s">
        <v>145</v>
      </c>
      <c r="H1879" s="0" t="s">
        <v>145</v>
      </c>
      <c r="I1879" s="0" t="s">
        <v>33</v>
      </c>
      <c r="J1879" s="0" t="s">
        <v>34</v>
      </c>
      <c r="K1879" s="0" t="s">
        <v>30</v>
      </c>
      <c r="L1879" s="0" t="s">
        <v>31</v>
      </c>
      <c r="M1879" s="0" t="s">
        <v>140</v>
      </c>
      <c r="N1879" s="0" t="n">
        <v>1961</v>
      </c>
      <c r="O1879" s="10" t="n">
        <v>0.776532456511632</v>
      </c>
      <c r="P1879" s="10" t="n">
        <v>0.430103979306296</v>
      </c>
      <c r="Q1879" s="0" t="str">
        <f aca="false">SUBSTITUTE(SUBSTITUTE($I1879,CHAR(61),""),CHAR(34),"")</f>
        <v>01-09</v>
      </c>
      <c r="R1879" s="0" t="str">
        <f aca="false">IF($D1879&lt;&gt;"","["&amp;$E1879&amp;"]"&amp;"|"&amp;$Q1879&amp;"|"&amp;$K1879&amp;"|"&amp;$G1879&amp;"|"&amp;IF($G1879="TX_CURR_SUBNAT.R","CY2022Q4",$M1879),"")</f>
        <v>[vA4NcHxfMBq]|01-09|Female|PopART.Rt.T_1|CY2023Q3</v>
      </c>
    </row>
    <row r="1880" customFormat="false" ht="15" hidden="false" customHeight="false" outlineLevel="0" collapsed="false">
      <c r="D1880" s="0" t="s">
        <v>120</v>
      </c>
      <c r="E1880" s="0" t="s">
        <v>121</v>
      </c>
      <c r="F1880" s="0" t="s">
        <v>122</v>
      </c>
      <c r="G1880" s="0" t="s">
        <v>145</v>
      </c>
      <c r="H1880" s="0" t="s">
        <v>145</v>
      </c>
      <c r="I1880" s="0" t="s">
        <v>36</v>
      </c>
      <c r="J1880" s="0" t="s">
        <v>37</v>
      </c>
      <c r="K1880" s="0" t="s">
        <v>30</v>
      </c>
      <c r="L1880" s="0" t="s">
        <v>31</v>
      </c>
      <c r="M1880" s="0" t="s">
        <v>140</v>
      </c>
      <c r="N1880" s="0" t="n">
        <v>1946</v>
      </c>
      <c r="O1880" s="10" t="n">
        <v>0.0177698498591781</v>
      </c>
      <c r="P1880" s="10" t="n">
        <v>0.430103979306296</v>
      </c>
      <c r="Q1880" s="0" t="str">
        <f aca="false">SUBSTITUTE(SUBSTITUTE($I1880,CHAR(61),""),CHAR(34),"")</f>
        <v>10-14</v>
      </c>
      <c r="R1880" s="0" t="str">
        <f aca="false">IF($D1880&lt;&gt;"","["&amp;$E1880&amp;"]"&amp;"|"&amp;$Q1880&amp;"|"&amp;$K1880&amp;"|"&amp;$G1880&amp;"|"&amp;IF($G1880="TX_CURR_SUBNAT.R","CY2022Q4",$M1880),"")</f>
        <v>[vA4NcHxfMBq]|10-14|Female|PopART.Rt.T_1|CY2023Q3</v>
      </c>
    </row>
    <row r="1881" customFormat="false" ht="15" hidden="false" customHeight="false" outlineLevel="0" collapsed="false">
      <c r="D1881" s="0" t="s">
        <v>120</v>
      </c>
      <c r="E1881" s="0" t="s">
        <v>121</v>
      </c>
      <c r="F1881" s="0" t="s">
        <v>122</v>
      </c>
      <c r="G1881" s="0" t="s">
        <v>145</v>
      </c>
      <c r="H1881" s="0" t="s">
        <v>145</v>
      </c>
      <c r="I1881" s="0" t="s">
        <v>38</v>
      </c>
      <c r="J1881" s="0" t="s">
        <v>39</v>
      </c>
      <c r="K1881" s="0" t="s">
        <v>30</v>
      </c>
      <c r="L1881" s="0" t="s">
        <v>31</v>
      </c>
      <c r="M1881" s="0" t="s">
        <v>140</v>
      </c>
      <c r="N1881" s="0" t="n">
        <v>765</v>
      </c>
      <c r="O1881" s="10" t="n">
        <v>0.546615068102255</v>
      </c>
      <c r="P1881" s="10" t="n">
        <v>0.430103979306296</v>
      </c>
      <c r="Q1881" s="0" t="str">
        <f aca="false">SUBSTITUTE(SUBSTITUTE($I1881,CHAR(61),""),CHAR(34),"")</f>
        <v>15-24</v>
      </c>
      <c r="R1881" s="0" t="str">
        <f aca="false">IF($D1881&lt;&gt;"","["&amp;$E1881&amp;"]"&amp;"|"&amp;$Q1881&amp;"|"&amp;$K1881&amp;"|"&amp;$G1881&amp;"|"&amp;IF($G1881="TX_CURR_SUBNAT.R","CY2022Q4",$M1881),"")</f>
        <v>[vA4NcHxfMBq]|15-24|Female|PopART.Rt.T_1|CY2023Q3</v>
      </c>
    </row>
    <row r="1882" customFormat="false" ht="15" hidden="false" customHeight="false" outlineLevel="0" collapsed="false">
      <c r="D1882" s="0" t="s">
        <v>120</v>
      </c>
      <c r="E1882" s="0" t="s">
        <v>121</v>
      </c>
      <c r="F1882" s="0" t="s">
        <v>122</v>
      </c>
      <c r="G1882" s="0" t="s">
        <v>145</v>
      </c>
      <c r="H1882" s="0" t="s">
        <v>145</v>
      </c>
      <c r="I1882" s="0" t="s">
        <v>41</v>
      </c>
      <c r="J1882" s="0" t="s">
        <v>42</v>
      </c>
      <c r="K1882" s="0" t="s">
        <v>30</v>
      </c>
      <c r="L1882" s="0" t="s">
        <v>31</v>
      </c>
      <c r="M1882" s="0" t="s">
        <v>140</v>
      </c>
      <c r="N1882" s="0" t="n">
        <v>1569</v>
      </c>
      <c r="O1882" s="10" t="n">
        <v>0.864395897602662</v>
      </c>
      <c r="P1882" s="10" t="n">
        <v>0.430103979306296</v>
      </c>
      <c r="Q1882" s="0" t="str">
        <f aca="false">SUBSTITUTE(SUBSTITUTE($I1882,CHAR(61),""),CHAR(34),"")</f>
        <v>25-34</v>
      </c>
      <c r="R1882" s="0" t="str">
        <f aca="false">IF($D1882&lt;&gt;"","["&amp;$E1882&amp;"]"&amp;"|"&amp;$Q1882&amp;"|"&amp;$K1882&amp;"|"&amp;$G1882&amp;"|"&amp;IF($G1882="TX_CURR_SUBNAT.R","CY2022Q4",$M1882),"")</f>
        <v>[vA4NcHxfMBq]|25-34|Female|PopART.Rt.T_1|CY2023Q3</v>
      </c>
    </row>
    <row r="1883" customFormat="false" ht="15" hidden="false" customHeight="false" outlineLevel="0" collapsed="false">
      <c r="D1883" s="0" t="s">
        <v>120</v>
      </c>
      <c r="E1883" s="0" t="s">
        <v>121</v>
      </c>
      <c r="F1883" s="0" t="s">
        <v>122</v>
      </c>
      <c r="G1883" s="0" t="s">
        <v>145</v>
      </c>
      <c r="H1883" s="0" t="s">
        <v>145</v>
      </c>
      <c r="I1883" s="0" t="s">
        <v>43</v>
      </c>
      <c r="J1883" s="0" t="s">
        <v>44</v>
      </c>
      <c r="K1883" s="0" t="s">
        <v>30</v>
      </c>
      <c r="L1883" s="0" t="s">
        <v>31</v>
      </c>
      <c r="M1883" s="0" t="s">
        <v>140</v>
      </c>
      <c r="N1883" s="0" t="n">
        <v>918</v>
      </c>
      <c r="O1883" s="10" t="n">
        <v>0.767234724247828</v>
      </c>
      <c r="P1883" s="10" t="n">
        <v>0.430103979306296</v>
      </c>
      <c r="Q1883" s="0" t="str">
        <f aca="false">SUBSTITUTE(SUBSTITUTE($I1883,CHAR(61),""),CHAR(34),"")</f>
        <v>35-49</v>
      </c>
      <c r="R1883" s="0" t="str">
        <f aca="false">IF($D1883&lt;&gt;"","["&amp;$E1883&amp;"]"&amp;"|"&amp;$Q1883&amp;"|"&amp;$K1883&amp;"|"&amp;$G1883&amp;"|"&amp;IF($G1883="TX_CURR_SUBNAT.R","CY2022Q4",$M1883),"")</f>
        <v>[vA4NcHxfMBq]|35-49|Female|PopART.Rt.T_1|CY2023Q3</v>
      </c>
    </row>
    <row r="1884" customFormat="false" ht="15" hidden="false" customHeight="false" outlineLevel="0" collapsed="false">
      <c r="D1884" s="0" t="s">
        <v>120</v>
      </c>
      <c r="E1884" s="0" t="s">
        <v>121</v>
      </c>
      <c r="F1884" s="0" t="s">
        <v>122</v>
      </c>
      <c r="G1884" s="0" t="s">
        <v>145</v>
      </c>
      <c r="H1884" s="0" t="s">
        <v>145</v>
      </c>
      <c r="I1884" s="0" t="s">
        <v>45</v>
      </c>
      <c r="J1884" s="0" t="s">
        <v>46</v>
      </c>
      <c r="K1884" s="0" t="s">
        <v>30</v>
      </c>
      <c r="L1884" s="0" t="s">
        <v>31</v>
      </c>
      <c r="M1884" s="0" t="s">
        <v>140</v>
      </c>
      <c r="N1884" s="0" t="n">
        <v>1687</v>
      </c>
      <c r="O1884" s="10" t="n">
        <v>0.44353993027471</v>
      </c>
      <c r="P1884" s="10" t="n">
        <v>0.430103979306296</v>
      </c>
      <c r="Q1884" s="0" t="str">
        <f aca="false">SUBSTITUTE(SUBSTITUTE($I1884,CHAR(61),""),CHAR(34),"")</f>
        <v>50+</v>
      </c>
      <c r="R1884" s="0" t="str">
        <f aca="false">IF($D1884&lt;&gt;"","["&amp;$E1884&amp;"]"&amp;"|"&amp;$Q1884&amp;"|"&amp;$K1884&amp;"|"&amp;$G1884&amp;"|"&amp;IF($G1884="TX_CURR_SUBNAT.R","CY2022Q4",$M1884),"")</f>
        <v>[vA4NcHxfMBq]|50+|Female|PopART.Rt.T_1|CY2023Q3</v>
      </c>
    </row>
    <row r="1885" customFormat="false" ht="15" hidden="false" customHeight="false" outlineLevel="0" collapsed="false">
      <c r="D1885" s="0" t="s">
        <v>120</v>
      </c>
      <c r="E1885" s="0" t="s">
        <v>121</v>
      </c>
      <c r="F1885" s="0" t="s">
        <v>122</v>
      </c>
      <c r="G1885" s="0" t="s">
        <v>145</v>
      </c>
      <c r="H1885" s="0" t="s">
        <v>145</v>
      </c>
      <c r="I1885" s="0" t="s">
        <v>28</v>
      </c>
      <c r="J1885" s="0" t="s">
        <v>29</v>
      </c>
      <c r="K1885" s="0" t="s">
        <v>48</v>
      </c>
      <c r="L1885" s="0" t="s">
        <v>49</v>
      </c>
      <c r="M1885" s="0" t="s">
        <v>140</v>
      </c>
      <c r="N1885" s="0" t="n">
        <v>1336</v>
      </c>
      <c r="O1885" s="10" t="n">
        <v>0.230157327372581</v>
      </c>
      <c r="P1885" s="10" t="n">
        <v>0.430103979306296</v>
      </c>
      <c r="Q1885" s="0" t="str">
        <f aca="false">SUBSTITUTE(SUBSTITUTE($I1885,CHAR(61),""),CHAR(34),"")</f>
        <v>&lt;01</v>
      </c>
      <c r="R1885" s="0" t="str">
        <f aca="false">IF($D1885&lt;&gt;"","["&amp;$E1885&amp;"]"&amp;"|"&amp;$Q1885&amp;"|"&amp;$K1885&amp;"|"&amp;$G1885&amp;"|"&amp;IF($G1885="TX_CURR_SUBNAT.R","CY2022Q4",$M1885),"")</f>
        <v>[vA4NcHxfMBq]|&lt;01|Male|PopART.Rt.T_1|CY2023Q3</v>
      </c>
    </row>
    <row r="1886" customFormat="false" ht="15" hidden="false" customHeight="false" outlineLevel="0" collapsed="false">
      <c r="D1886" s="0" t="s">
        <v>120</v>
      </c>
      <c r="E1886" s="0" t="s">
        <v>121</v>
      </c>
      <c r="F1886" s="0" t="s">
        <v>122</v>
      </c>
      <c r="G1886" s="0" t="s">
        <v>145</v>
      </c>
      <c r="H1886" s="0" t="s">
        <v>145</v>
      </c>
      <c r="I1886" s="0" t="s">
        <v>33</v>
      </c>
      <c r="J1886" s="0" t="s">
        <v>34</v>
      </c>
      <c r="K1886" s="0" t="s">
        <v>48</v>
      </c>
      <c r="L1886" s="0" t="s">
        <v>49</v>
      </c>
      <c r="M1886" s="0" t="s">
        <v>140</v>
      </c>
      <c r="N1886" s="0" t="n">
        <v>996</v>
      </c>
      <c r="O1886" s="10" t="n">
        <v>0.151072445092723</v>
      </c>
      <c r="P1886" s="10" t="n">
        <v>0.430103979306296</v>
      </c>
      <c r="Q1886" s="0" t="str">
        <f aca="false">SUBSTITUTE(SUBSTITUTE($I1886,CHAR(61),""),CHAR(34),"")</f>
        <v>01-09</v>
      </c>
      <c r="R1886" s="0" t="str">
        <f aca="false">IF($D1886&lt;&gt;"","["&amp;$E1886&amp;"]"&amp;"|"&amp;$Q1886&amp;"|"&amp;$K1886&amp;"|"&amp;$G1886&amp;"|"&amp;IF($G1886="TX_CURR_SUBNAT.R","CY2022Q4",$M1886),"")</f>
        <v>[vA4NcHxfMBq]|01-09|Male|PopART.Rt.T_1|CY2023Q3</v>
      </c>
    </row>
    <row r="1887" customFormat="false" ht="15" hidden="false" customHeight="false" outlineLevel="0" collapsed="false">
      <c r="D1887" s="0" t="s">
        <v>120</v>
      </c>
      <c r="E1887" s="0" t="s">
        <v>121</v>
      </c>
      <c r="F1887" s="0" t="s">
        <v>122</v>
      </c>
      <c r="G1887" s="0" t="s">
        <v>145</v>
      </c>
      <c r="H1887" s="0" t="s">
        <v>145</v>
      </c>
      <c r="I1887" s="0" t="s">
        <v>36</v>
      </c>
      <c r="J1887" s="0" t="s">
        <v>37</v>
      </c>
      <c r="K1887" s="0" t="s">
        <v>48</v>
      </c>
      <c r="L1887" s="0" t="s">
        <v>49</v>
      </c>
      <c r="M1887" s="0" t="s">
        <v>140</v>
      </c>
      <c r="N1887" s="0" t="n">
        <v>802</v>
      </c>
      <c r="O1887" s="10" t="n">
        <v>0.691533986944705</v>
      </c>
      <c r="P1887" s="10" t="n">
        <v>0.430103979306296</v>
      </c>
      <c r="Q1887" s="0" t="str">
        <f aca="false">SUBSTITUTE(SUBSTITUTE($I1887,CHAR(61),""),CHAR(34),"")</f>
        <v>10-14</v>
      </c>
      <c r="R1887" s="0" t="str">
        <f aca="false">IF($D1887&lt;&gt;"","["&amp;$E1887&amp;"]"&amp;"|"&amp;$Q1887&amp;"|"&amp;$K1887&amp;"|"&amp;$G1887&amp;"|"&amp;IF($G1887="TX_CURR_SUBNAT.R","CY2022Q4",$M1887),"")</f>
        <v>[vA4NcHxfMBq]|10-14|Male|PopART.Rt.T_1|CY2023Q3</v>
      </c>
    </row>
    <row r="1888" customFormat="false" ht="15" hidden="false" customHeight="false" outlineLevel="0" collapsed="false">
      <c r="D1888" s="0" t="s">
        <v>120</v>
      </c>
      <c r="E1888" s="0" t="s">
        <v>121</v>
      </c>
      <c r="F1888" s="0" t="s">
        <v>122</v>
      </c>
      <c r="G1888" s="0" t="s">
        <v>145</v>
      </c>
      <c r="H1888" s="0" t="s">
        <v>145</v>
      </c>
      <c r="I1888" s="0" t="s">
        <v>38</v>
      </c>
      <c r="J1888" s="0" t="s">
        <v>39</v>
      </c>
      <c r="K1888" s="0" t="s">
        <v>48</v>
      </c>
      <c r="L1888" s="0" t="s">
        <v>49</v>
      </c>
      <c r="M1888" s="0" t="s">
        <v>140</v>
      </c>
      <c r="N1888" s="0" t="n">
        <v>1946</v>
      </c>
      <c r="O1888" s="10" t="n">
        <v>0.906329991994426</v>
      </c>
      <c r="P1888" s="10" t="n">
        <v>0.430103979306296</v>
      </c>
      <c r="Q1888" s="0" t="str">
        <f aca="false">SUBSTITUTE(SUBSTITUTE($I1888,CHAR(61),""),CHAR(34),"")</f>
        <v>15-24</v>
      </c>
      <c r="R1888" s="0" t="str">
        <f aca="false">IF($D1888&lt;&gt;"","["&amp;$E1888&amp;"]"&amp;"|"&amp;$Q1888&amp;"|"&amp;$K1888&amp;"|"&amp;$G1888&amp;"|"&amp;IF($G1888="TX_CURR_SUBNAT.R","CY2022Q4",$M1888),"")</f>
        <v>[vA4NcHxfMBq]|15-24|Male|PopART.Rt.T_1|CY2023Q3</v>
      </c>
    </row>
    <row r="1889" customFormat="false" ht="15" hidden="false" customHeight="false" outlineLevel="0" collapsed="false">
      <c r="D1889" s="0" t="s">
        <v>120</v>
      </c>
      <c r="E1889" s="0" t="s">
        <v>121</v>
      </c>
      <c r="F1889" s="0" t="s">
        <v>122</v>
      </c>
      <c r="G1889" s="0" t="s">
        <v>145</v>
      </c>
      <c r="H1889" s="0" t="s">
        <v>145</v>
      </c>
      <c r="I1889" s="0" t="s">
        <v>41</v>
      </c>
      <c r="J1889" s="0" t="s">
        <v>42</v>
      </c>
      <c r="K1889" s="0" t="s">
        <v>48</v>
      </c>
      <c r="L1889" s="0" t="s">
        <v>49</v>
      </c>
      <c r="M1889" s="0" t="s">
        <v>140</v>
      </c>
      <c r="N1889" s="0" t="n">
        <v>1023</v>
      </c>
      <c r="O1889" s="10" t="n">
        <v>0.827305407729</v>
      </c>
      <c r="P1889" s="10" t="n">
        <v>0.430103979306296</v>
      </c>
      <c r="Q1889" s="0" t="str">
        <f aca="false">SUBSTITUTE(SUBSTITUTE($I1889,CHAR(61),""),CHAR(34),"")</f>
        <v>25-34</v>
      </c>
      <c r="R1889" s="0" t="str">
        <f aca="false">IF($D1889&lt;&gt;"","["&amp;$E1889&amp;"]"&amp;"|"&amp;$Q1889&amp;"|"&amp;$K1889&amp;"|"&amp;$G1889&amp;"|"&amp;IF($G1889="TX_CURR_SUBNAT.R","CY2022Q4",$M1889),"")</f>
        <v>[vA4NcHxfMBq]|25-34|Male|PopART.Rt.T_1|CY2023Q3</v>
      </c>
    </row>
    <row r="1890" customFormat="false" ht="15" hidden="false" customHeight="false" outlineLevel="0" collapsed="false">
      <c r="D1890" s="0" t="s">
        <v>120</v>
      </c>
      <c r="E1890" s="0" t="s">
        <v>121</v>
      </c>
      <c r="F1890" s="0" t="s">
        <v>122</v>
      </c>
      <c r="G1890" s="0" t="s">
        <v>145</v>
      </c>
      <c r="H1890" s="0" t="s">
        <v>145</v>
      </c>
      <c r="I1890" s="0" t="s">
        <v>43</v>
      </c>
      <c r="J1890" s="0" t="s">
        <v>44</v>
      </c>
      <c r="K1890" s="0" t="s">
        <v>48</v>
      </c>
      <c r="L1890" s="0" t="s">
        <v>49</v>
      </c>
      <c r="M1890" s="0" t="s">
        <v>140</v>
      </c>
      <c r="N1890" s="0" t="n">
        <v>1021</v>
      </c>
      <c r="O1890" s="10" t="n">
        <v>0.396629387279972</v>
      </c>
      <c r="P1890" s="10" t="n">
        <v>0.430103979306296</v>
      </c>
      <c r="Q1890" s="0" t="str">
        <f aca="false">SUBSTITUTE(SUBSTITUTE($I1890,CHAR(61),""),CHAR(34),"")</f>
        <v>35-49</v>
      </c>
      <c r="R1890" s="0" t="str">
        <f aca="false">IF($D1890&lt;&gt;"","["&amp;$E1890&amp;"]"&amp;"|"&amp;$Q1890&amp;"|"&amp;$K1890&amp;"|"&amp;$G1890&amp;"|"&amp;IF($G1890="TX_CURR_SUBNAT.R","CY2022Q4",$M1890),"")</f>
        <v>[vA4NcHxfMBq]|35-49|Male|PopART.Rt.T_1|CY2023Q3</v>
      </c>
    </row>
    <row r="1891" customFormat="false" ht="15" hidden="false" customHeight="false" outlineLevel="0" collapsed="false">
      <c r="D1891" s="0" t="s">
        <v>120</v>
      </c>
      <c r="E1891" s="0" t="s">
        <v>121</v>
      </c>
      <c r="F1891" s="0" t="s">
        <v>122</v>
      </c>
      <c r="G1891" s="0" t="s">
        <v>145</v>
      </c>
      <c r="H1891" s="0" t="s">
        <v>145</v>
      </c>
      <c r="I1891" s="0" t="s">
        <v>45</v>
      </c>
      <c r="J1891" s="0" t="s">
        <v>46</v>
      </c>
      <c r="K1891" s="0" t="s">
        <v>48</v>
      </c>
      <c r="L1891" s="0" t="s">
        <v>49</v>
      </c>
      <c r="M1891" s="0" t="s">
        <v>140</v>
      </c>
      <c r="N1891" s="0" t="n">
        <v>1119</v>
      </c>
      <c r="O1891" s="10" t="n">
        <v>0.0224828857462853</v>
      </c>
      <c r="P1891" s="10" t="n">
        <v>0.430103979306296</v>
      </c>
      <c r="Q1891" s="0" t="str">
        <f aca="false">SUBSTITUTE(SUBSTITUTE($I1891,CHAR(61),""),CHAR(34),"")</f>
        <v>50+</v>
      </c>
      <c r="R1891" s="0" t="str">
        <f aca="false">IF($D1891&lt;&gt;"","["&amp;$E1891&amp;"]"&amp;"|"&amp;$Q1891&amp;"|"&amp;$K1891&amp;"|"&amp;$G1891&amp;"|"&amp;IF($G1891="TX_CURR_SUBNAT.R","CY2022Q4",$M1891),"")</f>
        <v>[vA4NcHxfMBq]|50+|Male|PopART.Rt.T_1|CY2023Q3</v>
      </c>
    </row>
    <row r="1892" customFormat="false" ht="15" hidden="false" customHeight="false" outlineLevel="0" collapsed="false">
      <c r="D1892" s="0" t="s">
        <v>123</v>
      </c>
      <c r="E1892" s="0" t="s">
        <v>124</v>
      </c>
      <c r="F1892" s="0" t="s">
        <v>125</v>
      </c>
      <c r="G1892" s="0" t="s">
        <v>145</v>
      </c>
      <c r="H1892" s="0" t="s">
        <v>145</v>
      </c>
      <c r="I1892" s="0" t="s">
        <v>28</v>
      </c>
      <c r="J1892" s="0" t="s">
        <v>29</v>
      </c>
      <c r="K1892" s="0" t="s">
        <v>30</v>
      </c>
      <c r="L1892" s="0" t="s">
        <v>31</v>
      </c>
      <c r="M1892" s="0" t="s">
        <v>140</v>
      </c>
      <c r="N1892" s="0" t="n">
        <v>1328</v>
      </c>
      <c r="O1892" s="10" t="n">
        <v>0.256378637626767</v>
      </c>
      <c r="P1892" s="10" t="n">
        <v>0.419500603340566</v>
      </c>
      <c r="Q1892" s="0" t="str">
        <f aca="false">SUBSTITUTE(SUBSTITUTE($I1892,CHAR(61),""),CHAR(34),"")</f>
        <v>&lt;01</v>
      </c>
      <c r="R1892" s="0" t="str">
        <f aca="false">IF($D1892&lt;&gt;"","["&amp;$E1892&amp;"]"&amp;"|"&amp;$Q1892&amp;"|"&amp;$K1892&amp;"|"&amp;$G1892&amp;"|"&amp;IF($G1892="TX_CURR_SUBNAT.R","CY2022Q4",$M1892),"")</f>
        <v>[E7zpfyBt7Tw]|&lt;01|Female|PopART.Rt.T_1|CY2023Q3</v>
      </c>
    </row>
    <row r="1893" customFormat="false" ht="15" hidden="false" customHeight="false" outlineLevel="0" collapsed="false">
      <c r="D1893" s="0" t="s">
        <v>123</v>
      </c>
      <c r="E1893" s="0" t="s">
        <v>124</v>
      </c>
      <c r="F1893" s="0" t="s">
        <v>125</v>
      </c>
      <c r="G1893" s="0" t="s">
        <v>145</v>
      </c>
      <c r="H1893" s="0" t="s">
        <v>145</v>
      </c>
      <c r="I1893" s="0" t="s">
        <v>33</v>
      </c>
      <c r="J1893" s="0" t="s">
        <v>34</v>
      </c>
      <c r="K1893" s="0" t="s">
        <v>30</v>
      </c>
      <c r="L1893" s="0" t="s">
        <v>31</v>
      </c>
      <c r="M1893" s="0" t="s">
        <v>140</v>
      </c>
      <c r="N1893" s="0" t="n">
        <v>675</v>
      </c>
      <c r="O1893" s="10" t="n">
        <v>0.625715639442205</v>
      </c>
      <c r="P1893" s="10" t="n">
        <v>0.419500603340566</v>
      </c>
      <c r="Q1893" s="0" t="str">
        <f aca="false">SUBSTITUTE(SUBSTITUTE($I1893,CHAR(61),""),CHAR(34),"")</f>
        <v>01-09</v>
      </c>
      <c r="R1893" s="0" t="str">
        <f aca="false">IF($D1893&lt;&gt;"","["&amp;$E1893&amp;"]"&amp;"|"&amp;$Q1893&amp;"|"&amp;$K1893&amp;"|"&amp;$G1893&amp;"|"&amp;IF($G1893="TX_CURR_SUBNAT.R","CY2022Q4",$M1893),"")</f>
        <v>[E7zpfyBt7Tw]|01-09|Female|PopART.Rt.T_1|CY2023Q3</v>
      </c>
    </row>
    <row r="1894" customFormat="false" ht="15" hidden="false" customHeight="false" outlineLevel="0" collapsed="false">
      <c r="D1894" s="0" t="s">
        <v>123</v>
      </c>
      <c r="E1894" s="0" t="s">
        <v>124</v>
      </c>
      <c r="F1894" s="0" t="s">
        <v>125</v>
      </c>
      <c r="G1894" s="0" t="s">
        <v>145</v>
      </c>
      <c r="H1894" s="0" t="s">
        <v>145</v>
      </c>
      <c r="I1894" s="0" t="s">
        <v>36</v>
      </c>
      <c r="J1894" s="0" t="s">
        <v>37</v>
      </c>
      <c r="K1894" s="0" t="s">
        <v>30</v>
      </c>
      <c r="L1894" s="0" t="s">
        <v>31</v>
      </c>
      <c r="M1894" s="0" t="s">
        <v>140</v>
      </c>
      <c r="N1894" s="0" t="n">
        <v>1348</v>
      </c>
      <c r="O1894" s="10" t="n">
        <v>0.873662919504568</v>
      </c>
      <c r="P1894" s="10" t="n">
        <v>0.419500603340566</v>
      </c>
      <c r="Q1894" s="0" t="str">
        <f aca="false">SUBSTITUTE(SUBSTITUTE($I1894,CHAR(61),""),CHAR(34),"")</f>
        <v>10-14</v>
      </c>
      <c r="R1894" s="0" t="str">
        <f aca="false">IF($D1894&lt;&gt;"","["&amp;$E1894&amp;"]"&amp;"|"&amp;$Q1894&amp;"|"&amp;$K1894&amp;"|"&amp;$G1894&amp;"|"&amp;IF($G1894="TX_CURR_SUBNAT.R","CY2022Q4",$M1894),"")</f>
        <v>[E7zpfyBt7Tw]|10-14|Female|PopART.Rt.T_1|CY2023Q3</v>
      </c>
    </row>
    <row r="1895" customFormat="false" ht="15" hidden="false" customHeight="false" outlineLevel="0" collapsed="false">
      <c r="D1895" s="0" t="s">
        <v>123</v>
      </c>
      <c r="E1895" s="0" t="s">
        <v>124</v>
      </c>
      <c r="F1895" s="0" t="s">
        <v>125</v>
      </c>
      <c r="G1895" s="0" t="s">
        <v>145</v>
      </c>
      <c r="H1895" s="0" t="s">
        <v>145</v>
      </c>
      <c r="I1895" s="0" t="s">
        <v>38</v>
      </c>
      <c r="J1895" s="0" t="s">
        <v>39</v>
      </c>
      <c r="K1895" s="0" t="s">
        <v>30</v>
      </c>
      <c r="L1895" s="0" t="s">
        <v>31</v>
      </c>
      <c r="M1895" s="0" t="s">
        <v>140</v>
      </c>
      <c r="N1895" s="0" t="n">
        <v>1731</v>
      </c>
      <c r="O1895" s="10" t="n">
        <v>0.616506311111152</v>
      </c>
      <c r="P1895" s="10" t="n">
        <v>0.419500603340566</v>
      </c>
      <c r="Q1895" s="0" t="str">
        <f aca="false">SUBSTITUTE(SUBSTITUTE($I1895,CHAR(61),""),CHAR(34),"")</f>
        <v>15-24</v>
      </c>
      <c r="R1895" s="0" t="str">
        <f aca="false">IF($D1895&lt;&gt;"","["&amp;$E1895&amp;"]"&amp;"|"&amp;$Q1895&amp;"|"&amp;$K1895&amp;"|"&amp;$G1895&amp;"|"&amp;IF($G1895="TX_CURR_SUBNAT.R","CY2022Q4",$M1895),"")</f>
        <v>[E7zpfyBt7Tw]|15-24|Female|PopART.Rt.T_1|CY2023Q3</v>
      </c>
    </row>
    <row r="1896" customFormat="false" ht="15" hidden="false" customHeight="false" outlineLevel="0" collapsed="false">
      <c r="D1896" s="0" t="s">
        <v>123</v>
      </c>
      <c r="E1896" s="0" t="s">
        <v>124</v>
      </c>
      <c r="F1896" s="0" t="s">
        <v>125</v>
      </c>
      <c r="G1896" s="0" t="s">
        <v>145</v>
      </c>
      <c r="H1896" s="0" t="s">
        <v>145</v>
      </c>
      <c r="I1896" s="0" t="s">
        <v>41</v>
      </c>
      <c r="J1896" s="0" t="s">
        <v>42</v>
      </c>
      <c r="K1896" s="0" t="s">
        <v>30</v>
      </c>
      <c r="L1896" s="0" t="s">
        <v>31</v>
      </c>
      <c r="M1896" s="0" t="s">
        <v>140</v>
      </c>
      <c r="N1896" s="0" t="n">
        <v>2000</v>
      </c>
      <c r="O1896" s="10" t="n">
        <v>0.23160685133189</v>
      </c>
      <c r="P1896" s="10" t="n">
        <v>0.419500603340566</v>
      </c>
      <c r="Q1896" s="0" t="str">
        <f aca="false">SUBSTITUTE(SUBSTITUTE($I1896,CHAR(61),""),CHAR(34),"")</f>
        <v>25-34</v>
      </c>
      <c r="R1896" s="0" t="str">
        <f aca="false">IF($D1896&lt;&gt;"","["&amp;$E1896&amp;"]"&amp;"|"&amp;$Q1896&amp;"|"&amp;$K1896&amp;"|"&amp;$G1896&amp;"|"&amp;IF($G1896="TX_CURR_SUBNAT.R","CY2022Q4",$M1896),"")</f>
        <v>[E7zpfyBt7Tw]|25-34|Female|PopART.Rt.T_1|CY2023Q3</v>
      </c>
    </row>
    <row r="1897" customFormat="false" ht="15" hidden="false" customHeight="false" outlineLevel="0" collapsed="false">
      <c r="D1897" s="0" t="s">
        <v>123</v>
      </c>
      <c r="E1897" s="0" t="s">
        <v>124</v>
      </c>
      <c r="F1897" s="0" t="s">
        <v>125</v>
      </c>
      <c r="G1897" s="0" t="s">
        <v>145</v>
      </c>
      <c r="H1897" s="0" t="s">
        <v>145</v>
      </c>
      <c r="I1897" s="0" t="s">
        <v>43</v>
      </c>
      <c r="J1897" s="0" t="s">
        <v>44</v>
      </c>
      <c r="K1897" s="0" t="s">
        <v>30</v>
      </c>
      <c r="L1897" s="0" t="s">
        <v>31</v>
      </c>
      <c r="M1897" s="0" t="s">
        <v>140</v>
      </c>
      <c r="N1897" s="0" t="n">
        <v>665</v>
      </c>
      <c r="O1897" s="10" t="n">
        <v>0.781169802648947</v>
      </c>
      <c r="P1897" s="10" t="n">
        <v>0.419500603340566</v>
      </c>
      <c r="Q1897" s="0" t="str">
        <f aca="false">SUBSTITUTE(SUBSTITUTE($I1897,CHAR(61),""),CHAR(34),"")</f>
        <v>35-49</v>
      </c>
      <c r="R1897" s="0" t="str">
        <f aca="false">IF($D1897&lt;&gt;"","["&amp;$E1897&amp;"]"&amp;"|"&amp;$Q1897&amp;"|"&amp;$K1897&amp;"|"&amp;$G1897&amp;"|"&amp;IF($G1897="TX_CURR_SUBNAT.R","CY2022Q4",$M1897),"")</f>
        <v>[E7zpfyBt7Tw]|35-49|Female|PopART.Rt.T_1|CY2023Q3</v>
      </c>
    </row>
    <row r="1898" customFormat="false" ht="15" hidden="false" customHeight="false" outlineLevel="0" collapsed="false">
      <c r="D1898" s="0" t="s">
        <v>123</v>
      </c>
      <c r="E1898" s="0" t="s">
        <v>124</v>
      </c>
      <c r="F1898" s="0" t="s">
        <v>125</v>
      </c>
      <c r="G1898" s="0" t="s">
        <v>145</v>
      </c>
      <c r="H1898" s="0" t="s">
        <v>145</v>
      </c>
      <c r="I1898" s="0" t="s">
        <v>45</v>
      </c>
      <c r="J1898" s="0" t="s">
        <v>46</v>
      </c>
      <c r="K1898" s="0" t="s">
        <v>30</v>
      </c>
      <c r="L1898" s="0" t="s">
        <v>31</v>
      </c>
      <c r="M1898" s="0" t="s">
        <v>140</v>
      </c>
      <c r="N1898" s="0" t="n">
        <v>1564</v>
      </c>
      <c r="O1898" s="10" t="n">
        <v>0.427858120994642</v>
      </c>
      <c r="P1898" s="10" t="n">
        <v>0.419500603340566</v>
      </c>
      <c r="Q1898" s="0" t="str">
        <f aca="false">SUBSTITUTE(SUBSTITUTE($I1898,CHAR(61),""),CHAR(34),"")</f>
        <v>50+</v>
      </c>
      <c r="R1898" s="0" t="str">
        <f aca="false">IF($D1898&lt;&gt;"","["&amp;$E1898&amp;"]"&amp;"|"&amp;$Q1898&amp;"|"&amp;$K1898&amp;"|"&amp;$G1898&amp;"|"&amp;IF($G1898="TX_CURR_SUBNAT.R","CY2022Q4",$M1898),"")</f>
        <v>[E7zpfyBt7Tw]|50+|Female|PopART.Rt.T_1|CY2023Q3</v>
      </c>
    </row>
    <row r="1899" customFormat="false" ht="15" hidden="false" customHeight="false" outlineLevel="0" collapsed="false">
      <c r="D1899" s="0" t="s">
        <v>123</v>
      </c>
      <c r="E1899" s="0" t="s">
        <v>124</v>
      </c>
      <c r="F1899" s="0" t="s">
        <v>125</v>
      </c>
      <c r="G1899" s="0" t="s">
        <v>145</v>
      </c>
      <c r="H1899" s="0" t="s">
        <v>145</v>
      </c>
      <c r="I1899" s="0" t="s">
        <v>28</v>
      </c>
      <c r="J1899" s="0" t="s">
        <v>29</v>
      </c>
      <c r="K1899" s="0" t="s">
        <v>48</v>
      </c>
      <c r="L1899" s="0" t="s">
        <v>49</v>
      </c>
      <c r="M1899" s="0" t="s">
        <v>140</v>
      </c>
      <c r="N1899" s="0" t="n">
        <v>1561</v>
      </c>
      <c r="O1899" s="10" t="n">
        <v>0.0825161724351346</v>
      </c>
      <c r="P1899" s="10" t="n">
        <v>0.419500603340566</v>
      </c>
      <c r="Q1899" s="0" t="str">
        <f aca="false">SUBSTITUTE(SUBSTITUTE($I1899,CHAR(61),""),CHAR(34),"")</f>
        <v>&lt;01</v>
      </c>
      <c r="R1899" s="0" t="str">
        <f aca="false">IF($D1899&lt;&gt;"","["&amp;$E1899&amp;"]"&amp;"|"&amp;$Q1899&amp;"|"&amp;$K1899&amp;"|"&amp;$G1899&amp;"|"&amp;IF($G1899="TX_CURR_SUBNAT.R","CY2022Q4",$M1899),"")</f>
        <v>[E7zpfyBt7Tw]|&lt;01|Male|PopART.Rt.T_1|CY2023Q3</v>
      </c>
    </row>
    <row r="1900" customFormat="false" ht="15" hidden="false" customHeight="false" outlineLevel="0" collapsed="false">
      <c r="D1900" s="0" t="s">
        <v>123</v>
      </c>
      <c r="E1900" s="0" t="s">
        <v>124</v>
      </c>
      <c r="F1900" s="0" t="s">
        <v>125</v>
      </c>
      <c r="G1900" s="0" t="s">
        <v>145</v>
      </c>
      <c r="H1900" s="0" t="s">
        <v>145</v>
      </c>
      <c r="I1900" s="0" t="s">
        <v>33</v>
      </c>
      <c r="J1900" s="0" t="s">
        <v>34</v>
      </c>
      <c r="K1900" s="0" t="s">
        <v>48</v>
      </c>
      <c r="L1900" s="0" t="s">
        <v>49</v>
      </c>
      <c r="M1900" s="0" t="s">
        <v>140</v>
      </c>
      <c r="N1900" s="0" t="n">
        <v>1609</v>
      </c>
      <c r="O1900" s="10" t="n">
        <v>0.152804440353066</v>
      </c>
      <c r="P1900" s="10" t="n">
        <v>0.419500603340566</v>
      </c>
      <c r="Q1900" s="0" t="str">
        <f aca="false">SUBSTITUTE(SUBSTITUTE($I1900,CHAR(61),""),CHAR(34),"")</f>
        <v>01-09</v>
      </c>
      <c r="R1900" s="0" t="str">
        <f aca="false">IF($D1900&lt;&gt;"","["&amp;$E1900&amp;"]"&amp;"|"&amp;$Q1900&amp;"|"&amp;$K1900&amp;"|"&amp;$G1900&amp;"|"&amp;IF($G1900="TX_CURR_SUBNAT.R","CY2022Q4",$M1900),"")</f>
        <v>[E7zpfyBt7Tw]|01-09|Male|PopART.Rt.T_1|CY2023Q3</v>
      </c>
    </row>
    <row r="1901" customFormat="false" ht="15" hidden="false" customHeight="false" outlineLevel="0" collapsed="false">
      <c r="D1901" s="0" t="s">
        <v>123</v>
      </c>
      <c r="E1901" s="0" t="s">
        <v>124</v>
      </c>
      <c r="F1901" s="0" t="s">
        <v>125</v>
      </c>
      <c r="G1901" s="0" t="s">
        <v>145</v>
      </c>
      <c r="H1901" s="0" t="s">
        <v>145</v>
      </c>
      <c r="I1901" s="0" t="s">
        <v>36</v>
      </c>
      <c r="J1901" s="0" t="s">
        <v>37</v>
      </c>
      <c r="K1901" s="0" t="s">
        <v>48</v>
      </c>
      <c r="L1901" s="0" t="s">
        <v>49</v>
      </c>
      <c r="M1901" s="0" t="s">
        <v>140</v>
      </c>
      <c r="N1901" s="0" t="n">
        <v>1570</v>
      </c>
      <c r="O1901" s="10" t="n">
        <v>0.709236809285358</v>
      </c>
      <c r="P1901" s="10" t="n">
        <v>0.419500603340566</v>
      </c>
      <c r="Q1901" s="0" t="str">
        <f aca="false">SUBSTITUTE(SUBSTITUTE($I1901,CHAR(61),""),CHAR(34),"")</f>
        <v>10-14</v>
      </c>
      <c r="R1901" s="0" t="str">
        <f aca="false">IF($D1901&lt;&gt;"","["&amp;$E1901&amp;"]"&amp;"|"&amp;$Q1901&amp;"|"&amp;$K1901&amp;"|"&amp;$G1901&amp;"|"&amp;IF($G1901="TX_CURR_SUBNAT.R","CY2022Q4",$M1901),"")</f>
        <v>[E7zpfyBt7Tw]|10-14|Male|PopART.Rt.T_1|CY2023Q3</v>
      </c>
    </row>
    <row r="1902" customFormat="false" ht="15" hidden="false" customHeight="false" outlineLevel="0" collapsed="false">
      <c r="D1902" s="0" t="s">
        <v>123</v>
      </c>
      <c r="E1902" s="0" t="s">
        <v>124</v>
      </c>
      <c r="F1902" s="0" t="s">
        <v>125</v>
      </c>
      <c r="G1902" s="0" t="s">
        <v>145</v>
      </c>
      <c r="H1902" s="0" t="s">
        <v>145</v>
      </c>
      <c r="I1902" s="0" t="s">
        <v>38</v>
      </c>
      <c r="J1902" s="0" t="s">
        <v>39</v>
      </c>
      <c r="K1902" s="0" t="s">
        <v>48</v>
      </c>
      <c r="L1902" s="0" t="s">
        <v>49</v>
      </c>
      <c r="M1902" s="0" t="s">
        <v>140</v>
      </c>
      <c r="N1902" s="0" t="n">
        <v>953</v>
      </c>
      <c r="O1902" s="10" t="n">
        <v>0.739379344740883</v>
      </c>
      <c r="P1902" s="10" t="n">
        <v>0.419500603340566</v>
      </c>
      <c r="Q1902" s="0" t="str">
        <f aca="false">SUBSTITUTE(SUBSTITUTE($I1902,CHAR(61),""),CHAR(34),"")</f>
        <v>15-24</v>
      </c>
      <c r="R1902" s="0" t="str">
        <f aca="false">IF($D1902&lt;&gt;"","["&amp;$E1902&amp;"]"&amp;"|"&amp;$Q1902&amp;"|"&amp;$K1902&amp;"|"&amp;$G1902&amp;"|"&amp;IF($G1902="TX_CURR_SUBNAT.R","CY2022Q4",$M1902),"")</f>
        <v>[E7zpfyBt7Tw]|15-24|Male|PopART.Rt.T_1|CY2023Q3</v>
      </c>
    </row>
    <row r="1903" customFormat="false" ht="15" hidden="false" customHeight="false" outlineLevel="0" collapsed="false">
      <c r="D1903" s="0" t="s">
        <v>123</v>
      </c>
      <c r="E1903" s="0" t="s">
        <v>124</v>
      </c>
      <c r="F1903" s="0" t="s">
        <v>125</v>
      </c>
      <c r="G1903" s="0" t="s">
        <v>145</v>
      </c>
      <c r="H1903" s="0" t="s">
        <v>145</v>
      </c>
      <c r="I1903" s="0" t="s">
        <v>41</v>
      </c>
      <c r="J1903" s="0" t="s">
        <v>42</v>
      </c>
      <c r="K1903" s="0" t="s">
        <v>48</v>
      </c>
      <c r="L1903" s="0" t="s">
        <v>49</v>
      </c>
      <c r="M1903" s="0" t="s">
        <v>140</v>
      </c>
      <c r="N1903" s="0" t="n">
        <v>1023</v>
      </c>
      <c r="O1903" s="10" t="n">
        <v>0.846413959516212</v>
      </c>
      <c r="P1903" s="10" t="n">
        <v>0.419500603340566</v>
      </c>
      <c r="Q1903" s="0" t="str">
        <f aca="false">SUBSTITUTE(SUBSTITUTE($I1903,CHAR(61),""),CHAR(34),"")</f>
        <v>25-34</v>
      </c>
      <c r="R1903" s="0" t="str">
        <f aca="false">IF($D1903&lt;&gt;"","["&amp;$E1903&amp;"]"&amp;"|"&amp;$Q1903&amp;"|"&amp;$K1903&amp;"|"&amp;$G1903&amp;"|"&amp;IF($G1903="TX_CURR_SUBNAT.R","CY2022Q4",$M1903),"")</f>
        <v>[E7zpfyBt7Tw]|25-34|Male|PopART.Rt.T_1|CY2023Q3</v>
      </c>
    </row>
    <row r="1904" customFormat="false" ht="15" hidden="false" customHeight="false" outlineLevel="0" collapsed="false">
      <c r="D1904" s="0" t="s">
        <v>123</v>
      </c>
      <c r="E1904" s="0" t="s">
        <v>124</v>
      </c>
      <c r="F1904" s="0" t="s">
        <v>125</v>
      </c>
      <c r="G1904" s="0" t="s">
        <v>145</v>
      </c>
      <c r="H1904" s="0" t="s">
        <v>145</v>
      </c>
      <c r="I1904" s="0" t="s">
        <v>43</v>
      </c>
      <c r="J1904" s="0" t="s">
        <v>44</v>
      </c>
      <c r="K1904" s="0" t="s">
        <v>48</v>
      </c>
      <c r="L1904" s="0" t="s">
        <v>49</v>
      </c>
      <c r="M1904" s="0" t="s">
        <v>140</v>
      </c>
      <c r="N1904" s="0" t="n">
        <v>1819</v>
      </c>
      <c r="O1904" s="10" t="n">
        <v>0.9871834309306</v>
      </c>
      <c r="P1904" s="10" t="n">
        <v>0.419500603340566</v>
      </c>
      <c r="Q1904" s="0" t="str">
        <f aca="false">SUBSTITUTE(SUBSTITUTE($I1904,CHAR(61),""),CHAR(34),"")</f>
        <v>35-49</v>
      </c>
      <c r="R1904" s="0" t="str">
        <f aca="false">IF($D1904&lt;&gt;"","["&amp;$E1904&amp;"]"&amp;"|"&amp;$Q1904&amp;"|"&amp;$K1904&amp;"|"&amp;$G1904&amp;"|"&amp;IF($G1904="TX_CURR_SUBNAT.R","CY2022Q4",$M1904),"")</f>
        <v>[E7zpfyBt7Tw]|35-49|Male|PopART.Rt.T_1|CY2023Q3</v>
      </c>
    </row>
    <row r="1905" customFormat="false" ht="15" hidden="false" customHeight="false" outlineLevel="0" collapsed="false">
      <c r="D1905" s="0" t="s">
        <v>123</v>
      </c>
      <c r="E1905" s="0" t="s">
        <v>124</v>
      </c>
      <c r="F1905" s="0" t="s">
        <v>125</v>
      </c>
      <c r="G1905" s="0" t="s">
        <v>145</v>
      </c>
      <c r="H1905" s="0" t="s">
        <v>145</v>
      </c>
      <c r="I1905" s="0" t="s">
        <v>45</v>
      </c>
      <c r="J1905" s="0" t="s">
        <v>46</v>
      </c>
      <c r="K1905" s="0" t="s">
        <v>48</v>
      </c>
      <c r="L1905" s="0" t="s">
        <v>49</v>
      </c>
      <c r="M1905" s="0" t="s">
        <v>140</v>
      </c>
      <c r="N1905" s="0" t="n">
        <v>1677</v>
      </c>
      <c r="O1905" s="10" t="n">
        <v>0.113632460357621</v>
      </c>
      <c r="P1905" s="10" t="n">
        <v>0.419500603340566</v>
      </c>
      <c r="Q1905" s="0" t="str">
        <f aca="false">SUBSTITUTE(SUBSTITUTE($I1905,CHAR(61),""),CHAR(34),"")</f>
        <v>50+</v>
      </c>
      <c r="R1905" s="0" t="str">
        <f aca="false">IF($D1905&lt;&gt;"","["&amp;$E1905&amp;"]"&amp;"|"&amp;$Q1905&amp;"|"&amp;$K1905&amp;"|"&amp;$G1905&amp;"|"&amp;IF($G1905="TX_CURR_SUBNAT.R","CY2022Q4",$M1905),"")</f>
        <v>[E7zpfyBt7Tw]|50+|Male|PopART.Rt.T_1|CY2023Q3</v>
      </c>
    </row>
    <row r="1906" customFormat="false" ht="15" hidden="false" customHeight="false" outlineLevel="0" collapsed="false">
      <c r="D1906" s="0" t="s">
        <v>126</v>
      </c>
      <c r="E1906" s="0" t="s">
        <v>127</v>
      </c>
      <c r="F1906" s="0" t="s">
        <v>128</v>
      </c>
      <c r="G1906" s="0" t="s">
        <v>145</v>
      </c>
      <c r="H1906" s="0" t="s">
        <v>145</v>
      </c>
      <c r="I1906" s="0" t="s">
        <v>28</v>
      </c>
      <c r="J1906" s="0" t="s">
        <v>29</v>
      </c>
      <c r="K1906" s="0" t="s">
        <v>30</v>
      </c>
      <c r="L1906" s="0" t="s">
        <v>31</v>
      </c>
      <c r="M1906" s="0" t="s">
        <v>140</v>
      </c>
      <c r="N1906" s="0" t="n">
        <v>1383</v>
      </c>
      <c r="O1906" s="10" t="n">
        <v>0.362776564899832</v>
      </c>
      <c r="P1906" s="10" t="n">
        <v>0.252706390339881</v>
      </c>
      <c r="Q1906" s="0" t="str">
        <f aca="false">SUBSTITUTE(SUBSTITUTE($I1906,CHAR(61),""),CHAR(34),"")</f>
        <v>&lt;01</v>
      </c>
      <c r="R1906" s="0" t="str">
        <f aca="false">IF($D1906&lt;&gt;"","["&amp;$E1906&amp;"]"&amp;"|"&amp;$Q1906&amp;"|"&amp;$K1906&amp;"|"&amp;$G1906&amp;"|"&amp;IF($G1906="TX_CURR_SUBNAT.R","CY2022Q4",$M1906),"")</f>
        <v>[ZCjuwgaMB9u]|&lt;01|Female|PopART.Rt.T_1|CY2023Q3</v>
      </c>
    </row>
    <row r="1907" customFormat="false" ht="15" hidden="false" customHeight="false" outlineLevel="0" collapsed="false">
      <c r="D1907" s="0" t="s">
        <v>126</v>
      </c>
      <c r="E1907" s="0" t="s">
        <v>127</v>
      </c>
      <c r="F1907" s="0" t="s">
        <v>128</v>
      </c>
      <c r="G1907" s="0" t="s">
        <v>145</v>
      </c>
      <c r="H1907" s="0" t="s">
        <v>145</v>
      </c>
      <c r="I1907" s="0" t="s">
        <v>33</v>
      </c>
      <c r="J1907" s="0" t="s">
        <v>34</v>
      </c>
      <c r="K1907" s="0" t="s">
        <v>30</v>
      </c>
      <c r="L1907" s="0" t="s">
        <v>31</v>
      </c>
      <c r="M1907" s="0" t="s">
        <v>140</v>
      </c>
      <c r="N1907" s="0" t="n">
        <v>827</v>
      </c>
      <c r="O1907" s="10" t="n">
        <v>0.842926611658186</v>
      </c>
      <c r="P1907" s="10" t="n">
        <v>0.252706390339881</v>
      </c>
      <c r="Q1907" s="0" t="str">
        <f aca="false">SUBSTITUTE(SUBSTITUTE($I1907,CHAR(61),""),CHAR(34),"")</f>
        <v>01-09</v>
      </c>
      <c r="R1907" s="0" t="str">
        <f aca="false">IF($D1907&lt;&gt;"","["&amp;$E1907&amp;"]"&amp;"|"&amp;$Q1907&amp;"|"&amp;$K1907&amp;"|"&amp;$G1907&amp;"|"&amp;IF($G1907="TX_CURR_SUBNAT.R","CY2022Q4",$M1907),"")</f>
        <v>[ZCjuwgaMB9u]|01-09|Female|PopART.Rt.T_1|CY2023Q3</v>
      </c>
    </row>
    <row r="1908" customFormat="false" ht="15" hidden="false" customHeight="false" outlineLevel="0" collapsed="false">
      <c r="D1908" s="0" t="s">
        <v>126</v>
      </c>
      <c r="E1908" s="0" t="s">
        <v>127</v>
      </c>
      <c r="F1908" s="0" t="s">
        <v>128</v>
      </c>
      <c r="G1908" s="0" t="s">
        <v>145</v>
      </c>
      <c r="H1908" s="0" t="s">
        <v>145</v>
      </c>
      <c r="I1908" s="0" t="s">
        <v>36</v>
      </c>
      <c r="J1908" s="0" t="s">
        <v>37</v>
      </c>
      <c r="K1908" s="0" t="s">
        <v>30</v>
      </c>
      <c r="L1908" s="0" t="s">
        <v>31</v>
      </c>
      <c r="M1908" s="0" t="s">
        <v>140</v>
      </c>
      <c r="N1908" s="0" t="n">
        <v>1054</v>
      </c>
      <c r="O1908" s="10" t="n">
        <v>0.363541836850345</v>
      </c>
      <c r="P1908" s="10" t="n">
        <v>0.252706390339881</v>
      </c>
      <c r="Q1908" s="0" t="str">
        <f aca="false">SUBSTITUTE(SUBSTITUTE($I1908,CHAR(61),""),CHAR(34),"")</f>
        <v>10-14</v>
      </c>
      <c r="R1908" s="0" t="str">
        <f aca="false">IF($D1908&lt;&gt;"","["&amp;$E1908&amp;"]"&amp;"|"&amp;$Q1908&amp;"|"&amp;$K1908&amp;"|"&amp;$G1908&amp;"|"&amp;IF($G1908="TX_CURR_SUBNAT.R","CY2022Q4",$M1908),"")</f>
        <v>[ZCjuwgaMB9u]|10-14|Female|PopART.Rt.T_1|CY2023Q3</v>
      </c>
    </row>
    <row r="1909" customFormat="false" ht="15" hidden="false" customHeight="false" outlineLevel="0" collapsed="false">
      <c r="D1909" s="0" t="s">
        <v>126</v>
      </c>
      <c r="E1909" s="0" t="s">
        <v>127</v>
      </c>
      <c r="F1909" s="0" t="s">
        <v>128</v>
      </c>
      <c r="G1909" s="0" t="s">
        <v>145</v>
      </c>
      <c r="H1909" s="0" t="s">
        <v>145</v>
      </c>
      <c r="I1909" s="0" t="s">
        <v>38</v>
      </c>
      <c r="J1909" s="0" t="s">
        <v>39</v>
      </c>
      <c r="K1909" s="0" t="s">
        <v>30</v>
      </c>
      <c r="L1909" s="0" t="s">
        <v>31</v>
      </c>
      <c r="M1909" s="0" t="s">
        <v>140</v>
      </c>
      <c r="N1909" s="0" t="n">
        <v>953</v>
      </c>
      <c r="O1909" s="10" t="n">
        <v>0.23650746466592</v>
      </c>
      <c r="P1909" s="10" t="n">
        <v>0.252706390339881</v>
      </c>
      <c r="Q1909" s="0" t="str">
        <f aca="false">SUBSTITUTE(SUBSTITUTE($I1909,CHAR(61),""),CHAR(34),"")</f>
        <v>15-24</v>
      </c>
      <c r="R1909" s="0" t="str">
        <f aca="false">IF($D1909&lt;&gt;"","["&amp;$E1909&amp;"]"&amp;"|"&amp;$Q1909&amp;"|"&amp;$K1909&amp;"|"&amp;$G1909&amp;"|"&amp;IF($G1909="TX_CURR_SUBNAT.R","CY2022Q4",$M1909),"")</f>
        <v>[ZCjuwgaMB9u]|15-24|Female|PopART.Rt.T_1|CY2023Q3</v>
      </c>
    </row>
    <row r="1910" customFormat="false" ht="15" hidden="false" customHeight="false" outlineLevel="0" collapsed="false">
      <c r="D1910" s="0" t="s">
        <v>126</v>
      </c>
      <c r="E1910" s="0" t="s">
        <v>127</v>
      </c>
      <c r="F1910" s="0" t="s">
        <v>128</v>
      </c>
      <c r="G1910" s="0" t="s">
        <v>145</v>
      </c>
      <c r="H1910" s="0" t="s">
        <v>145</v>
      </c>
      <c r="I1910" s="0" t="s">
        <v>41</v>
      </c>
      <c r="J1910" s="0" t="s">
        <v>42</v>
      </c>
      <c r="K1910" s="0" t="s">
        <v>30</v>
      </c>
      <c r="L1910" s="0" t="s">
        <v>31</v>
      </c>
      <c r="M1910" s="0" t="s">
        <v>140</v>
      </c>
      <c r="N1910" s="0" t="n">
        <v>507</v>
      </c>
      <c r="O1910" s="10" t="n">
        <v>0.356818311847746</v>
      </c>
      <c r="P1910" s="10" t="n">
        <v>0.252706390339881</v>
      </c>
      <c r="Q1910" s="0" t="str">
        <f aca="false">SUBSTITUTE(SUBSTITUTE($I1910,CHAR(61),""),CHAR(34),"")</f>
        <v>25-34</v>
      </c>
      <c r="R1910" s="0" t="str">
        <f aca="false">IF($D1910&lt;&gt;"","["&amp;$E1910&amp;"]"&amp;"|"&amp;$Q1910&amp;"|"&amp;$K1910&amp;"|"&amp;$G1910&amp;"|"&amp;IF($G1910="TX_CURR_SUBNAT.R","CY2022Q4",$M1910),"")</f>
        <v>[ZCjuwgaMB9u]|25-34|Female|PopART.Rt.T_1|CY2023Q3</v>
      </c>
    </row>
    <row r="1911" customFormat="false" ht="15" hidden="false" customHeight="false" outlineLevel="0" collapsed="false">
      <c r="D1911" s="0" t="s">
        <v>126</v>
      </c>
      <c r="E1911" s="0" t="s">
        <v>127</v>
      </c>
      <c r="F1911" s="0" t="s">
        <v>128</v>
      </c>
      <c r="G1911" s="0" t="s">
        <v>145</v>
      </c>
      <c r="H1911" s="0" t="s">
        <v>145</v>
      </c>
      <c r="I1911" s="0" t="s">
        <v>43</v>
      </c>
      <c r="J1911" s="0" t="s">
        <v>44</v>
      </c>
      <c r="K1911" s="0" t="s">
        <v>30</v>
      </c>
      <c r="L1911" s="0" t="s">
        <v>31</v>
      </c>
      <c r="M1911" s="0" t="s">
        <v>140</v>
      </c>
      <c r="N1911" s="0" t="n">
        <v>727</v>
      </c>
      <c r="O1911" s="10" t="n">
        <v>0.455789932748303</v>
      </c>
      <c r="P1911" s="10" t="n">
        <v>0.252706390339881</v>
      </c>
      <c r="Q1911" s="0" t="str">
        <f aca="false">SUBSTITUTE(SUBSTITUTE($I1911,CHAR(61),""),CHAR(34),"")</f>
        <v>35-49</v>
      </c>
      <c r="R1911" s="0" t="str">
        <f aca="false">IF($D1911&lt;&gt;"","["&amp;$E1911&amp;"]"&amp;"|"&amp;$Q1911&amp;"|"&amp;$K1911&amp;"|"&amp;$G1911&amp;"|"&amp;IF($G1911="TX_CURR_SUBNAT.R","CY2022Q4",$M1911),"")</f>
        <v>[ZCjuwgaMB9u]|35-49|Female|PopART.Rt.T_1|CY2023Q3</v>
      </c>
    </row>
    <row r="1912" customFormat="false" ht="15" hidden="false" customHeight="false" outlineLevel="0" collapsed="false">
      <c r="D1912" s="0" t="s">
        <v>126</v>
      </c>
      <c r="E1912" s="0" t="s">
        <v>127</v>
      </c>
      <c r="F1912" s="0" t="s">
        <v>128</v>
      </c>
      <c r="G1912" s="0" t="s">
        <v>145</v>
      </c>
      <c r="H1912" s="0" t="s">
        <v>145</v>
      </c>
      <c r="I1912" s="0" t="s">
        <v>45</v>
      </c>
      <c r="J1912" s="0" t="s">
        <v>46</v>
      </c>
      <c r="K1912" s="0" t="s">
        <v>30</v>
      </c>
      <c r="L1912" s="0" t="s">
        <v>31</v>
      </c>
      <c r="M1912" s="0" t="s">
        <v>140</v>
      </c>
      <c r="N1912" s="0" t="n">
        <v>1261</v>
      </c>
      <c r="O1912" s="10" t="n">
        <v>0.977864022599533</v>
      </c>
      <c r="P1912" s="10" t="n">
        <v>0.252706390339881</v>
      </c>
      <c r="Q1912" s="0" t="str">
        <f aca="false">SUBSTITUTE(SUBSTITUTE($I1912,CHAR(61),""),CHAR(34),"")</f>
        <v>50+</v>
      </c>
      <c r="R1912" s="0" t="str">
        <f aca="false">IF($D1912&lt;&gt;"","["&amp;$E1912&amp;"]"&amp;"|"&amp;$Q1912&amp;"|"&amp;$K1912&amp;"|"&amp;$G1912&amp;"|"&amp;IF($G1912="TX_CURR_SUBNAT.R","CY2022Q4",$M1912),"")</f>
        <v>[ZCjuwgaMB9u]|50+|Female|PopART.Rt.T_1|CY2023Q3</v>
      </c>
    </row>
    <row r="1913" customFormat="false" ht="15" hidden="false" customHeight="false" outlineLevel="0" collapsed="false">
      <c r="D1913" s="0" t="s">
        <v>126</v>
      </c>
      <c r="E1913" s="0" t="s">
        <v>127</v>
      </c>
      <c r="F1913" s="0" t="s">
        <v>128</v>
      </c>
      <c r="G1913" s="0" t="s">
        <v>145</v>
      </c>
      <c r="H1913" s="0" t="s">
        <v>145</v>
      </c>
      <c r="I1913" s="0" t="s">
        <v>28</v>
      </c>
      <c r="J1913" s="0" t="s">
        <v>29</v>
      </c>
      <c r="K1913" s="0" t="s">
        <v>48</v>
      </c>
      <c r="L1913" s="0" t="s">
        <v>49</v>
      </c>
      <c r="M1913" s="0" t="s">
        <v>140</v>
      </c>
      <c r="N1913" s="0" t="n">
        <v>1685</v>
      </c>
      <c r="O1913" s="10" t="n">
        <v>0.167890832060948</v>
      </c>
      <c r="P1913" s="10" t="n">
        <v>0.252706390339881</v>
      </c>
      <c r="Q1913" s="0" t="str">
        <f aca="false">SUBSTITUTE(SUBSTITUTE($I1913,CHAR(61),""),CHAR(34),"")</f>
        <v>&lt;01</v>
      </c>
      <c r="R1913" s="0" t="str">
        <f aca="false">IF($D1913&lt;&gt;"","["&amp;$E1913&amp;"]"&amp;"|"&amp;$Q1913&amp;"|"&amp;$K1913&amp;"|"&amp;$G1913&amp;"|"&amp;IF($G1913="TX_CURR_SUBNAT.R","CY2022Q4",$M1913),"")</f>
        <v>[ZCjuwgaMB9u]|&lt;01|Male|PopART.Rt.T_1|CY2023Q3</v>
      </c>
    </row>
    <row r="1914" customFormat="false" ht="15" hidden="false" customHeight="false" outlineLevel="0" collapsed="false">
      <c r="D1914" s="0" t="s">
        <v>126</v>
      </c>
      <c r="E1914" s="0" t="s">
        <v>127</v>
      </c>
      <c r="F1914" s="0" t="s">
        <v>128</v>
      </c>
      <c r="G1914" s="0" t="s">
        <v>145</v>
      </c>
      <c r="H1914" s="0" t="s">
        <v>145</v>
      </c>
      <c r="I1914" s="0" t="s">
        <v>33</v>
      </c>
      <c r="J1914" s="0" t="s">
        <v>34</v>
      </c>
      <c r="K1914" s="0" t="s">
        <v>48</v>
      </c>
      <c r="L1914" s="0" t="s">
        <v>49</v>
      </c>
      <c r="M1914" s="0" t="s">
        <v>140</v>
      </c>
      <c r="N1914" s="0" t="n">
        <v>1106</v>
      </c>
      <c r="O1914" s="10" t="n">
        <v>0.9102442052681</v>
      </c>
      <c r="P1914" s="10" t="n">
        <v>0.252706390339881</v>
      </c>
      <c r="Q1914" s="0" t="str">
        <f aca="false">SUBSTITUTE(SUBSTITUTE($I1914,CHAR(61),""),CHAR(34),"")</f>
        <v>01-09</v>
      </c>
      <c r="R1914" s="0" t="str">
        <f aca="false">IF($D1914&lt;&gt;"","["&amp;$E1914&amp;"]"&amp;"|"&amp;$Q1914&amp;"|"&amp;$K1914&amp;"|"&amp;$G1914&amp;"|"&amp;IF($G1914="TX_CURR_SUBNAT.R","CY2022Q4",$M1914),"")</f>
        <v>[ZCjuwgaMB9u]|01-09|Male|PopART.Rt.T_1|CY2023Q3</v>
      </c>
    </row>
    <row r="1915" customFormat="false" ht="15" hidden="false" customHeight="false" outlineLevel="0" collapsed="false">
      <c r="D1915" s="0" t="s">
        <v>126</v>
      </c>
      <c r="E1915" s="0" t="s">
        <v>127</v>
      </c>
      <c r="F1915" s="0" t="s">
        <v>128</v>
      </c>
      <c r="G1915" s="0" t="s">
        <v>145</v>
      </c>
      <c r="H1915" s="0" t="s">
        <v>145</v>
      </c>
      <c r="I1915" s="0" t="s">
        <v>36</v>
      </c>
      <c r="J1915" s="0" t="s">
        <v>37</v>
      </c>
      <c r="K1915" s="0" t="s">
        <v>48</v>
      </c>
      <c r="L1915" s="0" t="s">
        <v>49</v>
      </c>
      <c r="M1915" s="0" t="s">
        <v>140</v>
      </c>
      <c r="N1915" s="0" t="n">
        <v>1917</v>
      </c>
      <c r="O1915" s="10" t="n">
        <v>0.441924740327522</v>
      </c>
      <c r="P1915" s="10" t="n">
        <v>0.252706390339881</v>
      </c>
      <c r="Q1915" s="0" t="str">
        <f aca="false">SUBSTITUTE(SUBSTITUTE($I1915,CHAR(61),""),CHAR(34),"")</f>
        <v>10-14</v>
      </c>
      <c r="R1915" s="0" t="str">
        <f aca="false">IF($D1915&lt;&gt;"","["&amp;$E1915&amp;"]"&amp;"|"&amp;$Q1915&amp;"|"&amp;$K1915&amp;"|"&amp;$G1915&amp;"|"&amp;IF($G1915="TX_CURR_SUBNAT.R","CY2022Q4",$M1915),"")</f>
        <v>[ZCjuwgaMB9u]|10-14|Male|PopART.Rt.T_1|CY2023Q3</v>
      </c>
    </row>
    <row r="1916" customFormat="false" ht="15" hidden="false" customHeight="false" outlineLevel="0" collapsed="false">
      <c r="D1916" s="0" t="s">
        <v>126</v>
      </c>
      <c r="E1916" s="0" t="s">
        <v>127</v>
      </c>
      <c r="F1916" s="0" t="s">
        <v>128</v>
      </c>
      <c r="G1916" s="0" t="s">
        <v>145</v>
      </c>
      <c r="H1916" s="0" t="s">
        <v>145</v>
      </c>
      <c r="I1916" s="0" t="s">
        <v>38</v>
      </c>
      <c r="J1916" s="0" t="s">
        <v>39</v>
      </c>
      <c r="K1916" s="0" t="s">
        <v>48</v>
      </c>
      <c r="L1916" s="0" t="s">
        <v>49</v>
      </c>
      <c r="M1916" s="0" t="s">
        <v>140</v>
      </c>
      <c r="N1916" s="0" t="n">
        <v>1116</v>
      </c>
      <c r="O1916" s="10" t="n">
        <v>0.93507568212226</v>
      </c>
      <c r="P1916" s="10" t="n">
        <v>0.252706390339881</v>
      </c>
      <c r="Q1916" s="0" t="str">
        <f aca="false">SUBSTITUTE(SUBSTITUTE($I1916,CHAR(61),""),CHAR(34),"")</f>
        <v>15-24</v>
      </c>
      <c r="R1916" s="0" t="str">
        <f aca="false">IF($D1916&lt;&gt;"","["&amp;$E1916&amp;"]"&amp;"|"&amp;$Q1916&amp;"|"&amp;$K1916&amp;"|"&amp;$G1916&amp;"|"&amp;IF($G1916="TX_CURR_SUBNAT.R","CY2022Q4",$M1916),"")</f>
        <v>[ZCjuwgaMB9u]|15-24|Male|PopART.Rt.T_1|CY2023Q3</v>
      </c>
    </row>
    <row r="1917" customFormat="false" ht="15" hidden="false" customHeight="false" outlineLevel="0" collapsed="false">
      <c r="D1917" s="0" t="s">
        <v>126</v>
      </c>
      <c r="E1917" s="0" t="s">
        <v>127</v>
      </c>
      <c r="F1917" s="0" t="s">
        <v>128</v>
      </c>
      <c r="G1917" s="0" t="s">
        <v>145</v>
      </c>
      <c r="H1917" s="0" t="s">
        <v>145</v>
      </c>
      <c r="I1917" s="0" t="s">
        <v>41</v>
      </c>
      <c r="J1917" s="0" t="s">
        <v>42</v>
      </c>
      <c r="K1917" s="0" t="s">
        <v>48</v>
      </c>
      <c r="L1917" s="0" t="s">
        <v>49</v>
      </c>
      <c r="M1917" s="0" t="s">
        <v>140</v>
      </c>
      <c r="N1917" s="0" t="n">
        <v>1520</v>
      </c>
      <c r="O1917" s="10" t="n">
        <v>0.863575548864901</v>
      </c>
      <c r="P1917" s="10" t="n">
        <v>0.252706390339881</v>
      </c>
      <c r="Q1917" s="0" t="str">
        <f aca="false">SUBSTITUTE(SUBSTITUTE($I1917,CHAR(61),""),CHAR(34),"")</f>
        <v>25-34</v>
      </c>
      <c r="R1917" s="0" t="str">
        <f aca="false">IF($D1917&lt;&gt;"","["&amp;$E1917&amp;"]"&amp;"|"&amp;$Q1917&amp;"|"&amp;$K1917&amp;"|"&amp;$G1917&amp;"|"&amp;IF($G1917="TX_CURR_SUBNAT.R","CY2022Q4",$M1917),"")</f>
        <v>[ZCjuwgaMB9u]|25-34|Male|PopART.Rt.T_1|CY2023Q3</v>
      </c>
    </row>
    <row r="1918" customFormat="false" ht="15" hidden="false" customHeight="false" outlineLevel="0" collapsed="false">
      <c r="D1918" s="0" t="s">
        <v>126</v>
      </c>
      <c r="E1918" s="0" t="s">
        <v>127</v>
      </c>
      <c r="F1918" s="0" t="s">
        <v>128</v>
      </c>
      <c r="G1918" s="0" t="s">
        <v>145</v>
      </c>
      <c r="H1918" s="0" t="s">
        <v>145</v>
      </c>
      <c r="I1918" s="0" t="s">
        <v>43</v>
      </c>
      <c r="J1918" s="0" t="s">
        <v>44</v>
      </c>
      <c r="K1918" s="0" t="s">
        <v>48</v>
      </c>
      <c r="L1918" s="0" t="s">
        <v>49</v>
      </c>
      <c r="M1918" s="0" t="s">
        <v>140</v>
      </c>
      <c r="N1918" s="0" t="n">
        <v>1913</v>
      </c>
      <c r="O1918" s="10" t="n">
        <v>0.096707507269457</v>
      </c>
      <c r="P1918" s="10" t="n">
        <v>0.252706390339881</v>
      </c>
      <c r="Q1918" s="0" t="str">
        <f aca="false">SUBSTITUTE(SUBSTITUTE($I1918,CHAR(61),""),CHAR(34),"")</f>
        <v>35-49</v>
      </c>
      <c r="R1918" s="0" t="str">
        <f aca="false">IF($D1918&lt;&gt;"","["&amp;$E1918&amp;"]"&amp;"|"&amp;$Q1918&amp;"|"&amp;$K1918&amp;"|"&amp;$G1918&amp;"|"&amp;IF($G1918="TX_CURR_SUBNAT.R","CY2022Q4",$M1918),"")</f>
        <v>[ZCjuwgaMB9u]|35-49|Male|PopART.Rt.T_1|CY2023Q3</v>
      </c>
    </row>
    <row r="1919" customFormat="false" ht="15" hidden="false" customHeight="false" outlineLevel="0" collapsed="false">
      <c r="D1919" s="0" t="s">
        <v>126</v>
      </c>
      <c r="E1919" s="0" t="s">
        <v>127</v>
      </c>
      <c r="F1919" s="0" t="s">
        <v>128</v>
      </c>
      <c r="G1919" s="0" t="s">
        <v>145</v>
      </c>
      <c r="H1919" s="0" t="s">
        <v>145</v>
      </c>
      <c r="I1919" s="0" t="s">
        <v>45</v>
      </c>
      <c r="J1919" s="0" t="s">
        <v>46</v>
      </c>
      <c r="K1919" s="0" t="s">
        <v>48</v>
      </c>
      <c r="L1919" s="0" t="s">
        <v>49</v>
      </c>
      <c r="M1919" s="0" t="s">
        <v>140</v>
      </c>
      <c r="N1919" s="0" t="n">
        <v>1918</v>
      </c>
      <c r="O1919" s="10" t="n">
        <v>0.708871291251853</v>
      </c>
      <c r="P1919" s="10" t="n">
        <v>0.252706390339881</v>
      </c>
      <c r="Q1919" s="0" t="str">
        <f aca="false">SUBSTITUTE(SUBSTITUTE($I1919,CHAR(61),""),CHAR(34),"")</f>
        <v>50+</v>
      </c>
      <c r="R1919" s="0" t="str">
        <f aca="false">IF($D1919&lt;&gt;"","["&amp;$E1919&amp;"]"&amp;"|"&amp;$Q1919&amp;"|"&amp;$K1919&amp;"|"&amp;$G1919&amp;"|"&amp;IF($G1919="TX_CURR_SUBNAT.R","CY2022Q4",$M1919),"")</f>
        <v>[ZCjuwgaMB9u]|50+|Male|PopART.Rt.T_1|CY2023Q3</v>
      </c>
    </row>
    <row r="1920" customFormat="false" ht="15" hidden="false" customHeight="false" outlineLevel="0" collapsed="false">
      <c r="D1920" s="0" t="s">
        <v>129</v>
      </c>
      <c r="E1920" s="0" t="s">
        <v>130</v>
      </c>
      <c r="F1920" s="0" t="s">
        <v>131</v>
      </c>
      <c r="G1920" s="0" t="s">
        <v>145</v>
      </c>
      <c r="H1920" s="0" t="s">
        <v>145</v>
      </c>
      <c r="I1920" s="0" t="s">
        <v>28</v>
      </c>
      <c r="J1920" s="0" t="s">
        <v>29</v>
      </c>
      <c r="K1920" s="0" t="s">
        <v>30</v>
      </c>
      <c r="L1920" s="0" t="s">
        <v>31</v>
      </c>
      <c r="M1920" s="0" t="s">
        <v>140</v>
      </c>
      <c r="N1920" s="0" t="n">
        <v>1904</v>
      </c>
      <c r="O1920" s="10" t="n">
        <v>0.221747229574248</v>
      </c>
      <c r="P1920" s="10" t="n">
        <v>0.556908084778115</v>
      </c>
      <c r="Q1920" s="0" t="str">
        <f aca="false">SUBSTITUTE(SUBSTITUTE($I1920,CHAR(61),""),CHAR(34),"")</f>
        <v>&lt;01</v>
      </c>
      <c r="R1920" s="0" t="str">
        <f aca="false">IF($D1920&lt;&gt;"","["&amp;$E1920&amp;"]"&amp;"|"&amp;$Q1920&amp;"|"&amp;$K1920&amp;"|"&amp;$G1920&amp;"|"&amp;IF($G1920="TX_CURR_SUBNAT.R","CY2022Q4",$M1920),"")</f>
        <v>[YCKiBAp8QAg]|&lt;01|Female|PopART.Rt.T_1|CY2023Q3</v>
      </c>
    </row>
    <row r="1921" customFormat="false" ht="15" hidden="false" customHeight="false" outlineLevel="0" collapsed="false">
      <c r="D1921" s="0" t="s">
        <v>129</v>
      </c>
      <c r="E1921" s="0" t="s">
        <v>130</v>
      </c>
      <c r="F1921" s="0" t="s">
        <v>131</v>
      </c>
      <c r="G1921" s="0" t="s">
        <v>145</v>
      </c>
      <c r="H1921" s="0" t="s">
        <v>145</v>
      </c>
      <c r="I1921" s="0" t="s">
        <v>33</v>
      </c>
      <c r="J1921" s="0" t="s">
        <v>34</v>
      </c>
      <c r="K1921" s="0" t="s">
        <v>30</v>
      </c>
      <c r="L1921" s="0" t="s">
        <v>31</v>
      </c>
      <c r="M1921" s="0" t="s">
        <v>140</v>
      </c>
      <c r="N1921" s="0" t="n">
        <v>1192</v>
      </c>
      <c r="O1921" s="10" t="n">
        <v>0.73801887454465</v>
      </c>
      <c r="P1921" s="10" t="n">
        <v>0.556908084778115</v>
      </c>
      <c r="Q1921" s="0" t="str">
        <f aca="false">SUBSTITUTE(SUBSTITUTE($I1921,CHAR(61),""),CHAR(34),"")</f>
        <v>01-09</v>
      </c>
      <c r="R1921" s="0" t="str">
        <f aca="false">IF($D1921&lt;&gt;"","["&amp;$E1921&amp;"]"&amp;"|"&amp;$Q1921&amp;"|"&amp;$K1921&amp;"|"&amp;$G1921&amp;"|"&amp;IF($G1921="TX_CURR_SUBNAT.R","CY2022Q4",$M1921),"")</f>
        <v>[YCKiBAp8QAg]|01-09|Female|PopART.Rt.T_1|CY2023Q3</v>
      </c>
    </row>
    <row r="1922" customFormat="false" ht="15" hidden="false" customHeight="false" outlineLevel="0" collapsed="false">
      <c r="D1922" s="0" t="s">
        <v>129</v>
      </c>
      <c r="E1922" s="0" t="s">
        <v>130</v>
      </c>
      <c r="F1922" s="0" t="s">
        <v>131</v>
      </c>
      <c r="G1922" s="0" t="s">
        <v>145</v>
      </c>
      <c r="H1922" s="0" t="s">
        <v>145</v>
      </c>
      <c r="I1922" s="0" t="s">
        <v>36</v>
      </c>
      <c r="J1922" s="0" t="s">
        <v>37</v>
      </c>
      <c r="K1922" s="0" t="s">
        <v>30</v>
      </c>
      <c r="L1922" s="0" t="s">
        <v>31</v>
      </c>
      <c r="M1922" s="0" t="s">
        <v>140</v>
      </c>
      <c r="N1922" s="0" t="n">
        <v>1913</v>
      </c>
      <c r="O1922" s="10" t="n">
        <v>0.32797322049737</v>
      </c>
      <c r="P1922" s="10" t="n">
        <v>0.556908084778115</v>
      </c>
      <c r="Q1922" s="0" t="str">
        <f aca="false">SUBSTITUTE(SUBSTITUTE($I1922,CHAR(61),""),CHAR(34),"")</f>
        <v>10-14</v>
      </c>
      <c r="R1922" s="0" t="str">
        <f aca="false">IF($D1922&lt;&gt;"","["&amp;$E1922&amp;"]"&amp;"|"&amp;$Q1922&amp;"|"&amp;$K1922&amp;"|"&amp;$G1922&amp;"|"&amp;IF($G1922="TX_CURR_SUBNAT.R","CY2022Q4",$M1922),"")</f>
        <v>[YCKiBAp8QAg]|10-14|Female|PopART.Rt.T_1|CY2023Q3</v>
      </c>
    </row>
    <row r="1923" customFormat="false" ht="15" hidden="false" customHeight="false" outlineLevel="0" collapsed="false">
      <c r="D1923" s="0" t="s">
        <v>129</v>
      </c>
      <c r="E1923" s="0" t="s">
        <v>130</v>
      </c>
      <c r="F1923" s="0" t="s">
        <v>131</v>
      </c>
      <c r="G1923" s="0" t="s">
        <v>145</v>
      </c>
      <c r="H1923" s="0" t="s">
        <v>145</v>
      </c>
      <c r="I1923" s="0" t="s">
        <v>38</v>
      </c>
      <c r="J1923" s="0" t="s">
        <v>39</v>
      </c>
      <c r="K1923" s="0" t="s">
        <v>30</v>
      </c>
      <c r="L1923" s="0" t="s">
        <v>31</v>
      </c>
      <c r="M1923" s="0" t="s">
        <v>140</v>
      </c>
      <c r="N1923" s="0" t="n">
        <v>607</v>
      </c>
      <c r="O1923" s="10" t="n">
        <v>0.921907485462725</v>
      </c>
      <c r="P1923" s="10" t="n">
        <v>0.556908084778115</v>
      </c>
      <c r="Q1923" s="0" t="str">
        <f aca="false">SUBSTITUTE(SUBSTITUTE($I1923,CHAR(61),""),CHAR(34),"")</f>
        <v>15-24</v>
      </c>
      <c r="R1923" s="0" t="str">
        <f aca="false">IF($D1923&lt;&gt;"","["&amp;$E1923&amp;"]"&amp;"|"&amp;$Q1923&amp;"|"&amp;$K1923&amp;"|"&amp;$G1923&amp;"|"&amp;IF($G1923="TX_CURR_SUBNAT.R","CY2022Q4",$M1923),"")</f>
        <v>[YCKiBAp8QAg]|15-24|Female|PopART.Rt.T_1|CY2023Q3</v>
      </c>
    </row>
    <row r="1924" customFormat="false" ht="15" hidden="false" customHeight="false" outlineLevel="0" collapsed="false">
      <c r="D1924" s="0" t="s">
        <v>129</v>
      </c>
      <c r="E1924" s="0" t="s">
        <v>130</v>
      </c>
      <c r="F1924" s="0" t="s">
        <v>131</v>
      </c>
      <c r="G1924" s="0" t="s">
        <v>145</v>
      </c>
      <c r="H1924" s="0" t="s">
        <v>145</v>
      </c>
      <c r="I1924" s="0" t="s">
        <v>41</v>
      </c>
      <c r="J1924" s="0" t="s">
        <v>42</v>
      </c>
      <c r="K1924" s="0" t="s">
        <v>30</v>
      </c>
      <c r="L1924" s="0" t="s">
        <v>31</v>
      </c>
      <c r="M1924" s="0" t="s">
        <v>140</v>
      </c>
      <c r="N1924" s="0" t="n">
        <v>990</v>
      </c>
      <c r="O1924" s="10" t="n">
        <v>0.970281893853098</v>
      </c>
      <c r="P1924" s="10" t="n">
        <v>0.556908084778115</v>
      </c>
      <c r="Q1924" s="0" t="str">
        <f aca="false">SUBSTITUTE(SUBSTITUTE($I1924,CHAR(61),""),CHAR(34),"")</f>
        <v>25-34</v>
      </c>
      <c r="R1924" s="0" t="str">
        <f aca="false">IF($D1924&lt;&gt;"","["&amp;$E1924&amp;"]"&amp;"|"&amp;$Q1924&amp;"|"&amp;$K1924&amp;"|"&amp;$G1924&amp;"|"&amp;IF($G1924="TX_CURR_SUBNAT.R","CY2022Q4",$M1924),"")</f>
        <v>[YCKiBAp8QAg]|25-34|Female|PopART.Rt.T_1|CY2023Q3</v>
      </c>
    </row>
    <row r="1925" customFormat="false" ht="15" hidden="false" customHeight="false" outlineLevel="0" collapsed="false">
      <c r="D1925" s="0" t="s">
        <v>129</v>
      </c>
      <c r="E1925" s="0" t="s">
        <v>130</v>
      </c>
      <c r="F1925" s="0" t="s">
        <v>131</v>
      </c>
      <c r="G1925" s="0" t="s">
        <v>145</v>
      </c>
      <c r="H1925" s="0" t="s">
        <v>145</v>
      </c>
      <c r="I1925" s="0" t="s">
        <v>43</v>
      </c>
      <c r="J1925" s="0" t="s">
        <v>44</v>
      </c>
      <c r="K1925" s="0" t="s">
        <v>30</v>
      </c>
      <c r="L1925" s="0" t="s">
        <v>31</v>
      </c>
      <c r="M1925" s="0" t="s">
        <v>140</v>
      </c>
      <c r="N1925" s="0" t="n">
        <v>667</v>
      </c>
      <c r="O1925" s="10" t="n">
        <v>0.886261679464951</v>
      </c>
      <c r="P1925" s="10" t="n">
        <v>0.556908084778115</v>
      </c>
      <c r="Q1925" s="0" t="str">
        <f aca="false">SUBSTITUTE(SUBSTITUTE($I1925,CHAR(61),""),CHAR(34),"")</f>
        <v>35-49</v>
      </c>
      <c r="R1925" s="0" t="str">
        <f aca="false">IF($D1925&lt;&gt;"","["&amp;$E1925&amp;"]"&amp;"|"&amp;$Q1925&amp;"|"&amp;$K1925&amp;"|"&amp;$G1925&amp;"|"&amp;IF($G1925="TX_CURR_SUBNAT.R","CY2022Q4",$M1925),"")</f>
        <v>[YCKiBAp8QAg]|35-49|Female|PopART.Rt.T_1|CY2023Q3</v>
      </c>
    </row>
    <row r="1926" customFormat="false" ht="15" hidden="false" customHeight="false" outlineLevel="0" collapsed="false">
      <c r="D1926" s="0" t="s">
        <v>129</v>
      </c>
      <c r="E1926" s="0" t="s">
        <v>130</v>
      </c>
      <c r="F1926" s="0" t="s">
        <v>131</v>
      </c>
      <c r="G1926" s="0" t="s">
        <v>145</v>
      </c>
      <c r="H1926" s="0" t="s">
        <v>145</v>
      </c>
      <c r="I1926" s="0" t="s">
        <v>45</v>
      </c>
      <c r="J1926" s="0" t="s">
        <v>46</v>
      </c>
      <c r="K1926" s="0" t="s">
        <v>30</v>
      </c>
      <c r="L1926" s="0" t="s">
        <v>31</v>
      </c>
      <c r="M1926" s="0" t="s">
        <v>140</v>
      </c>
      <c r="N1926" s="0" t="n">
        <v>842</v>
      </c>
      <c r="O1926" s="10" t="n">
        <v>0.141010038554668</v>
      </c>
      <c r="P1926" s="10" t="n">
        <v>0.556908084778115</v>
      </c>
      <c r="Q1926" s="0" t="str">
        <f aca="false">SUBSTITUTE(SUBSTITUTE($I1926,CHAR(61),""),CHAR(34),"")</f>
        <v>50+</v>
      </c>
      <c r="R1926" s="0" t="str">
        <f aca="false">IF($D1926&lt;&gt;"","["&amp;$E1926&amp;"]"&amp;"|"&amp;$Q1926&amp;"|"&amp;$K1926&amp;"|"&amp;$G1926&amp;"|"&amp;IF($G1926="TX_CURR_SUBNAT.R","CY2022Q4",$M1926),"")</f>
        <v>[YCKiBAp8QAg]|50+|Female|PopART.Rt.T_1|CY2023Q3</v>
      </c>
    </row>
    <row r="1927" customFormat="false" ht="15" hidden="false" customHeight="false" outlineLevel="0" collapsed="false">
      <c r="D1927" s="0" t="s">
        <v>129</v>
      </c>
      <c r="E1927" s="0" t="s">
        <v>130</v>
      </c>
      <c r="F1927" s="0" t="s">
        <v>131</v>
      </c>
      <c r="G1927" s="0" t="s">
        <v>145</v>
      </c>
      <c r="H1927" s="0" t="s">
        <v>145</v>
      </c>
      <c r="I1927" s="0" t="s">
        <v>28</v>
      </c>
      <c r="J1927" s="0" t="s">
        <v>29</v>
      </c>
      <c r="K1927" s="0" t="s">
        <v>48</v>
      </c>
      <c r="L1927" s="0" t="s">
        <v>49</v>
      </c>
      <c r="M1927" s="0" t="s">
        <v>140</v>
      </c>
      <c r="N1927" s="0" t="n">
        <v>809</v>
      </c>
      <c r="O1927" s="10" t="n">
        <v>0.236413915641606</v>
      </c>
      <c r="P1927" s="10" t="n">
        <v>0.556908084778115</v>
      </c>
      <c r="Q1927" s="0" t="str">
        <f aca="false">SUBSTITUTE(SUBSTITUTE($I1927,CHAR(61),""),CHAR(34),"")</f>
        <v>&lt;01</v>
      </c>
      <c r="R1927" s="0" t="str">
        <f aca="false">IF($D1927&lt;&gt;"","["&amp;$E1927&amp;"]"&amp;"|"&amp;$Q1927&amp;"|"&amp;$K1927&amp;"|"&amp;$G1927&amp;"|"&amp;IF($G1927="TX_CURR_SUBNAT.R","CY2022Q4",$M1927),"")</f>
        <v>[YCKiBAp8QAg]|&lt;01|Male|PopART.Rt.T_1|CY2023Q3</v>
      </c>
    </row>
    <row r="1928" customFormat="false" ht="15" hidden="false" customHeight="false" outlineLevel="0" collapsed="false">
      <c r="D1928" s="0" t="s">
        <v>129</v>
      </c>
      <c r="E1928" s="0" t="s">
        <v>130</v>
      </c>
      <c r="F1928" s="0" t="s">
        <v>131</v>
      </c>
      <c r="G1928" s="0" t="s">
        <v>145</v>
      </c>
      <c r="H1928" s="0" t="s">
        <v>145</v>
      </c>
      <c r="I1928" s="0" t="s">
        <v>33</v>
      </c>
      <c r="J1928" s="0" t="s">
        <v>34</v>
      </c>
      <c r="K1928" s="0" t="s">
        <v>48</v>
      </c>
      <c r="L1928" s="0" t="s">
        <v>49</v>
      </c>
      <c r="M1928" s="0" t="s">
        <v>140</v>
      </c>
      <c r="N1928" s="0" t="n">
        <v>1659</v>
      </c>
      <c r="O1928" s="10" t="n">
        <v>0.509275367017835</v>
      </c>
      <c r="P1928" s="10" t="n">
        <v>0.556908084778115</v>
      </c>
      <c r="Q1928" s="0" t="str">
        <f aca="false">SUBSTITUTE(SUBSTITUTE($I1928,CHAR(61),""),CHAR(34),"")</f>
        <v>01-09</v>
      </c>
      <c r="R1928" s="0" t="str">
        <f aca="false">IF($D1928&lt;&gt;"","["&amp;$E1928&amp;"]"&amp;"|"&amp;$Q1928&amp;"|"&amp;$K1928&amp;"|"&amp;$G1928&amp;"|"&amp;IF($G1928="TX_CURR_SUBNAT.R","CY2022Q4",$M1928),"")</f>
        <v>[YCKiBAp8QAg]|01-09|Male|PopART.Rt.T_1|CY2023Q3</v>
      </c>
    </row>
    <row r="1929" customFormat="false" ht="15" hidden="false" customHeight="false" outlineLevel="0" collapsed="false">
      <c r="D1929" s="0" t="s">
        <v>129</v>
      </c>
      <c r="E1929" s="0" t="s">
        <v>130</v>
      </c>
      <c r="F1929" s="0" t="s">
        <v>131</v>
      </c>
      <c r="G1929" s="0" t="s">
        <v>145</v>
      </c>
      <c r="H1929" s="0" t="s">
        <v>145</v>
      </c>
      <c r="I1929" s="0" t="s">
        <v>36</v>
      </c>
      <c r="J1929" s="0" t="s">
        <v>37</v>
      </c>
      <c r="K1929" s="0" t="s">
        <v>48</v>
      </c>
      <c r="L1929" s="0" t="s">
        <v>49</v>
      </c>
      <c r="M1929" s="0" t="s">
        <v>140</v>
      </c>
      <c r="N1929" s="0" t="n">
        <v>854</v>
      </c>
      <c r="O1929" s="10" t="n">
        <v>0.727710640523583</v>
      </c>
      <c r="P1929" s="10" t="n">
        <v>0.556908084778115</v>
      </c>
      <c r="Q1929" s="0" t="str">
        <f aca="false">SUBSTITUTE(SUBSTITUTE($I1929,CHAR(61),""),CHAR(34),"")</f>
        <v>10-14</v>
      </c>
      <c r="R1929" s="0" t="str">
        <f aca="false">IF($D1929&lt;&gt;"","["&amp;$E1929&amp;"]"&amp;"|"&amp;$Q1929&amp;"|"&amp;$K1929&amp;"|"&amp;$G1929&amp;"|"&amp;IF($G1929="TX_CURR_SUBNAT.R","CY2022Q4",$M1929),"")</f>
        <v>[YCKiBAp8QAg]|10-14|Male|PopART.Rt.T_1|CY2023Q3</v>
      </c>
    </row>
    <row r="1930" customFormat="false" ht="15" hidden="false" customHeight="false" outlineLevel="0" collapsed="false">
      <c r="D1930" s="0" t="s">
        <v>129</v>
      </c>
      <c r="E1930" s="0" t="s">
        <v>130</v>
      </c>
      <c r="F1930" s="0" t="s">
        <v>131</v>
      </c>
      <c r="G1930" s="0" t="s">
        <v>145</v>
      </c>
      <c r="H1930" s="0" t="s">
        <v>145</v>
      </c>
      <c r="I1930" s="0" t="s">
        <v>38</v>
      </c>
      <c r="J1930" s="0" t="s">
        <v>39</v>
      </c>
      <c r="K1930" s="0" t="s">
        <v>48</v>
      </c>
      <c r="L1930" s="0" t="s">
        <v>49</v>
      </c>
      <c r="M1930" s="0" t="s">
        <v>140</v>
      </c>
      <c r="N1930" s="0" t="n">
        <v>1020</v>
      </c>
      <c r="O1930" s="10" t="n">
        <v>0.520676231244579</v>
      </c>
      <c r="P1930" s="10" t="n">
        <v>0.556908084778115</v>
      </c>
      <c r="Q1930" s="0" t="str">
        <f aca="false">SUBSTITUTE(SUBSTITUTE($I1930,CHAR(61),""),CHAR(34),"")</f>
        <v>15-24</v>
      </c>
      <c r="R1930" s="0" t="str">
        <f aca="false">IF($D1930&lt;&gt;"","["&amp;$E1930&amp;"]"&amp;"|"&amp;$Q1930&amp;"|"&amp;$K1930&amp;"|"&amp;$G1930&amp;"|"&amp;IF($G1930="TX_CURR_SUBNAT.R","CY2022Q4",$M1930),"")</f>
        <v>[YCKiBAp8QAg]|15-24|Male|PopART.Rt.T_1|CY2023Q3</v>
      </c>
    </row>
    <row r="1931" customFormat="false" ht="15" hidden="false" customHeight="false" outlineLevel="0" collapsed="false">
      <c r="D1931" s="0" t="s">
        <v>129</v>
      </c>
      <c r="E1931" s="0" t="s">
        <v>130</v>
      </c>
      <c r="F1931" s="0" t="s">
        <v>131</v>
      </c>
      <c r="G1931" s="0" t="s">
        <v>145</v>
      </c>
      <c r="H1931" s="0" t="s">
        <v>145</v>
      </c>
      <c r="I1931" s="0" t="s">
        <v>41</v>
      </c>
      <c r="J1931" s="0" t="s">
        <v>42</v>
      </c>
      <c r="K1931" s="0" t="s">
        <v>48</v>
      </c>
      <c r="L1931" s="0" t="s">
        <v>49</v>
      </c>
      <c r="M1931" s="0" t="s">
        <v>140</v>
      </c>
      <c r="N1931" s="0" t="n">
        <v>1603</v>
      </c>
      <c r="O1931" s="10" t="n">
        <v>0.97999323066324</v>
      </c>
      <c r="P1931" s="10" t="n">
        <v>0.556908084778115</v>
      </c>
      <c r="Q1931" s="0" t="str">
        <f aca="false">SUBSTITUTE(SUBSTITUTE($I1931,CHAR(61),""),CHAR(34),"")</f>
        <v>25-34</v>
      </c>
      <c r="R1931" s="0" t="str">
        <f aca="false">IF($D1931&lt;&gt;"","["&amp;$E1931&amp;"]"&amp;"|"&amp;$Q1931&amp;"|"&amp;$K1931&amp;"|"&amp;$G1931&amp;"|"&amp;IF($G1931="TX_CURR_SUBNAT.R","CY2022Q4",$M1931),"")</f>
        <v>[YCKiBAp8QAg]|25-34|Male|PopART.Rt.T_1|CY2023Q3</v>
      </c>
    </row>
    <row r="1932" customFormat="false" ht="15" hidden="false" customHeight="false" outlineLevel="0" collapsed="false">
      <c r="D1932" s="0" t="s">
        <v>129</v>
      </c>
      <c r="E1932" s="0" t="s">
        <v>130</v>
      </c>
      <c r="F1932" s="0" t="s">
        <v>131</v>
      </c>
      <c r="G1932" s="0" t="s">
        <v>145</v>
      </c>
      <c r="H1932" s="0" t="s">
        <v>145</v>
      </c>
      <c r="I1932" s="0" t="s">
        <v>43</v>
      </c>
      <c r="J1932" s="0" t="s">
        <v>44</v>
      </c>
      <c r="K1932" s="0" t="s">
        <v>48</v>
      </c>
      <c r="L1932" s="0" t="s">
        <v>49</v>
      </c>
      <c r="M1932" s="0" t="s">
        <v>140</v>
      </c>
      <c r="N1932" s="0" t="n">
        <v>1398</v>
      </c>
      <c r="O1932" s="10" t="n">
        <v>0.516187908360735</v>
      </c>
      <c r="P1932" s="10" t="n">
        <v>0.556908084778115</v>
      </c>
      <c r="Q1932" s="0" t="str">
        <f aca="false">SUBSTITUTE(SUBSTITUTE($I1932,CHAR(61),""),CHAR(34),"")</f>
        <v>35-49</v>
      </c>
      <c r="R1932" s="0" t="str">
        <f aca="false">IF($D1932&lt;&gt;"","["&amp;$E1932&amp;"]"&amp;"|"&amp;$Q1932&amp;"|"&amp;$K1932&amp;"|"&amp;$G1932&amp;"|"&amp;IF($G1932="TX_CURR_SUBNAT.R","CY2022Q4",$M1932),"")</f>
        <v>[YCKiBAp8QAg]|35-49|Male|PopART.Rt.T_1|CY2023Q3</v>
      </c>
    </row>
    <row r="1933" customFormat="false" ht="15" hidden="false" customHeight="false" outlineLevel="0" collapsed="false">
      <c r="D1933" s="0" t="s">
        <v>129</v>
      </c>
      <c r="E1933" s="0" t="s">
        <v>130</v>
      </c>
      <c r="F1933" s="0" t="s">
        <v>131</v>
      </c>
      <c r="G1933" s="0" t="s">
        <v>145</v>
      </c>
      <c r="H1933" s="0" t="s">
        <v>145</v>
      </c>
      <c r="I1933" s="0" t="s">
        <v>45</v>
      </c>
      <c r="J1933" s="0" t="s">
        <v>46</v>
      </c>
      <c r="K1933" s="0" t="s">
        <v>48</v>
      </c>
      <c r="L1933" s="0" t="s">
        <v>49</v>
      </c>
      <c r="M1933" s="0" t="s">
        <v>140</v>
      </c>
      <c r="N1933" s="0" t="n">
        <v>1711</v>
      </c>
      <c r="O1933" s="10" t="n">
        <v>0.648770585656166</v>
      </c>
      <c r="P1933" s="10" t="n">
        <v>0.556908084778115</v>
      </c>
      <c r="Q1933" s="0" t="str">
        <f aca="false">SUBSTITUTE(SUBSTITUTE($I1933,CHAR(61),""),CHAR(34),"")</f>
        <v>50+</v>
      </c>
      <c r="R1933" s="0" t="str">
        <f aca="false">IF($D1933&lt;&gt;"","["&amp;$E1933&amp;"]"&amp;"|"&amp;$Q1933&amp;"|"&amp;$K1933&amp;"|"&amp;$G1933&amp;"|"&amp;IF($G1933="TX_CURR_SUBNAT.R","CY2022Q4",$M1933),"")</f>
        <v>[YCKiBAp8QAg]|50+|Male|PopART.Rt.T_1|CY2023Q3</v>
      </c>
    </row>
    <row r="1934" customFormat="false" ht="15" hidden="false" customHeight="false" outlineLevel="0" collapsed="false">
      <c r="D1934" s="0" t="s">
        <v>132</v>
      </c>
      <c r="E1934" s="0" t="s">
        <v>133</v>
      </c>
      <c r="F1934" s="0" t="s">
        <v>134</v>
      </c>
      <c r="G1934" s="0" t="s">
        <v>145</v>
      </c>
      <c r="H1934" s="0" t="s">
        <v>145</v>
      </c>
      <c r="I1934" s="0" t="s">
        <v>28</v>
      </c>
      <c r="J1934" s="0" t="s">
        <v>29</v>
      </c>
      <c r="K1934" s="0" t="s">
        <v>30</v>
      </c>
      <c r="L1934" s="0" t="s">
        <v>31</v>
      </c>
      <c r="M1934" s="0" t="s">
        <v>140</v>
      </c>
      <c r="N1934" s="0" t="n">
        <v>931</v>
      </c>
      <c r="O1934" s="10" t="n">
        <v>0.056771497707814</v>
      </c>
      <c r="P1934" s="10" t="n">
        <v>0.162863194011152</v>
      </c>
      <c r="Q1934" s="0" t="str">
        <f aca="false">SUBSTITUTE(SUBSTITUTE($I1934,CHAR(61),""),CHAR(34),"")</f>
        <v>&lt;01</v>
      </c>
      <c r="R1934" s="0" t="str">
        <f aca="false">IF($D1934&lt;&gt;"","["&amp;$E1934&amp;"]"&amp;"|"&amp;$Q1934&amp;"|"&amp;$K1934&amp;"|"&amp;$G1934&amp;"|"&amp;IF($G1934="TX_CURR_SUBNAT.R","CY2022Q4",$M1934),"")</f>
        <v>[JQKLKuVuY61]|&lt;01|Female|PopART.Rt.T_1|CY2023Q3</v>
      </c>
    </row>
    <row r="1935" customFormat="false" ht="15" hidden="false" customHeight="false" outlineLevel="0" collapsed="false">
      <c r="D1935" s="0" t="s">
        <v>132</v>
      </c>
      <c r="E1935" s="0" t="s">
        <v>133</v>
      </c>
      <c r="F1935" s="0" t="s">
        <v>134</v>
      </c>
      <c r="G1935" s="0" t="s">
        <v>145</v>
      </c>
      <c r="H1935" s="0" t="s">
        <v>145</v>
      </c>
      <c r="I1935" s="0" t="s">
        <v>33</v>
      </c>
      <c r="J1935" s="0" t="s">
        <v>34</v>
      </c>
      <c r="K1935" s="0" t="s">
        <v>30</v>
      </c>
      <c r="L1935" s="0" t="s">
        <v>31</v>
      </c>
      <c r="M1935" s="0" t="s">
        <v>140</v>
      </c>
      <c r="N1935" s="0" t="n">
        <v>1209</v>
      </c>
      <c r="O1935" s="10" t="n">
        <v>0.350598408142105</v>
      </c>
      <c r="P1935" s="10" t="n">
        <v>0.162863194011152</v>
      </c>
      <c r="Q1935" s="0" t="str">
        <f aca="false">SUBSTITUTE(SUBSTITUTE($I1935,CHAR(61),""),CHAR(34),"")</f>
        <v>01-09</v>
      </c>
      <c r="R1935" s="0" t="str">
        <f aca="false">IF($D1935&lt;&gt;"","["&amp;$E1935&amp;"]"&amp;"|"&amp;$Q1935&amp;"|"&amp;$K1935&amp;"|"&amp;$G1935&amp;"|"&amp;IF($G1935="TX_CURR_SUBNAT.R","CY2022Q4",$M1935),"")</f>
        <v>[JQKLKuVuY61]|01-09|Female|PopART.Rt.T_1|CY2023Q3</v>
      </c>
    </row>
    <row r="1936" customFormat="false" ht="15" hidden="false" customHeight="false" outlineLevel="0" collapsed="false">
      <c r="D1936" s="0" t="s">
        <v>132</v>
      </c>
      <c r="E1936" s="0" t="s">
        <v>133</v>
      </c>
      <c r="F1936" s="0" t="s">
        <v>134</v>
      </c>
      <c r="G1936" s="0" t="s">
        <v>145</v>
      </c>
      <c r="H1936" s="0" t="s">
        <v>145</v>
      </c>
      <c r="I1936" s="0" t="s">
        <v>36</v>
      </c>
      <c r="J1936" s="0" t="s">
        <v>37</v>
      </c>
      <c r="K1936" s="0" t="s">
        <v>30</v>
      </c>
      <c r="L1936" s="0" t="s">
        <v>31</v>
      </c>
      <c r="M1936" s="0" t="s">
        <v>140</v>
      </c>
      <c r="N1936" s="0" t="n">
        <v>1612</v>
      </c>
      <c r="O1936" s="10" t="n">
        <v>0.651528696063906</v>
      </c>
      <c r="P1936" s="10" t="n">
        <v>0.162863194011152</v>
      </c>
      <c r="Q1936" s="0" t="str">
        <f aca="false">SUBSTITUTE(SUBSTITUTE($I1936,CHAR(61),""),CHAR(34),"")</f>
        <v>10-14</v>
      </c>
      <c r="R1936" s="0" t="str">
        <f aca="false">IF($D1936&lt;&gt;"","["&amp;$E1936&amp;"]"&amp;"|"&amp;$Q1936&amp;"|"&amp;$K1936&amp;"|"&amp;$G1936&amp;"|"&amp;IF($G1936="TX_CURR_SUBNAT.R","CY2022Q4",$M1936),"")</f>
        <v>[JQKLKuVuY61]|10-14|Female|PopART.Rt.T_1|CY2023Q3</v>
      </c>
    </row>
    <row r="1937" customFormat="false" ht="15" hidden="false" customHeight="false" outlineLevel="0" collapsed="false">
      <c r="D1937" s="0" t="s">
        <v>132</v>
      </c>
      <c r="E1937" s="0" t="s">
        <v>133</v>
      </c>
      <c r="F1937" s="0" t="s">
        <v>134</v>
      </c>
      <c r="G1937" s="0" t="s">
        <v>145</v>
      </c>
      <c r="H1937" s="0" t="s">
        <v>145</v>
      </c>
      <c r="I1937" s="0" t="s">
        <v>38</v>
      </c>
      <c r="J1937" s="0" t="s">
        <v>39</v>
      </c>
      <c r="K1937" s="0" t="s">
        <v>30</v>
      </c>
      <c r="L1937" s="0" t="s">
        <v>31</v>
      </c>
      <c r="M1937" s="0" t="s">
        <v>140</v>
      </c>
      <c r="N1937" s="0" t="n">
        <v>1973</v>
      </c>
      <c r="O1937" s="10" t="n">
        <v>0.48158067301847</v>
      </c>
      <c r="P1937" s="10" t="n">
        <v>0.162863194011152</v>
      </c>
      <c r="Q1937" s="0" t="str">
        <f aca="false">SUBSTITUTE(SUBSTITUTE($I1937,CHAR(61),""),CHAR(34),"")</f>
        <v>15-24</v>
      </c>
      <c r="R1937" s="0" t="str">
        <f aca="false">IF($D1937&lt;&gt;"","["&amp;$E1937&amp;"]"&amp;"|"&amp;$Q1937&amp;"|"&amp;$K1937&amp;"|"&amp;$G1937&amp;"|"&amp;IF($G1937="TX_CURR_SUBNAT.R","CY2022Q4",$M1937),"")</f>
        <v>[JQKLKuVuY61]|15-24|Female|PopART.Rt.T_1|CY2023Q3</v>
      </c>
    </row>
    <row r="1938" customFormat="false" ht="15" hidden="false" customHeight="false" outlineLevel="0" collapsed="false">
      <c r="D1938" s="0" t="s">
        <v>132</v>
      </c>
      <c r="E1938" s="0" t="s">
        <v>133</v>
      </c>
      <c r="F1938" s="0" t="s">
        <v>134</v>
      </c>
      <c r="G1938" s="0" t="s">
        <v>145</v>
      </c>
      <c r="H1938" s="0" t="s">
        <v>145</v>
      </c>
      <c r="I1938" s="0" t="s">
        <v>41</v>
      </c>
      <c r="J1938" s="0" t="s">
        <v>42</v>
      </c>
      <c r="K1938" s="0" t="s">
        <v>30</v>
      </c>
      <c r="L1938" s="0" t="s">
        <v>31</v>
      </c>
      <c r="M1938" s="0" t="s">
        <v>140</v>
      </c>
      <c r="N1938" s="0" t="n">
        <v>1159</v>
      </c>
      <c r="O1938" s="10" t="n">
        <v>0.362043803092092</v>
      </c>
      <c r="P1938" s="10" t="n">
        <v>0.162863194011152</v>
      </c>
      <c r="Q1938" s="0" t="str">
        <f aca="false">SUBSTITUTE(SUBSTITUTE($I1938,CHAR(61),""),CHAR(34),"")</f>
        <v>25-34</v>
      </c>
      <c r="R1938" s="0" t="str">
        <f aca="false">IF($D1938&lt;&gt;"","["&amp;$E1938&amp;"]"&amp;"|"&amp;$Q1938&amp;"|"&amp;$K1938&amp;"|"&amp;$G1938&amp;"|"&amp;IF($G1938="TX_CURR_SUBNAT.R","CY2022Q4",$M1938),"")</f>
        <v>[JQKLKuVuY61]|25-34|Female|PopART.Rt.T_1|CY2023Q3</v>
      </c>
    </row>
    <row r="1939" customFormat="false" ht="15" hidden="false" customHeight="false" outlineLevel="0" collapsed="false">
      <c r="D1939" s="0" t="s">
        <v>132</v>
      </c>
      <c r="E1939" s="0" t="s">
        <v>133</v>
      </c>
      <c r="F1939" s="0" t="s">
        <v>134</v>
      </c>
      <c r="G1939" s="0" t="s">
        <v>145</v>
      </c>
      <c r="H1939" s="0" t="s">
        <v>145</v>
      </c>
      <c r="I1939" s="0" t="s">
        <v>43</v>
      </c>
      <c r="J1939" s="0" t="s">
        <v>44</v>
      </c>
      <c r="K1939" s="0" t="s">
        <v>30</v>
      </c>
      <c r="L1939" s="0" t="s">
        <v>31</v>
      </c>
      <c r="M1939" s="0" t="s">
        <v>140</v>
      </c>
      <c r="N1939" s="0" t="n">
        <v>1063</v>
      </c>
      <c r="O1939" s="10" t="n">
        <v>0.0216933311894536</v>
      </c>
      <c r="P1939" s="10" t="n">
        <v>0.162863194011152</v>
      </c>
      <c r="Q1939" s="0" t="str">
        <f aca="false">SUBSTITUTE(SUBSTITUTE($I1939,CHAR(61),""),CHAR(34),"")</f>
        <v>35-49</v>
      </c>
      <c r="R1939" s="0" t="str">
        <f aca="false">IF($D1939&lt;&gt;"","["&amp;$E1939&amp;"]"&amp;"|"&amp;$Q1939&amp;"|"&amp;$K1939&amp;"|"&amp;$G1939&amp;"|"&amp;IF($G1939="TX_CURR_SUBNAT.R","CY2022Q4",$M1939),"")</f>
        <v>[JQKLKuVuY61]|35-49|Female|PopART.Rt.T_1|CY2023Q3</v>
      </c>
    </row>
    <row r="1940" customFormat="false" ht="15" hidden="false" customHeight="false" outlineLevel="0" collapsed="false">
      <c r="D1940" s="0" t="s">
        <v>132</v>
      </c>
      <c r="E1940" s="0" t="s">
        <v>133</v>
      </c>
      <c r="F1940" s="0" t="s">
        <v>134</v>
      </c>
      <c r="G1940" s="0" t="s">
        <v>145</v>
      </c>
      <c r="H1940" s="0" t="s">
        <v>145</v>
      </c>
      <c r="I1940" s="0" t="s">
        <v>45</v>
      </c>
      <c r="J1940" s="0" t="s">
        <v>46</v>
      </c>
      <c r="K1940" s="0" t="s">
        <v>30</v>
      </c>
      <c r="L1940" s="0" t="s">
        <v>31</v>
      </c>
      <c r="M1940" s="0" t="s">
        <v>140</v>
      </c>
      <c r="N1940" s="0" t="n">
        <v>1446</v>
      </c>
      <c r="O1940" s="10" t="n">
        <v>0.189575034892187</v>
      </c>
      <c r="P1940" s="10" t="n">
        <v>0.162863194011152</v>
      </c>
      <c r="Q1940" s="0" t="str">
        <f aca="false">SUBSTITUTE(SUBSTITUTE($I1940,CHAR(61),""),CHAR(34),"")</f>
        <v>50+</v>
      </c>
      <c r="R1940" s="0" t="str">
        <f aca="false">IF($D1940&lt;&gt;"","["&amp;$E1940&amp;"]"&amp;"|"&amp;$Q1940&amp;"|"&amp;$K1940&amp;"|"&amp;$G1940&amp;"|"&amp;IF($G1940="TX_CURR_SUBNAT.R","CY2022Q4",$M1940),"")</f>
        <v>[JQKLKuVuY61]|50+|Female|PopART.Rt.T_1|CY2023Q3</v>
      </c>
    </row>
    <row r="1941" customFormat="false" ht="15" hidden="false" customHeight="false" outlineLevel="0" collapsed="false">
      <c r="D1941" s="0" t="s">
        <v>132</v>
      </c>
      <c r="E1941" s="0" t="s">
        <v>133</v>
      </c>
      <c r="F1941" s="0" t="s">
        <v>134</v>
      </c>
      <c r="G1941" s="0" t="s">
        <v>145</v>
      </c>
      <c r="H1941" s="0" t="s">
        <v>145</v>
      </c>
      <c r="I1941" s="0" t="s">
        <v>28</v>
      </c>
      <c r="J1941" s="0" t="s">
        <v>29</v>
      </c>
      <c r="K1941" s="0" t="s">
        <v>48</v>
      </c>
      <c r="L1941" s="0" t="s">
        <v>49</v>
      </c>
      <c r="M1941" s="0" t="s">
        <v>140</v>
      </c>
      <c r="N1941" s="0" t="n">
        <v>1980</v>
      </c>
      <c r="O1941" s="10" t="n">
        <v>0.871109897037968</v>
      </c>
      <c r="P1941" s="10" t="n">
        <v>0.162863194011152</v>
      </c>
      <c r="Q1941" s="0" t="str">
        <f aca="false">SUBSTITUTE(SUBSTITUTE($I1941,CHAR(61),""),CHAR(34),"")</f>
        <v>&lt;01</v>
      </c>
      <c r="R1941" s="0" t="str">
        <f aca="false">IF($D1941&lt;&gt;"","["&amp;$E1941&amp;"]"&amp;"|"&amp;$Q1941&amp;"|"&amp;$K1941&amp;"|"&amp;$G1941&amp;"|"&amp;IF($G1941="TX_CURR_SUBNAT.R","CY2022Q4",$M1941),"")</f>
        <v>[JQKLKuVuY61]|&lt;01|Male|PopART.Rt.T_1|CY2023Q3</v>
      </c>
    </row>
    <row r="1942" customFormat="false" ht="15" hidden="false" customHeight="false" outlineLevel="0" collapsed="false">
      <c r="D1942" s="0" t="s">
        <v>132</v>
      </c>
      <c r="E1942" s="0" t="s">
        <v>133</v>
      </c>
      <c r="F1942" s="0" t="s">
        <v>134</v>
      </c>
      <c r="G1942" s="0" t="s">
        <v>145</v>
      </c>
      <c r="H1942" s="0" t="s">
        <v>145</v>
      </c>
      <c r="I1942" s="0" t="s">
        <v>33</v>
      </c>
      <c r="J1942" s="0" t="s">
        <v>34</v>
      </c>
      <c r="K1942" s="0" t="s">
        <v>48</v>
      </c>
      <c r="L1942" s="0" t="s">
        <v>49</v>
      </c>
      <c r="M1942" s="0" t="s">
        <v>140</v>
      </c>
      <c r="N1942" s="0" t="n">
        <v>1599</v>
      </c>
      <c r="O1942" s="10" t="n">
        <v>0.478606721153483</v>
      </c>
      <c r="P1942" s="10" t="n">
        <v>0.162863194011152</v>
      </c>
      <c r="Q1942" s="0" t="str">
        <f aca="false">SUBSTITUTE(SUBSTITUTE($I1942,CHAR(61),""),CHAR(34),"")</f>
        <v>01-09</v>
      </c>
      <c r="R1942" s="0" t="str">
        <f aca="false">IF($D1942&lt;&gt;"","["&amp;$E1942&amp;"]"&amp;"|"&amp;$Q1942&amp;"|"&amp;$K1942&amp;"|"&amp;$G1942&amp;"|"&amp;IF($G1942="TX_CURR_SUBNAT.R","CY2022Q4",$M1942),"")</f>
        <v>[JQKLKuVuY61]|01-09|Male|PopART.Rt.T_1|CY2023Q3</v>
      </c>
    </row>
    <row r="1943" customFormat="false" ht="15" hidden="false" customHeight="false" outlineLevel="0" collapsed="false">
      <c r="D1943" s="0" t="s">
        <v>132</v>
      </c>
      <c r="E1943" s="0" t="s">
        <v>133</v>
      </c>
      <c r="F1943" s="0" t="s">
        <v>134</v>
      </c>
      <c r="G1943" s="0" t="s">
        <v>145</v>
      </c>
      <c r="H1943" s="0" t="s">
        <v>145</v>
      </c>
      <c r="I1943" s="0" t="s">
        <v>36</v>
      </c>
      <c r="J1943" s="0" t="s">
        <v>37</v>
      </c>
      <c r="K1943" s="0" t="s">
        <v>48</v>
      </c>
      <c r="L1943" s="0" t="s">
        <v>49</v>
      </c>
      <c r="M1943" s="0" t="s">
        <v>140</v>
      </c>
      <c r="N1943" s="0" t="n">
        <v>1885</v>
      </c>
      <c r="O1943" s="10" t="n">
        <v>0.999290506588295</v>
      </c>
      <c r="P1943" s="10" t="n">
        <v>0.162863194011152</v>
      </c>
      <c r="Q1943" s="0" t="str">
        <f aca="false">SUBSTITUTE(SUBSTITUTE($I1943,CHAR(61),""),CHAR(34),"")</f>
        <v>10-14</v>
      </c>
      <c r="R1943" s="0" t="str">
        <f aca="false">IF($D1943&lt;&gt;"","["&amp;$E1943&amp;"]"&amp;"|"&amp;$Q1943&amp;"|"&amp;$K1943&amp;"|"&amp;$G1943&amp;"|"&amp;IF($G1943="TX_CURR_SUBNAT.R","CY2022Q4",$M1943),"")</f>
        <v>[JQKLKuVuY61]|10-14|Male|PopART.Rt.T_1|CY2023Q3</v>
      </c>
    </row>
    <row r="1944" customFormat="false" ht="15" hidden="false" customHeight="false" outlineLevel="0" collapsed="false">
      <c r="D1944" s="0" t="s">
        <v>132</v>
      </c>
      <c r="E1944" s="0" t="s">
        <v>133</v>
      </c>
      <c r="F1944" s="0" t="s">
        <v>134</v>
      </c>
      <c r="G1944" s="0" t="s">
        <v>145</v>
      </c>
      <c r="H1944" s="0" t="s">
        <v>145</v>
      </c>
      <c r="I1944" s="0" t="s">
        <v>38</v>
      </c>
      <c r="J1944" s="0" t="s">
        <v>39</v>
      </c>
      <c r="K1944" s="0" t="s">
        <v>48</v>
      </c>
      <c r="L1944" s="0" t="s">
        <v>49</v>
      </c>
      <c r="M1944" s="0" t="s">
        <v>140</v>
      </c>
      <c r="N1944" s="0" t="n">
        <v>1382</v>
      </c>
      <c r="O1944" s="10" t="n">
        <v>0.105587722267956</v>
      </c>
      <c r="P1944" s="10" t="n">
        <v>0.162863194011152</v>
      </c>
      <c r="Q1944" s="0" t="str">
        <f aca="false">SUBSTITUTE(SUBSTITUTE($I1944,CHAR(61),""),CHAR(34),"")</f>
        <v>15-24</v>
      </c>
      <c r="R1944" s="0" t="str">
        <f aca="false">IF($D1944&lt;&gt;"","["&amp;$E1944&amp;"]"&amp;"|"&amp;$Q1944&amp;"|"&amp;$K1944&amp;"|"&amp;$G1944&amp;"|"&amp;IF($G1944="TX_CURR_SUBNAT.R","CY2022Q4",$M1944),"")</f>
        <v>[JQKLKuVuY61]|15-24|Male|PopART.Rt.T_1|CY2023Q3</v>
      </c>
    </row>
    <row r="1945" customFormat="false" ht="15" hidden="false" customHeight="false" outlineLevel="0" collapsed="false">
      <c r="D1945" s="0" t="s">
        <v>132</v>
      </c>
      <c r="E1945" s="0" t="s">
        <v>133</v>
      </c>
      <c r="F1945" s="0" t="s">
        <v>134</v>
      </c>
      <c r="G1945" s="0" t="s">
        <v>145</v>
      </c>
      <c r="H1945" s="0" t="s">
        <v>145</v>
      </c>
      <c r="I1945" s="0" t="s">
        <v>41</v>
      </c>
      <c r="J1945" s="0" t="s">
        <v>42</v>
      </c>
      <c r="K1945" s="0" t="s">
        <v>48</v>
      </c>
      <c r="L1945" s="0" t="s">
        <v>49</v>
      </c>
      <c r="M1945" s="0" t="s">
        <v>140</v>
      </c>
      <c r="N1945" s="0" t="n">
        <v>1340</v>
      </c>
      <c r="O1945" s="10" t="n">
        <v>0.128333972301334</v>
      </c>
      <c r="P1945" s="10" t="n">
        <v>0.162863194011152</v>
      </c>
      <c r="Q1945" s="0" t="str">
        <f aca="false">SUBSTITUTE(SUBSTITUTE($I1945,CHAR(61),""),CHAR(34),"")</f>
        <v>25-34</v>
      </c>
      <c r="R1945" s="0" t="str">
        <f aca="false">IF($D1945&lt;&gt;"","["&amp;$E1945&amp;"]"&amp;"|"&amp;$Q1945&amp;"|"&amp;$K1945&amp;"|"&amp;$G1945&amp;"|"&amp;IF($G1945="TX_CURR_SUBNAT.R","CY2022Q4",$M1945),"")</f>
        <v>[JQKLKuVuY61]|25-34|Male|PopART.Rt.T_1|CY2023Q3</v>
      </c>
    </row>
    <row r="1946" customFormat="false" ht="15" hidden="false" customHeight="false" outlineLevel="0" collapsed="false">
      <c r="D1946" s="0" t="s">
        <v>132</v>
      </c>
      <c r="E1946" s="0" t="s">
        <v>133</v>
      </c>
      <c r="F1946" s="0" t="s">
        <v>134</v>
      </c>
      <c r="G1946" s="0" t="s">
        <v>145</v>
      </c>
      <c r="H1946" s="0" t="s">
        <v>145</v>
      </c>
      <c r="I1946" s="0" t="s">
        <v>43</v>
      </c>
      <c r="J1946" s="0" t="s">
        <v>44</v>
      </c>
      <c r="K1946" s="0" t="s">
        <v>48</v>
      </c>
      <c r="L1946" s="0" t="s">
        <v>49</v>
      </c>
      <c r="M1946" s="0" t="s">
        <v>140</v>
      </c>
      <c r="N1946" s="0" t="n">
        <v>1735</v>
      </c>
      <c r="O1946" s="10" t="n">
        <v>0.0714561936911196</v>
      </c>
      <c r="P1946" s="10" t="n">
        <v>0.162863194011152</v>
      </c>
      <c r="Q1946" s="0" t="str">
        <f aca="false">SUBSTITUTE(SUBSTITUTE($I1946,CHAR(61),""),CHAR(34),"")</f>
        <v>35-49</v>
      </c>
      <c r="R1946" s="0" t="str">
        <f aca="false">IF($D1946&lt;&gt;"","["&amp;$E1946&amp;"]"&amp;"|"&amp;$Q1946&amp;"|"&amp;$K1946&amp;"|"&amp;$G1946&amp;"|"&amp;IF($G1946="TX_CURR_SUBNAT.R","CY2022Q4",$M1946),"")</f>
        <v>[JQKLKuVuY61]|35-49|Male|PopART.Rt.T_1|CY2023Q3</v>
      </c>
    </row>
    <row r="1947" customFormat="false" ht="15" hidden="false" customHeight="false" outlineLevel="0" collapsed="false">
      <c r="D1947" s="0" t="s">
        <v>132</v>
      </c>
      <c r="E1947" s="0" t="s">
        <v>133</v>
      </c>
      <c r="F1947" s="0" t="s">
        <v>134</v>
      </c>
      <c r="G1947" s="0" t="s">
        <v>145</v>
      </c>
      <c r="H1947" s="0" t="s">
        <v>145</v>
      </c>
      <c r="I1947" s="0" t="s">
        <v>45</v>
      </c>
      <c r="J1947" s="0" t="s">
        <v>46</v>
      </c>
      <c r="K1947" s="0" t="s">
        <v>48</v>
      </c>
      <c r="L1947" s="0" t="s">
        <v>49</v>
      </c>
      <c r="M1947" s="0" t="s">
        <v>140</v>
      </c>
      <c r="N1947" s="0" t="n">
        <v>501</v>
      </c>
      <c r="O1947" s="10" t="n">
        <v>0.979802339803427</v>
      </c>
      <c r="P1947" s="10" t="n">
        <v>0.162863194011152</v>
      </c>
      <c r="Q1947" s="0" t="str">
        <f aca="false">SUBSTITUTE(SUBSTITUTE($I1947,CHAR(61),""),CHAR(34),"")</f>
        <v>50+</v>
      </c>
      <c r="R1947" s="0" t="str">
        <f aca="false">IF($D1947&lt;&gt;"","["&amp;$E1947&amp;"]"&amp;"|"&amp;$Q1947&amp;"|"&amp;$K1947&amp;"|"&amp;$G1947&amp;"|"&amp;IF($G1947="TX_CURR_SUBNAT.R","CY2022Q4",$M1947),"")</f>
        <v>[JQKLKuVuY61]|50+|Male|PopART.Rt.T_1|CY2023Q3</v>
      </c>
    </row>
    <row r="1948" customFormat="false" ht="15" hidden="false" customHeight="false" outlineLevel="0" collapsed="false">
      <c r="D1948" s="0" t="s">
        <v>135</v>
      </c>
      <c r="E1948" s="0" t="s">
        <v>136</v>
      </c>
      <c r="F1948" s="0" t="s">
        <v>137</v>
      </c>
      <c r="G1948" s="0" t="s">
        <v>145</v>
      </c>
      <c r="H1948" s="0" t="s">
        <v>145</v>
      </c>
      <c r="I1948" s="0" t="s">
        <v>28</v>
      </c>
      <c r="J1948" s="0" t="s">
        <v>29</v>
      </c>
      <c r="K1948" s="0" t="s">
        <v>30</v>
      </c>
      <c r="L1948" s="0" t="s">
        <v>31</v>
      </c>
      <c r="M1948" s="0" t="s">
        <v>140</v>
      </c>
      <c r="N1948" s="0" t="n">
        <v>794</v>
      </c>
      <c r="O1948" s="10" t="n">
        <v>0.613894277950749</v>
      </c>
      <c r="P1948" s="10" t="n">
        <v>0.955300528323278</v>
      </c>
      <c r="Q1948" s="0" t="str">
        <f aca="false">SUBSTITUTE(SUBSTITUTE($I1948,CHAR(61),""),CHAR(34),"")</f>
        <v>&lt;01</v>
      </c>
      <c r="R1948" s="0" t="str">
        <f aca="false">IF($D1948&lt;&gt;"","["&amp;$E1948&amp;"]"&amp;"|"&amp;$Q1948&amp;"|"&amp;$K1948&amp;"|"&amp;$G1948&amp;"|"&amp;IF($G1948="TX_CURR_SUBNAT.R","CY2022Q4",$M1948),"")</f>
        <v>[fiRkU6gEjLz]|&lt;01|Female|PopART.Rt.T_1|CY2023Q3</v>
      </c>
    </row>
    <row r="1949" customFormat="false" ht="15" hidden="false" customHeight="false" outlineLevel="0" collapsed="false">
      <c r="D1949" s="0" t="s">
        <v>135</v>
      </c>
      <c r="E1949" s="0" t="s">
        <v>136</v>
      </c>
      <c r="F1949" s="0" t="s">
        <v>137</v>
      </c>
      <c r="G1949" s="0" t="s">
        <v>145</v>
      </c>
      <c r="H1949" s="0" t="s">
        <v>145</v>
      </c>
      <c r="I1949" s="0" t="s">
        <v>33</v>
      </c>
      <c r="J1949" s="0" t="s">
        <v>34</v>
      </c>
      <c r="K1949" s="0" t="s">
        <v>30</v>
      </c>
      <c r="L1949" s="0" t="s">
        <v>31</v>
      </c>
      <c r="M1949" s="0" t="s">
        <v>140</v>
      </c>
      <c r="N1949" s="0" t="n">
        <v>1045</v>
      </c>
      <c r="O1949" s="10" t="n">
        <v>0.417417236370966</v>
      </c>
      <c r="P1949" s="10" t="n">
        <v>0.955300528323278</v>
      </c>
      <c r="Q1949" s="0" t="str">
        <f aca="false">SUBSTITUTE(SUBSTITUTE($I1949,CHAR(61),""),CHAR(34),"")</f>
        <v>01-09</v>
      </c>
      <c r="R1949" s="0" t="str">
        <f aca="false">IF($D1949&lt;&gt;"","["&amp;$E1949&amp;"]"&amp;"|"&amp;$Q1949&amp;"|"&amp;$K1949&amp;"|"&amp;$G1949&amp;"|"&amp;IF($G1949="TX_CURR_SUBNAT.R","CY2022Q4",$M1949),"")</f>
        <v>[fiRkU6gEjLz]|01-09|Female|PopART.Rt.T_1|CY2023Q3</v>
      </c>
    </row>
    <row r="1950" customFormat="false" ht="15" hidden="false" customHeight="false" outlineLevel="0" collapsed="false">
      <c r="D1950" s="0" t="s">
        <v>135</v>
      </c>
      <c r="E1950" s="0" t="s">
        <v>136</v>
      </c>
      <c r="F1950" s="0" t="s">
        <v>137</v>
      </c>
      <c r="G1950" s="0" t="s">
        <v>145</v>
      </c>
      <c r="H1950" s="0" t="s">
        <v>145</v>
      </c>
      <c r="I1950" s="0" t="s">
        <v>36</v>
      </c>
      <c r="J1950" s="0" t="s">
        <v>37</v>
      </c>
      <c r="K1950" s="0" t="s">
        <v>30</v>
      </c>
      <c r="L1950" s="0" t="s">
        <v>31</v>
      </c>
      <c r="M1950" s="0" t="s">
        <v>140</v>
      </c>
      <c r="N1950" s="0" t="n">
        <v>1332</v>
      </c>
      <c r="O1950" s="10" t="n">
        <v>0.0989663808140904</v>
      </c>
      <c r="P1950" s="10" t="n">
        <v>0.955300528323278</v>
      </c>
      <c r="Q1950" s="0" t="str">
        <f aca="false">SUBSTITUTE(SUBSTITUTE($I1950,CHAR(61),""),CHAR(34),"")</f>
        <v>10-14</v>
      </c>
      <c r="R1950" s="0" t="str">
        <f aca="false">IF($D1950&lt;&gt;"","["&amp;$E1950&amp;"]"&amp;"|"&amp;$Q1950&amp;"|"&amp;$K1950&amp;"|"&amp;$G1950&amp;"|"&amp;IF($G1950="TX_CURR_SUBNAT.R","CY2022Q4",$M1950),"")</f>
        <v>[fiRkU6gEjLz]|10-14|Female|PopART.Rt.T_1|CY2023Q3</v>
      </c>
    </row>
    <row r="1951" customFormat="false" ht="15" hidden="false" customHeight="false" outlineLevel="0" collapsed="false">
      <c r="D1951" s="0" t="s">
        <v>135</v>
      </c>
      <c r="E1951" s="0" t="s">
        <v>136</v>
      </c>
      <c r="F1951" s="0" t="s">
        <v>137</v>
      </c>
      <c r="G1951" s="0" t="s">
        <v>145</v>
      </c>
      <c r="H1951" s="0" t="s">
        <v>145</v>
      </c>
      <c r="I1951" s="0" t="s">
        <v>38</v>
      </c>
      <c r="J1951" s="0" t="s">
        <v>39</v>
      </c>
      <c r="K1951" s="0" t="s">
        <v>30</v>
      </c>
      <c r="L1951" s="0" t="s">
        <v>31</v>
      </c>
      <c r="M1951" s="0" t="s">
        <v>140</v>
      </c>
      <c r="N1951" s="0" t="n">
        <v>630</v>
      </c>
      <c r="O1951" s="10" t="n">
        <v>0.52832119516097</v>
      </c>
      <c r="P1951" s="10" t="n">
        <v>0.955300528323278</v>
      </c>
      <c r="Q1951" s="0" t="str">
        <f aca="false">SUBSTITUTE(SUBSTITUTE($I1951,CHAR(61),""),CHAR(34),"")</f>
        <v>15-24</v>
      </c>
      <c r="R1951" s="0" t="str">
        <f aca="false">IF($D1951&lt;&gt;"","["&amp;$E1951&amp;"]"&amp;"|"&amp;$Q1951&amp;"|"&amp;$K1951&amp;"|"&amp;$G1951&amp;"|"&amp;IF($G1951="TX_CURR_SUBNAT.R","CY2022Q4",$M1951),"")</f>
        <v>[fiRkU6gEjLz]|15-24|Female|PopART.Rt.T_1|CY2023Q3</v>
      </c>
    </row>
    <row r="1952" customFormat="false" ht="15" hidden="false" customHeight="false" outlineLevel="0" collapsed="false">
      <c r="D1952" s="0" t="s">
        <v>135</v>
      </c>
      <c r="E1952" s="0" t="s">
        <v>136</v>
      </c>
      <c r="F1952" s="0" t="s">
        <v>137</v>
      </c>
      <c r="G1952" s="0" t="s">
        <v>145</v>
      </c>
      <c r="H1952" s="0" t="s">
        <v>145</v>
      </c>
      <c r="I1952" s="0" t="s">
        <v>41</v>
      </c>
      <c r="J1952" s="0" t="s">
        <v>42</v>
      </c>
      <c r="K1952" s="0" t="s">
        <v>30</v>
      </c>
      <c r="L1952" s="0" t="s">
        <v>31</v>
      </c>
      <c r="M1952" s="0" t="s">
        <v>140</v>
      </c>
      <c r="N1952" s="0" t="n">
        <v>1180</v>
      </c>
      <c r="O1952" s="10" t="n">
        <v>0.646102627972141</v>
      </c>
      <c r="P1952" s="10" t="n">
        <v>0.955300528323278</v>
      </c>
      <c r="Q1952" s="0" t="str">
        <f aca="false">SUBSTITUTE(SUBSTITUTE($I1952,CHAR(61),""),CHAR(34),"")</f>
        <v>25-34</v>
      </c>
      <c r="R1952" s="0" t="str">
        <f aca="false">IF($D1952&lt;&gt;"","["&amp;$E1952&amp;"]"&amp;"|"&amp;$Q1952&amp;"|"&amp;$K1952&amp;"|"&amp;$G1952&amp;"|"&amp;IF($G1952="TX_CURR_SUBNAT.R","CY2022Q4",$M1952),"")</f>
        <v>[fiRkU6gEjLz]|25-34|Female|PopART.Rt.T_1|CY2023Q3</v>
      </c>
    </row>
    <row r="1953" customFormat="false" ht="15" hidden="false" customHeight="false" outlineLevel="0" collapsed="false">
      <c r="D1953" s="0" t="s">
        <v>135</v>
      </c>
      <c r="E1953" s="0" t="s">
        <v>136</v>
      </c>
      <c r="F1953" s="0" t="s">
        <v>137</v>
      </c>
      <c r="G1953" s="0" t="s">
        <v>145</v>
      </c>
      <c r="H1953" s="0" t="s">
        <v>145</v>
      </c>
      <c r="I1953" s="0" t="s">
        <v>43</v>
      </c>
      <c r="J1953" s="0" t="s">
        <v>44</v>
      </c>
      <c r="K1953" s="0" t="s">
        <v>30</v>
      </c>
      <c r="L1953" s="0" t="s">
        <v>31</v>
      </c>
      <c r="M1953" s="0" t="s">
        <v>140</v>
      </c>
      <c r="N1953" s="0" t="n">
        <v>711</v>
      </c>
      <c r="O1953" s="10" t="n">
        <v>0.774618403753266</v>
      </c>
      <c r="P1953" s="10" t="n">
        <v>0.955300528323278</v>
      </c>
      <c r="Q1953" s="0" t="str">
        <f aca="false">SUBSTITUTE(SUBSTITUTE($I1953,CHAR(61),""),CHAR(34),"")</f>
        <v>35-49</v>
      </c>
      <c r="R1953" s="0" t="str">
        <f aca="false">IF($D1953&lt;&gt;"","["&amp;$E1953&amp;"]"&amp;"|"&amp;$Q1953&amp;"|"&amp;$K1953&amp;"|"&amp;$G1953&amp;"|"&amp;IF($G1953="TX_CURR_SUBNAT.R","CY2022Q4",$M1953),"")</f>
        <v>[fiRkU6gEjLz]|35-49|Female|PopART.Rt.T_1|CY2023Q3</v>
      </c>
    </row>
    <row r="1954" customFormat="false" ht="15" hidden="false" customHeight="false" outlineLevel="0" collapsed="false">
      <c r="D1954" s="0" t="s">
        <v>135</v>
      </c>
      <c r="E1954" s="0" t="s">
        <v>136</v>
      </c>
      <c r="F1954" s="0" t="s">
        <v>137</v>
      </c>
      <c r="G1954" s="0" t="s">
        <v>145</v>
      </c>
      <c r="H1954" s="0" t="s">
        <v>145</v>
      </c>
      <c r="I1954" s="0" t="s">
        <v>45</v>
      </c>
      <c r="J1954" s="0" t="s">
        <v>46</v>
      </c>
      <c r="K1954" s="0" t="s">
        <v>30</v>
      </c>
      <c r="L1954" s="0" t="s">
        <v>31</v>
      </c>
      <c r="M1954" s="0" t="s">
        <v>140</v>
      </c>
      <c r="N1954" s="0" t="n">
        <v>1492</v>
      </c>
      <c r="O1954" s="10" t="n">
        <v>0.847358570201322</v>
      </c>
      <c r="P1954" s="10" t="n">
        <v>0.955300528323278</v>
      </c>
      <c r="Q1954" s="0" t="str">
        <f aca="false">SUBSTITUTE(SUBSTITUTE($I1954,CHAR(61),""),CHAR(34),"")</f>
        <v>50+</v>
      </c>
      <c r="R1954" s="0" t="str">
        <f aca="false">IF($D1954&lt;&gt;"","["&amp;$E1954&amp;"]"&amp;"|"&amp;$Q1954&amp;"|"&amp;$K1954&amp;"|"&amp;$G1954&amp;"|"&amp;IF($G1954="TX_CURR_SUBNAT.R","CY2022Q4",$M1954),"")</f>
        <v>[fiRkU6gEjLz]|50+|Female|PopART.Rt.T_1|CY2023Q3</v>
      </c>
    </row>
    <row r="1955" customFormat="false" ht="15" hidden="false" customHeight="false" outlineLevel="0" collapsed="false">
      <c r="D1955" s="0" t="s">
        <v>135</v>
      </c>
      <c r="E1955" s="0" t="s">
        <v>136</v>
      </c>
      <c r="F1955" s="0" t="s">
        <v>137</v>
      </c>
      <c r="G1955" s="0" t="s">
        <v>145</v>
      </c>
      <c r="H1955" s="0" t="s">
        <v>145</v>
      </c>
      <c r="I1955" s="0" t="s">
        <v>28</v>
      </c>
      <c r="J1955" s="0" t="s">
        <v>29</v>
      </c>
      <c r="K1955" s="0" t="s">
        <v>48</v>
      </c>
      <c r="L1955" s="0" t="s">
        <v>49</v>
      </c>
      <c r="M1955" s="0" t="s">
        <v>140</v>
      </c>
      <c r="N1955" s="0" t="n">
        <v>1616</v>
      </c>
      <c r="O1955" s="10" t="n">
        <v>0.086567375343293</v>
      </c>
      <c r="P1955" s="10" t="n">
        <v>0.955300528323278</v>
      </c>
      <c r="Q1955" s="0" t="str">
        <f aca="false">SUBSTITUTE(SUBSTITUTE($I1955,CHAR(61),""),CHAR(34),"")</f>
        <v>&lt;01</v>
      </c>
      <c r="R1955" s="0" t="str">
        <f aca="false">IF($D1955&lt;&gt;"","["&amp;$E1955&amp;"]"&amp;"|"&amp;$Q1955&amp;"|"&amp;$K1955&amp;"|"&amp;$G1955&amp;"|"&amp;IF($G1955="TX_CURR_SUBNAT.R","CY2022Q4",$M1955),"")</f>
        <v>[fiRkU6gEjLz]|&lt;01|Male|PopART.Rt.T_1|CY2023Q3</v>
      </c>
    </row>
    <row r="1956" customFormat="false" ht="15" hidden="false" customHeight="false" outlineLevel="0" collapsed="false">
      <c r="D1956" s="0" t="s">
        <v>135</v>
      </c>
      <c r="E1956" s="0" t="s">
        <v>136</v>
      </c>
      <c r="F1956" s="0" t="s">
        <v>137</v>
      </c>
      <c r="G1956" s="0" t="s">
        <v>145</v>
      </c>
      <c r="H1956" s="0" t="s">
        <v>145</v>
      </c>
      <c r="I1956" s="0" t="s">
        <v>33</v>
      </c>
      <c r="J1956" s="0" t="s">
        <v>34</v>
      </c>
      <c r="K1956" s="0" t="s">
        <v>48</v>
      </c>
      <c r="L1956" s="0" t="s">
        <v>49</v>
      </c>
      <c r="M1956" s="0" t="s">
        <v>140</v>
      </c>
      <c r="N1956" s="0" t="n">
        <v>1936</v>
      </c>
      <c r="O1956" s="10" t="n">
        <v>0.338992856675759</v>
      </c>
      <c r="P1956" s="10" t="n">
        <v>0.955300528323278</v>
      </c>
      <c r="Q1956" s="0" t="str">
        <f aca="false">SUBSTITUTE(SUBSTITUTE($I1956,CHAR(61),""),CHAR(34),"")</f>
        <v>01-09</v>
      </c>
      <c r="R1956" s="0" t="str">
        <f aca="false">IF($D1956&lt;&gt;"","["&amp;$E1956&amp;"]"&amp;"|"&amp;$Q1956&amp;"|"&amp;$K1956&amp;"|"&amp;$G1956&amp;"|"&amp;IF($G1956="TX_CURR_SUBNAT.R","CY2022Q4",$M1956),"")</f>
        <v>[fiRkU6gEjLz]|01-09|Male|PopART.Rt.T_1|CY2023Q3</v>
      </c>
    </row>
    <row r="1957" customFormat="false" ht="15" hidden="false" customHeight="false" outlineLevel="0" collapsed="false">
      <c r="D1957" s="0" t="s">
        <v>135</v>
      </c>
      <c r="E1957" s="0" t="s">
        <v>136</v>
      </c>
      <c r="F1957" s="0" t="s">
        <v>137</v>
      </c>
      <c r="G1957" s="0" t="s">
        <v>145</v>
      </c>
      <c r="H1957" s="0" t="s">
        <v>145</v>
      </c>
      <c r="I1957" s="0" t="s">
        <v>36</v>
      </c>
      <c r="J1957" s="0" t="s">
        <v>37</v>
      </c>
      <c r="K1957" s="0" t="s">
        <v>48</v>
      </c>
      <c r="L1957" s="0" t="s">
        <v>49</v>
      </c>
      <c r="M1957" s="0" t="s">
        <v>140</v>
      </c>
      <c r="N1957" s="0" t="n">
        <v>1561</v>
      </c>
      <c r="O1957" s="10" t="n">
        <v>0.48852565465495</v>
      </c>
      <c r="P1957" s="10" t="n">
        <v>0.955300528323278</v>
      </c>
      <c r="Q1957" s="0" t="str">
        <f aca="false">SUBSTITUTE(SUBSTITUTE($I1957,CHAR(61),""),CHAR(34),"")</f>
        <v>10-14</v>
      </c>
      <c r="R1957" s="0" t="str">
        <f aca="false">IF($D1957&lt;&gt;"","["&amp;$E1957&amp;"]"&amp;"|"&amp;$Q1957&amp;"|"&amp;$K1957&amp;"|"&amp;$G1957&amp;"|"&amp;IF($G1957="TX_CURR_SUBNAT.R","CY2022Q4",$M1957),"")</f>
        <v>[fiRkU6gEjLz]|10-14|Male|PopART.Rt.T_1|CY2023Q3</v>
      </c>
    </row>
    <row r="1958" customFormat="false" ht="15" hidden="false" customHeight="false" outlineLevel="0" collapsed="false">
      <c r="D1958" s="0" t="s">
        <v>135</v>
      </c>
      <c r="E1958" s="0" t="s">
        <v>136</v>
      </c>
      <c r="F1958" s="0" t="s">
        <v>137</v>
      </c>
      <c r="G1958" s="0" t="s">
        <v>145</v>
      </c>
      <c r="H1958" s="0" t="s">
        <v>145</v>
      </c>
      <c r="I1958" s="0" t="s">
        <v>38</v>
      </c>
      <c r="J1958" s="0" t="s">
        <v>39</v>
      </c>
      <c r="K1958" s="0" t="s">
        <v>48</v>
      </c>
      <c r="L1958" s="0" t="s">
        <v>49</v>
      </c>
      <c r="M1958" s="0" t="s">
        <v>140</v>
      </c>
      <c r="N1958" s="0" t="n">
        <v>1616</v>
      </c>
      <c r="O1958" s="10" t="n">
        <v>0.99385576765053</v>
      </c>
      <c r="P1958" s="10" t="n">
        <v>0.955300528323278</v>
      </c>
      <c r="Q1958" s="0" t="str">
        <f aca="false">SUBSTITUTE(SUBSTITUTE($I1958,CHAR(61),""),CHAR(34),"")</f>
        <v>15-24</v>
      </c>
      <c r="R1958" s="0" t="str">
        <f aca="false">IF($D1958&lt;&gt;"","["&amp;$E1958&amp;"]"&amp;"|"&amp;$Q1958&amp;"|"&amp;$K1958&amp;"|"&amp;$G1958&amp;"|"&amp;IF($G1958="TX_CURR_SUBNAT.R","CY2022Q4",$M1958),"")</f>
        <v>[fiRkU6gEjLz]|15-24|Male|PopART.Rt.T_1|CY2023Q3</v>
      </c>
    </row>
    <row r="1959" customFormat="false" ht="15" hidden="false" customHeight="false" outlineLevel="0" collapsed="false">
      <c r="D1959" s="0" t="s">
        <v>135</v>
      </c>
      <c r="E1959" s="0" t="s">
        <v>136</v>
      </c>
      <c r="F1959" s="0" t="s">
        <v>137</v>
      </c>
      <c r="G1959" s="0" t="s">
        <v>145</v>
      </c>
      <c r="H1959" s="0" t="s">
        <v>145</v>
      </c>
      <c r="I1959" s="0" t="s">
        <v>41</v>
      </c>
      <c r="J1959" s="0" t="s">
        <v>42</v>
      </c>
      <c r="K1959" s="0" t="s">
        <v>48</v>
      </c>
      <c r="L1959" s="0" t="s">
        <v>49</v>
      </c>
      <c r="M1959" s="0" t="s">
        <v>140</v>
      </c>
      <c r="N1959" s="0" t="n">
        <v>1790</v>
      </c>
      <c r="O1959" s="10" t="n">
        <v>0.0980540465097874</v>
      </c>
      <c r="P1959" s="10" t="n">
        <v>0.955300528323278</v>
      </c>
      <c r="Q1959" s="0" t="str">
        <f aca="false">SUBSTITUTE(SUBSTITUTE($I1959,CHAR(61),""),CHAR(34),"")</f>
        <v>25-34</v>
      </c>
      <c r="R1959" s="0" t="str">
        <f aca="false">IF($D1959&lt;&gt;"","["&amp;$E1959&amp;"]"&amp;"|"&amp;$Q1959&amp;"|"&amp;$K1959&amp;"|"&amp;$G1959&amp;"|"&amp;IF($G1959="TX_CURR_SUBNAT.R","CY2022Q4",$M1959),"")</f>
        <v>[fiRkU6gEjLz]|25-34|Male|PopART.Rt.T_1|CY2023Q3</v>
      </c>
    </row>
    <row r="1960" customFormat="false" ht="15" hidden="false" customHeight="false" outlineLevel="0" collapsed="false">
      <c r="D1960" s="0" t="s">
        <v>135</v>
      </c>
      <c r="E1960" s="0" t="s">
        <v>136</v>
      </c>
      <c r="F1960" s="0" t="s">
        <v>137</v>
      </c>
      <c r="G1960" s="0" t="s">
        <v>145</v>
      </c>
      <c r="H1960" s="0" t="s">
        <v>145</v>
      </c>
      <c r="I1960" s="0" t="s">
        <v>43</v>
      </c>
      <c r="J1960" s="0" t="s">
        <v>44</v>
      </c>
      <c r="K1960" s="0" t="s">
        <v>48</v>
      </c>
      <c r="L1960" s="0" t="s">
        <v>49</v>
      </c>
      <c r="M1960" s="0" t="s">
        <v>140</v>
      </c>
      <c r="N1960" s="0" t="n">
        <v>670</v>
      </c>
      <c r="O1960" s="10" t="n">
        <v>0.640348220709711</v>
      </c>
      <c r="P1960" s="10" t="n">
        <v>0.955300528323278</v>
      </c>
      <c r="Q1960" s="0" t="str">
        <f aca="false">SUBSTITUTE(SUBSTITUTE($I1960,CHAR(61),""),CHAR(34),"")</f>
        <v>35-49</v>
      </c>
      <c r="R1960" s="0" t="str">
        <f aca="false">IF($D1960&lt;&gt;"","["&amp;$E1960&amp;"]"&amp;"|"&amp;$Q1960&amp;"|"&amp;$K1960&amp;"|"&amp;$G1960&amp;"|"&amp;IF($G1960="TX_CURR_SUBNAT.R","CY2022Q4",$M1960),"")</f>
        <v>[fiRkU6gEjLz]|35-49|Male|PopART.Rt.T_1|CY2023Q3</v>
      </c>
    </row>
    <row r="1961" customFormat="false" ht="15" hidden="false" customHeight="false" outlineLevel="0" collapsed="false">
      <c r="D1961" s="0" t="s">
        <v>135</v>
      </c>
      <c r="E1961" s="0" t="s">
        <v>136</v>
      </c>
      <c r="F1961" s="0" t="s">
        <v>137</v>
      </c>
      <c r="G1961" s="0" t="s">
        <v>145</v>
      </c>
      <c r="H1961" s="0" t="s">
        <v>145</v>
      </c>
      <c r="I1961" s="0" t="s">
        <v>45</v>
      </c>
      <c r="J1961" s="0" t="s">
        <v>46</v>
      </c>
      <c r="K1961" s="0" t="s">
        <v>48</v>
      </c>
      <c r="L1961" s="0" t="s">
        <v>49</v>
      </c>
      <c r="M1961" s="0" t="s">
        <v>140</v>
      </c>
      <c r="N1961" s="0" t="n">
        <v>1011</v>
      </c>
      <c r="O1961" s="10" t="n">
        <v>0.354266606038436</v>
      </c>
      <c r="P1961" s="10" t="n">
        <v>0.955300528323278</v>
      </c>
      <c r="Q1961" s="0" t="str">
        <f aca="false">SUBSTITUTE(SUBSTITUTE($I1961,CHAR(61),""),CHAR(34),"")</f>
        <v>50+</v>
      </c>
      <c r="R1961" s="0" t="str">
        <f aca="false">IF($D1961&lt;&gt;"","["&amp;$E1961&amp;"]"&amp;"|"&amp;$Q1961&amp;"|"&amp;$K1961&amp;"|"&amp;$G1961&amp;"|"&amp;IF($G1961="TX_CURR_SUBNAT.R","CY2022Q4",$M1961),"")</f>
        <v>[fiRkU6gEjLz]|50+|Male|PopART.Rt.T_1|CY2023Q3</v>
      </c>
    </row>
    <row r="1962" customFormat="false" ht="15" hidden="false" customHeight="false" outlineLevel="0" collapsed="false">
      <c r="D1962" s="0" t="s">
        <v>23</v>
      </c>
      <c r="E1962" s="0" t="s">
        <v>24</v>
      </c>
      <c r="F1962" s="0" t="s">
        <v>25</v>
      </c>
      <c r="G1962" s="0" t="s">
        <v>146</v>
      </c>
      <c r="H1962" s="0" t="s">
        <v>147</v>
      </c>
      <c r="I1962" s="0" t="s">
        <v>28</v>
      </c>
      <c r="J1962" s="0" t="s">
        <v>29</v>
      </c>
      <c r="K1962" s="0" t="s">
        <v>30</v>
      </c>
      <c r="L1962" s="0" t="s">
        <v>31</v>
      </c>
      <c r="M1962" s="0" t="s">
        <v>140</v>
      </c>
      <c r="N1962" s="0" t="n">
        <v>1539</v>
      </c>
      <c r="O1962" s="10" t="n">
        <v>0.519933686591685</v>
      </c>
      <c r="P1962" s="10" t="n">
        <v>0.404358610976487</v>
      </c>
      <c r="Q1962" s="0" t="str">
        <f aca="false">SUBSTITUTE(SUBSTITUTE($I1962,CHAR(61),""),CHAR(34),"")</f>
        <v>&lt;01</v>
      </c>
      <c r="R1962" s="0" t="str">
        <f aca="false">IF($D1962&lt;&gt;"","["&amp;$E1962&amp;"]"&amp;"|"&amp;$Q1962&amp;"|"&amp;$K1962&amp;"|"&amp;$G1962&amp;"|"&amp;IF($G1962="TX_CURR_SUBNAT.R","CY2022Q4",$M1962),"")</f>
        <v>[GkIwZrXy1h2]|&lt;01|Female|TX_CURR_SUBNAT.T_1|CY2023Q3</v>
      </c>
    </row>
    <row r="1963" customFormat="false" ht="15" hidden="false" customHeight="false" outlineLevel="0" collapsed="false">
      <c r="D1963" s="0" t="s">
        <v>23</v>
      </c>
      <c r="E1963" s="0" t="s">
        <v>24</v>
      </c>
      <c r="F1963" s="0" t="s">
        <v>25</v>
      </c>
      <c r="G1963" s="0" t="s">
        <v>146</v>
      </c>
      <c r="H1963" s="0" t="s">
        <v>147</v>
      </c>
      <c r="I1963" s="0" t="s">
        <v>33</v>
      </c>
      <c r="J1963" s="0" t="s">
        <v>34</v>
      </c>
      <c r="K1963" s="0" t="s">
        <v>30</v>
      </c>
      <c r="L1963" s="0" t="s">
        <v>31</v>
      </c>
      <c r="M1963" s="0" t="s">
        <v>140</v>
      </c>
      <c r="N1963" s="0" t="n">
        <v>1181</v>
      </c>
      <c r="O1963" s="10" t="n">
        <v>0.433553562965244</v>
      </c>
      <c r="P1963" s="10" t="n">
        <v>0.404358610976487</v>
      </c>
      <c r="Q1963" s="0" t="str">
        <f aca="false">SUBSTITUTE(SUBSTITUTE($I1963,CHAR(61),""),CHAR(34),"")</f>
        <v>01-09</v>
      </c>
      <c r="R1963" s="0" t="str">
        <f aca="false">IF($D1963&lt;&gt;"","["&amp;$E1963&amp;"]"&amp;"|"&amp;$Q1963&amp;"|"&amp;$K1963&amp;"|"&amp;$G1963&amp;"|"&amp;IF($G1963="TX_CURR_SUBNAT.R","CY2022Q4",$M1963),"")</f>
        <v>[GkIwZrXy1h2]|01-09|Female|TX_CURR_SUBNAT.T_1|CY2023Q3</v>
      </c>
    </row>
    <row r="1964" customFormat="false" ht="15" hidden="false" customHeight="false" outlineLevel="0" collapsed="false">
      <c r="D1964" s="0" t="s">
        <v>23</v>
      </c>
      <c r="E1964" s="0" t="s">
        <v>24</v>
      </c>
      <c r="F1964" s="0" t="s">
        <v>25</v>
      </c>
      <c r="G1964" s="0" t="s">
        <v>146</v>
      </c>
      <c r="H1964" s="0" t="s">
        <v>147</v>
      </c>
      <c r="I1964" s="0" t="s">
        <v>36</v>
      </c>
      <c r="J1964" s="0" t="s">
        <v>37</v>
      </c>
      <c r="K1964" s="0" t="s">
        <v>30</v>
      </c>
      <c r="L1964" s="0" t="s">
        <v>31</v>
      </c>
      <c r="M1964" s="0" t="s">
        <v>140</v>
      </c>
      <c r="N1964" s="0" t="n">
        <v>1055</v>
      </c>
      <c r="O1964" s="10" t="n">
        <v>0.417823781492189</v>
      </c>
      <c r="P1964" s="10" t="n">
        <v>0.404358610976487</v>
      </c>
      <c r="Q1964" s="0" t="str">
        <f aca="false">SUBSTITUTE(SUBSTITUTE($I1964,CHAR(61),""),CHAR(34),"")</f>
        <v>10-14</v>
      </c>
      <c r="R1964" s="0" t="str">
        <f aca="false">IF($D1964&lt;&gt;"","["&amp;$E1964&amp;"]"&amp;"|"&amp;$Q1964&amp;"|"&amp;$K1964&amp;"|"&amp;$G1964&amp;"|"&amp;IF($G1964="TX_CURR_SUBNAT.R","CY2022Q4",$M1964),"")</f>
        <v>[GkIwZrXy1h2]|10-14|Female|TX_CURR_SUBNAT.T_1|CY2023Q3</v>
      </c>
    </row>
    <row r="1965" customFormat="false" ht="15" hidden="false" customHeight="false" outlineLevel="0" collapsed="false">
      <c r="D1965" s="0" t="s">
        <v>23</v>
      </c>
      <c r="E1965" s="0" t="s">
        <v>24</v>
      </c>
      <c r="F1965" s="0" t="s">
        <v>25</v>
      </c>
      <c r="G1965" s="0" t="s">
        <v>146</v>
      </c>
      <c r="H1965" s="0" t="s">
        <v>147</v>
      </c>
      <c r="I1965" s="0" t="s">
        <v>38</v>
      </c>
      <c r="J1965" s="0" t="s">
        <v>39</v>
      </c>
      <c r="K1965" s="0" t="s">
        <v>30</v>
      </c>
      <c r="L1965" s="0" t="s">
        <v>31</v>
      </c>
      <c r="M1965" s="0" t="s">
        <v>140</v>
      </c>
      <c r="N1965" s="0" t="n">
        <v>1814</v>
      </c>
      <c r="O1965" s="10" t="n">
        <v>0.80296517489478</v>
      </c>
      <c r="P1965" s="10" t="n">
        <v>0.404358610976487</v>
      </c>
      <c r="Q1965" s="0" t="str">
        <f aca="false">SUBSTITUTE(SUBSTITUTE($I1965,CHAR(61),""),CHAR(34),"")</f>
        <v>15-24</v>
      </c>
      <c r="R1965" s="0" t="str">
        <f aca="false">IF($D1965&lt;&gt;"","["&amp;$E1965&amp;"]"&amp;"|"&amp;$Q1965&amp;"|"&amp;$K1965&amp;"|"&amp;$G1965&amp;"|"&amp;IF($G1965="TX_CURR_SUBNAT.R","CY2022Q4",$M1965),"")</f>
        <v>[GkIwZrXy1h2]|15-24|Female|TX_CURR_SUBNAT.T_1|CY2023Q3</v>
      </c>
    </row>
    <row r="1966" customFormat="false" ht="15" hidden="false" customHeight="false" outlineLevel="0" collapsed="false">
      <c r="D1966" s="0" t="s">
        <v>23</v>
      </c>
      <c r="E1966" s="0" t="s">
        <v>24</v>
      </c>
      <c r="F1966" s="0" t="s">
        <v>25</v>
      </c>
      <c r="G1966" s="0" t="s">
        <v>146</v>
      </c>
      <c r="H1966" s="0" t="s">
        <v>147</v>
      </c>
      <c r="I1966" s="0" t="s">
        <v>41</v>
      </c>
      <c r="J1966" s="0" t="s">
        <v>42</v>
      </c>
      <c r="K1966" s="0" t="s">
        <v>30</v>
      </c>
      <c r="L1966" s="0" t="s">
        <v>31</v>
      </c>
      <c r="M1966" s="0" t="s">
        <v>140</v>
      </c>
      <c r="N1966" s="0" t="n">
        <v>1268</v>
      </c>
      <c r="O1966" s="10" t="n">
        <v>0.963805991224945</v>
      </c>
      <c r="P1966" s="10" t="n">
        <v>0.404358610976487</v>
      </c>
      <c r="Q1966" s="0" t="str">
        <f aca="false">SUBSTITUTE(SUBSTITUTE($I1966,CHAR(61),""),CHAR(34),"")</f>
        <v>25-34</v>
      </c>
      <c r="R1966" s="0" t="str">
        <f aca="false">IF($D1966&lt;&gt;"","["&amp;$E1966&amp;"]"&amp;"|"&amp;$Q1966&amp;"|"&amp;$K1966&amp;"|"&amp;$G1966&amp;"|"&amp;IF($G1966="TX_CURR_SUBNAT.R","CY2022Q4",$M1966),"")</f>
        <v>[GkIwZrXy1h2]|25-34|Female|TX_CURR_SUBNAT.T_1|CY2023Q3</v>
      </c>
    </row>
    <row r="1967" customFormat="false" ht="15" hidden="false" customHeight="false" outlineLevel="0" collapsed="false">
      <c r="D1967" s="0" t="s">
        <v>23</v>
      </c>
      <c r="E1967" s="0" t="s">
        <v>24</v>
      </c>
      <c r="F1967" s="0" t="s">
        <v>25</v>
      </c>
      <c r="G1967" s="0" t="s">
        <v>146</v>
      </c>
      <c r="H1967" s="0" t="s">
        <v>147</v>
      </c>
      <c r="I1967" s="0" t="s">
        <v>43</v>
      </c>
      <c r="J1967" s="0" t="s">
        <v>44</v>
      </c>
      <c r="K1967" s="0" t="s">
        <v>30</v>
      </c>
      <c r="L1967" s="0" t="s">
        <v>31</v>
      </c>
      <c r="M1967" s="0" t="s">
        <v>140</v>
      </c>
      <c r="N1967" s="0" t="n">
        <v>786</v>
      </c>
      <c r="O1967" s="10" t="n">
        <v>0.761964597273618</v>
      </c>
      <c r="P1967" s="10" t="n">
        <v>0.404358610976487</v>
      </c>
      <c r="Q1967" s="0" t="str">
        <f aca="false">SUBSTITUTE(SUBSTITUTE($I1967,CHAR(61),""),CHAR(34),"")</f>
        <v>35-49</v>
      </c>
      <c r="R1967" s="0" t="str">
        <f aca="false">IF($D1967&lt;&gt;"","["&amp;$E1967&amp;"]"&amp;"|"&amp;$Q1967&amp;"|"&amp;$K1967&amp;"|"&amp;$G1967&amp;"|"&amp;IF($G1967="TX_CURR_SUBNAT.R","CY2022Q4",$M1967),"")</f>
        <v>[GkIwZrXy1h2]|35-49|Female|TX_CURR_SUBNAT.T_1|CY2023Q3</v>
      </c>
    </row>
    <row r="1968" customFormat="false" ht="15" hidden="false" customHeight="false" outlineLevel="0" collapsed="false">
      <c r="D1968" s="0" t="s">
        <v>23</v>
      </c>
      <c r="E1968" s="0" t="s">
        <v>24</v>
      </c>
      <c r="F1968" s="0" t="s">
        <v>25</v>
      </c>
      <c r="G1968" s="0" t="s">
        <v>146</v>
      </c>
      <c r="H1968" s="0" t="s">
        <v>147</v>
      </c>
      <c r="I1968" s="0" t="s">
        <v>45</v>
      </c>
      <c r="J1968" s="0" t="s">
        <v>46</v>
      </c>
      <c r="K1968" s="0" t="s">
        <v>30</v>
      </c>
      <c r="L1968" s="0" t="s">
        <v>31</v>
      </c>
      <c r="M1968" s="0" t="s">
        <v>140</v>
      </c>
      <c r="N1968" s="0" t="n">
        <v>1050</v>
      </c>
      <c r="O1968" s="10" t="n">
        <v>0.836556478403509</v>
      </c>
      <c r="P1968" s="10" t="n">
        <v>0.404358610976487</v>
      </c>
      <c r="Q1968" s="0" t="str">
        <f aca="false">SUBSTITUTE(SUBSTITUTE($I1968,CHAR(61),""),CHAR(34),"")</f>
        <v>50+</v>
      </c>
      <c r="R1968" s="0" t="str">
        <f aca="false">IF($D1968&lt;&gt;"","["&amp;$E1968&amp;"]"&amp;"|"&amp;$Q1968&amp;"|"&amp;$K1968&amp;"|"&amp;$G1968&amp;"|"&amp;IF($G1968="TX_CURR_SUBNAT.R","CY2022Q4",$M1968),"")</f>
        <v>[GkIwZrXy1h2]|50+|Female|TX_CURR_SUBNAT.T_1|CY2023Q3</v>
      </c>
    </row>
    <row r="1969" customFormat="false" ht="15" hidden="false" customHeight="false" outlineLevel="0" collapsed="false">
      <c r="D1969" s="0" t="s">
        <v>23</v>
      </c>
      <c r="E1969" s="0" t="s">
        <v>24</v>
      </c>
      <c r="F1969" s="0" t="s">
        <v>25</v>
      </c>
      <c r="G1969" s="0" t="s">
        <v>146</v>
      </c>
      <c r="H1969" s="0" t="s">
        <v>147</v>
      </c>
      <c r="I1969" s="0" t="s">
        <v>28</v>
      </c>
      <c r="J1969" s="0" t="s">
        <v>29</v>
      </c>
      <c r="K1969" s="0" t="s">
        <v>48</v>
      </c>
      <c r="L1969" s="0" t="s">
        <v>49</v>
      </c>
      <c r="M1969" s="0" t="s">
        <v>140</v>
      </c>
      <c r="N1969" s="0" t="n">
        <v>901</v>
      </c>
      <c r="O1969" s="10" t="n">
        <v>0.0023104534484446</v>
      </c>
      <c r="P1969" s="10" t="n">
        <v>0.404358610976487</v>
      </c>
      <c r="Q1969" s="0" t="str">
        <f aca="false">SUBSTITUTE(SUBSTITUTE($I1969,CHAR(61),""),CHAR(34),"")</f>
        <v>&lt;01</v>
      </c>
      <c r="R1969" s="0" t="str">
        <f aca="false">IF($D1969&lt;&gt;"","["&amp;$E1969&amp;"]"&amp;"|"&amp;$Q1969&amp;"|"&amp;$K1969&amp;"|"&amp;$G1969&amp;"|"&amp;IF($G1969="TX_CURR_SUBNAT.R","CY2022Q4",$M1969),"")</f>
        <v>[GkIwZrXy1h2]|&lt;01|Male|TX_CURR_SUBNAT.T_1|CY2023Q3</v>
      </c>
    </row>
    <row r="1970" customFormat="false" ht="15" hidden="false" customHeight="false" outlineLevel="0" collapsed="false">
      <c r="D1970" s="0" t="s">
        <v>23</v>
      </c>
      <c r="E1970" s="0" t="s">
        <v>24</v>
      </c>
      <c r="F1970" s="0" t="s">
        <v>25</v>
      </c>
      <c r="G1970" s="0" t="s">
        <v>146</v>
      </c>
      <c r="H1970" s="0" t="s">
        <v>147</v>
      </c>
      <c r="I1970" s="0" t="s">
        <v>33</v>
      </c>
      <c r="J1970" s="0" t="s">
        <v>34</v>
      </c>
      <c r="K1970" s="0" t="s">
        <v>48</v>
      </c>
      <c r="L1970" s="0" t="s">
        <v>49</v>
      </c>
      <c r="M1970" s="0" t="s">
        <v>140</v>
      </c>
      <c r="N1970" s="0" t="n">
        <v>611</v>
      </c>
      <c r="O1970" s="10" t="n">
        <v>0.74557359633036</v>
      </c>
      <c r="P1970" s="10" t="n">
        <v>0.404358610976487</v>
      </c>
      <c r="Q1970" s="0" t="str">
        <f aca="false">SUBSTITUTE(SUBSTITUTE($I1970,CHAR(61),""),CHAR(34),"")</f>
        <v>01-09</v>
      </c>
      <c r="R1970" s="0" t="str">
        <f aca="false">IF($D1970&lt;&gt;"","["&amp;$E1970&amp;"]"&amp;"|"&amp;$Q1970&amp;"|"&amp;$K1970&amp;"|"&amp;$G1970&amp;"|"&amp;IF($G1970="TX_CURR_SUBNAT.R","CY2022Q4",$M1970),"")</f>
        <v>[GkIwZrXy1h2]|01-09|Male|TX_CURR_SUBNAT.T_1|CY2023Q3</v>
      </c>
    </row>
    <row r="1971" customFormat="false" ht="15" hidden="false" customHeight="false" outlineLevel="0" collapsed="false">
      <c r="D1971" s="0" t="s">
        <v>23</v>
      </c>
      <c r="E1971" s="0" t="s">
        <v>24</v>
      </c>
      <c r="F1971" s="0" t="s">
        <v>25</v>
      </c>
      <c r="G1971" s="0" t="s">
        <v>146</v>
      </c>
      <c r="H1971" s="0" t="s">
        <v>147</v>
      </c>
      <c r="I1971" s="0" t="s">
        <v>36</v>
      </c>
      <c r="J1971" s="0" t="s">
        <v>37</v>
      </c>
      <c r="K1971" s="0" t="s">
        <v>48</v>
      </c>
      <c r="L1971" s="0" t="s">
        <v>49</v>
      </c>
      <c r="M1971" s="0" t="s">
        <v>140</v>
      </c>
      <c r="N1971" s="0" t="n">
        <v>1614</v>
      </c>
      <c r="O1971" s="10" t="n">
        <v>0.82955457852222</v>
      </c>
      <c r="P1971" s="10" t="n">
        <v>0.404358610976487</v>
      </c>
      <c r="Q1971" s="0" t="str">
        <f aca="false">SUBSTITUTE(SUBSTITUTE($I1971,CHAR(61),""),CHAR(34),"")</f>
        <v>10-14</v>
      </c>
      <c r="R1971" s="0" t="str">
        <f aca="false">IF($D1971&lt;&gt;"","["&amp;$E1971&amp;"]"&amp;"|"&amp;$Q1971&amp;"|"&amp;$K1971&amp;"|"&amp;$G1971&amp;"|"&amp;IF($G1971="TX_CURR_SUBNAT.R","CY2022Q4",$M1971),"")</f>
        <v>[GkIwZrXy1h2]|10-14|Male|TX_CURR_SUBNAT.T_1|CY2023Q3</v>
      </c>
    </row>
    <row r="1972" customFormat="false" ht="15" hidden="false" customHeight="false" outlineLevel="0" collapsed="false">
      <c r="D1972" s="0" t="s">
        <v>23</v>
      </c>
      <c r="E1972" s="0" t="s">
        <v>24</v>
      </c>
      <c r="F1972" s="0" t="s">
        <v>25</v>
      </c>
      <c r="G1972" s="0" t="s">
        <v>146</v>
      </c>
      <c r="H1972" s="0" t="s">
        <v>147</v>
      </c>
      <c r="I1972" s="0" t="s">
        <v>38</v>
      </c>
      <c r="J1972" s="0" t="s">
        <v>39</v>
      </c>
      <c r="K1972" s="0" t="s">
        <v>48</v>
      </c>
      <c r="L1972" s="0" t="s">
        <v>49</v>
      </c>
      <c r="M1972" s="0" t="s">
        <v>140</v>
      </c>
      <c r="N1972" s="0" t="n">
        <v>515</v>
      </c>
      <c r="O1972" s="10" t="n">
        <v>0.32072467636317</v>
      </c>
      <c r="P1972" s="10" t="n">
        <v>0.404358610976487</v>
      </c>
      <c r="Q1972" s="0" t="str">
        <f aca="false">SUBSTITUTE(SUBSTITUTE($I1972,CHAR(61),""),CHAR(34),"")</f>
        <v>15-24</v>
      </c>
      <c r="R1972" s="0" t="str">
        <f aca="false">IF($D1972&lt;&gt;"","["&amp;$E1972&amp;"]"&amp;"|"&amp;$Q1972&amp;"|"&amp;$K1972&amp;"|"&amp;$G1972&amp;"|"&amp;IF($G1972="TX_CURR_SUBNAT.R","CY2022Q4",$M1972),"")</f>
        <v>[GkIwZrXy1h2]|15-24|Male|TX_CURR_SUBNAT.T_1|CY2023Q3</v>
      </c>
    </row>
    <row r="1973" customFormat="false" ht="15" hidden="false" customHeight="false" outlineLevel="0" collapsed="false">
      <c r="D1973" s="0" t="s">
        <v>23</v>
      </c>
      <c r="E1973" s="0" t="s">
        <v>24</v>
      </c>
      <c r="F1973" s="0" t="s">
        <v>25</v>
      </c>
      <c r="G1973" s="0" t="s">
        <v>146</v>
      </c>
      <c r="H1973" s="0" t="s">
        <v>147</v>
      </c>
      <c r="I1973" s="0" t="s">
        <v>41</v>
      </c>
      <c r="J1973" s="0" t="s">
        <v>42</v>
      </c>
      <c r="K1973" s="0" t="s">
        <v>48</v>
      </c>
      <c r="L1973" s="0" t="s">
        <v>49</v>
      </c>
      <c r="M1973" s="0" t="s">
        <v>140</v>
      </c>
      <c r="N1973" s="0" t="n">
        <v>1146</v>
      </c>
      <c r="O1973" s="10" t="n">
        <v>0.0492439898662269</v>
      </c>
      <c r="P1973" s="10" t="n">
        <v>0.404358610976487</v>
      </c>
      <c r="Q1973" s="0" t="str">
        <f aca="false">SUBSTITUTE(SUBSTITUTE($I1973,CHAR(61),""),CHAR(34),"")</f>
        <v>25-34</v>
      </c>
      <c r="R1973" s="0" t="str">
        <f aca="false">IF($D1973&lt;&gt;"","["&amp;$E1973&amp;"]"&amp;"|"&amp;$Q1973&amp;"|"&amp;$K1973&amp;"|"&amp;$G1973&amp;"|"&amp;IF($G1973="TX_CURR_SUBNAT.R","CY2022Q4",$M1973),"")</f>
        <v>[GkIwZrXy1h2]|25-34|Male|TX_CURR_SUBNAT.T_1|CY2023Q3</v>
      </c>
    </row>
    <row r="1974" customFormat="false" ht="15" hidden="false" customHeight="false" outlineLevel="0" collapsed="false">
      <c r="D1974" s="0" t="s">
        <v>23</v>
      </c>
      <c r="E1974" s="0" t="s">
        <v>24</v>
      </c>
      <c r="F1974" s="0" t="s">
        <v>25</v>
      </c>
      <c r="G1974" s="0" t="s">
        <v>146</v>
      </c>
      <c r="H1974" s="0" t="s">
        <v>147</v>
      </c>
      <c r="I1974" s="0" t="s">
        <v>43</v>
      </c>
      <c r="J1974" s="0" t="s">
        <v>44</v>
      </c>
      <c r="K1974" s="0" t="s">
        <v>48</v>
      </c>
      <c r="L1974" s="0" t="s">
        <v>49</v>
      </c>
      <c r="M1974" s="0" t="s">
        <v>140</v>
      </c>
      <c r="N1974" s="0" t="n">
        <v>1938</v>
      </c>
      <c r="O1974" s="10" t="n">
        <v>0.484191117109731</v>
      </c>
      <c r="P1974" s="10" t="n">
        <v>0.404358610976487</v>
      </c>
      <c r="Q1974" s="0" t="str">
        <f aca="false">SUBSTITUTE(SUBSTITUTE($I1974,CHAR(61),""),CHAR(34),"")</f>
        <v>35-49</v>
      </c>
      <c r="R1974" s="0" t="str">
        <f aca="false">IF($D1974&lt;&gt;"","["&amp;$E1974&amp;"]"&amp;"|"&amp;$Q1974&amp;"|"&amp;$K1974&amp;"|"&amp;$G1974&amp;"|"&amp;IF($G1974="TX_CURR_SUBNAT.R","CY2022Q4",$M1974),"")</f>
        <v>[GkIwZrXy1h2]|35-49|Male|TX_CURR_SUBNAT.T_1|CY2023Q3</v>
      </c>
    </row>
    <row r="1975" customFormat="false" ht="15" hidden="false" customHeight="false" outlineLevel="0" collapsed="false">
      <c r="D1975" s="0" t="s">
        <v>23</v>
      </c>
      <c r="E1975" s="0" t="s">
        <v>24</v>
      </c>
      <c r="F1975" s="0" t="s">
        <v>25</v>
      </c>
      <c r="G1975" s="0" t="s">
        <v>146</v>
      </c>
      <c r="H1975" s="0" t="s">
        <v>147</v>
      </c>
      <c r="I1975" s="0" t="s">
        <v>45</v>
      </c>
      <c r="J1975" s="0" t="s">
        <v>46</v>
      </c>
      <c r="K1975" s="0" t="s">
        <v>48</v>
      </c>
      <c r="L1975" s="0" t="s">
        <v>49</v>
      </c>
      <c r="M1975" s="0" t="s">
        <v>140</v>
      </c>
      <c r="N1975" s="0" t="n">
        <v>1126</v>
      </c>
      <c r="O1975" s="10" t="n">
        <v>0.322263905545697</v>
      </c>
      <c r="P1975" s="10" t="n">
        <v>0.404358610976487</v>
      </c>
      <c r="Q1975" s="0" t="str">
        <f aca="false">SUBSTITUTE(SUBSTITUTE($I1975,CHAR(61),""),CHAR(34),"")</f>
        <v>50+</v>
      </c>
      <c r="R1975" s="0" t="str">
        <f aca="false">IF($D1975&lt;&gt;"","["&amp;$E1975&amp;"]"&amp;"|"&amp;$Q1975&amp;"|"&amp;$K1975&amp;"|"&amp;$G1975&amp;"|"&amp;IF($G1975="TX_CURR_SUBNAT.R","CY2022Q4",$M1975),"")</f>
        <v>[GkIwZrXy1h2]|50+|Male|TX_CURR_SUBNAT.T_1|CY2023Q3</v>
      </c>
    </row>
    <row r="1976" customFormat="false" ht="15" hidden="false" customHeight="false" outlineLevel="0" collapsed="false">
      <c r="D1976" s="0" t="s">
        <v>53</v>
      </c>
      <c r="E1976" s="0" t="s">
        <v>54</v>
      </c>
      <c r="F1976" s="0" t="s">
        <v>55</v>
      </c>
      <c r="G1976" s="0" t="s">
        <v>146</v>
      </c>
      <c r="H1976" s="0" t="s">
        <v>147</v>
      </c>
      <c r="I1976" s="0" t="s">
        <v>28</v>
      </c>
      <c r="J1976" s="0" t="s">
        <v>29</v>
      </c>
      <c r="K1976" s="0" t="s">
        <v>30</v>
      </c>
      <c r="L1976" s="0" t="s">
        <v>31</v>
      </c>
      <c r="M1976" s="0" t="s">
        <v>140</v>
      </c>
      <c r="N1976" s="0" t="n">
        <v>1798</v>
      </c>
      <c r="O1976" s="10" t="n">
        <v>0.392591395881027</v>
      </c>
      <c r="P1976" s="10" t="n">
        <v>0.616392469964921</v>
      </c>
      <c r="Q1976" s="0" t="str">
        <f aca="false">SUBSTITUTE(SUBSTITUTE($I1976,CHAR(61),""),CHAR(34),"")</f>
        <v>&lt;01</v>
      </c>
      <c r="R1976" s="0" t="str">
        <f aca="false">IF($D1976&lt;&gt;"","["&amp;$E1976&amp;"]"&amp;"|"&amp;$Q1976&amp;"|"&amp;$K1976&amp;"|"&amp;$G1976&amp;"|"&amp;IF($G1976="TX_CURR_SUBNAT.R","CY2022Q4",$M1976),"")</f>
        <v>[zphK9WV8JB4]|&lt;01|Female|TX_CURR_SUBNAT.T_1|CY2023Q3</v>
      </c>
    </row>
    <row r="1977" customFormat="false" ht="15" hidden="false" customHeight="false" outlineLevel="0" collapsed="false">
      <c r="D1977" s="0" t="s">
        <v>53</v>
      </c>
      <c r="E1977" s="0" t="s">
        <v>54</v>
      </c>
      <c r="F1977" s="0" t="s">
        <v>55</v>
      </c>
      <c r="G1977" s="0" t="s">
        <v>146</v>
      </c>
      <c r="H1977" s="0" t="s">
        <v>147</v>
      </c>
      <c r="I1977" s="0" t="s">
        <v>33</v>
      </c>
      <c r="J1977" s="0" t="s">
        <v>34</v>
      </c>
      <c r="K1977" s="0" t="s">
        <v>30</v>
      </c>
      <c r="L1977" s="0" t="s">
        <v>31</v>
      </c>
      <c r="M1977" s="0" t="s">
        <v>140</v>
      </c>
      <c r="N1977" s="0" t="n">
        <v>1031</v>
      </c>
      <c r="O1977" s="10" t="n">
        <v>0.580715333111584</v>
      </c>
      <c r="P1977" s="10" t="n">
        <v>0.616392469964921</v>
      </c>
      <c r="Q1977" s="0" t="str">
        <f aca="false">SUBSTITUTE(SUBSTITUTE($I1977,CHAR(61),""),CHAR(34),"")</f>
        <v>01-09</v>
      </c>
      <c r="R1977" s="0" t="str">
        <f aca="false">IF($D1977&lt;&gt;"","["&amp;$E1977&amp;"]"&amp;"|"&amp;$Q1977&amp;"|"&amp;$K1977&amp;"|"&amp;$G1977&amp;"|"&amp;IF($G1977="TX_CURR_SUBNAT.R","CY2022Q4",$M1977),"")</f>
        <v>[zphK9WV8JB4]|01-09|Female|TX_CURR_SUBNAT.T_1|CY2023Q3</v>
      </c>
    </row>
    <row r="1978" customFormat="false" ht="15" hidden="false" customHeight="false" outlineLevel="0" collapsed="false">
      <c r="D1978" s="0" t="s">
        <v>53</v>
      </c>
      <c r="E1978" s="0" t="s">
        <v>54</v>
      </c>
      <c r="F1978" s="0" t="s">
        <v>55</v>
      </c>
      <c r="G1978" s="0" t="s">
        <v>146</v>
      </c>
      <c r="H1978" s="0" t="s">
        <v>147</v>
      </c>
      <c r="I1978" s="0" t="s">
        <v>36</v>
      </c>
      <c r="J1978" s="0" t="s">
        <v>37</v>
      </c>
      <c r="K1978" s="0" t="s">
        <v>30</v>
      </c>
      <c r="L1978" s="0" t="s">
        <v>31</v>
      </c>
      <c r="M1978" s="0" t="s">
        <v>140</v>
      </c>
      <c r="N1978" s="0" t="n">
        <v>820</v>
      </c>
      <c r="O1978" s="10" t="n">
        <v>0.19195003202185</v>
      </c>
      <c r="P1978" s="10" t="n">
        <v>0.616392469964921</v>
      </c>
      <c r="Q1978" s="0" t="str">
        <f aca="false">SUBSTITUTE(SUBSTITUTE($I1978,CHAR(61),""),CHAR(34),"")</f>
        <v>10-14</v>
      </c>
      <c r="R1978" s="0" t="str">
        <f aca="false">IF($D1978&lt;&gt;"","["&amp;$E1978&amp;"]"&amp;"|"&amp;$Q1978&amp;"|"&amp;$K1978&amp;"|"&amp;$G1978&amp;"|"&amp;IF($G1978="TX_CURR_SUBNAT.R","CY2022Q4",$M1978),"")</f>
        <v>[zphK9WV8JB4]|10-14|Female|TX_CURR_SUBNAT.T_1|CY2023Q3</v>
      </c>
    </row>
    <row r="1979" customFormat="false" ht="15" hidden="false" customHeight="false" outlineLevel="0" collapsed="false">
      <c r="D1979" s="0" t="s">
        <v>53</v>
      </c>
      <c r="E1979" s="0" t="s">
        <v>54</v>
      </c>
      <c r="F1979" s="0" t="s">
        <v>55</v>
      </c>
      <c r="G1979" s="0" t="s">
        <v>146</v>
      </c>
      <c r="H1979" s="0" t="s">
        <v>147</v>
      </c>
      <c r="I1979" s="0" t="s">
        <v>38</v>
      </c>
      <c r="J1979" s="0" t="s">
        <v>39</v>
      </c>
      <c r="K1979" s="0" t="s">
        <v>30</v>
      </c>
      <c r="L1979" s="0" t="s">
        <v>31</v>
      </c>
      <c r="M1979" s="0" t="s">
        <v>140</v>
      </c>
      <c r="N1979" s="0" t="n">
        <v>1168</v>
      </c>
      <c r="O1979" s="10" t="n">
        <v>0.435902753844857</v>
      </c>
      <c r="P1979" s="10" t="n">
        <v>0.616392469964921</v>
      </c>
      <c r="Q1979" s="0" t="str">
        <f aca="false">SUBSTITUTE(SUBSTITUTE($I1979,CHAR(61),""),CHAR(34),"")</f>
        <v>15-24</v>
      </c>
      <c r="R1979" s="0" t="str">
        <f aca="false">IF($D1979&lt;&gt;"","["&amp;$E1979&amp;"]"&amp;"|"&amp;$Q1979&amp;"|"&amp;$K1979&amp;"|"&amp;$G1979&amp;"|"&amp;IF($G1979="TX_CURR_SUBNAT.R","CY2022Q4",$M1979),"")</f>
        <v>[zphK9WV8JB4]|15-24|Female|TX_CURR_SUBNAT.T_1|CY2023Q3</v>
      </c>
    </row>
    <row r="1980" customFormat="false" ht="15" hidden="false" customHeight="false" outlineLevel="0" collapsed="false">
      <c r="D1980" s="0" t="s">
        <v>53</v>
      </c>
      <c r="E1980" s="0" t="s">
        <v>54</v>
      </c>
      <c r="F1980" s="0" t="s">
        <v>55</v>
      </c>
      <c r="G1980" s="0" t="s">
        <v>146</v>
      </c>
      <c r="H1980" s="0" t="s">
        <v>147</v>
      </c>
      <c r="I1980" s="0" t="s">
        <v>41</v>
      </c>
      <c r="J1980" s="0" t="s">
        <v>42</v>
      </c>
      <c r="K1980" s="0" t="s">
        <v>30</v>
      </c>
      <c r="L1980" s="0" t="s">
        <v>31</v>
      </c>
      <c r="M1980" s="0" t="s">
        <v>140</v>
      </c>
      <c r="N1980" s="0" t="n">
        <v>1240</v>
      </c>
      <c r="O1980" s="10" t="n">
        <v>0.223851211369038</v>
      </c>
      <c r="P1980" s="10" t="n">
        <v>0.616392469964921</v>
      </c>
      <c r="Q1980" s="0" t="str">
        <f aca="false">SUBSTITUTE(SUBSTITUTE($I1980,CHAR(61),""),CHAR(34),"")</f>
        <v>25-34</v>
      </c>
      <c r="R1980" s="0" t="str">
        <f aca="false">IF($D1980&lt;&gt;"","["&amp;$E1980&amp;"]"&amp;"|"&amp;$Q1980&amp;"|"&amp;$K1980&amp;"|"&amp;$G1980&amp;"|"&amp;IF($G1980="TX_CURR_SUBNAT.R","CY2022Q4",$M1980),"")</f>
        <v>[zphK9WV8JB4]|25-34|Female|TX_CURR_SUBNAT.T_1|CY2023Q3</v>
      </c>
    </row>
    <row r="1981" customFormat="false" ht="15" hidden="false" customHeight="false" outlineLevel="0" collapsed="false">
      <c r="D1981" s="0" t="s">
        <v>53</v>
      </c>
      <c r="E1981" s="0" t="s">
        <v>54</v>
      </c>
      <c r="F1981" s="0" t="s">
        <v>55</v>
      </c>
      <c r="G1981" s="0" t="s">
        <v>146</v>
      </c>
      <c r="H1981" s="0" t="s">
        <v>147</v>
      </c>
      <c r="I1981" s="0" t="s">
        <v>43</v>
      </c>
      <c r="J1981" s="0" t="s">
        <v>44</v>
      </c>
      <c r="K1981" s="0" t="s">
        <v>30</v>
      </c>
      <c r="L1981" s="0" t="s">
        <v>31</v>
      </c>
      <c r="M1981" s="0" t="s">
        <v>140</v>
      </c>
      <c r="N1981" s="0" t="n">
        <v>773</v>
      </c>
      <c r="O1981" s="10" t="n">
        <v>0.572440544841811</v>
      </c>
      <c r="P1981" s="10" t="n">
        <v>0.616392469964921</v>
      </c>
      <c r="Q1981" s="0" t="str">
        <f aca="false">SUBSTITUTE(SUBSTITUTE($I1981,CHAR(61),""),CHAR(34),"")</f>
        <v>35-49</v>
      </c>
      <c r="R1981" s="0" t="str">
        <f aca="false">IF($D1981&lt;&gt;"","["&amp;$E1981&amp;"]"&amp;"|"&amp;$Q1981&amp;"|"&amp;$K1981&amp;"|"&amp;$G1981&amp;"|"&amp;IF($G1981="TX_CURR_SUBNAT.R","CY2022Q4",$M1981),"")</f>
        <v>[zphK9WV8JB4]|35-49|Female|TX_CURR_SUBNAT.T_1|CY2023Q3</v>
      </c>
    </row>
    <row r="1982" customFormat="false" ht="15" hidden="false" customHeight="false" outlineLevel="0" collapsed="false">
      <c r="D1982" s="0" t="s">
        <v>53</v>
      </c>
      <c r="E1982" s="0" t="s">
        <v>54</v>
      </c>
      <c r="F1982" s="0" t="s">
        <v>55</v>
      </c>
      <c r="G1982" s="0" t="s">
        <v>146</v>
      </c>
      <c r="H1982" s="0" t="s">
        <v>147</v>
      </c>
      <c r="I1982" s="0" t="s">
        <v>45</v>
      </c>
      <c r="J1982" s="0" t="s">
        <v>46</v>
      </c>
      <c r="K1982" s="0" t="s">
        <v>30</v>
      </c>
      <c r="L1982" s="0" t="s">
        <v>31</v>
      </c>
      <c r="M1982" s="0" t="s">
        <v>140</v>
      </c>
      <c r="N1982" s="0" t="n">
        <v>1336</v>
      </c>
      <c r="O1982" s="10" t="n">
        <v>0.414881656877697</v>
      </c>
      <c r="P1982" s="10" t="n">
        <v>0.616392469964921</v>
      </c>
      <c r="Q1982" s="0" t="str">
        <f aca="false">SUBSTITUTE(SUBSTITUTE($I1982,CHAR(61),""),CHAR(34),"")</f>
        <v>50+</v>
      </c>
      <c r="R1982" s="0" t="str">
        <f aca="false">IF($D1982&lt;&gt;"","["&amp;$E1982&amp;"]"&amp;"|"&amp;$Q1982&amp;"|"&amp;$K1982&amp;"|"&amp;$G1982&amp;"|"&amp;IF($G1982="TX_CURR_SUBNAT.R","CY2022Q4",$M1982),"")</f>
        <v>[zphK9WV8JB4]|50+|Female|TX_CURR_SUBNAT.T_1|CY2023Q3</v>
      </c>
    </row>
    <row r="1983" customFormat="false" ht="15" hidden="false" customHeight="false" outlineLevel="0" collapsed="false">
      <c r="D1983" s="0" t="s">
        <v>53</v>
      </c>
      <c r="E1983" s="0" t="s">
        <v>54</v>
      </c>
      <c r="F1983" s="0" t="s">
        <v>55</v>
      </c>
      <c r="G1983" s="0" t="s">
        <v>146</v>
      </c>
      <c r="H1983" s="0" t="s">
        <v>147</v>
      </c>
      <c r="I1983" s="0" t="s">
        <v>28</v>
      </c>
      <c r="J1983" s="0" t="s">
        <v>29</v>
      </c>
      <c r="K1983" s="0" t="s">
        <v>48</v>
      </c>
      <c r="L1983" s="0" t="s">
        <v>49</v>
      </c>
      <c r="M1983" s="0" t="s">
        <v>140</v>
      </c>
      <c r="N1983" s="0" t="n">
        <v>1290</v>
      </c>
      <c r="O1983" s="10" t="n">
        <v>0.526434565661475</v>
      </c>
      <c r="P1983" s="10" t="n">
        <v>0.616392469964921</v>
      </c>
      <c r="Q1983" s="0" t="str">
        <f aca="false">SUBSTITUTE(SUBSTITUTE($I1983,CHAR(61),""),CHAR(34),"")</f>
        <v>&lt;01</v>
      </c>
      <c r="R1983" s="0" t="str">
        <f aca="false">IF($D1983&lt;&gt;"","["&amp;$E1983&amp;"]"&amp;"|"&amp;$Q1983&amp;"|"&amp;$K1983&amp;"|"&amp;$G1983&amp;"|"&amp;IF($G1983="TX_CURR_SUBNAT.R","CY2022Q4",$M1983),"")</f>
        <v>[zphK9WV8JB4]|&lt;01|Male|TX_CURR_SUBNAT.T_1|CY2023Q3</v>
      </c>
    </row>
    <row r="1984" customFormat="false" ht="15" hidden="false" customHeight="false" outlineLevel="0" collapsed="false">
      <c r="D1984" s="0" t="s">
        <v>53</v>
      </c>
      <c r="E1984" s="0" t="s">
        <v>54</v>
      </c>
      <c r="F1984" s="0" t="s">
        <v>55</v>
      </c>
      <c r="G1984" s="0" t="s">
        <v>146</v>
      </c>
      <c r="H1984" s="0" t="s">
        <v>147</v>
      </c>
      <c r="I1984" s="0" t="s">
        <v>33</v>
      </c>
      <c r="J1984" s="0" t="s">
        <v>34</v>
      </c>
      <c r="K1984" s="0" t="s">
        <v>48</v>
      </c>
      <c r="L1984" s="0" t="s">
        <v>49</v>
      </c>
      <c r="M1984" s="0" t="s">
        <v>140</v>
      </c>
      <c r="N1984" s="0" t="n">
        <v>1275</v>
      </c>
      <c r="O1984" s="10" t="n">
        <v>0.676735967863351</v>
      </c>
      <c r="P1984" s="10" t="n">
        <v>0.616392469964921</v>
      </c>
      <c r="Q1984" s="0" t="str">
        <f aca="false">SUBSTITUTE(SUBSTITUTE($I1984,CHAR(61),""),CHAR(34),"")</f>
        <v>01-09</v>
      </c>
      <c r="R1984" s="0" t="str">
        <f aca="false">IF($D1984&lt;&gt;"","["&amp;$E1984&amp;"]"&amp;"|"&amp;$Q1984&amp;"|"&amp;$K1984&amp;"|"&amp;$G1984&amp;"|"&amp;IF($G1984="TX_CURR_SUBNAT.R","CY2022Q4",$M1984),"")</f>
        <v>[zphK9WV8JB4]|01-09|Male|TX_CURR_SUBNAT.T_1|CY2023Q3</v>
      </c>
    </row>
    <row r="1985" customFormat="false" ht="15" hidden="false" customHeight="false" outlineLevel="0" collapsed="false">
      <c r="D1985" s="0" t="s">
        <v>53</v>
      </c>
      <c r="E1985" s="0" t="s">
        <v>54</v>
      </c>
      <c r="F1985" s="0" t="s">
        <v>55</v>
      </c>
      <c r="G1985" s="0" t="s">
        <v>146</v>
      </c>
      <c r="H1985" s="0" t="s">
        <v>147</v>
      </c>
      <c r="I1985" s="0" t="s">
        <v>36</v>
      </c>
      <c r="J1985" s="0" t="s">
        <v>37</v>
      </c>
      <c r="K1985" s="0" t="s">
        <v>48</v>
      </c>
      <c r="L1985" s="0" t="s">
        <v>49</v>
      </c>
      <c r="M1985" s="0" t="s">
        <v>140</v>
      </c>
      <c r="N1985" s="0" t="n">
        <v>637</v>
      </c>
      <c r="O1985" s="10" t="n">
        <v>0.212970226537436</v>
      </c>
      <c r="P1985" s="10" t="n">
        <v>0.616392469964921</v>
      </c>
      <c r="Q1985" s="0" t="str">
        <f aca="false">SUBSTITUTE(SUBSTITUTE($I1985,CHAR(61),""),CHAR(34),"")</f>
        <v>10-14</v>
      </c>
      <c r="R1985" s="0" t="str">
        <f aca="false">IF($D1985&lt;&gt;"","["&amp;$E1985&amp;"]"&amp;"|"&amp;$Q1985&amp;"|"&amp;$K1985&amp;"|"&amp;$G1985&amp;"|"&amp;IF($G1985="TX_CURR_SUBNAT.R","CY2022Q4",$M1985),"")</f>
        <v>[zphK9WV8JB4]|10-14|Male|TX_CURR_SUBNAT.T_1|CY2023Q3</v>
      </c>
    </row>
    <row r="1986" customFormat="false" ht="15" hidden="false" customHeight="false" outlineLevel="0" collapsed="false">
      <c r="D1986" s="0" t="s">
        <v>53</v>
      </c>
      <c r="E1986" s="0" t="s">
        <v>54</v>
      </c>
      <c r="F1986" s="0" t="s">
        <v>55</v>
      </c>
      <c r="G1986" s="0" t="s">
        <v>146</v>
      </c>
      <c r="H1986" s="0" t="s">
        <v>147</v>
      </c>
      <c r="I1986" s="0" t="s">
        <v>38</v>
      </c>
      <c r="J1986" s="0" t="s">
        <v>39</v>
      </c>
      <c r="K1986" s="0" t="s">
        <v>48</v>
      </c>
      <c r="L1986" s="0" t="s">
        <v>49</v>
      </c>
      <c r="M1986" s="0" t="s">
        <v>140</v>
      </c>
      <c r="N1986" s="0" t="n">
        <v>1932</v>
      </c>
      <c r="O1986" s="10" t="n">
        <v>0.598741251276806</v>
      </c>
      <c r="P1986" s="10" t="n">
        <v>0.616392469964921</v>
      </c>
      <c r="Q1986" s="0" t="str">
        <f aca="false">SUBSTITUTE(SUBSTITUTE($I1986,CHAR(61),""),CHAR(34),"")</f>
        <v>15-24</v>
      </c>
      <c r="R1986" s="0" t="str">
        <f aca="false">IF($D1986&lt;&gt;"","["&amp;$E1986&amp;"]"&amp;"|"&amp;$Q1986&amp;"|"&amp;$K1986&amp;"|"&amp;$G1986&amp;"|"&amp;IF($G1986="TX_CURR_SUBNAT.R","CY2022Q4",$M1986),"")</f>
        <v>[zphK9WV8JB4]|15-24|Male|TX_CURR_SUBNAT.T_1|CY2023Q3</v>
      </c>
    </row>
    <row r="1987" customFormat="false" ht="15" hidden="false" customHeight="false" outlineLevel="0" collapsed="false">
      <c r="D1987" s="0" t="s">
        <v>53</v>
      </c>
      <c r="E1987" s="0" t="s">
        <v>54</v>
      </c>
      <c r="F1987" s="0" t="s">
        <v>55</v>
      </c>
      <c r="G1987" s="0" t="s">
        <v>146</v>
      </c>
      <c r="H1987" s="0" t="s">
        <v>147</v>
      </c>
      <c r="I1987" s="0" t="s">
        <v>41</v>
      </c>
      <c r="J1987" s="0" t="s">
        <v>42</v>
      </c>
      <c r="K1987" s="0" t="s">
        <v>48</v>
      </c>
      <c r="L1987" s="0" t="s">
        <v>49</v>
      </c>
      <c r="M1987" s="0" t="s">
        <v>140</v>
      </c>
      <c r="N1987" s="0" t="n">
        <v>1138</v>
      </c>
      <c r="O1987" s="10" t="n">
        <v>0.288110604509711</v>
      </c>
      <c r="P1987" s="10" t="n">
        <v>0.616392469964921</v>
      </c>
      <c r="Q1987" s="0" t="str">
        <f aca="false">SUBSTITUTE(SUBSTITUTE($I1987,CHAR(61),""),CHAR(34),"")</f>
        <v>25-34</v>
      </c>
      <c r="R1987" s="0" t="str">
        <f aca="false">IF($D1987&lt;&gt;"","["&amp;$E1987&amp;"]"&amp;"|"&amp;$Q1987&amp;"|"&amp;$K1987&amp;"|"&amp;$G1987&amp;"|"&amp;IF($G1987="TX_CURR_SUBNAT.R","CY2022Q4",$M1987),"")</f>
        <v>[zphK9WV8JB4]|25-34|Male|TX_CURR_SUBNAT.T_1|CY2023Q3</v>
      </c>
    </row>
    <row r="1988" customFormat="false" ht="15" hidden="false" customHeight="false" outlineLevel="0" collapsed="false">
      <c r="D1988" s="0" t="s">
        <v>53</v>
      </c>
      <c r="E1988" s="0" t="s">
        <v>54</v>
      </c>
      <c r="F1988" s="0" t="s">
        <v>55</v>
      </c>
      <c r="G1988" s="0" t="s">
        <v>146</v>
      </c>
      <c r="H1988" s="0" t="s">
        <v>147</v>
      </c>
      <c r="I1988" s="0" t="s">
        <v>43</v>
      </c>
      <c r="J1988" s="0" t="s">
        <v>44</v>
      </c>
      <c r="K1988" s="0" t="s">
        <v>48</v>
      </c>
      <c r="L1988" s="0" t="s">
        <v>49</v>
      </c>
      <c r="M1988" s="0" t="s">
        <v>140</v>
      </c>
      <c r="N1988" s="0" t="n">
        <v>1148</v>
      </c>
      <c r="O1988" s="10" t="n">
        <v>0.918094266206026</v>
      </c>
      <c r="P1988" s="10" t="n">
        <v>0.616392469964921</v>
      </c>
      <c r="Q1988" s="0" t="str">
        <f aca="false">SUBSTITUTE(SUBSTITUTE($I1988,CHAR(61),""),CHAR(34),"")</f>
        <v>35-49</v>
      </c>
      <c r="R1988" s="0" t="str">
        <f aca="false">IF($D1988&lt;&gt;"","["&amp;$E1988&amp;"]"&amp;"|"&amp;$Q1988&amp;"|"&amp;$K1988&amp;"|"&amp;$G1988&amp;"|"&amp;IF($G1988="TX_CURR_SUBNAT.R","CY2022Q4",$M1988),"")</f>
        <v>[zphK9WV8JB4]|35-49|Male|TX_CURR_SUBNAT.T_1|CY2023Q3</v>
      </c>
    </row>
    <row r="1989" customFormat="false" ht="15" hidden="false" customHeight="false" outlineLevel="0" collapsed="false">
      <c r="D1989" s="0" t="s">
        <v>53</v>
      </c>
      <c r="E1989" s="0" t="s">
        <v>54</v>
      </c>
      <c r="F1989" s="0" t="s">
        <v>55</v>
      </c>
      <c r="G1989" s="0" t="s">
        <v>146</v>
      </c>
      <c r="H1989" s="0" t="s">
        <v>147</v>
      </c>
      <c r="I1989" s="0" t="s">
        <v>45</v>
      </c>
      <c r="J1989" s="0" t="s">
        <v>46</v>
      </c>
      <c r="K1989" s="0" t="s">
        <v>48</v>
      </c>
      <c r="L1989" s="0" t="s">
        <v>49</v>
      </c>
      <c r="M1989" s="0" t="s">
        <v>140</v>
      </c>
      <c r="N1989" s="0" t="n">
        <v>1982</v>
      </c>
      <c r="O1989" s="10" t="n">
        <v>0.695514498511329</v>
      </c>
      <c r="P1989" s="10" t="n">
        <v>0.616392469964921</v>
      </c>
      <c r="Q1989" s="0" t="str">
        <f aca="false">SUBSTITUTE(SUBSTITUTE($I1989,CHAR(61),""),CHAR(34),"")</f>
        <v>50+</v>
      </c>
      <c r="R1989" s="0" t="str">
        <f aca="false">IF($D1989&lt;&gt;"","["&amp;$E1989&amp;"]"&amp;"|"&amp;$Q1989&amp;"|"&amp;$K1989&amp;"|"&amp;$G1989&amp;"|"&amp;IF($G1989="TX_CURR_SUBNAT.R","CY2022Q4",$M1989),"")</f>
        <v>[zphK9WV8JB4]|50+|Male|TX_CURR_SUBNAT.T_1|CY2023Q3</v>
      </c>
    </row>
    <row r="1990" customFormat="false" ht="15" hidden="false" customHeight="false" outlineLevel="0" collapsed="false">
      <c r="D1990" s="0" t="s">
        <v>60</v>
      </c>
      <c r="E1990" s="0" t="s">
        <v>61</v>
      </c>
      <c r="F1990" s="0" t="s">
        <v>62</v>
      </c>
      <c r="G1990" s="0" t="s">
        <v>146</v>
      </c>
      <c r="H1990" s="0" t="s">
        <v>147</v>
      </c>
      <c r="I1990" s="0" t="s">
        <v>28</v>
      </c>
      <c r="J1990" s="0" t="s">
        <v>29</v>
      </c>
      <c r="K1990" s="0" t="s">
        <v>30</v>
      </c>
      <c r="L1990" s="0" t="s">
        <v>31</v>
      </c>
      <c r="M1990" s="0" t="s">
        <v>140</v>
      </c>
      <c r="N1990" s="0" t="n">
        <v>1700</v>
      </c>
      <c r="O1990" s="10" t="n">
        <v>0.474510762374848</v>
      </c>
      <c r="P1990" s="10" t="n">
        <v>0.0268250561784953</v>
      </c>
      <c r="Q1990" s="0" t="str">
        <f aca="false">SUBSTITUTE(SUBSTITUTE($I1990,CHAR(61),""),CHAR(34),"")</f>
        <v>&lt;01</v>
      </c>
      <c r="R1990" s="0" t="str">
        <f aca="false">IF($D1990&lt;&gt;"","["&amp;$E1990&amp;"]"&amp;"|"&amp;$Q1990&amp;"|"&amp;$K1990&amp;"|"&amp;$G1990&amp;"|"&amp;IF($G1990="TX_CURR_SUBNAT.R","CY2022Q4",$M1990),"")</f>
        <v>[msW2zpIN7up]|&lt;01|Female|TX_CURR_SUBNAT.T_1|CY2023Q3</v>
      </c>
    </row>
    <row r="1991" customFormat="false" ht="15" hidden="false" customHeight="false" outlineLevel="0" collapsed="false">
      <c r="D1991" s="0" t="s">
        <v>60</v>
      </c>
      <c r="E1991" s="0" t="s">
        <v>61</v>
      </c>
      <c r="F1991" s="0" t="s">
        <v>62</v>
      </c>
      <c r="G1991" s="0" t="s">
        <v>146</v>
      </c>
      <c r="H1991" s="0" t="s">
        <v>147</v>
      </c>
      <c r="I1991" s="0" t="s">
        <v>33</v>
      </c>
      <c r="J1991" s="0" t="s">
        <v>34</v>
      </c>
      <c r="K1991" s="0" t="s">
        <v>30</v>
      </c>
      <c r="L1991" s="0" t="s">
        <v>31</v>
      </c>
      <c r="M1991" s="0" t="s">
        <v>140</v>
      </c>
      <c r="N1991" s="0" t="n">
        <v>1536</v>
      </c>
      <c r="O1991" s="10" t="n">
        <v>0.322032704018056</v>
      </c>
      <c r="P1991" s="10" t="n">
        <v>0.0268250561784953</v>
      </c>
      <c r="Q1991" s="0" t="str">
        <f aca="false">SUBSTITUTE(SUBSTITUTE($I1991,CHAR(61),""),CHAR(34),"")</f>
        <v>01-09</v>
      </c>
      <c r="R1991" s="0" t="str">
        <f aca="false">IF($D1991&lt;&gt;"","["&amp;$E1991&amp;"]"&amp;"|"&amp;$Q1991&amp;"|"&amp;$K1991&amp;"|"&amp;$G1991&amp;"|"&amp;IF($G1991="TX_CURR_SUBNAT.R","CY2022Q4",$M1991),"")</f>
        <v>[msW2zpIN7up]|01-09|Female|TX_CURR_SUBNAT.T_1|CY2023Q3</v>
      </c>
    </row>
    <row r="1992" customFormat="false" ht="15" hidden="false" customHeight="false" outlineLevel="0" collapsed="false">
      <c r="D1992" s="0" t="s">
        <v>60</v>
      </c>
      <c r="E1992" s="0" t="s">
        <v>61</v>
      </c>
      <c r="F1992" s="0" t="s">
        <v>62</v>
      </c>
      <c r="G1992" s="0" t="s">
        <v>146</v>
      </c>
      <c r="H1992" s="0" t="s">
        <v>147</v>
      </c>
      <c r="I1992" s="0" t="s">
        <v>36</v>
      </c>
      <c r="J1992" s="0" t="s">
        <v>37</v>
      </c>
      <c r="K1992" s="0" t="s">
        <v>30</v>
      </c>
      <c r="L1992" s="0" t="s">
        <v>31</v>
      </c>
      <c r="M1992" s="0" t="s">
        <v>140</v>
      </c>
      <c r="N1992" s="0" t="n">
        <v>922</v>
      </c>
      <c r="O1992" s="10" t="n">
        <v>0.692405147245154</v>
      </c>
      <c r="P1992" s="10" t="n">
        <v>0.0268250561784953</v>
      </c>
      <c r="Q1992" s="0" t="str">
        <f aca="false">SUBSTITUTE(SUBSTITUTE($I1992,CHAR(61),""),CHAR(34),"")</f>
        <v>10-14</v>
      </c>
      <c r="R1992" s="0" t="str">
        <f aca="false">IF($D1992&lt;&gt;"","["&amp;$E1992&amp;"]"&amp;"|"&amp;$Q1992&amp;"|"&amp;$K1992&amp;"|"&amp;$G1992&amp;"|"&amp;IF($G1992="TX_CURR_SUBNAT.R","CY2022Q4",$M1992),"")</f>
        <v>[msW2zpIN7up]|10-14|Female|TX_CURR_SUBNAT.T_1|CY2023Q3</v>
      </c>
    </row>
    <row r="1993" customFormat="false" ht="15" hidden="false" customHeight="false" outlineLevel="0" collapsed="false">
      <c r="D1993" s="0" t="s">
        <v>60</v>
      </c>
      <c r="E1993" s="0" t="s">
        <v>61</v>
      </c>
      <c r="F1993" s="0" t="s">
        <v>62</v>
      </c>
      <c r="G1993" s="0" t="s">
        <v>146</v>
      </c>
      <c r="H1993" s="0" t="s">
        <v>147</v>
      </c>
      <c r="I1993" s="0" t="s">
        <v>38</v>
      </c>
      <c r="J1993" s="0" t="s">
        <v>39</v>
      </c>
      <c r="K1993" s="0" t="s">
        <v>30</v>
      </c>
      <c r="L1993" s="0" t="s">
        <v>31</v>
      </c>
      <c r="M1993" s="0" t="s">
        <v>140</v>
      </c>
      <c r="N1993" s="0" t="n">
        <v>1397</v>
      </c>
      <c r="O1993" s="10" t="n">
        <v>0.304976804880425</v>
      </c>
      <c r="P1993" s="10" t="n">
        <v>0.0268250561784953</v>
      </c>
      <c r="Q1993" s="0" t="str">
        <f aca="false">SUBSTITUTE(SUBSTITUTE($I1993,CHAR(61),""),CHAR(34),"")</f>
        <v>15-24</v>
      </c>
      <c r="R1993" s="0" t="str">
        <f aca="false">IF($D1993&lt;&gt;"","["&amp;$E1993&amp;"]"&amp;"|"&amp;$Q1993&amp;"|"&amp;$K1993&amp;"|"&amp;$G1993&amp;"|"&amp;IF($G1993="TX_CURR_SUBNAT.R","CY2022Q4",$M1993),"")</f>
        <v>[msW2zpIN7up]|15-24|Female|TX_CURR_SUBNAT.T_1|CY2023Q3</v>
      </c>
    </row>
    <row r="1994" customFormat="false" ht="15" hidden="false" customHeight="false" outlineLevel="0" collapsed="false">
      <c r="D1994" s="0" t="s">
        <v>60</v>
      </c>
      <c r="E1994" s="0" t="s">
        <v>61</v>
      </c>
      <c r="F1994" s="0" t="s">
        <v>62</v>
      </c>
      <c r="G1994" s="0" t="s">
        <v>146</v>
      </c>
      <c r="H1994" s="0" t="s">
        <v>147</v>
      </c>
      <c r="I1994" s="0" t="s">
        <v>41</v>
      </c>
      <c r="J1994" s="0" t="s">
        <v>42</v>
      </c>
      <c r="K1994" s="0" t="s">
        <v>30</v>
      </c>
      <c r="L1994" s="0" t="s">
        <v>31</v>
      </c>
      <c r="M1994" s="0" t="s">
        <v>140</v>
      </c>
      <c r="N1994" s="0" t="n">
        <v>961</v>
      </c>
      <c r="O1994" s="10" t="n">
        <v>0.560945683391765</v>
      </c>
      <c r="P1994" s="10" t="n">
        <v>0.0268250561784953</v>
      </c>
      <c r="Q1994" s="0" t="str">
        <f aca="false">SUBSTITUTE(SUBSTITUTE($I1994,CHAR(61),""),CHAR(34),"")</f>
        <v>25-34</v>
      </c>
      <c r="R1994" s="0" t="str">
        <f aca="false">IF($D1994&lt;&gt;"","["&amp;$E1994&amp;"]"&amp;"|"&amp;$Q1994&amp;"|"&amp;$K1994&amp;"|"&amp;$G1994&amp;"|"&amp;IF($G1994="TX_CURR_SUBNAT.R","CY2022Q4",$M1994),"")</f>
        <v>[msW2zpIN7up]|25-34|Female|TX_CURR_SUBNAT.T_1|CY2023Q3</v>
      </c>
    </row>
    <row r="1995" customFormat="false" ht="15" hidden="false" customHeight="false" outlineLevel="0" collapsed="false">
      <c r="D1995" s="0" t="s">
        <v>60</v>
      </c>
      <c r="E1995" s="0" t="s">
        <v>61</v>
      </c>
      <c r="F1995" s="0" t="s">
        <v>62</v>
      </c>
      <c r="G1995" s="0" t="s">
        <v>146</v>
      </c>
      <c r="H1995" s="0" t="s">
        <v>147</v>
      </c>
      <c r="I1995" s="0" t="s">
        <v>43</v>
      </c>
      <c r="J1995" s="0" t="s">
        <v>44</v>
      </c>
      <c r="K1995" s="0" t="s">
        <v>30</v>
      </c>
      <c r="L1995" s="0" t="s">
        <v>31</v>
      </c>
      <c r="M1995" s="0" t="s">
        <v>140</v>
      </c>
      <c r="N1995" s="0" t="n">
        <v>1881</v>
      </c>
      <c r="O1995" s="10" t="n">
        <v>0.528842308558524</v>
      </c>
      <c r="P1995" s="10" t="n">
        <v>0.0268250561784953</v>
      </c>
      <c r="Q1995" s="0" t="str">
        <f aca="false">SUBSTITUTE(SUBSTITUTE($I1995,CHAR(61),""),CHAR(34),"")</f>
        <v>35-49</v>
      </c>
      <c r="R1995" s="0" t="str">
        <f aca="false">IF($D1995&lt;&gt;"","["&amp;$E1995&amp;"]"&amp;"|"&amp;$Q1995&amp;"|"&amp;$K1995&amp;"|"&amp;$G1995&amp;"|"&amp;IF($G1995="TX_CURR_SUBNAT.R","CY2022Q4",$M1995),"")</f>
        <v>[msW2zpIN7up]|35-49|Female|TX_CURR_SUBNAT.T_1|CY2023Q3</v>
      </c>
    </row>
    <row r="1996" customFormat="false" ht="15" hidden="false" customHeight="false" outlineLevel="0" collapsed="false">
      <c r="D1996" s="0" t="s">
        <v>60</v>
      </c>
      <c r="E1996" s="0" t="s">
        <v>61</v>
      </c>
      <c r="F1996" s="0" t="s">
        <v>62</v>
      </c>
      <c r="G1996" s="0" t="s">
        <v>146</v>
      </c>
      <c r="H1996" s="0" t="s">
        <v>147</v>
      </c>
      <c r="I1996" s="0" t="s">
        <v>45</v>
      </c>
      <c r="J1996" s="0" t="s">
        <v>46</v>
      </c>
      <c r="K1996" s="0" t="s">
        <v>30</v>
      </c>
      <c r="L1996" s="0" t="s">
        <v>31</v>
      </c>
      <c r="M1996" s="0" t="s">
        <v>140</v>
      </c>
      <c r="N1996" s="0" t="n">
        <v>1509</v>
      </c>
      <c r="O1996" s="10" t="n">
        <v>0.525876248022541</v>
      </c>
      <c r="P1996" s="10" t="n">
        <v>0.0268250561784953</v>
      </c>
      <c r="Q1996" s="0" t="str">
        <f aca="false">SUBSTITUTE(SUBSTITUTE($I1996,CHAR(61),""),CHAR(34),"")</f>
        <v>50+</v>
      </c>
      <c r="R1996" s="0" t="str">
        <f aca="false">IF($D1996&lt;&gt;"","["&amp;$E1996&amp;"]"&amp;"|"&amp;$Q1996&amp;"|"&amp;$K1996&amp;"|"&amp;$G1996&amp;"|"&amp;IF($G1996="TX_CURR_SUBNAT.R","CY2022Q4",$M1996),"")</f>
        <v>[msW2zpIN7up]|50+|Female|TX_CURR_SUBNAT.T_1|CY2023Q3</v>
      </c>
    </row>
    <row r="1997" customFormat="false" ht="15" hidden="false" customHeight="false" outlineLevel="0" collapsed="false">
      <c r="D1997" s="0" t="s">
        <v>60</v>
      </c>
      <c r="E1997" s="0" t="s">
        <v>61</v>
      </c>
      <c r="F1997" s="0" t="s">
        <v>62</v>
      </c>
      <c r="G1997" s="0" t="s">
        <v>146</v>
      </c>
      <c r="H1997" s="0" t="s">
        <v>147</v>
      </c>
      <c r="I1997" s="0" t="s">
        <v>28</v>
      </c>
      <c r="J1997" s="0" t="s">
        <v>29</v>
      </c>
      <c r="K1997" s="0" t="s">
        <v>48</v>
      </c>
      <c r="L1997" s="0" t="s">
        <v>49</v>
      </c>
      <c r="M1997" s="0" t="s">
        <v>140</v>
      </c>
      <c r="N1997" s="0" t="n">
        <v>1129</v>
      </c>
      <c r="O1997" s="10" t="n">
        <v>0.747748435009271</v>
      </c>
      <c r="P1997" s="10" t="n">
        <v>0.0268250561784953</v>
      </c>
      <c r="Q1997" s="0" t="str">
        <f aca="false">SUBSTITUTE(SUBSTITUTE($I1997,CHAR(61),""),CHAR(34),"")</f>
        <v>&lt;01</v>
      </c>
      <c r="R1997" s="0" t="str">
        <f aca="false">IF($D1997&lt;&gt;"","["&amp;$E1997&amp;"]"&amp;"|"&amp;$Q1997&amp;"|"&amp;$K1997&amp;"|"&amp;$G1997&amp;"|"&amp;IF($G1997="TX_CURR_SUBNAT.R","CY2022Q4",$M1997),"")</f>
        <v>[msW2zpIN7up]|&lt;01|Male|TX_CURR_SUBNAT.T_1|CY2023Q3</v>
      </c>
    </row>
    <row r="1998" customFormat="false" ht="15" hidden="false" customHeight="false" outlineLevel="0" collapsed="false">
      <c r="D1998" s="0" t="s">
        <v>60</v>
      </c>
      <c r="E1998" s="0" t="s">
        <v>61</v>
      </c>
      <c r="F1998" s="0" t="s">
        <v>62</v>
      </c>
      <c r="G1998" s="0" t="s">
        <v>146</v>
      </c>
      <c r="H1998" s="0" t="s">
        <v>147</v>
      </c>
      <c r="I1998" s="0" t="s">
        <v>33</v>
      </c>
      <c r="J1998" s="0" t="s">
        <v>34</v>
      </c>
      <c r="K1998" s="0" t="s">
        <v>48</v>
      </c>
      <c r="L1998" s="0" t="s">
        <v>49</v>
      </c>
      <c r="M1998" s="0" t="s">
        <v>140</v>
      </c>
      <c r="N1998" s="0" t="n">
        <v>1377</v>
      </c>
      <c r="O1998" s="10" t="n">
        <v>0.317423355998471</v>
      </c>
      <c r="P1998" s="10" t="n">
        <v>0.0268250561784953</v>
      </c>
      <c r="Q1998" s="0" t="str">
        <f aca="false">SUBSTITUTE(SUBSTITUTE($I1998,CHAR(61),""),CHAR(34),"")</f>
        <v>01-09</v>
      </c>
      <c r="R1998" s="0" t="str">
        <f aca="false">IF($D1998&lt;&gt;"","["&amp;$E1998&amp;"]"&amp;"|"&amp;$Q1998&amp;"|"&amp;$K1998&amp;"|"&amp;$G1998&amp;"|"&amp;IF($G1998="TX_CURR_SUBNAT.R","CY2022Q4",$M1998),"")</f>
        <v>[msW2zpIN7up]|01-09|Male|TX_CURR_SUBNAT.T_1|CY2023Q3</v>
      </c>
    </row>
    <row r="1999" customFormat="false" ht="15" hidden="false" customHeight="false" outlineLevel="0" collapsed="false">
      <c r="D1999" s="0" t="s">
        <v>60</v>
      </c>
      <c r="E1999" s="0" t="s">
        <v>61</v>
      </c>
      <c r="F1999" s="0" t="s">
        <v>62</v>
      </c>
      <c r="G1999" s="0" t="s">
        <v>146</v>
      </c>
      <c r="H1999" s="0" t="s">
        <v>147</v>
      </c>
      <c r="I1999" s="0" t="s">
        <v>36</v>
      </c>
      <c r="J1999" s="0" t="s">
        <v>37</v>
      </c>
      <c r="K1999" s="0" t="s">
        <v>48</v>
      </c>
      <c r="L1999" s="0" t="s">
        <v>49</v>
      </c>
      <c r="M1999" s="0" t="s">
        <v>140</v>
      </c>
      <c r="N1999" s="0" t="n">
        <v>855</v>
      </c>
      <c r="O1999" s="10" t="n">
        <v>0.54717067303136</v>
      </c>
      <c r="P1999" s="10" t="n">
        <v>0.0268250561784953</v>
      </c>
      <c r="Q1999" s="0" t="str">
        <f aca="false">SUBSTITUTE(SUBSTITUTE($I1999,CHAR(61),""),CHAR(34),"")</f>
        <v>10-14</v>
      </c>
      <c r="R1999" s="0" t="str">
        <f aca="false">IF($D1999&lt;&gt;"","["&amp;$E1999&amp;"]"&amp;"|"&amp;$Q1999&amp;"|"&amp;$K1999&amp;"|"&amp;$G1999&amp;"|"&amp;IF($G1999="TX_CURR_SUBNAT.R","CY2022Q4",$M1999),"")</f>
        <v>[msW2zpIN7up]|10-14|Male|TX_CURR_SUBNAT.T_1|CY2023Q3</v>
      </c>
    </row>
    <row r="2000" customFormat="false" ht="15" hidden="false" customHeight="false" outlineLevel="0" collapsed="false">
      <c r="D2000" s="0" t="s">
        <v>60</v>
      </c>
      <c r="E2000" s="0" t="s">
        <v>61</v>
      </c>
      <c r="F2000" s="0" t="s">
        <v>62</v>
      </c>
      <c r="G2000" s="0" t="s">
        <v>146</v>
      </c>
      <c r="H2000" s="0" t="s">
        <v>147</v>
      </c>
      <c r="I2000" s="0" t="s">
        <v>38</v>
      </c>
      <c r="J2000" s="0" t="s">
        <v>39</v>
      </c>
      <c r="K2000" s="0" t="s">
        <v>48</v>
      </c>
      <c r="L2000" s="0" t="s">
        <v>49</v>
      </c>
      <c r="M2000" s="0" t="s">
        <v>140</v>
      </c>
      <c r="N2000" s="0" t="n">
        <v>1301</v>
      </c>
      <c r="O2000" s="10" t="n">
        <v>0.856225656345487</v>
      </c>
      <c r="P2000" s="10" t="n">
        <v>0.0268250561784953</v>
      </c>
      <c r="Q2000" s="0" t="str">
        <f aca="false">SUBSTITUTE(SUBSTITUTE($I2000,CHAR(61),""),CHAR(34),"")</f>
        <v>15-24</v>
      </c>
      <c r="R2000" s="0" t="str">
        <f aca="false">IF($D2000&lt;&gt;"","["&amp;$E2000&amp;"]"&amp;"|"&amp;$Q2000&amp;"|"&amp;$K2000&amp;"|"&amp;$G2000&amp;"|"&amp;IF($G2000="TX_CURR_SUBNAT.R","CY2022Q4",$M2000),"")</f>
        <v>[msW2zpIN7up]|15-24|Male|TX_CURR_SUBNAT.T_1|CY2023Q3</v>
      </c>
    </row>
    <row r="2001" customFormat="false" ht="15" hidden="false" customHeight="false" outlineLevel="0" collapsed="false">
      <c r="D2001" s="0" t="s">
        <v>60</v>
      </c>
      <c r="E2001" s="0" t="s">
        <v>61</v>
      </c>
      <c r="F2001" s="0" t="s">
        <v>62</v>
      </c>
      <c r="G2001" s="0" t="s">
        <v>146</v>
      </c>
      <c r="H2001" s="0" t="s">
        <v>147</v>
      </c>
      <c r="I2001" s="0" t="s">
        <v>41</v>
      </c>
      <c r="J2001" s="0" t="s">
        <v>42</v>
      </c>
      <c r="K2001" s="0" t="s">
        <v>48</v>
      </c>
      <c r="L2001" s="0" t="s">
        <v>49</v>
      </c>
      <c r="M2001" s="0" t="s">
        <v>140</v>
      </c>
      <c r="N2001" s="0" t="n">
        <v>1135</v>
      </c>
      <c r="O2001" s="10" t="n">
        <v>0.502739364281297</v>
      </c>
      <c r="P2001" s="10" t="n">
        <v>0.0268250561784953</v>
      </c>
      <c r="Q2001" s="0" t="str">
        <f aca="false">SUBSTITUTE(SUBSTITUTE($I2001,CHAR(61),""),CHAR(34),"")</f>
        <v>25-34</v>
      </c>
      <c r="R2001" s="0" t="str">
        <f aca="false">IF($D2001&lt;&gt;"","["&amp;$E2001&amp;"]"&amp;"|"&amp;$Q2001&amp;"|"&amp;$K2001&amp;"|"&amp;$G2001&amp;"|"&amp;IF($G2001="TX_CURR_SUBNAT.R","CY2022Q4",$M2001),"")</f>
        <v>[msW2zpIN7up]|25-34|Male|TX_CURR_SUBNAT.T_1|CY2023Q3</v>
      </c>
    </row>
    <row r="2002" customFormat="false" ht="15" hidden="false" customHeight="false" outlineLevel="0" collapsed="false">
      <c r="D2002" s="0" t="s">
        <v>60</v>
      </c>
      <c r="E2002" s="0" t="s">
        <v>61</v>
      </c>
      <c r="F2002" s="0" t="s">
        <v>62</v>
      </c>
      <c r="G2002" s="0" t="s">
        <v>146</v>
      </c>
      <c r="H2002" s="0" t="s">
        <v>147</v>
      </c>
      <c r="I2002" s="0" t="s">
        <v>43</v>
      </c>
      <c r="J2002" s="0" t="s">
        <v>44</v>
      </c>
      <c r="K2002" s="0" t="s">
        <v>48</v>
      </c>
      <c r="L2002" s="0" t="s">
        <v>49</v>
      </c>
      <c r="M2002" s="0" t="s">
        <v>140</v>
      </c>
      <c r="N2002" s="0" t="n">
        <v>1942</v>
      </c>
      <c r="O2002" s="10" t="n">
        <v>0.692885245895013</v>
      </c>
      <c r="P2002" s="10" t="n">
        <v>0.0268250561784953</v>
      </c>
      <c r="Q2002" s="0" t="str">
        <f aca="false">SUBSTITUTE(SUBSTITUTE($I2002,CHAR(61),""),CHAR(34),"")</f>
        <v>35-49</v>
      </c>
      <c r="R2002" s="0" t="str">
        <f aca="false">IF($D2002&lt;&gt;"","["&amp;$E2002&amp;"]"&amp;"|"&amp;$Q2002&amp;"|"&amp;$K2002&amp;"|"&amp;$G2002&amp;"|"&amp;IF($G2002="TX_CURR_SUBNAT.R","CY2022Q4",$M2002),"")</f>
        <v>[msW2zpIN7up]|35-49|Male|TX_CURR_SUBNAT.T_1|CY2023Q3</v>
      </c>
    </row>
    <row r="2003" customFormat="false" ht="15" hidden="false" customHeight="false" outlineLevel="0" collapsed="false">
      <c r="D2003" s="0" t="s">
        <v>60</v>
      </c>
      <c r="E2003" s="0" t="s">
        <v>61</v>
      </c>
      <c r="F2003" s="0" t="s">
        <v>62</v>
      </c>
      <c r="G2003" s="0" t="s">
        <v>146</v>
      </c>
      <c r="H2003" s="0" t="s">
        <v>147</v>
      </c>
      <c r="I2003" s="0" t="s">
        <v>45</v>
      </c>
      <c r="J2003" s="0" t="s">
        <v>46</v>
      </c>
      <c r="K2003" s="0" t="s">
        <v>48</v>
      </c>
      <c r="L2003" s="0" t="s">
        <v>49</v>
      </c>
      <c r="M2003" s="0" t="s">
        <v>140</v>
      </c>
      <c r="N2003" s="0" t="n">
        <v>1636</v>
      </c>
      <c r="O2003" s="10" t="n">
        <v>0.487706143176183</v>
      </c>
      <c r="P2003" s="10" t="n">
        <v>0.0268250561784953</v>
      </c>
      <c r="Q2003" s="0" t="str">
        <f aca="false">SUBSTITUTE(SUBSTITUTE($I2003,CHAR(61),""),CHAR(34),"")</f>
        <v>50+</v>
      </c>
      <c r="R2003" s="0" t="str">
        <f aca="false">IF($D2003&lt;&gt;"","["&amp;$E2003&amp;"]"&amp;"|"&amp;$Q2003&amp;"|"&amp;$K2003&amp;"|"&amp;$G2003&amp;"|"&amp;IF($G2003="TX_CURR_SUBNAT.R","CY2022Q4",$M2003),"")</f>
        <v>[msW2zpIN7up]|50+|Male|TX_CURR_SUBNAT.T_1|CY2023Q3</v>
      </c>
    </row>
    <row r="2004" customFormat="false" ht="15" hidden="false" customHeight="false" outlineLevel="0" collapsed="false">
      <c r="D2004" s="0" t="s">
        <v>63</v>
      </c>
      <c r="E2004" s="0" t="s">
        <v>64</v>
      </c>
      <c r="F2004" s="0" t="s">
        <v>65</v>
      </c>
      <c r="G2004" s="0" t="s">
        <v>146</v>
      </c>
      <c r="H2004" s="0" t="s">
        <v>147</v>
      </c>
      <c r="I2004" s="0" t="s">
        <v>28</v>
      </c>
      <c r="J2004" s="0" t="s">
        <v>29</v>
      </c>
      <c r="K2004" s="0" t="s">
        <v>30</v>
      </c>
      <c r="L2004" s="0" t="s">
        <v>31</v>
      </c>
      <c r="M2004" s="0" t="s">
        <v>140</v>
      </c>
      <c r="N2004" s="0" t="n">
        <v>741</v>
      </c>
      <c r="O2004" s="10" t="n">
        <v>0.539027728140354</v>
      </c>
      <c r="P2004" s="10" t="n">
        <v>0.790102193132043</v>
      </c>
      <c r="Q2004" s="0" t="str">
        <f aca="false">SUBSTITUTE(SUBSTITUTE($I2004,CHAR(61),""),CHAR(34),"")</f>
        <v>&lt;01</v>
      </c>
      <c r="R2004" s="0" t="str">
        <f aca="false">IF($D2004&lt;&gt;"","["&amp;$E2004&amp;"]"&amp;"|"&amp;$Q2004&amp;"|"&amp;$K2004&amp;"|"&amp;$G2004&amp;"|"&amp;IF($G2004="TX_CURR_SUBNAT.R","CY2022Q4",$M2004),"")</f>
        <v>[kxuuIFpOXyO]|&lt;01|Female|TX_CURR_SUBNAT.T_1|CY2023Q3</v>
      </c>
    </row>
    <row r="2005" customFormat="false" ht="15" hidden="false" customHeight="false" outlineLevel="0" collapsed="false">
      <c r="D2005" s="0" t="s">
        <v>63</v>
      </c>
      <c r="E2005" s="0" t="s">
        <v>64</v>
      </c>
      <c r="F2005" s="0" t="s">
        <v>65</v>
      </c>
      <c r="G2005" s="0" t="s">
        <v>146</v>
      </c>
      <c r="H2005" s="0" t="s">
        <v>147</v>
      </c>
      <c r="I2005" s="0" t="s">
        <v>33</v>
      </c>
      <c r="J2005" s="0" t="s">
        <v>34</v>
      </c>
      <c r="K2005" s="0" t="s">
        <v>30</v>
      </c>
      <c r="L2005" s="0" t="s">
        <v>31</v>
      </c>
      <c r="M2005" s="0" t="s">
        <v>140</v>
      </c>
      <c r="N2005" s="0" t="n">
        <v>1318</v>
      </c>
      <c r="O2005" s="10" t="n">
        <v>0.608963104663417</v>
      </c>
      <c r="P2005" s="10" t="n">
        <v>0.790102193132043</v>
      </c>
      <c r="Q2005" s="0" t="str">
        <f aca="false">SUBSTITUTE(SUBSTITUTE($I2005,CHAR(61),""),CHAR(34),"")</f>
        <v>01-09</v>
      </c>
      <c r="R2005" s="0" t="str">
        <f aca="false">IF($D2005&lt;&gt;"","["&amp;$E2005&amp;"]"&amp;"|"&amp;$Q2005&amp;"|"&amp;$K2005&amp;"|"&amp;$G2005&amp;"|"&amp;IF($G2005="TX_CURR_SUBNAT.R","CY2022Q4",$M2005),"")</f>
        <v>[kxuuIFpOXyO]|01-09|Female|TX_CURR_SUBNAT.T_1|CY2023Q3</v>
      </c>
    </row>
    <row r="2006" customFormat="false" ht="15" hidden="false" customHeight="false" outlineLevel="0" collapsed="false">
      <c r="D2006" s="0" t="s">
        <v>63</v>
      </c>
      <c r="E2006" s="0" t="s">
        <v>64</v>
      </c>
      <c r="F2006" s="0" t="s">
        <v>65</v>
      </c>
      <c r="G2006" s="0" t="s">
        <v>146</v>
      </c>
      <c r="H2006" s="0" t="s">
        <v>147</v>
      </c>
      <c r="I2006" s="0" t="s">
        <v>36</v>
      </c>
      <c r="J2006" s="0" t="s">
        <v>37</v>
      </c>
      <c r="K2006" s="0" t="s">
        <v>30</v>
      </c>
      <c r="L2006" s="0" t="s">
        <v>31</v>
      </c>
      <c r="M2006" s="0" t="s">
        <v>140</v>
      </c>
      <c r="N2006" s="0" t="n">
        <v>851</v>
      </c>
      <c r="O2006" s="10" t="n">
        <v>0.762492500245571</v>
      </c>
      <c r="P2006" s="10" t="n">
        <v>0.790102193132043</v>
      </c>
      <c r="Q2006" s="0" t="str">
        <f aca="false">SUBSTITUTE(SUBSTITUTE($I2006,CHAR(61),""),CHAR(34),"")</f>
        <v>10-14</v>
      </c>
      <c r="R2006" s="0" t="str">
        <f aca="false">IF($D2006&lt;&gt;"","["&amp;$E2006&amp;"]"&amp;"|"&amp;$Q2006&amp;"|"&amp;$K2006&amp;"|"&amp;$G2006&amp;"|"&amp;IF($G2006="TX_CURR_SUBNAT.R","CY2022Q4",$M2006),"")</f>
        <v>[kxuuIFpOXyO]|10-14|Female|TX_CURR_SUBNAT.T_1|CY2023Q3</v>
      </c>
    </row>
    <row r="2007" customFormat="false" ht="15" hidden="false" customHeight="false" outlineLevel="0" collapsed="false">
      <c r="D2007" s="0" t="s">
        <v>63</v>
      </c>
      <c r="E2007" s="0" t="s">
        <v>64</v>
      </c>
      <c r="F2007" s="0" t="s">
        <v>65</v>
      </c>
      <c r="G2007" s="0" t="s">
        <v>146</v>
      </c>
      <c r="H2007" s="0" t="s">
        <v>147</v>
      </c>
      <c r="I2007" s="0" t="s">
        <v>38</v>
      </c>
      <c r="J2007" s="0" t="s">
        <v>39</v>
      </c>
      <c r="K2007" s="0" t="s">
        <v>30</v>
      </c>
      <c r="L2007" s="0" t="s">
        <v>31</v>
      </c>
      <c r="M2007" s="0" t="s">
        <v>140</v>
      </c>
      <c r="N2007" s="0" t="n">
        <v>647</v>
      </c>
      <c r="O2007" s="10" t="n">
        <v>0.531624776544049</v>
      </c>
      <c r="P2007" s="10" t="n">
        <v>0.790102193132043</v>
      </c>
      <c r="Q2007" s="0" t="str">
        <f aca="false">SUBSTITUTE(SUBSTITUTE($I2007,CHAR(61),""),CHAR(34),"")</f>
        <v>15-24</v>
      </c>
      <c r="R2007" s="0" t="str">
        <f aca="false">IF($D2007&lt;&gt;"","["&amp;$E2007&amp;"]"&amp;"|"&amp;$Q2007&amp;"|"&amp;$K2007&amp;"|"&amp;$G2007&amp;"|"&amp;IF($G2007="TX_CURR_SUBNAT.R","CY2022Q4",$M2007),"")</f>
        <v>[kxuuIFpOXyO]|15-24|Female|TX_CURR_SUBNAT.T_1|CY2023Q3</v>
      </c>
    </row>
    <row r="2008" customFormat="false" ht="15" hidden="false" customHeight="false" outlineLevel="0" collapsed="false">
      <c r="D2008" s="0" t="s">
        <v>63</v>
      </c>
      <c r="E2008" s="0" t="s">
        <v>64</v>
      </c>
      <c r="F2008" s="0" t="s">
        <v>65</v>
      </c>
      <c r="G2008" s="0" t="s">
        <v>146</v>
      </c>
      <c r="H2008" s="0" t="s">
        <v>147</v>
      </c>
      <c r="I2008" s="0" t="s">
        <v>41</v>
      </c>
      <c r="J2008" s="0" t="s">
        <v>42</v>
      </c>
      <c r="K2008" s="0" t="s">
        <v>30</v>
      </c>
      <c r="L2008" s="0" t="s">
        <v>31</v>
      </c>
      <c r="M2008" s="0" t="s">
        <v>140</v>
      </c>
      <c r="N2008" s="0" t="n">
        <v>1943</v>
      </c>
      <c r="O2008" s="10" t="n">
        <v>0.688048944575712</v>
      </c>
      <c r="P2008" s="10" t="n">
        <v>0.790102193132043</v>
      </c>
      <c r="Q2008" s="0" t="str">
        <f aca="false">SUBSTITUTE(SUBSTITUTE($I2008,CHAR(61),""),CHAR(34),"")</f>
        <v>25-34</v>
      </c>
      <c r="R2008" s="0" t="str">
        <f aca="false">IF($D2008&lt;&gt;"","["&amp;$E2008&amp;"]"&amp;"|"&amp;$Q2008&amp;"|"&amp;$K2008&amp;"|"&amp;$G2008&amp;"|"&amp;IF($G2008="TX_CURR_SUBNAT.R","CY2022Q4",$M2008),"")</f>
        <v>[kxuuIFpOXyO]|25-34|Female|TX_CURR_SUBNAT.T_1|CY2023Q3</v>
      </c>
    </row>
    <row r="2009" customFormat="false" ht="15" hidden="false" customHeight="false" outlineLevel="0" collapsed="false">
      <c r="D2009" s="0" t="s">
        <v>63</v>
      </c>
      <c r="E2009" s="0" t="s">
        <v>64</v>
      </c>
      <c r="F2009" s="0" t="s">
        <v>65</v>
      </c>
      <c r="G2009" s="0" t="s">
        <v>146</v>
      </c>
      <c r="H2009" s="0" t="s">
        <v>147</v>
      </c>
      <c r="I2009" s="0" t="s">
        <v>43</v>
      </c>
      <c r="J2009" s="0" t="s">
        <v>44</v>
      </c>
      <c r="K2009" s="0" t="s">
        <v>30</v>
      </c>
      <c r="L2009" s="0" t="s">
        <v>31</v>
      </c>
      <c r="M2009" s="0" t="s">
        <v>140</v>
      </c>
      <c r="N2009" s="0" t="n">
        <v>1767</v>
      </c>
      <c r="O2009" s="10" t="n">
        <v>0.917350432602689</v>
      </c>
      <c r="P2009" s="10" t="n">
        <v>0.790102193132043</v>
      </c>
      <c r="Q2009" s="0" t="str">
        <f aca="false">SUBSTITUTE(SUBSTITUTE($I2009,CHAR(61),""),CHAR(34),"")</f>
        <v>35-49</v>
      </c>
      <c r="R2009" s="0" t="str">
        <f aca="false">IF($D2009&lt;&gt;"","["&amp;$E2009&amp;"]"&amp;"|"&amp;$Q2009&amp;"|"&amp;$K2009&amp;"|"&amp;$G2009&amp;"|"&amp;IF($G2009="TX_CURR_SUBNAT.R","CY2022Q4",$M2009),"")</f>
        <v>[kxuuIFpOXyO]|35-49|Female|TX_CURR_SUBNAT.T_1|CY2023Q3</v>
      </c>
    </row>
    <row r="2010" customFormat="false" ht="15" hidden="false" customHeight="false" outlineLevel="0" collapsed="false">
      <c r="D2010" s="0" t="s">
        <v>63</v>
      </c>
      <c r="E2010" s="0" t="s">
        <v>64</v>
      </c>
      <c r="F2010" s="0" t="s">
        <v>65</v>
      </c>
      <c r="G2010" s="0" t="s">
        <v>146</v>
      </c>
      <c r="H2010" s="0" t="s">
        <v>147</v>
      </c>
      <c r="I2010" s="0" t="s">
        <v>45</v>
      </c>
      <c r="J2010" s="0" t="s">
        <v>46</v>
      </c>
      <c r="K2010" s="0" t="s">
        <v>30</v>
      </c>
      <c r="L2010" s="0" t="s">
        <v>31</v>
      </c>
      <c r="M2010" s="0" t="s">
        <v>140</v>
      </c>
      <c r="N2010" s="0" t="n">
        <v>1686</v>
      </c>
      <c r="O2010" s="10" t="n">
        <v>0.706525665009394</v>
      </c>
      <c r="P2010" s="10" t="n">
        <v>0.790102193132043</v>
      </c>
      <c r="Q2010" s="0" t="str">
        <f aca="false">SUBSTITUTE(SUBSTITUTE($I2010,CHAR(61),""),CHAR(34),"")</f>
        <v>50+</v>
      </c>
      <c r="R2010" s="0" t="str">
        <f aca="false">IF($D2010&lt;&gt;"","["&amp;$E2010&amp;"]"&amp;"|"&amp;$Q2010&amp;"|"&amp;$K2010&amp;"|"&amp;$G2010&amp;"|"&amp;IF($G2010="TX_CURR_SUBNAT.R","CY2022Q4",$M2010),"")</f>
        <v>[kxuuIFpOXyO]|50+|Female|TX_CURR_SUBNAT.T_1|CY2023Q3</v>
      </c>
    </row>
    <row r="2011" customFormat="false" ht="15" hidden="false" customHeight="false" outlineLevel="0" collapsed="false">
      <c r="D2011" s="0" t="s">
        <v>63</v>
      </c>
      <c r="E2011" s="0" t="s">
        <v>64</v>
      </c>
      <c r="F2011" s="0" t="s">
        <v>65</v>
      </c>
      <c r="G2011" s="0" t="s">
        <v>146</v>
      </c>
      <c r="H2011" s="0" t="s">
        <v>147</v>
      </c>
      <c r="I2011" s="0" t="s">
        <v>28</v>
      </c>
      <c r="J2011" s="0" t="s">
        <v>29</v>
      </c>
      <c r="K2011" s="0" t="s">
        <v>48</v>
      </c>
      <c r="L2011" s="0" t="s">
        <v>49</v>
      </c>
      <c r="M2011" s="0" t="s">
        <v>140</v>
      </c>
      <c r="N2011" s="0" t="n">
        <v>742</v>
      </c>
      <c r="O2011" s="10" t="n">
        <v>0.549077751580626</v>
      </c>
      <c r="P2011" s="10" t="n">
        <v>0.790102193132043</v>
      </c>
      <c r="Q2011" s="0" t="str">
        <f aca="false">SUBSTITUTE(SUBSTITUTE($I2011,CHAR(61),""),CHAR(34),"")</f>
        <v>&lt;01</v>
      </c>
      <c r="R2011" s="0" t="str">
        <f aca="false">IF($D2011&lt;&gt;"","["&amp;$E2011&amp;"]"&amp;"|"&amp;$Q2011&amp;"|"&amp;$K2011&amp;"|"&amp;$G2011&amp;"|"&amp;IF($G2011="TX_CURR_SUBNAT.R","CY2022Q4",$M2011),"")</f>
        <v>[kxuuIFpOXyO]|&lt;01|Male|TX_CURR_SUBNAT.T_1|CY2023Q3</v>
      </c>
    </row>
    <row r="2012" customFormat="false" ht="15" hidden="false" customHeight="false" outlineLevel="0" collapsed="false">
      <c r="D2012" s="0" t="s">
        <v>63</v>
      </c>
      <c r="E2012" s="0" t="s">
        <v>64</v>
      </c>
      <c r="F2012" s="0" t="s">
        <v>65</v>
      </c>
      <c r="G2012" s="0" t="s">
        <v>146</v>
      </c>
      <c r="H2012" s="0" t="s">
        <v>147</v>
      </c>
      <c r="I2012" s="0" t="s">
        <v>33</v>
      </c>
      <c r="J2012" s="0" t="s">
        <v>34</v>
      </c>
      <c r="K2012" s="0" t="s">
        <v>48</v>
      </c>
      <c r="L2012" s="0" t="s">
        <v>49</v>
      </c>
      <c r="M2012" s="0" t="s">
        <v>140</v>
      </c>
      <c r="N2012" s="0" t="n">
        <v>1923</v>
      </c>
      <c r="O2012" s="10" t="n">
        <v>0.811822056537494</v>
      </c>
      <c r="P2012" s="10" t="n">
        <v>0.790102193132043</v>
      </c>
      <c r="Q2012" s="0" t="str">
        <f aca="false">SUBSTITUTE(SUBSTITUTE($I2012,CHAR(61),""),CHAR(34),"")</f>
        <v>01-09</v>
      </c>
      <c r="R2012" s="0" t="str">
        <f aca="false">IF($D2012&lt;&gt;"","["&amp;$E2012&amp;"]"&amp;"|"&amp;$Q2012&amp;"|"&amp;$K2012&amp;"|"&amp;$G2012&amp;"|"&amp;IF($G2012="TX_CURR_SUBNAT.R","CY2022Q4",$M2012),"")</f>
        <v>[kxuuIFpOXyO]|01-09|Male|TX_CURR_SUBNAT.T_1|CY2023Q3</v>
      </c>
    </row>
    <row r="2013" customFormat="false" ht="15" hidden="false" customHeight="false" outlineLevel="0" collapsed="false">
      <c r="D2013" s="0" t="s">
        <v>63</v>
      </c>
      <c r="E2013" s="0" t="s">
        <v>64</v>
      </c>
      <c r="F2013" s="0" t="s">
        <v>65</v>
      </c>
      <c r="G2013" s="0" t="s">
        <v>146</v>
      </c>
      <c r="H2013" s="0" t="s">
        <v>147</v>
      </c>
      <c r="I2013" s="0" t="s">
        <v>36</v>
      </c>
      <c r="J2013" s="0" t="s">
        <v>37</v>
      </c>
      <c r="K2013" s="0" t="s">
        <v>48</v>
      </c>
      <c r="L2013" s="0" t="s">
        <v>49</v>
      </c>
      <c r="M2013" s="0" t="s">
        <v>140</v>
      </c>
      <c r="N2013" s="0" t="n">
        <v>1262</v>
      </c>
      <c r="O2013" s="10" t="n">
        <v>0.886094675865024</v>
      </c>
      <c r="P2013" s="10" t="n">
        <v>0.790102193132043</v>
      </c>
      <c r="Q2013" s="0" t="str">
        <f aca="false">SUBSTITUTE(SUBSTITUTE($I2013,CHAR(61),""),CHAR(34),"")</f>
        <v>10-14</v>
      </c>
      <c r="R2013" s="0" t="str">
        <f aca="false">IF($D2013&lt;&gt;"","["&amp;$E2013&amp;"]"&amp;"|"&amp;$Q2013&amp;"|"&amp;$K2013&amp;"|"&amp;$G2013&amp;"|"&amp;IF($G2013="TX_CURR_SUBNAT.R","CY2022Q4",$M2013),"")</f>
        <v>[kxuuIFpOXyO]|10-14|Male|TX_CURR_SUBNAT.T_1|CY2023Q3</v>
      </c>
    </row>
    <row r="2014" customFormat="false" ht="15" hidden="false" customHeight="false" outlineLevel="0" collapsed="false">
      <c r="D2014" s="0" t="s">
        <v>63</v>
      </c>
      <c r="E2014" s="0" t="s">
        <v>64</v>
      </c>
      <c r="F2014" s="0" t="s">
        <v>65</v>
      </c>
      <c r="G2014" s="0" t="s">
        <v>146</v>
      </c>
      <c r="H2014" s="0" t="s">
        <v>147</v>
      </c>
      <c r="I2014" s="0" t="s">
        <v>38</v>
      </c>
      <c r="J2014" s="0" t="s">
        <v>39</v>
      </c>
      <c r="K2014" s="0" t="s">
        <v>48</v>
      </c>
      <c r="L2014" s="0" t="s">
        <v>49</v>
      </c>
      <c r="M2014" s="0" t="s">
        <v>140</v>
      </c>
      <c r="N2014" s="0" t="n">
        <v>1632</v>
      </c>
      <c r="O2014" s="10" t="n">
        <v>0.0916796603705734</v>
      </c>
      <c r="P2014" s="10" t="n">
        <v>0.790102193132043</v>
      </c>
      <c r="Q2014" s="0" t="str">
        <f aca="false">SUBSTITUTE(SUBSTITUTE($I2014,CHAR(61),""),CHAR(34),"")</f>
        <v>15-24</v>
      </c>
      <c r="R2014" s="0" t="str">
        <f aca="false">IF($D2014&lt;&gt;"","["&amp;$E2014&amp;"]"&amp;"|"&amp;$Q2014&amp;"|"&amp;$K2014&amp;"|"&amp;$G2014&amp;"|"&amp;IF($G2014="TX_CURR_SUBNAT.R","CY2022Q4",$M2014),"")</f>
        <v>[kxuuIFpOXyO]|15-24|Male|TX_CURR_SUBNAT.T_1|CY2023Q3</v>
      </c>
    </row>
    <row r="2015" customFormat="false" ht="15" hidden="false" customHeight="false" outlineLevel="0" collapsed="false">
      <c r="D2015" s="0" t="s">
        <v>63</v>
      </c>
      <c r="E2015" s="0" t="s">
        <v>64</v>
      </c>
      <c r="F2015" s="0" t="s">
        <v>65</v>
      </c>
      <c r="G2015" s="0" t="s">
        <v>146</v>
      </c>
      <c r="H2015" s="0" t="s">
        <v>147</v>
      </c>
      <c r="I2015" s="0" t="s">
        <v>41</v>
      </c>
      <c r="J2015" s="0" t="s">
        <v>42</v>
      </c>
      <c r="K2015" s="0" t="s">
        <v>48</v>
      </c>
      <c r="L2015" s="0" t="s">
        <v>49</v>
      </c>
      <c r="M2015" s="0" t="s">
        <v>140</v>
      </c>
      <c r="N2015" s="0" t="n">
        <v>890</v>
      </c>
      <c r="O2015" s="10" t="n">
        <v>0.207951349904761</v>
      </c>
      <c r="P2015" s="10" t="n">
        <v>0.790102193132043</v>
      </c>
      <c r="Q2015" s="0" t="str">
        <f aca="false">SUBSTITUTE(SUBSTITUTE($I2015,CHAR(61),""),CHAR(34),"")</f>
        <v>25-34</v>
      </c>
      <c r="R2015" s="0" t="str">
        <f aca="false">IF($D2015&lt;&gt;"","["&amp;$E2015&amp;"]"&amp;"|"&amp;$Q2015&amp;"|"&amp;$K2015&amp;"|"&amp;$G2015&amp;"|"&amp;IF($G2015="TX_CURR_SUBNAT.R","CY2022Q4",$M2015),"")</f>
        <v>[kxuuIFpOXyO]|25-34|Male|TX_CURR_SUBNAT.T_1|CY2023Q3</v>
      </c>
    </row>
    <row r="2016" customFormat="false" ht="15" hidden="false" customHeight="false" outlineLevel="0" collapsed="false">
      <c r="D2016" s="0" t="s">
        <v>63</v>
      </c>
      <c r="E2016" s="0" t="s">
        <v>64</v>
      </c>
      <c r="F2016" s="0" t="s">
        <v>65</v>
      </c>
      <c r="G2016" s="0" t="s">
        <v>146</v>
      </c>
      <c r="H2016" s="0" t="s">
        <v>147</v>
      </c>
      <c r="I2016" s="0" t="s">
        <v>43</v>
      </c>
      <c r="J2016" s="0" t="s">
        <v>44</v>
      </c>
      <c r="K2016" s="0" t="s">
        <v>48</v>
      </c>
      <c r="L2016" s="0" t="s">
        <v>49</v>
      </c>
      <c r="M2016" s="0" t="s">
        <v>140</v>
      </c>
      <c r="N2016" s="0" t="n">
        <v>956</v>
      </c>
      <c r="O2016" s="10" t="n">
        <v>0.726801837794483</v>
      </c>
      <c r="P2016" s="10" t="n">
        <v>0.790102193132043</v>
      </c>
      <c r="Q2016" s="0" t="str">
        <f aca="false">SUBSTITUTE(SUBSTITUTE($I2016,CHAR(61),""),CHAR(34),"")</f>
        <v>35-49</v>
      </c>
      <c r="R2016" s="0" t="str">
        <f aca="false">IF($D2016&lt;&gt;"","["&amp;$E2016&amp;"]"&amp;"|"&amp;$Q2016&amp;"|"&amp;$K2016&amp;"|"&amp;$G2016&amp;"|"&amp;IF($G2016="TX_CURR_SUBNAT.R","CY2022Q4",$M2016),"")</f>
        <v>[kxuuIFpOXyO]|35-49|Male|TX_CURR_SUBNAT.T_1|CY2023Q3</v>
      </c>
    </row>
    <row r="2017" customFormat="false" ht="15" hidden="false" customHeight="false" outlineLevel="0" collapsed="false">
      <c r="D2017" s="0" t="s">
        <v>63</v>
      </c>
      <c r="E2017" s="0" t="s">
        <v>64</v>
      </c>
      <c r="F2017" s="0" t="s">
        <v>65</v>
      </c>
      <c r="G2017" s="0" t="s">
        <v>146</v>
      </c>
      <c r="H2017" s="0" t="s">
        <v>147</v>
      </c>
      <c r="I2017" s="0" t="s">
        <v>45</v>
      </c>
      <c r="J2017" s="0" t="s">
        <v>46</v>
      </c>
      <c r="K2017" s="0" t="s">
        <v>48</v>
      </c>
      <c r="L2017" s="0" t="s">
        <v>49</v>
      </c>
      <c r="M2017" s="0" t="s">
        <v>140</v>
      </c>
      <c r="N2017" s="0" t="n">
        <v>1458</v>
      </c>
      <c r="O2017" s="10" t="n">
        <v>0.651684411335737</v>
      </c>
      <c r="P2017" s="10" t="n">
        <v>0.790102193132043</v>
      </c>
      <c r="Q2017" s="0" t="str">
        <f aca="false">SUBSTITUTE(SUBSTITUTE($I2017,CHAR(61),""),CHAR(34),"")</f>
        <v>50+</v>
      </c>
      <c r="R2017" s="0" t="str">
        <f aca="false">IF($D2017&lt;&gt;"","["&amp;$E2017&amp;"]"&amp;"|"&amp;$Q2017&amp;"|"&amp;$K2017&amp;"|"&amp;$G2017&amp;"|"&amp;IF($G2017="TX_CURR_SUBNAT.R","CY2022Q4",$M2017),"")</f>
        <v>[kxuuIFpOXyO]|50+|Male|TX_CURR_SUBNAT.T_1|CY2023Q3</v>
      </c>
    </row>
    <row r="2018" customFormat="false" ht="15" hidden="false" customHeight="false" outlineLevel="0" collapsed="false">
      <c r="D2018" s="0" t="s">
        <v>66</v>
      </c>
      <c r="E2018" s="0" t="s">
        <v>67</v>
      </c>
      <c r="F2018" s="0" t="s">
        <v>68</v>
      </c>
      <c r="G2018" s="0" t="s">
        <v>146</v>
      </c>
      <c r="H2018" s="0" t="s">
        <v>147</v>
      </c>
      <c r="I2018" s="0" t="s">
        <v>28</v>
      </c>
      <c r="J2018" s="0" t="s">
        <v>29</v>
      </c>
      <c r="K2018" s="0" t="s">
        <v>30</v>
      </c>
      <c r="L2018" s="0" t="s">
        <v>31</v>
      </c>
      <c r="M2018" s="0" t="s">
        <v>140</v>
      </c>
      <c r="N2018" s="0" t="n">
        <v>1384</v>
      </c>
      <c r="O2018" s="10" t="n">
        <v>0.611942712683231</v>
      </c>
      <c r="P2018" s="10" t="n">
        <v>0.164609884377569</v>
      </c>
      <c r="Q2018" s="0" t="str">
        <f aca="false">SUBSTITUTE(SUBSTITUTE($I2018,CHAR(61),""),CHAR(34),"")</f>
        <v>&lt;01</v>
      </c>
      <c r="R2018" s="0" t="str">
        <f aca="false">IF($D2018&lt;&gt;"","["&amp;$E2018&amp;"]"&amp;"|"&amp;$Q2018&amp;"|"&amp;$K2018&amp;"|"&amp;$G2018&amp;"|"&amp;IF($G2018="TX_CURR_SUBNAT.R","CY2022Q4",$M2018),"")</f>
        <v>[ScR9iFKAasW]|&lt;01|Female|TX_CURR_SUBNAT.T_1|CY2023Q3</v>
      </c>
    </row>
    <row r="2019" customFormat="false" ht="15" hidden="false" customHeight="false" outlineLevel="0" collapsed="false">
      <c r="D2019" s="0" t="s">
        <v>66</v>
      </c>
      <c r="E2019" s="0" t="s">
        <v>67</v>
      </c>
      <c r="F2019" s="0" t="s">
        <v>68</v>
      </c>
      <c r="G2019" s="0" t="s">
        <v>146</v>
      </c>
      <c r="H2019" s="0" t="s">
        <v>147</v>
      </c>
      <c r="I2019" s="0" t="s">
        <v>33</v>
      </c>
      <c r="J2019" s="0" t="s">
        <v>34</v>
      </c>
      <c r="K2019" s="0" t="s">
        <v>30</v>
      </c>
      <c r="L2019" s="0" t="s">
        <v>31</v>
      </c>
      <c r="M2019" s="0" t="s">
        <v>140</v>
      </c>
      <c r="N2019" s="0" t="n">
        <v>1259</v>
      </c>
      <c r="O2019" s="10" t="n">
        <v>0.616817091591656</v>
      </c>
      <c r="P2019" s="10" t="n">
        <v>0.164609884377569</v>
      </c>
      <c r="Q2019" s="0" t="str">
        <f aca="false">SUBSTITUTE(SUBSTITUTE($I2019,CHAR(61),""),CHAR(34),"")</f>
        <v>01-09</v>
      </c>
      <c r="R2019" s="0" t="str">
        <f aca="false">IF($D2019&lt;&gt;"","["&amp;$E2019&amp;"]"&amp;"|"&amp;$Q2019&amp;"|"&amp;$K2019&amp;"|"&amp;$G2019&amp;"|"&amp;IF($G2019="TX_CURR_SUBNAT.R","CY2022Q4",$M2019),"")</f>
        <v>[ScR9iFKAasW]|01-09|Female|TX_CURR_SUBNAT.T_1|CY2023Q3</v>
      </c>
    </row>
    <row r="2020" customFormat="false" ht="15" hidden="false" customHeight="false" outlineLevel="0" collapsed="false">
      <c r="D2020" s="0" t="s">
        <v>66</v>
      </c>
      <c r="E2020" s="0" t="s">
        <v>67</v>
      </c>
      <c r="F2020" s="0" t="s">
        <v>68</v>
      </c>
      <c r="G2020" s="0" t="s">
        <v>146</v>
      </c>
      <c r="H2020" s="0" t="s">
        <v>147</v>
      </c>
      <c r="I2020" s="0" t="s">
        <v>36</v>
      </c>
      <c r="J2020" s="0" t="s">
        <v>37</v>
      </c>
      <c r="K2020" s="0" t="s">
        <v>30</v>
      </c>
      <c r="L2020" s="0" t="s">
        <v>31</v>
      </c>
      <c r="M2020" s="0" t="s">
        <v>140</v>
      </c>
      <c r="N2020" s="0" t="n">
        <v>1466</v>
      </c>
      <c r="O2020" s="10" t="n">
        <v>0.301215009298176</v>
      </c>
      <c r="P2020" s="10" t="n">
        <v>0.164609884377569</v>
      </c>
      <c r="Q2020" s="0" t="str">
        <f aca="false">SUBSTITUTE(SUBSTITUTE($I2020,CHAR(61),""),CHAR(34),"")</f>
        <v>10-14</v>
      </c>
      <c r="R2020" s="0" t="str">
        <f aca="false">IF($D2020&lt;&gt;"","["&amp;$E2020&amp;"]"&amp;"|"&amp;$Q2020&amp;"|"&amp;$K2020&amp;"|"&amp;$G2020&amp;"|"&amp;IF($G2020="TX_CURR_SUBNAT.R","CY2022Q4",$M2020),"")</f>
        <v>[ScR9iFKAasW]|10-14|Female|TX_CURR_SUBNAT.T_1|CY2023Q3</v>
      </c>
    </row>
    <row r="2021" customFormat="false" ht="15" hidden="false" customHeight="false" outlineLevel="0" collapsed="false">
      <c r="D2021" s="0" t="s">
        <v>66</v>
      </c>
      <c r="E2021" s="0" t="s">
        <v>67</v>
      </c>
      <c r="F2021" s="0" t="s">
        <v>68</v>
      </c>
      <c r="G2021" s="0" t="s">
        <v>146</v>
      </c>
      <c r="H2021" s="0" t="s">
        <v>147</v>
      </c>
      <c r="I2021" s="0" t="s">
        <v>38</v>
      </c>
      <c r="J2021" s="0" t="s">
        <v>39</v>
      </c>
      <c r="K2021" s="0" t="s">
        <v>30</v>
      </c>
      <c r="L2021" s="0" t="s">
        <v>31</v>
      </c>
      <c r="M2021" s="0" t="s">
        <v>140</v>
      </c>
      <c r="N2021" s="0" t="n">
        <v>563</v>
      </c>
      <c r="O2021" s="10" t="n">
        <v>0.167849742807448</v>
      </c>
      <c r="P2021" s="10" t="n">
        <v>0.164609884377569</v>
      </c>
      <c r="Q2021" s="0" t="str">
        <f aca="false">SUBSTITUTE(SUBSTITUTE($I2021,CHAR(61),""),CHAR(34),"")</f>
        <v>15-24</v>
      </c>
      <c r="R2021" s="0" t="str">
        <f aca="false">IF($D2021&lt;&gt;"","["&amp;$E2021&amp;"]"&amp;"|"&amp;$Q2021&amp;"|"&amp;$K2021&amp;"|"&amp;$G2021&amp;"|"&amp;IF($G2021="TX_CURR_SUBNAT.R","CY2022Q4",$M2021),"")</f>
        <v>[ScR9iFKAasW]|15-24|Female|TX_CURR_SUBNAT.T_1|CY2023Q3</v>
      </c>
    </row>
    <row r="2022" customFormat="false" ht="15" hidden="false" customHeight="false" outlineLevel="0" collapsed="false">
      <c r="D2022" s="0" t="s">
        <v>66</v>
      </c>
      <c r="E2022" s="0" t="s">
        <v>67</v>
      </c>
      <c r="F2022" s="0" t="s">
        <v>68</v>
      </c>
      <c r="G2022" s="0" t="s">
        <v>146</v>
      </c>
      <c r="H2022" s="0" t="s">
        <v>147</v>
      </c>
      <c r="I2022" s="0" t="s">
        <v>41</v>
      </c>
      <c r="J2022" s="0" t="s">
        <v>42</v>
      </c>
      <c r="K2022" s="0" t="s">
        <v>30</v>
      </c>
      <c r="L2022" s="0" t="s">
        <v>31</v>
      </c>
      <c r="M2022" s="0" t="s">
        <v>140</v>
      </c>
      <c r="N2022" s="0" t="n">
        <v>1500</v>
      </c>
      <c r="O2022" s="10" t="n">
        <v>0.739397790050134</v>
      </c>
      <c r="P2022" s="10" t="n">
        <v>0.164609884377569</v>
      </c>
      <c r="Q2022" s="0" t="str">
        <f aca="false">SUBSTITUTE(SUBSTITUTE($I2022,CHAR(61),""),CHAR(34),"")</f>
        <v>25-34</v>
      </c>
      <c r="R2022" s="0" t="str">
        <f aca="false">IF($D2022&lt;&gt;"","["&amp;$E2022&amp;"]"&amp;"|"&amp;$Q2022&amp;"|"&amp;$K2022&amp;"|"&amp;$G2022&amp;"|"&amp;IF($G2022="TX_CURR_SUBNAT.R","CY2022Q4",$M2022),"")</f>
        <v>[ScR9iFKAasW]|25-34|Female|TX_CURR_SUBNAT.T_1|CY2023Q3</v>
      </c>
    </row>
    <row r="2023" customFormat="false" ht="15" hidden="false" customHeight="false" outlineLevel="0" collapsed="false">
      <c r="D2023" s="0" t="s">
        <v>66</v>
      </c>
      <c r="E2023" s="0" t="s">
        <v>67</v>
      </c>
      <c r="F2023" s="0" t="s">
        <v>68</v>
      </c>
      <c r="G2023" s="0" t="s">
        <v>146</v>
      </c>
      <c r="H2023" s="0" t="s">
        <v>147</v>
      </c>
      <c r="I2023" s="0" t="s">
        <v>43</v>
      </c>
      <c r="J2023" s="0" t="s">
        <v>44</v>
      </c>
      <c r="K2023" s="0" t="s">
        <v>30</v>
      </c>
      <c r="L2023" s="0" t="s">
        <v>31</v>
      </c>
      <c r="M2023" s="0" t="s">
        <v>140</v>
      </c>
      <c r="N2023" s="0" t="n">
        <v>1104</v>
      </c>
      <c r="O2023" s="10" t="n">
        <v>0.347244150936604</v>
      </c>
      <c r="P2023" s="10" t="n">
        <v>0.164609884377569</v>
      </c>
      <c r="Q2023" s="0" t="str">
        <f aca="false">SUBSTITUTE(SUBSTITUTE($I2023,CHAR(61),""),CHAR(34),"")</f>
        <v>35-49</v>
      </c>
      <c r="R2023" s="0" t="str">
        <f aca="false">IF($D2023&lt;&gt;"","["&amp;$E2023&amp;"]"&amp;"|"&amp;$Q2023&amp;"|"&amp;$K2023&amp;"|"&amp;$G2023&amp;"|"&amp;IF($G2023="TX_CURR_SUBNAT.R","CY2022Q4",$M2023),"")</f>
        <v>[ScR9iFKAasW]|35-49|Female|TX_CURR_SUBNAT.T_1|CY2023Q3</v>
      </c>
    </row>
    <row r="2024" customFormat="false" ht="15" hidden="false" customHeight="false" outlineLevel="0" collapsed="false">
      <c r="D2024" s="0" t="s">
        <v>66</v>
      </c>
      <c r="E2024" s="0" t="s">
        <v>67</v>
      </c>
      <c r="F2024" s="0" t="s">
        <v>68</v>
      </c>
      <c r="G2024" s="0" t="s">
        <v>146</v>
      </c>
      <c r="H2024" s="0" t="s">
        <v>147</v>
      </c>
      <c r="I2024" s="0" t="s">
        <v>45</v>
      </c>
      <c r="J2024" s="0" t="s">
        <v>46</v>
      </c>
      <c r="K2024" s="0" t="s">
        <v>30</v>
      </c>
      <c r="L2024" s="0" t="s">
        <v>31</v>
      </c>
      <c r="M2024" s="0" t="s">
        <v>140</v>
      </c>
      <c r="N2024" s="0" t="n">
        <v>1370</v>
      </c>
      <c r="O2024" s="10" t="n">
        <v>0.350717267254367</v>
      </c>
      <c r="P2024" s="10" t="n">
        <v>0.164609884377569</v>
      </c>
      <c r="Q2024" s="0" t="str">
        <f aca="false">SUBSTITUTE(SUBSTITUTE($I2024,CHAR(61),""),CHAR(34),"")</f>
        <v>50+</v>
      </c>
      <c r="R2024" s="0" t="str">
        <f aca="false">IF($D2024&lt;&gt;"","["&amp;$E2024&amp;"]"&amp;"|"&amp;$Q2024&amp;"|"&amp;$K2024&amp;"|"&amp;$G2024&amp;"|"&amp;IF($G2024="TX_CURR_SUBNAT.R","CY2022Q4",$M2024),"")</f>
        <v>[ScR9iFKAasW]|50+|Female|TX_CURR_SUBNAT.T_1|CY2023Q3</v>
      </c>
    </row>
    <row r="2025" customFormat="false" ht="15" hidden="false" customHeight="false" outlineLevel="0" collapsed="false">
      <c r="D2025" s="0" t="s">
        <v>66</v>
      </c>
      <c r="E2025" s="0" t="s">
        <v>67</v>
      </c>
      <c r="F2025" s="0" t="s">
        <v>68</v>
      </c>
      <c r="G2025" s="0" t="s">
        <v>146</v>
      </c>
      <c r="H2025" s="0" t="s">
        <v>147</v>
      </c>
      <c r="I2025" s="0" t="s">
        <v>28</v>
      </c>
      <c r="J2025" s="0" t="s">
        <v>29</v>
      </c>
      <c r="K2025" s="0" t="s">
        <v>48</v>
      </c>
      <c r="L2025" s="0" t="s">
        <v>49</v>
      </c>
      <c r="M2025" s="0" t="s">
        <v>140</v>
      </c>
      <c r="N2025" s="0" t="n">
        <v>1782</v>
      </c>
      <c r="O2025" s="10" t="n">
        <v>0.467465492663905</v>
      </c>
      <c r="P2025" s="10" t="n">
        <v>0.164609884377569</v>
      </c>
      <c r="Q2025" s="0" t="str">
        <f aca="false">SUBSTITUTE(SUBSTITUTE($I2025,CHAR(61),""),CHAR(34),"")</f>
        <v>&lt;01</v>
      </c>
      <c r="R2025" s="0" t="str">
        <f aca="false">IF($D2025&lt;&gt;"","["&amp;$E2025&amp;"]"&amp;"|"&amp;$Q2025&amp;"|"&amp;$K2025&amp;"|"&amp;$G2025&amp;"|"&amp;IF($G2025="TX_CURR_SUBNAT.R","CY2022Q4",$M2025),"")</f>
        <v>[ScR9iFKAasW]|&lt;01|Male|TX_CURR_SUBNAT.T_1|CY2023Q3</v>
      </c>
    </row>
    <row r="2026" customFormat="false" ht="15" hidden="false" customHeight="false" outlineLevel="0" collapsed="false">
      <c r="D2026" s="0" t="s">
        <v>66</v>
      </c>
      <c r="E2026" s="0" t="s">
        <v>67</v>
      </c>
      <c r="F2026" s="0" t="s">
        <v>68</v>
      </c>
      <c r="G2026" s="0" t="s">
        <v>146</v>
      </c>
      <c r="H2026" s="0" t="s">
        <v>147</v>
      </c>
      <c r="I2026" s="0" t="s">
        <v>33</v>
      </c>
      <c r="J2026" s="0" t="s">
        <v>34</v>
      </c>
      <c r="K2026" s="0" t="s">
        <v>48</v>
      </c>
      <c r="L2026" s="0" t="s">
        <v>49</v>
      </c>
      <c r="M2026" s="0" t="s">
        <v>140</v>
      </c>
      <c r="N2026" s="0" t="n">
        <v>1097</v>
      </c>
      <c r="O2026" s="10" t="n">
        <v>0.219509170856327</v>
      </c>
      <c r="P2026" s="10" t="n">
        <v>0.164609884377569</v>
      </c>
      <c r="Q2026" s="0" t="str">
        <f aca="false">SUBSTITUTE(SUBSTITUTE($I2026,CHAR(61),""),CHAR(34),"")</f>
        <v>01-09</v>
      </c>
      <c r="R2026" s="0" t="str">
        <f aca="false">IF($D2026&lt;&gt;"","["&amp;$E2026&amp;"]"&amp;"|"&amp;$Q2026&amp;"|"&amp;$K2026&amp;"|"&amp;$G2026&amp;"|"&amp;IF($G2026="TX_CURR_SUBNAT.R","CY2022Q4",$M2026),"")</f>
        <v>[ScR9iFKAasW]|01-09|Male|TX_CURR_SUBNAT.T_1|CY2023Q3</v>
      </c>
    </row>
    <row r="2027" customFormat="false" ht="15" hidden="false" customHeight="false" outlineLevel="0" collapsed="false">
      <c r="D2027" s="0" t="s">
        <v>66</v>
      </c>
      <c r="E2027" s="0" t="s">
        <v>67</v>
      </c>
      <c r="F2027" s="0" t="s">
        <v>68</v>
      </c>
      <c r="G2027" s="0" t="s">
        <v>146</v>
      </c>
      <c r="H2027" s="0" t="s">
        <v>147</v>
      </c>
      <c r="I2027" s="0" t="s">
        <v>36</v>
      </c>
      <c r="J2027" s="0" t="s">
        <v>37</v>
      </c>
      <c r="K2027" s="0" t="s">
        <v>48</v>
      </c>
      <c r="L2027" s="0" t="s">
        <v>49</v>
      </c>
      <c r="M2027" s="0" t="s">
        <v>140</v>
      </c>
      <c r="N2027" s="0" t="n">
        <v>1274</v>
      </c>
      <c r="O2027" s="10" t="n">
        <v>0.302525147562847</v>
      </c>
      <c r="P2027" s="10" t="n">
        <v>0.164609884377569</v>
      </c>
      <c r="Q2027" s="0" t="str">
        <f aca="false">SUBSTITUTE(SUBSTITUTE($I2027,CHAR(61),""),CHAR(34),"")</f>
        <v>10-14</v>
      </c>
      <c r="R2027" s="0" t="str">
        <f aca="false">IF($D2027&lt;&gt;"","["&amp;$E2027&amp;"]"&amp;"|"&amp;$Q2027&amp;"|"&amp;$K2027&amp;"|"&amp;$G2027&amp;"|"&amp;IF($G2027="TX_CURR_SUBNAT.R","CY2022Q4",$M2027),"")</f>
        <v>[ScR9iFKAasW]|10-14|Male|TX_CURR_SUBNAT.T_1|CY2023Q3</v>
      </c>
    </row>
    <row r="2028" customFormat="false" ht="15" hidden="false" customHeight="false" outlineLevel="0" collapsed="false">
      <c r="D2028" s="0" t="s">
        <v>66</v>
      </c>
      <c r="E2028" s="0" t="s">
        <v>67</v>
      </c>
      <c r="F2028" s="0" t="s">
        <v>68</v>
      </c>
      <c r="G2028" s="0" t="s">
        <v>146</v>
      </c>
      <c r="H2028" s="0" t="s">
        <v>147</v>
      </c>
      <c r="I2028" s="0" t="s">
        <v>38</v>
      </c>
      <c r="J2028" s="0" t="s">
        <v>39</v>
      </c>
      <c r="K2028" s="0" t="s">
        <v>48</v>
      </c>
      <c r="L2028" s="0" t="s">
        <v>49</v>
      </c>
      <c r="M2028" s="0" t="s">
        <v>140</v>
      </c>
      <c r="N2028" s="0" t="n">
        <v>822</v>
      </c>
      <c r="O2028" s="10" t="n">
        <v>0.436282130423933</v>
      </c>
      <c r="P2028" s="10" t="n">
        <v>0.164609884377569</v>
      </c>
      <c r="Q2028" s="0" t="str">
        <f aca="false">SUBSTITUTE(SUBSTITUTE($I2028,CHAR(61),""),CHAR(34),"")</f>
        <v>15-24</v>
      </c>
      <c r="R2028" s="0" t="str">
        <f aca="false">IF($D2028&lt;&gt;"","["&amp;$E2028&amp;"]"&amp;"|"&amp;$Q2028&amp;"|"&amp;$K2028&amp;"|"&amp;$G2028&amp;"|"&amp;IF($G2028="TX_CURR_SUBNAT.R","CY2022Q4",$M2028),"")</f>
        <v>[ScR9iFKAasW]|15-24|Male|TX_CURR_SUBNAT.T_1|CY2023Q3</v>
      </c>
    </row>
    <row r="2029" customFormat="false" ht="15" hidden="false" customHeight="false" outlineLevel="0" collapsed="false">
      <c r="D2029" s="0" t="s">
        <v>66</v>
      </c>
      <c r="E2029" s="0" t="s">
        <v>67</v>
      </c>
      <c r="F2029" s="0" t="s">
        <v>68</v>
      </c>
      <c r="G2029" s="0" t="s">
        <v>146</v>
      </c>
      <c r="H2029" s="0" t="s">
        <v>147</v>
      </c>
      <c r="I2029" s="0" t="s">
        <v>41</v>
      </c>
      <c r="J2029" s="0" t="s">
        <v>42</v>
      </c>
      <c r="K2029" s="0" t="s">
        <v>48</v>
      </c>
      <c r="L2029" s="0" t="s">
        <v>49</v>
      </c>
      <c r="M2029" s="0" t="s">
        <v>140</v>
      </c>
      <c r="N2029" s="0" t="n">
        <v>1927</v>
      </c>
      <c r="O2029" s="10" t="n">
        <v>0.811013756785542</v>
      </c>
      <c r="P2029" s="10" t="n">
        <v>0.164609884377569</v>
      </c>
      <c r="Q2029" s="0" t="str">
        <f aca="false">SUBSTITUTE(SUBSTITUTE($I2029,CHAR(61),""),CHAR(34),"")</f>
        <v>25-34</v>
      </c>
      <c r="R2029" s="0" t="str">
        <f aca="false">IF($D2029&lt;&gt;"","["&amp;$E2029&amp;"]"&amp;"|"&amp;$Q2029&amp;"|"&amp;$K2029&amp;"|"&amp;$G2029&amp;"|"&amp;IF($G2029="TX_CURR_SUBNAT.R","CY2022Q4",$M2029),"")</f>
        <v>[ScR9iFKAasW]|25-34|Male|TX_CURR_SUBNAT.T_1|CY2023Q3</v>
      </c>
    </row>
    <row r="2030" customFormat="false" ht="15" hidden="false" customHeight="false" outlineLevel="0" collapsed="false">
      <c r="D2030" s="0" t="s">
        <v>66</v>
      </c>
      <c r="E2030" s="0" t="s">
        <v>67</v>
      </c>
      <c r="F2030" s="0" t="s">
        <v>68</v>
      </c>
      <c r="G2030" s="0" t="s">
        <v>146</v>
      </c>
      <c r="H2030" s="0" t="s">
        <v>147</v>
      </c>
      <c r="I2030" s="0" t="s">
        <v>43</v>
      </c>
      <c r="J2030" s="0" t="s">
        <v>44</v>
      </c>
      <c r="K2030" s="0" t="s">
        <v>48</v>
      </c>
      <c r="L2030" s="0" t="s">
        <v>49</v>
      </c>
      <c r="M2030" s="0" t="s">
        <v>140</v>
      </c>
      <c r="N2030" s="0" t="n">
        <v>1900</v>
      </c>
      <c r="O2030" s="10" t="n">
        <v>0.525849612196907</v>
      </c>
      <c r="P2030" s="10" t="n">
        <v>0.164609884377569</v>
      </c>
      <c r="Q2030" s="0" t="str">
        <f aca="false">SUBSTITUTE(SUBSTITUTE($I2030,CHAR(61),""),CHAR(34),"")</f>
        <v>35-49</v>
      </c>
      <c r="R2030" s="0" t="str">
        <f aca="false">IF($D2030&lt;&gt;"","["&amp;$E2030&amp;"]"&amp;"|"&amp;$Q2030&amp;"|"&amp;$K2030&amp;"|"&amp;$G2030&amp;"|"&amp;IF($G2030="TX_CURR_SUBNAT.R","CY2022Q4",$M2030),"")</f>
        <v>[ScR9iFKAasW]|35-49|Male|TX_CURR_SUBNAT.T_1|CY2023Q3</v>
      </c>
    </row>
    <row r="2031" customFormat="false" ht="15" hidden="false" customHeight="false" outlineLevel="0" collapsed="false">
      <c r="D2031" s="0" t="s">
        <v>66</v>
      </c>
      <c r="E2031" s="0" t="s">
        <v>67</v>
      </c>
      <c r="F2031" s="0" t="s">
        <v>68</v>
      </c>
      <c r="G2031" s="0" t="s">
        <v>146</v>
      </c>
      <c r="H2031" s="0" t="s">
        <v>147</v>
      </c>
      <c r="I2031" s="0" t="s">
        <v>45</v>
      </c>
      <c r="J2031" s="0" t="s">
        <v>46</v>
      </c>
      <c r="K2031" s="0" t="s">
        <v>48</v>
      </c>
      <c r="L2031" s="0" t="s">
        <v>49</v>
      </c>
      <c r="M2031" s="0" t="s">
        <v>140</v>
      </c>
      <c r="N2031" s="0" t="n">
        <v>1663</v>
      </c>
      <c r="O2031" s="10" t="n">
        <v>0.22043453133665</v>
      </c>
      <c r="P2031" s="10" t="n">
        <v>0.164609884377569</v>
      </c>
      <c r="Q2031" s="0" t="str">
        <f aca="false">SUBSTITUTE(SUBSTITUTE($I2031,CHAR(61),""),CHAR(34),"")</f>
        <v>50+</v>
      </c>
      <c r="R2031" s="0" t="str">
        <f aca="false">IF($D2031&lt;&gt;"","["&amp;$E2031&amp;"]"&amp;"|"&amp;$Q2031&amp;"|"&amp;$K2031&amp;"|"&amp;$G2031&amp;"|"&amp;IF($G2031="TX_CURR_SUBNAT.R","CY2022Q4",$M2031),"")</f>
        <v>[ScR9iFKAasW]|50+|Male|TX_CURR_SUBNAT.T_1|CY2023Q3</v>
      </c>
    </row>
    <row r="2032" customFormat="false" ht="15" hidden="false" customHeight="false" outlineLevel="0" collapsed="false">
      <c r="D2032" s="0" t="s">
        <v>69</v>
      </c>
      <c r="E2032" s="0" t="s">
        <v>70</v>
      </c>
      <c r="F2032" s="0" t="s">
        <v>71</v>
      </c>
      <c r="G2032" s="0" t="s">
        <v>146</v>
      </c>
      <c r="H2032" s="0" t="s">
        <v>147</v>
      </c>
      <c r="I2032" s="0" t="s">
        <v>28</v>
      </c>
      <c r="J2032" s="0" t="s">
        <v>29</v>
      </c>
      <c r="K2032" s="0" t="s">
        <v>30</v>
      </c>
      <c r="L2032" s="0" t="s">
        <v>31</v>
      </c>
      <c r="M2032" s="0" t="s">
        <v>140</v>
      </c>
      <c r="N2032" s="0" t="n">
        <v>1173</v>
      </c>
      <c r="O2032" s="10" t="n">
        <v>0.0832595345564187</v>
      </c>
      <c r="P2032" s="10" t="n">
        <v>0.198817263124511</v>
      </c>
      <c r="Q2032" s="0" t="str">
        <f aca="false">SUBSTITUTE(SUBSTITUTE($I2032,CHAR(61),""),CHAR(34),"")</f>
        <v>&lt;01</v>
      </c>
      <c r="R2032" s="0" t="str">
        <f aca="false">IF($D2032&lt;&gt;"","["&amp;$E2032&amp;"]"&amp;"|"&amp;$Q2032&amp;"|"&amp;$K2032&amp;"|"&amp;$G2032&amp;"|"&amp;IF($G2032="TX_CURR_SUBNAT.R","CY2022Q4",$M2032),"")</f>
        <v>[PekKUkKHAzY]|&lt;01|Female|TX_CURR_SUBNAT.T_1|CY2023Q3</v>
      </c>
    </row>
    <row r="2033" customFormat="false" ht="15" hidden="false" customHeight="false" outlineLevel="0" collapsed="false">
      <c r="D2033" s="0" t="s">
        <v>69</v>
      </c>
      <c r="E2033" s="0" t="s">
        <v>70</v>
      </c>
      <c r="F2033" s="0" t="s">
        <v>71</v>
      </c>
      <c r="G2033" s="0" t="s">
        <v>146</v>
      </c>
      <c r="H2033" s="0" t="s">
        <v>147</v>
      </c>
      <c r="I2033" s="0" t="s">
        <v>33</v>
      </c>
      <c r="J2033" s="0" t="s">
        <v>34</v>
      </c>
      <c r="K2033" s="0" t="s">
        <v>30</v>
      </c>
      <c r="L2033" s="0" t="s">
        <v>31</v>
      </c>
      <c r="M2033" s="0" t="s">
        <v>140</v>
      </c>
      <c r="N2033" s="0" t="n">
        <v>1571</v>
      </c>
      <c r="O2033" s="10" t="n">
        <v>0.730006685247645</v>
      </c>
      <c r="P2033" s="10" t="n">
        <v>0.198817263124511</v>
      </c>
      <c r="Q2033" s="0" t="str">
        <f aca="false">SUBSTITUTE(SUBSTITUTE($I2033,CHAR(61),""),CHAR(34),"")</f>
        <v>01-09</v>
      </c>
      <c r="R2033" s="0" t="str">
        <f aca="false">IF($D2033&lt;&gt;"","["&amp;$E2033&amp;"]"&amp;"|"&amp;$Q2033&amp;"|"&amp;$K2033&amp;"|"&amp;$G2033&amp;"|"&amp;IF($G2033="TX_CURR_SUBNAT.R","CY2022Q4",$M2033),"")</f>
        <v>[PekKUkKHAzY]|01-09|Female|TX_CURR_SUBNAT.T_1|CY2023Q3</v>
      </c>
    </row>
    <row r="2034" customFormat="false" ht="15" hidden="false" customHeight="false" outlineLevel="0" collapsed="false">
      <c r="D2034" s="0" t="s">
        <v>69</v>
      </c>
      <c r="E2034" s="0" t="s">
        <v>70</v>
      </c>
      <c r="F2034" s="0" t="s">
        <v>71</v>
      </c>
      <c r="G2034" s="0" t="s">
        <v>146</v>
      </c>
      <c r="H2034" s="0" t="s">
        <v>147</v>
      </c>
      <c r="I2034" s="0" t="s">
        <v>36</v>
      </c>
      <c r="J2034" s="0" t="s">
        <v>37</v>
      </c>
      <c r="K2034" s="0" t="s">
        <v>30</v>
      </c>
      <c r="L2034" s="0" t="s">
        <v>31</v>
      </c>
      <c r="M2034" s="0" t="s">
        <v>140</v>
      </c>
      <c r="N2034" s="0" t="n">
        <v>1555</v>
      </c>
      <c r="O2034" s="10" t="n">
        <v>0.526349565712735</v>
      </c>
      <c r="P2034" s="10" t="n">
        <v>0.198817263124511</v>
      </c>
      <c r="Q2034" s="0" t="str">
        <f aca="false">SUBSTITUTE(SUBSTITUTE($I2034,CHAR(61),""),CHAR(34),"")</f>
        <v>10-14</v>
      </c>
      <c r="R2034" s="0" t="str">
        <f aca="false">IF($D2034&lt;&gt;"","["&amp;$E2034&amp;"]"&amp;"|"&amp;$Q2034&amp;"|"&amp;$K2034&amp;"|"&amp;$G2034&amp;"|"&amp;IF($G2034="TX_CURR_SUBNAT.R","CY2022Q4",$M2034),"")</f>
        <v>[PekKUkKHAzY]|10-14|Female|TX_CURR_SUBNAT.T_1|CY2023Q3</v>
      </c>
    </row>
    <row r="2035" customFormat="false" ht="15" hidden="false" customHeight="false" outlineLevel="0" collapsed="false">
      <c r="D2035" s="0" t="s">
        <v>69</v>
      </c>
      <c r="E2035" s="0" t="s">
        <v>70</v>
      </c>
      <c r="F2035" s="0" t="s">
        <v>71</v>
      </c>
      <c r="G2035" s="0" t="s">
        <v>146</v>
      </c>
      <c r="H2035" s="0" t="s">
        <v>147</v>
      </c>
      <c r="I2035" s="0" t="s">
        <v>38</v>
      </c>
      <c r="J2035" s="0" t="s">
        <v>39</v>
      </c>
      <c r="K2035" s="0" t="s">
        <v>30</v>
      </c>
      <c r="L2035" s="0" t="s">
        <v>31</v>
      </c>
      <c r="M2035" s="0" t="s">
        <v>140</v>
      </c>
      <c r="N2035" s="0" t="n">
        <v>1869</v>
      </c>
      <c r="O2035" s="10" t="n">
        <v>0.185063028242439</v>
      </c>
      <c r="P2035" s="10" t="n">
        <v>0.198817263124511</v>
      </c>
      <c r="Q2035" s="0" t="str">
        <f aca="false">SUBSTITUTE(SUBSTITUTE($I2035,CHAR(61),""),CHAR(34),"")</f>
        <v>15-24</v>
      </c>
      <c r="R2035" s="0" t="str">
        <f aca="false">IF($D2035&lt;&gt;"","["&amp;$E2035&amp;"]"&amp;"|"&amp;$Q2035&amp;"|"&amp;$K2035&amp;"|"&amp;$G2035&amp;"|"&amp;IF($G2035="TX_CURR_SUBNAT.R","CY2022Q4",$M2035),"")</f>
        <v>[PekKUkKHAzY]|15-24|Female|TX_CURR_SUBNAT.T_1|CY2023Q3</v>
      </c>
    </row>
    <row r="2036" customFormat="false" ht="15" hidden="false" customHeight="false" outlineLevel="0" collapsed="false">
      <c r="D2036" s="0" t="s">
        <v>69</v>
      </c>
      <c r="E2036" s="0" t="s">
        <v>70</v>
      </c>
      <c r="F2036" s="0" t="s">
        <v>71</v>
      </c>
      <c r="G2036" s="0" t="s">
        <v>146</v>
      </c>
      <c r="H2036" s="0" t="s">
        <v>147</v>
      </c>
      <c r="I2036" s="0" t="s">
        <v>41</v>
      </c>
      <c r="J2036" s="0" t="s">
        <v>42</v>
      </c>
      <c r="K2036" s="0" t="s">
        <v>30</v>
      </c>
      <c r="L2036" s="0" t="s">
        <v>31</v>
      </c>
      <c r="M2036" s="0" t="s">
        <v>140</v>
      </c>
      <c r="N2036" s="0" t="n">
        <v>1045</v>
      </c>
      <c r="O2036" s="10" t="n">
        <v>0.153235214063898</v>
      </c>
      <c r="P2036" s="10" t="n">
        <v>0.198817263124511</v>
      </c>
      <c r="Q2036" s="0" t="str">
        <f aca="false">SUBSTITUTE(SUBSTITUTE($I2036,CHAR(61),""),CHAR(34),"")</f>
        <v>25-34</v>
      </c>
      <c r="R2036" s="0" t="str">
        <f aca="false">IF($D2036&lt;&gt;"","["&amp;$E2036&amp;"]"&amp;"|"&amp;$Q2036&amp;"|"&amp;$K2036&amp;"|"&amp;$G2036&amp;"|"&amp;IF($G2036="TX_CURR_SUBNAT.R","CY2022Q4",$M2036),"")</f>
        <v>[PekKUkKHAzY]|25-34|Female|TX_CURR_SUBNAT.T_1|CY2023Q3</v>
      </c>
    </row>
    <row r="2037" customFormat="false" ht="15" hidden="false" customHeight="false" outlineLevel="0" collapsed="false">
      <c r="D2037" s="0" t="s">
        <v>69</v>
      </c>
      <c r="E2037" s="0" t="s">
        <v>70</v>
      </c>
      <c r="F2037" s="0" t="s">
        <v>71</v>
      </c>
      <c r="G2037" s="0" t="s">
        <v>146</v>
      </c>
      <c r="H2037" s="0" t="s">
        <v>147</v>
      </c>
      <c r="I2037" s="0" t="s">
        <v>43</v>
      </c>
      <c r="J2037" s="0" t="s">
        <v>44</v>
      </c>
      <c r="K2037" s="0" t="s">
        <v>30</v>
      </c>
      <c r="L2037" s="0" t="s">
        <v>31</v>
      </c>
      <c r="M2037" s="0" t="s">
        <v>140</v>
      </c>
      <c r="N2037" s="0" t="n">
        <v>1435</v>
      </c>
      <c r="O2037" s="10" t="n">
        <v>0.0656392443925142</v>
      </c>
      <c r="P2037" s="10" t="n">
        <v>0.198817263124511</v>
      </c>
      <c r="Q2037" s="0" t="str">
        <f aca="false">SUBSTITUTE(SUBSTITUTE($I2037,CHAR(61),""),CHAR(34),"")</f>
        <v>35-49</v>
      </c>
      <c r="R2037" s="0" t="str">
        <f aca="false">IF($D2037&lt;&gt;"","["&amp;$E2037&amp;"]"&amp;"|"&amp;$Q2037&amp;"|"&amp;$K2037&amp;"|"&amp;$G2037&amp;"|"&amp;IF($G2037="TX_CURR_SUBNAT.R","CY2022Q4",$M2037),"")</f>
        <v>[PekKUkKHAzY]|35-49|Female|TX_CURR_SUBNAT.T_1|CY2023Q3</v>
      </c>
    </row>
    <row r="2038" customFormat="false" ht="15" hidden="false" customHeight="false" outlineLevel="0" collapsed="false">
      <c r="D2038" s="0" t="s">
        <v>69</v>
      </c>
      <c r="E2038" s="0" t="s">
        <v>70</v>
      </c>
      <c r="F2038" s="0" t="s">
        <v>71</v>
      </c>
      <c r="G2038" s="0" t="s">
        <v>146</v>
      </c>
      <c r="H2038" s="0" t="s">
        <v>147</v>
      </c>
      <c r="I2038" s="0" t="s">
        <v>45</v>
      </c>
      <c r="J2038" s="0" t="s">
        <v>46</v>
      </c>
      <c r="K2038" s="0" t="s">
        <v>30</v>
      </c>
      <c r="L2038" s="0" t="s">
        <v>31</v>
      </c>
      <c r="M2038" s="0" t="s">
        <v>140</v>
      </c>
      <c r="N2038" s="0" t="n">
        <v>1587</v>
      </c>
      <c r="O2038" s="10" t="n">
        <v>0.889684838941321</v>
      </c>
      <c r="P2038" s="10" t="n">
        <v>0.198817263124511</v>
      </c>
      <c r="Q2038" s="0" t="str">
        <f aca="false">SUBSTITUTE(SUBSTITUTE($I2038,CHAR(61),""),CHAR(34),"")</f>
        <v>50+</v>
      </c>
      <c r="R2038" s="0" t="str">
        <f aca="false">IF($D2038&lt;&gt;"","["&amp;$E2038&amp;"]"&amp;"|"&amp;$Q2038&amp;"|"&amp;$K2038&amp;"|"&amp;$G2038&amp;"|"&amp;IF($G2038="TX_CURR_SUBNAT.R","CY2022Q4",$M2038),"")</f>
        <v>[PekKUkKHAzY]|50+|Female|TX_CURR_SUBNAT.T_1|CY2023Q3</v>
      </c>
    </row>
    <row r="2039" customFormat="false" ht="15" hidden="false" customHeight="false" outlineLevel="0" collapsed="false">
      <c r="D2039" s="0" t="s">
        <v>69</v>
      </c>
      <c r="E2039" s="0" t="s">
        <v>70</v>
      </c>
      <c r="F2039" s="0" t="s">
        <v>71</v>
      </c>
      <c r="G2039" s="0" t="s">
        <v>146</v>
      </c>
      <c r="H2039" s="0" t="s">
        <v>147</v>
      </c>
      <c r="I2039" s="0" t="s">
        <v>28</v>
      </c>
      <c r="J2039" s="0" t="s">
        <v>29</v>
      </c>
      <c r="K2039" s="0" t="s">
        <v>48</v>
      </c>
      <c r="L2039" s="0" t="s">
        <v>49</v>
      </c>
      <c r="M2039" s="0" t="s">
        <v>140</v>
      </c>
      <c r="N2039" s="0" t="n">
        <v>590</v>
      </c>
      <c r="O2039" s="10" t="n">
        <v>0.0197048857808113</v>
      </c>
      <c r="P2039" s="10" t="n">
        <v>0.198817263124511</v>
      </c>
      <c r="Q2039" s="0" t="str">
        <f aca="false">SUBSTITUTE(SUBSTITUTE($I2039,CHAR(61),""),CHAR(34),"")</f>
        <v>&lt;01</v>
      </c>
      <c r="R2039" s="0" t="str">
        <f aca="false">IF($D2039&lt;&gt;"","["&amp;$E2039&amp;"]"&amp;"|"&amp;$Q2039&amp;"|"&amp;$K2039&amp;"|"&amp;$G2039&amp;"|"&amp;IF($G2039="TX_CURR_SUBNAT.R","CY2022Q4",$M2039),"")</f>
        <v>[PekKUkKHAzY]|&lt;01|Male|TX_CURR_SUBNAT.T_1|CY2023Q3</v>
      </c>
    </row>
    <row r="2040" customFormat="false" ht="15" hidden="false" customHeight="false" outlineLevel="0" collapsed="false">
      <c r="D2040" s="0" t="s">
        <v>69</v>
      </c>
      <c r="E2040" s="0" t="s">
        <v>70</v>
      </c>
      <c r="F2040" s="0" t="s">
        <v>71</v>
      </c>
      <c r="G2040" s="0" t="s">
        <v>146</v>
      </c>
      <c r="H2040" s="0" t="s">
        <v>147</v>
      </c>
      <c r="I2040" s="0" t="s">
        <v>33</v>
      </c>
      <c r="J2040" s="0" t="s">
        <v>34</v>
      </c>
      <c r="K2040" s="0" t="s">
        <v>48</v>
      </c>
      <c r="L2040" s="0" t="s">
        <v>49</v>
      </c>
      <c r="M2040" s="0" t="s">
        <v>140</v>
      </c>
      <c r="N2040" s="0" t="n">
        <v>1542</v>
      </c>
      <c r="O2040" s="10" t="n">
        <v>0.21089209546335</v>
      </c>
      <c r="P2040" s="10" t="n">
        <v>0.198817263124511</v>
      </c>
      <c r="Q2040" s="0" t="str">
        <f aca="false">SUBSTITUTE(SUBSTITUTE($I2040,CHAR(61),""),CHAR(34),"")</f>
        <v>01-09</v>
      </c>
      <c r="R2040" s="0" t="str">
        <f aca="false">IF($D2040&lt;&gt;"","["&amp;$E2040&amp;"]"&amp;"|"&amp;$Q2040&amp;"|"&amp;$K2040&amp;"|"&amp;$G2040&amp;"|"&amp;IF($G2040="TX_CURR_SUBNAT.R","CY2022Q4",$M2040),"")</f>
        <v>[PekKUkKHAzY]|01-09|Male|TX_CURR_SUBNAT.T_1|CY2023Q3</v>
      </c>
    </row>
    <row r="2041" customFormat="false" ht="15" hidden="false" customHeight="false" outlineLevel="0" collapsed="false">
      <c r="D2041" s="0" t="s">
        <v>69</v>
      </c>
      <c r="E2041" s="0" t="s">
        <v>70</v>
      </c>
      <c r="F2041" s="0" t="s">
        <v>71</v>
      </c>
      <c r="G2041" s="0" t="s">
        <v>146</v>
      </c>
      <c r="H2041" s="0" t="s">
        <v>147</v>
      </c>
      <c r="I2041" s="0" t="s">
        <v>36</v>
      </c>
      <c r="J2041" s="0" t="s">
        <v>37</v>
      </c>
      <c r="K2041" s="0" t="s">
        <v>48</v>
      </c>
      <c r="L2041" s="0" t="s">
        <v>49</v>
      </c>
      <c r="M2041" s="0" t="s">
        <v>140</v>
      </c>
      <c r="N2041" s="0" t="n">
        <v>1876</v>
      </c>
      <c r="O2041" s="10" t="n">
        <v>0.256609064294025</v>
      </c>
      <c r="P2041" s="10" t="n">
        <v>0.198817263124511</v>
      </c>
      <c r="Q2041" s="0" t="str">
        <f aca="false">SUBSTITUTE(SUBSTITUTE($I2041,CHAR(61),""),CHAR(34),"")</f>
        <v>10-14</v>
      </c>
      <c r="R2041" s="0" t="str">
        <f aca="false">IF($D2041&lt;&gt;"","["&amp;$E2041&amp;"]"&amp;"|"&amp;$Q2041&amp;"|"&amp;$K2041&amp;"|"&amp;$G2041&amp;"|"&amp;IF($G2041="TX_CURR_SUBNAT.R","CY2022Q4",$M2041),"")</f>
        <v>[PekKUkKHAzY]|10-14|Male|TX_CURR_SUBNAT.T_1|CY2023Q3</v>
      </c>
    </row>
    <row r="2042" customFormat="false" ht="15" hidden="false" customHeight="false" outlineLevel="0" collapsed="false">
      <c r="D2042" s="0" t="s">
        <v>69</v>
      </c>
      <c r="E2042" s="0" t="s">
        <v>70</v>
      </c>
      <c r="F2042" s="0" t="s">
        <v>71</v>
      </c>
      <c r="G2042" s="0" t="s">
        <v>146</v>
      </c>
      <c r="H2042" s="0" t="s">
        <v>147</v>
      </c>
      <c r="I2042" s="0" t="s">
        <v>38</v>
      </c>
      <c r="J2042" s="0" t="s">
        <v>39</v>
      </c>
      <c r="K2042" s="0" t="s">
        <v>48</v>
      </c>
      <c r="L2042" s="0" t="s">
        <v>49</v>
      </c>
      <c r="M2042" s="0" t="s">
        <v>140</v>
      </c>
      <c r="N2042" s="0" t="n">
        <v>1120</v>
      </c>
      <c r="O2042" s="10" t="n">
        <v>0.813583170762286</v>
      </c>
      <c r="P2042" s="10" t="n">
        <v>0.198817263124511</v>
      </c>
      <c r="Q2042" s="0" t="str">
        <f aca="false">SUBSTITUTE(SUBSTITUTE($I2042,CHAR(61),""),CHAR(34),"")</f>
        <v>15-24</v>
      </c>
      <c r="R2042" s="0" t="str">
        <f aca="false">IF($D2042&lt;&gt;"","["&amp;$E2042&amp;"]"&amp;"|"&amp;$Q2042&amp;"|"&amp;$K2042&amp;"|"&amp;$G2042&amp;"|"&amp;IF($G2042="TX_CURR_SUBNAT.R","CY2022Q4",$M2042),"")</f>
        <v>[PekKUkKHAzY]|15-24|Male|TX_CURR_SUBNAT.T_1|CY2023Q3</v>
      </c>
    </row>
    <row r="2043" customFormat="false" ht="15" hidden="false" customHeight="false" outlineLevel="0" collapsed="false">
      <c r="D2043" s="0" t="s">
        <v>69</v>
      </c>
      <c r="E2043" s="0" t="s">
        <v>70</v>
      </c>
      <c r="F2043" s="0" t="s">
        <v>71</v>
      </c>
      <c r="G2043" s="0" t="s">
        <v>146</v>
      </c>
      <c r="H2043" s="0" t="s">
        <v>147</v>
      </c>
      <c r="I2043" s="0" t="s">
        <v>41</v>
      </c>
      <c r="J2043" s="0" t="s">
        <v>42</v>
      </c>
      <c r="K2043" s="0" t="s">
        <v>48</v>
      </c>
      <c r="L2043" s="0" t="s">
        <v>49</v>
      </c>
      <c r="M2043" s="0" t="s">
        <v>140</v>
      </c>
      <c r="N2043" s="0" t="n">
        <v>1762</v>
      </c>
      <c r="O2043" s="10" t="n">
        <v>0.849526199279353</v>
      </c>
      <c r="P2043" s="10" t="n">
        <v>0.198817263124511</v>
      </c>
      <c r="Q2043" s="0" t="str">
        <f aca="false">SUBSTITUTE(SUBSTITUTE($I2043,CHAR(61),""),CHAR(34),"")</f>
        <v>25-34</v>
      </c>
      <c r="R2043" s="0" t="str">
        <f aca="false">IF($D2043&lt;&gt;"","["&amp;$E2043&amp;"]"&amp;"|"&amp;$Q2043&amp;"|"&amp;$K2043&amp;"|"&amp;$G2043&amp;"|"&amp;IF($G2043="TX_CURR_SUBNAT.R","CY2022Q4",$M2043),"")</f>
        <v>[PekKUkKHAzY]|25-34|Male|TX_CURR_SUBNAT.T_1|CY2023Q3</v>
      </c>
    </row>
    <row r="2044" customFormat="false" ht="15" hidden="false" customHeight="false" outlineLevel="0" collapsed="false">
      <c r="D2044" s="0" t="s">
        <v>69</v>
      </c>
      <c r="E2044" s="0" t="s">
        <v>70</v>
      </c>
      <c r="F2044" s="0" t="s">
        <v>71</v>
      </c>
      <c r="G2044" s="0" t="s">
        <v>146</v>
      </c>
      <c r="H2044" s="0" t="s">
        <v>147</v>
      </c>
      <c r="I2044" s="0" t="s">
        <v>43</v>
      </c>
      <c r="J2044" s="0" t="s">
        <v>44</v>
      </c>
      <c r="K2044" s="0" t="s">
        <v>48</v>
      </c>
      <c r="L2044" s="0" t="s">
        <v>49</v>
      </c>
      <c r="M2044" s="0" t="s">
        <v>140</v>
      </c>
      <c r="N2044" s="0" t="n">
        <v>1855</v>
      </c>
      <c r="O2044" s="10" t="n">
        <v>0.674626680323854</v>
      </c>
      <c r="P2044" s="10" t="n">
        <v>0.198817263124511</v>
      </c>
      <c r="Q2044" s="0" t="str">
        <f aca="false">SUBSTITUTE(SUBSTITUTE($I2044,CHAR(61),""),CHAR(34),"")</f>
        <v>35-49</v>
      </c>
      <c r="R2044" s="0" t="str">
        <f aca="false">IF($D2044&lt;&gt;"","["&amp;$E2044&amp;"]"&amp;"|"&amp;$Q2044&amp;"|"&amp;$K2044&amp;"|"&amp;$G2044&amp;"|"&amp;IF($G2044="TX_CURR_SUBNAT.R","CY2022Q4",$M2044),"")</f>
        <v>[PekKUkKHAzY]|35-49|Male|TX_CURR_SUBNAT.T_1|CY2023Q3</v>
      </c>
    </row>
    <row r="2045" customFormat="false" ht="15" hidden="false" customHeight="false" outlineLevel="0" collapsed="false">
      <c r="D2045" s="0" t="s">
        <v>69</v>
      </c>
      <c r="E2045" s="0" t="s">
        <v>70</v>
      </c>
      <c r="F2045" s="0" t="s">
        <v>71</v>
      </c>
      <c r="G2045" s="0" t="s">
        <v>146</v>
      </c>
      <c r="H2045" s="0" t="s">
        <v>147</v>
      </c>
      <c r="I2045" s="0" t="s">
        <v>45</v>
      </c>
      <c r="J2045" s="0" t="s">
        <v>46</v>
      </c>
      <c r="K2045" s="0" t="s">
        <v>48</v>
      </c>
      <c r="L2045" s="0" t="s">
        <v>49</v>
      </c>
      <c r="M2045" s="0" t="s">
        <v>140</v>
      </c>
      <c r="N2045" s="0" t="n">
        <v>1805</v>
      </c>
      <c r="O2045" s="10" t="n">
        <v>0.418715980369598</v>
      </c>
      <c r="P2045" s="10" t="n">
        <v>0.198817263124511</v>
      </c>
      <c r="Q2045" s="0" t="str">
        <f aca="false">SUBSTITUTE(SUBSTITUTE($I2045,CHAR(61),""),CHAR(34),"")</f>
        <v>50+</v>
      </c>
      <c r="R2045" s="0" t="str">
        <f aca="false">IF($D2045&lt;&gt;"","["&amp;$E2045&amp;"]"&amp;"|"&amp;$Q2045&amp;"|"&amp;$K2045&amp;"|"&amp;$G2045&amp;"|"&amp;IF($G2045="TX_CURR_SUBNAT.R","CY2022Q4",$M2045),"")</f>
        <v>[PekKUkKHAzY]|50+|Male|TX_CURR_SUBNAT.T_1|CY2023Q3</v>
      </c>
    </row>
    <row r="2046" customFormat="false" ht="15" hidden="false" customHeight="false" outlineLevel="0" collapsed="false">
      <c r="D2046" s="0" t="s">
        <v>72</v>
      </c>
      <c r="E2046" s="0" t="s">
        <v>73</v>
      </c>
      <c r="F2046" s="0" t="s">
        <v>74</v>
      </c>
      <c r="G2046" s="0" t="s">
        <v>146</v>
      </c>
      <c r="H2046" s="0" t="s">
        <v>147</v>
      </c>
      <c r="I2046" s="0" t="s">
        <v>28</v>
      </c>
      <c r="J2046" s="0" t="s">
        <v>29</v>
      </c>
      <c r="K2046" s="0" t="s">
        <v>30</v>
      </c>
      <c r="L2046" s="0" t="s">
        <v>31</v>
      </c>
      <c r="M2046" s="0" t="s">
        <v>140</v>
      </c>
      <c r="N2046" s="0" t="n">
        <v>747</v>
      </c>
      <c r="O2046" s="10" t="n">
        <v>0.0866322787478566</v>
      </c>
      <c r="P2046" s="10" t="n">
        <v>0.289728706935421</v>
      </c>
      <c r="Q2046" s="0" t="str">
        <f aca="false">SUBSTITUTE(SUBSTITUTE($I2046,CHAR(61),""),CHAR(34),"")</f>
        <v>&lt;01</v>
      </c>
      <c r="R2046" s="0" t="str">
        <f aca="false">IF($D2046&lt;&gt;"","["&amp;$E2046&amp;"]"&amp;"|"&amp;$Q2046&amp;"|"&amp;$K2046&amp;"|"&amp;$G2046&amp;"|"&amp;IF($G2046="TX_CURR_SUBNAT.R","CY2022Q4",$M2046),"")</f>
        <v>[am530wpaGvr]|&lt;01|Female|TX_CURR_SUBNAT.T_1|CY2023Q3</v>
      </c>
    </row>
    <row r="2047" customFormat="false" ht="15" hidden="false" customHeight="false" outlineLevel="0" collapsed="false">
      <c r="D2047" s="0" t="s">
        <v>72</v>
      </c>
      <c r="E2047" s="0" t="s">
        <v>73</v>
      </c>
      <c r="F2047" s="0" t="s">
        <v>74</v>
      </c>
      <c r="G2047" s="0" t="s">
        <v>146</v>
      </c>
      <c r="H2047" s="0" t="s">
        <v>147</v>
      </c>
      <c r="I2047" s="0" t="s">
        <v>33</v>
      </c>
      <c r="J2047" s="0" t="s">
        <v>34</v>
      </c>
      <c r="K2047" s="0" t="s">
        <v>30</v>
      </c>
      <c r="L2047" s="0" t="s">
        <v>31</v>
      </c>
      <c r="M2047" s="0" t="s">
        <v>140</v>
      </c>
      <c r="N2047" s="0" t="n">
        <v>1666</v>
      </c>
      <c r="O2047" s="10" t="n">
        <v>0.143220060039312</v>
      </c>
      <c r="P2047" s="10" t="n">
        <v>0.289728706935421</v>
      </c>
      <c r="Q2047" s="0" t="str">
        <f aca="false">SUBSTITUTE(SUBSTITUTE($I2047,CHAR(61),""),CHAR(34),"")</f>
        <v>01-09</v>
      </c>
      <c r="R2047" s="0" t="str">
        <f aca="false">IF($D2047&lt;&gt;"","["&amp;$E2047&amp;"]"&amp;"|"&amp;$Q2047&amp;"|"&amp;$K2047&amp;"|"&amp;$G2047&amp;"|"&amp;IF($G2047="TX_CURR_SUBNAT.R","CY2022Q4",$M2047),"")</f>
        <v>[am530wpaGvr]|01-09|Female|TX_CURR_SUBNAT.T_1|CY2023Q3</v>
      </c>
    </row>
    <row r="2048" customFormat="false" ht="15" hidden="false" customHeight="false" outlineLevel="0" collapsed="false">
      <c r="D2048" s="0" t="s">
        <v>72</v>
      </c>
      <c r="E2048" s="0" t="s">
        <v>73</v>
      </c>
      <c r="F2048" s="0" t="s">
        <v>74</v>
      </c>
      <c r="G2048" s="0" t="s">
        <v>146</v>
      </c>
      <c r="H2048" s="0" t="s">
        <v>147</v>
      </c>
      <c r="I2048" s="0" t="s">
        <v>36</v>
      </c>
      <c r="J2048" s="0" t="s">
        <v>37</v>
      </c>
      <c r="K2048" s="0" t="s">
        <v>30</v>
      </c>
      <c r="L2048" s="0" t="s">
        <v>31</v>
      </c>
      <c r="M2048" s="0" t="s">
        <v>140</v>
      </c>
      <c r="N2048" s="0" t="n">
        <v>822</v>
      </c>
      <c r="O2048" s="10" t="n">
        <v>0.126819143071771</v>
      </c>
      <c r="P2048" s="10" t="n">
        <v>0.289728706935421</v>
      </c>
      <c r="Q2048" s="0" t="str">
        <f aca="false">SUBSTITUTE(SUBSTITUTE($I2048,CHAR(61),""),CHAR(34),"")</f>
        <v>10-14</v>
      </c>
      <c r="R2048" s="0" t="str">
        <f aca="false">IF($D2048&lt;&gt;"","["&amp;$E2048&amp;"]"&amp;"|"&amp;$Q2048&amp;"|"&amp;$K2048&amp;"|"&amp;$G2048&amp;"|"&amp;IF($G2048="TX_CURR_SUBNAT.R","CY2022Q4",$M2048),"")</f>
        <v>[am530wpaGvr]|10-14|Female|TX_CURR_SUBNAT.T_1|CY2023Q3</v>
      </c>
    </row>
    <row r="2049" customFormat="false" ht="15" hidden="false" customHeight="false" outlineLevel="0" collapsed="false">
      <c r="D2049" s="0" t="s">
        <v>72</v>
      </c>
      <c r="E2049" s="0" t="s">
        <v>73</v>
      </c>
      <c r="F2049" s="0" t="s">
        <v>74</v>
      </c>
      <c r="G2049" s="0" t="s">
        <v>146</v>
      </c>
      <c r="H2049" s="0" t="s">
        <v>147</v>
      </c>
      <c r="I2049" s="0" t="s">
        <v>38</v>
      </c>
      <c r="J2049" s="0" t="s">
        <v>39</v>
      </c>
      <c r="K2049" s="0" t="s">
        <v>30</v>
      </c>
      <c r="L2049" s="0" t="s">
        <v>31</v>
      </c>
      <c r="M2049" s="0" t="s">
        <v>140</v>
      </c>
      <c r="N2049" s="0" t="n">
        <v>1039</v>
      </c>
      <c r="O2049" s="10" t="n">
        <v>0.715003080433235</v>
      </c>
      <c r="P2049" s="10" t="n">
        <v>0.289728706935421</v>
      </c>
      <c r="Q2049" s="0" t="str">
        <f aca="false">SUBSTITUTE(SUBSTITUTE($I2049,CHAR(61),""),CHAR(34),"")</f>
        <v>15-24</v>
      </c>
      <c r="R2049" s="0" t="str">
        <f aca="false">IF($D2049&lt;&gt;"","["&amp;$E2049&amp;"]"&amp;"|"&amp;$Q2049&amp;"|"&amp;$K2049&amp;"|"&amp;$G2049&amp;"|"&amp;IF($G2049="TX_CURR_SUBNAT.R","CY2022Q4",$M2049),"")</f>
        <v>[am530wpaGvr]|15-24|Female|TX_CURR_SUBNAT.T_1|CY2023Q3</v>
      </c>
    </row>
    <row r="2050" customFormat="false" ht="15" hidden="false" customHeight="false" outlineLevel="0" collapsed="false">
      <c r="D2050" s="0" t="s">
        <v>72</v>
      </c>
      <c r="E2050" s="0" t="s">
        <v>73</v>
      </c>
      <c r="F2050" s="0" t="s">
        <v>74</v>
      </c>
      <c r="G2050" s="0" t="s">
        <v>146</v>
      </c>
      <c r="H2050" s="0" t="s">
        <v>147</v>
      </c>
      <c r="I2050" s="0" t="s">
        <v>41</v>
      </c>
      <c r="J2050" s="0" t="s">
        <v>42</v>
      </c>
      <c r="K2050" s="0" t="s">
        <v>30</v>
      </c>
      <c r="L2050" s="0" t="s">
        <v>31</v>
      </c>
      <c r="M2050" s="0" t="s">
        <v>140</v>
      </c>
      <c r="N2050" s="0" t="n">
        <v>1932</v>
      </c>
      <c r="O2050" s="10" t="n">
        <v>0.416745153255761</v>
      </c>
      <c r="P2050" s="10" t="n">
        <v>0.289728706935421</v>
      </c>
      <c r="Q2050" s="0" t="str">
        <f aca="false">SUBSTITUTE(SUBSTITUTE($I2050,CHAR(61),""),CHAR(34),"")</f>
        <v>25-34</v>
      </c>
      <c r="R2050" s="0" t="str">
        <f aca="false">IF($D2050&lt;&gt;"","["&amp;$E2050&amp;"]"&amp;"|"&amp;$Q2050&amp;"|"&amp;$K2050&amp;"|"&amp;$G2050&amp;"|"&amp;IF($G2050="TX_CURR_SUBNAT.R","CY2022Q4",$M2050),"")</f>
        <v>[am530wpaGvr]|25-34|Female|TX_CURR_SUBNAT.T_1|CY2023Q3</v>
      </c>
    </row>
    <row r="2051" customFormat="false" ht="15" hidden="false" customHeight="false" outlineLevel="0" collapsed="false">
      <c r="D2051" s="0" t="s">
        <v>72</v>
      </c>
      <c r="E2051" s="0" t="s">
        <v>73</v>
      </c>
      <c r="F2051" s="0" t="s">
        <v>74</v>
      </c>
      <c r="G2051" s="0" t="s">
        <v>146</v>
      </c>
      <c r="H2051" s="0" t="s">
        <v>147</v>
      </c>
      <c r="I2051" s="0" t="s">
        <v>43</v>
      </c>
      <c r="J2051" s="0" t="s">
        <v>44</v>
      </c>
      <c r="K2051" s="0" t="s">
        <v>30</v>
      </c>
      <c r="L2051" s="0" t="s">
        <v>31</v>
      </c>
      <c r="M2051" s="0" t="s">
        <v>140</v>
      </c>
      <c r="N2051" s="0" t="n">
        <v>1606</v>
      </c>
      <c r="O2051" s="10" t="n">
        <v>0.939155719941482</v>
      </c>
      <c r="P2051" s="10" t="n">
        <v>0.289728706935421</v>
      </c>
      <c r="Q2051" s="0" t="str">
        <f aca="false">SUBSTITUTE(SUBSTITUTE($I2051,CHAR(61),""),CHAR(34),"")</f>
        <v>35-49</v>
      </c>
      <c r="R2051" s="0" t="str">
        <f aca="false">IF($D2051&lt;&gt;"","["&amp;$E2051&amp;"]"&amp;"|"&amp;$Q2051&amp;"|"&amp;$K2051&amp;"|"&amp;$G2051&amp;"|"&amp;IF($G2051="TX_CURR_SUBNAT.R","CY2022Q4",$M2051),"")</f>
        <v>[am530wpaGvr]|35-49|Female|TX_CURR_SUBNAT.T_1|CY2023Q3</v>
      </c>
    </row>
    <row r="2052" customFormat="false" ht="15" hidden="false" customHeight="false" outlineLevel="0" collapsed="false">
      <c r="D2052" s="0" t="s">
        <v>72</v>
      </c>
      <c r="E2052" s="0" t="s">
        <v>73</v>
      </c>
      <c r="F2052" s="0" t="s">
        <v>74</v>
      </c>
      <c r="G2052" s="0" t="s">
        <v>146</v>
      </c>
      <c r="H2052" s="0" t="s">
        <v>147</v>
      </c>
      <c r="I2052" s="0" t="s">
        <v>45</v>
      </c>
      <c r="J2052" s="0" t="s">
        <v>46</v>
      </c>
      <c r="K2052" s="0" t="s">
        <v>30</v>
      </c>
      <c r="L2052" s="0" t="s">
        <v>31</v>
      </c>
      <c r="M2052" s="0" t="s">
        <v>140</v>
      </c>
      <c r="N2052" s="0" t="n">
        <v>726</v>
      </c>
      <c r="O2052" s="10" t="n">
        <v>0.0763978380709887</v>
      </c>
      <c r="P2052" s="10" t="n">
        <v>0.289728706935421</v>
      </c>
      <c r="Q2052" s="0" t="str">
        <f aca="false">SUBSTITUTE(SUBSTITUTE($I2052,CHAR(61),""),CHAR(34),"")</f>
        <v>50+</v>
      </c>
      <c r="R2052" s="0" t="str">
        <f aca="false">IF($D2052&lt;&gt;"","["&amp;$E2052&amp;"]"&amp;"|"&amp;$Q2052&amp;"|"&amp;$K2052&amp;"|"&amp;$G2052&amp;"|"&amp;IF($G2052="TX_CURR_SUBNAT.R","CY2022Q4",$M2052),"")</f>
        <v>[am530wpaGvr]|50+|Female|TX_CURR_SUBNAT.T_1|CY2023Q3</v>
      </c>
    </row>
    <row r="2053" customFormat="false" ht="15" hidden="false" customHeight="false" outlineLevel="0" collapsed="false">
      <c r="D2053" s="0" t="s">
        <v>72</v>
      </c>
      <c r="E2053" s="0" t="s">
        <v>73</v>
      </c>
      <c r="F2053" s="0" t="s">
        <v>74</v>
      </c>
      <c r="G2053" s="0" t="s">
        <v>146</v>
      </c>
      <c r="H2053" s="0" t="s">
        <v>147</v>
      </c>
      <c r="I2053" s="0" t="s">
        <v>28</v>
      </c>
      <c r="J2053" s="0" t="s">
        <v>29</v>
      </c>
      <c r="K2053" s="0" t="s">
        <v>48</v>
      </c>
      <c r="L2053" s="0" t="s">
        <v>49</v>
      </c>
      <c r="M2053" s="0" t="s">
        <v>140</v>
      </c>
      <c r="N2053" s="0" t="n">
        <v>1950</v>
      </c>
      <c r="O2053" s="10" t="n">
        <v>0.807005780050531</v>
      </c>
      <c r="P2053" s="10" t="n">
        <v>0.289728706935421</v>
      </c>
      <c r="Q2053" s="0" t="str">
        <f aca="false">SUBSTITUTE(SUBSTITUTE($I2053,CHAR(61),""),CHAR(34),"")</f>
        <v>&lt;01</v>
      </c>
      <c r="R2053" s="0" t="str">
        <f aca="false">IF($D2053&lt;&gt;"","["&amp;$E2053&amp;"]"&amp;"|"&amp;$Q2053&amp;"|"&amp;$K2053&amp;"|"&amp;$G2053&amp;"|"&amp;IF($G2053="TX_CURR_SUBNAT.R","CY2022Q4",$M2053),"")</f>
        <v>[am530wpaGvr]|&lt;01|Male|TX_CURR_SUBNAT.T_1|CY2023Q3</v>
      </c>
    </row>
    <row r="2054" customFormat="false" ht="15" hidden="false" customHeight="false" outlineLevel="0" collapsed="false">
      <c r="D2054" s="0" t="s">
        <v>72</v>
      </c>
      <c r="E2054" s="0" t="s">
        <v>73</v>
      </c>
      <c r="F2054" s="0" t="s">
        <v>74</v>
      </c>
      <c r="G2054" s="0" t="s">
        <v>146</v>
      </c>
      <c r="H2054" s="0" t="s">
        <v>147</v>
      </c>
      <c r="I2054" s="0" t="s">
        <v>33</v>
      </c>
      <c r="J2054" s="0" t="s">
        <v>34</v>
      </c>
      <c r="K2054" s="0" t="s">
        <v>48</v>
      </c>
      <c r="L2054" s="0" t="s">
        <v>49</v>
      </c>
      <c r="M2054" s="0" t="s">
        <v>140</v>
      </c>
      <c r="N2054" s="0" t="n">
        <v>898</v>
      </c>
      <c r="O2054" s="10" t="n">
        <v>0.0261347694322467</v>
      </c>
      <c r="P2054" s="10" t="n">
        <v>0.289728706935421</v>
      </c>
      <c r="Q2054" s="0" t="str">
        <f aca="false">SUBSTITUTE(SUBSTITUTE($I2054,CHAR(61),""),CHAR(34),"")</f>
        <v>01-09</v>
      </c>
      <c r="R2054" s="0" t="str">
        <f aca="false">IF($D2054&lt;&gt;"","["&amp;$E2054&amp;"]"&amp;"|"&amp;$Q2054&amp;"|"&amp;$K2054&amp;"|"&amp;$G2054&amp;"|"&amp;IF($G2054="TX_CURR_SUBNAT.R","CY2022Q4",$M2054),"")</f>
        <v>[am530wpaGvr]|01-09|Male|TX_CURR_SUBNAT.T_1|CY2023Q3</v>
      </c>
    </row>
    <row r="2055" customFormat="false" ht="15" hidden="false" customHeight="false" outlineLevel="0" collapsed="false">
      <c r="D2055" s="0" t="s">
        <v>72</v>
      </c>
      <c r="E2055" s="0" t="s">
        <v>73</v>
      </c>
      <c r="F2055" s="0" t="s">
        <v>74</v>
      </c>
      <c r="G2055" s="0" t="s">
        <v>146</v>
      </c>
      <c r="H2055" s="0" t="s">
        <v>147</v>
      </c>
      <c r="I2055" s="0" t="s">
        <v>36</v>
      </c>
      <c r="J2055" s="0" t="s">
        <v>37</v>
      </c>
      <c r="K2055" s="0" t="s">
        <v>48</v>
      </c>
      <c r="L2055" s="0" t="s">
        <v>49</v>
      </c>
      <c r="M2055" s="0" t="s">
        <v>140</v>
      </c>
      <c r="N2055" s="0" t="n">
        <v>739</v>
      </c>
      <c r="O2055" s="10" t="n">
        <v>0.492535821627825</v>
      </c>
      <c r="P2055" s="10" t="n">
        <v>0.289728706935421</v>
      </c>
      <c r="Q2055" s="0" t="str">
        <f aca="false">SUBSTITUTE(SUBSTITUTE($I2055,CHAR(61),""),CHAR(34),"")</f>
        <v>10-14</v>
      </c>
      <c r="R2055" s="0" t="str">
        <f aca="false">IF($D2055&lt;&gt;"","["&amp;$E2055&amp;"]"&amp;"|"&amp;$Q2055&amp;"|"&amp;$K2055&amp;"|"&amp;$G2055&amp;"|"&amp;IF($G2055="TX_CURR_SUBNAT.R","CY2022Q4",$M2055),"")</f>
        <v>[am530wpaGvr]|10-14|Male|TX_CURR_SUBNAT.T_1|CY2023Q3</v>
      </c>
    </row>
    <row r="2056" customFormat="false" ht="15" hidden="false" customHeight="false" outlineLevel="0" collapsed="false">
      <c r="D2056" s="0" t="s">
        <v>72</v>
      </c>
      <c r="E2056" s="0" t="s">
        <v>73</v>
      </c>
      <c r="F2056" s="0" t="s">
        <v>74</v>
      </c>
      <c r="G2056" s="0" t="s">
        <v>146</v>
      </c>
      <c r="H2056" s="0" t="s">
        <v>147</v>
      </c>
      <c r="I2056" s="0" t="s">
        <v>38</v>
      </c>
      <c r="J2056" s="0" t="s">
        <v>39</v>
      </c>
      <c r="K2056" s="0" t="s">
        <v>48</v>
      </c>
      <c r="L2056" s="0" t="s">
        <v>49</v>
      </c>
      <c r="M2056" s="0" t="s">
        <v>140</v>
      </c>
      <c r="N2056" s="0" t="n">
        <v>1469</v>
      </c>
      <c r="O2056" s="10" t="n">
        <v>0.18689875700511</v>
      </c>
      <c r="P2056" s="10" t="n">
        <v>0.289728706935421</v>
      </c>
      <c r="Q2056" s="0" t="str">
        <f aca="false">SUBSTITUTE(SUBSTITUTE($I2056,CHAR(61),""),CHAR(34),"")</f>
        <v>15-24</v>
      </c>
      <c r="R2056" s="0" t="str">
        <f aca="false">IF($D2056&lt;&gt;"","["&amp;$E2056&amp;"]"&amp;"|"&amp;$Q2056&amp;"|"&amp;$K2056&amp;"|"&amp;$G2056&amp;"|"&amp;IF($G2056="TX_CURR_SUBNAT.R","CY2022Q4",$M2056),"")</f>
        <v>[am530wpaGvr]|15-24|Male|TX_CURR_SUBNAT.T_1|CY2023Q3</v>
      </c>
    </row>
    <row r="2057" customFormat="false" ht="15" hidden="false" customHeight="false" outlineLevel="0" collapsed="false">
      <c r="D2057" s="0" t="s">
        <v>72</v>
      </c>
      <c r="E2057" s="0" t="s">
        <v>73</v>
      </c>
      <c r="F2057" s="0" t="s">
        <v>74</v>
      </c>
      <c r="G2057" s="0" t="s">
        <v>146</v>
      </c>
      <c r="H2057" s="0" t="s">
        <v>147</v>
      </c>
      <c r="I2057" s="0" t="s">
        <v>41</v>
      </c>
      <c r="J2057" s="0" t="s">
        <v>42</v>
      </c>
      <c r="K2057" s="0" t="s">
        <v>48</v>
      </c>
      <c r="L2057" s="0" t="s">
        <v>49</v>
      </c>
      <c r="M2057" s="0" t="s">
        <v>140</v>
      </c>
      <c r="N2057" s="0" t="n">
        <v>582</v>
      </c>
      <c r="O2057" s="10" t="n">
        <v>0.15664812293835</v>
      </c>
      <c r="P2057" s="10" t="n">
        <v>0.289728706935421</v>
      </c>
      <c r="Q2057" s="0" t="str">
        <f aca="false">SUBSTITUTE(SUBSTITUTE($I2057,CHAR(61),""),CHAR(34),"")</f>
        <v>25-34</v>
      </c>
      <c r="R2057" s="0" t="str">
        <f aca="false">IF($D2057&lt;&gt;"","["&amp;$E2057&amp;"]"&amp;"|"&amp;$Q2057&amp;"|"&amp;$K2057&amp;"|"&amp;$G2057&amp;"|"&amp;IF($G2057="TX_CURR_SUBNAT.R","CY2022Q4",$M2057),"")</f>
        <v>[am530wpaGvr]|25-34|Male|TX_CURR_SUBNAT.T_1|CY2023Q3</v>
      </c>
    </row>
    <row r="2058" customFormat="false" ht="15" hidden="false" customHeight="false" outlineLevel="0" collapsed="false">
      <c r="D2058" s="0" t="s">
        <v>72</v>
      </c>
      <c r="E2058" s="0" t="s">
        <v>73</v>
      </c>
      <c r="F2058" s="0" t="s">
        <v>74</v>
      </c>
      <c r="G2058" s="0" t="s">
        <v>146</v>
      </c>
      <c r="H2058" s="0" t="s">
        <v>147</v>
      </c>
      <c r="I2058" s="0" t="s">
        <v>43</v>
      </c>
      <c r="J2058" s="0" t="s">
        <v>44</v>
      </c>
      <c r="K2058" s="0" t="s">
        <v>48</v>
      </c>
      <c r="L2058" s="0" t="s">
        <v>49</v>
      </c>
      <c r="M2058" s="0" t="s">
        <v>140</v>
      </c>
      <c r="N2058" s="0" t="n">
        <v>1906</v>
      </c>
      <c r="O2058" s="10" t="n">
        <v>0.300163164967671</v>
      </c>
      <c r="P2058" s="10" t="n">
        <v>0.289728706935421</v>
      </c>
      <c r="Q2058" s="0" t="str">
        <f aca="false">SUBSTITUTE(SUBSTITUTE($I2058,CHAR(61),""),CHAR(34),"")</f>
        <v>35-49</v>
      </c>
      <c r="R2058" s="0" t="str">
        <f aca="false">IF($D2058&lt;&gt;"","["&amp;$E2058&amp;"]"&amp;"|"&amp;$Q2058&amp;"|"&amp;$K2058&amp;"|"&amp;$G2058&amp;"|"&amp;IF($G2058="TX_CURR_SUBNAT.R","CY2022Q4",$M2058),"")</f>
        <v>[am530wpaGvr]|35-49|Male|TX_CURR_SUBNAT.T_1|CY2023Q3</v>
      </c>
    </row>
    <row r="2059" customFormat="false" ht="15" hidden="false" customHeight="false" outlineLevel="0" collapsed="false">
      <c r="D2059" s="0" t="s">
        <v>72</v>
      </c>
      <c r="E2059" s="0" t="s">
        <v>73</v>
      </c>
      <c r="F2059" s="0" t="s">
        <v>74</v>
      </c>
      <c r="G2059" s="0" t="s">
        <v>146</v>
      </c>
      <c r="H2059" s="0" t="s">
        <v>147</v>
      </c>
      <c r="I2059" s="0" t="s">
        <v>45</v>
      </c>
      <c r="J2059" s="0" t="s">
        <v>46</v>
      </c>
      <c r="K2059" s="0" t="s">
        <v>48</v>
      </c>
      <c r="L2059" s="0" t="s">
        <v>49</v>
      </c>
      <c r="M2059" s="0" t="s">
        <v>140</v>
      </c>
      <c r="N2059" s="0" t="n">
        <v>1075</v>
      </c>
      <c r="O2059" s="10" t="n">
        <v>0.384997843764722</v>
      </c>
      <c r="P2059" s="10" t="n">
        <v>0.289728706935421</v>
      </c>
      <c r="Q2059" s="0" t="str">
        <f aca="false">SUBSTITUTE(SUBSTITUTE($I2059,CHAR(61),""),CHAR(34),"")</f>
        <v>50+</v>
      </c>
      <c r="R2059" s="0" t="str">
        <f aca="false">IF($D2059&lt;&gt;"","["&amp;$E2059&amp;"]"&amp;"|"&amp;$Q2059&amp;"|"&amp;$K2059&amp;"|"&amp;$G2059&amp;"|"&amp;IF($G2059="TX_CURR_SUBNAT.R","CY2022Q4",$M2059),"")</f>
        <v>[am530wpaGvr]|50+|Male|TX_CURR_SUBNAT.T_1|CY2023Q3</v>
      </c>
    </row>
    <row r="2060" customFormat="false" ht="15" hidden="false" customHeight="false" outlineLevel="0" collapsed="false">
      <c r="D2060" s="0" t="s">
        <v>75</v>
      </c>
      <c r="E2060" s="0" t="s">
        <v>76</v>
      </c>
      <c r="F2060" s="0" t="s">
        <v>77</v>
      </c>
      <c r="G2060" s="0" t="s">
        <v>146</v>
      </c>
      <c r="H2060" s="0" t="s">
        <v>147</v>
      </c>
      <c r="I2060" s="0" t="s">
        <v>28</v>
      </c>
      <c r="J2060" s="0" t="s">
        <v>29</v>
      </c>
      <c r="K2060" s="0" t="s">
        <v>30</v>
      </c>
      <c r="L2060" s="0" t="s">
        <v>31</v>
      </c>
      <c r="M2060" s="0" t="s">
        <v>140</v>
      </c>
      <c r="N2060" s="0" t="n">
        <v>1941</v>
      </c>
      <c r="O2060" s="10" t="n">
        <v>0.629936094861478</v>
      </c>
      <c r="P2060" s="10" t="n">
        <v>0.303055507596582</v>
      </c>
      <c r="Q2060" s="0" t="str">
        <f aca="false">SUBSTITUTE(SUBSTITUTE($I2060,CHAR(61),""),CHAR(34),"")</f>
        <v>&lt;01</v>
      </c>
      <c r="R2060" s="0" t="str">
        <f aca="false">IF($D2060&lt;&gt;"","["&amp;$E2060&amp;"]"&amp;"|"&amp;$Q2060&amp;"|"&amp;$K2060&amp;"|"&amp;$G2060&amp;"|"&amp;IF($G2060="TX_CURR_SUBNAT.R","CY2022Q4",$M2060),"")</f>
        <v>[lLDyBx5XyUi]|&lt;01|Female|TX_CURR_SUBNAT.T_1|CY2023Q3</v>
      </c>
    </row>
    <row r="2061" customFormat="false" ht="15" hidden="false" customHeight="false" outlineLevel="0" collapsed="false">
      <c r="D2061" s="0" t="s">
        <v>75</v>
      </c>
      <c r="E2061" s="0" t="s">
        <v>76</v>
      </c>
      <c r="F2061" s="0" t="s">
        <v>77</v>
      </c>
      <c r="G2061" s="0" t="s">
        <v>146</v>
      </c>
      <c r="H2061" s="0" t="s">
        <v>147</v>
      </c>
      <c r="I2061" s="0" t="s">
        <v>33</v>
      </c>
      <c r="J2061" s="0" t="s">
        <v>34</v>
      </c>
      <c r="K2061" s="0" t="s">
        <v>30</v>
      </c>
      <c r="L2061" s="0" t="s">
        <v>31</v>
      </c>
      <c r="M2061" s="0" t="s">
        <v>140</v>
      </c>
      <c r="N2061" s="0" t="n">
        <v>1972</v>
      </c>
      <c r="O2061" s="10" t="n">
        <v>0.0525234909728169</v>
      </c>
      <c r="P2061" s="10" t="n">
        <v>0.303055507596582</v>
      </c>
      <c r="Q2061" s="0" t="str">
        <f aca="false">SUBSTITUTE(SUBSTITUTE($I2061,CHAR(61),""),CHAR(34),"")</f>
        <v>01-09</v>
      </c>
      <c r="R2061" s="0" t="str">
        <f aca="false">IF($D2061&lt;&gt;"","["&amp;$E2061&amp;"]"&amp;"|"&amp;$Q2061&amp;"|"&amp;$K2061&amp;"|"&amp;$G2061&amp;"|"&amp;IF($G2061="TX_CURR_SUBNAT.R","CY2022Q4",$M2061),"")</f>
        <v>[lLDyBx5XyUi]|01-09|Female|TX_CURR_SUBNAT.T_1|CY2023Q3</v>
      </c>
    </row>
    <row r="2062" customFormat="false" ht="15" hidden="false" customHeight="false" outlineLevel="0" collapsed="false">
      <c r="D2062" s="0" t="s">
        <v>75</v>
      </c>
      <c r="E2062" s="0" t="s">
        <v>76</v>
      </c>
      <c r="F2062" s="0" t="s">
        <v>77</v>
      </c>
      <c r="G2062" s="0" t="s">
        <v>146</v>
      </c>
      <c r="H2062" s="0" t="s">
        <v>147</v>
      </c>
      <c r="I2062" s="0" t="s">
        <v>36</v>
      </c>
      <c r="J2062" s="0" t="s">
        <v>37</v>
      </c>
      <c r="K2062" s="0" t="s">
        <v>30</v>
      </c>
      <c r="L2062" s="0" t="s">
        <v>31</v>
      </c>
      <c r="M2062" s="0" t="s">
        <v>140</v>
      </c>
      <c r="N2062" s="0" t="n">
        <v>879</v>
      </c>
      <c r="O2062" s="10" t="n">
        <v>0.682147611165419</v>
      </c>
      <c r="P2062" s="10" t="n">
        <v>0.303055507596582</v>
      </c>
      <c r="Q2062" s="0" t="str">
        <f aca="false">SUBSTITUTE(SUBSTITUTE($I2062,CHAR(61),""),CHAR(34),"")</f>
        <v>10-14</v>
      </c>
      <c r="R2062" s="0" t="str">
        <f aca="false">IF($D2062&lt;&gt;"","["&amp;$E2062&amp;"]"&amp;"|"&amp;$Q2062&amp;"|"&amp;$K2062&amp;"|"&amp;$G2062&amp;"|"&amp;IF($G2062="TX_CURR_SUBNAT.R","CY2022Q4",$M2062),"")</f>
        <v>[lLDyBx5XyUi]|10-14|Female|TX_CURR_SUBNAT.T_1|CY2023Q3</v>
      </c>
    </row>
    <row r="2063" customFormat="false" ht="15" hidden="false" customHeight="false" outlineLevel="0" collapsed="false">
      <c r="D2063" s="0" t="s">
        <v>75</v>
      </c>
      <c r="E2063" s="0" t="s">
        <v>76</v>
      </c>
      <c r="F2063" s="0" t="s">
        <v>77</v>
      </c>
      <c r="G2063" s="0" t="s">
        <v>146</v>
      </c>
      <c r="H2063" s="0" t="s">
        <v>147</v>
      </c>
      <c r="I2063" s="0" t="s">
        <v>38</v>
      </c>
      <c r="J2063" s="0" t="s">
        <v>39</v>
      </c>
      <c r="K2063" s="0" t="s">
        <v>30</v>
      </c>
      <c r="L2063" s="0" t="s">
        <v>31</v>
      </c>
      <c r="M2063" s="0" t="s">
        <v>140</v>
      </c>
      <c r="N2063" s="0" t="n">
        <v>1475</v>
      </c>
      <c r="O2063" s="10" t="n">
        <v>0.0384698545094579</v>
      </c>
      <c r="P2063" s="10" t="n">
        <v>0.303055507596582</v>
      </c>
      <c r="Q2063" s="0" t="str">
        <f aca="false">SUBSTITUTE(SUBSTITUTE($I2063,CHAR(61),""),CHAR(34),"")</f>
        <v>15-24</v>
      </c>
      <c r="R2063" s="0" t="str">
        <f aca="false">IF($D2063&lt;&gt;"","["&amp;$E2063&amp;"]"&amp;"|"&amp;$Q2063&amp;"|"&amp;$K2063&amp;"|"&amp;$G2063&amp;"|"&amp;IF($G2063="TX_CURR_SUBNAT.R","CY2022Q4",$M2063),"")</f>
        <v>[lLDyBx5XyUi]|15-24|Female|TX_CURR_SUBNAT.T_1|CY2023Q3</v>
      </c>
    </row>
    <row r="2064" customFormat="false" ht="15" hidden="false" customHeight="false" outlineLevel="0" collapsed="false">
      <c r="D2064" s="0" t="s">
        <v>75</v>
      </c>
      <c r="E2064" s="0" t="s">
        <v>76</v>
      </c>
      <c r="F2064" s="0" t="s">
        <v>77</v>
      </c>
      <c r="G2064" s="0" t="s">
        <v>146</v>
      </c>
      <c r="H2064" s="0" t="s">
        <v>147</v>
      </c>
      <c r="I2064" s="0" t="s">
        <v>41</v>
      </c>
      <c r="J2064" s="0" t="s">
        <v>42</v>
      </c>
      <c r="K2064" s="0" t="s">
        <v>30</v>
      </c>
      <c r="L2064" s="0" t="s">
        <v>31</v>
      </c>
      <c r="M2064" s="0" t="s">
        <v>140</v>
      </c>
      <c r="N2064" s="0" t="n">
        <v>931</v>
      </c>
      <c r="O2064" s="10" t="n">
        <v>0.465160890016705</v>
      </c>
      <c r="P2064" s="10" t="n">
        <v>0.303055507596582</v>
      </c>
      <c r="Q2064" s="0" t="str">
        <f aca="false">SUBSTITUTE(SUBSTITUTE($I2064,CHAR(61),""),CHAR(34),"")</f>
        <v>25-34</v>
      </c>
      <c r="R2064" s="0" t="str">
        <f aca="false">IF($D2064&lt;&gt;"","["&amp;$E2064&amp;"]"&amp;"|"&amp;$Q2064&amp;"|"&amp;$K2064&amp;"|"&amp;$G2064&amp;"|"&amp;IF($G2064="TX_CURR_SUBNAT.R","CY2022Q4",$M2064),"")</f>
        <v>[lLDyBx5XyUi]|25-34|Female|TX_CURR_SUBNAT.T_1|CY2023Q3</v>
      </c>
    </row>
    <row r="2065" customFormat="false" ht="15" hidden="false" customHeight="false" outlineLevel="0" collapsed="false">
      <c r="D2065" s="0" t="s">
        <v>75</v>
      </c>
      <c r="E2065" s="0" t="s">
        <v>76</v>
      </c>
      <c r="F2065" s="0" t="s">
        <v>77</v>
      </c>
      <c r="G2065" s="0" t="s">
        <v>146</v>
      </c>
      <c r="H2065" s="0" t="s">
        <v>147</v>
      </c>
      <c r="I2065" s="0" t="s">
        <v>43</v>
      </c>
      <c r="J2065" s="0" t="s">
        <v>44</v>
      </c>
      <c r="K2065" s="0" t="s">
        <v>30</v>
      </c>
      <c r="L2065" s="0" t="s">
        <v>31</v>
      </c>
      <c r="M2065" s="0" t="s">
        <v>140</v>
      </c>
      <c r="N2065" s="0" t="n">
        <v>1338</v>
      </c>
      <c r="O2065" s="10" t="n">
        <v>0.270219159545377</v>
      </c>
      <c r="P2065" s="10" t="n">
        <v>0.303055507596582</v>
      </c>
      <c r="Q2065" s="0" t="str">
        <f aca="false">SUBSTITUTE(SUBSTITUTE($I2065,CHAR(61),""),CHAR(34),"")</f>
        <v>35-49</v>
      </c>
      <c r="R2065" s="0" t="str">
        <f aca="false">IF($D2065&lt;&gt;"","["&amp;$E2065&amp;"]"&amp;"|"&amp;$Q2065&amp;"|"&amp;$K2065&amp;"|"&amp;$G2065&amp;"|"&amp;IF($G2065="TX_CURR_SUBNAT.R","CY2022Q4",$M2065),"")</f>
        <v>[lLDyBx5XyUi]|35-49|Female|TX_CURR_SUBNAT.T_1|CY2023Q3</v>
      </c>
    </row>
    <row r="2066" customFormat="false" ht="15" hidden="false" customHeight="false" outlineLevel="0" collapsed="false">
      <c r="D2066" s="0" t="s">
        <v>75</v>
      </c>
      <c r="E2066" s="0" t="s">
        <v>76</v>
      </c>
      <c r="F2066" s="0" t="s">
        <v>77</v>
      </c>
      <c r="G2066" s="0" t="s">
        <v>146</v>
      </c>
      <c r="H2066" s="0" t="s">
        <v>147</v>
      </c>
      <c r="I2066" s="0" t="s">
        <v>45</v>
      </c>
      <c r="J2066" s="0" t="s">
        <v>46</v>
      </c>
      <c r="K2066" s="0" t="s">
        <v>30</v>
      </c>
      <c r="L2066" s="0" t="s">
        <v>31</v>
      </c>
      <c r="M2066" s="0" t="s">
        <v>140</v>
      </c>
      <c r="N2066" s="0" t="n">
        <v>799</v>
      </c>
      <c r="O2066" s="10" t="n">
        <v>0.286951306974515</v>
      </c>
      <c r="P2066" s="10" t="n">
        <v>0.303055507596582</v>
      </c>
      <c r="Q2066" s="0" t="str">
        <f aca="false">SUBSTITUTE(SUBSTITUTE($I2066,CHAR(61),""),CHAR(34),"")</f>
        <v>50+</v>
      </c>
      <c r="R2066" s="0" t="str">
        <f aca="false">IF($D2066&lt;&gt;"","["&amp;$E2066&amp;"]"&amp;"|"&amp;$Q2066&amp;"|"&amp;$K2066&amp;"|"&amp;$G2066&amp;"|"&amp;IF($G2066="TX_CURR_SUBNAT.R","CY2022Q4",$M2066),"")</f>
        <v>[lLDyBx5XyUi]|50+|Female|TX_CURR_SUBNAT.T_1|CY2023Q3</v>
      </c>
    </row>
    <row r="2067" customFormat="false" ht="15" hidden="false" customHeight="false" outlineLevel="0" collapsed="false">
      <c r="D2067" s="0" t="s">
        <v>75</v>
      </c>
      <c r="E2067" s="0" t="s">
        <v>76</v>
      </c>
      <c r="F2067" s="0" t="s">
        <v>77</v>
      </c>
      <c r="G2067" s="0" t="s">
        <v>146</v>
      </c>
      <c r="H2067" s="0" t="s">
        <v>147</v>
      </c>
      <c r="I2067" s="0" t="s">
        <v>28</v>
      </c>
      <c r="J2067" s="0" t="s">
        <v>29</v>
      </c>
      <c r="K2067" s="0" t="s">
        <v>48</v>
      </c>
      <c r="L2067" s="0" t="s">
        <v>49</v>
      </c>
      <c r="M2067" s="0" t="s">
        <v>140</v>
      </c>
      <c r="N2067" s="0" t="n">
        <v>1416</v>
      </c>
      <c r="O2067" s="10" t="n">
        <v>0.451652580872178</v>
      </c>
      <c r="P2067" s="10" t="n">
        <v>0.303055507596582</v>
      </c>
      <c r="Q2067" s="0" t="str">
        <f aca="false">SUBSTITUTE(SUBSTITUTE($I2067,CHAR(61),""),CHAR(34),"")</f>
        <v>&lt;01</v>
      </c>
      <c r="R2067" s="0" t="str">
        <f aca="false">IF($D2067&lt;&gt;"","["&amp;$E2067&amp;"]"&amp;"|"&amp;$Q2067&amp;"|"&amp;$K2067&amp;"|"&amp;$G2067&amp;"|"&amp;IF($G2067="TX_CURR_SUBNAT.R","CY2022Q4",$M2067),"")</f>
        <v>[lLDyBx5XyUi]|&lt;01|Male|TX_CURR_SUBNAT.T_1|CY2023Q3</v>
      </c>
    </row>
    <row r="2068" customFormat="false" ht="15" hidden="false" customHeight="false" outlineLevel="0" collapsed="false">
      <c r="D2068" s="0" t="s">
        <v>75</v>
      </c>
      <c r="E2068" s="0" t="s">
        <v>76</v>
      </c>
      <c r="F2068" s="0" t="s">
        <v>77</v>
      </c>
      <c r="G2068" s="0" t="s">
        <v>146</v>
      </c>
      <c r="H2068" s="0" t="s">
        <v>147</v>
      </c>
      <c r="I2068" s="0" t="s">
        <v>33</v>
      </c>
      <c r="J2068" s="0" t="s">
        <v>34</v>
      </c>
      <c r="K2068" s="0" t="s">
        <v>48</v>
      </c>
      <c r="L2068" s="0" t="s">
        <v>49</v>
      </c>
      <c r="M2068" s="0" t="s">
        <v>140</v>
      </c>
      <c r="N2068" s="0" t="n">
        <v>996</v>
      </c>
      <c r="O2068" s="10" t="n">
        <v>0.416679163696244</v>
      </c>
      <c r="P2068" s="10" t="n">
        <v>0.303055507596582</v>
      </c>
      <c r="Q2068" s="0" t="str">
        <f aca="false">SUBSTITUTE(SUBSTITUTE($I2068,CHAR(61),""),CHAR(34),"")</f>
        <v>01-09</v>
      </c>
      <c r="R2068" s="0" t="str">
        <f aca="false">IF($D2068&lt;&gt;"","["&amp;$E2068&amp;"]"&amp;"|"&amp;$Q2068&amp;"|"&amp;$K2068&amp;"|"&amp;$G2068&amp;"|"&amp;IF($G2068="TX_CURR_SUBNAT.R","CY2022Q4",$M2068),"")</f>
        <v>[lLDyBx5XyUi]|01-09|Male|TX_CURR_SUBNAT.T_1|CY2023Q3</v>
      </c>
    </row>
    <row r="2069" customFormat="false" ht="15" hidden="false" customHeight="false" outlineLevel="0" collapsed="false">
      <c r="D2069" s="0" t="s">
        <v>75</v>
      </c>
      <c r="E2069" s="0" t="s">
        <v>76</v>
      </c>
      <c r="F2069" s="0" t="s">
        <v>77</v>
      </c>
      <c r="G2069" s="0" t="s">
        <v>146</v>
      </c>
      <c r="H2069" s="0" t="s">
        <v>147</v>
      </c>
      <c r="I2069" s="0" t="s">
        <v>36</v>
      </c>
      <c r="J2069" s="0" t="s">
        <v>37</v>
      </c>
      <c r="K2069" s="0" t="s">
        <v>48</v>
      </c>
      <c r="L2069" s="0" t="s">
        <v>49</v>
      </c>
      <c r="M2069" s="0" t="s">
        <v>140</v>
      </c>
      <c r="N2069" s="0" t="n">
        <v>1912</v>
      </c>
      <c r="O2069" s="10" t="n">
        <v>0.498322592582554</v>
      </c>
      <c r="P2069" s="10" t="n">
        <v>0.303055507596582</v>
      </c>
      <c r="Q2069" s="0" t="str">
        <f aca="false">SUBSTITUTE(SUBSTITUTE($I2069,CHAR(61),""),CHAR(34),"")</f>
        <v>10-14</v>
      </c>
      <c r="R2069" s="0" t="str">
        <f aca="false">IF($D2069&lt;&gt;"","["&amp;$E2069&amp;"]"&amp;"|"&amp;$Q2069&amp;"|"&amp;$K2069&amp;"|"&amp;$G2069&amp;"|"&amp;IF($G2069="TX_CURR_SUBNAT.R","CY2022Q4",$M2069),"")</f>
        <v>[lLDyBx5XyUi]|10-14|Male|TX_CURR_SUBNAT.T_1|CY2023Q3</v>
      </c>
    </row>
    <row r="2070" customFormat="false" ht="15" hidden="false" customHeight="false" outlineLevel="0" collapsed="false">
      <c r="D2070" s="0" t="s">
        <v>75</v>
      </c>
      <c r="E2070" s="0" t="s">
        <v>76</v>
      </c>
      <c r="F2070" s="0" t="s">
        <v>77</v>
      </c>
      <c r="G2070" s="0" t="s">
        <v>146</v>
      </c>
      <c r="H2070" s="0" t="s">
        <v>147</v>
      </c>
      <c r="I2070" s="0" t="s">
        <v>38</v>
      </c>
      <c r="J2070" s="0" t="s">
        <v>39</v>
      </c>
      <c r="K2070" s="0" t="s">
        <v>48</v>
      </c>
      <c r="L2070" s="0" t="s">
        <v>49</v>
      </c>
      <c r="M2070" s="0" t="s">
        <v>140</v>
      </c>
      <c r="N2070" s="0" t="n">
        <v>1721</v>
      </c>
      <c r="O2070" s="10" t="n">
        <v>0.151463562157005</v>
      </c>
      <c r="P2070" s="10" t="n">
        <v>0.303055507596582</v>
      </c>
      <c r="Q2070" s="0" t="str">
        <f aca="false">SUBSTITUTE(SUBSTITUTE($I2070,CHAR(61),""),CHAR(34),"")</f>
        <v>15-24</v>
      </c>
      <c r="R2070" s="0" t="str">
        <f aca="false">IF($D2070&lt;&gt;"","["&amp;$E2070&amp;"]"&amp;"|"&amp;$Q2070&amp;"|"&amp;$K2070&amp;"|"&amp;$G2070&amp;"|"&amp;IF($G2070="TX_CURR_SUBNAT.R","CY2022Q4",$M2070),"")</f>
        <v>[lLDyBx5XyUi]|15-24|Male|TX_CURR_SUBNAT.T_1|CY2023Q3</v>
      </c>
    </row>
    <row r="2071" customFormat="false" ht="15" hidden="false" customHeight="false" outlineLevel="0" collapsed="false">
      <c r="D2071" s="0" t="s">
        <v>75</v>
      </c>
      <c r="E2071" s="0" t="s">
        <v>76</v>
      </c>
      <c r="F2071" s="0" t="s">
        <v>77</v>
      </c>
      <c r="G2071" s="0" t="s">
        <v>146</v>
      </c>
      <c r="H2071" s="0" t="s">
        <v>147</v>
      </c>
      <c r="I2071" s="0" t="s">
        <v>41</v>
      </c>
      <c r="J2071" s="0" t="s">
        <v>42</v>
      </c>
      <c r="K2071" s="0" t="s">
        <v>48</v>
      </c>
      <c r="L2071" s="0" t="s">
        <v>49</v>
      </c>
      <c r="M2071" s="0" t="s">
        <v>140</v>
      </c>
      <c r="N2071" s="0" t="n">
        <v>988</v>
      </c>
      <c r="O2071" s="10" t="n">
        <v>0.914088827790692</v>
      </c>
      <c r="P2071" s="10" t="n">
        <v>0.303055507596582</v>
      </c>
      <c r="Q2071" s="0" t="str">
        <f aca="false">SUBSTITUTE(SUBSTITUTE($I2071,CHAR(61),""),CHAR(34),"")</f>
        <v>25-34</v>
      </c>
      <c r="R2071" s="0" t="str">
        <f aca="false">IF($D2071&lt;&gt;"","["&amp;$E2071&amp;"]"&amp;"|"&amp;$Q2071&amp;"|"&amp;$K2071&amp;"|"&amp;$G2071&amp;"|"&amp;IF($G2071="TX_CURR_SUBNAT.R","CY2022Q4",$M2071),"")</f>
        <v>[lLDyBx5XyUi]|25-34|Male|TX_CURR_SUBNAT.T_1|CY2023Q3</v>
      </c>
    </row>
    <row r="2072" customFormat="false" ht="15" hidden="false" customHeight="false" outlineLevel="0" collapsed="false">
      <c r="D2072" s="0" t="s">
        <v>75</v>
      </c>
      <c r="E2072" s="0" t="s">
        <v>76</v>
      </c>
      <c r="F2072" s="0" t="s">
        <v>77</v>
      </c>
      <c r="G2072" s="0" t="s">
        <v>146</v>
      </c>
      <c r="H2072" s="0" t="s">
        <v>147</v>
      </c>
      <c r="I2072" s="0" t="s">
        <v>43</v>
      </c>
      <c r="J2072" s="0" t="s">
        <v>44</v>
      </c>
      <c r="K2072" s="0" t="s">
        <v>48</v>
      </c>
      <c r="L2072" s="0" t="s">
        <v>49</v>
      </c>
      <c r="M2072" s="0" t="s">
        <v>140</v>
      </c>
      <c r="N2072" s="0" t="n">
        <v>1457</v>
      </c>
      <c r="O2072" s="10" t="n">
        <v>0.337576414691284</v>
      </c>
      <c r="P2072" s="10" t="n">
        <v>0.303055507596582</v>
      </c>
      <c r="Q2072" s="0" t="str">
        <f aca="false">SUBSTITUTE(SUBSTITUTE($I2072,CHAR(61),""),CHAR(34),"")</f>
        <v>35-49</v>
      </c>
      <c r="R2072" s="0" t="str">
        <f aca="false">IF($D2072&lt;&gt;"","["&amp;$E2072&amp;"]"&amp;"|"&amp;$Q2072&amp;"|"&amp;$K2072&amp;"|"&amp;$G2072&amp;"|"&amp;IF($G2072="TX_CURR_SUBNAT.R","CY2022Q4",$M2072),"")</f>
        <v>[lLDyBx5XyUi]|35-49|Male|TX_CURR_SUBNAT.T_1|CY2023Q3</v>
      </c>
    </row>
    <row r="2073" customFormat="false" ht="15" hidden="false" customHeight="false" outlineLevel="0" collapsed="false">
      <c r="D2073" s="0" t="s">
        <v>75</v>
      </c>
      <c r="E2073" s="0" t="s">
        <v>76</v>
      </c>
      <c r="F2073" s="0" t="s">
        <v>77</v>
      </c>
      <c r="G2073" s="0" t="s">
        <v>146</v>
      </c>
      <c r="H2073" s="0" t="s">
        <v>147</v>
      </c>
      <c r="I2073" s="0" t="s">
        <v>45</v>
      </c>
      <c r="J2073" s="0" t="s">
        <v>46</v>
      </c>
      <c r="K2073" s="0" t="s">
        <v>48</v>
      </c>
      <c r="L2073" s="0" t="s">
        <v>49</v>
      </c>
      <c r="M2073" s="0" t="s">
        <v>140</v>
      </c>
      <c r="N2073" s="0" t="n">
        <v>1851</v>
      </c>
      <c r="O2073" s="10" t="n">
        <v>0.781091186916456</v>
      </c>
      <c r="P2073" s="10" t="n">
        <v>0.303055507596582</v>
      </c>
      <c r="Q2073" s="0" t="str">
        <f aca="false">SUBSTITUTE(SUBSTITUTE($I2073,CHAR(61),""),CHAR(34),"")</f>
        <v>50+</v>
      </c>
      <c r="R2073" s="0" t="str">
        <f aca="false">IF($D2073&lt;&gt;"","["&amp;$E2073&amp;"]"&amp;"|"&amp;$Q2073&amp;"|"&amp;$K2073&amp;"|"&amp;$G2073&amp;"|"&amp;IF($G2073="TX_CURR_SUBNAT.R","CY2022Q4",$M2073),"")</f>
        <v>[lLDyBx5XyUi]|50+|Male|TX_CURR_SUBNAT.T_1|CY2023Q3</v>
      </c>
    </row>
    <row r="2074" customFormat="false" ht="15" hidden="false" customHeight="false" outlineLevel="0" collapsed="false">
      <c r="D2074" s="0" t="s">
        <v>78</v>
      </c>
      <c r="E2074" s="0" t="s">
        <v>79</v>
      </c>
      <c r="F2074" s="0" t="s">
        <v>80</v>
      </c>
      <c r="G2074" s="0" t="s">
        <v>146</v>
      </c>
      <c r="H2074" s="0" t="s">
        <v>147</v>
      </c>
      <c r="I2074" s="0" t="s">
        <v>28</v>
      </c>
      <c r="J2074" s="0" t="s">
        <v>29</v>
      </c>
      <c r="K2074" s="0" t="s">
        <v>30</v>
      </c>
      <c r="L2074" s="0" t="s">
        <v>31</v>
      </c>
      <c r="M2074" s="0" t="s">
        <v>140</v>
      </c>
      <c r="N2074" s="0" t="n">
        <v>1658</v>
      </c>
      <c r="O2074" s="10" t="n">
        <v>0.258567843586206</v>
      </c>
      <c r="P2074" s="10" t="n">
        <v>0.831597982207313</v>
      </c>
      <c r="Q2074" s="0" t="str">
        <f aca="false">SUBSTITUTE(SUBSTITUTE($I2074,CHAR(61),""),CHAR(34),"")</f>
        <v>&lt;01</v>
      </c>
      <c r="R2074" s="0" t="str">
        <f aca="false">IF($D2074&lt;&gt;"","["&amp;$E2074&amp;"]"&amp;"|"&amp;$Q2074&amp;"|"&amp;$K2074&amp;"|"&amp;$G2074&amp;"|"&amp;IF($G2074="TX_CURR_SUBNAT.R","CY2022Q4",$M2074),"")</f>
        <v>[TYnMSwzko3z]|&lt;01|Female|TX_CURR_SUBNAT.T_1|CY2023Q3</v>
      </c>
    </row>
    <row r="2075" customFormat="false" ht="15" hidden="false" customHeight="false" outlineLevel="0" collapsed="false">
      <c r="D2075" s="0" t="s">
        <v>78</v>
      </c>
      <c r="E2075" s="0" t="s">
        <v>79</v>
      </c>
      <c r="F2075" s="0" t="s">
        <v>80</v>
      </c>
      <c r="G2075" s="0" t="s">
        <v>146</v>
      </c>
      <c r="H2075" s="0" t="s">
        <v>147</v>
      </c>
      <c r="I2075" s="0" t="s">
        <v>33</v>
      </c>
      <c r="J2075" s="0" t="s">
        <v>34</v>
      </c>
      <c r="K2075" s="0" t="s">
        <v>30</v>
      </c>
      <c r="L2075" s="0" t="s">
        <v>31</v>
      </c>
      <c r="M2075" s="0" t="s">
        <v>140</v>
      </c>
      <c r="N2075" s="0" t="n">
        <v>1993</v>
      </c>
      <c r="O2075" s="10" t="n">
        <v>0.625777597306296</v>
      </c>
      <c r="P2075" s="10" t="n">
        <v>0.831597982207313</v>
      </c>
      <c r="Q2075" s="0" t="str">
        <f aca="false">SUBSTITUTE(SUBSTITUTE($I2075,CHAR(61),""),CHAR(34),"")</f>
        <v>01-09</v>
      </c>
      <c r="R2075" s="0" t="str">
        <f aca="false">IF($D2075&lt;&gt;"","["&amp;$E2075&amp;"]"&amp;"|"&amp;$Q2075&amp;"|"&amp;$K2075&amp;"|"&amp;$G2075&amp;"|"&amp;IF($G2075="TX_CURR_SUBNAT.R","CY2022Q4",$M2075),"")</f>
        <v>[TYnMSwzko3z]|01-09|Female|TX_CURR_SUBNAT.T_1|CY2023Q3</v>
      </c>
    </row>
    <row r="2076" customFormat="false" ht="15" hidden="false" customHeight="false" outlineLevel="0" collapsed="false">
      <c r="D2076" s="0" t="s">
        <v>78</v>
      </c>
      <c r="E2076" s="0" t="s">
        <v>79</v>
      </c>
      <c r="F2076" s="0" t="s">
        <v>80</v>
      </c>
      <c r="G2076" s="0" t="s">
        <v>146</v>
      </c>
      <c r="H2076" s="0" t="s">
        <v>147</v>
      </c>
      <c r="I2076" s="0" t="s">
        <v>36</v>
      </c>
      <c r="J2076" s="0" t="s">
        <v>37</v>
      </c>
      <c r="K2076" s="0" t="s">
        <v>30</v>
      </c>
      <c r="L2076" s="0" t="s">
        <v>31</v>
      </c>
      <c r="M2076" s="0" t="s">
        <v>140</v>
      </c>
      <c r="N2076" s="0" t="n">
        <v>1136</v>
      </c>
      <c r="O2076" s="10" t="n">
        <v>0.517218438908458</v>
      </c>
      <c r="P2076" s="10" t="n">
        <v>0.831597982207313</v>
      </c>
      <c r="Q2076" s="0" t="str">
        <f aca="false">SUBSTITUTE(SUBSTITUTE($I2076,CHAR(61),""),CHAR(34),"")</f>
        <v>10-14</v>
      </c>
      <c r="R2076" s="0" t="str">
        <f aca="false">IF($D2076&lt;&gt;"","["&amp;$E2076&amp;"]"&amp;"|"&amp;$Q2076&amp;"|"&amp;$K2076&amp;"|"&amp;$G2076&amp;"|"&amp;IF($G2076="TX_CURR_SUBNAT.R","CY2022Q4",$M2076),"")</f>
        <v>[TYnMSwzko3z]|10-14|Female|TX_CURR_SUBNAT.T_1|CY2023Q3</v>
      </c>
    </row>
    <row r="2077" customFormat="false" ht="15" hidden="false" customHeight="false" outlineLevel="0" collapsed="false">
      <c r="D2077" s="0" t="s">
        <v>78</v>
      </c>
      <c r="E2077" s="0" t="s">
        <v>79</v>
      </c>
      <c r="F2077" s="0" t="s">
        <v>80</v>
      </c>
      <c r="G2077" s="0" t="s">
        <v>146</v>
      </c>
      <c r="H2077" s="0" t="s">
        <v>147</v>
      </c>
      <c r="I2077" s="0" t="s">
        <v>38</v>
      </c>
      <c r="J2077" s="0" t="s">
        <v>39</v>
      </c>
      <c r="K2077" s="0" t="s">
        <v>30</v>
      </c>
      <c r="L2077" s="0" t="s">
        <v>31</v>
      </c>
      <c r="M2077" s="0" t="s">
        <v>140</v>
      </c>
      <c r="N2077" s="0" t="n">
        <v>517</v>
      </c>
      <c r="O2077" s="10" t="n">
        <v>0.160368816461414</v>
      </c>
      <c r="P2077" s="10" t="n">
        <v>0.831597982207313</v>
      </c>
      <c r="Q2077" s="0" t="str">
        <f aca="false">SUBSTITUTE(SUBSTITUTE($I2077,CHAR(61),""),CHAR(34),"")</f>
        <v>15-24</v>
      </c>
      <c r="R2077" s="0" t="str">
        <f aca="false">IF($D2077&lt;&gt;"","["&amp;$E2077&amp;"]"&amp;"|"&amp;$Q2077&amp;"|"&amp;$K2077&amp;"|"&amp;$G2077&amp;"|"&amp;IF($G2077="TX_CURR_SUBNAT.R","CY2022Q4",$M2077),"")</f>
        <v>[TYnMSwzko3z]|15-24|Female|TX_CURR_SUBNAT.T_1|CY2023Q3</v>
      </c>
    </row>
    <row r="2078" customFormat="false" ht="15" hidden="false" customHeight="false" outlineLevel="0" collapsed="false">
      <c r="D2078" s="0" t="s">
        <v>78</v>
      </c>
      <c r="E2078" s="0" t="s">
        <v>79</v>
      </c>
      <c r="F2078" s="0" t="s">
        <v>80</v>
      </c>
      <c r="G2078" s="0" t="s">
        <v>146</v>
      </c>
      <c r="H2078" s="0" t="s">
        <v>147</v>
      </c>
      <c r="I2078" s="0" t="s">
        <v>41</v>
      </c>
      <c r="J2078" s="0" t="s">
        <v>42</v>
      </c>
      <c r="K2078" s="0" t="s">
        <v>30</v>
      </c>
      <c r="L2078" s="0" t="s">
        <v>31</v>
      </c>
      <c r="M2078" s="0" t="s">
        <v>140</v>
      </c>
      <c r="N2078" s="0" t="n">
        <v>1140</v>
      </c>
      <c r="O2078" s="10" t="n">
        <v>0.287451092153788</v>
      </c>
      <c r="P2078" s="10" t="n">
        <v>0.831597982207313</v>
      </c>
      <c r="Q2078" s="0" t="str">
        <f aca="false">SUBSTITUTE(SUBSTITUTE($I2078,CHAR(61),""),CHAR(34),"")</f>
        <v>25-34</v>
      </c>
      <c r="R2078" s="0" t="str">
        <f aca="false">IF($D2078&lt;&gt;"","["&amp;$E2078&amp;"]"&amp;"|"&amp;$Q2078&amp;"|"&amp;$K2078&amp;"|"&amp;$G2078&amp;"|"&amp;IF($G2078="TX_CURR_SUBNAT.R","CY2022Q4",$M2078),"")</f>
        <v>[TYnMSwzko3z]|25-34|Female|TX_CURR_SUBNAT.T_1|CY2023Q3</v>
      </c>
    </row>
    <row r="2079" customFormat="false" ht="15" hidden="false" customHeight="false" outlineLevel="0" collapsed="false">
      <c r="D2079" s="0" t="s">
        <v>78</v>
      </c>
      <c r="E2079" s="0" t="s">
        <v>79</v>
      </c>
      <c r="F2079" s="0" t="s">
        <v>80</v>
      </c>
      <c r="G2079" s="0" t="s">
        <v>146</v>
      </c>
      <c r="H2079" s="0" t="s">
        <v>147</v>
      </c>
      <c r="I2079" s="0" t="s">
        <v>43</v>
      </c>
      <c r="J2079" s="0" t="s">
        <v>44</v>
      </c>
      <c r="K2079" s="0" t="s">
        <v>30</v>
      </c>
      <c r="L2079" s="0" t="s">
        <v>31</v>
      </c>
      <c r="M2079" s="0" t="s">
        <v>140</v>
      </c>
      <c r="N2079" s="0" t="n">
        <v>1271</v>
      </c>
      <c r="O2079" s="10" t="n">
        <v>0.955819734139368</v>
      </c>
      <c r="P2079" s="10" t="n">
        <v>0.831597982207313</v>
      </c>
      <c r="Q2079" s="0" t="str">
        <f aca="false">SUBSTITUTE(SUBSTITUTE($I2079,CHAR(61),""),CHAR(34),"")</f>
        <v>35-49</v>
      </c>
      <c r="R2079" s="0" t="str">
        <f aca="false">IF($D2079&lt;&gt;"","["&amp;$E2079&amp;"]"&amp;"|"&amp;$Q2079&amp;"|"&amp;$K2079&amp;"|"&amp;$G2079&amp;"|"&amp;IF($G2079="TX_CURR_SUBNAT.R","CY2022Q4",$M2079),"")</f>
        <v>[TYnMSwzko3z]|35-49|Female|TX_CURR_SUBNAT.T_1|CY2023Q3</v>
      </c>
    </row>
    <row r="2080" customFormat="false" ht="15" hidden="false" customHeight="false" outlineLevel="0" collapsed="false">
      <c r="D2080" s="0" t="s">
        <v>78</v>
      </c>
      <c r="E2080" s="0" t="s">
        <v>79</v>
      </c>
      <c r="F2080" s="0" t="s">
        <v>80</v>
      </c>
      <c r="G2080" s="0" t="s">
        <v>146</v>
      </c>
      <c r="H2080" s="0" t="s">
        <v>147</v>
      </c>
      <c r="I2080" s="0" t="s">
        <v>45</v>
      </c>
      <c r="J2080" s="0" t="s">
        <v>46</v>
      </c>
      <c r="K2080" s="0" t="s">
        <v>30</v>
      </c>
      <c r="L2080" s="0" t="s">
        <v>31</v>
      </c>
      <c r="M2080" s="0" t="s">
        <v>140</v>
      </c>
      <c r="N2080" s="0" t="n">
        <v>1456</v>
      </c>
      <c r="O2080" s="10" t="n">
        <v>0.469497166806832</v>
      </c>
      <c r="P2080" s="10" t="n">
        <v>0.831597982207313</v>
      </c>
      <c r="Q2080" s="0" t="str">
        <f aca="false">SUBSTITUTE(SUBSTITUTE($I2080,CHAR(61),""),CHAR(34),"")</f>
        <v>50+</v>
      </c>
      <c r="R2080" s="0" t="str">
        <f aca="false">IF($D2080&lt;&gt;"","["&amp;$E2080&amp;"]"&amp;"|"&amp;$Q2080&amp;"|"&amp;$K2080&amp;"|"&amp;$G2080&amp;"|"&amp;IF($G2080="TX_CURR_SUBNAT.R","CY2022Q4",$M2080),"")</f>
        <v>[TYnMSwzko3z]|50+|Female|TX_CURR_SUBNAT.T_1|CY2023Q3</v>
      </c>
    </row>
    <row r="2081" customFormat="false" ht="15" hidden="false" customHeight="false" outlineLevel="0" collapsed="false">
      <c r="D2081" s="0" t="s">
        <v>78</v>
      </c>
      <c r="E2081" s="0" t="s">
        <v>79</v>
      </c>
      <c r="F2081" s="0" t="s">
        <v>80</v>
      </c>
      <c r="G2081" s="0" t="s">
        <v>146</v>
      </c>
      <c r="H2081" s="0" t="s">
        <v>147</v>
      </c>
      <c r="I2081" s="0" t="s">
        <v>28</v>
      </c>
      <c r="J2081" s="0" t="s">
        <v>29</v>
      </c>
      <c r="K2081" s="0" t="s">
        <v>48</v>
      </c>
      <c r="L2081" s="0" t="s">
        <v>49</v>
      </c>
      <c r="M2081" s="0" t="s">
        <v>140</v>
      </c>
      <c r="N2081" s="0" t="n">
        <v>666</v>
      </c>
      <c r="O2081" s="10" t="n">
        <v>0.61600962257944</v>
      </c>
      <c r="P2081" s="10" t="n">
        <v>0.831597982207313</v>
      </c>
      <c r="Q2081" s="0" t="str">
        <f aca="false">SUBSTITUTE(SUBSTITUTE($I2081,CHAR(61),""),CHAR(34),"")</f>
        <v>&lt;01</v>
      </c>
      <c r="R2081" s="0" t="str">
        <f aca="false">IF($D2081&lt;&gt;"","["&amp;$E2081&amp;"]"&amp;"|"&amp;$Q2081&amp;"|"&amp;$K2081&amp;"|"&amp;$G2081&amp;"|"&amp;IF($G2081="TX_CURR_SUBNAT.R","CY2022Q4",$M2081),"")</f>
        <v>[TYnMSwzko3z]|&lt;01|Male|TX_CURR_SUBNAT.T_1|CY2023Q3</v>
      </c>
    </row>
    <row r="2082" customFormat="false" ht="15" hidden="false" customHeight="false" outlineLevel="0" collapsed="false">
      <c r="D2082" s="0" t="s">
        <v>78</v>
      </c>
      <c r="E2082" s="0" t="s">
        <v>79</v>
      </c>
      <c r="F2082" s="0" t="s">
        <v>80</v>
      </c>
      <c r="G2082" s="0" t="s">
        <v>146</v>
      </c>
      <c r="H2082" s="0" t="s">
        <v>147</v>
      </c>
      <c r="I2082" s="0" t="s">
        <v>33</v>
      </c>
      <c r="J2082" s="0" t="s">
        <v>34</v>
      </c>
      <c r="K2082" s="0" t="s">
        <v>48</v>
      </c>
      <c r="L2082" s="0" t="s">
        <v>49</v>
      </c>
      <c r="M2082" s="0" t="s">
        <v>140</v>
      </c>
      <c r="N2082" s="0" t="n">
        <v>1445</v>
      </c>
      <c r="O2082" s="10" t="n">
        <v>0.530268850969151</v>
      </c>
      <c r="P2082" s="10" t="n">
        <v>0.831597982207313</v>
      </c>
      <c r="Q2082" s="0" t="str">
        <f aca="false">SUBSTITUTE(SUBSTITUTE($I2082,CHAR(61),""),CHAR(34),"")</f>
        <v>01-09</v>
      </c>
      <c r="R2082" s="0" t="str">
        <f aca="false">IF($D2082&lt;&gt;"","["&amp;$E2082&amp;"]"&amp;"|"&amp;$Q2082&amp;"|"&amp;$K2082&amp;"|"&amp;$G2082&amp;"|"&amp;IF($G2082="TX_CURR_SUBNAT.R","CY2022Q4",$M2082),"")</f>
        <v>[TYnMSwzko3z]|01-09|Male|TX_CURR_SUBNAT.T_1|CY2023Q3</v>
      </c>
    </row>
    <row r="2083" customFormat="false" ht="15" hidden="false" customHeight="false" outlineLevel="0" collapsed="false">
      <c r="D2083" s="0" t="s">
        <v>78</v>
      </c>
      <c r="E2083" s="0" t="s">
        <v>79</v>
      </c>
      <c r="F2083" s="0" t="s">
        <v>80</v>
      </c>
      <c r="G2083" s="0" t="s">
        <v>146</v>
      </c>
      <c r="H2083" s="0" t="s">
        <v>147</v>
      </c>
      <c r="I2083" s="0" t="s">
        <v>36</v>
      </c>
      <c r="J2083" s="0" t="s">
        <v>37</v>
      </c>
      <c r="K2083" s="0" t="s">
        <v>48</v>
      </c>
      <c r="L2083" s="0" t="s">
        <v>49</v>
      </c>
      <c r="M2083" s="0" t="s">
        <v>140</v>
      </c>
      <c r="N2083" s="0" t="n">
        <v>1805</v>
      </c>
      <c r="O2083" s="10" t="n">
        <v>0.703591097844765</v>
      </c>
      <c r="P2083" s="10" t="n">
        <v>0.831597982207313</v>
      </c>
      <c r="Q2083" s="0" t="str">
        <f aca="false">SUBSTITUTE(SUBSTITUTE($I2083,CHAR(61),""),CHAR(34),"")</f>
        <v>10-14</v>
      </c>
      <c r="R2083" s="0" t="str">
        <f aca="false">IF($D2083&lt;&gt;"","["&amp;$E2083&amp;"]"&amp;"|"&amp;$Q2083&amp;"|"&amp;$K2083&amp;"|"&amp;$G2083&amp;"|"&amp;IF($G2083="TX_CURR_SUBNAT.R","CY2022Q4",$M2083),"")</f>
        <v>[TYnMSwzko3z]|10-14|Male|TX_CURR_SUBNAT.T_1|CY2023Q3</v>
      </c>
    </row>
    <row r="2084" customFormat="false" ht="15" hidden="false" customHeight="false" outlineLevel="0" collapsed="false">
      <c r="D2084" s="0" t="s">
        <v>78</v>
      </c>
      <c r="E2084" s="0" t="s">
        <v>79</v>
      </c>
      <c r="F2084" s="0" t="s">
        <v>80</v>
      </c>
      <c r="G2084" s="0" t="s">
        <v>146</v>
      </c>
      <c r="H2084" s="0" t="s">
        <v>147</v>
      </c>
      <c r="I2084" s="0" t="s">
        <v>38</v>
      </c>
      <c r="J2084" s="0" t="s">
        <v>39</v>
      </c>
      <c r="K2084" s="0" t="s">
        <v>48</v>
      </c>
      <c r="L2084" s="0" t="s">
        <v>49</v>
      </c>
      <c r="M2084" s="0" t="s">
        <v>140</v>
      </c>
      <c r="N2084" s="0" t="n">
        <v>856</v>
      </c>
      <c r="O2084" s="10" t="n">
        <v>0.933284152531996</v>
      </c>
      <c r="P2084" s="10" t="n">
        <v>0.831597982207313</v>
      </c>
      <c r="Q2084" s="0" t="str">
        <f aca="false">SUBSTITUTE(SUBSTITUTE($I2084,CHAR(61),""),CHAR(34),"")</f>
        <v>15-24</v>
      </c>
      <c r="R2084" s="0" t="str">
        <f aca="false">IF($D2084&lt;&gt;"","["&amp;$E2084&amp;"]"&amp;"|"&amp;$Q2084&amp;"|"&amp;$K2084&amp;"|"&amp;$G2084&amp;"|"&amp;IF($G2084="TX_CURR_SUBNAT.R","CY2022Q4",$M2084),"")</f>
        <v>[TYnMSwzko3z]|15-24|Male|TX_CURR_SUBNAT.T_1|CY2023Q3</v>
      </c>
    </row>
    <row r="2085" customFormat="false" ht="15" hidden="false" customHeight="false" outlineLevel="0" collapsed="false">
      <c r="D2085" s="0" t="s">
        <v>78</v>
      </c>
      <c r="E2085" s="0" t="s">
        <v>79</v>
      </c>
      <c r="F2085" s="0" t="s">
        <v>80</v>
      </c>
      <c r="G2085" s="0" t="s">
        <v>146</v>
      </c>
      <c r="H2085" s="0" t="s">
        <v>147</v>
      </c>
      <c r="I2085" s="0" t="s">
        <v>41</v>
      </c>
      <c r="J2085" s="0" t="s">
        <v>42</v>
      </c>
      <c r="K2085" s="0" t="s">
        <v>48</v>
      </c>
      <c r="L2085" s="0" t="s">
        <v>49</v>
      </c>
      <c r="M2085" s="0" t="s">
        <v>140</v>
      </c>
      <c r="N2085" s="0" t="n">
        <v>575</v>
      </c>
      <c r="O2085" s="10" t="n">
        <v>0.310692696366459</v>
      </c>
      <c r="P2085" s="10" t="n">
        <v>0.831597982207313</v>
      </c>
      <c r="Q2085" s="0" t="str">
        <f aca="false">SUBSTITUTE(SUBSTITUTE($I2085,CHAR(61),""),CHAR(34),"")</f>
        <v>25-34</v>
      </c>
      <c r="R2085" s="0" t="str">
        <f aca="false">IF($D2085&lt;&gt;"","["&amp;$E2085&amp;"]"&amp;"|"&amp;$Q2085&amp;"|"&amp;$K2085&amp;"|"&amp;$G2085&amp;"|"&amp;IF($G2085="TX_CURR_SUBNAT.R","CY2022Q4",$M2085),"")</f>
        <v>[TYnMSwzko3z]|25-34|Male|TX_CURR_SUBNAT.T_1|CY2023Q3</v>
      </c>
    </row>
    <row r="2086" customFormat="false" ht="15" hidden="false" customHeight="false" outlineLevel="0" collapsed="false">
      <c r="D2086" s="0" t="s">
        <v>78</v>
      </c>
      <c r="E2086" s="0" t="s">
        <v>79</v>
      </c>
      <c r="F2086" s="0" t="s">
        <v>80</v>
      </c>
      <c r="G2086" s="0" t="s">
        <v>146</v>
      </c>
      <c r="H2086" s="0" t="s">
        <v>147</v>
      </c>
      <c r="I2086" s="0" t="s">
        <v>43</v>
      </c>
      <c r="J2086" s="0" t="s">
        <v>44</v>
      </c>
      <c r="K2086" s="0" t="s">
        <v>48</v>
      </c>
      <c r="L2086" s="0" t="s">
        <v>49</v>
      </c>
      <c r="M2086" s="0" t="s">
        <v>140</v>
      </c>
      <c r="N2086" s="0" t="n">
        <v>1762</v>
      </c>
      <c r="O2086" s="10" t="n">
        <v>0.918930194806308</v>
      </c>
      <c r="P2086" s="10" t="n">
        <v>0.831597982207313</v>
      </c>
      <c r="Q2086" s="0" t="str">
        <f aca="false">SUBSTITUTE(SUBSTITUTE($I2086,CHAR(61),""),CHAR(34),"")</f>
        <v>35-49</v>
      </c>
      <c r="R2086" s="0" t="str">
        <f aca="false">IF($D2086&lt;&gt;"","["&amp;$E2086&amp;"]"&amp;"|"&amp;$Q2086&amp;"|"&amp;$K2086&amp;"|"&amp;$G2086&amp;"|"&amp;IF($G2086="TX_CURR_SUBNAT.R","CY2022Q4",$M2086),"")</f>
        <v>[TYnMSwzko3z]|35-49|Male|TX_CURR_SUBNAT.T_1|CY2023Q3</v>
      </c>
    </row>
    <row r="2087" customFormat="false" ht="15" hidden="false" customHeight="false" outlineLevel="0" collapsed="false">
      <c r="D2087" s="0" t="s">
        <v>78</v>
      </c>
      <c r="E2087" s="0" t="s">
        <v>79</v>
      </c>
      <c r="F2087" s="0" t="s">
        <v>80</v>
      </c>
      <c r="G2087" s="0" t="s">
        <v>146</v>
      </c>
      <c r="H2087" s="0" t="s">
        <v>147</v>
      </c>
      <c r="I2087" s="0" t="s">
        <v>45</v>
      </c>
      <c r="J2087" s="0" t="s">
        <v>46</v>
      </c>
      <c r="K2087" s="0" t="s">
        <v>48</v>
      </c>
      <c r="L2087" s="0" t="s">
        <v>49</v>
      </c>
      <c r="M2087" s="0" t="s">
        <v>140</v>
      </c>
      <c r="N2087" s="0" t="n">
        <v>971</v>
      </c>
      <c r="O2087" s="10" t="n">
        <v>0.583215448074043</v>
      </c>
      <c r="P2087" s="10" t="n">
        <v>0.831597982207313</v>
      </c>
      <c r="Q2087" s="0" t="str">
        <f aca="false">SUBSTITUTE(SUBSTITUTE($I2087,CHAR(61),""),CHAR(34),"")</f>
        <v>50+</v>
      </c>
      <c r="R2087" s="0" t="str">
        <f aca="false">IF($D2087&lt;&gt;"","["&amp;$E2087&amp;"]"&amp;"|"&amp;$Q2087&amp;"|"&amp;$K2087&amp;"|"&amp;$G2087&amp;"|"&amp;IF($G2087="TX_CURR_SUBNAT.R","CY2022Q4",$M2087),"")</f>
        <v>[TYnMSwzko3z]|50+|Male|TX_CURR_SUBNAT.T_1|CY2023Q3</v>
      </c>
    </row>
    <row r="2088" customFormat="false" ht="15" hidden="false" customHeight="false" outlineLevel="0" collapsed="false">
      <c r="D2088" s="0" t="s">
        <v>81</v>
      </c>
      <c r="E2088" s="0" t="s">
        <v>82</v>
      </c>
      <c r="F2088" s="0" t="s">
        <v>83</v>
      </c>
      <c r="G2088" s="0" t="s">
        <v>146</v>
      </c>
      <c r="H2088" s="0" t="s">
        <v>147</v>
      </c>
      <c r="I2088" s="0" t="s">
        <v>28</v>
      </c>
      <c r="J2088" s="0" t="s">
        <v>29</v>
      </c>
      <c r="K2088" s="0" t="s">
        <v>30</v>
      </c>
      <c r="L2088" s="0" t="s">
        <v>31</v>
      </c>
      <c r="M2088" s="0" t="s">
        <v>140</v>
      </c>
      <c r="N2088" s="0" t="n">
        <v>647</v>
      </c>
      <c r="O2088" s="10" t="n">
        <v>0.787349432474002</v>
      </c>
      <c r="P2088" s="10" t="n">
        <v>0.143331421539187</v>
      </c>
      <c r="Q2088" s="0" t="str">
        <f aca="false">SUBSTITUTE(SUBSTITUTE($I2088,CHAR(61),""),CHAR(34),"")</f>
        <v>&lt;01</v>
      </c>
      <c r="R2088" s="0" t="str">
        <f aca="false">IF($D2088&lt;&gt;"","["&amp;$E2088&amp;"]"&amp;"|"&amp;$Q2088&amp;"|"&amp;$K2088&amp;"|"&amp;$G2088&amp;"|"&amp;IF($G2088="TX_CURR_SUBNAT.R","CY2022Q4",$M2088),"")</f>
        <v>[ir8wuHHzoSs]|&lt;01|Female|TX_CURR_SUBNAT.T_1|CY2023Q3</v>
      </c>
    </row>
    <row r="2089" customFormat="false" ht="15" hidden="false" customHeight="false" outlineLevel="0" collapsed="false">
      <c r="D2089" s="0" t="s">
        <v>81</v>
      </c>
      <c r="E2089" s="0" t="s">
        <v>82</v>
      </c>
      <c r="F2089" s="0" t="s">
        <v>83</v>
      </c>
      <c r="G2089" s="0" t="s">
        <v>146</v>
      </c>
      <c r="H2089" s="0" t="s">
        <v>147</v>
      </c>
      <c r="I2089" s="0" t="s">
        <v>33</v>
      </c>
      <c r="J2089" s="0" t="s">
        <v>34</v>
      </c>
      <c r="K2089" s="0" t="s">
        <v>30</v>
      </c>
      <c r="L2089" s="0" t="s">
        <v>31</v>
      </c>
      <c r="M2089" s="0" t="s">
        <v>140</v>
      </c>
      <c r="N2089" s="0" t="n">
        <v>1959</v>
      </c>
      <c r="O2089" s="10" t="n">
        <v>0.461311541032046</v>
      </c>
      <c r="P2089" s="10" t="n">
        <v>0.143331421539187</v>
      </c>
      <c r="Q2089" s="0" t="str">
        <f aca="false">SUBSTITUTE(SUBSTITUTE($I2089,CHAR(61),""),CHAR(34),"")</f>
        <v>01-09</v>
      </c>
      <c r="R2089" s="0" t="str">
        <f aca="false">IF($D2089&lt;&gt;"","["&amp;$E2089&amp;"]"&amp;"|"&amp;$Q2089&amp;"|"&amp;$K2089&amp;"|"&amp;$G2089&amp;"|"&amp;IF($G2089="TX_CURR_SUBNAT.R","CY2022Q4",$M2089),"")</f>
        <v>[ir8wuHHzoSs]|01-09|Female|TX_CURR_SUBNAT.T_1|CY2023Q3</v>
      </c>
    </row>
    <row r="2090" customFormat="false" ht="15" hidden="false" customHeight="false" outlineLevel="0" collapsed="false">
      <c r="D2090" s="0" t="s">
        <v>81</v>
      </c>
      <c r="E2090" s="0" t="s">
        <v>82</v>
      </c>
      <c r="F2090" s="0" t="s">
        <v>83</v>
      </c>
      <c r="G2090" s="0" t="s">
        <v>146</v>
      </c>
      <c r="H2090" s="0" t="s">
        <v>147</v>
      </c>
      <c r="I2090" s="0" t="s">
        <v>36</v>
      </c>
      <c r="J2090" s="0" t="s">
        <v>37</v>
      </c>
      <c r="K2090" s="0" t="s">
        <v>30</v>
      </c>
      <c r="L2090" s="0" t="s">
        <v>31</v>
      </c>
      <c r="M2090" s="0" t="s">
        <v>140</v>
      </c>
      <c r="N2090" s="0" t="n">
        <v>1579</v>
      </c>
      <c r="O2090" s="10" t="n">
        <v>0.490235720295459</v>
      </c>
      <c r="P2090" s="10" t="n">
        <v>0.143331421539187</v>
      </c>
      <c r="Q2090" s="0" t="str">
        <f aca="false">SUBSTITUTE(SUBSTITUTE($I2090,CHAR(61),""),CHAR(34),"")</f>
        <v>10-14</v>
      </c>
      <c r="R2090" s="0" t="str">
        <f aca="false">IF($D2090&lt;&gt;"","["&amp;$E2090&amp;"]"&amp;"|"&amp;$Q2090&amp;"|"&amp;$K2090&amp;"|"&amp;$G2090&amp;"|"&amp;IF($G2090="TX_CURR_SUBNAT.R","CY2022Q4",$M2090),"")</f>
        <v>[ir8wuHHzoSs]|10-14|Female|TX_CURR_SUBNAT.T_1|CY2023Q3</v>
      </c>
    </row>
    <row r="2091" customFormat="false" ht="15" hidden="false" customHeight="false" outlineLevel="0" collapsed="false">
      <c r="D2091" s="0" t="s">
        <v>81</v>
      </c>
      <c r="E2091" s="0" t="s">
        <v>82</v>
      </c>
      <c r="F2091" s="0" t="s">
        <v>83</v>
      </c>
      <c r="G2091" s="0" t="s">
        <v>146</v>
      </c>
      <c r="H2091" s="0" t="s">
        <v>147</v>
      </c>
      <c r="I2091" s="0" t="s">
        <v>38</v>
      </c>
      <c r="J2091" s="0" t="s">
        <v>39</v>
      </c>
      <c r="K2091" s="0" t="s">
        <v>30</v>
      </c>
      <c r="L2091" s="0" t="s">
        <v>31</v>
      </c>
      <c r="M2091" s="0" t="s">
        <v>140</v>
      </c>
      <c r="N2091" s="0" t="n">
        <v>1718</v>
      </c>
      <c r="O2091" s="10" t="n">
        <v>0.0203852828126401</v>
      </c>
      <c r="P2091" s="10" t="n">
        <v>0.143331421539187</v>
      </c>
      <c r="Q2091" s="0" t="str">
        <f aca="false">SUBSTITUTE(SUBSTITUTE($I2091,CHAR(61),""),CHAR(34),"")</f>
        <v>15-24</v>
      </c>
      <c r="R2091" s="0" t="str">
        <f aca="false">IF($D2091&lt;&gt;"","["&amp;$E2091&amp;"]"&amp;"|"&amp;$Q2091&amp;"|"&amp;$K2091&amp;"|"&amp;$G2091&amp;"|"&amp;IF($G2091="TX_CURR_SUBNAT.R","CY2022Q4",$M2091),"")</f>
        <v>[ir8wuHHzoSs]|15-24|Female|TX_CURR_SUBNAT.T_1|CY2023Q3</v>
      </c>
    </row>
    <row r="2092" customFormat="false" ht="15" hidden="false" customHeight="false" outlineLevel="0" collapsed="false">
      <c r="D2092" s="0" t="s">
        <v>81</v>
      </c>
      <c r="E2092" s="0" t="s">
        <v>82</v>
      </c>
      <c r="F2092" s="0" t="s">
        <v>83</v>
      </c>
      <c r="G2092" s="0" t="s">
        <v>146</v>
      </c>
      <c r="H2092" s="0" t="s">
        <v>147</v>
      </c>
      <c r="I2092" s="0" t="s">
        <v>41</v>
      </c>
      <c r="J2092" s="0" t="s">
        <v>42</v>
      </c>
      <c r="K2092" s="0" t="s">
        <v>30</v>
      </c>
      <c r="L2092" s="0" t="s">
        <v>31</v>
      </c>
      <c r="M2092" s="0" t="s">
        <v>140</v>
      </c>
      <c r="N2092" s="0" t="n">
        <v>577</v>
      </c>
      <c r="O2092" s="10" t="n">
        <v>0.385146932443604</v>
      </c>
      <c r="P2092" s="10" t="n">
        <v>0.143331421539187</v>
      </c>
      <c r="Q2092" s="0" t="str">
        <f aca="false">SUBSTITUTE(SUBSTITUTE($I2092,CHAR(61),""),CHAR(34),"")</f>
        <v>25-34</v>
      </c>
      <c r="R2092" s="0" t="str">
        <f aca="false">IF($D2092&lt;&gt;"","["&amp;$E2092&amp;"]"&amp;"|"&amp;$Q2092&amp;"|"&amp;$K2092&amp;"|"&amp;$G2092&amp;"|"&amp;IF($G2092="TX_CURR_SUBNAT.R","CY2022Q4",$M2092),"")</f>
        <v>[ir8wuHHzoSs]|25-34|Female|TX_CURR_SUBNAT.T_1|CY2023Q3</v>
      </c>
    </row>
    <row r="2093" customFormat="false" ht="15" hidden="false" customHeight="false" outlineLevel="0" collapsed="false">
      <c r="D2093" s="0" t="s">
        <v>81</v>
      </c>
      <c r="E2093" s="0" t="s">
        <v>82</v>
      </c>
      <c r="F2093" s="0" t="s">
        <v>83</v>
      </c>
      <c r="G2093" s="0" t="s">
        <v>146</v>
      </c>
      <c r="H2093" s="0" t="s">
        <v>147</v>
      </c>
      <c r="I2093" s="0" t="s">
        <v>43</v>
      </c>
      <c r="J2093" s="0" t="s">
        <v>44</v>
      </c>
      <c r="K2093" s="0" t="s">
        <v>30</v>
      </c>
      <c r="L2093" s="0" t="s">
        <v>31</v>
      </c>
      <c r="M2093" s="0" t="s">
        <v>140</v>
      </c>
      <c r="N2093" s="0" t="n">
        <v>1095</v>
      </c>
      <c r="O2093" s="10" t="n">
        <v>0.584487819578499</v>
      </c>
      <c r="P2093" s="10" t="n">
        <v>0.143331421539187</v>
      </c>
      <c r="Q2093" s="0" t="str">
        <f aca="false">SUBSTITUTE(SUBSTITUTE($I2093,CHAR(61),""),CHAR(34),"")</f>
        <v>35-49</v>
      </c>
      <c r="R2093" s="0" t="str">
        <f aca="false">IF($D2093&lt;&gt;"","["&amp;$E2093&amp;"]"&amp;"|"&amp;$Q2093&amp;"|"&amp;$K2093&amp;"|"&amp;$G2093&amp;"|"&amp;IF($G2093="TX_CURR_SUBNAT.R","CY2022Q4",$M2093),"")</f>
        <v>[ir8wuHHzoSs]|35-49|Female|TX_CURR_SUBNAT.T_1|CY2023Q3</v>
      </c>
    </row>
    <row r="2094" customFormat="false" ht="15" hidden="false" customHeight="false" outlineLevel="0" collapsed="false">
      <c r="D2094" s="0" t="s">
        <v>81</v>
      </c>
      <c r="E2094" s="0" t="s">
        <v>82</v>
      </c>
      <c r="F2094" s="0" t="s">
        <v>83</v>
      </c>
      <c r="G2094" s="0" t="s">
        <v>146</v>
      </c>
      <c r="H2094" s="0" t="s">
        <v>147</v>
      </c>
      <c r="I2094" s="0" t="s">
        <v>45</v>
      </c>
      <c r="J2094" s="0" t="s">
        <v>46</v>
      </c>
      <c r="K2094" s="0" t="s">
        <v>30</v>
      </c>
      <c r="L2094" s="0" t="s">
        <v>31</v>
      </c>
      <c r="M2094" s="0" t="s">
        <v>140</v>
      </c>
      <c r="N2094" s="0" t="n">
        <v>1236</v>
      </c>
      <c r="O2094" s="10" t="n">
        <v>0.495670703006908</v>
      </c>
      <c r="P2094" s="10" t="n">
        <v>0.143331421539187</v>
      </c>
      <c r="Q2094" s="0" t="str">
        <f aca="false">SUBSTITUTE(SUBSTITUTE($I2094,CHAR(61),""),CHAR(34),"")</f>
        <v>50+</v>
      </c>
      <c r="R2094" s="0" t="str">
        <f aca="false">IF($D2094&lt;&gt;"","["&amp;$E2094&amp;"]"&amp;"|"&amp;$Q2094&amp;"|"&amp;$K2094&amp;"|"&amp;$G2094&amp;"|"&amp;IF($G2094="TX_CURR_SUBNAT.R","CY2022Q4",$M2094),"")</f>
        <v>[ir8wuHHzoSs]|50+|Female|TX_CURR_SUBNAT.T_1|CY2023Q3</v>
      </c>
    </row>
    <row r="2095" customFormat="false" ht="15" hidden="false" customHeight="false" outlineLevel="0" collapsed="false">
      <c r="D2095" s="0" t="s">
        <v>81</v>
      </c>
      <c r="E2095" s="0" t="s">
        <v>82</v>
      </c>
      <c r="F2095" s="0" t="s">
        <v>83</v>
      </c>
      <c r="G2095" s="0" t="s">
        <v>146</v>
      </c>
      <c r="H2095" s="0" t="s">
        <v>147</v>
      </c>
      <c r="I2095" s="0" t="s">
        <v>28</v>
      </c>
      <c r="J2095" s="0" t="s">
        <v>29</v>
      </c>
      <c r="K2095" s="0" t="s">
        <v>48</v>
      </c>
      <c r="L2095" s="0" t="s">
        <v>49</v>
      </c>
      <c r="M2095" s="0" t="s">
        <v>140</v>
      </c>
      <c r="N2095" s="0" t="n">
        <v>954</v>
      </c>
      <c r="O2095" s="10" t="n">
        <v>0.756901888176799</v>
      </c>
      <c r="P2095" s="10" t="n">
        <v>0.143331421539187</v>
      </c>
      <c r="Q2095" s="0" t="str">
        <f aca="false">SUBSTITUTE(SUBSTITUTE($I2095,CHAR(61),""),CHAR(34),"")</f>
        <v>&lt;01</v>
      </c>
      <c r="R2095" s="0" t="str">
        <f aca="false">IF($D2095&lt;&gt;"","["&amp;$E2095&amp;"]"&amp;"|"&amp;$Q2095&amp;"|"&amp;$K2095&amp;"|"&amp;$G2095&amp;"|"&amp;IF($G2095="TX_CURR_SUBNAT.R","CY2022Q4",$M2095),"")</f>
        <v>[ir8wuHHzoSs]|&lt;01|Male|TX_CURR_SUBNAT.T_1|CY2023Q3</v>
      </c>
    </row>
    <row r="2096" customFormat="false" ht="15" hidden="false" customHeight="false" outlineLevel="0" collapsed="false">
      <c r="D2096" s="0" t="s">
        <v>81</v>
      </c>
      <c r="E2096" s="0" t="s">
        <v>82</v>
      </c>
      <c r="F2096" s="0" t="s">
        <v>83</v>
      </c>
      <c r="G2096" s="0" t="s">
        <v>146</v>
      </c>
      <c r="H2096" s="0" t="s">
        <v>147</v>
      </c>
      <c r="I2096" s="0" t="s">
        <v>33</v>
      </c>
      <c r="J2096" s="0" t="s">
        <v>34</v>
      </c>
      <c r="K2096" s="0" t="s">
        <v>48</v>
      </c>
      <c r="L2096" s="0" t="s">
        <v>49</v>
      </c>
      <c r="M2096" s="0" t="s">
        <v>140</v>
      </c>
      <c r="N2096" s="0" t="n">
        <v>1651</v>
      </c>
      <c r="O2096" s="10" t="n">
        <v>0.519886741880327</v>
      </c>
      <c r="P2096" s="10" t="n">
        <v>0.143331421539187</v>
      </c>
      <c r="Q2096" s="0" t="str">
        <f aca="false">SUBSTITUTE(SUBSTITUTE($I2096,CHAR(61),""),CHAR(34),"")</f>
        <v>01-09</v>
      </c>
      <c r="R2096" s="0" t="str">
        <f aca="false">IF($D2096&lt;&gt;"","["&amp;$E2096&amp;"]"&amp;"|"&amp;$Q2096&amp;"|"&amp;$K2096&amp;"|"&amp;$G2096&amp;"|"&amp;IF($G2096="TX_CURR_SUBNAT.R","CY2022Q4",$M2096),"")</f>
        <v>[ir8wuHHzoSs]|01-09|Male|TX_CURR_SUBNAT.T_1|CY2023Q3</v>
      </c>
    </row>
    <row r="2097" customFormat="false" ht="15" hidden="false" customHeight="false" outlineLevel="0" collapsed="false">
      <c r="D2097" s="0" t="s">
        <v>81</v>
      </c>
      <c r="E2097" s="0" t="s">
        <v>82</v>
      </c>
      <c r="F2097" s="0" t="s">
        <v>83</v>
      </c>
      <c r="G2097" s="0" t="s">
        <v>146</v>
      </c>
      <c r="H2097" s="0" t="s">
        <v>147</v>
      </c>
      <c r="I2097" s="0" t="s">
        <v>36</v>
      </c>
      <c r="J2097" s="0" t="s">
        <v>37</v>
      </c>
      <c r="K2097" s="0" t="s">
        <v>48</v>
      </c>
      <c r="L2097" s="0" t="s">
        <v>49</v>
      </c>
      <c r="M2097" s="0" t="s">
        <v>140</v>
      </c>
      <c r="N2097" s="0" t="n">
        <v>1419</v>
      </c>
      <c r="O2097" s="10" t="n">
        <v>0.169831252191216</v>
      </c>
      <c r="P2097" s="10" t="n">
        <v>0.143331421539187</v>
      </c>
      <c r="Q2097" s="0" t="str">
        <f aca="false">SUBSTITUTE(SUBSTITUTE($I2097,CHAR(61),""),CHAR(34),"")</f>
        <v>10-14</v>
      </c>
      <c r="R2097" s="0" t="str">
        <f aca="false">IF($D2097&lt;&gt;"","["&amp;$E2097&amp;"]"&amp;"|"&amp;$Q2097&amp;"|"&amp;$K2097&amp;"|"&amp;$G2097&amp;"|"&amp;IF($G2097="TX_CURR_SUBNAT.R","CY2022Q4",$M2097),"")</f>
        <v>[ir8wuHHzoSs]|10-14|Male|TX_CURR_SUBNAT.T_1|CY2023Q3</v>
      </c>
    </row>
    <row r="2098" customFormat="false" ht="15" hidden="false" customHeight="false" outlineLevel="0" collapsed="false">
      <c r="D2098" s="0" t="s">
        <v>81</v>
      </c>
      <c r="E2098" s="0" t="s">
        <v>82</v>
      </c>
      <c r="F2098" s="0" t="s">
        <v>83</v>
      </c>
      <c r="G2098" s="0" t="s">
        <v>146</v>
      </c>
      <c r="H2098" s="0" t="s">
        <v>147</v>
      </c>
      <c r="I2098" s="0" t="s">
        <v>38</v>
      </c>
      <c r="J2098" s="0" t="s">
        <v>39</v>
      </c>
      <c r="K2098" s="0" t="s">
        <v>48</v>
      </c>
      <c r="L2098" s="0" t="s">
        <v>49</v>
      </c>
      <c r="M2098" s="0" t="s">
        <v>140</v>
      </c>
      <c r="N2098" s="0" t="n">
        <v>1401</v>
      </c>
      <c r="O2098" s="10" t="n">
        <v>0.860904889879748</v>
      </c>
      <c r="P2098" s="10" t="n">
        <v>0.143331421539187</v>
      </c>
      <c r="Q2098" s="0" t="str">
        <f aca="false">SUBSTITUTE(SUBSTITUTE($I2098,CHAR(61),""),CHAR(34),"")</f>
        <v>15-24</v>
      </c>
      <c r="R2098" s="0" t="str">
        <f aca="false">IF($D2098&lt;&gt;"","["&amp;$E2098&amp;"]"&amp;"|"&amp;$Q2098&amp;"|"&amp;$K2098&amp;"|"&amp;$G2098&amp;"|"&amp;IF($G2098="TX_CURR_SUBNAT.R","CY2022Q4",$M2098),"")</f>
        <v>[ir8wuHHzoSs]|15-24|Male|TX_CURR_SUBNAT.T_1|CY2023Q3</v>
      </c>
    </row>
    <row r="2099" customFormat="false" ht="15" hidden="false" customHeight="false" outlineLevel="0" collapsed="false">
      <c r="D2099" s="0" t="s">
        <v>81</v>
      </c>
      <c r="E2099" s="0" t="s">
        <v>82</v>
      </c>
      <c r="F2099" s="0" t="s">
        <v>83</v>
      </c>
      <c r="G2099" s="0" t="s">
        <v>146</v>
      </c>
      <c r="H2099" s="0" t="s">
        <v>147</v>
      </c>
      <c r="I2099" s="0" t="s">
        <v>41</v>
      </c>
      <c r="J2099" s="0" t="s">
        <v>42</v>
      </c>
      <c r="K2099" s="0" t="s">
        <v>48</v>
      </c>
      <c r="L2099" s="0" t="s">
        <v>49</v>
      </c>
      <c r="M2099" s="0" t="s">
        <v>140</v>
      </c>
      <c r="N2099" s="0" t="n">
        <v>991</v>
      </c>
      <c r="O2099" s="10" t="n">
        <v>0.960422860458493</v>
      </c>
      <c r="P2099" s="10" t="n">
        <v>0.143331421539187</v>
      </c>
      <c r="Q2099" s="0" t="str">
        <f aca="false">SUBSTITUTE(SUBSTITUTE($I2099,CHAR(61),""),CHAR(34),"")</f>
        <v>25-34</v>
      </c>
      <c r="R2099" s="0" t="str">
        <f aca="false">IF($D2099&lt;&gt;"","["&amp;$E2099&amp;"]"&amp;"|"&amp;$Q2099&amp;"|"&amp;$K2099&amp;"|"&amp;$G2099&amp;"|"&amp;IF($G2099="TX_CURR_SUBNAT.R","CY2022Q4",$M2099),"")</f>
        <v>[ir8wuHHzoSs]|25-34|Male|TX_CURR_SUBNAT.T_1|CY2023Q3</v>
      </c>
    </row>
    <row r="2100" customFormat="false" ht="15" hidden="false" customHeight="false" outlineLevel="0" collapsed="false">
      <c r="D2100" s="0" t="s">
        <v>81</v>
      </c>
      <c r="E2100" s="0" t="s">
        <v>82</v>
      </c>
      <c r="F2100" s="0" t="s">
        <v>83</v>
      </c>
      <c r="G2100" s="0" t="s">
        <v>146</v>
      </c>
      <c r="H2100" s="0" t="s">
        <v>147</v>
      </c>
      <c r="I2100" s="0" t="s">
        <v>43</v>
      </c>
      <c r="J2100" s="0" t="s">
        <v>44</v>
      </c>
      <c r="K2100" s="0" t="s">
        <v>48</v>
      </c>
      <c r="L2100" s="0" t="s">
        <v>49</v>
      </c>
      <c r="M2100" s="0" t="s">
        <v>140</v>
      </c>
      <c r="N2100" s="0" t="n">
        <v>1985</v>
      </c>
      <c r="O2100" s="10" t="n">
        <v>0.438203208148479</v>
      </c>
      <c r="P2100" s="10" t="n">
        <v>0.143331421539187</v>
      </c>
      <c r="Q2100" s="0" t="str">
        <f aca="false">SUBSTITUTE(SUBSTITUTE($I2100,CHAR(61),""),CHAR(34),"")</f>
        <v>35-49</v>
      </c>
      <c r="R2100" s="0" t="str">
        <f aca="false">IF($D2100&lt;&gt;"","["&amp;$E2100&amp;"]"&amp;"|"&amp;$Q2100&amp;"|"&amp;$K2100&amp;"|"&amp;$G2100&amp;"|"&amp;IF($G2100="TX_CURR_SUBNAT.R","CY2022Q4",$M2100),"")</f>
        <v>[ir8wuHHzoSs]|35-49|Male|TX_CURR_SUBNAT.T_1|CY2023Q3</v>
      </c>
    </row>
    <row r="2101" customFormat="false" ht="15" hidden="false" customHeight="false" outlineLevel="0" collapsed="false">
      <c r="D2101" s="0" t="s">
        <v>81</v>
      </c>
      <c r="E2101" s="0" t="s">
        <v>82</v>
      </c>
      <c r="F2101" s="0" t="s">
        <v>83</v>
      </c>
      <c r="G2101" s="0" t="s">
        <v>146</v>
      </c>
      <c r="H2101" s="0" t="s">
        <v>147</v>
      </c>
      <c r="I2101" s="0" t="s">
        <v>45</v>
      </c>
      <c r="J2101" s="0" t="s">
        <v>46</v>
      </c>
      <c r="K2101" s="0" t="s">
        <v>48</v>
      </c>
      <c r="L2101" s="0" t="s">
        <v>49</v>
      </c>
      <c r="M2101" s="0" t="s">
        <v>140</v>
      </c>
      <c r="N2101" s="0" t="n">
        <v>1557</v>
      </c>
      <c r="O2101" s="10" t="n">
        <v>0.138410948216915</v>
      </c>
      <c r="P2101" s="10" t="n">
        <v>0.143331421539187</v>
      </c>
      <c r="Q2101" s="0" t="str">
        <f aca="false">SUBSTITUTE(SUBSTITUTE($I2101,CHAR(61),""),CHAR(34),"")</f>
        <v>50+</v>
      </c>
      <c r="R2101" s="0" t="str">
        <f aca="false">IF($D2101&lt;&gt;"","["&amp;$E2101&amp;"]"&amp;"|"&amp;$Q2101&amp;"|"&amp;$K2101&amp;"|"&amp;$G2101&amp;"|"&amp;IF($G2101="TX_CURR_SUBNAT.R","CY2022Q4",$M2101),"")</f>
        <v>[ir8wuHHzoSs]|50+|Male|TX_CURR_SUBNAT.T_1|CY2023Q3</v>
      </c>
    </row>
    <row r="2102" customFormat="false" ht="15" hidden="false" customHeight="false" outlineLevel="0" collapsed="false">
      <c r="D2102" s="0" t="s">
        <v>84</v>
      </c>
      <c r="E2102" s="0" t="s">
        <v>85</v>
      </c>
      <c r="F2102" s="0" t="s">
        <v>86</v>
      </c>
      <c r="G2102" s="0" t="s">
        <v>146</v>
      </c>
      <c r="H2102" s="0" t="s">
        <v>147</v>
      </c>
      <c r="I2102" s="0" t="s">
        <v>28</v>
      </c>
      <c r="J2102" s="0" t="s">
        <v>29</v>
      </c>
      <c r="K2102" s="0" t="s">
        <v>30</v>
      </c>
      <c r="L2102" s="0" t="s">
        <v>31</v>
      </c>
      <c r="M2102" s="0" t="s">
        <v>140</v>
      </c>
      <c r="N2102" s="0" t="n">
        <v>1987</v>
      </c>
      <c r="O2102" s="10" t="n">
        <v>0.0456885364837945</v>
      </c>
      <c r="P2102" s="10" t="n">
        <v>0.0297887143678963</v>
      </c>
      <c r="Q2102" s="0" t="str">
        <f aca="false">SUBSTITUTE(SUBSTITUTE($I2102,CHAR(61),""),CHAR(34),"")</f>
        <v>&lt;01</v>
      </c>
      <c r="R2102" s="0" t="str">
        <f aca="false">IF($D2102&lt;&gt;"","["&amp;$E2102&amp;"]"&amp;"|"&amp;$Q2102&amp;"|"&amp;$K2102&amp;"|"&amp;$G2102&amp;"|"&amp;IF($G2102="TX_CURR_SUBNAT.R","CY2022Q4",$M2102),"")</f>
        <v>[fyEoGEPERdI]|&lt;01|Female|TX_CURR_SUBNAT.T_1|CY2023Q3</v>
      </c>
    </row>
    <row r="2103" customFormat="false" ht="15" hidden="false" customHeight="false" outlineLevel="0" collapsed="false">
      <c r="D2103" s="0" t="s">
        <v>84</v>
      </c>
      <c r="E2103" s="0" t="s">
        <v>85</v>
      </c>
      <c r="F2103" s="0" t="s">
        <v>86</v>
      </c>
      <c r="G2103" s="0" t="s">
        <v>146</v>
      </c>
      <c r="H2103" s="0" t="s">
        <v>147</v>
      </c>
      <c r="I2103" s="0" t="s">
        <v>33</v>
      </c>
      <c r="J2103" s="0" t="s">
        <v>34</v>
      </c>
      <c r="K2103" s="0" t="s">
        <v>30</v>
      </c>
      <c r="L2103" s="0" t="s">
        <v>31</v>
      </c>
      <c r="M2103" s="0" t="s">
        <v>140</v>
      </c>
      <c r="N2103" s="0" t="n">
        <v>1934</v>
      </c>
      <c r="O2103" s="10" t="n">
        <v>0.420755409635603</v>
      </c>
      <c r="P2103" s="10" t="n">
        <v>0.0297887143678963</v>
      </c>
      <c r="Q2103" s="0" t="str">
        <f aca="false">SUBSTITUTE(SUBSTITUTE($I2103,CHAR(61),""),CHAR(34),"")</f>
        <v>01-09</v>
      </c>
      <c r="R2103" s="0" t="str">
        <f aca="false">IF($D2103&lt;&gt;"","["&amp;$E2103&amp;"]"&amp;"|"&amp;$Q2103&amp;"|"&amp;$K2103&amp;"|"&amp;$G2103&amp;"|"&amp;IF($G2103="TX_CURR_SUBNAT.R","CY2022Q4",$M2103),"")</f>
        <v>[fyEoGEPERdI]|01-09|Female|TX_CURR_SUBNAT.T_1|CY2023Q3</v>
      </c>
    </row>
    <row r="2104" customFormat="false" ht="15" hidden="false" customHeight="false" outlineLevel="0" collapsed="false">
      <c r="D2104" s="0" t="s">
        <v>84</v>
      </c>
      <c r="E2104" s="0" t="s">
        <v>85</v>
      </c>
      <c r="F2104" s="0" t="s">
        <v>86</v>
      </c>
      <c r="G2104" s="0" t="s">
        <v>146</v>
      </c>
      <c r="H2104" s="0" t="s">
        <v>147</v>
      </c>
      <c r="I2104" s="0" t="s">
        <v>36</v>
      </c>
      <c r="J2104" s="0" t="s">
        <v>37</v>
      </c>
      <c r="K2104" s="0" t="s">
        <v>30</v>
      </c>
      <c r="L2104" s="0" t="s">
        <v>31</v>
      </c>
      <c r="M2104" s="0" t="s">
        <v>140</v>
      </c>
      <c r="N2104" s="0" t="n">
        <v>1900</v>
      </c>
      <c r="O2104" s="10" t="n">
        <v>0.963725205976516</v>
      </c>
      <c r="P2104" s="10" t="n">
        <v>0.0297887143678963</v>
      </c>
      <c r="Q2104" s="0" t="str">
        <f aca="false">SUBSTITUTE(SUBSTITUTE($I2104,CHAR(61),""),CHAR(34),"")</f>
        <v>10-14</v>
      </c>
      <c r="R2104" s="0" t="str">
        <f aca="false">IF($D2104&lt;&gt;"","["&amp;$E2104&amp;"]"&amp;"|"&amp;$Q2104&amp;"|"&amp;$K2104&amp;"|"&amp;$G2104&amp;"|"&amp;IF($G2104="TX_CURR_SUBNAT.R","CY2022Q4",$M2104),"")</f>
        <v>[fyEoGEPERdI]|10-14|Female|TX_CURR_SUBNAT.T_1|CY2023Q3</v>
      </c>
    </row>
    <row r="2105" customFormat="false" ht="15" hidden="false" customHeight="false" outlineLevel="0" collapsed="false">
      <c r="D2105" s="0" t="s">
        <v>84</v>
      </c>
      <c r="E2105" s="0" t="s">
        <v>85</v>
      </c>
      <c r="F2105" s="0" t="s">
        <v>86</v>
      </c>
      <c r="G2105" s="0" t="s">
        <v>146</v>
      </c>
      <c r="H2105" s="0" t="s">
        <v>147</v>
      </c>
      <c r="I2105" s="0" t="s">
        <v>38</v>
      </c>
      <c r="J2105" s="0" t="s">
        <v>39</v>
      </c>
      <c r="K2105" s="0" t="s">
        <v>30</v>
      </c>
      <c r="L2105" s="0" t="s">
        <v>31</v>
      </c>
      <c r="M2105" s="0" t="s">
        <v>140</v>
      </c>
      <c r="N2105" s="0" t="n">
        <v>1673</v>
      </c>
      <c r="O2105" s="10" t="n">
        <v>0.5092106400989</v>
      </c>
      <c r="P2105" s="10" t="n">
        <v>0.0297887143678963</v>
      </c>
      <c r="Q2105" s="0" t="str">
        <f aca="false">SUBSTITUTE(SUBSTITUTE($I2105,CHAR(61),""),CHAR(34),"")</f>
        <v>15-24</v>
      </c>
      <c r="R2105" s="0" t="str">
        <f aca="false">IF($D2105&lt;&gt;"","["&amp;$E2105&amp;"]"&amp;"|"&amp;$Q2105&amp;"|"&amp;$K2105&amp;"|"&amp;$G2105&amp;"|"&amp;IF($G2105="TX_CURR_SUBNAT.R","CY2022Q4",$M2105),"")</f>
        <v>[fyEoGEPERdI]|15-24|Female|TX_CURR_SUBNAT.T_1|CY2023Q3</v>
      </c>
    </row>
    <row r="2106" customFormat="false" ht="15" hidden="false" customHeight="false" outlineLevel="0" collapsed="false">
      <c r="D2106" s="0" t="s">
        <v>84</v>
      </c>
      <c r="E2106" s="0" t="s">
        <v>85</v>
      </c>
      <c r="F2106" s="0" t="s">
        <v>86</v>
      </c>
      <c r="G2106" s="0" t="s">
        <v>146</v>
      </c>
      <c r="H2106" s="0" t="s">
        <v>147</v>
      </c>
      <c r="I2106" s="0" t="s">
        <v>41</v>
      </c>
      <c r="J2106" s="0" t="s">
        <v>42</v>
      </c>
      <c r="K2106" s="0" t="s">
        <v>30</v>
      </c>
      <c r="L2106" s="0" t="s">
        <v>31</v>
      </c>
      <c r="M2106" s="0" t="s">
        <v>140</v>
      </c>
      <c r="N2106" s="0" t="n">
        <v>1176</v>
      </c>
      <c r="O2106" s="10" t="n">
        <v>0.775607904652134</v>
      </c>
      <c r="P2106" s="10" t="n">
        <v>0.0297887143678963</v>
      </c>
      <c r="Q2106" s="0" t="str">
        <f aca="false">SUBSTITUTE(SUBSTITUTE($I2106,CHAR(61),""),CHAR(34),"")</f>
        <v>25-34</v>
      </c>
      <c r="R2106" s="0" t="str">
        <f aca="false">IF($D2106&lt;&gt;"","["&amp;$E2106&amp;"]"&amp;"|"&amp;$Q2106&amp;"|"&amp;$K2106&amp;"|"&amp;$G2106&amp;"|"&amp;IF($G2106="TX_CURR_SUBNAT.R","CY2022Q4",$M2106),"")</f>
        <v>[fyEoGEPERdI]|25-34|Female|TX_CURR_SUBNAT.T_1|CY2023Q3</v>
      </c>
    </row>
    <row r="2107" customFormat="false" ht="15" hidden="false" customHeight="false" outlineLevel="0" collapsed="false">
      <c r="D2107" s="0" t="s">
        <v>84</v>
      </c>
      <c r="E2107" s="0" t="s">
        <v>85</v>
      </c>
      <c r="F2107" s="0" t="s">
        <v>86</v>
      </c>
      <c r="G2107" s="0" t="s">
        <v>146</v>
      </c>
      <c r="H2107" s="0" t="s">
        <v>147</v>
      </c>
      <c r="I2107" s="0" t="s">
        <v>43</v>
      </c>
      <c r="J2107" s="0" t="s">
        <v>44</v>
      </c>
      <c r="K2107" s="0" t="s">
        <v>30</v>
      </c>
      <c r="L2107" s="0" t="s">
        <v>31</v>
      </c>
      <c r="M2107" s="0" t="s">
        <v>140</v>
      </c>
      <c r="N2107" s="0" t="n">
        <v>1370</v>
      </c>
      <c r="O2107" s="10" t="n">
        <v>0.809286139206961</v>
      </c>
      <c r="P2107" s="10" t="n">
        <v>0.0297887143678963</v>
      </c>
      <c r="Q2107" s="0" t="str">
        <f aca="false">SUBSTITUTE(SUBSTITUTE($I2107,CHAR(61),""),CHAR(34),"")</f>
        <v>35-49</v>
      </c>
      <c r="R2107" s="0" t="str">
        <f aca="false">IF($D2107&lt;&gt;"","["&amp;$E2107&amp;"]"&amp;"|"&amp;$Q2107&amp;"|"&amp;$K2107&amp;"|"&amp;$G2107&amp;"|"&amp;IF($G2107="TX_CURR_SUBNAT.R","CY2022Q4",$M2107),"")</f>
        <v>[fyEoGEPERdI]|35-49|Female|TX_CURR_SUBNAT.T_1|CY2023Q3</v>
      </c>
    </row>
    <row r="2108" customFormat="false" ht="15" hidden="false" customHeight="false" outlineLevel="0" collapsed="false">
      <c r="D2108" s="0" t="s">
        <v>84</v>
      </c>
      <c r="E2108" s="0" t="s">
        <v>85</v>
      </c>
      <c r="F2108" s="0" t="s">
        <v>86</v>
      </c>
      <c r="G2108" s="0" t="s">
        <v>146</v>
      </c>
      <c r="H2108" s="0" t="s">
        <v>147</v>
      </c>
      <c r="I2108" s="0" t="s">
        <v>45</v>
      </c>
      <c r="J2108" s="0" t="s">
        <v>46</v>
      </c>
      <c r="K2108" s="0" t="s">
        <v>30</v>
      </c>
      <c r="L2108" s="0" t="s">
        <v>31</v>
      </c>
      <c r="M2108" s="0" t="s">
        <v>140</v>
      </c>
      <c r="N2108" s="0" t="n">
        <v>1101</v>
      </c>
      <c r="O2108" s="10" t="n">
        <v>0.218080717371777</v>
      </c>
      <c r="P2108" s="10" t="n">
        <v>0.0297887143678963</v>
      </c>
      <c r="Q2108" s="0" t="str">
        <f aca="false">SUBSTITUTE(SUBSTITUTE($I2108,CHAR(61),""),CHAR(34),"")</f>
        <v>50+</v>
      </c>
      <c r="R2108" s="0" t="str">
        <f aca="false">IF($D2108&lt;&gt;"","["&amp;$E2108&amp;"]"&amp;"|"&amp;$Q2108&amp;"|"&amp;$K2108&amp;"|"&amp;$G2108&amp;"|"&amp;IF($G2108="TX_CURR_SUBNAT.R","CY2022Q4",$M2108),"")</f>
        <v>[fyEoGEPERdI]|50+|Female|TX_CURR_SUBNAT.T_1|CY2023Q3</v>
      </c>
    </row>
    <row r="2109" customFormat="false" ht="15" hidden="false" customHeight="false" outlineLevel="0" collapsed="false">
      <c r="D2109" s="0" t="s">
        <v>84</v>
      </c>
      <c r="E2109" s="0" t="s">
        <v>85</v>
      </c>
      <c r="F2109" s="0" t="s">
        <v>86</v>
      </c>
      <c r="G2109" s="0" t="s">
        <v>146</v>
      </c>
      <c r="H2109" s="0" t="s">
        <v>147</v>
      </c>
      <c r="I2109" s="0" t="s">
        <v>28</v>
      </c>
      <c r="J2109" s="0" t="s">
        <v>29</v>
      </c>
      <c r="K2109" s="0" t="s">
        <v>48</v>
      </c>
      <c r="L2109" s="0" t="s">
        <v>49</v>
      </c>
      <c r="M2109" s="0" t="s">
        <v>140</v>
      </c>
      <c r="N2109" s="0" t="n">
        <v>1047</v>
      </c>
      <c r="O2109" s="10" t="n">
        <v>0.804434484103695</v>
      </c>
      <c r="P2109" s="10" t="n">
        <v>0.0297887143678963</v>
      </c>
      <c r="Q2109" s="0" t="str">
        <f aca="false">SUBSTITUTE(SUBSTITUTE($I2109,CHAR(61),""),CHAR(34),"")</f>
        <v>&lt;01</v>
      </c>
      <c r="R2109" s="0" t="str">
        <f aca="false">IF($D2109&lt;&gt;"","["&amp;$E2109&amp;"]"&amp;"|"&amp;$Q2109&amp;"|"&amp;$K2109&amp;"|"&amp;$G2109&amp;"|"&amp;IF($G2109="TX_CURR_SUBNAT.R","CY2022Q4",$M2109),"")</f>
        <v>[fyEoGEPERdI]|&lt;01|Male|TX_CURR_SUBNAT.T_1|CY2023Q3</v>
      </c>
    </row>
    <row r="2110" customFormat="false" ht="15" hidden="false" customHeight="false" outlineLevel="0" collapsed="false">
      <c r="D2110" s="0" t="s">
        <v>84</v>
      </c>
      <c r="E2110" s="0" t="s">
        <v>85</v>
      </c>
      <c r="F2110" s="0" t="s">
        <v>86</v>
      </c>
      <c r="G2110" s="0" t="s">
        <v>146</v>
      </c>
      <c r="H2110" s="0" t="s">
        <v>147</v>
      </c>
      <c r="I2110" s="0" t="s">
        <v>33</v>
      </c>
      <c r="J2110" s="0" t="s">
        <v>34</v>
      </c>
      <c r="K2110" s="0" t="s">
        <v>48</v>
      </c>
      <c r="L2110" s="0" t="s">
        <v>49</v>
      </c>
      <c r="M2110" s="0" t="s">
        <v>140</v>
      </c>
      <c r="N2110" s="0" t="n">
        <v>948</v>
      </c>
      <c r="O2110" s="10" t="n">
        <v>0.020278584677726</v>
      </c>
      <c r="P2110" s="10" t="n">
        <v>0.0297887143678963</v>
      </c>
      <c r="Q2110" s="0" t="str">
        <f aca="false">SUBSTITUTE(SUBSTITUTE($I2110,CHAR(61),""),CHAR(34),"")</f>
        <v>01-09</v>
      </c>
      <c r="R2110" s="0" t="str">
        <f aca="false">IF($D2110&lt;&gt;"","["&amp;$E2110&amp;"]"&amp;"|"&amp;$Q2110&amp;"|"&amp;$K2110&amp;"|"&amp;$G2110&amp;"|"&amp;IF($G2110="TX_CURR_SUBNAT.R","CY2022Q4",$M2110),"")</f>
        <v>[fyEoGEPERdI]|01-09|Male|TX_CURR_SUBNAT.T_1|CY2023Q3</v>
      </c>
    </row>
    <row r="2111" customFormat="false" ht="15" hidden="false" customHeight="false" outlineLevel="0" collapsed="false">
      <c r="D2111" s="0" t="s">
        <v>84</v>
      </c>
      <c r="E2111" s="0" t="s">
        <v>85</v>
      </c>
      <c r="F2111" s="0" t="s">
        <v>86</v>
      </c>
      <c r="G2111" s="0" t="s">
        <v>146</v>
      </c>
      <c r="H2111" s="0" t="s">
        <v>147</v>
      </c>
      <c r="I2111" s="0" t="s">
        <v>36</v>
      </c>
      <c r="J2111" s="0" t="s">
        <v>37</v>
      </c>
      <c r="K2111" s="0" t="s">
        <v>48</v>
      </c>
      <c r="L2111" s="0" t="s">
        <v>49</v>
      </c>
      <c r="M2111" s="0" t="s">
        <v>140</v>
      </c>
      <c r="N2111" s="0" t="n">
        <v>982</v>
      </c>
      <c r="O2111" s="10" t="n">
        <v>0.283401351422071</v>
      </c>
      <c r="P2111" s="10" t="n">
        <v>0.0297887143678963</v>
      </c>
      <c r="Q2111" s="0" t="str">
        <f aca="false">SUBSTITUTE(SUBSTITUTE($I2111,CHAR(61),""),CHAR(34),"")</f>
        <v>10-14</v>
      </c>
      <c r="R2111" s="0" t="str">
        <f aca="false">IF($D2111&lt;&gt;"","["&amp;$E2111&amp;"]"&amp;"|"&amp;$Q2111&amp;"|"&amp;$K2111&amp;"|"&amp;$G2111&amp;"|"&amp;IF($G2111="TX_CURR_SUBNAT.R","CY2022Q4",$M2111),"")</f>
        <v>[fyEoGEPERdI]|10-14|Male|TX_CURR_SUBNAT.T_1|CY2023Q3</v>
      </c>
    </row>
    <row r="2112" customFormat="false" ht="15" hidden="false" customHeight="false" outlineLevel="0" collapsed="false">
      <c r="D2112" s="0" t="s">
        <v>84</v>
      </c>
      <c r="E2112" s="0" t="s">
        <v>85</v>
      </c>
      <c r="F2112" s="0" t="s">
        <v>86</v>
      </c>
      <c r="G2112" s="0" t="s">
        <v>146</v>
      </c>
      <c r="H2112" s="0" t="s">
        <v>147</v>
      </c>
      <c r="I2112" s="0" t="s">
        <v>38</v>
      </c>
      <c r="J2112" s="0" t="s">
        <v>39</v>
      </c>
      <c r="K2112" s="0" t="s">
        <v>48</v>
      </c>
      <c r="L2112" s="0" t="s">
        <v>49</v>
      </c>
      <c r="M2112" s="0" t="s">
        <v>140</v>
      </c>
      <c r="N2112" s="0" t="n">
        <v>505</v>
      </c>
      <c r="O2112" s="10" t="n">
        <v>0.303528445307165</v>
      </c>
      <c r="P2112" s="10" t="n">
        <v>0.0297887143678963</v>
      </c>
      <c r="Q2112" s="0" t="str">
        <f aca="false">SUBSTITUTE(SUBSTITUTE($I2112,CHAR(61),""),CHAR(34),"")</f>
        <v>15-24</v>
      </c>
      <c r="R2112" s="0" t="str">
        <f aca="false">IF($D2112&lt;&gt;"","["&amp;$E2112&amp;"]"&amp;"|"&amp;$Q2112&amp;"|"&amp;$K2112&amp;"|"&amp;$G2112&amp;"|"&amp;IF($G2112="TX_CURR_SUBNAT.R","CY2022Q4",$M2112),"")</f>
        <v>[fyEoGEPERdI]|15-24|Male|TX_CURR_SUBNAT.T_1|CY2023Q3</v>
      </c>
    </row>
    <row r="2113" customFormat="false" ht="15" hidden="false" customHeight="false" outlineLevel="0" collapsed="false">
      <c r="D2113" s="0" t="s">
        <v>84</v>
      </c>
      <c r="E2113" s="0" t="s">
        <v>85</v>
      </c>
      <c r="F2113" s="0" t="s">
        <v>86</v>
      </c>
      <c r="G2113" s="0" t="s">
        <v>146</v>
      </c>
      <c r="H2113" s="0" t="s">
        <v>147</v>
      </c>
      <c r="I2113" s="0" t="s">
        <v>41</v>
      </c>
      <c r="J2113" s="0" t="s">
        <v>42</v>
      </c>
      <c r="K2113" s="0" t="s">
        <v>48</v>
      </c>
      <c r="L2113" s="0" t="s">
        <v>49</v>
      </c>
      <c r="M2113" s="0" t="s">
        <v>140</v>
      </c>
      <c r="N2113" s="0" t="n">
        <v>1554</v>
      </c>
      <c r="O2113" s="10" t="n">
        <v>0.359552767360583</v>
      </c>
      <c r="P2113" s="10" t="n">
        <v>0.0297887143678963</v>
      </c>
      <c r="Q2113" s="0" t="str">
        <f aca="false">SUBSTITUTE(SUBSTITUTE($I2113,CHAR(61),""),CHAR(34),"")</f>
        <v>25-34</v>
      </c>
      <c r="R2113" s="0" t="str">
        <f aca="false">IF($D2113&lt;&gt;"","["&amp;$E2113&amp;"]"&amp;"|"&amp;$Q2113&amp;"|"&amp;$K2113&amp;"|"&amp;$G2113&amp;"|"&amp;IF($G2113="TX_CURR_SUBNAT.R","CY2022Q4",$M2113),"")</f>
        <v>[fyEoGEPERdI]|25-34|Male|TX_CURR_SUBNAT.T_1|CY2023Q3</v>
      </c>
    </row>
    <row r="2114" customFormat="false" ht="15" hidden="false" customHeight="false" outlineLevel="0" collapsed="false">
      <c r="D2114" s="0" t="s">
        <v>84</v>
      </c>
      <c r="E2114" s="0" t="s">
        <v>85</v>
      </c>
      <c r="F2114" s="0" t="s">
        <v>86</v>
      </c>
      <c r="G2114" s="0" t="s">
        <v>146</v>
      </c>
      <c r="H2114" s="0" t="s">
        <v>147</v>
      </c>
      <c r="I2114" s="0" t="s">
        <v>43</v>
      </c>
      <c r="J2114" s="0" t="s">
        <v>44</v>
      </c>
      <c r="K2114" s="0" t="s">
        <v>48</v>
      </c>
      <c r="L2114" s="0" t="s">
        <v>49</v>
      </c>
      <c r="M2114" s="0" t="s">
        <v>140</v>
      </c>
      <c r="N2114" s="0" t="n">
        <v>1018</v>
      </c>
      <c r="O2114" s="10" t="n">
        <v>0.0742548059206456</v>
      </c>
      <c r="P2114" s="10" t="n">
        <v>0.0297887143678963</v>
      </c>
      <c r="Q2114" s="0" t="str">
        <f aca="false">SUBSTITUTE(SUBSTITUTE($I2114,CHAR(61),""),CHAR(34),"")</f>
        <v>35-49</v>
      </c>
      <c r="R2114" s="0" t="str">
        <f aca="false">IF($D2114&lt;&gt;"","["&amp;$E2114&amp;"]"&amp;"|"&amp;$Q2114&amp;"|"&amp;$K2114&amp;"|"&amp;$G2114&amp;"|"&amp;IF($G2114="TX_CURR_SUBNAT.R","CY2022Q4",$M2114),"")</f>
        <v>[fyEoGEPERdI]|35-49|Male|TX_CURR_SUBNAT.T_1|CY2023Q3</v>
      </c>
    </row>
    <row r="2115" customFormat="false" ht="15" hidden="false" customHeight="false" outlineLevel="0" collapsed="false">
      <c r="D2115" s="0" t="s">
        <v>84</v>
      </c>
      <c r="E2115" s="0" t="s">
        <v>85</v>
      </c>
      <c r="F2115" s="0" t="s">
        <v>86</v>
      </c>
      <c r="G2115" s="0" t="s">
        <v>146</v>
      </c>
      <c r="H2115" s="0" t="s">
        <v>147</v>
      </c>
      <c r="I2115" s="0" t="s">
        <v>45</v>
      </c>
      <c r="J2115" s="0" t="s">
        <v>46</v>
      </c>
      <c r="K2115" s="0" t="s">
        <v>48</v>
      </c>
      <c r="L2115" s="0" t="s">
        <v>49</v>
      </c>
      <c r="M2115" s="0" t="s">
        <v>140</v>
      </c>
      <c r="N2115" s="0" t="n">
        <v>1689</v>
      </c>
      <c r="O2115" s="10" t="n">
        <v>0.554140175227076</v>
      </c>
      <c r="P2115" s="10" t="n">
        <v>0.0297887143678963</v>
      </c>
      <c r="Q2115" s="0" t="str">
        <f aca="false">SUBSTITUTE(SUBSTITUTE($I2115,CHAR(61),""),CHAR(34),"")</f>
        <v>50+</v>
      </c>
      <c r="R2115" s="0" t="str">
        <f aca="false">IF($D2115&lt;&gt;"","["&amp;$E2115&amp;"]"&amp;"|"&amp;$Q2115&amp;"|"&amp;$K2115&amp;"|"&amp;$G2115&amp;"|"&amp;IF($G2115="TX_CURR_SUBNAT.R","CY2022Q4",$M2115),"")</f>
        <v>[fyEoGEPERdI]|50+|Male|TX_CURR_SUBNAT.T_1|CY2023Q3</v>
      </c>
    </row>
    <row r="2116" customFormat="false" ht="15" hidden="false" customHeight="false" outlineLevel="0" collapsed="false">
      <c r="D2116" s="0" t="s">
        <v>87</v>
      </c>
      <c r="E2116" s="0" t="s">
        <v>88</v>
      </c>
      <c r="F2116" s="0" t="s">
        <v>89</v>
      </c>
      <c r="G2116" s="0" t="s">
        <v>146</v>
      </c>
      <c r="H2116" s="0" t="s">
        <v>147</v>
      </c>
      <c r="I2116" s="0" t="s">
        <v>28</v>
      </c>
      <c r="J2116" s="0" t="s">
        <v>29</v>
      </c>
      <c r="K2116" s="0" t="s">
        <v>30</v>
      </c>
      <c r="L2116" s="0" t="s">
        <v>31</v>
      </c>
      <c r="M2116" s="0" t="s">
        <v>140</v>
      </c>
      <c r="N2116" s="0" t="n">
        <v>1761</v>
      </c>
      <c r="O2116" s="10" t="n">
        <v>0.294224397977814</v>
      </c>
      <c r="P2116" s="10" t="n">
        <v>0.133336380822584</v>
      </c>
      <c r="Q2116" s="0" t="str">
        <f aca="false">SUBSTITUTE(SUBSTITUTE($I2116,CHAR(61),""),CHAR(34),"")</f>
        <v>&lt;01</v>
      </c>
      <c r="R2116" s="0" t="str">
        <f aca="false">IF($D2116&lt;&gt;"","["&amp;$E2116&amp;"]"&amp;"|"&amp;$Q2116&amp;"|"&amp;$K2116&amp;"|"&amp;$G2116&amp;"|"&amp;IF($G2116="TX_CURR_SUBNAT.R","CY2022Q4",$M2116),"")</f>
        <v>[cPtvxaZqXIH]|&lt;01|Female|TX_CURR_SUBNAT.T_1|CY2023Q3</v>
      </c>
    </row>
    <row r="2117" customFormat="false" ht="15" hidden="false" customHeight="false" outlineLevel="0" collapsed="false">
      <c r="D2117" s="0" t="s">
        <v>87</v>
      </c>
      <c r="E2117" s="0" t="s">
        <v>88</v>
      </c>
      <c r="F2117" s="0" t="s">
        <v>89</v>
      </c>
      <c r="G2117" s="0" t="s">
        <v>146</v>
      </c>
      <c r="H2117" s="0" t="s">
        <v>147</v>
      </c>
      <c r="I2117" s="0" t="s">
        <v>33</v>
      </c>
      <c r="J2117" s="0" t="s">
        <v>34</v>
      </c>
      <c r="K2117" s="0" t="s">
        <v>30</v>
      </c>
      <c r="L2117" s="0" t="s">
        <v>31</v>
      </c>
      <c r="M2117" s="0" t="s">
        <v>140</v>
      </c>
      <c r="N2117" s="0" t="n">
        <v>651</v>
      </c>
      <c r="O2117" s="10" t="n">
        <v>0.70936587639153</v>
      </c>
      <c r="P2117" s="10" t="n">
        <v>0.133336380822584</v>
      </c>
      <c r="Q2117" s="0" t="str">
        <f aca="false">SUBSTITUTE(SUBSTITUTE($I2117,CHAR(61),""),CHAR(34),"")</f>
        <v>01-09</v>
      </c>
      <c r="R2117" s="0" t="str">
        <f aca="false">IF($D2117&lt;&gt;"","["&amp;$E2117&amp;"]"&amp;"|"&amp;$Q2117&amp;"|"&amp;$K2117&amp;"|"&amp;$G2117&amp;"|"&amp;IF($G2117="TX_CURR_SUBNAT.R","CY2022Q4",$M2117),"")</f>
        <v>[cPtvxaZqXIH]|01-09|Female|TX_CURR_SUBNAT.T_1|CY2023Q3</v>
      </c>
    </row>
    <row r="2118" customFormat="false" ht="15" hidden="false" customHeight="false" outlineLevel="0" collapsed="false">
      <c r="D2118" s="0" t="s">
        <v>87</v>
      </c>
      <c r="E2118" s="0" t="s">
        <v>88</v>
      </c>
      <c r="F2118" s="0" t="s">
        <v>89</v>
      </c>
      <c r="G2118" s="0" t="s">
        <v>146</v>
      </c>
      <c r="H2118" s="0" t="s">
        <v>147</v>
      </c>
      <c r="I2118" s="0" t="s">
        <v>36</v>
      </c>
      <c r="J2118" s="0" t="s">
        <v>37</v>
      </c>
      <c r="K2118" s="0" t="s">
        <v>30</v>
      </c>
      <c r="L2118" s="0" t="s">
        <v>31</v>
      </c>
      <c r="M2118" s="0" t="s">
        <v>140</v>
      </c>
      <c r="N2118" s="0" t="n">
        <v>1850</v>
      </c>
      <c r="O2118" s="10" t="n">
        <v>0.608291144249961</v>
      </c>
      <c r="P2118" s="10" t="n">
        <v>0.133336380822584</v>
      </c>
      <c r="Q2118" s="0" t="str">
        <f aca="false">SUBSTITUTE(SUBSTITUTE($I2118,CHAR(61),""),CHAR(34),"")</f>
        <v>10-14</v>
      </c>
      <c r="R2118" s="0" t="str">
        <f aca="false">IF($D2118&lt;&gt;"","["&amp;$E2118&amp;"]"&amp;"|"&amp;$Q2118&amp;"|"&amp;$K2118&amp;"|"&amp;$G2118&amp;"|"&amp;IF($G2118="TX_CURR_SUBNAT.R","CY2022Q4",$M2118),"")</f>
        <v>[cPtvxaZqXIH]|10-14|Female|TX_CURR_SUBNAT.T_1|CY2023Q3</v>
      </c>
    </row>
    <row r="2119" customFormat="false" ht="15" hidden="false" customHeight="false" outlineLevel="0" collapsed="false">
      <c r="D2119" s="0" t="s">
        <v>87</v>
      </c>
      <c r="E2119" s="0" t="s">
        <v>88</v>
      </c>
      <c r="F2119" s="0" t="s">
        <v>89</v>
      </c>
      <c r="G2119" s="0" t="s">
        <v>146</v>
      </c>
      <c r="H2119" s="0" t="s">
        <v>147</v>
      </c>
      <c r="I2119" s="0" t="s">
        <v>38</v>
      </c>
      <c r="J2119" s="0" t="s">
        <v>39</v>
      </c>
      <c r="K2119" s="0" t="s">
        <v>30</v>
      </c>
      <c r="L2119" s="0" t="s">
        <v>31</v>
      </c>
      <c r="M2119" s="0" t="s">
        <v>140</v>
      </c>
      <c r="N2119" s="0" t="n">
        <v>1627</v>
      </c>
      <c r="O2119" s="10" t="n">
        <v>0.286639998899773</v>
      </c>
      <c r="P2119" s="10" t="n">
        <v>0.133336380822584</v>
      </c>
      <c r="Q2119" s="0" t="str">
        <f aca="false">SUBSTITUTE(SUBSTITUTE($I2119,CHAR(61),""),CHAR(34),"")</f>
        <v>15-24</v>
      </c>
      <c r="R2119" s="0" t="str">
        <f aca="false">IF($D2119&lt;&gt;"","["&amp;$E2119&amp;"]"&amp;"|"&amp;$Q2119&amp;"|"&amp;$K2119&amp;"|"&amp;$G2119&amp;"|"&amp;IF($G2119="TX_CURR_SUBNAT.R","CY2022Q4",$M2119),"")</f>
        <v>[cPtvxaZqXIH]|15-24|Female|TX_CURR_SUBNAT.T_1|CY2023Q3</v>
      </c>
    </row>
    <row r="2120" customFormat="false" ht="15" hidden="false" customHeight="false" outlineLevel="0" collapsed="false">
      <c r="D2120" s="0" t="s">
        <v>87</v>
      </c>
      <c r="E2120" s="0" t="s">
        <v>88</v>
      </c>
      <c r="F2120" s="0" t="s">
        <v>89</v>
      </c>
      <c r="G2120" s="0" t="s">
        <v>146</v>
      </c>
      <c r="H2120" s="0" t="s">
        <v>147</v>
      </c>
      <c r="I2120" s="0" t="s">
        <v>41</v>
      </c>
      <c r="J2120" s="0" t="s">
        <v>42</v>
      </c>
      <c r="K2120" s="0" t="s">
        <v>30</v>
      </c>
      <c r="L2120" s="0" t="s">
        <v>31</v>
      </c>
      <c r="M2120" s="0" t="s">
        <v>140</v>
      </c>
      <c r="N2120" s="0" t="n">
        <v>1672</v>
      </c>
      <c r="O2120" s="10" t="n">
        <v>0.524427969241515</v>
      </c>
      <c r="P2120" s="10" t="n">
        <v>0.133336380822584</v>
      </c>
      <c r="Q2120" s="0" t="str">
        <f aca="false">SUBSTITUTE(SUBSTITUTE($I2120,CHAR(61),""),CHAR(34),"")</f>
        <v>25-34</v>
      </c>
      <c r="R2120" s="0" t="str">
        <f aca="false">IF($D2120&lt;&gt;"","["&amp;$E2120&amp;"]"&amp;"|"&amp;$Q2120&amp;"|"&amp;$K2120&amp;"|"&amp;$G2120&amp;"|"&amp;IF($G2120="TX_CURR_SUBNAT.R","CY2022Q4",$M2120),"")</f>
        <v>[cPtvxaZqXIH]|25-34|Female|TX_CURR_SUBNAT.T_1|CY2023Q3</v>
      </c>
    </row>
    <row r="2121" customFormat="false" ht="15" hidden="false" customHeight="false" outlineLevel="0" collapsed="false">
      <c r="D2121" s="0" t="s">
        <v>87</v>
      </c>
      <c r="E2121" s="0" t="s">
        <v>88</v>
      </c>
      <c r="F2121" s="0" t="s">
        <v>89</v>
      </c>
      <c r="G2121" s="0" t="s">
        <v>146</v>
      </c>
      <c r="H2121" s="0" t="s">
        <v>147</v>
      </c>
      <c r="I2121" s="0" t="s">
        <v>43</v>
      </c>
      <c r="J2121" s="0" t="s">
        <v>44</v>
      </c>
      <c r="K2121" s="0" t="s">
        <v>30</v>
      </c>
      <c r="L2121" s="0" t="s">
        <v>31</v>
      </c>
      <c r="M2121" s="0" t="s">
        <v>140</v>
      </c>
      <c r="N2121" s="0" t="n">
        <v>1315</v>
      </c>
      <c r="O2121" s="10" t="n">
        <v>0.975231485906988</v>
      </c>
      <c r="P2121" s="10" t="n">
        <v>0.133336380822584</v>
      </c>
      <c r="Q2121" s="0" t="str">
        <f aca="false">SUBSTITUTE(SUBSTITUTE($I2121,CHAR(61),""),CHAR(34),"")</f>
        <v>35-49</v>
      </c>
      <c r="R2121" s="0" t="str">
        <f aca="false">IF($D2121&lt;&gt;"","["&amp;$E2121&amp;"]"&amp;"|"&amp;$Q2121&amp;"|"&amp;$K2121&amp;"|"&amp;$G2121&amp;"|"&amp;IF($G2121="TX_CURR_SUBNAT.R","CY2022Q4",$M2121),"")</f>
        <v>[cPtvxaZqXIH]|35-49|Female|TX_CURR_SUBNAT.T_1|CY2023Q3</v>
      </c>
    </row>
    <row r="2122" customFormat="false" ht="15" hidden="false" customHeight="false" outlineLevel="0" collapsed="false">
      <c r="D2122" s="0" t="s">
        <v>87</v>
      </c>
      <c r="E2122" s="0" t="s">
        <v>88</v>
      </c>
      <c r="F2122" s="0" t="s">
        <v>89</v>
      </c>
      <c r="G2122" s="0" t="s">
        <v>146</v>
      </c>
      <c r="H2122" s="0" t="s">
        <v>147</v>
      </c>
      <c r="I2122" s="0" t="s">
        <v>45</v>
      </c>
      <c r="J2122" s="0" t="s">
        <v>46</v>
      </c>
      <c r="K2122" s="0" t="s">
        <v>30</v>
      </c>
      <c r="L2122" s="0" t="s">
        <v>31</v>
      </c>
      <c r="M2122" s="0" t="s">
        <v>140</v>
      </c>
      <c r="N2122" s="0" t="n">
        <v>526</v>
      </c>
      <c r="O2122" s="10" t="n">
        <v>0.887015703832731</v>
      </c>
      <c r="P2122" s="10" t="n">
        <v>0.133336380822584</v>
      </c>
      <c r="Q2122" s="0" t="str">
        <f aca="false">SUBSTITUTE(SUBSTITUTE($I2122,CHAR(61),""),CHAR(34),"")</f>
        <v>50+</v>
      </c>
      <c r="R2122" s="0" t="str">
        <f aca="false">IF($D2122&lt;&gt;"","["&amp;$E2122&amp;"]"&amp;"|"&amp;$Q2122&amp;"|"&amp;$K2122&amp;"|"&amp;$G2122&amp;"|"&amp;IF($G2122="TX_CURR_SUBNAT.R","CY2022Q4",$M2122),"")</f>
        <v>[cPtvxaZqXIH]|50+|Female|TX_CURR_SUBNAT.T_1|CY2023Q3</v>
      </c>
    </row>
    <row r="2123" customFormat="false" ht="15" hidden="false" customHeight="false" outlineLevel="0" collapsed="false">
      <c r="D2123" s="0" t="s">
        <v>87</v>
      </c>
      <c r="E2123" s="0" t="s">
        <v>88</v>
      </c>
      <c r="F2123" s="0" t="s">
        <v>89</v>
      </c>
      <c r="G2123" s="0" t="s">
        <v>146</v>
      </c>
      <c r="H2123" s="0" t="s">
        <v>147</v>
      </c>
      <c r="I2123" s="0" t="s">
        <v>28</v>
      </c>
      <c r="J2123" s="0" t="s">
        <v>29</v>
      </c>
      <c r="K2123" s="0" t="s">
        <v>48</v>
      </c>
      <c r="L2123" s="0" t="s">
        <v>49</v>
      </c>
      <c r="M2123" s="0" t="s">
        <v>140</v>
      </c>
      <c r="N2123" s="0" t="n">
        <v>1520</v>
      </c>
      <c r="O2123" s="10" t="n">
        <v>0.177299987757578</v>
      </c>
      <c r="P2123" s="10" t="n">
        <v>0.133336380822584</v>
      </c>
      <c r="Q2123" s="0" t="str">
        <f aca="false">SUBSTITUTE(SUBSTITUTE($I2123,CHAR(61),""),CHAR(34),"")</f>
        <v>&lt;01</v>
      </c>
      <c r="R2123" s="0" t="str">
        <f aca="false">IF($D2123&lt;&gt;"","["&amp;$E2123&amp;"]"&amp;"|"&amp;$Q2123&amp;"|"&amp;$K2123&amp;"|"&amp;$G2123&amp;"|"&amp;IF($G2123="TX_CURR_SUBNAT.R","CY2022Q4",$M2123),"")</f>
        <v>[cPtvxaZqXIH]|&lt;01|Male|TX_CURR_SUBNAT.T_1|CY2023Q3</v>
      </c>
    </row>
    <row r="2124" customFormat="false" ht="15" hidden="false" customHeight="false" outlineLevel="0" collapsed="false">
      <c r="D2124" s="0" t="s">
        <v>87</v>
      </c>
      <c r="E2124" s="0" t="s">
        <v>88</v>
      </c>
      <c r="F2124" s="0" t="s">
        <v>89</v>
      </c>
      <c r="G2124" s="0" t="s">
        <v>146</v>
      </c>
      <c r="H2124" s="0" t="s">
        <v>147</v>
      </c>
      <c r="I2124" s="0" t="s">
        <v>33</v>
      </c>
      <c r="J2124" s="0" t="s">
        <v>34</v>
      </c>
      <c r="K2124" s="0" t="s">
        <v>48</v>
      </c>
      <c r="L2124" s="0" t="s">
        <v>49</v>
      </c>
      <c r="M2124" s="0" t="s">
        <v>140</v>
      </c>
      <c r="N2124" s="0" t="n">
        <v>1242</v>
      </c>
      <c r="O2124" s="10" t="n">
        <v>0.602415029425174</v>
      </c>
      <c r="P2124" s="10" t="n">
        <v>0.133336380822584</v>
      </c>
      <c r="Q2124" s="0" t="str">
        <f aca="false">SUBSTITUTE(SUBSTITUTE($I2124,CHAR(61),""),CHAR(34),"")</f>
        <v>01-09</v>
      </c>
      <c r="R2124" s="0" t="str">
        <f aca="false">IF($D2124&lt;&gt;"","["&amp;$E2124&amp;"]"&amp;"|"&amp;$Q2124&amp;"|"&amp;$K2124&amp;"|"&amp;$G2124&amp;"|"&amp;IF($G2124="TX_CURR_SUBNAT.R","CY2022Q4",$M2124),"")</f>
        <v>[cPtvxaZqXIH]|01-09|Male|TX_CURR_SUBNAT.T_1|CY2023Q3</v>
      </c>
    </row>
    <row r="2125" customFormat="false" ht="15" hidden="false" customHeight="false" outlineLevel="0" collapsed="false">
      <c r="D2125" s="0" t="s">
        <v>87</v>
      </c>
      <c r="E2125" s="0" t="s">
        <v>88</v>
      </c>
      <c r="F2125" s="0" t="s">
        <v>89</v>
      </c>
      <c r="G2125" s="0" t="s">
        <v>146</v>
      </c>
      <c r="H2125" s="0" t="s">
        <v>147</v>
      </c>
      <c r="I2125" s="0" t="s">
        <v>36</v>
      </c>
      <c r="J2125" s="0" t="s">
        <v>37</v>
      </c>
      <c r="K2125" s="0" t="s">
        <v>48</v>
      </c>
      <c r="L2125" s="0" t="s">
        <v>49</v>
      </c>
      <c r="M2125" s="0" t="s">
        <v>140</v>
      </c>
      <c r="N2125" s="0" t="n">
        <v>1447</v>
      </c>
      <c r="O2125" s="10" t="n">
        <v>0.522852967958897</v>
      </c>
      <c r="P2125" s="10" t="n">
        <v>0.133336380822584</v>
      </c>
      <c r="Q2125" s="0" t="str">
        <f aca="false">SUBSTITUTE(SUBSTITUTE($I2125,CHAR(61),""),CHAR(34),"")</f>
        <v>10-14</v>
      </c>
      <c r="R2125" s="0" t="str">
        <f aca="false">IF($D2125&lt;&gt;"","["&amp;$E2125&amp;"]"&amp;"|"&amp;$Q2125&amp;"|"&amp;$K2125&amp;"|"&amp;$G2125&amp;"|"&amp;IF($G2125="TX_CURR_SUBNAT.R","CY2022Q4",$M2125),"")</f>
        <v>[cPtvxaZqXIH]|10-14|Male|TX_CURR_SUBNAT.T_1|CY2023Q3</v>
      </c>
    </row>
    <row r="2126" customFormat="false" ht="15" hidden="false" customHeight="false" outlineLevel="0" collapsed="false">
      <c r="D2126" s="0" t="s">
        <v>87</v>
      </c>
      <c r="E2126" s="0" t="s">
        <v>88</v>
      </c>
      <c r="F2126" s="0" t="s">
        <v>89</v>
      </c>
      <c r="G2126" s="0" t="s">
        <v>146</v>
      </c>
      <c r="H2126" s="0" t="s">
        <v>147</v>
      </c>
      <c r="I2126" s="0" t="s">
        <v>38</v>
      </c>
      <c r="J2126" s="0" t="s">
        <v>39</v>
      </c>
      <c r="K2126" s="0" t="s">
        <v>48</v>
      </c>
      <c r="L2126" s="0" t="s">
        <v>49</v>
      </c>
      <c r="M2126" s="0" t="s">
        <v>140</v>
      </c>
      <c r="N2126" s="0" t="n">
        <v>1129</v>
      </c>
      <c r="O2126" s="10" t="n">
        <v>0.0361175374127924</v>
      </c>
      <c r="P2126" s="10" t="n">
        <v>0.133336380822584</v>
      </c>
      <c r="Q2126" s="0" t="str">
        <f aca="false">SUBSTITUTE(SUBSTITUTE($I2126,CHAR(61),""),CHAR(34),"")</f>
        <v>15-24</v>
      </c>
      <c r="R2126" s="0" t="str">
        <f aca="false">IF($D2126&lt;&gt;"","["&amp;$E2126&amp;"]"&amp;"|"&amp;$Q2126&amp;"|"&amp;$K2126&amp;"|"&amp;$G2126&amp;"|"&amp;IF($G2126="TX_CURR_SUBNAT.R","CY2022Q4",$M2126),"")</f>
        <v>[cPtvxaZqXIH]|15-24|Male|TX_CURR_SUBNAT.T_1|CY2023Q3</v>
      </c>
    </row>
    <row r="2127" customFormat="false" ht="15" hidden="false" customHeight="false" outlineLevel="0" collapsed="false">
      <c r="D2127" s="0" t="s">
        <v>87</v>
      </c>
      <c r="E2127" s="0" t="s">
        <v>88</v>
      </c>
      <c r="F2127" s="0" t="s">
        <v>89</v>
      </c>
      <c r="G2127" s="0" t="s">
        <v>146</v>
      </c>
      <c r="H2127" s="0" t="s">
        <v>147</v>
      </c>
      <c r="I2127" s="0" t="s">
        <v>41</v>
      </c>
      <c r="J2127" s="0" t="s">
        <v>42</v>
      </c>
      <c r="K2127" s="0" t="s">
        <v>48</v>
      </c>
      <c r="L2127" s="0" t="s">
        <v>49</v>
      </c>
      <c r="M2127" s="0" t="s">
        <v>140</v>
      </c>
      <c r="N2127" s="0" t="n">
        <v>1639</v>
      </c>
      <c r="O2127" s="10" t="n">
        <v>0.699812310747802</v>
      </c>
      <c r="P2127" s="10" t="n">
        <v>0.133336380822584</v>
      </c>
      <c r="Q2127" s="0" t="str">
        <f aca="false">SUBSTITUTE(SUBSTITUTE($I2127,CHAR(61),""),CHAR(34),"")</f>
        <v>25-34</v>
      </c>
      <c r="R2127" s="0" t="str">
        <f aca="false">IF($D2127&lt;&gt;"","["&amp;$E2127&amp;"]"&amp;"|"&amp;$Q2127&amp;"|"&amp;$K2127&amp;"|"&amp;$G2127&amp;"|"&amp;IF($G2127="TX_CURR_SUBNAT.R","CY2022Q4",$M2127),"")</f>
        <v>[cPtvxaZqXIH]|25-34|Male|TX_CURR_SUBNAT.T_1|CY2023Q3</v>
      </c>
    </row>
    <row r="2128" customFormat="false" ht="15" hidden="false" customHeight="false" outlineLevel="0" collapsed="false">
      <c r="D2128" s="0" t="s">
        <v>87</v>
      </c>
      <c r="E2128" s="0" t="s">
        <v>88</v>
      </c>
      <c r="F2128" s="0" t="s">
        <v>89</v>
      </c>
      <c r="G2128" s="0" t="s">
        <v>146</v>
      </c>
      <c r="H2128" s="0" t="s">
        <v>147</v>
      </c>
      <c r="I2128" s="0" t="s">
        <v>43</v>
      </c>
      <c r="J2128" s="0" t="s">
        <v>44</v>
      </c>
      <c r="K2128" s="0" t="s">
        <v>48</v>
      </c>
      <c r="L2128" s="0" t="s">
        <v>49</v>
      </c>
      <c r="M2128" s="0" t="s">
        <v>140</v>
      </c>
      <c r="N2128" s="0" t="n">
        <v>1607</v>
      </c>
      <c r="O2128" s="10" t="n">
        <v>0.606179875554517</v>
      </c>
      <c r="P2128" s="10" t="n">
        <v>0.133336380822584</v>
      </c>
      <c r="Q2128" s="0" t="str">
        <f aca="false">SUBSTITUTE(SUBSTITUTE($I2128,CHAR(61),""),CHAR(34),"")</f>
        <v>35-49</v>
      </c>
      <c r="R2128" s="0" t="str">
        <f aca="false">IF($D2128&lt;&gt;"","["&amp;$E2128&amp;"]"&amp;"|"&amp;$Q2128&amp;"|"&amp;$K2128&amp;"|"&amp;$G2128&amp;"|"&amp;IF($G2128="TX_CURR_SUBNAT.R","CY2022Q4",$M2128),"")</f>
        <v>[cPtvxaZqXIH]|35-49|Male|TX_CURR_SUBNAT.T_1|CY2023Q3</v>
      </c>
    </row>
    <row r="2129" customFormat="false" ht="15" hidden="false" customHeight="false" outlineLevel="0" collapsed="false">
      <c r="D2129" s="0" t="s">
        <v>87</v>
      </c>
      <c r="E2129" s="0" t="s">
        <v>88</v>
      </c>
      <c r="F2129" s="0" t="s">
        <v>89</v>
      </c>
      <c r="G2129" s="0" t="s">
        <v>146</v>
      </c>
      <c r="H2129" s="0" t="s">
        <v>147</v>
      </c>
      <c r="I2129" s="0" t="s">
        <v>45</v>
      </c>
      <c r="J2129" s="0" t="s">
        <v>46</v>
      </c>
      <c r="K2129" s="0" t="s">
        <v>48</v>
      </c>
      <c r="L2129" s="0" t="s">
        <v>49</v>
      </c>
      <c r="M2129" s="0" t="s">
        <v>140</v>
      </c>
      <c r="N2129" s="0" t="n">
        <v>1025</v>
      </c>
      <c r="O2129" s="10" t="n">
        <v>0.138960477663204</v>
      </c>
      <c r="P2129" s="10" t="n">
        <v>0.133336380822584</v>
      </c>
      <c r="Q2129" s="0" t="str">
        <f aca="false">SUBSTITUTE(SUBSTITUTE($I2129,CHAR(61),""),CHAR(34),"")</f>
        <v>50+</v>
      </c>
      <c r="R2129" s="0" t="str">
        <f aca="false">IF($D2129&lt;&gt;"","["&amp;$E2129&amp;"]"&amp;"|"&amp;$Q2129&amp;"|"&amp;$K2129&amp;"|"&amp;$G2129&amp;"|"&amp;IF($G2129="TX_CURR_SUBNAT.R","CY2022Q4",$M2129),"")</f>
        <v>[cPtvxaZqXIH]|50+|Male|TX_CURR_SUBNAT.T_1|CY2023Q3</v>
      </c>
    </row>
    <row r="2130" customFormat="false" ht="15" hidden="false" customHeight="false" outlineLevel="0" collapsed="false">
      <c r="D2130" s="0" t="s">
        <v>90</v>
      </c>
      <c r="E2130" s="0" t="s">
        <v>91</v>
      </c>
      <c r="F2130" s="0" t="s">
        <v>92</v>
      </c>
      <c r="G2130" s="0" t="s">
        <v>146</v>
      </c>
      <c r="H2130" s="0" t="s">
        <v>147</v>
      </c>
      <c r="I2130" s="0" t="s">
        <v>28</v>
      </c>
      <c r="J2130" s="0" t="s">
        <v>29</v>
      </c>
      <c r="K2130" s="0" t="s">
        <v>30</v>
      </c>
      <c r="L2130" s="0" t="s">
        <v>31</v>
      </c>
      <c r="M2130" s="0" t="s">
        <v>140</v>
      </c>
      <c r="N2130" s="0" t="n">
        <v>1468</v>
      </c>
      <c r="O2130" s="10" t="n">
        <v>0.376884571043774</v>
      </c>
      <c r="P2130" s="10" t="n">
        <v>0.719914150424302</v>
      </c>
      <c r="Q2130" s="0" t="str">
        <f aca="false">SUBSTITUTE(SUBSTITUTE($I2130,CHAR(61),""),CHAR(34),"")</f>
        <v>&lt;01</v>
      </c>
      <c r="R2130" s="0" t="str">
        <f aca="false">IF($D2130&lt;&gt;"","["&amp;$E2130&amp;"]"&amp;"|"&amp;$Q2130&amp;"|"&amp;$K2130&amp;"|"&amp;$G2130&amp;"|"&amp;IF($G2130="TX_CURR_SUBNAT.R","CY2022Q4",$M2130),"")</f>
        <v>[AZyWpGzhcaA]|&lt;01|Female|TX_CURR_SUBNAT.T_1|CY2023Q3</v>
      </c>
    </row>
    <row r="2131" customFormat="false" ht="15" hidden="false" customHeight="false" outlineLevel="0" collapsed="false">
      <c r="D2131" s="0" t="s">
        <v>90</v>
      </c>
      <c r="E2131" s="0" t="s">
        <v>91</v>
      </c>
      <c r="F2131" s="0" t="s">
        <v>92</v>
      </c>
      <c r="G2131" s="0" t="s">
        <v>146</v>
      </c>
      <c r="H2131" s="0" t="s">
        <v>147</v>
      </c>
      <c r="I2131" s="0" t="s">
        <v>33</v>
      </c>
      <c r="J2131" s="0" t="s">
        <v>34</v>
      </c>
      <c r="K2131" s="0" t="s">
        <v>30</v>
      </c>
      <c r="L2131" s="0" t="s">
        <v>31</v>
      </c>
      <c r="M2131" s="0" t="s">
        <v>140</v>
      </c>
      <c r="N2131" s="0" t="n">
        <v>1505</v>
      </c>
      <c r="O2131" s="10" t="n">
        <v>0.494987546466291</v>
      </c>
      <c r="P2131" s="10" t="n">
        <v>0.719914150424302</v>
      </c>
      <c r="Q2131" s="0" t="str">
        <f aca="false">SUBSTITUTE(SUBSTITUTE($I2131,CHAR(61),""),CHAR(34),"")</f>
        <v>01-09</v>
      </c>
      <c r="R2131" s="0" t="str">
        <f aca="false">IF($D2131&lt;&gt;"","["&amp;$E2131&amp;"]"&amp;"|"&amp;$Q2131&amp;"|"&amp;$K2131&amp;"|"&amp;$G2131&amp;"|"&amp;IF($G2131="TX_CURR_SUBNAT.R","CY2022Q4",$M2131),"")</f>
        <v>[AZyWpGzhcaA]|01-09|Female|TX_CURR_SUBNAT.T_1|CY2023Q3</v>
      </c>
    </row>
    <row r="2132" customFormat="false" ht="15" hidden="false" customHeight="false" outlineLevel="0" collapsed="false">
      <c r="D2132" s="0" t="s">
        <v>90</v>
      </c>
      <c r="E2132" s="0" t="s">
        <v>91</v>
      </c>
      <c r="F2132" s="0" t="s">
        <v>92</v>
      </c>
      <c r="G2132" s="0" t="s">
        <v>146</v>
      </c>
      <c r="H2132" s="0" t="s">
        <v>147</v>
      </c>
      <c r="I2132" s="0" t="s">
        <v>36</v>
      </c>
      <c r="J2132" s="0" t="s">
        <v>37</v>
      </c>
      <c r="K2132" s="0" t="s">
        <v>30</v>
      </c>
      <c r="L2132" s="0" t="s">
        <v>31</v>
      </c>
      <c r="M2132" s="0" t="s">
        <v>140</v>
      </c>
      <c r="N2132" s="0" t="n">
        <v>1484</v>
      </c>
      <c r="O2132" s="10" t="n">
        <v>0.393580962903798</v>
      </c>
      <c r="P2132" s="10" t="n">
        <v>0.719914150424302</v>
      </c>
      <c r="Q2132" s="0" t="str">
        <f aca="false">SUBSTITUTE(SUBSTITUTE($I2132,CHAR(61),""),CHAR(34),"")</f>
        <v>10-14</v>
      </c>
      <c r="R2132" s="0" t="str">
        <f aca="false">IF($D2132&lt;&gt;"","["&amp;$E2132&amp;"]"&amp;"|"&amp;$Q2132&amp;"|"&amp;$K2132&amp;"|"&amp;$G2132&amp;"|"&amp;IF($G2132="TX_CURR_SUBNAT.R","CY2022Q4",$M2132),"")</f>
        <v>[AZyWpGzhcaA]|10-14|Female|TX_CURR_SUBNAT.T_1|CY2023Q3</v>
      </c>
    </row>
    <row r="2133" customFormat="false" ht="15" hidden="false" customHeight="false" outlineLevel="0" collapsed="false">
      <c r="D2133" s="0" t="s">
        <v>90</v>
      </c>
      <c r="E2133" s="0" t="s">
        <v>91</v>
      </c>
      <c r="F2133" s="0" t="s">
        <v>92</v>
      </c>
      <c r="G2133" s="0" t="s">
        <v>146</v>
      </c>
      <c r="H2133" s="0" t="s">
        <v>147</v>
      </c>
      <c r="I2133" s="0" t="s">
        <v>38</v>
      </c>
      <c r="J2133" s="0" t="s">
        <v>39</v>
      </c>
      <c r="K2133" s="0" t="s">
        <v>30</v>
      </c>
      <c r="L2133" s="0" t="s">
        <v>31</v>
      </c>
      <c r="M2133" s="0" t="s">
        <v>140</v>
      </c>
      <c r="N2133" s="0" t="n">
        <v>652</v>
      </c>
      <c r="O2133" s="10" t="n">
        <v>0.08046790282242</v>
      </c>
      <c r="P2133" s="10" t="n">
        <v>0.719914150424302</v>
      </c>
      <c r="Q2133" s="0" t="str">
        <f aca="false">SUBSTITUTE(SUBSTITUTE($I2133,CHAR(61),""),CHAR(34),"")</f>
        <v>15-24</v>
      </c>
      <c r="R2133" s="0" t="str">
        <f aca="false">IF($D2133&lt;&gt;"","["&amp;$E2133&amp;"]"&amp;"|"&amp;$Q2133&amp;"|"&amp;$K2133&amp;"|"&amp;$G2133&amp;"|"&amp;IF($G2133="TX_CURR_SUBNAT.R","CY2022Q4",$M2133),"")</f>
        <v>[AZyWpGzhcaA]|15-24|Female|TX_CURR_SUBNAT.T_1|CY2023Q3</v>
      </c>
    </row>
    <row r="2134" customFormat="false" ht="15" hidden="false" customHeight="false" outlineLevel="0" collapsed="false">
      <c r="D2134" s="0" t="s">
        <v>90</v>
      </c>
      <c r="E2134" s="0" t="s">
        <v>91</v>
      </c>
      <c r="F2134" s="0" t="s">
        <v>92</v>
      </c>
      <c r="G2134" s="0" t="s">
        <v>146</v>
      </c>
      <c r="H2134" s="0" t="s">
        <v>147</v>
      </c>
      <c r="I2134" s="0" t="s">
        <v>41</v>
      </c>
      <c r="J2134" s="0" t="s">
        <v>42</v>
      </c>
      <c r="K2134" s="0" t="s">
        <v>30</v>
      </c>
      <c r="L2134" s="0" t="s">
        <v>31</v>
      </c>
      <c r="M2134" s="0" t="s">
        <v>140</v>
      </c>
      <c r="N2134" s="0" t="n">
        <v>638</v>
      </c>
      <c r="O2134" s="10" t="n">
        <v>0.78513545030728</v>
      </c>
      <c r="P2134" s="10" t="n">
        <v>0.719914150424302</v>
      </c>
      <c r="Q2134" s="0" t="str">
        <f aca="false">SUBSTITUTE(SUBSTITUTE($I2134,CHAR(61),""),CHAR(34),"")</f>
        <v>25-34</v>
      </c>
      <c r="R2134" s="0" t="str">
        <f aca="false">IF($D2134&lt;&gt;"","["&amp;$E2134&amp;"]"&amp;"|"&amp;$Q2134&amp;"|"&amp;$K2134&amp;"|"&amp;$G2134&amp;"|"&amp;IF($G2134="TX_CURR_SUBNAT.R","CY2022Q4",$M2134),"")</f>
        <v>[AZyWpGzhcaA]|25-34|Female|TX_CURR_SUBNAT.T_1|CY2023Q3</v>
      </c>
    </row>
    <row r="2135" customFormat="false" ht="15" hidden="false" customHeight="false" outlineLevel="0" collapsed="false">
      <c r="D2135" s="0" t="s">
        <v>90</v>
      </c>
      <c r="E2135" s="0" t="s">
        <v>91</v>
      </c>
      <c r="F2135" s="0" t="s">
        <v>92</v>
      </c>
      <c r="G2135" s="0" t="s">
        <v>146</v>
      </c>
      <c r="H2135" s="0" t="s">
        <v>147</v>
      </c>
      <c r="I2135" s="0" t="s">
        <v>43</v>
      </c>
      <c r="J2135" s="0" t="s">
        <v>44</v>
      </c>
      <c r="K2135" s="0" t="s">
        <v>30</v>
      </c>
      <c r="L2135" s="0" t="s">
        <v>31</v>
      </c>
      <c r="M2135" s="0" t="s">
        <v>140</v>
      </c>
      <c r="N2135" s="0" t="n">
        <v>1981</v>
      </c>
      <c r="O2135" s="10" t="n">
        <v>0.51586973736994</v>
      </c>
      <c r="P2135" s="10" t="n">
        <v>0.719914150424302</v>
      </c>
      <c r="Q2135" s="0" t="str">
        <f aca="false">SUBSTITUTE(SUBSTITUTE($I2135,CHAR(61),""),CHAR(34),"")</f>
        <v>35-49</v>
      </c>
      <c r="R2135" s="0" t="str">
        <f aca="false">IF($D2135&lt;&gt;"","["&amp;$E2135&amp;"]"&amp;"|"&amp;$Q2135&amp;"|"&amp;$K2135&amp;"|"&amp;$G2135&amp;"|"&amp;IF($G2135="TX_CURR_SUBNAT.R","CY2022Q4",$M2135),"")</f>
        <v>[AZyWpGzhcaA]|35-49|Female|TX_CURR_SUBNAT.T_1|CY2023Q3</v>
      </c>
    </row>
    <row r="2136" customFormat="false" ht="15" hidden="false" customHeight="false" outlineLevel="0" collapsed="false">
      <c r="D2136" s="0" t="s">
        <v>90</v>
      </c>
      <c r="E2136" s="0" t="s">
        <v>91</v>
      </c>
      <c r="F2136" s="0" t="s">
        <v>92</v>
      </c>
      <c r="G2136" s="0" t="s">
        <v>146</v>
      </c>
      <c r="H2136" s="0" t="s">
        <v>147</v>
      </c>
      <c r="I2136" s="0" t="s">
        <v>45</v>
      </c>
      <c r="J2136" s="0" t="s">
        <v>46</v>
      </c>
      <c r="K2136" s="0" t="s">
        <v>30</v>
      </c>
      <c r="L2136" s="0" t="s">
        <v>31</v>
      </c>
      <c r="M2136" s="0" t="s">
        <v>140</v>
      </c>
      <c r="N2136" s="0" t="n">
        <v>962</v>
      </c>
      <c r="O2136" s="10" t="n">
        <v>0.366227039601654</v>
      </c>
      <c r="P2136" s="10" t="n">
        <v>0.719914150424302</v>
      </c>
      <c r="Q2136" s="0" t="str">
        <f aca="false">SUBSTITUTE(SUBSTITUTE($I2136,CHAR(61),""),CHAR(34),"")</f>
        <v>50+</v>
      </c>
      <c r="R2136" s="0" t="str">
        <f aca="false">IF($D2136&lt;&gt;"","["&amp;$E2136&amp;"]"&amp;"|"&amp;$Q2136&amp;"|"&amp;$K2136&amp;"|"&amp;$G2136&amp;"|"&amp;IF($G2136="TX_CURR_SUBNAT.R","CY2022Q4",$M2136),"")</f>
        <v>[AZyWpGzhcaA]|50+|Female|TX_CURR_SUBNAT.T_1|CY2023Q3</v>
      </c>
    </row>
    <row r="2137" customFormat="false" ht="15" hidden="false" customHeight="false" outlineLevel="0" collapsed="false">
      <c r="D2137" s="0" t="s">
        <v>90</v>
      </c>
      <c r="E2137" s="0" t="s">
        <v>91</v>
      </c>
      <c r="F2137" s="0" t="s">
        <v>92</v>
      </c>
      <c r="G2137" s="0" t="s">
        <v>146</v>
      </c>
      <c r="H2137" s="0" t="s">
        <v>147</v>
      </c>
      <c r="I2137" s="0" t="s">
        <v>28</v>
      </c>
      <c r="J2137" s="0" t="s">
        <v>29</v>
      </c>
      <c r="K2137" s="0" t="s">
        <v>48</v>
      </c>
      <c r="L2137" s="0" t="s">
        <v>49</v>
      </c>
      <c r="M2137" s="0" t="s">
        <v>140</v>
      </c>
      <c r="N2137" s="0" t="n">
        <v>1352</v>
      </c>
      <c r="O2137" s="10" t="n">
        <v>0.811283477116376</v>
      </c>
      <c r="P2137" s="10" t="n">
        <v>0.719914150424302</v>
      </c>
      <c r="Q2137" s="0" t="str">
        <f aca="false">SUBSTITUTE(SUBSTITUTE($I2137,CHAR(61),""),CHAR(34),"")</f>
        <v>&lt;01</v>
      </c>
      <c r="R2137" s="0" t="str">
        <f aca="false">IF($D2137&lt;&gt;"","["&amp;$E2137&amp;"]"&amp;"|"&amp;$Q2137&amp;"|"&amp;$K2137&amp;"|"&amp;$G2137&amp;"|"&amp;IF($G2137="TX_CURR_SUBNAT.R","CY2022Q4",$M2137),"")</f>
        <v>[AZyWpGzhcaA]|&lt;01|Male|TX_CURR_SUBNAT.T_1|CY2023Q3</v>
      </c>
    </row>
    <row r="2138" customFormat="false" ht="15" hidden="false" customHeight="false" outlineLevel="0" collapsed="false">
      <c r="D2138" s="0" t="s">
        <v>90</v>
      </c>
      <c r="E2138" s="0" t="s">
        <v>91</v>
      </c>
      <c r="F2138" s="0" t="s">
        <v>92</v>
      </c>
      <c r="G2138" s="0" t="s">
        <v>146</v>
      </c>
      <c r="H2138" s="0" t="s">
        <v>147</v>
      </c>
      <c r="I2138" s="0" t="s">
        <v>33</v>
      </c>
      <c r="J2138" s="0" t="s">
        <v>34</v>
      </c>
      <c r="K2138" s="0" t="s">
        <v>48</v>
      </c>
      <c r="L2138" s="0" t="s">
        <v>49</v>
      </c>
      <c r="M2138" s="0" t="s">
        <v>140</v>
      </c>
      <c r="N2138" s="0" t="n">
        <v>1713</v>
      </c>
      <c r="O2138" s="10" t="n">
        <v>0.717958699911833</v>
      </c>
      <c r="P2138" s="10" t="n">
        <v>0.719914150424302</v>
      </c>
      <c r="Q2138" s="0" t="str">
        <f aca="false">SUBSTITUTE(SUBSTITUTE($I2138,CHAR(61),""),CHAR(34),"")</f>
        <v>01-09</v>
      </c>
      <c r="R2138" s="0" t="str">
        <f aca="false">IF($D2138&lt;&gt;"","["&amp;$E2138&amp;"]"&amp;"|"&amp;$Q2138&amp;"|"&amp;$K2138&amp;"|"&amp;$G2138&amp;"|"&amp;IF($G2138="TX_CURR_SUBNAT.R","CY2022Q4",$M2138),"")</f>
        <v>[AZyWpGzhcaA]|01-09|Male|TX_CURR_SUBNAT.T_1|CY2023Q3</v>
      </c>
    </row>
    <row r="2139" customFormat="false" ht="15" hidden="false" customHeight="false" outlineLevel="0" collapsed="false">
      <c r="D2139" s="0" t="s">
        <v>90</v>
      </c>
      <c r="E2139" s="0" t="s">
        <v>91</v>
      </c>
      <c r="F2139" s="0" t="s">
        <v>92</v>
      </c>
      <c r="G2139" s="0" t="s">
        <v>146</v>
      </c>
      <c r="H2139" s="0" t="s">
        <v>147</v>
      </c>
      <c r="I2139" s="0" t="s">
        <v>36</v>
      </c>
      <c r="J2139" s="0" t="s">
        <v>37</v>
      </c>
      <c r="K2139" s="0" t="s">
        <v>48</v>
      </c>
      <c r="L2139" s="0" t="s">
        <v>49</v>
      </c>
      <c r="M2139" s="0" t="s">
        <v>140</v>
      </c>
      <c r="N2139" s="0" t="n">
        <v>690</v>
      </c>
      <c r="O2139" s="10" t="n">
        <v>0.465257953619584</v>
      </c>
      <c r="P2139" s="10" t="n">
        <v>0.719914150424302</v>
      </c>
      <c r="Q2139" s="0" t="str">
        <f aca="false">SUBSTITUTE(SUBSTITUTE($I2139,CHAR(61),""),CHAR(34),"")</f>
        <v>10-14</v>
      </c>
      <c r="R2139" s="0" t="str">
        <f aca="false">IF($D2139&lt;&gt;"","["&amp;$E2139&amp;"]"&amp;"|"&amp;$Q2139&amp;"|"&amp;$K2139&amp;"|"&amp;$G2139&amp;"|"&amp;IF($G2139="TX_CURR_SUBNAT.R","CY2022Q4",$M2139),"")</f>
        <v>[AZyWpGzhcaA]|10-14|Male|TX_CURR_SUBNAT.T_1|CY2023Q3</v>
      </c>
    </row>
    <row r="2140" customFormat="false" ht="15" hidden="false" customHeight="false" outlineLevel="0" collapsed="false">
      <c r="D2140" s="0" t="s">
        <v>90</v>
      </c>
      <c r="E2140" s="0" t="s">
        <v>91</v>
      </c>
      <c r="F2140" s="0" t="s">
        <v>92</v>
      </c>
      <c r="G2140" s="0" t="s">
        <v>146</v>
      </c>
      <c r="H2140" s="0" t="s">
        <v>147</v>
      </c>
      <c r="I2140" s="0" t="s">
        <v>38</v>
      </c>
      <c r="J2140" s="0" t="s">
        <v>39</v>
      </c>
      <c r="K2140" s="0" t="s">
        <v>48</v>
      </c>
      <c r="L2140" s="0" t="s">
        <v>49</v>
      </c>
      <c r="M2140" s="0" t="s">
        <v>140</v>
      </c>
      <c r="N2140" s="0" t="n">
        <v>547</v>
      </c>
      <c r="O2140" s="10" t="n">
        <v>0.668610315071419</v>
      </c>
      <c r="P2140" s="10" t="n">
        <v>0.719914150424302</v>
      </c>
      <c r="Q2140" s="0" t="str">
        <f aca="false">SUBSTITUTE(SUBSTITUTE($I2140,CHAR(61),""),CHAR(34),"")</f>
        <v>15-24</v>
      </c>
      <c r="R2140" s="0" t="str">
        <f aca="false">IF($D2140&lt;&gt;"","["&amp;$E2140&amp;"]"&amp;"|"&amp;$Q2140&amp;"|"&amp;$K2140&amp;"|"&amp;$G2140&amp;"|"&amp;IF($G2140="TX_CURR_SUBNAT.R","CY2022Q4",$M2140),"")</f>
        <v>[AZyWpGzhcaA]|15-24|Male|TX_CURR_SUBNAT.T_1|CY2023Q3</v>
      </c>
    </row>
    <row r="2141" customFormat="false" ht="15" hidden="false" customHeight="false" outlineLevel="0" collapsed="false">
      <c r="D2141" s="0" t="s">
        <v>90</v>
      </c>
      <c r="E2141" s="0" t="s">
        <v>91</v>
      </c>
      <c r="F2141" s="0" t="s">
        <v>92</v>
      </c>
      <c r="G2141" s="0" t="s">
        <v>146</v>
      </c>
      <c r="H2141" s="0" t="s">
        <v>147</v>
      </c>
      <c r="I2141" s="0" t="s">
        <v>41</v>
      </c>
      <c r="J2141" s="0" t="s">
        <v>42</v>
      </c>
      <c r="K2141" s="0" t="s">
        <v>48</v>
      </c>
      <c r="L2141" s="0" t="s">
        <v>49</v>
      </c>
      <c r="M2141" s="0" t="s">
        <v>140</v>
      </c>
      <c r="N2141" s="0" t="n">
        <v>925</v>
      </c>
      <c r="O2141" s="10" t="n">
        <v>0.743280942318961</v>
      </c>
      <c r="P2141" s="10" t="n">
        <v>0.719914150424302</v>
      </c>
      <c r="Q2141" s="0" t="str">
        <f aca="false">SUBSTITUTE(SUBSTITUTE($I2141,CHAR(61),""),CHAR(34),"")</f>
        <v>25-34</v>
      </c>
      <c r="R2141" s="0" t="str">
        <f aca="false">IF($D2141&lt;&gt;"","["&amp;$E2141&amp;"]"&amp;"|"&amp;$Q2141&amp;"|"&amp;$K2141&amp;"|"&amp;$G2141&amp;"|"&amp;IF($G2141="TX_CURR_SUBNAT.R","CY2022Q4",$M2141),"")</f>
        <v>[AZyWpGzhcaA]|25-34|Male|TX_CURR_SUBNAT.T_1|CY2023Q3</v>
      </c>
    </row>
    <row r="2142" customFormat="false" ht="15" hidden="false" customHeight="false" outlineLevel="0" collapsed="false">
      <c r="D2142" s="0" t="s">
        <v>90</v>
      </c>
      <c r="E2142" s="0" t="s">
        <v>91</v>
      </c>
      <c r="F2142" s="0" t="s">
        <v>92</v>
      </c>
      <c r="G2142" s="0" t="s">
        <v>146</v>
      </c>
      <c r="H2142" s="0" t="s">
        <v>147</v>
      </c>
      <c r="I2142" s="0" t="s">
        <v>43</v>
      </c>
      <c r="J2142" s="0" t="s">
        <v>44</v>
      </c>
      <c r="K2142" s="0" t="s">
        <v>48</v>
      </c>
      <c r="L2142" s="0" t="s">
        <v>49</v>
      </c>
      <c r="M2142" s="0" t="s">
        <v>140</v>
      </c>
      <c r="N2142" s="0" t="n">
        <v>1134</v>
      </c>
      <c r="O2142" s="10" t="n">
        <v>0.829192284494638</v>
      </c>
      <c r="P2142" s="10" t="n">
        <v>0.719914150424302</v>
      </c>
      <c r="Q2142" s="0" t="str">
        <f aca="false">SUBSTITUTE(SUBSTITUTE($I2142,CHAR(61),""),CHAR(34),"")</f>
        <v>35-49</v>
      </c>
      <c r="R2142" s="0" t="str">
        <f aca="false">IF($D2142&lt;&gt;"","["&amp;$E2142&amp;"]"&amp;"|"&amp;$Q2142&amp;"|"&amp;$K2142&amp;"|"&amp;$G2142&amp;"|"&amp;IF($G2142="TX_CURR_SUBNAT.R","CY2022Q4",$M2142),"")</f>
        <v>[AZyWpGzhcaA]|35-49|Male|TX_CURR_SUBNAT.T_1|CY2023Q3</v>
      </c>
    </row>
    <row r="2143" customFormat="false" ht="15" hidden="false" customHeight="false" outlineLevel="0" collapsed="false">
      <c r="D2143" s="0" t="s">
        <v>90</v>
      </c>
      <c r="E2143" s="0" t="s">
        <v>91</v>
      </c>
      <c r="F2143" s="0" t="s">
        <v>92</v>
      </c>
      <c r="G2143" s="0" t="s">
        <v>146</v>
      </c>
      <c r="H2143" s="0" t="s">
        <v>147</v>
      </c>
      <c r="I2143" s="0" t="s">
        <v>45</v>
      </c>
      <c r="J2143" s="0" t="s">
        <v>46</v>
      </c>
      <c r="K2143" s="0" t="s">
        <v>48</v>
      </c>
      <c r="L2143" s="0" t="s">
        <v>49</v>
      </c>
      <c r="M2143" s="0" t="s">
        <v>140</v>
      </c>
      <c r="N2143" s="0" t="n">
        <v>1157</v>
      </c>
      <c r="O2143" s="10" t="n">
        <v>0.238419564906508</v>
      </c>
      <c r="P2143" s="10" t="n">
        <v>0.719914150424302</v>
      </c>
      <c r="Q2143" s="0" t="str">
        <f aca="false">SUBSTITUTE(SUBSTITUTE($I2143,CHAR(61),""),CHAR(34),"")</f>
        <v>50+</v>
      </c>
      <c r="R2143" s="0" t="str">
        <f aca="false">IF($D2143&lt;&gt;"","["&amp;$E2143&amp;"]"&amp;"|"&amp;$Q2143&amp;"|"&amp;$K2143&amp;"|"&amp;$G2143&amp;"|"&amp;IF($G2143="TX_CURR_SUBNAT.R","CY2022Q4",$M2143),"")</f>
        <v>[AZyWpGzhcaA]|50+|Male|TX_CURR_SUBNAT.T_1|CY2023Q3</v>
      </c>
    </row>
    <row r="2144" customFormat="false" ht="15" hidden="false" customHeight="false" outlineLevel="0" collapsed="false">
      <c r="D2144" s="0" t="s">
        <v>93</v>
      </c>
      <c r="E2144" s="0" t="s">
        <v>94</v>
      </c>
      <c r="F2144" s="0" t="s">
        <v>95</v>
      </c>
      <c r="G2144" s="0" t="s">
        <v>146</v>
      </c>
      <c r="H2144" s="0" t="s">
        <v>147</v>
      </c>
      <c r="I2144" s="0" t="s">
        <v>28</v>
      </c>
      <c r="J2144" s="0" t="s">
        <v>29</v>
      </c>
      <c r="K2144" s="0" t="s">
        <v>30</v>
      </c>
      <c r="L2144" s="0" t="s">
        <v>31</v>
      </c>
      <c r="M2144" s="0" t="s">
        <v>140</v>
      </c>
      <c r="N2144" s="0" t="n">
        <v>1009</v>
      </c>
      <c r="O2144" s="10" t="n">
        <v>0.930012463824823</v>
      </c>
      <c r="P2144" s="10" t="n">
        <v>0.362272296566516</v>
      </c>
      <c r="Q2144" s="0" t="str">
        <f aca="false">SUBSTITUTE(SUBSTITUTE($I2144,CHAR(61),""),CHAR(34),"")</f>
        <v>&lt;01</v>
      </c>
      <c r="R2144" s="0" t="str">
        <f aca="false">IF($D2144&lt;&gt;"","["&amp;$E2144&amp;"]"&amp;"|"&amp;$Q2144&amp;"|"&amp;$K2144&amp;"|"&amp;$G2144&amp;"|"&amp;IF($G2144="TX_CURR_SUBNAT.R","CY2022Q4",$M2144),"")</f>
        <v>[umc2n1Z4wNv]|&lt;01|Female|TX_CURR_SUBNAT.T_1|CY2023Q3</v>
      </c>
    </row>
    <row r="2145" customFormat="false" ht="15" hidden="false" customHeight="false" outlineLevel="0" collapsed="false">
      <c r="D2145" s="0" t="s">
        <v>93</v>
      </c>
      <c r="E2145" s="0" t="s">
        <v>94</v>
      </c>
      <c r="F2145" s="0" t="s">
        <v>95</v>
      </c>
      <c r="G2145" s="0" t="s">
        <v>146</v>
      </c>
      <c r="H2145" s="0" t="s">
        <v>147</v>
      </c>
      <c r="I2145" s="0" t="s">
        <v>33</v>
      </c>
      <c r="J2145" s="0" t="s">
        <v>34</v>
      </c>
      <c r="K2145" s="0" t="s">
        <v>30</v>
      </c>
      <c r="L2145" s="0" t="s">
        <v>31</v>
      </c>
      <c r="M2145" s="0" t="s">
        <v>140</v>
      </c>
      <c r="N2145" s="0" t="n">
        <v>1370</v>
      </c>
      <c r="O2145" s="10" t="n">
        <v>0.656698515638709</v>
      </c>
      <c r="P2145" s="10" t="n">
        <v>0.362272296566516</v>
      </c>
      <c r="Q2145" s="0" t="str">
        <f aca="false">SUBSTITUTE(SUBSTITUTE($I2145,CHAR(61),""),CHAR(34),"")</f>
        <v>01-09</v>
      </c>
      <c r="R2145" s="0" t="str">
        <f aca="false">IF($D2145&lt;&gt;"","["&amp;$E2145&amp;"]"&amp;"|"&amp;$Q2145&amp;"|"&amp;$K2145&amp;"|"&amp;$G2145&amp;"|"&amp;IF($G2145="TX_CURR_SUBNAT.R","CY2022Q4",$M2145),"")</f>
        <v>[umc2n1Z4wNv]|01-09|Female|TX_CURR_SUBNAT.T_1|CY2023Q3</v>
      </c>
    </row>
    <row r="2146" customFormat="false" ht="15" hidden="false" customHeight="false" outlineLevel="0" collapsed="false">
      <c r="D2146" s="0" t="s">
        <v>93</v>
      </c>
      <c r="E2146" s="0" t="s">
        <v>94</v>
      </c>
      <c r="F2146" s="0" t="s">
        <v>95</v>
      </c>
      <c r="G2146" s="0" t="s">
        <v>146</v>
      </c>
      <c r="H2146" s="0" t="s">
        <v>147</v>
      </c>
      <c r="I2146" s="0" t="s">
        <v>36</v>
      </c>
      <c r="J2146" s="0" t="s">
        <v>37</v>
      </c>
      <c r="K2146" s="0" t="s">
        <v>30</v>
      </c>
      <c r="L2146" s="0" t="s">
        <v>31</v>
      </c>
      <c r="M2146" s="0" t="s">
        <v>140</v>
      </c>
      <c r="N2146" s="0" t="n">
        <v>1409</v>
      </c>
      <c r="O2146" s="10" t="n">
        <v>0.876710748532787</v>
      </c>
      <c r="P2146" s="10" t="n">
        <v>0.362272296566516</v>
      </c>
      <c r="Q2146" s="0" t="str">
        <f aca="false">SUBSTITUTE(SUBSTITUTE($I2146,CHAR(61),""),CHAR(34),"")</f>
        <v>10-14</v>
      </c>
      <c r="R2146" s="0" t="str">
        <f aca="false">IF($D2146&lt;&gt;"","["&amp;$E2146&amp;"]"&amp;"|"&amp;$Q2146&amp;"|"&amp;$K2146&amp;"|"&amp;$G2146&amp;"|"&amp;IF($G2146="TX_CURR_SUBNAT.R","CY2022Q4",$M2146),"")</f>
        <v>[umc2n1Z4wNv]|10-14|Female|TX_CURR_SUBNAT.T_1|CY2023Q3</v>
      </c>
    </row>
    <row r="2147" customFormat="false" ht="15" hidden="false" customHeight="false" outlineLevel="0" collapsed="false">
      <c r="D2147" s="0" t="s">
        <v>93</v>
      </c>
      <c r="E2147" s="0" t="s">
        <v>94</v>
      </c>
      <c r="F2147" s="0" t="s">
        <v>95</v>
      </c>
      <c r="G2147" s="0" t="s">
        <v>146</v>
      </c>
      <c r="H2147" s="0" t="s">
        <v>147</v>
      </c>
      <c r="I2147" s="0" t="s">
        <v>38</v>
      </c>
      <c r="J2147" s="0" t="s">
        <v>39</v>
      </c>
      <c r="K2147" s="0" t="s">
        <v>30</v>
      </c>
      <c r="L2147" s="0" t="s">
        <v>31</v>
      </c>
      <c r="M2147" s="0" t="s">
        <v>140</v>
      </c>
      <c r="N2147" s="0" t="n">
        <v>1745</v>
      </c>
      <c r="O2147" s="10" t="n">
        <v>0.648945415858179</v>
      </c>
      <c r="P2147" s="10" t="n">
        <v>0.362272296566516</v>
      </c>
      <c r="Q2147" s="0" t="str">
        <f aca="false">SUBSTITUTE(SUBSTITUTE($I2147,CHAR(61),""),CHAR(34),"")</f>
        <v>15-24</v>
      </c>
      <c r="R2147" s="0" t="str">
        <f aca="false">IF($D2147&lt;&gt;"","["&amp;$E2147&amp;"]"&amp;"|"&amp;$Q2147&amp;"|"&amp;$K2147&amp;"|"&amp;$G2147&amp;"|"&amp;IF($G2147="TX_CURR_SUBNAT.R","CY2022Q4",$M2147),"")</f>
        <v>[umc2n1Z4wNv]|15-24|Female|TX_CURR_SUBNAT.T_1|CY2023Q3</v>
      </c>
    </row>
    <row r="2148" customFormat="false" ht="15" hidden="false" customHeight="false" outlineLevel="0" collapsed="false">
      <c r="D2148" s="0" t="s">
        <v>93</v>
      </c>
      <c r="E2148" s="0" t="s">
        <v>94</v>
      </c>
      <c r="F2148" s="0" t="s">
        <v>95</v>
      </c>
      <c r="G2148" s="0" t="s">
        <v>146</v>
      </c>
      <c r="H2148" s="0" t="s">
        <v>147</v>
      </c>
      <c r="I2148" s="0" t="s">
        <v>41</v>
      </c>
      <c r="J2148" s="0" t="s">
        <v>42</v>
      </c>
      <c r="K2148" s="0" t="s">
        <v>30</v>
      </c>
      <c r="L2148" s="0" t="s">
        <v>31</v>
      </c>
      <c r="M2148" s="0" t="s">
        <v>140</v>
      </c>
      <c r="N2148" s="0" t="n">
        <v>1787</v>
      </c>
      <c r="O2148" s="10" t="n">
        <v>0.79258935037069</v>
      </c>
      <c r="P2148" s="10" t="n">
        <v>0.362272296566516</v>
      </c>
      <c r="Q2148" s="0" t="str">
        <f aca="false">SUBSTITUTE(SUBSTITUTE($I2148,CHAR(61),""),CHAR(34),"")</f>
        <v>25-34</v>
      </c>
      <c r="R2148" s="0" t="str">
        <f aca="false">IF($D2148&lt;&gt;"","["&amp;$E2148&amp;"]"&amp;"|"&amp;$Q2148&amp;"|"&amp;$K2148&amp;"|"&amp;$G2148&amp;"|"&amp;IF($G2148="TX_CURR_SUBNAT.R","CY2022Q4",$M2148),"")</f>
        <v>[umc2n1Z4wNv]|25-34|Female|TX_CURR_SUBNAT.T_1|CY2023Q3</v>
      </c>
    </row>
    <row r="2149" customFormat="false" ht="15" hidden="false" customHeight="false" outlineLevel="0" collapsed="false">
      <c r="D2149" s="0" t="s">
        <v>93</v>
      </c>
      <c r="E2149" s="0" t="s">
        <v>94</v>
      </c>
      <c r="F2149" s="0" t="s">
        <v>95</v>
      </c>
      <c r="G2149" s="0" t="s">
        <v>146</v>
      </c>
      <c r="H2149" s="0" t="s">
        <v>147</v>
      </c>
      <c r="I2149" s="0" t="s">
        <v>43</v>
      </c>
      <c r="J2149" s="0" t="s">
        <v>44</v>
      </c>
      <c r="K2149" s="0" t="s">
        <v>30</v>
      </c>
      <c r="L2149" s="0" t="s">
        <v>31</v>
      </c>
      <c r="M2149" s="0" t="s">
        <v>140</v>
      </c>
      <c r="N2149" s="0" t="n">
        <v>1619</v>
      </c>
      <c r="O2149" s="10" t="n">
        <v>0.429956621257588</v>
      </c>
      <c r="P2149" s="10" t="n">
        <v>0.362272296566516</v>
      </c>
      <c r="Q2149" s="0" t="str">
        <f aca="false">SUBSTITUTE(SUBSTITUTE($I2149,CHAR(61),""),CHAR(34),"")</f>
        <v>35-49</v>
      </c>
      <c r="R2149" s="0" t="str">
        <f aca="false">IF($D2149&lt;&gt;"","["&amp;$E2149&amp;"]"&amp;"|"&amp;$Q2149&amp;"|"&amp;$K2149&amp;"|"&amp;$G2149&amp;"|"&amp;IF($G2149="TX_CURR_SUBNAT.R","CY2022Q4",$M2149),"")</f>
        <v>[umc2n1Z4wNv]|35-49|Female|TX_CURR_SUBNAT.T_1|CY2023Q3</v>
      </c>
    </row>
    <row r="2150" customFormat="false" ht="15" hidden="false" customHeight="false" outlineLevel="0" collapsed="false">
      <c r="D2150" s="0" t="s">
        <v>93</v>
      </c>
      <c r="E2150" s="0" t="s">
        <v>94</v>
      </c>
      <c r="F2150" s="0" t="s">
        <v>95</v>
      </c>
      <c r="G2150" s="0" t="s">
        <v>146</v>
      </c>
      <c r="H2150" s="0" t="s">
        <v>147</v>
      </c>
      <c r="I2150" s="0" t="s">
        <v>45</v>
      </c>
      <c r="J2150" s="0" t="s">
        <v>46</v>
      </c>
      <c r="K2150" s="0" t="s">
        <v>30</v>
      </c>
      <c r="L2150" s="0" t="s">
        <v>31</v>
      </c>
      <c r="M2150" s="0" t="s">
        <v>140</v>
      </c>
      <c r="N2150" s="0" t="n">
        <v>1838</v>
      </c>
      <c r="O2150" s="10" t="n">
        <v>0.510895024985075</v>
      </c>
      <c r="P2150" s="10" t="n">
        <v>0.362272296566516</v>
      </c>
      <c r="Q2150" s="0" t="str">
        <f aca="false">SUBSTITUTE(SUBSTITUTE($I2150,CHAR(61),""),CHAR(34),"")</f>
        <v>50+</v>
      </c>
      <c r="R2150" s="0" t="str">
        <f aca="false">IF($D2150&lt;&gt;"","["&amp;$E2150&amp;"]"&amp;"|"&amp;$Q2150&amp;"|"&amp;$K2150&amp;"|"&amp;$G2150&amp;"|"&amp;IF($G2150="TX_CURR_SUBNAT.R","CY2022Q4",$M2150),"")</f>
        <v>[umc2n1Z4wNv]|50+|Female|TX_CURR_SUBNAT.T_1|CY2023Q3</v>
      </c>
    </row>
    <row r="2151" customFormat="false" ht="15" hidden="false" customHeight="false" outlineLevel="0" collapsed="false">
      <c r="D2151" s="0" t="s">
        <v>93</v>
      </c>
      <c r="E2151" s="0" t="s">
        <v>94</v>
      </c>
      <c r="F2151" s="0" t="s">
        <v>95</v>
      </c>
      <c r="G2151" s="0" t="s">
        <v>146</v>
      </c>
      <c r="H2151" s="0" t="s">
        <v>147</v>
      </c>
      <c r="I2151" s="0" t="s">
        <v>28</v>
      </c>
      <c r="J2151" s="0" t="s">
        <v>29</v>
      </c>
      <c r="K2151" s="0" t="s">
        <v>48</v>
      </c>
      <c r="L2151" s="0" t="s">
        <v>49</v>
      </c>
      <c r="M2151" s="0" t="s">
        <v>140</v>
      </c>
      <c r="N2151" s="0" t="n">
        <v>912</v>
      </c>
      <c r="O2151" s="10" t="n">
        <v>0.105890913400799</v>
      </c>
      <c r="P2151" s="10" t="n">
        <v>0.362272296566516</v>
      </c>
      <c r="Q2151" s="0" t="str">
        <f aca="false">SUBSTITUTE(SUBSTITUTE($I2151,CHAR(61),""),CHAR(34),"")</f>
        <v>&lt;01</v>
      </c>
      <c r="R2151" s="0" t="str">
        <f aca="false">IF($D2151&lt;&gt;"","["&amp;$E2151&amp;"]"&amp;"|"&amp;$Q2151&amp;"|"&amp;$K2151&amp;"|"&amp;$G2151&amp;"|"&amp;IF($G2151="TX_CURR_SUBNAT.R","CY2022Q4",$M2151),"")</f>
        <v>[umc2n1Z4wNv]|&lt;01|Male|TX_CURR_SUBNAT.T_1|CY2023Q3</v>
      </c>
    </row>
    <row r="2152" customFormat="false" ht="15" hidden="false" customHeight="false" outlineLevel="0" collapsed="false">
      <c r="D2152" s="0" t="s">
        <v>93</v>
      </c>
      <c r="E2152" s="0" t="s">
        <v>94</v>
      </c>
      <c r="F2152" s="0" t="s">
        <v>95</v>
      </c>
      <c r="G2152" s="0" t="s">
        <v>146</v>
      </c>
      <c r="H2152" s="0" t="s">
        <v>147</v>
      </c>
      <c r="I2152" s="0" t="s">
        <v>33</v>
      </c>
      <c r="J2152" s="0" t="s">
        <v>34</v>
      </c>
      <c r="K2152" s="0" t="s">
        <v>48</v>
      </c>
      <c r="L2152" s="0" t="s">
        <v>49</v>
      </c>
      <c r="M2152" s="0" t="s">
        <v>140</v>
      </c>
      <c r="N2152" s="0" t="n">
        <v>1194</v>
      </c>
      <c r="O2152" s="10" t="n">
        <v>0.150352842407301</v>
      </c>
      <c r="P2152" s="10" t="n">
        <v>0.362272296566516</v>
      </c>
      <c r="Q2152" s="0" t="str">
        <f aca="false">SUBSTITUTE(SUBSTITUTE($I2152,CHAR(61),""),CHAR(34),"")</f>
        <v>01-09</v>
      </c>
      <c r="R2152" s="0" t="str">
        <f aca="false">IF($D2152&lt;&gt;"","["&amp;$E2152&amp;"]"&amp;"|"&amp;$Q2152&amp;"|"&amp;$K2152&amp;"|"&amp;$G2152&amp;"|"&amp;IF($G2152="TX_CURR_SUBNAT.R","CY2022Q4",$M2152),"")</f>
        <v>[umc2n1Z4wNv]|01-09|Male|TX_CURR_SUBNAT.T_1|CY2023Q3</v>
      </c>
    </row>
    <row r="2153" customFormat="false" ht="15" hidden="false" customHeight="false" outlineLevel="0" collapsed="false">
      <c r="D2153" s="0" t="s">
        <v>93</v>
      </c>
      <c r="E2153" s="0" t="s">
        <v>94</v>
      </c>
      <c r="F2153" s="0" t="s">
        <v>95</v>
      </c>
      <c r="G2153" s="0" t="s">
        <v>146</v>
      </c>
      <c r="H2153" s="0" t="s">
        <v>147</v>
      </c>
      <c r="I2153" s="0" t="s">
        <v>36</v>
      </c>
      <c r="J2153" s="0" t="s">
        <v>37</v>
      </c>
      <c r="K2153" s="0" t="s">
        <v>48</v>
      </c>
      <c r="L2153" s="0" t="s">
        <v>49</v>
      </c>
      <c r="M2153" s="0" t="s">
        <v>140</v>
      </c>
      <c r="N2153" s="0" t="n">
        <v>626</v>
      </c>
      <c r="O2153" s="10" t="n">
        <v>0.680311784613878</v>
      </c>
      <c r="P2153" s="10" t="n">
        <v>0.362272296566516</v>
      </c>
      <c r="Q2153" s="0" t="str">
        <f aca="false">SUBSTITUTE(SUBSTITUTE($I2153,CHAR(61),""),CHAR(34),"")</f>
        <v>10-14</v>
      </c>
      <c r="R2153" s="0" t="str">
        <f aca="false">IF($D2153&lt;&gt;"","["&amp;$E2153&amp;"]"&amp;"|"&amp;$Q2153&amp;"|"&amp;$K2153&amp;"|"&amp;$G2153&amp;"|"&amp;IF($G2153="TX_CURR_SUBNAT.R","CY2022Q4",$M2153),"")</f>
        <v>[umc2n1Z4wNv]|10-14|Male|TX_CURR_SUBNAT.T_1|CY2023Q3</v>
      </c>
    </row>
    <row r="2154" customFormat="false" ht="15" hidden="false" customHeight="false" outlineLevel="0" collapsed="false">
      <c r="D2154" s="0" t="s">
        <v>93</v>
      </c>
      <c r="E2154" s="0" t="s">
        <v>94</v>
      </c>
      <c r="F2154" s="0" t="s">
        <v>95</v>
      </c>
      <c r="G2154" s="0" t="s">
        <v>146</v>
      </c>
      <c r="H2154" s="0" t="s">
        <v>147</v>
      </c>
      <c r="I2154" s="0" t="s">
        <v>38</v>
      </c>
      <c r="J2154" s="0" t="s">
        <v>39</v>
      </c>
      <c r="K2154" s="0" t="s">
        <v>48</v>
      </c>
      <c r="L2154" s="0" t="s">
        <v>49</v>
      </c>
      <c r="M2154" s="0" t="s">
        <v>140</v>
      </c>
      <c r="N2154" s="0" t="n">
        <v>1431</v>
      </c>
      <c r="O2154" s="10" t="n">
        <v>0.45328639424406</v>
      </c>
      <c r="P2154" s="10" t="n">
        <v>0.362272296566516</v>
      </c>
      <c r="Q2154" s="0" t="str">
        <f aca="false">SUBSTITUTE(SUBSTITUTE($I2154,CHAR(61),""),CHAR(34),"")</f>
        <v>15-24</v>
      </c>
      <c r="R2154" s="0" t="str">
        <f aca="false">IF($D2154&lt;&gt;"","["&amp;$E2154&amp;"]"&amp;"|"&amp;$Q2154&amp;"|"&amp;$K2154&amp;"|"&amp;$G2154&amp;"|"&amp;IF($G2154="TX_CURR_SUBNAT.R","CY2022Q4",$M2154),"")</f>
        <v>[umc2n1Z4wNv]|15-24|Male|TX_CURR_SUBNAT.T_1|CY2023Q3</v>
      </c>
    </row>
    <row r="2155" customFormat="false" ht="15" hidden="false" customHeight="false" outlineLevel="0" collapsed="false">
      <c r="D2155" s="0" t="s">
        <v>93</v>
      </c>
      <c r="E2155" s="0" t="s">
        <v>94</v>
      </c>
      <c r="F2155" s="0" t="s">
        <v>95</v>
      </c>
      <c r="G2155" s="0" t="s">
        <v>146</v>
      </c>
      <c r="H2155" s="0" t="s">
        <v>147</v>
      </c>
      <c r="I2155" s="0" t="s">
        <v>41</v>
      </c>
      <c r="J2155" s="0" t="s">
        <v>42</v>
      </c>
      <c r="K2155" s="0" t="s">
        <v>48</v>
      </c>
      <c r="L2155" s="0" t="s">
        <v>49</v>
      </c>
      <c r="M2155" s="0" t="s">
        <v>140</v>
      </c>
      <c r="N2155" s="0" t="n">
        <v>1583</v>
      </c>
      <c r="O2155" s="10" t="n">
        <v>0.819692114368081</v>
      </c>
      <c r="P2155" s="10" t="n">
        <v>0.362272296566516</v>
      </c>
      <c r="Q2155" s="0" t="str">
        <f aca="false">SUBSTITUTE(SUBSTITUTE($I2155,CHAR(61),""),CHAR(34),"")</f>
        <v>25-34</v>
      </c>
      <c r="R2155" s="0" t="str">
        <f aca="false">IF($D2155&lt;&gt;"","["&amp;$E2155&amp;"]"&amp;"|"&amp;$Q2155&amp;"|"&amp;$K2155&amp;"|"&amp;$G2155&amp;"|"&amp;IF($G2155="TX_CURR_SUBNAT.R","CY2022Q4",$M2155),"")</f>
        <v>[umc2n1Z4wNv]|25-34|Male|TX_CURR_SUBNAT.T_1|CY2023Q3</v>
      </c>
    </row>
    <row r="2156" customFormat="false" ht="15" hidden="false" customHeight="false" outlineLevel="0" collapsed="false">
      <c r="D2156" s="0" t="s">
        <v>93</v>
      </c>
      <c r="E2156" s="0" t="s">
        <v>94</v>
      </c>
      <c r="F2156" s="0" t="s">
        <v>95</v>
      </c>
      <c r="G2156" s="0" t="s">
        <v>146</v>
      </c>
      <c r="H2156" s="0" t="s">
        <v>147</v>
      </c>
      <c r="I2156" s="0" t="s">
        <v>43</v>
      </c>
      <c r="J2156" s="0" t="s">
        <v>44</v>
      </c>
      <c r="K2156" s="0" t="s">
        <v>48</v>
      </c>
      <c r="L2156" s="0" t="s">
        <v>49</v>
      </c>
      <c r="M2156" s="0" t="s">
        <v>140</v>
      </c>
      <c r="N2156" s="0" t="n">
        <v>1851</v>
      </c>
      <c r="O2156" s="10" t="n">
        <v>0.865652919514105</v>
      </c>
      <c r="P2156" s="10" t="n">
        <v>0.362272296566516</v>
      </c>
      <c r="Q2156" s="0" t="str">
        <f aca="false">SUBSTITUTE(SUBSTITUTE($I2156,CHAR(61),""),CHAR(34),"")</f>
        <v>35-49</v>
      </c>
      <c r="R2156" s="0" t="str">
        <f aca="false">IF($D2156&lt;&gt;"","["&amp;$E2156&amp;"]"&amp;"|"&amp;$Q2156&amp;"|"&amp;$K2156&amp;"|"&amp;$G2156&amp;"|"&amp;IF($G2156="TX_CURR_SUBNAT.R","CY2022Q4",$M2156),"")</f>
        <v>[umc2n1Z4wNv]|35-49|Male|TX_CURR_SUBNAT.T_1|CY2023Q3</v>
      </c>
    </row>
    <row r="2157" customFormat="false" ht="15" hidden="false" customHeight="false" outlineLevel="0" collapsed="false">
      <c r="D2157" s="0" t="s">
        <v>93</v>
      </c>
      <c r="E2157" s="0" t="s">
        <v>94</v>
      </c>
      <c r="F2157" s="0" t="s">
        <v>95</v>
      </c>
      <c r="G2157" s="0" t="s">
        <v>146</v>
      </c>
      <c r="H2157" s="0" t="s">
        <v>147</v>
      </c>
      <c r="I2157" s="0" t="s">
        <v>45</v>
      </c>
      <c r="J2157" s="0" t="s">
        <v>46</v>
      </c>
      <c r="K2157" s="0" t="s">
        <v>48</v>
      </c>
      <c r="L2157" s="0" t="s">
        <v>49</v>
      </c>
      <c r="M2157" s="0" t="s">
        <v>140</v>
      </c>
      <c r="N2157" s="0" t="n">
        <v>1871</v>
      </c>
      <c r="O2157" s="10" t="n">
        <v>0.213430704781786</v>
      </c>
      <c r="P2157" s="10" t="n">
        <v>0.362272296566516</v>
      </c>
      <c r="Q2157" s="0" t="str">
        <f aca="false">SUBSTITUTE(SUBSTITUTE($I2157,CHAR(61),""),CHAR(34),"")</f>
        <v>50+</v>
      </c>
      <c r="R2157" s="0" t="str">
        <f aca="false">IF($D2157&lt;&gt;"","["&amp;$E2157&amp;"]"&amp;"|"&amp;$Q2157&amp;"|"&amp;$K2157&amp;"|"&amp;$G2157&amp;"|"&amp;IF($G2157="TX_CURR_SUBNAT.R","CY2022Q4",$M2157),"")</f>
        <v>[umc2n1Z4wNv]|50+|Male|TX_CURR_SUBNAT.T_1|CY2023Q3</v>
      </c>
    </row>
    <row r="2158" customFormat="false" ht="15" hidden="false" customHeight="false" outlineLevel="0" collapsed="false">
      <c r="D2158" s="0" t="s">
        <v>96</v>
      </c>
      <c r="E2158" s="0" t="s">
        <v>97</v>
      </c>
      <c r="F2158" s="0" t="s">
        <v>98</v>
      </c>
      <c r="G2158" s="0" t="s">
        <v>146</v>
      </c>
      <c r="H2158" s="0" t="s">
        <v>147</v>
      </c>
      <c r="I2158" s="0" t="s">
        <v>28</v>
      </c>
      <c r="J2158" s="0" t="s">
        <v>29</v>
      </c>
      <c r="K2158" s="0" t="s">
        <v>30</v>
      </c>
      <c r="L2158" s="0" t="s">
        <v>31</v>
      </c>
      <c r="M2158" s="0" t="s">
        <v>140</v>
      </c>
      <c r="N2158" s="0" t="n">
        <v>1817</v>
      </c>
      <c r="O2158" s="10" t="n">
        <v>0.711292501306161</v>
      </c>
      <c r="P2158" s="10" t="n">
        <v>0.601251717889681</v>
      </c>
      <c r="Q2158" s="0" t="str">
        <f aca="false">SUBSTITUTE(SUBSTITUTE($I2158,CHAR(61),""),CHAR(34),"")</f>
        <v>&lt;01</v>
      </c>
      <c r="R2158" s="0" t="str">
        <f aca="false">IF($D2158&lt;&gt;"","["&amp;$E2158&amp;"]"&amp;"|"&amp;$Q2158&amp;"|"&amp;$K2158&amp;"|"&amp;$G2158&amp;"|"&amp;IF($G2158="TX_CURR_SUBNAT.R","CY2022Q4",$M2158),"")</f>
        <v>[gwVYinjBAe9]|&lt;01|Female|TX_CURR_SUBNAT.T_1|CY2023Q3</v>
      </c>
    </row>
    <row r="2159" customFormat="false" ht="15" hidden="false" customHeight="false" outlineLevel="0" collapsed="false">
      <c r="D2159" s="0" t="s">
        <v>96</v>
      </c>
      <c r="E2159" s="0" t="s">
        <v>97</v>
      </c>
      <c r="F2159" s="0" t="s">
        <v>98</v>
      </c>
      <c r="G2159" s="0" t="s">
        <v>146</v>
      </c>
      <c r="H2159" s="0" t="s">
        <v>147</v>
      </c>
      <c r="I2159" s="0" t="s">
        <v>33</v>
      </c>
      <c r="J2159" s="0" t="s">
        <v>34</v>
      </c>
      <c r="K2159" s="0" t="s">
        <v>30</v>
      </c>
      <c r="L2159" s="0" t="s">
        <v>31</v>
      </c>
      <c r="M2159" s="0" t="s">
        <v>140</v>
      </c>
      <c r="N2159" s="0" t="n">
        <v>1527</v>
      </c>
      <c r="O2159" s="10" t="n">
        <v>0.441627337131649</v>
      </c>
      <c r="P2159" s="10" t="n">
        <v>0.601251717889681</v>
      </c>
      <c r="Q2159" s="0" t="str">
        <f aca="false">SUBSTITUTE(SUBSTITUTE($I2159,CHAR(61),""),CHAR(34),"")</f>
        <v>01-09</v>
      </c>
      <c r="R2159" s="0" t="str">
        <f aca="false">IF($D2159&lt;&gt;"","["&amp;$E2159&amp;"]"&amp;"|"&amp;$Q2159&amp;"|"&amp;$K2159&amp;"|"&amp;$G2159&amp;"|"&amp;IF($G2159="TX_CURR_SUBNAT.R","CY2022Q4",$M2159),"")</f>
        <v>[gwVYinjBAe9]|01-09|Female|TX_CURR_SUBNAT.T_1|CY2023Q3</v>
      </c>
    </row>
    <row r="2160" customFormat="false" ht="15" hidden="false" customHeight="false" outlineLevel="0" collapsed="false">
      <c r="D2160" s="0" t="s">
        <v>96</v>
      </c>
      <c r="E2160" s="0" t="s">
        <v>97</v>
      </c>
      <c r="F2160" s="0" t="s">
        <v>98</v>
      </c>
      <c r="G2160" s="0" t="s">
        <v>146</v>
      </c>
      <c r="H2160" s="0" t="s">
        <v>147</v>
      </c>
      <c r="I2160" s="0" t="s">
        <v>36</v>
      </c>
      <c r="J2160" s="0" t="s">
        <v>37</v>
      </c>
      <c r="K2160" s="0" t="s">
        <v>30</v>
      </c>
      <c r="L2160" s="0" t="s">
        <v>31</v>
      </c>
      <c r="M2160" s="0" t="s">
        <v>140</v>
      </c>
      <c r="N2160" s="0" t="n">
        <v>763</v>
      </c>
      <c r="O2160" s="10" t="n">
        <v>0.114319392479956</v>
      </c>
      <c r="P2160" s="10" t="n">
        <v>0.601251717889681</v>
      </c>
      <c r="Q2160" s="0" t="str">
        <f aca="false">SUBSTITUTE(SUBSTITUTE($I2160,CHAR(61),""),CHAR(34),"")</f>
        <v>10-14</v>
      </c>
      <c r="R2160" s="0" t="str">
        <f aca="false">IF($D2160&lt;&gt;"","["&amp;$E2160&amp;"]"&amp;"|"&amp;$Q2160&amp;"|"&amp;$K2160&amp;"|"&amp;$G2160&amp;"|"&amp;IF($G2160="TX_CURR_SUBNAT.R","CY2022Q4",$M2160),"")</f>
        <v>[gwVYinjBAe9]|10-14|Female|TX_CURR_SUBNAT.T_1|CY2023Q3</v>
      </c>
    </row>
    <row r="2161" customFormat="false" ht="15" hidden="false" customHeight="false" outlineLevel="0" collapsed="false">
      <c r="D2161" s="0" t="s">
        <v>96</v>
      </c>
      <c r="E2161" s="0" t="s">
        <v>97</v>
      </c>
      <c r="F2161" s="0" t="s">
        <v>98</v>
      </c>
      <c r="G2161" s="0" t="s">
        <v>146</v>
      </c>
      <c r="H2161" s="0" t="s">
        <v>147</v>
      </c>
      <c r="I2161" s="0" t="s">
        <v>38</v>
      </c>
      <c r="J2161" s="0" t="s">
        <v>39</v>
      </c>
      <c r="K2161" s="0" t="s">
        <v>30</v>
      </c>
      <c r="L2161" s="0" t="s">
        <v>31</v>
      </c>
      <c r="M2161" s="0" t="s">
        <v>140</v>
      </c>
      <c r="N2161" s="0" t="n">
        <v>1980</v>
      </c>
      <c r="O2161" s="10" t="n">
        <v>0.0595669131726027</v>
      </c>
      <c r="P2161" s="10" t="n">
        <v>0.601251717889681</v>
      </c>
      <c r="Q2161" s="0" t="str">
        <f aca="false">SUBSTITUTE(SUBSTITUTE($I2161,CHAR(61),""),CHAR(34),"")</f>
        <v>15-24</v>
      </c>
      <c r="R2161" s="0" t="str">
        <f aca="false">IF($D2161&lt;&gt;"","["&amp;$E2161&amp;"]"&amp;"|"&amp;$Q2161&amp;"|"&amp;$K2161&amp;"|"&amp;$G2161&amp;"|"&amp;IF($G2161="TX_CURR_SUBNAT.R","CY2022Q4",$M2161),"")</f>
        <v>[gwVYinjBAe9]|15-24|Female|TX_CURR_SUBNAT.T_1|CY2023Q3</v>
      </c>
    </row>
    <row r="2162" customFormat="false" ht="15" hidden="false" customHeight="false" outlineLevel="0" collapsed="false">
      <c r="D2162" s="0" t="s">
        <v>96</v>
      </c>
      <c r="E2162" s="0" t="s">
        <v>97</v>
      </c>
      <c r="F2162" s="0" t="s">
        <v>98</v>
      </c>
      <c r="G2162" s="0" t="s">
        <v>146</v>
      </c>
      <c r="H2162" s="0" t="s">
        <v>147</v>
      </c>
      <c r="I2162" s="0" t="s">
        <v>41</v>
      </c>
      <c r="J2162" s="0" t="s">
        <v>42</v>
      </c>
      <c r="K2162" s="0" t="s">
        <v>30</v>
      </c>
      <c r="L2162" s="0" t="s">
        <v>31</v>
      </c>
      <c r="M2162" s="0" t="s">
        <v>140</v>
      </c>
      <c r="N2162" s="0" t="n">
        <v>831</v>
      </c>
      <c r="O2162" s="10" t="n">
        <v>0.861096425680444</v>
      </c>
      <c r="P2162" s="10" t="n">
        <v>0.601251717889681</v>
      </c>
      <c r="Q2162" s="0" t="str">
        <f aca="false">SUBSTITUTE(SUBSTITUTE($I2162,CHAR(61),""),CHAR(34),"")</f>
        <v>25-34</v>
      </c>
      <c r="R2162" s="0" t="str">
        <f aca="false">IF($D2162&lt;&gt;"","["&amp;$E2162&amp;"]"&amp;"|"&amp;$Q2162&amp;"|"&amp;$K2162&amp;"|"&amp;$G2162&amp;"|"&amp;IF($G2162="TX_CURR_SUBNAT.R","CY2022Q4",$M2162),"")</f>
        <v>[gwVYinjBAe9]|25-34|Female|TX_CURR_SUBNAT.T_1|CY2023Q3</v>
      </c>
    </row>
    <row r="2163" customFormat="false" ht="15" hidden="false" customHeight="false" outlineLevel="0" collapsed="false">
      <c r="D2163" s="0" t="s">
        <v>96</v>
      </c>
      <c r="E2163" s="0" t="s">
        <v>97</v>
      </c>
      <c r="F2163" s="0" t="s">
        <v>98</v>
      </c>
      <c r="G2163" s="0" t="s">
        <v>146</v>
      </c>
      <c r="H2163" s="0" t="s">
        <v>147</v>
      </c>
      <c r="I2163" s="0" t="s">
        <v>43</v>
      </c>
      <c r="J2163" s="0" t="s">
        <v>44</v>
      </c>
      <c r="K2163" s="0" t="s">
        <v>30</v>
      </c>
      <c r="L2163" s="0" t="s">
        <v>31</v>
      </c>
      <c r="M2163" s="0" t="s">
        <v>140</v>
      </c>
      <c r="N2163" s="0" t="n">
        <v>1407</v>
      </c>
      <c r="O2163" s="10" t="n">
        <v>0.819698620354757</v>
      </c>
      <c r="P2163" s="10" t="n">
        <v>0.601251717889681</v>
      </c>
      <c r="Q2163" s="0" t="str">
        <f aca="false">SUBSTITUTE(SUBSTITUTE($I2163,CHAR(61),""),CHAR(34),"")</f>
        <v>35-49</v>
      </c>
      <c r="R2163" s="0" t="str">
        <f aca="false">IF($D2163&lt;&gt;"","["&amp;$E2163&amp;"]"&amp;"|"&amp;$Q2163&amp;"|"&amp;$K2163&amp;"|"&amp;$G2163&amp;"|"&amp;IF($G2163="TX_CURR_SUBNAT.R","CY2022Q4",$M2163),"")</f>
        <v>[gwVYinjBAe9]|35-49|Female|TX_CURR_SUBNAT.T_1|CY2023Q3</v>
      </c>
    </row>
    <row r="2164" customFormat="false" ht="15" hidden="false" customHeight="false" outlineLevel="0" collapsed="false">
      <c r="D2164" s="0" t="s">
        <v>96</v>
      </c>
      <c r="E2164" s="0" t="s">
        <v>97</v>
      </c>
      <c r="F2164" s="0" t="s">
        <v>98</v>
      </c>
      <c r="G2164" s="0" t="s">
        <v>146</v>
      </c>
      <c r="H2164" s="0" t="s">
        <v>147</v>
      </c>
      <c r="I2164" s="0" t="s">
        <v>45</v>
      </c>
      <c r="J2164" s="0" t="s">
        <v>46</v>
      </c>
      <c r="K2164" s="0" t="s">
        <v>30</v>
      </c>
      <c r="L2164" s="0" t="s">
        <v>31</v>
      </c>
      <c r="M2164" s="0" t="s">
        <v>140</v>
      </c>
      <c r="N2164" s="0" t="n">
        <v>834</v>
      </c>
      <c r="O2164" s="10" t="n">
        <v>0.115919527132064</v>
      </c>
      <c r="P2164" s="10" t="n">
        <v>0.601251717889681</v>
      </c>
      <c r="Q2164" s="0" t="str">
        <f aca="false">SUBSTITUTE(SUBSTITUTE($I2164,CHAR(61),""),CHAR(34),"")</f>
        <v>50+</v>
      </c>
      <c r="R2164" s="0" t="str">
        <f aca="false">IF($D2164&lt;&gt;"","["&amp;$E2164&amp;"]"&amp;"|"&amp;$Q2164&amp;"|"&amp;$K2164&amp;"|"&amp;$G2164&amp;"|"&amp;IF($G2164="TX_CURR_SUBNAT.R","CY2022Q4",$M2164),"")</f>
        <v>[gwVYinjBAe9]|50+|Female|TX_CURR_SUBNAT.T_1|CY2023Q3</v>
      </c>
    </row>
    <row r="2165" customFormat="false" ht="15" hidden="false" customHeight="false" outlineLevel="0" collapsed="false">
      <c r="D2165" s="0" t="s">
        <v>96</v>
      </c>
      <c r="E2165" s="0" t="s">
        <v>97</v>
      </c>
      <c r="F2165" s="0" t="s">
        <v>98</v>
      </c>
      <c r="G2165" s="0" t="s">
        <v>146</v>
      </c>
      <c r="H2165" s="0" t="s">
        <v>147</v>
      </c>
      <c r="I2165" s="0" t="s">
        <v>28</v>
      </c>
      <c r="J2165" s="0" t="s">
        <v>29</v>
      </c>
      <c r="K2165" s="0" t="s">
        <v>48</v>
      </c>
      <c r="L2165" s="0" t="s">
        <v>49</v>
      </c>
      <c r="M2165" s="0" t="s">
        <v>140</v>
      </c>
      <c r="N2165" s="0" t="n">
        <v>938</v>
      </c>
      <c r="O2165" s="10" t="n">
        <v>0.19051448837854</v>
      </c>
      <c r="P2165" s="10" t="n">
        <v>0.601251717889681</v>
      </c>
      <c r="Q2165" s="0" t="str">
        <f aca="false">SUBSTITUTE(SUBSTITUTE($I2165,CHAR(61),""),CHAR(34),"")</f>
        <v>&lt;01</v>
      </c>
      <c r="R2165" s="0" t="str">
        <f aca="false">IF($D2165&lt;&gt;"","["&amp;$E2165&amp;"]"&amp;"|"&amp;$Q2165&amp;"|"&amp;$K2165&amp;"|"&amp;$G2165&amp;"|"&amp;IF($G2165="TX_CURR_SUBNAT.R","CY2022Q4",$M2165),"")</f>
        <v>[gwVYinjBAe9]|&lt;01|Male|TX_CURR_SUBNAT.T_1|CY2023Q3</v>
      </c>
    </row>
    <row r="2166" customFormat="false" ht="15" hidden="false" customHeight="false" outlineLevel="0" collapsed="false">
      <c r="D2166" s="0" t="s">
        <v>96</v>
      </c>
      <c r="E2166" s="0" t="s">
        <v>97</v>
      </c>
      <c r="F2166" s="0" t="s">
        <v>98</v>
      </c>
      <c r="G2166" s="0" t="s">
        <v>146</v>
      </c>
      <c r="H2166" s="0" t="s">
        <v>147</v>
      </c>
      <c r="I2166" s="0" t="s">
        <v>33</v>
      </c>
      <c r="J2166" s="0" t="s">
        <v>34</v>
      </c>
      <c r="K2166" s="0" t="s">
        <v>48</v>
      </c>
      <c r="L2166" s="0" t="s">
        <v>49</v>
      </c>
      <c r="M2166" s="0" t="s">
        <v>140</v>
      </c>
      <c r="N2166" s="0" t="n">
        <v>1157</v>
      </c>
      <c r="O2166" s="10" t="n">
        <v>0.506539355497807</v>
      </c>
      <c r="P2166" s="10" t="n">
        <v>0.601251717889681</v>
      </c>
      <c r="Q2166" s="0" t="str">
        <f aca="false">SUBSTITUTE(SUBSTITUTE($I2166,CHAR(61),""),CHAR(34),"")</f>
        <v>01-09</v>
      </c>
      <c r="R2166" s="0" t="str">
        <f aca="false">IF($D2166&lt;&gt;"","["&amp;$E2166&amp;"]"&amp;"|"&amp;$Q2166&amp;"|"&amp;$K2166&amp;"|"&amp;$G2166&amp;"|"&amp;IF($G2166="TX_CURR_SUBNAT.R","CY2022Q4",$M2166),"")</f>
        <v>[gwVYinjBAe9]|01-09|Male|TX_CURR_SUBNAT.T_1|CY2023Q3</v>
      </c>
    </row>
    <row r="2167" customFormat="false" ht="15" hidden="false" customHeight="false" outlineLevel="0" collapsed="false">
      <c r="D2167" s="0" t="s">
        <v>96</v>
      </c>
      <c r="E2167" s="0" t="s">
        <v>97</v>
      </c>
      <c r="F2167" s="0" t="s">
        <v>98</v>
      </c>
      <c r="G2167" s="0" t="s">
        <v>146</v>
      </c>
      <c r="H2167" s="0" t="s">
        <v>147</v>
      </c>
      <c r="I2167" s="0" t="s">
        <v>36</v>
      </c>
      <c r="J2167" s="0" t="s">
        <v>37</v>
      </c>
      <c r="K2167" s="0" t="s">
        <v>48</v>
      </c>
      <c r="L2167" s="0" t="s">
        <v>49</v>
      </c>
      <c r="M2167" s="0" t="s">
        <v>140</v>
      </c>
      <c r="N2167" s="0" t="n">
        <v>1908</v>
      </c>
      <c r="O2167" s="10" t="n">
        <v>0.649321960750967</v>
      </c>
      <c r="P2167" s="10" t="n">
        <v>0.601251717889681</v>
      </c>
      <c r="Q2167" s="0" t="str">
        <f aca="false">SUBSTITUTE(SUBSTITUTE($I2167,CHAR(61),""),CHAR(34),"")</f>
        <v>10-14</v>
      </c>
      <c r="R2167" s="0" t="str">
        <f aca="false">IF($D2167&lt;&gt;"","["&amp;$E2167&amp;"]"&amp;"|"&amp;$Q2167&amp;"|"&amp;$K2167&amp;"|"&amp;$G2167&amp;"|"&amp;IF($G2167="TX_CURR_SUBNAT.R","CY2022Q4",$M2167),"")</f>
        <v>[gwVYinjBAe9]|10-14|Male|TX_CURR_SUBNAT.T_1|CY2023Q3</v>
      </c>
    </row>
    <row r="2168" customFormat="false" ht="15" hidden="false" customHeight="false" outlineLevel="0" collapsed="false">
      <c r="D2168" s="0" t="s">
        <v>96</v>
      </c>
      <c r="E2168" s="0" t="s">
        <v>97</v>
      </c>
      <c r="F2168" s="0" t="s">
        <v>98</v>
      </c>
      <c r="G2168" s="0" t="s">
        <v>146</v>
      </c>
      <c r="H2168" s="0" t="s">
        <v>147</v>
      </c>
      <c r="I2168" s="0" t="s">
        <v>38</v>
      </c>
      <c r="J2168" s="0" t="s">
        <v>39</v>
      </c>
      <c r="K2168" s="0" t="s">
        <v>48</v>
      </c>
      <c r="L2168" s="0" t="s">
        <v>49</v>
      </c>
      <c r="M2168" s="0" t="s">
        <v>140</v>
      </c>
      <c r="N2168" s="0" t="n">
        <v>1773</v>
      </c>
      <c r="O2168" s="10" t="n">
        <v>0.338511111447588</v>
      </c>
      <c r="P2168" s="10" t="n">
        <v>0.601251717889681</v>
      </c>
      <c r="Q2168" s="0" t="str">
        <f aca="false">SUBSTITUTE(SUBSTITUTE($I2168,CHAR(61),""),CHAR(34),"")</f>
        <v>15-24</v>
      </c>
      <c r="R2168" s="0" t="str">
        <f aca="false">IF($D2168&lt;&gt;"","["&amp;$E2168&amp;"]"&amp;"|"&amp;$Q2168&amp;"|"&amp;$K2168&amp;"|"&amp;$G2168&amp;"|"&amp;IF($G2168="TX_CURR_SUBNAT.R","CY2022Q4",$M2168),"")</f>
        <v>[gwVYinjBAe9]|15-24|Male|TX_CURR_SUBNAT.T_1|CY2023Q3</v>
      </c>
    </row>
    <row r="2169" customFormat="false" ht="15" hidden="false" customHeight="false" outlineLevel="0" collapsed="false">
      <c r="D2169" s="0" t="s">
        <v>96</v>
      </c>
      <c r="E2169" s="0" t="s">
        <v>97</v>
      </c>
      <c r="F2169" s="0" t="s">
        <v>98</v>
      </c>
      <c r="G2169" s="0" t="s">
        <v>146</v>
      </c>
      <c r="H2169" s="0" t="s">
        <v>147</v>
      </c>
      <c r="I2169" s="0" t="s">
        <v>41</v>
      </c>
      <c r="J2169" s="0" t="s">
        <v>42</v>
      </c>
      <c r="K2169" s="0" t="s">
        <v>48</v>
      </c>
      <c r="L2169" s="0" t="s">
        <v>49</v>
      </c>
      <c r="M2169" s="0" t="s">
        <v>140</v>
      </c>
      <c r="N2169" s="0" t="n">
        <v>1310</v>
      </c>
      <c r="O2169" s="10" t="n">
        <v>0.440823641372845</v>
      </c>
      <c r="P2169" s="10" t="n">
        <v>0.601251717889681</v>
      </c>
      <c r="Q2169" s="0" t="str">
        <f aca="false">SUBSTITUTE(SUBSTITUTE($I2169,CHAR(61),""),CHAR(34),"")</f>
        <v>25-34</v>
      </c>
      <c r="R2169" s="0" t="str">
        <f aca="false">IF($D2169&lt;&gt;"","["&amp;$E2169&amp;"]"&amp;"|"&amp;$Q2169&amp;"|"&amp;$K2169&amp;"|"&amp;$G2169&amp;"|"&amp;IF($G2169="TX_CURR_SUBNAT.R","CY2022Q4",$M2169),"")</f>
        <v>[gwVYinjBAe9]|25-34|Male|TX_CURR_SUBNAT.T_1|CY2023Q3</v>
      </c>
    </row>
    <row r="2170" customFormat="false" ht="15" hidden="false" customHeight="false" outlineLevel="0" collapsed="false">
      <c r="D2170" s="0" t="s">
        <v>96</v>
      </c>
      <c r="E2170" s="0" t="s">
        <v>97</v>
      </c>
      <c r="F2170" s="0" t="s">
        <v>98</v>
      </c>
      <c r="G2170" s="0" t="s">
        <v>146</v>
      </c>
      <c r="H2170" s="0" t="s">
        <v>147</v>
      </c>
      <c r="I2170" s="0" t="s">
        <v>43</v>
      </c>
      <c r="J2170" s="0" t="s">
        <v>44</v>
      </c>
      <c r="K2170" s="0" t="s">
        <v>48</v>
      </c>
      <c r="L2170" s="0" t="s">
        <v>49</v>
      </c>
      <c r="M2170" s="0" t="s">
        <v>140</v>
      </c>
      <c r="N2170" s="0" t="n">
        <v>571</v>
      </c>
      <c r="O2170" s="10" t="n">
        <v>0.789412437705323</v>
      </c>
      <c r="P2170" s="10" t="n">
        <v>0.601251717889681</v>
      </c>
      <c r="Q2170" s="0" t="str">
        <f aca="false">SUBSTITUTE(SUBSTITUTE($I2170,CHAR(61),""),CHAR(34),"")</f>
        <v>35-49</v>
      </c>
      <c r="R2170" s="0" t="str">
        <f aca="false">IF($D2170&lt;&gt;"","["&amp;$E2170&amp;"]"&amp;"|"&amp;$Q2170&amp;"|"&amp;$K2170&amp;"|"&amp;$G2170&amp;"|"&amp;IF($G2170="TX_CURR_SUBNAT.R","CY2022Q4",$M2170),"")</f>
        <v>[gwVYinjBAe9]|35-49|Male|TX_CURR_SUBNAT.T_1|CY2023Q3</v>
      </c>
    </row>
    <row r="2171" customFormat="false" ht="15" hidden="false" customHeight="false" outlineLevel="0" collapsed="false">
      <c r="D2171" s="0" t="s">
        <v>96</v>
      </c>
      <c r="E2171" s="0" t="s">
        <v>97</v>
      </c>
      <c r="F2171" s="0" t="s">
        <v>98</v>
      </c>
      <c r="G2171" s="0" t="s">
        <v>146</v>
      </c>
      <c r="H2171" s="0" t="s">
        <v>147</v>
      </c>
      <c r="I2171" s="0" t="s">
        <v>45</v>
      </c>
      <c r="J2171" s="0" t="s">
        <v>46</v>
      </c>
      <c r="K2171" s="0" t="s">
        <v>48</v>
      </c>
      <c r="L2171" s="0" t="s">
        <v>49</v>
      </c>
      <c r="M2171" s="0" t="s">
        <v>140</v>
      </c>
      <c r="N2171" s="0" t="n">
        <v>1518</v>
      </c>
      <c r="O2171" s="10" t="n">
        <v>0.457564384210855</v>
      </c>
      <c r="P2171" s="10" t="n">
        <v>0.601251717889681</v>
      </c>
      <c r="Q2171" s="0" t="str">
        <f aca="false">SUBSTITUTE(SUBSTITUTE($I2171,CHAR(61),""),CHAR(34),"")</f>
        <v>50+</v>
      </c>
      <c r="R2171" s="0" t="str">
        <f aca="false">IF($D2171&lt;&gt;"","["&amp;$E2171&amp;"]"&amp;"|"&amp;$Q2171&amp;"|"&amp;$K2171&amp;"|"&amp;$G2171&amp;"|"&amp;IF($G2171="TX_CURR_SUBNAT.R","CY2022Q4",$M2171),"")</f>
        <v>[gwVYinjBAe9]|50+|Male|TX_CURR_SUBNAT.T_1|CY2023Q3</v>
      </c>
    </row>
    <row r="2172" customFormat="false" ht="15" hidden="false" customHeight="false" outlineLevel="0" collapsed="false">
      <c r="D2172" s="0" t="s">
        <v>99</v>
      </c>
      <c r="E2172" s="0" t="s">
        <v>100</v>
      </c>
      <c r="F2172" s="0" t="s">
        <v>101</v>
      </c>
      <c r="G2172" s="0" t="s">
        <v>146</v>
      </c>
      <c r="H2172" s="0" t="s">
        <v>147</v>
      </c>
      <c r="I2172" s="0" t="s">
        <v>28</v>
      </c>
      <c r="J2172" s="0" t="s">
        <v>29</v>
      </c>
      <c r="K2172" s="0" t="s">
        <v>30</v>
      </c>
      <c r="L2172" s="0" t="s">
        <v>31</v>
      </c>
      <c r="M2172" s="0" t="s">
        <v>140</v>
      </c>
      <c r="N2172" s="0" t="n">
        <v>572</v>
      </c>
      <c r="O2172" s="10" t="n">
        <v>0.881022417917848</v>
      </c>
      <c r="P2172" s="10" t="n">
        <v>0.577288038097322</v>
      </c>
      <c r="Q2172" s="0" t="str">
        <f aca="false">SUBSTITUTE(SUBSTITUTE($I2172,CHAR(61),""),CHAR(34),"")</f>
        <v>&lt;01</v>
      </c>
      <c r="R2172" s="0" t="str">
        <f aca="false">IF($D2172&lt;&gt;"","["&amp;$E2172&amp;"]"&amp;"|"&amp;$Q2172&amp;"|"&amp;$K2172&amp;"|"&amp;$G2172&amp;"|"&amp;IF($G2172="TX_CURR_SUBNAT.R","CY2022Q4",$M2172),"")</f>
        <v>[mxqa3CDFmIT]|&lt;01|Female|TX_CURR_SUBNAT.T_1|CY2023Q3</v>
      </c>
    </row>
    <row r="2173" customFormat="false" ht="15" hidden="false" customHeight="false" outlineLevel="0" collapsed="false">
      <c r="D2173" s="0" t="s">
        <v>99</v>
      </c>
      <c r="E2173" s="0" t="s">
        <v>100</v>
      </c>
      <c r="F2173" s="0" t="s">
        <v>101</v>
      </c>
      <c r="G2173" s="0" t="s">
        <v>146</v>
      </c>
      <c r="H2173" s="0" t="s">
        <v>147</v>
      </c>
      <c r="I2173" s="0" t="s">
        <v>33</v>
      </c>
      <c r="J2173" s="0" t="s">
        <v>34</v>
      </c>
      <c r="K2173" s="0" t="s">
        <v>30</v>
      </c>
      <c r="L2173" s="0" t="s">
        <v>31</v>
      </c>
      <c r="M2173" s="0" t="s">
        <v>140</v>
      </c>
      <c r="N2173" s="0" t="n">
        <v>1308</v>
      </c>
      <c r="O2173" s="10" t="n">
        <v>0.221511446870863</v>
      </c>
      <c r="P2173" s="10" t="n">
        <v>0.577288038097322</v>
      </c>
      <c r="Q2173" s="0" t="str">
        <f aca="false">SUBSTITUTE(SUBSTITUTE($I2173,CHAR(61),""),CHAR(34),"")</f>
        <v>01-09</v>
      </c>
      <c r="R2173" s="0" t="str">
        <f aca="false">IF($D2173&lt;&gt;"","["&amp;$E2173&amp;"]"&amp;"|"&amp;$Q2173&amp;"|"&amp;$K2173&amp;"|"&amp;$G2173&amp;"|"&amp;IF($G2173="TX_CURR_SUBNAT.R","CY2022Q4",$M2173),"")</f>
        <v>[mxqa3CDFmIT]|01-09|Female|TX_CURR_SUBNAT.T_1|CY2023Q3</v>
      </c>
    </row>
    <row r="2174" customFormat="false" ht="15" hidden="false" customHeight="false" outlineLevel="0" collapsed="false">
      <c r="D2174" s="0" t="s">
        <v>99</v>
      </c>
      <c r="E2174" s="0" t="s">
        <v>100</v>
      </c>
      <c r="F2174" s="0" t="s">
        <v>101</v>
      </c>
      <c r="G2174" s="0" t="s">
        <v>146</v>
      </c>
      <c r="H2174" s="0" t="s">
        <v>147</v>
      </c>
      <c r="I2174" s="0" t="s">
        <v>36</v>
      </c>
      <c r="J2174" s="0" t="s">
        <v>37</v>
      </c>
      <c r="K2174" s="0" t="s">
        <v>30</v>
      </c>
      <c r="L2174" s="0" t="s">
        <v>31</v>
      </c>
      <c r="M2174" s="0" t="s">
        <v>140</v>
      </c>
      <c r="N2174" s="0" t="n">
        <v>1168</v>
      </c>
      <c r="O2174" s="10" t="n">
        <v>0.0320227157790214</v>
      </c>
      <c r="P2174" s="10" t="n">
        <v>0.577288038097322</v>
      </c>
      <c r="Q2174" s="0" t="str">
        <f aca="false">SUBSTITUTE(SUBSTITUTE($I2174,CHAR(61),""),CHAR(34),"")</f>
        <v>10-14</v>
      </c>
      <c r="R2174" s="0" t="str">
        <f aca="false">IF($D2174&lt;&gt;"","["&amp;$E2174&amp;"]"&amp;"|"&amp;$Q2174&amp;"|"&amp;$K2174&amp;"|"&amp;$G2174&amp;"|"&amp;IF($G2174="TX_CURR_SUBNAT.R","CY2022Q4",$M2174),"")</f>
        <v>[mxqa3CDFmIT]|10-14|Female|TX_CURR_SUBNAT.T_1|CY2023Q3</v>
      </c>
    </row>
    <row r="2175" customFormat="false" ht="15" hidden="false" customHeight="false" outlineLevel="0" collapsed="false">
      <c r="D2175" s="0" t="s">
        <v>99</v>
      </c>
      <c r="E2175" s="0" t="s">
        <v>100</v>
      </c>
      <c r="F2175" s="0" t="s">
        <v>101</v>
      </c>
      <c r="G2175" s="0" t="s">
        <v>146</v>
      </c>
      <c r="H2175" s="0" t="s">
        <v>147</v>
      </c>
      <c r="I2175" s="0" t="s">
        <v>38</v>
      </c>
      <c r="J2175" s="0" t="s">
        <v>39</v>
      </c>
      <c r="K2175" s="0" t="s">
        <v>30</v>
      </c>
      <c r="L2175" s="0" t="s">
        <v>31</v>
      </c>
      <c r="M2175" s="0" t="s">
        <v>140</v>
      </c>
      <c r="N2175" s="0" t="n">
        <v>1435</v>
      </c>
      <c r="O2175" s="10" t="n">
        <v>0.599739220924675</v>
      </c>
      <c r="P2175" s="10" t="n">
        <v>0.577288038097322</v>
      </c>
      <c r="Q2175" s="0" t="str">
        <f aca="false">SUBSTITUTE(SUBSTITUTE($I2175,CHAR(61),""),CHAR(34),"")</f>
        <v>15-24</v>
      </c>
      <c r="R2175" s="0" t="str">
        <f aca="false">IF($D2175&lt;&gt;"","["&amp;$E2175&amp;"]"&amp;"|"&amp;$Q2175&amp;"|"&amp;$K2175&amp;"|"&amp;$G2175&amp;"|"&amp;IF($G2175="TX_CURR_SUBNAT.R","CY2022Q4",$M2175),"")</f>
        <v>[mxqa3CDFmIT]|15-24|Female|TX_CURR_SUBNAT.T_1|CY2023Q3</v>
      </c>
    </row>
    <row r="2176" customFormat="false" ht="15" hidden="false" customHeight="false" outlineLevel="0" collapsed="false">
      <c r="D2176" s="0" t="s">
        <v>99</v>
      </c>
      <c r="E2176" s="0" t="s">
        <v>100</v>
      </c>
      <c r="F2176" s="0" t="s">
        <v>101</v>
      </c>
      <c r="G2176" s="0" t="s">
        <v>146</v>
      </c>
      <c r="H2176" s="0" t="s">
        <v>147</v>
      </c>
      <c r="I2176" s="0" t="s">
        <v>41</v>
      </c>
      <c r="J2176" s="0" t="s">
        <v>42</v>
      </c>
      <c r="K2176" s="0" t="s">
        <v>30</v>
      </c>
      <c r="L2176" s="0" t="s">
        <v>31</v>
      </c>
      <c r="M2176" s="0" t="s">
        <v>140</v>
      </c>
      <c r="N2176" s="0" t="n">
        <v>1381</v>
      </c>
      <c r="O2176" s="10" t="n">
        <v>0.411359544610605</v>
      </c>
      <c r="P2176" s="10" t="n">
        <v>0.577288038097322</v>
      </c>
      <c r="Q2176" s="0" t="str">
        <f aca="false">SUBSTITUTE(SUBSTITUTE($I2176,CHAR(61),""),CHAR(34),"")</f>
        <v>25-34</v>
      </c>
      <c r="R2176" s="0" t="str">
        <f aca="false">IF($D2176&lt;&gt;"","["&amp;$E2176&amp;"]"&amp;"|"&amp;$Q2176&amp;"|"&amp;$K2176&amp;"|"&amp;$G2176&amp;"|"&amp;IF($G2176="TX_CURR_SUBNAT.R","CY2022Q4",$M2176),"")</f>
        <v>[mxqa3CDFmIT]|25-34|Female|TX_CURR_SUBNAT.T_1|CY2023Q3</v>
      </c>
    </row>
    <row r="2177" customFormat="false" ht="15" hidden="false" customHeight="false" outlineLevel="0" collapsed="false">
      <c r="D2177" s="0" t="s">
        <v>99</v>
      </c>
      <c r="E2177" s="0" t="s">
        <v>100</v>
      </c>
      <c r="F2177" s="0" t="s">
        <v>101</v>
      </c>
      <c r="G2177" s="0" t="s">
        <v>146</v>
      </c>
      <c r="H2177" s="0" t="s">
        <v>147</v>
      </c>
      <c r="I2177" s="0" t="s">
        <v>43</v>
      </c>
      <c r="J2177" s="0" t="s">
        <v>44</v>
      </c>
      <c r="K2177" s="0" t="s">
        <v>30</v>
      </c>
      <c r="L2177" s="0" t="s">
        <v>31</v>
      </c>
      <c r="M2177" s="0" t="s">
        <v>140</v>
      </c>
      <c r="N2177" s="0" t="n">
        <v>1388</v>
      </c>
      <c r="O2177" s="10" t="n">
        <v>0.497446494875476</v>
      </c>
      <c r="P2177" s="10" t="n">
        <v>0.577288038097322</v>
      </c>
      <c r="Q2177" s="0" t="str">
        <f aca="false">SUBSTITUTE(SUBSTITUTE($I2177,CHAR(61),""),CHAR(34),"")</f>
        <v>35-49</v>
      </c>
      <c r="R2177" s="0" t="str">
        <f aca="false">IF($D2177&lt;&gt;"","["&amp;$E2177&amp;"]"&amp;"|"&amp;$Q2177&amp;"|"&amp;$K2177&amp;"|"&amp;$G2177&amp;"|"&amp;IF($G2177="TX_CURR_SUBNAT.R","CY2022Q4",$M2177),"")</f>
        <v>[mxqa3CDFmIT]|35-49|Female|TX_CURR_SUBNAT.T_1|CY2023Q3</v>
      </c>
    </row>
    <row r="2178" customFormat="false" ht="15" hidden="false" customHeight="false" outlineLevel="0" collapsed="false">
      <c r="D2178" s="0" t="s">
        <v>99</v>
      </c>
      <c r="E2178" s="0" t="s">
        <v>100</v>
      </c>
      <c r="F2178" s="0" t="s">
        <v>101</v>
      </c>
      <c r="G2178" s="0" t="s">
        <v>146</v>
      </c>
      <c r="H2178" s="0" t="s">
        <v>147</v>
      </c>
      <c r="I2178" s="0" t="s">
        <v>45</v>
      </c>
      <c r="J2178" s="0" t="s">
        <v>46</v>
      </c>
      <c r="K2178" s="0" t="s">
        <v>30</v>
      </c>
      <c r="L2178" s="0" t="s">
        <v>31</v>
      </c>
      <c r="M2178" s="0" t="s">
        <v>140</v>
      </c>
      <c r="N2178" s="0" t="n">
        <v>1496</v>
      </c>
      <c r="O2178" s="10" t="n">
        <v>0.546263921540231</v>
      </c>
      <c r="P2178" s="10" t="n">
        <v>0.577288038097322</v>
      </c>
      <c r="Q2178" s="0" t="str">
        <f aca="false">SUBSTITUTE(SUBSTITUTE($I2178,CHAR(61),""),CHAR(34),"")</f>
        <v>50+</v>
      </c>
      <c r="R2178" s="0" t="str">
        <f aca="false">IF($D2178&lt;&gt;"","["&amp;$E2178&amp;"]"&amp;"|"&amp;$Q2178&amp;"|"&amp;$K2178&amp;"|"&amp;$G2178&amp;"|"&amp;IF($G2178="TX_CURR_SUBNAT.R","CY2022Q4",$M2178),"")</f>
        <v>[mxqa3CDFmIT]|50+|Female|TX_CURR_SUBNAT.T_1|CY2023Q3</v>
      </c>
    </row>
    <row r="2179" customFormat="false" ht="15" hidden="false" customHeight="false" outlineLevel="0" collapsed="false">
      <c r="D2179" s="0" t="s">
        <v>99</v>
      </c>
      <c r="E2179" s="0" t="s">
        <v>100</v>
      </c>
      <c r="F2179" s="0" t="s">
        <v>101</v>
      </c>
      <c r="G2179" s="0" t="s">
        <v>146</v>
      </c>
      <c r="H2179" s="0" t="s">
        <v>147</v>
      </c>
      <c r="I2179" s="0" t="s">
        <v>28</v>
      </c>
      <c r="J2179" s="0" t="s">
        <v>29</v>
      </c>
      <c r="K2179" s="0" t="s">
        <v>48</v>
      </c>
      <c r="L2179" s="0" t="s">
        <v>49</v>
      </c>
      <c r="M2179" s="0" t="s">
        <v>140</v>
      </c>
      <c r="N2179" s="0" t="n">
        <v>1703</v>
      </c>
      <c r="O2179" s="10" t="n">
        <v>0.271199777256697</v>
      </c>
      <c r="P2179" s="10" t="n">
        <v>0.577288038097322</v>
      </c>
      <c r="Q2179" s="0" t="str">
        <f aca="false">SUBSTITUTE(SUBSTITUTE($I2179,CHAR(61),""),CHAR(34),"")</f>
        <v>&lt;01</v>
      </c>
      <c r="R2179" s="0" t="str">
        <f aca="false">IF($D2179&lt;&gt;"","["&amp;$E2179&amp;"]"&amp;"|"&amp;$Q2179&amp;"|"&amp;$K2179&amp;"|"&amp;$G2179&amp;"|"&amp;IF($G2179="TX_CURR_SUBNAT.R","CY2022Q4",$M2179),"")</f>
        <v>[mxqa3CDFmIT]|&lt;01|Male|TX_CURR_SUBNAT.T_1|CY2023Q3</v>
      </c>
    </row>
    <row r="2180" customFormat="false" ht="15" hidden="false" customHeight="false" outlineLevel="0" collapsed="false">
      <c r="D2180" s="0" t="s">
        <v>99</v>
      </c>
      <c r="E2180" s="0" t="s">
        <v>100</v>
      </c>
      <c r="F2180" s="0" t="s">
        <v>101</v>
      </c>
      <c r="G2180" s="0" t="s">
        <v>146</v>
      </c>
      <c r="H2180" s="0" t="s">
        <v>147</v>
      </c>
      <c r="I2180" s="0" t="s">
        <v>33</v>
      </c>
      <c r="J2180" s="0" t="s">
        <v>34</v>
      </c>
      <c r="K2180" s="0" t="s">
        <v>48</v>
      </c>
      <c r="L2180" s="0" t="s">
        <v>49</v>
      </c>
      <c r="M2180" s="0" t="s">
        <v>140</v>
      </c>
      <c r="N2180" s="0" t="n">
        <v>1484</v>
      </c>
      <c r="O2180" s="10" t="n">
        <v>0.0855275399517268</v>
      </c>
      <c r="P2180" s="10" t="n">
        <v>0.577288038097322</v>
      </c>
      <c r="Q2180" s="0" t="str">
        <f aca="false">SUBSTITUTE(SUBSTITUTE($I2180,CHAR(61),""),CHAR(34),"")</f>
        <v>01-09</v>
      </c>
      <c r="R2180" s="0" t="str">
        <f aca="false">IF($D2180&lt;&gt;"","["&amp;$E2180&amp;"]"&amp;"|"&amp;$Q2180&amp;"|"&amp;$K2180&amp;"|"&amp;$G2180&amp;"|"&amp;IF($G2180="TX_CURR_SUBNAT.R","CY2022Q4",$M2180),"")</f>
        <v>[mxqa3CDFmIT]|01-09|Male|TX_CURR_SUBNAT.T_1|CY2023Q3</v>
      </c>
    </row>
    <row r="2181" customFormat="false" ht="15" hidden="false" customHeight="false" outlineLevel="0" collapsed="false">
      <c r="D2181" s="0" t="s">
        <v>99</v>
      </c>
      <c r="E2181" s="0" t="s">
        <v>100</v>
      </c>
      <c r="F2181" s="0" t="s">
        <v>101</v>
      </c>
      <c r="G2181" s="0" t="s">
        <v>146</v>
      </c>
      <c r="H2181" s="0" t="s">
        <v>147</v>
      </c>
      <c r="I2181" s="0" t="s">
        <v>36</v>
      </c>
      <c r="J2181" s="0" t="s">
        <v>37</v>
      </c>
      <c r="K2181" s="0" t="s">
        <v>48</v>
      </c>
      <c r="L2181" s="0" t="s">
        <v>49</v>
      </c>
      <c r="M2181" s="0" t="s">
        <v>140</v>
      </c>
      <c r="N2181" s="0" t="n">
        <v>1540</v>
      </c>
      <c r="O2181" s="10" t="n">
        <v>0.920277355937287</v>
      </c>
      <c r="P2181" s="10" t="n">
        <v>0.577288038097322</v>
      </c>
      <c r="Q2181" s="0" t="str">
        <f aca="false">SUBSTITUTE(SUBSTITUTE($I2181,CHAR(61),""),CHAR(34),"")</f>
        <v>10-14</v>
      </c>
      <c r="R2181" s="0" t="str">
        <f aca="false">IF($D2181&lt;&gt;"","["&amp;$E2181&amp;"]"&amp;"|"&amp;$Q2181&amp;"|"&amp;$K2181&amp;"|"&amp;$G2181&amp;"|"&amp;IF($G2181="TX_CURR_SUBNAT.R","CY2022Q4",$M2181),"")</f>
        <v>[mxqa3CDFmIT]|10-14|Male|TX_CURR_SUBNAT.T_1|CY2023Q3</v>
      </c>
    </row>
    <row r="2182" customFormat="false" ht="15" hidden="false" customHeight="false" outlineLevel="0" collapsed="false">
      <c r="D2182" s="0" t="s">
        <v>99</v>
      </c>
      <c r="E2182" s="0" t="s">
        <v>100</v>
      </c>
      <c r="F2182" s="0" t="s">
        <v>101</v>
      </c>
      <c r="G2182" s="0" t="s">
        <v>146</v>
      </c>
      <c r="H2182" s="0" t="s">
        <v>147</v>
      </c>
      <c r="I2182" s="0" t="s">
        <v>38</v>
      </c>
      <c r="J2182" s="0" t="s">
        <v>39</v>
      </c>
      <c r="K2182" s="0" t="s">
        <v>48</v>
      </c>
      <c r="L2182" s="0" t="s">
        <v>49</v>
      </c>
      <c r="M2182" s="0" t="s">
        <v>140</v>
      </c>
      <c r="N2182" s="0" t="n">
        <v>510</v>
      </c>
      <c r="O2182" s="10" t="n">
        <v>0.447054905351251</v>
      </c>
      <c r="P2182" s="10" t="n">
        <v>0.577288038097322</v>
      </c>
      <c r="Q2182" s="0" t="str">
        <f aca="false">SUBSTITUTE(SUBSTITUTE($I2182,CHAR(61),""),CHAR(34),"")</f>
        <v>15-24</v>
      </c>
      <c r="R2182" s="0" t="str">
        <f aca="false">IF($D2182&lt;&gt;"","["&amp;$E2182&amp;"]"&amp;"|"&amp;$Q2182&amp;"|"&amp;$K2182&amp;"|"&amp;$G2182&amp;"|"&amp;IF($G2182="TX_CURR_SUBNAT.R","CY2022Q4",$M2182),"")</f>
        <v>[mxqa3CDFmIT]|15-24|Male|TX_CURR_SUBNAT.T_1|CY2023Q3</v>
      </c>
    </row>
    <row r="2183" customFormat="false" ht="15" hidden="false" customHeight="false" outlineLevel="0" collapsed="false">
      <c r="D2183" s="0" t="s">
        <v>99</v>
      </c>
      <c r="E2183" s="0" t="s">
        <v>100</v>
      </c>
      <c r="F2183" s="0" t="s">
        <v>101</v>
      </c>
      <c r="G2183" s="0" t="s">
        <v>146</v>
      </c>
      <c r="H2183" s="0" t="s">
        <v>147</v>
      </c>
      <c r="I2183" s="0" t="s">
        <v>41</v>
      </c>
      <c r="J2183" s="0" t="s">
        <v>42</v>
      </c>
      <c r="K2183" s="0" t="s">
        <v>48</v>
      </c>
      <c r="L2183" s="0" t="s">
        <v>49</v>
      </c>
      <c r="M2183" s="0" t="s">
        <v>140</v>
      </c>
      <c r="N2183" s="0" t="n">
        <v>925</v>
      </c>
      <c r="O2183" s="10" t="n">
        <v>0.90062073781155</v>
      </c>
      <c r="P2183" s="10" t="n">
        <v>0.577288038097322</v>
      </c>
      <c r="Q2183" s="0" t="str">
        <f aca="false">SUBSTITUTE(SUBSTITUTE($I2183,CHAR(61),""),CHAR(34),"")</f>
        <v>25-34</v>
      </c>
      <c r="R2183" s="0" t="str">
        <f aca="false">IF($D2183&lt;&gt;"","["&amp;$E2183&amp;"]"&amp;"|"&amp;$Q2183&amp;"|"&amp;$K2183&amp;"|"&amp;$G2183&amp;"|"&amp;IF($G2183="TX_CURR_SUBNAT.R","CY2022Q4",$M2183),"")</f>
        <v>[mxqa3CDFmIT]|25-34|Male|TX_CURR_SUBNAT.T_1|CY2023Q3</v>
      </c>
    </row>
    <row r="2184" customFormat="false" ht="15" hidden="false" customHeight="false" outlineLevel="0" collapsed="false">
      <c r="D2184" s="0" t="s">
        <v>99</v>
      </c>
      <c r="E2184" s="0" t="s">
        <v>100</v>
      </c>
      <c r="F2184" s="0" t="s">
        <v>101</v>
      </c>
      <c r="G2184" s="0" t="s">
        <v>146</v>
      </c>
      <c r="H2184" s="0" t="s">
        <v>147</v>
      </c>
      <c r="I2184" s="0" t="s">
        <v>43</v>
      </c>
      <c r="J2184" s="0" t="s">
        <v>44</v>
      </c>
      <c r="K2184" s="0" t="s">
        <v>48</v>
      </c>
      <c r="L2184" s="0" t="s">
        <v>49</v>
      </c>
      <c r="M2184" s="0" t="s">
        <v>140</v>
      </c>
      <c r="N2184" s="0" t="n">
        <v>708</v>
      </c>
      <c r="O2184" s="10" t="n">
        <v>0.99605747917667</v>
      </c>
      <c r="P2184" s="10" t="n">
        <v>0.577288038097322</v>
      </c>
      <c r="Q2184" s="0" t="str">
        <f aca="false">SUBSTITUTE(SUBSTITUTE($I2184,CHAR(61),""),CHAR(34),"")</f>
        <v>35-49</v>
      </c>
      <c r="R2184" s="0" t="str">
        <f aca="false">IF($D2184&lt;&gt;"","["&amp;$E2184&amp;"]"&amp;"|"&amp;$Q2184&amp;"|"&amp;$K2184&amp;"|"&amp;$G2184&amp;"|"&amp;IF($G2184="TX_CURR_SUBNAT.R","CY2022Q4",$M2184),"")</f>
        <v>[mxqa3CDFmIT]|35-49|Male|TX_CURR_SUBNAT.T_1|CY2023Q3</v>
      </c>
    </row>
    <row r="2185" customFormat="false" ht="15" hidden="false" customHeight="false" outlineLevel="0" collapsed="false">
      <c r="D2185" s="0" t="s">
        <v>99</v>
      </c>
      <c r="E2185" s="0" t="s">
        <v>100</v>
      </c>
      <c r="F2185" s="0" t="s">
        <v>101</v>
      </c>
      <c r="G2185" s="0" t="s">
        <v>146</v>
      </c>
      <c r="H2185" s="0" t="s">
        <v>147</v>
      </c>
      <c r="I2185" s="0" t="s">
        <v>45</v>
      </c>
      <c r="J2185" s="0" t="s">
        <v>46</v>
      </c>
      <c r="K2185" s="0" t="s">
        <v>48</v>
      </c>
      <c r="L2185" s="0" t="s">
        <v>49</v>
      </c>
      <c r="M2185" s="0" t="s">
        <v>140</v>
      </c>
      <c r="N2185" s="0" t="n">
        <v>1916</v>
      </c>
      <c r="O2185" s="10" t="n">
        <v>0.242364052683115</v>
      </c>
      <c r="P2185" s="10" t="n">
        <v>0.577288038097322</v>
      </c>
      <c r="Q2185" s="0" t="str">
        <f aca="false">SUBSTITUTE(SUBSTITUTE($I2185,CHAR(61),""),CHAR(34),"")</f>
        <v>50+</v>
      </c>
      <c r="R2185" s="0" t="str">
        <f aca="false">IF($D2185&lt;&gt;"","["&amp;$E2185&amp;"]"&amp;"|"&amp;$Q2185&amp;"|"&amp;$K2185&amp;"|"&amp;$G2185&amp;"|"&amp;IF($G2185="TX_CURR_SUBNAT.R","CY2022Q4",$M2185),"")</f>
        <v>[mxqa3CDFmIT]|50+|Male|TX_CURR_SUBNAT.T_1|CY2023Q3</v>
      </c>
    </row>
    <row r="2186" customFormat="false" ht="15" hidden="false" customHeight="false" outlineLevel="0" collapsed="false">
      <c r="D2186" s="0" t="s">
        <v>102</v>
      </c>
      <c r="E2186" s="0" t="s">
        <v>103</v>
      </c>
      <c r="F2186" s="0" t="s">
        <v>104</v>
      </c>
      <c r="G2186" s="0" t="s">
        <v>146</v>
      </c>
      <c r="H2186" s="0" t="s">
        <v>147</v>
      </c>
      <c r="I2186" s="0" t="s">
        <v>28</v>
      </c>
      <c r="J2186" s="0" t="s">
        <v>29</v>
      </c>
      <c r="K2186" s="0" t="s">
        <v>30</v>
      </c>
      <c r="L2186" s="0" t="s">
        <v>31</v>
      </c>
      <c r="M2186" s="0" t="s">
        <v>140</v>
      </c>
      <c r="N2186" s="0" t="n">
        <v>674</v>
      </c>
      <c r="O2186" s="10" t="n">
        <v>0.686627936083823</v>
      </c>
      <c r="P2186" s="10" t="n">
        <v>0.526212359312922</v>
      </c>
      <c r="Q2186" s="0" t="str">
        <f aca="false">SUBSTITUTE(SUBSTITUTE($I2186,CHAR(61),""),CHAR(34),"")</f>
        <v>&lt;01</v>
      </c>
      <c r="R2186" s="0" t="str">
        <f aca="false">IF($D2186&lt;&gt;"","["&amp;$E2186&amp;"]"&amp;"|"&amp;$Q2186&amp;"|"&amp;$K2186&amp;"|"&amp;$G2186&amp;"|"&amp;IF($G2186="TX_CURR_SUBNAT.R","CY2022Q4",$M2186),"")</f>
        <v>[wNqJp8oRIcF]|&lt;01|Female|TX_CURR_SUBNAT.T_1|CY2023Q3</v>
      </c>
    </row>
    <row r="2187" customFormat="false" ht="15" hidden="false" customHeight="false" outlineLevel="0" collapsed="false">
      <c r="D2187" s="0" t="s">
        <v>102</v>
      </c>
      <c r="E2187" s="0" t="s">
        <v>103</v>
      </c>
      <c r="F2187" s="0" t="s">
        <v>104</v>
      </c>
      <c r="G2187" s="0" t="s">
        <v>146</v>
      </c>
      <c r="H2187" s="0" t="s">
        <v>147</v>
      </c>
      <c r="I2187" s="0" t="s">
        <v>33</v>
      </c>
      <c r="J2187" s="0" t="s">
        <v>34</v>
      </c>
      <c r="K2187" s="0" t="s">
        <v>30</v>
      </c>
      <c r="L2187" s="0" t="s">
        <v>31</v>
      </c>
      <c r="M2187" s="0" t="s">
        <v>140</v>
      </c>
      <c r="N2187" s="0" t="n">
        <v>819</v>
      </c>
      <c r="O2187" s="10" t="n">
        <v>0.258392689749599</v>
      </c>
      <c r="P2187" s="10" t="n">
        <v>0.526212359312922</v>
      </c>
      <c r="Q2187" s="0" t="str">
        <f aca="false">SUBSTITUTE(SUBSTITUTE($I2187,CHAR(61),""),CHAR(34),"")</f>
        <v>01-09</v>
      </c>
      <c r="R2187" s="0" t="str">
        <f aca="false">IF($D2187&lt;&gt;"","["&amp;$E2187&amp;"]"&amp;"|"&amp;$Q2187&amp;"|"&amp;$K2187&amp;"|"&amp;$G2187&amp;"|"&amp;IF($G2187="TX_CURR_SUBNAT.R","CY2022Q4",$M2187),"")</f>
        <v>[wNqJp8oRIcF]|01-09|Female|TX_CURR_SUBNAT.T_1|CY2023Q3</v>
      </c>
    </row>
    <row r="2188" customFormat="false" ht="15" hidden="false" customHeight="false" outlineLevel="0" collapsed="false">
      <c r="D2188" s="0" t="s">
        <v>102</v>
      </c>
      <c r="E2188" s="0" t="s">
        <v>103</v>
      </c>
      <c r="F2188" s="0" t="s">
        <v>104</v>
      </c>
      <c r="G2188" s="0" t="s">
        <v>146</v>
      </c>
      <c r="H2188" s="0" t="s">
        <v>147</v>
      </c>
      <c r="I2188" s="0" t="s">
        <v>36</v>
      </c>
      <c r="J2188" s="0" t="s">
        <v>37</v>
      </c>
      <c r="K2188" s="0" t="s">
        <v>30</v>
      </c>
      <c r="L2188" s="0" t="s">
        <v>31</v>
      </c>
      <c r="M2188" s="0" t="s">
        <v>140</v>
      </c>
      <c r="N2188" s="0" t="n">
        <v>1800</v>
      </c>
      <c r="O2188" s="10" t="n">
        <v>0.72636404982768</v>
      </c>
      <c r="P2188" s="10" t="n">
        <v>0.526212359312922</v>
      </c>
      <c r="Q2188" s="0" t="str">
        <f aca="false">SUBSTITUTE(SUBSTITUTE($I2188,CHAR(61),""),CHAR(34),"")</f>
        <v>10-14</v>
      </c>
      <c r="R2188" s="0" t="str">
        <f aca="false">IF($D2188&lt;&gt;"","["&amp;$E2188&amp;"]"&amp;"|"&amp;$Q2188&amp;"|"&amp;$K2188&amp;"|"&amp;$G2188&amp;"|"&amp;IF($G2188="TX_CURR_SUBNAT.R","CY2022Q4",$M2188),"")</f>
        <v>[wNqJp8oRIcF]|10-14|Female|TX_CURR_SUBNAT.T_1|CY2023Q3</v>
      </c>
    </row>
    <row r="2189" customFormat="false" ht="15" hidden="false" customHeight="false" outlineLevel="0" collapsed="false">
      <c r="D2189" s="0" t="s">
        <v>102</v>
      </c>
      <c r="E2189" s="0" t="s">
        <v>103</v>
      </c>
      <c r="F2189" s="0" t="s">
        <v>104</v>
      </c>
      <c r="G2189" s="0" t="s">
        <v>146</v>
      </c>
      <c r="H2189" s="0" t="s">
        <v>147</v>
      </c>
      <c r="I2189" s="0" t="s">
        <v>38</v>
      </c>
      <c r="J2189" s="0" t="s">
        <v>39</v>
      </c>
      <c r="K2189" s="0" t="s">
        <v>30</v>
      </c>
      <c r="L2189" s="0" t="s">
        <v>31</v>
      </c>
      <c r="M2189" s="0" t="s">
        <v>140</v>
      </c>
      <c r="N2189" s="0" t="n">
        <v>757</v>
      </c>
      <c r="O2189" s="10" t="n">
        <v>0.00618165475316346</v>
      </c>
      <c r="P2189" s="10" t="n">
        <v>0.526212359312922</v>
      </c>
      <c r="Q2189" s="0" t="str">
        <f aca="false">SUBSTITUTE(SUBSTITUTE($I2189,CHAR(61),""),CHAR(34),"")</f>
        <v>15-24</v>
      </c>
      <c r="R2189" s="0" t="str">
        <f aca="false">IF($D2189&lt;&gt;"","["&amp;$E2189&amp;"]"&amp;"|"&amp;$Q2189&amp;"|"&amp;$K2189&amp;"|"&amp;$G2189&amp;"|"&amp;IF($G2189="TX_CURR_SUBNAT.R","CY2022Q4",$M2189),"")</f>
        <v>[wNqJp8oRIcF]|15-24|Female|TX_CURR_SUBNAT.T_1|CY2023Q3</v>
      </c>
    </row>
    <row r="2190" customFormat="false" ht="15" hidden="false" customHeight="false" outlineLevel="0" collapsed="false">
      <c r="D2190" s="0" t="s">
        <v>102</v>
      </c>
      <c r="E2190" s="0" t="s">
        <v>103</v>
      </c>
      <c r="F2190" s="0" t="s">
        <v>104</v>
      </c>
      <c r="G2190" s="0" t="s">
        <v>146</v>
      </c>
      <c r="H2190" s="0" t="s">
        <v>147</v>
      </c>
      <c r="I2190" s="0" t="s">
        <v>41</v>
      </c>
      <c r="J2190" s="0" t="s">
        <v>42</v>
      </c>
      <c r="K2190" s="0" t="s">
        <v>30</v>
      </c>
      <c r="L2190" s="0" t="s">
        <v>31</v>
      </c>
      <c r="M2190" s="0" t="s">
        <v>140</v>
      </c>
      <c r="N2190" s="0" t="n">
        <v>623</v>
      </c>
      <c r="O2190" s="10" t="n">
        <v>0.572226862423122</v>
      </c>
      <c r="P2190" s="10" t="n">
        <v>0.526212359312922</v>
      </c>
      <c r="Q2190" s="0" t="str">
        <f aca="false">SUBSTITUTE(SUBSTITUTE($I2190,CHAR(61),""),CHAR(34),"")</f>
        <v>25-34</v>
      </c>
      <c r="R2190" s="0" t="str">
        <f aca="false">IF($D2190&lt;&gt;"","["&amp;$E2190&amp;"]"&amp;"|"&amp;$Q2190&amp;"|"&amp;$K2190&amp;"|"&amp;$G2190&amp;"|"&amp;IF($G2190="TX_CURR_SUBNAT.R","CY2022Q4",$M2190),"")</f>
        <v>[wNqJp8oRIcF]|25-34|Female|TX_CURR_SUBNAT.T_1|CY2023Q3</v>
      </c>
    </row>
    <row r="2191" customFormat="false" ht="15" hidden="false" customHeight="false" outlineLevel="0" collapsed="false">
      <c r="D2191" s="0" t="s">
        <v>102</v>
      </c>
      <c r="E2191" s="0" t="s">
        <v>103</v>
      </c>
      <c r="F2191" s="0" t="s">
        <v>104</v>
      </c>
      <c r="G2191" s="0" t="s">
        <v>146</v>
      </c>
      <c r="H2191" s="0" t="s">
        <v>147</v>
      </c>
      <c r="I2191" s="0" t="s">
        <v>43</v>
      </c>
      <c r="J2191" s="0" t="s">
        <v>44</v>
      </c>
      <c r="K2191" s="0" t="s">
        <v>30</v>
      </c>
      <c r="L2191" s="0" t="s">
        <v>31</v>
      </c>
      <c r="M2191" s="0" t="s">
        <v>140</v>
      </c>
      <c r="N2191" s="0" t="n">
        <v>1975</v>
      </c>
      <c r="O2191" s="10" t="n">
        <v>0.946390722878277</v>
      </c>
      <c r="P2191" s="10" t="n">
        <v>0.526212359312922</v>
      </c>
      <c r="Q2191" s="0" t="str">
        <f aca="false">SUBSTITUTE(SUBSTITUTE($I2191,CHAR(61),""),CHAR(34),"")</f>
        <v>35-49</v>
      </c>
      <c r="R2191" s="0" t="str">
        <f aca="false">IF($D2191&lt;&gt;"","["&amp;$E2191&amp;"]"&amp;"|"&amp;$Q2191&amp;"|"&amp;$K2191&amp;"|"&amp;$G2191&amp;"|"&amp;IF($G2191="TX_CURR_SUBNAT.R","CY2022Q4",$M2191),"")</f>
        <v>[wNqJp8oRIcF]|35-49|Female|TX_CURR_SUBNAT.T_1|CY2023Q3</v>
      </c>
    </row>
    <row r="2192" customFormat="false" ht="15" hidden="false" customHeight="false" outlineLevel="0" collapsed="false">
      <c r="D2192" s="0" t="s">
        <v>102</v>
      </c>
      <c r="E2192" s="0" t="s">
        <v>103</v>
      </c>
      <c r="F2192" s="0" t="s">
        <v>104</v>
      </c>
      <c r="G2192" s="0" t="s">
        <v>146</v>
      </c>
      <c r="H2192" s="0" t="s">
        <v>147</v>
      </c>
      <c r="I2192" s="0" t="s">
        <v>45</v>
      </c>
      <c r="J2192" s="0" t="s">
        <v>46</v>
      </c>
      <c r="K2192" s="0" t="s">
        <v>30</v>
      </c>
      <c r="L2192" s="0" t="s">
        <v>31</v>
      </c>
      <c r="M2192" s="0" t="s">
        <v>140</v>
      </c>
      <c r="N2192" s="0" t="n">
        <v>1948</v>
      </c>
      <c r="O2192" s="10" t="n">
        <v>0.24886667705141</v>
      </c>
      <c r="P2192" s="10" t="n">
        <v>0.526212359312922</v>
      </c>
      <c r="Q2192" s="0" t="str">
        <f aca="false">SUBSTITUTE(SUBSTITUTE($I2192,CHAR(61),""),CHAR(34),"")</f>
        <v>50+</v>
      </c>
      <c r="R2192" s="0" t="str">
        <f aca="false">IF($D2192&lt;&gt;"","["&amp;$E2192&amp;"]"&amp;"|"&amp;$Q2192&amp;"|"&amp;$K2192&amp;"|"&amp;$G2192&amp;"|"&amp;IF($G2192="TX_CURR_SUBNAT.R","CY2022Q4",$M2192),"")</f>
        <v>[wNqJp8oRIcF]|50+|Female|TX_CURR_SUBNAT.T_1|CY2023Q3</v>
      </c>
    </row>
    <row r="2193" customFormat="false" ht="15" hidden="false" customHeight="false" outlineLevel="0" collapsed="false">
      <c r="D2193" s="0" t="s">
        <v>102</v>
      </c>
      <c r="E2193" s="0" t="s">
        <v>103</v>
      </c>
      <c r="F2193" s="0" t="s">
        <v>104</v>
      </c>
      <c r="G2193" s="0" t="s">
        <v>146</v>
      </c>
      <c r="H2193" s="0" t="s">
        <v>147</v>
      </c>
      <c r="I2193" s="0" t="s">
        <v>28</v>
      </c>
      <c r="J2193" s="0" t="s">
        <v>29</v>
      </c>
      <c r="K2193" s="0" t="s">
        <v>48</v>
      </c>
      <c r="L2193" s="0" t="s">
        <v>49</v>
      </c>
      <c r="M2193" s="0" t="s">
        <v>140</v>
      </c>
      <c r="N2193" s="0" t="n">
        <v>1982</v>
      </c>
      <c r="O2193" s="10" t="n">
        <v>0.811206310987473</v>
      </c>
      <c r="P2193" s="10" t="n">
        <v>0.526212359312922</v>
      </c>
      <c r="Q2193" s="0" t="str">
        <f aca="false">SUBSTITUTE(SUBSTITUTE($I2193,CHAR(61),""),CHAR(34),"")</f>
        <v>&lt;01</v>
      </c>
      <c r="R2193" s="0" t="str">
        <f aca="false">IF($D2193&lt;&gt;"","["&amp;$E2193&amp;"]"&amp;"|"&amp;$Q2193&amp;"|"&amp;$K2193&amp;"|"&amp;$G2193&amp;"|"&amp;IF($G2193="TX_CURR_SUBNAT.R","CY2022Q4",$M2193),"")</f>
        <v>[wNqJp8oRIcF]|&lt;01|Male|TX_CURR_SUBNAT.T_1|CY2023Q3</v>
      </c>
    </row>
    <row r="2194" customFormat="false" ht="15" hidden="false" customHeight="false" outlineLevel="0" collapsed="false">
      <c r="D2194" s="0" t="s">
        <v>102</v>
      </c>
      <c r="E2194" s="0" t="s">
        <v>103</v>
      </c>
      <c r="F2194" s="0" t="s">
        <v>104</v>
      </c>
      <c r="G2194" s="0" t="s">
        <v>146</v>
      </c>
      <c r="H2194" s="0" t="s">
        <v>147</v>
      </c>
      <c r="I2194" s="0" t="s">
        <v>33</v>
      </c>
      <c r="J2194" s="0" t="s">
        <v>34</v>
      </c>
      <c r="K2194" s="0" t="s">
        <v>48</v>
      </c>
      <c r="L2194" s="0" t="s">
        <v>49</v>
      </c>
      <c r="M2194" s="0" t="s">
        <v>140</v>
      </c>
      <c r="N2194" s="0" t="n">
        <v>966</v>
      </c>
      <c r="O2194" s="10" t="n">
        <v>0.0862462837249041</v>
      </c>
      <c r="P2194" s="10" t="n">
        <v>0.526212359312922</v>
      </c>
      <c r="Q2194" s="0" t="str">
        <f aca="false">SUBSTITUTE(SUBSTITUTE($I2194,CHAR(61),""),CHAR(34),"")</f>
        <v>01-09</v>
      </c>
      <c r="R2194" s="0" t="str">
        <f aca="false">IF($D2194&lt;&gt;"","["&amp;$E2194&amp;"]"&amp;"|"&amp;$Q2194&amp;"|"&amp;$K2194&amp;"|"&amp;$G2194&amp;"|"&amp;IF($G2194="TX_CURR_SUBNAT.R","CY2022Q4",$M2194),"")</f>
        <v>[wNqJp8oRIcF]|01-09|Male|TX_CURR_SUBNAT.T_1|CY2023Q3</v>
      </c>
    </row>
    <row r="2195" customFormat="false" ht="15" hidden="false" customHeight="false" outlineLevel="0" collapsed="false">
      <c r="D2195" s="0" t="s">
        <v>102</v>
      </c>
      <c r="E2195" s="0" t="s">
        <v>103</v>
      </c>
      <c r="F2195" s="0" t="s">
        <v>104</v>
      </c>
      <c r="G2195" s="0" t="s">
        <v>146</v>
      </c>
      <c r="H2195" s="0" t="s">
        <v>147</v>
      </c>
      <c r="I2195" s="0" t="s">
        <v>36</v>
      </c>
      <c r="J2195" s="0" t="s">
        <v>37</v>
      </c>
      <c r="K2195" s="0" t="s">
        <v>48</v>
      </c>
      <c r="L2195" s="0" t="s">
        <v>49</v>
      </c>
      <c r="M2195" s="0" t="s">
        <v>140</v>
      </c>
      <c r="N2195" s="0" t="n">
        <v>1136</v>
      </c>
      <c r="O2195" s="10" t="n">
        <v>0.610298720886931</v>
      </c>
      <c r="P2195" s="10" t="n">
        <v>0.526212359312922</v>
      </c>
      <c r="Q2195" s="0" t="str">
        <f aca="false">SUBSTITUTE(SUBSTITUTE($I2195,CHAR(61),""),CHAR(34),"")</f>
        <v>10-14</v>
      </c>
      <c r="R2195" s="0" t="str">
        <f aca="false">IF($D2195&lt;&gt;"","["&amp;$E2195&amp;"]"&amp;"|"&amp;$Q2195&amp;"|"&amp;$K2195&amp;"|"&amp;$G2195&amp;"|"&amp;IF($G2195="TX_CURR_SUBNAT.R","CY2022Q4",$M2195),"")</f>
        <v>[wNqJp8oRIcF]|10-14|Male|TX_CURR_SUBNAT.T_1|CY2023Q3</v>
      </c>
    </row>
    <row r="2196" customFormat="false" ht="15" hidden="false" customHeight="false" outlineLevel="0" collapsed="false">
      <c r="D2196" s="0" t="s">
        <v>102</v>
      </c>
      <c r="E2196" s="0" t="s">
        <v>103</v>
      </c>
      <c r="F2196" s="0" t="s">
        <v>104</v>
      </c>
      <c r="G2196" s="0" t="s">
        <v>146</v>
      </c>
      <c r="H2196" s="0" t="s">
        <v>147</v>
      </c>
      <c r="I2196" s="0" t="s">
        <v>38</v>
      </c>
      <c r="J2196" s="0" t="s">
        <v>39</v>
      </c>
      <c r="K2196" s="0" t="s">
        <v>48</v>
      </c>
      <c r="L2196" s="0" t="s">
        <v>49</v>
      </c>
      <c r="M2196" s="0" t="s">
        <v>140</v>
      </c>
      <c r="N2196" s="0" t="n">
        <v>1124</v>
      </c>
      <c r="O2196" s="10" t="n">
        <v>0.159185639116913</v>
      </c>
      <c r="P2196" s="10" t="n">
        <v>0.526212359312922</v>
      </c>
      <c r="Q2196" s="0" t="str">
        <f aca="false">SUBSTITUTE(SUBSTITUTE($I2196,CHAR(61),""),CHAR(34),"")</f>
        <v>15-24</v>
      </c>
      <c r="R2196" s="0" t="str">
        <f aca="false">IF($D2196&lt;&gt;"","["&amp;$E2196&amp;"]"&amp;"|"&amp;$Q2196&amp;"|"&amp;$K2196&amp;"|"&amp;$G2196&amp;"|"&amp;IF($G2196="TX_CURR_SUBNAT.R","CY2022Q4",$M2196),"")</f>
        <v>[wNqJp8oRIcF]|15-24|Male|TX_CURR_SUBNAT.T_1|CY2023Q3</v>
      </c>
    </row>
    <row r="2197" customFormat="false" ht="15" hidden="false" customHeight="false" outlineLevel="0" collapsed="false">
      <c r="D2197" s="0" t="s">
        <v>102</v>
      </c>
      <c r="E2197" s="0" t="s">
        <v>103</v>
      </c>
      <c r="F2197" s="0" t="s">
        <v>104</v>
      </c>
      <c r="G2197" s="0" t="s">
        <v>146</v>
      </c>
      <c r="H2197" s="0" t="s">
        <v>147</v>
      </c>
      <c r="I2197" s="0" t="s">
        <v>41</v>
      </c>
      <c r="J2197" s="0" t="s">
        <v>42</v>
      </c>
      <c r="K2197" s="0" t="s">
        <v>48</v>
      </c>
      <c r="L2197" s="0" t="s">
        <v>49</v>
      </c>
      <c r="M2197" s="0" t="s">
        <v>140</v>
      </c>
      <c r="N2197" s="0" t="n">
        <v>559</v>
      </c>
      <c r="O2197" s="10" t="n">
        <v>0.482397109502926</v>
      </c>
      <c r="P2197" s="10" t="n">
        <v>0.526212359312922</v>
      </c>
      <c r="Q2197" s="0" t="str">
        <f aca="false">SUBSTITUTE(SUBSTITUTE($I2197,CHAR(61),""),CHAR(34),"")</f>
        <v>25-34</v>
      </c>
      <c r="R2197" s="0" t="str">
        <f aca="false">IF($D2197&lt;&gt;"","["&amp;$E2197&amp;"]"&amp;"|"&amp;$Q2197&amp;"|"&amp;$K2197&amp;"|"&amp;$G2197&amp;"|"&amp;IF($G2197="TX_CURR_SUBNAT.R","CY2022Q4",$M2197),"")</f>
        <v>[wNqJp8oRIcF]|25-34|Male|TX_CURR_SUBNAT.T_1|CY2023Q3</v>
      </c>
    </row>
    <row r="2198" customFormat="false" ht="15" hidden="false" customHeight="false" outlineLevel="0" collapsed="false">
      <c r="D2198" s="0" t="s">
        <v>102</v>
      </c>
      <c r="E2198" s="0" t="s">
        <v>103</v>
      </c>
      <c r="F2198" s="0" t="s">
        <v>104</v>
      </c>
      <c r="G2198" s="0" t="s">
        <v>146</v>
      </c>
      <c r="H2198" s="0" t="s">
        <v>147</v>
      </c>
      <c r="I2198" s="0" t="s">
        <v>43</v>
      </c>
      <c r="J2198" s="0" t="s">
        <v>44</v>
      </c>
      <c r="K2198" s="0" t="s">
        <v>48</v>
      </c>
      <c r="L2198" s="0" t="s">
        <v>49</v>
      </c>
      <c r="M2198" s="0" t="s">
        <v>140</v>
      </c>
      <c r="N2198" s="0" t="n">
        <v>1322</v>
      </c>
      <c r="O2198" s="10" t="n">
        <v>0.172518897103146</v>
      </c>
      <c r="P2198" s="10" t="n">
        <v>0.526212359312922</v>
      </c>
      <c r="Q2198" s="0" t="str">
        <f aca="false">SUBSTITUTE(SUBSTITUTE($I2198,CHAR(61),""),CHAR(34),"")</f>
        <v>35-49</v>
      </c>
      <c r="R2198" s="0" t="str">
        <f aca="false">IF($D2198&lt;&gt;"","["&amp;$E2198&amp;"]"&amp;"|"&amp;$Q2198&amp;"|"&amp;$K2198&amp;"|"&amp;$G2198&amp;"|"&amp;IF($G2198="TX_CURR_SUBNAT.R","CY2022Q4",$M2198),"")</f>
        <v>[wNqJp8oRIcF]|35-49|Male|TX_CURR_SUBNAT.T_1|CY2023Q3</v>
      </c>
    </row>
    <row r="2199" customFormat="false" ht="15" hidden="false" customHeight="false" outlineLevel="0" collapsed="false">
      <c r="D2199" s="0" t="s">
        <v>102</v>
      </c>
      <c r="E2199" s="0" t="s">
        <v>103</v>
      </c>
      <c r="F2199" s="0" t="s">
        <v>104</v>
      </c>
      <c r="G2199" s="0" t="s">
        <v>146</v>
      </c>
      <c r="H2199" s="0" t="s">
        <v>147</v>
      </c>
      <c r="I2199" s="0" t="s">
        <v>45</v>
      </c>
      <c r="J2199" s="0" t="s">
        <v>46</v>
      </c>
      <c r="K2199" s="0" t="s">
        <v>48</v>
      </c>
      <c r="L2199" s="0" t="s">
        <v>49</v>
      </c>
      <c r="M2199" s="0" t="s">
        <v>140</v>
      </c>
      <c r="N2199" s="0" t="n">
        <v>1914</v>
      </c>
      <c r="O2199" s="10" t="n">
        <v>0.657121829222888</v>
      </c>
      <c r="P2199" s="10" t="n">
        <v>0.526212359312922</v>
      </c>
      <c r="Q2199" s="0" t="str">
        <f aca="false">SUBSTITUTE(SUBSTITUTE($I2199,CHAR(61),""),CHAR(34),"")</f>
        <v>50+</v>
      </c>
      <c r="R2199" s="0" t="str">
        <f aca="false">IF($D2199&lt;&gt;"","["&amp;$E2199&amp;"]"&amp;"|"&amp;$Q2199&amp;"|"&amp;$K2199&amp;"|"&amp;$G2199&amp;"|"&amp;IF($G2199="TX_CURR_SUBNAT.R","CY2022Q4",$M2199),"")</f>
        <v>[wNqJp8oRIcF]|50+|Male|TX_CURR_SUBNAT.T_1|CY2023Q3</v>
      </c>
    </row>
    <row r="2200" customFormat="false" ht="15" hidden="false" customHeight="false" outlineLevel="0" collapsed="false">
      <c r="D2200" s="0" t="s">
        <v>105</v>
      </c>
      <c r="E2200" s="0" t="s">
        <v>106</v>
      </c>
      <c r="F2200" s="0" t="s">
        <v>107</v>
      </c>
      <c r="G2200" s="0" t="s">
        <v>146</v>
      </c>
      <c r="H2200" s="0" t="s">
        <v>147</v>
      </c>
      <c r="I2200" s="0" t="s">
        <v>28</v>
      </c>
      <c r="J2200" s="0" t="s">
        <v>29</v>
      </c>
      <c r="K2200" s="0" t="s">
        <v>30</v>
      </c>
      <c r="L2200" s="0" t="s">
        <v>31</v>
      </c>
      <c r="M2200" s="0" t="s">
        <v>140</v>
      </c>
      <c r="N2200" s="0" t="n">
        <v>867</v>
      </c>
      <c r="O2200" s="10" t="n">
        <v>0.0468418661039323</v>
      </c>
      <c r="P2200" s="10" t="n">
        <v>0.218249560333788</v>
      </c>
      <c r="Q2200" s="0" t="str">
        <f aca="false">SUBSTITUTE(SUBSTITUTE($I2200,CHAR(61),""),CHAR(34),"")</f>
        <v>&lt;01</v>
      </c>
      <c r="R2200" s="0" t="str">
        <f aca="false">IF($D2200&lt;&gt;"","["&amp;$E2200&amp;"]"&amp;"|"&amp;$Q2200&amp;"|"&amp;$K2200&amp;"|"&amp;$G2200&amp;"|"&amp;IF($G2200="TX_CURR_SUBNAT.R","CY2022Q4",$M2200),"")</f>
        <v>[oiPR2CiVJbf]|&lt;01|Female|TX_CURR_SUBNAT.T_1|CY2023Q3</v>
      </c>
    </row>
    <row r="2201" customFormat="false" ht="15" hidden="false" customHeight="false" outlineLevel="0" collapsed="false">
      <c r="D2201" s="0" t="s">
        <v>105</v>
      </c>
      <c r="E2201" s="0" t="s">
        <v>106</v>
      </c>
      <c r="F2201" s="0" t="s">
        <v>107</v>
      </c>
      <c r="G2201" s="0" t="s">
        <v>146</v>
      </c>
      <c r="H2201" s="0" t="s">
        <v>147</v>
      </c>
      <c r="I2201" s="0" t="s">
        <v>33</v>
      </c>
      <c r="J2201" s="0" t="s">
        <v>34</v>
      </c>
      <c r="K2201" s="0" t="s">
        <v>30</v>
      </c>
      <c r="L2201" s="0" t="s">
        <v>31</v>
      </c>
      <c r="M2201" s="0" t="s">
        <v>140</v>
      </c>
      <c r="N2201" s="0" t="n">
        <v>1225</v>
      </c>
      <c r="O2201" s="10" t="n">
        <v>0.223977686604485</v>
      </c>
      <c r="P2201" s="10" t="n">
        <v>0.218249560333788</v>
      </c>
      <c r="Q2201" s="0" t="str">
        <f aca="false">SUBSTITUTE(SUBSTITUTE($I2201,CHAR(61),""),CHAR(34),"")</f>
        <v>01-09</v>
      </c>
      <c r="R2201" s="0" t="str">
        <f aca="false">IF($D2201&lt;&gt;"","["&amp;$E2201&amp;"]"&amp;"|"&amp;$Q2201&amp;"|"&amp;$K2201&amp;"|"&amp;$G2201&amp;"|"&amp;IF($G2201="TX_CURR_SUBNAT.R","CY2022Q4",$M2201),"")</f>
        <v>[oiPR2CiVJbf]|01-09|Female|TX_CURR_SUBNAT.T_1|CY2023Q3</v>
      </c>
    </row>
    <row r="2202" customFormat="false" ht="15" hidden="false" customHeight="false" outlineLevel="0" collapsed="false">
      <c r="D2202" s="0" t="s">
        <v>105</v>
      </c>
      <c r="E2202" s="0" t="s">
        <v>106</v>
      </c>
      <c r="F2202" s="0" t="s">
        <v>107</v>
      </c>
      <c r="G2202" s="0" t="s">
        <v>146</v>
      </c>
      <c r="H2202" s="0" t="s">
        <v>147</v>
      </c>
      <c r="I2202" s="0" t="s">
        <v>36</v>
      </c>
      <c r="J2202" s="0" t="s">
        <v>37</v>
      </c>
      <c r="K2202" s="0" t="s">
        <v>30</v>
      </c>
      <c r="L2202" s="0" t="s">
        <v>31</v>
      </c>
      <c r="M2202" s="0" t="s">
        <v>140</v>
      </c>
      <c r="N2202" s="0" t="n">
        <v>978</v>
      </c>
      <c r="O2202" s="10" t="n">
        <v>0.237367342691869</v>
      </c>
      <c r="P2202" s="10" t="n">
        <v>0.218249560333788</v>
      </c>
      <c r="Q2202" s="0" t="str">
        <f aca="false">SUBSTITUTE(SUBSTITUTE($I2202,CHAR(61),""),CHAR(34),"")</f>
        <v>10-14</v>
      </c>
      <c r="R2202" s="0" t="str">
        <f aca="false">IF($D2202&lt;&gt;"","["&amp;$E2202&amp;"]"&amp;"|"&amp;$Q2202&amp;"|"&amp;$K2202&amp;"|"&amp;$G2202&amp;"|"&amp;IF($G2202="TX_CURR_SUBNAT.R","CY2022Q4",$M2202),"")</f>
        <v>[oiPR2CiVJbf]|10-14|Female|TX_CURR_SUBNAT.T_1|CY2023Q3</v>
      </c>
    </row>
    <row r="2203" customFormat="false" ht="15" hidden="false" customHeight="false" outlineLevel="0" collapsed="false">
      <c r="D2203" s="0" t="s">
        <v>105</v>
      </c>
      <c r="E2203" s="0" t="s">
        <v>106</v>
      </c>
      <c r="F2203" s="0" t="s">
        <v>107</v>
      </c>
      <c r="G2203" s="0" t="s">
        <v>146</v>
      </c>
      <c r="H2203" s="0" t="s">
        <v>147</v>
      </c>
      <c r="I2203" s="0" t="s">
        <v>38</v>
      </c>
      <c r="J2203" s="0" t="s">
        <v>39</v>
      </c>
      <c r="K2203" s="0" t="s">
        <v>30</v>
      </c>
      <c r="L2203" s="0" t="s">
        <v>31</v>
      </c>
      <c r="M2203" s="0" t="s">
        <v>140</v>
      </c>
      <c r="N2203" s="0" t="n">
        <v>842</v>
      </c>
      <c r="O2203" s="10" t="n">
        <v>0.919386559398845</v>
      </c>
      <c r="P2203" s="10" t="n">
        <v>0.218249560333788</v>
      </c>
      <c r="Q2203" s="0" t="str">
        <f aca="false">SUBSTITUTE(SUBSTITUTE($I2203,CHAR(61),""),CHAR(34),"")</f>
        <v>15-24</v>
      </c>
      <c r="R2203" s="0" t="str">
        <f aca="false">IF($D2203&lt;&gt;"","["&amp;$E2203&amp;"]"&amp;"|"&amp;$Q2203&amp;"|"&amp;$K2203&amp;"|"&amp;$G2203&amp;"|"&amp;IF($G2203="TX_CURR_SUBNAT.R","CY2022Q4",$M2203),"")</f>
        <v>[oiPR2CiVJbf]|15-24|Female|TX_CURR_SUBNAT.T_1|CY2023Q3</v>
      </c>
    </row>
    <row r="2204" customFormat="false" ht="15" hidden="false" customHeight="false" outlineLevel="0" collapsed="false">
      <c r="D2204" s="0" t="s">
        <v>105</v>
      </c>
      <c r="E2204" s="0" t="s">
        <v>106</v>
      </c>
      <c r="F2204" s="0" t="s">
        <v>107</v>
      </c>
      <c r="G2204" s="0" t="s">
        <v>146</v>
      </c>
      <c r="H2204" s="0" t="s">
        <v>147</v>
      </c>
      <c r="I2204" s="0" t="s">
        <v>41</v>
      </c>
      <c r="J2204" s="0" t="s">
        <v>42</v>
      </c>
      <c r="K2204" s="0" t="s">
        <v>30</v>
      </c>
      <c r="L2204" s="0" t="s">
        <v>31</v>
      </c>
      <c r="M2204" s="0" t="s">
        <v>140</v>
      </c>
      <c r="N2204" s="0" t="n">
        <v>1376</v>
      </c>
      <c r="O2204" s="10" t="n">
        <v>0.29536448023282</v>
      </c>
      <c r="P2204" s="10" t="n">
        <v>0.218249560333788</v>
      </c>
      <c r="Q2204" s="0" t="str">
        <f aca="false">SUBSTITUTE(SUBSTITUTE($I2204,CHAR(61),""),CHAR(34),"")</f>
        <v>25-34</v>
      </c>
      <c r="R2204" s="0" t="str">
        <f aca="false">IF($D2204&lt;&gt;"","["&amp;$E2204&amp;"]"&amp;"|"&amp;$Q2204&amp;"|"&amp;$K2204&amp;"|"&amp;$G2204&amp;"|"&amp;IF($G2204="TX_CURR_SUBNAT.R","CY2022Q4",$M2204),"")</f>
        <v>[oiPR2CiVJbf]|25-34|Female|TX_CURR_SUBNAT.T_1|CY2023Q3</v>
      </c>
    </row>
    <row r="2205" customFormat="false" ht="15" hidden="false" customHeight="false" outlineLevel="0" collapsed="false">
      <c r="D2205" s="0" t="s">
        <v>105</v>
      </c>
      <c r="E2205" s="0" t="s">
        <v>106</v>
      </c>
      <c r="F2205" s="0" t="s">
        <v>107</v>
      </c>
      <c r="G2205" s="0" t="s">
        <v>146</v>
      </c>
      <c r="H2205" s="0" t="s">
        <v>147</v>
      </c>
      <c r="I2205" s="0" t="s">
        <v>43</v>
      </c>
      <c r="J2205" s="0" t="s">
        <v>44</v>
      </c>
      <c r="K2205" s="0" t="s">
        <v>30</v>
      </c>
      <c r="L2205" s="0" t="s">
        <v>31</v>
      </c>
      <c r="M2205" s="0" t="s">
        <v>140</v>
      </c>
      <c r="N2205" s="0" t="n">
        <v>1437</v>
      </c>
      <c r="O2205" s="10" t="n">
        <v>0.85622083209455</v>
      </c>
      <c r="P2205" s="10" t="n">
        <v>0.218249560333788</v>
      </c>
      <c r="Q2205" s="0" t="str">
        <f aca="false">SUBSTITUTE(SUBSTITUTE($I2205,CHAR(61),""),CHAR(34),"")</f>
        <v>35-49</v>
      </c>
      <c r="R2205" s="0" t="str">
        <f aca="false">IF($D2205&lt;&gt;"","["&amp;$E2205&amp;"]"&amp;"|"&amp;$Q2205&amp;"|"&amp;$K2205&amp;"|"&amp;$G2205&amp;"|"&amp;IF($G2205="TX_CURR_SUBNAT.R","CY2022Q4",$M2205),"")</f>
        <v>[oiPR2CiVJbf]|35-49|Female|TX_CURR_SUBNAT.T_1|CY2023Q3</v>
      </c>
    </row>
    <row r="2206" customFormat="false" ht="15" hidden="false" customHeight="false" outlineLevel="0" collapsed="false">
      <c r="D2206" s="0" t="s">
        <v>105</v>
      </c>
      <c r="E2206" s="0" t="s">
        <v>106</v>
      </c>
      <c r="F2206" s="0" t="s">
        <v>107</v>
      </c>
      <c r="G2206" s="0" t="s">
        <v>146</v>
      </c>
      <c r="H2206" s="0" t="s">
        <v>147</v>
      </c>
      <c r="I2206" s="0" t="s">
        <v>45</v>
      </c>
      <c r="J2206" s="0" t="s">
        <v>46</v>
      </c>
      <c r="K2206" s="0" t="s">
        <v>30</v>
      </c>
      <c r="L2206" s="0" t="s">
        <v>31</v>
      </c>
      <c r="M2206" s="0" t="s">
        <v>140</v>
      </c>
      <c r="N2206" s="0" t="n">
        <v>1665</v>
      </c>
      <c r="O2206" s="10" t="n">
        <v>0.933391623664647</v>
      </c>
      <c r="P2206" s="10" t="n">
        <v>0.218249560333788</v>
      </c>
      <c r="Q2206" s="0" t="str">
        <f aca="false">SUBSTITUTE(SUBSTITUTE($I2206,CHAR(61),""),CHAR(34),"")</f>
        <v>50+</v>
      </c>
      <c r="R2206" s="0" t="str">
        <f aca="false">IF($D2206&lt;&gt;"","["&amp;$E2206&amp;"]"&amp;"|"&amp;$Q2206&amp;"|"&amp;$K2206&amp;"|"&amp;$G2206&amp;"|"&amp;IF($G2206="TX_CURR_SUBNAT.R","CY2022Q4",$M2206),"")</f>
        <v>[oiPR2CiVJbf]|50+|Female|TX_CURR_SUBNAT.T_1|CY2023Q3</v>
      </c>
    </row>
    <row r="2207" customFormat="false" ht="15" hidden="false" customHeight="false" outlineLevel="0" collapsed="false">
      <c r="D2207" s="0" t="s">
        <v>105</v>
      </c>
      <c r="E2207" s="0" t="s">
        <v>106</v>
      </c>
      <c r="F2207" s="0" t="s">
        <v>107</v>
      </c>
      <c r="G2207" s="0" t="s">
        <v>146</v>
      </c>
      <c r="H2207" s="0" t="s">
        <v>147</v>
      </c>
      <c r="I2207" s="0" t="s">
        <v>28</v>
      </c>
      <c r="J2207" s="0" t="s">
        <v>29</v>
      </c>
      <c r="K2207" s="0" t="s">
        <v>48</v>
      </c>
      <c r="L2207" s="0" t="s">
        <v>49</v>
      </c>
      <c r="M2207" s="0" t="s">
        <v>140</v>
      </c>
      <c r="N2207" s="0" t="n">
        <v>1943</v>
      </c>
      <c r="O2207" s="10" t="n">
        <v>0.00270316540263593</v>
      </c>
      <c r="P2207" s="10" t="n">
        <v>0.218249560333788</v>
      </c>
      <c r="Q2207" s="0" t="str">
        <f aca="false">SUBSTITUTE(SUBSTITUTE($I2207,CHAR(61),""),CHAR(34),"")</f>
        <v>&lt;01</v>
      </c>
      <c r="R2207" s="0" t="str">
        <f aca="false">IF($D2207&lt;&gt;"","["&amp;$E2207&amp;"]"&amp;"|"&amp;$Q2207&amp;"|"&amp;$K2207&amp;"|"&amp;$G2207&amp;"|"&amp;IF($G2207="TX_CURR_SUBNAT.R","CY2022Q4",$M2207),"")</f>
        <v>[oiPR2CiVJbf]|&lt;01|Male|TX_CURR_SUBNAT.T_1|CY2023Q3</v>
      </c>
    </row>
    <row r="2208" customFormat="false" ht="15" hidden="false" customHeight="false" outlineLevel="0" collapsed="false">
      <c r="D2208" s="0" t="s">
        <v>105</v>
      </c>
      <c r="E2208" s="0" t="s">
        <v>106</v>
      </c>
      <c r="F2208" s="0" t="s">
        <v>107</v>
      </c>
      <c r="G2208" s="0" t="s">
        <v>146</v>
      </c>
      <c r="H2208" s="0" t="s">
        <v>147</v>
      </c>
      <c r="I2208" s="0" t="s">
        <v>33</v>
      </c>
      <c r="J2208" s="0" t="s">
        <v>34</v>
      </c>
      <c r="K2208" s="0" t="s">
        <v>48</v>
      </c>
      <c r="L2208" s="0" t="s">
        <v>49</v>
      </c>
      <c r="M2208" s="0" t="s">
        <v>140</v>
      </c>
      <c r="N2208" s="0" t="n">
        <v>1891</v>
      </c>
      <c r="O2208" s="10" t="n">
        <v>0.369821135653183</v>
      </c>
      <c r="P2208" s="10" t="n">
        <v>0.218249560333788</v>
      </c>
      <c r="Q2208" s="0" t="str">
        <f aca="false">SUBSTITUTE(SUBSTITUTE($I2208,CHAR(61),""),CHAR(34),"")</f>
        <v>01-09</v>
      </c>
      <c r="R2208" s="0" t="str">
        <f aca="false">IF($D2208&lt;&gt;"","["&amp;$E2208&amp;"]"&amp;"|"&amp;$Q2208&amp;"|"&amp;$K2208&amp;"|"&amp;$G2208&amp;"|"&amp;IF($G2208="TX_CURR_SUBNAT.R","CY2022Q4",$M2208),"")</f>
        <v>[oiPR2CiVJbf]|01-09|Male|TX_CURR_SUBNAT.T_1|CY2023Q3</v>
      </c>
    </row>
    <row r="2209" customFormat="false" ht="15" hidden="false" customHeight="false" outlineLevel="0" collapsed="false">
      <c r="D2209" s="0" t="s">
        <v>105</v>
      </c>
      <c r="E2209" s="0" t="s">
        <v>106</v>
      </c>
      <c r="F2209" s="0" t="s">
        <v>107</v>
      </c>
      <c r="G2209" s="0" t="s">
        <v>146</v>
      </c>
      <c r="H2209" s="0" t="s">
        <v>147</v>
      </c>
      <c r="I2209" s="0" t="s">
        <v>36</v>
      </c>
      <c r="J2209" s="0" t="s">
        <v>37</v>
      </c>
      <c r="K2209" s="0" t="s">
        <v>48</v>
      </c>
      <c r="L2209" s="0" t="s">
        <v>49</v>
      </c>
      <c r="M2209" s="0" t="s">
        <v>140</v>
      </c>
      <c r="N2209" s="0" t="n">
        <v>831</v>
      </c>
      <c r="O2209" s="10" t="n">
        <v>0.844048249069601</v>
      </c>
      <c r="P2209" s="10" t="n">
        <v>0.218249560333788</v>
      </c>
      <c r="Q2209" s="0" t="str">
        <f aca="false">SUBSTITUTE(SUBSTITUTE($I2209,CHAR(61),""),CHAR(34),"")</f>
        <v>10-14</v>
      </c>
      <c r="R2209" s="0" t="str">
        <f aca="false">IF($D2209&lt;&gt;"","["&amp;$E2209&amp;"]"&amp;"|"&amp;$Q2209&amp;"|"&amp;$K2209&amp;"|"&amp;$G2209&amp;"|"&amp;IF($G2209="TX_CURR_SUBNAT.R","CY2022Q4",$M2209),"")</f>
        <v>[oiPR2CiVJbf]|10-14|Male|TX_CURR_SUBNAT.T_1|CY2023Q3</v>
      </c>
    </row>
    <row r="2210" customFormat="false" ht="15" hidden="false" customHeight="false" outlineLevel="0" collapsed="false">
      <c r="D2210" s="0" t="s">
        <v>105</v>
      </c>
      <c r="E2210" s="0" t="s">
        <v>106</v>
      </c>
      <c r="F2210" s="0" t="s">
        <v>107</v>
      </c>
      <c r="G2210" s="0" t="s">
        <v>146</v>
      </c>
      <c r="H2210" s="0" t="s">
        <v>147</v>
      </c>
      <c r="I2210" s="0" t="s">
        <v>38</v>
      </c>
      <c r="J2210" s="0" t="s">
        <v>39</v>
      </c>
      <c r="K2210" s="0" t="s">
        <v>48</v>
      </c>
      <c r="L2210" s="0" t="s">
        <v>49</v>
      </c>
      <c r="M2210" s="0" t="s">
        <v>140</v>
      </c>
      <c r="N2210" s="0" t="n">
        <v>525</v>
      </c>
      <c r="O2210" s="10" t="n">
        <v>0.742569682188332</v>
      </c>
      <c r="P2210" s="10" t="n">
        <v>0.218249560333788</v>
      </c>
      <c r="Q2210" s="0" t="str">
        <f aca="false">SUBSTITUTE(SUBSTITUTE($I2210,CHAR(61),""),CHAR(34),"")</f>
        <v>15-24</v>
      </c>
      <c r="R2210" s="0" t="str">
        <f aca="false">IF($D2210&lt;&gt;"","["&amp;$E2210&amp;"]"&amp;"|"&amp;$Q2210&amp;"|"&amp;$K2210&amp;"|"&amp;$G2210&amp;"|"&amp;IF($G2210="TX_CURR_SUBNAT.R","CY2022Q4",$M2210),"")</f>
        <v>[oiPR2CiVJbf]|15-24|Male|TX_CURR_SUBNAT.T_1|CY2023Q3</v>
      </c>
    </row>
    <row r="2211" customFormat="false" ht="15" hidden="false" customHeight="false" outlineLevel="0" collapsed="false">
      <c r="D2211" s="0" t="s">
        <v>105</v>
      </c>
      <c r="E2211" s="0" t="s">
        <v>106</v>
      </c>
      <c r="F2211" s="0" t="s">
        <v>107</v>
      </c>
      <c r="G2211" s="0" t="s">
        <v>146</v>
      </c>
      <c r="H2211" s="0" t="s">
        <v>147</v>
      </c>
      <c r="I2211" s="0" t="s">
        <v>41</v>
      </c>
      <c r="J2211" s="0" t="s">
        <v>42</v>
      </c>
      <c r="K2211" s="0" t="s">
        <v>48</v>
      </c>
      <c r="L2211" s="0" t="s">
        <v>49</v>
      </c>
      <c r="M2211" s="0" t="s">
        <v>140</v>
      </c>
      <c r="N2211" s="0" t="n">
        <v>1655</v>
      </c>
      <c r="O2211" s="10" t="n">
        <v>0.564529240364209</v>
      </c>
      <c r="P2211" s="10" t="n">
        <v>0.218249560333788</v>
      </c>
      <c r="Q2211" s="0" t="str">
        <f aca="false">SUBSTITUTE(SUBSTITUTE($I2211,CHAR(61),""),CHAR(34),"")</f>
        <v>25-34</v>
      </c>
      <c r="R2211" s="0" t="str">
        <f aca="false">IF($D2211&lt;&gt;"","["&amp;$E2211&amp;"]"&amp;"|"&amp;$Q2211&amp;"|"&amp;$K2211&amp;"|"&amp;$G2211&amp;"|"&amp;IF($G2211="TX_CURR_SUBNAT.R","CY2022Q4",$M2211),"")</f>
        <v>[oiPR2CiVJbf]|25-34|Male|TX_CURR_SUBNAT.T_1|CY2023Q3</v>
      </c>
    </row>
    <row r="2212" customFormat="false" ht="15" hidden="false" customHeight="false" outlineLevel="0" collapsed="false">
      <c r="D2212" s="0" t="s">
        <v>105</v>
      </c>
      <c r="E2212" s="0" t="s">
        <v>106</v>
      </c>
      <c r="F2212" s="0" t="s">
        <v>107</v>
      </c>
      <c r="G2212" s="0" t="s">
        <v>146</v>
      </c>
      <c r="H2212" s="0" t="s">
        <v>147</v>
      </c>
      <c r="I2212" s="0" t="s">
        <v>43</v>
      </c>
      <c r="J2212" s="0" t="s">
        <v>44</v>
      </c>
      <c r="K2212" s="0" t="s">
        <v>48</v>
      </c>
      <c r="L2212" s="0" t="s">
        <v>49</v>
      </c>
      <c r="M2212" s="0" t="s">
        <v>140</v>
      </c>
      <c r="N2212" s="0" t="n">
        <v>1602</v>
      </c>
      <c r="O2212" s="10" t="n">
        <v>0.319991428172216</v>
      </c>
      <c r="P2212" s="10" t="n">
        <v>0.218249560333788</v>
      </c>
      <c r="Q2212" s="0" t="str">
        <f aca="false">SUBSTITUTE(SUBSTITUTE($I2212,CHAR(61),""),CHAR(34),"")</f>
        <v>35-49</v>
      </c>
      <c r="R2212" s="0" t="str">
        <f aca="false">IF($D2212&lt;&gt;"","["&amp;$E2212&amp;"]"&amp;"|"&amp;$Q2212&amp;"|"&amp;$K2212&amp;"|"&amp;$G2212&amp;"|"&amp;IF($G2212="TX_CURR_SUBNAT.R","CY2022Q4",$M2212),"")</f>
        <v>[oiPR2CiVJbf]|35-49|Male|TX_CURR_SUBNAT.T_1|CY2023Q3</v>
      </c>
    </row>
    <row r="2213" customFormat="false" ht="15" hidden="false" customHeight="false" outlineLevel="0" collapsed="false">
      <c r="D2213" s="0" t="s">
        <v>105</v>
      </c>
      <c r="E2213" s="0" t="s">
        <v>106</v>
      </c>
      <c r="F2213" s="0" t="s">
        <v>107</v>
      </c>
      <c r="G2213" s="0" t="s">
        <v>146</v>
      </c>
      <c r="H2213" s="0" t="s">
        <v>147</v>
      </c>
      <c r="I2213" s="0" t="s">
        <v>45</v>
      </c>
      <c r="J2213" s="0" t="s">
        <v>46</v>
      </c>
      <c r="K2213" s="0" t="s">
        <v>48</v>
      </c>
      <c r="L2213" s="0" t="s">
        <v>49</v>
      </c>
      <c r="M2213" s="0" t="s">
        <v>140</v>
      </c>
      <c r="N2213" s="0" t="n">
        <v>1566</v>
      </c>
      <c r="O2213" s="10" t="n">
        <v>0.676987300626934</v>
      </c>
      <c r="P2213" s="10" t="n">
        <v>0.218249560333788</v>
      </c>
      <c r="Q2213" s="0" t="str">
        <f aca="false">SUBSTITUTE(SUBSTITUTE($I2213,CHAR(61),""),CHAR(34),"")</f>
        <v>50+</v>
      </c>
      <c r="R2213" s="0" t="str">
        <f aca="false">IF($D2213&lt;&gt;"","["&amp;$E2213&amp;"]"&amp;"|"&amp;$Q2213&amp;"|"&amp;$K2213&amp;"|"&amp;$G2213&amp;"|"&amp;IF($G2213="TX_CURR_SUBNAT.R","CY2022Q4",$M2213),"")</f>
        <v>[oiPR2CiVJbf]|50+|Male|TX_CURR_SUBNAT.T_1|CY2023Q3</v>
      </c>
    </row>
    <row r="2214" customFormat="false" ht="15" hidden="false" customHeight="false" outlineLevel="0" collapsed="false">
      <c r="D2214" s="0" t="s">
        <v>108</v>
      </c>
      <c r="E2214" s="0" t="s">
        <v>109</v>
      </c>
      <c r="F2214" s="0" t="s">
        <v>110</v>
      </c>
      <c r="G2214" s="0" t="s">
        <v>146</v>
      </c>
      <c r="H2214" s="0" t="s">
        <v>147</v>
      </c>
      <c r="I2214" s="0" t="s">
        <v>28</v>
      </c>
      <c r="J2214" s="0" t="s">
        <v>29</v>
      </c>
      <c r="K2214" s="0" t="s">
        <v>30</v>
      </c>
      <c r="L2214" s="0" t="s">
        <v>31</v>
      </c>
      <c r="M2214" s="0" t="s">
        <v>140</v>
      </c>
      <c r="N2214" s="0" t="n">
        <v>1838</v>
      </c>
      <c r="O2214" s="10" t="n">
        <v>0.31892266520299</v>
      </c>
      <c r="P2214" s="10" t="n">
        <v>0.434221804374829</v>
      </c>
      <c r="Q2214" s="0" t="str">
        <f aca="false">SUBSTITUTE(SUBSTITUTE($I2214,CHAR(61),""),CHAR(34),"")</f>
        <v>&lt;01</v>
      </c>
      <c r="R2214" s="0" t="str">
        <f aca="false">IF($D2214&lt;&gt;"","["&amp;$E2214&amp;"]"&amp;"|"&amp;$Q2214&amp;"|"&amp;$K2214&amp;"|"&amp;$G2214&amp;"|"&amp;IF($G2214="TX_CURR_SUBNAT.R","CY2022Q4",$M2214),"")</f>
        <v>[ul0y9diGujK]|&lt;01|Female|TX_CURR_SUBNAT.T_1|CY2023Q3</v>
      </c>
    </row>
    <row r="2215" customFormat="false" ht="15" hidden="false" customHeight="false" outlineLevel="0" collapsed="false">
      <c r="D2215" s="0" t="s">
        <v>108</v>
      </c>
      <c r="E2215" s="0" t="s">
        <v>109</v>
      </c>
      <c r="F2215" s="0" t="s">
        <v>110</v>
      </c>
      <c r="G2215" s="0" t="s">
        <v>146</v>
      </c>
      <c r="H2215" s="0" t="s">
        <v>147</v>
      </c>
      <c r="I2215" s="0" t="s">
        <v>33</v>
      </c>
      <c r="J2215" s="0" t="s">
        <v>34</v>
      </c>
      <c r="K2215" s="0" t="s">
        <v>30</v>
      </c>
      <c r="L2215" s="0" t="s">
        <v>31</v>
      </c>
      <c r="M2215" s="0" t="s">
        <v>140</v>
      </c>
      <c r="N2215" s="0" t="n">
        <v>592</v>
      </c>
      <c r="O2215" s="10" t="n">
        <v>0.462037513731048</v>
      </c>
      <c r="P2215" s="10" t="n">
        <v>0.434221804374829</v>
      </c>
      <c r="Q2215" s="0" t="str">
        <f aca="false">SUBSTITUTE(SUBSTITUTE($I2215,CHAR(61),""),CHAR(34),"")</f>
        <v>01-09</v>
      </c>
      <c r="R2215" s="0" t="str">
        <f aca="false">IF($D2215&lt;&gt;"","["&amp;$E2215&amp;"]"&amp;"|"&amp;$Q2215&amp;"|"&amp;$K2215&amp;"|"&amp;$G2215&amp;"|"&amp;IF($G2215="TX_CURR_SUBNAT.R","CY2022Q4",$M2215),"")</f>
        <v>[ul0y9diGujK]|01-09|Female|TX_CURR_SUBNAT.T_1|CY2023Q3</v>
      </c>
    </row>
    <row r="2216" customFormat="false" ht="15" hidden="false" customHeight="false" outlineLevel="0" collapsed="false">
      <c r="D2216" s="0" t="s">
        <v>108</v>
      </c>
      <c r="E2216" s="0" t="s">
        <v>109</v>
      </c>
      <c r="F2216" s="0" t="s">
        <v>110</v>
      </c>
      <c r="G2216" s="0" t="s">
        <v>146</v>
      </c>
      <c r="H2216" s="0" t="s">
        <v>147</v>
      </c>
      <c r="I2216" s="0" t="s">
        <v>36</v>
      </c>
      <c r="J2216" s="0" t="s">
        <v>37</v>
      </c>
      <c r="K2216" s="0" t="s">
        <v>30</v>
      </c>
      <c r="L2216" s="0" t="s">
        <v>31</v>
      </c>
      <c r="M2216" s="0" t="s">
        <v>140</v>
      </c>
      <c r="N2216" s="0" t="n">
        <v>601</v>
      </c>
      <c r="O2216" s="10" t="n">
        <v>0.0252776795532554</v>
      </c>
      <c r="P2216" s="10" t="n">
        <v>0.434221804374829</v>
      </c>
      <c r="Q2216" s="0" t="str">
        <f aca="false">SUBSTITUTE(SUBSTITUTE($I2216,CHAR(61),""),CHAR(34),"")</f>
        <v>10-14</v>
      </c>
      <c r="R2216" s="0" t="str">
        <f aca="false">IF($D2216&lt;&gt;"","["&amp;$E2216&amp;"]"&amp;"|"&amp;$Q2216&amp;"|"&amp;$K2216&amp;"|"&amp;$G2216&amp;"|"&amp;IF($G2216="TX_CURR_SUBNAT.R","CY2022Q4",$M2216),"")</f>
        <v>[ul0y9diGujK]|10-14|Female|TX_CURR_SUBNAT.T_1|CY2023Q3</v>
      </c>
    </row>
    <row r="2217" customFormat="false" ht="15" hidden="false" customHeight="false" outlineLevel="0" collapsed="false">
      <c r="D2217" s="0" t="s">
        <v>108</v>
      </c>
      <c r="E2217" s="0" t="s">
        <v>109</v>
      </c>
      <c r="F2217" s="0" t="s">
        <v>110</v>
      </c>
      <c r="G2217" s="0" t="s">
        <v>146</v>
      </c>
      <c r="H2217" s="0" t="s">
        <v>147</v>
      </c>
      <c r="I2217" s="0" t="s">
        <v>38</v>
      </c>
      <c r="J2217" s="0" t="s">
        <v>39</v>
      </c>
      <c r="K2217" s="0" t="s">
        <v>30</v>
      </c>
      <c r="L2217" s="0" t="s">
        <v>31</v>
      </c>
      <c r="M2217" s="0" t="s">
        <v>140</v>
      </c>
      <c r="N2217" s="0" t="n">
        <v>1841</v>
      </c>
      <c r="O2217" s="10" t="n">
        <v>0.585438207956031</v>
      </c>
      <c r="P2217" s="10" t="n">
        <v>0.434221804374829</v>
      </c>
      <c r="Q2217" s="0" t="str">
        <f aca="false">SUBSTITUTE(SUBSTITUTE($I2217,CHAR(61),""),CHAR(34),"")</f>
        <v>15-24</v>
      </c>
      <c r="R2217" s="0" t="str">
        <f aca="false">IF($D2217&lt;&gt;"","["&amp;$E2217&amp;"]"&amp;"|"&amp;$Q2217&amp;"|"&amp;$K2217&amp;"|"&amp;$G2217&amp;"|"&amp;IF($G2217="TX_CURR_SUBNAT.R","CY2022Q4",$M2217),"")</f>
        <v>[ul0y9diGujK]|15-24|Female|TX_CURR_SUBNAT.T_1|CY2023Q3</v>
      </c>
    </row>
    <row r="2218" customFormat="false" ht="15" hidden="false" customHeight="false" outlineLevel="0" collapsed="false">
      <c r="D2218" s="0" t="s">
        <v>108</v>
      </c>
      <c r="E2218" s="0" t="s">
        <v>109</v>
      </c>
      <c r="F2218" s="0" t="s">
        <v>110</v>
      </c>
      <c r="G2218" s="0" t="s">
        <v>146</v>
      </c>
      <c r="H2218" s="0" t="s">
        <v>147</v>
      </c>
      <c r="I2218" s="0" t="s">
        <v>41</v>
      </c>
      <c r="J2218" s="0" t="s">
        <v>42</v>
      </c>
      <c r="K2218" s="0" t="s">
        <v>30</v>
      </c>
      <c r="L2218" s="0" t="s">
        <v>31</v>
      </c>
      <c r="M2218" s="0" t="s">
        <v>140</v>
      </c>
      <c r="N2218" s="0" t="n">
        <v>921</v>
      </c>
      <c r="O2218" s="10" t="n">
        <v>0.254718790529296</v>
      </c>
      <c r="P2218" s="10" t="n">
        <v>0.434221804374829</v>
      </c>
      <c r="Q2218" s="0" t="str">
        <f aca="false">SUBSTITUTE(SUBSTITUTE($I2218,CHAR(61),""),CHAR(34),"")</f>
        <v>25-34</v>
      </c>
      <c r="R2218" s="0" t="str">
        <f aca="false">IF($D2218&lt;&gt;"","["&amp;$E2218&amp;"]"&amp;"|"&amp;$Q2218&amp;"|"&amp;$K2218&amp;"|"&amp;$G2218&amp;"|"&amp;IF($G2218="TX_CURR_SUBNAT.R","CY2022Q4",$M2218),"")</f>
        <v>[ul0y9diGujK]|25-34|Female|TX_CURR_SUBNAT.T_1|CY2023Q3</v>
      </c>
    </row>
    <row r="2219" customFormat="false" ht="15" hidden="false" customHeight="false" outlineLevel="0" collapsed="false">
      <c r="D2219" s="0" t="s">
        <v>108</v>
      </c>
      <c r="E2219" s="0" t="s">
        <v>109</v>
      </c>
      <c r="F2219" s="0" t="s">
        <v>110</v>
      </c>
      <c r="G2219" s="0" t="s">
        <v>146</v>
      </c>
      <c r="H2219" s="0" t="s">
        <v>147</v>
      </c>
      <c r="I2219" s="0" t="s">
        <v>43</v>
      </c>
      <c r="J2219" s="0" t="s">
        <v>44</v>
      </c>
      <c r="K2219" s="0" t="s">
        <v>30</v>
      </c>
      <c r="L2219" s="0" t="s">
        <v>31</v>
      </c>
      <c r="M2219" s="0" t="s">
        <v>140</v>
      </c>
      <c r="N2219" s="0" t="n">
        <v>1630</v>
      </c>
      <c r="O2219" s="10" t="n">
        <v>0.768109779804945</v>
      </c>
      <c r="P2219" s="10" t="n">
        <v>0.434221804374829</v>
      </c>
      <c r="Q2219" s="0" t="str">
        <f aca="false">SUBSTITUTE(SUBSTITUTE($I2219,CHAR(61),""),CHAR(34),"")</f>
        <v>35-49</v>
      </c>
      <c r="R2219" s="0" t="str">
        <f aca="false">IF($D2219&lt;&gt;"","["&amp;$E2219&amp;"]"&amp;"|"&amp;$Q2219&amp;"|"&amp;$K2219&amp;"|"&amp;$G2219&amp;"|"&amp;IF($G2219="TX_CURR_SUBNAT.R","CY2022Q4",$M2219),"")</f>
        <v>[ul0y9diGujK]|35-49|Female|TX_CURR_SUBNAT.T_1|CY2023Q3</v>
      </c>
    </row>
    <row r="2220" customFormat="false" ht="15" hidden="false" customHeight="false" outlineLevel="0" collapsed="false">
      <c r="D2220" s="0" t="s">
        <v>108</v>
      </c>
      <c r="E2220" s="0" t="s">
        <v>109</v>
      </c>
      <c r="F2220" s="0" t="s">
        <v>110</v>
      </c>
      <c r="G2220" s="0" t="s">
        <v>146</v>
      </c>
      <c r="H2220" s="0" t="s">
        <v>147</v>
      </c>
      <c r="I2220" s="0" t="s">
        <v>45</v>
      </c>
      <c r="J2220" s="0" t="s">
        <v>46</v>
      </c>
      <c r="K2220" s="0" t="s">
        <v>30</v>
      </c>
      <c r="L2220" s="0" t="s">
        <v>31</v>
      </c>
      <c r="M2220" s="0" t="s">
        <v>140</v>
      </c>
      <c r="N2220" s="0" t="n">
        <v>1520</v>
      </c>
      <c r="O2220" s="10" t="n">
        <v>0.0441562896594405</v>
      </c>
      <c r="P2220" s="10" t="n">
        <v>0.434221804374829</v>
      </c>
      <c r="Q2220" s="0" t="str">
        <f aca="false">SUBSTITUTE(SUBSTITUTE($I2220,CHAR(61),""),CHAR(34),"")</f>
        <v>50+</v>
      </c>
      <c r="R2220" s="0" t="str">
        <f aca="false">IF($D2220&lt;&gt;"","["&amp;$E2220&amp;"]"&amp;"|"&amp;$Q2220&amp;"|"&amp;$K2220&amp;"|"&amp;$G2220&amp;"|"&amp;IF($G2220="TX_CURR_SUBNAT.R","CY2022Q4",$M2220),"")</f>
        <v>[ul0y9diGujK]|50+|Female|TX_CURR_SUBNAT.T_1|CY2023Q3</v>
      </c>
    </row>
    <row r="2221" customFormat="false" ht="15" hidden="false" customHeight="false" outlineLevel="0" collapsed="false">
      <c r="D2221" s="0" t="s">
        <v>108</v>
      </c>
      <c r="E2221" s="0" t="s">
        <v>109</v>
      </c>
      <c r="F2221" s="0" t="s">
        <v>110</v>
      </c>
      <c r="G2221" s="0" t="s">
        <v>146</v>
      </c>
      <c r="H2221" s="0" t="s">
        <v>147</v>
      </c>
      <c r="I2221" s="0" t="s">
        <v>28</v>
      </c>
      <c r="J2221" s="0" t="s">
        <v>29</v>
      </c>
      <c r="K2221" s="0" t="s">
        <v>48</v>
      </c>
      <c r="L2221" s="0" t="s">
        <v>49</v>
      </c>
      <c r="M2221" s="0" t="s">
        <v>140</v>
      </c>
      <c r="N2221" s="0" t="n">
        <v>1962</v>
      </c>
      <c r="O2221" s="10" t="n">
        <v>0.642681020777673</v>
      </c>
      <c r="P2221" s="10" t="n">
        <v>0.434221804374829</v>
      </c>
      <c r="Q2221" s="0" t="str">
        <f aca="false">SUBSTITUTE(SUBSTITUTE($I2221,CHAR(61),""),CHAR(34),"")</f>
        <v>&lt;01</v>
      </c>
      <c r="R2221" s="0" t="str">
        <f aca="false">IF($D2221&lt;&gt;"","["&amp;$E2221&amp;"]"&amp;"|"&amp;$Q2221&amp;"|"&amp;$K2221&amp;"|"&amp;$G2221&amp;"|"&amp;IF($G2221="TX_CURR_SUBNAT.R","CY2022Q4",$M2221),"")</f>
        <v>[ul0y9diGujK]|&lt;01|Male|TX_CURR_SUBNAT.T_1|CY2023Q3</v>
      </c>
    </row>
    <row r="2222" customFormat="false" ht="15" hidden="false" customHeight="false" outlineLevel="0" collapsed="false">
      <c r="D2222" s="0" t="s">
        <v>108</v>
      </c>
      <c r="E2222" s="0" t="s">
        <v>109</v>
      </c>
      <c r="F2222" s="0" t="s">
        <v>110</v>
      </c>
      <c r="G2222" s="0" t="s">
        <v>146</v>
      </c>
      <c r="H2222" s="0" t="s">
        <v>147</v>
      </c>
      <c r="I2222" s="0" t="s">
        <v>33</v>
      </c>
      <c r="J2222" s="0" t="s">
        <v>34</v>
      </c>
      <c r="K2222" s="0" t="s">
        <v>48</v>
      </c>
      <c r="L2222" s="0" t="s">
        <v>49</v>
      </c>
      <c r="M2222" s="0" t="s">
        <v>140</v>
      </c>
      <c r="N2222" s="0" t="n">
        <v>1921</v>
      </c>
      <c r="O2222" s="10" t="n">
        <v>0.665407757041976</v>
      </c>
      <c r="P2222" s="10" t="n">
        <v>0.434221804374829</v>
      </c>
      <c r="Q2222" s="0" t="str">
        <f aca="false">SUBSTITUTE(SUBSTITUTE($I2222,CHAR(61),""),CHAR(34),"")</f>
        <v>01-09</v>
      </c>
      <c r="R2222" s="0" t="str">
        <f aca="false">IF($D2222&lt;&gt;"","["&amp;$E2222&amp;"]"&amp;"|"&amp;$Q2222&amp;"|"&amp;$K2222&amp;"|"&amp;$G2222&amp;"|"&amp;IF($G2222="TX_CURR_SUBNAT.R","CY2022Q4",$M2222),"")</f>
        <v>[ul0y9diGujK]|01-09|Male|TX_CURR_SUBNAT.T_1|CY2023Q3</v>
      </c>
    </row>
    <row r="2223" customFormat="false" ht="15" hidden="false" customHeight="false" outlineLevel="0" collapsed="false">
      <c r="D2223" s="0" t="s">
        <v>108</v>
      </c>
      <c r="E2223" s="0" t="s">
        <v>109</v>
      </c>
      <c r="F2223" s="0" t="s">
        <v>110</v>
      </c>
      <c r="G2223" s="0" t="s">
        <v>146</v>
      </c>
      <c r="H2223" s="0" t="s">
        <v>147</v>
      </c>
      <c r="I2223" s="0" t="s">
        <v>36</v>
      </c>
      <c r="J2223" s="0" t="s">
        <v>37</v>
      </c>
      <c r="K2223" s="0" t="s">
        <v>48</v>
      </c>
      <c r="L2223" s="0" t="s">
        <v>49</v>
      </c>
      <c r="M2223" s="0" t="s">
        <v>140</v>
      </c>
      <c r="N2223" s="0" t="n">
        <v>522</v>
      </c>
      <c r="O2223" s="10" t="n">
        <v>0.439859352307394</v>
      </c>
      <c r="P2223" s="10" t="n">
        <v>0.434221804374829</v>
      </c>
      <c r="Q2223" s="0" t="str">
        <f aca="false">SUBSTITUTE(SUBSTITUTE($I2223,CHAR(61),""),CHAR(34),"")</f>
        <v>10-14</v>
      </c>
      <c r="R2223" s="0" t="str">
        <f aca="false">IF($D2223&lt;&gt;"","["&amp;$E2223&amp;"]"&amp;"|"&amp;$Q2223&amp;"|"&amp;$K2223&amp;"|"&amp;$G2223&amp;"|"&amp;IF($G2223="TX_CURR_SUBNAT.R","CY2022Q4",$M2223),"")</f>
        <v>[ul0y9diGujK]|10-14|Male|TX_CURR_SUBNAT.T_1|CY2023Q3</v>
      </c>
    </row>
    <row r="2224" customFormat="false" ht="15" hidden="false" customHeight="false" outlineLevel="0" collapsed="false">
      <c r="D2224" s="0" t="s">
        <v>108</v>
      </c>
      <c r="E2224" s="0" t="s">
        <v>109</v>
      </c>
      <c r="F2224" s="0" t="s">
        <v>110</v>
      </c>
      <c r="G2224" s="0" t="s">
        <v>146</v>
      </c>
      <c r="H2224" s="0" t="s">
        <v>147</v>
      </c>
      <c r="I2224" s="0" t="s">
        <v>38</v>
      </c>
      <c r="J2224" s="0" t="s">
        <v>39</v>
      </c>
      <c r="K2224" s="0" t="s">
        <v>48</v>
      </c>
      <c r="L2224" s="0" t="s">
        <v>49</v>
      </c>
      <c r="M2224" s="0" t="s">
        <v>140</v>
      </c>
      <c r="N2224" s="0" t="n">
        <v>1387</v>
      </c>
      <c r="O2224" s="10" t="n">
        <v>0.861094075022265</v>
      </c>
      <c r="P2224" s="10" t="n">
        <v>0.434221804374829</v>
      </c>
      <c r="Q2224" s="0" t="str">
        <f aca="false">SUBSTITUTE(SUBSTITUTE($I2224,CHAR(61),""),CHAR(34),"")</f>
        <v>15-24</v>
      </c>
      <c r="R2224" s="0" t="str">
        <f aca="false">IF($D2224&lt;&gt;"","["&amp;$E2224&amp;"]"&amp;"|"&amp;$Q2224&amp;"|"&amp;$K2224&amp;"|"&amp;$G2224&amp;"|"&amp;IF($G2224="TX_CURR_SUBNAT.R","CY2022Q4",$M2224),"")</f>
        <v>[ul0y9diGujK]|15-24|Male|TX_CURR_SUBNAT.T_1|CY2023Q3</v>
      </c>
    </row>
    <row r="2225" customFormat="false" ht="15" hidden="false" customHeight="false" outlineLevel="0" collapsed="false">
      <c r="D2225" s="0" t="s">
        <v>108</v>
      </c>
      <c r="E2225" s="0" t="s">
        <v>109</v>
      </c>
      <c r="F2225" s="0" t="s">
        <v>110</v>
      </c>
      <c r="G2225" s="0" t="s">
        <v>146</v>
      </c>
      <c r="H2225" s="0" t="s">
        <v>147</v>
      </c>
      <c r="I2225" s="0" t="s">
        <v>41</v>
      </c>
      <c r="J2225" s="0" t="s">
        <v>42</v>
      </c>
      <c r="K2225" s="0" t="s">
        <v>48</v>
      </c>
      <c r="L2225" s="0" t="s">
        <v>49</v>
      </c>
      <c r="M2225" s="0" t="s">
        <v>140</v>
      </c>
      <c r="N2225" s="0" t="n">
        <v>1076</v>
      </c>
      <c r="O2225" s="10" t="n">
        <v>0.0831796086858958</v>
      </c>
      <c r="P2225" s="10" t="n">
        <v>0.434221804374829</v>
      </c>
      <c r="Q2225" s="0" t="str">
        <f aca="false">SUBSTITUTE(SUBSTITUTE($I2225,CHAR(61),""),CHAR(34),"")</f>
        <v>25-34</v>
      </c>
      <c r="R2225" s="0" t="str">
        <f aca="false">IF($D2225&lt;&gt;"","["&amp;$E2225&amp;"]"&amp;"|"&amp;$Q2225&amp;"|"&amp;$K2225&amp;"|"&amp;$G2225&amp;"|"&amp;IF($G2225="TX_CURR_SUBNAT.R","CY2022Q4",$M2225),"")</f>
        <v>[ul0y9diGujK]|25-34|Male|TX_CURR_SUBNAT.T_1|CY2023Q3</v>
      </c>
    </row>
    <row r="2226" customFormat="false" ht="15" hidden="false" customHeight="false" outlineLevel="0" collapsed="false">
      <c r="D2226" s="0" t="s">
        <v>108</v>
      </c>
      <c r="E2226" s="0" t="s">
        <v>109</v>
      </c>
      <c r="F2226" s="0" t="s">
        <v>110</v>
      </c>
      <c r="G2226" s="0" t="s">
        <v>146</v>
      </c>
      <c r="H2226" s="0" t="s">
        <v>147</v>
      </c>
      <c r="I2226" s="0" t="s">
        <v>43</v>
      </c>
      <c r="J2226" s="0" t="s">
        <v>44</v>
      </c>
      <c r="K2226" s="0" t="s">
        <v>48</v>
      </c>
      <c r="L2226" s="0" t="s">
        <v>49</v>
      </c>
      <c r="M2226" s="0" t="s">
        <v>140</v>
      </c>
      <c r="N2226" s="0" t="n">
        <v>1525</v>
      </c>
      <c r="O2226" s="10" t="n">
        <v>0.635963262524456</v>
      </c>
      <c r="P2226" s="10" t="n">
        <v>0.434221804374829</v>
      </c>
      <c r="Q2226" s="0" t="str">
        <f aca="false">SUBSTITUTE(SUBSTITUTE($I2226,CHAR(61),""),CHAR(34),"")</f>
        <v>35-49</v>
      </c>
      <c r="R2226" s="0" t="str">
        <f aca="false">IF($D2226&lt;&gt;"","["&amp;$E2226&amp;"]"&amp;"|"&amp;$Q2226&amp;"|"&amp;$K2226&amp;"|"&amp;$G2226&amp;"|"&amp;IF($G2226="TX_CURR_SUBNAT.R","CY2022Q4",$M2226),"")</f>
        <v>[ul0y9diGujK]|35-49|Male|TX_CURR_SUBNAT.T_1|CY2023Q3</v>
      </c>
    </row>
    <row r="2227" customFormat="false" ht="15" hidden="false" customHeight="false" outlineLevel="0" collapsed="false">
      <c r="D2227" s="0" t="s">
        <v>108</v>
      </c>
      <c r="E2227" s="0" t="s">
        <v>109</v>
      </c>
      <c r="F2227" s="0" t="s">
        <v>110</v>
      </c>
      <c r="G2227" s="0" t="s">
        <v>146</v>
      </c>
      <c r="H2227" s="0" t="s">
        <v>147</v>
      </c>
      <c r="I2227" s="0" t="s">
        <v>45</v>
      </c>
      <c r="J2227" s="0" t="s">
        <v>46</v>
      </c>
      <c r="K2227" s="0" t="s">
        <v>48</v>
      </c>
      <c r="L2227" s="0" t="s">
        <v>49</v>
      </c>
      <c r="M2227" s="0" t="s">
        <v>140</v>
      </c>
      <c r="N2227" s="0" t="n">
        <v>662</v>
      </c>
      <c r="O2227" s="10" t="n">
        <v>0.0748465128708631</v>
      </c>
      <c r="P2227" s="10" t="n">
        <v>0.434221804374829</v>
      </c>
      <c r="Q2227" s="0" t="str">
        <f aca="false">SUBSTITUTE(SUBSTITUTE($I2227,CHAR(61),""),CHAR(34),"")</f>
        <v>50+</v>
      </c>
      <c r="R2227" s="0" t="str">
        <f aca="false">IF($D2227&lt;&gt;"","["&amp;$E2227&amp;"]"&amp;"|"&amp;$Q2227&amp;"|"&amp;$K2227&amp;"|"&amp;$G2227&amp;"|"&amp;IF($G2227="TX_CURR_SUBNAT.R","CY2022Q4",$M2227),"")</f>
        <v>[ul0y9diGujK]|50+|Male|TX_CURR_SUBNAT.T_1|CY2023Q3</v>
      </c>
    </row>
    <row r="2228" customFormat="false" ht="15" hidden="false" customHeight="false" outlineLevel="0" collapsed="false">
      <c r="D2228" s="0" t="s">
        <v>111</v>
      </c>
      <c r="E2228" s="0" t="s">
        <v>112</v>
      </c>
      <c r="F2228" s="0" t="s">
        <v>113</v>
      </c>
      <c r="G2228" s="0" t="s">
        <v>146</v>
      </c>
      <c r="H2228" s="0" t="s">
        <v>147</v>
      </c>
      <c r="I2228" s="0" t="s">
        <v>28</v>
      </c>
      <c r="J2228" s="0" t="s">
        <v>29</v>
      </c>
      <c r="K2228" s="0" t="s">
        <v>30</v>
      </c>
      <c r="L2228" s="0" t="s">
        <v>31</v>
      </c>
      <c r="M2228" s="0" t="s">
        <v>140</v>
      </c>
      <c r="N2228" s="0" t="n">
        <v>717</v>
      </c>
      <c r="O2228" s="10" t="n">
        <v>0.909027863526717</v>
      </c>
      <c r="P2228" s="10" t="n">
        <v>0.337768794968724</v>
      </c>
      <c r="Q2228" s="0" t="str">
        <f aca="false">SUBSTITUTE(SUBSTITUTE($I2228,CHAR(61),""),CHAR(34),"")</f>
        <v>&lt;01</v>
      </c>
      <c r="R2228" s="0" t="str">
        <f aca="false">IF($D2228&lt;&gt;"","["&amp;$E2228&amp;"]"&amp;"|"&amp;$Q2228&amp;"|"&amp;$K2228&amp;"|"&amp;$G2228&amp;"|"&amp;IF($G2228="TX_CURR_SUBNAT.R","CY2022Q4",$M2228),"")</f>
        <v>[U8c0so51kT6]|&lt;01|Female|TX_CURR_SUBNAT.T_1|CY2023Q3</v>
      </c>
    </row>
    <row r="2229" customFormat="false" ht="15" hidden="false" customHeight="false" outlineLevel="0" collapsed="false">
      <c r="D2229" s="0" t="s">
        <v>111</v>
      </c>
      <c r="E2229" s="0" t="s">
        <v>112</v>
      </c>
      <c r="F2229" s="0" t="s">
        <v>113</v>
      </c>
      <c r="G2229" s="0" t="s">
        <v>146</v>
      </c>
      <c r="H2229" s="0" t="s">
        <v>147</v>
      </c>
      <c r="I2229" s="0" t="s">
        <v>33</v>
      </c>
      <c r="J2229" s="0" t="s">
        <v>34</v>
      </c>
      <c r="K2229" s="0" t="s">
        <v>30</v>
      </c>
      <c r="L2229" s="0" t="s">
        <v>31</v>
      </c>
      <c r="M2229" s="0" t="s">
        <v>140</v>
      </c>
      <c r="N2229" s="0" t="n">
        <v>1659</v>
      </c>
      <c r="O2229" s="10" t="n">
        <v>0.226529538631439</v>
      </c>
      <c r="P2229" s="10" t="n">
        <v>0.337768794968724</v>
      </c>
      <c r="Q2229" s="0" t="str">
        <f aca="false">SUBSTITUTE(SUBSTITUTE($I2229,CHAR(61),""),CHAR(34),"")</f>
        <v>01-09</v>
      </c>
      <c r="R2229" s="0" t="str">
        <f aca="false">IF($D2229&lt;&gt;"","["&amp;$E2229&amp;"]"&amp;"|"&amp;$Q2229&amp;"|"&amp;$K2229&amp;"|"&amp;$G2229&amp;"|"&amp;IF($G2229="TX_CURR_SUBNAT.R","CY2022Q4",$M2229),"")</f>
        <v>[U8c0so51kT6]|01-09|Female|TX_CURR_SUBNAT.T_1|CY2023Q3</v>
      </c>
    </row>
    <row r="2230" customFormat="false" ht="15" hidden="false" customHeight="false" outlineLevel="0" collapsed="false">
      <c r="D2230" s="0" t="s">
        <v>111</v>
      </c>
      <c r="E2230" s="0" t="s">
        <v>112</v>
      </c>
      <c r="F2230" s="0" t="s">
        <v>113</v>
      </c>
      <c r="G2230" s="0" t="s">
        <v>146</v>
      </c>
      <c r="H2230" s="0" t="s">
        <v>147</v>
      </c>
      <c r="I2230" s="0" t="s">
        <v>36</v>
      </c>
      <c r="J2230" s="0" t="s">
        <v>37</v>
      </c>
      <c r="K2230" s="0" t="s">
        <v>30</v>
      </c>
      <c r="L2230" s="0" t="s">
        <v>31</v>
      </c>
      <c r="M2230" s="0" t="s">
        <v>140</v>
      </c>
      <c r="N2230" s="0" t="n">
        <v>850</v>
      </c>
      <c r="O2230" s="10" t="n">
        <v>0.143287149025127</v>
      </c>
      <c r="P2230" s="10" t="n">
        <v>0.337768794968724</v>
      </c>
      <c r="Q2230" s="0" t="str">
        <f aca="false">SUBSTITUTE(SUBSTITUTE($I2230,CHAR(61),""),CHAR(34),"")</f>
        <v>10-14</v>
      </c>
      <c r="R2230" s="0" t="str">
        <f aca="false">IF($D2230&lt;&gt;"","["&amp;$E2230&amp;"]"&amp;"|"&amp;$Q2230&amp;"|"&amp;$K2230&amp;"|"&amp;$G2230&amp;"|"&amp;IF($G2230="TX_CURR_SUBNAT.R","CY2022Q4",$M2230),"")</f>
        <v>[U8c0so51kT6]|10-14|Female|TX_CURR_SUBNAT.T_1|CY2023Q3</v>
      </c>
    </row>
    <row r="2231" customFormat="false" ht="15" hidden="false" customHeight="false" outlineLevel="0" collapsed="false">
      <c r="D2231" s="0" t="s">
        <v>111</v>
      </c>
      <c r="E2231" s="0" t="s">
        <v>112</v>
      </c>
      <c r="F2231" s="0" t="s">
        <v>113</v>
      </c>
      <c r="G2231" s="0" t="s">
        <v>146</v>
      </c>
      <c r="H2231" s="0" t="s">
        <v>147</v>
      </c>
      <c r="I2231" s="0" t="s">
        <v>38</v>
      </c>
      <c r="J2231" s="0" t="s">
        <v>39</v>
      </c>
      <c r="K2231" s="0" t="s">
        <v>30</v>
      </c>
      <c r="L2231" s="0" t="s">
        <v>31</v>
      </c>
      <c r="M2231" s="0" t="s">
        <v>140</v>
      </c>
      <c r="N2231" s="0" t="n">
        <v>1603</v>
      </c>
      <c r="O2231" s="10" t="n">
        <v>0.464622311526909</v>
      </c>
      <c r="P2231" s="10" t="n">
        <v>0.337768794968724</v>
      </c>
      <c r="Q2231" s="0" t="str">
        <f aca="false">SUBSTITUTE(SUBSTITUTE($I2231,CHAR(61),""),CHAR(34),"")</f>
        <v>15-24</v>
      </c>
      <c r="R2231" s="0" t="str">
        <f aca="false">IF($D2231&lt;&gt;"","["&amp;$E2231&amp;"]"&amp;"|"&amp;$Q2231&amp;"|"&amp;$K2231&amp;"|"&amp;$G2231&amp;"|"&amp;IF($G2231="TX_CURR_SUBNAT.R","CY2022Q4",$M2231),"")</f>
        <v>[U8c0so51kT6]|15-24|Female|TX_CURR_SUBNAT.T_1|CY2023Q3</v>
      </c>
    </row>
    <row r="2232" customFormat="false" ht="15" hidden="false" customHeight="false" outlineLevel="0" collapsed="false">
      <c r="D2232" s="0" t="s">
        <v>111</v>
      </c>
      <c r="E2232" s="0" t="s">
        <v>112</v>
      </c>
      <c r="F2232" s="0" t="s">
        <v>113</v>
      </c>
      <c r="G2232" s="0" t="s">
        <v>146</v>
      </c>
      <c r="H2232" s="0" t="s">
        <v>147</v>
      </c>
      <c r="I2232" s="0" t="s">
        <v>41</v>
      </c>
      <c r="J2232" s="0" t="s">
        <v>42</v>
      </c>
      <c r="K2232" s="0" t="s">
        <v>30</v>
      </c>
      <c r="L2232" s="0" t="s">
        <v>31</v>
      </c>
      <c r="M2232" s="0" t="s">
        <v>140</v>
      </c>
      <c r="N2232" s="0" t="n">
        <v>793</v>
      </c>
      <c r="O2232" s="10" t="n">
        <v>0.283876914530993</v>
      </c>
      <c r="P2232" s="10" t="n">
        <v>0.337768794968724</v>
      </c>
      <c r="Q2232" s="0" t="str">
        <f aca="false">SUBSTITUTE(SUBSTITUTE($I2232,CHAR(61),""),CHAR(34),"")</f>
        <v>25-34</v>
      </c>
      <c r="R2232" s="0" t="str">
        <f aca="false">IF($D2232&lt;&gt;"","["&amp;$E2232&amp;"]"&amp;"|"&amp;$Q2232&amp;"|"&amp;$K2232&amp;"|"&amp;$G2232&amp;"|"&amp;IF($G2232="TX_CURR_SUBNAT.R","CY2022Q4",$M2232),"")</f>
        <v>[U8c0so51kT6]|25-34|Female|TX_CURR_SUBNAT.T_1|CY2023Q3</v>
      </c>
    </row>
    <row r="2233" customFormat="false" ht="15" hidden="false" customHeight="false" outlineLevel="0" collapsed="false">
      <c r="D2233" s="0" t="s">
        <v>111</v>
      </c>
      <c r="E2233" s="0" t="s">
        <v>112</v>
      </c>
      <c r="F2233" s="0" t="s">
        <v>113</v>
      </c>
      <c r="G2233" s="0" t="s">
        <v>146</v>
      </c>
      <c r="H2233" s="0" t="s">
        <v>147</v>
      </c>
      <c r="I2233" s="0" t="s">
        <v>43</v>
      </c>
      <c r="J2233" s="0" t="s">
        <v>44</v>
      </c>
      <c r="K2233" s="0" t="s">
        <v>30</v>
      </c>
      <c r="L2233" s="0" t="s">
        <v>31</v>
      </c>
      <c r="M2233" s="0" t="s">
        <v>140</v>
      </c>
      <c r="N2233" s="0" t="n">
        <v>1414</v>
      </c>
      <c r="O2233" s="10" t="n">
        <v>0.324930224334821</v>
      </c>
      <c r="P2233" s="10" t="n">
        <v>0.337768794968724</v>
      </c>
      <c r="Q2233" s="0" t="str">
        <f aca="false">SUBSTITUTE(SUBSTITUTE($I2233,CHAR(61),""),CHAR(34),"")</f>
        <v>35-49</v>
      </c>
      <c r="R2233" s="0" t="str">
        <f aca="false">IF($D2233&lt;&gt;"","["&amp;$E2233&amp;"]"&amp;"|"&amp;$Q2233&amp;"|"&amp;$K2233&amp;"|"&amp;$G2233&amp;"|"&amp;IF($G2233="TX_CURR_SUBNAT.R","CY2022Q4",$M2233),"")</f>
        <v>[U8c0so51kT6]|35-49|Female|TX_CURR_SUBNAT.T_1|CY2023Q3</v>
      </c>
    </row>
    <row r="2234" customFormat="false" ht="15" hidden="false" customHeight="false" outlineLevel="0" collapsed="false">
      <c r="D2234" s="0" t="s">
        <v>111</v>
      </c>
      <c r="E2234" s="0" t="s">
        <v>112</v>
      </c>
      <c r="F2234" s="0" t="s">
        <v>113</v>
      </c>
      <c r="G2234" s="0" t="s">
        <v>146</v>
      </c>
      <c r="H2234" s="0" t="s">
        <v>147</v>
      </c>
      <c r="I2234" s="0" t="s">
        <v>45</v>
      </c>
      <c r="J2234" s="0" t="s">
        <v>46</v>
      </c>
      <c r="K2234" s="0" t="s">
        <v>30</v>
      </c>
      <c r="L2234" s="0" t="s">
        <v>31</v>
      </c>
      <c r="M2234" s="0" t="s">
        <v>140</v>
      </c>
      <c r="N2234" s="0" t="n">
        <v>1631</v>
      </c>
      <c r="O2234" s="10" t="n">
        <v>0.206604342209175</v>
      </c>
      <c r="P2234" s="10" t="n">
        <v>0.337768794968724</v>
      </c>
      <c r="Q2234" s="0" t="str">
        <f aca="false">SUBSTITUTE(SUBSTITUTE($I2234,CHAR(61),""),CHAR(34),"")</f>
        <v>50+</v>
      </c>
      <c r="R2234" s="0" t="str">
        <f aca="false">IF($D2234&lt;&gt;"","["&amp;$E2234&amp;"]"&amp;"|"&amp;$Q2234&amp;"|"&amp;$K2234&amp;"|"&amp;$G2234&amp;"|"&amp;IF($G2234="TX_CURR_SUBNAT.R","CY2022Q4",$M2234),"")</f>
        <v>[U8c0so51kT6]|50+|Female|TX_CURR_SUBNAT.T_1|CY2023Q3</v>
      </c>
    </row>
    <row r="2235" customFormat="false" ht="15" hidden="false" customHeight="false" outlineLevel="0" collapsed="false">
      <c r="D2235" s="0" t="s">
        <v>111</v>
      </c>
      <c r="E2235" s="0" t="s">
        <v>112</v>
      </c>
      <c r="F2235" s="0" t="s">
        <v>113</v>
      </c>
      <c r="G2235" s="0" t="s">
        <v>146</v>
      </c>
      <c r="H2235" s="0" t="s">
        <v>147</v>
      </c>
      <c r="I2235" s="0" t="s">
        <v>28</v>
      </c>
      <c r="J2235" s="0" t="s">
        <v>29</v>
      </c>
      <c r="K2235" s="0" t="s">
        <v>48</v>
      </c>
      <c r="L2235" s="0" t="s">
        <v>49</v>
      </c>
      <c r="M2235" s="0" t="s">
        <v>140</v>
      </c>
      <c r="N2235" s="0" t="n">
        <v>1675</v>
      </c>
      <c r="O2235" s="10" t="n">
        <v>0.913924145046622</v>
      </c>
      <c r="P2235" s="10" t="n">
        <v>0.337768794968724</v>
      </c>
      <c r="Q2235" s="0" t="str">
        <f aca="false">SUBSTITUTE(SUBSTITUTE($I2235,CHAR(61),""),CHAR(34),"")</f>
        <v>&lt;01</v>
      </c>
      <c r="R2235" s="0" t="str">
        <f aca="false">IF($D2235&lt;&gt;"","["&amp;$E2235&amp;"]"&amp;"|"&amp;$Q2235&amp;"|"&amp;$K2235&amp;"|"&amp;$G2235&amp;"|"&amp;IF($G2235="TX_CURR_SUBNAT.R","CY2022Q4",$M2235),"")</f>
        <v>[U8c0so51kT6]|&lt;01|Male|TX_CURR_SUBNAT.T_1|CY2023Q3</v>
      </c>
    </row>
    <row r="2236" customFormat="false" ht="15" hidden="false" customHeight="false" outlineLevel="0" collapsed="false">
      <c r="D2236" s="0" t="s">
        <v>111</v>
      </c>
      <c r="E2236" s="0" t="s">
        <v>112</v>
      </c>
      <c r="F2236" s="0" t="s">
        <v>113</v>
      </c>
      <c r="G2236" s="0" t="s">
        <v>146</v>
      </c>
      <c r="H2236" s="0" t="s">
        <v>147</v>
      </c>
      <c r="I2236" s="0" t="s">
        <v>33</v>
      </c>
      <c r="J2236" s="0" t="s">
        <v>34</v>
      </c>
      <c r="K2236" s="0" t="s">
        <v>48</v>
      </c>
      <c r="L2236" s="0" t="s">
        <v>49</v>
      </c>
      <c r="M2236" s="0" t="s">
        <v>140</v>
      </c>
      <c r="N2236" s="0" t="n">
        <v>1275</v>
      </c>
      <c r="O2236" s="10" t="n">
        <v>0.827880755765364</v>
      </c>
      <c r="P2236" s="10" t="n">
        <v>0.337768794968724</v>
      </c>
      <c r="Q2236" s="0" t="str">
        <f aca="false">SUBSTITUTE(SUBSTITUTE($I2236,CHAR(61),""),CHAR(34),"")</f>
        <v>01-09</v>
      </c>
      <c r="R2236" s="0" t="str">
        <f aca="false">IF($D2236&lt;&gt;"","["&amp;$E2236&amp;"]"&amp;"|"&amp;$Q2236&amp;"|"&amp;$K2236&amp;"|"&amp;$G2236&amp;"|"&amp;IF($G2236="TX_CURR_SUBNAT.R","CY2022Q4",$M2236),"")</f>
        <v>[U8c0so51kT6]|01-09|Male|TX_CURR_SUBNAT.T_1|CY2023Q3</v>
      </c>
    </row>
    <row r="2237" customFormat="false" ht="15" hidden="false" customHeight="false" outlineLevel="0" collapsed="false">
      <c r="D2237" s="0" t="s">
        <v>111</v>
      </c>
      <c r="E2237" s="0" t="s">
        <v>112</v>
      </c>
      <c r="F2237" s="0" t="s">
        <v>113</v>
      </c>
      <c r="G2237" s="0" t="s">
        <v>146</v>
      </c>
      <c r="H2237" s="0" t="s">
        <v>147</v>
      </c>
      <c r="I2237" s="0" t="s">
        <v>36</v>
      </c>
      <c r="J2237" s="0" t="s">
        <v>37</v>
      </c>
      <c r="K2237" s="0" t="s">
        <v>48</v>
      </c>
      <c r="L2237" s="0" t="s">
        <v>49</v>
      </c>
      <c r="M2237" s="0" t="s">
        <v>140</v>
      </c>
      <c r="N2237" s="0" t="n">
        <v>1608</v>
      </c>
      <c r="O2237" s="10" t="n">
        <v>0.999071946367621</v>
      </c>
      <c r="P2237" s="10" t="n">
        <v>0.337768794968724</v>
      </c>
      <c r="Q2237" s="0" t="str">
        <f aca="false">SUBSTITUTE(SUBSTITUTE($I2237,CHAR(61),""),CHAR(34),"")</f>
        <v>10-14</v>
      </c>
      <c r="R2237" s="0" t="str">
        <f aca="false">IF($D2237&lt;&gt;"","["&amp;$E2237&amp;"]"&amp;"|"&amp;$Q2237&amp;"|"&amp;$K2237&amp;"|"&amp;$G2237&amp;"|"&amp;IF($G2237="TX_CURR_SUBNAT.R","CY2022Q4",$M2237),"")</f>
        <v>[U8c0so51kT6]|10-14|Male|TX_CURR_SUBNAT.T_1|CY2023Q3</v>
      </c>
    </row>
    <row r="2238" customFormat="false" ht="15" hidden="false" customHeight="false" outlineLevel="0" collapsed="false">
      <c r="D2238" s="0" t="s">
        <v>111</v>
      </c>
      <c r="E2238" s="0" t="s">
        <v>112</v>
      </c>
      <c r="F2238" s="0" t="s">
        <v>113</v>
      </c>
      <c r="G2238" s="0" t="s">
        <v>146</v>
      </c>
      <c r="H2238" s="0" t="s">
        <v>147</v>
      </c>
      <c r="I2238" s="0" t="s">
        <v>38</v>
      </c>
      <c r="J2238" s="0" t="s">
        <v>39</v>
      </c>
      <c r="K2238" s="0" t="s">
        <v>48</v>
      </c>
      <c r="L2238" s="0" t="s">
        <v>49</v>
      </c>
      <c r="M2238" s="0" t="s">
        <v>140</v>
      </c>
      <c r="N2238" s="0" t="n">
        <v>601</v>
      </c>
      <c r="O2238" s="10" t="n">
        <v>0.58854608470574</v>
      </c>
      <c r="P2238" s="10" t="n">
        <v>0.337768794968724</v>
      </c>
      <c r="Q2238" s="0" t="str">
        <f aca="false">SUBSTITUTE(SUBSTITUTE($I2238,CHAR(61),""),CHAR(34),"")</f>
        <v>15-24</v>
      </c>
      <c r="R2238" s="0" t="str">
        <f aca="false">IF($D2238&lt;&gt;"","["&amp;$E2238&amp;"]"&amp;"|"&amp;$Q2238&amp;"|"&amp;$K2238&amp;"|"&amp;$G2238&amp;"|"&amp;IF($G2238="TX_CURR_SUBNAT.R","CY2022Q4",$M2238),"")</f>
        <v>[U8c0so51kT6]|15-24|Male|TX_CURR_SUBNAT.T_1|CY2023Q3</v>
      </c>
    </row>
    <row r="2239" customFormat="false" ht="15" hidden="false" customHeight="false" outlineLevel="0" collapsed="false">
      <c r="D2239" s="0" t="s">
        <v>111</v>
      </c>
      <c r="E2239" s="0" t="s">
        <v>112</v>
      </c>
      <c r="F2239" s="0" t="s">
        <v>113</v>
      </c>
      <c r="G2239" s="0" t="s">
        <v>146</v>
      </c>
      <c r="H2239" s="0" t="s">
        <v>147</v>
      </c>
      <c r="I2239" s="0" t="s">
        <v>41</v>
      </c>
      <c r="J2239" s="0" t="s">
        <v>42</v>
      </c>
      <c r="K2239" s="0" t="s">
        <v>48</v>
      </c>
      <c r="L2239" s="0" t="s">
        <v>49</v>
      </c>
      <c r="M2239" s="0" t="s">
        <v>140</v>
      </c>
      <c r="N2239" s="0" t="n">
        <v>1916</v>
      </c>
      <c r="O2239" s="10" t="n">
        <v>0.169319422449917</v>
      </c>
      <c r="P2239" s="10" t="n">
        <v>0.337768794968724</v>
      </c>
      <c r="Q2239" s="0" t="str">
        <f aca="false">SUBSTITUTE(SUBSTITUTE($I2239,CHAR(61),""),CHAR(34),"")</f>
        <v>25-34</v>
      </c>
      <c r="R2239" s="0" t="str">
        <f aca="false">IF($D2239&lt;&gt;"","["&amp;$E2239&amp;"]"&amp;"|"&amp;$Q2239&amp;"|"&amp;$K2239&amp;"|"&amp;$G2239&amp;"|"&amp;IF($G2239="TX_CURR_SUBNAT.R","CY2022Q4",$M2239),"")</f>
        <v>[U8c0so51kT6]|25-34|Male|TX_CURR_SUBNAT.T_1|CY2023Q3</v>
      </c>
    </row>
    <row r="2240" customFormat="false" ht="15" hidden="false" customHeight="false" outlineLevel="0" collapsed="false">
      <c r="D2240" s="0" t="s">
        <v>111</v>
      </c>
      <c r="E2240" s="0" t="s">
        <v>112</v>
      </c>
      <c r="F2240" s="0" t="s">
        <v>113</v>
      </c>
      <c r="G2240" s="0" t="s">
        <v>146</v>
      </c>
      <c r="H2240" s="0" t="s">
        <v>147</v>
      </c>
      <c r="I2240" s="0" t="s">
        <v>43</v>
      </c>
      <c r="J2240" s="0" t="s">
        <v>44</v>
      </c>
      <c r="K2240" s="0" t="s">
        <v>48</v>
      </c>
      <c r="L2240" s="0" t="s">
        <v>49</v>
      </c>
      <c r="M2240" s="0" t="s">
        <v>140</v>
      </c>
      <c r="N2240" s="0" t="n">
        <v>629</v>
      </c>
      <c r="O2240" s="10" t="n">
        <v>0.905324375722557</v>
      </c>
      <c r="P2240" s="10" t="n">
        <v>0.337768794968724</v>
      </c>
      <c r="Q2240" s="0" t="str">
        <f aca="false">SUBSTITUTE(SUBSTITUTE($I2240,CHAR(61),""),CHAR(34),"")</f>
        <v>35-49</v>
      </c>
      <c r="R2240" s="0" t="str">
        <f aca="false">IF($D2240&lt;&gt;"","["&amp;$E2240&amp;"]"&amp;"|"&amp;$Q2240&amp;"|"&amp;$K2240&amp;"|"&amp;$G2240&amp;"|"&amp;IF($G2240="TX_CURR_SUBNAT.R","CY2022Q4",$M2240),"")</f>
        <v>[U8c0so51kT6]|35-49|Male|TX_CURR_SUBNAT.T_1|CY2023Q3</v>
      </c>
    </row>
    <row r="2241" customFormat="false" ht="15" hidden="false" customHeight="false" outlineLevel="0" collapsed="false">
      <c r="D2241" s="0" t="s">
        <v>111</v>
      </c>
      <c r="E2241" s="0" t="s">
        <v>112</v>
      </c>
      <c r="F2241" s="0" t="s">
        <v>113</v>
      </c>
      <c r="G2241" s="0" t="s">
        <v>146</v>
      </c>
      <c r="H2241" s="0" t="s">
        <v>147</v>
      </c>
      <c r="I2241" s="0" t="s">
        <v>45</v>
      </c>
      <c r="J2241" s="0" t="s">
        <v>46</v>
      </c>
      <c r="K2241" s="0" t="s">
        <v>48</v>
      </c>
      <c r="L2241" s="0" t="s">
        <v>49</v>
      </c>
      <c r="M2241" s="0" t="s">
        <v>140</v>
      </c>
      <c r="N2241" s="0" t="n">
        <v>1023</v>
      </c>
      <c r="O2241" s="10" t="n">
        <v>0.542099509621039</v>
      </c>
      <c r="P2241" s="10" t="n">
        <v>0.337768794968724</v>
      </c>
      <c r="Q2241" s="0" t="str">
        <f aca="false">SUBSTITUTE(SUBSTITUTE($I2241,CHAR(61),""),CHAR(34),"")</f>
        <v>50+</v>
      </c>
      <c r="R2241" s="0" t="str">
        <f aca="false">IF($D2241&lt;&gt;"","["&amp;$E2241&amp;"]"&amp;"|"&amp;$Q2241&amp;"|"&amp;$K2241&amp;"|"&amp;$G2241&amp;"|"&amp;IF($G2241="TX_CURR_SUBNAT.R","CY2022Q4",$M2241),"")</f>
        <v>[U8c0so51kT6]|50+|Male|TX_CURR_SUBNAT.T_1|CY2023Q3</v>
      </c>
    </row>
    <row r="2242" customFormat="false" ht="15" hidden="false" customHeight="false" outlineLevel="0" collapsed="false">
      <c r="D2242" s="0" t="s">
        <v>114</v>
      </c>
      <c r="E2242" s="0" t="s">
        <v>115</v>
      </c>
      <c r="F2242" s="0" t="s">
        <v>116</v>
      </c>
      <c r="G2242" s="0" t="s">
        <v>146</v>
      </c>
      <c r="H2242" s="0" t="s">
        <v>147</v>
      </c>
      <c r="I2242" s="0" t="s">
        <v>28</v>
      </c>
      <c r="J2242" s="0" t="s">
        <v>29</v>
      </c>
      <c r="K2242" s="0" t="s">
        <v>30</v>
      </c>
      <c r="L2242" s="0" t="s">
        <v>31</v>
      </c>
      <c r="M2242" s="0" t="s">
        <v>140</v>
      </c>
      <c r="N2242" s="0" t="n">
        <v>1849</v>
      </c>
      <c r="O2242" s="10" t="n">
        <v>0.780783768510446</v>
      </c>
      <c r="P2242" s="10" t="n">
        <v>0.298559809103608</v>
      </c>
      <c r="Q2242" s="0" t="str">
        <f aca="false">SUBSTITUTE(SUBSTITUTE($I2242,CHAR(61),""),CHAR(34),"")</f>
        <v>&lt;01</v>
      </c>
      <c r="R2242" s="0" t="str">
        <f aca="false">IF($D2242&lt;&gt;"","["&amp;$E2242&amp;"]"&amp;"|"&amp;$Q2242&amp;"|"&amp;$K2242&amp;"|"&amp;$G2242&amp;"|"&amp;IF($G2242="TX_CURR_SUBNAT.R","CY2022Q4",$M2242),"")</f>
        <v>[rpw540fmNUz]|&lt;01|Female|TX_CURR_SUBNAT.T_1|CY2023Q3</v>
      </c>
    </row>
    <row r="2243" customFormat="false" ht="15" hidden="false" customHeight="false" outlineLevel="0" collapsed="false">
      <c r="D2243" s="0" t="s">
        <v>114</v>
      </c>
      <c r="E2243" s="0" t="s">
        <v>115</v>
      </c>
      <c r="F2243" s="0" t="s">
        <v>116</v>
      </c>
      <c r="G2243" s="0" t="s">
        <v>146</v>
      </c>
      <c r="H2243" s="0" t="s">
        <v>147</v>
      </c>
      <c r="I2243" s="0" t="s">
        <v>33</v>
      </c>
      <c r="J2243" s="0" t="s">
        <v>34</v>
      </c>
      <c r="K2243" s="0" t="s">
        <v>30</v>
      </c>
      <c r="L2243" s="0" t="s">
        <v>31</v>
      </c>
      <c r="M2243" s="0" t="s">
        <v>140</v>
      </c>
      <c r="N2243" s="0" t="n">
        <v>1552</v>
      </c>
      <c r="O2243" s="10" t="n">
        <v>0.077134417835623</v>
      </c>
      <c r="P2243" s="10" t="n">
        <v>0.298559809103608</v>
      </c>
      <c r="Q2243" s="0" t="str">
        <f aca="false">SUBSTITUTE(SUBSTITUTE($I2243,CHAR(61),""),CHAR(34),"")</f>
        <v>01-09</v>
      </c>
      <c r="R2243" s="0" t="str">
        <f aca="false">IF($D2243&lt;&gt;"","["&amp;$E2243&amp;"]"&amp;"|"&amp;$Q2243&amp;"|"&amp;$K2243&amp;"|"&amp;$G2243&amp;"|"&amp;IF($G2243="TX_CURR_SUBNAT.R","CY2022Q4",$M2243),"")</f>
        <v>[rpw540fmNUz]|01-09|Female|TX_CURR_SUBNAT.T_1|CY2023Q3</v>
      </c>
    </row>
    <row r="2244" customFormat="false" ht="15" hidden="false" customHeight="false" outlineLevel="0" collapsed="false">
      <c r="D2244" s="0" t="s">
        <v>114</v>
      </c>
      <c r="E2244" s="0" t="s">
        <v>115</v>
      </c>
      <c r="F2244" s="0" t="s">
        <v>116</v>
      </c>
      <c r="G2244" s="0" t="s">
        <v>146</v>
      </c>
      <c r="H2244" s="0" t="s">
        <v>147</v>
      </c>
      <c r="I2244" s="0" t="s">
        <v>36</v>
      </c>
      <c r="J2244" s="0" t="s">
        <v>37</v>
      </c>
      <c r="K2244" s="0" t="s">
        <v>30</v>
      </c>
      <c r="L2244" s="0" t="s">
        <v>31</v>
      </c>
      <c r="M2244" s="0" t="s">
        <v>140</v>
      </c>
      <c r="N2244" s="0" t="n">
        <v>1308</v>
      </c>
      <c r="O2244" s="10" t="n">
        <v>0.395586920669302</v>
      </c>
      <c r="P2244" s="10" t="n">
        <v>0.298559809103608</v>
      </c>
      <c r="Q2244" s="0" t="str">
        <f aca="false">SUBSTITUTE(SUBSTITUTE($I2244,CHAR(61),""),CHAR(34),"")</f>
        <v>10-14</v>
      </c>
      <c r="R2244" s="0" t="str">
        <f aca="false">IF($D2244&lt;&gt;"","["&amp;$E2244&amp;"]"&amp;"|"&amp;$Q2244&amp;"|"&amp;$K2244&amp;"|"&amp;$G2244&amp;"|"&amp;IF($G2244="TX_CURR_SUBNAT.R","CY2022Q4",$M2244),"")</f>
        <v>[rpw540fmNUz]|10-14|Female|TX_CURR_SUBNAT.T_1|CY2023Q3</v>
      </c>
    </row>
    <row r="2245" customFormat="false" ht="15" hidden="false" customHeight="false" outlineLevel="0" collapsed="false">
      <c r="D2245" s="0" t="s">
        <v>114</v>
      </c>
      <c r="E2245" s="0" t="s">
        <v>115</v>
      </c>
      <c r="F2245" s="0" t="s">
        <v>116</v>
      </c>
      <c r="G2245" s="0" t="s">
        <v>146</v>
      </c>
      <c r="H2245" s="0" t="s">
        <v>147</v>
      </c>
      <c r="I2245" s="0" t="s">
        <v>38</v>
      </c>
      <c r="J2245" s="0" t="s">
        <v>39</v>
      </c>
      <c r="K2245" s="0" t="s">
        <v>30</v>
      </c>
      <c r="L2245" s="0" t="s">
        <v>31</v>
      </c>
      <c r="M2245" s="0" t="s">
        <v>140</v>
      </c>
      <c r="N2245" s="0" t="n">
        <v>743</v>
      </c>
      <c r="O2245" s="10" t="n">
        <v>0.347557775210589</v>
      </c>
      <c r="P2245" s="10" t="n">
        <v>0.298559809103608</v>
      </c>
      <c r="Q2245" s="0" t="str">
        <f aca="false">SUBSTITUTE(SUBSTITUTE($I2245,CHAR(61),""),CHAR(34),"")</f>
        <v>15-24</v>
      </c>
      <c r="R2245" s="0" t="str">
        <f aca="false">IF($D2245&lt;&gt;"","["&amp;$E2245&amp;"]"&amp;"|"&amp;$Q2245&amp;"|"&amp;$K2245&amp;"|"&amp;$G2245&amp;"|"&amp;IF($G2245="TX_CURR_SUBNAT.R","CY2022Q4",$M2245),"")</f>
        <v>[rpw540fmNUz]|15-24|Female|TX_CURR_SUBNAT.T_1|CY2023Q3</v>
      </c>
    </row>
    <row r="2246" customFormat="false" ht="15" hidden="false" customHeight="false" outlineLevel="0" collapsed="false">
      <c r="D2246" s="0" t="s">
        <v>114</v>
      </c>
      <c r="E2246" s="0" t="s">
        <v>115</v>
      </c>
      <c r="F2246" s="0" t="s">
        <v>116</v>
      </c>
      <c r="G2246" s="0" t="s">
        <v>146</v>
      </c>
      <c r="H2246" s="0" t="s">
        <v>147</v>
      </c>
      <c r="I2246" s="0" t="s">
        <v>41</v>
      </c>
      <c r="J2246" s="0" t="s">
        <v>42</v>
      </c>
      <c r="K2246" s="0" t="s">
        <v>30</v>
      </c>
      <c r="L2246" s="0" t="s">
        <v>31</v>
      </c>
      <c r="M2246" s="0" t="s">
        <v>140</v>
      </c>
      <c r="N2246" s="0" t="n">
        <v>931</v>
      </c>
      <c r="O2246" s="10" t="n">
        <v>0.0212781005539</v>
      </c>
      <c r="P2246" s="10" t="n">
        <v>0.298559809103608</v>
      </c>
      <c r="Q2246" s="0" t="str">
        <f aca="false">SUBSTITUTE(SUBSTITUTE($I2246,CHAR(61),""),CHAR(34),"")</f>
        <v>25-34</v>
      </c>
      <c r="R2246" s="0" t="str">
        <f aca="false">IF($D2246&lt;&gt;"","["&amp;$E2246&amp;"]"&amp;"|"&amp;$Q2246&amp;"|"&amp;$K2246&amp;"|"&amp;$G2246&amp;"|"&amp;IF($G2246="TX_CURR_SUBNAT.R","CY2022Q4",$M2246),"")</f>
        <v>[rpw540fmNUz]|25-34|Female|TX_CURR_SUBNAT.T_1|CY2023Q3</v>
      </c>
    </row>
    <row r="2247" customFormat="false" ht="15" hidden="false" customHeight="false" outlineLevel="0" collapsed="false">
      <c r="D2247" s="0" t="s">
        <v>114</v>
      </c>
      <c r="E2247" s="0" t="s">
        <v>115</v>
      </c>
      <c r="F2247" s="0" t="s">
        <v>116</v>
      </c>
      <c r="G2247" s="0" t="s">
        <v>146</v>
      </c>
      <c r="H2247" s="0" t="s">
        <v>147</v>
      </c>
      <c r="I2247" s="0" t="s">
        <v>43</v>
      </c>
      <c r="J2247" s="0" t="s">
        <v>44</v>
      </c>
      <c r="K2247" s="0" t="s">
        <v>30</v>
      </c>
      <c r="L2247" s="0" t="s">
        <v>31</v>
      </c>
      <c r="M2247" s="0" t="s">
        <v>140</v>
      </c>
      <c r="N2247" s="0" t="n">
        <v>1442</v>
      </c>
      <c r="O2247" s="10" t="n">
        <v>0.406634613638744</v>
      </c>
      <c r="P2247" s="10" t="n">
        <v>0.298559809103608</v>
      </c>
      <c r="Q2247" s="0" t="str">
        <f aca="false">SUBSTITUTE(SUBSTITUTE($I2247,CHAR(61),""),CHAR(34),"")</f>
        <v>35-49</v>
      </c>
      <c r="R2247" s="0" t="str">
        <f aca="false">IF($D2247&lt;&gt;"","["&amp;$E2247&amp;"]"&amp;"|"&amp;$Q2247&amp;"|"&amp;$K2247&amp;"|"&amp;$G2247&amp;"|"&amp;IF($G2247="TX_CURR_SUBNAT.R","CY2022Q4",$M2247),"")</f>
        <v>[rpw540fmNUz]|35-49|Female|TX_CURR_SUBNAT.T_1|CY2023Q3</v>
      </c>
    </row>
    <row r="2248" customFormat="false" ht="15" hidden="false" customHeight="false" outlineLevel="0" collapsed="false">
      <c r="D2248" s="0" t="s">
        <v>114</v>
      </c>
      <c r="E2248" s="0" t="s">
        <v>115</v>
      </c>
      <c r="F2248" s="0" t="s">
        <v>116</v>
      </c>
      <c r="G2248" s="0" t="s">
        <v>146</v>
      </c>
      <c r="H2248" s="0" t="s">
        <v>147</v>
      </c>
      <c r="I2248" s="0" t="s">
        <v>45</v>
      </c>
      <c r="J2248" s="0" t="s">
        <v>46</v>
      </c>
      <c r="K2248" s="0" t="s">
        <v>30</v>
      </c>
      <c r="L2248" s="0" t="s">
        <v>31</v>
      </c>
      <c r="M2248" s="0" t="s">
        <v>140</v>
      </c>
      <c r="N2248" s="0" t="n">
        <v>605</v>
      </c>
      <c r="O2248" s="10" t="n">
        <v>0.986118651926517</v>
      </c>
      <c r="P2248" s="10" t="n">
        <v>0.298559809103608</v>
      </c>
      <c r="Q2248" s="0" t="str">
        <f aca="false">SUBSTITUTE(SUBSTITUTE($I2248,CHAR(61),""),CHAR(34),"")</f>
        <v>50+</v>
      </c>
      <c r="R2248" s="0" t="str">
        <f aca="false">IF($D2248&lt;&gt;"","["&amp;$E2248&amp;"]"&amp;"|"&amp;$Q2248&amp;"|"&amp;$K2248&amp;"|"&amp;$G2248&amp;"|"&amp;IF($G2248="TX_CURR_SUBNAT.R","CY2022Q4",$M2248),"")</f>
        <v>[rpw540fmNUz]|50+|Female|TX_CURR_SUBNAT.T_1|CY2023Q3</v>
      </c>
    </row>
    <row r="2249" customFormat="false" ht="15" hidden="false" customHeight="false" outlineLevel="0" collapsed="false">
      <c r="D2249" s="0" t="s">
        <v>114</v>
      </c>
      <c r="E2249" s="0" t="s">
        <v>115</v>
      </c>
      <c r="F2249" s="0" t="s">
        <v>116</v>
      </c>
      <c r="G2249" s="0" t="s">
        <v>146</v>
      </c>
      <c r="H2249" s="0" t="s">
        <v>147</v>
      </c>
      <c r="I2249" s="0" t="s">
        <v>28</v>
      </c>
      <c r="J2249" s="0" t="s">
        <v>29</v>
      </c>
      <c r="K2249" s="0" t="s">
        <v>48</v>
      </c>
      <c r="L2249" s="0" t="s">
        <v>49</v>
      </c>
      <c r="M2249" s="0" t="s">
        <v>140</v>
      </c>
      <c r="N2249" s="0" t="n">
        <v>982</v>
      </c>
      <c r="O2249" s="10" t="n">
        <v>0.243127981666476</v>
      </c>
      <c r="P2249" s="10" t="n">
        <v>0.298559809103608</v>
      </c>
      <c r="Q2249" s="0" t="str">
        <f aca="false">SUBSTITUTE(SUBSTITUTE($I2249,CHAR(61),""),CHAR(34),"")</f>
        <v>&lt;01</v>
      </c>
      <c r="R2249" s="0" t="str">
        <f aca="false">IF($D2249&lt;&gt;"","["&amp;$E2249&amp;"]"&amp;"|"&amp;$Q2249&amp;"|"&amp;$K2249&amp;"|"&amp;$G2249&amp;"|"&amp;IF($G2249="TX_CURR_SUBNAT.R","CY2022Q4",$M2249),"")</f>
        <v>[rpw540fmNUz]|&lt;01|Male|TX_CURR_SUBNAT.T_1|CY2023Q3</v>
      </c>
    </row>
    <row r="2250" customFormat="false" ht="15" hidden="false" customHeight="false" outlineLevel="0" collapsed="false">
      <c r="D2250" s="0" t="s">
        <v>114</v>
      </c>
      <c r="E2250" s="0" t="s">
        <v>115</v>
      </c>
      <c r="F2250" s="0" t="s">
        <v>116</v>
      </c>
      <c r="G2250" s="0" t="s">
        <v>146</v>
      </c>
      <c r="H2250" s="0" t="s">
        <v>147</v>
      </c>
      <c r="I2250" s="0" t="s">
        <v>33</v>
      </c>
      <c r="J2250" s="0" t="s">
        <v>34</v>
      </c>
      <c r="K2250" s="0" t="s">
        <v>48</v>
      </c>
      <c r="L2250" s="0" t="s">
        <v>49</v>
      </c>
      <c r="M2250" s="0" t="s">
        <v>140</v>
      </c>
      <c r="N2250" s="0" t="n">
        <v>1412</v>
      </c>
      <c r="O2250" s="10" t="n">
        <v>0.162968900054693</v>
      </c>
      <c r="P2250" s="10" t="n">
        <v>0.298559809103608</v>
      </c>
      <c r="Q2250" s="0" t="str">
        <f aca="false">SUBSTITUTE(SUBSTITUTE($I2250,CHAR(61),""),CHAR(34),"")</f>
        <v>01-09</v>
      </c>
      <c r="R2250" s="0" t="str">
        <f aca="false">IF($D2250&lt;&gt;"","["&amp;$E2250&amp;"]"&amp;"|"&amp;$Q2250&amp;"|"&amp;$K2250&amp;"|"&amp;$G2250&amp;"|"&amp;IF($G2250="TX_CURR_SUBNAT.R","CY2022Q4",$M2250),"")</f>
        <v>[rpw540fmNUz]|01-09|Male|TX_CURR_SUBNAT.T_1|CY2023Q3</v>
      </c>
    </row>
    <row r="2251" customFormat="false" ht="15" hidden="false" customHeight="false" outlineLevel="0" collapsed="false">
      <c r="D2251" s="0" t="s">
        <v>114</v>
      </c>
      <c r="E2251" s="0" t="s">
        <v>115</v>
      </c>
      <c r="F2251" s="0" t="s">
        <v>116</v>
      </c>
      <c r="G2251" s="0" t="s">
        <v>146</v>
      </c>
      <c r="H2251" s="0" t="s">
        <v>147</v>
      </c>
      <c r="I2251" s="0" t="s">
        <v>36</v>
      </c>
      <c r="J2251" s="0" t="s">
        <v>37</v>
      </c>
      <c r="K2251" s="0" t="s">
        <v>48</v>
      </c>
      <c r="L2251" s="0" t="s">
        <v>49</v>
      </c>
      <c r="M2251" s="0" t="s">
        <v>140</v>
      </c>
      <c r="N2251" s="0" t="n">
        <v>1250</v>
      </c>
      <c r="O2251" s="10" t="n">
        <v>0.654209837317467</v>
      </c>
      <c r="P2251" s="10" t="n">
        <v>0.298559809103608</v>
      </c>
      <c r="Q2251" s="0" t="str">
        <f aca="false">SUBSTITUTE(SUBSTITUTE($I2251,CHAR(61),""),CHAR(34),"")</f>
        <v>10-14</v>
      </c>
      <c r="R2251" s="0" t="str">
        <f aca="false">IF($D2251&lt;&gt;"","["&amp;$E2251&amp;"]"&amp;"|"&amp;$Q2251&amp;"|"&amp;$K2251&amp;"|"&amp;$G2251&amp;"|"&amp;IF($G2251="TX_CURR_SUBNAT.R","CY2022Q4",$M2251),"")</f>
        <v>[rpw540fmNUz]|10-14|Male|TX_CURR_SUBNAT.T_1|CY2023Q3</v>
      </c>
    </row>
    <row r="2252" customFormat="false" ht="15" hidden="false" customHeight="false" outlineLevel="0" collapsed="false">
      <c r="D2252" s="0" t="s">
        <v>114</v>
      </c>
      <c r="E2252" s="0" t="s">
        <v>115</v>
      </c>
      <c r="F2252" s="0" t="s">
        <v>116</v>
      </c>
      <c r="G2252" s="0" t="s">
        <v>146</v>
      </c>
      <c r="H2252" s="0" t="s">
        <v>147</v>
      </c>
      <c r="I2252" s="0" t="s">
        <v>38</v>
      </c>
      <c r="J2252" s="0" t="s">
        <v>39</v>
      </c>
      <c r="K2252" s="0" t="s">
        <v>48</v>
      </c>
      <c r="L2252" s="0" t="s">
        <v>49</v>
      </c>
      <c r="M2252" s="0" t="s">
        <v>140</v>
      </c>
      <c r="N2252" s="0" t="n">
        <v>1494</v>
      </c>
      <c r="O2252" s="10" t="n">
        <v>0.589152297703549</v>
      </c>
      <c r="P2252" s="10" t="n">
        <v>0.298559809103608</v>
      </c>
      <c r="Q2252" s="0" t="str">
        <f aca="false">SUBSTITUTE(SUBSTITUTE($I2252,CHAR(61),""),CHAR(34),"")</f>
        <v>15-24</v>
      </c>
      <c r="R2252" s="0" t="str">
        <f aca="false">IF($D2252&lt;&gt;"","["&amp;$E2252&amp;"]"&amp;"|"&amp;$Q2252&amp;"|"&amp;$K2252&amp;"|"&amp;$G2252&amp;"|"&amp;IF($G2252="TX_CURR_SUBNAT.R","CY2022Q4",$M2252),"")</f>
        <v>[rpw540fmNUz]|15-24|Male|TX_CURR_SUBNAT.T_1|CY2023Q3</v>
      </c>
    </row>
    <row r="2253" customFormat="false" ht="15" hidden="false" customHeight="false" outlineLevel="0" collapsed="false">
      <c r="D2253" s="0" t="s">
        <v>114</v>
      </c>
      <c r="E2253" s="0" t="s">
        <v>115</v>
      </c>
      <c r="F2253" s="0" t="s">
        <v>116</v>
      </c>
      <c r="G2253" s="0" t="s">
        <v>146</v>
      </c>
      <c r="H2253" s="0" t="s">
        <v>147</v>
      </c>
      <c r="I2253" s="0" t="s">
        <v>41</v>
      </c>
      <c r="J2253" s="0" t="s">
        <v>42</v>
      </c>
      <c r="K2253" s="0" t="s">
        <v>48</v>
      </c>
      <c r="L2253" s="0" t="s">
        <v>49</v>
      </c>
      <c r="M2253" s="0" t="s">
        <v>140</v>
      </c>
      <c r="N2253" s="0" t="n">
        <v>1466</v>
      </c>
      <c r="O2253" s="10" t="n">
        <v>0.154093088814989</v>
      </c>
      <c r="P2253" s="10" t="n">
        <v>0.298559809103608</v>
      </c>
      <c r="Q2253" s="0" t="str">
        <f aca="false">SUBSTITUTE(SUBSTITUTE($I2253,CHAR(61),""),CHAR(34),"")</f>
        <v>25-34</v>
      </c>
      <c r="R2253" s="0" t="str">
        <f aca="false">IF($D2253&lt;&gt;"","["&amp;$E2253&amp;"]"&amp;"|"&amp;$Q2253&amp;"|"&amp;$K2253&amp;"|"&amp;$G2253&amp;"|"&amp;IF($G2253="TX_CURR_SUBNAT.R","CY2022Q4",$M2253),"")</f>
        <v>[rpw540fmNUz]|25-34|Male|TX_CURR_SUBNAT.T_1|CY2023Q3</v>
      </c>
    </row>
    <row r="2254" customFormat="false" ht="15" hidden="false" customHeight="false" outlineLevel="0" collapsed="false">
      <c r="D2254" s="0" t="s">
        <v>114</v>
      </c>
      <c r="E2254" s="0" t="s">
        <v>115</v>
      </c>
      <c r="F2254" s="0" t="s">
        <v>116</v>
      </c>
      <c r="G2254" s="0" t="s">
        <v>146</v>
      </c>
      <c r="H2254" s="0" t="s">
        <v>147</v>
      </c>
      <c r="I2254" s="0" t="s">
        <v>43</v>
      </c>
      <c r="J2254" s="0" t="s">
        <v>44</v>
      </c>
      <c r="K2254" s="0" t="s">
        <v>48</v>
      </c>
      <c r="L2254" s="0" t="s">
        <v>49</v>
      </c>
      <c r="M2254" s="0" t="s">
        <v>140</v>
      </c>
      <c r="N2254" s="0" t="n">
        <v>1269</v>
      </c>
      <c r="O2254" s="10" t="n">
        <v>0.52787412982434</v>
      </c>
      <c r="P2254" s="10" t="n">
        <v>0.298559809103608</v>
      </c>
      <c r="Q2254" s="0" t="str">
        <f aca="false">SUBSTITUTE(SUBSTITUTE($I2254,CHAR(61),""),CHAR(34),"")</f>
        <v>35-49</v>
      </c>
      <c r="R2254" s="0" t="str">
        <f aca="false">IF($D2254&lt;&gt;"","["&amp;$E2254&amp;"]"&amp;"|"&amp;$Q2254&amp;"|"&amp;$K2254&amp;"|"&amp;$G2254&amp;"|"&amp;IF($G2254="TX_CURR_SUBNAT.R","CY2022Q4",$M2254),"")</f>
        <v>[rpw540fmNUz]|35-49|Male|TX_CURR_SUBNAT.T_1|CY2023Q3</v>
      </c>
    </row>
    <row r="2255" customFormat="false" ht="15" hidden="false" customHeight="false" outlineLevel="0" collapsed="false">
      <c r="D2255" s="0" t="s">
        <v>114</v>
      </c>
      <c r="E2255" s="0" t="s">
        <v>115</v>
      </c>
      <c r="F2255" s="0" t="s">
        <v>116</v>
      </c>
      <c r="G2255" s="0" t="s">
        <v>146</v>
      </c>
      <c r="H2255" s="0" t="s">
        <v>147</v>
      </c>
      <c r="I2255" s="0" t="s">
        <v>45</v>
      </c>
      <c r="J2255" s="0" t="s">
        <v>46</v>
      </c>
      <c r="K2255" s="0" t="s">
        <v>48</v>
      </c>
      <c r="L2255" s="0" t="s">
        <v>49</v>
      </c>
      <c r="M2255" s="0" t="s">
        <v>140</v>
      </c>
      <c r="N2255" s="0" t="n">
        <v>1156</v>
      </c>
      <c r="O2255" s="10" t="n">
        <v>0.523681052727625</v>
      </c>
      <c r="P2255" s="10" t="n">
        <v>0.298559809103608</v>
      </c>
      <c r="Q2255" s="0" t="str">
        <f aca="false">SUBSTITUTE(SUBSTITUTE($I2255,CHAR(61),""),CHAR(34),"")</f>
        <v>50+</v>
      </c>
      <c r="R2255" s="0" t="str">
        <f aca="false">IF($D2255&lt;&gt;"","["&amp;$E2255&amp;"]"&amp;"|"&amp;$Q2255&amp;"|"&amp;$K2255&amp;"|"&amp;$G2255&amp;"|"&amp;IF($G2255="TX_CURR_SUBNAT.R","CY2022Q4",$M2255),"")</f>
        <v>[rpw540fmNUz]|50+|Male|TX_CURR_SUBNAT.T_1|CY2023Q3</v>
      </c>
    </row>
    <row r="2256" customFormat="false" ht="15" hidden="false" customHeight="false" outlineLevel="0" collapsed="false">
      <c r="D2256" s="0" t="s">
        <v>117</v>
      </c>
      <c r="E2256" s="0" t="s">
        <v>118</v>
      </c>
      <c r="F2256" s="0" t="s">
        <v>119</v>
      </c>
      <c r="G2256" s="0" t="s">
        <v>146</v>
      </c>
      <c r="H2256" s="0" t="s">
        <v>147</v>
      </c>
      <c r="I2256" s="0" t="s">
        <v>28</v>
      </c>
      <c r="J2256" s="0" t="s">
        <v>29</v>
      </c>
      <c r="K2256" s="0" t="s">
        <v>30</v>
      </c>
      <c r="L2256" s="0" t="s">
        <v>31</v>
      </c>
      <c r="M2256" s="0" t="s">
        <v>140</v>
      </c>
      <c r="N2256" s="0" t="n">
        <v>675</v>
      </c>
      <c r="O2256" s="10" t="n">
        <v>0.0670167589560151</v>
      </c>
      <c r="P2256" s="10" t="n">
        <v>0.206259709550068</v>
      </c>
      <c r="Q2256" s="0" t="str">
        <f aca="false">SUBSTITUTE(SUBSTITUTE($I2256,CHAR(61),""),CHAR(34),"")</f>
        <v>&lt;01</v>
      </c>
      <c r="R2256" s="0" t="str">
        <f aca="false">IF($D2256&lt;&gt;"","["&amp;$E2256&amp;"]"&amp;"|"&amp;$Q2256&amp;"|"&amp;$K2256&amp;"|"&amp;$G2256&amp;"|"&amp;IF($G2256="TX_CURR_SUBNAT.R","CY2022Q4",$M2256),"")</f>
        <v>[lPTyjLi4w3d]|&lt;01|Female|TX_CURR_SUBNAT.T_1|CY2023Q3</v>
      </c>
    </row>
    <row r="2257" customFormat="false" ht="15" hidden="false" customHeight="false" outlineLevel="0" collapsed="false">
      <c r="D2257" s="0" t="s">
        <v>117</v>
      </c>
      <c r="E2257" s="0" t="s">
        <v>118</v>
      </c>
      <c r="F2257" s="0" t="s">
        <v>119</v>
      </c>
      <c r="G2257" s="0" t="s">
        <v>146</v>
      </c>
      <c r="H2257" s="0" t="s">
        <v>147</v>
      </c>
      <c r="I2257" s="0" t="s">
        <v>33</v>
      </c>
      <c r="J2257" s="0" t="s">
        <v>34</v>
      </c>
      <c r="K2257" s="0" t="s">
        <v>30</v>
      </c>
      <c r="L2257" s="0" t="s">
        <v>31</v>
      </c>
      <c r="M2257" s="0" t="s">
        <v>140</v>
      </c>
      <c r="N2257" s="0" t="n">
        <v>1393</v>
      </c>
      <c r="O2257" s="10" t="n">
        <v>0.905596665805206</v>
      </c>
      <c r="P2257" s="10" t="n">
        <v>0.206259709550068</v>
      </c>
      <c r="Q2257" s="0" t="str">
        <f aca="false">SUBSTITUTE(SUBSTITUTE($I2257,CHAR(61),""),CHAR(34),"")</f>
        <v>01-09</v>
      </c>
      <c r="R2257" s="0" t="str">
        <f aca="false">IF($D2257&lt;&gt;"","["&amp;$E2257&amp;"]"&amp;"|"&amp;$Q2257&amp;"|"&amp;$K2257&amp;"|"&amp;$G2257&amp;"|"&amp;IF($G2257="TX_CURR_SUBNAT.R","CY2022Q4",$M2257),"")</f>
        <v>[lPTyjLi4w3d]|01-09|Female|TX_CURR_SUBNAT.T_1|CY2023Q3</v>
      </c>
    </row>
    <row r="2258" customFormat="false" ht="15" hidden="false" customHeight="false" outlineLevel="0" collapsed="false">
      <c r="D2258" s="0" t="s">
        <v>117</v>
      </c>
      <c r="E2258" s="0" t="s">
        <v>118</v>
      </c>
      <c r="F2258" s="0" t="s">
        <v>119</v>
      </c>
      <c r="G2258" s="0" t="s">
        <v>146</v>
      </c>
      <c r="H2258" s="0" t="s">
        <v>147</v>
      </c>
      <c r="I2258" s="0" t="s">
        <v>36</v>
      </c>
      <c r="J2258" s="0" t="s">
        <v>37</v>
      </c>
      <c r="K2258" s="0" t="s">
        <v>30</v>
      </c>
      <c r="L2258" s="0" t="s">
        <v>31</v>
      </c>
      <c r="M2258" s="0" t="s">
        <v>140</v>
      </c>
      <c r="N2258" s="0" t="n">
        <v>546</v>
      </c>
      <c r="O2258" s="10" t="n">
        <v>0.705621524713933</v>
      </c>
      <c r="P2258" s="10" t="n">
        <v>0.206259709550068</v>
      </c>
      <c r="Q2258" s="0" t="str">
        <f aca="false">SUBSTITUTE(SUBSTITUTE($I2258,CHAR(61),""),CHAR(34),"")</f>
        <v>10-14</v>
      </c>
      <c r="R2258" s="0" t="str">
        <f aca="false">IF($D2258&lt;&gt;"","["&amp;$E2258&amp;"]"&amp;"|"&amp;$Q2258&amp;"|"&amp;$K2258&amp;"|"&amp;$G2258&amp;"|"&amp;IF($G2258="TX_CURR_SUBNAT.R","CY2022Q4",$M2258),"")</f>
        <v>[lPTyjLi4w3d]|10-14|Female|TX_CURR_SUBNAT.T_1|CY2023Q3</v>
      </c>
    </row>
    <row r="2259" customFormat="false" ht="15" hidden="false" customHeight="false" outlineLevel="0" collapsed="false">
      <c r="D2259" s="0" t="s">
        <v>117</v>
      </c>
      <c r="E2259" s="0" t="s">
        <v>118</v>
      </c>
      <c r="F2259" s="0" t="s">
        <v>119</v>
      </c>
      <c r="G2259" s="0" t="s">
        <v>146</v>
      </c>
      <c r="H2259" s="0" t="s">
        <v>147</v>
      </c>
      <c r="I2259" s="0" t="s">
        <v>38</v>
      </c>
      <c r="J2259" s="0" t="s">
        <v>39</v>
      </c>
      <c r="K2259" s="0" t="s">
        <v>30</v>
      </c>
      <c r="L2259" s="0" t="s">
        <v>31</v>
      </c>
      <c r="M2259" s="0" t="s">
        <v>140</v>
      </c>
      <c r="N2259" s="0" t="n">
        <v>1189</v>
      </c>
      <c r="O2259" s="10" t="n">
        <v>0.987329288385808</v>
      </c>
      <c r="P2259" s="10" t="n">
        <v>0.206259709550068</v>
      </c>
      <c r="Q2259" s="0" t="str">
        <f aca="false">SUBSTITUTE(SUBSTITUTE($I2259,CHAR(61),""),CHAR(34),"")</f>
        <v>15-24</v>
      </c>
      <c r="R2259" s="0" t="str">
        <f aca="false">IF($D2259&lt;&gt;"","["&amp;$E2259&amp;"]"&amp;"|"&amp;$Q2259&amp;"|"&amp;$K2259&amp;"|"&amp;$G2259&amp;"|"&amp;IF($G2259="TX_CURR_SUBNAT.R","CY2022Q4",$M2259),"")</f>
        <v>[lPTyjLi4w3d]|15-24|Female|TX_CURR_SUBNAT.T_1|CY2023Q3</v>
      </c>
    </row>
    <row r="2260" customFormat="false" ht="15" hidden="false" customHeight="false" outlineLevel="0" collapsed="false">
      <c r="D2260" s="0" t="s">
        <v>117</v>
      </c>
      <c r="E2260" s="0" t="s">
        <v>118</v>
      </c>
      <c r="F2260" s="0" t="s">
        <v>119</v>
      </c>
      <c r="G2260" s="0" t="s">
        <v>146</v>
      </c>
      <c r="H2260" s="0" t="s">
        <v>147</v>
      </c>
      <c r="I2260" s="0" t="s">
        <v>41</v>
      </c>
      <c r="J2260" s="0" t="s">
        <v>42</v>
      </c>
      <c r="K2260" s="0" t="s">
        <v>30</v>
      </c>
      <c r="L2260" s="0" t="s">
        <v>31</v>
      </c>
      <c r="M2260" s="0" t="s">
        <v>140</v>
      </c>
      <c r="N2260" s="0" t="n">
        <v>1882</v>
      </c>
      <c r="O2260" s="10" t="n">
        <v>0.897224512882531</v>
      </c>
      <c r="P2260" s="10" t="n">
        <v>0.206259709550068</v>
      </c>
      <c r="Q2260" s="0" t="str">
        <f aca="false">SUBSTITUTE(SUBSTITUTE($I2260,CHAR(61),""),CHAR(34),"")</f>
        <v>25-34</v>
      </c>
      <c r="R2260" s="0" t="str">
        <f aca="false">IF($D2260&lt;&gt;"","["&amp;$E2260&amp;"]"&amp;"|"&amp;$Q2260&amp;"|"&amp;$K2260&amp;"|"&amp;$G2260&amp;"|"&amp;IF($G2260="TX_CURR_SUBNAT.R","CY2022Q4",$M2260),"")</f>
        <v>[lPTyjLi4w3d]|25-34|Female|TX_CURR_SUBNAT.T_1|CY2023Q3</v>
      </c>
    </row>
    <row r="2261" customFormat="false" ht="15" hidden="false" customHeight="false" outlineLevel="0" collapsed="false">
      <c r="D2261" s="0" t="s">
        <v>117</v>
      </c>
      <c r="E2261" s="0" t="s">
        <v>118</v>
      </c>
      <c r="F2261" s="0" t="s">
        <v>119</v>
      </c>
      <c r="G2261" s="0" t="s">
        <v>146</v>
      </c>
      <c r="H2261" s="0" t="s">
        <v>147</v>
      </c>
      <c r="I2261" s="0" t="s">
        <v>43</v>
      </c>
      <c r="J2261" s="0" t="s">
        <v>44</v>
      </c>
      <c r="K2261" s="0" t="s">
        <v>30</v>
      </c>
      <c r="L2261" s="0" t="s">
        <v>31</v>
      </c>
      <c r="M2261" s="0" t="s">
        <v>140</v>
      </c>
      <c r="N2261" s="0" t="n">
        <v>653</v>
      </c>
      <c r="O2261" s="10" t="n">
        <v>0.764433091972023</v>
      </c>
      <c r="P2261" s="10" t="n">
        <v>0.206259709550068</v>
      </c>
      <c r="Q2261" s="0" t="str">
        <f aca="false">SUBSTITUTE(SUBSTITUTE($I2261,CHAR(61),""),CHAR(34),"")</f>
        <v>35-49</v>
      </c>
      <c r="R2261" s="0" t="str">
        <f aca="false">IF($D2261&lt;&gt;"","["&amp;$E2261&amp;"]"&amp;"|"&amp;$Q2261&amp;"|"&amp;$K2261&amp;"|"&amp;$G2261&amp;"|"&amp;IF($G2261="TX_CURR_SUBNAT.R","CY2022Q4",$M2261),"")</f>
        <v>[lPTyjLi4w3d]|35-49|Female|TX_CURR_SUBNAT.T_1|CY2023Q3</v>
      </c>
    </row>
    <row r="2262" customFormat="false" ht="15" hidden="false" customHeight="false" outlineLevel="0" collapsed="false">
      <c r="D2262" s="0" t="s">
        <v>117</v>
      </c>
      <c r="E2262" s="0" t="s">
        <v>118</v>
      </c>
      <c r="F2262" s="0" t="s">
        <v>119</v>
      </c>
      <c r="G2262" s="0" t="s">
        <v>146</v>
      </c>
      <c r="H2262" s="0" t="s">
        <v>147</v>
      </c>
      <c r="I2262" s="0" t="s">
        <v>45</v>
      </c>
      <c r="J2262" s="0" t="s">
        <v>46</v>
      </c>
      <c r="K2262" s="0" t="s">
        <v>30</v>
      </c>
      <c r="L2262" s="0" t="s">
        <v>31</v>
      </c>
      <c r="M2262" s="0" t="s">
        <v>140</v>
      </c>
      <c r="N2262" s="0" t="n">
        <v>895</v>
      </c>
      <c r="O2262" s="10" t="n">
        <v>0.932331843301654</v>
      </c>
      <c r="P2262" s="10" t="n">
        <v>0.206259709550068</v>
      </c>
      <c r="Q2262" s="0" t="str">
        <f aca="false">SUBSTITUTE(SUBSTITUTE($I2262,CHAR(61),""),CHAR(34),"")</f>
        <v>50+</v>
      </c>
      <c r="R2262" s="0" t="str">
        <f aca="false">IF($D2262&lt;&gt;"","["&amp;$E2262&amp;"]"&amp;"|"&amp;$Q2262&amp;"|"&amp;$K2262&amp;"|"&amp;$G2262&amp;"|"&amp;IF($G2262="TX_CURR_SUBNAT.R","CY2022Q4",$M2262),"")</f>
        <v>[lPTyjLi4w3d]|50+|Female|TX_CURR_SUBNAT.T_1|CY2023Q3</v>
      </c>
    </row>
    <row r="2263" customFormat="false" ht="15" hidden="false" customHeight="false" outlineLevel="0" collapsed="false">
      <c r="D2263" s="0" t="s">
        <v>117</v>
      </c>
      <c r="E2263" s="0" t="s">
        <v>118</v>
      </c>
      <c r="F2263" s="0" t="s">
        <v>119</v>
      </c>
      <c r="G2263" s="0" t="s">
        <v>146</v>
      </c>
      <c r="H2263" s="0" t="s">
        <v>147</v>
      </c>
      <c r="I2263" s="0" t="s">
        <v>28</v>
      </c>
      <c r="J2263" s="0" t="s">
        <v>29</v>
      </c>
      <c r="K2263" s="0" t="s">
        <v>48</v>
      </c>
      <c r="L2263" s="0" t="s">
        <v>49</v>
      </c>
      <c r="M2263" s="0" t="s">
        <v>140</v>
      </c>
      <c r="N2263" s="0" t="n">
        <v>1884</v>
      </c>
      <c r="O2263" s="10" t="n">
        <v>0.8969653963577</v>
      </c>
      <c r="P2263" s="10" t="n">
        <v>0.206259709550068</v>
      </c>
      <c r="Q2263" s="0" t="str">
        <f aca="false">SUBSTITUTE(SUBSTITUTE($I2263,CHAR(61),""),CHAR(34),"")</f>
        <v>&lt;01</v>
      </c>
      <c r="R2263" s="0" t="str">
        <f aca="false">IF($D2263&lt;&gt;"","["&amp;$E2263&amp;"]"&amp;"|"&amp;$Q2263&amp;"|"&amp;$K2263&amp;"|"&amp;$G2263&amp;"|"&amp;IF($G2263="TX_CURR_SUBNAT.R","CY2022Q4",$M2263),"")</f>
        <v>[lPTyjLi4w3d]|&lt;01|Male|TX_CURR_SUBNAT.T_1|CY2023Q3</v>
      </c>
    </row>
    <row r="2264" customFormat="false" ht="15" hidden="false" customHeight="false" outlineLevel="0" collapsed="false">
      <c r="D2264" s="0" t="s">
        <v>117</v>
      </c>
      <c r="E2264" s="0" t="s">
        <v>118</v>
      </c>
      <c r="F2264" s="0" t="s">
        <v>119</v>
      </c>
      <c r="G2264" s="0" t="s">
        <v>146</v>
      </c>
      <c r="H2264" s="0" t="s">
        <v>147</v>
      </c>
      <c r="I2264" s="0" t="s">
        <v>33</v>
      </c>
      <c r="J2264" s="0" t="s">
        <v>34</v>
      </c>
      <c r="K2264" s="0" t="s">
        <v>48</v>
      </c>
      <c r="L2264" s="0" t="s">
        <v>49</v>
      </c>
      <c r="M2264" s="0" t="s">
        <v>140</v>
      </c>
      <c r="N2264" s="0" t="n">
        <v>1760</v>
      </c>
      <c r="O2264" s="10" t="n">
        <v>0.644125743070617</v>
      </c>
      <c r="P2264" s="10" t="n">
        <v>0.206259709550068</v>
      </c>
      <c r="Q2264" s="0" t="str">
        <f aca="false">SUBSTITUTE(SUBSTITUTE($I2264,CHAR(61),""),CHAR(34),"")</f>
        <v>01-09</v>
      </c>
      <c r="R2264" s="0" t="str">
        <f aca="false">IF($D2264&lt;&gt;"","["&amp;$E2264&amp;"]"&amp;"|"&amp;$Q2264&amp;"|"&amp;$K2264&amp;"|"&amp;$G2264&amp;"|"&amp;IF($G2264="TX_CURR_SUBNAT.R","CY2022Q4",$M2264),"")</f>
        <v>[lPTyjLi4w3d]|01-09|Male|TX_CURR_SUBNAT.T_1|CY2023Q3</v>
      </c>
    </row>
    <row r="2265" customFormat="false" ht="15" hidden="false" customHeight="false" outlineLevel="0" collapsed="false">
      <c r="D2265" s="0" t="s">
        <v>117</v>
      </c>
      <c r="E2265" s="0" t="s">
        <v>118</v>
      </c>
      <c r="F2265" s="0" t="s">
        <v>119</v>
      </c>
      <c r="G2265" s="0" t="s">
        <v>146</v>
      </c>
      <c r="H2265" s="0" t="s">
        <v>147</v>
      </c>
      <c r="I2265" s="0" t="s">
        <v>36</v>
      </c>
      <c r="J2265" s="0" t="s">
        <v>37</v>
      </c>
      <c r="K2265" s="0" t="s">
        <v>48</v>
      </c>
      <c r="L2265" s="0" t="s">
        <v>49</v>
      </c>
      <c r="M2265" s="0" t="s">
        <v>140</v>
      </c>
      <c r="N2265" s="0" t="n">
        <v>1345</v>
      </c>
      <c r="O2265" s="10" t="n">
        <v>0.905674589332193</v>
      </c>
      <c r="P2265" s="10" t="n">
        <v>0.206259709550068</v>
      </c>
      <c r="Q2265" s="0" t="str">
        <f aca="false">SUBSTITUTE(SUBSTITUTE($I2265,CHAR(61),""),CHAR(34),"")</f>
        <v>10-14</v>
      </c>
      <c r="R2265" s="0" t="str">
        <f aca="false">IF($D2265&lt;&gt;"","["&amp;$E2265&amp;"]"&amp;"|"&amp;$Q2265&amp;"|"&amp;$K2265&amp;"|"&amp;$G2265&amp;"|"&amp;IF($G2265="TX_CURR_SUBNAT.R","CY2022Q4",$M2265),"")</f>
        <v>[lPTyjLi4w3d]|10-14|Male|TX_CURR_SUBNAT.T_1|CY2023Q3</v>
      </c>
    </row>
    <row r="2266" customFormat="false" ht="15" hidden="false" customHeight="false" outlineLevel="0" collapsed="false">
      <c r="D2266" s="0" t="s">
        <v>117</v>
      </c>
      <c r="E2266" s="0" t="s">
        <v>118</v>
      </c>
      <c r="F2266" s="0" t="s">
        <v>119</v>
      </c>
      <c r="G2266" s="0" t="s">
        <v>146</v>
      </c>
      <c r="H2266" s="0" t="s">
        <v>147</v>
      </c>
      <c r="I2266" s="0" t="s">
        <v>38</v>
      </c>
      <c r="J2266" s="0" t="s">
        <v>39</v>
      </c>
      <c r="K2266" s="0" t="s">
        <v>48</v>
      </c>
      <c r="L2266" s="0" t="s">
        <v>49</v>
      </c>
      <c r="M2266" s="0" t="s">
        <v>140</v>
      </c>
      <c r="N2266" s="0" t="n">
        <v>530</v>
      </c>
      <c r="O2266" s="10" t="n">
        <v>0.312052853172645</v>
      </c>
      <c r="P2266" s="10" t="n">
        <v>0.206259709550068</v>
      </c>
      <c r="Q2266" s="0" t="str">
        <f aca="false">SUBSTITUTE(SUBSTITUTE($I2266,CHAR(61),""),CHAR(34),"")</f>
        <v>15-24</v>
      </c>
      <c r="R2266" s="0" t="str">
        <f aca="false">IF($D2266&lt;&gt;"","["&amp;$E2266&amp;"]"&amp;"|"&amp;$Q2266&amp;"|"&amp;$K2266&amp;"|"&amp;$G2266&amp;"|"&amp;IF($G2266="TX_CURR_SUBNAT.R","CY2022Q4",$M2266),"")</f>
        <v>[lPTyjLi4w3d]|15-24|Male|TX_CURR_SUBNAT.T_1|CY2023Q3</v>
      </c>
    </row>
    <row r="2267" customFormat="false" ht="15" hidden="false" customHeight="false" outlineLevel="0" collapsed="false">
      <c r="D2267" s="0" t="s">
        <v>117</v>
      </c>
      <c r="E2267" s="0" t="s">
        <v>118</v>
      </c>
      <c r="F2267" s="0" t="s">
        <v>119</v>
      </c>
      <c r="G2267" s="0" t="s">
        <v>146</v>
      </c>
      <c r="H2267" s="0" t="s">
        <v>147</v>
      </c>
      <c r="I2267" s="0" t="s">
        <v>41</v>
      </c>
      <c r="J2267" s="0" t="s">
        <v>42</v>
      </c>
      <c r="K2267" s="0" t="s">
        <v>48</v>
      </c>
      <c r="L2267" s="0" t="s">
        <v>49</v>
      </c>
      <c r="M2267" s="0" t="s">
        <v>140</v>
      </c>
      <c r="N2267" s="0" t="n">
        <v>502</v>
      </c>
      <c r="O2267" s="10" t="n">
        <v>0.0456253057345748</v>
      </c>
      <c r="P2267" s="10" t="n">
        <v>0.206259709550068</v>
      </c>
      <c r="Q2267" s="0" t="str">
        <f aca="false">SUBSTITUTE(SUBSTITUTE($I2267,CHAR(61),""),CHAR(34),"")</f>
        <v>25-34</v>
      </c>
      <c r="R2267" s="0" t="str">
        <f aca="false">IF($D2267&lt;&gt;"","["&amp;$E2267&amp;"]"&amp;"|"&amp;$Q2267&amp;"|"&amp;$K2267&amp;"|"&amp;$G2267&amp;"|"&amp;IF($G2267="TX_CURR_SUBNAT.R","CY2022Q4",$M2267),"")</f>
        <v>[lPTyjLi4w3d]|25-34|Male|TX_CURR_SUBNAT.T_1|CY2023Q3</v>
      </c>
    </row>
    <row r="2268" customFormat="false" ht="15" hidden="false" customHeight="false" outlineLevel="0" collapsed="false">
      <c r="D2268" s="0" t="s">
        <v>117</v>
      </c>
      <c r="E2268" s="0" t="s">
        <v>118</v>
      </c>
      <c r="F2268" s="0" t="s">
        <v>119</v>
      </c>
      <c r="G2268" s="0" t="s">
        <v>146</v>
      </c>
      <c r="H2268" s="0" t="s">
        <v>147</v>
      </c>
      <c r="I2268" s="0" t="s">
        <v>43</v>
      </c>
      <c r="J2268" s="0" t="s">
        <v>44</v>
      </c>
      <c r="K2268" s="0" t="s">
        <v>48</v>
      </c>
      <c r="L2268" s="0" t="s">
        <v>49</v>
      </c>
      <c r="M2268" s="0" t="s">
        <v>140</v>
      </c>
      <c r="N2268" s="0" t="n">
        <v>1051</v>
      </c>
      <c r="O2268" s="10" t="n">
        <v>0.51553599582985</v>
      </c>
      <c r="P2268" s="10" t="n">
        <v>0.206259709550068</v>
      </c>
      <c r="Q2268" s="0" t="str">
        <f aca="false">SUBSTITUTE(SUBSTITUTE($I2268,CHAR(61),""),CHAR(34),"")</f>
        <v>35-49</v>
      </c>
      <c r="R2268" s="0" t="str">
        <f aca="false">IF($D2268&lt;&gt;"","["&amp;$E2268&amp;"]"&amp;"|"&amp;$Q2268&amp;"|"&amp;$K2268&amp;"|"&amp;$G2268&amp;"|"&amp;IF($G2268="TX_CURR_SUBNAT.R","CY2022Q4",$M2268),"")</f>
        <v>[lPTyjLi4w3d]|35-49|Male|TX_CURR_SUBNAT.T_1|CY2023Q3</v>
      </c>
    </row>
    <row r="2269" customFormat="false" ht="15" hidden="false" customHeight="false" outlineLevel="0" collapsed="false">
      <c r="D2269" s="0" t="s">
        <v>117</v>
      </c>
      <c r="E2269" s="0" t="s">
        <v>118</v>
      </c>
      <c r="F2269" s="0" t="s">
        <v>119</v>
      </c>
      <c r="G2269" s="0" t="s">
        <v>146</v>
      </c>
      <c r="H2269" s="0" t="s">
        <v>147</v>
      </c>
      <c r="I2269" s="0" t="s">
        <v>45</v>
      </c>
      <c r="J2269" s="0" t="s">
        <v>46</v>
      </c>
      <c r="K2269" s="0" t="s">
        <v>48</v>
      </c>
      <c r="L2269" s="0" t="s">
        <v>49</v>
      </c>
      <c r="M2269" s="0" t="s">
        <v>140</v>
      </c>
      <c r="N2269" s="0" t="n">
        <v>1221</v>
      </c>
      <c r="O2269" s="10" t="n">
        <v>0.763938991585746</v>
      </c>
      <c r="P2269" s="10" t="n">
        <v>0.206259709550068</v>
      </c>
      <c r="Q2269" s="0" t="str">
        <f aca="false">SUBSTITUTE(SUBSTITUTE($I2269,CHAR(61),""),CHAR(34),"")</f>
        <v>50+</v>
      </c>
      <c r="R2269" s="0" t="str">
        <f aca="false">IF($D2269&lt;&gt;"","["&amp;$E2269&amp;"]"&amp;"|"&amp;$Q2269&amp;"|"&amp;$K2269&amp;"|"&amp;$G2269&amp;"|"&amp;IF($G2269="TX_CURR_SUBNAT.R","CY2022Q4",$M2269),"")</f>
        <v>[lPTyjLi4w3d]|50+|Male|TX_CURR_SUBNAT.T_1|CY2023Q3</v>
      </c>
    </row>
    <row r="2270" customFormat="false" ht="15" hidden="false" customHeight="false" outlineLevel="0" collapsed="false">
      <c r="D2270" s="0" t="s">
        <v>120</v>
      </c>
      <c r="E2270" s="0" t="s">
        <v>121</v>
      </c>
      <c r="F2270" s="0" t="s">
        <v>122</v>
      </c>
      <c r="G2270" s="0" t="s">
        <v>146</v>
      </c>
      <c r="H2270" s="0" t="s">
        <v>147</v>
      </c>
      <c r="I2270" s="0" t="s">
        <v>28</v>
      </c>
      <c r="J2270" s="0" t="s">
        <v>29</v>
      </c>
      <c r="K2270" s="0" t="s">
        <v>30</v>
      </c>
      <c r="L2270" s="0" t="s">
        <v>31</v>
      </c>
      <c r="M2270" s="0" t="s">
        <v>140</v>
      </c>
      <c r="N2270" s="0" t="n">
        <v>1903</v>
      </c>
      <c r="O2270" s="10" t="n">
        <v>0.167075591394678</v>
      </c>
      <c r="P2270" s="10" t="n">
        <v>0.430103979306296</v>
      </c>
      <c r="Q2270" s="0" t="str">
        <f aca="false">SUBSTITUTE(SUBSTITUTE($I2270,CHAR(61),""),CHAR(34),"")</f>
        <v>&lt;01</v>
      </c>
      <c r="R2270" s="0" t="str">
        <f aca="false">IF($D2270&lt;&gt;"","["&amp;$E2270&amp;"]"&amp;"|"&amp;$Q2270&amp;"|"&amp;$K2270&amp;"|"&amp;$G2270&amp;"|"&amp;IF($G2270="TX_CURR_SUBNAT.R","CY2022Q4",$M2270),"")</f>
        <v>[vA4NcHxfMBq]|&lt;01|Female|TX_CURR_SUBNAT.T_1|CY2023Q3</v>
      </c>
    </row>
    <row r="2271" customFormat="false" ht="15" hidden="false" customHeight="false" outlineLevel="0" collapsed="false">
      <c r="D2271" s="0" t="s">
        <v>120</v>
      </c>
      <c r="E2271" s="0" t="s">
        <v>121</v>
      </c>
      <c r="F2271" s="0" t="s">
        <v>122</v>
      </c>
      <c r="G2271" s="0" t="s">
        <v>146</v>
      </c>
      <c r="H2271" s="0" t="s">
        <v>147</v>
      </c>
      <c r="I2271" s="0" t="s">
        <v>33</v>
      </c>
      <c r="J2271" s="0" t="s">
        <v>34</v>
      </c>
      <c r="K2271" s="0" t="s">
        <v>30</v>
      </c>
      <c r="L2271" s="0" t="s">
        <v>31</v>
      </c>
      <c r="M2271" s="0" t="s">
        <v>140</v>
      </c>
      <c r="N2271" s="0" t="n">
        <v>1669</v>
      </c>
      <c r="O2271" s="10" t="n">
        <v>0.0239720591343939</v>
      </c>
      <c r="P2271" s="10" t="n">
        <v>0.430103979306296</v>
      </c>
      <c r="Q2271" s="0" t="str">
        <f aca="false">SUBSTITUTE(SUBSTITUTE($I2271,CHAR(61),""),CHAR(34),"")</f>
        <v>01-09</v>
      </c>
      <c r="R2271" s="0" t="str">
        <f aca="false">IF($D2271&lt;&gt;"","["&amp;$E2271&amp;"]"&amp;"|"&amp;$Q2271&amp;"|"&amp;$K2271&amp;"|"&amp;$G2271&amp;"|"&amp;IF($G2271="TX_CURR_SUBNAT.R","CY2022Q4",$M2271),"")</f>
        <v>[vA4NcHxfMBq]|01-09|Female|TX_CURR_SUBNAT.T_1|CY2023Q3</v>
      </c>
    </row>
    <row r="2272" customFormat="false" ht="15" hidden="false" customHeight="false" outlineLevel="0" collapsed="false">
      <c r="D2272" s="0" t="s">
        <v>120</v>
      </c>
      <c r="E2272" s="0" t="s">
        <v>121</v>
      </c>
      <c r="F2272" s="0" t="s">
        <v>122</v>
      </c>
      <c r="G2272" s="0" t="s">
        <v>146</v>
      </c>
      <c r="H2272" s="0" t="s">
        <v>147</v>
      </c>
      <c r="I2272" s="0" t="s">
        <v>36</v>
      </c>
      <c r="J2272" s="0" t="s">
        <v>37</v>
      </c>
      <c r="K2272" s="0" t="s">
        <v>30</v>
      </c>
      <c r="L2272" s="0" t="s">
        <v>31</v>
      </c>
      <c r="M2272" s="0" t="s">
        <v>140</v>
      </c>
      <c r="N2272" s="0" t="n">
        <v>1213</v>
      </c>
      <c r="O2272" s="10" t="n">
        <v>0.150296171428636</v>
      </c>
      <c r="P2272" s="10" t="n">
        <v>0.430103979306296</v>
      </c>
      <c r="Q2272" s="0" t="str">
        <f aca="false">SUBSTITUTE(SUBSTITUTE($I2272,CHAR(61),""),CHAR(34),"")</f>
        <v>10-14</v>
      </c>
      <c r="R2272" s="0" t="str">
        <f aca="false">IF($D2272&lt;&gt;"","["&amp;$E2272&amp;"]"&amp;"|"&amp;$Q2272&amp;"|"&amp;$K2272&amp;"|"&amp;$G2272&amp;"|"&amp;IF($G2272="TX_CURR_SUBNAT.R","CY2022Q4",$M2272),"")</f>
        <v>[vA4NcHxfMBq]|10-14|Female|TX_CURR_SUBNAT.T_1|CY2023Q3</v>
      </c>
    </row>
    <row r="2273" customFormat="false" ht="15" hidden="false" customHeight="false" outlineLevel="0" collapsed="false">
      <c r="D2273" s="0" t="s">
        <v>120</v>
      </c>
      <c r="E2273" s="0" t="s">
        <v>121</v>
      </c>
      <c r="F2273" s="0" t="s">
        <v>122</v>
      </c>
      <c r="G2273" s="0" t="s">
        <v>146</v>
      </c>
      <c r="H2273" s="0" t="s">
        <v>147</v>
      </c>
      <c r="I2273" s="0" t="s">
        <v>38</v>
      </c>
      <c r="J2273" s="0" t="s">
        <v>39</v>
      </c>
      <c r="K2273" s="0" t="s">
        <v>30</v>
      </c>
      <c r="L2273" s="0" t="s">
        <v>31</v>
      </c>
      <c r="M2273" s="0" t="s">
        <v>140</v>
      </c>
      <c r="N2273" s="0" t="n">
        <v>1827</v>
      </c>
      <c r="O2273" s="10" t="n">
        <v>0.586208146065474</v>
      </c>
      <c r="P2273" s="10" t="n">
        <v>0.430103979306296</v>
      </c>
      <c r="Q2273" s="0" t="str">
        <f aca="false">SUBSTITUTE(SUBSTITUTE($I2273,CHAR(61),""),CHAR(34),"")</f>
        <v>15-24</v>
      </c>
      <c r="R2273" s="0" t="str">
        <f aca="false">IF($D2273&lt;&gt;"","["&amp;$E2273&amp;"]"&amp;"|"&amp;$Q2273&amp;"|"&amp;$K2273&amp;"|"&amp;$G2273&amp;"|"&amp;IF($G2273="TX_CURR_SUBNAT.R","CY2022Q4",$M2273),"")</f>
        <v>[vA4NcHxfMBq]|15-24|Female|TX_CURR_SUBNAT.T_1|CY2023Q3</v>
      </c>
    </row>
    <row r="2274" customFormat="false" ht="15" hidden="false" customHeight="false" outlineLevel="0" collapsed="false">
      <c r="D2274" s="0" t="s">
        <v>120</v>
      </c>
      <c r="E2274" s="0" t="s">
        <v>121</v>
      </c>
      <c r="F2274" s="0" t="s">
        <v>122</v>
      </c>
      <c r="G2274" s="0" t="s">
        <v>146</v>
      </c>
      <c r="H2274" s="0" t="s">
        <v>147</v>
      </c>
      <c r="I2274" s="0" t="s">
        <v>41</v>
      </c>
      <c r="J2274" s="0" t="s">
        <v>42</v>
      </c>
      <c r="K2274" s="0" t="s">
        <v>30</v>
      </c>
      <c r="L2274" s="0" t="s">
        <v>31</v>
      </c>
      <c r="M2274" s="0" t="s">
        <v>140</v>
      </c>
      <c r="N2274" s="0" t="n">
        <v>1917</v>
      </c>
      <c r="O2274" s="10" t="n">
        <v>0.271134938113391</v>
      </c>
      <c r="P2274" s="10" t="n">
        <v>0.430103979306296</v>
      </c>
      <c r="Q2274" s="0" t="str">
        <f aca="false">SUBSTITUTE(SUBSTITUTE($I2274,CHAR(61),""),CHAR(34),"")</f>
        <v>25-34</v>
      </c>
      <c r="R2274" s="0" t="str">
        <f aca="false">IF($D2274&lt;&gt;"","["&amp;$E2274&amp;"]"&amp;"|"&amp;$Q2274&amp;"|"&amp;$K2274&amp;"|"&amp;$G2274&amp;"|"&amp;IF($G2274="TX_CURR_SUBNAT.R","CY2022Q4",$M2274),"")</f>
        <v>[vA4NcHxfMBq]|25-34|Female|TX_CURR_SUBNAT.T_1|CY2023Q3</v>
      </c>
    </row>
    <row r="2275" customFormat="false" ht="15" hidden="false" customHeight="false" outlineLevel="0" collapsed="false">
      <c r="D2275" s="0" t="s">
        <v>120</v>
      </c>
      <c r="E2275" s="0" t="s">
        <v>121</v>
      </c>
      <c r="F2275" s="0" t="s">
        <v>122</v>
      </c>
      <c r="G2275" s="0" t="s">
        <v>146</v>
      </c>
      <c r="H2275" s="0" t="s">
        <v>147</v>
      </c>
      <c r="I2275" s="0" t="s">
        <v>43</v>
      </c>
      <c r="J2275" s="0" t="s">
        <v>44</v>
      </c>
      <c r="K2275" s="0" t="s">
        <v>30</v>
      </c>
      <c r="L2275" s="0" t="s">
        <v>31</v>
      </c>
      <c r="M2275" s="0" t="s">
        <v>140</v>
      </c>
      <c r="N2275" s="0" t="n">
        <v>1804</v>
      </c>
      <c r="O2275" s="10" t="n">
        <v>0.437524679815397</v>
      </c>
      <c r="P2275" s="10" t="n">
        <v>0.430103979306296</v>
      </c>
      <c r="Q2275" s="0" t="str">
        <f aca="false">SUBSTITUTE(SUBSTITUTE($I2275,CHAR(61),""),CHAR(34),"")</f>
        <v>35-49</v>
      </c>
      <c r="R2275" s="0" t="str">
        <f aca="false">IF($D2275&lt;&gt;"","["&amp;$E2275&amp;"]"&amp;"|"&amp;$Q2275&amp;"|"&amp;$K2275&amp;"|"&amp;$G2275&amp;"|"&amp;IF($G2275="TX_CURR_SUBNAT.R","CY2022Q4",$M2275),"")</f>
        <v>[vA4NcHxfMBq]|35-49|Female|TX_CURR_SUBNAT.T_1|CY2023Q3</v>
      </c>
    </row>
    <row r="2276" customFormat="false" ht="15" hidden="false" customHeight="false" outlineLevel="0" collapsed="false">
      <c r="D2276" s="0" t="s">
        <v>120</v>
      </c>
      <c r="E2276" s="0" t="s">
        <v>121</v>
      </c>
      <c r="F2276" s="0" t="s">
        <v>122</v>
      </c>
      <c r="G2276" s="0" t="s">
        <v>146</v>
      </c>
      <c r="H2276" s="0" t="s">
        <v>147</v>
      </c>
      <c r="I2276" s="0" t="s">
        <v>45</v>
      </c>
      <c r="J2276" s="0" t="s">
        <v>46</v>
      </c>
      <c r="K2276" s="0" t="s">
        <v>30</v>
      </c>
      <c r="L2276" s="0" t="s">
        <v>31</v>
      </c>
      <c r="M2276" s="0" t="s">
        <v>140</v>
      </c>
      <c r="N2276" s="0" t="n">
        <v>1051</v>
      </c>
      <c r="O2276" s="10" t="n">
        <v>0.385463534854352</v>
      </c>
      <c r="P2276" s="10" t="n">
        <v>0.430103979306296</v>
      </c>
      <c r="Q2276" s="0" t="str">
        <f aca="false">SUBSTITUTE(SUBSTITUTE($I2276,CHAR(61),""),CHAR(34),"")</f>
        <v>50+</v>
      </c>
      <c r="R2276" s="0" t="str">
        <f aca="false">IF($D2276&lt;&gt;"","["&amp;$E2276&amp;"]"&amp;"|"&amp;$Q2276&amp;"|"&amp;$K2276&amp;"|"&amp;$G2276&amp;"|"&amp;IF($G2276="TX_CURR_SUBNAT.R","CY2022Q4",$M2276),"")</f>
        <v>[vA4NcHxfMBq]|50+|Female|TX_CURR_SUBNAT.T_1|CY2023Q3</v>
      </c>
    </row>
    <row r="2277" customFormat="false" ht="15" hidden="false" customHeight="false" outlineLevel="0" collapsed="false">
      <c r="D2277" s="0" t="s">
        <v>120</v>
      </c>
      <c r="E2277" s="0" t="s">
        <v>121</v>
      </c>
      <c r="F2277" s="0" t="s">
        <v>122</v>
      </c>
      <c r="G2277" s="0" t="s">
        <v>146</v>
      </c>
      <c r="H2277" s="0" t="s">
        <v>147</v>
      </c>
      <c r="I2277" s="0" t="s">
        <v>28</v>
      </c>
      <c r="J2277" s="0" t="s">
        <v>29</v>
      </c>
      <c r="K2277" s="0" t="s">
        <v>48</v>
      </c>
      <c r="L2277" s="0" t="s">
        <v>49</v>
      </c>
      <c r="M2277" s="0" t="s">
        <v>140</v>
      </c>
      <c r="N2277" s="0" t="n">
        <v>1822</v>
      </c>
      <c r="O2277" s="10" t="n">
        <v>0.348726021824405</v>
      </c>
      <c r="P2277" s="10" t="n">
        <v>0.430103979306296</v>
      </c>
      <c r="Q2277" s="0" t="str">
        <f aca="false">SUBSTITUTE(SUBSTITUTE($I2277,CHAR(61),""),CHAR(34),"")</f>
        <v>&lt;01</v>
      </c>
      <c r="R2277" s="0" t="str">
        <f aca="false">IF($D2277&lt;&gt;"","["&amp;$E2277&amp;"]"&amp;"|"&amp;$Q2277&amp;"|"&amp;$K2277&amp;"|"&amp;$G2277&amp;"|"&amp;IF($G2277="TX_CURR_SUBNAT.R","CY2022Q4",$M2277),"")</f>
        <v>[vA4NcHxfMBq]|&lt;01|Male|TX_CURR_SUBNAT.T_1|CY2023Q3</v>
      </c>
    </row>
    <row r="2278" customFormat="false" ht="15" hidden="false" customHeight="false" outlineLevel="0" collapsed="false">
      <c r="D2278" s="0" t="s">
        <v>120</v>
      </c>
      <c r="E2278" s="0" t="s">
        <v>121</v>
      </c>
      <c r="F2278" s="0" t="s">
        <v>122</v>
      </c>
      <c r="G2278" s="0" t="s">
        <v>146</v>
      </c>
      <c r="H2278" s="0" t="s">
        <v>147</v>
      </c>
      <c r="I2278" s="0" t="s">
        <v>33</v>
      </c>
      <c r="J2278" s="0" t="s">
        <v>34</v>
      </c>
      <c r="K2278" s="0" t="s">
        <v>48</v>
      </c>
      <c r="L2278" s="0" t="s">
        <v>49</v>
      </c>
      <c r="M2278" s="0" t="s">
        <v>140</v>
      </c>
      <c r="N2278" s="0" t="n">
        <v>1417</v>
      </c>
      <c r="O2278" s="10" t="n">
        <v>0.567631264682859</v>
      </c>
      <c r="P2278" s="10" t="n">
        <v>0.430103979306296</v>
      </c>
      <c r="Q2278" s="0" t="str">
        <f aca="false">SUBSTITUTE(SUBSTITUTE($I2278,CHAR(61),""),CHAR(34),"")</f>
        <v>01-09</v>
      </c>
      <c r="R2278" s="0" t="str">
        <f aca="false">IF($D2278&lt;&gt;"","["&amp;$E2278&amp;"]"&amp;"|"&amp;$Q2278&amp;"|"&amp;$K2278&amp;"|"&amp;$G2278&amp;"|"&amp;IF($G2278="TX_CURR_SUBNAT.R","CY2022Q4",$M2278),"")</f>
        <v>[vA4NcHxfMBq]|01-09|Male|TX_CURR_SUBNAT.T_1|CY2023Q3</v>
      </c>
    </row>
    <row r="2279" customFormat="false" ht="15" hidden="false" customHeight="false" outlineLevel="0" collapsed="false">
      <c r="D2279" s="0" t="s">
        <v>120</v>
      </c>
      <c r="E2279" s="0" t="s">
        <v>121</v>
      </c>
      <c r="F2279" s="0" t="s">
        <v>122</v>
      </c>
      <c r="G2279" s="0" t="s">
        <v>146</v>
      </c>
      <c r="H2279" s="0" t="s">
        <v>147</v>
      </c>
      <c r="I2279" s="0" t="s">
        <v>36</v>
      </c>
      <c r="J2279" s="0" t="s">
        <v>37</v>
      </c>
      <c r="K2279" s="0" t="s">
        <v>48</v>
      </c>
      <c r="L2279" s="0" t="s">
        <v>49</v>
      </c>
      <c r="M2279" s="0" t="s">
        <v>140</v>
      </c>
      <c r="N2279" s="0" t="n">
        <v>705</v>
      </c>
      <c r="O2279" s="10" t="n">
        <v>0.824319256236777</v>
      </c>
      <c r="P2279" s="10" t="n">
        <v>0.430103979306296</v>
      </c>
      <c r="Q2279" s="0" t="str">
        <f aca="false">SUBSTITUTE(SUBSTITUTE($I2279,CHAR(61),""),CHAR(34),"")</f>
        <v>10-14</v>
      </c>
      <c r="R2279" s="0" t="str">
        <f aca="false">IF($D2279&lt;&gt;"","["&amp;$E2279&amp;"]"&amp;"|"&amp;$Q2279&amp;"|"&amp;$K2279&amp;"|"&amp;$G2279&amp;"|"&amp;IF($G2279="TX_CURR_SUBNAT.R","CY2022Q4",$M2279),"")</f>
        <v>[vA4NcHxfMBq]|10-14|Male|TX_CURR_SUBNAT.T_1|CY2023Q3</v>
      </c>
    </row>
    <row r="2280" customFormat="false" ht="15" hidden="false" customHeight="false" outlineLevel="0" collapsed="false">
      <c r="D2280" s="0" t="s">
        <v>120</v>
      </c>
      <c r="E2280" s="0" t="s">
        <v>121</v>
      </c>
      <c r="F2280" s="0" t="s">
        <v>122</v>
      </c>
      <c r="G2280" s="0" t="s">
        <v>146</v>
      </c>
      <c r="H2280" s="0" t="s">
        <v>147</v>
      </c>
      <c r="I2280" s="0" t="s">
        <v>38</v>
      </c>
      <c r="J2280" s="0" t="s">
        <v>39</v>
      </c>
      <c r="K2280" s="0" t="s">
        <v>48</v>
      </c>
      <c r="L2280" s="0" t="s">
        <v>49</v>
      </c>
      <c r="M2280" s="0" t="s">
        <v>140</v>
      </c>
      <c r="N2280" s="0" t="n">
        <v>630</v>
      </c>
      <c r="O2280" s="10" t="n">
        <v>0.587018243968487</v>
      </c>
      <c r="P2280" s="10" t="n">
        <v>0.430103979306296</v>
      </c>
      <c r="Q2280" s="0" t="str">
        <f aca="false">SUBSTITUTE(SUBSTITUTE($I2280,CHAR(61),""),CHAR(34),"")</f>
        <v>15-24</v>
      </c>
      <c r="R2280" s="0" t="str">
        <f aca="false">IF($D2280&lt;&gt;"","["&amp;$E2280&amp;"]"&amp;"|"&amp;$Q2280&amp;"|"&amp;$K2280&amp;"|"&amp;$G2280&amp;"|"&amp;IF($G2280="TX_CURR_SUBNAT.R","CY2022Q4",$M2280),"")</f>
        <v>[vA4NcHxfMBq]|15-24|Male|TX_CURR_SUBNAT.T_1|CY2023Q3</v>
      </c>
    </row>
    <row r="2281" customFormat="false" ht="15" hidden="false" customHeight="false" outlineLevel="0" collapsed="false">
      <c r="D2281" s="0" t="s">
        <v>120</v>
      </c>
      <c r="E2281" s="0" t="s">
        <v>121</v>
      </c>
      <c r="F2281" s="0" t="s">
        <v>122</v>
      </c>
      <c r="G2281" s="0" t="s">
        <v>146</v>
      </c>
      <c r="H2281" s="0" t="s">
        <v>147</v>
      </c>
      <c r="I2281" s="0" t="s">
        <v>41</v>
      </c>
      <c r="J2281" s="0" t="s">
        <v>42</v>
      </c>
      <c r="K2281" s="0" t="s">
        <v>48</v>
      </c>
      <c r="L2281" s="0" t="s">
        <v>49</v>
      </c>
      <c r="M2281" s="0" t="s">
        <v>140</v>
      </c>
      <c r="N2281" s="0" t="n">
        <v>1580</v>
      </c>
      <c r="O2281" s="10" t="n">
        <v>0.360008895630017</v>
      </c>
      <c r="P2281" s="10" t="n">
        <v>0.430103979306296</v>
      </c>
      <c r="Q2281" s="0" t="str">
        <f aca="false">SUBSTITUTE(SUBSTITUTE($I2281,CHAR(61),""),CHAR(34),"")</f>
        <v>25-34</v>
      </c>
      <c r="R2281" s="0" t="str">
        <f aca="false">IF($D2281&lt;&gt;"","["&amp;$E2281&amp;"]"&amp;"|"&amp;$Q2281&amp;"|"&amp;$K2281&amp;"|"&amp;$G2281&amp;"|"&amp;IF($G2281="TX_CURR_SUBNAT.R","CY2022Q4",$M2281),"")</f>
        <v>[vA4NcHxfMBq]|25-34|Male|TX_CURR_SUBNAT.T_1|CY2023Q3</v>
      </c>
    </row>
    <row r="2282" customFormat="false" ht="15" hidden="false" customHeight="false" outlineLevel="0" collapsed="false">
      <c r="D2282" s="0" t="s">
        <v>120</v>
      </c>
      <c r="E2282" s="0" t="s">
        <v>121</v>
      </c>
      <c r="F2282" s="0" t="s">
        <v>122</v>
      </c>
      <c r="G2282" s="0" t="s">
        <v>146</v>
      </c>
      <c r="H2282" s="0" t="s">
        <v>147</v>
      </c>
      <c r="I2282" s="0" t="s">
        <v>43</v>
      </c>
      <c r="J2282" s="0" t="s">
        <v>44</v>
      </c>
      <c r="K2282" s="0" t="s">
        <v>48</v>
      </c>
      <c r="L2282" s="0" t="s">
        <v>49</v>
      </c>
      <c r="M2282" s="0" t="s">
        <v>140</v>
      </c>
      <c r="N2282" s="0" t="n">
        <v>1401</v>
      </c>
      <c r="O2282" s="10" t="n">
        <v>0.0273532192222774</v>
      </c>
      <c r="P2282" s="10" t="n">
        <v>0.430103979306296</v>
      </c>
      <c r="Q2282" s="0" t="str">
        <f aca="false">SUBSTITUTE(SUBSTITUTE($I2282,CHAR(61),""),CHAR(34),"")</f>
        <v>35-49</v>
      </c>
      <c r="R2282" s="0" t="str">
        <f aca="false">IF($D2282&lt;&gt;"","["&amp;$E2282&amp;"]"&amp;"|"&amp;$Q2282&amp;"|"&amp;$K2282&amp;"|"&amp;$G2282&amp;"|"&amp;IF($G2282="TX_CURR_SUBNAT.R","CY2022Q4",$M2282),"")</f>
        <v>[vA4NcHxfMBq]|35-49|Male|TX_CURR_SUBNAT.T_1|CY2023Q3</v>
      </c>
    </row>
    <row r="2283" customFormat="false" ht="15" hidden="false" customHeight="false" outlineLevel="0" collapsed="false">
      <c r="D2283" s="0" t="s">
        <v>120</v>
      </c>
      <c r="E2283" s="0" t="s">
        <v>121</v>
      </c>
      <c r="F2283" s="0" t="s">
        <v>122</v>
      </c>
      <c r="G2283" s="0" t="s">
        <v>146</v>
      </c>
      <c r="H2283" s="0" t="s">
        <v>147</v>
      </c>
      <c r="I2283" s="0" t="s">
        <v>45</v>
      </c>
      <c r="J2283" s="0" t="s">
        <v>46</v>
      </c>
      <c r="K2283" s="0" t="s">
        <v>48</v>
      </c>
      <c r="L2283" s="0" t="s">
        <v>49</v>
      </c>
      <c r="M2283" s="0" t="s">
        <v>140</v>
      </c>
      <c r="N2283" s="0" t="n">
        <v>1516</v>
      </c>
      <c r="O2283" s="10" t="n">
        <v>0.191572313662618</v>
      </c>
      <c r="P2283" s="10" t="n">
        <v>0.430103979306296</v>
      </c>
      <c r="Q2283" s="0" t="str">
        <f aca="false">SUBSTITUTE(SUBSTITUTE($I2283,CHAR(61),""),CHAR(34),"")</f>
        <v>50+</v>
      </c>
      <c r="R2283" s="0" t="str">
        <f aca="false">IF($D2283&lt;&gt;"","["&amp;$E2283&amp;"]"&amp;"|"&amp;$Q2283&amp;"|"&amp;$K2283&amp;"|"&amp;$G2283&amp;"|"&amp;IF($G2283="TX_CURR_SUBNAT.R","CY2022Q4",$M2283),"")</f>
        <v>[vA4NcHxfMBq]|50+|Male|TX_CURR_SUBNAT.T_1|CY2023Q3</v>
      </c>
    </row>
    <row r="2284" customFormat="false" ht="15" hidden="false" customHeight="false" outlineLevel="0" collapsed="false">
      <c r="D2284" s="0" t="s">
        <v>123</v>
      </c>
      <c r="E2284" s="0" t="s">
        <v>124</v>
      </c>
      <c r="F2284" s="0" t="s">
        <v>125</v>
      </c>
      <c r="G2284" s="0" t="s">
        <v>146</v>
      </c>
      <c r="H2284" s="0" t="s">
        <v>147</v>
      </c>
      <c r="I2284" s="0" t="s">
        <v>28</v>
      </c>
      <c r="J2284" s="0" t="s">
        <v>29</v>
      </c>
      <c r="K2284" s="0" t="s">
        <v>30</v>
      </c>
      <c r="L2284" s="0" t="s">
        <v>31</v>
      </c>
      <c r="M2284" s="0" t="s">
        <v>140</v>
      </c>
      <c r="N2284" s="0" t="n">
        <v>550</v>
      </c>
      <c r="O2284" s="10" t="n">
        <v>0.585269446484745</v>
      </c>
      <c r="P2284" s="10" t="n">
        <v>0.419500603340566</v>
      </c>
      <c r="Q2284" s="0" t="str">
        <f aca="false">SUBSTITUTE(SUBSTITUTE($I2284,CHAR(61),""),CHAR(34),"")</f>
        <v>&lt;01</v>
      </c>
      <c r="R2284" s="0" t="str">
        <f aca="false">IF($D2284&lt;&gt;"","["&amp;$E2284&amp;"]"&amp;"|"&amp;$Q2284&amp;"|"&amp;$K2284&amp;"|"&amp;$G2284&amp;"|"&amp;IF($G2284="TX_CURR_SUBNAT.R","CY2022Q4",$M2284),"")</f>
        <v>[E7zpfyBt7Tw]|&lt;01|Female|TX_CURR_SUBNAT.T_1|CY2023Q3</v>
      </c>
    </row>
    <row r="2285" customFormat="false" ht="15" hidden="false" customHeight="false" outlineLevel="0" collapsed="false">
      <c r="D2285" s="0" t="s">
        <v>123</v>
      </c>
      <c r="E2285" s="0" t="s">
        <v>124</v>
      </c>
      <c r="F2285" s="0" t="s">
        <v>125</v>
      </c>
      <c r="G2285" s="0" t="s">
        <v>146</v>
      </c>
      <c r="H2285" s="0" t="s">
        <v>147</v>
      </c>
      <c r="I2285" s="0" t="s">
        <v>33</v>
      </c>
      <c r="J2285" s="0" t="s">
        <v>34</v>
      </c>
      <c r="K2285" s="0" t="s">
        <v>30</v>
      </c>
      <c r="L2285" s="0" t="s">
        <v>31</v>
      </c>
      <c r="M2285" s="0" t="s">
        <v>140</v>
      </c>
      <c r="N2285" s="0" t="n">
        <v>1674</v>
      </c>
      <c r="O2285" s="10" t="n">
        <v>0.555167920421809</v>
      </c>
      <c r="P2285" s="10" t="n">
        <v>0.419500603340566</v>
      </c>
      <c r="Q2285" s="0" t="str">
        <f aca="false">SUBSTITUTE(SUBSTITUTE($I2285,CHAR(61),""),CHAR(34),"")</f>
        <v>01-09</v>
      </c>
      <c r="R2285" s="0" t="str">
        <f aca="false">IF($D2285&lt;&gt;"","["&amp;$E2285&amp;"]"&amp;"|"&amp;$Q2285&amp;"|"&amp;$K2285&amp;"|"&amp;$G2285&amp;"|"&amp;IF($G2285="TX_CURR_SUBNAT.R","CY2022Q4",$M2285),"")</f>
        <v>[E7zpfyBt7Tw]|01-09|Female|TX_CURR_SUBNAT.T_1|CY2023Q3</v>
      </c>
    </row>
    <row r="2286" customFormat="false" ht="15" hidden="false" customHeight="false" outlineLevel="0" collapsed="false">
      <c r="D2286" s="0" t="s">
        <v>123</v>
      </c>
      <c r="E2286" s="0" t="s">
        <v>124</v>
      </c>
      <c r="F2286" s="0" t="s">
        <v>125</v>
      </c>
      <c r="G2286" s="0" t="s">
        <v>146</v>
      </c>
      <c r="H2286" s="0" t="s">
        <v>147</v>
      </c>
      <c r="I2286" s="0" t="s">
        <v>36</v>
      </c>
      <c r="J2286" s="0" t="s">
        <v>37</v>
      </c>
      <c r="K2286" s="0" t="s">
        <v>30</v>
      </c>
      <c r="L2286" s="0" t="s">
        <v>31</v>
      </c>
      <c r="M2286" s="0" t="s">
        <v>140</v>
      </c>
      <c r="N2286" s="0" t="n">
        <v>1560</v>
      </c>
      <c r="O2286" s="10" t="n">
        <v>0.889764048624784</v>
      </c>
      <c r="P2286" s="10" t="n">
        <v>0.419500603340566</v>
      </c>
      <c r="Q2286" s="0" t="str">
        <f aca="false">SUBSTITUTE(SUBSTITUTE($I2286,CHAR(61),""),CHAR(34),"")</f>
        <v>10-14</v>
      </c>
      <c r="R2286" s="0" t="str">
        <f aca="false">IF($D2286&lt;&gt;"","["&amp;$E2286&amp;"]"&amp;"|"&amp;$Q2286&amp;"|"&amp;$K2286&amp;"|"&amp;$G2286&amp;"|"&amp;IF($G2286="TX_CURR_SUBNAT.R","CY2022Q4",$M2286),"")</f>
        <v>[E7zpfyBt7Tw]|10-14|Female|TX_CURR_SUBNAT.T_1|CY2023Q3</v>
      </c>
    </row>
    <row r="2287" customFormat="false" ht="15" hidden="false" customHeight="false" outlineLevel="0" collapsed="false">
      <c r="D2287" s="0" t="s">
        <v>123</v>
      </c>
      <c r="E2287" s="0" t="s">
        <v>124</v>
      </c>
      <c r="F2287" s="0" t="s">
        <v>125</v>
      </c>
      <c r="G2287" s="0" t="s">
        <v>146</v>
      </c>
      <c r="H2287" s="0" t="s">
        <v>147</v>
      </c>
      <c r="I2287" s="0" t="s">
        <v>38</v>
      </c>
      <c r="J2287" s="0" t="s">
        <v>39</v>
      </c>
      <c r="K2287" s="0" t="s">
        <v>30</v>
      </c>
      <c r="L2287" s="0" t="s">
        <v>31</v>
      </c>
      <c r="M2287" s="0" t="s">
        <v>140</v>
      </c>
      <c r="N2287" s="0" t="n">
        <v>1439</v>
      </c>
      <c r="O2287" s="10" t="n">
        <v>0.384684399468824</v>
      </c>
      <c r="P2287" s="10" t="n">
        <v>0.419500603340566</v>
      </c>
      <c r="Q2287" s="0" t="str">
        <f aca="false">SUBSTITUTE(SUBSTITUTE($I2287,CHAR(61),""),CHAR(34),"")</f>
        <v>15-24</v>
      </c>
      <c r="R2287" s="0" t="str">
        <f aca="false">IF($D2287&lt;&gt;"","["&amp;$E2287&amp;"]"&amp;"|"&amp;$Q2287&amp;"|"&amp;$K2287&amp;"|"&amp;$G2287&amp;"|"&amp;IF($G2287="TX_CURR_SUBNAT.R","CY2022Q4",$M2287),"")</f>
        <v>[E7zpfyBt7Tw]|15-24|Female|TX_CURR_SUBNAT.T_1|CY2023Q3</v>
      </c>
    </row>
    <row r="2288" customFormat="false" ht="15" hidden="false" customHeight="false" outlineLevel="0" collapsed="false">
      <c r="D2288" s="0" t="s">
        <v>123</v>
      </c>
      <c r="E2288" s="0" t="s">
        <v>124</v>
      </c>
      <c r="F2288" s="0" t="s">
        <v>125</v>
      </c>
      <c r="G2288" s="0" t="s">
        <v>146</v>
      </c>
      <c r="H2288" s="0" t="s">
        <v>147</v>
      </c>
      <c r="I2288" s="0" t="s">
        <v>41</v>
      </c>
      <c r="J2288" s="0" t="s">
        <v>42</v>
      </c>
      <c r="K2288" s="0" t="s">
        <v>30</v>
      </c>
      <c r="L2288" s="0" t="s">
        <v>31</v>
      </c>
      <c r="M2288" s="0" t="s">
        <v>140</v>
      </c>
      <c r="N2288" s="0" t="n">
        <v>1692</v>
      </c>
      <c r="O2288" s="10" t="n">
        <v>0.142727729864419</v>
      </c>
      <c r="P2288" s="10" t="n">
        <v>0.419500603340566</v>
      </c>
      <c r="Q2288" s="0" t="str">
        <f aca="false">SUBSTITUTE(SUBSTITUTE($I2288,CHAR(61),""),CHAR(34),"")</f>
        <v>25-34</v>
      </c>
      <c r="R2288" s="0" t="str">
        <f aca="false">IF($D2288&lt;&gt;"","["&amp;$E2288&amp;"]"&amp;"|"&amp;$Q2288&amp;"|"&amp;$K2288&amp;"|"&amp;$G2288&amp;"|"&amp;IF($G2288="TX_CURR_SUBNAT.R","CY2022Q4",$M2288),"")</f>
        <v>[E7zpfyBt7Tw]|25-34|Female|TX_CURR_SUBNAT.T_1|CY2023Q3</v>
      </c>
    </row>
    <row r="2289" customFormat="false" ht="15" hidden="false" customHeight="false" outlineLevel="0" collapsed="false">
      <c r="D2289" s="0" t="s">
        <v>123</v>
      </c>
      <c r="E2289" s="0" t="s">
        <v>124</v>
      </c>
      <c r="F2289" s="0" t="s">
        <v>125</v>
      </c>
      <c r="G2289" s="0" t="s">
        <v>146</v>
      </c>
      <c r="H2289" s="0" t="s">
        <v>147</v>
      </c>
      <c r="I2289" s="0" t="s">
        <v>43</v>
      </c>
      <c r="J2289" s="0" t="s">
        <v>44</v>
      </c>
      <c r="K2289" s="0" t="s">
        <v>30</v>
      </c>
      <c r="L2289" s="0" t="s">
        <v>31</v>
      </c>
      <c r="M2289" s="0" t="s">
        <v>140</v>
      </c>
      <c r="N2289" s="0" t="n">
        <v>1275</v>
      </c>
      <c r="O2289" s="10" t="n">
        <v>0.0400027383584529</v>
      </c>
      <c r="P2289" s="10" t="n">
        <v>0.419500603340566</v>
      </c>
      <c r="Q2289" s="0" t="str">
        <f aca="false">SUBSTITUTE(SUBSTITUTE($I2289,CHAR(61),""),CHAR(34),"")</f>
        <v>35-49</v>
      </c>
      <c r="R2289" s="0" t="str">
        <f aca="false">IF($D2289&lt;&gt;"","["&amp;$E2289&amp;"]"&amp;"|"&amp;$Q2289&amp;"|"&amp;$K2289&amp;"|"&amp;$G2289&amp;"|"&amp;IF($G2289="TX_CURR_SUBNAT.R","CY2022Q4",$M2289),"")</f>
        <v>[E7zpfyBt7Tw]|35-49|Female|TX_CURR_SUBNAT.T_1|CY2023Q3</v>
      </c>
    </row>
    <row r="2290" customFormat="false" ht="15" hidden="false" customHeight="false" outlineLevel="0" collapsed="false">
      <c r="D2290" s="0" t="s">
        <v>123</v>
      </c>
      <c r="E2290" s="0" t="s">
        <v>124</v>
      </c>
      <c r="F2290" s="0" t="s">
        <v>125</v>
      </c>
      <c r="G2290" s="0" t="s">
        <v>146</v>
      </c>
      <c r="H2290" s="0" t="s">
        <v>147</v>
      </c>
      <c r="I2290" s="0" t="s">
        <v>45</v>
      </c>
      <c r="J2290" s="0" t="s">
        <v>46</v>
      </c>
      <c r="K2290" s="0" t="s">
        <v>30</v>
      </c>
      <c r="L2290" s="0" t="s">
        <v>31</v>
      </c>
      <c r="M2290" s="0" t="s">
        <v>140</v>
      </c>
      <c r="N2290" s="0" t="n">
        <v>591</v>
      </c>
      <c r="O2290" s="10" t="n">
        <v>0.355122119188309</v>
      </c>
      <c r="P2290" s="10" t="n">
        <v>0.419500603340566</v>
      </c>
      <c r="Q2290" s="0" t="str">
        <f aca="false">SUBSTITUTE(SUBSTITUTE($I2290,CHAR(61),""),CHAR(34),"")</f>
        <v>50+</v>
      </c>
      <c r="R2290" s="0" t="str">
        <f aca="false">IF($D2290&lt;&gt;"","["&amp;$E2290&amp;"]"&amp;"|"&amp;$Q2290&amp;"|"&amp;$K2290&amp;"|"&amp;$G2290&amp;"|"&amp;IF($G2290="TX_CURR_SUBNAT.R","CY2022Q4",$M2290),"")</f>
        <v>[E7zpfyBt7Tw]|50+|Female|TX_CURR_SUBNAT.T_1|CY2023Q3</v>
      </c>
    </row>
    <row r="2291" customFormat="false" ht="15" hidden="false" customHeight="false" outlineLevel="0" collapsed="false">
      <c r="D2291" s="0" t="s">
        <v>123</v>
      </c>
      <c r="E2291" s="0" t="s">
        <v>124</v>
      </c>
      <c r="F2291" s="0" t="s">
        <v>125</v>
      </c>
      <c r="G2291" s="0" t="s">
        <v>146</v>
      </c>
      <c r="H2291" s="0" t="s">
        <v>147</v>
      </c>
      <c r="I2291" s="0" t="s">
        <v>28</v>
      </c>
      <c r="J2291" s="0" t="s">
        <v>29</v>
      </c>
      <c r="K2291" s="0" t="s">
        <v>48</v>
      </c>
      <c r="L2291" s="0" t="s">
        <v>49</v>
      </c>
      <c r="M2291" s="0" t="s">
        <v>140</v>
      </c>
      <c r="N2291" s="0" t="n">
        <v>1173</v>
      </c>
      <c r="O2291" s="10" t="n">
        <v>0.18735119048506</v>
      </c>
      <c r="P2291" s="10" t="n">
        <v>0.419500603340566</v>
      </c>
      <c r="Q2291" s="0" t="str">
        <f aca="false">SUBSTITUTE(SUBSTITUTE($I2291,CHAR(61),""),CHAR(34),"")</f>
        <v>&lt;01</v>
      </c>
      <c r="R2291" s="0" t="str">
        <f aca="false">IF($D2291&lt;&gt;"","["&amp;$E2291&amp;"]"&amp;"|"&amp;$Q2291&amp;"|"&amp;$K2291&amp;"|"&amp;$G2291&amp;"|"&amp;IF($G2291="TX_CURR_SUBNAT.R","CY2022Q4",$M2291),"")</f>
        <v>[E7zpfyBt7Tw]|&lt;01|Male|TX_CURR_SUBNAT.T_1|CY2023Q3</v>
      </c>
    </row>
    <row r="2292" customFormat="false" ht="15" hidden="false" customHeight="false" outlineLevel="0" collapsed="false">
      <c r="D2292" s="0" t="s">
        <v>123</v>
      </c>
      <c r="E2292" s="0" t="s">
        <v>124</v>
      </c>
      <c r="F2292" s="0" t="s">
        <v>125</v>
      </c>
      <c r="G2292" s="0" t="s">
        <v>146</v>
      </c>
      <c r="H2292" s="0" t="s">
        <v>147</v>
      </c>
      <c r="I2292" s="0" t="s">
        <v>33</v>
      </c>
      <c r="J2292" s="0" t="s">
        <v>34</v>
      </c>
      <c r="K2292" s="0" t="s">
        <v>48</v>
      </c>
      <c r="L2292" s="0" t="s">
        <v>49</v>
      </c>
      <c r="M2292" s="0" t="s">
        <v>140</v>
      </c>
      <c r="N2292" s="0" t="n">
        <v>1706</v>
      </c>
      <c r="O2292" s="10" t="n">
        <v>0.965791201684624</v>
      </c>
      <c r="P2292" s="10" t="n">
        <v>0.419500603340566</v>
      </c>
      <c r="Q2292" s="0" t="str">
        <f aca="false">SUBSTITUTE(SUBSTITUTE($I2292,CHAR(61),""),CHAR(34),"")</f>
        <v>01-09</v>
      </c>
      <c r="R2292" s="0" t="str">
        <f aca="false">IF($D2292&lt;&gt;"","["&amp;$E2292&amp;"]"&amp;"|"&amp;$Q2292&amp;"|"&amp;$K2292&amp;"|"&amp;$G2292&amp;"|"&amp;IF($G2292="TX_CURR_SUBNAT.R","CY2022Q4",$M2292),"")</f>
        <v>[E7zpfyBt7Tw]|01-09|Male|TX_CURR_SUBNAT.T_1|CY2023Q3</v>
      </c>
    </row>
    <row r="2293" customFormat="false" ht="15" hidden="false" customHeight="false" outlineLevel="0" collapsed="false">
      <c r="D2293" s="0" t="s">
        <v>123</v>
      </c>
      <c r="E2293" s="0" t="s">
        <v>124</v>
      </c>
      <c r="F2293" s="0" t="s">
        <v>125</v>
      </c>
      <c r="G2293" s="0" t="s">
        <v>146</v>
      </c>
      <c r="H2293" s="0" t="s">
        <v>147</v>
      </c>
      <c r="I2293" s="0" t="s">
        <v>36</v>
      </c>
      <c r="J2293" s="0" t="s">
        <v>37</v>
      </c>
      <c r="K2293" s="0" t="s">
        <v>48</v>
      </c>
      <c r="L2293" s="0" t="s">
        <v>49</v>
      </c>
      <c r="M2293" s="0" t="s">
        <v>140</v>
      </c>
      <c r="N2293" s="0" t="n">
        <v>1639</v>
      </c>
      <c r="O2293" s="10" t="n">
        <v>0.189845205051824</v>
      </c>
      <c r="P2293" s="10" t="n">
        <v>0.419500603340566</v>
      </c>
      <c r="Q2293" s="0" t="str">
        <f aca="false">SUBSTITUTE(SUBSTITUTE($I2293,CHAR(61),""),CHAR(34),"")</f>
        <v>10-14</v>
      </c>
      <c r="R2293" s="0" t="str">
        <f aca="false">IF($D2293&lt;&gt;"","["&amp;$E2293&amp;"]"&amp;"|"&amp;$Q2293&amp;"|"&amp;$K2293&amp;"|"&amp;$G2293&amp;"|"&amp;IF($G2293="TX_CURR_SUBNAT.R","CY2022Q4",$M2293),"")</f>
        <v>[E7zpfyBt7Tw]|10-14|Male|TX_CURR_SUBNAT.T_1|CY2023Q3</v>
      </c>
    </row>
    <row r="2294" customFormat="false" ht="15" hidden="false" customHeight="false" outlineLevel="0" collapsed="false">
      <c r="D2294" s="0" t="s">
        <v>123</v>
      </c>
      <c r="E2294" s="0" t="s">
        <v>124</v>
      </c>
      <c r="F2294" s="0" t="s">
        <v>125</v>
      </c>
      <c r="G2294" s="0" t="s">
        <v>146</v>
      </c>
      <c r="H2294" s="0" t="s">
        <v>147</v>
      </c>
      <c r="I2294" s="0" t="s">
        <v>38</v>
      </c>
      <c r="J2294" s="0" t="s">
        <v>39</v>
      </c>
      <c r="K2294" s="0" t="s">
        <v>48</v>
      </c>
      <c r="L2294" s="0" t="s">
        <v>49</v>
      </c>
      <c r="M2294" s="0" t="s">
        <v>140</v>
      </c>
      <c r="N2294" s="0" t="n">
        <v>1364</v>
      </c>
      <c r="O2294" s="10" t="n">
        <v>0.389052448095754</v>
      </c>
      <c r="P2294" s="10" t="n">
        <v>0.419500603340566</v>
      </c>
      <c r="Q2294" s="0" t="str">
        <f aca="false">SUBSTITUTE(SUBSTITUTE($I2294,CHAR(61),""),CHAR(34),"")</f>
        <v>15-24</v>
      </c>
      <c r="R2294" s="0" t="str">
        <f aca="false">IF($D2294&lt;&gt;"","["&amp;$E2294&amp;"]"&amp;"|"&amp;$Q2294&amp;"|"&amp;$K2294&amp;"|"&amp;$G2294&amp;"|"&amp;IF($G2294="TX_CURR_SUBNAT.R","CY2022Q4",$M2294),"")</f>
        <v>[E7zpfyBt7Tw]|15-24|Male|TX_CURR_SUBNAT.T_1|CY2023Q3</v>
      </c>
    </row>
    <row r="2295" customFormat="false" ht="15" hidden="false" customHeight="false" outlineLevel="0" collapsed="false">
      <c r="D2295" s="0" t="s">
        <v>123</v>
      </c>
      <c r="E2295" s="0" t="s">
        <v>124</v>
      </c>
      <c r="F2295" s="0" t="s">
        <v>125</v>
      </c>
      <c r="G2295" s="0" t="s">
        <v>146</v>
      </c>
      <c r="H2295" s="0" t="s">
        <v>147</v>
      </c>
      <c r="I2295" s="0" t="s">
        <v>41</v>
      </c>
      <c r="J2295" s="0" t="s">
        <v>42</v>
      </c>
      <c r="K2295" s="0" t="s">
        <v>48</v>
      </c>
      <c r="L2295" s="0" t="s">
        <v>49</v>
      </c>
      <c r="M2295" s="0" t="s">
        <v>140</v>
      </c>
      <c r="N2295" s="0" t="n">
        <v>771</v>
      </c>
      <c r="O2295" s="10" t="n">
        <v>0.996461136033759</v>
      </c>
      <c r="P2295" s="10" t="n">
        <v>0.419500603340566</v>
      </c>
      <c r="Q2295" s="0" t="str">
        <f aca="false">SUBSTITUTE(SUBSTITUTE($I2295,CHAR(61),""),CHAR(34),"")</f>
        <v>25-34</v>
      </c>
      <c r="R2295" s="0" t="str">
        <f aca="false">IF($D2295&lt;&gt;"","["&amp;$E2295&amp;"]"&amp;"|"&amp;$Q2295&amp;"|"&amp;$K2295&amp;"|"&amp;$G2295&amp;"|"&amp;IF($G2295="TX_CURR_SUBNAT.R","CY2022Q4",$M2295),"")</f>
        <v>[E7zpfyBt7Tw]|25-34|Male|TX_CURR_SUBNAT.T_1|CY2023Q3</v>
      </c>
    </row>
    <row r="2296" customFormat="false" ht="15" hidden="false" customHeight="false" outlineLevel="0" collapsed="false">
      <c r="D2296" s="0" t="s">
        <v>123</v>
      </c>
      <c r="E2296" s="0" t="s">
        <v>124</v>
      </c>
      <c r="F2296" s="0" t="s">
        <v>125</v>
      </c>
      <c r="G2296" s="0" t="s">
        <v>146</v>
      </c>
      <c r="H2296" s="0" t="s">
        <v>147</v>
      </c>
      <c r="I2296" s="0" t="s">
        <v>43</v>
      </c>
      <c r="J2296" s="0" t="s">
        <v>44</v>
      </c>
      <c r="K2296" s="0" t="s">
        <v>48</v>
      </c>
      <c r="L2296" s="0" t="s">
        <v>49</v>
      </c>
      <c r="M2296" s="0" t="s">
        <v>140</v>
      </c>
      <c r="N2296" s="0" t="n">
        <v>1091</v>
      </c>
      <c r="O2296" s="10" t="n">
        <v>0.301391047425568</v>
      </c>
      <c r="P2296" s="10" t="n">
        <v>0.419500603340566</v>
      </c>
      <c r="Q2296" s="0" t="str">
        <f aca="false">SUBSTITUTE(SUBSTITUTE($I2296,CHAR(61),""),CHAR(34),"")</f>
        <v>35-49</v>
      </c>
      <c r="R2296" s="0" t="str">
        <f aca="false">IF($D2296&lt;&gt;"","["&amp;$E2296&amp;"]"&amp;"|"&amp;$Q2296&amp;"|"&amp;$K2296&amp;"|"&amp;$G2296&amp;"|"&amp;IF($G2296="TX_CURR_SUBNAT.R","CY2022Q4",$M2296),"")</f>
        <v>[E7zpfyBt7Tw]|35-49|Male|TX_CURR_SUBNAT.T_1|CY2023Q3</v>
      </c>
    </row>
    <row r="2297" customFormat="false" ht="15" hidden="false" customHeight="false" outlineLevel="0" collapsed="false">
      <c r="D2297" s="0" t="s">
        <v>123</v>
      </c>
      <c r="E2297" s="0" t="s">
        <v>124</v>
      </c>
      <c r="F2297" s="0" t="s">
        <v>125</v>
      </c>
      <c r="G2297" s="0" t="s">
        <v>146</v>
      </c>
      <c r="H2297" s="0" t="s">
        <v>147</v>
      </c>
      <c r="I2297" s="0" t="s">
        <v>45</v>
      </c>
      <c r="J2297" s="0" t="s">
        <v>46</v>
      </c>
      <c r="K2297" s="0" t="s">
        <v>48</v>
      </c>
      <c r="L2297" s="0" t="s">
        <v>49</v>
      </c>
      <c r="M2297" s="0" t="s">
        <v>140</v>
      </c>
      <c r="N2297" s="0" t="n">
        <v>1170</v>
      </c>
      <c r="O2297" s="10" t="n">
        <v>0.88832286093384</v>
      </c>
      <c r="P2297" s="10" t="n">
        <v>0.419500603340566</v>
      </c>
      <c r="Q2297" s="0" t="str">
        <f aca="false">SUBSTITUTE(SUBSTITUTE($I2297,CHAR(61),""),CHAR(34),"")</f>
        <v>50+</v>
      </c>
      <c r="R2297" s="0" t="str">
        <f aca="false">IF($D2297&lt;&gt;"","["&amp;$E2297&amp;"]"&amp;"|"&amp;$Q2297&amp;"|"&amp;$K2297&amp;"|"&amp;$G2297&amp;"|"&amp;IF($G2297="TX_CURR_SUBNAT.R","CY2022Q4",$M2297),"")</f>
        <v>[E7zpfyBt7Tw]|50+|Male|TX_CURR_SUBNAT.T_1|CY2023Q3</v>
      </c>
    </row>
    <row r="2298" customFormat="false" ht="15" hidden="false" customHeight="false" outlineLevel="0" collapsed="false">
      <c r="D2298" s="0" t="s">
        <v>126</v>
      </c>
      <c r="E2298" s="0" t="s">
        <v>127</v>
      </c>
      <c r="F2298" s="0" t="s">
        <v>128</v>
      </c>
      <c r="G2298" s="0" t="s">
        <v>146</v>
      </c>
      <c r="H2298" s="0" t="s">
        <v>147</v>
      </c>
      <c r="I2298" s="0" t="s">
        <v>28</v>
      </c>
      <c r="J2298" s="0" t="s">
        <v>29</v>
      </c>
      <c r="K2298" s="0" t="s">
        <v>30</v>
      </c>
      <c r="L2298" s="0" t="s">
        <v>31</v>
      </c>
      <c r="M2298" s="0" t="s">
        <v>140</v>
      </c>
      <c r="N2298" s="0" t="n">
        <v>1553</v>
      </c>
      <c r="O2298" s="10" t="n">
        <v>0.282349441666156</v>
      </c>
      <c r="P2298" s="10" t="n">
        <v>0.252706390339881</v>
      </c>
      <c r="Q2298" s="0" t="str">
        <f aca="false">SUBSTITUTE(SUBSTITUTE($I2298,CHAR(61),""),CHAR(34),"")</f>
        <v>&lt;01</v>
      </c>
      <c r="R2298" s="0" t="str">
        <f aca="false">IF($D2298&lt;&gt;"","["&amp;$E2298&amp;"]"&amp;"|"&amp;$Q2298&amp;"|"&amp;$K2298&amp;"|"&amp;$G2298&amp;"|"&amp;IF($G2298="TX_CURR_SUBNAT.R","CY2022Q4",$M2298),"")</f>
        <v>[ZCjuwgaMB9u]|&lt;01|Female|TX_CURR_SUBNAT.T_1|CY2023Q3</v>
      </c>
    </row>
    <row r="2299" customFormat="false" ht="15" hidden="false" customHeight="false" outlineLevel="0" collapsed="false">
      <c r="D2299" s="0" t="s">
        <v>126</v>
      </c>
      <c r="E2299" s="0" t="s">
        <v>127</v>
      </c>
      <c r="F2299" s="0" t="s">
        <v>128</v>
      </c>
      <c r="G2299" s="0" t="s">
        <v>146</v>
      </c>
      <c r="H2299" s="0" t="s">
        <v>147</v>
      </c>
      <c r="I2299" s="0" t="s">
        <v>33</v>
      </c>
      <c r="J2299" s="0" t="s">
        <v>34</v>
      </c>
      <c r="K2299" s="0" t="s">
        <v>30</v>
      </c>
      <c r="L2299" s="0" t="s">
        <v>31</v>
      </c>
      <c r="M2299" s="0" t="s">
        <v>140</v>
      </c>
      <c r="N2299" s="0" t="n">
        <v>632</v>
      </c>
      <c r="O2299" s="10" t="n">
        <v>0.634875340620056</v>
      </c>
      <c r="P2299" s="10" t="n">
        <v>0.252706390339881</v>
      </c>
      <c r="Q2299" s="0" t="str">
        <f aca="false">SUBSTITUTE(SUBSTITUTE($I2299,CHAR(61),""),CHAR(34),"")</f>
        <v>01-09</v>
      </c>
      <c r="R2299" s="0" t="str">
        <f aca="false">IF($D2299&lt;&gt;"","["&amp;$E2299&amp;"]"&amp;"|"&amp;$Q2299&amp;"|"&amp;$K2299&amp;"|"&amp;$G2299&amp;"|"&amp;IF($G2299="TX_CURR_SUBNAT.R","CY2022Q4",$M2299),"")</f>
        <v>[ZCjuwgaMB9u]|01-09|Female|TX_CURR_SUBNAT.T_1|CY2023Q3</v>
      </c>
    </row>
    <row r="2300" customFormat="false" ht="15" hidden="false" customHeight="false" outlineLevel="0" collapsed="false">
      <c r="D2300" s="0" t="s">
        <v>126</v>
      </c>
      <c r="E2300" s="0" t="s">
        <v>127</v>
      </c>
      <c r="F2300" s="0" t="s">
        <v>128</v>
      </c>
      <c r="G2300" s="0" t="s">
        <v>146</v>
      </c>
      <c r="H2300" s="0" t="s">
        <v>147</v>
      </c>
      <c r="I2300" s="0" t="s">
        <v>36</v>
      </c>
      <c r="J2300" s="0" t="s">
        <v>37</v>
      </c>
      <c r="K2300" s="0" t="s">
        <v>30</v>
      </c>
      <c r="L2300" s="0" t="s">
        <v>31</v>
      </c>
      <c r="M2300" s="0" t="s">
        <v>140</v>
      </c>
      <c r="N2300" s="0" t="n">
        <v>1028</v>
      </c>
      <c r="O2300" s="10" t="n">
        <v>0.180832706158981</v>
      </c>
      <c r="P2300" s="10" t="n">
        <v>0.252706390339881</v>
      </c>
      <c r="Q2300" s="0" t="str">
        <f aca="false">SUBSTITUTE(SUBSTITUTE($I2300,CHAR(61),""),CHAR(34),"")</f>
        <v>10-14</v>
      </c>
      <c r="R2300" s="0" t="str">
        <f aca="false">IF($D2300&lt;&gt;"","["&amp;$E2300&amp;"]"&amp;"|"&amp;$Q2300&amp;"|"&amp;$K2300&amp;"|"&amp;$G2300&amp;"|"&amp;IF($G2300="TX_CURR_SUBNAT.R","CY2022Q4",$M2300),"")</f>
        <v>[ZCjuwgaMB9u]|10-14|Female|TX_CURR_SUBNAT.T_1|CY2023Q3</v>
      </c>
    </row>
    <row r="2301" customFormat="false" ht="15" hidden="false" customHeight="false" outlineLevel="0" collapsed="false">
      <c r="D2301" s="0" t="s">
        <v>126</v>
      </c>
      <c r="E2301" s="0" t="s">
        <v>127</v>
      </c>
      <c r="F2301" s="0" t="s">
        <v>128</v>
      </c>
      <c r="G2301" s="0" t="s">
        <v>146</v>
      </c>
      <c r="H2301" s="0" t="s">
        <v>147</v>
      </c>
      <c r="I2301" s="0" t="s">
        <v>38</v>
      </c>
      <c r="J2301" s="0" t="s">
        <v>39</v>
      </c>
      <c r="K2301" s="0" t="s">
        <v>30</v>
      </c>
      <c r="L2301" s="0" t="s">
        <v>31</v>
      </c>
      <c r="M2301" s="0" t="s">
        <v>140</v>
      </c>
      <c r="N2301" s="0" t="n">
        <v>701</v>
      </c>
      <c r="O2301" s="10" t="n">
        <v>0.82387198205106</v>
      </c>
      <c r="P2301" s="10" t="n">
        <v>0.252706390339881</v>
      </c>
      <c r="Q2301" s="0" t="str">
        <f aca="false">SUBSTITUTE(SUBSTITUTE($I2301,CHAR(61),""),CHAR(34),"")</f>
        <v>15-24</v>
      </c>
      <c r="R2301" s="0" t="str">
        <f aca="false">IF($D2301&lt;&gt;"","["&amp;$E2301&amp;"]"&amp;"|"&amp;$Q2301&amp;"|"&amp;$K2301&amp;"|"&amp;$G2301&amp;"|"&amp;IF($G2301="TX_CURR_SUBNAT.R","CY2022Q4",$M2301),"")</f>
        <v>[ZCjuwgaMB9u]|15-24|Female|TX_CURR_SUBNAT.T_1|CY2023Q3</v>
      </c>
    </row>
    <row r="2302" customFormat="false" ht="15" hidden="false" customHeight="false" outlineLevel="0" collapsed="false">
      <c r="D2302" s="0" t="s">
        <v>126</v>
      </c>
      <c r="E2302" s="0" t="s">
        <v>127</v>
      </c>
      <c r="F2302" s="0" t="s">
        <v>128</v>
      </c>
      <c r="G2302" s="0" t="s">
        <v>146</v>
      </c>
      <c r="H2302" s="0" t="s">
        <v>147</v>
      </c>
      <c r="I2302" s="0" t="s">
        <v>41</v>
      </c>
      <c r="J2302" s="0" t="s">
        <v>42</v>
      </c>
      <c r="K2302" s="0" t="s">
        <v>30</v>
      </c>
      <c r="L2302" s="0" t="s">
        <v>31</v>
      </c>
      <c r="M2302" s="0" t="s">
        <v>140</v>
      </c>
      <c r="N2302" s="0" t="n">
        <v>1199</v>
      </c>
      <c r="O2302" s="10" t="n">
        <v>0.186199475545436</v>
      </c>
      <c r="P2302" s="10" t="n">
        <v>0.252706390339881</v>
      </c>
      <c r="Q2302" s="0" t="str">
        <f aca="false">SUBSTITUTE(SUBSTITUTE($I2302,CHAR(61),""),CHAR(34),"")</f>
        <v>25-34</v>
      </c>
      <c r="R2302" s="0" t="str">
        <f aca="false">IF($D2302&lt;&gt;"","["&amp;$E2302&amp;"]"&amp;"|"&amp;$Q2302&amp;"|"&amp;$K2302&amp;"|"&amp;$G2302&amp;"|"&amp;IF($G2302="TX_CURR_SUBNAT.R","CY2022Q4",$M2302),"")</f>
        <v>[ZCjuwgaMB9u]|25-34|Female|TX_CURR_SUBNAT.T_1|CY2023Q3</v>
      </c>
    </row>
    <row r="2303" customFormat="false" ht="15" hidden="false" customHeight="false" outlineLevel="0" collapsed="false">
      <c r="D2303" s="0" t="s">
        <v>126</v>
      </c>
      <c r="E2303" s="0" t="s">
        <v>127</v>
      </c>
      <c r="F2303" s="0" t="s">
        <v>128</v>
      </c>
      <c r="G2303" s="0" t="s">
        <v>146</v>
      </c>
      <c r="H2303" s="0" t="s">
        <v>147</v>
      </c>
      <c r="I2303" s="0" t="s">
        <v>43</v>
      </c>
      <c r="J2303" s="0" t="s">
        <v>44</v>
      </c>
      <c r="K2303" s="0" t="s">
        <v>30</v>
      </c>
      <c r="L2303" s="0" t="s">
        <v>31</v>
      </c>
      <c r="M2303" s="0" t="s">
        <v>140</v>
      </c>
      <c r="N2303" s="0" t="n">
        <v>927</v>
      </c>
      <c r="O2303" s="10" t="n">
        <v>0.41320113488473</v>
      </c>
      <c r="P2303" s="10" t="n">
        <v>0.252706390339881</v>
      </c>
      <c r="Q2303" s="0" t="str">
        <f aca="false">SUBSTITUTE(SUBSTITUTE($I2303,CHAR(61),""),CHAR(34),"")</f>
        <v>35-49</v>
      </c>
      <c r="R2303" s="0" t="str">
        <f aca="false">IF($D2303&lt;&gt;"","["&amp;$E2303&amp;"]"&amp;"|"&amp;$Q2303&amp;"|"&amp;$K2303&amp;"|"&amp;$G2303&amp;"|"&amp;IF($G2303="TX_CURR_SUBNAT.R","CY2022Q4",$M2303),"")</f>
        <v>[ZCjuwgaMB9u]|35-49|Female|TX_CURR_SUBNAT.T_1|CY2023Q3</v>
      </c>
    </row>
    <row r="2304" customFormat="false" ht="15" hidden="false" customHeight="false" outlineLevel="0" collapsed="false">
      <c r="D2304" s="0" t="s">
        <v>126</v>
      </c>
      <c r="E2304" s="0" t="s">
        <v>127</v>
      </c>
      <c r="F2304" s="0" t="s">
        <v>128</v>
      </c>
      <c r="G2304" s="0" t="s">
        <v>146</v>
      </c>
      <c r="H2304" s="0" t="s">
        <v>147</v>
      </c>
      <c r="I2304" s="0" t="s">
        <v>45</v>
      </c>
      <c r="J2304" s="0" t="s">
        <v>46</v>
      </c>
      <c r="K2304" s="0" t="s">
        <v>30</v>
      </c>
      <c r="L2304" s="0" t="s">
        <v>31</v>
      </c>
      <c r="M2304" s="0" t="s">
        <v>140</v>
      </c>
      <c r="N2304" s="0" t="n">
        <v>773</v>
      </c>
      <c r="O2304" s="10" t="n">
        <v>0.48616271535866</v>
      </c>
      <c r="P2304" s="10" t="n">
        <v>0.252706390339881</v>
      </c>
      <c r="Q2304" s="0" t="str">
        <f aca="false">SUBSTITUTE(SUBSTITUTE($I2304,CHAR(61),""),CHAR(34),"")</f>
        <v>50+</v>
      </c>
      <c r="R2304" s="0" t="str">
        <f aca="false">IF($D2304&lt;&gt;"","["&amp;$E2304&amp;"]"&amp;"|"&amp;$Q2304&amp;"|"&amp;$K2304&amp;"|"&amp;$G2304&amp;"|"&amp;IF($G2304="TX_CURR_SUBNAT.R","CY2022Q4",$M2304),"")</f>
        <v>[ZCjuwgaMB9u]|50+|Female|TX_CURR_SUBNAT.T_1|CY2023Q3</v>
      </c>
    </row>
    <row r="2305" customFormat="false" ht="15" hidden="false" customHeight="false" outlineLevel="0" collapsed="false">
      <c r="D2305" s="0" t="s">
        <v>126</v>
      </c>
      <c r="E2305" s="0" t="s">
        <v>127</v>
      </c>
      <c r="F2305" s="0" t="s">
        <v>128</v>
      </c>
      <c r="G2305" s="0" t="s">
        <v>146</v>
      </c>
      <c r="H2305" s="0" t="s">
        <v>147</v>
      </c>
      <c r="I2305" s="0" t="s">
        <v>28</v>
      </c>
      <c r="J2305" s="0" t="s">
        <v>29</v>
      </c>
      <c r="K2305" s="0" t="s">
        <v>48</v>
      </c>
      <c r="L2305" s="0" t="s">
        <v>49</v>
      </c>
      <c r="M2305" s="0" t="s">
        <v>140</v>
      </c>
      <c r="N2305" s="0" t="n">
        <v>1823</v>
      </c>
      <c r="O2305" s="10" t="n">
        <v>0.527877622749656</v>
      </c>
      <c r="P2305" s="10" t="n">
        <v>0.252706390339881</v>
      </c>
      <c r="Q2305" s="0" t="str">
        <f aca="false">SUBSTITUTE(SUBSTITUTE($I2305,CHAR(61),""),CHAR(34),"")</f>
        <v>&lt;01</v>
      </c>
      <c r="R2305" s="0" t="str">
        <f aca="false">IF($D2305&lt;&gt;"","["&amp;$E2305&amp;"]"&amp;"|"&amp;$Q2305&amp;"|"&amp;$K2305&amp;"|"&amp;$G2305&amp;"|"&amp;IF($G2305="TX_CURR_SUBNAT.R","CY2022Q4",$M2305),"")</f>
        <v>[ZCjuwgaMB9u]|&lt;01|Male|TX_CURR_SUBNAT.T_1|CY2023Q3</v>
      </c>
    </row>
    <row r="2306" customFormat="false" ht="15" hidden="false" customHeight="false" outlineLevel="0" collapsed="false">
      <c r="D2306" s="0" t="s">
        <v>126</v>
      </c>
      <c r="E2306" s="0" t="s">
        <v>127</v>
      </c>
      <c r="F2306" s="0" t="s">
        <v>128</v>
      </c>
      <c r="G2306" s="0" t="s">
        <v>146</v>
      </c>
      <c r="H2306" s="0" t="s">
        <v>147</v>
      </c>
      <c r="I2306" s="0" t="s">
        <v>33</v>
      </c>
      <c r="J2306" s="0" t="s">
        <v>34</v>
      </c>
      <c r="K2306" s="0" t="s">
        <v>48</v>
      </c>
      <c r="L2306" s="0" t="s">
        <v>49</v>
      </c>
      <c r="M2306" s="0" t="s">
        <v>140</v>
      </c>
      <c r="N2306" s="0" t="n">
        <v>1944</v>
      </c>
      <c r="O2306" s="10" t="n">
        <v>0.617316887481138</v>
      </c>
      <c r="P2306" s="10" t="n">
        <v>0.252706390339881</v>
      </c>
      <c r="Q2306" s="0" t="str">
        <f aca="false">SUBSTITUTE(SUBSTITUTE($I2306,CHAR(61),""),CHAR(34),"")</f>
        <v>01-09</v>
      </c>
      <c r="R2306" s="0" t="str">
        <f aca="false">IF($D2306&lt;&gt;"","["&amp;$E2306&amp;"]"&amp;"|"&amp;$Q2306&amp;"|"&amp;$K2306&amp;"|"&amp;$G2306&amp;"|"&amp;IF($G2306="TX_CURR_SUBNAT.R","CY2022Q4",$M2306),"")</f>
        <v>[ZCjuwgaMB9u]|01-09|Male|TX_CURR_SUBNAT.T_1|CY2023Q3</v>
      </c>
    </row>
    <row r="2307" customFormat="false" ht="15" hidden="false" customHeight="false" outlineLevel="0" collapsed="false">
      <c r="D2307" s="0" t="s">
        <v>126</v>
      </c>
      <c r="E2307" s="0" t="s">
        <v>127</v>
      </c>
      <c r="F2307" s="0" t="s">
        <v>128</v>
      </c>
      <c r="G2307" s="0" t="s">
        <v>146</v>
      </c>
      <c r="H2307" s="0" t="s">
        <v>147</v>
      </c>
      <c r="I2307" s="0" t="s">
        <v>36</v>
      </c>
      <c r="J2307" s="0" t="s">
        <v>37</v>
      </c>
      <c r="K2307" s="0" t="s">
        <v>48</v>
      </c>
      <c r="L2307" s="0" t="s">
        <v>49</v>
      </c>
      <c r="M2307" s="0" t="s">
        <v>140</v>
      </c>
      <c r="N2307" s="0" t="n">
        <v>1347</v>
      </c>
      <c r="O2307" s="10" t="n">
        <v>0.701896502636373</v>
      </c>
      <c r="P2307" s="10" t="n">
        <v>0.252706390339881</v>
      </c>
      <c r="Q2307" s="0" t="str">
        <f aca="false">SUBSTITUTE(SUBSTITUTE($I2307,CHAR(61),""),CHAR(34),"")</f>
        <v>10-14</v>
      </c>
      <c r="R2307" s="0" t="str">
        <f aca="false">IF($D2307&lt;&gt;"","["&amp;$E2307&amp;"]"&amp;"|"&amp;$Q2307&amp;"|"&amp;$K2307&amp;"|"&amp;$G2307&amp;"|"&amp;IF($G2307="TX_CURR_SUBNAT.R","CY2022Q4",$M2307),"")</f>
        <v>[ZCjuwgaMB9u]|10-14|Male|TX_CURR_SUBNAT.T_1|CY2023Q3</v>
      </c>
    </row>
    <row r="2308" customFormat="false" ht="15" hidden="false" customHeight="false" outlineLevel="0" collapsed="false">
      <c r="D2308" s="0" t="s">
        <v>126</v>
      </c>
      <c r="E2308" s="0" t="s">
        <v>127</v>
      </c>
      <c r="F2308" s="0" t="s">
        <v>128</v>
      </c>
      <c r="G2308" s="0" t="s">
        <v>146</v>
      </c>
      <c r="H2308" s="0" t="s">
        <v>147</v>
      </c>
      <c r="I2308" s="0" t="s">
        <v>38</v>
      </c>
      <c r="J2308" s="0" t="s">
        <v>39</v>
      </c>
      <c r="K2308" s="0" t="s">
        <v>48</v>
      </c>
      <c r="L2308" s="0" t="s">
        <v>49</v>
      </c>
      <c r="M2308" s="0" t="s">
        <v>140</v>
      </c>
      <c r="N2308" s="0" t="n">
        <v>1609</v>
      </c>
      <c r="O2308" s="10" t="n">
        <v>0.511225179070607</v>
      </c>
      <c r="P2308" s="10" t="n">
        <v>0.252706390339881</v>
      </c>
      <c r="Q2308" s="0" t="str">
        <f aca="false">SUBSTITUTE(SUBSTITUTE($I2308,CHAR(61),""),CHAR(34),"")</f>
        <v>15-24</v>
      </c>
      <c r="R2308" s="0" t="str">
        <f aca="false">IF($D2308&lt;&gt;"","["&amp;$E2308&amp;"]"&amp;"|"&amp;$Q2308&amp;"|"&amp;$K2308&amp;"|"&amp;$G2308&amp;"|"&amp;IF($G2308="TX_CURR_SUBNAT.R","CY2022Q4",$M2308),"")</f>
        <v>[ZCjuwgaMB9u]|15-24|Male|TX_CURR_SUBNAT.T_1|CY2023Q3</v>
      </c>
    </row>
    <row r="2309" customFormat="false" ht="15" hidden="false" customHeight="false" outlineLevel="0" collapsed="false">
      <c r="D2309" s="0" t="s">
        <v>126</v>
      </c>
      <c r="E2309" s="0" t="s">
        <v>127</v>
      </c>
      <c r="F2309" s="0" t="s">
        <v>128</v>
      </c>
      <c r="G2309" s="0" t="s">
        <v>146</v>
      </c>
      <c r="H2309" s="0" t="s">
        <v>147</v>
      </c>
      <c r="I2309" s="0" t="s">
        <v>41</v>
      </c>
      <c r="J2309" s="0" t="s">
        <v>42</v>
      </c>
      <c r="K2309" s="0" t="s">
        <v>48</v>
      </c>
      <c r="L2309" s="0" t="s">
        <v>49</v>
      </c>
      <c r="M2309" s="0" t="s">
        <v>140</v>
      </c>
      <c r="N2309" s="0" t="n">
        <v>786</v>
      </c>
      <c r="O2309" s="10" t="n">
        <v>0.51702065509744</v>
      </c>
      <c r="P2309" s="10" t="n">
        <v>0.252706390339881</v>
      </c>
      <c r="Q2309" s="0" t="str">
        <f aca="false">SUBSTITUTE(SUBSTITUTE($I2309,CHAR(61),""),CHAR(34),"")</f>
        <v>25-34</v>
      </c>
      <c r="R2309" s="0" t="str">
        <f aca="false">IF($D2309&lt;&gt;"","["&amp;$E2309&amp;"]"&amp;"|"&amp;$Q2309&amp;"|"&amp;$K2309&amp;"|"&amp;$G2309&amp;"|"&amp;IF($G2309="TX_CURR_SUBNAT.R","CY2022Q4",$M2309),"")</f>
        <v>[ZCjuwgaMB9u]|25-34|Male|TX_CURR_SUBNAT.T_1|CY2023Q3</v>
      </c>
    </row>
    <row r="2310" customFormat="false" ht="15" hidden="false" customHeight="false" outlineLevel="0" collapsed="false">
      <c r="D2310" s="0" t="s">
        <v>126</v>
      </c>
      <c r="E2310" s="0" t="s">
        <v>127</v>
      </c>
      <c r="F2310" s="0" t="s">
        <v>128</v>
      </c>
      <c r="G2310" s="0" t="s">
        <v>146</v>
      </c>
      <c r="H2310" s="0" t="s">
        <v>147</v>
      </c>
      <c r="I2310" s="0" t="s">
        <v>43</v>
      </c>
      <c r="J2310" s="0" t="s">
        <v>44</v>
      </c>
      <c r="K2310" s="0" t="s">
        <v>48</v>
      </c>
      <c r="L2310" s="0" t="s">
        <v>49</v>
      </c>
      <c r="M2310" s="0" t="s">
        <v>140</v>
      </c>
      <c r="N2310" s="0" t="n">
        <v>1546</v>
      </c>
      <c r="O2310" s="10" t="n">
        <v>0.354489542078227</v>
      </c>
      <c r="P2310" s="10" t="n">
        <v>0.252706390339881</v>
      </c>
      <c r="Q2310" s="0" t="str">
        <f aca="false">SUBSTITUTE(SUBSTITUTE($I2310,CHAR(61),""),CHAR(34),"")</f>
        <v>35-49</v>
      </c>
      <c r="R2310" s="0" t="str">
        <f aca="false">IF($D2310&lt;&gt;"","["&amp;$E2310&amp;"]"&amp;"|"&amp;$Q2310&amp;"|"&amp;$K2310&amp;"|"&amp;$G2310&amp;"|"&amp;IF($G2310="TX_CURR_SUBNAT.R","CY2022Q4",$M2310),"")</f>
        <v>[ZCjuwgaMB9u]|35-49|Male|TX_CURR_SUBNAT.T_1|CY2023Q3</v>
      </c>
    </row>
    <row r="2311" customFormat="false" ht="15" hidden="false" customHeight="false" outlineLevel="0" collapsed="false">
      <c r="D2311" s="0" t="s">
        <v>126</v>
      </c>
      <c r="E2311" s="0" t="s">
        <v>127</v>
      </c>
      <c r="F2311" s="0" t="s">
        <v>128</v>
      </c>
      <c r="G2311" s="0" t="s">
        <v>146</v>
      </c>
      <c r="H2311" s="0" t="s">
        <v>147</v>
      </c>
      <c r="I2311" s="0" t="s">
        <v>45</v>
      </c>
      <c r="J2311" s="0" t="s">
        <v>46</v>
      </c>
      <c r="K2311" s="0" t="s">
        <v>48</v>
      </c>
      <c r="L2311" s="0" t="s">
        <v>49</v>
      </c>
      <c r="M2311" s="0" t="s">
        <v>140</v>
      </c>
      <c r="N2311" s="0" t="n">
        <v>1388</v>
      </c>
      <c r="O2311" s="10" t="n">
        <v>0.136750560021028</v>
      </c>
      <c r="P2311" s="10" t="n">
        <v>0.252706390339881</v>
      </c>
      <c r="Q2311" s="0" t="str">
        <f aca="false">SUBSTITUTE(SUBSTITUTE($I2311,CHAR(61),""),CHAR(34),"")</f>
        <v>50+</v>
      </c>
      <c r="R2311" s="0" t="str">
        <f aca="false">IF($D2311&lt;&gt;"","["&amp;$E2311&amp;"]"&amp;"|"&amp;$Q2311&amp;"|"&amp;$K2311&amp;"|"&amp;$G2311&amp;"|"&amp;IF($G2311="TX_CURR_SUBNAT.R","CY2022Q4",$M2311),"")</f>
        <v>[ZCjuwgaMB9u]|50+|Male|TX_CURR_SUBNAT.T_1|CY2023Q3</v>
      </c>
    </row>
    <row r="2312" customFormat="false" ht="15" hidden="false" customHeight="false" outlineLevel="0" collapsed="false">
      <c r="D2312" s="0" t="s">
        <v>129</v>
      </c>
      <c r="E2312" s="0" t="s">
        <v>130</v>
      </c>
      <c r="F2312" s="0" t="s">
        <v>131</v>
      </c>
      <c r="G2312" s="0" t="s">
        <v>146</v>
      </c>
      <c r="H2312" s="0" t="s">
        <v>147</v>
      </c>
      <c r="I2312" s="0" t="s">
        <v>28</v>
      </c>
      <c r="J2312" s="0" t="s">
        <v>29</v>
      </c>
      <c r="K2312" s="0" t="s">
        <v>30</v>
      </c>
      <c r="L2312" s="0" t="s">
        <v>31</v>
      </c>
      <c r="M2312" s="0" t="s">
        <v>140</v>
      </c>
      <c r="N2312" s="0" t="n">
        <v>1639</v>
      </c>
      <c r="O2312" s="10" t="n">
        <v>0.304924820316955</v>
      </c>
      <c r="P2312" s="10" t="n">
        <v>0.556908084778115</v>
      </c>
      <c r="Q2312" s="0" t="str">
        <f aca="false">SUBSTITUTE(SUBSTITUTE($I2312,CHAR(61),""),CHAR(34),"")</f>
        <v>&lt;01</v>
      </c>
      <c r="R2312" s="0" t="str">
        <f aca="false">IF($D2312&lt;&gt;"","["&amp;$E2312&amp;"]"&amp;"|"&amp;$Q2312&amp;"|"&amp;$K2312&amp;"|"&amp;$G2312&amp;"|"&amp;IF($G2312="TX_CURR_SUBNAT.R","CY2022Q4",$M2312),"")</f>
        <v>[YCKiBAp8QAg]|&lt;01|Female|TX_CURR_SUBNAT.T_1|CY2023Q3</v>
      </c>
    </row>
    <row r="2313" customFormat="false" ht="15" hidden="false" customHeight="false" outlineLevel="0" collapsed="false">
      <c r="D2313" s="0" t="s">
        <v>129</v>
      </c>
      <c r="E2313" s="0" t="s">
        <v>130</v>
      </c>
      <c r="F2313" s="0" t="s">
        <v>131</v>
      </c>
      <c r="G2313" s="0" t="s">
        <v>146</v>
      </c>
      <c r="H2313" s="0" t="s">
        <v>147</v>
      </c>
      <c r="I2313" s="0" t="s">
        <v>33</v>
      </c>
      <c r="J2313" s="0" t="s">
        <v>34</v>
      </c>
      <c r="K2313" s="0" t="s">
        <v>30</v>
      </c>
      <c r="L2313" s="0" t="s">
        <v>31</v>
      </c>
      <c r="M2313" s="0" t="s">
        <v>140</v>
      </c>
      <c r="N2313" s="0" t="n">
        <v>1985</v>
      </c>
      <c r="O2313" s="10" t="n">
        <v>0.504012266406789</v>
      </c>
      <c r="P2313" s="10" t="n">
        <v>0.556908084778115</v>
      </c>
      <c r="Q2313" s="0" t="str">
        <f aca="false">SUBSTITUTE(SUBSTITUTE($I2313,CHAR(61),""),CHAR(34),"")</f>
        <v>01-09</v>
      </c>
      <c r="R2313" s="0" t="str">
        <f aca="false">IF($D2313&lt;&gt;"","["&amp;$E2313&amp;"]"&amp;"|"&amp;$Q2313&amp;"|"&amp;$K2313&amp;"|"&amp;$G2313&amp;"|"&amp;IF($G2313="TX_CURR_SUBNAT.R","CY2022Q4",$M2313),"")</f>
        <v>[YCKiBAp8QAg]|01-09|Female|TX_CURR_SUBNAT.T_1|CY2023Q3</v>
      </c>
    </row>
    <row r="2314" customFormat="false" ht="15" hidden="false" customHeight="false" outlineLevel="0" collapsed="false">
      <c r="D2314" s="0" t="s">
        <v>129</v>
      </c>
      <c r="E2314" s="0" t="s">
        <v>130</v>
      </c>
      <c r="F2314" s="0" t="s">
        <v>131</v>
      </c>
      <c r="G2314" s="0" t="s">
        <v>146</v>
      </c>
      <c r="H2314" s="0" t="s">
        <v>147</v>
      </c>
      <c r="I2314" s="0" t="s">
        <v>36</v>
      </c>
      <c r="J2314" s="0" t="s">
        <v>37</v>
      </c>
      <c r="K2314" s="0" t="s">
        <v>30</v>
      </c>
      <c r="L2314" s="0" t="s">
        <v>31</v>
      </c>
      <c r="M2314" s="0" t="s">
        <v>140</v>
      </c>
      <c r="N2314" s="0" t="n">
        <v>1398</v>
      </c>
      <c r="O2314" s="10" t="n">
        <v>0.595319396583363</v>
      </c>
      <c r="P2314" s="10" t="n">
        <v>0.556908084778115</v>
      </c>
      <c r="Q2314" s="0" t="str">
        <f aca="false">SUBSTITUTE(SUBSTITUTE($I2314,CHAR(61),""),CHAR(34),"")</f>
        <v>10-14</v>
      </c>
      <c r="R2314" s="0" t="str">
        <f aca="false">IF($D2314&lt;&gt;"","["&amp;$E2314&amp;"]"&amp;"|"&amp;$Q2314&amp;"|"&amp;$K2314&amp;"|"&amp;$G2314&amp;"|"&amp;IF($G2314="TX_CURR_SUBNAT.R","CY2022Q4",$M2314),"")</f>
        <v>[YCKiBAp8QAg]|10-14|Female|TX_CURR_SUBNAT.T_1|CY2023Q3</v>
      </c>
    </row>
    <row r="2315" customFormat="false" ht="15" hidden="false" customHeight="false" outlineLevel="0" collapsed="false">
      <c r="D2315" s="0" t="s">
        <v>129</v>
      </c>
      <c r="E2315" s="0" t="s">
        <v>130</v>
      </c>
      <c r="F2315" s="0" t="s">
        <v>131</v>
      </c>
      <c r="G2315" s="0" t="s">
        <v>146</v>
      </c>
      <c r="H2315" s="0" t="s">
        <v>147</v>
      </c>
      <c r="I2315" s="0" t="s">
        <v>38</v>
      </c>
      <c r="J2315" s="0" t="s">
        <v>39</v>
      </c>
      <c r="K2315" s="0" t="s">
        <v>30</v>
      </c>
      <c r="L2315" s="0" t="s">
        <v>31</v>
      </c>
      <c r="M2315" s="0" t="s">
        <v>140</v>
      </c>
      <c r="N2315" s="0" t="n">
        <v>1116</v>
      </c>
      <c r="O2315" s="10" t="n">
        <v>0.20217075292021</v>
      </c>
      <c r="P2315" s="10" t="n">
        <v>0.556908084778115</v>
      </c>
      <c r="Q2315" s="0" t="str">
        <f aca="false">SUBSTITUTE(SUBSTITUTE($I2315,CHAR(61),""),CHAR(34),"")</f>
        <v>15-24</v>
      </c>
      <c r="R2315" s="0" t="str">
        <f aca="false">IF($D2315&lt;&gt;"","["&amp;$E2315&amp;"]"&amp;"|"&amp;$Q2315&amp;"|"&amp;$K2315&amp;"|"&amp;$G2315&amp;"|"&amp;IF($G2315="TX_CURR_SUBNAT.R","CY2022Q4",$M2315),"")</f>
        <v>[YCKiBAp8QAg]|15-24|Female|TX_CURR_SUBNAT.T_1|CY2023Q3</v>
      </c>
    </row>
    <row r="2316" customFormat="false" ht="15" hidden="false" customHeight="false" outlineLevel="0" collapsed="false">
      <c r="D2316" s="0" t="s">
        <v>129</v>
      </c>
      <c r="E2316" s="0" t="s">
        <v>130</v>
      </c>
      <c r="F2316" s="0" t="s">
        <v>131</v>
      </c>
      <c r="G2316" s="0" t="s">
        <v>146</v>
      </c>
      <c r="H2316" s="0" t="s">
        <v>147</v>
      </c>
      <c r="I2316" s="0" t="s">
        <v>41</v>
      </c>
      <c r="J2316" s="0" t="s">
        <v>42</v>
      </c>
      <c r="K2316" s="0" t="s">
        <v>30</v>
      </c>
      <c r="L2316" s="0" t="s">
        <v>31</v>
      </c>
      <c r="M2316" s="0" t="s">
        <v>140</v>
      </c>
      <c r="N2316" s="0" t="n">
        <v>1564</v>
      </c>
      <c r="O2316" s="10" t="n">
        <v>0.496928923763335</v>
      </c>
      <c r="P2316" s="10" t="n">
        <v>0.556908084778115</v>
      </c>
      <c r="Q2316" s="0" t="str">
        <f aca="false">SUBSTITUTE(SUBSTITUTE($I2316,CHAR(61),""),CHAR(34),"")</f>
        <v>25-34</v>
      </c>
      <c r="R2316" s="0" t="str">
        <f aca="false">IF($D2316&lt;&gt;"","["&amp;$E2316&amp;"]"&amp;"|"&amp;$Q2316&amp;"|"&amp;$K2316&amp;"|"&amp;$G2316&amp;"|"&amp;IF($G2316="TX_CURR_SUBNAT.R","CY2022Q4",$M2316),"")</f>
        <v>[YCKiBAp8QAg]|25-34|Female|TX_CURR_SUBNAT.T_1|CY2023Q3</v>
      </c>
    </row>
    <row r="2317" customFormat="false" ht="15" hidden="false" customHeight="false" outlineLevel="0" collapsed="false">
      <c r="D2317" s="0" t="s">
        <v>129</v>
      </c>
      <c r="E2317" s="0" t="s">
        <v>130</v>
      </c>
      <c r="F2317" s="0" t="s">
        <v>131</v>
      </c>
      <c r="G2317" s="0" t="s">
        <v>146</v>
      </c>
      <c r="H2317" s="0" t="s">
        <v>147</v>
      </c>
      <c r="I2317" s="0" t="s">
        <v>43</v>
      </c>
      <c r="J2317" s="0" t="s">
        <v>44</v>
      </c>
      <c r="K2317" s="0" t="s">
        <v>30</v>
      </c>
      <c r="L2317" s="0" t="s">
        <v>31</v>
      </c>
      <c r="M2317" s="0" t="s">
        <v>140</v>
      </c>
      <c r="N2317" s="0" t="n">
        <v>652</v>
      </c>
      <c r="O2317" s="10" t="n">
        <v>0.481984120793641</v>
      </c>
      <c r="P2317" s="10" t="n">
        <v>0.556908084778115</v>
      </c>
      <c r="Q2317" s="0" t="str">
        <f aca="false">SUBSTITUTE(SUBSTITUTE($I2317,CHAR(61),""),CHAR(34),"")</f>
        <v>35-49</v>
      </c>
      <c r="R2317" s="0" t="str">
        <f aca="false">IF($D2317&lt;&gt;"","["&amp;$E2317&amp;"]"&amp;"|"&amp;$Q2317&amp;"|"&amp;$K2317&amp;"|"&amp;$G2317&amp;"|"&amp;IF($G2317="TX_CURR_SUBNAT.R","CY2022Q4",$M2317),"")</f>
        <v>[YCKiBAp8QAg]|35-49|Female|TX_CURR_SUBNAT.T_1|CY2023Q3</v>
      </c>
    </row>
    <row r="2318" customFormat="false" ht="15" hidden="false" customHeight="false" outlineLevel="0" collapsed="false">
      <c r="D2318" s="0" t="s">
        <v>129</v>
      </c>
      <c r="E2318" s="0" t="s">
        <v>130</v>
      </c>
      <c r="F2318" s="0" t="s">
        <v>131</v>
      </c>
      <c r="G2318" s="0" t="s">
        <v>146</v>
      </c>
      <c r="H2318" s="0" t="s">
        <v>147</v>
      </c>
      <c r="I2318" s="0" t="s">
        <v>45</v>
      </c>
      <c r="J2318" s="0" t="s">
        <v>46</v>
      </c>
      <c r="K2318" s="0" t="s">
        <v>30</v>
      </c>
      <c r="L2318" s="0" t="s">
        <v>31</v>
      </c>
      <c r="M2318" s="0" t="s">
        <v>140</v>
      </c>
      <c r="N2318" s="0" t="n">
        <v>1301</v>
      </c>
      <c r="O2318" s="10" t="n">
        <v>0.279792201006785</v>
      </c>
      <c r="P2318" s="10" t="n">
        <v>0.556908084778115</v>
      </c>
      <c r="Q2318" s="0" t="str">
        <f aca="false">SUBSTITUTE(SUBSTITUTE($I2318,CHAR(61),""),CHAR(34),"")</f>
        <v>50+</v>
      </c>
      <c r="R2318" s="0" t="str">
        <f aca="false">IF($D2318&lt;&gt;"","["&amp;$E2318&amp;"]"&amp;"|"&amp;$Q2318&amp;"|"&amp;$K2318&amp;"|"&amp;$G2318&amp;"|"&amp;IF($G2318="TX_CURR_SUBNAT.R","CY2022Q4",$M2318),"")</f>
        <v>[YCKiBAp8QAg]|50+|Female|TX_CURR_SUBNAT.T_1|CY2023Q3</v>
      </c>
    </row>
    <row r="2319" customFormat="false" ht="15" hidden="false" customHeight="false" outlineLevel="0" collapsed="false">
      <c r="D2319" s="0" t="s">
        <v>129</v>
      </c>
      <c r="E2319" s="0" t="s">
        <v>130</v>
      </c>
      <c r="F2319" s="0" t="s">
        <v>131</v>
      </c>
      <c r="G2319" s="0" t="s">
        <v>146</v>
      </c>
      <c r="H2319" s="0" t="s">
        <v>147</v>
      </c>
      <c r="I2319" s="0" t="s">
        <v>28</v>
      </c>
      <c r="J2319" s="0" t="s">
        <v>29</v>
      </c>
      <c r="K2319" s="0" t="s">
        <v>48</v>
      </c>
      <c r="L2319" s="0" t="s">
        <v>49</v>
      </c>
      <c r="M2319" s="0" t="s">
        <v>140</v>
      </c>
      <c r="N2319" s="0" t="n">
        <v>1050</v>
      </c>
      <c r="O2319" s="10" t="n">
        <v>0.627567119663581</v>
      </c>
      <c r="P2319" s="10" t="n">
        <v>0.556908084778115</v>
      </c>
      <c r="Q2319" s="0" t="str">
        <f aca="false">SUBSTITUTE(SUBSTITUTE($I2319,CHAR(61),""),CHAR(34),"")</f>
        <v>&lt;01</v>
      </c>
      <c r="R2319" s="0" t="str">
        <f aca="false">IF($D2319&lt;&gt;"","["&amp;$E2319&amp;"]"&amp;"|"&amp;$Q2319&amp;"|"&amp;$K2319&amp;"|"&amp;$G2319&amp;"|"&amp;IF($G2319="TX_CURR_SUBNAT.R","CY2022Q4",$M2319),"")</f>
        <v>[YCKiBAp8QAg]|&lt;01|Male|TX_CURR_SUBNAT.T_1|CY2023Q3</v>
      </c>
    </row>
    <row r="2320" customFormat="false" ht="15" hidden="false" customHeight="false" outlineLevel="0" collapsed="false">
      <c r="D2320" s="0" t="s">
        <v>129</v>
      </c>
      <c r="E2320" s="0" t="s">
        <v>130</v>
      </c>
      <c r="F2320" s="0" t="s">
        <v>131</v>
      </c>
      <c r="G2320" s="0" t="s">
        <v>146</v>
      </c>
      <c r="H2320" s="0" t="s">
        <v>147</v>
      </c>
      <c r="I2320" s="0" t="s">
        <v>33</v>
      </c>
      <c r="J2320" s="0" t="s">
        <v>34</v>
      </c>
      <c r="K2320" s="0" t="s">
        <v>48</v>
      </c>
      <c r="L2320" s="0" t="s">
        <v>49</v>
      </c>
      <c r="M2320" s="0" t="s">
        <v>140</v>
      </c>
      <c r="N2320" s="0" t="n">
        <v>932</v>
      </c>
      <c r="O2320" s="10" t="n">
        <v>0.305236003361642</v>
      </c>
      <c r="P2320" s="10" t="n">
        <v>0.556908084778115</v>
      </c>
      <c r="Q2320" s="0" t="str">
        <f aca="false">SUBSTITUTE(SUBSTITUTE($I2320,CHAR(61),""),CHAR(34),"")</f>
        <v>01-09</v>
      </c>
      <c r="R2320" s="0" t="str">
        <f aca="false">IF($D2320&lt;&gt;"","["&amp;$E2320&amp;"]"&amp;"|"&amp;$Q2320&amp;"|"&amp;$K2320&amp;"|"&amp;$G2320&amp;"|"&amp;IF($G2320="TX_CURR_SUBNAT.R","CY2022Q4",$M2320),"")</f>
        <v>[YCKiBAp8QAg]|01-09|Male|TX_CURR_SUBNAT.T_1|CY2023Q3</v>
      </c>
    </row>
    <row r="2321" customFormat="false" ht="15" hidden="false" customHeight="false" outlineLevel="0" collapsed="false">
      <c r="D2321" s="0" t="s">
        <v>129</v>
      </c>
      <c r="E2321" s="0" t="s">
        <v>130</v>
      </c>
      <c r="F2321" s="0" t="s">
        <v>131</v>
      </c>
      <c r="G2321" s="0" t="s">
        <v>146</v>
      </c>
      <c r="H2321" s="0" t="s">
        <v>147</v>
      </c>
      <c r="I2321" s="0" t="s">
        <v>36</v>
      </c>
      <c r="J2321" s="0" t="s">
        <v>37</v>
      </c>
      <c r="K2321" s="0" t="s">
        <v>48</v>
      </c>
      <c r="L2321" s="0" t="s">
        <v>49</v>
      </c>
      <c r="M2321" s="0" t="s">
        <v>140</v>
      </c>
      <c r="N2321" s="0" t="n">
        <v>1039</v>
      </c>
      <c r="O2321" s="10" t="n">
        <v>0.757629709551111</v>
      </c>
      <c r="P2321" s="10" t="n">
        <v>0.556908084778115</v>
      </c>
      <c r="Q2321" s="0" t="str">
        <f aca="false">SUBSTITUTE(SUBSTITUTE($I2321,CHAR(61),""),CHAR(34),"")</f>
        <v>10-14</v>
      </c>
      <c r="R2321" s="0" t="str">
        <f aca="false">IF($D2321&lt;&gt;"","["&amp;$E2321&amp;"]"&amp;"|"&amp;$Q2321&amp;"|"&amp;$K2321&amp;"|"&amp;$G2321&amp;"|"&amp;IF($G2321="TX_CURR_SUBNAT.R","CY2022Q4",$M2321),"")</f>
        <v>[YCKiBAp8QAg]|10-14|Male|TX_CURR_SUBNAT.T_1|CY2023Q3</v>
      </c>
    </row>
    <row r="2322" customFormat="false" ht="15" hidden="false" customHeight="false" outlineLevel="0" collapsed="false">
      <c r="D2322" s="0" t="s">
        <v>129</v>
      </c>
      <c r="E2322" s="0" t="s">
        <v>130</v>
      </c>
      <c r="F2322" s="0" t="s">
        <v>131</v>
      </c>
      <c r="G2322" s="0" t="s">
        <v>146</v>
      </c>
      <c r="H2322" s="0" t="s">
        <v>147</v>
      </c>
      <c r="I2322" s="0" t="s">
        <v>38</v>
      </c>
      <c r="J2322" s="0" t="s">
        <v>39</v>
      </c>
      <c r="K2322" s="0" t="s">
        <v>48</v>
      </c>
      <c r="L2322" s="0" t="s">
        <v>49</v>
      </c>
      <c r="M2322" s="0" t="s">
        <v>140</v>
      </c>
      <c r="N2322" s="0" t="n">
        <v>1053</v>
      </c>
      <c r="O2322" s="10" t="n">
        <v>0.823662269860506</v>
      </c>
      <c r="P2322" s="10" t="n">
        <v>0.556908084778115</v>
      </c>
      <c r="Q2322" s="0" t="str">
        <f aca="false">SUBSTITUTE(SUBSTITUTE($I2322,CHAR(61),""),CHAR(34),"")</f>
        <v>15-24</v>
      </c>
      <c r="R2322" s="0" t="str">
        <f aca="false">IF($D2322&lt;&gt;"","["&amp;$E2322&amp;"]"&amp;"|"&amp;$Q2322&amp;"|"&amp;$K2322&amp;"|"&amp;$G2322&amp;"|"&amp;IF($G2322="TX_CURR_SUBNAT.R","CY2022Q4",$M2322),"")</f>
        <v>[YCKiBAp8QAg]|15-24|Male|TX_CURR_SUBNAT.T_1|CY2023Q3</v>
      </c>
    </row>
    <row r="2323" customFormat="false" ht="15" hidden="false" customHeight="false" outlineLevel="0" collapsed="false">
      <c r="D2323" s="0" t="s">
        <v>129</v>
      </c>
      <c r="E2323" s="0" t="s">
        <v>130</v>
      </c>
      <c r="F2323" s="0" t="s">
        <v>131</v>
      </c>
      <c r="G2323" s="0" t="s">
        <v>146</v>
      </c>
      <c r="H2323" s="0" t="s">
        <v>147</v>
      </c>
      <c r="I2323" s="0" t="s">
        <v>41</v>
      </c>
      <c r="J2323" s="0" t="s">
        <v>42</v>
      </c>
      <c r="K2323" s="0" t="s">
        <v>48</v>
      </c>
      <c r="L2323" s="0" t="s">
        <v>49</v>
      </c>
      <c r="M2323" s="0" t="s">
        <v>140</v>
      </c>
      <c r="N2323" s="0" t="n">
        <v>798</v>
      </c>
      <c r="O2323" s="10" t="n">
        <v>0.157199176261202</v>
      </c>
      <c r="P2323" s="10" t="n">
        <v>0.556908084778115</v>
      </c>
      <c r="Q2323" s="0" t="str">
        <f aca="false">SUBSTITUTE(SUBSTITUTE($I2323,CHAR(61),""),CHAR(34),"")</f>
        <v>25-34</v>
      </c>
      <c r="R2323" s="0" t="str">
        <f aca="false">IF($D2323&lt;&gt;"","["&amp;$E2323&amp;"]"&amp;"|"&amp;$Q2323&amp;"|"&amp;$K2323&amp;"|"&amp;$G2323&amp;"|"&amp;IF($G2323="TX_CURR_SUBNAT.R","CY2022Q4",$M2323),"")</f>
        <v>[YCKiBAp8QAg]|25-34|Male|TX_CURR_SUBNAT.T_1|CY2023Q3</v>
      </c>
    </row>
    <row r="2324" customFormat="false" ht="15" hidden="false" customHeight="false" outlineLevel="0" collapsed="false">
      <c r="D2324" s="0" t="s">
        <v>129</v>
      </c>
      <c r="E2324" s="0" t="s">
        <v>130</v>
      </c>
      <c r="F2324" s="0" t="s">
        <v>131</v>
      </c>
      <c r="G2324" s="0" t="s">
        <v>146</v>
      </c>
      <c r="H2324" s="0" t="s">
        <v>147</v>
      </c>
      <c r="I2324" s="0" t="s">
        <v>43</v>
      </c>
      <c r="J2324" s="0" t="s">
        <v>44</v>
      </c>
      <c r="K2324" s="0" t="s">
        <v>48</v>
      </c>
      <c r="L2324" s="0" t="s">
        <v>49</v>
      </c>
      <c r="M2324" s="0" t="s">
        <v>140</v>
      </c>
      <c r="N2324" s="0" t="n">
        <v>648</v>
      </c>
      <c r="O2324" s="10" t="n">
        <v>0.251728961942717</v>
      </c>
      <c r="P2324" s="10" t="n">
        <v>0.556908084778115</v>
      </c>
      <c r="Q2324" s="0" t="str">
        <f aca="false">SUBSTITUTE(SUBSTITUTE($I2324,CHAR(61),""),CHAR(34),"")</f>
        <v>35-49</v>
      </c>
      <c r="R2324" s="0" t="str">
        <f aca="false">IF($D2324&lt;&gt;"","["&amp;$E2324&amp;"]"&amp;"|"&amp;$Q2324&amp;"|"&amp;$K2324&amp;"|"&amp;$G2324&amp;"|"&amp;IF($G2324="TX_CURR_SUBNAT.R","CY2022Q4",$M2324),"")</f>
        <v>[YCKiBAp8QAg]|35-49|Male|TX_CURR_SUBNAT.T_1|CY2023Q3</v>
      </c>
    </row>
    <row r="2325" customFormat="false" ht="15" hidden="false" customHeight="false" outlineLevel="0" collapsed="false">
      <c r="D2325" s="0" t="s">
        <v>129</v>
      </c>
      <c r="E2325" s="0" t="s">
        <v>130</v>
      </c>
      <c r="F2325" s="0" t="s">
        <v>131</v>
      </c>
      <c r="G2325" s="0" t="s">
        <v>146</v>
      </c>
      <c r="H2325" s="0" t="s">
        <v>147</v>
      </c>
      <c r="I2325" s="0" t="s">
        <v>45</v>
      </c>
      <c r="J2325" s="0" t="s">
        <v>46</v>
      </c>
      <c r="K2325" s="0" t="s">
        <v>48</v>
      </c>
      <c r="L2325" s="0" t="s">
        <v>49</v>
      </c>
      <c r="M2325" s="0" t="s">
        <v>140</v>
      </c>
      <c r="N2325" s="0" t="n">
        <v>721</v>
      </c>
      <c r="O2325" s="10" t="n">
        <v>0.35809007845819</v>
      </c>
      <c r="P2325" s="10" t="n">
        <v>0.556908084778115</v>
      </c>
      <c r="Q2325" s="0" t="str">
        <f aca="false">SUBSTITUTE(SUBSTITUTE($I2325,CHAR(61),""),CHAR(34),"")</f>
        <v>50+</v>
      </c>
      <c r="R2325" s="0" t="str">
        <f aca="false">IF($D2325&lt;&gt;"","["&amp;$E2325&amp;"]"&amp;"|"&amp;$Q2325&amp;"|"&amp;$K2325&amp;"|"&amp;$G2325&amp;"|"&amp;IF($G2325="TX_CURR_SUBNAT.R","CY2022Q4",$M2325),"")</f>
        <v>[YCKiBAp8QAg]|50+|Male|TX_CURR_SUBNAT.T_1|CY2023Q3</v>
      </c>
    </row>
    <row r="2326" customFormat="false" ht="15" hidden="false" customHeight="false" outlineLevel="0" collapsed="false">
      <c r="D2326" s="0" t="s">
        <v>132</v>
      </c>
      <c r="E2326" s="0" t="s">
        <v>133</v>
      </c>
      <c r="F2326" s="0" t="s">
        <v>134</v>
      </c>
      <c r="G2326" s="0" t="s">
        <v>146</v>
      </c>
      <c r="H2326" s="0" t="s">
        <v>147</v>
      </c>
      <c r="I2326" s="0" t="s">
        <v>28</v>
      </c>
      <c r="J2326" s="0" t="s">
        <v>29</v>
      </c>
      <c r="K2326" s="0" t="s">
        <v>30</v>
      </c>
      <c r="L2326" s="0" t="s">
        <v>31</v>
      </c>
      <c r="M2326" s="0" t="s">
        <v>140</v>
      </c>
      <c r="N2326" s="0" t="n">
        <v>747</v>
      </c>
      <c r="O2326" s="10" t="n">
        <v>0.0958396182395518</v>
      </c>
      <c r="P2326" s="10" t="n">
        <v>0.162863194011152</v>
      </c>
      <c r="Q2326" s="0" t="str">
        <f aca="false">SUBSTITUTE(SUBSTITUTE($I2326,CHAR(61),""),CHAR(34),"")</f>
        <v>&lt;01</v>
      </c>
      <c r="R2326" s="0" t="str">
        <f aca="false">IF($D2326&lt;&gt;"","["&amp;$E2326&amp;"]"&amp;"|"&amp;$Q2326&amp;"|"&amp;$K2326&amp;"|"&amp;$G2326&amp;"|"&amp;IF($G2326="TX_CURR_SUBNAT.R","CY2022Q4",$M2326),"")</f>
        <v>[JQKLKuVuY61]|&lt;01|Female|TX_CURR_SUBNAT.T_1|CY2023Q3</v>
      </c>
    </row>
    <row r="2327" customFormat="false" ht="15" hidden="false" customHeight="false" outlineLevel="0" collapsed="false">
      <c r="D2327" s="0" t="s">
        <v>132</v>
      </c>
      <c r="E2327" s="0" t="s">
        <v>133</v>
      </c>
      <c r="F2327" s="0" t="s">
        <v>134</v>
      </c>
      <c r="G2327" s="0" t="s">
        <v>146</v>
      </c>
      <c r="H2327" s="0" t="s">
        <v>147</v>
      </c>
      <c r="I2327" s="0" t="s">
        <v>33</v>
      </c>
      <c r="J2327" s="0" t="s">
        <v>34</v>
      </c>
      <c r="K2327" s="0" t="s">
        <v>30</v>
      </c>
      <c r="L2327" s="0" t="s">
        <v>31</v>
      </c>
      <c r="M2327" s="0" t="s">
        <v>140</v>
      </c>
      <c r="N2327" s="0" t="n">
        <v>1026</v>
      </c>
      <c r="O2327" s="10" t="n">
        <v>0.896745062200353</v>
      </c>
      <c r="P2327" s="10" t="n">
        <v>0.162863194011152</v>
      </c>
      <c r="Q2327" s="0" t="str">
        <f aca="false">SUBSTITUTE(SUBSTITUTE($I2327,CHAR(61),""),CHAR(34),"")</f>
        <v>01-09</v>
      </c>
      <c r="R2327" s="0" t="str">
        <f aca="false">IF($D2327&lt;&gt;"","["&amp;$E2327&amp;"]"&amp;"|"&amp;$Q2327&amp;"|"&amp;$K2327&amp;"|"&amp;$G2327&amp;"|"&amp;IF($G2327="TX_CURR_SUBNAT.R","CY2022Q4",$M2327),"")</f>
        <v>[JQKLKuVuY61]|01-09|Female|TX_CURR_SUBNAT.T_1|CY2023Q3</v>
      </c>
    </row>
    <row r="2328" customFormat="false" ht="15" hidden="false" customHeight="false" outlineLevel="0" collapsed="false">
      <c r="D2328" s="0" t="s">
        <v>132</v>
      </c>
      <c r="E2328" s="0" t="s">
        <v>133</v>
      </c>
      <c r="F2328" s="0" t="s">
        <v>134</v>
      </c>
      <c r="G2328" s="0" t="s">
        <v>146</v>
      </c>
      <c r="H2328" s="0" t="s">
        <v>147</v>
      </c>
      <c r="I2328" s="0" t="s">
        <v>36</v>
      </c>
      <c r="J2328" s="0" t="s">
        <v>37</v>
      </c>
      <c r="K2328" s="0" t="s">
        <v>30</v>
      </c>
      <c r="L2328" s="0" t="s">
        <v>31</v>
      </c>
      <c r="M2328" s="0" t="s">
        <v>140</v>
      </c>
      <c r="N2328" s="0" t="n">
        <v>1606</v>
      </c>
      <c r="O2328" s="10" t="n">
        <v>0.239018063060939</v>
      </c>
      <c r="P2328" s="10" t="n">
        <v>0.162863194011152</v>
      </c>
      <c r="Q2328" s="0" t="str">
        <f aca="false">SUBSTITUTE(SUBSTITUTE($I2328,CHAR(61),""),CHAR(34),"")</f>
        <v>10-14</v>
      </c>
      <c r="R2328" s="0" t="str">
        <f aca="false">IF($D2328&lt;&gt;"","["&amp;$E2328&amp;"]"&amp;"|"&amp;$Q2328&amp;"|"&amp;$K2328&amp;"|"&amp;$G2328&amp;"|"&amp;IF($G2328="TX_CURR_SUBNAT.R","CY2022Q4",$M2328),"")</f>
        <v>[JQKLKuVuY61]|10-14|Female|TX_CURR_SUBNAT.T_1|CY2023Q3</v>
      </c>
    </row>
    <row r="2329" customFormat="false" ht="15" hidden="false" customHeight="false" outlineLevel="0" collapsed="false">
      <c r="D2329" s="0" t="s">
        <v>132</v>
      </c>
      <c r="E2329" s="0" t="s">
        <v>133</v>
      </c>
      <c r="F2329" s="0" t="s">
        <v>134</v>
      </c>
      <c r="G2329" s="0" t="s">
        <v>146</v>
      </c>
      <c r="H2329" s="0" t="s">
        <v>147</v>
      </c>
      <c r="I2329" s="0" t="s">
        <v>38</v>
      </c>
      <c r="J2329" s="0" t="s">
        <v>39</v>
      </c>
      <c r="K2329" s="0" t="s">
        <v>30</v>
      </c>
      <c r="L2329" s="0" t="s">
        <v>31</v>
      </c>
      <c r="M2329" s="0" t="s">
        <v>140</v>
      </c>
      <c r="N2329" s="0" t="n">
        <v>649</v>
      </c>
      <c r="O2329" s="10" t="n">
        <v>0.0705180342774838</v>
      </c>
      <c r="P2329" s="10" t="n">
        <v>0.162863194011152</v>
      </c>
      <c r="Q2329" s="0" t="str">
        <f aca="false">SUBSTITUTE(SUBSTITUTE($I2329,CHAR(61),""),CHAR(34),"")</f>
        <v>15-24</v>
      </c>
      <c r="R2329" s="0" t="str">
        <f aca="false">IF($D2329&lt;&gt;"","["&amp;$E2329&amp;"]"&amp;"|"&amp;$Q2329&amp;"|"&amp;$K2329&amp;"|"&amp;$G2329&amp;"|"&amp;IF($G2329="TX_CURR_SUBNAT.R","CY2022Q4",$M2329),"")</f>
        <v>[JQKLKuVuY61]|15-24|Female|TX_CURR_SUBNAT.T_1|CY2023Q3</v>
      </c>
    </row>
    <row r="2330" customFormat="false" ht="15" hidden="false" customHeight="false" outlineLevel="0" collapsed="false">
      <c r="D2330" s="0" t="s">
        <v>132</v>
      </c>
      <c r="E2330" s="0" t="s">
        <v>133</v>
      </c>
      <c r="F2330" s="0" t="s">
        <v>134</v>
      </c>
      <c r="G2330" s="0" t="s">
        <v>146</v>
      </c>
      <c r="H2330" s="0" t="s">
        <v>147</v>
      </c>
      <c r="I2330" s="0" t="s">
        <v>41</v>
      </c>
      <c r="J2330" s="0" t="s">
        <v>42</v>
      </c>
      <c r="K2330" s="0" t="s">
        <v>30</v>
      </c>
      <c r="L2330" s="0" t="s">
        <v>31</v>
      </c>
      <c r="M2330" s="0" t="s">
        <v>140</v>
      </c>
      <c r="N2330" s="0" t="n">
        <v>1823</v>
      </c>
      <c r="O2330" s="10" t="n">
        <v>0.111725480295718</v>
      </c>
      <c r="P2330" s="10" t="n">
        <v>0.162863194011152</v>
      </c>
      <c r="Q2330" s="0" t="str">
        <f aca="false">SUBSTITUTE(SUBSTITUTE($I2330,CHAR(61),""),CHAR(34),"")</f>
        <v>25-34</v>
      </c>
      <c r="R2330" s="0" t="str">
        <f aca="false">IF($D2330&lt;&gt;"","["&amp;$E2330&amp;"]"&amp;"|"&amp;$Q2330&amp;"|"&amp;$K2330&amp;"|"&amp;$G2330&amp;"|"&amp;IF($G2330="TX_CURR_SUBNAT.R","CY2022Q4",$M2330),"")</f>
        <v>[JQKLKuVuY61]|25-34|Female|TX_CURR_SUBNAT.T_1|CY2023Q3</v>
      </c>
    </row>
    <row r="2331" customFormat="false" ht="15" hidden="false" customHeight="false" outlineLevel="0" collapsed="false">
      <c r="D2331" s="0" t="s">
        <v>132</v>
      </c>
      <c r="E2331" s="0" t="s">
        <v>133</v>
      </c>
      <c r="F2331" s="0" t="s">
        <v>134</v>
      </c>
      <c r="G2331" s="0" t="s">
        <v>146</v>
      </c>
      <c r="H2331" s="0" t="s">
        <v>147</v>
      </c>
      <c r="I2331" s="0" t="s">
        <v>43</v>
      </c>
      <c r="J2331" s="0" t="s">
        <v>44</v>
      </c>
      <c r="K2331" s="0" t="s">
        <v>30</v>
      </c>
      <c r="L2331" s="0" t="s">
        <v>31</v>
      </c>
      <c r="M2331" s="0" t="s">
        <v>140</v>
      </c>
      <c r="N2331" s="0" t="n">
        <v>1508</v>
      </c>
      <c r="O2331" s="10" t="n">
        <v>0.948272638954222</v>
      </c>
      <c r="P2331" s="10" t="n">
        <v>0.162863194011152</v>
      </c>
      <c r="Q2331" s="0" t="str">
        <f aca="false">SUBSTITUTE(SUBSTITUTE($I2331,CHAR(61),""),CHAR(34),"")</f>
        <v>35-49</v>
      </c>
      <c r="R2331" s="0" t="str">
        <f aca="false">IF($D2331&lt;&gt;"","["&amp;$E2331&amp;"]"&amp;"|"&amp;$Q2331&amp;"|"&amp;$K2331&amp;"|"&amp;$G2331&amp;"|"&amp;IF($G2331="TX_CURR_SUBNAT.R","CY2022Q4",$M2331),"")</f>
        <v>[JQKLKuVuY61]|35-49|Female|TX_CURR_SUBNAT.T_1|CY2023Q3</v>
      </c>
    </row>
    <row r="2332" customFormat="false" ht="15" hidden="false" customHeight="false" outlineLevel="0" collapsed="false">
      <c r="D2332" s="0" t="s">
        <v>132</v>
      </c>
      <c r="E2332" s="0" t="s">
        <v>133</v>
      </c>
      <c r="F2332" s="0" t="s">
        <v>134</v>
      </c>
      <c r="G2332" s="0" t="s">
        <v>146</v>
      </c>
      <c r="H2332" s="0" t="s">
        <v>147</v>
      </c>
      <c r="I2332" s="0" t="s">
        <v>45</v>
      </c>
      <c r="J2332" s="0" t="s">
        <v>46</v>
      </c>
      <c r="K2332" s="0" t="s">
        <v>30</v>
      </c>
      <c r="L2332" s="0" t="s">
        <v>31</v>
      </c>
      <c r="M2332" s="0" t="s">
        <v>140</v>
      </c>
      <c r="N2332" s="0" t="n">
        <v>1622</v>
      </c>
      <c r="O2332" s="10" t="n">
        <v>0.400329768192023</v>
      </c>
      <c r="P2332" s="10" t="n">
        <v>0.162863194011152</v>
      </c>
      <c r="Q2332" s="0" t="str">
        <f aca="false">SUBSTITUTE(SUBSTITUTE($I2332,CHAR(61),""),CHAR(34),"")</f>
        <v>50+</v>
      </c>
      <c r="R2332" s="0" t="str">
        <f aca="false">IF($D2332&lt;&gt;"","["&amp;$E2332&amp;"]"&amp;"|"&amp;$Q2332&amp;"|"&amp;$K2332&amp;"|"&amp;$G2332&amp;"|"&amp;IF($G2332="TX_CURR_SUBNAT.R","CY2022Q4",$M2332),"")</f>
        <v>[JQKLKuVuY61]|50+|Female|TX_CURR_SUBNAT.T_1|CY2023Q3</v>
      </c>
    </row>
    <row r="2333" customFormat="false" ht="15" hidden="false" customHeight="false" outlineLevel="0" collapsed="false">
      <c r="D2333" s="0" t="s">
        <v>132</v>
      </c>
      <c r="E2333" s="0" t="s">
        <v>133</v>
      </c>
      <c r="F2333" s="0" t="s">
        <v>134</v>
      </c>
      <c r="G2333" s="0" t="s">
        <v>146</v>
      </c>
      <c r="H2333" s="0" t="s">
        <v>147</v>
      </c>
      <c r="I2333" s="0" t="s">
        <v>28</v>
      </c>
      <c r="J2333" s="0" t="s">
        <v>29</v>
      </c>
      <c r="K2333" s="0" t="s">
        <v>48</v>
      </c>
      <c r="L2333" s="0" t="s">
        <v>49</v>
      </c>
      <c r="M2333" s="0" t="s">
        <v>140</v>
      </c>
      <c r="N2333" s="0" t="n">
        <v>1537</v>
      </c>
      <c r="O2333" s="10" t="n">
        <v>0.124498524935916</v>
      </c>
      <c r="P2333" s="10" t="n">
        <v>0.162863194011152</v>
      </c>
      <c r="Q2333" s="0" t="str">
        <f aca="false">SUBSTITUTE(SUBSTITUTE($I2333,CHAR(61),""),CHAR(34),"")</f>
        <v>&lt;01</v>
      </c>
      <c r="R2333" s="0" t="str">
        <f aca="false">IF($D2333&lt;&gt;"","["&amp;$E2333&amp;"]"&amp;"|"&amp;$Q2333&amp;"|"&amp;$K2333&amp;"|"&amp;$G2333&amp;"|"&amp;IF($G2333="TX_CURR_SUBNAT.R","CY2022Q4",$M2333),"")</f>
        <v>[JQKLKuVuY61]|&lt;01|Male|TX_CURR_SUBNAT.T_1|CY2023Q3</v>
      </c>
    </row>
    <row r="2334" customFormat="false" ht="15" hidden="false" customHeight="false" outlineLevel="0" collapsed="false">
      <c r="D2334" s="0" t="s">
        <v>132</v>
      </c>
      <c r="E2334" s="0" t="s">
        <v>133</v>
      </c>
      <c r="F2334" s="0" t="s">
        <v>134</v>
      </c>
      <c r="G2334" s="0" t="s">
        <v>146</v>
      </c>
      <c r="H2334" s="0" t="s">
        <v>147</v>
      </c>
      <c r="I2334" s="0" t="s">
        <v>33</v>
      </c>
      <c r="J2334" s="0" t="s">
        <v>34</v>
      </c>
      <c r="K2334" s="0" t="s">
        <v>48</v>
      </c>
      <c r="L2334" s="0" t="s">
        <v>49</v>
      </c>
      <c r="M2334" s="0" t="s">
        <v>140</v>
      </c>
      <c r="N2334" s="0" t="n">
        <v>1997</v>
      </c>
      <c r="O2334" s="10" t="n">
        <v>0.612711353227496</v>
      </c>
      <c r="P2334" s="10" t="n">
        <v>0.162863194011152</v>
      </c>
      <c r="Q2334" s="0" t="str">
        <f aca="false">SUBSTITUTE(SUBSTITUTE($I2334,CHAR(61),""),CHAR(34),"")</f>
        <v>01-09</v>
      </c>
      <c r="R2334" s="0" t="str">
        <f aca="false">IF($D2334&lt;&gt;"","["&amp;$E2334&amp;"]"&amp;"|"&amp;$Q2334&amp;"|"&amp;$K2334&amp;"|"&amp;$G2334&amp;"|"&amp;IF($G2334="TX_CURR_SUBNAT.R","CY2022Q4",$M2334),"")</f>
        <v>[JQKLKuVuY61]|01-09|Male|TX_CURR_SUBNAT.T_1|CY2023Q3</v>
      </c>
    </row>
    <row r="2335" customFormat="false" ht="15" hidden="false" customHeight="false" outlineLevel="0" collapsed="false">
      <c r="D2335" s="0" t="s">
        <v>132</v>
      </c>
      <c r="E2335" s="0" t="s">
        <v>133</v>
      </c>
      <c r="F2335" s="0" t="s">
        <v>134</v>
      </c>
      <c r="G2335" s="0" t="s">
        <v>146</v>
      </c>
      <c r="H2335" s="0" t="s">
        <v>147</v>
      </c>
      <c r="I2335" s="0" t="s">
        <v>36</v>
      </c>
      <c r="J2335" s="0" t="s">
        <v>37</v>
      </c>
      <c r="K2335" s="0" t="s">
        <v>48</v>
      </c>
      <c r="L2335" s="0" t="s">
        <v>49</v>
      </c>
      <c r="M2335" s="0" t="s">
        <v>140</v>
      </c>
      <c r="N2335" s="0" t="n">
        <v>1102</v>
      </c>
      <c r="O2335" s="10" t="n">
        <v>0.93412530166097</v>
      </c>
      <c r="P2335" s="10" t="n">
        <v>0.162863194011152</v>
      </c>
      <c r="Q2335" s="0" t="str">
        <f aca="false">SUBSTITUTE(SUBSTITUTE($I2335,CHAR(61),""),CHAR(34),"")</f>
        <v>10-14</v>
      </c>
      <c r="R2335" s="0" t="str">
        <f aca="false">IF($D2335&lt;&gt;"","["&amp;$E2335&amp;"]"&amp;"|"&amp;$Q2335&amp;"|"&amp;$K2335&amp;"|"&amp;$G2335&amp;"|"&amp;IF($G2335="TX_CURR_SUBNAT.R","CY2022Q4",$M2335),"")</f>
        <v>[JQKLKuVuY61]|10-14|Male|TX_CURR_SUBNAT.T_1|CY2023Q3</v>
      </c>
    </row>
    <row r="2336" customFormat="false" ht="15" hidden="false" customHeight="false" outlineLevel="0" collapsed="false">
      <c r="D2336" s="0" t="s">
        <v>132</v>
      </c>
      <c r="E2336" s="0" t="s">
        <v>133</v>
      </c>
      <c r="F2336" s="0" t="s">
        <v>134</v>
      </c>
      <c r="G2336" s="0" t="s">
        <v>146</v>
      </c>
      <c r="H2336" s="0" t="s">
        <v>147</v>
      </c>
      <c r="I2336" s="0" t="s">
        <v>38</v>
      </c>
      <c r="J2336" s="0" t="s">
        <v>39</v>
      </c>
      <c r="K2336" s="0" t="s">
        <v>48</v>
      </c>
      <c r="L2336" s="0" t="s">
        <v>49</v>
      </c>
      <c r="M2336" s="0" t="s">
        <v>140</v>
      </c>
      <c r="N2336" s="0" t="n">
        <v>1883</v>
      </c>
      <c r="O2336" s="10" t="n">
        <v>0.843660940416157</v>
      </c>
      <c r="P2336" s="10" t="n">
        <v>0.162863194011152</v>
      </c>
      <c r="Q2336" s="0" t="str">
        <f aca="false">SUBSTITUTE(SUBSTITUTE($I2336,CHAR(61),""),CHAR(34),"")</f>
        <v>15-24</v>
      </c>
      <c r="R2336" s="0" t="str">
        <f aca="false">IF($D2336&lt;&gt;"","["&amp;$E2336&amp;"]"&amp;"|"&amp;$Q2336&amp;"|"&amp;$K2336&amp;"|"&amp;$G2336&amp;"|"&amp;IF($G2336="TX_CURR_SUBNAT.R","CY2022Q4",$M2336),"")</f>
        <v>[JQKLKuVuY61]|15-24|Male|TX_CURR_SUBNAT.T_1|CY2023Q3</v>
      </c>
    </row>
    <row r="2337" customFormat="false" ht="15" hidden="false" customHeight="false" outlineLevel="0" collapsed="false">
      <c r="D2337" s="0" t="s">
        <v>132</v>
      </c>
      <c r="E2337" s="0" t="s">
        <v>133</v>
      </c>
      <c r="F2337" s="0" t="s">
        <v>134</v>
      </c>
      <c r="G2337" s="0" t="s">
        <v>146</v>
      </c>
      <c r="H2337" s="0" t="s">
        <v>147</v>
      </c>
      <c r="I2337" s="0" t="s">
        <v>41</v>
      </c>
      <c r="J2337" s="0" t="s">
        <v>42</v>
      </c>
      <c r="K2337" s="0" t="s">
        <v>48</v>
      </c>
      <c r="L2337" s="0" t="s">
        <v>49</v>
      </c>
      <c r="M2337" s="0" t="s">
        <v>140</v>
      </c>
      <c r="N2337" s="0" t="n">
        <v>999</v>
      </c>
      <c r="O2337" s="10" t="n">
        <v>0.316009116359055</v>
      </c>
      <c r="P2337" s="10" t="n">
        <v>0.162863194011152</v>
      </c>
      <c r="Q2337" s="0" t="str">
        <f aca="false">SUBSTITUTE(SUBSTITUTE($I2337,CHAR(61),""),CHAR(34),"")</f>
        <v>25-34</v>
      </c>
      <c r="R2337" s="0" t="str">
        <f aca="false">IF($D2337&lt;&gt;"","["&amp;$E2337&amp;"]"&amp;"|"&amp;$Q2337&amp;"|"&amp;$K2337&amp;"|"&amp;$G2337&amp;"|"&amp;IF($G2337="TX_CURR_SUBNAT.R","CY2022Q4",$M2337),"")</f>
        <v>[JQKLKuVuY61]|25-34|Male|TX_CURR_SUBNAT.T_1|CY2023Q3</v>
      </c>
    </row>
    <row r="2338" customFormat="false" ht="15" hidden="false" customHeight="false" outlineLevel="0" collapsed="false">
      <c r="D2338" s="0" t="s">
        <v>132</v>
      </c>
      <c r="E2338" s="0" t="s">
        <v>133</v>
      </c>
      <c r="F2338" s="0" t="s">
        <v>134</v>
      </c>
      <c r="G2338" s="0" t="s">
        <v>146</v>
      </c>
      <c r="H2338" s="0" t="s">
        <v>147</v>
      </c>
      <c r="I2338" s="0" t="s">
        <v>43</v>
      </c>
      <c r="J2338" s="0" t="s">
        <v>44</v>
      </c>
      <c r="K2338" s="0" t="s">
        <v>48</v>
      </c>
      <c r="L2338" s="0" t="s">
        <v>49</v>
      </c>
      <c r="M2338" s="0" t="s">
        <v>140</v>
      </c>
      <c r="N2338" s="0" t="n">
        <v>1101</v>
      </c>
      <c r="O2338" s="10" t="n">
        <v>0.877708801766858</v>
      </c>
      <c r="P2338" s="10" t="n">
        <v>0.162863194011152</v>
      </c>
      <c r="Q2338" s="0" t="str">
        <f aca="false">SUBSTITUTE(SUBSTITUTE($I2338,CHAR(61),""),CHAR(34),"")</f>
        <v>35-49</v>
      </c>
      <c r="R2338" s="0" t="str">
        <f aca="false">IF($D2338&lt;&gt;"","["&amp;$E2338&amp;"]"&amp;"|"&amp;$Q2338&amp;"|"&amp;$K2338&amp;"|"&amp;$G2338&amp;"|"&amp;IF($G2338="TX_CURR_SUBNAT.R","CY2022Q4",$M2338),"")</f>
        <v>[JQKLKuVuY61]|35-49|Male|TX_CURR_SUBNAT.T_1|CY2023Q3</v>
      </c>
    </row>
    <row r="2339" customFormat="false" ht="15" hidden="false" customHeight="false" outlineLevel="0" collapsed="false">
      <c r="D2339" s="0" t="s">
        <v>132</v>
      </c>
      <c r="E2339" s="0" t="s">
        <v>133</v>
      </c>
      <c r="F2339" s="0" t="s">
        <v>134</v>
      </c>
      <c r="G2339" s="0" t="s">
        <v>146</v>
      </c>
      <c r="H2339" s="0" t="s">
        <v>147</v>
      </c>
      <c r="I2339" s="0" t="s">
        <v>45</v>
      </c>
      <c r="J2339" s="0" t="s">
        <v>46</v>
      </c>
      <c r="K2339" s="0" t="s">
        <v>48</v>
      </c>
      <c r="L2339" s="0" t="s">
        <v>49</v>
      </c>
      <c r="M2339" s="0" t="s">
        <v>140</v>
      </c>
      <c r="N2339" s="0" t="n">
        <v>932</v>
      </c>
      <c r="O2339" s="10" t="n">
        <v>0.751322108786553</v>
      </c>
      <c r="P2339" s="10" t="n">
        <v>0.162863194011152</v>
      </c>
      <c r="Q2339" s="0" t="str">
        <f aca="false">SUBSTITUTE(SUBSTITUTE($I2339,CHAR(61),""),CHAR(34),"")</f>
        <v>50+</v>
      </c>
      <c r="R2339" s="0" t="str">
        <f aca="false">IF($D2339&lt;&gt;"","["&amp;$E2339&amp;"]"&amp;"|"&amp;$Q2339&amp;"|"&amp;$K2339&amp;"|"&amp;$G2339&amp;"|"&amp;IF($G2339="TX_CURR_SUBNAT.R","CY2022Q4",$M2339),"")</f>
        <v>[JQKLKuVuY61]|50+|Male|TX_CURR_SUBNAT.T_1|CY2023Q3</v>
      </c>
    </row>
    <row r="2340" customFormat="false" ht="15" hidden="false" customHeight="false" outlineLevel="0" collapsed="false">
      <c r="D2340" s="0" t="s">
        <v>135</v>
      </c>
      <c r="E2340" s="0" t="s">
        <v>136</v>
      </c>
      <c r="F2340" s="0" t="s">
        <v>137</v>
      </c>
      <c r="G2340" s="0" t="s">
        <v>146</v>
      </c>
      <c r="H2340" s="0" t="s">
        <v>147</v>
      </c>
      <c r="I2340" s="0" t="s">
        <v>28</v>
      </c>
      <c r="J2340" s="0" t="s">
        <v>29</v>
      </c>
      <c r="K2340" s="0" t="s">
        <v>30</v>
      </c>
      <c r="L2340" s="0" t="s">
        <v>31</v>
      </c>
      <c r="M2340" s="0" t="s">
        <v>140</v>
      </c>
      <c r="N2340" s="0" t="n">
        <v>1140</v>
      </c>
      <c r="O2340" s="10" t="n">
        <v>0.666585195343941</v>
      </c>
      <c r="P2340" s="10" t="n">
        <v>0.955300528323278</v>
      </c>
      <c r="Q2340" s="0" t="str">
        <f aca="false">SUBSTITUTE(SUBSTITUTE($I2340,CHAR(61),""),CHAR(34),"")</f>
        <v>&lt;01</v>
      </c>
      <c r="R2340" s="0" t="str">
        <f aca="false">IF($D2340&lt;&gt;"","["&amp;$E2340&amp;"]"&amp;"|"&amp;$Q2340&amp;"|"&amp;$K2340&amp;"|"&amp;$G2340&amp;"|"&amp;IF($G2340="TX_CURR_SUBNAT.R","CY2022Q4",$M2340),"")</f>
        <v>[fiRkU6gEjLz]|&lt;01|Female|TX_CURR_SUBNAT.T_1|CY2023Q3</v>
      </c>
    </row>
    <row r="2341" customFormat="false" ht="15" hidden="false" customHeight="false" outlineLevel="0" collapsed="false">
      <c r="D2341" s="0" t="s">
        <v>135</v>
      </c>
      <c r="E2341" s="0" t="s">
        <v>136</v>
      </c>
      <c r="F2341" s="0" t="s">
        <v>137</v>
      </c>
      <c r="G2341" s="0" t="s">
        <v>146</v>
      </c>
      <c r="H2341" s="0" t="s">
        <v>147</v>
      </c>
      <c r="I2341" s="0" t="s">
        <v>33</v>
      </c>
      <c r="J2341" s="0" t="s">
        <v>34</v>
      </c>
      <c r="K2341" s="0" t="s">
        <v>30</v>
      </c>
      <c r="L2341" s="0" t="s">
        <v>31</v>
      </c>
      <c r="M2341" s="0" t="s">
        <v>140</v>
      </c>
      <c r="N2341" s="0" t="n">
        <v>1310</v>
      </c>
      <c r="O2341" s="10" t="n">
        <v>0.723075964488089</v>
      </c>
      <c r="P2341" s="10" t="n">
        <v>0.955300528323278</v>
      </c>
      <c r="Q2341" s="0" t="str">
        <f aca="false">SUBSTITUTE(SUBSTITUTE($I2341,CHAR(61),""),CHAR(34),"")</f>
        <v>01-09</v>
      </c>
      <c r="R2341" s="0" t="str">
        <f aca="false">IF($D2341&lt;&gt;"","["&amp;$E2341&amp;"]"&amp;"|"&amp;$Q2341&amp;"|"&amp;$K2341&amp;"|"&amp;$G2341&amp;"|"&amp;IF($G2341="TX_CURR_SUBNAT.R","CY2022Q4",$M2341),"")</f>
        <v>[fiRkU6gEjLz]|01-09|Female|TX_CURR_SUBNAT.T_1|CY2023Q3</v>
      </c>
    </row>
    <row r="2342" customFormat="false" ht="15" hidden="false" customHeight="false" outlineLevel="0" collapsed="false">
      <c r="D2342" s="0" t="s">
        <v>135</v>
      </c>
      <c r="E2342" s="0" t="s">
        <v>136</v>
      </c>
      <c r="F2342" s="0" t="s">
        <v>137</v>
      </c>
      <c r="G2342" s="0" t="s">
        <v>146</v>
      </c>
      <c r="H2342" s="0" t="s">
        <v>147</v>
      </c>
      <c r="I2342" s="0" t="s">
        <v>36</v>
      </c>
      <c r="J2342" s="0" t="s">
        <v>37</v>
      </c>
      <c r="K2342" s="0" t="s">
        <v>30</v>
      </c>
      <c r="L2342" s="0" t="s">
        <v>31</v>
      </c>
      <c r="M2342" s="0" t="s">
        <v>140</v>
      </c>
      <c r="N2342" s="0" t="n">
        <v>574</v>
      </c>
      <c r="O2342" s="10" t="n">
        <v>0.0134740397334099</v>
      </c>
      <c r="P2342" s="10" t="n">
        <v>0.955300528323278</v>
      </c>
      <c r="Q2342" s="0" t="str">
        <f aca="false">SUBSTITUTE(SUBSTITUTE($I2342,CHAR(61),""),CHAR(34),"")</f>
        <v>10-14</v>
      </c>
      <c r="R2342" s="0" t="str">
        <f aca="false">IF($D2342&lt;&gt;"","["&amp;$E2342&amp;"]"&amp;"|"&amp;$Q2342&amp;"|"&amp;$K2342&amp;"|"&amp;$G2342&amp;"|"&amp;IF($G2342="TX_CURR_SUBNAT.R","CY2022Q4",$M2342),"")</f>
        <v>[fiRkU6gEjLz]|10-14|Female|TX_CURR_SUBNAT.T_1|CY2023Q3</v>
      </c>
    </row>
    <row r="2343" customFormat="false" ht="15" hidden="false" customHeight="false" outlineLevel="0" collapsed="false">
      <c r="D2343" s="0" t="s">
        <v>135</v>
      </c>
      <c r="E2343" s="0" t="s">
        <v>136</v>
      </c>
      <c r="F2343" s="0" t="s">
        <v>137</v>
      </c>
      <c r="G2343" s="0" t="s">
        <v>146</v>
      </c>
      <c r="H2343" s="0" t="s">
        <v>147</v>
      </c>
      <c r="I2343" s="0" t="s">
        <v>38</v>
      </c>
      <c r="J2343" s="0" t="s">
        <v>39</v>
      </c>
      <c r="K2343" s="0" t="s">
        <v>30</v>
      </c>
      <c r="L2343" s="0" t="s">
        <v>31</v>
      </c>
      <c r="M2343" s="0" t="s">
        <v>140</v>
      </c>
      <c r="N2343" s="0" t="n">
        <v>639</v>
      </c>
      <c r="O2343" s="10" t="n">
        <v>0.0946450477931648</v>
      </c>
      <c r="P2343" s="10" t="n">
        <v>0.955300528323278</v>
      </c>
      <c r="Q2343" s="0" t="str">
        <f aca="false">SUBSTITUTE(SUBSTITUTE($I2343,CHAR(61),""),CHAR(34),"")</f>
        <v>15-24</v>
      </c>
      <c r="R2343" s="0" t="str">
        <f aca="false">IF($D2343&lt;&gt;"","["&amp;$E2343&amp;"]"&amp;"|"&amp;$Q2343&amp;"|"&amp;$K2343&amp;"|"&amp;$G2343&amp;"|"&amp;IF($G2343="TX_CURR_SUBNAT.R","CY2022Q4",$M2343),"")</f>
        <v>[fiRkU6gEjLz]|15-24|Female|TX_CURR_SUBNAT.T_1|CY2023Q3</v>
      </c>
    </row>
    <row r="2344" customFormat="false" ht="15" hidden="false" customHeight="false" outlineLevel="0" collapsed="false">
      <c r="D2344" s="0" t="s">
        <v>135</v>
      </c>
      <c r="E2344" s="0" t="s">
        <v>136</v>
      </c>
      <c r="F2344" s="0" t="s">
        <v>137</v>
      </c>
      <c r="G2344" s="0" t="s">
        <v>146</v>
      </c>
      <c r="H2344" s="0" t="s">
        <v>147</v>
      </c>
      <c r="I2344" s="0" t="s">
        <v>41</v>
      </c>
      <c r="J2344" s="0" t="s">
        <v>42</v>
      </c>
      <c r="K2344" s="0" t="s">
        <v>30</v>
      </c>
      <c r="L2344" s="0" t="s">
        <v>31</v>
      </c>
      <c r="M2344" s="0" t="s">
        <v>140</v>
      </c>
      <c r="N2344" s="0" t="n">
        <v>1075</v>
      </c>
      <c r="O2344" s="10" t="n">
        <v>0.561376673635095</v>
      </c>
      <c r="P2344" s="10" t="n">
        <v>0.955300528323278</v>
      </c>
      <c r="Q2344" s="0" t="str">
        <f aca="false">SUBSTITUTE(SUBSTITUTE($I2344,CHAR(61),""),CHAR(34),"")</f>
        <v>25-34</v>
      </c>
      <c r="R2344" s="0" t="str">
        <f aca="false">IF($D2344&lt;&gt;"","["&amp;$E2344&amp;"]"&amp;"|"&amp;$Q2344&amp;"|"&amp;$K2344&amp;"|"&amp;$G2344&amp;"|"&amp;IF($G2344="TX_CURR_SUBNAT.R","CY2022Q4",$M2344),"")</f>
        <v>[fiRkU6gEjLz]|25-34|Female|TX_CURR_SUBNAT.T_1|CY2023Q3</v>
      </c>
    </row>
    <row r="2345" customFormat="false" ht="15" hidden="false" customHeight="false" outlineLevel="0" collapsed="false">
      <c r="D2345" s="0" t="s">
        <v>135</v>
      </c>
      <c r="E2345" s="0" t="s">
        <v>136</v>
      </c>
      <c r="F2345" s="0" t="s">
        <v>137</v>
      </c>
      <c r="G2345" s="0" t="s">
        <v>146</v>
      </c>
      <c r="H2345" s="0" t="s">
        <v>147</v>
      </c>
      <c r="I2345" s="0" t="s">
        <v>43</v>
      </c>
      <c r="J2345" s="0" t="s">
        <v>44</v>
      </c>
      <c r="K2345" s="0" t="s">
        <v>30</v>
      </c>
      <c r="L2345" s="0" t="s">
        <v>31</v>
      </c>
      <c r="M2345" s="0" t="s">
        <v>140</v>
      </c>
      <c r="N2345" s="0" t="n">
        <v>886</v>
      </c>
      <c r="O2345" s="10" t="n">
        <v>0.985400992445648</v>
      </c>
      <c r="P2345" s="10" t="n">
        <v>0.955300528323278</v>
      </c>
      <c r="Q2345" s="0" t="str">
        <f aca="false">SUBSTITUTE(SUBSTITUTE($I2345,CHAR(61),""),CHAR(34),"")</f>
        <v>35-49</v>
      </c>
      <c r="R2345" s="0" t="str">
        <f aca="false">IF($D2345&lt;&gt;"","["&amp;$E2345&amp;"]"&amp;"|"&amp;$Q2345&amp;"|"&amp;$K2345&amp;"|"&amp;$G2345&amp;"|"&amp;IF($G2345="TX_CURR_SUBNAT.R","CY2022Q4",$M2345),"")</f>
        <v>[fiRkU6gEjLz]|35-49|Female|TX_CURR_SUBNAT.T_1|CY2023Q3</v>
      </c>
    </row>
    <row r="2346" customFormat="false" ht="15" hidden="false" customHeight="false" outlineLevel="0" collapsed="false">
      <c r="D2346" s="0" t="s">
        <v>135</v>
      </c>
      <c r="E2346" s="0" t="s">
        <v>136</v>
      </c>
      <c r="F2346" s="0" t="s">
        <v>137</v>
      </c>
      <c r="G2346" s="0" t="s">
        <v>146</v>
      </c>
      <c r="H2346" s="0" t="s">
        <v>147</v>
      </c>
      <c r="I2346" s="0" t="s">
        <v>45</v>
      </c>
      <c r="J2346" s="0" t="s">
        <v>46</v>
      </c>
      <c r="K2346" s="0" t="s">
        <v>30</v>
      </c>
      <c r="L2346" s="0" t="s">
        <v>31</v>
      </c>
      <c r="M2346" s="0" t="s">
        <v>140</v>
      </c>
      <c r="N2346" s="0" t="n">
        <v>1569</v>
      </c>
      <c r="O2346" s="10" t="n">
        <v>0.439962832955644</v>
      </c>
      <c r="P2346" s="10" t="n">
        <v>0.955300528323278</v>
      </c>
      <c r="Q2346" s="0" t="str">
        <f aca="false">SUBSTITUTE(SUBSTITUTE($I2346,CHAR(61),""),CHAR(34),"")</f>
        <v>50+</v>
      </c>
      <c r="R2346" s="0" t="str">
        <f aca="false">IF($D2346&lt;&gt;"","["&amp;$E2346&amp;"]"&amp;"|"&amp;$Q2346&amp;"|"&amp;$K2346&amp;"|"&amp;$G2346&amp;"|"&amp;IF($G2346="TX_CURR_SUBNAT.R","CY2022Q4",$M2346),"")</f>
        <v>[fiRkU6gEjLz]|50+|Female|TX_CURR_SUBNAT.T_1|CY2023Q3</v>
      </c>
    </row>
    <row r="2347" customFormat="false" ht="15" hidden="false" customHeight="false" outlineLevel="0" collapsed="false">
      <c r="D2347" s="0" t="s">
        <v>135</v>
      </c>
      <c r="E2347" s="0" t="s">
        <v>136</v>
      </c>
      <c r="F2347" s="0" t="s">
        <v>137</v>
      </c>
      <c r="G2347" s="0" t="s">
        <v>146</v>
      </c>
      <c r="H2347" s="0" t="s">
        <v>147</v>
      </c>
      <c r="I2347" s="0" t="s">
        <v>28</v>
      </c>
      <c r="J2347" s="0" t="s">
        <v>29</v>
      </c>
      <c r="K2347" s="0" t="s">
        <v>48</v>
      </c>
      <c r="L2347" s="0" t="s">
        <v>49</v>
      </c>
      <c r="M2347" s="0" t="s">
        <v>140</v>
      </c>
      <c r="N2347" s="0" t="n">
        <v>1065</v>
      </c>
      <c r="O2347" s="10" t="n">
        <v>0.526530334958807</v>
      </c>
      <c r="P2347" s="10" t="n">
        <v>0.955300528323278</v>
      </c>
      <c r="Q2347" s="0" t="str">
        <f aca="false">SUBSTITUTE(SUBSTITUTE($I2347,CHAR(61),""),CHAR(34),"")</f>
        <v>&lt;01</v>
      </c>
      <c r="R2347" s="0" t="str">
        <f aca="false">IF($D2347&lt;&gt;"","["&amp;$E2347&amp;"]"&amp;"|"&amp;$Q2347&amp;"|"&amp;$K2347&amp;"|"&amp;$G2347&amp;"|"&amp;IF($G2347="TX_CURR_SUBNAT.R","CY2022Q4",$M2347),"")</f>
        <v>[fiRkU6gEjLz]|&lt;01|Male|TX_CURR_SUBNAT.T_1|CY2023Q3</v>
      </c>
    </row>
    <row r="2348" customFormat="false" ht="15" hidden="false" customHeight="false" outlineLevel="0" collapsed="false">
      <c r="D2348" s="0" t="s">
        <v>135</v>
      </c>
      <c r="E2348" s="0" t="s">
        <v>136</v>
      </c>
      <c r="F2348" s="0" t="s">
        <v>137</v>
      </c>
      <c r="G2348" s="0" t="s">
        <v>146</v>
      </c>
      <c r="H2348" s="0" t="s">
        <v>147</v>
      </c>
      <c r="I2348" s="0" t="s">
        <v>33</v>
      </c>
      <c r="J2348" s="0" t="s">
        <v>34</v>
      </c>
      <c r="K2348" s="0" t="s">
        <v>48</v>
      </c>
      <c r="L2348" s="0" t="s">
        <v>49</v>
      </c>
      <c r="M2348" s="0" t="s">
        <v>140</v>
      </c>
      <c r="N2348" s="0" t="n">
        <v>1133</v>
      </c>
      <c r="O2348" s="10" t="n">
        <v>0.0841509429737926</v>
      </c>
      <c r="P2348" s="10" t="n">
        <v>0.955300528323278</v>
      </c>
      <c r="Q2348" s="0" t="str">
        <f aca="false">SUBSTITUTE(SUBSTITUTE($I2348,CHAR(61),""),CHAR(34),"")</f>
        <v>01-09</v>
      </c>
      <c r="R2348" s="0" t="str">
        <f aca="false">IF($D2348&lt;&gt;"","["&amp;$E2348&amp;"]"&amp;"|"&amp;$Q2348&amp;"|"&amp;$K2348&amp;"|"&amp;$G2348&amp;"|"&amp;IF($G2348="TX_CURR_SUBNAT.R","CY2022Q4",$M2348),"")</f>
        <v>[fiRkU6gEjLz]|01-09|Male|TX_CURR_SUBNAT.T_1|CY2023Q3</v>
      </c>
    </row>
    <row r="2349" customFormat="false" ht="15" hidden="false" customHeight="false" outlineLevel="0" collapsed="false">
      <c r="D2349" s="0" t="s">
        <v>135</v>
      </c>
      <c r="E2349" s="0" t="s">
        <v>136</v>
      </c>
      <c r="F2349" s="0" t="s">
        <v>137</v>
      </c>
      <c r="G2349" s="0" t="s">
        <v>146</v>
      </c>
      <c r="H2349" s="0" t="s">
        <v>147</v>
      </c>
      <c r="I2349" s="0" t="s">
        <v>36</v>
      </c>
      <c r="J2349" s="0" t="s">
        <v>37</v>
      </c>
      <c r="K2349" s="0" t="s">
        <v>48</v>
      </c>
      <c r="L2349" s="0" t="s">
        <v>49</v>
      </c>
      <c r="M2349" s="0" t="s">
        <v>140</v>
      </c>
      <c r="N2349" s="0" t="n">
        <v>1987</v>
      </c>
      <c r="O2349" s="10" t="n">
        <v>0.47057037986815</v>
      </c>
      <c r="P2349" s="10" t="n">
        <v>0.955300528323278</v>
      </c>
      <c r="Q2349" s="0" t="str">
        <f aca="false">SUBSTITUTE(SUBSTITUTE($I2349,CHAR(61),""),CHAR(34),"")</f>
        <v>10-14</v>
      </c>
      <c r="R2349" s="0" t="str">
        <f aca="false">IF($D2349&lt;&gt;"","["&amp;$E2349&amp;"]"&amp;"|"&amp;$Q2349&amp;"|"&amp;$K2349&amp;"|"&amp;$G2349&amp;"|"&amp;IF($G2349="TX_CURR_SUBNAT.R","CY2022Q4",$M2349),"")</f>
        <v>[fiRkU6gEjLz]|10-14|Male|TX_CURR_SUBNAT.T_1|CY2023Q3</v>
      </c>
    </row>
    <row r="2350" customFormat="false" ht="15" hidden="false" customHeight="false" outlineLevel="0" collapsed="false">
      <c r="D2350" s="0" t="s">
        <v>135</v>
      </c>
      <c r="E2350" s="0" t="s">
        <v>136</v>
      </c>
      <c r="F2350" s="0" t="s">
        <v>137</v>
      </c>
      <c r="G2350" s="0" t="s">
        <v>146</v>
      </c>
      <c r="H2350" s="0" t="s">
        <v>147</v>
      </c>
      <c r="I2350" s="0" t="s">
        <v>38</v>
      </c>
      <c r="J2350" s="0" t="s">
        <v>39</v>
      </c>
      <c r="K2350" s="0" t="s">
        <v>48</v>
      </c>
      <c r="L2350" s="0" t="s">
        <v>49</v>
      </c>
      <c r="M2350" s="0" t="s">
        <v>140</v>
      </c>
      <c r="N2350" s="0" t="n">
        <v>968</v>
      </c>
      <c r="O2350" s="10" t="n">
        <v>0.228322485927492</v>
      </c>
      <c r="P2350" s="10" t="n">
        <v>0.955300528323278</v>
      </c>
      <c r="Q2350" s="0" t="str">
        <f aca="false">SUBSTITUTE(SUBSTITUTE($I2350,CHAR(61),""),CHAR(34),"")</f>
        <v>15-24</v>
      </c>
      <c r="R2350" s="0" t="str">
        <f aca="false">IF($D2350&lt;&gt;"","["&amp;$E2350&amp;"]"&amp;"|"&amp;$Q2350&amp;"|"&amp;$K2350&amp;"|"&amp;$G2350&amp;"|"&amp;IF($G2350="TX_CURR_SUBNAT.R","CY2022Q4",$M2350),"")</f>
        <v>[fiRkU6gEjLz]|15-24|Male|TX_CURR_SUBNAT.T_1|CY2023Q3</v>
      </c>
    </row>
    <row r="2351" customFormat="false" ht="15" hidden="false" customHeight="false" outlineLevel="0" collapsed="false">
      <c r="D2351" s="0" t="s">
        <v>135</v>
      </c>
      <c r="E2351" s="0" t="s">
        <v>136</v>
      </c>
      <c r="F2351" s="0" t="s">
        <v>137</v>
      </c>
      <c r="G2351" s="0" t="s">
        <v>146</v>
      </c>
      <c r="H2351" s="0" t="s">
        <v>147</v>
      </c>
      <c r="I2351" s="0" t="s">
        <v>41</v>
      </c>
      <c r="J2351" s="0" t="s">
        <v>42</v>
      </c>
      <c r="K2351" s="0" t="s">
        <v>48</v>
      </c>
      <c r="L2351" s="0" t="s">
        <v>49</v>
      </c>
      <c r="M2351" s="0" t="s">
        <v>140</v>
      </c>
      <c r="N2351" s="0" t="n">
        <v>724</v>
      </c>
      <c r="O2351" s="10" t="n">
        <v>0.0460781971924007</v>
      </c>
      <c r="P2351" s="10" t="n">
        <v>0.955300528323278</v>
      </c>
      <c r="Q2351" s="0" t="str">
        <f aca="false">SUBSTITUTE(SUBSTITUTE($I2351,CHAR(61),""),CHAR(34),"")</f>
        <v>25-34</v>
      </c>
      <c r="R2351" s="0" t="str">
        <f aca="false">IF($D2351&lt;&gt;"","["&amp;$E2351&amp;"]"&amp;"|"&amp;$Q2351&amp;"|"&amp;$K2351&amp;"|"&amp;$G2351&amp;"|"&amp;IF($G2351="TX_CURR_SUBNAT.R","CY2022Q4",$M2351),"")</f>
        <v>[fiRkU6gEjLz]|25-34|Male|TX_CURR_SUBNAT.T_1|CY2023Q3</v>
      </c>
    </row>
    <row r="2352" customFormat="false" ht="15" hidden="false" customHeight="false" outlineLevel="0" collapsed="false">
      <c r="D2352" s="0" t="s">
        <v>135</v>
      </c>
      <c r="E2352" s="0" t="s">
        <v>136</v>
      </c>
      <c r="F2352" s="0" t="s">
        <v>137</v>
      </c>
      <c r="G2352" s="0" t="s">
        <v>146</v>
      </c>
      <c r="H2352" s="0" t="s">
        <v>147</v>
      </c>
      <c r="I2352" s="0" t="s">
        <v>43</v>
      </c>
      <c r="J2352" s="0" t="s">
        <v>44</v>
      </c>
      <c r="K2352" s="0" t="s">
        <v>48</v>
      </c>
      <c r="L2352" s="0" t="s">
        <v>49</v>
      </c>
      <c r="M2352" s="0" t="s">
        <v>140</v>
      </c>
      <c r="N2352" s="0" t="n">
        <v>794</v>
      </c>
      <c r="O2352" s="10" t="n">
        <v>0.939322883728892</v>
      </c>
      <c r="P2352" s="10" t="n">
        <v>0.955300528323278</v>
      </c>
      <c r="Q2352" s="0" t="str">
        <f aca="false">SUBSTITUTE(SUBSTITUTE($I2352,CHAR(61),""),CHAR(34),"")</f>
        <v>35-49</v>
      </c>
      <c r="R2352" s="0" t="str">
        <f aca="false">IF($D2352&lt;&gt;"","["&amp;$E2352&amp;"]"&amp;"|"&amp;$Q2352&amp;"|"&amp;$K2352&amp;"|"&amp;$G2352&amp;"|"&amp;IF($G2352="TX_CURR_SUBNAT.R","CY2022Q4",$M2352),"")</f>
        <v>[fiRkU6gEjLz]|35-49|Male|TX_CURR_SUBNAT.T_1|CY2023Q3</v>
      </c>
    </row>
    <row r="2353" customFormat="false" ht="15" hidden="false" customHeight="false" outlineLevel="0" collapsed="false">
      <c r="D2353" s="0" t="s">
        <v>135</v>
      </c>
      <c r="E2353" s="0" t="s">
        <v>136</v>
      </c>
      <c r="F2353" s="0" t="s">
        <v>137</v>
      </c>
      <c r="G2353" s="0" t="s">
        <v>146</v>
      </c>
      <c r="H2353" s="0" t="s">
        <v>147</v>
      </c>
      <c r="I2353" s="0" t="s">
        <v>45</v>
      </c>
      <c r="J2353" s="0" t="s">
        <v>46</v>
      </c>
      <c r="K2353" s="0" t="s">
        <v>48</v>
      </c>
      <c r="L2353" s="0" t="s">
        <v>49</v>
      </c>
      <c r="M2353" s="0" t="s">
        <v>140</v>
      </c>
      <c r="N2353" s="0" t="n">
        <v>1369</v>
      </c>
      <c r="O2353" s="10" t="n">
        <v>0.840316457906738</v>
      </c>
      <c r="P2353" s="10" t="n">
        <v>0.955300528323278</v>
      </c>
      <c r="Q2353" s="0" t="str">
        <f aca="false">SUBSTITUTE(SUBSTITUTE($I2353,CHAR(61),""),CHAR(34),"")</f>
        <v>50+</v>
      </c>
      <c r="R2353" s="0" t="str">
        <f aca="false">IF($D2353&lt;&gt;"","["&amp;$E2353&amp;"]"&amp;"|"&amp;$Q2353&amp;"|"&amp;$K2353&amp;"|"&amp;$G2353&amp;"|"&amp;IF($G2353="TX_CURR_SUBNAT.R","CY2022Q4",$M2353),"")</f>
        <v>[fiRkU6gEjLz]|50+|Male|TX_CURR_SUBNAT.T_1|CY2023Q3</v>
      </c>
    </row>
    <row r="2354" customFormat="false" ht="15" hidden="false" customHeight="false" outlineLevel="0" collapsed="false">
      <c r="D2354" s="0" t="s">
        <v>23</v>
      </c>
      <c r="E2354" s="0" t="s">
        <v>24</v>
      </c>
      <c r="F2354" s="0" t="s">
        <v>25</v>
      </c>
      <c r="G2354" s="0" t="s">
        <v>148</v>
      </c>
      <c r="H2354" s="0" t="s">
        <v>149</v>
      </c>
      <c r="I2354" s="0" t="s">
        <v>28</v>
      </c>
      <c r="J2354" s="0" t="s">
        <v>29</v>
      </c>
      <c r="K2354" s="0" t="s">
        <v>30</v>
      </c>
      <c r="L2354" s="0" t="s">
        <v>31</v>
      </c>
      <c r="M2354" s="0" t="s">
        <v>140</v>
      </c>
      <c r="N2354" s="0" t="n">
        <v>1464</v>
      </c>
      <c r="O2354" s="10" t="n">
        <v>0.619892252376303</v>
      </c>
      <c r="P2354" s="10" t="n">
        <v>0.404358610976487</v>
      </c>
      <c r="Q2354" s="0" t="str">
        <f aca="false">SUBSTITUTE(SUBSTITUTE($I2354,CHAR(61),""),CHAR(34),"")</f>
        <v>&lt;01</v>
      </c>
      <c r="R2354" s="0" t="str">
        <f aca="false">IF($D2354&lt;&gt;"","["&amp;$E2354&amp;"]"&amp;"|"&amp;$Q2354&amp;"|"&amp;$K2354&amp;"|"&amp;$G2354&amp;"|"&amp;IF($G2354="TX_CURR_SUBNAT.R","CY2022Q4",$M2354),"")</f>
        <v>[GkIwZrXy1h2]|&lt;01|Female|DIAGNOSED_SUBNAT.T_1|CY2023Q3</v>
      </c>
    </row>
    <row r="2355" customFormat="false" ht="15" hidden="false" customHeight="false" outlineLevel="0" collapsed="false">
      <c r="D2355" s="0" t="s">
        <v>23</v>
      </c>
      <c r="E2355" s="0" t="s">
        <v>24</v>
      </c>
      <c r="F2355" s="0" t="s">
        <v>25</v>
      </c>
      <c r="G2355" s="0" t="s">
        <v>148</v>
      </c>
      <c r="H2355" s="0" t="s">
        <v>149</v>
      </c>
      <c r="I2355" s="0" t="s">
        <v>33</v>
      </c>
      <c r="J2355" s="0" t="s">
        <v>34</v>
      </c>
      <c r="K2355" s="0" t="s">
        <v>30</v>
      </c>
      <c r="L2355" s="0" t="s">
        <v>31</v>
      </c>
      <c r="M2355" s="0" t="s">
        <v>140</v>
      </c>
      <c r="N2355" s="0" t="n">
        <v>1939</v>
      </c>
      <c r="O2355" s="10" t="n">
        <v>0.0878415163606405</v>
      </c>
      <c r="P2355" s="10" t="n">
        <v>0.404358610976487</v>
      </c>
      <c r="Q2355" s="0" t="str">
        <f aca="false">SUBSTITUTE(SUBSTITUTE($I2355,CHAR(61),""),CHAR(34),"")</f>
        <v>01-09</v>
      </c>
      <c r="R2355" s="0" t="str">
        <f aca="false">IF($D2355&lt;&gt;"","["&amp;$E2355&amp;"]"&amp;"|"&amp;$Q2355&amp;"|"&amp;$K2355&amp;"|"&amp;$G2355&amp;"|"&amp;IF($G2355="TX_CURR_SUBNAT.R","CY2022Q4",$M2355),"")</f>
        <v>[GkIwZrXy1h2]|01-09|Female|DIAGNOSED_SUBNAT.T_1|CY2023Q3</v>
      </c>
    </row>
    <row r="2356" customFormat="false" ht="15" hidden="false" customHeight="false" outlineLevel="0" collapsed="false">
      <c r="D2356" s="0" t="s">
        <v>23</v>
      </c>
      <c r="E2356" s="0" t="s">
        <v>24</v>
      </c>
      <c r="F2356" s="0" t="s">
        <v>25</v>
      </c>
      <c r="G2356" s="0" t="s">
        <v>148</v>
      </c>
      <c r="H2356" s="0" t="s">
        <v>149</v>
      </c>
      <c r="I2356" s="0" t="s">
        <v>36</v>
      </c>
      <c r="J2356" s="0" t="s">
        <v>37</v>
      </c>
      <c r="K2356" s="0" t="s">
        <v>30</v>
      </c>
      <c r="L2356" s="0" t="s">
        <v>31</v>
      </c>
      <c r="M2356" s="0" t="s">
        <v>140</v>
      </c>
      <c r="N2356" s="0" t="n">
        <v>611</v>
      </c>
      <c r="O2356" s="10" t="n">
        <v>0.666006792336702</v>
      </c>
      <c r="P2356" s="10" t="n">
        <v>0.404358610976487</v>
      </c>
      <c r="Q2356" s="0" t="str">
        <f aca="false">SUBSTITUTE(SUBSTITUTE($I2356,CHAR(61),""),CHAR(34),"")</f>
        <v>10-14</v>
      </c>
      <c r="R2356" s="0" t="str">
        <f aca="false">IF($D2356&lt;&gt;"","["&amp;$E2356&amp;"]"&amp;"|"&amp;$Q2356&amp;"|"&amp;$K2356&amp;"|"&amp;$G2356&amp;"|"&amp;IF($G2356="TX_CURR_SUBNAT.R","CY2022Q4",$M2356),"")</f>
        <v>[GkIwZrXy1h2]|10-14|Female|DIAGNOSED_SUBNAT.T_1|CY2023Q3</v>
      </c>
    </row>
    <row r="2357" customFormat="false" ht="15" hidden="false" customHeight="false" outlineLevel="0" collapsed="false">
      <c r="D2357" s="0" t="s">
        <v>23</v>
      </c>
      <c r="E2357" s="0" t="s">
        <v>24</v>
      </c>
      <c r="F2357" s="0" t="s">
        <v>25</v>
      </c>
      <c r="G2357" s="0" t="s">
        <v>148</v>
      </c>
      <c r="H2357" s="0" t="s">
        <v>149</v>
      </c>
      <c r="I2357" s="0" t="s">
        <v>38</v>
      </c>
      <c r="J2357" s="0" t="s">
        <v>39</v>
      </c>
      <c r="K2357" s="0" t="s">
        <v>30</v>
      </c>
      <c r="L2357" s="0" t="s">
        <v>31</v>
      </c>
      <c r="M2357" s="0" t="s">
        <v>140</v>
      </c>
      <c r="N2357" s="0" t="n">
        <v>1627</v>
      </c>
      <c r="O2357" s="10" t="n">
        <v>0.195997119415551</v>
      </c>
      <c r="P2357" s="10" t="n">
        <v>0.404358610976487</v>
      </c>
      <c r="Q2357" s="0" t="str">
        <f aca="false">SUBSTITUTE(SUBSTITUTE($I2357,CHAR(61),""),CHAR(34),"")</f>
        <v>15-24</v>
      </c>
      <c r="R2357" s="0" t="str">
        <f aca="false">IF($D2357&lt;&gt;"","["&amp;$E2357&amp;"]"&amp;"|"&amp;$Q2357&amp;"|"&amp;$K2357&amp;"|"&amp;$G2357&amp;"|"&amp;IF($G2357="TX_CURR_SUBNAT.R","CY2022Q4",$M2357),"")</f>
        <v>[GkIwZrXy1h2]|15-24|Female|DIAGNOSED_SUBNAT.T_1|CY2023Q3</v>
      </c>
    </row>
    <row r="2358" customFormat="false" ht="15" hidden="false" customHeight="false" outlineLevel="0" collapsed="false">
      <c r="D2358" s="0" t="s">
        <v>23</v>
      </c>
      <c r="E2358" s="0" t="s">
        <v>24</v>
      </c>
      <c r="F2358" s="0" t="s">
        <v>25</v>
      </c>
      <c r="G2358" s="0" t="s">
        <v>148</v>
      </c>
      <c r="H2358" s="0" t="s">
        <v>149</v>
      </c>
      <c r="I2358" s="0" t="s">
        <v>41</v>
      </c>
      <c r="J2358" s="0" t="s">
        <v>42</v>
      </c>
      <c r="K2358" s="0" t="s">
        <v>30</v>
      </c>
      <c r="L2358" s="0" t="s">
        <v>31</v>
      </c>
      <c r="M2358" s="0" t="s">
        <v>140</v>
      </c>
      <c r="N2358" s="0" t="n">
        <v>1850</v>
      </c>
      <c r="O2358" s="10" t="n">
        <v>0.912322598742321</v>
      </c>
      <c r="P2358" s="10" t="n">
        <v>0.404358610976487</v>
      </c>
      <c r="Q2358" s="0" t="str">
        <f aca="false">SUBSTITUTE(SUBSTITUTE($I2358,CHAR(61),""),CHAR(34),"")</f>
        <v>25-34</v>
      </c>
      <c r="R2358" s="0" t="str">
        <f aca="false">IF($D2358&lt;&gt;"","["&amp;$E2358&amp;"]"&amp;"|"&amp;$Q2358&amp;"|"&amp;$K2358&amp;"|"&amp;$G2358&amp;"|"&amp;IF($G2358="TX_CURR_SUBNAT.R","CY2022Q4",$M2358),"")</f>
        <v>[GkIwZrXy1h2]|25-34|Female|DIAGNOSED_SUBNAT.T_1|CY2023Q3</v>
      </c>
    </row>
    <row r="2359" customFormat="false" ht="15" hidden="false" customHeight="false" outlineLevel="0" collapsed="false">
      <c r="D2359" s="0" t="s">
        <v>23</v>
      </c>
      <c r="E2359" s="0" t="s">
        <v>24</v>
      </c>
      <c r="F2359" s="0" t="s">
        <v>25</v>
      </c>
      <c r="G2359" s="0" t="s">
        <v>148</v>
      </c>
      <c r="H2359" s="0" t="s">
        <v>149</v>
      </c>
      <c r="I2359" s="0" t="s">
        <v>43</v>
      </c>
      <c r="J2359" s="0" t="s">
        <v>44</v>
      </c>
      <c r="K2359" s="0" t="s">
        <v>30</v>
      </c>
      <c r="L2359" s="0" t="s">
        <v>31</v>
      </c>
      <c r="M2359" s="0" t="s">
        <v>140</v>
      </c>
      <c r="N2359" s="0" t="n">
        <v>1359</v>
      </c>
      <c r="O2359" s="10" t="n">
        <v>0.13728156988509</v>
      </c>
      <c r="P2359" s="10" t="n">
        <v>0.404358610976487</v>
      </c>
      <c r="Q2359" s="0" t="str">
        <f aca="false">SUBSTITUTE(SUBSTITUTE($I2359,CHAR(61),""),CHAR(34),"")</f>
        <v>35-49</v>
      </c>
      <c r="R2359" s="0" t="str">
        <f aca="false">IF($D2359&lt;&gt;"","["&amp;$E2359&amp;"]"&amp;"|"&amp;$Q2359&amp;"|"&amp;$K2359&amp;"|"&amp;$G2359&amp;"|"&amp;IF($G2359="TX_CURR_SUBNAT.R","CY2022Q4",$M2359),"")</f>
        <v>[GkIwZrXy1h2]|35-49|Female|DIAGNOSED_SUBNAT.T_1|CY2023Q3</v>
      </c>
    </row>
    <row r="2360" customFormat="false" ht="15" hidden="false" customHeight="false" outlineLevel="0" collapsed="false">
      <c r="D2360" s="0" t="s">
        <v>23</v>
      </c>
      <c r="E2360" s="0" t="s">
        <v>24</v>
      </c>
      <c r="F2360" s="0" t="s">
        <v>25</v>
      </c>
      <c r="G2360" s="0" t="s">
        <v>148</v>
      </c>
      <c r="H2360" s="0" t="s">
        <v>149</v>
      </c>
      <c r="I2360" s="0" t="s">
        <v>45</v>
      </c>
      <c r="J2360" s="0" t="s">
        <v>46</v>
      </c>
      <c r="K2360" s="0" t="s">
        <v>30</v>
      </c>
      <c r="L2360" s="0" t="s">
        <v>31</v>
      </c>
      <c r="M2360" s="0" t="s">
        <v>140</v>
      </c>
      <c r="N2360" s="0" t="n">
        <v>674</v>
      </c>
      <c r="O2360" s="10" t="n">
        <v>0.224222827935591</v>
      </c>
      <c r="P2360" s="10" t="n">
        <v>0.404358610976487</v>
      </c>
      <c r="Q2360" s="0" t="str">
        <f aca="false">SUBSTITUTE(SUBSTITUTE($I2360,CHAR(61),""),CHAR(34),"")</f>
        <v>50+</v>
      </c>
      <c r="R2360" s="0" t="str">
        <f aca="false">IF($D2360&lt;&gt;"","["&amp;$E2360&amp;"]"&amp;"|"&amp;$Q2360&amp;"|"&amp;$K2360&amp;"|"&amp;$G2360&amp;"|"&amp;IF($G2360="TX_CURR_SUBNAT.R","CY2022Q4",$M2360),"")</f>
        <v>[GkIwZrXy1h2]|50+|Female|DIAGNOSED_SUBNAT.T_1|CY2023Q3</v>
      </c>
    </row>
    <row r="2361" customFormat="false" ht="15" hidden="false" customHeight="false" outlineLevel="0" collapsed="false">
      <c r="D2361" s="0" t="s">
        <v>23</v>
      </c>
      <c r="E2361" s="0" t="s">
        <v>24</v>
      </c>
      <c r="F2361" s="0" t="s">
        <v>25</v>
      </c>
      <c r="G2361" s="0" t="s">
        <v>148</v>
      </c>
      <c r="H2361" s="0" t="s">
        <v>149</v>
      </c>
      <c r="I2361" s="0" t="s">
        <v>28</v>
      </c>
      <c r="J2361" s="0" t="s">
        <v>29</v>
      </c>
      <c r="K2361" s="0" t="s">
        <v>48</v>
      </c>
      <c r="L2361" s="0" t="s">
        <v>49</v>
      </c>
      <c r="M2361" s="0" t="s">
        <v>140</v>
      </c>
      <c r="N2361" s="0" t="n">
        <v>1418</v>
      </c>
      <c r="O2361" s="10" t="n">
        <v>0.495223426492885</v>
      </c>
      <c r="P2361" s="10" t="n">
        <v>0.404358610976487</v>
      </c>
      <c r="Q2361" s="0" t="str">
        <f aca="false">SUBSTITUTE(SUBSTITUTE($I2361,CHAR(61),""),CHAR(34),"")</f>
        <v>&lt;01</v>
      </c>
      <c r="R2361" s="0" t="str">
        <f aca="false">IF($D2361&lt;&gt;"","["&amp;$E2361&amp;"]"&amp;"|"&amp;$Q2361&amp;"|"&amp;$K2361&amp;"|"&amp;$G2361&amp;"|"&amp;IF($G2361="TX_CURR_SUBNAT.R","CY2022Q4",$M2361),"")</f>
        <v>[GkIwZrXy1h2]|&lt;01|Male|DIAGNOSED_SUBNAT.T_1|CY2023Q3</v>
      </c>
    </row>
    <row r="2362" customFormat="false" ht="15" hidden="false" customHeight="false" outlineLevel="0" collapsed="false">
      <c r="D2362" s="0" t="s">
        <v>23</v>
      </c>
      <c r="E2362" s="0" t="s">
        <v>24</v>
      </c>
      <c r="F2362" s="0" t="s">
        <v>25</v>
      </c>
      <c r="G2362" s="0" t="s">
        <v>148</v>
      </c>
      <c r="H2362" s="0" t="s">
        <v>149</v>
      </c>
      <c r="I2362" s="0" t="s">
        <v>33</v>
      </c>
      <c r="J2362" s="0" t="s">
        <v>34</v>
      </c>
      <c r="K2362" s="0" t="s">
        <v>48</v>
      </c>
      <c r="L2362" s="0" t="s">
        <v>49</v>
      </c>
      <c r="M2362" s="0" t="s">
        <v>140</v>
      </c>
      <c r="N2362" s="0" t="n">
        <v>698</v>
      </c>
      <c r="O2362" s="10" t="n">
        <v>0.0151657063979656</v>
      </c>
      <c r="P2362" s="10" t="n">
        <v>0.404358610976487</v>
      </c>
      <c r="Q2362" s="0" t="str">
        <f aca="false">SUBSTITUTE(SUBSTITUTE($I2362,CHAR(61),""),CHAR(34),"")</f>
        <v>01-09</v>
      </c>
      <c r="R2362" s="0" t="str">
        <f aca="false">IF($D2362&lt;&gt;"","["&amp;$E2362&amp;"]"&amp;"|"&amp;$Q2362&amp;"|"&amp;$K2362&amp;"|"&amp;$G2362&amp;"|"&amp;IF($G2362="TX_CURR_SUBNAT.R","CY2022Q4",$M2362),"")</f>
        <v>[GkIwZrXy1h2]|01-09|Male|DIAGNOSED_SUBNAT.T_1|CY2023Q3</v>
      </c>
    </row>
    <row r="2363" customFormat="false" ht="15" hidden="false" customHeight="false" outlineLevel="0" collapsed="false">
      <c r="D2363" s="0" t="s">
        <v>23</v>
      </c>
      <c r="E2363" s="0" t="s">
        <v>24</v>
      </c>
      <c r="F2363" s="0" t="s">
        <v>25</v>
      </c>
      <c r="G2363" s="0" t="s">
        <v>148</v>
      </c>
      <c r="H2363" s="0" t="s">
        <v>149</v>
      </c>
      <c r="I2363" s="0" t="s">
        <v>36</v>
      </c>
      <c r="J2363" s="0" t="s">
        <v>37</v>
      </c>
      <c r="K2363" s="0" t="s">
        <v>48</v>
      </c>
      <c r="L2363" s="0" t="s">
        <v>49</v>
      </c>
      <c r="M2363" s="0" t="s">
        <v>140</v>
      </c>
      <c r="N2363" s="0" t="n">
        <v>875</v>
      </c>
      <c r="O2363" s="10" t="n">
        <v>0.390683142701164</v>
      </c>
      <c r="P2363" s="10" t="n">
        <v>0.404358610976487</v>
      </c>
      <c r="Q2363" s="0" t="str">
        <f aca="false">SUBSTITUTE(SUBSTITUTE($I2363,CHAR(61),""),CHAR(34),"")</f>
        <v>10-14</v>
      </c>
      <c r="R2363" s="0" t="str">
        <f aca="false">IF($D2363&lt;&gt;"","["&amp;$E2363&amp;"]"&amp;"|"&amp;$Q2363&amp;"|"&amp;$K2363&amp;"|"&amp;$G2363&amp;"|"&amp;IF($G2363="TX_CURR_SUBNAT.R","CY2022Q4",$M2363),"")</f>
        <v>[GkIwZrXy1h2]|10-14|Male|DIAGNOSED_SUBNAT.T_1|CY2023Q3</v>
      </c>
    </row>
    <row r="2364" customFormat="false" ht="15" hidden="false" customHeight="false" outlineLevel="0" collapsed="false">
      <c r="D2364" s="0" t="s">
        <v>23</v>
      </c>
      <c r="E2364" s="0" t="s">
        <v>24</v>
      </c>
      <c r="F2364" s="0" t="s">
        <v>25</v>
      </c>
      <c r="G2364" s="0" t="s">
        <v>148</v>
      </c>
      <c r="H2364" s="0" t="s">
        <v>149</v>
      </c>
      <c r="I2364" s="0" t="s">
        <v>38</v>
      </c>
      <c r="J2364" s="0" t="s">
        <v>39</v>
      </c>
      <c r="K2364" s="0" t="s">
        <v>48</v>
      </c>
      <c r="L2364" s="0" t="s">
        <v>49</v>
      </c>
      <c r="M2364" s="0" t="s">
        <v>140</v>
      </c>
      <c r="N2364" s="0" t="n">
        <v>1354</v>
      </c>
      <c r="O2364" s="10" t="n">
        <v>0.203521554125473</v>
      </c>
      <c r="P2364" s="10" t="n">
        <v>0.404358610976487</v>
      </c>
      <c r="Q2364" s="0" t="str">
        <f aca="false">SUBSTITUTE(SUBSTITUTE($I2364,CHAR(61),""),CHAR(34),"")</f>
        <v>15-24</v>
      </c>
      <c r="R2364" s="0" t="str">
        <f aca="false">IF($D2364&lt;&gt;"","["&amp;$E2364&amp;"]"&amp;"|"&amp;$Q2364&amp;"|"&amp;$K2364&amp;"|"&amp;$G2364&amp;"|"&amp;IF($G2364="TX_CURR_SUBNAT.R","CY2022Q4",$M2364),"")</f>
        <v>[GkIwZrXy1h2]|15-24|Male|DIAGNOSED_SUBNAT.T_1|CY2023Q3</v>
      </c>
    </row>
    <row r="2365" customFormat="false" ht="15" hidden="false" customHeight="false" outlineLevel="0" collapsed="false">
      <c r="D2365" s="0" t="s">
        <v>23</v>
      </c>
      <c r="E2365" s="0" t="s">
        <v>24</v>
      </c>
      <c r="F2365" s="0" t="s">
        <v>25</v>
      </c>
      <c r="G2365" s="0" t="s">
        <v>148</v>
      </c>
      <c r="H2365" s="0" t="s">
        <v>149</v>
      </c>
      <c r="I2365" s="0" t="s">
        <v>41</v>
      </c>
      <c r="J2365" s="0" t="s">
        <v>42</v>
      </c>
      <c r="K2365" s="0" t="s">
        <v>48</v>
      </c>
      <c r="L2365" s="0" t="s">
        <v>49</v>
      </c>
      <c r="M2365" s="0" t="s">
        <v>140</v>
      </c>
      <c r="N2365" s="0" t="n">
        <v>657</v>
      </c>
      <c r="O2365" s="10" t="n">
        <v>0.346139313420281</v>
      </c>
      <c r="P2365" s="10" t="n">
        <v>0.404358610976487</v>
      </c>
      <c r="Q2365" s="0" t="str">
        <f aca="false">SUBSTITUTE(SUBSTITUTE($I2365,CHAR(61),""),CHAR(34),"")</f>
        <v>25-34</v>
      </c>
      <c r="R2365" s="0" t="str">
        <f aca="false">IF($D2365&lt;&gt;"","["&amp;$E2365&amp;"]"&amp;"|"&amp;$Q2365&amp;"|"&amp;$K2365&amp;"|"&amp;$G2365&amp;"|"&amp;IF($G2365="TX_CURR_SUBNAT.R","CY2022Q4",$M2365),"")</f>
        <v>[GkIwZrXy1h2]|25-34|Male|DIAGNOSED_SUBNAT.T_1|CY2023Q3</v>
      </c>
    </row>
    <row r="2366" customFormat="false" ht="15" hidden="false" customHeight="false" outlineLevel="0" collapsed="false">
      <c r="D2366" s="0" t="s">
        <v>23</v>
      </c>
      <c r="E2366" s="0" t="s">
        <v>24</v>
      </c>
      <c r="F2366" s="0" t="s">
        <v>25</v>
      </c>
      <c r="G2366" s="0" t="s">
        <v>148</v>
      </c>
      <c r="H2366" s="0" t="s">
        <v>149</v>
      </c>
      <c r="I2366" s="0" t="s">
        <v>43</v>
      </c>
      <c r="J2366" s="0" t="s">
        <v>44</v>
      </c>
      <c r="K2366" s="0" t="s">
        <v>48</v>
      </c>
      <c r="L2366" s="0" t="s">
        <v>49</v>
      </c>
      <c r="M2366" s="0" t="s">
        <v>140</v>
      </c>
      <c r="N2366" s="0" t="n">
        <v>748</v>
      </c>
      <c r="O2366" s="10" t="n">
        <v>0.450813964707777</v>
      </c>
      <c r="P2366" s="10" t="n">
        <v>0.404358610976487</v>
      </c>
      <c r="Q2366" s="0" t="str">
        <f aca="false">SUBSTITUTE(SUBSTITUTE($I2366,CHAR(61),""),CHAR(34),"")</f>
        <v>35-49</v>
      </c>
      <c r="R2366" s="0" t="str">
        <f aca="false">IF($D2366&lt;&gt;"","["&amp;$E2366&amp;"]"&amp;"|"&amp;$Q2366&amp;"|"&amp;$K2366&amp;"|"&amp;$G2366&amp;"|"&amp;IF($G2366="TX_CURR_SUBNAT.R","CY2022Q4",$M2366),"")</f>
        <v>[GkIwZrXy1h2]|35-49|Male|DIAGNOSED_SUBNAT.T_1|CY2023Q3</v>
      </c>
    </row>
    <row r="2367" customFormat="false" ht="15" hidden="false" customHeight="false" outlineLevel="0" collapsed="false">
      <c r="D2367" s="0" t="s">
        <v>23</v>
      </c>
      <c r="E2367" s="0" t="s">
        <v>24</v>
      </c>
      <c r="F2367" s="0" t="s">
        <v>25</v>
      </c>
      <c r="G2367" s="0" t="s">
        <v>148</v>
      </c>
      <c r="H2367" s="0" t="s">
        <v>149</v>
      </c>
      <c r="I2367" s="0" t="s">
        <v>45</v>
      </c>
      <c r="J2367" s="0" t="s">
        <v>46</v>
      </c>
      <c r="K2367" s="0" t="s">
        <v>48</v>
      </c>
      <c r="L2367" s="0" t="s">
        <v>49</v>
      </c>
      <c r="M2367" s="0" t="s">
        <v>140</v>
      </c>
      <c r="N2367" s="0" t="n">
        <v>1089</v>
      </c>
      <c r="O2367" s="10" t="n">
        <v>0.83808970102109</v>
      </c>
      <c r="P2367" s="10" t="n">
        <v>0.404358610976487</v>
      </c>
      <c r="Q2367" s="0" t="str">
        <f aca="false">SUBSTITUTE(SUBSTITUTE($I2367,CHAR(61),""),CHAR(34),"")</f>
        <v>50+</v>
      </c>
      <c r="R2367" s="0" t="str">
        <f aca="false">IF($D2367&lt;&gt;"","["&amp;$E2367&amp;"]"&amp;"|"&amp;$Q2367&amp;"|"&amp;$K2367&amp;"|"&amp;$G2367&amp;"|"&amp;IF($G2367="TX_CURR_SUBNAT.R","CY2022Q4",$M2367),"")</f>
        <v>[GkIwZrXy1h2]|50+|Male|DIAGNOSED_SUBNAT.T_1|CY2023Q3</v>
      </c>
    </row>
    <row r="2368" customFormat="false" ht="15" hidden="false" customHeight="false" outlineLevel="0" collapsed="false">
      <c r="D2368" s="0" t="s">
        <v>53</v>
      </c>
      <c r="E2368" s="0" t="s">
        <v>54</v>
      </c>
      <c r="F2368" s="0" t="s">
        <v>55</v>
      </c>
      <c r="G2368" s="0" t="s">
        <v>148</v>
      </c>
      <c r="H2368" s="0" t="s">
        <v>149</v>
      </c>
      <c r="I2368" s="0" t="s">
        <v>28</v>
      </c>
      <c r="J2368" s="0" t="s">
        <v>29</v>
      </c>
      <c r="K2368" s="0" t="s">
        <v>30</v>
      </c>
      <c r="L2368" s="0" t="s">
        <v>31</v>
      </c>
      <c r="M2368" s="0" t="s">
        <v>140</v>
      </c>
      <c r="N2368" s="0" t="n">
        <v>1121</v>
      </c>
      <c r="O2368" s="10" t="n">
        <v>0.283835685346276</v>
      </c>
      <c r="P2368" s="10" t="n">
        <v>0.616392469964921</v>
      </c>
      <c r="Q2368" s="0" t="str">
        <f aca="false">SUBSTITUTE(SUBSTITUTE($I2368,CHAR(61),""),CHAR(34),"")</f>
        <v>&lt;01</v>
      </c>
      <c r="R2368" s="0" t="str">
        <f aca="false">IF($D2368&lt;&gt;"","["&amp;$E2368&amp;"]"&amp;"|"&amp;$Q2368&amp;"|"&amp;$K2368&amp;"|"&amp;$G2368&amp;"|"&amp;IF($G2368="TX_CURR_SUBNAT.R","CY2022Q4",$M2368),"")</f>
        <v>[zphK9WV8JB4]|&lt;01|Female|DIAGNOSED_SUBNAT.T_1|CY2023Q3</v>
      </c>
    </row>
    <row r="2369" customFormat="false" ht="15" hidden="false" customHeight="false" outlineLevel="0" collapsed="false">
      <c r="D2369" s="0" t="s">
        <v>53</v>
      </c>
      <c r="E2369" s="0" t="s">
        <v>54</v>
      </c>
      <c r="F2369" s="0" t="s">
        <v>55</v>
      </c>
      <c r="G2369" s="0" t="s">
        <v>148</v>
      </c>
      <c r="H2369" s="0" t="s">
        <v>149</v>
      </c>
      <c r="I2369" s="0" t="s">
        <v>33</v>
      </c>
      <c r="J2369" s="0" t="s">
        <v>34</v>
      </c>
      <c r="K2369" s="0" t="s">
        <v>30</v>
      </c>
      <c r="L2369" s="0" t="s">
        <v>31</v>
      </c>
      <c r="M2369" s="0" t="s">
        <v>140</v>
      </c>
      <c r="N2369" s="0" t="n">
        <v>583</v>
      </c>
      <c r="O2369" s="10" t="n">
        <v>0.853404311696067</v>
      </c>
      <c r="P2369" s="10" t="n">
        <v>0.616392469964921</v>
      </c>
      <c r="Q2369" s="0" t="str">
        <f aca="false">SUBSTITUTE(SUBSTITUTE($I2369,CHAR(61),""),CHAR(34),"")</f>
        <v>01-09</v>
      </c>
      <c r="R2369" s="0" t="str">
        <f aca="false">IF($D2369&lt;&gt;"","["&amp;$E2369&amp;"]"&amp;"|"&amp;$Q2369&amp;"|"&amp;$K2369&amp;"|"&amp;$G2369&amp;"|"&amp;IF($G2369="TX_CURR_SUBNAT.R","CY2022Q4",$M2369),"")</f>
        <v>[zphK9WV8JB4]|01-09|Female|DIAGNOSED_SUBNAT.T_1|CY2023Q3</v>
      </c>
    </row>
    <row r="2370" customFormat="false" ht="15" hidden="false" customHeight="false" outlineLevel="0" collapsed="false">
      <c r="D2370" s="0" t="s">
        <v>53</v>
      </c>
      <c r="E2370" s="0" t="s">
        <v>54</v>
      </c>
      <c r="F2370" s="0" t="s">
        <v>55</v>
      </c>
      <c r="G2370" s="0" t="s">
        <v>148</v>
      </c>
      <c r="H2370" s="0" t="s">
        <v>149</v>
      </c>
      <c r="I2370" s="0" t="s">
        <v>36</v>
      </c>
      <c r="J2370" s="0" t="s">
        <v>37</v>
      </c>
      <c r="K2370" s="0" t="s">
        <v>30</v>
      </c>
      <c r="L2370" s="0" t="s">
        <v>31</v>
      </c>
      <c r="M2370" s="0" t="s">
        <v>140</v>
      </c>
      <c r="N2370" s="0" t="n">
        <v>1364</v>
      </c>
      <c r="O2370" s="10" t="n">
        <v>0.142690051579848</v>
      </c>
      <c r="P2370" s="10" t="n">
        <v>0.616392469964921</v>
      </c>
      <c r="Q2370" s="0" t="str">
        <f aca="false">SUBSTITUTE(SUBSTITUTE($I2370,CHAR(61),""),CHAR(34),"")</f>
        <v>10-14</v>
      </c>
      <c r="R2370" s="0" t="str">
        <f aca="false">IF($D2370&lt;&gt;"","["&amp;$E2370&amp;"]"&amp;"|"&amp;$Q2370&amp;"|"&amp;$K2370&amp;"|"&amp;$G2370&amp;"|"&amp;IF($G2370="TX_CURR_SUBNAT.R","CY2022Q4",$M2370),"")</f>
        <v>[zphK9WV8JB4]|10-14|Female|DIAGNOSED_SUBNAT.T_1|CY2023Q3</v>
      </c>
    </row>
    <row r="2371" customFormat="false" ht="15" hidden="false" customHeight="false" outlineLevel="0" collapsed="false">
      <c r="D2371" s="0" t="s">
        <v>53</v>
      </c>
      <c r="E2371" s="0" t="s">
        <v>54</v>
      </c>
      <c r="F2371" s="0" t="s">
        <v>55</v>
      </c>
      <c r="G2371" s="0" t="s">
        <v>148</v>
      </c>
      <c r="H2371" s="0" t="s">
        <v>149</v>
      </c>
      <c r="I2371" s="0" t="s">
        <v>38</v>
      </c>
      <c r="J2371" s="0" t="s">
        <v>39</v>
      </c>
      <c r="K2371" s="0" t="s">
        <v>30</v>
      </c>
      <c r="L2371" s="0" t="s">
        <v>31</v>
      </c>
      <c r="M2371" s="0" t="s">
        <v>140</v>
      </c>
      <c r="N2371" s="0" t="n">
        <v>1007</v>
      </c>
      <c r="O2371" s="10" t="n">
        <v>0.0473674156237394</v>
      </c>
      <c r="P2371" s="10" t="n">
        <v>0.616392469964921</v>
      </c>
      <c r="Q2371" s="0" t="str">
        <f aca="false">SUBSTITUTE(SUBSTITUTE($I2371,CHAR(61),""),CHAR(34),"")</f>
        <v>15-24</v>
      </c>
      <c r="R2371" s="0" t="str">
        <f aca="false">IF($D2371&lt;&gt;"","["&amp;$E2371&amp;"]"&amp;"|"&amp;$Q2371&amp;"|"&amp;$K2371&amp;"|"&amp;$G2371&amp;"|"&amp;IF($G2371="TX_CURR_SUBNAT.R","CY2022Q4",$M2371),"")</f>
        <v>[zphK9WV8JB4]|15-24|Female|DIAGNOSED_SUBNAT.T_1|CY2023Q3</v>
      </c>
    </row>
    <row r="2372" customFormat="false" ht="15" hidden="false" customHeight="false" outlineLevel="0" collapsed="false">
      <c r="D2372" s="0" t="s">
        <v>53</v>
      </c>
      <c r="E2372" s="0" t="s">
        <v>54</v>
      </c>
      <c r="F2372" s="0" t="s">
        <v>55</v>
      </c>
      <c r="G2372" s="0" t="s">
        <v>148</v>
      </c>
      <c r="H2372" s="0" t="s">
        <v>149</v>
      </c>
      <c r="I2372" s="0" t="s">
        <v>41</v>
      </c>
      <c r="J2372" s="0" t="s">
        <v>42</v>
      </c>
      <c r="K2372" s="0" t="s">
        <v>30</v>
      </c>
      <c r="L2372" s="0" t="s">
        <v>31</v>
      </c>
      <c r="M2372" s="0" t="s">
        <v>140</v>
      </c>
      <c r="N2372" s="0" t="n">
        <v>989</v>
      </c>
      <c r="O2372" s="10" t="n">
        <v>0.93694560136646</v>
      </c>
      <c r="P2372" s="10" t="n">
        <v>0.616392469964921</v>
      </c>
      <c r="Q2372" s="0" t="str">
        <f aca="false">SUBSTITUTE(SUBSTITUTE($I2372,CHAR(61),""),CHAR(34),"")</f>
        <v>25-34</v>
      </c>
      <c r="R2372" s="0" t="str">
        <f aca="false">IF($D2372&lt;&gt;"","["&amp;$E2372&amp;"]"&amp;"|"&amp;$Q2372&amp;"|"&amp;$K2372&amp;"|"&amp;$G2372&amp;"|"&amp;IF($G2372="TX_CURR_SUBNAT.R","CY2022Q4",$M2372),"")</f>
        <v>[zphK9WV8JB4]|25-34|Female|DIAGNOSED_SUBNAT.T_1|CY2023Q3</v>
      </c>
    </row>
    <row r="2373" customFormat="false" ht="15" hidden="false" customHeight="false" outlineLevel="0" collapsed="false">
      <c r="D2373" s="0" t="s">
        <v>53</v>
      </c>
      <c r="E2373" s="0" t="s">
        <v>54</v>
      </c>
      <c r="F2373" s="0" t="s">
        <v>55</v>
      </c>
      <c r="G2373" s="0" t="s">
        <v>148</v>
      </c>
      <c r="H2373" s="0" t="s">
        <v>149</v>
      </c>
      <c r="I2373" s="0" t="s">
        <v>43</v>
      </c>
      <c r="J2373" s="0" t="s">
        <v>44</v>
      </c>
      <c r="K2373" s="0" t="s">
        <v>30</v>
      </c>
      <c r="L2373" s="0" t="s">
        <v>31</v>
      </c>
      <c r="M2373" s="0" t="s">
        <v>140</v>
      </c>
      <c r="N2373" s="0" t="n">
        <v>1645</v>
      </c>
      <c r="O2373" s="10" t="n">
        <v>0.414434468839318</v>
      </c>
      <c r="P2373" s="10" t="n">
        <v>0.616392469964921</v>
      </c>
      <c r="Q2373" s="0" t="str">
        <f aca="false">SUBSTITUTE(SUBSTITUTE($I2373,CHAR(61),""),CHAR(34),"")</f>
        <v>35-49</v>
      </c>
      <c r="R2373" s="0" t="str">
        <f aca="false">IF($D2373&lt;&gt;"","["&amp;$E2373&amp;"]"&amp;"|"&amp;$Q2373&amp;"|"&amp;$K2373&amp;"|"&amp;$G2373&amp;"|"&amp;IF($G2373="TX_CURR_SUBNAT.R","CY2022Q4",$M2373),"")</f>
        <v>[zphK9WV8JB4]|35-49|Female|DIAGNOSED_SUBNAT.T_1|CY2023Q3</v>
      </c>
    </row>
    <row r="2374" customFormat="false" ht="15" hidden="false" customHeight="false" outlineLevel="0" collapsed="false">
      <c r="D2374" s="0" t="s">
        <v>53</v>
      </c>
      <c r="E2374" s="0" t="s">
        <v>54</v>
      </c>
      <c r="F2374" s="0" t="s">
        <v>55</v>
      </c>
      <c r="G2374" s="0" t="s">
        <v>148</v>
      </c>
      <c r="H2374" s="0" t="s">
        <v>149</v>
      </c>
      <c r="I2374" s="0" t="s">
        <v>45</v>
      </c>
      <c r="J2374" s="0" t="s">
        <v>46</v>
      </c>
      <c r="K2374" s="0" t="s">
        <v>30</v>
      </c>
      <c r="L2374" s="0" t="s">
        <v>31</v>
      </c>
      <c r="M2374" s="0" t="s">
        <v>140</v>
      </c>
      <c r="N2374" s="0" t="n">
        <v>1605</v>
      </c>
      <c r="O2374" s="10" t="n">
        <v>0.350759690627456</v>
      </c>
      <c r="P2374" s="10" t="n">
        <v>0.616392469964921</v>
      </c>
      <c r="Q2374" s="0" t="str">
        <f aca="false">SUBSTITUTE(SUBSTITUTE($I2374,CHAR(61),""),CHAR(34),"")</f>
        <v>50+</v>
      </c>
      <c r="R2374" s="0" t="str">
        <f aca="false">IF($D2374&lt;&gt;"","["&amp;$E2374&amp;"]"&amp;"|"&amp;$Q2374&amp;"|"&amp;$K2374&amp;"|"&amp;$G2374&amp;"|"&amp;IF($G2374="TX_CURR_SUBNAT.R","CY2022Q4",$M2374),"")</f>
        <v>[zphK9WV8JB4]|50+|Female|DIAGNOSED_SUBNAT.T_1|CY2023Q3</v>
      </c>
    </row>
    <row r="2375" customFormat="false" ht="15" hidden="false" customHeight="false" outlineLevel="0" collapsed="false">
      <c r="D2375" s="0" t="s">
        <v>53</v>
      </c>
      <c r="E2375" s="0" t="s">
        <v>54</v>
      </c>
      <c r="F2375" s="0" t="s">
        <v>55</v>
      </c>
      <c r="G2375" s="0" t="s">
        <v>148</v>
      </c>
      <c r="H2375" s="0" t="s">
        <v>149</v>
      </c>
      <c r="I2375" s="0" t="s">
        <v>28</v>
      </c>
      <c r="J2375" s="0" t="s">
        <v>29</v>
      </c>
      <c r="K2375" s="0" t="s">
        <v>48</v>
      </c>
      <c r="L2375" s="0" t="s">
        <v>49</v>
      </c>
      <c r="M2375" s="0" t="s">
        <v>140</v>
      </c>
      <c r="N2375" s="0" t="n">
        <v>1295</v>
      </c>
      <c r="O2375" s="10" t="n">
        <v>0.254984030034393</v>
      </c>
      <c r="P2375" s="10" t="n">
        <v>0.616392469964921</v>
      </c>
      <c r="Q2375" s="0" t="str">
        <f aca="false">SUBSTITUTE(SUBSTITUTE($I2375,CHAR(61),""),CHAR(34),"")</f>
        <v>&lt;01</v>
      </c>
      <c r="R2375" s="0" t="str">
        <f aca="false">IF($D2375&lt;&gt;"","["&amp;$E2375&amp;"]"&amp;"|"&amp;$Q2375&amp;"|"&amp;$K2375&amp;"|"&amp;$G2375&amp;"|"&amp;IF($G2375="TX_CURR_SUBNAT.R","CY2022Q4",$M2375),"")</f>
        <v>[zphK9WV8JB4]|&lt;01|Male|DIAGNOSED_SUBNAT.T_1|CY2023Q3</v>
      </c>
    </row>
    <row r="2376" customFormat="false" ht="15" hidden="false" customHeight="false" outlineLevel="0" collapsed="false">
      <c r="D2376" s="0" t="s">
        <v>53</v>
      </c>
      <c r="E2376" s="0" t="s">
        <v>54</v>
      </c>
      <c r="F2376" s="0" t="s">
        <v>55</v>
      </c>
      <c r="G2376" s="0" t="s">
        <v>148</v>
      </c>
      <c r="H2376" s="0" t="s">
        <v>149</v>
      </c>
      <c r="I2376" s="0" t="s">
        <v>33</v>
      </c>
      <c r="J2376" s="0" t="s">
        <v>34</v>
      </c>
      <c r="K2376" s="0" t="s">
        <v>48</v>
      </c>
      <c r="L2376" s="0" t="s">
        <v>49</v>
      </c>
      <c r="M2376" s="0" t="s">
        <v>140</v>
      </c>
      <c r="N2376" s="0" t="n">
        <v>1930</v>
      </c>
      <c r="O2376" s="10" t="n">
        <v>0.401945954654366</v>
      </c>
      <c r="P2376" s="10" t="n">
        <v>0.616392469964921</v>
      </c>
      <c r="Q2376" s="0" t="str">
        <f aca="false">SUBSTITUTE(SUBSTITUTE($I2376,CHAR(61),""),CHAR(34),"")</f>
        <v>01-09</v>
      </c>
      <c r="R2376" s="0" t="str">
        <f aca="false">IF($D2376&lt;&gt;"","["&amp;$E2376&amp;"]"&amp;"|"&amp;$Q2376&amp;"|"&amp;$K2376&amp;"|"&amp;$G2376&amp;"|"&amp;IF($G2376="TX_CURR_SUBNAT.R","CY2022Q4",$M2376),"")</f>
        <v>[zphK9WV8JB4]|01-09|Male|DIAGNOSED_SUBNAT.T_1|CY2023Q3</v>
      </c>
    </row>
    <row r="2377" customFormat="false" ht="15" hidden="false" customHeight="false" outlineLevel="0" collapsed="false">
      <c r="D2377" s="0" t="s">
        <v>53</v>
      </c>
      <c r="E2377" s="0" t="s">
        <v>54</v>
      </c>
      <c r="F2377" s="0" t="s">
        <v>55</v>
      </c>
      <c r="G2377" s="0" t="s">
        <v>148</v>
      </c>
      <c r="H2377" s="0" t="s">
        <v>149</v>
      </c>
      <c r="I2377" s="0" t="s">
        <v>36</v>
      </c>
      <c r="J2377" s="0" t="s">
        <v>37</v>
      </c>
      <c r="K2377" s="0" t="s">
        <v>48</v>
      </c>
      <c r="L2377" s="0" t="s">
        <v>49</v>
      </c>
      <c r="M2377" s="0" t="s">
        <v>140</v>
      </c>
      <c r="N2377" s="0" t="n">
        <v>1085</v>
      </c>
      <c r="O2377" s="10" t="n">
        <v>0.0963737359270453</v>
      </c>
      <c r="P2377" s="10" t="n">
        <v>0.616392469964921</v>
      </c>
      <c r="Q2377" s="0" t="str">
        <f aca="false">SUBSTITUTE(SUBSTITUTE($I2377,CHAR(61),""),CHAR(34),"")</f>
        <v>10-14</v>
      </c>
      <c r="R2377" s="0" t="str">
        <f aca="false">IF($D2377&lt;&gt;"","["&amp;$E2377&amp;"]"&amp;"|"&amp;$Q2377&amp;"|"&amp;$K2377&amp;"|"&amp;$G2377&amp;"|"&amp;IF($G2377="TX_CURR_SUBNAT.R","CY2022Q4",$M2377),"")</f>
        <v>[zphK9WV8JB4]|10-14|Male|DIAGNOSED_SUBNAT.T_1|CY2023Q3</v>
      </c>
    </row>
    <row r="2378" customFormat="false" ht="15" hidden="false" customHeight="false" outlineLevel="0" collapsed="false">
      <c r="D2378" s="0" t="s">
        <v>53</v>
      </c>
      <c r="E2378" s="0" t="s">
        <v>54</v>
      </c>
      <c r="F2378" s="0" t="s">
        <v>55</v>
      </c>
      <c r="G2378" s="0" t="s">
        <v>148</v>
      </c>
      <c r="H2378" s="0" t="s">
        <v>149</v>
      </c>
      <c r="I2378" s="0" t="s">
        <v>38</v>
      </c>
      <c r="J2378" s="0" t="s">
        <v>39</v>
      </c>
      <c r="K2378" s="0" t="s">
        <v>48</v>
      </c>
      <c r="L2378" s="0" t="s">
        <v>49</v>
      </c>
      <c r="M2378" s="0" t="s">
        <v>140</v>
      </c>
      <c r="N2378" s="0" t="n">
        <v>618</v>
      </c>
      <c r="O2378" s="10" t="n">
        <v>0.935639019357041</v>
      </c>
      <c r="P2378" s="10" t="n">
        <v>0.616392469964921</v>
      </c>
      <c r="Q2378" s="0" t="str">
        <f aca="false">SUBSTITUTE(SUBSTITUTE($I2378,CHAR(61),""),CHAR(34),"")</f>
        <v>15-24</v>
      </c>
      <c r="R2378" s="0" t="str">
        <f aca="false">IF($D2378&lt;&gt;"","["&amp;$E2378&amp;"]"&amp;"|"&amp;$Q2378&amp;"|"&amp;$K2378&amp;"|"&amp;$G2378&amp;"|"&amp;IF($G2378="TX_CURR_SUBNAT.R","CY2022Q4",$M2378),"")</f>
        <v>[zphK9WV8JB4]|15-24|Male|DIAGNOSED_SUBNAT.T_1|CY2023Q3</v>
      </c>
    </row>
    <row r="2379" customFormat="false" ht="15" hidden="false" customHeight="false" outlineLevel="0" collapsed="false">
      <c r="D2379" s="0" t="s">
        <v>53</v>
      </c>
      <c r="E2379" s="0" t="s">
        <v>54</v>
      </c>
      <c r="F2379" s="0" t="s">
        <v>55</v>
      </c>
      <c r="G2379" s="0" t="s">
        <v>148</v>
      </c>
      <c r="H2379" s="0" t="s">
        <v>149</v>
      </c>
      <c r="I2379" s="0" t="s">
        <v>41</v>
      </c>
      <c r="J2379" s="0" t="s">
        <v>42</v>
      </c>
      <c r="K2379" s="0" t="s">
        <v>48</v>
      </c>
      <c r="L2379" s="0" t="s">
        <v>49</v>
      </c>
      <c r="M2379" s="0" t="s">
        <v>140</v>
      </c>
      <c r="N2379" s="0" t="n">
        <v>1771</v>
      </c>
      <c r="O2379" s="10" t="n">
        <v>0.169663685373962</v>
      </c>
      <c r="P2379" s="10" t="n">
        <v>0.616392469964921</v>
      </c>
      <c r="Q2379" s="0" t="str">
        <f aca="false">SUBSTITUTE(SUBSTITUTE($I2379,CHAR(61),""),CHAR(34),"")</f>
        <v>25-34</v>
      </c>
      <c r="R2379" s="0" t="str">
        <f aca="false">IF($D2379&lt;&gt;"","["&amp;$E2379&amp;"]"&amp;"|"&amp;$Q2379&amp;"|"&amp;$K2379&amp;"|"&amp;$G2379&amp;"|"&amp;IF($G2379="TX_CURR_SUBNAT.R","CY2022Q4",$M2379),"")</f>
        <v>[zphK9WV8JB4]|25-34|Male|DIAGNOSED_SUBNAT.T_1|CY2023Q3</v>
      </c>
    </row>
    <row r="2380" customFormat="false" ht="15" hidden="false" customHeight="false" outlineLevel="0" collapsed="false">
      <c r="D2380" s="0" t="s">
        <v>53</v>
      </c>
      <c r="E2380" s="0" t="s">
        <v>54</v>
      </c>
      <c r="F2380" s="0" t="s">
        <v>55</v>
      </c>
      <c r="G2380" s="0" t="s">
        <v>148</v>
      </c>
      <c r="H2380" s="0" t="s">
        <v>149</v>
      </c>
      <c r="I2380" s="0" t="s">
        <v>43</v>
      </c>
      <c r="J2380" s="0" t="s">
        <v>44</v>
      </c>
      <c r="K2380" s="0" t="s">
        <v>48</v>
      </c>
      <c r="L2380" s="0" t="s">
        <v>49</v>
      </c>
      <c r="M2380" s="0" t="s">
        <v>140</v>
      </c>
      <c r="N2380" s="0" t="n">
        <v>957</v>
      </c>
      <c r="O2380" s="10" t="n">
        <v>0.306859767530113</v>
      </c>
      <c r="P2380" s="10" t="n">
        <v>0.616392469964921</v>
      </c>
      <c r="Q2380" s="0" t="str">
        <f aca="false">SUBSTITUTE(SUBSTITUTE($I2380,CHAR(61),""),CHAR(34),"")</f>
        <v>35-49</v>
      </c>
      <c r="R2380" s="0" t="str">
        <f aca="false">IF($D2380&lt;&gt;"","["&amp;$E2380&amp;"]"&amp;"|"&amp;$Q2380&amp;"|"&amp;$K2380&amp;"|"&amp;$G2380&amp;"|"&amp;IF($G2380="TX_CURR_SUBNAT.R","CY2022Q4",$M2380),"")</f>
        <v>[zphK9WV8JB4]|35-49|Male|DIAGNOSED_SUBNAT.T_1|CY2023Q3</v>
      </c>
    </row>
    <row r="2381" customFormat="false" ht="15" hidden="false" customHeight="false" outlineLevel="0" collapsed="false">
      <c r="D2381" s="0" t="s">
        <v>53</v>
      </c>
      <c r="E2381" s="0" t="s">
        <v>54</v>
      </c>
      <c r="F2381" s="0" t="s">
        <v>55</v>
      </c>
      <c r="G2381" s="0" t="s">
        <v>148</v>
      </c>
      <c r="H2381" s="0" t="s">
        <v>149</v>
      </c>
      <c r="I2381" s="0" t="s">
        <v>45</v>
      </c>
      <c r="J2381" s="0" t="s">
        <v>46</v>
      </c>
      <c r="K2381" s="0" t="s">
        <v>48</v>
      </c>
      <c r="L2381" s="0" t="s">
        <v>49</v>
      </c>
      <c r="M2381" s="0" t="s">
        <v>140</v>
      </c>
      <c r="N2381" s="0" t="n">
        <v>714</v>
      </c>
      <c r="O2381" s="10" t="n">
        <v>0.602004996966571</v>
      </c>
      <c r="P2381" s="10" t="n">
        <v>0.616392469964921</v>
      </c>
      <c r="Q2381" s="0" t="str">
        <f aca="false">SUBSTITUTE(SUBSTITUTE($I2381,CHAR(61),""),CHAR(34),"")</f>
        <v>50+</v>
      </c>
      <c r="R2381" s="0" t="str">
        <f aca="false">IF($D2381&lt;&gt;"","["&amp;$E2381&amp;"]"&amp;"|"&amp;$Q2381&amp;"|"&amp;$K2381&amp;"|"&amp;$G2381&amp;"|"&amp;IF($G2381="TX_CURR_SUBNAT.R","CY2022Q4",$M2381),"")</f>
        <v>[zphK9WV8JB4]|50+|Male|DIAGNOSED_SUBNAT.T_1|CY2023Q3</v>
      </c>
    </row>
    <row r="2382" customFormat="false" ht="15" hidden="false" customHeight="false" outlineLevel="0" collapsed="false">
      <c r="D2382" s="0" t="s">
        <v>60</v>
      </c>
      <c r="E2382" s="0" t="s">
        <v>61</v>
      </c>
      <c r="F2382" s="0" t="s">
        <v>62</v>
      </c>
      <c r="G2382" s="0" t="s">
        <v>148</v>
      </c>
      <c r="H2382" s="0" t="s">
        <v>149</v>
      </c>
      <c r="I2382" s="0" t="s">
        <v>28</v>
      </c>
      <c r="J2382" s="0" t="s">
        <v>29</v>
      </c>
      <c r="K2382" s="0" t="s">
        <v>30</v>
      </c>
      <c r="L2382" s="0" t="s">
        <v>31</v>
      </c>
      <c r="M2382" s="0" t="s">
        <v>140</v>
      </c>
      <c r="N2382" s="0" t="n">
        <v>1669</v>
      </c>
      <c r="O2382" s="10" t="n">
        <v>0.839888865826651</v>
      </c>
      <c r="P2382" s="10" t="n">
        <v>0.0268250561784953</v>
      </c>
      <c r="Q2382" s="0" t="str">
        <f aca="false">SUBSTITUTE(SUBSTITUTE($I2382,CHAR(61),""),CHAR(34),"")</f>
        <v>&lt;01</v>
      </c>
      <c r="R2382" s="0" t="str">
        <f aca="false">IF($D2382&lt;&gt;"","["&amp;$E2382&amp;"]"&amp;"|"&amp;$Q2382&amp;"|"&amp;$K2382&amp;"|"&amp;$G2382&amp;"|"&amp;IF($G2382="TX_CURR_SUBNAT.R","CY2022Q4",$M2382),"")</f>
        <v>[msW2zpIN7up]|&lt;01|Female|DIAGNOSED_SUBNAT.T_1|CY2023Q3</v>
      </c>
    </row>
    <row r="2383" customFormat="false" ht="15" hidden="false" customHeight="false" outlineLevel="0" collapsed="false">
      <c r="D2383" s="0" t="s">
        <v>60</v>
      </c>
      <c r="E2383" s="0" t="s">
        <v>61</v>
      </c>
      <c r="F2383" s="0" t="s">
        <v>62</v>
      </c>
      <c r="G2383" s="0" t="s">
        <v>148</v>
      </c>
      <c r="H2383" s="0" t="s">
        <v>149</v>
      </c>
      <c r="I2383" s="0" t="s">
        <v>33</v>
      </c>
      <c r="J2383" s="0" t="s">
        <v>34</v>
      </c>
      <c r="K2383" s="0" t="s">
        <v>30</v>
      </c>
      <c r="L2383" s="0" t="s">
        <v>31</v>
      </c>
      <c r="M2383" s="0" t="s">
        <v>140</v>
      </c>
      <c r="N2383" s="0" t="n">
        <v>786</v>
      </c>
      <c r="O2383" s="10" t="n">
        <v>0.137054828926921</v>
      </c>
      <c r="P2383" s="10" t="n">
        <v>0.0268250561784953</v>
      </c>
      <c r="Q2383" s="0" t="str">
        <f aca="false">SUBSTITUTE(SUBSTITUTE($I2383,CHAR(61),""),CHAR(34),"")</f>
        <v>01-09</v>
      </c>
      <c r="R2383" s="0" t="str">
        <f aca="false">IF($D2383&lt;&gt;"","["&amp;$E2383&amp;"]"&amp;"|"&amp;$Q2383&amp;"|"&amp;$K2383&amp;"|"&amp;$G2383&amp;"|"&amp;IF($G2383="TX_CURR_SUBNAT.R","CY2022Q4",$M2383),"")</f>
        <v>[msW2zpIN7up]|01-09|Female|DIAGNOSED_SUBNAT.T_1|CY2023Q3</v>
      </c>
    </row>
    <row r="2384" customFormat="false" ht="15" hidden="false" customHeight="false" outlineLevel="0" collapsed="false">
      <c r="D2384" s="0" t="s">
        <v>60</v>
      </c>
      <c r="E2384" s="0" t="s">
        <v>61</v>
      </c>
      <c r="F2384" s="0" t="s">
        <v>62</v>
      </c>
      <c r="G2384" s="0" t="s">
        <v>148</v>
      </c>
      <c r="H2384" s="0" t="s">
        <v>149</v>
      </c>
      <c r="I2384" s="0" t="s">
        <v>36</v>
      </c>
      <c r="J2384" s="0" t="s">
        <v>37</v>
      </c>
      <c r="K2384" s="0" t="s">
        <v>30</v>
      </c>
      <c r="L2384" s="0" t="s">
        <v>31</v>
      </c>
      <c r="M2384" s="0" t="s">
        <v>140</v>
      </c>
      <c r="N2384" s="0" t="n">
        <v>1019</v>
      </c>
      <c r="O2384" s="10" t="n">
        <v>0.36010975507088</v>
      </c>
      <c r="P2384" s="10" t="n">
        <v>0.0268250561784953</v>
      </c>
      <c r="Q2384" s="0" t="str">
        <f aca="false">SUBSTITUTE(SUBSTITUTE($I2384,CHAR(61),""),CHAR(34),"")</f>
        <v>10-14</v>
      </c>
      <c r="R2384" s="0" t="str">
        <f aca="false">IF($D2384&lt;&gt;"","["&amp;$E2384&amp;"]"&amp;"|"&amp;$Q2384&amp;"|"&amp;$K2384&amp;"|"&amp;$G2384&amp;"|"&amp;IF($G2384="TX_CURR_SUBNAT.R","CY2022Q4",$M2384),"")</f>
        <v>[msW2zpIN7up]|10-14|Female|DIAGNOSED_SUBNAT.T_1|CY2023Q3</v>
      </c>
    </row>
    <row r="2385" customFormat="false" ht="15" hidden="false" customHeight="false" outlineLevel="0" collapsed="false">
      <c r="D2385" s="0" t="s">
        <v>60</v>
      </c>
      <c r="E2385" s="0" t="s">
        <v>61</v>
      </c>
      <c r="F2385" s="0" t="s">
        <v>62</v>
      </c>
      <c r="G2385" s="0" t="s">
        <v>148</v>
      </c>
      <c r="H2385" s="0" t="s">
        <v>149</v>
      </c>
      <c r="I2385" s="0" t="s">
        <v>38</v>
      </c>
      <c r="J2385" s="0" t="s">
        <v>39</v>
      </c>
      <c r="K2385" s="0" t="s">
        <v>30</v>
      </c>
      <c r="L2385" s="0" t="s">
        <v>31</v>
      </c>
      <c r="M2385" s="0" t="s">
        <v>140</v>
      </c>
      <c r="N2385" s="0" t="n">
        <v>1184</v>
      </c>
      <c r="O2385" s="10" t="n">
        <v>0.43284443160519</v>
      </c>
      <c r="P2385" s="10" t="n">
        <v>0.0268250561784953</v>
      </c>
      <c r="Q2385" s="0" t="str">
        <f aca="false">SUBSTITUTE(SUBSTITUTE($I2385,CHAR(61),""),CHAR(34),"")</f>
        <v>15-24</v>
      </c>
      <c r="R2385" s="0" t="str">
        <f aca="false">IF($D2385&lt;&gt;"","["&amp;$E2385&amp;"]"&amp;"|"&amp;$Q2385&amp;"|"&amp;$K2385&amp;"|"&amp;$G2385&amp;"|"&amp;IF($G2385="TX_CURR_SUBNAT.R","CY2022Q4",$M2385),"")</f>
        <v>[msW2zpIN7up]|15-24|Female|DIAGNOSED_SUBNAT.T_1|CY2023Q3</v>
      </c>
    </row>
    <row r="2386" customFormat="false" ht="15" hidden="false" customHeight="false" outlineLevel="0" collapsed="false">
      <c r="D2386" s="0" t="s">
        <v>60</v>
      </c>
      <c r="E2386" s="0" t="s">
        <v>61</v>
      </c>
      <c r="F2386" s="0" t="s">
        <v>62</v>
      </c>
      <c r="G2386" s="0" t="s">
        <v>148</v>
      </c>
      <c r="H2386" s="0" t="s">
        <v>149</v>
      </c>
      <c r="I2386" s="0" t="s">
        <v>41</v>
      </c>
      <c r="J2386" s="0" t="s">
        <v>42</v>
      </c>
      <c r="K2386" s="0" t="s">
        <v>30</v>
      </c>
      <c r="L2386" s="0" t="s">
        <v>31</v>
      </c>
      <c r="M2386" s="0" t="s">
        <v>140</v>
      </c>
      <c r="N2386" s="0" t="n">
        <v>948</v>
      </c>
      <c r="O2386" s="10" t="n">
        <v>0.617085642646998</v>
      </c>
      <c r="P2386" s="10" t="n">
        <v>0.0268250561784953</v>
      </c>
      <c r="Q2386" s="0" t="str">
        <f aca="false">SUBSTITUTE(SUBSTITUTE($I2386,CHAR(61),""),CHAR(34),"")</f>
        <v>25-34</v>
      </c>
      <c r="R2386" s="0" t="str">
        <f aca="false">IF($D2386&lt;&gt;"","["&amp;$E2386&amp;"]"&amp;"|"&amp;$Q2386&amp;"|"&amp;$K2386&amp;"|"&amp;$G2386&amp;"|"&amp;IF($G2386="TX_CURR_SUBNAT.R","CY2022Q4",$M2386),"")</f>
        <v>[msW2zpIN7up]|25-34|Female|DIAGNOSED_SUBNAT.T_1|CY2023Q3</v>
      </c>
    </row>
    <row r="2387" customFormat="false" ht="15" hidden="false" customHeight="false" outlineLevel="0" collapsed="false">
      <c r="D2387" s="0" t="s">
        <v>60</v>
      </c>
      <c r="E2387" s="0" t="s">
        <v>61</v>
      </c>
      <c r="F2387" s="0" t="s">
        <v>62</v>
      </c>
      <c r="G2387" s="0" t="s">
        <v>148</v>
      </c>
      <c r="H2387" s="0" t="s">
        <v>149</v>
      </c>
      <c r="I2387" s="0" t="s">
        <v>43</v>
      </c>
      <c r="J2387" s="0" t="s">
        <v>44</v>
      </c>
      <c r="K2387" s="0" t="s">
        <v>30</v>
      </c>
      <c r="L2387" s="0" t="s">
        <v>31</v>
      </c>
      <c r="M2387" s="0" t="s">
        <v>140</v>
      </c>
      <c r="N2387" s="0" t="n">
        <v>928</v>
      </c>
      <c r="O2387" s="10" t="n">
        <v>0.613401684677228</v>
      </c>
      <c r="P2387" s="10" t="n">
        <v>0.0268250561784953</v>
      </c>
      <c r="Q2387" s="0" t="str">
        <f aca="false">SUBSTITUTE(SUBSTITUTE($I2387,CHAR(61),""),CHAR(34),"")</f>
        <v>35-49</v>
      </c>
      <c r="R2387" s="0" t="str">
        <f aca="false">IF($D2387&lt;&gt;"","["&amp;$E2387&amp;"]"&amp;"|"&amp;$Q2387&amp;"|"&amp;$K2387&amp;"|"&amp;$G2387&amp;"|"&amp;IF($G2387="TX_CURR_SUBNAT.R","CY2022Q4",$M2387),"")</f>
        <v>[msW2zpIN7up]|35-49|Female|DIAGNOSED_SUBNAT.T_1|CY2023Q3</v>
      </c>
    </row>
    <row r="2388" customFormat="false" ht="15" hidden="false" customHeight="false" outlineLevel="0" collapsed="false">
      <c r="D2388" s="0" t="s">
        <v>60</v>
      </c>
      <c r="E2388" s="0" t="s">
        <v>61</v>
      </c>
      <c r="F2388" s="0" t="s">
        <v>62</v>
      </c>
      <c r="G2388" s="0" t="s">
        <v>148</v>
      </c>
      <c r="H2388" s="0" t="s">
        <v>149</v>
      </c>
      <c r="I2388" s="0" t="s">
        <v>45</v>
      </c>
      <c r="J2388" s="0" t="s">
        <v>46</v>
      </c>
      <c r="K2388" s="0" t="s">
        <v>30</v>
      </c>
      <c r="L2388" s="0" t="s">
        <v>31</v>
      </c>
      <c r="M2388" s="0" t="s">
        <v>140</v>
      </c>
      <c r="N2388" s="0" t="n">
        <v>1561</v>
      </c>
      <c r="O2388" s="10" t="n">
        <v>0.467384037561715</v>
      </c>
      <c r="P2388" s="10" t="n">
        <v>0.0268250561784953</v>
      </c>
      <c r="Q2388" s="0" t="str">
        <f aca="false">SUBSTITUTE(SUBSTITUTE($I2388,CHAR(61),""),CHAR(34),"")</f>
        <v>50+</v>
      </c>
      <c r="R2388" s="0" t="str">
        <f aca="false">IF($D2388&lt;&gt;"","["&amp;$E2388&amp;"]"&amp;"|"&amp;$Q2388&amp;"|"&amp;$K2388&amp;"|"&amp;$G2388&amp;"|"&amp;IF($G2388="TX_CURR_SUBNAT.R","CY2022Q4",$M2388),"")</f>
        <v>[msW2zpIN7up]|50+|Female|DIAGNOSED_SUBNAT.T_1|CY2023Q3</v>
      </c>
    </row>
    <row r="2389" customFormat="false" ht="15" hidden="false" customHeight="false" outlineLevel="0" collapsed="false">
      <c r="D2389" s="0" t="s">
        <v>60</v>
      </c>
      <c r="E2389" s="0" t="s">
        <v>61</v>
      </c>
      <c r="F2389" s="0" t="s">
        <v>62</v>
      </c>
      <c r="G2389" s="0" t="s">
        <v>148</v>
      </c>
      <c r="H2389" s="0" t="s">
        <v>149</v>
      </c>
      <c r="I2389" s="0" t="s">
        <v>28</v>
      </c>
      <c r="J2389" s="0" t="s">
        <v>29</v>
      </c>
      <c r="K2389" s="0" t="s">
        <v>48</v>
      </c>
      <c r="L2389" s="0" t="s">
        <v>49</v>
      </c>
      <c r="M2389" s="0" t="s">
        <v>140</v>
      </c>
      <c r="N2389" s="0" t="n">
        <v>1476</v>
      </c>
      <c r="O2389" s="10" t="n">
        <v>0.528590743662789</v>
      </c>
      <c r="P2389" s="10" t="n">
        <v>0.0268250561784953</v>
      </c>
      <c r="Q2389" s="0" t="str">
        <f aca="false">SUBSTITUTE(SUBSTITUTE($I2389,CHAR(61),""),CHAR(34),"")</f>
        <v>&lt;01</v>
      </c>
      <c r="R2389" s="0" t="str">
        <f aca="false">IF($D2389&lt;&gt;"","["&amp;$E2389&amp;"]"&amp;"|"&amp;$Q2389&amp;"|"&amp;$K2389&amp;"|"&amp;$G2389&amp;"|"&amp;IF($G2389="TX_CURR_SUBNAT.R","CY2022Q4",$M2389),"")</f>
        <v>[msW2zpIN7up]|&lt;01|Male|DIAGNOSED_SUBNAT.T_1|CY2023Q3</v>
      </c>
    </row>
    <row r="2390" customFormat="false" ht="15" hidden="false" customHeight="false" outlineLevel="0" collapsed="false">
      <c r="D2390" s="0" t="s">
        <v>60</v>
      </c>
      <c r="E2390" s="0" t="s">
        <v>61</v>
      </c>
      <c r="F2390" s="0" t="s">
        <v>62</v>
      </c>
      <c r="G2390" s="0" t="s">
        <v>148</v>
      </c>
      <c r="H2390" s="0" t="s">
        <v>149</v>
      </c>
      <c r="I2390" s="0" t="s">
        <v>33</v>
      </c>
      <c r="J2390" s="0" t="s">
        <v>34</v>
      </c>
      <c r="K2390" s="0" t="s">
        <v>48</v>
      </c>
      <c r="L2390" s="0" t="s">
        <v>49</v>
      </c>
      <c r="M2390" s="0" t="s">
        <v>140</v>
      </c>
      <c r="N2390" s="0" t="n">
        <v>1669</v>
      </c>
      <c r="O2390" s="10" t="n">
        <v>0.19357156008482</v>
      </c>
      <c r="P2390" s="10" t="n">
        <v>0.0268250561784953</v>
      </c>
      <c r="Q2390" s="0" t="str">
        <f aca="false">SUBSTITUTE(SUBSTITUTE($I2390,CHAR(61),""),CHAR(34),"")</f>
        <v>01-09</v>
      </c>
      <c r="R2390" s="0" t="str">
        <f aca="false">IF($D2390&lt;&gt;"","["&amp;$E2390&amp;"]"&amp;"|"&amp;$Q2390&amp;"|"&amp;$K2390&amp;"|"&amp;$G2390&amp;"|"&amp;IF($G2390="TX_CURR_SUBNAT.R","CY2022Q4",$M2390),"")</f>
        <v>[msW2zpIN7up]|01-09|Male|DIAGNOSED_SUBNAT.T_1|CY2023Q3</v>
      </c>
    </row>
    <row r="2391" customFormat="false" ht="15" hidden="false" customHeight="false" outlineLevel="0" collapsed="false">
      <c r="D2391" s="0" t="s">
        <v>60</v>
      </c>
      <c r="E2391" s="0" t="s">
        <v>61</v>
      </c>
      <c r="F2391" s="0" t="s">
        <v>62</v>
      </c>
      <c r="G2391" s="0" t="s">
        <v>148</v>
      </c>
      <c r="H2391" s="0" t="s">
        <v>149</v>
      </c>
      <c r="I2391" s="0" t="s">
        <v>36</v>
      </c>
      <c r="J2391" s="0" t="s">
        <v>37</v>
      </c>
      <c r="K2391" s="0" t="s">
        <v>48</v>
      </c>
      <c r="L2391" s="0" t="s">
        <v>49</v>
      </c>
      <c r="M2391" s="0" t="s">
        <v>140</v>
      </c>
      <c r="N2391" s="0" t="n">
        <v>1107</v>
      </c>
      <c r="O2391" s="10" t="n">
        <v>0.325491391820833</v>
      </c>
      <c r="P2391" s="10" t="n">
        <v>0.0268250561784953</v>
      </c>
      <c r="Q2391" s="0" t="str">
        <f aca="false">SUBSTITUTE(SUBSTITUTE($I2391,CHAR(61),""),CHAR(34),"")</f>
        <v>10-14</v>
      </c>
      <c r="R2391" s="0" t="str">
        <f aca="false">IF($D2391&lt;&gt;"","["&amp;$E2391&amp;"]"&amp;"|"&amp;$Q2391&amp;"|"&amp;$K2391&amp;"|"&amp;$G2391&amp;"|"&amp;IF($G2391="TX_CURR_SUBNAT.R","CY2022Q4",$M2391),"")</f>
        <v>[msW2zpIN7up]|10-14|Male|DIAGNOSED_SUBNAT.T_1|CY2023Q3</v>
      </c>
    </row>
    <row r="2392" customFormat="false" ht="15" hidden="false" customHeight="false" outlineLevel="0" collapsed="false">
      <c r="D2392" s="0" t="s">
        <v>60</v>
      </c>
      <c r="E2392" s="0" t="s">
        <v>61</v>
      </c>
      <c r="F2392" s="0" t="s">
        <v>62</v>
      </c>
      <c r="G2392" s="0" t="s">
        <v>148</v>
      </c>
      <c r="H2392" s="0" t="s">
        <v>149</v>
      </c>
      <c r="I2392" s="0" t="s">
        <v>38</v>
      </c>
      <c r="J2392" s="0" t="s">
        <v>39</v>
      </c>
      <c r="K2392" s="0" t="s">
        <v>48</v>
      </c>
      <c r="L2392" s="0" t="s">
        <v>49</v>
      </c>
      <c r="M2392" s="0" t="s">
        <v>140</v>
      </c>
      <c r="N2392" s="0" t="n">
        <v>907</v>
      </c>
      <c r="O2392" s="10" t="n">
        <v>0.264488238608465</v>
      </c>
      <c r="P2392" s="10" t="n">
        <v>0.0268250561784953</v>
      </c>
      <c r="Q2392" s="0" t="str">
        <f aca="false">SUBSTITUTE(SUBSTITUTE($I2392,CHAR(61),""),CHAR(34),"")</f>
        <v>15-24</v>
      </c>
      <c r="R2392" s="0" t="str">
        <f aca="false">IF($D2392&lt;&gt;"","["&amp;$E2392&amp;"]"&amp;"|"&amp;$Q2392&amp;"|"&amp;$K2392&amp;"|"&amp;$G2392&amp;"|"&amp;IF($G2392="TX_CURR_SUBNAT.R","CY2022Q4",$M2392),"")</f>
        <v>[msW2zpIN7up]|15-24|Male|DIAGNOSED_SUBNAT.T_1|CY2023Q3</v>
      </c>
    </row>
    <row r="2393" customFormat="false" ht="15" hidden="false" customHeight="false" outlineLevel="0" collapsed="false">
      <c r="D2393" s="0" t="s">
        <v>60</v>
      </c>
      <c r="E2393" s="0" t="s">
        <v>61</v>
      </c>
      <c r="F2393" s="0" t="s">
        <v>62</v>
      </c>
      <c r="G2393" s="0" t="s">
        <v>148</v>
      </c>
      <c r="H2393" s="0" t="s">
        <v>149</v>
      </c>
      <c r="I2393" s="0" t="s">
        <v>41</v>
      </c>
      <c r="J2393" s="0" t="s">
        <v>42</v>
      </c>
      <c r="K2393" s="0" t="s">
        <v>48</v>
      </c>
      <c r="L2393" s="0" t="s">
        <v>49</v>
      </c>
      <c r="M2393" s="0" t="s">
        <v>140</v>
      </c>
      <c r="N2393" s="0" t="n">
        <v>738</v>
      </c>
      <c r="O2393" s="10" t="n">
        <v>0.48262305255048</v>
      </c>
      <c r="P2393" s="10" t="n">
        <v>0.0268250561784953</v>
      </c>
      <c r="Q2393" s="0" t="str">
        <f aca="false">SUBSTITUTE(SUBSTITUTE($I2393,CHAR(61),""),CHAR(34),"")</f>
        <v>25-34</v>
      </c>
      <c r="R2393" s="0" t="str">
        <f aca="false">IF($D2393&lt;&gt;"","["&amp;$E2393&amp;"]"&amp;"|"&amp;$Q2393&amp;"|"&amp;$K2393&amp;"|"&amp;$G2393&amp;"|"&amp;IF($G2393="TX_CURR_SUBNAT.R","CY2022Q4",$M2393),"")</f>
        <v>[msW2zpIN7up]|25-34|Male|DIAGNOSED_SUBNAT.T_1|CY2023Q3</v>
      </c>
    </row>
    <row r="2394" customFormat="false" ht="15" hidden="false" customHeight="false" outlineLevel="0" collapsed="false">
      <c r="D2394" s="0" t="s">
        <v>60</v>
      </c>
      <c r="E2394" s="0" t="s">
        <v>61</v>
      </c>
      <c r="F2394" s="0" t="s">
        <v>62</v>
      </c>
      <c r="G2394" s="0" t="s">
        <v>148</v>
      </c>
      <c r="H2394" s="0" t="s">
        <v>149</v>
      </c>
      <c r="I2394" s="0" t="s">
        <v>43</v>
      </c>
      <c r="J2394" s="0" t="s">
        <v>44</v>
      </c>
      <c r="K2394" s="0" t="s">
        <v>48</v>
      </c>
      <c r="L2394" s="0" t="s">
        <v>49</v>
      </c>
      <c r="M2394" s="0" t="s">
        <v>140</v>
      </c>
      <c r="N2394" s="0" t="n">
        <v>670</v>
      </c>
      <c r="O2394" s="10" t="n">
        <v>0.657387241488323</v>
      </c>
      <c r="P2394" s="10" t="n">
        <v>0.0268250561784953</v>
      </c>
      <c r="Q2394" s="0" t="str">
        <f aca="false">SUBSTITUTE(SUBSTITUTE($I2394,CHAR(61),""),CHAR(34),"")</f>
        <v>35-49</v>
      </c>
      <c r="R2394" s="0" t="str">
        <f aca="false">IF($D2394&lt;&gt;"","["&amp;$E2394&amp;"]"&amp;"|"&amp;$Q2394&amp;"|"&amp;$K2394&amp;"|"&amp;$G2394&amp;"|"&amp;IF($G2394="TX_CURR_SUBNAT.R","CY2022Q4",$M2394),"")</f>
        <v>[msW2zpIN7up]|35-49|Male|DIAGNOSED_SUBNAT.T_1|CY2023Q3</v>
      </c>
    </row>
    <row r="2395" customFormat="false" ht="15" hidden="false" customHeight="false" outlineLevel="0" collapsed="false">
      <c r="D2395" s="0" t="s">
        <v>60</v>
      </c>
      <c r="E2395" s="0" t="s">
        <v>61</v>
      </c>
      <c r="F2395" s="0" t="s">
        <v>62</v>
      </c>
      <c r="G2395" s="0" t="s">
        <v>148</v>
      </c>
      <c r="H2395" s="0" t="s">
        <v>149</v>
      </c>
      <c r="I2395" s="0" t="s">
        <v>45</v>
      </c>
      <c r="J2395" s="0" t="s">
        <v>46</v>
      </c>
      <c r="K2395" s="0" t="s">
        <v>48</v>
      </c>
      <c r="L2395" s="0" t="s">
        <v>49</v>
      </c>
      <c r="M2395" s="0" t="s">
        <v>140</v>
      </c>
      <c r="N2395" s="0" t="n">
        <v>1073</v>
      </c>
      <c r="O2395" s="10" t="n">
        <v>0.326660371385515</v>
      </c>
      <c r="P2395" s="10" t="n">
        <v>0.0268250561784953</v>
      </c>
      <c r="Q2395" s="0" t="str">
        <f aca="false">SUBSTITUTE(SUBSTITUTE($I2395,CHAR(61),""),CHAR(34),"")</f>
        <v>50+</v>
      </c>
      <c r="R2395" s="0" t="str">
        <f aca="false">IF($D2395&lt;&gt;"","["&amp;$E2395&amp;"]"&amp;"|"&amp;$Q2395&amp;"|"&amp;$K2395&amp;"|"&amp;$G2395&amp;"|"&amp;IF($G2395="TX_CURR_SUBNAT.R","CY2022Q4",$M2395),"")</f>
        <v>[msW2zpIN7up]|50+|Male|DIAGNOSED_SUBNAT.T_1|CY2023Q3</v>
      </c>
    </row>
    <row r="2396" customFormat="false" ht="15" hidden="false" customHeight="false" outlineLevel="0" collapsed="false">
      <c r="D2396" s="0" t="s">
        <v>63</v>
      </c>
      <c r="E2396" s="0" t="s">
        <v>64</v>
      </c>
      <c r="F2396" s="0" t="s">
        <v>65</v>
      </c>
      <c r="G2396" s="0" t="s">
        <v>148</v>
      </c>
      <c r="H2396" s="0" t="s">
        <v>149</v>
      </c>
      <c r="I2396" s="0" t="s">
        <v>28</v>
      </c>
      <c r="J2396" s="0" t="s">
        <v>29</v>
      </c>
      <c r="K2396" s="0" t="s">
        <v>30</v>
      </c>
      <c r="L2396" s="0" t="s">
        <v>31</v>
      </c>
      <c r="M2396" s="0" t="s">
        <v>140</v>
      </c>
      <c r="N2396" s="0" t="n">
        <v>1226</v>
      </c>
      <c r="O2396" s="10" t="n">
        <v>0.434116518124938</v>
      </c>
      <c r="P2396" s="10" t="n">
        <v>0.790102193132043</v>
      </c>
      <c r="Q2396" s="0" t="str">
        <f aca="false">SUBSTITUTE(SUBSTITUTE($I2396,CHAR(61),""),CHAR(34),"")</f>
        <v>&lt;01</v>
      </c>
      <c r="R2396" s="0" t="str">
        <f aca="false">IF($D2396&lt;&gt;"","["&amp;$E2396&amp;"]"&amp;"|"&amp;$Q2396&amp;"|"&amp;$K2396&amp;"|"&amp;$G2396&amp;"|"&amp;IF($G2396="TX_CURR_SUBNAT.R","CY2022Q4",$M2396),"")</f>
        <v>[kxuuIFpOXyO]|&lt;01|Female|DIAGNOSED_SUBNAT.T_1|CY2023Q3</v>
      </c>
    </row>
    <row r="2397" customFormat="false" ht="15" hidden="false" customHeight="false" outlineLevel="0" collapsed="false">
      <c r="D2397" s="0" t="s">
        <v>63</v>
      </c>
      <c r="E2397" s="0" t="s">
        <v>64</v>
      </c>
      <c r="F2397" s="0" t="s">
        <v>65</v>
      </c>
      <c r="G2397" s="0" t="s">
        <v>148</v>
      </c>
      <c r="H2397" s="0" t="s">
        <v>149</v>
      </c>
      <c r="I2397" s="0" t="s">
        <v>33</v>
      </c>
      <c r="J2397" s="0" t="s">
        <v>34</v>
      </c>
      <c r="K2397" s="0" t="s">
        <v>30</v>
      </c>
      <c r="L2397" s="0" t="s">
        <v>31</v>
      </c>
      <c r="M2397" s="0" t="s">
        <v>140</v>
      </c>
      <c r="N2397" s="0" t="n">
        <v>577</v>
      </c>
      <c r="O2397" s="10" t="n">
        <v>0.928610532544553</v>
      </c>
      <c r="P2397" s="10" t="n">
        <v>0.790102193132043</v>
      </c>
      <c r="Q2397" s="0" t="str">
        <f aca="false">SUBSTITUTE(SUBSTITUTE($I2397,CHAR(61),""),CHAR(34),"")</f>
        <v>01-09</v>
      </c>
      <c r="R2397" s="0" t="str">
        <f aca="false">IF($D2397&lt;&gt;"","["&amp;$E2397&amp;"]"&amp;"|"&amp;$Q2397&amp;"|"&amp;$K2397&amp;"|"&amp;$G2397&amp;"|"&amp;IF($G2397="TX_CURR_SUBNAT.R","CY2022Q4",$M2397),"")</f>
        <v>[kxuuIFpOXyO]|01-09|Female|DIAGNOSED_SUBNAT.T_1|CY2023Q3</v>
      </c>
    </row>
    <row r="2398" customFormat="false" ht="15" hidden="false" customHeight="false" outlineLevel="0" collapsed="false">
      <c r="D2398" s="0" t="s">
        <v>63</v>
      </c>
      <c r="E2398" s="0" t="s">
        <v>64</v>
      </c>
      <c r="F2398" s="0" t="s">
        <v>65</v>
      </c>
      <c r="G2398" s="0" t="s">
        <v>148</v>
      </c>
      <c r="H2398" s="0" t="s">
        <v>149</v>
      </c>
      <c r="I2398" s="0" t="s">
        <v>36</v>
      </c>
      <c r="J2398" s="0" t="s">
        <v>37</v>
      </c>
      <c r="K2398" s="0" t="s">
        <v>30</v>
      </c>
      <c r="L2398" s="0" t="s">
        <v>31</v>
      </c>
      <c r="M2398" s="0" t="s">
        <v>140</v>
      </c>
      <c r="N2398" s="0" t="n">
        <v>726</v>
      </c>
      <c r="O2398" s="10" t="n">
        <v>0.71717966417782</v>
      </c>
      <c r="P2398" s="10" t="n">
        <v>0.790102193132043</v>
      </c>
      <c r="Q2398" s="0" t="str">
        <f aca="false">SUBSTITUTE(SUBSTITUTE($I2398,CHAR(61),""),CHAR(34),"")</f>
        <v>10-14</v>
      </c>
      <c r="R2398" s="0" t="str">
        <f aca="false">IF($D2398&lt;&gt;"","["&amp;$E2398&amp;"]"&amp;"|"&amp;$Q2398&amp;"|"&amp;$K2398&amp;"|"&amp;$G2398&amp;"|"&amp;IF($G2398="TX_CURR_SUBNAT.R","CY2022Q4",$M2398),"")</f>
        <v>[kxuuIFpOXyO]|10-14|Female|DIAGNOSED_SUBNAT.T_1|CY2023Q3</v>
      </c>
    </row>
    <row r="2399" customFormat="false" ht="15" hidden="false" customHeight="false" outlineLevel="0" collapsed="false">
      <c r="D2399" s="0" t="s">
        <v>63</v>
      </c>
      <c r="E2399" s="0" t="s">
        <v>64</v>
      </c>
      <c r="F2399" s="0" t="s">
        <v>65</v>
      </c>
      <c r="G2399" s="0" t="s">
        <v>148</v>
      </c>
      <c r="H2399" s="0" t="s">
        <v>149</v>
      </c>
      <c r="I2399" s="0" t="s">
        <v>38</v>
      </c>
      <c r="J2399" s="0" t="s">
        <v>39</v>
      </c>
      <c r="K2399" s="0" t="s">
        <v>30</v>
      </c>
      <c r="L2399" s="0" t="s">
        <v>31</v>
      </c>
      <c r="M2399" s="0" t="s">
        <v>140</v>
      </c>
      <c r="N2399" s="0" t="n">
        <v>789</v>
      </c>
      <c r="O2399" s="10" t="n">
        <v>0.67798977624625</v>
      </c>
      <c r="P2399" s="10" t="n">
        <v>0.790102193132043</v>
      </c>
      <c r="Q2399" s="0" t="str">
        <f aca="false">SUBSTITUTE(SUBSTITUTE($I2399,CHAR(61),""),CHAR(34),"")</f>
        <v>15-24</v>
      </c>
      <c r="R2399" s="0" t="str">
        <f aca="false">IF($D2399&lt;&gt;"","["&amp;$E2399&amp;"]"&amp;"|"&amp;$Q2399&amp;"|"&amp;$K2399&amp;"|"&amp;$G2399&amp;"|"&amp;IF($G2399="TX_CURR_SUBNAT.R","CY2022Q4",$M2399),"")</f>
        <v>[kxuuIFpOXyO]|15-24|Female|DIAGNOSED_SUBNAT.T_1|CY2023Q3</v>
      </c>
    </row>
    <row r="2400" customFormat="false" ht="15" hidden="false" customHeight="false" outlineLevel="0" collapsed="false">
      <c r="D2400" s="0" t="s">
        <v>63</v>
      </c>
      <c r="E2400" s="0" t="s">
        <v>64</v>
      </c>
      <c r="F2400" s="0" t="s">
        <v>65</v>
      </c>
      <c r="G2400" s="0" t="s">
        <v>148</v>
      </c>
      <c r="H2400" s="0" t="s">
        <v>149</v>
      </c>
      <c r="I2400" s="0" t="s">
        <v>41</v>
      </c>
      <c r="J2400" s="0" t="s">
        <v>42</v>
      </c>
      <c r="K2400" s="0" t="s">
        <v>30</v>
      </c>
      <c r="L2400" s="0" t="s">
        <v>31</v>
      </c>
      <c r="M2400" s="0" t="s">
        <v>140</v>
      </c>
      <c r="N2400" s="0" t="n">
        <v>1970</v>
      </c>
      <c r="O2400" s="10" t="n">
        <v>0.538983449107036</v>
      </c>
      <c r="P2400" s="10" t="n">
        <v>0.790102193132043</v>
      </c>
      <c r="Q2400" s="0" t="str">
        <f aca="false">SUBSTITUTE(SUBSTITUTE($I2400,CHAR(61),""),CHAR(34),"")</f>
        <v>25-34</v>
      </c>
      <c r="R2400" s="0" t="str">
        <f aca="false">IF($D2400&lt;&gt;"","["&amp;$E2400&amp;"]"&amp;"|"&amp;$Q2400&amp;"|"&amp;$K2400&amp;"|"&amp;$G2400&amp;"|"&amp;IF($G2400="TX_CURR_SUBNAT.R","CY2022Q4",$M2400),"")</f>
        <v>[kxuuIFpOXyO]|25-34|Female|DIAGNOSED_SUBNAT.T_1|CY2023Q3</v>
      </c>
    </row>
    <row r="2401" customFormat="false" ht="15" hidden="false" customHeight="false" outlineLevel="0" collapsed="false">
      <c r="D2401" s="0" t="s">
        <v>63</v>
      </c>
      <c r="E2401" s="0" t="s">
        <v>64</v>
      </c>
      <c r="F2401" s="0" t="s">
        <v>65</v>
      </c>
      <c r="G2401" s="0" t="s">
        <v>148</v>
      </c>
      <c r="H2401" s="0" t="s">
        <v>149</v>
      </c>
      <c r="I2401" s="0" t="s">
        <v>43</v>
      </c>
      <c r="J2401" s="0" t="s">
        <v>44</v>
      </c>
      <c r="K2401" s="0" t="s">
        <v>30</v>
      </c>
      <c r="L2401" s="0" t="s">
        <v>31</v>
      </c>
      <c r="M2401" s="0" t="s">
        <v>140</v>
      </c>
      <c r="N2401" s="0" t="n">
        <v>575</v>
      </c>
      <c r="O2401" s="10" t="n">
        <v>0.065453021787107</v>
      </c>
      <c r="P2401" s="10" t="n">
        <v>0.790102193132043</v>
      </c>
      <c r="Q2401" s="0" t="str">
        <f aca="false">SUBSTITUTE(SUBSTITUTE($I2401,CHAR(61),""),CHAR(34),"")</f>
        <v>35-49</v>
      </c>
      <c r="R2401" s="0" t="str">
        <f aca="false">IF($D2401&lt;&gt;"","["&amp;$E2401&amp;"]"&amp;"|"&amp;$Q2401&amp;"|"&amp;$K2401&amp;"|"&amp;$G2401&amp;"|"&amp;IF($G2401="TX_CURR_SUBNAT.R","CY2022Q4",$M2401),"")</f>
        <v>[kxuuIFpOXyO]|35-49|Female|DIAGNOSED_SUBNAT.T_1|CY2023Q3</v>
      </c>
    </row>
    <row r="2402" customFormat="false" ht="15" hidden="false" customHeight="false" outlineLevel="0" collapsed="false">
      <c r="D2402" s="0" t="s">
        <v>63</v>
      </c>
      <c r="E2402" s="0" t="s">
        <v>64</v>
      </c>
      <c r="F2402" s="0" t="s">
        <v>65</v>
      </c>
      <c r="G2402" s="0" t="s">
        <v>148</v>
      </c>
      <c r="H2402" s="0" t="s">
        <v>149</v>
      </c>
      <c r="I2402" s="0" t="s">
        <v>45</v>
      </c>
      <c r="J2402" s="0" t="s">
        <v>46</v>
      </c>
      <c r="K2402" s="0" t="s">
        <v>30</v>
      </c>
      <c r="L2402" s="0" t="s">
        <v>31</v>
      </c>
      <c r="M2402" s="0" t="s">
        <v>140</v>
      </c>
      <c r="N2402" s="0" t="n">
        <v>1186</v>
      </c>
      <c r="O2402" s="10" t="n">
        <v>0.372191515285522</v>
      </c>
      <c r="P2402" s="10" t="n">
        <v>0.790102193132043</v>
      </c>
      <c r="Q2402" s="0" t="str">
        <f aca="false">SUBSTITUTE(SUBSTITUTE($I2402,CHAR(61),""),CHAR(34),"")</f>
        <v>50+</v>
      </c>
      <c r="R2402" s="0" t="str">
        <f aca="false">IF($D2402&lt;&gt;"","["&amp;$E2402&amp;"]"&amp;"|"&amp;$Q2402&amp;"|"&amp;$K2402&amp;"|"&amp;$G2402&amp;"|"&amp;IF($G2402="TX_CURR_SUBNAT.R","CY2022Q4",$M2402),"")</f>
        <v>[kxuuIFpOXyO]|50+|Female|DIAGNOSED_SUBNAT.T_1|CY2023Q3</v>
      </c>
    </row>
    <row r="2403" customFormat="false" ht="15" hidden="false" customHeight="false" outlineLevel="0" collapsed="false">
      <c r="D2403" s="0" t="s">
        <v>63</v>
      </c>
      <c r="E2403" s="0" t="s">
        <v>64</v>
      </c>
      <c r="F2403" s="0" t="s">
        <v>65</v>
      </c>
      <c r="G2403" s="0" t="s">
        <v>148</v>
      </c>
      <c r="H2403" s="0" t="s">
        <v>149</v>
      </c>
      <c r="I2403" s="0" t="s">
        <v>28</v>
      </c>
      <c r="J2403" s="0" t="s">
        <v>29</v>
      </c>
      <c r="K2403" s="0" t="s">
        <v>48</v>
      </c>
      <c r="L2403" s="0" t="s">
        <v>49</v>
      </c>
      <c r="M2403" s="0" t="s">
        <v>140</v>
      </c>
      <c r="N2403" s="0" t="n">
        <v>1314</v>
      </c>
      <c r="O2403" s="10" t="n">
        <v>0.570172637701035</v>
      </c>
      <c r="P2403" s="10" t="n">
        <v>0.790102193132043</v>
      </c>
      <c r="Q2403" s="0" t="str">
        <f aca="false">SUBSTITUTE(SUBSTITUTE($I2403,CHAR(61),""),CHAR(34),"")</f>
        <v>&lt;01</v>
      </c>
      <c r="R2403" s="0" t="str">
        <f aca="false">IF($D2403&lt;&gt;"","["&amp;$E2403&amp;"]"&amp;"|"&amp;$Q2403&amp;"|"&amp;$K2403&amp;"|"&amp;$G2403&amp;"|"&amp;IF($G2403="TX_CURR_SUBNAT.R","CY2022Q4",$M2403),"")</f>
        <v>[kxuuIFpOXyO]|&lt;01|Male|DIAGNOSED_SUBNAT.T_1|CY2023Q3</v>
      </c>
    </row>
    <row r="2404" customFormat="false" ht="15" hidden="false" customHeight="false" outlineLevel="0" collapsed="false">
      <c r="D2404" s="0" t="s">
        <v>63</v>
      </c>
      <c r="E2404" s="0" t="s">
        <v>64</v>
      </c>
      <c r="F2404" s="0" t="s">
        <v>65</v>
      </c>
      <c r="G2404" s="0" t="s">
        <v>148</v>
      </c>
      <c r="H2404" s="0" t="s">
        <v>149</v>
      </c>
      <c r="I2404" s="0" t="s">
        <v>33</v>
      </c>
      <c r="J2404" s="0" t="s">
        <v>34</v>
      </c>
      <c r="K2404" s="0" t="s">
        <v>48</v>
      </c>
      <c r="L2404" s="0" t="s">
        <v>49</v>
      </c>
      <c r="M2404" s="0" t="s">
        <v>140</v>
      </c>
      <c r="N2404" s="0" t="n">
        <v>1728</v>
      </c>
      <c r="O2404" s="10" t="n">
        <v>0.884421267081052</v>
      </c>
      <c r="P2404" s="10" t="n">
        <v>0.790102193132043</v>
      </c>
      <c r="Q2404" s="0" t="str">
        <f aca="false">SUBSTITUTE(SUBSTITUTE($I2404,CHAR(61),""),CHAR(34),"")</f>
        <v>01-09</v>
      </c>
      <c r="R2404" s="0" t="str">
        <f aca="false">IF($D2404&lt;&gt;"","["&amp;$E2404&amp;"]"&amp;"|"&amp;$Q2404&amp;"|"&amp;$K2404&amp;"|"&amp;$G2404&amp;"|"&amp;IF($G2404="TX_CURR_SUBNAT.R","CY2022Q4",$M2404),"")</f>
        <v>[kxuuIFpOXyO]|01-09|Male|DIAGNOSED_SUBNAT.T_1|CY2023Q3</v>
      </c>
    </row>
    <row r="2405" customFormat="false" ht="15" hidden="false" customHeight="false" outlineLevel="0" collapsed="false">
      <c r="D2405" s="0" t="s">
        <v>63</v>
      </c>
      <c r="E2405" s="0" t="s">
        <v>64</v>
      </c>
      <c r="F2405" s="0" t="s">
        <v>65</v>
      </c>
      <c r="G2405" s="0" t="s">
        <v>148</v>
      </c>
      <c r="H2405" s="0" t="s">
        <v>149</v>
      </c>
      <c r="I2405" s="0" t="s">
        <v>36</v>
      </c>
      <c r="J2405" s="0" t="s">
        <v>37</v>
      </c>
      <c r="K2405" s="0" t="s">
        <v>48</v>
      </c>
      <c r="L2405" s="0" t="s">
        <v>49</v>
      </c>
      <c r="M2405" s="0" t="s">
        <v>140</v>
      </c>
      <c r="N2405" s="0" t="n">
        <v>801</v>
      </c>
      <c r="O2405" s="10" t="n">
        <v>0.0341689290944487</v>
      </c>
      <c r="P2405" s="10" t="n">
        <v>0.790102193132043</v>
      </c>
      <c r="Q2405" s="0" t="str">
        <f aca="false">SUBSTITUTE(SUBSTITUTE($I2405,CHAR(61),""),CHAR(34),"")</f>
        <v>10-14</v>
      </c>
      <c r="R2405" s="0" t="str">
        <f aca="false">IF($D2405&lt;&gt;"","["&amp;$E2405&amp;"]"&amp;"|"&amp;$Q2405&amp;"|"&amp;$K2405&amp;"|"&amp;$G2405&amp;"|"&amp;IF($G2405="TX_CURR_SUBNAT.R","CY2022Q4",$M2405),"")</f>
        <v>[kxuuIFpOXyO]|10-14|Male|DIAGNOSED_SUBNAT.T_1|CY2023Q3</v>
      </c>
    </row>
    <row r="2406" customFormat="false" ht="15" hidden="false" customHeight="false" outlineLevel="0" collapsed="false">
      <c r="D2406" s="0" t="s">
        <v>63</v>
      </c>
      <c r="E2406" s="0" t="s">
        <v>64</v>
      </c>
      <c r="F2406" s="0" t="s">
        <v>65</v>
      </c>
      <c r="G2406" s="0" t="s">
        <v>148</v>
      </c>
      <c r="H2406" s="0" t="s">
        <v>149</v>
      </c>
      <c r="I2406" s="0" t="s">
        <v>38</v>
      </c>
      <c r="J2406" s="0" t="s">
        <v>39</v>
      </c>
      <c r="K2406" s="0" t="s">
        <v>48</v>
      </c>
      <c r="L2406" s="0" t="s">
        <v>49</v>
      </c>
      <c r="M2406" s="0" t="s">
        <v>140</v>
      </c>
      <c r="N2406" s="0" t="n">
        <v>782</v>
      </c>
      <c r="O2406" s="10" t="n">
        <v>0.647452550707385</v>
      </c>
      <c r="P2406" s="10" t="n">
        <v>0.790102193132043</v>
      </c>
      <c r="Q2406" s="0" t="str">
        <f aca="false">SUBSTITUTE(SUBSTITUTE($I2406,CHAR(61),""),CHAR(34),"")</f>
        <v>15-24</v>
      </c>
      <c r="R2406" s="0" t="str">
        <f aca="false">IF($D2406&lt;&gt;"","["&amp;$E2406&amp;"]"&amp;"|"&amp;$Q2406&amp;"|"&amp;$K2406&amp;"|"&amp;$G2406&amp;"|"&amp;IF($G2406="TX_CURR_SUBNAT.R","CY2022Q4",$M2406),"")</f>
        <v>[kxuuIFpOXyO]|15-24|Male|DIAGNOSED_SUBNAT.T_1|CY2023Q3</v>
      </c>
    </row>
    <row r="2407" customFormat="false" ht="15" hidden="false" customHeight="false" outlineLevel="0" collapsed="false">
      <c r="D2407" s="0" t="s">
        <v>63</v>
      </c>
      <c r="E2407" s="0" t="s">
        <v>64</v>
      </c>
      <c r="F2407" s="0" t="s">
        <v>65</v>
      </c>
      <c r="G2407" s="0" t="s">
        <v>148</v>
      </c>
      <c r="H2407" s="0" t="s">
        <v>149</v>
      </c>
      <c r="I2407" s="0" t="s">
        <v>41</v>
      </c>
      <c r="J2407" s="0" t="s">
        <v>42</v>
      </c>
      <c r="K2407" s="0" t="s">
        <v>48</v>
      </c>
      <c r="L2407" s="0" t="s">
        <v>49</v>
      </c>
      <c r="M2407" s="0" t="s">
        <v>140</v>
      </c>
      <c r="N2407" s="0" t="n">
        <v>1017</v>
      </c>
      <c r="O2407" s="10" t="n">
        <v>0.446288752136752</v>
      </c>
      <c r="P2407" s="10" t="n">
        <v>0.790102193132043</v>
      </c>
      <c r="Q2407" s="0" t="str">
        <f aca="false">SUBSTITUTE(SUBSTITUTE($I2407,CHAR(61),""),CHAR(34),"")</f>
        <v>25-34</v>
      </c>
      <c r="R2407" s="0" t="str">
        <f aca="false">IF($D2407&lt;&gt;"","["&amp;$E2407&amp;"]"&amp;"|"&amp;$Q2407&amp;"|"&amp;$K2407&amp;"|"&amp;$G2407&amp;"|"&amp;IF($G2407="TX_CURR_SUBNAT.R","CY2022Q4",$M2407),"")</f>
        <v>[kxuuIFpOXyO]|25-34|Male|DIAGNOSED_SUBNAT.T_1|CY2023Q3</v>
      </c>
    </row>
    <row r="2408" customFormat="false" ht="15" hidden="false" customHeight="false" outlineLevel="0" collapsed="false">
      <c r="D2408" s="0" t="s">
        <v>63</v>
      </c>
      <c r="E2408" s="0" t="s">
        <v>64</v>
      </c>
      <c r="F2408" s="0" t="s">
        <v>65</v>
      </c>
      <c r="G2408" s="0" t="s">
        <v>148</v>
      </c>
      <c r="H2408" s="0" t="s">
        <v>149</v>
      </c>
      <c r="I2408" s="0" t="s">
        <v>43</v>
      </c>
      <c r="J2408" s="0" t="s">
        <v>44</v>
      </c>
      <c r="K2408" s="0" t="s">
        <v>48</v>
      </c>
      <c r="L2408" s="0" t="s">
        <v>49</v>
      </c>
      <c r="M2408" s="0" t="s">
        <v>140</v>
      </c>
      <c r="N2408" s="0" t="n">
        <v>731</v>
      </c>
      <c r="O2408" s="10" t="n">
        <v>0.104735576780513</v>
      </c>
      <c r="P2408" s="10" t="n">
        <v>0.790102193132043</v>
      </c>
      <c r="Q2408" s="0" t="str">
        <f aca="false">SUBSTITUTE(SUBSTITUTE($I2408,CHAR(61),""),CHAR(34),"")</f>
        <v>35-49</v>
      </c>
      <c r="R2408" s="0" t="str">
        <f aca="false">IF($D2408&lt;&gt;"","["&amp;$E2408&amp;"]"&amp;"|"&amp;$Q2408&amp;"|"&amp;$K2408&amp;"|"&amp;$G2408&amp;"|"&amp;IF($G2408="TX_CURR_SUBNAT.R","CY2022Q4",$M2408),"")</f>
        <v>[kxuuIFpOXyO]|35-49|Male|DIAGNOSED_SUBNAT.T_1|CY2023Q3</v>
      </c>
    </row>
    <row r="2409" customFormat="false" ht="15" hidden="false" customHeight="false" outlineLevel="0" collapsed="false">
      <c r="D2409" s="0" t="s">
        <v>63</v>
      </c>
      <c r="E2409" s="0" t="s">
        <v>64</v>
      </c>
      <c r="F2409" s="0" t="s">
        <v>65</v>
      </c>
      <c r="G2409" s="0" t="s">
        <v>148</v>
      </c>
      <c r="H2409" s="0" t="s">
        <v>149</v>
      </c>
      <c r="I2409" s="0" t="s">
        <v>45</v>
      </c>
      <c r="J2409" s="0" t="s">
        <v>46</v>
      </c>
      <c r="K2409" s="0" t="s">
        <v>48</v>
      </c>
      <c r="L2409" s="0" t="s">
        <v>49</v>
      </c>
      <c r="M2409" s="0" t="s">
        <v>140</v>
      </c>
      <c r="N2409" s="0" t="n">
        <v>856</v>
      </c>
      <c r="O2409" s="10" t="n">
        <v>0.658873035339639</v>
      </c>
      <c r="P2409" s="10" t="n">
        <v>0.790102193132043</v>
      </c>
      <c r="Q2409" s="0" t="str">
        <f aca="false">SUBSTITUTE(SUBSTITUTE($I2409,CHAR(61),""),CHAR(34),"")</f>
        <v>50+</v>
      </c>
      <c r="R2409" s="0" t="str">
        <f aca="false">IF($D2409&lt;&gt;"","["&amp;$E2409&amp;"]"&amp;"|"&amp;$Q2409&amp;"|"&amp;$K2409&amp;"|"&amp;$G2409&amp;"|"&amp;IF($G2409="TX_CURR_SUBNAT.R","CY2022Q4",$M2409),"")</f>
        <v>[kxuuIFpOXyO]|50+|Male|DIAGNOSED_SUBNAT.T_1|CY2023Q3</v>
      </c>
    </row>
    <row r="2410" customFormat="false" ht="15" hidden="false" customHeight="false" outlineLevel="0" collapsed="false">
      <c r="D2410" s="0" t="s">
        <v>66</v>
      </c>
      <c r="E2410" s="0" t="s">
        <v>67</v>
      </c>
      <c r="F2410" s="0" t="s">
        <v>68</v>
      </c>
      <c r="G2410" s="0" t="s">
        <v>148</v>
      </c>
      <c r="H2410" s="0" t="s">
        <v>149</v>
      </c>
      <c r="I2410" s="0" t="s">
        <v>28</v>
      </c>
      <c r="J2410" s="0" t="s">
        <v>29</v>
      </c>
      <c r="K2410" s="0" t="s">
        <v>30</v>
      </c>
      <c r="L2410" s="0" t="s">
        <v>31</v>
      </c>
      <c r="M2410" s="0" t="s">
        <v>140</v>
      </c>
      <c r="N2410" s="0" t="n">
        <v>1479</v>
      </c>
      <c r="O2410" s="10" t="n">
        <v>0.145581465447322</v>
      </c>
      <c r="P2410" s="10" t="n">
        <v>0.164609884377569</v>
      </c>
      <c r="Q2410" s="0" t="str">
        <f aca="false">SUBSTITUTE(SUBSTITUTE($I2410,CHAR(61),""),CHAR(34),"")</f>
        <v>&lt;01</v>
      </c>
      <c r="R2410" s="0" t="str">
        <f aca="false">IF($D2410&lt;&gt;"","["&amp;$E2410&amp;"]"&amp;"|"&amp;$Q2410&amp;"|"&amp;$K2410&amp;"|"&amp;$G2410&amp;"|"&amp;IF($G2410="TX_CURR_SUBNAT.R","CY2022Q4",$M2410),"")</f>
        <v>[ScR9iFKAasW]|&lt;01|Female|DIAGNOSED_SUBNAT.T_1|CY2023Q3</v>
      </c>
    </row>
    <row r="2411" customFormat="false" ht="15" hidden="false" customHeight="false" outlineLevel="0" collapsed="false">
      <c r="D2411" s="0" t="s">
        <v>66</v>
      </c>
      <c r="E2411" s="0" t="s">
        <v>67</v>
      </c>
      <c r="F2411" s="0" t="s">
        <v>68</v>
      </c>
      <c r="G2411" s="0" t="s">
        <v>148</v>
      </c>
      <c r="H2411" s="0" t="s">
        <v>149</v>
      </c>
      <c r="I2411" s="0" t="s">
        <v>33</v>
      </c>
      <c r="J2411" s="0" t="s">
        <v>34</v>
      </c>
      <c r="K2411" s="0" t="s">
        <v>30</v>
      </c>
      <c r="L2411" s="0" t="s">
        <v>31</v>
      </c>
      <c r="M2411" s="0" t="s">
        <v>140</v>
      </c>
      <c r="N2411" s="0" t="n">
        <v>1910</v>
      </c>
      <c r="O2411" s="10" t="n">
        <v>0.103375130100176</v>
      </c>
      <c r="P2411" s="10" t="n">
        <v>0.164609884377569</v>
      </c>
      <c r="Q2411" s="0" t="str">
        <f aca="false">SUBSTITUTE(SUBSTITUTE($I2411,CHAR(61),""),CHAR(34),"")</f>
        <v>01-09</v>
      </c>
      <c r="R2411" s="0" t="str">
        <f aca="false">IF($D2411&lt;&gt;"","["&amp;$E2411&amp;"]"&amp;"|"&amp;$Q2411&amp;"|"&amp;$K2411&amp;"|"&amp;$G2411&amp;"|"&amp;IF($G2411="TX_CURR_SUBNAT.R","CY2022Q4",$M2411),"")</f>
        <v>[ScR9iFKAasW]|01-09|Female|DIAGNOSED_SUBNAT.T_1|CY2023Q3</v>
      </c>
    </row>
    <row r="2412" customFormat="false" ht="15" hidden="false" customHeight="false" outlineLevel="0" collapsed="false">
      <c r="D2412" s="0" t="s">
        <v>66</v>
      </c>
      <c r="E2412" s="0" t="s">
        <v>67</v>
      </c>
      <c r="F2412" s="0" t="s">
        <v>68</v>
      </c>
      <c r="G2412" s="0" t="s">
        <v>148</v>
      </c>
      <c r="H2412" s="0" t="s">
        <v>149</v>
      </c>
      <c r="I2412" s="0" t="s">
        <v>36</v>
      </c>
      <c r="J2412" s="0" t="s">
        <v>37</v>
      </c>
      <c r="K2412" s="0" t="s">
        <v>30</v>
      </c>
      <c r="L2412" s="0" t="s">
        <v>31</v>
      </c>
      <c r="M2412" s="0" t="s">
        <v>140</v>
      </c>
      <c r="N2412" s="0" t="n">
        <v>1060</v>
      </c>
      <c r="O2412" s="10" t="n">
        <v>0.162108476739377</v>
      </c>
      <c r="P2412" s="10" t="n">
        <v>0.164609884377569</v>
      </c>
      <c r="Q2412" s="0" t="str">
        <f aca="false">SUBSTITUTE(SUBSTITUTE($I2412,CHAR(61),""),CHAR(34),"")</f>
        <v>10-14</v>
      </c>
      <c r="R2412" s="0" t="str">
        <f aca="false">IF($D2412&lt;&gt;"","["&amp;$E2412&amp;"]"&amp;"|"&amp;$Q2412&amp;"|"&amp;$K2412&amp;"|"&amp;$G2412&amp;"|"&amp;IF($G2412="TX_CURR_SUBNAT.R","CY2022Q4",$M2412),"")</f>
        <v>[ScR9iFKAasW]|10-14|Female|DIAGNOSED_SUBNAT.T_1|CY2023Q3</v>
      </c>
    </row>
    <row r="2413" customFormat="false" ht="15" hidden="false" customHeight="false" outlineLevel="0" collapsed="false">
      <c r="D2413" s="0" t="s">
        <v>66</v>
      </c>
      <c r="E2413" s="0" t="s">
        <v>67</v>
      </c>
      <c r="F2413" s="0" t="s">
        <v>68</v>
      </c>
      <c r="G2413" s="0" t="s">
        <v>148</v>
      </c>
      <c r="H2413" s="0" t="s">
        <v>149</v>
      </c>
      <c r="I2413" s="0" t="s">
        <v>38</v>
      </c>
      <c r="J2413" s="0" t="s">
        <v>39</v>
      </c>
      <c r="K2413" s="0" t="s">
        <v>30</v>
      </c>
      <c r="L2413" s="0" t="s">
        <v>31</v>
      </c>
      <c r="M2413" s="0" t="s">
        <v>140</v>
      </c>
      <c r="N2413" s="0" t="n">
        <v>562</v>
      </c>
      <c r="O2413" s="10" t="n">
        <v>0.105259932111949</v>
      </c>
      <c r="P2413" s="10" t="n">
        <v>0.164609884377569</v>
      </c>
      <c r="Q2413" s="0" t="str">
        <f aca="false">SUBSTITUTE(SUBSTITUTE($I2413,CHAR(61),""),CHAR(34),"")</f>
        <v>15-24</v>
      </c>
      <c r="R2413" s="0" t="str">
        <f aca="false">IF($D2413&lt;&gt;"","["&amp;$E2413&amp;"]"&amp;"|"&amp;$Q2413&amp;"|"&amp;$K2413&amp;"|"&amp;$G2413&amp;"|"&amp;IF($G2413="TX_CURR_SUBNAT.R","CY2022Q4",$M2413),"")</f>
        <v>[ScR9iFKAasW]|15-24|Female|DIAGNOSED_SUBNAT.T_1|CY2023Q3</v>
      </c>
    </row>
    <row r="2414" customFormat="false" ht="15" hidden="false" customHeight="false" outlineLevel="0" collapsed="false">
      <c r="D2414" s="0" t="s">
        <v>66</v>
      </c>
      <c r="E2414" s="0" t="s">
        <v>67</v>
      </c>
      <c r="F2414" s="0" t="s">
        <v>68</v>
      </c>
      <c r="G2414" s="0" t="s">
        <v>148</v>
      </c>
      <c r="H2414" s="0" t="s">
        <v>149</v>
      </c>
      <c r="I2414" s="0" t="s">
        <v>41</v>
      </c>
      <c r="J2414" s="0" t="s">
        <v>42</v>
      </c>
      <c r="K2414" s="0" t="s">
        <v>30</v>
      </c>
      <c r="L2414" s="0" t="s">
        <v>31</v>
      </c>
      <c r="M2414" s="0" t="s">
        <v>140</v>
      </c>
      <c r="N2414" s="0" t="n">
        <v>1029</v>
      </c>
      <c r="O2414" s="10" t="n">
        <v>0.596965395146981</v>
      </c>
      <c r="P2414" s="10" t="n">
        <v>0.164609884377569</v>
      </c>
      <c r="Q2414" s="0" t="str">
        <f aca="false">SUBSTITUTE(SUBSTITUTE($I2414,CHAR(61),""),CHAR(34),"")</f>
        <v>25-34</v>
      </c>
      <c r="R2414" s="0" t="str">
        <f aca="false">IF($D2414&lt;&gt;"","["&amp;$E2414&amp;"]"&amp;"|"&amp;$Q2414&amp;"|"&amp;$K2414&amp;"|"&amp;$G2414&amp;"|"&amp;IF($G2414="TX_CURR_SUBNAT.R","CY2022Q4",$M2414),"")</f>
        <v>[ScR9iFKAasW]|25-34|Female|DIAGNOSED_SUBNAT.T_1|CY2023Q3</v>
      </c>
    </row>
    <row r="2415" customFormat="false" ht="15" hidden="false" customHeight="false" outlineLevel="0" collapsed="false">
      <c r="D2415" s="0" t="s">
        <v>66</v>
      </c>
      <c r="E2415" s="0" t="s">
        <v>67</v>
      </c>
      <c r="F2415" s="0" t="s">
        <v>68</v>
      </c>
      <c r="G2415" s="0" t="s">
        <v>148</v>
      </c>
      <c r="H2415" s="0" t="s">
        <v>149</v>
      </c>
      <c r="I2415" s="0" t="s">
        <v>43</v>
      </c>
      <c r="J2415" s="0" t="s">
        <v>44</v>
      </c>
      <c r="K2415" s="0" t="s">
        <v>30</v>
      </c>
      <c r="L2415" s="0" t="s">
        <v>31</v>
      </c>
      <c r="M2415" s="0" t="s">
        <v>140</v>
      </c>
      <c r="N2415" s="0" t="n">
        <v>1923</v>
      </c>
      <c r="O2415" s="10" t="n">
        <v>0.557335410499945</v>
      </c>
      <c r="P2415" s="10" t="n">
        <v>0.164609884377569</v>
      </c>
      <c r="Q2415" s="0" t="str">
        <f aca="false">SUBSTITUTE(SUBSTITUTE($I2415,CHAR(61),""),CHAR(34),"")</f>
        <v>35-49</v>
      </c>
      <c r="R2415" s="0" t="str">
        <f aca="false">IF($D2415&lt;&gt;"","["&amp;$E2415&amp;"]"&amp;"|"&amp;$Q2415&amp;"|"&amp;$K2415&amp;"|"&amp;$G2415&amp;"|"&amp;IF($G2415="TX_CURR_SUBNAT.R","CY2022Q4",$M2415),"")</f>
        <v>[ScR9iFKAasW]|35-49|Female|DIAGNOSED_SUBNAT.T_1|CY2023Q3</v>
      </c>
    </row>
    <row r="2416" customFormat="false" ht="15" hidden="false" customHeight="false" outlineLevel="0" collapsed="false">
      <c r="D2416" s="0" t="s">
        <v>66</v>
      </c>
      <c r="E2416" s="0" t="s">
        <v>67</v>
      </c>
      <c r="F2416" s="0" t="s">
        <v>68</v>
      </c>
      <c r="G2416" s="0" t="s">
        <v>148</v>
      </c>
      <c r="H2416" s="0" t="s">
        <v>149</v>
      </c>
      <c r="I2416" s="0" t="s">
        <v>45</v>
      </c>
      <c r="J2416" s="0" t="s">
        <v>46</v>
      </c>
      <c r="K2416" s="0" t="s">
        <v>30</v>
      </c>
      <c r="L2416" s="0" t="s">
        <v>31</v>
      </c>
      <c r="M2416" s="0" t="s">
        <v>140</v>
      </c>
      <c r="N2416" s="0" t="n">
        <v>937</v>
      </c>
      <c r="O2416" s="10" t="n">
        <v>0.937726024538279</v>
      </c>
      <c r="P2416" s="10" t="n">
        <v>0.164609884377569</v>
      </c>
      <c r="Q2416" s="0" t="str">
        <f aca="false">SUBSTITUTE(SUBSTITUTE($I2416,CHAR(61),""),CHAR(34),"")</f>
        <v>50+</v>
      </c>
      <c r="R2416" s="0" t="str">
        <f aca="false">IF($D2416&lt;&gt;"","["&amp;$E2416&amp;"]"&amp;"|"&amp;$Q2416&amp;"|"&amp;$K2416&amp;"|"&amp;$G2416&amp;"|"&amp;IF($G2416="TX_CURR_SUBNAT.R","CY2022Q4",$M2416),"")</f>
        <v>[ScR9iFKAasW]|50+|Female|DIAGNOSED_SUBNAT.T_1|CY2023Q3</v>
      </c>
    </row>
    <row r="2417" customFormat="false" ht="15" hidden="false" customHeight="false" outlineLevel="0" collapsed="false">
      <c r="D2417" s="0" t="s">
        <v>66</v>
      </c>
      <c r="E2417" s="0" t="s">
        <v>67</v>
      </c>
      <c r="F2417" s="0" t="s">
        <v>68</v>
      </c>
      <c r="G2417" s="0" t="s">
        <v>148</v>
      </c>
      <c r="H2417" s="0" t="s">
        <v>149</v>
      </c>
      <c r="I2417" s="0" t="s">
        <v>28</v>
      </c>
      <c r="J2417" s="0" t="s">
        <v>29</v>
      </c>
      <c r="K2417" s="0" t="s">
        <v>48</v>
      </c>
      <c r="L2417" s="0" t="s">
        <v>49</v>
      </c>
      <c r="M2417" s="0" t="s">
        <v>140</v>
      </c>
      <c r="N2417" s="0" t="n">
        <v>706</v>
      </c>
      <c r="O2417" s="10" t="n">
        <v>0.517718355171382</v>
      </c>
      <c r="P2417" s="10" t="n">
        <v>0.164609884377569</v>
      </c>
      <c r="Q2417" s="0" t="str">
        <f aca="false">SUBSTITUTE(SUBSTITUTE($I2417,CHAR(61),""),CHAR(34),"")</f>
        <v>&lt;01</v>
      </c>
      <c r="R2417" s="0" t="str">
        <f aca="false">IF($D2417&lt;&gt;"","["&amp;$E2417&amp;"]"&amp;"|"&amp;$Q2417&amp;"|"&amp;$K2417&amp;"|"&amp;$G2417&amp;"|"&amp;IF($G2417="TX_CURR_SUBNAT.R","CY2022Q4",$M2417),"")</f>
        <v>[ScR9iFKAasW]|&lt;01|Male|DIAGNOSED_SUBNAT.T_1|CY2023Q3</v>
      </c>
    </row>
    <row r="2418" customFormat="false" ht="15" hidden="false" customHeight="false" outlineLevel="0" collapsed="false">
      <c r="D2418" s="0" t="s">
        <v>66</v>
      </c>
      <c r="E2418" s="0" t="s">
        <v>67</v>
      </c>
      <c r="F2418" s="0" t="s">
        <v>68</v>
      </c>
      <c r="G2418" s="0" t="s">
        <v>148</v>
      </c>
      <c r="H2418" s="0" t="s">
        <v>149</v>
      </c>
      <c r="I2418" s="0" t="s">
        <v>33</v>
      </c>
      <c r="J2418" s="0" t="s">
        <v>34</v>
      </c>
      <c r="K2418" s="0" t="s">
        <v>48</v>
      </c>
      <c r="L2418" s="0" t="s">
        <v>49</v>
      </c>
      <c r="M2418" s="0" t="s">
        <v>140</v>
      </c>
      <c r="N2418" s="0" t="n">
        <v>749</v>
      </c>
      <c r="O2418" s="10" t="n">
        <v>0.707365626702085</v>
      </c>
      <c r="P2418" s="10" t="n">
        <v>0.164609884377569</v>
      </c>
      <c r="Q2418" s="0" t="str">
        <f aca="false">SUBSTITUTE(SUBSTITUTE($I2418,CHAR(61),""),CHAR(34),"")</f>
        <v>01-09</v>
      </c>
      <c r="R2418" s="0" t="str">
        <f aca="false">IF($D2418&lt;&gt;"","["&amp;$E2418&amp;"]"&amp;"|"&amp;$Q2418&amp;"|"&amp;$K2418&amp;"|"&amp;$G2418&amp;"|"&amp;IF($G2418="TX_CURR_SUBNAT.R","CY2022Q4",$M2418),"")</f>
        <v>[ScR9iFKAasW]|01-09|Male|DIAGNOSED_SUBNAT.T_1|CY2023Q3</v>
      </c>
    </row>
    <row r="2419" customFormat="false" ht="15" hidden="false" customHeight="false" outlineLevel="0" collapsed="false">
      <c r="D2419" s="0" t="s">
        <v>66</v>
      </c>
      <c r="E2419" s="0" t="s">
        <v>67</v>
      </c>
      <c r="F2419" s="0" t="s">
        <v>68</v>
      </c>
      <c r="G2419" s="0" t="s">
        <v>148</v>
      </c>
      <c r="H2419" s="0" t="s">
        <v>149</v>
      </c>
      <c r="I2419" s="0" t="s">
        <v>36</v>
      </c>
      <c r="J2419" s="0" t="s">
        <v>37</v>
      </c>
      <c r="K2419" s="0" t="s">
        <v>48</v>
      </c>
      <c r="L2419" s="0" t="s">
        <v>49</v>
      </c>
      <c r="M2419" s="0" t="s">
        <v>140</v>
      </c>
      <c r="N2419" s="0" t="n">
        <v>1636</v>
      </c>
      <c r="O2419" s="10" t="n">
        <v>0.68249504105188</v>
      </c>
      <c r="P2419" s="10" t="n">
        <v>0.164609884377569</v>
      </c>
      <c r="Q2419" s="0" t="str">
        <f aca="false">SUBSTITUTE(SUBSTITUTE($I2419,CHAR(61),""),CHAR(34),"")</f>
        <v>10-14</v>
      </c>
      <c r="R2419" s="0" t="str">
        <f aca="false">IF($D2419&lt;&gt;"","["&amp;$E2419&amp;"]"&amp;"|"&amp;$Q2419&amp;"|"&amp;$K2419&amp;"|"&amp;$G2419&amp;"|"&amp;IF($G2419="TX_CURR_SUBNAT.R","CY2022Q4",$M2419),"")</f>
        <v>[ScR9iFKAasW]|10-14|Male|DIAGNOSED_SUBNAT.T_1|CY2023Q3</v>
      </c>
    </row>
    <row r="2420" customFormat="false" ht="15" hidden="false" customHeight="false" outlineLevel="0" collapsed="false">
      <c r="D2420" s="0" t="s">
        <v>66</v>
      </c>
      <c r="E2420" s="0" t="s">
        <v>67</v>
      </c>
      <c r="F2420" s="0" t="s">
        <v>68</v>
      </c>
      <c r="G2420" s="0" t="s">
        <v>148</v>
      </c>
      <c r="H2420" s="0" t="s">
        <v>149</v>
      </c>
      <c r="I2420" s="0" t="s">
        <v>38</v>
      </c>
      <c r="J2420" s="0" t="s">
        <v>39</v>
      </c>
      <c r="K2420" s="0" t="s">
        <v>48</v>
      </c>
      <c r="L2420" s="0" t="s">
        <v>49</v>
      </c>
      <c r="M2420" s="0" t="s">
        <v>140</v>
      </c>
      <c r="N2420" s="0" t="n">
        <v>1145</v>
      </c>
      <c r="O2420" s="10" t="n">
        <v>0.0677287210710347</v>
      </c>
      <c r="P2420" s="10" t="n">
        <v>0.164609884377569</v>
      </c>
      <c r="Q2420" s="0" t="str">
        <f aca="false">SUBSTITUTE(SUBSTITUTE($I2420,CHAR(61),""),CHAR(34),"")</f>
        <v>15-24</v>
      </c>
      <c r="R2420" s="0" t="str">
        <f aca="false">IF($D2420&lt;&gt;"","["&amp;$E2420&amp;"]"&amp;"|"&amp;$Q2420&amp;"|"&amp;$K2420&amp;"|"&amp;$G2420&amp;"|"&amp;IF($G2420="TX_CURR_SUBNAT.R","CY2022Q4",$M2420),"")</f>
        <v>[ScR9iFKAasW]|15-24|Male|DIAGNOSED_SUBNAT.T_1|CY2023Q3</v>
      </c>
    </row>
    <row r="2421" customFormat="false" ht="15" hidden="false" customHeight="false" outlineLevel="0" collapsed="false">
      <c r="D2421" s="0" t="s">
        <v>66</v>
      </c>
      <c r="E2421" s="0" t="s">
        <v>67</v>
      </c>
      <c r="F2421" s="0" t="s">
        <v>68</v>
      </c>
      <c r="G2421" s="0" t="s">
        <v>148</v>
      </c>
      <c r="H2421" s="0" t="s">
        <v>149</v>
      </c>
      <c r="I2421" s="0" t="s">
        <v>41</v>
      </c>
      <c r="J2421" s="0" t="s">
        <v>42</v>
      </c>
      <c r="K2421" s="0" t="s">
        <v>48</v>
      </c>
      <c r="L2421" s="0" t="s">
        <v>49</v>
      </c>
      <c r="M2421" s="0" t="s">
        <v>140</v>
      </c>
      <c r="N2421" s="0" t="n">
        <v>1917</v>
      </c>
      <c r="O2421" s="10" t="n">
        <v>0.0605908730067313</v>
      </c>
      <c r="P2421" s="10" t="n">
        <v>0.164609884377569</v>
      </c>
      <c r="Q2421" s="0" t="str">
        <f aca="false">SUBSTITUTE(SUBSTITUTE($I2421,CHAR(61),""),CHAR(34),"")</f>
        <v>25-34</v>
      </c>
      <c r="R2421" s="0" t="str">
        <f aca="false">IF($D2421&lt;&gt;"","["&amp;$E2421&amp;"]"&amp;"|"&amp;$Q2421&amp;"|"&amp;$K2421&amp;"|"&amp;$G2421&amp;"|"&amp;IF($G2421="TX_CURR_SUBNAT.R","CY2022Q4",$M2421),"")</f>
        <v>[ScR9iFKAasW]|25-34|Male|DIAGNOSED_SUBNAT.T_1|CY2023Q3</v>
      </c>
    </row>
    <row r="2422" customFormat="false" ht="15" hidden="false" customHeight="false" outlineLevel="0" collapsed="false">
      <c r="D2422" s="0" t="s">
        <v>66</v>
      </c>
      <c r="E2422" s="0" t="s">
        <v>67</v>
      </c>
      <c r="F2422" s="0" t="s">
        <v>68</v>
      </c>
      <c r="G2422" s="0" t="s">
        <v>148</v>
      </c>
      <c r="H2422" s="0" t="s">
        <v>149</v>
      </c>
      <c r="I2422" s="0" t="s">
        <v>43</v>
      </c>
      <c r="J2422" s="0" t="s">
        <v>44</v>
      </c>
      <c r="K2422" s="0" t="s">
        <v>48</v>
      </c>
      <c r="L2422" s="0" t="s">
        <v>49</v>
      </c>
      <c r="M2422" s="0" t="s">
        <v>140</v>
      </c>
      <c r="N2422" s="0" t="n">
        <v>1757</v>
      </c>
      <c r="O2422" s="10" t="n">
        <v>0.366894472856075</v>
      </c>
      <c r="P2422" s="10" t="n">
        <v>0.164609884377569</v>
      </c>
      <c r="Q2422" s="0" t="str">
        <f aca="false">SUBSTITUTE(SUBSTITUTE($I2422,CHAR(61),""),CHAR(34),"")</f>
        <v>35-49</v>
      </c>
      <c r="R2422" s="0" t="str">
        <f aca="false">IF($D2422&lt;&gt;"","["&amp;$E2422&amp;"]"&amp;"|"&amp;$Q2422&amp;"|"&amp;$K2422&amp;"|"&amp;$G2422&amp;"|"&amp;IF($G2422="TX_CURR_SUBNAT.R","CY2022Q4",$M2422),"")</f>
        <v>[ScR9iFKAasW]|35-49|Male|DIAGNOSED_SUBNAT.T_1|CY2023Q3</v>
      </c>
    </row>
    <row r="2423" customFormat="false" ht="15" hidden="false" customHeight="false" outlineLevel="0" collapsed="false">
      <c r="D2423" s="0" t="s">
        <v>66</v>
      </c>
      <c r="E2423" s="0" t="s">
        <v>67</v>
      </c>
      <c r="F2423" s="0" t="s">
        <v>68</v>
      </c>
      <c r="G2423" s="0" t="s">
        <v>148</v>
      </c>
      <c r="H2423" s="0" t="s">
        <v>149</v>
      </c>
      <c r="I2423" s="0" t="s">
        <v>45</v>
      </c>
      <c r="J2423" s="0" t="s">
        <v>46</v>
      </c>
      <c r="K2423" s="0" t="s">
        <v>48</v>
      </c>
      <c r="L2423" s="0" t="s">
        <v>49</v>
      </c>
      <c r="M2423" s="0" t="s">
        <v>140</v>
      </c>
      <c r="N2423" s="0" t="n">
        <v>1528</v>
      </c>
      <c r="O2423" s="10" t="n">
        <v>0.370347844203934</v>
      </c>
      <c r="P2423" s="10" t="n">
        <v>0.164609884377569</v>
      </c>
      <c r="Q2423" s="0" t="str">
        <f aca="false">SUBSTITUTE(SUBSTITUTE($I2423,CHAR(61),""),CHAR(34),"")</f>
        <v>50+</v>
      </c>
      <c r="R2423" s="0" t="str">
        <f aca="false">IF($D2423&lt;&gt;"","["&amp;$E2423&amp;"]"&amp;"|"&amp;$Q2423&amp;"|"&amp;$K2423&amp;"|"&amp;$G2423&amp;"|"&amp;IF($G2423="TX_CURR_SUBNAT.R","CY2022Q4",$M2423),"")</f>
        <v>[ScR9iFKAasW]|50+|Male|DIAGNOSED_SUBNAT.T_1|CY2023Q3</v>
      </c>
    </row>
    <row r="2424" customFormat="false" ht="15" hidden="false" customHeight="false" outlineLevel="0" collapsed="false">
      <c r="D2424" s="0" t="s">
        <v>69</v>
      </c>
      <c r="E2424" s="0" t="s">
        <v>70</v>
      </c>
      <c r="F2424" s="0" t="s">
        <v>71</v>
      </c>
      <c r="G2424" s="0" t="s">
        <v>148</v>
      </c>
      <c r="H2424" s="0" t="s">
        <v>149</v>
      </c>
      <c r="I2424" s="0" t="s">
        <v>28</v>
      </c>
      <c r="J2424" s="0" t="s">
        <v>29</v>
      </c>
      <c r="K2424" s="0" t="s">
        <v>30</v>
      </c>
      <c r="L2424" s="0" t="s">
        <v>31</v>
      </c>
      <c r="M2424" s="0" t="s">
        <v>140</v>
      </c>
      <c r="N2424" s="0" t="n">
        <v>1375</v>
      </c>
      <c r="O2424" s="10" t="n">
        <v>0.052309128921479</v>
      </c>
      <c r="P2424" s="10" t="n">
        <v>0.198817263124511</v>
      </c>
      <c r="Q2424" s="0" t="str">
        <f aca="false">SUBSTITUTE(SUBSTITUTE($I2424,CHAR(61),""),CHAR(34),"")</f>
        <v>&lt;01</v>
      </c>
      <c r="R2424" s="0" t="str">
        <f aca="false">IF($D2424&lt;&gt;"","["&amp;$E2424&amp;"]"&amp;"|"&amp;$Q2424&amp;"|"&amp;$K2424&amp;"|"&amp;$G2424&amp;"|"&amp;IF($G2424="TX_CURR_SUBNAT.R","CY2022Q4",$M2424),"")</f>
        <v>[PekKUkKHAzY]|&lt;01|Female|DIAGNOSED_SUBNAT.T_1|CY2023Q3</v>
      </c>
    </row>
    <row r="2425" customFormat="false" ht="15" hidden="false" customHeight="false" outlineLevel="0" collapsed="false">
      <c r="D2425" s="0" t="s">
        <v>69</v>
      </c>
      <c r="E2425" s="0" t="s">
        <v>70</v>
      </c>
      <c r="F2425" s="0" t="s">
        <v>71</v>
      </c>
      <c r="G2425" s="0" t="s">
        <v>148</v>
      </c>
      <c r="H2425" s="0" t="s">
        <v>149</v>
      </c>
      <c r="I2425" s="0" t="s">
        <v>33</v>
      </c>
      <c r="J2425" s="0" t="s">
        <v>34</v>
      </c>
      <c r="K2425" s="0" t="s">
        <v>30</v>
      </c>
      <c r="L2425" s="0" t="s">
        <v>31</v>
      </c>
      <c r="M2425" s="0" t="s">
        <v>140</v>
      </c>
      <c r="N2425" s="0" t="n">
        <v>1222</v>
      </c>
      <c r="O2425" s="10" t="n">
        <v>0.825294421752915</v>
      </c>
      <c r="P2425" s="10" t="n">
        <v>0.198817263124511</v>
      </c>
      <c r="Q2425" s="0" t="str">
        <f aca="false">SUBSTITUTE(SUBSTITUTE($I2425,CHAR(61),""),CHAR(34),"")</f>
        <v>01-09</v>
      </c>
      <c r="R2425" s="0" t="str">
        <f aca="false">IF($D2425&lt;&gt;"","["&amp;$E2425&amp;"]"&amp;"|"&amp;$Q2425&amp;"|"&amp;$K2425&amp;"|"&amp;$G2425&amp;"|"&amp;IF($G2425="TX_CURR_SUBNAT.R","CY2022Q4",$M2425),"")</f>
        <v>[PekKUkKHAzY]|01-09|Female|DIAGNOSED_SUBNAT.T_1|CY2023Q3</v>
      </c>
    </row>
    <row r="2426" customFormat="false" ht="15" hidden="false" customHeight="false" outlineLevel="0" collapsed="false">
      <c r="D2426" s="0" t="s">
        <v>69</v>
      </c>
      <c r="E2426" s="0" t="s">
        <v>70</v>
      </c>
      <c r="F2426" s="0" t="s">
        <v>71</v>
      </c>
      <c r="G2426" s="0" t="s">
        <v>148</v>
      </c>
      <c r="H2426" s="0" t="s">
        <v>149</v>
      </c>
      <c r="I2426" s="0" t="s">
        <v>36</v>
      </c>
      <c r="J2426" s="0" t="s">
        <v>37</v>
      </c>
      <c r="K2426" s="0" t="s">
        <v>30</v>
      </c>
      <c r="L2426" s="0" t="s">
        <v>31</v>
      </c>
      <c r="M2426" s="0" t="s">
        <v>140</v>
      </c>
      <c r="N2426" s="0" t="n">
        <v>1053</v>
      </c>
      <c r="O2426" s="10" t="n">
        <v>0.59326372272335</v>
      </c>
      <c r="P2426" s="10" t="n">
        <v>0.198817263124511</v>
      </c>
      <c r="Q2426" s="0" t="str">
        <f aca="false">SUBSTITUTE(SUBSTITUTE($I2426,CHAR(61),""),CHAR(34),"")</f>
        <v>10-14</v>
      </c>
      <c r="R2426" s="0" t="str">
        <f aca="false">IF($D2426&lt;&gt;"","["&amp;$E2426&amp;"]"&amp;"|"&amp;$Q2426&amp;"|"&amp;$K2426&amp;"|"&amp;$G2426&amp;"|"&amp;IF($G2426="TX_CURR_SUBNAT.R","CY2022Q4",$M2426),"")</f>
        <v>[PekKUkKHAzY]|10-14|Female|DIAGNOSED_SUBNAT.T_1|CY2023Q3</v>
      </c>
    </row>
    <row r="2427" customFormat="false" ht="15" hidden="false" customHeight="false" outlineLevel="0" collapsed="false">
      <c r="D2427" s="0" t="s">
        <v>69</v>
      </c>
      <c r="E2427" s="0" t="s">
        <v>70</v>
      </c>
      <c r="F2427" s="0" t="s">
        <v>71</v>
      </c>
      <c r="G2427" s="0" t="s">
        <v>148</v>
      </c>
      <c r="H2427" s="0" t="s">
        <v>149</v>
      </c>
      <c r="I2427" s="0" t="s">
        <v>38</v>
      </c>
      <c r="J2427" s="0" t="s">
        <v>39</v>
      </c>
      <c r="K2427" s="0" t="s">
        <v>30</v>
      </c>
      <c r="L2427" s="0" t="s">
        <v>31</v>
      </c>
      <c r="M2427" s="0" t="s">
        <v>140</v>
      </c>
      <c r="N2427" s="0" t="n">
        <v>1128</v>
      </c>
      <c r="O2427" s="10" t="n">
        <v>0.914534054230899</v>
      </c>
      <c r="P2427" s="10" t="n">
        <v>0.198817263124511</v>
      </c>
      <c r="Q2427" s="0" t="str">
        <f aca="false">SUBSTITUTE(SUBSTITUTE($I2427,CHAR(61),""),CHAR(34),"")</f>
        <v>15-24</v>
      </c>
      <c r="R2427" s="0" t="str">
        <f aca="false">IF($D2427&lt;&gt;"","["&amp;$E2427&amp;"]"&amp;"|"&amp;$Q2427&amp;"|"&amp;$K2427&amp;"|"&amp;$G2427&amp;"|"&amp;IF($G2427="TX_CURR_SUBNAT.R","CY2022Q4",$M2427),"")</f>
        <v>[PekKUkKHAzY]|15-24|Female|DIAGNOSED_SUBNAT.T_1|CY2023Q3</v>
      </c>
    </row>
    <row r="2428" customFormat="false" ht="15" hidden="false" customHeight="false" outlineLevel="0" collapsed="false">
      <c r="D2428" s="0" t="s">
        <v>69</v>
      </c>
      <c r="E2428" s="0" t="s">
        <v>70</v>
      </c>
      <c r="F2428" s="0" t="s">
        <v>71</v>
      </c>
      <c r="G2428" s="0" t="s">
        <v>148</v>
      </c>
      <c r="H2428" s="0" t="s">
        <v>149</v>
      </c>
      <c r="I2428" s="0" t="s">
        <v>41</v>
      </c>
      <c r="J2428" s="0" t="s">
        <v>42</v>
      </c>
      <c r="K2428" s="0" t="s">
        <v>30</v>
      </c>
      <c r="L2428" s="0" t="s">
        <v>31</v>
      </c>
      <c r="M2428" s="0" t="s">
        <v>140</v>
      </c>
      <c r="N2428" s="0" t="n">
        <v>867</v>
      </c>
      <c r="O2428" s="10" t="n">
        <v>0.32444518757984</v>
      </c>
      <c r="P2428" s="10" t="n">
        <v>0.198817263124511</v>
      </c>
      <c r="Q2428" s="0" t="str">
        <f aca="false">SUBSTITUTE(SUBSTITUTE($I2428,CHAR(61),""),CHAR(34),"")</f>
        <v>25-34</v>
      </c>
      <c r="R2428" s="0" t="str">
        <f aca="false">IF($D2428&lt;&gt;"","["&amp;$E2428&amp;"]"&amp;"|"&amp;$Q2428&amp;"|"&amp;$K2428&amp;"|"&amp;$G2428&amp;"|"&amp;IF($G2428="TX_CURR_SUBNAT.R","CY2022Q4",$M2428),"")</f>
        <v>[PekKUkKHAzY]|25-34|Female|DIAGNOSED_SUBNAT.T_1|CY2023Q3</v>
      </c>
    </row>
    <row r="2429" customFormat="false" ht="15" hidden="false" customHeight="false" outlineLevel="0" collapsed="false">
      <c r="D2429" s="0" t="s">
        <v>69</v>
      </c>
      <c r="E2429" s="0" t="s">
        <v>70</v>
      </c>
      <c r="F2429" s="0" t="s">
        <v>71</v>
      </c>
      <c r="G2429" s="0" t="s">
        <v>148</v>
      </c>
      <c r="H2429" s="0" t="s">
        <v>149</v>
      </c>
      <c r="I2429" s="0" t="s">
        <v>43</v>
      </c>
      <c r="J2429" s="0" t="s">
        <v>44</v>
      </c>
      <c r="K2429" s="0" t="s">
        <v>30</v>
      </c>
      <c r="L2429" s="0" t="s">
        <v>31</v>
      </c>
      <c r="M2429" s="0" t="s">
        <v>140</v>
      </c>
      <c r="N2429" s="0" t="n">
        <v>1307</v>
      </c>
      <c r="O2429" s="10" t="n">
        <v>0.167522207600996</v>
      </c>
      <c r="P2429" s="10" t="n">
        <v>0.198817263124511</v>
      </c>
      <c r="Q2429" s="0" t="str">
        <f aca="false">SUBSTITUTE(SUBSTITUTE($I2429,CHAR(61),""),CHAR(34),"")</f>
        <v>35-49</v>
      </c>
      <c r="R2429" s="0" t="str">
        <f aca="false">IF($D2429&lt;&gt;"","["&amp;$E2429&amp;"]"&amp;"|"&amp;$Q2429&amp;"|"&amp;$K2429&amp;"|"&amp;$G2429&amp;"|"&amp;IF($G2429="TX_CURR_SUBNAT.R","CY2022Q4",$M2429),"")</f>
        <v>[PekKUkKHAzY]|35-49|Female|DIAGNOSED_SUBNAT.T_1|CY2023Q3</v>
      </c>
    </row>
    <row r="2430" customFormat="false" ht="15" hidden="false" customHeight="false" outlineLevel="0" collapsed="false">
      <c r="D2430" s="0" t="s">
        <v>69</v>
      </c>
      <c r="E2430" s="0" t="s">
        <v>70</v>
      </c>
      <c r="F2430" s="0" t="s">
        <v>71</v>
      </c>
      <c r="G2430" s="0" t="s">
        <v>148</v>
      </c>
      <c r="H2430" s="0" t="s">
        <v>149</v>
      </c>
      <c r="I2430" s="0" t="s">
        <v>45</v>
      </c>
      <c r="J2430" s="0" t="s">
        <v>46</v>
      </c>
      <c r="K2430" s="0" t="s">
        <v>30</v>
      </c>
      <c r="L2430" s="0" t="s">
        <v>31</v>
      </c>
      <c r="M2430" s="0" t="s">
        <v>140</v>
      </c>
      <c r="N2430" s="0" t="n">
        <v>1211</v>
      </c>
      <c r="O2430" s="10" t="n">
        <v>0.394000350032002</v>
      </c>
      <c r="P2430" s="10" t="n">
        <v>0.198817263124511</v>
      </c>
      <c r="Q2430" s="0" t="str">
        <f aca="false">SUBSTITUTE(SUBSTITUTE($I2430,CHAR(61),""),CHAR(34),"")</f>
        <v>50+</v>
      </c>
      <c r="R2430" s="0" t="str">
        <f aca="false">IF($D2430&lt;&gt;"","["&amp;$E2430&amp;"]"&amp;"|"&amp;$Q2430&amp;"|"&amp;$K2430&amp;"|"&amp;$G2430&amp;"|"&amp;IF($G2430="TX_CURR_SUBNAT.R","CY2022Q4",$M2430),"")</f>
        <v>[PekKUkKHAzY]|50+|Female|DIAGNOSED_SUBNAT.T_1|CY2023Q3</v>
      </c>
    </row>
    <row r="2431" customFormat="false" ht="15" hidden="false" customHeight="false" outlineLevel="0" collapsed="false">
      <c r="D2431" s="0" t="s">
        <v>69</v>
      </c>
      <c r="E2431" s="0" t="s">
        <v>70</v>
      </c>
      <c r="F2431" s="0" t="s">
        <v>71</v>
      </c>
      <c r="G2431" s="0" t="s">
        <v>148</v>
      </c>
      <c r="H2431" s="0" t="s">
        <v>149</v>
      </c>
      <c r="I2431" s="0" t="s">
        <v>28</v>
      </c>
      <c r="J2431" s="0" t="s">
        <v>29</v>
      </c>
      <c r="K2431" s="0" t="s">
        <v>48</v>
      </c>
      <c r="L2431" s="0" t="s">
        <v>49</v>
      </c>
      <c r="M2431" s="0" t="s">
        <v>140</v>
      </c>
      <c r="N2431" s="0" t="n">
        <v>1575</v>
      </c>
      <c r="O2431" s="10" t="n">
        <v>0.824537335429341</v>
      </c>
      <c r="P2431" s="10" t="n">
        <v>0.198817263124511</v>
      </c>
      <c r="Q2431" s="0" t="str">
        <f aca="false">SUBSTITUTE(SUBSTITUTE($I2431,CHAR(61),""),CHAR(34),"")</f>
        <v>&lt;01</v>
      </c>
      <c r="R2431" s="0" t="str">
        <f aca="false">IF($D2431&lt;&gt;"","["&amp;$E2431&amp;"]"&amp;"|"&amp;$Q2431&amp;"|"&amp;$K2431&amp;"|"&amp;$G2431&amp;"|"&amp;IF($G2431="TX_CURR_SUBNAT.R","CY2022Q4",$M2431),"")</f>
        <v>[PekKUkKHAzY]|&lt;01|Male|DIAGNOSED_SUBNAT.T_1|CY2023Q3</v>
      </c>
    </row>
    <row r="2432" customFormat="false" ht="15" hidden="false" customHeight="false" outlineLevel="0" collapsed="false">
      <c r="D2432" s="0" t="s">
        <v>69</v>
      </c>
      <c r="E2432" s="0" t="s">
        <v>70</v>
      </c>
      <c r="F2432" s="0" t="s">
        <v>71</v>
      </c>
      <c r="G2432" s="0" t="s">
        <v>148</v>
      </c>
      <c r="H2432" s="0" t="s">
        <v>149</v>
      </c>
      <c r="I2432" s="0" t="s">
        <v>33</v>
      </c>
      <c r="J2432" s="0" t="s">
        <v>34</v>
      </c>
      <c r="K2432" s="0" t="s">
        <v>48</v>
      </c>
      <c r="L2432" s="0" t="s">
        <v>49</v>
      </c>
      <c r="M2432" s="0" t="s">
        <v>140</v>
      </c>
      <c r="N2432" s="0" t="n">
        <v>683</v>
      </c>
      <c r="O2432" s="10" t="n">
        <v>0.912464116001502</v>
      </c>
      <c r="P2432" s="10" t="n">
        <v>0.198817263124511</v>
      </c>
      <c r="Q2432" s="0" t="str">
        <f aca="false">SUBSTITUTE(SUBSTITUTE($I2432,CHAR(61),""),CHAR(34),"")</f>
        <v>01-09</v>
      </c>
      <c r="R2432" s="0" t="str">
        <f aca="false">IF($D2432&lt;&gt;"","["&amp;$E2432&amp;"]"&amp;"|"&amp;$Q2432&amp;"|"&amp;$K2432&amp;"|"&amp;$G2432&amp;"|"&amp;IF($G2432="TX_CURR_SUBNAT.R","CY2022Q4",$M2432),"")</f>
        <v>[PekKUkKHAzY]|01-09|Male|DIAGNOSED_SUBNAT.T_1|CY2023Q3</v>
      </c>
    </row>
    <row r="2433" customFormat="false" ht="15" hidden="false" customHeight="false" outlineLevel="0" collapsed="false">
      <c r="D2433" s="0" t="s">
        <v>69</v>
      </c>
      <c r="E2433" s="0" t="s">
        <v>70</v>
      </c>
      <c r="F2433" s="0" t="s">
        <v>71</v>
      </c>
      <c r="G2433" s="0" t="s">
        <v>148</v>
      </c>
      <c r="H2433" s="0" t="s">
        <v>149</v>
      </c>
      <c r="I2433" s="0" t="s">
        <v>36</v>
      </c>
      <c r="J2433" s="0" t="s">
        <v>37</v>
      </c>
      <c r="K2433" s="0" t="s">
        <v>48</v>
      </c>
      <c r="L2433" s="0" t="s">
        <v>49</v>
      </c>
      <c r="M2433" s="0" t="s">
        <v>140</v>
      </c>
      <c r="N2433" s="0" t="n">
        <v>634</v>
      </c>
      <c r="O2433" s="10" t="n">
        <v>0.0338553471956402</v>
      </c>
      <c r="P2433" s="10" t="n">
        <v>0.198817263124511</v>
      </c>
      <c r="Q2433" s="0" t="str">
        <f aca="false">SUBSTITUTE(SUBSTITUTE($I2433,CHAR(61),""),CHAR(34),"")</f>
        <v>10-14</v>
      </c>
      <c r="R2433" s="0" t="str">
        <f aca="false">IF($D2433&lt;&gt;"","["&amp;$E2433&amp;"]"&amp;"|"&amp;$Q2433&amp;"|"&amp;$K2433&amp;"|"&amp;$G2433&amp;"|"&amp;IF($G2433="TX_CURR_SUBNAT.R","CY2022Q4",$M2433),"")</f>
        <v>[PekKUkKHAzY]|10-14|Male|DIAGNOSED_SUBNAT.T_1|CY2023Q3</v>
      </c>
    </row>
    <row r="2434" customFormat="false" ht="15" hidden="false" customHeight="false" outlineLevel="0" collapsed="false">
      <c r="D2434" s="0" t="s">
        <v>69</v>
      </c>
      <c r="E2434" s="0" t="s">
        <v>70</v>
      </c>
      <c r="F2434" s="0" t="s">
        <v>71</v>
      </c>
      <c r="G2434" s="0" t="s">
        <v>148</v>
      </c>
      <c r="H2434" s="0" t="s">
        <v>149</v>
      </c>
      <c r="I2434" s="0" t="s">
        <v>38</v>
      </c>
      <c r="J2434" s="0" t="s">
        <v>39</v>
      </c>
      <c r="K2434" s="0" t="s">
        <v>48</v>
      </c>
      <c r="L2434" s="0" t="s">
        <v>49</v>
      </c>
      <c r="M2434" s="0" t="s">
        <v>140</v>
      </c>
      <c r="N2434" s="0" t="n">
        <v>620</v>
      </c>
      <c r="O2434" s="10" t="n">
        <v>0.309466529404745</v>
      </c>
      <c r="P2434" s="10" t="n">
        <v>0.198817263124511</v>
      </c>
      <c r="Q2434" s="0" t="str">
        <f aca="false">SUBSTITUTE(SUBSTITUTE($I2434,CHAR(61),""),CHAR(34),"")</f>
        <v>15-24</v>
      </c>
      <c r="R2434" s="0" t="str">
        <f aca="false">IF($D2434&lt;&gt;"","["&amp;$E2434&amp;"]"&amp;"|"&amp;$Q2434&amp;"|"&amp;$K2434&amp;"|"&amp;$G2434&amp;"|"&amp;IF($G2434="TX_CURR_SUBNAT.R","CY2022Q4",$M2434),"")</f>
        <v>[PekKUkKHAzY]|15-24|Male|DIAGNOSED_SUBNAT.T_1|CY2023Q3</v>
      </c>
    </row>
    <row r="2435" customFormat="false" ht="15" hidden="false" customHeight="false" outlineLevel="0" collapsed="false">
      <c r="D2435" s="0" t="s">
        <v>69</v>
      </c>
      <c r="E2435" s="0" t="s">
        <v>70</v>
      </c>
      <c r="F2435" s="0" t="s">
        <v>71</v>
      </c>
      <c r="G2435" s="0" t="s">
        <v>148</v>
      </c>
      <c r="H2435" s="0" t="s">
        <v>149</v>
      </c>
      <c r="I2435" s="0" t="s">
        <v>41</v>
      </c>
      <c r="J2435" s="0" t="s">
        <v>42</v>
      </c>
      <c r="K2435" s="0" t="s">
        <v>48</v>
      </c>
      <c r="L2435" s="0" t="s">
        <v>49</v>
      </c>
      <c r="M2435" s="0" t="s">
        <v>140</v>
      </c>
      <c r="N2435" s="0" t="n">
        <v>1128</v>
      </c>
      <c r="O2435" s="10" t="n">
        <v>0.291850790381432</v>
      </c>
      <c r="P2435" s="10" t="n">
        <v>0.198817263124511</v>
      </c>
      <c r="Q2435" s="0" t="str">
        <f aca="false">SUBSTITUTE(SUBSTITUTE($I2435,CHAR(61),""),CHAR(34),"")</f>
        <v>25-34</v>
      </c>
      <c r="R2435" s="0" t="str">
        <f aca="false">IF($D2435&lt;&gt;"","["&amp;$E2435&amp;"]"&amp;"|"&amp;$Q2435&amp;"|"&amp;$K2435&amp;"|"&amp;$G2435&amp;"|"&amp;IF($G2435="TX_CURR_SUBNAT.R","CY2022Q4",$M2435),"")</f>
        <v>[PekKUkKHAzY]|25-34|Male|DIAGNOSED_SUBNAT.T_1|CY2023Q3</v>
      </c>
    </row>
    <row r="2436" customFormat="false" ht="15" hidden="false" customHeight="false" outlineLevel="0" collapsed="false">
      <c r="D2436" s="0" t="s">
        <v>69</v>
      </c>
      <c r="E2436" s="0" t="s">
        <v>70</v>
      </c>
      <c r="F2436" s="0" t="s">
        <v>71</v>
      </c>
      <c r="G2436" s="0" t="s">
        <v>148</v>
      </c>
      <c r="H2436" s="0" t="s">
        <v>149</v>
      </c>
      <c r="I2436" s="0" t="s">
        <v>43</v>
      </c>
      <c r="J2436" s="0" t="s">
        <v>44</v>
      </c>
      <c r="K2436" s="0" t="s">
        <v>48</v>
      </c>
      <c r="L2436" s="0" t="s">
        <v>49</v>
      </c>
      <c r="M2436" s="0" t="s">
        <v>140</v>
      </c>
      <c r="N2436" s="0" t="n">
        <v>1771</v>
      </c>
      <c r="O2436" s="10" t="n">
        <v>0.144936359720305</v>
      </c>
      <c r="P2436" s="10" t="n">
        <v>0.198817263124511</v>
      </c>
      <c r="Q2436" s="0" t="str">
        <f aca="false">SUBSTITUTE(SUBSTITUTE($I2436,CHAR(61),""),CHAR(34),"")</f>
        <v>35-49</v>
      </c>
      <c r="R2436" s="0" t="str">
        <f aca="false">IF($D2436&lt;&gt;"","["&amp;$E2436&amp;"]"&amp;"|"&amp;$Q2436&amp;"|"&amp;$K2436&amp;"|"&amp;$G2436&amp;"|"&amp;IF($G2436="TX_CURR_SUBNAT.R","CY2022Q4",$M2436),"")</f>
        <v>[PekKUkKHAzY]|35-49|Male|DIAGNOSED_SUBNAT.T_1|CY2023Q3</v>
      </c>
    </row>
    <row r="2437" customFormat="false" ht="15" hidden="false" customHeight="false" outlineLevel="0" collapsed="false">
      <c r="D2437" s="0" t="s">
        <v>69</v>
      </c>
      <c r="E2437" s="0" t="s">
        <v>70</v>
      </c>
      <c r="F2437" s="0" t="s">
        <v>71</v>
      </c>
      <c r="G2437" s="0" t="s">
        <v>148</v>
      </c>
      <c r="H2437" s="0" t="s">
        <v>149</v>
      </c>
      <c r="I2437" s="0" t="s">
        <v>45</v>
      </c>
      <c r="J2437" s="0" t="s">
        <v>46</v>
      </c>
      <c r="K2437" s="0" t="s">
        <v>48</v>
      </c>
      <c r="L2437" s="0" t="s">
        <v>49</v>
      </c>
      <c r="M2437" s="0" t="s">
        <v>140</v>
      </c>
      <c r="N2437" s="0" t="n">
        <v>1781</v>
      </c>
      <c r="O2437" s="10" t="n">
        <v>0.151547550223768</v>
      </c>
      <c r="P2437" s="10" t="n">
        <v>0.198817263124511</v>
      </c>
      <c r="Q2437" s="0" t="str">
        <f aca="false">SUBSTITUTE(SUBSTITUTE($I2437,CHAR(61),""),CHAR(34),"")</f>
        <v>50+</v>
      </c>
      <c r="R2437" s="0" t="str">
        <f aca="false">IF($D2437&lt;&gt;"","["&amp;$E2437&amp;"]"&amp;"|"&amp;$Q2437&amp;"|"&amp;$K2437&amp;"|"&amp;$G2437&amp;"|"&amp;IF($G2437="TX_CURR_SUBNAT.R","CY2022Q4",$M2437),"")</f>
        <v>[PekKUkKHAzY]|50+|Male|DIAGNOSED_SUBNAT.T_1|CY2023Q3</v>
      </c>
    </row>
    <row r="2438" customFormat="false" ht="15" hidden="false" customHeight="false" outlineLevel="0" collapsed="false">
      <c r="D2438" s="0" t="s">
        <v>72</v>
      </c>
      <c r="E2438" s="0" t="s">
        <v>73</v>
      </c>
      <c r="F2438" s="0" t="s">
        <v>74</v>
      </c>
      <c r="G2438" s="0" t="s">
        <v>148</v>
      </c>
      <c r="H2438" s="0" t="s">
        <v>149</v>
      </c>
      <c r="I2438" s="0" t="s">
        <v>28</v>
      </c>
      <c r="J2438" s="0" t="s">
        <v>29</v>
      </c>
      <c r="K2438" s="0" t="s">
        <v>30</v>
      </c>
      <c r="L2438" s="0" t="s">
        <v>31</v>
      </c>
      <c r="M2438" s="0" t="s">
        <v>140</v>
      </c>
      <c r="N2438" s="0" t="n">
        <v>507</v>
      </c>
      <c r="O2438" s="10" t="n">
        <v>0.962990598287433</v>
      </c>
      <c r="P2438" s="10" t="n">
        <v>0.289728706935421</v>
      </c>
      <c r="Q2438" s="0" t="str">
        <f aca="false">SUBSTITUTE(SUBSTITUTE($I2438,CHAR(61),""),CHAR(34),"")</f>
        <v>&lt;01</v>
      </c>
      <c r="R2438" s="0" t="str">
        <f aca="false">IF($D2438&lt;&gt;"","["&amp;$E2438&amp;"]"&amp;"|"&amp;$Q2438&amp;"|"&amp;$K2438&amp;"|"&amp;$G2438&amp;"|"&amp;IF($G2438="TX_CURR_SUBNAT.R","CY2022Q4",$M2438),"")</f>
        <v>[am530wpaGvr]|&lt;01|Female|DIAGNOSED_SUBNAT.T_1|CY2023Q3</v>
      </c>
    </row>
    <row r="2439" customFormat="false" ht="15" hidden="false" customHeight="false" outlineLevel="0" collapsed="false">
      <c r="D2439" s="0" t="s">
        <v>72</v>
      </c>
      <c r="E2439" s="0" t="s">
        <v>73</v>
      </c>
      <c r="F2439" s="0" t="s">
        <v>74</v>
      </c>
      <c r="G2439" s="0" t="s">
        <v>148</v>
      </c>
      <c r="H2439" s="0" t="s">
        <v>149</v>
      </c>
      <c r="I2439" s="0" t="s">
        <v>33</v>
      </c>
      <c r="J2439" s="0" t="s">
        <v>34</v>
      </c>
      <c r="K2439" s="0" t="s">
        <v>30</v>
      </c>
      <c r="L2439" s="0" t="s">
        <v>31</v>
      </c>
      <c r="M2439" s="0" t="s">
        <v>140</v>
      </c>
      <c r="N2439" s="0" t="n">
        <v>918</v>
      </c>
      <c r="O2439" s="10" t="n">
        <v>0.570800573099405</v>
      </c>
      <c r="P2439" s="10" t="n">
        <v>0.289728706935421</v>
      </c>
      <c r="Q2439" s="0" t="str">
        <f aca="false">SUBSTITUTE(SUBSTITUTE($I2439,CHAR(61),""),CHAR(34),"")</f>
        <v>01-09</v>
      </c>
      <c r="R2439" s="0" t="str">
        <f aca="false">IF($D2439&lt;&gt;"","["&amp;$E2439&amp;"]"&amp;"|"&amp;$Q2439&amp;"|"&amp;$K2439&amp;"|"&amp;$G2439&amp;"|"&amp;IF($G2439="TX_CURR_SUBNAT.R","CY2022Q4",$M2439),"")</f>
        <v>[am530wpaGvr]|01-09|Female|DIAGNOSED_SUBNAT.T_1|CY2023Q3</v>
      </c>
    </row>
    <row r="2440" customFormat="false" ht="15" hidden="false" customHeight="false" outlineLevel="0" collapsed="false">
      <c r="D2440" s="0" t="s">
        <v>72</v>
      </c>
      <c r="E2440" s="0" t="s">
        <v>73</v>
      </c>
      <c r="F2440" s="0" t="s">
        <v>74</v>
      </c>
      <c r="G2440" s="0" t="s">
        <v>148</v>
      </c>
      <c r="H2440" s="0" t="s">
        <v>149</v>
      </c>
      <c r="I2440" s="0" t="s">
        <v>36</v>
      </c>
      <c r="J2440" s="0" t="s">
        <v>37</v>
      </c>
      <c r="K2440" s="0" t="s">
        <v>30</v>
      </c>
      <c r="L2440" s="0" t="s">
        <v>31</v>
      </c>
      <c r="M2440" s="0" t="s">
        <v>140</v>
      </c>
      <c r="N2440" s="0" t="n">
        <v>576</v>
      </c>
      <c r="O2440" s="10" t="n">
        <v>0.666249128058553</v>
      </c>
      <c r="P2440" s="10" t="n">
        <v>0.289728706935421</v>
      </c>
      <c r="Q2440" s="0" t="str">
        <f aca="false">SUBSTITUTE(SUBSTITUTE($I2440,CHAR(61),""),CHAR(34),"")</f>
        <v>10-14</v>
      </c>
      <c r="R2440" s="0" t="str">
        <f aca="false">IF($D2440&lt;&gt;"","["&amp;$E2440&amp;"]"&amp;"|"&amp;$Q2440&amp;"|"&amp;$K2440&amp;"|"&amp;$G2440&amp;"|"&amp;IF($G2440="TX_CURR_SUBNAT.R","CY2022Q4",$M2440),"")</f>
        <v>[am530wpaGvr]|10-14|Female|DIAGNOSED_SUBNAT.T_1|CY2023Q3</v>
      </c>
    </row>
    <row r="2441" customFormat="false" ht="15" hidden="false" customHeight="false" outlineLevel="0" collapsed="false">
      <c r="D2441" s="0" t="s">
        <v>72</v>
      </c>
      <c r="E2441" s="0" t="s">
        <v>73</v>
      </c>
      <c r="F2441" s="0" t="s">
        <v>74</v>
      </c>
      <c r="G2441" s="0" t="s">
        <v>148</v>
      </c>
      <c r="H2441" s="0" t="s">
        <v>149</v>
      </c>
      <c r="I2441" s="0" t="s">
        <v>38</v>
      </c>
      <c r="J2441" s="0" t="s">
        <v>39</v>
      </c>
      <c r="K2441" s="0" t="s">
        <v>30</v>
      </c>
      <c r="L2441" s="0" t="s">
        <v>31</v>
      </c>
      <c r="M2441" s="0" t="s">
        <v>140</v>
      </c>
      <c r="N2441" s="0" t="n">
        <v>1292</v>
      </c>
      <c r="O2441" s="10" t="n">
        <v>0.874105939874426</v>
      </c>
      <c r="P2441" s="10" t="n">
        <v>0.289728706935421</v>
      </c>
      <c r="Q2441" s="0" t="str">
        <f aca="false">SUBSTITUTE(SUBSTITUTE($I2441,CHAR(61),""),CHAR(34),"")</f>
        <v>15-24</v>
      </c>
      <c r="R2441" s="0" t="str">
        <f aca="false">IF($D2441&lt;&gt;"","["&amp;$E2441&amp;"]"&amp;"|"&amp;$Q2441&amp;"|"&amp;$K2441&amp;"|"&amp;$G2441&amp;"|"&amp;IF($G2441="TX_CURR_SUBNAT.R","CY2022Q4",$M2441),"")</f>
        <v>[am530wpaGvr]|15-24|Female|DIAGNOSED_SUBNAT.T_1|CY2023Q3</v>
      </c>
    </row>
    <row r="2442" customFormat="false" ht="15" hidden="false" customHeight="false" outlineLevel="0" collapsed="false">
      <c r="D2442" s="0" t="s">
        <v>72</v>
      </c>
      <c r="E2442" s="0" t="s">
        <v>73</v>
      </c>
      <c r="F2442" s="0" t="s">
        <v>74</v>
      </c>
      <c r="G2442" s="0" t="s">
        <v>148</v>
      </c>
      <c r="H2442" s="0" t="s">
        <v>149</v>
      </c>
      <c r="I2442" s="0" t="s">
        <v>41</v>
      </c>
      <c r="J2442" s="0" t="s">
        <v>42</v>
      </c>
      <c r="K2442" s="0" t="s">
        <v>30</v>
      </c>
      <c r="L2442" s="0" t="s">
        <v>31</v>
      </c>
      <c r="M2442" s="0" t="s">
        <v>140</v>
      </c>
      <c r="N2442" s="0" t="n">
        <v>1396</v>
      </c>
      <c r="O2442" s="10" t="n">
        <v>0.449954666430131</v>
      </c>
      <c r="P2442" s="10" t="n">
        <v>0.289728706935421</v>
      </c>
      <c r="Q2442" s="0" t="str">
        <f aca="false">SUBSTITUTE(SUBSTITUTE($I2442,CHAR(61),""),CHAR(34),"")</f>
        <v>25-34</v>
      </c>
      <c r="R2442" s="0" t="str">
        <f aca="false">IF($D2442&lt;&gt;"","["&amp;$E2442&amp;"]"&amp;"|"&amp;$Q2442&amp;"|"&amp;$K2442&amp;"|"&amp;$G2442&amp;"|"&amp;IF($G2442="TX_CURR_SUBNAT.R","CY2022Q4",$M2442),"")</f>
        <v>[am530wpaGvr]|25-34|Female|DIAGNOSED_SUBNAT.T_1|CY2023Q3</v>
      </c>
    </row>
    <row r="2443" customFormat="false" ht="15" hidden="false" customHeight="false" outlineLevel="0" collapsed="false">
      <c r="D2443" s="0" t="s">
        <v>72</v>
      </c>
      <c r="E2443" s="0" t="s">
        <v>73</v>
      </c>
      <c r="F2443" s="0" t="s">
        <v>74</v>
      </c>
      <c r="G2443" s="0" t="s">
        <v>148</v>
      </c>
      <c r="H2443" s="0" t="s">
        <v>149</v>
      </c>
      <c r="I2443" s="0" t="s">
        <v>43</v>
      </c>
      <c r="J2443" s="0" t="s">
        <v>44</v>
      </c>
      <c r="K2443" s="0" t="s">
        <v>30</v>
      </c>
      <c r="L2443" s="0" t="s">
        <v>31</v>
      </c>
      <c r="M2443" s="0" t="s">
        <v>140</v>
      </c>
      <c r="N2443" s="0" t="n">
        <v>1878</v>
      </c>
      <c r="O2443" s="10" t="n">
        <v>0.690719494363293</v>
      </c>
      <c r="P2443" s="10" t="n">
        <v>0.289728706935421</v>
      </c>
      <c r="Q2443" s="0" t="str">
        <f aca="false">SUBSTITUTE(SUBSTITUTE($I2443,CHAR(61),""),CHAR(34),"")</f>
        <v>35-49</v>
      </c>
      <c r="R2443" s="0" t="str">
        <f aca="false">IF($D2443&lt;&gt;"","["&amp;$E2443&amp;"]"&amp;"|"&amp;$Q2443&amp;"|"&amp;$K2443&amp;"|"&amp;$G2443&amp;"|"&amp;IF($G2443="TX_CURR_SUBNAT.R","CY2022Q4",$M2443),"")</f>
        <v>[am530wpaGvr]|35-49|Female|DIAGNOSED_SUBNAT.T_1|CY2023Q3</v>
      </c>
    </row>
    <row r="2444" customFormat="false" ht="15" hidden="false" customHeight="false" outlineLevel="0" collapsed="false">
      <c r="D2444" s="0" t="s">
        <v>72</v>
      </c>
      <c r="E2444" s="0" t="s">
        <v>73</v>
      </c>
      <c r="F2444" s="0" t="s">
        <v>74</v>
      </c>
      <c r="G2444" s="0" t="s">
        <v>148</v>
      </c>
      <c r="H2444" s="0" t="s">
        <v>149</v>
      </c>
      <c r="I2444" s="0" t="s">
        <v>45</v>
      </c>
      <c r="J2444" s="0" t="s">
        <v>46</v>
      </c>
      <c r="K2444" s="0" t="s">
        <v>30</v>
      </c>
      <c r="L2444" s="0" t="s">
        <v>31</v>
      </c>
      <c r="M2444" s="0" t="s">
        <v>140</v>
      </c>
      <c r="N2444" s="0" t="n">
        <v>1642</v>
      </c>
      <c r="O2444" s="10" t="n">
        <v>0.334870857186615</v>
      </c>
      <c r="P2444" s="10" t="n">
        <v>0.289728706935421</v>
      </c>
      <c r="Q2444" s="0" t="str">
        <f aca="false">SUBSTITUTE(SUBSTITUTE($I2444,CHAR(61),""),CHAR(34),"")</f>
        <v>50+</v>
      </c>
      <c r="R2444" s="0" t="str">
        <f aca="false">IF($D2444&lt;&gt;"","["&amp;$E2444&amp;"]"&amp;"|"&amp;$Q2444&amp;"|"&amp;$K2444&amp;"|"&amp;$G2444&amp;"|"&amp;IF($G2444="TX_CURR_SUBNAT.R","CY2022Q4",$M2444),"")</f>
        <v>[am530wpaGvr]|50+|Female|DIAGNOSED_SUBNAT.T_1|CY2023Q3</v>
      </c>
    </row>
    <row r="2445" customFormat="false" ht="15" hidden="false" customHeight="false" outlineLevel="0" collapsed="false">
      <c r="D2445" s="0" t="s">
        <v>72</v>
      </c>
      <c r="E2445" s="0" t="s">
        <v>73</v>
      </c>
      <c r="F2445" s="0" t="s">
        <v>74</v>
      </c>
      <c r="G2445" s="0" t="s">
        <v>148</v>
      </c>
      <c r="H2445" s="0" t="s">
        <v>149</v>
      </c>
      <c r="I2445" s="0" t="s">
        <v>28</v>
      </c>
      <c r="J2445" s="0" t="s">
        <v>29</v>
      </c>
      <c r="K2445" s="0" t="s">
        <v>48</v>
      </c>
      <c r="L2445" s="0" t="s">
        <v>49</v>
      </c>
      <c r="M2445" s="0" t="s">
        <v>140</v>
      </c>
      <c r="N2445" s="0" t="n">
        <v>1979</v>
      </c>
      <c r="O2445" s="10" t="n">
        <v>0.193425260251388</v>
      </c>
      <c r="P2445" s="10" t="n">
        <v>0.289728706935421</v>
      </c>
      <c r="Q2445" s="0" t="str">
        <f aca="false">SUBSTITUTE(SUBSTITUTE($I2445,CHAR(61),""),CHAR(34),"")</f>
        <v>&lt;01</v>
      </c>
      <c r="R2445" s="0" t="str">
        <f aca="false">IF($D2445&lt;&gt;"","["&amp;$E2445&amp;"]"&amp;"|"&amp;$Q2445&amp;"|"&amp;$K2445&amp;"|"&amp;$G2445&amp;"|"&amp;IF($G2445="TX_CURR_SUBNAT.R","CY2022Q4",$M2445),"")</f>
        <v>[am530wpaGvr]|&lt;01|Male|DIAGNOSED_SUBNAT.T_1|CY2023Q3</v>
      </c>
    </row>
    <row r="2446" customFormat="false" ht="15" hidden="false" customHeight="false" outlineLevel="0" collapsed="false">
      <c r="D2446" s="0" t="s">
        <v>72</v>
      </c>
      <c r="E2446" s="0" t="s">
        <v>73</v>
      </c>
      <c r="F2446" s="0" t="s">
        <v>74</v>
      </c>
      <c r="G2446" s="0" t="s">
        <v>148</v>
      </c>
      <c r="H2446" s="0" t="s">
        <v>149</v>
      </c>
      <c r="I2446" s="0" t="s">
        <v>33</v>
      </c>
      <c r="J2446" s="0" t="s">
        <v>34</v>
      </c>
      <c r="K2446" s="0" t="s">
        <v>48</v>
      </c>
      <c r="L2446" s="0" t="s">
        <v>49</v>
      </c>
      <c r="M2446" s="0" t="s">
        <v>140</v>
      </c>
      <c r="N2446" s="0" t="n">
        <v>1707</v>
      </c>
      <c r="O2446" s="10" t="n">
        <v>0.616054429672658</v>
      </c>
      <c r="P2446" s="10" t="n">
        <v>0.289728706935421</v>
      </c>
      <c r="Q2446" s="0" t="str">
        <f aca="false">SUBSTITUTE(SUBSTITUTE($I2446,CHAR(61),""),CHAR(34),"")</f>
        <v>01-09</v>
      </c>
      <c r="R2446" s="0" t="str">
        <f aca="false">IF($D2446&lt;&gt;"","["&amp;$E2446&amp;"]"&amp;"|"&amp;$Q2446&amp;"|"&amp;$K2446&amp;"|"&amp;$G2446&amp;"|"&amp;IF($G2446="TX_CURR_SUBNAT.R","CY2022Q4",$M2446),"")</f>
        <v>[am530wpaGvr]|01-09|Male|DIAGNOSED_SUBNAT.T_1|CY2023Q3</v>
      </c>
    </row>
    <row r="2447" customFormat="false" ht="15" hidden="false" customHeight="false" outlineLevel="0" collapsed="false">
      <c r="D2447" s="0" t="s">
        <v>72</v>
      </c>
      <c r="E2447" s="0" t="s">
        <v>73</v>
      </c>
      <c r="F2447" s="0" t="s">
        <v>74</v>
      </c>
      <c r="G2447" s="0" t="s">
        <v>148</v>
      </c>
      <c r="H2447" s="0" t="s">
        <v>149</v>
      </c>
      <c r="I2447" s="0" t="s">
        <v>36</v>
      </c>
      <c r="J2447" s="0" t="s">
        <v>37</v>
      </c>
      <c r="K2447" s="0" t="s">
        <v>48</v>
      </c>
      <c r="L2447" s="0" t="s">
        <v>49</v>
      </c>
      <c r="M2447" s="0" t="s">
        <v>140</v>
      </c>
      <c r="N2447" s="0" t="n">
        <v>1897</v>
      </c>
      <c r="O2447" s="10" t="n">
        <v>0.0339002620894462</v>
      </c>
      <c r="P2447" s="10" t="n">
        <v>0.289728706935421</v>
      </c>
      <c r="Q2447" s="0" t="str">
        <f aca="false">SUBSTITUTE(SUBSTITUTE($I2447,CHAR(61),""),CHAR(34),"")</f>
        <v>10-14</v>
      </c>
      <c r="R2447" s="0" t="str">
        <f aca="false">IF($D2447&lt;&gt;"","["&amp;$E2447&amp;"]"&amp;"|"&amp;$Q2447&amp;"|"&amp;$K2447&amp;"|"&amp;$G2447&amp;"|"&amp;IF($G2447="TX_CURR_SUBNAT.R","CY2022Q4",$M2447),"")</f>
        <v>[am530wpaGvr]|10-14|Male|DIAGNOSED_SUBNAT.T_1|CY2023Q3</v>
      </c>
    </row>
    <row r="2448" customFormat="false" ht="15" hidden="false" customHeight="false" outlineLevel="0" collapsed="false">
      <c r="D2448" s="0" t="s">
        <v>72</v>
      </c>
      <c r="E2448" s="0" t="s">
        <v>73</v>
      </c>
      <c r="F2448" s="0" t="s">
        <v>74</v>
      </c>
      <c r="G2448" s="0" t="s">
        <v>148</v>
      </c>
      <c r="H2448" s="0" t="s">
        <v>149</v>
      </c>
      <c r="I2448" s="0" t="s">
        <v>38</v>
      </c>
      <c r="J2448" s="0" t="s">
        <v>39</v>
      </c>
      <c r="K2448" s="0" t="s">
        <v>48</v>
      </c>
      <c r="L2448" s="0" t="s">
        <v>49</v>
      </c>
      <c r="M2448" s="0" t="s">
        <v>140</v>
      </c>
      <c r="N2448" s="0" t="n">
        <v>1244</v>
      </c>
      <c r="O2448" s="10" t="n">
        <v>0.973152443068102</v>
      </c>
      <c r="P2448" s="10" t="n">
        <v>0.289728706935421</v>
      </c>
      <c r="Q2448" s="0" t="str">
        <f aca="false">SUBSTITUTE(SUBSTITUTE($I2448,CHAR(61),""),CHAR(34),"")</f>
        <v>15-24</v>
      </c>
      <c r="R2448" s="0" t="str">
        <f aca="false">IF($D2448&lt;&gt;"","["&amp;$E2448&amp;"]"&amp;"|"&amp;$Q2448&amp;"|"&amp;$K2448&amp;"|"&amp;$G2448&amp;"|"&amp;IF($G2448="TX_CURR_SUBNAT.R","CY2022Q4",$M2448),"")</f>
        <v>[am530wpaGvr]|15-24|Male|DIAGNOSED_SUBNAT.T_1|CY2023Q3</v>
      </c>
    </row>
    <row r="2449" customFormat="false" ht="15" hidden="false" customHeight="false" outlineLevel="0" collapsed="false">
      <c r="D2449" s="0" t="s">
        <v>72</v>
      </c>
      <c r="E2449" s="0" t="s">
        <v>73</v>
      </c>
      <c r="F2449" s="0" t="s">
        <v>74</v>
      </c>
      <c r="G2449" s="0" t="s">
        <v>148</v>
      </c>
      <c r="H2449" s="0" t="s">
        <v>149</v>
      </c>
      <c r="I2449" s="0" t="s">
        <v>41</v>
      </c>
      <c r="J2449" s="0" t="s">
        <v>42</v>
      </c>
      <c r="K2449" s="0" t="s">
        <v>48</v>
      </c>
      <c r="L2449" s="0" t="s">
        <v>49</v>
      </c>
      <c r="M2449" s="0" t="s">
        <v>140</v>
      </c>
      <c r="N2449" s="0" t="n">
        <v>1076</v>
      </c>
      <c r="O2449" s="10" t="n">
        <v>0.28952158568427</v>
      </c>
      <c r="P2449" s="10" t="n">
        <v>0.289728706935421</v>
      </c>
      <c r="Q2449" s="0" t="str">
        <f aca="false">SUBSTITUTE(SUBSTITUTE($I2449,CHAR(61),""),CHAR(34),"")</f>
        <v>25-34</v>
      </c>
      <c r="R2449" s="0" t="str">
        <f aca="false">IF($D2449&lt;&gt;"","["&amp;$E2449&amp;"]"&amp;"|"&amp;$Q2449&amp;"|"&amp;$K2449&amp;"|"&amp;$G2449&amp;"|"&amp;IF($G2449="TX_CURR_SUBNAT.R","CY2022Q4",$M2449),"")</f>
        <v>[am530wpaGvr]|25-34|Male|DIAGNOSED_SUBNAT.T_1|CY2023Q3</v>
      </c>
    </row>
    <row r="2450" customFormat="false" ht="15" hidden="false" customHeight="false" outlineLevel="0" collapsed="false">
      <c r="D2450" s="0" t="s">
        <v>72</v>
      </c>
      <c r="E2450" s="0" t="s">
        <v>73</v>
      </c>
      <c r="F2450" s="0" t="s">
        <v>74</v>
      </c>
      <c r="G2450" s="0" t="s">
        <v>148</v>
      </c>
      <c r="H2450" s="0" t="s">
        <v>149</v>
      </c>
      <c r="I2450" s="0" t="s">
        <v>43</v>
      </c>
      <c r="J2450" s="0" t="s">
        <v>44</v>
      </c>
      <c r="K2450" s="0" t="s">
        <v>48</v>
      </c>
      <c r="L2450" s="0" t="s">
        <v>49</v>
      </c>
      <c r="M2450" s="0" t="s">
        <v>140</v>
      </c>
      <c r="N2450" s="0" t="n">
        <v>1536</v>
      </c>
      <c r="O2450" s="10" t="n">
        <v>0.00834619160741568</v>
      </c>
      <c r="P2450" s="10" t="n">
        <v>0.289728706935421</v>
      </c>
      <c r="Q2450" s="0" t="str">
        <f aca="false">SUBSTITUTE(SUBSTITUTE($I2450,CHAR(61),""),CHAR(34),"")</f>
        <v>35-49</v>
      </c>
      <c r="R2450" s="0" t="str">
        <f aca="false">IF($D2450&lt;&gt;"","["&amp;$E2450&amp;"]"&amp;"|"&amp;$Q2450&amp;"|"&amp;$K2450&amp;"|"&amp;$G2450&amp;"|"&amp;IF($G2450="TX_CURR_SUBNAT.R","CY2022Q4",$M2450),"")</f>
        <v>[am530wpaGvr]|35-49|Male|DIAGNOSED_SUBNAT.T_1|CY2023Q3</v>
      </c>
    </row>
    <row r="2451" customFormat="false" ht="15" hidden="false" customHeight="false" outlineLevel="0" collapsed="false">
      <c r="D2451" s="0" t="s">
        <v>72</v>
      </c>
      <c r="E2451" s="0" t="s">
        <v>73</v>
      </c>
      <c r="F2451" s="0" t="s">
        <v>74</v>
      </c>
      <c r="G2451" s="0" t="s">
        <v>148</v>
      </c>
      <c r="H2451" s="0" t="s">
        <v>149</v>
      </c>
      <c r="I2451" s="0" t="s">
        <v>45</v>
      </c>
      <c r="J2451" s="0" t="s">
        <v>46</v>
      </c>
      <c r="K2451" s="0" t="s">
        <v>48</v>
      </c>
      <c r="L2451" s="0" t="s">
        <v>49</v>
      </c>
      <c r="M2451" s="0" t="s">
        <v>140</v>
      </c>
      <c r="N2451" s="0" t="n">
        <v>1696</v>
      </c>
      <c r="O2451" s="10" t="n">
        <v>0.532618923811242</v>
      </c>
      <c r="P2451" s="10" t="n">
        <v>0.289728706935421</v>
      </c>
      <c r="Q2451" s="0" t="str">
        <f aca="false">SUBSTITUTE(SUBSTITUTE($I2451,CHAR(61),""),CHAR(34),"")</f>
        <v>50+</v>
      </c>
      <c r="R2451" s="0" t="str">
        <f aca="false">IF($D2451&lt;&gt;"","["&amp;$E2451&amp;"]"&amp;"|"&amp;$Q2451&amp;"|"&amp;$K2451&amp;"|"&amp;$G2451&amp;"|"&amp;IF($G2451="TX_CURR_SUBNAT.R","CY2022Q4",$M2451),"")</f>
        <v>[am530wpaGvr]|50+|Male|DIAGNOSED_SUBNAT.T_1|CY2023Q3</v>
      </c>
    </row>
    <row r="2452" customFormat="false" ht="15" hidden="false" customHeight="false" outlineLevel="0" collapsed="false">
      <c r="D2452" s="0" t="s">
        <v>75</v>
      </c>
      <c r="E2452" s="0" t="s">
        <v>76</v>
      </c>
      <c r="F2452" s="0" t="s">
        <v>77</v>
      </c>
      <c r="G2452" s="0" t="s">
        <v>148</v>
      </c>
      <c r="H2452" s="0" t="s">
        <v>149</v>
      </c>
      <c r="I2452" s="0" t="s">
        <v>28</v>
      </c>
      <c r="J2452" s="0" t="s">
        <v>29</v>
      </c>
      <c r="K2452" s="0" t="s">
        <v>30</v>
      </c>
      <c r="L2452" s="0" t="s">
        <v>31</v>
      </c>
      <c r="M2452" s="0" t="s">
        <v>140</v>
      </c>
      <c r="N2452" s="0" t="n">
        <v>836</v>
      </c>
      <c r="O2452" s="10" t="n">
        <v>0.975029561901465</v>
      </c>
      <c r="P2452" s="10" t="n">
        <v>0.303055507596582</v>
      </c>
      <c r="Q2452" s="0" t="str">
        <f aca="false">SUBSTITUTE(SUBSTITUTE($I2452,CHAR(61),""),CHAR(34),"")</f>
        <v>&lt;01</v>
      </c>
      <c r="R2452" s="0" t="str">
        <f aca="false">IF($D2452&lt;&gt;"","["&amp;$E2452&amp;"]"&amp;"|"&amp;$Q2452&amp;"|"&amp;$K2452&amp;"|"&amp;$G2452&amp;"|"&amp;IF($G2452="TX_CURR_SUBNAT.R","CY2022Q4",$M2452),"")</f>
        <v>[lLDyBx5XyUi]|&lt;01|Female|DIAGNOSED_SUBNAT.T_1|CY2023Q3</v>
      </c>
    </row>
    <row r="2453" customFormat="false" ht="15" hidden="false" customHeight="false" outlineLevel="0" collapsed="false">
      <c r="D2453" s="0" t="s">
        <v>75</v>
      </c>
      <c r="E2453" s="0" t="s">
        <v>76</v>
      </c>
      <c r="F2453" s="0" t="s">
        <v>77</v>
      </c>
      <c r="G2453" s="0" t="s">
        <v>148</v>
      </c>
      <c r="H2453" s="0" t="s">
        <v>149</v>
      </c>
      <c r="I2453" s="0" t="s">
        <v>33</v>
      </c>
      <c r="J2453" s="0" t="s">
        <v>34</v>
      </c>
      <c r="K2453" s="0" t="s">
        <v>30</v>
      </c>
      <c r="L2453" s="0" t="s">
        <v>31</v>
      </c>
      <c r="M2453" s="0" t="s">
        <v>140</v>
      </c>
      <c r="N2453" s="0" t="n">
        <v>1962</v>
      </c>
      <c r="O2453" s="10" t="n">
        <v>0.239427190739661</v>
      </c>
      <c r="P2453" s="10" t="n">
        <v>0.303055507596582</v>
      </c>
      <c r="Q2453" s="0" t="str">
        <f aca="false">SUBSTITUTE(SUBSTITUTE($I2453,CHAR(61),""),CHAR(34),"")</f>
        <v>01-09</v>
      </c>
      <c r="R2453" s="0" t="str">
        <f aca="false">IF($D2453&lt;&gt;"","["&amp;$E2453&amp;"]"&amp;"|"&amp;$Q2453&amp;"|"&amp;$K2453&amp;"|"&amp;$G2453&amp;"|"&amp;IF($G2453="TX_CURR_SUBNAT.R","CY2022Q4",$M2453),"")</f>
        <v>[lLDyBx5XyUi]|01-09|Female|DIAGNOSED_SUBNAT.T_1|CY2023Q3</v>
      </c>
    </row>
    <row r="2454" customFormat="false" ht="15" hidden="false" customHeight="false" outlineLevel="0" collapsed="false">
      <c r="D2454" s="0" t="s">
        <v>75</v>
      </c>
      <c r="E2454" s="0" t="s">
        <v>76</v>
      </c>
      <c r="F2454" s="0" t="s">
        <v>77</v>
      </c>
      <c r="G2454" s="0" t="s">
        <v>148</v>
      </c>
      <c r="H2454" s="0" t="s">
        <v>149</v>
      </c>
      <c r="I2454" s="0" t="s">
        <v>36</v>
      </c>
      <c r="J2454" s="0" t="s">
        <v>37</v>
      </c>
      <c r="K2454" s="0" t="s">
        <v>30</v>
      </c>
      <c r="L2454" s="0" t="s">
        <v>31</v>
      </c>
      <c r="M2454" s="0" t="s">
        <v>140</v>
      </c>
      <c r="N2454" s="0" t="n">
        <v>1982</v>
      </c>
      <c r="O2454" s="10" t="n">
        <v>0.727023526793346</v>
      </c>
      <c r="P2454" s="10" t="n">
        <v>0.303055507596582</v>
      </c>
      <c r="Q2454" s="0" t="str">
        <f aca="false">SUBSTITUTE(SUBSTITUTE($I2454,CHAR(61),""),CHAR(34),"")</f>
        <v>10-14</v>
      </c>
      <c r="R2454" s="0" t="str">
        <f aca="false">IF($D2454&lt;&gt;"","["&amp;$E2454&amp;"]"&amp;"|"&amp;$Q2454&amp;"|"&amp;$K2454&amp;"|"&amp;$G2454&amp;"|"&amp;IF($G2454="TX_CURR_SUBNAT.R","CY2022Q4",$M2454),"")</f>
        <v>[lLDyBx5XyUi]|10-14|Female|DIAGNOSED_SUBNAT.T_1|CY2023Q3</v>
      </c>
    </row>
    <row r="2455" customFormat="false" ht="15" hidden="false" customHeight="false" outlineLevel="0" collapsed="false">
      <c r="D2455" s="0" t="s">
        <v>75</v>
      </c>
      <c r="E2455" s="0" t="s">
        <v>76</v>
      </c>
      <c r="F2455" s="0" t="s">
        <v>77</v>
      </c>
      <c r="G2455" s="0" t="s">
        <v>148</v>
      </c>
      <c r="H2455" s="0" t="s">
        <v>149</v>
      </c>
      <c r="I2455" s="0" t="s">
        <v>38</v>
      </c>
      <c r="J2455" s="0" t="s">
        <v>39</v>
      </c>
      <c r="K2455" s="0" t="s">
        <v>30</v>
      </c>
      <c r="L2455" s="0" t="s">
        <v>31</v>
      </c>
      <c r="M2455" s="0" t="s">
        <v>140</v>
      </c>
      <c r="N2455" s="0" t="n">
        <v>514</v>
      </c>
      <c r="O2455" s="10" t="n">
        <v>0.333367424318567</v>
      </c>
      <c r="P2455" s="10" t="n">
        <v>0.303055507596582</v>
      </c>
      <c r="Q2455" s="0" t="str">
        <f aca="false">SUBSTITUTE(SUBSTITUTE($I2455,CHAR(61),""),CHAR(34),"")</f>
        <v>15-24</v>
      </c>
      <c r="R2455" s="0" t="str">
        <f aca="false">IF($D2455&lt;&gt;"","["&amp;$E2455&amp;"]"&amp;"|"&amp;$Q2455&amp;"|"&amp;$K2455&amp;"|"&amp;$G2455&amp;"|"&amp;IF($G2455="TX_CURR_SUBNAT.R","CY2022Q4",$M2455),"")</f>
        <v>[lLDyBx5XyUi]|15-24|Female|DIAGNOSED_SUBNAT.T_1|CY2023Q3</v>
      </c>
    </row>
    <row r="2456" customFormat="false" ht="15" hidden="false" customHeight="false" outlineLevel="0" collapsed="false">
      <c r="D2456" s="0" t="s">
        <v>75</v>
      </c>
      <c r="E2456" s="0" t="s">
        <v>76</v>
      </c>
      <c r="F2456" s="0" t="s">
        <v>77</v>
      </c>
      <c r="G2456" s="0" t="s">
        <v>148</v>
      </c>
      <c r="H2456" s="0" t="s">
        <v>149</v>
      </c>
      <c r="I2456" s="0" t="s">
        <v>41</v>
      </c>
      <c r="J2456" s="0" t="s">
        <v>42</v>
      </c>
      <c r="K2456" s="0" t="s">
        <v>30</v>
      </c>
      <c r="L2456" s="0" t="s">
        <v>31</v>
      </c>
      <c r="M2456" s="0" t="s">
        <v>140</v>
      </c>
      <c r="N2456" s="0" t="n">
        <v>1932</v>
      </c>
      <c r="O2456" s="10" t="n">
        <v>0.168779929401353</v>
      </c>
      <c r="P2456" s="10" t="n">
        <v>0.303055507596582</v>
      </c>
      <c r="Q2456" s="0" t="str">
        <f aca="false">SUBSTITUTE(SUBSTITUTE($I2456,CHAR(61),""),CHAR(34),"")</f>
        <v>25-34</v>
      </c>
      <c r="R2456" s="0" t="str">
        <f aca="false">IF($D2456&lt;&gt;"","["&amp;$E2456&amp;"]"&amp;"|"&amp;$Q2456&amp;"|"&amp;$K2456&amp;"|"&amp;$G2456&amp;"|"&amp;IF($G2456="TX_CURR_SUBNAT.R","CY2022Q4",$M2456),"")</f>
        <v>[lLDyBx5XyUi]|25-34|Female|DIAGNOSED_SUBNAT.T_1|CY2023Q3</v>
      </c>
    </row>
    <row r="2457" customFormat="false" ht="15" hidden="false" customHeight="false" outlineLevel="0" collapsed="false">
      <c r="D2457" s="0" t="s">
        <v>75</v>
      </c>
      <c r="E2457" s="0" t="s">
        <v>76</v>
      </c>
      <c r="F2457" s="0" t="s">
        <v>77</v>
      </c>
      <c r="G2457" s="0" t="s">
        <v>148</v>
      </c>
      <c r="H2457" s="0" t="s">
        <v>149</v>
      </c>
      <c r="I2457" s="0" t="s">
        <v>43</v>
      </c>
      <c r="J2457" s="0" t="s">
        <v>44</v>
      </c>
      <c r="K2457" s="0" t="s">
        <v>30</v>
      </c>
      <c r="L2457" s="0" t="s">
        <v>31</v>
      </c>
      <c r="M2457" s="0" t="s">
        <v>140</v>
      </c>
      <c r="N2457" s="0" t="n">
        <v>1048</v>
      </c>
      <c r="O2457" s="10" t="n">
        <v>0.601084246765822</v>
      </c>
      <c r="P2457" s="10" t="n">
        <v>0.303055507596582</v>
      </c>
      <c r="Q2457" s="0" t="str">
        <f aca="false">SUBSTITUTE(SUBSTITUTE($I2457,CHAR(61),""),CHAR(34),"")</f>
        <v>35-49</v>
      </c>
      <c r="R2457" s="0" t="str">
        <f aca="false">IF($D2457&lt;&gt;"","["&amp;$E2457&amp;"]"&amp;"|"&amp;$Q2457&amp;"|"&amp;$K2457&amp;"|"&amp;$G2457&amp;"|"&amp;IF($G2457="TX_CURR_SUBNAT.R","CY2022Q4",$M2457),"")</f>
        <v>[lLDyBx5XyUi]|35-49|Female|DIAGNOSED_SUBNAT.T_1|CY2023Q3</v>
      </c>
    </row>
    <row r="2458" customFormat="false" ht="15" hidden="false" customHeight="false" outlineLevel="0" collapsed="false">
      <c r="D2458" s="0" t="s">
        <v>75</v>
      </c>
      <c r="E2458" s="0" t="s">
        <v>76</v>
      </c>
      <c r="F2458" s="0" t="s">
        <v>77</v>
      </c>
      <c r="G2458" s="0" t="s">
        <v>148</v>
      </c>
      <c r="H2458" s="0" t="s">
        <v>149</v>
      </c>
      <c r="I2458" s="0" t="s">
        <v>45</v>
      </c>
      <c r="J2458" s="0" t="s">
        <v>46</v>
      </c>
      <c r="K2458" s="0" t="s">
        <v>30</v>
      </c>
      <c r="L2458" s="0" t="s">
        <v>31</v>
      </c>
      <c r="M2458" s="0" t="s">
        <v>140</v>
      </c>
      <c r="N2458" s="0" t="n">
        <v>1140</v>
      </c>
      <c r="O2458" s="10" t="n">
        <v>0.212465965654701</v>
      </c>
      <c r="P2458" s="10" t="n">
        <v>0.303055507596582</v>
      </c>
      <c r="Q2458" s="0" t="str">
        <f aca="false">SUBSTITUTE(SUBSTITUTE($I2458,CHAR(61),""),CHAR(34),"")</f>
        <v>50+</v>
      </c>
      <c r="R2458" s="0" t="str">
        <f aca="false">IF($D2458&lt;&gt;"","["&amp;$E2458&amp;"]"&amp;"|"&amp;$Q2458&amp;"|"&amp;$K2458&amp;"|"&amp;$G2458&amp;"|"&amp;IF($G2458="TX_CURR_SUBNAT.R","CY2022Q4",$M2458),"")</f>
        <v>[lLDyBx5XyUi]|50+|Female|DIAGNOSED_SUBNAT.T_1|CY2023Q3</v>
      </c>
    </row>
    <row r="2459" customFormat="false" ht="15" hidden="false" customHeight="false" outlineLevel="0" collapsed="false">
      <c r="D2459" s="0" t="s">
        <v>75</v>
      </c>
      <c r="E2459" s="0" t="s">
        <v>76</v>
      </c>
      <c r="F2459" s="0" t="s">
        <v>77</v>
      </c>
      <c r="G2459" s="0" t="s">
        <v>148</v>
      </c>
      <c r="H2459" s="0" t="s">
        <v>149</v>
      </c>
      <c r="I2459" s="0" t="s">
        <v>28</v>
      </c>
      <c r="J2459" s="0" t="s">
        <v>29</v>
      </c>
      <c r="K2459" s="0" t="s">
        <v>48</v>
      </c>
      <c r="L2459" s="0" t="s">
        <v>49</v>
      </c>
      <c r="M2459" s="0" t="s">
        <v>140</v>
      </c>
      <c r="N2459" s="0" t="n">
        <v>1923</v>
      </c>
      <c r="O2459" s="10" t="n">
        <v>0.247767793247476</v>
      </c>
      <c r="P2459" s="10" t="n">
        <v>0.303055507596582</v>
      </c>
      <c r="Q2459" s="0" t="str">
        <f aca="false">SUBSTITUTE(SUBSTITUTE($I2459,CHAR(61),""),CHAR(34),"")</f>
        <v>&lt;01</v>
      </c>
      <c r="R2459" s="0" t="str">
        <f aca="false">IF($D2459&lt;&gt;"","["&amp;$E2459&amp;"]"&amp;"|"&amp;$Q2459&amp;"|"&amp;$K2459&amp;"|"&amp;$G2459&amp;"|"&amp;IF($G2459="TX_CURR_SUBNAT.R","CY2022Q4",$M2459),"")</f>
        <v>[lLDyBx5XyUi]|&lt;01|Male|DIAGNOSED_SUBNAT.T_1|CY2023Q3</v>
      </c>
    </row>
    <row r="2460" customFormat="false" ht="15" hidden="false" customHeight="false" outlineLevel="0" collapsed="false">
      <c r="D2460" s="0" t="s">
        <v>75</v>
      </c>
      <c r="E2460" s="0" t="s">
        <v>76</v>
      </c>
      <c r="F2460" s="0" t="s">
        <v>77</v>
      </c>
      <c r="G2460" s="0" t="s">
        <v>148</v>
      </c>
      <c r="H2460" s="0" t="s">
        <v>149</v>
      </c>
      <c r="I2460" s="0" t="s">
        <v>33</v>
      </c>
      <c r="J2460" s="0" t="s">
        <v>34</v>
      </c>
      <c r="K2460" s="0" t="s">
        <v>48</v>
      </c>
      <c r="L2460" s="0" t="s">
        <v>49</v>
      </c>
      <c r="M2460" s="0" t="s">
        <v>140</v>
      </c>
      <c r="N2460" s="0" t="n">
        <v>998</v>
      </c>
      <c r="O2460" s="10" t="n">
        <v>0.577016222290695</v>
      </c>
      <c r="P2460" s="10" t="n">
        <v>0.303055507596582</v>
      </c>
      <c r="Q2460" s="0" t="str">
        <f aca="false">SUBSTITUTE(SUBSTITUTE($I2460,CHAR(61),""),CHAR(34),"")</f>
        <v>01-09</v>
      </c>
      <c r="R2460" s="0" t="str">
        <f aca="false">IF($D2460&lt;&gt;"","["&amp;$E2460&amp;"]"&amp;"|"&amp;$Q2460&amp;"|"&amp;$K2460&amp;"|"&amp;$G2460&amp;"|"&amp;IF($G2460="TX_CURR_SUBNAT.R","CY2022Q4",$M2460),"")</f>
        <v>[lLDyBx5XyUi]|01-09|Male|DIAGNOSED_SUBNAT.T_1|CY2023Q3</v>
      </c>
    </row>
    <row r="2461" customFormat="false" ht="15" hidden="false" customHeight="false" outlineLevel="0" collapsed="false">
      <c r="D2461" s="0" t="s">
        <v>75</v>
      </c>
      <c r="E2461" s="0" t="s">
        <v>76</v>
      </c>
      <c r="F2461" s="0" t="s">
        <v>77</v>
      </c>
      <c r="G2461" s="0" t="s">
        <v>148</v>
      </c>
      <c r="H2461" s="0" t="s">
        <v>149</v>
      </c>
      <c r="I2461" s="0" t="s">
        <v>36</v>
      </c>
      <c r="J2461" s="0" t="s">
        <v>37</v>
      </c>
      <c r="K2461" s="0" t="s">
        <v>48</v>
      </c>
      <c r="L2461" s="0" t="s">
        <v>49</v>
      </c>
      <c r="M2461" s="0" t="s">
        <v>140</v>
      </c>
      <c r="N2461" s="0" t="n">
        <v>1041</v>
      </c>
      <c r="O2461" s="10" t="n">
        <v>0.322672956157476</v>
      </c>
      <c r="P2461" s="10" t="n">
        <v>0.303055507596582</v>
      </c>
      <c r="Q2461" s="0" t="str">
        <f aca="false">SUBSTITUTE(SUBSTITUTE($I2461,CHAR(61),""),CHAR(34),"")</f>
        <v>10-14</v>
      </c>
      <c r="R2461" s="0" t="str">
        <f aca="false">IF($D2461&lt;&gt;"","["&amp;$E2461&amp;"]"&amp;"|"&amp;$Q2461&amp;"|"&amp;$K2461&amp;"|"&amp;$G2461&amp;"|"&amp;IF($G2461="TX_CURR_SUBNAT.R","CY2022Q4",$M2461),"")</f>
        <v>[lLDyBx5XyUi]|10-14|Male|DIAGNOSED_SUBNAT.T_1|CY2023Q3</v>
      </c>
    </row>
    <row r="2462" customFormat="false" ht="15" hidden="false" customHeight="false" outlineLevel="0" collapsed="false">
      <c r="D2462" s="0" t="s">
        <v>75</v>
      </c>
      <c r="E2462" s="0" t="s">
        <v>76</v>
      </c>
      <c r="F2462" s="0" t="s">
        <v>77</v>
      </c>
      <c r="G2462" s="0" t="s">
        <v>148</v>
      </c>
      <c r="H2462" s="0" t="s">
        <v>149</v>
      </c>
      <c r="I2462" s="0" t="s">
        <v>38</v>
      </c>
      <c r="J2462" s="0" t="s">
        <v>39</v>
      </c>
      <c r="K2462" s="0" t="s">
        <v>48</v>
      </c>
      <c r="L2462" s="0" t="s">
        <v>49</v>
      </c>
      <c r="M2462" s="0" t="s">
        <v>140</v>
      </c>
      <c r="N2462" s="0" t="n">
        <v>810</v>
      </c>
      <c r="O2462" s="10" t="n">
        <v>0.247294860659167</v>
      </c>
      <c r="P2462" s="10" t="n">
        <v>0.303055507596582</v>
      </c>
      <c r="Q2462" s="0" t="str">
        <f aca="false">SUBSTITUTE(SUBSTITUTE($I2462,CHAR(61),""),CHAR(34),"")</f>
        <v>15-24</v>
      </c>
      <c r="R2462" s="0" t="str">
        <f aca="false">IF($D2462&lt;&gt;"","["&amp;$E2462&amp;"]"&amp;"|"&amp;$Q2462&amp;"|"&amp;$K2462&amp;"|"&amp;$G2462&amp;"|"&amp;IF($G2462="TX_CURR_SUBNAT.R","CY2022Q4",$M2462),"")</f>
        <v>[lLDyBx5XyUi]|15-24|Male|DIAGNOSED_SUBNAT.T_1|CY2023Q3</v>
      </c>
    </row>
    <row r="2463" customFormat="false" ht="15" hidden="false" customHeight="false" outlineLevel="0" collapsed="false">
      <c r="D2463" s="0" t="s">
        <v>75</v>
      </c>
      <c r="E2463" s="0" t="s">
        <v>76</v>
      </c>
      <c r="F2463" s="0" t="s">
        <v>77</v>
      </c>
      <c r="G2463" s="0" t="s">
        <v>148</v>
      </c>
      <c r="H2463" s="0" t="s">
        <v>149</v>
      </c>
      <c r="I2463" s="0" t="s">
        <v>41</v>
      </c>
      <c r="J2463" s="0" t="s">
        <v>42</v>
      </c>
      <c r="K2463" s="0" t="s">
        <v>48</v>
      </c>
      <c r="L2463" s="0" t="s">
        <v>49</v>
      </c>
      <c r="M2463" s="0" t="s">
        <v>140</v>
      </c>
      <c r="N2463" s="0" t="n">
        <v>958</v>
      </c>
      <c r="O2463" s="10" t="n">
        <v>0.0159466320183128</v>
      </c>
      <c r="P2463" s="10" t="n">
        <v>0.303055507596582</v>
      </c>
      <c r="Q2463" s="0" t="str">
        <f aca="false">SUBSTITUTE(SUBSTITUTE($I2463,CHAR(61),""),CHAR(34),"")</f>
        <v>25-34</v>
      </c>
      <c r="R2463" s="0" t="str">
        <f aca="false">IF($D2463&lt;&gt;"","["&amp;$E2463&amp;"]"&amp;"|"&amp;$Q2463&amp;"|"&amp;$K2463&amp;"|"&amp;$G2463&amp;"|"&amp;IF($G2463="TX_CURR_SUBNAT.R","CY2022Q4",$M2463),"")</f>
        <v>[lLDyBx5XyUi]|25-34|Male|DIAGNOSED_SUBNAT.T_1|CY2023Q3</v>
      </c>
    </row>
    <row r="2464" customFormat="false" ht="15" hidden="false" customHeight="false" outlineLevel="0" collapsed="false">
      <c r="D2464" s="0" t="s">
        <v>75</v>
      </c>
      <c r="E2464" s="0" t="s">
        <v>76</v>
      </c>
      <c r="F2464" s="0" t="s">
        <v>77</v>
      </c>
      <c r="G2464" s="0" t="s">
        <v>148</v>
      </c>
      <c r="H2464" s="0" t="s">
        <v>149</v>
      </c>
      <c r="I2464" s="0" t="s">
        <v>43</v>
      </c>
      <c r="J2464" s="0" t="s">
        <v>44</v>
      </c>
      <c r="K2464" s="0" t="s">
        <v>48</v>
      </c>
      <c r="L2464" s="0" t="s">
        <v>49</v>
      </c>
      <c r="M2464" s="0" t="s">
        <v>140</v>
      </c>
      <c r="N2464" s="0" t="n">
        <v>1508</v>
      </c>
      <c r="O2464" s="10" t="n">
        <v>0.616014335071668</v>
      </c>
      <c r="P2464" s="10" t="n">
        <v>0.303055507596582</v>
      </c>
      <c r="Q2464" s="0" t="str">
        <f aca="false">SUBSTITUTE(SUBSTITUTE($I2464,CHAR(61),""),CHAR(34),"")</f>
        <v>35-49</v>
      </c>
      <c r="R2464" s="0" t="str">
        <f aca="false">IF($D2464&lt;&gt;"","["&amp;$E2464&amp;"]"&amp;"|"&amp;$Q2464&amp;"|"&amp;$K2464&amp;"|"&amp;$G2464&amp;"|"&amp;IF($G2464="TX_CURR_SUBNAT.R","CY2022Q4",$M2464),"")</f>
        <v>[lLDyBx5XyUi]|35-49|Male|DIAGNOSED_SUBNAT.T_1|CY2023Q3</v>
      </c>
    </row>
    <row r="2465" customFormat="false" ht="15" hidden="false" customHeight="false" outlineLevel="0" collapsed="false">
      <c r="D2465" s="0" t="s">
        <v>75</v>
      </c>
      <c r="E2465" s="0" t="s">
        <v>76</v>
      </c>
      <c r="F2465" s="0" t="s">
        <v>77</v>
      </c>
      <c r="G2465" s="0" t="s">
        <v>148</v>
      </c>
      <c r="H2465" s="0" t="s">
        <v>149</v>
      </c>
      <c r="I2465" s="0" t="s">
        <v>45</v>
      </c>
      <c r="J2465" s="0" t="s">
        <v>46</v>
      </c>
      <c r="K2465" s="0" t="s">
        <v>48</v>
      </c>
      <c r="L2465" s="0" t="s">
        <v>49</v>
      </c>
      <c r="M2465" s="0" t="s">
        <v>140</v>
      </c>
      <c r="N2465" s="0" t="n">
        <v>868</v>
      </c>
      <c r="O2465" s="10" t="n">
        <v>0.815769307781011</v>
      </c>
      <c r="P2465" s="10" t="n">
        <v>0.303055507596582</v>
      </c>
      <c r="Q2465" s="0" t="str">
        <f aca="false">SUBSTITUTE(SUBSTITUTE($I2465,CHAR(61),""),CHAR(34),"")</f>
        <v>50+</v>
      </c>
      <c r="R2465" s="0" t="str">
        <f aca="false">IF($D2465&lt;&gt;"","["&amp;$E2465&amp;"]"&amp;"|"&amp;$Q2465&amp;"|"&amp;$K2465&amp;"|"&amp;$G2465&amp;"|"&amp;IF($G2465="TX_CURR_SUBNAT.R","CY2022Q4",$M2465),"")</f>
        <v>[lLDyBx5XyUi]|50+|Male|DIAGNOSED_SUBNAT.T_1|CY2023Q3</v>
      </c>
    </row>
    <row r="2466" customFormat="false" ht="15" hidden="false" customHeight="false" outlineLevel="0" collapsed="false">
      <c r="D2466" s="0" t="s">
        <v>78</v>
      </c>
      <c r="E2466" s="0" t="s">
        <v>79</v>
      </c>
      <c r="F2466" s="0" t="s">
        <v>80</v>
      </c>
      <c r="G2466" s="0" t="s">
        <v>148</v>
      </c>
      <c r="H2466" s="0" t="s">
        <v>149</v>
      </c>
      <c r="I2466" s="0" t="s">
        <v>28</v>
      </c>
      <c r="J2466" s="0" t="s">
        <v>29</v>
      </c>
      <c r="K2466" s="0" t="s">
        <v>30</v>
      </c>
      <c r="L2466" s="0" t="s">
        <v>31</v>
      </c>
      <c r="M2466" s="0" t="s">
        <v>140</v>
      </c>
      <c r="N2466" s="0" t="n">
        <v>1171</v>
      </c>
      <c r="O2466" s="10" t="n">
        <v>0.937678210204467</v>
      </c>
      <c r="P2466" s="10" t="n">
        <v>0.831597982207313</v>
      </c>
      <c r="Q2466" s="0" t="str">
        <f aca="false">SUBSTITUTE(SUBSTITUTE($I2466,CHAR(61),""),CHAR(34),"")</f>
        <v>&lt;01</v>
      </c>
      <c r="R2466" s="0" t="str">
        <f aca="false">IF($D2466&lt;&gt;"","["&amp;$E2466&amp;"]"&amp;"|"&amp;$Q2466&amp;"|"&amp;$K2466&amp;"|"&amp;$G2466&amp;"|"&amp;IF($G2466="TX_CURR_SUBNAT.R","CY2022Q4",$M2466),"")</f>
        <v>[TYnMSwzko3z]|&lt;01|Female|DIAGNOSED_SUBNAT.T_1|CY2023Q3</v>
      </c>
    </row>
    <row r="2467" customFormat="false" ht="15" hidden="false" customHeight="false" outlineLevel="0" collapsed="false">
      <c r="D2467" s="0" t="s">
        <v>78</v>
      </c>
      <c r="E2467" s="0" t="s">
        <v>79</v>
      </c>
      <c r="F2467" s="0" t="s">
        <v>80</v>
      </c>
      <c r="G2467" s="0" t="s">
        <v>148</v>
      </c>
      <c r="H2467" s="0" t="s">
        <v>149</v>
      </c>
      <c r="I2467" s="0" t="s">
        <v>33</v>
      </c>
      <c r="J2467" s="0" t="s">
        <v>34</v>
      </c>
      <c r="K2467" s="0" t="s">
        <v>30</v>
      </c>
      <c r="L2467" s="0" t="s">
        <v>31</v>
      </c>
      <c r="M2467" s="0" t="s">
        <v>140</v>
      </c>
      <c r="N2467" s="0" t="n">
        <v>1965</v>
      </c>
      <c r="O2467" s="10" t="n">
        <v>0.526071080006659</v>
      </c>
      <c r="P2467" s="10" t="n">
        <v>0.831597982207313</v>
      </c>
      <c r="Q2467" s="0" t="str">
        <f aca="false">SUBSTITUTE(SUBSTITUTE($I2467,CHAR(61),""),CHAR(34),"")</f>
        <v>01-09</v>
      </c>
      <c r="R2467" s="0" t="str">
        <f aca="false">IF($D2467&lt;&gt;"","["&amp;$E2467&amp;"]"&amp;"|"&amp;$Q2467&amp;"|"&amp;$K2467&amp;"|"&amp;$G2467&amp;"|"&amp;IF($G2467="TX_CURR_SUBNAT.R","CY2022Q4",$M2467),"")</f>
        <v>[TYnMSwzko3z]|01-09|Female|DIAGNOSED_SUBNAT.T_1|CY2023Q3</v>
      </c>
    </row>
    <row r="2468" customFormat="false" ht="15" hidden="false" customHeight="false" outlineLevel="0" collapsed="false">
      <c r="D2468" s="0" t="s">
        <v>78</v>
      </c>
      <c r="E2468" s="0" t="s">
        <v>79</v>
      </c>
      <c r="F2468" s="0" t="s">
        <v>80</v>
      </c>
      <c r="G2468" s="0" t="s">
        <v>148</v>
      </c>
      <c r="H2468" s="0" t="s">
        <v>149</v>
      </c>
      <c r="I2468" s="0" t="s">
        <v>36</v>
      </c>
      <c r="J2468" s="0" t="s">
        <v>37</v>
      </c>
      <c r="K2468" s="0" t="s">
        <v>30</v>
      </c>
      <c r="L2468" s="0" t="s">
        <v>31</v>
      </c>
      <c r="M2468" s="0" t="s">
        <v>140</v>
      </c>
      <c r="N2468" s="0" t="n">
        <v>1778</v>
      </c>
      <c r="O2468" s="10" t="n">
        <v>0.720532354200259</v>
      </c>
      <c r="P2468" s="10" t="n">
        <v>0.831597982207313</v>
      </c>
      <c r="Q2468" s="0" t="str">
        <f aca="false">SUBSTITUTE(SUBSTITUTE($I2468,CHAR(61),""),CHAR(34),"")</f>
        <v>10-14</v>
      </c>
      <c r="R2468" s="0" t="str">
        <f aca="false">IF($D2468&lt;&gt;"","["&amp;$E2468&amp;"]"&amp;"|"&amp;$Q2468&amp;"|"&amp;$K2468&amp;"|"&amp;$G2468&amp;"|"&amp;IF($G2468="TX_CURR_SUBNAT.R","CY2022Q4",$M2468),"")</f>
        <v>[TYnMSwzko3z]|10-14|Female|DIAGNOSED_SUBNAT.T_1|CY2023Q3</v>
      </c>
    </row>
    <row r="2469" customFormat="false" ht="15" hidden="false" customHeight="false" outlineLevel="0" collapsed="false">
      <c r="D2469" s="0" t="s">
        <v>78</v>
      </c>
      <c r="E2469" s="0" t="s">
        <v>79</v>
      </c>
      <c r="F2469" s="0" t="s">
        <v>80</v>
      </c>
      <c r="G2469" s="0" t="s">
        <v>148</v>
      </c>
      <c r="H2469" s="0" t="s">
        <v>149</v>
      </c>
      <c r="I2469" s="0" t="s">
        <v>38</v>
      </c>
      <c r="J2469" s="0" t="s">
        <v>39</v>
      </c>
      <c r="K2469" s="0" t="s">
        <v>30</v>
      </c>
      <c r="L2469" s="0" t="s">
        <v>31</v>
      </c>
      <c r="M2469" s="0" t="s">
        <v>140</v>
      </c>
      <c r="N2469" s="0" t="n">
        <v>1130</v>
      </c>
      <c r="O2469" s="10" t="n">
        <v>0.343847542768344</v>
      </c>
      <c r="P2469" s="10" t="n">
        <v>0.831597982207313</v>
      </c>
      <c r="Q2469" s="0" t="str">
        <f aca="false">SUBSTITUTE(SUBSTITUTE($I2469,CHAR(61),""),CHAR(34),"")</f>
        <v>15-24</v>
      </c>
      <c r="R2469" s="0" t="str">
        <f aca="false">IF($D2469&lt;&gt;"","["&amp;$E2469&amp;"]"&amp;"|"&amp;$Q2469&amp;"|"&amp;$K2469&amp;"|"&amp;$G2469&amp;"|"&amp;IF($G2469="TX_CURR_SUBNAT.R","CY2022Q4",$M2469),"")</f>
        <v>[TYnMSwzko3z]|15-24|Female|DIAGNOSED_SUBNAT.T_1|CY2023Q3</v>
      </c>
    </row>
    <row r="2470" customFormat="false" ht="15" hidden="false" customHeight="false" outlineLevel="0" collapsed="false">
      <c r="D2470" s="0" t="s">
        <v>78</v>
      </c>
      <c r="E2470" s="0" t="s">
        <v>79</v>
      </c>
      <c r="F2470" s="0" t="s">
        <v>80</v>
      </c>
      <c r="G2470" s="0" t="s">
        <v>148</v>
      </c>
      <c r="H2470" s="0" t="s">
        <v>149</v>
      </c>
      <c r="I2470" s="0" t="s">
        <v>41</v>
      </c>
      <c r="J2470" s="0" t="s">
        <v>42</v>
      </c>
      <c r="K2470" s="0" t="s">
        <v>30</v>
      </c>
      <c r="L2470" s="0" t="s">
        <v>31</v>
      </c>
      <c r="M2470" s="0" t="s">
        <v>140</v>
      </c>
      <c r="N2470" s="0" t="n">
        <v>1693</v>
      </c>
      <c r="O2470" s="10" t="n">
        <v>0.881998867029324</v>
      </c>
      <c r="P2470" s="10" t="n">
        <v>0.831597982207313</v>
      </c>
      <c r="Q2470" s="0" t="str">
        <f aca="false">SUBSTITUTE(SUBSTITUTE($I2470,CHAR(61),""),CHAR(34),"")</f>
        <v>25-34</v>
      </c>
      <c r="R2470" s="0" t="str">
        <f aca="false">IF($D2470&lt;&gt;"","["&amp;$E2470&amp;"]"&amp;"|"&amp;$Q2470&amp;"|"&amp;$K2470&amp;"|"&amp;$G2470&amp;"|"&amp;IF($G2470="TX_CURR_SUBNAT.R","CY2022Q4",$M2470),"")</f>
        <v>[TYnMSwzko3z]|25-34|Female|DIAGNOSED_SUBNAT.T_1|CY2023Q3</v>
      </c>
    </row>
    <row r="2471" customFormat="false" ht="15" hidden="false" customHeight="false" outlineLevel="0" collapsed="false">
      <c r="D2471" s="0" t="s">
        <v>78</v>
      </c>
      <c r="E2471" s="0" t="s">
        <v>79</v>
      </c>
      <c r="F2471" s="0" t="s">
        <v>80</v>
      </c>
      <c r="G2471" s="0" t="s">
        <v>148</v>
      </c>
      <c r="H2471" s="0" t="s">
        <v>149</v>
      </c>
      <c r="I2471" s="0" t="s">
        <v>43</v>
      </c>
      <c r="J2471" s="0" t="s">
        <v>44</v>
      </c>
      <c r="K2471" s="0" t="s">
        <v>30</v>
      </c>
      <c r="L2471" s="0" t="s">
        <v>31</v>
      </c>
      <c r="M2471" s="0" t="s">
        <v>140</v>
      </c>
      <c r="N2471" s="0" t="n">
        <v>1208</v>
      </c>
      <c r="O2471" s="10" t="n">
        <v>0.256691896123812</v>
      </c>
      <c r="P2471" s="10" t="n">
        <v>0.831597982207313</v>
      </c>
      <c r="Q2471" s="0" t="str">
        <f aca="false">SUBSTITUTE(SUBSTITUTE($I2471,CHAR(61),""),CHAR(34),"")</f>
        <v>35-49</v>
      </c>
      <c r="R2471" s="0" t="str">
        <f aca="false">IF($D2471&lt;&gt;"","["&amp;$E2471&amp;"]"&amp;"|"&amp;$Q2471&amp;"|"&amp;$K2471&amp;"|"&amp;$G2471&amp;"|"&amp;IF($G2471="TX_CURR_SUBNAT.R","CY2022Q4",$M2471),"")</f>
        <v>[TYnMSwzko3z]|35-49|Female|DIAGNOSED_SUBNAT.T_1|CY2023Q3</v>
      </c>
    </row>
    <row r="2472" customFormat="false" ht="15" hidden="false" customHeight="false" outlineLevel="0" collapsed="false">
      <c r="D2472" s="0" t="s">
        <v>78</v>
      </c>
      <c r="E2472" s="0" t="s">
        <v>79</v>
      </c>
      <c r="F2472" s="0" t="s">
        <v>80</v>
      </c>
      <c r="G2472" s="0" t="s">
        <v>148</v>
      </c>
      <c r="H2472" s="0" t="s">
        <v>149</v>
      </c>
      <c r="I2472" s="0" t="s">
        <v>45</v>
      </c>
      <c r="J2472" s="0" t="s">
        <v>46</v>
      </c>
      <c r="K2472" s="0" t="s">
        <v>30</v>
      </c>
      <c r="L2472" s="0" t="s">
        <v>31</v>
      </c>
      <c r="M2472" s="0" t="s">
        <v>140</v>
      </c>
      <c r="N2472" s="0" t="n">
        <v>1037</v>
      </c>
      <c r="O2472" s="10" t="n">
        <v>0.606509734643623</v>
      </c>
      <c r="P2472" s="10" t="n">
        <v>0.831597982207313</v>
      </c>
      <c r="Q2472" s="0" t="str">
        <f aca="false">SUBSTITUTE(SUBSTITUTE($I2472,CHAR(61),""),CHAR(34),"")</f>
        <v>50+</v>
      </c>
      <c r="R2472" s="0" t="str">
        <f aca="false">IF($D2472&lt;&gt;"","["&amp;$E2472&amp;"]"&amp;"|"&amp;$Q2472&amp;"|"&amp;$K2472&amp;"|"&amp;$G2472&amp;"|"&amp;IF($G2472="TX_CURR_SUBNAT.R","CY2022Q4",$M2472),"")</f>
        <v>[TYnMSwzko3z]|50+|Female|DIAGNOSED_SUBNAT.T_1|CY2023Q3</v>
      </c>
    </row>
    <row r="2473" customFormat="false" ht="15" hidden="false" customHeight="false" outlineLevel="0" collapsed="false">
      <c r="D2473" s="0" t="s">
        <v>78</v>
      </c>
      <c r="E2473" s="0" t="s">
        <v>79</v>
      </c>
      <c r="F2473" s="0" t="s">
        <v>80</v>
      </c>
      <c r="G2473" s="0" t="s">
        <v>148</v>
      </c>
      <c r="H2473" s="0" t="s">
        <v>149</v>
      </c>
      <c r="I2473" s="0" t="s">
        <v>28</v>
      </c>
      <c r="J2473" s="0" t="s">
        <v>29</v>
      </c>
      <c r="K2473" s="0" t="s">
        <v>48</v>
      </c>
      <c r="L2473" s="0" t="s">
        <v>49</v>
      </c>
      <c r="M2473" s="0" t="s">
        <v>140</v>
      </c>
      <c r="N2473" s="0" t="n">
        <v>1563</v>
      </c>
      <c r="O2473" s="10" t="n">
        <v>0.0629790385719389</v>
      </c>
      <c r="P2473" s="10" t="n">
        <v>0.831597982207313</v>
      </c>
      <c r="Q2473" s="0" t="str">
        <f aca="false">SUBSTITUTE(SUBSTITUTE($I2473,CHAR(61),""),CHAR(34),"")</f>
        <v>&lt;01</v>
      </c>
      <c r="R2473" s="0" t="str">
        <f aca="false">IF($D2473&lt;&gt;"","["&amp;$E2473&amp;"]"&amp;"|"&amp;$Q2473&amp;"|"&amp;$K2473&amp;"|"&amp;$G2473&amp;"|"&amp;IF($G2473="TX_CURR_SUBNAT.R","CY2022Q4",$M2473),"")</f>
        <v>[TYnMSwzko3z]|&lt;01|Male|DIAGNOSED_SUBNAT.T_1|CY2023Q3</v>
      </c>
    </row>
    <row r="2474" customFormat="false" ht="15" hidden="false" customHeight="false" outlineLevel="0" collapsed="false">
      <c r="D2474" s="0" t="s">
        <v>78</v>
      </c>
      <c r="E2474" s="0" t="s">
        <v>79</v>
      </c>
      <c r="F2474" s="0" t="s">
        <v>80</v>
      </c>
      <c r="G2474" s="0" t="s">
        <v>148</v>
      </c>
      <c r="H2474" s="0" t="s">
        <v>149</v>
      </c>
      <c r="I2474" s="0" t="s">
        <v>33</v>
      </c>
      <c r="J2474" s="0" t="s">
        <v>34</v>
      </c>
      <c r="K2474" s="0" t="s">
        <v>48</v>
      </c>
      <c r="L2474" s="0" t="s">
        <v>49</v>
      </c>
      <c r="M2474" s="0" t="s">
        <v>140</v>
      </c>
      <c r="N2474" s="0" t="n">
        <v>1568</v>
      </c>
      <c r="O2474" s="10" t="n">
        <v>0.556915558408946</v>
      </c>
      <c r="P2474" s="10" t="n">
        <v>0.831597982207313</v>
      </c>
      <c r="Q2474" s="0" t="str">
        <f aca="false">SUBSTITUTE(SUBSTITUTE($I2474,CHAR(61),""),CHAR(34),"")</f>
        <v>01-09</v>
      </c>
      <c r="R2474" s="0" t="str">
        <f aca="false">IF($D2474&lt;&gt;"","["&amp;$E2474&amp;"]"&amp;"|"&amp;$Q2474&amp;"|"&amp;$K2474&amp;"|"&amp;$G2474&amp;"|"&amp;IF($G2474="TX_CURR_SUBNAT.R","CY2022Q4",$M2474),"")</f>
        <v>[TYnMSwzko3z]|01-09|Male|DIAGNOSED_SUBNAT.T_1|CY2023Q3</v>
      </c>
    </row>
    <row r="2475" customFormat="false" ht="15" hidden="false" customHeight="false" outlineLevel="0" collapsed="false">
      <c r="D2475" s="0" t="s">
        <v>78</v>
      </c>
      <c r="E2475" s="0" t="s">
        <v>79</v>
      </c>
      <c r="F2475" s="0" t="s">
        <v>80</v>
      </c>
      <c r="G2475" s="0" t="s">
        <v>148</v>
      </c>
      <c r="H2475" s="0" t="s">
        <v>149</v>
      </c>
      <c r="I2475" s="0" t="s">
        <v>36</v>
      </c>
      <c r="J2475" s="0" t="s">
        <v>37</v>
      </c>
      <c r="K2475" s="0" t="s">
        <v>48</v>
      </c>
      <c r="L2475" s="0" t="s">
        <v>49</v>
      </c>
      <c r="M2475" s="0" t="s">
        <v>140</v>
      </c>
      <c r="N2475" s="0" t="n">
        <v>1282</v>
      </c>
      <c r="O2475" s="10" t="n">
        <v>0.69432809529826</v>
      </c>
      <c r="P2475" s="10" t="n">
        <v>0.831597982207313</v>
      </c>
      <c r="Q2475" s="0" t="str">
        <f aca="false">SUBSTITUTE(SUBSTITUTE($I2475,CHAR(61),""),CHAR(34),"")</f>
        <v>10-14</v>
      </c>
      <c r="R2475" s="0" t="str">
        <f aca="false">IF($D2475&lt;&gt;"","["&amp;$E2475&amp;"]"&amp;"|"&amp;$Q2475&amp;"|"&amp;$K2475&amp;"|"&amp;$G2475&amp;"|"&amp;IF($G2475="TX_CURR_SUBNAT.R","CY2022Q4",$M2475),"")</f>
        <v>[TYnMSwzko3z]|10-14|Male|DIAGNOSED_SUBNAT.T_1|CY2023Q3</v>
      </c>
    </row>
    <row r="2476" customFormat="false" ht="15" hidden="false" customHeight="false" outlineLevel="0" collapsed="false">
      <c r="D2476" s="0" t="s">
        <v>78</v>
      </c>
      <c r="E2476" s="0" t="s">
        <v>79</v>
      </c>
      <c r="F2476" s="0" t="s">
        <v>80</v>
      </c>
      <c r="G2476" s="0" t="s">
        <v>148</v>
      </c>
      <c r="H2476" s="0" t="s">
        <v>149</v>
      </c>
      <c r="I2476" s="0" t="s">
        <v>38</v>
      </c>
      <c r="J2476" s="0" t="s">
        <v>39</v>
      </c>
      <c r="K2476" s="0" t="s">
        <v>48</v>
      </c>
      <c r="L2476" s="0" t="s">
        <v>49</v>
      </c>
      <c r="M2476" s="0" t="s">
        <v>140</v>
      </c>
      <c r="N2476" s="0" t="n">
        <v>924</v>
      </c>
      <c r="O2476" s="10" t="n">
        <v>0.449172656983137</v>
      </c>
      <c r="P2476" s="10" t="n">
        <v>0.831597982207313</v>
      </c>
      <c r="Q2476" s="0" t="str">
        <f aca="false">SUBSTITUTE(SUBSTITUTE($I2476,CHAR(61),""),CHAR(34),"")</f>
        <v>15-24</v>
      </c>
      <c r="R2476" s="0" t="str">
        <f aca="false">IF($D2476&lt;&gt;"","["&amp;$E2476&amp;"]"&amp;"|"&amp;$Q2476&amp;"|"&amp;$K2476&amp;"|"&amp;$G2476&amp;"|"&amp;IF($G2476="TX_CURR_SUBNAT.R","CY2022Q4",$M2476),"")</f>
        <v>[TYnMSwzko3z]|15-24|Male|DIAGNOSED_SUBNAT.T_1|CY2023Q3</v>
      </c>
    </row>
    <row r="2477" customFormat="false" ht="15" hidden="false" customHeight="false" outlineLevel="0" collapsed="false">
      <c r="D2477" s="0" t="s">
        <v>78</v>
      </c>
      <c r="E2477" s="0" t="s">
        <v>79</v>
      </c>
      <c r="F2477" s="0" t="s">
        <v>80</v>
      </c>
      <c r="G2477" s="0" t="s">
        <v>148</v>
      </c>
      <c r="H2477" s="0" t="s">
        <v>149</v>
      </c>
      <c r="I2477" s="0" t="s">
        <v>41</v>
      </c>
      <c r="J2477" s="0" t="s">
        <v>42</v>
      </c>
      <c r="K2477" s="0" t="s">
        <v>48</v>
      </c>
      <c r="L2477" s="0" t="s">
        <v>49</v>
      </c>
      <c r="M2477" s="0" t="s">
        <v>140</v>
      </c>
      <c r="N2477" s="0" t="n">
        <v>1047</v>
      </c>
      <c r="O2477" s="10" t="n">
        <v>0.71606928575784</v>
      </c>
      <c r="P2477" s="10" t="n">
        <v>0.831597982207313</v>
      </c>
      <c r="Q2477" s="0" t="str">
        <f aca="false">SUBSTITUTE(SUBSTITUTE($I2477,CHAR(61),""),CHAR(34),"")</f>
        <v>25-34</v>
      </c>
      <c r="R2477" s="0" t="str">
        <f aca="false">IF($D2477&lt;&gt;"","["&amp;$E2477&amp;"]"&amp;"|"&amp;$Q2477&amp;"|"&amp;$K2477&amp;"|"&amp;$G2477&amp;"|"&amp;IF($G2477="TX_CURR_SUBNAT.R","CY2022Q4",$M2477),"")</f>
        <v>[TYnMSwzko3z]|25-34|Male|DIAGNOSED_SUBNAT.T_1|CY2023Q3</v>
      </c>
    </row>
    <row r="2478" customFormat="false" ht="15" hidden="false" customHeight="false" outlineLevel="0" collapsed="false">
      <c r="D2478" s="0" t="s">
        <v>78</v>
      </c>
      <c r="E2478" s="0" t="s">
        <v>79</v>
      </c>
      <c r="F2478" s="0" t="s">
        <v>80</v>
      </c>
      <c r="G2478" s="0" t="s">
        <v>148</v>
      </c>
      <c r="H2478" s="0" t="s">
        <v>149</v>
      </c>
      <c r="I2478" s="0" t="s">
        <v>43</v>
      </c>
      <c r="J2478" s="0" t="s">
        <v>44</v>
      </c>
      <c r="K2478" s="0" t="s">
        <v>48</v>
      </c>
      <c r="L2478" s="0" t="s">
        <v>49</v>
      </c>
      <c r="M2478" s="0" t="s">
        <v>140</v>
      </c>
      <c r="N2478" s="0" t="n">
        <v>608</v>
      </c>
      <c r="O2478" s="10" t="n">
        <v>0.322104544844478</v>
      </c>
      <c r="P2478" s="10" t="n">
        <v>0.831597982207313</v>
      </c>
      <c r="Q2478" s="0" t="str">
        <f aca="false">SUBSTITUTE(SUBSTITUTE($I2478,CHAR(61),""),CHAR(34),"")</f>
        <v>35-49</v>
      </c>
      <c r="R2478" s="0" t="str">
        <f aca="false">IF($D2478&lt;&gt;"","["&amp;$E2478&amp;"]"&amp;"|"&amp;$Q2478&amp;"|"&amp;$K2478&amp;"|"&amp;$G2478&amp;"|"&amp;IF($G2478="TX_CURR_SUBNAT.R","CY2022Q4",$M2478),"")</f>
        <v>[TYnMSwzko3z]|35-49|Male|DIAGNOSED_SUBNAT.T_1|CY2023Q3</v>
      </c>
    </row>
    <row r="2479" customFormat="false" ht="15" hidden="false" customHeight="false" outlineLevel="0" collapsed="false">
      <c r="D2479" s="0" t="s">
        <v>78</v>
      </c>
      <c r="E2479" s="0" t="s">
        <v>79</v>
      </c>
      <c r="F2479" s="0" t="s">
        <v>80</v>
      </c>
      <c r="G2479" s="0" t="s">
        <v>148</v>
      </c>
      <c r="H2479" s="0" t="s">
        <v>149</v>
      </c>
      <c r="I2479" s="0" t="s">
        <v>45</v>
      </c>
      <c r="J2479" s="0" t="s">
        <v>46</v>
      </c>
      <c r="K2479" s="0" t="s">
        <v>48</v>
      </c>
      <c r="L2479" s="0" t="s">
        <v>49</v>
      </c>
      <c r="M2479" s="0" t="s">
        <v>140</v>
      </c>
      <c r="N2479" s="0" t="n">
        <v>843</v>
      </c>
      <c r="O2479" s="10" t="n">
        <v>0.735746939666569</v>
      </c>
      <c r="P2479" s="10" t="n">
        <v>0.831597982207313</v>
      </c>
      <c r="Q2479" s="0" t="str">
        <f aca="false">SUBSTITUTE(SUBSTITUTE($I2479,CHAR(61),""),CHAR(34),"")</f>
        <v>50+</v>
      </c>
      <c r="R2479" s="0" t="str">
        <f aca="false">IF($D2479&lt;&gt;"","["&amp;$E2479&amp;"]"&amp;"|"&amp;$Q2479&amp;"|"&amp;$K2479&amp;"|"&amp;$G2479&amp;"|"&amp;IF($G2479="TX_CURR_SUBNAT.R","CY2022Q4",$M2479),"")</f>
        <v>[TYnMSwzko3z]|50+|Male|DIAGNOSED_SUBNAT.T_1|CY2023Q3</v>
      </c>
    </row>
    <row r="2480" customFormat="false" ht="15" hidden="false" customHeight="false" outlineLevel="0" collapsed="false">
      <c r="D2480" s="0" t="s">
        <v>81</v>
      </c>
      <c r="E2480" s="0" t="s">
        <v>82</v>
      </c>
      <c r="F2480" s="0" t="s">
        <v>83</v>
      </c>
      <c r="G2480" s="0" t="s">
        <v>148</v>
      </c>
      <c r="H2480" s="0" t="s">
        <v>149</v>
      </c>
      <c r="I2480" s="0" t="s">
        <v>28</v>
      </c>
      <c r="J2480" s="0" t="s">
        <v>29</v>
      </c>
      <c r="K2480" s="0" t="s">
        <v>30</v>
      </c>
      <c r="L2480" s="0" t="s">
        <v>31</v>
      </c>
      <c r="M2480" s="0" t="s">
        <v>140</v>
      </c>
      <c r="N2480" s="0" t="n">
        <v>1811</v>
      </c>
      <c r="O2480" s="10" t="n">
        <v>0.782368258107454</v>
      </c>
      <c r="P2480" s="10" t="n">
        <v>0.143331421539187</v>
      </c>
      <c r="Q2480" s="0" t="str">
        <f aca="false">SUBSTITUTE(SUBSTITUTE($I2480,CHAR(61),""),CHAR(34),"")</f>
        <v>&lt;01</v>
      </c>
      <c r="R2480" s="0" t="str">
        <f aca="false">IF($D2480&lt;&gt;"","["&amp;$E2480&amp;"]"&amp;"|"&amp;$Q2480&amp;"|"&amp;$K2480&amp;"|"&amp;$G2480&amp;"|"&amp;IF($G2480="TX_CURR_SUBNAT.R","CY2022Q4",$M2480),"")</f>
        <v>[ir8wuHHzoSs]|&lt;01|Female|DIAGNOSED_SUBNAT.T_1|CY2023Q3</v>
      </c>
    </row>
    <row r="2481" customFormat="false" ht="15" hidden="false" customHeight="false" outlineLevel="0" collapsed="false">
      <c r="D2481" s="0" t="s">
        <v>81</v>
      </c>
      <c r="E2481" s="0" t="s">
        <v>82</v>
      </c>
      <c r="F2481" s="0" t="s">
        <v>83</v>
      </c>
      <c r="G2481" s="0" t="s">
        <v>148</v>
      </c>
      <c r="H2481" s="0" t="s">
        <v>149</v>
      </c>
      <c r="I2481" s="0" t="s">
        <v>33</v>
      </c>
      <c r="J2481" s="0" t="s">
        <v>34</v>
      </c>
      <c r="K2481" s="0" t="s">
        <v>30</v>
      </c>
      <c r="L2481" s="0" t="s">
        <v>31</v>
      </c>
      <c r="M2481" s="0" t="s">
        <v>140</v>
      </c>
      <c r="N2481" s="0" t="n">
        <v>1492</v>
      </c>
      <c r="O2481" s="10" t="n">
        <v>0.232836890500039</v>
      </c>
      <c r="P2481" s="10" t="n">
        <v>0.143331421539187</v>
      </c>
      <c r="Q2481" s="0" t="str">
        <f aca="false">SUBSTITUTE(SUBSTITUTE($I2481,CHAR(61),""),CHAR(34),"")</f>
        <v>01-09</v>
      </c>
      <c r="R2481" s="0" t="str">
        <f aca="false">IF($D2481&lt;&gt;"","["&amp;$E2481&amp;"]"&amp;"|"&amp;$Q2481&amp;"|"&amp;$K2481&amp;"|"&amp;$G2481&amp;"|"&amp;IF($G2481="TX_CURR_SUBNAT.R","CY2022Q4",$M2481),"")</f>
        <v>[ir8wuHHzoSs]|01-09|Female|DIAGNOSED_SUBNAT.T_1|CY2023Q3</v>
      </c>
    </row>
    <row r="2482" customFormat="false" ht="15" hidden="false" customHeight="false" outlineLevel="0" collapsed="false">
      <c r="D2482" s="0" t="s">
        <v>81</v>
      </c>
      <c r="E2482" s="0" t="s">
        <v>82</v>
      </c>
      <c r="F2482" s="0" t="s">
        <v>83</v>
      </c>
      <c r="G2482" s="0" t="s">
        <v>148</v>
      </c>
      <c r="H2482" s="0" t="s">
        <v>149</v>
      </c>
      <c r="I2482" s="0" t="s">
        <v>36</v>
      </c>
      <c r="J2482" s="0" t="s">
        <v>37</v>
      </c>
      <c r="K2482" s="0" t="s">
        <v>30</v>
      </c>
      <c r="L2482" s="0" t="s">
        <v>31</v>
      </c>
      <c r="M2482" s="0" t="s">
        <v>140</v>
      </c>
      <c r="N2482" s="0" t="n">
        <v>1991</v>
      </c>
      <c r="O2482" s="10" t="n">
        <v>0.503940919646993</v>
      </c>
      <c r="P2482" s="10" t="n">
        <v>0.143331421539187</v>
      </c>
      <c r="Q2482" s="0" t="str">
        <f aca="false">SUBSTITUTE(SUBSTITUTE($I2482,CHAR(61),""),CHAR(34),"")</f>
        <v>10-14</v>
      </c>
      <c r="R2482" s="0" t="str">
        <f aca="false">IF($D2482&lt;&gt;"","["&amp;$E2482&amp;"]"&amp;"|"&amp;$Q2482&amp;"|"&amp;$K2482&amp;"|"&amp;$G2482&amp;"|"&amp;IF($G2482="TX_CURR_SUBNAT.R","CY2022Q4",$M2482),"")</f>
        <v>[ir8wuHHzoSs]|10-14|Female|DIAGNOSED_SUBNAT.T_1|CY2023Q3</v>
      </c>
    </row>
    <row r="2483" customFormat="false" ht="15" hidden="false" customHeight="false" outlineLevel="0" collapsed="false">
      <c r="D2483" s="0" t="s">
        <v>81</v>
      </c>
      <c r="E2483" s="0" t="s">
        <v>82</v>
      </c>
      <c r="F2483" s="0" t="s">
        <v>83</v>
      </c>
      <c r="G2483" s="0" t="s">
        <v>148</v>
      </c>
      <c r="H2483" s="0" t="s">
        <v>149</v>
      </c>
      <c r="I2483" s="0" t="s">
        <v>38</v>
      </c>
      <c r="J2483" s="0" t="s">
        <v>39</v>
      </c>
      <c r="K2483" s="0" t="s">
        <v>30</v>
      </c>
      <c r="L2483" s="0" t="s">
        <v>31</v>
      </c>
      <c r="M2483" s="0" t="s">
        <v>140</v>
      </c>
      <c r="N2483" s="0" t="n">
        <v>1983</v>
      </c>
      <c r="O2483" s="10" t="n">
        <v>0.835783339338377</v>
      </c>
      <c r="P2483" s="10" t="n">
        <v>0.143331421539187</v>
      </c>
      <c r="Q2483" s="0" t="str">
        <f aca="false">SUBSTITUTE(SUBSTITUTE($I2483,CHAR(61),""),CHAR(34),"")</f>
        <v>15-24</v>
      </c>
      <c r="R2483" s="0" t="str">
        <f aca="false">IF($D2483&lt;&gt;"","["&amp;$E2483&amp;"]"&amp;"|"&amp;$Q2483&amp;"|"&amp;$K2483&amp;"|"&amp;$G2483&amp;"|"&amp;IF($G2483="TX_CURR_SUBNAT.R","CY2022Q4",$M2483),"")</f>
        <v>[ir8wuHHzoSs]|15-24|Female|DIAGNOSED_SUBNAT.T_1|CY2023Q3</v>
      </c>
    </row>
    <row r="2484" customFormat="false" ht="15" hidden="false" customHeight="false" outlineLevel="0" collapsed="false">
      <c r="D2484" s="0" t="s">
        <v>81</v>
      </c>
      <c r="E2484" s="0" t="s">
        <v>82</v>
      </c>
      <c r="F2484" s="0" t="s">
        <v>83</v>
      </c>
      <c r="G2484" s="0" t="s">
        <v>148</v>
      </c>
      <c r="H2484" s="0" t="s">
        <v>149</v>
      </c>
      <c r="I2484" s="0" t="s">
        <v>41</v>
      </c>
      <c r="J2484" s="0" t="s">
        <v>42</v>
      </c>
      <c r="K2484" s="0" t="s">
        <v>30</v>
      </c>
      <c r="L2484" s="0" t="s">
        <v>31</v>
      </c>
      <c r="M2484" s="0" t="s">
        <v>140</v>
      </c>
      <c r="N2484" s="0" t="n">
        <v>919</v>
      </c>
      <c r="O2484" s="10" t="n">
        <v>0.273435065057129</v>
      </c>
      <c r="P2484" s="10" t="n">
        <v>0.143331421539187</v>
      </c>
      <c r="Q2484" s="0" t="str">
        <f aca="false">SUBSTITUTE(SUBSTITUTE($I2484,CHAR(61),""),CHAR(34),"")</f>
        <v>25-34</v>
      </c>
      <c r="R2484" s="0" t="str">
        <f aca="false">IF($D2484&lt;&gt;"","["&amp;$E2484&amp;"]"&amp;"|"&amp;$Q2484&amp;"|"&amp;$K2484&amp;"|"&amp;$G2484&amp;"|"&amp;IF($G2484="TX_CURR_SUBNAT.R","CY2022Q4",$M2484),"")</f>
        <v>[ir8wuHHzoSs]|25-34|Female|DIAGNOSED_SUBNAT.T_1|CY2023Q3</v>
      </c>
    </row>
    <row r="2485" customFormat="false" ht="15" hidden="false" customHeight="false" outlineLevel="0" collapsed="false">
      <c r="D2485" s="0" t="s">
        <v>81</v>
      </c>
      <c r="E2485" s="0" t="s">
        <v>82</v>
      </c>
      <c r="F2485" s="0" t="s">
        <v>83</v>
      </c>
      <c r="G2485" s="0" t="s">
        <v>148</v>
      </c>
      <c r="H2485" s="0" t="s">
        <v>149</v>
      </c>
      <c r="I2485" s="0" t="s">
        <v>43</v>
      </c>
      <c r="J2485" s="0" t="s">
        <v>44</v>
      </c>
      <c r="K2485" s="0" t="s">
        <v>30</v>
      </c>
      <c r="L2485" s="0" t="s">
        <v>31</v>
      </c>
      <c r="M2485" s="0" t="s">
        <v>140</v>
      </c>
      <c r="N2485" s="0" t="n">
        <v>809</v>
      </c>
      <c r="O2485" s="10" t="n">
        <v>0.52596557722427</v>
      </c>
      <c r="P2485" s="10" t="n">
        <v>0.143331421539187</v>
      </c>
      <c r="Q2485" s="0" t="str">
        <f aca="false">SUBSTITUTE(SUBSTITUTE($I2485,CHAR(61),""),CHAR(34),"")</f>
        <v>35-49</v>
      </c>
      <c r="R2485" s="0" t="str">
        <f aca="false">IF($D2485&lt;&gt;"","["&amp;$E2485&amp;"]"&amp;"|"&amp;$Q2485&amp;"|"&amp;$K2485&amp;"|"&amp;$G2485&amp;"|"&amp;IF($G2485="TX_CURR_SUBNAT.R","CY2022Q4",$M2485),"")</f>
        <v>[ir8wuHHzoSs]|35-49|Female|DIAGNOSED_SUBNAT.T_1|CY2023Q3</v>
      </c>
    </row>
    <row r="2486" customFormat="false" ht="15" hidden="false" customHeight="false" outlineLevel="0" collapsed="false">
      <c r="D2486" s="0" t="s">
        <v>81</v>
      </c>
      <c r="E2486" s="0" t="s">
        <v>82</v>
      </c>
      <c r="F2486" s="0" t="s">
        <v>83</v>
      </c>
      <c r="G2486" s="0" t="s">
        <v>148</v>
      </c>
      <c r="H2486" s="0" t="s">
        <v>149</v>
      </c>
      <c r="I2486" s="0" t="s">
        <v>45</v>
      </c>
      <c r="J2486" s="0" t="s">
        <v>46</v>
      </c>
      <c r="K2486" s="0" t="s">
        <v>30</v>
      </c>
      <c r="L2486" s="0" t="s">
        <v>31</v>
      </c>
      <c r="M2486" s="0" t="s">
        <v>140</v>
      </c>
      <c r="N2486" s="0" t="n">
        <v>1334</v>
      </c>
      <c r="O2486" s="10" t="n">
        <v>0.701716538984329</v>
      </c>
      <c r="P2486" s="10" t="n">
        <v>0.143331421539187</v>
      </c>
      <c r="Q2486" s="0" t="str">
        <f aca="false">SUBSTITUTE(SUBSTITUTE($I2486,CHAR(61),""),CHAR(34),"")</f>
        <v>50+</v>
      </c>
      <c r="R2486" s="0" t="str">
        <f aca="false">IF($D2486&lt;&gt;"","["&amp;$E2486&amp;"]"&amp;"|"&amp;$Q2486&amp;"|"&amp;$K2486&amp;"|"&amp;$G2486&amp;"|"&amp;IF($G2486="TX_CURR_SUBNAT.R","CY2022Q4",$M2486),"")</f>
        <v>[ir8wuHHzoSs]|50+|Female|DIAGNOSED_SUBNAT.T_1|CY2023Q3</v>
      </c>
    </row>
    <row r="2487" customFormat="false" ht="15" hidden="false" customHeight="false" outlineLevel="0" collapsed="false">
      <c r="D2487" s="0" t="s">
        <v>81</v>
      </c>
      <c r="E2487" s="0" t="s">
        <v>82</v>
      </c>
      <c r="F2487" s="0" t="s">
        <v>83</v>
      </c>
      <c r="G2487" s="0" t="s">
        <v>148</v>
      </c>
      <c r="H2487" s="0" t="s">
        <v>149</v>
      </c>
      <c r="I2487" s="0" t="s">
        <v>28</v>
      </c>
      <c r="J2487" s="0" t="s">
        <v>29</v>
      </c>
      <c r="K2487" s="0" t="s">
        <v>48</v>
      </c>
      <c r="L2487" s="0" t="s">
        <v>49</v>
      </c>
      <c r="M2487" s="0" t="s">
        <v>140</v>
      </c>
      <c r="N2487" s="0" t="n">
        <v>1634</v>
      </c>
      <c r="O2487" s="10" t="n">
        <v>0.620235354173928</v>
      </c>
      <c r="P2487" s="10" t="n">
        <v>0.143331421539187</v>
      </c>
      <c r="Q2487" s="0" t="str">
        <f aca="false">SUBSTITUTE(SUBSTITUTE($I2487,CHAR(61),""),CHAR(34),"")</f>
        <v>&lt;01</v>
      </c>
      <c r="R2487" s="0" t="str">
        <f aca="false">IF($D2487&lt;&gt;"","["&amp;$E2487&amp;"]"&amp;"|"&amp;$Q2487&amp;"|"&amp;$K2487&amp;"|"&amp;$G2487&amp;"|"&amp;IF($G2487="TX_CURR_SUBNAT.R","CY2022Q4",$M2487),"")</f>
        <v>[ir8wuHHzoSs]|&lt;01|Male|DIAGNOSED_SUBNAT.T_1|CY2023Q3</v>
      </c>
    </row>
    <row r="2488" customFormat="false" ht="15" hidden="false" customHeight="false" outlineLevel="0" collapsed="false">
      <c r="D2488" s="0" t="s">
        <v>81</v>
      </c>
      <c r="E2488" s="0" t="s">
        <v>82</v>
      </c>
      <c r="F2488" s="0" t="s">
        <v>83</v>
      </c>
      <c r="G2488" s="0" t="s">
        <v>148</v>
      </c>
      <c r="H2488" s="0" t="s">
        <v>149</v>
      </c>
      <c r="I2488" s="0" t="s">
        <v>33</v>
      </c>
      <c r="J2488" s="0" t="s">
        <v>34</v>
      </c>
      <c r="K2488" s="0" t="s">
        <v>48</v>
      </c>
      <c r="L2488" s="0" t="s">
        <v>49</v>
      </c>
      <c r="M2488" s="0" t="s">
        <v>140</v>
      </c>
      <c r="N2488" s="0" t="n">
        <v>1437</v>
      </c>
      <c r="O2488" s="10" t="n">
        <v>0.46314786025323</v>
      </c>
      <c r="P2488" s="10" t="n">
        <v>0.143331421539187</v>
      </c>
      <c r="Q2488" s="0" t="str">
        <f aca="false">SUBSTITUTE(SUBSTITUTE($I2488,CHAR(61),""),CHAR(34),"")</f>
        <v>01-09</v>
      </c>
      <c r="R2488" s="0" t="str">
        <f aca="false">IF($D2488&lt;&gt;"","["&amp;$E2488&amp;"]"&amp;"|"&amp;$Q2488&amp;"|"&amp;$K2488&amp;"|"&amp;$G2488&amp;"|"&amp;IF($G2488="TX_CURR_SUBNAT.R","CY2022Q4",$M2488),"")</f>
        <v>[ir8wuHHzoSs]|01-09|Male|DIAGNOSED_SUBNAT.T_1|CY2023Q3</v>
      </c>
    </row>
    <row r="2489" customFormat="false" ht="15" hidden="false" customHeight="false" outlineLevel="0" collapsed="false">
      <c r="D2489" s="0" t="s">
        <v>81</v>
      </c>
      <c r="E2489" s="0" t="s">
        <v>82</v>
      </c>
      <c r="F2489" s="0" t="s">
        <v>83</v>
      </c>
      <c r="G2489" s="0" t="s">
        <v>148</v>
      </c>
      <c r="H2489" s="0" t="s">
        <v>149</v>
      </c>
      <c r="I2489" s="0" t="s">
        <v>36</v>
      </c>
      <c r="J2489" s="0" t="s">
        <v>37</v>
      </c>
      <c r="K2489" s="0" t="s">
        <v>48</v>
      </c>
      <c r="L2489" s="0" t="s">
        <v>49</v>
      </c>
      <c r="M2489" s="0" t="s">
        <v>140</v>
      </c>
      <c r="N2489" s="0" t="n">
        <v>893</v>
      </c>
      <c r="O2489" s="10" t="n">
        <v>0.642505553085357</v>
      </c>
      <c r="P2489" s="10" t="n">
        <v>0.143331421539187</v>
      </c>
      <c r="Q2489" s="0" t="str">
        <f aca="false">SUBSTITUTE(SUBSTITUTE($I2489,CHAR(61),""),CHAR(34),"")</f>
        <v>10-14</v>
      </c>
      <c r="R2489" s="0" t="str">
        <f aca="false">IF($D2489&lt;&gt;"","["&amp;$E2489&amp;"]"&amp;"|"&amp;$Q2489&amp;"|"&amp;$K2489&amp;"|"&amp;$G2489&amp;"|"&amp;IF($G2489="TX_CURR_SUBNAT.R","CY2022Q4",$M2489),"")</f>
        <v>[ir8wuHHzoSs]|10-14|Male|DIAGNOSED_SUBNAT.T_1|CY2023Q3</v>
      </c>
    </row>
    <row r="2490" customFormat="false" ht="15" hidden="false" customHeight="false" outlineLevel="0" collapsed="false">
      <c r="D2490" s="0" t="s">
        <v>81</v>
      </c>
      <c r="E2490" s="0" t="s">
        <v>82</v>
      </c>
      <c r="F2490" s="0" t="s">
        <v>83</v>
      </c>
      <c r="G2490" s="0" t="s">
        <v>148</v>
      </c>
      <c r="H2490" s="0" t="s">
        <v>149</v>
      </c>
      <c r="I2490" s="0" t="s">
        <v>38</v>
      </c>
      <c r="J2490" s="0" t="s">
        <v>39</v>
      </c>
      <c r="K2490" s="0" t="s">
        <v>48</v>
      </c>
      <c r="L2490" s="0" t="s">
        <v>49</v>
      </c>
      <c r="M2490" s="0" t="s">
        <v>140</v>
      </c>
      <c r="N2490" s="0" t="n">
        <v>800</v>
      </c>
      <c r="O2490" s="10" t="n">
        <v>0.491152604110539</v>
      </c>
      <c r="P2490" s="10" t="n">
        <v>0.143331421539187</v>
      </c>
      <c r="Q2490" s="0" t="str">
        <f aca="false">SUBSTITUTE(SUBSTITUTE($I2490,CHAR(61),""),CHAR(34),"")</f>
        <v>15-24</v>
      </c>
      <c r="R2490" s="0" t="str">
        <f aca="false">IF($D2490&lt;&gt;"","["&amp;$E2490&amp;"]"&amp;"|"&amp;$Q2490&amp;"|"&amp;$K2490&amp;"|"&amp;$G2490&amp;"|"&amp;IF($G2490="TX_CURR_SUBNAT.R","CY2022Q4",$M2490),"")</f>
        <v>[ir8wuHHzoSs]|15-24|Male|DIAGNOSED_SUBNAT.T_1|CY2023Q3</v>
      </c>
    </row>
    <row r="2491" customFormat="false" ht="15" hidden="false" customHeight="false" outlineLevel="0" collapsed="false">
      <c r="D2491" s="0" t="s">
        <v>81</v>
      </c>
      <c r="E2491" s="0" t="s">
        <v>82</v>
      </c>
      <c r="F2491" s="0" t="s">
        <v>83</v>
      </c>
      <c r="G2491" s="0" t="s">
        <v>148</v>
      </c>
      <c r="H2491" s="0" t="s">
        <v>149</v>
      </c>
      <c r="I2491" s="0" t="s">
        <v>41</v>
      </c>
      <c r="J2491" s="0" t="s">
        <v>42</v>
      </c>
      <c r="K2491" s="0" t="s">
        <v>48</v>
      </c>
      <c r="L2491" s="0" t="s">
        <v>49</v>
      </c>
      <c r="M2491" s="0" t="s">
        <v>140</v>
      </c>
      <c r="N2491" s="0" t="n">
        <v>1803</v>
      </c>
      <c r="O2491" s="10" t="n">
        <v>0.933244977379218</v>
      </c>
      <c r="P2491" s="10" t="n">
        <v>0.143331421539187</v>
      </c>
      <c r="Q2491" s="0" t="str">
        <f aca="false">SUBSTITUTE(SUBSTITUTE($I2491,CHAR(61),""),CHAR(34),"")</f>
        <v>25-34</v>
      </c>
      <c r="R2491" s="0" t="str">
        <f aca="false">IF($D2491&lt;&gt;"","["&amp;$E2491&amp;"]"&amp;"|"&amp;$Q2491&amp;"|"&amp;$K2491&amp;"|"&amp;$G2491&amp;"|"&amp;IF($G2491="TX_CURR_SUBNAT.R","CY2022Q4",$M2491),"")</f>
        <v>[ir8wuHHzoSs]|25-34|Male|DIAGNOSED_SUBNAT.T_1|CY2023Q3</v>
      </c>
    </row>
    <row r="2492" customFormat="false" ht="15" hidden="false" customHeight="false" outlineLevel="0" collapsed="false">
      <c r="D2492" s="0" t="s">
        <v>81</v>
      </c>
      <c r="E2492" s="0" t="s">
        <v>82</v>
      </c>
      <c r="F2492" s="0" t="s">
        <v>83</v>
      </c>
      <c r="G2492" s="0" t="s">
        <v>148</v>
      </c>
      <c r="H2492" s="0" t="s">
        <v>149</v>
      </c>
      <c r="I2492" s="0" t="s">
        <v>43</v>
      </c>
      <c r="J2492" s="0" t="s">
        <v>44</v>
      </c>
      <c r="K2492" s="0" t="s">
        <v>48</v>
      </c>
      <c r="L2492" s="0" t="s">
        <v>49</v>
      </c>
      <c r="M2492" s="0" t="s">
        <v>140</v>
      </c>
      <c r="N2492" s="0" t="n">
        <v>894</v>
      </c>
      <c r="O2492" s="10" t="n">
        <v>0.765513713704422</v>
      </c>
      <c r="P2492" s="10" t="n">
        <v>0.143331421539187</v>
      </c>
      <c r="Q2492" s="0" t="str">
        <f aca="false">SUBSTITUTE(SUBSTITUTE($I2492,CHAR(61),""),CHAR(34),"")</f>
        <v>35-49</v>
      </c>
      <c r="R2492" s="0" t="str">
        <f aca="false">IF($D2492&lt;&gt;"","["&amp;$E2492&amp;"]"&amp;"|"&amp;$Q2492&amp;"|"&amp;$K2492&amp;"|"&amp;$G2492&amp;"|"&amp;IF($G2492="TX_CURR_SUBNAT.R","CY2022Q4",$M2492),"")</f>
        <v>[ir8wuHHzoSs]|35-49|Male|DIAGNOSED_SUBNAT.T_1|CY2023Q3</v>
      </c>
    </row>
    <row r="2493" customFormat="false" ht="15" hidden="false" customHeight="false" outlineLevel="0" collapsed="false">
      <c r="D2493" s="0" t="s">
        <v>81</v>
      </c>
      <c r="E2493" s="0" t="s">
        <v>82</v>
      </c>
      <c r="F2493" s="0" t="s">
        <v>83</v>
      </c>
      <c r="G2493" s="0" t="s">
        <v>148</v>
      </c>
      <c r="H2493" s="0" t="s">
        <v>149</v>
      </c>
      <c r="I2493" s="0" t="s">
        <v>45</v>
      </c>
      <c r="J2493" s="0" t="s">
        <v>46</v>
      </c>
      <c r="K2493" s="0" t="s">
        <v>48</v>
      </c>
      <c r="L2493" s="0" t="s">
        <v>49</v>
      </c>
      <c r="M2493" s="0" t="s">
        <v>140</v>
      </c>
      <c r="N2493" s="0" t="n">
        <v>1836</v>
      </c>
      <c r="O2493" s="10" t="n">
        <v>0.69141494599171</v>
      </c>
      <c r="P2493" s="10" t="n">
        <v>0.143331421539187</v>
      </c>
      <c r="Q2493" s="0" t="str">
        <f aca="false">SUBSTITUTE(SUBSTITUTE($I2493,CHAR(61),""),CHAR(34),"")</f>
        <v>50+</v>
      </c>
      <c r="R2493" s="0" t="str">
        <f aca="false">IF($D2493&lt;&gt;"","["&amp;$E2493&amp;"]"&amp;"|"&amp;$Q2493&amp;"|"&amp;$K2493&amp;"|"&amp;$G2493&amp;"|"&amp;IF($G2493="TX_CURR_SUBNAT.R","CY2022Q4",$M2493),"")</f>
        <v>[ir8wuHHzoSs]|50+|Male|DIAGNOSED_SUBNAT.T_1|CY2023Q3</v>
      </c>
    </row>
    <row r="2494" customFormat="false" ht="15" hidden="false" customHeight="false" outlineLevel="0" collapsed="false">
      <c r="D2494" s="0" t="s">
        <v>84</v>
      </c>
      <c r="E2494" s="0" t="s">
        <v>85</v>
      </c>
      <c r="F2494" s="0" t="s">
        <v>86</v>
      </c>
      <c r="G2494" s="0" t="s">
        <v>148</v>
      </c>
      <c r="H2494" s="0" t="s">
        <v>149</v>
      </c>
      <c r="I2494" s="0" t="s">
        <v>28</v>
      </c>
      <c r="J2494" s="0" t="s">
        <v>29</v>
      </c>
      <c r="K2494" s="0" t="s">
        <v>30</v>
      </c>
      <c r="L2494" s="0" t="s">
        <v>31</v>
      </c>
      <c r="M2494" s="0" t="s">
        <v>140</v>
      </c>
      <c r="N2494" s="0" t="n">
        <v>1872</v>
      </c>
      <c r="O2494" s="10" t="n">
        <v>0.906837941845879</v>
      </c>
      <c r="P2494" s="10" t="n">
        <v>0.0297887143678963</v>
      </c>
      <c r="Q2494" s="0" t="str">
        <f aca="false">SUBSTITUTE(SUBSTITUTE($I2494,CHAR(61),""),CHAR(34),"")</f>
        <v>&lt;01</v>
      </c>
      <c r="R2494" s="0" t="str">
        <f aca="false">IF($D2494&lt;&gt;"","["&amp;$E2494&amp;"]"&amp;"|"&amp;$Q2494&amp;"|"&amp;$K2494&amp;"|"&amp;$G2494&amp;"|"&amp;IF($G2494="TX_CURR_SUBNAT.R","CY2022Q4",$M2494),"")</f>
        <v>[fyEoGEPERdI]|&lt;01|Female|DIAGNOSED_SUBNAT.T_1|CY2023Q3</v>
      </c>
    </row>
    <row r="2495" customFormat="false" ht="15" hidden="false" customHeight="false" outlineLevel="0" collapsed="false">
      <c r="D2495" s="0" t="s">
        <v>84</v>
      </c>
      <c r="E2495" s="0" t="s">
        <v>85</v>
      </c>
      <c r="F2495" s="0" t="s">
        <v>86</v>
      </c>
      <c r="G2495" s="0" t="s">
        <v>148</v>
      </c>
      <c r="H2495" s="0" t="s">
        <v>149</v>
      </c>
      <c r="I2495" s="0" t="s">
        <v>33</v>
      </c>
      <c r="J2495" s="0" t="s">
        <v>34</v>
      </c>
      <c r="K2495" s="0" t="s">
        <v>30</v>
      </c>
      <c r="L2495" s="0" t="s">
        <v>31</v>
      </c>
      <c r="M2495" s="0" t="s">
        <v>140</v>
      </c>
      <c r="N2495" s="0" t="n">
        <v>1867</v>
      </c>
      <c r="O2495" s="10" t="n">
        <v>0.143835293827578</v>
      </c>
      <c r="P2495" s="10" t="n">
        <v>0.0297887143678963</v>
      </c>
      <c r="Q2495" s="0" t="str">
        <f aca="false">SUBSTITUTE(SUBSTITUTE($I2495,CHAR(61),""),CHAR(34),"")</f>
        <v>01-09</v>
      </c>
      <c r="R2495" s="0" t="str">
        <f aca="false">IF($D2495&lt;&gt;"","["&amp;$E2495&amp;"]"&amp;"|"&amp;$Q2495&amp;"|"&amp;$K2495&amp;"|"&amp;$G2495&amp;"|"&amp;IF($G2495="TX_CURR_SUBNAT.R","CY2022Q4",$M2495),"")</f>
        <v>[fyEoGEPERdI]|01-09|Female|DIAGNOSED_SUBNAT.T_1|CY2023Q3</v>
      </c>
    </row>
    <row r="2496" customFormat="false" ht="15" hidden="false" customHeight="false" outlineLevel="0" collapsed="false">
      <c r="D2496" s="0" t="s">
        <v>84</v>
      </c>
      <c r="E2496" s="0" t="s">
        <v>85</v>
      </c>
      <c r="F2496" s="0" t="s">
        <v>86</v>
      </c>
      <c r="G2496" s="0" t="s">
        <v>148</v>
      </c>
      <c r="H2496" s="0" t="s">
        <v>149</v>
      </c>
      <c r="I2496" s="0" t="s">
        <v>36</v>
      </c>
      <c r="J2496" s="0" t="s">
        <v>37</v>
      </c>
      <c r="K2496" s="0" t="s">
        <v>30</v>
      </c>
      <c r="L2496" s="0" t="s">
        <v>31</v>
      </c>
      <c r="M2496" s="0" t="s">
        <v>140</v>
      </c>
      <c r="N2496" s="0" t="n">
        <v>1567</v>
      </c>
      <c r="O2496" s="10" t="n">
        <v>0.204634943744168</v>
      </c>
      <c r="P2496" s="10" t="n">
        <v>0.0297887143678963</v>
      </c>
      <c r="Q2496" s="0" t="str">
        <f aca="false">SUBSTITUTE(SUBSTITUTE($I2496,CHAR(61),""),CHAR(34),"")</f>
        <v>10-14</v>
      </c>
      <c r="R2496" s="0" t="str">
        <f aca="false">IF($D2496&lt;&gt;"","["&amp;$E2496&amp;"]"&amp;"|"&amp;$Q2496&amp;"|"&amp;$K2496&amp;"|"&amp;$G2496&amp;"|"&amp;IF($G2496="TX_CURR_SUBNAT.R","CY2022Q4",$M2496),"")</f>
        <v>[fyEoGEPERdI]|10-14|Female|DIAGNOSED_SUBNAT.T_1|CY2023Q3</v>
      </c>
    </row>
    <row r="2497" customFormat="false" ht="15" hidden="false" customHeight="false" outlineLevel="0" collapsed="false">
      <c r="D2497" s="0" t="s">
        <v>84</v>
      </c>
      <c r="E2497" s="0" t="s">
        <v>85</v>
      </c>
      <c r="F2497" s="0" t="s">
        <v>86</v>
      </c>
      <c r="G2497" s="0" t="s">
        <v>148</v>
      </c>
      <c r="H2497" s="0" t="s">
        <v>149</v>
      </c>
      <c r="I2497" s="0" t="s">
        <v>38</v>
      </c>
      <c r="J2497" s="0" t="s">
        <v>39</v>
      </c>
      <c r="K2497" s="0" t="s">
        <v>30</v>
      </c>
      <c r="L2497" s="0" t="s">
        <v>31</v>
      </c>
      <c r="M2497" s="0" t="s">
        <v>140</v>
      </c>
      <c r="N2497" s="0" t="n">
        <v>1762</v>
      </c>
      <c r="O2497" s="10" t="n">
        <v>0.539179017534479</v>
      </c>
      <c r="P2497" s="10" t="n">
        <v>0.0297887143678963</v>
      </c>
      <c r="Q2497" s="0" t="str">
        <f aca="false">SUBSTITUTE(SUBSTITUTE($I2497,CHAR(61),""),CHAR(34),"")</f>
        <v>15-24</v>
      </c>
      <c r="R2497" s="0" t="str">
        <f aca="false">IF($D2497&lt;&gt;"","["&amp;$E2497&amp;"]"&amp;"|"&amp;$Q2497&amp;"|"&amp;$K2497&amp;"|"&amp;$G2497&amp;"|"&amp;IF($G2497="TX_CURR_SUBNAT.R","CY2022Q4",$M2497),"")</f>
        <v>[fyEoGEPERdI]|15-24|Female|DIAGNOSED_SUBNAT.T_1|CY2023Q3</v>
      </c>
    </row>
    <row r="2498" customFormat="false" ht="15" hidden="false" customHeight="false" outlineLevel="0" collapsed="false">
      <c r="D2498" s="0" t="s">
        <v>84</v>
      </c>
      <c r="E2498" s="0" t="s">
        <v>85</v>
      </c>
      <c r="F2498" s="0" t="s">
        <v>86</v>
      </c>
      <c r="G2498" s="0" t="s">
        <v>148</v>
      </c>
      <c r="H2498" s="0" t="s">
        <v>149</v>
      </c>
      <c r="I2498" s="0" t="s">
        <v>41</v>
      </c>
      <c r="J2498" s="0" t="s">
        <v>42</v>
      </c>
      <c r="K2498" s="0" t="s">
        <v>30</v>
      </c>
      <c r="L2498" s="0" t="s">
        <v>31</v>
      </c>
      <c r="M2498" s="0" t="s">
        <v>140</v>
      </c>
      <c r="N2498" s="0" t="n">
        <v>1144</v>
      </c>
      <c r="O2498" s="10" t="n">
        <v>0.128653624560684</v>
      </c>
      <c r="P2498" s="10" t="n">
        <v>0.0297887143678963</v>
      </c>
      <c r="Q2498" s="0" t="str">
        <f aca="false">SUBSTITUTE(SUBSTITUTE($I2498,CHAR(61),""),CHAR(34),"")</f>
        <v>25-34</v>
      </c>
      <c r="R2498" s="0" t="str">
        <f aca="false">IF($D2498&lt;&gt;"","["&amp;$E2498&amp;"]"&amp;"|"&amp;$Q2498&amp;"|"&amp;$K2498&amp;"|"&amp;$G2498&amp;"|"&amp;IF($G2498="TX_CURR_SUBNAT.R","CY2022Q4",$M2498),"")</f>
        <v>[fyEoGEPERdI]|25-34|Female|DIAGNOSED_SUBNAT.T_1|CY2023Q3</v>
      </c>
    </row>
    <row r="2499" customFormat="false" ht="15" hidden="false" customHeight="false" outlineLevel="0" collapsed="false">
      <c r="D2499" s="0" t="s">
        <v>84</v>
      </c>
      <c r="E2499" s="0" t="s">
        <v>85</v>
      </c>
      <c r="F2499" s="0" t="s">
        <v>86</v>
      </c>
      <c r="G2499" s="0" t="s">
        <v>148</v>
      </c>
      <c r="H2499" s="0" t="s">
        <v>149</v>
      </c>
      <c r="I2499" s="0" t="s">
        <v>43</v>
      </c>
      <c r="J2499" s="0" t="s">
        <v>44</v>
      </c>
      <c r="K2499" s="0" t="s">
        <v>30</v>
      </c>
      <c r="L2499" s="0" t="s">
        <v>31</v>
      </c>
      <c r="M2499" s="0" t="s">
        <v>140</v>
      </c>
      <c r="N2499" s="0" t="n">
        <v>901</v>
      </c>
      <c r="O2499" s="10" t="n">
        <v>0.679577845148742</v>
      </c>
      <c r="P2499" s="10" t="n">
        <v>0.0297887143678963</v>
      </c>
      <c r="Q2499" s="0" t="str">
        <f aca="false">SUBSTITUTE(SUBSTITUTE($I2499,CHAR(61),""),CHAR(34),"")</f>
        <v>35-49</v>
      </c>
      <c r="R2499" s="0" t="str">
        <f aca="false">IF($D2499&lt;&gt;"","["&amp;$E2499&amp;"]"&amp;"|"&amp;$Q2499&amp;"|"&amp;$K2499&amp;"|"&amp;$G2499&amp;"|"&amp;IF($G2499="TX_CURR_SUBNAT.R","CY2022Q4",$M2499),"")</f>
        <v>[fyEoGEPERdI]|35-49|Female|DIAGNOSED_SUBNAT.T_1|CY2023Q3</v>
      </c>
    </row>
    <row r="2500" customFormat="false" ht="15" hidden="false" customHeight="false" outlineLevel="0" collapsed="false">
      <c r="D2500" s="0" t="s">
        <v>84</v>
      </c>
      <c r="E2500" s="0" t="s">
        <v>85</v>
      </c>
      <c r="F2500" s="0" t="s">
        <v>86</v>
      </c>
      <c r="G2500" s="0" t="s">
        <v>148</v>
      </c>
      <c r="H2500" s="0" t="s">
        <v>149</v>
      </c>
      <c r="I2500" s="0" t="s">
        <v>45</v>
      </c>
      <c r="J2500" s="0" t="s">
        <v>46</v>
      </c>
      <c r="K2500" s="0" t="s">
        <v>30</v>
      </c>
      <c r="L2500" s="0" t="s">
        <v>31</v>
      </c>
      <c r="M2500" s="0" t="s">
        <v>140</v>
      </c>
      <c r="N2500" s="0" t="n">
        <v>1589</v>
      </c>
      <c r="O2500" s="10" t="n">
        <v>0.879429414169863</v>
      </c>
      <c r="P2500" s="10" t="n">
        <v>0.0297887143678963</v>
      </c>
      <c r="Q2500" s="0" t="str">
        <f aca="false">SUBSTITUTE(SUBSTITUTE($I2500,CHAR(61),""),CHAR(34),"")</f>
        <v>50+</v>
      </c>
      <c r="R2500" s="0" t="str">
        <f aca="false">IF($D2500&lt;&gt;"","["&amp;$E2500&amp;"]"&amp;"|"&amp;$Q2500&amp;"|"&amp;$K2500&amp;"|"&amp;$G2500&amp;"|"&amp;IF($G2500="TX_CURR_SUBNAT.R","CY2022Q4",$M2500),"")</f>
        <v>[fyEoGEPERdI]|50+|Female|DIAGNOSED_SUBNAT.T_1|CY2023Q3</v>
      </c>
    </row>
    <row r="2501" customFormat="false" ht="15" hidden="false" customHeight="false" outlineLevel="0" collapsed="false">
      <c r="D2501" s="0" t="s">
        <v>84</v>
      </c>
      <c r="E2501" s="0" t="s">
        <v>85</v>
      </c>
      <c r="F2501" s="0" t="s">
        <v>86</v>
      </c>
      <c r="G2501" s="0" t="s">
        <v>148</v>
      </c>
      <c r="H2501" s="0" t="s">
        <v>149</v>
      </c>
      <c r="I2501" s="0" t="s">
        <v>28</v>
      </c>
      <c r="J2501" s="0" t="s">
        <v>29</v>
      </c>
      <c r="K2501" s="0" t="s">
        <v>48</v>
      </c>
      <c r="L2501" s="0" t="s">
        <v>49</v>
      </c>
      <c r="M2501" s="0" t="s">
        <v>140</v>
      </c>
      <c r="N2501" s="0" t="n">
        <v>1703</v>
      </c>
      <c r="O2501" s="10" t="n">
        <v>0.128898192662746</v>
      </c>
      <c r="P2501" s="10" t="n">
        <v>0.0297887143678963</v>
      </c>
      <c r="Q2501" s="0" t="str">
        <f aca="false">SUBSTITUTE(SUBSTITUTE($I2501,CHAR(61),""),CHAR(34),"")</f>
        <v>&lt;01</v>
      </c>
      <c r="R2501" s="0" t="str">
        <f aca="false">IF($D2501&lt;&gt;"","["&amp;$E2501&amp;"]"&amp;"|"&amp;$Q2501&amp;"|"&amp;$K2501&amp;"|"&amp;$G2501&amp;"|"&amp;IF($G2501="TX_CURR_SUBNAT.R","CY2022Q4",$M2501),"")</f>
        <v>[fyEoGEPERdI]|&lt;01|Male|DIAGNOSED_SUBNAT.T_1|CY2023Q3</v>
      </c>
    </row>
    <row r="2502" customFormat="false" ht="15" hidden="false" customHeight="false" outlineLevel="0" collapsed="false">
      <c r="D2502" s="0" t="s">
        <v>84</v>
      </c>
      <c r="E2502" s="0" t="s">
        <v>85</v>
      </c>
      <c r="F2502" s="0" t="s">
        <v>86</v>
      </c>
      <c r="G2502" s="0" t="s">
        <v>148</v>
      </c>
      <c r="H2502" s="0" t="s">
        <v>149</v>
      </c>
      <c r="I2502" s="0" t="s">
        <v>33</v>
      </c>
      <c r="J2502" s="0" t="s">
        <v>34</v>
      </c>
      <c r="K2502" s="0" t="s">
        <v>48</v>
      </c>
      <c r="L2502" s="0" t="s">
        <v>49</v>
      </c>
      <c r="M2502" s="0" t="s">
        <v>140</v>
      </c>
      <c r="N2502" s="0" t="n">
        <v>877</v>
      </c>
      <c r="O2502" s="10" t="n">
        <v>0.186543889576569</v>
      </c>
      <c r="P2502" s="10" t="n">
        <v>0.0297887143678963</v>
      </c>
      <c r="Q2502" s="0" t="str">
        <f aca="false">SUBSTITUTE(SUBSTITUTE($I2502,CHAR(61),""),CHAR(34),"")</f>
        <v>01-09</v>
      </c>
      <c r="R2502" s="0" t="str">
        <f aca="false">IF($D2502&lt;&gt;"","["&amp;$E2502&amp;"]"&amp;"|"&amp;$Q2502&amp;"|"&amp;$K2502&amp;"|"&amp;$G2502&amp;"|"&amp;IF($G2502="TX_CURR_SUBNAT.R","CY2022Q4",$M2502),"")</f>
        <v>[fyEoGEPERdI]|01-09|Male|DIAGNOSED_SUBNAT.T_1|CY2023Q3</v>
      </c>
    </row>
    <row r="2503" customFormat="false" ht="15" hidden="false" customHeight="false" outlineLevel="0" collapsed="false">
      <c r="D2503" s="0" t="s">
        <v>84</v>
      </c>
      <c r="E2503" s="0" t="s">
        <v>85</v>
      </c>
      <c r="F2503" s="0" t="s">
        <v>86</v>
      </c>
      <c r="G2503" s="0" t="s">
        <v>148</v>
      </c>
      <c r="H2503" s="0" t="s">
        <v>149</v>
      </c>
      <c r="I2503" s="0" t="s">
        <v>36</v>
      </c>
      <c r="J2503" s="0" t="s">
        <v>37</v>
      </c>
      <c r="K2503" s="0" t="s">
        <v>48</v>
      </c>
      <c r="L2503" s="0" t="s">
        <v>49</v>
      </c>
      <c r="M2503" s="0" t="s">
        <v>140</v>
      </c>
      <c r="N2503" s="0" t="n">
        <v>1107</v>
      </c>
      <c r="O2503" s="10" t="n">
        <v>0.790507523342967</v>
      </c>
      <c r="P2503" s="10" t="n">
        <v>0.0297887143678963</v>
      </c>
      <c r="Q2503" s="0" t="str">
        <f aca="false">SUBSTITUTE(SUBSTITUTE($I2503,CHAR(61),""),CHAR(34),"")</f>
        <v>10-14</v>
      </c>
      <c r="R2503" s="0" t="str">
        <f aca="false">IF($D2503&lt;&gt;"","["&amp;$E2503&amp;"]"&amp;"|"&amp;$Q2503&amp;"|"&amp;$K2503&amp;"|"&amp;$G2503&amp;"|"&amp;IF($G2503="TX_CURR_SUBNAT.R","CY2022Q4",$M2503),"")</f>
        <v>[fyEoGEPERdI]|10-14|Male|DIAGNOSED_SUBNAT.T_1|CY2023Q3</v>
      </c>
    </row>
    <row r="2504" customFormat="false" ht="15" hidden="false" customHeight="false" outlineLevel="0" collapsed="false">
      <c r="D2504" s="0" t="s">
        <v>84</v>
      </c>
      <c r="E2504" s="0" t="s">
        <v>85</v>
      </c>
      <c r="F2504" s="0" t="s">
        <v>86</v>
      </c>
      <c r="G2504" s="0" t="s">
        <v>148</v>
      </c>
      <c r="H2504" s="0" t="s">
        <v>149</v>
      </c>
      <c r="I2504" s="0" t="s">
        <v>38</v>
      </c>
      <c r="J2504" s="0" t="s">
        <v>39</v>
      </c>
      <c r="K2504" s="0" t="s">
        <v>48</v>
      </c>
      <c r="L2504" s="0" t="s">
        <v>49</v>
      </c>
      <c r="M2504" s="0" t="s">
        <v>140</v>
      </c>
      <c r="N2504" s="0" t="n">
        <v>710</v>
      </c>
      <c r="O2504" s="10" t="n">
        <v>0.468746937811375</v>
      </c>
      <c r="P2504" s="10" t="n">
        <v>0.0297887143678963</v>
      </c>
      <c r="Q2504" s="0" t="str">
        <f aca="false">SUBSTITUTE(SUBSTITUTE($I2504,CHAR(61),""),CHAR(34),"")</f>
        <v>15-24</v>
      </c>
      <c r="R2504" s="0" t="str">
        <f aca="false">IF($D2504&lt;&gt;"","["&amp;$E2504&amp;"]"&amp;"|"&amp;$Q2504&amp;"|"&amp;$K2504&amp;"|"&amp;$G2504&amp;"|"&amp;IF($G2504="TX_CURR_SUBNAT.R","CY2022Q4",$M2504),"")</f>
        <v>[fyEoGEPERdI]|15-24|Male|DIAGNOSED_SUBNAT.T_1|CY2023Q3</v>
      </c>
    </row>
    <row r="2505" customFormat="false" ht="15" hidden="false" customHeight="false" outlineLevel="0" collapsed="false">
      <c r="D2505" s="0" t="s">
        <v>84</v>
      </c>
      <c r="E2505" s="0" t="s">
        <v>85</v>
      </c>
      <c r="F2505" s="0" t="s">
        <v>86</v>
      </c>
      <c r="G2505" s="0" t="s">
        <v>148</v>
      </c>
      <c r="H2505" s="0" t="s">
        <v>149</v>
      </c>
      <c r="I2505" s="0" t="s">
        <v>41</v>
      </c>
      <c r="J2505" s="0" t="s">
        <v>42</v>
      </c>
      <c r="K2505" s="0" t="s">
        <v>48</v>
      </c>
      <c r="L2505" s="0" t="s">
        <v>49</v>
      </c>
      <c r="M2505" s="0" t="s">
        <v>140</v>
      </c>
      <c r="N2505" s="0" t="n">
        <v>1100</v>
      </c>
      <c r="O2505" s="10" t="n">
        <v>0.686579892877489</v>
      </c>
      <c r="P2505" s="10" t="n">
        <v>0.0297887143678963</v>
      </c>
      <c r="Q2505" s="0" t="str">
        <f aca="false">SUBSTITUTE(SUBSTITUTE($I2505,CHAR(61),""),CHAR(34),"")</f>
        <v>25-34</v>
      </c>
      <c r="R2505" s="0" t="str">
        <f aca="false">IF($D2505&lt;&gt;"","["&amp;$E2505&amp;"]"&amp;"|"&amp;$Q2505&amp;"|"&amp;$K2505&amp;"|"&amp;$G2505&amp;"|"&amp;IF($G2505="TX_CURR_SUBNAT.R","CY2022Q4",$M2505),"")</f>
        <v>[fyEoGEPERdI]|25-34|Male|DIAGNOSED_SUBNAT.T_1|CY2023Q3</v>
      </c>
    </row>
    <row r="2506" customFormat="false" ht="15" hidden="false" customHeight="false" outlineLevel="0" collapsed="false">
      <c r="D2506" s="0" t="s">
        <v>84</v>
      </c>
      <c r="E2506" s="0" t="s">
        <v>85</v>
      </c>
      <c r="F2506" s="0" t="s">
        <v>86</v>
      </c>
      <c r="G2506" s="0" t="s">
        <v>148</v>
      </c>
      <c r="H2506" s="0" t="s">
        <v>149</v>
      </c>
      <c r="I2506" s="0" t="s">
        <v>43</v>
      </c>
      <c r="J2506" s="0" t="s">
        <v>44</v>
      </c>
      <c r="K2506" s="0" t="s">
        <v>48</v>
      </c>
      <c r="L2506" s="0" t="s">
        <v>49</v>
      </c>
      <c r="M2506" s="0" t="s">
        <v>140</v>
      </c>
      <c r="N2506" s="0" t="n">
        <v>1182</v>
      </c>
      <c r="O2506" s="10" t="n">
        <v>0.587973548332229</v>
      </c>
      <c r="P2506" s="10" t="n">
        <v>0.0297887143678963</v>
      </c>
      <c r="Q2506" s="0" t="str">
        <f aca="false">SUBSTITUTE(SUBSTITUTE($I2506,CHAR(61),""),CHAR(34),"")</f>
        <v>35-49</v>
      </c>
      <c r="R2506" s="0" t="str">
        <f aca="false">IF($D2506&lt;&gt;"","["&amp;$E2506&amp;"]"&amp;"|"&amp;$Q2506&amp;"|"&amp;$K2506&amp;"|"&amp;$G2506&amp;"|"&amp;IF($G2506="TX_CURR_SUBNAT.R","CY2022Q4",$M2506),"")</f>
        <v>[fyEoGEPERdI]|35-49|Male|DIAGNOSED_SUBNAT.T_1|CY2023Q3</v>
      </c>
    </row>
    <row r="2507" customFormat="false" ht="15" hidden="false" customHeight="false" outlineLevel="0" collapsed="false">
      <c r="D2507" s="0" t="s">
        <v>84</v>
      </c>
      <c r="E2507" s="0" t="s">
        <v>85</v>
      </c>
      <c r="F2507" s="0" t="s">
        <v>86</v>
      </c>
      <c r="G2507" s="0" t="s">
        <v>148</v>
      </c>
      <c r="H2507" s="0" t="s">
        <v>149</v>
      </c>
      <c r="I2507" s="0" t="s">
        <v>45</v>
      </c>
      <c r="J2507" s="0" t="s">
        <v>46</v>
      </c>
      <c r="K2507" s="0" t="s">
        <v>48</v>
      </c>
      <c r="L2507" s="0" t="s">
        <v>49</v>
      </c>
      <c r="M2507" s="0" t="s">
        <v>140</v>
      </c>
      <c r="N2507" s="0" t="n">
        <v>1602</v>
      </c>
      <c r="O2507" s="10" t="n">
        <v>0.783953124657273</v>
      </c>
      <c r="P2507" s="10" t="n">
        <v>0.0297887143678963</v>
      </c>
      <c r="Q2507" s="0" t="str">
        <f aca="false">SUBSTITUTE(SUBSTITUTE($I2507,CHAR(61),""),CHAR(34),"")</f>
        <v>50+</v>
      </c>
      <c r="R2507" s="0" t="str">
        <f aca="false">IF($D2507&lt;&gt;"","["&amp;$E2507&amp;"]"&amp;"|"&amp;$Q2507&amp;"|"&amp;$K2507&amp;"|"&amp;$G2507&amp;"|"&amp;IF($G2507="TX_CURR_SUBNAT.R","CY2022Q4",$M2507),"")</f>
        <v>[fyEoGEPERdI]|50+|Male|DIAGNOSED_SUBNAT.T_1|CY2023Q3</v>
      </c>
    </row>
    <row r="2508" customFormat="false" ht="15" hidden="false" customHeight="false" outlineLevel="0" collapsed="false">
      <c r="D2508" s="0" t="s">
        <v>87</v>
      </c>
      <c r="E2508" s="0" t="s">
        <v>88</v>
      </c>
      <c r="F2508" s="0" t="s">
        <v>89</v>
      </c>
      <c r="G2508" s="0" t="s">
        <v>148</v>
      </c>
      <c r="H2508" s="0" t="s">
        <v>149</v>
      </c>
      <c r="I2508" s="0" t="s">
        <v>28</v>
      </c>
      <c r="J2508" s="0" t="s">
        <v>29</v>
      </c>
      <c r="K2508" s="0" t="s">
        <v>30</v>
      </c>
      <c r="L2508" s="0" t="s">
        <v>31</v>
      </c>
      <c r="M2508" s="0" t="s">
        <v>140</v>
      </c>
      <c r="N2508" s="0" t="n">
        <v>1270</v>
      </c>
      <c r="O2508" s="10" t="n">
        <v>0.144528952194378</v>
      </c>
      <c r="P2508" s="10" t="n">
        <v>0.133336380822584</v>
      </c>
      <c r="Q2508" s="0" t="str">
        <f aca="false">SUBSTITUTE(SUBSTITUTE($I2508,CHAR(61),""),CHAR(34),"")</f>
        <v>&lt;01</v>
      </c>
      <c r="R2508" s="0" t="str">
        <f aca="false">IF($D2508&lt;&gt;"","["&amp;$E2508&amp;"]"&amp;"|"&amp;$Q2508&amp;"|"&amp;$K2508&amp;"|"&amp;$G2508&amp;"|"&amp;IF($G2508="TX_CURR_SUBNAT.R","CY2022Q4",$M2508),"")</f>
        <v>[cPtvxaZqXIH]|&lt;01|Female|DIAGNOSED_SUBNAT.T_1|CY2023Q3</v>
      </c>
    </row>
    <row r="2509" customFormat="false" ht="15" hidden="false" customHeight="false" outlineLevel="0" collapsed="false">
      <c r="D2509" s="0" t="s">
        <v>87</v>
      </c>
      <c r="E2509" s="0" t="s">
        <v>88</v>
      </c>
      <c r="F2509" s="0" t="s">
        <v>89</v>
      </c>
      <c r="G2509" s="0" t="s">
        <v>148</v>
      </c>
      <c r="H2509" s="0" t="s">
        <v>149</v>
      </c>
      <c r="I2509" s="0" t="s">
        <v>33</v>
      </c>
      <c r="J2509" s="0" t="s">
        <v>34</v>
      </c>
      <c r="K2509" s="0" t="s">
        <v>30</v>
      </c>
      <c r="L2509" s="0" t="s">
        <v>31</v>
      </c>
      <c r="M2509" s="0" t="s">
        <v>140</v>
      </c>
      <c r="N2509" s="0" t="n">
        <v>1755</v>
      </c>
      <c r="O2509" s="10" t="n">
        <v>0.404564058408141</v>
      </c>
      <c r="P2509" s="10" t="n">
        <v>0.133336380822584</v>
      </c>
      <c r="Q2509" s="0" t="str">
        <f aca="false">SUBSTITUTE(SUBSTITUTE($I2509,CHAR(61),""),CHAR(34),"")</f>
        <v>01-09</v>
      </c>
      <c r="R2509" s="0" t="str">
        <f aca="false">IF($D2509&lt;&gt;"","["&amp;$E2509&amp;"]"&amp;"|"&amp;$Q2509&amp;"|"&amp;$K2509&amp;"|"&amp;$G2509&amp;"|"&amp;IF($G2509="TX_CURR_SUBNAT.R","CY2022Q4",$M2509),"")</f>
        <v>[cPtvxaZqXIH]|01-09|Female|DIAGNOSED_SUBNAT.T_1|CY2023Q3</v>
      </c>
    </row>
    <row r="2510" customFormat="false" ht="15" hidden="false" customHeight="false" outlineLevel="0" collapsed="false">
      <c r="D2510" s="0" t="s">
        <v>87</v>
      </c>
      <c r="E2510" s="0" t="s">
        <v>88</v>
      </c>
      <c r="F2510" s="0" t="s">
        <v>89</v>
      </c>
      <c r="G2510" s="0" t="s">
        <v>148</v>
      </c>
      <c r="H2510" s="0" t="s">
        <v>149</v>
      </c>
      <c r="I2510" s="0" t="s">
        <v>36</v>
      </c>
      <c r="J2510" s="0" t="s">
        <v>37</v>
      </c>
      <c r="K2510" s="0" t="s">
        <v>30</v>
      </c>
      <c r="L2510" s="0" t="s">
        <v>31</v>
      </c>
      <c r="M2510" s="0" t="s">
        <v>140</v>
      </c>
      <c r="N2510" s="0" t="n">
        <v>750</v>
      </c>
      <c r="O2510" s="10" t="n">
        <v>0.861779771978036</v>
      </c>
      <c r="P2510" s="10" t="n">
        <v>0.133336380822584</v>
      </c>
      <c r="Q2510" s="0" t="str">
        <f aca="false">SUBSTITUTE(SUBSTITUTE($I2510,CHAR(61),""),CHAR(34),"")</f>
        <v>10-14</v>
      </c>
      <c r="R2510" s="0" t="str">
        <f aca="false">IF($D2510&lt;&gt;"","["&amp;$E2510&amp;"]"&amp;"|"&amp;$Q2510&amp;"|"&amp;$K2510&amp;"|"&amp;$G2510&amp;"|"&amp;IF($G2510="TX_CURR_SUBNAT.R","CY2022Q4",$M2510),"")</f>
        <v>[cPtvxaZqXIH]|10-14|Female|DIAGNOSED_SUBNAT.T_1|CY2023Q3</v>
      </c>
    </row>
    <row r="2511" customFormat="false" ht="15" hidden="false" customHeight="false" outlineLevel="0" collapsed="false">
      <c r="D2511" s="0" t="s">
        <v>87</v>
      </c>
      <c r="E2511" s="0" t="s">
        <v>88</v>
      </c>
      <c r="F2511" s="0" t="s">
        <v>89</v>
      </c>
      <c r="G2511" s="0" t="s">
        <v>148</v>
      </c>
      <c r="H2511" s="0" t="s">
        <v>149</v>
      </c>
      <c r="I2511" s="0" t="s">
        <v>38</v>
      </c>
      <c r="J2511" s="0" t="s">
        <v>39</v>
      </c>
      <c r="K2511" s="0" t="s">
        <v>30</v>
      </c>
      <c r="L2511" s="0" t="s">
        <v>31</v>
      </c>
      <c r="M2511" s="0" t="s">
        <v>140</v>
      </c>
      <c r="N2511" s="0" t="n">
        <v>1529</v>
      </c>
      <c r="O2511" s="10" t="n">
        <v>0.838116968749091</v>
      </c>
      <c r="P2511" s="10" t="n">
        <v>0.133336380822584</v>
      </c>
      <c r="Q2511" s="0" t="str">
        <f aca="false">SUBSTITUTE(SUBSTITUTE($I2511,CHAR(61),""),CHAR(34),"")</f>
        <v>15-24</v>
      </c>
      <c r="R2511" s="0" t="str">
        <f aca="false">IF($D2511&lt;&gt;"","["&amp;$E2511&amp;"]"&amp;"|"&amp;$Q2511&amp;"|"&amp;$K2511&amp;"|"&amp;$G2511&amp;"|"&amp;IF($G2511="TX_CURR_SUBNAT.R","CY2022Q4",$M2511),"")</f>
        <v>[cPtvxaZqXIH]|15-24|Female|DIAGNOSED_SUBNAT.T_1|CY2023Q3</v>
      </c>
    </row>
    <row r="2512" customFormat="false" ht="15" hidden="false" customHeight="false" outlineLevel="0" collapsed="false">
      <c r="D2512" s="0" t="s">
        <v>87</v>
      </c>
      <c r="E2512" s="0" t="s">
        <v>88</v>
      </c>
      <c r="F2512" s="0" t="s">
        <v>89</v>
      </c>
      <c r="G2512" s="0" t="s">
        <v>148</v>
      </c>
      <c r="H2512" s="0" t="s">
        <v>149</v>
      </c>
      <c r="I2512" s="0" t="s">
        <v>41</v>
      </c>
      <c r="J2512" s="0" t="s">
        <v>42</v>
      </c>
      <c r="K2512" s="0" t="s">
        <v>30</v>
      </c>
      <c r="L2512" s="0" t="s">
        <v>31</v>
      </c>
      <c r="M2512" s="0" t="s">
        <v>140</v>
      </c>
      <c r="N2512" s="0" t="n">
        <v>1447</v>
      </c>
      <c r="O2512" s="10" t="n">
        <v>0.224465124076232</v>
      </c>
      <c r="P2512" s="10" t="n">
        <v>0.133336380822584</v>
      </c>
      <c r="Q2512" s="0" t="str">
        <f aca="false">SUBSTITUTE(SUBSTITUTE($I2512,CHAR(61),""),CHAR(34),"")</f>
        <v>25-34</v>
      </c>
      <c r="R2512" s="0" t="str">
        <f aca="false">IF($D2512&lt;&gt;"","["&amp;$E2512&amp;"]"&amp;"|"&amp;$Q2512&amp;"|"&amp;$K2512&amp;"|"&amp;$G2512&amp;"|"&amp;IF($G2512="TX_CURR_SUBNAT.R","CY2022Q4",$M2512),"")</f>
        <v>[cPtvxaZqXIH]|25-34|Female|DIAGNOSED_SUBNAT.T_1|CY2023Q3</v>
      </c>
    </row>
    <row r="2513" customFormat="false" ht="15" hidden="false" customHeight="false" outlineLevel="0" collapsed="false">
      <c r="D2513" s="0" t="s">
        <v>87</v>
      </c>
      <c r="E2513" s="0" t="s">
        <v>88</v>
      </c>
      <c r="F2513" s="0" t="s">
        <v>89</v>
      </c>
      <c r="G2513" s="0" t="s">
        <v>148</v>
      </c>
      <c r="H2513" s="0" t="s">
        <v>149</v>
      </c>
      <c r="I2513" s="0" t="s">
        <v>43</v>
      </c>
      <c r="J2513" s="0" t="s">
        <v>44</v>
      </c>
      <c r="K2513" s="0" t="s">
        <v>30</v>
      </c>
      <c r="L2513" s="0" t="s">
        <v>31</v>
      </c>
      <c r="M2513" s="0" t="s">
        <v>140</v>
      </c>
      <c r="N2513" s="0" t="n">
        <v>1360</v>
      </c>
      <c r="O2513" s="10" t="n">
        <v>0.845544767798856</v>
      </c>
      <c r="P2513" s="10" t="n">
        <v>0.133336380822584</v>
      </c>
      <c r="Q2513" s="0" t="str">
        <f aca="false">SUBSTITUTE(SUBSTITUTE($I2513,CHAR(61),""),CHAR(34),"")</f>
        <v>35-49</v>
      </c>
      <c r="R2513" s="0" t="str">
        <f aca="false">IF($D2513&lt;&gt;"","["&amp;$E2513&amp;"]"&amp;"|"&amp;$Q2513&amp;"|"&amp;$K2513&amp;"|"&amp;$G2513&amp;"|"&amp;IF($G2513="TX_CURR_SUBNAT.R","CY2022Q4",$M2513),"")</f>
        <v>[cPtvxaZqXIH]|35-49|Female|DIAGNOSED_SUBNAT.T_1|CY2023Q3</v>
      </c>
    </row>
    <row r="2514" customFormat="false" ht="15" hidden="false" customHeight="false" outlineLevel="0" collapsed="false">
      <c r="D2514" s="0" t="s">
        <v>87</v>
      </c>
      <c r="E2514" s="0" t="s">
        <v>88</v>
      </c>
      <c r="F2514" s="0" t="s">
        <v>89</v>
      </c>
      <c r="G2514" s="0" t="s">
        <v>148</v>
      </c>
      <c r="H2514" s="0" t="s">
        <v>149</v>
      </c>
      <c r="I2514" s="0" t="s">
        <v>45</v>
      </c>
      <c r="J2514" s="0" t="s">
        <v>46</v>
      </c>
      <c r="K2514" s="0" t="s">
        <v>30</v>
      </c>
      <c r="L2514" s="0" t="s">
        <v>31</v>
      </c>
      <c r="M2514" s="0" t="s">
        <v>140</v>
      </c>
      <c r="N2514" s="0" t="n">
        <v>1898</v>
      </c>
      <c r="O2514" s="10" t="n">
        <v>0.0512092960998416</v>
      </c>
      <c r="P2514" s="10" t="n">
        <v>0.133336380822584</v>
      </c>
      <c r="Q2514" s="0" t="str">
        <f aca="false">SUBSTITUTE(SUBSTITUTE($I2514,CHAR(61),""),CHAR(34),"")</f>
        <v>50+</v>
      </c>
      <c r="R2514" s="0" t="str">
        <f aca="false">IF($D2514&lt;&gt;"","["&amp;$E2514&amp;"]"&amp;"|"&amp;$Q2514&amp;"|"&amp;$K2514&amp;"|"&amp;$G2514&amp;"|"&amp;IF($G2514="TX_CURR_SUBNAT.R","CY2022Q4",$M2514),"")</f>
        <v>[cPtvxaZqXIH]|50+|Female|DIAGNOSED_SUBNAT.T_1|CY2023Q3</v>
      </c>
    </row>
    <row r="2515" customFormat="false" ht="15" hidden="false" customHeight="false" outlineLevel="0" collapsed="false">
      <c r="D2515" s="0" t="s">
        <v>87</v>
      </c>
      <c r="E2515" s="0" t="s">
        <v>88</v>
      </c>
      <c r="F2515" s="0" t="s">
        <v>89</v>
      </c>
      <c r="G2515" s="0" t="s">
        <v>148</v>
      </c>
      <c r="H2515" s="0" t="s">
        <v>149</v>
      </c>
      <c r="I2515" s="0" t="s">
        <v>28</v>
      </c>
      <c r="J2515" s="0" t="s">
        <v>29</v>
      </c>
      <c r="K2515" s="0" t="s">
        <v>48</v>
      </c>
      <c r="L2515" s="0" t="s">
        <v>49</v>
      </c>
      <c r="M2515" s="0" t="s">
        <v>140</v>
      </c>
      <c r="N2515" s="0" t="n">
        <v>541</v>
      </c>
      <c r="O2515" s="10" t="n">
        <v>0.360287652583793</v>
      </c>
      <c r="P2515" s="10" t="n">
        <v>0.133336380822584</v>
      </c>
      <c r="Q2515" s="0" t="str">
        <f aca="false">SUBSTITUTE(SUBSTITUTE($I2515,CHAR(61),""),CHAR(34),"")</f>
        <v>&lt;01</v>
      </c>
      <c r="R2515" s="0" t="str">
        <f aca="false">IF($D2515&lt;&gt;"","["&amp;$E2515&amp;"]"&amp;"|"&amp;$Q2515&amp;"|"&amp;$K2515&amp;"|"&amp;$G2515&amp;"|"&amp;IF($G2515="TX_CURR_SUBNAT.R","CY2022Q4",$M2515),"")</f>
        <v>[cPtvxaZqXIH]|&lt;01|Male|DIAGNOSED_SUBNAT.T_1|CY2023Q3</v>
      </c>
    </row>
    <row r="2516" customFormat="false" ht="15" hidden="false" customHeight="false" outlineLevel="0" collapsed="false">
      <c r="D2516" s="0" t="s">
        <v>87</v>
      </c>
      <c r="E2516" s="0" t="s">
        <v>88</v>
      </c>
      <c r="F2516" s="0" t="s">
        <v>89</v>
      </c>
      <c r="G2516" s="0" t="s">
        <v>148</v>
      </c>
      <c r="H2516" s="0" t="s">
        <v>149</v>
      </c>
      <c r="I2516" s="0" t="s">
        <v>33</v>
      </c>
      <c r="J2516" s="0" t="s">
        <v>34</v>
      </c>
      <c r="K2516" s="0" t="s">
        <v>48</v>
      </c>
      <c r="L2516" s="0" t="s">
        <v>49</v>
      </c>
      <c r="M2516" s="0" t="s">
        <v>140</v>
      </c>
      <c r="N2516" s="0" t="n">
        <v>1140</v>
      </c>
      <c r="O2516" s="10" t="n">
        <v>0.575739315943792</v>
      </c>
      <c r="P2516" s="10" t="n">
        <v>0.133336380822584</v>
      </c>
      <c r="Q2516" s="0" t="str">
        <f aca="false">SUBSTITUTE(SUBSTITUTE($I2516,CHAR(61),""),CHAR(34),"")</f>
        <v>01-09</v>
      </c>
      <c r="R2516" s="0" t="str">
        <f aca="false">IF($D2516&lt;&gt;"","["&amp;$E2516&amp;"]"&amp;"|"&amp;$Q2516&amp;"|"&amp;$K2516&amp;"|"&amp;$G2516&amp;"|"&amp;IF($G2516="TX_CURR_SUBNAT.R","CY2022Q4",$M2516),"")</f>
        <v>[cPtvxaZqXIH]|01-09|Male|DIAGNOSED_SUBNAT.T_1|CY2023Q3</v>
      </c>
    </row>
    <row r="2517" customFormat="false" ht="15" hidden="false" customHeight="false" outlineLevel="0" collapsed="false">
      <c r="D2517" s="0" t="s">
        <v>87</v>
      </c>
      <c r="E2517" s="0" t="s">
        <v>88</v>
      </c>
      <c r="F2517" s="0" t="s">
        <v>89</v>
      </c>
      <c r="G2517" s="0" t="s">
        <v>148</v>
      </c>
      <c r="H2517" s="0" t="s">
        <v>149</v>
      </c>
      <c r="I2517" s="0" t="s">
        <v>36</v>
      </c>
      <c r="J2517" s="0" t="s">
        <v>37</v>
      </c>
      <c r="K2517" s="0" t="s">
        <v>48</v>
      </c>
      <c r="L2517" s="0" t="s">
        <v>49</v>
      </c>
      <c r="M2517" s="0" t="s">
        <v>140</v>
      </c>
      <c r="N2517" s="0" t="n">
        <v>1906</v>
      </c>
      <c r="O2517" s="10" t="n">
        <v>0.758531484985724</v>
      </c>
      <c r="P2517" s="10" t="n">
        <v>0.133336380822584</v>
      </c>
      <c r="Q2517" s="0" t="str">
        <f aca="false">SUBSTITUTE(SUBSTITUTE($I2517,CHAR(61),""),CHAR(34),"")</f>
        <v>10-14</v>
      </c>
      <c r="R2517" s="0" t="str">
        <f aca="false">IF($D2517&lt;&gt;"","["&amp;$E2517&amp;"]"&amp;"|"&amp;$Q2517&amp;"|"&amp;$K2517&amp;"|"&amp;$G2517&amp;"|"&amp;IF($G2517="TX_CURR_SUBNAT.R","CY2022Q4",$M2517),"")</f>
        <v>[cPtvxaZqXIH]|10-14|Male|DIAGNOSED_SUBNAT.T_1|CY2023Q3</v>
      </c>
    </row>
    <row r="2518" customFormat="false" ht="15" hidden="false" customHeight="false" outlineLevel="0" collapsed="false">
      <c r="D2518" s="0" t="s">
        <v>87</v>
      </c>
      <c r="E2518" s="0" t="s">
        <v>88</v>
      </c>
      <c r="F2518" s="0" t="s">
        <v>89</v>
      </c>
      <c r="G2518" s="0" t="s">
        <v>148</v>
      </c>
      <c r="H2518" s="0" t="s">
        <v>149</v>
      </c>
      <c r="I2518" s="0" t="s">
        <v>38</v>
      </c>
      <c r="J2518" s="0" t="s">
        <v>39</v>
      </c>
      <c r="K2518" s="0" t="s">
        <v>48</v>
      </c>
      <c r="L2518" s="0" t="s">
        <v>49</v>
      </c>
      <c r="M2518" s="0" t="s">
        <v>140</v>
      </c>
      <c r="N2518" s="0" t="n">
        <v>1571</v>
      </c>
      <c r="O2518" s="10" t="n">
        <v>0.769182548159733</v>
      </c>
      <c r="P2518" s="10" t="n">
        <v>0.133336380822584</v>
      </c>
      <c r="Q2518" s="0" t="str">
        <f aca="false">SUBSTITUTE(SUBSTITUTE($I2518,CHAR(61),""),CHAR(34),"")</f>
        <v>15-24</v>
      </c>
      <c r="R2518" s="0" t="str">
        <f aca="false">IF($D2518&lt;&gt;"","["&amp;$E2518&amp;"]"&amp;"|"&amp;$Q2518&amp;"|"&amp;$K2518&amp;"|"&amp;$G2518&amp;"|"&amp;IF($G2518="TX_CURR_SUBNAT.R","CY2022Q4",$M2518),"")</f>
        <v>[cPtvxaZqXIH]|15-24|Male|DIAGNOSED_SUBNAT.T_1|CY2023Q3</v>
      </c>
    </row>
    <row r="2519" customFormat="false" ht="15" hidden="false" customHeight="false" outlineLevel="0" collapsed="false">
      <c r="D2519" s="0" t="s">
        <v>87</v>
      </c>
      <c r="E2519" s="0" t="s">
        <v>88</v>
      </c>
      <c r="F2519" s="0" t="s">
        <v>89</v>
      </c>
      <c r="G2519" s="0" t="s">
        <v>148</v>
      </c>
      <c r="H2519" s="0" t="s">
        <v>149</v>
      </c>
      <c r="I2519" s="0" t="s">
        <v>41</v>
      </c>
      <c r="J2519" s="0" t="s">
        <v>42</v>
      </c>
      <c r="K2519" s="0" t="s">
        <v>48</v>
      </c>
      <c r="L2519" s="0" t="s">
        <v>49</v>
      </c>
      <c r="M2519" s="0" t="s">
        <v>140</v>
      </c>
      <c r="N2519" s="0" t="n">
        <v>619</v>
      </c>
      <c r="O2519" s="10" t="n">
        <v>0.806412158068269</v>
      </c>
      <c r="P2519" s="10" t="n">
        <v>0.133336380822584</v>
      </c>
      <c r="Q2519" s="0" t="str">
        <f aca="false">SUBSTITUTE(SUBSTITUTE($I2519,CHAR(61),""),CHAR(34),"")</f>
        <v>25-34</v>
      </c>
      <c r="R2519" s="0" t="str">
        <f aca="false">IF($D2519&lt;&gt;"","["&amp;$E2519&amp;"]"&amp;"|"&amp;$Q2519&amp;"|"&amp;$K2519&amp;"|"&amp;$G2519&amp;"|"&amp;IF($G2519="TX_CURR_SUBNAT.R","CY2022Q4",$M2519),"")</f>
        <v>[cPtvxaZqXIH]|25-34|Male|DIAGNOSED_SUBNAT.T_1|CY2023Q3</v>
      </c>
    </row>
    <row r="2520" customFormat="false" ht="15" hidden="false" customHeight="false" outlineLevel="0" collapsed="false">
      <c r="D2520" s="0" t="s">
        <v>87</v>
      </c>
      <c r="E2520" s="0" t="s">
        <v>88</v>
      </c>
      <c r="F2520" s="0" t="s">
        <v>89</v>
      </c>
      <c r="G2520" s="0" t="s">
        <v>148</v>
      </c>
      <c r="H2520" s="0" t="s">
        <v>149</v>
      </c>
      <c r="I2520" s="0" t="s">
        <v>43</v>
      </c>
      <c r="J2520" s="0" t="s">
        <v>44</v>
      </c>
      <c r="K2520" s="0" t="s">
        <v>48</v>
      </c>
      <c r="L2520" s="0" t="s">
        <v>49</v>
      </c>
      <c r="M2520" s="0" t="s">
        <v>140</v>
      </c>
      <c r="N2520" s="0" t="n">
        <v>1510</v>
      </c>
      <c r="O2520" s="10" t="n">
        <v>0.981197336455807</v>
      </c>
      <c r="P2520" s="10" t="n">
        <v>0.133336380822584</v>
      </c>
      <c r="Q2520" s="0" t="str">
        <f aca="false">SUBSTITUTE(SUBSTITUTE($I2520,CHAR(61),""),CHAR(34),"")</f>
        <v>35-49</v>
      </c>
      <c r="R2520" s="0" t="str">
        <f aca="false">IF($D2520&lt;&gt;"","["&amp;$E2520&amp;"]"&amp;"|"&amp;$Q2520&amp;"|"&amp;$K2520&amp;"|"&amp;$G2520&amp;"|"&amp;IF($G2520="TX_CURR_SUBNAT.R","CY2022Q4",$M2520),"")</f>
        <v>[cPtvxaZqXIH]|35-49|Male|DIAGNOSED_SUBNAT.T_1|CY2023Q3</v>
      </c>
    </row>
    <row r="2521" customFormat="false" ht="15" hidden="false" customHeight="false" outlineLevel="0" collapsed="false">
      <c r="D2521" s="0" t="s">
        <v>87</v>
      </c>
      <c r="E2521" s="0" t="s">
        <v>88</v>
      </c>
      <c r="F2521" s="0" t="s">
        <v>89</v>
      </c>
      <c r="G2521" s="0" t="s">
        <v>148</v>
      </c>
      <c r="H2521" s="0" t="s">
        <v>149</v>
      </c>
      <c r="I2521" s="0" t="s">
        <v>45</v>
      </c>
      <c r="J2521" s="0" t="s">
        <v>46</v>
      </c>
      <c r="K2521" s="0" t="s">
        <v>48</v>
      </c>
      <c r="L2521" s="0" t="s">
        <v>49</v>
      </c>
      <c r="M2521" s="0" t="s">
        <v>140</v>
      </c>
      <c r="N2521" s="0" t="n">
        <v>853</v>
      </c>
      <c r="O2521" s="10" t="n">
        <v>0.674561948515475</v>
      </c>
      <c r="P2521" s="10" t="n">
        <v>0.133336380822584</v>
      </c>
      <c r="Q2521" s="0" t="str">
        <f aca="false">SUBSTITUTE(SUBSTITUTE($I2521,CHAR(61),""),CHAR(34),"")</f>
        <v>50+</v>
      </c>
      <c r="R2521" s="0" t="str">
        <f aca="false">IF($D2521&lt;&gt;"","["&amp;$E2521&amp;"]"&amp;"|"&amp;$Q2521&amp;"|"&amp;$K2521&amp;"|"&amp;$G2521&amp;"|"&amp;IF($G2521="TX_CURR_SUBNAT.R","CY2022Q4",$M2521),"")</f>
        <v>[cPtvxaZqXIH]|50+|Male|DIAGNOSED_SUBNAT.T_1|CY2023Q3</v>
      </c>
    </row>
    <row r="2522" customFormat="false" ht="15" hidden="false" customHeight="false" outlineLevel="0" collapsed="false">
      <c r="D2522" s="0" t="s">
        <v>90</v>
      </c>
      <c r="E2522" s="0" t="s">
        <v>91</v>
      </c>
      <c r="F2522" s="0" t="s">
        <v>92</v>
      </c>
      <c r="G2522" s="0" t="s">
        <v>148</v>
      </c>
      <c r="H2522" s="0" t="s">
        <v>149</v>
      </c>
      <c r="I2522" s="0" t="s">
        <v>28</v>
      </c>
      <c r="J2522" s="0" t="s">
        <v>29</v>
      </c>
      <c r="K2522" s="0" t="s">
        <v>30</v>
      </c>
      <c r="L2522" s="0" t="s">
        <v>31</v>
      </c>
      <c r="M2522" s="0" t="s">
        <v>140</v>
      </c>
      <c r="N2522" s="0" t="n">
        <v>883</v>
      </c>
      <c r="O2522" s="10" t="n">
        <v>0.384231455856934</v>
      </c>
      <c r="P2522" s="10" t="n">
        <v>0.719914150424302</v>
      </c>
      <c r="Q2522" s="0" t="str">
        <f aca="false">SUBSTITUTE(SUBSTITUTE($I2522,CHAR(61),""),CHAR(34),"")</f>
        <v>&lt;01</v>
      </c>
      <c r="R2522" s="0" t="str">
        <f aca="false">IF($D2522&lt;&gt;"","["&amp;$E2522&amp;"]"&amp;"|"&amp;$Q2522&amp;"|"&amp;$K2522&amp;"|"&amp;$G2522&amp;"|"&amp;IF($G2522="TX_CURR_SUBNAT.R","CY2022Q4",$M2522),"")</f>
        <v>[AZyWpGzhcaA]|&lt;01|Female|DIAGNOSED_SUBNAT.T_1|CY2023Q3</v>
      </c>
    </row>
    <row r="2523" customFormat="false" ht="15" hidden="false" customHeight="false" outlineLevel="0" collapsed="false">
      <c r="D2523" s="0" t="s">
        <v>90</v>
      </c>
      <c r="E2523" s="0" t="s">
        <v>91</v>
      </c>
      <c r="F2523" s="0" t="s">
        <v>92</v>
      </c>
      <c r="G2523" s="0" t="s">
        <v>148</v>
      </c>
      <c r="H2523" s="0" t="s">
        <v>149</v>
      </c>
      <c r="I2523" s="0" t="s">
        <v>33</v>
      </c>
      <c r="J2523" s="0" t="s">
        <v>34</v>
      </c>
      <c r="K2523" s="0" t="s">
        <v>30</v>
      </c>
      <c r="L2523" s="0" t="s">
        <v>31</v>
      </c>
      <c r="M2523" s="0" t="s">
        <v>140</v>
      </c>
      <c r="N2523" s="0" t="n">
        <v>912</v>
      </c>
      <c r="O2523" s="10" t="n">
        <v>0.603174197953194</v>
      </c>
      <c r="P2523" s="10" t="n">
        <v>0.719914150424302</v>
      </c>
      <c r="Q2523" s="0" t="str">
        <f aca="false">SUBSTITUTE(SUBSTITUTE($I2523,CHAR(61),""),CHAR(34),"")</f>
        <v>01-09</v>
      </c>
      <c r="R2523" s="0" t="str">
        <f aca="false">IF($D2523&lt;&gt;"","["&amp;$E2523&amp;"]"&amp;"|"&amp;$Q2523&amp;"|"&amp;$K2523&amp;"|"&amp;$G2523&amp;"|"&amp;IF($G2523="TX_CURR_SUBNAT.R","CY2022Q4",$M2523),"")</f>
        <v>[AZyWpGzhcaA]|01-09|Female|DIAGNOSED_SUBNAT.T_1|CY2023Q3</v>
      </c>
    </row>
    <row r="2524" customFormat="false" ht="15" hidden="false" customHeight="false" outlineLevel="0" collapsed="false">
      <c r="D2524" s="0" t="s">
        <v>90</v>
      </c>
      <c r="E2524" s="0" t="s">
        <v>91</v>
      </c>
      <c r="F2524" s="0" t="s">
        <v>92</v>
      </c>
      <c r="G2524" s="0" t="s">
        <v>148</v>
      </c>
      <c r="H2524" s="0" t="s">
        <v>149</v>
      </c>
      <c r="I2524" s="0" t="s">
        <v>36</v>
      </c>
      <c r="J2524" s="0" t="s">
        <v>37</v>
      </c>
      <c r="K2524" s="0" t="s">
        <v>30</v>
      </c>
      <c r="L2524" s="0" t="s">
        <v>31</v>
      </c>
      <c r="M2524" s="0" t="s">
        <v>140</v>
      </c>
      <c r="N2524" s="0" t="n">
        <v>1244</v>
      </c>
      <c r="O2524" s="10" t="n">
        <v>0.119206479750574</v>
      </c>
      <c r="P2524" s="10" t="n">
        <v>0.719914150424302</v>
      </c>
      <c r="Q2524" s="0" t="str">
        <f aca="false">SUBSTITUTE(SUBSTITUTE($I2524,CHAR(61),""),CHAR(34),"")</f>
        <v>10-14</v>
      </c>
      <c r="R2524" s="0" t="str">
        <f aca="false">IF($D2524&lt;&gt;"","["&amp;$E2524&amp;"]"&amp;"|"&amp;$Q2524&amp;"|"&amp;$K2524&amp;"|"&amp;$G2524&amp;"|"&amp;IF($G2524="TX_CURR_SUBNAT.R","CY2022Q4",$M2524),"")</f>
        <v>[AZyWpGzhcaA]|10-14|Female|DIAGNOSED_SUBNAT.T_1|CY2023Q3</v>
      </c>
    </row>
    <row r="2525" customFormat="false" ht="15" hidden="false" customHeight="false" outlineLevel="0" collapsed="false">
      <c r="D2525" s="0" t="s">
        <v>90</v>
      </c>
      <c r="E2525" s="0" t="s">
        <v>91</v>
      </c>
      <c r="F2525" s="0" t="s">
        <v>92</v>
      </c>
      <c r="G2525" s="0" t="s">
        <v>148</v>
      </c>
      <c r="H2525" s="0" t="s">
        <v>149</v>
      </c>
      <c r="I2525" s="0" t="s">
        <v>38</v>
      </c>
      <c r="J2525" s="0" t="s">
        <v>39</v>
      </c>
      <c r="K2525" s="0" t="s">
        <v>30</v>
      </c>
      <c r="L2525" s="0" t="s">
        <v>31</v>
      </c>
      <c r="M2525" s="0" t="s">
        <v>140</v>
      </c>
      <c r="N2525" s="0" t="n">
        <v>1502</v>
      </c>
      <c r="O2525" s="10" t="n">
        <v>0.990318457130343</v>
      </c>
      <c r="P2525" s="10" t="n">
        <v>0.719914150424302</v>
      </c>
      <c r="Q2525" s="0" t="str">
        <f aca="false">SUBSTITUTE(SUBSTITUTE($I2525,CHAR(61),""),CHAR(34),"")</f>
        <v>15-24</v>
      </c>
      <c r="R2525" s="0" t="str">
        <f aca="false">IF($D2525&lt;&gt;"","["&amp;$E2525&amp;"]"&amp;"|"&amp;$Q2525&amp;"|"&amp;$K2525&amp;"|"&amp;$G2525&amp;"|"&amp;IF($G2525="TX_CURR_SUBNAT.R","CY2022Q4",$M2525),"")</f>
        <v>[AZyWpGzhcaA]|15-24|Female|DIAGNOSED_SUBNAT.T_1|CY2023Q3</v>
      </c>
    </row>
    <row r="2526" customFormat="false" ht="15" hidden="false" customHeight="false" outlineLevel="0" collapsed="false">
      <c r="D2526" s="0" t="s">
        <v>90</v>
      </c>
      <c r="E2526" s="0" t="s">
        <v>91</v>
      </c>
      <c r="F2526" s="0" t="s">
        <v>92</v>
      </c>
      <c r="G2526" s="0" t="s">
        <v>148</v>
      </c>
      <c r="H2526" s="0" t="s">
        <v>149</v>
      </c>
      <c r="I2526" s="0" t="s">
        <v>41</v>
      </c>
      <c r="J2526" s="0" t="s">
        <v>42</v>
      </c>
      <c r="K2526" s="0" t="s">
        <v>30</v>
      </c>
      <c r="L2526" s="0" t="s">
        <v>31</v>
      </c>
      <c r="M2526" s="0" t="s">
        <v>140</v>
      </c>
      <c r="N2526" s="0" t="n">
        <v>1281</v>
      </c>
      <c r="O2526" s="10" t="n">
        <v>0.424510797252879</v>
      </c>
      <c r="P2526" s="10" t="n">
        <v>0.719914150424302</v>
      </c>
      <c r="Q2526" s="0" t="str">
        <f aca="false">SUBSTITUTE(SUBSTITUTE($I2526,CHAR(61),""),CHAR(34),"")</f>
        <v>25-34</v>
      </c>
      <c r="R2526" s="0" t="str">
        <f aca="false">IF($D2526&lt;&gt;"","["&amp;$E2526&amp;"]"&amp;"|"&amp;$Q2526&amp;"|"&amp;$K2526&amp;"|"&amp;$G2526&amp;"|"&amp;IF($G2526="TX_CURR_SUBNAT.R","CY2022Q4",$M2526),"")</f>
        <v>[AZyWpGzhcaA]|25-34|Female|DIAGNOSED_SUBNAT.T_1|CY2023Q3</v>
      </c>
    </row>
    <row r="2527" customFormat="false" ht="15" hidden="false" customHeight="false" outlineLevel="0" collapsed="false">
      <c r="D2527" s="0" t="s">
        <v>90</v>
      </c>
      <c r="E2527" s="0" t="s">
        <v>91</v>
      </c>
      <c r="F2527" s="0" t="s">
        <v>92</v>
      </c>
      <c r="G2527" s="0" t="s">
        <v>148</v>
      </c>
      <c r="H2527" s="0" t="s">
        <v>149</v>
      </c>
      <c r="I2527" s="0" t="s">
        <v>43</v>
      </c>
      <c r="J2527" s="0" t="s">
        <v>44</v>
      </c>
      <c r="K2527" s="0" t="s">
        <v>30</v>
      </c>
      <c r="L2527" s="0" t="s">
        <v>31</v>
      </c>
      <c r="M2527" s="0" t="s">
        <v>140</v>
      </c>
      <c r="N2527" s="0" t="n">
        <v>1973</v>
      </c>
      <c r="O2527" s="10" t="n">
        <v>0.68955469247885</v>
      </c>
      <c r="P2527" s="10" t="n">
        <v>0.719914150424302</v>
      </c>
      <c r="Q2527" s="0" t="str">
        <f aca="false">SUBSTITUTE(SUBSTITUTE($I2527,CHAR(61),""),CHAR(34),"")</f>
        <v>35-49</v>
      </c>
      <c r="R2527" s="0" t="str">
        <f aca="false">IF($D2527&lt;&gt;"","["&amp;$E2527&amp;"]"&amp;"|"&amp;$Q2527&amp;"|"&amp;$K2527&amp;"|"&amp;$G2527&amp;"|"&amp;IF($G2527="TX_CURR_SUBNAT.R","CY2022Q4",$M2527),"")</f>
        <v>[AZyWpGzhcaA]|35-49|Female|DIAGNOSED_SUBNAT.T_1|CY2023Q3</v>
      </c>
    </row>
    <row r="2528" customFormat="false" ht="15" hidden="false" customHeight="false" outlineLevel="0" collapsed="false">
      <c r="D2528" s="0" t="s">
        <v>90</v>
      </c>
      <c r="E2528" s="0" t="s">
        <v>91</v>
      </c>
      <c r="F2528" s="0" t="s">
        <v>92</v>
      </c>
      <c r="G2528" s="0" t="s">
        <v>148</v>
      </c>
      <c r="H2528" s="0" t="s">
        <v>149</v>
      </c>
      <c r="I2528" s="0" t="s">
        <v>45</v>
      </c>
      <c r="J2528" s="0" t="s">
        <v>46</v>
      </c>
      <c r="K2528" s="0" t="s">
        <v>30</v>
      </c>
      <c r="L2528" s="0" t="s">
        <v>31</v>
      </c>
      <c r="M2528" s="0" t="s">
        <v>140</v>
      </c>
      <c r="N2528" s="0" t="n">
        <v>1650</v>
      </c>
      <c r="O2528" s="10" t="n">
        <v>0.884980012429878</v>
      </c>
      <c r="P2528" s="10" t="n">
        <v>0.719914150424302</v>
      </c>
      <c r="Q2528" s="0" t="str">
        <f aca="false">SUBSTITUTE(SUBSTITUTE($I2528,CHAR(61),""),CHAR(34),"")</f>
        <v>50+</v>
      </c>
      <c r="R2528" s="0" t="str">
        <f aca="false">IF($D2528&lt;&gt;"","["&amp;$E2528&amp;"]"&amp;"|"&amp;$Q2528&amp;"|"&amp;$K2528&amp;"|"&amp;$G2528&amp;"|"&amp;IF($G2528="TX_CURR_SUBNAT.R","CY2022Q4",$M2528),"")</f>
        <v>[AZyWpGzhcaA]|50+|Female|DIAGNOSED_SUBNAT.T_1|CY2023Q3</v>
      </c>
    </row>
    <row r="2529" customFormat="false" ht="15" hidden="false" customHeight="false" outlineLevel="0" collapsed="false">
      <c r="D2529" s="0" t="s">
        <v>90</v>
      </c>
      <c r="E2529" s="0" t="s">
        <v>91</v>
      </c>
      <c r="F2529" s="0" t="s">
        <v>92</v>
      </c>
      <c r="G2529" s="0" t="s">
        <v>148</v>
      </c>
      <c r="H2529" s="0" t="s">
        <v>149</v>
      </c>
      <c r="I2529" s="0" t="s">
        <v>28</v>
      </c>
      <c r="J2529" s="0" t="s">
        <v>29</v>
      </c>
      <c r="K2529" s="0" t="s">
        <v>48</v>
      </c>
      <c r="L2529" s="0" t="s">
        <v>49</v>
      </c>
      <c r="M2529" s="0" t="s">
        <v>140</v>
      </c>
      <c r="N2529" s="0" t="n">
        <v>1810</v>
      </c>
      <c r="O2529" s="10" t="n">
        <v>0.325200403342023</v>
      </c>
      <c r="P2529" s="10" t="n">
        <v>0.719914150424302</v>
      </c>
      <c r="Q2529" s="0" t="str">
        <f aca="false">SUBSTITUTE(SUBSTITUTE($I2529,CHAR(61),""),CHAR(34),"")</f>
        <v>&lt;01</v>
      </c>
      <c r="R2529" s="0" t="str">
        <f aca="false">IF($D2529&lt;&gt;"","["&amp;$E2529&amp;"]"&amp;"|"&amp;$Q2529&amp;"|"&amp;$K2529&amp;"|"&amp;$G2529&amp;"|"&amp;IF($G2529="TX_CURR_SUBNAT.R","CY2022Q4",$M2529),"")</f>
        <v>[AZyWpGzhcaA]|&lt;01|Male|DIAGNOSED_SUBNAT.T_1|CY2023Q3</v>
      </c>
    </row>
    <row r="2530" customFormat="false" ht="15" hidden="false" customHeight="false" outlineLevel="0" collapsed="false">
      <c r="D2530" s="0" t="s">
        <v>90</v>
      </c>
      <c r="E2530" s="0" t="s">
        <v>91</v>
      </c>
      <c r="F2530" s="0" t="s">
        <v>92</v>
      </c>
      <c r="G2530" s="0" t="s">
        <v>148</v>
      </c>
      <c r="H2530" s="0" t="s">
        <v>149</v>
      </c>
      <c r="I2530" s="0" t="s">
        <v>33</v>
      </c>
      <c r="J2530" s="0" t="s">
        <v>34</v>
      </c>
      <c r="K2530" s="0" t="s">
        <v>48</v>
      </c>
      <c r="L2530" s="0" t="s">
        <v>49</v>
      </c>
      <c r="M2530" s="0" t="s">
        <v>140</v>
      </c>
      <c r="N2530" s="0" t="n">
        <v>1191</v>
      </c>
      <c r="O2530" s="10" t="n">
        <v>0.150661662453786</v>
      </c>
      <c r="P2530" s="10" t="n">
        <v>0.719914150424302</v>
      </c>
      <c r="Q2530" s="0" t="str">
        <f aca="false">SUBSTITUTE(SUBSTITUTE($I2530,CHAR(61),""),CHAR(34),"")</f>
        <v>01-09</v>
      </c>
      <c r="R2530" s="0" t="str">
        <f aca="false">IF($D2530&lt;&gt;"","["&amp;$E2530&amp;"]"&amp;"|"&amp;$Q2530&amp;"|"&amp;$K2530&amp;"|"&amp;$G2530&amp;"|"&amp;IF($G2530="TX_CURR_SUBNAT.R","CY2022Q4",$M2530),"")</f>
        <v>[AZyWpGzhcaA]|01-09|Male|DIAGNOSED_SUBNAT.T_1|CY2023Q3</v>
      </c>
    </row>
    <row r="2531" customFormat="false" ht="15" hidden="false" customHeight="false" outlineLevel="0" collapsed="false">
      <c r="D2531" s="0" t="s">
        <v>90</v>
      </c>
      <c r="E2531" s="0" t="s">
        <v>91</v>
      </c>
      <c r="F2531" s="0" t="s">
        <v>92</v>
      </c>
      <c r="G2531" s="0" t="s">
        <v>148</v>
      </c>
      <c r="H2531" s="0" t="s">
        <v>149</v>
      </c>
      <c r="I2531" s="0" t="s">
        <v>36</v>
      </c>
      <c r="J2531" s="0" t="s">
        <v>37</v>
      </c>
      <c r="K2531" s="0" t="s">
        <v>48</v>
      </c>
      <c r="L2531" s="0" t="s">
        <v>49</v>
      </c>
      <c r="M2531" s="0" t="s">
        <v>140</v>
      </c>
      <c r="N2531" s="0" t="n">
        <v>545</v>
      </c>
      <c r="O2531" s="10" t="n">
        <v>0.47920263139531</v>
      </c>
      <c r="P2531" s="10" t="n">
        <v>0.719914150424302</v>
      </c>
      <c r="Q2531" s="0" t="str">
        <f aca="false">SUBSTITUTE(SUBSTITUTE($I2531,CHAR(61),""),CHAR(34),"")</f>
        <v>10-14</v>
      </c>
      <c r="R2531" s="0" t="str">
        <f aca="false">IF($D2531&lt;&gt;"","["&amp;$E2531&amp;"]"&amp;"|"&amp;$Q2531&amp;"|"&amp;$K2531&amp;"|"&amp;$G2531&amp;"|"&amp;IF($G2531="TX_CURR_SUBNAT.R","CY2022Q4",$M2531),"")</f>
        <v>[AZyWpGzhcaA]|10-14|Male|DIAGNOSED_SUBNAT.T_1|CY2023Q3</v>
      </c>
    </row>
    <row r="2532" customFormat="false" ht="15" hidden="false" customHeight="false" outlineLevel="0" collapsed="false">
      <c r="D2532" s="0" t="s">
        <v>90</v>
      </c>
      <c r="E2532" s="0" t="s">
        <v>91</v>
      </c>
      <c r="F2532" s="0" t="s">
        <v>92</v>
      </c>
      <c r="G2532" s="0" t="s">
        <v>148</v>
      </c>
      <c r="H2532" s="0" t="s">
        <v>149</v>
      </c>
      <c r="I2532" s="0" t="s">
        <v>38</v>
      </c>
      <c r="J2532" s="0" t="s">
        <v>39</v>
      </c>
      <c r="K2532" s="0" t="s">
        <v>48</v>
      </c>
      <c r="L2532" s="0" t="s">
        <v>49</v>
      </c>
      <c r="M2532" s="0" t="s">
        <v>140</v>
      </c>
      <c r="N2532" s="0" t="n">
        <v>1849</v>
      </c>
      <c r="O2532" s="10" t="n">
        <v>0.346896447706968</v>
      </c>
      <c r="P2532" s="10" t="n">
        <v>0.719914150424302</v>
      </c>
      <c r="Q2532" s="0" t="str">
        <f aca="false">SUBSTITUTE(SUBSTITUTE($I2532,CHAR(61),""),CHAR(34),"")</f>
        <v>15-24</v>
      </c>
      <c r="R2532" s="0" t="str">
        <f aca="false">IF($D2532&lt;&gt;"","["&amp;$E2532&amp;"]"&amp;"|"&amp;$Q2532&amp;"|"&amp;$K2532&amp;"|"&amp;$G2532&amp;"|"&amp;IF($G2532="TX_CURR_SUBNAT.R","CY2022Q4",$M2532),"")</f>
        <v>[AZyWpGzhcaA]|15-24|Male|DIAGNOSED_SUBNAT.T_1|CY2023Q3</v>
      </c>
    </row>
    <row r="2533" customFormat="false" ht="15" hidden="false" customHeight="false" outlineLevel="0" collapsed="false">
      <c r="D2533" s="0" t="s">
        <v>90</v>
      </c>
      <c r="E2533" s="0" t="s">
        <v>91</v>
      </c>
      <c r="F2533" s="0" t="s">
        <v>92</v>
      </c>
      <c r="G2533" s="0" t="s">
        <v>148</v>
      </c>
      <c r="H2533" s="0" t="s">
        <v>149</v>
      </c>
      <c r="I2533" s="0" t="s">
        <v>41</v>
      </c>
      <c r="J2533" s="0" t="s">
        <v>42</v>
      </c>
      <c r="K2533" s="0" t="s">
        <v>48</v>
      </c>
      <c r="L2533" s="0" t="s">
        <v>49</v>
      </c>
      <c r="M2533" s="0" t="s">
        <v>140</v>
      </c>
      <c r="N2533" s="0" t="n">
        <v>956</v>
      </c>
      <c r="O2533" s="10" t="n">
        <v>0.200178465573117</v>
      </c>
      <c r="P2533" s="10" t="n">
        <v>0.719914150424302</v>
      </c>
      <c r="Q2533" s="0" t="str">
        <f aca="false">SUBSTITUTE(SUBSTITUTE($I2533,CHAR(61),""),CHAR(34),"")</f>
        <v>25-34</v>
      </c>
      <c r="R2533" s="0" t="str">
        <f aca="false">IF($D2533&lt;&gt;"","["&amp;$E2533&amp;"]"&amp;"|"&amp;$Q2533&amp;"|"&amp;$K2533&amp;"|"&amp;$G2533&amp;"|"&amp;IF($G2533="TX_CURR_SUBNAT.R","CY2022Q4",$M2533),"")</f>
        <v>[AZyWpGzhcaA]|25-34|Male|DIAGNOSED_SUBNAT.T_1|CY2023Q3</v>
      </c>
    </row>
    <row r="2534" customFormat="false" ht="15" hidden="false" customHeight="false" outlineLevel="0" collapsed="false">
      <c r="D2534" s="0" t="s">
        <v>90</v>
      </c>
      <c r="E2534" s="0" t="s">
        <v>91</v>
      </c>
      <c r="F2534" s="0" t="s">
        <v>92</v>
      </c>
      <c r="G2534" s="0" t="s">
        <v>148</v>
      </c>
      <c r="H2534" s="0" t="s">
        <v>149</v>
      </c>
      <c r="I2534" s="0" t="s">
        <v>43</v>
      </c>
      <c r="J2534" s="0" t="s">
        <v>44</v>
      </c>
      <c r="K2534" s="0" t="s">
        <v>48</v>
      </c>
      <c r="L2534" s="0" t="s">
        <v>49</v>
      </c>
      <c r="M2534" s="0" t="s">
        <v>140</v>
      </c>
      <c r="N2534" s="0" t="n">
        <v>537</v>
      </c>
      <c r="O2534" s="10" t="n">
        <v>0.753030752297491</v>
      </c>
      <c r="P2534" s="10" t="n">
        <v>0.719914150424302</v>
      </c>
      <c r="Q2534" s="0" t="str">
        <f aca="false">SUBSTITUTE(SUBSTITUTE($I2534,CHAR(61),""),CHAR(34),"")</f>
        <v>35-49</v>
      </c>
      <c r="R2534" s="0" t="str">
        <f aca="false">IF($D2534&lt;&gt;"","["&amp;$E2534&amp;"]"&amp;"|"&amp;$Q2534&amp;"|"&amp;$K2534&amp;"|"&amp;$G2534&amp;"|"&amp;IF($G2534="TX_CURR_SUBNAT.R","CY2022Q4",$M2534),"")</f>
        <v>[AZyWpGzhcaA]|35-49|Male|DIAGNOSED_SUBNAT.T_1|CY2023Q3</v>
      </c>
    </row>
    <row r="2535" customFormat="false" ht="15" hidden="false" customHeight="false" outlineLevel="0" collapsed="false">
      <c r="D2535" s="0" t="s">
        <v>90</v>
      </c>
      <c r="E2535" s="0" t="s">
        <v>91</v>
      </c>
      <c r="F2535" s="0" t="s">
        <v>92</v>
      </c>
      <c r="G2535" s="0" t="s">
        <v>148</v>
      </c>
      <c r="H2535" s="0" t="s">
        <v>149</v>
      </c>
      <c r="I2535" s="0" t="s">
        <v>45</v>
      </c>
      <c r="J2535" s="0" t="s">
        <v>46</v>
      </c>
      <c r="K2535" s="0" t="s">
        <v>48</v>
      </c>
      <c r="L2535" s="0" t="s">
        <v>49</v>
      </c>
      <c r="M2535" s="0" t="s">
        <v>140</v>
      </c>
      <c r="N2535" s="0" t="n">
        <v>1315</v>
      </c>
      <c r="O2535" s="10" t="n">
        <v>0.215007717488334</v>
      </c>
      <c r="P2535" s="10" t="n">
        <v>0.719914150424302</v>
      </c>
      <c r="Q2535" s="0" t="str">
        <f aca="false">SUBSTITUTE(SUBSTITUTE($I2535,CHAR(61),""),CHAR(34),"")</f>
        <v>50+</v>
      </c>
      <c r="R2535" s="0" t="str">
        <f aca="false">IF($D2535&lt;&gt;"","["&amp;$E2535&amp;"]"&amp;"|"&amp;$Q2535&amp;"|"&amp;$K2535&amp;"|"&amp;$G2535&amp;"|"&amp;IF($G2535="TX_CURR_SUBNAT.R","CY2022Q4",$M2535),"")</f>
        <v>[AZyWpGzhcaA]|50+|Male|DIAGNOSED_SUBNAT.T_1|CY2023Q3</v>
      </c>
    </row>
    <row r="2536" customFormat="false" ht="15" hidden="false" customHeight="false" outlineLevel="0" collapsed="false">
      <c r="D2536" s="0" t="s">
        <v>93</v>
      </c>
      <c r="E2536" s="0" t="s">
        <v>94</v>
      </c>
      <c r="F2536" s="0" t="s">
        <v>95</v>
      </c>
      <c r="G2536" s="0" t="s">
        <v>148</v>
      </c>
      <c r="H2536" s="0" t="s">
        <v>149</v>
      </c>
      <c r="I2536" s="0" t="s">
        <v>28</v>
      </c>
      <c r="J2536" s="0" t="s">
        <v>29</v>
      </c>
      <c r="K2536" s="0" t="s">
        <v>30</v>
      </c>
      <c r="L2536" s="0" t="s">
        <v>31</v>
      </c>
      <c r="M2536" s="0" t="s">
        <v>140</v>
      </c>
      <c r="N2536" s="0" t="n">
        <v>1519</v>
      </c>
      <c r="O2536" s="10" t="n">
        <v>0.694312445353717</v>
      </c>
      <c r="P2536" s="10" t="n">
        <v>0.362272296566516</v>
      </c>
      <c r="Q2536" s="0" t="str">
        <f aca="false">SUBSTITUTE(SUBSTITUTE($I2536,CHAR(61),""),CHAR(34),"")</f>
        <v>&lt;01</v>
      </c>
      <c r="R2536" s="0" t="str">
        <f aca="false">IF($D2536&lt;&gt;"","["&amp;$E2536&amp;"]"&amp;"|"&amp;$Q2536&amp;"|"&amp;$K2536&amp;"|"&amp;$G2536&amp;"|"&amp;IF($G2536="TX_CURR_SUBNAT.R","CY2022Q4",$M2536),"")</f>
        <v>[umc2n1Z4wNv]|&lt;01|Female|DIAGNOSED_SUBNAT.T_1|CY2023Q3</v>
      </c>
    </row>
    <row r="2537" customFormat="false" ht="15" hidden="false" customHeight="false" outlineLevel="0" collapsed="false">
      <c r="D2537" s="0" t="s">
        <v>93</v>
      </c>
      <c r="E2537" s="0" t="s">
        <v>94</v>
      </c>
      <c r="F2537" s="0" t="s">
        <v>95</v>
      </c>
      <c r="G2537" s="0" t="s">
        <v>148</v>
      </c>
      <c r="H2537" s="0" t="s">
        <v>149</v>
      </c>
      <c r="I2537" s="0" t="s">
        <v>33</v>
      </c>
      <c r="J2537" s="0" t="s">
        <v>34</v>
      </c>
      <c r="K2537" s="0" t="s">
        <v>30</v>
      </c>
      <c r="L2537" s="0" t="s">
        <v>31</v>
      </c>
      <c r="M2537" s="0" t="s">
        <v>140</v>
      </c>
      <c r="N2537" s="0" t="n">
        <v>655</v>
      </c>
      <c r="O2537" s="10" t="n">
        <v>0.533419420011342</v>
      </c>
      <c r="P2537" s="10" t="n">
        <v>0.362272296566516</v>
      </c>
      <c r="Q2537" s="0" t="str">
        <f aca="false">SUBSTITUTE(SUBSTITUTE($I2537,CHAR(61),""),CHAR(34),"")</f>
        <v>01-09</v>
      </c>
      <c r="R2537" s="0" t="str">
        <f aca="false">IF($D2537&lt;&gt;"","["&amp;$E2537&amp;"]"&amp;"|"&amp;$Q2537&amp;"|"&amp;$K2537&amp;"|"&amp;$G2537&amp;"|"&amp;IF($G2537="TX_CURR_SUBNAT.R","CY2022Q4",$M2537),"")</f>
        <v>[umc2n1Z4wNv]|01-09|Female|DIAGNOSED_SUBNAT.T_1|CY2023Q3</v>
      </c>
    </row>
    <row r="2538" customFormat="false" ht="15" hidden="false" customHeight="false" outlineLevel="0" collapsed="false">
      <c r="D2538" s="0" t="s">
        <v>93</v>
      </c>
      <c r="E2538" s="0" t="s">
        <v>94</v>
      </c>
      <c r="F2538" s="0" t="s">
        <v>95</v>
      </c>
      <c r="G2538" s="0" t="s">
        <v>148</v>
      </c>
      <c r="H2538" s="0" t="s">
        <v>149</v>
      </c>
      <c r="I2538" s="0" t="s">
        <v>36</v>
      </c>
      <c r="J2538" s="0" t="s">
        <v>37</v>
      </c>
      <c r="K2538" s="0" t="s">
        <v>30</v>
      </c>
      <c r="L2538" s="0" t="s">
        <v>31</v>
      </c>
      <c r="M2538" s="0" t="s">
        <v>140</v>
      </c>
      <c r="N2538" s="0" t="n">
        <v>1500</v>
      </c>
      <c r="O2538" s="10" t="n">
        <v>0.773397874785587</v>
      </c>
      <c r="P2538" s="10" t="n">
        <v>0.362272296566516</v>
      </c>
      <c r="Q2538" s="0" t="str">
        <f aca="false">SUBSTITUTE(SUBSTITUTE($I2538,CHAR(61),""),CHAR(34),"")</f>
        <v>10-14</v>
      </c>
      <c r="R2538" s="0" t="str">
        <f aca="false">IF($D2538&lt;&gt;"","["&amp;$E2538&amp;"]"&amp;"|"&amp;$Q2538&amp;"|"&amp;$K2538&amp;"|"&amp;$G2538&amp;"|"&amp;IF($G2538="TX_CURR_SUBNAT.R","CY2022Q4",$M2538),"")</f>
        <v>[umc2n1Z4wNv]|10-14|Female|DIAGNOSED_SUBNAT.T_1|CY2023Q3</v>
      </c>
    </row>
    <row r="2539" customFormat="false" ht="15" hidden="false" customHeight="false" outlineLevel="0" collapsed="false">
      <c r="D2539" s="0" t="s">
        <v>93</v>
      </c>
      <c r="E2539" s="0" t="s">
        <v>94</v>
      </c>
      <c r="F2539" s="0" t="s">
        <v>95</v>
      </c>
      <c r="G2539" s="0" t="s">
        <v>148</v>
      </c>
      <c r="H2539" s="0" t="s">
        <v>149</v>
      </c>
      <c r="I2539" s="0" t="s">
        <v>38</v>
      </c>
      <c r="J2539" s="0" t="s">
        <v>39</v>
      </c>
      <c r="K2539" s="0" t="s">
        <v>30</v>
      </c>
      <c r="L2539" s="0" t="s">
        <v>31</v>
      </c>
      <c r="M2539" s="0" t="s">
        <v>140</v>
      </c>
      <c r="N2539" s="0" t="n">
        <v>1142</v>
      </c>
      <c r="O2539" s="10" t="n">
        <v>0.484128587413579</v>
      </c>
      <c r="P2539" s="10" t="n">
        <v>0.362272296566516</v>
      </c>
      <c r="Q2539" s="0" t="str">
        <f aca="false">SUBSTITUTE(SUBSTITUTE($I2539,CHAR(61),""),CHAR(34),"")</f>
        <v>15-24</v>
      </c>
      <c r="R2539" s="0" t="str">
        <f aca="false">IF($D2539&lt;&gt;"","["&amp;$E2539&amp;"]"&amp;"|"&amp;$Q2539&amp;"|"&amp;$K2539&amp;"|"&amp;$G2539&amp;"|"&amp;IF($G2539="TX_CURR_SUBNAT.R","CY2022Q4",$M2539),"")</f>
        <v>[umc2n1Z4wNv]|15-24|Female|DIAGNOSED_SUBNAT.T_1|CY2023Q3</v>
      </c>
    </row>
    <row r="2540" customFormat="false" ht="15" hidden="false" customHeight="false" outlineLevel="0" collapsed="false">
      <c r="D2540" s="0" t="s">
        <v>93</v>
      </c>
      <c r="E2540" s="0" t="s">
        <v>94</v>
      </c>
      <c r="F2540" s="0" t="s">
        <v>95</v>
      </c>
      <c r="G2540" s="0" t="s">
        <v>148</v>
      </c>
      <c r="H2540" s="0" t="s">
        <v>149</v>
      </c>
      <c r="I2540" s="0" t="s">
        <v>41</v>
      </c>
      <c r="J2540" s="0" t="s">
        <v>42</v>
      </c>
      <c r="K2540" s="0" t="s">
        <v>30</v>
      </c>
      <c r="L2540" s="0" t="s">
        <v>31</v>
      </c>
      <c r="M2540" s="0" t="s">
        <v>140</v>
      </c>
      <c r="N2540" s="0" t="n">
        <v>1397</v>
      </c>
      <c r="O2540" s="10" t="n">
        <v>0.448430251330137</v>
      </c>
      <c r="P2540" s="10" t="n">
        <v>0.362272296566516</v>
      </c>
      <c r="Q2540" s="0" t="str">
        <f aca="false">SUBSTITUTE(SUBSTITUTE($I2540,CHAR(61),""),CHAR(34),"")</f>
        <v>25-34</v>
      </c>
      <c r="R2540" s="0" t="str">
        <f aca="false">IF($D2540&lt;&gt;"","["&amp;$E2540&amp;"]"&amp;"|"&amp;$Q2540&amp;"|"&amp;$K2540&amp;"|"&amp;$G2540&amp;"|"&amp;IF($G2540="TX_CURR_SUBNAT.R","CY2022Q4",$M2540),"")</f>
        <v>[umc2n1Z4wNv]|25-34|Female|DIAGNOSED_SUBNAT.T_1|CY2023Q3</v>
      </c>
    </row>
    <row r="2541" customFormat="false" ht="15" hidden="false" customHeight="false" outlineLevel="0" collapsed="false">
      <c r="D2541" s="0" t="s">
        <v>93</v>
      </c>
      <c r="E2541" s="0" t="s">
        <v>94</v>
      </c>
      <c r="F2541" s="0" t="s">
        <v>95</v>
      </c>
      <c r="G2541" s="0" t="s">
        <v>148</v>
      </c>
      <c r="H2541" s="0" t="s">
        <v>149</v>
      </c>
      <c r="I2541" s="0" t="s">
        <v>43</v>
      </c>
      <c r="J2541" s="0" t="s">
        <v>44</v>
      </c>
      <c r="K2541" s="0" t="s">
        <v>30</v>
      </c>
      <c r="L2541" s="0" t="s">
        <v>31</v>
      </c>
      <c r="M2541" s="0" t="s">
        <v>140</v>
      </c>
      <c r="N2541" s="0" t="n">
        <v>1829</v>
      </c>
      <c r="O2541" s="10" t="n">
        <v>0.0379590843804181</v>
      </c>
      <c r="P2541" s="10" t="n">
        <v>0.362272296566516</v>
      </c>
      <c r="Q2541" s="0" t="str">
        <f aca="false">SUBSTITUTE(SUBSTITUTE($I2541,CHAR(61),""),CHAR(34),"")</f>
        <v>35-49</v>
      </c>
      <c r="R2541" s="0" t="str">
        <f aca="false">IF($D2541&lt;&gt;"","["&amp;$E2541&amp;"]"&amp;"|"&amp;$Q2541&amp;"|"&amp;$K2541&amp;"|"&amp;$G2541&amp;"|"&amp;IF($G2541="TX_CURR_SUBNAT.R","CY2022Q4",$M2541),"")</f>
        <v>[umc2n1Z4wNv]|35-49|Female|DIAGNOSED_SUBNAT.T_1|CY2023Q3</v>
      </c>
    </row>
    <row r="2542" customFormat="false" ht="15" hidden="false" customHeight="false" outlineLevel="0" collapsed="false">
      <c r="D2542" s="0" t="s">
        <v>93</v>
      </c>
      <c r="E2542" s="0" t="s">
        <v>94</v>
      </c>
      <c r="F2542" s="0" t="s">
        <v>95</v>
      </c>
      <c r="G2542" s="0" t="s">
        <v>148</v>
      </c>
      <c r="H2542" s="0" t="s">
        <v>149</v>
      </c>
      <c r="I2542" s="0" t="s">
        <v>45</v>
      </c>
      <c r="J2542" s="0" t="s">
        <v>46</v>
      </c>
      <c r="K2542" s="0" t="s">
        <v>30</v>
      </c>
      <c r="L2542" s="0" t="s">
        <v>31</v>
      </c>
      <c r="M2542" s="0" t="s">
        <v>140</v>
      </c>
      <c r="N2542" s="0" t="n">
        <v>906</v>
      </c>
      <c r="O2542" s="10" t="n">
        <v>0.458892477210611</v>
      </c>
      <c r="P2542" s="10" t="n">
        <v>0.362272296566516</v>
      </c>
      <c r="Q2542" s="0" t="str">
        <f aca="false">SUBSTITUTE(SUBSTITUTE($I2542,CHAR(61),""),CHAR(34),"")</f>
        <v>50+</v>
      </c>
      <c r="R2542" s="0" t="str">
        <f aca="false">IF($D2542&lt;&gt;"","["&amp;$E2542&amp;"]"&amp;"|"&amp;$Q2542&amp;"|"&amp;$K2542&amp;"|"&amp;$G2542&amp;"|"&amp;IF($G2542="TX_CURR_SUBNAT.R","CY2022Q4",$M2542),"")</f>
        <v>[umc2n1Z4wNv]|50+|Female|DIAGNOSED_SUBNAT.T_1|CY2023Q3</v>
      </c>
    </row>
    <row r="2543" customFormat="false" ht="15" hidden="false" customHeight="false" outlineLevel="0" collapsed="false">
      <c r="D2543" s="0" t="s">
        <v>93</v>
      </c>
      <c r="E2543" s="0" t="s">
        <v>94</v>
      </c>
      <c r="F2543" s="0" t="s">
        <v>95</v>
      </c>
      <c r="G2543" s="0" t="s">
        <v>148</v>
      </c>
      <c r="H2543" s="0" t="s">
        <v>149</v>
      </c>
      <c r="I2543" s="0" t="s">
        <v>28</v>
      </c>
      <c r="J2543" s="0" t="s">
        <v>29</v>
      </c>
      <c r="K2543" s="0" t="s">
        <v>48</v>
      </c>
      <c r="L2543" s="0" t="s">
        <v>49</v>
      </c>
      <c r="M2543" s="0" t="s">
        <v>140</v>
      </c>
      <c r="N2543" s="0" t="n">
        <v>1714</v>
      </c>
      <c r="O2543" s="10" t="n">
        <v>0.676174676744267</v>
      </c>
      <c r="P2543" s="10" t="n">
        <v>0.362272296566516</v>
      </c>
      <c r="Q2543" s="0" t="str">
        <f aca="false">SUBSTITUTE(SUBSTITUTE($I2543,CHAR(61),""),CHAR(34),"")</f>
        <v>&lt;01</v>
      </c>
      <c r="R2543" s="0" t="str">
        <f aca="false">IF($D2543&lt;&gt;"","["&amp;$E2543&amp;"]"&amp;"|"&amp;$Q2543&amp;"|"&amp;$K2543&amp;"|"&amp;$G2543&amp;"|"&amp;IF($G2543="TX_CURR_SUBNAT.R","CY2022Q4",$M2543),"")</f>
        <v>[umc2n1Z4wNv]|&lt;01|Male|DIAGNOSED_SUBNAT.T_1|CY2023Q3</v>
      </c>
    </row>
    <row r="2544" customFormat="false" ht="15" hidden="false" customHeight="false" outlineLevel="0" collapsed="false">
      <c r="D2544" s="0" t="s">
        <v>93</v>
      </c>
      <c r="E2544" s="0" t="s">
        <v>94</v>
      </c>
      <c r="F2544" s="0" t="s">
        <v>95</v>
      </c>
      <c r="G2544" s="0" t="s">
        <v>148</v>
      </c>
      <c r="H2544" s="0" t="s">
        <v>149</v>
      </c>
      <c r="I2544" s="0" t="s">
        <v>33</v>
      </c>
      <c r="J2544" s="0" t="s">
        <v>34</v>
      </c>
      <c r="K2544" s="0" t="s">
        <v>48</v>
      </c>
      <c r="L2544" s="0" t="s">
        <v>49</v>
      </c>
      <c r="M2544" s="0" t="s">
        <v>140</v>
      </c>
      <c r="N2544" s="0" t="n">
        <v>1053</v>
      </c>
      <c r="O2544" s="10" t="n">
        <v>0.21691450313665</v>
      </c>
      <c r="P2544" s="10" t="n">
        <v>0.362272296566516</v>
      </c>
      <c r="Q2544" s="0" t="str">
        <f aca="false">SUBSTITUTE(SUBSTITUTE($I2544,CHAR(61),""),CHAR(34),"")</f>
        <v>01-09</v>
      </c>
      <c r="R2544" s="0" t="str">
        <f aca="false">IF($D2544&lt;&gt;"","["&amp;$E2544&amp;"]"&amp;"|"&amp;$Q2544&amp;"|"&amp;$K2544&amp;"|"&amp;$G2544&amp;"|"&amp;IF($G2544="TX_CURR_SUBNAT.R","CY2022Q4",$M2544),"")</f>
        <v>[umc2n1Z4wNv]|01-09|Male|DIAGNOSED_SUBNAT.T_1|CY2023Q3</v>
      </c>
    </row>
    <row r="2545" customFormat="false" ht="15" hidden="false" customHeight="false" outlineLevel="0" collapsed="false">
      <c r="D2545" s="0" t="s">
        <v>93</v>
      </c>
      <c r="E2545" s="0" t="s">
        <v>94</v>
      </c>
      <c r="F2545" s="0" t="s">
        <v>95</v>
      </c>
      <c r="G2545" s="0" t="s">
        <v>148</v>
      </c>
      <c r="H2545" s="0" t="s">
        <v>149</v>
      </c>
      <c r="I2545" s="0" t="s">
        <v>36</v>
      </c>
      <c r="J2545" s="0" t="s">
        <v>37</v>
      </c>
      <c r="K2545" s="0" t="s">
        <v>48</v>
      </c>
      <c r="L2545" s="0" t="s">
        <v>49</v>
      </c>
      <c r="M2545" s="0" t="s">
        <v>140</v>
      </c>
      <c r="N2545" s="0" t="n">
        <v>1698</v>
      </c>
      <c r="O2545" s="10" t="n">
        <v>0.161514861276373</v>
      </c>
      <c r="P2545" s="10" t="n">
        <v>0.362272296566516</v>
      </c>
      <c r="Q2545" s="0" t="str">
        <f aca="false">SUBSTITUTE(SUBSTITUTE($I2545,CHAR(61),""),CHAR(34),"")</f>
        <v>10-14</v>
      </c>
      <c r="R2545" s="0" t="str">
        <f aca="false">IF($D2545&lt;&gt;"","["&amp;$E2545&amp;"]"&amp;"|"&amp;$Q2545&amp;"|"&amp;$K2545&amp;"|"&amp;$G2545&amp;"|"&amp;IF($G2545="TX_CURR_SUBNAT.R","CY2022Q4",$M2545),"")</f>
        <v>[umc2n1Z4wNv]|10-14|Male|DIAGNOSED_SUBNAT.T_1|CY2023Q3</v>
      </c>
    </row>
    <row r="2546" customFormat="false" ht="15" hidden="false" customHeight="false" outlineLevel="0" collapsed="false">
      <c r="D2546" s="0" t="s">
        <v>93</v>
      </c>
      <c r="E2546" s="0" t="s">
        <v>94</v>
      </c>
      <c r="F2546" s="0" t="s">
        <v>95</v>
      </c>
      <c r="G2546" s="0" t="s">
        <v>148</v>
      </c>
      <c r="H2546" s="0" t="s">
        <v>149</v>
      </c>
      <c r="I2546" s="0" t="s">
        <v>38</v>
      </c>
      <c r="J2546" s="0" t="s">
        <v>39</v>
      </c>
      <c r="K2546" s="0" t="s">
        <v>48</v>
      </c>
      <c r="L2546" s="0" t="s">
        <v>49</v>
      </c>
      <c r="M2546" s="0" t="s">
        <v>140</v>
      </c>
      <c r="N2546" s="0" t="n">
        <v>1612</v>
      </c>
      <c r="O2546" s="10" t="n">
        <v>0.978789128130302</v>
      </c>
      <c r="P2546" s="10" t="n">
        <v>0.362272296566516</v>
      </c>
      <c r="Q2546" s="0" t="str">
        <f aca="false">SUBSTITUTE(SUBSTITUTE($I2546,CHAR(61),""),CHAR(34),"")</f>
        <v>15-24</v>
      </c>
      <c r="R2546" s="0" t="str">
        <f aca="false">IF($D2546&lt;&gt;"","["&amp;$E2546&amp;"]"&amp;"|"&amp;$Q2546&amp;"|"&amp;$K2546&amp;"|"&amp;$G2546&amp;"|"&amp;IF($G2546="TX_CURR_SUBNAT.R","CY2022Q4",$M2546),"")</f>
        <v>[umc2n1Z4wNv]|15-24|Male|DIAGNOSED_SUBNAT.T_1|CY2023Q3</v>
      </c>
    </row>
    <row r="2547" customFormat="false" ht="15" hidden="false" customHeight="false" outlineLevel="0" collapsed="false">
      <c r="D2547" s="0" t="s">
        <v>93</v>
      </c>
      <c r="E2547" s="0" t="s">
        <v>94</v>
      </c>
      <c r="F2547" s="0" t="s">
        <v>95</v>
      </c>
      <c r="G2547" s="0" t="s">
        <v>148</v>
      </c>
      <c r="H2547" s="0" t="s">
        <v>149</v>
      </c>
      <c r="I2547" s="0" t="s">
        <v>41</v>
      </c>
      <c r="J2547" s="0" t="s">
        <v>42</v>
      </c>
      <c r="K2547" s="0" t="s">
        <v>48</v>
      </c>
      <c r="L2547" s="0" t="s">
        <v>49</v>
      </c>
      <c r="M2547" s="0" t="s">
        <v>140</v>
      </c>
      <c r="N2547" s="0" t="n">
        <v>1282</v>
      </c>
      <c r="O2547" s="10" t="n">
        <v>0.814237744547427</v>
      </c>
      <c r="P2547" s="10" t="n">
        <v>0.362272296566516</v>
      </c>
      <c r="Q2547" s="0" t="str">
        <f aca="false">SUBSTITUTE(SUBSTITUTE($I2547,CHAR(61),""),CHAR(34),"")</f>
        <v>25-34</v>
      </c>
      <c r="R2547" s="0" t="str">
        <f aca="false">IF($D2547&lt;&gt;"","["&amp;$E2547&amp;"]"&amp;"|"&amp;$Q2547&amp;"|"&amp;$K2547&amp;"|"&amp;$G2547&amp;"|"&amp;IF($G2547="TX_CURR_SUBNAT.R","CY2022Q4",$M2547),"")</f>
        <v>[umc2n1Z4wNv]|25-34|Male|DIAGNOSED_SUBNAT.T_1|CY2023Q3</v>
      </c>
    </row>
    <row r="2548" customFormat="false" ht="15" hidden="false" customHeight="false" outlineLevel="0" collapsed="false">
      <c r="D2548" s="0" t="s">
        <v>93</v>
      </c>
      <c r="E2548" s="0" t="s">
        <v>94</v>
      </c>
      <c r="F2548" s="0" t="s">
        <v>95</v>
      </c>
      <c r="G2548" s="0" t="s">
        <v>148</v>
      </c>
      <c r="H2548" s="0" t="s">
        <v>149</v>
      </c>
      <c r="I2548" s="0" t="s">
        <v>43</v>
      </c>
      <c r="J2548" s="0" t="s">
        <v>44</v>
      </c>
      <c r="K2548" s="0" t="s">
        <v>48</v>
      </c>
      <c r="L2548" s="0" t="s">
        <v>49</v>
      </c>
      <c r="M2548" s="0" t="s">
        <v>140</v>
      </c>
      <c r="N2548" s="0" t="n">
        <v>1400</v>
      </c>
      <c r="O2548" s="10" t="n">
        <v>0.937688576756045</v>
      </c>
      <c r="P2548" s="10" t="n">
        <v>0.362272296566516</v>
      </c>
      <c r="Q2548" s="0" t="str">
        <f aca="false">SUBSTITUTE(SUBSTITUTE($I2548,CHAR(61),""),CHAR(34),"")</f>
        <v>35-49</v>
      </c>
      <c r="R2548" s="0" t="str">
        <f aca="false">IF($D2548&lt;&gt;"","["&amp;$E2548&amp;"]"&amp;"|"&amp;$Q2548&amp;"|"&amp;$K2548&amp;"|"&amp;$G2548&amp;"|"&amp;IF($G2548="TX_CURR_SUBNAT.R","CY2022Q4",$M2548),"")</f>
        <v>[umc2n1Z4wNv]|35-49|Male|DIAGNOSED_SUBNAT.T_1|CY2023Q3</v>
      </c>
    </row>
    <row r="2549" customFormat="false" ht="15" hidden="false" customHeight="false" outlineLevel="0" collapsed="false">
      <c r="D2549" s="0" t="s">
        <v>93</v>
      </c>
      <c r="E2549" s="0" t="s">
        <v>94</v>
      </c>
      <c r="F2549" s="0" t="s">
        <v>95</v>
      </c>
      <c r="G2549" s="0" t="s">
        <v>148</v>
      </c>
      <c r="H2549" s="0" t="s">
        <v>149</v>
      </c>
      <c r="I2549" s="0" t="s">
        <v>45</v>
      </c>
      <c r="J2549" s="0" t="s">
        <v>46</v>
      </c>
      <c r="K2549" s="0" t="s">
        <v>48</v>
      </c>
      <c r="L2549" s="0" t="s">
        <v>49</v>
      </c>
      <c r="M2549" s="0" t="s">
        <v>140</v>
      </c>
      <c r="N2549" s="0" t="n">
        <v>1819</v>
      </c>
      <c r="O2549" s="10" t="n">
        <v>0.343114322284237</v>
      </c>
      <c r="P2549" s="10" t="n">
        <v>0.362272296566516</v>
      </c>
      <c r="Q2549" s="0" t="str">
        <f aca="false">SUBSTITUTE(SUBSTITUTE($I2549,CHAR(61),""),CHAR(34),"")</f>
        <v>50+</v>
      </c>
      <c r="R2549" s="0" t="str">
        <f aca="false">IF($D2549&lt;&gt;"","["&amp;$E2549&amp;"]"&amp;"|"&amp;$Q2549&amp;"|"&amp;$K2549&amp;"|"&amp;$G2549&amp;"|"&amp;IF($G2549="TX_CURR_SUBNAT.R","CY2022Q4",$M2549),"")</f>
        <v>[umc2n1Z4wNv]|50+|Male|DIAGNOSED_SUBNAT.T_1|CY2023Q3</v>
      </c>
    </row>
    <row r="2550" customFormat="false" ht="15" hidden="false" customHeight="false" outlineLevel="0" collapsed="false">
      <c r="D2550" s="0" t="s">
        <v>96</v>
      </c>
      <c r="E2550" s="0" t="s">
        <v>97</v>
      </c>
      <c r="F2550" s="0" t="s">
        <v>98</v>
      </c>
      <c r="G2550" s="0" t="s">
        <v>148</v>
      </c>
      <c r="H2550" s="0" t="s">
        <v>149</v>
      </c>
      <c r="I2550" s="0" t="s">
        <v>28</v>
      </c>
      <c r="J2550" s="0" t="s">
        <v>29</v>
      </c>
      <c r="K2550" s="0" t="s">
        <v>30</v>
      </c>
      <c r="L2550" s="0" t="s">
        <v>31</v>
      </c>
      <c r="M2550" s="0" t="s">
        <v>140</v>
      </c>
      <c r="N2550" s="0" t="n">
        <v>1651</v>
      </c>
      <c r="O2550" s="10" t="n">
        <v>0.899321840843186</v>
      </c>
      <c r="P2550" s="10" t="n">
        <v>0.601251717889681</v>
      </c>
      <c r="Q2550" s="0" t="str">
        <f aca="false">SUBSTITUTE(SUBSTITUTE($I2550,CHAR(61),""),CHAR(34),"")</f>
        <v>&lt;01</v>
      </c>
      <c r="R2550" s="0" t="str">
        <f aca="false">IF($D2550&lt;&gt;"","["&amp;$E2550&amp;"]"&amp;"|"&amp;$Q2550&amp;"|"&amp;$K2550&amp;"|"&amp;$G2550&amp;"|"&amp;IF($G2550="TX_CURR_SUBNAT.R","CY2022Q4",$M2550),"")</f>
        <v>[gwVYinjBAe9]|&lt;01|Female|DIAGNOSED_SUBNAT.T_1|CY2023Q3</v>
      </c>
    </row>
    <row r="2551" customFormat="false" ht="15" hidden="false" customHeight="false" outlineLevel="0" collapsed="false">
      <c r="D2551" s="0" t="s">
        <v>96</v>
      </c>
      <c r="E2551" s="0" t="s">
        <v>97</v>
      </c>
      <c r="F2551" s="0" t="s">
        <v>98</v>
      </c>
      <c r="G2551" s="0" t="s">
        <v>148</v>
      </c>
      <c r="H2551" s="0" t="s">
        <v>149</v>
      </c>
      <c r="I2551" s="0" t="s">
        <v>33</v>
      </c>
      <c r="J2551" s="0" t="s">
        <v>34</v>
      </c>
      <c r="K2551" s="0" t="s">
        <v>30</v>
      </c>
      <c r="L2551" s="0" t="s">
        <v>31</v>
      </c>
      <c r="M2551" s="0" t="s">
        <v>140</v>
      </c>
      <c r="N2551" s="0" t="n">
        <v>717</v>
      </c>
      <c r="O2551" s="10" t="n">
        <v>0.14628813858144</v>
      </c>
      <c r="P2551" s="10" t="n">
        <v>0.601251717889681</v>
      </c>
      <c r="Q2551" s="0" t="str">
        <f aca="false">SUBSTITUTE(SUBSTITUTE($I2551,CHAR(61),""),CHAR(34),"")</f>
        <v>01-09</v>
      </c>
      <c r="R2551" s="0" t="str">
        <f aca="false">IF($D2551&lt;&gt;"","["&amp;$E2551&amp;"]"&amp;"|"&amp;$Q2551&amp;"|"&amp;$K2551&amp;"|"&amp;$G2551&amp;"|"&amp;IF($G2551="TX_CURR_SUBNAT.R","CY2022Q4",$M2551),"")</f>
        <v>[gwVYinjBAe9]|01-09|Female|DIAGNOSED_SUBNAT.T_1|CY2023Q3</v>
      </c>
    </row>
    <row r="2552" customFormat="false" ht="15" hidden="false" customHeight="false" outlineLevel="0" collapsed="false">
      <c r="D2552" s="0" t="s">
        <v>96</v>
      </c>
      <c r="E2552" s="0" t="s">
        <v>97</v>
      </c>
      <c r="F2552" s="0" t="s">
        <v>98</v>
      </c>
      <c r="G2552" s="0" t="s">
        <v>148</v>
      </c>
      <c r="H2552" s="0" t="s">
        <v>149</v>
      </c>
      <c r="I2552" s="0" t="s">
        <v>36</v>
      </c>
      <c r="J2552" s="0" t="s">
        <v>37</v>
      </c>
      <c r="K2552" s="0" t="s">
        <v>30</v>
      </c>
      <c r="L2552" s="0" t="s">
        <v>31</v>
      </c>
      <c r="M2552" s="0" t="s">
        <v>140</v>
      </c>
      <c r="N2552" s="0" t="n">
        <v>1469</v>
      </c>
      <c r="O2552" s="10" t="n">
        <v>0.87795422761701</v>
      </c>
      <c r="P2552" s="10" t="n">
        <v>0.601251717889681</v>
      </c>
      <c r="Q2552" s="0" t="str">
        <f aca="false">SUBSTITUTE(SUBSTITUTE($I2552,CHAR(61),""),CHAR(34),"")</f>
        <v>10-14</v>
      </c>
      <c r="R2552" s="0" t="str">
        <f aca="false">IF($D2552&lt;&gt;"","["&amp;$E2552&amp;"]"&amp;"|"&amp;$Q2552&amp;"|"&amp;$K2552&amp;"|"&amp;$G2552&amp;"|"&amp;IF($G2552="TX_CURR_SUBNAT.R","CY2022Q4",$M2552),"")</f>
        <v>[gwVYinjBAe9]|10-14|Female|DIAGNOSED_SUBNAT.T_1|CY2023Q3</v>
      </c>
    </row>
    <row r="2553" customFormat="false" ht="15" hidden="false" customHeight="false" outlineLevel="0" collapsed="false">
      <c r="D2553" s="0" t="s">
        <v>96</v>
      </c>
      <c r="E2553" s="0" t="s">
        <v>97</v>
      </c>
      <c r="F2553" s="0" t="s">
        <v>98</v>
      </c>
      <c r="G2553" s="0" t="s">
        <v>148</v>
      </c>
      <c r="H2553" s="0" t="s">
        <v>149</v>
      </c>
      <c r="I2553" s="0" t="s">
        <v>38</v>
      </c>
      <c r="J2553" s="0" t="s">
        <v>39</v>
      </c>
      <c r="K2553" s="0" t="s">
        <v>30</v>
      </c>
      <c r="L2553" s="0" t="s">
        <v>31</v>
      </c>
      <c r="M2553" s="0" t="s">
        <v>140</v>
      </c>
      <c r="N2553" s="0" t="n">
        <v>613</v>
      </c>
      <c r="O2553" s="10" t="n">
        <v>0.323577796574682</v>
      </c>
      <c r="P2553" s="10" t="n">
        <v>0.601251717889681</v>
      </c>
      <c r="Q2553" s="0" t="str">
        <f aca="false">SUBSTITUTE(SUBSTITUTE($I2553,CHAR(61),""),CHAR(34),"")</f>
        <v>15-24</v>
      </c>
      <c r="R2553" s="0" t="str">
        <f aca="false">IF($D2553&lt;&gt;"","["&amp;$E2553&amp;"]"&amp;"|"&amp;$Q2553&amp;"|"&amp;$K2553&amp;"|"&amp;$G2553&amp;"|"&amp;IF($G2553="TX_CURR_SUBNAT.R","CY2022Q4",$M2553),"")</f>
        <v>[gwVYinjBAe9]|15-24|Female|DIAGNOSED_SUBNAT.T_1|CY2023Q3</v>
      </c>
    </row>
    <row r="2554" customFormat="false" ht="15" hidden="false" customHeight="false" outlineLevel="0" collapsed="false">
      <c r="D2554" s="0" t="s">
        <v>96</v>
      </c>
      <c r="E2554" s="0" t="s">
        <v>97</v>
      </c>
      <c r="F2554" s="0" t="s">
        <v>98</v>
      </c>
      <c r="G2554" s="0" t="s">
        <v>148</v>
      </c>
      <c r="H2554" s="0" t="s">
        <v>149</v>
      </c>
      <c r="I2554" s="0" t="s">
        <v>41</v>
      </c>
      <c r="J2554" s="0" t="s">
        <v>42</v>
      </c>
      <c r="K2554" s="0" t="s">
        <v>30</v>
      </c>
      <c r="L2554" s="0" t="s">
        <v>31</v>
      </c>
      <c r="M2554" s="0" t="s">
        <v>140</v>
      </c>
      <c r="N2554" s="0" t="n">
        <v>572</v>
      </c>
      <c r="O2554" s="10" t="n">
        <v>0.516398125095293</v>
      </c>
      <c r="P2554" s="10" t="n">
        <v>0.601251717889681</v>
      </c>
      <c r="Q2554" s="0" t="str">
        <f aca="false">SUBSTITUTE(SUBSTITUTE($I2554,CHAR(61),""),CHAR(34),"")</f>
        <v>25-34</v>
      </c>
      <c r="R2554" s="0" t="str">
        <f aca="false">IF($D2554&lt;&gt;"","["&amp;$E2554&amp;"]"&amp;"|"&amp;$Q2554&amp;"|"&amp;$K2554&amp;"|"&amp;$G2554&amp;"|"&amp;IF($G2554="TX_CURR_SUBNAT.R","CY2022Q4",$M2554),"")</f>
        <v>[gwVYinjBAe9]|25-34|Female|DIAGNOSED_SUBNAT.T_1|CY2023Q3</v>
      </c>
    </row>
    <row r="2555" customFormat="false" ht="15" hidden="false" customHeight="false" outlineLevel="0" collapsed="false">
      <c r="D2555" s="0" t="s">
        <v>96</v>
      </c>
      <c r="E2555" s="0" t="s">
        <v>97</v>
      </c>
      <c r="F2555" s="0" t="s">
        <v>98</v>
      </c>
      <c r="G2555" s="0" t="s">
        <v>148</v>
      </c>
      <c r="H2555" s="0" t="s">
        <v>149</v>
      </c>
      <c r="I2555" s="0" t="s">
        <v>43</v>
      </c>
      <c r="J2555" s="0" t="s">
        <v>44</v>
      </c>
      <c r="K2555" s="0" t="s">
        <v>30</v>
      </c>
      <c r="L2555" s="0" t="s">
        <v>31</v>
      </c>
      <c r="M2555" s="0" t="s">
        <v>140</v>
      </c>
      <c r="N2555" s="0" t="n">
        <v>1216</v>
      </c>
      <c r="O2555" s="10" t="n">
        <v>0.96989258332178</v>
      </c>
      <c r="P2555" s="10" t="n">
        <v>0.601251717889681</v>
      </c>
      <c r="Q2555" s="0" t="str">
        <f aca="false">SUBSTITUTE(SUBSTITUTE($I2555,CHAR(61),""),CHAR(34),"")</f>
        <v>35-49</v>
      </c>
      <c r="R2555" s="0" t="str">
        <f aca="false">IF($D2555&lt;&gt;"","["&amp;$E2555&amp;"]"&amp;"|"&amp;$Q2555&amp;"|"&amp;$K2555&amp;"|"&amp;$G2555&amp;"|"&amp;IF($G2555="TX_CURR_SUBNAT.R","CY2022Q4",$M2555),"")</f>
        <v>[gwVYinjBAe9]|35-49|Female|DIAGNOSED_SUBNAT.T_1|CY2023Q3</v>
      </c>
    </row>
    <row r="2556" customFormat="false" ht="15" hidden="false" customHeight="false" outlineLevel="0" collapsed="false">
      <c r="D2556" s="0" t="s">
        <v>96</v>
      </c>
      <c r="E2556" s="0" t="s">
        <v>97</v>
      </c>
      <c r="F2556" s="0" t="s">
        <v>98</v>
      </c>
      <c r="G2556" s="0" t="s">
        <v>148</v>
      </c>
      <c r="H2556" s="0" t="s">
        <v>149</v>
      </c>
      <c r="I2556" s="0" t="s">
        <v>45</v>
      </c>
      <c r="J2556" s="0" t="s">
        <v>46</v>
      </c>
      <c r="K2556" s="0" t="s">
        <v>30</v>
      </c>
      <c r="L2556" s="0" t="s">
        <v>31</v>
      </c>
      <c r="M2556" s="0" t="s">
        <v>140</v>
      </c>
      <c r="N2556" s="0" t="n">
        <v>1960</v>
      </c>
      <c r="O2556" s="10" t="n">
        <v>0.719363025622442</v>
      </c>
      <c r="P2556" s="10" t="n">
        <v>0.601251717889681</v>
      </c>
      <c r="Q2556" s="0" t="str">
        <f aca="false">SUBSTITUTE(SUBSTITUTE($I2556,CHAR(61),""),CHAR(34),"")</f>
        <v>50+</v>
      </c>
      <c r="R2556" s="0" t="str">
        <f aca="false">IF($D2556&lt;&gt;"","["&amp;$E2556&amp;"]"&amp;"|"&amp;$Q2556&amp;"|"&amp;$K2556&amp;"|"&amp;$G2556&amp;"|"&amp;IF($G2556="TX_CURR_SUBNAT.R","CY2022Q4",$M2556),"")</f>
        <v>[gwVYinjBAe9]|50+|Female|DIAGNOSED_SUBNAT.T_1|CY2023Q3</v>
      </c>
    </row>
    <row r="2557" customFormat="false" ht="15" hidden="false" customHeight="false" outlineLevel="0" collapsed="false">
      <c r="D2557" s="0" t="s">
        <v>96</v>
      </c>
      <c r="E2557" s="0" t="s">
        <v>97</v>
      </c>
      <c r="F2557" s="0" t="s">
        <v>98</v>
      </c>
      <c r="G2557" s="0" t="s">
        <v>148</v>
      </c>
      <c r="H2557" s="0" t="s">
        <v>149</v>
      </c>
      <c r="I2557" s="0" t="s">
        <v>28</v>
      </c>
      <c r="J2557" s="0" t="s">
        <v>29</v>
      </c>
      <c r="K2557" s="0" t="s">
        <v>48</v>
      </c>
      <c r="L2557" s="0" t="s">
        <v>49</v>
      </c>
      <c r="M2557" s="0" t="s">
        <v>140</v>
      </c>
      <c r="N2557" s="0" t="n">
        <v>816</v>
      </c>
      <c r="O2557" s="10" t="n">
        <v>0.701735225040466</v>
      </c>
      <c r="P2557" s="10" t="n">
        <v>0.601251717889681</v>
      </c>
      <c r="Q2557" s="0" t="str">
        <f aca="false">SUBSTITUTE(SUBSTITUTE($I2557,CHAR(61),""),CHAR(34),"")</f>
        <v>&lt;01</v>
      </c>
      <c r="R2557" s="0" t="str">
        <f aca="false">IF($D2557&lt;&gt;"","["&amp;$E2557&amp;"]"&amp;"|"&amp;$Q2557&amp;"|"&amp;$K2557&amp;"|"&amp;$G2557&amp;"|"&amp;IF($G2557="TX_CURR_SUBNAT.R","CY2022Q4",$M2557),"")</f>
        <v>[gwVYinjBAe9]|&lt;01|Male|DIAGNOSED_SUBNAT.T_1|CY2023Q3</v>
      </c>
    </row>
    <row r="2558" customFormat="false" ht="15" hidden="false" customHeight="false" outlineLevel="0" collapsed="false">
      <c r="D2558" s="0" t="s">
        <v>96</v>
      </c>
      <c r="E2558" s="0" t="s">
        <v>97</v>
      </c>
      <c r="F2558" s="0" t="s">
        <v>98</v>
      </c>
      <c r="G2558" s="0" t="s">
        <v>148</v>
      </c>
      <c r="H2558" s="0" t="s">
        <v>149</v>
      </c>
      <c r="I2558" s="0" t="s">
        <v>33</v>
      </c>
      <c r="J2558" s="0" t="s">
        <v>34</v>
      </c>
      <c r="K2558" s="0" t="s">
        <v>48</v>
      </c>
      <c r="L2558" s="0" t="s">
        <v>49</v>
      </c>
      <c r="M2558" s="0" t="s">
        <v>140</v>
      </c>
      <c r="N2558" s="0" t="n">
        <v>1850</v>
      </c>
      <c r="O2558" s="10" t="n">
        <v>0.644488501828164</v>
      </c>
      <c r="P2558" s="10" t="n">
        <v>0.601251717889681</v>
      </c>
      <c r="Q2558" s="0" t="str">
        <f aca="false">SUBSTITUTE(SUBSTITUTE($I2558,CHAR(61),""),CHAR(34),"")</f>
        <v>01-09</v>
      </c>
      <c r="R2558" s="0" t="str">
        <f aca="false">IF($D2558&lt;&gt;"","["&amp;$E2558&amp;"]"&amp;"|"&amp;$Q2558&amp;"|"&amp;$K2558&amp;"|"&amp;$G2558&amp;"|"&amp;IF($G2558="TX_CURR_SUBNAT.R","CY2022Q4",$M2558),"")</f>
        <v>[gwVYinjBAe9]|01-09|Male|DIAGNOSED_SUBNAT.T_1|CY2023Q3</v>
      </c>
    </row>
    <row r="2559" customFormat="false" ht="15" hidden="false" customHeight="false" outlineLevel="0" collapsed="false">
      <c r="D2559" s="0" t="s">
        <v>96</v>
      </c>
      <c r="E2559" s="0" t="s">
        <v>97</v>
      </c>
      <c r="F2559" s="0" t="s">
        <v>98</v>
      </c>
      <c r="G2559" s="0" t="s">
        <v>148</v>
      </c>
      <c r="H2559" s="0" t="s">
        <v>149</v>
      </c>
      <c r="I2559" s="0" t="s">
        <v>36</v>
      </c>
      <c r="J2559" s="0" t="s">
        <v>37</v>
      </c>
      <c r="K2559" s="0" t="s">
        <v>48</v>
      </c>
      <c r="L2559" s="0" t="s">
        <v>49</v>
      </c>
      <c r="M2559" s="0" t="s">
        <v>140</v>
      </c>
      <c r="N2559" s="0" t="n">
        <v>1294</v>
      </c>
      <c r="O2559" s="10" t="n">
        <v>0.447336409939453</v>
      </c>
      <c r="P2559" s="10" t="n">
        <v>0.601251717889681</v>
      </c>
      <c r="Q2559" s="0" t="str">
        <f aca="false">SUBSTITUTE(SUBSTITUTE($I2559,CHAR(61),""),CHAR(34),"")</f>
        <v>10-14</v>
      </c>
      <c r="R2559" s="0" t="str">
        <f aca="false">IF($D2559&lt;&gt;"","["&amp;$E2559&amp;"]"&amp;"|"&amp;$Q2559&amp;"|"&amp;$K2559&amp;"|"&amp;$G2559&amp;"|"&amp;IF($G2559="TX_CURR_SUBNAT.R","CY2022Q4",$M2559),"")</f>
        <v>[gwVYinjBAe9]|10-14|Male|DIAGNOSED_SUBNAT.T_1|CY2023Q3</v>
      </c>
    </row>
    <row r="2560" customFormat="false" ht="15" hidden="false" customHeight="false" outlineLevel="0" collapsed="false">
      <c r="D2560" s="0" t="s">
        <v>96</v>
      </c>
      <c r="E2560" s="0" t="s">
        <v>97</v>
      </c>
      <c r="F2560" s="0" t="s">
        <v>98</v>
      </c>
      <c r="G2560" s="0" t="s">
        <v>148</v>
      </c>
      <c r="H2560" s="0" t="s">
        <v>149</v>
      </c>
      <c r="I2560" s="0" t="s">
        <v>38</v>
      </c>
      <c r="J2560" s="0" t="s">
        <v>39</v>
      </c>
      <c r="K2560" s="0" t="s">
        <v>48</v>
      </c>
      <c r="L2560" s="0" t="s">
        <v>49</v>
      </c>
      <c r="M2560" s="0" t="s">
        <v>140</v>
      </c>
      <c r="N2560" s="0" t="n">
        <v>1096</v>
      </c>
      <c r="O2560" s="10" t="n">
        <v>0.678449056809768</v>
      </c>
      <c r="P2560" s="10" t="n">
        <v>0.601251717889681</v>
      </c>
      <c r="Q2560" s="0" t="str">
        <f aca="false">SUBSTITUTE(SUBSTITUTE($I2560,CHAR(61),""),CHAR(34),"")</f>
        <v>15-24</v>
      </c>
      <c r="R2560" s="0" t="str">
        <f aca="false">IF($D2560&lt;&gt;"","["&amp;$E2560&amp;"]"&amp;"|"&amp;$Q2560&amp;"|"&amp;$K2560&amp;"|"&amp;$G2560&amp;"|"&amp;IF($G2560="TX_CURR_SUBNAT.R","CY2022Q4",$M2560),"")</f>
        <v>[gwVYinjBAe9]|15-24|Male|DIAGNOSED_SUBNAT.T_1|CY2023Q3</v>
      </c>
    </row>
    <row r="2561" customFormat="false" ht="15" hidden="false" customHeight="false" outlineLevel="0" collapsed="false">
      <c r="D2561" s="0" t="s">
        <v>96</v>
      </c>
      <c r="E2561" s="0" t="s">
        <v>97</v>
      </c>
      <c r="F2561" s="0" t="s">
        <v>98</v>
      </c>
      <c r="G2561" s="0" t="s">
        <v>148</v>
      </c>
      <c r="H2561" s="0" t="s">
        <v>149</v>
      </c>
      <c r="I2561" s="0" t="s">
        <v>41</v>
      </c>
      <c r="J2561" s="0" t="s">
        <v>42</v>
      </c>
      <c r="K2561" s="0" t="s">
        <v>48</v>
      </c>
      <c r="L2561" s="0" t="s">
        <v>49</v>
      </c>
      <c r="M2561" s="0" t="s">
        <v>140</v>
      </c>
      <c r="N2561" s="0" t="n">
        <v>612</v>
      </c>
      <c r="O2561" s="10" t="n">
        <v>0.173881054157391</v>
      </c>
      <c r="P2561" s="10" t="n">
        <v>0.601251717889681</v>
      </c>
      <c r="Q2561" s="0" t="str">
        <f aca="false">SUBSTITUTE(SUBSTITUTE($I2561,CHAR(61),""),CHAR(34),"")</f>
        <v>25-34</v>
      </c>
      <c r="R2561" s="0" t="str">
        <f aca="false">IF($D2561&lt;&gt;"","["&amp;$E2561&amp;"]"&amp;"|"&amp;$Q2561&amp;"|"&amp;$K2561&amp;"|"&amp;$G2561&amp;"|"&amp;IF($G2561="TX_CURR_SUBNAT.R","CY2022Q4",$M2561),"")</f>
        <v>[gwVYinjBAe9]|25-34|Male|DIAGNOSED_SUBNAT.T_1|CY2023Q3</v>
      </c>
    </row>
    <row r="2562" customFormat="false" ht="15" hidden="false" customHeight="false" outlineLevel="0" collapsed="false">
      <c r="D2562" s="0" t="s">
        <v>96</v>
      </c>
      <c r="E2562" s="0" t="s">
        <v>97</v>
      </c>
      <c r="F2562" s="0" t="s">
        <v>98</v>
      </c>
      <c r="G2562" s="0" t="s">
        <v>148</v>
      </c>
      <c r="H2562" s="0" t="s">
        <v>149</v>
      </c>
      <c r="I2562" s="0" t="s">
        <v>43</v>
      </c>
      <c r="J2562" s="0" t="s">
        <v>44</v>
      </c>
      <c r="K2562" s="0" t="s">
        <v>48</v>
      </c>
      <c r="L2562" s="0" t="s">
        <v>49</v>
      </c>
      <c r="M2562" s="0" t="s">
        <v>140</v>
      </c>
      <c r="N2562" s="0" t="n">
        <v>1459</v>
      </c>
      <c r="O2562" s="10" t="n">
        <v>0.619140524649993</v>
      </c>
      <c r="P2562" s="10" t="n">
        <v>0.601251717889681</v>
      </c>
      <c r="Q2562" s="0" t="str">
        <f aca="false">SUBSTITUTE(SUBSTITUTE($I2562,CHAR(61),""),CHAR(34),"")</f>
        <v>35-49</v>
      </c>
      <c r="R2562" s="0" t="str">
        <f aca="false">IF($D2562&lt;&gt;"","["&amp;$E2562&amp;"]"&amp;"|"&amp;$Q2562&amp;"|"&amp;$K2562&amp;"|"&amp;$G2562&amp;"|"&amp;IF($G2562="TX_CURR_SUBNAT.R","CY2022Q4",$M2562),"")</f>
        <v>[gwVYinjBAe9]|35-49|Male|DIAGNOSED_SUBNAT.T_1|CY2023Q3</v>
      </c>
    </row>
    <row r="2563" customFormat="false" ht="15" hidden="false" customHeight="false" outlineLevel="0" collapsed="false">
      <c r="D2563" s="0" t="s">
        <v>96</v>
      </c>
      <c r="E2563" s="0" t="s">
        <v>97</v>
      </c>
      <c r="F2563" s="0" t="s">
        <v>98</v>
      </c>
      <c r="G2563" s="0" t="s">
        <v>148</v>
      </c>
      <c r="H2563" s="0" t="s">
        <v>149</v>
      </c>
      <c r="I2563" s="0" t="s">
        <v>45</v>
      </c>
      <c r="J2563" s="0" t="s">
        <v>46</v>
      </c>
      <c r="K2563" s="0" t="s">
        <v>48</v>
      </c>
      <c r="L2563" s="0" t="s">
        <v>49</v>
      </c>
      <c r="M2563" s="0" t="s">
        <v>140</v>
      </c>
      <c r="N2563" s="0" t="n">
        <v>1461</v>
      </c>
      <c r="O2563" s="10" t="n">
        <v>0.295340246753767</v>
      </c>
      <c r="P2563" s="10" t="n">
        <v>0.601251717889681</v>
      </c>
      <c r="Q2563" s="0" t="str">
        <f aca="false">SUBSTITUTE(SUBSTITUTE($I2563,CHAR(61),""),CHAR(34),"")</f>
        <v>50+</v>
      </c>
      <c r="R2563" s="0" t="str">
        <f aca="false">IF($D2563&lt;&gt;"","["&amp;$E2563&amp;"]"&amp;"|"&amp;$Q2563&amp;"|"&amp;$K2563&amp;"|"&amp;$G2563&amp;"|"&amp;IF($G2563="TX_CURR_SUBNAT.R","CY2022Q4",$M2563),"")</f>
        <v>[gwVYinjBAe9]|50+|Male|DIAGNOSED_SUBNAT.T_1|CY2023Q3</v>
      </c>
    </row>
    <row r="2564" customFormat="false" ht="15" hidden="false" customHeight="false" outlineLevel="0" collapsed="false">
      <c r="D2564" s="0" t="s">
        <v>99</v>
      </c>
      <c r="E2564" s="0" t="s">
        <v>100</v>
      </c>
      <c r="F2564" s="0" t="s">
        <v>101</v>
      </c>
      <c r="G2564" s="0" t="s">
        <v>148</v>
      </c>
      <c r="H2564" s="0" t="s">
        <v>149</v>
      </c>
      <c r="I2564" s="0" t="s">
        <v>28</v>
      </c>
      <c r="J2564" s="0" t="s">
        <v>29</v>
      </c>
      <c r="K2564" s="0" t="s">
        <v>30</v>
      </c>
      <c r="L2564" s="0" t="s">
        <v>31</v>
      </c>
      <c r="M2564" s="0" t="s">
        <v>140</v>
      </c>
      <c r="N2564" s="0" t="n">
        <v>1204</v>
      </c>
      <c r="O2564" s="10" t="n">
        <v>0.692982111126184</v>
      </c>
      <c r="P2564" s="10" t="n">
        <v>0.577288038097322</v>
      </c>
      <c r="Q2564" s="0" t="str">
        <f aca="false">SUBSTITUTE(SUBSTITUTE($I2564,CHAR(61),""),CHAR(34),"")</f>
        <v>&lt;01</v>
      </c>
      <c r="R2564" s="0" t="str">
        <f aca="false">IF($D2564&lt;&gt;"","["&amp;$E2564&amp;"]"&amp;"|"&amp;$Q2564&amp;"|"&amp;$K2564&amp;"|"&amp;$G2564&amp;"|"&amp;IF($G2564="TX_CURR_SUBNAT.R","CY2022Q4",$M2564),"")</f>
        <v>[mxqa3CDFmIT]|&lt;01|Female|DIAGNOSED_SUBNAT.T_1|CY2023Q3</v>
      </c>
    </row>
    <row r="2565" customFormat="false" ht="15" hidden="false" customHeight="false" outlineLevel="0" collapsed="false">
      <c r="D2565" s="0" t="s">
        <v>99</v>
      </c>
      <c r="E2565" s="0" t="s">
        <v>100</v>
      </c>
      <c r="F2565" s="0" t="s">
        <v>101</v>
      </c>
      <c r="G2565" s="0" t="s">
        <v>148</v>
      </c>
      <c r="H2565" s="0" t="s">
        <v>149</v>
      </c>
      <c r="I2565" s="0" t="s">
        <v>33</v>
      </c>
      <c r="J2565" s="0" t="s">
        <v>34</v>
      </c>
      <c r="K2565" s="0" t="s">
        <v>30</v>
      </c>
      <c r="L2565" s="0" t="s">
        <v>31</v>
      </c>
      <c r="M2565" s="0" t="s">
        <v>140</v>
      </c>
      <c r="N2565" s="0" t="n">
        <v>1544</v>
      </c>
      <c r="O2565" s="10" t="n">
        <v>0.883676911471412</v>
      </c>
      <c r="P2565" s="10" t="n">
        <v>0.577288038097322</v>
      </c>
      <c r="Q2565" s="0" t="str">
        <f aca="false">SUBSTITUTE(SUBSTITUTE($I2565,CHAR(61),""),CHAR(34),"")</f>
        <v>01-09</v>
      </c>
      <c r="R2565" s="0" t="str">
        <f aca="false">IF($D2565&lt;&gt;"","["&amp;$E2565&amp;"]"&amp;"|"&amp;$Q2565&amp;"|"&amp;$K2565&amp;"|"&amp;$G2565&amp;"|"&amp;IF($G2565="TX_CURR_SUBNAT.R","CY2022Q4",$M2565),"")</f>
        <v>[mxqa3CDFmIT]|01-09|Female|DIAGNOSED_SUBNAT.T_1|CY2023Q3</v>
      </c>
    </row>
    <row r="2566" customFormat="false" ht="15" hidden="false" customHeight="false" outlineLevel="0" collapsed="false">
      <c r="D2566" s="0" t="s">
        <v>99</v>
      </c>
      <c r="E2566" s="0" t="s">
        <v>100</v>
      </c>
      <c r="F2566" s="0" t="s">
        <v>101</v>
      </c>
      <c r="G2566" s="0" t="s">
        <v>148</v>
      </c>
      <c r="H2566" s="0" t="s">
        <v>149</v>
      </c>
      <c r="I2566" s="0" t="s">
        <v>36</v>
      </c>
      <c r="J2566" s="0" t="s">
        <v>37</v>
      </c>
      <c r="K2566" s="0" t="s">
        <v>30</v>
      </c>
      <c r="L2566" s="0" t="s">
        <v>31</v>
      </c>
      <c r="M2566" s="0" t="s">
        <v>140</v>
      </c>
      <c r="N2566" s="0" t="n">
        <v>918</v>
      </c>
      <c r="O2566" s="10" t="n">
        <v>0.10165659408085</v>
      </c>
      <c r="P2566" s="10" t="n">
        <v>0.577288038097322</v>
      </c>
      <c r="Q2566" s="0" t="str">
        <f aca="false">SUBSTITUTE(SUBSTITUTE($I2566,CHAR(61),""),CHAR(34),"")</f>
        <v>10-14</v>
      </c>
      <c r="R2566" s="0" t="str">
        <f aca="false">IF($D2566&lt;&gt;"","["&amp;$E2566&amp;"]"&amp;"|"&amp;$Q2566&amp;"|"&amp;$K2566&amp;"|"&amp;$G2566&amp;"|"&amp;IF($G2566="TX_CURR_SUBNAT.R","CY2022Q4",$M2566),"")</f>
        <v>[mxqa3CDFmIT]|10-14|Female|DIAGNOSED_SUBNAT.T_1|CY2023Q3</v>
      </c>
    </row>
    <row r="2567" customFormat="false" ht="15" hidden="false" customHeight="false" outlineLevel="0" collapsed="false">
      <c r="D2567" s="0" t="s">
        <v>99</v>
      </c>
      <c r="E2567" s="0" t="s">
        <v>100</v>
      </c>
      <c r="F2567" s="0" t="s">
        <v>101</v>
      </c>
      <c r="G2567" s="0" t="s">
        <v>148</v>
      </c>
      <c r="H2567" s="0" t="s">
        <v>149</v>
      </c>
      <c r="I2567" s="0" t="s">
        <v>38</v>
      </c>
      <c r="J2567" s="0" t="s">
        <v>39</v>
      </c>
      <c r="K2567" s="0" t="s">
        <v>30</v>
      </c>
      <c r="L2567" s="0" t="s">
        <v>31</v>
      </c>
      <c r="M2567" s="0" t="s">
        <v>140</v>
      </c>
      <c r="N2567" s="0" t="n">
        <v>1140</v>
      </c>
      <c r="O2567" s="10" t="n">
        <v>0.05716677964665</v>
      </c>
      <c r="P2567" s="10" t="n">
        <v>0.577288038097322</v>
      </c>
      <c r="Q2567" s="0" t="str">
        <f aca="false">SUBSTITUTE(SUBSTITUTE($I2567,CHAR(61),""),CHAR(34),"")</f>
        <v>15-24</v>
      </c>
      <c r="R2567" s="0" t="str">
        <f aca="false">IF($D2567&lt;&gt;"","["&amp;$E2567&amp;"]"&amp;"|"&amp;$Q2567&amp;"|"&amp;$K2567&amp;"|"&amp;$G2567&amp;"|"&amp;IF($G2567="TX_CURR_SUBNAT.R","CY2022Q4",$M2567),"")</f>
        <v>[mxqa3CDFmIT]|15-24|Female|DIAGNOSED_SUBNAT.T_1|CY2023Q3</v>
      </c>
    </row>
    <row r="2568" customFormat="false" ht="15" hidden="false" customHeight="false" outlineLevel="0" collapsed="false">
      <c r="D2568" s="0" t="s">
        <v>99</v>
      </c>
      <c r="E2568" s="0" t="s">
        <v>100</v>
      </c>
      <c r="F2568" s="0" t="s">
        <v>101</v>
      </c>
      <c r="G2568" s="0" t="s">
        <v>148</v>
      </c>
      <c r="H2568" s="0" t="s">
        <v>149</v>
      </c>
      <c r="I2568" s="0" t="s">
        <v>41</v>
      </c>
      <c r="J2568" s="0" t="s">
        <v>42</v>
      </c>
      <c r="K2568" s="0" t="s">
        <v>30</v>
      </c>
      <c r="L2568" s="0" t="s">
        <v>31</v>
      </c>
      <c r="M2568" s="0" t="s">
        <v>140</v>
      </c>
      <c r="N2568" s="0" t="n">
        <v>1464</v>
      </c>
      <c r="O2568" s="10" t="n">
        <v>0.1536986741703</v>
      </c>
      <c r="P2568" s="10" t="n">
        <v>0.577288038097322</v>
      </c>
      <c r="Q2568" s="0" t="str">
        <f aca="false">SUBSTITUTE(SUBSTITUTE($I2568,CHAR(61),""),CHAR(34),"")</f>
        <v>25-34</v>
      </c>
      <c r="R2568" s="0" t="str">
        <f aca="false">IF($D2568&lt;&gt;"","["&amp;$E2568&amp;"]"&amp;"|"&amp;$Q2568&amp;"|"&amp;$K2568&amp;"|"&amp;$G2568&amp;"|"&amp;IF($G2568="TX_CURR_SUBNAT.R","CY2022Q4",$M2568),"")</f>
        <v>[mxqa3CDFmIT]|25-34|Female|DIAGNOSED_SUBNAT.T_1|CY2023Q3</v>
      </c>
    </row>
    <row r="2569" customFormat="false" ht="15" hidden="false" customHeight="false" outlineLevel="0" collapsed="false">
      <c r="D2569" s="0" t="s">
        <v>99</v>
      </c>
      <c r="E2569" s="0" t="s">
        <v>100</v>
      </c>
      <c r="F2569" s="0" t="s">
        <v>101</v>
      </c>
      <c r="G2569" s="0" t="s">
        <v>148</v>
      </c>
      <c r="H2569" s="0" t="s">
        <v>149</v>
      </c>
      <c r="I2569" s="0" t="s">
        <v>43</v>
      </c>
      <c r="J2569" s="0" t="s">
        <v>44</v>
      </c>
      <c r="K2569" s="0" t="s">
        <v>30</v>
      </c>
      <c r="L2569" s="0" t="s">
        <v>31</v>
      </c>
      <c r="M2569" s="0" t="s">
        <v>140</v>
      </c>
      <c r="N2569" s="0" t="n">
        <v>1023</v>
      </c>
      <c r="O2569" s="10" t="n">
        <v>0.040802780771628</v>
      </c>
      <c r="P2569" s="10" t="n">
        <v>0.577288038097322</v>
      </c>
      <c r="Q2569" s="0" t="str">
        <f aca="false">SUBSTITUTE(SUBSTITUTE($I2569,CHAR(61),""),CHAR(34),"")</f>
        <v>35-49</v>
      </c>
      <c r="R2569" s="0" t="str">
        <f aca="false">IF($D2569&lt;&gt;"","["&amp;$E2569&amp;"]"&amp;"|"&amp;$Q2569&amp;"|"&amp;$K2569&amp;"|"&amp;$G2569&amp;"|"&amp;IF($G2569="TX_CURR_SUBNAT.R","CY2022Q4",$M2569),"")</f>
        <v>[mxqa3CDFmIT]|35-49|Female|DIAGNOSED_SUBNAT.T_1|CY2023Q3</v>
      </c>
    </row>
    <row r="2570" customFormat="false" ht="15" hidden="false" customHeight="false" outlineLevel="0" collapsed="false">
      <c r="D2570" s="0" t="s">
        <v>99</v>
      </c>
      <c r="E2570" s="0" t="s">
        <v>100</v>
      </c>
      <c r="F2570" s="0" t="s">
        <v>101</v>
      </c>
      <c r="G2570" s="0" t="s">
        <v>148</v>
      </c>
      <c r="H2570" s="0" t="s">
        <v>149</v>
      </c>
      <c r="I2570" s="0" t="s">
        <v>45</v>
      </c>
      <c r="J2570" s="0" t="s">
        <v>46</v>
      </c>
      <c r="K2570" s="0" t="s">
        <v>30</v>
      </c>
      <c r="L2570" s="0" t="s">
        <v>31</v>
      </c>
      <c r="M2570" s="0" t="s">
        <v>140</v>
      </c>
      <c r="N2570" s="0" t="n">
        <v>1305</v>
      </c>
      <c r="O2570" s="10" t="n">
        <v>0.0384516608901322</v>
      </c>
      <c r="P2570" s="10" t="n">
        <v>0.577288038097322</v>
      </c>
      <c r="Q2570" s="0" t="str">
        <f aca="false">SUBSTITUTE(SUBSTITUTE($I2570,CHAR(61),""),CHAR(34),"")</f>
        <v>50+</v>
      </c>
      <c r="R2570" s="0" t="str">
        <f aca="false">IF($D2570&lt;&gt;"","["&amp;$E2570&amp;"]"&amp;"|"&amp;$Q2570&amp;"|"&amp;$K2570&amp;"|"&amp;$G2570&amp;"|"&amp;IF($G2570="TX_CURR_SUBNAT.R","CY2022Q4",$M2570),"")</f>
        <v>[mxqa3CDFmIT]|50+|Female|DIAGNOSED_SUBNAT.T_1|CY2023Q3</v>
      </c>
    </row>
    <row r="2571" customFormat="false" ht="15" hidden="false" customHeight="false" outlineLevel="0" collapsed="false">
      <c r="D2571" s="0" t="s">
        <v>99</v>
      </c>
      <c r="E2571" s="0" t="s">
        <v>100</v>
      </c>
      <c r="F2571" s="0" t="s">
        <v>101</v>
      </c>
      <c r="G2571" s="0" t="s">
        <v>148</v>
      </c>
      <c r="H2571" s="0" t="s">
        <v>149</v>
      </c>
      <c r="I2571" s="0" t="s">
        <v>28</v>
      </c>
      <c r="J2571" s="0" t="s">
        <v>29</v>
      </c>
      <c r="K2571" s="0" t="s">
        <v>48</v>
      </c>
      <c r="L2571" s="0" t="s">
        <v>49</v>
      </c>
      <c r="M2571" s="0" t="s">
        <v>140</v>
      </c>
      <c r="N2571" s="0" t="n">
        <v>531</v>
      </c>
      <c r="O2571" s="10" t="n">
        <v>0.316599618177861</v>
      </c>
      <c r="P2571" s="10" t="n">
        <v>0.577288038097322</v>
      </c>
      <c r="Q2571" s="0" t="str">
        <f aca="false">SUBSTITUTE(SUBSTITUTE($I2571,CHAR(61),""),CHAR(34),"")</f>
        <v>&lt;01</v>
      </c>
      <c r="R2571" s="0" t="str">
        <f aca="false">IF($D2571&lt;&gt;"","["&amp;$E2571&amp;"]"&amp;"|"&amp;$Q2571&amp;"|"&amp;$K2571&amp;"|"&amp;$G2571&amp;"|"&amp;IF($G2571="TX_CURR_SUBNAT.R","CY2022Q4",$M2571),"")</f>
        <v>[mxqa3CDFmIT]|&lt;01|Male|DIAGNOSED_SUBNAT.T_1|CY2023Q3</v>
      </c>
    </row>
    <row r="2572" customFormat="false" ht="15" hidden="false" customHeight="false" outlineLevel="0" collapsed="false">
      <c r="D2572" s="0" t="s">
        <v>99</v>
      </c>
      <c r="E2572" s="0" t="s">
        <v>100</v>
      </c>
      <c r="F2572" s="0" t="s">
        <v>101</v>
      </c>
      <c r="G2572" s="0" t="s">
        <v>148</v>
      </c>
      <c r="H2572" s="0" t="s">
        <v>149</v>
      </c>
      <c r="I2572" s="0" t="s">
        <v>33</v>
      </c>
      <c r="J2572" s="0" t="s">
        <v>34</v>
      </c>
      <c r="K2572" s="0" t="s">
        <v>48</v>
      </c>
      <c r="L2572" s="0" t="s">
        <v>49</v>
      </c>
      <c r="M2572" s="0" t="s">
        <v>140</v>
      </c>
      <c r="N2572" s="0" t="n">
        <v>1314</v>
      </c>
      <c r="O2572" s="10" t="n">
        <v>0.7452613778878</v>
      </c>
      <c r="P2572" s="10" t="n">
        <v>0.577288038097322</v>
      </c>
      <c r="Q2572" s="0" t="str">
        <f aca="false">SUBSTITUTE(SUBSTITUTE($I2572,CHAR(61),""),CHAR(34),"")</f>
        <v>01-09</v>
      </c>
      <c r="R2572" s="0" t="str">
        <f aca="false">IF($D2572&lt;&gt;"","["&amp;$E2572&amp;"]"&amp;"|"&amp;$Q2572&amp;"|"&amp;$K2572&amp;"|"&amp;$G2572&amp;"|"&amp;IF($G2572="TX_CURR_SUBNAT.R","CY2022Q4",$M2572),"")</f>
        <v>[mxqa3CDFmIT]|01-09|Male|DIAGNOSED_SUBNAT.T_1|CY2023Q3</v>
      </c>
    </row>
    <row r="2573" customFormat="false" ht="15" hidden="false" customHeight="false" outlineLevel="0" collapsed="false">
      <c r="D2573" s="0" t="s">
        <v>99</v>
      </c>
      <c r="E2573" s="0" t="s">
        <v>100</v>
      </c>
      <c r="F2573" s="0" t="s">
        <v>101</v>
      </c>
      <c r="G2573" s="0" t="s">
        <v>148</v>
      </c>
      <c r="H2573" s="0" t="s">
        <v>149</v>
      </c>
      <c r="I2573" s="0" t="s">
        <v>36</v>
      </c>
      <c r="J2573" s="0" t="s">
        <v>37</v>
      </c>
      <c r="K2573" s="0" t="s">
        <v>48</v>
      </c>
      <c r="L2573" s="0" t="s">
        <v>49</v>
      </c>
      <c r="M2573" s="0" t="s">
        <v>140</v>
      </c>
      <c r="N2573" s="0" t="n">
        <v>786</v>
      </c>
      <c r="O2573" s="10" t="n">
        <v>0.224626894807443</v>
      </c>
      <c r="P2573" s="10" t="n">
        <v>0.577288038097322</v>
      </c>
      <c r="Q2573" s="0" t="str">
        <f aca="false">SUBSTITUTE(SUBSTITUTE($I2573,CHAR(61),""),CHAR(34),"")</f>
        <v>10-14</v>
      </c>
      <c r="R2573" s="0" t="str">
        <f aca="false">IF($D2573&lt;&gt;"","["&amp;$E2573&amp;"]"&amp;"|"&amp;$Q2573&amp;"|"&amp;$K2573&amp;"|"&amp;$G2573&amp;"|"&amp;IF($G2573="TX_CURR_SUBNAT.R","CY2022Q4",$M2573),"")</f>
        <v>[mxqa3CDFmIT]|10-14|Male|DIAGNOSED_SUBNAT.T_1|CY2023Q3</v>
      </c>
    </row>
    <row r="2574" customFormat="false" ht="15" hidden="false" customHeight="false" outlineLevel="0" collapsed="false">
      <c r="D2574" s="0" t="s">
        <v>99</v>
      </c>
      <c r="E2574" s="0" t="s">
        <v>100</v>
      </c>
      <c r="F2574" s="0" t="s">
        <v>101</v>
      </c>
      <c r="G2574" s="0" t="s">
        <v>148</v>
      </c>
      <c r="H2574" s="0" t="s">
        <v>149</v>
      </c>
      <c r="I2574" s="0" t="s">
        <v>38</v>
      </c>
      <c r="J2574" s="0" t="s">
        <v>39</v>
      </c>
      <c r="K2574" s="0" t="s">
        <v>48</v>
      </c>
      <c r="L2574" s="0" t="s">
        <v>49</v>
      </c>
      <c r="M2574" s="0" t="s">
        <v>140</v>
      </c>
      <c r="N2574" s="0" t="n">
        <v>634</v>
      </c>
      <c r="O2574" s="10" t="n">
        <v>0.153767752461135</v>
      </c>
      <c r="P2574" s="10" t="n">
        <v>0.577288038097322</v>
      </c>
      <c r="Q2574" s="0" t="str">
        <f aca="false">SUBSTITUTE(SUBSTITUTE($I2574,CHAR(61),""),CHAR(34),"")</f>
        <v>15-24</v>
      </c>
      <c r="R2574" s="0" t="str">
        <f aca="false">IF($D2574&lt;&gt;"","["&amp;$E2574&amp;"]"&amp;"|"&amp;$Q2574&amp;"|"&amp;$K2574&amp;"|"&amp;$G2574&amp;"|"&amp;IF($G2574="TX_CURR_SUBNAT.R","CY2022Q4",$M2574),"")</f>
        <v>[mxqa3CDFmIT]|15-24|Male|DIAGNOSED_SUBNAT.T_1|CY2023Q3</v>
      </c>
    </row>
    <row r="2575" customFormat="false" ht="15" hidden="false" customHeight="false" outlineLevel="0" collapsed="false">
      <c r="D2575" s="0" t="s">
        <v>99</v>
      </c>
      <c r="E2575" s="0" t="s">
        <v>100</v>
      </c>
      <c r="F2575" s="0" t="s">
        <v>101</v>
      </c>
      <c r="G2575" s="0" t="s">
        <v>148</v>
      </c>
      <c r="H2575" s="0" t="s">
        <v>149</v>
      </c>
      <c r="I2575" s="0" t="s">
        <v>41</v>
      </c>
      <c r="J2575" s="0" t="s">
        <v>42</v>
      </c>
      <c r="K2575" s="0" t="s">
        <v>48</v>
      </c>
      <c r="L2575" s="0" t="s">
        <v>49</v>
      </c>
      <c r="M2575" s="0" t="s">
        <v>140</v>
      </c>
      <c r="N2575" s="0" t="n">
        <v>835</v>
      </c>
      <c r="O2575" s="10" t="n">
        <v>0.24715181440115</v>
      </c>
      <c r="P2575" s="10" t="n">
        <v>0.577288038097322</v>
      </c>
      <c r="Q2575" s="0" t="str">
        <f aca="false">SUBSTITUTE(SUBSTITUTE($I2575,CHAR(61),""),CHAR(34),"")</f>
        <v>25-34</v>
      </c>
      <c r="R2575" s="0" t="str">
        <f aca="false">IF($D2575&lt;&gt;"","["&amp;$E2575&amp;"]"&amp;"|"&amp;$Q2575&amp;"|"&amp;$K2575&amp;"|"&amp;$G2575&amp;"|"&amp;IF($G2575="TX_CURR_SUBNAT.R","CY2022Q4",$M2575),"")</f>
        <v>[mxqa3CDFmIT]|25-34|Male|DIAGNOSED_SUBNAT.T_1|CY2023Q3</v>
      </c>
    </row>
    <row r="2576" customFormat="false" ht="15" hidden="false" customHeight="false" outlineLevel="0" collapsed="false">
      <c r="D2576" s="0" t="s">
        <v>99</v>
      </c>
      <c r="E2576" s="0" t="s">
        <v>100</v>
      </c>
      <c r="F2576" s="0" t="s">
        <v>101</v>
      </c>
      <c r="G2576" s="0" t="s">
        <v>148</v>
      </c>
      <c r="H2576" s="0" t="s">
        <v>149</v>
      </c>
      <c r="I2576" s="0" t="s">
        <v>43</v>
      </c>
      <c r="J2576" s="0" t="s">
        <v>44</v>
      </c>
      <c r="K2576" s="0" t="s">
        <v>48</v>
      </c>
      <c r="L2576" s="0" t="s">
        <v>49</v>
      </c>
      <c r="M2576" s="0" t="s">
        <v>140</v>
      </c>
      <c r="N2576" s="0" t="n">
        <v>1615</v>
      </c>
      <c r="O2576" s="10" t="n">
        <v>0.0281378594227135</v>
      </c>
      <c r="P2576" s="10" t="n">
        <v>0.577288038097322</v>
      </c>
      <c r="Q2576" s="0" t="str">
        <f aca="false">SUBSTITUTE(SUBSTITUTE($I2576,CHAR(61),""),CHAR(34),"")</f>
        <v>35-49</v>
      </c>
      <c r="R2576" s="0" t="str">
        <f aca="false">IF($D2576&lt;&gt;"","["&amp;$E2576&amp;"]"&amp;"|"&amp;$Q2576&amp;"|"&amp;$K2576&amp;"|"&amp;$G2576&amp;"|"&amp;IF($G2576="TX_CURR_SUBNAT.R","CY2022Q4",$M2576),"")</f>
        <v>[mxqa3CDFmIT]|35-49|Male|DIAGNOSED_SUBNAT.T_1|CY2023Q3</v>
      </c>
    </row>
    <row r="2577" customFormat="false" ht="15" hidden="false" customHeight="false" outlineLevel="0" collapsed="false">
      <c r="D2577" s="0" t="s">
        <v>99</v>
      </c>
      <c r="E2577" s="0" t="s">
        <v>100</v>
      </c>
      <c r="F2577" s="0" t="s">
        <v>101</v>
      </c>
      <c r="G2577" s="0" t="s">
        <v>148</v>
      </c>
      <c r="H2577" s="0" t="s">
        <v>149</v>
      </c>
      <c r="I2577" s="0" t="s">
        <v>45</v>
      </c>
      <c r="J2577" s="0" t="s">
        <v>46</v>
      </c>
      <c r="K2577" s="0" t="s">
        <v>48</v>
      </c>
      <c r="L2577" s="0" t="s">
        <v>49</v>
      </c>
      <c r="M2577" s="0" t="s">
        <v>140</v>
      </c>
      <c r="N2577" s="0" t="n">
        <v>1038</v>
      </c>
      <c r="O2577" s="10" t="n">
        <v>0.806151079712436</v>
      </c>
      <c r="P2577" s="10" t="n">
        <v>0.577288038097322</v>
      </c>
      <c r="Q2577" s="0" t="str">
        <f aca="false">SUBSTITUTE(SUBSTITUTE($I2577,CHAR(61),""),CHAR(34),"")</f>
        <v>50+</v>
      </c>
      <c r="R2577" s="0" t="str">
        <f aca="false">IF($D2577&lt;&gt;"","["&amp;$E2577&amp;"]"&amp;"|"&amp;$Q2577&amp;"|"&amp;$K2577&amp;"|"&amp;$G2577&amp;"|"&amp;IF($G2577="TX_CURR_SUBNAT.R","CY2022Q4",$M2577),"")</f>
        <v>[mxqa3CDFmIT]|50+|Male|DIAGNOSED_SUBNAT.T_1|CY2023Q3</v>
      </c>
    </row>
    <row r="2578" customFormat="false" ht="15" hidden="false" customHeight="false" outlineLevel="0" collapsed="false">
      <c r="D2578" s="0" t="s">
        <v>102</v>
      </c>
      <c r="E2578" s="0" t="s">
        <v>103</v>
      </c>
      <c r="F2578" s="0" t="s">
        <v>104</v>
      </c>
      <c r="G2578" s="0" t="s">
        <v>148</v>
      </c>
      <c r="H2578" s="0" t="s">
        <v>149</v>
      </c>
      <c r="I2578" s="0" t="s">
        <v>28</v>
      </c>
      <c r="J2578" s="0" t="s">
        <v>29</v>
      </c>
      <c r="K2578" s="0" t="s">
        <v>30</v>
      </c>
      <c r="L2578" s="0" t="s">
        <v>31</v>
      </c>
      <c r="M2578" s="0" t="s">
        <v>140</v>
      </c>
      <c r="N2578" s="0" t="n">
        <v>1103</v>
      </c>
      <c r="O2578" s="10" t="n">
        <v>0.632844802923501</v>
      </c>
      <c r="P2578" s="10" t="n">
        <v>0.526212359312922</v>
      </c>
      <c r="Q2578" s="0" t="str">
        <f aca="false">SUBSTITUTE(SUBSTITUTE($I2578,CHAR(61),""),CHAR(34),"")</f>
        <v>&lt;01</v>
      </c>
      <c r="R2578" s="0" t="str">
        <f aca="false">IF($D2578&lt;&gt;"","["&amp;$E2578&amp;"]"&amp;"|"&amp;$Q2578&amp;"|"&amp;$K2578&amp;"|"&amp;$G2578&amp;"|"&amp;IF($G2578="TX_CURR_SUBNAT.R","CY2022Q4",$M2578),"")</f>
        <v>[wNqJp8oRIcF]|&lt;01|Female|DIAGNOSED_SUBNAT.T_1|CY2023Q3</v>
      </c>
    </row>
    <row r="2579" customFormat="false" ht="15" hidden="false" customHeight="false" outlineLevel="0" collapsed="false">
      <c r="D2579" s="0" t="s">
        <v>102</v>
      </c>
      <c r="E2579" s="0" t="s">
        <v>103</v>
      </c>
      <c r="F2579" s="0" t="s">
        <v>104</v>
      </c>
      <c r="G2579" s="0" t="s">
        <v>148</v>
      </c>
      <c r="H2579" s="0" t="s">
        <v>149</v>
      </c>
      <c r="I2579" s="0" t="s">
        <v>33</v>
      </c>
      <c r="J2579" s="0" t="s">
        <v>34</v>
      </c>
      <c r="K2579" s="0" t="s">
        <v>30</v>
      </c>
      <c r="L2579" s="0" t="s">
        <v>31</v>
      </c>
      <c r="M2579" s="0" t="s">
        <v>140</v>
      </c>
      <c r="N2579" s="0" t="n">
        <v>1954</v>
      </c>
      <c r="O2579" s="10" t="n">
        <v>0.99559101741761</v>
      </c>
      <c r="P2579" s="10" t="n">
        <v>0.526212359312922</v>
      </c>
      <c r="Q2579" s="0" t="str">
        <f aca="false">SUBSTITUTE(SUBSTITUTE($I2579,CHAR(61),""),CHAR(34),"")</f>
        <v>01-09</v>
      </c>
      <c r="R2579" s="0" t="str">
        <f aca="false">IF($D2579&lt;&gt;"","["&amp;$E2579&amp;"]"&amp;"|"&amp;$Q2579&amp;"|"&amp;$K2579&amp;"|"&amp;$G2579&amp;"|"&amp;IF($G2579="TX_CURR_SUBNAT.R","CY2022Q4",$M2579),"")</f>
        <v>[wNqJp8oRIcF]|01-09|Female|DIAGNOSED_SUBNAT.T_1|CY2023Q3</v>
      </c>
    </row>
    <row r="2580" customFormat="false" ht="15" hidden="false" customHeight="false" outlineLevel="0" collapsed="false">
      <c r="D2580" s="0" t="s">
        <v>102</v>
      </c>
      <c r="E2580" s="0" t="s">
        <v>103</v>
      </c>
      <c r="F2580" s="0" t="s">
        <v>104</v>
      </c>
      <c r="G2580" s="0" t="s">
        <v>148</v>
      </c>
      <c r="H2580" s="0" t="s">
        <v>149</v>
      </c>
      <c r="I2580" s="0" t="s">
        <v>36</v>
      </c>
      <c r="J2580" s="0" t="s">
        <v>37</v>
      </c>
      <c r="K2580" s="0" t="s">
        <v>30</v>
      </c>
      <c r="L2580" s="0" t="s">
        <v>31</v>
      </c>
      <c r="M2580" s="0" t="s">
        <v>140</v>
      </c>
      <c r="N2580" s="0" t="n">
        <v>1386</v>
      </c>
      <c r="O2580" s="10" t="n">
        <v>0.974957211874425</v>
      </c>
      <c r="P2580" s="10" t="n">
        <v>0.526212359312922</v>
      </c>
      <c r="Q2580" s="0" t="str">
        <f aca="false">SUBSTITUTE(SUBSTITUTE($I2580,CHAR(61),""),CHAR(34),"")</f>
        <v>10-14</v>
      </c>
      <c r="R2580" s="0" t="str">
        <f aca="false">IF($D2580&lt;&gt;"","["&amp;$E2580&amp;"]"&amp;"|"&amp;$Q2580&amp;"|"&amp;$K2580&amp;"|"&amp;$G2580&amp;"|"&amp;IF($G2580="TX_CURR_SUBNAT.R","CY2022Q4",$M2580),"")</f>
        <v>[wNqJp8oRIcF]|10-14|Female|DIAGNOSED_SUBNAT.T_1|CY2023Q3</v>
      </c>
    </row>
    <row r="2581" customFormat="false" ht="15" hidden="false" customHeight="false" outlineLevel="0" collapsed="false">
      <c r="D2581" s="0" t="s">
        <v>102</v>
      </c>
      <c r="E2581" s="0" t="s">
        <v>103</v>
      </c>
      <c r="F2581" s="0" t="s">
        <v>104</v>
      </c>
      <c r="G2581" s="0" t="s">
        <v>148</v>
      </c>
      <c r="H2581" s="0" t="s">
        <v>149</v>
      </c>
      <c r="I2581" s="0" t="s">
        <v>38</v>
      </c>
      <c r="J2581" s="0" t="s">
        <v>39</v>
      </c>
      <c r="K2581" s="0" t="s">
        <v>30</v>
      </c>
      <c r="L2581" s="0" t="s">
        <v>31</v>
      </c>
      <c r="M2581" s="0" t="s">
        <v>140</v>
      </c>
      <c r="N2581" s="0" t="n">
        <v>1131</v>
      </c>
      <c r="O2581" s="10" t="n">
        <v>0.517012182623148</v>
      </c>
      <c r="P2581" s="10" t="n">
        <v>0.526212359312922</v>
      </c>
      <c r="Q2581" s="0" t="str">
        <f aca="false">SUBSTITUTE(SUBSTITUTE($I2581,CHAR(61),""),CHAR(34),"")</f>
        <v>15-24</v>
      </c>
      <c r="R2581" s="0" t="str">
        <f aca="false">IF($D2581&lt;&gt;"","["&amp;$E2581&amp;"]"&amp;"|"&amp;$Q2581&amp;"|"&amp;$K2581&amp;"|"&amp;$G2581&amp;"|"&amp;IF($G2581="TX_CURR_SUBNAT.R","CY2022Q4",$M2581),"")</f>
        <v>[wNqJp8oRIcF]|15-24|Female|DIAGNOSED_SUBNAT.T_1|CY2023Q3</v>
      </c>
    </row>
    <row r="2582" customFormat="false" ht="15" hidden="false" customHeight="false" outlineLevel="0" collapsed="false">
      <c r="D2582" s="0" t="s">
        <v>102</v>
      </c>
      <c r="E2582" s="0" t="s">
        <v>103</v>
      </c>
      <c r="F2582" s="0" t="s">
        <v>104</v>
      </c>
      <c r="G2582" s="0" t="s">
        <v>148</v>
      </c>
      <c r="H2582" s="0" t="s">
        <v>149</v>
      </c>
      <c r="I2582" s="0" t="s">
        <v>41</v>
      </c>
      <c r="J2582" s="0" t="s">
        <v>42</v>
      </c>
      <c r="K2582" s="0" t="s">
        <v>30</v>
      </c>
      <c r="L2582" s="0" t="s">
        <v>31</v>
      </c>
      <c r="M2582" s="0" t="s">
        <v>140</v>
      </c>
      <c r="N2582" s="0" t="n">
        <v>1022</v>
      </c>
      <c r="O2582" s="10" t="n">
        <v>0.231561915948987</v>
      </c>
      <c r="P2582" s="10" t="n">
        <v>0.526212359312922</v>
      </c>
      <c r="Q2582" s="0" t="str">
        <f aca="false">SUBSTITUTE(SUBSTITUTE($I2582,CHAR(61),""),CHAR(34),"")</f>
        <v>25-34</v>
      </c>
      <c r="R2582" s="0" t="str">
        <f aca="false">IF($D2582&lt;&gt;"","["&amp;$E2582&amp;"]"&amp;"|"&amp;$Q2582&amp;"|"&amp;$K2582&amp;"|"&amp;$G2582&amp;"|"&amp;IF($G2582="TX_CURR_SUBNAT.R","CY2022Q4",$M2582),"")</f>
        <v>[wNqJp8oRIcF]|25-34|Female|DIAGNOSED_SUBNAT.T_1|CY2023Q3</v>
      </c>
    </row>
    <row r="2583" customFormat="false" ht="15" hidden="false" customHeight="false" outlineLevel="0" collapsed="false">
      <c r="D2583" s="0" t="s">
        <v>102</v>
      </c>
      <c r="E2583" s="0" t="s">
        <v>103</v>
      </c>
      <c r="F2583" s="0" t="s">
        <v>104</v>
      </c>
      <c r="G2583" s="0" t="s">
        <v>148</v>
      </c>
      <c r="H2583" s="0" t="s">
        <v>149</v>
      </c>
      <c r="I2583" s="0" t="s">
        <v>43</v>
      </c>
      <c r="J2583" s="0" t="s">
        <v>44</v>
      </c>
      <c r="K2583" s="0" t="s">
        <v>30</v>
      </c>
      <c r="L2583" s="0" t="s">
        <v>31</v>
      </c>
      <c r="M2583" s="0" t="s">
        <v>140</v>
      </c>
      <c r="N2583" s="0" t="n">
        <v>1369</v>
      </c>
      <c r="O2583" s="10" t="n">
        <v>0.581578195560724</v>
      </c>
      <c r="P2583" s="10" t="n">
        <v>0.526212359312922</v>
      </c>
      <c r="Q2583" s="0" t="str">
        <f aca="false">SUBSTITUTE(SUBSTITUTE($I2583,CHAR(61),""),CHAR(34),"")</f>
        <v>35-49</v>
      </c>
      <c r="R2583" s="0" t="str">
        <f aca="false">IF($D2583&lt;&gt;"","["&amp;$E2583&amp;"]"&amp;"|"&amp;$Q2583&amp;"|"&amp;$K2583&amp;"|"&amp;$G2583&amp;"|"&amp;IF($G2583="TX_CURR_SUBNAT.R","CY2022Q4",$M2583),"")</f>
        <v>[wNqJp8oRIcF]|35-49|Female|DIAGNOSED_SUBNAT.T_1|CY2023Q3</v>
      </c>
    </row>
    <row r="2584" customFormat="false" ht="15" hidden="false" customHeight="false" outlineLevel="0" collapsed="false">
      <c r="D2584" s="0" t="s">
        <v>102</v>
      </c>
      <c r="E2584" s="0" t="s">
        <v>103</v>
      </c>
      <c r="F2584" s="0" t="s">
        <v>104</v>
      </c>
      <c r="G2584" s="0" t="s">
        <v>148</v>
      </c>
      <c r="H2584" s="0" t="s">
        <v>149</v>
      </c>
      <c r="I2584" s="0" t="s">
        <v>45</v>
      </c>
      <c r="J2584" s="0" t="s">
        <v>46</v>
      </c>
      <c r="K2584" s="0" t="s">
        <v>30</v>
      </c>
      <c r="L2584" s="0" t="s">
        <v>31</v>
      </c>
      <c r="M2584" s="0" t="s">
        <v>140</v>
      </c>
      <c r="N2584" s="0" t="n">
        <v>1646</v>
      </c>
      <c r="O2584" s="10" t="n">
        <v>0.343975246418267</v>
      </c>
      <c r="P2584" s="10" t="n">
        <v>0.526212359312922</v>
      </c>
      <c r="Q2584" s="0" t="str">
        <f aca="false">SUBSTITUTE(SUBSTITUTE($I2584,CHAR(61),""),CHAR(34),"")</f>
        <v>50+</v>
      </c>
      <c r="R2584" s="0" t="str">
        <f aca="false">IF($D2584&lt;&gt;"","["&amp;$E2584&amp;"]"&amp;"|"&amp;$Q2584&amp;"|"&amp;$K2584&amp;"|"&amp;$G2584&amp;"|"&amp;IF($G2584="TX_CURR_SUBNAT.R","CY2022Q4",$M2584),"")</f>
        <v>[wNqJp8oRIcF]|50+|Female|DIAGNOSED_SUBNAT.T_1|CY2023Q3</v>
      </c>
    </row>
    <row r="2585" customFormat="false" ht="15" hidden="false" customHeight="false" outlineLevel="0" collapsed="false">
      <c r="D2585" s="0" t="s">
        <v>102</v>
      </c>
      <c r="E2585" s="0" t="s">
        <v>103</v>
      </c>
      <c r="F2585" s="0" t="s">
        <v>104</v>
      </c>
      <c r="G2585" s="0" t="s">
        <v>148</v>
      </c>
      <c r="H2585" s="0" t="s">
        <v>149</v>
      </c>
      <c r="I2585" s="0" t="s">
        <v>28</v>
      </c>
      <c r="J2585" s="0" t="s">
        <v>29</v>
      </c>
      <c r="K2585" s="0" t="s">
        <v>48</v>
      </c>
      <c r="L2585" s="0" t="s">
        <v>49</v>
      </c>
      <c r="M2585" s="0" t="s">
        <v>140</v>
      </c>
      <c r="N2585" s="0" t="n">
        <v>1925</v>
      </c>
      <c r="O2585" s="10" t="n">
        <v>0.346075591398403</v>
      </c>
      <c r="P2585" s="10" t="n">
        <v>0.526212359312922</v>
      </c>
      <c r="Q2585" s="0" t="str">
        <f aca="false">SUBSTITUTE(SUBSTITUTE($I2585,CHAR(61),""),CHAR(34),"")</f>
        <v>&lt;01</v>
      </c>
      <c r="R2585" s="0" t="str">
        <f aca="false">IF($D2585&lt;&gt;"","["&amp;$E2585&amp;"]"&amp;"|"&amp;$Q2585&amp;"|"&amp;$K2585&amp;"|"&amp;$G2585&amp;"|"&amp;IF($G2585="TX_CURR_SUBNAT.R","CY2022Q4",$M2585),"")</f>
        <v>[wNqJp8oRIcF]|&lt;01|Male|DIAGNOSED_SUBNAT.T_1|CY2023Q3</v>
      </c>
    </row>
    <row r="2586" customFormat="false" ht="15" hidden="false" customHeight="false" outlineLevel="0" collapsed="false">
      <c r="D2586" s="0" t="s">
        <v>102</v>
      </c>
      <c r="E2586" s="0" t="s">
        <v>103</v>
      </c>
      <c r="F2586" s="0" t="s">
        <v>104</v>
      </c>
      <c r="G2586" s="0" t="s">
        <v>148</v>
      </c>
      <c r="H2586" s="0" t="s">
        <v>149</v>
      </c>
      <c r="I2586" s="0" t="s">
        <v>33</v>
      </c>
      <c r="J2586" s="0" t="s">
        <v>34</v>
      </c>
      <c r="K2586" s="0" t="s">
        <v>48</v>
      </c>
      <c r="L2586" s="0" t="s">
        <v>49</v>
      </c>
      <c r="M2586" s="0" t="s">
        <v>140</v>
      </c>
      <c r="N2586" s="0" t="n">
        <v>834</v>
      </c>
      <c r="O2586" s="10" t="n">
        <v>0.0497830307576805</v>
      </c>
      <c r="P2586" s="10" t="n">
        <v>0.526212359312922</v>
      </c>
      <c r="Q2586" s="0" t="str">
        <f aca="false">SUBSTITUTE(SUBSTITUTE($I2586,CHAR(61),""),CHAR(34),"")</f>
        <v>01-09</v>
      </c>
      <c r="R2586" s="0" t="str">
        <f aca="false">IF($D2586&lt;&gt;"","["&amp;$E2586&amp;"]"&amp;"|"&amp;$Q2586&amp;"|"&amp;$K2586&amp;"|"&amp;$G2586&amp;"|"&amp;IF($G2586="TX_CURR_SUBNAT.R","CY2022Q4",$M2586),"")</f>
        <v>[wNqJp8oRIcF]|01-09|Male|DIAGNOSED_SUBNAT.T_1|CY2023Q3</v>
      </c>
    </row>
    <row r="2587" customFormat="false" ht="15" hidden="false" customHeight="false" outlineLevel="0" collapsed="false">
      <c r="D2587" s="0" t="s">
        <v>102</v>
      </c>
      <c r="E2587" s="0" t="s">
        <v>103</v>
      </c>
      <c r="F2587" s="0" t="s">
        <v>104</v>
      </c>
      <c r="G2587" s="0" t="s">
        <v>148</v>
      </c>
      <c r="H2587" s="0" t="s">
        <v>149</v>
      </c>
      <c r="I2587" s="0" t="s">
        <v>36</v>
      </c>
      <c r="J2587" s="0" t="s">
        <v>37</v>
      </c>
      <c r="K2587" s="0" t="s">
        <v>48</v>
      </c>
      <c r="L2587" s="0" t="s">
        <v>49</v>
      </c>
      <c r="M2587" s="0" t="s">
        <v>140</v>
      </c>
      <c r="N2587" s="0" t="n">
        <v>1744</v>
      </c>
      <c r="O2587" s="10" t="n">
        <v>0.423540594754741</v>
      </c>
      <c r="P2587" s="10" t="n">
        <v>0.526212359312922</v>
      </c>
      <c r="Q2587" s="0" t="str">
        <f aca="false">SUBSTITUTE(SUBSTITUTE($I2587,CHAR(61),""),CHAR(34),"")</f>
        <v>10-14</v>
      </c>
      <c r="R2587" s="0" t="str">
        <f aca="false">IF($D2587&lt;&gt;"","["&amp;$E2587&amp;"]"&amp;"|"&amp;$Q2587&amp;"|"&amp;$K2587&amp;"|"&amp;$G2587&amp;"|"&amp;IF($G2587="TX_CURR_SUBNAT.R","CY2022Q4",$M2587),"")</f>
        <v>[wNqJp8oRIcF]|10-14|Male|DIAGNOSED_SUBNAT.T_1|CY2023Q3</v>
      </c>
    </row>
    <row r="2588" customFormat="false" ht="15" hidden="false" customHeight="false" outlineLevel="0" collapsed="false">
      <c r="D2588" s="0" t="s">
        <v>102</v>
      </c>
      <c r="E2588" s="0" t="s">
        <v>103</v>
      </c>
      <c r="F2588" s="0" t="s">
        <v>104</v>
      </c>
      <c r="G2588" s="0" t="s">
        <v>148</v>
      </c>
      <c r="H2588" s="0" t="s">
        <v>149</v>
      </c>
      <c r="I2588" s="0" t="s">
        <v>38</v>
      </c>
      <c r="J2588" s="0" t="s">
        <v>39</v>
      </c>
      <c r="K2588" s="0" t="s">
        <v>48</v>
      </c>
      <c r="L2588" s="0" t="s">
        <v>49</v>
      </c>
      <c r="M2588" s="0" t="s">
        <v>140</v>
      </c>
      <c r="N2588" s="0" t="n">
        <v>770</v>
      </c>
      <c r="O2588" s="10" t="n">
        <v>0.888890078291297</v>
      </c>
      <c r="P2588" s="10" t="n">
        <v>0.526212359312922</v>
      </c>
      <c r="Q2588" s="0" t="str">
        <f aca="false">SUBSTITUTE(SUBSTITUTE($I2588,CHAR(61),""),CHAR(34),"")</f>
        <v>15-24</v>
      </c>
      <c r="R2588" s="0" t="str">
        <f aca="false">IF($D2588&lt;&gt;"","["&amp;$E2588&amp;"]"&amp;"|"&amp;$Q2588&amp;"|"&amp;$K2588&amp;"|"&amp;$G2588&amp;"|"&amp;IF($G2588="TX_CURR_SUBNAT.R","CY2022Q4",$M2588),"")</f>
        <v>[wNqJp8oRIcF]|15-24|Male|DIAGNOSED_SUBNAT.T_1|CY2023Q3</v>
      </c>
    </row>
    <row r="2589" customFormat="false" ht="15" hidden="false" customHeight="false" outlineLevel="0" collapsed="false">
      <c r="D2589" s="0" t="s">
        <v>102</v>
      </c>
      <c r="E2589" s="0" t="s">
        <v>103</v>
      </c>
      <c r="F2589" s="0" t="s">
        <v>104</v>
      </c>
      <c r="G2589" s="0" t="s">
        <v>148</v>
      </c>
      <c r="H2589" s="0" t="s">
        <v>149</v>
      </c>
      <c r="I2589" s="0" t="s">
        <v>41</v>
      </c>
      <c r="J2589" s="0" t="s">
        <v>42</v>
      </c>
      <c r="K2589" s="0" t="s">
        <v>48</v>
      </c>
      <c r="L2589" s="0" t="s">
        <v>49</v>
      </c>
      <c r="M2589" s="0" t="s">
        <v>140</v>
      </c>
      <c r="N2589" s="0" t="n">
        <v>788</v>
      </c>
      <c r="O2589" s="10" t="n">
        <v>0.609385706018656</v>
      </c>
      <c r="P2589" s="10" t="n">
        <v>0.526212359312922</v>
      </c>
      <c r="Q2589" s="0" t="str">
        <f aca="false">SUBSTITUTE(SUBSTITUTE($I2589,CHAR(61),""),CHAR(34),"")</f>
        <v>25-34</v>
      </c>
      <c r="R2589" s="0" t="str">
        <f aca="false">IF($D2589&lt;&gt;"","["&amp;$E2589&amp;"]"&amp;"|"&amp;$Q2589&amp;"|"&amp;$K2589&amp;"|"&amp;$G2589&amp;"|"&amp;IF($G2589="TX_CURR_SUBNAT.R","CY2022Q4",$M2589),"")</f>
        <v>[wNqJp8oRIcF]|25-34|Male|DIAGNOSED_SUBNAT.T_1|CY2023Q3</v>
      </c>
    </row>
    <row r="2590" customFormat="false" ht="15" hidden="false" customHeight="false" outlineLevel="0" collapsed="false">
      <c r="D2590" s="0" t="s">
        <v>102</v>
      </c>
      <c r="E2590" s="0" t="s">
        <v>103</v>
      </c>
      <c r="F2590" s="0" t="s">
        <v>104</v>
      </c>
      <c r="G2590" s="0" t="s">
        <v>148</v>
      </c>
      <c r="H2590" s="0" t="s">
        <v>149</v>
      </c>
      <c r="I2590" s="0" t="s">
        <v>43</v>
      </c>
      <c r="J2590" s="0" t="s">
        <v>44</v>
      </c>
      <c r="K2590" s="0" t="s">
        <v>48</v>
      </c>
      <c r="L2590" s="0" t="s">
        <v>49</v>
      </c>
      <c r="M2590" s="0" t="s">
        <v>140</v>
      </c>
      <c r="N2590" s="0" t="n">
        <v>1875</v>
      </c>
      <c r="O2590" s="10" t="n">
        <v>0.565647324547172</v>
      </c>
      <c r="P2590" s="10" t="n">
        <v>0.526212359312922</v>
      </c>
      <c r="Q2590" s="0" t="str">
        <f aca="false">SUBSTITUTE(SUBSTITUTE($I2590,CHAR(61),""),CHAR(34),"")</f>
        <v>35-49</v>
      </c>
      <c r="R2590" s="0" t="str">
        <f aca="false">IF($D2590&lt;&gt;"","["&amp;$E2590&amp;"]"&amp;"|"&amp;$Q2590&amp;"|"&amp;$K2590&amp;"|"&amp;$G2590&amp;"|"&amp;IF($G2590="TX_CURR_SUBNAT.R","CY2022Q4",$M2590),"")</f>
        <v>[wNqJp8oRIcF]|35-49|Male|DIAGNOSED_SUBNAT.T_1|CY2023Q3</v>
      </c>
    </row>
    <row r="2591" customFormat="false" ht="15" hidden="false" customHeight="false" outlineLevel="0" collapsed="false">
      <c r="D2591" s="0" t="s">
        <v>102</v>
      </c>
      <c r="E2591" s="0" t="s">
        <v>103</v>
      </c>
      <c r="F2591" s="0" t="s">
        <v>104</v>
      </c>
      <c r="G2591" s="0" t="s">
        <v>148</v>
      </c>
      <c r="H2591" s="0" t="s">
        <v>149</v>
      </c>
      <c r="I2591" s="0" t="s">
        <v>45</v>
      </c>
      <c r="J2591" s="0" t="s">
        <v>46</v>
      </c>
      <c r="K2591" s="0" t="s">
        <v>48</v>
      </c>
      <c r="L2591" s="0" t="s">
        <v>49</v>
      </c>
      <c r="M2591" s="0" t="s">
        <v>140</v>
      </c>
      <c r="N2591" s="0" t="n">
        <v>761</v>
      </c>
      <c r="O2591" s="10" t="n">
        <v>0.692407752852887</v>
      </c>
      <c r="P2591" s="10" t="n">
        <v>0.526212359312922</v>
      </c>
      <c r="Q2591" s="0" t="str">
        <f aca="false">SUBSTITUTE(SUBSTITUTE($I2591,CHAR(61),""),CHAR(34),"")</f>
        <v>50+</v>
      </c>
      <c r="R2591" s="0" t="str">
        <f aca="false">IF($D2591&lt;&gt;"","["&amp;$E2591&amp;"]"&amp;"|"&amp;$Q2591&amp;"|"&amp;$K2591&amp;"|"&amp;$G2591&amp;"|"&amp;IF($G2591="TX_CURR_SUBNAT.R","CY2022Q4",$M2591),"")</f>
        <v>[wNqJp8oRIcF]|50+|Male|DIAGNOSED_SUBNAT.T_1|CY2023Q3</v>
      </c>
    </row>
    <row r="2592" customFormat="false" ht="15" hidden="false" customHeight="false" outlineLevel="0" collapsed="false">
      <c r="D2592" s="0" t="s">
        <v>105</v>
      </c>
      <c r="E2592" s="0" t="s">
        <v>106</v>
      </c>
      <c r="F2592" s="0" t="s">
        <v>107</v>
      </c>
      <c r="G2592" s="0" t="s">
        <v>148</v>
      </c>
      <c r="H2592" s="0" t="s">
        <v>149</v>
      </c>
      <c r="I2592" s="0" t="s">
        <v>28</v>
      </c>
      <c r="J2592" s="0" t="s">
        <v>29</v>
      </c>
      <c r="K2592" s="0" t="s">
        <v>30</v>
      </c>
      <c r="L2592" s="0" t="s">
        <v>31</v>
      </c>
      <c r="M2592" s="0" t="s">
        <v>140</v>
      </c>
      <c r="N2592" s="0" t="n">
        <v>1041</v>
      </c>
      <c r="O2592" s="10" t="n">
        <v>0.642404230311513</v>
      </c>
      <c r="P2592" s="10" t="n">
        <v>0.218249560333788</v>
      </c>
      <c r="Q2592" s="0" t="str">
        <f aca="false">SUBSTITUTE(SUBSTITUTE($I2592,CHAR(61),""),CHAR(34),"")</f>
        <v>&lt;01</v>
      </c>
      <c r="R2592" s="0" t="str">
        <f aca="false">IF($D2592&lt;&gt;"","["&amp;$E2592&amp;"]"&amp;"|"&amp;$Q2592&amp;"|"&amp;$K2592&amp;"|"&amp;$G2592&amp;"|"&amp;IF($G2592="TX_CURR_SUBNAT.R","CY2022Q4",$M2592),"")</f>
        <v>[oiPR2CiVJbf]|&lt;01|Female|DIAGNOSED_SUBNAT.T_1|CY2023Q3</v>
      </c>
    </row>
    <row r="2593" customFormat="false" ht="15" hidden="false" customHeight="false" outlineLevel="0" collapsed="false">
      <c r="D2593" s="0" t="s">
        <v>105</v>
      </c>
      <c r="E2593" s="0" t="s">
        <v>106</v>
      </c>
      <c r="F2593" s="0" t="s">
        <v>107</v>
      </c>
      <c r="G2593" s="0" t="s">
        <v>148</v>
      </c>
      <c r="H2593" s="0" t="s">
        <v>149</v>
      </c>
      <c r="I2593" s="0" t="s">
        <v>33</v>
      </c>
      <c r="J2593" s="0" t="s">
        <v>34</v>
      </c>
      <c r="K2593" s="0" t="s">
        <v>30</v>
      </c>
      <c r="L2593" s="0" t="s">
        <v>31</v>
      </c>
      <c r="M2593" s="0" t="s">
        <v>140</v>
      </c>
      <c r="N2593" s="0" t="n">
        <v>803</v>
      </c>
      <c r="O2593" s="10" t="n">
        <v>0.876312745036557</v>
      </c>
      <c r="P2593" s="10" t="n">
        <v>0.218249560333788</v>
      </c>
      <c r="Q2593" s="0" t="str">
        <f aca="false">SUBSTITUTE(SUBSTITUTE($I2593,CHAR(61),""),CHAR(34),"")</f>
        <v>01-09</v>
      </c>
      <c r="R2593" s="0" t="str">
        <f aca="false">IF($D2593&lt;&gt;"","["&amp;$E2593&amp;"]"&amp;"|"&amp;$Q2593&amp;"|"&amp;$K2593&amp;"|"&amp;$G2593&amp;"|"&amp;IF($G2593="TX_CURR_SUBNAT.R","CY2022Q4",$M2593),"")</f>
        <v>[oiPR2CiVJbf]|01-09|Female|DIAGNOSED_SUBNAT.T_1|CY2023Q3</v>
      </c>
    </row>
    <row r="2594" customFormat="false" ht="15" hidden="false" customHeight="false" outlineLevel="0" collapsed="false">
      <c r="D2594" s="0" t="s">
        <v>105</v>
      </c>
      <c r="E2594" s="0" t="s">
        <v>106</v>
      </c>
      <c r="F2594" s="0" t="s">
        <v>107</v>
      </c>
      <c r="G2594" s="0" t="s">
        <v>148</v>
      </c>
      <c r="H2594" s="0" t="s">
        <v>149</v>
      </c>
      <c r="I2594" s="0" t="s">
        <v>36</v>
      </c>
      <c r="J2594" s="0" t="s">
        <v>37</v>
      </c>
      <c r="K2594" s="0" t="s">
        <v>30</v>
      </c>
      <c r="L2594" s="0" t="s">
        <v>31</v>
      </c>
      <c r="M2594" s="0" t="s">
        <v>140</v>
      </c>
      <c r="N2594" s="0" t="n">
        <v>1251</v>
      </c>
      <c r="O2594" s="10" t="n">
        <v>0.982228708686307</v>
      </c>
      <c r="P2594" s="10" t="n">
        <v>0.218249560333788</v>
      </c>
      <c r="Q2594" s="0" t="str">
        <f aca="false">SUBSTITUTE(SUBSTITUTE($I2594,CHAR(61),""),CHAR(34),"")</f>
        <v>10-14</v>
      </c>
      <c r="R2594" s="0" t="str">
        <f aca="false">IF($D2594&lt;&gt;"","["&amp;$E2594&amp;"]"&amp;"|"&amp;$Q2594&amp;"|"&amp;$K2594&amp;"|"&amp;$G2594&amp;"|"&amp;IF($G2594="TX_CURR_SUBNAT.R","CY2022Q4",$M2594),"")</f>
        <v>[oiPR2CiVJbf]|10-14|Female|DIAGNOSED_SUBNAT.T_1|CY2023Q3</v>
      </c>
    </row>
    <row r="2595" customFormat="false" ht="15" hidden="false" customHeight="false" outlineLevel="0" collapsed="false">
      <c r="D2595" s="0" t="s">
        <v>105</v>
      </c>
      <c r="E2595" s="0" t="s">
        <v>106</v>
      </c>
      <c r="F2595" s="0" t="s">
        <v>107</v>
      </c>
      <c r="G2595" s="0" t="s">
        <v>148</v>
      </c>
      <c r="H2595" s="0" t="s">
        <v>149</v>
      </c>
      <c r="I2595" s="0" t="s">
        <v>38</v>
      </c>
      <c r="J2595" s="0" t="s">
        <v>39</v>
      </c>
      <c r="K2595" s="0" t="s">
        <v>30</v>
      </c>
      <c r="L2595" s="0" t="s">
        <v>31</v>
      </c>
      <c r="M2595" s="0" t="s">
        <v>140</v>
      </c>
      <c r="N2595" s="0" t="n">
        <v>656</v>
      </c>
      <c r="O2595" s="10" t="n">
        <v>0.450222637504339</v>
      </c>
      <c r="P2595" s="10" t="n">
        <v>0.218249560333788</v>
      </c>
      <c r="Q2595" s="0" t="str">
        <f aca="false">SUBSTITUTE(SUBSTITUTE($I2595,CHAR(61),""),CHAR(34),"")</f>
        <v>15-24</v>
      </c>
      <c r="R2595" s="0" t="str">
        <f aca="false">IF($D2595&lt;&gt;"","["&amp;$E2595&amp;"]"&amp;"|"&amp;$Q2595&amp;"|"&amp;$K2595&amp;"|"&amp;$G2595&amp;"|"&amp;IF($G2595="TX_CURR_SUBNAT.R","CY2022Q4",$M2595),"")</f>
        <v>[oiPR2CiVJbf]|15-24|Female|DIAGNOSED_SUBNAT.T_1|CY2023Q3</v>
      </c>
    </row>
    <row r="2596" customFormat="false" ht="15" hidden="false" customHeight="false" outlineLevel="0" collapsed="false">
      <c r="D2596" s="0" t="s">
        <v>105</v>
      </c>
      <c r="E2596" s="0" t="s">
        <v>106</v>
      </c>
      <c r="F2596" s="0" t="s">
        <v>107</v>
      </c>
      <c r="G2596" s="0" t="s">
        <v>148</v>
      </c>
      <c r="H2596" s="0" t="s">
        <v>149</v>
      </c>
      <c r="I2596" s="0" t="s">
        <v>41</v>
      </c>
      <c r="J2596" s="0" t="s">
        <v>42</v>
      </c>
      <c r="K2596" s="0" t="s">
        <v>30</v>
      </c>
      <c r="L2596" s="0" t="s">
        <v>31</v>
      </c>
      <c r="M2596" s="0" t="s">
        <v>140</v>
      </c>
      <c r="N2596" s="0" t="n">
        <v>1736</v>
      </c>
      <c r="O2596" s="10" t="n">
        <v>0.896330416901037</v>
      </c>
      <c r="P2596" s="10" t="n">
        <v>0.218249560333788</v>
      </c>
      <c r="Q2596" s="0" t="str">
        <f aca="false">SUBSTITUTE(SUBSTITUTE($I2596,CHAR(61),""),CHAR(34),"")</f>
        <v>25-34</v>
      </c>
      <c r="R2596" s="0" t="str">
        <f aca="false">IF($D2596&lt;&gt;"","["&amp;$E2596&amp;"]"&amp;"|"&amp;$Q2596&amp;"|"&amp;$K2596&amp;"|"&amp;$G2596&amp;"|"&amp;IF($G2596="TX_CURR_SUBNAT.R","CY2022Q4",$M2596),"")</f>
        <v>[oiPR2CiVJbf]|25-34|Female|DIAGNOSED_SUBNAT.T_1|CY2023Q3</v>
      </c>
    </row>
    <row r="2597" customFormat="false" ht="15" hidden="false" customHeight="false" outlineLevel="0" collapsed="false">
      <c r="D2597" s="0" t="s">
        <v>105</v>
      </c>
      <c r="E2597" s="0" t="s">
        <v>106</v>
      </c>
      <c r="F2597" s="0" t="s">
        <v>107</v>
      </c>
      <c r="G2597" s="0" t="s">
        <v>148</v>
      </c>
      <c r="H2597" s="0" t="s">
        <v>149</v>
      </c>
      <c r="I2597" s="0" t="s">
        <v>43</v>
      </c>
      <c r="J2597" s="0" t="s">
        <v>44</v>
      </c>
      <c r="K2597" s="0" t="s">
        <v>30</v>
      </c>
      <c r="L2597" s="0" t="s">
        <v>31</v>
      </c>
      <c r="M2597" s="0" t="s">
        <v>140</v>
      </c>
      <c r="N2597" s="0" t="n">
        <v>1851</v>
      </c>
      <c r="O2597" s="10" t="n">
        <v>0.625602473737672</v>
      </c>
      <c r="P2597" s="10" t="n">
        <v>0.218249560333788</v>
      </c>
      <c r="Q2597" s="0" t="str">
        <f aca="false">SUBSTITUTE(SUBSTITUTE($I2597,CHAR(61),""),CHAR(34),"")</f>
        <v>35-49</v>
      </c>
      <c r="R2597" s="0" t="str">
        <f aca="false">IF($D2597&lt;&gt;"","["&amp;$E2597&amp;"]"&amp;"|"&amp;$Q2597&amp;"|"&amp;$K2597&amp;"|"&amp;$G2597&amp;"|"&amp;IF($G2597="TX_CURR_SUBNAT.R","CY2022Q4",$M2597),"")</f>
        <v>[oiPR2CiVJbf]|35-49|Female|DIAGNOSED_SUBNAT.T_1|CY2023Q3</v>
      </c>
    </row>
    <row r="2598" customFormat="false" ht="15" hidden="false" customHeight="false" outlineLevel="0" collapsed="false">
      <c r="D2598" s="0" t="s">
        <v>105</v>
      </c>
      <c r="E2598" s="0" t="s">
        <v>106</v>
      </c>
      <c r="F2598" s="0" t="s">
        <v>107</v>
      </c>
      <c r="G2598" s="0" t="s">
        <v>148</v>
      </c>
      <c r="H2598" s="0" t="s">
        <v>149</v>
      </c>
      <c r="I2598" s="0" t="s">
        <v>45</v>
      </c>
      <c r="J2598" s="0" t="s">
        <v>46</v>
      </c>
      <c r="K2598" s="0" t="s">
        <v>30</v>
      </c>
      <c r="L2598" s="0" t="s">
        <v>31</v>
      </c>
      <c r="M2598" s="0" t="s">
        <v>140</v>
      </c>
      <c r="N2598" s="0" t="n">
        <v>629</v>
      </c>
      <c r="O2598" s="10" t="n">
        <v>0.37970113591291</v>
      </c>
      <c r="P2598" s="10" t="n">
        <v>0.218249560333788</v>
      </c>
      <c r="Q2598" s="0" t="str">
        <f aca="false">SUBSTITUTE(SUBSTITUTE($I2598,CHAR(61),""),CHAR(34),"")</f>
        <v>50+</v>
      </c>
      <c r="R2598" s="0" t="str">
        <f aca="false">IF($D2598&lt;&gt;"","["&amp;$E2598&amp;"]"&amp;"|"&amp;$Q2598&amp;"|"&amp;$K2598&amp;"|"&amp;$G2598&amp;"|"&amp;IF($G2598="TX_CURR_SUBNAT.R","CY2022Q4",$M2598),"")</f>
        <v>[oiPR2CiVJbf]|50+|Female|DIAGNOSED_SUBNAT.T_1|CY2023Q3</v>
      </c>
    </row>
    <row r="2599" customFormat="false" ht="15" hidden="false" customHeight="false" outlineLevel="0" collapsed="false">
      <c r="D2599" s="0" t="s">
        <v>105</v>
      </c>
      <c r="E2599" s="0" t="s">
        <v>106</v>
      </c>
      <c r="F2599" s="0" t="s">
        <v>107</v>
      </c>
      <c r="G2599" s="0" t="s">
        <v>148</v>
      </c>
      <c r="H2599" s="0" t="s">
        <v>149</v>
      </c>
      <c r="I2599" s="0" t="s">
        <v>28</v>
      </c>
      <c r="J2599" s="0" t="s">
        <v>29</v>
      </c>
      <c r="K2599" s="0" t="s">
        <v>48</v>
      </c>
      <c r="L2599" s="0" t="s">
        <v>49</v>
      </c>
      <c r="M2599" s="0" t="s">
        <v>140</v>
      </c>
      <c r="N2599" s="0" t="n">
        <v>1565</v>
      </c>
      <c r="O2599" s="10" t="n">
        <v>0.777325547998771</v>
      </c>
      <c r="P2599" s="10" t="n">
        <v>0.218249560333788</v>
      </c>
      <c r="Q2599" s="0" t="str">
        <f aca="false">SUBSTITUTE(SUBSTITUTE($I2599,CHAR(61),""),CHAR(34),"")</f>
        <v>&lt;01</v>
      </c>
      <c r="R2599" s="0" t="str">
        <f aca="false">IF($D2599&lt;&gt;"","["&amp;$E2599&amp;"]"&amp;"|"&amp;$Q2599&amp;"|"&amp;$K2599&amp;"|"&amp;$G2599&amp;"|"&amp;IF($G2599="TX_CURR_SUBNAT.R","CY2022Q4",$M2599),"")</f>
        <v>[oiPR2CiVJbf]|&lt;01|Male|DIAGNOSED_SUBNAT.T_1|CY2023Q3</v>
      </c>
    </row>
    <row r="2600" customFormat="false" ht="15" hidden="false" customHeight="false" outlineLevel="0" collapsed="false">
      <c r="D2600" s="0" t="s">
        <v>105</v>
      </c>
      <c r="E2600" s="0" t="s">
        <v>106</v>
      </c>
      <c r="F2600" s="0" t="s">
        <v>107</v>
      </c>
      <c r="G2600" s="0" t="s">
        <v>148</v>
      </c>
      <c r="H2600" s="0" t="s">
        <v>149</v>
      </c>
      <c r="I2600" s="0" t="s">
        <v>33</v>
      </c>
      <c r="J2600" s="0" t="s">
        <v>34</v>
      </c>
      <c r="K2600" s="0" t="s">
        <v>48</v>
      </c>
      <c r="L2600" s="0" t="s">
        <v>49</v>
      </c>
      <c r="M2600" s="0" t="s">
        <v>140</v>
      </c>
      <c r="N2600" s="0" t="n">
        <v>1710</v>
      </c>
      <c r="O2600" s="10" t="n">
        <v>0.746499805478379</v>
      </c>
      <c r="P2600" s="10" t="n">
        <v>0.218249560333788</v>
      </c>
      <c r="Q2600" s="0" t="str">
        <f aca="false">SUBSTITUTE(SUBSTITUTE($I2600,CHAR(61),""),CHAR(34),"")</f>
        <v>01-09</v>
      </c>
      <c r="R2600" s="0" t="str">
        <f aca="false">IF($D2600&lt;&gt;"","["&amp;$E2600&amp;"]"&amp;"|"&amp;$Q2600&amp;"|"&amp;$K2600&amp;"|"&amp;$G2600&amp;"|"&amp;IF($G2600="TX_CURR_SUBNAT.R","CY2022Q4",$M2600),"")</f>
        <v>[oiPR2CiVJbf]|01-09|Male|DIAGNOSED_SUBNAT.T_1|CY2023Q3</v>
      </c>
    </row>
    <row r="2601" customFormat="false" ht="15" hidden="false" customHeight="false" outlineLevel="0" collapsed="false">
      <c r="D2601" s="0" t="s">
        <v>105</v>
      </c>
      <c r="E2601" s="0" t="s">
        <v>106</v>
      </c>
      <c r="F2601" s="0" t="s">
        <v>107</v>
      </c>
      <c r="G2601" s="0" t="s">
        <v>148</v>
      </c>
      <c r="H2601" s="0" t="s">
        <v>149</v>
      </c>
      <c r="I2601" s="0" t="s">
        <v>36</v>
      </c>
      <c r="J2601" s="0" t="s">
        <v>37</v>
      </c>
      <c r="K2601" s="0" t="s">
        <v>48</v>
      </c>
      <c r="L2601" s="0" t="s">
        <v>49</v>
      </c>
      <c r="M2601" s="0" t="s">
        <v>140</v>
      </c>
      <c r="N2601" s="0" t="n">
        <v>1674</v>
      </c>
      <c r="O2601" s="10" t="n">
        <v>0.13191850297153</v>
      </c>
      <c r="P2601" s="10" t="n">
        <v>0.218249560333788</v>
      </c>
      <c r="Q2601" s="0" t="str">
        <f aca="false">SUBSTITUTE(SUBSTITUTE($I2601,CHAR(61),""),CHAR(34),"")</f>
        <v>10-14</v>
      </c>
      <c r="R2601" s="0" t="str">
        <f aca="false">IF($D2601&lt;&gt;"","["&amp;$E2601&amp;"]"&amp;"|"&amp;$Q2601&amp;"|"&amp;$K2601&amp;"|"&amp;$G2601&amp;"|"&amp;IF($G2601="TX_CURR_SUBNAT.R","CY2022Q4",$M2601),"")</f>
        <v>[oiPR2CiVJbf]|10-14|Male|DIAGNOSED_SUBNAT.T_1|CY2023Q3</v>
      </c>
    </row>
    <row r="2602" customFormat="false" ht="15" hidden="false" customHeight="false" outlineLevel="0" collapsed="false">
      <c r="D2602" s="0" t="s">
        <v>105</v>
      </c>
      <c r="E2602" s="0" t="s">
        <v>106</v>
      </c>
      <c r="F2602" s="0" t="s">
        <v>107</v>
      </c>
      <c r="G2602" s="0" t="s">
        <v>148</v>
      </c>
      <c r="H2602" s="0" t="s">
        <v>149</v>
      </c>
      <c r="I2602" s="0" t="s">
        <v>38</v>
      </c>
      <c r="J2602" s="0" t="s">
        <v>39</v>
      </c>
      <c r="K2602" s="0" t="s">
        <v>48</v>
      </c>
      <c r="L2602" s="0" t="s">
        <v>49</v>
      </c>
      <c r="M2602" s="0" t="s">
        <v>140</v>
      </c>
      <c r="N2602" s="0" t="n">
        <v>1424</v>
      </c>
      <c r="O2602" s="10" t="n">
        <v>0.407938993768767</v>
      </c>
      <c r="P2602" s="10" t="n">
        <v>0.218249560333788</v>
      </c>
      <c r="Q2602" s="0" t="str">
        <f aca="false">SUBSTITUTE(SUBSTITUTE($I2602,CHAR(61),""),CHAR(34),"")</f>
        <v>15-24</v>
      </c>
      <c r="R2602" s="0" t="str">
        <f aca="false">IF($D2602&lt;&gt;"","["&amp;$E2602&amp;"]"&amp;"|"&amp;$Q2602&amp;"|"&amp;$K2602&amp;"|"&amp;$G2602&amp;"|"&amp;IF($G2602="TX_CURR_SUBNAT.R","CY2022Q4",$M2602),"")</f>
        <v>[oiPR2CiVJbf]|15-24|Male|DIAGNOSED_SUBNAT.T_1|CY2023Q3</v>
      </c>
    </row>
    <row r="2603" customFormat="false" ht="15" hidden="false" customHeight="false" outlineLevel="0" collapsed="false">
      <c r="D2603" s="0" t="s">
        <v>105</v>
      </c>
      <c r="E2603" s="0" t="s">
        <v>106</v>
      </c>
      <c r="F2603" s="0" t="s">
        <v>107</v>
      </c>
      <c r="G2603" s="0" t="s">
        <v>148</v>
      </c>
      <c r="H2603" s="0" t="s">
        <v>149</v>
      </c>
      <c r="I2603" s="0" t="s">
        <v>41</v>
      </c>
      <c r="J2603" s="0" t="s">
        <v>42</v>
      </c>
      <c r="K2603" s="0" t="s">
        <v>48</v>
      </c>
      <c r="L2603" s="0" t="s">
        <v>49</v>
      </c>
      <c r="M2603" s="0" t="s">
        <v>140</v>
      </c>
      <c r="N2603" s="0" t="n">
        <v>885</v>
      </c>
      <c r="O2603" s="10" t="n">
        <v>0.337758777663112</v>
      </c>
      <c r="P2603" s="10" t="n">
        <v>0.218249560333788</v>
      </c>
      <c r="Q2603" s="0" t="str">
        <f aca="false">SUBSTITUTE(SUBSTITUTE($I2603,CHAR(61),""),CHAR(34),"")</f>
        <v>25-34</v>
      </c>
      <c r="R2603" s="0" t="str">
        <f aca="false">IF($D2603&lt;&gt;"","["&amp;$E2603&amp;"]"&amp;"|"&amp;$Q2603&amp;"|"&amp;$K2603&amp;"|"&amp;$G2603&amp;"|"&amp;IF($G2603="TX_CURR_SUBNAT.R","CY2022Q4",$M2603),"")</f>
        <v>[oiPR2CiVJbf]|25-34|Male|DIAGNOSED_SUBNAT.T_1|CY2023Q3</v>
      </c>
    </row>
    <row r="2604" customFormat="false" ht="15" hidden="false" customHeight="false" outlineLevel="0" collapsed="false">
      <c r="D2604" s="0" t="s">
        <v>105</v>
      </c>
      <c r="E2604" s="0" t="s">
        <v>106</v>
      </c>
      <c r="F2604" s="0" t="s">
        <v>107</v>
      </c>
      <c r="G2604" s="0" t="s">
        <v>148</v>
      </c>
      <c r="H2604" s="0" t="s">
        <v>149</v>
      </c>
      <c r="I2604" s="0" t="s">
        <v>43</v>
      </c>
      <c r="J2604" s="0" t="s">
        <v>44</v>
      </c>
      <c r="K2604" s="0" t="s">
        <v>48</v>
      </c>
      <c r="L2604" s="0" t="s">
        <v>49</v>
      </c>
      <c r="M2604" s="0" t="s">
        <v>140</v>
      </c>
      <c r="N2604" s="0" t="n">
        <v>984</v>
      </c>
      <c r="O2604" s="10" t="n">
        <v>0.313575217034668</v>
      </c>
      <c r="P2604" s="10" t="n">
        <v>0.218249560333788</v>
      </c>
      <c r="Q2604" s="0" t="str">
        <f aca="false">SUBSTITUTE(SUBSTITUTE($I2604,CHAR(61),""),CHAR(34),"")</f>
        <v>35-49</v>
      </c>
      <c r="R2604" s="0" t="str">
        <f aca="false">IF($D2604&lt;&gt;"","["&amp;$E2604&amp;"]"&amp;"|"&amp;$Q2604&amp;"|"&amp;$K2604&amp;"|"&amp;$G2604&amp;"|"&amp;IF($G2604="TX_CURR_SUBNAT.R","CY2022Q4",$M2604),"")</f>
        <v>[oiPR2CiVJbf]|35-49|Male|DIAGNOSED_SUBNAT.T_1|CY2023Q3</v>
      </c>
    </row>
    <row r="2605" customFormat="false" ht="15" hidden="false" customHeight="false" outlineLevel="0" collapsed="false">
      <c r="D2605" s="0" t="s">
        <v>105</v>
      </c>
      <c r="E2605" s="0" t="s">
        <v>106</v>
      </c>
      <c r="F2605" s="0" t="s">
        <v>107</v>
      </c>
      <c r="G2605" s="0" t="s">
        <v>148</v>
      </c>
      <c r="H2605" s="0" t="s">
        <v>149</v>
      </c>
      <c r="I2605" s="0" t="s">
        <v>45</v>
      </c>
      <c r="J2605" s="0" t="s">
        <v>46</v>
      </c>
      <c r="K2605" s="0" t="s">
        <v>48</v>
      </c>
      <c r="L2605" s="0" t="s">
        <v>49</v>
      </c>
      <c r="M2605" s="0" t="s">
        <v>140</v>
      </c>
      <c r="N2605" s="0" t="n">
        <v>1743</v>
      </c>
      <c r="O2605" s="10" t="n">
        <v>0.152017746819183</v>
      </c>
      <c r="P2605" s="10" t="n">
        <v>0.218249560333788</v>
      </c>
      <c r="Q2605" s="0" t="str">
        <f aca="false">SUBSTITUTE(SUBSTITUTE($I2605,CHAR(61),""),CHAR(34),"")</f>
        <v>50+</v>
      </c>
      <c r="R2605" s="0" t="str">
        <f aca="false">IF($D2605&lt;&gt;"","["&amp;$E2605&amp;"]"&amp;"|"&amp;$Q2605&amp;"|"&amp;$K2605&amp;"|"&amp;$G2605&amp;"|"&amp;IF($G2605="TX_CURR_SUBNAT.R","CY2022Q4",$M2605),"")</f>
        <v>[oiPR2CiVJbf]|50+|Male|DIAGNOSED_SUBNAT.T_1|CY2023Q3</v>
      </c>
    </row>
    <row r="2606" customFormat="false" ht="15" hidden="false" customHeight="false" outlineLevel="0" collapsed="false">
      <c r="D2606" s="0" t="s">
        <v>108</v>
      </c>
      <c r="E2606" s="0" t="s">
        <v>109</v>
      </c>
      <c r="F2606" s="0" t="s">
        <v>110</v>
      </c>
      <c r="G2606" s="0" t="s">
        <v>148</v>
      </c>
      <c r="H2606" s="0" t="s">
        <v>149</v>
      </c>
      <c r="I2606" s="0" t="s">
        <v>28</v>
      </c>
      <c r="J2606" s="0" t="s">
        <v>29</v>
      </c>
      <c r="K2606" s="0" t="s">
        <v>30</v>
      </c>
      <c r="L2606" s="0" t="s">
        <v>31</v>
      </c>
      <c r="M2606" s="0" t="s">
        <v>140</v>
      </c>
      <c r="N2606" s="0" t="n">
        <v>1578</v>
      </c>
      <c r="O2606" s="10" t="n">
        <v>0.48863427946344</v>
      </c>
      <c r="P2606" s="10" t="n">
        <v>0.434221804374829</v>
      </c>
      <c r="Q2606" s="0" t="str">
        <f aca="false">SUBSTITUTE(SUBSTITUTE($I2606,CHAR(61),""),CHAR(34),"")</f>
        <v>&lt;01</v>
      </c>
      <c r="R2606" s="0" t="str">
        <f aca="false">IF($D2606&lt;&gt;"","["&amp;$E2606&amp;"]"&amp;"|"&amp;$Q2606&amp;"|"&amp;$K2606&amp;"|"&amp;$G2606&amp;"|"&amp;IF($G2606="TX_CURR_SUBNAT.R","CY2022Q4",$M2606),"")</f>
        <v>[ul0y9diGujK]|&lt;01|Female|DIAGNOSED_SUBNAT.T_1|CY2023Q3</v>
      </c>
    </row>
    <row r="2607" customFormat="false" ht="15" hidden="false" customHeight="false" outlineLevel="0" collapsed="false">
      <c r="D2607" s="0" t="s">
        <v>108</v>
      </c>
      <c r="E2607" s="0" t="s">
        <v>109</v>
      </c>
      <c r="F2607" s="0" t="s">
        <v>110</v>
      </c>
      <c r="G2607" s="0" t="s">
        <v>148</v>
      </c>
      <c r="H2607" s="0" t="s">
        <v>149</v>
      </c>
      <c r="I2607" s="0" t="s">
        <v>33</v>
      </c>
      <c r="J2607" s="0" t="s">
        <v>34</v>
      </c>
      <c r="K2607" s="0" t="s">
        <v>30</v>
      </c>
      <c r="L2607" s="0" t="s">
        <v>31</v>
      </c>
      <c r="M2607" s="0" t="s">
        <v>140</v>
      </c>
      <c r="N2607" s="0" t="n">
        <v>727</v>
      </c>
      <c r="O2607" s="10" t="n">
        <v>0.401571806985885</v>
      </c>
      <c r="P2607" s="10" t="n">
        <v>0.434221804374829</v>
      </c>
      <c r="Q2607" s="0" t="str">
        <f aca="false">SUBSTITUTE(SUBSTITUTE($I2607,CHAR(61),""),CHAR(34),"")</f>
        <v>01-09</v>
      </c>
      <c r="R2607" s="0" t="str">
        <f aca="false">IF($D2607&lt;&gt;"","["&amp;$E2607&amp;"]"&amp;"|"&amp;$Q2607&amp;"|"&amp;$K2607&amp;"|"&amp;$G2607&amp;"|"&amp;IF($G2607="TX_CURR_SUBNAT.R","CY2022Q4",$M2607),"")</f>
        <v>[ul0y9diGujK]|01-09|Female|DIAGNOSED_SUBNAT.T_1|CY2023Q3</v>
      </c>
    </row>
    <row r="2608" customFormat="false" ht="15" hidden="false" customHeight="false" outlineLevel="0" collapsed="false">
      <c r="D2608" s="0" t="s">
        <v>108</v>
      </c>
      <c r="E2608" s="0" t="s">
        <v>109</v>
      </c>
      <c r="F2608" s="0" t="s">
        <v>110</v>
      </c>
      <c r="G2608" s="0" t="s">
        <v>148</v>
      </c>
      <c r="H2608" s="0" t="s">
        <v>149</v>
      </c>
      <c r="I2608" s="0" t="s">
        <v>36</v>
      </c>
      <c r="J2608" s="0" t="s">
        <v>37</v>
      </c>
      <c r="K2608" s="0" t="s">
        <v>30</v>
      </c>
      <c r="L2608" s="0" t="s">
        <v>31</v>
      </c>
      <c r="M2608" s="0" t="s">
        <v>140</v>
      </c>
      <c r="N2608" s="0" t="n">
        <v>1371</v>
      </c>
      <c r="O2608" s="10" t="n">
        <v>0.0791236290242523</v>
      </c>
      <c r="P2608" s="10" t="n">
        <v>0.434221804374829</v>
      </c>
      <c r="Q2608" s="0" t="str">
        <f aca="false">SUBSTITUTE(SUBSTITUTE($I2608,CHAR(61),""),CHAR(34),"")</f>
        <v>10-14</v>
      </c>
      <c r="R2608" s="0" t="str">
        <f aca="false">IF($D2608&lt;&gt;"","["&amp;$E2608&amp;"]"&amp;"|"&amp;$Q2608&amp;"|"&amp;$K2608&amp;"|"&amp;$G2608&amp;"|"&amp;IF($G2608="TX_CURR_SUBNAT.R","CY2022Q4",$M2608),"")</f>
        <v>[ul0y9diGujK]|10-14|Female|DIAGNOSED_SUBNAT.T_1|CY2023Q3</v>
      </c>
    </row>
    <row r="2609" customFormat="false" ht="15" hidden="false" customHeight="false" outlineLevel="0" collapsed="false">
      <c r="D2609" s="0" t="s">
        <v>108</v>
      </c>
      <c r="E2609" s="0" t="s">
        <v>109</v>
      </c>
      <c r="F2609" s="0" t="s">
        <v>110</v>
      </c>
      <c r="G2609" s="0" t="s">
        <v>148</v>
      </c>
      <c r="H2609" s="0" t="s">
        <v>149</v>
      </c>
      <c r="I2609" s="0" t="s">
        <v>38</v>
      </c>
      <c r="J2609" s="0" t="s">
        <v>39</v>
      </c>
      <c r="K2609" s="0" t="s">
        <v>30</v>
      </c>
      <c r="L2609" s="0" t="s">
        <v>31</v>
      </c>
      <c r="M2609" s="0" t="s">
        <v>140</v>
      </c>
      <c r="N2609" s="0" t="n">
        <v>1191</v>
      </c>
      <c r="O2609" s="10" t="n">
        <v>0.0916017692070454</v>
      </c>
      <c r="P2609" s="10" t="n">
        <v>0.434221804374829</v>
      </c>
      <c r="Q2609" s="0" t="str">
        <f aca="false">SUBSTITUTE(SUBSTITUTE($I2609,CHAR(61),""),CHAR(34),"")</f>
        <v>15-24</v>
      </c>
      <c r="R2609" s="0" t="str">
        <f aca="false">IF($D2609&lt;&gt;"","["&amp;$E2609&amp;"]"&amp;"|"&amp;$Q2609&amp;"|"&amp;$K2609&amp;"|"&amp;$G2609&amp;"|"&amp;IF($G2609="TX_CURR_SUBNAT.R","CY2022Q4",$M2609),"")</f>
        <v>[ul0y9diGujK]|15-24|Female|DIAGNOSED_SUBNAT.T_1|CY2023Q3</v>
      </c>
    </row>
    <row r="2610" customFormat="false" ht="15" hidden="false" customHeight="false" outlineLevel="0" collapsed="false">
      <c r="D2610" s="0" t="s">
        <v>108</v>
      </c>
      <c r="E2610" s="0" t="s">
        <v>109</v>
      </c>
      <c r="F2610" s="0" t="s">
        <v>110</v>
      </c>
      <c r="G2610" s="0" t="s">
        <v>148</v>
      </c>
      <c r="H2610" s="0" t="s">
        <v>149</v>
      </c>
      <c r="I2610" s="0" t="s">
        <v>41</v>
      </c>
      <c r="J2610" s="0" t="s">
        <v>42</v>
      </c>
      <c r="K2610" s="0" t="s">
        <v>30</v>
      </c>
      <c r="L2610" s="0" t="s">
        <v>31</v>
      </c>
      <c r="M2610" s="0" t="s">
        <v>140</v>
      </c>
      <c r="N2610" s="0" t="n">
        <v>1818</v>
      </c>
      <c r="O2610" s="10" t="n">
        <v>0.665110183879733</v>
      </c>
      <c r="P2610" s="10" t="n">
        <v>0.434221804374829</v>
      </c>
      <c r="Q2610" s="0" t="str">
        <f aca="false">SUBSTITUTE(SUBSTITUTE($I2610,CHAR(61),""),CHAR(34),"")</f>
        <v>25-34</v>
      </c>
      <c r="R2610" s="0" t="str">
        <f aca="false">IF($D2610&lt;&gt;"","["&amp;$E2610&amp;"]"&amp;"|"&amp;$Q2610&amp;"|"&amp;$K2610&amp;"|"&amp;$G2610&amp;"|"&amp;IF($G2610="TX_CURR_SUBNAT.R","CY2022Q4",$M2610),"")</f>
        <v>[ul0y9diGujK]|25-34|Female|DIAGNOSED_SUBNAT.T_1|CY2023Q3</v>
      </c>
    </row>
    <row r="2611" customFormat="false" ht="15" hidden="false" customHeight="false" outlineLevel="0" collapsed="false">
      <c r="D2611" s="0" t="s">
        <v>108</v>
      </c>
      <c r="E2611" s="0" t="s">
        <v>109</v>
      </c>
      <c r="F2611" s="0" t="s">
        <v>110</v>
      </c>
      <c r="G2611" s="0" t="s">
        <v>148</v>
      </c>
      <c r="H2611" s="0" t="s">
        <v>149</v>
      </c>
      <c r="I2611" s="0" t="s">
        <v>43</v>
      </c>
      <c r="J2611" s="0" t="s">
        <v>44</v>
      </c>
      <c r="K2611" s="0" t="s">
        <v>30</v>
      </c>
      <c r="L2611" s="0" t="s">
        <v>31</v>
      </c>
      <c r="M2611" s="0" t="s">
        <v>140</v>
      </c>
      <c r="N2611" s="0" t="n">
        <v>1887</v>
      </c>
      <c r="O2611" s="10" t="n">
        <v>0.0694998030085117</v>
      </c>
      <c r="P2611" s="10" t="n">
        <v>0.434221804374829</v>
      </c>
      <c r="Q2611" s="0" t="str">
        <f aca="false">SUBSTITUTE(SUBSTITUTE($I2611,CHAR(61),""),CHAR(34),"")</f>
        <v>35-49</v>
      </c>
      <c r="R2611" s="0" t="str">
        <f aca="false">IF($D2611&lt;&gt;"","["&amp;$E2611&amp;"]"&amp;"|"&amp;$Q2611&amp;"|"&amp;$K2611&amp;"|"&amp;$G2611&amp;"|"&amp;IF($G2611="TX_CURR_SUBNAT.R","CY2022Q4",$M2611),"")</f>
        <v>[ul0y9diGujK]|35-49|Female|DIAGNOSED_SUBNAT.T_1|CY2023Q3</v>
      </c>
    </row>
    <row r="2612" customFormat="false" ht="15" hidden="false" customHeight="false" outlineLevel="0" collapsed="false">
      <c r="D2612" s="0" t="s">
        <v>108</v>
      </c>
      <c r="E2612" s="0" t="s">
        <v>109</v>
      </c>
      <c r="F2612" s="0" t="s">
        <v>110</v>
      </c>
      <c r="G2612" s="0" t="s">
        <v>148</v>
      </c>
      <c r="H2612" s="0" t="s">
        <v>149</v>
      </c>
      <c r="I2612" s="0" t="s">
        <v>45</v>
      </c>
      <c r="J2612" s="0" t="s">
        <v>46</v>
      </c>
      <c r="K2612" s="0" t="s">
        <v>30</v>
      </c>
      <c r="L2612" s="0" t="s">
        <v>31</v>
      </c>
      <c r="M2612" s="0" t="s">
        <v>140</v>
      </c>
      <c r="N2612" s="0" t="n">
        <v>1906</v>
      </c>
      <c r="O2612" s="10" t="n">
        <v>0.738630749750882</v>
      </c>
      <c r="P2612" s="10" t="n">
        <v>0.434221804374829</v>
      </c>
      <c r="Q2612" s="0" t="str">
        <f aca="false">SUBSTITUTE(SUBSTITUTE($I2612,CHAR(61),""),CHAR(34),"")</f>
        <v>50+</v>
      </c>
      <c r="R2612" s="0" t="str">
        <f aca="false">IF($D2612&lt;&gt;"","["&amp;$E2612&amp;"]"&amp;"|"&amp;$Q2612&amp;"|"&amp;$K2612&amp;"|"&amp;$G2612&amp;"|"&amp;IF($G2612="TX_CURR_SUBNAT.R","CY2022Q4",$M2612),"")</f>
        <v>[ul0y9diGujK]|50+|Female|DIAGNOSED_SUBNAT.T_1|CY2023Q3</v>
      </c>
    </row>
    <row r="2613" customFormat="false" ht="15" hidden="false" customHeight="false" outlineLevel="0" collapsed="false">
      <c r="D2613" s="0" t="s">
        <v>108</v>
      </c>
      <c r="E2613" s="0" t="s">
        <v>109</v>
      </c>
      <c r="F2613" s="0" t="s">
        <v>110</v>
      </c>
      <c r="G2613" s="0" t="s">
        <v>148</v>
      </c>
      <c r="H2613" s="0" t="s">
        <v>149</v>
      </c>
      <c r="I2613" s="0" t="s">
        <v>28</v>
      </c>
      <c r="J2613" s="0" t="s">
        <v>29</v>
      </c>
      <c r="K2613" s="0" t="s">
        <v>48</v>
      </c>
      <c r="L2613" s="0" t="s">
        <v>49</v>
      </c>
      <c r="M2613" s="0" t="s">
        <v>140</v>
      </c>
      <c r="N2613" s="0" t="n">
        <v>1256</v>
      </c>
      <c r="O2613" s="10" t="n">
        <v>0.850972909480333</v>
      </c>
      <c r="P2613" s="10" t="n">
        <v>0.434221804374829</v>
      </c>
      <c r="Q2613" s="0" t="str">
        <f aca="false">SUBSTITUTE(SUBSTITUTE($I2613,CHAR(61),""),CHAR(34),"")</f>
        <v>&lt;01</v>
      </c>
      <c r="R2613" s="0" t="str">
        <f aca="false">IF($D2613&lt;&gt;"","["&amp;$E2613&amp;"]"&amp;"|"&amp;$Q2613&amp;"|"&amp;$K2613&amp;"|"&amp;$G2613&amp;"|"&amp;IF($G2613="TX_CURR_SUBNAT.R","CY2022Q4",$M2613),"")</f>
        <v>[ul0y9diGujK]|&lt;01|Male|DIAGNOSED_SUBNAT.T_1|CY2023Q3</v>
      </c>
    </row>
    <row r="2614" customFormat="false" ht="15" hidden="false" customHeight="false" outlineLevel="0" collapsed="false">
      <c r="D2614" s="0" t="s">
        <v>108</v>
      </c>
      <c r="E2614" s="0" t="s">
        <v>109</v>
      </c>
      <c r="F2614" s="0" t="s">
        <v>110</v>
      </c>
      <c r="G2614" s="0" t="s">
        <v>148</v>
      </c>
      <c r="H2614" s="0" t="s">
        <v>149</v>
      </c>
      <c r="I2614" s="0" t="s">
        <v>33</v>
      </c>
      <c r="J2614" s="0" t="s">
        <v>34</v>
      </c>
      <c r="K2614" s="0" t="s">
        <v>48</v>
      </c>
      <c r="L2614" s="0" t="s">
        <v>49</v>
      </c>
      <c r="M2614" s="0" t="s">
        <v>140</v>
      </c>
      <c r="N2614" s="0" t="n">
        <v>730</v>
      </c>
      <c r="O2614" s="10" t="n">
        <v>0.455934209283441</v>
      </c>
      <c r="P2614" s="10" t="n">
        <v>0.434221804374829</v>
      </c>
      <c r="Q2614" s="0" t="str">
        <f aca="false">SUBSTITUTE(SUBSTITUTE($I2614,CHAR(61),""),CHAR(34),"")</f>
        <v>01-09</v>
      </c>
      <c r="R2614" s="0" t="str">
        <f aca="false">IF($D2614&lt;&gt;"","["&amp;$E2614&amp;"]"&amp;"|"&amp;$Q2614&amp;"|"&amp;$K2614&amp;"|"&amp;$G2614&amp;"|"&amp;IF($G2614="TX_CURR_SUBNAT.R","CY2022Q4",$M2614),"")</f>
        <v>[ul0y9diGujK]|01-09|Male|DIAGNOSED_SUBNAT.T_1|CY2023Q3</v>
      </c>
    </row>
    <row r="2615" customFormat="false" ht="15" hidden="false" customHeight="false" outlineLevel="0" collapsed="false">
      <c r="D2615" s="0" t="s">
        <v>108</v>
      </c>
      <c r="E2615" s="0" t="s">
        <v>109</v>
      </c>
      <c r="F2615" s="0" t="s">
        <v>110</v>
      </c>
      <c r="G2615" s="0" t="s">
        <v>148</v>
      </c>
      <c r="H2615" s="0" t="s">
        <v>149</v>
      </c>
      <c r="I2615" s="0" t="s">
        <v>36</v>
      </c>
      <c r="J2615" s="0" t="s">
        <v>37</v>
      </c>
      <c r="K2615" s="0" t="s">
        <v>48</v>
      </c>
      <c r="L2615" s="0" t="s">
        <v>49</v>
      </c>
      <c r="M2615" s="0" t="s">
        <v>140</v>
      </c>
      <c r="N2615" s="0" t="n">
        <v>882</v>
      </c>
      <c r="O2615" s="10" t="n">
        <v>0.662926302989945</v>
      </c>
      <c r="P2615" s="10" t="n">
        <v>0.434221804374829</v>
      </c>
      <c r="Q2615" s="0" t="str">
        <f aca="false">SUBSTITUTE(SUBSTITUTE($I2615,CHAR(61),""),CHAR(34),"")</f>
        <v>10-14</v>
      </c>
      <c r="R2615" s="0" t="str">
        <f aca="false">IF($D2615&lt;&gt;"","["&amp;$E2615&amp;"]"&amp;"|"&amp;$Q2615&amp;"|"&amp;$K2615&amp;"|"&amp;$G2615&amp;"|"&amp;IF($G2615="TX_CURR_SUBNAT.R","CY2022Q4",$M2615),"")</f>
        <v>[ul0y9diGujK]|10-14|Male|DIAGNOSED_SUBNAT.T_1|CY2023Q3</v>
      </c>
    </row>
    <row r="2616" customFormat="false" ht="15" hidden="false" customHeight="false" outlineLevel="0" collapsed="false">
      <c r="D2616" s="0" t="s">
        <v>108</v>
      </c>
      <c r="E2616" s="0" t="s">
        <v>109</v>
      </c>
      <c r="F2616" s="0" t="s">
        <v>110</v>
      </c>
      <c r="G2616" s="0" t="s">
        <v>148</v>
      </c>
      <c r="H2616" s="0" t="s">
        <v>149</v>
      </c>
      <c r="I2616" s="0" t="s">
        <v>38</v>
      </c>
      <c r="J2616" s="0" t="s">
        <v>39</v>
      </c>
      <c r="K2616" s="0" t="s">
        <v>48</v>
      </c>
      <c r="L2616" s="0" t="s">
        <v>49</v>
      </c>
      <c r="M2616" s="0" t="s">
        <v>140</v>
      </c>
      <c r="N2616" s="0" t="n">
        <v>1324</v>
      </c>
      <c r="O2616" s="10" t="n">
        <v>0.100902978796512</v>
      </c>
      <c r="P2616" s="10" t="n">
        <v>0.434221804374829</v>
      </c>
      <c r="Q2616" s="0" t="str">
        <f aca="false">SUBSTITUTE(SUBSTITUTE($I2616,CHAR(61),""),CHAR(34),"")</f>
        <v>15-24</v>
      </c>
      <c r="R2616" s="0" t="str">
        <f aca="false">IF($D2616&lt;&gt;"","["&amp;$E2616&amp;"]"&amp;"|"&amp;$Q2616&amp;"|"&amp;$K2616&amp;"|"&amp;$G2616&amp;"|"&amp;IF($G2616="TX_CURR_SUBNAT.R","CY2022Q4",$M2616),"")</f>
        <v>[ul0y9diGujK]|15-24|Male|DIAGNOSED_SUBNAT.T_1|CY2023Q3</v>
      </c>
    </row>
    <row r="2617" customFormat="false" ht="15" hidden="false" customHeight="false" outlineLevel="0" collapsed="false">
      <c r="D2617" s="0" t="s">
        <v>108</v>
      </c>
      <c r="E2617" s="0" t="s">
        <v>109</v>
      </c>
      <c r="F2617" s="0" t="s">
        <v>110</v>
      </c>
      <c r="G2617" s="0" t="s">
        <v>148</v>
      </c>
      <c r="H2617" s="0" t="s">
        <v>149</v>
      </c>
      <c r="I2617" s="0" t="s">
        <v>41</v>
      </c>
      <c r="J2617" s="0" t="s">
        <v>42</v>
      </c>
      <c r="K2617" s="0" t="s">
        <v>48</v>
      </c>
      <c r="L2617" s="0" t="s">
        <v>49</v>
      </c>
      <c r="M2617" s="0" t="s">
        <v>140</v>
      </c>
      <c r="N2617" s="0" t="n">
        <v>1769</v>
      </c>
      <c r="O2617" s="10" t="n">
        <v>0.00200003082863986</v>
      </c>
      <c r="P2617" s="10" t="n">
        <v>0.434221804374829</v>
      </c>
      <c r="Q2617" s="0" t="str">
        <f aca="false">SUBSTITUTE(SUBSTITUTE($I2617,CHAR(61),""),CHAR(34),"")</f>
        <v>25-34</v>
      </c>
      <c r="R2617" s="0" t="str">
        <f aca="false">IF($D2617&lt;&gt;"","["&amp;$E2617&amp;"]"&amp;"|"&amp;$Q2617&amp;"|"&amp;$K2617&amp;"|"&amp;$G2617&amp;"|"&amp;IF($G2617="TX_CURR_SUBNAT.R","CY2022Q4",$M2617),"")</f>
        <v>[ul0y9diGujK]|25-34|Male|DIAGNOSED_SUBNAT.T_1|CY2023Q3</v>
      </c>
    </row>
    <row r="2618" customFormat="false" ht="15" hidden="false" customHeight="false" outlineLevel="0" collapsed="false">
      <c r="D2618" s="0" t="s">
        <v>108</v>
      </c>
      <c r="E2618" s="0" t="s">
        <v>109</v>
      </c>
      <c r="F2618" s="0" t="s">
        <v>110</v>
      </c>
      <c r="G2618" s="0" t="s">
        <v>148</v>
      </c>
      <c r="H2618" s="0" t="s">
        <v>149</v>
      </c>
      <c r="I2618" s="0" t="s">
        <v>43</v>
      </c>
      <c r="J2618" s="0" t="s">
        <v>44</v>
      </c>
      <c r="K2618" s="0" t="s">
        <v>48</v>
      </c>
      <c r="L2618" s="0" t="s">
        <v>49</v>
      </c>
      <c r="M2618" s="0" t="s">
        <v>140</v>
      </c>
      <c r="N2618" s="0" t="n">
        <v>1857</v>
      </c>
      <c r="O2618" s="10" t="n">
        <v>0.508819808717817</v>
      </c>
      <c r="P2618" s="10" t="n">
        <v>0.434221804374829</v>
      </c>
      <c r="Q2618" s="0" t="str">
        <f aca="false">SUBSTITUTE(SUBSTITUTE($I2618,CHAR(61),""),CHAR(34),"")</f>
        <v>35-49</v>
      </c>
      <c r="R2618" s="0" t="str">
        <f aca="false">IF($D2618&lt;&gt;"","["&amp;$E2618&amp;"]"&amp;"|"&amp;$Q2618&amp;"|"&amp;$K2618&amp;"|"&amp;$G2618&amp;"|"&amp;IF($G2618="TX_CURR_SUBNAT.R","CY2022Q4",$M2618),"")</f>
        <v>[ul0y9diGujK]|35-49|Male|DIAGNOSED_SUBNAT.T_1|CY2023Q3</v>
      </c>
    </row>
    <row r="2619" customFormat="false" ht="15" hidden="false" customHeight="false" outlineLevel="0" collapsed="false">
      <c r="D2619" s="0" t="s">
        <v>108</v>
      </c>
      <c r="E2619" s="0" t="s">
        <v>109</v>
      </c>
      <c r="F2619" s="0" t="s">
        <v>110</v>
      </c>
      <c r="G2619" s="0" t="s">
        <v>148</v>
      </c>
      <c r="H2619" s="0" t="s">
        <v>149</v>
      </c>
      <c r="I2619" s="0" t="s">
        <v>45</v>
      </c>
      <c r="J2619" s="0" t="s">
        <v>46</v>
      </c>
      <c r="K2619" s="0" t="s">
        <v>48</v>
      </c>
      <c r="L2619" s="0" t="s">
        <v>49</v>
      </c>
      <c r="M2619" s="0" t="s">
        <v>140</v>
      </c>
      <c r="N2619" s="0" t="n">
        <v>555</v>
      </c>
      <c r="O2619" s="10" t="n">
        <v>0.198566856794059</v>
      </c>
      <c r="P2619" s="10" t="n">
        <v>0.434221804374829</v>
      </c>
      <c r="Q2619" s="0" t="str">
        <f aca="false">SUBSTITUTE(SUBSTITUTE($I2619,CHAR(61),""),CHAR(34),"")</f>
        <v>50+</v>
      </c>
      <c r="R2619" s="0" t="str">
        <f aca="false">IF($D2619&lt;&gt;"","["&amp;$E2619&amp;"]"&amp;"|"&amp;$Q2619&amp;"|"&amp;$K2619&amp;"|"&amp;$G2619&amp;"|"&amp;IF($G2619="TX_CURR_SUBNAT.R","CY2022Q4",$M2619),"")</f>
        <v>[ul0y9diGujK]|50+|Male|DIAGNOSED_SUBNAT.T_1|CY2023Q3</v>
      </c>
    </row>
    <row r="2620" customFormat="false" ht="15" hidden="false" customHeight="false" outlineLevel="0" collapsed="false">
      <c r="D2620" s="0" t="s">
        <v>111</v>
      </c>
      <c r="E2620" s="0" t="s">
        <v>112</v>
      </c>
      <c r="F2620" s="0" t="s">
        <v>113</v>
      </c>
      <c r="G2620" s="0" t="s">
        <v>148</v>
      </c>
      <c r="H2620" s="0" t="s">
        <v>149</v>
      </c>
      <c r="I2620" s="0" t="s">
        <v>28</v>
      </c>
      <c r="J2620" s="0" t="s">
        <v>29</v>
      </c>
      <c r="K2620" s="0" t="s">
        <v>30</v>
      </c>
      <c r="L2620" s="0" t="s">
        <v>31</v>
      </c>
      <c r="M2620" s="0" t="s">
        <v>140</v>
      </c>
      <c r="N2620" s="0" t="n">
        <v>678</v>
      </c>
      <c r="O2620" s="10" t="n">
        <v>0.870642127236351</v>
      </c>
      <c r="P2620" s="10" t="n">
        <v>0.337768794968724</v>
      </c>
      <c r="Q2620" s="0" t="str">
        <f aca="false">SUBSTITUTE(SUBSTITUTE($I2620,CHAR(61),""),CHAR(34),"")</f>
        <v>&lt;01</v>
      </c>
      <c r="R2620" s="0" t="str">
        <f aca="false">IF($D2620&lt;&gt;"","["&amp;$E2620&amp;"]"&amp;"|"&amp;$Q2620&amp;"|"&amp;$K2620&amp;"|"&amp;$G2620&amp;"|"&amp;IF($G2620="TX_CURR_SUBNAT.R","CY2022Q4",$M2620),"")</f>
        <v>[U8c0so51kT6]|&lt;01|Female|DIAGNOSED_SUBNAT.T_1|CY2023Q3</v>
      </c>
    </row>
    <row r="2621" customFormat="false" ht="15" hidden="false" customHeight="false" outlineLevel="0" collapsed="false">
      <c r="D2621" s="0" t="s">
        <v>111</v>
      </c>
      <c r="E2621" s="0" t="s">
        <v>112</v>
      </c>
      <c r="F2621" s="0" t="s">
        <v>113</v>
      </c>
      <c r="G2621" s="0" t="s">
        <v>148</v>
      </c>
      <c r="H2621" s="0" t="s">
        <v>149</v>
      </c>
      <c r="I2621" s="0" t="s">
        <v>33</v>
      </c>
      <c r="J2621" s="0" t="s">
        <v>34</v>
      </c>
      <c r="K2621" s="0" t="s">
        <v>30</v>
      </c>
      <c r="L2621" s="0" t="s">
        <v>31</v>
      </c>
      <c r="M2621" s="0" t="s">
        <v>140</v>
      </c>
      <c r="N2621" s="0" t="n">
        <v>533</v>
      </c>
      <c r="O2621" s="10" t="n">
        <v>0.735299533465877</v>
      </c>
      <c r="P2621" s="10" t="n">
        <v>0.337768794968724</v>
      </c>
      <c r="Q2621" s="0" t="str">
        <f aca="false">SUBSTITUTE(SUBSTITUTE($I2621,CHAR(61),""),CHAR(34),"")</f>
        <v>01-09</v>
      </c>
      <c r="R2621" s="0" t="str">
        <f aca="false">IF($D2621&lt;&gt;"","["&amp;$E2621&amp;"]"&amp;"|"&amp;$Q2621&amp;"|"&amp;$K2621&amp;"|"&amp;$G2621&amp;"|"&amp;IF($G2621="TX_CURR_SUBNAT.R","CY2022Q4",$M2621),"")</f>
        <v>[U8c0so51kT6]|01-09|Female|DIAGNOSED_SUBNAT.T_1|CY2023Q3</v>
      </c>
    </row>
    <row r="2622" customFormat="false" ht="15" hidden="false" customHeight="false" outlineLevel="0" collapsed="false">
      <c r="D2622" s="0" t="s">
        <v>111</v>
      </c>
      <c r="E2622" s="0" t="s">
        <v>112</v>
      </c>
      <c r="F2622" s="0" t="s">
        <v>113</v>
      </c>
      <c r="G2622" s="0" t="s">
        <v>148</v>
      </c>
      <c r="H2622" s="0" t="s">
        <v>149</v>
      </c>
      <c r="I2622" s="0" t="s">
        <v>36</v>
      </c>
      <c r="J2622" s="0" t="s">
        <v>37</v>
      </c>
      <c r="K2622" s="0" t="s">
        <v>30</v>
      </c>
      <c r="L2622" s="0" t="s">
        <v>31</v>
      </c>
      <c r="M2622" s="0" t="s">
        <v>140</v>
      </c>
      <c r="N2622" s="0" t="n">
        <v>1141</v>
      </c>
      <c r="O2622" s="10" t="n">
        <v>0.768011044245213</v>
      </c>
      <c r="P2622" s="10" t="n">
        <v>0.337768794968724</v>
      </c>
      <c r="Q2622" s="0" t="str">
        <f aca="false">SUBSTITUTE(SUBSTITUTE($I2622,CHAR(61),""),CHAR(34),"")</f>
        <v>10-14</v>
      </c>
      <c r="R2622" s="0" t="str">
        <f aca="false">IF($D2622&lt;&gt;"","["&amp;$E2622&amp;"]"&amp;"|"&amp;$Q2622&amp;"|"&amp;$K2622&amp;"|"&amp;$G2622&amp;"|"&amp;IF($G2622="TX_CURR_SUBNAT.R","CY2022Q4",$M2622),"")</f>
        <v>[U8c0so51kT6]|10-14|Female|DIAGNOSED_SUBNAT.T_1|CY2023Q3</v>
      </c>
    </row>
    <row r="2623" customFormat="false" ht="15" hidden="false" customHeight="false" outlineLevel="0" collapsed="false">
      <c r="D2623" s="0" t="s">
        <v>111</v>
      </c>
      <c r="E2623" s="0" t="s">
        <v>112</v>
      </c>
      <c r="F2623" s="0" t="s">
        <v>113</v>
      </c>
      <c r="G2623" s="0" t="s">
        <v>148</v>
      </c>
      <c r="H2623" s="0" t="s">
        <v>149</v>
      </c>
      <c r="I2623" s="0" t="s">
        <v>38</v>
      </c>
      <c r="J2623" s="0" t="s">
        <v>39</v>
      </c>
      <c r="K2623" s="0" t="s">
        <v>30</v>
      </c>
      <c r="L2623" s="0" t="s">
        <v>31</v>
      </c>
      <c r="M2623" s="0" t="s">
        <v>140</v>
      </c>
      <c r="N2623" s="0" t="n">
        <v>1886</v>
      </c>
      <c r="O2623" s="10" t="n">
        <v>0.892651897622272</v>
      </c>
      <c r="P2623" s="10" t="n">
        <v>0.337768794968724</v>
      </c>
      <c r="Q2623" s="0" t="str">
        <f aca="false">SUBSTITUTE(SUBSTITUTE($I2623,CHAR(61),""),CHAR(34),"")</f>
        <v>15-24</v>
      </c>
      <c r="R2623" s="0" t="str">
        <f aca="false">IF($D2623&lt;&gt;"","["&amp;$E2623&amp;"]"&amp;"|"&amp;$Q2623&amp;"|"&amp;$K2623&amp;"|"&amp;$G2623&amp;"|"&amp;IF($G2623="TX_CURR_SUBNAT.R","CY2022Q4",$M2623),"")</f>
        <v>[U8c0so51kT6]|15-24|Female|DIAGNOSED_SUBNAT.T_1|CY2023Q3</v>
      </c>
    </row>
    <row r="2624" customFormat="false" ht="15" hidden="false" customHeight="false" outlineLevel="0" collapsed="false">
      <c r="D2624" s="0" t="s">
        <v>111</v>
      </c>
      <c r="E2624" s="0" t="s">
        <v>112</v>
      </c>
      <c r="F2624" s="0" t="s">
        <v>113</v>
      </c>
      <c r="G2624" s="0" t="s">
        <v>148</v>
      </c>
      <c r="H2624" s="0" t="s">
        <v>149</v>
      </c>
      <c r="I2624" s="0" t="s">
        <v>41</v>
      </c>
      <c r="J2624" s="0" t="s">
        <v>42</v>
      </c>
      <c r="K2624" s="0" t="s">
        <v>30</v>
      </c>
      <c r="L2624" s="0" t="s">
        <v>31</v>
      </c>
      <c r="M2624" s="0" t="s">
        <v>140</v>
      </c>
      <c r="N2624" s="0" t="n">
        <v>1599</v>
      </c>
      <c r="O2624" s="10" t="n">
        <v>0.88788215094246</v>
      </c>
      <c r="P2624" s="10" t="n">
        <v>0.337768794968724</v>
      </c>
      <c r="Q2624" s="0" t="str">
        <f aca="false">SUBSTITUTE(SUBSTITUTE($I2624,CHAR(61),""),CHAR(34),"")</f>
        <v>25-34</v>
      </c>
      <c r="R2624" s="0" t="str">
        <f aca="false">IF($D2624&lt;&gt;"","["&amp;$E2624&amp;"]"&amp;"|"&amp;$Q2624&amp;"|"&amp;$K2624&amp;"|"&amp;$G2624&amp;"|"&amp;IF($G2624="TX_CURR_SUBNAT.R","CY2022Q4",$M2624),"")</f>
        <v>[U8c0so51kT6]|25-34|Female|DIAGNOSED_SUBNAT.T_1|CY2023Q3</v>
      </c>
    </row>
    <row r="2625" customFormat="false" ht="15" hidden="false" customHeight="false" outlineLevel="0" collapsed="false">
      <c r="D2625" s="0" t="s">
        <v>111</v>
      </c>
      <c r="E2625" s="0" t="s">
        <v>112</v>
      </c>
      <c r="F2625" s="0" t="s">
        <v>113</v>
      </c>
      <c r="G2625" s="0" t="s">
        <v>148</v>
      </c>
      <c r="H2625" s="0" t="s">
        <v>149</v>
      </c>
      <c r="I2625" s="0" t="s">
        <v>43</v>
      </c>
      <c r="J2625" s="0" t="s">
        <v>44</v>
      </c>
      <c r="K2625" s="0" t="s">
        <v>30</v>
      </c>
      <c r="L2625" s="0" t="s">
        <v>31</v>
      </c>
      <c r="M2625" s="0" t="s">
        <v>140</v>
      </c>
      <c r="N2625" s="0" t="n">
        <v>1518</v>
      </c>
      <c r="O2625" s="10" t="n">
        <v>0.760240271454677</v>
      </c>
      <c r="P2625" s="10" t="n">
        <v>0.337768794968724</v>
      </c>
      <c r="Q2625" s="0" t="str">
        <f aca="false">SUBSTITUTE(SUBSTITUTE($I2625,CHAR(61),""),CHAR(34),"")</f>
        <v>35-49</v>
      </c>
      <c r="R2625" s="0" t="str">
        <f aca="false">IF($D2625&lt;&gt;"","["&amp;$E2625&amp;"]"&amp;"|"&amp;$Q2625&amp;"|"&amp;$K2625&amp;"|"&amp;$G2625&amp;"|"&amp;IF($G2625="TX_CURR_SUBNAT.R","CY2022Q4",$M2625),"")</f>
        <v>[U8c0so51kT6]|35-49|Female|DIAGNOSED_SUBNAT.T_1|CY2023Q3</v>
      </c>
    </row>
    <row r="2626" customFormat="false" ht="15" hidden="false" customHeight="false" outlineLevel="0" collapsed="false">
      <c r="D2626" s="0" t="s">
        <v>111</v>
      </c>
      <c r="E2626" s="0" t="s">
        <v>112</v>
      </c>
      <c r="F2626" s="0" t="s">
        <v>113</v>
      </c>
      <c r="G2626" s="0" t="s">
        <v>148</v>
      </c>
      <c r="H2626" s="0" t="s">
        <v>149</v>
      </c>
      <c r="I2626" s="0" t="s">
        <v>45</v>
      </c>
      <c r="J2626" s="0" t="s">
        <v>46</v>
      </c>
      <c r="K2626" s="0" t="s">
        <v>30</v>
      </c>
      <c r="L2626" s="0" t="s">
        <v>31</v>
      </c>
      <c r="M2626" s="0" t="s">
        <v>140</v>
      </c>
      <c r="N2626" s="0" t="n">
        <v>1082</v>
      </c>
      <c r="O2626" s="10" t="n">
        <v>0.341562228510156</v>
      </c>
      <c r="P2626" s="10" t="n">
        <v>0.337768794968724</v>
      </c>
      <c r="Q2626" s="0" t="str">
        <f aca="false">SUBSTITUTE(SUBSTITUTE($I2626,CHAR(61),""),CHAR(34),"")</f>
        <v>50+</v>
      </c>
      <c r="R2626" s="0" t="str">
        <f aca="false">IF($D2626&lt;&gt;"","["&amp;$E2626&amp;"]"&amp;"|"&amp;$Q2626&amp;"|"&amp;$K2626&amp;"|"&amp;$G2626&amp;"|"&amp;IF($G2626="TX_CURR_SUBNAT.R","CY2022Q4",$M2626),"")</f>
        <v>[U8c0so51kT6]|50+|Female|DIAGNOSED_SUBNAT.T_1|CY2023Q3</v>
      </c>
    </row>
    <row r="2627" customFormat="false" ht="15" hidden="false" customHeight="false" outlineLevel="0" collapsed="false">
      <c r="D2627" s="0" t="s">
        <v>111</v>
      </c>
      <c r="E2627" s="0" t="s">
        <v>112</v>
      </c>
      <c r="F2627" s="0" t="s">
        <v>113</v>
      </c>
      <c r="G2627" s="0" t="s">
        <v>148</v>
      </c>
      <c r="H2627" s="0" t="s">
        <v>149</v>
      </c>
      <c r="I2627" s="0" t="s">
        <v>28</v>
      </c>
      <c r="J2627" s="0" t="s">
        <v>29</v>
      </c>
      <c r="K2627" s="0" t="s">
        <v>48</v>
      </c>
      <c r="L2627" s="0" t="s">
        <v>49</v>
      </c>
      <c r="M2627" s="0" t="s">
        <v>140</v>
      </c>
      <c r="N2627" s="0" t="n">
        <v>1250</v>
      </c>
      <c r="O2627" s="10" t="n">
        <v>0.735141942743212</v>
      </c>
      <c r="P2627" s="10" t="n">
        <v>0.337768794968724</v>
      </c>
      <c r="Q2627" s="0" t="str">
        <f aca="false">SUBSTITUTE(SUBSTITUTE($I2627,CHAR(61),""),CHAR(34),"")</f>
        <v>&lt;01</v>
      </c>
      <c r="R2627" s="0" t="str">
        <f aca="false">IF($D2627&lt;&gt;"","["&amp;$E2627&amp;"]"&amp;"|"&amp;$Q2627&amp;"|"&amp;$K2627&amp;"|"&amp;$G2627&amp;"|"&amp;IF($G2627="TX_CURR_SUBNAT.R","CY2022Q4",$M2627),"")</f>
        <v>[U8c0so51kT6]|&lt;01|Male|DIAGNOSED_SUBNAT.T_1|CY2023Q3</v>
      </c>
    </row>
    <row r="2628" customFormat="false" ht="15" hidden="false" customHeight="false" outlineLevel="0" collapsed="false">
      <c r="D2628" s="0" t="s">
        <v>111</v>
      </c>
      <c r="E2628" s="0" t="s">
        <v>112</v>
      </c>
      <c r="F2628" s="0" t="s">
        <v>113</v>
      </c>
      <c r="G2628" s="0" t="s">
        <v>148</v>
      </c>
      <c r="H2628" s="0" t="s">
        <v>149</v>
      </c>
      <c r="I2628" s="0" t="s">
        <v>33</v>
      </c>
      <c r="J2628" s="0" t="s">
        <v>34</v>
      </c>
      <c r="K2628" s="0" t="s">
        <v>48</v>
      </c>
      <c r="L2628" s="0" t="s">
        <v>49</v>
      </c>
      <c r="M2628" s="0" t="s">
        <v>140</v>
      </c>
      <c r="N2628" s="0" t="n">
        <v>716</v>
      </c>
      <c r="O2628" s="10" t="n">
        <v>0.885043889051303</v>
      </c>
      <c r="P2628" s="10" t="n">
        <v>0.337768794968724</v>
      </c>
      <c r="Q2628" s="0" t="str">
        <f aca="false">SUBSTITUTE(SUBSTITUTE($I2628,CHAR(61),""),CHAR(34),"")</f>
        <v>01-09</v>
      </c>
      <c r="R2628" s="0" t="str">
        <f aca="false">IF($D2628&lt;&gt;"","["&amp;$E2628&amp;"]"&amp;"|"&amp;$Q2628&amp;"|"&amp;$K2628&amp;"|"&amp;$G2628&amp;"|"&amp;IF($G2628="TX_CURR_SUBNAT.R","CY2022Q4",$M2628),"")</f>
        <v>[U8c0so51kT6]|01-09|Male|DIAGNOSED_SUBNAT.T_1|CY2023Q3</v>
      </c>
    </row>
    <row r="2629" customFormat="false" ht="15" hidden="false" customHeight="false" outlineLevel="0" collapsed="false">
      <c r="D2629" s="0" t="s">
        <v>111</v>
      </c>
      <c r="E2629" s="0" t="s">
        <v>112</v>
      </c>
      <c r="F2629" s="0" t="s">
        <v>113</v>
      </c>
      <c r="G2629" s="0" t="s">
        <v>148</v>
      </c>
      <c r="H2629" s="0" t="s">
        <v>149</v>
      </c>
      <c r="I2629" s="0" t="s">
        <v>36</v>
      </c>
      <c r="J2629" s="0" t="s">
        <v>37</v>
      </c>
      <c r="K2629" s="0" t="s">
        <v>48</v>
      </c>
      <c r="L2629" s="0" t="s">
        <v>49</v>
      </c>
      <c r="M2629" s="0" t="s">
        <v>140</v>
      </c>
      <c r="N2629" s="0" t="n">
        <v>1747</v>
      </c>
      <c r="O2629" s="10" t="n">
        <v>0.55281613743864</v>
      </c>
      <c r="P2629" s="10" t="n">
        <v>0.337768794968724</v>
      </c>
      <c r="Q2629" s="0" t="str">
        <f aca="false">SUBSTITUTE(SUBSTITUTE($I2629,CHAR(61),""),CHAR(34),"")</f>
        <v>10-14</v>
      </c>
      <c r="R2629" s="0" t="str">
        <f aca="false">IF($D2629&lt;&gt;"","["&amp;$E2629&amp;"]"&amp;"|"&amp;$Q2629&amp;"|"&amp;$K2629&amp;"|"&amp;$G2629&amp;"|"&amp;IF($G2629="TX_CURR_SUBNAT.R","CY2022Q4",$M2629),"")</f>
        <v>[U8c0so51kT6]|10-14|Male|DIAGNOSED_SUBNAT.T_1|CY2023Q3</v>
      </c>
    </row>
    <row r="2630" customFormat="false" ht="15" hidden="false" customHeight="false" outlineLevel="0" collapsed="false">
      <c r="D2630" s="0" t="s">
        <v>111</v>
      </c>
      <c r="E2630" s="0" t="s">
        <v>112</v>
      </c>
      <c r="F2630" s="0" t="s">
        <v>113</v>
      </c>
      <c r="G2630" s="0" t="s">
        <v>148</v>
      </c>
      <c r="H2630" s="0" t="s">
        <v>149</v>
      </c>
      <c r="I2630" s="0" t="s">
        <v>38</v>
      </c>
      <c r="J2630" s="0" t="s">
        <v>39</v>
      </c>
      <c r="K2630" s="0" t="s">
        <v>48</v>
      </c>
      <c r="L2630" s="0" t="s">
        <v>49</v>
      </c>
      <c r="M2630" s="0" t="s">
        <v>140</v>
      </c>
      <c r="N2630" s="0" t="n">
        <v>1291</v>
      </c>
      <c r="O2630" s="10" t="n">
        <v>0.886337880976498</v>
      </c>
      <c r="P2630" s="10" t="n">
        <v>0.337768794968724</v>
      </c>
      <c r="Q2630" s="0" t="str">
        <f aca="false">SUBSTITUTE(SUBSTITUTE($I2630,CHAR(61),""),CHAR(34),"")</f>
        <v>15-24</v>
      </c>
      <c r="R2630" s="0" t="str">
        <f aca="false">IF($D2630&lt;&gt;"","["&amp;$E2630&amp;"]"&amp;"|"&amp;$Q2630&amp;"|"&amp;$K2630&amp;"|"&amp;$G2630&amp;"|"&amp;IF($G2630="TX_CURR_SUBNAT.R","CY2022Q4",$M2630),"")</f>
        <v>[U8c0so51kT6]|15-24|Male|DIAGNOSED_SUBNAT.T_1|CY2023Q3</v>
      </c>
    </row>
    <row r="2631" customFormat="false" ht="15" hidden="false" customHeight="false" outlineLevel="0" collapsed="false">
      <c r="D2631" s="0" t="s">
        <v>111</v>
      </c>
      <c r="E2631" s="0" t="s">
        <v>112</v>
      </c>
      <c r="F2631" s="0" t="s">
        <v>113</v>
      </c>
      <c r="G2631" s="0" t="s">
        <v>148</v>
      </c>
      <c r="H2631" s="0" t="s">
        <v>149</v>
      </c>
      <c r="I2631" s="0" t="s">
        <v>41</v>
      </c>
      <c r="J2631" s="0" t="s">
        <v>42</v>
      </c>
      <c r="K2631" s="0" t="s">
        <v>48</v>
      </c>
      <c r="L2631" s="0" t="s">
        <v>49</v>
      </c>
      <c r="M2631" s="0" t="s">
        <v>140</v>
      </c>
      <c r="N2631" s="0" t="n">
        <v>1972</v>
      </c>
      <c r="O2631" s="10" t="n">
        <v>0.09931143024005</v>
      </c>
      <c r="P2631" s="10" t="n">
        <v>0.337768794968724</v>
      </c>
      <c r="Q2631" s="0" t="str">
        <f aca="false">SUBSTITUTE(SUBSTITUTE($I2631,CHAR(61),""),CHAR(34),"")</f>
        <v>25-34</v>
      </c>
      <c r="R2631" s="0" t="str">
        <f aca="false">IF($D2631&lt;&gt;"","["&amp;$E2631&amp;"]"&amp;"|"&amp;$Q2631&amp;"|"&amp;$K2631&amp;"|"&amp;$G2631&amp;"|"&amp;IF($G2631="TX_CURR_SUBNAT.R","CY2022Q4",$M2631),"")</f>
        <v>[U8c0so51kT6]|25-34|Male|DIAGNOSED_SUBNAT.T_1|CY2023Q3</v>
      </c>
    </row>
    <row r="2632" customFormat="false" ht="15" hidden="false" customHeight="false" outlineLevel="0" collapsed="false">
      <c r="D2632" s="0" t="s">
        <v>111</v>
      </c>
      <c r="E2632" s="0" t="s">
        <v>112</v>
      </c>
      <c r="F2632" s="0" t="s">
        <v>113</v>
      </c>
      <c r="G2632" s="0" t="s">
        <v>148</v>
      </c>
      <c r="H2632" s="0" t="s">
        <v>149</v>
      </c>
      <c r="I2632" s="0" t="s">
        <v>43</v>
      </c>
      <c r="J2632" s="0" t="s">
        <v>44</v>
      </c>
      <c r="K2632" s="0" t="s">
        <v>48</v>
      </c>
      <c r="L2632" s="0" t="s">
        <v>49</v>
      </c>
      <c r="M2632" s="0" t="s">
        <v>140</v>
      </c>
      <c r="N2632" s="0" t="n">
        <v>1868</v>
      </c>
      <c r="O2632" s="10" t="n">
        <v>0.745580821996555</v>
      </c>
      <c r="P2632" s="10" t="n">
        <v>0.337768794968724</v>
      </c>
      <c r="Q2632" s="0" t="str">
        <f aca="false">SUBSTITUTE(SUBSTITUTE($I2632,CHAR(61),""),CHAR(34),"")</f>
        <v>35-49</v>
      </c>
      <c r="R2632" s="0" t="str">
        <f aca="false">IF($D2632&lt;&gt;"","["&amp;$E2632&amp;"]"&amp;"|"&amp;$Q2632&amp;"|"&amp;$K2632&amp;"|"&amp;$G2632&amp;"|"&amp;IF($G2632="TX_CURR_SUBNAT.R","CY2022Q4",$M2632),"")</f>
        <v>[U8c0so51kT6]|35-49|Male|DIAGNOSED_SUBNAT.T_1|CY2023Q3</v>
      </c>
    </row>
    <row r="2633" customFormat="false" ht="15" hidden="false" customHeight="false" outlineLevel="0" collapsed="false">
      <c r="D2633" s="0" t="s">
        <v>111</v>
      </c>
      <c r="E2633" s="0" t="s">
        <v>112</v>
      </c>
      <c r="F2633" s="0" t="s">
        <v>113</v>
      </c>
      <c r="G2633" s="0" t="s">
        <v>148</v>
      </c>
      <c r="H2633" s="0" t="s">
        <v>149</v>
      </c>
      <c r="I2633" s="0" t="s">
        <v>45</v>
      </c>
      <c r="J2633" s="0" t="s">
        <v>46</v>
      </c>
      <c r="K2633" s="0" t="s">
        <v>48</v>
      </c>
      <c r="L2633" s="0" t="s">
        <v>49</v>
      </c>
      <c r="M2633" s="0" t="s">
        <v>140</v>
      </c>
      <c r="N2633" s="0" t="n">
        <v>1716</v>
      </c>
      <c r="O2633" s="10" t="n">
        <v>0.123735111905262</v>
      </c>
      <c r="P2633" s="10" t="n">
        <v>0.337768794968724</v>
      </c>
      <c r="Q2633" s="0" t="str">
        <f aca="false">SUBSTITUTE(SUBSTITUTE($I2633,CHAR(61),""),CHAR(34),"")</f>
        <v>50+</v>
      </c>
      <c r="R2633" s="0" t="str">
        <f aca="false">IF($D2633&lt;&gt;"","["&amp;$E2633&amp;"]"&amp;"|"&amp;$Q2633&amp;"|"&amp;$K2633&amp;"|"&amp;$G2633&amp;"|"&amp;IF($G2633="TX_CURR_SUBNAT.R","CY2022Q4",$M2633),"")</f>
        <v>[U8c0so51kT6]|50+|Male|DIAGNOSED_SUBNAT.T_1|CY2023Q3</v>
      </c>
    </row>
    <row r="2634" customFormat="false" ht="15" hidden="false" customHeight="false" outlineLevel="0" collapsed="false">
      <c r="D2634" s="0" t="s">
        <v>114</v>
      </c>
      <c r="E2634" s="0" t="s">
        <v>115</v>
      </c>
      <c r="F2634" s="0" t="s">
        <v>116</v>
      </c>
      <c r="G2634" s="0" t="s">
        <v>148</v>
      </c>
      <c r="H2634" s="0" t="s">
        <v>149</v>
      </c>
      <c r="I2634" s="0" t="s">
        <v>28</v>
      </c>
      <c r="J2634" s="0" t="s">
        <v>29</v>
      </c>
      <c r="K2634" s="0" t="s">
        <v>30</v>
      </c>
      <c r="L2634" s="0" t="s">
        <v>31</v>
      </c>
      <c r="M2634" s="0" t="s">
        <v>140</v>
      </c>
      <c r="N2634" s="0" t="n">
        <v>1693</v>
      </c>
      <c r="O2634" s="10" t="n">
        <v>0.230934714199975</v>
      </c>
      <c r="P2634" s="10" t="n">
        <v>0.298559809103608</v>
      </c>
      <c r="Q2634" s="0" t="str">
        <f aca="false">SUBSTITUTE(SUBSTITUTE($I2634,CHAR(61),""),CHAR(34),"")</f>
        <v>&lt;01</v>
      </c>
      <c r="R2634" s="0" t="str">
        <f aca="false">IF($D2634&lt;&gt;"","["&amp;$E2634&amp;"]"&amp;"|"&amp;$Q2634&amp;"|"&amp;$K2634&amp;"|"&amp;$G2634&amp;"|"&amp;IF($G2634="TX_CURR_SUBNAT.R","CY2022Q4",$M2634),"")</f>
        <v>[rpw540fmNUz]|&lt;01|Female|DIAGNOSED_SUBNAT.T_1|CY2023Q3</v>
      </c>
    </row>
    <row r="2635" customFormat="false" ht="15" hidden="false" customHeight="false" outlineLevel="0" collapsed="false">
      <c r="D2635" s="0" t="s">
        <v>114</v>
      </c>
      <c r="E2635" s="0" t="s">
        <v>115</v>
      </c>
      <c r="F2635" s="0" t="s">
        <v>116</v>
      </c>
      <c r="G2635" s="0" t="s">
        <v>148</v>
      </c>
      <c r="H2635" s="0" t="s">
        <v>149</v>
      </c>
      <c r="I2635" s="0" t="s">
        <v>33</v>
      </c>
      <c r="J2635" s="0" t="s">
        <v>34</v>
      </c>
      <c r="K2635" s="0" t="s">
        <v>30</v>
      </c>
      <c r="L2635" s="0" t="s">
        <v>31</v>
      </c>
      <c r="M2635" s="0" t="s">
        <v>140</v>
      </c>
      <c r="N2635" s="0" t="n">
        <v>1253</v>
      </c>
      <c r="O2635" s="10" t="n">
        <v>0.890691868728027</v>
      </c>
      <c r="P2635" s="10" t="n">
        <v>0.298559809103608</v>
      </c>
      <c r="Q2635" s="0" t="str">
        <f aca="false">SUBSTITUTE(SUBSTITUTE($I2635,CHAR(61),""),CHAR(34),"")</f>
        <v>01-09</v>
      </c>
      <c r="R2635" s="0" t="str">
        <f aca="false">IF($D2635&lt;&gt;"","["&amp;$E2635&amp;"]"&amp;"|"&amp;$Q2635&amp;"|"&amp;$K2635&amp;"|"&amp;$G2635&amp;"|"&amp;IF($G2635="TX_CURR_SUBNAT.R","CY2022Q4",$M2635),"")</f>
        <v>[rpw540fmNUz]|01-09|Female|DIAGNOSED_SUBNAT.T_1|CY2023Q3</v>
      </c>
    </row>
    <row r="2636" customFormat="false" ht="15" hidden="false" customHeight="false" outlineLevel="0" collapsed="false">
      <c r="D2636" s="0" t="s">
        <v>114</v>
      </c>
      <c r="E2636" s="0" t="s">
        <v>115</v>
      </c>
      <c r="F2636" s="0" t="s">
        <v>116</v>
      </c>
      <c r="G2636" s="0" t="s">
        <v>148</v>
      </c>
      <c r="H2636" s="0" t="s">
        <v>149</v>
      </c>
      <c r="I2636" s="0" t="s">
        <v>36</v>
      </c>
      <c r="J2636" s="0" t="s">
        <v>37</v>
      </c>
      <c r="K2636" s="0" t="s">
        <v>30</v>
      </c>
      <c r="L2636" s="0" t="s">
        <v>31</v>
      </c>
      <c r="M2636" s="0" t="s">
        <v>140</v>
      </c>
      <c r="N2636" s="0" t="n">
        <v>1424</v>
      </c>
      <c r="O2636" s="10" t="n">
        <v>0.323909919941798</v>
      </c>
      <c r="P2636" s="10" t="n">
        <v>0.298559809103608</v>
      </c>
      <c r="Q2636" s="0" t="str">
        <f aca="false">SUBSTITUTE(SUBSTITUTE($I2636,CHAR(61),""),CHAR(34),"")</f>
        <v>10-14</v>
      </c>
      <c r="R2636" s="0" t="str">
        <f aca="false">IF($D2636&lt;&gt;"","["&amp;$E2636&amp;"]"&amp;"|"&amp;$Q2636&amp;"|"&amp;$K2636&amp;"|"&amp;$G2636&amp;"|"&amp;IF($G2636="TX_CURR_SUBNAT.R","CY2022Q4",$M2636),"")</f>
        <v>[rpw540fmNUz]|10-14|Female|DIAGNOSED_SUBNAT.T_1|CY2023Q3</v>
      </c>
    </row>
    <row r="2637" customFormat="false" ht="15" hidden="false" customHeight="false" outlineLevel="0" collapsed="false">
      <c r="D2637" s="0" t="s">
        <v>114</v>
      </c>
      <c r="E2637" s="0" t="s">
        <v>115</v>
      </c>
      <c r="F2637" s="0" t="s">
        <v>116</v>
      </c>
      <c r="G2637" s="0" t="s">
        <v>148</v>
      </c>
      <c r="H2637" s="0" t="s">
        <v>149</v>
      </c>
      <c r="I2637" s="0" t="s">
        <v>38</v>
      </c>
      <c r="J2637" s="0" t="s">
        <v>39</v>
      </c>
      <c r="K2637" s="0" t="s">
        <v>30</v>
      </c>
      <c r="L2637" s="0" t="s">
        <v>31</v>
      </c>
      <c r="M2637" s="0" t="s">
        <v>140</v>
      </c>
      <c r="N2637" s="0" t="n">
        <v>882</v>
      </c>
      <c r="O2637" s="10" t="n">
        <v>0.467611636733636</v>
      </c>
      <c r="P2637" s="10" t="n">
        <v>0.298559809103608</v>
      </c>
      <c r="Q2637" s="0" t="str">
        <f aca="false">SUBSTITUTE(SUBSTITUTE($I2637,CHAR(61),""),CHAR(34),"")</f>
        <v>15-24</v>
      </c>
      <c r="R2637" s="0" t="str">
        <f aca="false">IF($D2637&lt;&gt;"","["&amp;$E2637&amp;"]"&amp;"|"&amp;$Q2637&amp;"|"&amp;$K2637&amp;"|"&amp;$G2637&amp;"|"&amp;IF($G2637="TX_CURR_SUBNAT.R","CY2022Q4",$M2637),"")</f>
        <v>[rpw540fmNUz]|15-24|Female|DIAGNOSED_SUBNAT.T_1|CY2023Q3</v>
      </c>
    </row>
    <row r="2638" customFormat="false" ht="15" hidden="false" customHeight="false" outlineLevel="0" collapsed="false">
      <c r="D2638" s="0" t="s">
        <v>114</v>
      </c>
      <c r="E2638" s="0" t="s">
        <v>115</v>
      </c>
      <c r="F2638" s="0" t="s">
        <v>116</v>
      </c>
      <c r="G2638" s="0" t="s">
        <v>148</v>
      </c>
      <c r="H2638" s="0" t="s">
        <v>149</v>
      </c>
      <c r="I2638" s="0" t="s">
        <v>41</v>
      </c>
      <c r="J2638" s="0" t="s">
        <v>42</v>
      </c>
      <c r="K2638" s="0" t="s">
        <v>30</v>
      </c>
      <c r="L2638" s="0" t="s">
        <v>31</v>
      </c>
      <c r="M2638" s="0" t="s">
        <v>140</v>
      </c>
      <c r="N2638" s="0" t="n">
        <v>799</v>
      </c>
      <c r="O2638" s="10" t="n">
        <v>0.220719150267541</v>
      </c>
      <c r="P2638" s="10" t="n">
        <v>0.298559809103608</v>
      </c>
      <c r="Q2638" s="0" t="str">
        <f aca="false">SUBSTITUTE(SUBSTITUTE($I2638,CHAR(61),""),CHAR(34),"")</f>
        <v>25-34</v>
      </c>
      <c r="R2638" s="0" t="str">
        <f aca="false">IF($D2638&lt;&gt;"","["&amp;$E2638&amp;"]"&amp;"|"&amp;$Q2638&amp;"|"&amp;$K2638&amp;"|"&amp;$G2638&amp;"|"&amp;IF($G2638="TX_CURR_SUBNAT.R","CY2022Q4",$M2638),"")</f>
        <v>[rpw540fmNUz]|25-34|Female|DIAGNOSED_SUBNAT.T_1|CY2023Q3</v>
      </c>
    </row>
    <row r="2639" customFormat="false" ht="15" hidden="false" customHeight="false" outlineLevel="0" collapsed="false">
      <c r="D2639" s="0" t="s">
        <v>114</v>
      </c>
      <c r="E2639" s="0" t="s">
        <v>115</v>
      </c>
      <c r="F2639" s="0" t="s">
        <v>116</v>
      </c>
      <c r="G2639" s="0" t="s">
        <v>148</v>
      </c>
      <c r="H2639" s="0" t="s">
        <v>149</v>
      </c>
      <c r="I2639" s="0" t="s">
        <v>43</v>
      </c>
      <c r="J2639" s="0" t="s">
        <v>44</v>
      </c>
      <c r="K2639" s="0" t="s">
        <v>30</v>
      </c>
      <c r="L2639" s="0" t="s">
        <v>31</v>
      </c>
      <c r="M2639" s="0" t="s">
        <v>140</v>
      </c>
      <c r="N2639" s="0" t="n">
        <v>1516</v>
      </c>
      <c r="O2639" s="10" t="n">
        <v>0.914858002215624</v>
      </c>
      <c r="P2639" s="10" t="n">
        <v>0.298559809103608</v>
      </c>
      <c r="Q2639" s="0" t="str">
        <f aca="false">SUBSTITUTE(SUBSTITUTE($I2639,CHAR(61),""),CHAR(34),"")</f>
        <v>35-49</v>
      </c>
      <c r="R2639" s="0" t="str">
        <f aca="false">IF($D2639&lt;&gt;"","["&amp;$E2639&amp;"]"&amp;"|"&amp;$Q2639&amp;"|"&amp;$K2639&amp;"|"&amp;$G2639&amp;"|"&amp;IF($G2639="TX_CURR_SUBNAT.R","CY2022Q4",$M2639),"")</f>
        <v>[rpw540fmNUz]|35-49|Female|DIAGNOSED_SUBNAT.T_1|CY2023Q3</v>
      </c>
    </row>
    <row r="2640" customFormat="false" ht="15" hidden="false" customHeight="false" outlineLevel="0" collapsed="false">
      <c r="D2640" s="0" t="s">
        <v>114</v>
      </c>
      <c r="E2640" s="0" t="s">
        <v>115</v>
      </c>
      <c r="F2640" s="0" t="s">
        <v>116</v>
      </c>
      <c r="G2640" s="0" t="s">
        <v>148</v>
      </c>
      <c r="H2640" s="0" t="s">
        <v>149</v>
      </c>
      <c r="I2640" s="0" t="s">
        <v>45</v>
      </c>
      <c r="J2640" s="0" t="s">
        <v>46</v>
      </c>
      <c r="K2640" s="0" t="s">
        <v>30</v>
      </c>
      <c r="L2640" s="0" t="s">
        <v>31</v>
      </c>
      <c r="M2640" s="0" t="s">
        <v>140</v>
      </c>
      <c r="N2640" s="0" t="n">
        <v>1791</v>
      </c>
      <c r="O2640" s="10" t="n">
        <v>0.578347844770178</v>
      </c>
      <c r="P2640" s="10" t="n">
        <v>0.298559809103608</v>
      </c>
      <c r="Q2640" s="0" t="str">
        <f aca="false">SUBSTITUTE(SUBSTITUTE($I2640,CHAR(61),""),CHAR(34),"")</f>
        <v>50+</v>
      </c>
      <c r="R2640" s="0" t="str">
        <f aca="false">IF($D2640&lt;&gt;"","["&amp;$E2640&amp;"]"&amp;"|"&amp;$Q2640&amp;"|"&amp;$K2640&amp;"|"&amp;$G2640&amp;"|"&amp;IF($G2640="TX_CURR_SUBNAT.R","CY2022Q4",$M2640),"")</f>
        <v>[rpw540fmNUz]|50+|Female|DIAGNOSED_SUBNAT.T_1|CY2023Q3</v>
      </c>
    </row>
    <row r="2641" customFormat="false" ht="15" hidden="false" customHeight="false" outlineLevel="0" collapsed="false">
      <c r="D2641" s="0" t="s">
        <v>114</v>
      </c>
      <c r="E2641" s="0" t="s">
        <v>115</v>
      </c>
      <c r="F2641" s="0" t="s">
        <v>116</v>
      </c>
      <c r="G2641" s="0" t="s">
        <v>148</v>
      </c>
      <c r="H2641" s="0" t="s">
        <v>149</v>
      </c>
      <c r="I2641" s="0" t="s">
        <v>28</v>
      </c>
      <c r="J2641" s="0" t="s">
        <v>29</v>
      </c>
      <c r="K2641" s="0" t="s">
        <v>48</v>
      </c>
      <c r="L2641" s="0" t="s">
        <v>49</v>
      </c>
      <c r="M2641" s="0" t="s">
        <v>140</v>
      </c>
      <c r="N2641" s="0" t="n">
        <v>979</v>
      </c>
      <c r="O2641" s="10" t="n">
        <v>0.0768665415234864</v>
      </c>
      <c r="P2641" s="10" t="n">
        <v>0.298559809103608</v>
      </c>
      <c r="Q2641" s="0" t="str">
        <f aca="false">SUBSTITUTE(SUBSTITUTE($I2641,CHAR(61),""),CHAR(34),"")</f>
        <v>&lt;01</v>
      </c>
      <c r="R2641" s="0" t="str">
        <f aca="false">IF($D2641&lt;&gt;"","["&amp;$E2641&amp;"]"&amp;"|"&amp;$Q2641&amp;"|"&amp;$K2641&amp;"|"&amp;$G2641&amp;"|"&amp;IF($G2641="TX_CURR_SUBNAT.R","CY2022Q4",$M2641),"")</f>
        <v>[rpw540fmNUz]|&lt;01|Male|DIAGNOSED_SUBNAT.T_1|CY2023Q3</v>
      </c>
    </row>
    <row r="2642" customFormat="false" ht="15" hidden="false" customHeight="false" outlineLevel="0" collapsed="false">
      <c r="D2642" s="0" t="s">
        <v>114</v>
      </c>
      <c r="E2642" s="0" t="s">
        <v>115</v>
      </c>
      <c r="F2642" s="0" t="s">
        <v>116</v>
      </c>
      <c r="G2642" s="0" t="s">
        <v>148</v>
      </c>
      <c r="H2642" s="0" t="s">
        <v>149</v>
      </c>
      <c r="I2642" s="0" t="s">
        <v>33</v>
      </c>
      <c r="J2642" s="0" t="s">
        <v>34</v>
      </c>
      <c r="K2642" s="0" t="s">
        <v>48</v>
      </c>
      <c r="L2642" s="0" t="s">
        <v>49</v>
      </c>
      <c r="M2642" s="0" t="s">
        <v>140</v>
      </c>
      <c r="N2642" s="0" t="n">
        <v>1620</v>
      </c>
      <c r="O2642" s="10" t="n">
        <v>0.754388100001961</v>
      </c>
      <c r="P2642" s="10" t="n">
        <v>0.298559809103608</v>
      </c>
      <c r="Q2642" s="0" t="str">
        <f aca="false">SUBSTITUTE(SUBSTITUTE($I2642,CHAR(61),""),CHAR(34),"")</f>
        <v>01-09</v>
      </c>
      <c r="R2642" s="0" t="str">
        <f aca="false">IF($D2642&lt;&gt;"","["&amp;$E2642&amp;"]"&amp;"|"&amp;$Q2642&amp;"|"&amp;$K2642&amp;"|"&amp;$G2642&amp;"|"&amp;IF($G2642="TX_CURR_SUBNAT.R","CY2022Q4",$M2642),"")</f>
        <v>[rpw540fmNUz]|01-09|Male|DIAGNOSED_SUBNAT.T_1|CY2023Q3</v>
      </c>
    </row>
    <row r="2643" customFormat="false" ht="15" hidden="false" customHeight="false" outlineLevel="0" collapsed="false">
      <c r="D2643" s="0" t="s">
        <v>114</v>
      </c>
      <c r="E2643" s="0" t="s">
        <v>115</v>
      </c>
      <c r="F2643" s="0" t="s">
        <v>116</v>
      </c>
      <c r="G2643" s="0" t="s">
        <v>148</v>
      </c>
      <c r="H2643" s="0" t="s">
        <v>149</v>
      </c>
      <c r="I2643" s="0" t="s">
        <v>36</v>
      </c>
      <c r="J2643" s="0" t="s">
        <v>37</v>
      </c>
      <c r="K2643" s="0" t="s">
        <v>48</v>
      </c>
      <c r="L2643" s="0" t="s">
        <v>49</v>
      </c>
      <c r="M2643" s="0" t="s">
        <v>140</v>
      </c>
      <c r="N2643" s="0" t="n">
        <v>658</v>
      </c>
      <c r="O2643" s="10" t="n">
        <v>0.417595985811204</v>
      </c>
      <c r="P2643" s="10" t="n">
        <v>0.298559809103608</v>
      </c>
      <c r="Q2643" s="0" t="str">
        <f aca="false">SUBSTITUTE(SUBSTITUTE($I2643,CHAR(61),""),CHAR(34),"")</f>
        <v>10-14</v>
      </c>
      <c r="R2643" s="0" t="str">
        <f aca="false">IF($D2643&lt;&gt;"","["&amp;$E2643&amp;"]"&amp;"|"&amp;$Q2643&amp;"|"&amp;$K2643&amp;"|"&amp;$G2643&amp;"|"&amp;IF($G2643="TX_CURR_SUBNAT.R","CY2022Q4",$M2643),"")</f>
        <v>[rpw540fmNUz]|10-14|Male|DIAGNOSED_SUBNAT.T_1|CY2023Q3</v>
      </c>
    </row>
    <row r="2644" customFormat="false" ht="15" hidden="false" customHeight="false" outlineLevel="0" collapsed="false">
      <c r="D2644" s="0" t="s">
        <v>114</v>
      </c>
      <c r="E2644" s="0" t="s">
        <v>115</v>
      </c>
      <c r="F2644" s="0" t="s">
        <v>116</v>
      </c>
      <c r="G2644" s="0" t="s">
        <v>148</v>
      </c>
      <c r="H2644" s="0" t="s">
        <v>149</v>
      </c>
      <c r="I2644" s="0" t="s">
        <v>38</v>
      </c>
      <c r="J2644" s="0" t="s">
        <v>39</v>
      </c>
      <c r="K2644" s="0" t="s">
        <v>48</v>
      </c>
      <c r="L2644" s="0" t="s">
        <v>49</v>
      </c>
      <c r="M2644" s="0" t="s">
        <v>140</v>
      </c>
      <c r="N2644" s="0" t="n">
        <v>1527</v>
      </c>
      <c r="O2644" s="10" t="n">
        <v>0.296965689398348</v>
      </c>
      <c r="P2644" s="10" t="n">
        <v>0.298559809103608</v>
      </c>
      <c r="Q2644" s="0" t="str">
        <f aca="false">SUBSTITUTE(SUBSTITUTE($I2644,CHAR(61),""),CHAR(34),"")</f>
        <v>15-24</v>
      </c>
      <c r="R2644" s="0" t="str">
        <f aca="false">IF($D2644&lt;&gt;"","["&amp;$E2644&amp;"]"&amp;"|"&amp;$Q2644&amp;"|"&amp;$K2644&amp;"|"&amp;$G2644&amp;"|"&amp;IF($G2644="TX_CURR_SUBNAT.R","CY2022Q4",$M2644),"")</f>
        <v>[rpw540fmNUz]|15-24|Male|DIAGNOSED_SUBNAT.T_1|CY2023Q3</v>
      </c>
    </row>
    <row r="2645" customFormat="false" ht="15" hidden="false" customHeight="false" outlineLevel="0" collapsed="false">
      <c r="D2645" s="0" t="s">
        <v>114</v>
      </c>
      <c r="E2645" s="0" t="s">
        <v>115</v>
      </c>
      <c r="F2645" s="0" t="s">
        <v>116</v>
      </c>
      <c r="G2645" s="0" t="s">
        <v>148</v>
      </c>
      <c r="H2645" s="0" t="s">
        <v>149</v>
      </c>
      <c r="I2645" s="0" t="s">
        <v>41</v>
      </c>
      <c r="J2645" s="0" t="s">
        <v>42</v>
      </c>
      <c r="K2645" s="0" t="s">
        <v>48</v>
      </c>
      <c r="L2645" s="0" t="s">
        <v>49</v>
      </c>
      <c r="M2645" s="0" t="s">
        <v>140</v>
      </c>
      <c r="N2645" s="0" t="n">
        <v>1449</v>
      </c>
      <c r="O2645" s="10" t="n">
        <v>0.755673084640875</v>
      </c>
      <c r="P2645" s="10" t="n">
        <v>0.298559809103608</v>
      </c>
      <c r="Q2645" s="0" t="str">
        <f aca="false">SUBSTITUTE(SUBSTITUTE($I2645,CHAR(61),""),CHAR(34),"")</f>
        <v>25-34</v>
      </c>
      <c r="R2645" s="0" t="str">
        <f aca="false">IF($D2645&lt;&gt;"","["&amp;$E2645&amp;"]"&amp;"|"&amp;$Q2645&amp;"|"&amp;$K2645&amp;"|"&amp;$G2645&amp;"|"&amp;IF($G2645="TX_CURR_SUBNAT.R","CY2022Q4",$M2645),"")</f>
        <v>[rpw540fmNUz]|25-34|Male|DIAGNOSED_SUBNAT.T_1|CY2023Q3</v>
      </c>
    </row>
    <row r="2646" customFormat="false" ht="15" hidden="false" customHeight="false" outlineLevel="0" collapsed="false">
      <c r="D2646" s="0" t="s">
        <v>114</v>
      </c>
      <c r="E2646" s="0" t="s">
        <v>115</v>
      </c>
      <c r="F2646" s="0" t="s">
        <v>116</v>
      </c>
      <c r="G2646" s="0" t="s">
        <v>148</v>
      </c>
      <c r="H2646" s="0" t="s">
        <v>149</v>
      </c>
      <c r="I2646" s="0" t="s">
        <v>43</v>
      </c>
      <c r="J2646" s="0" t="s">
        <v>44</v>
      </c>
      <c r="K2646" s="0" t="s">
        <v>48</v>
      </c>
      <c r="L2646" s="0" t="s">
        <v>49</v>
      </c>
      <c r="M2646" s="0" t="s">
        <v>140</v>
      </c>
      <c r="N2646" s="0" t="n">
        <v>1217</v>
      </c>
      <c r="O2646" s="10" t="n">
        <v>0.407387473154813</v>
      </c>
      <c r="P2646" s="10" t="n">
        <v>0.298559809103608</v>
      </c>
      <c r="Q2646" s="0" t="str">
        <f aca="false">SUBSTITUTE(SUBSTITUTE($I2646,CHAR(61),""),CHAR(34),"")</f>
        <v>35-49</v>
      </c>
      <c r="R2646" s="0" t="str">
        <f aca="false">IF($D2646&lt;&gt;"","["&amp;$E2646&amp;"]"&amp;"|"&amp;$Q2646&amp;"|"&amp;$K2646&amp;"|"&amp;$G2646&amp;"|"&amp;IF($G2646="TX_CURR_SUBNAT.R","CY2022Q4",$M2646),"")</f>
        <v>[rpw540fmNUz]|35-49|Male|DIAGNOSED_SUBNAT.T_1|CY2023Q3</v>
      </c>
    </row>
    <row r="2647" customFormat="false" ht="15" hidden="false" customHeight="false" outlineLevel="0" collapsed="false">
      <c r="D2647" s="0" t="s">
        <v>114</v>
      </c>
      <c r="E2647" s="0" t="s">
        <v>115</v>
      </c>
      <c r="F2647" s="0" t="s">
        <v>116</v>
      </c>
      <c r="G2647" s="0" t="s">
        <v>148</v>
      </c>
      <c r="H2647" s="0" t="s">
        <v>149</v>
      </c>
      <c r="I2647" s="0" t="s">
        <v>45</v>
      </c>
      <c r="J2647" s="0" t="s">
        <v>46</v>
      </c>
      <c r="K2647" s="0" t="s">
        <v>48</v>
      </c>
      <c r="L2647" s="0" t="s">
        <v>49</v>
      </c>
      <c r="M2647" s="0" t="s">
        <v>140</v>
      </c>
      <c r="N2647" s="0" t="n">
        <v>861</v>
      </c>
      <c r="O2647" s="10" t="n">
        <v>0.392275451216847</v>
      </c>
      <c r="P2647" s="10" t="n">
        <v>0.298559809103608</v>
      </c>
      <c r="Q2647" s="0" t="str">
        <f aca="false">SUBSTITUTE(SUBSTITUTE($I2647,CHAR(61),""),CHAR(34),"")</f>
        <v>50+</v>
      </c>
      <c r="R2647" s="0" t="str">
        <f aca="false">IF($D2647&lt;&gt;"","["&amp;$E2647&amp;"]"&amp;"|"&amp;$Q2647&amp;"|"&amp;$K2647&amp;"|"&amp;$G2647&amp;"|"&amp;IF($G2647="TX_CURR_SUBNAT.R","CY2022Q4",$M2647),"")</f>
        <v>[rpw540fmNUz]|50+|Male|DIAGNOSED_SUBNAT.T_1|CY2023Q3</v>
      </c>
    </row>
    <row r="2648" customFormat="false" ht="15" hidden="false" customHeight="false" outlineLevel="0" collapsed="false">
      <c r="D2648" s="0" t="s">
        <v>117</v>
      </c>
      <c r="E2648" s="0" t="s">
        <v>118</v>
      </c>
      <c r="F2648" s="0" t="s">
        <v>119</v>
      </c>
      <c r="G2648" s="0" t="s">
        <v>148</v>
      </c>
      <c r="H2648" s="0" t="s">
        <v>149</v>
      </c>
      <c r="I2648" s="0" t="s">
        <v>28</v>
      </c>
      <c r="J2648" s="0" t="s">
        <v>29</v>
      </c>
      <c r="K2648" s="0" t="s">
        <v>30</v>
      </c>
      <c r="L2648" s="0" t="s">
        <v>31</v>
      </c>
      <c r="M2648" s="0" t="s">
        <v>140</v>
      </c>
      <c r="N2648" s="0" t="n">
        <v>1277</v>
      </c>
      <c r="O2648" s="10" t="n">
        <v>0.362530689453706</v>
      </c>
      <c r="P2648" s="10" t="n">
        <v>0.206259709550068</v>
      </c>
      <c r="Q2648" s="0" t="str">
        <f aca="false">SUBSTITUTE(SUBSTITUTE($I2648,CHAR(61),""),CHAR(34),"")</f>
        <v>&lt;01</v>
      </c>
      <c r="R2648" s="0" t="str">
        <f aca="false">IF($D2648&lt;&gt;"","["&amp;$E2648&amp;"]"&amp;"|"&amp;$Q2648&amp;"|"&amp;$K2648&amp;"|"&amp;$G2648&amp;"|"&amp;IF($G2648="TX_CURR_SUBNAT.R","CY2022Q4",$M2648),"")</f>
        <v>[lPTyjLi4w3d]|&lt;01|Female|DIAGNOSED_SUBNAT.T_1|CY2023Q3</v>
      </c>
    </row>
    <row r="2649" customFormat="false" ht="15" hidden="false" customHeight="false" outlineLevel="0" collapsed="false">
      <c r="D2649" s="0" t="s">
        <v>117</v>
      </c>
      <c r="E2649" s="0" t="s">
        <v>118</v>
      </c>
      <c r="F2649" s="0" t="s">
        <v>119</v>
      </c>
      <c r="G2649" s="0" t="s">
        <v>148</v>
      </c>
      <c r="H2649" s="0" t="s">
        <v>149</v>
      </c>
      <c r="I2649" s="0" t="s">
        <v>33</v>
      </c>
      <c r="J2649" s="0" t="s">
        <v>34</v>
      </c>
      <c r="K2649" s="0" t="s">
        <v>30</v>
      </c>
      <c r="L2649" s="0" t="s">
        <v>31</v>
      </c>
      <c r="M2649" s="0" t="s">
        <v>140</v>
      </c>
      <c r="N2649" s="0" t="n">
        <v>1181</v>
      </c>
      <c r="O2649" s="10" t="n">
        <v>0.0414610812440515</v>
      </c>
      <c r="P2649" s="10" t="n">
        <v>0.206259709550068</v>
      </c>
      <c r="Q2649" s="0" t="str">
        <f aca="false">SUBSTITUTE(SUBSTITUTE($I2649,CHAR(61),""),CHAR(34),"")</f>
        <v>01-09</v>
      </c>
      <c r="R2649" s="0" t="str">
        <f aca="false">IF($D2649&lt;&gt;"","["&amp;$E2649&amp;"]"&amp;"|"&amp;$Q2649&amp;"|"&amp;$K2649&amp;"|"&amp;$G2649&amp;"|"&amp;IF($G2649="TX_CURR_SUBNAT.R","CY2022Q4",$M2649),"")</f>
        <v>[lPTyjLi4w3d]|01-09|Female|DIAGNOSED_SUBNAT.T_1|CY2023Q3</v>
      </c>
    </row>
    <row r="2650" customFormat="false" ht="15" hidden="false" customHeight="false" outlineLevel="0" collapsed="false">
      <c r="D2650" s="0" t="s">
        <v>117</v>
      </c>
      <c r="E2650" s="0" t="s">
        <v>118</v>
      </c>
      <c r="F2650" s="0" t="s">
        <v>119</v>
      </c>
      <c r="G2650" s="0" t="s">
        <v>148</v>
      </c>
      <c r="H2650" s="0" t="s">
        <v>149</v>
      </c>
      <c r="I2650" s="0" t="s">
        <v>36</v>
      </c>
      <c r="J2650" s="0" t="s">
        <v>37</v>
      </c>
      <c r="K2650" s="0" t="s">
        <v>30</v>
      </c>
      <c r="L2650" s="0" t="s">
        <v>31</v>
      </c>
      <c r="M2650" s="0" t="s">
        <v>140</v>
      </c>
      <c r="N2650" s="0" t="n">
        <v>1092</v>
      </c>
      <c r="O2650" s="10" t="n">
        <v>0.0390932240989059</v>
      </c>
      <c r="P2650" s="10" t="n">
        <v>0.206259709550068</v>
      </c>
      <c r="Q2650" s="0" t="str">
        <f aca="false">SUBSTITUTE(SUBSTITUTE($I2650,CHAR(61),""),CHAR(34),"")</f>
        <v>10-14</v>
      </c>
      <c r="R2650" s="0" t="str">
        <f aca="false">IF($D2650&lt;&gt;"","["&amp;$E2650&amp;"]"&amp;"|"&amp;$Q2650&amp;"|"&amp;$K2650&amp;"|"&amp;$G2650&amp;"|"&amp;IF($G2650="TX_CURR_SUBNAT.R","CY2022Q4",$M2650),"")</f>
        <v>[lPTyjLi4w3d]|10-14|Female|DIAGNOSED_SUBNAT.T_1|CY2023Q3</v>
      </c>
    </row>
    <row r="2651" customFormat="false" ht="15" hidden="false" customHeight="false" outlineLevel="0" collapsed="false">
      <c r="D2651" s="0" t="s">
        <v>117</v>
      </c>
      <c r="E2651" s="0" t="s">
        <v>118</v>
      </c>
      <c r="F2651" s="0" t="s">
        <v>119</v>
      </c>
      <c r="G2651" s="0" t="s">
        <v>148</v>
      </c>
      <c r="H2651" s="0" t="s">
        <v>149</v>
      </c>
      <c r="I2651" s="0" t="s">
        <v>38</v>
      </c>
      <c r="J2651" s="0" t="s">
        <v>39</v>
      </c>
      <c r="K2651" s="0" t="s">
        <v>30</v>
      </c>
      <c r="L2651" s="0" t="s">
        <v>31</v>
      </c>
      <c r="M2651" s="0" t="s">
        <v>140</v>
      </c>
      <c r="N2651" s="0" t="n">
        <v>766</v>
      </c>
      <c r="O2651" s="10" t="n">
        <v>0.439941670978442</v>
      </c>
      <c r="P2651" s="10" t="n">
        <v>0.206259709550068</v>
      </c>
      <c r="Q2651" s="0" t="str">
        <f aca="false">SUBSTITUTE(SUBSTITUTE($I2651,CHAR(61),""),CHAR(34),"")</f>
        <v>15-24</v>
      </c>
      <c r="R2651" s="0" t="str">
        <f aca="false">IF($D2651&lt;&gt;"","["&amp;$E2651&amp;"]"&amp;"|"&amp;$Q2651&amp;"|"&amp;$K2651&amp;"|"&amp;$G2651&amp;"|"&amp;IF($G2651="TX_CURR_SUBNAT.R","CY2022Q4",$M2651),"")</f>
        <v>[lPTyjLi4w3d]|15-24|Female|DIAGNOSED_SUBNAT.T_1|CY2023Q3</v>
      </c>
    </row>
    <row r="2652" customFormat="false" ht="15" hidden="false" customHeight="false" outlineLevel="0" collapsed="false">
      <c r="D2652" s="0" t="s">
        <v>117</v>
      </c>
      <c r="E2652" s="0" t="s">
        <v>118</v>
      </c>
      <c r="F2652" s="0" t="s">
        <v>119</v>
      </c>
      <c r="G2652" s="0" t="s">
        <v>148</v>
      </c>
      <c r="H2652" s="0" t="s">
        <v>149</v>
      </c>
      <c r="I2652" s="0" t="s">
        <v>41</v>
      </c>
      <c r="J2652" s="0" t="s">
        <v>42</v>
      </c>
      <c r="K2652" s="0" t="s">
        <v>30</v>
      </c>
      <c r="L2652" s="0" t="s">
        <v>31</v>
      </c>
      <c r="M2652" s="0" t="s">
        <v>140</v>
      </c>
      <c r="N2652" s="0" t="n">
        <v>1177</v>
      </c>
      <c r="O2652" s="10" t="n">
        <v>0.306643321644515</v>
      </c>
      <c r="P2652" s="10" t="n">
        <v>0.206259709550068</v>
      </c>
      <c r="Q2652" s="0" t="str">
        <f aca="false">SUBSTITUTE(SUBSTITUTE($I2652,CHAR(61),""),CHAR(34),"")</f>
        <v>25-34</v>
      </c>
      <c r="R2652" s="0" t="str">
        <f aca="false">IF($D2652&lt;&gt;"","["&amp;$E2652&amp;"]"&amp;"|"&amp;$Q2652&amp;"|"&amp;$K2652&amp;"|"&amp;$G2652&amp;"|"&amp;IF($G2652="TX_CURR_SUBNAT.R","CY2022Q4",$M2652),"")</f>
        <v>[lPTyjLi4w3d]|25-34|Female|DIAGNOSED_SUBNAT.T_1|CY2023Q3</v>
      </c>
    </row>
    <row r="2653" customFormat="false" ht="15" hidden="false" customHeight="false" outlineLevel="0" collapsed="false">
      <c r="D2653" s="0" t="s">
        <v>117</v>
      </c>
      <c r="E2653" s="0" t="s">
        <v>118</v>
      </c>
      <c r="F2653" s="0" t="s">
        <v>119</v>
      </c>
      <c r="G2653" s="0" t="s">
        <v>148</v>
      </c>
      <c r="H2653" s="0" t="s">
        <v>149</v>
      </c>
      <c r="I2653" s="0" t="s">
        <v>43</v>
      </c>
      <c r="J2653" s="0" t="s">
        <v>44</v>
      </c>
      <c r="K2653" s="0" t="s">
        <v>30</v>
      </c>
      <c r="L2653" s="0" t="s">
        <v>31</v>
      </c>
      <c r="M2653" s="0" t="s">
        <v>140</v>
      </c>
      <c r="N2653" s="0" t="n">
        <v>1678</v>
      </c>
      <c r="O2653" s="10" t="n">
        <v>0.698177796090022</v>
      </c>
      <c r="P2653" s="10" t="n">
        <v>0.206259709550068</v>
      </c>
      <c r="Q2653" s="0" t="str">
        <f aca="false">SUBSTITUTE(SUBSTITUTE($I2653,CHAR(61),""),CHAR(34),"")</f>
        <v>35-49</v>
      </c>
      <c r="R2653" s="0" t="str">
        <f aca="false">IF($D2653&lt;&gt;"","["&amp;$E2653&amp;"]"&amp;"|"&amp;$Q2653&amp;"|"&amp;$K2653&amp;"|"&amp;$G2653&amp;"|"&amp;IF($G2653="TX_CURR_SUBNAT.R","CY2022Q4",$M2653),"")</f>
        <v>[lPTyjLi4w3d]|35-49|Female|DIAGNOSED_SUBNAT.T_1|CY2023Q3</v>
      </c>
    </row>
    <row r="2654" customFormat="false" ht="15" hidden="false" customHeight="false" outlineLevel="0" collapsed="false">
      <c r="D2654" s="0" t="s">
        <v>117</v>
      </c>
      <c r="E2654" s="0" t="s">
        <v>118</v>
      </c>
      <c r="F2654" s="0" t="s">
        <v>119</v>
      </c>
      <c r="G2654" s="0" t="s">
        <v>148</v>
      </c>
      <c r="H2654" s="0" t="s">
        <v>149</v>
      </c>
      <c r="I2654" s="0" t="s">
        <v>45</v>
      </c>
      <c r="J2654" s="0" t="s">
        <v>46</v>
      </c>
      <c r="K2654" s="0" t="s">
        <v>30</v>
      </c>
      <c r="L2654" s="0" t="s">
        <v>31</v>
      </c>
      <c r="M2654" s="0" t="s">
        <v>140</v>
      </c>
      <c r="N2654" s="0" t="n">
        <v>947</v>
      </c>
      <c r="O2654" s="10" t="n">
        <v>0.655403215670958</v>
      </c>
      <c r="P2654" s="10" t="n">
        <v>0.206259709550068</v>
      </c>
      <c r="Q2654" s="0" t="str">
        <f aca="false">SUBSTITUTE(SUBSTITUTE($I2654,CHAR(61),""),CHAR(34),"")</f>
        <v>50+</v>
      </c>
      <c r="R2654" s="0" t="str">
        <f aca="false">IF($D2654&lt;&gt;"","["&amp;$E2654&amp;"]"&amp;"|"&amp;$Q2654&amp;"|"&amp;$K2654&amp;"|"&amp;$G2654&amp;"|"&amp;IF($G2654="TX_CURR_SUBNAT.R","CY2022Q4",$M2654),"")</f>
        <v>[lPTyjLi4w3d]|50+|Female|DIAGNOSED_SUBNAT.T_1|CY2023Q3</v>
      </c>
    </row>
    <row r="2655" customFormat="false" ht="15" hidden="false" customHeight="false" outlineLevel="0" collapsed="false">
      <c r="D2655" s="0" t="s">
        <v>117</v>
      </c>
      <c r="E2655" s="0" t="s">
        <v>118</v>
      </c>
      <c r="F2655" s="0" t="s">
        <v>119</v>
      </c>
      <c r="G2655" s="0" t="s">
        <v>148</v>
      </c>
      <c r="H2655" s="0" t="s">
        <v>149</v>
      </c>
      <c r="I2655" s="0" t="s">
        <v>28</v>
      </c>
      <c r="J2655" s="0" t="s">
        <v>29</v>
      </c>
      <c r="K2655" s="0" t="s">
        <v>48</v>
      </c>
      <c r="L2655" s="0" t="s">
        <v>49</v>
      </c>
      <c r="M2655" s="0" t="s">
        <v>140</v>
      </c>
      <c r="N2655" s="0" t="n">
        <v>1000</v>
      </c>
      <c r="O2655" s="10" t="n">
        <v>0.101728732232004</v>
      </c>
      <c r="P2655" s="10" t="n">
        <v>0.206259709550068</v>
      </c>
      <c r="Q2655" s="0" t="str">
        <f aca="false">SUBSTITUTE(SUBSTITUTE($I2655,CHAR(61),""),CHAR(34),"")</f>
        <v>&lt;01</v>
      </c>
      <c r="R2655" s="0" t="str">
        <f aca="false">IF($D2655&lt;&gt;"","["&amp;$E2655&amp;"]"&amp;"|"&amp;$Q2655&amp;"|"&amp;$K2655&amp;"|"&amp;$G2655&amp;"|"&amp;IF($G2655="TX_CURR_SUBNAT.R","CY2022Q4",$M2655),"")</f>
        <v>[lPTyjLi4w3d]|&lt;01|Male|DIAGNOSED_SUBNAT.T_1|CY2023Q3</v>
      </c>
    </row>
    <row r="2656" customFormat="false" ht="15" hidden="false" customHeight="false" outlineLevel="0" collapsed="false">
      <c r="D2656" s="0" t="s">
        <v>117</v>
      </c>
      <c r="E2656" s="0" t="s">
        <v>118</v>
      </c>
      <c r="F2656" s="0" t="s">
        <v>119</v>
      </c>
      <c r="G2656" s="0" t="s">
        <v>148</v>
      </c>
      <c r="H2656" s="0" t="s">
        <v>149</v>
      </c>
      <c r="I2656" s="0" t="s">
        <v>33</v>
      </c>
      <c r="J2656" s="0" t="s">
        <v>34</v>
      </c>
      <c r="K2656" s="0" t="s">
        <v>48</v>
      </c>
      <c r="L2656" s="0" t="s">
        <v>49</v>
      </c>
      <c r="M2656" s="0" t="s">
        <v>140</v>
      </c>
      <c r="N2656" s="0" t="n">
        <v>1927</v>
      </c>
      <c r="O2656" s="10" t="n">
        <v>0.683856471441686</v>
      </c>
      <c r="P2656" s="10" t="n">
        <v>0.206259709550068</v>
      </c>
      <c r="Q2656" s="0" t="str">
        <f aca="false">SUBSTITUTE(SUBSTITUTE($I2656,CHAR(61),""),CHAR(34),"")</f>
        <v>01-09</v>
      </c>
      <c r="R2656" s="0" t="str">
        <f aca="false">IF($D2656&lt;&gt;"","["&amp;$E2656&amp;"]"&amp;"|"&amp;$Q2656&amp;"|"&amp;$K2656&amp;"|"&amp;$G2656&amp;"|"&amp;IF($G2656="TX_CURR_SUBNAT.R","CY2022Q4",$M2656),"")</f>
        <v>[lPTyjLi4w3d]|01-09|Male|DIAGNOSED_SUBNAT.T_1|CY2023Q3</v>
      </c>
    </row>
    <row r="2657" customFormat="false" ht="15" hidden="false" customHeight="false" outlineLevel="0" collapsed="false">
      <c r="D2657" s="0" t="s">
        <v>117</v>
      </c>
      <c r="E2657" s="0" t="s">
        <v>118</v>
      </c>
      <c r="F2657" s="0" t="s">
        <v>119</v>
      </c>
      <c r="G2657" s="0" t="s">
        <v>148</v>
      </c>
      <c r="H2657" s="0" t="s">
        <v>149</v>
      </c>
      <c r="I2657" s="0" t="s">
        <v>36</v>
      </c>
      <c r="J2657" s="0" t="s">
        <v>37</v>
      </c>
      <c r="K2657" s="0" t="s">
        <v>48</v>
      </c>
      <c r="L2657" s="0" t="s">
        <v>49</v>
      </c>
      <c r="M2657" s="0" t="s">
        <v>140</v>
      </c>
      <c r="N2657" s="0" t="n">
        <v>1088</v>
      </c>
      <c r="O2657" s="10" t="n">
        <v>0.0650641017127782</v>
      </c>
      <c r="P2657" s="10" t="n">
        <v>0.206259709550068</v>
      </c>
      <c r="Q2657" s="0" t="str">
        <f aca="false">SUBSTITUTE(SUBSTITUTE($I2657,CHAR(61),""),CHAR(34),"")</f>
        <v>10-14</v>
      </c>
      <c r="R2657" s="0" t="str">
        <f aca="false">IF($D2657&lt;&gt;"","["&amp;$E2657&amp;"]"&amp;"|"&amp;$Q2657&amp;"|"&amp;$K2657&amp;"|"&amp;$G2657&amp;"|"&amp;IF($G2657="TX_CURR_SUBNAT.R","CY2022Q4",$M2657),"")</f>
        <v>[lPTyjLi4w3d]|10-14|Male|DIAGNOSED_SUBNAT.T_1|CY2023Q3</v>
      </c>
    </row>
    <row r="2658" customFormat="false" ht="15" hidden="false" customHeight="false" outlineLevel="0" collapsed="false">
      <c r="D2658" s="0" t="s">
        <v>117</v>
      </c>
      <c r="E2658" s="0" t="s">
        <v>118</v>
      </c>
      <c r="F2658" s="0" t="s">
        <v>119</v>
      </c>
      <c r="G2658" s="0" t="s">
        <v>148</v>
      </c>
      <c r="H2658" s="0" t="s">
        <v>149</v>
      </c>
      <c r="I2658" s="0" t="s">
        <v>38</v>
      </c>
      <c r="J2658" s="0" t="s">
        <v>39</v>
      </c>
      <c r="K2658" s="0" t="s">
        <v>48</v>
      </c>
      <c r="L2658" s="0" t="s">
        <v>49</v>
      </c>
      <c r="M2658" s="0" t="s">
        <v>140</v>
      </c>
      <c r="N2658" s="0" t="n">
        <v>1880</v>
      </c>
      <c r="O2658" s="10" t="n">
        <v>0.42414333880879</v>
      </c>
      <c r="P2658" s="10" t="n">
        <v>0.206259709550068</v>
      </c>
      <c r="Q2658" s="0" t="str">
        <f aca="false">SUBSTITUTE(SUBSTITUTE($I2658,CHAR(61),""),CHAR(34),"")</f>
        <v>15-24</v>
      </c>
      <c r="R2658" s="0" t="str">
        <f aca="false">IF($D2658&lt;&gt;"","["&amp;$E2658&amp;"]"&amp;"|"&amp;$Q2658&amp;"|"&amp;$K2658&amp;"|"&amp;$G2658&amp;"|"&amp;IF($G2658="TX_CURR_SUBNAT.R","CY2022Q4",$M2658),"")</f>
        <v>[lPTyjLi4w3d]|15-24|Male|DIAGNOSED_SUBNAT.T_1|CY2023Q3</v>
      </c>
    </row>
    <row r="2659" customFormat="false" ht="15" hidden="false" customHeight="false" outlineLevel="0" collapsed="false">
      <c r="D2659" s="0" t="s">
        <v>117</v>
      </c>
      <c r="E2659" s="0" t="s">
        <v>118</v>
      </c>
      <c r="F2659" s="0" t="s">
        <v>119</v>
      </c>
      <c r="G2659" s="0" t="s">
        <v>148</v>
      </c>
      <c r="H2659" s="0" t="s">
        <v>149</v>
      </c>
      <c r="I2659" s="0" t="s">
        <v>41</v>
      </c>
      <c r="J2659" s="0" t="s">
        <v>42</v>
      </c>
      <c r="K2659" s="0" t="s">
        <v>48</v>
      </c>
      <c r="L2659" s="0" t="s">
        <v>49</v>
      </c>
      <c r="M2659" s="0" t="s">
        <v>140</v>
      </c>
      <c r="N2659" s="0" t="n">
        <v>1021</v>
      </c>
      <c r="O2659" s="10" t="n">
        <v>0.977099240059033</v>
      </c>
      <c r="P2659" s="10" t="n">
        <v>0.206259709550068</v>
      </c>
      <c r="Q2659" s="0" t="str">
        <f aca="false">SUBSTITUTE(SUBSTITUTE($I2659,CHAR(61),""),CHAR(34),"")</f>
        <v>25-34</v>
      </c>
      <c r="R2659" s="0" t="str">
        <f aca="false">IF($D2659&lt;&gt;"","["&amp;$E2659&amp;"]"&amp;"|"&amp;$Q2659&amp;"|"&amp;$K2659&amp;"|"&amp;$G2659&amp;"|"&amp;IF($G2659="TX_CURR_SUBNAT.R","CY2022Q4",$M2659),"")</f>
        <v>[lPTyjLi4w3d]|25-34|Male|DIAGNOSED_SUBNAT.T_1|CY2023Q3</v>
      </c>
    </row>
    <row r="2660" customFormat="false" ht="15" hidden="false" customHeight="false" outlineLevel="0" collapsed="false">
      <c r="D2660" s="0" t="s">
        <v>117</v>
      </c>
      <c r="E2660" s="0" t="s">
        <v>118</v>
      </c>
      <c r="F2660" s="0" t="s">
        <v>119</v>
      </c>
      <c r="G2660" s="0" t="s">
        <v>148</v>
      </c>
      <c r="H2660" s="0" t="s">
        <v>149</v>
      </c>
      <c r="I2660" s="0" t="s">
        <v>43</v>
      </c>
      <c r="J2660" s="0" t="s">
        <v>44</v>
      </c>
      <c r="K2660" s="0" t="s">
        <v>48</v>
      </c>
      <c r="L2660" s="0" t="s">
        <v>49</v>
      </c>
      <c r="M2660" s="0" t="s">
        <v>140</v>
      </c>
      <c r="N2660" s="0" t="n">
        <v>1424</v>
      </c>
      <c r="O2660" s="10" t="n">
        <v>0.502065063687041</v>
      </c>
      <c r="P2660" s="10" t="n">
        <v>0.206259709550068</v>
      </c>
      <c r="Q2660" s="0" t="str">
        <f aca="false">SUBSTITUTE(SUBSTITUTE($I2660,CHAR(61),""),CHAR(34),"")</f>
        <v>35-49</v>
      </c>
      <c r="R2660" s="0" t="str">
        <f aca="false">IF($D2660&lt;&gt;"","["&amp;$E2660&amp;"]"&amp;"|"&amp;$Q2660&amp;"|"&amp;$K2660&amp;"|"&amp;$G2660&amp;"|"&amp;IF($G2660="TX_CURR_SUBNAT.R","CY2022Q4",$M2660),"")</f>
        <v>[lPTyjLi4w3d]|35-49|Male|DIAGNOSED_SUBNAT.T_1|CY2023Q3</v>
      </c>
    </row>
    <row r="2661" customFormat="false" ht="15" hidden="false" customHeight="false" outlineLevel="0" collapsed="false">
      <c r="D2661" s="0" t="s">
        <v>117</v>
      </c>
      <c r="E2661" s="0" t="s">
        <v>118</v>
      </c>
      <c r="F2661" s="0" t="s">
        <v>119</v>
      </c>
      <c r="G2661" s="0" t="s">
        <v>148</v>
      </c>
      <c r="H2661" s="0" t="s">
        <v>149</v>
      </c>
      <c r="I2661" s="0" t="s">
        <v>45</v>
      </c>
      <c r="J2661" s="0" t="s">
        <v>46</v>
      </c>
      <c r="K2661" s="0" t="s">
        <v>48</v>
      </c>
      <c r="L2661" s="0" t="s">
        <v>49</v>
      </c>
      <c r="M2661" s="0" t="s">
        <v>140</v>
      </c>
      <c r="N2661" s="0" t="n">
        <v>848</v>
      </c>
      <c r="O2661" s="10" t="n">
        <v>0.206030081026256</v>
      </c>
      <c r="P2661" s="10" t="n">
        <v>0.206259709550068</v>
      </c>
      <c r="Q2661" s="0" t="str">
        <f aca="false">SUBSTITUTE(SUBSTITUTE($I2661,CHAR(61),""),CHAR(34),"")</f>
        <v>50+</v>
      </c>
      <c r="R2661" s="0" t="str">
        <f aca="false">IF($D2661&lt;&gt;"","["&amp;$E2661&amp;"]"&amp;"|"&amp;$Q2661&amp;"|"&amp;$K2661&amp;"|"&amp;$G2661&amp;"|"&amp;IF($G2661="TX_CURR_SUBNAT.R","CY2022Q4",$M2661),"")</f>
        <v>[lPTyjLi4w3d]|50+|Male|DIAGNOSED_SUBNAT.T_1|CY2023Q3</v>
      </c>
    </row>
    <row r="2662" customFormat="false" ht="15" hidden="false" customHeight="false" outlineLevel="0" collapsed="false">
      <c r="D2662" s="0" t="s">
        <v>120</v>
      </c>
      <c r="E2662" s="0" t="s">
        <v>121</v>
      </c>
      <c r="F2662" s="0" t="s">
        <v>122</v>
      </c>
      <c r="G2662" s="0" t="s">
        <v>148</v>
      </c>
      <c r="H2662" s="0" t="s">
        <v>149</v>
      </c>
      <c r="I2662" s="0" t="s">
        <v>28</v>
      </c>
      <c r="J2662" s="0" t="s">
        <v>29</v>
      </c>
      <c r="K2662" s="0" t="s">
        <v>30</v>
      </c>
      <c r="L2662" s="0" t="s">
        <v>31</v>
      </c>
      <c r="M2662" s="0" t="s">
        <v>140</v>
      </c>
      <c r="N2662" s="0" t="n">
        <v>1932</v>
      </c>
      <c r="O2662" s="10" t="n">
        <v>0.250816955696791</v>
      </c>
      <c r="P2662" s="10" t="n">
        <v>0.430103979306296</v>
      </c>
      <c r="Q2662" s="0" t="str">
        <f aca="false">SUBSTITUTE(SUBSTITUTE($I2662,CHAR(61),""),CHAR(34),"")</f>
        <v>&lt;01</v>
      </c>
      <c r="R2662" s="0" t="str">
        <f aca="false">IF($D2662&lt;&gt;"","["&amp;$E2662&amp;"]"&amp;"|"&amp;$Q2662&amp;"|"&amp;$K2662&amp;"|"&amp;$G2662&amp;"|"&amp;IF($G2662="TX_CURR_SUBNAT.R","CY2022Q4",$M2662),"")</f>
        <v>[vA4NcHxfMBq]|&lt;01|Female|DIAGNOSED_SUBNAT.T_1|CY2023Q3</v>
      </c>
    </row>
    <row r="2663" customFormat="false" ht="15" hidden="false" customHeight="false" outlineLevel="0" collapsed="false">
      <c r="D2663" s="0" t="s">
        <v>120</v>
      </c>
      <c r="E2663" s="0" t="s">
        <v>121</v>
      </c>
      <c r="F2663" s="0" t="s">
        <v>122</v>
      </c>
      <c r="G2663" s="0" t="s">
        <v>148</v>
      </c>
      <c r="H2663" s="0" t="s">
        <v>149</v>
      </c>
      <c r="I2663" s="0" t="s">
        <v>33</v>
      </c>
      <c r="J2663" s="0" t="s">
        <v>34</v>
      </c>
      <c r="K2663" s="0" t="s">
        <v>30</v>
      </c>
      <c r="L2663" s="0" t="s">
        <v>31</v>
      </c>
      <c r="M2663" s="0" t="s">
        <v>140</v>
      </c>
      <c r="N2663" s="0" t="n">
        <v>1264</v>
      </c>
      <c r="O2663" s="10" t="n">
        <v>0.577795747900382</v>
      </c>
      <c r="P2663" s="10" t="n">
        <v>0.430103979306296</v>
      </c>
      <c r="Q2663" s="0" t="str">
        <f aca="false">SUBSTITUTE(SUBSTITUTE($I2663,CHAR(61),""),CHAR(34),"")</f>
        <v>01-09</v>
      </c>
      <c r="R2663" s="0" t="str">
        <f aca="false">IF($D2663&lt;&gt;"","["&amp;$E2663&amp;"]"&amp;"|"&amp;$Q2663&amp;"|"&amp;$K2663&amp;"|"&amp;$G2663&amp;"|"&amp;IF($G2663="TX_CURR_SUBNAT.R","CY2022Q4",$M2663),"")</f>
        <v>[vA4NcHxfMBq]|01-09|Female|DIAGNOSED_SUBNAT.T_1|CY2023Q3</v>
      </c>
    </row>
    <row r="2664" customFormat="false" ht="15" hidden="false" customHeight="false" outlineLevel="0" collapsed="false">
      <c r="D2664" s="0" t="s">
        <v>120</v>
      </c>
      <c r="E2664" s="0" t="s">
        <v>121</v>
      </c>
      <c r="F2664" s="0" t="s">
        <v>122</v>
      </c>
      <c r="G2664" s="0" t="s">
        <v>148</v>
      </c>
      <c r="H2664" s="0" t="s">
        <v>149</v>
      </c>
      <c r="I2664" s="0" t="s">
        <v>36</v>
      </c>
      <c r="J2664" s="0" t="s">
        <v>37</v>
      </c>
      <c r="K2664" s="0" t="s">
        <v>30</v>
      </c>
      <c r="L2664" s="0" t="s">
        <v>31</v>
      </c>
      <c r="M2664" s="0" t="s">
        <v>140</v>
      </c>
      <c r="N2664" s="0" t="n">
        <v>744</v>
      </c>
      <c r="O2664" s="10" t="n">
        <v>0.103490241803229</v>
      </c>
      <c r="P2664" s="10" t="n">
        <v>0.430103979306296</v>
      </c>
      <c r="Q2664" s="0" t="str">
        <f aca="false">SUBSTITUTE(SUBSTITUTE($I2664,CHAR(61),""),CHAR(34),"")</f>
        <v>10-14</v>
      </c>
      <c r="R2664" s="0" t="str">
        <f aca="false">IF($D2664&lt;&gt;"","["&amp;$E2664&amp;"]"&amp;"|"&amp;$Q2664&amp;"|"&amp;$K2664&amp;"|"&amp;$G2664&amp;"|"&amp;IF($G2664="TX_CURR_SUBNAT.R","CY2022Q4",$M2664),"")</f>
        <v>[vA4NcHxfMBq]|10-14|Female|DIAGNOSED_SUBNAT.T_1|CY2023Q3</v>
      </c>
    </row>
    <row r="2665" customFormat="false" ht="15" hidden="false" customHeight="false" outlineLevel="0" collapsed="false">
      <c r="D2665" s="0" t="s">
        <v>120</v>
      </c>
      <c r="E2665" s="0" t="s">
        <v>121</v>
      </c>
      <c r="F2665" s="0" t="s">
        <v>122</v>
      </c>
      <c r="G2665" s="0" t="s">
        <v>148</v>
      </c>
      <c r="H2665" s="0" t="s">
        <v>149</v>
      </c>
      <c r="I2665" s="0" t="s">
        <v>38</v>
      </c>
      <c r="J2665" s="0" t="s">
        <v>39</v>
      </c>
      <c r="K2665" s="0" t="s">
        <v>30</v>
      </c>
      <c r="L2665" s="0" t="s">
        <v>31</v>
      </c>
      <c r="M2665" s="0" t="s">
        <v>140</v>
      </c>
      <c r="N2665" s="0" t="n">
        <v>1209</v>
      </c>
      <c r="O2665" s="10" t="n">
        <v>0.895452782511711</v>
      </c>
      <c r="P2665" s="10" t="n">
        <v>0.430103979306296</v>
      </c>
      <c r="Q2665" s="0" t="str">
        <f aca="false">SUBSTITUTE(SUBSTITUTE($I2665,CHAR(61),""),CHAR(34),"")</f>
        <v>15-24</v>
      </c>
      <c r="R2665" s="0" t="str">
        <f aca="false">IF($D2665&lt;&gt;"","["&amp;$E2665&amp;"]"&amp;"|"&amp;$Q2665&amp;"|"&amp;$K2665&amp;"|"&amp;$G2665&amp;"|"&amp;IF($G2665="TX_CURR_SUBNAT.R","CY2022Q4",$M2665),"")</f>
        <v>[vA4NcHxfMBq]|15-24|Female|DIAGNOSED_SUBNAT.T_1|CY2023Q3</v>
      </c>
    </row>
    <row r="2666" customFormat="false" ht="15" hidden="false" customHeight="false" outlineLevel="0" collapsed="false">
      <c r="D2666" s="0" t="s">
        <v>120</v>
      </c>
      <c r="E2666" s="0" t="s">
        <v>121</v>
      </c>
      <c r="F2666" s="0" t="s">
        <v>122</v>
      </c>
      <c r="G2666" s="0" t="s">
        <v>148</v>
      </c>
      <c r="H2666" s="0" t="s">
        <v>149</v>
      </c>
      <c r="I2666" s="0" t="s">
        <v>41</v>
      </c>
      <c r="J2666" s="0" t="s">
        <v>42</v>
      </c>
      <c r="K2666" s="0" t="s">
        <v>30</v>
      </c>
      <c r="L2666" s="0" t="s">
        <v>31</v>
      </c>
      <c r="M2666" s="0" t="s">
        <v>140</v>
      </c>
      <c r="N2666" s="0" t="n">
        <v>1058</v>
      </c>
      <c r="O2666" s="10" t="n">
        <v>0.911294935038313</v>
      </c>
      <c r="P2666" s="10" t="n">
        <v>0.430103979306296</v>
      </c>
      <c r="Q2666" s="0" t="str">
        <f aca="false">SUBSTITUTE(SUBSTITUTE($I2666,CHAR(61),""),CHAR(34),"")</f>
        <v>25-34</v>
      </c>
      <c r="R2666" s="0" t="str">
        <f aca="false">IF($D2666&lt;&gt;"","["&amp;$E2666&amp;"]"&amp;"|"&amp;$Q2666&amp;"|"&amp;$K2666&amp;"|"&amp;$G2666&amp;"|"&amp;IF($G2666="TX_CURR_SUBNAT.R","CY2022Q4",$M2666),"")</f>
        <v>[vA4NcHxfMBq]|25-34|Female|DIAGNOSED_SUBNAT.T_1|CY2023Q3</v>
      </c>
    </row>
    <row r="2667" customFormat="false" ht="15" hidden="false" customHeight="false" outlineLevel="0" collapsed="false">
      <c r="D2667" s="0" t="s">
        <v>120</v>
      </c>
      <c r="E2667" s="0" t="s">
        <v>121</v>
      </c>
      <c r="F2667" s="0" t="s">
        <v>122</v>
      </c>
      <c r="G2667" s="0" t="s">
        <v>148</v>
      </c>
      <c r="H2667" s="0" t="s">
        <v>149</v>
      </c>
      <c r="I2667" s="0" t="s">
        <v>43</v>
      </c>
      <c r="J2667" s="0" t="s">
        <v>44</v>
      </c>
      <c r="K2667" s="0" t="s">
        <v>30</v>
      </c>
      <c r="L2667" s="0" t="s">
        <v>31</v>
      </c>
      <c r="M2667" s="0" t="s">
        <v>140</v>
      </c>
      <c r="N2667" s="0" t="n">
        <v>824</v>
      </c>
      <c r="O2667" s="10" t="n">
        <v>0.393097530351952</v>
      </c>
      <c r="P2667" s="10" t="n">
        <v>0.430103979306296</v>
      </c>
      <c r="Q2667" s="0" t="str">
        <f aca="false">SUBSTITUTE(SUBSTITUTE($I2667,CHAR(61),""),CHAR(34),"")</f>
        <v>35-49</v>
      </c>
      <c r="R2667" s="0" t="str">
        <f aca="false">IF($D2667&lt;&gt;"","["&amp;$E2667&amp;"]"&amp;"|"&amp;$Q2667&amp;"|"&amp;$K2667&amp;"|"&amp;$G2667&amp;"|"&amp;IF($G2667="TX_CURR_SUBNAT.R","CY2022Q4",$M2667),"")</f>
        <v>[vA4NcHxfMBq]|35-49|Female|DIAGNOSED_SUBNAT.T_1|CY2023Q3</v>
      </c>
    </row>
    <row r="2668" customFormat="false" ht="15" hidden="false" customHeight="false" outlineLevel="0" collapsed="false">
      <c r="D2668" s="0" t="s">
        <v>120</v>
      </c>
      <c r="E2668" s="0" t="s">
        <v>121</v>
      </c>
      <c r="F2668" s="0" t="s">
        <v>122</v>
      </c>
      <c r="G2668" s="0" t="s">
        <v>148</v>
      </c>
      <c r="H2668" s="0" t="s">
        <v>149</v>
      </c>
      <c r="I2668" s="0" t="s">
        <v>45</v>
      </c>
      <c r="J2668" s="0" t="s">
        <v>46</v>
      </c>
      <c r="K2668" s="0" t="s">
        <v>30</v>
      </c>
      <c r="L2668" s="0" t="s">
        <v>31</v>
      </c>
      <c r="M2668" s="0" t="s">
        <v>140</v>
      </c>
      <c r="N2668" s="0" t="n">
        <v>914</v>
      </c>
      <c r="O2668" s="10" t="n">
        <v>0.0740592279471457</v>
      </c>
      <c r="P2668" s="10" t="n">
        <v>0.430103979306296</v>
      </c>
      <c r="Q2668" s="0" t="str">
        <f aca="false">SUBSTITUTE(SUBSTITUTE($I2668,CHAR(61),""),CHAR(34),"")</f>
        <v>50+</v>
      </c>
      <c r="R2668" s="0" t="str">
        <f aca="false">IF($D2668&lt;&gt;"","["&amp;$E2668&amp;"]"&amp;"|"&amp;$Q2668&amp;"|"&amp;$K2668&amp;"|"&amp;$G2668&amp;"|"&amp;IF($G2668="TX_CURR_SUBNAT.R","CY2022Q4",$M2668),"")</f>
        <v>[vA4NcHxfMBq]|50+|Female|DIAGNOSED_SUBNAT.T_1|CY2023Q3</v>
      </c>
    </row>
    <row r="2669" customFormat="false" ht="15" hidden="false" customHeight="false" outlineLevel="0" collapsed="false">
      <c r="D2669" s="0" t="s">
        <v>120</v>
      </c>
      <c r="E2669" s="0" t="s">
        <v>121</v>
      </c>
      <c r="F2669" s="0" t="s">
        <v>122</v>
      </c>
      <c r="G2669" s="0" t="s">
        <v>148</v>
      </c>
      <c r="H2669" s="0" t="s">
        <v>149</v>
      </c>
      <c r="I2669" s="0" t="s">
        <v>28</v>
      </c>
      <c r="J2669" s="0" t="s">
        <v>29</v>
      </c>
      <c r="K2669" s="0" t="s">
        <v>48</v>
      </c>
      <c r="L2669" s="0" t="s">
        <v>49</v>
      </c>
      <c r="M2669" s="0" t="s">
        <v>140</v>
      </c>
      <c r="N2669" s="0" t="n">
        <v>1494</v>
      </c>
      <c r="O2669" s="10" t="n">
        <v>0.808414092985913</v>
      </c>
      <c r="P2669" s="10" t="n">
        <v>0.430103979306296</v>
      </c>
      <c r="Q2669" s="0" t="str">
        <f aca="false">SUBSTITUTE(SUBSTITUTE($I2669,CHAR(61),""),CHAR(34),"")</f>
        <v>&lt;01</v>
      </c>
      <c r="R2669" s="0" t="str">
        <f aca="false">IF($D2669&lt;&gt;"","["&amp;$E2669&amp;"]"&amp;"|"&amp;$Q2669&amp;"|"&amp;$K2669&amp;"|"&amp;$G2669&amp;"|"&amp;IF($G2669="TX_CURR_SUBNAT.R","CY2022Q4",$M2669),"")</f>
        <v>[vA4NcHxfMBq]|&lt;01|Male|DIAGNOSED_SUBNAT.T_1|CY2023Q3</v>
      </c>
    </row>
    <row r="2670" customFormat="false" ht="15" hidden="false" customHeight="false" outlineLevel="0" collapsed="false">
      <c r="D2670" s="0" t="s">
        <v>120</v>
      </c>
      <c r="E2670" s="0" t="s">
        <v>121</v>
      </c>
      <c r="F2670" s="0" t="s">
        <v>122</v>
      </c>
      <c r="G2670" s="0" t="s">
        <v>148</v>
      </c>
      <c r="H2670" s="0" t="s">
        <v>149</v>
      </c>
      <c r="I2670" s="0" t="s">
        <v>33</v>
      </c>
      <c r="J2670" s="0" t="s">
        <v>34</v>
      </c>
      <c r="K2670" s="0" t="s">
        <v>48</v>
      </c>
      <c r="L2670" s="0" t="s">
        <v>49</v>
      </c>
      <c r="M2670" s="0" t="s">
        <v>140</v>
      </c>
      <c r="N2670" s="0" t="n">
        <v>1471</v>
      </c>
      <c r="O2670" s="10" t="n">
        <v>0.697392870672047</v>
      </c>
      <c r="P2670" s="10" t="n">
        <v>0.430103979306296</v>
      </c>
      <c r="Q2670" s="0" t="str">
        <f aca="false">SUBSTITUTE(SUBSTITUTE($I2670,CHAR(61),""),CHAR(34),"")</f>
        <v>01-09</v>
      </c>
      <c r="R2670" s="0" t="str">
        <f aca="false">IF($D2670&lt;&gt;"","["&amp;$E2670&amp;"]"&amp;"|"&amp;$Q2670&amp;"|"&amp;$K2670&amp;"|"&amp;$G2670&amp;"|"&amp;IF($G2670="TX_CURR_SUBNAT.R","CY2022Q4",$M2670),"")</f>
        <v>[vA4NcHxfMBq]|01-09|Male|DIAGNOSED_SUBNAT.T_1|CY2023Q3</v>
      </c>
    </row>
    <row r="2671" customFormat="false" ht="15" hidden="false" customHeight="false" outlineLevel="0" collapsed="false">
      <c r="D2671" s="0" t="s">
        <v>120</v>
      </c>
      <c r="E2671" s="0" t="s">
        <v>121</v>
      </c>
      <c r="F2671" s="0" t="s">
        <v>122</v>
      </c>
      <c r="G2671" s="0" t="s">
        <v>148</v>
      </c>
      <c r="H2671" s="0" t="s">
        <v>149</v>
      </c>
      <c r="I2671" s="0" t="s">
        <v>36</v>
      </c>
      <c r="J2671" s="0" t="s">
        <v>37</v>
      </c>
      <c r="K2671" s="0" t="s">
        <v>48</v>
      </c>
      <c r="L2671" s="0" t="s">
        <v>49</v>
      </c>
      <c r="M2671" s="0" t="s">
        <v>140</v>
      </c>
      <c r="N2671" s="0" t="n">
        <v>853</v>
      </c>
      <c r="O2671" s="10" t="n">
        <v>0.426695372909307</v>
      </c>
      <c r="P2671" s="10" t="n">
        <v>0.430103979306296</v>
      </c>
      <c r="Q2671" s="0" t="str">
        <f aca="false">SUBSTITUTE(SUBSTITUTE($I2671,CHAR(61),""),CHAR(34),"")</f>
        <v>10-14</v>
      </c>
      <c r="R2671" s="0" t="str">
        <f aca="false">IF($D2671&lt;&gt;"","["&amp;$E2671&amp;"]"&amp;"|"&amp;$Q2671&amp;"|"&amp;$K2671&amp;"|"&amp;$G2671&amp;"|"&amp;IF($G2671="TX_CURR_SUBNAT.R","CY2022Q4",$M2671),"")</f>
        <v>[vA4NcHxfMBq]|10-14|Male|DIAGNOSED_SUBNAT.T_1|CY2023Q3</v>
      </c>
    </row>
    <row r="2672" customFormat="false" ht="15" hidden="false" customHeight="false" outlineLevel="0" collapsed="false">
      <c r="D2672" s="0" t="s">
        <v>120</v>
      </c>
      <c r="E2672" s="0" t="s">
        <v>121</v>
      </c>
      <c r="F2672" s="0" t="s">
        <v>122</v>
      </c>
      <c r="G2672" s="0" t="s">
        <v>148</v>
      </c>
      <c r="H2672" s="0" t="s">
        <v>149</v>
      </c>
      <c r="I2672" s="0" t="s">
        <v>38</v>
      </c>
      <c r="J2672" s="0" t="s">
        <v>39</v>
      </c>
      <c r="K2672" s="0" t="s">
        <v>48</v>
      </c>
      <c r="L2672" s="0" t="s">
        <v>49</v>
      </c>
      <c r="M2672" s="0" t="s">
        <v>140</v>
      </c>
      <c r="N2672" s="0" t="n">
        <v>983</v>
      </c>
      <c r="O2672" s="10" t="n">
        <v>0.60858440073207</v>
      </c>
      <c r="P2672" s="10" t="n">
        <v>0.430103979306296</v>
      </c>
      <c r="Q2672" s="0" t="str">
        <f aca="false">SUBSTITUTE(SUBSTITUTE($I2672,CHAR(61),""),CHAR(34),"")</f>
        <v>15-24</v>
      </c>
      <c r="R2672" s="0" t="str">
        <f aca="false">IF($D2672&lt;&gt;"","["&amp;$E2672&amp;"]"&amp;"|"&amp;$Q2672&amp;"|"&amp;$K2672&amp;"|"&amp;$G2672&amp;"|"&amp;IF($G2672="TX_CURR_SUBNAT.R","CY2022Q4",$M2672),"")</f>
        <v>[vA4NcHxfMBq]|15-24|Male|DIAGNOSED_SUBNAT.T_1|CY2023Q3</v>
      </c>
    </row>
    <row r="2673" customFormat="false" ht="15" hidden="false" customHeight="false" outlineLevel="0" collapsed="false">
      <c r="D2673" s="0" t="s">
        <v>120</v>
      </c>
      <c r="E2673" s="0" t="s">
        <v>121</v>
      </c>
      <c r="F2673" s="0" t="s">
        <v>122</v>
      </c>
      <c r="G2673" s="0" t="s">
        <v>148</v>
      </c>
      <c r="H2673" s="0" t="s">
        <v>149</v>
      </c>
      <c r="I2673" s="0" t="s">
        <v>41</v>
      </c>
      <c r="J2673" s="0" t="s">
        <v>42</v>
      </c>
      <c r="K2673" s="0" t="s">
        <v>48</v>
      </c>
      <c r="L2673" s="0" t="s">
        <v>49</v>
      </c>
      <c r="M2673" s="0" t="s">
        <v>140</v>
      </c>
      <c r="N2673" s="0" t="n">
        <v>1245</v>
      </c>
      <c r="O2673" s="10" t="n">
        <v>0.36443246412091</v>
      </c>
      <c r="P2673" s="10" t="n">
        <v>0.430103979306296</v>
      </c>
      <c r="Q2673" s="0" t="str">
        <f aca="false">SUBSTITUTE(SUBSTITUTE($I2673,CHAR(61),""),CHAR(34),"")</f>
        <v>25-34</v>
      </c>
      <c r="R2673" s="0" t="str">
        <f aca="false">IF($D2673&lt;&gt;"","["&amp;$E2673&amp;"]"&amp;"|"&amp;$Q2673&amp;"|"&amp;$K2673&amp;"|"&amp;$G2673&amp;"|"&amp;IF($G2673="TX_CURR_SUBNAT.R","CY2022Q4",$M2673),"")</f>
        <v>[vA4NcHxfMBq]|25-34|Male|DIAGNOSED_SUBNAT.T_1|CY2023Q3</v>
      </c>
    </row>
    <row r="2674" customFormat="false" ht="15" hidden="false" customHeight="false" outlineLevel="0" collapsed="false">
      <c r="D2674" s="0" t="s">
        <v>120</v>
      </c>
      <c r="E2674" s="0" t="s">
        <v>121</v>
      </c>
      <c r="F2674" s="0" t="s">
        <v>122</v>
      </c>
      <c r="G2674" s="0" t="s">
        <v>148</v>
      </c>
      <c r="H2674" s="0" t="s">
        <v>149</v>
      </c>
      <c r="I2674" s="0" t="s">
        <v>43</v>
      </c>
      <c r="J2674" s="0" t="s">
        <v>44</v>
      </c>
      <c r="K2674" s="0" t="s">
        <v>48</v>
      </c>
      <c r="L2674" s="0" t="s">
        <v>49</v>
      </c>
      <c r="M2674" s="0" t="s">
        <v>140</v>
      </c>
      <c r="N2674" s="0" t="n">
        <v>1261</v>
      </c>
      <c r="O2674" s="10" t="n">
        <v>0.184298247098923</v>
      </c>
      <c r="P2674" s="10" t="n">
        <v>0.430103979306296</v>
      </c>
      <c r="Q2674" s="0" t="str">
        <f aca="false">SUBSTITUTE(SUBSTITUTE($I2674,CHAR(61),""),CHAR(34),"")</f>
        <v>35-49</v>
      </c>
      <c r="R2674" s="0" t="str">
        <f aca="false">IF($D2674&lt;&gt;"","["&amp;$E2674&amp;"]"&amp;"|"&amp;$Q2674&amp;"|"&amp;$K2674&amp;"|"&amp;$G2674&amp;"|"&amp;IF($G2674="TX_CURR_SUBNAT.R","CY2022Q4",$M2674),"")</f>
        <v>[vA4NcHxfMBq]|35-49|Male|DIAGNOSED_SUBNAT.T_1|CY2023Q3</v>
      </c>
    </row>
    <row r="2675" customFormat="false" ht="15" hidden="false" customHeight="false" outlineLevel="0" collapsed="false">
      <c r="D2675" s="0" t="s">
        <v>120</v>
      </c>
      <c r="E2675" s="0" t="s">
        <v>121</v>
      </c>
      <c r="F2675" s="0" t="s">
        <v>122</v>
      </c>
      <c r="G2675" s="0" t="s">
        <v>148</v>
      </c>
      <c r="H2675" s="0" t="s">
        <v>149</v>
      </c>
      <c r="I2675" s="0" t="s">
        <v>45</v>
      </c>
      <c r="J2675" s="0" t="s">
        <v>46</v>
      </c>
      <c r="K2675" s="0" t="s">
        <v>48</v>
      </c>
      <c r="L2675" s="0" t="s">
        <v>49</v>
      </c>
      <c r="M2675" s="0" t="s">
        <v>140</v>
      </c>
      <c r="N2675" s="0" t="n">
        <v>1190</v>
      </c>
      <c r="O2675" s="10" t="n">
        <v>0.889507507206872</v>
      </c>
      <c r="P2675" s="10" t="n">
        <v>0.430103979306296</v>
      </c>
      <c r="Q2675" s="0" t="str">
        <f aca="false">SUBSTITUTE(SUBSTITUTE($I2675,CHAR(61),""),CHAR(34),"")</f>
        <v>50+</v>
      </c>
      <c r="R2675" s="0" t="str">
        <f aca="false">IF($D2675&lt;&gt;"","["&amp;$E2675&amp;"]"&amp;"|"&amp;$Q2675&amp;"|"&amp;$K2675&amp;"|"&amp;$G2675&amp;"|"&amp;IF($G2675="TX_CURR_SUBNAT.R","CY2022Q4",$M2675),"")</f>
        <v>[vA4NcHxfMBq]|50+|Male|DIAGNOSED_SUBNAT.T_1|CY2023Q3</v>
      </c>
    </row>
    <row r="2676" customFormat="false" ht="15" hidden="false" customHeight="false" outlineLevel="0" collapsed="false">
      <c r="D2676" s="0" t="s">
        <v>123</v>
      </c>
      <c r="E2676" s="0" t="s">
        <v>124</v>
      </c>
      <c r="F2676" s="0" t="s">
        <v>125</v>
      </c>
      <c r="G2676" s="0" t="s">
        <v>148</v>
      </c>
      <c r="H2676" s="0" t="s">
        <v>149</v>
      </c>
      <c r="I2676" s="0" t="s">
        <v>28</v>
      </c>
      <c r="J2676" s="0" t="s">
        <v>29</v>
      </c>
      <c r="K2676" s="0" t="s">
        <v>30</v>
      </c>
      <c r="L2676" s="0" t="s">
        <v>31</v>
      </c>
      <c r="M2676" s="0" t="s">
        <v>140</v>
      </c>
      <c r="N2676" s="0" t="n">
        <v>1835</v>
      </c>
      <c r="O2676" s="10" t="n">
        <v>0.806260046549141</v>
      </c>
      <c r="P2676" s="10" t="n">
        <v>0.419500603340566</v>
      </c>
      <c r="Q2676" s="0" t="str">
        <f aca="false">SUBSTITUTE(SUBSTITUTE($I2676,CHAR(61),""),CHAR(34),"")</f>
        <v>&lt;01</v>
      </c>
      <c r="R2676" s="0" t="str">
        <f aca="false">IF($D2676&lt;&gt;"","["&amp;$E2676&amp;"]"&amp;"|"&amp;$Q2676&amp;"|"&amp;$K2676&amp;"|"&amp;$G2676&amp;"|"&amp;IF($G2676="TX_CURR_SUBNAT.R","CY2022Q4",$M2676),"")</f>
        <v>[E7zpfyBt7Tw]|&lt;01|Female|DIAGNOSED_SUBNAT.T_1|CY2023Q3</v>
      </c>
    </row>
    <row r="2677" customFormat="false" ht="15" hidden="false" customHeight="false" outlineLevel="0" collapsed="false">
      <c r="D2677" s="0" t="s">
        <v>123</v>
      </c>
      <c r="E2677" s="0" t="s">
        <v>124</v>
      </c>
      <c r="F2677" s="0" t="s">
        <v>125</v>
      </c>
      <c r="G2677" s="0" t="s">
        <v>148</v>
      </c>
      <c r="H2677" s="0" t="s">
        <v>149</v>
      </c>
      <c r="I2677" s="0" t="s">
        <v>33</v>
      </c>
      <c r="J2677" s="0" t="s">
        <v>34</v>
      </c>
      <c r="K2677" s="0" t="s">
        <v>30</v>
      </c>
      <c r="L2677" s="0" t="s">
        <v>31</v>
      </c>
      <c r="M2677" s="0" t="s">
        <v>140</v>
      </c>
      <c r="N2677" s="0" t="n">
        <v>1322</v>
      </c>
      <c r="O2677" s="10" t="n">
        <v>0.517760746181011</v>
      </c>
      <c r="P2677" s="10" t="n">
        <v>0.419500603340566</v>
      </c>
      <c r="Q2677" s="0" t="str">
        <f aca="false">SUBSTITUTE(SUBSTITUTE($I2677,CHAR(61),""),CHAR(34),"")</f>
        <v>01-09</v>
      </c>
      <c r="R2677" s="0" t="str">
        <f aca="false">IF($D2677&lt;&gt;"","["&amp;$E2677&amp;"]"&amp;"|"&amp;$Q2677&amp;"|"&amp;$K2677&amp;"|"&amp;$G2677&amp;"|"&amp;IF($G2677="TX_CURR_SUBNAT.R","CY2022Q4",$M2677),"")</f>
        <v>[E7zpfyBt7Tw]|01-09|Female|DIAGNOSED_SUBNAT.T_1|CY2023Q3</v>
      </c>
    </row>
    <row r="2678" customFormat="false" ht="15" hidden="false" customHeight="false" outlineLevel="0" collapsed="false">
      <c r="D2678" s="0" t="s">
        <v>123</v>
      </c>
      <c r="E2678" s="0" t="s">
        <v>124</v>
      </c>
      <c r="F2678" s="0" t="s">
        <v>125</v>
      </c>
      <c r="G2678" s="0" t="s">
        <v>148</v>
      </c>
      <c r="H2678" s="0" t="s">
        <v>149</v>
      </c>
      <c r="I2678" s="0" t="s">
        <v>36</v>
      </c>
      <c r="J2678" s="0" t="s">
        <v>37</v>
      </c>
      <c r="K2678" s="0" t="s">
        <v>30</v>
      </c>
      <c r="L2678" s="0" t="s">
        <v>31</v>
      </c>
      <c r="M2678" s="0" t="s">
        <v>140</v>
      </c>
      <c r="N2678" s="0" t="n">
        <v>1092</v>
      </c>
      <c r="O2678" s="10" t="n">
        <v>0.254132577683777</v>
      </c>
      <c r="P2678" s="10" t="n">
        <v>0.419500603340566</v>
      </c>
      <c r="Q2678" s="0" t="str">
        <f aca="false">SUBSTITUTE(SUBSTITUTE($I2678,CHAR(61),""),CHAR(34),"")</f>
        <v>10-14</v>
      </c>
      <c r="R2678" s="0" t="str">
        <f aca="false">IF($D2678&lt;&gt;"","["&amp;$E2678&amp;"]"&amp;"|"&amp;$Q2678&amp;"|"&amp;$K2678&amp;"|"&amp;$G2678&amp;"|"&amp;IF($G2678="TX_CURR_SUBNAT.R","CY2022Q4",$M2678),"")</f>
        <v>[E7zpfyBt7Tw]|10-14|Female|DIAGNOSED_SUBNAT.T_1|CY2023Q3</v>
      </c>
    </row>
    <row r="2679" customFormat="false" ht="15" hidden="false" customHeight="false" outlineLevel="0" collapsed="false">
      <c r="D2679" s="0" t="s">
        <v>123</v>
      </c>
      <c r="E2679" s="0" t="s">
        <v>124</v>
      </c>
      <c r="F2679" s="0" t="s">
        <v>125</v>
      </c>
      <c r="G2679" s="0" t="s">
        <v>148</v>
      </c>
      <c r="H2679" s="0" t="s">
        <v>149</v>
      </c>
      <c r="I2679" s="0" t="s">
        <v>38</v>
      </c>
      <c r="J2679" s="0" t="s">
        <v>39</v>
      </c>
      <c r="K2679" s="0" t="s">
        <v>30</v>
      </c>
      <c r="L2679" s="0" t="s">
        <v>31</v>
      </c>
      <c r="M2679" s="0" t="s">
        <v>140</v>
      </c>
      <c r="N2679" s="0" t="n">
        <v>992</v>
      </c>
      <c r="O2679" s="10" t="n">
        <v>0.018545767525211</v>
      </c>
      <c r="P2679" s="10" t="n">
        <v>0.419500603340566</v>
      </c>
      <c r="Q2679" s="0" t="str">
        <f aca="false">SUBSTITUTE(SUBSTITUTE($I2679,CHAR(61),""),CHAR(34),"")</f>
        <v>15-24</v>
      </c>
      <c r="R2679" s="0" t="str">
        <f aca="false">IF($D2679&lt;&gt;"","["&amp;$E2679&amp;"]"&amp;"|"&amp;$Q2679&amp;"|"&amp;$K2679&amp;"|"&amp;$G2679&amp;"|"&amp;IF($G2679="TX_CURR_SUBNAT.R","CY2022Q4",$M2679),"")</f>
        <v>[E7zpfyBt7Tw]|15-24|Female|DIAGNOSED_SUBNAT.T_1|CY2023Q3</v>
      </c>
    </row>
    <row r="2680" customFormat="false" ht="15" hidden="false" customHeight="false" outlineLevel="0" collapsed="false">
      <c r="D2680" s="0" t="s">
        <v>123</v>
      </c>
      <c r="E2680" s="0" t="s">
        <v>124</v>
      </c>
      <c r="F2680" s="0" t="s">
        <v>125</v>
      </c>
      <c r="G2680" s="0" t="s">
        <v>148</v>
      </c>
      <c r="H2680" s="0" t="s">
        <v>149</v>
      </c>
      <c r="I2680" s="0" t="s">
        <v>41</v>
      </c>
      <c r="J2680" s="0" t="s">
        <v>42</v>
      </c>
      <c r="K2680" s="0" t="s">
        <v>30</v>
      </c>
      <c r="L2680" s="0" t="s">
        <v>31</v>
      </c>
      <c r="M2680" s="0" t="s">
        <v>140</v>
      </c>
      <c r="N2680" s="0" t="n">
        <v>1074</v>
      </c>
      <c r="O2680" s="10" t="n">
        <v>0.813722159015015</v>
      </c>
      <c r="P2680" s="10" t="n">
        <v>0.419500603340566</v>
      </c>
      <c r="Q2680" s="0" t="str">
        <f aca="false">SUBSTITUTE(SUBSTITUTE($I2680,CHAR(61),""),CHAR(34),"")</f>
        <v>25-34</v>
      </c>
      <c r="R2680" s="0" t="str">
        <f aca="false">IF($D2680&lt;&gt;"","["&amp;$E2680&amp;"]"&amp;"|"&amp;$Q2680&amp;"|"&amp;$K2680&amp;"|"&amp;$G2680&amp;"|"&amp;IF($G2680="TX_CURR_SUBNAT.R","CY2022Q4",$M2680),"")</f>
        <v>[E7zpfyBt7Tw]|25-34|Female|DIAGNOSED_SUBNAT.T_1|CY2023Q3</v>
      </c>
    </row>
    <row r="2681" customFormat="false" ht="15" hidden="false" customHeight="false" outlineLevel="0" collapsed="false">
      <c r="D2681" s="0" t="s">
        <v>123</v>
      </c>
      <c r="E2681" s="0" t="s">
        <v>124</v>
      </c>
      <c r="F2681" s="0" t="s">
        <v>125</v>
      </c>
      <c r="G2681" s="0" t="s">
        <v>148</v>
      </c>
      <c r="H2681" s="0" t="s">
        <v>149</v>
      </c>
      <c r="I2681" s="0" t="s">
        <v>43</v>
      </c>
      <c r="J2681" s="0" t="s">
        <v>44</v>
      </c>
      <c r="K2681" s="0" t="s">
        <v>30</v>
      </c>
      <c r="L2681" s="0" t="s">
        <v>31</v>
      </c>
      <c r="M2681" s="0" t="s">
        <v>140</v>
      </c>
      <c r="N2681" s="0" t="n">
        <v>882</v>
      </c>
      <c r="O2681" s="10" t="n">
        <v>0.636398839065805</v>
      </c>
      <c r="P2681" s="10" t="n">
        <v>0.419500603340566</v>
      </c>
      <c r="Q2681" s="0" t="str">
        <f aca="false">SUBSTITUTE(SUBSTITUTE($I2681,CHAR(61),""),CHAR(34),"")</f>
        <v>35-49</v>
      </c>
      <c r="R2681" s="0" t="str">
        <f aca="false">IF($D2681&lt;&gt;"","["&amp;$E2681&amp;"]"&amp;"|"&amp;$Q2681&amp;"|"&amp;$K2681&amp;"|"&amp;$G2681&amp;"|"&amp;IF($G2681="TX_CURR_SUBNAT.R","CY2022Q4",$M2681),"")</f>
        <v>[E7zpfyBt7Tw]|35-49|Female|DIAGNOSED_SUBNAT.T_1|CY2023Q3</v>
      </c>
    </row>
    <row r="2682" customFormat="false" ht="15" hidden="false" customHeight="false" outlineLevel="0" collapsed="false">
      <c r="D2682" s="0" t="s">
        <v>123</v>
      </c>
      <c r="E2682" s="0" t="s">
        <v>124</v>
      </c>
      <c r="F2682" s="0" t="s">
        <v>125</v>
      </c>
      <c r="G2682" s="0" t="s">
        <v>148</v>
      </c>
      <c r="H2682" s="0" t="s">
        <v>149</v>
      </c>
      <c r="I2682" s="0" t="s">
        <v>45</v>
      </c>
      <c r="J2682" s="0" t="s">
        <v>46</v>
      </c>
      <c r="K2682" s="0" t="s">
        <v>30</v>
      </c>
      <c r="L2682" s="0" t="s">
        <v>31</v>
      </c>
      <c r="M2682" s="0" t="s">
        <v>140</v>
      </c>
      <c r="N2682" s="0" t="n">
        <v>1866</v>
      </c>
      <c r="O2682" s="10" t="n">
        <v>0.325361199676991</v>
      </c>
      <c r="P2682" s="10" t="n">
        <v>0.419500603340566</v>
      </c>
      <c r="Q2682" s="0" t="str">
        <f aca="false">SUBSTITUTE(SUBSTITUTE($I2682,CHAR(61),""),CHAR(34),"")</f>
        <v>50+</v>
      </c>
      <c r="R2682" s="0" t="str">
        <f aca="false">IF($D2682&lt;&gt;"","["&amp;$E2682&amp;"]"&amp;"|"&amp;$Q2682&amp;"|"&amp;$K2682&amp;"|"&amp;$G2682&amp;"|"&amp;IF($G2682="TX_CURR_SUBNAT.R","CY2022Q4",$M2682),"")</f>
        <v>[E7zpfyBt7Tw]|50+|Female|DIAGNOSED_SUBNAT.T_1|CY2023Q3</v>
      </c>
    </row>
    <row r="2683" customFormat="false" ht="15" hidden="false" customHeight="false" outlineLevel="0" collapsed="false">
      <c r="D2683" s="0" t="s">
        <v>123</v>
      </c>
      <c r="E2683" s="0" t="s">
        <v>124</v>
      </c>
      <c r="F2683" s="0" t="s">
        <v>125</v>
      </c>
      <c r="G2683" s="0" t="s">
        <v>148</v>
      </c>
      <c r="H2683" s="0" t="s">
        <v>149</v>
      </c>
      <c r="I2683" s="0" t="s">
        <v>28</v>
      </c>
      <c r="J2683" s="0" t="s">
        <v>29</v>
      </c>
      <c r="K2683" s="0" t="s">
        <v>48</v>
      </c>
      <c r="L2683" s="0" t="s">
        <v>49</v>
      </c>
      <c r="M2683" s="0" t="s">
        <v>140</v>
      </c>
      <c r="N2683" s="0" t="n">
        <v>527</v>
      </c>
      <c r="O2683" s="10" t="n">
        <v>0.376633289968595</v>
      </c>
      <c r="P2683" s="10" t="n">
        <v>0.419500603340566</v>
      </c>
      <c r="Q2683" s="0" t="str">
        <f aca="false">SUBSTITUTE(SUBSTITUTE($I2683,CHAR(61),""),CHAR(34),"")</f>
        <v>&lt;01</v>
      </c>
      <c r="R2683" s="0" t="str">
        <f aca="false">IF($D2683&lt;&gt;"","["&amp;$E2683&amp;"]"&amp;"|"&amp;$Q2683&amp;"|"&amp;$K2683&amp;"|"&amp;$G2683&amp;"|"&amp;IF($G2683="TX_CURR_SUBNAT.R","CY2022Q4",$M2683),"")</f>
        <v>[E7zpfyBt7Tw]|&lt;01|Male|DIAGNOSED_SUBNAT.T_1|CY2023Q3</v>
      </c>
    </row>
    <row r="2684" customFormat="false" ht="15" hidden="false" customHeight="false" outlineLevel="0" collapsed="false">
      <c r="D2684" s="0" t="s">
        <v>123</v>
      </c>
      <c r="E2684" s="0" t="s">
        <v>124</v>
      </c>
      <c r="F2684" s="0" t="s">
        <v>125</v>
      </c>
      <c r="G2684" s="0" t="s">
        <v>148</v>
      </c>
      <c r="H2684" s="0" t="s">
        <v>149</v>
      </c>
      <c r="I2684" s="0" t="s">
        <v>33</v>
      </c>
      <c r="J2684" s="0" t="s">
        <v>34</v>
      </c>
      <c r="K2684" s="0" t="s">
        <v>48</v>
      </c>
      <c r="L2684" s="0" t="s">
        <v>49</v>
      </c>
      <c r="M2684" s="0" t="s">
        <v>140</v>
      </c>
      <c r="N2684" s="0" t="n">
        <v>1611</v>
      </c>
      <c r="O2684" s="10" t="n">
        <v>0.729209481505677</v>
      </c>
      <c r="P2684" s="10" t="n">
        <v>0.419500603340566</v>
      </c>
      <c r="Q2684" s="0" t="str">
        <f aca="false">SUBSTITUTE(SUBSTITUTE($I2684,CHAR(61),""),CHAR(34),"")</f>
        <v>01-09</v>
      </c>
      <c r="R2684" s="0" t="str">
        <f aca="false">IF($D2684&lt;&gt;"","["&amp;$E2684&amp;"]"&amp;"|"&amp;$Q2684&amp;"|"&amp;$K2684&amp;"|"&amp;$G2684&amp;"|"&amp;IF($G2684="TX_CURR_SUBNAT.R","CY2022Q4",$M2684),"")</f>
        <v>[E7zpfyBt7Tw]|01-09|Male|DIAGNOSED_SUBNAT.T_1|CY2023Q3</v>
      </c>
    </row>
    <row r="2685" customFormat="false" ht="15" hidden="false" customHeight="false" outlineLevel="0" collapsed="false">
      <c r="D2685" s="0" t="s">
        <v>123</v>
      </c>
      <c r="E2685" s="0" t="s">
        <v>124</v>
      </c>
      <c r="F2685" s="0" t="s">
        <v>125</v>
      </c>
      <c r="G2685" s="0" t="s">
        <v>148</v>
      </c>
      <c r="H2685" s="0" t="s">
        <v>149</v>
      </c>
      <c r="I2685" s="0" t="s">
        <v>36</v>
      </c>
      <c r="J2685" s="0" t="s">
        <v>37</v>
      </c>
      <c r="K2685" s="0" t="s">
        <v>48</v>
      </c>
      <c r="L2685" s="0" t="s">
        <v>49</v>
      </c>
      <c r="M2685" s="0" t="s">
        <v>140</v>
      </c>
      <c r="N2685" s="0" t="n">
        <v>1320</v>
      </c>
      <c r="O2685" s="10" t="n">
        <v>0.813351016258821</v>
      </c>
      <c r="P2685" s="10" t="n">
        <v>0.419500603340566</v>
      </c>
      <c r="Q2685" s="0" t="str">
        <f aca="false">SUBSTITUTE(SUBSTITUTE($I2685,CHAR(61),""),CHAR(34),"")</f>
        <v>10-14</v>
      </c>
      <c r="R2685" s="0" t="str">
        <f aca="false">IF($D2685&lt;&gt;"","["&amp;$E2685&amp;"]"&amp;"|"&amp;$Q2685&amp;"|"&amp;$K2685&amp;"|"&amp;$G2685&amp;"|"&amp;IF($G2685="TX_CURR_SUBNAT.R","CY2022Q4",$M2685),"")</f>
        <v>[E7zpfyBt7Tw]|10-14|Male|DIAGNOSED_SUBNAT.T_1|CY2023Q3</v>
      </c>
    </row>
    <row r="2686" customFormat="false" ht="15" hidden="false" customHeight="false" outlineLevel="0" collapsed="false">
      <c r="D2686" s="0" t="s">
        <v>123</v>
      </c>
      <c r="E2686" s="0" t="s">
        <v>124</v>
      </c>
      <c r="F2686" s="0" t="s">
        <v>125</v>
      </c>
      <c r="G2686" s="0" t="s">
        <v>148</v>
      </c>
      <c r="H2686" s="0" t="s">
        <v>149</v>
      </c>
      <c r="I2686" s="0" t="s">
        <v>38</v>
      </c>
      <c r="J2686" s="0" t="s">
        <v>39</v>
      </c>
      <c r="K2686" s="0" t="s">
        <v>48</v>
      </c>
      <c r="L2686" s="0" t="s">
        <v>49</v>
      </c>
      <c r="M2686" s="0" t="s">
        <v>140</v>
      </c>
      <c r="N2686" s="0" t="n">
        <v>1232</v>
      </c>
      <c r="O2686" s="10" t="n">
        <v>0.588389633689076</v>
      </c>
      <c r="P2686" s="10" t="n">
        <v>0.419500603340566</v>
      </c>
      <c r="Q2686" s="0" t="str">
        <f aca="false">SUBSTITUTE(SUBSTITUTE($I2686,CHAR(61),""),CHAR(34),"")</f>
        <v>15-24</v>
      </c>
      <c r="R2686" s="0" t="str">
        <f aca="false">IF($D2686&lt;&gt;"","["&amp;$E2686&amp;"]"&amp;"|"&amp;$Q2686&amp;"|"&amp;$K2686&amp;"|"&amp;$G2686&amp;"|"&amp;IF($G2686="TX_CURR_SUBNAT.R","CY2022Q4",$M2686),"")</f>
        <v>[E7zpfyBt7Tw]|15-24|Male|DIAGNOSED_SUBNAT.T_1|CY2023Q3</v>
      </c>
    </row>
    <row r="2687" customFormat="false" ht="15" hidden="false" customHeight="false" outlineLevel="0" collapsed="false">
      <c r="D2687" s="0" t="s">
        <v>123</v>
      </c>
      <c r="E2687" s="0" t="s">
        <v>124</v>
      </c>
      <c r="F2687" s="0" t="s">
        <v>125</v>
      </c>
      <c r="G2687" s="0" t="s">
        <v>148</v>
      </c>
      <c r="H2687" s="0" t="s">
        <v>149</v>
      </c>
      <c r="I2687" s="0" t="s">
        <v>41</v>
      </c>
      <c r="J2687" s="0" t="s">
        <v>42</v>
      </c>
      <c r="K2687" s="0" t="s">
        <v>48</v>
      </c>
      <c r="L2687" s="0" t="s">
        <v>49</v>
      </c>
      <c r="M2687" s="0" t="s">
        <v>140</v>
      </c>
      <c r="N2687" s="0" t="n">
        <v>1284</v>
      </c>
      <c r="O2687" s="10" t="n">
        <v>0.401174006517977</v>
      </c>
      <c r="P2687" s="10" t="n">
        <v>0.419500603340566</v>
      </c>
      <c r="Q2687" s="0" t="str">
        <f aca="false">SUBSTITUTE(SUBSTITUTE($I2687,CHAR(61),""),CHAR(34),"")</f>
        <v>25-34</v>
      </c>
      <c r="R2687" s="0" t="str">
        <f aca="false">IF($D2687&lt;&gt;"","["&amp;$E2687&amp;"]"&amp;"|"&amp;$Q2687&amp;"|"&amp;$K2687&amp;"|"&amp;$G2687&amp;"|"&amp;IF($G2687="TX_CURR_SUBNAT.R","CY2022Q4",$M2687),"")</f>
        <v>[E7zpfyBt7Tw]|25-34|Male|DIAGNOSED_SUBNAT.T_1|CY2023Q3</v>
      </c>
    </row>
    <row r="2688" customFormat="false" ht="15" hidden="false" customHeight="false" outlineLevel="0" collapsed="false">
      <c r="D2688" s="0" t="s">
        <v>123</v>
      </c>
      <c r="E2688" s="0" t="s">
        <v>124</v>
      </c>
      <c r="F2688" s="0" t="s">
        <v>125</v>
      </c>
      <c r="G2688" s="0" t="s">
        <v>148</v>
      </c>
      <c r="H2688" s="0" t="s">
        <v>149</v>
      </c>
      <c r="I2688" s="0" t="s">
        <v>43</v>
      </c>
      <c r="J2688" s="0" t="s">
        <v>44</v>
      </c>
      <c r="K2688" s="0" t="s">
        <v>48</v>
      </c>
      <c r="L2688" s="0" t="s">
        <v>49</v>
      </c>
      <c r="M2688" s="0" t="s">
        <v>140</v>
      </c>
      <c r="N2688" s="0" t="n">
        <v>1183</v>
      </c>
      <c r="O2688" s="10" t="n">
        <v>0.806555561721325</v>
      </c>
      <c r="P2688" s="10" t="n">
        <v>0.419500603340566</v>
      </c>
      <c r="Q2688" s="0" t="str">
        <f aca="false">SUBSTITUTE(SUBSTITUTE($I2688,CHAR(61),""),CHAR(34),"")</f>
        <v>35-49</v>
      </c>
      <c r="R2688" s="0" t="str">
        <f aca="false">IF($D2688&lt;&gt;"","["&amp;$E2688&amp;"]"&amp;"|"&amp;$Q2688&amp;"|"&amp;$K2688&amp;"|"&amp;$G2688&amp;"|"&amp;IF($G2688="TX_CURR_SUBNAT.R","CY2022Q4",$M2688),"")</f>
        <v>[E7zpfyBt7Tw]|35-49|Male|DIAGNOSED_SUBNAT.T_1|CY2023Q3</v>
      </c>
    </row>
    <row r="2689" customFormat="false" ht="15" hidden="false" customHeight="false" outlineLevel="0" collapsed="false">
      <c r="D2689" s="0" t="s">
        <v>123</v>
      </c>
      <c r="E2689" s="0" t="s">
        <v>124</v>
      </c>
      <c r="F2689" s="0" t="s">
        <v>125</v>
      </c>
      <c r="G2689" s="0" t="s">
        <v>148</v>
      </c>
      <c r="H2689" s="0" t="s">
        <v>149</v>
      </c>
      <c r="I2689" s="0" t="s">
        <v>45</v>
      </c>
      <c r="J2689" s="0" t="s">
        <v>46</v>
      </c>
      <c r="K2689" s="0" t="s">
        <v>48</v>
      </c>
      <c r="L2689" s="0" t="s">
        <v>49</v>
      </c>
      <c r="M2689" s="0" t="s">
        <v>140</v>
      </c>
      <c r="N2689" s="0" t="n">
        <v>1399</v>
      </c>
      <c r="O2689" s="10" t="n">
        <v>0.535469954367727</v>
      </c>
      <c r="P2689" s="10" t="n">
        <v>0.419500603340566</v>
      </c>
      <c r="Q2689" s="0" t="str">
        <f aca="false">SUBSTITUTE(SUBSTITUTE($I2689,CHAR(61),""),CHAR(34),"")</f>
        <v>50+</v>
      </c>
      <c r="R2689" s="0" t="str">
        <f aca="false">IF($D2689&lt;&gt;"","["&amp;$E2689&amp;"]"&amp;"|"&amp;$Q2689&amp;"|"&amp;$K2689&amp;"|"&amp;$G2689&amp;"|"&amp;IF($G2689="TX_CURR_SUBNAT.R","CY2022Q4",$M2689),"")</f>
        <v>[E7zpfyBt7Tw]|50+|Male|DIAGNOSED_SUBNAT.T_1|CY2023Q3</v>
      </c>
    </row>
    <row r="2690" customFormat="false" ht="15" hidden="false" customHeight="false" outlineLevel="0" collapsed="false">
      <c r="D2690" s="0" t="s">
        <v>126</v>
      </c>
      <c r="E2690" s="0" t="s">
        <v>127</v>
      </c>
      <c r="F2690" s="0" t="s">
        <v>128</v>
      </c>
      <c r="G2690" s="0" t="s">
        <v>148</v>
      </c>
      <c r="H2690" s="0" t="s">
        <v>149</v>
      </c>
      <c r="I2690" s="0" t="s">
        <v>28</v>
      </c>
      <c r="J2690" s="0" t="s">
        <v>29</v>
      </c>
      <c r="K2690" s="0" t="s">
        <v>30</v>
      </c>
      <c r="L2690" s="0" t="s">
        <v>31</v>
      </c>
      <c r="M2690" s="0" t="s">
        <v>140</v>
      </c>
      <c r="N2690" s="0" t="n">
        <v>1646</v>
      </c>
      <c r="O2690" s="10" t="n">
        <v>0.379011103883386</v>
      </c>
      <c r="P2690" s="10" t="n">
        <v>0.252706390339881</v>
      </c>
      <c r="Q2690" s="0" t="str">
        <f aca="false">SUBSTITUTE(SUBSTITUTE($I2690,CHAR(61),""),CHAR(34),"")</f>
        <v>&lt;01</v>
      </c>
      <c r="R2690" s="0" t="str">
        <f aca="false">IF($D2690&lt;&gt;"","["&amp;$E2690&amp;"]"&amp;"|"&amp;$Q2690&amp;"|"&amp;$K2690&amp;"|"&amp;$G2690&amp;"|"&amp;IF($G2690="TX_CURR_SUBNAT.R","CY2022Q4",$M2690),"")</f>
        <v>[ZCjuwgaMB9u]|&lt;01|Female|DIAGNOSED_SUBNAT.T_1|CY2023Q3</v>
      </c>
    </row>
    <row r="2691" customFormat="false" ht="15" hidden="false" customHeight="false" outlineLevel="0" collapsed="false">
      <c r="D2691" s="0" t="s">
        <v>126</v>
      </c>
      <c r="E2691" s="0" t="s">
        <v>127</v>
      </c>
      <c r="F2691" s="0" t="s">
        <v>128</v>
      </c>
      <c r="G2691" s="0" t="s">
        <v>148</v>
      </c>
      <c r="H2691" s="0" t="s">
        <v>149</v>
      </c>
      <c r="I2691" s="0" t="s">
        <v>33</v>
      </c>
      <c r="J2691" s="0" t="s">
        <v>34</v>
      </c>
      <c r="K2691" s="0" t="s">
        <v>30</v>
      </c>
      <c r="L2691" s="0" t="s">
        <v>31</v>
      </c>
      <c r="M2691" s="0" t="s">
        <v>140</v>
      </c>
      <c r="N2691" s="0" t="n">
        <v>1576</v>
      </c>
      <c r="O2691" s="10" t="n">
        <v>0.747429762035608</v>
      </c>
      <c r="P2691" s="10" t="n">
        <v>0.252706390339881</v>
      </c>
      <c r="Q2691" s="0" t="str">
        <f aca="false">SUBSTITUTE(SUBSTITUTE($I2691,CHAR(61),""),CHAR(34),"")</f>
        <v>01-09</v>
      </c>
      <c r="R2691" s="0" t="str">
        <f aca="false">IF($D2691&lt;&gt;"","["&amp;$E2691&amp;"]"&amp;"|"&amp;$Q2691&amp;"|"&amp;$K2691&amp;"|"&amp;$G2691&amp;"|"&amp;IF($G2691="TX_CURR_SUBNAT.R","CY2022Q4",$M2691),"")</f>
        <v>[ZCjuwgaMB9u]|01-09|Female|DIAGNOSED_SUBNAT.T_1|CY2023Q3</v>
      </c>
    </row>
    <row r="2692" customFormat="false" ht="15" hidden="false" customHeight="false" outlineLevel="0" collapsed="false">
      <c r="D2692" s="0" t="s">
        <v>126</v>
      </c>
      <c r="E2692" s="0" t="s">
        <v>127</v>
      </c>
      <c r="F2692" s="0" t="s">
        <v>128</v>
      </c>
      <c r="G2692" s="0" t="s">
        <v>148</v>
      </c>
      <c r="H2692" s="0" t="s">
        <v>149</v>
      </c>
      <c r="I2692" s="0" t="s">
        <v>36</v>
      </c>
      <c r="J2692" s="0" t="s">
        <v>37</v>
      </c>
      <c r="K2692" s="0" t="s">
        <v>30</v>
      </c>
      <c r="L2692" s="0" t="s">
        <v>31</v>
      </c>
      <c r="M2692" s="0" t="s">
        <v>140</v>
      </c>
      <c r="N2692" s="0" t="n">
        <v>940</v>
      </c>
      <c r="O2692" s="10" t="n">
        <v>0.279128364520147</v>
      </c>
      <c r="P2692" s="10" t="n">
        <v>0.252706390339881</v>
      </c>
      <c r="Q2692" s="0" t="str">
        <f aca="false">SUBSTITUTE(SUBSTITUTE($I2692,CHAR(61),""),CHAR(34),"")</f>
        <v>10-14</v>
      </c>
      <c r="R2692" s="0" t="str">
        <f aca="false">IF($D2692&lt;&gt;"","["&amp;$E2692&amp;"]"&amp;"|"&amp;$Q2692&amp;"|"&amp;$K2692&amp;"|"&amp;$G2692&amp;"|"&amp;IF($G2692="TX_CURR_SUBNAT.R","CY2022Q4",$M2692),"")</f>
        <v>[ZCjuwgaMB9u]|10-14|Female|DIAGNOSED_SUBNAT.T_1|CY2023Q3</v>
      </c>
    </row>
    <row r="2693" customFormat="false" ht="15" hidden="false" customHeight="false" outlineLevel="0" collapsed="false">
      <c r="D2693" s="0" t="s">
        <v>126</v>
      </c>
      <c r="E2693" s="0" t="s">
        <v>127</v>
      </c>
      <c r="F2693" s="0" t="s">
        <v>128</v>
      </c>
      <c r="G2693" s="0" t="s">
        <v>148</v>
      </c>
      <c r="H2693" s="0" t="s">
        <v>149</v>
      </c>
      <c r="I2693" s="0" t="s">
        <v>38</v>
      </c>
      <c r="J2693" s="0" t="s">
        <v>39</v>
      </c>
      <c r="K2693" s="0" t="s">
        <v>30</v>
      </c>
      <c r="L2693" s="0" t="s">
        <v>31</v>
      </c>
      <c r="M2693" s="0" t="s">
        <v>140</v>
      </c>
      <c r="N2693" s="0" t="n">
        <v>1839</v>
      </c>
      <c r="O2693" s="10" t="n">
        <v>0.77294538076967</v>
      </c>
      <c r="P2693" s="10" t="n">
        <v>0.252706390339881</v>
      </c>
      <c r="Q2693" s="0" t="str">
        <f aca="false">SUBSTITUTE(SUBSTITUTE($I2693,CHAR(61),""),CHAR(34),"")</f>
        <v>15-24</v>
      </c>
      <c r="R2693" s="0" t="str">
        <f aca="false">IF($D2693&lt;&gt;"","["&amp;$E2693&amp;"]"&amp;"|"&amp;$Q2693&amp;"|"&amp;$K2693&amp;"|"&amp;$G2693&amp;"|"&amp;IF($G2693="TX_CURR_SUBNAT.R","CY2022Q4",$M2693),"")</f>
        <v>[ZCjuwgaMB9u]|15-24|Female|DIAGNOSED_SUBNAT.T_1|CY2023Q3</v>
      </c>
    </row>
    <row r="2694" customFormat="false" ht="15" hidden="false" customHeight="false" outlineLevel="0" collapsed="false">
      <c r="D2694" s="0" t="s">
        <v>126</v>
      </c>
      <c r="E2694" s="0" t="s">
        <v>127</v>
      </c>
      <c r="F2694" s="0" t="s">
        <v>128</v>
      </c>
      <c r="G2694" s="0" t="s">
        <v>148</v>
      </c>
      <c r="H2694" s="0" t="s">
        <v>149</v>
      </c>
      <c r="I2694" s="0" t="s">
        <v>41</v>
      </c>
      <c r="J2694" s="0" t="s">
        <v>42</v>
      </c>
      <c r="K2694" s="0" t="s">
        <v>30</v>
      </c>
      <c r="L2694" s="0" t="s">
        <v>31</v>
      </c>
      <c r="M2694" s="0" t="s">
        <v>140</v>
      </c>
      <c r="N2694" s="0" t="n">
        <v>1354</v>
      </c>
      <c r="O2694" s="10" t="n">
        <v>0.722183697856963</v>
      </c>
      <c r="P2694" s="10" t="n">
        <v>0.252706390339881</v>
      </c>
      <c r="Q2694" s="0" t="str">
        <f aca="false">SUBSTITUTE(SUBSTITUTE($I2694,CHAR(61),""),CHAR(34),"")</f>
        <v>25-34</v>
      </c>
      <c r="R2694" s="0" t="str">
        <f aca="false">IF($D2694&lt;&gt;"","["&amp;$E2694&amp;"]"&amp;"|"&amp;$Q2694&amp;"|"&amp;$K2694&amp;"|"&amp;$G2694&amp;"|"&amp;IF($G2694="TX_CURR_SUBNAT.R","CY2022Q4",$M2694),"")</f>
        <v>[ZCjuwgaMB9u]|25-34|Female|DIAGNOSED_SUBNAT.T_1|CY2023Q3</v>
      </c>
    </row>
    <row r="2695" customFormat="false" ht="15" hidden="false" customHeight="false" outlineLevel="0" collapsed="false">
      <c r="D2695" s="0" t="s">
        <v>126</v>
      </c>
      <c r="E2695" s="0" t="s">
        <v>127</v>
      </c>
      <c r="F2695" s="0" t="s">
        <v>128</v>
      </c>
      <c r="G2695" s="0" t="s">
        <v>148</v>
      </c>
      <c r="H2695" s="0" t="s">
        <v>149</v>
      </c>
      <c r="I2695" s="0" t="s">
        <v>43</v>
      </c>
      <c r="J2695" s="0" t="s">
        <v>44</v>
      </c>
      <c r="K2695" s="0" t="s">
        <v>30</v>
      </c>
      <c r="L2695" s="0" t="s">
        <v>31</v>
      </c>
      <c r="M2695" s="0" t="s">
        <v>140</v>
      </c>
      <c r="N2695" s="0" t="n">
        <v>1706</v>
      </c>
      <c r="O2695" s="10" t="n">
        <v>0.0678185122087598</v>
      </c>
      <c r="P2695" s="10" t="n">
        <v>0.252706390339881</v>
      </c>
      <c r="Q2695" s="0" t="str">
        <f aca="false">SUBSTITUTE(SUBSTITUTE($I2695,CHAR(61),""),CHAR(34),"")</f>
        <v>35-49</v>
      </c>
      <c r="R2695" s="0" t="str">
        <f aca="false">IF($D2695&lt;&gt;"","["&amp;$E2695&amp;"]"&amp;"|"&amp;$Q2695&amp;"|"&amp;$K2695&amp;"|"&amp;$G2695&amp;"|"&amp;IF($G2695="TX_CURR_SUBNAT.R","CY2022Q4",$M2695),"")</f>
        <v>[ZCjuwgaMB9u]|35-49|Female|DIAGNOSED_SUBNAT.T_1|CY2023Q3</v>
      </c>
    </row>
    <row r="2696" customFormat="false" ht="15" hidden="false" customHeight="false" outlineLevel="0" collapsed="false">
      <c r="D2696" s="0" t="s">
        <v>126</v>
      </c>
      <c r="E2696" s="0" t="s">
        <v>127</v>
      </c>
      <c r="F2696" s="0" t="s">
        <v>128</v>
      </c>
      <c r="G2696" s="0" t="s">
        <v>148</v>
      </c>
      <c r="H2696" s="0" t="s">
        <v>149</v>
      </c>
      <c r="I2696" s="0" t="s">
        <v>45</v>
      </c>
      <c r="J2696" s="0" t="s">
        <v>46</v>
      </c>
      <c r="K2696" s="0" t="s">
        <v>30</v>
      </c>
      <c r="L2696" s="0" t="s">
        <v>31</v>
      </c>
      <c r="M2696" s="0" t="s">
        <v>140</v>
      </c>
      <c r="N2696" s="0" t="n">
        <v>1997</v>
      </c>
      <c r="O2696" s="10" t="n">
        <v>0.826980704674497</v>
      </c>
      <c r="P2696" s="10" t="n">
        <v>0.252706390339881</v>
      </c>
      <c r="Q2696" s="0" t="str">
        <f aca="false">SUBSTITUTE(SUBSTITUTE($I2696,CHAR(61),""),CHAR(34),"")</f>
        <v>50+</v>
      </c>
      <c r="R2696" s="0" t="str">
        <f aca="false">IF($D2696&lt;&gt;"","["&amp;$E2696&amp;"]"&amp;"|"&amp;$Q2696&amp;"|"&amp;$K2696&amp;"|"&amp;$G2696&amp;"|"&amp;IF($G2696="TX_CURR_SUBNAT.R","CY2022Q4",$M2696),"")</f>
        <v>[ZCjuwgaMB9u]|50+|Female|DIAGNOSED_SUBNAT.T_1|CY2023Q3</v>
      </c>
    </row>
    <row r="2697" customFormat="false" ht="15" hidden="false" customHeight="false" outlineLevel="0" collapsed="false">
      <c r="D2697" s="0" t="s">
        <v>126</v>
      </c>
      <c r="E2697" s="0" t="s">
        <v>127</v>
      </c>
      <c r="F2697" s="0" t="s">
        <v>128</v>
      </c>
      <c r="G2697" s="0" t="s">
        <v>148</v>
      </c>
      <c r="H2697" s="0" t="s">
        <v>149</v>
      </c>
      <c r="I2697" s="0" t="s">
        <v>28</v>
      </c>
      <c r="J2697" s="0" t="s">
        <v>29</v>
      </c>
      <c r="K2697" s="0" t="s">
        <v>48</v>
      </c>
      <c r="L2697" s="0" t="s">
        <v>49</v>
      </c>
      <c r="M2697" s="0" t="s">
        <v>140</v>
      </c>
      <c r="N2697" s="0" t="n">
        <v>1823</v>
      </c>
      <c r="O2697" s="10" t="n">
        <v>0.392731640953571</v>
      </c>
      <c r="P2697" s="10" t="n">
        <v>0.252706390339881</v>
      </c>
      <c r="Q2697" s="0" t="str">
        <f aca="false">SUBSTITUTE(SUBSTITUTE($I2697,CHAR(61),""),CHAR(34),"")</f>
        <v>&lt;01</v>
      </c>
      <c r="R2697" s="0" t="str">
        <f aca="false">IF($D2697&lt;&gt;"","["&amp;$E2697&amp;"]"&amp;"|"&amp;$Q2697&amp;"|"&amp;$K2697&amp;"|"&amp;$G2697&amp;"|"&amp;IF($G2697="TX_CURR_SUBNAT.R","CY2022Q4",$M2697),"")</f>
        <v>[ZCjuwgaMB9u]|&lt;01|Male|DIAGNOSED_SUBNAT.T_1|CY2023Q3</v>
      </c>
    </row>
    <row r="2698" customFormat="false" ht="15" hidden="false" customHeight="false" outlineLevel="0" collapsed="false">
      <c r="D2698" s="0" t="s">
        <v>126</v>
      </c>
      <c r="E2698" s="0" t="s">
        <v>127</v>
      </c>
      <c r="F2698" s="0" t="s">
        <v>128</v>
      </c>
      <c r="G2698" s="0" t="s">
        <v>148</v>
      </c>
      <c r="H2698" s="0" t="s">
        <v>149</v>
      </c>
      <c r="I2698" s="0" t="s">
        <v>33</v>
      </c>
      <c r="J2698" s="0" t="s">
        <v>34</v>
      </c>
      <c r="K2698" s="0" t="s">
        <v>48</v>
      </c>
      <c r="L2698" s="0" t="s">
        <v>49</v>
      </c>
      <c r="M2698" s="0" t="s">
        <v>140</v>
      </c>
      <c r="N2698" s="0" t="n">
        <v>1539</v>
      </c>
      <c r="O2698" s="10" t="n">
        <v>0.986234802519903</v>
      </c>
      <c r="P2698" s="10" t="n">
        <v>0.252706390339881</v>
      </c>
      <c r="Q2698" s="0" t="str">
        <f aca="false">SUBSTITUTE(SUBSTITUTE($I2698,CHAR(61),""),CHAR(34),"")</f>
        <v>01-09</v>
      </c>
      <c r="R2698" s="0" t="str">
        <f aca="false">IF($D2698&lt;&gt;"","["&amp;$E2698&amp;"]"&amp;"|"&amp;$Q2698&amp;"|"&amp;$K2698&amp;"|"&amp;$G2698&amp;"|"&amp;IF($G2698="TX_CURR_SUBNAT.R","CY2022Q4",$M2698),"")</f>
        <v>[ZCjuwgaMB9u]|01-09|Male|DIAGNOSED_SUBNAT.T_1|CY2023Q3</v>
      </c>
    </row>
    <row r="2699" customFormat="false" ht="15" hidden="false" customHeight="false" outlineLevel="0" collapsed="false">
      <c r="D2699" s="0" t="s">
        <v>126</v>
      </c>
      <c r="E2699" s="0" t="s">
        <v>127</v>
      </c>
      <c r="F2699" s="0" t="s">
        <v>128</v>
      </c>
      <c r="G2699" s="0" t="s">
        <v>148</v>
      </c>
      <c r="H2699" s="0" t="s">
        <v>149</v>
      </c>
      <c r="I2699" s="0" t="s">
        <v>36</v>
      </c>
      <c r="J2699" s="0" t="s">
        <v>37</v>
      </c>
      <c r="K2699" s="0" t="s">
        <v>48</v>
      </c>
      <c r="L2699" s="0" t="s">
        <v>49</v>
      </c>
      <c r="M2699" s="0" t="s">
        <v>140</v>
      </c>
      <c r="N2699" s="0" t="n">
        <v>1652</v>
      </c>
      <c r="O2699" s="10" t="n">
        <v>0.786115257069468</v>
      </c>
      <c r="P2699" s="10" t="n">
        <v>0.252706390339881</v>
      </c>
      <c r="Q2699" s="0" t="str">
        <f aca="false">SUBSTITUTE(SUBSTITUTE($I2699,CHAR(61),""),CHAR(34),"")</f>
        <v>10-14</v>
      </c>
      <c r="R2699" s="0" t="str">
        <f aca="false">IF($D2699&lt;&gt;"","["&amp;$E2699&amp;"]"&amp;"|"&amp;$Q2699&amp;"|"&amp;$K2699&amp;"|"&amp;$G2699&amp;"|"&amp;IF($G2699="TX_CURR_SUBNAT.R","CY2022Q4",$M2699),"")</f>
        <v>[ZCjuwgaMB9u]|10-14|Male|DIAGNOSED_SUBNAT.T_1|CY2023Q3</v>
      </c>
    </row>
    <row r="2700" customFormat="false" ht="15" hidden="false" customHeight="false" outlineLevel="0" collapsed="false">
      <c r="D2700" s="0" t="s">
        <v>126</v>
      </c>
      <c r="E2700" s="0" t="s">
        <v>127</v>
      </c>
      <c r="F2700" s="0" t="s">
        <v>128</v>
      </c>
      <c r="G2700" s="0" t="s">
        <v>148</v>
      </c>
      <c r="H2700" s="0" t="s">
        <v>149</v>
      </c>
      <c r="I2700" s="0" t="s">
        <v>38</v>
      </c>
      <c r="J2700" s="0" t="s">
        <v>39</v>
      </c>
      <c r="K2700" s="0" t="s">
        <v>48</v>
      </c>
      <c r="L2700" s="0" t="s">
        <v>49</v>
      </c>
      <c r="M2700" s="0" t="s">
        <v>140</v>
      </c>
      <c r="N2700" s="0" t="n">
        <v>929</v>
      </c>
      <c r="O2700" s="10" t="n">
        <v>0.863560431869701</v>
      </c>
      <c r="P2700" s="10" t="n">
        <v>0.252706390339881</v>
      </c>
      <c r="Q2700" s="0" t="str">
        <f aca="false">SUBSTITUTE(SUBSTITUTE($I2700,CHAR(61),""),CHAR(34),"")</f>
        <v>15-24</v>
      </c>
      <c r="R2700" s="0" t="str">
        <f aca="false">IF($D2700&lt;&gt;"","["&amp;$E2700&amp;"]"&amp;"|"&amp;$Q2700&amp;"|"&amp;$K2700&amp;"|"&amp;$G2700&amp;"|"&amp;IF($G2700="TX_CURR_SUBNAT.R","CY2022Q4",$M2700),"")</f>
        <v>[ZCjuwgaMB9u]|15-24|Male|DIAGNOSED_SUBNAT.T_1|CY2023Q3</v>
      </c>
    </row>
    <row r="2701" customFormat="false" ht="15" hidden="false" customHeight="false" outlineLevel="0" collapsed="false">
      <c r="D2701" s="0" t="s">
        <v>126</v>
      </c>
      <c r="E2701" s="0" t="s">
        <v>127</v>
      </c>
      <c r="F2701" s="0" t="s">
        <v>128</v>
      </c>
      <c r="G2701" s="0" t="s">
        <v>148</v>
      </c>
      <c r="H2701" s="0" t="s">
        <v>149</v>
      </c>
      <c r="I2701" s="0" t="s">
        <v>41</v>
      </c>
      <c r="J2701" s="0" t="s">
        <v>42</v>
      </c>
      <c r="K2701" s="0" t="s">
        <v>48</v>
      </c>
      <c r="L2701" s="0" t="s">
        <v>49</v>
      </c>
      <c r="M2701" s="0" t="s">
        <v>140</v>
      </c>
      <c r="N2701" s="0" t="n">
        <v>630</v>
      </c>
      <c r="O2701" s="10" t="n">
        <v>0.167513575637713</v>
      </c>
      <c r="P2701" s="10" t="n">
        <v>0.252706390339881</v>
      </c>
      <c r="Q2701" s="0" t="str">
        <f aca="false">SUBSTITUTE(SUBSTITUTE($I2701,CHAR(61),""),CHAR(34),"")</f>
        <v>25-34</v>
      </c>
      <c r="R2701" s="0" t="str">
        <f aca="false">IF($D2701&lt;&gt;"","["&amp;$E2701&amp;"]"&amp;"|"&amp;$Q2701&amp;"|"&amp;$K2701&amp;"|"&amp;$G2701&amp;"|"&amp;IF($G2701="TX_CURR_SUBNAT.R","CY2022Q4",$M2701),"")</f>
        <v>[ZCjuwgaMB9u]|25-34|Male|DIAGNOSED_SUBNAT.T_1|CY2023Q3</v>
      </c>
    </row>
    <row r="2702" customFormat="false" ht="15" hidden="false" customHeight="false" outlineLevel="0" collapsed="false">
      <c r="D2702" s="0" t="s">
        <v>126</v>
      </c>
      <c r="E2702" s="0" t="s">
        <v>127</v>
      </c>
      <c r="F2702" s="0" t="s">
        <v>128</v>
      </c>
      <c r="G2702" s="0" t="s">
        <v>148</v>
      </c>
      <c r="H2702" s="0" t="s">
        <v>149</v>
      </c>
      <c r="I2702" s="0" t="s">
        <v>43</v>
      </c>
      <c r="J2702" s="0" t="s">
        <v>44</v>
      </c>
      <c r="K2702" s="0" t="s">
        <v>48</v>
      </c>
      <c r="L2702" s="0" t="s">
        <v>49</v>
      </c>
      <c r="M2702" s="0" t="s">
        <v>140</v>
      </c>
      <c r="N2702" s="0" t="n">
        <v>1270</v>
      </c>
      <c r="O2702" s="10" t="n">
        <v>0.402502880431712</v>
      </c>
      <c r="P2702" s="10" t="n">
        <v>0.252706390339881</v>
      </c>
      <c r="Q2702" s="0" t="str">
        <f aca="false">SUBSTITUTE(SUBSTITUTE($I2702,CHAR(61),""),CHAR(34),"")</f>
        <v>35-49</v>
      </c>
      <c r="R2702" s="0" t="str">
        <f aca="false">IF($D2702&lt;&gt;"","["&amp;$E2702&amp;"]"&amp;"|"&amp;$Q2702&amp;"|"&amp;$K2702&amp;"|"&amp;$G2702&amp;"|"&amp;IF($G2702="TX_CURR_SUBNAT.R","CY2022Q4",$M2702),"")</f>
        <v>[ZCjuwgaMB9u]|35-49|Male|DIAGNOSED_SUBNAT.T_1|CY2023Q3</v>
      </c>
    </row>
    <row r="2703" customFormat="false" ht="15" hidden="false" customHeight="false" outlineLevel="0" collapsed="false">
      <c r="D2703" s="0" t="s">
        <v>126</v>
      </c>
      <c r="E2703" s="0" t="s">
        <v>127</v>
      </c>
      <c r="F2703" s="0" t="s">
        <v>128</v>
      </c>
      <c r="G2703" s="0" t="s">
        <v>148</v>
      </c>
      <c r="H2703" s="0" t="s">
        <v>149</v>
      </c>
      <c r="I2703" s="0" t="s">
        <v>45</v>
      </c>
      <c r="J2703" s="0" t="s">
        <v>46</v>
      </c>
      <c r="K2703" s="0" t="s">
        <v>48</v>
      </c>
      <c r="L2703" s="0" t="s">
        <v>49</v>
      </c>
      <c r="M2703" s="0" t="s">
        <v>140</v>
      </c>
      <c r="N2703" s="0" t="n">
        <v>574</v>
      </c>
      <c r="O2703" s="10" t="n">
        <v>0.962896511424333</v>
      </c>
      <c r="P2703" s="10" t="n">
        <v>0.252706390339881</v>
      </c>
      <c r="Q2703" s="0" t="str">
        <f aca="false">SUBSTITUTE(SUBSTITUTE($I2703,CHAR(61),""),CHAR(34),"")</f>
        <v>50+</v>
      </c>
      <c r="R2703" s="0" t="str">
        <f aca="false">IF($D2703&lt;&gt;"","["&amp;$E2703&amp;"]"&amp;"|"&amp;$Q2703&amp;"|"&amp;$K2703&amp;"|"&amp;$G2703&amp;"|"&amp;IF($G2703="TX_CURR_SUBNAT.R","CY2022Q4",$M2703),"")</f>
        <v>[ZCjuwgaMB9u]|50+|Male|DIAGNOSED_SUBNAT.T_1|CY2023Q3</v>
      </c>
    </row>
    <row r="2704" customFormat="false" ht="15" hidden="false" customHeight="false" outlineLevel="0" collapsed="false">
      <c r="D2704" s="0" t="s">
        <v>129</v>
      </c>
      <c r="E2704" s="0" t="s">
        <v>130</v>
      </c>
      <c r="F2704" s="0" t="s">
        <v>131</v>
      </c>
      <c r="G2704" s="0" t="s">
        <v>148</v>
      </c>
      <c r="H2704" s="0" t="s">
        <v>149</v>
      </c>
      <c r="I2704" s="0" t="s">
        <v>28</v>
      </c>
      <c r="J2704" s="0" t="s">
        <v>29</v>
      </c>
      <c r="K2704" s="0" t="s">
        <v>30</v>
      </c>
      <c r="L2704" s="0" t="s">
        <v>31</v>
      </c>
      <c r="M2704" s="0" t="s">
        <v>140</v>
      </c>
      <c r="N2704" s="0" t="n">
        <v>1835</v>
      </c>
      <c r="O2704" s="10" t="n">
        <v>0.149124114541337</v>
      </c>
      <c r="P2704" s="10" t="n">
        <v>0.556908084778115</v>
      </c>
      <c r="Q2704" s="0" t="str">
        <f aca="false">SUBSTITUTE(SUBSTITUTE($I2704,CHAR(61),""),CHAR(34),"")</f>
        <v>&lt;01</v>
      </c>
      <c r="R2704" s="0" t="str">
        <f aca="false">IF($D2704&lt;&gt;"","["&amp;$E2704&amp;"]"&amp;"|"&amp;$Q2704&amp;"|"&amp;$K2704&amp;"|"&amp;$G2704&amp;"|"&amp;IF($G2704="TX_CURR_SUBNAT.R","CY2022Q4",$M2704),"")</f>
        <v>[YCKiBAp8QAg]|&lt;01|Female|DIAGNOSED_SUBNAT.T_1|CY2023Q3</v>
      </c>
    </row>
    <row r="2705" customFormat="false" ht="15" hidden="false" customHeight="false" outlineLevel="0" collapsed="false">
      <c r="D2705" s="0" t="s">
        <v>129</v>
      </c>
      <c r="E2705" s="0" t="s">
        <v>130</v>
      </c>
      <c r="F2705" s="0" t="s">
        <v>131</v>
      </c>
      <c r="G2705" s="0" t="s">
        <v>148</v>
      </c>
      <c r="H2705" s="0" t="s">
        <v>149</v>
      </c>
      <c r="I2705" s="0" t="s">
        <v>33</v>
      </c>
      <c r="J2705" s="0" t="s">
        <v>34</v>
      </c>
      <c r="K2705" s="0" t="s">
        <v>30</v>
      </c>
      <c r="L2705" s="0" t="s">
        <v>31</v>
      </c>
      <c r="M2705" s="0" t="s">
        <v>140</v>
      </c>
      <c r="N2705" s="0" t="n">
        <v>624</v>
      </c>
      <c r="O2705" s="10" t="n">
        <v>0.636554086580873</v>
      </c>
      <c r="P2705" s="10" t="n">
        <v>0.556908084778115</v>
      </c>
      <c r="Q2705" s="0" t="str">
        <f aca="false">SUBSTITUTE(SUBSTITUTE($I2705,CHAR(61),""),CHAR(34),"")</f>
        <v>01-09</v>
      </c>
      <c r="R2705" s="0" t="str">
        <f aca="false">IF($D2705&lt;&gt;"","["&amp;$E2705&amp;"]"&amp;"|"&amp;$Q2705&amp;"|"&amp;$K2705&amp;"|"&amp;$G2705&amp;"|"&amp;IF($G2705="TX_CURR_SUBNAT.R","CY2022Q4",$M2705),"")</f>
        <v>[YCKiBAp8QAg]|01-09|Female|DIAGNOSED_SUBNAT.T_1|CY2023Q3</v>
      </c>
    </row>
    <row r="2706" customFormat="false" ht="15" hidden="false" customHeight="false" outlineLevel="0" collapsed="false">
      <c r="D2706" s="0" t="s">
        <v>129</v>
      </c>
      <c r="E2706" s="0" t="s">
        <v>130</v>
      </c>
      <c r="F2706" s="0" t="s">
        <v>131</v>
      </c>
      <c r="G2706" s="0" t="s">
        <v>148</v>
      </c>
      <c r="H2706" s="0" t="s">
        <v>149</v>
      </c>
      <c r="I2706" s="0" t="s">
        <v>36</v>
      </c>
      <c r="J2706" s="0" t="s">
        <v>37</v>
      </c>
      <c r="K2706" s="0" t="s">
        <v>30</v>
      </c>
      <c r="L2706" s="0" t="s">
        <v>31</v>
      </c>
      <c r="M2706" s="0" t="s">
        <v>140</v>
      </c>
      <c r="N2706" s="0" t="n">
        <v>1854</v>
      </c>
      <c r="O2706" s="10" t="n">
        <v>0.824073295574635</v>
      </c>
      <c r="P2706" s="10" t="n">
        <v>0.556908084778115</v>
      </c>
      <c r="Q2706" s="0" t="str">
        <f aca="false">SUBSTITUTE(SUBSTITUTE($I2706,CHAR(61),""),CHAR(34),"")</f>
        <v>10-14</v>
      </c>
      <c r="R2706" s="0" t="str">
        <f aca="false">IF($D2706&lt;&gt;"","["&amp;$E2706&amp;"]"&amp;"|"&amp;$Q2706&amp;"|"&amp;$K2706&amp;"|"&amp;$G2706&amp;"|"&amp;IF($G2706="TX_CURR_SUBNAT.R","CY2022Q4",$M2706),"")</f>
        <v>[YCKiBAp8QAg]|10-14|Female|DIAGNOSED_SUBNAT.T_1|CY2023Q3</v>
      </c>
    </row>
    <row r="2707" customFormat="false" ht="15" hidden="false" customHeight="false" outlineLevel="0" collapsed="false">
      <c r="D2707" s="0" t="s">
        <v>129</v>
      </c>
      <c r="E2707" s="0" t="s">
        <v>130</v>
      </c>
      <c r="F2707" s="0" t="s">
        <v>131</v>
      </c>
      <c r="G2707" s="0" t="s">
        <v>148</v>
      </c>
      <c r="H2707" s="0" t="s">
        <v>149</v>
      </c>
      <c r="I2707" s="0" t="s">
        <v>38</v>
      </c>
      <c r="J2707" s="0" t="s">
        <v>39</v>
      </c>
      <c r="K2707" s="0" t="s">
        <v>30</v>
      </c>
      <c r="L2707" s="0" t="s">
        <v>31</v>
      </c>
      <c r="M2707" s="0" t="s">
        <v>140</v>
      </c>
      <c r="N2707" s="0" t="n">
        <v>1792</v>
      </c>
      <c r="O2707" s="10" t="n">
        <v>0.626136957434937</v>
      </c>
      <c r="P2707" s="10" t="n">
        <v>0.556908084778115</v>
      </c>
      <c r="Q2707" s="0" t="str">
        <f aca="false">SUBSTITUTE(SUBSTITUTE($I2707,CHAR(61),""),CHAR(34),"")</f>
        <v>15-24</v>
      </c>
      <c r="R2707" s="0" t="str">
        <f aca="false">IF($D2707&lt;&gt;"","["&amp;$E2707&amp;"]"&amp;"|"&amp;$Q2707&amp;"|"&amp;$K2707&amp;"|"&amp;$G2707&amp;"|"&amp;IF($G2707="TX_CURR_SUBNAT.R","CY2022Q4",$M2707),"")</f>
        <v>[YCKiBAp8QAg]|15-24|Female|DIAGNOSED_SUBNAT.T_1|CY2023Q3</v>
      </c>
    </row>
    <row r="2708" customFormat="false" ht="15" hidden="false" customHeight="false" outlineLevel="0" collapsed="false">
      <c r="D2708" s="0" t="s">
        <v>129</v>
      </c>
      <c r="E2708" s="0" t="s">
        <v>130</v>
      </c>
      <c r="F2708" s="0" t="s">
        <v>131</v>
      </c>
      <c r="G2708" s="0" t="s">
        <v>148</v>
      </c>
      <c r="H2708" s="0" t="s">
        <v>149</v>
      </c>
      <c r="I2708" s="0" t="s">
        <v>41</v>
      </c>
      <c r="J2708" s="0" t="s">
        <v>42</v>
      </c>
      <c r="K2708" s="0" t="s">
        <v>30</v>
      </c>
      <c r="L2708" s="0" t="s">
        <v>31</v>
      </c>
      <c r="M2708" s="0" t="s">
        <v>140</v>
      </c>
      <c r="N2708" s="0" t="n">
        <v>565</v>
      </c>
      <c r="O2708" s="10" t="n">
        <v>0.206369892228395</v>
      </c>
      <c r="P2708" s="10" t="n">
        <v>0.556908084778115</v>
      </c>
      <c r="Q2708" s="0" t="str">
        <f aca="false">SUBSTITUTE(SUBSTITUTE($I2708,CHAR(61),""),CHAR(34),"")</f>
        <v>25-34</v>
      </c>
      <c r="R2708" s="0" t="str">
        <f aca="false">IF($D2708&lt;&gt;"","["&amp;$E2708&amp;"]"&amp;"|"&amp;$Q2708&amp;"|"&amp;$K2708&amp;"|"&amp;$G2708&amp;"|"&amp;IF($G2708="TX_CURR_SUBNAT.R","CY2022Q4",$M2708),"")</f>
        <v>[YCKiBAp8QAg]|25-34|Female|DIAGNOSED_SUBNAT.T_1|CY2023Q3</v>
      </c>
    </row>
    <row r="2709" customFormat="false" ht="15" hidden="false" customHeight="false" outlineLevel="0" collapsed="false">
      <c r="D2709" s="0" t="s">
        <v>129</v>
      </c>
      <c r="E2709" s="0" t="s">
        <v>130</v>
      </c>
      <c r="F2709" s="0" t="s">
        <v>131</v>
      </c>
      <c r="G2709" s="0" t="s">
        <v>148</v>
      </c>
      <c r="H2709" s="0" t="s">
        <v>149</v>
      </c>
      <c r="I2709" s="0" t="s">
        <v>43</v>
      </c>
      <c r="J2709" s="0" t="s">
        <v>44</v>
      </c>
      <c r="K2709" s="0" t="s">
        <v>30</v>
      </c>
      <c r="L2709" s="0" t="s">
        <v>31</v>
      </c>
      <c r="M2709" s="0" t="s">
        <v>140</v>
      </c>
      <c r="N2709" s="0" t="n">
        <v>1797</v>
      </c>
      <c r="O2709" s="10" t="n">
        <v>0.622030643979087</v>
      </c>
      <c r="P2709" s="10" t="n">
        <v>0.556908084778115</v>
      </c>
      <c r="Q2709" s="0" t="str">
        <f aca="false">SUBSTITUTE(SUBSTITUTE($I2709,CHAR(61),""),CHAR(34),"")</f>
        <v>35-49</v>
      </c>
      <c r="R2709" s="0" t="str">
        <f aca="false">IF($D2709&lt;&gt;"","["&amp;$E2709&amp;"]"&amp;"|"&amp;$Q2709&amp;"|"&amp;$K2709&amp;"|"&amp;$G2709&amp;"|"&amp;IF($G2709="TX_CURR_SUBNAT.R","CY2022Q4",$M2709),"")</f>
        <v>[YCKiBAp8QAg]|35-49|Female|DIAGNOSED_SUBNAT.T_1|CY2023Q3</v>
      </c>
    </row>
    <row r="2710" customFormat="false" ht="15" hidden="false" customHeight="false" outlineLevel="0" collapsed="false">
      <c r="D2710" s="0" t="s">
        <v>129</v>
      </c>
      <c r="E2710" s="0" t="s">
        <v>130</v>
      </c>
      <c r="F2710" s="0" t="s">
        <v>131</v>
      </c>
      <c r="G2710" s="0" t="s">
        <v>148</v>
      </c>
      <c r="H2710" s="0" t="s">
        <v>149</v>
      </c>
      <c r="I2710" s="0" t="s">
        <v>45</v>
      </c>
      <c r="J2710" s="0" t="s">
        <v>46</v>
      </c>
      <c r="K2710" s="0" t="s">
        <v>30</v>
      </c>
      <c r="L2710" s="0" t="s">
        <v>31</v>
      </c>
      <c r="M2710" s="0" t="s">
        <v>140</v>
      </c>
      <c r="N2710" s="0" t="n">
        <v>1563</v>
      </c>
      <c r="O2710" s="10" t="n">
        <v>0.764464989537373</v>
      </c>
      <c r="P2710" s="10" t="n">
        <v>0.556908084778115</v>
      </c>
      <c r="Q2710" s="0" t="str">
        <f aca="false">SUBSTITUTE(SUBSTITUTE($I2710,CHAR(61),""),CHAR(34),"")</f>
        <v>50+</v>
      </c>
      <c r="R2710" s="0" t="str">
        <f aca="false">IF($D2710&lt;&gt;"","["&amp;$E2710&amp;"]"&amp;"|"&amp;$Q2710&amp;"|"&amp;$K2710&amp;"|"&amp;$G2710&amp;"|"&amp;IF($G2710="TX_CURR_SUBNAT.R","CY2022Q4",$M2710),"")</f>
        <v>[YCKiBAp8QAg]|50+|Female|DIAGNOSED_SUBNAT.T_1|CY2023Q3</v>
      </c>
    </row>
    <row r="2711" customFormat="false" ht="15" hidden="false" customHeight="false" outlineLevel="0" collapsed="false">
      <c r="D2711" s="0" t="s">
        <v>129</v>
      </c>
      <c r="E2711" s="0" t="s">
        <v>130</v>
      </c>
      <c r="F2711" s="0" t="s">
        <v>131</v>
      </c>
      <c r="G2711" s="0" t="s">
        <v>148</v>
      </c>
      <c r="H2711" s="0" t="s">
        <v>149</v>
      </c>
      <c r="I2711" s="0" t="s">
        <v>28</v>
      </c>
      <c r="J2711" s="0" t="s">
        <v>29</v>
      </c>
      <c r="K2711" s="0" t="s">
        <v>48</v>
      </c>
      <c r="L2711" s="0" t="s">
        <v>49</v>
      </c>
      <c r="M2711" s="0" t="s">
        <v>140</v>
      </c>
      <c r="N2711" s="0" t="n">
        <v>1250</v>
      </c>
      <c r="O2711" s="10" t="n">
        <v>0.404477048432454</v>
      </c>
      <c r="P2711" s="10" t="n">
        <v>0.556908084778115</v>
      </c>
      <c r="Q2711" s="0" t="str">
        <f aca="false">SUBSTITUTE(SUBSTITUTE($I2711,CHAR(61),""),CHAR(34),"")</f>
        <v>&lt;01</v>
      </c>
      <c r="R2711" s="0" t="str">
        <f aca="false">IF($D2711&lt;&gt;"","["&amp;$E2711&amp;"]"&amp;"|"&amp;$Q2711&amp;"|"&amp;$K2711&amp;"|"&amp;$G2711&amp;"|"&amp;IF($G2711="TX_CURR_SUBNAT.R","CY2022Q4",$M2711),"")</f>
        <v>[YCKiBAp8QAg]|&lt;01|Male|DIAGNOSED_SUBNAT.T_1|CY2023Q3</v>
      </c>
    </row>
    <row r="2712" customFormat="false" ht="15" hidden="false" customHeight="false" outlineLevel="0" collapsed="false">
      <c r="D2712" s="0" t="s">
        <v>129</v>
      </c>
      <c r="E2712" s="0" t="s">
        <v>130</v>
      </c>
      <c r="F2712" s="0" t="s">
        <v>131</v>
      </c>
      <c r="G2712" s="0" t="s">
        <v>148</v>
      </c>
      <c r="H2712" s="0" t="s">
        <v>149</v>
      </c>
      <c r="I2712" s="0" t="s">
        <v>33</v>
      </c>
      <c r="J2712" s="0" t="s">
        <v>34</v>
      </c>
      <c r="K2712" s="0" t="s">
        <v>48</v>
      </c>
      <c r="L2712" s="0" t="s">
        <v>49</v>
      </c>
      <c r="M2712" s="0" t="s">
        <v>140</v>
      </c>
      <c r="N2712" s="0" t="n">
        <v>538</v>
      </c>
      <c r="O2712" s="10" t="n">
        <v>0.303536690538749</v>
      </c>
      <c r="P2712" s="10" t="n">
        <v>0.556908084778115</v>
      </c>
      <c r="Q2712" s="0" t="str">
        <f aca="false">SUBSTITUTE(SUBSTITUTE($I2712,CHAR(61),""),CHAR(34),"")</f>
        <v>01-09</v>
      </c>
      <c r="R2712" s="0" t="str">
        <f aca="false">IF($D2712&lt;&gt;"","["&amp;$E2712&amp;"]"&amp;"|"&amp;$Q2712&amp;"|"&amp;$K2712&amp;"|"&amp;$G2712&amp;"|"&amp;IF($G2712="TX_CURR_SUBNAT.R","CY2022Q4",$M2712),"")</f>
        <v>[YCKiBAp8QAg]|01-09|Male|DIAGNOSED_SUBNAT.T_1|CY2023Q3</v>
      </c>
    </row>
    <row r="2713" customFormat="false" ht="15" hidden="false" customHeight="false" outlineLevel="0" collapsed="false">
      <c r="D2713" s="0" t="s">
        <v>129</v>
      </c>
      <c r="E2713" s="0" t="s">
        <v>130</v>
      </c>
      <c r="F2713" s="0" t="s">
        <v>131</v>
      </c>
      <c r="G2713" s="0" t="s">
        <v>148</v>
      </c>
      <c r="H2713" s="0" t="s">
        <v>149</v>
      </c>
      <c r="I2713" s="0" t="s">
        <v>36</v>
      </c>
      <c r="J2713" s="0" t="s">
        <v>37</v>
      </c>
      <c r="K2713" s="0" t="s">
        <v>48</v>
      </c>
      <c r="L2713" s="0" t="s">
        <v>49</v>
      </c>
      <c r="M2713" s="0" t="s">
        <v>140</v>
      </c>
      <c r="N2713" s="0" t="n">
        <v>1486</v>
      </c>
      <c r="O2713" s="10" t="n">
        <v>0.602935348637402</v>
      </c>
      <c r="P2713" s="10" t="n">
        <v>0.556908084778115</v>
      </c>
      <c r="Q2713" s="0" t="str">
        <f aca="false">SUBSTITUTE(SUBSTITUTE($I2713,CHAR(61),""),CHAR(34),"")</f>
        <v>10-14</v>
      </c>
      <c r="R2713" s="0" t="str">
        <f aca="false">IF($D2713&lt;&gt;"","["&amp;$E2713&amp;"]"&amp;"|"&amp;$Q2713&amp;"|"&amp;$K2713&amp;"|"&amp;$G2713&amp;"|"&amp;IF($G2713="TX_CURR_SUBNAT.R","CY2022Q4",$M2713),"")</f>
        <v>[YCKiBAp8QAg]|10-14|Male|DIAGNOSED_SUBNAT.T_1|CY2023Q3</v>
      </c>
    </row>
    <row r="2714" customFormat="false" ht="15" hidden="false" customHeight="false" outlineLevel="0" collapsed="false">
      <c r="D2714" s="0" t="s">
        <v>129</v>
      </c>
      <c r="E2714" s="0" t="s">
        <v>130</v>
      </c>
      <c r="F2714" s="0" t="s">
        <v>131</v>
      </c>
      <c r="G2714" s="0" t="s">
        <v>148</v>
      </c>
      <c r="H2714" s="0" t="s">
        <v>149</v>
      </c>
      <c r="I2714" s="0" t="s">
        <v>38</v>
      </c>
      <c r="J2714" s="0" t="s">
        <v>39</v>
      </c>
      <c r="K2714" s="0" t="s">
        <v>48</v>
      </c>
      <c r="L2714" s="0" t="s">
        <v>49</v>
      </c>
      <c r="M2714" s="0" t="s">
        <v>140</v>
      </c>
      <c r="N2714" s="0" t="n">
        <v>1726</v>
      </c>
      <c r="O2714" s="10" t="n">
        <v>0.510167767293751</v>
      </c>
      <c r="P2714" s="10" t="n">
        <v>0.556908084778115</v>
      </c>
      <c r="Q2714" s="0" t="str">
        <f aca="false">SUBSTITUTE(SUBSTITUTE($I2714,CHAR(61),""),CHAR(34),"")</f>
        <v>15-24</v>
      </c>
      <c r="R2714" s="0" t="str">
        <f aca="false">IF($D2714&lt;&gt;"","["&amp;$E2714&amp;"]"&amp;"|"&amp;$Q2714&amp;"|"&amp;$K2714&amp;"|"&amp;$G2714&amp;"|"&amp;IF($G2714="TX_CURR_SUBNAT.R","CY2022Q4",$M2714),"")</f>
        <v>[YCKiBAp8QAg]|15-24|Male|DIAGNOSED_SUBNAT.T_1|CY2023Q3</v>
      </c>
    </row>
    <row r="2715" customFormat="false" ht="15" hidden="false" customHeight="false" outlineLevel="0" collapsed="false">
      <c r="D2715" s="0" t="s">
        <v>129</v>
      </c>
      <c r="E2715" s="0" t="s">
        <v>130</v>
      </c>
      <c r="F2715" s="0" t="s">
        <v>131</v>
      </c>
      <c r="G2715" s="0" t="s">
        <v>148</v>
      </c>
      <c r="H2715" s="0" t="s">
        <v>149</v>
      </c>
      <c r="I2715" s="0" t="s">
        <v>41</v>
      </c>
      <c r="J2715" s="0" t="s">
        <v>42</v>
      </c>
      <c r="K2715" s="0" t="s">
        <v>48</v>
      </c>
      <c r="L2715" s="0" t="s">
        <v>49</v>
      </c>
      <c r="M2715" s="0" t="s">
        <v>140</v>
      </c>
      <c r="N2715" s="0" t="n">
        <v>1098</v>
      </c>
      <c r="O2715" s="10" t="n">
        <v>0.683800505939871</v>
      </c>
      <c r="P2715" s="10" t="n">
        <v>0.556908084778115</v>
      </c>
      <c r="Q2715" s="0" t="str">
        <f aca="false">SUBSTITUTE(SUBSTITUTE($I2715,CHAR(61),""),CHAR(34),"")</f>
        <v>25-34</v>
      </c>
      <c r="R2715" s="0" t="str">
        <f aca="false">IF($D2715&lt;&gt;"","["&amp;$E2715&amp;"]"&amp;"|"&amp;$Q2715&amp;"|"&amp;$K2715&amp;"|"&amp;$G2715&amp;"|"&amp;IF($G2715="TX_CURR_SUBNAT.R","CY2022Q4",$M2715),"")</f>
        <v>[YCKiBAp8QAg]|25-34|Male|DIAGNOSED_SUBNAT.T_1|CY2023Q3</v>
      </c>
    </row>
    <row r="2716" customFormat="false" ht="15" hidden="false" customHeight="false" outlineLevel="0" collapsed="false">
      <c r="D2716" s="0" t="s">
        <v>129</v>
      </c>
      <c r="E2716" s="0" t="s">
        <v>130</v>
      </c>
      <c r="F2716" s="0" t="s">
        <v>131</v>
      </c>
      <c r="G2716" s="0" t="s">
        <v>148</v>
      </c>
      <c r="H2716" s="0" t="s">
        <v>149</v>
      </c>
      <c r="I2716" s="0" t="s">
        <v>43</v>
      </c>
      <c r="J2716" s="0" t="s">
        <v>44</v>
      </c>
      <c r="K2716" s="0" t="s">
        <v>48</v>
      </c>
      <c r="L2716" s="0" t="s">
        <v>49</v>
      </c>
      <c r="M2716" s="0" t="s">
        <v>140</v>
      </c>
      <c r="N2716" s="0" t="n">
        <v>1917</v>
      </c>
      <c r="O2716" s="10" t="n">
        <v>0.568275698227808</v>
      </c>
      <c r="P2716" s="10" t="n">
        <v>0.556908084778115</v>
      </c>
      <c r="Q2716" s="0" t="str">
        <f aca="false">SUBSTITUTE(SUBSTITUTE($I2716,CHAR(61),""),CHAR(34),"")</f>
        <v>35-49</v>
      </c>
      <c r="R2716" s="0" t="str">
        <f aca="false">IF($D2716&lt;&gt;"","["&amp;$E2716&amp;"]"&amp;"|"&amp;$Q2716&amp;"|"&amp;$K2716&amp;"|"&amp;$G2716&amp;"|"&amp;IF($G2716="TX_CURR_SUBNAT.R","CY2022Q4",$M2716),"")</f>
        <v>[YCKiBAp8QAg]|35-49|Male|DIAGNOSED_SUBNAT.T_1|CY2023Q3</v>
      </c>
    </row>
    <row r="2717" customFormat="false" ht="15" hidden="false" customHeight="false" outlineLevel="0" collapsed="false">
      <c r="D2717" s="0" t="s">
        <v>129</v>
      </c>
      <c r="E2717" s="0" t="s">
        <v>130</v>
      </c>
      <c r="F2717" s="0" t="s">
        <v>131</v>
      </c>
      <c r="G2717" s="0" t="s">
        <v>148</v>
      </c>
      <c r="H2717" s="0" t="s">
        <v>149</v>
      </c>
      <c r="I2717" s="0" t="s">
        <v>45</v>
      </c>
      <c r="J2717" s="0" t="s">
        <v>46</v>
      </c>
      <c r="K2717" s="0" t="s">
        <v>48</v>
      </c>
      <c r="L2717" s="0" t="s">
        <v>49</v>
      </c>
      <c r="M2717" s="0" t="s">
        <v>140</v>
      </c>
      <c r="N2717" s="0" t="n">
        <v>1002</v>
      </c>
      <c r="O2717" s="10" t="n">
        <v>0.723174712620676</v>
      </c>
      <c r="P2717" s="10" t="n">
        <v>0.556908084778115</v>
      </c>
      <c r="Q2717" s="0" t="str">
        <f aca="false">SUBSTITUTE(SUBSTITUTE($I2717,CHAR(61),""),CHAR(34),"")</f>
        <v>50+</v>
      </c>
      <c r="R2717" s="0" t="str">
        <f aca="false">IF($D2717&lt;&gt;"","["&amp;$E2717&amp;"]"&amp;"|"&amp;$Q2717&amp;"|"&amp;$K2717&amp;"|"&amp;$G2717&amp;"|"&amp;IF($G2717="TX_CURR_SUBNAT.R","CY2022Q4",$M2717),"")</f>
        <v>[YCKiBAp8QAg]|50+|Male|DIAGNOSED_SUBNAT.T_1|CY2023Q3</v>
      </c>
    </row>
    <row r="2718" customFormat="false" ht="15" hidden="false" customHeight="false" outlineLevel="0" collapsed="false">
      <c r="D2718" s="0" t="s">
        <v>132</v>
      </c>
      <c r="E2718" s="0" t="s">
        <v>133</v>
      </c>
      <c r="F2718" s="0" t="s">
        <v>134</v>
      </c>
      <c r="G2718" s="0" t="s">
        <v>148</v>
      </c>
      <c r="H2718" s="0" t="s">
        <v>149</v>
      </c>
      <c r="I2718" s="0" t="s">
        <v>28</v>
      </c>
      <c r="J2718" s="0" t="s">
        <v>29</v>
      </c>
      <c r="K2718" s="0" t="s">
        <v>30</v>
      </c>
      <c r="L2718" s="0" t="s">
        <v>31</v>
      </c>
      <c r="M2718" s="0" t="s">
        <v>140</v>
      </c>
      <c r="N2718" s="0" t="n">
        <v>730</v>
      </c>
      <c r="O2718" s="10" t="n">
        <v>0.767715017311275</v>
      </c>
      <c r="P2718" s="10" t="n">
        <v>0.162863194011152</v>
      </c>
      <c r="Q2718" s="0" t="str">
        <f aca="false">SUBSTITUTE(SUBSTITUTE($I2718,CHAR(61),""),CHAR(34),"")</f>
        <v>&lt;01</v>
      </c>
      <c r="R2718" s="0" t="str">
        <f aca="false">IF($D2718&lt;&gt;"","["&amp;$E2718&amp;"]"&amp;"|"&amp;$Q2718&amp;"|"&amp;$K2718&amp;"|"&amp;$G2718&amp;"|"&amp;IF($G2718="TX_CURR_SUBNAT.R","CY2022Q4",$M2718),"")</f>
        <v>[JQKLKuVuY61]|&lt;01|Female|DIAGNOSED_SUBNAT.T_1|CY2023Q3</v>
      </c>
    </row>
    <row r="2719" customFormat="false" ht="15" hidden="false" customHeight="false" outlineLevel="0" collapsed="false">
      <c r="D2719" s="0" t="s">
        <v>132</v>
      </c>
      <c r="E2719" s="0" t="s">
        <v>133</v>
      </c>
      <c r="F2719" s="0" t="s">
        <v>134</v>
      </c>
      <c r="G2719" s="0" t="s">
        <v>148</v>
      </c>
      <c r="H2719" s="0" t="s">
        <v>149</v>
      </c>
      <c r="I2719" s="0" t="s">
        <v>33</v>
      </c>
      <c r="J2719" s="0" t="s">
        <v>34</v>
      </c>
      <c r="K2719" s="0" t="s">
        <v>30</v>
      </c>
      <c r="L2719" s="0" t="s">
        <v>31</v>
      </c>
      <c r="M2719" s="0" t="s">
        <v>140</v>
      </c>
      <c r="N2719" s="0" t="n">
        <v>1181</v>
      </c>
      <c r="O2719" s="10" t="n">
        <v>0.673683094093576</v>
      </c>
      <c r="P2719" s="10" t="n">
        <v>0.162863194011152</v>
      </c>
      <c r="Q2719" s="0" t="str">
        <f aca="false">SUBSTITUTE(SUBSTITUTE($I2719,CHAR(61),""),CHAR(34),"")</f>
        <v>01-09</v>
      </c>
      <c r="R2719" s="0" t="str">
        <f aca="false">IF($D2719&lt;&gt;"","["&amp;$E2719&amp;"]"&amp;"|"&amp;$Q2719&amp;"|"&amp;$K2719&amp;"|"&amp;$G2719&amp;"|"&amp;IF($G2719="TX_CURR_SUBNAT.R","CY2022Q4",$M2719),"")</f>
        <v>[JQKLKuVuY61]|01-09|Female|DIAGNOSED_SUBNAT.T_1|CY2023Q3</v>
      </c>
    </row>
    <row r="2720" customFormat="false" ht="15" hidden="false" customHeight="false" outlineLevel="0" collapsed="false">
      <c r="D2720" s="0" t="s">
        <v>132</v>
      </c>
      <c r="E2720" s="0" t="s">
        <v>133</v>
      </c>
      <c r="F2720" s="0" t="s">
        <v>134</v>
      </c>
      <c r="G2720" s="0" t="s">
        <v>148</v>
      </c>
      <c r="H2720" s="0" t="s">
        <v>149</v>
      </c>
      <c r="I2720" s="0" t="s">
        <v>36</v>
      </c>
      <c r="J2720" s="0" t="s">
        <v>37</v>
      </c>
      <c r="K2720" s="0" t="s">
        <v>30</v>
      </c>
      <c r="L2720" s="0" t="s">
        <v>31</v>
      </c>
      <c r="M2720" s="0" t="s">
        <v>140</v>
      </c>
      <c r="N2720" s="0" t="n">
        <v>577</v>
      </c>
      <c r="O2720" s="10" t="n">
        <v>0.0211070894729346</v>
      </c>
      <c r="P2720" s="10" t="n">
        <v>0.162863194011152</v>
      </c>
      <c r="Q2720" s="0" t="str">
        <f aca="false">SUBSTITUTE(SUBSTITUTE($I2720,CHAR(61),""),CHAR(34),"")</f>
        <v>10-14</v>
      </c>
      <c r="R2720" s="0" t="str">
        <f aca="false">IF($D2720&lt;&gt;"","["&amp;$E2720&amp;"]"&amp;"|"&amp;$Q2720&amp;"|"&amp;$K2720&amp;"|"&amp;$G2720&amp;"|"&amp;IF($G2720="TX_CURR_SUBNAT.R","CY2022Q4",$M2720),"")</f>
        <v>[JQKLKuVuY61]|10-14|Female|DIAGNOSED_SUBNAT.T_1|CY2023Q3</v>
      </c>
    </row>
    <row r="2721" customFormat="false" ht="15" hidden="false" customHeight="false" outlineLevel="0" collapsed="false">
      <c r="D2721" s="0" t="s">
        <v>132</v>
      </c>
      <c r="E2721" s="0" t="s">
        <v>133</v>
      </c>
      <c r="F2721" s="0" t="s">
        <v>134</v>
      </c>
      <c r="G2721" s="0" t="s">
        <v>148</v>
      </c>
      <c r="H2721" s="0" t="s">
        <v>149</v>
      </c>
      <c r="I2721" s="0" t="s">
        <v>38</v>
      </c>
      <c r="J2721" s="0" t="s">
        <v>39</v>
      </c>
      <c r="K2721" s="0" t="s">
        <v>30</v>
      </c>
      <c r="L2721" s="0" t="s">
        <v>31</v>
      </c>
      <c r="M2721" s="0" t="s">
        <v>140</v>
      </c>
      <c r="N2721" s="0" t="n">
        <v>1177</v>
      </c>
      <c r="O2721" s="10" t="n">
        <v>0.915608905954286</v>
      </c>
      <c r="P2721" s="10" t="n">
        <v>0.162863194011152</v>
      </c>
      <c r="Q2721" s="0" t="str">
        <f aca="false">SUBSTITUTE(SUBSTITUTE($I2721,CHAR(61),""),CHAR(34),"")</f>
        <v>15-24</v>
      </c>
      <c r="R2721" s="0" t="str">
        <f aca="false">IF($D2721&lt;&gt;"","["&amp;$E2721&amp;"]"&amp;"|"&amp;$Q2721&amp;"|"&amp;$K2721&amp;"|"&amp;$G2721&amp;"|"&amp;IF($G2721="TX_CURR_SUBNAT.R","CY2022Q4",$M2721),"")</f>
        <v>[JQKLKuVuY61]|15-24|Female|DIAGNOSED_SUBNAT.T_1|CY2023Q3</v>
      </c>
    </row>
    <row r="2722" customFormat="false" ht="15" hidden="false" customHeight="false" outlineLevel="0" collapsed="false">
      <c r="D2722" s="0" t="s">
        <v>132</v>
      </c>
      <c r="E2722" s="0" t="s">
        <v>133</v>
      </c>
      <c r="F2722" s="0" t="s">
        <v>134</v>
      </c>
      <c r="G2722" s="0" t="s">
        <v>148</v>
      </c>
      <c r="H2722" s="0" t="s">
        <v>149</v>
      </c>
      <c r="I2722" s="0" t="s">
        <v>41</v>
      </c>
      <c r="J2722" s="0" t="s">
        <v>42</v>
      </c>
      <c r="K2722" s="0" t="s">
        <v>30</v>
      </c>
      <c r="L2722" s="0" t="s">
        <v>31</v>
      </c>
      <c r="M2722" s="0" t="s">
        <v>140</v>
      </c>
      <c r="N2722" s="0" t="n">
        <v>768</v>
      </c>
      <c r="O2722" s="10" t="n">
        <v>0.43442303314805</v>
      </c>
      <c r="P2722" s="10" t="n">
        <v>0.162863194011152</v>
      </c>
      <c r="Q2722" s="0" t="str">
        <f aca="false">SUBSTITUTE(SUBSTITUTE($I2722,CHAR(61),""),CHAR(34),"")</f>
        <v>25-34</v>
      </c>
      <c r="R2722" s="0" t="str">
        <f aca="false">IF($D2722&lt;&gt;"","["&amp;$E2722&amp;"]"&amp;"|"&amp;$Q2722&amp;"|"&amp;$K2722&amp;"|"&amp;$G2722&amp;"|"&amp;IF($G2722="TX_CURR_SUBNAT.R","CY2022Q4",$M2722),"")</f>
        <v>[JQKLKuVuY61]|25-34|Female|DIAGNOSED_SUBNAT.T_1|CY2023Q3</v>
      </c>
    </row>
    <row r="2723" customFormat="false" ht="15" hidden="false" customHeight="false" outlineLevel="0" collapsed="false">
      <c r="D2723" s="0" t="s">
        <v>132</v>
      </c>
      <c r="E2723" s="0" t="s">
        <v>133</v>
      </c>
      <c r="F2723" s="0" t="s">
        <v>134</v>
      </c>
      <c r="G2723" s="0" t="s">
        <v>148</v>
      </c>
      <c r="H2723" s="0" t="s">
        <v>149</v>
      </c>
      <c r="I2723" s="0" t="s">
        <v>43</v>
      </c>
      <c r="J2723" s="0" t="s">
        <v>44</v>
      </c>
      <c r="K2723" s="0" t="s">
        <v>30</v>
      </c>
      <c r="L2723" s="0" t="s">
        <v>31</v>
      </c>
      <c r="M2723" s="0" t="s">
        <v>140</v>
      </c>
      <c r="N2723" s="0" t="n">
        <v>1960</v>
      </c>
      <c r="O2723" s="10" t="n">
        <v>0.0679081284906715</v>
      </c>
      <c r="P2723" s="10" t="n">
        <v>0.162863194011152</v>
      </c>
      <c r="Q2723" s="0" t="str">
        <f aca="false">SUBSTITUTE(SUBSTITUTE($I2723,CHAR(61),""),CHAR(34),"")</f>
        <v>35-49</v>
      </c>
      <c r="R2723" s="0" t="str">
        <f aca="false">IF($D2723&lt;&gt;"","["&amp;$E2723&amp;"]"&amp;"|"&amp;$Q2723&amp;"|"&amp;$K2723&amp;"|"&amp;$G2723&amp;"|"&amp;IF($G2723="TX_CURR_SUBNAT.R","CY2022Q4",$M2723),"")</f>
        <v>[JQKLKuVuY61]|35-49|Female|DIAGNOSED_SUBNAT.T_1|CY2023Q3</v>
      </c>
    </row>
    <row r="2724" customFormat="false" ht="15" hidden="false" customHeight="false" outlineLevel="0" collapsed="false">
      <c r="D2724" s="0" t="s">
        <v>132</v>
      </c>
      <c r="E2724" s="0" t="s">
        <v>133</v>
      </c>
      <c r="F2724" s="0" t="s">
        <v>134</v>
      </c>
      <c r="G2724" s="0" t="s">
        <v>148</v>
      </c>
      <c r="H2724" s="0" t="s">
        <v>149</v>
      </c>
      <c r="I2724" s="0" t="s">
        <v>45</v>
      </c>
      <c r="J2724" s="0" t="s">
        <v>46</v>
      </c>
      <c r="K2724" s="0" t="s">
        <v>30</v>
      </c>
      <c r="L2724" s="0" t="s">
        <v>31</v>
      </c>
      <c r="M2724" s="0" t="s">
        <v>140</v>
      </c>
      <c r="N2724" s="0" t="n">
        <v>802</v>
      </c>
      <c r="O2724" s="10" t="n">
        <v>0.43041840638034</v>
      </c>
      <c r="P2724" s="10" t="n">
        <v>0.162863194011152</v>
      </c>
      <c r="Q2724" s="0" t="str">
        <f aca="false">SUBSTITUTE(SUBSTITUTE($I2724,CHAR(61),""),CHAR(34),"")</f>
        <v>50+</v>
      </c>
      <c r="R2724" s="0" t="str">
        <f aca="false">IF($D2724&lt;&gt;"","["&amp;$E2724&amp;"]"&amp;"|"&amp;$Q2724&amp;"|"&amp;$K2724&amp;"|"&amp;$G2724&amp;"|"&amp;IF($G2724="TX_CURR_SUBNAT.R","CY2022Q4",$M2724),"")</f>
        <v>[JQKLKuVuY61]|50+|Female|DIAGNOSED_SUBNAT.T_1|CY2023Q3</v>
      </c>
    </row>
    <row r="2725" customFormat="false" ht="15" hidden="false" customHeight="false" outlineLevel="0" collapsed="false">
      <c r="D2725" s="0" t="s">
        <v>132</v>
      </c>
      <c r="E2725" s="0" t="s">
        <v>133</v>
      </c>
      <c r="F2725" s="0" t="s">
        <v>134</v>
      </c>
      <c r="G2725" s="0" t="s">
        <v>148</v>
      </c>
      <c r="H2725" s="0" t="s">
        <v>149</v>
      </c>
      <c r="I2725" s="0" t="s">
        <v>28</v>
      </c>
      <c r="J2725" s="0" t="s">
        <v>29</v>
      </c>
      <c r="K2725" s="0" t="s">
        <v>48</v>
      </c>
      <c r="L2725" s="0" t="s">
        <v>49</v>
      </c>
      <c r="M2725" s="0" t="s">
        <v>140</v>
      </c>
      <c r="N2725" s="0" t="n">
        <v>1695</v>
      </c>
      <c r="O2725" s="10" t="n">
        <v>0.634087370941415</v>
      </c>
      <c r="P2725" s="10" t="n">
        <v>0.162863194011152</v>
      </c>
      <c r="Q2725" s="0" t="str">
        <f aca="false">SUBSTITUTE(SUBSTITUTE($I2725,CHAR(61),""),CHAR(34),"")</f>
        <v>&lt;01</v>
      </c>
      <c r="R2725" s="0" t="str">
        <f aca="false">IF($D2725&lt;&gt;"","["&amp;$E2725&amp;"]"&amp;"|"&amp;$Q2725&amp;"|"&amp;$K2725&amp;"|"&amp;$G2725&amp;"|"&amp;IF($G2725="TX_CURR_SUBNAT.R","CY2022Q4",$M2725),"")</f>
        <v>[JQKLKuVuY61]|&lt;01|Male|DIAGNOSED_SUBNAT.T_1|CY2023Q3</v>
      </c>
    </row>
    <row r="2726" customFormat="false" ht="15" hidden="false" customHeight="false" outlineLevel="0" collapsed="false">
      <c r="D2726" s="0" t="s">
        <v>132</v>
      </c>
      <c r="E2726" s="0" t="s">
        <v>133</v>
      </c>
      <c r="F2726" s="0" t="s">
        <v>134</v>
      </c>
      <c r="G2726" s="0" t="s">
        <v>148</v>
      </c>
      <c r="H2726" s="0" t="s">
        <v>149</v>
      </c>
      <c r="I2726" s="0" t="s">
        <v>33</v>
      </c>
      <c r="J2726" s="0" t="s">
        <v>34</v>
      </c>
      <c r="K2726" s="0" t="s">
        <v>48</v>
      </c>
      <c r="L2726" s="0" t="s">
        <v>49</v>
      </c>
      <c r="M2726" s="0" t="s">
        <v>140</v>
      </c>
      <c r="N2726" s="0" t="n">
        <v>589</v>
      </c>
      <c r="O2726" s="10" t="n">
        <v>0.32108406117186</v>
      </c>
      <c r="P2726" s="10" t="n">
        <v>0.162863194011152</v>
      </c>
      <c r="Q2726" s="0" t="str">
        <f aca="false">SUBSTITUTE(SUBSTITUTE($I2726,CHAR(61),""),CHAR(34),"")</f>
        <v>01-09</v>
      </c>
      <c r="R2726" s="0" t="str">
        <f aca="false">IF($D2726&lt;&gt;"","["&amp;$E2726&amp;"]"&amp;"|"&amp;$Q2726&amp;"|"&amp;$K2726&amp;"|"&amp;$G2726&amp;"|"&amp;IF($G2726="TX_CURR_SUBNAT.R","CY2022Q4",$M2726),"")</f>
        <v>[JQKLKuVuY61]|01-09|Male|DIAGNOSED_SUBNAT.T_1|CY2023Q3</v>
      </c>
    </row>
    <row r="2727" customFormat="false" ht="15" hidden="false" customHeight="false" outlineLevel="0" collapsed="false">
      <c r="D2727" s="0" t="s">
        <v>132</v>
      </c>
      <c r="E2727" s="0" t="s">
        <v>133</v>
      </c>
      <c r="F2727" s="0" t="s">
        <v>134</v>
      </c>
      <c r="G2727" s="0" t="s">
        <v>148</v>
      </c>
      <c r="H2727" s="0" t="s">
        <v>149</v>
      </c>
      <c r="I2727" s="0" t="s">
        <v>36</v>
      </c>
      <c r="J2727" s="0" t="s">
        <v>37</v>
      </c>
      <c r="K2727" s="0" t="s">
        <v>48</v>
      </c>
      <c r="L2727" s="0" t="s">
        <v>49</v>
      </c>
      <c r="M2727" s="0" t="s">
        <v>140</v>
      </c>
      <c r="N2727" s="0" t="n">
        <v>1205</v>
      </c>
      <c r="O2727" s="10" t="n">
        <v>0.0203375858254731</v>
      </c>
      <c r="P2727" s="10" t="n">
        <v>0.162863194011152</v>
      </c>
      <c r="Q2727" s="0" t="str">
        <f aca="false">SUBSTITUTE(SUBSTITUTE($I2727,CHAR(61),""),CHAR(34),"")</f>
        <v>10-14</v>
      </c>
      <c r="R2727" s="0" t="str">
        <f aca="false">IF($D2727&lt;&gt;"","["&amp;$E2727&amp;"]"&amp;"|"&amp;$Q2727&amp;"|"&amp;$K2727&amp;"|"&amp;$G2727&amp;"|"&amp;IF($G2727="TX_CURR_SUBNAT.R","CY2022Q4",$M2727),"")</f>
        <v>[JQKLKuVuY61]|10-14|Male|DIAGNOSED_SUBNAT.T_1|CY2023Q3</v>
      </c>
    </row>
    <row r="2728" customFormat="false" ht="15" hidden="false" customHeight="false" outlineLevel="0" collapsed="false">
      <c r="D2728" s="0" t="s">
        <v>132</v>
      </c>
      <c r="E2728" s="0" t="s">
        <v>133</v>
      </c>
      <c r="F2728" s="0" t="s">
        <v>134</v>
      </c>
      <c r="G2728" s="0" t="s">
        <v>148</v>
      </c>
      <c r="H2728" s="0" t="s">
        <v>149</v>
      </c>
      <c r="I2728" s="0" t="s">
        <v>38</v>
      </c>
      <c r="J2728" s="0" t="s">
        <v>39</v>
      </c>
      <c r="K2728" s="0" t="s">
        <v>48</v>
      </c>
      <c r="L2728" s="0" t="s">
        <v>49</v>
      </c>
      <c r="M2728" s="0" t="s">
        <v>140</v>
      </c>
      <c r="N2728" s="0" t="n">
        <v>803</v>
      </c>
      <c r="O2728" s="10" t="n">
        <v>0.780720194103196</v>
      </c>
      <c r="P2728" s="10" t="n">
        <v>0.162863194011152</v>
      </c>
      <c r="Q2728" s="0" t="str">
        <f aca="false">SUBSTITUTE(SUBSTITUTE($I2728,CHAR(61),""),CHAR(34),"")</f>
        <v>15-24</v>
      </c>
      <c r="R2728" s="0" t="str">
        <f aca="false">IF($D2728&lt;&gt;"","["&amp;$E2728&amp;"]"&amp;"|"&amp;$Q2728&amp;"|"&amp;$K2728&amp;"|"&amp;$G2728&amp;"|"&amp;IF($G2728="TX_CURR_SUBNAT.R","CY2022Q4",$M2728),"")</f>
        <v>[JQKLKuVuY61]|15-24|Male|DIAGNOSED_SUBNAT.T_1|CY2023Q3</v>
      </c>
    </row>
    <row r="2729" customFormat="false" ht="15" hidden="false" customHeight="false" outlineLevel="0" collapsed="false">
      <c r="D2729" s="0" t="s">
        <v>132</v>
      </c>
      <c r="E2729" s="0" t="s">
        <v>133</v>
      </c>
      <c r="F2729" s="0" t="s">
        <v>134</v>
      </c>
      <c r="G2729" s="0" t="s">
        <v>148</v>
      </c>
      <c r="H2729" s="0" t="s">
        <v>149</v>
      </c>
      <c r="I2729" s="0" t="s">
        <v>41</v>
      </c>
      <c r="J2729" s="0" t="s">
        <v>42</v>
      </c>
      <c r="K2729" s="0" t="s">
        <v>48</v>
      </c>
      <c r="L2729" s="0" t="s">
        <v>49</v>
      </c>
      <c r="M2729" s="0" t="s">
        <v>140</v>
      </c>
      <c r="N2729" s="0" t="n">
        <v>588</v>
      </c>
      <c r="O2729" s="10" t="n">
        <v>0.0838880445808172</v>
      </c>
      <c r="P2729" s="10" t="n">
        <v>0.162863194011152</v>
      </c>
      <c r="Q2729" s="0" t="str">
        <f aca="false">SUBSTITUTE(SUBSTITUTE($I2729,CHAR(61),""),CHAR(34),"")</f>
        <v>25-34</v>
      </c>
      <c r="R2729" s="0" t="str">
        <f aca="false">IF($D2729&lt;&gt;"","["&amp;$E2729&amp;"]"&amp;"|"&amp;$Q2729&amp;"|"&amp;$K2729&amp;"|"&amp;$G2729&amp;"|"&amp;IF($G2729="TX_CURR_SUBNAT.R","CY2022Q4",$M2729),"")</f>
        <v>[JQKLKuVuY61]|25-34|Male|DIAGNOSED_SUBNAT.T_1|CY2023Q3</v>
      </c>
    </row>
    <row r="2730" customFormat="false" ht="15" hidden="false" customHeight="false" outlineLevel="0" collapsed="false">
      <c r="D2730" s="0" t="s">
        <v>132</v>
      </c>
      <c r="E2730" s="0" t="s">
        <v>133</v>
      </c>
      <c r="F2730" s="0" t="s">
        <v>134</v>
      </c>
      <c r="G2730" s="0" t="s">
        <v>148</v>
      </c>
      <c r="H2730" s="0" t="s">
        <v>149</v>
      </c>
      <c r="I2730" s="0" t="s">
        <v>43</v>
      </c>
      <c r="J2730" s="0" t="s">
        <v>44</v>
      </c>
      <c r="K2730" s="0" t="s">
        <v>48</v>
      </c>
      <c r="L2730" s="0" t="s">
        <v>49</v>
      </c>
      <c r="M2730" s="0" t="s">
        <v>140</v>
      </c>
      <c r="N2730" s="0" t="n">
        <v>1552</v>
      </c>
      <c r="O2730" s="10" t="n">
        <v>0.605725758476183</v>
      </c>
      <c r="P2730" s="10" t="n">
        <v>0.162863194011152</v>
      </c>
      <c r="Q2730" s="0" t="str">
        <f aca="false">SUBSTITUTE(SUBSTITUTE($I2730,CHAR(61),""),CHAR(34),"")</f>
        <v>35-49</v>
      </c>
      <c r="R2730" s="0" t="str">
        <f aca="false">IF($D2730&lt;&gt;"","["&amp;$E2730&amp;"]"&amp;"|"&amp;$Q2730&amp;"|"&amp;$K2730&amp;"|"&amp;$G2730&amp;"|"&amp;IF($G2730="TX_CURR_SUBNAT.R","CY2022Q4",$M2730),"")</f>
        <v>[JQKLKuVuY61]|35-49|Male|DIAGNOSED_SUBNAT.T_1|CY2023Q3</v>
      </c>
    </row>
    <row r="2731" customFormat="false" ht="15" hidden="false" customHeight="false" outlineLevel="0" collapsed="false">
      <c r="D2731" s="0" t="s">
        <v>132</v>
      </c>
      <c r="E2731" s="0" t="s">
        <v>133</v>
      </c>
      <c r="F2731" s="0" t="s">
        <v>134</v>
      </c>
      <c r="G2731" s="0" t="s">
        <v>148</v>
      </c>
      <c r="H2731" s="0" t="s">
        <v>149</v>
      </c>
      <c r="I2731" s="0" t="s">
        <v>45</v>
      </c>
      <c r="J2731" s="0" t="s">
        <v>46</v>
      </c>
      <c r="K2731" s="0" t="s">
        <v>48</v>
      </c>
      <c r="L2731" s="0" t="s">
        <v>49</v>
      </c>
      <c r="M2731" s="0" t="s">
        <v>140</v>
      </c>
      <c r="N2731" s="0" t="n">
        <v>506</v>
      </c>
      <c r="O2731" s="10" t="n">
        <v>0.529467280954123</v>
      </c>
      <c r="P2731" s="10" t="n">
        <v>0.162863194011152</v>
      </c>
      <c r="Q2731" s="0" t="str">
        <f aca="false">SUBSTITUTE(SUBSTITUTE($I2731,CHAR(61),""),CHAR(34),"")</f>
        <v>50+</v>
      </c>
      <c r="R2731" s="0" t="str">
        <f aca="false">IF($D2731&lt;&gt;"","["&amp;$E2731&amp;"]"&amp;"|"&amp;$Q2731&amp;"|"&amp;$K2731&amp;"|"&amp;$G2731&amp;"|"&amp;IF($G2731="TX_CURR_SUBNAT.R","CY2022Q4",$M2731),"")</f>
        <v>[JQKLKuVuY61]|50+|Male|DIAGNOSED_SUBNAT.T_1|CY2023Q3</v>
      </c>
    </row>
    <row r="2732" customFormat="false" ht="15" hidden="false" customHeight="false" outlineLevel="0" collapsed="false">
      <c r="D2732" s="0" t="s">
        <v>135</v>
      </c>
      <c r="E2732" s="0" t="s">
        <v>136</v>
      </c>
      <c r="F2732" s="0" t="s">
        <v>137</v>
      </c>
      <c r="G2732" s="0" t="s">
        <v>148</v>
      </c>
      <c r="H2732" s="0" t="s">
        <v>149</v>
      </c>
      <c r="I2732" s="0" t="s">
        <v>28</v>
      </c>
      <c r="J2732" s="0" t="s">
        <v>29</v>
      </c>
      <c r="K2732" s="0" t="s">
        <v>30</v>
      </c>
      <c r="L2732" s="0" t="s">
        <v>31</v>
      </c>
      <c r="M2732" s="0" t="s">
        <v>140</v>
      </c>
      <c r="N2732" s="0" t="n">
        <v>982</v>
      </c>
      <c r="O2732" s="10" t="n">
        <v>0.37898470275104</v>
      </c>
      <c r="P2732" s="10" t="n">
        <v>0.955300528323278</v>
      </c>
      <c r="Q2732" s="0" t="str">
        <f aca="false">SUBSTITUTE(SUBSTITUTE($I2732,CHAR(61),""),CHAR(34),"")</f>
        <v>&lt;01</v>
      </c>
      <c r="R2732" s="0" t="str">
        <f aca="false">IF($D2732&lt;&gt;"","["&amp;$E2732&amp;"]"&amp;"|"&amp;$Q2732&amp;"|"&amp;$K2732&amp;"|"&amp;$G2732&amp;"|"&amp;IF($G2732="TX_CURR_SUBNAT.R","CY2022Q4",$M2732),"")</f>
        <v>[fiRkU6gEjLz]|&lt;01|Female|DIAGNOSED_SUBNAT.T_1|CY2023Q3</v>
      </c>
    </row>
    <row r="2733" customFormat="false" ht="15" hidden="false" customHeight="false" outlineLevel="0" collapsed="false">
      <c r="D2733" s="0" t="s">
        <v>135</v>
      </c>
      <c r="E2733" s="0" t="s">
        <v>136</v>
      </c>
      <c r="F2733" s="0" t="s">
        <v>137</v>
      </c>
      <c r="G2733" s="0" t="s">
        <v>148</v>
      </c>
      <c r="H2733" s="0" t="s">
        <v>149</v>
      </c>
      <c r="I2733" s="0" t="s">
        <v>33</v>
      </c>
      <c r="J2733" s="0" t="s">
        <v>34</v>
      </c>
      <c r="K2733" s="0" t="s">
        <v>30</v>
      </c>
      <c r="L2733" s="0" t="s">
        <v>31</v>
      </c>
      <c r="M2733" s="0" t="s">
        <v>140</v>
      </c>
      <c r="N2733" s="0" t="n">
        <v>888</v>
      </c>
      <c r="O2733" s="10" t="n">
        <v>0.456829952076077</v>
      </c>
      <c r="P2733" s="10" t="n">
        <v>0.955300528323278</v>
      </c>
      <c r="Q2733" s="0" t="str">
        <f aca="false">SUBSTITUTE(SUBSTITUTE($I2733,CHAR(61),""),CHAR(34),"")</f>
        <v>01-09</v>
      </c>
      <c r="R2733" s="0" t="str">
        <f aca="false">IF($D2733&lt;&gt;"","["&amp;$E2733&amp;"]"&amp;"|"&amp;$Q2733&amp;"|"&amp;$K2733&amp;"|"&amp;$G2733&amp;"|"&amp;IF($G2733="TX_CURR_SUBNAT.R","CY2022Q4",$M2733),"")</f>
        <v>[fiRkU6gEjLz]|01-09|Female|DIAGNOSED_SUBNAT.T_1|CY2023Q3</v>
      </c>
    </row>
    <row r="2734" customFormat="false" ht="15" hidden="false" customHeight="false" outlineLevel="0" collapsed="false">
      <c r="D2734" s="0" t="s">
        <v>135</v>
      </c>
      <c r="E2734" s="0" t="s">
        <v>136</v>
      </c>
      <c r="F2734" s="0" t="s">
        <v>137</v>
      </c>
      <c r="G2734" s="0" t="s">
        <v>148</v>
      </c>
      <c r="H2734" s="0" t="s">
        <v>149</v>
      </c>
      <c r="I2734" s="0" t="s">
        <v>36</v>
      </c>
      <c r="J2734" s="0" t="s">
        <v>37</v>
      </c>
      <c r="K2734" s="0" t="s">
        <v>30</v>
      </c>
      <c r="L2734" s="0" t="s">
        <v>31</v>
      </c>
      <c r="M2734" s="0" t="s">
        <v>140</v>
      </c>
      <c r="N2734" s="0" t="n">
        <v>1372</v>
      </c>
      <c r="O2734" s="10" t="n">
        <v>0.132699209498242</v>
      </c>
      <c r="P2734" s="10" t="n">
        <v>0.955300528323278</v>
      </c>
      <c r="Q2734" s="0" t="str">
        <f aca="false">SUBSTITUTE(SUBSTITUTE($I2734,CHAR(61),""),CHAR(34),"")</f>
        <v>10-14</v>
      </c>
      <c r="R2734" s="0" t="str">
        <f aca="false">IF($D2734&lt;&gt;"","["&amp;$E2734&amp;"]"&amp;"|"&amp;$Q2734&amp;"|"&amp;$K2734&amp;"|"&amp;$G2734&amp;"|"&amp;IF($G2734="TX_CURR_SUBNAT.R","CY2022Q4",$M2734),"")</f>
        <v>[fiRkU6gEjLz]|10-14|Female|DIAGNOSED_SUBNAT.T_1|CY2023Q3</v>
      </c>
    </row>
    <row r="2735" customFormat="false" ht="15" hidden="false" customHeight="false" outlineLevel="0" collapsed="false">
      <c r="D2735" s="0" t="s">
        <v>135</v>
      </c>
      <c r="E2735" s="0" t="s">
        <v>136</v>
      </c>
      <c r="F2735" s="0" t="s">
        <v>137</v>
      </c>
      <c r="G2735" s="0" t="s">
        <v>148</v>
      </c>
      <c r="H2735" s="0" t="s">
        <v>149</v>
      </c>
      <c r="I2735" s="0" t="s">
        <v>38</v>
      </c>
      <c r="J2735" s="0" t="s">
        <v>39</v>
      </c>
      <c r="K2735" s="0" t="s">
        <v>30</v>
      </c>
      <c r="L2735" s="0" t="s">
        <v>31</v>
      </c>
      <c r="M2735" s="0" t="s">
        <v>140</v>
      </c>
      <c r="N2735" s="0" t="n">
        <v>1684</v>
      </c>
      <c r="O2735" s="10" t="n">
        <v>0.822111083660275</v>
      </c>
      <c r="P2735" s="10" t="n">
        <v>0.955300528323278</v>
      </c>
      <c r="Q2735" s="0" t="str">
        <f aca="false">SUBSTITUTE(SUBSTITUTE($I2735,CHAR(61),""),CHAR(34),"")</f>
        <v>15-24</v>
      </c>
      <c r="R2735" s="0" t="str">
        <f aca="false">IF($D2735&lt;&gt;"","["&amp;$E2735&amp;"]"&amp;"|"&amp;$Q2735&amp;"|"&amp;$K2735&amp;"|"&amp;$G2735&amp;"|"&amp;IF($G2735="TX_CURR_SUBNAT.R","CY2022Q4",$M2735),"")</f>
        <v>[fiRkU6gEjLz]|15-24|Female|DIAGNOSED_SUBNAT.T_1|CY2023Q3</v>
      </c>
    </row>
    <row r="2736" customFormat="false" ht="15" hidden="false" customHeight="false" outlineLevel="0" collapsed="false">
      <c r="D2736" s="0" t="s">
        <v>135</v>
      </c>
      <c r="E2736" s="0" t="s">
        <v>136</v>
      </c>
      <c r="F2736" s="0" t="s">
        <v>137</v>
      </c>
      <c r="G2736" s="0" t="s">
        <v>148</v>
      </c>
      <c r="H2736" s="0" t="s">
        <v>149</v>
      </c>
      <c r="I2736" s="0" t="s">
        <v>41</v>
      </c>
      <c r="J2736" s="0" t="s">
        <v>42</v>
      </c>
      <c r="K2736" s="0" t="s">
        <v>30</v>
      </c>
      <c r="L2736" s="0" t="s">
        <v>31</v>
      </c>
      <c r="M2736" s="0" t="s">
        <v>140</v>
      </c>
      <c r="N2736" s="0" t="n">
        <v>852</v>
      </c>
      <c r="O2736" s="10" t="n">
        <v>0.589623728301376</v>
      </c>
      <c r="P2736" s="10" t="n">
        <v>0.955300528323278</v>
      </c>
      <c r="Q2736" s="0" t="str">
        <f aca="false">SUBSTITUTE(SUBSTITUTE($I2736,CHAR(61),""),CHAR(34),"")</f>
        <v>25-34</v>
      </c>
      <c r="R2736" s="0" t="str">
        <f aca="false">IF($D2736&lt;&gt;"","["&amp;$E2736&amp;"]"&amp;"|"&amp;$Q2736&amp;"|"&amp;$K2736&amp;"|"&amp;$G2736&amp;"|"&amp;IF($G2736="TX_CURR_SUBNAT.R","CY2022Q4",$M2736),"")</f>
        <v>[fiRkU6gEjLz]|25-34|Female|DIAGNOSED_SUBNAT.T_1|CY2023Q3</v>
      </c>
    </row>
    <row r="2737" customFormat="false" ht="15" hidden="false" customHeight="false" outlineLevel="0" collapsed="false">
      <c r="D2737" s="0" t="s">
        <v>135</v>
      </c>
      <c r="E2737" s="0" t="s">
        <v>136</v>
      </c>
      <c r="F2737" s="0" t="s">
        <v>137</v>
      </c>
      <c r="G2737" s="0" t="s">
        <v>148</v>
      </c>
      <c r="H2737" s="0" t="s">
        <v>149</v>
      </c>
      <c r="I2737" s="0" t="s">
        <v>43</v>
      </c>
      <c r="J2737" s="0" t="s">
        <v>44</v>
      </c>
      <c r="K2737" s="0" t="s">
        <v>30</v>
      </c>
      <c r="L2737" s="0" t="s">
        <v>31</v>
      </c>
      <c r="M2737" s="0" t="s">
        <v>140</v>
      </c>
      <c r="N2737" s="0" t="n">
        <v>1661</v>
      </c>
      <c r="O2737" s="10" t="n">
        <v>0.475153702078387</v>
      </c>
      <c r="P2737" s="10" t="n">
        <v>0.955300528323278</v>
      </c>
      <c r="Q2737" s="0" t="str">
        <f aca="false">SUBSTITUTE(SUBSTITUTE($I2737,CHAR(61),""),CHAR(34),"")</f>
        <v>35-49</v>
      </c>
      <c r="R2737" s="0" t="str">
        <f aca="false">IF($D2737&lt;&gt;"","["&amp;$E2737&amp;"]"&amp;"|"&amp;$Q2737&amp;"|"&amp;$K2737&amp;"|"&amp;$G2737&amp;"|"&amp;IF($G2737="TX_CURR_SUBNAT.R","CY2022Q4",$M2737),"")</f>
        <v>[fiRkU6gEjLz]|35-49|Female|DIAGNOSED_SUBNAT.T_1|CY2023Q3</v>
      </c>
    </row>
    <row r="2738" customFormat="false" ht="15" hidden="false" customHeight="false" outlineLevel="0" collapsed="false">
      <c r="D2738" s="0" t="s">
        <v>135</v>
      </c>
      <c r="E2738" s="0" t="s">
        <v>136</v>
      </c>
      <c r="F2738" s="0" t="s">
        <v>137</v>
      </c>
      <c r="G2738" s="0" t="s">
        <v>148</v>
      </c>
      <c r="H2738" s="0" t="s">
        <v>149</v>
      </c>
      <c r="I2738" s="0" t="s">
        <v>45</v>
      </c>
      <c r="J2738" s="0" t="s">
        <v>46</v>
      </c>
      <c r="K2738" s="0" t="s">
        <v>30</v>
      </c>
      <c r="L2738" s="0" t="s">
        <v>31</v>
      </c>
      <c r="M2738" s="0" t="s">
        <v>140</v>
      </c>
      <c r="N2738" s="0" t="n">
        <v>1212</v>
      </c>
      <c r="O2738" s="10" t="n">
        <v>0.316944285528734</v>
      </c>
      <c r="P2738" s="10" t="n">
        <v>0.955300528323278</v>
      </c>
      <c r="Q2738" s="0" t="str">
        <f aca="false">SUBSTITUTE(SUBSTITUTE($I2738,CHAR(61),""),CHAR(34),"")</f>
        <v>50+</v>
      </c>
      <c r="R2738" s="0" t="str">
        <f aca="false">IF($D2738&lt;&gt;"","["&amp;$E2738&amp;"]"&amp;"|"&amp;$Q2738&amp;"|"&amp;$K2738&amp;"|"&amp;$G2738&amp;"|"&amp;IF($G2738="TX_CURR_SUBNAT.R","CY2022Q4",$M2738),"")</f>
        <v>[fiRkU6gEjLz]|50+|Female|DIAGNOSED_SUBNAT.T_1|CY2023Q3</v>
      </c>
    </row>
    <row r="2739" customFormat="false" ht="15" hidden="false" customHeight="false" outlineLevel="0" collapsed="false">
      <c r="D2739" s="0" t="s">
        <v>135</v>
      </c>
      <c r="E2739" s="0" t="s">
        <v>136</v>
      </c>
      <c r="F2739" s="0" t="s">
        <v>137</v>
      </c>
      <c r="G2739" s="0" t="s">
        <v>148</v>
      </c>
      <c r="H2739" s="0" t="s">
        <v>149</v>
      </c>
      <c r="I2739" s="0" t="s">
        <v>28</v>
      </c>
      <c r="J2739" s="0" t="s">
        <v>29</v>
      </c>
      <c r="K2739" s="0" t="s">
        <v>48</v>
      </c>
      <c r="L2739" s="0" t="s">
        <v>49</v>
      </c>
      <c r="M2739" s="0" t="s">
        <v>140</v>
      </c>
      <c r="N2739" s="0" t="n">
        <v>1021</v>
      </c>
      <c r="O2739" s="10" t="n">
        <v>0.159530422883108</v>
      </c>
      <c r="P2739" s="10" t="n">
        <v>0.955300528323278</v>
      </c>
      <c r="Q2739" s="0" t="str">
        <f aca="false">SUBSTITUTE(SUBSTITUTE($I2739,CHAR(61),""),CHAR(34),"")</f>
        <v>&lt;01</v>
      </c>
      <c r="R2739" s="0" t="str">
        <f aca="false">IF($D2739&lt;&gt;"","["&amp;$E2739&amp;"]"&amp;"|"&amp;$Q2739&amp;"|"&amp;$K2739&amp;"|"&amp;$G2739&amp;"|"&amp;IF($G2739="TX_CURR_SUBNAT.R","CY2022Q4",$M2739),"")</f>
        <v>[fiRkU6gEjLz]|&lt;01|Male|DIAGNOSED_SUBNAT.T_1|CY2023Q3</v>
      </c>
    </row>
    <row r="2740" customFormat="false" ht="15" hidden="false" customHeight="false" outlineLevel="0" collapsed="false">
      <c r="D2740" s="0" t="s">
        <v>135</v>
      </c>
      <c r="E2740" s="0" t="s">
        <v>136</v>
      </c>
      <c r="F2740" s="0" t="s">
        <v>137</v>
      </c>
      <c r="G2740" s="0" t="s">
        <v>148</v>
      </c>
      <c r="H2740" s="0" t="s">
        <v>149</v>
      </c>
      <c r="I2740" s="0" t="s">
        <v>33</v>
      </c>
      <c r="J2740" s="0" t="s">
        <v>34</v>
      </c>
      <c r="K2740" s="0" t="s">
        <v>48</v>
      </c>
      <c r="L2740" s="0" t="s">
        <v>49</v>
      </c>
      <c r="M2740" s="0" t="s">
        <v>140</v>
      </c>
      <c r="N2740" s="0" t="n">
        <v>1707</v>
      </c>
      <c r="O2740" s="10" t="n">
        <v>0.133932668250054</v>
      </c>
      <c r="P2740" s="10" t="n">
        <v>0.955300528323278</v>
      </c>
      <c r="Q2740" s="0" t="str">
        <f aca="false">SUBSTITUTE(SUBSTITUTE($I2740,CHAR(61),""),CHAR(34),"")</f>
        <v>01-09</v>
      </c>
      <c r="R2740" s="0" t="str">
        <f aca="false">IF($D2740&lt;&gt;"","["&amp;$E2740&amp;"]"&amp;"|"&amp;$Q2740&amp;"|"&amp;$K2740&amp;"|"&amp;$G2740&amp;"|"&amp;IF($G2740="TX_CURR_SUBNAT.R","CY2022Q4",$M2740),"")</f>
        <v>[fiRkU6gEjLz]|01-09|Male|DIAGNOSED_SUBNAT.T_1|CY2023Q3</v>
      </c>
    </row>
    <row r="2741" customFormat="false" ht="15" hidden="false" customHeight="false" outlineLevel="0" collapsed="false">
      <c r="D2741" s="0" t="s">
        <v>135</v>
      </c>
      <c r="E2741" s="0" t="s">
        <v>136</v>
      </c>
      <c r="F2741" s="0" t="s">
        <v>137</v>
      </c>
      <c r="G2741" s="0" t="s">
        <v>148</v>
      </c>
      <c r="H2741" s="0" t="s">
        <v>149</v>
      </c>
      <c r="I2741" s="0" t="s">
        <v>36</v>
      </c>
      <c r="J2741" s="0" t="s">
        <v>37</v>
      </c>
      <c r="K2741" s="0" t="s">
        <v>48</v>
      </c>
      <c r="L2741" s="0" t="s">
        <v>49</v>
      </c>
      <c r="M2741" s="0" t="s">
        <v>140</v>
      </c>
      <c r="N2741" s="0" t="n">
        <v>1277</v>
      </c>
      <c r="O2741" s="10" t="n">
        <v>0.571832142304629</v>
      </c>
      <c r="P2741" s="10" t="n">
        <v>0.955300528323278</v>
      </c>
      <c r="Q2741" s="0" t="str">
        <f aca="false">SUBSTITUTE(SUBSTITUTE($I2741,CHAR(61),""),CHAR(34),"")</f>
        <v>10-14</v>
      </c>
      <c r="R2741" s="0" t="str">
        <f aca="false">IF($D2741&lt;&gt;"","["&amp;$E2741&amp;"]"&amp;"|"&amp;$Q2741&amp;"|"&amp;$K2741&amp;"|"&amp;$G2741&amp;"|"&amp;IF($G2741="TX_CURR_SUBNAT.R","CY2022Q4",$M2741),"")</f>
        <v>[fiRkU6gEjLz]|10-14|Male|DIAGNOSED_SUBNAT.T_1|CY2023Q3</v>
      </c>
    </row>
    <row r="2742" customFormat="false" ht="15" hidden="false" customHeight="false" outlineLevel="0" collapsed="false">
      <c r="D2742" s="0" t="s">
        <v>135</v>
      </c>
      <c r="E2742" s="0" t="s">
        <v>136</v>
      </c>
      <c r="F2742" s="0" t="s">
        <v>137</v>
      </c>
      <c r="G2742" s="0" t="s">
        <v>148</v>
      </c>
      <c r="H2742" s="0" t="s">
        <v>149</v>
      </c>
      <c r="I2742" s="0" t="s">
        <v>38</v>
      </c>
      <c r="J2742" s="0" t="s">
        <v>39</v>
      </c>
      <c r="K2742" s="0" t="s">
        <v>48</v>
      </c>
      <c r="L2742" s="0" t="s">
        <v>49</v>
      </c>
      <c r="M2742" s="0" t="s">
        <v>140</v>
      </c>
      <c r="N2742" s="0" t="n">
        <v>848</v>
      </c>
      <c r="O2742" s="10" t="n">
        <v>0.279611313715577</v>
      </c>
      <c r="P2742" s="10" t="n">
        <v>0.955300528323278</v>
      </c>
      <c r="Q2742" s="0" t="str">
        <f aca="false">SUBSTITUTE(SUBSTITUTE($I2742,CHAR(61),""),CHAR(34),"")</f>
        <v>15-24</v>
      </c>
      <c r="R2742" s="0" t="str">
        <f aca="false">IF($D2742&lt;&gt;"","["&amp;$E2742&amp;"]"&amp;"|"&amp;$Q2742&amp;"|"&amp;$K2742&amp;"|"&amp;$G2742&amp;"|"&amp;IF($G2742="TX_CURR_SUBNAT.R","CY2022Q4",$M2742),"")</f>
        <v>[fiRkU6gEjLz]|15-24|Male|DIAGNOSED_SUBNAT.T_1|CY2023Q3</v>
      </c>
    </row>
    <row r="2743" customFormat="false" ht="15" hidden="false" customHeight="false" outlineLevel="0" collapsed="false">
      <c r="D2743" s="0" t="s">
        <v>135</v>
      </c>
      <c r="E2743" s="0" t="s">
        <v>136</v>
      </c>
      <c r="F2743" s="0" t="s">
        <v>137</v>
      </c>
      <c r="G2743" s="0" t="s">
        <v>148</v>
      </c>
      <c r="H2743" s="0" t="s">
        <v>149</v>
      </c>
      <c r="I2743" s="0" t="s">
        <v>41</v>
      </c>
      <c r="J2743" s="0" t="s">
        <v>42</v>
      </c>
      <c r="K2743" s="0" t="s">
        <v>48</v>
      </c>
      <c r="L2743" s="0" t="s">
        <v>49</v>
      </c>
      <c r="M2743" s="0" t="s">
        <v>140</v>
      </c>
      <c r="N2743" s="0" t="n">
        <v>1295</v>
      </c>
      <c r="O2743" s="10" t="n">
        <v>0.340527250198647</v>
      </c>
      <c r="P2743" s="10" t="n">
        <v>0.955300528323278</v>
      </c>
      <c r="Q2743" s="0" t="str">
        <f aca="false">SUBSTITUTE(SUBSTITUTE($I2743,CHAR(61),""),CHAR(34),"")</f>
        <v>25-34</v>
      </c>
      <c r="R2743" s="0" t="str">
        <f aca="false">IF($D2743&lt;&gt;"","["&amp;$E2743&amp;"]"&amp;"|"&amp;$Q2743&amp;"|"&amp;$K2743&amp;"|"&amp;$G2743&amp;"|"&amp;IF($G2743="TX_CURR_SUBNAT.R","CY2022Q4",$M2743),"")</f>
        <v>[fiRkU6gEjLz]|25-34|Male|DIAGNOSED_SUBNAT.T_1|CY2023Q3</v>
      </c>
    </row>
    <row r="2744" customFormat="false" ht="15" hidden="false" customHeight="false" outlineLevel="0" collapsed="false">
      <c r="D2744" s="0" t="s">
        <v>135</v>
      </c>
      <c r="E2744" s="0" t="s">
        <v>136</v>
      </c>
      <c r="F2744" s="0" t="s">
        <v>137</v>
      </c>
      <c r="G2744" s="0" t="s">
        <v>148</v>
      </c>
      <c r="H2744" s="0" t="s">
        <v>149</v>
      </c>
      <c r="I2744" s="0" t="s">
        <v>43</v>
      </c>
      <c r="J2744" s="0" t="s">
        <v>44</v>
      </c>
      <c r="K2744" s="0" t="s">
        <v>48</v>
      </c>
      <c r="L2744" s="0" t="s">
        <v>49</v>
      </c>
      <c r="M2744" s="0" t="s">
        <v>140</v>
      </c>
      <c r="N2744" s="0" t="n">
        <v>1963</v>
      </c>
      <c r="O2744" s="10" t="n">
        <v>0.797949721338227</v>
      </c>
      <c r="P2744" s="10" t="n">
        <v>0.955300528323278</v>
      </c>
      <c r="Q2744" s="0" t="str">
        <f aca="false">SUBSTITUTE(SUBSTITUTE($I2744,CHAR(61),""),CHAR(34),"")</f>
        <v>35-49</v>
      </c>
      <c r="R2744" s="0" t="str">
        <f aca="false">IF($D2744&lt;&gt;"","["&amp;$E2744&amp;"]"&amp;"|"&amp;$Q2744&amp;"|"&amp;$K2744&amp;"|"&amp;$G2744&amp;"|"&amp;IF($G2744="TX_CURR_SUBNAT.R","CY2022Q4",$M2744),"")</f>
        <v>[fiRkU6gEjLz]|35-49|Male|DIAGNOSED_SUBNAT.T_1|CY2023Q3</v>
      </c>
    </row>
    <row r="2745" customFormat="false" ht="15" hidden="false" customHeight="false" outlineLevel="0" collapsed="false">
      <c r="D2745" s="0" t="s">
        <v>135</v>
      </c>
      <c r="E2745" s="0" t="s">
        <v>136</v>
      </c>
      <c r="F2745" s="0" t="s">
        <v>137</v>
      </c>
      <c r="G2745" s="0" t="s">
        <v>148</v>
      </c>
      <c r="H2745" s="0" t="s">
        <v>149</v>
      </c>
      <c r="I2745" s="0" t="s">
        <v>45</v>
      </c>
      <c r="J2745" s="0" t="s">
        <v>46</v>
      </c>
      <c r="K2745" s="0" t="s">
        <v>48</v>
      </c>
      <c r="L2745" s="0" t="s">
        <v>49</v>
      </c>
      <c r="M2745" s="0" t="s">
        <v>140</v>
      </c>
      <c r="N2745" s="0" t="n">
        <v>1474</v>
      </c>
      <c r="O2745" s="10" t="n">
        <v>0.960967403138056</v>
      </c>
      <c r="P2745" s="10" t="n">
        <v>0.955300528323278</v>
      </c>
      <c r="Q2745" s="0" t="str">
        <f aca="false">SUBSTITUTE(SUBSTITUTE($I2745,CHAR(61),""),CHAR(34),"")</f>
        <v>50+</v>
      </c>
      <c r="R2745" s="0" t="str">
        <f aca="false">IF($D2745&lt;&gt;"","["&amp;$E2745&amp;"]"&amp;"|"&amp;$Q2745&amp;"|"&amp;$K2745&amp;"|"&amp;$G2745&amp;"|"&amp;IF($G2745="TX_CURR_SUBNAT.R","CY2022Q4",$M2745),"")</f>
        <v>[fiRkU6gEjLz]|50+|Male|DIAGNOSED_SUBNAT.T_1|CY2023Q3</v>
      </c>
    </row>
    <row r="2746" customFormat="false" ht="15" hidden="false" customHeight="false" outlineLevel="0" collapsed="false">
      <c r="D2746" s="0" t="s">
        <v>23</v>
      </c>
      <c r="E2746" s="0" t="s">
        <v>24</v>
      </c>
      <c r="F2746" s="0" t="s">
        <v>25</v>
      </c>
      <c r="G2746" s="0" t="s">
        <v>150</v>
      </c>
      <c r="H2746" s="0" t="s">
        <v>150</v>
      </c>
      <c r="I2746" s="0" t="s">
        <v>28</v>
      </c>
      <c r="J2746" s="0" t="s">
        <v>29</v>
      </c>
      <c r="K2746" s="0" t="s">
        <v>30</v>
      </c>
      <c r="L2746" s="0" t="s">
        <v>31</v>
      </c>
      <c r="M2746" s="0" t="s">
        <v>140</v>
      </c>
      <c r="N2746" s="0" t="n">
        <v>562</v>
      </c>
      <c r="O2746" s="10" t="n">
        <v>0.132640941767022</v>
      </c>
      <c r="P2746" s="10" t="n">
        <v>0.404358610976487</v>
      </c>
      <c r="Q2746" s="0" t="str">
        <f aca="false">SUBSTITUTE(SUBSTITUTE($I2746,CHAR(61),""),CHAR(34),"")</f>
        <v>&lt;01</v>
      </c>
      <c r="R2746" s="0" t="str">
        <f aca="false">IF($D2746&lt;&gt;"","["&amp;$E2746&amp;"]"&amp;"|"&amp;$Q2746&amp;"|"&amp;$K2746&amp;"|"&amp;$G2746&amp;"|"&amp;IF($G2746="TX_CURR_SUBNAT.R","CY2022Q4",$M2746),"")</f>
        <v>[GkIwZrXy1h2]|&lt;01|Female|PLHIV_Attend.T_1|CY2023Q3</v>
      </c>
    </row>
    <row r="2747" customFormat="false" ht="15" hidden="false" customHeight="false" outlineLevel="0" collapsed="false">
      <c r="D2747" s="0" t="s">
        <v>23</v>
      </c>
      <c r="E2747" s="0" t="s">
        <v>24</v>
      </c>
      <c r="F2747" s="0" t="s">
        <v>25</v>
      </c>
      <c r="G2747" s="0" t="s">
        <v>150</v>
      </c>
      <c r="H2747" s="0" t="s">
        <v>150</v>
      </c>
      <c r="I2747" s="0" t="s">
        <v>33</v>
      </c>
      <c r="J2747" s="0" t="s">
        <v>34</v>
      </c>
      <c r="K2747" s="0" t="s">
        <v>30</v>
      </c>
      <c r="L2747" s="0" t="s">
        <v>31</v>
      </c>
      <c r="M2747" s="0" t="s">
        <v>140</v>
      </c>
      <c r="N2747" s="0" t="n">
        <v>1027</v>
      </c>
      <c r="O2747" s="10" t="n">
        <v>0.669430193258449</v>
      </c>
      <c r="P2747" s="10" t="n">
        <v>0.404358610976487</v>
      </c>
      <c r="Q2747" s="0" t="str">
        <f aca="false">SUBSTITUTE(SUBSTITUTE($I2747,CHAR(61),""),CHAR(34),"")</f>
        <v>01-09</v>
      </c>
      <c r="R2747" s="0" t="str">
        <f aca="false">IF($D2747&lt;&gt;"","["&amp;$E2747&amp;"]"&amp;"|"&amp;$Q2747&amp;"|"&amp;$K2747&amp;"|"&amp;$G2747&amp;"|"&amp;IF($G2747="TX_CURR_SUBNAT.R","CY2022Q4",$M2747),"")</f>
        <v>[GkIwZrXy1h2]|01-09|Female|PLHIV_Attend.T_1|CY2023Q3</v>
      </c>
    </row>
    <row r="2748" customFormat="false" ht="15" hidden="false" customHeight="false" outlineLevel="0" collapsed="false">
      <c r="D2748" s="0" t="s">
        <v>23</v>
      </c>
      <c r="E2748" s="0" t="s">
        <v>24</v>
      </c>
      <c r="F2748" s="0" t="s">
        <v>25</v>
      </c>
      <c r="G2748" s="0" t="s">
        <v>150</v>
      </c>
      <c r="H2748" s="0" t="s">
        <v>150</v>
      </c>
      <c r="I2748" s="0" t="s">
        <v>36</v>
      </c>
      <c r="J2748" s="0" t="s">
        <v>37</v>
      </c>
      <c r="K2748" s="0" t="s">
        <v>30</v>
      </c>
      <c r="L2748" s="0" t="s">
        <v>31</v>
      </c>
      <c r="M2748" s="0" t="s">
        <v>140</v>
      </c>
      <c r="N2748" s="0" t="n">
        <v>719</v>
      </c>
      <c r="O2748" s="10" t="n">
        <v>0.0296744634397328</v>
      </c>
      <c r="P2748" s="10" t="n">
        <v>0.404358610976487</v>
      </c>
      <c r="Q2748" s="0" t="str">
        <f aca="false">SUBSTITUTE(SUBSTITUTE($I2748,CHAR(61),""),CHAR(34),"")</f>
        <v>10-14</v>
      </c>
      <c r="R2748" s="0" t="str">
        <f aca="false">IF($D2748&lt;&gt;"","["&amp;$E2748&amp;"]"&amp;"|"&amp;$Q2748&amp;"|"&amp;$K2748&amp;"|"&amp;$G2748&amp;"|"&amp;IF($G2748="TX_CURR_SUBNAT.R","CY2022Q4",$M2748),"")</f>
        <v>[GkIwZrXy1h2]|10-14|Female|PLHIV_Attend.T_1|CY2023Q3</v>
      </c>
    </row>
    <row r="2749" customFormat="false" ht="15" hidden="false" customHeight="false" outlineLevel="0" collapsed="false">
      <c r="D2749" s="0" t="s">
        <v>23</v>
      </c>
      <c r="E2749" s="0" t="s">
        <v>24</v>
      </c>
      <c r="F2749" s="0" t="s">
        <v>25</v>
      </c>
      <c r="G2749" s="0" t="s">
        <v>150</v>
      </c>
      <c r="H2749" s="0" t="s">
        <v>150</v>
      </c>
      <c r="I2749" s="0" t="s">
        <v>38</v>
      </c>
      <c r="J2749" s="0" t="s">
        <v>39</v>
      </c>
      <c r="K2749" s="0" t="s">
        <v>30</v>
      </c>
      <c r="L2749" s="0" t="s">
        <v>31</v>
      </c>
      <c r="M2749" s="0" t="s">
        <v>140</v>
      </c>
      <c r="N2749" s="0" t="n">
        <v>1613</v>
      </c>
      <c r="O2749" s="10" t="n">
        <v>0.305656891083345</v>
      </c>
      <c r="P2749" s="10" t="n">
        <v>0.404358610976487</v>
      </c>
      <c r="Q2749" s="0" t="str">
        <f aca="false">SUBSTITUTE(SUBSTITUTE($I2749,CHAR(61),""),CHAR(34),"")</f>
        <v>15-24</v>
      </c>
      <c r="R2749" s="0" t="str">
        <f aca="false">IF($D2749&lt;&gt;"","["&amp;$E2749&amp;"]"&amp;"|"&amp;$Q2749&amp;"|"&amp;$K2749&amp;"|"&amp;$G2749&amp;"|"&amp;IF($G2749="TX_CURR_SUBNAT.R","CY2022Q4",$M2749),"")</f>
        <v>[GkIwZrXy1h2]|15-24|Female|PLHIV_Attend.T_1|CY2023Q3</v>
      </c>
    </row>
    <row r="2750" customFormat="false" ht="15" hidden="false" customHeight="false" outlineLevel="0" collapsed="false">
      <c r="D2750" s="0" t="s">
        <v>23</v>
      </c>
      <c r="E2750" s="0" t="s">
        <v>24</v>
      </c>
      <c r="F2750" s="0" t="s">
        <v>25</v>
      </c>
      <c r="G2750" s="0" t="s">
        <v>150</v>
      </c>
      <c r="H2750" s="0" t="s">
        <v>150</v>
      </c>
      <c r="I2750" s="0" t="s">
        <v>41</v>
      </c>
      <c r="J2750" s="0" t="s">
        <v>42</v>
      </c>
      <c r="K2750" s="0" t="s">
        <v>30</v>
      </c>
      <c r="L2750" s="0" t="s">
        <v>31</v>
      </c>
      <c r="M2750" s="0" t="s">
        <v>140</v>
      </c>
      <c r="N2750" s="0" t="n">
        <v>1756</v>
      </c>
      <c r="O2750" s="10" t="n">
        <v>0.842655046610162</v>
      </c>
      <c r="P2750" s="10" t="n">
        <v>0.404358610976487</v>
      </c>
      <c r="Q2750" s="0" t="str">
        <f aca="false">SUBSTITUTE(SUBSTITUTE($I2750,CHAR(61),""),CHAR(34),"")</f>
        <v>25-34</v>
      </c>
      <c r="R2750" s="0" t="str">
        <f aca="false">IF($D2750&lt;&gt;"","["&amp;$E2750&amp;"]"&amp;"|"&amp;$Q2750&amp;"|"&amp;$K2750&amp;"|"&amp;$G2750&amp;"|"&amp;IF($G2750="TX_CURR_SUBNAT.R","CY2022Q4",$M2750),"")</f>
        <v>[GkIwZrXy1h2]|25-34|Female|PLHIV_Attend.T_1|CY2023Q3</v>
      </c>
    </row>
    <row r="2751" customFormat="false" ht="15" hidden="false" customHeight="false" outlineLevel="0" collapsed="false">
      <c r="D2751" s="0" t="s">
        <v>23</v>
      </c>
      <c r="E2751" s="0" t="s">
        <v>24</v>
      </c>
      <c r="F2751" s="0" t="s">
        <v>25</v>
      </c>
      <c r="G2751" s="0" t="s">
        <v>150</v>
      </c>
      <c r="H2751" s="0" t="s">
        <v>150</v>
      </c>
      <c r="I2751" s="0" t="s">
        <v>43</v>
      </c>
      <c r="J2751" s="0" t="s">
        <v>44</v>
      </c>
      <c r="K2751" s="0" t="s">
        <v>30</v>
      </c>
      <c r="L2751" s="0" t="s">
        <v>31</v>
      </c>
      <c r="M2751" s="0" t="s">
        <v>140</v>
      </c>
      <c r="N2751" s="0" t="n">
        <v>1888</v>
      </c>
      <c r="O2751" s="10" t="n">
        <v>0.561278580222279</v>
      </c>
      <c r="P2751" s="10" t="n">
        <v>0.404358610976487</v>
      </c>
      <c r="Q2751" s="0" t="str">
        <f aca="false">SUBSTITUTE(SUBSTITUTE($I2751,CHAR(61),""),CHAR(34),"")</f>
        <v>35-49</v>
      </c>
      <c r="R2751" s="0" t="str">
        <f aca="false">IF($D2751&lt;&gt;"","["&amp;$E2751&amp;"]"&amp;"|"&amp;$Q2751&amp;"|"&amp;$K2751&amp;"|"&amp;$G2751&amp;"|"&amp;IF($G2751="TX_CURR_SUBNAT.R","CY2022Q4",$M2751),"")</f>
        <v>[GkIwZrXy1h2]|35-49|Female|PLHIV_Attend.T_1|CY2023Q3</v>
      </c>
    </row>
    <row r="2752" customFormat="false" ht="15" hidden="false" customHeight="false" outlineLevel="0" collapsed="false">
      <c r="D2752" s="0" t="s">
        <v>23</v>
      </c>
      <c r="E2752" s="0" t="s">
        <v>24</v>
      </c>
      <c r="F2752" s="0" t="s">
        <v>25</v>
      </c>
      <c r="G2752" s="0" t="s">
        <v>150</v>
      </c>
      <c r="H2752" s="0" t="s">
        <v>150</v>
      </c>
      <c r="I2752" s="0" t="s">
        <v>45</v>
      </c>
      <c r="J2752" s="0" t="s">
        <v>46</v>
      </c>
      <c r="K2752" s="0" t="s">
        <v>30</v>
      </c>
      <c r="L2752" s="0" t="s">
        <v>31</v>
      </c>
      <c r="M2752" s="0" t="s">
        <v>140</v>
      </c>
      <c r="N2752" s="0" t="n">
        <v>971</v>
      </c>
      <c r="O2752" s="10" t="n">
        <v>0.835493330145255</v>
      </c>
      <c r="P2752" s="10" t="n">
        <v>0.404358610976487</v>
      </c>
      <c r="Q2752" s="0" t="str">
        <f aca="false">SUBSTITUTE(SUBSTITUTE($I2752,CHAR(61),""),CHAR(34),"")</f>
        <v>50+</v>
      </c>
      <c r="R2752" s="0" t="str">
        <f aca="false">IF($D2752&lt;&gt;"","["&amp;$E2752&amp;"]"&amp;"|"&amp;$Q2752&amp;"|"&amp;$K2752&amp;"|"&amp;$G2752&amp;"|"&amp;IF($G2752="TX_CURR_SUBNAT.R","CY2022Q4",$M2752),"")</f>
        <v>[GkIwZrXy1h2]|50+|Female|PLHIV_Attend.T_1|CY2023Q3</v>
      </c>
    </row>
    <row r="2753" customFormat="false" ht="15" hidden="false" customHeight="false" outlineLevel="0" collapsed="false">
      <c r="D2753" s="0" t="s">
        <v>23</v>
      </c>
      <c r="E2753" s="0" t="s">
        <v>24</v>
      </c>
      <c r="F2753" s="0" t="s">
        <v>25</v>
      </c>
      <c r="G2753" s="0" t="s">
        <v>150</v>
      </c>
      <c r="H2753" s="0" t="s">
        <v>150</v>
      </c>
      <c r="I2753" s="0" t="s">
        <v>28</v>
      </c>
      <c r="J2753" s="0" t="s">
        <v>29</v>
      </c>
      <c r="K2753" s="0" t="s">
        <v>48</v>
      </c>
      <c r="L2753" s="0" t="s">
        <v>49</v>
      </c>
      <c r="M2753" s="0" t="s">
        <v>140</v>
      </c>
      <c r="N2753" s="0" t="n">
        <v>1367</v>
      </c>
      <c r="O2753" s="10" t="n">
        <v>0.764189173467457</v>
      </c>
      <c r="P2753" s="10" t="n">
        <v>0.404358610976487</v>
      </c>
      <c r="Q2753" s="0" t="str">
        <f aca="false">SUBSTITUTE(SUBSTITUTE($I2753,CHAR(61),""),CHAR(34),"")</f>
        <v>&lt;01</v>
      </c>
      <c r="R2753" s="0" t="str">
        <f aca="false">IF($D2753&lt;&gt;"","["&amp;$E2753&amp;"]"&amp;"|"&amp;$Q2753&amp;"|"&amp;$K2753&amp;"|"&amp;$G2753&amp;"|"&amp;IF($G2753="TX_CURR_SUBNAT.R","CY2022Q4",$M2753),"")</f>
        <v>[GkIwZrXy1h2]|&lt;01|Male|PLHIV_Attend.T_1|CY2023Q3</v>
      </c>
    </row>
    <row r="2754" customFormat="false" ht="15" hidden="false" customHeight="false" outlineLevel="0" collapsed="false">
      <c r="D2754" s="0" t="s">
        <v>23</v>
      </c>
      <c r="E2754" s="0" t="s">
        <v>24</v>
      </c>
      <c r="F2754" s="0" t="s">
        <v>25</v>
      </c>
      <c r="G2754" s="0" t="s">
        <v>150</v>
      </c>
      <c r="H2754" s="0" t="s">
        <v>150</v>
      </c>
      <c r="I2754" s="0" t="s">
        <v>33</v>
      </c>
      <c r="J2754" s="0" t="s">
        <v>34</v>
      </c>
      <c r="K2754" s="0" t="s">
        <v>48</v>
      </c>
      <c r="L2754" s="0" t="s">
        <v>49</v>
      </c>
      <c r="M2754" s="0" t="s">
        <v>140</v>
      </c>
      <c r="N2754" s="0" t="n">
        <v>1943</v>
      </c>
      <c r="O2754" s="10" t="n">
        <v>0.340467349626124</v>
      </c>
      <c r="P2754" s="10" t="n">
        <v>0.404358610976487</v>
      </c>
      <c r="Q2754" s="0" t="str">
        <f aca="false">SUBSTITUTE(SUBSTITUTE($I2754,CHAR(61),""),CHAR(34),"")</f>
        <v>01-09</v>
      </c>
      <c r="R2754" s="0" t="str">
        <f aca="false">IF($D2754&lt;&gt;"","["&amp;$E2754&amp;"]"&amp;"|"&amp;$Q2754&amp;"|"&amp;$K2754&amp;"|"&amp;$G2754&amp;"|"&amp;IF($G2754="TX_CURR_SUBNAT.R","CY2022Q4",$M2754),"")</f>
        <v>[GkIwZrXy1h2]|01-09|Male|PLHIV_Attend.T_1|CY2023Q3</v>
      </c>
    </row>
    <row r="2755" customFormat="false" ht="15" hidden="false" customHeight="false" outlineLevel="0" collapsed="false">
      <c r="D2755" s="0" t="s">
        <v>23</v>
      </c>
      <c r="E2755" s="0" t="s">
        <v>24</v>
      </c>
      <c r="F2755" s="0" t="s">
        <v>25</v>
      </c>
      <c r="G2755" s="0" t="s">
        <v>150</v>
      </c>
      <c r="H2755" s="0" t="s">
        <v>150</v>
      </c>
      <c r="I2755" s="0" t="s">
        <v>36</v>
      </c>
      <c r="J2755" s="0" t="s">
        <v>37</v>
      </c>
      <c r="K2755" s="0" t="s">
        <v>48</v>
      </c>
      <c r="L2755" s="0" t="s">
        <v>49</v>
      </c>
      <c r="M2755" s="0" t="s">
        <v>140</v>
      </c>
      <c r="N2755" s="0" t="n">
        <v>571</v>
      </c>
      <c r="O2755" s="10" t="n">
        <v>0.488269535824656</v>
      </c>
      <c r="P2755" s="10" t="n">
        <v>0.404358610976487</v>
      </c>
      <c r="Q2755" s="0" t="str">
        <f aca="false">SUBSTITUTE(SUBSTITUTE($I2755,CHAR(61),""),CHAR(34),"")</f>
        <v>10-14</v>
      </c>
      <c r="R2755" s="0" t="str">
        <f aca="false">IF($D2755&lt;&gt;"","["&amp;$E2755&amp;"]"&amp;"|"&amp;$Q2755&amp;"|"&amp;$K2755&amp;"|"&amp;$G2755&amp;"|"&amp;IF($G2755="TX_CURR_SUBNAT.R","CY2022Q4",$M2755),"")</f>
        <v>[GkIwZrXy1h2]|10-14|Male|PLHIV_Attend.T_1|CY2023Q3</v>
      </c>
    </row>
    <row r="2756" customFormat="false" ht="15" hidden="false" customHeight="false" outlineLevel="0" collapsed="false">
      <c r="D2756" s="0" t="s">
        <v>23</v>
      </c>
      <c r="E2756" s="0" t="s">
        <v>24</v>
      </c>
      <c r="F2756" s="0" t="s">
        <v>25</v>
      </c>
      <c r="G2756" s="0" t="s">
        <v>150</v>
      </c>
      <c r="H2756" s="0" t="s">
        <v>150</v>
      </c>
      <c r="I2756" s="0" t="s">
        <v>38</v>
      </c>
      <c r="J2756" s="0" t="s">
        <v>39</v>
      </c>
      <c r="K2756" s="0" t="s">
        <v>48</v>
      </c>
      <c r="L2756" s="0" t="s">
        <v>49</v>
      </c>
      <c r="M2756" s="0" t="s">
        <v>140</v>
      </c>
      <c r="N2756" s="0" t="n">
        <v>1456</v>
      </c>
      <c r="O2756" s="10" t="n">
        <v>0.558991744415835</v>
      </c>
      <c r="P2756" s="10" t="n">
        <v>0.404358610976487</v>
      </c>
      <c r="Q2756" s="0" t="str">
        <f aca="false">SUBSTITUTE(SUBSTITUTE($I2756,CHAR(61),""),CHAR(34),"")</f>
        <v>15-24</v>
      </c>
      <c r="R2756" s="0" t="str">
        <f aca="false">IF($D2756&lt;&gt;"","["&amp;$E2756&amp;"]"&amp;"|"&amp;$Q2756&amp;"|"&amp;$K2756&amp;"|"&amp;$G2756&amp;"|"&amp;IF($G2756="TX_CURR_SUBNAT.R","CY2022Q4",$M2756),"")</f>
        <v>[GkIwZrXy1h2]|15-24|Male|PLHIV_Attend.T_1|CY2023Q3</v>
      </c>
    </row>
    <row r="2757" customFormat="false" ht="15" hidden="false" customHeight="false" outlineLevel="0" collapsed="false">
      <c r="D2757" s="0" t="s">
        <v>23</v>
      </c>
      <c r="E2757" s="0" t="s">
        <v>24</v>
      </c>
      <c r="F2757" s="0" t="s">
        <v>25</v>
      </c>
      <c r="G2757" s="0" t="s">
        <v>150</v>
      </c>
      <c r="H2757" s="0" t="s">
        <v>150</v>
      </c>
      <c r="I2757" s="0" t="s">
        <v>41</v>
      </c>
      <c r="J2757" s="0" t="s">
        <v>42</v>
      </c>
      <c r="K2757" s="0" t="s">
        <v>48</v>
      </c>
      <c r="L2757" s="0" t="s">
        <v>49</v>
      </c>
      <c r="M2757" s="0" t="s">
        <v>140</v>
      </c>
      <c r="N2757" s="0" t="n">
        <v>1060</v>
      </c>
      <c r="O2757" s="10" t="n">
        <v>0.78649919689633</v>
      </c>
      <c r="P2757" s="10" t="n">
        <v>0.404358610976487</v>
      </c>
      <c r="Q2757" s="0" t="str">
        <f aca="false">SUBSTITUTE(SUBSTITUTE($I2757,CHAR(61),""),CHAR(34),"")</f>
        <v>25-34</v>
      </c>
      <c r="R2757" s="0" t="str">
        <f aca="false">IF($D2757&lt;&gt;"","["&amp;$E2757&amp;"]"&amp;"|"&amp;$Q2757&amp;"|"&amp;$K2757&amp;"|"&amp;$G2757&amp;"|"&amp;IF($G2757="TX_CURR_SUBNAT.R","CY2022Q4",$M2757),"")</f>
        <v>[GkIwZrXy1h2]|25-34|Male|PLHIV_Attend.T_1|CY2023Q3</v>
      </c>
    </row>
    <row r="2758" customFormat="false" ht="15" hidden="false" customHeight="false" outlineLevel="0" collapsed="false">
      <c r="D2758" s="0" t="s">
        <v>23</v>
      </c>
      <c r="E2758" s="0" t="s">
        <v>24</v>
      </c>
      <c r="F2758" s="0" t="s">
        <v>25</v>
      </c>
      <c r="G2758" s="0" t="s">
        <v>150</v>
      </c>
      <c r="H2758" s="0" t="s">
        <v>150</v>
      </c>
      <c r="I2758" s="0" t="s">
        <v>43</v>
      </c>
      <c r="J2758" s="0" t="s">
        <v>44</v>
      </c>
      <c r="K2758" s="0" t="s">
        <v>48</v>
      </c>
      <c r="L2758" s="0" t="s">
        <v>49</v>
      </c>
      <c r="M2758" s="0" t="s">
        <v>140</v>
      </c>
      <c r="N2758" s="0" t="n">
        <v>1221</v>
      </c>
      <c r="O2758" s="10" t="n">
        <v>0.829957897542045</v>
      </c>
      <c r="P2758" s="10" t="n">
        <v>0.404358610976487</v>
      </c>
      <c r="Q2758" s="0" t="str">
        <f aca="false">SUBSTITUTE(SUBSTITUTE($I2758,CHAR(61),""),CHAR(34),"")</f>
        <v>35-49</v>
      </c>
      <c r="R2758" s="0" t="str">
        <f aca="false">IF($D2758&lt;&gt;"","["&amp;$E2758&amp;"]"&amp;"|"&amp;$Q2758&amp;"|"&amp;$K2758&amp;"|"&amp;$G2758&amp;"|"&amp;IF($G2758="TX_CURR_SUBNAT.R","CY2022Q4",$M2758),"")</f>
        <v>[GkIwZrXy1h2]|35-49|Male|PLHIV_Attend.T_1|CY2023Q3</v>
      </c>
    </row>
    <row r="2759" customFormat="false" ht="15" hidden="false" customHeight="false" outlineLevel="0" collapsed="false">
      <c r="D2759" s="0" t="s">
        <v>23</v>
      </c>
      <c r="E2759" s="0" t="s">
        <v>24</v>
      </c>
      <c r="F2759" s="0" t="s">
        <v>25</v>
      </c>
      <c r="G2759" s="0" t="s">
        <v>150</v>
      </c>
      <c r="H2759" s="0" t="s">
        <v>150</v>
      </c>
      <c r="I2759" s="0" t="s">
        <v>45</v>
      </c>
      <c r="J2759" s="0" t="s">
        <v>46</v>
      </c>
      <c r="K2759" s="0" t="s">
        <v>48</v>
      </c>
      <c r="L2759" s="0" t="s">
        <v>49</v>
      </c>
      <c r="M2759" s="0" t="s">
        <v>140</v>
      </c>
      <c r="N2759" s="0" t="n">
        <v>1375</v>
      </c>
      <c r="O2759" s="10" t="n">
        <v>0.18626409699209</v>
      </c>
      <c r="P2759" s="10" t="n">
        <v>0.404358610976487</v>
      </c>
      <c r="Q2759" s="0" t="str">
        <f aca="false">SUBSTITUTE(SUBSTITUTE($I2759,CHAR(61),""),CHAR(34),"")</f>
        <v>50+</v>
      </c>
      <c r="R2759" s="0" t="str">
        <f aca="false">IF($D2759&lt;&gt;"","["&amp;$E2759&amp;"]"&amp;"|"&amp;$Q2759&amp;"|"&amp;$K2759&amp;"|"&amp;$G2759&amp;"|"&amp;IF($G2759="TX_CURR_SUBNAT.R","CY2022Q4",$M2759),"")</f>
        <v>[GkIwZrXy1h2]|50+|Male|PLHIV_Attend.T_1|CY2023Q3</v>
      </c>
    </row>
    <row r="2760" customFormat="false" ht="15" hidden="false" customHeight="false" outlineLevel="0" collapsed="false">
      <c r="D2760" s="0" t="s">
        <v>53</v>
      </c>
      <c r="E2760" s="0" t="s">
        <v>54</v>
      </c>
      <c r="F2760" s="0" t="s">
        <v>55</v>
      </c>
      <c r="G2760" s="0" t="s">
        <v>150</v>
      </c>
      <c r="H2760" s="0" t="s">
        <v>150</v>
      </c>
      <c r="I2760" s="0" t="s">
        <v>28</v>
      </c>
      <c r="J2760" s="0" t="s">
        <v>29</v>
      </c>
      <c r="K2760" s="0" t="s">
        <v>30</v>
      </c>
      <c r="L2760" s="0" t="s">
        <v>31</v>
      </c>
      <c r="M2760" s="0" t="s">
        <v>140</v>
      </c>
      <c r="N2760" s="0" t="n">
        <v>840</v>
      </c>
      <c r="O2760" s="10" t="n">
        <v>0.416289513930678</v>
      </c>
      <c r="P2760" s="10" t="n">
        <v>0.616392469964921</v>
      </c>
      <c r="Q2760" s="0" t="str">
        <f aca="false">SUBSTITUTE(SUBSTITUTE($I2760,CHAR(61),""),CHAR(34),"")</f>
        <v>&lt;01</v>
      </c>
      <c r="R2760" s="0" t="str">
        <f aca="false">IF($D2760&lt;&gt;"","["&amp;$E2760&amp;"]"&amp;"|"&amp;$Q2760&amp;"|"&amp;$K2760&amp;"|"&amp;$G2760&amp;"|"&amp;IF($G2760="TX_CURR_SUBNAT.R","CY2022Q4",$M2760),"")</f>
        <v>[zphK9WV8JB4]|&lt;01|Female|PLHIV_Attend.T_1|CY2023Q3</v>
      </c>
    </row>
    <row r="2761" customFormat="false" ht="15" hidden="false" customHeight="false" outlineLevel="0" collapsed="false">
      <c r="D2761" s="0" t="s">
        <v>53</v>
      </c>
      <c r="E2761" s="0" t="s">
        <v>54</v>
      </c>
      <c r="F2761" s="0" t="s">
        <v>55</v>
      </c>
      <c r="G2761" s="0" t="s">
        <v>150</v>
      </c>
      <c r="H2761" s="0" t="s">
        <v>150</v>
      </c>
      <c r="I2761" s="0" t="s">
        <v>33</v>
      </c>
      <c r="J2761" s="0" t="s">
        <v>34</v>
      </c>
      <c r="K2761" s="0" t="s">
        <v>30</v>
      </c>
      <c r="L2761" s="0" t="s">
        <v>31</v>
      </c>
      <c r="M2761" s="0" t="s">
        <v>140</v>
      </c>
      <c r="N2761" s="0" t="n">
        <v>1760</v>
      </c>
      <c r="O2761" s="10" t="n">
        <v>0.0943802683614194</v>
      </c>
      <c r="P2761" s="10" t="n">
        <v>0.616392469964921</v>
      </c>
      <c r="Q2761" s="0" t="str">
        <f aca="false">SUBSTITUTE(SUBSTITUTE($I2761,CHAR(61),""),CHAR(34),"")</f>
        <v>01-09</v>
      </c>
      <c r="R2761" s="0" t="str">
        <f aca="false">IF($D2761&lt;&gt;"","["&amp;$E2761&amp;"]"&amp;"|"&amp;$Q2761&amp;"|"&amp;$K2761&amp;"|"&amp;$G2761&amp;"|"&amp;IF($G2761="TX_CURR_SUBNAT.R","CY2022Q4",$M2761),"")</f>
        <v>[zphK9WV8JB4]|01-09|Female|PLHIV_Attend.T_1|CY2023Q3</v>
      </c>
    </row>
    <row r="2762" customFormat="false" ht="15" hidden="false" customHeight="false" outlineLevel="0" collapsed="false">
      <c r="D2762" s="0" t="s">
        <v>53</v>
      </c>
      <c r="E2762" s="0" t="s">
        <v>54</v>
      </c>
      <c r="F2762" s="0" t="s">
        <v>55</v>
      </c>
      <c r="G2762" s="0" t="s">
        <v>150</v>
      </c>
      <c r="H2762" s="0" t="s">
        <v>150</v>
      </c>
      <c r="I2762" s="0" t="s">
        <v>36</v>
      </c>
      <c r="J2762" s="0" t="s">
        <v>37</v>
      </c>
      <c r="K2762" s="0" t="s">
        <v>30</v>
      </c>
      <c r="L2762" s="0" t="s">
        <v>31</v>
      </c>
      <c r="M2762" s="0" t="s">
        <v>140</v>
      </c>
      <c r="N2762" s="0" t="n">
        <v>1407</v>
      </c>
      <c r="O2762" s="10" t="n">
        <v>0.888171485392377</v>
      </c>
      <c r="P2762" s="10" t="n">
        <v>0.616392469964921</v>
      </c>
      <c r="Q2762" s="0" t="str">
        <f aca="false">SUBSTITUTE(SUBSTITUTE($I2762,CHAR(61),""),CHAR(34),"")</f>
        <v>10-14</v>
      </c>
      <c r="R2762" s="0" t="str">
        <f aca="false">IF($D2762&lt;&gt;"","["&amp;$E2762&amp;"]"&amp;"|"&amp;$Q2762&amp;"|"&amp;$K2762&amp;"|"&amp;$G2762&amp;"|"&amp;IF($G2762="TX_CURR_SUBNAT.R","CY2022Q4",$M2762),"")</f>
        <v>[zphK9WV8JB4]|10-14|Female|PLHIV_Attend.T_1|CY2023Q3</v>
      </c>
    </row>
    <row r="2763" customFormat="false" ht="15" hidden="false" customHeight="false" outlineLevel="0" collapsed="false">
      <c r="D2763" s="0" t="s">
        <v>53</v>
      </c>
      <c r="E2763" s="0" t="s">
        <v>54</v>
      </c>
      <c r="F2763" s="0" t="s">
        <v>55</v>
      </c>
      <c r="G2763" s="0" t="s">
        <v>150</v>
      </c>
      <c r="H2763" s="0" t="s">
        <v>150</v>
      </c>
      <c r="I2763" s="0" t="s">
        <v>38</v>
      </c>
      <c r="J2763" s="0" t="s">
        <v>39</v>
      </c>
      <c r="K2763" s="0" t="s">
        <v>30</v>
      </c>
      <c r="L2763" s="0" t="s">
        <v>31</v>
      </c>
      <c r="M2763" s="0" t="s">
        <v>140</v>
      </c>
      <c r="N2763" s="0" t="n">
        <v>1048</v>
      </c>
      <c r="O2763" s="10" t="n">
        <v>0.846671622944996</v>
      </c>
      <c r="P2763" s="10" t="n">
        <v>0.616392469964921</v>
      </c>
      <c r="Q2763" s="0" t="str">
        <f aca="false">SUBSTITUTE(SUBSTITUTE($I2763,CHAR(61),""),CHAR(34),"")</f>
        <v>15-24</v>
      </c>
      <c r="R2763" s="0" t="str">
        <f aca="false">IF($D2763&lt;&gt;"","["&amp;$E2763&amp;"]"&amp;"|"&amp;$Q2763&amp;"|"&amp;$K2763&amp;"|"&amp;$G2763&amp;"|"&amp;IF($G2763="TX_CURR_SUBNAT.R","CY2022Q4",$M2763),"")</f>
        <v>[zphK9WV8JB4]|15-24|Female|PLHIV_Attend.T_1|CY2023Q3</v>
      </c>
    </row>
    <row r="2764" customFormat="false" ht="15" hidden="false" customHeight="false" outlineLevel="0" collapsed="false">
      <c r="D2764" s="0" t="s">
        <v>53</v>
      </c>
      <c r="E2764" s="0" t="s">
        <v>54</v>
      </c>
      <c r="F2764" s="0" t="s">
        <v>55</v>
      </c>
      <c r="G2764" s="0" t="s">
        <v>150</v>
      </c>
      <c r="H2764" s="0" t="s">
        <v>150</v>
      </c>
      <c r="I2764" s="0" t="s">
        <v>41</v>
      </c>
      <c r="J2764" s="0" t="s">
        <v>42</v>
      </c>
      <c r="K2764" s="0" t="s">
        <v>30</v>
      </c>
      <c r="L2764" s="0" t="s">
        <v>31</v>
      </c>
      <c r="M2764" s="0" t="s">
        <v>140</v>
      </c>
      <c r="N2764" s="0" t="n">
        <v>906</v>
      </c>
      <c r="O2764" s="10" t="n">
        <v>0.761777814943343</v>
      </c>
      <c r="P2764" s="10" t="n">
        <v>0.616392469964921</v>
      </c>
      <c r="Q2764" s="0" t="str">
        <f aca="false">SUBSTITUTE(SUBSTITUTE($I2764,CHAR(61),""),CHAR(34),"")</f>
        <v>25-34</v>
      </c>
      <c r="R2764" s="0" t="str">
        <f aca="false">IF($D2764&lt;&gt;"","["&amp;$E2764&amp;"]"&amp;"|"&amp;$Q2764&amp;"|"&amp;$K2764&amp;"|"&amp;$G2764&amp;"|"&amp;IF($G2764="TX_CURR_SUBNAT.R","CY2022Q4",$M2764),"")</f>
        <v>[zphK9WV8JB4]|25-34|Female|PLHIV_Attend.T_1|CY2023Q3</v>
      </c>
    </row>
    <row r="2765" customFormat="false" ht="15" hidden="false" customHeight="false" outlineLevel="0" collapsed="false">
      <c r="D2765" s="0" t="s">
        <v>53</v>
      </c>
      <c r="E2765" s="0" t="s">
        <v>54</v>
      </c>
      <c r="F2765" s="0" t="s">
        <v>55</v>
      </c>
      <c r="G2765" s="0" t="s">
        <v>150</v>
      </c>
      <c r="H2765" s="0" t="s">
        <v>150</v>
      </c>
      <c r="I2765" s="0" t="s">
        <v>43</v>
      </c>
      <c r="J2765" s="0" t="s">
        <v>44</v>
      </c>
      <c r="K2765" s="0" t="s">
        <v>30</v>
      </c>
      <c r="L2765" s="0" t="s">
        <v>31</v>
      </c>
      <c r="M2765" s="0" t="s">
        <v>140</v>
      </c>
      <c r="N2765" s="0" t="n">
        <v>1008</v>
      </c>
      <c r="O2765" s="10" t="n">
        <v>0.737638735678047</v>
      </c>
      <c r="P2765" s="10" t="n">
        <v>0.616392469964921</v>
      </c>
      <c r="Q2765" s="0" t="str">
        <f aca="false">SUBSTITUTE(SUBSTITUTE($I2765,CHAR(61),""),CHAR(34),"")</f>
        <v>35-49</v>
      </c>
      <c r="R2765" s="0" t="str">
        <f aca="false">IF($D2765&lt;&gt;"","["&amp;$E2765&amp;"]"&amp;"|"&amp;$Q2765&amp;"|"&amp;$K2765&amp;"|"&amp;$G2765&amp;"|"&amp;IF($G2765="TX_CURR_SUBNAT.R","CY2022Q4",$M2765),"")</f>
        <v>[zphK9WV8JB4]|35-49|Female|PLHIV_Attend.T_1|CY2023Q3</v>
      </c>
    </row>
    <row r="2766" customFormat="false" ht="15" hidden="false" customHeight="false" outlineLevel="0" collapsed="false">
      <c r="D2766" s="0" t="s">
        <v>53</v>
      </c>
      <c r="E2766" s="0" t="s">
        <v>54</v>
      </c>
      <c r="F2766" s="0" t="s">
        <v>55</v>
      </c>
      <c r="G2766" s="0" t="s">
        <v>150</v>
      </c>
      <c r="H2766" s="0" t="s">
        <v>150</v>
      </c>
      <c r="I2766" s="0" t="s">
        <v>45</v>
      </c>
      <c r="J2766" s="0" t="s">
        <v>46</v>
      </c>
      <c r="K2766" s="0" t="s">
        <v>30</v>
      </c>
      <c r="L2766" s="0" t="s">
        <v>31</v>
      </c>
      <c r="M2766" s="0" t="s">
        <v>140</v>
      </c>
      <c r="N2766" s="0" t="n">
        <v>508</v>
      </c>
      <c r="O2766" s="10" t="n">
        <v>0.878726619528607</v>
      </c>
      <c r="P2766" s="10" t="n">
        <v>0.616392469964921</v>
      </c>
      <c r="Q2766" s="0" t="str">
        <f aca="false">SUBSTITUTE(SUBSTITUTE($I2766,CHAR(61),""),CHAR(34),"")</f>
        <v>50+</v>
      </c>
      <c r="R2766" s="0" t="str">
        <f aca="false">IF($D2766&lt;&gt;"","["&amp;$E2766&amp;"]"&amp;"|"&amp;$Q2766&amp;"|"&amp;$K2766&amp;"|"&amp;$G2766&amp;"|"&amp;IF($G2766="TX_CURR_SUBNAT.R","CY2022Q4",$M2766),"")</f>
        <v>[zphK9WV8JB4]|50+|Female|PLHIV_Attend.T_1|CY2023Q3</v>
      </c>
    </row>
    <row r="2767" customFormat="false" ht="15" hidden="false" customHeight="false" outlineLevel="0" collapsed="false">
      <c r="D2767" s="0" t="s">
        <v>53</v>
      </c>
      <c r="E2767" s="0" t="s">
        <v>54</v>
      </c>
      <c r="F2767" s="0" t="s">
        <v>55</v>
      </c>
      <c r="G2767" s="0" t="s">
        <v>150</v>
      </c>
      <c r="H2767" s="0" t="s">
        <v>150</v>
      </c>
      <c r="I2767" s="0" t="s">
        <v>28</v>
      </c>
      <c r="J2767" s="0" t="s">
        <v>29</v>
      </c>
      <c r="K2767" s="0" t="s">
        <v>48</v>
      </c>
      <c r="L2767" s="0" t="s">
        <v>49</v>
      </c>
      <c r="M2767" s="0" t="s">
        <v>140</v>
      </c>
      <c r="N2767" s="0" t="n">
        <v>616</v>
      </c>
      <c r="O2767" s="10" t="n">
        <v>0.756243159761652</v>
      </c>
      <c r="P2767" s="10" t="n">
        <v>0.616392469964921</v>
      </c>
      <c r="Q2767" s="0" t="str">
        <f aca="false">SUBSTITUTE(SUBSTITUTE($I2767,CHAR(61),""),CHAR(34),"")</f>
        <v>&lt;01</v>
      </c>
      <c r="R2767" s="0" t="str">
        <f aca="false">IF($D2767&lt;&gt;"","["&amp;$E2767&amp;"]"&amp;"|"&amp;$Q2767&amp;"|"&amp;$K2767&amp;"|"&amp;$G2767&amp;"|"&amp;IF($G2767="TX_CURR_SUBNAT.R","CY2022Q4",$M2767),"")</f>
        <v>[zphK9WV8JB4]|&lt;01|Male|PLHIV_Attend.T_1|CY2023Q3</v>
      </c>
    </row>
    <row r="2768" customFormat="false" ht="15" hidden="false" customHeight="false" outlineLevel="0" collapsed="false">
      <c r="D2768" s="0" t="s">
        <v>53</v>
      </c>
      <c r="E2768" s="0" t="s">
        <v>54</v>
      </c>
      <c r="F2768" s="0" t="s">
        <v>55</v>
      </c>
      <c r="G2768" s="0" t="s">
        <v>150</v>
      </c>
      <c r="H2768" s="0" t="s">
        <v>150</v>
      </c>
      <c r="I2768" s="0" t="s">
        <v>33</v>
      </c>
      <c r="J2768" s="0" t="s">
        <v>34</v>
      </c>
      <c r="K2768" s="0" t="s">
        <v>48</v>
      </c>
      <c r="L2768" s="0" t="s">
        <v>49</v>
      </c>
      <c r="M2768" s="0" t="s">
        <v>140</v>
      </c>
      <c r="N2768" s="0" t="n">
        <v>685</v>
      </c>
      <c r="O2768" s="10" t="n">
        <v>0.997589870356023</v>
      </c>
      <c r="P2768" s="10" t="n">
        <v>0.616392469964921</v>
      </c>
      <c r="Q2768" s="0" t="str">
        <f aca="false">SUBSTITUTE(SUBSTITUTE($I2768,CHAR(61),""),CHAR(34),"")</f>
        <v>01-09</v>
      </c>
      <c r="R2768" s="0" t="str">
        <f aca="false">IF($D2768&lt;&gt;"","["&amp;$E2768&amp;"]"&amp;"|"&amp;$Q2768&amp;"|"&amp;$K2768&amp;"|"&amp;$G2768&amp;"|"&amp;IF($G2768="TX_CURR_SUBNAT.R","CY2022Q4",$M2768),"")</f>
        <v>[zphK9WV8JB4]|01-09|Male|PLHIV_Attend.T_1|CY2023Q3</v>
      </c>
    </row>
    <row r="2769" customFormat="false" ht="15" hidden="false" customHeight="false" outlineLevel="0" collapsed="false">
      <c r="D2769" s="0" t="s">
        <v>53</v>
      </c>
      <c r="E2769" s="0" t="s">
        <v>54</v>
      </c>
      <c r="F2769" s="0" t="s">
        <v>55</v>
      </c>
      <c r="G2769" s="0" t="s">
        <v>150</v>
      </c>
      <c r="H2769" s="0" t="s">
        <v>150</v>
      </c>
      <c r="I2769" s="0" t="s">
        <v>36</v>
      </c>
      <c r="J2769" s="0" t="s">
        <v>37</v>
      </c>
      <c r="K2769" s="0" t="s">
        <v>48</v>
      </c>
      <c r="L2769" s="0" t="s">
        <v>49</v>
      </c>
      <c r="M2769" s="0" t="s">
        <v>140</v>
      </c>
      <c r="N2769" s="0" t="n">
        <v>908</v>
      </c>
      <c r="O2769" s="10" t="n">
        <v>0.73806939390488</v>
      </c>
      <c r="P2769" s="10" t="n">
        <v>0.616392469964921</v>
      </c>
      <c r="Q2769" s="0" t="str">
        <f aca="false">SUBSTITUTE(SUBSTITUTE($I2769,CHAR(61),""),CHAR(34),"")</f>
        <v>10-14</v>
      </c>
      <c r="R2769" s="0" t="str">
        <f aca="false">IF($D2769&lt;&gt;"","["&amp;$E2769&amp;"]"&amp;"|"&amp;$Q2769&amp;"|"&amp;$K2769&amp;"|"&amp;$G2769&amp;"|"&amp;IF($G2769="TX_CURR_SUBNAT.R","CY2022Q4",$M2769),"")</f>
        <v>[zphK9WV8JB4]|10-14|Male|PLHIV_Attend.T_1|CY2023Q3</v>
      </c>
    </row>
    <row r="2770" customFormat="false" ht="15" hidden="false" customHeight="false" outlineLevel="0" collapsed="false">
      <c r="D2770" s="0" t="s">
        <v>53</v>
      </c>
      <c r="E2770" s="0" t="s">
        <v>54</v>
      </c>
      <c r="F2770" s="0" t="s">
        <v>55</v>
      </c>
      <c r="G2770" s="0" t="s">
        <v>150</v>
      </c>
      <c r="H2770" s="0" t="s">
        <v>150</v>
      </c>
      <c r="I2770" s="0" t="s">
        <v>38</v>
      </c>
      <c r="J2770" s="0" t="s">
        <v>39</v>
      </c>
      <c r="K2770" s="0" t="s">
        <v>48</v>
      </c>
      <c r="L2770" s="0" t="s">
        <v>49</v>
      </c>
      <c r="M2770" s="0" t="s">
        <v>140</v>
      </c>
      <c r="N2770" s="0" t="n">
        <v>857</v>
      </c>
      <c r="O2770" s="10" t="n">
        <v>0.251466717803851</v>
      </c>
      <c r="P2770" s="10" t="n">
        <v>0.616392469964921</v>
      </c>
      <c r="Q2770" s="0" t="str">
        <f aca="false">SUBSTITUTE(SUBSTITUTE($I2770,CHAR(61),""),CHAR(34),"")</f>
        <v>15-24</v>
      </c>
      <c r="R2770" s="0" t="str">
        <f aca="false">IF($D2770&lt;&gt;"","["&amp;$E2770&amp;"]"&amp;"|"&amp;$Q2770&amp;"|"&amp;$K2770&amp;"|"&amp;$G2770&amp;"|"&amp;IF($G2770="TX_CURR_SUBNAT.R","CY2022Q4",$M2770),"")</f>
        <v>[zphK9WV8JB4]|15-24|Male|PLHIV_Attend.T_1|CY2023Q3</v>
      </c>
    </row>
    <row r="2771" customFormat="false" ht="15" hidden="false" customHeight="false" outlineLevel="0" collapsed="false">
      <c r="D2771" s="0" t="s">
        <v>53</v>
      </c>
      <c r="E2771" s="0" t="s">
        <v>54</v>
      </c>
      <c r="F2771" s="0" t="s">
        <v>55</v>
      </c>
      <c r="G2771" s="0" t="s">
        <v>150</v>
      </c>
      <c r="H2771" s="0" t="s">
        <v>150</v>
      </c>
      <c r="I2771" s="0" t="s">
        <v>41</v>
      </c>
      <c r="J2771" s="0" t="s">
        <v>42</v>
      </c>
      <c r="K2771" s="0" t="s">
        <v>48</v>
      </c>
      <c r="L2771" s="0" t="s">
        <v>49</v>
      </c>
      <c r="M2771" s="0" t="s">
        <v>140</v>
      </c>
      <c r="N2771" s="0" t="n">
        <v>1645</v>
      </c>
      <c r="O2771" s="10" t="n">
        <v>0.612274381099269</v>
      </c>
      <c r="P2771" s="10" t="n">
        <v>0.616392469964921</v>
      </c>
      <c r="Q2771" s="0" t="str">
        <f aca="false">SUBSTITUTE(SUBSTITUTE($I2771,CHAR(61),""),CHAR(34),"")</f>
        <v>25-34</v>
      </c>
      <c r="R2771" s="0" t="str">
        <f aca="false">IF($D2771&lt;&gt;"","["&amp;$E2771&amp;"]"&amp;"|"&amp;$Q2771&amp;"|"&amp;$K2771&amp;"|"&amp;$G2771&amp;"|"&amp;IF($G2771="TX_CURR_SUBNAT.R","CY2022Q4",$M2771),"")</f>
        <v>[zphK9WV8JB4]|25-34|Male|PLHIV_Attend.T_1|CY2023Q3</v>
      </c>
    </row>
    <row r="2772" customFormat="false" ht="15" hidden="false" customHeight="false" outlineLevel="0" collapsed="false">
      <c r="D2772" s="0" t="s">
        <v>53</v>
      </c>
      <c r="E2772" s="0" t="s">
        <v>54</v>
      </c>
      <c r="F2772" s="0" t="s">
        <v>55</v>
      </c>
      <c r="G2772" s="0" t="s">
        <v>150</v>
      </c>
      <c r="H2772" s="0" t="s">
        <v>150</v>
      </c>
      <c r="I2772" s="0" t="s">
        <v>43</v>
      </c>
      <c r="J2772" s="0" t="s">
        <v>44</v>
      </c>
      <c r="K2772" s="0" t="s">
        <v>48</v>
      </c>
      <c r="L2772" s="0" t="s">
        <v>49</v>
      </c>
      <c r="M2772" s="0" t="s">
        <v>140</v>
      </c>
      <c r="N2772" s="0" t="n">
        <v>619</v>
      </c>
      <c r="O2772" s="10" t="n">
        <v>0.107228272361681</v>
      </c>
      <c r="P2772" s="10" t="n">
        <v>0.616392469964921</v>
      </c>
      <c r="Q2772" s="0" t="str">
        <f aca="false">SUBSTITUTE(SUBSTITUTE($I2772,CHAR(61),""),CHAR(34),"")</f>
        <v>35-49</v>
      </c>
      <c r="R2772" s="0" t="str">
        <f aca="false">IF($D2772&lt;&gt;"","["&amp;$E2772&amp;"]"&amp;"|"&amp;$Q2772&amp;"|"&amp;$K2772&amp;"|"&amp;$G2772&amp;"|"&amp;IF($G2772="TX_CURR_SUBNAT.R","CY2022Q4",$M2772),"")</f>
        <v>[zphK9WV8JB4]|35-49|Male|PLHIV_Attend.T_1|CY2023Q3</v>
      </c>
    </row>
    <row r="2773" customFormat="false" ht="15" hidden="false" customHeight="false" outlineLevel="0" collapsed="false">
      <c r="D2773" s="0" t="s">
        <v>53</v>
      </c>
      <c r="E2773" s="0" t="s">
        <v>54</v>
      </c>
      <c r="F2773" s="0" t="s">
        <v>55</v>
      </c>
      <c r="G2773" s="0" t="s">
        <v>150</v>
      </c>
      <c r="H2773" s="0" t="s">
        <v>150</v>
      </c>
      <c r="I2773" s="0" t="s">
        <v>45</v>
      </c>
      <c r="J2773" s="0" t="s">
        <v>46</v>
      </c>
      <c r="K2773" s="0" t="s">
        <v>48</v>
      </c>
      <c r="L2773" s="0" t="s">
        <v>49</v>
      </c>
      <c r="M2773" s="0" t="s">
        <v>140</v>
      </c>
      <c r="N2773" s="0" t="n">
        <v>1083</v>
      </c>
      <c r="O2773" s="10" t="n">
        <v>0.733400553232059</v>
      </c>
      <c r="P2773" s="10" t="n">
        <v>0.616392469964921</v>
      </c>
      <c r="Q2773" s="0" t="str">
        <f aca="false">SUBSTITUTE(SUBSTITUTE($I2773,CHAR(61),""),CHAR(34),"")</f>
        <v>50+</v>
      </c>
      <c r="R2773" s="0" t="str">
        <f aca="false">IF($D2773&lt;&gt;"","["&amp;$E2773&amp;"]"&amp;"|"&amp;$Q2773&amp;"|"&amp;$K2773&amp;"|"&amp;$G2773&amp;"|"&amp;IF($G2773="TX_CURR_SUBNAT.R","CY2022Q4",$M2773),"")</f>
        <v>[zphK9WV8JB4]|50+|Male|PLHIV_Attend.T_1|CY2023Q3</v>
      </c>
    </row>
    <row r="2774" customFormat="false" ht="15" hidden="false" customHeight="false" outlineLevel="0" collapsed="false">
      <c r="D2774" s="0" t="s">
        <v>60</v>
      </c>
      <c r="E2774" s="0" t="s">
        <v>61</v>
      </c>
      <c r="F2774" s="0" t="s">
        <v>62</v>
      </c>
      <c r="G2774" s="0" t="s">
        <v>150</v>
      </c>
      <c r="H2774" s="0" t="s">
        <v>150</v>
      </c>
      <c r="I2774" s="0" t="s">
        <v>28</v>
      </c>
      <c r="J2774" s="0" t="s">
        <v>29</v>
      </c>
      <c r="K2774" s="0" t="s">
        <v>30</v>
      </c>
      <c r="L2774" s="0" t="s">
        <v>31</v>
      </c>
      <c r="M2774" s="0" t="s">
        <v>140</v>
      </c>
      <c r="N2774" s="0" t="n">
        <v>1327</v>
      </c>
      <c r="O2774" s="10" t="n">
        <v>0.845017904182896</v>
      </c>
      <c r="P2774" s="10" t="n">
        <v>0.0268250561784953</v>
      </c>
      <c r="Q2774" s="0" t="str">
        <f aca="false">SUBSTITUTE(SUBSTITUTE($I2774,CHAR(61),""),CHAR(34),"")</f>
        <v>&lt;01</v>
      </c>
      <c r="R2774" s="0" t="str">
        <f aca="false">IF($D2774&lt;&gt;"","["&amp;$E2774&amp;"]"&amp;"|"&amp;$Q2774&amp;"|"&amp;$K2774&amp;"|"&amp;$G2774&amp;"|"&amp;IF($G2774="TX_CURR_SUBNAT.R","CY2022Q4",$M2774),"")</f>
        <v>[msW2zpIN7up]|&lt;01|Female|PLHIV_Attend.T_1|CY2023Q3</v>
      </c>
    </row>
    <row r="2775" customFormat="false" ht="15" hidden="false" customHeight="false" outlineLevel="0" collapsed="false">
      <c r="D2775" s="0" t="s">
        <v>60</v>
      </c>
      <c r="E2775" s="0" t="s">
        <v>61</v>
      </c>
      <c r="F2775" s="0" t="s">
        <v>62</v>
      </c>
      <c r="G2775" s="0" t="s">
        <v>150</v>
      </c>
      <c r="H2775" s="0" t="s">
        <v>150</v>
      </c>
      <c r="I2775" s="0" t="s">
        <v>33</v>
      </c>
      <c r="J2775" s="0" t="s">
        <v>34</v>
      </c>
      <c r="K2775" s="0" t="s">
        <v>30</v>
      </c>
      <c r="L2775" s="0" t="s">
        <v>31</v>
      </c>
      <c r="M2775" s="0" t="s">
        <v>140</v>
      </c>
      <c r="N2775" s="0" t="n">
        <v>1279</v>
      </c>
      <c r="O2775" s="10" t="n">
        <v>0.932369995396584</v>
      </c>
      <c r="P2775" s="10" t="n">
        <v>0.0268250561784953</v>
      </c>
      <c r="Q2775" s="0" t="str">
        <f aca="false">SUBSTITUTE(SUBSTITUTE($I2775,CHAR(61),""),CHAR(34),"")</f>
        <v>01-09</v>
      </c>
      <c r="R2775" s="0" t="str">
        <f aca="false">IF($D2775&lt;&gt;"","["&amp;$E2775&amp;"]"&amp;"|"&amp;$Q2775&amp;"|"&amp;$K2775&amp;"|"&amp;$G2775&amp;"|"&amp;IF($G2775="TX_CURR_SUBNAT.R","CY2022Q4",$M2775),"")</f>
        <v>[msW2zpIN7up]|01-09|Female|PLHIV_Attend.T_1|CY2023Q3</v>
      </c>
    </row>
    <row r="2776" customFormat="false" ht="15" hidden="false" customHeight="false" outlineLevel="0" collapsed="false">
      <c r="D2776" s="0" t="s">
        <v>60</v>
      </c>
      <c r="E2776" s="0" t="s">
        <v>61</v>
      </c>
      <c r="F2776" s="0" t="s">
        <v>62</v>
      </c>
      <c r="G2776" s="0" t="s">
        <v>150</v>
      </c>
      <c r="H2776" s="0" t="s">
        <v>150</v>
      </c>
      <c r="I2776" s="0" t="s">
        <v>36</v>
      </c>
      <c r="J2776" s="0" t="s">
        <v>37</v>
      </c>
      <c r="K2776" s="0" t="s">
        <v>30</v>
      </c>
      <c r="L2776" s="0" t="s">
        <v>31</v>
      </c>
      <c r="M2776" s="0" t="s">
        <v>140</v>
      </c>
      <c r="N2776" s="0" t="n">
        <v>1006</v>
      </c>
      <c r="O2776" s="10" t="n">
        <v>0.312989819096401</v>
      </c>
      <c r="P2776" s="10" t="n">
        <v>0.0268250561784953</v>
      </c>
      <c r="Q2776" s="0" t="str">
        <f aca="false">SUBSTITUTE(SUBSTITUTE($I2776,CHAR(61),""),CHAR(34),"")</f>
        <v>10-14</v>
      </c>
      <c r="R2776" s="0" t="str">
        <f aca="false">IF($D2776&lt;&gt;"","["&amp;$E2776&amp;"]"&amp;"|"&amp;$Q2776&amp;"|"&amp;$K2776&amp;"|"&amp;$G2776&amp;"|"&amp;IF($G2776="TX_CURR_SUBNAT.R","CY2022Q4",$M2776),"")</f>
        <v>[msW2zpIN7up]|10-14|Female|PLHIV_Attend.T_1|CY2023Q3</v>
      </c>
    </row>
    <row r="2777" customFormat="false" ht="15" hidden="false" customHeight="false" outlineLevel="0" collapsed="false">
      <c r="D2777" s="0" t="s">
        <v>60</v>
      </c>
      <c r="E2777" s="0" t="s">
        <v>61</v>
      </c>
      <c r="F2777" s="0" t="s">
        <v>62</v>
      </c>
      <c r="G2777" s="0" t="s">
        <v>150</v>
      </c>
      <c r="H2777" s="0" t="s">
        <v>150</v>
      </c>
      <c r="I2777" s="0" t="s">
        <v>38</v>
      </c>
      <c r="J2777" s="0" t="s">
        <v>39</v>
      </c>
      <c r="K2777" s="0" t="s">
        <v>30</v>
      </c>
      <c r="L2777" s="0" t="s">
        <v>31</v>
      </c>
      <c r="M2777" s="0" t="s">
        <v>140</v>
      </c>
      <c r="N2777" s="0" t="n">
        <v>1797</v>
      </c>
      <c r="O2777" s="10" t="n">
        <v>0.538792819250375</v>
      </c>
      <c r="P2777" s="10" t="n">
        <v>0.0268250561784953</v>
      </c>
      <c r="Q2777" s="0" t="str">
        <f aca="false">SUBSTITUTE(SUBSTITUTE($I2777,CHAR(61),""),CHAR(34),"")</f>
        <v>15-24</v>
      </c>
      <c r="R2777" s="0" t="str">
        <f aca="false">IF($D2777&lt;&gt;"","["&amp;$E2777&amp;"]"&amp;"|"&amp;$Q2777&amp;"|"&amp;$K2777&amp;"|"&amp;$G2777&amp;"|"&amp;IF($G2777="TX_CURR_SUBNAT.R","CY2022Q4",$M2777),"")</f>
        <v>[msW2zpIN7up]|15-24|Female|PLHIV_Attend.T_1|CY2023Q3</v>
      </c>
    </row>
    <row r="2778" customFormat="false" ht="15" hidden="false" customHeight="false" outlineLevel="0" collapsed="false">
      <c r="D2778" s="0" t="s">
        <v>60</v>
      </c>
      <c r="E2778" s="0" t="s">
        <v>61</v>
      </c>
      <c r="F2778" s="0" t="s">
        <v>62</v>
      </c>
      <c r="G2778" s="0" t="s">
        <v>150</v>
      </c>
      <c r="H2778" s="0" t="s">
        <v>150</v>
      </c>
      <c r="I2778" s="0" t="s">
        <v>41</v>
      </c>
      <c r="J2778" s="0" t="s">
        <v>42</v>
      </c>
      <c r="K2778" s="0" t="s">
        <v>30</v>
      </c>
      <c r="L2778" s="0" t="s">
        <v>31</v>
      </c>
      <c r="M2778" s="0" t="s">
        <v>140</v>
      </c>
      <c r="N2778" s="0" t="n">
        <v>1655</v>
      </c>
      <c r="O2778" s="10" t="n">
        <v>0.159010421019047</v>
      </c>
      <c r="P2778" s="10" t="n">
        <v>0.0268250561784953</v>
      </c>
      <c r="Q2778" s="0" t="str">
        <f aca="false">SUBSTITUTE(SUBSTITUTE($I2778,CHAR(61),""),CHAR(34),"")</f>
        <v>25-34</v>
      </c>
      <c r="R2778" s="0" t="str">
        <f aca="false">IF($D2778&lt;&gt;"","["&amp;$E2778&amp;"]"&amp;"|"&amp;$Q2778&amp;"|"&amp;$K2778&amp;"|"&amp;$G2778&amp;"|"&amp;IF($G2778="TX_CURR_SUBNAT.R","CY2022Q4",$M2778),"")</f>
        <v>[msW2zpIN7up]|25-34|Female|PLHIV_Attend.T_1|CY2023Q3</v>
      </c>
    </row>
    <row r="2779" customFormat="false" ht="15" hidden="false" customHeight="false" outlineLevel="0" collapsed="false">
      <c r="D2779" s="0" t="s">
        <v>60</v>
      </c>
      <c r="E2779" s="0" t="s">
        <v>61</v>
      </c>
      <c r="F2779" s="0" t="s">
        <v>62</v>
      </c>
      <c r="G2779" s="0" t="s">
        <v>150</v>
      </c>
      <c r="H2779" s="0" t="s">
        <v>150</v>
      </c>
      <c r="I2779" s="0" t="s">
        <v>43</v>
      </c>
      <c r="J2779" s="0" t="s">
        <v>44</v>
      </c>
      <c r="K2779" s="0" t="s">
        <v>30</v>
      </c>
      <c r="L2779" s="0" t="s">
        <v>31</v>
      </c>
      <c r="M2779" s="0" t="s">
        <v>140</v>
      </c>
      <c r="N2779" s="0" t="n">
        <v>1952</v>
      </c>
      <c r="O2779" s="10" t="n">
        <v>0.853296432644129</v>
      </c>
      <c r="P2779" s="10" t="n">
        <v>0.0268250561784953</v>
      </c>
      <c r="Q2779" s="0" t="str">
        <f aca="false">SUBSTITUTE(SUBSTITUTE($I2779,CHAR(61),""),CHAR(34),"")</f>
        <v>35-49</v>
      </c>
      <c r="R2779" s="0" t="str">
        <f aca="false">IF($D2779&lt;&gt;"","["&amp;$E2779&amp;"]"&amp;"|"&amp;$Q2779&amp;"|"&amp;$K2779&amp;"|"&amp;$G2779&amp;"|"&amp;IF($G2779="TX_CURR_SUBNAT.R","CY2022Q4",$M2779),"")</f>
        <v>[msW2zpIN7up]|35-49|Female|PLHIV_Attend.T_1|CY2023Q3</v>
      </c>
    </row>
    <row r="2780" customFormat="false" ht="15" hidden="false" customHeight="false" outlineLevel="0" collapsed="false">
      <c r="D2780" s="0" t="s">
        <v>60</v>
      </c>
      <c r="E2780" s="0" t="s">
        <v>61</v>
      </c>
      <c r="F2780" s="0" t="s">
        <v>62</v>
      </c>
      <c r="G2780" s="0" t="s">
        <v>150</v>
      </c>
      <c r="H2780" s="0" t="s">
        <v>150</v>
      </c>
      <c r="I2780" s="0" t="s">
        <v>45</v>
      </c>
      <c r="J2780" s="0" t="s">
        <v>46</v>
      </c>
      <c r="K2780" s="0" t="s">
        <v>30</v>
      </c>
      <c r="L2780" s="0" t="s">
        <v>31</v>
      </c>
      <c r="M2780" s="0" t="s">
        <v>140</v>
      </c>
      <c r="N2780" s="0" t="n">
        <v>1696</v>
      </c>
      <c r="O2780" s="10" t="n">
        <v>0.661425452912226</v>
      </c>
      <c r="P2780" s="10" t="n">
        <v>0.0268250561784953</v>
      </c>
      <c r="Q2780" s="0" t="str">
        <f aca="false">SUBSTITUTE(SUBSTITUTE($I2780,CHAR(61),""),CHAR(34),"")</f>
        <v>50+</v>
      </c>
      <c r="R2780" s="0" t="str">
        <f aca="false">IF($D2780&lt;&gt;"","["&amp;$E2780&amp;"]"&amp;"|"&amp;$Q2780&amp;"|"&amp;$K2780&amp;"|"&amp;$G2780&amp;"|"&amp;IF($G2780="TX_CURR_SUBNAT.R","CY2022Q4",$M2780),"")</f>
        <v>[msW2zpIN7up]|50+|Female|PLHIV_Attend.T_1|CY2023Q3</v>
      </c>
    </row>
    <row r="2781" customFormat="false" ht="15" hidden="false" customHeight="false" outlineLevel="0" collapsed="false">
      <c r="D2781" s="0" t="s">
        <v>60</v>
      </c>
      <c r="E2781" s="0" t="s">
        <v>61</v>
      </c>
      <c r="F2781" s="0" t="s">
        <v>62</v>
      </c>
      <c r="G2781" s="0" t="s">
        <v>150</v>
      </c>
      <c r="H2781" s="0" t="s">
        <v>150</v>
      </c>
      <c r="I2781" s="0" t="s">
        <v>28</v>
      </c>
      <c r="J2781" s="0" t="s">
        <v>29</v>
      </c>
      <c r="K2781" s="0" t="s">
        <v>48</v>
      </c>
      <c r="L2781" s="0" t="s">
        <v>49</v>
      </c>
      <c r="M2781" s="0" t="s">
        <v>140</v>
      </c>
      <c r="N2781" s="0" t="n">
        <v>1491</v>
      </c>
      <c r="O2781" s="10" t="n">
        <v>0.165273483144119</v>
      </c>
      <c r="P2781" s="10" t="n">
        <v>0.0268250561784953</v>
      </c>
      <c r="Q2781" s="0" t="str">
        <f aca="false">SUBSTITUTE(SUBSTITUTE($I2781,CHAR(61),""),CHAR(34),"")</f>
        <v>&lt;01</v>
      </c>
      <c r="R2781" s="0" t="str">
        <f aca="false">IF($D2781&lt;&gt;"","["&amp;$E2781&amp;"]"&amp;"|"&amp;$Q2781&amp;"|"&amp;$K2781&amp;"|"&amp;$G2781&amp;"|"&amp;IF($G2781="TX_CURR_SUBNAT.R","CY2022Q4",$M2781),"")</f>
        <v>[msW2zpIN7up]|&lt;01|Male|PLHIV_Attend.T_1|CY2023Q3</v>
      </c>
    </row>
    <row r="2782" customFormat="false" ht="15" hidden="false" customHeight="false" outlineLevel="0" collapsed="false">
      <c r="D2782" s="0" t="s">
        <v>60</v>
      </c>
      <c r="E2782" s="0" t="s">
        <v>61</v>
      </c>
      <c r="F2782" s="0" t="s">
        <v>62</v>
      </c>
      <c r="G2782" s="0" t="s">
        <v>150</v>
      </c>
      <c r="H2782" s="0" t="s">
        <v>150</v>
      </c>
      <c r="I2782" s="0" t="s">
        <v>33</v>
      </c>
      <c r="J2782" s="0" t="s">
        <v>34</v>
      </c>
      <c r="K2782" s="0" t="s">
        <v>48</v>
      </c>
      <c r="L2782" s="0" t="s">
        <v>49</v>
      </c>
      <c r="M2782" s="0" t="s">
        <v>140</v>
      </c>
      <c r="N2782" s="0" t="n">
        <v>762</v>
      </c>
      <c r="O2782" s="10" t="n">
        <v>0.0490853539668024</v>
      </c>
      <c r="P2782" s="10" t="n">
        <v>0.0268250561784953</v>
      </c>
      <c r="Q2782" s="0" t="str">
        <f aca="false">SUBSTITUTE(SUBSTITUTE($I2782,CHAR(61),""),CHAR(34),"")</f>
        <v>01-09</v>
      </c>
      <c r="R2782" s="0" t="str">
        <f aca="false">IF($D2782&lt;&gt;"","["&amp;$E2782&amp;"]"&amp;"|"&amp;$Q2782&amp;"|"&amp;$K2782&amp;"|"&amp;$G2782&amp;"|"&amp;IF($G2782="TX_CURR_SUBNAT.R","CY2022Q4",$M2782),"")</f>
        <v>[msW2zpIN7up]|01-09|Male|PLHIV_Attend.T_1|CY2023Q3</v>
      </c>
    </row>
    <row r="2783" customFormat="false" ht="15" hidden="false" customHeight="false" outlineLevel="0" collapsed="false">
      <c r="D2783" s="0" t="s">
        <v>60</v>
      </c>
      <c r="E2783" s="0" t="s">
        <v>61</v>
      </c>
      <c r="F2783" s="0" t="s">
        <v>62</v>
      </c>
      <c r="G2783" s="0" t="s">
        <v>150</v>
      </c>
      <c r="H2783" s="0" t="s">
        <v>150</v>
      </c>
      <c r="I2783" s="0" t="s">
        <v>36</v>
      </c>
      <c r="J2783" s="0" t="s">
        <v>37</v>
      </c>
      <c r="K2783" s="0" t="s">
        <v>48</v>
      </c>
      <c r="L2783" s="0" t="s">
        <v>49</v>
      </c>
      <c r="M2783" s="0" t="s">
        <v>140</v>
      </c>
      <c r="N2783" s="0" t="n">
        <v>1494</v>
      </c>
      <c r="O2783" s="10" t="n">
        <v>0.316632367670536</v>
      </c>
      <c r="P2783" s="10" t="n">
        <v>0.0268250561784953</v>
      </c>
      <c r="Q2783" s="0" t="str">
        <f aca="false">SUBSTITUTE(SUBSTITUTE($I2783,CHAR(61),""),CHAR(34),"")</f>
        <v>10-14</v>
      </c>
      <c r="R2783" s="0" t="str">
        <f aca="false">IF($D2783&lt;&gt;"","["&amp;$E2783&amp;"]"&amp;"|"&amp;$Q2783&amp;"|"&amp;$K2783&amp;"|"&amp;$G2783&amp;"|"&amp;IF($G2783="TX_CURR_SUBNAT.R","CY2022Q4",$M2783),"")</f>
        <v>[msW2zpIN7up]|10-14|Male|PLHIV_Attend.T_1|CY2023Q3</v>
      </c>
    </row>
    <row r="2784" customFormat="false" ht="15" hidden="false" customHeight="false" outlineLevel="0" collapsed="false">
      <c r="D2784" s="0" t="s">
        <v>60</v>
      </c>
      <c r="E2784" s="0" t="s">
        <v>61</v>
      </c>
      <c r="F2784" s="0" t="s">
        <v>62</v>
      </c>
      <c r="G2784" s="0" t="s">
        <v>150</v>
      </c>
      <c r="H2784" s="0" t="s">
        <v>150</v>
      </c>
      <c r="I2784" s="0" t="s">
        <v>38</v>
      </c>
      <c r="J2784" s="0" t="s">
        <v>39</v>
      </c>
      <c r="K2784" s="0" t="s">
        <v>48</v>
      </c>
      <c r="L2784" s="0" t="s">
        <v>49</v>
      </c>
      <c r="M2784" s="0" t="s">
        <v>140</v>
      </c>
      <c r="N2784" s="0" t="n">
        <v>1156</v>
      </c>
      <c r="O2784" s="10" t="n">
        <v>0.400506712729111</v>
      </c>
      <c r="P2784" s="10" t="n">
        <v>0.0268250561784953</v>
      </c>
      <c r="Q2784" s="0" t="str">
        <f aca="false">SUBSTITUTE(SUBSTITUTE($I2784,CHAR(61),""),CHAR(34),"")</f>
        <v>15-24</v>
      </c>
      <c r="R2784" s="0" t="str">
        <f aca="false">IF($D2784&lt;&gt;"","["&amp;$E2784&amp;"]"&amp;"|"&amp;$Q2784&amp;"|"&amp;$K2784&amp;"|"&amp;$G2784&amp;"|"&amp;IF($G2784="TX_CURR_SUBNAT.R","CY2022Q4",$M2784),"")</f>
        <v>[msW2zpIN7up]|15-24|Male|PLHIV_Attend.T_1|CY2023Q3</v>
      </c>
    </row>
    <row r="2785" customFormat="false" ht="15" hidden="false" customHeight="false" outlineLevel="0" collapsed="false">
      <c r="D2785" s="0" t="s">
        <v>60</v>
      </c>
      <c r="E2785" s="0" t="s">
        <v>61</v>
      </c>
      <c r="F2785" s="0" t="s">
        <v>62</v>
      </c>
      <c r="G2785" s="0" t="s">
        <v>150</v>
      </c>
      <c r="H2785" s="0" t="s">
        <v>150</v>
      </c>
      <c r="I2785" s="0" t="s">
        <v>41</v>
      </c>
      <c r="J2785" s="0" t="s">
        <v>42</v>
      </c>
      <c r="K2785" s="0" t="s">
        <v>48</v>
      </c>
      <c r="L2785" s="0" t="s">
        <v>49</v>
      </c>
      <c r="M2785" s="0" t="s">
        <v>140</v>
      </c>
      <c r="N2785" s="0" t="n">
        <v>1258</v>
      </c>
      <c r="O2785" s="10" t="n">
        <v>0.906285253353417</v>
      </c>
      <c r="P2785" s="10" t="n">
        <v>0.0268250561784953</v>
      </c>
      <c r="Q2785" s="0" t="str">
        <f aca="false">SUBSTITUTE(SUBSTITUTE($I2785,CHAR(61),""),CHAR(34),"")</f>
        <v>25-34</v>
      </c>
      <c r="R2785" s="0" t="str">
        <f aca="false">IF($D2785&lt;&gt;"","["&amp;$E2785&amp;"]"&amp;"|"&amp;$Q2785&amp;"|"&amp;$K2785&amp;"|"&amp;$G2785&amp;"|"&amp;IF($G2785="TX_CURR_SUBNAT.R","CY2022Q4",$M2785),"")</f>
        <v>[msW2zpIN7up]|25-34|Male|PLHIV_Attend.T_1|CY2023Q3</v>
      </c>
    </row>
    <row r="2786" customFormat="false" ht="15" hidden="false" customHeight="false" outlineLevel="0" collapsed="false">
      <c r="D2786" s="0" t="s">
        <v>60</v>
      </c>
      <c r="E2786" s="0" t="s">
        <v>61</v>
      </c>
      <c r="F2786" s="0" t="s">
        <v>62</v>
      </c>
      <c r="G2786" s="0" t="s">
        <v>150</v>
      </c>
      <c r="H2786" s="0" t="s">
        <v>150</v>
      </c>
      <c r="I2786" s="0" t="s">
        <v>43</v>
      </c>
      <c r="J2786" s="0" t="s">
        <v>44</v>
      </c>
      <c r="K2786" s="0" t="s">
        <v>48</v>
      </c>
      <c r="L2786" s="0" t="s">
        <v>49</v>
      </c>
      <c r="M2786" s="0" t="s">
        <v>140</v>
      </c>
      <c r="N2786" s="0" t="n">
        <v>1630</v>
      </c>
      <c r="O2786" s="10" t="n">
        <v>0.257379052694887</v>
      </c>
      <c r="P2786" s="10" t="n">
        <v>0.0268250561784953</v>
      </c>
      <c r="Q2786" s="0" t="str">
        <f aca="false">SUBSTITUTE(SUBSTITUTE($I2786,CHAR(61),""),CHAR(34),"")</f>
        <v>35-49</v>
      </c>
      <c r="R2786" s="0" t="str">
        <f aca="false">IF($D2786&lt;&gt;"","["&amp;$E2786&amp;"]"&amp;"|"&amp;$Q2786&amp;"|"&amp;$K2786&amp;"|"&amp;$G2786&amp;"|"&amp;IF($G2786="TX_CURR_SUBNAT.R","CY2022Q4",$M2786),"")</f>
        <v>[msW2zpIN7up]|35-49|Male|PLHIV_Attend.T_1|CY2023Q3</v>
      </c>
    </row>
    <row r="2787" customFormat="false" ht="15" hidden="false" customHeight="false" outlineLevel="0" collapsed="false">
      <c r="D2787" s="0" t="s">
        <v>60</v>
      </c>
      <c r="E2787" s="0" t="s">
        <v>61</v>
      </c>
      <c r="F2787" s="0" t="s">
        <v>62</v>
      </c>
      <c r="G2787" s="0" t="s">
        <v>150</v>
      </c>
      <c r="H2787" s="0" t="s">
        <v>150</v>
      </c>
      <c r="I2787" s="0" t="s">
        <v>45</v>
      </c>
      <c r="J2787" s="0" t="s">
        <v>46</v>
      </c>
      <c r="K2787" s="0" t="s">
        <v>48</v>
      </c>
      <c r="L2787" s="0" t="s">
        <v>49</v>
      </c>
      <c r="M2787" s="0" t="s">
        <v>140</v>
      </c>
      <c r="N2787" s="0" t="n">
        <v>1479</v>
      </c>
      <c r="O2787" s="10" t="n">
        <v>0.497182911727577</v>
      </c>
      <c r="P2787" s="10" t="n">
        <v>0.0268250561784953</v>
      </c>
      <c r="Q2787" s="0" t="str">
        <f aca="false">SUBSTITUTE(SUBSTITUTE($I2787,CHAR(61),""),CHAR(34),"")</f>
        <v>50+</v>
      </c>
      <c r="R2787" s="0" t="str">
        <f aca="false">IF($D2787&lt;&gt;"","["&amp;$E2787&amp;"]"&amp;"|"&amp;$Q2787&amp;"|"&amp;$K2787&amp;"|"&amp;$G2787&amp;"|"&amp;IF($G2787="TX_CURR_SUBNAT.R","CY2022Q4",$M2787),"")</f>
        <v>[msW2zpIN7up]|50+|Male|PLHIV_Attend.T_1|CY2023Q3</v>
      </c>
    </row>
    <row r="2788" customFormat="false" ht="15" hidden="false" customHeight="false" outlineLevel="0" collapsed="false">
      <c r="D2788" s="0" t="s">
        <v>63</v>
      </c>
      <c r="E2788" s="0" t="s">
        <v>64</v>
      </c>
      <c r="F2788" s="0" t="s">
        <v>65</v>
      </c>
      <c r="G2788" s="0" t="s">
        <v>150</v>
      </c>
      <c r="H2788" s="0" t="s">
        <v>150</v>
      </c>
      <c r="I2788" s="0" t="s">
        <v>28</v>
      </c>
      <c r="J2788" s="0" t="s">
        <v>29</v>
      </c>
      <c r="K2788" s="0" t="s">
        <v>30</v>
      </c>
      <c r="L2788" s="0" t="s">
        <v>31</v>
      </c>
      <c r="M2788" s="0" t="s">
        <v>140</v>
      </c>
      <c r="N2788" s="0" t="n">
        <v>801</v>
      </c>
      <c r="O2788" s="10" t="n">
        <v>0.722060631494969</v>
      </c>
      <c r="P2788" s="10" t="n">
        <v>0.790102193132043</v>
      </c>
      <c r="Q2788" s="0" t="str">
        <f aca="false">SUBSTITUTE(SUBSTITUTE($I2788,CHAR(61),""),CHAR(34),"")</f>
        <v>&lt;01</v>
      </c>
      <c r="R2788" s="0" t="str">
        <f aca="false">IF($D2788&lt;&gt;"","["&amp;$E2788&amp;"]"&amp;"|"&amp;$Q2788&amp;"|"&amp;$K2788&amp;"|"&amp;$G2788&amp;"|"&amp;IF($G2788="TX_CURR_SUBNAT.R","CY2022Q4",$M2788),"")</f>
        <v>[kxuuIFpOXyO]|&lt;01|Female|PLHIV_Attend.T_1|CY2023Q3</v>
      </c>
    </row>
    <row r="2789" customFormat="false" ht="15" hidden="false" customHeight="false" outlineLevel="0" collapsed="false">
      <c r="D2789" s="0" t="s">
        <v>63</v>
      </c>
      <c r="E2789" s="0" t="s">
        <v>64</v>
      </c>
      <c r="F2789" s="0" t="s">
        <v>65</v>
      </c>
      <c r="G2789" s="0" t="s">
        <v>150</v>
      </c>
      <c r="H2789" s="0" t="s">
        <v>150</v>
      </c>
      <c r="I2789" s="0" t="s">
        <v>33</v>
      </c>
      <c r="J2789" s="0" t="s">
        <v>34</v>
      </c>
      <c r="K2789" s="0" t="s">
        <v>30</v>
      </c>
      <c r="L2789" s="0" t="s">
        <v>31</v>
      </c>
      <c r="M2789" s="0" t="s">
        <v>140</v>
      </c>
      <c r="N2789" s="0" t="n">
        <v>1363</v>
      </c>
      <c r="O2789" s="10" t="n">
        <v>0.0264199164230376</v>
      </c>
      <c r="P2789" s="10" t="n">
        <v>0.790102193132043</v>
      </c>
      <c r="Q2789" s="0" t="str">
        <f aca="false">SUBSTITUTE(SUBSTITUTE($I2789,CHAR(61),""),CHAR(34),"")</f>
        <v>01-09</v>
      </c>
      <c r="R2789" s="0" t="str">
        <f aca="false">IF($D2789&lt;&gt;"","["&amp;$E2789&amp;"]"&amp;"|"&amp;$Q2789&amp;"|"&amp;$K2789&amp;"|"&amp;$G2789&amp;"|"&amp;IF($G2789="TX_CURR_SUBNAT.R","CY2022Q4",$M2789),"")</f>
        <v>[kxuuIFpOXyO]|01-09|Female|PLHIV_Attend.T_1|CY2023Q3</v>
      </c>
    </row>
    <row r="2790" customFormat="false" ht="15" hidden="false" customHeight="false" outlineLevel="0" collapsed="false">
      <c r="D2790" s="0" t="s">
        <v>63</v>
      </c>
      <c r="E2790" s="0" t="s">
        <v>64</v>
      </c>
      <c r="F2790" s="0" t="s">
        <v>65</v>
      </c>
      <c r="G2790" s="0" t="s">
        <v>150</v>
      </c>
      <c r="H2790" s="0" t="s">
        <v>150</v>
      </c>
      <c r="I2790" s="0" t="s">
        <v>36</v>
      </c>
      <c r="J2790" s="0" t="s">
        <v>37</v>
      </c>
      <c r="K2790" s="0" t="s">
        <v>30</v>
      </c>
      <c r="L2790" s="0" t="s">
        <v>31</v>
      </c>
      <c r="M2790" s="0" t="s">
        <v>140</v>
      </c>
      <c r="N2790" s="0" t="n">
        <v>1401</v>
      </c>
      <c r="O2790" s="10" t="n">
        <v>0.650958466576412</v>
      </c>
      <c r="P2790" s="10" t="n">
        <v>0.790102193132043</v>
      </c>
      <c r="Q2790" s="0" t="str">
        <f aca="false">SUBSTITUTE(SUBSTITUTE($I2790,CHAR(61),""),CHAR(34),"")</f>
        <v>10-14</v>
      </c>
      <c r="R2790" s="0" t="str">
        <f aca="false">IF($D2790&lt;&gt;"","["&amp;$E2790&amp;"]"&amp;"|"&amp;$Q2790&amp;"|"&amp;$K2790&amp;"|"&amp;$G2790&amp;"|"&amp;IF($G2790="TX_CURR_SUBNAT.R","CY2022Q4",$M2790),"")</f>
        <v>[kxuuIFpOXyO]|10-14|Female|PLHIV_Attend.T_1|CY2023Q3</v>
      </c>
    </row>
    <row r="2791" customFormat="false" ht="15" hidden="false" customHeight="false" outlineLevel="0" collapsed="false">
      <c r="D2791" s="0" t="s">
        <v>63</v>
      </c>
      <c r="E2791" s="0" t="s">
        <v>64</v>
      </c>
      <c r="F2791" s="0" t="s">
        <v>65</v>
      </c>
      <c r="G2791" s="0" t="s">
        <v>150</v>
      </c>
      <c r="H2791" s="0" t="s">
        <v>150</v>
      </c>
      <c r="I2791" s="0" t="s">
        <v>38</v>
      </c>
      <c r="J2791" s="0" t="s">
        <v>39</v>
      </c>
      <c r="K2791" s="0" t="s">
        <v>30</v>
      </c>
      <c r="L2791" s="0" t="s">
        <v>31</v>
      </c>
      <c r="M2791" s="0" t="s">
        <v>140</v>
      </c>
      <c r="N2791" s="0" t="n">
        <v>560</v>
      </c>
      <c r="O2791" s="10" t="n">
        <v>0.0965403239242733</v>
      </c>
      <c r="P2791" s="10" t="n">
        <v>0.790102193132043</v>
      </c>
      <c r="Q2791" s="0" t="str">
        <f aca="false">SUBSTITUTE(SUBSTITUTE($I2791,CHAR(61),""),CHAR(34),"")</f>
        <v>15-24</v>
      </c>
      <c r="R2791" s="0" t="str">
        <f aca="false">IF($D2791&lt;&gt;"","["&amp;$E2791&amp;"]"&amp;"|"&amp;$Q2791&amp;"|"&amp;$K2791&amp;"|"&amp;$G2791&amp;"|"&amp;IF($G2791="TX_CURR_SUBNAT.R","CY2022Q4",$M2791),"")</f>
        <v>[kxuuIFpOXyO]|15-24|Female|PLHIV_Attend.T_1|CY2023Q3</v>
      </c>
    </row>
    <row r="2792" customFormat="false" ht="15" hidden="false" customHeight="false" outlineLevel="0" collapsed="false">
      <c r="D2792" s="0" t="s">
        <v>63</v>
      </c>
      <c r="E2792" s="0" t="s">
        <v>64</v>
      </c>
      <c r="F2792" s="0" t="s">
        <v>65</v>
      </c>
      <c r="G2792" s="0" t="s">
        <v>150</v>
      </c>
      <c r="H2792" s="0" t="s">
        <v>150</v>
      </c>
      <c r="I2792" s="0" t="s">
        <v>41</v>
      </c>
      <c r="J2792" s="0" t="s">
        <v>42</v>
      </c>
      <c r="K2792" s="0" t="s">
        <v>30</v>
      </c>
      <c r="L2792" s="0" t="s">
        <v>31</v>
      </c>
      <c r="M2792" s="0" t="s">
        <v>140</v>
      </c>
      <c r="N2792" s="0" t="n">
        <v>1412</v>
      </c>
      <c r="O2792" s="10" t="n">
        <v>0.116583361057565</v>
      </c>
      <c r="P2792" s="10" t="n">
        <v>0.790102193132043</v>
      </c>
      <c r="Q2792" s="0" t="str">
        <f aca="false">SUBSTITUTE(SUBSTITUTE($I2792,CHAR(61),""),CHAR(34),"")</f>
        <v>25-34</v>
      </c>
      <c r="R2792" s="0" t="str">
        <f aca="false">IF($D2792&lt;&gt;"","["&amp;$E2792&amp;"]"&amp;"|"&amp;$Q2792&amp;"|"&amp;$K2792&amp;"|"&amp;$G2792&amp;"|"&amp;IF($G2792="TX_CURR_SUBNAT.R","CY2022Q4",$M2792),"")</f>
        <v>[kxuuIFpOXyO]|25-34|Female|PLHIV_Attend.T_1|CY2023Q3</v>
      </c>
    </row>
    <row r="2793" customFormat="false" ht="15" hidden="false" customHeight="false" outlineLevel="0" collapsed="false">
      <c r="D2793" s="0" t="s">
        <v>63</v>
      </c>
      <c r="E2793" s="0" t="s">
        <v>64</v>
      </c>
      <c r="F2793" s="0" t="s">
        <v>65</v>
      </c>
      <c r="G2793" s="0" t="s">
        <v>150</v>
      </c>
      <c r="H2793" s="0" t="s">
        <v>150</v>
      </c>
      <c r="I2793" s="0" t="s">
        <v>43</v>
      </c>
      <c r="J2793" s="0" t="s">
        <v>44</v>
      </c>
      <c r="K2793" s="0" t="s">
        <v>30</v>
      </c>
      <c r="L2793" s="0" t="s">
        <v>31</v>
      </c>
      <c r="M2793" s="0" t="s">
        <v>140</v>
      </c>
      <c r="N2793" s="0" t="n">
        <v>1775</v>
      </c>
      <c r="O2793" s="10" t="n">
        <v>0.64501442364417</v>
      </c>
      <c r="P2793" s="10" t="n">
        <v>0.790102193132043</v>
      </c>
      <c r="Q2793" s="0" t="str">
        <f aca="false">SUBSTITUTE(SUBSTITUTE($I2793,CHAR(61),""),CHAR(34),"")</f>
        <v>35-49</v>
      </c>
      <c r="R2793" s="0" t="str">
        <f aca="false">IF($D2793&lt;&gt;"","["&amp;$E2793&amp;"]"&amp;"|"&amp;$Q2793&amp;"|"&amp;$K2793&amp;"|"&amp;$G2793&amp;"|"&amp;IF($G2793="TX_CURR_SUBNAT.R","CY2022Q4",$M2793),"")</f>
        <v>[kxuuIFpOXyO]|35-49|Female|PLHIV_Attend.T_1|CY2023Q3</v>
      </c>
    </row>
    <row r="2794" customFormat="false" ht="15" hidden="false" customHeight="false" outlineLevel="0" collapsed="false">
      <c r="D2794" s="0" t="s">
        <v>63</v>
      </c>
      <c r="E2794" s="0" t="s">
        <v>64</v>
      </c>
      <c r="F2794" s="0" t="s">
        <v>65</v>
      </c>
      <c r="G2794" s="0" t="s">
        <v>150</v>
      </c>
      <c r="H2794" s="0" t="s">
        <v>150</v>
      </c>
      <c r="I2794" s="0" t="s">
        <v>45</v>
      </c>
      <c r="J2794" s="0" t="s">
        <v>46</v>
      </c>
      <c r="K2794" s="0" t="s">
        <v>30</v>
      </c>
      <c r="L2794" s="0" t="s">
        <v>31</v>
      </c>
      <c r="M2794" s="0" t="s">
        <v>140</v>
      </c>
      <c r="N2794" s="0" t="n">
        <v>1357</v>
      </c>
      <c r="O2794" s="10" t="n">
        <v>0.821798835415393</v>
      </c>
      <c r="P2794" s="10" t="n">
        <v>0.790102193132043</v>
      </c>
      <c r="Q2794" s="0" t="str">
        <f aca="false">SUBSTITUTE(SUBSTITUTE($I2794,CHAR(61),""),CHAR(34),"")</f>
        <v>50+</v>
      </c>
      <c r="R2794" s="0" t="str">
        <f aca="false">IF($D2794&lt;&gt;"","["&amp;$E2794&amp;"]"&amp;"|"&amp;$Q2794&amp;"|"&amp;$K2794&amp;"|"&amp;$G2794&amp;"|"&amp;IF($G2794="TX_CURR_SUBNAT.R","CY2022Q4",$M2794),"")</f>
        <v>[kxuuIFpOXyO]|50+|Female|PLHIV_Attend.T_1|CY2023Q3</v>
      </c>
    </row>
    <row r="2795" customFormat="false" ht="15" hidden="false" customHeight="false" outlineLevel="0" collapsed="false">
      <c r="D2795" s="0" t="s">
        <v>63</v>
      </c>
      <c r="E2795" s="0" t="s">
        <v>64</v>
      </c>
      <c r="F2795" s="0" t="s">
        <v>65</v>
      </c>
      <c r="G2795" s="0" t="s">
        <v>150</v>
      </c>
      <c r="H2795" s="0" t="s">
        <v>150</v>
      </c>
      <c r="I2795" s="0" t="s">
        <v>28</v>
      </c>
      <c r="J2795" s="0" t="s">
        <v>29</v>
      </c>
      <c r="K2795" s="0" t="s">
        <v>48</v>
      </c>
      <c r="L2795" s="0" t="s">
        <v>49</v>
      </c>
      <c r="M2795" s="0" t="s">
        <v>140</v>
      </c>
      <c r="N2795" s="0" t="n">
        <v>1877</v>
      </c>
      <c r="O2795" s="10" t="n">
        <v>0.676090639084578</v>
      </c>
      <c r="P2795" s="10" t="n">
        <v>0.790102193132043</v>
      </c>
      <c r="Q2795" s="0" t="str">
        <f aca="false">SUBSTITUTE(SUBSTITUTE($I2795,CHAR(61),""),CHAR(34),"")</f>
        <v>&lt;01</v>
      </c>
      <c r="R2795" s="0" t="str">
        <f aca="false">IF($D2795&lt;&gt;"","["&amp;$E2795&amp;"]"&amp;"|"&amp;$Q2795&amp;"|"&amp;$K2795&amp;"|"&amp;$G2795&amp;"|"&amp;IF($G2795="TX_CURR_SUBNAT.R","CY2022Q4",$M2795),"")</f>
        <v>[kxuuIFpOXyO]|&lt;01|Male|PLHIV_Attend.T_1|CY2023Q3</v>
      </c>
    </row>
    <row r="2796" customFormat="false" ht="15" hidden="false" customHeight="false" outlineLevel="0" collapsed="false">
      <c r="D2796" s="0" t="s">
        <v>63</v>
      </c>
      <c r="E2796" s="0" t="s">
        <v>64</v>
      </c>
      <c r="F2796" s="0" t="s">
        <v>65</v>
      </c>
      <c r="G2796" s="0" t="s">
        <v>150</v>
      </c>
      <c r="H2796" s="0" t="s">
        <v>150</v>
      </c>
      <c r="I2796" s="0" t="s">
        <v>33</v>
      </c>
      <c r="J2796" s="0" t="s">
        <v>34</v>
      </c>
      <c r="K2796" s="0" t="s">
        <v>48</v>
      </c>
      <c r="L2796" s="0" t="s">
        <v>49</v>
      </c>
      <c r="M2796" s="0" t="s">
        <v>140</v>
      </c>
      <c r="N2796" s="0" t="n">
        <v>1555</v>
      </c>
      <c r="O2796" s="10" t="n">
        <v>0.914221628569067</v>
      </c>
      <c r="P2796" s="10" t="n">
        <v>0.790102193132043</v>
      </c>
      <c r="Q2796" s="0" t="str">
        <f aca="false">SUBSTITUTE(SUBSTITUTE($I2796,CHAR(61),""),CHAR(34),"")</f>
        <v>01-09</v>
      </c>
      <c r="R2796" s="0" t="str">
        <f aca="false">IF($D2796&lt;&gt;"","["&amp;$E2796&amp;"]"&amp;"|"&amp;$Q2796&amp;"|"&amp;$K2796&amp;"|"&amp;$G2796&amp;"|"&amp;IF($G2796="TX_CURR_SUBNAT.R","CY2022Q4",$M2796),"")</f>
        <v>[kxuuIFpOXyO]|01-09|Male|PLHIV_Attend.T_1|CY2023Q3</v>
      </c>
    </row>
    <row r="2797" customFormat="false" ht="15" hidden="false" customHeight="false" outlineLevel="0" collapsed="false">
      <c r="D2797" s="0" t="s">
        <v>63</v>
      </c>
      <c r="E2797" s="0" t="s">
        <v>64</v>
      </c>
      <c r="F2797" s="0" t="s">
        <v>65</v>
      </c>
      <c r="G2797" s="0" t="s">
        <v>150</v>
      </c>
      <c r="H2797" s="0" t="s">
        <v>150</v>
      </c>
      <c r="I2797" s="0" t="s">
        <v>36</v>
      </c>
      <c r="J2797" s="0" t="s">
        <v>37</v>
      </c>
      <c r="K2797" s="0" t="s">
        <v>48</v>
      </c>
      <c r="L2797" s="0" t="s">
        <v>49</v>
      </c>
      <c r="M2797" s="0" t="s">
        <v>140</v>
      </c>
      <c r="N2797" s="0" t="n">
        <v>1726</v>
      </c>
      <c r="O2797" s="10" t="n">
        <v>0.459347589639947</v>
      </c>
      <c r="P2797" s="10" t="n">
        <v>0.790102193132043</v>
      </c>
      <c r="Q2797" s="0" t="str">
        <f aca="false">SUBSTITUTE(SUBSTITUTE($I2797,CHAR(61),""),CHAR(34),"")</f>
        <v>10-14</v>
      </c>
      <c r="R2797" s="0" t="str">
        <f aca="false">IF($D2797&lt;&gt;"","["&amp;$E2797&amp;"]"&amp;"|"&amp;$Q2797&amp;"|"&amp;$K2797&amp;"|"&amp;$G2797&amp;"|"&amp;IF($G2797="TX_CURR_SUBNAT.R","CY2022Q4",$M2797),"")</f>
        <v>[kxuuIFpOXyO]|10-14|Male|PLHIV_Attend.T_1|CY2023Q3</v>
      </c>
    </row>
    <row r="2798" customFormat="false" ht="15" hidden="false" customHeight="false" outlineLevel="0" collapsed="false">
      <c r="D2798" s="0" t="s">
        <v>63</v>
      </c>
      <c r="E2798" s="0" t="s">
        <v>64</v>
      </c>
      <c r="F2798" s="0" t="s">
        <v>65</v>
      </c>
      <c r="G2798" s="0" t="s">
        <v>150</v>
      </c>
      <c r="H2798" s="0" t="s">
        <v>150</v>
      </c>
      <c r="I2798" s="0" t="s">
        <v>38</v>
      </c>
      <c r="J2798" s="0" t="s">
        <v>39</v>
      </c>
      <c r="K2798" s="0" t="s">
        <v>48</v>
      </c>
      <c r="L2798" s="0" t="s">
        <v>49</v>
      </c>
      <c r="M2798" s="0" t="s">
        <v>140</v>
      </c>
      <c r="N2798" s="0" t="n">
        <v>1994</v>
      </c>
      <c r="O2798" s="10" t="n">
        <v>0.27850504219532</v>
      </c>
      <c r="P2798" s="10" t="n">
        <v>0.790102193132043</v>
      </c>
      <c r="Q2798" s="0" t="str">
        <f aca="false">SUBSTITUTE(SUBSTITUTE($I2798,CHAR(61),""),CHAR(34),"")</f>
        <v>15-24</v>
      </c>
      <c r="R2798" s="0" t="str">
        <f aca="false">IF($D2798&lt;&gt;"","["&amp;$E2798&amp;"]"&amp;"|"&amp;$Q2798&amp;"|"&amp;$K2798&amp;"|"&amp;$G2798&amp;"|"&amp;IF($G2798="TX_CURR_SUBNAT.R","CY2022Q4",$M2798),"")</f>
        <v>[kxuuIFpOXyO]|15-24|Male|PLHIV_Attend.T_1|CY2023Q3</v>
      </c>
    </row>
    <row r="2799" customFormat="false" ht="15" hidden="false" customHeight="false" outlineLevel="0" collapsed="false">
      <c r="D2799" s="0" t="s">
        <v>63</v>
      </c>
      <c r="E2799" s="0" t="s">
        <v>64</v>
      </c>
      <c r="F2799" s="0" t="s">
        <v>65</v>
      </c>
      <c r="G2799" s="0" t="s">
        <v>150</v>
      </c>
      <c r="H2799" s="0" t="s">
        <v>150</v>
      </c>
      <c r="I2799" s="0" t="s">
        <v>41</v>
      </c>
      <c r="J2799" s="0" t="s">
        <v>42</v>
      </c>
      <c r="K2799" s="0" t="s">
        <v>48</v>
      </c>
      <c r="L2799" s="0" t="s">
        <v>49</v>
      </c>
      <c r="M2799" s="0" t="s">
        <v>140</v>
      </c>
      <c r="N2799" s="0" t="n">
        <v>1841</v>
      </c>
      <c r="O2799" s="10" t="n">
        <v>0.263084514066577</v>
      </c>
      <c r="P2799" s="10" t="n">
        <v>0.790102193132043</v>
      </c>
      <c r="Q2799" s="0" t="str">
        <f aca="false">SUBSTITUTE(SUBSTITUTE($I2799,CHAR(61),""),CHAR(34),"")</f>
        <v>25-34</v>
      </c>
      <c r="R2799" s="0" t="str">
        <f aca="false">IF($D2799&lt;&gt;"","["&amp;$E2799&amp;"]"&amp;"|"&amp;$Q2799&amp;"|"&amp;$K2799&amp;"|"&amp;$G2799&amp;"|"&amp;IF($G2799="TX_CURR_SUBNAT.R","CY2022Q4",$M2799),"")</f>
        <v>[kxuuIFpOXyO]|25-34|Male|PLHIV_Attend.T_1|CY2023Q3</v>
      </c>
    </row>
    <row r="2800" customFormat="false" ht="15" hidden="false" customHeight="false" outlineLevel="0" collapsed="false">
      <c r="D2800" s="0" t="s">
        <v>63</v>
      </c>
      <c r="E2800" s="0" t="s">
        <v>64</v>
      </c>
      <c r="F2800" s="0" t="s">
        <v>65</v>
      </c>
      <c r="G2800" s="0" t="s">
        <v>150</v>
      </c>
      <c r="H2800" s="0" t="s">
        <v>150</v>
      </c>
      <c r="I2800" s="0" t="s">
        <v>43</v>
      </c>
      <c r="J2800" s="0" t="s">
        <v>44</v>
      </c>
      <c r="K2800" s="0" t="s">
        <v>48</v>
      </c>
      <c r="L2800" s="0" t="s">
        <v>49</v>
      </c>
      <c r="M2800" s="0" t="s">
        <v>140</v>
      </c>
      <c r="N2800" s="0" t="n">
        <v>1129</v>
      </c>
      <c r="O2800" s="10" t="n">
        <v>0.454359028721228</v>
      </c>
      <c r="P2800" s="10" t="n">
        <v>0.790102193132043</v>
      </c>
      <c r="Q2800" s="0" t="str">
        <f aca="false">SUBSTITUTE(SUBSTITUTE($I2800,CHAR(61),""),CHAR(34),"")</f>
        <v>35-49</v>
      </c>
      <c r="R2800" s="0" t="str">
        <f aca="false">IF($D2800&lt;&gt;"","["&amp;$E2800&amp;"]"&amp;"|"&amp;$Q2800&amp;"|"&amp;$K2800&amp;"|"&amp;$G2800&amp;"|"&amp;IF($G2800="TX_CURR_SUBNAT.R","CY2022Q4",$M2800),"")</f>
        <v>[kxuuIFpOXyO]|35-49|Male|PLHIV_Attend.T_1|CY2023Q3</v>
      </c>
    </row>
    <row r="2801" customFormat="false" ht="15" hidden="false" customHeight="false" outlineLevel="0" collapsed="false">
      <c r="D2801" s="0" t="s">
        <v>63</v>
      </c>
      <c r="E2801" s="0" t="s">
        <v>64</v>
      </c>
      <c r="F2801" s="0" t="s">
        <v>65</v>
      </c>
      <c r="G2801" s="0" t="s">
        <v>150</v>
      </c>
      <c r="H2801" s="0" t="s">
        <v>150</v>
      </c>
      <c r="I2801" s="0" t="s">
        <v>45</v>
      </c>
      <c r="J2801" s="0" t="s">
        <v>46</v>
      </c>
      <c r="K2801" s="0" t="s">
        <v>48</v>
      </c>
      <c r="L2801" s="0" t="s">
        <v>49</v>
      </c>
      <c r="M2801" s="0" t="s">
        <v>140</v>
      </c>
      <c r="N2801" s="0" t="n">
        <v>1477</v>
      </c>
      <c r="O2801" s="10" t="n">
        <v>0.819246904458851</v>
      </c>
      <c r="P2801" s="10" t="n">
        <v>0.790102193132043</v>
      </c>
      <c r="Q2801" s="0" t="str">
        <f aca="false">SUBSTITUTE(SUBSTITUTE($I2801,CHAR(61),""),CHAR(34),"")</f>
        <v>50+</v>
      </c>
      <c r="R2801" s="0" t="str">
        <f aca="false">IF($D2801&lt;&gt;"","["&amp;$E2801&amp;"]"&amp;"|"&amp;$Q2801&amp;"|"&amp;$K2801&amp;"|"&amp;$G2801&amp;"|"&amp;IF($G2801="TX_CURR_SUBNAT.R","CY2022Q4",$M2801),"")</f>
        <v>[kxuuIFpOXyO]|50+|Male|PLHIV_Attend.T_1|CY2023Q3</v>
      </c>
    </row>
    <row r="2802" customFormat="false" ht="15" hidden="false" customHeight="false" outlineLevel="0" collapsed="false">
      <c r="D2802" s="0" t="s">
        <v>66</v>
      </c>
      <c r="E2802" s="0" t="s">
        <v>67</v>
      </c>
      <c r="F2802" s="0" t="s">
        <v>68</v>
      </c>
      <c r="G2802" s="0" t="s">
        <v>150</v>
      </c>
      <c r="H2802" s="0" t="s">
        <v>150</v>
      </c>
      <c r="I2802" s="0" t="s">
        <v>28</v>
      </c>
      <c r="J2802" s="0" t="s">
        <v>29</v>
      </c>
      <c r="K2802" s="0" t="s">
        <v>30</v>
      </c>
      <c r="L2802" s="0" t="s">
        <v>31</v>
      </c>
      <c r="M2802" s="0" t="s">
        <v>140</v>
      </c>
      <c r="N2802" s="0" t="n">
        <v>1208</v>
      </c>
      <c r="O2802" s="10" t="n">
        <v>0.801058055832982</v>
      </c>
      <c r="P2802" s="10" t="n">
        <v>0.164609884377569</v>
      </c>
      <c r="Q2802" s="0" t="str">
        <f aca="false">SUBSTITUTE(SUBSTITUTE($I2802,CHAR(61),""),CHAR(34),"")</f>
        <v>&lt;01</v>
      </c>
      <c r="R2802" s="0" t="str">
        <f aca="false">IF($D2802&lt;&gt;"","["&amp;$E2802&amp;"]"&amp;"|"&amp;$Q2802&amp;"|"&amp;$K2802&amp;"|"&amp;$G2802&amp;"|"&amp;IF($G2802="TX_CURR_SUBNAT.R","CY2022Q4",$M2802),"")</f>
        <v>[ScR9iFKAasW]|&lt;01|Female|PLHIV_Attend.T_1|CY2023Q3</v>
      </c>
    </row>
    <row r="2803" customFormat="false" ht="15" hidden="false" customHeight="false" outlineLevel="0" collapsed="false">
      <c r="D2803" s="0" t="s">
        <v>66</v>
      </c>
      <c r="E2803" s="0" t="s">
        <v>67</v>
      </c>
      <c r="F2803" s="0" t="s">
        <v>68</v>
      </c>
      <c r="G2803" s="0" t="s">
        <v>150</v>
      </c>
      <c r="H2803" s="0" t="s">
        <v>150</v>
      </c>
      <c r="I2803" s="0" t="s">
        <v>33</v>
      </c>
      <c r="J2803" s="0" t="s">
        <v>34</v>
      </c>
      <c r="K2803" s="0" t="s">
        <v>30</v>
      </c>
      <c r="L2803" s="0" t="s">
        <v>31</v>
      </c>
      <c r="M2803" s="0" t="s">
        <v>140</v>
      </c>
      <c r="N2803" s="0" t="n">
        <v>846</v>
      </c>
      <c r="O2803" s="10" t="n">
        <v>0.208161434624344</v>
      </c>
      <c r="P2803" s="10" t="n">
        <v>0.164609884377569</v>
      </c>
      <c r="Q2803" s="0" t="str">
        <f aca="false">SUBSTITUTE(SUBSTITUTE($I2803,CHAR(61),""),CHAR(34),"")</f>
        <v>01-09</v>
      </c>
      <c r="R2803" s="0" t="str">
        <f aca="false">IF($D2803&lt;&gt;"","["&amp;$E2803&amp;"]"&amp;"|"&amp;$Q2803&amp;"|"&amp;$K2803&amp;"|"&amp;$G2803&amp;"|"&amp;IF($G2803="TX_CURR_SUBNAT.R","CY2022Q4",$M2803),"")</f>
        <v>[ScR9iFKAasW]|01-09|Female|PLHIV_Attend.T_1|CY2023Q3</v>
      </c>
    </row>
    <row r="2804" customFormat="false" ht="15" hidden="false" customHeight="false" outlineLevel="0" collapsed="false">
      <c r="D2804" s="0" t="s">
        <v>66</v>
      </c>
      <c r="E2804" s="0" t="s">
        <v>67</v>
      </c>
      <c r="F2804" s="0" t="s">
        <v>68</v>
      </c>
      <c r="G2804" s="0" t="s">
        <v>150</v>
      </c>
      <c r="H2804" s="0" t="s">
        <v>150</v>
      </c>
      <c r="I2804" s="0" t="s">
        <v>36</v>
      </c>
      <c r="J2804" s="0" t="s">
        <v>37</v>
      </c>
      <c r="K2804" s="0" t="s">
        <v>30</v>
      </c>
      <c r="L2804" s="0" t="s">
        <v>31</v>
      </c>
      <c r="M2804" s="0" t="s">
        <v>140</v>
      </c>
      <c r="N2804" s="0" t="n">
        <v>1079</v>
      </c>
      <c r="O2804" s="10" t="n">
        <v>0.0654635999817401</v>
      </c>
      <c r="P2804" s="10" t="n">
        <v>0.164609884377569</v>
      </c>
      <c r="Q2804" s="0" t="str">
        <f aca="false">SUBSTITUTE(SUBSTITUTE($I2804,CHAR(61),""),CHAR(34),"")</f>
        <v>10-14</v>
      </c>
      <c r="R2804" s="0" t="str">
        <f aca="false">IF($D2804&lt;&gt;"","["&amp;$E2804&amp;"]"&amp;"|"&amp;$Q2804&amp;"|"&amp;$K2804&amp;"|"&amp;$G2804&amp;"|"&amp;IF($G2804="TX_CURR_SUBNAT.R","CY2022Q4",$M2804),"")</f>
        <v>[ScR9iFKAasW]|10-14|Female|PLHIV_Attend.T_1|CY2023Q3</v>
      </c>
    </row>
    <row r="2805" customFormat="false" ht="15" hidden="false" customHeight="false" outlineLevel="0" collapsed="false">
      <c r="D2805" s="0" t="s">
        <v>66</v>
      </c>
      <c r="E2805" s="0" t="s">
        <v>67</v>
      </c>
      <c r="F2805" s="0" t="s">
        <v>68</v>
      </c>
      <c r="G2805" s="0" t="s">
        <v>150</v>
      </c>
      <c r="H2805" s="0" t="s">
        <v>150</v>
      </c>
      <c r="I2805" s="0" t="s">
        <v>38</v>
      </c>
      <c r="J2805" s="0" t="s">
        <v>39</v>
      </c>
      <c r="K2805" s="0" t="s">
        <v>30</v>
      </c>
      <c r="L2805" s="0" t="s">
        <v>31</v>
      </c>
      <c r="M2805" s="0" t="s">
        <v>140</v>
      </c>
      <c r="N2805" s="0" t="n">
        <v>1717</v>
      </c>
      <c r="O2805" s="10" t="n">
        <v>0.590597155503929</v>
      </c>
      <c r="P2805" s="10" t="n">
        <v>0.164609884377569</v>
      </c>
      <c r="Q2805" s="0" t="str">
        <f aca="false">SUBSTITUTE(SUBSTITUTE($I2805,CHAR(61),""),CHAR(34),"")</f>
        <v>15-24</v>
      </c>
      <c r="R2805" s="0" t="str">
        <f aca="false">IF($D2805&lt;&gt;"","["&amp;$E2805&amp;"]"&amp;"|"&amp;$Q2805&amp;"|"&amp;$K2805&amp;"|"&amp;$G2805&amp;"|"&amp;IF($G2805="TX_CURR_SUBNAT.R","CY2022Q4",$M2805),"")</f>
        <v>[ScR9iFKAasW]|15-24|Female|PLHIV_Attend.T_1|CY2023Q3</v>
      </c>
    </row>
    <row r="2806" customFormat="false" ht="15" hidden="false" customHeight="false" outlineLevel="0" collapsed="false">
      <c r="D2806" s="0" t="s">
        <v>66</v>
      </c>
      <c r="E2806" s="0" t="s">
        <v>67</v>
      </c>
      <c r="F2806" s="0" t="s">
        <v>68</v>
      </c>
      <c r="G2806" s="0" t="s">
        <v>150</v>
      </c>
      <c r="H2806" s="0" t="s">
        <v>150</v>
      </c>
      <c r="I2806" s="0" t="s">
        <v>41</v>
      </c>
      <c r="J2806" s="0" t="s">
        <v>42</v>
      </c>
      <c r="K2806" s="0" t="s">
        <v>30</v>
      </c>
      <c r="L2806" s="0" t="s">
        <v>31</v>
      </c>
      <c r="M2806" s="0" t="s">
        <v>140</v>
      </c>
      <c r="N2806" s="0" t="n">
        <v>1729</v>
      </c>
      <c r="O2806" s="10" t="n">
        <v>0.944736449047923</v>
      </c>
      <c r="P2806" s="10" t="n">
        <v>0.164609884377569</v>
      </c>
      <c r="Q2806" s="0" t="str">
        <f aca="false">SUBSTITUTE(SUBSTITUTE($I2806,CHAR(61),""),CHAR(34),"")</f>
        <v>25-34</v>
      </c>
      <c r="R2806" s="0" t="str">
        <f aca="false">IF($D2806&lt;&gt;"","["&amp;$E2806&amp;"]"&amp;"|"&amp;$Q2806&amp;"|"&amp;$K2806&amp;"|"&amp;$G2806&amp;"|"&amp;IF($G2806="TX_CURR_SUBNAT.R","CY2022Q4",$M2806),"")</f>
        <v>[ScR9iFKAasW]|25-34|Female|PLHIV_Attend.T_1|CY2023Q3</v>
      </c>
    </row>
    <row r="2807" customFormat="false" ht="15" hidden="false" customHeight="false" outlineLevel="0" collapsed="false">
      <c r="D2807" s="0" t="s">
        <v>66</v>
      </c>
      <c r="E2807" s="0" t="s">
        <v>67</v>
      </c>
      <c r="F2807" s="0" t="s">
        <v>68</v>
      </c>
      <c r="G2807" s="0" t="s">
        <v>150</v>
      </c>
      <c r="H2807" s="0" t="s">
        <v>150</v>
      </c>
      <c r="I2807" s="0" t="s">
        <v>43</v>
      </c>
      <c r="J2807" s="0" t="s">
        <v>44</v>
      </c>
      <c r="K2807" s="0" t="s">
        <v>30</v>
      </c>
      <c r="L2807" s="0" t="s">
        <v>31</v>
      </c>
      <c r="M2807" s="0" t="s">
        <v>140</v>
      </c>
      <c r="N2807" s="0" t="n">
        <v>1815</v>
      </c>
      <c r="O2807" s="10" t="n">
        <v>0.564690463244915</v>
      </c>
      <c r="P2807" s="10" t="n">
        <v>0.164609884377569</v>
      </c>
      <c r="Q2807" s="0" t="str">
        <f aca="false">SUBSTITUTE(SUBSTITUTE($I2807,CHAR(61),""),CHAR(34),"")</f>
        <v>35-49</v>
      </c>
      <c r="R2807" s="0" t="str">
        <f aca="false">IF($D2807&lt;&gt;"","["&amp;$E2807&amp;"]"&amp;"|"&amp;$Q2807&amp;"|"&amp;$K2807&amp;"|"&amp;$G2807&amp;"|"&amp;IF($G2807="TX_CURR_SUBNAT.R","CY2022Q4",$M2807),"")</f>
        <v>[ScR9iFKAasW]|35-49|Female|PLHIV_Attend.T_1|CY2023Q3</v>
      </c>
    </row>
    <row r="2808" customFormat="false" ht="15" hidden="false" customHeight="false" outlineLevel="0" collapsed="false">
      <c r="D2808" s="0" t="s">
        <v>66</v>
      </c>
      <c r="E2808" s="0" t="s">
        <v>67</v>
      </c>
      <c r="F2808" s="0" t="s">
        <v>68</v>
      </c>
      <c r="G2808" s="0" t="s">
        <v>150</v>
      </c>
      <c r="H2808" s="0" t="s">
        <v>150</v>
      </c>
      <c r="I2808" s="0" t="s">
        <v>45</v>
      </c>
      <c r="J2808" s="0" t="s">
        <v>46</v>
      </c>
      <c r="K2808" s="0" t="s">
        <v>30</v>
      </c>
      <c r="L2808" s="0" t="s">
        <v>31</v>
      </c>
      <c r="M2808" s="0" t="s">
        <v>140</v>
      </c>
      <c r="N2808" s="0" t="n">
        <v>1294</v>
      </c>
      <c r="O2808" s="10" t="n">
        <v>0.46586788399145</v>
      </c>
      <c r="P2808" s="10" t="n">
        <v>0.164609884377569</v>
      </c>
      <c r="Q2808" s="0" t="str">
        <f aca="false">SUBSTITUTE(SUBSTITUTE($I2808,CHAR(61),""),CHAR(34),"")</f>
        <v>50+</v>
      </c>
      <c r="R2808" s="0" t="str">
        <f aca="false">IF($D2808&lt;&gt;"","["&amp;$E2808&amp;"]"&amp;"|"&amp;$Q2808&amp;"|"&amp;$K2808&amp;"|"&amp;$G2808&amp;"|"&amp;IF($G2808="TX_CURR_SUBNAT.R","CY2022Q4",$M2808),"")</f>
        <v>[ScR9iFKAasW]|50+|Female|PLHIV_Attend.T_1|CY2023Q3</v>
      </c>
    </row>
    <row r="2809" customFormat="false" ht="15" hidden="false" customHeight="false" outlineLevel="0" collapsed="false">
      <c r="D2809" s="0" t="s">
        <v>66</v>
      </c>
      <c r="E2809" s="0" t="s">
        <v>67</v>
      </c>
      <c r="F2809" s="0" t="s">
        <v>68</v>
      </c>
      <c r="G2809" s="0" t="s">
        <v>150</v>
      </c>
      <c r="H2809" s="0" t="s">
        <v>150</v>
      </c>
      <c r="I2809" s="0" t="s">
        <v>28</v>
      </c>
      <c r="J2809" s="0" t="s">
        <v>29</v>
      </c>
      <c r="K2809" s="0" t="s">
        <v>48</v>
      </c>
      <c r="L2809" s="0" t="s">
        <v>49</v>
      </c>
      <c r="M2809" s="0" t="s">
        <v>140</v>
      </c>
      <c r="N2809" s="0" t="n">
        <v>713</v>
      </c>
      <c r="O2809" s="10" t="n">
        <v>0.673607746139169</v>
      </c>
      <c r="P2809" s="10" t="n">
        <v>0.164609884377569</v>
      </c>
      <c r="Q2809" s="0" t="str">
        <f aca="false">SUBSTITUTE(SUBSTITUTE($I2809,CHAR(61),""),CHAR(34),"")</f>
        <v>&lt;01</v>
      </c>
      <c r="R2809" s="0" t="str">
        <f aca="false">IF($D2809&lt;&gt;"","["&amp;$E2809&amp;"]"&amp;"|"&amp;$Q2809&amp;"|"&amp;$K2809&amp;"|"&amp;$G2809&amp;"|"&amp;IF($G2809="TX_CURR_SUBNAT.R","CY2022Q4",$M2809),"")</f>
        <v>[ScR9iFKAasW]|&lt;01|Male|PLHIV_Attend.T_1|CY2023Q3</v>
      </c>
    </row>
    <row r="2810" customFormat="false" ht="15" hidden="false" customHeight="false" outlineLevel="0" collapsed="false">
      <c r="D2810" s="0" t="s">
        <v>66</v>
      </c>
      <c r="E2810" s="0" t="s">
        <v>67</v>
      </c>
      <c r="F2810" s="0" t="s">
        <v>68</v>
      </c>
      <c r="G2810" s="0" t="s">
        <v>150</v>
      </c>
      <c r="H2810" s="0" t="s">
        <v>150</v>
      </c>
      <c r="I2810" s="0" t="s">
        <v>33</v>
      </c>
      <c r="J2810" s="0" t="s">
        <v>34</v>
      </c>
      <c r="K2810" s="0" t="s">
        <v>48</v>
      </c>
      <c r="L2810" s="0" t="s">
        <v>49</v>
      </c>
      <c r="M2810" s="0" t="s">
        <v>140</v>
      </c>
      <c r="N2810" s="0" t="n">
        <v>1391</v>
      </c>
      <c r="O2810" s="10" t="n">
        <v>0.37580941664055</v>
      </c>
      <c r="P2810" s="10" t="n">
        <v>0.164609884377569</v>
      </c>
      <c r="Q2810" s="0" t="str">
        <f aca="false">SUBSTITUTE(SUBSTITUTE($I2810,CHAR(61),""),CHAR(34),"")</f>
        <v>01-09</v>
      </c>
      <c r="R2810" s="0" t="str">
        <f aca="false">IF($D2810&lt;&gt;"","["&amp;$E2810&amp;"]"&amp;"|"&amp;$Q2810&amp;"|"&amp;$K2810&amp;"|"&amp;$G2810&amp;"|"&amp;IF($G2810="TX_CURR_SUBNAT.R","CY2022Q4",$M2810),"")</f>
        <v>[ScR9iFKAasW]|01-09|Male|PLHIV_Attend.T_1|CY2023Q3</v>
      </c>
    </row>
    <row r="2811" customFormat="false" ht="15" hidden="false" customHeight="false" outlineLevel="0" collapsed="false">
      <c r="D2811" s="0" t="s">
        <v>66</v>
      </c>
      <c r="E2811" s="0" t="s">
        <v>67</v>
      </c>
      <c r="F2811" s="0" t="s">
        <v>68</v>
      </c>
      <c r="G2811" s="0" t="s">
        <v>150</v>
      </c>
      <c r="H2811" s="0" t="s">
        <v>150</v>
      </c>
      <c r="I2811" s="0" t="s">
        <v>36</v>
      </c>
      <c r="J2811" s="0" t="s">
        <v>37</v>
      </c>
      <c r="K2811" s="0" t="s">
        <v>48</v>
      </c>
      <c r="L2811" s="0" t="s">
        <v>49</v>
      </c>
      <c r="M2811" s="0" t="s">
        <v>140</v>
      </c>
      <c r="N2811" s="0" t="n">
        <v>1994</v>
      </c>
      <c r="O2811" s="10" t="n">
        <v>0.656685139751062</v>
      </c>
      <c r="P2811" s="10" t="n">
        <v>0.164609884377569</v>
      </c>
      <c r="Q2811" s="0" t="str">
        <f aca="false">SUBSTITUTE(SUBSTITUTE($I2811,CHAR(61),""),CHAR(34),"")</f>
        <v>10-14</v>
      </c>
      <c r="R2811" s="0" t="str">
        <f aca="false">IF($D2811&lt;&gt;"","["&amp;$E2811&amp;"]"&amp;"|"&amp;$Q2811&amp;"|"&amp;$K2811&amp;"|"&amp;$G2811&amp;"|"&amp;IF($G2811="TX_CURR_SUBNAT.R","CY2022Q4",$M2811),"")</f>
        <v>[ScR9iFKAasW]|10-14|Male|PLHIV_Attend.T_1|CY2023Q3</v>
      </c>
    </row>
    <row r="2812" customFormat="false" ht="15" hidden="false" customHeight="false" outlineLevel="0" collapsed="false">
      <c r="D2812" s="0" t="s">
        <v>66</v>
      </c>
      <c r="E2812" s="0" t="s">
        <v>67</v>
      </c>
      <c r="F2812" s="0" t="s">
        <v>68</v>
      </c>
      <c r="G2812" s="0" t="s">
        <v>150</v>
      </c>
      <c r="H2812" s="0" t="s">
        <v>150</v>
      </c>
      <c r="I2812" s="0" t="s">
        <v>38</v>
      </c>
      <c r="J2812" s="0" t="s">
        <v>39</v>
      </c>
      <c r="K2812" s="0" t="s">
        <v>48</v>
      </c>
      <c r="L2812" s="0" t="s">
        <v>49</v>
      </c>
      <c r="M2812" s="0" t="s">
        <v>140</v>
      </c>
      <c r="N2812" s="0" t="n">
        <v>1801</v>
      </c>
      <c r="O2812" s="10" t="n">
        <v>0.323255783179775</v>
      </c>
      <c r="P2812" s="10" t="n">
        <v>0.164609884377569</v>
      </c>
      <c r="Q2812" s="0" t="str">
        <f aca="false">SUBSTITUTE(SUBSTITUTE($I2812,CHAR(61),""),CHAR(34),"")</f>
        <v>15-24</v>
      </c>
      <c r="R2812" s="0" t="str">
        <f aca="false">IF($D2812&lt;&gt;"","["&amp;$E2812&amp;"]"&amp;"|"&amp;$Q2812&amp;"|"&amp;$K2812&amp;"|"&amp;$G2812&amp;"|"&amp;IF($G2812="TX_CURR_SUBNAT.R","CY2022Q4",$M2812),"")</f>
        <v>[ScR9iFKAasW]|15-24|Male|PLHIV_Attend.T_1|CY2023Q3</v>
      </c>
    </row>
    <row r="2813" customFormat="false" ht="15" hidden="false" customHeight="false" outlineLevel="0" collapsed="false">
      <c r="D2813" s="0" t="s">
        <v>66</v>
      </c>
      <c r="E2813" s="0" t="s">
        <v>67</v>
      </c>
      <c r="F2813" s="0" t="s">
        <v>68</v>
      </c>
      <c r="G2813" s="0" t="s">
        <v>150</v>
      </c>
      <c r="H2813" s="0" t="s">
        <v>150</v>
      </c>
      <c r="I2813" s="0" t="s">
        <v>41</v>
      </c>
      <c r="J2813" s="0" t="s">
        <v>42</v>
      </c>
      <c r="K2813" s="0" t="s">
        <v>48</v>
      </c>
      <c r="L2813" s="0" t="s">
        <v>49</v>
      </c>
      <c r="M2813" s="0" t="s">
        <v>140</v>
      </c>
      <c r="N2813" s="0" t="n">
        <v>503</v>
      </c>
      <c r="O2813" s="10" t="n">
        <v>0.160632587969303</v>
      </c>
      <c r="P2813" s="10" t="n">
        <v>0.164609884377569</v>
      </c>
      <c r="Q2813" s="0" t="str">
        <f aca="false">SUBSTITUTE(SUBSTITUTE($I2813,CHAR(61),""),CHAR(34),"")</f>
        <v>25-34</v>
      </c>
      <c r="R2813" s="0" t="str">
        <f aca="false">IF($D2813&lt;&gt;"","["&amp;$E2813&amp;"]"&amp;"|"&amp;$Q2813&amp;"|"&amp;$K2813&amp;"|"&amp;$G2813&amp;"|"&amp;IF($G2813="TX_CURR_SUBNAT.R","CY2022Q4",$M2813),"")</f>
        <v>[ScR9iFKAasW]|25-34|Male|PLHIV_Attend.T_1|CY2023Q3</v>
      </c>
    </row>
    <row r="2814" customFormat="false" ht="15" hidden="false" customHeight="false" outlineLevel="0" collapsed="false">
      <c r="D2814" s="0" t="s">
        <v>66</v>
      </c>
      <c r="E2814" s="0" t="s">
        <v>67</v>
      </c>
      <c r="F2814" s="0" t="s">
        <v>68</v>
      </c>
      <c r="G2814" s="0" t="s">
        <v>150</v>
      </c>
      <c r="H2814" s="0" t="s">
        <v>150</v>
      </c>
      <c r="I2814" s="0" t="s">
        <v>43</v>
      </c>
      <c r="J2814" s="0" t="s">
        <v>44</v>
      </c>
      <c r="K2814" s="0" t="s">
        <v>48</v>
      </c>
      <c r="L2814" s="0" t="s">
        <v>49</v>
      </c>
      <c r="M2814" s="0" t="s">
        <v>140</v>
      </c>
      <c r="N2814" s="0" t="n">
        <v>1265</v>
      </c>
      <c r="O2814" s="10" t="n">
        <v>0.638257984537631</v>
      </c>
      <c r="P2814" s="10" t="n">
        <v>0.164609884377569</v>
      </c>
      <c r="Q2814" s="0" t="str">
        <f aca="false">SUBSTITUTE(SUBSTITUTE($I2814,CHAR(61),""),CHAR(34),"")</f>
        <v>35-49</v>
      </c>
      <c r="R2814" s="0" t="str">
        <f aca="false">IF($D2814&lt;&gt;"","["&amp;$E2814&amp;"]"&amp;"|"&amp;$Q2814&amp;"|"&amp;$K2814&amp;"|"&amp;$G2814&amp;"|"&amp;IF($G2814="TX_CURR_SUBNAT.R","CY2022Q4",$M2814),"")</f>
        <v>[ScR9iFKAasW]|35-49|Male|PLHIV_Attend.T_1|CY2023Q3</v>
      </c>
    </row>
    <row r="2815" customFormat="false" ht="15" hidden="false" customHeight="false" outlineLevel="0" collapsed="false">
      <c r="D2815" s="0" t="s">
        <v>66</v>
      </c>
      <c r="E2815" s="0" t="s">
        <v>67</v>
      </c>
      <c r="F2815" s="0" t="s">
        <v>68</v>
      </c>
      <c r="G2815" s="0" t="s">
        <v>150</v>
      </c>
      <c r="H2815" s="0" t="s">
        <v>150</v>
      </c>
      <c r="I2815" s="0" t="s">
        <v>45</v>
      </c>
      <c r="J2815" s="0" t="s">
        <v>46</v>
      </c>
      <c r="K2815" s="0" t="s">
        <v>48</v>
      </c>
      <c r="L2815" s="0" t="s">
        <v>49</v>
      </c>
      <c r="M2815" s="0" t="s">
        <v>140</v>
      </c>
      <c r="N2815" s="0" t="n">
        <v>1847</v>
      </c>
      <c r="O2815" s="10" t="n">
        <v>0.990780493943021</v>
      </c>
      <c r="P2815" s="10" t="n">
        <v>0.164609884377569</v>
      </c>
      <c r="Q2815" s="0" t="str">
        <f aca="false">SUBSTITUTE(SUBSTITUTE($I2815,CHAR(61),""),CHAR(34),"")</f>
        <v>50+</v>
      </c>
      <c r="R2815" s="0" t="str">
        <f aca="false">IF($D2815&lt;&gt;"","["&amp;$E2815&amp;"]"&amp;"|"&amp;$Q2815&amp;"|"&amp;$K2815&amp;"|"&amp;$G2815&amp;"|"&amp;IF($G2815="TX_CURR_SUBNAT.R","CY2022Q4",$M2815),"")</f>
        <v>[ScR9iFKAasW]|50+|Male|PLHIV_Attend.T_1|CY2023Q3</v>
      </c>
    </row>
    <row r="2816" customFormat="false" ht="15" hidden="false" customHeight="false" outlineLevel="0" collapsed="false">
      <c r="D2816" s="0" t="s">
        <v>69</v>
      </c>
      <c r="E2816" s="0" t="s">
        <v>70</v>
      </c>
      <c r="F2816" s="0" t="s">
        <v>71</v>
      </c>
      <c r="G2816" s="0" t="s">
        <v>150</v>
      </c>
      <c r="H2816" s="0" t="s">
        <v>150</v>
      </c>
      <c r="I2816" s="0" t="s">
        <v>28</v>
      </c>
      <c r="J2816" s="0" t="s">
        <v>29</v>
      </c>
      <c r="K2816" s="0" t="s">
        <v>30</v>
      </c>
      <c r="L2816" s="0" t="s">
        <v>31</v>
      </c>
      <c r="M2816" s="0" t="s">
        <v>140</v>
      </c>
      <c r="N2816" s="0" t="n">
        <v>554</v>
      </c>
      <c r="O2816" s="10" t="n">
        <v>0.314436893444508</v>
      </c>
      <c r="P2816" s="10" t="n">
        <v>0.198817263124511</v>
      </c>
      <c r="Q2816" s="0" t="str">
        <f aca="false">SUBSTITUTE(SUBSTITUTE($I2816,CHAR(61),""),CHAR(34),"")</f>
        <v>&lt;01</v>
      </c>
      <c r="R2816" s="0" t="str">
        <f aca="false">IF($D2816&lt;&gt;"","["&amp;$E2816&amp;"]"&amp;"|"&amp;$Q2816&amp;"|"&amp;$K2816&amp;"|"&amp;$G2816&amp;"|"&amp;IF($G2816="TX_CURR_SUBNAT.R","CY2022Q4",$M2816),"")</f>
        <v>[PekKUkKHAzY]|&lt;01|Female|PLHIV_Attend.T_1|CY2023Q3</v>
      </c>
    </row>
    <row r="2817" customFormat="false" ht="15" hidden="false" customHeight="false" outlineLevel="0" collapsed="false">
      <c r="D2817" s="0" t="s">
        <v>69</v>
      </c>
      <c r="E2817" s="0" t="s">
        <v>70</v>
      </c>
      <c r="F2817" s="0" t="s">
        <v>71</v>
      </c>
      <c r="G2817" s="0" t="s">
        <v>150</v>
      </c>
      <c r="H2817" s="0" t="s">
        <v>150</v>
      </c>
      <c r="I2817" s="0" t="s">
        <v>33</v>
      </c>
      <c r="J2817" s="0" t="s">
        <v>34</v>
      </c>
      <c r="K2817" s="0" t="s">
        <v>30</v>
      </c>
      <c r="L2817" s="0" t="s">
        <v>31</v>
      </c>
      <c r="M2817" s="0" t="s">
        <v>140</v>
      </c>
      <c r="N2817" s="0" t="n">
        <v>512</v>
      </c>
      <c r="O2817" s="10" t="n">
        <v>0.282304393826053</v>
      </c>
      <c r="P2817" s="10" t="n">
        <v>0.198817263124511</v>
      </c>
      <c r="Q2817" s="0" t="str">
        <f aca="false">SUBSTITUTE(SUBSTITUTE($I2817,CHAR(61),""),CHAR(34),"")</f>
        <v>01-09</v>
      </c>
      <c r="R2817" s="0" t="str">
        <f aca="false">IF($D2817&lt;&gt;"","["&amp;$E2817&amp;"]"&amp;"|"&amp;$Q2817&amp;"|"&amp;$K2817&amp;"|"&amp;$G2817&amp;"|"&amp;IF($G2817="TX_CURR_SUBNAT.R","CY2022Q4",$M2817),"")</f>
        <v>[PekKUkKHAzY]|01-09|Female|PLHIV_Attend.T_1|CY2023Q3</v>
      </c>
    </row>
    <row r="2818" customFormat="false" ht="15" hidden="false" customHeight="false" outlineLevel="0" collapsed="false">
      <c r="D2818" s="0" t="s">
        <v>69</v>
      </c>
      <c r="E2818" s="0" t="s">
        <v>70</v>
      </c>
      <c r="F2818" s="0" t="s">
        <v>71</v>
      </c>
      <c r="G2818" s="0" t="s">
        <v>150</v>
      </c>
      <c r="H2818" s="0" t="s">
        <v>150</v>
      </c>
      <c r="I2818" s="0" t="s">
        <v>36</v>
      </c>
      <c r="J2818" s="0" t="s">
        <v>37</v>
      </c>
      <c r="K2818" s="0" t="s">
        <v>30</v>
      </c>
      <c r="L2818" s="0" t="s">
        <v>31</v>
      </c>
      <c r="M2818" s="0" t="s">
        <v>140</v>
      </c>
      <c r="N2818" s="0" t="n">
        <v>1869</v>
      </c>
      <c r="O2818" s="10" t="n">
        <v>0.756066903471947</v>
      </c>
      <c r="P2818" s="10" t="n">
        <v>0.198817263124511</v>
      </c>
      <c r="Q2818" s="0" t="str">
        <f aca="false">SUBSTITUTE(SUBSTITUTE($I2818,CHAR(61),""),CHAR(34),"")</f>
        <v>10-14</v>
      </c>
      <c r="R2818" s="0" t="str">
        <f aca="false">IF($D2818&lt;&gt;"","["&amp;$E2818&amp;"]"&amp;"|"&amp;$Q2818&amp;"|"&amp;$K2818&amp;"|"&amp;$G2818&amp;"|"&amp;IF($G2818="TX_CURR_SUBNAT.R","CY2022Q4",$M2818),"")</f>
        <v>[PekKUkKHAzY]|10-14|Female|PLHIV_Attend.T_1|CY2023Q3</v>
      </c>
    </row>
    <row r="2819" customFormat="false" ht="15" hidden="false" customHeight="false" outlineLevel="0" collapsed="false">
      <c r="D2819" s="0" t="s">
        <v>69</v>
      </c>
      <c r="E2819" s="0" t="s">
        <v>70</v>
      </c>
      <c r="F2819" s="0" t="s">
        <v>71</v>
      </c>
      <c r="G2819" s="0" t="s">
        <v>150</v>
      </c>
      <c r="H2819" s="0" t="s">
        <v>150</v>
      </c>
      <c r="I2819" s="0" t="s">
        <v>38</v>
      </c>
      <c r="J2819" s="0" t="s">
        <v>39</v>
      </c>
      <c r="K2819" s="0" t="s">
        <v>30</v>
      </c>
      <c r="L2819" s="0" t="s">
        <v>31</v>
      </c>
      <c r="M2819" s="0" t="s">
        <v>140</v>
      </c>
      <c r="N2819" s="0" t="n">
        <v>775</v>
      </c>
      <c r="O2819" s="10" t="n">
        <v>0.181318734306842</v>
      </c>
      <c r="P2819" s="10" t="n">
        <v>0.198817263124511</v>
      </c>
      <c r="Q2819" s="0" t="str">
        <f aca="false">SUBSTITUTE(SUBSTITUTE($I2819,CHAR(61),""),CHAR(34),"")</f>
        <v>15-24</v>
      </c>
      <c r="R2819" s="0" t="str">
        <f aca="false">IF($D2819&lt;&gt;"","["&amp;$E2819&amp;"]"&amp;"|"&amp;$Q2819&amp;"|"&amp;$K2819&amp;"|"&amp;$G2819&amp;"|"&amp;IF($G2819="TX_CURR_SUBNAT.R","CY2022Q4",$M2819),"")</f>
        <v>[PekKUkKHAzY]|15-24|Female|PLHIV_Attend.T_1|CY2023Q3</v>
      </c>
    </row>
    <row r="2820" customFormat="false" ht="15" hidden="false" customHeight="false" outlineLevel="0" collapsed="false">
      <c r="D2820" s="0" t="s">
        <v>69</v>
      </c>
      <c r="E2820" s="0" t="s">
        <v>70</v>
      </c>
      <c r="F2820" s="0" t="s">
        <v>71</v>
      </c>
      <c r="G2820" s="0" t="s">
        <v>150</v>
      </c>
      <c r="H2820" s="0" t="s">
        <v>150</v>
      </c>
      <c r="I2820" s="0" t="s">
        <v>41</v>
      </c>
      <c r="J2820" s="0" t="s">
        <v>42</v>
      </c>
      <c r="K2820" s="0" t="s">
        <v>30</v>
      </c>
      <c r="L2820" s="0" t="s">
        <v>31</v>
      </c>
      <c r="M2820" s="0" t="s">
        <v>140</v>
      </c>
      <c r="N2820" s="0" t="n">
        <v>689</v>
      </c>
      <c r="O2820" s="10" t="n">
        <v>0.448018855648115</v>
      </c>
      <c r="P2820" s="10" t="n">
        <v>0.198817263124511</v>
      </c>
      <c r="Q2820" s="0" t="str">
        <f aca="false">SUBSTITUTE(SUBSTITUTE($I2820,CHAR(61),""),CHAR(34),"")</f>
        <v>25-34</v>
      </c>
      <c r="R2820" s="0" t="str">
        <f aca="false">IF($D2820&lt;&gt;"","["&amp;$E2820&amp;"]"&amp;"|"&amp;$Q2820&amp;"|"&amp;$K2820&amp;"|"&amp;$G2820&amp;"|"&amp;IF($G2820="TX_CURR_SUBNAT.R","CY2022Q4",$M2820),"")</f>
        <v>[PekKUkKHAzY]|25-34|Female|PLHIV_Attend.T_1|CY2023Q3</v>
      </c>
    </row>
    <row r="2821" customFormat="false" ht="15" hidden="false" customHeight="false" outlineLevel="0" collapsed="false">
      <c r="D2821" s="0" t="s">
        <v>69</v>
      </c>
      <c r="E2821" s="0" t="s">
        <v>70</v>
      </c>
      <c r="F2821" s="0" t="s">
        <v>71</v>
      </c>
      <c r="G2821" s="0" t="s">
        <v>150</v>
      </c>
      <c r="H2821" s="0" t="s">
        <v>150</v>
      </c>
      <c r="I2821" s="0" t="s">
        <v>43</v>
      </c>
      <c r="J2821" s="0" t="s">
        <v>44</v>
      </c>
      <c r="K2821" s="0" t="s">
        <v>30</v>
      </c>
      <c r="L2821" s="0" t="s">
        <v>31</v>
      </c>
      <c r="M2821" s="0" t="s">
        <v>140</v>
      </c>
      <c r="N2821" s="0" t="n">
        <v>1288</v>
      </c>
      <c r="O2821" s="10" t="n">
        <v>0.0873140671756119</v>
      </c>
      <c r="P2821" s="10" t="n">
        <v>0.198817263124511</v>
      </c>
      <c r="Q2821" s="0" t="str">
        <f aca="false">SUBSTITUTE(SUBSTITUTE($I2821,CHAR(61),""),CHAR(34),"")</f>
        <v>35-49</v>
      </c>
      <c r="R2821" s="0" t="str">
        <f aca="false">IF($D2821&lt;&gt;"","["&amp;$E2821&amp;"]"&amp;"|"&amp;$Q2821&amp;"|"&amp;$K2821&amp;"|"&amp;$G2821&amp;"|"&amp;IF($G2821="TX_CURR_SUBNAT.R","CY2022Q4",$M2821),"")</f>
        <v>[PekKUkKHAzY]|35-49|Female|PLHIV_Attend.T_1|CY2023Q3</v>
      </c>
    </row>
    <row r="2822" customFormat="false" ht="15" hidden="false" customHeight="false" outlineLevel="0" collapsed="false">
      <c r="D2822" s="0" t="s">
        <v>69</v>
      </c>
      <c r="E2822" s="0" t="s">
        <v>70</v>
      </c>
      <c r="F2822" s="0" t="s">
        <v>71</v>
      </c>
      <c r="G2822" s="0" t="s">
        <v>150</v>
      </c>
      <c r="H2822" s="0" t="s">
        <v>150</v>
      </c>
      <c r="I2822" s="0" t="s">
        <v>45</v>
      </c>
      <c r="J2822" s="0" t="s">
        <v>46</v>
      </c>
      <c r="K2822" s="0" t="s">
        <v>30</v>
      </c>
      <c r="L2822" s="0" t="s">
        <v>31</v>
      </c>
      <c r="M2822" s="0" t="s">
        <v>140</v>
      </c>
      <c r="N2822" s="0" t="n">
        <v>930</v>
      </c>
      <c r="O2822" s="10" t="n">
        <v>0.624167809262872</v>
      </c>
      <c r="P2822" s="10" t="n">
        <v>0.198817263124511</v>
      </c>
      <c r="Q2822" s="0" t="str">
        <f aca="false">SUBSTITUTE(SUBSTITUTE($I2822,CHAR(61),""),CHAR(34),"")</f>
        <v>50+</v>
      </c>
      <c r="R2822" s="0" t="str">
        <f aca="false">IF($D2822&lt;&gt;"","["&amp;$E2822&amp;"]"&amp;"|"&amp;$Q2822&amp;"|"&amp;$K2822&amp;"|"&amp;$G2822&amp;"|"&amp;IF($G2822="TX_CURR_SUBNAT.R","CY2022Q4",$M2822),"")</f>
        <v>[PekKUkKHAzY]|50+|Female|PLHIV_Attend.T_1|CY2023Q3</v>
      </c>
    </row>
    <row r="2823" customFormat="false" ht="15" hidden="false" customHeight="false" outlineLevel="0" collapsed="false">
      <c r="D2823" s="0" t="s">
        <v>69</v>
      </c>
      <c r="E2823" s="0" t="s">
        <v>70</v>
      </c>
      <c r="F2823" s="0" t="s">
        <v>71</v>
      </c>
      <c r="G2823" s="0" t="s">
        <v>150</v>
      </c>
      <c r="H2823" s="0" t="s">
        <v>150</v>
      </c>
      <c r="I2823" s="0" t="s">
        <v>28</v>
      </c>
      <c r="J2823" s="0" t="s">
        <v>29</v>
      </c>
      <c r="K2823" s="0" t="s">
        <v>48</v>
      </c>
      <c r="L2823" s="0" t="s">
        <v>49</v>
      </c>
      <c r="M2823" s="0" t="s">
        <v>140</v>
      </c>
      <c r="N2823" s="0" t="n">
        <v>1655</v>
      </c>
      <c r="O2823" s="10" t="n">
        <v>0.665339714149013</v>
      </c>
      <c r="P2823" s="10" t="n">
        <v>0.198817263124511</v>
      </c>
      <c r="Q2823" s="0" t="str">
        <f aca="false">SUBSTITUTE(SUBSTITUTE($I2823,CHAR(61),""),CHAR(34),"")</f>
        <v>&lt;01</v>
      </c>
      <c r="R2823" s="0" t="str">
        <f aca="false">IF($D2823&lt;&gt;"","["&amp;$E2823&amp;"]"&amp;"|"&amp;$Q2823&amp;"|"&amp;$K2823&amp;"|"&amp;$G2823&amp;"|"&amp;IF($G2823="TX_CURR_SUBNAT.R","CY2022Q4",$M2823),"")</f>
        <v>[PekKUkKHAzY]|&lt;01|Male|PLHIV_Attend.T_1|CY2023Q3</v>
      </c>
    </row>
    <row r="2824" customFormat="false" ht="15" hidden="false" customHeight="false" outlineLevel="0" collapsed="false">
      <c r="D2824" s="0" t="s">
        <v>69</v>
      </c>
      <c r="E2824" s="0" t="s">
        <v>70</v>
      </c>
      <c r="F2824" s="0" t="s">
        <v>71</v>
      </c>
      <c r="G2824" s="0" t="s">
        <v>150</v>
      </c>
      <c r="H2824" s="0" t="s">
        <v>150</v>
      </c>
      <c r="I2824" s="0" t="s">
        <v>33</v>
      </c>
      <c r="J2824" s="0" t="s">
        <v>34</v>
      </c>
      <c r="K2824" s="0" t="s">
        <v>48</v>
      </c>
      <c r="L2824" s="0" t="s">
        <v>49</v>
      </c>
      <c r="M2824" s="0" t="s">
        <v>140</v>
      </c>
      <c r="N2824" s="0" t="n">
        <v>966</v>
      </c>
      <c r="O2824" s="10" t="n">
        <v>0.220196516951546</v>
      </c>
      <c r="P2824" s="10" t="n">
        <v>0.198817263124511</v>
      </c>
      <c r="Q2824" s="0" t="str">
        <f aca="false">SUBSTITUTE(SUBSTITUTE($I2824,CHAR(61),""),CHAR(34),"")</f>
        <v>01-09</v>
      </c>
      <c r="R2824" s="0" t="str">
        <f aca="false">IF($D2824&lt;&gt;"","["&amp;$E2824&amp;"]"&amp;"|"&amp;$Q2824&amp;"|"&amp;$K2824&amp;"|"&amp;$G2824&amp;"|"&amp;IF($G2824="TX_CURR_SUBNAT.R","CY2022Q4",$M2824),"")</f>
        <v>[PekKUkKHAzY]|01-09|Male|PLHIV_Attend.T_1|CY2023Q3</v>
      </c>
    </row>
    <row r="2825" customFormat="false" ht="15" hidden="false" customHeight="false" outlineLevel="0" collapsed="false">
      <c r="D2825" s="0" t="s">
        <v>69</v>
      </c>
      <c r="E2825" s="0" t="s">
        <v>70</v>
      </c>
      <c r="F2825" s="0" t="s">
        <v>71</v>
      </c>
      <c r="G2825" s="0" t="s">
        <v>150</v>
      </c>
      <c r="H2825" s="0" t="s">
        <v>150</v>
      </c>
      <c r="I2825" s="0" t="s">
        <v>36</v>
      </c>
      <c r="J2825" s="0" t="s">
        <v>37</v>
      </c>
      <c r="K2825" s="0" t="s">
        <v>48</v>
      </c>
      <c r="L2825" s="0" t="s">
        <v>49</v>
      </c>
      <c r="M2825" s="0" t="s">
        <v>140</v>
      </c>
      <c r="N2825" s="0" t="n">
        <v>1947</v>
      </c>
      <c r="O2825" s="10" t="n">
        <v>0.784326256718487</v>
      </c>
      <c r="P2825" s="10" t="n">
        <v>0.198817263124511</v>
      </c>
      <c r="Q2825" s="0" t="str">
        <f aca="false">SUBSTITUTE(SUBSTITUTE($I2825,CHAR(61),""),CHAR(34),"")</f>
        <v>10-14</v>
      </c>
      <c r="R2825" s="0" t="str">
        <f aca="false">IF($D2825&lt;&gt;"","["&amp;$E2825&amp;"]"&amp;"|"&amp;$Q2825&amp;"|"&amp;$K2825&amp;"|"&amp;$G2825&amp;"|"&amp;IF($G2825="TX_CURR_SUBNAT.R","CY2022Q4",$M2825),"")</f>
        <v>[PekKUkKHAzY]|10-14|Male|PLHIV_Attend.T_1|CY2023Q3</v>
      </c>
    </row>
    <row r="2826" customFormat="false" ht="15" hidden="false" customHeight="false" outlineLevel="0" collapsed="false">
      <c r="D2826" s="0" t="s">
        <v>69</v>
      </c>
      <c r="E2826" s="0" t="s">
        <v>70</v>
      </c>
      <c r="F2826" s="0" t="s">
        <v>71</v>
      </c>
      <c r="G2826" s="0" t="s">
        <v>150</v>
      </c>
      <c r="H2826" s="0" t="s">
        <v>150</v>
      </c>
      <c r="I2826" s="0" t="s">
        <v>38</v>
      </c>
      <c r="J2826" s="0" t="s">
        <v>39</v>
      </c>
      <c r="K2826" s="0" t="s">
        <v>48</v>
      </c>
      <c r="L2826" s="0" t="s">
        <v>49</v>
      </c>
      <c r="M2826" s="0" t="s">
        <v>140</v>
      </c>
      <c r="N2826" s="0" t="n">
        <v>1333</v>
      </c>
      <c r="O2826" s="10" t="n">
        <v>0.662465890636668</v>
      </c>
      <c r="P2826" s="10" t="n">
        <v>0.198817263124511</v>
      </c>
      <c r="Q2826" s="0" t="str">
        <f aca="false">SUBSTITUTE(SUBSTITUTE($I2826,CHAR(61),""),CHAR(34),"")</f>
        <v>15-24</v>
      </c>
      <c r="R2826" s="0" t="str">
        <f aca="false">IF($D2826&lt;&gt;"","["&amp;$E2826&amp;"]"&amp;"|"&amp;$Q2826&amp;"|"&amp;$K2826&amp;"|"&amp;$G2826&amp;"|"&amp;IF($G2826="TX_CURR_SUBNAT.R","CY2022Q4",$M2826),"")</f>
        <v>[PekKUkKHAzY]|15-24|Male|PLHIV_Attend.T_1|CY2023Q3</v>
      </c>
    </row>
    <row r="2827" customFormat="false" ht="15" hidden="false" customHeight="false" outlineLevel="0" collapsed="false">
      <c r="D2827" s="0" t="s">
        <v>69</v>
      </c>
      <c r="E2827" s="0" t="s">
        <v>70</v>
      </c>
      <c r="F2827" s="0" t="s">
        <v>71</v>
      </c>
      <c r="G2827" s="0" t="s">
        <v>150</v>
      </c>
      <c r="H2827" s="0" t="s">
        <v>150</v>
      </c>
      <c r="I2827" s="0" t="s">
        <v>41</v>
      </c>
      <c r="J2827" s="0" t="s">
        <v>42</v>
      </c>
      <c r="K2827" s="0" t="s">
        <v>48</v>
      </c>
      <c r="L2827" s="0" t="s">
        <v>49</v>
      </c>
      <c r="M2827" s="0" t="s">
        <v>140</v>
      </c>
      <c r="N2827" s="0" t="n">
        <v>1138</v>
      </c>
      <c r="O2827" s="10" t="n">
        <v>0.168128708843142</v>
      </c>
      <c r="P2827" s="10" t="n">
        <v>0.198817263124511</v>
      </c>
      <c r="Q2827" s="0" t="str">
        <f aca="false">SUBSTITUTE(SUBSTITUTE($I2827,CHAR(61),""),CHAR(34),"")</f>
        <v>25-34</v>
      </c>
      <c r="R2827" s="0" t="str">
        <f aca="false">IF($D2827&lt;&gt;"","["&amp;$E2827&amp;"]"&amp;"|"&amp;$Q2827&amp;"|"&amp;$K2827&amp;"|"&amp;$G2827&amp;"|"&amp;IF($G2827="TX_CURR_SUBNAT.R","CY2022Q4",$M2827),"")</f>
        <v>[PekKUkKHAzY]|25-34|Male|PLHIV_Attend.T_1|CY2023Q3</v>
      </c>
    </row>
    <row r="2828" customFormat="false" ht="15" hidden="false" customHeight="false" outlineLevel="0" collapsed="false">
      <c r="D2828" s="0" t="s">
        <v>69</v>
      </c>
      <c r="E2828" s="0" t="s">
        <v>70</v>
      </c>
      <c r="F2828" s="0" t="s">
        <v>71</v>
      </c>
      <c r="G2828" s="0" t="s">
        <v>150</v>
      </c>
      <c r="H2828" s="0" t="s">
        <v>150</v>
      </c>
      <c r="I2828" s="0" t="s">
        <v>43</v>
      </c>
      <c r="J2828" s="0" t="s">
        <v>44</v>
      </c>
      <c r="K2828" s="0" t="s">
        <v>48</v>
      </c>
      <c r="L2828" s="0" t="s">
        <v>49</v>
      </c>
      <c r="M2828" s="0" t="s">
        <v>140</v>
      </c>
      <c r="N2828" s="0" t="n">
        <v>572</v>
      </c>
      <c r="O2828" s="10" t="n">
        <v>0.9846898233518</v>
      </c>
      <c r="P2828" s="10" t="n">
        <v>0.198817263124511</v>
      </c>
      <c r="Q2828" s="0" t="str">
        <f aca="false">SUBSTITUTE(SUBSTITUTE($I2828,CHAR(61),""),CHAR(34),"")</f>
        <v>35-49</v>
      </c>
      <c r="R2828" s="0" t="str">
        <f aca="false">IF($D2828&lt;&gt;"","["&amp;$E2828&amp;"]"&amp;"|"&amp;$Q2828&amp;"|"&amp;$K2828&amp;"|"&amp;$G2828&amp;"|"&amp;IF($G2828="TX_CURR_SUBNAT.R","CY2022Q4",$M2828),"")</f>
        <v>[PekKUkKHAzY]|35-49|Male|PLHIV_Attend.T_1|CY2023Q3</v>
      </c>
    </row>
    <row r="2829" customFormat="false" ht="15" hidden="false" customHeight="false" outlineLevel="0" collapsed="false">
      <c r="D2829" s="0" t="s">
        <v>69</v>
      </c>
      <c r="E2829" s="0" t="s">
        <v>70</v>
      </c>
      <c r="F2829" s="0" t="s">
        <v>71</v>
      </c>
      <c r="G2829" s="0" t="s">
        <v>150</v>
      </c>
      <c r="H2829" s="0" t="s">
        <v>150</v>
      </c>
      <c r="I2829" s="0" t="s">
        <v>45</v>
      </c>
      <c r="J2829" s="0" t="s">
        <v>46</v>
      </c>
      <c r="K2829" s="0" t="s">
        <v>48</v>
      </c>
      <c r="L2829" s="0" t="s">
        <v>49</v>
      </c>
      <c r="M2829" s="0" t="s">
        <v>140</v>
      </c>
      <c r="N2829" s="0" t="n">
        <v>1416</v>
      </c>
      <c r="O2829" s="10" t="n">
        <v>0.836865527322516</v>
      </c>
      <c r="P2829" s="10" t="n">
        <v>0.198817263124511</v>
      </c>
      <c r="Q2829" s="0" t="str">
        <f aca="false">SUBSTITUTE(SUBSTITUTE($I2829,CHAR(61),""),CHAR(34),"")</f>
        <v>50+</v>
      </c>
      <c r="R2829" s="0" t="str">
        <f aca="false">IF($D2829&lt;&gt;"","["&amp;$E2829&amp;"]"&amp;"|"&amp;$Q2829&amp;"|"&amp;$K2829&amp;"|"&amp;$G2829&amp;"|"&amp;IF($G2829="TX_CURR_SUBNAT.R","CY2022Q4",$M2829),"")</f>
        <v>[PekKUkKHAzY]|50+|Male|PLHIV_Attend.T_1|CY2023Q3</v>
      </c>
    </row>
    <row r="2830" customFormat="false" ht="15" hidden="false" customHeight="false" outlineLevel="0" collapsed="false">
      <c r="D2830" s="0" t="s">
        <v>72</v>
      </c>
      <c r="E2830" s="0" t="s">
        <v>73</v>
      </c>
      <c r="F2830" s="0" t="s">
        <v>74</v>
      </c>
      <c r="G2830" s="0" t="s">
        <v>150</v>
      </c>
      <c r="H2830" s="0" t="s">
        <v>150</v>
      </c>
      <c r="I2830" s="0" t="s">
        <v>28</v>
      </c>
      <c r="J2830" s="0" t="s">
        <v>29</v>
      </c>
      <c r="K2830" s="0" t="s">
        <v>30</v>
      </c>
      <c r="L2830" s="0" t="s">
        <v>31</v>
      </c>
      <c r="M2830" s="0" t="s">
        <v>140</v>
      </c>
      <c r="N2830" s="0" t="n">
        <v>1709</v>
      </c>
      <c r="O2830" s="10" t="n">
        <v>0.520694942679256</v>
      </c>
      <c r="P2830" s="10" t="n">
        <v>0.289728706935421</v>
      </c>
      <c r="Q2830" s="0" t="str">
        <f aca="false">SUBSTITUTE(SUBSTITUTE($I2830,CHAR(61),""),CHAR(34),"")</f>
        <v>&lt;01</v>
      </c>
      <c r="R2830" s="0" t="str">
        <f aca="false">IF($D2830&lt;&gt;"","["&amp;$E2830&amp;"]"&amp;"|"&amp;$Q2830&amp;"|"&amp;$K2830&amp;"|"&amp;$G2830&amp;"|"&amp;IF($G2830="TX_CURR_SUBNAT.R","CY2022Q4",$M2830),"")</f>
        <v>[am530wpaGvr]|&lt;01|Female|PLHIV_Attend.T_1|CY2023Q3</v>
      </c>
    </row>
    <row r="2831" customFormat="false" ht="15" hidden="false" customHeight="false" outlineLevel="0" collapsed="false">
      <c r="D2831" s="0" t="s">
        <v>72</v>
      </c>
      <c r="E2831" s="0" t="s">
        <v>73</v>
      </c>
      <c r="F2831" s="0" t="s">
        <v>74</v>
      </c>
      <c r="G2831" s="0" t="s">
        <v>150</v>
      </c>
      <c r="H2831" s="0" t="s">
        <v>150</v>
      </c>
      <c r="I2831" s="0" t="s">
        <v>33</v>
      </c>
      <c r="J2831" s="0" t="s">
        <v>34</v>
      </c>
      <c r="K2831" s="0" t="s">
        <v>30</v>
      </c>
      <c r="L2831" s="0" t="s">
        <v>31</v>
      </c>
      <c r="M2831" s="0" t="s">
        <v>140</v>
      </c>
      <c r="N2831" s="0" t="n">
        <v>1255</v>
      </c>
      <c r="O2831" s="10" t="n">
        <v>0.876389988232404</v>
      </c>
      <c r="P2831" s="10" t="n">
        <v>0.289728706935421</v>
      </c>
      <c r="Q2831" s="0" t="str">
        <f aca="false">SUBSTITUTE(SUBSTITUTE($I2831,CHAR(61),""),CHAR(34),"")</f>
        <v>01-09</v>
      </c>
      <c r="R2831" s="0" t="str">
        <f aca="false">IF($D2831&lt;&gt;"","["&amp;$E2831&amp;"]"&amp;"|"&amp;$Q2831&amp;"|"&amp;$K2831&amp;"|"&amp;$G2831&amp;"|"&amp;IF($G2831="TX_CURR_SUBNAT.R","CY2022Q4",$M2831),"")</f>
        <v>[am530wpaGvr]|01-09|Female|PLHIV_Attend.T_1|CY2023Q3</v>
      </c>
    </row>
    <row r="2832" customFormat="false" ht="15" hidden="false" customHeight="false" outlineLevel="0" collapsed="false">
      <c r="D2832" s="0" t="s">
        <v>72</v>
      </c>
      <c r="E2832" s="0" t="s">
        <v>73</v>
      </c>
      <c r="F2832" s="0" t="s">
        <v>74</v>
      </c>
      <c r="G2832" s="0" t="s">
        <v>150</v>
      </c>
      <c r="H2832" s="0" t="s">
        <v>150</v>
      </c>
      <c r="I2832" s="0" t="s">
        <v>36</v>
      </c>
      <c r="J2832" s="0" t="s">
        <v>37</v>
      </c>
      <c r="K2832" s="0" t="s">
        <v>30</v>
      </c>
      <c r="L2832" s="0" t="s">
        <v>31</v>
      </c>
      <c r="M2832" s="0" t="s">
        <v>140</v>
      </c>
      <c r="N2832" s="0" t="n">
        <v>612</v>
      </c>
      <c r="O2832" s="10" t="n">
        <v>0.534384727012366</v>
      </c>
      <c r="P2832" s="10" t="n">
        <v>0.289728706935421</v>
      </c>
      <c r="Q2832" s="0" t="str">
        <f aca="false">SUBSTITUTE(SUBSTITUTE($I2832,CHAR(61),""),CHAR(34),"")</f>
        <v>10-14</v>
      </c>
      <c r="R2832" s="0" t="str">
        <f aca="false">IF($D2832&lt;&gt;"","["&amp;$E2832&amp;"]"&amp;"|"&amp;$Q2832&amp;"|"&amp;$K2832&amp;"|"&amp;$G2832&amp;"|"&amp;IF($G2832="TX_CURR_SUBNAT.R","CY2022Q4",$M2832),"")</f>
        <v>[am530wpaGvr]|10-14|Female|PLHIV_Attend.T_1|CY2023Q3</v>
      </c>
    </row>
    <row r="2833" customFormat="false" ht="15" hidden="false" customHeight="false" outlineLevel="0" collapsed="false">
      <c r="D2833" s="0" t="s">
        <v>72</v>
      </c>
      <c r="E2833" s="0" t="s">
        <v>73</v>
      </c>
      <c r="F2833" s="0" t="s">
        <v>74</v>
      </c>
      <c r="G2833" s="0" t="s">
        <v>150</v>
      </c>
      <c r="H2833" s="0" t="s">
        <v>150</v>
      </c>
      <c r="I2833" s="0" t="s">
        <v>38</v>
      </c>
      <c r="J2833" s="0" t="s">
        <v>39</v>
      </c>
      <c r="K2833" s="0" t="s">
        <v>30</v>
      </c>
      <c r="L2833" s="0" t="s">
        <v>31</v>
      </c>
      <c r="M2833" s="0" t="s">
        <v>140</v>
      </c>
      <c r="N2833" s="0" t="n">
        <v>1936</v>
      </c>
      <c r="O2833" s="10" t="n">
        <v>0.957192523172125</v>
      </c>
      <c r="P2833" s="10" t="n">
        <v>0.289728706935421</v>
      </c>
      <c r="Q2833" s="0" t="str">
        <f aca="false">SUBSTITUTE(SUBSTITUTE($I2833,CHAR(61),""),CHAR(34),"")</f>
        <v>15-24</v>
      </c>
      <c r="R2833" s="0" t="str">
        <f aca="false">IF($D2833&lt;&gt;"","["&amp;$E2833&amp;"]"&amp;"|"&amp;$Q2833&amp;"|"&amp;$K2833&amp;"|"&amp;$G2833&amp;"|"&amp;IF($G2833="TX_CURR_SUBNAT.R","CY2022Q4",$M2833),"")</f>
        <v>[am530wpaGvr]|15-24|Female|PLHIV_Attend.T_1|CY2023Q3</v>
      </c>
    </row>
    <row r="2834" customFormat="false" ht="15" hidden="false" customHeight="false" outlineLevel="0" collapsed="false">
      <c r="D2834" s="0" t="s">
        <v>72</v>
      </c>
      <c r="E2834" s="0" t="s">
        <v>73</v>
      </c>
      <c r="F2834" s="0" t="s">
        <v>74</v>
      </c>
      <c r="G2834" s="0" t="s">
        <v>150</v>
      </c>
      <c r="H2834" s="0" t="s">
        <v>150</v>
      </c>
      <c r="I2834" s="0" t="s">
        <v>41</v>
      </c>
      <c r="J2834" s="0" t="s">
        <v>42</v>
      </c>
      <c r="K2834" s="0" t="s">
        <v>30</v>
      </c>
      <c r="L2834" s="0" t="s">
        <v>31</v>
      </c>
      <c r="M2834" s="0" t="s">
        <v>140</v>
      </c>
      <c r="N2834" s="0" t="n">
        <v>695</v>
      </c>
      <c r="O2834" s="10" t="n">
        <v>0.14173831208609</v>
      </c>
      <c r="P2834" s="10" t="n">
        <v>0.289728706935421</v>
      </c>
      <c r="Q2834" s="0" t="str">
        <f aca="false">SUBSTITUTE(SUBSTITUTE($I2834,CHAR(61),""),CHAR(34),"")</f>
        <v>25-34</v>
      </c>
      <c r="R2834" s="0" t="str">
        <f aca="false">IF($D2834&lt;&gt;"","["&amp;$E2834&amp;"]"&amp;"|"&amp;$Q2834&amp;"|"&amp;$K2834&amp;"|"&amp;$G2834&amp;"|"&amp;IF($G2834="TX_CURR_SUBNAT.R","CY2022Q4",$M2834),"")</f>
        <v>[am530wpaGvr]|25-34|Female|PLHIV_Attend.T_1|CY2023Q3</v>
      </c>
    </row>
    <row r="2835" customFormat="false" ht="15" hidden="false" customHeight="false" outlineLevel="0" collapsed="false">
      <c r="D2835" s="0" t="s">
        <v>72</v>
      </c>
      <c r="E2835" s="0" t="s">
        <v>73</v>
      </c>
      <c r="F2835" s="0" t="s">
        <v>74</v>
      </c>
      <c r="G2835" s="0" t="s">
        <v>150</v>
      </c>
      <c r="H2835" s="0" t="s">
        <v>150</v>
      </c>
      <c r="I2835" s="0" t="s">
        <v>43</v>
      </c>
      <c r="J2835" s="0" t="s">
        <v>44</v>
      </c>
      <c r="K2835" s="0" t="s">
        <v>30</v>
      </c>
      <c r="L2835" s="0" t="s">
        <v>31</v>
      </c>
      <c r="M2835" s="0" t="s">
        <v>140</v>
      </c>
      <c r="N2835" s="0" t="n">
        <v>1492</v>
      </c>
      <c r="O2835" s="10" t="n">
        <v>0.4914109793026</v>
      </c>
      <c r="P2835" s="10" t="n">
        <v>0.289728706935421</v>
      </c>
      <c r="Q2835" s="0" t="str">
        <f aca="false">SUBSTITUTE(SUBSTITUTE($I2835,CHAR(61),""),CHAR(34),"")</f>
        <v>35-49</v>
      </c>
      <c r="R2835" s="0" t="str">
        <f aca="false">IF($D2835&lt;&gt;"","["&amp;$E2835&amp;"]"&amp;"|"&amp;$Q2835&amp;"|"&amp;$K2835&amp;"|"&amp;$G2835&amp;"|"&amp;IF($G2835="TX_CURR_SUBNAT.R","CY2022Q4",$M2835),"")</f>
        <v>[am530wpaGvr]|35-49|Female|PLHIV_Attend.T_1|CY2023Q3</v>
      </c>
    </row>
    <row r="2836" customFormat="false" ht="15" hidden="false" customHeight="false" outlineLevel="0" collapsed="false">
      <c r="D2836" s="0" t="s">
        <v>72</v>
      </c>
      <c r="E2836" s="0" t="s">
        <v>73</v>
      </c>
      <c r="F2836" s="0" t="s">
        <v>74</v>
      </c>
      <c r="G2836" s="0" t="s">
        <v>150</v>
      </c>
      <c r="H2836" s="0" t="s">
        <v>150</v>
      </c>
      <c r="I2836" s="0" t="s">
        <v>45</v>
      </c>
      <c r="J2836" s="0" t="s">
        <v>46</v>
      </c>
      <c r="K2836" s="0" t="s">
        <v>30</v>
      </c>
      <c r="L2836" s="0" t="s">
        <v>31</v>
      </c>
      <c r="M2836" s="0" t="s">
        <v>140</v>
      </c>
      <c r="N2836" s="0" t="n">
        <v>539</v>
      </c>
      <c r="O2836" s="10" t="n">
        <v>0.427683017216623</v>
      </c>
      <c r="P2836" s="10" t="n">
        <v>0.289728706935421</v>
      </c>
      <c r="Q2836" s="0" t="str">
        <f aca="false">SUBSTITUTE(SUBSTITUTE($I2836,CHAR(61),""),CHAR(34),"")</f>
        <v>50+</v>
      </c>
      <c r="R2836" s="0" t="str">
        <f aca="false">IF($D2836&lt;&gt;"","["&amp;$E2836&amp;"]"&amp;"|"&amp;$Q2836&amp;"|"&amp;$K2836&amp;"|"&amp;$G2836&amp;"|"&amp;IF($G2836="TX_CURR_SUBNAT.R","CY2022Q4",$M2836),"")</f>
        <v>[am530wpaGvr]|50+|Female|PLHIV_Attend.T_1|CY2023Q3</v>
      </c>
    </row>
    <row r="2837" customFormat="false" ht="15" hidden="false" customHeight="false" outlineLevel="0" collapsed="false">
      <c r="D2837" s="0" t="s">
        <v>72</v>
      </c>
      <c r="E2837" s="0" t="s">
        <v>73</v>
      </c>
      <c r="F2837" s="0" t="s">
        <v>74</v>
      </c>
      <c r="G2837" s="0" t="s">
        <v>150</v>
      </c>
      <c r="H2837" s="0" t="s">
        <v>150</v>
      </c>
      <c r="I2837" s="0" t="s">
        <v>28</v>
      </c>
      <c r="J2837" s="0" t="s">
        <v>29</v>
      </c>
      <c r="K2837" s="0" t="s">
        <v>48</v>
      </c>
      <c r="L2837" s="0" t="s">
        <v>49</v>
      </c>
      <c r="M2837" s="0" t="s">
        <v>140</v>
      </c>
      <c r="N2837" s="0" t="n">
        <v>961</v>
      </c>
      <c r="O2837" s="10" t="n">
        <v>0.459496411727741</v>
      </c>
      <c r="P2837" s="10" t="n">
        <v>0.289728706935421</v>
      </c>
      <c r="Q2837" s="0" t="str">
        <f aca="false">SUBSTITUTE(SUBSTITUTE($I2837,CHAR(61),""),CHAR(34),"")</f>
        <v>&lt;01</v>
      </c>
      <c r="R2837" s="0" t="str">
        <f aca="false">IF($D2837&lt;&gt;"","["&amp;$E2837&amp;"]"&amp;"|"&amp;$Q2837&amp;"|"&amp;$K2837&amp;"|"&amp;$G2837&amp;"|"&amp;IF($G2837="TX_CURR_SUBNAT.R","CY2022Q4",$M2837),"")</f>
        <v>[am530wpaGvr]|&lt;01|Male|PLHIV_Attend.T_1|CY2023Q3</v>
      </c>
    </row>
    <row r="2838" customFormat="false" ht="15" hidden="false" customHeight="false" outlineLevel="0" collapsed="false">
      <c r="D2838" s="0" t="s">
        <v>72</v>
      </c>
      <c r="E2838" s="0" t="s">
        <v>73</v>
      </c>
      <c r="F2838" s="0" t="s">
        <v>74</v>
      </c>
      <c r="G2838" s="0" t="s">
        <v>150</v>
      </c>
      <c r="H2838" s="0" t="s">
        <v>150</v>
      </c>
      <c r="I2838" s="0" t="s">
        <v>33</v>
      </c>
      <c r="J2838" s="0" t="s">
        <v>34</v>
      </c>
      <c r="K2838" s="0" t="s">
        <v>48</v>
      </c>
      <c r="L2838" s="0" t="s">
        <v>49</v>
      </c>
      <c r="M2838" s="0" t="s">
        <v>140</v>
      </c>
      <c r="N2838" s="0" t="n">
        <v>1271</v>
      </c>
      <c r="O2838" s="10" t="n">
        <v>0.41767779039219</v>
      </c>
      <c r="P2838" s="10" t="n">
        <v>0.289728706935421</v>
      </c>
      <c r="Q2838" s="0" t="str">
        <f aca="false">SUBSTITUTE(SUBSTITUTE($I2838,CHAR(61),""),CHAR(34),"")</f>
        <v>01-09</v>
      </c>
      <c r="R2838" s="0" t="str">
        <f aca="false">IF($D2838&lt;&gt;"","["&amp;$E2838&amp;"]"&amp;"|"&amp;$Q2838&amp;"|"&amp;$K2838&amp;"|"&amp;$G2838&amp;"|"&amp;IF($G2838="TX_CURR_SUBNAT.R","CY2022Q4",$M2838),"")</f>
        <v>[am530wpaGvr]|01-09|Male|PLHIV_Attend.T_1|CY2023Q3</v>
      </c>
    </row>
    <row r="2839" customFormat="false" ht="15" hidden="false" customHeight="false" outlineLevel="0" collapsed="false">
      <c r="D2839" s="0" t="s">
        <v>72</v>
      </c>
      <c r="E2839" s="0" t="s">
        <v>73</v>
      </c>
      <c r="F2839" s="0" t="s">
        <v>74</v>
      </c>
      <c r="G2839" s="0" t="s">
        <v>150</v>
      </c>
      <c r="H2839" s="0" t="s">
        <v>150</v>
      </c>
      <c r="I2839" s="0" t="s">
        <v>36</v>
      </c>
      <c r="J2839" s="0" t="s">
        <v>37</v>
      </c>
      <c r="K2839" s="0" t="s">
        <v>48</v>
      </c>
      <c r="L2839" s="0" t="s">
        <v>49</v>
      </c>
      <c r="M2839" s="0" t="s">
        <v>140</v>
      </c>
      <c r="N2839" s="0" t="n">
        <v>829</v>
      </c>
      <c r="O2839" s="10" t="n">
        <v>0.530417331727222</v>
      </c>
      <c r="P2839" s="10" t="n">
        <v>0.289728706935421</v>
      </c>
      <c r="Q2839" s="0" t="str">
        <f aca="false">SUBSTITUTE(SUBSTITUTE($I2839,CHAR(61),""),CHAR(34),"")</f>
        <v>10-14</v>
      </c>
      <c r="R2839" s="0" t="str">
        <f aca="false">IF($D2839&lt;&gt;"","["&amp;$E2839&amp;"]"&amp;"|"&amp;$Q2839&amp;"|"&amp;$K2839&amp;"|"&amp;$G2839&amp;"|"&amp;IF($G2839="TX_CURR_SUBNAT.R","CY2022Q4",$M2839),"")</f>
        <v>[am530wpaGvr]|10-14|Male|PLHIV_Attend.T_1|CY2023Q3</v>
      </c>
    </row>
    <row r="2840" customFormat="false" ht="15" hidden="false" customHeight="false" outlineLevel="0" collapsed="false">
      <c r="D2840" s="0" t="s">
        <v>72</v>
      </c>
      <c r="E2840" s="0" t="s">
        <v>73</v>
      </c>
      <c r="F2840" s="0" t="s">
        <v>74</v>
      </c>
      <c r="G2840" s="0" t="s">
        <v>150</v>
      </c>
      <c r="H2840" s="0" t="s">
        <v>150</v>
      </c>
      <c r="I2840" s="0" t="s">
        <v>38</v>
      </c>
      <c r="J2840" s="0" t="s">
        <v>39</v>
      </c>
      <c r="K2840" s="0" t="s">
        <v>48</v>
      </c>
      <c r="L2840" s="0" t="s">
        <v>49</v>
      </c>
      <c r="M2840" s="0" t="s">
        <v>140</v>
      </c>
      <c r="N2840" s="0" t="n">
        <v>815</v>
      </c>
      <c r="O2840" s="10" t="n">
        <v>0.135953343007714</v>
      </c>
      <c r="P2840" s="10" t="n">
        <v>0.289728706935421</v>
      </c>
      <c r="Q2840" s="0" t="str">
        <f aca="false">SUBSTITUTE(SUBSTITUTE($I2840,CHAR(61),""),CHAR(34),"")</f>
        <v>15-24</v>
      </c>
      <c r="R2840" s="0" t="str">
        <f aca="false">IF($D2840&lt;&gt;"","["&amp;$E2840&amp;"]"&amp;"|"&amp;$Q2840&amp;"|"&amp;$K2840&amp;"|"&amp;$G2840&amp;"|"&amp;IF($G2840="TX_CURR_SUBNAT.R","CY2022Q4",$M2840),"")</f>
        <v>[am530wpaGvr]|15-24|Male|PLHIV_Attend.T_1|CY2023Q3</v>
      </c>
    </row>
    <row r="2841" customFormat="false" ht="15" hidden="false" customHeight="false" outlineLevel="0" collapsed="false">
      <c r="D2841" s="0" t="s">
        <v>72</v>
      </c>
      <c r="E2841" s="0" t="s">
        <v>73</v>
      </c>
      <c r="F2841" s="0" t="s">
        <v>74</v>
      </c>
      <c r="G2841" s="0" t="s">
        <v>150</v>
      </c>
      <c r="H2841" s="0" t="s">
        <v>150</v>
      </c>
      <c r="I2841" s="0" t="s">
        <v>41</v>
      </c>
      <c r="J2841" s="0" t="s">
        <v>42</v>
      </c>
      <c r="K2841" s="0" t="s">
        <v>48</v>
      </c>
      <c r="L2841" s="0" t="s">
        <v>49</v>
      </c>
      <c r="M2841" s="0" t="s">
        <v>140</v>
      </c>
      <c r="N2841" s="0" t="n">
        <v>1269</v>
      </c>
      <c r="O2841" s="10" t="n">
        <v>0.652761633973569</v>
      </c>
      <c r="P2841" s="10" t="n">
        <v>0.289728706935421</v>
      </c>
      <c r="Q2841" s="0" t="str">
        <f aca="false">SUBSTITUTE(SUBSTITUTE($I2841,CHAR(61),""),CHAR(34),"")</f>
        <v>25-34</v>
      </c>
      <c r="R2841" s="0" t="str">
        <f aca="false">IF($D2841&lt;&gt;"","["&amp;$E2841&amp;"]"&amp;"|"&amp;$Q2841&amp;"|"&amp;$K2841&amp;"|"&amp;$G2841&amp;"|"&amp;IF($G2841="TX_CURR_SUBNAT.R","CY2022Q4",$M2841),"")</f>
        <v>[am530wpaGvr]|25-34|Male|PLHIV_Attend.T_1|CY2023Q3</v>
      </c>
    </row>
    <row r="2842" customFormat="false" ht="15" hidden="false" customHeight="false" outlineLevel="0" collapsed="false">
      <c r="D2842" s="0" t="s">
        <v>72</v>
      </c>
      <c r="E2842" s="0" t="s">
        <v>73</v>
      </c>
      <c r="F2842" s="0" t="s">
        <v>74</v>
      </c>
      <c r="G2842" s="0" t="s">
        <v>150</v>
      </c>
      <c r="H2842" s="0" t="s">
        <v>150</v>
      </c>
      <c r="I2842" s="0" t="s">
        <v>43</v>
      </c>
      <c r="J2842" s="0" t="s">
        <v>44</v>
      </c>
      <c r="K2842" s="0" t="s">
        <v>48</v>
      </c>
      <c r="L2842" s="0" t="s">
        <v>49</v>
      </c>
      <c r="M2842" s="0" t="s">
        <v>140</v>
      </c>
      <c r="N2842" s="0" t="n">
        <v>920</v>
      </c>
      <c r="O2842" s="10" t="n">
        <v>0.102767721284181</v>
      </c>
      <c r="P2842" s="10" t="n">
        <v>0.289728706935421</v>
      </c>
      <c r="Q2842" s="0" t="str">
        <f aca="false">SUBSTITUTE(SUBSTITUTE($I2842,CHAR(61),""),CHAR(34),"")</f>
        <v>35-49</v>
      </c>
      <c r="R2842" s="0" t="str">
        <f aca="false">IF($D2842&lt;&gt;"","["&amp;$E2842&amp;"]"&amp;"|"&amp;$Q2842&amp;"|"&amp;$K2842&amp;"|"&amp;$G2842&amp;"|"&amp;IF($G2842="TX_CURR_SUBNAT.R","CY2022Q4",$M2842),"")</f>
        <v>[am530wpaGvr]|35-49|Male|PLHIV_Attend.T_1|CY2023Q3</v>
      </c>
    </row>
    <row r="2843" customFormat="false" ht="15" hidden="false" customHeight="false" outlineLevel="0" collapsed="false">
      <c r="D2843" s="0" t="s">
        <v>72</v>
      </c>
      <c r="E2843" s="0" t="s">
        <v>73</v>
      </c>
      <c r="F2843" s="0" t="s">
        <v>74</v>
      </c>
      <c r="G2843" s="0" t="s">
        <v>150</v>
      </c>
      <c r="H2843" s="0" t="s">
        <v>150</v>
      </c>
      <c r="I2843" s="0" t="s">
        <v>45</v>
      </c>
      <c r="J2843" s="0" t="s">
        <v>46</v>
      </c>
      <c r="K2843" s="0" t="s">
        <v>48</v>
      </c>
      <c r="L2843" s="0" t="s">
        <v>49</v>
      </c>
      <c r="M2843" s="0" t="s">
        <v>140</v>
      </c>
      <c r="N2843" s="0" t="n">
        <v>673</v>
      </c>
      <c r="O2843" s="10" t="n">
        <v>0.00523588783107698</v>
      </c>
      <c r="P2843" s="10" t="n">
        <v>0.289728706935421</v>
      </c>
      <c r="Q2843" s="0" t="str">
        <f aca="false">SUBSTITUTE(SUBSTITUTE($I2843,CHAR(61),""),CHAR(34),"")</f>
        <v>50+</v>
      </c>
      <c r="R2843" s="0" t="str">
        <f aca="false">IF($D2843&lt;&gt;"","["&amp;$E2843&amp;"]"&amp;"|"&amp;$Q2843&amp;"|"&amp;$K2843&amp;"|"&amp;$G2843&amp;"|"&amp;IF($G2843="TX_CURR_SUBNAT.R","CY2022Q4",$M2843),"")</f>
        <v>[am530wpaGvr]|50+|Male|PLHIV_Attend.T_1|CY2023Q3</v>
      </c>
    </row>
    <row r="2844" customFormat="false" ht="15" hidden="false" customHeight="false" outlineLevel="0" collapsed="false">
      <c r="D2844" s="0" t="s">
        <v>75</v>
      </c>
      <c r="E2844" s="0" t="s">
        <v>76</v>
      </c>
      <c r="F2844" s="0" t="s">
        <v>77</v>
      </c>
      <c r="G2844" s="0" t="s">
        <v>150</v>
      </c>
      <c r="H2844" s="0" t="s">
        <v>150</v>
      </c>
      <c r="I2844" s="0" t="s">
        <v>28</v>
      </c>
      <c r="J2844" s="0" t="s">
        <v>29</v>
      </c>
      <c r="K2844" s="0" t="s">
        <v>30</v>
      </c>
      <c r="L2844" s="0" t="s">
        <v>31</v>
      </c>
      <c r="M2844" s="0" t="s">
        <v>140</v>
      </c>
      <c r="N2844" s="0" t="n">
        <v>854</v>
      </c>
      <c r="O2844" s="10" t="n">
        <v>0.482141519896686</v>
      </c>
      <c r="P2844" s="10" t="n">
        <v>0.303055507596582</v>
      </c>
      <c r="Q2844" s="0" t="str">
        <f aca="false">SUBSTITUTE(SUBSTITUTE($I2844,CHAR(61),""),CHAR(34),"")</f>
        <v>&lt;01</v>
      </c>
      <c r="R2844" s="0" t="str">
        <f aca="false">IF($D2844&lt;&gt;"","["&amp;$E2844&amp;"]"&amp;"|"&amp;$Q2844&amp;"|"&amp;$K2844&amp;"|"&amp;$G2844&amp;"|"&amp;IF($G2844="TX_CURR_SUBNAT.R","CY2022Q4",$M2844),"")</f>
        <v>[lLDyBx5XyUi]|&lt;01|Female|PLHIV_Attend.T_1|CY2023Q3</v>
      </c>
    </row>
    <row r="2845" customFormat="false" ht="15" hidden="false" customHeight="false" outlineLevel="0" collapsed="false">
      <c r="D2845" s="0" t="s">
        <v>75</v>
      </c>
      <c r="E2845" s="0" t="s">
        <v>76</v>
      </c>
      <c r="F2845" s="0" t="s">
        <v>77</v>
      </c>
      <c r="G2845" s="0" t="s">
        <v>150</v>
      </c>
      <c r="H2845" s="0" t="s">
        <v>150</v>
      </c>
      <c r="I2845" s="0" t="s">
        <v>33</v>
      </c>
      <c r="J2845" s="0" t="s">
        <v>34</v>
      </c>
      <c r="K2845" s="0" t="s">
        <v>30</v>
      </c>
      <c r="L2845" s="0" t="s">
        <v>31</v>
      </c>
      <c r="M2845" s="0" t="s">
        <v>140</v>
      </c>
      <c r="N2845" s="0" t="n">
        <v>1631</v>
      </c>
      <c r="O2845" s="10" t="n">
        <v>0.623778313165531</v>
      </c>
      <c r="P2845" s="10" t="n">
        <v>0.303055507596582</v>
      </c>
      <c r="Q2845" s="0" t="str">
        <f aca="false">SUBSTITUTE(SUBSTITUTE($I2845,CHAR(61),""),CHAR(34),"")</f>
        <v>01-09</v>
      </c>
      <c r="R2845" s="0" t="str">
        <f aca="false">IF($D2845&lt;&gt;"","["&amp;$E2845&amp;"]"&amp;"|"&amp;$Q2845&amp;"|"&amp;$K2845&amp;"|"&amp;$G2845&amp;"|"&amp;IF($G2845="TX_CURR_SUBNAT.R","CY2022Q4",$M2845),"")</f>
        <v>[lLDyBx5XyUi]|01-09|Female|PLHIV_Attend.T_1|CY2023Q3</v>
      </c>
    </row>
    <row r="2846" customFormat="false" ht="15" hidden="false" customHeight="false" outlineLevel="0" collapsed="false">
      <c r="D2846" s="0" t="s">
        <v>75</v>
      </c>
      <c r="E2846" s="0" t="s">
        <v>76</v>
      </c>
      <c r="F2846" s="0" t="s">
        <v>77</v>
      </c>
      <c r="G2846" s="0" t="s">
        <v>150</v>
      </c>
      <c r="H2846" s="0" t="s">
        <v>150</v>
      </c>
      <c r="I2846" s="0" t="s">
        <v>36</v>
      </c>
      <c r="J2846" s="0" t="s">
        <v>37</v>
      </c>
      <c r="K2846" s="0" t="s">
        <v>30</v>
      </c>
      <c r="L2846" s="0" t="s">
        <v>31</v>
      </c>
      <c r="M2846" s="0" t="s">
        <v>140</v>
      </c>
      <c r="N2846" s="0" t="n">
        <v>1956</v>
      </c>
      <c r="O2846" s="10" t="n">
        <v>0.997364994138479</v>
      </c>
      <c r="P2846" s="10" t="n">
        <v>0.303055507596582</v>
      </c>
      <c r="Q2846" s="0" t="str">
        <f aca="false">SUBSTITUTE(SUBSTITUTE($I2846,CHAR(61),""),CHAR(34),"")</f>
        <v>10-14</v>
      </c>
      <c r="R2846" s="0" t="str">
        <f aca="false">IF($D2846&lt;&gt;"","["&amp;$E2846&amp;"]"&amp;"|"&amp;$Q2846&amp;"|"&amp;$K2846&amp;"|"&amp;$G2846&amp;"|"&amp;IF($G2846="TX_CURR_SUBNAT.R","CY2022Q4",$M2846),"")</f>
        <v>[lLDyBx5XyUi]|10-14|Female|PLHIV_Attend.T_1|CY2023Q3</v>
      </c>
    </row>
    <row r="2847" customFormat="false" ht="15" hidden="false" customHeight="false" outlineLevel="0" collapsed="false">
      <c r="D2847" s="0" t="s">
        <v>75</v>
      </c>
      <c r="E2847" s="0" t="s">
        <v>76</v>
      </c>
      <c r="F2847" s="0" t="s">
        <v>77</v>
      </c>
      <c r="G2847" s="0" t="s">
        <v>150</v>
      </c>
      <c r="H2847" s="0" t="s">
        <v>150</v>
      </c>
      <c r="I2847" s="0" t="s">
        <v>38</v>
      </c>
      <c r="J2847" s="0" t="s">
        <v>39</v>
      </c>
      <c r="K2847" s="0" t="s">
        <v>30</v>
      </c>
      <c r="L2847" s="0" t="s">
        <v>31</v>
      </c>
      <c r="M2847" s="0" t="s">
        <v>140</v>
      </c>
      <c r="N2847" s="0" t="n">
        <v>732</v>
      </c>
      <c r="O2847" s="10" t="n">
        <v>0.336684701265767</v>
      </c>
      <c r="P2847" s="10" t="n">
        <v>0.303055507596582</v>
      </c>
      <c r="Q2847" s="0" t="str">
        <f aca="false">SUBSTITUTE(SUBSTITUTE($I2847,CHAR(61),""),CHAR(34),"")</f>
        <v>15-24</v>
      </c>
      <c r="R2847" s="0" t="str">
        <f aca="false">IF($D2847&lt;&gt;"","["&amp;$E2847&amp;"]"&amp;"|"&amp;$Q2847&amp;"|"&amp;$K2847&amp;"|"&amp;$G2847&amp;"|"&amp;IF($G2847="TX_CURR_SUBNAT.R","CY2022Q4",$M2847),"")</f>
        <v>[lLDyBx5XyUi]|15-24|Female|PLHIV_Attend.T_1|CY2023Q3</v>
      </c>
    </row>
    <row r="2848" customFormat="false" ht="15" hidden="false" customHeight="false" outlineLevel="0" collapsed="false">
      <c r="D2848" s="0" t="s">
        <v>75</v>
      </c>
      <c r="E2848" s="0" t="s">
        <v>76</v>
      </c>
      <c r="F2848" s="0" t="s">
        <v>77</v>
      </c>
      <c r="G2848" s="0" t="s">
        <v>150</v>
      </c>
      <c r="H2848" s="0" t="s">
        <v>150</v>
      </c>
      <c r="I2848" s="0" t="s">
        <v>41</v>
      </c>
      <c r="J2848" s="0" t="s">
        <v>42</v>
      </c>
      <c r="K2848" s="0" t="s">
        <v>30</v>
      </c>
      <c r="L2848" s="0" t="s">
        <v>31</v>
      </c>
      <c r="M2848" s="0" t="s">
        <v>140</v>
      </c>
      <c r="N2848" s="0" t="n">
        <v>1334</v>
      </c>
      <c r="O2848" s="10" t="n">
        <v>0.671422963263467</v>
      </c>
      <c r="P2848" s="10" t="n">
        <v>0.303055507596582</v>
      </c>
      <c r="Q2848" s="0" t="str">
        <f aca="false">SUBSTITUTE(SUBSTITUTE($I2848,CHAR(61),""),CHAR(34),"")</f>
        <v>25-34</v>
      </c>
      <c r="R2848" s="0" t="str">
        <f aca="false">IF($D2848&lt;&gt;"","["&amp;$E2848&amp;"]"&amp;"|"&amp;$Q2848&amp;"|"&amp;$K2848&amp;"|"&amp;$G2848&amp;"|"&amp;IF($G2848="TX_CURR_SUBNAT.R","CY2022Q4",$M2848),"")</f>
        <v>[lLDyBx5XyUi]|25-34|Female|PLHIV_Attend.T_1|CY2023Q3</v>
      </c>
    </row>
    <row r="2849" customFormat="false" ht="15" hidden="false" customHeight="false" outlineLevel="0" collapsed="false">
      <c r="D2849" s="0" t="s">
        <v>75</v>
      </c>
      <c r="E2849" s="0" t="s">
        <v>76</v>
      </c>
      <c r="F2849" s="0" t="s">
        <v>77</v>
      </c>
      <c r="G2849" s="0" t="s">
        <v>150</v>
      </c>
      <c r="H2849" s="0" t="s">
        <v>150</v>
      </c>
      <c r="I2849" s="0" t="s">
        <v>43</v>
      </c>
      <c r="J2849" s="0" t="s">
        <v>44</v>
      </c>
      <c r="K2849" s="0" t="s">
        <v>30</v>
      </c>
      <c r="L2849" s="0" t="s">
        <v>31</v>
      </c>
      <c r="M2849" s="0" t="s">
        <v>140</v>
      </c>
      <c r="N2849" s="0" t="n">
        <v>1303</v>
      </c>
      <c r="O2849" s="10" t="n">
        <v>0.939928315579891</v>
      </c>
      <c r="P2849" s="10" t="n">
        <v>0.303055507596582</v>
      </c>
      <c r="Q2849" s="0" t="str">
        <f aca="false">SUBSTITUTE(SUBSTITUTE($I2849,CHAR(61),""),CHAR(34),"")</f>
        <v>35-49</v>
      </c>
      <c r="R2849" s="0" t="str">
        <f aca="false">IF($D2849&lt;&gt;"","["&amp;$E2849&amp;"]"&amp;"|"&amp;$Q2849&amp;"|"&amp;$K2849&amp;"|"&amp;$G2849&amp;"|"&amp;IF($G2849="TX_CURR_SUBNAT.R","CY2022Q4",$M2849),"")</f>
        <v>[lLDyBx5XyUi]|35-49|Female|PLHIV_Attend.T_1|CY2023Q3</v>
      </c>
    </row>
    <row r="2850" customFormat="false" ht="15" hidden="false" customHeight="false" outlineLevel="0" collapsed="false">
      <c r="D2850" s="0" t="s">
        <v>75</v>
      </c>
      <c r="E2850" s="0" t="s">
        <v>76</v>
      </c>
      <c r="F2850" s="0" t="s">
        <v>77</v>
      </c>
      <c r="G2850" s="0" t="s">
        <v>150</v>
      </c>
      <c r="H2850" s="0" t="s">
        <v>150</v>
      </c>
      <c r="I2850" s="0" t="s">
        <v>45</v>
      </c>
      <c r="J2850" s="0" t="s">
        <v>46</v>
      </c>
      <c r="K2850" s="0" t="s">
        <v>30</v>
      </c>
      <c r="L2850" s="0" t="s">
        <v>31</v>
      </c>
      <c r="M2850" s="0" t="s">
        <v>140</v>
      </c>
      <c r="N2850" s="0" t="n">
        <v>1425</v>
      </c>
      <c r="O2850" s="10" t="n">
        <v>0.698931940831244</v>
      </c>
      <c r="P2850" s="10" t="n">
        <v>0.303055507596582</v>
      </c>
      <c r="Q2850" s="0" t="str">
        <f aca="false">SUBSTITUTE(SUBSTITUTE($I2850,CHAR(61),""),CHAR(34),"")</f>
        <v>50+</v>
      </c>
      <c r="R2850" s="0" t="str">
        <f aca="false">IF($D2850&lt;&gt;"","["&amp;$E2850&amp;"]"&amp;"|"&amp;$Q2850&amp;"|"&amp;$K2850&amp;"|"&amp;$G2850&amp;"|"&amp;IF($G2850="TX_CURR_SUBNAT.R","CY2022Q4",$M2850),"")</f>
        <v>[lLDyBx5XyUi]|50+|Female|PLHIV_Attend.T_1|CY2023Q3</v>
      </c>
    </row>
    <row r="2851" customFormat="false" ht="15" hidden="false" customHeight="false" outlineLevel="0" collapsed="false">
      <c r="D2851" s="0" t="s">
        <v>75</v>
      </c>
      <c r="E2851" s="0" t="s">
        <v>76</v>
      </c>
      <c r="F2851" s="0" t="s">
        <v>77</v>
      </c>
      <c r="G2851" s="0" t="s">
        <v>150</v>
      </c>
      <c r="H2851" s="0" t="s">
        <v>150</v>
      </c>
      <c r="I2851" s="0" t="s">
        <v>28</v>
      </c>
      <c r="J2851" s="0" t="s">
        <v>29</v>
      </c>
      <c r="K2851" s="0" t="s">
        <v>48</v>
      </c>
      <c r="L2851" s="0" t="s">
        <v>49</v>
      </c>
      <c r="M2851" s="0" t="s">
        <v>140</v>
      </c>
      <c r="N2851" s="0" t="n">
        <v>1989</v>
      </c>
      <c r="O2851" s="10" t="n">
        <v>0.471276819938794</v>
      </c>
      <c r="P2851" s="10" t="n">
        <v>0.303055507596582</v>
      </c>
      <c r="Q2851" s="0" t="str">
        <f aca="false">SUBSTITUTE(SUBSTITUTE($I2851,CHAR(61),""),CHAR(34),"")</f>
        <v>&lt;01</v>
      </c>
      <c r="R2851" s="0" t="str">
        <f aca="false">IF($D2851&lt;&gt;"","["&amp;$E2851&amp;"]"&amp;"|"&amp;$Q2851&amp;"|"&amp;$K2851&amp;"|"&amp;$G2851&amp;"|"&amp;IF($G2851="TX_CURR_SUBNAT.R","CY2022Q4",$M2851),"")</f>
        <v>[lLDyBx5XyUi]|&lt;01|Male|PLHIV_Attend.T_1|CY2023Q3</v>
      </c>
    </row>
    <row r="2852" customFormat="false" ht="15" hidden="false" customHeight="false" outlineLevel="0" collapsed="false">
      <c r="D2852" s="0" t="s">
        <v>75</v>
      </c>
      <c r="E2852" s="0" t="s">
        <v>76</v>
      </c>
      <c r="F2852" s="0" t="s">
        <v>77</v>
      </c>
      <c r="G2852" s="0" t="s">
        <v>150</v>
      </c>
      <c r="H2852" s="0" t="s">
        <v>150</v>
      </c>
      <c r="I2852" s="0" t="s">
        <v>33</v>
      </c>
      <c r="J2852" s="0" t="s">
        <v>34</v>
      </c>
      <c r="K2852" s="0" t="s">
        <v>48</v>
      </c>
      <c r="L2852" s="0" t="s">
        <v>49</v>
      </c>
      <c r="M2852" s="0" t="s">
        <v>140</v>
      </c>
      <c r="N2852" s="0" t="n">
        <v>1748</v>
      </c>
      <c r="O2852" s="10" t="n">
        <v>0.526284601539373</v>
      </c>
      <c r="P2852" s="10" t="n">
        <v>0.303055507596582</v>
      </c>
      <c r="Q2852" s="0" t="str">
        <f aca="false">SUBSTITUTE(SUBSTITUTE($I2852,CHAR(61),""),CHAR(34),"")</f>
        <v>01-09</v>
      </c>
      <c r="R2852" s="0" t="str">
        <f aca="false">IF($D2852&lt;&gt;"","["&amp;$E2852&amp;"]"&amp;"|"&amp;$Q2852&amp;"|"&amp;$K2852&amp;"|"&amp;$G2852&amp;"|"&amp;IF($G2852="TX_CURR_SUBNAT.R","CY2022Q4",$M2852),"")</f>
        <v>[lLDyBx5XyUi]|01-09|Male|PLHIV_Attend.T_1|CY2023Q3</v>
      </c>
    </row>
    <row r="2853" customFormat="false" ht="15" hidden="false" customHeight="false" outlineLevel="0" collapsed="false">
      <c r="D2853" s="0" t="s">
        <v>75</v>
      </c>
      <c r="E2853" s="0" t="s">
        <v>76</v>
      </c>
      <c r="F2853" s="0" t="s">
        <v>77</v>
      </c>
      <c r="G2853" s="0" t="s">
        <v>150</v>
      </c>
      <c r="H2853" s="0" t="s">
        <v>150</v>
      </c>
      <c r="I2853" s="0" t="s">
        <v>36</v>
      </c>
      <c r="J2853" s="0" t="s">
        <v>37</v>
      </c>
      <c r="K2853" s="0" t="s">
        <v>48</v>
      </c>
      <c r="L2853" s="0" t="s">
        <v>49</v>
      </c>
      <c r="M2853" s="0" t="s">
        <v>140</v>
      </c>
      <c r="N2853" s="0" t="n">
        <v>1623</v>
      </c>
      <c r="O2853" s="10" t="n">
        <v>0.391777510289103</v>
      </c>
      <c r="P2853" s="10" t="n">
        <v>0.303055507596582</v>
      </c>
      <c r="Q2853" s="0" t="str">
        <f aca="false">SUBSTITUTE(SUBSTITUTE($I2853,CHAR(61),""),CHAR(34),"")</f>
        <v>10-14</v>
      </c>
      <c r="R2853" s="0" t="str">
        <f aca="false">IF($D2853&lt;&gt;"","["&amp;$E2853&amp;"]"&amp;"|"&amp;$Q2853&amp;"|"&amp;$K2853&amp;"|"&amp;$G2853&amp;"|"&amp;IF($G2853="TX_CURR_SUBNAT.R","CY2022Q4",$M2853),"")</f>
        <v>[lLDyBx5XyUi]|10-14|Male|PLHIV_Attend.T_1|CY2023Q3</v>
      </c>
    </row>
    <row r="2854" customFormat="false" ht="15" hidden="false" customHeight="false" outlineLevel="0" collapsed="false">
      <c r="D2854" s="0" t="s">
        <v>75</v>
      </c>
      <c r="E2854" s="0" t="s">
        <v>76</v>
      </c>
      <c r="F2854" s="0" t="s">
        <v>77</v>
      </c>
      <c r="G2854" s="0" t="s">
        <v>150</v>
      </c>
      <c r="H2854" s="0" t="s">
        <v>150</v>
      </c>
      <c r="I2854" s="0" t="s">
        <v>38</v>
      </c>
      <c r="J2854" s="0" t="s">
        <v>39</v>
      </c>
      <c r="K2854" s="0" t="s">
        <v>48</v>
      </c>
      <c r="L2854" s="0" t="s">
        <v>49</v>
      </c>
      <c r="M2854" s="0" t="s">
        <v>140</v>
      </c>
      <c r="N2854" s="0" t="n">
        <v>1026</v>
      </c>
      <c r="O2854" s="10" t="n">
        <v>0.485700845252723</v>
      </c>
      <c r="P2854" s="10" t="n">
        <v>0.303055507596582</v>
      </c>
      <c r="Q2854" s="0" t="str">
        <f aca="false">SUBSTITUTE(SUBSTITUTE($I2854,CHAR(61),""),CHAR(34),"")</f>
        <v>15-24</v>
      </c>
      <c r="R2854" s="0" t="str">
        <f aca="false">IF($D2854&lt;&gt;"","["&amp;$E2854&amp;"]"&amp;"|"&amp;$Q2854&amp;"|"&amp;$K2854&amp;"|"&amp;$G2854&amp;"|"&amp;IF($G2854="TX_CURR_SUBNAT.R","CY2022Q4",$M2854),"")</f>
        <v>[lLDyBx5XyUi]|15-24|Male|PLHIV_Attend.T_1|CY2023Q3</v>
      </c>
    </row>
    <row r="2855" customFormat="false" ht="15" hidden="false" customHeight="false" outlineLevel="0" collapsed="false">
      <c r="D2855" s="0" t="s">
        <v>75</v>
      </c>
      <c r="E2855" s="0" t="s">
        <v>76</v>
      </c>
      <c r="F2855" s="0" t="s">
        <v>77</v>
      </c>
      <c r="G2855" s="0" t="s">
        <v>150</v>
      </c>
      <c r="H2855" s="0" t="s">
        <v>150</v>
      </c>
      <c r="I2855" s="0" t="s">
        <v>41</v>
      </c>
      <c r="J2855" s="0" t="s">
        <v>42</v>
      </c>
      <c r="K2855" s="0" t="s">
        <v>48</v>
      </c>
      <c r="L2855" s="0" t="s">
        <v>49</v>
      </c>
      <c r="M2855" s="0" t="s">
        <v>140</v>
      </c>
      <c r="N2855" s="0" t="n">
        <v>1014</v>
      </c>
      <c r="O2855" s="10" t="n">
        <v>0.638451091013849</v>
      </c>
      <c r="P2855" s="10" t="n">
        <v>0.303055507596582</v>
      </c>
      <c r="Q2855" s="0" t="str">
        <f aca="false">SUBSTITUTE(SUBSTITUTE($I2855,CHAR(61),""),CHAR(34),"")</f>
        <v>25-34</v>
      </c>
      <c r="R2855" s="0" t="str">
        <f aca="false">IF($D2855&lt;&gt;"","["&amp;$E2855&amp;"]"&amp;"|"&amp;$Q2855&amp;"|"&amp;$K2855&amp;"|"&amp;$G2855&amp;"|"&amp;IF($G2855="TX_CURR_SUBNAT.R","CY2022Q4",$M2855),"")</f>
        <v>[lLDyBx5XyUi]|25-34|Male|PLHIV_Attend.T_1|CY2023Q3</v>
      </c>
    </row>
    <row r="2856" customFormat="false" ht="15" hidden="false" customHeight="false" outlineLevel="0" collapsed="false">
      <c r="D2856" s="0" t="s">
        <v>75</v>
      </c>
      <c r="E2856" s="0" t="s">
        <v>76</v>
      </c>
      <c r="F2856" s="0" t="s">
        <v>77</v>
      </c>
      <c r="G2856" s="0" t="s">
        <v>150</v>
      </c>
      <c r="H2856" s="0" t="s">
        <v>150</v>
      </c>
      <c r="I2856" s="0" t="s">
        <v>43</v>
      </c>
      <c r="J2856" s="0" t="s">
        <v>44</v>
      </c>
      <c r="K2856" s="0" t="s">
        <v>48</v>
      </c>
      <c r="L2856" s="0" t="s">
        <v>49</v>
      </c>
      <c r="M2856" s="0" t="s">
        <v>140</v>
      </c>
      <c r="N2856" s="0" t="n">
        <v>1163</v>
      </c>
      <c r="O2856" s="10" t="n">
        <v>0.903568874346092</v>
      </c>
      <c r="P2856" s="10" t="n">
        <v>0.303055507596582</v>
      </c>
      <c r="Q2856" s="0" t="str">
        <f aca="false">SUBSTITUTE(SUBSTITUTE($I2856,CHAR(61),""),CHAR(34),"")</f>
        <v>35-49</v>
      </c>
      <c r="R2856" s="0" t="str">
        <f aca="false">IF($D2856&lt;&gt;"","["&amp;$E2856&amp;"]"&amp;"|"&amp;$Q2856&amp;"|"&amp;$K2856&amp;"|"&amp;$G2856&amp;"|"&amp;IF($G2856="TX_CURR_SUBNAT.R","CY2022Q4",$M2856),"")</f>
        <v>[lLDyBx5XyUi]|35-49|Male|PLHIV_Attend.T_1|CY2023Q3</v>
      </c>
    </row>
    <row r="2857" customFormat="false" ht="15" hidden="false" customHeight="false" outlineLevel="0" collapsed="false">
      <c r="D2857" s="0" t="s">
        <v>75</v>
      </c>
      <c r="E2857" s="0" t="s">
        <v>76</v>
      </c>
      <c r="F2857" s="0" t="s">
        <v>77</v>
      </c>
      <c r="G2857" s="0" t="s">
        <v>150</v>
      </c>
      <c r="H2857" s="0" t="s">
        <v>150</v>
      </c>
      <c r="I2857" s="0" t="s">
        <v>45</v>
      </c>
      <c r="J2857" s="0" t="s">
        <v>46</v>
      </c>
      <c r="K2857" s="0" t="s">
        <v>48</v>
      </c>
      <c r="L2857" s="0" t="s">
        <v>49</v>
      </c>
      <c r="M2857" s="0" t="s">
        <v>140</v>
      </c>
      <c r="N2857" s="0" t="n">
        <v>875</v>
      </c>
      <c r="O2857" s="10" t="n">
        <v>0.73683336796239</v>
      </c>
      <c r="P2857" s="10" t="n">
        <v>0.303055507596582</v>
      </c>
      <c r="Q2857" s="0" t="str">
        <f aca="false">SUBSTITUTE(SUBSTITUTE($I2857,CHAR(61),""),CHAR(34),"")</f>
        <v>50+</v>
      </c>
      <c r="R2857" s="0" t="str">
        <f aca="false">IF($D2857&lt;&gt;"","["&amp;$E2857&amp;"]"&amp;"|"&amp;$Q2857&amp;"|"&amp;$K2857&amp;"|"&amp;$G2857&amp;"|"&amp;IF($G2857="TX_CURR_SUBNAT.R","CY2022Q4",$M2857),"")</f>
        <v>[lLDyBx5XyUi]|50+|Male|PLHIV_Attend.T_1|CY2023Q3</v>
      </c>
    </row>
    <row r="2858" customFormat="false" ht="15" hidden="false" customHeight="false" outlineLevel="0" collapsed="false">
      <c r="D2858" s="0" t="s">
        <v>78</v>
      </c>
      <c r="E2858" s="0" t="s">
        <v>79</v>
      </c>
      <c r="F2858" s="0" t="s">
        <v>80</v>
      </c>
      <c r="G2858" s="0" t="s">
        <v>150</v>
      </c>
      <c r="H2858" s="0" t="s">
        <v>150</v>
      </c>
      <c r="I2858" s="0" t="s">
        <v>28</v>
      </c>
      <c r="J2858" s="0" t="s">
        <v>29</v>
      </c>
      <c r="K2858" s="0" t="s">
        <v>30</v>
      </c>
      <c r="L2858" s="0" t="s">
        <v>31</v>
      </c>
      <c r="M2858" s="0" t="s">
        <v>140</v>
      </c>
      <c r="N2858" s="0" t="n">
        <v>823</v>
      </c>
      <c r="O2858" s="10" t="n">
        <v>0.904679676052183</v>
      </c>
      <c r="P2858" s="10" t="n">
        <v>0.831597982207313</v>
      </c>
      <c r="Q2858" s="0" t="str">
        <f aca="false">SUBSTITUTE(SUBSTITUTE($I2858,CHAR(61),""),CHAR(34),"")</f>
        <v>&lt;01</v>
      </c>
      <c r="R2858" s="0" t="str">
        <f aca="false">IF($D2858&lt;&gt;"","["&amp;$E2858&amp;"]"&amp;"|"&amp;$Q2858&amp;"|"&amp;$K2858&amp;"|"&amp;$G2858&amp;"|"&amp;IF($G2858="TX_CURR_SUBNAT.R","CY2022Q4",$M2858),"")</f>
        <v>[TYnMSwzko3z]|&lt;01|Female|PLHIV_Attend.T_1|CY2023Q3</v>
      </c>
    </row>
    <row r="2859" customFormat="false" ht="15" hidden="false" customHeight="false" outlineLevel="0" collapsed="false">
      <c r="D2859" s="0" t="s">
        <v>78</v>
      </c>
      <c r="E2859" s="0" t="s">
        <v>79</v>
      </c>
      <c r="F2859" s="0" t="s">
        <v>80</v>
      </c>
      <c r="G2859" s="0" t="s">
        <v>150</v>
      </c>
      <c r="H2859" s="0" t="s">
        <v>150</v>
      </c>
      <c r="I2859" s="0" t="s">
        <v>33</v>
      </c>
      <c r="J2859" s="0" t="s">
        <v>34</v>
      </c>
      <c r="K2859" s="0" t="s">
        <v>30</v>
      </c>
      <c r="L2859" s="0" t="s">
        <v>31</v>
      </c>
      <c r="M2859" s="0" t="s">
        <v>140</v>
      </c>
      <c r="N2859" s="0" t="n">
        <v>967</v>
      </c>
      <c r="O2859" s="10" t="n">
        <v>0.974707974120975</v>
      </c>
      <c r="P2859" s="10" t="n">
        <v>0.831597982207313</v>
      </c>
      <c r="Q2859" s="0" t="str">
        <f aca="false">SUBSTITUTE(SUBSTITUTE($I2859,CHAR(61),""),CHAR(34),"")</f>
        <v>01-09</v>
      </c>
      <c r="R2859" s="0" t="str">
        <f aca="false">IF($D2859&lt;&gt;"","["&amp;$E2859&amp;"]"&amp;"|"&amp;$Q2859&amp;"|"&amp;$K2859&amp;"|"&amp;$G2859&amp;"|"&amp;IF($G2859="TX_CURR_SUBNAT.R","CY2022Q4",$M2859),"")</f>
        <v>[TYnMSwzko3z]|01-09|Female|PLHIV_Attend.T_1|CY2023Q3</v>
      </c>
    </row>
    <row r="2860" customFormat="false" ht="15" hidden="false" customHeight="false" outlineLevel="0" collapsed="false">
      <c r="D2860" s="0" t="s">
        <v>78</v>
      </c>
      <c r="E2860" s="0" t="s">
        <v>79</v>
      </c>
      <c r="F2860" s="0" t="s">
        <v>80</v>
      </c>
      <c r="G2860" s="0" t="s">
        <v>150</v>
      </c>
      <c r="H2860" s="0" t="s">
        <v>150</v>
      </c>
      <c r="I2860" s="0" t="s">
        <v>36</v>
      </c>
      <c r="J2860" s="0" t="s">
        <v>37</v>
      </c>
      <c r="K2860" s="0" t="s">
        <v>30</v>
      </c>
      <c r="L2860" s="0" t="s">
        <v>31</v>
      </c>
      <c r="M2860" s="0" t="s">
        <v>140</v>
      </c>
      <c r="N2860" s="0" t="n">
        <v>1504</v>
      </c>
      <c r="O2860" s="10" t="n">
        <v>0.638617068063468</v>
      </c>
      <c r="P2860" s="10" t="n">
        <v>0.831597982207313</v>
      </c>
      <c r="Q2860" s="0" t="str">
        <f aca="false">SUBSTITUTE(SUBSTITUTE($I2860,CHAR(61),""),CHAR(34),"")</f>
        <v>10-14</v>
      </c>
      <c r="R2860" s="0" t="str">
        <f aca="false">IF($D2860&lt;&gt;"","["&amp;$E2860&amp;"]"&amp;"|"&amp;$Q2860&amp;"|"&amp;$K2860&amp;"|"&amp;$G2860&amp;"|"&amp;IF($G2860="TX_CURR_SUBNAT.R","CY2022Q4",$M2860),"")</f>
        <v>[TYnMSwzko3z]|10-14|Female|PLHIV_Attend.T_1|CY2023Q3</v>
      </c>
    </row>
    <row r="2861" customFormat="false" ht="15" hidden="false" customHeight="false" outlineLevel="0" collapsed="false">
      <c r="D2861" s="0" t="s">
        <v>78</v>
      </c>
      <c r="E2861" s="0" t="s">
        <v>79</v>
      </c>
      <c r="F2861" s="0" t="s">
        <v>80</v>
      </c>
      <c r="G2861" s="0" t="s">
        <v>150</v>
      </c>
      <c r="H2861" s="0" t="s">
        <v>150</v>
      </c>
      <c r="I2861" s="0" t="s">
        <v>38</v>
      </c>
      <c r="J2861" s="0" t="s">
        <v>39</v>
      </c>
      <c r="K2861" s="0" t="s">
        <v>30</v>
      </c>
      <c r="L2861" s="0" t="s">
        <v>31</v>
      </c>
      <c r="M2861" s="0" t="s">
        <v>140</v>
      </c>
      <c r="N2861" s="0" t="n">
        <v>617</v>
      </c>
      <c r="O2861" s="10" t="n">
        <v>0.475005234591663</v>
      </c>
      <c r="P2861" s="10" t="n">
        <v>0.831597982207313</v>
      </c>
      <c r="Q2861" s="0" t="str">
        <f aca="false">SUBSTITUTE(SUBSTITUTE($I2861,CHAR(61),""),CHAR(34),"")</f>
        <v>15-24</v>
      </c>
      <c r="R2861" s="0" t="str">
        <f aca="false">IF($D2861&lt;&gt;"","["&amp;$E2861&amp;"]"&amp;"|"&amp;$Q2861&amp;"|"&amp;$K2861&amp;"|"&amp;$G2861&amp;"|"&amp;IF($G2861="TX_CURR_SUBNAT.R","CY2022Q4",$M2861),"")</f>
        <v>[TYnMSwzko3z]|15-24|Female|PLHIV_Attend.T_1|CY2023Q3</v>
      </c>
    </row>
    <row r="2862" customFormat="false" ht="15" hidden="false" customHeight="false" outlineLevel="0" collapsed="false">
      <c r="D2862" s="0" t="s">
        <v>78</v>
      </c>
      <c r="E2862" s="0" t="s">
        <v>79</v>
      </c>
      <c r="F2862" s="0" t="s">
        <v>80</v>
      </c>
      <c r="G2862" s="0" t="s">
        <v>150</v>
      </c>
      <c r="H2862" s="0" t="s">
        <v>150</v>
      </c>
      <c r="I2862" s="0" t="s">
        <v>41</v>
      </c>
      <c r="J2862" s="0" t="s">
        <v>42</v>
      </c>
      <c r="K2862" s="0" t="s">
        <v>30</v>
      </c>
      <c r="L2862" s="0" t="s">
        <v>31</v>
      </c>
      <c r="M2862" s="0" t="s">
        <v>140</v>
      </c>
      <c r="N2862" s="0" t="n">
        <v>1098</v>
      </c>
      <c r="O2862" s="10" t="n">
        <v>0.0607941767666489</v>
      </c>
      <c r="P2862" s="10" t="n">
        <v>0.831597982207313</v>
      </c>
      <c r="Q2862" s="0" t="str">
        <f aca="false">SUBSTITUTE(SUBSTITUTE($I2862,CHAR(61),""),CHAR(34),"")</f>
        <v>25-34</v>
      </c>
      <c r="R2862" s="0" t="str">
        <f aca="false">IF($D2862&lt;&gt;"","["&amp;$E2862&amp;"]"&amp;"|"&amp;$Q2862&amp;"|"&amp;$K2862&amp;"|"&amp;$G2862&amp;"|"&amp;IF($G2862="TX_CURR_SUBNAT.R","CY2022Q4",$M2862),"")</f>
        <v>[TYnMSwzko3z]|25-34|Female|PLHIV_Attend.T_1|CY2023Q3</v>
      </c>
    </row>
    <row r="2863" customFormat="false" ht="15" hidden="false" customHeight="false" outlineLevel="0" collapsed="false">
      <c r="D2863" s="0" t="s">
        <v>78</v>
      </c>
      <c r="E2863" s="0" t="s">
        <v>79</v>
      </c>
      <c r="F2863" s="0" t="s">
        <v>80</v>
      </c>
      <c r="G2863" s="0" t="s">
        <v>150</v>
      </c>
      <c r="H2863" s="0" t="s">
        <v>150</v>
      </c>
      <c r="I2863" s="0" t="s">
        <v>43</v>
      </c>
      <c r="J2863" s="0" t="s">
        <v>44</v>
      </c>
      <c r="K2863" s="0" t="s">
        <v>30</v>
      </c>
      <c r="L2863" s="0" t="s">
        <v>31</v>
      </c>
      <c r="M2863" s="0" t="s">
        <v>140</v>
      </c>
      <c r="N2863" s="0" t="n">
        <v>1536</v>
      </c>
      <c r="O2863" s="10" t="n">
        <v>0.381900433916599</v>
      </c>
      <c r="P2863" s="10" t="n">
        <v>0.831597982207313</v>
      </c>
      <c r="Q2863" s="0" t="str">
        <f aca="false">SUBSTITUTE(SUBSTITUTE($I2863,CHAR(61),""),CHAR(34),"")</f>
        <v>35-49</v>
      </c>
      <c r="R2863" s="0" t="str">
        <f aca="false">IF($D2863&lt;&gt;"","["&amp;$E2863&amp;"]"&amp;"|"&amp;$Q2863&amp;"|"&amp;$K2863&amp;"|"&amp;$G2863&amp;"|"&amp;IF($G2863="TX_CURR_SUBNAT.R","CY2022Q4",$M2863),"")</f>
        <v>[TYnMSwzko3z]|35-49|Female|PLHIV_Attend.T_1|CY2023Q3</v>
      </c>
    </row>
    <row r="2864" customFormat="false" ht="15" hidden="false" customHeight="false" outlineLevel="0" collapsed="false">
      <c r="D2864" s="0" t="s">
        <v>78</v>
      </c>
      <c r="E2864" s="0" t="s">
        <v>79</v>
      </c>
      <c r="F2864" s="0" t="s">
        <v>80</v>
      </c>
      <c r="G2864" s="0" t="s">
        <v>150</v>
      </c>
      <c r="H2864" s="0" t="s">
        <v>150</v>
      </c>
      <c r="I2864" s="0" t="s">
        <v>45</v>
      </c>
      <c r="J2864" s="0" t="s">
        <v>46</v>
      </c>
      <c r="K2864" s="0" t="s">
        <v>30</v>
      </c>
      <c r="L2864" s="0" t="s">
        <v>31</v>
      </c>
      <c r="M2864" s="0" t="s">
        <v>140</v>
      </c>
      <c r="N2864" s="0" t="n">
        <v>1265</v>
      </c>
      <c r="O2864" s="10" t="n">
        <v>0.691545037319884</v>
      </c>
      <c r="P2864" s="10" t="n">
        <v>0.831597982207313</v>
      </c>
      <c r="Q2864" s="0" t="str">
        <f aca="false">SUBSTITUTE(SUBSTITUTE($I2864,CHAR(61),""),CHAR(34),"")</f>
        <v>50+</v>
      </c>
      <c r="R2864" s="0" t="str">
        <f aca="false">IF($D2864&lt;&gt;"","["&amp;$E2864&amp;"]"&amp;"|"&amp;$Q2864&amp;"|"&amp;$K2864&amp;"|"&amp;$G2864&amp;"|"&amp;IF($G2864="TX_CURR_SUBNAT.R","CY2022Q4",$M2864),"")</f>
        <v>[TYnMSwzko3z]|50+|Female|PLHIV_Attend.T_1|CY2023Q3</v>
      </c>
    </row>
    <row r="2865" customFormat="false" ht="15" hidden="false" customHeight="false" outlineLevel="0" collapsed="false">
      <c r="D2865" s="0" t="s">
        <v>78</v>
      </c>
      <c r="E2865" s="0" t="s">
        <v>79</v>
      </c>
      <c r="F2865" s="0" t="s">
        <v>80</v>
      </c>
      <c r="G2865" s="0" t="s">
        <v>150</v>
      </c>
      <c r="H2865" s="0" t="s">
        <v>150</v>
      </c>
      <c r="I2865" s="0" t="s">
        <v>28</v>
      </c>
      <c r="J2865" s="0" t="s">
        <v>29</v>
      </c>
      <c r="K2865" s="0" t="s">
        <v>48</v>
      </c>
      <c r="L2865" s="0" t="s">
        <v>49</v>
      </c>
      <c r="M2865" s="0" t="s">
        <v>140</v>
      </c>
      <c r="N2865" s="0" t="n">
        <v>1090</v>
      </c>
      <c r="O2865" s="10" t="n">
        <v>0.397357610287145</v>
      </c>
      <c r="P2865" s="10" t="n">
        <v>0.831597982207313</v>
      </c>
      <c r="Q2865" s="0" t="str">
        <f aca="false">SUBSTITUTE(SUBSTITUTE($I2865,CHAR(61),""),CHAR(34),"")</f>
        <v>&lt;01</v>
      </c>
      <c r="R2865" s="0" t="str">
        <f aca="false">IF($D2865&lt;&gt;"","["&amp;$E2865&amp;"]"&amp;"|"&amp;$Q2865&amp;"|"&amp;$K2865&amp;"|"&amp;$G2865&amp;"|"&amp;IF($G2865="TX_CURR_SUBNAT.R","CY2022Q4",$M2865),"")</f>
        <v>[TYnMSwzko3z]|&lt;01|Male|PLHIV_Attend.T_1|CY2023Q3</v>
      </c>
    </row>
    <row r="2866" customFormat="false" ht="15" hidden="false" customHeight="false" outlineLevel="0" collapsed="false">
      <c r="D2866" s="0" t="s">
        <v>78</v>
      </c>
      <c r="E2866" s="0" t="s">
        <v>79</v>
      </c>
      <c r="F2866" s="0" t="s">
        <v>80</v>
      </c>
      <c r="G2866" s="0" t="s">
        <v>150</v>
      </c>
      <c r="H2866" s="0" t="s">
        <v>150</v>
      </c>
      <c r="I2866" s="0" t="s">
        <v>33</v>
      </c>
      <c r="J2866" s="0" t="s">
        <v>34</v>
      </c>
      <c r="K2866" s="0" t="s">
        <v>48</v>
      </c>
      <c r="L2866" s="0" t="s">
        <v>49</v>
      </c>
      <c r="M2866" s="0" t="s">
        <v>140</v>
      </c>
      <c r="N2866" s="0" t="n">
        <v>989</v>
      </c>
      <c r="O2866" s="10" t="n">
        <v>0.458235257770866</v>
      </c>
      <c r="P2866" s="10" t="n">
        <v>0.831597982207313</v>
      </c>
      <c r="Q2866" s="0" t="str">
        <f aca="false">SUBSTITUTE(SUBSTITUTE($I2866,CHAR(61),""),CHAR(34),"")</f>
        <v>01-09</v>
      </c>
      <c r="R2866" s="0" t="str">
        <f aca="false">IF($D2866&lt;&gt;"","["&amp;$E2866&amp;"]"&amp;"|"&amp;$Q2866&amp;"|"&amp;$K2866&amp;"|"&amp;$G2866&amp;"|"&amp;IF($G2866="TX_CURR_SUBNAT.R","CY2022Q4",$M2866),"")</f>
        <v>[TYnMSwzko3z]|01-09|Male|PLHIV_Attend.T_1|CY2023Q3</v>
      </c>
    </row>
    <row r="2867" customFormat="false" ht="15" hidden="false" customHeight="false" outlineLevel="0" collapsed="false">
      <c r="D2867" s="0" t="s">
        <v>78</v>
      </c>
      <c r="E2867" s="0" t="s">
        <v>79</v>
      </c>
      <c r="F2867" s="0" t="s">
        <v>80</v>
      </c>
      <c r="G2867" s="0" t="s">
        <v>150</v>
      </c>
      <c r="H2867" s="0" t="s">
        <v>150</v>
      </c>
      <c r="I2867" s="0" t="s">
        <v>36</v>
      </c>
      <c r="J2867" s="0" t="s">
        <v>37</v>
      </c>
      <c r="K2867" s="0" t="s">
        <v>48</v>
      </c>
      <c r="L2867" s="0" t="s">
        <v>49</v>
      </c>
      <c r="M2867" s="0" t="s">
        <v>140</v>
      </c>
      <c r="N2867" s="0" t="n">
        <v>1285</v>
      </c>
      <c r="O2867" s="10" t="n">
        <v>0.252762814285234</v>
      </c>
      <c r="P2867" s="10" t="n">
        <v>0.831597982207313</v>
      </c>
      <c r="Q2867" s="0" t="str">
        <f aca="false">SUBSTITUTE(SUBSTITUTE($I2867,CHAR(61),""),CHAR(34),"")</f>
        <v>10-14</v>
      </c>
      <c r="R2867" s="0" t="str">
        <f aca="false">IF($D2867&lt;&gt;"","["&amp;$E2867&amp;"]"&amp;"|"&amp;$Q2867&amp;"|"&amp;$K2867&amp;"|"&amp;$G2867&amp;"|"&amp;IF($G2867="TX_CURR_SUBNAT.R","CY2022Q4",$M2867),"")</f>
        <v>[TYnMSwzko3z]|10-14|Male|PLHIV_Attend.T_1|CY2023Q3</v>
      </c>
    </row>
    <row r="2868" customFormat="false" ht="15" hidden="false" customHeight="false" outlineLevel="0" collapsed="false">
      <c r="D2868" s="0" t="s">
        <v>78</v>
      </c>
      <c r="E2868" s="0" t="s">
        <v>79</v>
      </c>
      <c r="F2868" s="0" t="s">
        <v>80</v>
      </c>
      <c r="G2868" s="0" t="s">
        <v>150</v>
      </c>
      <c r="H2868" s="0" t="s">
        <v>150</v>
      </c>
      <c r="I2868" s="0" t="s">
        <v>38</v>
      </c>
      <c r="J2868" s="0" t="s">
        <v>39</v>
      </c>
      <c r="K2868" s="0" t="s">
        <v>48</v>
      </c>
      <c r="L2868" s="0" t="s">
        <v>49</v>
      </c>
      <c r="M2868" s="0" t="s">
        <v>140</v>
      </c>
      <c r="N2868" s="0" t="n">
        <v>1933</v>
      </c>
      <c r="O2868" s="10" t="n">
        <v>0.529797627823427</v>
      </c>
      <c r="P2868" s="10" t="n">
        <v>0.831597982207313</v>
      </c>
      <c r="Q2868" s="0" t="str">
        <f aca="false">SUBSTITUTE(SUBSTITUTE($I2868,CHAR(61),""),CHAR(34),"")</f>
        <v>15-24</v>
      </c>
      <c r="R2868" s="0" t="str">
        <f aca="false">IF($D2868&lt;&gt;"","["&amp;$E2868&amp;"]"&amp;"|"&amp;$Q2868&amp;"|"&amp;$K2868&amp;"|"&amp;$G2868&amp;"|"&amp;IF($G2868="TX_CURR_SUBNAT.R","CY2022Q4",$M2868),"")</f>
        <v>[TYnMSwzko3z]|15-24|Male|PLHIV_Attend.T_1|CY2023Q3</v>
      </c>
    </row>
    <row r="2869" customFormat="false" ht="15" hidden="false" customHeight="false" outlineLevel="0" collapsed="false">
      <c r="D2869" s="0" t="s">
        <v>78</v>
      </c>
      <c r="E2869" s="0" t="s">
        <v>79</v>
      </c>
      <c r="F2869" s="0" t="s">
        <v>80</v>
      </c>
      <c r="G2869" s="0" t="s">
        <v>150</v>
      </c>
      <c r="H2869" s="0" t="s">
        <v>150</v>
      </c>
      <c r="I2869" s="0" t="s">
        <v>41</v>
      </c>
      <c r="J2869" s="0" t="s">
        <v>42</v>
      </c>
      <c r="K2869" s="0" t="s">
        <v>48</v>
      </c>
      <c r="L2869" s="0" t="s">
        <v>49</v>
      </c>
      <c r="M2869" s="0" t="s">
        <v>140</v>
      </c>
      <c r="N2869" s="0" t="n">
        <v>1766</v>
      </c>
      <c r="O2869" s="10" t="n">
        <v>0.713264875812456</v>
      </c>
      <c r="P2869" s="10" t="n">
        <v>0.831597982207313</v>
      </c>
      <c r="Q2869" s="0" t="str">
        <f aca="false">SUBSTITUTE(SUBSTITUTE($I2869,CHAR(61),""),CHAR(34),"")</f>
        <v>25-34</v>
      </c>
      <c r="R2869" s="0" t="str">
        <f aca="false">IF($D2869&lt;&gt;"","["&amp;$E2869&amp;"]"&amp;"|"&amp;$Q2869&amp;"|"&amp;$K2869&amp;"|"&amp;$G2869&amp;"|"&amp;IF($G2869="TX_CURR_SUBNAT.R","CY2022Q4",$M2869),"")</f>
        <v>[TYnMSwzko3z]|25-34|Male|PLHIV_Attend.T_1|CY2023Q3</v>
      </c>
    </row>
    <row r="2870" customFormat="false" ht="15" hidden="false" customHeight="false" outlineLevel="0" collapsed="false">
      <c r="D2870" s="0" t="s">
        <v>78</v>
      </c>
      <c r="E2870" s="0" t="s">
        <v>79</v>
      </c>
      <c r="F2870" s="0" t="s">
        <v>80</v>
      </c>
      <c r="G2870" s="0" t="s">
        <v>150</v>
      </c>
      <c r="H2870" s="0" t="s">
        <v>150</v>
      </c>
      <c r="I2870" s="0" t="s">
        <v>43</v>
      </c>
      <c r="J2870" s="0" t="s">
        <v>44</v>
      </c>
      <c r="K2870" s="0" t="s">
        <v>48</v>
      </c>
      <c r="L2870" s="0" t="s">
        <v>49</v>
      </c>
      <c r="M2870" s="0" t="s">
        <v>140</v>
      </c>
      <c r="N2870" s="0" t="n">
        <v>1829</v>
      </c>
      <c r="O2870" s="10" t="n">
        <v>0.942153651500121</v>
      </c>
      <c r="P2870" s="10" t="n">
        <v>0.831597982207313</v>
      </c>
      <c r="Q2870" s="0" t="str">
        <f aca="false">SUBSTITUTE(SUBSTITUTE($I2870,CHAR(61),""),CHAR(34),"")</f>
        <v>35-49</v>
      </c>
      <c r="R2870" s="0" t="str">
        <f aca="false">IF($D2870&lt;&gt;"","["&amp;$E2870&amp;"]"&amp;"|"&amp;$Q2870&amp;"|"&amp;$K2870&amp;"|"&amp;$G2870&amp;"|"&amp;IF($G2870="TX_CURR_SUBNAT.R","CY2022Q4",$M2870),"")</f>
        <v>[TYnMSwzko3z]|35-49|Male|PLHIV_Attend.T_1|CY2023Q3</v>
      </c>
    </row>
    <row r="2871" customFormat="false" ht="15" hidden="false" customHeight="false" outlineLevel="0" collapsed="false">
      <c r="D2871" s="0" t="s">
        <v>78</v>
      </c>
      <c r="E2871" s="0" t="s">
        <v>79</v>
      </c>
      <c r="F2871" s="0" t="s">
        <v>80</v>
      </c>
      <c r="G2871" s="0" t="s">
        <v>150</v>
      </c>
      <c r="H2871" s="0" t="s">
        <v>150</v>
      </c>
      <c r="I2871" s="0" t="s">
        <v>45</v>
      </c>
      <c r="J2871" s="0" t="s">
        <v>46</v>
      </c>
      <c r="K2871" s="0" t="s">
        <v>48</v>
      </c>
      <c r="L2871" s="0" t="s">
        <v>49</v>
      </c>
      <c r="M2871" s="0" t="s">
        <v>140</v>
      </c>
      <c r="N2871" s="0" t="n">
        <v>1877</v>
      </c>
      <c r="O2871" s="10" t="n">
        <v>0.267493380000815</v>
      </c>
      <c r="P2871" s="10" t="n">
        <v>0.831597982207313</v>
      </c>
      <c r="Q2871" s="0" t="str">
        <f aca="false">SUBSTITUTE(SUBSTITUTE($I2871,CHAR(61),""),CHAR(34),"")</f>
        <v>50+</v>
      </c>
      <c r="R2871" s="0" t="str">
        <f aca="false">IF($D2871&lt;&gt;"","["&amp;$E2871&amp;"]"&amp;"|"&amp;$Q2871&amp;"|"&amp;$K2871&amp;"|"&amp;$G2871&amp;"|"&amp;IF($G2871="TX_CURR_SUBNAT.R","CY2022Q4",$M2871),"")</f>
        <v>[TYnMSwzko3z]|50+|Male|PLHIV_Attend.T_1|CY2023Q3</v>
      </c>
    </row>
    <row r="2872" customFormat="false" ht="15" hidden="false" customHeight="false" outlineLevel="0" collapsed="false">
      <c r="D2872" s="0" t="s">
        <v>81</v>
      </c>
      <c r="E2872" s="0" t="s">
        <v>82</v>
      </c>
      <c r="F2872" s="0" t="s">
        <v>83</v>
      </c>
      <c r="G2872" s="0" t="s">
        <v>150</v>
      </c>
      <c r="H2872" s="0" t="s">
        <v>150</v>
      </c>
      <c r="I2872" s="0" t="s">
        <v>28</v>
      </c>
      <c r="J2872" s="0" t="s">
        <v>29</v>
      </c>
      <c r="K2872" s="0" t="s">
        <v>30</v>
      </c>
      <c r="L2872" s="0" t="s">
        <v>31</v>
      </c>
      <c r="M2872" s="0" t="s">
        <v>140</v>
      </c>
      <c r="N2872" s="0" t="n">
        <v>1336</v>
      </c>
      <c r="O2872" s="10" t="n">
        <v>0.329566503176466</v>
      </c>
      <c r="P2872" s="10" t="n">
        <v>0.143331421539187</v>
      </c>
      <c r="Q2872" s="0" t="str">
        <f aca="false">SUBSTITUTE(SUBSTITUTE($I2872,CHAR(61),""),CHAR(34),"")</f>
        <v>&lt;01</v>
      </c>
      <c r="R2872" s="0" t="str">
        <f aca="false">IF($D2872&lt;&gt;"","["&amp;$E2872&amp;"]"&amp;"|"&amp;$Q2872&amp;"|"&amp;$K2872&amp;"|"&amp;$G2872&amp;"|"&amp;IF($G2872="TX_CURR_SUBNAT.R","CY2022Q4",$M2872),"")</f>
        <v>[ir8wuHHzoSs]|&lt;01|Female|PLHIV_Attend.T_1|CY2023Q3</v>
      </c>
    </row>
    <row r="2873" customFormat="false" ht="15" hidden="false" customHeight="false" outlineLevel="0" collapsed="false">
      <c r="D2873" s="0" t="s">
        <v>81</v>
      </c>
      <c r="E2873" s="0" t="s">
        <v>82</v>
      </c>
      <c r="F2873" s="0" t="s">
        <v>83</v>
      </c>
      <c r="G2873" s="0" t="s">
        <v>150</v>
      </c>
      <c r="H2873" s="0" t="s">
        <v>150</v>
      </c>
      <c r="I2873" s="0" t="s">
        <v>33</v>
      </c>
      <c r="J2873" s="0" t="s">
        <v>34</v>
      </c>
      <c r="K2873" s="0" t="s">
        <v>30</v>
      </c>
      <c r="L2873" s="0" t="s">
        <v>31</v>
      </c>
      <c r="M2873" s="0" t="s">
        <v>140</v>
      </c>
      <c r="N2873" s="0" t="n">
        <v>1269</v>
      </c>
      <c r="O2873" s="10" t="n">
        <v>0.296595402993262</v>
      </c>
      <c r="P2873" s="10" t="n">
        <v>0.143331421539187</v>
      </c>
      <c r="Q2873" s="0" t="str">
        <f aca="false">SUBSTITUTE(SUBSTITUTE($I2873,CHAR(61),""),CHAR(34),"")</f>
        <v>01-09</v>
      </c>
      <c r="R2873" s="0" t="str">
        <f aca="false">IF($D2873&lt;&gt;"","["&amp;$E2873&amp;"]"&amp;"|"&amp;$Q2873&amp;"|"&amp;$K2873&amp;"|"&amp;$G2873&amp;"|"&amp;IF($G2873="TX_CURR_SUBNAT.R","CY2022Q4",$M2873),"")</f>
        <v>[ir8wuHHzoSs]|01-09|Female|PLHIV_Attend.T_1|CY2023Q3</v>
      </c>
    </row>
    <row r="2874" customFormat="false" ht="15" hidden="false" customHeight="false" outlineLevel="0" collapsed="false">
      <c r="D2874" s="0" t="s">
        <v>81</v>
      </c>
      <c r="E2874" s="0" t="s">
        <v>82</v>
      </c>
      <c r="F2874" s="0" t="s">
        <v>83</v>
      </c>
      <c r="G2874" s="0" t="s">
        <v>150</v>
      </c>
      <c r="H2874" s="0" t="s">
        <v>150</v>
      </c>
      <c r="I2874" s="0" t="s">
        <v>36</v>
      </c>
      <c r="J2874" s="0" t="s">
        <v>37</v>
      </c>
      <c r="K2874" s="0" t="s">
        <v>30</v>
      </c>
      <c r="L2874" s="0" t="s">
        <v>31</v>
      </c>
      <c r="M2874" s="0" t="s">
        <v>140</v>
      </c>
      <c r="N2874" s="0" t="n">
        <v>625</v>
      </c>
      <c r="O2874" s="10" t="n">
        <v>0.324383631115779</v>
      </c>
      <c r="P2874" s="10" t="n">
        <v>0.143331421539187</v>
      </c>
      <c r="Q2874" s="0" t="str">
        <f aca="false">SUBSTITUTE(SUBSTITUTE($I2874,CHAR(61),""),CHAR(34),"")</f>
        <v>10-14</v>
      </c>
      <c r="R2874" s="0" t="str">
        <f aca="false">IF($D2874&lt;&gt;"","["&amp;$E2874&amp;"]"&amp;"|"&amp;$Q2874&amp;"|"&amp;$K2874&amp;"|"&amp;$G2874&amp;"|"&amp;IF($G2874="TX_CURR_SUBNAT.R","CY2022Q4",$M2874),"")</f>
        <v>[ir8wuHHzoSs]|10-14|Female|PLHIV_Attend.T_1|CY2023Q3</v>
      </c>
    </row>
    <row r="2875" customFormat="false" ht="15" hidden="false" customHeight="false" outlineLevel="0" collapsed="false">
      <c r="D2875" s="0" t="s">
        <v>81</v>
      </c>
      <c r="E2875" s="0" t="s">
        <v>82</v>
      </c>
      <c r="F2875" s="0" t="s">
        <v>83</v>
      </c>
      <c r="G2875" s="0" t="s">
        <v>150</v>
      </c>
      <c r="H2875" s="0" t="s">
        <v>150</v>
      </c>
      <c r="I2875" s="0" t="s">
        <v>38</v>
      </c>
      <c r="J2875" s="0" t="s">
        <v>39</v>
      </c>
      <c r="K2875" s="0" t="s">
        <v>30</v>
      </c>
      <c r="L2875" s="0" t="s">
        <v>31</v>
      </c>
      <c r="M2875" s="0" t="s">
        <v>140</v>
      </c>
      <c r="N2875" s="0" t="n">
        <v>1675</v>
      </c>
      <c r="O2875" s="10" t="n">
        <v>0.540176418842748</v>
      </c>
      <c r="P2875" s="10" t="n">
        <v>0.143331421539187</v>
      </c>
      <c r="Q2875" s="0" t="str">
        <f aca="false">SUBSTITUTE(SUBSTITUTE($I2875,CHAR(61),""),CHAR(34),"")</f>
        <v>15-24</v>
      </c>
      <c r="R2875" s="0" t="str">
        <f aca="false">IF($D2875&lt;&gt;"","["&amp;$E2875&amp;"]"&amp;"|"&amp;$Q2875&amp;"|"&amp;$K2875&amp;"|"&amp;$G2875&amp;"|"&amp;IF($G2875="TX_CURR_SUBNAT.R","CY2022Q4",$M2875),"")</f>
        <v>[ir8wuHHzoSs]|15-24|Female|PLHIV_Attend.T_1|CY2023Q3</v>
      </c>
    </row>
    <row r="2876" customFormat="false" ht="15" hidden="false" customHeight="false" outlineLevel="0" collapsed="false">
      <c r="D2876" s="0" t="s">
        <v>81</v>
      </c>
      <c r="E2876" s="0" t="s">
        <v>82</v>
      </c>
      <c r="F2876" s="0" t="s">
        <v>83</v>
      </c>
      <c r="G2876" s="0" t="s">
        <v>150</v>
      </c>
      <c r="H2876" s="0" t="s">
        <v>150</v>
      </c>
      <c r="I2876" s="0" t="s">
        <v>41</v>
      </c>
      <c r="J2876" s="0" t="s">
        <v>42</v>
      </c>
      <c r="K2876" s="0" t="s">
        <v>30</v>
      </c>
      <c r="L2876" s="0" t="s">
        <v>31</v>
      </c>
      <c r="M2876" s="0" t="s">
        <v>140</v>
      </c>
      <c r="N2876" s="0" t="n">
        <v>616</v>
      </c>
      <c r="O2876" s="10" t="n">
        <v>0.733063538558781</v>
      </c>
      <c r="P2876" s="10" t="n">
        <v>0.143331421539187</v>
      </c>
      <c r="Q2876" s="0" t="str">
        <f aca="false">SUBSTITUTE(SUBSTITUTE($I2876,CHAR(61),""),CHAR(34),"")</f>
        <v>25-34</v>
      </c>
      <c r="R2876" s="0" t="str">
        <f aca="false">IF($D2876&lt;&gt;"","["&amp;$E2876&amp;"]"&amp;"|"&amp;$Q2876&amp;"|"&amp;$K2876&amp;"|"&amp;$G2876&amp;"|"&amp;IF($G2876="TX_CURR_SUBNAT.R","CY2022Q4",$M2876),"")</f>
        <v>[ir8wuHHzoSs]|25-34|Female|PLHIV_Attend.T_1|CY2023Q3</v>
      </c>
    </row>
    <row r="2877" customFormat="false" ht="15" hidden="false" customHeight="false" outlineLevel="0" collapsed="false">
      <c r="D2877" s="0" t="s">
        <v>81</v>
      </c>
      <c r="E2877" s="0" t="s">
        <v>82</v>
      </c>
      <c r="F2877" s="0" t="s">
        <v>83</v>
      </c>
      <c r="G2877" s="0" t="s">
        <v>150</v>
      </c>
      <c r="H2877" s="0" t="s">
        <v>150</v>
      </c>
      <c r="I2877" s="0" t="s">
        <v>43</v>
      </c>
      <c r="J2877" s="0" t="s">
        <v>44</v>
      </c>
      <c r="K2877" s="0" t="s">
        <v>30</v>
      </c>
      <c r="L2877" s="0" t="s">
        <v>31</v>
      </c>
      <c r="M2877" s="0" t="s">
        <v>140</v>
      </c>
      <c r="N2877" s="0" t="n">
        <v>1927</v>
      </c>
      <c r="O2877" s="10" t="n">
        <v>0.468858639942482</v>
      </c>
      <c r="P2877" s="10" t="n">
        <v>0.143331421539187</v>
      </c>
      <c r="Q2877" s="0" t="str">
        <f aca="false">SUBSTITUTE(SUBSTITUTE($I2877,CHAR(61),""),CHAR(34),"")</f>
        <v>35-49</v>
      </c>
      <c r="R2877" s="0" t="str">
        <f aca="false">IF($D2877&lt;&gt;"","["&amp;$E2877&amp;"]"&amp;"|"&amp;$Q2877&amp;"|"&amp;$K2877&amp;"|"&amp;$G2877&amp;"|"&amp;IF($G2877="TX_CURR_SUBNAT.R","CY2022Q4",$M2877),"")</f>
        <v>[ir8wuHHzoSs]|35-49|Female|PLHIV_Attend.T_1|CY2023Q3</v>
      </c>
    </row>
    <row r="2878" customFormat="false" ht="15" hidden="false" customHeight="false" outlineLevel="0" collapsed="false">
      <c r="D2878" s="0" t="s">
        <v>81</v>
      </c>
      <c r="E2878" s="0" t="s">
        <v>82</v>
      </c>
      <c r="F2878" s="0" t="s">
        <v>83</v>
      </c>
      <c r="G2878" s="0" t="s">
        <v>150</v>
      </c>
      <c r="H2878" s="0" t="s">
        <v>150</v>
      </c>
      <c r="I2878" s="0" t="s">
        <v>45</v>
      </c>
      <c r="J2878" s="0" t="s">
        <v>46</v>
      </c>
      <c r="K2878" s="0" t="s">
        <v>30</v>
      </c>
      <c r="L2878" s="0" t="s">
        <v>31</v>
      </c>
      <c r="M2878" s="0" t="s">
        <v>140</v>
      </c>
      <c r="N2878" s="0" t="n">
        <v>615</v>
      </c>
      <c r="O2878" s="10" t="n">
        <v>0.750346823129803</v>
      </c>
      <c r="P2878" s="10" t="n">
        <v>0.143331421539187</v>
      </c>
      <c r="Q2878" s="0" t="str">
        <f aca="false">SUBSTITUTE(SUBSTITUTE($I2878,CHAR(61),""),CHAR(34),"")</f>
        <v>50+</v>
      </c>
      <c r="R2878" s="0" t="str">
        <f aca="false">IF($D2878&lt;&gt;"","["&amp;$E2878&amp;"]"&amp;"|"&amp;$Q2878&amp;"|"&amp;$K2878&amp;"|"&amp;$G2878&amp;"|"&amp;IF($G2878="TX_CURR_SUBNAT.R","CY2022Q4",$M2878),"")</f>
        <v>[ir8wuHHzoSs]|50+|Female|PLHIV_Attend.T_1|CY2023Q3</v>
      </c>
    </row>
    <row r="2879" customFormat="false" ht="15" hidden="false" customHeight="false" outlineLevel="0" collapsed="false">
      <c r="D2879" s="0" t="s">
        <v>81</v>
      </c>
      <c r="E2879" s="0" t="s">
        <v>82</v>
      </c>
      <c r="F2879" s="0" t="s">
        <v>83</v>
      </c>
      <c r="G2879" s="0" t="s">
        <v>150</v>
      </c>
      <c r="H2879" s="0" t="s">
        <v>150</v>
      </c>
      <c r="I2879" s="0" t="s">
        <v>28</v>
      </c>
      <c r="J2879" s="0" t="s">
        <v>29</v>
      </c>
      <c r="K2879" s="0" t="s">
        <v>48</v>
      </c>
      <c r="L2879" s="0" t="s">
        <v>49</v>
      </c>
      <c r="M2879" s="0" t="s">
        <v>140</v>
      </c>
      <c r="N2879" s="0" t="n">
        <v>1849</v>
      </c>
      <c r="O2879" s="10" t="n">
        <v>0.813088209368289</v>
      </c>
      <c r="P2879" s="10" t="n">
        <v>0.143331421539187</v>
      </c>
      <c r="Q2879" s="0" t="str">
        <f aca="false">SUBSTITUTE(SUBSTITUTE($I2879,CHAR(61),""),CHAR(34),"")</f>
        <v>&lt;01</v>
      </c>
      <c r="R2879" s="0" t="str">
        <f aca="false">IF($D2879&lt;&gt;"","["&amp;$E2879&amp;"]"&amp;"|"&amp;$Q2879&amp;"|"&amp;$K2879&amp;"|"&amp;$G2879&amp;"|"&amp;IF($G2879="TX_CURR_SUBNAT.R","CY2022Q4",$M2879),"")</f>
        <v>[ir8wuHHzoSs]|&lt;01|Male|PLHIV_Attend.T_1|CY2023Q3</v>
      </c>
    </row>
    <row r="2880" customFormat="false" ht="15" hidden="false" customHeight="false" outlineLevel="0" collapsed="false">
      <c r="D2880" s="0" t="s">
        <v>81</v>
      </c>
      <c r="E2880" s="0" t="s">
        <v>82</v>
      </c>
      <c r="F2880" s="0" t="s">
        <v>83</v>
      </c>
      <c r="G2880" s="0" t="s">
        <v>150</v>
      </c>
      <c r="H2880" s="0" t="s">
        <v>150</v>
      </c>
      <c r="I2880" s="0" t="s">
        <v>33</v>
      </c>
      <c r="J2880" s="0" t="s">
        <v>34</v>
      </c>
      <c r="K2880" s="0" t="s">
        <v>48</v>
      </c>
      <c r="L2880" s="0" t="s">
        <v>49</v>
      </c>
      <c r="M2880" s="0" t="s">
        <v>140</v>
      </c>
      <c r="N2880" s="0" t="n">
        <v>1670</v>
      </c>
      <c r="O2880" s="10" t="n">
        <v>0.281588325742632</v>
      </c>
      <c r="P2880" s="10" t="n">
        <v>0.143331421539187</v>
      </c>
      <c r="Q2880" s="0" t="str">
        <f aca="false">SUBSTITUTE(SUBSTITUTE($I2880,CHAR(61),""),CHAR(34),"")</f>
        <v>01-09</v>
      </c>
      <c r="R2880" s="0" t="str">
        <f aca="false">IF($D2880&lt;&gt;"","["&amp;$E2880&amp;"]"&amp;"|"&amp;$Q2880&amp;"|"&amp;$K2880&amp;"|"&amp;$G2880&amp;"|"&amp;IF($G2880="TX_CURR_SUBNAT.R","CY2022Q4",$M2880),"")</f>
        <v>[ir8wuHHzoSs]|01-09|Male|PLHIV_Attend.T_1|CY2023Q3</v>
      </c>
    </row>
    <row r="2881" customFormat="false" ht="15" hidden="false" customHeight="false" outlineLevel="0" collapsed="false">
      <c r="D2881" s="0" t="s">
        <v>81</v>
      </c>
      <c r="E2881" s="0" t="s">
        <v>82</v>
      </c>
      <c r="F2881" s="0" t="s">
        <v>83</v>
      </c>
      <c r="G2881" s="0" t="s">
        <v>150</v>
      </c>
      <c r="H2881" s="0" t="s">
        <v>150</v>
      </c>
      <c r="I2881" s="0" t="s">
        <v>36</v>
      </c>
      <c r="J2881" s="0" t="s">
        <v>37</v>
      </c>
      <c r="K2881" s="0" t="s">
        <v>48</v>
      </c>
      <c r="L2881" s="0" t="s">
        <v>49</v>
      </c>
      <c r="M2881" s="0" t="s">
        <v>140</v>
      </c>
      <c r="N2881" s="0" t="n">
        <v>622</v>
      </c>
      <c r="O2881" s="10" t="n">
        <v>0.313573974883184</v>
      </c>
      <c r="P2881" s="10" t="n">
        <v>0.143331421539187</v>
      </c>
      <c r="Q2881" s="0" t="str">
        <f aca="false">SUBSTITUTE(SUBSTITUTE($I2881,CHAR(61),""),CHAR(34),"")</f>
        <v>10-14</v>
      </c>
      <c r="R2881" s="0" t="str">
        <f aca="false">IF($D2881&lt;&gt;"","["&amp;$E2881&amp;"]"&amp;"|"&amp;$Q2881&amp;"|"&amp;$K2881&amp;"|"&amp;$G2881&amp;"|"&amp;IF($G2881="TX_CURR_SUBNAT.R","CY2022Q4",$M2881),"")</f>
        <v>[ir8wuHHzoSs]|10-14|Male|PLHIV_Attend.T_1|CY2023Q3</v>
      </c>
    </row>
    <row r="2882" customFormat="false" ht="15" hidden="false" customHeight="false" outlineLevel="0" collapsed="false">
      <c r="D2882" s="0" t="s">
        <v>81</v>
      </c>
      <c r="E2882" s="0" t="s">
        <v>82</v>
      </c>
      <c r="F2882" s="0" t="s">
        <v>83</v>
      </c>
      <c r="G2882" s="0" t="s">
        <v>150</v>
      </c>
      <c r="H2882" s="0" t="s">
        <v>150</v>
      </c>
      <c r="I2882" s="0" t="s">
        <v>38</v>
      </c>
      <c r="J2882" s="0" t="s">
        <v>39</v>
      </c>
      <c r="K2882" s="0" t="s">
        <v>48</v>
      </c>
      <c r="L2882" s="0" t="s">
        <v>49</v>
      </c>
      <c r="M2882" s="0" t="s">
        <v>140</v>
      </c>
      <c r="N2882" s="0" t="n">
        <v>1069</v>
      </c>
      <c r="O2882" s="10" t="n">
        <v>0.565617952961475</v>
      </c>
      <c r="P2882" s="10" t="n">
        <v>0.143331421539187</v>
      </c>
      <c r="Q2882" s="0" t="str">
        <f aca="false">SUBSTITUTE(SUBSTITUTE($I2882,CHAR(61),""),CHAR(34),"")</f>
        <v>15-24</v>
      </c>
      <c r="R2882" s="0" t="str">
        <f aca="false">IF($D2882&lt;&gt;"","["&amp;$E2882&amp;"]"&amp;"|"&amp;$Q2882&amp;"|"&amp;$K2882&amp;"|"&amp;$G2882&amp;"|"&amp;IF($G2882="TX_CURR_SUBNAT.R","CY2022Q4",$M2882),"")</f>
        <v>[ir8wuHHzoSs]|15-24|Male|PLHIV_Attend.T_1|CY2023Q3</v>
      </c>
    </row>
    <row r="2883" customFormat="false" ht="15" hidden="false" customHeight="false" outlineLevel="0" collapsed="false">
      <c r="D2883" s="0" t="s">
        <v>81</v>
      </c>
      <c r="E2883" s="0" t="s">
        <v>82</v>
      </c>
      <c r="F2883" s="0" t="s">
        <v>83</v>
      </c>
      <c r="G2883" s="0" t="s">
        <v>150</v>
      </c>
      <c r="H2883" s="0" t="s">
        <v>150</v>
      </c>
      <c r="I2883" s="0" t="s">
        <v>41</v>
      </c>
      <c r="J2883" s="0" t="s">
        <v>42</v>
      </c>
      <c r="K2883" s="0" t="s">
        <v>48</v>
      </c>
      <c r="L2883" s="0" t="s">
        <v>49</v>
      </c>
      <c r="M2883" s="0" t="s">
        <v>140</v>
      </c>
      <c r="N2883" s="0" t="n">
        <v>1782</v>
      </c>
      <c r="O2883" s="10" t="n">
        <v>0.977810494601727</v>
      </c>
      <c r="P2883" s="10" t="n">
        <v>0.143331421539187</v>
      </c>
      <c r="Q2883" s="0" t="str">
        <f aca="false">SUBSTITUTE(SUBSTITUTE($I2883,CHAR(61),""),CHAR(34),"")</f>
        <v>25-34</v>
      </c>
      <c r="R2883" s="0" t="str">
        <f aca="false">IF($D2883&lt;&gt;"","["&amp;$E2883&amp;"]"&amp;"|"&amp;$Q2883&amp;"|"&amp;$K2883&amp;"|"&amp;$G2883&amp;"|"&amp;IF($G2883="TX_CURR_SUBNAT.R","CY2022Q4",$M2883),"")</f>
        <v>[ir8wuHHzoSs]|25-34|Male|PLHIV_Attend.T_1|CY2023Q3</v>
      </c>
    </row>
    <row r="2884" customFormat="false" ht="15" hidden="false" customHeight="false" outlineLevel="0" collapsed="false">
      <c r="D2884" s="0" t="s">
        <v>81</v>
      </c>
      <c r="E2884" s="0" t="s">
        <v>82</v>
      </c>
      <c r="F2884" s="0" t="s">
        <v>83</v>
      </c>
      <c r="G2884" s="0" t="s">
        <v>150</v>
      </c>
      <c r="H2884" s="0" t="s">
        <v>150</v>
      </c>
      <c r="I2884" s="0" t="s">
        <v>43</v>
      </c>
      <c r="J2884" s="0" t="s">
        <v>44</v>
      </c>
      <c r="K2884" s="0" t="s">
        <v>48</v>
      </c>
      <c r="L2884" s="0" t="s">
        <v>49</v>
      </c>
      <c r="M2884" s="0" t="s">
        <v>140</v>
      </c>
      <c r="N2884" s="0" t="n">
        <v>1220</v>
      </c>
      <c r="O2884" s="10" t="n">
        <v>0.779721869621426</v>
      </c>
      <c r="P2884" s="10" t="n">
        <v>0.143331421539187</v>
      </c>
      <c r="Q2884" s="0" t="str">
        <f aca="false">SUBSTITUTE(SUBSTITUTE($I2884,CHAR(61),""),CHAR(34),"")</f>
        <v>35-49</v>
      </c>
      <c r="R2884" s="0" t="str">
        <f aca="false">IF($D2884&lt;&gt;"","["&amp;$E2884&amp;"]"&amp;"|"&amp;$Q2884&amp;"|"&amp;$K2884&amp;"|"&amp;$G2884&amp;"|"&amp;IF($G2884="TX_CURR_SUBNAT.R","CY2022Q4",$M2884),"")</f>
        <v>[ir8wuHHzoSs]|35-49|Male|PLHIV_Attend.T_1|CY2023Q3</v>
      </c>
    </row>
    <row r="2885" customFormat="false" ht="15" hidden="false" customHeight="false" outlineLevel="0" collapsed="false">
      <c r="D2885" s="0" t="s">
        <v>81</v>
      </c>
      <c r="E2885" s="0" t="s">
        <v>82</v>
      </c>
      <c r="F2885" s="0" t="s">
        <v>83</v>
      </c>
      <c r="G2885" s="0" t="s">
        <v>150</v>
      </c>
      <c r="H2885" s="0" t="s">
        <v>150</v>
      </c>
      <c r="I2885" s="0" t="s">
        <v>45</v>
      </c>
      <c r="J2885" s="0" t="s">
        <v>46</v>
      </c>
      <c r="K2885" s="0" t="s">
        <v>48</v>
      </c>
      <c r="L2885" s="0" t="s">
        <v>49</v>
      </c>
      <c r="M2885" s="0" t="s">
        <v>140</v>
      </c>
      <c r="N2885" s="0" t="n">
        <v>787</v>
      </c>
      <c r="O2885" s="10" t="n">
        <v>0.847398488083854</v>
      </c>
      <c r="P2885" s="10" t="n">
        <v>0.143331421539187</v>
      </c>
      <c r="Q2885" s="0" t="str">
        <f aca="false">SUBSTITUTE(SUBSTITUTE($I2885,CHAR(61),""),CHAR(34),"")</f>
        <v>50+</v>
      </c>
      <c r="R2885" s="0" t="str">
        <f aca="false">IF($D2885&lt;&gt;"","["&amp;$E2885&amp;"]"&amp;"|"&amp;$Q2885&amp;"|"&amp;$K2885&amp;"|"&amp;$G2885&amp;"|"&amp;IF($G2885="TX_CURR_SUBNAT.R","CY2022Q4",$M2885),"")</f>
        <v>[ir8wuHHzoSs]|50+|Male|PLHIV_Attend.T_1|CY2023Q3</v>
      </c>
    </row>
    <row r="2886" customFormat="false" ht="15" hidden="false" customHeight="false" outlineLevel="0" collapsed="false">
      <c r="D2886" s="0" t="s">
        <v>84</v>
      </c>
      <c r="E2886" s="0" t="s">
        <v>85</v>
      </c>
      <c r="F2886" s="0" t="s">
        <v>86</v>
      </c>
      <c r="G2886" s="0" t="s">
        <v>150</v>
      </c>
      <c r="H2886" s="0" t="s">
        <v>150</v>
      </c>
      <c r="I2886" s="0" t="s">
        <v>28</v>
      </c>
      <c r="J2886" s="0" t="s">
        <v>29</v>
      </c>
      <c r="K2886" s="0" t="s">
        <v>30</v>
      </c>
      <c r="L2886" s="0" t="s">
        <v>31</v>
      </c>
      <c r="M2886" s="0" t="s">
        <v>140</v>
      </c>
      <c r="N2886" s="0" t="n">
        <v>1386</v>
      </c>
      <c r="O2886" s="10" t="n">
        <v>0.489551066886634</v>
      </c>
      <c r="P2886" s="10" t="n">
        <v>0.0297887143678963</v>
      </c>
      <c r="Q2886" s="0" t="str">
        <f aca="false">SUBSTITUTE(SUBSTITUTE($I2886,CHAR(61),""),CHAR(34),"")</f>
        <v>&lt;01</v>
      </c>
      <c r="R2886" s="0" t="str">
        <f aca="false">IF($D2886&lt;&gt;"","["&amp;$E2886&amp;"]"&amp;"|"&amp;$Q2886&amp;"|"&amp;$K2886&amp;"|"&amp;$G2886&amp;"|"&amp;IF($G2886="TX_CURR_SUBNAT.R","CY2022Q4",$M2886),"")</f>
        <v>[fyEoGEPERdI]|&lt;01|Female|PLHIV_Attend.T_1|CY2023Q3</v>
      </c>
    </row>
    <row r="2887" customFormat="false" ht="15" hidden="false" customHeight="false" outlineLevel="0" collapsed="false">
      <c r="D2887" s="0" t="s">
        <v>84</v>
      </c>
      <c r="E2887" s="0" t="s">
        <v>85</v>
      </c>
      <c r="F2887" s="0" t="s">
        <v>86</v>
      </c>
      <c r="G2887" s="0" t="s">
        <v>150</v>
      </c>
      <c r="H2887" s="0" t="s">
        <v>150</v>
      </c>
      <c r="I2887" s="0" t="s">
        <v>33</v>
      </c>
      <c r="J2887" s="0" t="s">
        <v>34</v>
      </c>
      <c r="K2887" s="0" t="s">
        <v>30</v>
      </c>
      <c r="L2887" s="0" t="s">
        <v>31</v>
      </c>
      <c r="M2887" s="0" t="s">
        <v>140</v>
      </c>
      <c r="N2887" s="0" t="n">
        <v>1551</v>
      </c>
      <c r="O2887" s="10" t="n">
        <v>0.56409960379824</v>
      </c>
      <c r="P2887" s="10" t="n">
        <v>0.0297887143678963</v>
      </c>
      <c r="Q2887" s="0" t="str">
        <f aca="false">SUBSTITUTE(SUBSTITUTE($I2887,CHAR(61),""),CHAR(34),"")</f>
        <v>01-09</v>
      </c>
      <c r="R2887" s="0" t="str">
        <f aca="false">IF($D2887&lt;&gt;"","["&amp;$E2887&amp;"]"&amp;"|"&amp;$Q2887&amp;"|"&amp;$K2887&amp;"|"&amp;$G2887&amp;"|"&amp;IF($G2887="TX_CURR_SUBNAT.R","CY2022Q4",$M2887),"")</f>
        <v>[fyEoGEPERdI]|01-09|Female|PLHIV_Attend.T_1|CY2023Q3</v>
      </c>
    </row>
    <row r="2888" customFormat="false" ht="15" hidden="false" customHeight="false" outlineLevel="0" collapsed="false">
      <c r="D2888" s="0" t="s">
        <v>84</v>
      </c>
      <c r="E2888" s="0" t="s">
        <v>85</v>
      </c>
      <c r="F2888" s="0" t="s">
        <v>86</v>
      </c>
      <c r="G2888" s="0" t="s">
        <v>150</v>
      </c>
      <c r="H2888" s="0" t="s">
        <v>150</v>
      </c>
      <c r="I2888" s="0" t="s">
        <v>36</v>
      </c>
      <c r="J2888" s="0" t="s">
        <v>37</v>
      </c>
      <c r="K2888" s="0" t="s">
        <v>30</v>
      </c>
      <c r="L2888" s="0" t="s">
        <v>31</v>
      </c>
      <c r="M2888" s="0" t="s">
        <v>140</v>
      </c>
      <c r="N2888" s="0" t="n">
        <v>1964</v>
      </c>
      <c r="O2888" s="10" t="n">
        <v>0.638332433067262</v>
      </c>
      <c r="P2888" s="10" t="n">
        <v>0.0297887143678963</v>
      </c>
      <c r="Q2888" s="0" t="str">
        <f aca="false">SUBSTITUTE(SUBSTITUTE($I2888,CHAR(61),""),CHAR(34),"")</f>
        <v>10-14</v>
      </c>
      <c r="R2888" s="0" t="str">
        <f aca="false">IF($D2888&lt;&gt;"","["&amp;$E2888&amp;"]"&amp;"|"&amp;$Q2888&amp;"|"&amp;$K2888&amp;"|"&amp;$G2888&amp;"|"&amp;IF($G2888="TX_CURR_SUBNAT.R","CY2022Q4",$M2888),"")</f>
        <v>[fyEoGEPERdI]|10-14|Female|PLHIV_Attend.T_1|CY2023Q3</v>
      </c>
    </row>
    <row r="2889" customFormat="false" ht="15" hidden="false" customHeight="false" outlineLevel="0" collapsed="false">
      <c r="D2889" s="0" t="s">
        <v>84</v>
      </c>
      <c r="E2889" s="0" t="s">
        <v>85</v>
      </c>
      <c r="F2889" s="0" t="s">
        <v>86</v>
      </c>
      <c r="G2889" s="0" t="s">
        <v>150</v>
      </c>
      <c r="H2889" s="0" t="s">
        <v>150</v>
      </c>
      <c r="I2889" s="0" t="s">
        <v>38</v>
      </c>
      <c r="J2889" s="0" t="s">
        <v>39</v>
      </c>
      <c r="K2889" s="0" t="s">
        <v>30</v>
      </c>
      <c r="L2889" s="0" t="s">
        <v>31</v>
      </c>
      <c r="M2889" s="0" t="s">
        <v>140</v>
      </c>
      <c r="N2889" s="0" t="n">
        <v>1251</v>
      </c>
      <c r="O2889" s="10" t="n">
        <v>0.959369991440326</v>
      </c>
      <c r="P2889" s="10" t="n">
        <v>0.0297887143678963</v>
      </c>
      <c r="Q2889" s="0" t="str">
        <f aca="false">SUBSTITUTE(SUBSTITUTE($I2889,CHAR(61),""),CHAR(34),"")</f>
        <v>15-24</v>
      </c>
      <c r="R2889" s="0" t="str">
        <f aca="false">IF($D2889&lt;&gt;"","["&amp;$E2889&amp;"]"&amp;"|"&amp;$Q2889&amp;"|"&amp;$K2889&amp;"|"&amp;$G2889&amp;"|"&amp;IF($G2889="TX_CURR_SUBNAT.R","CY2022Q4",$M2889),"")</f>
        <v>[fyEoGEPERdI]|15-24|Female|PLHIV_Attend.T_1|CY2023Q3</v>
      </c>
    </row>
    <row r="2890" customFormat="false" ht="15" hidden="false" customHeight="false" outlineLevel="0" collapsed="false">
      <c r="D2890" s="0" t="s">
        <v>84</v>
      </c>
      <c r="E2890" s="0" t="s">
        <v>85</v>
      </c>
      <c r="F2890" s="0" t="s">
        <v>86</v>
      </c>
      <c r="G2890" s="0" t="s">
        <v>150</v>
      </c>
      <c r="H2890" s="0" t="s">
        <v>150</v>
      </c>
      <c r="I2890" s="0" t="s">
        <v>41</v>
      </c>
      <c r="J2890" s="0" t="s">
        <v>42</v>
      </c>
      <c r="K2890" s="0" t="s">
        <v>30</v>
      </c>
      <c r="L2890" s="0" t="s">
        <v>31</v>
      </c>
      <c r="M2890" s="0" t="s">
        <v>140</v>
      </c>
      <c r="N2890" s="0" t="n">
        <v>1294</v>
      </c>
      <c r="O2890" s="10" t="n">
        <v>0.390721479896456</v>
      </c>
      <c r="P2890" s="10" t="n">
        <v>0.0297887143678963</v>
      </c>
      <c r="Q2890" s="0" t="str">
        <f aca="false">SUBSTITUTE(SUBSTITUTE($I2890,CHAR(61),""),CHAR(34),"")</f>
        <v>25-34</v>
      </c>
      <c r="R2890" s="0" t="str">
        <f aca="false">IF($D2890&lt;&gt;"","["&amp;$E2890&amp;"]"&amp;"|"&amp;$Q2890&amp;"|"&amp;$K2890&amp;"|"&amp;$G2890&amp;"|"&amp;IF($G2890="TX_CURR_SUBNAT.R","CY2022Q4",$M2890),"")</f>
        <v>[fyEoGEPERdI]|25-34|Female|PLHIV_Attend.T_1|CY2023Q3</v>
      </c>
    </row>
    <row r="2891" customFormat="false" ht="15" hidden="false" customHeight="false" outlineLevel="0" collapsed="false">
      <c r="D2891" s="0" t="s">
        <v>84</v>
      </c>
      <c r="E2891" s="0" t="s">
        <v>85</v>
      </c>
      <c r="F2891" s="0" t="s">
        <v>86</v>
      </c>
      <c r="G2891" s="0" t="s">
        <v>150</v>
      </c>
      <c r="H2891" s="0" t="s">
        <v>150</v>
      </c>
      <c r="I2891" s="0" t="s">
        <v>43</v>
      </c>
      <c r="J2891" s="0" t="s">
        <v>44</v>
      </c>
      <c r="K2891" s="0" t="s">
        <v>30</v>
      </c>
      <c r="L2891" s="0" t="s">
        <v>31</v>
      </c>
      <c r="M2891" s="0" t="s">
        <v>140</v>
      </c>
      <c r="N2891" s="0" t="n">
        <v>694</v>
      </c>
      <c r="O2891" s="10" t="n">
        <v>0.591133469250053</v>
      </c>
      <c r="P2891" s="10" t="n">
        <v>0.0297887143678963</v>
      </c>
      <c r="Q2891" s="0" t="str">
        <f aca="false">SUBSTITUTE(SUBSTITUTE($I2891,CHAR(61),""),CHAR(34),"")</f>
        <v>35-49</v>
      </c>
      <c r="R2891" s="0" t="str">
        <f aca="false">IF($D2891&lt;&gt;"","["&amp;$E2891&amp;"]"&amp;"|"&amp;$Q2891&amp;"|"&amp;$K2891&amp;"|"&amp;$G2891&amp;"|"&amp;IF($G2891="TX_CURR_SUBNAT.R","CY2022Q4",$M2891),"")</f>
        <v>[fyEoGEPERdI]|35-49|Female|PLHIV_Attend.T_1|CY2023Q3</v>
      </c>
    </row>
    <row r="2892" customFormat="false" ht="15" hidden="false" customHeight="false" outlineLevel="0" collapsed="false">
      <c r="D2892" s="0" t="s">
        <v>84</v>
      </c>
      <c r="E2892" s="0" t="s">
        <v>85</v>
      </c>
      <c r="F2892" s="0" t="s">
        <v>86</v>
      </c>
      <c r="G2892" s="0" t="s">
        <v>150</v>
      </c>
      <c r="H2892" s="0" t="s">
        <v>150</v>
      </c>
      <c r="I2892" s="0" t="s">
        <v>45</v>
      </c>
      <c r="J2892" s="0" t="s">
        <v>46</v>
      </c>
      <c r="K2892" s="0" t="s">
        <v>30</v>
      </c>
      <c r="L2892" s="0" t="s">
        <v>31</v>
      </c>
      <c r="M2892" s="0" t="s">
        <v>140</v>
      </c>
      <c r="N2892" s="0" t="n">
        <v>513</v>
      </c>
      <c r="O2892" s="10" t="n">
        <v>0.551332256523892</v>
      </c>
      <c r="P2892" s="10" t="n">
        <v>0.0297887143678963</v>
      </c>
      <c r="Q2892" s="0" t="str">
        <f aca="false">SUBSTITUTE(SUBSTITUTE($I2892,CHAR(61),""),CHAR(34),"")</f>
        <v>50+</v>
      </c>
      <c r="R2892" s="0" t="str">
        <f aca="false">IF($D2892&lt;&gt;"","["&amp;$E2892&amp;"]"&amp;"|"&amp;$Q2892&amp;"|"&amp;$K2892&amp;"|"&amp;$G2892&amp;"|"&amp;IF($G2892="TX_CURR_SUBNAT.R","CY2022Q4",$M2892),"")</f>
        <v>[fyEoGEPERdI]|50+|Female|PLHIV_Attend.T_1|CY2023Q3</v>
      </c>
    </row>
    <row r="2893" customFormat="false" ht="15" hidden="false" customHeight="false" outlineLevel="0" collapsed="false">
      <c r="D2893" s="0" t="s">
        <v>84</v>
      </c>
      <c r="E2893" s="0" t="s">
        <v>85</v>
      </c>
      <c r="F2893" s="0" t="s">
        <v>86</v>
      </c>
      <c r="G2893" s="0" t="s">
        <v>150</v>
      </c>
      <c r="H2893" s="0" t="s">
        <v>150</v>
      </c>
      <c r="I2893" s="0" t="s">
        <v>28</v>
      </c>
      <c r="J2893" s="0" t="s">
        <v>29</v>
      </c>
      <c r="K2893" s="0" t="s">
        <v>48</v>
      </c>
      <c r="L2893" s="0" t="s">
        <v>49</v>
      </c>
      <c r="M2893" s="0" t="s">
        <v>140</v>
      </c>
      <c r="N2893" s="0" t="n">
        <v>1637</v>
      </c>
      <c r="O2893" s="10" t="n">
        <v>0.438853828469291</v>
      </c>
      <c r="P2893" s="10" t="n">
        <v>0.0297887143678963</v>
      </c>
      <c r="Q2893" s="0" t="str">
        <f aca="false">SUBSTITUTE(SUBSTITUTE($I2893,CHAR(61),""),CHAR(34),"")</f>
        <v>&lt;01</v>
      </c>
      <c r="R2893" s="0" t="str">
        <f aca="false">IF($D2893&lt;&gt;"","["&amp;$E2893&amp;"]"&amp;"|"&amp;$Q2893&amp;"|"&amp;$K2893&amp;"|"&amp;$G2893&amp;"|"&amp;IF($G2893="TX_CURR_SUBNAT.R","CY2022Q4",$M2893),"")</f>
        <v>[fyEoGEPERdI]|&lt;01|Male|PLHIV_Attend.T_1|CY2023Q3</v>
      </c>
    </row>
    <row r="2894" customFormat="false" ht="15" hidden="false" customHeight="false" outlineLevel="0" collapsed="false">
      <c r="D2894" s="0" t="s">
        <v>84</v>
      </c>
      <c r="E2894" s="0" t="s">
        <v>85</v>
      </c>
      <c r="F2894" s="0" t="s">
        <v>86</v>
      </c>
      <c r="G2894" s="0" t="s">
        <v>150</v>
      </c>
      <c r="H2894" s="0" t="s">
        <v>150</v>
      </c>
      <c r="I2894" s="0" t="s">
        <v>33</v>
      </c>
      <c r="J2894" s="0" t="s">
        <v>34</v>
      </c>
      <c r="K2894" s="0" t="s">
        <v>48</v>
      </c>
      <c r="L2894" s="0" t="s">
        <v>49</v>
      </c>
      <c r="M2894" s="0" t="s">
        <v>140</v>
      </c>
      <c r="N2894" s="0" t="n">
        <v>1550</v>
      </c>
      <c r="O2894" s="10" t="n">
        <v>0.658774544950575</v>
      </c>
      <c r="P2894" s="10" t="n">
        <v>0.0297887143678963</v>
      </c>
      <c r="Q2894" s="0" t="str">
        <f aca="false">SUBSTITUTE(SUBSTITUTE($I2894,CHAR(61),""),CHAR(34),"")</f>
        <v>01-09</v>
      </c>
      <c r="R2894" s="0" t="str">
        <f aca="false">IF($D2894&lt;&gt;"","["&amp;$E2894&amp;"]"&amp;"|"&amp;$Q2894&amp;"|"&amp;$K2894&amp;"|"&amp;$G2894&amp;"|"&amp;IF($G2894="TX_CURR_SUBNAT.R","CY2022Q4",$M2894),"")</f>
        <v>[fyEoGEPERdI]|01-09|Male|PLHIV_Attend.T_1|CY2023Q3</v>
      </c>
    </row>
    <row r="2895" customFormat="false" ht="15" hidden="false" customHeight="false" outlineLevel="0" collapsed="false">
      <c r="D2895" s="0" t="s">
        <v>84</v>
      </c>
      <c r="E2895" s="0" t="s">
        <v>85</v>
      </c>
      <c r="F2895" s="0" t="s">
        <v>86</v>
      </c>
      <c r="G2895" s="0" t="s">
        <v>150</v>
      </c>
      <c r="H2895" s="0" t="s">
        <v>150</v>
      </c>
      <c r="I2895" s="0" t="s">
        <v>36</v>
      </c>
      <c r="J2895" s="0" t="s">
        <v>37</v>
      </c>
      <c r="K2895" s="0" t="s">
        <v>48</v>
      </c>
      <c r="L2895" s="0" t="s">
        <v>49</v>
      </c>
      <c r="M2895" s="0" t="s">
        <v>140</v>
      </c>
      <c r="N2895" s="0" t="n">
        <v>1695</v>
      </c>
      <c r="O2895" s="10" t="n">
        <v>0.904873863561079</v>
      </c>
      <c r="P2895" s="10" t="n">
        <v>0.0297887143678963</v>
      </c>
      <c r="Q2895" s="0" t="str">
        <f aca="false">SUBSTITUTE(SUBSTITUTE($I2895,CHAR(61),""),CHAR(34),"")</f>
        <v>10-14</v>
      </c>
      <c r="R2895" s="0" t="str">
        <f aca="false">IF($D2895&lt;&gt;"","["&amp;$E2895&amp;"]"&amp;"|"&amp;$Q2895&amp;"|"&amp;$K2895&amp;"|"&amp;$G2895&amp;"|"&amp;IF($G2895="TX_CURR_SUBNAT.R","CY2022Q4",$M2895),"")</f>
        <v>[fyEoGEPERdI]|10-14|Male|PLHIV_Attend.T_1|CY2023Q3</v>
      </c>
    </row>
    <row r="2896" customFormat="false" ht="15" hidden="false" customHeight="false" outlineLevel="0" collapsed="false">
      <c r="D2896" s="0" t="s">
        <v>84</v>
      </c>
      <c r="E2896" s="0" t="s">
        <v>85</v>
      </c>
      <c r="F2896" s="0" t="s">
        <v>86</v>
      </c>
      <c r="G2896" s="0" t="s">
        <v>150</v>
      </c>
      <c r="H2896" s="0" t="s">
        <v>150</v>
      </c>
      <c r="I2896" s="0" t="s">
        <v>38</v>
      </c>
      <c r="J2896" s="0" t="s">
        <v>39</v>
      </c>
      <c r="K2896" s="0" t="s">
        <v>48</v>
      </c>
      <c r="L2896" s="0" t="s">
        <v>49</v>
      </c>
      <c r="M2896" s="0" t="s">
        <v>140</v>
      </c>
      <c r="N2896" s="0" t="n">
        <v>1618</v>
      </c>
      <c r="O2896" s="10" t="n">
        <v>0.557280311360955</v>
      </c>
      <c r="P2896" s="10" t="n">
        <v>0.0297887143678963</v>
      </c>
      <c r="Q2896" s="0" t="str">
        <f aca="false">SUBSTITUTE(SUBSTITUTE($I2896,CHAR(61),""),CHAR(34),"")</f>
        <v>15-24</v>
      </c>
      <c r="R2896" s="0" t="str">
        <f aca="false">IF($D2896&lt;&gt;"","["&amp;$E2896&amp;"]"&amp;"|"&amp;$Q2896&amp;"|"&amp;$K2896&amp;"|"&amp;$G2896&amp;"|"&amp;IF($G2896="TX_CURR_SUBNAT.R","CY2022Q4",$M2896),"")</f>
        <v>[fyEoGEPERdI]|15-24|Male|PLHIV_Attend.T_1|CY2023Q3</v>
      </c>
    </row>
    <row r="2897" customFormat="false" ht="15" hidden="false" customHeight="false" outlineLevel="0" collapsed="false">
      <c r="D2897" s="0" t="s">
        <v>84</v>
      </c>
      <c r="E2897" s="0" t="s">
        <v>85</v>
      </c>
      <c r="F2897" s="0" t="s">
        <v>86</v>
      </c>
      <c r="G2897" s="0" t="s">
        <v>150</v>
      </c>
      <c r="H2897" s="0" t="s">
        <v>150</v>
      </c>
      <c r="I2897" s="0" t="s">
        <v>41</v>
      </c>
      <c r="J2897" s="0" t="s">
        <v>42</v>
      </c>
      <c r="K2897" s="0" t="s">
        <v>48</v>
      </c>
      <c r="L2897" s="0" t="s">
        <v>49</v>
      </c>
      <c r="M2897" s="0" t="s">
        <v>140</v>
      </c>
      <c r="N2897" s="0" t="n">
        <v>1543</v>
      </c>
      <c r="O2897" s="10" t="n">
        <v>0.639978860504925</v>
      </c>
      <c r="P2897" s="10" t="n">
        <v>0.0297887143678963</v>
      </c>
      <c r="Q2897" s="0" t="str">
        <f aca="false">SUBSTITUTE(SUBSTITUTE($I2897,CHAR(61),""),CHAR(34),"")</f>
        <v>25-34</v>
      </c>
      <c r="R2897" s="0" t="str">
        <f aca="false">IF($D2897&lt;&gt;"","["&amp;$E2897&amp;"]"&amp;"|"&amp;$Q2897&amp;"|"&amp;$K2897&amp;"|"&amp;$G2897&amp;"|"&amp;IF($G2897="TX_CURR_SUBNAT.R","CY2022Q4",$M2897),"")</f>
        <v>[fyEoGEPERdI]|25-34|Male|PLHIV_Attend.T_1|CY2023Q3</v>
      </c>
    </row>
    <row r="2898" customFormat="false" ht="15" hidden="false" customHeight="false" outlineLevel="0" collapsed="false">
      <c r="D2898" s="0" t="s">
        <v>84</v>
      </c>
      <c r="E2898" s="0" t="s">
        <v>85</v>
      </c>
      <c r="F2898" s="0" t="s">
        <v>86</v>
      </c>
      <c r="G2898" s="0" t="s">
        <v>150</v>
      </c>
      <c r="H2898" s="0" t="s">
        <v>150</v>
      </c>
      <c r="I2898" s="0" t="s">
        <v>43</v>
      </c>
      <c r="J2898" s="0" t="s">
        <v>44</v>
      </c>
      <c r="K2898" s="0" t="s">
        <v>48</v>
      </c>
      <c r="L2898" s="0" t="s">
        <v>49</v>
      </c>
      <c r="M2898" s="0" t="s">
        <v>140</v>
      </c>
      <c r="N2898" s="0" t="n">
        <v>944</v>
      </c>
      <c r="O2898" s="10" t="n">
        <v>0.271847533993423</v>
      </c>
      <c r="P2898" s="10" t="n">
        <v>0.0297887143678963</v>
      </c>
      <c r="Q2898" s="0" t="str">
        <f aca="false">SUBSTITUTE(SUBSTITUTE($I2898,CHAR(61),""),CHAR(34),"")</f>
        <v>35-49</v>
      </c>
      <c r="R2898" s="0" t="str">
        <f aca="false">IF($D2898&lt;&gt;"","["&amp;$E2898&amp;"]"&amp;"|"&amp;$Q2898&amp;"|"&amp;$K2898&amp;"|"&amp;$G2898&amp;"|"&amp;IF($G2898="TX_CURR_SUBNAT.R","CY2022Q4",$M2898),"")</f>
        <v>[fyEoGEPERdI]|35-49|Male|PLHIV_Attend.T_1|CY2023Q3</v>
      </c>
    </row>
    <row r="2899" customFormat="false" ht="15" hidden="false" customHeight="false" outlineLevel="0" collapsed="false">
      <c r="D2899" s="0" t="s">
        <v>84</v>
      </c>
      <c r="E2899" s="0" t="s">
        <v>85</v>
      </c>
      <c r="F2899" s="0" t="s">
        <v>86</v>
      </c>
      <c r="G2899" s="0" t="s">
        <v>150</v>
      </c>
      <c r="H2899" s="0" t="s">
        <v>150</v>
      </c>
      <c r="I2899" s="0" t="s">
        <v>45</v>
      </c>
      <c r="J2899" s="0" t="s">
        <v>46</v>
      </c>
      <c r="K2899" s="0" t="s">
        <v>48</v>
      </c>
      <c r="L2899" s="0" t="s">
        <v>49</v>
      </c>
      <c r="M2899" s="0" t="s">
        <v>140</v>
      </c>
      <c r="N2899" s="0" t="n">
        <v>704</v>
      </c>
      <c r="O2899" s="10" t="n">
        <v>0.893100651679561</v>
      </c>
      <c r="P2899" s="10" t="n">
        <v>0.0297887143678963</v>
      </c>
      <c r="Q2899" s="0" t="str">
        <f aca="false">SUBSTITUTE(SUBSTITUTE($I2899,CHAR(61),""),CHAR(34),"")</f>
        <v>50+</v>
      </c>
      <c r="R2899" s="0" t="str">
        <f aca="false">IF($D2899&lt;&gt;"","["&amp;$E2899&amp;"]"&amp;"|"&amp;$Q2899&amp;"|"&amp;$K2899&amp;"|"&amp;$G2899&amp;"|"&amp;IF($G2899="TX_CURR_SUBNAT.R","CY2022Q4",$M2899),"")</f>
        <v>[fyEoGEPERdI]|50+|Male|PLHIV_Attend.T_1|CY2023Q3</v>
      </c>
    </row>
    <row r="2900" customFormat="false" ht="15" hidden="false" customHeight="false" outlineLevel="0" collapsed="false">
      <c r="D2900" s="0" t="s">
        <v>87</v>
      </c>
      <c r="E2900" s="0" t="s">
        <v>88</v>
      </c>
      <c r="F2900" s="0" t="s">
        <v>89</v>
      </c>
      <c r="G2900" s="0" t="s">
        <v>150</v>
      </c>
      <c r="H2900" s="0" t="s">
        <v>150</v>
      </c>
      <c r="I2900" s="0" t="s">
        <v>28</v>
      </c>
      <c r="J2900" s="0" t="s">
        <v>29</v>
      </c>
      <c r="K2900" s="0" t="s">
        <v>30</v>
      </c>
      <c r="L2900" s="0" t="s">
        <v>31</v>
      </c>
      <c r="M2900" s="0" t="s">
        <v>140</v>
      </c>
      <c r="N2900" s="0" t="n">
        <v>1846</v>
      </c>
      <c r="O2900" s="10" t="n">
        <v>0.20187052199617</v>
      </c>
      <c r="P2900" s="10" t="n">
        <v>0.133336380822584</v>
      </c>
      <c r="Q2900" s="0" t="str">
        <f aca="false">SUBSTITUTE(SUBSTITUTE($I2900,CHAR(61),""),CHAR(34),"")</f>
        <v>&lt;01</v>
      </c>
      <c r="R2900" s="0" t="str">
        <f aca="false">IF($D2900&lt;&gt;"","["&amp;$E2900&amp;"]"&amp;"|"&amp;$Q2900&amp;"|"&amp;$K2900&amp;"|"&amp;$G2900&amp;"|"&amp;IF($G2900="TX_CURR_SUBNAT.R","CY2022Q4",$M2900),"")</f>
        <v>[cPtvxaZqXIH]|&lt;01|Female|PLHIV_Attend.T_1|CY2023Q3</v>
      </c>
    </row>
    <row r="2901" customFormat="false" ht="15" hidden="false" customHeight="false" outlineLevel="0" collapsed="false">
      <c r="D2901" s="0" t="s">
        <v>87</v>
      </c>
      <c r="E2901" s="0" t="s">
        <v>88</v>
      </c>
      <c r="F2901" s="0" t="s">
        <v>89</v>
      </c>
      <c r="G2901" s="0" t="s">
        <v>150</v>
      </c>
      <c r="H2901" s="0" t="s">
        <v>150</v>
      </c>
      <c r="I2901" s="0" t="s">
        <v>33</v>
      </c>
      <c r="J2901" s="0" t="s">
        <v>34</v>
      </c>
      <c r="K2901" s="0" t="s">
        <v>30</v>
      </c>
      <c r="L2901" s="0" t="s">
        <v>31</v>
      </c>
      <c r="M2901" s="0" t="s">
        <v>140</v>
      </c>
      <c r="N2901" s="0" t="n">
        <v>902</v>
      </c>
      <c r="O2901" s="10" t="n">
        <v>0.793667692225426</v>
      </c>
      <c r="P2901" s="10" t="n">
        <v>0.133336380822584</v>
      </c>
      <c r="Q2901" s="0" t="str">
        <f aca="false">SUBSTITUTE(SUBSTITUTE($I2901,CHAR(61),""),CHAR(34),"")</f>
        <v>01-09</v>
      </c>
      <c r="R2901" s="0" t="str">
        <f aca="false">IF($D2901&lt;&gt;"","["&amp;$E2901&amp;"]"&amp;"|"&amp;$Q2901&amp;"|"&amp;$K2901&amp;"|"&amp;$G2901&amp;"|"&amp;IF($G2901="TX_CURR_SUBNAT.R","CY2022Q4",$M2901),"")</f>
        <v>[cPtvxaZqXIH]|01-09|Female|PLHIV_Attend.T_1|CY2023Q3</v>
      </c>
    </row>
    <row r="2902" customFormat="false" ht="15" hidden="false" customHeight="false" outlineLevel="0" collapsed="false">
      <c r="D2902" s="0" t="s">
        <v>87</v>
      </c>
      <c r="E2902" s="0" t="s">
        <v>88</v>
      </c>
      <c r="F2902" s="0" t="s">
        <v>89</v>
      </c>
      <c r="G2902" s="0" t="s">
        <v>150</v>
      </c>
      <c r="H2902" s="0" t="s">
        <v>150</v>
      </c>
      <c r="I2902" s="0" t="s">
        <v>36</v>
      </c>
      <c r="J2902" s="0" t="s">
        <v>37</v>
      </c>
      <c r="K2902" s="0" t="s">
        <v>30</v>
      </c>
      <c r="L2902" s="0" t="s">
        <v>31</v>
      </c>
      <c r="M2902" s="0" t="s">
        <v>140</v>
      </c>
      <c r="N2902" s="0" t="n">
        <v>1267</v>
      </c>
      <c r="O2902" s="10" t="n">
        <v>0.157534472178668</v>
      </c>
      <c r="P2902" s="10" t="n">
        <v>0.133336380822584</v>
      </c>
      <c r="Q2902" s="0" t="str">
        <f aca="false">SUBSTITUTE(SUBSTITUTE($I2902,CHAR(61),""),CHAR(34),"")</f>
        <v>10-14</v>
      </c>
      <c r="R2902" s="0" t="str">
        <f aca="false">IF($D2902&lt;&gt;"","["&amp;$E2902&amp;"]"&amp;"|"&amp;$Q2902&amp;"|"&amp;$K2902&amp;"|"&amp;$G2902&amp;"|"&amp;IF($G2902="TX_CURR_SUBNAT.R","CY2022Q4",$M2902),"")</f>
        <v>[cPtvxaZqXIH]|10-14|Female|PLHIV_Attend.T_1|CY2023Q3</v>
      </c>
    </row>
    <row r="2903" customFormat="false" ht="15" hidden="false" customHeight="false" outlineLevel="0" collapsed="false">
      <c r="D2903" s="0" t="s">
        <v>87</v>
      </c>
      <c r="E2903" s="0" t="s">
        <v>88</v>
      </c>
      <c r="F2903" s="0" t="s">
        <v>89</v>
      </c>
      <c r="G2903" s="0" t="s">
        <v>150</v>
      </c>
      <c r="H2903" s="0" t="s">
        <v>150</v>
      </c>
      <c r="I2903" s="0" t="s">
        <v>38</v>
      </c>
      <c r="J2903" s="0" t="s">
        <v>39</v>
      </c>
      <c r="K2903" s="0" t="s">
        <v>30</v>
      </c>
      <c r="L2903" s="0" t="s">
        <v>31</v>
      </c>
      <c r="M2903" s="0" t="s">
        <v>140</v>
      </c>
      <c r="N2903" s="0" t="n">
        <v>1552</v>
      </c>
      <c r="O2903" s="10" t="n">
        <v>0.82874843175523</v>
      </c>
      <c r="P2903" s="10" t="n">
        <v>0.133336380822584</v>
      </c>
      <c r="Q2903" s="0" t="str">
        <f aca="false">SUBSTITUTE(SUBSTITUTE($I2903,CHAR(61),""),CHAR(34),"")</f>
        <v>15-24</v>
      </c>
      <c r="R2903" s="0" t="str">
        <f aca="false">IF($D2903&lt;&gt;"","["&amp;$E2903&amp;"]"&amp;"|"&amp;$Q2903&amp;"|"&amp;$K2903&amp;"|"&amp;$G2903&amp;"|"&amp;IF($G2903="TX_CURR_SUBNAT.R","CY2022Q4",$M2903),"")</f>
        <v>[cPtvxaZqXIH]|15-24|Female|PLHIV_Attend.T_1|CY2023Q3</v>
      </c>
    </row>
    <row r="2904" customFormat="false" ht="15" hidden="false" customHeight="false" outlineLevel="0" collapsed="false">
      <c r="D2904" s="0" t="s">
        <v>87</v>
      </c>
      <c r="E2904" s="0" t="s">
        <v>88</v>
      </c>
      <c r="F2904" s="0" t="s">
        <v>89</v>
      </c>
      <c r="G2904" s="0" t="s">
        <v>150</v>
      </c>
      <c r="H2904" s="0" t="s">
        <v>150</v>
      </c>
      <c r="I2904" s="0" t="s">
        <v>41</v>
      </c>
      <c r="J2904" s="0" t="s">
        <v>42</v>
      </c>
      <c r="K2904" s="0" t="s">
        <v>30</v>
      </c>
      <c r="L2904" s="0" t="s">
        <v>31</v>
      </c>
      <c r="M2904" s="0" t="s">
        <v>140</v>
      </c>
      <c r="N2904" s="0" t="n">
        <v>500</v>
      </c>
      <c r="O2904" s="10" t="n">
        <v>0.312452624319121</v>
      </c>
      <c r="P2904" s="10" t="n">
        <v>0.133336380822584</v>
      </c>
      <c r="Q2904" s="0" t="str">
        <f aca="false">SUBSTITUTE(SUBSTITUTE($I2904,CHAR(61),""),CHAR(34),"")</f>
        <v>25-34</v>
      </c>
      <c r="R2904" s="0" t="str">
        <f aca="false">IF($D2904&lt;&gt;"","["&amp;$E2904&amp;"]"&amp;"|"&amp;$Q2904&amp;"|"&amp;$K2904&amp;"|"&amp;$G2904&amp;"|"&amp;IF($G2904="TX_CURR_SUBNAT.R","CY2022Q4",$M2904),"")</f>
        <v>[cPtvxaZqXIH]|25-34|Female|PLHIV_Attend.T_1|CY2023Q3</v>
      </c>
    </row>
    <row r="2905" customFormat="false" ht="15" hidden="false" customHeight="false" outlineLevel="0" collapsed="false">
      <c r="D2905" s="0" t="s">
        <v>87</v>
      </c>
      <c r="E2905" s="0" t="s">
        <v>88</v>
      </c>
      <c r="F2905" s="0" t="s">
        <v>89</v>
      </c>
      <c r="G2905" s="0" t="s">
        <v>150</v>
      </c>
      <c r="H2905" s="0" t="s">
        <v>150</v>
      </c>
      <c r="I2905" s="0" t="s">
        <v>43</v>
      </c>
      <c r="J2905" s="0" t="s">
        <v>44</v>
      </c>
      <c r="K2905" s="0" t="s">
        <v>30</v>
      </c>
      <c r="L2905" s="0" t="s">
        <v>31</v>
      </c>
      <c r="M2905" s="0" t="s">
        <v>140</v>
      </c>
      <c r="N2905" s="0" t="n">
        <v>1115</v>
      </c>
      <c r="O2905" s="10" t="n">
        <v>0.797556483885273</v>
      </c>
      <c r="P2905" s="10" t="n">
        <v>0.133336380822584</v>
      </c>
      <c r="Q2905" s="0" t="str">
        <f aca="false">SUBSTITUTE(SUBSTITUTE($I2905,CHAR(61),""),CHAR(34),"")</f>
        <v>35-49</v>
      </c>
      <c r="R2905" s="0" t="str">
        <f aca="false">IF($D2905&lt;&gt;"","["&amp;$E2905&amp;"]"&amp;"|"&amp;$Q2905&amp;"|"&amp;$K2905&amp;"|"&amp;$G2905&amp;"|"&amp;IF($G2905="TX_CURR_SUBNAT.R","CY2022Q4",$M2905),"")</f>
        <v>[cPtvxaZqXIH]|35-49|Female|PLHIV_Attend.T_1|CY2023Q3</v>
      </c>
    </row>
    <row r="2906" customFormat="false" ht="15" hidden="false" customHeight="false" outlineLevel="0" collapsed="false">
      <c r="D2906" s="0" t="s">
        <v>87</v>
      </c>
      <c r="E2906" s="0" t="s">
        <v>88</v>
      </c>
      <c r="F2906" s="0" t="s">
        <v>89</v>
      </c>
      <c r="G2906" s="0" t="s">
        <v>150</v>
      </c>
      <c r="H2906" s="0" t="s">
        <v>150</v>
      </c>
      <c r="I2906" s="0" t="s">
        <v>45</v>
      </c>
      <c r="J2906" s="0" t="s">
        <v>46</v>
      </c>
      <c r="K2906" s="0" t="s">
        <v>30</v>
      </c>
      <c r="L2906" s="0" t="s">
        <v>31</v>
      </c>
      <c r="M2906" s="0" t="s">
        <v>140</v>
      </c>
      <c r="N2906" s="0" t="n">
        <v>1797</v>
      </c>
      <c r="O2906" s="10" t="n">
        <v>0.223487188806757</v>
      </c>
      <c r="P2906" s="10" t="n">
        <v>0.133336380822584</v>
      </c>
      <c r="Q2906" s="0" t="str">
        <f aca="false">SUBSTITUTE(SUBSTITUTE($I2906,CHAR(61),""),CHAR(34),"")</f>
        <v>50+</v>
      </c>
      <c r="R2906" s="0" t="str">
        <f aca="false">IF($D2906&lt;&gt;"","["&amp;$E2906&amp;"]"&amp;"|"&amp;$Q2906&amp;"|"&amp;$K2906&amp;"|"&amp;$G2906&amp;"|"&amp;IF($G2906="TX_CURR_SUBNAT.R","CY2022Q4",$M2906),"")</f>
        <v>[cPtvxaZqXIH]|50+|Female|PLHIV_Attend.T_1|CY2023Q3</v>
      </c>
    </row>
    <row r="2907" customFormat="false" ht="15" hidden="false" customHeight="false" outlineLevel="0" collapsed="false">
      <c r="D2907" s="0" t="s">
        <v>87</v>
      </c>
      <c r="E2907" s="0" t="s">
        <v>88</v>
      </c>
      <c r="F2907" s="0" t="s">
        <v>89</v>
      </c>
      <c r="G2907" s="0" t="s">
        <v>150</v>
      </c>
      <c r="H2907" s="0" t="s">
        <v>150</v>
      </c>
      <c r="I2907" s="0" t="s">
        <v>28</v>
      </c>
      <c r="J2907" s="0" t="s">
        <v>29</v>
      </c>
      <c r="K2907" s="0" t="s">
        <v>48</v>
      </c>
      <c r="L2907" s="0" t="s">
        <v>49</v>
      </c>
      <c r="M2907" s="0" t="s">
        <v>140</v>
      </c>
      <c r="N2907" s="0" t="n">
        <v>1829</v>
      </c>
      <c r="O2907" s="10" t="n">
        <v>0.405714035965502</v>
      </c>
      <c r="P2907" s="10" t="n">
        <v>0.133336380822584</v>
      </c>
      <c r="Q2907" s="0" t="str">
        <f aca="false">SUBSTITUTE(SUBSTITUTE($I2907,CHAR(61),""),CHAR(34),"")</f>
        <v>&lt;01</v>
      </c>
      <c r="R2907" s="0" t="str">
        <f aca="false">IF($D2907&lt;&gt;"","["&amp;$E2907&amp;"]"&amp;"|"&amp;$Q2907&amp;"|"&amp;$K2907&amp;"|"&amp;$G2907&amp;"|"&amp;IF($G2907="TX_CURR_SUBNAT.R","CY2022Q4",$M2907),"")</f>
        <v>[cPtvxaZqXIH]|&lt;01|Male|PLHIV_Attend.T_1|CY2023Q3</v>
      </c>
    </row>
    <row r="2908" customFormat="false" ht="15" hidden="false" customHeight="false" outlineLevel="0" collapsed="false">
      <c r="D2908" s="0" t="s">
        <v>87</v>
      </c>
      <c r="E2908" s="0" t="s">
        <v>88</v>
      </c>
      <c r="F2908" s="0" t="s">
        <v>89</v>
      </c>
      <c r="G2908" s="0" t="s">
        <v>150</v>
      </c>
      <c r="H2908" s="0" t="s">
        <v>150</v>
      </c>
      <c r="I2908" s="0" t="s">
        <v>33</v>
      </c>
      <c r="J2908" s="0" t="s">
        <v>34</v>
      </c>
      <c r="K2908" s="0" t="s">
        <v>48</v>
      </c>
      <c r="L2908" s="0" t="s">
        <v>49</v>
      </c>
      <c r="M2908" s="0" t="s">
        <v>140</v>
      </c>
      <c r="N2908" s="0" t="n">
        <v>1758</v>
      </c>
      <c r="O2908" s="10" t="n">
        <v>0.841793039813638</v>
      </c>
      <c r="P2908" s="10" t="n">
        <v>0.133336380822584</v>
      </c>
      <c r="Q2908" s="0" t="str">
        <f aca="false">SUBSTITUTE(SUBSTITUTE($I2908,CHAR(61),""),CHAR(34),"")</f>
        <v>01-09</v>
      </c>
      <c r="R2908" s="0" t="str">
        <f aca="false">IF($D2908&lt;&gt;"","["&amp;$E2908&amp;"]"&amp;"|"&amp;$Q2908&amp;"|"&amp;$K2908&amp;"|"&amp;$G2908&amp;"|"&amp;IF($G2908="TX_CURR_SUBNAT.R","CY2022Q4",$M2908),"")</f>
        <v>[cPtvxaZqXIH]|01-09|Male|PLHIV_Attend.T_1|CY2023Q3</v>
      </c>
    </row>
    <row r="2909" customFormat="false" ht="15" hidden="false" customHeight="false" outlineLevel="0" collapsed="false">
      <c r="D2909" s="0" t="s">
        <v>87</v>
      </c>
      <c r="E2909" s="0" t="s">
        <v>88</v>
      </c>
      <c r="F2909" s="0" t="s">
        <v>89</v>
      </c>
      <c r="G2909" s="0" t="s">
        <v>150</v>
      </c>
      <c r="H2909" s="0" t="s">
        <v>150</v>
      </c>
      <c r="I2909" s="0" t="s">
        <v>36</v>
      </c>
      <c r="J2909" s="0" t="s">
        <v>37</v>
      </c>
      <c r="K2909" s="0" t="s">
        <v>48</v>
      </c>
      <c r="L2909" s="0" t="s">
        <v>49</v>
      </c>
      <c r="M2909" s="0" t="s">
        <v>140</v>
      </c>
      <c r="N2909" s="0" t="n">
        <v>1950</v>
      </c>
      <c r="O2909" s="10" t="n">
        <v>0.210860589053482</v>
      </c>
      <c r="P2909" s="10" t="n">
        <v>0.133336380822584</v>
      </c>
      <c r="Q2909" s="0" t="str">
        <f aca="false">SUBSTITUTE(SUBSTITUTE($I2909,CHAR(61),""),CHAR(34),"")</f>
        <v>10-14</v>
      </c>
      <c r="R2909" s="0" t="str">
        <f aca="false">IF($D2909&lt;&gt;"","["&amp;$E2909&amp;"]"&amp;"|"&amp;$Q2909&amp;"|"&amp;$K2909&amp;"|"&amp;$G2909&amp;"|"&amp;IF($G2909="TX_CURR_SUBNAT.R","CY2022Q4",$M2909),"")</f>
        <v>[cPtvxaZqXIH]|10-14|Male|PLHIV_Attend.T_1|CY2023Q3</v>
      </c>
    </row>
    <row r="2910" customFormat="false" ht="15" hidden="false" customHeight="false" outlineLevel="0" collapsed="false">
      <c r="D2910" s="0" t="s">
        <v>87</v>
      </c>
      <c r="E2910" s="0" t="s">
        <v>88</v>
      </c>
      <c r="F2910" s="0" t="s">
        <v>89</v>
      </c>
      <c r="G2910" s="0" t="s">
        <v>150</v>
      </c>
      <c r="H2910" s="0" t="s">
        <v>150</v>
      </c>
      <c r="I2910" s="0" t="s">
        <v>38</v>
      </c>
      <c r="J2910" s="0" t="s">
        <v>39</v>
      </c>
      <c r="K2910" s="0" t="s">
        <v>48</v>
      </c>
      <c r="L2910" s="0" t="s">
        <v>49</v>
      </c>
      <c r="M2910" s="0" t="s">
        <v>140</v>
      </c>
      <c r="N2910" s="0" t="n">
        <v>855</v>
      </c>
      <c r="O2910" s="10" t="n">
        <v>0.713755786884576</v>
      </c>
      <c r="P2910" s="10" t="n">
        <v>0.133336380822584</v>
      </c>
      <c r="Q2910" s="0" t="str">
        <f aca="false">SUBSTITUTE(SUBSTITUTE($I2910,CHAR(61),""),CHAR(34),"")</f>
        <v>15-24</v>
      </c>
      <c r="R2910" s="0" t="str">
        <f aca="false">IF($D2910&lt;&gt;"","["&amp;$E2910&amp;"]"&amp;"|"&amp;$Q2910&amp;"|"&amp;$K2910&amp;"|"&amp;$G2910&amp;"|"&amp;IF($G2910="TX_CURR_SUBNAT.R","CY2022Q4",$M2910),"")</f>
        <v>[cPtvxaZqXIH]|15-24|Male|PLHIV_Attend.T_1|CY2023Q3</v>
      </c>
    </row>
    <row r="2911" customFormat="false" ht="15" hidden="false" customHeight="false" outlineLevel="0" collapsed="false">
      <c r="D2911" s="0" t="s">
        <v>87</v>
      </c>
      <c r="E2911" s="0" t="s">
        <v>88</v>
      </c>
      <c r="F2911" s="0" t="s">
        <v>89</v>
      </c>
      <c r="G2911" s="0" t="s">
        <v>150</v>
      </c>
      <c r="H2911" s="0" t="s">
        <v>150</v>
      </c>
      <c r="I2911" s="0" t="s">
        <v>41</v>
      </c>
      <c r="J2911" s="0" t="s">
        <v>42</v>
      </c>
      <c r="K2911" s="0" t="s">
        <v>48</v>
      </c>
      <c r="L2911" s="0" t="s">
        <v>49</v>
      </c>
      <c r="M2911" s="0" t="s">
        <v>140</v>
      </c>
      <c r="N2911" s="0" t="n">
        <v>914</v>
      </c>
      <c r="O2911" s="10" t="n">
        <v>0.341094084782526</v>
      </c>
      <c r="P2911" s="10" t="n">
        <v>0.133336380822584</v>
      </c>
      <c r="Q2911" s="0" t="str">
        <f aca="false">SUBSTITUTE(SUBSTITUTE($I2911,CHAR(61),""),CHAR(34),"")</f>
        <v>25-34</v>
      </c>
      <c r="R2911" s="0" t="str">
        <f aca="false">IF($D2911&lt;&gt;"","["&amp;$E2911&amp;"]"&amp;"|"&amp;$Q2911&amp;"|"&amp;$K2911&amp;"|"&amp;$G2911&amp;"|"&amp;IF($G2911="TX_CURR_SUBNAT.R","CY2022Q4",$M2911),"")</f>
        <v>[cPtvxaZqXIH]|25-34|Male|PLHIV_Attend.T_1|CY2023Q3</v>
      </c>
    </row>
    <row r="2912" customFormat="false" ht="15" hidden="false" customHeight="false" outlineLevel="0" collapsed="false">
      <c r="D2912" s="0" t="s">
        <v>87</v>
      </c>
      <c r="E2912" s="0" t="s">
        <v>88</v>
      </c>
      <c r="F2912" s="0" t="s">
        <v>89</v>
      </c>
      <c r="G2912" s="0" t="s">
        <v>150</v>
      </c>
      <c r="H2912" s="0" t="s">
        <v>150</v>
      </c>
      <c r="I2912" s="0" t="s">
        <v>43</v>
      </c>
      <c r="J2912" s="0" t="s">
        <v>44</v>
      </c>
      <c r="K2912" s="0" t="s">
        <v>48</v>
      </c>
      <c r="L2912" s="0" t="s">
        <v>49</v>
      </c>
      <c r="M2912" s="0" t="s">
        <v>140</v>
      </c>
      <c r="N2912" s="0" t="n">
        <v>1376</v>
      </c>
      <c r="O2912" s="10" t="n">
        <v>0.778912553330883</v>
      </c>
      <c r="P2912" s="10" t="n">
        <v>0.133336380822584</v>
      </c>
      <c r="Q2912" s="0" t="str">
        <f aca="false">SUBSTITUTE(SUBSTITUTE($I2912,CHAR(61),""),CHAR(34),"")</f>
        <v>35-49</v>
      </c>
      <c r="R2912" s="0" t="str">
        <f aca="false">IF($D2912&lt;&gt;"","["&amp;$E2912&amp;"]"&amp;"|"&amp;$Q2912&amp;"|"&amp;$K2912&amp;"|"&amp;$G2912&amp;"|"&amp;IF($G2912="TX_CURR_SUBNAT.R","CY2022Q4",$M2912),"")</f>
        <v>[cPtvxaZqXIH]|35-49|Male|PLHIV_Attend.T_1|CY2023Q3</v>
      </c>
    </row>
    <row r="2913" customFormat="false" ht="15" hidden="false" customHeight="false" outlineLevel="0" collapsed="false">
      <c r="D2913" s="0" t="s">
        <v>87</v>
      </c>
      <c r="E2913" s="0" t="s">
        <v>88</v>
      </c>
      <c r="F2913" s="0" t="s">
        <v>89</v>
      </c>
      <c r="G2913" s="0" t="s">
        <v>150</v>
      </c>
      <c r="H2913" s="0" t="s">
        <v>150</v>
      </c>
      <c r="I2913" s="0" t="s">
        <v>45</v>
      </c>
      <c r="J2913" s="0" t="s">
        <v>46</v>
      </c>
      <c r="K2913" s="0" t="s">
        <v>48</v>
      </c>
      <c r="L2913" s="0" t="s">
        <v>49</v>
      </c>
      <c r="M2913" s="0" t="s">
        <v>140</v>
      </c>
      <c r="N2913" s="0" t="n">
        <v>1843</v>
      </c>
      <c r="O2913" s="10" t="n">
        <v>0.730724365450442</v>
      </c>
      <c r="P2913" s="10" t="n">
        <v>0.133336380822584</v>
      </c>
      <c r="Q2913" s="0" t="str">
        <f aca="false">SUBSTITUTE(SUBSTITUTE($I2913,CHAR(61),""),CHAR(34),"")</f>
        <v>50+</v>
      </c>
      <c r="R2913" s="0" t="str">
        <f aca="false">IF($D2913&lt;&gt;"","["&amp;$E2913&amp;"]"&amp;"|"&amp;$Q2913&amp;"|"&amp;$K2913&amp;"|"&amp;$G2913&amp;"|"&amp;IF($G2913="TX_CURR_SUBNAT.R","CY2022Q4",$M2913),"")</f>
        <v>[cPtvxaZqXIH]|50+|Male|PLHIV_Attend.T_1|CY2023Q3</v>
      </c>
    </row>
    <row r="2914" customFormat="false" ht="15" hidden="false" customHeight="false" outlineLevel="0" collapsed="false">
      <c r="D2914" s="0" t="s">
        <v>90</v>
      </c>
      <c r="E2914" s="0" t="s">
        <v>91</v>
      </c>
      <c r="F2914" s="0" t="s">
        <v>92</v>
      </c>
      <c r="G2914" s="0" t="s">
        <v>150</v>
      </c>
      <c r="H2914" s="0" t="s">
        <v>150</v>
      </c>
      <c r="I2914" s="0" t="s">
        <v>28</v>
      </c>
      <c r="J2914" s="0" t="s">
        <v>29</v>
      </c>
      <c r="K2914" s="0" t="s">
        <v>30</v>
      </c>
      <c r="L2914" s="0" t="s">
        <v>31</v>
      </c>
      <c r="M2914" s="0" t="s">
        <v>140</v>
      </c>
      <c r="N2914" s="0" t="n">
        <v>1945</v>
      </c>
      <c r="O2914" s="10" t="n">
        <v>0.616612098412588</v>
      </c>
      <c r="P2914" s="10" t="n">
        <v>0.719914150424302</v>
      </c>
      <c r="Q2914" s="0" t="str">
        <f aca="false">SUBSTITUTE(SUBSTITUTE($I2914,CHAR(61),""),CHAR(34),"")</f>
        <v>&lt;01</v>
      </c>
      <c r="R2914" s="0" t="str">
        <f aca="false">IF($D2914&lt;&gt;"","["&amp;$E2914&amp;"]"&amp;"|"&amp;$Q2914&amp;"|"&amp;$K2914&amp;"|"&amp;$G2914&amp;"|"&amp;IF($G2914="TX_CURR_SUBNAT.R","CY2022Q4",$M2914),"")</f>
        <v>[AZyWpGzhcaA]|&lt;01|Female|PLHIV_Attend.T_1|CY2023Q3</v>
      </c>
    </row>
    <row r="2915" customFormat="false" ht="15" hidden="false" customHeight="false" outlineLevel="0" collapsed="false">
      <c r="D2915" s="0" t="s">
        <v>90</v>
      </c>
      <c r="E2915" s="0" t="s">
        <v>91</v>
      </c>
      <c r="F2915" s="0" t="s">
        <v>92</v>
      </c>
      <c r="G2915" s="0" t="s">
        <v>150</v>
      </c>
      <c r="H2915" s="0" t="s">
        <v>150</v>
      </c>
      <c r="I2915" s="0" t="s">
        <v>33</v>
      </c>
      <c r="J2915" s="0" t="s">
        <v>34</v>
      </c>
      <c r="K2915" s="0" t="s">
        <v>30</v>
      </c>
      <c r="L2915" s="0" t="s">
        <v>31</v>
      </c>
      <c r="M2915" s="0" t="s">
        <v>140</v>
      </c>
      <c r="N2915" s="0" t="n">
        <v>952</v>
      </c>
      <c r="O2915" s="10" t="n">
        <v>0.403562819818035</v>
      </c>
      <c r="P2915" s="10" t="n">
        <v>0.719914150424302</v>
      </c>
      <c r="Q2915" s="0" t="str">
        <f aca="false">SUBSTITUTE(SUBSTITUTE($I2915,CHAR(61),""),CHAR(34),"")</f>
        <v>01-09</v>
      </c>
      <c r="R2915" s="0" t="str">
        <f aca="false">IF($D2915&lt;&gt;"","["&amp;$E2915&amp;"]"&amp;"|"&amp;$Q2915&amp;"|"&amp;$K2915&amp;"|"&amp;$G2915&amp;"|"&amp;IF($G2915="TX_CURR_SUBNAT.R","CY2022Q4",$M2915),"")</f>
        <v>[AZyWpGzhcaA]|01-09|Female|PLHIV_Attend.T_1|CY2023Q3</v>
      </c>
    </row>
    <row r="2916" customFormat="false" ht="15" hidden="false" customHeight="false" outlineLevel="0" collapsed="false">
      <c r="D2916" s="0" t="s">
        <v>90</v>
      </c>
      <c r="E2916" s="0" t="s">
        <v>91</v>
      </c>
      <c r="F2916" s="0" t="s">
        <v>92</v>
      </c>
      <c r="G2916" s="0" t="s">
        <v>150</v>
      </c>
      <c r="H2916" s="0" t="s">
        <v>150</v>
      </c>
      <c r="I2916" s="0" t="s">
        <v>36</v>
      </c>
      <c r="J2916" s="0" t="s">
        <v>37</v>
      </c>
      <c r="K2916" s="0" t="s">
        <v>30</v>
      </c>
      <c r="L2916" s="0" t="s">
        <v>31</v>
      </c>
      <c r="M2916" s="0" t="s">
        <v>140</v>
      </c>
      <c r="N2916" s="0" t="n">
        <v>874</v>
      </c>
      <c r="O2916" s="10" t="n">
        <v>0.235373162431642</v>
      </c>
      <c r="P2916" s="10" t="n">
        <v>0.719914150424302</v>
      </c>
      <c r="Q2916" s="0" t="str">
        <f aca="false">SUBSTITUTE(SUBSTITUTE($I2916,CHAR(61),""),CHAR(34),"")</f>
        <v>10-14</v>
      </c>
      <c r="R2916" s="0" t="str">
        <f aca="false">IF($D2916&lt;&gt;"","["&amp;$E2916&amp;"]"&amp;"|"&amp;$Q2916&amp;"|"&amp;$K2916&amp;"|"&amp;$G2916&amp;"|"&amp;IF($G2916="TX_CURR_SUBNAT.R","CY2022Q4",$M2916),"")</f>
        <v>[AZyWpGzhcaA]|10-14|Female|PLHIV_Attend.T_1|CY2023Q3</v>
      </c>
    </row>
    <row r="2917" customFormat="false" ht="15" hidden="false" customHeight="false" outlineLevel="0" collapsed="false">
      <c r="D2917" s="0" t="s">
        <v>90</v>
      </c>
      <c r="E2917" s="0" t="s">
        <v>91</v>
      </c>
      <c r="F2917" s="0" t="s">
        <v>92</v>
      </c>
      <c r="G2917" s="0" t="s">
        <v>150</v>
      </c>
      <c r="H2917" s="0" t="s">
        <v>150</v>
      </c>
      <c r="I2917" s="0" t="s">
        <v>38</v>
      </c>
      <c r="J2917" s="0" t="s">
        <v>39</v>
      </c>
      <c r="K2917" s="0" t="s">
        <v>30</v>
      </c>
      <c r="L2917" s="0" t="s">
        <v>31</v>
      </c>
      <c r="M2917" s="0" t="s">
        <v>140</v>
      </c>
      <c r="N2917" s="0" t="n">
        <v>564</v>
      </c>
      <c r="O2917" s="10" t="n">
        <v>0.0208506528288126</v>
      </c>
      <c r="P2917" s="10" t="n">
        <v>0.719914150424302</v>
      </c>
      <c r="Q2917" s="0" t="str">
        <f aca="false">SUBSTITUTE(SUBSTITUTE($I2917,CHAR(61),""),CHAR(34),"")</f>
        <v>15-24</v>
      </c>
      <c r="R2917" s="0" t="str">
        <f aca="false">IF($D2917&lt;&gt;"","["&amp;$E2917&amp;"]"&amp;"|"&amp;$Q2917&amp;"|"&amp;$K2917&amp;"|"&amp;$G2917&amp;"|"&amp;IF($G2917="TX_CURR_SUBNAT.R","CY2022Q4",$M2917),"")</f>
        <v>[AZyWpGzhcaA]|15-24|Female|PLHIV_Attend.T_1|CY2023Q3</v>
      </c>
    </row>
    <row r="2918" customFormat="false" ht="15" hidden="false" customHeight="false" outlineLevel="0" collapsed="false">
      <c r="D2918" s="0" t="s">
        <v>90</v>
      </c>
      <c r="E2918" s="0" t="s">
        <v>91</v>
      </c>
      <c r="F2918" s="0" t="s">
        <v>92</v>
      </c>
      <c r="G2918" s="0" t="s">
        <v>150</v>
      </c>
      <c r="H2918" s="0" t="s">
        <v>150</v>
      </c>
      <c r="I2918" s="0" t="s">
        <v>41</v>
      </c>
      <c r="J2918" s="0" t="s">
        <v>42</v>
      </c>
      <c r="K2918" s="0" t="s">
        <v>30</v>
      </c>
      <c r="L2918" s="0" t="s">
        <v>31</v>
      </c>
      <c r="M2918" s="0" t="s">
        <v>140</v>
      </c>
      <c r="N2918" s="0" t="n">
        <v>1952</v>
      </c>
      <c r="O2918" s="10" t="n">
        <v>0.21705834637396</v>
      </c>
      <c r="P2918" s="10" t="n">
        <v>0.719914150424302</v>
      </c>
      <c r="Q2918" s="0" t="str">
        <f aca="false">SUBSTITUTE(SUBSTITUTE($I2918,CHAR(61),""),CHAR(34),"")</f>
        <v>25-34</v>
      </c>
      <c r="R2918" s="0" t="str">
        <f aca="false">IF($D2918&lt;&gt;"","["&amp;$E2918&amp;"]"&amp;"|"&amp;$Q2918&amp;"|"&amp;$K2918&amp;"|"&amp;$G2918&amp;"|"&amp;IF($G2918="TX_CURR_SUBNAT.R","CY2022Q4",$M2918),"")</f>
        <v>[AZyWpGzhcaA]|25-34|Female|PLHIV_Attend.T_1|CY2023Q3</v>
      </c>
    </row>
    <row r="2919" customFormat="false" ht="15" hidden="false" customHeight="false" outlineLevel="0" collapsed="false">
      <c r="D2919" s="0" t="s">
        <v>90</v>
      </c>
      <c r="E2919" s="0" t="s">
        <v>91</v>
      </c>
      <c r="F2919" s="0" t="s">
        <v>92</v>
      </c>
      <c r="G2919" s="0" t="s">
        <v>150</v>
      </c>
      <c r="H2919" s="0" t="s">
        <v>150</v>
      </c>
      <c r="I2919" s="0" t="s">
        <v>43</v>
      </c>
      <c r="J2919" s="0" t="s">
        <v>44</v>
      </c>
      <c r="K2919" s="0" t="s">
        <v>30</v>
      </c>
      <c r="L2919" s="0" t="s">
        <v>31</v>
      </c>
      <c r="M2919" s="0" t="s">
        <v>140</v>
      </c>
      <c r="N2919" s="0" t="n">
        <v>1698</v>
      </c>
      <c r="O2919" s="10" t="n">
        <v>0.562107402831316</v>
      </c>
      <c r="P2919" s="10" t="n">
        <v>0.719914150424302</v>
      </c>
      <c r="Q2919" s="0" t="str">
        <f aca="false">SUBSTITUTE(SUBSTITUTE($I2919,CHAR(61),""),CHAR(34),"")</f>
        <v>35-49</v>
      </c>
      <c r="R2919" s="0" t="str">
        <f aca="false">IF($D2919&lt;&gt;"","["&amp;$E2919&amp;"]"&amp;"|"&amp;$Q2919&amp;"|"&amp;$K2919&amp;"|"&amp;$G2919&amp;"|"&amp;IF($G2919="TX_CURR_SUBNAT.R","CY2022Q4",$M2919),"")</f>
        <v>[AZyWpGzhcaA]|35-49|Female|PLHIV_Attend.T_1|CY2023Q3</v>
      </c>
    </row>
    <row r="2920" customFormat="false" ht="15" hidden="false" customHeight="false" outlineLevel="0" collapsed="false">
      <c r="D2920" s="0" t="s">
        <v>90</v>
      </c>
      <c r="E2920" s="0" t="s">
        <v>91</v>
      </c>
      <c r="F2920" s="0" t="s">
        <v>92</v>
      </c>
      <c r="G2920" s="0" t="s">
        <v>150</v>
      </c>
      <c r="H2920" s="0" t="s">
        <v>150</v>
      </c>
      <c r="I2920" s="0" t="s">
        <v>45</v>
      </c>
      <c r="J2920" s="0" t="s">
        <v>46</v>
      </c>
      <c r="K2920" s="0" t="s">
        <v>30</v>
      </c>
      <c r="L2920" s="0" t="s">
        <v>31</v>
      </c>
      <c r="M2920" s="0" t="s">
        <v>140</v>
      </c>
      <c r="N2920" s="0" t="n">
        <v>606</v>
      </c>
      <c r="O2920" s="10" t="n">
        <v>0.0860667668748647</v>
      </c>
      <c r="P2920" s="10" t="n">
        <v>0.719914150424302</v>
      </c>
      <c r="Q2920" s="0" t="str">
        <f aca="false">SUBSTITUTE(SUBSTITUTE($I2920,CHAR(61),""),CHAR(34),"")</f>
        <v>50+</v>
      </c>
      <c r="R2920" s="0" t="str">
        <f aca="false">IF($D2920&lt;&gt;"","["&amp;$E2920&amp;"]"&amp;"|"&amp;$Q2920&amp;"|"&amp;$K2920&amp;"|"&amp;$G2920&amp;"|"&amp;IF($G2920="TX_CURR_SUBNAT.R","CY2022Q4",$M2920),"")</f>
        <v>[AZyWpGzhcaA]|50+|Female|PLHIV_Attend.T_1|CY2023Q3</v>
      </c>
    </row>
    <row r="2921" customFormat="false" ht="15" hidden="false" customHeight="false" outlineLevel="0" collapsed="false">
      <c r="D2921" s="0" t="s">
        <v>90</v>
      </c>
      <c r="E2921" s="0" t="s">
        <v>91</v>
      </c>
      <c r="F2921" s="0" t="s">
        <v>92</v>
      </c>
      <c r="G2921" s="0" t="s">
        <v>150</v>
      </c>
      <c r="H2921" s="0" t="s">
        <v>150</v>
      </c>
      <c r="I2921" s="0" t="s">
        <v>28</v>
      </c>
      <c r="J2921" s="0" t="s">
        <v>29</v>
      </c>
      <c r="K2921" s="0" t="s">
        <v>48</v>
      </c>
      <c r="L2921" s="0" t="s">
        <v>49</v>
      </c>
      <c r="M2921" s="0" t="s">
        <v>140</v>
      </c>
      <c r="N2921" s="0" t="n">
        <v>783</v>
      </c>
      <c r="O2921" s="10" t="n">
        <v>0.755048040533438</v>
      </c>
      <c r="P2921" s="10" t="n">
        <v>0.719914150424302</v>
      </c>
      <c r="Q2921" s="0" t="str">
        <f aca="false">SUBSTITUTE(SUBSTITUTE($I2921,CHAR(61),""),CHAR(34),"")</f>
        <v>&lt;01</v>
      </c>
      <c r="R2921" s="0" t="str">
        <f aca="false">IF($D2921&lt;&gt;"","["&amp;$E2921&amp;"]"&amp;"|"&amp;$Q2921&amp;"|"&amp;$K2921&amp;"|"&amp;$G2921&amp;"|"&amp;IF($G2921="TX_CURR_SUBNAT.R","CY2022Q4",$M2921),"")</f>
        <v>[AZyWpGzhcaA]|&lt;01|Male|PLHIV_Attend.T_1|CY2023Q3</v>
      </c>
    </row>
    <row r="2922" customFormat="false" ht="15" hidden="false" customHeight="false" outlineLevel="0" collapsed="false">
      <c r="D2922" s="0" t="s">
        <v>90</v>
      </c>
      <c r="E2922" s="0" t="s">
        <v>91</v>
      </c>
      <c r="F2922" s="0" t="s">
        <v>92</v>
      </c>
      <c r="G2922" s="0" t="s">
        <v>150</v>
      </c>
      <c r="H2922" s="0" t="s">
        <v>150</v>
      </c>
      <c r="I2922" s="0" t="s">
        <v>33</v>
      </c>
      <c r="J2922" s="0" t="s">
        <v>34</v>
      </c>
      <c r="K2922" s="0" t="s">
        <v>48</v>
      </c>
      <c r="L2922" s="0" t="s">
        <v>49</v>
      </c>
      <c r="M2922" s="0" t="s">
        <v>140</v>
      </c>
      <c r="N2922" s="0" t="n">
        <v>1375</v>
      </c>
      <c r="O2922" s="10" t="n">
        <v>0.209626764524728</v>
      </c>
      <c r="P2922" s="10" t="n">
        <v>0.719914150424302</v>
      </c>
      <c r="Q2922" s="0" t="str">
        <f aca="false">SUBSTITUTE(SUBSTITUTE($I2922,CHAR(61),""),CHAR(34),"")</f>
        <v>01-09</v>
      </c>
      <c r="R2922" s="0" t="str">
        <f aca="false">IF($D2922&lt;&gt;"","["&amp;$E2922&amp;"]"&amp;"|"&amp;$Q2922&amp;"|"&amp;$K2922&amp;"|"&amp;$G2922&amp;"|"&amp;IF($G2922="TX_CURR_SUBNAT.R","CY2022Q4",$M2922),"")</f>
        <v>[AZyWpGzhcaA]|01-09|Male|PLHIV_Attend.T_1|CY2023Q3</v>
      </c>
    </row>
    <row r="2923" customFormat="false" ht="15" hidden="false" customHeight="false" outlineLevel="0" collapsed="false">
      <c r="D2923" s="0" t="s">
        <v>90</v>
      </c>
      <c r="E2923" s="0" t="s">
        <v>91</v>
      </c>
      <c r="F2923" s="0" t="s">
        <v>92</v>
      </c>
      <c r="G2923" s="0" t="s">
        <v>150</v>
      </c>
      <c r="H2923" s="0" t="s">
        <v>150</v>
      </c>
      <c r="I2923" s="0" t="s">
        <v>36</v>
      </c>
      <c r="J2923" s="0" t="s">
        <v>37</v>
      </c>
      <c r="K2923" s="0" t="s">
        <v>48</v>
      </c>
      <c r="L2923" s="0" t="s">
        <v>49</v>
      </c>
      <c r="M2923" s="0" t="s">
        <v>140</v>
      </c>
      <c r="N2923" s="0" t="n">
        <v>553</v>
      </c>
      <c r="O2923" s="10" t="n">
        <v>0.85507848369889</v>
      </c>
      <c r="P2923" s="10" t="n">
        <v>0.719914150424302</v>
      </c>
      <c r="Q2923" s="0" t="str">
        <f aca="false">SUBSTITUTE(SUBSTITUTE($I2923,CHAR(61),""),CHAR(34),"")</f>
        <v>10-14</v>
      </c>
      <c r="R2923" s="0" t="str">
        <f aca="false">IF($D2923&lt;&gt;"","["&amp;$E2923&amp;"]"&amp;"|"&amp;$Q2923&amp;"|"&amp;$K2923&amp;"|"&amp;$G2923&amp;"|"&amp;IF($G2923="TX_CURR_SUBNAT.R","CY2022Q4",$M2923),"")</f>
        <v>[AZyWpGzhcaA]|10-14|Male|PLHIV_Attend.T_1|CY2023Q3</v>
      </c>
    </row>
    <row r="2924" customFormat="false" ht="15" hidden="false" customHeight="false" outlineLevel="0" collapsed="false">
      <c r="D2924" s="0" t="s">
        <v>90</v>
      </c>
      <c r="E2924" s="0" t="s">
        <v>91</v>
      </c>
      <c r="F2924" s="0" t="s">
        <v>92</v>
      </c>
      <c r="G2924" s="0" t="s">
        <v>150</v>
      </c>
      <c r="H2924" s="0" t="s">
        <v>150</v>
      </c>
      <c r="I2924" s="0" t="s">
        <v>38</v>
      </c>
      <c r="J2924" s="0" t="s">
        <v>39</v>
      </c>
      <c r="K2924" s="0" t="s">
        <v>48</v>
      </c>
      <c r="L2924" s="0" t="s">
        <v>49</v>
      </c>
      <c r="M2924" s="0" t="s">
        <v>140</v>
      </c>
      <c r="N2924" s="0" t="n">
        <v>1445</v>
      </c>
      <c r="O2924" s="10" t="n">
        <v>0.575052929576486</v>
      </c>
      <c r="P2924" s="10" t="n">
        <v>0.719914150424302</v>
      </c>
      <c r="Q2924" s="0" t="str">
        <f aca="false">SUBSTITUTE(SUBSTITUTE($I2924,CHAR(61),""),CHAR(34),"")</f>
        <v>15-24</v>
      </c>
      <c r="R2924" s="0" t="str">
        <f aca="false">IF($D2924&lt;&gt;"","["&amp;$E2924&amp;"]"&amp;"|"&amp;$Q2924&amp;"|"&amp;$K2924&amp;"|"&amp;$G2924&amp;"|"&amp;IF($G2924="TX_CURR_SUBNAT.R","CY2022Q4",$M2924),"")</f>
        <v>[AZyWpGzhcaA]|15-24|Male|PLHIV_Attend.T_1|CY2023Q3</v>
      </c>
    </row>
    <row r="2925" customFormat="false" ht="15" hidden="false" customHeight="false" outlineLevel="0" collapsed="false">
      <c r="D2925" s="0" t="s">
        <v>90</v>
      </c>
      <c r="E2925" s="0" t="s">
        <v>91</v>
      </c>
      <c r="F2925" s="0" t="s">
        <v>92</v>
      </c>
      <c r="G2925" s="0" t="s">
        <v>150</v>
      </c>
      <c r="H2925" s="0" t="s">
        <v>150</v>
      </c>
      <c r="I2925" s="0" t="s">
        <v>41</v>
      </c>
      <c r="J2925" s="0" t="s">
        <v>42</v>
      </c>
      <c r="K2925" s="0" t="s">
        <v>48</v>
      </c>
      <c r="L2925" s="0" t="s">
        <v>49</v>
      </c>
      <c r="M2925" s="0" t="s">
        <v>140</v>
      </c>
      <c r="N2925" s="0" t="n">
        <v>1425</v>
      </c>
      <c r="O2925" s="10" t="n">
        <v>0.272624871926382</v>
      </c>
      <c r="P2925" s="10" t="n">
        <v>0.719914150424302</v>
      </c>
      <c r="Q2925" s="0" t="str">
        <f aca="false">SUBSTITUTE(SUBSTITUTE($I2925,CHAR(61),""),CHAR(34),"")</f>
        <v>25-34</v>
      </c>
      <c r="R2925" s="0" t="str">
        <f aca="false">IF($D2925&lt;&gt;"","["&amp;$E2925&amp;"]"&amp;"|"&amp;$Q2925&amp;"|"&amp;$K2925&amp;"|"&amp;$G2925&amp;"|"&amp;IF($G2925="TX_CURR_SUBNAT.R","CY2022Q4",$M2925),"")</f>
        <v>[AZyWpGzhcaA]|25-34|Male|PLHIV_Attend.T_1|CY2023Q3</v>
      </c>
    </row>
    <row r="2926" customFormat="false" ht="15" hidden="false" customHeight="false" outlineLevel="0" collapsed="false">
      <c r="D2926" s="0" t="s">
        <v>90</v>
      </c>
      <c r="E2926" s="0" t="s">
        <v>91</v>
      </c>
      <c r="F2926" s="0" t="s">
        <v>92</v>
      </c>
      <c r="G2926" s="0" t="s">
        <v>150</v>
      </c>
      <c r="H2926" s="0" t="s">
        <v>150</v>
      </c>
      <c r="I2926" s="0" t="s">
        <v>43</v>
      </c>
      <c r="J2926" s="0" t="s">
        <v>44</v>
      </c>
      <c r="K2926" s="0" t="s">
        <v>48</v>
      </c>
      <c r="L2926" s="0" t="s">
        <v>49</v>
      </c>
      <c r="M2926" s="0" t="s">
        <v>140</v>
      </c>
      <c r="N2926" s="0" t="n">
        <v>1916</v>
      </c>
      <c r="O2926" s="10" t="n">
        <v>0.477812777739018</v>
      </c>
      <c r="P2926" s="10" t="n">
        <v>0.719914150424302</v>
      </c>
      <c r="Q2926" s="0" t="str">
        <f aca="false">SUBSTITUTE(SUBSTITUTE($I2926,CHAR(61),""),CHAR(34),"")</f>
        <v>35-49</v>
      </c>
      <c r="R2926" s="0" t="str">
        <f aca="false">IF($D2926&lt;&gt;"","["&amp;$E2926&amp;"]"&amp;"|"&amp;$Q2926&amp;"|"&amp;$K2926&amp;"|"&amp;$G2926&amp;"|"&amp;IF($G2926="TX_CURR_SUBNAT.R","CY2022Q4",$M2926),"")</f>
        <v>[AZyWpGzhcaA]|35-49|Male|PLHIV_Attend.T_1|CY2023Q3</v>
      </c>
    </row>
    <row r="2927" customFormat="false" ht="15" hidden="false" customHeight="false" outlineLevel="0" collapsed="false">
      <c r="D2927" s="0" t="s">
        <v>90</v>
      </c>
      <c r="E2927" s="0" t="s">
        <v>91</v>
      </c>
      <c r="F2927" s="0" t="s">
        <v>92</v>
      </c>
      <c r="G2927" s="0" t="s">
        <v>150</v>
      </c>
      <c r="H2927" s="0" t="s">
        <v>150</v>
      </c>
      <c r="I2927" s="0" t="s">
        <v>45</v>
      </c>
      <c r="J2927" s="0" t="s">
        <v>46</v>
      </c>
      <c r="K2927" s="0" t="s">
        <v>48</v>
      </c>
      <c r="L2927" s="0" t="s">
        <v>49</v>
      </c>
      <c r="M2927" s="0" t="s">
        <v>140</v>
      </c>
      <c r="N2927" s="0" t="n">
        <v>790</v>
      </c>
      <c r="O2927" s="10" t="n">
        <v>0.94295457797125</v>
      </c>
      <c r="P2927" s="10" t="n">
        <v>0.719914150424302</v>
      </c>
      <c r="Q2927" s="0" t="str">
        <f aca="false">SUBSTITUTE(SUBSTITUTE($I2927,CHAR(61),""),CHAR(34),"")</f>
        <v>50+</v>
      </c>
      <c r="R2927" s="0" t="str">
        <f aca="false">IF($D2927&lt;&gt;"","["&amp;$E2927&amp;"]"&amp;"|"&amp;$Q2927&amp;"|"&amp;$K2927&amp;"|"&amp;$G2927&amp;"|"&amp;IF($G2927="TX_CURR_SUBNAT.R","CY2022Q4",$M2927),"")</f>
        <v>[AZyWpGzhcaA]|50+|Male|PLHIV_Attend.T_1|CY2023Q3</v>
      </c>
    </row>
    <row r="2928" customFormat="false" ht="15" hidden="false" customHeight="false" outlineLevel="0" collapsed="false">
      <c r="D2928" s="0" t="s">
        <v>93</v>
      </c>
      <c r="E2928" s="0" t="s">
        <v>94</v>
      </c>
      <c r="F2928" s="0" t="s">
        <v>95</v>
      </c>
      <c r="G2928" s="0" t="s">
        <v>150</v>
      </c>
      <c r="H2928" s="0" t="s">
        <v>150</v>
      </c>
      <c r="I2928" s="0" t="s">
        <v>28</v>
      </c>
      <c r="J2928" s="0" t="s">
        <v>29</v>
      </c>
      <c r="K2928" s="0" t="s">
        <v>30</v>
      </c>
      <c r="L2928" s="0" t="s">
        <v>31</v>
      </c>
      <c r="M2928" s="0" t="s">
        <v>140</v>
      </c>
      <c r="N2928" s="0" t="n">
        <v>1432</v>
      </c>
      <c r="O2928" s="10" t="n">
        <v>0.82766684005037</v>
      </c>
      <c r="P2928" s="10" t="n">
        <v>0.362272296566516</v>
      </c>
      <c r="Q2928" s="0" t="str">
        <f aca="false">SUBSTITUTE(SUBSTITUTE($I2928,CHAR(61),""),CHAR(34),"")</f>
        <v>&lt;01</v>
      </c>
      <c r="R2928" s="0" t="str">
        <f aca="false">IF($D2928&lt;&gt;"","["&amp;$E2928&amp;"]"&amp;"|"&amp;$Q2928&amp;"|"&amp;$K2928&amp;"|"&amp;$G2928&amp;"|"&amp;IF($G2928="TX_CURR_SUBNAT.R","CY2022Q4",$M2928),"")</f>
        <v>[umc2n1Z4wNv]|&lt;01|Female|PLHIV_Attend.T_1|CY2023Q3</v>
      </c>
    </row>
    <row r="2929" customFormat="false" ht="15" hidden="false" customHeight="false" outlineLevel="0" collapsed="false">
      <c r="D2929" s="0" t="s">
        <v>93</v>
      </c>
      <c r="E2929" s="0" t="s">
        <v>94</v>
      </c>
      <c r="F2929" s="0" t="s">
        <v>95</v>
      </c>
      <c r="G2929" s="0" t="s">
        <v>150</v>
      </c>
      <c r="H2929" s="0" t="s">
        <v>150</v>
      </c>
      <c r="I2929" s="0" t="s">
        <v>33</v>
      </c>
      <c r="J2929" s="0" t="s">
        <v>34</v>
      </c>
      <c r="K2929" s="0" t="s">
        <v>30</v>
      </c>
      <c r="L2929" s="0" t="s">
        <v>31</v>
      </c>
      <c r="M2929" s="0" t="s">
        <v>140</v>
      </c>
      <c r="N2929" s="0" t="n">
        <v>1967</v>
      </c>
      <c r="O2929" s="10" t="n">
        <v>0.660818724660203</v>
      </c>
      <c r="P2929" s="10" t="n">
        <v>0.362272296566516</v>
      </c>
      <c r="Q2929" s="0" t="str">
        <f aca="false">SUBSTITUTE(SUBSTITUTE($I2929,CHAR(61),""),CHAR(34),"")</f>
        <v>01-09</v>
      </c>
      <c r="R2929" s="0" t="str">
        <f aca="false">IF($D2929&lt;&gt;"","["&amp;$E2929&amp;"]"&amp;"|"&amp;$Q2929&amp;"|"&amp;$K2929&amp;"|"&amp;$G2929&amp;"|"&amp;IF($G2929="TX_CURR_SUBNAT.R","CY2022Q4",$M2929),"")</f>
        <v>[umc2n1Z4wNv]|01-09|Female|PLHIV_Attend.T_1|CY2023Q3</v>
      </c>
    </row>
    <row r="2930" customFormat="false" ht="15" hidden="false" customHeight="false" outlineLevel="0" collapsed="false">
      <c r="D2930" s="0" t="s">
        <v>93</v>
      </c>
      <c r="E2930" s="0" t="s">
        <v>94</v>
      </c>
      <c r="F2930" s="0" t="s">
        <v>95</v>
      </c>
      <c r="G2930" s="0" t="s">
        <v>150</v>
      </c>
      <c r="H2930" s="0" t="s">
        <v>150</v>
      </c>
      <c r="I2930" s="0" t="s">
        <v>36</v>
      </c>
      <c r="J2930" s="0" t="s">
        <v>37</v>
      </c>
      <c r="K2930" s="0" t="s">
        <v>30</v>
      </c>
      <c r="L2930" s="0" t="s">
        <v>31</v>
      </c>
      <c r="M2930" s="0" t="s">
        <v>140</v>
      </c>
      <c r="N2930" s="0" t="n">
        <v>1520</v>
      </c>
      <c r="O2930" s="10" t="n">
        <v>0.123421935597435</v>
      </c>
      <c r="P2930" s="10" t="n">
        <v>0.362272296566516</v>
      </c>
      <c r="Q2930" s="0" t="str">
        <f aca="false">SUBSTITUTE(SUBSTITUTE($I2930,CHAR(61),""),CHAR(34),"")</f>
        <v>10-14</v>
      </c>
      <c r="R2930" s="0" t="str">
        <f aca="false">IF($D2930&lt;&gt;"","["&amp;$E2930&amp;"]"&amp;"|"&amp;$Q2930&amp;"|"&amp;$K2930&amp;"|"&amp;$G2930&amp;"|"&amp;IF($G2930="TX_CURR_SUBNAT.R","CY2022Q4",$M2930),"")</f>
        <v>[umc2n1Z4wNv]|10-14|Female|PLHIV_Attend.T_1|CY2023Q3</v>
      </c>
    </row>
    <row r="2931" customFormat="false" ht="15" hidden="false" customHeight="false" outlineLevel="0" collapsed="false">
      <c r="D2931" s="0" t="s">
        <v>93</v>
      </c>
      <c r="E2931" s="0" t="s">
        <v>94</v>
      </c>
      <c r="F2931" s="0" t="s">
        <v>95</v>
      </c>
      <c r="G2931" s="0" t="s">
        <v>150</v>
      </c>
      <c r="H2931" s="0" t="s">
        <v>150</v>
      </c>
      <c r="I2931" s="0" t="s">
        <v>38</v>
      </c>
      <c r="J2931" s="0" t="s">
        <v>39</v>
      </c>
      <c r="K2931" s="0" t="s">
        <v>30</v>
      </c>
      <c r="L2931" s="0" t="s">
        <v>31</v>
      </c>
      <c r="M2931" s="0" t="s">
        <v>140</v>
      </c>
      <c r="N2931" s="0" t="n">
        <v>724</v>
      </c>
      <c r="O2931" s="10" t="n">
        <v>0.381246191682294</v>
      </c>
      <c r="P2931" s="10" t="n">
        <v>0.362272296566516</v>
      </c>
      <c r="Q2931" s="0" t="str">
        <f aca="false">SUBSTITUTE(SUBSTITUTE($I2931,CHAR(61),""),CHAR(34),"")</f>
        <v>15-24</v>
      </c>
      <c r="R2931" s="0" t="str">
        <f aca="false">IF($D2931&lt;&gt;"","["&amp;$E2931&amp;"]"&amp;"|"&amp;$Q2931&amp;"|"&amp;$K2931&amp;"|"&amp;$G2931&amp;"|"&amp;IF($G2931="TX_CURR_SUBNAT.R","CY2022Q4",$M2931),"")</f>
        <v>[umc2n1Z4wNv]|15-24|Female|PLHIV_Attend.T_1|CY2023Q3</v>
      </c>
    </row>
    <row r="2932" customFormat="false" ht="15" hidden="false" customHeight="false" outlineLevel="0" collapsed="false">
      <c r="D2932" s="0" t="s">
        <v>93</v>
      </c>
      <c r="E2932" s="0" t="s">
        <v>94</v>
      </c>
      <c r="F2932" s="0" t="s">
        <v>95</v>
      </c>
      <c r="G2932" s="0" t="s">
        <v>150</v>
      </c>
      <c r="H2932" s="0" t="s">
        <v>150</v>
      </c>
      <c r="I2932" s="0" t="s">
        <v>41</v>
      </c>
      <c r="J2932" s="0" t="s">
        <v>42</v>
      </c>
      <c r="K2932" s="0" t="s">
        <v>30</v>
      </c>
      <c r="L2932" s="0" t="s">
        <v>31</v>
      </c>
      <c r="M2932" s="0" t="s">
        <v>140</v>
      </c>
      <c r="N2932" s="0" t="n">
        <v>1820</v>
      </c>
      <c r="O2932" s="10" t="n">
        <v>0.399628865299746</v>
      </c>
      <c r="P2932" s="10" t="n">
        <v>0.362272296566516</v>
      </c>
      <c r="Q2932" s="0" t="str">
        <f aca="false">SUBSTITUTE(SUBSTITUTE($I2932,CHAR(61),""),CHAR(34),"")</f>
        <v>25-34</v>
      </c>
      <c r="R2932" s="0" t="str">
        <f aca="false">IF($D2932&lt;&gt;"","["&amp;$E2932&amp;"]"&amp;"|"&amp;$Q2932&amp;"|"&amp;$K2932&amp;"|"&amp;$G2932&amp;"|"&amp;IF($G2932="TX_CURR_SUBNAT.R","CY2022Q4",$M2932),"")</f>
        <v>[umc2n1Z4wNv]|25-34|Female|PLHIV_Attend.T_1|CY2023Q3</v>
      </c>
    </row>
    <row r="2933" customFormat="false" ht="15" hidden="false" customHeight="false" outlineLevel="0" collapsed="false">
      <c r="D2933" s="0" t="s">
        <v>93</v>
      </c>
      <c r="E2933" s="0" t="s">
        <v>94</v>
      </c>
      <c r="F2933" s="0" t="s">
        <v>95</v>
      </c>
      <c r="G2933" s="0" t="s">
        <v>150</v>
      </c>
      <c r="H2933" s="0" t="s">
        <v>150</v>
      </c>
      <c r="I2933" s="0" t="s">
        <v>43</v>
      </c>
      <c r="J2933" s="0" t="s">
        <v>44</v>
      </c>
      <c r="K2933" s="0" t="s">
        <v>30</v>
      </c>
      <c r="L2933" s="0" t="s">
        <v>31</v>
      </c>
      <c r="M2933" s="0" t="s">
        <v>140</v>
      </c>
      <c r="N2933" s="0" t="n">
        <v>1233</v>
      </c>
      <c r="O2933" s="10" t="n">
        <v>0.470791894709691</v>
      </c>
      <c r="P2933" s="10" t="n">
        <v>0.362272296566516</v>
      </c>
      <c r="Q2933" s="0" t="str">
        <f aca="false">SUBSTITUTE(SUBSTITUTE($I2933,CHAR(61),""),CHAR(34),"")</f>
        <v>35-49</v>
      </c>
      <c r="R2933" s="0" t="str">
        <f aca="false">IF($D2933&lt;&gt;"","["&amp;$E2933&amp;"]"&amp;"|"&amp;$Q2933&amp;"|"&amp;$K2933&amp;"|"&amp;$G2933&amp;"|"&amp;IF($G2933="TX_CURR_SUBNAT.R","CY2022Q4",$M2933),"")</f>
        <v>[umc2n1Z4wNv]|35-49|Female|PLHIV_Attend.T_1|CY2023Q3</v>
      </c>
    </row>
    <row r="2934" customFormat="false" ht="15" hidden="false" customHeight="false" outlineLevel="0" collapsed="false">
      <c r="D2934" s="0" t="s">
        <v>93</v>
      </c>
      <c r="E2934" s="0" t="s">
        <v>94</v>
      </c>
      <c r="F2934" s="0" t="s">
        <v>95</v>
      </c>
      <c r="G2934" s="0" t="s">
        <v>150</v>
      </c>
      <c r="H2934" s="0" t="s">
        <v>150</v>
      </c>
      <c r="I2934" s="0" t="s">
        <v>45</v>
      </c>
      <c r="J2934" s="0" t="s">
        <v>46</v>
      </c>
      <c r="K2934" s="0" t="s">
        <v>30</v>
      </c>
      <c r="L2934" s="0" t="s">
        <v>31</v>
      </c>
      <c r="M2934" s="0" t="s">
        <v>140</v>
      </c>
      <c r="N2934" s="0" t="n">
        <v>1928</v>
      </c>
      <c r="O2934" s="10" t="n">
        <v>0.810760253341869</v>
      </c>
      <c r="P2934" s="10" t="n">
        <v>0.362272296566516</v>
      </c>
      <c r="Q2934" s="0" t="str">
        <f aca="false">SUBSTITUTE(SUBSTITUTE($I2934,CHAR(61),""),CHAR(34),"")</f>
        <v>50+</v>
      </c>
      <c r="R2934" s="0" t="str">
        <f aca="false">IF($D2934&lt;&gt;"","["&amp;$E2934&amp;"]"&amp;"|"&amp;$Q2934&amp;"|"&amp;$K2934&amp;"|"&amp;$G2934&amp;"|"&amp;IF($G2934="TX_CURR_SUBNAT.R","CY2022Q4",$M2934),"")</f>
        <v>[umc2n1Z4wNv]|50+|Female|PLHIV_Attend.T_1|CY2023Q3</v>
      </c>
    </row>
    <row r="2935" customFormat="false" ht="15" hidden="false" customHeight="false" outlineLevel="0" collapsed="false">
      <c r="D2935" s="0" t="s">
        <v>93</v>
      </c>
      <c r="E2935" s="0" t="s">
        <v>94</v>
      </c>
      <c r="F2935" s="0" t="s">
        <v>95</v>
      </c>
      <c r="G2935" s="0" t="s">
        <v>150</v>
      </c>
      <c r="H2935" s="0" t="s">
        <v>150</v>
      </c>
      <c r="I2935" s="0" t="s">
        <v>28</v>
      </c>
      <c r="J2935" s="0" t="s">
        <v>29</v>
      </c>
      <c r="K2935" s="0" t="s">
        <v>48</v>
      </c>
      <c r="L2935" s="0" t="s">
        <v>49</v>
      </c>
      <c r="M2935" s="0" t="s">
        <v>140</v>
      </c>
      <c r="N2935" s="0" t="n">
        <v>1030</v>
      </c>
      <c r="O2935" s="10" t="n">
        <v>0.868127809371799</v>
      </c>
      <c r="P2935" s="10" t="n">
        <v>0.362272296566516</v>
      </c>
      <c r="Q2935" s="0" t="str">
        <f aca="false">SUBSTITUTE(SUBSTITUTE($I2935,CHAR(61),""),CHAR(34),"")</f>
        <v>&lt;01</v>
      </c>
      <c r="R2935" s="0" t="str">
        <f aca="false">IF($D2935&lt;&gt;"","["&amp;$E2935&amp;"]"&amp;"|"&amp;$Q2935&amp;"|"&amp;$K2935&amp;"|"&amp;$G2935&amp;"|"&amp;IF($G2935="TX_CURR_SUBNAT.R","CY2022Q4",$M2935),"")</f>
        <v>[umc2n1Z4wNv]|&lt;01|Male|PLHIV_Attend.T_1|CY2023Q3</v>
      </c>
    </row>
    <row r="2936" customFormat="false" ht="15" hidden="false" customHeight="false" outlineLevel="0" collapsed="false">
      <c r="D2936" s="0" t="s">
        <v>93</v>
      </c>
      <c r="E2936" s="0" t="s">
        <v>94</v>
      </c>
      <c r="F2936" s="0" t="s">
        <v>95</v>
      </c>
      <c r="G2936" s="0" t="s">
        <v>150</v>
      </c>
      <c r="H2936" s="0" t="s">
        <v>150</v>
      </c>
      <c r="I2936" s="0" t="s">
        <v>33</v>
      </c>
      <c r="J2936" s="0" t="s">
        <v>34</v>
      </c>
      <c r="K2936" s="0" t="s">
        <v>48</v>
      </c>
      <c r="L2936" s="0" t="s">
        <v>49</v>
      </c>
      <c r="M2936" s="0" t="s">
        <v>140</v>
      </c>
      <c r="N2936" s="0" t="n">
        <v>596</v>
      </c>
      <c r="O2936" s="10" t="n">
        <v>0.457830489845946</v>
      </c>
      <c r="P2936" s="10" t="n">
        <v>0.362272296566516</v>
      </c>
      <c r="Q2936" s="0" t="str">
        <f aca="false">SUBSTITUTE(SUBSTITUTE($I2936,CHAR(61),""),CHAR(34),"")</f>
        <v>01-09</v>
      </c>
      <c r="R2936" s="0" t="str">
        <f aca="false">IF($D2936&lt;&gt;"","["&amp;$E2936&amp;"]"&amp;"|"&amp;$Q2936&amp;"|"&amp;$K2936&amp;"|"&amp;$G2936&amp;"|"&amp;IF($G2936="TX_CURR_SUBNAT.R","CY2022Q4",$M2936),"")</f>
        <v>[umc2n1Z4wNv]|01-09|Male|PLHIV_Attend.T_1|CY2023Q3</v>
      </c>
    </row>
    <row r="2937" customFormat="false" ht="15" hidden="false" customHeight="false" outlineLevel="0" collapsed="false">
      <c r="D2937" s="0" t="s">
        <v>93</v>
      </c>
      <c r="E2937" s="0" t="s">
        <v>94</v>
      </c>
      <c r="F2937" s="0" t="s">
        <v>95</v>
      </c>
      <c r="G2937" s="0" t="s">
        <v>150</v>
      </c>
      <c r="H2937" s="0" t="s">
        <v>150</v>
      </c>
      <c r="I2937" s="0" t="s">
        <v>36</v>
      </c>
      <c r="J2937" s="0" t="s">
        <v>37</v>
      </c>
      <c r="K2937" s="0" t="s">
        <v>48</v>
      </c>
      <c r="L2937" s="0" t="s">
        <v>49</v>
      </c>
      <c r="M2937" s="0" t="s">
        <v>140</v>
      </c>
      <c r="N2937" s="0" t="n">
        <v>1910</v>
      </c>
      <c r="O2937" s="10" t="n">
        <v>0.465871369233355</v>
      </c>
      <c r="P2937" s="10" t="n">
        <v>0.362272296566516</v>
      </c>
      <c r="Q2937" s="0" t="str">
        <f aca="false">SUBSTITUTE(SUBSTITUTE($I2937,CHAR(61),""),CHAR(34),"")</f>
        <v>10-14</v>
      </c>
      <c r="R2937" s="0" t="str">
        <f aca="false">IF($D2937&lt;&gt;"","["&amp;$E2937&amp;"]"&amp;"|"&amp;$Q2937&amp;"|"&amp;$K2937&amp;"|"&amp;$G2937&amp;"|"&amp;IF($G2937="TX_CURR_SUBNAT.R","CY2022Q4",$M2937),"")</f>
        <v>[umc2n1Z4wNv]|10-14|Male|PLHIV_Attend.T_1|CY2023Q3</v>
      </c>
    </row>
    <row r="2938" customFormat="false" ht="15" hidden="false" customHeight="false" outlineLevel="0" collapsed="false">
      <c r="D2938" s="0" t="s">
        <v>93</v>
      </c>
      <c r="E2938" s="0" t="s">
        <v>94</v>
      </c>
      <c r="F2938" s="0" t="s">
        <v>95</v>
      </c>
      <c r="G2938" s="0" t="s">
        <v>150</v>
      </c>
      <c r="H2938" s="0" t="s">
        <v>150</v>
      </c>
      <c r="I2938" s="0" t="s">
        <v>38</v>
      </c>
      <c r="J2938" s="0" t="s">
        <v>39</v>
      </c>
      <c r="K2938" s="0" t="s">
        <v>48</v>
      </c>
      <c r="L2938" s="0" t="s">
        <v>49</v>
      </c>
      <c r="M2938" s="0" t="s">
        <v>140</v>
      </c>
      <c r="N2938" s="0" t="n">
        <v>1137</v>
      </c>
      <c r="O2938" s="10" t="n">
        <v>0.728216603165492</v>
      </c>
      <c r="P2938" s="10" t="n">
        <v>0.362272296566516</v>
      </c>
      <c r="Q2938" s="0" t="str">
        <f aca="false">SUBSTITUTE(SUBSTITUTE($I2938,CHAR(61),""),CHAR(34),"")</f>
        <v>15-24</v>
      </c>
      <c r="R2938" s="0" t="str">
        <f aca="false">IF($D2938&lt;&gt;"","["&amp;$E2938&amp;"]"&amp;"|"&amp;$Q2938&amp;"|"&amp;$K2938&amp;"|"&amp;$G2938&amp;"|"&amp;IF($G2938="TX_CURR_SUBNAT.R","CY2022Q4",$M2938),"")</f>
        <v>[umc2n1Z4wNv]|15-24|Male|PLHIV_Attend.T_1|CY2023Q3</v>
      </c>
    </row>
    <row r="2939" customFormat="false" ht="15" hidden="false" customHeight="false" outlineLevel="0" collapsed="false">
      <c r="D2939" s="0" t="s">
        <v>93</v>
      </c>
      <c r="E2939" s="0" t="s">
        <v>94</v>
      </c>
      <c r="F2939" s="0" t="s">
        <v>95</v>
      </c>
      <c r="G2939" s="0" t="s">
        <v>150</v>
      </c>
      <c r="H2939" s="0" t="s">
        <v>150</v>
      </c>
      <c r="I2939" s="0" t="s">
        <v>41</v>
      </c>
      <c r="J2939" s="0" t="s">
        <v>42</v>
      </c>
      <c r="K2939" s="0" t="s">
        <v>48</v>
      </c>
      <c r="L2939" s="0" t="s">
        <v>49</v>
      </c>
      <c r="M2939" s="0" t="s">
        <v>140</v>
      </c>
      <c r="N2939" s="0" t="n">
        <v>694</v>
      </c>
      <c r="O2939" s="10" t="n">
        <v>0.289237992838025</v>
      </c>
      <c r="P2939" s="10" t="n">
        <v>0.362272296566516</v>
      </c>
      <c r="Q2939" s="0" t="str">
        <f aca="false">SUBSTITUTE(SUBSTITUTE($I2939,CHAR(61),""),CHAR(34),"")</f>
        <v>25-34</v>
      </c>
      <c r="R2939" s="0" t="str">
        <f aca="false">IF($D2939&lt;&gt;"","["&amp;$E2939&amp;"]"&amp;"|"&amp;$Q2939&amp;"|"&amp;$K2939&amp;"|"&amp;$G2939&amp;"|"&amp;IF($G2939="TX_CURR_SUBNAT.R","CY2022Q4",$M2939),"")</f>
        <v>[umc2n1Z4wNv]|25-34|Male|PLHIV_Attend.T_1|CY2023Q3</v>
      </c>
    </row>
    <row r="2940" customFormat="false" ht="15" hidden="false" customHeight="false" outlineLevel="0" collapsed="false">
      <c r="D2940" s="0" t="s">
        <v>93</v>
      </c>
      <c r="E2940" s="0" t="s">
        <v>94</v>
      </c>
      <c r="F2940" s="0" t="s">
        <v>95</v>
      </c>
      <c r="G2940" s="0" t="s">
        <v>150</v>
      </c>
      <c r="H2940" s="0" t="s">
        <v>150</v>
      </c>
      <c r="I2940" s="0" t="s">
        <v>43</v>
      </c>
      <c r="J2940" s="0" t="s">
        <v>44</v>
      </c>
      <c r="K2940" s="0" t="s">
        <v>48</v>
      </c>
      <c r="L2940" s="0" t="s">
        <v>49</v>
      </c>
      <c r="M2940" s="0" t="s">
        <v>140</v>
      </c>
      <c r="N2940" s="0" t="n">
        <v>1922</v>
      </c>
      <c r="O2940" s="10" t="n">
        <v>0.191588373156264</v>
      </c>
      <c r="P2940" s="10" t="n">
        <v>0.362272296566516</v>
      </c>
      <c r="Q2940" s="0" t="str">
        <f aca="false">SUBSTITUTE(SUBSTITUTE($I2940,CHAR(61),""),CHAR(34),"")</f>
        <v>35-49</v>
      </c>
      <c r="R2940" s="0" t="str">
        <f aca="false">IF($D2940&lt;&gt;"","["&amp;$E2940&amp;"]"&amp;"|"&amp;$Q2940&amp;"|"&amp;$K2940&amp;"|"&amp;$G2940&amp;"|"&amp;IF($G2940="TX_CURR_SUBNAT.R","CY2022Q4",$M2940),"")</f>
        <v>[umc2n1Z4wNv]|35-49|Male|PLHIV_Attend.T_1|CY2023Q3</v>
      </c>
    </row>
    <row r="2941" customFormat="false" ht="15" hidden="false" customHeight="false" outlineLevel="0" collapsed="false">
      <c r="D2941" s="0" t="s">
        <v>93</v>
      </c>
      <c r="E2941" s="0" t="s">
        <v>94</v>
      </c>
      <c r="F2941" s="0" t="s">
        <v>95</v>
      </c>
      <c r="G2941" s="0" t="s">
        <v>150</v>
      </c>
      <c r="H2941" s="0" t="s">
        <v>150</v>
      </c>
      <c r="I2941" s="0" t="s">
        <v>45</v>
      </c>
      <c r="J2941" s="0" t="s">
        <v>46</v>
      </c>
      <c r="K2941" s="0" t="s">
        <v>48</v>
      </c>
      <c r="L2941" s="0" t="s">
        <v>49</v>
      </c>
      <c r="M2941" s="0" t="s">
        <v>140</v>
      </c>
      <c r="N2941" s="0" t="n">
        <v>579</v>
      </c>
      <c r="O2941" s="10" t="n">
        <v>0.0987018309533596</v>
      </c>
      <c r="P2941" s="10" t="n">
        <v>0.362272296566516</v>
      </c>
      <c r="Q2941" s="0" t="str">
        <f aca="false">SUBSTITUTE(SUBSTITUTE($I2941,CHAR(61),""),CHAR(34),"")</f>
        <v>50+</v>
      </c>
      <c r="R2941" s="0" t="str">
        <f aca="false">IF($D2941&lt;&gt;"","["&amp;$E2941&amp;"]"&amp;"|"&amp;$Q2941&amp;"|"&amp;$K2941&amp;"|"&amp;$G2941&amp;"|"&amp;IF($G2941="TX_CURR_SUBNAT.R","CY2022Q4",$M2941),"")</f>
        <v>[umc2n1Z4wNv]|50+|Male|PLHIV_Attend.T_1|CY2023Q3</v>
      </c>
    </row>
    <row r="2942" customFormat="false" ht="15" hidden="false" customHeight="false" outlineLevel="0" collapsed="false">
      <c r="D2942" s="0" t="s">
        <v>96</v>
      </c>
      <c r="E2942" s="0" t="s">
        <v>97</v>
      </c>
      <c r="F2942" s="0" t="s">
        <v>98</v>
      </c>
      <c r="G2942" s="0" t="s">
        <v>150</v>
      </c>
      <c r="H2942" s="0" t="s">
        <v>150</v>
      </c>
      <c r="I2942" s="0" t="s">
        <v>28</v>
      </c>
      <c r="J2942" s="0" t="s">
        <v>29</v>
      </c>
      <c r="K2942" s="0" t="s">
        <v>30</v>
      </c>
      <c r="L2942" s="0" t="s">
        <v>31</v>
      </c>
      <c r="M2942" s="0" t="s">
        <v>140</v>
      </c>
      <c r="N2942" s="0" t="n">
        <v>1747</v>
      </c>
      <c r="O2942" s="10" t="n">
        <v>0.450754875782877</v>
      </c>
      <c r="P2942" s="10" t="n">
        <v>0.601251717889681</v>
      </c>
      <c r="Q2942" s="0" t="str">
        <f aca="false">SUBSTITUTE(SUBSTITUTE($I2942,CHAR(61),""),CHAR(34),"")</f>
        <v>&lt;01</v>
      </c>
      <c r="R2942" s="0" t="str">
        <f aca="false">IF($D2942&lt;&gt;"","["&amp;$E2942&amp;"]"&amp;"|"&amp;$Q2942&amp;"|"&amp;$K2942&amp;"|"&amp;$G2942&amp;"|"&amp;IF($G2942="TX_CURR_SUBNAT.R","CY2022Q4",$M2942),"")</f>
        <v>[gwVYinjBAe9]|&lt;01|Female|PLHIV_Attend.T_1|CY2023Q3</v>
      </c>
    </row>
    <row r="2943" customFormat="false" ht="15" hidden="false" customHeight="false" outlineLevel="0" collapsed="false">
      <c r="D2943" s="0" t="s">
        <v>96</v>
      </c>
      <c r="E2943" s="0" t="s">
        <v>97</v>
      </c>
      <c r="F2943" s="0" t="s">
        <v>98</v>
      </c>
      <c r="G2943" s="0" t="s">
        <v>150</v>
      </c>
      <c r="H2943" s="0" t="s">
        <v>150</v>
      </c>
      <c r="I2943" s="0" t="s">
        <v>33</v>
      </c>
      <c r="J2943" s="0" t="s">
        <v>34</v>
      </c>
      <c r="K2943" s="0" t="s">
        <v>30</v>
      </c>
      <c r="L2943" s="0" t="s">
        <v>31</v>
      </c>
      <c r="M2943" s="0" t="s">
        <v>140</v>
      </c>
      <c r="N2943" s="0" t="n">
        <v>1259</v>
      </c>
      <c r="O2943" s="10" t="n">
        <v>0.735617896309122</v>
      </c>
      <c r="P2943" s="10" t="n">
        <v>0.601251717889681</v>
      </c>
      <c r="Q2943" s="0" t="str">
        <f aca="false">SUBSTITUTE(SUBSTITUTE($I2943,CHAR(61),""),CHAR(34),"")</f>
        <v>01-09</v>
      </c>
      <c r="R2943" s="0" t="str">
        <f aca="false">IF($D2943&lt;&gt;"","["&amp;$E2943&amp;"]"&amp;"|"&amp;$Q2943&amp;"|"&amp;$K2943&amp;"|"&amp;$G2943&amp;"|"&amp;IF($G2943="TX_CURR_SUBNAT.R","CY2022Q4",$M2943),"")</f>
        <v>[gwVYinjBAe9]|01-09|Female|PLHIV_Attend.T_1|CY2023Q3</v>
      </c>
    </row>
    <row r="2944" customFormat="false" ht="15" hidden="false" customHeight="false" outlineLevel="0" collapsed="false">
      <c r="D2944" s="0" t="s">
        <v>96</v>
      </c>
      <c r="E2944" s="0" t="s">
        <v>97</v>
      </c>
      <c r="F2944" s="0" t="s">
        <v>98</v>
      </c>
      <c r="G2944" s="0" t="s">
        <v>150</v>
      </c>
      <c r="H2944" s="0" t="s">
        <v>150</v>
      </c>
      <c r="I2944" s="0" t="s">
        <v>36</v>
      </c>
      <c r="J2944" s="0" t="s">
        <v>37</v>
      </c>
      <c r="K2944" s="0" t="s">
        <v>30</v>
      </c>
      <c r="L2944" s="0" t="s">
        <v>31</v>
      </c>
      <c r="M2944" s="0" t="s">
        <v>140</v>
      </c>
      <c r="N2944" s="0" t="n">
        <v>1238</v>
      </c>
      <c r="O2944" s="10" t="n">
        <v>0.685356514761224</v>
      </c>
      <c r="P2944" s="10" t="n">
        <v>0.601251717889681</v>
      </c>
      <c r="Q2944" s="0" t="str">
        <f aca="false">SUBSTITUTE(SUBSTITUTE($I2944,CHAR(61),""),CHAR(34),"")</f>
        <v>10-14</v>
      </c>
      <c r="R2944" s="0" t="str">
        <f aca="false">IF($D2944&lt;&gt;"","["&amp;$E2944&amp;"]"&amp;"|"&amp;$Q2944&amp;"|"&amp;$K2944&amp;"|"&amp;$G2944&amp;"|"&amp;IF($G2944="TX_CURR_SUBNAT.R","CY2022Q4",$M2944),"")</f>
        <v>[gwVYinjBAe9]|10-14|Female|PLHIV_Attend.T_1|CY2023Q3</v>
      </c>
    </row>
    <row r="2945" customFormat="false" ht="15" hidden="false" customHeight="false" outlineLevel="0" collapsed="false">
      <c r="D2945" s="0" t="s">
        <v>96</v>
      </c>
      <c r="E2945" s="0" t="s">
        <v>97</v>
      </c>
      <c r="F2945" s="0" t="s">
        <v>98</v>
      </c>
      <c r="G2945" s="0" t="s">
        <v>150</v>
      </c>
      <c r="H2945" s="0" t="s">
        <v>150</v>
      </c>
      <c r="I2945" s="0" t="s">
        <v>38</v>
      </c>
      <c r="J2945" s="0" t="s">
        <v>39</v>
      </c>
      <c r="K2945" s="0" t="s">
        <v>30</v>
      </c>
      <c r="L2945" s="0" t="s">
        <v>31</v>
      </c>
      <c r="M2945" s="0" t="s">
        <v>140</v>
      </c>
      <c r="N2945" s="0" t="n">
        <v>1560</v>
      </c>
      <c r="O2945" s="10" t="n">
        <v>0.989638197701424</v>
      </c>
      <c r="P2945" s="10" t="n">
        <v>0.601251717889681</v>
      </c>
      <c r="Q2945" s="0" t="str">
        <f aca="false">SUBSTITUTE(SUBSTITUTE($I2945,CHAR(61),""),CHAR(34),"")</f>
        <v>15-24</v>
      </c>
      <c r="R2945" s="0" t="str">
        <f aca="false">IF($D2945&lt;&gt;"","["&amp;$E2945&amp;"]"&amp;"|"&amp;$Q2945&amp;"|"&amp;$K2945&amp;"|"&amp;$G2945&amp;"|"&amp;IF($G2945="TX_CURR_SUBNAT.R","CY2022Q4",$M2945),"")</f>
        <v>[gwVYinjBAe9]|15-24|Female|PLHIV_Attend.T_1|CY2023Q3</v>
      </c>
    </row>
    <row r="2946" customFormat="false" ht="15" hidden="false" customHeight="false" outlineLevel="0" collapsed="false">
      <c r="D2946" s="0" t="s">
        <v>96</v>
      </c>
      <c r="E2946" s="0" t="s">
        <v>97</v>
      </c>
      <c r="F2946" s="0" t="s">
        <v>98</v>
      </c>
      <c r="G2946" s="0" t="s">
        <v>150</v>
      </c>
      <c r="H2946" s="0" t="s">
        <v>150</v>
      </c>
      <c r="I2946" s="0" t="s">
        <v>41</v>
      </c>
      <c r="J2946" s="0" t="s">
        <v>42</v>
      </c>
      <c r="K2946" s="0" t="s">
        <v>30</v>
      </c>
      <c r="L2946" s="0" t="s">
        <v>31</v>
      </c>
      <c r="M2946" s="0" t="s">
        <v>140</v>
      </c>
      <c r="N2946" s="0" t="n">
        <v>932</v>
      </c>
      <c r="O2946" s="10" t="n">
        <v>0.27897614846006</v>
      </c>
      <c r="P2946" s="10" t="n">
        <v>0.601251717889681</v>
      </c>
      <c r="Q2946" s="0" t="str">
        <f aca="false">SUBSTITUTE(SUBSTITUTE($I2946,CHAR(61),""),CHAR(34),"")</f>
        <v>25-34</v>
      </c>
      <c r="R2946" s="0" t="str">
        <f aca="false">IF($D2946&lt;&gt;"","["&amp;$E2946&amp;"]"&amp;"|"&amp;$Q2946&amp;"|"&amp;$K2946&amp;"|"&amp;$G2946&amp;"|"&amp;IF($G2946="TX_CURR_SUBNAT.R","CY2022Q4",$M2946),"")</f>
        <v>[gwVYinjBAe9]|25-34|Female|PLHIV_Attend.T_1|CY2023Q3</v>
      </c>
    </row>
    <row r="2947" customFormat="false" ht="15" hidden="false" customHeight="false" outlineLevel="0" collapsed="false">
      <c r="D2947" s="0" t="s">
        <v>96</v>
      </c>
      <c r="E2947" s="0" t="s">
        <v>97</v>
      </c>
      <c r="F2947" s="0" t="s">
        <v>98</v>
      </c>
      <c r="G2947" s="0" t="s">
        <v>150</v>
      </c>
      <c r="H2947" s="0" t="s">
        <v>150</v>
      </c>
      <c r="I2947" s="0" t="s">
        <v>43</v>
      </c>
      <c r="J2947" s="0" t="s">
        <v>44</v>
      </c>
      <c r="K2947" s="0" t="s">
        <v>30</v>
      </c>
      <c r="L2947" s="0" t="s">
        <v>31</v>
      </c>
      <c r="M2947" s="0" t="s">
        <v>140</v>
      </c>
      <c r="N2947" s="0" t="n">
        <v>1732</v>
      </c>
      <c r="O2947" s="10" t="n">
        <v>0.53590428060852</v>
      </c>
      <c r="P2947" s="10" t="n">
        <v>0.601251717889681</v>
      </c>
      <c r="Q2947" s="0" t="str">
        <f aca="false">SUBSTITUTE(SUBSTITUTE($I2947,CHAR(61),""),CHAR(34),"")</f>
        <v>35-49</v>
      </c>
      <c r="R2947" s="0" t="str">
        <f aca="false">IF($D2947&lt;&gt;"","["&amp;$E2947&amp;"]"&amp;"|"&amp;$Q2947&amp;"|"&amp;$K2947&amp;"|"&amp;$G2947&amp;"|"&amp;IF($G2947="TX_CURR_SUBNAT.R","CY2022Q4",$M2947),"")</f>
        <v>[gwVYinjBAe9]|35-49|Female|PLHIV_Attend.T_1|CY2023Q3</v>
      </c>
    </row>
    <row r="2948" customFormat="false" ht="15" hidden="false" customHeight="false" outlineLevel="0" collapsed="false">
      <c r="D2948" s="0" t="s">
        <v>96</v>
      </c>
      <c r="E2948" s="0" t="s">
        <v>97</v>
      </c>
      <c r="F2948" s="0" t="s">
        <v>98</v>
      </c>
      <c r="G2948" s="0" t="s">
        <v>150</v>
      </c>
      <c r="H2948" s="0" t="s">
        <v>150</v>
      </c>
      <c r="I2948" s="0" t="s">
        <v>45</v>
      </c>
      <c r="J2948" s="0" t="s">
        <v>46</v>
      </c>
      <c r="K2948" s="0" t="s">
        <v>30</v>
      </c>
      <c r="L2948" s="0" t="s">
        <v>31</v>
      </c>
      <c r="M2948" s="0" t="s">
        <v>140</v>
      </c>
      <c r="N2948" s="0" t="n">
        <v>1398</v>
      </c>
      <c r="O2948" s="10" t="n">
        <v>0.169537188485265</v>
      </c>
      <c r="P2948" s="10" t="n">
        <v>0.601251717889681</v>
      </c>
      <c r="Q2948" s="0" t="str">
        <f aca="false">SUBSTITUTE(SUBSTITUTE($I2948,CHAR(61),""),CHAR(34),"")</f>
        <v>50+</v>
      </c>
      <c r="R2948" s="0" t="str">
        <f aca="false">IF($D2948&lt;&gt;"","["&amp;$E2948&amp;"]"&amp;"|"&amp;$Q2948&amp;"|"&amp;$K2948&amp;"|"&amp;$G2948&amp;"|"&amp;IF($G2948="TX_CURR_SUBNAT.R","CY2022Q4",$M2948),"")</f>
        <v>[gwVYinjBAe9]|50+|Female|PLHIV_Attend.T_1|CY2023Q3</v>
      </c>
    </row>
    <row r="2949" customFormat="false" ht="15" hidden="false" customHeight="false" outlineLevel="0" collapsed="false">
      <c r="D2949" s="0" t="s">
        <v>96</v>
      </c>
      <c r="E2949" s="0" t="s">
        <v>97</v>
      </c>
      <c r="F2949" s="0" t="s">
        <v>98</v>
      </c>
      <c r="G2949" s="0" t="s">
        <v>150</v>
      </c>
      <c r="H2949" s="0" t="s">
        <v>150</v>
      </c>
      <c r="I2949" s="0" t="s">
        <v>28</v>
      </c>
      <c r="J2949" s="0" t="s">
        <v>29</v>
      </c>
      <c r="K2949" s="0" t="s">
        <v>48</v>
      </c>
      <c r="L2949" s="0" t="s">
        <v>49</v>
      </c>
      <c r="M2949" s="0" t="s">
        <v>140</v>
      </c>
      <c r="N2949" s="0" t="n">
        <v>1230</v>
      </c>
      <c r="O2949" s="10" t="n">
        <v>0.697035711724311</v>
      </c>
      <c r="P2949" s="10" t="n">
        <v>0.601251717889681</v>
      </c>
      <c r="Q2949" s="0" t="str">
        <f aca="false">SUBSTITUTE(SUBSTITUTE($I2949,CHAR(61),""),CHAR(34),"")</f>
        <v>&lt;01</v>
      </c>
      <c r="R2949" s="0" t="str">
        <f aca="false">IF($D2949&lt;&gt;"","["&amp;$E2949&amp;"]"&amp;"|"&amp;$Q2949&amp;"|"&amp;$K2949&amp;"|"&amp;$G2949&amp;"|"&amp;IF($G2949="TX_CURR_SUBNAT.R","CY2022Q4",$M2949),"")</f>
        <v>[gwVYinjBAe9]|&lt;01|Male|PLHIV_Attend.T_1|CY2023Q3</v>
      </c>
    </row>
    <row r="2950" customFormat="false" ht="15" hidden="false" customHeight="false" outlineLevel="0" collapsed="false">
      <c r="D2950" s="0" t="s">
        <v>96</v>
      </c>
      <c r="E2950" s="0" t="s">
        <v>97</v>
      </c>
      <c r="F2950" s="0" t="s">
        <v>98</v>
      </c>
      <c r="G2950" s="0" t="s">
        <v>150</v>
      </c>
      <c r="H2950" s="0" t="s">
        <v>150</v>
      </c>
      <c r="I2950" s="0" t="s">
        <v>33</v>
      </c>
      <c r="J2950" s="0" t="s">
        <v>34</v>
      </c>
      <c r="K2950" s="0" t="s">
        <v>48</v>
      </c>
      <c r="L2950" s="0" t="s">
        <v>49</v>
      </c>
      <c r="M2950" s="0" t="s">
        <v>140</v>
      </c>
      <c r="N2950" s="0" t="n">
        <v>1949</v>
      </c>
      <c r="O2950" s="10" t="n">
        <v>0.226227458799258</v>
      </c>
      <c r="P2950" s="10" t="n">
        <v>0.601251717889681</v>
      </c>
      <c r="Q2950" s="0" t="str">
        <f aca="false">SUBSTITUTE(SUBSTITUTE($I2950,CHAR(61),""),CHAR(34),"")</f>
        <v>01-09</v>
      </c>
      <c r="R2950" s="0" t="str">
        <f aca="false">IF($D2950&lt;&gt;"","["&amp;$E2950&amp;"]"&amp;"|"&amp;$Q2950&amp;"|"&amp;$K2950&amp;"|"&amp;$G2950&amp;"|"&amp;IF($G2950="TX_CURR_SUBNAT.R","CY2022Q4",$M2950),"")</f>
        <v>[gwVYinjBAe9]|01-09|Male|PLHIV_Attend.T_1|CY2023Q3</v>
      </c>
    </row>
    <row r="2951" customFormat="false" ht="15" hidden="false" customHeight="false" outlineLevel="0" collapsed="false">
      <c r="D2951" s="0" t="s">
        <v>96</v>
      </c>
      <c r="E2951" s="0" t="s">
        <v>97</v>
      </c>
      <c r="F2951" s="0" t="s">
        <v>98</v>
      </c>
      <c r="G2951" s="0" t="s">
        <v>150</v>
      </c>
      <c r="H2951" s="0" t="s">
        <v>150</v>
      </c>
      <c r="I2951" s="0" t="s">
        <v>36</v>
      </c>
      <c r="J2951" s="0" t="s">
        <v>37</v>
      </c>
      <c r="K2951" s="0" t="s">
        <v>48</v>
      </c>
      <c r="L2951" s="0" t="s">
        <v>49</v>
      </c>
      <c r="M2951" s="0" t="s">
        <v>140</v>
      </c>
      <c r="N2951" s="0" t="n">
        <v>976</v>
      </c>
      <c r="O2951" s="10" t="n">
        <v>0.104938541539013</v>
      </c>
      <c r="P2951" s="10" t="n">
        <v>0.601251717889681</v>
      </c>
      <c r="Q2951" s="0" t="str">
        <f aca="false">SUBSTITUTE(SUBSTITUTE($I2951,CHAR(61),""),CHAR(34),"")</f>
        <v>10-14</v>
      </c>
      <c r="R2951" s="0" t="str">
        <f aca="false">IF($D2951&lt;&gt;"","["&amp;$E2951&amp;"]"&amp;"|"&amp;$Q2951&amp;"|"&amp;$K2951&amp;"|"&amp;$G2951&amp;"|"&amp;IF($G2951="TX_CURR_SUBNAT.R","CY2022Q4",$M2951),"")</f>
        <v>[gwVYinjBAe9]|10-14|Male|PLHIV_Attend.T_1|CY2023Q3</v>
      </c>
    </row>
    <row r="2952" customFormat="false" ht="15" hidden="false" customHeight="false" outlineLevel="0" collapsed="false">
      <c r="D2952" s="0" t="s">
        <v>96</v>
      </c>
      <c r="E2952" s="0" t="s">
        <v>97</v>
      </c>
      <c r="F2952" s="0" t="s">
        <v>98</v>
      </c>
      <c r="G2952" s="0" t="s">
        <v>150</v>
      </c>
      <c r="H2952" s="0" t="s">
        <v>150</v>
      </c>
      <c r="I2952" s="0" t="s">
        <v>38</v>
      </c>
      <c r="J2952" s="0" t="s">
        <v>39</v>
      </c>
      <c r="K2952" s="0" t="s">
        <v>48</v>
      </c>
      <c r="L2952" s="0" t="s">
        <v>49</v>
      </c>
      <c r="M2952" s="0" t="s">
        <v>140</v>
      </c>
      <c r="N2952" s="0" t="n">
        <v>524</v>
      </c>
      <c r="O2952" s="10" t="n">
        <v>0.715458054095507</v>
      </c>
      <c r="P2952" s="10" t="n">
        <v>0.601251717889681</v>
      </c>
      <c r="Q2952" s="0" t="str">
        <f aca="false">SUBSTITUTE(SUBSTITUTE($I2952,CHAR(61),""),CHAR(34),"")</f>
        <v>15-24</v>
      </c>
      <c r="R2952" s="0" t="str">
        <f aca="false">IF($D2952&lt;&gt;"","["&amp;$E2952&amp;"]"&amp;"|"&amp;$Q2952&amp;"|"&amp;$K2952&amp;"|"&amp;$G2952&amp;"|"&amp;IF($G2952="TX_CURR_SUBNAT.R","CY2022Q4",$M2952),"")</f>
        <v>[gwVYinjBAe9]|15-24|Male|PLHIV_Attend.T_1|CY2023Q3</v>
      </c>
    </row>
    <row r="2953" customFormat="false" ht="15" hidden="false" customHeight="false" outlineLevel="0" collapsed="false">
      <c r="D2953" s="0" t="s">
        <v>96</v>
      </c>
      <c r="E2953" s="0" t="s">
        <v>97</v>
      </c>
      <c r="F2953" s="0" t="s">
        <v>98</v>
      </c>
      <c r="G2953" s="0" t="s">
        <v>150</v>
      </c>
      <c r="H2953" s="0" t="s">
        <v>150</v>
      </c>
      <c r="I2953" s="0" t="s">
        <v>41</v>
      </c>
      <c r="J2953" s="0" t="s">
        <v>42</v>
      </c>
      <c r="K2953" s="0" t="s">
        <v>48</v>
      </c>
      <c r="L2953" s="0" t="s">
        <v>49</v>
      </c>
      <c r="M2953" s="0" t="s">
        <v>140</v>
      </c>
      <c r="N2953" s="0" t="n">
        <v>1742</v>
      </c>
      <c r="O2953" s="10" t="n">
        <v>0.0217651866842061</v>
      </c>
      <c r="P2953" s="10" t="n">
        <v>0.601251717889681</v>
      </c>
      <c r="Q2953" s="0" t="str">
        <f aca="false">SUBSTITUTE(SUBSTITUTE($I2953,CHAR(61),""),CHAR(34),"")</f>
        <v>25-34</v>
      </c>
      <c r="R2953" s="0" t="str">
        <f aca="false">IF($D2953&lt;&gt;"","["&amp;$E2953&amp;"]"&amp;"|"&amp;$Q2953&amp;"|"&amp;$K2953&amp;"|"&amp;$G2953&amp;"|"&amp;IF($G2953="TX_CURR_SUBNAT.R","CY2022Q4",$M2953),"")</f>
        <v>[gwVYinjBAe9]|25-34|Male|PLHIV_Attend.T_1|CY2023Q3</v>
      </c>
    </row>
    <row r="2954" customFormat="false" ht="15" hidden="false" customHeight="false" outlineLevel="0" collapsed="false">
      <c r="D2954" s="0" t="s">
        <v>96</v>
      </c>
      <c r="E2954" s="0" t="s">
        <v>97</v>
      </c>
      <c r="F2954" s="0" t="s">
        <v>98</v>
      </c>
      <c r="G2954" s="0" t="s">
        <v>150</v>
      </c>
      <c r="H2954" s="0" t="s">
        <v>150</v>
      </c>
      <c r="I2954" s="0" t="s">
        <v>43</v>
      </c>
      <c r="J2954" s="0" t="s">
        <v>44</v>
      </c>
      <c r="K2954" s="0" t="s">
        <v>48</v>
      </c>
      <c r="L2954" s="0" t="s">
        <v>49</v>
      </c>
      <c r="M2954" s="0" t="s">
        <v>140</v>
      </c>
      <c r="N2954" s="0" t="n">
        <v>1471</v>
      </c>
      <c r="O2954" s="10" t="n">
        <v>0.699926143279299</v>
      </c>
      <c r="P2954" s="10" t="n">
        <v>0.601251717889681</v>
      </c>
      <c r="Q2954" s="0" t="str">
        <f aca="false">SUBSTITUTE(SUBSTITUTE($I2954,CHAR(61),""),CHAR(34),"")</f>
        <v>35-49</v>
      </c>
      <c r="R2954" s="0" t="str">
        <f aca="false">IF($D2954&lt;&gt;"","["&amp;$E2954&amp;"]"&amp;"|"&amp;$Q2954&amp;"|"&amp;$K2954&amp;"|"&amp;$G2954&amp;"|"&amp;IF($G2954="TX_CURR_SUBNAT.R","CY2022Q4",$M2954),"")</f>
        <v>[gwVYinjBAe9]|35-49|Male|PLHIV_Attend.T_1|CY2023Q3</v>
      </c>
    </row>
    <row r="2955" customFormat="false" ht="15" hidden="false" customHeight="false" outlineLevel="0" collapsed="false">
      <c r="D2955" s="0" t="s">
        <v>96</v>
      </c>
      <c r="E2955" s="0" t="s">
        <v>97</v>
      </c>
      <c r="F2955" s="0" t="s">
        <v>98</v>
      </c>
      <c r="G2955" s="0" t="s">
        <v>150</v>
      </c>
      <c r="H2955" s="0" t="s">
        <v>150</v>
      </c>
      <c r="I2955" s="0" t="s">
        <v>45</v>
      </c>
      <c r="J2955" s="0" t="s">
        <v>46</v>
      </c>
      <c r="K2955" s="0" t="s">
        <v>48</v>
      </c>
      <c r="L2955" s="0" t="s">
        <v>49</v>
      </c>
      <c r="M2955" s="0" t="s">
        <v>140</v>
      </c>
      <c r="N2955" s="0" t="n">
        <v>1839</v>
      </c>
      <c r="O2955" s="10" t="n">
        <v>0.640127111459151</v>
      </c>
      <c r="P2955" s="10" t="n">
        <v>0.601251717889681</v>
      </c>
      <c r="Q2955" s="0" t="str">
        <f aca="false">SUBSTITUTE(SUBSTITUTE($I2955,CHAR(61),""),CHAR(34),"")</f>
        <v>50+</v>
      </c>
      <c r="R2955" s="0" t="str">
        <f aca="false">IF($D2955&lt;&gt;"","["&amp;$E2955&amp;"]"&amp;"|"&amp;$Q2955&amp;"|"&amp;$K2955&amp;"|"&amp;$G2955&amp;"|"&amp;IF($G2955="TX_CURR_SUBNAT.R","CY2022Q4",$M2955),"")</f>
        <v>[gwVYinjBAe9]|50+|Male|PLHIV_Attend.T_1|CY2023Q3</v>
      </c>
    </row>
    <row r="2956" customFormat="false" ht="15" hidden="false" customHeight="false" outlineLevel="0" collapsed="false">
      <c r="D2956" s="0" t="s">
        <v>99</v>
      </c>
      <c r="E2956" s="0" t="s">
        <v>100</v>
      </c>
      <c r="F2956" s="0" t="s">
        <v>101</v>
      </c>
      <c r="G2956" s="0" t="s">
        <v>150</v>
      </c>
      <c r="H2956" s="0" t="s">
        <v>150</v>
      </c>
      <c r="I2956" s="0" t="s">
        <v>28</v>
      </c>
      <c r="J2956" s="0" t="s">
        <v>29</v>
      </c>
      <c r="K2956" s="0" t="s">
        <v>30</v>
      </c>
      <c r="L2956" s="0" t="s">
        <v>31</v>
      </c>
      <c r="M2956" s="0" t="s">
        <v>140</v>
      </c>
      <c r="N2956" s="0" t="n">
        <v>1386</v>
      </c>
      <c r="O2956" s="10" t="n">
        <v>0.444185077212751</v>
      </c>
      <c r="P2956" s="10" t="n">
        <v>0.577288038097322</v>
      </c>
      <c r="Q2956" s="0" t="str">
        <f aca="false">SUBSTITUTE(SUBSTITUTE($I2956,CHAR(61),""),CHAR(34),"")</f>
        <v>&lt;01</v>
      </c>
      <c r="R2956" s="0" t="str">
        <f aca="false">IF($D2956&lt;&gt;"","["&amp;$E2956&amp;"]"&amp;"|"&amp;$Q2956&amp;"|"&amp;$K2956&amp;"|"&amp;$G2956&amp;"|"&amp;IF($G2956="TX_CURR_SUBNAT.R","CY2022Q4",$M2956),"")</f>
        <v>[mxqa3CDFmIT]|&lt;01|Female|PLHIV_Attend.T_1|CY2023Q3</v>
      </c>
    </row>
    <row r="2957" customFormat="false" ht="15" hidden="false" customHeight="false" outlineLevel="0" collapsed="false">
      <c r="D2957" s="0" t="s">
        <v>99</v>
      </c>
      <c r="E2957" s="0" t="s">
        <v>100</v>
      </c>
      <c r="F2957" s="0" t="s">
        <v>101</v>
      </c>
      <c r="G2957" s="0" t="s">
        <v>150</v>
      </c>
      <c r="H2957" s="0" t="s">
        <v>150</v>
      </c>
      <c r="I2957" s="0" t="s">
        <v>33</v>
      </c>
      <c r="J2957" s="0" t="s">
        <v>34</v>
      </c>
      <c r="K2957" s="0" t="s">
        <v>30</v>
      </c>
      <c r="L2957" s="0" t="s">
        <v>31</v>
      </c>
      <c r="M2957" s="0" t="s">
        <v>140</v>
      </c>
      <c r="N2957" s="0" t="n">
        <v>530</v>
      </c>
      <c r="O2957" s="10" t="n">
        <v>0.502717906842008</v>
      </c>
      <c r="P2957" s="10" t="n">
        <v>0.577288038097322</v>
      </c>
      <c r="Q2957" s="0" t="str">
        <f aca="false">SUBSTITUTE(SUBSTITUTE($I2957,CHAR(61),""),CHAR(34),"")</f>
        <v>01-09</v>
      </c>
      <c r="R2957" s="0" t="str">
        <f aca="false">IF($D2957&lt;&gt;"","["&amp;$E2957&amp;"]"&amp;"|"&amp;$Q2957&amp;"|"&amp;$K2957&amp;"|"&amp;$G2957&amp;"|"&amp;IF($G2957="TX_CURR_SUBNAT.R","CY2022Q4",$M2957),"")</f>
        <v>[mxqa3CDFmIT]|01-09|Female|PLHIV_Attend.T_1|CY2023Q3</v>
      </c>
    </row>
    <row r="2958" customFormat="false" ht="15" hidden="false" customHeight="false" outlineLevel="0" collapsed="false">
      <c r="D2958" s="0" t="s">
        <v>99</v>
      </c>
      <c r="E2958" s="0" t="s">
        <v>100</v>
      </c>
      <c r="F2958" s="0" t="s">
        <v>101</v>
      </c>
      <c r="G2958" s="0" t="s">
        <v>150</v>
      </c>
      <c r="H2958" s="0" t="s">
        <v>150</v>
      </c>
      <c r="I2958" s="0" t="s">
        <v>36</v>
      </c>
      <c r="J2958" s="0" t="s">
        <v>37</v>
      </c>
      <c r="K2958" s="0" t="s">
        <v>30</v>
      </c>
      <c r="L2958" s="0" t="s">
        <v>31</v>
      </c>
      <c r="M2958" s="0" t="s">
        <v>140</v>
      </c>
      <c r="N2958" s="0" t="n">
        <v>1174</v>
      </c>
      <c r="O2958" s="10" t="n">
        <v>0.314800139749423</v>
      </c>
      <c r="P2958" s="10" t="n">
        <v>0.577288038097322</v>
      </c>
      <c r="Q2958" s="0" t="str">
        <f aca="false">SUBSTITUTE(SUBSTITUTE($I2958,CHAR(61),""),CHAR(34),"")</f>
        <v>10-14</v>
      </c>
      <c r="R2958" s="0" t="str">
        <f aca="false">IF($D2958&lt;&gt;"","["&amp;$E2958&amp;"]"&amp;"|"&amp;$Q2958&amp;"|"&amp;$K2958&amp;"|"&amp;$G2958&amp;"|"&amp;IF($G2958="TX_CURR_SUBNAT.R","CY2022Q4",$M2958),"")</f>
        <v>[mxqa3CDFmIT]|10-14|Female|PLHIV_Attend.T_1|CY2023Q3</v>
      </c>
    </row>
    <row r="2959" customFormat="false" ht="15" hidden="false" customHeight="false" outlineLevel="0" collapsed="false">
      <c r="D2959" s="0" t="s">
        <v>99</v>
      </c>
      <c r="E2959" s="0" t="s">
        <v>100</v>
      </c>
      <c r="F2959" s="0" t="s">
        <v>101</v>
      </c>
      <c r="G2959" s="0" t="s">
        <v>150</v>
      </c>
      <c r="H2959" s="0" t="s">
        <v>150</v>
      </c>
      <c r="I2959" s="0" t="s">
        <v>38</v>
      </c>
      <c r="J2959" s="0" t="s">
        <v>39</v>
      </c>
      <c r="K2959" s="0" t="s">
        <v>30</v>
      </c>
      <c r="L2959" s="0" t="s">
        <v>31</v>
      </c>
      <c r="M2959" s="0" t="s">
        <v>140</v>
      </c>
      <c r="N2959" s="0" t="n">
        <v>837</v>
      </c>
      <c r="O2959" s="10" t="n">
        <v>0.719244418432936</v>
      </c>
      <c r="P2959" s="10" t="n">
        <v>0.577288038097322</v>
      </c>
      <c r="Q2959" s="0" t="str">
        <f aca="false">SUBSTITUTE(SUBSTITUTE($I2959,CHAR(61),""),CHAR(34),"")</f>
        <v>15-24</v>
      </c>
      <c r="R2959" s="0" t="str">
        <f aca="false">IF($D2959&lt;&gt;"","["&amp;$E2959&amp;"]"&amp;"|"&amp;$Q2959&amp;"|"&amp;$K2959&amp;"|"&amp;$G2959&amp;"|"&amp;IF($G2959="TX_CURR_SUBNAT.R","CY2022Q4",$M2959),"")</f>
        <v>[mxqa3CDFmIT]|15-24|Female|PLHIV_Attend.T_1|CY2023Q3</v>
      </c>
    </row>
    <row r="2960" customFormat="false" ht="15" hidden="false" customHeight="false" outlineLevel="0" collapsed="false">
      <c r="D2960" s="0" t="s">
        <v>99</v>
      </c>
      <c r="E2960" s="0" t="s">
        <v>100</v>
      </c>
      <c r="F2960" s="0" t="s">
        <v>101</v>
      </c>
      <c r="G2960" s="0" t="s">
        <v>150</v>
      </c>
      <c r="H2960" s="0" t="s">
        <v>150</v>
      </c>
      <c r="I2960" s="0" t="s">
        <v>41</v>
      </c>
      <c r="J2960" s="0" t="s">
        <v>42</v>
      </c>
      <c r="K2960" s="0" t="s">
        <v>30</v>
      </c>
      <c r="L2960" s="0" t="s">
        <v>31</v>
      </c>
      <c r="M2960" s="0" t="s">
        <v>140</v>
      </c>
      <c r="N2960" s="0" t="n">
        <v>719</v>
      </c>
      <c r="O2960" s="10" t="n">
        <v>0.4416262449231</v>
      </c>
      <c r="P2960" s="10" t="n">
        <v>0.577288038097322</v>
      </c>
      <c r="Q2960" s="0" t="str">
        <f aca="false">SUBSTITUTE(SUBSTITUTE($I2960,CHAR(61),""),CHAR(34),"")</f>
        <v>25-34</v>
      </c>
      <c r="R2960" s="0" t="str">
        <f aca="false">IF($D2960&lt;&gt;"","["&amp;$E2960&amp;"]"&amp;"|"&amp;$Q2960&amp;"|"&amp;$K2960&amp;"|"&amp;$G2960&amp;"|"&amp;IF($G2960="TX_CURR_SUBNAT.R","CY2022Q4",$M2960),"")</f>
        <v>[mxqa3CDFmIT]|25-34|Female|PLHIV_Attend.T_1|CY2023Q3</v>
      </c>
    </row>
    <row r="2961" customFormat="false" ht="15" hidden="false" customHeight="false" outlineLevel="0" collapsed="false">
      <c r="D2961" s="0" t="s">
        <v>99</v>
      </c>
      <c r="E2961" s="0" t="s">
        <v>100</v>
      </c>
      <c r="F2961" s="0" t="s">
        <v>101</v>
      </c>
      <c r="G2961" s="0" t="s">
        <v>150</v>
      </c>
      <c r="H2961" s="0" t="s">
        <v>150</v>
      </c>
      <c r="I2961" s="0" t="s">
        <v>43</v>
      </c>
      <c r="J2961" s="0" t="s">
        <v>44</v>
      </c>
      <c r="K2961" s="0" t="s">
        <v>30</v>
      </c>
      <c r="L2961" s="0" t="s">
        <v>31</v>
      </c>
      <c r="M2961" s="0" t="s">
        <v>140</v>
      </c>
      <c r="N2961" s="0" t="n">
        <v>1427</v>
      </c>
      <c r="O2961" s="10" t="n">
        <v>0.044363432796672</v>
      </c>
      <c r="P2961" s="10" t="n">
        <v>0.577288038097322</v>
      </c>
      <c r="Q2961" s="0" t="str">
        <f aca="false">SUBSTITUTE(SUBSTITUTE($I2961,CHAR(61),""),CHAR(34),"")</f>
        <v>35-49</v>
      </c>
      <c r="R2961" s="0" t="str">
        <f aca="false">IF($D2961&lt;&gt;"","["&amp;$E2961&amp;"]"&amp;"|"&amp;$Q2961&amp;"|"&amp;$K2961&amp;"|"&amp;$G2961&amp;"|"&amp;IF($G2961="TX_CURR_SUBNAT.R","CY2022Q4",$M2961),"")</f>
        <v>[mxqa3CDFmIT]|35-49|Female|PLHIV_Attend.T_1|CY2023Q3</v>
      </c>
    </row>
    <row r="2962" customFormat="false" ht="15" hidden="false" customHeight="false" outlineLevel="0" collapsed="false">
      <c r="D2962" s="0" t="s">
        <v>99</v>
      </c>
      <c r="E2962" s="0" t="s">
        <v>100</v>
      </c>
      <c r="F2962" s="0" t="s">
        <v>101</v>
      </c>
      <c r="G2962" s="0" t="s">
        <v>150</v>
      </c>
      <c r="H2962" s="0" t="s">
        <v>150</v>
      </c>
      <c r="I2962" s="0" t="s">
        <v>45</v>
      </c>
      <c r="J2962" s="0" t="s">
        <v>46</v>
      </c>
      <c r="K2962" s="0" t="s">
        <v>30</v>
      </c>
      <c r="L2962" s="0" t="s">
        <v>31</v>
      </c>
      <c r="M2962" s="0" t="s">
        <v>140</v>
      </c>
      <c r="N2962" s="0" t="n">
        <v>1838</v>
      </c>
      <c r="O2962" s="10" t="n">
        <v>0.614131959155202</v>
      </c>
      <c r="P2962" s="10" t="n">
        <v>0.577288038097322</v>
      </c>
      <c r="Q2962" s="0" t="str">
        <f aca="false">SUBSTITUTE(SUBSTITUTE($I2962,CHAR(61),""),CHAR(34),"")</f>
        <v>50+</v>
      </c>
      <c r="R2962" s="0" t="str">
        <f aca="false">IF($D2962&lt;&gt;"","["&amp;$E2962&amp;"]"&amp;"|"&amp;$Q2962&amp;"|"&amp;$K2962&amp;"|"&amp;$G2962&amp;"|"&amp;IF($G2962="TX_CURR_SUBNAT.R","CY2022Q4",$M2962),"")</f>
        <v>[mxqa3CDFmIT]|50+|Female|PLHIV_Attend.T_1|CY2023Q3</v>
      </c>
    </row>
    <row r="2963" customFormat="false" ht="15" hidden="false" customHeight="false" outlineLevel="0" collapsed="false">
      <c r="D2963" s="0" t="s">
        <v>99</v>
      </c>
      <c r="E2963" s="0" t="s">
        <v>100</v>
      </c>
      <c r="F2963" s="0" t="s">
        <v>101</v>
      </c>
      <c r="G2963" s="0" t="s">
        <v>150</v>
      </c>
      <c r="H2963" s="0" t="s">
        <v>150</v>
      </c>
      <c r="I2963" s="0" t="s">
        <v>28</v>
      </c>
      <c r="J2963" s="0" t="s">
        <v>29</v>
      </c>
      <c r="K2963" s="0" t="s">
        <v>48</v>
      </c>
      <c r="L2963" s="0" t="s">
        <v>49</v>
      </c>
      <c r="M2963" s="0" t="s">
        <v>140</v>
      </c>
      <c r="N2963" s="0" t="n">
        <v>1397</v>
      </c>
      <c r="O2963" s="10" t="n">
        <v>0.648270779987797</v>
      </c>
      <c r="P2963" s="10" t="n">
        <v>0.577288038097322</v>
      </c>
      <c r="Q2963" s="0" t="str">
        <f aca="false">SUBSTITUTE(SUBSTITUTE($I2963,CHAR(61),""),CHAR(34),"")</f>
        <v>&lt;01</v>
      </c>
      <c r="R2963" s="0" t="str">
        <f aca="false">IF($D2963&lt;&gt;"","["&amp;$E2963&amp;"]"&amp;"|"&amp;$Q2963&amp;"|"&amp;$K2963&amp;"|"&amp;$G2963&amp;"|"&amp;IF($G2963="TX_CURR_SUBNAT.R","CY2022Q4",$M2963),"")</f>
        <v>[mxqa3CDFmIT]|&lt;01|Male|PLHIV_Attend.T_1|CY2023Q3</v>
      </c>
    </row>
    <row r="2964" customFormat="false" ht="15" hidden="false" customHeight="false" outlineLevel="0" collapsed="false">
      <c r="D2964" s="0" t="s">
        <v>99</v>
      </c>
      <c r="E2964" s="0" t="s">
        <v>100</v>
      </c>
      <c r="F2964" s="0" t="s">
        <v>101</v>
      </c>
      <c r="G2964" s="0" t="s">
        <v>150</v>
      </c>
      <c r="H2964" s="0" t="s">
        <v>150</v>
      </c>
      <c r="I2964" s="0" t="s">
        <v>33</v>
      </c>
      <c r="J2964" s="0" t="s">
        <v>34</v>
      </c>
      <c r="K2964" s="0" t="s">
        <v>48</v>
      </c>
      <c r="L2964" s="0" t="s">
        <v>49</v>
      </c>
      <c r="M2964" s="0" t="s">
        <v>140</v>
      </c>
      <c r="N2964" s="0" t="n">
        <v>852</v>
      </c>
      <c r="O2964" s="10" t="n">
        <v>0.756929594557732</v>
      </c>
      <c r="P2964" s="10" t="n">
        <v>0.577288038097322</v>
      </c>
      <c r="Q2964" s="0" t="str">
        <f aca="false">SUBSTITUTE(SUBSTITUTE($I2964,CHAR(61),""),CHAR(34),"")</f>
        <v>01-09</v>
      </c>
      <c r="R2964" s="0" t="str">
        <f aca="false">IF($D2964&lt;&gt;"","["&amp;$E2964&amp;"]"&amp;"|"&amp;$Q2964&amp;"|"&amp;$K2964&amp;"|"&amp;$G2964&amp;"|"&amp;IF($G2964="TX_CURR_SUBNAT.R","CY2022Q4",$M2964),"")</f>
        <v>[mxqa3CDFmIT]|01-09|Male|PLHIV_Attend.T_1|CY2023Q3</v>
      </c>
    </row>
    <row r="2965" customFormat="false" ht="15" hidden="false" customHeight="false" outlineLevel="0" collapsed="false">
      <c r="D2965" s="0" t="s">
        <v>99</v>
      </c>
      <c r="E2965" s="0" t="s">
        <v>100</v>
      </c>
      <c r="F2965" s="0" t="s">
        <v>101</v>
      </c>
      <c r="G2965" s="0" t="s">
        <v>150</v>
      </c>
      <c r="H2965" s="0" t="s">
        <v>150</v>
      </c>
      <c r="I2965" s="0" t="s">
        <v>36</v>
      </c>
      <c r="J2965" s="0" t="s">
        <v>37</v>
      </c>
      <c r="K2965" s="0" t="s">
        <v>48</v>
      </c>
      <c r="L2965" s="0" t="s">
        <v>49</v>
      </c>
      <c r="M2965" s="0" t="s">
        <v>140</v>
      </c>
      <c r="N2965" s="0" t="n">
        <v>1805</v>
      </c>
      <c r="O2965" s="10" t="n">
        <v>0.544114110525697</v>
      </c>
      <c r="P2965" s="10" t="n">
        <v>0.577288038097322</v>
      </c>
      <c r="Q2965" s="0" t="str">
        <f aca="false">SUBSTITUTE(SUBSTITUTE($I2965,CHAR(61),""),CHAR(34),"")</f>
        <v>10-14</v>
      </c>
      <c r="R2965" s="0" t="str">
        <f aca="false">IF($D2965&lt;&gt;"","["&amp;$E2965&amp;"]"&amp;"|"&amp;$Q2965&amp;"|"&amp;$K2965&amp;"|"&amp;$G2965&amp;"|"&amp;IF($G2965="TX_CURR_SUBNAT.R","CY2022Q4",$M2965),"")</f>
        <v>[mxqa3CDFmIT]|10-14|Male|PLHIV_Attend.T_1|CY2023Q3</v>
      </c>
    </row>
    <row r="2966" customFormat="false" ht="15" hidden="false" customHeight="false" outlineLevel="0" collapsed="false">
      <c r="D2966" s="0" t="s">
        <v>99</v>
      </c>
      <c r="E2966" s="0" t="s">
        <v>100</v>
      </c>
      <c r="F2966" s="0" t="s">
        <v>101</v>
      </c>
      <c r="G2966" s="0" t="s">
        <v>150</v>
      </c>
      <c r="H2966" s="0" t="s">
        <v>150</v>
      </c>
      <c r="I2966" s="0" t="s">
        <v>38</v>
      </c>
      <c r="J2966" s="0" t="s">
        <v>39</v>
      </c>
      <c r="K2966" s="0" t="s">
        <v>48</v>
      </c>
      <c r="L2966" s="0" t="s">
        <v>49</v>
      </c>
      <c r="M2966" s="0" t="s">
        <v>140</v>
      </c>
      <c r="N2966" s="0" t="n">
        <v>1218</v>
      </c>
      <c r="O2966" s="10" t="n">
        <v>0.337925167521462</v>
      </c>
      <c r="P2966" s="10" t="n">
        <v>0.577288038097322</v>
      </c>
      <c r="Q2966" s="0" t="str">
        <f aca="false">SUBSTITUTE(SUBSTITUTE($I2966,CHAR(61),""),CHAR(34),"")</f>
        <v>15-24</v>
      </c>
      <c r="R2966" s="0" t="str">
        <f aca="false">IF($D2966&lt;&gt;"","["&amp;$E2966&amp;"]"&amp;"|"&amp;$Q2966&amp;"|"&amp;$K2966&amp;"|"&amp;$G2966&amp;"|"&amp;IF($G2966="TX_CURR_SUBNAT.R","CY2022Q4",$M2966),"")</f>
        <v>[mxqa3CDFmIT]|15-24|Male|PLHIV_Attend.T_1|CY2023Q3</v>
      </c>
    </row>
    <row r="2967" customFormat="false" ht="15" hidden="false" customHeight="false" outlineLevel="0" collapsed="false">
      <c r="D2967" s="0" t="s">
        <v>99</v>
      </c>
      <c r="E2967" s="0" t="s">
        <v>100</v>
      </c>
      <c r="F2967" s="0" t="s">
        <v>101</v>
      </c>
      <c r="G2967" s="0" t="s">
        <v>150</v>
      </c>
      <c r="H2967" s="0" t="s">
        <v>150</v>
      </c>
      <c r="I2967" s="0" t="s">
        <v>41</v>
      </c>
      <c r="J2967" s="0" t="s">
        <v>42</v>
      </c>
      <c r="K2967" s="0" t="s">
        <v>48</v>
      </c>
      <c r="L2967" s="0" t="s">
        <v>49</v>
      </c>
      <c r="M2967" s="0" t="s">
        <v>140</v>
      </c>
      <c r="N2967" s="0" t="n">
        <v>1654</v>
      </c>
      <c r="O2967" s="10" t="n">
        <v>0.866094803437591</v>
      </c>
      <c r="P2967" s="10" t="n">
        <v>0.577288038097322</v>
      </c>
      <c r="Q2967" s="0" t="str">
        <f aca="false">SUBSTITUTE(SUBSTITUTE($I2967,CHAR(61),""),CHAR(34),"")</f>
        <v>25-34</v>
      </c>
      <c r="R2967" s="0" t="str">
        <f aca="false">IF($D2967&lt;&gt;"","["&amp;$E2967&amp;"]"&amp;"|"&amp;$Q2967&amp;"|"&amp;$K2967&amp;"|"&amp;$G2967&amp;"|"&amp;IF($G2967="TX_CURR_SUBNAT.R","CY2022Q4",$M2967),"")</f>
        <v>[mxqa3CDFmIT]|25-34|Male|PLHIV_Attend.T_1|CY2023Q3</v>
      </c>
    </row>
    <row r="2968" customFormat="false" ht="15" hidden="false" customHeight="false" outlineLevel="0" collapsed="false">
      <c r="D2968" s="0" t="s">
        <v>99</v>
      </c>
      <c r="E2968" s="0" t="s">
        <v>100</v>
      </c>
      <c r="F2968" s="0" t="s">
        <v>101</v>
      </c>
      <c r="G2968" s="0" t="s">
        <v>150</v>
      </c>
      <c r="H2968" s="0" t="s">
        <v>150</v>
      </c>
      <c r="I2968" s="0" t="s">
        <v>43</v>
      </c>
      <c r="J2968" s="0" t="s">
        <v>44</v>
      </c>
      <c r="K2968" s="0" t="s">
        <v>48</v>
      </c>
      <c r="L2968" s="0" t="s">
        <v>49</v>
      </c>
      <c r="M2968" s="0" t="s">
        <v>140</v>
      </c>
      <c r="N2968" s="0" t="n">
        <v>760</v>
      </c>
      <c r="O2968" s="10" t="n">
        <v>0.0596522057894617</v>
      </c>
      <c r="P2968" s="10" t="n">
        <v>0.577288038097322</v>
      </c>
      <c r="Q2968" s="0" t="str">
        <f aca="false">SUBSTITUTE(SUBSTITUTE($I2968,CHAR(61),""),CHAR(34),"")</f>
        <v>35-49</v>
      </c>
      <c r="R2968" s="0" t="str">
        <f aca="false">IF($D2968&lt;&gt;"","["&amp;$E2968&amp;"]"&amp;"|"&amp;$Q2968&amp;"|"&amp;$K2968&amp;"|"&amp;$G2968&amp;"|"&amp;IF($G2968="TX_CURR_SUBNAT.R","CY2022Q4",$M2968),"")</f>
        <v>[mxqa3CDFmIT]|35-49|Male|PLHIV_Attend.T_1|CY2023Q3</v>
      </c>
    </row>
    <row r="2969" customFormat="false" ht="15" hidden="false" customHeight="false" outlineLevel="0" collapsed="false">
      <c r="D2969" s="0" t="s">
        <v>99</v>
      </c>
      <c r="E2969" s="0" t="s">
        <v>100</v>
      </c>
      <c r="F2969" s="0" t="s">
        <v>101</v>
      </c>
      <c r="G2969" s="0" t="s">
        <v>150</v>
      </c>
      <c r="H2969" s="0" t="s">
        <v>150</v>
      </c>
      <c r="I2969" s="0" t="s">
        <v>45</v>
      </c>
      <c r="J2969" s="0" t="s">
        <v>46</v>
      </c>
      <c r="K2969" s="0" t="s">
        <v>48</v>
      </c>
      <c r="L2969" s="0" t="s">
        <v>49</v>
      </c>
      <c r="M2969" s="0" t="s">
        <v>140</v>
      </c>
      <c r="N2969" s="0" t="n">
        <v>828</v>
      </c>
      <c r="O2969" s="10" t="n">
        <v>0.163108234293759</v>
      </c>
      <c r="P2969" s="10" t="n">
        <v>0.577288038097322</v>
      </c>
      <c r="Q2969" s="0" t="str">
        <f aca="false">SUBSTITUTE(SUBSTITUTE($I2969,CHAR(61),""),CHAR(34),"")</f>
        <v>50+</v>
      </c>
      <c r="R2969" s="0" t="str">
        <f aca="false">IF($D2969&lt;&gt;"","["&amp;$E2969&amp;"]"&amp;"|"&amp;$Q2969&amp;"|"&amp;$K2969&amp;"|"&amp;$G2969&amp;"|"&amp;IF($G2969="TX_CURR_SUBNAT.R","CY2022Q4",$M2969),"")</f>
        <v>[mxqa3CDFmIT]|50+|Male|PLHIV_Attend.T_1|CY2023Q3</v>
      </c>
    </row>
    <row r="2970" customFormat="false" ht="15" hidden="false" customHeight="false" outlineLevel="0" collapsed="false">
      <c r="D2970" s="0" t="s">
        <v>102</v>
      </c>
      <c r="E2970" s="0" t="s">
        <v>103</v>
      </c>
      <c r="F2970" s="0" t="s">
        <v>104</v>
      </c>
      <c r="G2970" s="0" t="s">
        <v>150</v>
      </c>
      <c r="H2970" s="0" t="s">
        <v>150</v>
      </c>
      <c r="I2970" s="0" t="s">
        <v>28</v>
      </c>
      <c r="J2970" s="0" t="s">
        <v>29</v>
      </c>
      <c r="K2970" s="0" t="s">
        <v>30</v>
      </c>
      <c r="L2970" s="0" t="s">
        <v>31</v>
      </c>
      <c r="M2970" s="0" t="s">
        <v>140</v>
      </c>
      <c r="N2970" s="0" t="n">
        <v>1991</v>
      </c>
      <c r="O2970" s="10" t="n">
        <v>0.973929681116715</v>
      </c>
      <c r="P2970" s="10" t="n">
        <v>0.526212359312922</v>
      </c>
      <c r="Q2970" s="0" t="str">
        <f aca="false">SUBSTITUTE(SUBSTITUTE($I2970,CHAR(61),""),CHAR(34),"")</f>
        <v>&lt;01</v>
      </c>
      <c r="R2970" s="0" t="str">
        <f aca="false">IF($D2970&lt;&gt;"","["&amp;$E2970&amp;"]"&amp;"|"&amp;$Q2970&amp;"|"&amp;$K2970&amp;"|"&amp;$G2970&amp;"|"&amp;IF($G2970="TX_CURR_SUBNAT.R","CY2022Q4",$M2970),"")</f>
        <v>[wNqJp8oRIcF]|&lt;01|Female|PLHIV_Attend.T_1|CY2023Q3</v>
      </c>
    </row>
    <row r="2971" customFormat="false" ht="15" hidden="false" customHeight="false" outlineLevel="0" collapsed="false">
      <c r="D2971" s="0" t="s">
        <v>102</v>
      </c>
      <c r="E2971" s="0" t="s">
        <v>103</v>
      </c>
      <c r="F2971" s="0" t="s">
        <v>104</v>
      </c>
      <c r="G2971" s="0" t="s">
        <v>150</v>
      </c>
      <c r="H2971" s="0" t="s">
        <v>150</v>
      </c>
      <c r="I2971" s="0" t="s">
        <v>33</v>
      </c>
      <c r="J2971" s="0" t="s">
        <v>34</v>
      </c>
      <c r="K2971" s="0" t="s">
        <v>30</v>
      </c>
      <c r="L2971" s="0" t="s">
        <v>31</v>
      </c>
      <c r="M2971" s="0" t="s">
        <v>140</v>
      </c>
      <c r="N2971" s="0" t="n">
        <v>1620</v>
      </c>
      <c r="O2971" s="10" t="n">
        <v>0.381926700705662</v>
      </c>
      <c r="P2971" s="10" t="n">
        <v>0.526212359312922</v>
      </c>
      <c r="Q2971" s="0" t="str">
        <f aca="false">SUBSTITUTE(SUBSTITUTE($I2971,CHAR(61),""),CHAR(34),"")</f>
        <v>01-09</v>
      </c>
      <c r="R2971" s="0" t="str">
        <f aca="false">IF($D2971&lt;&gt;"","["&amp;$E2971&amp;"]"&amp;"|"&amp;$Q2971&amp;"|"&amp;$K2971&amp;"|"&amp;$G2971&amp;"|"&amp;IF($G2971="TX_CURR_SUBNAT.R","CY2022Q4",$M2971),"")</f>
        <v>[wNqJp8oRIcF]|01-09|Female|PLHIV_Attend.T_1|CY2023Q3</v>
      </c>
    </row>
    <row r="2972" customFormat="false" ht="15" hidden="false" customHeight="false" outlineLevel="0" collapsed="false">
      <c r="D2972" s="0" t="s">
        <v>102</v>
      </c>
      <c r="E2972" s="0" t="s">
        <v>103</v>
      </c>
      <c r="F2972" s="0" t="s">
        <v>104</v>
      </c>
      <c r="G2972" s="0" t="s">
        <v>150</v>
      </c>
      <c r="H2972" s="0" t="s">
        <v>150</v>
      </c>
      <c r="I2972" s="0" t="s">
        <v>36</v>
      </c>
      <c r="J2972" s="0" t="s">
        <v>37</v>
      </c>
      <c r="K2972" s="0" t="s">
        <v>30</v>
      </c>
      <c r="L2972" s="0" t="s">
        <v>31</v>
      </c>
      <c r="M2972" s="0" t="s">
        <v>140</v>
      </c>
      <c r="N2972" s="0" t="n">
        <v>1557</v>
      </c>
      <c r="O2972" s="10" t="n">
        <v>0.251808285247535</v>
      </c>
      <c r="P2972" s="10" t="n">
        <v>0.526212359312922</v>
      </c>
      <c r="Q2972" s="0" t="str">
        <f aca="false">SUBSTITUTE(SUBSTITUTE($I2972,CHAR(61),""),CHAR(34),"")</f>
        <v>10-14</v>
      </c>
      <c r="R2972" s="0" t="str">
        <f aca="false">IF($D2972&lt;&gt;"","["&amp;$E2972&amp;"]"&amp;"|"&amp;$Q2972&amp;"|"&amp;$K2972&amp;"|"&amp;$G2972&amp;"|"&amp;IF($G2972="TX_CURR_SUBNAT.R","CY2022Q4",$M2972),"")</f>
        <v>[wNqJp8oRIcF]|10-14|Female|PLHIV_Attend.T_1|CY2023Q3</v>
      </c>
    </row>
    <row r="2973" customFormat="false" ht="15" hidden="false" customHeight="false" outlineLevel="0" collapsed="false">
      <c r="D2973" s="0" t="s">
        <v>102</v>
      </c>
      <c r="E2973" s="0" t="s">
        <v>103</v>
      </c>
      <c r="F2973" s="0" t="s">
        <v>104</v>
      </c>
      <c r="G2973" s="0" t="s">
        <v>150</v>
      </c>
      <c r="H2973" s="0" t="s">
        <v>150</v>
      </c>
      <c r="I2973" s="0" t="s">
        <v>38</v>
      </c>
      <c r="J2973" s="0" t="s">
        <v>39</v>
      </c>
      <c r="K2973" s="0" t="s">
        <v>30</v>
      </c>
      <c r="L2973" s="0" t="s">
        <v>31</v>
      </c>
      <c r="M2973" s="0" t="s">
        <v>140</v>
      </c>
      <c r="N2973" s="0" t="n">
        <v>1205</v>
      </c>
      <c r="O2973" s="10" t="n">
        <v>0.0237020123749971</v>
      </c>
      <c r="P2973" s="10" t="n">
        <v>0.526212359312922</v>
      </c>
      <c r="Q2973" s="0" t="str">
        <f aca="false">SUBSTITUTE(SUBSTITUTE($I2973,CHAR(61),""),CHAR(34),"")</f>
        <v>15-24</v>
      </c>
      <c r="R2973" s="0" t="str">
        <f aca="false">IF($D2973&lt;&gt;"","["&amp;$E2973&amp;"]"&amp;"|"&amp;$Q2973&amp;"|"&amp;$K2973&amp;"|"&amp;$G2973&amp;"|"&amp;IF($G2973="TX_CURR_SUBNAT.R","CY2022Q4",$M2973),"")</f>
        <v>[wNqJp8oRIcF]|15-24|Female|PLHIV_Attend.T_1|CY2023Q3</v>
      </c>
    </row>
    <row r="2974" customFormat="false" ht="15" hidden="false" customHeight="false" outlineLevel="0" collapsed="false">
      <c r="D2974" s="0" t="s">
        <v>102</v>
      </c>
      <c r="E2974" s="0" t="s">
        <v>103</v>
      </c>
      <c r="F2974" s="0" t="s">
        <v>104</v>
      </c>
      <c r="G2974" s="0" t="s">
        <v>150</v>
      </c>
      <c r="H2974" s="0" t="s">
        <v>150</v>
      </c>
      <c r="I2974" s="0" t="s">
        <v>41</v>
      </c>
      <c r="J2974" s="0" t="s">
        <v>42</v>
      </c>
      <c r="K2974" s="0" t="s">
        <v>30</v>
      </c>
      <c r="L2974" s="0" t="s">
        <v>31</v>
      </c>
      <c r="M2974" s="0" t="s">
        <v>140</v>
      </c>
      <c r="N2974" s="0" t="n">
        <v>1574</v>
      </c>
      <c r="O2974" s="10" t="n">
        <v>0.0578825504053384</v>
      </c>
      <c r="P2974" s="10" t="n">
        <v>0.526212359312922</v>
      </c>
      <c r="Q2974" s="0" t="str">
        <f aca="false">SUBSTITUTE(SUBSTITUTE($I2974,CHAR(61),""),CHAR(34),"")</f>
        <v>25-34</v>
      </c>
      <c r="R2974" s="0" t="str">
        <f aca="false">IF($D2974&lt;&gt;"","["&amp;$E2974&amp;"]"&amp;"|"&amp;$Q2974&amp;"|"&amp;$K2974&amp;"|"&amp;$G2974&amp;"|"&amp;IF($G2974="TX_CURR_SUBNAT.R","CY2022Q4",$M2974),"")</f>
        <v>[wNqJp8oRIcF]|25-34|Female|PLHIV_Attend.T_1|CY2023Q3</v>
      </c>
    </row>
    <row r="2975" customFormat="false" ht="15" hidden="false" customHeight="false" outlineLevel="0" collapsed="false">
      <c r="D2975" s="0" t="s">
        <v>102</v>
      </c>
      <c r="E2975" s="0" t="s">
        <v>103</v>
      </c>
      <c r="F2975" s="0" t="s">
        <v>104</v>
      </c>
      <c r="G2975" s="0" t="s">
        <v>150</v>
      </c>
      <c r="H2975" s="0" t="s">
        <v>150</v>
      </c>
      <c r="I2975" s="0" t="s">
        <v>43</v>
      </c>
      <c r="J2975" s="0" t="s">
        <v>44</v>
      </c>
      <c r="K2975" s="0" t="s">
        <v>30</v>
      </c>
      <c r="L2975" s="0" t="s">
        <v>31</v>
      </c>
      <c r="M2975" s="0" t="s">
        <v>140</v>
      </c>
      <c r="N2975" s="0" t="n">
        <v>1238</v>
      </c>
      <c r="O2975" s="10" t="n">
        <v>0.716909943148494</v>
      </c>
      <c r="P2975" s="10" t="n">
        <v>0.526212359312922</v>
      </c>
      <c r="Q2975" s="0" t="str">
        <f aca="false">SUBSTITUTE(SUBSTITUTE($I2975,CHAR(61),""),CHAR(34),"")</f>
        <v>35-49</v>
      </c>
      <c r="R2975" s="0" t="str">
        <f aca="false">IF($D2975&lt;&gt;"","["&amp;$E2975&amp;"]"&amp;"|"&amp;$Q2975&amp;"|"&amp;$K2975&amp;"|"&amp;$G2975&amp;"|"&amp;IF($G2975="TX_CURR_SUBNAT.R","CY2022Q4",$M2975),"")</f>
        <v>[wNqJp8oRIcF]|35-49|Female|PLHIV_Attend.T_1|CY2023Q3</v>
      </c>
    </row>
    <row r="2976" customFormat="false" ht="15" hidden="false" customHeight="false" outlineLevel="0" collapsed="false">
      <c r="D2976" s="0" t="s">
        <v>102</v>
      </c>
      <c r="E2976" s="0" t="s">
        <v>103</v>
      </c>
      <c r="F2976" s="0" t="s">
        <v>104</v>
      </c>
      <c r="G2976" s="0" t="s">
        <v>150</v>
      </c>
      <c r="H2976" s="0" t="s">
        <v>150</v>
      </c>
      <c r="I2976" s="0" t="s">
        <v>45</v>
      </c>
      <c r="J2976" s="0" t="s">
        <v>46</v>
      </c>
      <c r="K2976" s="0" t="s">
        <v>30</v>
      </c>
      <c r="L2976" s="0" t="s">
        <v>31</v>
      </c>
      <c r="M2976" s="0" t="s">
        <v>140</v>
      </c>
      <c r="N2976" s="0" t="n">
        <v>1999</v>
      </c>
      <c r="O2976" s="10" t="n">
        <v>0.884890594985336</v>
      </c>
      <c r="P2976" s="10" t="n">
        <v>0.526212359312922</v>
      </c>
      <c r="Q2976" s="0" t="str">
        <f aca="false">SUBSTITUTE(SUBSTITUTE($I2976,CHAR(61),""),CHAR(34),"")</f>
        <v>50+</v>
      </c>
      <c r="R2976" s="0" t="str">
        <f aca="false">IF($D2976&lt;&gt;"","["&amp;$E2976&amp;"]"&amp;"|"&amp;$Q2976&amp;"|"&amp;$K2976&amp;"|"&amp;$G2976&amp;"|"&amp;IF($G2976="TX_CURR_SUBNAT.R","CY2022Q4",$M2976),"")</f>
        <v>[wNqJp8oRIcF]|50+|Female|PLHIV_Attend.T_1|CY2023Q3</v>
      </c>
    </row>
    <row r="2977" customFormat="false" ht="15" hidden="false" customHeight="false" outlineLevel="0" collapsed="false">
      <c r="D2977" s="0" t="s">
        <v>102</v>
      </c>
      <c r="E2977" s="0" t="s">
        <v>103</v>
      </c>
      <c r="F2977" s="0" t="s">
        <v>104</v>
      </c>
      <c r="G2977" s="0" t="s">
        <v>150</v>
      </c>
      <c r="H2977" s="0" t="s">
        <v>150</v>
      </c>
      <c r="I2977" s="0" t="s">
        <v>28</v>
      </c>
      <c r="J2977" s="0" t="s">
        <v>29</v>
      </c>
      <c r="K2977" s="0" t="s">
        <v>48</v>
      </c>
      <c r="L2977" s="0" t="s">
        <v>49</v>
      </c>
      <c r="M2977" s="0" t="s">
        <v>140</v>
      </c>
      <c r="N2977" s="0" t="n">
        <v>1742</v>
      </c>
      <c r="O2977" s="10" t="n">
        <v>0.940917113097385</v>
      </c>
      <c r="P2977" s="10" t="n">
        <v>0.526212359312922</v>
      </c>
      <c r="Q2977" s="0" t="str">
        <f aca="false">SUBSTITUTE(SUBSTITUTE($I2977,CHAR(61),""),CHAR(34),"")</f>
        <v>&lt;01</v>
      </c>
      <c r="R2977" s="0" t="str">
        <f aca="false">IF($D2977&lt;&gt;"","["&amp;$E2977&amp;"]"&amp;"|"&amp;$Q2977&amp;"|"&amp;$K2977&amp;"|"&amp;$G2977&amp;"|"&amp;IF($G2977="TX_CURR_SUBNAT.R","CY2022Q4",$M2977),"")</f>
        <v>[wNqJp8oRIcF]|&lt;01|Male|PLHIV_Attend.T_1|CY2023Q3</v>
      </c>
    </row>
    <row r="2978" customFormat="false" ht="15" hidden="false" customHeight="false" outlineLevel="0" collapsed="false">
      <c r="D2978" s="0" t="s">
        <v>102</v>
      </c>
      <c r="E2978" s="0" t="s">
        <v>103</v>
      </c>
      <c r="F2978" s="0" t="s">
        <v>104</v>
      </c>
      <c r="G2978" s="0" t="s">
        <v>150</v>
      </c>
      <c r="H2978" s="0" t="s">
        <v>150</v>
      </c>
      <c r="I2978" s="0" t="s">
        <v>33</v>
      </c>
      <c r="J2978" s="0" t="s">
        <v>34</v>
      </c>
      <c r="K2978" s="0" t="s">
        <v>48</v>
      </c>
      <c r="L2978" s="0" t="s">
        <v>49</v>
      </c>
      <c r="M2978" s="0" t="s">
        <v>140</v>
      </c>
      <c r="N2978" s="0" t="n">
        <v>1753</v>
      </c>
      <c r="O2978" s="10" t="n">
        <v>0.741129615576938</v>
      </c>
      <c r="P2978" s="10" t="n">
        <v>0.526212359312922</v>
      </c>
      <c r="Q2978" s="0" t="str">
        <f aca="false">SUBSTITUTE(SUBSTITUTE($I2978,CHAR(61),""),CHAR(34),"")</f>
        <v>01-09</v>
      </c>
      <c r="R2978" s="0" t="str">
        <f aca="false">IF($D2978&lt;&gt;"","["&amp;$E2978&amp;"]"&amp;"|"&amp;$Q2978&amp;"|"&amp;$K2978&amp;"|"&amp;$G2978&amp;"|"&amp;IF($G2978="TX_CURR_SUBNAT.R","CY2022Q4",$M2978),"")</f>
        <v>[wNqJp8oRIcF]|01-09|Male|PLHIV_Attend.T_1|CY2023Q3</v>
      </c>
    </row>
    <row r="2979" customFormat="false" ht="15" hidden="false" customHeight="false" outlineLevel="0" collapsed="false">
      <c r="D2979" s="0" t="s">
        <v>102</v>
      </c>
      <c r="E2979" s="0" t="s">
        <v>103</v>
      </c>
      <c r="F2979" s="0" t="s">
        <v>104</v>
      </c>
      <c r="G2979" s="0" t="s">
        <v>150</v>
      </c>
      <c r="H2979" s="0" t="s">
        <v>150</v>
      </c>
      <c r="I2979" s="0" t="s">
        <v>36</v>
      </c>
      <c r="J2979" s="0" t="s">
        <v>37</v>
      </c>
      <c r="K2979" s="0" t="s">
        <v>48</v>
      </c>
      <c r="L2979" s="0" t="s">
        <v>49</v>
      </c>
      <c r="M2979" s="0" t="s">
        <v>140</v>
      </c>
      <c r="N2979" s="0" t="n">
        <v>1927</v>
      </c>
      <c r="O2979" s="10" t="n">
        <v>0.089715592097491</v>
      </c>
      <c r="P2979" s="10" t="n">
        <v>0.526212359312922</v>
      </c>
      <c r="Q2979" s="0" t="str">
        <f aca="false">SUBSTITUTE(SUBSTITUTE($I2979,CHAR(61),""),CHAR(34),"")</f>
        <v>10-14</v>
      </c>
      <c r="R2979" s="0" t="str">
        <f aca="false">IF($D2979&lt;&gt;"","["&amp;$E2979&amp;"]"&amp;"|"&amp;$Q2979&amp;"|"&amp;$K2979&amp;"|"&amp;$G2979&amp;"|"&amp;IF($G2979="TX_CURR_SUBNAT.R","CY2022Q4",$M2979),"")</f>
        <v>[wNqJp8oRIcF]|10-14|Male|PLHIV_Attend.T_1|CY2023Q3</v>
      </c>
    </row>
    <row r="2980" customFormat="false" ht="15" hidden="false" customHeight="false" outlineLevel="0" collapsed="false">
      <c r="D2980" s="0" t="s">
        <v>102</v>
      </c>
      <c r="E2980" s="0" t="s">
        <v>103</v>
      </c>
      <c r="F2980" s="0" t="s">
        <v>104</v>
      </c>
      <c r="G2980" s="0" t="s">
        <v>150</v>
      </c>
      <c r="H2980" s="0" t="s">
        <v>150</v>
      </c>
      <c r="I2980" s="0" t="s">
        <v>38</v>
      </c>
      <c r="J2980" s="0" t="s">
        <v>39</v>
      </c>
      <c r="K2980" s="0" t="s">
        <v>48</v>
      </c>
      <c r="L2980" s="0" t="s">
        <v>49</v>
      </c>
      <c r="M2980" s="0" t="s">
        <v>140</v>
      </c>
      <c r="N2980" s="0" t="n">
        <v>691</v>
      </c>
      <c r="O2980" s="10" t="n">
        <v>0.921911828685552</v>
      </c>
      <c r="P2980" s="10" t="n">
        <v>0.526212359312922</v>
      </c>
      <c r="Q2980" s="0" t="str">
        <f aca="false">SUBSTITUTE(SUBSTITUTE($I2980,CHAR(61),""),CHAR(34),"")</f>
        <v>15-24</v>
      </c>
      <c r="R2980" s="0" t="str">
        <f aca="false">IF($D2980&lt;&gt;"","["&amp;$E2980&amp;"]"&amp;"|"&amp;$Q2980&amp;"|"&amp;$K2980&amp;"|"&amp;$G2980&amp;"|"&amp;IF($G2980="TX_CURR_SUBNAT.R","CY2022Q4",$M2980),"")</f>
        <v>[wNqJp8oRIcF]|15-24|Male|PLHIV_Attend.T_1|CY2023Q3</v>
      </c>
    </row>
    <row r="2981" customFormat="false" ht="15" hidden="false" customHeight="false" outlineLevel="0" collapsed="false">
      <c r="D2981" s="0" t="s">
        <v>102</v>
      </c>
      <c r="E2981" s="0" t="s">
        <v>103</v>
      </c>
      <c r="F2981" s="0" t="s">
        <v>104</v>
      </c>
      <c r="G2981" s="0" t="s">
        <v>150</v>
      </c>
      <c r="H2981" s="0" t="s">
        <v>150</v>
      </c>
      <c r="I2981" s="0" t="s">
        <v>41</v>
      </c>
      <c r="J2981" s="0" t="s">
        <v>42</v>
      </c>
      <c r="K2981" s="0" t="s">
        <v>48</v>
      </c>
      <c r="L2981" s="0" t="s">
        <v>49</v>
      </c>
      <c r="M2981" s="0" t="s">
        <v>140</v>
      </c>
      <c r="N2981" s="0" t="n">
        <v>1043</v>
      </c>
      <c r="O2981" s="10" t="n">
        <v>0.472090404713526</v>
      </c>
      <c r="P2981" s="10" t="n">
        <v>0.526212359312922</v>
      </c>
      <c r="Q2981" s="0" t="str">
        <f aca="false">SUBSTITUTE(SUBSTITUTE($I2981,CHAR(61),""),CHAR(34),"")</f>
        <v>25-34</v>
      </c>
      <c r="R2981" s="0" t="str">
        <f aca="false">IF($D2981&lt;&gt;"","["&amp;$E2981&amp;"]"&amp;"|"&amp;$Q2981&amp;"|"&amp;$K2981&amp;"|"&amp;$G2981&amp;"|"&amp;IF($G2981="TX_CURR_SUBNAT.R","CY2022Q4",$M2981),"")</f>
        <v>[wNqJp8oRIcF]|25-34|Male|PLHIV_Attend.T_1|CY2023Q3</v>
      </c>
    </row>
    <row r="2982" customFormat="false" ht="15" hidden="false" customHeight="false" outlineLevel="0" collapsed="false">
      <c r="D2982" s="0" t="s">
        <v>102</v>
      </c>
      <c r="E2982" s="0" t="s">
        <v>103</v>
      </c>
      <c r="F2982" s="0" t="s">
        <v>104</v>
      </c>
      <c r="G2982" s="0" t="s">
        <v>150</v>
      </c>
      <c r="H2982" s="0" t="s">
        <v>150</v>
      </c>
      <c r="I2982" s="0" t="s">
        <v>43</v>
      </c>
      <c r="J2982" s="0" t="s">
        <v>44</v>
      </c>
      <c r="K2982" s="0" t="s">
        <v>48</v>
      </c>
      <c r="L2982" s="0" t="s">
        <v>49</v>
      </c>
      <c r="M2982" s="0" t="s">
        <v>140</v>
      </c>
      <c r="N2982" s="0" t="n">
        <v>1458</v>
      </c>
      <c r="O2982" s="10" t="n">
        <v>0.210417490685359</v>
      </c>
      <c r="P2982" s="10" t="n">
        <v>0.526212359312922</v>
      </c>
      <c r="Q2982" s="0" t="str">
        <f aca="false">SUBSTITUTE(SUBSTITUTE($I2982,CHAR(61),""),CHAR(34),"")</f>
        <v>35-49</v>
      </c>
      <c r="R2982" s="0" t="str">
        <f aca="false">IF($D2982&lt;&gt;"","["&amp;$E2982&amp;"]"&amp;"|"&amp;$Q2982&amp;"|"&amp;$K2982&amp;"|"&amp;$G2982&amp;"|"&amp;IF($G2982="TX_CURR_SUBNAT.R","CY2022Q4",$M2982),"")</f>
        <v>[wNqJp8oRIcF]|35-49|Male|PLHIV_Attend.T_1|CY2023Q3</v>
      </c>
    </row>
    <row r="2983" customFormat="false" ht="15" hidden="false" customHeight="false" outlineLevel="0" collapsed="false">
      <c r="D2983" s="0" t="s">
        <v>102</v>
      </c>
      <c r="E2983" s="0" t="s">
        <v>103</v>
      </c>
      <c r="F2983" s="0" t="s">
        <v>104</v>
      </c>
      <c r="G2983" s="0" t="s">
        <v>150</v>
      </c>
      <c r="H2983" s="0" t="s">
        <v>150</v>
      </c>
      <c r="I2983" s="0" t="s">
        <v>45</v>
      </c>
      <c r="J2983" s="0" t="s">
        <v>46</v>
      </c>
      <c r="K2983" s="0" t="s">
        <v>48</v>
      </c>
      <c r="L2983" s="0" t="s">
        <v>49</v>
      </c>
      <c r="M2983" s="0" t="s">
        <v>140</v>
      </c>
      <c r="N2983" s="0" t="n">
        <v>1831</v>
      </c>
      <c r="O2983" s="10" t="n">
        <v>0.395149043761194</v>
      </c>
      <c r="P2983" s="10" t="n">
        <v>0.526212359312922</v>
      </c>
      <c r="Q2983" s="0" t="str">
        <f aca="false">SUBSTITUTE(SUBSTITUTE($I2983,CHAR(61),""),CHAR(34),"")</f>
        <v>50+</v>
      </c>
      <c r="R2983" s="0" t="str">
        <f aca="false">IF($D2983&lt;&gt;"","["&amp;$E2983&amp;"]"&amp;"|"&amp;$Q2983&amp;"|"&amp;$K2983&amp;"|"&amp;$G2983&amp;"|"&amp;IF($G2983="TX_CURR_SUBNAT.R","CY2022Q4",$M2983),"")</f>
        <v>[wNqJp8oRIcF]|50+|Male|PLHIV_Attend.T_1|CY2023Q3</v>
      </c>
    </row>
    <row r="2984" customFormat="false" ht="15" hidden="false" customHeight="false" outlineLevel="0" collapsed="false">
      <c r="D2984" s="0" t="s">
        <v>105</v>
      </c>
      <c r="E2984" s="0" t="s">
        <v>106</v>
      </c>
      <c r="F2984" s="0" t="s">
        <v>107</v>
      </c>
      <c r="G2984" s="0" t="s">
        <v>150</v>
      </c>
      <c r="H2984" s="0" t="s">
        <v>150</v>
      </c>
      <c r="I2984" s="0" t="s">
        <v>28</v>
      </c>
      <c r="J2984" s="0" t="s">
        <v>29</v>
      </c>
      <c r="K2984" s="0" t="s">
        <v>30</v>
      </c>
      <c r="L2984" s="0" t="s">
        <v>31</v>
      </c>
      <c r="M2984" s="0" t="s">
        <v>140</v>
      </c>
      <c r="N2984" s="0" t="n">
        <v>1127</v>
      </c>
      <c r="O2984" s="10" t="n">
        <v>0.554797608638182</v>
      </c>
      <c r="P2984" s="10" t="n">
        <v>0.218249560333788</v>
      </c>
      <c r="Q2984" s="0" t="str">
        <f aca="false">SUBSTITUTE(SUBSTITUTE($I2984,CHAR(61),""),CHAR(34),"")</f>
        <v>&lt;01</v>
      </c>
      <c r="R2984" s="0" t="str">
        <f aca="false">IF($D2984&lt;&gt;"","["&amp;$E2984&amp;"]"&amp;"|"&amp;$Q2984&amp;"|"&amp;$K2984&amp;"|"&amp;$G2984&amp;"|"&amp;IF($G2984="TX_CURR_SUBNAT.R","CY2022Q4",$M2984),"")</f>
        <v>[oiPR2CiVJbf]|&lt;01|Female|PLHIV_Attend.T_1|CY2023Q3</v>
      </c>
    </row>
    <row r="2985" customFormat="false" ht="15" hidden="false" customHeight="false" outlineLevel="0" collapsed="false">
      <c r="D2985" s="0" t="s">
        <v>105</v>
      </c>
      <c r="E2985" s="0" t="s">
        <v>106</v>
      </c>
      <c r="F2985" s="0" t="s">
        <v>107</v>
      </c>
      <c r="G2985" s="0" t="s">
        <v>150</v>
      </c>
      <c r="H2985" s="0" t="s">
        <v>150</v>
      </c>
      <c r="I2985" s="0" t="s">
        <v>33</v>
      </c>
      <c r="J2985" s="0" t="s">
        <v>34</v>
      </c>
      <c r="K2985" s="0" t="s">
        <v>30</v>
      </c>
      <c r="L2985" s="0" t="s">
        <v>31</v>
      </c>
      <c r="M2985" s="0" t="s">
        <v>140</v>
      </c>
      <c r="N2985" s="0" t="n">
        <v>1314</v>
      </c>
      <c r="O2985" s="10" t="n">
        <v>0.0541451899334788</v>
      </c>
      <c r="P2985" s="10" t="n">
        <v>0.218249560333788</v>
      </c>
      <c r="Q2985" s="0" t="str">
        <f aca="false">SUBSTITUTE(SUBSTITUTE($I2985,CHAR(61),""),CHAR(34),"")</f>
        <v>01-09</v>
      </c>
      <c r="R2985" s="0" t="str">
        <f aca="false">IF($D2985&lt;&gt;"","["&amp;$E2985&amp;"]"&amp;"|"&amp;$Q2985&amp;"|"&amp;$K2985&amp;"|"&amp;$G2985&amp;"|"&amp;IF($G2985="TX_CURR_SUBNAT.R","CY2022Q4",$M2985),"")</f>
        <v>[oiPR2CiVJbf]|01-09|Female|PLHIV_Attend.T_1|CY2023Q3</v>
      </c>
    </row>
    <row r="2986" customFormat="false" ht="15" hidden="false" customHeight="false" outlineLevel="0" collapsed="false">
      <c r="D2986" s="0" t="s">
        <v>105</v>
      </c>
      <c r="E2986" s="0" t="s">
        <v>106</v>
      </c>
      <c r="F2986" s="0" t="s">
        <v>107</v>
      </c>
      <c r="G2986" s="0" t="s">
        <v>150</v>
      </c>
      <c r="H2986" s="0" t="s">
        <v>150</v>
      </c>
      <c r="I2986" s="0" t="s">
        <v>36</v>
      </c>
      <c r="J2986" s="0" t="s">
        <v>37</v>
      </c>
      <c r="K2986" s="0" t="s">
        <v>30</v>
      </c>
      <c r="L2986" s="0" t="s">
        <v>31</v>
      </c>
      <c r="M2986" s="0" t="s">
        <v>140</v>
      </c>
      <c r="N2986" s="0" t="n">
        <v>1087</v>
      </c>
      <c r="O2986" s="10" t="n">
        <v>0.200805949047208</v>
      </c>
      <c r="P2986" s="10" t="n">
        <v>0.218249560333788</v>
      </c>
      <c r="Q2986" s="0" t="str">
        <f aca="false">SUBSTITUTE(SUBSTITUTE($I2986,CHAR(61),""),CHAR(34),"")</f>
        <v>10-14</v>
      </c>
      <c r="R2986" s="0" t="str">
        <f aca="false">IF($D2986&lt;&gt;"","["&amp;$E2986&amp;"]"&amp;"|"&amp;$Q2986&amp;"|"&amp;$K2986&amp;"|"&amp;$G2986&amp;"|"&amp;IF($G2986="TX_CURR_SUBNAT.R","CY2022Q4",$M2986),"")</f>
        <v>[oiPR2CiVJbf]|10-14|Female|PLHIV_Attend.T_1|CY2023Q3</v>
      </c>
    </row>
    <row r="2987" customFormat="false" ht="15" hidden="false" customHeight="false" outlineLevel="0" collapsed="false">
      <c r="D2987" s="0" t="s">
        <v>105</v>
      </c>
      <c r="E2987" s="0" t="s">
        <v>106</v>
      </c>
      <c r="F2987" s="0" t="s">
        <v>107</v>
      </c>
      <c r="G2987" s="0" t="s">
        <v>150</v>
      </c>
      <c r="H2987" s="0" t="s">
        <v>150</v>
      </c>
      <c r="I2987" s="0" t="s">
        <v>38</v>
      </c>
      <c r="J2987" s="0" t="s">
        <v>39</v>
      </c>
      <c r="K2987" s="0" t="s">
        <v>30</v>
      </c>
      <c r="L2987" s="0" t="s">
        <v>31</v>
      </c>
      <c r="M2987" s="0" t="s">
        <v>140</v>
      </c>
      <c r="N2987" s="0" t="n">
        <v>1450</v>
      </c>
      <c r="O2987" s="10" t="n">
        <v>0.0218583596870303</v>
      </c>
      <c r="P2987" s="10" t="n">
        <v>0.218249560333788</v>
      </c>
      <c r="Q2987" s="0" t="str">
        <f aca="false">SUBSTITUTE(SUBSTITUTE($I2987,CHAR(61),""),CHAR(34),"")</f>
        <v>15-24</v>
      </c>
      <c r="R2987" s="0" t="str">
        <f aca="false">IF($D2987&lt;&gt;"","["&amp;$E2987&amp;"]"&amp;"|"&amp;$Q2987&amp;"|"&amp;$K2987&amp;"|"&amp;$G2987&amp;"|"&amp;IF($G2987="TX_CURR_SUBNAT.R","CY2022Q4",$M2987),"")</f>
        <v>[oiPR2CiVJbf]|15-24|Female|PLHIV_Attend.T_1|CY2023Q3</v>
      </c>
    </row>
    <row r="2988" customFormat="false" ht="15" hidden="false" customHeight="false" outlineLevel="0" collapsed="false">
      <c r="D2988" s="0" t="s">
        <v>105</v>
      </c>
      <c r="E2988" s="0" t="s">
        <v>106</v>
      </c>
      <c r="F2988" s="0" t="s">
        <v>107</v>
      </c>
      <c r="G2988" s="0" t="s">
        <v>150</v>
      </c>
      <c r="H2988" s="0" t="s">
        <v>150</v>
      </c>
      <c r="I2988" s="0" t="s">
        <v>41</v>
      </c>
      <c r="J2988" s="0" t="s">
        <v>42</v>
      </c>
      <c r="K2988" s="0" t="s">
        <v>30</v>
      </c>
      <c r="L2988" s="0" t="s">
        <v>31</v>
      </c>
      <c r="M2988" s="0" t="s">
        <v>140</v>
      </c>
      <c r="N2988" s="0" t="n">
        <v>690</v>
      </c>
      <c r="O2988" s="10" t="n">
        <v>0.272473803255707</v>
      </c>
      <c r="P2988" s="10" t="n">
        <v>0.218249560333788</v>
      </c>
      <c r="Q2988" s="0" t="str">
        <f aca="false">SUBSTITUTE(SUBSTITUTE($I2988,CHAR(61),""),CHAR(34),"")</f>
        <v>25-34</v>
      </c>
      <c r="R2988" s="0" t="str">
        <f aca="false">IF($D2988&lt;&gt;"","["&amp;$E2988&amp;"]"&amp;"|"&amp;$Q2988&amp;"|"&amp;$K2988&amp;"|"&amp;$G2988&amp;"|"&amp;IF($G2988="TX_CURR_SUBNAT.R","CY2022Q4",$M2988),"")</f>
        <v>[oiPR2CiVJbf]|25-34|Female|PLHIV_Attend.T_1|CY2023Q3</v>
      </c>
    </row>
    <row r="2989" customFormat="false" ht="15" hidden="false" customHeight="false" outlineLevel="0" collapsed="false">
      <c r="D2989" s="0" t="s">
        <v>105</v>
      </c>
      <c r="E2989" s="0" t="s">
        <v>106</v>
      </c>
      <c r="F2989" s="0" t="s">
        <v>107</v>
      </c>
      <c r="G2989" s="0" t="s">
        <v>150</v>
      </c>
      <c r="H2989" s="0" t="s">
        <v>150</v>
      </c>
      <c r="I2989" s="0" t="s">
        <v>43</v>
      </c>
      <c r="J2989" s="0" t="s">
        <v>44</v>
      </c>
      <c r="K2989" s="0" t="s">
        <v>30</v>
      </c>
      <c r="L2989" s="0" t="s">
        <v>31</v>
      </c>
      <c r="M2989" s="0" t="s">
        <v>140</v>
      </c>
      <c r="N2989" s="0" t="n">
        <v>1017</v>
      </c>
      <c r="O2989" s="10" t="n">
        <v>0.498697519768029</v>
      </c>
      <c r="P2989" s="10" t="n">
        <v>0.218249560333788</v>
      </c>
      <c r="Q2989" s="0" t="str">
        <f aca="false">SUBSTITUTE(SUBSTITUTE($I2989,CHAR(61),""),CHAR(34),"")</f>
        <v>35-49</v>
      </c>
      <c r="R2989" s="0" t="str">
        <f aca="false">IF($D2989&lt;&gt;"","["&amp;$E2989&amp;"]"&amp;"|"&amp;$Q2989&amp;"|"&amp;$K2989&amp;"|"&amp;$G2989&amp;"|"&amp;IF($G2989="TX_CURR_SUBNAT.R","CY2022Q4",$M2989),"")</f>
        <v>[oiPR2CiVJbf]|35-49|Female|PLHIV_Attend.T_1|CY2023Q3</v>
      </c>
    </row>
    <row r="2990" customFormat="false" ht="15" hidden="false" customHeight="false" outlineLevel="0" collapsed="false">
      <c r="D2990" s="0" t="s">
        <v>105</v>
      </c>
      <c r="E2990" s="0" t="s">
        <v>106</v>
      </c>
      <c r="F2990" s="0" t="s">
        <v>107</v>
      </c>
      <c r="G2990" s="0" t="s">
        <v>150</v>
      </c>
      <c r="H2990" s="0" t="s">
        <v>150</v>
      </c>
      <c r="I2990" s="0" t="s">
        <v>45</v>
      </c>
      <c r="J2990" s="0" t="s">
        <v>46</v>
      </c>
      <c r="K2990" s="0" t="s">
        <v>30</v>
      </c>
      <c r="L2990" s="0" t="s">
        <v>31</v>
      </c>
      <c r="M2990" s="0" t="s">
        <v>140</v>
      </c>
      <c r="N2990" s="0" t="n">
        <v>1974</v>
      </c>
      <c r="O2990" s="10" t="n">
        <v>0.426891944371164</v>
      </c>
      <c r="P2990" s="10" t="n">
        <v>0.218249560333788</v>
      </c>
      <c r="Q2990" s="0" t="str">
        <f aca="false">SUBSTITUTE(SUBSTITUTE($I2990,CHAR(61),""),CHAR(34),"")</f>
        <v>50+</v>
      </c>
      <c r="R2990" s="0" t="str">
        <f aca="false">IF($D2990&lt;&gt;"","["&amp;$E2990&amp;"]"&amp;"|"&amp;$Q2990&amp;"|"&amp;$K2990&amp;"|"&amp;$G2990&amp;"|"&amp;IF($G2990="TX_CURR_SUBNAT.R","CY2022Q4",$M2990),"")</f>
        <v>[oiPR2CiVJbf]|50+|Female|PLHIV_Attend.T_1|CY2023Q3</v>
      </c>
    </row>
    <row r="2991" customFormat="false" ht="15" hidden="false" customHeight="false" outlineLevel="0" collapsed="false">
      <c r="D2991" s="0" t="s">
        <v>105</v>
      </c>
      <c r="E2991" s="0" t="s">
        <v>106</v>
      </c>
      <c r="F2991" s="0" t="s">
        <v>107</v>
      </c>
      <c r="G2991" s="0" t="s">
        <v>150</v>
      </c>
      <c r="H2991" s="0" t="s">
        <v>150</v>
      </c>
      <c r="I2991" s="0" t="s">
        <v>28</v>
      </c>
      <c r="J2991" s="0" t="s">
        <v>29</v>
      </c>
      <c r="K2991" s="0" t="s">
        <v>48</v>
      </c>
      <c r="L2991" s="0" t="s">
        <v>49</v>
      </c>
      <c r="M2991" s="0" t="s">
        <v>140</v>
      </c>
      <c r="N2991" s="0" t="n">
        <v>1680</v>
      </c>
      <c r="O2991" s="10" t="n">
        <v>0.164601267315447</v>
      </c>
      <c r="P2991" s="10" t="n">
        <v>0.218249560333788</v>
      </c>
      <c r="Q2991" s="0" t="str">
        <f aca="false">SUBSTITUTE(SUBSTITUTE($I2991,CHAR(61),""),CHAR(34),"")</f>
        <v>&lt;01</v>
      </c>
      <c r="R2991" s="0" t="str">
        <f aca="false">IF($D2991&lt;&gt;"","["&amp;$E2991&amp;"]"&amp;"|"&amp;$Q2991&amp;"|"&amp;$K2991&amp;"|"&amp;$G2991&amp;"|"&amp;IF($G2991="TX_CURR_SUBNAT.R","CY2022Q4",$M2991),"")</f>
        <v>[oiPR2CiVJbf]|&lt;01|Male|PLHIV_Attend.T_1|CY2023Q3</v>
      </c>
    </row>
    <row r="2992" customFormat="false" ht="15" hidden="false" customHeight="false" outlineLevel="0" collapsed="false">
      <c r="D2992" s="0" t="s">
        <v>105</v>
      </c>
      <c r="E2992" s="0" t="s">
        <v>106</v>
      </c>
      <c r="F2992" s="0" t="s">
        <v>107</v>
      </c>
      <c r="G2992" s="0" t="s">
        <v>150</v>
      </c>
      <c r="H2992" s="0" t="s">
        <v>150</v>
      </c>
      <c r="I2992" s="0" t="s">
        <v>33</v>
      </c>
      <c r="J2992" s="0" t="s">
        <v>34</v>
      </c>
      <c r="K2992" s="0" t="s">
        <v>48</v>
      </c>
      <c r="L2992" s="0" t="s">
        <v>49</v>
      </c>
      <c r="M2992" s="0" t="s">
        <v>140</v>
      </c>
      <c r="N2992" s="0" t="n">
        <v>1900</v>
      </c>
      <c r="O2992" s="10" t="n">
        <v>0.0405051319394261</v>
      </c>
      <c r="P2992" s="10" t="n">
        <v>0.218249560333788</v>
      </c>
      <c r="Q2992" s="0" t="str">
        <f aca="false">SUBSTITUTE(SUBSTITUTE($I2992,CHAR(61),""),CHAR(34),"")</f>
        <v>01-09</v>
      </c>
      <c r="R2992" s="0" t="str">
        <f aca="false">IF($D2992&lt;&gt;"","["&amp;$E2992&amp;"]"&amp;"|"&amp;$Q2992&amp;"|"&amp;$K2992&amp;"|"&amp;$G2992&amp;"|"&amp;IF($G2992="TX_CURR_SUBNAT.R","CY2022Q4",$M2992),"")</f>
        <v>[oiPR2CiVJbf]|01-09|Male|PLHIV_Attend.T_1|CY2023Q3</v>
      </c>
    </row>
    <row r="2993" customFormat="false" ht="15" hidden="false" customHeight="false" outlineLevel="0" collapsed="false">
      <c r="D2993" s="0" t="s">
        <v>105</v>
      </c>
      <c r="E2993" s="0" t="s">
        <v>106</v>
      </c>
      <c r="F2993" s="0" t="s">
        <v>107</v>
      </c>
      <c r="G2993" s="0" t="s">
        <v>150</v>
      </c>
      <c r="H2993" s="0" t="s">
        <v>150</v>
      </c>
      <c r="I2993" s="0" t="s">
        <v>36</v>
      </c>
      <c r="J2993" s="0" t="s">
        <v>37</v>
      </c>
      <c r="K2993" s="0" t="s">
        <v>48</v>
      </c>
      <c r="L2993" s="0" t="s">
        <v>49</v>
      </c>
      <c r="M2993" s="0" t="s">
        <v>140</v>
      </c>
      <c r="N2993" s="0" t="n">
        <v>1119</v>
      </c>
      <c r="O2993" s="10" t="n">
        <v>0.368067444534972</v>
      </c>
      <c r="P2993" s="10" t="n">
        <v>0.218249560333788</v>
      </c>
      <c r="Q2993" s="0" t="str">
        <f aca="false">SUBSTITUTE(SUBSTITUTE($I2993,CHAR(61),""),CHAR(34),"")</f>
        <v>10-14</v>
      </c>
      <c r="R2993" s="0" t="str">
        <f aca="false">IF($D2993&lt;&gt;"","["&amp;$E2993&amp;"]"&amp;"|"&amp;$Q2993&amp;"|"&amp;$K2993&amp;"|"&amp;$G2993&amp;"|"&amp;IF($G2993="TX_CURR_SUBNAT.R","CY2022Q4",$M2993),"")</f>
        <v>[oiPR2CiVJbf]|10-14|Male|PLHIV_Attend.T_1|CY2023Q3</v>
      </c>
    </row>
    <row r="2994" customFormat="false" ht="15" hidden="false" customHeight="false" outlineLevel="0" collapsed="false">
      <c r="D2994" s="0" t="s">
        <v>105</v>
      </c>
      <c r="E2994" s="0" t="s">
        <v>106</v>
      </c>
      <c r="F2994" s="0" t="s">
        <v>107</v>
      </c>
      <c r="G2994" s="0" t="s">
        <v>150</v>
      </c>
      <c r="H2994" s="0" t="s">
        <v>150</v>
      </c>
      <c r="I2994" s="0" t="s">
        <v>38</v>
      </c>
      <c r="J2994" s="0" t="s">
        <v>39</v>
      </c>
      <c r="K2994" s="0" t="s">
        <v>48</v>
      </c>
      <c r="L2994" s="0" t="s">
        <v>49</v>
      </c>
      <c r="M2994" s="0" t="s">
        <v>140</v>
      </c>
      <c r="N2994" s="0" t="n">
        <v>1925</v>
      </c>
      <c r="O2994" s="10" t="n">
        <v>0.549031740054488</v>
      </c>
      <c r="P2994" s="10" t="n">
        <v>0.218249560333788</v>
      </c>
      <c r="Q2994" s="0" t="str">
        <f aca="false">SUBSTITUTE(SUBSTITUTE($I2994,CHAR(61),""),CHAR(34),"")</f>
        <v>15-24</v>
      </c>
      <c r="R2994" s="0" t="str">
        <f aca="false">IF($D2994&lt;&gt;"","["&amp;$E2994&amp;"]"&amp;"|"&amp;$Q2994&amp;"|"&amp;$K2994&amp;"|"&amp;$G2994&amp;"|"&amp;IF($G2994="TX_CURR_SUBNAT.R","CY2022Q4",$M2994),"")</f>
        <v>[oiPR2CiVJbf]|15-24|Male|PLHIV_Attend.T_1|CY2023Q3</v>
      </c>
    </row>
    <row r="2995" customFormat="false" ht="15" hidden="false" customHeight="false" outlineLevel="0" collapsed="false">
      <c r="D2995" s="0" t="s">
        <v>105</v>
      </c>
      <c r="E2995" s="0" t="s">
        <v>106</v>
      </c>
      <c r="F2995" s="0" t="s">
        <v>107</v>
      </c>
      <c r="G2995" s="0" t="s">
        <v>150</v>
      </c>
      <c r="H2995" s="0" t="s">
        <v>150</v>
      </c>
      <c r="I2995" s="0" t="s">
        <v>41</v>
      </c>
      <c r="J2995" s="0" t="s">
        <v>42</v>
      </c>
      <c r="K2995" s="0" t="s">
        <v>48</v>
      </c>
      <c r="L2995" s="0" t="s">
        <v>49</v>
      </c>
      <c r="M2995" s="0" t="s">
        <v>140</v>
      </c>
      <c r="N2995" s="0" t="n">
        <v>1803</v>
      </c>
      <c r="O2995" s="10" t="n">
        <v>0.213194472948089</v>
      </c>
      <c r="P2995" s="10" t="n">
        <v>0.218249560333788</v>
      </c>
      <c r="Q2995" s="0" t="str">
        <f aca="false">SUBSTITUTE(SUBSTITUTE($I2995,CHAR(61),""),CHAR(34),"")</f>
        <v>25-34</v>
      </c>
      <c r="R2995" s="0" t="str">
        <f aca="false">IF($D2995&lt;&gt;"","["&amp;$E2995&amp;"]"&amp;"|"&amp;$Q2995&amp;"|"&amp;$K2995&amp;"|"&amp;$G2995&amp;"|"&amp;IF($G2995="TX_CURR_SUBNAT.R","CY2022Q4",$M2995),"")</f>
        <v>[oiPR2CiVJbf]|25-34|Male|PLHIV_Attend.T_1|CY2023Q3</v>
      </c>
    </row>
    <row r="2996" customFormat="false" ht="15" hidden="false" customHeight="false" outlineLevel="0" collapsed="false">
      <c r="D2996" s="0" t="s">
        <v>105</v>
      </c>
      <c r="E2996" s="0" t="s">
        <v>106</v>
      </c>
      <c r="F2996" s="0" t="s">
        <v>107</v>
      </c>
      <c r="G2996" s="0" t="s">
        <v>150</v>
      </c>
      <c r="H2996" s="0" t="s">
        <v>150</v>
      </c>
      <c r="I2996" s="0" t="s">
        <v>43</v>
      </c>
      <c r="J2996" s="0" t="s">
        <v>44</v>
      </c>
      <c r="K2996" s="0" t="s">
        <v>48</v>
      </c>
      <c r="L2996" s="0" t="s">
        <v>49</v>
      </c>
      <c r="M2996" s="0" t="s">
        <v>140</v>
      </c>
      <c r="N2996" s="0" t="n">
        <v>501</v>
      </c>
      <c r="O2996" s="10" t="n">
        <v>0.494511897210032</v>
      </c>
      <c r="P2996" s="10" t="n">
        <v>0.218249560333788</v>
      </c>
      <c r="Q2996" s="0" t="str">
        <f aca="false">SUBSTITUTE(SUBSTITUTE($I2996,CHAR(61),""),CHAR(34),"")</f>
        <v>35-49</v>
      </c>
      <c r="R2996" s="0" t="str">
        <f aca="false">IF($D2996&lt;&gt;"","["&amp;$E2996&amp;"]"&amp;"|"&amp;$Q2996&amp;"|"&amp;$K2996&amp;"|"&amp;$G2996&amp;"|"&amp;IF($G2996="TX_CURR_SUBNAT.R","CY2022Q4",$M2996),"")</f>
        <v>[oiPR2CiVJbf]|35-49|Male|PLHIV_Attend.T_1|CY2023Q3</v>
      </c>
    </row>
    <row r="2997" customFormat="false" ht="15" hidden="false" customHeight="false" outlineLevel="0" collapsed="false">
      <c r="D2997" s="0" t="s">
        <v>105</v>
      </c>
      <c r="E2997" s="0" t="s">
        <v>106</v>
      </c>
      <c r="F2997" s="0" t="s">
        <v>107</v>
      </c>
      <c r="G2997" s="0" t="s">
        <v>150</v>
      </c>
      <c r="H2997" s="0" t="s">
        <v>150</v>
      </c>
      <c r="I2997" s="0" t="s">
        <v>45</v>
      </c>
      <c r="J2997" s="0" t="s">
        <v>46</v>
      </c>
      <c r="K2997" s="0" t="s">
        <v>48</v>
      </c>
      <c r="L2997" s="0" t="s">
        <v>49</v>
      </c>
      <c r="M2997" s="0" t="s">
        <v>140</v>
      </c>
      <c r="N2997" s="0" t="n">
        <v>827</v>
      </c>
      <c r="O2997" s="10" t="n">
        <v>0.999468826921657</v>
      </c>
      <c r="P2997" s="10" t="n">
        <v>0.218249560333788</v>
      </c>
      <c r="Q2997" s="0" t="str">
        <f aca="false">SUBSTITUTE(SUBSTITUTE($I2997,CHAR(61),""),CHAR(34),"")</f>
        <v>50+</v>
      </c>
      <c r="R2997" s="0" t="str">
        <f aca="false">IF($D2997&lt;&gt;"","["&amp;$E2997&amp;"]"&amp;"|"&amp;$Q2997&amp;"|"&amp;$K2997&amp;"|"&amp;$G2997&amp;"|"&amp;IF($G2997="TX_CURR_SUBNAT.R","CY2022Q4",$M2997),"")</f>
        <v>[oiPR2CiVJbf]|50+|Male|PLHIV_Attend.T_1|CY2023Q3</v>
      </c>
    </row>
    <row r="2998" customFormat="false" ht="15" hidden="false" customHeight="false" outlineLevel="0" collapsed="false">
      <c r="D2998" s="0" t="s">
        <v>108</v>
      </c>
      <c r="E2998" s="0" t="s">
        <v>109</v>
      </c>
      <c r="F2998" s="0" t="s">
        <v>110</v>
      </c>
      <c r="G2998" s="0" t="s">
        <v>150</v>
      </c>
      <c r="H2998" s="0" t="s">
        <v>150</v>
      </c>
      <c r="I2998" s="0" t="s">
        <v>28</v>
      </c>
      <c r="J2998" s="0" t="s">
        <v>29</v>
      </c>
      <c r="K2998" s="0" t="s">
        <v>30</v>
      </c>
      <c r="L2998" s="0" t="s">
        <v>31</v>
      </c>
      <c r="M2998" s="0" t="s">
        <v>140</v>
      </c>
      <c r="N2998" s="0" t="n">
        <v>561</v>
      </c>
      <c r="O2998" s="10" t="n">
        <v>0.181635285029188</v>
      </c>
      <c r="P2998" s="10" t="n">
        <v>0.434221804374829</v>
      </c>
      <c r="Q2998" s="0" t="str">
        <f aca="false">SUBSTITUTE(SUBSTITUTE($I2998,CHAR(61),""),CHAR(34),"")</f>
        <v>&lt;01</v>
      </c>
      <c r="R2998" s="0" t="str">
        <f aca="false">IF($D2998&lt;&gt;"","["&amp;$E2998&amp;"]"&amp;"|"&amp;$Q2998&amp;"|"&amp;$K2998&amp;"|"&amp;$G2998&amp;"|"&amp;IF($G2998="TX_CURR_SUBNAT.R","CY2022Q4",$M2998),"")</f>
        <v>[ul0y9diGujK]|&lt;01|Female|PLHIV_Attend.T_1|CY2023Q3</v>
      </c>
    </row>
    <row r="2999" customFormat="false" ht="15" hidden="false" customHeight="false" outlineLevel="0" collapsed="false">
      <c r="D2999" s="0" t="s">
        <v>108</v>
      </c>
      <c r="E2999" s="0" t="s">
        <v>109</v>
      </c>
      <c r="F2999" s="0" t="s">
        <v>110</v>
      </c>
      <c r="G2999" s="0" t="s">
        <v>150</v>
      </c>
      <c r="H2999" s="0" t="s">
        <v>150</v>
      </c>
      <c r="I2999" s="0" t="s">
        <v>33</v>
      </c>
      <c r="J2999" s="0" t="s">
        <v>34</v>
      </c>
      <c r="K2999" s="0" t="s">
        <v>30</v>
      </c>
      <c r="L2999" s="0" t="s">
        <v>31</v>
      </c>
      <c r="M2999" s="0" t="s">
        <v>140</v>
      </c>
      <c r="N2999" s="0" t="n">
        <v>703</v>
      </c>
      <c r="O2999" s="10" t="n">
        <v>0.746136553585529</v>
      </c>
      <c r="P2999" s="10" t="n">
        <v>0.434221804374829</v>
      </c>
      <c r="Q2999" s="0" t="str">
        <f aca="false">SUBSTITUTE(SUBSTITUTE($I2999,CHAR(61),""),CHAR(34),"")</f>
        <v>01-09</v>
      </c>
      <c r="R2999" s="0" t="str">
        <f aca="false">IF($D2999&lt;&gt;"","["&amp;$E2999&amp;"]"&amp;"|"&amp;$Q2999&amp;"|"&amp;$K2999&amp;"|"&amp;$G2999&amp;"|"&amp;IF($G2999="TX_CURR_SUBNAT.R","CY2022Q4",$M2999),"")</f>
        <v>[ul0y9diGujK]|01-09|Female|PLHIV_Attend.T_1|CY2023Q3</v>
      </c>
    </row>
    <row r="3000" customFormat="false" ht="15" hidden="false" customHeight="false" outlineLevel="0" collapsed="false">
      <c r="D3000" s="0" t="s">
        <v>108</v>
      </c>
      <c r="E3000" s="0" t="s">
        <v>109</v>
      </c>
      <c r="F3000" s="0" t="s">
        <v>110</v>
      </c>
      <c r="G3000" s="0" t="s">
        <v>150</v>
      </c>
      <c r="H3000" s="0" t="s">
        <v>150</v>
      </c>
      <c r="I3000" s="0" t="s">
        <v>36</v>
      </c>
      <c r="J3000" s="0" t="s">
        <v>37</v>
      </c>
      <c r="K3000" s="0" t="s">
        <v>30</v>
      </c>
      <c r="L3000" s="0" t="s">
        <v>31</v>
      </c>
      <c r="M3000" s="0" t="s">
        <v>140</v>
      </c>
      <c r="N3000" s="0" t="n">
        <v>1883</v>
      </c>
      <c r="O3000" s="10" t="n">
        <v>0.40196937113069</v>
      </c>
      <c r="P3000" s="10" t="n">
        <v>0.434221804374829</v>
      </c>
      <c r="Q3000" s="0" t="str">
        <f aca="false">SUBSTITUTE(SUBSTITUTE($I3000,CHAR(61),""),CHAR(34),"")</f>
        <v>10-14</v>
      </c>
      <c r="R3000" s="0" t="str">
        <f aca="false">IF($D3000&lt;&gt;"","["&amp;$E3000&amp;"]"&amp;"|"&amp;$Q3000&amp;"|"&amp;$K3000&amp;"|"&amp;$G3000&amp;"|"&amp;IF($G3000="TX_CURR_SUBNAT.R","CY2022Q4",$M3000),"")</f>
        <v>[ul0y9diGujK]|10-14|Female|PLHIV_Attend.T_1|CY2023Q3</v>
      </c>
    </row>
    <row r="3001" customFormat="false" ht="15" hidden="false" customHeight="false" outlineLevel="0" collapsed="false">
      <c r="D3001" s="0" t="s">
        <v>108</v>
      </c>
      <c r="E3001" s="0" t="s">
        <v>109</v>
      </c>
      <c r="F3001" s="0" t="s">
        <v>110</v>
      </c>
      <c r="G3001" s="0" t="s">
        <v>150</v>
      </c>
      <c r="H3001" s="0" t="s">
        <v>150</v>
      </c>
      <c r="I3001" s="0" t="s">
        <v>38</v>
      </c>
      <c r="J3001" s="0" t="s">
        <v>39</v>
      </c>
      <c r="K3001" s="0" t="s">
        <v>30</v>
      </c>
      <c r="L3001" s="0" t="s">
        <v>31</v>
      </c>
      <c r="M3001" s="0" t="s">
        <v>140</v>
      </c>
      <c r="N3001" s="0" t="n">
        <v>812</v>
      </c>
      <c r="O3001" s="10" t="n">
        <v>0.440563800279051</v>
      </c>
      <c r="P3001" s="10" t="n">
        <v>0.434221804374829</v>
      </c>
      <c r="Q3001" s="0" t="str">
        <f aca="false">SUBSTITUTE(SUBSTITUTE($I3001,CHAR(61),""),CHAR(34),"")</f>
        <v>15-24</v>
      </c>
      <c r="R3001" s="0" t="str">
        <f aca="false">IF($D3001&lt;&gt;"","["&amp;$E3001&amp;"]"&amp;"|"&amp;$Q3001&amp;"|"&amp;$K3001&amp;"|"&amp;$G3001&amp;"|"&amp;IF($G3001="TX_CURR_SUBNAT.R","CY2022Q4",$M3001),"")</f>
        <v>[ul0y9diGujK]|15-24|Female|PLHIV_Attend.T_1|CY2023Q3</v>
      </c>
    </row>
    <row r="3002" customFormat="false" ht="15" hidden="false" customHeight="false" outlineLevel="0" collapsed="false">
      <c r="D3002" s="0" t="s">
        <v>108</v>
      </c>
      <c r="E3002" s="0" t="s">
        <v>109</v>
      </c>
      <c r="F3002" s="0" t="s">
        <v>110</v>
      </c>
      <c r="G3002" s="0" t="s">
        <v>150</v>
      </c>
      <c r="H3002" s="0" t="s">
        <v>150</v>
      </c>
      <c r="I3002" s="0" t="s">
        <v>41</v>
      </c>
      <c r="J3002" s="0" t="s">
        <v>42</v>
      </c>
      <c r="K3002" s="0" t="s">
        <v>30</v>
      </c>
      <c r="L3002" s="0" t="s">
        <v>31</v>
      </c>
      <c r="M3002" s="0" t="s">
        <v>140</v>
      </c>
      <c r="N3002" s="0" t="n">
        <v>1085</v>
      </c>
      <c r="O3002" s="10" t="n">
        <v>0.219392956234515</v>
      </c>
      <c r="P3002" s="10" t="n">
        <v>0.434221804374829</v>
      </c>
      <c r="Q3002" s="0" t="str">
        <f aca="false">SUBSTITUTE(SUBSTITUTE($I3002,CHAR(61),""),CHAR(34),"")</f>
        <v>25-34</v>
      </c>
      <c r="R3002" s="0" t="str">
        <f aca="false">IF($D3002&lt;&gt;"","["&amp;$E3002&amp;"]"&amp;"|"&amp;$Q3002&amp;"|"&amp;$K3002&amp;"|"&amp;$G3002&amp;"|"&amp;IF($G3002="TX_CURR_SUBNAT.R","CY2022Q4",$M3002),"")</f>
        <v>[ul0y9diGujK]|25-34|Female|PLHIV_Attend.T_1|CY2023Q3</v>
      </c>
    </row>
    <row r="3003" customFormat="false" ht="15" hidden="false" customHeight="false" outlineLevel="0" collapsed="false">
      <c r="D3003" s="0" t="s">
        <v>108</v>
      </c>
      <c r="E3003" s="0" t="s">
        <v>109</v>
      </c>
      <c r="F3003" s="0" t="s">
        <v>110</v>
      </c>
      <c r="G3003" s="0" t="s">
        <v>150</v>
      </c>
      <c r="H3003" s="0" t="s">
        <v>150</v>
      </c>
      <c r="I3003" s="0" t="s">
        <v>43</v>
      </c>
      <c r="J3003" s="0" t="s">
        <v>44</v>
      </c>
      <c r="K3003" s="0" t="s">
        <v>30</v>
      </c>
      <c r="L3003" s="0" t="s">
        <v>31</v>
      </c>
      <c r="M3003" s="0" t="s">
        <v>140</v>
      </c>
      <c r="N3003" s="0" t="n">
        <v>1824</v>
      </c>
      <c r="O3003" s="10" t="n">
        <v>0.728485879488289</v>
      </c>
      <c r="P3003" s="10" t="n">
        <v>0.434221804374829</v>
      </c>
      <c r="Q3003" s="0" t="str">
        <f aca="false">SUBSTITUTE(SUBSTITUTE($I3003,CHAR(61),""),CHAR(34),"")</f>
        <v>35-49</v>
      </c>
      <c r="R3003" s="0" t="str">
        <f aca="false">IF($D3003&lt;&gt;"","["&amp;$E3003&amp;"]"&amp;"|"&amp;$Q3003&amp;"|"&amp;$K3003&amp;"|"&amp;$G3003&amp;"|"&amp;IF($G3003="TX_CURR_SUBNAT.R","CY2022Q4",$M3003),"")</f>
        <v>[ul0y9diGujK]|35-49|Female|PLHIV_Attend.T_1|CY2023Q3</v>
      </c>
    </row>
    <row r="3004" customFormat="false" ht="15" hidden="false" customHeight="false" outlineLevel="0" collapsed="false">
      <c r="D3004" s="0" t="s">
        <v>108</v>
      </c>
      <c r="E3004" s="0" t="s">
        <v>109</v>
      </c>
      <c r="F3004" s="0" t="s">
        <v>110</v>
      </c>
      <c r="G3004" s="0" t="s">
        <v>150</v>
      </c>
      <c r="H3004" s="0" t="s">
        <v>150</v>
      </c>
      <c r="I3004" s="0" t="s">
        <v>45</v>
      </c>
      <c r="J3004" s="0" t="s">
        <v>46</v>
      </c>
      <c r="K3004" s="0" t="s">
        <v>30</v>
      </c>
      <c r="L3004" s="0" t="s">
        <v>31</v>
      </c>
      <c r="M3004" s="0" t="s">
        <v>140</v>
      </c>
      <c r="N3004" s="0" t="n">
        <v>1451</v>
      </c>
      <c r="O3004" s="10" t="n">
        <v>0.519922294421121</v>
      </c>
      <c r="P3004" s="10" t="n">
        <v>0.434221804374829</v>
      </c>
      <c r="Q3004" s="0" t="str">
        <f aca="false">SUBSTITUTE(SUBSTITUTE($I3004,CHAR(61),""),CHAR(34),"")</f>
        <v>50+</v>
      </c>
      <c r="R3004" s="0" t="str">
        <f aca="false">IF($D3004&lt;&gt;"","["&amp;$E3004&amp;"]"&amp;"|"&amp;$Q3004&amp;"|"&amp;$K3004&amp;"|"&amp;$G3004&amp;"|"&amp;IF($G3004="TX_CURR_SUBNAT.R","CY2022Q4",$M3004),"")</f>
        <v>[ul0y9diGujK]|50+|Female|PLHIV_Attend.T_1|CY2023Q3</v>
      </c>
    </row>
    <row r="3005" customFormat="false" ht="15" hidden="false" customHeight="false" outlineLevel="0" collapsed="false">
      <c r="D3005" s="0" t="s">
        <v>108</v>
      </c>
      <c r="E3005" s="0" t="s">
        <v>109</v>
      </c>
      <c r="F3005" s="0" t="s">
        <v>110</v>
      </c>
      <c r="G3005" s="0" t="s">
        <v>150</v>
      </c>
      <c r="H3005" s="0" t="s">
        <v>150</v>
      </c>
      <c r="I3005" s="0" t="s">
        <v>28</v>
      </c>
      <c r="J3005" s="0" t="s">
        <v>29</v>
      </c>
      <c r="K3005" s="0" t="s">
        <v>48</v>
      </c>
      <c r="L3005" s="0" t="s">
        <v>49</v>
      </c>
      <c r="M3005" s="0" t="s">
        <v>140</v>
      </c>
      <c r="N3005" s="0" t="n">
        <v>874</v>
      </c>
      <c r="O3005" s="10" t="n">
        <v>0.426626227796078</v>
      </c>
      <c r="P3005" s="10" t="n">
        <v>0.434221804374829</v>
      </c>
      <c r="Q3005" s="0" t="str">
        <f aca="false">SUBSTITUTE(SUBSTITUTE($I3005,CHAR(61),""),CHAR(34),"")</f>
        <v>&lt;01</v>
      </c>
      <c r="R3005" s="0" t="str">
        <f aca="false">IF($D3005&lt;&gt;"","["&amp;$E3005&amp;"]"&amp;"|"&amp;$Q3005&amp;"|"&amp;$K3005&amp;"|"&amp;$G3005&amp;"|"&amp;IF($G3005="TX_CURR_SUBNAT.R","CY2022Q4",$M3005),"")</f>
        <v>[ul0y9diGujK]|&lt;01|Male|PLHIV_Attend.T_1|CY2023Q3</v>
      </c>
    </row>
    <row r="3006" customFormat="false" ht="15" hidden="false" customHeight="false" outlineLevel="0" collapsed="false">
      <c r="D3006" s="0" t="s">
        <v>108</v>
      </c>
      <c r="E3006" s="0" t="s">
        <v>109</v>
      </c>
      <c r="F3006" s="0" t="s">
        <v>110</v>
      </c>
      <c r="G3006" s="0" t="s">
        <v>150</v>
      </c>
      <c r="H3006" s="0" t="s">
        <v>150</v>
      </c>
      <c r="I3006" s="0" t="s">
        <v>33</v>
      </c>
      <c r="J3006" s="0" t="s">
        <v>34</v>
      </c>
      <c r="K3006" s="0" t="s">
        <v>48</v>
      </c>
      <c r="L3006" s="0" t="s">
        <v>49</v>
      </c>
      <c r="M3006" s="0" t="s">
        <v>140</v>
      </c>
      <c r="N3006" s="0" t="n">
        <v>542</v>
      </c>
      <c r="O3006" s="10" t="n">
        <v>0.907591627212241</v>
      </c>
      <c r="P3006" s="10" t="n">
        <v>0.434221804374829</v>
      </c>
      <c r="Q3006" s="0" t="str">
        <f aca="false">SUBSTITUTE(SUBSTITUTE($I3006,CHAR(61),""),CHAR(34),"")</f>
        <v>01-09</v>
      </c>
      <c r="R3006" s="0" t="str">
        <f aca="false">IF($D3006&lt;&gt;"","["&amp;$E3006&amp;"]"&amp;"|"&amp;$Q3006&amp;"|"&amp;$K3006&amp;"|"&amp;$G3006&amp;"|"&amp;IF($G3006="TX_CURR_SUBNAT.R","CY2022Q4",$M3006),"")</f>
        <v>[ul0y9diGujK]|01-09|Male|PLHIV_Attend.T_1|CY2023Q3</v>
      </c>
    </row>
    <row r="3007" customFormat="false" ht="15" hidden="false" customHeight="false" outlineLevel="0" collapsed="false">
      <c r="D3007" s="0" t="s">
        <v>108</v>
      </c>
      <c r="E3007" s="0" t="s">
        <v>109</v>
      </c>
      <c r="F3007" s="0" t="s">
        <v>110</v>
      </c>
      <c r="G3007" s="0" t="s">
        <v>150</v>
      </c>
      <c r="H3007" s="0" t="s">
        <v>150</v>
      </c>
      <c r="I3007" s="0" t="s">
        <v>36</v>
      </c>
      <c r="J3007" s="0" t="s">
        <v>37</v>
      </c>
      <c r="K3007" s="0" t="s">
        <v>48</v>
      </c>
      <c r="L3007" s="0" t="s">
        <v>49</v>
      </c>
      <c r="M3007" s="0" t="s">
        <v>140</v>
      </c>
      <c r="N3007" s="0" t="n">
        <v>1488</v>
      </c>
      <c r="O3007" s="10" t="n">
        <v>0.151186836184934</v>
      </c>
      <c r="P3007" s="10" t="n">
        <v>0.434221804374829</v>
      </c>
      <c r="Q3007" s="0" t="str">
        <f aca="false">SUBSTITUTE(SUBSTITUTE($I3007,CHAR(61),""),CHAR(34),"")</f>
        <v>10-14</v>
      </c>
      <c r="R3007" s="0" t="str">
        <f aca="false">IF($D3007&lt;&gt;"","["&amp;$E3007&amp;"]"&amp;"|"&amp;$Q3007&amp;"|"&amp;$K3007&amp;"|"&amp;$G3007&amp;"|"&amp;IF($G3007="TX_CURR_SUBNAT.R","CY2022Q4",$M3007),"")</f>
        <v>[ul0y9diGujK]|10-14|Male|PLHIV_Attend.T_1|CY2023Q3</v>
      </c>
    </row>
    <row r="3008" customFormat="false" ht="15" hidden="false" customHeight="false" outlineLevel="0" collapsed="false">
      <c r="D3008" s="0" t="s">
        <v>108</v>
      </c>
      <c r="E3008" s="0" t="s">
        <v>109</v>
      </c>
      <c r="F3008" s="0" t="s">
        <v>110</v>
      </c>
      <c r="G3008" s="0" t="s">
        <v>150</v>
      </c>
      <c r="H3008" s="0" t="s">
        <v>150</v>
      </c>
      <c r="I3008" s="0" t="s">
        <v>38</v>
      </c>
      <c r="J3008" s="0" t="s">
        <v>39</v>
      </c>
      <c r="K3008" s="0" t="s">
        <v>48</v>
      </c>
      <c r="L3008" s="0" t="s">
        <v>49</v>
      </c>
      <c r="M3008" s="0" t="s">
        <v>140</v>
      </c>
      <c r="N3008" s="0" t="n">
        <v>1518</v>
      </c>
      <c r="O3008" s="10" t="n">
        <v>0.586140646366403</v>
      </c>
      <c r="P3008" s="10" t="n">
        <v>0.434221804374829</v>
      </c>
      <c r="Q3008" s="0" t="str">
        <f aca="false">SUBSTITUTE(SUBSTITUTE($I3008,CHAR(61),""),CHAR(34),"")</f>
        <v>15-24</v>
      </c>
      <c r="R3008" s="0" t="str">
        <f aca="false">IF($D3008&lt;&gt;"","["&amp;$E3008&amp;"]"&amp;"|"&amp;$Q3008&amp;"|"&amp;$K3008&amp;"|"&amp;$G3008&amp;"|"&amp;IF($G3008="TX_CURR_SUBNAT.R","CY2022Q4",$M3008),"")</f>
        <v>[ul0y9diGujK]|15-24|Male|PLHIV_Attend.T_1|CY2023Q3</v>
      </c>
    </row>
    <row r="3009" customFormat="false" ht="15" hidden="false" customHeight="false" outlineLevel="0" collapsed="false">
      <c r="D3009" s="0" t="s">
        <v>108</v>
      </c>
      <c r="E3009" s="0" t="s">
        <v>109</v>
      </c>
      <c r="F3009" s="0" t="s">
        <v>110</v>
      </c>
      <c r="G3009" s="0" t="s">
        <v>150</v>
      </c>
      <c r="H3009" s="0" t="s">
        <v>150</v>
      </c>
      <c r="I3009" s="0" t="s">
        <v>41</v>
      </c>
      <c r="J3009" s="0" t="s">
        <v>42</v>
      </c>
      <c r="K3009" s="0" t="s">
        <v>48</v>
      </c>
      <c r="L3009" s="0" t="s">
        <v>49</v>
      </c>
      <c r="M3009" s="0" t="s">
        <v>140</v>
      </c>
      <c r="N3009" s="0" t="n">
        <v>1412</v>
      </c>
      <c r="O3009" s="10" t="n">
        <v>0.193365624872968</v>
      </c>
      <c r="P3009" s="10" t="n">
        <v>0.434221804374829</v>
      </c>
      <c r="Q3009" s="0" t="str">
        <f aca="false">SUBSTITUTE(SUBSTITUTE($I3009,CHAR(61),""),CHAR(34),"")</f>
        <v>25-34</v>
      </c>
      <c r="R3009" s="0" t="str">
        <f aca="false">IF($D3009&lt;&gt;"","["&amp;$E3009&amp;"]"&amp;"|"&amp;$Q3009&amp;"|"&amp;$K3009&amp;"|"&amp;$G3009&amp;"|"&amp;IF($G3009="TX_CURR_SUBNAT.R","CY2022Q4",$M3009),"")</f>
        <v>[ul0y9diGujK]|25-34|Male|PLHIV_Attend.T_1|CY2023Q3</v>
      </c>
    </row>
    <row r="3010" customFormat="false" ht="15" hidden="false" customHeight="false" outlineLevel="0" collapsed="false">
      <c r="D3010" s="0" t="s">
        <v>108</v>
      </c>
      <c r="E3010" s="0" t="s">
        <v>109</v>
      </c>
      <c r="F3010" s="0" t="s">
        <v>110</v>
      </c>
      <c r="G3010" s="0" t="s">
        <v>150</v>
      </c>
      <c r="H3010" s="0" t="s">
        <v>150</v>
      </c>
      <c r="I3010" s="0" t="s">
        <v>43</v>
      </c>
      <c r="J3010" s="0" t="s">
        <v>44</v>
      </c>
      <c r="K3010" s="0" t="s">
        <v>48</v>
      </c>
      <c r="L3010" s="0" t="s">
        <v>49</v>
      </c>
      <c r="M3010" s="0" t="s">
        <v>140</v>
      </c>
      <c r="N3010" s="0" t="n">
        <v>1724</v>
      </c>
      <c r="O3010" s="10" t="n">
        <v>0.64066021470353</v>
      </c>
      <c r="P3010" s="10" t="n">
        <v>0.434221804374829</v>
      </c>
      <c r="Q3010" s="0" t="str">
        <f aca="false">SUBSTITUTE(SUBSTITUTE($I3010,CHAR(61),""),CHAR(34),"")</f>
        <v>35-49</v>
      </c>
      <c r="R3010" s="0" t="str">
        <f aca="false">IF($D3010&lt;&gt;"","["&amp;$E3010&amp;"]"&amp;"|"&amp;$Q3010&amp;"|"&amp;$K3010&amp;"|"&amp;$G3010&amp;"|"&amp;IF($G3010="TX_CURR_SUBNAT.R","CY2022Q4",$M3010),"")</f>
        <v>[ul0y9diGujK]|35-49|Male|PLHIV_Attend.T_1|CY2023Q3</v>
      </c>
    </row>
    <row r="3011" customFormat="false" ht="15" hidden="false" customHeight="false" outlineLevel="0" collapsed="false">
      <c r="D3011" s="0" t="s">
        <v>108</v>
      </c>
      <c r="E3011" s="0" t="s">
        <v>109</v>
      </c>
      <c r="F3011" s="0" t="s">
        <v>110</v>
      </c>
      <c r="G3011" s="0" t="s">
        <v>150</v>
      </c>
      <c r="H3011" s="0" t="s">
        <v>150</v>
      </c>
      <c r="I3011" s="0" t="s">
        <v>45</v>
      </c>
      <c r="J3011" s="0" t="s">
        <v>46</v>
      </c>
      <c r="K3011" s="0" t="s">
        <v>48</v>
      </c>
      <c r="L3011" s="0" t="s">
        <v>49</v>
      </c>
      <c r="M3011" s="0" t="s">
        <v>140</v>
      </c>
      <c r="N3011" s="0" t="n">
        <v>655</v>
      </c>
      <c r="O3011" s="10" t="n">
        <v>0.039105509640649</v>
      </c>
      <c r="P3011" s="10" t="n">
        <v>0.434221804374829</v>
      </c>
      <c r="Q3011" s="0" t="str">
        <f aca="false">SUBSTITUTE(SUBSTITUTE($I3011,CHAR(61),""),CHAR(34),"")</f>
        <v>50+</v>
      </c>
      <c r="R3011" s="0" t="str">
        <f aca="false">IF($D3011&lt;&gt;"","["&amp;$E3011&amp;"]"&amp;"|"&amp;$Q3011&amp;"|"&amp;$K3011&amp;"|"&amp;$G3011&amp;"|"&amp;IF($G3011="TX_CURR_SUBNAT.R","CY2022Q4",$M3011),"")</f>
        <v>[ul0y9diGujK]|50+|Male|PLHIV_Attend.T_1|CY2023Q3</v>
      </c>
    </row>
    <row r="3012" customFormat="false" ht="15" hidden="false" customHeight="false" outlineLevel="0" collapsed="false">
      <c r="D3012" s="0" t="s">
        <v>111</v>
      </c>
      <c r="E3012" s="0" t="s">
        <v>112</v>
      </c>
      <c r="F3012" s="0" t="s">
        <v>113</v>
      </c>
      <c r="G3012" s="0" t="s">
        <v>150</v>
      </c>
      <c r="H3012" s="0" t="s">
        <v>150</v>
      </c>
      <c r="I3012" s="0" t="s">
        <v>28</v>
      </c>
      <c r="J3012" s="0" t="s">
        <v>29</v>
      </c>
      <c r="K3012" s="0" t="s">
        <v>30</v>
      </c>
      <c r="L3012" s="0" t="s">
        <v>31</v>
      </c>
      <c r="M3012" s="0" t="s">
        <v>140</v>
      </c>
      <c r="N3012" s="0" t="n">
        <v>1527</v>
      </c>
      <c r="O3012" s="10" t="n">
        <v>0.793048579944298</v>
      </c>
      <c r="P3012" s="10" t="n">
        <v>0.337768794968724</v>
      </c>
      <c r="Q3012" s="0" t="str">
        <f aca="false">SUBSTITUTE(SUBSTITUTE($I3012,CHAR(61),""),CHAR(34),"")</f>
        <v>&lt;01</v>
      </c>
      <c r="R3012" s="0" t="str">
        <f aca="false">IF($D3012&lt;&gt;"","["&amp;$E3012&amp;"]"&amp;"|"&amp;$Q3012&amp;"|"&amp;$K3012&amp;"|"&amp;$G3012&amp;"|"&amp;IF($G3012="TX_CURR_SUBNAT.R","CY2022Q4",$M3012),"")</f>
        <v>[U8c0so51kT6]|&lt;01|Female|PLHIV_Attend.T_1|CY2023Q3</v>
      </c>
    </row>
    <row r="3013" customFormat="false" ht="15" hidden="false" customHeight="false" outlineLevel="0" collapsed="false">
      <c r="D3013" s="0" t="s">
        <v>111</v>
      </c>
      <c r="E3013" s="0" t="s">
        <v>112</v>
      </c>
      <c r="F3013" s="0" t="s">
        <v>113</v>
      </c>
      <c r="G3013" s="0" t="s">
        <v>150</v>
      </c>
      <c r="H3013" s="0" t="s">
        <v>150</v>
      </c>
      <c r="I3013" s="0" t="s">
        <v>33</v>
      </c>
      <c r="J3013" s="0" t="s">
        <v>34</v>
      </c>
      <c r="K3013" s="0" t="s">
        <v>30</v>
      </c>
      <c r="L3013" s="0" t="s">
        <v>31</v>
      </c>
      <c r="M3013" s="0" t="s">
        <v>140</v>
      </c>
      <c r="N3013" s="0" t="n">
        <v>1205</v>
      </c>
      <c r="O3013" s="10" t="n">
        <v>0.92863599373959</v>
      </c>
      <c r="P3013" s="10" t="n">
        <v>0.337768794968724</v>
      </c>
      <c r="Q3013" s="0" t="str">
        <f aca="false">SUBSTITUTE(SUBSTITUTE($I3013,CHAR(61),""),CHAR(34),"")</f>
        <v>01-09</v>
      </c>
      <c r="R3013" s="0" t="str">
        <f aca="false">IF($D3013&lt;&gt;"","["&amp;$E3013&amp;"]"&amp;"|"&amp;$Q3013&amp;"|"&amp;$K3013&amp;"|"&amp;$G3013&amp;"|"&amp;IF($G3013="TX_CURR_SUBNAT.R","CY2022Q4",$M3013),"")</f>
        <v>[U8c0so51kT6]|01-09|Female|PLHIV_Attend.T_1|CY2023Q3</v>
      </c>
    </row>
    <row r="3014" customFormat="false" ht="15" hidden="false" customHeight="false" outlineLevel="0" collapsed="false">
      <c r="D3014" s="0" t="s">
        <v>111</v>
      </c>
      <c r="E3014" s="0" t="s">
        <v>112</v>
      </c>
      <c r="F3014" s="0" t="s">
        <v>113</v>
      </c>
      <c r="G3014" s="0" t="s">
        <v>150</v>
      </c>
      <c r="H3014" s="0" t="s">
        <v>150</v>
      </c>
      <c r="I3014" s="0" t="s">
        <v>36</v>
      </c>
      <c r="J3014" s="0" t="s">
        <v>37</v>
      </c>
      <c r="K3014" s="0" t="s">
        <v>30</v>
      </c>
      <c r="L3014" s="0" t="s">
        <v>31</v>
      </c>
      <c r="M3014" s="0" t="s">
        <v>140</v>
      </c>
      <c r="N3014" s="0" t="n">
        <v>1504</v>
      </c>
      <c r="O3014" s="10" t="n">
        <v>0.942933508194983</v>
      </c>
      <c r="P3014" s="10" t="n">
        <v>0.337768794968724</v>
      </c>
      <c r="Q3014" s="0" t="str">
        <f aca="false">SUBSTITUTE(SUBSTITUTE($I3014,CHAR(61),""),CHAR(34),"")</f>
        <v>10-14</v>
      </c>
      <c r="R3014" s="0" t="str">
        <f aca="false">IF($D3014&lt;&gt;"","["&amp;$E3014&amp;"]"&amp;"|"&amp;$Q3014&amp;"|"&amp;$K3014&amp;"|"&amp;$G3014&amp;"|"&amp;IF($G3014="TX_CURR_SUBNAT.R","CY2022Q4",$M3014),"")</f>
        <v>[U8c0so51kT6]|10-14|Female|PLHIV_Attend.T_1|CY2023Q3</v>
      </c>
    </row>
    <row r="3015" customFormat="false" ht="15" hidden="false" customHeight="false" outlineLevel="0" collapsed="false">
      <c r="D3015" s="0" t="s">
        <v>111</v>
      </c>
      <c r="E3015" s="0" t="s">
        <v>112</v>
      </c>
      <c r="F3015" s="0" t="s">
        <v>113</v>
      </c>
      <c r="G3015" s="0" t="s">
        <v>150</v>
      </c>
      <c r="H3015" s="0" t="s">
        <v>150</v>
      </c>
      <c r="I3015" s="0" t="s">
        <v>38</v>
      </c>
      <c r="J3015" s="0" t="s">
        <v>39</v>
      </c>
      <c r="K3015" s="0" t="s">
        <v>30</v>
      </c>
      <c r="L3015" s="0" t="s">
        <v>31</v>
      </c>
      <c r="M3015" s="0" t="s">
        <v>140</v>
      </c>
      <c r="N3015" s="0" t="n">
        <v>1052</v>
      </c>
      <c r="O3015" s="10" t="n">
        <v>0.0686979482416064</v>
      </c>
      <c r="P3015" s="10" t="n">
        <v>0.337768794968724</v>
      </c>
      <c r="Q3015" s="0" t="str">
        <f aca="false">SUBSTITUTE(SUBSTITUTE($I3015,CHAR(61),""),CHAR(34),"")</f>
        <v>15-24</v>
      </c>
      <c r="R3015" s="0" t="str">
        <f aca="false">IF($D3015&lt;&gt;"","["&amp;$E3015&amp;"]"&amp;"|"&amp;$Q3015&amp;"|"&amp;$K3015&amp;"|"&amp;$G3015&amp;"|"&amp;IF($G3015="TX_CURR_SUBNAT.R","CY2022Q4",$M3015),"")</f>
        <v>[U8c0so51kT6]|15-24|Female|PLHIV_Attend.T_1|CY2023Q3</v>
      </c>
    </row>
    <row r="3016" customFormat="false" ht="15" hidden="false" customHeight="false" outlineLevel="0" collapsed="false">
      <c r="D3016" s="0" t="s">
        <v>111</v>
      </c>
      <c r="E3016" s="0" t="s">
        <v>112</v>
      </c>
      <c r="F3016" s="0" t="s">
        <v>113</v>
      </c>
      <c r="G3016" s="0" t="s">
        <v>150</v>
      </c>
      <c r="H3016" s="0" t="s">
        <v>150</v>
      </c>
      <c r="I3016" s="0" t="s">
        <v>41</v>
      </c>
      <c r="J3016" s="0" t="s">
        <v>42</v>
      </c>
      <c r="K3016" s="0" t="s">
        <v>30</v>
      </c>
      <c r="L3016" s="0" t="s">
        <v>31</v>
      </c>
      <c r="M3016" s="0" t="s">
        <v>140</v>
      </c>
      <c r="N3016" s="0" t="n">
        <v>1865</v>
      </c>
      <c r="O3016" s="10" t="n">
        <v>0.57702982542105</v>
      </c>
      <c r="P3016" s="10" t="n">
        <v>0.337768794968724</v>
      </c>
      <c r="Q3016" s="0" t="str">
        <f aca="false">SUBSTITUTE(SUBSTITUTE($I3016,CHAR(61),""),CHAR(34),"")</f>
        <v>25-34</v>
      </c>
      <c r="R3016" s="0" t="str">
        <f aca="false">IF($D3016&lt;&gt;"","["&amp;$E3016&amp;"]"&amp;"|"&amp;$Q3016&amp;"|"&amp;$K3016&amp;"|"&amp;$G3016&amp;"|"&amp;IF($G3016="TX_CURR_SUBNAT.R","CY2022Q4",$M3016),"")</f>
        <v>[U8c0so51kT6]|25-34|Female|PLHIV_Attend.T_1|CY2023Q3</v>
      </c>
    </row>
    <row r="3017" customFormat="false" ht="15" hidden="false" customHeight="false" outlineLevel="0" collapsed="false">
      <c r="D3017" s="0" t="s">
        <v>111</v>
      </c>
      <c r="E3017" s="0" t="s">
        <v>112</v>
      </c>
      <c r="F3017" s="0" t="s">
        <v>113</v>
      </c>
      <c r="G3017" s="0" t="s">
        <v>150</v>
      </c>
      <c r="H3017" s="0" t="s">
        <v>150</v>
      </c>
      <c r="I3017" s="0" t="s">
        <v>43</v>
      </c>
      <c r="J3017" s="0" t="s">
        <v>44</v>
      </c>
      <c r="K3017" s="0" t="s">
        <v>30</v>
      </c>
      <c r="L3017" s="0" t="s">
        <v>31</v>
      </c>
      <c r="M3017" s="0" t="s">
        <v>140</v>
      </c>
      <c r="N3017" s="0" t="n">
        <v>1257</v>
      </c>
      <c r="O3017" s="10" t="n">
        <v>0.47877780883573</v>
      </c>
      <c r="P3017" s="10" t="n">
        <v>0.337768794968724</v>
      </c>
      <c r="Q3017" s="0" t="str">
        <f aca="false">SUBSTITUTE(SUBSTITUTE($I3017,CHAR(61),""),CHAR(34),"")</f>
        <v>35-49</v>
      </c>
      <c r="R3017" s="0" t="str">
        <f aca="false">IF($D3017&lt;&gt;"","["&amp;$E3017&amp;"]"&amp;"|"&amp;$Q3017&amp;"|"&amp;$K3017&amp;"|"&amp;$G3017&amp;"|"&amp;IF($G3017="TX_CURR_SUBNAT.R","CY2022Q4",$M3017),"")</f>
        <v>[U8c0so51kT6]|35-49|Female|PLHIV_Attend.T_1|CY2023Q3</v>
      </c>
    </row>
    <row r="3018" customFormat="false" ht="15" hidden="false" customHeight="false" outlineLevel="0" collapsed="false">
      <c r="D3018" s="0" t="s">
        <v>111</v>
      </c>
      <c r="E3018" s="0" t="s">
        <v>112</v>
      </c>
      <c r="F3018" s="0" t="s">
        <v>113</v>
      </c>
      <c r="G3018" s="0" t="s">
        <v>150</v>
      </c>
      <c r="H3018" s="0" t="s">
        <v>150</v>
      </c>
      <c r="I3018" s="0" t="s">
        <v>45</v>
      </c>
      <c r="J3018" s="0" t="s">
        <v>46</v>
      </c>
      <c r="K3018" s="0" t="s">
        <v>30</v>
      </c>
      <c r="L3018" s="0" t="s">
        <v>31</v>
      </c>
      <c r="M3018" s="0" t="s">
        <v>140</v>
      </c>
      <c r="N3018" s="0" t="n">
        <v>1445</v>
      </c>
      <c r="O3018" s="10" t="n">
        <v>0.205464248545468</v>
      </c>
      <c r="P3018" s="10" t="n">
        <v>0.337768794968724</v>
      </c>
      <c r="Q3018" s="0" t="str">
        <f aca="false">SUBSTITUTE(SUBSTITUTE($I3018,CHAR(61),""),CHAR(34),"")</f>
        <v>50+</v>
      </c>
      <c r="R3018" s="0" t="str">
        <f aca="false">IF($D3018&lt;&gt;"","["&amp;$E3018&amp;"]"&amp;"|"&amp;$Q3018&amp;"|"&amp;$K3018&amp;"|"&amp;$G3018&amp;"|"&amp;IF($G3018="TX_CURR_SUBNAT.R","CY2022Q4",$M3018),"")</f>
        <v>[U8c0so51kT6]|50+|Female|PLHIV_Attend.T_1|CY2023Q3</v>
      </c>
    </row>
    <row r="3019" customFormat="false" ht="15" hidden="false" customHeight="false" outlineLevel="0" collapsed="false">
      <c r="D3019" s="0" t="s">
        <v>111</v>
      </c>
      <c r="E3019" s="0" t="s">
        <v>112</v>
      </c>
      <c r="F3019" s="0" t="s">
        <v>113</v>
      </c>
      <c r="G3019" s="0" t="s">
        <v>150</v>
      </c>
      <c r="H3019" s="0" t="s">
        <v>150</v>
      </c>
      <c r="I3019" s="0" t="s">
        <v>28</v>
      </c>
      <c r="J3019" s="0" t="s">
        <v>29</v>
      </c>
      <c r="K3019" s="0" t="s">
        <v>48</v>
      </c>
      <c r="L3019" s="0" t="s">
        <v>49</v>
      </c>
      <c r="M3019" s="0" t="s">
        <v>140</v>
      </c>
      <c r="N3019" s="0" t="n">
        <v>1142</v>
      </c>
      <c r="O3019" s="10" t="n">
        <v>0.78379999124445</v>
      </c>
      <c r="P3019" s="10" t="n">
        <v>0.337768794968724</v>
      </c>
      <c r="Q3019" s="0" t="str">
        <f aca="false">SUBSTITUTE(SUBSTITUTE($I3019,CHAR(61),""),CHAR(34),"")</f>
        <v>&lt;01</v>
      </c>
      <c r="R3019" s="0" t="str">
        <f aca="false">IF($D3019&lt;&gt;"","["&amp;$E3019&amp;"]"&amp;"|"&amp;$Q3019&amp;"|"&amp;$K3019&amp;"|"&amp;$G3019&amp;"|"&amp;IF($G3019="TX_CURR_SUBNAT.R","CY2022Q4",$M3019),"")</f>
        <v>[U8c0so51kT6]|&lt;01|Male|PLHIV_Attend.T_1|CY2023Q3</v>
      </c>
    </row>
    <row r="3020" customFormat="false" ht="15" hidden="false" customHeight="false" outlineLevel="0" collapsed="false">
      <c r="D3020" s="0" t="s">
        <v>111</v>
      </c>
      <c r="E3020" s="0" t="s">
        <v>112</v>
      </c>
      <c r="F3020" s="0" t="s">
        <v>113</v>
      </c>
      <c r="G3020" s="0" t="s">
        <v>150</v>
      </c>
      <c r="H3020" s="0" t="s">
        <v>150</v>
      </c>
      <c r="I3020" s="0" t="s">
        <v>33</v>
      </c>
      <c r="J3020" s="0" t="s">
        <v>34</v>
      </c>
      <c r="K3020" s="0" t="s">
        <v>48</v>
      </c>
      <c r="L3020" s="0" t="s">
        <v>49</v>
      </c>
      <c r="M3020" s="0" t="s">
        <v>140</v>
      </c>
      <c r="N3020" s="0" t="n">
        <v>715</v>
      </c>
      <c r="O3020" s="10" t="n">
        <v>0.20507345488295</v>
      </c>
      <c r="P3020" s="10" t="n">
        <v>0.337768794968724</v>
      </c>
      <c r="Q3020" s="0" t="str">
        <f aca="false">SUBSTITUTE(SUBSTITUTE($I3020,CHAR(61),""),CHAR(34),"")</f>
        <v>01-09</v>
      </c>
      <c r="R3020" s="0" t="str">
        <f aca="false">IF($D3020&lt;&gt;"","["&amp;$E3020&amp;"]"&amp;"|"&amp;$Q3020&amp;"|"&amp;$K3020&amp;"|"&amp;$G3020&amp;"|"&amp;IF($G3020="TX_CURR_SUBNAT.R","CY2022Q4",$M3020),"")</f>
        <v>[U8c0so51kT6]|01-09|Male|PLHIV_Attend.T_1|CY2023Q3</v>
      </c>
    </row>
    <row r="3021" customFormat="false" ht="15" hidden="false" customHeight="false" outlineLevel="0" collapsed="false">
      <c r="D3021" s="0" t="s">
        <v>111</v>
      </c>
      <c r="E3021" s="0" t="s">
        <v>112</v>
      </c>
      <c r="F3021" s="0" t="s">
        <v>113</v>
      </c>
      <c r="G3021" s="0" t="s">
        <v>150</v>
      </c>
      <c r="H3021" s="0" t="s">
        <v>150</v>
      </c>
      <c r="I3021" s="0" t="s">
        <v>36</v>
      </c>
      <c r="J3021" s="0" t="s">
        <v>37</v>
      </c>
      <c r="K3021" s="0" t="s">
        <v>48</v>
      </c>
      <c r="L3021" s="0" t="s">
        <v>49</v>
      </c>
      <c r="M3021" s="0" t="s">
        <v>140</v>
      </c>
      <c r="N3021" s="0" t="n">
        <v>1120</v>
      </c>
      <c r="O3021" s="10" t="n">
        <v>0.0793530135415494</v>
      </c>
      <c r="P3021" s="10" t="n">
        <v>0.337768794968724</v>
      </c>
      <c r="Q3021" s="0" t="str">
        <f aca="false">SUBSTITUTE(SUBSTITUTE($I3021,CHAR(61),""),CHAR(34),"")</f>
        <v>10-14</v>
      </c>
      <c r="R3021" s="0" t="str">
        <f aca="false">IF($D3021&lt;&gt;"","["&amp;$E3021&amp;"]"&amp;"|"&amp;$Q3021&amp;"|"&amp;$K3021&amp;"|"&amp;$G3021&amp;"|"&amp;IF($G3021="TX_CURR_SUBNAT.R","CY2022Q4",$M3021),"")</f>
        <v>[U8c0so51kT6]|10-14|Male|PLHIV_Attend.T_1|CY2023Q3</v>
      </c>
    </row>
    <row r="3022" customFormat="false" ht="15" hidden="false" customHeight="false" outlineLevel="0" collapsed="false">
      <c r="D3022" s="0" t="s">
        <v>111</v>
      </c>
      <c r="E3022" s="0" t="s">
        <v>112</v>
      </c>
      <c r="F3022" s="0" t="s">
        <v>113</v>
      </c>
      <c r="G3022" s="0" t="s">
        <v>150</v>
      </c>
      <c r="H3022" s="0" t="s">
        <v>150</v>
      </c>
      <c r="I3022" s="0" t="s">
        <v>38</v>
      </c>
      <c r="J3022" s="0" t="s">
        <v>39</v>
      </c>
      <c r="K3022" s="0" t="s">
        <v>48</v>
      </c>
      <c r="L3022" s="0" t="s">
        <v>49</v>
      </c>
      <c r="M3022" s="0" t="s">
        <v>140</v>
      </c>
      <c r="N3022" s="0" t="n">
        <v>1030</v>
      </c>
      <c r="O3022" s="10" t="n">
        <v>0.767697562230751</v>
      </c>
      <c r="P3022" s="10" t="n">
        <v>0.337768794968724</v>
      </c>
      <c r="Q3022" s="0" t="str">
        <f aca="false">SUBSTITUTE(SUBSTITUTE($I3022,CHAR(61),""),CHAR(34),"")</f>
        <v>15-24</v>
      </c>
      <c r="R3022" s="0" t="str">
        <f aca="false">IF($D3022&lt;&gt;"","["&amp;$E3022&amp;"]"&amp;"|"&amp;$Q3022&amp;"|"&amp;$K3022&amp;"|"&amp;$G3022&amp;"|"&amp;IF($G3022="TX_CURR_SUBNAT.R","CY2022Q4",$M3022),"")</f>
        <v>[U8c0so51kT6]|15-24|Male|PLHIV_Attend.T_1|CY2023Q3</v>
      </c>
    </row>
    <row r="3023" customFormat="false" ht="15" hidden="false" customHeight="false" outlineLevel="0" collapsed="false">
      <c r="D3023" s="0" t="s">
        <v>111</v>
      </c>
      <c r="E3023" s="0" t="s">
        <v>112</v>
      </c>
      <c r="F3023" s="0" t="s">
        <v>113</v>
      </c>
      <c r="G3023" s="0" t="s">
        <v>150</v>
      </c>
      <c r="H3023" s="0" t="s">
        <v>150</v>
      </c>
      <c r="I3023" s="0" t="s">
        <v>41</v>
      </c>
      <c r="J3023" s="0" t="s">
        <v>42</v>
      </c>
      <c r="K3023" s="0" t="s">
        <v>48</v>
      </c>
      <c r="L3023" s="0" t="s">
        <v>49</v>
      </c>
      <c r="M3023" s="0" t="s">
        <v>140</v>
      </c>
      <c r="N3023" s="0" t="n">
        <v>1538</v>
      </c>
      <c r="O3023" s="10" t="n">
        <v>0.886770087294281</v>
      </c>
      <c r="P3023" s="10" t="n">
        <v>0.337768794968724</v>
      </c>
      <c r="Q3023" s="0" t="str">
        <f aca="false">SUBSTITUTE(SUBSTITUTE($I3023,CHAR(61),""),CHAR(34),"")</f>
        <v>25-34</v>
      </c>
      <c r="R3023" s="0" t="str">
        <f aca="false">IF($D3023&lt;&gt;"","["&amp;$E3023&amp;"]"&amp;"|"&amp;$Q3023&amp;"|"&amp;$K3023&amp;"|"&amp;$G3023&amp;"|"&amp;IF($G3023="TX_CURR_SUBNAT.R","CY2022Q4",$M3023),"")</f>
        <v>[U8c0so51kT6]|25-34|Male|PLHIV_Attend.T_1|CY2023Q3</v>
      </c>
    </row>
    <row r="3024" customFormat="false" ht="15" hidden="false" customHeight="false" outlineLevel="0" collapsed="false">
      <c r="D3024" s="0" t="s">
        <v>111</v>
      </c>
      <c r="E3024" s="0" t="s">
        <v>112</v>
      </c>
      <c r="F3024" s="0" t="s">
        <v>113</v>
      </c>
      <c r="G3024" s="0" t="s">
        <v>150</v>
      </c>
      <c r="H3024" s="0" t="s">
        <v>150</v>
      </c>
      <c r="I3024" s="0" t="s">
        <v>43</v>
      </c>
      <c r="J3024" s="0" t="s">
        <v>44</v>
      </c>
      <c r="K3024" s="0" t="s">
        <v>48</v>
      </c>
      <c r="L3024" s="0" t="s">
        <v>49</v>
      </c>
      <c r="M3024" s="0" t="s">
        <v>140</v>
      </c>
      <c r="N3024" s="0" t="n">
        <v>1401</v>
      </c>
      <c r="O3024" s="10" t="n">
        <v>0.98802186967805</v>
      </c>
      <c r="P3024" s="10" t="n">
        <v>0.337768794968724</v>
      </c>
      <c r="Q3024" s="0" t="str">
        <f aca="false">SUBSTITUTE(SUBSTITUTE($I3024,CHAR(61),""),CHAR(34),"")</f>
        <v>35-49</v>
      </c>
      <c r="R3024" s="0" t="str">
        <f aca="false">IF($D3024&lt;&gt;"","["&amp;$E3024&amp;"]"&amp;"|"&amp;$Q3024&amp;"|"&amp;$K3024&amp;"|"&amp;$G3024&amp;"|"&amp;IF($G3024="TX_CURR_SUBNAT.R","CY2022Q4",$M3024),"")</f>
        <v>[U8c0so51kT6]|35-49|Male|PLHIV_Attend.T_1|CY2023Q3</v>
      </c>
    </row>
    <row r="3025" customFormat="false" ht="15" hidden="false" customHeight="false" outlineLevel="0" collapsed="false">
      <c r="D3025" s="0" t="s">
        <v>111</v>
      </c>
      <c r="E3025" s="0" t="s">
        <v>112</v>
      </c>
      <c r="F3025" s="0" t="s">
        <v>113</v>
      </c>
      <c r="G3025" s="0" t="s">
        <v>150</v>
      </c>
      <c r="H3025" s="0" t="s">
        <v>150</v>
      </c>
      <c r="I3025" s="0" t="s">
        <v>45</v>
      </c>
      <c r="J3025" s="0" t="s">
        <v>46</v>
      </c>
      <c r="K3025" s="0" t="s">
        <v>48</v>
      </c>
      <c r="L3025" s="0" t="s">
        <v>49</v>
      </c>
      <c r="M3025" s="0" t="s">
        <v>140</v>
      </c>
      <c r="N3025" s="0" t="n">
        <v>1287</v>
      </c>
      <c r="O3025" s="10" t="n">
        <v>0.115856263088062</v>
      </c>
      <c r="P3025" s="10" t="n">
        <v>0.337768794968724</v>
      </c>
      <c r="Q3025" s="0" t="str">
        <f aca="false">SUBSTITUTE(SUBSTITUTE($I3025,CHAR(61),""),CHAR(34),"")</f>
        <v>50+</v>
      </c>
      <c r="R3025" s="0" t="str">
        <f aca="false">IF($D3025&lt;&gt;"","["&amp;$E3025&amp;"]"&amp;"|"&amp;$Q3025&amp;"|"&amp;$K3025&amp;"|"&amp;$G3025&amp;"|"&amp;IF($G3025="TX_CURR_SUBNAT.R","CY2022Q4",$M3025),"")</f>
        <v>[U8c0so51kT6]|50+|Male|PLHIV_Attend.T_1|CY2023Q3</v>
      </c>
    </row>
    <row r="3026" customFormat="false" ht="15" hidden="false" customHeight="false" outlineLevel="0" collapsed="false">
      <c r="D3026" s="0" t="s">
        <v>114</v>
      </c>
      <c r="E3026" s="0" t="s">
        <v>115</v>
      </c>
      <c r="F3026" s="0" t="s">
        <v>116</v>
      </c>
      <c r="G3026" s="0" t="s">
        <v>150</v>
      </c>
      <c r="H3026" s="0" t="s">
        <v>150</v>
      </c>
      <c r="I3026" s="0" t="s">
        <v>28</v>
      </c>
      <c r="J3026" s="0" t="s">
        <v>29</v>
      </c>
      <c r="K3026" s="0" t="s">
        <v>30</v>
      </c>
      <c r="L3026" s="0" t="s">
        <v>31</v>
      </c>
      <c r="M3026" s="0" t="s">
        <v>140</v>
      </c>
      <c r="N3026" s="0" t="n">
        <v>733</v>
      </c>
      <c r="O3026" s="10" t="n">
        <v>0.0704217413440347</v>
      </c>
      <c r="P3026" s="10" t="n">
        <v>0.298559809103608</v>
      </c>
      <c r="Q3026" s="0" t="str">
        <f aca="false">SUBSTITUTE(SUBSTITUTE($I3026,CHAR(61),""),CHAR(34),"")</f>
        <v>&lt;01</v>
      </c>
      <c r="R3026" s="0" t="str">
        <f aca="false">IF($D3026&lt;&gt;"","["&amp;$E3026&amp;"]"&amp;"|"&amp;$Q3026&amp;"|"&amp;$K3026&amp;"|"&amp;$G3026&amp;"|"&amp;IF($G3026="TX_CURR_SUBNAT.R","CY2022Q4",$M3026),"")</f>
        <v>[rpw540fmNUz]|&lt;01|Female|PLHIV_Attend.T_1|CY2023Q3</v>
      </c>
    </row>
    <row r="3027" customFormat="false" ht="15" hidden="false" customHeight="false" outlineLevel="0" collapsed="false">
      <c r="D3027" s="0" t="s">
        <v>114</v>
      </c>
      <c r="E3027" s="0" t="s">
        <v>115</v>
      </c>
      <c r="F3027" s="0" t="s">
        <v>116</v>
      </c>
      <c r="G3027" s="0" t="s">
        <v>150</v>
      </c>
      <c r="H3027" s="0" t="s">
        <v>150</v>
      </c>
      <c r="I3027" s="0" t="s">
        <v>33</v>
      </c>
      <c r="J3027" s="0" t="s">
        <v>34</v>
      </c>
      <c r="K3027" s="0" t="s">
        <v>30</v>
      </c>
      <c r="L3027" s="0" t="s">
        <v>31</v>
      </c>
      <c r="M3027" s="0" t="s">
        <v>140</v>
      </c>
      <c r="N3027" s="0" t="n">
        <v>1489</v>
      </c>
      <c r="O3027" s="10" t="n">
        <v>0.564757122425362</v>
      </c>
      <c r="P3027" s="10" t="n">
        <v>0.298559809103608</v>
      </c>
      <c r="Q3027" s="0" t="str">
        <f aca="false">SUBSTITUTE(SUBSTITUTE($I3027,CHAR(61),""),CHAR(34),"")</f>
        <v>01-09</v>
      </c>
      <c r="R3027" s="0" t="str">
        <f aca="false">IF($D3027&lt;&gt;"","["&amp;$E3027&amp;"]"&amp;"|"&amp;$Q3027&amp;"|"&amp;$K3027&amp;"|"&amp;$G3027&amp;"|"&amp;IF($G3027="TX_CURR_SUBNAT.R","CY2022Q4",$M3027),"")</f>
        <v>[rpw540fmNUz]|01-09|Female|PLHIV_Attend.T_1|CY2023Q3</v>
      </c>
    </row>
    <row r="3028" customFormat="false" ht="15" hidden="false" customHeight="false" outlineLevel="0" collapsed="false">
      <c r="D3028" s="0" t="s">
        <v>114</v>
      </c>
      <c r="E3028" s="0" t="s">
        <v>115</v>
      </c>
      <c r="F3028" s="0" t="s">
        <v>116</v>
      </c>
      <c r="G3028" s="0" t="s">
        <v>150</v>
      </c>
      <c r="H3028" s="0" t="s">
        <v>150</v>
      </c>
      <c r="I3028" s="0" t="s">
        <v>36</v>
      </c>
      <c r="J3028" s="0" t="s">
        <v>37</v>
      </c>
      <c r="K3028" s="0" t="s">
        <v>30</v>
      </c>
      <c r="L3028" s="0" t="s">
        <v>31</v>
      </c>
      <c r="M3028" s="0" t="s">
        <v>140</v>
      </c>
      <c r="N3028" s="0" t="n">
        <v>1488</v>
      </c>
      <c r="O3028" s="10" t="n">
        <v>0.361881827004254</v>
      </c>
      <c r="P3028" s="10" t="n">
        <v>0.298559809103608</v>
      </c>
      <c r="Q3028" s="0" t="str">
        <f aca="false">SUBSTITUTE(SUBSTITUTE($I3028,CHAR(61),""),CHAR(34),"")</f>
        <v>10-14</v>
      </c>
      <c r="R3028" s="0" t="str">
        <f aca="false">IF($D3028&lt;&gt;"","["&amp;$E3028&amp;"]"&amp;"|"&amp;$Q3028&amp;"|"&amp;$K3028&amp;"|"&amp;$G3028&amp;"|"&amp;IF($G3028="TX_CURR_SUBNAT.R","CY2022Q4",$M3028),"")</f>
        <v>[rpw540fmNUz]|10-14|Female|PLHIV_Attend.T_1|CY2023Q3</v>
      </c>
    </row>
    <row r="3029" customFormat="false" ht="15" hidden="false" customHeight="false" outlineLevel="0" collapsed="false">
      <c r="D3029" s="0" t="s">
        <v>114</v>
      </c>
      <c r="E3029" s="0" t="s">
        <v>115</v>
      </c>
      <c r="F3029" s="0" t="s">
        <v>116</v>
      </c>
      <c r="G3029" s="0" t="s">
        <v>150</v>
      </c>
      <c r="H3029" s="0" t="s">
        <v>150</v>
      </c>
      <c r="I3029" s="0" t="s">
        <v>38</v>
      </c>
      <c r="J3029" s="0" t="s">
        <v>39</v>
      </c>
      <c r="K3029" s="0" t="s">
        <v>30</v>
      </c>
      <c r="L3029" s="0" t="s">
        <v>31</v>
      </c>
      <c r="M3029" s="0" t="s">
        <v>140</v>
      </c>
      <c r="N3029" s="0" t="n">
        <v>1200</v>
      </c>
      <c r="O3029" s="10" t="n">
        <v>0.00342122348956764</v>
      </c>
      <c r="P3029" s="10" t="n">
        <v>0.298559809103608</v>
      </c>
      <c r="Q3029" s="0" t="str">
        <f aca="false">SUBSTITUTE(SUBSTITUTE($I3029,CHAR(61),""),CHAR(34),"")</f>
        <v>15-24</v>
      </c>
      <c r="R3029" s="0" t="str">
        <f aca="false">IF($D3029&lt;&gt;"","["&amp;$E3029&amp;"]"&amp;"|"&amp;$Q3029&amp;"|"&amp;$K3029&amp;"|"&amp;$G3029&amp;"|"&amp;IF($G3029="TX_CURR_SUBNAT.R","CY2022Q4",$M3029),"")</f>
        <v>[rpw540fmNUz]|15-24|Female|PLHIV_Attend.T_1|CY2023Q3</v>
      </c>
    </row>
    <row r="3030" customFormat="false" ht="15" hidden="false" customHeight="false" outlineLevel="0" collapsed="false">
      <c r="D3030" s="0" t="s">
        <v>114</v>
      </c>
      <c r="E3030" s="0" t="s">
        <v>115</v>
      </c>
      <c r="F3030" s="0" t="s">
        <v>116</v>
      </c>
      <c r="G3030" s="0" t="s">
        <v>150</v>
      </c>
      <c r="H3030" s="0" t="s">
        <v>150</v>
      </c>
      <c r="I3030" s="0" t="s">
        <v>41</v>
      </c>
      <c r="J3030" s="0" t="s">
        <v>42</v>
      </c>
      <c r="K3030" s="0" t="s">
        <v>30</v>
      </c>
      <c r="L3030" s="0" t="s">
        <v>31</v>
      </c>
      <c r="M3030" s="0" t="s">
        <v>140</v>
      </c>
      <c r="N3030" s="0" t="n">
        <v>1271</v>
      </c>
      <c r="O3030" s="10" t="n">
        <v>0.806575770489872</v>
      </c>
      <c r="P3030" s="10" t="n">
        <v>0.298559809103608</v>
      </c>
      <c r="Q3030" s="0" t="str">
        <f aca="false">SUBSTITUTE(SUBSTITUTE($I3030,CHAR(61),""),CHAR(34),"")</f>
        <v>25-34</v>
      </c>
      <c r="R3030" s="0" t="str">
        <f aca="false">IF($D3030&lt;&gt;"","["&amp;$E3030&amp;"]"&amp;"|"&amp;$Q3030&amp;"|"&amp;$K3030&amp;"|"&amp;$G3030&amp;"|"&amp;IF($G3030="TX_CURR_SUBNAT.R","CY2022Q4",$M3030),"")</f>
        <v>[rpw540fmNUz]|25-34|Female|PLHIV_Attend.T_1|CY2023Q3</v>
      </c>
    </row>
    <row r="3031" customFormat="false" ht="15" hidden="false" customHeight="false" outlineLevel="0" collapsed="false">
      <c r="D3031" s="0" t="s">
        <v>114</v>
      </c>
      <c r="E3031" s="0" t="s">
        <v>115</v>
      </c>
      <c r="F3031" s="0" t="s">
        <v>116</v>
      </c>
      <c r="G3031" s="0" t="s">
        <v>150</v>
      </c>
      <c r="H3031" s="0" t="s">
        <v>150</v>
      </c>
      <c r="I3031" s="0" t="s">
        <v>43</v>
      </c>
      <c r="J3031" s="0" t="s">
        <v>44</v>
      </c>
      <c r="K3031" s="0" t="s">
        <v>30</v>
      </c>
      <c r="L3031" s="0" t="s">
        <v>31</v>
      </c>
      <c r="M3031" s="0" t="s">
        <v>140</v>
      </c>
      <c r="N3031" s="0" t="n">
        <v>1504</v>
      </c>
      <c r="O3031" s="10" t="n">
        <v>0.684247233206406</v>
      </c>
      <c r="P3031" s="10" t="n">
        <v>0.298559809103608</v>
      </c>
      <c r="Q3031" s="0" t="str">
        <f aca="false">SUBSTITUTE(SUBSTITUTE($I3031,CHAR(61),""),CHAR(34),"")</f>
        <v>35-49</v>
      </c>
      <c r="R3031" s="0" t="str">
        <f aca="false">IF($D3031&lt;&gt;"","["&amp;$E3031&amp;"]"&amp;"|"&amp;$Q3031&amp;"|"&amp;$K3031&amp;"|"&amp;$G3031&amp;"|"&amp;IF($G3031="TX_CURR_SUBNAT.R","CY2022Q4",$M3031),"")</f>
        <v>[rpw540fmNUz]|35-49|Female|PLHIV_Attend.T_1|CY2023Q3</v>
      </c>
    </row>
    <row r="3032" customFormat="false" ht="15" hidden="false" customHeight="false" outlineLevel="0" collapsed="false">
      <c r="D3032" s="0" t="s">
        <v>114</v>
      </c>
      <c r="E3032" s="0" t="s">
        <v>115</v>
      </c>
      <c r="F3032" s="0" t="s">
        <v>116</v>
      </c>
      <c r="G3032" s="0" t="s">
        <v>150</v>
      </c>
      <c r="H3032" s="0" t="s">
        <v>150</v>
      </c>
      <c r="I3032" s="0" t="s">
        <v>45</v>
      </c>
      <c r="J3032" s="0" t="s">
        <v>46</v>
      </c>
      <c r="K3032" s="0" t="s">
        <v>30</v>
      </c>
      <c r="L3032" s="0" t="s">
        <v>31</v>
      </c>
      <c r="M3032" s="0" t="s">
        <v>140</v>
      </c>
      <c r="N3032" s="0" t="n">
        <v>815</v>
      </c>
      <c r="O3032" s="10" t="n">
        <v>0.117176498286426</v>
      </c>
      <c r="P3032" s="10" t="n">
        <v>0.298559809103608</v>
      </c>
      <c r="Q3032" s="0" t="str">
        <f aca="false">SUBSTITUTE(SUBSTITUTE($I3032,CHAR(61),""),CHAR(34),"")</f>
        <v>50+</v>
      </c>
      <c r="R3032" s="0" t="str">
        <f aca="false">IF($D3032&lt;&gt;"","["&amp;$E3032&amp;"]"&amp;"|"&amp;$Q3032&amp;"|"&amp;$K3032&amp;"|"&amp;$G3032&amp;"|"&amp;IF($G3032="TX_CURR_SUBNAT.R","CY2022Q4",$M3032),"")</f>
        <v>[rpw540fmNUz]|50+|Female|PLHIV_Attend.T_1|CY2023Q3</v>
      </c>
    </row>
    <row r="3033" customFormat="false" ht="15" hidden="false" customHeight="false" outlineLevel="0" collapsed="false">
      <c r="D3033" s="0" t="s">
        <v>114</v>
      </c>
      <c r="E3033" s="0" t="s">
        <v>115</v>
      </c>
      <c r="F3033" s="0" t="s">
        <v>116</v>
      </c>
      <c r="G3033" s="0" t="s">
        <v>150</v>
      </c>
      <c r="H3033" s="0" t="s">
        <v>150</v>
      </c>
      <c r="I3033" s="0" t="s">
        <v>28</v>
      </c>
      <c r="J3033" s="0" t="s">
        <v>29</v>
      </c>
      <c r="K3033" s="0" t="s">
        <v>48</v>
      </c>
      <c r="L3033" s="0" t="s">
        <v>49</v>
      </c>
      <c r="M3033" s="0" t="s">
        <v>140</v>
      </c>
      <c r="N3033" s="0" t="n">
        <v>713</v>
      </c>
      <c r="O3033" s="10" t="n">
        <v>0.402778370305896</v>
      </c>
      <c r="P3033" s="10" t="n">
        <v>0.298559809103608</v>
      </c>
      <c r="Q3033" s="0" t="str">
        <f aca="false">SUBSTITUTE(SUBSTITUTE($I3033,CHAR(61),""),CHAR(34),"")</f>
        <v>&lt;01</v>
      </c>
      <c r="R3033" s="0" t="str">
        <f aca="false">IF($D3033&lt;&gt;"","["&amp;$E3033&amp;"]"&amp;"|"&amp;$Q3033&amp;"|"&amp;$K3033&amp;"|"&amp;$G3033&amp;"|"&amp;IF($G3033="TX_CURR_SUBNAT.R","CY2022Q4",$M3033),"")</f>
        <v>[rpw540fmNUz]|&lt;01|Male|PLHIV_Attend.T_1|CY2023Q3</v>
      </c>
    </row>
    <row r="3034" customFormat="false" ht="15" hidden="false" customHeight="false" outlineLevel="0" collapsed="false">
      <c r="D3034" s="0" t="s">
        <v>114</v>
      </c>
      <c r="E3034" s="0" t="s">
        <v>115</v>
      </c>
      <c r="F3034" s="0" t="s">
        <v>116</v>
      </c>
      <c r="G3034" s="0" t="s">
        <v>150</v>
      </c>
      <c r="H3034" s="0" t="s">
        <v>150</v>
      </c>
      <c r="I3034" s="0" t="s">
        <v>33</v>
      </c>
      <c r="J3034" s="0" t="s">
        <v>34</v>
      </c>
      <c r="K3034" s="0" t="s">
        <v>48</v>
      </c>
      <c r="L3034" s="0" t="s">
        <v>49</v>
      </c>
      <c r="M3034" s="0" t="s">
        <v>140</v>
      </c>
      <c r="N3034" s="0" t="n">
        <v>1179</v>
      </c>
      <c r="O3034" s="10" t="n">
        <v>0.587384742917493</v>
      </c>
      <c r="P3034" s="10" t="n">
        <v>0.298559809103608</v>
      </c>
      <c r="Q3034" s="0" t="str">
        <f aca="false">SUBSTITUTE(SUBSTITUTE($I3034,CHAR(61),""),CHAR(34),"")</f>
        <v>01-09</v>
      </c>
      <c r="R3034" s="0" t="str">
        <f aca="false">IF($D3034&lt;&gt;"","["&amp;$E3034&amp;"]"&amp;"|"&amp;$Q3034&amp;"|"&amp;$K3034&amp;"|"&amp;$G3034&amp;"|"&amp;IF($G3034="TX_CURR_SUBNAT.R","CY2022Q4",$M3034),"")</f>
        <v>[rpw540fmNUz]|01-09|Male|PLHIV_Attend.T_1|CY2023Q3</v>
      </c>
    </row>
    <row r="3035" customFormat="false" ht="15" hidden="false" customHeight="false" outlineLevel="0" collapsed="false">
      <c r="D3035" s="0" t="s">
        <v>114</v>
      </c>
      <c r="E3035" s="0" t="s">
        <v>115</v>
      </c>
      <c r="F3035" s="0" t="s">
        <v>116</v>
      </c>
      <c r="G3035" s="0" t="s">
        <v>150</v>
      </c>
      <c r="H3035" s="0" t="s">
        <v>150</v>
      </c>
      <c r="I3035" s="0" t="s">
        <v>36</v>
      </c>
      <c r="J3035" s="0" t="s">
        <v>37</v>
      </c>
      <c r="K3035" s="0" t="s">
        <v>48</v>
      </c>
      <c r="L3035" s="0" t="s">
        <v>49</v>
      </c>
      <c r="M3035" s="0" t="s">
        <v>140</v>
      </c>
      <c r="N3035" s="0" t="n">
        <v>1395</v>
      </c>
      <c r="O3035" s="10" t="n">
        <v>0.472017500316724</v>
      </c>
      <c r="P3035" s="10" t="n">
        <v>0.298559809103608</v>
      </c>
      <c r="Q3035" s="0" t="str">
        <f aca="false">SUBSTITUTE(SUBSTITUTE($I3035,CHAR(61),""),CHAR(34),"")</f>
        <v>10-14</v>
      </c>
      <c r="R3035" s="0" t="str">
        <f aca="false">IF($D3035&lt;&gt;"","["&amp;$E3035&amp;"]"&amp;"|"&amp;$Q3035&amp;"|"&amp;$K3035&amp;"|"&amp;$G3035&amp;"|"&amp;IF($G3035="TX_CURR_SUBNAT.R","CY2022Q4",$M3035),"")</f>
        <v>[rpw540fmNUz]|10-14|Male|PLHIV_Attend.T_1|CY2023Q3</v>
      </c>
    </row>
    <row r="3036" customFormat="false" ht="15" hidden="false" customHeight="false" outlineLevel="0" collapsed="false">
      <c r="D3036" s="0" t="s">
        <v>114</v>
      </c>
      <c r="E3036" s="0" t="s">
        <v>115</v>
      </c>
      <c r="F3036" s="0" t="s">
        <v>116</v>
      </c>
      <c r="G3036" s="0" t="s">
        <v>150</v>
      </c>
      <c r="H3036" s="0" t="s">
        <v>150</v>
      </c>
      <c r="I3036" s="0" t="s">
        <v>38</v>
      </c>
      <c r="J3036" s="0" t="s">
        <v>39</v>
      </c>
      <c r="K3036" s="0" t="s">
        <v>48</v>
      </c>
      <c r="L3036" s="0" t="s">
        <v>49</v>
      </c>
      <c r="M3036" s="0" t="s">
        <v>140</v>
      </c>
      <c r="N3036" s="0" t="n">
        <v>1602</v>
      </c>
      <c r="O3036" s="10" t="n">
        <v>0.812680267961696</v>
      </c>
      <c r="P3036" s="10" t="n">
        <v>0.298559809103608</v>
      </c>
      <c r="Q3036" s="0" t="str">
        <f aca="false">SUBSTITUTE(SUBSTITUTE($I3036,CHAR(61),""),CHAR(34),"")</f>
        <v>15-24</v>
      </c>
      <c r="R3036" s="0" t="str">
        <f aca="false">IF($D3036&lt;&gt;"","["&amp;$E3036&amp;"]"&amp;"|"&amp;$Q3036&amp;"|"&amp;$K3036&amp;"|"&amp;$G3036&amp;"|"&amp;IF($G3036="TX_CURR_SUBNAT.R","CY2022Q4",$M3036),"")</f>
        <v>[rpw540fmNUz]|15-24|Male|PLHIV_Attend.T_1|CY2023Q3</v>
      </c>
    </row>
    <row r="3037" customFormat="false" ht="15" hidden="false" customHeight="false" outlineLevel="0" collapsed="false">
      <c r="D3037" s="0" t="s">
        <v>114</v>
      </c>
      <c r="E3037" s="0" t="s">
        <v>115</v>
      </c>
      <c r="F3037" s="0" t="s">
        <v>116</v>
      </c>
      <c r="G3037" s="0" t="s">
        <v>150</v>
      </c>
      <c r="H3037" s="0" t="s">
        <v>150</v>
      </c>
      <c r="I3037" s="0" t="s">
        <v>41</v>
      </c>
      <c r="J3037" s="0" t="s">
        <v>42</v>
      </c>
      <c r="K3037" s="0" t="s">
        <v>48</v>
      </c>
      <c r="L3037" s="0" t="s">
        <v>49</v>
      </c>
      <c r="M3037" s="0" t="s">
        <v>140</v>
      </c>
      <c r="N3037" s="0" t="n">
        <v>775</v>
      </c>
      <c r="O3037" s="10" t="n">
        <v>0.114379929145798</v>
      </c>
      <c r="P3037" s="10" t="n">
        <v>0.298559809103608</v>
      </c>
      <c r="Q3037" s="0" t="str">
        <f aca="false">SUBSTITUTE(SUBSTITUTE($I3037,CHAR(61),""),CHAR(34),"")</f>
        <v>25-34</v>
      </c>
      <c r="R3037" s="0" t="str">
        <f aca="false">IF($D3037&lt;&gt;"","["&amp;$E3037&amp;"]"&amp;"|"&amp;$Q3037&amp;"|"&amp;$K3037&amp;"|"&amp;$G3037&amp;"|"&amp;IF($G3037="TX_CURR_SUBNAT.R","CY2022Q4",$M3037),"")</f>
        <v>[rpw540fmNUz]|25-34|Male|PLHIV_Attend.T_1|CY2023Q3</v>
      </c>
    </row>
    <row r="3038" customFormat="false" ht="15" hidden="false" customHeight="false" outlineLevel="0" collapsed="false">
      <c r="D3038" s="0" t="s">
        <v>114</v>
      </c>
      <c r="E3038" s="0" t="s">
        <v>115</v>
      </c>
      <c r="F3038" s="0" t="s">
        <v>116</v>
      </c>
      <c r="G3038" s="0" t="s">
        <v>150</v>
      </c>
      <c r="H3038" s="0" t="s">
        <v>150</v>
      </c>
      <c r="I3038" s="0" t="s">
        <v>43</v>
      </c>
      <c r="J3038" s="0" t="s">
        <v>44</v>
      </c>
      <c r="K3038" s="0" t="s">
        <v>48</v>
      </c>
      <c r="L3038" s="0" t="s">
        <v>49</v>
      </c>
      <c r="M3038" s="0" t="s">
        <v>140</v>
      </c>
      <c r="N3038" s="0" t="n">
        <v>1809</v>
      </c>
      <c r="O3038" s="10" t="n">
        <v>0.702440142631531</v>
      </c>
      <c r="P3038" s="10" t="n">
        <v>0.298559809103608</v>
      </c>
      <c r="Q3038" s="0" t="str">
        <f aca="false">SUBSTITUTE(SUBSTITUTE($I3038,CHAR(61),""),CHAR(34),"")</f>
        <v>35-49</v>
      </c>
      <c r="R3038" s="0" t="str">
        <f aca="false">IF($D3038&lt;&gt;"","["&amp;$E3038&amp;"]"&amp;"|"&amp;$Q3038&amp;"|"&amp;$K3038&amp;"|"&amp;$G3038&amp;"|"&amp;IF($G3038="TX_CURR_SUBNAT.R","CY2022Q4",$M3038),"")</f>
        <v>[rpw540fmNUz]|35-49|Male|PLHIV_Attend.T_1|CY2023Q3</v>
      </c>
    </row>
    <row r="3039" customFormat="false" ht="15" hidden="false" customHeight="false" outlineLevel="0" collapsed="false">
      <c r="D3039" s="0" t="s">
        <v>114</v>
      </c>
      <c r="E3039" s="0" t="s">
        <v>115</v>
      </c>
      <c r="F3039" s="0" t="s">
        <v>116</v>
      </c>
      <c r="G3039" s="0" t="s">
        <v>150</v>
      </c>
      <c r="H3039" s="0" t="s">
        <v>150</v>
      </c>
      <c r="I3039" s="0" t="s">
        <v>45</v>
      </c>
      <c r="J3039" s="0" t="s">
        <v>46</v>
      </c>
      <c r="K3039" s="0" t="s">
        <v>48</v>
      </c>
      <c r="L3039" s="0" t="s">
        <v>49</v>
      </c>
      <c r="M3039" s="0" t="s">
        <v>140</v>
      </c>
      <c r="N3039" s="0" t="n">
        <v>1833</v>
      </c>
      <c r="O3039" s="10" t="n">
        <v>0.964693812420592</v>
      </c>
      <c r="P3039" s="10" t="n">
        <v>0.298559809103608</v>
      </c>
      <c r="Q3039" s="0" t="str">
        <f aca="false">SUBSTITUTE(SUBSTITUTE($I3039,CHAR(61),""),CHAR(34),"")</f>
        <v>50+</v>
      </c>
      <c r="R3039" s="0" t="str">
        <f aca="false">IF($D3039&lt;&gt;"","["&amp;$E3039&amp;"]"&amp;"|"&amp;$Q3039&amp;"|"&amp;$K3039&amp;"|"&amp;$G3039&amp;"|"&amp;IF($G3039="TX_CURR_SUBNAT.R","CY2022Q4",$M3039),"")</f>
        <v>[rpw540fmNUz]|50+|Male|PLHIV_Attend.T_1|CY2023Q3</v>
      </c>
    </row>
    <row r="3040" customFormat="false" ht="15" hidden="false" customHeight="false" outlineLevel="0" collapsed="false">
      <c r="D3040" s="0" t="s">
        <v>117</v>
      </c>
      <c r="E3040" s="0" t="s">
        <v>118</v>
      </c>
      <c r="F3040" s="0" t="s">
        <v>119</v>
      </c>
      <c r="G3040" s="0" t="s">
        <v>150</v>
      </c>
      <c r="H3040" s="0" t="s">
        <v>150</v>
      </c>
      <c r="I3040" s="0" t="s">
        <v>28</v>
      </c>
      <c r="J3040" s="0" t="s">
        <v>29</v>
      </c>
      <c r="K3040" s="0" t="s">
        <v>30</v>
      </c>
      <c r="L3040" s="0" t="s">
        <v>31</v>
      </c>
      <c r="M3040" s="0" t="s">
        <v>140</v>
      </c>
      <c r="N3040" s="0" t="n">
        <v>1788</v>
      </c>
      <c r="O3040" s="10" t="n">
        <v>0.324062730185688</v>
      </c>
      <c r="P3040" s="10" t="n">
        <v>0.206259709550068</v>
      </c>
      <c r="Q3040" s="0" t="str">
        <f aca="false">SUBSTITUTE(SUBSTITUTE($I3040,CHAR(61),""),CHAR(34),"")</f>
        <v>&lt;01</v>
      </c>
      <c r="R3040" s="0" t="str">
        <f aca="false">IF($D3040&lt;&gt;"","["&amp;$E3040&amp;"]"&amp;"|"&amp;$Q3040&amp;"|"&amp;$K3040&amp;"|"&amp;$G3040&amp;"|"&amp;IF($G3040="TX_CURR_SUBNAT.R","CY2022Q4",$M3040),"")</f>
        <v>[lPTyjLi4w3d]|&lt;01|Female|PLHIV_Attend.T_1|CY2023Q3</v>
      </c>
    </row>
    <row r="3041" customFormat="false" ht="15" hidden="false" customHeight="false" outlineLevel="0" collapsed="false">
      <c r="D3041" s="0" t="s">
        <v>117</v>
      </c>
      <c r="E3041" s="0" t="s">
        <v>118</v>
      </c>
      <c r="F3041" s="0" t="s">
        <v>119</v>
      </c>
      <c r="G3041" s="0" t="s">
        <v>150</v>
      </c>
      <c r="H3041" s="0" t="s">
        <v>150</v>
      </c>
      <c r="I3041" s="0" t="s">
        <v>33</v>
      </c>
      <c r="J3041" s="0" t="s">
        <v>34</v>
      </c>
      <c r="K3041" s="0" t="s">
        <v>30</v>
      </c>
      <c r="L3041" s="0" t="s">
        <v>31</v>
      </c>
      <c r="M3041" s="0" t="s">
        <v>140</v>
      </c>
      <c r="N3041" s="0" t="n">
        <v>980</v>
      </c>
      <c r="O3041" s="10" t="n">
        <v>0.243513907305896</v>
      </c>
      <c r="P3041" s="10" t="n">
        <v>0.206259709550068</v>
      </c>
      <c r="Q3041" s="0" t="str">
        <f aca="false">SUBSTITUTE(SUBSTITUTE($I3041,CHAR(61),""),CHAR(34),"")</f>
        <v>01-09</v>
      </c>
      <c r="R3041" s="0" t="str">
        <f aca="false">IF($D3041&lt;&gt;"","["&amp;$E3041&amp;"]"&amp;"|"&amp;$Q3041&amp;"|"&amp;$K3041&amp;"|"&amp;$G3041&amp;"|"&amp;IF($G3041="TX_CURR_SUBNAT.R","CY2022Q4",$M3041),"")</f>
        <v>[lPTyjLi4w3d]|01-09|Female|PLHIV_Attend.T_1|CY2023Q3</v>
      </c>
    </row>
    <row r="3042" customFormat="false" ht="15" hidden="false" customHeight="false" outlineLevel="0" collapsed="false">
      <c r="D3042" s="0" t="s">
        <v>117</v>
      </c>
      <c r="E3042" s="0" t="s">
        <v>118</v>
      </c>
      <c r="F3042" s="0" t="s">
        <v>119</v>
      </c>
      <c r="G3042" s="0" t="s">
        <v>150</v>
      </c>
      <c r="H3042" s="0" t="s">
        <v>150</v>
      </c>
      <c r="I3042" s="0" t="s">
        <v>36</v>
      </c>
      <c r="J3042" s="0" t="s">
        <v>37</v>
      </c>
      <c r="K3042" s="0" t="s">
        <v>30</v>
      </c>
      <c r="L3042" s="0" t="s">
        <v>31</v>
      </c>
      <c r="M3042" s="0" t="s">
        <v>140</v>
      </c>
      <c r="N3042" s="0" t="n">
        <v>1412</v>
      </c>
      <c r="O3042" s="10" t="n">
        <v>0.649727807147428</v>
      </c>
      <c r="P3042" s="10" t="n">
        <v>0.206259709550068</v>
      </c>
      <c r="Q3042" s="0" t="str">
        <f aca="false">SUBSTITUTE(SUBSTITUTE($I3042,CHAR(61),""),CHAR(34),"")</f>
        <v>10-14</v>
      </c>
      <c r="R3042" s="0" t="str">
        <f aca="false">IF($D3042&lt;&gt;"","["&amp;$E3042&amp;"]"&amp;"|"&amp;$Q3042&amp;"|"&amp;$K3042&amp;"|"&amp;$G3042&amp;"|"&amp;IF($G3042="TX_CURR_SUBNAT.R","CY2022Q4",$M3042),"")</f>
        <v>[lPTyjLi4w3d]|10-14|Female|PLHIV_Attend.T_1|CY2023Q3</v>
      </c>
    </row>
    <row r="3043" customFormat="false" ht="15" hidden="false" customHeight="false" outlineLevel="0" collapsed="false">
      <c r="D3043" s="0" t="s">
        <v>117</v>
      </c>
      <c r="E3043" s="0" t="s">
        <v>118</v>
      </c>
      <c r="F3043" s="0" t="s">
        <v>119</v>
      </c>
      <c r="G3043" s="0" t="s">
        <v>150</v>
      </c>
      <c r="H3043" s="0" t="s">
        <v>150</v>
      </c>
      <c r="I3043" s="0" t="s">
        <v>38</v>
      </c>
      <c r="J3043" s="0" t="s">
        <v>39</v>
      </c>
      <c r="K3043" s="0" t="s">
        <v>30</v>
      </c>
      <c r="L3043" s="0" t="s">
        <v>31</v>
      </c>
      <c r="M3043" s="0" t="s">
        <v>140</v>
      </c>
      <c r="N3043" s="0" t="n">
        <v>1717</v>
      </c>
      <c r="O3043" s="10" t="n">
        <v>0.173750445945188</v>
      </c>
      <c r="P3043" s="10" t="n">
        <v>0.206259709550068</v>
      </c>
      <c r="Q3043" s="0" t="str">
        <f aca="false">SUBSTITUTE(SUBSTITUTE($I3043,CHAR(61),""),CHAR(34),"")</f>
        <v>15-24</v>
      </c>
      <c r="R3043" s="0" t="str">
        <f aca="false">IF($D3043&lt;&gt;"","["&amp;$E3043&amp;"]"&amp;"|"&amp;$Q3043&amp;"|"&amp;$K3043&amp;"|"&amp;$G3043&amp;"|"&amp;IF($G3043="TX_CURR_SUBNAT.R","CY2022Q4",$M3043),"")</f>
        <v>[lPTyjLi4w3d]|15-24|Female|PLHIV_Attend.T_1|CY2023Q3</v>
      </c>
    </row>
    <row r="3044" customFormat="false" ht="15" hidden="false" customHeight="false" outlineLevel="0" collapsed="false">
      <c r="D3044" s="0" t="s">
        <v>117</v>
      </c>
      <c r="E3044" s="0" t="s">
        <v>118</v>
      </c>
      <c r="F3044" s="0" t="s">
        <v>119</v>
      </c>
      <c r="G3044" s="0" t="s">
        <v>150</v>
      </c>
      <c r="H3044" s="0" t="s">
        <v>150</v>
      </c>
      <c r="I3044" s="0" t="s">
        <v>41</v>
      </c>
      <c r="J3044" s="0" t="s">
        <v>42</v>
      </c>
      <c r="K3044" s="0" t="s">
        <v>30</v>
      </c>
      <c r="L3044" s="0" t="s">
        <v>31</v>
      </c>
      <c r="M3044" s="0" t="s">
        <v>140</v>
      </c>
      <c r="N3044" s="0" t="n">
        <v>1768</v>
      </c>
      <c r="O3044" s="10" t="n">
        <v>0.0688945935107768</v>
      </c>
      <c r="P3044" s="10" t="n">
        <v>0.206259709550068</v>
      </c>
      <c r="Q3044" s="0" t="str">
        <f aca="false">SUBSTITUTE(SUBSTITUTE($I3044,CHAR(61),""),CHAR(34),"")</f>
        <v>25-34</v>
      </c>
      <c r="R3044" s="0" t="str">
        <f aca="false">IF($D3044&lt;&gt;"","["&amp;$E3044&amp;"]"&amp;"|"&amp;$Q3044&amp;"|"&amp;$K3044&amp;"|"&amp;$G3044&amp;"|"&amp;IF($G3044="TX_CURR_SUBNAT.R","CY2022Q4",$M3044),"")</f>
        <v>[lPTyjLi4w3d]|25-34|Female|PLHIV_Attend.T_1|CY2023Q3</v>
      </c>
    </row>
    <row r="3045" customFormat="false" ht="15" hidden="false" customHeight="false" outlineLevel="0" collapsed="false">
      <c r="D3045" s="0" t="s">
        <v>117</v>
      </c>
      <c r="E3045" s="0" t="s">
        <v>118</v>
      </c>
      <c r="F3045" s="0" t="s">
        <v>119</v>
      </c>
      <c r="G3045" s="0" t="s">
        <v>150</v>
      </c>
      <c r="H3045" s="0" t="s">
        <v>150</v>
      </c>
      <c r="I3045" s="0" t="s">
        <v>43</v>
      </c>
      <c r="J3045" s="0" t="s">
        <v>44</v>
      </c>
      <c r="K3045" s="0" t="s">
        <v>30</v>
      </c>
      <c r="L3045" s="0" t="s">
        <v>31</v>
      </c>
      <c r="M3045" s="0" t="s">
        <v>140</v>
      </c>
      <c r="N3045" s="0" t="n">
        <v>1518</v>
      </c>
      <c r="O3045" s="10" t="n">
        <v>0.438916428014636</v>
      </c>
      <c r="P3045" s="10" t="n">
        <v>0.206259709550068</v>
      </c>
      <c r="Q3045" s="0" t="str">
        <f aca="false">SUBSTITUTE(SUBSTITUTE($I3045,CHAR(61),""),CHAR(34),"")</f>
        <v>35-49</v>
      </c>
      <c r="R3045" s="0" t="str">
        <f aca="false">IF($D3045&lt;&gt;"","["&amp;$E3045&amp;"]"&amp;"|"&amp;$Q3045&amp;"|"&amp;$K3045&amp;"|"&amp;$G3045&amp;"|"&amp;IF($G3045="TX_CURR_SUBNAT.R","CY2022Q4",$M3045),"")</f>
        <v>[lPTyjLi4w3d]|35-49|Female|PLHIV_Attend.T_1|CY2023Q3</v>
      </c>
    </row>
    <row r="3046" customFormat="false" ht="15" hidden="false" customHeight="false" outlineLevel="0" collapsed="false">
      <c r="D3046" s="0" t="s">
        <v>117</v>
      </c>
      <c r="E3046" s="0" t="s">
        <v>118</v>
      </c>
      <c r="F3046" s="0" t="s">
        <v>119</v>
      </c>
      <c r="G3046" s="0" t="s">
        <v>150</v>
      </c>
      <c r="H3046" s="0" t="s">
        <v>150</v>
      </c>
      <c r="I3046" s="0" t="s">
        <v>45</v>
      </c>
      <c r="J3046" s="0" t="s">
        <v>46</v>
      </c>
      <c r="K3046" s="0" t="s">
        <v>30</v>
      </c>
      <c r="L3046" s="0" t="s">
        <v>31</v>
      </c>
      <c r="M3046" s="0" t="s">
        <v>140</v>
      </c>
      <c r="N3046" s="0" t="n">
        <v>1779</v>
      </c>
      <c r="O3046" s="10" t="n">
        <v>0.234660603804514</v>
      </c>
      <c r="P3046" s="10" t="n">
        <v>0.206259709550068</v>
      </c>
      <c r="Q3046" s="0" t="str">
        <f aca="false">SUBSTITUTE(SUBSTITUTE($I3046,CHAR(61),""),CHAR(34),"")</f>
        <v>50+</v>
      </c>
      <c r="R3046" s="0" t="str">
        <f aca="false">IF($D3046&lt;&gt;"","["&amp;$E3046&amp;"]"&amp;"|"&amp;$Q3046&amp;"|"&amp;$K3046&amp;"|"&amp;$G3046&amp;"|"&amp;IF($G3046="TX_CURR_SUBNAT.R","CY2022Q4",$M3046),"")</f>
        <v>[lPTyjLi4w3d]|50+|Female|PLHIV_Attend.T_1|CY2023Q3</v>
      </c>
    </row>
    <row r="3047" customFormat="false" ht="15" hidden="false" customHeight="false" outlineLevel="0" collapsed="false">
      <c r="D3047" s="0" t="s">
        <v>117</v>
      </c>
      <c r="E3047" s="0" t="s">
        <v>118</v>
      </c>
      <c r="F3047" s="0" t="s">
        <v>119</v>
      </c>
      <c r="G3047" s="0" t="s">
        <v>150</v>
      </c>
      <c r="H3047" s="0" t="s">
        <v>150</v>
      </c>
      <c r="I3047" s="0" t="s">
        <v>28</v>
      </c>
      <c r="J3047" s="0" t="s">
        <v>29</v>
      </c>
      <c r="K3047" s="0" t="s">
        <v>48</v>
      </c>
      <c r="L3047" s="0" t="s">
        <v>49</v>
      </c>
      <c r="M3047" s="0" t="s">
        <v>140</v>
      </c>
      <c r="N3047" s="0" t="n">
        <v>786</v>
      </c>
      <c r="O3047" s="10" t="n">
        <v>0.00612206174992025</v>
      </c>
      <c r="P3047" s="10" t="n">
        <v>0.206259709550068</v>
      </c>
      <c r="Q3047" s="0" t="str">
        <f aca="false">SUBSTITUTE(SUBSTITUTE($I3047,CHAR(61),""),CHAR(34),"")</f>
        <v>&lt;01</v>
      </c>
      <c r="R3047" s="0" t="str">
        <f aca="false">IF($D3047&lt;&gt;"","["&amp;$E3047&amp;"]"&amp;"|"&amp;$Q3047&amp;"|"&amp;$K3047&amp;"|"&amp;$G3047&amp;"|"&amp;IF($G3047="TX_CURR_SUBNAT.R","CY2022Q4",$M3047),"")</f>
        <v>[lPTyjLi4w3d]|&lt;01|Male|PLHIV_Attend.T_1|CY2023Q3</v>
      </c>
    </row>
    <row r="3048" customFormat="false" ht="15" hidden="false" customHeight="false" outlineLevel="0" collapsed="false">
      <c r="D3048" s="0" t="s">
        <v>117</v>
      </c>
      <c r="E3048" s="0" t="s">
        <v>118</v>
      </c>
      <c r="F3048" s="0" t="s">
        <v>119</v>
      </c>
      <c r="G3048" s="0" t="s">
        <v>150</v>
      </c>
      <c r="H3048" s="0" t="s">
        <v>150</v>
      </c>
      <c r="I3048" s="0" t="s">
        <v>33</v>
      </c>
      <c r="J3048" s="0" t="s">
        <v>34</v>
      </c>
      <c r="K3048" s="0" t="s">
        <v>48</v>
      </c>
      <c r="L3048" s="0" t="s">
        <v>49</v>
      </c>
      <c r="M3048" s="0" t="s">
        <v>140</v>
      </c>
      <c r="N3048" s="0" t="n">
        <v>1732</v>
      </c>
      <c r="O3048" s="10" t="n">
        <v>0.454068931285292</v>
      </c>
      <c r="P3048" s="10" t="n">
        <v>0.206259709550068</v>
      </c>
      <c r="Q3048" s="0" t="str">
        <f aca="false">SUBSTITUTE(SUBSTITUTE($I3048,CHAR(61),""),CHAR(34),"")</f>
        <v>01-09</v>
      </c>
      <c r="R3048" s="0" t="str">
        <f aca="false">IF($D3048&lt;&gt;"","["&amp;$E3048&amp;"]"&amp;"|"&amp;$Q3048&amp;"|"&amp;$K3048&amp;"|"&amp;$G3048&amp;"|"&amp;IF($G3048="TX_CURR_SUBNAT.R","CY2022Q4",$M3048),"")</f>
        <v>[lPTyjLi4w3d]|01-09|Male|PLHIV_Attend.T_1|CY2023Q3</v>
      </c>
    </row>
    <row r="3049" customFormat="false" ht="15" hidden="false" customHeight="false" outlineLevel="0" collapsed="false">
      <c r="D3049" s="0" t="s">
        <v>117</v>
      </c>
      <c r="E3049" s="0" t="s">
        <v>118</v>
      </c>
      <c r="F3049" s="0" t="s">
        <v>119</v>
      </c>
      <c r="G3049" s="0" t="s">
        <v>150</v>
      </c>
      <c r="H3049" s="0" t="s">
        <v>150</v>
      </c>
      <c r="I3049" s="0" t="s">
        <v>36</v>
      </c>
      <c r="J3049" s="0" t="s">
        <v>37</v>
      </c>
      <c r="K3049" s="0" t="s">
        <v>48</v>
      </c>
      <c r="L3049" s="0" t="s">
        <v>49</v>
      </c>
      <c r="M3049" s="0" t="s">
        <v>140</v>
      </c>
      <c r="N3049" s="0" t="n">
        <v>1199</v>
      </c>
      <c r="O3049" s="10" t="n">
        <v>0.546803550794721</v>
      </c>
      <c r="P3049" s="10" t="n">
        <v>0.206259709550068</v>
      </c>
      <c r="Q3049" s="0" t="str">
        <f aca="false">SUBSTITUTE(SUBSTITUTE($I3049,CHAR(61),""),CHAR(34),"")</f>
        <v>10-14</v>
      </c>
      <c r="R3049" s="0" t="str">
        <f aca="false">IF($D3049&lt;&gt;"","["&amp;$E3049&amp;"]"&amp;"|"&amp;$Q3049&amp;"|"&amp;$K3049&amp;"|"&amp;$G3049&amp;"|"&amp;IF($G3049="TX_CURR_SUBNAT.R","CY2022Q4",$M3049),"")</f>
        <v>[lPTyjLi4w3d]|10-14|Male|PLHIV_Attend.T_1|CY2023Q3</v>
      </c>
    </row>
    <row r="3050" customFormat="false" ht="15" hidden="false" customHeight="false" outlineLevel="0" collapsed="false">
      <c r="D3050" s="0" t="s">
        <v>117</v>
      </c>
      <c r="E3050" s="0" t="s">
        <v>118</v>
      </c>
      <c r="F3050" s="0" t="s">
        <v>119</v>
      </c>
      <c r="G3050" s="0" t="s">
        <v>150</v>
      </c>
      <c r="H3050" s="0" t="s">
        <v>150</v>
      </c>
      <c r="I3050" s="0" t="s">
        <v>38</v>
      </c>
      <c r="J3050" s="0" t="s">
        <v>39</v>
      </c>
      <c r="K3050" s="0" t="s">
        <v>48</v>
      </c>
      <c r="L3050" s="0" t="s">
        <v>49</v>
      </c>
      <c r="M3050" s="0" t="s">
        <v>140</v>
      </c>
      <c r="N3050" s="0" t="n">
        <v>1751</v>
      </c>
      <c r="O3050" s="10" t="n">
        <v>0.850394071778283</v>
      </c>
      <c r="P3050" s="10" t="n">
        <v>0.206259709550068</v>
      </c>
      <c r="Q3050" s="0" t="str">
        <f aca="false">SUBSTITUTE(SUBSTITUTE($I3050,CHAR(61),""),CHAR(34),"")</f>
        <v>15-24</v>
      </c>
      <c r="R3050" s="0" t="str">
        <f aca="false">IF($D3050&lt;&gt;"","["&amp;$E3050&amp;"]"&amp;"|"&amp;$Q3050&amp;"|"&amp;$K3050&amp;"|"&amp;$G3050&amp;"|"&amp;IF($G3050="TX_CURR_SUBNAT.R","CY2022Q4",$M3050),"")</f>
        <v>[lPTyjLi4w3d]|15-24|Male|PLHIV_Attend.T_1|CY2023Q3</v>
      </c>
    </row>
    <row r="3051" customFormat="false" ht="15" hidden="false" customHeight="false" outlineLevel="0" collapsed="false">
      <c r="D3051" s="0" t="s">
        <v>117</v>
      </c>
      <c r="E3051" s="0" t="s">
        <v>118</v>
      </c>
      <c r="F3051" s="0" t="s">
        <v>119</v>
      </c>
      <c r="G3051" s="0" t="s">
        <v>150</v>
      </c>
      <c r="H3051" s="0" t="s">
        <v>150</v>
      </c>
      <c r="I3051" s="0" t="s">
        <v>41</v>
      </c>
      <c r="J3051" s="0" t="s">
        <v>42</v>
      </c>
      <c r="K3051" s="0" t="s">
        <v>48</v>
      </c>
      <c r="L3051" s="0" t="s">
        <v>49</v>
      </c>
      <c r="M3051" s="0" t="s">
        <v>140</v>
      </c>
      <c r="N3051" s="0" t="n">
        <v>1514</v>
      </c>
      <c r="O3051" s="10" t="n">
        <v>0.919513395987451</v>
      </c>
      <c r="P3051" s="10" t="n">
        <v>0.206259709550068</v>
      </c>
      <c r="Q3051" s="0" t="str">
        <f aca="false">SUBSTITUTE(SUBSTITUTE($I3051,CHAR(61),""),CHAR(34),"")</f>
        <v>25-34</v>
      </c>
      <c r="R3051" s="0" t="str">
        <f aca="false">IF($D3051&lt;&gt;"","["&amp;$E3051&amp;"]"&amp;"|"&amp;$Q3051&amp;"|"&amp;$K3051&amp;"|"&amp;$G3051&amp;"|"&amp;IF($G3051="TX_CURR_SUBNAT.R","CY2022Q4",$M3051),"")</f>
        <v>[lPTyjLi4w3d]|25-34|Male|PLHIV_Attend.T_1|CY2023Q3</v>
      </c>
    </row>
    <row r="3052" customFormat="false" ht="15" hidden="false" customHeight="false" outlineLevel="0" collapsed="false">
      <c r="D3052" s="0" t="s">
        <v>117</v>
      </c>
      <c r="E3052" s="0" t="s">
        <v>118</v>
      </c>
      <c r="F3052" s="0" t="s">
        <v>119</v>
      </c>
      <c r="G3052" s="0" t="s">
        <v>150</v>
      </c>
      <c r="H3052" s="0" t="s">
        <v>150</v>
      </c>
      <c r="I3052" s="0" t="s">
        <v>43</v>
      </c>
      <c r="J3052" s="0" t="s">
        <v>44</v>
      </c>
      <c r="K3052" s="0" t="s">
        <v>48</v>
      </c>
      <c r="L3052" s="0" t="s">
        <v>49</v>
      </c>
      <c r="M3052" s="0" t="s">
        <v>140</v>
      </c>
      <c r="N3052" s="0" t="n">
        <v>1819</v>
      </c>
      <c r="O3052" s="10" t="n">
        <v>0.35799542022869</v>
      </c>
      <c r="P3052" s="10" t="n">
        <v>0.206259709550068</v>
      </c>
      <c r="Q3052" s="0" t="str">
        <f aca="false">SUBSTITUTE(SUBSTITUTE($I3052,CHAR(61),""),CHAR(34),"")</f>
        <v>35-49</v>
      </c>
      <c r="R3052" s="0" t="str">
        <f aca="false">IF($D3052&lt;&gt;"","["&amp;$E3052&amp;"]"&amp;"|"&amp;$Q3052&amp;"|"&amp;$K3052&amp;"|"&amp;$G3052&amp;"|"&amp;IF($G3052="TX_CURR_SUBNAT.R","CY2022Q4",$M3052),"")</f>
        <v>[lPTyjLi4w3d]|35-49|Male|PLHIV_Attend.T_1|CY2023Q3</v>
      </c>
    </row>
    <row r="3053" customFormat="false" ht="15" hidden="false" customHeight="false" outlineLevel="0" collapsed="false">
      <c r="D3053" s="0" t="s">
        <v>117</v>
      </c>
      <c r="E3053" s="0" t="s">
        <v>118</v>
      </c>
      <c r="F3053" s="0" t="s">
        <v>119</v>
      </c>
      <c r="G3053" s="0" t="s">
        <v>150</v>
      </c>
      <c r="H3053" s="0" t="s">
        <v>150</v>
      </c>
      <c r="I3053" s="0" t="s">
        <v>45</v>
      </c>
      <c r="J3053" s="0" t="s">
        <v>46</v>
      </c>
      <c r="K3053" s="0" t="s">
        <v>48</v>
      </c>
      <c r="L3053" s="0" t="s">
        <v>49</v>
      </c>
      <c r="M3053" s="0" t="s">
        <v>140</v>
      </c>
      <c r="N3053" s="0" t="n">
        <v>992</v>
      </c>
      <c r="O3053" s="10" t="n">
        <v>0.868614471983165</v>
      </c>
      <c r="P3053" s="10" t="n">
        <v>0.206259709550068</v>
      </c>
      <c r="Q3053" s="0" t="str">
        <f aca="false">SUBSTITUTE(SUBSTITUTE($I3053,CHAR(61),""),CHAR(34),"")</f>
        <v>50+</v>
      </c>
      <c r="R3053" s="0" t="str">
        <f aca="false">IF($D3053&lt;&gt;"","["&amp;$E3053&amp;"]"&amp;"|"&amp;$Q3053&amp;"|"&amp;$K3053&amp;"|"&amp;$G3053&amp;"|"&amp;IF($G3053="TX_CURR_SUBNAT.R","CY2022Q4",$M3053),"")</f>
        <v>[lPTyjLi4w3d]|50+|Male|PLHIV_Attend.T_1|CY2023Q3</v>
      </c>
    </row>
    <row r="3054" customFormat="false" ht="15" hidden="false" customHeight="false" outlineLevel="0" collapsed="false">
      <c r="D3054" s="0" t="s">
        <v>120</v>
      </c>
      <c r="E3054" s="0" t="s">
        <v>121</v>
      </c>
      <c r="F3054" s="0" t="s">
        <v>122</v>
      </c>
      <c r="G3054" s="0" t="s">
        <v>150</v>
      </c>
      <c r="H3054" s="0" t="s">
        <v>150</v>
      </c>
      <c r="I3054" s="0" t="s">
        <v>28</v>
      </c>
      <c r="J3054" s="0" t="s">
        <v>29</v>
      </c>
      <c r="K3054" s="0" t="s">
        <v>30</v>
      </c>
      <c r="L3054" s="0" t="s">
        <v>31</v>
      </c>
      <c r="M3054" s="0" t="s">
        <v>140</v>
      </c>
      <c r="N3054" s="0" t="n">
        <v>1902</v>
      </c>
      <c r="O3054" s="10" t="n">
        <v>0.783917862689123</v>
      </c>
      <c r="P3054" s="10" t="n">
        <v>0.430103979306296</v>
      </c>
      <c r="Q3054" s="0" t="str">
        <f aca="false">SUBSTITUTE(SUBSTITUTE($I3054,CHAR(61),""),CHAR(34),"")</f>
        <v>&lt;01</v>
      </c>
      <c r="R3054" s="0" t="str">
        <f aca="false">IF($D3054&lt;&gt;"","["&amp;$E3054&amp;"]"&amp;"|"&amp;$Q3054&amp;"|"&amp;$K3054&amp;"|"&amp;$G3054&amp;"|"&amp;IF($G3054="TX_CURR_SUBNAT.R","CY2022Q4",$M3054),"")</f>
        <v>[vA4NcHxfMBq]|&lt;01|Female|PLHIV_Attend.T_1|CY2023Q3</v>
      </c>
    </row>
    <row r="3055" customFormat="false" ht="15" hidden="false" customHeight="false" outlineLevel="0" collapsed="false">
      <c r="D3055" s="0" t="s">
        <v>120</v>
      </c>
      <c r="E3055" s="0" t="s">
        <v>121</v>
      </c>
      <c r="F3055" s="0" t="s">
        <v>122</v>
      </c>
      <c r="G3055" s="0" t="s">
        <v>150</v>
      </c>
      <c r="H3055" s="0" t="s">
        <v>150</v>
      </c>
      <c r="I3055" s="0" t="s">
        <v>33</v>
      </c>
      <c r="J3055" s="0" t="s">
        <v>34</v>
      </c>
      <c r="K3055" s="0" t="s">
        <v>30</v>
      </c>
      <c r="L3055" s="0" t="s">
        <v>31</v>
      </c>
      <c r="M3055" s="0" t="s">
        <v>140</v>
      </c>
      <c r="N3055" s="0" t="n">
        <v>1054</v>
      </c>
      <c r="O3055" s="10" t="n">
        <v>0.810253924923018</v>
      </c>
      <c r="P3055" s="10" t="n">
        <v>0.430103979306296</v>
      </c>
      <c r="Q3055" s="0" t="str">
        <f aca="false">SUBSTITUTE(SUBSTITUTE($I3055,CHAR(61),""),CHAR(34),"")</f>
        <v>01-09</v>
      </c>
      <c r="R3055" s="0" t="str">
        <f aca="false">IF($D3055&lt;&gt;"","["&amp;$E3055&amp;"]"&amp;"|"&amp;$Q3055&amp;"|"&amp;$K3055&amp;"|"&amp;$G3055&amp;"|"&amp;IF($G3055="TX_CURR_SUBNAT.R","CY2022Q4",$M3055),"")</f>
        <v>[vA4NcHxfMBq]|01-09|Female|PLHIV_Attend.T_1|CY2023Q3</v>
      </c>
    </row>
    <row r="3056" customFormat="false" ht="15" hidden="false" customHeight="false" outlineLevel="0" collapsed="false">
      <c r="D3056" s="0" t="s">
        <v>120</v>
      </c>
      <c r="E3056" s="0" t="s">
        <v>121</v>
      </c>
      <c r="F3056" s="0" t="s">
        <v>122</v>
      </c>
      <c r="G3056" s="0" t="s">
        <v>150</v>
      </c>
      <c r="H3056" s="0" t="s">
        <v>150</v>
      </c>
      <c r="I3056" s="0" t="s">
        <v>36</v>
      </c>
      <c r="J3056" s="0" t="s">
        <v>37</v>
      </c>
      <c r="K3056" s="0" t="s">
        <v>30</v>
      </c>
      <c r="L3056" s="0" t="s">
        <v>31</v>
      </c>
      <c r="M3056" s="0" t="s">
        <v>140</v>
      </c>
      <c r="N3056" s="0" t="n">
        <v>1045</v>
      </c>
      <c r="O3056" s="10" t="n">
        <v>0.416060114745051</v>
      </c>
      <c r="P3056" s="10" t="n">
        <v>0.430103979306296</v>
      </c>
      <c r="Q3056" s="0" t="str">
        <f aca="false">SUBSTITUTE(SUBSTITUTE($I3056,CHAR(61),""),CHAR(34),"")</f>
        <v>10-14</v>
      </c>
      <c r="R3056" s="0" t="str">
        <f aca="false">IF($D3056&lt;&gt;"","["&amp;$E3056&amp;"]"&amp;"|"&amp;$Q3056&amp;"|"&amp;$K3056&amp;"|"&amp;$G3056&amp;"|"&amp;IF($G3056="TX_CURR_SUBNAT.R","CY2022Q4",$M3056),"")</f>
        <v>[vA4NcHxfMBq]|10-14|Female|PLHIV_Attend.T_1|CY2023Q3</v>
      </c>
    </row>
    <row r="3057" customFormat="false" ht="15" hidden="false" customHeight="false" outlineLevel="0" collapsed="false">
      <c r="D3057" s="0" t="s">
        <v>120</v>
      </c>
      <c r="E3057" s="0" t="s">
        <v>121</v>
      </c>
      <c r="F3057" s="0" t="s">
        <v>122</v>
      </c>
      <c r="G3057" s="0" t="s">
        <v>150</v>
      </c>
      <c r="H3057" s="0" t="s">
        <v>150</v>
      </c>
      <c r="I3057" s="0" t="s">
        <v>38</v>
      </c>
      <c r="J3057" s="0" t="s">
        <v>39</v>
      </c>
      <c r="K3057" s="0" t="s">
        <v>30</v>
      </c>
      <c r="L3057" s="0" t="s">
        <v>31</v>
      </c>
      <c r="M3057" s="0" t="s">
        <v>140</v>
      </c>
      <c r="N3057" s="0" t="n">
        <v>580</v>
      </c>
      <c r="O3057" s="10" t="n">
        <v>0.0593363563530147</v>
      </c>
      <c r="P3057" s="10" t="n">
        <v>0.430103979306296</v>
      </c>
      <c r="Q3057" s="0" t="str">
        <f aca="false">SUBSTITUTE(SUBSTITUTE($I3057,CHAR(61),""),CHAR(34),"")</f>
        <v>15-24</v>
      </c>
      <c r="R3057" s="0" t="str">
        <f aca="false">IF($D3057&lt;&gt;"","["&amp;$E3057&amp;"]"&amp;"|"&amp;$Q3057&amp;"|"&amp;$K3057&amp;"|"&amp;$G3057&amp;"|"&amp;IF($G3057="TX_CURR_SUBNAT.R","CY2022Q4",$M3057),"")</f>
        <v>[vA4NcHxfMBq]|15-24|Female|PLHIV_Attend.T_1|CY2023Q3</v>
      </c>
    </row>
    <row r="3058" customFormat="false" ht="15" hidden="false" customHeight="false" outlineLevel="0" collapsed="false">
      <c r="D3058" s="0" t="s">
        <v>120</v>
      </c>
      <c r="E3058" s="0" t="s">
        <v>121</v>
      </c>
      <c r="F3058" s="0" t="s">
        <v>122</v>
      </c>
      <c r="G3058" s="0" t="s">
        <v>150</v>
      </c>
      <c r="H3058" s="0" t="s">
        <v>150</v>
      </c>
      <c r="I3058" s="0" t="s">
        <v>41</v>
      </c>
      <c r="J3058" s="0" t="s">
        <v>42</v>
      </c>
      <c r="K3058" s="0" t="s">
        <v>30</v>
      </c>
      <c r="L3058" s="0" t="s">
        <v>31</v>
      </c>
      <c r="M3058" s="0" t="s">
        <v>140</v>
      </c>
      <c r="N3058" s="0" t="n">
        <v>930</v>
      </c>
      <c r="O3058" s="10" t="n">
        <v>0.209161343285814</v>
      </c>
      <c r="P3058" s="10" t="n">
        <v>0.430103979306296</v>
      </c>
      <c r="Q3058" s="0" t="str">
        <f aca="false">SUBSTITUTE(SUBSTITUTE($I3058,CHAR(61),""),CHAR(34),"")</f>
        <v>25-34</v>
      </c>
      <c r="R3058" s="0" t="str">
        <f aca="false">IF($D3058&lt;&gt;"","["&amp;$E3058&amp;"]"&amp;"|"&amp;$Q3058&amp;"|"&amp;$K3058&amp;"|"&amp;$G3058&amp;"|"&amp;IF($G3058="TX_CURR_SUBNAT.R","CY2022Q4",$M3058),"")</f>
        <v>[vA4NcHxfMBq]|25-34|Female|PLHIV_Attend.T_1|CY2023Q3</v>
      </c>
    </row>
    <row r="3059" customFormat="false" ht="15" hidden="false" customHeight="false" outlineLevel="0" collapsed="false">
      <c r="D3059" s="0" t="s">
        <v>120</v>
      </c>
      <c r="E3059" s="0" t="s">
        <v>121</v>
      </c>
      <c r="F3059" s="0" t="s">
        <v>122</v>
      </c>
      <c r="G3059" s="0" t="s">
        <v>150</v>
      </c>
      <c r="H3059" s="0" t="s">
        <v>150</v>
      </c>
      <c r="I3059" s="0" t="s">
        <v>43</v>
      </c>
      <c r="J3059" s="0" t="s">
        <v>44</v>
      </c>
      <c r="K3059" s="0" t="s">
        <v>30</v>
      </c>
      <c r="L3059" s="0" t="s">
        <v>31</v>
      </c>
      <c r="M3059" s="0" t="s">
        <v>140</v>
      </c>
      <c r="N3059" s="0" t="n">
        <v>1427</v>
      </c>
      <c r="O3059" s="10" t="n">
        <v>0.230608321959153</v>
      </c>
      <c r="P3059" s="10" t="n">
        <v>0.430103979306296</v>
      </c>
      <c r="Q3059" s="0" t="str">
        <f aca="false">SUBSTITUTE(SUBSTITUTE($I3059,CHAR(61),""),CHAR(34),"")</f>
        <v>35-49</v>
      </c>
      <c r="R3059" s="0" t="str">
        <f aca="false">IF($D3059&lt;&gt;"","["&amp;$E3059&amp;"]"&amp;"|"&amp;$Q3059&amp;"|"&amp;$K3059&amp;"|"&amp;$G3059&amp;"|"&amp;IF($G3059="TX_CURR_SUBNAT.R","CY2022Q4",$M3059),"")</f>
        <v>[vA4NcHxfMBq]|35-49|Female|PLHIV_Attend.T_1|CY2023Q3</v>
      </c>
    </row>
    <row r="3060" customFormat="false" ht="15" hidden="false" customHeight="false" outlineLevel="0" collapsed="false">
      <c r="D3060" s="0" t="s">
        <v>120</v>
      </c>
      <c r="E3060" s="0" t="s">
        <v>121</v>
      </c>
      <c r="F3060" s="0" t="s">
        <v>122</v>
      </c>
      <c r="G3060" s="0" t="s">
        <v>150</v>
      </c>
      <c r="H3060" s="0" t="s">
        <v>150</v>
      </c>
      <c r="I3060" s="0" t="s">
        <v>45</v>
      </c>
      <c r="J3060" s="0" t="s">
        <v>46</v>
      </c>
      <c r="K3060" s="0" t="s">
        <v>30</v>
      </c>
      <c r="L3060" s="0" t="s">
        <v>31</v>
      </c>
      <c r="M3060" s="0" t="s">
        <v>140</v>
      </c>
      <c r="N3060" s="0" t="n">
        <v>806</v>
      </c>
      <c r="O3060" s="10" t="n">
        <v>0.131794108776376</v>
      </c>
      <c r="P3060" s="10" t="n">
        <v>0.430103979306296</v>
      </c>
      <c r="Q3060" s="0" t="str">
        <f aca="false">SUBSTITUTE(SUBSTITUTE($I3060,CHAR(61),""),CHAR(34),"")</f>
        <v>50+</v>
      </c>
      <c r="R3060" s="0" t="str">
        <f aca="false">IF($D3060&lt;&gt;"","["&amp;$E3060&amp;"]"&amp;"|"&amp;$Q3060&amp;"|"&amp;$K3060&amp;"|"&amp;$G3060&amp;"|"&amp;IF($G3060="TX_CURR_SUBNAT.R","CY2022Q4",$M3060),"")</f>
        <v>[vA4NcHxfMBq]|50+|Female|PLHIV_Attend.T_1|CY2023Q3</v>
      </c>
    </row>
    <row r="3061" customFormat="false" ht="15" hidden="false" customHeight="false" outlineLevel="0" collapsed="false">
      <c r="D3061" s="0" t="s">
        <v>120</v>
      </c>
      <c r="E3061" s="0" t="s">
        <v>121</v>
      </c>
      <c r="F3061" s="0" t="s">
        <v>122</v>
      </c>
      <c r="G3061" s="0" t="s">
        <v>150</v>
      </c>
      <c r="H3061" s="0" t="s">
        <v>150</v>
      </c>
      <c r="I3061" s="0" t="s">
        <v>28</v>
      </c>
      <c r="J3061" s="0" t="s">
        <v>29</v>
      </c>
      <c r="K3061" s="0" t="s">
        <v>48</v>
      </c>
      <c r="L3061" s="0" t="s">
        <v>49</v>
      </c>
      <c r="M3061" s="0" t="s">
        <v>140</v>
      </c>
      <c r="N3061" s="0" t="n">
        <v>1868</v>
      </c>
      <c r="O3061" s="10" t="n">
        <v>0.660451925126836</v>
      </c>
      <c r="P3061" s="10" t="n">
        <v>0.430103979306296</v>
      </c>
      <c r="Q3061" s="0" t="str">
        <f aca="false">SUBSTITUTE(SUBSTITUTE($I3061,CHAR(61),""),CHAR(34),"")</f>
        <v>&lt;01</v>
      </c>
      <c r="R3061" s="0" t="str">
        <f aca="false">IF($D3061&lt;&gt;"","["&amp;$E3061&amp;"]"&amp;"|"&amp;$Q3061&amp;"|"&amp;$K3061&amp;"|"&amp;$G3061&amp;"|"&amp;IF($G3061="TX_CURR_SUBNAT.R","CY2022Q4",$M3061),"")</f>
        <v>[vA4NcHxfMBq]|&lt;01|Male|PLHIV_Attend.T_1|CY2023Q3</v>
      </c>
    </row>
    <row r="3062" customFormat="false" ht="15" hidden="false" customHeight="false" outlineLevel="0" collapsed="false">
      <c r="D3062" s="0" t="s">
        <v>120</v>
      </c>
      <c r="E3062" s="0" t="s">
        <v>121</v>
      </c>
      <c r="F3062" s="0" t="s">
        <v>122</v>
      </c>
      <c r="G3062" s="0" t="s">
        <v>150</v>
      </c>
      <c r="H3062" s="0" t="s">
        <v>150</v>
      </c>
      <c r="I3062" s="0" t="s">
        <v>33</v>
      </c>
      <c r="J3062" s="0" t="s">
        <v>34</v>
      </c>
      <c r="K3062" s="0" t="s">
        <v>48</v>
      </c>
      <c r="L3062" s="0" t="s">
        <v>49</v>
      </c>
      <c r="M3062" s="0" t="s">
        <v>140</v>
      </c>
      <c r="N3062" s="0" t="n">
        <v>925</v>
      </c>
      <c r="O3062" s="10" t="n">
        <v>0.747564175631851</v>
      </c>
      <c r="P3062" s="10" t="n">
        <v>0.430103979306296</v>
      </c>
      <c r="Q3062" s="0" t="str">
        <f aca="false">SUBSTITUTE(SUBSTITUTE($I3062,CHAR(61),""),CHAR(34),"")</f>
        <v>01-09</v>
      </c>
      <c r="R3062" s="0" t="str">
        <f aca="false">IF($D3062&lt;&gt;"","["&amp;$E3062&amp;"]"&amp;"|"&amp;$Q3062&amp;"|"&amp;$K3062&amp;"|"&amp;$G3062&amp;"|"&amp;IF($G3062="TX_CURR_SUBNAT.R","CY2022Q4",$M3062),"")</f>
        <v>[vA4NcHxfMBq]|01-09|Male|PLHIV_Attend.T_1|CY2023Q3</v>
      </c>
    </row>
    <row r="3063" customFormat="false" ht="15" hidden="false" customHeight="false" outlineLevel="0" collapsed="false">
      <c r="D3063" s="0" t="s">
        <v>120</v>
      </c>
      <c r="E3063" s="0" t="s">
        <v>121</v>
      </c>
      <c r="F3063" s="0" t="s">
        <v>122</v>
      </c>
      <c r="G3063" s="0" t="s">
        <v>150</v>
      </c>
      <c r="H3063" s="0" t="s">
        <v>150</v>
      </c>
      <c r="I3063" s="0" t="s">
        <v>36</v>
      </c>
      <c r="J3063" s="0" t="s">
        <v>37</v>
      </c>
      <c r="K3063" s="0" t="s">
        <v>48</v>
      </c>
      <c r="L3063" s="0" t="s">
        <v>49</v>
      </c>
      <c r="M3063" s="0" t="s">
        <v>140</v>
      </c>
      <c r="N3063" s="0" t="n">
        <v>1800</v>
      </c>
      <c r="O3063" s="10" t="n">
        <v>0.276743105612695</v>
      </c>
      <c r="P3063" s="10" t="n">
        <v>0.430103979306296</v>
      </c>
      <c r="Q3063" s="0" t="str">
        <f aca="false">SUBSTITUTE(SUBSTITUTE($I3063,CHAR(61),""),CHAR(34),"")</f>
        <v>10-14</v>
      </c>
      <c r="R3063" s="0" t="str">
        <f aca="false">IF($D3063&lt;&gt;"","["&amp;$E3063&amp;"]"&amp;"|"&amp;$Q3063&amp;"|"&amp;$K3063&amp;"|"&amp;$G3063&amp;"|"&amp;IF($G3063="TX_CURR_SUBNAT.R","CY2022Q4",$M3063),"")</f>
        <v>[vA4NcHxfMBq]|10-14|Male|PLHIV_Attend.T_1|CY2023Q3</v>
      </c>
    </row>
    <row r="3064" customFormat="false" ht="15" hidden="false" customHeight="false" outlineLevel="0" collapsed="false">
      <c r="D3064" s="0" t="s">
        <v>120</v>
      </c>
      <c r="E3064" s="0" t="s">
        <v>121</v>
      </c>
      <c r="F3064" s="0" t="s">
        <v>122</v>
      </c>
      <c r="G3064" s="0" t="s">
        <v>150</v>
      </c>
      <c r="H3064" s="0" t="s">
        <v>150</v>
      </c>
      <c r="I3064" s="0" t="s">
        <v>38</v>
      </c>
      <c r="J3064" s="0" t="s">
        <v>39</v>
      </c>
      <c r="K3064" s="0" t="s">
        <v>48</v>
      </c>
      <c r="L3064" s="0" t="s">
        <v>49</v>
      </c>
      <c r="M3064" s="0" t="s">
        <v>140</v>
      </c>
      <c r="N3064" s="0" t="n">
        <v>1090</v>
      </c>
      <c r="O3064" s="10" t="n">
        <v>0.165012839250267</v>
      </c>
      <c r="P3064" s="10" t="n">
        <v>0.430103979306296</v>
      </c>
      <c r="Q3064" s="0" t="str">
        <f aca="false">SUBSTITUTE(SUBSTITUTE($I3064,CHAR(61),""),CHAR(34),"")</f>
        <v>15-24</v>
      </c>
      <c r="R3064" s="0" t="str">
        <f aca="false">IF($D3064&lt;&gt;"","["&amp;$E3064&amp;"]"&amp;"|"&amp;$Q3064&amp;"|"&amp;$K3064&amp;"|"&amp;$G3064&amp;"|"&amp;IF($G3064="TX_CURR_SUBNAT.R","CY2022Q4",$M3064),"")</f>
        <v>[vA4NcHxfMBq]|15-24|Male|PLHIV_Attend.T_1|CY2023Q3</v>
      </c>
    </row>
    <row r="3065" customFormat="false" ht="15" hidden="false" customHeight="false" outlineLevel="0" collapsed="false">
      <c r="D3065" s="0" t="s">
        <v>120</v>
      </c>
      <c r="E3065" s="0" t="s">
        <v>121</v>
      </c>
      <c r="F3065" s="0" t="s">
        <v>122</v>
      </c>
      <c r="G3065" s="0" t="s">
        <v>150</v>
      </c>
      <c r="H3065" s="0" t="s">
        <v>150</v>
      </c>
      <c r="I3065" s="0" t="s">
        <v>41</v>
      </c>
      <c r="J3065" s="0" t="s">
        <v>42</v>
      </c>
      <c r="K3065" s="0" t="s">
        <v>48</v>
      </c>
      <c r="L3065" s="0" t="s">
        <v>49</v>
      </c>
      <c r="M3065" s="0" t="s">
        <v>140</v>
      </c>
      <c r="N3065" s="0" t="n">
        <v>775</v>
      </c>
      <c r="O3065" s="10" t="n">
        <v>0.160197942052037</v>
      </c>
      <c r="P3065" s="10" t="n">
        <v>0.430103979306296</v>
      </c>
      <c r="Q3065" s="0" t="str">
        <f aca="false">SUBSTITUTE(SUBSTITUTE($I3065,CHAR(61),""),CHAR(34),"")</f>
        <v>25-34</v>
      </c>
      <c r="R3065" s="0" t="str">
        <f aca="false">IF($D3065&lt;&gt;"","["&amp;$E3065&amp;"]"&amp;"|"&amp;$Q3065&amp;"|"&amp;$K3065&amp;"|"&amp;$G3065&amp;"|"&amp;IF($G3065="TX_CURR_SUBNAT.R","CY2022Q4",$M3065),"")</f>
        <v>[vA4NcHxfMBq]|25-34|Male|PLHIV_Attend.T_1|CY2023Q3</v>
      </c>
    </row>
    <row r="3066" customFormat="false" ht="15" hidden="false" customHeight="false" outlineLevel="0" collapsed="false">
      <c r="D3066" s="0" t="s">
        <v>120</v>
      </c>
      <c r="E3066" s="0" t="s">
        <v>121</v>
      </c>
      <c r="F3066" s="0" t="s">
        <v>122</v>
      </c>
      <c r="G3066" s="0" t="s">
        <v>150</v>
      </c>
      <c r="H3066" s="0" t="s">
        <v>150</v>
      </c>
      <c r="I3066" s="0" t="s">
        <v>43</v>
      </c>
      <c r="J3066" s="0" t="s">
        <v>44</v>
      </c>
      <c r="K3066" s="0" t="s">
        <v>48</v>
      </c>
      <c r="L3066" s="0" t="s">
        <v>49</v>
      </c>
      <c r="M3066" s="0" t="s">
        <v>140</v>
      </c>
      <c r="N3066" s="0" t="n">
        <v>711</v>
      </c>
      <c r="O3066" s="10" t="n">
        <v>0.311281421687454</v>
      </c>
      <c r="P3066" s="10" t="n">
        <v>0.430103979306296</v>
      </c>
      <c r="Q3066" s="0" t="str">
        <f aca="false">SUBSTITUTE(SUBSTITUTE($I3066,CHAR(61),""),CHAR(34),"")</f>
        <v>35-49</v>
      </c>
      <c r="R3066" s="0" t="str">
        <f aca="false">IF($D3066&lt;&gt;"","["&amp;$E3066&amp;"]"&amp;"|"&amp;$Q3066&amp;"|"&amp;$K3066&amp;"|"&amp;$G3066&amp;"|"&amp;IF($G3066="TX_CURR_SUBNAT.R","CY2022Q4",$M3066),"")</f>
        <v>[vA4NcHxfMBq]|35-49|Male|PLHIV_Attend.T_1|CY2023Q3</v>
      </c>
    </row>
    <row r="3067" customFormat="false" ht="15" hidden="false" customHeight="false" outlineLevel="0" collapsed="false">
      <c r="D3067" s="0" t="s">
        <v>120</v>
      </c>
      <c r="E3067" s="0" t="s">
        <v>121</v>
      </c>
      <c r="F3067" s="0" t="s">
        <v>122</v>
      </c>
      <c r="G3067" s="0" t="s">
        <v>150</v>
      </c>
      <c r="H3067" s="0" t="s">
        <v>150</v>
      </c>
      <c r="I3067" s="0" t="s">
        <v>45</v>
      </c>
      <c r="J3067" s="0" t="s">
        <v>46</v>
      </c>
      <c r="K3067" s="0" t="s">
        <v>48</v>
      </c>
      <c r="L3067" s="0" t="s">
        <v>49</v>
      </c>
      <c r="M3067" s="0" t="s">
        <v>140</v>
      </c>
      <c r="N3067" s="0" t="n">
        <v>780</v>
      </c>
      <c r="O3067" s="10" t="n">
        <v>0.348399432143196</v>
      </c>
      <c r="P3067" s="10" t="n">
        <v>0.430103979306296</v>
      </c>
      <c r="Q3067" s="0" t="str">
        <f aca="false">SUBSTITUTE(SUBSTITUTE($I3067,CHAR(61),""),CHAR(34),"")</f>
        <v>50+</v>
      </c>
      <c r="R3067" s="0" t="str">
        <f aca="false">IF($D3067&lt;&gt;"","["&amp;$E3067&amp;"]"&amp;"|"&amp;$Q3067&amp;"|"&amp;$K3067&amp;"|"&amp;$G3067&amp;"|"&amp;IF($G3067="TX_CURR_SUBNAT.R","CY2022Q4",$M3067),"")</f>
        <v>[vA4NcHxfMBq]|50+|Male|PLHIV_Attend.T_1|CY2023Q3</v>
      </c>
    </row>
    <row r="3068" customFormat="false" ht="15" hidden="false" customHeight="false" outlineLevel="0" collapsed="false">
      <c r="D3068" s="0" t="s">
        <v>123</v>
      </c>
      <c r="E3068" s="0" t="s">
        <v>124</v>
      </c>
      <c r="F3068" s="0" t="s">
        <v>125</v>
      </c>
      <c r="G3068" s="0" t="s">
        <v>150</v>
      </c>
      <c r="H3068" s="0" t="s">
        <v>150</v>
      </c>
      <c r="I3068" s="0" t="s">
        <v>28</v>
      </c>
      <c r="J3068" s="0" t="s">
        <v>29</v>
      </c>
      <c r="K3068" s="0" t="s">
        <v>30</v>
      </c>
      <c r="L3068" s="0" t="s">
        <v>31</v>
      </c>
      <c r="M3068" s="0" t="s">
        <v>140</v>
      </c>
      <c r="N3068" s="0" t="n">
        <v>1004</v>
      </c>
      <c r="O3068" s="10" t="n">
        <v>0.91493174363859</v>
      </c>
      <c r="P3068" s="10" t="n">
        <v>0.419500603340566</v>
      </c>
      <c r="Q3068" s="0" t="str">
        <f aca="false">SUBSTITUTE(SUBSTITUTE($I3068,CHAR(61),""),CHAR(34),"")</f>
        <v>&lt;01</v>
      </c>
      <c r="R3068" s="0" t="str">
        <f aca="false">IF($D3068&lt;&gt;"","["&amp;$E3068&amp;"]"&amp;"|"&amp;$Q3068&amp;"|"&amp;$K3068&amp;"|"&amp;$G3068&amp;"|"&amp;IF($G3068="TX_CURR_SUBNAT.R","CY2022Q4",$M3068),"")</f>
        <v>[E7zpfyBt7Tw]|&lt;01|Female|PLHIV_Attend.T_1|CY2023Q3</v>
      </c>
    </row>
    <row r="3069" customFormat="false" ht="15" hidden="false" customHeight="false" outlineLevel="0" collapsed="false">
      <c r="D3069" s="0" t="s">
        <v>123</v>
      </c>
      <c r="E3069" s="0" t="s">
        <v>124</v>
      </c>
      <c r="F3069" s="0" t="s">
        <v>125</v>
      </c>
      <c r="G3069" s="0" t="s">
        <v>150</v>
      </c>
      <c r="H3069" s="0" t="s">
        <v>150</v>
      </c>
      <c r="I3069" s="0" t="s">
        <v>33</v>
      </c>
      <c r="J3069" s="0" t="s">
        <v>34</v>
      </c>
      <c r="K3069" s="0" t="s">
        <v>30</v>
      </c>
      <c r="L3069" s="0" t="s">
        <v>31</v>
      </c>
      <c r="M3069" s="0" t="s">
        <v>140</v>
      </c>
      <c r="N3069" s="0" t="n">
        <v>1854</v>
      </c>
      <c r="O3069" s="10" t="n">
        <v>0.893615294946358</v>
      </c>
      <c r="P3069" s="10" t="n">
        <v>0.419500603340566</v>
      </c>
      <c r="Q3069" s="0" t="str">
        <f aca="false">SUBSTITUTE(SUBSTITUTE($I3069,CHAR(61),""),CHAR(34),"")</f>
        <v>01-09</v>
      </c>
      <c r="R3069" s="0" t="str">
        <f aca="false">IF($D3069&lt;&gt;"","["&amp;$E3069&amp;"]"&amp;"|"&amp;$Q3069&amp;"|"&amp;$K3069&amp;"|"&amp;$G3069&amp;"|"&amp;IF($G3069="TX_CURR_SUBNAT.R","CY2022Q4",$M3069),"")</f>
        <v>[E7zpfyBt7Tw]|01-09|Female|PLHIV_Attend.T_1|CY2023Q3</v>
      </c>
    </row>
    <row r="3070" customFormat="false" ht="15" hidden="false" customHeight="false" outlineLevel="0" collapsed="false">
      <c r="D3070" s="0" t="s">
        <v>123</v>
      </c>
      <c r="E3070" s="0" t="s">
        <v>124</v>
      </c>
      <c r="F3070" s="0" t="s">
        <v>125</v>
      </c>
      <c r="G3070" s="0" t="s">
        <v>150</v>
      </c>
      <c r="H3070" s="0" t="s">
        <v>150</v>
      </c>
      <c r="I3070" s="0" t="s">
        <v>36</v>
      </c>
      <c r="J3070" s="0" t="s">
        <v>37</v>
      </c>
      <c r="K3070" s="0" t="s">
        <v>30</v>
      </c>
      <c r="L3070" s="0" t="s">
        <v>31</v>
      </c>
      <c r="M3070" s="0" t="s">
        <v>140</v>
      </c>
      <c r="N3070" s="0" t="n">
        <v>854</v>
      </c>
      <c r="O3070" s="10" t="n">
        <v>0.140476338099688</v>
      </c>
      <c r="P3070" s="10" t="n">
        <v>0.419500603340566</v>
      </c>
      <c r="Q3070" s="0" t="str">
        <f aca="false">SUBSTITUTE(SUBSTITUTE($I3070,CHAR(61),""),CHAR(34),"")</f>
        <v>10-14</v>
      </c>
      <c r="R3070" s="0" t="str">
        <f aca="false">IF($D3070&lt;&gt;"","["&amp;$E3070&amp;"]"&amp;"|"&amp;$Q3070&amp;"|"&amp;$K3070&amp;"|"&amp;$G3070&amp;"|"&amp;IF($G3070="TX_CURR_SUBNAT.R","CY2022Q4",$M3070),"")</f>
        <v>[E7zpfyBt7Tw]|10-14|Female|PLHIV_Attend.T_1|CY2023Q3</v>
      </c>
    </row>
    <row r="3071" customFormat="false" ht="15" hidden="false" customHeight="false" outlineLevel="0" collapsed="false">
      <c r="D3071" s="0" t="s">
        <v>123</v>
      </c>
      <c r="E3071" s="0" t="s">
        <v>124</v>
      </c>
      <c r="F3071" s="0" t="s">
        <v>125</v>
      </c>
      <c r="G3071" s="0" t="s">
        <v>150</v>
      </c>
      <c r="H3071" s="0" t="s">
        <v>150</v>
      </c>
      <c r="I3071" s="0" t="s">
        <v>38</v>
      </c>
      <c r="J3071" s="0" t="s">
        <v>39</v>
      </c>
      <c r="K3071" s="0" t="s">
        <v>30</v>
      </c>
      <c r="L3071" s="0" t="s">
        <v>31</v>
      </c>
      <c r="M3071" s="0" t="s">
        <v>140</v>
      </c>
      <c r="N3071" s="0" t="n">
        <v>1061</v>
      </c>
      <c r="O3071" s="10" t="n">
        <v>0.515021801460534</v>
      </c>
      <c r="P3071" s="10" t="n">
        <v>0.419500603340566</v>
      </c>
      <c r="Q3071" s="0" t="str">
        <f aca="false">SUBSTITUTE(SUBSTITUTE($I3071,CHAR(61),""),CHAR(34),"")</f>
        <v>15-24</v>
      </c>
      <c r="R3071" s="0" t="str">
        <f aca="false">IF($D3071&lt;&gt;"","["&amp;$E3071&amp;"]"&amp;"|"&amp;$Q3071&amp;"|"&amp;$K3071&amp;"|"&amp;$G3071&amp;"|"&amp;IF($G3071="TX_CURR_SUBNAT.R","CY2022Q4",$M3071),"")</f>
        <v>[E7zpfyBt7Tw]|15-24|Female|PLHIV_Attend.T_1|CY2023Q3</v>
      </c>
    </row>
    <row r="3072" customFormat="false" ht="15" hidden="false" customHeight="false" outlineLevel="0" collapsed="false">
      <c r="D3072" s="0" t="s">
        <v>123</v>
      </c>
      <c r="E3072" s="0" t="s">
        <v>124</v>
      </c>
      <c r="F3072" s="0" t="s">
        <v>125</v>
      </c>
      <c r="G3072" s="0" t="s">
        <v>150</v>
      </c>
      <c r="H3072" s="0" t="s">
        <v>150</v>
      </c>
      <c r="I3072" s="0" t="s">
        <v>41</v>
      </c>
      <c r="J3072" s="0" t="s">
        <v>42</v>
      </c>
      <c r="K3072" s="0" t="s">
        <v>30</v>
      </c>
      <c r="L3072" s="0" t="s">
        <v>31</v>
      </c>
      <c r="M3072" s="0" t="s">
        <v>140</v>
      </c>
      <c r="N3072" s="0" t="n">
        <v>1647</v>
      </c>
      <c r="O3072" s="10" t="n">
        <v>0.0423010648228228</v>
      </c>
      <c r="P3072" s="10" t="n">
        <v>0.419500603340566</v>
      </c>
      <c r="Q3072" s="0" t="str">
        <f aca="false">SUBSTITUTE(SUBSTITUTE($I3072,CHAR(61),""),CHAR(34),"")</f>
        <v>25-34</v>
      </c>
      <c r="R3072" s="0" t="str">
        <f aca="false">IF($D3072&lt;&gt;"","["&amp;$E3072&amp;"]"&amp;"|"&amp;$Q3072&amp;"|"&amp;$K3072&amp;"|"&amp;$G3072&amp;"|"&amp;IF($G3072="TX_CURR_SUBNAT.R","CY2022Q4",$M3072),"")</f>
        <v>[E7zpfyBt7Tw]|25-34|Female|PLHIV_Attend.T_1|CY2023Q3</v>
      </c>
    </row>
    <row r="3073" customFormat="false" ht="15" hidden="false" customHeight="false" outlineLevel="0" collapsed="false">
      <c r="D3073" s="0" t="s">
        <v>123</v>
      </c>
      <c r="E3073" s="0" t="s">
        <v>124</v>
      </c>
      <c r="F3073" s="0" t="s">
        <v>125</v>
      </c>
      <c r="G3073" s="0" t="s">
        <v>150</v>
      </c>
      <c r="H3073" s="0" t="s">
        <v>150</v>
      </c>
      <c r="I3073" s="0" t="s">
        <v>43</v>
      </c>
      <c r="J3073" s="0" t="s">
        <v>44</v>
      </c>
      <c r="K3073" s="0" t="s">
        <v>30</v>
      </c>
      <c r="L3073" s="0" t="s">
        <v>31</v>
      </c>
      <c r="M3073" s="0" t="s">
        <v>140</v>
      </c>
      <c r="N3073" s="0" t="n">
        <v>1748</v>
      </c>
      <c r="O3073" s="10" t="n">
        <v>0.475245396140963</v>
      </c>
      <c r="P3073" s="10" t="n">
        <v>0.419500603340566</v>
      </c>
      <c r="Q3073" s="0" t="str">
        <f aca="false">SUBSTITUTE(SUBSTITUTE($I3073,CHAR(61),""),CHAR(34),"")</f>
        <v>35-49</v>
      </c>
      <c r="R3073" s="0" t="str">
        <f aca="false">IF($D3073&lt;&gt;"","["&amp;$E3073&amp;"]"&amp;"|"&amp;$Q3073&amp;"|"&amp;$K3073&amp;"|"&amp;$G3073&amp;"|"&amp;IF($G3073="TX_CURR_SUBNAT.R","CY2022Q4",$M3073),"")</f>
        <v>[E7zpfyBt7Tw]|35-49|Female|PLHIV_Attend.T_1|CY2023Q3</v>
      </c>
    </row>
    <row r="3074" customFormat="false" ht="15" hidden="false" customHeight="false" outlineLevel="0" collapsed="false">
      <c r="D3074" s="0" t="s">
        <v>123</v>
      </c>
      <c r="E3074" s="0" t="s">
        <v>124</v>
      </c>
      <c r="F3074" s="0" t="s">
        <v>125</v>
      </c>
      <c r="G3074" s="0" t="s">
        <v>150</v>
      </c>
      <c r="H3074" s="0" t="s">
        <v>150</v>
      </c>
      <c r="I3074" s="0" t="s">
        <v>45</v>
      </c>
      <c r="J3074" s="0" t="s">
        <v>46</v>
      </c>
      <c r="K3074" s="0" t="s">
        <v>30</v>
      </c>
      <c r="L3074" s="0" t="s">
        <v>31</v>
      </c>
      <c r="M3074" s="0" t="s">
        <v>140</v>
      </c>
      <c r="N3074" s="0" t="n">
        <v>974</v>
      </c>
      <c r="O3074" s="10" t="n">
        <v>0.88201855821535</v>
      </c>
      <c r="P3074" s="10" t="n">
        <v>0.419500603340566</v>
      </c>
      <c r="Q3074" s="0" t="str">
        <f aca="false">SUBSTITUTE(SUBSTITUTE($I3074,CHAR(61),""),CHAR(34),"")</f>
        <v>50+</v>
      </c>
      <c r="R3074" s="0" t="str">
        <f aca="false">IF($D3074&lt;&gt;"","["&amp;$E3074&amp;"]"&amp;"|"&amp;$Q3074&amp;"|"&amp;$K3074&amp;"|"&amp;$G3074&amp;"|"&amp;IF($G3074="TX_CURR_SUBNAT.R","CY2022Q4",$M3074),"")</f>
        <v>[E7zpfyBt7Tw]|50+|Female|PLHIV_Attend.T_1|CY2023Q3</v>
      </c>
    </row>
    <row r="3075" customFormat="false" ht="15" hidden="false" customHeight="false" outlineLevel="0" collapsed="false">
      <c r="D3075" s="0" t="s">
        <v>123</v>
      </c>
      <c r="E3075" s="0" t="s">
        <v>124</v>
      </c>
      <c r="F3075" s="0" t="s">
        <v>125</v>
      </c>
      <c r="G3075" s="0" t="s">
        <v>150</v>
      </c>
      <c r="H3075" s="0" t="s">
        <v>150</v>
      </c>
      <c r="I3075" s="0" t="s">
        <v>28</v>
      </c>
      <c r="J3075" s="0" t="s">
        <v>29</v>
      </c>
      <c r="K3075" s="0" t="s">
        <v>48</v>
      </c>
      <c r="L3075" s="0" t="s">
        <v>49</v>
      </c>
      <c r="M3075" s="0" t="s">
        <v>140</v>
      </c>
      <c r="N3075" s="0" t="n">
        <v>1682</v>
      </c>
      <c r="O3075" s="10" t="n">
        <v>0.0126198420766741</v>
      </c>
      <c r="P3075" s="10" t="n">
        <v>0.419500603340566</v>
      </c>
      <c r="Q3075" s="0" t="str">
        <f aca="false">SUBSTITUTE(SUBSTITUTE($I3075,CHAR(61),""),CHAR(34),"")</f>
        <v>&lt;01</v>
      </c>
      <c r="R3075" s="0" t="str">
        <f aca="false">IF($D3075&lt;&gt;"","["&amp;$E3075&amp;"]"&amp;"|"&amp;$Q3075&amp;"|"&amp;$K3075&amp;"|"&amp;$G3075&amp;"|"&amp;IF($G3075="TX_CURR_SUBNAT.R","CY2022Q4",$M3075),"")</f>
        <v>[E7zpfyBt7Tw]|&lt;01|Male|PLHIV_Attend.T_1|CY2023Q3</v>
      </c>
    </row>
    <row r="3076" customFormat="false" ht="15" hidden="false" customHeight="false" outlineLevel="0" collapsed="false">
      <c r="D3076" s="0" t="s">
        <v>123</v>
      </c>
      <c r="E3076" s="0" t="s">
        <v>124</v>
      </c>
      <c r="F3076" s="0" t="s">
        <v>125</v>
      </c>
      <c r="G3076" s="0" t="s">
        <v>150</v>
      </c>
      <c r="H3076" s="0" t="s">
        <v>150</v>
      </c>
      <c r="I3076" s="0" t="s">
        <v>33</v>
      </c>
      <c r="J3076" s="0" t="s">
        <v>34</v>
      </c>
      <c r="K3076" s="0" t="s">
        <v>48</v>
      </c>
      <c r="L3076" s="0" t="s">
        <v>49</v>
      </c>
      <c r="M3076" s="0" t="s">
        <v>140</v>
      </c>
      <c r="N3076" s="0" t="n">
        <v>1948</v>
      </c>
      <c r="O3076" s="10" t="n">
        <v>0.157747675664723</v>
      </c>
      <c r="P3076" s="10" t="n">
        <v>0.419500603340566</v>
      </c>
      <c r="Q3076" s="0" t="str">
        <f aca="false">SUBSTITUTE(SUBSTITUTE($I3076,CHAR(61),""),CHAR(34),"")</f>
        <v>01-09</v>
      </c>
      <c r="R3076" s="0" t="str">
        <f aca="false">IF($D3076&lt;&gt;"","["&amp;$E3076&amp;"]"&amp;"|"&amp;$Q3076&amp;"|"&amp;$K3076&amp;"|"&amp;$G3076&amp;"|"&amp;IF($G3076="TX_CURR_SUBNAT.R","CY2022Q4",$M3076),"")</f>
        <v>[E7zpfyBt7Tw]|01-09|Male|PLHIV_Attend.T_1|CY2023Q3</v>
      </c>
    </row>
    <row r="3077" customFormat="false" ht="15" hidden="false" customHeight="false" outlineLevel="0" collapsed="false">
      <c r="D3077" s="0" t="s">
        <v>123</v>
      </c>
      <c r="E3077" s="0" t="s">
        <v>124</v>
      </c>
      <c r="F3077" s="0" t="s">
        <v>125</v>
      </c>
      <c r="G3077" s="0" t="s">
        <v>150</v>
      </c>
      <c r="H3077" s="0" t="s">
        <v>150</v>
      </c>
      <c r="I3077" s="0" t="s">
        <v>36</v>
      </c>
      <c r="J3077" s="0" t="s">
        <v>37</v>
      </c>
      <c r="K3077" s="0" t="s">
        <v>48</v>
      </c>
      <c r="L3077" s="0" t="s">
        <v>49</v>
      </c>
      <c r="M3077" s="0" t="s">
        <v>140</v>
      </c>
      <c r="N3077" s="0" t="n">
        <v>1227</v>
      </c>
      <c r="O3077" s="10" t="n">
        <v>0.248654657974839</v>
      </c>
      <c r="P3077" s="10" t="n">
        <v>0.419500603340566</v>
      </c>
      <c r="Q3077" s="0" t="str">
        <f aca="false">SUBSTITUTE(SUBSTITUTE($I3077,CHAR(61),""),CHAR(34),"")</f>
        <v>10-14</v>
      </c>
      <c r="R3077" s="0" t="str">
        <f aca="false">IF($D3077&lt;&gt;"","["&amp;$E3077&amp;"]"&amp;"|"&amp;$Q3077&amp;"|"&amp;$K3077&amp;"|"&amp;$G3077&amp;"|"&amp;IF($G3077="TX_CURR_SUBNAT.R","CY2022Q4",$M3077),"")</f>
        <v>[E7zpfyBt7Tw]|10-14|Male|PLHIV_Attend.T_1|CY2023Q3</v>
      </c>
    </row>
    <row r="3078" customFormat="false" ht="15" hidden="false" customHeight="false" outlineLevel="0" collapsed="false">
      <c r="D3078" s="0" t="s">
        <v>123</v>
      </c>
      <c r="E3078" s="0" t="s">
        <v>124</v>
      </c>
      <c r="F3078" s="0" t="s">
        <v>125</v>
      </c>
      <c r="G3078" s="0" t="s">
        <v>150</v>
      </c>
      <c r="H3078" s="0" t="s">
        <v>150</v>
      </c>
      <c r="I3078" s="0" t="s">
        <v>38</v>
      </c>
      <c r="J3078" s="0" t="s">
        <v>39</v>
      </c>
      <c r="K3078" s="0" t="s">
        <v>48</v>
      </c>
      <c r="L3078" s="0" t="s">
        <v>49</v>
      </c>
      <c r="M3078" s="0" t="s">
        <v>140</v>
      </c>
      <c r="N3078" s="0" t="n">
        <v>613</v>
      </c>
      <c r="O3078" s="10" t="n">
        <v>0.282229730859399</v>
      </c>
      <c r="P3078" s="10" t="n">
        <v>0.419500603340566</v>
      </c>
      <c r="Q3078" s="0" t="str">
        <f aca="false">SUBSTITUTE(SUBSTITUTE($I3078,CHAR(61),""),CHAR(34),"")</f>
        <v>15-24</v>
      </c>
      <c r="R3078" s="0" t="str">
        <f aca="false">IF($D3078&lt;&gt;"","["&amp;$E3078&amp;"]"&amp;"|"&amp;$Q3078&amp;"|"&amp;$K3078&amp;"|"&amp;$G3078&amp;"|"&amp;IF($G3078="TX_CURR_SUBNAT.R","CY2022Q4",$M3078),"")</f>
        <v>[E7zpfyBt7Tw]|15-24|Male|PLHIV_Attend.T_1|CY2023Q3</v>
      </c>
    </row>
    <row r="3079" customFormat="false" ht="15" hidden="false" customHeight="false" outlineLevel="0" collapsed="false">
      <c r="D3079" s="0" t="s">
        <v>123</v>
      </c>
      <c r="E3079" s="0" t="s">
        <v>124</v>
      </c>
      <c r="F3079" s="0" t="s">
        <v>125</v>
      </c>
      <c r="G3079" s="0" t="s">
        <v>150</v>
      </c>
      <c r="H3079" s="0" t="s">
        <v>150</v>
      </c>
      <c r="I3079" s="0" t="s">
        <v>41</v>
      </c>
      <c r="J3079" s="0" t="s">
        <v>42</v>
      </c>
      <c r="K3079" s="0" t="s">
        <v>48</v>
      </c>
      <c r="L3079" s="0" t="s">
        <v>49</v>
      </c>
      <c r="M3079" s="0" t="s">
        <v>140</v>
      </c>
      <c r="N3079" s="0" t="n">
        <v>794</v>
      </c>
      <c r="O3079" s="10" t="n">
        <v>0.0297447072807699</v>
      </c>
      <c r="P3079" s="10" t="n">
        <v>0.419500603340566</v>
      </c>
      <c r="Q3079" s="0" t="str">
        <f aca="false">SUBSTITUTE(SUBSTITUTE($I3079,CHAR(61),""),CHAR(34),"")</f>
        <v>25-34</v>
      </c>
      <c r="R3079" s="0" t="str">
        <f aca="false">IF($D3079&lt;&gt;"","["&amp;$E3079&amp;"]"&amp;"|"&amp;$Q3079&amp;"|"&amp;$K3079&amp;"|"&amp;$G3079&amp;"|"&amp;IF($G3079="TX_CURR_SUBNAT.R","CY2022Q4",$M3079),"")</f>
        <v>[E7zpfyBt7Tw]|25-34|Male|PLHIV_Attend.T_1|CY2023Q3</v>
      </c>
    </row>
    <row r="3080" customFormat="false" ht="15" hidden="false" customHeight="false" outlineLevel="0" collapsed="false">
      <c r="D3080" s="0" t="s">
        <v>123</v>
      </c>
      <c r="E3080" s="0" t="s">
        <v>124</v>
      </c>
      <c r="F3080" s="0" t="s">
        <v>125</v>
      </c>
      <c r="G3080" s="0" t="s">
        <v>150</v>
      </c>
      <c r="H3080" s="0" t="s">
        <v>150</v>
      </c>
      <c r="I3080" s="0" t="s">
        <v>43</v>
      </c>
      <c r="J3080" s="0" t="s">
        <v>44</v>
      </c>
      <c r="K3080" s="0" t="s">
        <v>48</v>
      </c>
      <c r="L3080" s="0" t="s">
        <v>49</v>
      </c>
      <c r="M3080" s="0" t="s">
        <v>140</v>
      </c>
      <c r="N3080" s="0" t="n">
        <v>1098</v>
      </c>
      <c r="O3080" s="10" t="n">
        <v>0.385259764734656</v>
      </c>
      <c r="P3080" s="10" t="n">
        <v>0.419500603340566</v>
      </c>
      <c r="Q3080" s="0" t="str">
        <f aca="false">SUBSTITUTE(SUBSTITUTE($I3080,CHAR(61),""),CHAR(34),"")</f>
        <v>35-49</v>
      </c>
      <c r="R3080" s="0" t="str">
        <f aca="false">IF($D3080&lt;&gt;"","["&amp;$E3080&amp;"]"&amp;"|"&amp;$Q3080&amp;"|"&amp;$K3080&amp;"|"&amp;$G3080&amp;"|"&amp;IF($G3080="TX_CURR_SUBNAT.R","CY2022Q4",$M3080),"")</f>
        <v>[E7zpfyBt7Tw]|35-49|Male|PLHIV_Attend.T_1|CY2023Q3</v>
      </c>
    </row>
    <row r="3081" customFormat="false" ht="15" hidden="false" customHeight="false" outlineLevel="0" collapsed="false">
      <c r="D3081" s="0" t="s">
        <v>123</v>
      </c>
      <c r="E3081" s="0" t="s">
        <v>124</v>
      </c>
      <c r="F3081" s="0" t="s">
        <v>125</v>
      </c>
      <c r="G3081" s="0" t="s">
        <v>150</v>
      </c>
      <c r="H3081" s="0" t="s">
        <v>150</v>
      </c>
      <c r="I3081" s="0" t="s">
        <v>45</v>
      </c>
      <c r="J3081" s="0" t="s">
        <v>46</v>
      </c>
      <c r="K3081" s="0" t="s">
        <v>48</v>
      </c>
      <c r="L3081" s="0" t="s">
        <v>49</v>
      </c>
      <c r="M3081" s="0" t="s">
        <v>140</v>
      </c>
      <c r="N3081" s="0" t="n">
        <v>1097</v>
      </c>
      <c r="O3081" s="10" t="n">
        <v>0.965917276451364</v>
      </c>
      <c r="P3081" s="10" t="n">
        <v>0.419500603340566</v>
      </c>
      <c r="Q3081" s="0" t="str">
        <f aca="false">SUBSTITUTE(SUBSTITUTE($I3081,CHAR(61),""),CHAR(34),"")</f>
        <v>50+</v>
      </c>
      <c r="R3081" s="0" t="str">
        <f aca="false">IF($D3081&lt;&gt;"","["&amp;$E3081&amp;"]"&amp;"|"&amp;$Q3081&amp;"|"&amp;$K3081&amp;"|"&amp;$G3081&amp;"|"&amp;IF($G3081="TX_CURR_SUBNAT.R","CY2022Q4",$M3081),"")</f>
        <v>[E7zpfyBt7Tw]|50+|Male|PLHIV_Attend.T_1|CY2023Q3</v>
      </c>
    </row>
    <row r="3082" customFormat="false" ht="15" hidden="false" customHeight="false" outlineLevel="0" collapsed="false">
      <c r="D3082" s="0" t="s">
        <v>126</v>
      </c>
      <c r="E3082" s="0" t="s">
        <v>127</v>
      </c>
      <c r="F3082" s="0" t="s">
        <v>128</v>
      </c>
      <c r="G3082" s="0" t="s">
        <v>150</v>
      </c>
      <c r="H3082" s="0" t="s">
        <v>150</v>
      </c>
      <c r="I3082" s="0" t="s">
        <v>28</v>
      </c>
      <c r="J3082" s="0" t="s">
        <v>29</v>
      </c>
      <c r="K3082" s="0" t="s">
        <v>30</v>
      </c>
      <c r="L3082" s="0" t="s">
        <v>31</v>
      </c>
      <c r="M3082" s="0" t="s">
        <v>140</v>
      </c>
      <c r="N3082" s="0" t="n">
        <v>1935</v>
      </c>
      <c r="O3082" s="10" t="n">
        <v>0.0202698095235974</v>
      </c>
      <c r="P3082" s="10" t="n">
        <v>0.252706390339881</v>
      </c>
      <c r="Q3082" s="0" t="str">
        <f aca="false">SUBSTITUTE(SUBSTITUTE($I3082,CHAR(61),""),CHAR(34),"")</f>
        <v>&lt;01</v>
      </c>
      <c r="R3082" s="0" t="str">
        <f aca="false">IF($D3082&lt;&gt;"","["&amp;$E3082&amp;"]"&amp;"|"&amp;$Q3082&amp;"|"&amp;$K3082&amp;"|"&amp;$G3082&amp;"|"&amp;IF($G3082="TX_CURR_SUBNAT.R","CY2022Q4",$M3082),"")</f>
        <v>[ZCjuwgaMB9u]|&lt;01|Female|PLHIV_Attend.T_1|CY2023Q3</v>
      </c>
    </row>
    <row r="3083" customFormat="false" ht="15" hidden="false" customHeight="false" outlineLevel="0" collapsed="false">
      <c r="D3083" s="0" t="s">
        <v>126</v>
      </c>
      <c r="E3083" s="0" t="s">
        <v>127</v>
      </c>
      <c r="F3083" s="0" t="s">
        <v>128</v>
      </c>
      <c r="G3083" s="0" t="s">
        <v>150</v>
      </c>
      <c r="H3083" s="0" t="s">
        <v>150</v>
      </c>
      <c r="I3083" s="0" t="s">
        <v>33</v>
      </c>
      <c r="J3083" s="0" t="s">
        <v>34</v>
      </c>
      <c r="K3083" s="0" t="s">
        <v>30</v>
      </c>
      <c r="L3083" s="0" t="s">
        <v>31</v>
      </c>
      <c r="M3083" s="0" t="s">
        <v>140</v>
      </c>
      <c r="N3083" s="0" t="n">
        <v>663</v>
      </c>
      <c r="O3083" s="10" t="n">
        <v>0.592754832236096</v>
      </c>
      <c r="P3083" s="10" t="n">
        <v>0.252706390339881</v>
      </c>
      <c r="Q3083" s="0" t="str">
        <f aca="false">SUBSTITUTE(SUBSTITUTE($I3083,CHAR(61),""),CHAR(34),"")</f>
        <v>01-09</v>
      </c>
      <c r="R3083" s="0" t="str">
        <f aca="false">IF($D3083&lt;&gt;"","["&amp;$E3083&amp;"]"&amp;"|"&amp;$Q3083&amp;"|"&amp;$K3083&amp;"|"&amp;$G3083&amp;"|"&amp;IF($G3083="TX_CURR_SUBNAT.R","CY2022Q4",$M3083),"")</f>
        <v>[ZCjuwgaMB9u]|01-09|Female|PLHIV_Attend.T_1|CY2023Q3</v>
      </c>
    </row>
    <row r="3084" customFormat="false" ht="15" hidden="false" customHeight="false" outlineLevel="0" collapsed="false">
      <c r="D3084" s="0" t="s">
        <v>126</v>
      </c>
      <c r="E3084" s="0" t="s">
        <v>127</v>
      </c>
      <c r="F3084" s="0" t="s">
        <v>128</v>
      </c>
      <c r="G3084" s="0" t="s">
        <v>150</v>
      </c>
      <c r="H3084" s="0" t="s">
        <v>150</v>
      </c>
      <c r="I3084" s="0" t="s">
        <v>36</v>
      </c>
      <c r="J3084" s="0" t="s">
        <v>37</v>
      </c>
      <c r="K3084" s="0" t="s">
        <v>30</v>
      </c>
      <c r="L3084" s="0" t="s">
        <v>31</v>
      </c>
      <c r="M3084" s="0" t="s">
        <v>140</v>
      </c>
      <c r="N3084" s="0" t="n">
        <v>1510</v>
      </c>
      <c r="O3084" s="10" t="n">
        <v>0.503908330574632</v>
      </c>
      <c r="P3084" s="10" t="n">
        <v>0.252706390339881</v>
      </c>
      <c r="Q3084" s="0" t="str">
        <f aca="false">SUBSTITUTE(SUBSTITUTE($I3084,CHAR(61),""),CHAR(34),"")</f>
        <v>10-14</v>
      </c>
      <c r="R3084" s="0" t="str">
        <f aca="false">IF($D3084&lt;&gt;"","["&amp;$E3084&amp;"]"&amp;"|"&amp;$Q3084&amp;"|"&amp;$K3084&amp;"|"&amp;$G3084&amp;"|"&amp;IF($G3084="TX_CURR_SUBNAT.R","CY2022Q4",$M3084),"")</f>
        <v>[ZCjuwgaMB9u]|10-14|Female|PLHIV_Attend.T_1|CY2023Q3</v>
      </c>
    </row>
    <row r="3085" customFormat="false" ht="15" hidden="false" customHeight="false" outlineLevel="0" collapsed="false">
      <c r="D3085" s="0" t="s">
        <v>126</v>
      </c>
      <c r="E3085" s="0" t="s">
        <v>127</v>
      </c>
      <c r="F3085" s="0" t="s">
        <v>128</v>
      </c>
      <c r="G3085" s="0" t="s">
        <v>150</v>
      </c>
      <c r="H3085" s="0" t="s">
        <v>150</v>
      </c>
      <c r="I3085" s="0" t="s">
        <v>38</v>
      </c>
      <c r="J3085" s="0" t="s">
        <v>39</v>
      </c>
      <c r="K3085" s="0" t="s">
        <v>30</v>
      </c>
      <c r="L3085" s="0" t="s">
        <v>31</v>
      </c>
      <c r="M3085" s="0" t="s">
        <v>140</v>
      </c>
      <c r="N3085" s="0" t="n">
        <v>653</v>
      </c>
      <c r="O3085" s="10" t="n">
        <v>0.919353447388858</v>
      </c>
      <c r="P3085" s="10" t="n">
        <v>0.252706390339881</v>
      </c>
      <c r="Q3085" s="0" t="str">
        <f aca="false">SUBSTITUTE(SUBSTITUTE($I3085,CHAR(61),""),CHAR(34),"")</f>
        <v>15-24</v>
      </c>
      <c r="R3085" s="0" t="str">
        <f aca="false">IF($D3085&lt;&gt;"","["&amp;$E3085&amp;"]"&amp;"|"&amp;$Q3085&amp;"|"&amp;$K3085&amp;"|"&amp;$G3085&amp;"|"&amp;IF($G3085="TX_CURR_SUBNAT.R","CY2022Q4",$M3085),"")</f>
        <v>[ZCjuwgaMB9u]|15-24|Female|PLHIV_Attend.T_1|CY2023Q3</v>
      </c>
    </row>
    <row r="3086" customFormat="false" ht="15" hidden="false" customHeight="false" outlineLevel="0" collapsed="false">
      <c r="D3086" s="0" t="s">
        <v>126</v>
      </c>
      <c r="E3086" s="0" t="s">
        <v>127</v>
      </c>
      <c r="F3086" s="0" t="s">
        <v>128</v>
      </c>
      <c r="G3086" s="0" t="s">
        <v>150</v>
      </c>
      <c r="H3086" s="0" t="s">
        <v>150</v>
      </c>
      <c r="I3086" s="0" t="s">
        <v>41</v>
      </c>
      <c r="J3086" s="0" t="s">
        <v>42</v>
      </c>
      <c r="K3086" s="0" t="s">
        <v>30</v>
      </c>
      <c r="L3086" s="0" t="s">
        <v>31</v>
      </c>
      <c r="M3086" s="0" t="s">
        <v>140</v>
      </c>
      <c r="N3086" s="0" t="n">
        <v>1047</v>
      </c>
      <c r="O3086" s="10" t="n">
        <v>0.865039879223332</v>
      </c>
      <c r="P3086" s="10" t="n">
        <v>0.252706390339881</v>
      </c>
      <c r="Q3086" s="0" t="str">
        <f aca="false">SUBSTITUTE(SUBSTITUTE($I3086,CHAR(61),""),CHAR(34),"")</f>
        <v>25-34</v>
      </c>
      <c r="R3086" s="0" t="str">
        <f aca="false">IF($D3086&lt;&gt;"","["&amp;$E3086&amp;"]"&amp;"|"&amp;$Q3086&amp;"|"&amp;$K3086&amp;"|"&amp;$G3086&amp;"|"&amp;IF($G3086="TX_CURR_SUBNAT.R","CY2022Q4",$M3086),"")</f>
        <v>[ZCjuwgaMB9u]|25-34|Female|PLHIV_Attend.T_1|CY2023Q3</v>
      </c>
    </row>
    <row r="3087" customFormat="false" ht="15" hidden="false" customHeight="false" outlineLevel="0" collapsed="false">
      <c r="D3087" s="0" t="s">
        <v>126</v>
      </c>
      <c r="E3087" s="0" t="s">
        <v>127</v>
      </c>
      <c r="F3087" s="0" t="s">
        <v>128</v>
      </c>
      <c r="G3087" s="0" t="s">
        <v>150</v>
      </c>
      <c r="H3087" s="0" t="s">
        <v>150</v>
      </c>
      <c r="I3087" s="0" t="s">
        <v>43</v>
      </c>
      <c r="J3087" s="0" t="s">
        <v>44</v>
      </c>
      <c r="K3087" s="0" t="s">
        <v>30</v>
      </c>
      <c r="L3087" s="0" t="s">
        <v>31</v>
      </c>
      <c r="M3087" s="0" t="s">
        <v>140</v>
      </c>
      <c r="N3087" s="0" t="n">
        <v>603</v>
      </c>
      <c r="O3087" s="10" t="n">
        <v>0.730346166528761</v>
      </c>
      <c r="P3087" s="10" t="n">
        <v>0.252706390339881</v>
      </c>
      <c r="Q3087" s="0" t="str">
        <f aca="false">SUBSTITUTE(SUBSTITUTE($I3087,CHAR(61),""),CHAR(34),"")</f>
        <v>35-49</v>
      </c>
      <c r="R3087" s="0" t="str">
        <f aca="false">IF($D3087&lt;&gt;"","["&amp;$E3087&amp;"]"&amp;"|"&amp;$Q3087&amp;"|"&amp;$K3087&amp;"|"&amp;$G3087&amp;"|"&amp;IF($G3087="TX_CURR_SUBNAT.R","CY2022Q4",$M3087),"")</f>
        <v>[ZCjuwgaMB9u]|35-49|Female|PLHIV_Attend.T_1|CY2023Q3</v>
      </c>
    </row>
    <row r="3088" customFormat="false" ht="15" hidden="false" customHeight="false" outlineLevel="0" collapsed="false">
      <c r="D3088" s="0" t="s">
        <v>126</v>
      </c>
      <c r="E3088" s="0" t="s">
        <v>127</v>
      </c>
      <c r="F3088" s="0" t="s">
        <v>128</v>
      </c>
      <c r="G3088" s="0" t="s">
        <v>150</v>
      </c>
      <c r="H3088" s="0" t="s">
        <v>150</v>
      </c>
      <c r="I3088" s="0" t="s">
        <v>45</v>
      </c>
      <c r="J3088" s="0" t="s">
        <v>46</v>
      </c>
      <c r="K3088" s="0" t="s">
        <v>30</v>
      </c>
      <c r="L3088" s="0" t="s">
        <v>31</v>
      </c>
      <c r="M3088" s="0" t="s">
        <v>140</v>
      </c>
      <c r="N3088" s="0" t="n">
        <v>1920</v>
      </c>
      <c r="O3088" s="10" t="n">
        <v>0.036649830872193</v>
      </c>
      <c r="P3088" s="10" t="n">
        <v>0.252706390339881</v>
      </c>
      <c r="Q3088" s="0" t="str">
        <f aca="false">SUBSTITUTE(SUBSTITUTE($I3088,CHAR(61),""),CHAR(34),"")</f>
        <v>50+</v>
      </c>
      <c r="R3088" s="0" t="str">
        <f aca="false">IF($D3088&lt;&gt;"","["&amp;$E3088&amp;"]"&amp;"|"&amp;$Q3088&amp;"|"&amp;$K3088&amp;"|"&amp;$G3088&amp;"|"&amp;IF($G3088="TX_CURR_SUBNAT.R","CY2022Q4",$M3088),"")</f>
        <v>[ZCjuwgaMB9u]|50+|Female|PLHIV_Attend.T_1|CY2023Q3</v>
      </c>
    </row>
    <row r="3089" customFormat="false" ht="15" hidden="false" customHeight="false" outlineLevel="0" collapsed="false">
      <c r="D3089" s="0" t="s">
        <v>126</v>
      </c>
      <c r="E3089" s="0" t="s">
        <v>127</v>
      </c>
      <c r="F3089" s="0" t="s">
        <v>128</v>
      </c>
      <c r="G3089" s="0" t="s">
        <v>150</v>
      </c>
      <c r="H3089" s="0" t="s">
        <v>150</v>
      </c>
      <c r="I3089" s="0" t="s">
        <v>28</v>
      </c>
      <c r="J3089" s="0" t="s">
        <v>29</v>
      </c>
      <c r="K3089" s="0" t="s">
        <v>48</v>
      </c>
      <c r="L3089" s="0" t="s">
        <v>49</v>
      </c>
      <c r="M3089" s="0" t="s">
        <v>140</v>
      </c>
      <c r="N3089" s="0" t="n">
        <v>1652</v>
      </c>
      <c r="O3089" s="10" t="n">
        <v>0.974944094661623</v>
      </c>
      <c r="P3089" s="10" t="n">
        <v>0.252706390339881</v>
      </c>
      <c r="Q3089" s="0" t="str">
        <f aca="false">SUBSTITUTE(SUBSTITUTE($I3089,CHAR(61),""),CHAR(34),"")</f>
        <v>&lt;01</v>
      </c>
      <c r="R3089" s="0" t="str">
        <f aca="false">IF($D3089&lt;&gt;"","["&amp;$E3089&amp;"]"&amp;"|"&amp;$Q3089&amp;"|"&amp;$K3089&amp;"|"&amp;$G3089&amp;"|"&amp;IF($G3089="TX_CURR_SUBNAT.R","CY2022Q4",$M3089),"")</f>
        <v>[ZCjuwgaMB9u]|&lt;01|Male|PLHIV_Attend.T_1|CY2023Q3</v>
      </c>
    </row>
    <row r="3090" customFormat="false" ht="15" hidden="false" customHeight="false" outlineLevel="0" collapsed="false">
      <c r="D3090" s="0" t="s">
        <v>126</v>
      </c>
      <c r="E3090" s="0" t="s">
        <v>127</v>
      </c>
      <c r="F3090" s="0" t="s">
        <v>128</v>
      </c>
      <c r="G3090" s="0" t="s">
        <v>150</v>
      </c>
      <c r="H3090" s="0" t="s">
        <v>150</v>
      </c>
      <c r="I3090" s="0" t="s">
        <v>33</v>
      </c>
      <c r="J3090" s="0" t="s">
        <v>34</v>
      </c>
      <c r="K3090" s="0" t="s">
        <v>48</v>
      </c>
      <c r="L3090" s="0" t="s">
        <v>49</v>
      </c>
      <c r="M3090" s="0" t="s">
        <v>140</v>
      </c>
      <c r="N3090" s="0" t="n">
        <v>1607</v>
      </c>
      <c r="O3090" s="10" t="n">
        <v>0.41125969402492</v>
      </c>
      <c r="P3090" s="10" t="n">
        <v>0.252706390339881</v>
      </c>
      <c r="Q3090" s="0" t="str">
        <f aca="false">SUBSTITUTE(SUBSTITUTE($I3090,CHAR(61),""),CHAR(34),"")</f>
        <v>01-09</v>
      </c>
      <c r="R3090" s="0" t="str">
        <f aca="false">IF($D3090&lt;&gt;"","["&amp;$E3090&amp;"]"&amp;"|"&amp;$Q3090&amp;"|"&amp;$K3090&amp;"|"&amp;$G3090&amp;"|"&amp;IF($G3090="TX_CURR_SUBNAT.R","CY2022Q4",$M3090),"")</f>
        <v>[ZCjuwgaMB9u]|01-09|Male|PLHIV_Attend.T_1|CY2023Q3</v>
      </c>
    </row>
    <row r="3091" customFormat="false" ht="15" hidden="false" customHeight="false" outlineLevel="0" collapsed="false">
      <c r="D3091" s="0" t="s">
        <v>126</v>
      </c>
      <c r="E3091" s="0" t="s">
        <v>127</v>
      </c>
      <c r="F3091" s="0" t="s">
        <v>128</v>
      </c>
      <c r="G3091" s="0" t="s">
        <v>150</v>
      </c>
      <c r="H3091" s="0" t="s">
        <v>150</v>
      </c>
      <c r="I3091" s="0" t="s">
        <v>36</v>
      </c>
      <c r="J3091" s="0" t="s">
        <v>37</v>
      </c>
      <c r="K3091" s="0" t="s">
        <v>48</v>
      </c>
      <c r="L3091" s="0" t="s">
        <v>49</v>
      </c>
      <c r="M3091" s="0" t="s">
        <v>140</v>
      </c>
      <c r="N3091" s="0" t="n">
        <v>1774</v>
      </c>
      <c r="O3091" s="10" t="n">
        <v>0.324854858219624</v>
      </c>
      <c r="P3091" s="10" t="n">
        <v>0.252706390339881</v>
      </c>
      <c r="Q3091" s="0" t="str">
        <f aca="false">SUBSTITUTE(SUBSTITUTE($I3091,CHAR(61),""),CHAR(34),"")</f>
        <v>10-14</v>
      </c>
      <c r="R3091" s="0" t="str">
        <f aca="false">IF($D3091&lt;&gt;"","["&amp;$E3091&amp;"]"&amp;"|"&amp;$Q3091&amp;"|"&amp;$K3091&amp;"|"&amp;$G3091&amp;"|"&amp;IF($G3091="TX_CURR_SUBNAT.R","CY2022Q4",$M3091),"")</f>
        <v>[ZCjuwgaMB9u]|10-14|Male|PLHIV_Attend.T_1|CY2023Q3</v>
      </c>
    </row>
    <row r="3092" customFormat="false" ht="15" hidden="false" customHeight="false" outlineLevel="0" collapsed="false">
      <c r="D3092" s="0" t="s">
        <v>126</v>
      </c>
      <c r="E3092" s="0" t="s">
        <v>127</v>
      </c>
      <c r="F3092" s="0" t="s">
        <v>128</v>
      </c>
      <c r="G3092" s="0" t="s">
        <v>150</v>
      </c>
      <c r="H3092" s="0" t="s">
        <v>150</v>
      </c>
      <c r="I3092" s="0" t="s">
        <v>38</v>
      </c>
      <c r="J3092" s="0" t="s">
        <v>39</v>
      </c>
      <c r="K3092" s="0" t="s">
        <v>48</v>
      </c>
      <c r="L3092" s="0" t="s">
        <v>49</v>
      </c>
      <c r="M3092" s="0" t="s">
        <v>140</v>
      </c>
      <c r="N3092" s="0" t="n">
        <v>539</v>
      </c>
      <c r="O3092" s="10" t="n">
        <v>0.830579207511619</v>
      </c>
      <c r="P3092" s="10" t="n">
        <v>0.252706390339881</v>
      </c>
      <c r="Q3092" s="0" t="str">
        <f aca="false">SUBSTITUTE(SUBSTITUTE($I3092,CHAR(61),""),CHAR(34),"")</f>
        <v>15-24</v>
      </c>
      <c r="R3092" s="0" t="str">
        <f aca="false">IF($D3092&lt;&gt;"","["&amp;$E3092&amp;"]"&amp;"|"&amp;$Q3092&amp;"|"&amp;$K3092&amp;"|"&amp;$G3092&amp;"|"&amp;IF($G3092="TX_CURR_SUBNAT.R","CY2022Q4",$M3092),"")</f>
        <v>[ZCjuwgaMB9u]|15-24|Male|PLHIV_Attend.T_1|CY2023Q3</v>
      </c>
    </row>
    <row r="3093" customFormat="false" ht="15" hidden="false" customHeight="false" outlineLevel="0" collapsed="false">
      <c r="D3093" s="0" t="s">
        <v>126</v>
      </c>
      <c r="E3093" s="0" t="s">
        <v>127</v>
      </c>
      <c r="F3093" s="0" t="s">
        <v>128</v>
      </c>
      <c r="G3093" s="0" t="s">
        <v>150</v>
      </c>
      <c r="H3093" s="0" t="s">
        <v>150</v>
      </c>
      <c r="I3093" s="0" t="s">
        <v>41</v>
      </c>
      <c r="J3093" s="0" t="s">
        <v>42</v>
      </c>
      <c r="K3093" s="0" t="s">
        <v>48</v>
      </c>
      <c r="L3093" s="0" t="s">
        <v>49</v>
      </c>
      <c r="M3093" s="0" t="s">
        <v>140</v>
      </c>
      <c r="N3093" s="0" t="n">
        <v>1531</v>
      </c>
      <c r="O3093" s="10" t="n">
        <v>0.612557266838849</v>
      </c>
      <c r="P3093" s="10" t="n">
        <v>0.252706390339881</v>
      </c>
      <c r="Q3093" s="0" t="str">
        <f aca="false">SUBSTITUTE(SUBSTITUTE($I3093,CHAR(61),""),CHAR(34),"")</f>
        <v>25-34</v>
      </c>
      <c r="R3093" s="0" t="str">
        <f aca="false">IF($D3093&lt;&gt;"","["&amp;$E3093&amp;"]"&amp;"|"&amp;$Q3093&amp;"|"&amp;$K3093&amp;"|"&amp;$G3093&amp;"|"&amp;IF($G3093="TX_CURR_SUBNAT.R","CY2022Q4",$M3093),"")</f>
        <v>[ZCjuwgaMB9u]|25-34|Male|PLHIV_Attend.T_1|CY2023Q3</v>
      </c>
    </row>
    <row r="3094" customFormat="false" ht="15" hidden="false" customHeight="false" outlineLevel="0" collapsed="false">
      <c r="D3094" s="0" t="s">
        <v>126</v>
      </c>
      <c r="E3094" s="0" t="s">
        <v>127</v>
      </c>
      <c r="F3094" s="0" t="s">
        <v>128</v>
      </c>
      <c r="G3094" s="0" t="s">
        <v>150</v>
      </c>
      <c r="H3094" s="0" t="s">
        <v>150</v>
      </c>
      <c r="I3094" s="0" t="s">
        <v>43</v>
      </c>
      <c r="J3094" s="0" t="s">
        <v>44</v>
      </c>
      <c r="K3094" s="0" t="s">
        <v>48</v>
      </c>
      <c r="L3094" s="0" t="s">
        <v>49</v>
      </c>
      <c r="M3094" s="0" t="s">
        <v>140</v>
      </c>
      <c r="N3094" s="0" t="n">
        <v>1732</v>
      </c>
      <c r="O3094" s="10" t="n">
        <v>0.986691872356459</v>
      </c>
      <c r="P3094" s="10" t="n">
        <v>0.252706390339881</v>
      </c>
      <c r="Q3094" s="0" t="str">
        <f aca="false">SUBSTITUTE(SUBSTITUTE($I3094,CHAR(61),""),CHAR(34),"")</f>
        <v>35-49</v>
      </c>
      <c r="R3094" s="0" t="str">
        <f aca="false">IF($D3094&lt;&gt;"","["&amp;$E3094&amp;"]"&amp;"|"&amp;$Q3094&amp;"|"&amp;$K3094&amp;"|"&amp;$G3094&amp;"|"&amp;IF($G3094="TX_CURR_SUBNAT.R","CY2022Q4",$M3094),"")</f>
        <v>[ZCjuwgaMB9u]|35-49|Male|PLHIV_Attend.T_1|CY2023Q3</v>
      </c>
    </row>
    <row r="3095" customFormat="false" ht="15" hidden="false" customHeight="false" outlineLevel="0" collapsed="false">
      <c r="D3095" s="0" t="s">
        <v>126</v>
      </c>
      <c r="E3095" s="0" t="s">
        <v>127</v>
      </c>
      <c r="F3095" s="0" t="s">
        <v>128</v>
      </c>
      <c r="G3095" s="0" t="s">
        <v>150</v>
      </c>
      <c r="H3095" s="0" t="s">
        <v>150</v>
      </c>
      <c r="I3095" s="0" t="s">
        <v>45</v>
      </c>
      <c r="J3095" s="0" t="s">
        <v>46</v>
      </c>
      <c r="K3095" s="0" t="s">
        <v>48</v>
      </c>
      <c r="L3095" s="0" t="s">
        <v>49</v>
      </c>
      <c r="M3095" s="0" t="s">
        <v>140</v>
      </c>
      <c r="N3095" s="0" t="n">
        <v>917</v>
      </c>
      <c r="O3095" s="10" t="n">
        <v>0.60399123118259</v>
      </c>
      <c r="P3095" s="10" t="n">
        <v>0.252706390339881</v>
      </c>
      <c r="Q3095" s="0" t="str">
        <f aca="false">SUBSTITUTE(SUBSTITUTE($I3095,CHAR(61),""),CHAR(34),"")</f>
        <v>50+</v>
      </c>
      <c r="R3095" s="0" t="str">
        <f aca="false">IF($D3095&lt;&gt;"","["&amp;$E3095&amp;"]"&amp;"|"&amp;$Q3095&amp;"|"&amp;$K3095&amp;"|"&amp;$G3095&amp;"|"&amp;IF($G3095="TX_CURR_SUBNAT.R","CY2022Q4",$M3095),"")</f>
        <v>[ZCjuwgaMB9u]|50+|Male|PLHIV_Attend.T_1|CY2023Q3</v>
      </c>
    </row>
    <row r="3096" customFormat="false" ht="15" hidden="false" customHeight="false" outlineLevel="0" collapsed="false">
      <c r="D3096" s="0" t="s">
        <v>129</v>
      </c>
      <c r="E3096" s="0" t="s">
        <v>130</v>
      </c>
      <c r="F3096" s="0" t="s">
        <v>131</v>
      </c>
      <c r="G3096" s="0" t="s">
        <v>150</v>
      </c>
      <c r="H3096" s="0" t="s">
        <v>150</v>
      </c>
      <c r="I3096" s="0" t="s">
        <v>28</v>
      </c>
      <c r="J3096" s="0" t="s">
        <v>29</v>
      </c>
      <c r="K3096" s="0" t="s">
        <v>30</v>
      </c>
      <c r="L3096" s="0" t="s">
        <v>31</v>
      </c>
      <c r="M3096" s="0" t="s">
        <v>140</v>
      </c>
      <c r="N3096" s="0" t="n">
        <v>1016</v>
      </c>
      <c r="O3096" s="10" t="n">
        <v>0.943449907470495</v>
      </c>
      <c r="P3096" s="10" t="n">
        <v>0.556908084778115</v>
      </c>
      <c r="Q3096" s="0" t="str">
        <f aca="false">SUBSTITUTE(SUBSTITUTE($I3096,CHAR(61),""),CHAR(34),"")</f>
        <v>&lt;01</v>
      </c>
      <c r="R3096" s="0" t="str">
        <f aca="false">IF($D3096&lt;&gt;"","["&amp;$E3096&amp;"]"&amp;"|"&amp;$Q3096&amp;"|"&amp;$K3096&amp;"|"&amp;$G3096&amp;"|"&amp;IF($G3096="TX_CURR_SUBNAT.R","CY2022Q4",$M3096),"")</f>
        <v>[YCKiBAp8QAg]|&lt;01|Female|PLHIV_Attend.T_1|CY2023Q3</v>
      </c>
    </row>
    <row r="3097" customFormat="false" ht="15" hidden="false" customHeight="false" outlineLevel="0" collapsed="false">
      <c r="D3097" s="0" t="s">
        <v>129</v>
      </c>
      <c r="E3097" s="0" t="s">
        <v>130</v>
      </c>
      <c r="F3097" s="0" t="s">
        <v>131</v>
      </c>
      <c r="G3097" s="0" t="s">
        <v>150</v>
      </c>
      <c r="H3097" s="0" t="s">
        <v>150</v>
      </c>
      <c r="I3097" s="0" t="s">
        <v>33</v>
      </c>
      <c r="J3097" s="0" t="s">
        <v>34</v>
      </c>
      <c r="K3097" s="0" t="s">
        <v>30</v>
      </c>
      <c r="L3097" s="0" t="s">
        <v>31</v>
      </c>
      <c r="M3097" s="0" t="s">
        <v>140</v>
      </c>
      <c r="N3097" s="0" t="n">
        <v>924</v>
      </c>
      <c r="O3097" s="10" t="n">
        <v>0.512921477202326</v>
      </c>
      <c r="P3097" s="10" t="n">
        <v>0.556908084778115</v>
      </c>
      <c r="Q3097" s="0" t="str">
        <f aca="false">SUBSTITUTE(SUBSTITUTE($I3097,CHAR(61),""),CHAR(34),"")</f>
        <v>01-09</v>
      </c>
      <c r="R3097" s="0" t="str">
        <f aca="false">IF($D3097&lt;&gt;"","["&amp;$E3097&amp;"]"&amp;"|"&amp;$Q3097&amp;"|"&amp;$K3097&amp;"|"&amp;$G3097&amp;"|"&amp;IF($G3097="TX_CURR_SUBNAT.R","CY2022Q4",$M3097),"")</f>
        <v>[YCKiBAp8QAg]|01-09|Female|PLHIV_Attend.T_1|CY2023Q3</v>
      </c>
    </row>
    <row r="3098" customFormat="false" ht="15" hidden="false" customHeight="false" outlineLevel="0" collapsed="false">
      <c r="D3098" s="0" t="s">
        <v>129</v>
      </c>
      <c r="E3098" s="0" t="s">
        <v>130</v>
      </c>
      <c r="F3098" s="0" t="s">
        <v>131</v>
      </c>
      <c r="G3098" s="0" t="s">
        <v>150</v>
      </c>
      <c r="H3098" s="0" t="s">
        <v>150</v>
      </c>
      <c r="I3098" s="0" t="s">
        <v>36</v>
      </c>
      <c r="J3098" s="0" t="s">
        <v>37</v>
      </c>
      <c r="K3098" s="0" t="s">
        <v>30</v>
      </c>
      <c r="L3098" s="0" t="s">
        <v>31</v>
      </c>
      <c r="M3098" s="0" t="s">
        <v>140</v>
      </c>
      <c r="N3098" s="0" t="n">
        <v>983</v>
      </c>
      <c r="O3098" s="10" t="n">
        <v>0.144259449793026</v>
      </c>
      <c r="P3098" s="10" t="n">
        <v>0.556908084778115</v>
      </c>
      <c r="Q3098" s="0" t="str">
        <f aca="false">SUBSTITUTE(SUBSTITUTE($I3098,CHAR(61),""),CHAR(34),"")</f>
        <v>10-14</v>
      </c>
      <c r="R3098" s="0" t="str">
        <f aca="false">IF($D3098&lt;&gt;"","["&amp;$E3098&amp;"]"&amp;"|"&amp;$Q3098&amp;"|"&amp;$K3098&amp;"|"&amp;$G3098&amp;"|"&amp;IF($G3098="TX_CURR_SUBNAT.R","CY2022Q4",$M3098),"")</f>
        <v>[YCKiBAp8QAg]|10-14|Female|PLHIV_Attend.T_1|CY2023Q3</v>
      </c>
    </row>
    <row r="3099" customFormat="false" ht="15" hidden="false" customHeight="false" outlineLevel="0" collapsed="false">
      <c r="D3099" s="0" t="s">
        <v>129</v>
      </c>
      <c r="E3099" s="0" t="s">
        <v>130</v>
      </c>
      <c r="F3099" s="0" t="s">
        <v>131</v>
      </c>
      <c r="G3099" s="0" t="s">
        <v>150</v>
      </c>
      <c r="H3099" s="0" t="s">
        <v>150</v>
      </c>
      <c r="I3099" s="0" t="s">
        <v>38</v>
      </c>
      <c r="J3099" s="0" t="s">
        <v>39</v>
      </c>
      <c r="K3099" s="0" t="s">
        <v>30</v>
      </c>
      <c r="L3099" s="0" t="s">
        <v>31</v>
      </c>
      <c r="M3099" s="0" t="s">
        <v>140</v>
      </c>
      <c r="N3099" s="0" t="n">
        <v>1298</v>
      </c>
      <c r="O3099" s="10" t="n">
        <v>0.168781682150438</v>
      </c>
      <c r="P3099" s="10" t="n">
        <v>0.556908084778115</v>
      </c>
      <c r="Q3099" s="0" t="str">
        <f aca="false">SUBSTITUTE(SUBSTITUTE($I3099,CHAR(61),""),CHAR(34),"")</f>
        <v>15-24</v>
      </c>
      <c r="R3099" s="0" t="str">
        <f aca="false">IF($D3099&lt;&gt;"","["&amp;$E3099&amp;"]"&amp;"|"&amp;$Q3099&amp;"|"&amp;$K3099&amp;"|"&amp;$G3099&amp;"|"&amp;IF($G3099="TX_CURR_SUBNAT.R","CY2022Q4",$M3099),"")</f>
        <v>[YCKiBAp8QAg]|15-24|Female|PLHIV_Attend.T_1|CY2023Q3</v>
      </c>
    </row>
    <row r="3100" customFormat="false" ht="15" hidden="false" customHeight="false" outlineLevel="0" collapsed="false">
      <c r="D3100" s="0" t="s">
        <v>129</v>
      </c>
      <c r="E3100" s="0" t="s">
        <v>130</v>
      </c>
      <c r="F3100" s="0" t="s">
        <v>131</v>
      </c>
      <c r="G3100" s="0" t="s">
        <v>150</v>
      </c>
      <c r="H3100" s="0" t="s">
        <v>150</v>
      </c>
      <c r="I3100" s="0" t="s">
        <v>41</v>
      </c>
      <c r="J3100" s="0" t="s">
        <v>42</v>
      </c>
      <c r="K3100" s="0" t="s">
        <v>30</v>
      </c>
      <c r="L3100" s="0" t="s">
        <v>31</v>
      </c>
      <c r="M3100" s="0" t="s">
        <v>140</v>
      </c>
      <c r="N3100" s="0" t="n">
        <v>1350</v>
      </c>
      <c r="O3100" s="10" t="n">
        <v>0.0332711581140757</v>
      </c>
      <c r="P3100" s="10" t="n">
        <v>0.556908084778115</v>
      </c>
      <c r="Q3100" s="0" t="str">
        <f aca="false">SUBSTITUTE(SUBSTITUTE($I3100,CHAR(61),""),CHAR(34),"")</f>
        <v>25-34</v>
      </c>
      <c r="R3100" s="0" t="str">
        <f aca="false">IF($D3100&lt;&gt;"","["&amp;$E3100&amp;"]"&amp;"|"&amp;$Q3100&amp;"|"&amp;$K3100&amp;"|"&amp;$G3100&amp;"|"&amp;IF($G3100="TX_CURR_SUBNAT.R","CY2022Q4",$M3100),"")</f>
        <v>[YCKiBAp8QAg]|25-34|Female|PLHIV_Attend.T_1|CY2023Q3</v>
      </c>
    </row>
    <row r="3101" customFormat="false" ht="15" hidden="false" customHeight="false" outlineLevel="0" collapsed="false">
      <c r="D3101" s="0" t="s">
        <v>129</v>
      </c>
      <c r="E3101" s="0" t="s">
        <v>130</v>
      </c>
      <c r="F3101" s="0" t="s">
        <v>131</v>
      </c>
      <c r="G3101" s="0" t="s">
        <v>150</v>
      </c>
      <c r="H3101" s="0" t="s">
        <v>150</v>
      </c>
      <c r="I3101" s="0" t="s">
        <v>43</v>
      </c>
      <c r="J3101" s="0" t="s">
        <v>44</v>
      </c>
      <c r="K3101" s="0" t="s">
        <v>30</v>
      </c>
      <c r="L3101" s="0" t="s">
        <v>31</v>
      </c>
      <c r="M3101" s="0" t="s">
        <v>140</v>
      </c>
      <c r="N3101" s="0" t="n">
        <v>1466</v>
      </c>
      <c r="O3101" s="10" t="n">
        <v>0.98085670452565</v>
      </c>
      <c r="P3101" s="10" t="n">
        <v>0.556908084778115</v>
      </c>
      <c r="Q3101" s="0" t="str">
        <f aca="false">SUBSTITUTE(SUBSTITUTE($I3101,CHAR(61),""),CHAR(34),"")</f>
        <v>35-49</v>
      </c>
      <c r="R3101" s="0" t="str">
        <f aca="false">IF($D3101&lt;&gt;"","["&amp;$E3101&amp;"]"&amp;"|"&amp;$Q3101&amp;"|"&amp;$K3101&amp;"|"&amp;$G3101&amp;"|"&amp;IF($G3101="TX_CURR_SUBNAT.R","CY2022Q4",$M3101),"")</f>
        <v>[YCKiBAp8QAg]|35-49|Female|PLHIV_Attend.T_1|CY2023Q3</v>
      </c>
    </row>
    <row r="3102" customFormat="false" ht="15" hidden="false" customHeight="false" outlineLevel="0" collapsed="false">
      <c r="D3102" s="0" t="s">
        <v>129</v>
      </c>
      <c r="E3102" s="0" t="s">
        <v>130</v>
      </c>
      <c r="F3102" s="0" t="s">
        <v>131</v>
      </c>
      <c r="G3102" s="0" t="s">
        <v>150</v>
      </c>
      <c r="H3102" s="0" t="s">
        <v>150</v>
      </c>
      <c r="I3102" s="0" t="s">
        <v>45</v>
      </c>
      <c r="J3102" s="0" t="s">
        <v>46</v>
      </c>
      <c r="K3102" s="0" t="s">
        <v>30</v>
      </c>
      <c r="L3102" s="0" t="s">
        <v>31</v>
      </c>
      <c r="M3102" s="0" t="s">
        <v>140</v>
      </c>
      <c r="N3102" s="0" t="n">
        <v>829</v>
      </c>
      <c r="O3102" s="10" t="n">
        <v>0.677878848277032</v>
      </c>
      <c r="P3102" s="10" t="n">
        <v>0.556908084778115</v>
      </c>
      <c r="Q3102" s="0" t="str">
        <f aca="false">SUBSTITUTE(SUBSTITUTE($I3102,CHAR(61),""),CHAR(34),"")</f>
        <v>50+</v>
      </c>
      <c r="R3102" s="0" t="str">
        <f aca="false">IF($D3102&lt;&gt;"","["&amp;$E3102&amp;"]"&amp;"|"&amp;$Q3102&amp;"|"&amp;$K3102&amp;"|"&amp;$G3102&amp;"|"&amp;IF($G3102="TX_CURR_SUBNAT.R","CY2022Q4",$M3102),"")</f>
        <v>[YCKiBAp8QAg]|50+|Female|PLHIV_Attend.T_1|CY2023Q3</v>
      </c>
    </row>
    <row r="3103" customFormat="false" ht="15" hidden="false" customHeight="false" outlineLevel="0" collapsed="false">
      <c r="D3103" s="0" t="s">
        <v>129</v>
      </c>
      <c r="E3103" s="0" t="s">
        <v>130</v>
      </c>
      <c r="F3103" s="0" t="s">
        <v>131</v>
      </c>
      <c r="G3103" s="0" t="s">
        <v>150</v>
      </c>
      <c r="H3103" s="0" t="s">
        <v>150</v>
      </c>
      <c r="I3103" s="0" t="s">
        <v>28</v>
      </c>
      <c r="J3103" s="0" t="s">
        <v>29</v>
      </c>
      <c r="K3103" s="0" t="s">
        <v>48</v>
      </c>
      <c r="L3103" s="0" t="s">
        <v>49</v>
      </c>
      <c r="M3103" s="0" t="s">
        <v>140</v>
      </c>
      <c r="N3103" s="0" t="n">
        <v>916</v>
      </c>
      <c r="O3103" s="10" t="n">
        <v>0.0259855785407126</v>
      </c>
      <c r="P3103" s="10" t="n">
        <v>0.556908084778115</v>
      </c>
      <c r="Q3103" s="0" t="str">
        <f aca="false">SUBSTITUTE(SUBSTITUTE($I3103,CHAR(61),""),CHAR(34),"")</f>
        <v>&lt;01</v>
      </c>
      <c r="R3103" s="0" t="str">
        <f aca="false">IF($D3103&lt;&gt;"","["&amp;$E3103&amp;"]"&amp;"|"&amp;$Q3103&amp;"|"&amp;$K3103&amp;"|"&amp;$G3103&amp;"|"&amp;IF($G3103="TX_CURR_SUBNAT.R","CY2022Q4",$M3103),"")</f>
        <v>[YCKiBAp8QAg]|&lt;01|Male|PLHIV_Attend.T_1|CY2023Q3</v>
      </c>
    </row>
    <row r="3104" customFormat="false" ht="15" hidden="false" customHeight="false" outlineLevel="0" collapsed="false">
      <c r="D3104" s="0" t="s">
        <v>129</v>
      </c>
      <c r="E3104" s="0" t="s">
        <v>130</v>
      </c>
      <c r="F3104" s="0" t="s">
        <v>131</v>
      </c>
      <c r="G3104" s="0" t="s">
        <v>150</v>
      </c>
      <c r="H3104" s="0" t="s">
        <v>150</v>
      </c>
      <c r="I3104" s="0" t="s">
        <v>33</v>
      </c>
      <c r="J3104" s="0" t="s">
        <v>34</v>
      </c>
      <c r="K3104" s="0" t="s">
        <v>48</v>
      </c>
      <c r="L3104" s="0" t="s">
        <v>49</v>
      </c>
      <c r="M3104" s="0" t="s">
        <v>140</v>
      </c>
      <c r="N3104" s="0" t="n">
        <v>1209</v>
      </c>
      <c r="O3104" s="10" t="n">
        <v>0.472678648773581</v>
      </c>
      <c r="P3104" s="10" t="n">
        <v>0.556908084778115</v>
      </c>
      <c r="Q3104" s="0" t="str">
        <f aca="false">SUBSTITUTE(SUBSTITUTE($I3104,CHAR(61),""),CHAR(34),"")</f>
        <v>01-09</v>
      </c>
      <c r="R3104" s="0" t="str">
        <f aca="false">IF($D3104&lt;&gt;"","["&amp;$E3104&amp;"]"&amp;"|"&amp;$Q3104&amp;"|"&amp;$K3104&amp;"|"&amp;$G3104&amp;"|"&amp;IF($G3104="TX_CURR_SUBNAT.R","CY2022Q4",$M3104),"")</f>
        <v>[YCKiBAp8QAg]|01-09|Male|PLHIV_Attend.T_1|CY2023Q3</v>
      </c>
    </row>
    <row r="3105" customFormat="false" ht="15" hidden="false" customHeight="false" outlineLevel="0" collapsed="false">
      <c r="D3105" s="0" t="s">
        <v>129</v>
      </c>
      <c r="E3105" s="0" t="s">
        <v>130</v>
      </c>
      <c r="F3105" s="0" t="s">
        <v>131</v>
      </c>
      <c r="G3105" s="0" t="s">
        <v>150</v>
      </c>
      <c r="H3105" s="0" t="s">
        <v>150</v>
      </c>
      <c r="I3105" s="0" t="s">
        <v>36</v>
      </c>
      <c r="J3105" s="0" t="s">
        <v>37</v>
      </c>
      <c r="K3105" s="0" t="s">
        <v>48</v>
      </c>
      <c r="L3105" s="0" t="s">
        <v>49</v>
      </c>
      <c r="M3105" s="0" t="s">
        <v>140</v>
      </c>
      <c r="N3105" s="0" t="n">
        <v>1879</v>
      </c>
      <c r="O3105" s="10" t="n">
        <v>0.294802929740399</v>
      </c>
      <c r="P3105" s="10" t="n">
        <v>0.556908084778115</v>
      </c>
      <c r="Q3105" s="0" t="str">
        <f aca="false">SUBSTITUTE(SUBSTITUTE($I3105,CHAR(61),""),CHAR(34),"")</f>
        <v>10-14</v>
      </c>
      <c r="R3105" s="0" t="str">
        <f aca="false">IF($D3105&lt;&gt;"","["&amp;$E3105&amp;"]"&amp;"|"&amp;$Q3105&amp;"|"&amp;$K3105&amp;"|"&amp;$G3105&amp;"|"&amp;IF($G3105="TX_CURR_SUBNAT.R","CY2022Q4",$M3105),"")</f>
        <v>[YCKiBAp8QAg]|10-14|Male|PLHIV_Attend.T_1|CY2023Q3</v>
      </c>
    </row>
    <row r="3106" customFormat="false" ht="15" hidden="false" customHeight="false" outlineLevel="0" collapsed="false">
      <c r="D3106" s="0" t="s">
        <v>129</v>
      </c>
      <c r="E3106" s="0" t="s">
        <v>130</v>
      </c>
      <c r="F3106" s="0" t="s">
        <v>131</v>
      </c>
      <c r="G3106" s="0" t="s">
        <v>150</v>
      </c>
      <c r="H3106" s="0" t="s">
        <v>150</v>
      </c>
      <c r="I3106" s="0" t="s">
        <v>38</v>
      </c>
      <c r="J3106" s="0" t="s">
        <v>39</v>
      </c>
      <c r="K3106" s="0" t="s">
        <v>48</v>
      </c>
      <c r="L3106" s="0" t="s">
        <v>49</v>
      </c>
      <c r="M3106" s="0" t="s">
        <v>140</v>
      </c>
      <c r="N3106" s="0" t="n">
        <v>598</v>
      </c>
      <c r="O3106" s="10" t="n">
        <v>0.5019333998207</v>
      </c>
      <c r="P3106" s="10" t="n">
        <v>0.556908084778115</v>
      </c>
      <c r="Q3106" s="0" t="str">
        <f aca="false">SUBSTITUTE(SUBSTITUTE($I3106,CHAR(61),""),CHAR(34),"")</f>
        <v>15-24</v>
      </c>
      <c r="R3106" s="0" t="str">
        <f aca="false">IF($D3106&lt;&gt;"","["&amp;$E3106&amp;"]"&amp;"|"&amp;$Q3106&amp;"|"&amp;$K3106&amp;"|"&amp;$G3106&amp;"|"&amp;IF($G3106="TX_CURR_SUBNAT.R","CY2022Q4",$M3106),"")</f>
        <v>[YCKiBAp8QAg]|15-24|Male|PLHIV_Attend.T_1|CY2023Q3</v>
      </c>
    </row>
    <row r="3107" customFormat="false" ht="15" hidden="false" customHeight="false" outlineLevel="0" collapsed="false">
      <c r="D3107" s="0" t="s">
        <v>129</v>
      </c>
      <c r="E3107" s="0" t="s">
        <v>130</v>
      </c>
      <c r="F3107" s="0" t="s">
        <v>131</v>
      </c>
      <c r="G3107" s="0" t="s">
        <v>150</v>
      </c>
      <c r="H3107" s="0" t="s">
        <v>150</v>
      </c>
      <c r="I3107" s="0" t="s">
        <v>41</v>
      </c>
      <c r="J3107" s="0" t="s">
        <v>42</v>
      </c>
      <c r="K3107" s="0" t="s">
        <v>48</v>
      </c>
      <c r="L3107" s="0" t="s">
        <v>49</v>
      </c>
      <c r="M3107" s="0" t="s">
        <v>140</v>
      </c>
      <c r="N3107" s="0" t="n">
        <v>1018</v>
      </c>
      <c r="O3107" s="10" t="n">
        <v>0.231010789750144</v>
      </c>
      <c r="P3107" s="10" t="n">
        <v>0.556908084778115</v>
      </c>
      <c r="Q3107" s="0" t="str">
        <f aca="false">SUBSTITUTE(SUBSTITUTE($I3107,CHAR(61),""),CHAR(34),"")</f>
        <v>25-34</v>
      </c>
      <c r="R3107" s="0" t="str">
        <f aca="false">IF($D3107&lt;&gt;"","["&amp;$E3107&amp;"]"&amp;"|"&amp;$Q3107&amp;"|"&amp;$K3107&amp;"|"&amp;$G3107&amp;"|"&amp;IF($G3107="TX_CURR_SUBNAT.R","CY2022Q4",$M3107),"")</f>
        <v>[YCKiBAp8QAg]|25-34|Male|PLHIV_Attend.T_1|CY2023Q3</v>
      </c>
    </row>
    <row r="3108" customFormat="false" ht="15" hidden="false" customHeight="false" outlineLevel="0" collapsed="false">
      <c r="D3108" s="0" t="s">
        <v>129</v>
      </c>
      <c r="E3108" s="0" t="s">
        <v>130</v>
      </c>
      <c r="F3108" s="0" t="s">
        <v>131</v>
      </c>
      <c r="G3108" s="0" t="s">
        <v>150</v>
      </c>
      <c r="H3108" s="0" t="s">
        <v>150</v>
      </c>
      <c r="I3108" s="0" t="s">
        <v>43</v>
      </c>
      <c r="J3108" s="0" t="s">
        <v>44</v>
      </c>
      <c r="K3108" s="0" t="s">
        <v>48</v>
      </c>
      <c r="L3108" s="0" t="s">
        <v>49</v>
      </c>
      <c r="M3108" s="0" t="s">
        <v>140</v>
      </c>
      <c r="N3108" s="0" t="n">
        <v>645</v>
      </c>
      <c r="O3108" s="10" t="n">
        <v>0.15405245218426</v>
      </c>
      <c r="P3108" s="10" t="n">
        <v>0.556908084778115</v>
      </c>
      <c r="Q3108" s="0" t="str">
        <f aca="false">SUBSTITUTE(SUBSTITUTE($I3108,CHAR(61),""),CHAR(34),"")</f>
        <v>35-49</v>
      </c>
      <c r="R3108" s="0" t="str">
        <f aca="false">IF($D3108&lt;&gt;"","["&amp;$E3108&amp;"]"&amp;"|"&amp;$Q3108&amp;"|"&amp;$K3108&amp;"|"&amp;$G3108&amp;"|"&amp;IF($G3108="TX_CURR_SUBNAT.R","CY2022Q4",$M3108),"")</f>
        <v>[YCKiBAp8QAg]|35-49|Male|PLHIV_Attend.T_1|CY2023Q3</v>
      </c>
    </row>
    <row r="3109" customFormat="false" ht="15" hidden="false" customHeight="false" outlineLevel="0" collapsed="false">
      <c r="D3109" s="0" t="s">
        <v>129</v>
      </c>
      <c r="E3109" s="0" t="s">
        <v>130</v>
      </c>
      <c r="F3109" s="0" t="s">
        <v>131</v>
      </c>
      <c r="G3109" s="0" t="s">
        <v>150</v>
      </c>
      <c r="H3109" s="0" t="s">
        <v>150</v>
      </c>
      <c r="I3109" s="0" t="s">
        <v>45</v>
      </c>
      <c r="J3109" s="0" t="s">
        <v>46</v>
      </c>
      <c r="K3109" s="0" t="s">
        <v>48</v>
      </c>
      <c r="L3109" s="0" t="s">
        <v>49</v>
      </c>
      <c r="M3109" s="0" t="s">
        <v>140</v>
      </c>
      <c r="N3109" s="0" t="n">
        <v>656</v>
      </c>
      <c r="O3109" s="10" t="n">
        <v>0.62114891060628</v>
      </c>
      <c r="P3109" s="10" t="n">
        <v>0.556908084778115</v>
      </c>
      <c r="Q3109" s="0" t="str">
        <f aca="false">SUBSTITUTE(SUBSTITUTE($I3109,CHAR(61),""),CHAR(34),"")</f>
        <v>50+</v>
      </c>
      <c r="R3109" s="0" t="str">
        <f aca="false">IF($D3109&lt;&gt;"","["&amp;$E3109&amp;"]"&amp;"|"&amp;$Q3109&amp;"|"&amp;$K3109&amp;"|"&amp;$G3109&amp;"|"&amp;IF($G3109="TX_CURR_SUBNAT.R","CY2022Q4",$M3109),"")</f>
        <v>[YCKiBAp8QAg]|50+|Male|PLHIV_Attend.T_1|CY2023Q3</v>
      </c>
    </row>
    <row r="3110" customFormat="false" ht="15" hidden="false" customHeight="false" outlineLevel="0" collapsed="false">
      <c r="D3110" s="0" t="s">
        <v>132</v>
      </c>
      <c r="E3110" s="0" t="s">
        <v>133</v>
      </c>
      <c r="F3110" s="0" t="s">
        <v>134</v>
      </c>
      <c r="G3110" s="0" t="s">
        <v>150</v>
      </c>
      <c r="H3110" s="0" t="s">
        <v>150</v>
      </c>
      <c r="I3110" s="0" t="s">
        <v>28</v>
      </c>
      <c r="J3110" s="0" t="s">
        <v>29</v>
      </c>
      <c r="K3110" s="0" t="s">
        <v>30</v>
      </c>
      <c r="L3110" s="0" t="s">
        <v>31</v>
      </c>
      <c r="M3110" s="0" t="s">
        <v>140</v>
      </c>
      <c r="N3110" s="0" t="n">
        <v>826</v>
      </c>
      <c r="O3110" s="10" t="n">
        <v>0.911530948476866</v>
      </c>
      <c r="P3110" s="10" t="n">
        <v>0.162863194011152</v>
      </c>
      <c r="Q3110" s="0" t="str">
        <f aca="false">SUBSTITUTE(SUBSTITUTE($I3110,CHAR(61),""),CHAR(34),"")</f>
        <v>&lt;01</v>
      </c>
      <c r="R3110" s="0" t="str">
        <f aca="false">IF($D3110&lt;&gt;"","["&amp;$E3110&amp;"]"&amp;"|"&amp;$Q3110&amp;"|"&amp;$K3110&amp;"|"&amp;$G3110&amp;"|"&amp;IF($G3110="TX_CURR_SUBNAT.R","CY2022Q4",$M3110),"")</f>
        <v>[JQKLKuVuY61]|&lt;01|Female|PLHIV_Attend.T_1|CY2023Q3</v>
      </c>
    </row>
    <row r="3111" customFormat="false" ht="15" hidden="false" customHeight="false" outlineLevel="0" collapsed="false">
      <c r="D3111" s="0" t="s">
        <v>132</v>
      </c>
      <c r="E3111" s="0" t="s">
        <v>133</v>
      </c>
      <c r="F3111" s="0" t="s">
        <v>134</v>
      </c>
      <c r="G3111" s="0" t="s">
        <v>150</v>
      </c>
      <c r="H3111" s="0" t="s">
        <v>150</v>
      </c>
      <c r="I3111" s="0" t="s">
        <v>33</v>
      </c>
      <c r="J3111" s="0" t="s">
        <v>34</v>
      </c>
      <c r="K3111" s="0" t="s">
        <v>30</v>
      </c>
      <c r="L3111" s="0" t="s">
        <v>31</v>
      </c>
      <c r="M3111" s="0" t="s">
        <v>140</v>
      </c>
      <c r="N3111" s="0" t="n">
        <v>682</v>
      </c>
      <c r="O3111" s="10" t="n">
        <v>0.987679552519694</v>
      </c>
      <c r="P3111" s="10" t="n">
        <v>0.162863194011152</v>
      </c>
      <c r="Q3111" s="0" t="str">
        <f aca="false">SUBSTITUTE(SUBSTITUTE($I3111,CHAR(61),""),CHAR(34),"")</f>
        <v>01-09</v>
      </c>
      <c r="R3111" s="0" t="str">
        <f aca="false">IF($D3111&lt;&gt;"","["&amp;$E3111&amp;"]"&amp;"|"&amp;$Q3111&amp;"|"&amp;$K3111&amp;"|"&amp;$G3111&amp;"|"&amp;IF($G3111="TX_CURR_SUBNAT.R","CY2022Q4",$M3111),"")</f>
        <v>[JQKLKuVuY61]|01-09|Female|PLHIV_Attend.T_1|CY2023Q3</v>
      </c>
    </row>
    <row r="3112" customFormat="false" ht="15" hidden="false" customHeight="false" outlineLevel="0" collapsed="false">
      <c r="D3112" s="0" t="s">
        <v>132</v>
      </c>
      <c r="E3112" s="0" t="s">
        <v>133</v>
      </c>
      <c r="F3112" s="0" t="s">
        <v>134</v>
      </c>
      <c r="G3112" s="0" t="s">
        <v>150</v>
      </c>
      <c r="H3112" s="0" t="s">
        <v>150</v>
      </c>
      <c r="I3112" s="0" t="s">
        <v>36</v>
      </c>
      <c r="J3112" s="0" t="s">
        <v>37</v>
      </c>
      <c r="K3112" s="0" t="s">
        <v>30</v>
      </c>
      <c r="L3112" s="0" t="s">
        <v>31</v>
      </c>
      <c r="M3112" s="0" t="s">
        <v>140</v>
      </c>
      <c r="N3112" s="0" t="n">
        <v>1085</v>
      </c>
      <c r="O3112" s="10" t="n">
        <v>0.937970537459478</v>
      </c>
      <c r="P3112" s="10" t="n">
        <v>0.162863194011152</v>
      </c>
      <c r="Q3112" s="0" t="str">
        <f aca="false">SUBSTITUTE(SUBSTITUTE($I3112,CHAR(61),""),CHAR(34),"")</f>
        <v>10-14</v>
      </c>
      <c r="R3112" s="0" t="str">
        <f aca="false">IF($D3112&lt;&gt;"","["&amp;$E3112&amp;"]"&amp;"|"&amp;$Q3112&amp;"|"&amp;$K3112&amp;"|"&amp;$G3112&amp;"|"&amp;IF($G3112="TX_CURR_SUBNAT.R","CY2022Q4",$M3112),"")</f>
        <v>[JQKLKuVuY61]|10-14|Female|PLHIV_Attend.T_1|CY2023Q3</v>
      </c>
    </row>
    <row r="3113" customFormat="false" ht="15" hidden="false" customHeight="false" outlineLevel="0" collapsed="false">
      <c r="D3113" s="0" t="s">
        <v>132</v>
      </c>
      <c r="E3113" s="0" t="s">
        <v>133</v>
      </c>
      <c r="F3113" s="0" t="s">
        <v>134</v>
      </c>
      <c r="G3113" s="0" t="s">
        <v>150</v>
      </c>
      <c r="H3113" s="0" t="s">
        <v>150</v>
      </c>
      <c r="I3113" s="0" t="s">
        <v>38</v>
      </c>
      <c r="J3113" s="0" t="s">
        <v>39</v>
      </c>
      <c r="K3113" s="0" t="s">
        <v>30</v>
      </c>
      <c r="L3113" s="0" t="s">
        <v>31</v>
      </c>
      <c r="M3113" s="0" t="s">
        <v>140</v>
      </c>
      <c r="N3113" s="0" t="n">
        <v>1744</v>
      </c>
      <c r="O3113" s="10" t="n">
        <v>0.582069954602048</v>
      </c>
      <c r="P3113" s="10" t="n">
        <v>0.162863194011152</v>
      </c>
      <c r="Q3113" s="0" t="str">
        <f aca="false">SUBSTITUTE(SUBSTITUTE($I3113,CHAR(61),""),CHAR(34),"")</f>
        <v>15-24</v>
      </c>
      <c r="R3113" s="0" t="str">
        <f aca="false">IF($D3113&lt;&gt;"","["&amp;$E3113&amp;"]"&amp;"|"&amp;$Q3113&amp;"|"&amp;$K3113&amp;"|"&amp;$G3113&amp;"|"&amp;IF($G3113="TX_CURR_SUBNAT.R","CY2022Q4",$M3113),"")</f>
        <v>[JQKLKuVuY61]|15-24|Female|PLHIV_Attend.T_1|CY2023Q3</v>
      </c>
    </row>
    <row r="3114" customFormat="false" ht="15" hidden="false" customHeight="false" outlineLevel="0" collapsed="false">
      <c r="D3114" s="0" t="s">
        <v>132</v>
      </c>
      <c r="E3114" s="0" t="s">
        <v>133</v>
      </c>
      <c r="F3114" s="0" t="s">
        <v>134</v>
      </c>
      <c r="G3114" s="0" t="s">
        <v>150</v>
      </c>
      <c r="H3114" s="0" t="s">
        <v>150</v>
      </c>
      <c r="I3114" s="0" t="s">
        <v>41</v>
      </c>
      <c r="J3114" s="0" t="s">
        <v>42</v>
      </c>
      <c r="K3114" s="0" t="s">
        <v>30</v>
      </c>
      <c r="L3114" s="0" t="s">
        <v>31</v>
      </c>
      <c r="M3114" s="0" t="s">
        <v>140</v>
      </c>
      <c r="N3114" s="0" t="n">
        <v>1202</v>
      </c>
      <c r="O3114" s="10" t="n">
        <v>0.0756304394453764</v>
      </c>
      <c r="P3114" s="10" t="n">
        <v>0.162863194011152</v>
      </c>
      <c r="Q3114" s="0" t="str">
        <f aca="false">SUBSTITUTE(SUBSTITUTE($I3114,CHAR(61),""),CHAR(34),"")</f>
        <v>25-34</v>
      </c>
      <c r="R3114" s="0" t="str">
        <f aca="false">IF($D3114&lt;&gt;"","["&amp;$E3114&amp;"]"&amp;"|"&amp;$Q3114&amp;"|"&amp;$K3114&amp;"|"&amp;$G3114&amp;"|"&amp;IF($G3114="TX_CURR_SUBNAT.R","CY2022Q4",$M3114),"")</f>
        <v>[JQKLKuVuY61]|25-34|Female|PLHIV_Attend.T_1|CY2023Q3</v>
      </c>
    </row>
    <row r="3115" customFormat="false" ht="15" hidden="false" customHeight="false" outlineLevel="0" collapsed="false">
      <c r="D3115" s="0" t="s">
        <v>132</v>
      </c>
      <c r="E3115" s="0" t="s">
        <v>133</v>
      </c>
      <c r="F3115" s="0" t="s">
        <v>134</v>
      </c>
      <c r="G3115" s="0" t="s">
        <v>150</v>
      </c>
      <c r="H3115" s="0" t="s">
        <v>150</v>
      </c>
      <c r="I3115" s="0" t="s">
        <v>43</v>
      </c>
      <c r="J3115" s="0" t="s">
        <v>44</v>
      </c>
      <c r="K3115" s="0" t="s">
        <v>30</v>
      </c>
      <c r="L3115" s="0" t="s">
        <v>31</v>
      </c>
      <c r="M3115" s="0" t="s">
        <v>140</v>
      </c>
      <c r="N3115" s="0" t="n">
        <v>1426</v>
      </c>
      <c r="O3115" s="10" t="n">
        <v>0.978099942905828</v>
      </c>
      <c r="P3115" s="10" t="n">
        <v>0.162863194011152</v>
      </c>
      <c r="Q3115" s="0" t="str">
        <f aca="false">SUBSTITUTE(SUBSTITUTE($I3115,CHAR(61),""),CHAR(34),"")</f>
        <v>35-49</v>
      </c>
      <c r="R3115" s="0" t="str">
        <f aca="false">IF($D3115&lt;&gt;"","["&amp;$E3115&amp;"]"&amp;"|"&amp;$Q3115&amp;"|"&amp;$K3115&amp;"|"&amp;$G3115&amp;"|"&amp;IF($G3115="TX_CURR_SUBNAT.R","CY2022Q4",$M3115),"")</f>
        <v>[JQKLKuVuY61]|35-49|Female|PLHIV_Attend.T_1|CY2023Q3</v>
      </c>
    </row>
    <row r="3116" customFormat="false" ht="15" hidden="false" customHeight="false" outlineLevel="0" collapsed="false">
      <c r="D3116" s="0" t="s">
        <v>132</v>
      </c>
      <c r="E3116" s="0" t="s">
        <v>133</v>
      </c>
      <c r="F3116" s="0" t="s">
        <v>134</v>
      </c>
      <c r="G3116" s="0" t="s">
        <v>150</v>
      </c>
      <c r="H3116" s="0" t="s">
        <v>150</v>
      </c>
      <c r="I3116" s="0" t="s">
        <v>45</v>
      </c>
      <c r="J3116" s="0" t="s">
        <v>46</v>
      </c>
      <c r="K3116" s="0" t="s">
        <v>30</v>
      </c>
      <c r="L3116" s="0" t="s">
        <v>31</v>
      </c>
      <c r="M3116" s="0" t="s">
        <v>140</v>
      </c>
      <c r="N3116" s="0" t="n">
        <v>877</v>
      </c>
      <c r="O3116" s="10" t="n">
        <v>0.308052896754816</v>
      </c>
      <c r="P3116" s="10" t="n">
        <v>0.162863194011152</v>
      </c>
      <c r="Q3116" s="0" t="str">
        <f aca="false">SUBSTITUTE(SUBSTITUTE($I3116,CHAR(61),""),CHAR(34),"")</f>
        <v>50+</v>
      </c>
      <c r="R3116" s="0" t="str">
        <f aca="false">IF($D3116&lt;&gt;"","["&amp;$E3116&amp;"]"&amp;"|"&amp;$Q3116&amp;"|"&amp;$K3116&amp;"|"&amp;$G3116&amp;"|"&amp;IF($G3116="TX_CURR_SUBNAT.R","CY2022Q4",$M3116),"")</f>
        <v>[JQKLKuVuY61]|50+|Female|PLHIV_Attend.T_1|CY2023Q3</v>
      </c>
    </row>
    <row r="3117" customFormat="false" ht="15" hidden="false" customHeight="false" outlineLevel="0" collapsed="false">
      <c r="D3117" s="0" t="s">
        <v>132</v>
      </c>
      <c r="E3117" s="0" t="s">
        <v>133</v>
      </c>
      <c r="F3117" s="0" t="s">
        <v>134</v>
      </c>
      <c r="G3117" s="0" t="s">
        <v>150</v>
      </c>
      <c r="H3117" s="0" t="s">
        <v>150</v>
      </c>
      <c r="I3117" s="0" t="s">
        <v>28</v>
      </c>
      <c r="J3117" s="0" t="s">
        <v>29</v>
      </c>
      <c r="K3117" s="0" t="s">
        <v>48</v>
      </c>
      <c r="L3117" s="0" t="s">
        <v>49</v>
      </c>
      <c r="M3117" s="0" t="s">
        <v>140</v>
      </c>
      <c r="N3117" s="0" t="n">
        <v>619</v>
      </c>
      <c r="O3117" s="10" t="n">
        <v>0.320648504188284</v>
      </c>
      <c r="P3117" s="10" t="n">
        <v>0.162863194011152</v>
      </c>
      <c r="Q3117" s="0" t="str">
        <f aca="false">SUBSTITUTE(SUBSTITUTE($I3117,CHAR(61),""),CHAR(34),"")</f>
        <v>&lt;01</v>
      </c>
      <c r="R3117" s="0" t="str">
        <f aca="false">IF($D3117&lt;&gt;"","["&amp;$E3117&amp;"]"&amp;"|"&amp;$Q3117&amp;"|"&amp;$K3117&amp;"|"&amp;$G3117&amp;"|"&amp;IF($G3117="TX_CURR_SUBNAT.R","CY2022Q4",$M3117),"")</f>
        <v>[JQKLKuVuY61]|&lt;01|Male|PLHIV_Attend.T_1|CY2023Q3</v>
      </c>
    </row>
    <row r="3118" customFormat="false" ht="15" hidden="false" customHeight="false" outlineLevel="0" collapsed="false">
      <c r="D3118" s="0" t="s">
        <v>132</v>
      </c>
      <c r="E3118" s="0" t="s">
        <v>133</v>
      </c>
      <c r="F3118" s="0" t="s">
        <v>134</v>
      </c>
      <c r="G3118" s="0" t="s">
        <v>150</v>
      </c>
      <c r="H3118" s="0" t="s">
        <v>150</v>
      </c>
      <c r="I3118" s="0" t="s">
        <v>33</v>
      </c>
      <c r="J3118" s="0" t="s">
        <v>34</v>
      </c>
      <c r="K3118" s="0" t="s">
        <v>48</v>
      </c>
      <c r="L3118" s="0" t="s">
        <v>49</v>
      </c>
      <c r="M3118" s="0" t="s">
        <v>140</v>
      </c>
      <c r="N3118" s="0" t="n">
        <v>1978</v>
      </c>
      <c r="O3118" s="10" t="n">
        <v>0.247134062927216</v>
      </c>
      <c r="P3118" s="10" t="n">
        <v>0.162863194011152</v>
      </c>
      <c r="Q3118" s="0" t="str">
        <f aca="false">SUBSTITUTE(SUBSTITUTE($I3118,CHAR(61),""),CHAR(34),"")</f>
        <v>01-09</v>
      </c>
      <c r="R3118" s="0" t="str">
        <f aca="false">IF($D3118&lt;&gt;"","["&amp;$E3118&amp;"]"&amp;"|"&amp;$Q3118&amp;"|"&amp;$K3118&amp;"|"&amp;$G3118&amp;"|"&amp;IF($G3118="TX_CURR_SUBNAT.R","CY2022Q4",$M3118),"")</f>
        <v>[JQKLKuVuY61]|01-09|Male|PLHIV_Attend.T_1|CY2023Q3</v>
      </c>
    </row>
    <row r="3119" customFormat="false" ht="15" hidden="false" customHeight="false" outlineLevel="0" collapsed="false">
      <c r="D3119" s="0" t="s">
        <v>132</v>
      </c>
      <c r="E3119" s="0" t="s">
        <v>133</v>
      </c>
      <c r="F3119" s="0" t="s">
        <v>134</v>
      </c>
      <c r="G3119" s="0" t="s">
        <v>150</v>
      </c>
      <c r="H3119" s="0" t="s">
        <v>150</v>
      </c>
      <c r="I3119" s="0" t="s">
        <v>36</v>
      </c>
      <c r="J3119" s="0" t="s">
        <v>37</v>
      </c>
      <c r="K3119" s="0" t="s">
        <v>48</v>
      </c>
      <c r="L3119" s="0" t="s">
        <v>49</v>
      </c>
      <c r="M3119" s="0" t="s">
        <v>140</v>
      </c>
      <c r="N3119" s="0" t="n">
        <v>904</v>
      </c>
      <c r="O3119" s="10" t="n">
        <v>0.962984580080956</v>
      </c>
      <c r="P3119" s="10" t="n">
        <v>0.162863194011152</v>
      </c>
      <c r="Q3119" s="0" t="str">
        <f aca="false">SUBSTITUTE(SUBSTITUTE($I3119,CHAR(61),""),CHAR(34),"")</f>
        <v>10-14</v>
      </c>
      <c r="R3119" s="0" t="str">
        <f aca="false">IF($D3119&lt;&gt;"","["&amp;$E3119&amp;"]"&amp;"|"&amp;$Q3119&amp;"|"&amp;$K3119&amp;"|"&amp;$G3119&amp;"|"&amp;IF($G3119="TX_CURR_SUBNAT.R","CY2022Q4",$M3119),"")</f>
        <v>[JQKLKuVuY61]|10-14|Male|PLHIV_Attend.T_1|CY2023Q3</v>
      </c>
    </row>
    <row r="3120" customFormat="false" ht="15" hidden="false" customHeight="false" outlineLevel="0" collapsed="false">
      <c r="D3120" s="0" t="s">
        <v>132</v>
      </c>
      <c r="E3120" s="0" t="s">
        <v>133</v>
      </c>
      <c r="F3120" s="0" t="s">
        <v>134</v>
      </c>
      <c r="G3120" s="0" t="s">
        <v>150</v>
      </c>
      <c r="H3120" s="0" t="s">
        <v>150</v>
      </c>
      <c r="I3120" s="0" t="s">
        <v>38</v>
      </c>
      <c r="J3120" s="0" t="s">
        <v>39</v>
      </c>
      <c r="K3120" s="0" t="s">
        <v>48</v>
      </c>
      <c r="L3120" s="0" t="s">
        <v>49</v>
      </c>
      <c r="M3120" s="0" t="s">
        <v>140</v>
      </c>
      <c r="N3120" s="0" t="n">
        <v>517</v>
      </c>
      <c r="O3120" s="10" t="n">
        <v>0.242814561119303</v>
      </c>
      <c r="P3120" s="10" t="n">
        <v>0.162863194011152</v>
      </c>
      <c r="Q3120" s="0" t="str">
        <f aca="false">SUBSTITUTE(SUBSTITUTE($I3120,CHAR(61),""),CHAR(34),"")</f>
        <v>15-24</v>
      </c>
      <c r="R3120" s="0" t="str">
        <f aca="false">IF($D3120&lt;&gt;"","["&amp;$E3120&amp;"]"&amp;"|"&amp;$Q3120&amp;"|"&amp;$K3120&amp;"|"&amp;$G3120&amp;"|"&amp;IF($G3120="TX_CURR_SUBNAT.R","CY2022Q4",$M3120),"")</f>
        <v>[JQKLKuVuY61]|15-24|Male|PLHIV_Attend.T_1|CY2023Q3</v>
      </c>
    </row>
    <row r="3121" customFormat="false" ht="15" hidden="false" customHeight="false" outlineLevel="0" collapsed="false">
      <c r="D3121" s="0" t="s">
        <v>132</v>
      </c>
      <c r="E3121" s="0" t="s">
        <v>133</v>
      </c>
      <c r="F3121" s="0" t="s">
        <v>134</v>
      </c>
      <c r="G3121" s="0" t="s">
        <v>150</v>
      </c>
      <c r="H3121" s="0" t="s">
        <v>150</v>
      </c>
      <c r="I3121" s="0" t="s">
        <v>41</v>
      </c>
      <c r="J3121" s="0" t="s">
        <v>42</v>
      </c>
      <c r="K3121" s="0" t="s">
        <v>48</v>
      </c>
      <c r="L3121" s="0" t="s">
        <v>49</v>
      </c>
      <c r="M3121" s="0" t="s">
        <v>140</v>
      </c>
      <c r="N3121" s="0" t="n">
        <v>1534</v>
      </c>
      <c r="O3121" s="10" t="n">
        <v>0.832782985642552</v>
      </c>
      <c r="P3121" s="10" t="n">
        <v>0.162863194011152</v>
      </c>
      <c r="Q3121" s="0" t="str">
        <f aca="false">SUBSTITUTE(SUBSTITUTE($I3121,CHAR(61),""),CHAR(34),"")</f>
        <v>25-34</v>
      </c>
      <c r="R3121" s="0" t="str">
        <f aca="false">IF($D3121&lt;&gt;"","["&amp;$E3121&amp;"]"&amp;"|"&amp;$Q3121&amp;"|"&amp;$K3121&amp;"|"&amp;$G3121&amp;"|"&amp;IF($G3121="TX_CURR_SUBNAT.R","CY2022Q4",$M3121),"")</f>
        <v>[JQKLKuVuY61]|25-34|Male|PLHIV_Attend.T_1|CY2023Q3</v>
      </c>
    </row>
    <row r="3122" customFormat="false" ht="15" hidden="false" customHeight="false" outlineLevel="0" collapsed="false">
      <c r="D3122" s="0" t="s">
        <v>132</v>
      </c>
      <c r="E3122" s="0" t="s">
        <v>133</v>
      </c>
      <c r="F3122" s="0" t="s">
        <v>134</v>
      </c>
      <c r="G3122" s="0" t="s">
        <v>150</v>
      </c>
      <c r="H3122" s="0" t="s">
        <v>150</v>
      </c>
      <c r="I3122" s="0" t="s">
        <v>43</v>
      </c>
      <c r="J3122" s="0" t="s">
        <v>44</v>
      </c>
      <c r="K3122" s="0" t="s">
        <v>48</v>
      </c>
      <c r="L3122" s="0" t="s">
        <v>49</v>
      </c>
      <c r="M3122" s="0" t="s">
        <v>140</v>
      </c>
      <c r="N3122" s="0" t="n">
        <v>1268</v>
      </c>
      <c r="O3122" s="10" t="n">
        <v>0.660538079217076</v>
      </c>
      <c r="P3122" s="10" t="n">
        <v>0.162863194011152</v>
      </c>
      <c r="Q3122" s="0" t="str">
        <f aca="false">SUBSTITUTE(SUBSTITUTE($I3122,CHAR(61),""),CHAR(34),"")</f>
        <v>35-49</v>
      </c>
      <c r="R3122" s="0" t="str">
        <f aca="false">IF($D3122&lt;&gt;"","["&amp;$E3122&amp;"]"&amp;"|"&amp;$Q3122&amp;"|"&amp;$K3122&amp;"|"&amp;$G3122&amp;"|"&amp;IF($G3122="TX_CURR_SUBNAT.R","CY2022Q4",$M3122),"")</f>
        <v>[JQKLKuVuY61]|35-49|Male|PLHIV_Attend.T_1|CY2023Q3</v>
      </c>
    </row>
    <row r="3123" customFormat="false" ht="15" hidden="false" customHeight="false" outlineLevel="0" collapsed="false">
      <c r="D3123" s="0" t="s">
        <v>132</v>
      </c>
      <c r="E3123" s="0" t="s">
        <v>133</v>
      </c>
      <c r="F3123" s="0" t="s">
        <v>134</v>
      </c>
      <c r="G3123" s="0" t="s">
        <v>150</v>
      </c>
      <c r="H3123" s="0" t="s">
        <v>150</v>
      </c>
      <c r="I3123" s="0" t="s">
        <v>45</v>
      </c>
      <c r="J3123" s="0" t="s">
        <v>46</v>
      </c>
      <c r="K3123" s="0" t="s">
        <v>48</v>
      </c>
      <c r="L3123" s="0" t="s">
        <v>49</v>
      </c>
      <c r="M3123" s="0" t="s">
        <v>140</v>
      </c>
      <c r="N3123" s="0" t="n">
        <v>1523</v>
      </c>
      <c r="O3123" s="10" t="n">
        <v>0.734344566008076</v>
      </c>
      <c r="P3123" s="10" t="n">
        <v>0.162863194011152</v>
      </c>
      <c r="Q3123" s="0" t="str">
        <f aca="false">SUBSTITUTE(SUBSTITUTE($I3123,CHAR(61),""),CHAR(34),"")</f>
        <v>50+</v>
      </c>
      <c r="R3123" s="0" t="str">
        <f aca="false">IF($D3123&lt;&gt;"","["&amp;$E3123&amp;"]"&amp;"|"&amp;$Q3123&amp;"|"&amp;$K3123&amp;"|"&amp;$G3123&amp;"|"&amp;IF($G3123="TX_CURR_SUBNAT.R","CY2022Q4",$M3123),"")</f>
        <v>[JQKLKuVuY61]|50+|Male|PLHIV_Attend.T_1|CY2023Q3</v>
      </c>
    </row>
    <row r="3124" customFormat="false" ht="15" hidden="false" customHeight="false" outlineLevel="0" collapsed="false">
      <c r="D3124" s="0" t="s">
        <v>135</v>
      </c>
      <c r="E3124" s="0" t="s">
        <v>136</v>
      </c>
      <c r="F3124" s="0" t="s">
        <v>137</v>
      </c>
      <c r="G3124" s="0" t="s">
        <v>150</v>
      </c>
      <c r="H3124" s="0" t="s">
        <v>150</v>
      </c>
      <c r="I3124" s="0" t="s">
        <v>28</v>
      </c>
      <c r="J3124" s="0" t="s">
        <v>29</v>
      </c>
      <c r="K3124" s="0" t="s">
        <v>30</v>
      </c>
      <c r="L3124" s="0" t="s">
        <v>31</v>
      </c>
      <c r="M3124" s="0" t="s">
        <v>140</v>
      </c>
      <c r="N3124" s="0" t="n">
        <v>1000</v>
      </c>
      <c r="O3124" s="10" t="n">
        <v>0.878081582253799</v>
      </c>
      <c r="P3124" s="10" t="n">
        <v>0.955300528323278</v>
      </c>
      <c r="Q3124" s="0" t="str">
        <f aca="false">SUBSTITUTE(SUBSTITUTE($I3124,CHAR(61),""),CHAR(34),"")</f>
        <v>&lt;01</v>
      </c>
      <c r="R3124" s="0" t="str">
        <f aca="false">IF($D3124&lt;&gt;"","["&amp;$E3124&amp;"]"&amp;"|"&amp;$Q3124&amp;"|"&amp;$K3124&amp;"|"&amp;$G3124&amp;"|"&amp;IF($G3124="TX_CURR_SUBNAT.R","CY2022Q4",$M3124),"")</f>
        <v>[fiRkU6gEjLz]|&lt;01|Female|PLHIV_Attend.T_1|CY2023Q3</v>
      </c>
    </row>
    <row r="3125" customFormat="false" ht="15" hidden="false" customHeight="false" outlineLevel="0" collapsed="false">
      <c r="D3125" s="0" t="s">
        <v>135</v>
      </c>
      <c r="E3125" s="0" t="s">
        <v>136</v>
      </c>
      <c r="F3125" s="0" t="s">
        <v>137</v>
      </c>
      <c r="G3125" s="0" t="s">
        <v>150</v>
      </c>
      <c r="H3125" s="0" t="s">
        <v>150</v>
      </c>
      <c r="I3125" s="0" t="s">
        <v>33</v>
      </c>
      <c r="J3125" s="0" t="s">
        <v>34</v>
      </c>
      <c r="K3125" s="0" t="s">
        <v>30</v>
      </c>
      <c r="L3125" s="0" t="s">
        <v>31</v>
      </c>
      <c r="M3125" s="0" t="s">
        <v>140</v>
      </c>
      <c r="N3125" s="0" t="n">
        <v>1667</v>
      </c>
      <c r="O3125" s="10" t="n">
        <v>0.236996212974191</v>
      </c>
      <c r="P3125" s="10" t="n">
        <v>0.955300528323278</v>
      </c>
      <c r="Q3125" s="0" t="str">
        <f aca="false">SUBSTITUTE(SUBSTITUTE($I3125,CHAR(61),""),CHAR(34),"")</f>
        <v>01-09</v>
      </c>
      <c r="R3125" s="0" t="str">
        <f aca="false">IF($D3125&lt;&gt;"","["&amp;$E3125&amp;"]"&amp;"|"&amp;$Q3125&amp;"|"&amp;$K3125&amp;"|"&amp;$G3125&amp;"|"&amp;IF($G3125="TX_CURR_SUBNAT.R","CY2022Q4",$M3125),"")</f>
        <v>[fiRkU6gEjLz]|01-09|Female|PLHIV_Attend.T_1|CY2023Q3</v>
      </c>
    </row>
    <row r="3126" customFormat="false" ht="15" hidden="false" customHeight="false" outlineLevel="0" collapsed="false">
      <c r="D3126" s="0" t="s">
        <v>135</v>
      </c>
      <c r="E3126" s="0" t="s">
        <v>136</v>
      </c>
      <c r="F3126" s="0" t="s">
        <v>137</v>
      </c>
      <c r="G3126" s="0" t="s">
        <v>150</v>
      </c>
      <c r="H3126" s="0" t="s">
        <v>150</v>
      </c>
      <c r="I3126" s="0" t="s">
        <v>36</v>
      </c>
      <c r="J3126" s="0" t="s">
        <v>37</v>
      </c>
      <c r="K3126" s="0" t="s">
        <v>30</v>
      </c>
      <c r="L3126" s="0" t="s">
        <v>31</v>
      </c>
      <c r="M3126" s="0" t="s">
        <v>140</v>
      </c>
      <c r="N3126" s="0" t="n">
        <v>1991</v>
      </c>
      <c r="O3126" s="10" t="n">
        <v>0.50022106943652</v>
      </c>
      <c r="P3126" s="10" t="n">
        <v>0.955300528323278</v>
      </c>
      <c r="Q3126" s="0" t="str">
        <f aca="false">SUBSTITUTE(SUBSTITUTE($I3126,CHAR(61),""),CHAR(34),"")</f>
        <v>10-14</v>
      </c>
      <c r="R3126" s="0" t="str">
        <f aca="false">IF($D3126&lt;&gt;"","["&amp;$E3126&amp;"]"&amp;"|"&amp;$Q3126&amp;"|"&amp;$K3126&amp;"|"&amp;$G3126&amp;"|"&amp;IF($G3126="TX_CURR_SUBNAT.R","CY2022Q4",$M3126),"")</f>
        <v>[fiRkU6gEjLz]|10-14|Female|PLHIV_Attend.T_1|CY2023Q3</v>
      </c>
    </row>
    <row r="3127" customFormat="false" ht="15" hidden="false" customHeight="false" outlineLevel="0" collapsed="false">
      <c r="D3127" s="0" t="s">
        <v>135</v>
      </c>
      <c r="E3127" s="0" t="s">
        <v>136</v>
      </c>
      <c r="F3127" s="0" t="s">
        <v>137</v>
      </c>
      <c r="G3127" s="0" t="s">
        <v>150</v>
      </c>
      <c r="H3127" s="0" t="s">
        <v>150</v>
      </c>
      <c r="I3127" s="0" t="s">
        <v>38</v>
      </c>
      <c r="J3127" s="0" t="s">
        <v>39</v>
      </c>
      <c r="K3127" s="0" t="s">
        <v>30</v>
      </c>
      <c r="L3127" s="0" t="s">
        <v>31</v>
      </c>
      <c r="M3127" s="0" t="s">
        <v>140</v>
      </c>
      <c r="N3127" s="0" t="n">
        <v>1220</v>
      </c>
      <c r="O3127" s="10" t="n">
        <v>0.0129337382968515</v>
      </c>
      <c r="P3127" s="10" t="n">
        <v>0.955300528323278</v>
      </c>
      <c r="Q3127" s="0" t="str">
        <f aca="false">SUBSTITUTE(SUBSTITUTE($I3127,CHAR(61),""),CHAR(34),"")</f>
        <v>15-24</v>
      </c>
      <c r="R3127" s="0" t="str">
        <f aca="false">IF($D3127&lt;&gt;"","["&amp;$E3127&amp;"]"&amp;"|"&amp;$Q3127&amp;"|"&amp;$K3127&amp;"|"&amp;$G3127&amp;"|"&amp;IF($G3127="TX_CURR_SUBNAT.R","CY2022Q4",$M3127),"")</f>
        <v>[fiRkU6gEjLz]|15-24|Female|PLHIV_Attend.T_1|CY2023Q3</v>
      </c>
    </row>
    <row r="3128" customFormat="false" ht="15" hidden="false" customHeight="false" outlineLevel="0" collapsed="false">
      <c r="D3128" s="0" t="s">
        <v>135</v>
      </c>
      <c r="E3128" s="0" t="s">
        <v>136</v>
      </c>
      <c r="F3128" s="0" t="s">
        <v>137</v>
      </c>
      <c r="G3128" s="0" t="s">
        <v>150</v>
      </c>
      <c r="H3128" s="0" t="s">
        <v>150</v>
      </c>
      <c r="I3128" s="0" t="s">
        <v>41</v>
      </c>
      <c r="J3128" s="0" t="s">
        <v>42</v>
      </c>
      <c r="K3128" s="0" t="s">
        <v>30</v>
      </c>
      <c r="L3128" s="0" t="s">
        <v>31</v>
      </c>
      <c r="M3128" s="0" t="s">
        <v>140</v>
      </c>
      <c r="N3128" s="0" t="n">
        <v>1868</v>
      </c>
      <c r="O3128" s="10" t="n">
        <v>0.311694861622527</v>
      </c>
      <c r="P3128" s="10" t="n">
        <v>0.955300528323278</v>
      </c>
      <c r="Q3128" s="0" t="str">
        <f aca="false">SUBSTITUTE(SUBSTITUTE($I3128,CHAR(61),""),CHAR(34),"")</f>
        <v>25-34</v>
      </c>
      <c r="R3128" s="0" t="str">
        <f aca="false">IF($D3128&lt;&gt;"","["&amp;$E3128&amp;"]"&amp;"|"&amp;$Q3128&amp;"|"&amp;$K3128&amp;"|"&amp;$G3128&amp;"|"&amp;IF($G3128="TX_CURR_SUBNAT.R","CY2022Q4",$M3128),"")</f>
        <v>[fiRkU6gEjLz]|25-34|Female|PLHIV_Attend.T_1|CY2023Q3</v>
      </c>
    </row>
    <row r="3129" customFormat="false" ht="15" hidden="false" customHeight="false" outlineLevel="0" collapsed="false">
      <c r="D3129" s="0" t="s">
        <v>135</v>
      </c>
      <c r="E3129" s="0" t="s">
        <v>136</v>
      </c>
      <c r="F3129" s="0" t="s">
        <v>137</v>
      </c>
      <c r="G3129" s="0" t="s">
        <v>150</v>
      </c>
      <c r="H3129" s="0" t="s">
        <v>150</v>
      </c>
      <c r="I3129" s="0" t="s">
        <v>43</v>
      </c>
      <c r="J3129" s="0" t="s">
        <v>44</v>
      </c>
      <c r="K3129" s="0" t="s">
        <v>30</v>
      </c>
      <c r="L3129" s="0" t="s">
        <v>31</v>
      </c>
      <c r="M3129" s="0" t="s">
        <v>140</v>
      </c>
      <c r="N3129" s="0" t="n">
        <v>1165</v>
      </c>
      <c r="O3129" s="10" t="n">
        <v>0.606442374177277</v>
      </c>
      <c r="P3129" s="10" t="n">
        <v>0.955300528323278</v>
      </c>
      <c r="Q3129" s="0" t="str">
        <f aca="false">SUBSTITUTE(SUBSTITUTE($I3129,CHAR(61),""),CHAR(34),"")</f>
        <v>35-49</v>
      </c>
      <c r="R3129" s="0" t="str">
        <f aca="false">IF($D3129&lt;&gt;"","["&amp;$E3129&amp;"]"&amp;"|"&amp;$Q3129&amp;"|"&amp;$K3129&amp;"|"&amp;$G3129&amp;"|"&amp;IF($G3129="TX_CURR_SUBNAT.R","CY2022Q4",$M3129),"")</f>
        <v>[fiRkU6gEjLz]|35-49|Female|PLHIV_Attend.T_1|CY2023Q3</v>
      </c>
    </row>
    <row r="3130" customFormat="false" ht="15" hidden="false" customHeight="false" outlineLevel="0" collapsed="false">
      <c r="D3130" s="0" t="s">
        <v>135</v>
      </c>
      <c r="E3130" s="0" t="s">
        <v>136</v>
      </c>
      <c r="F3130" s="0" t="s">
        <v>137</v>
      </c>
      <c r="G3130" s="0" t="s">
        <v>150</v>
      </c>
      <c r="H3130" s="0" t="s">
        <v>150</v>
      </c>
      <c r="I3130" s="0" t="s">
        <v>45</v>
      </c>
      <c r="J3130" s="0" t="s">
        <v>46</v>
      </c>
      <c r="K3130" s="0" t="s">
        <v>30</v>
      </c>
      <c r="L3130" s="0" t="s">
        <v>31</v>
      </c>
      <c r="M3130" s="0" t="s">
        <v>140</v>
      </c>
      <c r="N3130" s="0" t="n">
        <v>1443</v>
      </c>
      <c r="O3130" s="10" t="n">
        <v>0.945330353686586</v>
      </c>
      <c r="P3130" s="10" t="n">
        <v>0.955300528323278</v>
      </c>
      <c r="Q3130" s="0" t="str">
        <f aca="false">SUBSTITUTE(SUBSTITUTE($I3130,CHAR(61),""),CHAR(34),"")</f>
        <v>50+</v>
      </c>
      <c r="R3130" s="0" t="str">
        <f aca="false">IF($D3130&lt;&gt;"","["&amp;$E3130&amp;"]"&amp;"|"&amp;$Q3130&amp;"|"&amp;$K3130&amp;"|"&amp;$G3130&amp;"|"&amp;IF($G3130="TX_CURR_SUBNAT.R","CY2022Q4",$M3130),"")</f>
        <v>[fiRkU6gEjLz]|50+|Female|PLHIV_Attend.T_1|CY2023Q3</v>
      </c>
    </row>
    <row r="3131" customFormat="false" ht="15" hidden="false" customHeight="false" outlineLevel="0" collapsed="false">
      <c r="D3131" s="0" t="s">
        <v>135</v>
      </c>
      <c r="E3131" s="0" t="s">
        <v>136</v>
      </c>
      <c r="F3131" s="0" t="s">
        <v>137</v>
      </c>
      <c r="G3131" s="0" t="s">
        <v>150</v>
      </c>
      <c r="H3131" s="0" t="s">
        <v>150</v>
      </c>
      <c r="I3131" s="0" t="s">
        <v>28</v>
      </c>
      <c r="J3131" s="0" t="s">
        <v>29</v>
      </c>
      <c r="K3131" s="0" t="s">
        <v>48</v>
      </c>
      <c r="L3131" s="0" t="s">
        <v>49</v>
      </c>
      <c r="M3131" s="0" t="s">
        <v>140</v>
      </c>
      <c r="N3131" s="0" t="n">
        <v>1252</v>
      </c>
      <c r="O3131" s="10" t="n">
        <v>0.277509109349921</v>
      </c>
      <c r="P3131" s="10" t="n">
        <v>0.955300528323278</v>
      </c>
      <c r="Q3131" s="0" t="str">
        <f aca="false">SUBSTITUTE(SUBSTITUTE($I3131,CHAR(61),""),CHAR(34),"")</f>
        <v>&lt;01</v>
      </c>
      <c r="R3131" s="0" t="str">
        <f aca="false">IF($D3131&lt;&gt;"","["&amp;$E3131&amp;"]"&amp;"|"&amp;$Q3131&amp;"|"&amp;$K3131&amp;"|"&amp;$G3131&amp;"|"&amp;IF($G3131="TX_CURR_SUBNAT.R","CY2022Q4",$M3131),"")</f>
        <v>[fiRkU6gEjLz]|&lt;01|Male|PLHIV_Attend.T_1|CY2023Q3</v>
      </c>
    </row>
    <row r="3132" customFormat="false" ht="15" hidden="false" customHeight="false" outlineLevel="0" collapsed="false">
      <c r="D3132" s="0" t="s">
        <v>135</v>
      </c>
      <c r="E3132" s="0" t="s">
        <v>136</v>
      </c>
      <c r="F3132" s="0" t="s">
        <v>137</v>
      </c>
      <c r="G3132" s="0" t="s">
        <v>150</v>
      </c>
      <c r="H3132" s="0" t="s">
        <v>150</v>
      </c>
      <c r="I3132" s="0" t="s">
        <v>33</v>
      </c>
      <c r="J3132" s="0" t="s">
        <v>34</v>
      </c>
      <c r="K3132" s="0" t="s">
        <v>48</v>
      </c>
      <c r="L3132" s="0" t="s">
        <v>49</v>
      </c>
      <c r="M3132" s="0" t="s">
        <v>140</v>
      </c>
      <c r="N3132" s="0" t="n">
        <v>1202</v>
      </c>
      <c r="O3132" s="10" t="n">
        <v>0.856219413690269</v>
      </c>
      <c r="P3132" s="10" t="n">
        <v>0.955300528323278</v>
      </c>
      <c r="Q3132" s="0" t="str">
        <f aca="false">SUBSTITUTE(SUBSTITUTE($I3132,CHAR(61),""),CHAR(34),"")</f>
        <v>01-09</v>
      </c>
      <c r="R3132" s="0" t="str">
        <f aca="false">IF($D3132&lt;&gt;"","["&amp;$E3132&amp;"]"&amp;"|"&amp;$Q3132&amp;"|"&amp;$K3132&amp;"|"&amp;$G3132&amp;"|"&amp;IF($G3132="TX_CURR_SUBNAT.R","CY2022Q4",$M3132),"")</f>
        <v>[fiRkU6gEjLz]|01-09|Male|PLHIV_Attend.T_1|CY2023Q3</v>
      </c>
    </row>
    <row r="3133" customFormat="false" ht="15" hidden="false" customHeight="false" outlineLevel="0" collapsed="false">
      <c r="D3133" s="0" t="s">
        <v>135</v>
      </c>
      <c r="E3133" s="0" t="s">
        <v>136</v>
      </c>
      <c r="F3133" s="0" t="s">
        <v>137</v>
      </c>
      <c r="G3133" s="0" t="s">
        <v>150</v>
      </c>
      <c r="H3133" s="0" t="s">
        <v>150</v>
      </c>
      <c r="I3133" s="0" t="s">
        <v>36</v>
      </c>
      <c r="J3133" s="0" t="s">
        <v>37</v>
      </c>
      <c r="K3133" s="0" t="s">
        <v>48</v>
      </c>
      <c r="L3133" s="0" t="s">
        <v>49</v>
      </c>
      <c r="M3133" s="0" t="s">
        <v>140</v>
      </c>
      <c r="N3133" s="0" t="n">
        <v>1565</v>
      </c>
      <c r="O3133" s="10" t="n">
        <v>0.928802465321496</v>
      </c>
      <c r="P3133" s="10" t="n">
        <v>0.955300528323278</v>
      </c>
      <c r="Q3133" s="0" t="str">
        <f aca="false">SUBSTITUTE(SUBSTITUTE($I3133,CHAR(61),""),CHAR(34),"")</f>
        <v>10-14</v>
      </c>
      <c r="R3133" s="0" t="str">
        <f aca="false">IF($D3133&lt;&gt;"","["&amp;$E3133&amp;"]"&amp;"|"&amp;$Q3133&amp;"|"&amp;$K3133&amp;"|"&amp;$G3133&amp;"|"&amp;IF($G3133="TX_CURR_SUBNAT.R","CY2022Q4",$M3133),"")</f>
        <v>[fiRkU6gEjLz]|10-14|Male|PLHIV_Attend.T_1|CY2023Q3</v>
      </c>
    </row>
    <row r="3134" customFormat="false" ht="15" hidden="false" customHeight="false" outlineLevel="0" collapsed="false">
      <c r="D3134" s="0" t="s">
        <v>135</v>
      </c>
      <c r="E3134" s="0" t="s">
        <v>136</v>
      </c>
      <c r="F3134" s="0" t="s">
        <v>137</v>
      </c>
      <c r="G3134" s="0" t="s">
        <v>150</v>
      </c>
      <c r="H3134" s="0" t="s">
        <v>150</v>
      </c>
      <c r="I3134" s="0" t="s">
        <v>38</v>
      </c>
      <c r="J3134" s="0" t="s">
        <v>39</v>
      </c>
      <c r="K3134" s="0" t="s">
        <v>48</v>
      </c>
      <c r="L3134" s="0" t="s">
        <v>49</v>
      </c>
      <c r="M3134" s="0" t="s">
        <v>140</v>
      </c>
      <c r="N3134" s="0" t="n">
        <v>850</v>
      </c>
      <c r="O3134" s="10" t="n">
        <v>0.164738938910887</v>
      </c>
      <c r="P3134" s="10" t="n">
        <v>0.955300528323278</v>
      </c>
      <c r="Q3134" s="0" t="str">
        <f aca="false">SUBSTITUTE(SUBSTITUTE($I3134,CHAR(61),""),CHAR(34),"")</f>
        <v>15-24</v>
      </c>
      <c r="R3134" s="0" t="str">
        <f aca="false">IF($D3134&lt;&gt;"","["&amp;$E3134&amp;"]"&amp;"|"&amp;$Q3134&amp;"|"&amp;$K3134&amp;"|"&amp;$G3134&amp;"|"&amp;IF($G3134="TX_CURR_SUBNAT.R","CY2022Q4",$M3134),"")</f>
        <v>[fiRkU6gEjLz]|15-24|Male|PLHIV_Attend.T_1|CY2023Q3</v>
      </c>
    </row>
    <row r="3135" customFormat="false" ht="15" hidden="false" customHeight="false" outlineLevel="0" collapsed="false">
      <c r="D3135" s="0" t="s">
        <v>135</v>
      </c>
      <c r="E3135" s="0" t="s">
        <v>136</v>
      </c>
      <c r="F3135" s="0" t="s">
        <v>137</v>
      </c>
      <c r="G3135" s="0" t="s">
        <v>150</v>
      </c>
      <c r="H3135" s="0" t="s">
        <v>150</v>
      </c>
      <c r="I3135" s="0" t="s">
        <v>41</v>
      </c>
      <c r="J3135" s="0" t="s">
        <v>42</v>
      </c>
      <c r="K3135" s="0" t="s">
        <v>48</v>
      </c>
      <c r="L3135" s="0" t="s">
        <v>49</v>
      </c>
      <c r="M3135" s="0" t="s">
        <v>140</v>
      </c>
      <c r="N3135" s="0" t="n">
        <v>1455</v>
      </c>
      <c r="O3135" s="10" t="n">
        <v>0.965071700746194</v>
      </c>
      <c r="P3135" s="10" t="n">
        <v>0.955300528323278</v>
      </c>
      <c r="Q3135" s="0" t="str">
        <f aca="false">SUBSTITUTE(SUBSTITUTE($I3135,CHAR(61),""),CHAR(34),"")</f>
        <v>25-34</v>
      </c>
      <c r="R3135" s="0" t="str">
        <f aca="false">IF($D3135&lt;&gt;"","["&amp;$E3135&amp;"]"&amp;"|"&amp;$Q3135&amp;"|"&amp;$K3135&amp;"|"&amp;$G3135&amp;"|"&amp;IF($G3135="TX_CURR_SUBNAT.R","CY2022Q4",$M3135),"")</f>
        <v>[fiRkU6gEjLz]|25-34|Male|PLHIV_Attend.T_1|CY2023Q3</v>
      </c>
    </row>
    <row r="3136" customFormat="false" ht="15" hidden="false" customHeight="false" outlineLevel="0" collapsed="false">
      <c r="D3136" s="0" t="s">
        <v>135</v>
      </c>
      <c r="E3136" s="0" t="s">
        <v>136</v>
      </c>
      <c r="F3136" s="0" t="s">
        <v>137</v>
      </c>
      <c r="G3136" s="0" t="s">
        <v>150</v>
      </c>
      <c r="H3136" s="0" t="s">
        <v>150</v>
      </c>
      <c r="I3136" s="0" t="s">
        <v>43</v>
      </c>
      <c r="J3136" s="0" t="s">
        <v>44</v>
      </c>
      <c r="K3136" s="0" t="s">
        <v>48</v>
      </c>
      <c r="L3136" s="0" t="s">
        <v>49</v>
      </c>
      <c r="M3136" s="0" t="s">
        <v>140</v>
      </c>
      <c r="N3136" s="0" t="n">
        <v>1266</v>
      </c>
      <c r="O3136" s="10" t="n">
        <v>0.301638292148709</v>
      </c>
      <c r="P3136" s="10" t="n">
        <v>0.955300528323278</v>
      </c>
      <c r="Q3136" s="0" t="str">
        <f aca="false">SUBSTITUTE(SUBSTITUTE($I3136,CHAR(61),""),CHAR(34),"")</f>
        <v>35-49</v>
      </c>
      <c r="R3136" s="0" t="str">
        <f aca="false">IF($D3136&lt;&gt;"","["&amp;$E3136&amp;"]"&amp;"|"&amp;$Q3136&amp;"|"&amp;$K3136&amp;"|"&amp;$G3136&amp;"|"&amp;IF($G3136="TX_CURR_SUBNAT.R","CY2022Q4",$M3136),"")</f>
        <v>[fiRkU6gEjLz]|35-49|Male|PLHIV_Attend.T_1|CY2023Q3</v>
      </c>
    </row>
    <row r="3137" customFormat="false" ht="15" hidden="false" customHeight="false" outlineLevel="0" collapsed="false">
      <c r="D3137" s="0" t="s">
        <v>135</v>
      </c>
      <c r="E3137" s="0" t="s">
        <v>136</v>
      </c>
      <c r="F3137" s="0" t="s">
        <v>137</v>
      </c>
      <c r="G3137" s="0" t="s">
        <v>150</v>
      </c>
      <c r="H3137" s="0" t="s">
        <v>150</v>
      </c>
      <c r="I3137" s="0" t="s">
        <v>45</v>
      </c>
      <c r="J3137" s="0" t="s">
        <v>46</v>
      </c>
      <c r="K3137" s="0" t="s">
        <v>48</v>
      </c>
      <c r="L3137" s="0" t="s">
        <v>49</v>
      </c>
      <c r="M3137" s="0" t="s">
        <v>140</v>
      </c>
      <c r="N3137" s="0" t="n">
        <v>1372</v>
      </c>
      <c r="O3137" s="10" t="n">
        <v>0.14854631992057</v>
      </c>
      <c r="P3137" s="10" t="n">
        <v>0.955300528323278</v>
      </c>
      <c r="Q3137" s="0" t="str">
        <f aca="false">SUBSTITUTE(SUBSTITUTE($I3137,CHAR(61),""),CHAR(34),"")</f>
        <v>50+</v>
      </c>
      <c r="R3137" s="0" t="str">
        <f aca="false">IF($D3137&lt;&gt;"","["&amp;$E3137&amp;"]"&amp;"|"&amp;$Q3137&amp;"|"&amp;$K3137&amp;"|"&amp;$G3137&amp;"|"&amp;IF($G3137="TX_CURR_SUBNAT.R","CY2022Q4",$M3137),"")</f>
        <v>[fiRkU6gEjLz]|50+|Male|PLHIV_Attend.T_1|CY2023Q3</v>
      </c>
    </row>
    <row r="3138" customFormat="false" ht="15" hidden="false" customHeight="false" outlineLevel="0" collapsed="false">
      <c r="D3138" s="0" t="s">
        <v>23</v>
      </c>
      <c r="E3138" s="0" t="s">
        <v>24</v>
      </c>
      <c r="F3138" s="0" t="s">
        <v>25</v>
      </c>
      <c r="G3138" s="0" t="s">
        <v>151</v>
      </c>
      <c r="H3138" s="0" t="s">
        <v>151</v>
      </c>
      <c r="I3138" s="0" t="s">
        <v>28</v>
      </c>
      <c r="J3138" s="0" t="s">
        <v>29</v>
      </c>
      <c r="K3138" s="0" t="s">
        <v>30</v>
      </c>
      <c r="L3138" s="0" t="s">
        <v>31</v>
      </c>
      <c r="M3138" s="0" t="s">
        <v>140</v>
      </c>
      <c r="N3138" s="0" t="n">
        <v>856</v>
      </c>
      <c r="O3138" s="10" t="n">
        <v>0.906431849813089</v>
      </c>
      <c r="P3138" s="10" t="n">
        <v>0.404358610976487</v>
      </c>
      <c r="Q3138" s="0" t="str">
        <f aca="false">SUBSTITUTE(SUBSTITUTE($I3138,CHAR(61),""),CHAR(34),"")</f>
        <v>&lt;01</v>
      </c>
      <c r="R3138" s="0" t="str">
        <f aca="false">IF($D3138&lt;&gt;"","["&amp;$E3138&amp;"]"&amp;"|"&amp;$Q3138&amp;"|"&amp;$K3138&amp;"|"&amp;$G3138&amp;"|"&amp;IF($G3138="TX_CURR_SUBNAT.R","CY2022Q4",$M3138),"")</f>
        <v>[GkIwZrXy1h2]|&lt;01|Female|Untreated_PLHIV_Attend.T_1|CY2023Q3</v>
      </c>
    </row>
    <row r="3139" customFormat="false" ht="15" hidden="false" customHeight="false" outlineLevel="0" collapsed="false">
      <c r="D3139" s="0" t="s">
        <v>23</v>
      </c>
      <c r="E3139" s="0" t="s">
        <v>24</v>
      </c>
      <c r="F3139" s="0" t="s">
        <v>25</v>
      </c>
      <c r="G3139" s="0" t="s">
        <v>151</v>
      </c>
      <c r="H3139" s="0" t="s">
        <v>151</v>
      </c>
      <c r="I3139" s="0" t="s">
        <v>33</v>
      </c>
      <c r="J3139" s="0" t="s">
        <v>34</v>
      </c>
      <c r="K3139" s="0" t="s">
        <v>30</v>
      </c>
      <c r="L3139" s="0" t="s">
        <v>31</v>
      </c>
      <c r="M3139" s="0" t="s">
        <v>140</v>
      </c>
      <c r="N3139" s="0" t="n">
        <v>761</v>
      </c>
      <c r="O3139" s="10" t="n">
        <v>0.88420367310755</v>
      </c>
      <c r="P3139" s="10" t="n">
        <v>0.404358610976487</v>
      </c>
      <c r="Q3139" s="0" t="str">
        <f aca="false">SUBSTITUTE(SUBSTITUTE($I3139,CHAR(61),""),CHAR(34),"")</f>
        <v>01-09</v>
      </c>
      <c r="R3139" s="0" t="str">
        <f aca="false">IF($D3139&lt;&gt;"","["&amp;$E3139&amp;"]"&amp;"|"&amp;$Q3139&amp;"|"&amp;$K3139&amp;"|"&amp;$G3139&amp;"|"&amp;IF($G3139="TX_CURR_SUBNAT.R","CY2022Q4",$M3139),"")</f>
        <v>[GkIwZrXy1h2]|01-09|Female|Untreated_PLHIV_Attend.T_1|CY2023Q3</v>
      </c>
    </row>
    <row r="3140" customFormat="false" ht="15" hidden="false" customHeight="false" outlineLevel="0" collapsed="false">
      <c r="D3140" s="0" t="s">
        <v>23</v>
      </c>
      <c r="E3140" s="0" t="s">
        <v>24</v>
      </c>
      <c r="F3140" s="0" t="s">
        <v>25</v>
      </c>
      <c r="G3140" s="0" t="s">
        <v>151</v>
      </c>
      <c r="H3140" s="0" t="s">
        <v>151</v>
      </c>
      <c r="I3140" s="0" t="s">
        <v>36</v>
      </c>
      <c r="J3140" s="0" t="s">
        <v>37</v>
      </c>
      <c r="K3140" s="0" t="s">
        <v>30</v>
      </c>
      <c r="L3140" s="0" t="s">
        <v>31</v>
      </c>
      <c r="M3140" s="0" t="s">
        <v>140</v>
      </c>
      <c r="N3140" s="0" t="n">
        <v>1128</v>
      </c>
      <c r="O3140" s="10" t="n">
        <v>0.28414666489698</v>
      </c>
      <c r="P3140" s="10" t="n">
        <v>0.404358610976487</v>
      </c>
      <c r="Q3140" s="0" t="str">
        <f aca="false">SUBSTITUTE(SUBSTITUTE($I3140,CHAR(61),""),CHAR(34),"")</f>
        <v>10-14</v>
      </c>
      <c r="R3140" s="0" t="str">
        <f aca="false">IF($D3140&lt;&gt;"","["&amp;$E3140&amp;"]"&amp;"|"&amp;$Q3140&amp;"|"&amp;$K3140&amp;"|"&amp;$G3140&amp;"|"&amp;IF($G3140="TX_CURR_SUBNAT.R","CY2022Q4",$M3140),"")</f>
        <v>[GkIwZrXy1h2]|10-14|Female|Untreated_PLHIV_Attend.T_1|CY2023Q3</v>
      </c>
    </row>
    <row r="3141" customFormat="false" ht="15" hidden="false" customHeight="false" outlineLevel="0" collapsed="false">
      <c r="D3141" s="0" t="s">
        <v>23</v>
      </c>
      <c r="E3141" s="0" t="s">
        <v>24</v>
      </c>
      <c r="F3141" s="0" t="s">
        <v>25</v>
      </c>
      <c r="G3141" s="0" t="s">
        <v>151</v>
      </c>
      <c r="H3141" s="0" t="s">
        <v>151</v>
      </c>
      <c r="I3141" s="0" t="s">
        <v>38</v>
      </c>
      <c r="J3141" s="0" t="s">
        <v>39</v>
      </c>
      <c r="K3141" s="0" t="s">
        <v>30</v>
      </c>
      <c r="L3141" s="0" t="s">
        <v>31</v>
      </c>
      <c r="M3141" s="0" t="s">
        <v>140</v>
      </c>
      <c r="N3141" s="0" t="n">
        <v>1981</v>
      </c>
      <c r="O3141" s="10" t="n">
        <v>0.518716929946095</v>
      </c>
      <c r="P3141" s="10" t="n">
        <v>0.404358610976487</v>
      </c>
      <c r="Q3141" s="0" t="str">
        <f aca="false">SUBSTITUTE(SUBSTITUTE($I3141,CHAR(61),""),CHAR(34),"")</f>
        <v>15-24</v>
      </c>
      <c r="R3141" s="0" t="str">
        <f aca="false">IF($D3141&lt;&gt;"","["&amp;$E3141&amp;"]"&amp;"|"&amp;$Q3141&amp;"|"&amp;$K3141&amp;"|"&amp;$G3141&amp;"|"&amp;IF($G3141="TX_CURR_SUBNAT.R","CY2022Q4",$M3141),"")</f>
        <v>[GkIwZrXy1h2]|15-24|Female|Untreated_PLHIV_Attend.T_1|CY2023Q3</v>
      </c>
    </row>
    <row r="3142" customFormat="false" ht="15" hidden="false" customHeight="false" outlineLevel="0" collapsed="false">
      <c r="D3142" s="0" t="s">
        <v>23</v>
      </c>
      <c r="E3142" s="0" t="s">
        <v>24</v>
      </c>
      <c r="F3142" s="0" t="s">
        <v>25</v>
      </c>
      <c r="G3142" s="0" t="s">
        <v>151</v>
      </c>
      <c r="H3142" s="0" t="s">
        <v>151</v>
      </c>
      <c r="I3142" s="0" t="s">
        <v>41</v>
      </c>
      <c r="J3142" s="0" t="s">
        <v>42</v>
      </c>
      <c r="K3142" s="0" t="s">
        <v>30</v>
      </c>
      <c r="L3142" s="0" t="s">
        <v>31</v>
      </c>
      <c r="M3142" s="0" t="s">
        <v>140</v>
      </c>
      <c r="N3142" s="0" t="n">
        <v>1075</v>
      </c>
      <c r="O3142" s="10" t="n">
        <v>0.194103469140828</v>
      </c>
      <c r="P3142" s="10" t="n">
        <v>0.404358610976487</v>
      </c>
      <c r="Q3142" s="0" t="str">
        <f aca="false">SUBSTITUTE(SUBSTITUTE($I3142,CHAR(61),""),CHAR(34),"")</f>
        <v>25-34</v>
      </c>
      <c r="R3142" s="0" t="str">
        <f aca="false">IF($D3142&lt;&gt;"","["&amp;$E3142&amp;"]"&amp;"|"&amp;$Q3142&amp;"|"&amp;$K3142&amp;"|"&amp;$G3142&amp;"|"&amp;IF($G3142="TX_CURR_SUBNAT.R","CY2022Q4",$M3142),"")</f>
        <v>[GkIwZrXy1h2]|25-34|Female|Untreated_PLHIV_Attend.T_1|CY2023Q3</v>
      </c>
    </row>
    <row r="3143" customFormat="false" ht="15" hidden="false" customHeight="false" outlineLevel="0" collapsed="false">
      <c r="D3143" s="0" t="s">
        <v>23</v>
      </c>
      <c r="E3143" s="0" t="s">
        <v>24</v>
      </c>
      <c r="F3143" s="0" t="s">
        <v>25</v>
      </c>
      <c r="G3143" s="0" t="s">
        <v>151</v>
      </c>
      <c r="H3143" s="0" t="s">
        <v>151</v>
      </c>
      <c r="I3143" s="0" t="s">
        <v>43</v>
      </c>
      <c r="J3143" s="0" t="s">
        <v>44</v>
      </c>
      <c r="K3143" s="0" t="s">
        <v>30</v>
      </c>
      <c r="L3143" s="0" t="s">
        <v>31</v>
      </c>
      <c r="M3143" s="0" t="s">
        <v>140</v>
      </c>
      <c r="N3143" s="0" t="n">
        <v>1897</v>
      </c>
      <c r="O3143" s="10" t="n">
        <v>0.231806619558483</v>
      </c>
      <c r="P3143" s="10" t="n">
        <v>0.404358610976487</v>
      </c>
      <c r="Q3143" s="0" t="str">
        <f aca="false">SUBSTITUTE(SUBSTITUTE($I3143,CHAR(61),""),CHAR(34),"")</f>
        <v>35-49</v>
      </c>
      <c r="R3143" s="0" t="str">
        <f aca="false">IF($D3143&lt;&gt;"","["&amp;$E3143&amp;"]"&amp;"|"&amp;$Q3143&amp;"|"&amp;$K3143&amp;"|"&amp;$G3143&amp;"|"&amp;IF($G3143="TX_CURR_SUBNAT.R","CY2022Q4",$M3143),"")</f>
        <v>[GkIwZrXy1h2]|35-49|Female|Untreated_PLHIV_Attend.T_1|CY2023Q3</v>
      </c>
    </row>
    <row r="3144" customFormat="false" ht="15" hidden="false" customHeight="false" outlineLevel="0" collapsed="false">
      <c r="D3144" s="0" t="s">
        <v>23</v>
      </c>
      <c r="E3144" s="0" t="s">
        <v>24</v>
      </c>
      <c r="F3144" s="0" t="s">
        <v>25</v>
      </c>
      <c r="G3144" s="0" t="s">
        <v>151</v>
      </c>
      <c r="H3144" s="0" t="s">
        <v>151</v>
      </c>
      <c r="I3144" s="0" t="s">
        <v>45</v>
      </c>
      <c r="J3144" s="0" t="s">
        <v>46</v>
      </c>
      <c r="K3144" s="0" t="s">
        <v>30</v>
      </c>
      <c r="L3144" s="0" t="s">
        <v>31</v>
      </c>
      <c r="M3144" s="0" t="s">
        <v>140</v>
      </c>
      <c r="N3144" s="0" t="n">
        <v>586</v>
      </c>
      <c r="O3144" s="10" t="n">
        <v>0.590095040155575</v>
      </c>
      <c r="P3144" s="10" t="n">
        <v>0.404358610976487</v>
      </c>
      <c r="Q3144" s="0" t="str">
        <f aca="false">SUBSTITUTE(SUBSTITUTE($I3144,CHAR(61),""),CHAR(34),"")</f>
        <v>50+</v>
      </c>
      <c r="R3144" s="0" t="str">
        <f aca="false">IF($D3144&lt;&gt;"","["&amp;$E3144&amp;"]"&amp;"|"&amp;$Q3144&amp;"|"&amp;$K3144&amp;"|"&amp;$G3144&amp;"|"&amp;IF($G3144="TX_CURR_SUBNAT.R","CY2022Q4",$M3144),"")</f>
        <v>[GkIwZrXy1h2]|50+|Female|Untreated_PLHIV_Attend.T_1|CY2023Q3</v>
      </c>
    </row>
    <row r="3145" customFormat="false" ht="15" hidden="false" customHeight="false" outlineLevel="0" collapsed="false">
      <c r="D3145" s="0" t="s">
        <v>23</v>
      </c>
      <c r="E3145" s="0" t="s">
        <v>24</v>
      </c>
      <c r="F3145" s="0" t="s">
        <v>25</v>
      </c>
      <c r="G3145" s="0" t="s">
        <v>151</v>
      </c>
      <c r="H3145" s="0" t="s">
        <v>151</v>
      </c>
      <c r="I3145" s="0" t="s">
        <v>28</v>
      </c>
      <c r="J3145" s="0" t="s">
        <v>29</v>
      </c>
      <c r="K3145" s="0" t="s">
        <v>48</v>
      </c>
      <c r="L3145" s="0" t="s">
        <v>49</v>
      </c>
      <c r="M3145" s="0" t="s">
        <v>140</v>
      </c>
      <c r="N3145" s="0" t="n">
        <v>1655</v>
      </c>
      <c r="O3145" s="10" t="n">
        <v>0.102621757891029</v>
      </c>
      <c r="P3145" s="10" t="n">
        <v>0.404358610976487</v>
      </c>
      <c r="Q3145" s="0" t="str">
        <f aca="false">SUBSTITUTE(SUBSTITUTE($I3145,CHAR(61),""),CHAR(34),"")</f>
        <v>&lt;01</v>
      </c>
      <c r="R3145" s="0" t="str">
        <f aca="false">IF($D3145&lt;&gt;"","["&amp;$E3145&amp;"]"&amp;"|"&amp;$Q3145&amp;"|"&amp;$K3145&amp;"|"&amp;$G3145&amp;"|"&amp;IF($G3145="TX_CURR_SUBNAT.R","CY2022Q4",$M3145),"")</f>
        <v>[GkIwZrXy1h2]|&lt;01|Male|Untreated_PLHIV_Attend.T_1|CY2023Q3</v>
      </c>
    </row>
    <row r="3146" customFormat="false" ht="15" hidden="false" customHeight="false" outlineLevel="0" collapsed="false">
      <c r="D3146" s="0" t="s">
        <v>23</v>
      </c>
      <c r="E3146" s="0" t="s">
        <v>24</v>
      </c>
      <c r="F3146" s="0" t="s">
        <v>25</v>
      </c>
      <c r="G3146" s="0" t="s">
        <v>151</v>
      </c>
      <c r="H3146" s="0" t="s">
        <v>151</v>
      </c>
      <c r="I3146" s="0" t="s">
        <v>33</v>
      </c>
      <c r="J3146" s="0" t="s">
        <v>34</v>
      </c>
      <c r="K3146" s="0" t="s">
        <v>48</v>
      </c>
      <c r="L3146" s="0" t="s">
        <v>49</v>
      </c>
      <c r="M3146" s="0" t="s">
        <v>140</v>
      </c>
      <c r="N3146" s="0" t="n">
        <v>1364</v>
      </c>
      <c r="O3146" s="10" t="n">
        <v>0.20646111574024</v>
      </c>
      <c r="P3146" s="10" t="n">
        <v>0.404358610976487</v>
      </c>
      <c r="Q3146" s="0" t="str">
        <f aca="false">SUBSTITUTE(SUBSTITUTE($I3146,CHAR(61),""),CHAR(34),"")</f>
        <v>01-09</v>
      </c>
      <c r="R3146" s="0" t="str">
        <f aca="false">IF($D3146&lt;&gt;"","["&amp;$E3146&amp;"]"&amp;"|"&amp;$Q3146&amp;"|"&amp;$K3146&amp;"|"&amp;$G3146&amp;"|"&amp;IF($G3146="TX_CURR_SUBNAT.R","CY2022Q4",$M3146),"")</f>
        <v>[GkIwZrXy1h2]|01-09|Male|Untreated_PLHIV_Attend.T_1|CY2023Q3</v>
      </c>
    </row>
    <row r="3147" customFormat="false" ht="15" hidden="false" customHeight="false" outlineLevel="0" collapsed="false">
      <c r="D3147" s="0" t="s">
        <v>23</v>
      </c>
      <c r="E3147" s="0" t="s">
        <v>24</v>
      </c>
      <c r="F3147" s="0" t="s">
        <v>25</v>
      </c>
      <c r="G3147" s="0" t="s">
        <v>151</v>
      </c>
      <c r="H3147" s="0" t="s">
        <v>151</v>
      </c>
      <c r="I3147" s="0" t="s">
        <v>36</v>
      </c>
      <c r="J3147" s="0" t="s">
        <v>37</v>
      </c>
      <c r="K3147" s="0" t="s">
        <v>48</v>
      </c>
      <c r="L3147" s="0" t="s">
        <v>49</v>
      </c>
      <c r="M3147" s="0" t="s">
        <v>140</v>
      </c>
      <c r="N3147" s="0" t="n">
        <v>808</v>
      </c>
      <c r="O3147" s="10" t="n">
        <v>0.89727289089933</v>
      </c>
      <c r="P3147" s="10" t="n">
        <v>0.404358610976487</v>
      </c>
      <c r="Q3147" s="0" t="str">
        <f aca="false">SUBSTITUTE(SUBSTITUTE($I3147,CHAR(61),""),CHAR(34),"")</f>
        <v>10-14</v>
      </c>
      <c r="R3147" s="0" t="str">
        <f aca="false">IF($D3147&lt;&gt;"","["&amp;$E3147&amp;"]"&amp;"|"&amp;$Q3147&amp;"|"&amp;$K3147&amp;"|"&amp;$G3147&amp;"|"&amp;IF($G3147="TX_CURR_SUBNAT.R","CY2022Q4",$M3147),"")</f>
        <v>[GkIwZrXy1h2]|10-14|Male|Untreated_PLHIV_Attend.T_1|CY2023Q3</v>
      </c>
    </row>
    <row r="3148" customFormat="false" ht="15" hidden="false" customHeight="false" outlineLevel="0" collapsed="false">
      <c r="D3148" s="0" t="s">
        <v>23</v>
      </c>
      <c r="E3148" s="0" t="s">
        <v>24</v>
      </c>
      <c r="F3148" s="0" t="s">
        <v>25</v>
      </c>
      <c r="G3148" s="0" t="s">
        <v>151</v>
      </c>
      <c r="H3148" s="0" t="s">
        <v>151</v>
      </c>
      <c r="I3148" s="0" t="s">
        <v>38</v>
      </c>
      <c r="J3148" s="0" t="s">
        <v>39</v>
      </c>
      <c r="K3148" s="0" t="s">
        <v>48</v>
      </c>
      <c r="L3148" s="0" t="s">
        <v>49</v>
      </c>
      <c r="M3148" s="0" t="s">
        <v>140</v>
      </c>
      <c r="N3148" s="0" t="n">
        <v>775</v>
      </c>
      <c r="O3148" s="10" t="n">
        <v>0.91521551576443</v>
      </c>
      <c r="P3148" s="10" t="n">
        <v>0.404358610976487</v>
      </c>
      <c r="Q3148" s="0" t="str">
        <f aca="false">SUBSTITUTE(SUBSTITUTE($I3148,CHAR(61),""),CHAR(34),"")</f>
        <v>15-24</v>
      </c>
      <c r="R3148" s="0" t="str">
        <f aca="false">IF($D3148&lt;&gt;"","["&amp;$E3148&amp;"]"&amp;"|"&amp;$Q3148&amp;"|"&amp;$K3148&amp;"|"&amp;$G3148&amp;"|"&amp;IF($G3148="TX_CURR_SUBNAT.R","CY2022Q4",$M3148),"")</f>
        <v>[GkIwZrXy1h2]|15-24|Male|Untreated_PLHIV_Attend.T_1|CY2023Q3</v>
      </c>
    </row>
    <row r="3149" customFormat="false" ht="15" hidden="false" customHeight="false" outlineLevel="0" collapsed="false">
      <c r="D3149" s="0" t="s">
        <v>23</v>
      </c>
      <c r="E3149" s="0" t="s">
        <v>24</v>
      </c>
      <c r="F3149" s="0" t="s">
        <v>25</v>
      </c>
      <c r="G3149" s="0" t="s">
        <v>151</v>
      </c>
      <c r="H3149" s="0" t="s">
        <v>151</v>
      </c>
      <c r="I3149" s="0" t="s">
        <v>41</v>
      </c>
      <c r="J3149" s="0" t="s">
        <v>42</v>
      </c>
      <c r="K3149" s="0" t="s">
        <v>48</v>
      </c>
      <c r="L3149" s="0" t="s">
        <v>49</v>
      </c>
      <c r="M3149" s="0" t="s">
        <v>140</v>
      </c>
      <c r="N3149" s="0" t="n">
        <v>1940</v>
      </c>
      <c r="O3149" s="10" t="n">
        <v>0.175179228419438</v>
      </c>
      <c r="P3149" s="10" t="n">
        <v>0.404358610976487</v>
      </c>
      <c r="Q3149" s="0" t="str">
        <f aca="false">SUBSTITUTE(SUBSTITUTE($I3149,CHAR(61),""),CHAR(34),"")</f>
        <v>25-34</v>
      </c>
      <c r="R3149" s="0" t="str">
        <f aca="false">IF($D3149&lt;&gt;"","["&amp;$E3149&amp;"]"&amp;"|"&amp;$Q3149&amp;"|"&amp;$K3149&amp;"|"&amp;$G3149&amp;"|"&amp;IF($G3149="TX_CURR_SUBNAT.R","CY2022Q4",$M3149),"")</f>
        <v>[GkIwZrXy1h2]|25-34|Male|Untreated_PLHIV_Attend.T_1|CY2023Q3</v>
      </c>
    </row>
    <row r="3150" customFormat="false" ht="15" hidden="false" customHeight="false" outlineLevel="0" collapsed="false">
      <c r="D3150" s="0" t="s">
        <v>23</v>
      </c>
      <c r="E3150" s="0" t="s">
        <v>24</v>
      </c>
      <c r="F3150" s="0" t="s">
        <v>25</v>
      </c>
      <c r="G3150" s="0" t="s">
        <v>151</v>
      </c>
      <c r="H3150" s="0" t="s">
        <v>151</v>
      </c>
      <c r="I3150" s="0" t="s">
        <v>43</v>
      </c>
      <c r="J3150" s="0" t="s">
        <v>44</v>
      </c>
      <c r="K3150" s="0" t="s">
        <v>48</v>
      </c>
      <c r="L3150" s="0" t="s">
        <v>49</v>
      </c>
      <c r="M3150" s="0" t="s">
        <v>140</v>
      </c>
      <c r="N3150" s="0" t="n">
        <v>1369</v>
      </c>
      <c r="O3150" s="10" t="n">
        <v>0.299620609730482</v>
      </c>
      <c r="P3150" s="10" t="n">
        <v>0.404358610976487</v>
      </c>
      <c r="Q3150" s="0" t="str">
        <f aca="false">SUBSTITUTE(SUBSTITUTE($I3150,CHAR(61),""),CHAR(34),"")</f>
        <v>35-49</v>
      </c>
      <c r="R3150" s="0" t="str">
        <f aca="false">IF($D3150&lt;&gt;"","["&amp;$E3150&amp;"]"&amp;"|"&amp;$Q3150&amp;"|"&amp;$K3150&amp;"|"&amp;$G3150&amp;"|"&amp;IF($G3150="TX_CURR_SUBNAT.R","CY2022Q4",$M3150),"")</f>
        <v>[GkIwZrXy1h2]|35-49|Male|Untreated_PLHIV_Attend.T_1|CY2023Q3</v>
      </c>
    </row>
    <row r="3151" customFormat="false" ht="15" hidden="false" customHeight="false" outlineLevel="0" collapsed="false">
      <c r="D3151" s="0" t="s">
        <v>23</v>
      </c>
      <c r="E3151" s="0" t="s">
        <v>24</v>
      </c>
      <c r="F3151" s="0" t="s">
        <v>25</v>
      </c>
      <c r="G3151" s="0" t="s">
        <v>151</v>
      </c>
      <c r="H3151" s="0" t="s">
        <v>151</v>
      </c>
      <c r="I3151" s="0" t="s">
        <v>45</v>
      </c>
      <c r="J3151" s="0" t="s">
        <v>46</v>
      </c>
      <c r="K3151" s="0" t="s">
        <v>48</v>
      </c>
      <c r="L3151" s="0" t="s">
        <v>49</v>
      </c>
      <c r="M3151" s="0" t="s">
        <v>140</v>
      </c>
      <c r="N3151" s="0" t="n">
        <v>1415</v>
      </c>
      <c r="O3151" s="10" t="n">
        <v>0.619964457815513</v>
      </c>
      <c r="P3151" s="10" t="n">
        <v>0.404358610976487</v>
      </c>
      <c r="Q3151" s="0" t="str">
        <f aca="false">SUBSTITUTE(SUBSTITUTE($I3151,CHAR(61),""),CHAR(34),"")</f>
        <v>50+</v>
      </c>
      <c r="R3151" s="0" t="str">
        <f aca="false">IF($D3151&lt;&gt;"","["&amp;$E3151&amp;"]"&amp;"|"&amp;$Q3151&amp;"|"&amp;$K3151&amp;"|"&amp;$G3151&amp;"|"&amp;IF($G3151="TX_CURR_SUBNAT.R","CY2022Q4",$M3151),"")</f>
        <v>[GkIwZrXy1h2]|50+|Male|Untreated_PLHIV_Attend.T_1|CY2023Q3</v>
      </c>
    </row>
    <row r="3152" customFormat="false" ht="15" hidden="false" customHeight="false" outlineLevel="0" collapsed="false">
      <c r="D3152" s="0" t="s">
        <v>53</v>
      </c>
      <c r="E3152" s="0" t="s">
        <v>54</v>
      </c>
      <c r="F3152" s="0" t="s">
        <v>55</v>
      </c>
      <c r="G3152" s="0" t="s">
        <v>151</v>
      </c>
      <c r="H3152" s="0" t="s">
        <v>151</v>
      </c>
      <c r="I3152" s="0" t="s">
        <v>28</v>
      </c>
      <c r="J3152" s="0" t="s">
        <v>29</v>
      </c>
      <c r="K3152" s="0" t="s">
        <v>30</v>
      </c>
      <c r="L3152" s="0" t="s">
        <v>31</v>
      </c>
      <c r="M3152" s="0" t="s">
        <v>140</v>
      </c>
      <c r="N3152" s="0" t="n">
        <v>590</v>
      </c>
      <c r="O3152" s="10" t="n">
        <v>0.678230153163895</v>
      </c>
      <c r="P3152" s="10" t="n">
        <v>0.616392469964921</v>
      </c>
      <c r="Q3152" s="0" t="str">
        <f aca="false">SUBSTITUTE(SUBSTITUTE($I3152,CHAR(61),""),CHAR(34),"")</f>
        <v>&lt;01</v>
      </c>
      <c r="R3152" s="0" t="str">
        <f aca="false">IF($D3152&lt;&gt;"","["&amp;$E3152&amp;"]"&amp;"|"&amp;$Q3152&amp;"|"&amp;$K3152&amp;"|"&amp;$G3152&amp;"|"&amp;IF($G3152="TX_CURR_SUBNAT.R","CY2022Q4",$M3152),"")</f>
        <v>[zphK9WV8JB4]|&lt;01|Female|Untreated_PLHIV_Attend.T_1|CY2023Q3</v>
      </c>
    </row>
    <row r="3153" customFormat="false" ht="15" hidden="false" customHeight="false" outlineLevel="0" collapsed="false">
      <c r="D3153" s="0" t="s">
        <v>53</v>
      </c>
      <c r="E3153" s="0" t="s">
        <v>54</v>
      </c>
      <c r="F3153" s="0" t="s">
        <v>55</v>
      </c>
      <c r="G3153" s="0" t="s">
        <v>151</v>
      </c>
      <c r="H3153" s="0" t="s">
        <v>151</v>
      </c>
      <c r="I3153" s="0" t="s">
        <v>33</v>
      </c>
      <c r="J3153" s="0" t="s">
        <v>34</v>
      </c>
      <c r="K3153" s="0" t="s">
        <v>30</v>
      </c>
      <c r="L3153" s="0" t="s">
        <v>31</v>
      </c>
      <c r="M3153" s="0" t="s">
        <v>140</v>
      </c>
      <c r="N3153" s="0" t="n">
        <v>1541</v>
      </c>
      <c r="O3153" s="10" t="n">
        <v>0.391075640916824</v>
      </c>
      <c r="P3153" s="10" t="n">
        <v>0.616392469964921</v>
      </c>
      <c r="Q3153" s="0" t="str">
        <f aca="false">SUBSTITUTE(SUBSTITUTE($I3153,CHAR(61),""),CHAR(34),"")</f>
        <v>01-09</v>
      </c>
      <c r="R3153" s="0" t="str">
        <f aca="false">IF($D3153&lt;&gt;"","["&amp;$E3153&amp;"]"&amp;"|"&amp;$Q3153&amp;"|"&amp;$K3153&amp;"|"&amp;$G3153&amp;"|"&amp;IF($G3153="TX_CURR_SUBNAT.R","CY2022Q4",$M3153),"")</f>
        <v>[zphK9WV8JB4]|01-09|Female|Untreated_PLHIV_Attend.T_1|CY2023Q3</v>
      </c>
    </row>
    <row r="3154" customFormat="false" ht="15" hidden="false" customHeight="false" outlineLevel="0" collapsed="false">
      <c r="D3154" s="0" t="s">
        <v>53</v>
      </c>
      <c r="E3154" s="0" t="s">
        <v>54</v>
      </c>
      <c r="F3154" s="0" t="s">
        <v>55</v>
      </c>
      <c r="G3154" s="0" t="s">
        <v>151</v>
      </c>
      <c r="H3154" s="0" t="s">
        <v>151</v>
      </c>
      <c r="I3154" s="0" t="s">
        <v>36</v>
      </c>
      <c r="J3154" s="0" t="s">
        <v>37</v>
      </c>
      <c r="K3154" s="0" t="s">
        <v>30</v>
      </c>
      <c r="L3154" s="0" t="s">
        <v>31</v>
      </c>
      <c r="M3154" s="0" t="s">
        <v>140</v>
      </c>
      <c r="N3154" s="0" t="n">
        <v>1171</v>
      </c>
      <c r="O3154" s="10" t="n">
        <v>0.441950936801732</v>
      </c>
      <c r="P3154" s="10" t="n">
        <v>0.616392469964921</v>
      </c>
      <c r="Q3154" s="0" t="str">
        <f aca="false">SUBSTITUTE(SUBSTITUTE($I3154,CHAR(61),""),CHAR(34),"")</f>
        <v>10-14</v>
      </c>
      <c r="R3154" s="0" t="str">
        <f aca="false">IF($D3154&lt;&gt;"","["&amp;$E3154&amp;"]"&amp;"|"&amp;$Q3154&amp;"|"&amp;$K3154&amp;"|"&amp;$G3154&amp;"|"&amp;IF($G3154="TX_CURR_SUBNAT.R","CY2022Q4",$M3154),"")</f>
        <v>[zphK9WV8JB4]|10-14|Female|Untreated_PLHIV_Attend.T_1|CY2023Q3</v>
      </c>
    </row>
    <row r="3155" customFormat="false" ht="15" hidden="false" customHeight="false" outlineLevel="0" collapsed="false">
      <c r="D3155" s="0" t="s">
        <v>53</v>
      </c>
      <c r="E3155" s="0" t="s">
        <v>54</v>
      </c>
      <c r="F3155" s="0" t="s">
        <v>55</v>
      </c>
      <c r="G3155" s="0" t="s">
        <v>151</v>
      </c>
      <c r="H3155" s="0" t="s">
        <v>151</v>
      </c>
      <c r="I3155" s="0" t="s">
        <v>38</v>
      </c>
      <c r="J3155" s="0" t="s">
        <v>39</v>
      </c>
      <c r="K3155" s="0" t="s">
        <v>30</v>
      </c>
      <c r="L3155" s="0" t="s">
        <v>31</v>
      </c>
      <c r="M3155" s="0" t="s">
        <v>140</v>
      </c>
      <c r="N3155" s="0" t="n">
        <v>1155</v>
      </c>
      <c r="O3155" s="10" t="n">
        <v>0.719026444712654</v>
      </c>
      <c r="P3155" s="10" t="n">
        <v>0.616392469964921</v>
      </c>
      <c r="Q3155" s="0" t="str">
        <f aca="false">SUBSTITUTE(SUBSTITUTE($I3155,CHAR(61),""),CHAR(34),"")</f>
        <v>15-24</v>
      </c>
      <c r="R3155" s="0" t="str">
        <f aca="false">IF($D3155&lt;&gt;"","["&amp;$E3155&amp;"]"&amp;"|"&amp;$Q3155&amp;"|"&amp;$K3155&amp;"|"&amp;$G3155&amp;"|"&amp;IF($G3155="TX_CURR_SUBNAT.R","CY2022Q4",$M3155),"")</f>
        <v>[zphK9WV8JB4]|15-24|Female|Untreated_PLHIV_Attend.T_1|CY2023Q3</v>
      </c>
    </row>
    <row r="3156" customFormat="false" ht="15" hidden="false" customHeight="false" outlineLevel="0" collapsed="false">
      <c r="D3156" s="0" t="s">
        <v>53</v>
      </c>
      <c r="E3156" s="0" t="s">
        <v>54</v>
      </c>
      <c r="F3156" s="0" t="s">
        <v>55</v>
      </c>
      <c r="G3156" s="0" t="s">
        <v>151</v>
      </c>
      <c r="H3156" s="0" t="s">
        <v>151</v>
      </c>
      <c r="I3156" s="0" t="s">
        <v>41</v>
      </c>
      <c r="J3156" s="0" t="s">
        <v>42</v>
      </c>
      <c r="K3156" s="0" t="s">
        <v>30</v>
      </c>
      <c r="L3156" s="0" t="s">
        <v>31</v>
      </c>
      <c r="M3156" s="0" t="s">
        <v>140</v>
      </c>
      <c r="N3156" s="0" t="n">
        <v>600</v>
      </c>
      <c r="O3156" s="10" t="n">
        <v>0.293682918185368</v>
      </c>
      <c r="P3156" s="10" t="n">
        <v>0.616392469964921</v>
      </c>
      <c r="Q3156" s="0" t="str">
        <f aca="false">SUBSTITUTE(SUBSTITUTE($I3156,CHAR(61),""),CHAR(34),"")</f>
        <v>25-34</v>
      </c>
      <c r="R3156" s="0" t="str">
        <f aca="false">IF($D3156&lt;&gt;"","["&amp;$E3156&amp;"]"&amp;"|"&amp;$Q3156&amp;"|"&amp;$K3156&amp;"|"&amp;$G3156&amp;"|"&amp;IF($G3156="TX_CURR_SUBNAT.R","CY2022Q4",$M3156),"")</f>
        <v>[zphK9WV8JB4]|25-34|Female|Untreated_PLHIV_Attend.T_1|CY2023Q3</v>
      </c>
    </row>
    <row r="3157" customFormat="false" ht="15" hidden="false" customHeight="false" outlineLevel="0" collapsed="false">
      <c r="D3157" s="0" t="s">
        <v>53</v>
      </c>
      <c r="E3157" s="0" t="s">
        <v>54</v>
      </c>
      <c r="F3157" s="0" t="s">
        <v>55</v>
      </c>
      <c r="G3157" s="0" t="s">
        <v>151</v>
      </c>
      <c r="H3157" s="0" t="s">
        <v>151</v>
      </c>
      <c r="I3157" s="0" t="s">
        <v>43</v>
      </c>
      <c r="J3157" s="0" t="s">
        <v>44</v>
      </c>
      <c r="K3157" s="0" t="s">
        <v>30</v>
      </c>
      <c r="L3157" s="0" t="s">
        <v>31</v>
      </c>
      <c r="M3157" s="0" t="s">
        <v>140</v>
      </c>
      <c r="N3157" s="0" t="n">
        <v>827</v>
      </c>
      <c r="O3157" s="10" t="n">
        <v>0.60385751654394</v>
      </c>
      <c r="P3157" s="10" t="n">
        <v>0.616392469964921</v>
      </c>
      <c r="Q3157" s="0" t="str">
        <f aca="false">SUBSTITUTE(SUBSTITUTE($I3157,CHAR(61),""),CHAR(34),"")</f>
        <v>35-49</v>
      </c>
      <c r="R3157" s="0" t="str">
        <f aca="false">IF($D3157&lt;&gt;"","["&amp;$E3157&amp;"]"&amp;"|"&amp;$Q3157&amp;"|"&amp;$K3157&amp;"|"&amp;$G3157&amp;"|"&amp;IF($G3157="TX_CURR_SUBNAT.R","CY2022Q4",$M3157),"")</f>
        <v>[zphK9WV8JB4]|35-49|Female|Untreated_PLHIV_Attend.T_1|CY2023Q3</v>
      </c>
    </row>
    <row r="3158" customFormat="false" ht="15" hidden="false" customHeight="false" outlineLevel="0" collapsed="false">
      <c r="D3158" s="0" t="s">
        <v>53</v>
      </c>
      <c r="E3158" s="0" t="s">
        <v>54</v>
      </c>
      <c r="F3158" s="0" t="s">
        <v>55</v>
      </c>
      <c r="G3158" s="0" t="s">
        <v>151</v>
      </c>
      <c r="H3158" s="0" t="s">
        <v>151</v>
      </c>
      <c r="I3158" s="0" t="s">
        <v>45</v>
      </c>
      <c r="J3158" s="0" t="s">
        <v>46</v>
      </c>
      <c r="K3158" s="0" t="s">
        <v>30</v>
      </c>
      <c r="L3158" s="0" t="s">
        <v>31</v>
      </c>
      <c r="M3158" s="0" t="s">
        <v>140</v>
      </c>
      <c r="N3158" s="0" t="n">
        <v>1130</v>
      </c>
      <c r="O3158" s="10" t="n">
        <v>0.912038325797766</v>
      </c>
      <c r="P3158" s="10" t="n">
        <v>0.616392469964921</v>
      </c>
      <c r="Q3158" s="0" t="str">
        <f aca="false">SUBSTITUTE(SUBSTITUTE($I3158,CHAR(61),""),CHAR(34),"")</f>
        <v>50+</v>
      </c>
      <c r="R3158" s="0" t="str">
        <f aca="false">IF($D3158&lt;&gt;"","["&amp;$E3158&amp;"]"&amp;"|"&amp;$Q3158&amp;"|"&amp;$K3158&amp;"|"&amp;$G3158&amp;"|"&amp;IF($G3158="TX_CURR_SUBNAT.R","CY2022Q4",$M3158),"")</f>
        <v>[zphK9WV8JB4]|50+|Female|Untreated_PLHIV_Attend.T_1|CY2023Q3</v>
      </c>
    </row>
    <row r="3159" customFormat="false" ht="15" hidden="false" customHeight="false" outlineLevel="0" collapsed="false">
      <c r="D3159" s="0" t="s">
        <v>53</v>
      </c>
      <c r="E3159" s="0" t="s">
        <v>54</v>
      </c>
      <c r="F3159" s="0" t="s">
        <v>55</v>
      </c>
      <c r="G3159" s="0" t="s">
        <v>151</v>
      </c>
      <c r="H3159" s="0" t="s">
        <v>151</v>
      </c>
      <c r="I3159" s="0" t="s">
        <v>28</v>
      </c>
      <c r="J3159" s="0" t="s">
        <v>29</v>
      </c>
      <c r="K3159" s="0" t="s">
        <v>48</v>
      </c>
      <c r="L3159" s="0" t="s">
        <v>49</v>
      </c>
      <c r="M3159" s="0" t="s">
        <v>140</v>
      </c>
      <c r="N3159" s="0" t="n">
        <v>1852</v>
      </c>
      <c r="O3159" s="10" t="n">
        <v>0.484732544515282</v>
      </c>
      <c r="P3159" s="10" t="n">
        <v>0.616392469964921</v>
      </c>
      <c r="Q3159" s="0" t="str">
        <f aca="false">SUBSTITUTE(SUBSTITUTE($I3159,CHAR(61),""),CHAR(34),"")</f>
        <v>&lt;01</v>
      </c>
      <c r="R3159" s="0" t="str">
        <f aca="false">IF($D3159&lt;&gt;"","["&amp;$E3159&amp;"]"&amp;"|"&amp;$Q3159&amp;"|"&amp;$K3159&amp;"|"&amp;$G3159&amp;"|"&amp;IF($G3159="TX_CURR_SUBNAT.R","CY2022Q4",$M3159),"")</f>
        <v>[zphK9WV8JB4]|&lt;01|Male|Untreated_PLHIV_Attend.T_1|CY2023Q3</v>
      </c>
    </row>
    <row r="3160" customFormat="false" ht="15" hidden="false" customHeight="false" outlineLevel="0" collapsed="false">
      <c r="D3160" s="0" t="s">
        <v>53</v>
      </c>
      <c r="E3160" s="0" t="s">
        <v>54</v>
      </c>
      <c r="F3160" s="0" t="s">
        <v>55</v>
      </c>
      <c r="G3160" s="0" t="s">
        <v>151</v>
      </c>
      <c r="H3160" s="0" t="s">
        <v>151</v>
      </c>
      <c r="I3160" s="0" t="s">
        <v>33</v>
      </c>
      <c r="J3160" s="0" t="s">
        <v>34</v>
      </c>
      <c r="K3160" s="0" t="s">
        <v>48</v>
      </c>
      <c r="L3160" s="0" t="s">
        <v>49</v>
      </c>
      <c r="M3160" s="0" t="s">
        <v>140</v>
      </c>
      <c r="N3160" s="0" t="n">
        <v>513</v>
      </c>
      <c r="O3160" s="10" t="n">
        <v>0.383384625893086</v>
      </c>
      <c r="P3160" s="10" t="n">
        <v>0.616392469964921</v>
      </c>
      <c r="Q3160" s="0" t="str">
        <f aca="false">SUBSTITUTE(SUBSTITUTE($I3160,CHAR(61),""),CHAR(34),"")</f>
        <v>01-09</v>
      </c>
      <c r="R3160" s="0" t="str">
        <f aca="false">IF($D3160&lt;&gt;"","["&amp;$E3160&amp;"]"&amp;"|"&amp;$Q3160&amp;"|"&amp;$K3160&amp;"|"&amp;$G3160&amp;"|"&amp;IF($G3160="TX_CURR_SUBNAT.R","CY2022Q4",$M3160),"")</f>
        <v>[zphK9WV8JB4]|01-09|Male|Untreated_PLHIV_Attend.T_1|CY2023Q3</v>
      </c>
    </row>
    <row r="3161" customFormat="false" ht="15" hidden="false" customHeight="false" outlineLevel="0" collapsed="false">
      <c r="D3161" s="0" t="s">
        <v>53</v>
      </c>
      <c r="E3161" s="0" t="s">
        <v>54</v>
      </c>
      <c r="F3161" s="0" t="s">
        <v>55</v>
      </c>
      <c r="G3161" s="0" t="s">
        <v>151</v>
      </c>
      <c r="H3161" s="0" t="s">
        <v>151</v>
      </c>
      <c r="I3161" s="0" t="s">
        <v>36</v>
      </c>
      <c r="J3161" s="0" t="s">
        <v>37</v>
      </c>
      <c r="K3161" s="0" t="s">
        <v>48</v>
      </c>
      <c r="L3161" s="0" t="s">
        <v>49</v>
      </c>
      <c r="M3161" s="0" t="s">
        <v>140</v>
      </c>
      <c r="N3161" s="0" t="n">
        <v>666</v>
      </c>
      <c r="O3161" s="10" t="n">
        <v>0.253715325612575</v>
      </c>
      <c r="P3161" s="10" t="n">
        <v>0.616392469964921</v>
      </c>
      <c r="Q3161" s="0" t="str">
        <f aca="false">SUBSTITUTE(SUBSTITUTE($I3161,CHAR(61),""),CHAR(34),"")</f>
        <v>10-14</v>
      </c>
      <c r="R3161" s="0" t="str">
        <f aca="false">IF($D3161&lt;&gt;"","["&amp;$E3161&amp;"]"&amp;"|"&amp;$Q3161&amp;"|"&amp;$K3161&amp;"|"&amp;$G3161&amp;"|"&amp;IF($G3161="TX_CURR_SUBNAT.R","CY2022Q4",$M3161),"")</f>
        <v>[zphK9WV8JB4]|10-14|Male|Untreated_PLHIV_Attend.T_1|CY2023Q3</v>
      </c>
    </row>
    <row r="3162" customFormat="false" ht="15" hidden="false" customHeight="false" outlineLevel="0" collapsed="false">
      <c r="D3162" s="0" t="s">
        <v>53</v>
      </c>
      <c r="E3162" s="0" t="s">
        <v>54</v>
      </c>
      <c r="F3162" s="0" t="s">
        <v>55</v>
      </c>
      <c r="G3162" s="0" t="s">
        <v>151</v>
      </c>
      <c r="H3162" s="0" t="s">
        <v>151</v>
      </c>
      <c r="I3162" s="0" t="s">
        <v>38</v>
      </c>
      <c r="J3162" s="0" t="s">
        <v>39</v>
      </c>
      <c r="K3162" s="0" t="s">
        <v>48</v>
      </c>
      <c r="L3162" s="0" t="s">
        <v>49</v>
      </c>
      <c r="M3162" s="0" t="s">
        <v>140</v>
      </c>
      <c r="N3162" s="0" t="n">
        <v>2000</v>
      </c>
      <c r="O3162" s="10" t="n">
        <v>0.838755091419443</v>
      </c>
      <c r="P3162" s="10" t="n">
        <v>0.616392469964921</v>
      </c>
      <c r="Q3162" s="0" t="str">
        <f aca="false">SUBSTITUTE(SUBSTITUTE($I3162,CHAR(61),""),CHAR(34),"")</f>
        <v>15-24</v>
      </c>
      <c r="R3162" s="0" t="str">
        <f aca="false">IF($D3162&lt;&gt;"","["&amp;$E3162&amp;"]"&amp;"|"&amp;$Q3162&amp;"|"&amp;$K3162&amp;"|"&amp;$G3162&amp;"|"&amp;IF($G3162="TX_CURR_SUBNAT.R","CY2022Q4",$M3162),"")</f>
        <v>[zphK9WV8JB4]|15-24|Male|Untreated_PLHIV_Attend.T_1|CY2023Q3</v>
      </c>
    </row>
    <row r="3163" customFormat="false" ht="15" hidden="false" customHeight="false" outlineLevel="0" collapsed="false">
      <c r="D3163" s="0" t="s">
        <v>53</v>
      </c>
      <c r="E3163" s="0" t="s">
        <v>54</v>
      </c>
      <c r="F3163" s="0" t="s">
        <v>55</v>
      </c>
      <c r="G3163" s="0" t="s">
        <v>151</v>
      </c>
      <c r="H3163" s="0" t="s">
        <v>151</v>
      </c>
      <c r="I3163" s="0" t="s">
        <v>41</v>
      </c>
      <c r="J3163" s="0" t="s">
        <v>42</v>
      </c>
      <c r="K3163" s="0" t="s">
        <v>48</v>
      </c>
      <c r="L3163" s="0" t="s">
        <v>49</v>
      </c>
      <c r="M3163" s="0" t="s">
        <v>140</v>
      </c>
      <c r="N3163" s="0" t="n">
        <v>1373</v>
      </c>
      <c r="O3163" s="10" t="n">
        <v>0.286329063121229</v>
      </c>
      <c r="P3163" s="10" t="n">
        <v>0.616392469964921</v>
      </c>
      <c r="Q3163" s="0" t="str">
        <f aca="false">SUBSTITUTE(SUBSTITUTE($I3163,CHAR(61),""),CHAR(34),"")</f>
        <v>25-34</v>
      </c>
      <c r="R3163" s="0" t="str">
        <f aca="false">IF($D3163&lt;&gt;"","["&amp;$E3163&amp;"]"&amp;"|"&amp;$Q3163&amp;"|"&amp;$K3163&amp;"|"&amp;$G3163&amp;"|"&amp;IF($G3163="TX_CURR_SUBNAT.R","CY2022Q4",$M3163),"")</f>
        <v>[zphK9WV8JB4]|25-34|Male|Untreated_PLHIV_Attend.T_1|CY2023Q3</v>
      </c>
    </row>
    <row r="3164" customFormat="false" ht="15" hidden="false" customHeight="false" outlineLevel="0" collapsed="false">
      <c r="D3164" s="0" t="s">
        <v>53</v>
      </c>
      <c r="E3164" s="0" t="s">
        <v>54</v>
      </c>
      <c r="F3164" s="0" t="s">
        <v>55</v>
      </c>
      <c r="G3164" s="0" t="s">
        <v>151</v>
      </c>
      <c r="H3164" s="0" t="s">
        <v>151</v>
      </c>
      <c r="I3164" s="0" t="s">
        <v>43</v>
      </c>
      <c r="J3164" s="0" t="s">
        <v>44</v>
      </c>
      <c r="K3164" s="0" t="s">
        <v>48</v>
      </c>
      <c r="L3164" s="0" t="s">
        <v>49</v>
      </c>
      <c r="M3164" s="0" t="s">
        <v>140</v>
      </c>
      <c r="N3164" s="0" t="n">
        <v>867</v>
      </c>
      <c r="O3164" s="10" t="n">
        <v>0.8052286664024</v>
      </c>
      <c r="P3164" s="10" t="n">
        <v>0.616392469964921</v>
      </c>
      <c r="Q3164" s="0" t="str">
        <f aca="false">SUBSTITUTE(SUBSTITUTE($I3164,CHAR(61),""),CHAR(34),"")</f>
        <v>35-49</v>
      </c>
      <c r="R3164" s="0" t="str">
        <f aca="false">IF($D3164&lt;&gt;"","["&amp;$E3164&amp;"]"&amp;"|"&amp;$Q3164&amp;"|"&amp;$K3164&amp;"|"&amp;$G3164&amp;"|"&amp;IF($G3164="TX_CURR_SUBNAT.R","CY2022Q4",$M3164),"")</f>
        <v>[zphK9WV8JB4]|35-49|Male|Untreated_PLHIV_Attend.T_1|CY2023Q3</v>
      </c>
    </row>
    <row r="3165" customFormat="false" ht="15" hidden="false" customHeight="false" outlineLevel="0" collapsed="false">
      <c r="D3165" s="0" t="s">
        <v>53</v>
      </c>
      <c r="E3165" s="0" t="s">
        <v>54</v>
      </c>
      <c r="F3165" s="0" t="s">
        <v>55</v>
      </c>
      <c r="G3165" s="0" t="s">
        <v>151</v>
      </c>
      <c r="H3165" s="0" t="s">
        <v>151</v>
      </c>
      <c r="I3165" s="0" t="s">
        <v>45</v>
      </c>
      <c r="J3165" s="0" t="s">
        <v>46</v>
      </c>
      <c r="K3165" s="0" t="s">
        <v>48</v>
      </c>
      <c r="L3165" s="0" t="s">
        <v>49</v>
      </c>
      <c r="M3165" s="0" t="s">
        <v>140</v>
      </c>
      <c r="N3165" s="0" t="n">
        <v>725</v>
      </c>
      <c r="O3165" s="10" t="n">
        <v>0.418491562595591</v>
      </c>
      <c r="P3165" s="10" t="n">
        <v>0.616392469964921</v>
      </c>
      <c r="Q3165" s="0" t="str">
        <f aca="false">SUBSTITUTE(SUBSTITUTE($I3165,CHAR(61),""),CHAR(34),"")</f>
        <v>50+</v>
      </c>
      <c r="R3165" s="0" t="str">
        <f aca="false">IF($D3165&lt;&gt;"","["&amp;$E3165&amp;"]"&amp;"|"&amp;$Q3165&amp;"|"&amp;$K3165&amp;"|"&amp;$G3165&amp;"|"&amp;IF($G3165="TX_CURR_SUBNAT.R","CY2022Q4",$M3165),"")</f>
        <v>[zphK9WV8JB4]|50+|Male|Untreated_PLHIV_Attend.T_1|CY2023Q3</v>
      </c>
    </row>
    <row r="3166" customFormat="false" ht="15" hidden="false" customHeight="false" outlineLevel="0" collapsed="false">
      <c r="D3166" s="0" t="s">
        <v>60</v>
      </c>
      <c r="E3166" s="0" t="s">
        <v>61</v>
      </c>
      <c r="F3166" s="0" t="s">
        <v>62</v>
      </c>
      <c r="G3166" s="0" t="s">
        <v>151</v>
      </c>
      <c r="H3166" s="0" t="s">
        <v>151</v>
      </c>
      <c r="I3166" s="0" t="s">
        <v>28</v>
      </c>
      <c r="J3166" s="0" t="s">
        <v>29</v>
      </c>
      <c r="K3166" s="0" t="s">
        <v>30</v>
      </c>
      <c r="L3166" s="0" t="s">
        <v>31</v>
      </c>
      <c r="M3166" s="0" t="s">
        <v>140</v>
      </c>
      <c r="N3166" s="0" t="n">
        <v>1767</v>
      </c>
      <c r="O3166" s="10" t="n">
        <v>0.757581657264382</v>
      </c>
      <c r="P3166" s="10" t="n">
        <v>0.0268250561784953</v>
      </c>
      <c r="Q3166" s="0" t="str">
        <f aca="false">SUBSTITUTE(SUBSTITUTE($I3166,CHAR(61),""),CHAR(34),"")</f>
        <v>&lt;01</v>
      </c>
      <c r="R3166" s="0" t="str">
        <f aca="false">IF($D3166&lt;&gt;"","["&amp;$E3166&amp;"]"&amp;"|"&amp;$Q3166&amp;"|"&amp;$K3166&amp;"|"&amp;$G3166&amp;"|"&amp;IF($G3166="TX_CURR_SUBNAT.R","CY2022Q4",$M3166),"")</f>
        <v>[msW2zpIN7up]|&lt;01|Female|Untreated_PLHIV_Attend.T_1|CY2023Q3</v>
      </c>
    </row>
    <row r="3167" customFormat="false" ht="15" hidden="false" customHeight="false" outlineLevel="0" collapsed="false">
      <c r="D3167" s="0" t="s">
        <v>60</v>
      </c>
      <c r="E3167" s="0" t="s">
        <v>61</v>
      </c>
      <c r="F3167" s="0" t="s">
        <v>62</v>
      </c>
      <c r="G3167" s="0" t="s">
        <v>151</v>
      </c>
      <c r="H3167" s="0" t="s">
        <v>151</v>
      </c>
      <c r="I3167" s="0" t="s">
        <v>33</v>
      </c>
      <c r="J3167" s="0" t="s">
        <v>34</v>
      </c>
      <c r="K3167" s="0" t="s">
        <v>30</v>
      </c>
      <c r="L3167" s="0" t="s">
        <v>31</v>
      </c>
      <c r="M3167" s="0" t="s">
        <v>140</v>
      </c>
      <c r="N3167" s="0" t="n">
        <v>749</v>
      </c>
      <c r="O3167" s="10" t="n">
        <v>0.671628053998575</v>
      </c>
      <c r="P3167" s="10" t="n">
        <v>0.0268250561784953</v>
      </c>
      <c r="Q3167" s="0" t="str">
        <f aca="false">SUBSTITUTE(SUBSTITUTE($I3167,CHAR(61),""),CHAR(34),"")</f>
        <v>01-09</v>
      </c>
      <c r="R3167" s="0" t="str">
        <f aca="false">IF($D3167&lt;&gt;"","["&amp;$E3167&amp;"]"&amp;"|"&amp;$Q3167&amp;"|"&amp;$K3167&amp;"|"&amp;$G3167&amp;"|"&amp;IF($G3167="TX_CURR_SUBNAT.R","CY2022Q4",$M3167),"")</f>
        <v>[msW2zpIN7up]|01-09|Female|Untreated_PLHIV_Attend.T_1|CY2023Q3</v>
      </c>
    </row>
    <row r="3168" customFormat="false" ht="15" hidden="false" customHeight="false" outlineLevel="0" collapsed="false">
      <c r="D3168" s="0" t="s">
        <v>60</v>
      </c>
      <c r="E3168" s="0" t="s">
        <v>61</v>
      </c>
      <c r="F3168" s="0" t="s">
        <v>62</v>
      </c>
      <c r="G3168" s="0" t="s">
        <v>151</v>
      </c>
      <c r="H3168" s="0" t="s">
        <v>151</v>
      </c>
      <c r="I3168" s="0" t="s">
        <v>36</v>
      </c>
      <c r="J3168" s="0" t="s">
        <v>37</v>
      </c>
      <c r="K3168" s="0" t="s">
        <v>30</v>
      </c>
      <c r="L3168" s="0" t="s">
        <v>31</v>
      </c>
      <c r="M3168" s="0" t="s">
        <v>140</v>
      </c>
      <c r="N3168" s="0" t="n">
        <v>1137</v>
      </c>
      <c r="O3168" s="10" t="n">
        <v>0.212927204323933</v>
      </c>
      <c r="P3168" s="10" t="n">
        <v>0.0268250561784953</v>
      </c>
      <c r="Q3168" s="0" t="str">
        <f aca="false">SUBSTITUTE(SUBSTITUTE($I3168,CHAR(61),""),CHAR(34),"")</f>
        <v>10-14</v>
      </c>
      <c r="R3168" s="0" t="str">
        <f aca="false">IF($D3168&lt;&gt;"","["&amp;$E3168&amp;"]"&amp;"|"&amp;$Q3168&amp;"|"&amp;$K3168&amp;"|"&amp;$G3168&amp;"|"&amp;IF($G3168="TX_CURR_SUBNAT.R","CY2022Q4",$M3168),"")</f>
        <v>[msW2zpIN7up]|10-14|Female|Untreated_PLHIV_Attend.T_1|CY2023Q3</v>
      </c>
    </row>
    <row r="3169" customFormat="false" ht="15" hidden="false" customHeight="false" outlineLevel="0" collapsed="false">
      <c r="D3169" s="0" t="s">
        <v>60</v>
      </c>
      <c r="E3169" s="0" t="s">
        <v>61</v>
      </c>
      <c r="F3169" s="0" t="s">
        <v>62</v>
      </c>
      <c r="G3169" s="0" t="s">
        <v>151</v>
      </c>
      <c r="H3169" s="0" t="s">
        <v>151</v>
      </c>
      <c r="I3169" s="0" t="s">
        <v>38</v>
      </c>
      <c r="J3169" s="0" t="s">
        <v>39</v>
      </c>
      <c r="K3169" s="0" t="s">
        <v>30</v>
      </c>
      <c r="L3169" s="0" t="s">
        <v>31</v>
      </c>
      <c r="M3169" s="0" t="s">
        <v>140</v>
      </c>
      <c r="N3169" s="0" t="n">
        <v>1264</v>
      </c>
      <c r="O3169" s="10" t="n">
        <v>0.346501032821834</v>
      </c>
      <c r="P3169" s="10" t="n">
        <v>0.0268250561784953</v>
      </c>
      <c r="Q3169" s="0" t="str">
        <f aca="false">SUBSTITUTE(SUBSTITUTE($I3169,CHAR(61),""),CHAR(34),"")</f>
        <v>15-24</v>
      </c>
      <c r="R3169" s="0" t="str">
        <f aca="false">IF($D3169&lt;&gt;"","["&amp;$E3169&amp;"]"&amp;"|"&amp;$Q3169&amp;"|"&amp;$K3169&amp;"|"&amp;$G3169&amp;"|"&amp;IF($G3169="TX_CURR_SUBNAT.R","CY2022Q4",$M3169),"")</f>
        <v>[msW2zpIN7up]|15-24|Female|Untreated_PLHIV_Attend.T_1|CY2023Q3</v>
      </c>
    </row>
    <row r="3170" customFormat="false" ht="15" hidden="false" customHeight="false" outlineLevel="0" collapsed="false">
      <c r="D3170" s="0" t="s">
        <v>60</v>
      </c>
      <c r="E3170" s="0" t="s">
        <v>61</v>
      </c>
      <c r="F3170" s="0" t="s">
        <v>62</v>
      </c>
      <c r="G3170" s="0" t="s">
        <v>151</v>
      </c>
      <c r="H3170" s="0" t="s">
        <v>151</v>
      </c>
      <c r="I3170" s="0" t="s">
        <v>41</v>
      </c>
      <c r="J3170" s="0" t="s">
        <v>42</v>
      </c>
      <c r="K3170" s="0" t="s">
        <v>30</v>
      </c>
      <c r="L3170" s="0" t="s">
        <v>31</v>
      </c>
      <c r="M3170" s="0" t="s">
        <v>140</v>
      </c>
      <c r="N3170" s="0" t="n">
        <v>1335</v>
      </c>
      <c r="O3170" s="10" t="n">
        <v>0.92369407764636</v>
      </c>
      <c r="P3170" s="10" t="n">
        <v>0.0268250561784953</v>
      </c>
      <c r="Q3170" s="0" t="str">
        <f aca="false">SUBSTITUTE(SUBSTITUTE($I3170,CHAR(61),""),CHAR(34),"")</f>
        <v>25-34</v>
      </c>
      <c r="R3170" s="0" t="str">
        <f aca="false">IF($D3170&lt;&gt;"","["&amp;$E3170&amp;"]"&amp;"|"&amp;$Q3170&amp;"|"&amp;$K3170&amp;"|"&amp;$G3170&amp;"|"&amp;IF($G3170="TX_CURR_SUBNAT.R","CY2022Q4",$M3170),"")</f>
        <v>[msW2zpIN7up]|25-34|Female|Untreated_PLHIV_Attend.T_1|CY2023Q3</v>
      </c>
    </row>
    <row r="3171" customFormat="false" ht="15" hidden="false" customHeight="false" outlineLevel="0" collapsed="false">
      <c r="D3171" s="0" t="s">
        <v>60</v>
      </c>
      <c r="E3171" s="0" t="s">
        <v>61</v>
      </c>
      <c r="F3171" s="0" t="s">
        <v>62</v>
      </c>
      <c r="G3171" s="0" t="s">
        <v>151</v>
      </c>
      <c r="H3171" s="0" t="s">
        <v>151</v>
      </c>
      <c r="I3171" s="0" t="s">
        <v>43</v>
      </c>
      <c r="J3171" s="0" t="s">
        <v>44</v>
      </c>
      <c r="K3171" s="0" t="s">
        <v>30</v>
      </c>
      <c r="L3171" s="0" t="s">
        <v>31</v>
      </c>
      <c r="M3171" s="0" t="s">
        <v>140</v>
      </c>
      <c r="N3171" s="0" t="n">
        <v>1559</v>
      </c>
      <c r="O3171" s="10" t="n">
        <v>0.774888428393751</v>
      </c>
      <c r="P3171" s="10" t="n">
        <v>0.0268250561784953</v>
      </c>
      <c r="Q3171" s="0" t="str">
        <f aca="false">SUBSTITUTE(SUBSTITUTE($I3171,CHAR(61),""),CHAR(34),"")</f>
        <v>35-49</v>
      </c>
      <c r="R3171" s="0" t="str">
        <f aca="false">IF($D3171&lt;&gt;"","["&amp;$E3171&amp;"]"&amp;"|"&amp;$Q3171&amp;"|"&amp;$K3171&amp;"|"&amp;$G3171&amp;"|"&amp;IF($G3171="TX_CURR_SUBNAT.R","CY2022Q4",$M3171),"")</f>
        <v>[msW2zpIN7up]|35-49|Female|Untreated_PLHIV_Attend.T_1|CY2023Q3</v>
      </c>
    </row>
    <row r="3172" customFormat="false" ht="15" hidden="false" customHeight="false" outlineLevel="0" collapsed="false">
      <c r="D3172" s="0" t="s">
        <v>60</v>
      </c>
      <c r="E3172" s="0" t="s">
        <v>61</v>
      </c>
      <c r="F3172" s="0" t="s">
        <v>62</v>
      </c>
      <c r="G3172" s="0" t="s">
        <v>151</v>
      </c>
      <c r="H3172" s="0" t="s">
        <v>151</v>
      </c>
      <c r="I3172" s="0" t="s">
        <v>45</v>
      </c>
      <c r="J3172" s="0" t="s">
        <v>46</v>
      </c>
      <c r="K3172" s="0" t="s">
        <v>30</v>
      </c>
      <c r="L3172" s="0" t="s">
        <v>31</v>
      </c>
      <c r="M3172" s="0" t="s">
        <v>140</v>
      </c>
      <c r="N3172" s="0" t="n">
        <v>533</v>
      </c>
      <c r="O3172" s="10" t="n">
        <v>0.437770491931587</v>
      </c>
      <c r="P3172" s="10" t="n">
        <v>0.0268250561784953</v>
      </c>
      <c r="Q3172" s="0" t="str">
        <f aca="false">SUBSTITUTE(SUBSTITUTE($I3172,CHAR(61),""),CHAR(34),"")</f>
        <v>50+</v>
      </c>
      <c r="R3172" s="0" t="str">
        <f aca="false">IF($D3172&lt;&gt;"","["&amp;$E3172&amp;"]"&amp;"|"&amp;$Q3172&amp;"|"&amp;$K3172&amp;"|"&amp;$G3172&amp;"|"&amp;IF($G3172="TX_CURR_SUBNAT.R","CY2022Q4",$M3172),"")</f>
        <v>[msW2zpIN7up]|50+|Female|Untreated_PLHIV_Attend.T_1|CY2023Q3</v>
      </c>
    </row>
    <row r="3173" customFormat="false" ht="15" hidden="false" customHeight="false" outlineLevel="0" collapsed="false">
      <c r="D3173" s="0" t="s">
        <v>60</v>
      </c>
      <c r="E3173" s="0" t="s">
        <v>61</v>
      </c>
      <c r="F3173" s="0" t="s">
        <v>62</v>
      </c>
      <c r="G3173" s="0" t="s">
        <v>151</v>
      </c>
      <c r="H3173" s="0" t="s">
        <v>151</v>
      </c>
      <c r="I3173" s="0" t="s">
        <v>28</v>
      </c>
      <c r="J3173" s="0" t="s">
        <v>29</v>
      </c>
      <c r="K3173" s="0" t="s">
        <v>48</v>
      </c>
      <c r="L3173" s="0" t="s">
        <v>49</v>
      </c>
      <c r="M3173" s="0" t="s">
        <v>140</v>
      </c>
      <c r="N3173" s="0" t="n">
        <v>1238</v>
      </c>
      <c r="O3173" s="10" t="n">
        <v>0.00200417195446789</v>
      </c>
      <c r="P3173" s="10" t="n">
        <v>0.0268250561784953</v>
      </c>
      <c r="Q3173" s="0" t="str">
        <f aca="false">SUBSTITUTE(SUBSTITUTE($I3173,CHAR(61),""),CHAR(34),"")</f>
        <v>&lt;01</v>
      </c>
      <c r="R3173" s="0" t="str">
        <f aca="false">IF($D3173&lt;&gt;"","["&amp;$E3173&amp;"]"&amp;"|"&amp;$Q3173&amp;"|"&amp;$K3173&amp;"|"&amp;$G3173&amp;"|"&amp;IF($G3173="TX_CURR_SUBNAT.R","CY2022Q4",$M3173),"")</f>
        <v>[msW2zpIN7up]|&lt;01|Male|Untreated_PLHIV_Attend.T_1|CY2023Q3</v>
      </c>
    </row>
    <row r="3174" customFormat="false" ht="15" hidden="false" customHeight="false" outlineLevel="0" collapsed="false">
      <c r="D3174" s="0" t="s">
        <v>60</v>
      </c>
      <c r="E3174" s="0" t="s">
        <v>61</v>
      </c>
      <c r="F3174" s="0" t="s">
        <v>62</v>
      </c>
      <c r="G3174" s="0" t="s">
        <v>151</v>
      </c>
      <c r="H3174" s="0" t="s">
        <v>151</v>
      </c>
      <c r="I3174" s="0" t="s">
        <v>33</v>
      </c>
      <c r="J3174" s="0" t="s">
        <v>34</v>
      </c>
      <c r="K3174" s="0" t="s">
        <v>48</v>
      </c>
      <c r="L3174" s="0" t="s">
        <v>49</v>
      </c>
      <c r="M3174" s="0" t="s">
        <v>140</v>
      </c>
      <c r="N3174" s="0" t="n">
        <v>1532</v>
      </c>
      <c r="O3174" s="10" t="n">
        <v>0.17029623943381</v>
      </c>
      <c r="P3174" s="10" t="n">
        <v>0.0268250561784953</v>
      </c>
      <c r="Q3174" s="0" t="str">
        <f aca="false">SUBSTITUTE(SUBSTITUTE($I3174,CHAR(61),""),CHAR(34),"")</f>
        <v>01-09</v>
      </c>
      <c r="R3174" s="0" t="str">
        <f aca="false">IF($D3174&lt;&gt;"","["&amp;$E3174&amp;"]"&amp;"|"&amp;$Q3174&amp;"|"&amp;$K3174&amp;"|"&amp;$G3174&amp;"|"&amp;IF($G3174="TX_CURR_SUBNAT.R","CY2022Q4",$M3174),"")</f>
        <v>[msW2zpIN7up]|01-09|Male|Untreated_PLHIV_Attend.T_1|CY2023Q3</v>
      </c>
    </row>
    <row r="3175" customFormat="false" ht="15" hidden="false" customHeight="false" outlineLevel="0" collapsed="false">
      <c r="D3175" s="0" t="s">
        <v>60</v>
      </c>
      <c r="E3175" s="0" t="s">
        <v>61</v>
      </c>
      <c r="F3175" s="0" t="s">
        <v>62</v>
      </c>
      <c r="G3175" s="0" t="s">
        <v>151</v>
      </c>
      <c r="H3175" s="0" t="s">
        <v>151</v>
      </c>
      <c r="I3175" s="0" t="s">
        <v>36</v>
      </c>
      <c r="J3175" s="0" t="s">
        <v>37</v>
      </c>
      <c r="K3175" s="0" t="s">
        <v>48</v>
      </c>
      <c r="L3175" s="0" t="s">
        <v>49</v>
      </c>
      <c r="M3175" s="0" t="s">
        <v>140</v>
      </c>
      <c r="N3175" s="0" t="n">
        <v>1305</v>
      </c>
      <c r="O3175" s="10" t="n">
        <v>0.272784498520195</v>
      </c>
      <c r="P3175" s="10" t="n">
        <v>0.0268250561784953</v>
      </c>
      <c r="Q3175" s="0" t="str">
        <f aca="false">SUBSTITUTE(SUBSTITUTE($I3175,CHAR(61),""),CHAR(34),"")</f>
        <v>10-14</v>
      </c>
      <c r="R3175" s="0" t="str">
        <f aca="false">IF($D3175&lt;&gt;"","["&amp;$E3175&amp;"]"&amp;"|"&amp;$Q3175&amp;"|"&amp;$K3175&amp;"|"&amp;$G3175&amp;"|"&amp;IF($G3175="TX_CURR_SUBNAT.R","CY2022Q4",$M3175),"")</f>
        <v>[msW2zpIN7up]|10-14|Male|Untreated_PLHIV_Attend.T_1|CY2023Q3</v>
      </c>
    </row>
    <row r="3176" customFormat="false" ht="15" hidden="false" customHeight="false" outlineLevel="0" collapsed="false">
      <c r="D3176" s="0" t="s">
        <v>60</v>
      </c>
      <c r="E3176" s="0" t="s">
        <v>61</v>
      </c>
      <c r="F3176" s="0" t="s">
        <v>62</v>
      </c>
      <c r="G3176" s="0" t="s">
        <v>151</v>
      </c>
      <c r="H3176" s="0" t="s">
        <v>151</v>
      </c>
      <c r="I3176" s="0" t="s">
        <v>38</v>
      </c>
      <c r="J3176" s="0" t="s">
        <v>39</v>
      </c>
      <c r="K3176" s="0" t="s">
        <v>48</v>
      </c>
      <c r="L3176" s="0" t="s">
        <v>49</v>
      </c>
      <c r="M3176" s="0" t="s">
        <v>140</v>
      </c>
      <c r="N3176" s="0" t="n">
        <v>549</v>
      </c>
      <c r="O3176" s="10" t="n">
        <v>0.927954758983105</v>
      </c>
      <c r="P3176" s="10" t="n">
        <v>0.0268250561784953</v>
      </c>
      <c r="Q3176" s="0" t="str">
        <f aca="false">SUBSTITUTE(SUBSTITUTE($I3176,CHAR(61),""),CHAR(34),"")</f>
        <v>15-24</v>
      </c>
      <c r="R3176" s="0" t="str">
        <f aca="false">IF($D3176&lt;&gt;"","["&amp;$E3176&amp;"]"&amp;"|"&amp;$Q3176&amp;"|"&amp;$K3176&amp;"|"&amp;$G3176&amp;"|"&amp;IF($G3176="TX_CURR_SUBNAT.R","CY2022Q4",$M3176),"")</f>
        <v>[msW2zpIN7up]|15-24|Male|Untreated_PLHIV_Attend.T_1|CY2023Q3</v>
      </c>
    </row>
    <row r="3177" customFormat="false" ht="15" hidden="false" customHeight="false" outlineLevel="0" collapsed="false">
      <c r="D3177" s="0" t="s">
        <v>60</v>
      </c>
      <c r="E3177" s="0" t="s">
        <v>61</v>
      </c>
      <c r="F3177" s="0" t="s">
        <v>62</v>
      </c>
      <c r="G3177" s="0" t="s">
        <v>151</v>
      </c>
      <c r="H3177" s="0" t="s">
        <v>151</v>
      </c>
      <c r="I3177" s="0" t="s">
        <v>41</v>
      </c>
      <c r="J3177" s="0" t="s">
        <v>42</v>
      </c>
      <c r="K3177" s="0" t="s">
        <v>48</v>
      </c>
      <c r="L3177" s="0" t="s">
        <v>49</v>
      </c>
      <c r="M3177" s="0" t="s">
        <v>140</v>
      </c>
      <c r="N3177" s="0" t="n">
        <v>687</v>
      </c>
      <c r="O3177" s="10" t="n">
        <v>0.350679745199159</v>
      </c>
      <c r="P3177" s="10" t="n">
        <v>0.0268250561784953</v>
      </c>
      <c r="Q3177" s="0" t="str">
        <f aca="false">SUBSTITUTE(SUBSTITUTE($I3177,CHAR(61),""),CHAR(34),"")</f>
        <v>25-34</v>
      </c>
      <c r="R3177" s="0" t="str">
        <f aca="false">IF($D3177&lt;&gt;"","["&amp;$E3177&amp;"]"&amp;"|"&amp;$Q3177&amp;"|"&amp;$K3177&amp;"|"&amp;$G3177&amp;"|"&amp;IF($G3177="TX_CURR_SUBNAT.R","CY2022Q4",$M3177),"")</f>
        <v>[msW2zpIN7up]|25-34|Male|Untreated_PLHIV_Attend.T_1|CY2023Q3</v>
      </c>
    </row>
    <row r="3178" customFormat="false" ht="15" hidden="false" customHeight="false" outlineLevel="0" collapsed="false">
      <c r="D3178" s="0" t="s">
        <v>60</v>
      </c>
      <c r="E3178" s="0" t="s">
        <v>61</v>
      </c>
      <c r="F3178" s="0" t="s">
        <v>62</v>
      </c>
      <c r="G3178" s="0" t="s">
        <v>151</v>
      </c>
      <c r="H3178" s="0" t="s">
        <v>151</v>
      </c>
      <c r="I3178" s="0" t="s">
        <v>43</v>
      </c>
      <c r="J3178" s="0" t="s">
        <v>44</v>
      </c>
      <c r="K3178" s="0" t="s">
        <v>48</v>
      </c>
      <c r="L3178" s="0" t="s">
        <v>49</v>
      </c>
      <c r="M3178" s="0" t="s">
        <v>140</v>
      </c>
      <c r="N3178" s="0" t="n">
        <v>1889</v>
      </c>
      <c r="O3178" s="10" t="n">
        <v>0.790536755463108</v>
      </c>
      <c r="P3178" s="10" t="n">
        <v>0.0268250561784953</v>
      </c>
      <c r="Q3178" s="0" t="str">
        <f aca="false">SUBSTITUTE(SUBSTITUTE($I3178,CHAR(61),""),CHAR(34),"")</f>
        <v>35-49</v>
      </c>
      <c r="R3178" s="0" t="str">
        <f aca="false">IF($D3178&lt;&gt;"","["&amp;$E3178&amp;"]"&amp;"|"&amp;$Q3178&amp;"|"&amp;$K3178&amp;"|"&amp;$G3178&amp;"|"&amp;IF($G3178="TX_CURR_SUBNAT.R","CY2022Q4",$M3178),"")</f>
        <v>[msW2zpIN7up]|35-49|Male|Untreated_PLHIV_Attend.T_1|CY2023Q3</v>
      </c>
    </row>
    <row r="3179" customFormat="false" ht="15" hidden="false" customHeight="false" outlineLevel="0" collapsed="false">
      <c r="D3179" s="0" t="s">
        <v>60</v>
      </c>
      <c r="E3179" s="0" t="s">
        <v>61</v>
      </c>
      <c r="F3179" s="0" t="s">
        <v>62</v>
      </c>
      <c r="G3179" s="0" t="s">
        <v>151</v>
      </c>
      <c r="H3179" s="0" t="s">
        <v>151</v>
      </c>
      <c r="I3179" s="0" t="s">
        <v>45</v>
      </c>
      <c r="J3179" s="0" t="s">
        <v>46</v>
      </c>
      <c r="K3179" s="0" t="s">
        <v>48</v>
      </c>
      <c r="L3179" s="0" t="s">
        <v>49</v>
      </c>
      <c r="M3179" s="0" t="s">
        <v>140</v>
      </c>
      <c r="N3179" s="0" t="n">
        <v>657</v>
      </c>
      <c r="O3179" s="10" t="n">
        <v>0.506115431431681</v>
      </c>
      <c r="P3179" s="10" t="n">
        <v>0.0268250561784953</v>
      </c>
      <c r="Q3179" s="0" t="str">
        <f aca="false">SUBSTITUTE(SUBSTITUTE($I3179,CHAR(61),""),CHAR(34),"")</f>
        <v>50+</v>
      </c>
      <c r="R3179" s="0" t="str">
        <f aca="false">IF($D3179&lt;&gt;"","["&amp;$E3179&amp;"]"&amp;"|"&amp;$Q3179&amp;"|"&amp;$K3179&amp;"|"&amp;$G3179&amp;"|"&amp;IF($G3179="TX_CURR_SUBNAT.R","CY2022Q4",$M3179),"")</f>
        <v>[msW2zpIN7up]|50+|Male|Untreated_PLHIV_Attend.T_1|CY2023Q3</v>
      </c>
    </row>
    <row r="3180" customFormat="false" ht="15" hidden="false" customHeight="false" outlineLevel="0" collapsed="false">
      <c r="D3180" s="0" t="s">
        <v>63</v>
      </c>
      <c r="E3180" s="0" t="s">
        <v>64</v>
      </c>
      <c r="F3180" s="0" t="s">
        <v>65</v>
      </c>
      <c r="G3180" s="0" t="s">
        <v>151</v>
      </c>
      <c r="H3180" s="0" t="s">
        <v>151</v>
      </c>
      <c r="I3180" s="0" t="s">
        <v>28</v>
      </c>
      <c r="J3180" s="0" t="s">
        <v>29</v>
      </c>
      <c r="K3180" s="0" t="s">
        <v>30</v>
      </c>
      <c r="L3180" s="0" t="s">
        <v>31</v>
      </c>
      <c r="M3180" s="0" t="s">
        <v>140</v>
      </c>
      <c r="N3180" s="0" t="n">
        <v>1568</v>
      </c>
      <c r="O3180" s="10" t="n">
        <v>0.771833028178662</v>
      </c>
      <c r="P3180" s="10" t="n">
        <v>0.790102193132043</v>
      </c>
      <c r="Q3180" s="0" t="str">
        <f aca="false">SUBSTITUTE(SUBSTITUTE($I3180,CHAR(61),""),CHAR(34),"")</f>
        <v>&lt;01</v>
      </c>
      <c r="R3180" s="0" t="str">
        <f aca="false">IF($D3180&lt;&gt;"","["&amp;$E3180&amp;"]"&amp;"|"&amp;$Q3180&amp;"|"&amp;$K3180&amp;"|"&amp;$G3180&amp;"|"&amp;IF($G3180="TX_CURR_SUBNAT.R","CY2022Q4",$M3180),"")</f>
        <v>[kxuuIFpOXyO]|&lt;01|Female|Untreated_PLHIV_Attend.T_1|CY2023Q3</v>
      </c>
    </row>
    <row r="3181" customFormat="false" ht="15" hidden="false" customHeight="false" outlineLevel="0" collapsed="false">
      <c r="D3181" s="0" t="s">
        <v>63</v>
      </c>
      <c r="E3181" s="0" t="s">
        <v>64</v>
      </c>
      <c r="F3181" s="0" t="s">
        <v>65</v>
      </c>
      <c r="G3181" s="0" t="s">
        <v>151</v>
      </c>
      <c r="H3181" s="0" t="s">
        <v>151</v>
      </c>
      <c r="I3181" s="0" t="s">
        <v>33</v>
      </c>
      <c r="J3181" s="0" t="s">
        <v>34</v>
      </c>
      <c r="K3181" s="0" t="s">
        <v>30</v>
      </c>
      <c r="L3181" s="0" t="s">
        <v>31</v>
      </c>
      <c r="M3181" s="0" t="s">
        <v>140</v>
      </c>
      <c r="N3181" s="0" t="n">
        <v>1671</v>
      </c>
      <c r="O3181" s="10" t="n">
        <v>0.609168584691361</v>
      </c>
      <c r="P3181" s="10" t="n">
        <v>0.790102193132043</v>
      </c>
      <c r="Q3181" s="0" t="str">
        <f aca="false">SUBSTITUTE(SUBSTITUTE($I3181,CHAR(61),""),CHAR(34),"")</f>
        <v>01-09</v>
      </c>
      <c r="R3181" s="0" t="str">
        <f aca="false">IF($D3181&lt;&gt;"","["&amp;$E3181&amp;"]"&amp;"|"&amp;$Q3181&amp;"|"&amp;$K3181&amp;"|"&amp;$G3181&amp;"|"&amp;IF($G3181="TX_CURR_SUBNAT.R","CY2022Q4",$M3181),"")</f>
        <v>[kxuuIFpOXyO]|01-09|Female|Untreated_PLHIV_Attend.T_1|CY2023Q3</v>
      </c>
    </row>
    <row r="3182" customFormat="false" ht="15" hidden="false" customHeight="false" outlineLevel="0" collapsed="false">
      <c r="D3182" s="0" t="s">
        <v>63</v>
      </c>
      <c r="E3182" s="0" t="s">
        <v>64</v>
      </c>
      <c r="F3182" s="0" t="s">
        <v>65</v>
      </c>
      <c r="G3182" s="0" t="s">
        <v>151</v>
      </c>
      <c r="H3182" s="0" t="s">
        <v>151</v>
      </c>
      <c r="I3182" s="0" t="s">
        <v>36</v>
      </c>
      <c r="J3182" s="0" t="s">
        <v>37</v>
      </c>
      <c r="K3182" s="0" t="s">
        <v>30</v>
      </c>
      <c r="L3182" s="0" t="s">
        <v>31</v>
      </c>
      <c r="M3182" s="0" t="s">
        <v>140</v>
      </c>
      <c r="N3182" s="0" t="n">
        <v>657</v>
      </c>
      <c r="O3182" s="10" t="n">
        <v>0.452488124137744</v>
      </c>
      <c r="P3182" s="10" t="n">
        <v>0.790102193132043</v>
      </c>
      <c r="Q3182" s="0" t="str">
        <f aca="false">SUBSTITUTE(SUBSTITUTE($I3182,CHAR(61),""),CHAR(34),"")</f>
        <v>10-14</v>
      </c>
      <c r="R3182" s="0" t="str">
        <f aca="false">IF($D3182&lt;&gt;"","["&amp;$E3182&amp;"]"&amp;"|"&amp;$Q3182&amp;"|"&amp;$K3182&amp;"|"&amp;$G3182&amp;"|"&amp;IF($G3182="TX_CURR_SUBNAT.R","CY2022Q4",$M3182),"")</f>
        <v>[kxuuIFpOXyO]|10-14|Female|Untreated_PLHIV_Attend.T_1|CY2023Q3</v>
      </c>
    </row>
    <row r="3183" customFormat="false" ht="15" hidden="false" customHeight="false" outlineLevel="0" collapsed="false">
      <c r="D3183" s="0" t="s">
        <v>63</v>
      </c>
      <c r="E3183" s="0" t="s">
        <v>64</v>
      </c>
      <c r="F3183" s="0" t="s">
        <v>65</v>
      </c>
      <c r="G3183" s="0" t="s">
        <v>151</v>
      </c>
      <c r="H3183" s="0" t="s">
        <v>151</v>
      </c>
      <c r="I3183" s="0" t="s">
        <v>38</v>
      </c>
      <c r="J3183" s="0" t="s">
        <v>39</v>
      </c>
      <c r="K3183" s="0" t="s">
        <v>30</v>
      </c>
      <c r="L3183" s="0" t="s">
        <v>31</v>
      </c>
      <c r="M3183" s="0" t="s">
        <v>140</v>
      </c>
      <c r="N3183" s="0" t="n">
        <v>1734</v>
      </c>
      <c r="O3183" s="10" t="n">
        <v>0.121631701476872</v>
      </c>
      <c r="P3183" s="10" t="n">
        <v>0.790102193132043</v>
      </c>
      <c r="Q3183" s="0" t="str">
        <f aca="false">SUBSTITUTE(SUBSTITUTE($I3183,CHAR(61),""),CHAR(34),"")</f>
        <v>15-24</v>
      </c>
      <c r="R3183" s="0" t="str">
        <f aca="false">IF($D3183&lt;&gt;"","["&amp;$E3183&amp;"]"&amp;"|"&amp;$Q3183&amp;"|"&amp;$K3183&amp;"|"&amp;$G3183&amp;"|"&amp;IF($G3183="TX_CURR_SUBNAT.R","CY2022Q4",$M3183),"")</f>
        <v>[kxuuIFpOXyO]|15-24|Female|Untreated_PLHIV_Attend.T_1|CY2023Q3</v>
      </c>
    </row>
    <row r="3184" customFormat="false" ht="15" hidden="false" customHeight="false" outlineLevel="0" collapsed="false">
      <c r="D3184" s="0" t="s">
        <v>63</v>
      </c>
      <c r="E3184" s="0" t="s">
        <v>64</v>
      </c>
      <c r="F3184" s="0" t="s">
        <v>65</v>
      </c>
      <c r="G3184" s="0" t="s">
        <v>151</v>
      </c>
      <c r="H3184" s="0" t="s">
        <v>151</v>
      </c>
      <c r="I3184" s="0" t="s">
        <v>41</v>
      </c>
      <c r="J3184" s="0" t="s">
        <v>42</v>
      </c>
      <c r="K3184" s="0" t="s">
        <v>30</v>
      </c>
      <c r="L3184" s="0" t="s">
        <v>31</v>
      </c>
      <c r="M3184" s="0" t="s">
        <v>140</v>
      </c>
      <c r="N3184" s="0" t="n">
        <v>1315</v>
      </c>
      <c r="O3184" s="10" t="n">
        <v>0.247267465339974</v>
      </c>
      <c r="P3184" s="10" t="n">
        <v>0.790102193132043</v>
      </c>
      <c r="Q3184" s="0" t="str">
        <f aca="false">SUBSTITUTE(SUBSTITUTE($I3184,CHAR(61),""),CHAR(34),"")</f>
        <v>25-34</v>
      </c>
      <c r="R3184" s="0" t="str">
        <f aca="false">IF($D3184&lt;&gt;"","["&amp;$E3184&amp;"]"&amp;"|"&amp;$Q3184&amp;"|"&amp;$K3184&amp;"|"&amp;$G3184&amp;"|"&amp;IF($G3184="TX_CURR_SUBNAT.R","CY2022Q4",$M3184),"")</f>
        <v>[kxuuIFpOXyO]|25-34|Female|Untreated_PLHIV_Attend.T_1|CY2023Q3</v>
      </c>
    </row>
    <row r="3185" customFormat="false" ht="15" hidden="false" customHeight="false" outlineLevel="0" collapsed="false">
      <c r="D3185" s="0" t="s">
        <v>63</v>
      </c>
      <c r="E3185" s="0" t="s">
        <v>64</v>
      </c>
      <c r="F3185" s="0" t="s">
        <v>65</v>
      </c>
      <c r="G3185" s="0" t="s">
        <v>151</v>
      </c>
      <c r="H3185" s="0" t="s">
        <v>151</v>
      </c>
      <c r="I3185" s="0" t="s">
        <v>43</v>
      </c>
      <c r="J3185" s="0" t="s">
        <v>44</v>
      </c>
      <c r="K3185" s="0" t="s">
        <v>30</v>
      </c>
      <c r="L3185" s="0" t="s">
        <v>31</v>
      </c>
      <c r="M3185" s="0" t="s">
        <v>140</v>
      </c>
      <c r="N3185" s="0" t="n">
        <v>1094</v>
      </c>
      <c r="O3185" s="10" t="n">
        <v>0.805640512146056</v>
      </c>
      <c r="P3185" s="10" t="n">
        <v>0.790102193132043</v>
      </c>
      <c r="Q3185" s="0" t="str">
        <f aca="false">SUBSTITUTE(SUBSTITUTE($I3185,CHAR(61),""),CHAR(34),"")</f>
        <v>35-49</v>
      </c>
      <c r="R3185" s="0" t="str">
        <f aca="false">IF($D3185&lt;&gt;"","["&amp;$E3185&amp;"]"&amp;"|"&amp;$Q3185&amp;"|"&amp;$K3185&amp;"|"&amp;$G3185&amp;"|"&amp;IF($G3185="TX_CURR_SUBNAT.R","CY2022Q4",$M3185),"")</f>
        <v>[kxuuIFpOXyO]|35-49|Female|Untreated_PLHIV_Attend.T_1|CY2023Q3</v>
      </c>
    </row>
    <row r="3186" customFormat="false" ht="15" hidden="false" customHeight="false" outlineLevel="0" collapsed="false">
      <c r="D3186" s="0" t="s">
        <v>63</v>
      </c>
      <c r="E3186" s="0" t="s">
        <v>64</v>
      </c>
      <c r="F3186" s="0" t="s">
        <v>65</v>
      </c>
      <c r="G3186" s="0" t="s">
        <v>151</v>
      </c>
      <c r="H3186" s="0" t="s">
        <v>151</v>
      </c>
      <c r="I3186" s="0" t="s">
        <v>45</v>
      </c>
      <c r="J3186" s="0" t="s">
        <v>46</v>
      </c>
      <c r="K3186" s="0" t="s">
        <v>30</v>
      </c>
      <c r="L3186" s="0" t="s">
        <v>31</v>
      </c>
      <c r="M3186" s="0" t="s">
        <v>140</v>
      </c>
      <c r="N3186" s="0" t="n">
        <v>1985</v>
      </c>
      <c r="O3186" s="10" t="n">
        <v>0.817410725168884</v>
      </c>
      <c r="P3186" s="10" t="n">
        <v>0.790102193132043</v>
      </c>
      <c r="Q3186" s="0" t="str">
        <f aca="false">SUBSTITUTE(SUBSTITUTE($I3186,CHAR(61),""),CHAR(34),"")</f>
        <v>50+</v>
      </c>
      <c r="R3186" s="0" t="str">
        <f aca="false">IF($D3186&lt;&gt;"","["&amp;$E3186&amp;"]"&amp;"|"&amp;$Q3186&amp;"|"&amp;$K3186&amp;"|"&amp;$G3186&amp;"|"&amp;IF($G3186="TX_CURR_SUBNAT.R","CY2022Q4",$M3186),"")</f>
        <v>[kxuuIFpOXyO]|50+|Female|Untreated_PLHIV_Attend.T_1|CY2023Q3</v>
      </c>
    </row>
    <row r="3187" customFormat="false" ht="15" hidden="false" customHeight="false" outlineLevel="0" collapsed="false">
      <c r="D3187" s="0" t="s">
        <v>63</v>
      </c>
      <c r="E3187" s="0" t="s">
        <v>64</v>
      </c>
      <c r="F3187" s="0" t="s">
        <v>65</v>
      </c>
      <c r="G3187" s="0" t="s">
        <v>151</v>
      </c>
      <c r="H3187" s="0" t="s">
        <v>151</v>
      </c>
      <c r="I3187" s="0" t="s">
        <v>28</v>
      </c>
      <c r="J3187" s="0" t="s">
        <v>29</v>
      </c>
      <c r="K3187" s="0" t="s">
        <v>48</v>
      </c>
      <c r="L3187" s="0" t="s">
        <v>49</v>
      </c>
      <c r="M3187" s="0" t="s">
        <v>140</v>
      </c>
      <c r="N3187" s="0" t="n">
        <v>1831</v>
      </c>
      <c r="O3187" s="10" t="n">
        <v>0.811093461699784</v>
      </c>
      <c r="P3187" s="10" t="n">
        <v>0.790102193132043</v>
      </c>
      <c r="Q3187" s="0" t="str">
        <f aca="false">SUBSTITUTE(SUBSTITUTE($I3187,CHAR(61),""),CHAR(34),"")</f>
        <v>&lt;01</v>
      </c>
      <c r="R3187" s="0" t="str">
        <f aca="false">IF($D3187&lt;&gt;"","["&amp;$E3187&amp;"]"&amp;"|"&amp;$Q3187&amp;"|"&amp;$K3187&amp;"|"&amp;$G3187&amp;"|"&amp;IF($G3187="TX_CURR_SUBNAT.R","CY2022Q4",$M3187),"")</f>
        <v>[kxuuIFpOXyO]|&lt;01|Male|Untreated_PLHIV_Attend.T_1|CY2023Q3</v>
      </c>
    </row>
    <row r="3188" customFormat="false" ht="15" hidden="false" customHeight="false" outlineLevel="0" collapsed="false">
      <c r="D3188" s="0" t="s">
        <v>63</v>
      </c>
      <c r="E3188" s="0" t="s">
        <v>64</v>
      </c>
      <c r="F3188" s="0" t="s">
        <v>65</v>
      </c>
      <c r="G3188" s="0" t="s">
        <v>151</v>
      </c>
      <c r="H3188" s="0" t="s">
        <v>151</v>
      </c>
      <c r="I3188" s="0" t="s">
        <v>33</v>
      </c>
      <c r="J3188" s="0" t="s">
        <v>34</v>
      </c>
      <c r="K3188" s="0" t="s">
        <v>48</v>
      </c>
      <c r="L3188" s="0" t="s">
        <v>49</v>
      </c>
      <c r="M3188" s="0" t="s">
        <v>140</v>
      </c>
      <c r="N3188" s="0" t="n">
        <v>659</v>
      </c>
      <c r="O3188" s="10" t="n">
        <v>0.494363137986511</v>
      </c>
      <c r="P3188" s="10" t="n">
        <v>0.790102193132043</v>
      </c>
      <c r="Q3188" s="0" t="str">
        <f aca="false">SUBSTITUTE(SUBSTITUTE($I3188,CHAR(61),""),CHAR(34),"")</f>
        <v>01-09</v>
      </c>
      <c r="R3188" s="0" t="str">
        <f aca="false">IF($D3188&lt;&gt;"","["&amp;$E3188&amp;"]"&amp;"|"&amp;$Q3188&amp;"|"&amp;$K3188&amp;"|"&amp;$G3188&amp;"|"&amp;IF($G3188="TX_CURR_SUBNAT.R","CY2022Q4",$M3188),"")</f>
        <v>[kxuuIFpOXyO]|01-09|Male|Untreated_PLHIV_Attend.T_1|CY2023Q3</v>
      </c>
    </row>
    <row r="3189" customFormat="false" ht="15" hidden="false" customHeight="false" outlineLevel="0" collapsed="false">
      <c r="D3189" s="0" t="s">
        <v>63</v>
      </c>
      <c r="E3189" s="0" t="s">
        <v>64</v>
      </c>
      <c r="F3189" s="0" t="s">
        <v>65</v>
      </c>
      <c r="G3189" s="0" t="s">
        <v>151</v>
      </c>
      <c r="H3189" s="0" t="s">
        <v>151</v>
      </c>
      <c r="I3189" s="0" t="s">
        <v>36</v>
      </c>
      <c r="J3189" s="0" t="s">
        <v>37</v>
      </c>
      <c r="K3189" s="0" t="s">
        <v>48</v>
      </c>
      <c r="L3189" s="0" t="s">
        <v>49</v>
      </c>
      <c r="M3189" s="0" t="s">
        <v>140</v>
      </c>
      <c r="N3189" s="0" t="n">
        <v>1437</v>
      </c>
      <c r="O3189" s="10" t="n">
        <v>0.0708776344545186</v>
      </c>
      <c r="P3189" s="10" t="n">
        <v>0.790102193132043</v>
      </c>
      <c r="Q3189" s="0" t="str">
        <f aca="false">SUBSTITUTE(SUBSTITUTE($I3189,CHAR(61),""),CHAR(34),"")</f>
        <v>10-14</v>
      </c>
      <c r="R3189" s="0" t="str">
        <f aca="false">IF($D3189&lt;&gt;"","["&amp;$E3189&amp;"]"&amp;"|"&amp;$Q3189&amp;"|"&amp;$K3189&amp;"|"&amp;$G3189&amp;"|"&amp;IF($G3189="TX_CURR_SUBNAT.R","CY2022Q4",$M3189),"")</f>
        <v>[kxuuIFpOXyO]|10-14|Male|Untreated_PLHIV_Attend.T_1|CY2023Q3</v>
      </c>
    </row>
    <row r="3190" customFormat="false" ht="15" hidden="false" customHeight="false" outlineLevel="0" collapsed="false">
      <c r="D3190" s="0" t="s">
        <v>63</v>
      </c>
      <c r="E3190" s="0" t="s">
        <v>64</v>
      </c>
      <c r="F3190" s="0" t="s">
        <v>65</v>
      </c>
      <c r="G3190" s="0" t="s">
        <v>151</v>
      </c>
      <c r="H3190" s="0" t="s">
        <v>151</v>
      </c>
      <c r="I3190" s="0" t="s">
        <v>38</v>
      </c>
      <c r="J3190" s="0" t="s">
        <v>39</v>
      </c>
      <c r="K3190" s="0" t="s">
        <v>48</v>
      </c>
      <c r="L3190" s="0" t="s">
        <v>49</v>
      </c>
      <c r="M3190" s="0" t="s">
        <v>140</v>
      </c>
      <c r="N3190" s="0" t="n">
        <v>1045</v>
      </c>
      <c r="O3190" s="10" t="n">
        <v>0.932349315611646</v>
      </c>
      <c r="P3190" s="10" t="n">
        <v>0.790102193132043</v>
      </c>
      <c r="Q3190" s="0" t="str">
        <f aca="false">SUBSTITUTE(SUBSTITUTE($I3190,CHAR(61),""),CHAR(34),"")</f>
        <v>15-24</v>
      </c>
      <c r="R3190" s="0" t="str">
        <f aca="false">IF($D3190&lt;&gt;"","["&amp;$E3190&amp;"]"&amp;"|"&amp;$Q3190&amp;"|"&amp;$K3190&amp;"|"&amp;$G3190&amp;"|"&amp;IF($G3190="TX_CURR_SUBNAT.R","CY2022Q4",$M3190),"")</f>
        <v>[kxuuIFpOXyO]|15-24|Male|Untreated_PLHIV_Attend.T_1|CY2023Q3</v>
      </c>
    </row>
    <row r="3191" customFormat="false" ht="15" hidden="false" customHeight="false" outlineLevel="0" collapsed="false">
      <c r="D3191" s="0" t="s">
        <v>63</v>
      </c>
      <c r="E3191" s="0" t="s">
        <v>64</v>
      </c>
      <c r="F3191" s="0" t="s">
        <v>65</v>
      </c>
      <c r="G3191" s="0" t="s">
        <v>151</v>
      </c>
      <c r="H3191" s="0" t="s">
        <v>151</v>
      </c>
      <c r="I3191" s="0" t="s">
        <v>41</v>
      </c>
      <c r="J3191" s="0" t="s">
        <v>42</v>
      </c>
      <c r="K3191" s="0" t="s">
        <v>48</v>
      </c>
      <c r="L3191" s="0" t="s">
        <v>49</v>
      </c>
      <c r="M3191" s="0" t="s">
        <v>140</v>
      </c>
      <c r="N3191" s="0" t="n">
        <v>802</v>
      </c>
      <c r="O3191" s="10" t="n">
        <v>0.0433507584966719</v>
      </c>
      <c r="P3191" s="10" t="n">
        <v>0.790102193132043</v>
      </c>
      <c r="Q3191" s="0" t="str">
        <f aca="false">SUBSTITUTE(SUBSTITUTE($I3191,CHAR(61),""),CHAR(34),"")</f>
        <v>25-34</v>
      </c>
      <c r="R3191" s="0" t="str">
        <f aca="false">IF($D3191&lt;&gt;"","["&amp;$E3191&amp;"]"&amp;"|"&amp;$Q3191&amp;"|"&amp;$K3191&amp;"|"&amp;$G3191&amp;"|"&amp;IF($G3191="TX_CURR_SUBNAT.R","CY2022Q4",$M3191),"")</f>
        <v>[kxuuIFpOXyO]|25-34|Male|Untreated_PLHIV_Attend.T_1|CY2023Q3</v>
      </c>
    </row>
    <row r="3192" customFormat="false" ht="15" hidden="false" customHeight="false" outlineLevel="0" collapsed="false">
      <c r="D3192" s="0" t="s">
        <v>63</v>
      </c>
      <c r="E3192" s="0" t="s">
        <v>64</v>
      </c>
      <c r="F3192" s="0" t="s">
        <v>65</v>
      </c>
      <c r="G3192" s="0" t="s">
        <v>151</v>
      </c>
      <c r="H3192" s="0" t="s">
        <v>151</v>
      </c>
      <c r="I3192" s="0" t="s">
        <v>43</v>
      </c>
      <c r="J3192" s="0" t="s">
        <v>44</v>
      </c>
      <c r="K3192" s="0" t="s">
        <v>48</v>
      </c>
      <c r="L3192" s="0" t="s">
        <v>49</v>
      </c>
      <c r="M3192" s="0" t="s">
        <v>140</v>
      </c>
      <c r="N3192" s="0" t="n">
        <v>1353</v>
      </c>
      <c r="O3192" s="10" t="n">
        <v>0.968550787540153</v>
      </c>
      <c r="P3192" s="10" t="n">
        <v>0.790102193132043</v>
      </c>
      <c r="Q3192" s="0" t="str">
        <f aca="false">SUBSTITUTE(SUBSTITUTE($I3192,CHAR(61),""),CHAR(34),"")</f>
        <v>35-49</v>
      </c>
      <c r="R3192" s="0" t="str">
        <f aca="false">IF($D3192&lt;&gt;"","["&amp;$E3192&amp;"]"&amp;"|"&amp;$Q3192&amp;"|"&amp;$K3192&amp;"|"&amp;$G3192&amp;"|"&amp;IF($G3192="TX_CURR_SUBNAT.R","CY2022Q4",$M3192),"")</f>
        <v>[kxuuIFpOXyO]|35-49|Male|Untreated_PLHIV_Attend.T_1|CY2023Q3</v>
      </c>
    </row>
    <row r="3193" customFormat="false" ht="15" hidden="false" customHeight="false" outlineLevel="0" collapsed="false">
      <c r="D3193" s="0" t="s">
        <v>63</v>
      </c>
      <c r="E3193" s="0" t="s">
        <v>64</v>
      </c>
      <c r="F3193" s="0" t="s">
        <v>65</v>
      </c>
      <c r="G3193" s="0" t="s">
        <v>151</v>
      </c>
      <c r="H3193" s="0" t="s">
        <v>151</v>
      </c>
      <c r="I3193" s="0" t="s">
        <v>45</v>
      </c>
      <c r="J3193" s="0" t="s">
        <v>46</v>
      </c>
      <c r="K3193" s="0" t="s">
        <v>48</v>
      </c>
      <c r="L3193" s="0" t="s">
        <v>49</v>
      </c>
      <c r="M3193" s="0" t="s">
        <v>140</v>
      </c>
      <c r="N3193" s="0" t="n">
        <v>1961</v>
      </c>
      <c r="O3193" s="10" t="n">
        <v>0.933540247613564</v>
      </c>
      <c r="P3193" s="10" t="n">
        <v>0.790102193132043</v>
      </c>
      <c r="Q3193" s="0" t="str">
        <f aca="false">SUBSTITUTE(SUBSTITUTE($I3193,CHAR(61),""),CHAR(34),"")</f>
        <v>50+</v>
      </c>
      <c r="R3193" s="0" t="str">
        <f aca="false">IF($D3193&lt;&gt;"","["&amp;$E3193&amp;"]"&amp;"|"&amp;$Q3193&amp;"|"&amp;$K3193&amp;"|"&amp;$G3193&amp;"|"&amp;IF($G3193="TX_CURR_SUBNAT.R","CY2022Q4",$M3193),"")</f>
        <v>[kxuuIFpOXyO]|50+|Male|Untreated_PLHIV_Attend.T_1|CY2023Q3</v>
      </c>
    </row>
    <row r="3194" customFormat="false" ht="15" hidden="false" customHeight="false" outlineLevel="0" collapsed="false">
      <c r="D3194" s="0" t="s">
        <v>66</v>
      </c>
      <c r="E3194" s="0" t="s">
        <v>67</v>
      </c>
      <c r="F3194" s="0" t="s">
        <v>68</v>
      </c>
      <c r="G3194" s="0" t="s">
        <v>151</v>
      </c>
      <c r="H3194" s="0" t="s">
        <v>151</v>
      </c>
      <c r="I3194" s="0" t="s">
        <v>28</v>
      </c>
      <c r="J3194" s="0" t="s">
        <v>29</v>
      </c>
      <c r="K3194" s="0" t="s">
        <v>30</v>
      </c>
      <c r="L3194" s="0" t="s">
        <v>31</v>
      </c>
      <c r="M3194" s="0" t="s">
        <v>140</v>
      </c>
      <c r="N3194" s="0" t="n">
        <v>1059</v>
      </c>
      <c r="O3194" s="10" t="n">
        <v>0.755244880216196</v>
      </c>
      <c r="P3194" s="10" t="n">
        <v>0.164609884377569</v>
      </c>
      <c r="Q3194" s="0" t="str">
        <f aca="false">SUBSTITUTE(SUBSTITUTE($I3194,CHAR(61),""),CHAR(34),"")</f>
        <v>&lt;01</v>
      </c>
      <c r="R3194" s="0" t="str">
        <f aca="false">IF($D3194&lt;&gt;"","["&amp;$E3194&amp;"]"&amp;"|"&amp;$Q3194&amp;"|"&amp;$K3194&amp;"|"&amp;$G3194&amp;"|"&amp;IF($G3194="TX_CURR_SUBNAT.R","CY2022Q4",$M3194),"")</f>
        <v>[ScR9iFKAasW]|&lt;01|Female|Untreated_PLHIV_Attend.T_1|CY2023Q3</v>
      </c>
    </row>
    <row r="3195" customFormat="false" ht="15" hidden="false" customHeight="false" outlineLevel="0" collapsed="false">
      <c r="D3195" s="0" t="s">
        <v>66</v>
      </c>
      <c r="E3195" s="0" t="s">
        <v>67</v>
      </c>
      <c r="F3195" s="0" t="s">
        <v>68</v>
      </c>
      <c r="G3195" s="0" t="s">
        <v>151</v>
      </c>
      <c r="H3195" s="0" t="s">
        <v>151</v>
      </c>
      <c r="I3195" s="0" t="s">
        <v>33</v>
      </c>
      <c r="J3195" s="0" t="s">
        <v>34</v>
      </c>
      <c r="K3195" s="0" t="s">
        <v>30</v>
      </c>
      <c r="L3195" s="0" t="s">
        <v>31</v>
      </c>
      <c r="M3195" s="0" t="s">
        <v>140</v>
      </c>
      <c r="N3195" s="0" t="n">
        <v>887</v>
      </c>
      <c r="O3195" s="10" t="n">
        <v>0.153682281263173</v>
      </c>
      <c r="P3195" s="10" t="n">
        <v>0.164609884377569</v>
      </c>
      <c r="Q3195" s="0" t="str">
        <f aca="false">SUBSTITUTE(SUBSTITUTE($I3195,CHAR(61),""),CHAR(34),"")</f>
        <v>01-09</v>
      </c>
      <c r="R3195" s="0" t="str">
        <f aca="false">IF($D3195&lt;&gt;"","["&amp;$E3195&amp;"]"&amp;"|"&amp;$Q3195&amp;"|"&amp;$K3195&amp;"|"&amp;$G3195&amp;"|"&amp;IF($G3195="TX_CURR_SUBNAT.R","CY2022Q4",$M3195),"")</f>
        <v>[ScR9iFKAasW]|01-09|Female|Untreated_PLHIV_Attend.T_1|CY2023Q3</v>
      </c>
    </row>
    <row r="3196" customFormat="false" ht="15" hidden="false" customHeight="false" outlineLevel="0" collapsed="false">
      <c r="D3196" s="0" t="s">
        <v>66</v>
      </c>
      <c r="E3196" s="0" t="s">
        <v>67</v>
      </c>
      <c r="F3196" s="0" t="s">
        <v>68</v>
      </c>
      <c r="G3196" s="0" t="s">
        <v>151</v>
      </c>
      <c r="H3196" s="0" t="s">
        <v>151</v>
      </c>
      <c r="I3196" s="0" t="s">
        <v>36</v>
      </c>
      <c r="J3196" s="0" t="s">
        <v>37</v>
      </c>
      <c r="K3196" s="0" t="s">
        <v>30</v>
      </c>
      <c r="L3196" s="0" t="s">
        <v>31</v>
      </c>
      <c r="M3196" s="0" t="s">
        <v>140</v>
      </c>
      <c r="N3196" s="0" t="n">
        <v>1757</v>
      </c>
      <c r="O3196" s="10" t="n">
        <v>0.916139240376651</v>
      </c>
      <c r="P3196" s="10" t="n">
        <v>0.164609884377569</v>
      </c>
      <c r="Q3196" s="0" t="str">
        <f aca="false">SUBSTITUTE(SUBSTITUTE($I3196,CHAR(61),""),CHAR(34),"")</f>
        <v>10-14</v>
      </c>
      <c r="R3196" s="0" t="str">
        <f aca="false">IF($D3196&lt;&gt;"","["&amp;$E3196&amp;"]"&amp;"|"&amp;$Q3196&amp;"|"&amp;$K3196&amp;"|"&amp;$G3196&amp;"|"&amp;IF($G3196="TX_CURR_SUBNAT.R","CY2022Q4",$M3196),"")</f>
        <v>[ScR9iFKAasW]|10-14|Female|Untreated_PLHIV_Attend.T_1|CY2023Q3</v>
      </c>
    </row>
    <row r="3197" customFormat="false" ht="15" hidden="false" customHeight="false" outlineLevel="0" collapsed="false">
      <c r="D3197" s="0" t="s">
        <v>66</v>
      </c>
      <c r="E3197" s="0" t="s">
        <v>67</v>
      </c>
      <c r="F3197" s="0" t="s">
        <v>68</v>
      </c>
      <c r="G3197" s="0" t="s">
        <v>151</v>
      </c>
      <c r="H3197" s="0" t="s">
        <v>151</v>
      </c>
      <c r="I3197" s="0" t="s">
        <v>38</v>
      </c>
      <c r="J3197" s="0" t="s">
        <v>39</v>
      </c>
      <c r="K3197" s="0" t="s">
        <v>30</v>
      </c>
      <c r="L3197" s="0" t="s">
        <v>31</v>
      </c>
      <c r="M3197" s="0" t="s">
        <v>140</v>
      </c>
      <c r="N3197" s="0" t="n">
        <v>752</v>
      </c>
      <c r="O3197" s="10" t="n">
        <v>0.246652317931876</v>
      </c>
      <c r="P3197" s="10" t="n">
        <v>0.164609884377569</v>
      </c>
      <c r="Q3197" s="0" t="str">
        <f aca="false">SUBSTITUTE(SUBSTITUTE($I3197,CHAR(61),""),CHAR(34),"")</f>
        <v>15-24</v>
      </c>
      <c r="R3197" s="0" t="str">
        <f aca="false">IF($D3197&lt;&gt;"","["&amp;$E3197&amp;"]"&amp;"|"&amp;$Q3197&amp;"|"&amp;$K3197&amp;"|"&amp;$G3197&amp;"|"&amp;IF($G3197="TX_CURR_SUBNAT.R","CY2022Q4",$M3197),"")</f>
        <v>[ScR9iFKAasW]|15-24|Female|Untreated_PLHIV_Attend.T_1|CY2023Q3</v>
      </c>
    </row>
    <row r="3198" customFormat="false" ht="15" hidden="false" customHeight="false" outlineLevel="0" collapsed="false">
      <c r="D3198" s="0" t="s">
        <v>66</v>
      </c>
      <c r="E3198" s="0" t="s">
        <v>67</v>
      </c>
      <c r="F3198" s="0" t="s">
        <v>68</v>
      </c>
      <c r="G3198" s="0" t="s">
        <v>151</v>
      </c>
      <c r="H3198" s="0" t="s">
        <v>151</v>
      </c>
      <c r="I3198" s="0" t="s">
        <v>41</v>
      </c>
      <c r="J3198" s="0" t="s">
        <v>42</v>
      </c>
      <c r="K3198" s="0" t="s">
        <v>30</v>
      </c>
      <c r="L3198" s="0" t="s">
        <v>31</v>
      </c>
      <c r="M3198" s="0" t="s">
        <v>140</v>
      </c>
      <c r="N3198" s="0" t="n">
        <v>1361</v>
      </c>
      <c r="O3198" s="10" t="n">
        <v>0.862591200275347</v>
      </c>
      <c r="P3198" s="10" t="n">
        <v>0.164609884377569</v>
      </c>
      <c r="Q3198" s="0" t="str">
        <f aca="false">SUBSTITUTE(SUBSTITUTE($I3198,CHAR(61),""),CHAR(34),"")</f>
        <v>25-34</v>
      </c>
      <c r="R3198" s="0" t="str">
        <f aca="false">IF($D3198&lt;&gt;"","["&amp;$E3198&amp;"]"&amp;"|"&amp;$Q3198&amp;"|"&amp;$K3198&amp;"|"&amp;$G3198&amp;"|"&amp;IF($G3198="TX_CURR_SUBNAT.R","CY2022Q4",$M3198),"")</f>
        <v>[ScR9iFKAasW]|25-34|Female|Untreated_PLHIV_Attend.T_1|CY2023Q3</v>
      </c>
    </row>
    <row r="3199" customFormat="false" ht="15" hidden="false" customHeight="false" outlineLevel="0" collapsed="false">
      <c r="D3199" s="0" t="s">
        <v>66</v>
      </c>
      <c r="E3199" s="0" t="s">
        <v>67</v>
      </c>
      <c r="F3199" s="0" t="s">
        <v>68</v>
      </c>
      <c r="G3199" s="0" t="s">
        <v>151</v>
      </c>
      <c r="H3199" s="0" t="s">
        <v>151</v>
      </c>
      <c r="I3199" s="0" t="s">
        <v>43</v>
      </c>
      <c r="J3199" s="0" t="s">
        <v>44</v>
      </c>
      <c r="K3199" s="0" t="s">
        <v>30</v>
      </c>
      <c r="L3199" s="0" t="s">
        <v>31</v>
      </c>
      <c r="M3199" s="0" t="s">
        <v>140</v>
      </c>
      <c r="N3199" s="0" t="n">
        <v>1470</v>
      </c>
      <c r="O3199" s="10" t="n">
        <v>0.101761699421331</v>
      </c>
      <c r="P3199" s="10" t="n">
        <v>0.164609884377569</v>
      </c>
      <c r="Q3199" s="0" t="str">
        <f aca="false">SUBSTITUTE(SUBSTITUTE($I3199,CHAR(61),""),CHAR(34),"")</f>
        <v>35-49</v>
      </c>
      <c r="R3199" s="0" t="str">
        <f aca="false">IF($D3199&lt;&gt;"","["&amp;$E3199&amp;"]"&amp;"|"&amp;$Q3199&amp;"|"&amp;$K3199&amp;"|"&amp;$G3199&amp;"|"&amp;IF($G3199="TX_CURR_SUBNAT.R","CY2022Q4",$M3199),"")</f>
        <v>[ScR9iFKAasW]|35-49|Female|Untreated_PLHIV_Attend.T_1|CY2023Q3</v>
      </c>
    </row>
    <row r="3200" customFormat="false" ht="15" hidden="false" customHeight="false" outlineLevel="0" collapsed="false">
      <c r="D3200" s="0" t="s">
        <v>66</v>
      </c>
      <c r="E3200" s="0" t="s">
        <v>67</v>
      </c>
      <c r="F3200" s="0" t="s">
        <v>68</v>
      </c>
      <c r="G3200" s="0" t="s">
        <v>151</v>
      </c>
      <c r="H3200" s="0" t="s">
        <v>151</v>
      </c>
      <c r="I3200" s="0" t="s">
        <v>45</v>
      </c>
      <c r="J3200" s="0" t="s">
        <v>46</v>
      </c>
      <c r="K3200" s="0" t="s">
        <v>30</v>
      </c>
      <c r="L3200" s="0" t="s">
        <v>31</v>
      </c>
      <c r="M3200" s="0" t="s">
        <v>140</v>
      </c>
      <c r="N3200" s="0" t="n">
        <v>1294</v>
      </c>
      <c r="O3200" s="10" t="n">
        <v>0.0893805695232004</v>
      </c>
      <c r="P3200" s="10" t="n">
        <v>0.164609884377569</v>
      </c>
      <c r="Q3200" s="0" t="str">
        <f aca="false">SUBSTITUTE(SUBSTITUTE($I3200,CHAR(61),""),CHAR(34),"")</f>
        <v>50+</v>
      </c>
      <c r="R3200" s="0" t="str">
        <f aca="false">IF($D3200&lt;&gt;"","["&amp;$E3200&amp;"]"&amp;"|"&amp;$Q3200&amp;"|"&amp;$K3200&amp;"|"&amp;$G3200&amp;"|"&amp;IF($G3200="TX_CURR_SUBNAT.R","CY2022Q4",$M3200),"")</f>
        <v>[ScR9iFKAasW]|50+|Female|Untreated_PLHIV_Attend.T_1|CY2023Q3</v>
      </c>
    </row>
    <row r="3201" customFormat="false" ht="15" hidden="false" customHeight="false" outlineLevel="0" collapsed="false">
      <c r="D3201" s="0" t="s">
        <v>66</v>
      </c>
      <c r="E3201" s="0" t="s">
        <v>67</v>
      </c>
      <c r="F3201" s="0" t="s">
        <v>68</v>
      </c>
      <c r="G3201" s="0" t="s">
        <v>151</v>
      </c>
      <c r="H3201" s="0" t="s">
        <v>151</v>
      </c>
      <c r="I3201" s="0" t="s">
        <v>28</v>
      </c>
      <c r="J3201" s="0" t="s">
        <v>29</v>
      </c>
      <c r="K3201" s="0" t="s">
        <v>48</v>
      </c>
      <c r="L3201" s="0" t="s">
        <v>49</v>
      </c>
      <c r="M3201" s="0" t="s">
        <v>140</v>
      </c>
      <c r="N3201" s="0" t="n">
        <v>1560</v>
      </c>
      <c r="O3201" s="10" t="n">
        <v>0.324725562240928</v>
      </c>
      <c r="P3201" s="10" t="n">
        <v>0.164609884377569</v>
      </c>
      <c r="Q3201" s="0" t="str">
        <f aca="false">SUBSTITUTE(SUBSTITUTE($I3201,CHAR(61),""),CHAR(34),"")</f>
        <v>&lt;01</v>
      </c>
      <c r="R3201" s="0" t="str">
        <f aca="false">IF($D3201&lt;&gt;"","["&amp;$E3201&amp;"]"&amp;"|"&amp;$Q3201&amp;"|"&amp;$K3201&amp;"|"&amp;$G3201&amp;"|"&amp;IF($G3201="TX_CURR_SUBNAT.R","CY2022Q4",$M3201),"")</f>
        <v>[ScR9iFKAasW]|&lt;01|Male|Untreated_PLHIV_Attend.T_1|CY2023Q3</v>
      </c>
    </row>
    <row r="3202" customFormat="false" ht="15" hidden="false" customHeight="false" outlineLevel="0" collapsed="false">
      <c r="D3202" s="0" t="s">
        <v>66</v>
      </c>
      <c r="E3202" s="0" t="s">
        <v>67</v>
      </c>
      <c r="F3202" s="0" t="s">
        <v>68</v>
      </c>
      <c r="G3202" s="0" t="s">
        <v>151</v>
      </c>
      <c r="H3202" s="0" t="s">
        <v>151</v>
      </c>
      <c r="I3202" s="0" t="s">
        <v>33</v>
      </c>
      <c r="J3202" s="0" t="s">
        <v>34</v>
      </c>
      <c r="K3202" s="0" t="s">
        <v>48</v>
      </c>
      <c r="L3202" s="0" t="s">
        <v>49</v>
      </c>
      <c r="M3202" s="0" t="s">
        <v>140</v>
      </c>
      <c r="N3202" s="0" t="n">
        <v>858</v>
      </c>
      <c r="O3202" s="10" t="n">
        <v>0.752363066421822</v>
      </c>
      <c r="P3202" s="10" t="n">
        <v>0.164609884377569</v>
      </c>
      <c r="Q3202" s="0" t="str">
        <f aca="false">SUBSTITUTE(SUBSTITUTE($I3202,CHAR(61),""),CHAR(34),"")</f>
        <v>01-09</v>
      </c>
      <c r="R3202" s="0" t="str">
        <f aca="false">IF($D3202&lt;&gt;"","["&amp;$E3202&amp;"]"&amp;"|"&amp;$Q3202&amp;"|"&amp;$K3202&amp;"|"&amp;$G3202&amp;"|"&amp;IF($G3202="TX_CURR_SUBNAT.R","CY2022Q4",$M3202),"")</f>
        <v>[ScR9iFKAasW]|01-09|Male|Untreated_PLHIV_Attend.T_1|CY2023Q3</v>
      </c>
    </row>
    <row r="3203" customFormat="false" ht="15" hidden="false" customHeight="false" outlineLevel="0" collapsed="false">
      <c r="D3203" s="0" t="s">
        <v>66</v>
      </c>
      <c r="E3203" s="0" t="s">
        <v>67</v>
      </c>
      <c r="F3203" s="0" t="s">
        <v>68</v>
      </c>
      <c r="G3203" s="0" t="s">
        <v>151</v>
      </c>
      <c r="H3203" s="0" t="s">
        <v>151</v>
      </c>
      <c r="I3203" s="0" t="s">
        <v>36</v>
      </c>
      <c r="J3203" s="0" t="s">
        <v>37</v>
      </c>
      <c r="K3203" s="0" t="s">
        <v>48</v>
      </c>
      <c r="L3203" s="0" t="s">
        <v>49</v>
      </c>
      <c r="M3203" s="0" t="s">
        <v>140</v>
      </c>
      <c r="N3203" s="0" t="n">
        <v>818</v>
      </c>
      <c r="O3203" s="10" t="n">
        <v>0.34076039143838</v>
      </c>
      <c r="P3203" s="10" t="n">
        <v>0.164609884377569</v>
      </c>
      <c r="Q3203" s="0" t="str">
        <f aca="false">SUBSTITUTE(SUBSTITUTE($I3203,CHAR(61),""),CHAR(34),"")</f>
        <v>10-14</v>
      </c>
      <c r="R3203" s="0" t="str">
        <f aca="false">IF($D3203&lt;&gt;"","["&amp;$E3203&amp;"]"&amp;"|"&amp;$Q3203&amp;"|"&amp;$K3203&amp;"|"&amp;$G3203&amp;"|"&amp;IF($G3203="TX_CURR_SUBNAT.R","CY2022Q4",$M3203),"")</f>
        <v>[ScR9iFKAasW]|10-14|Male|Untreated_PLHIV_Attend.T_1|CY2023Q3</v>
      </c>
    </row>
    <row r="3204" customFormat="false" ht="15" hidden="false" customHeight="false" outlineLevel="0" collapsed="false">
      <c r="D3204" s="0" t="s">
        <v>66</v>
      </c>
      <c r="E3204" s="0" t="s">
        <v>67</v>
      </c>
      <c r="F3204" s="0" t="s">
        <v>68</v>
      </c>
      <c r="G3204" s="0" t="s">
        <v>151</v>
      </c>
      <c r="H3204" s="0" t="s">
        <v>151</v>
      </c>
      <c r="I3204" s="0" t="s">
        <v>38</v>
      </c>
      <c r="J3204" s="0" t="s">
        <v>39</v>
      </c>
      <c r="K3204" s="0" t="s">
        <v>48</v>
      </c>
      <c r="L3204" s="0" t="s">
        <v>49</v>
      </c>
      <c r="M3204" s="0" t="s">
        <v>140</v>
      </c>
      <c r="N3204" s="0" t="n">
        <v>1020</v>
      </c>
      <c r="O3204" s="10" t="n">
        <v>0.611156289000064</v>
      </c>
      <c r="P3204" s="10" t="n">
        <v>0.164609884377569</v>
      </c>
      <c r="Q3204" s="0" t="str">
        <f aca="false">SUBSTITUTE(SUBSTITUTE($I3204,CHAR(61),""),CHAR(34),"")</f>
        <v>15-24</v>
      </c>
      <c r="R3204" s="0" t="str">
        <f aca="false">IF($D3204&lt;&gt;"","["&amp;$E3204&amp;"]"&amp;"|"&amp;$Q3204&amp;"|"&amp;$K3204&amp;"|"&amp;$G3204&amp;"|"&amp;IF($G3204="TX_CURR_SUBNAT.R","CY2022Q4",$M3204),"")</f>
        <v>[ScR9iFKAasW]|15-24|Male|Untreated_PLHIV_Attend.T_1|CY2023Q3</v>
      </c>
    </row>
    <row r="3205" customFormat="false" ht="15" hidden="false" customHeight="false" outlineLevel="0" collapsed="false">
      <c r="D3205" s="0" t="s">
        <v>66</v>
      </c>
      <c r="E3205" s="0" t="s">
        <v>67</v>
      </c>
      <c r="F3205" s="0" t="s">
        <v>68</v>
      </c>
      <c r="G3205" s="0" t="s">
        <v>151</v>
      </c>
      <c r="H3205" s="0" t="s">
        <v>151</v>
      </c>
      <c r="I3205" s="0" t="s">
        <v>41</v>
      </c>
      <c r="J3205" s="0" t="s">
        <v>42</v>
      </c>
      <c r="K3205" s="0" t="s">
        <v>48</v>
      </c>
      <c r="L3205" s="0" t="s">
        <v>49</v>
      </c>
      <c r="M3205" s="0" t="s">
        <v>140</v>
      </c>
      <c r="N3205" s="0" t="n">
        <v>1229</v>
      </c>
      <c r="O3205" s="10" t="n">
        <v>0.775259940652177</v>
      </c>
      <c r="P3205" s="10" t="n">
        <v>0.164609884377569</v>
      </c>
      <c r="Q3205" s="0" t="str">
        <f aca="false">SUBSTITUTE(SUBSTITUTE($I3205,CHAR(61),""),CHAR(34),"")</f>
        <v>25-34</v>
      </c>
      <c r="R3205" s="0" t="str">
        <f aca="false">IF($D3205&lt;&gt;"","["&amp;$E3205&amp;"]"&amp;"|"&amp;$Q3205&amp;"|"&amp;$K3205&amp;"|"&amp;$G3205&amp;"|"&amp;IF($G3205="TX_CURR_SUBNAT.R","CY2022Q4",$M3205),"")</f>
        <v>[ScR9iFKAasW]|25-34|Male|Untreated_PLHIV_Attend.T_1|CY2023Q3</v>
      </c>
    </row>
    <row r="3206" customFormat="false" ht="15" hidden="false" customHeight="false" outlineLevel="0" collapsed="false">
      <c r="D3206" s="0" t="s">
        <v>66</v>
      </c>
      <c r="E3206" s="0" t="s">
        <v>67</v>
      </c>
      <c r="F3206" s="0" t="s">
        <v>68</v>
      </c>
      <c r="G3206" s="0" t="s">
        <v>151</v>
      </c>
      <c r="H3206" s="0" t="s">
        <v>151</v>
      </c>
      <c r="I3206" s="0" t="s">
        <v>43</v>
      </c>
      <c r="J3206" s="0" t="s">
        <v>44</v>
      </c>
      <c r="K3206" s="0" t="s">
        <v>48</v>
      </c>
      <c r="L3206" s="0" t="s">
        <v>49</v>
      </c>
      <c r="M3206" s="0" t="s">
        <v>140</v>
      </c>
      <c r="N3206" s="0" t="n">
        <v>772</v>
      </c>
      <c r="O3206" s="10" t="n">
        <v>0.14100424782373</v>
      </c>
      <c r="P3206" s="10" t="n">
        <v>0.164609884377569</v>
      </c>
      <c r="Q3206" s="0" t="str">
        <f aca="false">SUBSTITUTE(SUBSTITUTE($I3206,CHAR(61),""),CHAR(34),"")</f>
        <v>35-49</v>
      </c>
      <c r="R3206" s="0" t="str">
        <f aca="false">IF($D3206&lt;&gt;"","["&amp;$E3206&amp;"]"&amp;"|"&amp;$Q3206&amp;"|"&amp;$K3206&amp;"|"&amp;$G3206&amp;"|"&amp;IF($G3206="TX_CURR_SUBNAT.R","CY2022Q4",$M3206),"")</f>
        <v>[ScR9iFKAasW]|35-49|Male|Untreated_PLHIV_Attend.T_1|CY2023Q3</v>
      </c>
    </row>
    <row r="3207" customFormat="false" ht="15" hidden="false" customHeight="false" outlineLevel="0" collapsed="false">
      <c r="D3207" s="0" t="s">
        <v>66</v>
      </c>
      <c r="E3207" s="0" t="s">
        <v>67</v>
      </c>
      <c r="F3207" s="0" t="s">
        <v>68</v>
      </c>
      <c r="G3207" s="0" t="s">
        <v>151</v>
      </c>
      <c r="H3207" s="0" t="s">
        <v>151</v>
      </c>
      <c r="I3207" s="0" t="s">
        <v>45</v>
      </c>
      <c r="J3207" s="0" t="s">
        <v>46</v>
      </c>
      <c r="K3207" s="0" t="s">
        <v>48</v>
      </c>
      <c r="L3207" s="0" t="s">
        <v>49</v>
      </c>
      <c r="M3207" s="0" t="s">
        <v>140</v>
      </c>
      <c r="N3207" s="0" t="n">
        <v>1940</v>
      </c>
      <c r="O3207" s="10" t="n">
        <v>0.103992847260088</v>
      </c>
      <c r="P3207" s="10" t="n">
        <v>0.164609884377569</v>
      </c>
      <c r="Q3207" s="0" t="str">
        <f aca="false">SUBSTITUTE(SUBSTITUTE($I3207,CHAR(61),""),CHAR(34),"")</f>
        <v>50+</v>
      </c>
      <c r="R3207" s="0" t="str">
        <f aca="false">IF($D3207&lt;&gt;"","["&amp;$E3207&amp;"]"&amp;"|"&amp;$Q3207&amp;"|"&amp;$K3207&amp;"|"&amp;$G3207&amp;"|"&amp;IF($G3207="TX_CURR_SUBNAT.R","CY2022Q4",$M3207),"")</f>
        <v>[ScR9iFKAasW]|50+|Male|Untreated_PLHIV_Attend.T_1|CY2023Q3</v>
      </c>
    </row>
    <row r="3208" customFormat="false" ht="15" hidden="false" customHeight="false" outlineLevel="0" collapsed="false">
      <c r="D3208" s="0" t="s">
        <v>69</v>
      </c>
      <c r="E3208" s="0" t="s">
        <v>70</v>
      </c>
      <c r="F3208" s="0" t="s">
        <v>71</v>
      </c>
      <c r="G3208" s="0" t="s">
        <v>151</v>
      </c>
      <c r="H3208" s="0" t="s">
        <v>151</v>
      </c>
      <c r="I3208" s="0" t="s">
        <v>28</v>
      </c>
      <c r="J3208" s="0" t="s">
        <v>29</v>
      </c>
      <c r="K3208" s="0" t="s">
        <v>30</v>
      </c>
      <c r="L3208" s="0" t="s">
        <v>31</v>
      </c>
      <c r="M3208" s="0" t="s">
        <v>140</v>
      </c>
      <c r="N3208" s="0" t="n">
        <v>587</v>
      </c>
      <c r="O3208" s="10" t="n">
        <v>0.0153938957955688</v>
      </c>
      <c r="P3208" s="10" t="n">
        <v>0.198817263124511</v>
      </c>
      <c r="Q3208" s="0" t="str">
        <f aca="false">SUBSTITUTE(SUBSTITUTE($I3208,CHAR(61),""),CHAR(34),"")</f>
        <v>&lt;01</v>
      </c>
      <c r="R3208" s="0" t="str">
        <f aca="false">IF($D3208&lt;&gt;"","["&amp;$E3208&amp;"]"&amp;"|"&amp;$Q3208&amp;"|"&amp;$K3208&amp;"|"&amp;$G3208&amp;"|"&amp;IF($G3208="TX_CURR_SUBNAT.R","CY2022Q4",$M3208),"")</f>
        <v>[PekKUkKHAzY]|&lt;01|Female|Untreated_PLHIV_Attend.T_1|CY2023Q3</v>
      </c>
    </row>
    <row r="3209" customFormat="false" ht="15" hidden="false" customHeight="false" outlineLevel="0" collapsed="false">
      <c r="D3209" s="0" t="s">
        <v>69</v>
      </c>
      <c r="E3209" s="0" t="s">
        <v>70</v>
      </c>
      <c r="F3209" s="0" t="s">
        <v>71</v>
      </c>
      <c r="G3209" s="0" t="s">
        <v>151</v>
      </c>
      <c r="H3209" s="0" t="s">
        <v>151</v>
      </c>
      <c r="I3209" s="0" t="s">
        <v>33</v>
      </c>
      <c r="J3209" s="0" t="s">
        <v>34</v>
      </c>
      <c r="K3209" s="0" t="s">
        <v>30</v>
      </c>
      <c r="L3209" s="0" t="s">
        <v>31</v>
      </c>
      <c r="M3209" s="0" t="s">
        <v>140</v>
      </c>
      <c r="N3209" s="0" t="n">
        <v>955</v>
      </c>
      <c r="O3209" s="10" t="n">
        <v>0.97932518646121</v>
      </c>
      <c r="P3209" s="10" t="n">
        <v>0.198817263124511</v>
      </c>
      <c r="Q3209" s="0" t="str">
        <f aca="false">SUBSTITUTE(SUBSTITUTE($I3209,CHAR(61),""),CHAR(34),"")</f>
        <v>01-09</v>
      </c>
      <c r="R3209" s="0" t="str">
        <f aca="false">IF($D3209&lt;&gt;"","["&amp;$E3209&amp;"]"&amp;"|"&amp;$Q3209&amp;"|"&amp;$K3209&amp;"|"&amp;$G3209&amp;"|"&amp;IF($G3209="TX_CURR_SUBNAT.R","CY2022Q4",$M3209),"")</f>
        <v>[PekKUkKHAzY]|01-09|Female|Untreated_PLHIV_Attend.T_1|CY2023Q3</v>
      </c>
    </row>
    <row r="3210" customFormat="false" ht="15" hidden="false" customHeight="false" outlineLevel="0" collapsed="false">
      <c r="D3210" s="0" t="s">
        <v>69</v>
      </c>
      <c r="E3210" s="0" t="s">
        <v>70</v>
      </c>
      <c r="F3210" s="0" t="s">
        <v>71</v>
      </c>
      <c r="G3210" s="0" t="s">
        <v>151</v>
      </c>
      <c r="H3210" s="0" t="s">
        <v>151</v>
      </c>
      <c r="I3210" s="0" t="s">
        <v>36</v>
      </c>
      <c r="J3210" s="0" t="s">
        <v>37</v>
      </c>
      <c r="K3210" s="0" t="s">
        <v>30</v>
      </c>
      <c r="L3210" s="0" t="s">
        <v>31</v>
      </c>
      <c r="M3210" s="0" t="s">
        <v>140</v>
      </c>
      <c r="N3210" s="0" t="n">
        <v>1464</v>
      </c>
      <c r="O3210" s="10" t="n">
        <v>0.73342867102474</v>
      </c>
      <c r="P3210" s="10" t="n">
        <v>0.198817263124511</v>
      </c>
      <c r="Q3210" s="0" t="str">
        <f aca="false">SUBSTITUTE(SUBSTITUTE($I3210,CHAR(61),""),CHAR(34),"")</f>
        <v>10-14</v>
      </c>
      <c r="R3210" s="0" t="str">
        <f aca="false">IF($D3210&lt;&gt;"","["&amp;$E3210&amp;"]"&amp;"|"&amp;$Q3210&amp;"|"&amp;$K3210&amp;"|"&amp;$G3210&amp;"|"&amp;IF($G3210="TX_CURR_SUBNAT.R","CY2022Q4",$M3210),"")</f>
        <v>[PekKUkKHAzY]|10-14|Female|Untreated_PLHIV_Attend.T_1|CY2023Q3</v>
      </c>
    </row>
    <row r="3211" customFormat="false" ht="15" hidden="false" customHeight="false" outlineLevel="0" collapsed="false">
      <c r="D3211" s="0" t="s">
        <v>69</v>
      </c>
      <c r="E3211" s="0" t="s">
        <v>70</v>
      </c>
      <c r="F3211" s="0" t="s">
        <v>71</v>
      </c>
      <c r="G3211" s="0" t="s">
        <v>151</v>
      </c>
      <c r="H3211" s="0" t="s">
        <v>151</v>
      </c>
      <c r="I3211" s="0" t="s">
        <v>38</v>
      </c>
      <c r="J3211" s="0" t="s">
        <v>39</v>
      </c>
      <c r="K3211" s="0" t="s">
        <v>30</v>
      </c>
      <c r="L3211" s="0" t="s">
        <v>31</v>
      </c>
      <c r="M3211" s="0" t="s">
        <v>140</v>
      </c>
      <c r="N3211" s="0" t="n">
        <v>526</v>
      </c>
      <c r="O3211" s="10" t="n">
        <v>0.527489698957652</v>
      </c>
      <c r="P3211" s="10" t="n">
        <v>0.198817263124511</v>
      </c>
      <c r="Q3211" s="0" t="str">
        <f aca="false">SUBSTITUTE(SUBSTITUTE($I3211,CHAR(61),""),CHAR(34),"")</f>
        <v>15-24</v>
      </c>
      <c r="R3211" s="0" t="str">
        <f aca="false">IF($D3211&lt;&gt;"","["&amp;$E3211&amp;"]"&amp;"|"&amp;$Q3211&amp;"|"&amp;$K3211&amp;"|"&amp;$G3211&amp;"|"&amp;IF($G3211="TX_CURR_SUBNAT.R","CY2022Q4",$M3211),"")</f>
        <v>[PekKUkKHAzY]|15-24|Female|Untreated_PLHIV_Attend.T_1|CY2023Q3</v>
      </c>
    </row>
    <row r="3212" customFormat="false" ht="15" hidden="false" customHeight="false" outlineLevel="0" collapsed="false">
      <c r="D3212" s="0" t="s">
        <v>69</v>
      </c>
      <c r="E3212" s="0" t="s">
        <v>70</v>
      </c>
      <c r="F3212" s="0" t="s">
        <v>71</v>
      </c>
      <c r="G3212" s="0" t="s">
        <v>151</v>
      </c>
      <c r="H3212" s="0" t="s">
        <v>151</v>
      </c>
      <c r="I3212" s="0" t="s">
        <v>41</v>
      </c>
      <c r="J3212" s="0" t="s">
        <v>42</v>
      </c>
      <c r="K3212" s="0" t="s">
        <v>30</v>
      </c>
      <c r="L3212" s="0" t="s">
        <v>31</v>
      </c>
      <c r="M3212" s="0" t="s">
        <v>140</v>
      </c>
      <c r="N3212" s="0" t="n">
        <v>1544</v>
      </c>
      <c r="O3212" s="10" t="n">
        <v>0.364834504202008</v>
      </c>
      <c r="P3212" s="10" t="n">
        <v>0.198817263124511</v>
      </c>
      <c r="Q3212" s="0" t="str">
        <f aca="false">SUBSTITUTE(SUBSTITUTE($I3212,CHAR(61),""),CHAR(34),"")</f>
        <v>25-34</v>
      </c>
      <c r="R3212" s="0" t="str">
        <f aca="false">IF($D3212&lt;&gt;"","["&amp;$E3212&amp;"]"&amp;"|"&amp;$Q3212&amp;"|"&amp;$K3212&amp;"|"&amp;$G3212&amp;"|"&amp;IF($G3212="TX_CURR_SUBNAT.R","CY2022Q4",$M3212),"")</f>
        <v>[PekKUkKHAzY]|25-34|Female|Untreated_PLHIV_Attend.T_1|CY2023Q3</v>
      </c>
    </row>
    <row r="3213" customFormat="false" ht="15" hidden="false" customHeight="false" outlineLevel="0" collapsed="false">
      <c r="D3213" s="0" t="s">
        <v>69</v>
      </c>
      <c r="E3213" s="0" t="s">
        <v>70</v>
      </c>
      <c r="F3213" s="0" t="s">
        <v>71</v>
      </c>
      <c r="G3213" s="0" t="s">
        <v>151</v>
      </c>
      <c r="H3213" s="0" t="s">
        <v>151</v>
      </c>
      <c r="I3213" s="0" t="s">
        <v>43</v>
      </c>
      <c r="J3213" s="0" t="s">
        <v>44</v>
      </c>
      <c r="K3213" s="0" t="s">
        <v>30</v>
      </c>
      <c r="L3213" s="0" t="s">
        <v>31</v>
      </c>
      <c r="M3213" s="0" t="s">
        <v>140</v>
      </c>
      <c r="N3213" s="0" t="n">
        <v>810</v>
      </c>
      <c r="O3213" s="10" t="n">
        <v>0.881415344076231</v>
      </c>
      <c r="P3213" s="10" t="n">
        <v>0.198817263124511</v>
      </c>
      <c r="Q3213" s="0" t="str">
        <f aca="false">SUBSTITUTE(SUBSTITUTE($I3213,CHAR(61),""),CHAR(34),"")</f>
        <v>35-49</v>
      </c>
      <c r="R3213" s="0" t="str">
        <f aca="false">IF($D3213&lt;&gt;"","["&amp;$E3213&amp;"]"&amp;"|"&amp;$Q3213&amp;"|"&amp;$K3213&amp;"|"&amp;$G3213&amp;"|"&amp;IF($G3213="TX_CURR_SUBNAT.R","CY2022Q4",$M3213),"")</f>
        <v>[PekKUkKHAzY]|35-49|Female|Untreated_PLHIV_Attend.T_1|CY2023Q3</v>
      </c>
    </row>
    <row r="3214" customFormat="false" ht="15" hidden="false" customHeight="false" outlineLevel="0" collapsed="false">
      <c r="D3214" s="0" t="s">
        <v>69</v>
      </c>
      <c r="E3214" s="0" t="s">
        <v>70</v>
      </c>
      <c r="F3214" s="0" t="s">
        <v>71</v>
      </c>
      <c r="G3214" s="0" t="s">
        <v>151</v>
      </c>
      <c r="H3214" s="0" t="s">
        <v>151</v>
      </c>
      <c r="I3214" s="0" t="s">
        <v>45</v>
      </c>
      <c r="J3214" s="0" t="s">
        <v>46</v>
      </c>
      <c r="K3214" s="0" t="s">
        <v>30</v>
      </c>
      <c r="L3214" s="0" t="s">
        <v>31</v>
      </c>
      <c r="M3214" s="0" t="s">
        <v>140</v>
      </c>
      <c r="N3214" s="0" t="n">
        <v>1397</v>
      </c>
      <c r="O3214" s="10" t="n">
        <v>0.828534904401749</v>
      </c>
      <c r="P3214" s="10" t="n">
        <v>0.198817263124511</v>
      </c>
      <c r="Q3214" s="0" t="str">
        <f aca="false">SUBSTITUTE(SUBSTITUTE($I3214,CHAR(61),""),CHAR(34),"")</f>
        <v>50+</v>
      </c>
      <c r="R3214" s="0" t="str">
        <f aca="false">IF($D3214&lt;&gt;"","["&amp;$E3214&amp;"]"&amp;"|"&amp;$Q3214&amp;"|"&amp;$K3214&amp;"|"&amp;$G3214&amp;"|"&amp;IF($G3214="TX_CURR_SUBNAT.R","CY2022Q4",$M3214),"")</f>
        <v>[PekKUkKHAzY]|50+|Female|Untreated_PLHIV_Attend.T_1|CY2023Q3</v>
      </c>
    </row>
    <row r="3215" customFormat="false" ht="15" hidden="false" customHeight="false" outlineLevel="0" collapsed="false">
      <c r="D3215" s="0" t="s">
        <v>69</v>
      </c>
      <c r="E3215" s="0" t="s">
        <v>70</v>
      </c>
      <c r="F3215" s="0" t="s">
        <v>71</v>
      </c>
      <c r="G3215" s="0" t="s">
        <v>151</v>
      </c>
      <c r="H3215" s="0" t="s">
        <v>151</v>
      </c>
      <c r="I3215" s="0" t="s">
        <v>28</v>
      </c>
      <c r="J3215" s="0" t="s">
        <v>29</v>
      </c>
      <c r="K3215" s="0" t="s">
        <v>48</v>
      </c>
      <c r="L3215" s="0" t="s">
        <v>49</v>
      </c>
      <c r="M3215" s="0" t="s">
        <v>140</v>
      </c>
      <c r="N3215" s="0" t="n">
        <v>1653</v>
      </c>
      <c r="O3215" s="10" t="n">
        <v>0.325737481703982</v>
      </c>
      <c r="P3215" s="10" t="n">
        <v>0.198817263124511</v>
      </c>
      <c r="Q3215" s="0" t="str">
        <f aca="false">SUBSTITUTE(SUBSTITUTE($I3215,CHAR(61),""),CHAR(34),"")</f>
        <v>&lt;01</v>
      </c>
      <c r="R3215" s="0" t="str">
        <f aca="false">IF($D3215&lt;&gt;"","["&amp;$E3215&amp;"]"&amp;"|"&amp;$Q3215&amp;"|"&amp;$K3215&amp;"|"&amp;$G3215&amp;"|"&amp;IF($G3215="TX_CURR_SUBNAT.R","CY2022Q4",$M3215),"")</f>
        <v>[PekKUkKHAzY]|&lt;01|Male|Untreated_PLHIV_Attend.T_1|CY2023Q3</v>
      </c>
    </row>
    <row r="3216" customFormat="false" ht="15" hidden="false" customHeight="false" outlineLevel="0" collapsed="false">
      <c r="D3216" s="0" t="s">
        <v>69</v>
      </c>
      <c r="E3216" s="0" t="s">
        <v>70</v>
      </c>
      <c r="F3216" s="0" t="s">
        <v>71</v>
      </c>
      <c r="G3216" s="0" t="s">
        <v>151</v>
      </c>
      <c r="H3216" s="0" t="s">
        <v>151</v>
      </c>
      <c r="I3216" s="0" t="s">
        <v>33</v>
      </c>
      <c r="J3216" s="0" t="s">
        <v>34</v>
      </c>
      <c r="K3216" s="0" t="s">
        <v>48</v>
      </c>
      <c r="L3216" s="0" t="s">
        <v>49</v>
      </c>
      <c r="M3216" s="0" t="s">
        <v>140</v>
      </c>
      <c r="N3216" s="0" t="n">
        <v>737</v>
      </c>
      <c r="O3216" s="10" t="n">
        <v>0.0743591689970344</v>
      </c>
      <c r="P3216" s="10" t="n">
        <v>0.198817263124511</v>
      </c>
      <c r="Q3216" s="0" t="str">
        <f aca="false">SUBSTITUTE(SUBSTITUTE($I3216,CHAR(61),""),CHAR(34),"")</f>
        <v>01-09</v>
      </c>
      <c r="R3216" s="0" t="str">
        <f aca="false">IF($D3216&lt;&gt;"","["&amp;$E3216&amp;"]"&amp;"|"&amp;$Q3216&amp;"|"&amp;$K3216&amp;"|"&amp;$G3216&amp;"|"&amp;IF($G3216="TX_CURR_SUBNAT.R","CY2022Q4",$M3216),"")</f>
        <v>[PekKUkKHAzY]|01-09|Male|Untreated_PLHIV_Attend.T_1|CY2023Q3</v>
      </c>
    </row>
    <row r="3217" customFormat="false" ht="15" hidden="false" customHeight="false" outlineLevel="0" collapsed="false">
      <c r="D3217" s="0" t="s">
        <v>69</v>
      </c>
      <c r="E3217" s="0" t="s">
        <v>70</v>
      </c>
      <c r="F3217" s="0" t="s">
        <v>71</v>
      </c>
      <c r="G3217" s="0" t="s">
        <v>151</v>
      </c>
      <c r="H3217" s="0" t="s">
        <v>151</v>
      </c>
      <c r="I3217" s="0" t="s">
        <v>36</v>
      </c>
      <c r="J3217" s="0" t="s">
        <v>37</v>
      </c>
      <c r="K3217" s="0" t="s">
        <v>48</v>
      </c>
      <c r="L3217" s="0" t="s">
        <v>49</v>
      </c>
      <c r="M3217" s="0" t="s">
        <v>140</v>
      </c>
      <c r="N3217" s="0" t="n">
        <v>502</v>
      </c>
      <c r="O3217" s="10" t="n">
        <v>0.469457947416231</v>
      </c>
      <c r="P3217" s="10" t="n">
        <v>0.198817263124511</v>
      </c>
      <c r="Q3217" s="0" t="str">
        <f aca="false">SUBSTITUTE(SUBSTITUTE($I3217,CHAR(61),""),CHAR(34),"")</f>
        <v>10-14</v>
      </c>
      <c r="R3217" s="0" t="str">
        <f aca="false">IF($D3217&lt;&gt;"","["&amp;$E3217&amp;"]"&amp;"|"&amp;$Q3217&amp;"|"&amp;$K3217&amp;"|"&amp;$G3217&amp;"|"&amp;IF($G3217="TX_CURR_SUBNAT.R","CY2022Q4",$M3217),"")</f>
        <v>[PekKUkKHAzY]|10-14|Male|Untreated_PLHIV_Attend.T_1|CY2023Q3</v>
      </c>
    </row>
    <row r="3218" customFormat="false" ht="15" hidden="false" customHeight="false" outlineLevel="0" collapsed="false">
      <c r="D3218" s="0" t="s">
        <v>69</v>
      </c>
      <c r="E3218" s="0" t="s">
        <v>70</v>
      </c>
      <c r="F3218" s="0" t="s">
        <v>71</v>
      </c>
      <c r="G3218" s="0" t="s">
        <v>151</v>
      </c>
      <c r="H3218" s="0" t="s">
        <v>151</v>
      </c>
      <c r="I3218" s="0" t="s">
        <v>38</v>
      </c>
      <c r="J3218" s="0" t="s">
        <v>39</v>
      </c>
      <c r="K3218" s="0" t="s">
        <v>48</v>
      </c>
      <c r="L3218" s="0" t="s">
        <v>49</v>
      </c>
      <c r="M3218" s="0" t="s">
        <v>140</v>
      </c>
      <c r="N3218" s="0" t="n">
        <v>586</v>
      </c>
      <c r="O3218" s="10" t="n">
        <v>0.667334532365203</v>
      </c>
      <c r="P3218" s="10" t="n">
        <v>0.198817263124511</v>
      </c>
      <c r="Q3218" s="0" t="str">
        <f aca="false">SUBSTITUTE(SUBSTITUTE($I3218,CHAR(61),""),CHAR(34),"")</f>
        <v>15-24</v>
      </c>
      <c r="R3218" s="0" t="str">
        <f aca="false">IF($D3218&lt;&gt;"","["&amp;$E3218&amp;"]"&amp;"|"&amp;$Q3218&amp;"|"&amp;$K3218&amp;"|"&amp;$G3218&amp;"|"&amp;IF($G3218="TX_CURR_SUBNAT.R","CY2022Q4",$M3218),"")</f>
        <v>[PekKUkKHAzY]|15-24|Male|Untreated_PLHIV_Attend.T_1|CY2023Q3</v>
      </c>
    </row>
    <row r="3219" customFormat="false" ht="15" hidden="false" customHeight="false" outlineLevel="0" collapsed="false">
      <c r="D3219" s="0" t="s">
        <v>69</v>
      </c>
      <c r="E3219" s="0" t="s">
        <v>70</v>
      </c>
      <c r="F3219" s="0" t="s">
        <v>71</v>
      </c>
      <c r="G3219" s="0" t="s">
        <v>151</v>
      </c>
      <c r="H3219" s="0" t="s">
        <v>151</v>
      </c>
      <c r="I3219" s="0" t="s">
        <v>41</v>
      </c>
      <c r="J3219" s="0" t="s">
        <v>42</v>
      </c>
      <c r="K3219" s="0" t="s">
        <v>48</v>
      </c>
      <c r="L3219" s="0" t="s">
        <v>49</v>
      </c>
      <c r="M3219" s="0" t="s">
        <v>140</v>
      </c>
      <c r="N3219" s="0" t="n">
        <v>1388</v>
      </c>
      <c r="O3219" s="10" t="n">
        <v>0.43078444711864</v>
      </c>
      <c r="P3219" s="10" t="n">
        <v>0.198817263124511</v>
      </c>
      <c r="Q3219" s="0" t="str">
        <f aca="false">SUBSTITUTE(SUBSTITUTE($I3219,CHAR(61),""),CHAR(34),"")</f>
        <v>25-34</v>
      </c>
      <c r="R3219" s="0" t="str">
        <f aca="false">IF($D3219&lt;&gt;"","["&amp;$E3219&amp;"]"&amp;"|"&amp;$Q3219&amp;"|"&amp;$K3219&amp;"|"&amp;$G3219&amp;"|"&amp;IF($G3219="TX_CURR_SUBNAT.R","CY2022Q4",$M3219),"")</f>
        <v>[PekKUkKHAzY]|25-34|Male|Untreated_PLHIV_Attend.T_1|CY2023Q3</v>
      </c>
    </row>
    <row r="3220" customFormat="false" ht="15" hidden="false" customHeight="false" outlineLevel="0" collapsed="false">
      <c r="D3220" s="0" t="s">
        <v>69</v>
      </c>
      <c r="E3220" s="0" t="s">
        <v>70</v>
      </c>
      <c r="F3220" s="0" t="s">
        <v>71</v>
      </c>
      <c r="G3220" s="0" t="s">
        <v>151</v>
      </c>
      <c r="H3220" s="0" t="s">
        <v>151</v>
      </c>
      <c r="I3220" s="0" t="s">
        <v>43</v>
      </c>
      <c r="J3220" s="0" t="s">
        <v>44</v>
      </c>
      <c r="K3220" s="0" t="s">
        <v>48</v>
      </c>
      <c r="L3220" s="0" t="s">
        <v>49</v>
      </c>
      <c r="M3220" s="0" t="s">
        <v>140</v>
      </c>
      <c r="N3220" s="0" t="n">
        <v>1797</v>
      </c>
      <c r="O3220" s="10" t="n">
        <v>0.139401880092919</v>
      </c>
      <c r="P3220" s="10" t="n">
        <v>0.198817263124511</v>
      </c>
      <c r="Q3220" s="0" t="str">
        <f aca="false">SUBSTITUTE(SUBSTITUTE($I3220,CHAR(61),""),CHAR(34),"")</f>
        <v>35-49</v>
      </c>
      <c r="R3220" s="0" t="str">
        <f aca="false">IF($D3220&lt;&gt;"","["&amp;$E3220&amp;"]"&amp;"|"&amp;$Q3220&amp;"|"&amp;$K3220&amp;"|"&amp;$G3220&amp;"|"&amp;IF($G3220="TX_CURR_SUBNAT.R","CY2022Q4",$M3220),"")</f>
        <v>[PekKUkKHAzY]|35-49|Male|Untreated_PLHIV_Attend.T_1|CY2023Q3</v>
      </c>
    </row>
    <row r="3221" customFormat="false" ht="15" hidden="false" customHeight="false" outlineLevel="0" collapsed="false">
      <c r="D3221" s="0" t="s">
        <v>69</v>
      </c>
      <c r="E3221" s="0" t="s">
        <v>70</v>
      </c>
      <c r="F3221" s="0" t="s">
        <v>71</v>
      </c>
      <c r="G3221" s="0" t="s">
        <v>151</v>
      </c>
      <c r="H3221" s="0" t="s">
        <v>151</v>
      </c>
      <c r="I3221" s="0" t="s">
        <v>45</v>
      </c>
      <c r="J3221" s="0" t="s">
        <v>46</v>
      </c>
      <c r="K3221" s="0" t="s">
        <v>48</v>
      </c>
      <c r="L3221" s="0" t="s">
        <v>49</v>
      </c>
      <c r="M3221" s="0" t="s">
        <v>140</v>
      </c>
      <c r="N3221" s="0" t="n">
        <v>1962</v>
      </c>
      <c r="O3221" s="10" t="n">
        <v>0.125780424801633</v>
      </c>
      <c r="P3221" s="10" t="n">
        <v>0.198817263124511</v>
      </c>
      <c r="Q3221" s="0" t="str">
        <f aca="false">SUBSTITUTE(SUBSTITUTE($I3221,CHAR(61),""),CHAR(34),"")</f>
        <v>50+</v>
      </c>
      <c r="R3221" s="0" t="str">
        <f aca="false">IF($D3221&lt;&gt;"","["&amp;$E3221&amp;"]"&amp;"|"&amp;$Q3221&amp;"|"&amp;$K3221&amp;"|"&amp;$G3221&amp;"|"&amp;IF($G3221="TX_CURR_SUBNAT.R","CY2022Q4",$M3221),"")</f>
        <v>[PekKUkKHAzY]|50+|Male|Untreated_PLHIV_Attend.T_1|CY2023Q3</v>
      </c>
    </row>
    <row r="3222" customFormat="false" ht="15" hidden="false" customHeight="false" outlineLevel="0" collapsed="false">
      <c r="D3222" s="0" t="s">
        <v>72</v>
      </c>
      <c r="E3222" s="0" t="s">
        <v>73</v>
      </c>
      <c r="F3222" s="0" t="s">
        <v>74</v>
      </c>
      <c r="G3222" s="0" t="s">
        <v>151</v>
      </c>
      <c r="H3222" s="0" t="s">
        <v>151</v>
      </c>
      <c r="I3222" s="0" t="s">
        <v>28</v>
      </c>
      <c r="J3222" s="0" t="s">
        <v>29</v>
      </c>
      <c r="K3222" s="0" t="s">
        <v>30</v>
      </c>
      <c r="L3222" s="0" t="s">
        <v>31</v>
      </c>
      <c r="M3222" s="0" t="s">
        <v>140</v>
      </c>
      <c r="N3222" s="0" t="n">
        <v>592</v>
      </c>
      <c r="O3222" s="10" t="n">
        <v>0.283155874349177</v>
      </c>
      <c r="P3222" s="10" t="n">
        <v>0.289728706935421</v>
      </c>
      <c r="Q3222" s="0" t="str">
        <f aca="false">SUBSTITUTE(SUBSTITUTE($I3222,CHAR(61),""),CHAR(34),"")</f>
        <v>&lt;01</v>
      </c>
      <c r="R3222" s="0" t="str">
        <f aca="false">IF($D3222&lt;&gt;"","["&amp;$E3222&amp;"]"&amp;"|"&amp;$Q3222&amp;"|"&amp;$K3222&amp;"|"&amp;$G3222&amp;"|"&amp;IF($G3222="TX_CURR_SUBNAT.R","CY2022Q4",$M3222),"")</f>
        <v>[am530wpaGvr]|&lt;01|Female|Untreated_PLHIV_Attend.T_1|CY2023Q3</v>
      </c>
    </row>
    <row r="3223" customFormat="false" ht="15" hidden="false" customHeight="false" outlineLevel="0" collapsed="false">
      <c r="D3223" s="0" t="s">
        <v>72</v>
      </c>
      <c r="E3223" s="0" t="s">
        <v>73</v>
      </c>
      <c r="F3223" s="0" t="s">
        <v>74</v>
      </c>
      <c r="G3223" s="0" t="s">
        <v>151</v>
      </c>
      <c r="H3223" s="0" t="s">
        <v>151</v>
      </c>
      <c r="I3223" s="0" t="s">
        <v>33</v>
      </c>
      <c r="J3223" s="0" t="s">
        <v>34</v>
      </c>
      <c r="K3223" s="0" t="s">
        <v>30</v>
      </c>
      <c r="L3223" s="0" t="s">
        <v>31</v>
      </c>
      <c r="M3223" s="0" t="s">
        <v>140</v>
      </c>
      <c r="N3223" s="0" t="n">
        <v>1061</v>
      </c>
      <c r="O3223" s="10" t="n">
        <v>0.421659066807479</v>
      </c>
      <c r="P3223" s="10" t="n">
        <v>0.289728706935421</v>
      </c>
      <c r="Q3223" s="0" t="str">
        <f aca="false">SUBSTITUTE(SUBSTITUTE($I3223,CHAR(61),""),CHAR(34),"")</f>
        <v>01-09</v>
      </c>
      <c r="R3223" s="0" t="str">
        <f aca="false">IF($D3223&lt;&gt;"","["&amp;$E3223&amp;"]"&amp;"|"&amp;$Q3223&amp;"|"&amp;$K3223&amp;"|"&amp;$G3223&amp;"|"&amp;IF($G3223="TX_CURR_SUBNAT.R","CY2022Q4",$M3223),"")</f>
        <v>[am530wpaGvr]|01-09|Female|Untreated_PLHIV_Attend.T_1|CY2023Q3</v>
      </c>
    </row>
    <row r="3224" customFormat="false" ht="15" hidden="false" customHeight="false" outlineLevel="0" collapsed="false">
      <c r="D3224" s="0" t="s">
        <v>72</v>
      </c>
      <c r="E3224" s="0" t="s">
        <v>73</v>
      </c>
      <c r="F3224" s="0" t="s">
        <v>74</v>
      </c>
      <c r="G3224" s="0" t="s">
        <v>151</v>
      </c>
      <c r="H3224" s="0" t="s">
        <v>151</v>
      </c>
      <c r="I3224" s="0" t="s">
        <v>36</v>
      </c>
      <c r="J3224" s="0" t="s">
        <v>37</v>
      </c>
      <c r="K3224" s="0" t="s">
        <v>30</v>
      </c>
      <c r="L3224" s="0" t="s">
        <v>31</v>
      </c>
      <c r="M3224" s="0" t="s">
        <v>140</v>
      </c>
      <c r="N3224" s="0" t="n">
        <v>1345</v>
      </c>
      <c r="O3224" s="10" t="n">
        <v>0.825814947718754</v>
      </c>
      <c r="P3224" s="10" t="n">
        <v>0.289728706935421</v>
      </c>
      <c r="Q3224" s="0" t="str">
        <f aca="false">SUBSTITUTE(SUBSTITUTE($I3224,CHAR(61),""),CHAR(34),"")</f>
        <v>10-14</v>
      </c>
      <c r="R3224" s="0" t="str">
        <f aca="false">IF($D3224&lt;&gt;"","["&amp;$E3224&amp;"]"&amp;"|"&amp;$Q3224&amp;"|"&amp;$K3224&amp;"|"&amp;$G3224&amp;"|"&amp;IF($G3224="TX_CURR_SUBNAT.R","CY2022Q4",$M3224),"")</f>
        <v>[am530wpaGvr]|10-14|Female|Untreated_PLHIV_Attend.T_1|CY2023Q3</v>
      </c>
    </row>
    <row r="3225" customFormat="false" ht="15" hidden="false" customHeight="false" outlineLevel="0" collapsed="false">
      <c r="D3225" s="0" t="s">
        <v>72</v>
      </c>
      <c r="E3225" s="0" t="s">
        <v>73</v>
      </c>
      <c r="F3225" s="0" t="s">
        <v>74</v>
      </c>
      <c r="G3225" s="0" t="s">
        <v>151</v>
      </c>
      <c r="H3225" s="0" t="s">
        <v>151</v>
      </c>
      <c r="I3225" s="0" t="s">
        <v>38</v>
      </c>
      <c r="J3225" s="0" t="s">
        <v>39</v>
      </c>
      <c r="K3225" s="0" t="s">
        <v>30</v>
      </c>
      <c r="L3225" s="0" t="s">
        <v>31</v>
      </c>
      <c r="M3225" s="0" t="s">
        <v>140</v>
      </c>
      <c r="N3225" s="0" t="n">
        <v>1075</v>
      </c>
      <c r="O3225" s="10" t="n">
        <v>0.0927242878824472</v>
      </c>
      <c r="P3225" s="10" t="n">
        <v>0.289728706935421</v>
      </c>
      <c r="Q3225" s="0" t="str">
        <f aca="false">SUBSTITUTE(SUBSTITUTE($I3225,CHAR(61),""),CHAR(34),"")</f>
        <v>15-24</v>
      </c>
      <c r="R3225" s="0" t="str">
        <f aca="false">IF($D3225&lt;&gt;"","["&amp;$E3225&amp;"]"&amp;"|"&amp;$Q3225&amp;"|"&amp;$K3225&amp;"|"&amp;$G3225&amp;"|"&amp;IF($G3225="TX_CURR_SUBNAT.R","CY2022Q4",$M3225),"")</f>
        <v>[am530wpaGvr]|15-24|Female|Untreated_PLHIV_Attend.T_1|CY2023Q3</v>
      </c>
    </row>
    <row r="3226" customFormat="false" ht="15" hidden="false" customHeight="false" outlineLevel="0" collapsed="false">
      <c r="D3226" s="0" t="s">
        <v>72</v>
      </c>
      <c r="E3226" s="0" t="s">
        <v>73</v>
      </c>
      <c r="F3226" s="0" t="s">
        <v>74</v>
      </c>
      <c r="G3226" s="0" t="s">
        <v>151</v>
      </c>
      <c r="H3226" s="0" t="s">
        <v>151</v>
      </c>
      <c r="I3226" s="0" t="s">
        <v>41</v>
      </c>
      <c r="J3226" s="0" t="s">
        <v>42</v>
      </c>
      <c r="K3226" s="0" t="s">
        <v>30</v>
      </c>
      <c r="L3226" s="0" t="s">
        <v>31</v>
      </c>
      <c r="M3226" s="0" t="s">
        <v>140</v>
      </c>
      <c r="N3226" s="0" t="n">
        <v>620</v>
      </c>
      <c r="O3226" s="10" t="n">
        <v>0.831673039123416</v>
      </c>
      <c r="P3226" s="10" t="n">
        <v>0.289728706935421</v>
      </c>
      <c r="Q3226" s="0" t="str">
        <f aca="false">SUBSTITUTE(SUBSTITUTE($I3226,CHAR(61),""),CHAR(34),"")</f>
        <v>25-34</v>
      </c>
      <c r="R3226" s="0" t="str">
        <f aca="false">IF($D3226&lt;&gt;"","["&amp;$E3226&amp;"]"&amp;"|"&amp;$Q3226&amp;"|"&amp;$K3226&amp;"|"&amp;$G3226&amp;"|"&amp;IF($G3226="TX_CURR_SUBNAT.R","CY2022Q4",$M3226),"")</f>
        <v>[am530wpaGvr]|25-34|Female|Untreated_PLHIV_Attend.T_1|CY2023Q3</v>
      </c>
    </row>
    <row r="3227" customFormat="false" ht="15" hidden="false" customHeight="false" outlineLevel="0" collapsed="false">
      <c r="D3227" s="0" t="s">
        <v>72</v>
      </c>
      <c r="E3227" s="0" t="s">
        <v>73</v>
      </c>
      <c r="F3227" s="0" t="s">
        <v>74</v>
      </c>
      <c r="G3227" s="0" t="s">
        <v>151</v>
      </c>
      <c r="H3227" s="0" t="s">
        <v>151</v>
      </c>
      <c r="I3227" s="0" t="s">
        <v>43</v>
      </c>
      <c r="J3227" s="0" t="s">
        <v>44</v>
      </c>
      <c r="K3227" s="0" t="s">
        <v>30</v>
      </c>
      <c r="L3227" s="0" t="s">
        <v>31</v>
      </c>
      <c r="M3227" s="0" t="s">
        <v>140</v>
      </c>
      <c r="N3227" s="0" t="n">
        <v>1251</v>
      </c>
      <c r="O3227" s="10" t="n">
        <v>0.969511575764045</v>
      </c>
      <c r="P3227" s="10" t="n">
        <v>0.289728706935421</v>
      </c>
      <c r="Q3227" s="0" t="str">
        <f aca="false">SUBSTITUTE(SUBSTITUTE($I3227,CHAR(61),""),CHAR(34),"")</f>
        <v>35-49</v>
      </c>
      <c r="R3227" s="0" t="str">
        <f aca="false">IF($D3227&lt;&gt;"","["&amp;$E3227&amp;"]"&amp;"|"&amp;$Q3227&amp;"|"&amp;$K3227&amp;"|"&amp;$G3227&amp;"|"&amp;IF($G3227="TX_CURR_SUBNAT.R","CY2022Q4",$M3227),"")</f>
        <v>[am530wpaGvr]|35-49|Female|Untreated_PLHIV_Attend.T_1|CY2023Q3</v>
      </c>
    </row>
    <row r="3228" customFormat="false" ht="15" hidden="false" customHeight="false" outlineLevel="0" collapsed="false">
      <c r="D3228" s="0" t="s">
        <v>72</v>
      </c>
      <c r="E3228" s="0" t="s">
        <v>73</v>
      </c>
      <c r="F3228" s="0" t="s">
        <v>74</v>
      </c>
      <c r="G3228" s="0" t="s">
        <v>151</v>
      </c>
      <c r="H3228" s="0" t="s">
        <v>151</v>
      </c>
      <c r="I3228" s="0" t="s">
        <v>45</v>
      </c>
      <c r="J3228" s="0" t="s">
        <v>46</v>
      </c>
      <c r="K3228" s="0" t="s">
        <v>30</v>
      </c>
      <c r="L3228" s="0" t="s">
        <v>31</v>
      </c>
      <c r="M3228" s="0" t="s">
        <v>140</v>
      </c>
      <c r="N3228" s="0" t="n">
        <v>638</v>
      </c>
      <c r="O3228" s="10" t="n">
        <v>0.930193425156176</v>
      </c>
      <c r="P3228" s="10" t="n">
        <v>0.289728706935421</v>
      </c>
      <c r="Q3228" s="0" t="str">
        <f aca="false">SUBSTITUTE(SUBSTITUTE($I3228,CHAR(61),""),CHAR(34),"")</f>
        <v>50+</v>
      </c>
      <c r="R3228" s="0" t="str">
        <f aca="false">IF($D3228&lt;&gt;"","["&amp;$E3228&amp;"]"&amp;"|"&amp;$Q3228&amp;"|"&amp;$K3228&amp;"|"&amp;$G3228&amp;"|"&amp;IF($G3228="TX_CURR_SUBNAT.R","CY2022Q4",$M3228),"")</f>
        <v>[am530wpaGvr]|50+|Female|Untreated_PLHIV_Attend.T_1|CY2023Q3</v>
      </c>
    </row>
    <row r="3229" customFormat="false" ht="15" hidden="false" customHeight="false" outlineLevel="0" collapsed="false">
      <c r="D3229" s="0" t="s">
        <v>72</v>
      </c>
      <c r="E3229" s="0" t="s">
        <v>73</v>
      </c>
      <c r="F3229" s="0" t="s">
        <v>74</v>
      </c>
      <c r="G3229" s="0" t="s">
        <v>151</v>
      </c>
      <c r="H3229" s="0" t="s">
        <v>151</v>
      </c>
      <c r="I3229" s="0" t="s">
        <v>28</v>
      </c>
      <c r="J3229" s="0" t="s">
        <v>29</v>
      </c>
      <c r="K3229" s="0" t="s">
        <v>48</v>
      </c>
      <c r="L3229" s="0" t="s">
        <v>49</v>
      </c>
      <c r="M3229" s="0" t="s">
        <v>140</v>
      </c>
      <c r="N3229" s="0" t="n">
        <v>1164</v>
      </c>
      <c r="O3229" s="10" t="n">
        <v>0.131491169333458</v>
      </c>
      <c r="P3229" s="10" t="n">
        <v>0.289728706935421</v>
      </c>
      <c r="Q3229" s="0" t="str">
        <f aca="false">SUBSTITUTE(SUBSTITUTE($I3229,CHAR(61),""),CHAR(34),"")</f>
        <v>&lt;01</v>
      </c>
      <c r="R3229" s="0" t="str">
        <f aca="false">IF($D3229&lt;&gt;"","["&amp;$E3229&amp;"]"&amp;"|"&amp;$Q3229&amp;"|"&amp;$K3229&amp;"|"&amp;$G3229&amp;"|"&amp;IF($G3229="TX_CURR_SUBNAT.R","CY2022Q4",$M3229),"")</f>
        <v>[am530wpaGvr]|&lt;01|Male|Untreated_PLHIV_Attend.T_1|CY2023Q3</v>
      </c>
    </row>
    <row r="3230" customFormat="false" ht="15" hidden="false" customHeight="false" outlineLevel="0" collapsed="false">
      <c r="D3230" s="0" t="s">
        <v>72</v>
      </c>
      <c r="E3230" s="0" t="s">
        <v>73</v>
      </c>
      <c r="F3230" s="0" t="s">
        <v>74</v>
      </c>
      <c r="G3230" s="0" t="s">
        <v>151</v>
      </c>
      <c r="H3230" s="0" t="s">
        <v>151</v>
      </c>
      <c r="I3230" s="0" t="s">
        <v>33</v>
      </c>
      <c r="J3230" s="0" t="s">
        <v>34</v>
      </c>
      <c r="K3230" s="0" t="s">
        <v>48</v>
      </c>
      <c r="L3230" s="0" t="s">
        <v>49</v>
      </c>
      <c r="M3230" s="0" t="s">
        <v>140</v>
      </c>
      <c r="N3230" s="0" t="n">
        <v>815</v>
      </c>
      <c r="O3230" s="10" t="n">
        <v>0.164245060412213</v>
      </c>
      <c r="P3230" s="10" t="n">
        <v>0.289728706935421</v>
      </c>
      <c r="Q3230" s="0" t="str">
        <f aca="false">SUBSTITUTE(SUBSTITUTE($I3230,CHAR(61),""),CHAR(34),"")</f>
        <v>01-09</v>
      </c>
      <c r="R3230" s="0" t="str">
        <f aca="false">IF($D3230&lt;&gt;"","["&amp;$E3230&amp;"]"&amp;"|"&amp;$Q3230&amp;"|"&amp;$K3230&amp;"|"&amp;$G3230&amp;"|"&amp;IF($G3230="TX_CURR_SUBNAT.R","CY2022Q4",$M3230),"")</f>
        <v>[am530wpaGvr]|01-09|Male|Untreated_PLHIV_Attend.T_1|CY2023Q3</v>
      </c>
    </row>
    <row r="3231" customFormat="false" ht="15" hidden="false" customHeight="false" outlineLevel="0" collapsed="false">
      <c r="D3231" s="0" t="s">
        <v>72</v>
      </c>
      <c r="E3231" s="0" t="s">
        <v>73</v>
      </c>
      <c r="F3231" s="0" t="s">
        <v>74</v>
      </c>
      <c r="G3231" s="0" t="s">
        <v>151</v>
      </c>
      <c r="H3231" s="0" t="s">
        <v>151</v>
      </c>
      <c r="I3231" s="0" t="s">
        <v>36</v>
      </c>
      <c r="J3231" s="0" t="s">
        <v>37</v>
      </c>
      <c r="K3231" s="0" t="s">
        <v>48</v>
      </c>
      <c r="L3231" s="0" t="s">
        <v>49</v>
      </c>
      <c r="M3231" s="0" t="s">
        <v>140</v>
      </c>
      <c r="N3231" s="0" t="n">
        <v>1254</v>
      </c>
      <c r="O3231" s="10" t="n">
        <v>0.335989682702348</v>
      </c>
      <c r="P3231" s="10" t="n">
        <v>0.289728706935421</v>
      </c>
      <c r="Q3231" s="0" t="str">
        <f aca="false">SUBSTITUTE(SUBSTITUTE($I3231,CHAR(61),""),CHAR(34),"")</f>
        <v>10-14</v>
      </c>
      <c r="R3231" s="0" t="str">
        <f aca="false">IF($D3231&lt;&gt;"","["&amp;$E3231&amp;"]"&amp;"|"&amp;$Q3231&amp;"|"&amp;$K3231&amp;"|"&amp;$G3231&amp;"|"&amp;IF($G3231="TX_CURR_SUBNAT.R","CY2022Q4",$M3231),"")</f>
        <v>[am530wpaGvr]|10-14|Male|Untreated_PLHIV_Attend.T_1|CY2023Q3</v>
      </c>
    </row>
    <row r="3232" customFormat="false" ht="15" hidden="false" customHeight="false" outlineLevel="0" collapsed="false">
      <c r="D3232" s="0" t="s">
        <v>72</v>
      </c>
      <c r="E3232" s="0" t="s">
        <v>73</v>
      </c>
      <c r="F3232" s="0" t="s">
        <v>74</v>
      </c>
      <c r="G3232" s="0" t="s">
        <v>151</v>
      </c>
      <c r="H3232" s="0" t="s">
        <v>151</v>
      </c>
      <c r="I3232" s="0" t="s">
        <v>38</v>
      </c>
      <c r="J3232" s="0" t="s">
        <v>39</v>
      </c>
      <c r="K3232" s="0" t="s">
        <v>48</v>
      </c>
      <c r="L3232" s="0" t="s">
        <v>49</v>
      </c>
      <c r="M3232" s="0" t="s">
        <v>140</v>
      </c>
      <c r="N3232" s="0" t="n">
        <v>1967</v>
      </c>
      <c r="O3232" s="10" t="n">
        <v>0.445249523501843</v>
      </c>
      <c r="P3232" s="10" t="n">
        <v>0.289728706935421</v>
      </c>
      <c r="Q3232" s="0" t="str">
        <f aca="false">SUBSTITUTE(SUBSTITUTE($I3232,CHAR(61),""),CHAR(34),"")</f>
        <v>15-24</v>
      </c>
      <c r="R3232" s="0" t="str">
        <f aca="false">IF($D3232&lt;&gt;"","["&amp;$E3232&amp;"]"&amp;"|"&amp;$Q3232&amp;"|"&amp;$K3232&amp;"|"&amp;$G3232&amp;"|"&amp;IF($G3232="TX_CURR_SUBNAT.R","CY2022Q4",$M3232),"")</f>
        <v>[am530wpaGvr]|15-24|Male|Untreated_PLHIV_Attend.T_1|CY2023Q3</v>
      </c>
    </row>
    <row r="3233" customFormat="false" ht="15" hidden="false" customHeight="false" outlineLevel="0" collapsed="false">
      <c r="D3233" s="0" t="s">
        <v>72</v>
      </c>
      <c r="E3233" s="0" t="s">
        <v>73</v>
      </c>
      <c r="F3233" s="0" t="s">
        <v>74</v>
      </c>
      <c r="G3233" s="0" t="s">
        <v>151</v>
      </c>
      <c r="H3233" s="0" t="s">
        <v>151</v>
      </c>
      <c r="I3233" s="0" t="s">
        <v>41</v>
      </c>
      <c r="J3233" s="0" t="s">
        <v>42</v>
      </c>
      <c r="K3233" s="0" t="s">
        <v>48</v>
      </c>
      <c r="L3233" s="0" t="s">
        <v>49</v>
      </c>
      <c r="M3233" s="0" t="s">
        <v>140</v>
      </c>
      <c r="N3233" s="0" t="n">
        <v>1520</v>
      </c>
      <c r="O3233" s="10" t="n">
        <v>0.534852403448895</v>
      </c>
      <c r="P3233" s="10" t="n">
        <v>0.289728706935421</v>
      </c>
      <c r="Q3233" s="0" t="str">
        <f aca="false">SUBSTITUTE(SUBSTITUTE($I3233,CHAR(61),""),CHAR(34),"")</f>
        <v>25-34</v>
      </c>
      <c r="R3233" s="0" t="str">
        <f aca="false">IF($D3233&lt;&gt;"","["&amp;$E3233&amp;"]"&amp;"|"&amp;$Q3233&amp;"|"&amp;$K3233&amp;"|"&amp;$G3233&amp;"|"&amp;IF($G3233="TX_CURR_SUBNAT.R","CY2022Q4",$M3233),"")</f>
        <v>[am530wpaGvr]|25-34|Male|Untreated_PLHIV_Attend.T_1|CY2023Q3</v>
      </c>
    </row>
    <row r="3234" customFormat="false" ht="15" hidden="false" customHeight="false" outlineLevel="0" collapsed="false">
      <c r="D3234" s="0" t="s">
        <v>72</v>
      </c>
      <c r="E3234" s="0" t="s">
        <v>73</v>
      </c>
      <c r="F3234" s="0" t="s">
        <v>74</v>
      </c>
      <c r="G3234" s="0" t="s">
        <v>151</v>
      </c>
      <c r="H3234" s="0" t="s">
        <v>151</v>
      </c>
      <c r="I3234" s="0" t="s">
        <v>43</v>
      </c>
      <c r="J3234" s="0" t="s">
        <v>44</v>
      </c>
      <c r="K3234" s="0" t="s">
        <v>48</v>
      </c>
      <c r="L3234" s="0" t="s">
        <v>49</v>
      </c>
      <c r="M3234" s="0" t="s">
        <v>140</v>
      </c>
      <c r="N3234" s="0" t="n">
        <v>1389</v>
      </c>
      <c r="O3234" s="10" t="n">
        <v>0.413471621228382</v>
      </c>
      <c r="P3234" s="10" t="n">
        <v>0.289728706935421</v>
      </c>
      <c r="Q3234" s="0" t="str">
        <f aca="false">SUBSTITUTE(SUBSTITUTE($I3234,CHAR(61),""),CHAR(34),"")</f>
        <v>35-49</v>
      </c>
      <c r="R3234" s="0" t="str">
        <f aca="false">IF($D3234&lt;&gt;"","["&amp;$E3234&amp;"]"&amp;"|"&amp;$Q3234&amp;"|"&amp;$K3234&amp;"|"&amp;$G3234&amp;"|"&amp;IF($G3234="TX_CURR_SUBNAT.R","CY2022Q4",$M3234),"")</f>
        <v>[am530wpaGvr]|35-49|Male|Untreated_PLHIV_Attend.T_1|CY2023Q3</v>
      </c>
    </row>
    <row r="3235" customFormat="false" ht="15" hidden="false" customHeight="false" outlineLevel="0" collapsed="false">
      <c r="D3235" s="0" t="s">
        <v>72</v>
      </c>
      <c r="E3235" s="0" t="s">
        <v>73</v>
      </c>
      <c r="F3235" s="0" t="s">
        <v>74</v>
      </c>
      <c r="G3235" s="0" t="s">
        <v>151</v>
      </c>
      <c r="H3235" s="0" t="s">
        <v>151</v>
      </c>
      <c r="I3235" s="0" t="s">
        <v>45</v>
      </c>
      <c r="J3235" s="0" t="s">
        <v>46</v>
      </c>
      <c r="K3235" s="0" t="s">
        <v>48</v>
      </c>
      <c r="L3235" s="0" t="s">
        <v>49</v>
      </c>
      <c r="M3235" s="0" t="s">
        <v>140</v>
      </c>
      <c r="N3235" s="0" t="n">
        <v>607</v>
      </c>
      <c r="O3235" s="10" t="n">
        <v>0.142044553998858</v>
      </c>
      <c r="P3235" s="10" t="n">
        <v>0.289728706935421</v>
      </c>
      <c r="Q3235" s="0" t="str">
        <f aca="false">SUBSTITUTE(SUBSTITUTE($I3235,CHAR(61),""),CHAR(34),"")</f>
        <v>50+</v>
      </c>
      <c r="R3235" s="0" t="str">
        <f aca="false">IF($D3235&lt;&gt;"","["&amp;$E3235&amp;"]"&amp;"|"&amp;$Q3235&amp;"|"&amp;$K3235&amp;"|"&amp;$G3235&amp;"|"&amp;IF($G3235="TX_CURR_SUBNAT.R","CY2022Q4",$M3235),"")</f>
        <v>[am530wpaGvr]|50+|Male|Untreated_PLHIV_Attend.T_1|CY2023Q3</v>
      </c>
    </row>
    <row r="3236" customFormat="false" ht="15" hidden="false" customHeight="false" outlineLevel="0" collapsed="false">
      <c r="D3236" s="0" t="s">
        <v>75</v>
      </c>
      <c r="E3236" s="0" t="s">
        <v>76</v>
      </c>
      <c r="F3236" s="0" t="s">
        <v>77</v>
      </c>
      <c r="G3236" s="0" t="s">
        <v>151</v>
      </c>
      <c r="H3236" s="0" t="s">
        <v>151</v>
      </c>
      <c r="I3236" s="0" t="s">
        <v>28</v>
      </c>
      <c r="J3236" s="0" t="s">
        <v>29</v>
      </c>
      <c r="K3236" s="0" t="s">
        <v>30</v>
      </c>
      <c r="L3236" s="0" t="s">
        <v>31</v>
      </c>
      <c r="M3236" s="0" t="s">
        <v>140</v>
      </c>
      <c r="N3236" s="0" t="n">
        <v>1237</v>
      </c>
      <c r="O3236" s="10" t="n">
        <v>0.717249667271972</v>
      </c>
      <c r="P3236" s="10" t="n">
        <v>0.303055507596582</v>
      </c>
      <c r="Q3236" s="0" t="str">
        <f aca="false">SUBSTITUTE(SUBSTITUTE($I3236,CHAR(61),""),CHAR(34),"")</f>
        <v>&lt;01</v>
      </c>
      <c r="R3236" s="0" t="str">
        <f aca="false">IF($D3236&lt;&gt;"","["&amp;$E3236&amp;"]"&amp;"|"&amp;$Q3236&amp;"|"&amp;$K3236&amp;"|"&amp;$G3236&amp;"|"&amp;IF($G3236="TX_CURR_SUBNAT.R","CY2022Q4",$M3236),"")</f>
        <v>[lLDyBx5XyUi]|&lt;01|Female|Untreated_PLHIV_Attend.T_1|CY2023Q3</v>
      </c>
    </row>
    <row r="3237" customFormat="false" ht="15" hidden="false" customHeight="false" outlineLevel="0" collapsed="false">
      <c r="D3237" s="0" t="s">
        <v>75</v>
      </c>
      <c r="E3237" s="0" t="s">
        <v>76</v>
      </c>
      <c r="F3237" s="0" t="s">
        <v>77</v>
      </c>
      <c r="G3237" s="0" t="s">
        <v>151</v>
      </c>
      <c r="H3237" s="0" t="s">
        <v>151</v>
      </c>
      <c r="I3237" s="0" t="s">
        <v>33</v>
      </c>
      <c r="J3237" s="0" t="s">
        <v>34</v>
      </c>
      <c r="K3237" s="0" t="s">
        <v>30</v>
      </c>
      <c r="L3237" s="0" t="s">
        <v>31</v>
      </c>
      <c r="M3237" s="0" t="s">
        <v>140</v>
      </c>
      <c r="N3237" s="0" t="n">
        <v>653</v>
      </c>
      <c r="O3237" s="10" t="n">
        <v>0.923566593555734</v>
      </c>
      <c r="P3237" s="10" t="n">
        <v>0.303055507596582</v>
      </c>
      <c r="Q3237" s="0" t="str">
        <f aca="false">SUBSTITUTE(SUBSTITUTE($I3237,CHAR(61),""),CHAR(34),"")</f>
        <v>01-09</v>
      </c>
      <c r="R3237" s="0" t="str">
        <f aca="false">IF($D3237&lt;&gt;"","["&amp;$E3237&amp;"]"&amp;"|"&amp;$Q3237&amp;"|"&amp;$K3237&amp;"|"&amp;$G3237&amp;"|"&amp;IF($G3237="TX_CURR_SUBNAT.R","CY2022Q4",$M3237),"")</f>
        <v>[lLDyBx5XyUi]|01-09|Female|Untreated_PLHIV_Attend.T_1|CY2023Q3</v>
      </c>
    </row>
    <row r="3238" customFormat="false" ht="15" hidden="false" customHeight="false" outlineLevel="0" collapsed="false">
      <c r="D3238" s="0" t="s">
        <v>75</v>
      </c>
      <c r="E3238" s="0" t="s">
        <v>76</v>
      </c>
      <c r="F3238" s="0" t="s">
        <v>77</v>
      </c>
      <c r="G3238" s="0" t="s">
        <v>151</v>
      </c>
      <c r="H3238" s="0" t="s">
        <v>151</v>
      </c>
      <c r="I3238" s="0" t="s">
        <v>36</v>
      </c>
      <c r="J3238" s="0" t="s">
        <v>37</v>
      </c>
      <c r="K3238" s="0" t="s">
        <v>30</v>
      </c>
      <c r="L3238" s="0" t="s">
        <v>31</v>
      </c>
      <c r="M3238" s="0" t="s">
        <v>140</v>
      </c>
      <c r="N3238" s="0" t="n">
        <v>1329</v>
      </c>
      <c r="O3238" s="10" t="n">
        <v>0.737161328550428</v>
      </c>
      <c r="P3238" s="10" t="n">
        <v>0.303055507596582</v>
      </c>
      <c r="Q3238" s="0" t="str">
        <f aca="false">SUBSTITUTE(SUBSTITUTE($I3238,CHAR(61),""),CHAR(34),"")</f>
        <v>10-14</v>
      </c>
      <c r="R3238" s="0" t="str">
        <f aca="false">IF($D3238&lt;&gt;"","["&amp;$E3238&amp;"]"&amp;"|"&amp;$Q3238&amp;"|"&amp;$K3238&amp;"|"&amp;$G3238&amp;"|"&amp;IF($G3238="TX_CURR_SUBNAT.R","CY2022Q4",$M3238),"")</f>
        <v>[lLDyBx5XyUi]|10-14|Female|Untreated_PLHIV_Attend.T_1|CY2023Q3</v>
      </c>
    </row>
    <row r="3239" customFormat="false" ht="15" hidden="false" customHeight="false" outlineLevel="0" collapsed="false">
      <c r="D3239" s="0" t="s">
        <v>75</v>
      </c>
      <c r="E3239" s="0" t="s">
        <v>76</v>
      </c>
      <c r="F3239" s="0" t="s">
        <v>77</v>
      </c>
      <c r="G3239" s="0" t="s">
        <v>151</v>
      </c>
      <c r="H3239" s="0" t="s">
        <v>151</v>
      </c>
      <c r="I3239" s="0" t="s">
        <v>38</v>
      </c>
      <c r="J3239" s="0" t="s">
        <v>39</v>
      </c>
      <c r="K3239" s="0" t="s">
        <v>30</v>
      </c>
      <c r="L3239" s="0" t="s">
        <v>31</v>
      </c>
      <c r="M3239" s="0" t="s">
        <v>140</v>
      </c>
      <c r="N3239" s="0" t="n">
        <v>1680</v>
      </c>
      <c r="O3239" s="10" t="n">
        <v>0.848862053826451</v>
      </c>
      <c r="P3239" s="10" t="n">
        <v>0.303055507596582</v>
      </c>
      <c r="Q3239" s="0" t="str">
        <f aca="false">SUBSTITUTE(SUBSTITUTE($I3239,CHAR(61),""),CHAR(34),"")</f>
        <v>15-24</v>
      </c>
      <c r="R3239" s="0" t="str">
        <f aca="false">IF($D3239&lt;&gt;"","["&amp;$E3239&amp;"]"&amp;"|"&amp;$Q3239&amp;"|"&amp;$K3239&amp;"|"&amp;$G3239&amp;"|"&amp;IF($G3239="TX_CURR_SUBNAT.R","CY2022Q4",$M3239),"")</f>
        <v>[lLDyBx5XyUi]|15-24|Female|Untreated_PLHIV_Attend.T_1|CY2023Q3</v>
      </c>
    </row>
    <row r="3240" customFormat="false" ht="15" hidden="false" customHeight="false" outlineLevel="0" collapsed="false">
      <c r="D3240" s="0" t="s">
        <v>75</v>
      </c>
      <c r="E3240" s="0" t="s">
        <v>76</v>
      </c>
      <c r="F3240" s="0" t="s">
        <v>77</v>
      </c>
      <c r="G3240" s="0" t="s">
        <v>151</v>
      </c>
      <c r="H3240" s="0" t="s">
        <v>151</v>
      </c>
      <c r="I3240" s="0" t="s">
        <v>41</v>
      </c>
      <c r="J3240" s="0" t="s">
        <v>42</v>
      </c>
      <c r="K3240" s="0" t="s">
        <v>30</v>
      </c>
      <c r="L3240" s="0" t="s">
        <v>31</v>
      </c>
      <c r="M3240" s="0" t="s">
        <v>140</v>
      </c>
      <c r="N3240" s="0" t="n">
        <v>963</v>
      </c>
      <c r="O3240" s="10" t="n">
        <v>0.599643259774894</v>
      </c>
      <c r="P3240" s="10" t="n">
        <v>0.303055507596582</v>
      </c>
      <c r="Q3240" s="0" t="str">
        <f aca="false">SUBSTITUTE(SUBSTITUTE($I3240,CHAR(61),""),CHAR(34),"")</f>
        <v>25-34</v>
      </c>
      <c r="R3240" s="0" t="str">
        <f aca="false">IF($D3240&lt;&gt;"","["&amp;$E3240&amp;"]"&amp;"|"&amp;$Q3240&amp;"|"&amp;$K3240&amp;"|"&amp;$G3240&amp;"|"&amp;IF($G3240="TX_CURR_SUBNAT.R","CY2022Q4",$M3240),"")</f>
        <v>[lLDyBx5XyUi]|25-34|Female|Untreated_PLHIV_Attend.T_1|CY2023Q3</v>
      </c>
    </row>
    <row r="3241" customFormat="false" ht="15" hidden="false" customHeight="false" outlineLevel="0" collapsed="false">
      <c r="D3241" s="0" t="s">
        <v>75</v>
      </c>
      <c r="E3241" s="0" t="s">
        <v>76</v>
      </c>
      <c r="F3241" s="0" t="s">
        <v>77</v>
      </c>
      <c r="G3241" s="0" t="s">
        <v>151</v>
      </c>
      <c r="H3241" s="0" t="s">
        <v>151</v>
      </c>
      <c r="I3241" s="0" t="s">
        <v>43</v>
      </c>
      <c r="J3241" s="0" t="s">
        <v>44</v>
      </c>
      <c r="K3241" s="0" t="s">
        <v>30</v>
      </c>
      <c r="L3241" s="0" t="s">
        <v>31</v>
      </c>
      <c r="M3241" s="0" t="s">
        <v>140</v>
      </c>
      <c r="N3241" s="0" t="n">
        <v>1890</v>
      </c>
      <c r="O3241" s="10" t="n">
        <v>0.549953424138948</v>
      </c>
      <c r="P3241" s="10" t="n">
        <v>0.303055507596582</v>
      </c>
      <c r="Q3241" s="0" t="str">
        <f aca="false">SUBSTITUTE(SUBSTITUTE($I3241,CHAR(61),""),CHAR(34),"")</f>
        <v>35-49</v>
      </c>
      <c r="R3241" s="0" t="str">
        <f aca="false">IF($D3241&lt;&gt;"","["&amp;$E3241&amp;"]"&amp;"|"&amp;$Q3241&amp;"|"&amp;$K3241&amp;"|"&amp;$G3241&amp;"|"&amp;IF($G3241="TX_CURR_SUBNAT.R","CY2022Q4",$M3241),"")</f>
        <v>[lLDyBx5XyUi]|35-49|Female|Untreated_PLHIV_Attend.T_1|CY2023Q3</v>
      </c>
    </row>
    <row r="3242" customFormat="false" ht="15" hidden="false" customHeight="false" outlineLevel="0" collapsed="false">
      <c r="D3242" s="0" t="s">
        <v>75</v>
      </c>
      <c r="E3242" s="0" t="s">
        <v>76</v>
      </c>
      <c r="F3242" s="0" t="s">
        <v>77</v>
      </c>
      <c r="G3242" s="0" t="s">
        <v>151</v>
      </c>
      <c r="H3242" s="0" t="s">
        <v>151</v>
      </c>
      <c r="I3242" s="0" t="s">
        <v>45</v>
      </c>
      <c r="J3242" s="0" t="s">
        <v>46</v>
      </c>
      <c r="K3242" s="0" t="s">
        <v>30</v>
      </c>
      <c r="L3242" s="0" t="s">
        <v>31</v>
      </c>
      <c r="M3242" s="0" t="s">
        <v>140</v>
      </c>
      <c r="N3242" s="0" t="n">
        <v>1463</v>
      </c>
      <c r="O3242" s="10" t="n">
        <v>0.478492758236825</v>
      </c>
      <c r="P3242" s="10" t="n">
        <v>0.303055507596582</v>
      </c>
      <c r="Q3242" s="0" t="str">
        <f aca="false">SUBSTITUTE(SUBSTITUTE($I3242,CHAR(61),""),CHAR(34),"")</f>
        <v>50+</v>
      </c>
      <c r="R3242" s="0" t="str">
        <f aca="false">IF($D3242&lt;&gt;"","["&amp;$E3242&amp;"]"&amp;"|"&amp;$Q3242&amp;"|"&amp;$K3242&amp;"|"&amp;$G3242&amp;"|"&amp;IF($G3242="TX_CURR_SUBNAT.R","CY2022Q4",$M3242),"")</f>
        <v>[lLDyBx5XyUi]|50+|Female|Untreated_PLHIV_Attend.T_1|CY2023Q3</v>
      </c>
    </row>
    <row r="3243" customFormat="false" ht="15" hidden="false" customHeight="false" outlineLevel="0" collapsed="false">
      <c r="D3243" s="0" t="s">
        <v>75</v>
      </c>
      <c r="E3243" s="0" t="s">
        <v>76</v>
      </c>
      <c r="F3243" s="0" t="s">
        <v>77</v>
      </c>
      <c r="G3243" s="0" t="s">
        <v>151</v>
      </c>
      <c r="H3243" s="0" t="s">
        <v>151</v>
      </c>
      <c r="I3243" s="0" t="s">
        <v>28</v>
      </c>
      <c r="J3243" s="0" t="s">
        <v>29</v>
      </c>
      <c r="K3243" s="0" t="s">
        <v>48</v>
      </c>
      <c r="L3243" s="0" t="s">
        <v>49</v>
      </c>
      <c r="M3243" s="0" t="s">
        <v>140</v>
      </c>
      <c r="N3243" s="0" t="n">
        <v>1596</v>
      </c>
      <c r="O3243" s="10" t="n">
        <v>0.79764877515845</v>
      </c>
      <c r="P3243" s="10" t="n">
        <v>0.303055507596582</v>
      </c>
      <c r="Q3243" s="0" t="str">
        <f aca="false">SUBSTITUTE(SUBSTITUTE($I3243,CHAR(61),""),CHAR(34),"")</f>
        <v>&lt;01</v>
      </c>
      <c r="R3243" s="0" t="str">
        <f aca="false">IF($D3243&lt;&gt;"","["&amp;$E3243&amp;"]"&amp;"|"&amp;$Q3243&amp;"|"&amp;$K3243&amp;"|"&amp;$G3243&amp;"|"&amp;IF($G3243="TX_CURR_SUBNAT.R","CY2022Q4",$M3243),"")</f>
        <v>[lLDyBx5XyUi]|&lt;01|Male|Untreated_PLHIV_Attend.T_1|CY2023Q3</v>
      </c>
    </row>
    <row r="3244" customFormat="false" ht="15" hidden="false" customHeight="false" outlineLevel="0" collapsed="false">
      <c r="D3244" s="0" t="s">
        <v>75</v>
      </c>
      <c r="E3244" s="0" t="s">
        <v>76</v>
      </c>
      <c r="F3244" s="0" t="s">
        <v>77</v>
      </c>
      <c r="G3244" s="0" t="s">
        <v>151</v>
      </c>
      <c r="H3244" s="0" t="s">
        <v>151</v>
      </c>
      <c r="I3244" s="0" t="s">
        <v>33</v>
      </c>
      <c r="J3244" s="0" t="s">
        <v>34</v>
      </c>
      <c r="K3244" s="0" t="s">
        <v>48</v>
      </c>
      <c r="L3244" s="0" t="s">
        <v>49</v>
      </c>
      <c r="M3244" s="0" t="s">
        <v>140</v>
      </c>
      <c r="N3244" s="0" t="n">
        <v>1996</v>
      </c>
      <c r="O3244" s="10" t="n">
        <v>0.742142976261675</v>
      </c>
      <c r="P3244" s="10" t="n">
        <v>0.303055507596582</v>
      </c>
      <c r="Q3244" s="0" t="str">
        <f aca="false">SUBSTITUTE(SUBSTITUTE($I3244,CHAR(61),""),CHAR(34),"")</f>
        <v>01-09</v>
      </c>
      <c r="R3244" s="0" t="str">
        <f aca="false">IF($D3244&lt;&gt;"","["&amp;$E3244&amp;"]"&amp;"|"&amp;$Q3244&amp;"|"&amp;$K3244&amp;"|"&amp;$G3244&amp;"|"&amp;IF($G3244="TX_CURR_SUBNAT.R","CY2022Q4",$M3244),"")</f>
        <v>[lLDyBx5XyUi]|01-09|Male|Untreated_PLHIV_Attend.T_1|CY2023Q3</v>
      </c>
    </row>
    <row r="3245" customFormat="false" ht="15" hidden="false" customHeight="false" outlineLevel="0" collapsed="false">
      <c r="D3245" s="0" t="s">
        <v>75</v>
      </c>
      <c r="E3245" s="0" t="s">
        <v>76</v>
      </c>
      <c r="F3245" s="0" t="s">
        <v>77</v>
      </c>
      <c r="G3245" s="0" t="s">
        <v>151</v>
      </c>
      <c r="H3245" s="0" t="s">
        <v>151</v>
      </c>
      <c r="I3245" s="0" t="s">
        <v>36</v>
      </c>
      <c r="J3245" s="0" t="s">
        <v>37</v>
      </c>
      <c r="K3245" s="0" t="s">
        <v>48</v>
      </c>
      <c r="L3245" s="0" t="s">
        <v>49</v>
      </c>
      <c r="M3245" s="0" t="s">
        <v>140</v>
      </c>
      <c r="N3245" s="0" t="n">
        <v>1233</v>
      </c>
      <c r="O3245" s="10" t="n">
        <v>0.992668560473248</v>
      </c>
      <c r="P3245" s="10" t="n">
        <v>0.303055507596582</v>
      </c>
      <c r="Q3245" s="0" t="str">
        <f aca="false">SUBSTITUTE(SUBSTITUTE($I3245,CHAR(61),""),CHAR(34),"")</f>
        <v>10-14</v>
      </c>
      <c r="R3245" s="0" t="str">
        <f aca="false">IF($D3245&lt;&gt;"","["&amp;$E3245&amp;"]"&amp;"|"&amp;$Q3245&amp;"|"&amp;$K3245&amp;"|"&amp;$G3245&amp;"|"&amp;IF($G3245="TX_CURR_SUBNAT.R","CY2022Q4",$M3245),"")</f>
        <v>[lLDyBx5XyUi]|10-14|Male|Untreated_PLHIV_Attend.T_1|CY2023Q3</v>
      </c>
    </row>
    <row r="3246" customFormat="false" ht="15" hidden="false" customHeight="false" outlineLevel="0" collapsed="false">
      <c r="D3246" s="0" t="s">
        <v>75</v>
      </c>
      <c r="E3246" s="0" t="s">
        <v>76</v>
      </c>
      <c r="F3246" s="0" t="s">
        <v>77</v>
      </c>
      <c r="G3246" s="0" t="s">
        <v>151</v>
      </c>
      <c r="H3246" s="0" t="s">
        <v>151</v>
      </c>
      <c r="I3246" s="0" t="s">
        <v>38</v>
      </c>
      <c r="J3246" s="0" t="s">
        <v>39</v>
      </c>
      <c r="K3246" s="0" t="s">
        <v>48</v>
      </c>
      <c r="L3246" s="0" t="s">
        <v>49</v>
      </c>
      <c r="M3246" s="0" t="s">
        <v>140</v>
      </c>
      <c r="N3246" s="0" t="n">
        <v>1748</v>
      </c>
      <c r="O3246" s="10" t="n">
        <v>0.324644448701292</v>
      </c>
      <c r="P3246" s="10" t="n">
        <v>0.303055507596582</v>
      </c>
      <c r="Q3246" s="0" t="str">
        <f aca="false">SUBSTITUTE(SUBSTITUTE($I3246,CHAR(61),""),CHAR(34),"")</f>
        <v>15-24</v>
      </c>
      <c r="R3246" s="0" t="str">
        <f aca="false">IF($D3246&lt;&gt;"","["&amp;$E3246&amp;"]"&amp;"|"&amp;$Q3246&amp;"|"&amp;$K3246&amp;"|"&amp;$G3246&amp;"|"&amp;IF($G3246="TX_CURR_SUBNAT.R","CY2022Q4",$M3246),"")</f>
        <v>[lLDyBx5XyUi]|15-24|Male|Untreated_PLHIV_Attend.T_1|CY2023Q3</v>
      </c>
    </row>
    <row r="3247" customFormat="false" ht="15" hidden="false" customHeight="false" outlineLevel="0" collapsed="false">
      <c r="D3247" s="0" t="s">
        <v>75</v>
      </c>
      <c r="E3247" s="0" t="s">
        <v>76</v>
      </c>
      <c r="F3247" s="0" t="s">
        <v>77</v>
      </c>
      <c r="G3247" s="0" t="s">
        <v>151</v>
      </c>
      <c r="H3247" s="0" t="s">
        <v>151</v>
      </c>
      <c r="I3247" s="0" t="s">
        <v>41</v>
      </c>
      <c r="J3247" s="0" t="s">
        <v>42</v>
      </c>
      <c r="K3247" s="0" t="s">
        <v>48</v>
      </c>
      <c r="L3247" s="0" t="s">
        <v>49</v>
      </c>
      <c r="M3247" s="0" t="s">
        <v>140</v>
      </c>
      <c r="N3247" s="0" t="n">
        <v>1980</v>
      </c>
      <c r="O3247" s="10" t="n">
        <v>0.103089638520032</v>
      </c>
      <c r="P3247" s="10" t="n">
        <v>0.303055507596582</v>
      </c>
      <c r="Q3247" s="0" t="str">
        <f aca="false">SUBSTITUTE(SUBSTITUTE($I3247,CHAR(61),""),CHAR(34),"")</f>
        <v>25-34</v>
      </c>
      <c r="R3247" s="0" t="str">
        <f aca="false">IF($D3247&lt;&gt;"","["&amp;$E3247&amp;"]"&amp;"|"&amp;$Q3247&amp;"|"&amp;$K3247&amp;"|"&amp;$G3247&amp;"|"&amp;IF($G3247="TX_CURR_SUBNAT.R","CY2022Q4",$M3247),"")</f>
        <v>[lLDyBx5XyUi]|25-34|Male|Untreated_PLHIV_Attend.T_1|CY2023Q3</v>
      </c>
    </row>
    <row r="3248" customFormat="false" ht="15" hidden="false" customHeight="false" outlineLevel="0" collapsed="false">
      <c r="D3248" s="0" t="s">
        <v>75</v>
      </c>
      <c r="E3248" s="0" t="s">
        <v>76</v>
      </c>
      <c r="F3248" s="0" t="s">
        <v>77</v>
      </c>
      <c r="G3248" s="0" t="s">
        <v>151</v>
      </c>
      <c r="H3248" s="0" t="s">
        <v>151</v>
      </c>
      <c r="I3248" s="0" t="s">
        <v>43</v>
      </c>
      <c r="J3248" s="0" t="s">
        <v>44</v>
      </c>
      <c r="K3248" s="0" t="s">
        <v>48</v>
      </c>
      <c r="L3248" s="0" t="s">
        <v>49</v>
      </c>
      <c r="M3248" s="0" t="s">
        <v>140</v>
      </c>
      <c r="N3248" s="0" t="n">
        <v>805</v>
      </c>
      <c r="O3248" s="10" t="n">
        <v>0.208798710256815</v>
      </c>
      <c r="P3248" s="10" t="n">
        <v>0.303055507596582</v>
      </c>
      <c r="Q3248" s="0" t="str">
        <f aca="false">SUBSTITUTE(SUBSTITUTE($I3248,CHAR(61),""),CHAR(34),"")</f>
        <v>35-49</v>
      </c>
      <c r="R3248" s="0" t="str">
        <f aca="false">IF($D3248&lt;&gt;"","["&amp;$E3248&amp;"]"&amp;"|"&amp;$Q3248&amp;"|"&amp;$K3248&amp;"|"&amp;$G3248&amp;"|"&amp;IF($G3248="TX_CURR_SUBNAT.R","CY2022Q4",$M3248),"")</f>
        <v>[lLDyBx5XyUi]|35-49|Male|Untreated_PLHIV_Attend.T_1|CY2023Q3</v>
      </c>
    </row>
    <row r="3249" customFormat="false" ht="15" hidden="false" customHeight="false" outlineLevel="0" collapsed="false">
      <c r="D3249" s="0" t="s">
        <v>75</v>
      </c>
      <c r="E3249" s="0" t="s">
        <v>76</v>
      </c>
      <c r="F3249" s="0" t="s">
        <v>77</v>
      </c>
      <c r="G3249" s="0" t="s">
        <v>151</v>
      </c>
      <c r="H3249" s="0" t="s">
        <v>151</v>
      </c>
      <c r="I3249" s="0" t="s">
        <v>45</v>
      </c>
      <c r="J3249" s="0" t="s">
        <v>46</v>
      </c>
      <c r="K3249" s="0" t="s">
        <v>48</v>
      </c>
      <c r="L3249" s="0" t="s">
        <v>49</v>
      </c>
      <c r="M3249" s="0" t="s">
        <v>140</v>
      </c>
      <c r="N3249" s="0" t="n">
        <v>939</v>
      </c>
      <c r="O3249" s="10" t="n">
        <v>0.98870631470345</v>
      </c>
      <c r="P3249" s="10" t="n">
        <v>0.303055507596582</v>
      </c>
      <c r="Q3249" s="0" t="str">
        <f aca="false">SUBSTITUTE(SUBSTITUTE($I3249,CHAR(61),""),CHAR(34),"")</f>
        <v>50+</v>
      </c>
      <c r="R3249" s="0" t="str">
        <f aca="false">IF($D3249&lt;&gt;"","["&amp;$E3249&amp;"]"&amp;"|"&amp;$Q3249&amp;"|"&amp;$K3249&amp;"|"&amp;$G3249&amp;"|"&amp;IF($G3249="TX_CURR_SUBNAT.R","CY2022Q4",$M3249),"")</f>
        <v>[lLDyBx5XyUi]|50+|Male|Untreated_PLHIV_Attend.T_1|CY2023Q3</v>
      </c>
    </row>
    <row r="3250" customFormat="false" ht="15" hidden="false" customHeight="false" outlineLevel="0" collapsed="false">
      <c r="D3250" s="0" t="s">
        <v>78</v>
      </c>
      <c r="E3250" s="0" t="s">
        <v>79</v>
      </c>
      <c r="F3250" s="0" t="s">
        <v>80</v>
      </c>
      <c r="G3250" s="0" t="s">
        <v>151</v>
      </c>
      <c r="H3250" s="0" t="s">
        <v>151</v>
      </c>
      <c r="I3250" s="0" t="s">
        <v>28</v>
      </c>
      <c r="J3250" s="0" t="s">
        <v>29</v>
      </c>
      <c r="K3250" s="0" t="s">
        <v>30</v>
      </c>
      <c r="L3250" s="0" t="s">
        <v>31</v>
      </c>
      <c r="M3250" s="0" t="s">
        <v>140</v>
      </c>
      <c r="N3250" s="0" t="n">
        <v>1238</v>
      </c>
      <c r="O3250" s="10" t="n">
        <v>0.239479841897264</v>
      </c>
      <c r="P3250" s="10" t="n">
        <v>0.831597982207313</v>
      </c>
      <c r="Q3250" s="0" t="str">
        <f aca="false">SUBSTITUTE(SUBSTITUTE($I3250,CHAR(61),""),CHAR(34),"")</f>
        <v>&lt;01</v>
      </c>
      <c r="R3250" s="0" t="str">
        <f aca="false">IF($D3250&lt;&gt;"","["&amp;$E3250&amp;"]"&amp;"|"&amp;$Q3250&amp;"|"&amp;$K3250&amp;"|"&amp;$G3250&amp;"|"&amp;IF($G3250="TX_CURR_SUBNAT.R","CY2022Q4",$M3250),"")</f>
        <v>[TYnMSwzko3z]|&lt;01|Female|Untreated_PLHIV_Attend.T_1|CY2023Q3</v>
      </c>
    </row>
    <row r="3251" customFormat="false" ht="15" hidden="false" customHeight="false" outlineLevel="0" collapsed="false">
      <c r="D3251" s="0" t="s">
        <v>78</v>
      </c>
      <c r="E3251" s="0" t="s">
        <v>79</v>
      </c>
      <c r="F3251" s="0" t="s">
        <v>80</v>
      </c>
      <c r="G3251" s="0" t="s">
        <v>151</v>
      </c>
      <c r="H3251" s="0" t="s">
        <v>151</v>
      </c>
      <c r="I3251" s="0" t="s">
        <v>33</v>
      </c>
      <c r="J3251" s="0" t="s">
        <v>34</v>
      </c>
      <c r="K3251" s="0" t="s">
        <v>30</v>
      </c>
      <c r="L3251" s="0" t="s">
        <v>31</v>
      </c>
      <c r="M3251" s="0" t="s">
        <v>140</v>
      </c>
      <c r="N3251" s="0" t="n">
        <v>1328</v>
      </c>
      <c r="O3251" s="10" t="n">
        <v>0.343699785880744</v>
      </c>
      <c r="P3251" s="10" t="n">
        <v>0.831597982207313</v>
      </c>
      <c r="Q3251" s="0" t="str">
        <f aca="false">SUBSTITUTE(SUBSTITUTE($I3251,CHAR(61),""),CHAR(34),"")</f>
        <v>01-09</v>
      </c>
      <c r="R3251" s="0" t="str">
        <f aca="false">IF($D3251&lt;&gt;"","["&amp;$E3251&amp;"]"&amp;"|"&amp;$Q3251&amp;"|"&amp;$K3251&amp;"|"&amp;$G3251&amp;"|"&amp;IF($G3251="TX_CURR_SUBNAT.R","CY2022Q4",$M3251),"")</f>
        <v>[TYnMSwzko3z]|01-09|Female|Untreated_PLHIV_Attend.T_1|CY2023Q3</v>
      </c>
    </row>
    <row r="3252" customFormat="false" ht="15" hidden="false" customHeight="false" outlineLevel="0" collapsed="false">
      <c r="D3252" s="0" t="s">
        <v>78</v>
      </c>
      <c r="E3252" s="0" t="s">
        <v>79</v>
      </c>
      <c r="F3252" s="0" t="s">
        <v>80</v>
      </c>
      <c r="G3252" s="0" t="s">
        <v>151</v>
      </c>
      <c r="H3252" s="0" t="s">
        <v>151</v>
      </c>
      <c r="I3252" s="0" t="s">
        <v>36</v>
      </c>
      <c r="J3252" s="0" t="s">
        <v>37</v>
      </c>
      <c r="K3252" s="0" t="s">
        <v>30</v>
      </c>
      <c r="L3252" s="0" t="s">
        <v>31</v>
      </c>
      <c r="M3252" s="0" t="s">
        <v>140</v>
      </c>
      <c r="N3252" s="0" t="n">
        <v>1948</v>
      </c>
      <c r="O3252" s="10" t="n">
        <v>0.0176035580225289</v>
      </c>
      <c r="P3252" s="10" t="n">
        <v>0.831597982207313</v>
      </c>
      <c r="Q3252" s="0" t="str">
        <f aca="false">SUBSTITUTE(SUBSTITUTE($I3252,CHAR(61),""),CHAR(34),"")</f>
        <v>10-14</v>
      </c>
      <c r="R3252" s="0" t="str">
        <f aca="false">IF($D3252&lt;&gt;"","["&amp;$E3252&amp;"]"&amp;"|"&amp;$Q3252&amp;"|"&amp;$K3252&amp;"|"&amp;$G3252&amp;"|"&amp;IF($G3252="TX_CURR_SUBNAT.R","CY2022Q4",$M3252),"")</f>
        <v>[TYnMSwzko3z]|10-14|Female|Untreated_PLHIV_Attend.T_1|CY2023Q3</v>
      </c>
    </row>
    <row r="3253" customFormat="false" ht="15" hidden="false" customHeight="false" outlineLevel="0" collapsed="false">
      <c r="D3253" s="0" t="s">
        <v>78</v>
      </c>
      <c r="E3253" s="0" t="s">
        <v>79</v>
      </c>
      <c r="F3253" s="0" t="s">
        <v>80</v>
      </c>
      <c r="G3253" s="0" t="s">
        <v>151</v>
      </c>
      <c r="H3253" s="0" t="s">
        <v>151</v>
      </c>
      <c r="I3253" s="0" t="s">
        <v>38</v>
      </c>
      <c r="J3253" s="0" t="s">
        <v>39</v>
      </c>
      <c r="K3253" s="0" t="s">
        <v>30</v>
      </c>
      <c r="L3253" s="0" t="s">
        <v>31</v>
      </c>
      <c r="M3253" s="0" t="s">
        <v>140</v>
      </c>
      <c r="N3253" s="0" t="n">
        <v>1743</v>
      </c>
      <c r="O3253" s="10" t="n">
        <v>0.501288234023377</v>
      </c>
      <c r="P3253" s="10" t="n">
        <v>0.831597982207313</v>
      </c>
      <c r="Q3253" s="0" t="str">
        <f aca="false">SUBSTITUTE(SUBSTITUTE($I3253,CHAR(61),""),CHAR(34),"")</f>
        <v>15-24</v>
      </c>
      <c r="R3253" s="0" t="str">
        <f aca="false">IF($D3253&lt;&gt;"","["&amp;$E3253&amp;"]"&amp;"|"&amp;$Q3253&amp;"|"&amp;$K3253&amp;"|"&amp;$G3253&amp;"|"&amp;IF($G3253="TX_CURR_SUBNAT.R","CY2022Q4",$M3253),"")</f>
        <v>[TYnMSwzko3z]|15-24|Female|Untreated_PLHIV_Attend.T_1|CY2023Q3</v>
      </c>
    </row>
    <row r="3254" customFormat="false" ht="15" hidden="false" customHeight="false" outlineLevel="0" collapsed="false">
      <c r="D3254" s="0" t="s">
        <v>78</v>
      </c>
      <c r="E3254" s="0" t="s">
        <v>79</v>
      </c>
      <c r="F3254" s="0" t="s">
        <v>80</v>
      </c>
      <c r="G3254" s="0" t="s">
        <v>151</v>
      </c>
      <c r="H3254" s="0" t="s">
        <v>151</v>
      </c>
      <c r="I3254" s="0" t="s">
        <v>41</v>
      </c>
      <c r="J3254" s="0" t="s">
        <v>42</v>
      </c>
      <c r="K3254" s="0" t="s">
        <v>30</v>
      </c>
      <c r="L3254" s="0" t="s">
        <v>31</v>
      </c>
      <c r="M3254" s="0" t="s">
        <v>140</v>
      </c>
      <c r="N3254" s="0" t="n">
        <v>1619</v>
      </c>
      <c r="O3254" s="10" t="n">
        <v>0.991178702563047</v>
      </c>
      <c r="P3254" s="10" t="n">
        <v>0.831597982207313</v>
      </c>
      <c r="Q3254" s="0" t="str">
        <f aca="false">SUBSTITUTE(SUBSTITUTE($I3254,CHAR(61),""),CHAR(34),"")</f>
        <v>25-34</v>
      </c>
      <c r="R3254" s="0" t="str">
        <f aca="false">IF($D3254&lt;&gt;"","["&amp;$E3254&amp;"]"&amp;"|"&amp;$Q3254&amp;"|"&amp;$K3254&amp;"|"&amp;$G3254&amp;"|"&amp;IF($G3254="TX_CURR_SUBNAT.R","CY2022Q4",$M3254),"")</f>
        <v>[TYnMSwzko3z]|25-34|Female|Untreated_PLHIV_Attend.T_1|CY2023Q3</v>
      </c>
    </row>
    <row r="3255" customFormat="false" ht="15" hidden="false" customHeight="false" outlineLevel="0" collapsed="false">
      <c r="D3255" s="0" t="s">
        <v>78</v>
      </c>
      <c r="E3255" s="0" t="s">
        <v>79</v>
      </c>
      <c r="F3255" s="0" t="s">
        <v>80</v>
      </c>
      <c r="G3255" s="0" t="s">
        <v>151</v>
      </c>
      <c r="H3255" s="0" t="s">
        <v>151</v>
      </c>
      <c r="I3255" s="0" t="s">
        <v>43</v>
      </c>
      <c r="J3255" s="0" t="s">
        <v>44</v>
      </c>
      <c r="K3255" s="0" t="s">
        <v>30</v>
      </c>
      <c r="L3255" s="0" t="s">
        <v>31</v>
      </c>
      <c r="M3255" s="0" t="s">
        <v>140</v>
      </c>
      <c r="N3255" s="0" t="n">
        <v>784</v>
      </c>
      <c r="O3255" s="10" t="n">
        <v>0.139649427495897</v>
      </c>
      <c r="P3255" s="10" t="n">
        <v>0.831597982207313</v>
      </c>
      <c r="Q3255" s="0" t="str">
        <f aca="false">SUBSTITUTE(SUBSTITUTE($I3255,CHAR(61),""),CHAR(34),"")</f>
        <v>35-49</v>
      </c>
      <c r="R3255" s="0" t="str">
        <f aca="false">IF($D3255&lt;&gt;"","["&amp;$E3255&amp;"]"&amp;"|"&amp;$Q3255&amp;"|"&amp;$K3255&amp;"|"&amp;$G3255&amp;"|"&amp;IF($G3255="TX_CURR_SUBNAT.R","CY2022Q4",$M3255),"")</f>
        <v>[TYnMSwzko3z]|35-49|Female|Untreated_PLHIV_Attend.T_1|CY2023Q3</v>
      </c>
    </row>
    <row r="3256" customFormat="false" ht="15" hidden="false" customHeight="false" outlineLevel="0" collapsed="false">
      <c r="D3256" s="0" t="s">
        <v>78</v>
      </c>
      <c r="E3256" s="0" t="s">
        <v>79</v>
      </c>
      <c r="F3256" s="0" t="s">
        <v>80</v>
      </c>
      <c r="G3256" s="0" t="s">
        <v>151</v>
      </c>
      <c r="H3256" s="0" t="s">
        <v>151</v>
      </c>
      <c r="I3256" s="0" t="s">
        <v>45</v>
      </c>
      <c r="J3256" s="0" t="s">
        <v>46</v>
      </c>
      <c r="K3256" s="0" t="s">
        <v>30</v>
      </c>
      <c r="L3256" s="0" t="s">
        <v>31</v>
      </c>
      <c r="M3256" s="0" t="s">
        <v>140</v>
      </c>
      <c r="N3256" s="0" t="n">
        <v>676</v>
      </c>
      <c r="O3256" s="10" t="n">
        <v>0.616820610361174</v>
      </c>
      <c r="P3256" s="10" t="n">
        <v>0.831597982207313</v>
      </c>
      <c r="Q3256" s="0" t="str">
        <f aca="false">SUBSTITUTE(SUBSTITUTE($I3256,CHAR(61),""),CHAR(34),"")</f>
        <v>50+</v>
      </c>
      <c r="R3256" s="0" t="str">
        <f aca="false">IF($D3256&lt;&gt;"","["&amp;$E3256&amp;"]"&amp;"|"&amp;$Q3256&amp;"|"&amp;$K3256&amp;"|"&amp;$G3256&amp;"|"&amp;IF($G3256="TX_CURR_SUBNAT.R","CY2022Q4",$M3256),"")</f>
        <v>[TYnMSwzko3z]|50+|Female|Untreated_PLHIV_Attend.T_1|CY2023Q3</v>
      </c>
    </row>
    <row r="3257" customFormat="false" ht="15" hidden="false" customHeight="false" outlineLevel="0" collapsed="false">
      <c r="D3257" s="0" t="s">
        <v>78</v>
      </c>
      <c r="E3257" s="0" t="s">
        <v>79</v>
      </c>
      <c r="F3257" s="0" t="s">
        <v>80</v>
      </c>
      <c r="G3257" s="0" t="s">
        <v>151</v>
      </c>
      <c r="H3257" s="0" t="s">
        <v>151</v>
      </c>
      <c r="I3257" s="0" t="s">
        <v>28</v>
      </c>
      <c r="J3257" s="0" t="s">
        <v>29</v>
      </c>
      <c r="K3257" s="0" t="s">
        <v>48</v>
      </c>
      <c r="L3257" s="0" t="s">
        <v>49</v>
      </c>
      <c r="M3257" s="0" t="s">
        <v>140</v>
      </c>
      <c r="N3257" s="0" t="n">
        <v>1445</v>
      </c>
      <c r="O3257" s="10" t="n">
        <v>0.552088261116296</v>
      </c>
      <c r="P3257" s="10" t="n">
        <v>0.831597982207313</v>
      </c>
      <c r="Q3257" s="0" t="str">
        <f aca="false">SUBSTITUTE(SUBSTITUTE($I3257,CHAR(61),""),CHAR(34),"")</f>
        <v>&lt;01</v>
      </c>
      <c r="R3257" s="0" t="str">
        <f aca="false">IF($D3257&lt;&gt;"","["&amp;$E3257&amp;"]"&amp;"|"&amp;$Q3257&amp;"|"&amp;$K3257&amp;"|"&amp;$G3257&amp;"|"&amp;IF($G3257="TX_CURR_SUBNAT.R","CY2022Q4",$M3257),"")</f>
        <v>[TYnMSwzko3z]|&lt;01|Male|Untreated_PLHIV_Attend.T_1|CY2023Q3</v>
      </c>
    </row>
    <row r="3258" customFormat="false" ht="15" hidden="false" customHeight="false" outlineLevel="0" collapsed="false">
      <c r="D3258" s="0" t="s">
        <v>78</v>
      </c>
      <c r="E3258" s="0" t="s">
        <v>79</v>
      </c>
      <c r="F3258" s="0" t="s">
        <v>80</v>
      </c>
      <c r="G3258" s="0" t="s">
        <v>151</v>
      </c>
      <c r="H3258" s="0" t="s">
        <v>151</v>
      </c>
      <c r="I3258" s="0" t="s">
        <v>33</v>
      </c>
      <c r="J3258" s="0" t="s">
        <v>34</v>
      </c>
      <c r="K3258" s="0" t="s">
        <v>48</v>
      </c>
      <c r="L3258" s="0" t="s">
        <v>49</v>
      </c>
      <c r="M3258" s="0" t="s">
        <v>140</v>
      </c>
      <c r="N3258" s="0" t="n">
        <v>637</v>
      </c>
      <c r="O3258" s="10" t="n">
        <v>0.570195123786107</v>
      </c>
      <c r="P3258" s="10" t="n">
        <v>0.831597982207313</v>
      </c>
      <c r="Q3258" s="0" t="str">
        <f aca="false">SUBSTITUTE(SUBSTITUTE($I3258,CHAR(61),""),CHAR(34),"")</f>
        <v>01-09</v>
      </c>
      <c r="R3258" s="0" t="str">
        <f aca="false">IF($D3258&lt;&gt;"","["&amp;$E3258&amp;"]"&amp;"|"&amp;$Q3258&amp;"|"&amp;$K3258&amp;"|"&amp;$G3258&amp;"|"&amp;IF($G3258="TX_CURR_SUBNAT.R","CY2022Q4",$M3258),"")</f>
        <v>[TYnMSwzko3z]|01-09|Male|Untreated_PLHIV_Attend.T_1|CY2023Q3</v>
      </c>
    </row>
    <row r="3259" customFormat="false" ht="15" hidden="false" customHeight="false" outlineLevel="0" collapsed="false">
      <c r="D3259" s="0" t="s">
        <v>78</v>
      </c>
      <c r="E3259" s="0" t="s">
        <v>79</v>
      </c>
      <c r="F3259" s="0" t="s">
        <v>80</v>
      </c>
      <c r="G3259" s="0" t="s">
        <v>151</v>
      </c>
      <c r="H3259" s="0" t="s">
        <v>151</v>
      </c>
      <c r="I3259" s="0" t="s">
        <v>36</v>
      </c>
      <c r="J3259" s="0" t="s">
        <v>37</v>
      </c>
      <c r="K3259" s="0" t="s">
        <v>48</v>
      </c>
      <c r="L3259" s="0" t="s">
        <v>49</v>
      </c>
      <c r="M3259" s="0" t="s">
        <v>140</v>
      </c>
      <c r="N3259" s="0" t="n">
        <v>530</v>
      </c>
      <c r="O3259" s="10" t="n">
        <v>0.0156565604265779</v>
      </c>
      <c r="P3259" s="10" t="n">
        <v>0.831597982207313</v>
      </c>
      <c r="Q3259" s="0" t="str">
        <f aca="false">SUBSTITUTE(SUBSTITUTE($I3259,CHAR(61),""),CHAR(34),"")</f>
        <v>10-14</v>
      </c>
      <c r="R3259" s="0" t="str">
        <f aca="false">IF($D3259&lt;&gt;"","["&amp;$E3259&amp;"]"&amp;"|"&amp;$Q3259&amp;"|"&amp;$K3259&amp;"|"&amp;$G3259&amp;"|"&amp;IF($G3259="TX_CURR_SUBNAT.R","CY2022Q4",$M3259),"")</f>
        <v>[TYnMSwzko3z]|10-14|Male|Untreated_PLHIV_Attend.T_1|CY2023Q3</v>
      </c>
    </row>
    <row r="3260" customFormat="false" ht="15" hidden="false" customHeight="false" outlineLevel="0" collapsed="false">
      <c r="D3260" s="0" t="s">
        <v>78</v>
      </c>
      <c r="E3260" s="0" t="s">
        <v>79</v>
      </c>
      <c r="F3260" s="0" t="s">
        <v>80</v>
      </c>
      <c r="G3260" s="0" t="s">
        <v>151</v>
      </c>
      <c r="H3260" s="0" t="s">
        <v>151</v>
      </c>
      <c r="I3260" s="0" t="s">
        <v>38</v>
      </c>
      <c r="J3260" s="0" t="s">
        <v>39</v>
      </c>
      <c r="K3260" s="0" t="s">
        <v>48</v>
      </c>
      <c r="L3260" s="0" t="s">
        <v>49</v>
      </c>
      <c r="M3260" s="0" t="s">
        <v>140</v>
      </c>
      <c r="N3260" s="0" t="n">
        <v>763</v>
      </c>
      <c r="O3260" s="10" t="n">
        <v>0.68142900778912</v>
      </c>
      <c r="P3260" s="10" t="n">
        <v>0.831597982207313</v>
      </c>
      <c r="Q3260" s="0" t="str">
        <f aca="false">SUBSTITUTE(SUBSTITUTE($I3260,CHAR(61),""),CHAR(34),"")</f>
        <v>15-24</v>
      </c>
      <c r="R3260" s="0" t="str">
        <f aca="false">IF($D3260&lt;&gt;"","["&amp;$E3260&amp;"]"&amp;"|"&amp;$Q3260&amp;"|"&amp;$K3260&amp;"|"&amp;$G3260&amp;"|"&amp;IF($G3260="TX_CURR_SUBNAT.R","CY2022Q4",$M3260),"")</f>
        <v>[TYnMSwzko3z]|15-24|Male|Untreated_PLHIV_Attend.T_1|CY2023Q3</v>
      </c>
    </row>
    <row r="3261" customFormat="false" ht="15" hidden="false" customHeight="false" outlineLevel="0" collapsed="false">
      <c r="D3261" s="0" t="s">
        <v>78</v>
      </c>
      <c r="E3261" s="0" t="s">
        <v>79</v>
      </c>
      <c r="F3261" s="0" t="s">
        <v>80</v>
      </c>
      <c r="G3261" s="0" t="s">
        <v>151</v>
      </c>
      <c r="H3261" s="0" t="s">
        <v>151</v>
      </c>
      <c r="I3261" s="0" t="s">
        <v>41</v>
      </c>
      <c r="J3261" s="0" t="s">
        <v>42</v>
      </c>
      <c r="K3261" s="0" t="s">
        <v>48</v>
      </c>
      <c r="L3261" s="0" t="s">
        <v>49</v>
      </c>
      <c r="M3261" s="0" t="s">
        <v>140</v>
      </c>
      <c r="N3261" s="0" t="n">
        <v>519</v>
      </c>
      <c r="O3261" s="10" t="n">
        <v>0.327115159481764</v>
      </c>
      <c r="P3261" s="10" t="n">
        <v>0.831597982207313</v>
      </c>
      <c r="Q3261" s="0" t="str">
        <f aca="false">SUBSTITUTE(SUBSTITUTE($I3261,CHAR(61),""),CHAR(34),"")</f>
        <v>25-34</v>
      </c>
      <c r="R3261" s="0" t="str">
        <f aca="false">IF($D3261&lt;&gt;"","["&amp;$E3261&amp;"]"&amp;"|"&amp;$Q3261&amp;"|"&amp;$K3261&amp;"|"&amp;$G3261&amp;"|"&amp;IF($G3261="TX_CURR_SUBNAT.R","CY2022Q4",$M3261),"")</f>
        <v>[TYnMSwzko3z]|25-34|Male|Untreated_PLHIV_Attend.T_1|CY2023Q3</v>
      </c>
    </row>
    <row r="3262" customFormat="false" ht="15" hidden="false" customHeight="false" outlineLevel="0" collapsed="false">
      <c r="D3262" s="0" t="s">
        <v>78</v>
      </c>
      <c r="E3262" s="0" t="s">
        <v>79</v>
      </c>
      <c r="F3262" s="0" t="s">
        <v>80</v>
      </c>
      <c r="G3262" s="0" t="s">
        <v>151</v>
      </c>
      <c r="H3262" s="0" t="s">
        <v>151</v>
      </c>
      <c r="I3262" s="0" t="s">
        <v>43</v>
      </c>
      <c r="J3262" s="0" t="s">
        <v>44</v>
      </c>
      <c r="K3262" s="0" t="s">
        <v>48</v>
      </c>
      <c r="L3262" s="0" t="s">
        <v>49</v>
      </c>
      <c r="M3262" s="0" t="s">
        <v>140</v>
      </c>
      <c r="N3262" s="0" t="n">
        <v>1384</v>
      </c>
      <c r="O3262" s="10" t="n">
        <v>0.377943655941635</v>
      </c>
      <c r="P3262" s="10" t="n">
        <v>0.831597982207313</v>
      </c>
      <c r="Q3262" s="0" t="str">
        <f aca="false">SUBSTITUTE(SUBSTITUTE($I3262,CHAR(61),""),CHAR(34),"")</f>
        <v>35-49</v>
      </c>
      <c r="R3262" s="0" t="str">
        <f aca="false">IF($D3262&lt;&gt;"","["&amp;$E3262&amp;"]"&amp;"|"&amp;$Q3262&amp;"|"&amp;$K3262&amp;"|"&amp;$G3262&amp;"|"&amp;IF($G3262="TX_CURR_SUBNAT.R","CY2022Q4",$M3262),"")</f>
        <v>[TYnMSwzko3z]|35-49|Male|Untreated_PLHIV_Attend.T_1|CY2023Q3</v>
      </c>
    </row>
    <row r="3263" customFormat="false" ht="15" hidden="false" customHeight="false" outlineLevel="0" collapsed="false">
      <c r="D3263" s="0" t="s">
        <v>78</v>
      </c>
      <c r="E3263" s="0" t="s">
        <v>79</v>
      </c>
      <c r="F3263" s="0" t="s">
        <v>80</v>
      </c>
      <c r="G3263" s="0" t="s">
        <v>151</v>
      </c>
      <c r="H3263" s="0" t="s">
        <v>151</v>
      </c>
      <c r="I3263" s="0" t="s">
        <v>45</v>
      </c>
      <c r="J3263" s="0" t="s">
        <v>46</v>
      </c>
      <c r="K3263" s="0" t="s">
        <v>48</v>
      </c>
      <c r="L3263" s="0" t="s">
        <v>49</v>
      </c>
      <c r="M3263" s="0" t="s">
        <v>140</v>
      </c>
      <c r="N3263" s="0" t="n">
        <v>1058</v>
      </c>
      <c r="O3263" s="10" t="n">
        <v>0.0483661040198058</v>
      </c>
      <c r="P3263" s="10" t="n">
        <v>0.831597982207313</v>
      </c>
      <c r="Q3263" s="0" t="str">
        <f aca="false">SUBSTITUTE(SUBSTITUTE($I3263,CHAR(61),""),CHAR(34),"")</f>
        <v>50+</v>
      </c>
      <c r="R3263" s="0" t="str">
        <f aca="false">IF($D3263&lt;&gt;"","["&amp;$E3263&amp;"]"&amp;"|"&amp;$Q3263&amp;"|"&amp;$K3263&amp;"|"&amp;$G3263&amp;"|"&amp;IF($G3263="TX_CURR_SUBNAT.R","CY2022Q4",$M3263),"")</f>
        <v>[TYnMSwzko3z]|50+|Male|Untreated_PLHIV_Attend.T_1|CY2023Q3</v>
      </c>
    </row>
    <row r="3264" customFormat="false" ht="15" hidden="false" customHeight="false" outlineLevel="0" collapsed="false">
      <c r="D3264" s="0" t="s">
        <v>81</v>
      </c>
      <c r="E3264" s="0" t="s">
        <v>82</v>
      </c>
      <c r="F3264" s="0" t="s">
        <v>83</v>
      </c>
      <c r="G3264" s="0" t="s">
        <v>151</v>
      </c>
      <c r="H3264" s="0" t="s">
        <v>151</v>
      </c>
      <c r="I3264" s="0" t="s">
        <v>28</v>
      </c>
      <c r="J3264" s="0" t="s">
        <v>29</v>
      </c>
      <c r="K3264" s="0" t="s">
        <v>30</v>
      </c>
      <c r="L3264" s="0" t="s">
        <v>31</v>
      </c>
      <c r="M3264" s="0" t="s">
        <v>140</v>
      </c>
      <c r="N3264" s="0" t="n">
        <v>1379</v>
      </c>
      <c r="O3264" s="10" t="n">
        <v>0.932443947298452</v>
      </c>
      <c r="P3264" s="10" t="n">
        <v>0.143331421539187</v>
      </c>
      <c r="Q3264" s="0" t="str">
        <f aca="false">SUBSTITUTE(SUBSTITUTE($I3264,CHAR(61),""),CHAR(34),"")</f>
        <v>&lt;01</v>
      </c>
      <c r="R3264" s="0" t="str">
        <f aca="false">IF($D3264&lt;&gt;"","["&amp;$E3264&amp;"]"&amp;"|"&amp;$Q3264&amp;"|"&amp;$K3264&amp;"|"&amp;$G3264&amp;"|"&amp;IF($G3264="TX_CURR_SUBNAT.R","CY2022Q4",$M3264),"")</f>
        <v>[ir8wuHHzoSs]|&lt;01|Female|Untreated_PLHIV_Attend.T_1|CY2023Q3</v>
      </c>
    </row>
    <row r="3265" customFormat="false" ht="15" hidden="false" customHeight="false" outlineLevel="0" collapsed="false">
      <c r="D3265" s="0" t="s">
        <v>81</v>
      </c>
      <c r="E3265" s="0" t="s">
        <v>82</v>
      </c>
      <c r="F3265" s="0" t="s">
        <v>83</v>
      </c>
      <c r="G3265" s="0" t="s">
        <v>151</v>
      </c>
      <c r="H3265" s="0" t="s">
        <v>151</v>
      </c>
      <c r="I3265" s="0" t="s">
        <v>33</v>
      </c>
      <c r="J3265" s="0" t="s">
        <v>34</v>
      </c>
      <c r="K3265" s="0" t="s">
        <v>30</v>
      </c>
      <c r="L3265" s="0" t="s">
        <v>31</v>
      </c>
      <c r="M3265" s="0" t="s">
        <v>140</v>
      </c>
      <c r="N3265" s="0" t="n">
        <v>1073</v>
      </c>
      <c r="O3265" s="10" t="n">
        <v>0.558643918018788</v>
      </c>
      <c r="P3265" s="10" t="n">
        <v>0.143331421539187</v>
      </c>
      <c r="Q3265" s="0" t="str">
        <f aca="false">SUBSTITUTE(SUBSTITUTE($I3265,CHAR(61),""),CHAR(34),"")</f>
        <v>01-09</v>
      </c>
      <c r="R3265" s="0" t="str">
        <f aca="false">IF($D3265&lt;&gt;"","["&amp;$E3265&amp;"]"&amp;"|"&amp;$Q3265&amp;"|"&amp;$K3265&amp;"|"&amp;$G3265&amp;"|"&amp;IF($G3265="TX_CURR_SUBNAT.R","CY2022Q4",$M3265),"")</f>
        <v>[ir8wuHHzoSs]|01-09|Female|Untreated_PLHIV_Attend.T_1|CY2023Q3</v>
      </c>
    </row>
    <row r="3266" customFormat="false" ht="15" hidden="false" customHeight="false" outlineLevel="0" collapsed="false">
      <c r="D3266" s="0" t="s">
        <v>81</v>
      </c>
      <c r="E3266" s="0" t="s">
        <v>82</v>
      </c>
      <c r="F3266" s="0" t="s">
        <v>83</v>
      </c>
      <c r="G3266" s="0" t="s">
        <v>151</v>
      </c>
      <c r="H3266" s="0" t="s">
        <v>151</v>
      </c>
      <c r="I3266" s="0" t="s">
        <v>36</v>
      </c>
      <c r="J3266" s="0" t="s">
        <v>37</v>
      </c>
      <c r="K3266" s="0" t="s">
        <v>30</v>
      </c>
      <c r="L3266" s="0" t="s">
        <v>31</v>
      </c>
      <c r="M3266" s="0" t="s">
        <v>140</v>
      </c>
      <c r="N3266" s="0" t="n">
        <v>1259</v>
      </c>
      <c r="O3266" s="10" t="n">
        <v>0.731099482160062</v>
      </c>
      <c r="P3266" s="10" t="n">
        <v>0.143331421539187</v>
      </c>
      <c r="Q3266" s="0" t="str">
        <f aca="false">SUBSTITUTE(SUBSTITUTE($I3266,CHAR(61),""),CHAR(34),"")</f>
        <v>10-14</v>
      </c>
      <c r="R3266" s="0" t="str">
        <f aca="false">IF($D3266&lt;&gt;"","["&amp;$E3266&amp;"]"&amp;"|"&amp;$Q3266&amp;"|"&amp;$K3266&amp;"|"&amp;$G3266&amp;"|"&amp;IF($G3266="TX_CURR_SUBNAT.R","CY2022Q4",$M3266),"")</f>
        <v>[ir8wuHHzoSs]|10-14|Female|Untreated_PLHIV_Attend.T_1|CY2023Q3</v>
      </c>
    </row>
    <row r="3267" customFormat="false" ht="15" hidden="false" customHeight="false" outlineLevel="0" collapsed="false">
      <c r="D3267" s="0" t="s">
        <v>81</v>
      </c>
      <c r="E3267" s="0" t="s">
        <v>82</v>
      </c>
      <c r="F3267" s="0" t="s">
        <v>83</v>
      </c>
      <c r="G3267" s="0" t="s">
        <v>151</v>
      </c>
      <c r="H3267" s="0" t="s">
        <v>151</v>
      </c>
      <c r="I3267" s="0" t="s">
        <v>38</v>
      </c>
      <c r="J3267" s="0" t="s">
        <v>39</v>
      </c>
      <c r="K3267" s="0" t="s">
        <v>30</v>
      </c>
      <c r="L3267" s="0" t="s">
        <v>31</v>
      </c>
      <c r="M3267" s="0" t="s">
        <v>140</v>
      </c>
      <c r="N3267" s="0" t="n">
        <v>1760</v>
      </c>
      <c r="O3267" s="10" t="n">
        <v>0.973648939747363</v>
      </c>
      <c r="P3267" s="10" t="n">
        <v>0.143331421539187</v>
      </c>
      <c r="Q3267" s="0" t="str">
        <f aca="false">SUBSTITUTE(SUBSTITUTE($I3267,CHAR(61),""),CHAR(34),"")</f>
        <v>15-24</v>
      </c>
      <c r="R3267" s="0" t="str">
        <f aca="false">IF($D3267&lt;&gt;"","["&amp;$E3267&amp;"]"&amp;"|"&amp;$Q3267&amp;"|"&amp;$K3267&amp;"|"&amp;$G3267&amp;"|"&amp;IF($G3267="TX_CURR_SUBNAT.R","CY2022Q4",$M3267),"")</f>
        <v>[ir8wuHHzoSs]|15-24|Female|Untreated_PLHIV_Attend.T_1|CY2023Q3</v>
      </c>
    </row>
    <row r="3268" customFormat="false" ht="15" hidden="false" customHeight="false" outlineLevel="0" collapsed="false">
      <c r="D3268" s="0" t="s">
        <v>81</v>
      </c>
      <c r="E3268" s="0" t="s">
        <v>82</v>
      </c>
      <c r="F3268" s="0" t="s">
        <v>83</v>
      </c>
      <c r="G3268" s="0" t="s">
        <v>151</v>
      </c>
      <c r="H3268" s="0" t="s">
        <v>151</v>
      </c>
      <c r="I3268" s="0" t="s">
        <v>41</v>
      </c>
      <c r="J3268" s="0" t="s">
        <v>42</v>
      </c>
      <c r="K3268" s="0" t="s">
        <v>30</v>
      </c>
      <c r="L3268" s="0" t="s">
        <v>31</v>
      </c>
      <c r="M3268" s="0" t="s">
        <v>140</v>
      </c>
      <c r="N3268" s="0" t="n">
        <v>1382</v>
      </c>
      <c r="O3268" s="10" t="n">
        <v>0.469598144991323</v>
      </c>
      <c r="P3268" s="10" t="n">
        <v>0.143331421539187</v>
      </c>
      <c r="Q3268" s="0" t="str">
        <f aca="false">SUBSTITUTE(SUBSTITUTE($I3268,CHAR(61),""),CHAR(34),"")</f>
        <v>25-34</v>
      </c>
      <c r="R3268" s="0" t="str">
        <f aca="false">IF($D3268&lt;&gt;"","["&amp;$E3268&amp;"]"&amp;"|"&amp;$Q3268&amp;"|"&amp;$K3268&amp;"|"&amp;$G3268&amp;"|"&amp;IF($G3268="TX_CURR_SUBNAT.R","CY2022Q4",$M3268),"")</f>
        <v>[ir8wuHHzoSs]|25-34|Female|Untreated_PLHIV_Attend.T_1|CY2023Q3</v>
      </c>
    </row>
    <row r="3269" customFormat="false" ht="15" hidden="false" customHeight="false" outlineLevel="0" collapsed="false">
      <c r="D3269" s="0" t="s">
        <v>81</v>
      </c>
      <c r="E3269" s="0" t="s">
        <v>82</v>
      </c>
      <c r="F3269" s="0" t="s">
        <v>83</v>
      </c>
      <c r="G3269" s="0" t="s">
        <v>151</v>
      </c>
      <c r="H3269" s="0" t="s">
        <v>151</v>
      </c>
      <c r="I3269" s="0" t="s">
        <v>43</v>
      </c>
      <c r="J3269" s="0" t="s">
        <v>44</v>
      </c>
      <c r="K3269" s="0" t="s">
        <v>30</v>
      </c>
      <c r="L3269" s="0" t="s">
        <v>31</v>
      </c>
      <c r="M3269" s="0" t="s">
        <v>140</v>
      </c>
      <c r="N3269" s="0" t="n">
        <v>1852</v>
      </c>
      <c r="O3269" s="10" t="n">
        <v>0.491013815626502</v>
      </c>
      <c r="P3269" s="10" t="n">
        <v>0.143331421539187</v>
      </c>
      <c r="Q3269" s="0" t="str">
        <f aca="false">SUBSTITUTE(SUBSTITUTE($I3269,CHAR(61),""),CHAR(34),"")</f>
        <v>35-49</v>
      </c>
      <c r="R3269" s="0" t="str">
        <f aca="false">IF($D3269&lt;&gt;"","["&amp;$E3269&amp;"]"&amp;"|"&amp;$Q3269&amp;"|"&amp;$K3269&amp;"|"&amp;$G3269&amp;"|"&amp;IF($G3269="TX_CURR_SUBNAT.R","CY2022Q4",$M3269),"")</f>
        <v>[ir8wuHHzoSs]|35-49|Female|Untreated_PLHIV_Attend.T_1|CY2023Q3</v>
      </c>
    </row>
    <row r="3270" customFormat="false" ht="15" hidden="false" customHeight="false" outlineLevel="0" collapsed="false">
      <c r="D3270" s="0" t="s">
        <v>81</v>
      </c>
      <c r="E3270" s="0" t="s">
        <v>82</v>
      </c>
      <c r="F3270" s="0" t="s">
        <v>83</v>
      </c>
      <c r="G3270" s="0" t="s">
        <v>151</v>
      </c>
      <c r="H3270" s="0" t="s">
        <v>151</v>
      </c>
      <c r="I3270" s="0" t="s">
        <v>45</v>
      </c>
      <c r="J3270" s="0" t="s">
        <v>46</v>
      </c>
      <c r="K3270" s="0" t="s">
        <v>30</v>
      </c>
      <c r="L3270" s="0" t="s">
        <v>31</v>
      </c>
      <c r="M3270" s="0" t="s">
        <v>140</v>
      </c>
      <c r="N3270" s="0" t="n">
        <v>857</v>
      </c>
      <c r="O3270" s="10" t="n">
        <v>0.885129153262824</v>
      </c>
      <c r="P3270" s="10" t="n">
        <v>0.143331421539187</v>
      </c>
      <c r="Q3270" s="0" t="str">
        <f aca="false">SUBSTITUTE(SUBSTITUTE($I3270,CHAR(61),""),CHAR(34),"")</f>
        <v>50+</v>
      </c>
      <c r="R3270" s="0" t="str">
        <f aca="false">IF($D3270&lt;&gt;"","["&amp;$E3270&amp;"]"&amp;"|"&amp;$Q3270&amp;"|"&amp;$K3270&amp;"|"&amp;$G3270&amp;"|"&amp;IF($G3270="TX_CURR_SUBNAT.R","CY2022Q4",$M3270),"")</f>
        <v>[ir8wuHHzoSs]|50+|Female|Untreated_PLHIV_Attend.T_1|CY2023Q3</v>
      </c>
    </row>
    <row r="3271" customFormat="false" ht="15" hidden="false" customHeight="false" outlineLevel="0" collapsed="false">
      <c r="D3271" s="0" t="s">
        <v>81</v>
      </c>
      <c r="E3271" s="0" t="s">
        <v>82</v>
      </c>
      <c r="F3271" s="0" t="s">
        <v>83</v>
      </c>
      <c r="G3271" s="0" t="s">
        <v>151</v>
      </c>
      <c r="H3271" s="0" t="s">
        <v>151</v>
      </c>
      <c r="I3271" s="0" t="s">
        <v>28</v>
      </c>
      <c r="J3271" s="0" t="s">
        <v>29</v>
      </c>
      <c r="K3271" s="0" t="s">
        <v>48</v>
      </c>
      <c r="L3271" s="0" t="s">
        <v>49</v>
      </c>
      <c r="M3271" s="0" t="s">
        <v>140</v>
      </c>
      <c r="N3271" s="0" t="n">
        <v>665</v>
      </c>
      <c r="O3271" s="10" t="n">
        <v>0.161382053745911</v>
      </c>
      <c r="P3271" s="10" t="n">
        <v>0.143331421539187</v>
      </c>
      <c r="Q3271" s="0" t="str">
        <f aca="false">SUBSTITUTE(SUBSTITUTE($I3271,CHAR(61),""),CHAR(34),"")</f>
        <v>&lt;01</v>
      </c>
      <c r="R3271" s="0" t="str">
        <f aca="false">IF($D3271&lt;&gt;"","["&amp;$E3271&amp;"]"&amp;"|"&amp;$Q3271&amp;"|"&amp;$K3271&amp;"|"&amp;$G3271&amp;"|"&amp;IF($G3271="TX_CURR_SUBNAT.R","CY2022Q4",$M3271),"")</f>
        <v>[ir8wuHHzoSs]|&lt;01|Male|Untreated_PLHIV_Attend.T_1|CY2023Q3</v>
      </c>
    </row>
    <row r="3272" customFormat="false" ht="15" hidden="false" customHeight="false" outlineLevel="0" collapsed="false">
      <c r="D3272" s="0" t="s">
        <v>81</v>
      </c>
      <c r="E3272" s="0" t="s">
        <v>82</v>
      </c>
      <c r="F3272" s="0" t="s">
        <v>83</v>
      </c>
      <c r="G3272" s="0" t="s">
        <v>151</v>
      </c>
      <c r="H3272" s="0" t="s">
        <v>151</v>
      </c>
      <c r="I3272" s="0" t="s">
        <v>33</v>
      </c>
      <c r="J3272" s="0" t="s">
        <v>34</v>
      </c>
      <c r="K3272" s="0" t="s">
        <v>48</v>
      </c>
      <c r="L3272" s="0" t="s">
        <v>49</v>
      </c>
      <c r="M3272" s="0" t="s">
        <v>140</v>
      </c>
      <c r="N3272" s="0" t="n">
        <v>1501</v>
      </c>
      <c r="O3272" s="10" t="n">
        <v>0.179060612339526</v>
      </c>
      <c r="P3272" s="10" t="n">
        <v>0.143331421539187</v>
      </c>
      <c r="Q3272" s="0" t="str">
        <f aca="false">SUBSTITUTE(SUBSTITUTE($I3272,CHAR(61),""),CHAR(34),"")</f>
        <v>01-09</v>
      </c>
      <c r="R3272" s="0" t="str">
        <f aca="false">IF($D3272&lt;&gt;"","["&amp;$E3272&amp;"]"&amp;"|"&amp;$Q3272&amp;"|"&amp;$K3272&amp;"|"&amp;$G3272&amp;"|"&amp;IF($G3272="TX_CURR_SUBNAT.R","CY2022Q4",$M3272),"")</f>
        <v>[ir8wuHHzoSs]|01-09|Male|Untreated_PLHIV_Attend.T_1|CY2023Q3</v>
      </c>
    </row>
    <row r="3273" customFormat="false" ht="15" hidden="false" customHeight="false" outlineLevel="0" collapsed="false">
      <c r="D3273" s="0" t="s">
        <v>81</v>
      </c>
      <c r="E3273" s="0" t="s">
        <v>82</v>
      </c>
      <c r="F3273" s="0" t="s">
        <v>83</v>
      </c>
      <c r="G3273" s="0" t="s">
        <v>151</v>
      </c>
      <c r="H3273" s="0" t="s">
        <v>151</v>
      </c>
      <c r="I3273" s="0" t="s">
        <v>36</v>
      </c>
      <c r="J3273" s="0" t="s">
        <v>37</v>
      </c>
      <c r="K3273" s="0" t="s">
        <v>48</v>
      </c>
      <c r="L3273" s="0" t="s">
        <v>49</v>
      </c>
      <c r="M3273" s="0" t="s">
        <v>140</v>
      </c>
      <c r="N3273" s="0" t="n">
        <v>1729</v>
      </c>
      <c r="O3273" s="10" t="n">
        <v>0.423635489074513</v>
      </c>
      <c r="P3273" s="10" t="n">
        <v>0.143331421539187</v>
      </c>
      <c r="Q3273" s="0" t="str">
        <f aca="false">SUBSTITUTE(SUBSTITUTE($I3273,CHAR(61),""),CHAR(34),"")</f>
        <v>10-14</v>
      </c>
      <c r="R3273" s="0" t="str">
        <f aca="false">IF($D3273&lt;&gt;"","["&amp;$E3273&amp;"]"&amp;"|"&amp;$Q3273&amp;"|"&amp;$K3273&amp;"|"&amp;$G3273&amp;"|"&amp;IF($G3273="TX_CURR_SUBNAT.R","CY2022Q4",$M3273),"")</f>
        <v>[ir8wuHHzoSs]|10-14|Male|Untreated_PLHIV_Attend.T_1|CY2023Q3</v>
      </c>
    </row>
    <row r="3274" customFormat="false" ht="15" hidden="false" customHeight="false" outlineLevel="0" collapsed="false">
      <c r="D3274" s="0" t="s">
        <v>81</v>
      </c>
      <c r="E3274" s="0" t="s">
        <v>82</v>
      </c>
      <c r="F3274" s="0" t="s">
        <v>83</v>
      </c>
      <c r="G3274" s="0" t="s">
        <v>151</v>
      </c>
      <c r="H3274" s="0" t="s">
        <v>151</v>
      </c>
      <c r="I3274" s="0" t="s">
        <v>38</v>
      </c>
      <c r="J3274" s="0" t="s">
        <v>39</v>
      </c>
      <c r="K3274" s="0" t="s">
        <v>48</v>
      </c>
      <c r="L3274" s="0" t="s">
        <v>49</v>
      </c>
      <c r="M3274" s="0" t="s">
        <v>140</v>
      </c>
      <c r="N3274" s="0" t="n">
        <v>1709</v>
      </c>
      <c r="O3274" s="10" t="n">
        <v>0.623063812265173</v>
      </c>
      <c r="P3274" s="10" t="n">
        <v>0.143331421539187</v>
      </c>
      <c r="Q3274" s="0" t="str">
        <f aca="false">SUBSTITUTE(SUBSTITUTE($I3274,CHAR(61),""),CHAR(34),"")</f>
        <v>15-24</v>
      </c>
      <c r="R3274" s="0" t="str">
        <f aca="false">IF($D3274&lt;&gt;"","["&amp;$E3274&amp;"]"&amp;"|"&amp;$Q3274&amp;"|"&amp;$K3274&amp;"|"&amp;$G3274&amp;"|"&amp;IF($G3274="TX_CURR_SUBNAT.R","CY2022Q4",$M3274),"")</f>
        <v>[ir8wuHHzoSs]|15-24|Male|Untreated_PLHIV_Attend.T_1|CY2023Q3</v>
      </c>
    </row>
    <row r="3275" customFormat="false" ht="15" hidden="false" customHeight="false" outlineLevel="0" collapsed="false">
      <c r="D3275" s="0" t="s">
        <v>81</v>
      </c>
      <c r="E3275" s="0" t="s">
        <v>82</v>
      </c>
      <c r="F3275" s="0" t="s">
        <v>83</v>
      </c>
      <c r="G3275" s="0" t="s">
        <v>151</v>
      </c>
      <c r="H3275" s="0" t="s">
        <v>151</v>
      </c>
      <c r="I3275" s="0" t="s">
        <v>41</v>
      </c>
      <c r="J3275" s="0" t="s">
        <v>42</v>
      </c>
      <c r="K3275" s="0" t="s">
        <v>48</v>
      </c>
      <c r="L3275" s="0" t="s">
        <v>49</v>
      </c>
      <c r="M3275" s="0" t="s">
        <v>140</v>
      </c>
      <c r="N3275" s="0" t="n">
        <v>1886</v>
      </c>
      <c r="O3275" s="10" t="n">
        <v>0.491363437380642</v>
      </c>
      <c r="P3275" s="10" t="n">
        <v>0.143331421539187</v>
      </c>
      <c r="Q3275" s="0" t="str">
        <f aca="false">SUBSTITUTE(SUBSTITUTE($I3275,CHAR(61),""),CHAR(34),"")</f>
        <v>25-34</v>
      </c>
      <c r="R3275" s="0" t="str">
        <f aca="false">IF($D3275&lt;&gt;"","["&amp;$E3275&amp;"]"&amp;"|"&amp;$Q3275&amp;"|"&amp;$K3275&amp;"|"&amp;$G3275&amp;"|"&amp;IF($G3275="TX_CURR_SUBNAT.R","CY2022Q4",$M3275),"")</f>
        <v>[ir8wuHHzoSs]|25-34|Male|Untreated_PLHIV_Attend.T_1|CY2023Q3</v>
      </c>
    </row>
    <row r="3276" customFormat="false" ht="15" hidden="false" customHeight="false" outlineLevel="0" collapsed="false">
      <c r="D3276" s="0" t="s">
        <v>81</v>
      </c>
      <c r="E3276" s="0" t="s">
        <v>82</v>
      </c>
      <c r="F3276" s="0" t="s">
        <v>83</v>
      </c>
      <c r="G3276" s="0" t="s">
        <v>151</v>
      </c>
      <c r="H3276" s="0" t="s">
        <v>151</v>
      </c>
      <c r="I3276" s="0" t="s">
        <v>43</v>
      </c>
      <c r="J3276" s="0" t="s">
        <v>44</v>
      </c>
      <c r="K3276" s="0" t="s">
        <v>48</v>
      </c>
      <c r="L3276" s="0" t="s">
        <v>49</v>
      </c>
      <c r="M3276" s="0" t="s">
        <v>140</v>
      </c>
      <c r="N3276" s="0" t="n">
        <v>1672</v>
      </c>
      <c r="O3276" s="10" t="n">
        <v>0.537275144830346</v>
      </c>
      <c r="P3276" s="10" t="n">
        <v>0.143331421539187</v>
      </c>
      <c r="Q3276" s="0" t="str">
        <f aca="false">SUBSTITUTE(SUBSTITUTE($I3276,CHAR(61),""),CHAR(34),"")</f>
        <v>35-49</v>
      </c>
      <c r="R3276" s="0" t="str">
        <f aca="false">IF($D3276&lt;&gt;"","["&amp;$E3276&amp;"]"&amp;"|"&amp;$Q3276&amp;"|"&amp;$K3276&amp;"|"&amp;$G3276&amp;"|"&amp;IF($G3276="TX_CURR_SUBNAT.R","CY2022Q4",$M3276),"")</f>
        <v>[ir8wuHHzoSs]|35-49|Male|Untreated_PLHIV_Attend.T_1|CY2023Q3</v>
      </c>
    </row>
    <row r="3277" customFormat="false" ht="15" hidden="false" customHeight="false" outlineLevel="0" collapsed="false">
      <c r="D3277" s="0" t="s">
        <v>81</v>
      </c>
      <c r="E3277" s="0" t="s">
        <v>82</v>
      </c>
      <c r="F3277" s="0" t="s">
        <v>83</v>
      </c>
      <c r="G3277" s="0" t="s">
        <v>151</v>
      </c>
      <c r="H3277" s="0" t="s">
        <v>151</v>
      </c>
      <c r="I3277" s="0" t="s">
        <v>45</v>
      </c>
      <c r="J3277" s="0" t="s">
        <v>46</v>
      </c>
      <c r="K3277" s="0" t="s">
        <v>48</v>
      </c>
      <c r="L3277" s="0" t="s">
        <v>49</v>
      </c>
      <c r="M3277" s="0" t="s">
        <v>140</v>
      </c>
      <c r="N3277" s="0" t="n">
        <v>1418</v>
      </c>
      <c r="O3277" s="10" t="n">
        <v>0.0834481606725603</v>
      </c>
      <c r="P3277" s="10" t="n">
        <v>0.143331421539187</v>
      </c>
      <c r="Q3277" s="0" t="str">
        <f aca="false">SUBSTITUTE(SUBSTITUTE($I3277,CHAR(61),""),CHAR(34),"")</f>
        <v>50+</v>
      </c>
      <c r="R3277" s="0" t="str">
        <f aca="false">IF($D3277&lt;&gt;"","["&amp;$E3277&amp;"]"&amp;"|"&amp;$Q3277&amp;"|"&amp;$K3277&amp;"|"&amp;$G3277&amp;"|"&amp;IF($G3277="TX_CURR_SUBNAT.R","CY2022Q4",$M3277),"")</f>
        <v>[ir8wuHHzoSs]|50+|Male|Untreated_PLHIV_Attend.T_1|CY2023Q3</v>
      </c>
    </row>
    <row r="3278" customFormat="false" ht="15" hidden="false" customHeight="false" outlineLevel="0" collapsed="false">
      <c r="D3278" s="0" t="s">
        <v>84</v>
      </c>
      <c r="E3278" s="0" t="s">
        <v>85</v>
      </c>
      <c r="F3278" s="0" t="s">
        <v>86</v>
      </c>
      <c r="G3278" s="0" t="s">
        <v>151</v>
      </c>
      <c r="H3278" s="0" t="s">
        <v>151</v>
      </c>
      <c r="I3278" s="0" t="s">
        <v>28</v>
      </c>
      <c r="J3278" s="0" t="s">
        <v>29</v>
      </c>
      <c r="K3278" s="0" t="s">
        <v>30</v>
      </c>
      <c r="L3278" s="0" t="s">
        <v>31</v>
      </c>
      <c r="M3278" s="0" t="s">
        <v>140</v>
      </c>
      <c r="N3278" s="0" t="n">
        <v>1031</v>
      </c>
      <c r="O3278" s="10" t="n">
        <v>0.363289610017091</v>
      </c>
      <c r="P3278" s="10" t="n">
        <v>0.0297887143678963</v>
      </c>
      <c r="Q3278" s="0" t="str">
        <f aca="false">SUBSTITUTE(SUBSTITUTE($I3278,CHAR(61),""),CHAR(34),"")</f>
        <v>&lt;01</v>
      </c>
      <c r="R3278" s="0" t="str">
        <f aca="false">IF($D3278&lt;&gt;"","["&amp;$E3278&amp;"]"&amp;"|"&amp;$Q3278&amp;"|"&amp;$K3278&amp;"|"&amp;$G3278&amp;"|"&amp;IF($G3278="TX_CURR_SUBNAT.R","CY2022Q4",$M3278),"")</f>
        <v>[fyEoGEPERdI]|&lt;01|Female|Untreated_PLHIV_Attend.T_1|CY2023Q3</v>
      </c>
    </row>
    <row r="3279" customFormat="false" ht="15" hidden="false" customHeight="false" outlineLevel="0" collapsed="false">
      <c r="D3279" s="0" t="s">
        <v>84</v>
      </c>
      <c r="E3279" s="0" t="s">
        <v>85</v>
      </c>
      <c r="F3279" s="0" t="s">
        <v>86</v>
      </c>
      <c r="G3279" s="0" t="s">
        <v>151</v>
      </c>
      <c r="H3279" s="0" t="s">
        <v>151</v>
      </c>
      <c r="I3279" s="0" t="s">
        <v>33</v>
      </c>
      <c r="J3279" s="0" t="s">
        <v>34</v>
      </c>
      <c r="K3279" s="0" t="s">
        <v>30</v>
      </c>
      <c r="L3279" s="0" t="s">
        <v>31</v>
      </c>
      <c r="M3279" s="0" t="s">
        <v>140</v>
      </c>
      <c r="N3279" s="0" t="n">
        <v>1541</v>
      </c>
      <c r="O3279" s="10" t="n">
        <v>0.710674656787887</v>
      </c>
      <c r="P3279" s="10" t="n">
        <v>0.0297887143678963</v>
      </c>
      <c r="Q3279" s="0" t="str">
        <f aca="false">SUBSTITUTE(SUBSTITUTE($I3279,CHAR(61),""),CHAR(34),"")</f>
        <v>01-09</v>
      </c>
      <c r="R3279" s="0" t="str">
        <f aca="false">IF($D3279&lt;&gt;"","["&amp;$E3279&amp;"]"&amp;"|"&amp;$Q3279&amp;"|"&amp;$K3279&amp;"|"&amp;$G3279&amp;"|"&amp;IF($G3279="TX_CURR_SUBNAT.R","CY2022Q4",$M3279),"")</f>
        <v>[fyEoGEPERdI]|01-09|Female|Untreated_PLHIV_Attend.T_1|CY2023Q3</v>
      </c>
    </row>
    <row r="3280" customFormat="false" ht="15" hidden="false" customHeight="false" outlineLevel="0" collapsed="false">
      <c r="D3280" s="0" t="s">
        <v>84</v>
      </c>
      <c r="E3280" s="0" t="s">
        <v>85</v>
      </c>
      <c r="F3280" s="0" t="s">
        <v>86</v>
      </c>
      <c r="G3280" s="0" t="s">
        <v>151</v>
      </c>
      <c r="H3280" s="0" t="s">
        <v>151</v>
      </c>
      <c r="I3280" s="0" t="s">
        <v>36</v>
      </c>
      <c r="J3280" s="0" t="s">
        <v>37</v>
      </c>
      <c r="K3280" s="0" t="s">
        <v>30</v>
      </c>
      <c r="L3280" s="0" t="s">
        <v>31</v>
      </c>
      <c r="M3280" s="0" t="s">
        <v>140</v>
      </c>
      <c r="N3280" s="0" t="n">
        <v>1143</v>
      </c>
      <c r="O3280" s="10" t="n">
        <v>0.807178242597729</v>
      </c>
      <c r="P3280" s="10" t="n">
        <v>0.0297887143678963</v>
      </c>
      <c r="Q3280" s="0" t="str">
        <f aca="false">SUBSTITUTE(SUBSTITUTE($I3280,CHAR(61),""),CHAR(34),"")</f>
        <v>10-14</v>
      </c>
      <c r="R3280" s="0" t="str">
        <f aca="false">IF($D3280&lt;&gt;"","["&amp;$E3280&amp;"]"&amp;"|"&amp;$Q3280&amp;"|"&amp;$K3280&amp;"|"&amp;$G3280&amp;"|"&amp;IF($G3280="TX_CURR_SUBNAT.R","CY2022Q4",$M3280),"")</f>
        <v>[fyEoGEPERdI]|10-14|Female|Untreated_PLHIV_Attend.T_1|CY2023Q3</v>
      </c>
    </row>
    <row r="3281" customFormat="false" ht="15" hidden="false" customHeight="false" outlineLevel="0" collapsed="false">
      <c r="D3281" s="0" t="s">
        <v>84</v>
      </c>
      <c r="E3281" s="0" t="s">
        <v>85</v>
      </c>
      <c r="F3281" s="0" t="s">
        <v>86</v>
      </c>
      <c r="G3281" s="0" t="s">
        <v>151</v>
      </c>
      <c r="H3281" s="0" t="s">
        <v>151</v>
      </c>
      <c r="I3281" s="0" t="s">
        <v>38</v>
      </c>
      <c r="J3281" s="0" t="s">
        <v>39</v>
      </c>
      <c r="K3281" s="0" t="s">
        <v>30</v>
      </c>
      <c r="L3281" s="0" t="s">
        <v>31</v>
      </c>
      <c r="M3281" s="0" t="s">
        <v>140</v>
      </c>
      <c r="N3281" s="0" t="n">
        <v>1199</v>
      </c>
      <c r="O3281" s="10" t="n">
        <v>0.0930770323611796</v>
      </c>
      <c r="P3281" s="10" t="n">
        <v>0.0297887143678963</v>
      </c>
      <c r="Q3281" s="0" t="str">
        <f aca="false">SUBSTITUTE(SUBSTITUTE($I3281,CHAR(61),""),CHAR(34),"")</f>
        <v>15-24</v>
      </c>
      <c r="R3281" s="0" t="str">
        <f aca="false">IF($D3281&lt;&gt;"","["&amp;$E3281&amp;"]"&amp;"|"&amp;$Q3281&amp;"|"&amp;$K3281&amp;"|"&amp;$G3281&amp;"|"&amp;IF($G3281="TX_CURR_SUBNAT.R","CY2022Q4",$M3281),"")</f>
        <v>[fyEoGEPERdI]|15-24|Female|Untreated_PLHIV_Attend.T_1|CY2023Q3</v>
      </c>
    </row>
    <row r="3282" customFormat="false" ht="15" hidden="false" customHeight="false" outlineLevel="0" collapsed="false">
      <c r="D3282" s="0" t="s">
        <v>84</v>
      </c>
      <c r="E3282" s="0" t="s">
        <v>85</v>
      </c>
      <c r="F3282" s="0" t="s">
        <v>86</v>
      </c>
      <c r="G3282" s="0" t="s">
        <v>151</v>
      </c>
      <c r="H3282" s="0" t="s">
        <v>151</v>
      </c>
      <c r="I3282" s="0" t="s">
        <v>41</v>
      </c>
      <c r="J3282" s="0" t="s">
        <v>42</v>
      </c>
      <c r="K3282" s="0" t="s">
        <v>30</v>
      </c>
      <c r="L3282" s="0" t="s">
        <v>31</v>
      </c>
      <c r="M3282" s="0" t="s">
        <v>140</v>
      </c>
      <c r="N3282" s="0" t="n">
        <v>1064</v>
      </c>
      <c r="O3282" s="10" t="n">
        <v>0.0866174602415413</v>
      </c>
      <c r="P3282" s="10" t="n">
        <v>0.0297887143678963</v>
      </c>
      <c r="Q3282" s="0" t="str">
        <f aca="false">SUBSTITUTE(SUBSTITUTE($I3282,CHAR(61),""),CHAR(34),"")</f>
        <v>25-34</v>
      </c>
      <c r="R3282" s="0" t="str">
        <f aca="false">IF($D3282&lt;&gt;"","["&amp;$E3282&amp;"]"&amp;"|"&amp;$Q3282&amp;"|"&amp;$K3282&amp;"|"&amp;$G3282&amp;"|"&amp;IF($G3282="TX_CURR_SUBNAT.R","CY2022Q4",$M3282),"")</f>
        <v>[fyEoGEPERdI]|25-34|Female|Untreated_PLHIV_Attend.T_1|CY2023Q3</v>
      </c>
    </row>
    <row r="3283" customFormat="false" ht="15" hidden="false" customHeight="false" outlineLevel="0" collapsed="false">
      <c r="D3283" s="0" t="s">
        <v>84</v>
      </c>
      <c r="E3283" s="0" t="s">
        <v>85</v>
      </c>
      <c r="F3283" s="0" t="s">
        <v>86</v>
      </c>
      <c r="G3283" s="0" t="s">
        <v>151</v>
      </c>
      <c r="H3283" s="0" t="s">
        <v>151</v>
      </c>
      <c r="I3283" s="0" t="s">
        <v>43</v>
      </c>
      <c r="J3283" s="0" t="s">
        <v>44</v>
      </c>
      <c r="K3283" s="0" t="s">
        <v>30</v>
      </c>
      <c r="L3283" s="0" t="s">
        <v>31</v>
      </c>
      <c r="M3283" s="0" t="s">
        <v>140</v>
      </c>
      <c r="N3283" s="0" t="n">
        <v>1533</v>
      </c>
      <c r="O3283" s="10" t="n">
        <v>0.247286600526422</v>
      </c>
      <c r="P3283" s="10" t="n">
        <v>0.0297887143678963</v>
      </c>
      <c r="Q3283" s="0" t="str">
        <f aca="false">SUBSTITUTE(SUBSTITUTE($I3283,CHAR(61),""),CHAR(34),"")</f>
        <v>35-49</v>
      </c>
      <c r="R3283" s="0" t="str">
        <f aca="false">IF($D3283&lt;&gt;"","["&amp;$E3283&amp;"]"&amp;"|"&amp;$Q3283&amp;"|"&amp;$K3283&amp;"|"&amp;$G3283&amp;"|"&amp;IF($G3283="TX_CURR_SUBNAT.R","CY2022Q4",$M3283),"")</f>
        <v>[fyEoGEPERdI]|35-49|Female|Untreated_PLHIV_Attend.T_1|CY2023Q3</v>
      </c>
    </row>
    <row r="3284" customFormat="false" ht="15" hidden="false" customHeight="false" outlineLevel="0" collapsed="false">
      <c r="D3284" s="0" t="s">
        <v>84</v>
      </c>
      <c r="E3284" s="0" t="s">
        <v>85</v>
      </c>
      <c r="F3284" s="0" t="s">
        <v>86</v>
      </c>
      <c r="G3284" s="0" t="s">
        <v>151</v>
      </c>
      <c r="H3284" s="0" t="s">
        <v>151</v>
      </c>
      <c r="I3284" s="0" t="s">
        <v>45</v>
      </c>
      <c r="J3284" s="0" t="s">
        <v>46</v>
      </c>
      <c r="K3284" s="0" t="s">
        <v>30</v>
      </c>
      <c r="L3284" s="0" t="s">
        <v>31</v>
      </c>
      <c r="M3284" s="0" t="s">
        <v>140</v>
      </c>
      <c r="N3284" s="0" t="n">
        <v>1350</v>
      </c>
      <c r="O3284" s="10" t="n">
        <v>0.0554348269943148</v>
      </c>
      <c r="P3284" s="10" t="n">
        <v>0.0297887143678963</v>
      </c>
      <c r="Q3284" s="0" t="str">
        <f aca="false">SUBSTITUTE(SUBSTITUTE($I3284,CHAR(61),""),CHAR(34),"")</f>
        <v>50+</v>
      </c>
      <c r="R3284" s="0" t="str">
        <f aca="false">IF($D3284&lt;&gt;"","["&amp;$E3284&amp;"]"&amp;"|"&amp;$Q3284&amp;"|"&amp;$K3284&amp;"|"&amp;$G3284&amp;"|"&amp;IF($G3284="TX_CURR_SUBNAT.R","CY2022Q4",$M3284),"")</f>
        <v>[fyEoGEPERdI]|50+|Female|Untreated_PLHIV_Attend.T_1|CY2023Q3</v>
      </c>
    </row>
    <row r="3285" customFormat="false" ht="15" hidden="false" customHeight="false" outlineLevel="0" collapsed="false">
      <c r="D3285" s="0" t="s">
        <v>84</v>
      </c>
      <c r="E3285" s="0" t="s">
        <v>85</v>
      </c>
      <c r="F3285" s="0" t="s">
        <v>86</v>
      </c>
      <c r="G3285" s="0" t="s">
        <v>151</v>
      </c>
      <c r="H3285" s="0" t="s">
        <v>151</v>
      </c>
      <c r="I3285" s="0" t="s">
        <v>28</v>
      </c>
      <c r="J3285" s="0" t="s">
        <v>29</v>
      </c>
      <c r="K3285" s="0" t="s">
        <v>48</v>
      </c>
      <c r="L3285" s="0" t="s">
        <v>49</v>
      </c>
      <c r="M3285" s="0" t="s">
        <v>140</v>
      </c>
      <c r="N3285" s="0" t="n">
        <v>1263</v>
      </c>
      <c r="O3285" s="10" t="n">
        <v>0.0472970546688884</v>
      </c>
      <c r="P3285" s="10" t="n">
        <v>0.0297887143678963</v>
      </c>
      <c r="Q3285" s="0" t="str">
        <f aca="false">SUBSTITUTE(SUBSTITUTE($I3285,CHAR(61),""),CHAR(34),"")</f>
        <v>&lt;01</v>
      </c>
      <c r="R3285" s="0" t="str">
        <f aca="false">IF($D3285&lt;&gt;"","["&amp;$E3285&amp;"]"&amp;"|"&amp;$Q3285&amp;"|"&amp;$K3285&amp;"|"&amp;$G3285&amp;"|"&amp;IF($G3285="TX_CURR_SUBNAT.R","CY2022Q4",$M3285),"")</f>
        <v>[fyEoGEPERdI]|&lt;01|Male|Untreated_PLHIV_Attend.T_1|CY2023Q3</v>
      </c>
    </row>
    <row r="3286" customFormat="false" ht="15" hidden="false" customHeight="false" outlineLevel="0" collapsed="false">
      <c r="D3286" s="0" t="s">
        <v>84</v>
      </c>
      <c r="E3286" s="0" t="s">
        <v>85</v>
      </c>
      <c r="F3286" s="0" t="s">
        <v>86</v>
      </c>
      <c r="G3286" s="0" t="s">
        <v>151</v>
      </c>
      <c r="H3286" s="0" t="s">
        <v>151</v>
      </c>
      <c r="I3286" s="0" t="s">
        <v>33</v>
      </c>
      <c r="J3286" s="0" t="s">
        <v>34</v>
      </c>
      <c r="K3286" s="0" t="s">
        <v>48</v>
      </c>
      <c r="L3286" s="0" t="s">
        <v>49</v>
      </c>
      <c r="M3286" s="0" t="s">
        <v>140</v>
      </c>
      <c r="N3286" s="0" t="n">
        <v>944</v>
      </c>
      <c r="O3286" s="10" t="n">
        <v>0.423415330704302</v>
      </c>
      <c r="P3286" s="10" t="n">
        <v>0.0297887143678963</v>
      </c>
      <c r="Q3286" s="0" t="str">
        <f aca="false">SUBSTITUTE(SUBSTITUTE($I3286,CHAR(61),""),CHAR(34),"")</f>
        <v>01-09</v>
      </c>
      <c r="R3286" s="0" t="str">
        <f aca="false">IF($D3286&lt;&gt;"","["&amp;$E3286&amp;"]"&amp;"|"&amp;$Q3286&amp;"|"&amp;$K3286&amp;"|"&amp;$G3286&amp;"|"&amp;IF($G3286="TX_CURR_SUBNAT.R","CY2022Q4",$M3286),"")</f>
        <v>[fyEoGEPERdI]|01-09|Male|Untreated_PLHIV_Attend.T_1|CY2023Q3</v>
      </c>
    </row>
    <row r="3287" customFormat="false" ht="15" hidden="false" customHeight="false" outlineLevel="0" collapsed="false">
      <c r="D3287" s="0" t="s">
        <v>84</v>
      </c>
      <c r="E3287" s="0" t="s">
        <v>85</v>
      </c>
      <c r="F3287" s="0" t="s">
        <v>86</v>
      </c>
      <c r="G3287" s="0" t="s">
        <v>151</v>
      </c>
      <c r="H3287" s="0" t="s">
        <v>151</v>
      </c>
      <c r="I3287" s="0" t="s">
        <v>36</v>
      </c>
      <c r="J3287" s="0" t="s">
        <v>37</v>
      </c>
      <c r="K3287" s="0" t="s">
        <v>48</v>
      </c>
      <c r="L3287" s="0" t="s">
        <v>49</v>
      </c>
      <c r="M3287" s="0" t="s">
        <v>140</v>
      </c>
      <c r="N3287" s="0" t="n">
        <v>1218</v>
      </c>
      <c r="O3287" s="10" t="n">
        <v>0.335268817376345</v>
      </c>
      <c r="P3287" s="10" t="n">
        <v>0.0297887143678963</v>
      </c>
      <c r="Q3287" s="0" t="str">
        <f aca="false">SUBSTITUTE(SUBSTITUTE($I3287,CHAR(61),""),CHAR(34),"")</f>
        <v>10-14</v>
      </c>
      <c r="R3287" s="0" t="str">
        <f aca="false">IF($D3287&lt;&gt;"","["&amp;$E3287&amp;"]"&amp;"|"&amp;$Q3287&amp;"|"&amp;$K3287&amp;"|"&amp;$G3287&amp;"|"&amp;IF($G3287="TX_CURR_SUBNAT.R","CY2022Q4",$M3287),"")</f>
        <v>[fyEoGEPERdI]|10-14|Male|Untreated_PLHIV_Attend.T_1|CY2023Q3</v>
      </c>
    </row>
    <row r="3288" customFormat="false" ht="15" hidden="false" customHeight="false" outlineLevel="0" collapsed="false">
      <c r="D3288" s="0" t="s">
        <v>84</v>
      </c>
      <c r="E3288" s="0" t="s">
        <v>85</v>
      </c>
      <c r="F3288" s="0" t="s">
        <v>86</v>
      </c>
      <c r="G3288" s="0" t="s">
        <v>151</v>
      </c>
      <c r="H3288" s="0" t="s">
        <v>151</v>
      </c>
      <c r="I3288" s="0" t="s">
        <v>38</v>
      </c>
      <c r="J3288" s="0" t="s">
        <v>39</v>
      </c>
      <c r="K3288" s="0" t="s">
        <v>48</v>
      </c>
      <c r="L3288" s="0" t="s">
        <v>49</v>
      </c>
      <c r="M3288" s="0" t="s">
        <v>140</v>
      </c>
      <c r="N3288" s="0" t="n">
        <v>633</v>
      </c>
      <c r="O3288" s="10" t="n">
        <v>0.267946907319129</v>
      </c>
      <c r="P3288" s="10" t="n">
        <v>0.0297887143678963</v>
      </c>
      <c r="Q3288" s="0" t="str">
        <f aca="false">SUBSTITUTE(SUBSTITUTE($I3288,CHAR(61),""),CHAR(34),"")</f>
        <v>15-24</v>
      </c>
      <c r="R3288" s="0" t="str">
        <f aca="false">IF($D3288&lt;&gt;"","["&amp;$E3288&amp;"]"&amp;"|"&amp;$Q3288&amp;"|"&amp;$K3288&amp;"|"&amp;$G3288&amp;"|"&amp;IF($G3288="TX_CURR_SUBNAT.R","CY2022Q4",$M3288),"")</f>
        <v>[fyEoGEPERdI]|15-24|Male|Untreated_PLHIV_Attend.T_1|CY2023Q3</v>
      </c>
    </row>
    <row r="3289" customFormat="false" ht="15" hidden="false" customHeight="false" outlineLevel="0" collapsed="false">
      <c r="D3289" s="0" t="s">
        <v>84</v>
      </c>
      <c r="E3289" s="0" t="s">
        <v>85</v>
      </c>
      <c r="F3289" s="0" t="s">
        <v>86</v>
      </c>
      <c r="G3289" s="0" t="s">
        <v>151</v>
      </c>
      <c r="H3289" s="0" t="s">
        <v>151</v>
      </c>
      <c r="I3289" s="0" t="s">
        <v>41</v>
      </c>
      <c r="J3289" s="0" t="s">
        <v>42</v>
      </c>
      <c r="K3289" s="0" t="s">
        <v>48</v>
      </c>
      <c r="L3289" s="0" t="s">
        <v>49</v>
      </c>
      <c r="M3289" s="0" t="s">
        <v>140</v>
      </c>
      <c r="N3289" s="0" t="n">
        <v>918</v>
      </c>
      <c r="O3289" s="10" t="n">
        <v>0.0722147943452001</v>
      </c>
      <c r="P3289" s="10" t="n">
        <v>0.0297887143678963</v>
      </c>
      <c r="Q3289" s="0" t="str">
        <f aca="false">SUBSTITUTE(SUBSTITUTE($I3289,CHAR(61),""),CHAR(34),"")</f>
        <v>25-34</v>
      </c>
      <c r="R3289" s="0" t="str">
        <f aca="false">IF($D3289&lt;&gt;"","["&amp;$E3289&amp;"]"&amp;"|"&amp;$Q3289&amp;"|"&amp;$K3289&amp;"|"&amp;$G3289&amp;"|"&amp;IF($G3289="TX_CURR_SUBNAT.R","CY2022Q4",$M3289),"")</f>
        <v>[fyEoGEPERdI]|25-34|Male|Untreated_PLHIV_Attend.T_1|CY2023Q3</v>
      </c>
    </row>
    <row r="3290" customFormat="false" ht="15" hidden="false" customHeight="false" outlineLevel="0" collapsed="false">
      <c r="D3290" s="0" t="s">
        <v>84</v>
      </c>
      <c r="E3290" s="0" t="s">
        <v>85</v>
      </c>
      <c r="F3290" s="0" t="s">
        <v>86</v>
      </c>
      <c r="G3290" s="0" t="s">
        <v>151</v>
      </c>
      <c r="H3290" s="0" t="s">
        <v>151</v>
      </c>
      <c r="I3290" s="0" t="s">
        <v>43</v>
      </c>
      <c r="J3290" s="0" t="s">
        <v>44</v>
      </c>
      <c r="K3290" s="0" t="s">
        <v>48</v>
      </c>
      <c r="L3290" s="0" t="s">
        <v>49</v>
      </c>
      <c r="M3290" s="0" t="s">
        <v>140</v>
      </c>
      <c r="N3290" s="0" t="n">
        <v>1804</v>
      </c>
      <c r="O3290" s="10" t="n">
        <v>0.972834434127435</v>
      </c>
      <c r="P3290" s="10" t="n">
        <v>0.0297887143678963</v>
      </c>
      <c r="Q3290" s="0" t="str">
        <f aca="false">SUBSTITUTE(SUBSTITUTE($I3290,CHAR(61),""),CHAR(34),"")</f>
        <v>35-49</v>
      </c>
      <c r="R3290" s="0" t="str">
        <f aca="false">IF($D3290&lt;&gt;"","["&amp;$E3290&amp;"]"&amp;"|"&amp;$Q3290&amp;"|"&amp;$K3290&amp;"|"&amp;$G3290&amp;"|"&amp;IF($G3290="TX_CURR_SUBNAT.R","CY2022Q4",$M3290),"")</f>
        <v>[fyEoGEPERdI]|35-49|Male|Untreated_PLHIV_Attend.T_1|CY2023Q3</v>
      </c>
    </row>
    <row r="3291" customFormat="false" ht="15" hidden="false" customHeight="false" outlineLevel="0" collapsed="false">
      <c r="D3291" s="0" t="s">
        <v>84</v>
      </c>
      <c r="E3291" s="0" t="s">
        <v>85</v>
      </c>
      <c r="F3291" s="0" t="s">
        <v>86</v>
      </c>
      <c r="G3291" s="0" t="s">
        <v>151</v>
      </c>
      <c r="H3291" s="0" t="s">
        <v>151</v>
      </c>
      <c r="I3291" s="0" t="s">
        <v>45</v>
      </c>
      <c r="J3291" s="0" t="s">
        <v>46</v>
      </c>
      <c r="K3291" s="0" t="s">
        <v>48</v>
      </c>
      <c r="L3291" s="0" t="s">
        <v>49</v>
      </c>
      <c r="M3291" s="0" t="s">
        <v>140</v>
      </c>
      <c r="N3291" s="0" t="n">
        <v>1906</v>
      </c>
      <c r="O3291" s="10" t="n">
        <v>0.555423463694751</v>
      </c>
      <c r="P3291" s="10" t="n">
        <v>0.0297887143678963</v>
      </c>
      <c r="Q3291" s="0" t="str">
        <f aca="false">SUBSTITUTE(SUBSTITUTE($I3291,CHAR(61),""),CHAR(34),"")</f>
        <v>50+</v>
      </c>
      <c r="R3291" s="0" t="str">
        <f aca="false">IF($D3291&lt;&gt;"","["&amp;$E3291&amp;"]"&amp;"|"&amp;$Q3291&amp;"|"&amp;$K3291&amp;"|"&amp;$G3291&amp;"|"&amp;IF($G3291="TX_CURR_SUBNAT.R","CY2022Q4",$M3291),"")</f>
        <v>[fyEoGEPERdI]|50+|Male|Untreated_PLHIV_Attend.T_1|CY2023Q3</v>
      </c>
    </row>
    <row r="3292" customFormat="false" ht="15" hidden="false" customHeight="false" outlineLevel="0" collapsed="false">
      <c r="D3292" s="0" t="s">
        <v>87</v>
      </c>
      <c r="E3292" s="0" t="s">
        <v>88</v>
      </c>
      <c r="F3292" s="0" t="s">
        <v>89</v>
      </c>
      <c r="G3292" s="0" t="s">
        <v>151</v>
      </c>
      <c r="H3292" s="0" t="s">
        <v>151</v>
      </c>
      <c r="I3292" s="0" t="s">
        <v>28</v>
      </c>
      <c r="J3292" s="0" t="s">
        <v>29</v>
      </c>
      <c r="K3292" s="0" t="s">
        <v>30</v>
      </c>
      <c r="L3292" s="0" t="s">
        <v>31</v>
      </c>
      <c r="M3292" s="0" t="s">
        <v>140</v>
      </c>
      <c r="N3292" s="0" t="n">
        <v>1577</v>
      </c>
      <c r="O3292" s="10" t="n">
        <v>0.924888586858287</v>
      </c>
      <c r="P3292" s="10" t="n">
        <v>0.133336380822584</v>
      </c>
      <c r="Q3292" s="0" t="str">
        <f aca="false">SUBSTITUTE(SUBSTITUTE($I3292,CHAR(61),""),CHAR(34),"")</f>
        <v>&lt;01</v>
      </c>
      <c r="R3292" s="0" t="str">
        <f aca="false">IF($D3292&lt;&gt;"","["&amp;$E3292&amp;"]"&amp;"|"&amp;$Q3292&amp;"|"&amp;$K3292&amp;"|"&amp;$G3292&amp;"|"&amp;IF($G3292="TX_CURR_SUBNAT.R","CY2022Q4",$M3292),"")</f>
        <v>[cPtvxaZqXIH]|&lt;01|Female|Untreated_PLHIV_Attend.T_1|CY2023Q3</v>
      </c>
    </row>
    <row r="3293" customFormat="false" ht="15" hidden="false" customHeight="false" outlineLevel="0" collapsed="false">
      <c r="D3293" s="0" t="s">
        <v>87</v>
      </c>
      <c r="E3293" s="0" t="s">
        <v>88</v>
      </c>
      <c r="F3293" s="0" t="s">
        <v>89</v>
      </c>
      <c r="G3293" s="0" t="s">
        <v>151</v>
      </c>
      <c r="H3293" s="0" t="s">
        <v>151</v>
      </c>
      <c r="I3293" s="0" t="s">
        <v>33</v>
      </c>
      <c r="J3293" s="0" t="s">
        <v>34</v>
      </c>
      <c r="K3293" s="0" t="s">
        <v>30</v>
      </c>
      <c r="L3293" s="0" t="s">
        <v>31</v>
      </c>
      <c r="M3293" s="0" t="s">
        <v>140</v>
      </c>
      <c r="N3293" s="0" t="n">
        <v>1603</v>
      </c>
      <c r="O3293" s="10" t="n">
        <v>0.143939670873806</v>
      </c>
      <c r="P3293" s="10" t="n">
        <v>0.133336380822584</v>
      </c>
      <c r="Q3293" s="0" t="str">
        <f aca="false">SUBSTITUTE(SUBSTITUTE($I3293,CHAR(61),""),CHAR(34),"")</f>
        <v>01-09</v>
      </c>
      <c r="R3293" s="0" t="str">
        <f aca="false">IF($D3293&lt;&gt;"","["&amp;$E3293&amp;"]"&amp;"|"&amp;$Q3293&amp;"|"&amp;$K3293&amp;"|"&amp;$G3293&amp;"|"&amp;IF($G3293="TX_CURR_SUBNAT.R","CY2022Q4",$M3293),"")</f>
        <v>[cPtvxaZqXIH]|01-09|Female|Untreated_PLHIV_Attend.T_1|CY2023Q3</v>
      </c>
    </row>
    <row r="3294" customFormat="false" ht="15" hidden="false" customHeight="false" outlineLevel="0" collapsed="false">
      <c r="D3294" s="0" t="s">
        <v>87</v>
      </c>
      <c r="E3294" s="0" t="s">
        <v>88</v>
      </c>
      <c r="F3294" s="0" t="s">
        <v>89</v>
      </c>
      <c r="G3294" s="0" t="s">
        <v>151</v>
      </c>
      <c r="H3294" s="0" t="s">
        <v>151</v>
      </c>
      <c r="I3294" s="0" t="s">
        <v>36</v>
      </c>
      <c r="J3294" s="0" t="s">
        <v>37</v>
      </c>
      <c r="K3294" s="0" t="s">
        <v>30</v>
      </c>
      <c r="L3294" s="0" t="s">
        <v>31</v>
      </c>
      <c r="M3294" s="0" t="s">
        <v>140</v>
      </c>
      <c r="N3294" s="0" t="n">
        <v>750</v>
      </c>
      <c r="O3294" s="10" t="n">
        <v>0.407332671340555</v>
      </c>
      <c r="P3294" s="10" t="n">
        <v>0.133336380822584</v>
      </c>
      <c r="Q3294" s="0" t="str">
        <f aca="false">SUBSTITUTE(SUBSTITUTE($I3294,CHAR(61),""),CHAR(34),"")</f>
        <v>10-14</v>
      </c>
      <c r="R3294" s="0" t="str">
        <f aca="false">IF($D3294&lt;&gt;"","["&amp;$E3294&amp;"]"&amp;"|"&amp;$Q3294&amp;"|"&amp;$K3294&amp;"|"&amp;$G3294&amp;"|"&amp;IF($G3294="TX_CURR_SUBNAT.R","CY2022Q4",$M3294),"")</f>
        <v>[cPtvxaZqXIH]|10-14|Female|Untreated_PLHIV_Attend.T_1|CY2023Q3</v>
      </c>
    </row>
    <row r="3295" customFormat="false" ht="15" hidden="false" customHeight="false" outlineLevel="0" collapsed="false">
      <c r="D3295" s="0" t="s">
        <v>87</v>
      </c>
      <c r="E3295" s="0" t="s">
        <v>88</v>
      </c>
      <c r="F3295" s="0" t="s">
        <v>89</v>
      </c>
      <c r="G3295" s="0" t="s">
        <v>151</v>
      </c>
      <c r="H3295" s="0" t="s">
        <v>151</v>
      </c>
      <c r="I3295" s="0" t="s">
        <v>38</v>
      </c>
      <c r="J3295" s="0" t="s">
        <v>39</v>
      </c>
      <c r="K3295" s="0" t="s">
        <v>30</v>
      </c>
      <c r="L3295" s="0" t="s">
        <v>31</v>
      </c>
      <c r="M3295" s="0" t="s">
        <v>140</v>
      </c>
      <c r="N3295" s="0" t="n">
        <v>1548</v>
      </c>
      <c r="O3295" s="10" t="n">
        <v>0.162818169919774</v>
      </c>
      <c r="P3295" s="10" t="n">
        <v>0.133336380822584</v>
      </c>
      <c r="Q3295" s="0" t="str">
        <f aca="false">SUBSTITUTE(SUBSTITUTE($I3295,CHAR(61),""),CHAR(34),"")</f>
        <v>15-24</v>
      </c>
      <c r="R3295" s="0" t="str">
        <f aca="false">IF($D3295&lt;&gt;"","["&amp;$E3295&amp;"]"&amp;"|"&amp;$Q3295&amp;"|"&amp;$K3295&amp;"|"&amp;$G3295&amp;"|"&amp;IF($G3295="TX_CURR_SUBNAT.R","CY2022Q4",$M3295),"")</f>
        <v>[cPtvxaZqXIH]|15-24|Female|Untreated_PLHIV_Attend.T_1|CY2023Q3</v>
      </c>
    </row>
    <row r="3296" customFormat="false" ht="15" hidden="false" customHeight="false" outlineLevel="0" collapsed="false">
      <c r="D3296" s="0" t="s">
        <v>87</v>
      </c>
      <c r="E3296" s="0" t="s">
        <v>88</v>
      </c>
      <c r="F3296" s="0" t="s">
        <v>89</v>
      </c>
      <c r="G3296" s="0" t="s">
        <v>151</v>
      </c>
      <c r="H3296" s="0" t="s">
        <v>151</v>
      </c>
      <c r="I3296" s="0" t="s">
        <v>41</v>
      </c>
      <c r="J3296" s="0" t="s">
        <v>42</v>
      </c>
      <c r="K3296" s="0" t="s">
        <v>30</v>
      </c>
      <c r="L3296" s="0" t="s">
        <v>31</v>
      </c>
      <c r="M3296" s="0" t="s">
        <v>140</v>
      </c>
      <c r="N3296" s="0" t="n">
        <v>1501</v>
      </c>
      <c r="O3296" s="10" t="n">
        <v>0.390174991916865</v>
      </c>
      <c r="P3296" s="10" t="n">
        <v>0.133336380822584</v>
      </c>
      <c r="Q3296" s="0" t="str">
        <f aca="false">SUBSTITUTE(SUBSTITUTE($I3296,CHAR(61),""),CHAR(34),"")</f>
        <v>25-34</v>
      </c>
      <c r="R3296" s="0" t="str">
        <f aca="false">IF($D3296&lt;&gt;"","["&amp;$E3296&amp;"]"&amp;"|"&amp;$Q3296&amp;"|"&amp;$K3296&amp;"|"&amp;$G3296&amp;"|"&amp;IF($G3296="TX_CURR_SUBNAT.R","CY2022Q4",$M3296),"")</f>
        <v>[cPtvxaZqXIH]|25-34|Female|Untreated_PLHIV_Attend.T_1|CY2023Q3</v>
      </c>
    </row>
    <row r="3297" customFormat="false" ht="15" hidden="false" customHeight="false" outlineLevel="0" collapsed="false">
      <c r="D3297" s="0" t="s">
        <v>87</v>
      </c>
      <c r="E3297" s="0" t="s">
        <v>88</v>
      </c>
      <c r="F3297" s="0" t="s">
        <v>89</v>
      </c>
      <c r="G3297" s="0" t="s">
        <v>151</v>
      </c>
      <c r="H3297" s="0" t="s">
        <v>151</v>
      </c>
      <c r="I3297" s="0" t="s">
        <v>43</v>
      </c>
      <c r="J3297" s="0" t="s">
        <v>44</v>
      </c>
      <c r="K3297" s="0" t="s">
        <v>30</v>
      </c>
      <c r="L3297" s="0" t="s">
        <v>31</v>
      </c>
      <c r="M3297" s="0" t="s">
        <v>140</v>
      </c>
      <c r="N3297" s="0" t="n">
        <v>978</v>
      </c>
      <c r="O3297" s="10" t="n">
        <v>0.221396802924573</v>
      </c>
      <c r="P3297" s="10" t="n">
        <v>0.133336380822584</v>
      </c>
      <c r="Q3297" s="0" t="str">
        <f aca="false">SUBSTITUTE(SUBSTITUTE($I3297,CHAR(61),""),CHAR(34),"")</f>
        <v>35-49</v>
      </c>
      <c r="R3297" s="0" t="str">
        <f aca="false">IF($D3297&lt;&gt;"","["&amp;$E3297&amp;"]"&amp;"|"&amp;$Q3297&amp;"|"&amp;$K3297&amp;"|"&amp;$G3297&amp;"|"&amp;IF($G3297="TX_CURR_SUBNAT.R","CY2022Q4",$M3297),"")</f>
        <v>[cPtvxaZqXIH]|35-49|Female|Untreated_PLHIV_Attend.T_1|CY2023Q3</v>
      </c>
    </row>
    <row r="3298" customFormat="false" ht="15" hidden="false" customHeight="false" outlineLevel="0" collapsed="false">
      <c r="D3298" s="0" t="s">
        <v>87</v>
      </c>
      <c r="E3298" s="0" t="s">
        <v>88</v>
      </c>
      <c r="F3298" s="0" t="s">
        <v>89</v>
      </c>
      <c r="G3298" s="0" t="s">
        <v>151</v>
      </c>
      <c r="H3298" s="0" t="s">
        <v>151</v>
      </c>
      <c r="I3298" s="0" t="s">
        <v>45</v>
      </c>
      <c r="J3298" s="0" t="s">
        <v>46</v>
      </c>
      <c r="K3298" s="0" t="s">
        <v>30</v>
      </c>
      <c r="L3298" s="0" t="s">
        <v>31</v>
      </c>
      <c r="M3298" s="0" t="s">
        <v>140</v>
      </c>
      <c r="N3298" s="0" t="n">
        <v>560</v>
      </c>
      <c r="O3298" s="10" t="n">
        <v>0.22449735365808</v>
      </c>
      <c r="P3298" s="10" t="n">
        <v>0.133336380822584</v>
      </c>
      <c r="Q3298" s="0" t="str">
        <f aca="false">SUBSTITUTE(SUBSTITUTE($I3298,CHAR(61),""),CHAR(34),"")</f>
        <v>50+</v>
      </c>
      <c r="R3298" s="0" t="str">
        <f aca="false">IF($D3298&lt;&gt;"","["&amp;$E3298&amp;"]"&amp;"|"&amp;$Q3298&amp;"|"&amp;$K3298&amp;"|"&amp;$G3298&amp;"|"&amp;IF($G3298="TX_CURR_SUBNAT.R","CY2022Q4",$M3298),"")</f>
        <v>[cPtvxaZqXIH]|50+|Female|Untreated_PLHIV_Attend.T_1|CY2023Q3</v>
      </c>
    </row>
    <row r="3299" customFormat="false" ht="15" hidden="false" customHeight="false" outlineLevel="0" collapsed="false">
      <c r="D3299" s="0" t="s">
        <v>87</v>
      </c>
      <c r="E3299" s="0" t="s">
        <v>88</v>
      </c>
      <c r="F3299" s="0" t="s">
        <v>89</v>
      </c>
      <c r="G3299" s="0" t="s">
        <v>151</v>
      </c>
      <c r="H3299" s="0" t="s">
        <v>151</v>
      </c>
      <c r="I3299" s="0" t="s">
        <v>28</v>
      </c>
      <c r="J3299" s="0" t="s">
        <v>29</v>
      </c>
      <c r="K3299" s="0" t="s">
        <v>48</v>
      </c>
      <c r="L3299" s="0" t="s">
        <v>49</v>
      </c>
      <c r="M3299" s="0" t="s">
        <v>140</v>
      </c>
      <c r="N3299" s="0" t="n">
        <v>746</v>
      </c>
      <c r="O3299" s="10" t="n">
        <v>0.825621045427397</v>
      </c>
      <c r="P3299" s="10" t="n">
        <v>0.133336380822584</v>
      </c>
      <c r="Q3299" s="0" t="str">
        <f aca="false">SUBSTITUTE(SUBSTITUTE($I3299,CHAR(61),""),CHAR(34),"")</f>
        <v>&lt;01</v>
      </c>
      <c r="R3299" s="0" t="str">
        <f aca="false">IF($D3299&lt;&gt;"","["&amp;$E3299&amp;"]"&amp;"|"&amp;$Q3299&amp;"|"&amp;$K3299&amp;"|"&amp;$G3299&amp;"|"&amp;IF($G3299="TX_CURR_SUBNAT.R","CY2022Q4",$M3299),"")</f>
        <v>[cPtvxaZqXIH]|&lt;01|Male|Untreated_PLHIV_Attend.T_1|CY2023Q3</v>
      </c>
    </row>
    <row r="3300" customFormat="false" ht="15" hidden="false" customHeight="false" outlineLevel="0" collapsed="false">
      <c r="D3300" s="0" t="s">
        <v>87</v>
      </c>
      <c r="E3300" s="0" t="s">
        <v>88</v>
      </c>
      <c r="F3300" s="0" t="s">
        <v>89</v>
      </c>
      <c r="G3300" s="0" t="s">
        <v>151</v>
      </c>
      <c r="H3300" s="0" t="s">
        <v>151</v>
      </c>
      <c r="I3300" s="0" t="s">
        <v>33</v>
      </c>
      <c r="J3300" s="0" t="s">
        <v>34</v>
      </c>
      <c r="K3300" s="0" t="s">
        <v>48</v>
      </c>
      <c r="L3300" s="0" t="s">
        <v>49</v>
      </c>
      <c r="M3300" s="0" t="s">
        <v>140</v>
      </c>
      <c r="N3300" s="0" t="n">
        <v>1522</v>
      </c>
      <c r="O3300" s="10" t="n">
        <v>0.889979991829023</v>
      </c>
      <c r="P3300" s="10" t="n">
        <v>0.133336380822584</v>
      </c>
      <c r="Q3300" s="0" t="str">
        <f aca="false">SUBSTITUTE(SUBSTITUTE($I3300,CHAR(61),""),CHAR(34),"")</f>
        <v>01-09</v>
      </c>
      <c r="R3300" s="0" t="str">
        <f aca="false">IF($D3300&lt;&gt;"","["&amp;$E3300&amp;"]"&amp;"|"&amp;$Q3300&amp;"|"&amp;$K3300&amp;"|"&amp;$G3300&amp;"|"&amp;IF($G3300="TX_CURR_SUBNAT.R","CY2022Q4",$M3300),"")</f>
        <v>[cPtvxaZqXIH]|01-09|Male|Untreated_PLHIV_Attend.T_1|CY2023Q3</v>
      </c>
    </row>
    <row r="3301" customFormat="false" ht="15" hidden="false" customHeight="false" outlineLevel="0" collapsed="false">
      <c r="D3301" s="0" t="s">
        <v>87</v>
      </c>
      <c r="E3301" s="0" t="s">
        <v>88</v>
      </c>
      <c r="F3301" s="0" t="s">
        <v>89</v>
      </c>
      <c r="G3301" s="0" t="s">
        <v>151</v>
      </c>
      <c r="H3301" s="0" t="s">
        <v>151</v>
      </c>
      <c r="I3301" s="0" t="s">
        <v>36</v>
      </c>
      <c r="J3301" s="0" t="s">
        <v>37</v>
      </c>
      <c r="K3301" s="0" t="s">
        <v>48</v>
      </c>
      <c r="L3301" s="0" t="s">
        <v>49</v>
      </c>
      <c r="M3301" s="0" t="s">
        <v>140</v>
      </c>
      <c r="N3301" s="0" t="n">
        <v>1802</v>
      </c>
      <c r="O3301" s="10" t="n">
        <v>0.717619554838166</v>
      </c>
      <c r="P3301" s="10" t="n">
        <v>0.133336380822584</v>
      </c>
      <c r="Q3301" s="0" t="str">
        <f aca="false">SUBSTITUTE(SUBSTITUTE($I3301,CHAR(61),""),CHAR(34),"")</f>
        <v>10-14</v>
      </c>
      <c r="R3301" s="0" t="str">
        <f aca="false">IF($D3301&lt;&gt;"","["&amp;$E3301&amp;"]"&amp;"|"&amp;$Q3301&amp;"|"&amp;$K3301&amp;"|"&amp;$G3301&amp;"|"&amp;IF($G3301="TX_CURR_SUBNAT.R","CY2022Q4",$M3301),"")</f>
        <v>[cPtvxaZqXIH]|10-14|Male|Untreated_PLHIV_Attend.T_1|CY2023Q3</v>
      </c>
    </row>
    <row r="3302" customFormat="false" ht="15" hidden="false" customHeight="false" outlineLevel="0" collapsed="false">
      <c r="D3302" s="0" t="s">
        <v>87</v>
      </c>
      <c r="E3302" s="0" t="s">
        <v>88</v>
      </c>
      <c r="F3302" s="0" t="s">
        <v>89</v>
      </c>
      <c r="G3302" s="0" t="s">
        <v>151</v>
      </c>
      <c r="H3302" s="0" t="s">
        <v>151</v>
      </c>
      <c r="I3302" s="0" t="s">
        <v>38</v>
      </c>
      <c r="J3302" s="0" t="s">
        <v>39</v>
      </c>
      <c r="K3302" s="0" t="s">
        <v>48</v>
      </c>
      <c r="L3302" s="0" t="s">
        <v>49</v>
      </c>
      <c r="M3302" s="0" t="s">
        <v>140</v>
      </c>
      <c r="N3302" s="0" t="n">
        <v>1753</v>
      </c>
      <c r="O3302" s="10" t="n">
        <v>0.155012339353561</v>
      </c>
      <c r="P3302" s="10" t="n">
        <v>0.133336380822584</v>
      </c>
      <c r="Q3302" s="0" t="str">
        <f aca="false">SUBSTITUTE(SUBSTITUTE($I3302,CHAR(61),""),CHAR(34),"")</f>
        <v>15-24</v>
      </c>
      <c r="R3302" s="0" t="str">
        <f aca="false">IF($D3302&lt;&gt;"","["&amp;$E3302&amp;"]"&amp;"|"&amp;$Q3302&amp;"|"&amp;$K3302&amp;"|"&amp;$G3302&amp;"|"&amp;IF($G3302="TX_CURR_SUBNAT.R","CY2022Q4",$M3302),"")</f>
        <v>[cPtvxaZqXIH]|15-24|Male|Untreated_PLHIV_Attend.T_1|CY2023Q3</v>
      </c>
    </row>
    <row r="3303" customFormat="false" ht="15" hidden="false" customHeight="false" outlineLevel="0" collapsed="false">
      <c r="D3303" s="0" t="s">
        <v>87</v>
      </c>
      <c r="E3303" s="0" t="s">
        <v>88</v>
      </c>
      <c r="F3303" s="0" t="s">
        <v>89</v>
      </c>
      <c r="G3303" s="0" t="s">
        <v>151</v>
      </c>
      <c r="H3303" s="0" t="s">
        <v>151</v>
      </c>
      <c r="I3303" s="0" t="s">
        <v>41</v>
      </c>
      <c r="J3303" s="0" t="s">
        <v>42</v>
      </c>
      <c r="K3303" s="0" t="s">
        <v>48</v>
      </c>
      <c r="L3303" s="0" t="s">
        <v>49</v>
      </c>
      <c r="M3303" s="0" t="s">
        <v>140</v>
      </c>
      <c r="N3303" s="0" t="n">
        <v>1215</v>
      </c>
      <c r="O3303" s="10" t="n">
        <v>0.989433675538749</v>
      </c>
      <c r="P3303" s="10" t="n">
        <v>0.133336380822584</v>
      </c>
      <c r="Q3303" s="0" t="str">
        <f aca="false">SUBSTITUTE(SUBSTITUTE($I3303,CHAR(61),""),CHAR(34),"")</f>
        <v>25-34</v>
      </c>
      <c r="R3303" s="0" t="str">
        <f aca="false">IF($D3303&lt;&gt;"","["&amp;$E3303&amp;"]"&amp;"|"&amp;$Q3303&amp;"|"&amp;$K3303&amp;"|"&amp;$G3303&amp;"|"&amp;IF($G3303="TX_CURR_SUBNAT.R","CY2022Q4",$M3303),"")</f>
        <v>[cPtvxaZqXIH]|25-34|Male|Untreated_PLHIV_Attend.T_1|CY2023Q3</v>
      </c>
    </row>
    <row r="3304" customFormat="false" ht="15" hidden="false" customHeight="false" outlineLevel="0" collapsed="false">
      <c r="D3304" s="0" t="s">
        <v>87</v>
      </c>
      <c r="E3304" s="0" t="s">
        <v>88</v>
      </c>
      <c r="F3304" s="0" t="s">
        <v>89</v>
      </c>
      <c r="G3304" s="0" t="s">
        <v>151</v>
      </c>
      <c r="H3304" s="0" t="s">
        <v>151</v>
      </c>
      <c r="I3304" s="0" t="s">
        <v>43</v>
      </c>
      <c r="J3304" s="0" t="s">
        <v>44</v>
      </c>
      <c r="K3304" s="0" t="s">
        <v>48</v>
      </c>
      <c r="L3304" s="0" t="s">
        <v>49</v>
      </c>
      <c r="M3304" s="0" t="s">
        <v>140</v>
      </c>
      <c r="N3304" s="0" t="n">
        <v>1628</v>
      </c>
      <c r="O3304" s="10" t="n">
        <v>0.604288402944803</v>
      </c>
      <c r="P3304" s="10" t="n">
        <v>0.133336380822584</v>
      </c>
      <c r="Q3304" s="0" t="str">
        <f aca="false">SUBSTITUTE(SUBSTITUTE($I3304,CHAR(61),""),CHAR(34),"")</f>
        <v>35-49</v>
      </c>
      <c r="R3304" s="0" t="str">
        <f aca="false">IF($D3304&lt;&gt;"","["&amp;$E3304&amp;"]"&amp;"|"&amp;$Q3304&amp;"|"&amp;$K3304&amp;"|"&amp;$G3304&amp;"|"&amp;IF($G3304="TX_CURR_SUBNAT.R","CY2022Q4",$M3304),"")</f>
        <v>[cPtvxaZqXIH]|35-49|Male|Untreated_PLHIV_Attend.T_1|CY2023Q3</v>
      </c>
    </row>
    <row r="3305" customFormat="false" ht="15" hidden="false" customHeight="false" outlineLevel="0" collapsed="false">
      <c r="D3305" s="0" t="s">
        <v>87</v>
      </c>
      <c r="E3305" s="0" t="s">
        <v>88</v>
      </c>
      <c r="F3305" s="0" t="s">
        <v>89</v>
      </c>
      <c r="G3305" s="0" t="s">
        <v>151</v>
      </c>
      <c r="H3305" s="0" t="s">
        <v>151</v>
      </c>
      <c r="I3305" s="0" t="s">
        <v>45</v>
      </c>
      <c r="J3305" s="0" t="s">
        <v>46</v>
      </c>
      <c r="K3305" s="0" t="s">
        <v>48</v>
      </c>
      <c r="L3305" s="0" t="s">
        <v>49</v>
      </c>
      <c r="M3305" s="0" t="s">
        <v>140</v>
      </c>
      <c r="N3305" s="0" t="n">
        <v>1070</v>
      </c>
      <c r="O3305" s="10" t="n">
        <v>0.754750482505187</v>
      </c>
      <c r="P3305" s="10" t="n">
        <v>0.133336380822584</v>
      </c>
      <c r="Q3305" s="0" t="str">
        <f aca="false">SUBSTITUTE(SUBSTITUTE($I3305,CHAR(61),""),CHAR(34),"")</f>
        <v>50+</v>
      </c>
      <c r="R3305" s="0" t="str">
        <f aca="false">IF($D3305&lt;&gt;"","["&amp;$E3305&amp;"]"&amp;"|"&amp;$Q3305&amp;"|"&amp;$K3305&amp;"|"&amp;$G3305&amp;"|"&amp;IF($G3305="TX_CURR_SUBNAT.R","CY2022Q4",$M3305),"")</f>
        <v>[cPtvxaZqXIH]|50+|Male|Untreated_PLHIV_Attend.T_1|CY2023Q3</v>
      </c>
    </row>
    <row r="3306" customFormat="false" ht="15" hidden="false" customHeight="false" outlineLevel="0" collapsed="false">
      <c r="D3306" s="0" t="s">
        <v>90</v>
      </c>
      <c r="E3306" s="0" t="s">
        <v>91</v>
      </c>
      <c r="F3306" s="0" t="s">
        <v>92</v>
      </c>
      <c r="G3306" s="0" t="s">
        <v>151</v>
      </c>
      <c r="H3306" s="0" t="s">
        <v>151</v>
      </c>
      <c r="I3306" s="0" t="s">
        <v>28</v>
      </c>
      <c r="J3306" s="0" t="s">
        <v>29</v>
      </c>
      <c r="K3306" s="0" t="s">
        <v>30</v>
      </c>
      <c r="L3306" s="0" t="s">
        <v>31</v>
      </c>
      <c r="M3306" s="0" t="s">
        <v>140</v>
      </c>
      <c r="N3306" s="0" t="n">
        <v>1698</v>
      </c>
      <c r="O3306" s="10" t="n">
        <v>0.65626297518611</v>
      </c>
      <c r="P3306" s="10" t="n">
        <v>0.719914150424302</v>
      </c>
      <c r="Q3306" s="0" t="str">
        <f aca="false">SUBSTITUTE(SUBSTITUTE($I3306,CHAR(61),""),CHAR(34),"")</f>
        <v>&lt;01</v>
      </c>
      <c r="R3306" s="0" t="str">
        <f aca="false">IF($D3306&lt;&gt;"","["&amp;$E3306&amp;"]"&amp;"|"&amp;$Q3306&amp;"|"&amp;$K3306&amp;"|"&amp;$G3306&amp;"|"&amp;IF($G3306="TX_CURR_SUBNAT.R","CY2022Q4",$M3306),"")</f>
        <v>[AZyWpGzhcaA]|&lt;01|Female|Untreated_PLHIV_Attend.T_1|CY2023Q3</v>
      </c>
    </row>
    <row r="3307" customFormat="false" ht="15" hidden="false" customHeight="false" outlineLevel="0" collapsed="false">
      <c r="D3307" s="0" t="s">
        <v>90</v>
      </c>
      <c r="E3307" s="0" t="s">
        <v>91</v>
      </c>
      <c r="F3307" s="0" t="s">
        <v>92</v>
      </c>
      <c r="G3307" s="0" t="s">
        <v>151</v>
      </c>
      <c r="H3307" s="0" t="s">
        <v>151</v>
      </c>
      <c r="I3307" s="0" t="s">
        <v>33</v>
      </c>
      <c r="J3307" s="0" t="s">
        <v>34</v>
      </c>
      <c r="K3307" s="0" t="s">
        <v>30</v>
      </c>
      <c r="L3307" s="0" t="s">
        <v>31</v>
      </c>
      <c r="M3307" s="0" t="s">
        <v>140</v>
      </c>
      <c r="N3307" s="0" t="n">
        <v>698</v>
      </c>
      <c r="O3307" s="10" t="n">
        <v>0.67070844094269</v>
      </c>
      <c r="P3307" s="10" t="n">
        <v>0.719914150424302</v>
      </c>
      <c r="Q3307" s="0" t="str">
        <f aca="false">SUBSTITUTE(SUBSTITUTE($I3307,CHAR(61),""),CHAR(34),"")</f>
        <v>01-09</v>
      </c>
      <c r="R3307" s="0" t="str">
        <f aca="false">IF($D3307&lt;&gt;"","["&amp;$E3307&amp;"]"&amp;"|"&amp;$Q3307&amp;"|"&amp;$K3307&amp;"|"&amp;$G3307&amp;"|"&amp;IF($G3307="TX_CURR_SUBNAT.R","CY2022Q4",$M3307),"")</f>
        <v>[AZyWpGzhcaA]|01-09|Female|Untreated_PLHIV_Attend.T_1|CY2023Q3</v>
      </c>
    </row>
    <row r="3308" customFormat="false" ht="15" hidden="false" customHeight="false" outlineLevel="0" collapsed="false">
      <c r="D3308" s="0" t="s">
        <v>90</v>
      </c>
      <c r="E3308" s="0" t="s">
        <v>91</v>
      </c>
      <c r="F3308" s="0" t="s">
        <v>92</v>
      </c>
      <c r="G3308" s="0" t="s">
        <v>151</v>
      </c>
      <c r="H3308" s="0" t="s">
        <v>151</v>
      </c>
      <c r="I3308" s="0" t="s">
        <v>36</v>
      </c>
      <c r="J3308" s="0" t="s">
        <v>37</v>
      </c>
      <c r="K3308" s="0" t="s">
        <v>30</v>
      </c>
      <c r="L3308" s="0" t="s">
        <v>31</v>
      </c>
      <c r="M3308" s="0" t="s">
        <v>140</v>
      </c>
      <c r="N3308" s="0" t="n">
        <v>1306</v>
      </c>
      <c r="O3308" s="10" t="n">
        <v>0.50786320399493</v>
      </c>
      <c r="P3308" s="10" t="n">
        <v>0.719914150424302</v>
      </c>
      <c r="Q3308" s="0" t="str">
        <f aca="false">SUBSTITUTE(SUBSTITUTE($I3308,CHAR(61),""),CHAR(34),"")</f>
        <v>10-14</v>
      </c>
      <c r="R3308" s="0" t="str">
        <f aca="false">IF($D3308&lt;&gt;"","["&amp;$E3308&amp;"]"&amp;"|"&amp;$Q3308&amp;"|"&amp;$K3308&amp;"|"&amp;$G3308&amp;"|"&amp;IF($G3308="TX_CURR_SUBNAT.R","CY2022Q4",$M3308),"")</f>
        <v>[AZyWpGzhcaA]|10-14|Female|Untreated_PLHIV_Attend.T_1|CY2023Q3</v>
      </c>
    </row>
    <row r="3309" customFormat="false" ht="15" hidden="false" customHeight="false" outlineLevel="0" collapsed="false">
      <c r="D3309" s="0" t="s">
        <v>90</v>
      </c>
      <c r="E3309" s="0" t="s">
        <v>91</v>
      </c>
      <c r="F3309" s="0" t="s">
        <v>92</v>
      </c>
      <c r="G3309" s="0" t="s">
        <v>151</v>
      </c>
      <c r="H3309" s="0" t="s">
        <v>151</v>
      </c>
      <c r="I3309" s="0" t="s">
        <v>38</v>
      </c>
      <c r="J3309" s="0" t="s">
        <v>39</v>
      </c>
      <c r="K3309" s="0" t="s">
        <v>30</v>
      </c>
      <c r="L3309" s="0" t="s">
        <v>31</v>
      </c>
      <c r="M3309" s="0" t="s">
        <v>140</v>
      </c>
      <c r="N3309" s="0" t="n">
        <v>954</v>
      </c>
      <c r="O3309" s="10" t="n">
        <v>0.358490510378033</v>
      </c>
      <c r="P3309" s="10" t="n">
        <v>0.719914150424302</v>
      </c>
      <c r="Q3309" s="0" t="str">
        <f aca="false">SUBSTITUTE(SUBSTITUTE($I3309,CHAR(61),""),CHAR(34),"")</f>
        <v>15-24</v>
      </c>
      <c r="R3309" s="0" t="str">
        <f aca="false">IF($D3309&lt;&gt;"","["&amp;$E3309&amp;"]"&amp;"|"&amp;$Q3309&amp;"|"&amp;$K3309&amp;"|"&amp;$G3309&amp;"|"&amp;IF($G3309="TX_CURR_SUBNAT.R","CY2022Q4",$M3309),"")</f>
        <v>[AZyWpGzhcaA]|15-24|Female|Untreated_PLHIV_Attend.T_1|CY2023Q3</v>
      </c>
    </row>
    <row r="3310" customFormat="false" ht="15" hidden="false" customHeight="false" outlineLevel="0" collapsed="false">
      <c r="D3310" s="0" t="s">
        <v>90</v>
      </c>
      <c r="E3310" s="0" t="s">
        <v>91</v>
      </c>
      <c r="F3310" s="0" t="s">
        <v>92</v>
      </c>
      <c r="G3310" s="0" t="s">
        <v>151</v>
      </c>
      <c r="H3310" s="0" t="s">
        <v>151</v>
      </c>
      <c r="I3310" s="0" t="s">
        <v>41</v>
      </c>
      <c r="J3310" s="0" t="s">
        <v>42</v>
      </c>
      <c r="K3310" s="0" t="s">
        <v>30</v>
      </c>
      <c r="L3310" s="0" t="s">
        <v>31</v>
      </c>
      <c r="M3310" s="0" t="s">
        <v>140</v>
      </c>
      <c r="N3310" s="0" t="n">
        <v>1170</v>
      </c>
      <c r="O3310" s="10" t="n">
        <v>0.119117042282596</v>
      </c>
      <c r="P3310" s="10" t="n">
        <v>0.719914150424302</v>
      </c>
      <c r="Q3310" s="0" t="str">
        <f aca="false">SUBSTITUTE(SUBSTITUTE($I3310,CHAR(61),""),CHAR(34),"")</f>
        <v>25-34</v>
      </c>
      <c r="R3310" s="0" t="str">
        <f aca="false">IF($D3310&lt;&gt;"","["&amp;$E3310&amp;"]"&amp;"|"&amp;$Q3310&amp;"|"&amp;$K3310&amp;"|"&amp;$G3310&amp;"|"&amp;IF($G3310="TX_CURR_SUBNAT.R","CY2022Q4",$M3310),"")</f>
        <v>[AZyWpGzhcaA]|25-34|Female|Untreated_PLHIV_Attend.T_1|CY2023Q3</v>
      </c>
    </row>
    <row r="3311" customFormat="false" ht="15" hidden="false" customHeight="false" outlineLevel="0" collapsed="false">
      <c r="D3311" s="0" t="s">
        <v>90</v>
      </c>
      <c r="E3311" s="0" t="s">
        <v>91</v>
      </c>
      <c r="F3311" s="0" t="s">
        <v>92</v>
      </c>
      <c r="G3311" s="0" t="s">
        <v>151</v>
      </c>
      <c r="H3311" s="0" t="s">
        <v>151</v>
      </c>
      <c r="I3311" s="0" t="s">
        <v>43</v>
      </c>
      <c r="J3311" s="0" t="s">
        <v>44</v>
      </c>
      <c r="K3311" s="0" t="s">
        <v>30</v>
      </c>
      <c r="L3311" s="0" t="s">
        <v>31</v>
      </c>
      <c r="M3311" s="0" t="s">
        <v>140</v>
      </c>
      <c r="N3311" s="0" t="n">
        <v>1913</v>
      </c>
      <c r="O3311" s="10" t="n">
        <v>0.122885444900021</v>
      </c>
      <c r="P3311" s="10" t="n">
        <v>0.719914150424302</v>
      </c>
      <c r="Q3311" s="0" t="str">
        <f aca="false">SUBSTITUTE(SUBSTITUTE($I3311,CHAR(61),""),CHAR(34),"")</f>
        <v>35-49</v>
      </c>
      <c r="R3311" s="0" t="str">
        <f aca="false">IF($D3311&lt;&gt;"","["&amp;$E3311&amp;"]"&amp;"|"&amp;$Q3311&amp;"|"&amp;$K3311&amp;"|"&amp;$G3311&amp;"|"&amp;IF($G3311="TX_CURR_SUBNAT.R","CY2022Q4",$M3311),"")</f>
        <v>[AZyWpGzhcaA]|35-49|Female|Untreated_PLHIV_Attend.T_1|CY2023Q3</v>
      </c>
    </row>
    <row r="3312" customFormat="false" ht="15" hidden="false" customHeight="false" outlineLevel="0" collapsed="false">
      <c r="D3312" s="0" t="s">
        <v>90</v>
      </c>
      <c r="E3312" s="0" t="s">
        <v>91</v>
      </c>
      <c r="F3312" s="0" t="s">
        <v>92</v>
      </c>
      <c r="G3312" s="0" t="s">
        <v>151</v>
      </c>
      <c r="H3312" s="0" t="s">
        <v>151</v>
      </c>
      <c r="I3312" s="0" t="s">
        <v>45</v>
      </c>
      <c r="J3312" s="0" t="s">
        <v>46</v>
      </c>
      <c r="K3312" s="0" t="s">
        <v>30</v>
      </c>
      <c r="L3312" s="0" t="s">
        <v>31</v>
      </c>
      <c r="M3312" s="0" t="s">
        <v>140</v>
      </c>
      <c r="N3312" s="0" t="n">
        <v>1130</v>
      </c>
      <c r="O3312" s="10" t="n">
        <v>0.362647258676589</v>
      </c>
      <c r="P3312" s="10" t="n">
        <v>0.719914150424302</v>
      </c>
      <c r="Q3312" s="0" t="str">
        <f aca="false">SUBSTITUTE(SUBSTITUTE($I3312,CHAR(61),""),CHAR(34),"")</f>
        <v>50+</v>
      </c>
      <c r="R3312" s="0" t="str">
        <f aca="false">IF($D3312&lt;&gt;"","["&amp;$E3312&amp;"]"&amp;"|"&amp;$Q3312&amp;"|"&amp;$K3312&amp;"|"&amp;$G3312&amp;"|"&amp;IF($G3312="TX_CURR_SUBNAT.R","CY2022Q4",$M3312),"")</f>
        <v>[AZyWpGzhcaA]|50+|Female|Untreated_PLHIV_Attend.T_1|CY2023Q3</v>
      </c>
    </row>
    <row r="3313" customFormat="false" ht="15" hidden="false" customHeight="false" outlineLevel="0" collapsed="false">
      <c r="D3313" s="0" t="s">
        <v>90</v>
      </c>
      <c r="E3313" s="0" t="s">
        <v>91</v>
      </c>
      <c r="F3313" s="0" t="s">
        <v>92</v>
      </c>
      <c r="G3313" s="0" t="s">
        <v>151</v>
      </c>
      <c r="H3313" s="0" t="s">
        <v>151</v>
      </c>
      <c r="I3313" s="0" t="s">
        <v>28</v>
      </c>
      <c r="J3313" s="0" t="s">
        <v>29</v>
      </c>
      <c r="K3313" s="0" t="s">
        <v>48</v>
      </c>
      <c r="L3313" s="0" t="s">
        <v>49</v>
      </c>
      <c r="M3313" s="0" t="s">
        <v>140</v>
      </c>
      <c r="N3313" s="0" t="n">
        <v>1472</v>
      </c>
      <c r="O3313" s="10" t="n">
        <v>0.342866266146302</v>
      </c>
      <c r="P3313" s="10" t="n">
        <v>0.719914150424302</v>
      </c>
      <c r="Q3313" s="0" t="str">
        <f aca="false">SUBSTITUTE(SUBSTITUTE($I3313,CHAR(61),""),CHAR(34),"")</f>
        <v>&lt;01</v>
      </c>
      <c r="R3313" s="0" t="str">
        <f aca="false">IF($D3313&lt;&gt;"","["&amp;$E3313&amp;"]"&amp;"|"&amp;$Q3313&amp;"|"&amp;$K3313&amp;"|"&amp;$G3313&amp;"|"&amp;IF($G3313="TX_CURR_SUBNAT.R","CY2022Q4",$M3313),"")</f>
        <v>[AZyWpGzhcaA]|&lt;01|Male|Untreated_PLHIV_Attend.T_1|CY2023Q3</v>
      </c>
    </row>
    <row r="3314" customFormat="false" ht="15" hidden="false" customHeight="false" outlineLevel="0" collapsed="false">
      <c r="D3314" s="0" t="s">
        <v>90</v>
      </c>
      <c r="E3314" s="0" t="s">
        <v>91</v>
      </c>
      <c r="F3314" s="0" t="s">
        <v>92</v>
      </c>
      <c r="G3314" s="0" t="s">
        <v>151</v>
      </c>
      <c r="H3314" s="0" t="s">
        <v>151</v>
      </c>
      <c r="I3314" s="0" t="s">
        <v>33</v>
      </c>
      <c r="J3314" s="0" t="s">
        <v>34</v>
      </c>
      <c r="K3314" s="0" t="s">
        <v>48</v>
      </c>
      <c r="L3314" s="0" t="s">
        <v>49</v>
      </c>
      <c r="M3314" s="0" t="s">
        <v>140</v>
      </c>
      <c r="N3314" s="0" t="n">
        <v>1017</v>
      </c>
      <c r="O3314" s="10" t="n">
        <v>0.771664825733751</v>
      </c>
      <c r="P3314" s="10" t="n">
        <v>0.719914150424302</v>
      </c>
      <c r="Q3314" s="0" t="str">
        <f aca="false">SUBSTITUTE(SUBSTITUTE($I3314,CHAR(61),""),CHAR(34),"")</f>
        <v>01-09</v>
      </c>
      <c r="R3314" s="0" t="str">
        <f aca="false">IF($D3314&lt;&gt;"","["&amp;$E3314&amp;"]"&amp;"|"&amp;$Q3314&amp;"|"&amp;$K3314&amp;"|"&amp;$G3314&amp;"|"&amp;IF($G3314="TX_CURR_SUBNAT.R","CY2022Q4",$M3314),"")</f>
        <v>[AZyWpGzhcaA]|01-09|Male|Untreated_PLHIV_Attend.T_1|CY2023Q3</v>
      </c>
    </row>
    <row r="3315" customFormat="false" ht="15" hidden="false" customHeight="false" outlineLevel="0" collapsed="false">
      <c r="D3315" s="0" t="s">
        <v>90</v>
      </c>
      <c r="E3315" s="0" t="s">
        <v>91</v>
      </c>
      <c r="F3315" s="0" t="s">
        <v>92</v>
      </c>
      <c r="G3315" s="0" t="s">
        <v>151</v>
      </c>
      <c r="H3315" s="0" t="s">
        <v>151</v>
      </c>
      <c r="I3315" s="0" t="s">
        <v>36</v>
      </c>
      <c r="J3315" s="0" t="s">
        <v>37</v>
      </c>
      <c r="K3315" s="0" t="s">
        <v>48</v>
      </c>
      <c r="L3315" s="0" t="s">
        <v>49</v>
      </c>
      <c r="M3315" s="0" t="s">
        <v>140</v>
      </c>
      <c r="N3315" s="0" t="n">
        <v>1985</v>
      </c>
      <c r="O3315" s="10" t="n">
        <v>0.0409966767765582</v>
      </c>
      <c r="P3315" s="10" t="n">
        <v>0.719914150424302</v>
      </c>
      <c r="Q3315" s="0" t="str">
        <f aca="false">SUBSTITUTE(SUBSTITUTE($I3315,CHAR(61),""),CHAR(34),"")</f>
        <v>10-14</v>
      </c>
      <c r="R3315" s="0" t="str">
        <f aca="false">IF($D3315&lt;&gt;"","["&amp;$E3315&amp;"]"&amp;"|"&amp;$Q3315&amp;"|"&amp;$K3315&amp;"|"&amp;$G3315&amp;"|"&amp;IF($G3315="TX_CURR_SUBNAT.R","CY2022Q4",$M3315),"")</f>
        <v>[AZyWpGzhcaA]|10-14|Male|Untreated_PLHIV_Attend.T_1|CY2023Q3</v>
      </c>
    </row>
    <row r="3316" customFormat="false" ht="15" hidden="false" customHeight="false" outlineLevel="0" collapsed="false">
      <c r="D3316" s="0" t="s">
        <v>90</v>
      </c>
      <c r="E3316" s="0" t="s">
        <v>91</v>
      </c>
      <c r="F3316" s="0" t="s">
        <v>92</v>
      </c>
      <c r="G3316" s="0" t="s">
        <v>151</v>
      </c>
      <c r="H3316" s="0" t="s">
        <v>151</v>
      </c>
      <c r="I3316" s="0" t="s">
        <v>38</v>
      </c>
      <c r="J3316" s="0" t="s">
        <v>39</v>
      </c>
      <c r="K3316" s="0" t="s">
        <v>48</v>
      </c>
      <c r="L3316" s="0" t="s">
        <v>49</v>
      </c>
      <c r="M3316" s="0" t="s">
        <v>140</v>
      </c>
      <c r="N3316" s="0" t="n">
        <v>796</v>
      </c>
      <c r="O3316" s="10" t="n">
        <v>0.658847528509796</v>
      </c>
      <c r="P3316" s="10" t="n">
        <v>0.719914150424302</v>
      </c>
      <c r="Q3316" s="0" t="str">
        <f aca="false">SUBSTITUTE(SUBSTITUTE($I3316,CHAR(61),""),CHAR(34),"")</f>
        <v>15-24</v>
      </c>
      <c r="R3316" s="0" t="str">
        <f aca="false">IF($D3316&lt;&gt;"","["&amp;$E3316&amp;"]"&amp;"|"&amp;$Q3316&amp;"|"&amp;$K3316&amp;"|"&amp;$G3316&amp;"|"&amp;IF($G3316="TX_CURR_SUBNAT.R","CY2022Q4",$M3316),"")</f>
        <v>[AZyWpGzhcaA]|15-24|Male|Untreated_PLHIV_Attend.T_1|CY2023Q3</v>
      </c>
    </row>
    <row r="3317" customFormat="false" ht="15" hidden="false" customHeight="false" outlineLevel="0" collapsed="false">
      <c r="D3317" s="0" t="s">
        <v>90</v>
      </c>
      <c r="E3317" s="0" t="s">
        <v>91</v>
      </c>
      <c r="F3317" s="0" t="s">
        <v>92</v>
      </c>
      <c r="G3317" s="0" t="s">
        <v>151</v>
      </c>
      <c r="H3317" s="0" t="s">
        <v>151</v>
      </c>
      <c r="I3317" s="0" t="s">
        <v>41</v>
      </c>
      <c r="J3317" s="0" t="s">
        <v>42</v>
      </c>
      <c r="K3317" s="0" t="s">
        <v>48</v>
      </c>
      <c r="L3317" s="0" t="s">
        <v>49</v>
      </c>
      <c r="M3317" s="0" t="s">
        <v>140</v>
      </c>
      <c r="N3317" s="0" t="n">
        <v>686</v>
      </c>
      <c r="O3317" s="10" t="n">
        <v>0.995849643368274</v>
      </c>
      <c r="P3317" s="10" t="n">
        <v>0.719914150424302</v>
      </c>
      <c r="Q3317" s="0" t="str">
        <f aca="false">SUBSTITUTE(SUBSTITUTE($I3317,CHAR(61),""),CHAR(34),"")</f>
        <v>25-34</v>
      </c>
      <c r="R3317" s="0" t="str">
        <f aca="false">IF($D3317&lt;&gt;"","["&amp;$E3317&amp;"]"&amp;"|"&amp;$Q3317&amp;"|"&amp;$K3317&amp;"|"&amp;$G3317&amp;"|"&amp;IF($G3317="TX_CURR_SUBNAT.R","CY2022Q4",$M3317),"")</f>
        <v>[AZyWpGzhcaA]|25-34|Male|Untreated_PLHIV_Attend.T_1|CY2023Q3</v>
      </c>
    </row>
    <row r="3318" customFormat="false" ht="15" hidden="false" customHeight="false" outlineLevel="0" collapsed="false">
      <c r="D3318" s="0" t="s">
        <v>90</v>
      </c>
      <c r="E3318" s="0" t="s">
        <v>91</v>
      </c>
      <c r="F3318" s="0" t="s">
        <v>92</v>
      </c>
      <c r="G3318" s="0" t="s">
        <v>151</v>
      </c>
      <c r="H3318" s="0" t="s">
        <v>151</v>
      </c>
      <c r="I3318" s="0" t="s">
        <v>43</v>
      </c>
      <c r="J3318" s="0" t="s">
        <v>44</v>
      </c>
      <c r="K3318" s="0" t="s">
        <v>48</v>
      </c>
      <c r="L3318" s="0" t="s">
        <v>49</v>
      </c>
      <c r="M3318" s="0" t="s">
        <v>140</v>
      </c>
      <c r="N3318" s="0" t="n">
        <v>1744</v>
      </c>
      <c r="O3318" s="10" t="n">
        <v>0.677096537547186</v>
      </c>
      <c r="P3318" s="10" t="n">
        <v>0.719914150424302</v>
      </c>
      <c r="Q3318" s="0" t="str">
        <f aca="false">SUBSTITUTE(SUBSTITUTE($I3318,CHAR(61),""),CHAR(34),"")</f>
        <v>35-49</v>
      </c>
      <c r="R3318" s="0" t="str">
        <f aca="false">IF($D3318&lt;&gt;"","["&amp;$E3318&amp;"]"&amp;"|"&amp;$Q3318&amp;"|"&amp;$K3318&amp;"|"&amp;$G3318&amp;"|"&amp;IF($G3318="TX_CURR_SUBNAT.R","CY2022Q4",$M3318),"")</f>
        <v>[AZyWpGzhcaA]|35-49|Male|Untreated_PLHIV_Attend.T_1|CY2023Q3</v>
      </c>
    </row>
    <row r="3319" customFormat="false" ht="15" hidden="false" customHeight="false" outlineLevel="0" collapsed="false">
      <c r="D3319" s="0" t="s">
        <v>90</v>
      </c>
      <c r="E3319" s="0" t="s">
        <v>91</v>
      </c>
      <c r="F3319" s="0" t="s">
        <v>92</v>
      </c>
      <c r="G3319" s="0" t="s">
        <v>151</v>
      </c>
      <c r="H3319" s="0" t="s">
        <v>151</v>
      </c>
      <c r="I3319" s="0" t="s">
        <v>45</v>
      </c>
      <c r="J3319" s="0" t="s">
        <v>46</v>
      </c>
      <c r="K3319" s="0" t="s">
        <v>48</v>
      </c>
      <c r="L3319" s="0" t="s">
        <v>49</v>
      </c>
      <c r="M3319" s="0" t="s">
        <v>140</v>
      </c>
      <c r="N3319" s="0" t="n">
        <v>545</v>
      </c>
      <c r="O3319" s="10" t="n">
        <v>0.15842436417006</v>
      </c>
      <c r="P3319" s="10" t="n">
        <v>0.719914150424302</v>
      </c>
      <c r="Q3319" s="0" t="str">
        <f aca="false">SUBSTITUTE(SUBSTITUTE($I3319,CHAR(61),""),CHAR(34),"")</f>
        <v>50+</v>
      </c>
      <c r="R3319" s="0" t="str">
        <f aca="false">IF($D3319&lt;&gt;"","["&amp;$E3319&amp;"]"&amp;"|"&amp;$Q3319&amp;"|"&amp;$K3319&amp;"|"&amp;$G3319&amp;"|"&amp;IF($G3319="TX_CURR_SUBNAT.R","CY2022Q4",$M3319),"")</f>
        <v>[AZyWpGzhcaA]|50+|Male|Untreated_PLHIV_Attend.T_1|CY2023Q3</v>
      </c>
    </row>
    <row r="3320" customFormat="false" ht="15" hidden="false" customHeight="false" outlineLevel="0" collapsed="false">
      <c r="D3320" s="0" t="s">
        <v>93</v>
      </c>
      <c r="E3320" s="0" t="s">
        <v>94</v>
      </c>
      <c r="F3320" s="0" t="s">
        <v>95</v>
      </c>
      <c r="G3320" s="0" t="s">
        <v>151</v>
      </c>
      <c r="H3320" s="0" t="s">
        <v>151</v>
      </c>
      <c r="I3320" s="0" t="s">
        <v>28</v>
      </c>
      <c r="J3320" s="0" t="s">
        <v>29</v>
      </c>
      <c r="K3320" s="0" t="s">
        <v>30</v>
      </c>
      <c r="L3320" s="0" t="s">
        <v>31</v>
      </c>
      <c r="M3320" s="0" t="s">
        <v>140</v>
      </c>
      <c r="N3320" s="0" t="n">
        <v>795</v>
      </c>
      <c r="O3320" s="10" t="n">
        <v>0.163553228368983</v>
      </c>
      <c r="P3320" s="10" t="n">
        <v>0.362272296566516</v>
      </c>
      <c r="Q3320" s="0" t="str">
        <f aca="false">SUBSTITUTE(SUBSTITUTE($I3320,CHAR(61),""),CHAR(34),"")</f>
        <v>&lt;01</v>
      </c>
      <c r="R3320" s="0" t="str">
        <f aca="false">IF($D3320&lt;&gt;"","["&amp;$E3320&amp;"]"&amp;"|"&amp;$Q3320&amp;"|"&amp;$K3320&amp;"|"&amp;$G3320&amp;"|"&amp;IF($G3320="TX_CURR_SUBNAT.R","CY2022Q4",$M3320),"")</f>
        <v>[umc2n1Z4wNv]|&lt;01|Female|Untreated_PLHIV_Attend.T_1|CY2023Q3</v>
      </c>
    </row>
    <row r="3321" customFormat="false" ht="15" hidden="false" customHeight="false" outlineLevel="0" collapsed="false">
      <c r="D3321" s="0" t="s">
        <v>93</v>
      </c>
      <c r="E3321" s="0" t="s">
        <v>94</v>
      </c>
      <c r="F3321" s="0" t="s">
        <v>95</v>
      </c>
      <c r="G3321" s="0" t="s">
        <v>151</v>
      </c>
      <c r="H3321" s="0" t="s">
        <v>151</v>
      </c>
      <c r="I3321" s="0" t="s">
        <v>33</v>
      </c>
      <c r="J3321" s="0" t="s">
        <v>34</v>
      </c>
      <c r="K3321" s="0" t="s">
        <v>30</v>
      </c>
      <c r="L3321" s="0" t="s">
        <v>31</v>
      </c>
      <c r="M3321" s="0" t="s">
        <v>140</v>
      </c>
      <c r="N3321" s="0" t="n">
        <v>1230</v>
      </c>
      <c r="O3321" s="10" t="n">
        <v>0.0795899382792413</v>
      </c>
      <c r="P3321" s="10" t="n">
        <v>0.362272296566516</v>
      </c>
      <c r="Q3321" s="0" t="str">
        <f aca="false">SUBSTITUTE(SUBSTITUTE($I3321,CHAR(61),""),CHAR(34),"")</f>
        <v>01-09</v>
      </c>
      <c r="R3321" s="0" t="str">
        <f aca="false">IF($D3321&lt;&gt;"","["&amp;$E3321&amp;"]"&amp;"|"&amp;$Q3321&amp;"|"&amp;$K3321&amp;"|"&amp;$G3321&amp;"|"&amp;IF($G3321="TX_CURR_SUBNAT.R","CY2022Q4",$M3321),"")</f>
        <v>[umc2n1Z4wNv]|01-09|Female|Untreated_PLHIV_Attend.T_1|CY2023Q3</v>
      </c>
    </row>
    <row r="3322" customFormat="false" ht="15" hidden="false" customHeight="false" outlineLevel="0" collapsed="false">
      <c r="D3322" s="0" t="s">
        <v>93</v>
      </c>
      <c r="E3322" s="0" t="s">
        <v>94</v>
      </c>
      <c r="F3322" s="0" t="s">
        <v>95</v>
      </c>
      <c r="G3322" s="0" t="s">
        <v>151</v>
      </c>
      <c r="H3322" s="0" t="s">
        <v>151</v>
      </c>
      <c r="I3322" s="0" t="s">
        <v>36</v>
      </c>
      <c r="J3322" s="0" t="s">
        <v>37</v>
      </c>
      <c r="K3322" s="0" t="s">
        <v>30</v>
      </c>
      <c r="L3322" s="0" t="s">
        <v>31</v>
      </c>
      <c r="M3322" s="0" t="s">
        <v>140</v>
      </c>
      <c r="N3322" s="0" t="n">
        <v>1311</v>
      </c>
      <c r="O3322" s="10" t="n">
        <v>0.903401230461895</v>
      </c>
      <c r="P3322" s="10" t="n">
        <v>0.362272296566516</v>
      </c>
      <c r="Q3322" s="0" t="str">
        <f aca="false">SUBSTITUTE(SUBSTITUTE($I3322,CHAR(61),""),CHAR(34),"")</f>
        <v>10-14</v>
      </c>
      <c r="R3322" s="0" t="str">
        <f aca="false">IF($D3322&lt;&gt;"","["&amp;$E3322&amp;"]"&amp;"|"&amp;$Q3322&amp;"|"&amp;$K3322&amp;"|"&amp;$G3322&amp;"|"&amp;IF($G3322="TX_CURR_SUBNAT.R","CY2022Q4",$M3322),"")</f>
        <v>[umc2n1Z4wNv]|10-14|Female|Untreated_PLHIV_Attend.T_1|CY2023Q3</v>
      </c>
    </row>
    <row r="3323" customFormat="false" ht="15" hidden="false" customHeight="false" outlineLevel="0" collapsed="false">
      <c r="D3323" s="0" t="s">
        <v>93</v>
      </c>
      <c r="E3323" s="0" t="s">
        <v>94</v>
      </c>
      <c r="F3323" s="0" t="s">
        <v>95</v>
      </c>
      <c r="G3323" s="0" t="s">
        <v>151</v>
      </c>
      <c r="H3323" s="0" t="s">
        <v>151</v>
      </c>
      <c r="I3323" s="0" t="s">
        <v>38</v>
      </c>
      <c r="J3323" s="0" t="s">
        <v>39</v>
      </c>
      <c r="K3323" s="0" t="s">
        <v>30</v>
      </c>
      <c r="L3323" s="0" t="s">
        <v>31</v>
      </c>
      <c r="M3323" s="0" t="s">
        <v>140</v>
      </c>
      <c r="N3323" s="0" t="n">
        <v>540</v>
      </c>
      <c r="O3323" s="10" t="n">
        <v>0.0227281423285604</v>
      </c>
      <c r="P3323" s="10" t="n">
        <v>0.362272296566516</v>
      </c>
      <c r="Q3323" s="0" t="str">
        <f aca="false">SUBSTITUTE(SUBSTITUTE($I3323,CHAR(61),""),CHAR(34),"")</f>
        <v>15-24</v>
      </c>
      <c r="R3323" s="0" t="str">
        <f aca="false">IF($D3323&lt;&gt;"","["&amp;$E3323&amp;"]"&amp;"|"&amp;$Q3323&amp;"|"&amp;$K3323&amp;"|"&amp;$G3323&amp;"|"&amp;IF($G3323="TX_CURR_SUBNAT.R","CY2022Q4",$M3323),"")</f>
        <v>[umc2n1Z4wNv]|15-24|Female|Untreated_PLHIV_Attend.T_1|CY2023Q3</v>
      </c>
    </row>
    <row r="3324" customFormat="false" ht="15" hidden="false" customHeight="false" outlineLevel="0" collapsed="false">
      <c r="D3324" s="0" t="s">
        <v>93</v>
      </c>
      <c r="E3324" s="0" t="s">
        <v>94</v>
      </c>
      <c r="F3324" s="0" t="s">
        <v>95</v>
      </c>
      <c r="G3324" s="0" t="s">
        <v>151</v>
      </c>
      <c r="H3324" s="0" t="s">
        <v>151</v>
      </c>
      <c r="I3324" s="0" t="s">
        <v>41</v>
      </c>
      <c r="J3324" s="0" t="s">
        <v>42</v>
      </c>
      <c r="K3324" s="0" t="s">
        <v>30</v>
      </c>
      <c r="L3324" s="0" t="s">
        <v>31</v>
      </c>
      <c r="M3324" s="0" t="s">
        <v>140</v>
      </c>
      <c r="N3324" s="0" t="n">
        <v>1820</v>
      </c>
      <c r="O3324" s="10" t="n">
        <v>0.640601737424731</v>
      </c>
      <c r="P3324" s="10" t="n">
        <v>0.362272296566516</v>
      </c>
      <c r="Q3324" s="0" t="str">
        <f aca="false">SUBSTITUTE(SUBSTITUTE($I3324,CHAR(61),""),CHAR(34),"")</f>
        <v>25-34</v>
      </c>
      <c r="R3324" s="0" t="str">
        <f aca="false">IF($D3324&lt;&gt;"","["&amp;$E3324&amp;"]"&amp;"|"&amp;$Q3324&amp;"|"&amp;$K3324&amp;"|"&amp;$G3324&amp;"|"&amp;IF($G3324="TX_CURR_SUBNAT.R","CY2022Q4",$M3324),"")</f>
        <v>[umc2n1Z4wNv]|25-34|Female|Untreated_PLHIV_Attend.T_1|CY2023Q3</v>
      </c>
    </row>
    <row r="3325" customFormat="false" ht="15" hidden="false" customHeight="false" outlineLevel="0" collapsed="false">
      <c r="D3325" s="0" t="s">
        <v>93</v>
      </c>
      <c r="E3325" s="0" t="s">
        <v>94</v>
      </c>
      <c r="F3325" s="0" t="s">
        <v>95</v>
      </c>
      <c r="G3325" s="0" t="s">
        <v>151</v>
      </c>
      <c r="H3325" s="0" t="s">
        <v>151</v>
      </c>
      <c r="I3325" s="0" t="s">
        <v>43</v>
      </c>
      <c r="J3325" s="0" t="s">
        <v>44</v>
      </c>
      <c r="K3325" s="0" t="s">
        <v>30</v>
      </c>
      <c r="L3325" s="0" t="s">
        <v>31</v>
      </c>
      <c r="M3325" s="0" t="s">
        <v>140</v>
      </c>
      <c r="N3325" s="0" t="n">
        <v>531</v>
      </c>
      <c r="O3325" s="10" t="n">
        <v>0.0463615043554455</v>
      </c>
      <c r="P3325" s="10" t="n">
        <v>0.362272296566516</v>
      </c>
      <c r="Q3325" s="0" t="str">
        <f aca="false">SUBSTITUTE(SUBSTITUTE($I3325,CHAR(61),""),CHAR(34),"")</f>
        <v>35-49</v>
      </c>
      <c r="R3325" s="0" t="str">
        <f aca="false">IF($D3325&lt;&gt;"","["&amp;$E3325&amp;"]"&amp;"|"&amp;$Q3325&amp;"|"&amp;$K3325&amp;"|"&amp;$G3325&amp;"|"&amp;IF($G3325="TX_CURR_SUBNAT.R","CY2022Q4",$M3325),"")</f>
        <v>[umc2n1Z4wNv]|35-49|Female|Untreated_PLHIV_Attend.T_1|CY2023Q3</v>
      </c>
    </row>
    <row r="3326" customFormat="false" ht="15" hidden="false" customHeight="false" outlineLevel="0" collapsed="false">
      <c r="D3326" s="0" t="s">
        <v>93</v>
      </c>
      <c r="E3326" s="0" t="s">
        <v>94</v>
      </c>
      <c r="F3326" s="0" t="s">
        <v>95</v>
      </c>
      <c r="G3326" s="0" t="s">
        <v>151</v>
      </c>
      <c r="H3326" s="0" t="s">
        <v>151</v>
      </c>
      <c r="I3326" s="0" t="s">
        <v>45</v>
      </c>
      <c r="J3326" s="0" t="s">
        <v>46</v>
      </c>
      <c r="K3326" s="0" t="s">
        <v>30</v>
      </c>
      <c r="L3326" s="0" t="s">
        <v>31</v>
      </c>
      <c r="M3326" s="0" t="s">
        <v>140</v>
      </c>
      <c r="N3326" s="0" t="n">
        <v>1064</v>
      </c>
      <c r="O3326" s="10" t="n">
        <v>0.692803705576807</v>
      </c>
      <c r="P3326" s="10" t="n">
        <v>0.362272296566516</v>
      </c>
      <c r="Q3326" s="0" t="str">
        <f aca="false">SUBSTITUTE(SUBSTITUTE($I3326,CHAR(61),""),CHAR(34),"")</f>
        <v>50+</v>
      </c>
      <c r="R3326" s="0" t="str">
        <f aca="false">IF($D3326&lt;&gt;"","["&amp;$E3326&amp;"]"&amp;"|"&amp;$Q3326&amp;"|"&amp;$K3326&amp;"|"&amp;$G3326&amp;"|"&amp;IF($G3326="TX_CURR_SUBNAT.R","CY2022Q4",$M3326),"")</f>
        <v>[umc2n1Z4wNv]|50+|Female|Untreated_PLHIV_Attend.T_1|CY2023Q3</v>
      </c>
    </row>
    <row r="3327" customFormat="false" ht="15" hidden="false" customHeight="false" outlineLevel="0" collapsed="false">
      <c r="D3327" s="0" t="s">
        <v>93</v>
      </c>
      <c r="E3327" s="0" t="s">
        <v>94</v>
      </c>
      <c r="F3327" s="0" t="s">
        <v>95</v>
      </c>
      <c r="G3327" s="0" t="s">
        <v>151</v>
      </c>
      <c r="H3327" s="0" t="s">
        <v>151</v>
      </c>
      <c r="I3327" s="0" t="s">
        <v>28</v>
      </c>
      <c r="J3327" s="0" t="s">
        <v>29</v>
      </c>
      <c r="K3327" s="0" t="s">
        <v>48</v>
      </c>
      <c r="L3327" s="0" t="s">
        <v>49</v>
      </c>
      <c r="M3327" s="0" t="s">
        <v>140</v>
      </c>
      <c r="N3327" s="0" t="n">
        <v>609</v>
      </c>
      <c r="O3327" s="10" t="n">
        <v>0.745366302318871</v>
      </c>
      <c r="P3327" s="10" t="n">
        <v>0.362272296566516</v>
      </c>
      <c r="Q3327" s="0" t="str">
        <f aca="false">SUBSTITUTE(SUBSTITUTE($I3327,CHAR(61),""),CHAR(34),"")</f>
        <v>&lt;01</v>
      </c>
      <c r="R3327" s="0" t="str">
        <f aca="false">IF($D3327&lt;&gt;"","["&amp;$E3327&amp;"]"&amp;"|"&amp;$Q3327&amp;"|"&amp;$K3327&amp;"|"&amp;$G3327&amp;"|"&amp;IF($G3327="TX_CURR_SUBNAT.R","CY2022Q4",$M3327),"")</f>
        <v>[umc2n1Z4wNv]|&lt;01|Male|Untreated_PLHIV_Attend.T_1|CY2023Q3</v>
      </c>
    </row>
    <row r="3328" customFormat="false" ht="15" hidden="false" customHeight="false" outlineLevel="0" collapsed="false">
      <c r="D3328" s="0" t="s">
        <v>93</v>
      </c>
      <c r="E3328" s="0" t="s">
        <v>94</v>
      </c>
      <c r="F3328" s="0" t="s">
        <v>95</v>
      </c>
      <c r="G3328" s="0" t="s">
        <v>151</v>
      </c>
      <c r="H3328" s="0" t="s">
        <v>151</v>
      </c>
      <c r="I3328" s="0" t="s">
        <v>33</v>
      </c>
      <c r="J3328" s="0" t="s">
        <v>34</v>
      </c>
      <c r="K3328" s="0" t="s">
        <v>48</v>
      </c>
      <c r="L3328" s="0" t="s">
        <v>49</v>
      </c>
      <c r="M3328" s="0" t="s">
        <v>140</v>
      </c>
      <c r="N3328" s="0" t="n">
        <v>717</v>
      </c>
      <c r="O3328" s="10" t="n">
        <v>0.22488658153452</v>
      </c>
      <c r="P3328" s="10" t="n">
        <v>0.362272296566516</v>
      </c>
      <c r="Q3328" s="0" t="str">
        <f aca="false">SUBSTITUTE(SUBSTITUTE($I3328,CHAR(61),""),CHAR(34),"")</f>
        <v>01-09</v>
      </c>
      <c r="R3328" s="0" t="str">
        <f aca="false">IF($D3328&lt;&gt;"","["&amp;$E3328&amp;"]"&amp;"|"&amp;$Q3328&amp;"|"&amp;$K3328&amp;"|"&amp;$G3328&amp;"|"&amp;IF($G3328="TX_CURR_SUBNAT.R","CY2022Q4",$M3328),"")</f>
        <v>[umc2n1Z4wNv]|01-09|Male|Untreated_PLHIV_Attend.T_1|CY2023Q3</v>
      </c>
    </row>
    <row r="3329" customFormat="false" ht="15" hidden="false" customHeight="false" outlineLevel="0" collapsed="false">
      <c r="D3329" s="0" t="s">
        <v>93</v>
      </c>
      <c r="E3329" s="0" t="s">
        <v>94</v>
      </c>
      <c r="F3329" s="0" t="s">
        <v>95</v>
      </c>
      <c r="G3329" s="0" t="s">
        <v>151</v>
      </c>
      <c r="H3329" s="0" t="s">
        <v>151</v>
      </c>
      <c r="I3329" s="0" t="s">
        <v>36</v>
      </c>
      <c r="J3329" s="0" t="s">
        <v>37</v>
      </c>
      <c r="K3329" s="0" t="s">
        <v>48</v>
      </c>
      <c r="L3329" s="0" t="s">
        <v>49</v>
      </c>
      <c r="M3329" s="0" t="s">
        <v>140</v>
      </c>
      <c r="N3329" s="0" t="n">
        <v>1337</v>
      </c>
      <c r="O3329" s="10" t="n">
        <v>0.814485542941839</v>
      </c>
      <c r="P3329" s="10" t="n">
        <v>0.362272296566516</v>
      </c>
      <c r="Q3329" s="0" t="str">
        <f aca="false">SUBSTITUTE(SUBSTITUTE($I3329,CHAR(61),""),CHAR(34),"")</f>
        <v>10-14</v>
      </c>
      <c r="R3329" s="0" t="str">
        <f aca="false">IF($D3329&lt;&gt;"","["&amp;$E3329&amp;"]"&amp;"|"&amp;$Q3329&amp;"|"&amp;$K3329&amp;"|"&amp;$G3329&amp;"|"&amp;IF($G3329="TX_CURR_SUBNAT.R","CY2022Q4",$M3329),"")</f>
        <v>[umc2n1Z4wNv]|10-14|Male|Untreated_PLHIV_Attend.T_1|CY2023Q3</v>
      </c>
    </row>
    <row r="3330" customFormat="false" ht="15" hidden="false" customHeight="false" outlineLevel="0" collapsed="false">
      <c r="D3330" s="0" t="s">
        <v>93</v>
      </c>
      <c r="E3330" s="0" t="s">
        <v>94</v>
      </c>
      <c r="F3330" s="0" t="s">
        <v>95</v>
      </c>
      <c r="G3330" s="0" t="s">
        <v>151</v>
      </c>
      <c r="H3330" s="0" t="s">
        <v>151</v>
      </c>
      <c r="I3330" s="0" t="s">
        <v>38</v>
      </c>
      <c r="J3330" s="0" t="s">
        <v>39</v>
      </c>
      <c r="K3330" s="0" t="s">
        <v>48</v>
      </c>
      <c r="L3330" s="0" t="s">
        <v>49</v>
      </c>
      <c r="M3330" s="0" t="s">
        <v>140</v>
      </c>
      <c r="N3330" s="0" t="n">
        <v>959</v>
      </c>
      <c r="O3330" s="10" t="n">
        <v>0.128804764943197</v>
      </c>
      <c r="P3330" s="10" t="n">
        <v>0.362272296566516</v>
      </c>
      <c r="Q3330" s="0" t="str">
        <f aca="false">SUBSTITUTE(SUBSTITUTE($I3330,CHAR(61),""),CHAR(34),"")</f>
        <v>15-24</v>
      </c>
      <c r="R3330" s="0" t="str">
        <f aca="false">IF($D3330&lt;&gt;"","["&amp;$E3330&amp;"]"&amp;"|"&amp;$Q3330&amp;"|"&amp;$K3330&amp;"|"&amp;$G3330&amp;"|"&amp;IF($G3330="TX_CURR_SUBNAT.R","CY2022Q4",$M3330),"")</f>
        <v>[umc2n1Z4wNv]|15-24|Male|Untreated_PLHIV_Attend.T_1|CY2023Q3</v>
      </c>
    </row>
    <row r="3331" customFormat="false" ht="15" hidden="false" customHeight="false" outlineLevel="0" collapsed="false">
      <c r="D3331" s="0" t="s">
        <v>93</v>
      </c>
      <c r="E3331" s="0" t="s">
        <v>94</v>
      </c>
      <c r="F3331" s="0" t="s">
        <v>95</v>
      </c>
      <c r="G3331" s="0" t="s">
        <v>151</v>
      </c>
      <c r="H3331" s="0" t="s">
        <v>151</v>
      </c>
      <c r="I3331" s="0" t="s">
        <v>41</v>
      </c>
      <c r="J3331" s="0" t="s">
        <v>42</v>
      </c>
      <c r="K3331" s="0" t="s">
        <v>48</v>
      </c>
      <c r="L3331" s="0" t="s">
        <v>49</v>
      </c>
      <c r="M3331" s="0" t="s">
        <v>140</v>
      </c>
      <c r="N3331" s="0" t="n">
        <v>715</v>
      </c>
      <c r="O3331" s="10" t="n">
        <v>0.652270603226498</v>
      </c>
      <c r="P3331" s="10" t="n">
        <v>0.362272296566516</v>
      </c>
      <c r="Q3331" s="0" t="str">
        <f aca="false">SUBSTITUTE(SUBSTITUTE($I3331,CHAR(61),""),CHAR(34),"")</f>
        <v>25-34</v>
      </c>
      <c r="R3331" s="0" t="str">
        <f aca="false">IF($D3331&lt;&gt;"","["&amp;$E3331&amp;"]"&amp;"|"&amp;$Q3331&amp;"|"&amp;$K3331&amp;"|"&amp;$G3331&amp;"|"&amp;IF($G3331="TX_CURR_SUBNAT.R","CY2022Q4",$M3331),"")</f>
        <v>[umc2n1Z4wNv]|25-34|Male|Untreated_PLHIV_Attend.T_1|CY2023Q3</v>
      </c>
    </row>
    <row r="3332" customFormat="false" ht="15" hidden="false" customHeight="false" outlineLevel="0" collapsed="false">
      <c r="D3332" s="0" t="s">
        <v>93</v>
      </c>
      <c r="E3332" s="0" t="s">
        <v>94</v>
      </c>
      <c r="F3332" s="0" t="s">
        <v>95</v>
      </c>
      <c r="G3332" s="0" t="s">
        <v>151</v>
      </c>
      <c r="H3332" s="0" t="s">
        <v>151</v>
      </c>
      <c r="I3332" s="0" t="s">
        <v>43</v>
      </c>
      <c r="J3332" s="0" t="s">
        <v>44</v>
      </c>
      <c r="K3332" s="0" t="s">
        <v>48</v>
      </c>
      <c r="L3332" s="0" t="s">
        <v>49</v>
      </c>
      <c r="M3332" s="0" t="s">
        <v>140</v>
      </c>
      <c r="N3332" s="0" t="n">
        <v>1497</v>
      </c>
      <c r="O3332" s="10" t="n">
        <v>0.103897551307455</v>
      </c>
      <c r="P3332" s="10" t="n">
        <v>0.362272296566516</v>
      </c>
      <c r="Q3332" s="0" t="str">
        <f aca="false">SUBSTITUTE(SUBSTITUTE($I3332,CHAR(61),""),CHAR(34),"")</f>
        <v>35-49</v>
      </c>
      <c r="R3332" s="0" t="str">
        <f aca="false">IF($D3332&lt;&gt;"","["&amp;$E3332&amp;"]"&amp;"|"&amp;$Q3332&amp;"|"&amp;$K3332&amp;"|"&amp;$G3332&amp;"|"&amp;IF($G3332="TX_CURR_SUBNAT.R","CY2022Q4",$M3332),"")</f>
        <v>[umc2n1Z4wNv]|35-49|Male|Untreated_PLHIV_Attend.T_1|CY2023Q3</v>
      </c>
    </row>
    <row r="3333" customFormat="false" ht="15" hidden="false" customHeight="false" outlineLevel="0" collapsed="false">
      <c r="D3333" s="0" t="s">
        <v>93</v>
      </c>
      <c r="E3333" s="0" t="s">
        <v>94</v>
      </c>
      <c r="F3333" s="0" t="s">
        <v>95</v>
      </c>
      <c r="G3333" s="0" t="s">
        <v>151</v>
      </c>
      <c r="H3333" s="0" t="s">
        <v>151</v>
      </c>
      <c r="I3333" s="0" t="s">
        <v>45</v>
      </c>
      <c r="J3333" s="0" t="s">
        <v>46</v>
      </c>
      <c r="K3333" s="0" t="s">
        <v>48</v>
      </c>
      <c r="L3333" s="0" t="s">
        <v>49</v>
      </c>
      <c r="M3333" s="0" t="s">
        <v>140</v>
      </c>
      <c r="N3333" s="0" t="n">
        <v>1506</v>
      </c>
      <c r="O3333" s="10" t="n">
        <v>0.458108250051737</v>
      </c>
      <c r="P3333" s="10" t="n">
        <v>0.362272296566516</v>
      </c>
      <c r="Q3333" s="0" t="str">
        <f aca="false">SUBSTITUTE(SUBSTITUTE($I3333,CHAR(61),""),CHAR(34),"")</f>
        <v>50+</v>
      </c>
      <c r="R3333" s="0" t="str">
        <f aca="false">IF($D3333&lt;&gt;"","["&amp;$E3333&amp;"]"&amp;"|"&amp;$Q3333&amp;"|"&amp;$K3333&amp;"|"&amp;$G3333&amp;"|"&amp;IF($G3333="TX_CURR_SUBNAT.R","CY2022Q4",$M3333),"")</f>
        <v>[umc2n1Z4wNv]|50+|Male|Untreated_PLHIV_Attend.T_1|CY2023Q3</v>
      </c>
    </row>
    <row r="3334" customFormat="false" ht="15" hidden="false" customHeight="false" outlineLevel="0" collapsed="false">
      <c r="D3334" s="0" t="s">
        <v>96</v>
      </c>
      <c r="E3334" s="0" t="s">
        <v>97</v>
      </c>
      <c r="F3334" s="0" t="s">
        <v>98</v>
      </c>
      <c r="G3334" s="0" t="s">
        <v>151</v>
      </c>
      <c r="H3334" s="0" t="s">
        <v>151</v>
      </c>
      <c r="I3334" s="0" t="s">
        <v>28</v>
      </c>
      <c r="J3334" s="0" t="s">
        <v>29</v>
      </c>
      <c r="K3334" s="0" t="s">
        <v>30</v>
      </c>
      <c r="L3334" s="0" t="s">
        <v>31</v>
      </c>
      <c r="M3334" s="0" t="s">
        <v>140</v>
      </c>
      <c r="N3334" s="0" t="n">
        <v>1371</v>
      </c>
      <c r="O3334" s="10" t="n">
        <v>0.94781388877891</v>
      </c>
      <c r="P3334" s="10" t="n">
        <v>0.601251717889681</v>
      </c>
      <c r="Q3334" s="0" t="str">
        <f aca="false">SUBSTITUTE(SUBSTITUTE($I3334,CHAR(61),""),CHAR(34),"")</f>
        <v>&lt;01</v>
      </c>
      <c r="R3334" s="0" t="str">
        <f aca="false">IF($D3334&lt;&gt;"","["&amp;$E3334&amp;"]"&amp;"|"&amp;$Q3334&amp;"|"&amp;$K3334&amp;"|"&amp;$G3334&amp;"|"&amp;IF($G3334="TX_CURR_SUBNAT.R","CY2022Q4",$M3334),"")</f>
        <v>[gwVYinjBAe9]|&lt;01|Female|Untreated_PLHIV_Attend.T_1|CY2023Q3</v>
      </c>
    </row>
    <row r="3335" customFormat="false" ht="15" hidden="false" customHeight="false" outlineLevel="0" collapsed="false">
      <c r="D3335" s="0" t="s">
        <v>96</v>
      </c>
      <c r="E3335" s="0" t="s">
        <v>97</v>
      </c>
      <c r="F3335" s="0" t="s">
        <v>98</v>
      </c>
      <c r="G3335" s="0" t="s">
        <v>151</v>
      </c>
      <c r="H3335" s="0" t="s">
        <v>151</v>
      </c>
      <c r="I3335" s="0" t="s">
        <v>33</v>
      </c>
      <c r="J3335" s="0" t="s">
        <v>34</v>
      </c>
      <c r="K3335" s="0" t="s">
        <v>30</v>
      </c>
      <c r="L3335" s="0" t="s">
        <v>31</v>
      </c>
      <c r="M3335" s="0" t="s">
        <v>140</v>
      </c>
      <c r="N3335" s="0" t="n">
        <v>595</v>
      </c>
      <c r="O3335" s="10" t="n">
        <v>0.881732974434271</v>
      </c>
      <c r="P3335" s="10" t="n">
        <v>0.601251717889681</v>
      </c>
      <c r="Q3335" s="0" t="str">
        <f aca="false">SUBSTITUTE(SUBSTITUTE($I3335,CHAR(61),""),CHAR(34),"")</f>
        <v>01-09</v>
      </c>
      <c r="R3335" s="0" t="str">
        <f aca="false">IF($D3335&lt;&gt;"","["&amp;$E3335&amp;"]"&amp;"|"&amp;$Q3335&amp;"|"&amp;$K3335&amp;"|"&amp;$G3335&amp;"|"&amp;IF($G3335="TX_CURR_SUBNAT.R","CY2022Q4",$M3335),"")</f>
        <v>[gwVYinjBAe9]|01-09|Female|Untreated_PLHIV_Attend.T_1|CY2023Q3</v>
      </c>
    </row>
    <row r="3336" customFormat="false" ht="15" hidden="false" customHeight="false" outlineLevel="0" collapsed="false">
      <c r="D3336" s="0" t="s">
        <v>96</v>
      </c>
      <c r="E3336" s="0" t="s">
        <v>97</v>
      </c>
      <c r="F3336" s="0" t="s">
        <v>98</v>
      </c>
      <c r="G3336" s="0" t="s">
        <v>151</v>
      </c>
      <c r="H3336" s="0" t="s">
        <v>151</v>
      </c>
      <c r="I3336" s="0" t="s">
        <v>36</v>
      </c>
      <c r="J3336" s="0" t="s">
        <v>37</v>
      </c>
      <c r="K3336" s="0" t="s">
        <v>30</v>
      </c>
      <c r="L3336" s="0" t="s">
        <v>31</v>
      </c>
      <c r="M3336" s="0" t="s">
        <v>140</v>
      </c>
      <c r="N3336" s="0" t="n">
        <v>1674</v>
      </c>
      <c r="O3336" s="10" t="n">
        <v>0.542042199755087</v>
      </c>
      <c r="P3336" s="10" t="n">
        <v>0.601251717889681</v>
      </c>
      <c r="Q3336" s="0" t="str">
        <f aca="false">SUBSTITUTE(SUBSTITUTE($I3336,CHAR(61),""),CHAR(34),"")</f>
        <v>10-14</v>
      </c>
      <c r="R3336" s="0" t="str">
        <f aca="false">IF($D3336&lt;&gt;"","["&amp;$E3336&amp;"]"&amp;"|"&amp;$Q3336&amp;"|"&amp;$K3336&amp;"|"&amp;$G3336&amp;"|"&amp;IF($G3336="TX_CURR_SUBNAT.R","CY2022Q4",$M3336),"")</f>
        <v>[gwVYinjBAe9]|10-14|Female|Untreated_PLHIV_Attend.T_1|CY2023Q3</v>
      </c>
    </row>
    <row r="3337" customFormat="false" ht="15" hidden="false" customHeight="false" outlineLevel="0" collapsed="false">
      <c r="D3337" s="0" t="s">
        <v>96</v>
      </c>
      <c r="E3337" s="0" t="s">
        <v>97</v>
      </c>
      <c r="F3337" s="0" t="s">
        <v>98</v>
      </c>
      <c r="G3337" s="0" t="s">
        <v>151</v>
      </c>
      <c r="H3337" s="0" t="s">
        <v>151</v>
      </c>
      <c r="I3337" s="0" t="s">
        <v>38</v>
      </c>
      <c r="J3337" s="0" t="s">
        <v>39</v>
      </c>
      <c r="K3337" s="0" t="s">
        <v>30</v>
      </c>
      <c r="L3337" s="0" t="s">
        <v>31</v>
      </c>
      <c r="M3337" s="0" t="s">
        <v>140</v>
      </c>
      <c r="N3337" s="0" t="n">
        <v>1569</v>
      </c>
      <c r="O3337" s="10" t="n">
        <v>0.38985643372871</v>
      </c>
      <c r="P3337" s="10" t="n">
        <v>0.601251717889681</v>
      </c>
      <c r="Q3337" s="0" t="str">
        <f aca="false">SUBSTITUTE(SUBSTITUTE($I3337,CHAR(61),""),CHAR(34),"")</f>
        <v>15-24</v>
      </c>
      <c r="R3337" s="0" t="str">
        <f aca="false">IF($D3337&lt;&gt;"","["&amp;$E3337&amp;"]"&amp;"|"&amp;$Q3337&amp;"|"&amp;$K3337&amp;"|"&amp;$G3337&amp;"|"&amp;IF($G3337="TX_CURR_SUBNAT.R","CY2022Q4",$M3337),"")</f>
        <v>[gwVYinjBAe9]|15-24|Female|Untreated_PLHIV_Attend.T_1|CY2023Q3</v>
      </c>
    </row>
    <row r="3338" customFormat="false" ht="15" hidden="false" customHeight="false" outlineLevel="0" collapsed="false">
      <c r="D3338" s="0" t="s">
        <v>96</v>
      </c>
      <c r="E3338" s="0" t="s">
        <v>97</v>
      </c>
      <c r="F3338" s="0" t="s">
        <v>98</v>
      </c>
      <c r="G3338" s="0" t="s">
        <v>151</v>
      </c>
      <c r="H3338" s="0" t="s">
        <v>151</v>
      </c>
      <c r="I3338" s="0" t="s">
        <v>41</v>
      </c>
      <c r="J3338" s="0" t="s">
        <v>42</v>
      </c>
      <c r="K3338" s="0" t="s">
        <v>30</v>
      </c>
      <c r="L3338" s="0" t="s">
        <v>31</v>
      </c>
      <c r="M3338" s="0" t="s">
        <v>140</v>
      </c>
      <c r="N3338" s="0" t="n">
        <v>1210</v>
      </c>
      <c r="O3338" s="10" t="n">
        <v>0.580944874323905</v>
      </c>
      <c r="P3338" s="10" t="n">
        <v>0.601251717889681</v>
      </c>
      <c r="Q3338" s="0" t="str">
        <f aca="false">SUBSTITUTE(SUBSTITUTE($I3338,CHAR(61),""),CHAR(34),"")</f>
        <v>25-34</v>
      </c>
      <c r="R3338" s="0" t="str">
        <f aca="false">IF($D3338&lt;&gt;"","["&amp;$E3338&amp;"]"&amp;"|"&amp;$Q3338&amp;"|"&amp;$K3338&amp;"|"&amp;$G3338&amp;"|"&amp;IF($G3338="TX_CURR_SUBNAT.R","CY2022Q4",$M3338),"")</f>
        <v>[gwVYinjBAe9]|25-34|Female|Untreated_PLHIV_Attend.T_1|CY2023Q3</v>
      </c>
    </row>
    <row r="3339" customFormat="false" ht="15" hidden="false" customHeight="false" outlineLevel="0" collapsed="false">
      <c r="D3339" s="0" t="s">
        <v>96</v>
      </c>
      <c r="E3339" s="0" t="s">
        <v>97</v>
      </c>
      <c r="F3339" s="0" t="s">
        <v>98</v>
      </c>
      <c r="G3339" s="0" t="s">
        <v>151</v>
      </c>
      <c r="H3339" s="0" t="s">
        <v>151</v>
      </c>
      <c r="I3339" s="0" t="s">
        <v>43</v>
      </c>
      <c r="J3339" s="0" t="s">
        <v>44</v>
      </c>
      <c r="K3339" s="0" t="s">
        <v>30</v>
      </c>
      <c r="L3339" s="0" t="s">
        <v>31</v>
      </c>
      <c r="M3339" s="0" t="s">
        <v>140</v>
      </c>
      <c r="N3339" s="0" t="n">
        <v>717</v>
      </c>
      <c r="O3339" s="10" t="n">
        <v>0.0419593162368983</v>
      </c>
      <c r="P3339" s="10" t="n">
        <v>0.601251717889681</v>
      </c>
      <c r="Q3339" s="0" t="str">
        <f aca="false">SUBSTITUTE(SUBSTITUTE($I3339,CHAR(61),""),CHAR(34),"")</f>
        <v>35-49</v>
      </c>
      <c r="R3339" s="0" t="str">
        <f aca="false">IF($D3339&lt;&gt;"","["&amp;$E3339&amp;"]"&amp;"|"&amp;$Q3339&amp;"|"&amp;$K3339&amp;"|"&amp;$G3339&amp;"|"&amp;IF($G3339="TX_CURR_SUBNAT.R","CY2022Q4",$M3339),"")</f>
        <v>[gwVYinjBAe9]|35-49|Female|Untreated_PLHIV_Attend.T_1|CY2023Q3</v>
      </c>
    </row>
    <row r="3340" customFormat="false" ht="15" hidden="false" customHeight="false" outlineLevel="0" collapsed="false">
      <c r="D3340" s="0" t="s">
        <v>96</v>
      </c>
      <c r="E3340" s="0" t="s">
        <v>97</v>
      </c>
      <c r="F3340" s="0" t="s">
        <v>98</v>
      </c>
      <c r="G3340" s="0" t="s">
        <v>151</v>
      </c>
      <c r="H3340" s="0" t="s">
        <v>151</v>
      </c>
      <c r="I3340" s="0" t="s">
        <v>45</v>
      </c>
      <c r="J3340" s="0" t="s">
        <v>46</v>
      </c>
      <c r="K3340" s="0" t="s">
        <v>30</v>
      </c>
      <c r="L3340" s="0" t="s">
        <v>31</v>
      </c>
      <c r="M3340" s="0" t="s">
        <v>140</v>
      </c>
      <c r="N3340" s="0" t="n">
        <v>1372</v>
      </c>
      <c r="O3340" s="10" t="n">
        <v>0.930279261898249</v>
      </c>
      <c r="P3340" s="10" t="n">
        <v>0.601251717889681</v>
      </c>
      <c r="Q3340" s="0" t="str">
        <f aca="false">SUBSTITUTE(SUBSTITUTE($I3340,CHAR(61),""),CHAR(34),"")</f>
        <v>50+</v>
      </c>
      <c r="R3340" s="0" t="str">
        <f aca="false">IF($D3340&lt;&gt;"","["&amp;$E3340&amp;"]"&amp;"|"&amp;$Q3340&amp;"|"&amp;$K3340&amp;"|"&amp;$G3340&amp;"|"&amp;IF($G3340="TX_CURR_SUBNAT.R","CY2022Q4",$M3340),"")</f>
        <v>[gwVYinjBAe9]|50+|Female|Untreated_PLHIV_Attend.T_1|CY2023Q3</v>
      </c>
    </row>
    <row r="3341" customFormat="false" ht="15" hidden="false" customHeight="false" outlineLevel="0" collapsed="false">
      <c r="D3341" s="0" t="s">
        <v>96</v>
      </c>
      <c r="E3341" s="0" t="s">
        <v>97</v>
      </c>
      <c r="F3341" s="0" t="s">
        <v>98</v>
      </c>
      <c r="G3341" s="0" t="s">
        <v>151</v>
      </c>
      <c r="H3341" s="0" t="s">
        <v>151</v>
      </c>
      <c r="I3341" s="0" t="s">
        <v>28</v>
      </c>
      <c r="J3341" s="0" t="s">
        <v>29</v>
      </c>
      <c r="K3341" s="0" t="s">
        <v>48</v>
      </c>
      <c r="L3341" s="0" t="s">
        <v>49</v>
      </c>
      <c r="M3341" s="0" t="s">
        <v>140</v>
      </c>
      <c r="N3341" s="0" t="n">
        <v>932</v>
      </c>
      <c r="O3341" s="10" t="n">
        <v>0.118862043600529</v>
      </c>
      <c r="P3341" s="10" t="n">
        <v>0.601251717889681</v>
      </c>
      <c r="Q3341" s="0" t="str">
        <f aca="false">SUBSTITUTE(SUBSTITUTE($I3341,CHAR(61),""),CHAR(34),"")</f>
        <v>&lt;01</v>
      </c>
      <c r="R3341" s="0" t="str">
        <f aca="false">IF($D3341&lt;&gt;"","["&amp;$E3341&amp;"]"&amp;"|"&amp;$Q3341&amp;"|"&amp;$K3341&amp;"|"&amp;$G3341&amp;"|"&amp;IF($G3341="TX_CURR_SUBNAT.R","CY2022Q4",$M3341),"")</f>
        <v>[gwVYinjBAe9]|&lt;01|Male|Untreated_PLHIV_Attend.T_1|CY2023Q3</v>
      </c>
    </row>
    <row r="3342" customFormat="false" ht="15" hidden="false" customHeight="false" outlineLevel="0" collapsed="false">
      <c r="D3342" s="0" t="s">
        <v>96</v>
      </c>
      <c r="E3342" s="0" t="s">
        <v>97</v>
      </c>
      <c r="F3342" s="0" t="s">
        <v>98</v>
      </c>
      <c r="G3342" s="0" t="s">
        <v>151</v>
      </c>
      <c r="H3342" s="0" t="s">
        <v>151</v>
      </c>
      <c r="I3342" s="0" t="s">
        <v>33</v>
      </c>
      <c r="J3342" s="0" t="s">
        <v>34</v>
      </c>
      <c r="K3342" s="0" t="s">
        <v>48</v>
      </c>
      <c r="L3342" s="0" t="s">
        <v>49</v>
      </c>
      <c r="M3342" s="0" t="s">
        <v>140</v>
      </c>
      <c r="N3342" s="0" t="n">
        <v>1940</v>
      </c>
      <c r="O3342" s="10" t="n">
        <v>0.802611670922488</v>
      </c>
      <c r="P3342" s="10" t="n">
        <v>0.601251717889681</v>
      </c>
      <c r="Q3342" s="0" t="str">
        <f aca="false">SUBSTITUTE(SUBSTITUTE($I3342,CHAR(61),""),CHAR(34),"")</f>
        <v>01-09</v>
      </c>
      <c r="R3342" s="0" t="str">
        <f aca="false">IF($D3342&lt;&gt;"","["&amp;$E3342&amp;"]"&amp;"|"&amp;$Q3342&amp;"|"&amp;$K3342&amp;"|"&amp;$G3342&amp;"|"&amp;IF($G3342="TX_CURR_SUBNAT.R","CY2022Q4",$M3342),"")</f>
        <v>[gwVYinjBAe9]|01-09|Male|Untreated_PLHIV_Attend.T_1|CY2023Q3</v>
      </c>
    </row>
    <row r="3343" customFormat="false" ht="15" hidden="false" customHeight="false" outlineLevel="0" collapsed="false">
      <c r="D3343" s="0" t="s">
        <v>96</v>
      </c>
      <c r="E3343" s="0" t="s">
        <v>97</v>
      </c>
      <c r="F3343" s="0" t="s">
        <v>98</v>
      </c>
      <c r="G3343" s="0" t="s">
        <v>151</v>
      </c>
      <c r="H3343" s="0" t="s">
        <v>151</v>
      </c>
      <c r="I3343" s="0" t="s">
        <v>36</v>
      </c>
      <c r="J3343" s="0" t="s">
        <v>37</v>
      </c>
      <c r="K3343" s="0" t="s">
        <v>48</v>
      </c>
      <c r="L3343" s="0" t="s">
        <v>49</v>
      </c>
      <c r="M3343" s="0" t="s">
        <v>140</v>
      </c>
      <c r="N3343" s="0" t="n">
        <v>1492</v>
      </c>
      <c r="O3343" s="10" t="n">
        <v>0.36734763905406</v>
      </c>
      <c r="P3343" s="10" t="n">
        <v>0.601251717889681</v>
      </c>
      <c r="Q3343" s="0" t="str">
        <f aca="false">SUBSTITUTE(SUBSTITUTE($I3343,CHAR(61),""),CHAR(34),"")</f>
        <v>10-14</v>
      </c>
      <c r="R3343" s="0" t="str">
        <f aca="false">IF($D3343&lt;&gt;"","["&amp;$E3343&amp;"]"&amp;"|"&amp;$Q3343&amp;"|"&amp;$K3343&amp;"|"&amp;$G3343&amp;"|"&amp;IF($G3343="TX_CURR_SUBNAT.R","CY2022Q4",$M3343),"")</f>
        <v>[gwVYinjBAe9]|10-14|Male|Untreated_PLHIV_Attend.T_1|CY2023Q3</v>
      </c>
    </row>
    <row r="3344" customFormat="false" ht="15" hidden="false" customHeight="false" outlineLevel="0" collapsed="false">
      <c r="D3344" s="0" t="s">
        <v>96</v>
      </c>
      <c r="E3344" s="0" t="s">
        <v>97</v>
      </c>
      <c r="F3344" s="0" t="s">
        <v>98</v>
      </c>
      <c r="G3344" s="0" t="s">
        <v>151</v>
      </c>
      <c r="H3344" s="0" t="s">
        <v>151</v>
      </c>
      <c r="I3344" s="0" t="s">
        <v>38</v>
      </c>
      <c r="J3344" s="0" t="s">
        <v>39</v>
      </c>
      <c r="K3344" s="0" t="s">
        <v>48</v>
      </c>
      <c r="L3344" s="0" t="s">
        <v>49</v>
      </c>
      <c r="M3344" s="0" t="s">
        <v>140</v>
      </c>
      <c r="N3344" s="0" t="n">
        <v>1290</v>
      </c>
      <c r="O3344" s="10" t="n">
        <v>0.932882542256266</v>
      </c>
      <c r="P3344" s="10" t="n">
        <v>0.601251717889681</v>
      </c>
      <c r="Q3344" s="0" t="str">
        <f aca="false">SUBSTITUTE(SUBSTITUTE($I3344,CHAR(61),""),CHAR(34),"")</f>
        <v>15-24</v>
      </c>
      <c r="R3344" s="0" t="str">
        <f aca="false">IF($D3344&lt;&gt;"","["&amp;$E3344&amp;"]"&amp;"|"&amp;$Q3344&amp;"|"&amp;$K3344&amp;"|"&amp;$G3344&amp;"|"&amp;IF($G3344="TX_CURR_SUBNAT.R","CY2022Q4",$M3344),"")</f>
        <v>[gwVYinjBAe9]|15-24|Male|Untreated_PLHIV_Attend.T_1|CY2023Q3</v>
      </c>
    </row>
    <row r="3345" customFormat="false" ht="15" hidden="false" customHeight="false" outlineLevel="0" collapsed="false">
      <c r="D3345" s="0" t="s">
        <v>96</v>
      </c>
      <c r="E3345" s="0" t="s">
        <v>97</v>
      </c>
      <c r="F3345" s="0" t="s">
        <v>98</v>
      </c>
      <c r="G3345" s="0" t="s">
        <v>151</v>
      </c>
      <c r="H3345" s="0" t="s">
        <v>151</v>
      </c>
      <c r="I3345" s="0" t="s">
        <v>41</v>
      </c>
      <c r="J3345" s="0" t="s">
        <v>42</v>
      </c>
      <c r="K3345" s="0" t="s">
        <v>48</v>
      </c>
      <c r="L3345" s="0" t="s">
        <v>49</v>
      </c>
      <c r="M3345" s="0" t="s">
        <v>140</v>
      </c>
      <c r="N3345" s="0" t="n">
        <v>771</v>
      </c>
      <c r="O3345" s="10" t="n">
        <v>0.691195111488923</v>
      </c>
      <c r="P3345" s="10" t="n">
        <v>0.601251717889681</v>
      </c>
      <c r="Q3345" s="0" t="str">
        <f aca="false">SUBSTITUTE(SUBSTITUTE($I3345,CHAR(61),""),CHAR(34),"")</f>
        <v>25-34</v>
      </c>
      <c r="R3345" s="0" t="str">
        <f aca="false">IF($D3345&lt;&gt;"","["&amp;$E3345&amp;"]"&amp;"|"&amp;$Q3345&amp;"|"&amp;$K3345&amp;"|"&amp;$G3345&amp;"|"&amp;IF($G3345="TX_CURR_SUBNAT.R","CY2022Q4",$M3345),"")</f>
        <v>[gwVYinjBAe9]|25-34|Male|Untreated_PLHIV_Attend.T_1|CY2023Q3</v>
      </c>
    </row>
    <row r="3346" customFormat="false" ht="15" hidden="false" customHeight="false" outlineLevel="0" collapsed="false">
      <c r="D3346" s="0" t="s">
        <v>96</v>
      </c>
      <c r="E3346" s="0" t="s">
        <v>97</v>
      </c>
      <c r="F3346" s="0" t="s">
        <v>98</v>
      </c>
      <c r="G3346" s="0" t="s">
        <v>151</v>
      </c>
      <c r="H3346" s="0" t="s">
        <v>151</v>
      </c>
      <c r="I3346" s="0" t="s">
        <v>43</v>
      </c>
      <c r="J3346" s="0" t="s">
        <v>44</v>
      </c>
      <c r="K3346" s="0" t="s">
        <v>48</v>
      </c>
      <c r="L3346" s="0" t="s">
        <v>49</v>
      </c>
      <c r="M3346" s="0" t="s">
        <v>140</v>
      </c>
      <c r="N3346" s="0" t="n">
        <v>1091</v>
      </c>
      <c r="O3346" s="10" t="n">
        <v>0.493566914228722</v>
      </c>
      <c r="P3346" s="10" t="n">
        <v>0.601251717889681</v>
      </c>
      <c r="Q3346" s="0" t="str">
        <f aca="false">SUBSTITUTE(SUBSTITUTE($I3346,CHAR(61),""),CHAR(34),"")</f>
        <v>35-49</v>
      </c>
      <c r="R3346" s="0" t="str">
        <f aca="false">IF($D3346&lt;&gt;"","["&amp;$E3346&amp;"]"&amp;"|"&amp;$Q3346&amp;"|"&amp;$K3346&amp;"|"&amp;$G3346&amp;"|"&amp;IF($G3346="TX_CURR_SUBNAT.R","CY2022Q4",$M3346),"")</f>
        <v>[gwVYinjBAe9]|35-49|Male|Untreated_PLHIV_Attend.T_1|CY2023Q3</v>
      </c>
    </row>
    <row r="3347" customFormat="false" ht="15" hidden="false" customHeight="false" outlineLevel="0" collapsed="false">
      <c r="D3347" s="0" t="s">
        <v>96</v>
      </c>
      <c r="E3347" s="0" t="s">
        <v>97</v>
      </c>
      <c r="F3347" s="0" t="s">
        <v>98</v>
      </c>
      <c r="G3347" s="0" t="s">
        <v>151</v>
      </c>
      <c r="H3347" s="0" t="s">
        <v>151</v>
      </c>
      <c r="I3347" s="0" t="s">
        <v>45</v>
      </c>
      <c r="J3347" s="0" t="s">
        <v>46</v>
      </c>
      <c r="K3347" s="0" t="s">
        <v>48</v>
      </c>
      <c r="L3347" s="0" t="s">
        <v>49</v>
      </c>
      <c r="M3347" s="0" t="s">
        <v>140</v>
      </c>
      <c r="N3347" s="0" t="n">
        <v>1688</v>
      </c>
      <c r="O3347" s="10" t="n">
        <v>0.11438240413554</v>
      </c>
      <c r="P3347" s="10" t="n">
        <v>0.601251717889681</v>
      </c>
      <c r="Q3347" s="0" t="str">
        <f aca="false">SUBSTITUTE(SUBSTITUTE($I3347,CHAR(61),""),CHAR(34),"")</f>
        <v>50+</v>
      </c>
      <c r="R3347" s="0" t="str">
        <f aca="false">IF($D3347&lt;&gt;"","["&amp;$E3347&amp;"]"&amp;"|"&amp;$Q3347&amp;"|"&amp;$K3347&amp;"|"&amp;$G3347&amp;"|"&amp;IF($G3347="TX_CURR_SUBNAT.R","CY2022Q4",$M3347),"")</f>
        <v>[gwVYinjBAe9]|50+|Male|Untreated_PLHIV_Attend.T_1|CY2023Q3</v>
      </c>
    </row>
    <row r="3348" customFormat="false" ht="15" hidden="false" customHeight="false" outlineLevel="0" collapsed="false">
      <c r="D3348" s="0" t="s">
        <v>99</v>
      </c>
      <c r="E3348" s="0" t="s">
        <v>100</v>
      </c>
      <c r="F3348" s="0" t="s">
        <v>101</v>
      </c>
      <c r="G3348" s="0" t="s">
        <v>151</v>
      </c>
      <c r="H3348" s="0" t="s">
        <v>151</v>
      </c>
      <c r="I3348" s="0" t="s">
        <v>28</v>
      </c>
      <c r="J3348" s="0" t="s">
        <v>29</v>
      </c>
      <c r="K3348" s="0" t="s">
        <v>30</v>
      </c>
      <c r="L3348" s="0" t="s">
        <v>31</v>
      </c>
      <c r="M3348" s="0" t="s">
        <v>140</v>
      </c>
      <c r="N3348" s="0" t="n">
        <v>783</v>
      </c>
      <c r="O3348" s="10" t="n">
        <v>0.626932835904881</v>
      </c>
      <c r="P3348" s="10" t="n">
        <v>0.577288038097322</v>
      </c>
      <c r="Q3348" s="0" t="str">
        <f aca="false">SUBSTITUTE(SUBSTITUTE($I3348,CHAR(61),""),CHAR(34),"")</f>
        <v>&lt;01</v>
      </c>
      <c r="R3348" s="0" t="str">
        <f aca="false">IF($D3348&lt;&gt;"","["&amp;$E3348&amp;"]"&amp;"|"&amp;$Q3348&amp;"|"&amp;$K3348&amp;"|"&amp;$G3348&amp;"|"&amp;IF($G3348="TX_CURR_SUBNAT.R","CY2022Q4",$M3348),"")</f>
        <v>[mxqa3CDFmIT]|&lt;01|Female|Untreated_PLHIV_Attend.T_1|CY2023Q3</v>
      </c>
    </row>
    <row r="3349" customFormat="false" ht="15" hidden="false" customHeight="false" outlineLevel="0" collapsed="false">
      <c r="D3349" s="0" t="s">
        <v>99</v>
      </c>
      <c r="E3349" s="0" t="s">
        <v>100</v>
      </c>
      <c r="F3349" s="0" t="s">
        <v>101</v>
      </c>
      <c r="G3349" s="0" t="s">
        <v>151</v>
      </c>
      <c r="H3349" s="0" t="s">
        <v>151</v>
      </c>
      <c r="I3349" s="0" t="s">
        <v>33</v>
      </c>
      <c r="J3349" s="0" t="s">
        <v>34</v>
      </c>
      <c r="K3349" s="0" t="s">
        <v>30</v>
      </c>
      <c r="L3349" s="0" t="s">
        <v>31</v>
      </c>
      <c r="M3349" s="0" t="s">
        <v>140</v>
      </c>
      <c r="N3349" s="0" t="n">
        <v>1678</v>
      </c>
      <c r="O3349" s="10" t="n">
        <v>0.437928655184805</v>
      </c>
      <c r="P3349" s="10" t="n">
        <v>0.577288038097322</v>
      </c>
      <c r="Q3349" s="0" t="str">
        <f aca="false">SUBSTITUTE(SUBSTITUTE($I3349,CHAR(61),""),CHAR(34),"")</f>
        <v>01-09</v>
      </c>
      <c r="R3349" s="0" t="str">
        <f aca="false">IF($D3349&lt;&gt;"","["&amp;$E3349&amp;"]"&amp;"|"&amp;$Q3349&amp;"|"&amp;$K3349&amp;"|"&amp;$G3349&amp;"|"&amp;IF($G3349="TX_CURR_SUBNAT.R","CY2022Q4",$M3349),"")</f>
        <v>[mxqa3CDFmIT]|01-09|Female|Untreated_PLHIV_Attend.T_1|CY2023Q3</v>
      </c>
    </row>
    <row r="3350" customFormat="false" ht="15" hidden="false" customHeight="false" outlineLevel="0" collapsed="false">
      <c r="D3350" s="0" t="s">
        <v>99</v>
      </c>
      <c r="E3350" s="0" t="s">
        <v>100</v>
      </c>
      <c r="F3350" s="0" t="s">
        <v>101</v>
      </c>
      <c r="G3350" s="0" t="s">
        <v>151</v>
      </c>
      <c r="H3350" s="0" t="s">
        <v>151</v>
      </c>
      <c r="I3350" s="0" t="s">
        <v>36</v>
      </c>
      <c r="J3350" s="0" t="s">
        <v>37</v>
      </c>
      <c r="K3350" s="0" t="s">
        <v>30</v>
      </c>
      <c r="L3350" s="0" t="s">
        <v>31</v>
      </c>
      <c r="M3350" s="0" t="s">
        <v>140</v>
      </c>
      <c r="N3350" s="0" t="n">
        <v>749</v>
      </c>
      <c r="O3350" s="10" t="n">
        <v>0.452963968273252</v>
      </c>
      <c r="P3350" s="10" t="n">
        <v>0.577288038097322</v>
      </c>
      <c r="Q3350" s="0" t="str">
        <f aca="false">SUBSTITUTE(SUBSTITUTE($I3350,CHAR(61),""),CHAR(34),"")</f>
        <v>10-14</v>
      </c>
      <c r="R3350" s="0" t="str">
        <f aca="false">IF($D3350&lt;&gt;"","["&amp;$E3350&amp;"]"&amp;"|"&amp;$Q3350&amp;"|"&amp;$K3350&amp;"|"&amp;$G3350&amp;"|"&amp;IF($G3350="TX_CURR_SUBNAT.R","CY2022Q4",$M3350),"")</f>
        <v>[mxqa3CDFmIT]|10-14|Female|Untreated_PLHIV_Attend.T_1|CY2023Q3</v>
      </c>
    </row>
    <row r="3351" customFormat="false" ht="15" hidden="false" customHeight="false" outlineLevel="0" collapsed="false">
      <c r="D3351" s="0" t="s">
        <v>99</v>
      </c>
      <c r="E3351" s="0" t="s">
        <v>100</v>
      </c>
      <c r="F3351" s="0" t="s">
        <v>101</v>
      </c>
      <c r="G3351" s="0" t="s">
        <v>151</v>
      </c>
      <c r="H3351" s="0" t="s">
        <v>151</v>
      </c>
      <c r="I3351" s="0" t="s">
        <v>38</v>
      </c>
      <c r="J3351" s="0" t="s">
        <v>39</v>
      </c>
      <c r="K3351" s="0" t="s">
        <v>30</v>
      </c>
      <c r="L3351" s="0" t="s">
        <v>31</v>
      </c>
      <c r="M3351" s="0" t="s">
        <v>140</v>
      </c>
      <c r="N3351" s="0" t="n">
        <v>1844</v>
      </c>
      <c r="O3351" s="10" t="n">
        <v>0.668924119090661</v>
      </c>
      <c r="P3351" s="10" t="n">
        <v>0.577288038097322</v>
      </c>
      <c r="Q3351" s="0" t="str">
        <f aca="false">SUBSTITUTE(SUBSTITUTE($I3351,CHAR(61),""),CHAR(34),"")</f>
        <v>15-24</v>
      </c>
      <c r="R3351" s="0" t="str">
        <f aca="false">IF($D3351&lt;&gt;"","["&amp;$E3351&amp;"]"&amp;"|"&amp;$Q3351&amp;"|"&amp;$K3351&amp;"|"&amp;$G3351&amp;"|"&amp;IF($G3351="TX_CURR_SUBNAT.R","CY2022Q4",$M3351),"")</f>
        <v>[mxqa3CDFmIT]|15-24|Female|Untreated_PLHIV_Attend.T_1|CY2023Q3</v>
      </c>
    </row>
    <row r="3352" customFormat="false" ht="15" hidden="false" customHeight="false" outlineLevel="0" collapsed="false">
      <c r="D3352" s="0" t="s">
        <v>99</v>
      </c>
      <c r="E3352" s="0" t="s">
        <v>100</v>
      </c>
      <c r="F3352" s="0" t="s">
        <v>101</v>
      </c>
      <c r="G3352" s="0" t="s">
        <v>151</v>
      </c>
      <c r="H3352" s="0" t="s">
        <v>151</v>
      </c>
      <c r="I3352" s="0" t="s">
        <v>41</v>
      </c>
      <c r="J3352" s="0" t="s">
        <v>42</v>
      </c>
      <c r="K3352" s="0" t="s">
        <v>30</v>
      </c>
      <c r="L3352" s="0" t="s">
        <v>31</v>
      </c>
      <c r="M3352" s="0" t="s">
        <v>140</v>
      </c>
      <c r="N3352" s="0" t="n">
        <v>1577</v>
      </c>
      <c r="O3352" s="10" t="n">
        <v>0.378214199794456</v>
      </c>
      <c r="P3352" s="10" t="n">
        <v>0.577288038097322</v>
      </c>
      <c r="Q3352" s="0" t="str">
        <f aca="false">SUBSTITUTE(SUBSTITUTE($I3352,CHAR(61),""),CHAR(34),"")</f>
        <v>25-34</v>
      </c>
      <c r="R3352" s="0" t="str">
        <f aca="false">IF($D3352&lt;&gt;"","["&amp;$E3352&amp;"]"&amp;"|"&amp;$Q3352&amp;"|"&amp;$K3352&amp;"|"&amp;$G3352&amp;"|"&amp;IF($G3352="TX_CURR_SUBNAT.R","CY2022Q4",$M3352),"")</f>
        <v>[mxqa3CDFmIT]|25-34|Female|Untreated_PLHIV_Attend.T_1|CY2023Q3</v>
      </c>
    </row>
    <row r="3353" customFormat="false" ht="15" hidden="false" customHeight="false" outlineLevel="0" collapsed="false">
      <c r="D3353" s="0" t="s">
        <v>99</v>
      </c>
      <c r="E3353" s="0" t="s">
        <v>100</v>
      </c>
      <c r="F3353" s="0" t="s">
        <v>101</v>
      </c>
      <c r="G3353" s="0" t="s">
        <v>151</v>
      </c>
      <c r="H3353" s="0" t="s">
        <v>151</v>
      </c>
      <c r="I3353" s="0" t="s">
        <v>43</v>
      </c>
      <c r="J3353" s="0" t="s">
        <v>44</v>
      </c>
      <c r="K3353" s="0" t="s">
        <v>30</v>
      </c>
      <c r="L3353" s="0" t="s">
        <v>31</v>
      </c>
      <c r="M3353" s="0" t="s">
        <v>140</v>
      </c>
      <c r="N3353" s="0" t="n">
        <v>1881</v>
      </c>
      <c r="O3353" s="10" t="n">
        <v>0.443210741272196</v>
      </c>
      <c r="P3353" s="10" t="n">
        <v>0.577288038097322</v>
      </c>
      <c r="Q3353" s="0" t="str">
        <f aca="false">SUBSTITUTE(SUBSTITUTE($I3353,CHAR(61),""),CHAR(34),"")</f>
        <v>35-49</v>
      </c>
      <c r="R3353" s="0" t="str">
        <f aca="false">IF($D3353&lt;&gt;"","["&amp;$E3353&amp;"]"&amp;"|"&amp;$Q3353&amp;"|"&amp;$K3353&amp;"|"&amp;$G3353&amp;"|"&amp;IF($G3353="TX_CURR_SUBNAT.R","CY2022Q4",$M3353),"")</f>
        <v>[mxqa3CDFmIT]|35-49|Female|Untreated_PLHIV_Attend.T_1|CY2023Q3</v>
      </c>
    </row>
    <row r="3354" customFormat="false" ht="15" hidden="false" customHeight="false" outlineLevel="0" collapsed="false">
      <c r="D3354" s="0" t="s">
        <v>99</v>
      </c>
      <c r="E3354" s="0" t="s">
        <v>100</v>
      </c>
      <c r="F3354" s="0" t="s">
        <v>101</v>
      </c>
      <c r="G3354" s="0" t="s">
        <v>151</v>
      </c>
      <c r="H3354" s="0" t="s">
        <v>151</v>
      </c>
      <c r="I3354" s="0" t="s">
        <v>45</v>
      </c>
      <c r="J3354" s="0" t="s">
        <v>46</v>
      </c>
      <c r="K3354" s="0" t="s">
        <v>30</v>
      </c>
      <c r="L3354" s="0" t="s">
        <v>31</v>
      </c>
      <c r="M3354" s="0" t="s">
        <v>140</v>
      </c>
      <c r="N3354" s="0" t="n">
        <v>1190</v>
      </c>
      <c r="O3354" s="10" t="n">
        <v>0.108543144073337</v>
      </c>
      <c r="P3354" s="10" t="n">
        <v>0.577288038097322</v>
      </c>
      <c r="Q3354" s="0" t="str">
        <f aca="false">SUBSTITUTE(SUBSTITUTE($I3354,CHAR(61),""),CHAR(34),"")</f>
        <v>50+</v>
      </c>
      <c r="R3354" s="0" t="str">
        <f aca="false">IF($D3354&lt;&gt;"","["&amp;$E3354&amp;"]"&amp;"|"&amp;$Q3354&amp;"|"&amp;$K3354&amp;"|"&amp;$G3354&amp;"|"&amp;IF($G3354="TX_CURR_SUBNAT.R","CY2022Q4",$M3354),"")</f>
        <v>[mxqa3CDFmIT]|50+|Female|Untreated_PLHIV_Attend.T_1|CY2023Q3</v>
      </c>
    </row>
    <row r="3355" customFormat="false" ht="15" hidden="false" customHeight="false" outlineLevel="0" collapsed="false">
      <c r="D3355" s="0" t="s">
        <v>99</v>
      </c>
      <c r="E3355" s="0" t="s">
        <v>100</v>
      </c>
      <c r="F3355" s="0" t="s">
        <v>101</v>
      </c>
      <c r="G3355" s="0" t="s">
        <v>151</v>
      </c>
      <c r="H3355" s="0" t="s">
        <v>151</v>
      </c>
      <c r="I3355" s="0" t="s">
        <v>28</v>
      </c>
      <c r="J3355" s="0" t="s">
        <v>29</v>
      </c>
      <c r="K3355" s="0" t="s">
        <v>48</v>
      </c>
      <c r="L3355" s="0" t="s">
        <v>49</v>
      </c>
      <c r="M3355" s="0" t="s">
        <v>140</v>
      </c>
      <c r="N3355" s="0" t="n">
        <v>1586</v>
      </c>
      <c r="O3355" s="10" t="n">
        <v>0.934899786487222</v>
      </c>
      <c r="P3355" s="10" t="n">
        <v>0.577288038097322</v>
      </c>
      <c r="Q3355" s="0" t="str">
        <f aca="false">SUBSTITUTE(SUBSTITUTE($I3355,CHAR(61),""),CHAR(34),"")</f>
        <v>&lt;01</v>
      </c>
      <c r="R3355" s="0" t="str">
        <f aca="false">IF($D3355&lt;&gt;"","["&amp;$E3355&amp;"]"&amp;"|"&amp;$Q3355&amp;"|"&amp;$K3355&amp;"|"&amp;$G3355&amp;"|"&amp;IF($G3355="TX_CURR_SUBNAT.R","CY2022Q4",$M3355),"")</f>
        <v>[mxqa3CDFmIT]|&lt;01|Male|Untreated_PLHIV_Attend.T_1|CY2023Q3</v>
      </c>
    </row>
    <row r="3356" customFormat="false" ht="15" hidden="false" customHeight="false" outlineLevel="0" collapsed="false">
      <c r="D3356" s="0" t="s">
        <v>99</v>
      </c>
      <c r="E3356" s="0" t="s">
        <v>100</v>
      </c>
      <c r="F3356" s="0" t="s">
        <v>101</v>
      </c>
      <c r="G3356" s="0" t="s">
        <v>151</v>
      </c>
      <c r="H3356" s="0" t="s">
        <v>151</v>
      </c>
      <c r="I3356" s="0" t="s">
        <v>33</v>
      </c>
      <c r="J3356" s="0" t="s">
        <v>34</v>
      </c>
      <c r="K3356" s="0" t="s">
        <v>48</v>
      </c>
      <c r="L3356" s="0" t="s">
        <v>49</v>
      </c>
      <c r="M3356" s="0" t="s">
        <v>140</v>
      </c>
      <c r="N3356" s="0" t="n">
        <v>609</v>
      </c>
      <c r="O3356" s="10" t="n">
        <v>0.701981924474239</v>
      </c>
      <c r="P3356" s="10" t="n">
        <v>0.577288038097322</v>
      </c>
      <c r="Q3356" s="0" t="str">
        <f aca="false">SUBSTITUTE(SUBSTITUTE($I3356,CHAR(61),""),CHAR(34),"")</f>
        <v>01-09</v>
      </c>
      <c r="R3356" s="0" t="str">
        <f aca="false">IF($D3356&lt;&gt;"","["&amp;$E3356&amp;"]"&amp;"|"&amp;$Q3356&amp;"|"&amp;$K3356&amp;"|"&amp;$G3356&amp;"|"&amp;IF($G3356="TX_CURR_SUBNAT.R","CY2022Q4",$M3356),"")</f>
        <v>[mxqa3CDFmIT]|01-09|Male|Untreated_PLHIV_Attend.T_1|CY2023Q3</v>
      </c>
    </row>
    <row r="3357" customFormat="false" ht="15" hidden="false" customHeight="false" outlineLevel="0" collapsed="false">
      <c r="D3357" s="0" t="s">
        <v>99</v>
      </c>
      <c r="E3357" s="0" t="s">
        <v>100</v>
      </c>
      <c r="F3357" s="0" t="s">
        <v>101</v>
      </c>
      <c r="G3357" s="0" t="s">
        <v>151</v>
      </c>
      <c r="H3357" s="0" t="s">
        <v>151</v>
      </c>
      <c r="I3357" s="0" t="s">
        <v>36</v>
      </c>
      <c r="J3357" s="0" t="s">
        <v>37</v>
      </c>
      <c r="K3357" s="0" t="s">
        <v>48</v>
      </c>
      <c r="L3357" s="0" t="s">
        <v>49</v>
      </c>
      <c r="M3357" s="0" t="s">
        <v>140</v>
      </c>
      <c r="N3357" s="0" t="n">
        <v>1700</v>
      </c>
      <c r="O3357" s="10" t="n">
        <v>0.759416071232408</v>
      </c>
      <c r="P3357" s="10" t="n">
        <v>0.577288038097322</v>
      </c>
      <c r="Q3357" s="0" t="str">
        <f aca="false">SUBSTITUTE(SUBSTITUTE($I3357,CHAR(61),""),CHAR(34),"")</f>
        <v>10-14</v>
      </c>
      <c r="R3357" s="0" t="str">
        <f aca="false">IF($D3357&lt;&gt;"","["&amp;$E3357&amp;"]"&amp;"|"&amp;$Q3357&amp;"|"&amp;$K3357&amp;"|"&amp;$G3357&amp;"|"&amp;IF($G3357="TX_CURR_SUBNAT.R","CY2022Q4",$M3357),"")</f>
        <v>[mxqa3CDFmIT]|10-14|Male|Untreated_PLHIV_Attend.T_1|CY2023Q3</v>
      </c>
    </row>
    <row r="3358" customFormat="false" ht="15" hidden="false" customHeight="false" outlineLevel="0" collapsed="false">
      <c r="D3358" s="0" t="s">
        <v>99</v>
      </c>
      <c r="E3358" s="0" t="s">
        <v>100</v>
      </c>
      <c r="F3358" s="0" t="s">
        <v>101</v>
      </c>
      <c r="G3358" s="0" t="s">
        <v>151</v>
      </c>
      <c r="H3358" s="0" t="s">
        <v>151</v>
      </c>
      <c r="I3358" s="0" t="s">
        <v>38</v>
      </c>
      <c r="J3358" s="0" t="s">
        <v>39</v>
      </c>
      <c r="K3358" s="0" t="s">
        <v>48</v>
      </c>
      <c r="L3358" s="0" t="s">
        <v>49</v>
      </c>
      <c r="M3358" s="0" t="s">
        <v>140</v>
      </c>
      <c r="N3358" s="0" t="n">
        <v>618</v>
      </c>
      <c r="O3358" s="10" t="n">
        <v>0.423981712898239</v>
      </c>
      <c r="P3358" s="10" t="n">
        <v>0.577288038097322</v>
      </c>
      <c r="Q3358" s="0" t="str">
        <f aca="false">SUBSTITUTE(SUBSTITUTE($I3358,CHAR(61),""),CHAR(34),"")</f>
        <v>15-24</v>
      </c>
      <c r="R3358" s="0" t="str">
        <f aca="false">IF($D3358&lt;&gt;"","["&amp;$E3358&amp;"]"&amp;"|"&amp;$Q3358&amp;"|"&amp;$K3358&amp;"|"&amp;$G3358&amp;"|"&amp;IF($G3358="TX_CURR_SUBNAT.R","CY2022Q4",$M3358),"")</f>
        <v>[mxqa3CDFmIT]|15-24|Male|Untreated_PLHIV_Attend.T_1|CY2023Q3</v>
      </c>
    </row>
    <row r="3359" customFormat="false" ht="15" hidden="false" customHeight="false" outlineLevel="0" collapsed="false">
      <c r="D3359" s="0" t="s">
        <v>99</v>
      </c>
      <c r="E3359" s="0" t="s">
        <v>100</v>
      </c>
      <c r="F3359" s="0" t="s">
        <v>101</v>
      </c>
      <c r="G3359" s="0" t="s">
        <v>151</v>
      </c>
      <c r="H3359" s="0" t="s">
        <v>151</v>
      </c>
      <c r="I3359" s="0" t="s">
        <v>41</v>
      </c>
      <c r="J3359" s="0" t="s">
        <v>42</v>
      </c>
      <c r="K3359" s="0" t="s">
        <v>48</v>
      </c>
      <c r="L3359" s="0" t="s">
        <v>49</v>
      </c>
      <c r="M3359" s="0" t="s">
        <v>140</v>
      </c>
      <c r="N3359" s="0" t="n">
        <v>1969</v>
      </c>
      <c r="O3359" s="10" t="n">
        <v>0.945535544073209</v>
      </c>
      <c r="P3359" s="10" t="n">
        <v>0.577288038097322</v>
      </c>
      <c r="Q3359" s="0" t="str">
        <f aca="false">SUBSTITUTE(SUBSTITUTE($I3359,CHAR(61),""),CHAR(34),"")</f>
        <v>25-34</v>
      </c>
      <c r="R3359" s="0" t="str">
        <f aca="false">IF($D3359&lt;&gt;"","["&amp;$E3359&amp;"]"&amp;"|"&amp;$Q3359&amp;"|"&amp;$K3359&amp;"|"&amp;$G3359&amp;"|"&amp;IF($G3359="TX_CURR_SUBNAT.R","CY2022Q4",$M3359),"")</f>
        <v>[mxqa3CDFmIT]|25-34|Male|Untreated_PLHIV_Attend.T_1|CY2023Q3</v>
      </c>
    </row>
    <row r="3360" customFormat="false" ht="15" hidden="false" customHeight="false" outlineLevel="0" collapsed="false">
      <c r="D3360" s="0" t="s">
        <v>99</v>
      </c>
      <c r="E3360" s="0" t="s">
        <v>100</v>
      </c>
      <c r="F3360" s="0" t="s">
        <v>101</v>
      </c>
      <c r="G3360" s="0" t="s">
        <v>151</v>
      </c>
      <c r="H3360" s="0" t="s">
        <v>151</v>
      </c>
      <c r="I3360" s="0" t="s">
        <v>43</v>
      </c>
      <c r="J3360" s="0" t="s">
        <v>44</v>
      </c>
      <c r="K3360" s="0" t="s">
        <v>48</v>
      </c>
      <c r="L3360" s="0" t="s">
        <v>49</v>
      </c>
      <c r="M3360" s="0" t="s">
        <v>140</v>
      </c>
      <c r="N3360" s="0" t="n">
        <v>1701</v>
      </c>
      <c r="O3360" s="10" t="n">
        <v>0.808991916710511</v>
      </c>
      <c r="P3360" s="10" t="n">
        <v>0.577288038097322</v>
      </c>
      <c r="Q3360" s="0" t="str">
        <f aca="false">SUBSTITUTE(SUBSTITUTE($I3360,CHAR(61),""),CHAR(34),"")</f>
        <v>35-49</v>
      </c>
      <c r="R3360" s="0" t="str">
        <f aca="false">IF($D3360&lt;&gt;"","["&amp;$E3360&amp;"]"&amp;"|"&amp;$Q3360&amp;"|"&amp;$K3360&amp;"|"&amp;$G3360&amp;"|"&amp;IF($G3360="TX_CURR_SUBNAT.R","CY2022Q4",$M3360),"")</f>
        <v>[mxqa3CDFmIT]|35-49|Male|Untreated_PLHIV_Attend.T_1|CY2023Q3</v>
      </c>
    </row>
    <row r="3361" customFormat="false" ht="15" hidden="false" customHeight="false" outlineLevel="0" collapsed="false">
      <c r="D3361" s="0" t="s">
        <v>99</v>
      </c>
      <c r="E3361" s="0" t="s">
        <v>100</v>
      </c>
      <c r="F3361" s="0" t="s">
        <v>101</v>
      </c>
      <c r="G3361" s="0" t="s">
        <v>151</v>
      </c>
      <c r="H3361" s="0" t="s">
        <v>151</v>
      </c>
      <c r="I3361" s="0" t="s">
        <v>45</v>
      </c>
      <c r="J3361" s="0" t="s">
        <v>46</v>
      </c>
      <c r="K3361" s="0" t="s">
        <v>48</v>
      </c>
      <c r="L3361" s="0" t="s">
        <v>49</v>
      </c>
      <c r="M3361" s="0" t="s">
        <v>140</v>
      </c>
      <c r="N3361" s="0" t="n">
        <v>1550</v>
      </c>
      <c r="O3361" s="10" t="n">
        <v>0.128500666934997</v>
      </c>
      <c r="P3361" s="10" t="n">
        <v>0.577288038097322</v>
      </c>
      <c r="Q3361" s="0" t="str">
        <f aca="false">SUBSTITUTE(SUBSTITUTE($I3361,CHAR(61),""),CHAR(34),"")</f>
        <v>50+</v>
      </c>
      <c r="R3361" s="0" t="str">
        <f aca="false">IF($D3361&lt;&gt;"","["&amp;$E3361&amp;"]"&amp;"|"&amp;$Q3361&amp;"|"&amp;$K3361&amp;"|"&amp;$G3361&amp;"|"&amp;IF($G3361="TX_CURR_SUBNAT.R","CY2022Q4",$M3361),"")</f>
        <v>[mxqa3CDFmIT]|50+|Male|Untreated_PLHIV_Attend.T_1|CY2023Q3</v>
      </c>
    </row>
    <row r="3362" customFormat="false" ht="15" hidden="false" customHeight="false" outlineLevel="0" collapsed="false">
      <c r="D3362" s="0" t="s">
        <v>102</v>
      </c>
      <c r="E3362" s="0" t="s">
        <v>103</v>
      </c>
      <c r="F3362" s="0" t="s">
        <v>104</v>
      </c>
      <c r="G3362" s="0" t="s">
        <v>151</v>
      </c>
      <c r="H3362" s="0" t="s">
        <v>151</v>
      </c>
      <c r="I3362" s="0" t="s">
        <v>28</v>
      </c>
      <c r="J3362" s="0" t="s">
        <v>29</v>
      </c>
      <c r="K3362" s="0" t="s">
        <v>30</v>
      </c>
      <c r="L3362" s="0" t="s">
        <v>31</v>
      </c>
      <c r="M3362" s="0" t="s">
        <v>140</v>
      </c>
      <c r="N3362" s="0" t="n">
        <v>761</v>
      </c>
      <c r="O3362" s="10" t="n">
        <v>0.410152121679857</v>
      </c>
      <c r="P3362" s="10" t="n">
        <v>0.526212359312922</v>
      </c>
      <c r="Q3362" s="0" t="str">
        <f aca="false">SUBSTITUTE(SUBSTITUTE($I3362,CHAR(61),""),CHAR(34),"")</f>
        <v>&lt;01</v>
      </c>
      <c r="R3362" s="0" t="str">
        <f aca="false">IF($D3362&lt;&gt;"","["&amp;$E3362&amp;"]"&amp;"|"&amp;$Q3362&amp;"|"&amp;$K3362&amp;"|"&amp;$G3362&amp;"|"&amp;IF($G3362="TX_CURR_SUBNAT.R","CY2022Q4",$M3362),"")</f>
        <v>[wNqJp8oRIcF]|&lt;01|Female|Untreated_PLHIV_Attend.T_1|CY2023Q3</v>
      </c>
    </row>
    <row r="3363" customFormat="false" ht="15" hidden="false" customHeight="false" outlineLevel="0" collapsed="false">
      <c r="D3363" s="0" t="s">
        <v>102</v>
      </c>
      <c r="E3363" s="0" t="s">
        <v>103</v>
      </c>
      <c r="F3363" s="0" t="s">
        <v>104</v>
      </c>
      <c r="G3363" s="0" t="s">
        <v>151</v>
      </c>
      <c r="H3363" s="0" t="s">
        <v>151</v>
      </c>
      <c r="I3363" s="0" t="s">
        <v>33</v>
      </c>
      <c r="J3363" s="0" t="s">
        <v>34</v>
      </c>
      <c r="K3363" s="0" t="s">
        <v>30</v>
      </c>
      <c r="L3363" s="0" t="s">
        <v>31</v>
      </c>
      <c r="M3363" s="0" t="s">
        <v>140</v>
      </c>
      <c r="N3363" s="0" t="n">
        <v>1854</v>
      </c>
      <c r="O3363" s="10" t="n">
        <v>0.125931645743549</v>
      </c>
      <c r="P3363" s="10" t="n">
        <v>0.526212359312922</v>
      </c>
      <c r="Q3363" s="0" t="str">
        <f aca="false">SUBSTITUTE(SUBSTITUTE($I3363,CHAR(61),""),CHAR(34),"")</f>
        <v>01-09</v>
      </c>
      <c r="R3363" s="0" t="str">
        <f aca="false">IF($D3363&lt;&gt;"","["&amp;$E3363&amp;"]"&amp;"|"&amp;$Q3363&amp;"|"&amp;$K3363&amp;"|"&amp;$G3363&amp;"|"&amp;IF($G3363="TX_CURR_SUBNAT.R","CY2022Q4",$M3363),"")</f>
        <v>[wNqJp8oRIcF]|01-09|Female|Untreated_PLHIV_Attend.T_1|CY2023Q3</v>
      </c>
    </row>
    <row r="3364" customFormat="false" ht="15" hidden="false" customHeight="false" outlineLevel="0" collapsed="false">
      <c r="D3364" s="0" t="s">
        <v>102</v>
      </c>
      <c r="E3364" s="0" t="s">
        <v>103</v>
      </c>
      <c r="F3364" s="0" t="s">
        <v>104</v>
      </c>
      <c r="G3364" s="0" t="s">
        <v>151</v>
      </c>
      <c r="H3364" s="0" t="s">
        <v>151</v>
      </c>
      <c r="I3364" s="0" t="s">
        <v>36</v>
      </c>
      <c r="J3364" s="0" t="s">
        <v>37</v>
      </c>
      <c r="K3364" s="0" t="s">
        <v>30</v>
      </c>
      <c r="L3364" s="0" t="s">
        <v>31</v>
      </c>
      <c r="M3364" s="0" t="s">
        <v>140</v>
      </c>
      <c r="N3364" s="0" t="n">
        <v>840</v>
      </c>
      <c r="O3364" s="10" t="n">
        <v>0.229871321469545</v>
      </c>
      <c r="P3364" s="10" t="n">
        <v>0.526212359312922</v>
      </c>
      <c r="Q3364" s="0" t="str">
        <f aca="false">SUBSTITUTE(SUBSTITUTE($I3364,CHAR(61),""),CHAR(34),"")</f>
        <v>10-14</v>
      </c>
      <c r="R3364" s="0" t="str">
        <f aca="false">IF($D3364&lt;&gt;"","["&amp;$E3364&amp;"]"&amp;"|"&amp;$Q3364&amp;"|"&amp;$K3364&amp;"|"&amp;$G3364&amp;"|"&amp;IF($G3364="TX_CURR_SUBNAT.R","CY2022Q4",$M3364),"")</f>
        <v>[wNqJp8oRIcF]|10-14|Female|Untreated_PLHIV_Attend.T_1|CY2023Q3</v>
      </c>
    </row>
    <row r="3365" customFormat="false" ht="15" hidden="false" customHeight="false" outlineLevel="0" collapsed="false">
      <c r="D3365" s="0" t="s">
        <v>102</v>
      </c>
      <c r="E3365" s="0" t="s">
        <v>103</v>
      </c>
      <c r="F3365" s="0" t="s">
        <v>104</v>
      </c>
      <c r="G3365" s="0" t="s">
        <v>151</v>
      </c>
      <c r="H3365" s="0" t="s">
        <v>151</v>
      </c>
      <c r="I3365" s="0" t="s">
        <v>38</v>
      </c>
      <c r="J3365" s="0" t="s">
        <v>39</v>
      </c>
      <c r="K3365" s="0" t="s">
        <v>30</v>
      </c>
      <c r="L3365" s="0" t="s">
        <v>31</v>
      </c>
      <c r="M3365" s="0" t="s">
        <v>140</v>
      </c>
      <c r="N3365" s="0" t="n">
        <v>1172</v>
      </c>
      <c r="O3365" s="10" t="n">
        <v>0.843308057403192</v>
      </c>
      <c r="P3365" s="10" t="n">
        <v>0.526212359312922</v>
      </c>
      <c r="Q3365" s="0" t="str">
        <f aca="false">SUBSTITUTE(SUBSTITUTE($I3365,CHAR(61),""),CHAR(34),"")</f>
        <v>15-24</v>
      </c>
      <c r="R3365" s="0" t="str">
        <f aca="false">IF($D3365&lt;&gt;"","["&amp;$E3365&amp;"]"&amp;"|"&amp;$Q3365&amp;"|"&amp;$K3365&amp;"|"&amp;$G3365&amp;"|"&amp;IF($G3365="TX_CURR_SUBNAT.R","CY2022Q4",$M3365),"")</f>
        <v>[wNqJp8oRIcF]|15-24|Female|Untreated_PLHIV_Attend.T_1|CY2023Q3</v>
      </c>
    </row>
    <row r="3366" customFormat="false" ht="15" hidden="false" customHeight="false" outlineLevel="0" collapsed="false">
      <c r="D3366" s="0" t="s">
        <v>102</v>
      </c>
      <c r="E3366" s="0" t="s">
        <v>103</v>
      </c>
      <c r="F3366" s="0" t="s">
        <v>104</v>
      </c>
      <c r="G3366" s="0" t="s">
        <v>151</v>
      </c>
      <c r="H3366" s="0" t="s">
        <v>151</v>
      </c>
      <c r="I3366" s="0" t="s">
        <v>41</v>
      </c>
      <c r="J3366" s="0" t="s">
        <v>42</v>
      </c>
      <c r="K3366" s="0" t="s">
        <v>30</v>
      </c>
      <c r="L3366" s="0" t="s">
        <v>31</v>
      </c>
      <c r="M3366" s="0" t="s">
        <v>140</v>
      </c>
      <c r="N3366" s="0" t="n">
        <v>1676</v>
      </c>
      <c r="O3366" s="10" t="n">
        <v>0.762059430358931</v>
      </c>
      <c r="P3366" s="10" t="n">
        <v>0.526212359312922</v>
      </c>
      <c r="Q3366" s="0" t="str">
        <f aca="false">SUBSTITUTE(SUBSTITUTE($I3366,CHAR(61),""),CHAR(34),"")</f>
        <v>25-34</v>
      </c>
      <c r="R3366" s="0" t="str">
        <f aca="false">IF($D3366&lt;&gt;"","["&amp;$E3366&amp;"]"&amp;"|"&amp;$Q3366&amp;"|"&amp;$K3366&amp;"|"&amp;$G3366&amp;"|"&amp;IF($G3366="TX_CURR_SUBNAT.R","CY2022Q4",$M3366),"")</f>
        <v>[wNqJp8oRIcF]|25-34|Female|Untreated_PLHIV_Attend.T_1|CY2023Q3</v>
      </c>
    </row>
    <row r="3367" customFormat="false" ht="15" hidden="false" customHeight="false" outlineLevel="0" collapsed="false">
      <c r="D3367" s="0" t="s">
        <v>102</v>
      </c>
      <c r="E3367" s="0" t="s">
        <v>103</v>
      </c>
      <c r="F3367" s="0" t="s">
        <v>104</v>
      </c>
      <c r="G3367" s="0" t="s">
        <v>151</v>
      </c>
      <c r="H3367" s="0" t="s">
        <v>151</v>
      </c>
      <c r="I3367" s="0" t="s">
        <v>43</v>
      </c>
      <c r="J3367" s="0" t="s">
        <v>44</v>
      </c>
      <c r="K3367" s="0" t="s">
        <v>30</v>
      </c>
      <c r="L3367" s="0" t="s">
        <v>31</v>
      </c>
      <c r="M3367" s="0" t="s">
        <v>140</v>
      </c>
      <c r="N3367" s="0" t="n">
        <v>1305</v>
      </c>
      <c r="O3367" s="10" t="n">
        <v>0.255251187831163</v>
      </c>
      <c r="P3367" s="10" t="n">
        <v>0.526212359312922</v>
      </c>
      <c r="Q3367" s="0" t="str">
        <f aca="false">SUBSTITUTE(SUBSTITUTE($I3367,CHAR(61),""),CHAR(34),"")</f>
        <v>35-49</v>
      </c>
      <c r="R3367" s="0" t="str">
        <f aca="false">IF($D3367&lt;&gt;"","["&amp;$E3367&amp;"]"&amp;"|"&amp;$Q3367&amp;"|"&amp;$K3367&amp;"|"&amp;$G3367&amp;"|"&amp;IF($G3367="TX_CURR_SUBNAT.R","CY2022Q4",$M3367),"")</f>
        <v>[wNqJp8oRIcF]|35-49|Female|Untreated_PLHIV_Attend.T_1|CY2023Q3</v>
      </c>
    </row>
    <row r="3368" customFormat="false" ht="15" hidden="false" customHeight="false" outlineLevel="0" collapsed="false">
      <c r="D3368" s="0" t="s">
        <v>102</v>
      </c>
      <c r="E3368" s="0" t="s">
        <v>103</v>
      </c>
      <c r="F3368" s="0" t="s">
        <v>104</v>
      </c>
      <c r="G3368" s="0" t="s">
        <v>151</v>
      </c>
      <c r="H3368" s="0" t="s">
        <v>151</v>
      </c>
      <c r="I3368" s="0" t="s">
        <v>45</v>
      </c>
      <c r="J3368" s="0" t="s">
        <v>46</v>
      </c>
      <c r="K3368" s="0" t="s">
        <v>30</v>
      </c>
      <c r="L3368" s="0" t="s">
        <v>31</v>
      </c>
      <c r="M3368" s="0" t="s">
        <v>140</v>
      </c>
      <c r="N3368" s="0" t="n">
        <v>776</v>
      </c>
      <c r="O3368" s="10" t="n">
        <v>0.39839757210575</v>
      </c>
      <c r="P3368" s="10" t="n">
        <v>0.526212359312922</v>
      </c>
      <c r="Q3368" s="0" t="str">
        <f aca="false">SUBSTITUTE(SUBSTITUTE($I3368,CHAR(61),""),CHAR(34),"")</f>
        <v>50+</v>
      </c>
      <c r="R3368" s="0" t="str">
        <f aca="false">IF($D3368&lt;&gt;"","["&amp;$E3368&amp;"]"&amp;"|"&amp;$Q3368&amp;"|"&amp;$K3368&amp;"|"&amp;$G3368&amp;"|"&amp;IF($G3368="TX_CURR_SUBNAT.R","CY2022Q4",$M3368),"")</f>
        <v>[wNqJp8oRIcF]|50+|Female|Untreated_PLHIV_Attend.T_1|CY2023Q3</v>
      </c>
    </row>
    <row r="3369" customFormat="false" ht="15" hidden="false" customHeight="false" outlineLevel="0" collapsed="false">
      <c r="D3369" s="0" t="s">
        <v>102</v>
      </c>
      <c r="E3369" s="0" t="s">
        <v>103</v>
      </c>
      <c r="F3369" s="0" t="s">
        <v>104</v>
      </c>
      <c r="G3369" s="0" t="s">
        <v>151</v>
      </c>
      <c r="H3369" s="0" t="s">
        <v>151</v>
      </c>
      <c r="I3369" s="0" t="s">
        <v>28</v>
      </c>
      <c r="J3369" s="0" t="s">
        <v>29</v>
      </c>
      <c r="K3369" s="0" t="s">
        <v>48</v>
      </c>
      <c r="L3369" s="0" t="s">
        <v>49</v>
      </c>
      <c r="M3369" s="0" t="s">
        <v>140</v>
      </c>
      <c r="N3369" s="0" t="n">
        <v>1024</v>
      </c>
      <c r="O3369" s="10" t="n">
        <v>0.645862365840003</v>
      </c>
      <c r="P3369" s="10" t="n">
        <v>0.526212359312922</v>
      </c>
      <c r="Q3369" s="0" t="str">
        <f aca="false">SUBSTITUTE(SUBSTITUTE($I3369,CHAR(61),""),CHAR(34),"")</f>
        <v>&lt;01</v>
      </c>
      <c r="R3369" s="0" t="str">
        <f aca="false">IF($D3369&lt;&gt;"","["&amp;$E3369&amp;"]"&amp;"|"&amp;$Q3369&amp;"|"&amp;$K3369&amp;"|"&amp;$G3369&amp;"|"&amp;IF($G3369="TX_CURR_SUBNAT.R","CY2022Q4",$M3369),"")</f>
        <v>[wNqJp8oRIcF]|&lt;01|Male|Untreated_PLHIV_Attend.T_1|CY2023Q3</v>
      </c>
    </row>
    <row r="3370" customFormat="false" ht="15" hidden="false" customHeight="false" outlineLevel="0" collapsed="false">
      <c r="D3370" s="0" t="s">
        <v>102</v>
      </c>
      <c r="E3370" s="0" t="s">
        <v>103</v>
      </c>
      <c r="F3370" s="0" t="s">
        <v>104</v>
      </c>
      <c r="G3370" s="0" t="s">
        <v>151</v>
      </c>
      <c r="H3370" s="0" t="s">
        <v>151</v>
      </c>
      <c r="I3370" s="0" t="s">
        <v>33</v>
      </c>
      <c r="J3370" s="0" t="s">
        <v>34</v>
      </c>
      <c r="K3370" s="0" t="s">
        <v>48</v>
      </c>
      <c r="L3370" s="0" t="s">
        <v>49</v>
      </c>
      <c r="M3370" s="0" t="s">
        <v>140</v>
      </c>
      <c r="N3370" s="0" t="n">
        <v>1682</v>
      </c>
      <c r="O3370" s="10" t="n">
        <v>0.395427647279575</v>
      </c>
      <c r="P3370" s="10" t="n">
        <v>0.526212359312922</v>
      </c>
      <c r="Q3370" s="0" t="str">
        <f aca="false">SUBSTITUTE(SUBSTITUTE($I3370,CHAR(61),""),CHAR(34),"")</f>
        <v>01-09</v>
      </c>
      <c r="R3370" s="0" t="str">
        <f aca="false">IF($D3370&lt;&gt;"","["&amp;$E3370&amp;"]"&amp;"|"&amp;$Q3370&amp;"|"&amp;$K3370&amp;"|"&amp;$G3370&amp;"|"&amp;IF($G3370="TX_CURR_SUBNAT.R","CY2022Q4",$M3370),"")</f>
        <v>[wNqJp8oRIcF]|01-09|Male|Untreated_PLHIV_Attend.T_1|CY2023Q3</v>
      </c>
    </row>
    <row r="3371" customFormat="false" ht="15" hidden="false" customHeight="false" outlineLevel="0" collapsed="false">
      <c r="D3371" s="0" t="s">
        <v>102</v>
      </c>
      <c r="E3371" s="0" t="s">
        <v>103</v>
      </c>
      <c r="F3371" s="0" t="s">
        <v>104</v>
      </c>
      <c r="G3371" s="0" t="s">
        <v>151</v>
      </c>
      <c r="H3371" s="0" t="s">
        <v>151</v>
      </c>
      <c r="I3371" s="0" t="s">
        <v>36</v>
      </c>
      <c r="J3371" s="0" t="s">
        <v>37</v>
      </c>
      <c r="K3371" s="0" t="s">
        <v>48</v>
      </c>
      <c r="L3371" s="0" t="s">
        <v>49</v>
      </c>
      <c r="M3371" s="0" t="s">
        <v>140</v>
      </c>
      <c r="N3371" s="0" t="n">
        <v>1583</v>
      </c>
      <c r="O3371" s="10" t="n">
        <v>0.0818978408351541</v>
      </c>
      <c r="P3371" s="10" t="n">
        <v>0.526212359312922</v>
      </c>
      <c r="Q3371" s="0" t="str">
        <f aca="false">SUBSTITUTE(SUBSTITUTE($I3371,CHAR(61),""),CHAR(34),"")</f>
        <v>10-14</v>
      </c>
      <c r="R3371" s="0" t="str">
        <f aca="false">IF($D3371&lt;&gt;"","["&amp;$E3371&amp;"]"&amp;"|"&amp;$Q3371&amp;"|"&amp;$K3371&amp;"|"&amp;$G3371&amp;"|"&amp;IF($G3371="TX_CURR_SUBNAT.R","CY2022Q4",$M3371),"")</f>
        <v>[wNqJp8oRIcF]|10-14|Male|Untreated_PLHIV_Attend.T_1|CY2023Q3</v>
      </c>
    </row>
    <row r="3372" customFormat="false" ht="15" hidden="false" customHeight="false" outlineLevel="0" collapsed="false">
      <c r="D3372" s="0" t="s">
        <v>102</v>
      </c>
      <c r="E3372" s="0" t="s">
        <v>103</v>
      </c>
      <c r="F3372" s="0" t="s">
        <v>104</v>
      </c>
      <c r="G3372" s="0" t="s">
        <v>151</v>
      </c>
      <c r="H3372" s="0" t="s">
        <v>151</v>
      </c>
      <c r="I3372" s="0" t="s">
        <v>38</v>
      </c>
      <c r="J3372" s="0" t="s">
        <v>39</v>
      </c>
      <c r="K3372" s="0" t="s">
        <v>48</v>
      </c>
      <c r="L3372" s="0" t="s">
        <v>49</v>
      </c>
      <c r="M3372" s="0" t="s">
        <v>140</v>
      </c>
      <c r="N3372" s="0" t="n">
        <v>926</v>
      </c>
      <c r="O3372" s="10" t="n">
        <v>0.792439835611731</v>
      </c>
      <c r="P3372" s="10" t="n">
        <v>0.526212359312922</v>
      </c>
      <c r="Q3372" s="0" t="str">
        <f aca="false">SUBSTITUTE(SUBSTITUTE($I3372,CHAR(61),""),CHAR(34),"")</f>
        <v>15-24</v>
      </c>
      <c r="R3372" s="0" t="str">
        <f aca="false">IF($D3372&lt;&gt;"","["&amp;$E3372&amp;"]"&amp;"|"&amp;$Q3372&amp;"|"&amp;$K3372&amp;"|"&amp;$G3372&amp;"|"&amp;IF($G3372="TX_CURR_SUBNAT.R","CY2022Q4",$M3372),"")</f>
        <v>[wNqJp8oRIcF]|15-24|Male|Untreated_PLHIV_Attend.T_1|CY2023Q3</v>
      </c>
    </row>
    <row r="3373" customFormat="false" ht="15" hidden="false" customHeight="false" outlineLevel="0" collapsed="false">
      <c r="D3373" s="0" t="s">
        <v>102</v>
      </c>
      <c r="E3373" s="0" t="s">
        <v>103</v>
      </c>
      <c r="F3373" s="0" t="s">
        <v>104</v>
      </c>
      <c r="G3373" s="0" t="s">
        <v>151</v>
      </c>
      <c r="H3373" s="0" t="s">
        <v>151</v>
      </c>
      <c r="I3373" s="0" t="s">
        <v>41</v>
      </c>
      <c r="J3373" s="0" t="s">
        <v>42</v>
      </c>
      <c r="K3373" s="0" t="s">
        <v>48</v>
      </c>
      <c r="L3373" s="0" t="s">
        <v>49</v>
      </c>
      <c r="M3373" s="0" t="s">
        <v>140</v>
      </c>
      <c r="N3373" s="0" t="n">
        <v>1880</v>
      </c>
      <c r="O3373" s="10" t="n">
        <v>0.24609985249117</v>
      </c>
      <c r="P3373" s="10" t="n">
        <v>0.526212359312922</v>
      </c>
      <c r="Q3373" s="0" t="str">
        <f aca="false">SUBSTITUTE(SUBSTITUTE($I3373,CHAR(61),""),CHAR(34),"")</f>
        <v>25-34</v>
      </c>
      <c r="R3373" s="0" t="str">
        <f aca="false">IF($D3373&lt;&gt;"","["&amp;$E3373&amp;"]"&amp;"|"&amp;$Q3373&amp;"|"&amp;$K3373&amp;"|"&amp;$G3373&amp;"|"&amp;IF($G3373="TX_CURR_SUBNAT.R","CY2022Q4",$M3373),"")</f>
        <v>[wNqJp8oRIcF]|25-34|Male|Untreated_PLHIV_Attend.T_1|CY2023Q3</v>
      </c>
    </row>
    <row r="3374" customFormat="false" ht="15" hidden="false" customHeight="false" outlineLevel="0" collapsed="false">
      <c r="D3374" s="0" t="s">
        <v>102</v>
      </c>
      <c r="E3374" s="0" t="s">
        <v>103</v>
      </c>
      <c r="F3374" s="0" t="s">
        <v>104</v>
      </c>
      <c r="G3374" s="0" t="s">
        <v>151</v>
      </c>
      <c r="H3374" s="0" t="s">
        <v>151</v>
      </c>
      <c r="I3374" s="0" t="s">
        <v>43</v>
      </c>
      <c r="J3374" s="0" t="s">
        <v>44</v>
      </c>
      <c r="K3374" s="0" t="s">
        <v>48</v>
      </c>
      <c r="L3374" s="0" t="s">
        <v>49</v>
      </c>
      <c r="M3374" s="0" t="s">
        <v>140</v>
      </c>
      <c r="N3374" s="0" t="n">
        <v>1255</v>
      </c>
      <c r="O3374" s="10" t="n">
        <v>0.817739802645519</v>
      </c>
      <c r="P3374" s="10" t="n">
        <v>0.526212359312922</v>
      </c>
      <c r="Q3374" s="0" t="str">
        <f aca="false">SUBSTITUTE(SUBSTITUTE($I3374,CHAR(61),""),CHAR(34),"")</f>
        <v>35-49</v>
      </c>
      <c r="R3374" s="0" t="str">
        <f aca="false">IF($D3374&lt;&gt;"","["&amp;$E3374&amp;"]"&amp;"|"&amp;$Q3374&amp;"|"&amp;$K3374&amp;"|"&amp;$G3374&amp;"|"&amp;IF($G3374="TX_CURR_SUBNAT.R","CY2022Q4",$M3374),"")</f>
        <v>[wNqJp8oRIcF]|35-49|Male|Untreated_PLHIV_Attend.T_1|CY2023Q3</v>
      </c>
    </row>
    <row r="3375" customFormat="false" ht="15" hidden="false" customHeight="false" outlineLevel="0" collapsed="false">
      <c r="D3375" s="0" t="s">
        <v>102</v>
      </c>
      <c r="E3375" s="0" t="s">
        <v>103</v>
      </c>
      <c r="F3375" s="0" t="s">
        <v>104</v>
      </c>
      <c r="G3375" s="0" t="s">
        <v>151</v>
      </c>
      <c r="H3375" s="0" t="s">
        <v>151</v>
      </c>
      <c r="I3375" s="0" t="s">
        <v>45</v>
      </c>
      <c r="J3375" s="0" t="s">
        <v>46</v>
      </c>
      <c r="K3375" s="0" t="s">
        <v>48</v>
      </c>
      <c r="L3375" s="0" t="s">
        <v>49</v>
      </c>
      <c r="M3375" s="0" t="s">
        <v>140</v>
      </c>
      <c r="N3375" s="0" t="n">
        <v>1308</v>
      </c>
      <c r="O3375" s="10" t="n">
        <v>0.795621567871422</v>
      </c>
      <c r="P3375" s="10" t="n">
        <v>0.526212359312922</v>
      </c>
      <c r="Q3375" s="0" t="str">
        <f aca="false">SUBSTITUTE(SUBSTITUTE($I3375,CHAR(61),""),CHAR(34),"")</f>
        <v>50+</v>
      </c>
      <c r="R3375" s="0" t="str">
        <f aca="false">IF($D3375&lt;&gt;"","["&amp;$E3375&amp;"]"&amp;"|"&amp;$Q3375&amp;"|"&amp;$K3375&amp;"|"&amp;$G3375&amp;"|"&amp;IF($G3375="TX_CURR_SUBNAT.R","CY2022Q4",$M3375),"")</f>
        <v>[wNqJp8oRIcF]|50+|Male|Untreated_PLHIV_Attend.T_1|CY2023Q3</v>
      </c>
    </row>
    <row r="3376" customFormat="false" ht="15" hidden="false" customHeight="false" outlineLevel="0" collapsed="false">
      <c r="D3376" s="0" t="s">
        <v>105</v>
      </c>
      <c r="E3376" s="0" t="s">
        <v>106</v>
      </c>
      <c r="F3376" s="0" t="s">
        <v>107</v>
      </c>
      <c r="G3376" s="0" t="s">
        <v>151</v>
      </c>
      <c r="H3376" s="0" t="s">
        <v>151</v>
      </c>
      <c r="I3376" s="0" t="s">
        <v>28</v>
      </c>
      <c r="J3376" s="0" t="s">
        <v>29</v>
      </c>
      <c r="K3376" s="0" t="s">
        <v>30</v>
      </c>
      <c r="L3376" s="0" t="s">
        <v>31</v>
      </c>
      <c r="M3376" s="0" t="s">
        <v>140</v>
      </c>
      <c r="N3376" s="0" t="n">
        <v>1227</v>
      </c>
      <c r="O3376" s="10" t="n">
        <v>0.246825896669179</v>
      </c>
      <c r="P3376" s="10" t="n">
        <v>0.218249560333788</v>
      </c>
      <c r="Q3376" s="0" t="str">
        <f aca="false">SUBSTITUTE(SUBSTITUTE($I3376,CHAR(61),""),CHAR(34),"")</f>
        <v>&lt;01</v>
      </c>
      <c r="R3376" s="0" t="str">
        <f aca="false">IF($D3376&lt;&gt;"","["&amp;$E3376&amp;"]"&amp;"|"&amp;$Q3376&amp;"|"&amp;$K3376&amp;"|"&amp;$G3376&amp;"|"&amp;IF($G3376="TX_CURR_SUBNAT.R","CY2022Q4",$M3376),"")</f>
        <v>[oiPR2CiVJbf]|&lt;01|Female|Untreated_PLHIV_Attend.T_1|CY2023Q3</v>
      </c>
    </row>
    <row r="3377" customFormat="false" ht="15" hidden="false" customHeight="false" outlineLevel="0" collapsed="false">
      <c r="D3377" s="0" t="s">
        <v>105</v>
      </c>
      <c r="E3377" s="0" t="s">
        <v>106</v>
      </c>
      <c r="F3377" s="0" t="s">
        <v>107</v>
      </c>
      <c r="G3377" s="0" t="s">
        <v>151</v>
      </c>
      <c r="H3377" s="0" t="s">
        <v>151</v>
      </c>
      <c r="I3377" s="0" t="s">
        <v>33</v>
      </c>
      <c r="J3377" s="0" t="s">
        <v>34</v>
      </c>
      <c r="K3377" s="0" t="s">
        <v>30</v>
      </c>
      <c r="L3377" s="0" t="s">
        <v>31</v>
      </c>
      <c r="M3377" s="0" t="s">
        <v>140</v>
      </c>
      <c r="N3377" s="0" t="n">
        <v>576</v>
      </c>
      <c r="O3377" s="10" t="n">
        <v>0.976103015244007</v>
      </c>
      <c r="P3377" s="10" t="n">
        <v>0.218249560333788</v>
      </c>
      <c r="Q3377" s="0" t="str">
        <f aca="false">SUBSTITUTE(SUBSTITUTE($I3377,CHAR(61),""),CHAR(34),"")</f>
        <v>01-09</v>
      </c>
      <c r="R3377" s="0" t="str">
        <f aca="false">IF($D3377&lt;&gt;"","["&amp;$E3377&amp;"]"&amp;"|"&amp;$Q3377&amp;"|"&amp;$K3377&amp;"|"&amp;$G3377&amp;"|"&amp;IF($G3377="TX_CURR_SUBNAT.R","CY2022Q4",$M3377),"")</f>
        <v>[oiPR2CiVJbf]|01-09|Female|Untreated_PLHIV_Attend.T_1|CY2023Q3</v>
      </c>
    </row>
    <row r="3378" customFormat="false" ht="15" hidden="false" customHeight="false" outlineLevel="0" collapsed="false">
      <c r="D3378" s="0" t="s">
        <v>105</v>
      </c>
      <c r="E3378" s="0" t="s">
        <v>106</v>
      </c>
      <c r="F3378" s="0" t="s">
        <v>107</v>
      </c>
      <c r="G3378" s="0" t="s">
        <v>151</v>
      </c>
      <c r="H3378" s="0" t="s">
        <v>151</v>
      </c>
      <c r="I3378" s="0" t="s">
        <v>36</v>
      </c>
      <c r="J3378" s="0" t="s">
        <v>37</v>
      </c>
      <c r="K3378" s="0" t="s">
        <v>30</v>
      </c>
      <c r="L3378" s="0" t="s">
        <v>31</v>
      </c>
      <c r="M3378" s="0" t="s">
        <v>140</v>
      </c>
      <c r="N3378" s="0" t="n">
        <v>1683</v>
      </c>
      <c r="O3378" s="10" t="n">
        <v>0.73854616866447</v>
      </c>
      <c r="P3378" s="10" t="n">
        <v>0.218249560333788</v>
      </c>
      <c r="Q3378" s="0" t="str">
        <f aca="false">SUBSTITUTE(SUBSTITUTE($I3378,CHAR(61),""),CHAR(34),"")</f>
        <v>10-14</v>
      </c>
      <c r="R3378" s="0" t="str">
        <f aca="false">IF($D3378&lt;&gt;"","["&amp;$E3378&amp;"]"&amp;"|"&amp;$Q3378&amp;"|"&amp;$K3378&amp;"|"&amp;$G3378&amp;"|"&amp;IF($G3378="TX_CURR_SUBNAT.R","CY2022Q4",$M3378),"")</f>
        <v>[oiPR2CiVJbf]|10-14|Female|Untreated_PLHIV_Attend.T_1|CY2023Q3</v>
      </c>
    </row>
    <row r="3379" customFormat="false" ht="15" hidden="false" customHeight="false" outlineLevel="0" collapsed="false">
      <c r="D3379" s="0" t="s">
        <v>105</v>
      </c>
      <c r="E3379" s="0" t="s">
        <v>106</v>
      </c>
      <c r="F3379" s="0" t="s">
        <v>107</v>
      </c>
      <c r="G3379" s="0" t="s">
        <v>151</v>
      </c>
      <c r="H3379" s="0" t="s">
        <v>151</v>
      </c>
      <c r="I3379" s="0" t="s">
        <v>38</v>
      </c>
      <c r="J3379" s="0" t="s">
        <v>39</v>
      </c>
      <c r="K3379" s="0" t="s">
        <v>30</v>
      </c>
      <c r="L3379" s="0" t="s">
        <v>31</v>
      </c>
      <c r="M3379" s="0" t="s">
        <v>140</v>
      </c>
      <c r="N3379" s="0" t="n">
        <v>627</v>
      </c>
      <c r="O3379" s="10" t="n">
        <v>0.364888395182788</v>
      </c>
      <c r="P3379" s="10" t="n">
        <v>0.218249560333788</v>
      </c>
      <c r="Q3379" s="0" t="str">
        <f aca="false">SUBSTITUTE(SUBSTITUTE($I3379,CHAR(61),""),CHAR(34),"")</f>
        <v>15-24</v>
      </c>
      <c r="R3379" s="0" t="str">
        <f aca="false">IF($D3379&lt;&gt;"","["&amp;$E3379&amp;"]"&amp;"|"&amp;$Q3379&amp;"|"&amp;$K3379&amp;"|"&amp;$G3379&amp;"|"&amp;IF($G3379="TX_CURR_SUBNAT.R","CY2022Q4",$M3379),"")</f>
        <v>[oiPR2CiVJbf]|15-24|Female|Untreated_PLHIV_Attend.T_1|CY2023Q3</v>
      </c>
    </row>
    <row r="3380" customFormat="false" ht="15" hidden="false" customHeight="false" outlineLevel="0" collapsed="false">
      <c r="D3380" s="0" t="s">
        <v>105</v>
      </c>
      <c r="E3380" s="0" t="s">
        <v>106</v>
      </c>
      <c r="F3380" s="0" t="s">
        <v>107</v>
      </c>
      <c r="G3380" s="0" t="s">
        <v>151</v>
      </c>
      <c r="H3380" s="0" t="s">
        <v>151</v>
      </c>
      <c r="I3380" s="0" t="s">
        <v>41</v>
      </c>
      <c r="J3380" s="0" t="s">
        <v>42</v>
      </c>
      <c r="K3380" s="0" t="s">
        <v>30</v>
      </c>
      <c r="L3380" s="0" t="s">
        <v>31</v>
      </c>
      <c r="M3380" s="0" t="s">
        <v>140</v>
      </c>
      <c r="N3380" s="0" t="n">
        <v>1883</v>
      </c>
      <c r="O3380" s="10" t="n">
        <v>0.24177198112011</v>
      </c>
      <c r="P3380" s="10" t="n">
        <v>0.218249560333788</v>
      </c>
      <c r="Q3380" s="0" t="str">
        <f aca="false">SUBSTITUTE(SUBSTITUTE($I3380,CHAR(61),""),CHAR(34),"")</f>
        <v>25-34</v>
      </c>
      <c r="R3380" s="0" t="str">
        <f aca="false">IF($D3380&lt;&gt;"","["&amp;$E3380&amp;"]"&amp;"|"&amp;$Q3380&amp;"|"&amp;$K3380&amp;"|"&amp;$G3380&amp;"|"&amp;IF($G3380="TX_CURR_SUBNAT.R","CY2022Q4",$M3380),"")</f>
        <v>[oiPR2CiVJbf]|25-34|Female|Untreated_PLHIV_Attend.T_1|CY2023Q3</v>
      </c>
    </row>
    <row r="3381" customFormat="false" ht="15" hidden="false" customHeight="false" outlineLevel="0" collapsed="false">
      <c r="D3381" s="0" t="s">
        <v>105</v>
      </c>
      <c r="E3381" s="0" t="s">
        <v>106</v>
      </c>
      <c r="F3381" s="0" t="s">
        <v>107</v>
      </c>
      <c r="G3381" s="0" t="s">
        <v>151</v>
      </c>
      <c r="H3381" s="0" t="s">
        <v>151</v>
      </c>
      <c r="I3381" s="0" t="s">
        <v>43</v>
      </c>
      <c r="J3381" s="0" t="s">
        <v>44</v>
      </c>
      <c r="K3381" s="0" t="s">
        <v>30</v>
      </c>
      <c r="L3381" s="0" t="s">
        <v>31</v>
      </c>
      <c r="M3381" s="0" t="s">
        <v>140</v>
      </c>
      <c r="N3381" s="0" t="n">
        <v>1515</v>
      </c>
      <c r="O3381" s="10" t="n">
        <v>0.0365862215403467</v>
      </c>
      <c r="P3381" s="10" t="n">
        <v>0.218249560333788</v>
      </c>
      <c r="Q3381" s="0" t="str">
        <f aca="false">SUBSTITUTE(SUBSTITUTE($I3381,CHAR(61),""),CHAR(34),"")</f>
        <v>35-49</v>
      </c>
      <c r="R3381" s="0" t="str">
        <f aca="false">IF($D3381&lt;&gt;"","["&amp;$E3381&amp;"]"&amp;"|"&amp;$Q3381&amp;"|"&amp;$K3381&amp;"|"&amp;$G3381&amp;"|"&amp;IF($G3381="TX_CURR_SUBNAT.R","CY2022Q4",$M3381),"")</f>
        <v>[oiPR2CiVJbf]|35-49|Female|Untreated_PLHIV_Attend.T_1|CY2023Q3</v>
      </c>
    </row>
    <row r="3382" customFormat="false" ht="15" hidden="false" customHeight="false" outlineLevel="0" collapsed="false">
      <c r="D3382" s="0" t="s">
        <v>105</v>
      </c>
      <c r="E3382" s="0" t="s">
        <v>106</v>
      </c>
      <c r="F3382" s="0" t="s">
        <v>107</v>
      </c>
      <c r="G3382" s="0" t="s">
        <v>151</v>
      </c>
      <c r="H3382" s="0" t="s">
        <v>151</v>
      </c>
      <c r="I3382" s="0" t="s">
        <v>45</v>
      </c>
      <c r="J3382" s="0" t="s">
        <v>46</v>
      </c>
      <c r="K3382" s="0" t="s">
        <v>30</v>
      </c>
      <c r="L3382" s="0" t="s">
        <v>31</v>
      </c>
      <c r="M3382" s="0" t="s">
        <v>140</v>
      </c>
      <c r="N3382" s="0" t="n">
        <v>1317</v>
      </c>
      <c r="O3382" s="10" t="n">
        <v>0.718637017300352</v>
      </c>
      <c r="P3382" s="10" t="n">
        <v>0.218249560333788</v>
      </c>
      <c r="Q3382" s="0" t="str">
        <f aca="false">SUBSTITUTE(SUBSTITUTE($I3382,CHAR(61),""),CHAR(34),"")</f>
        <v>50+</v>
      </c>
      <c r="R3382" s="0" t="str">
        <f aca="false">IF($D3382&lt;&gt;"","["&amp;$E3382&amp;"]"&amp;"|"&amp;$Q3382&amp;"|"&amp;$K3382&amp;"|"&amp;$G3382&amp;"|"&amp;IF($G3382="TX_CURR_SUBNAT.R","CY2022Q4",$M3382),"")</f>
        <v>[oiPR2CiVJbf]|50+|Female|Untreated_PLHIV_Attend.T_1|CY2023Q3</v>
      </c>
    </row>
    <row r="3383" customFormat="false" ht="15" hidden="false" customHeight="false" outlineLevel="0" collapsed="false">
      <c r="D3383" s="0" t="s">
        <v>105</v>
      </c>
      <c r="E3383" s="0" t="s">
        <v>106</v>
      </c>
      <c r="F3383" s="0" t="s">
        <v>107</v>
      </c>
      <c r="G3383" s="0" t="s">
        <v>151</v>
      </c>
      <c r="H3383" s="0" t="s">
        <v>151</v>
      </c>
      <c r="I3383" s="0" t="s">
        <v>28</v>
      </c>
      <c r="J3383" s="0" t="s">
        <v>29</v>
      </c>
      <c r="K3383" s="0" t="s">
        <v>48</v>
      </c>
      <c r="L3383" s="0" t="s">
        <v>49</v>
      </c>
      <c r="M3383" s="0" t="s">
        <v>140</v>
      </c>
      <c r="N3383" s="0" t="n">
        <v>729</v>
      </c>
      <c r="O3383" s="10" t="n">
        <v>0.654413853771985</v>
      </c>
      <c r="P3383" s="10" t="n">
        <v>0.218249560333788</v>
      </c>
      <c r="Q3383" s="0" t="str">
        <f aca="false">SUBSTITUTE(SUBSTITUTE($I3383,CHAR(61),""),CHAR(34),"")</f>
        <v>&lt;01</v>
      </c>
      <c r="R3383" s="0" t="str">
        <f aca="false">IF($D3383&lt;&gt;"","["&amp;$E3383&amp;"]"&amp;"|"&amp;$Q3383&amp;"|"&amp;$K3383&amp;"|"&amp;$G3383&amp;"|"&amp;IF($G3383="TX_CURR_SUBNAT.R","CY2022Q4",$M3383),"")</f>
        <v>[oiPR2CiVJbf]|&lt;01|Male|Untreated_PLHIV_Attend.T_1|CY2023Q3</v>
      </c>
    </row>
    <row r="3384" customFormat="false" ht="15" hidden="false" customHeight="false" outlineLevel="0" collapsed="false">
      <c r="D3384" s="0" t="s">
        <v>105</v>
      </c>
      <c r="E3384" s="0" t="s">
        <v>106</v>
      </c>
      <c r="F3384" s="0" t="s">
        <v>107</v>
      </c>
      <c r="G3384" s="0" t="s">
        <v>151</v>
      </c>
      <c r="H3384" s="0" t="s">
        <v>151</v>
      </c>
      <c r="I3384" s="0" t="s">
        <v>33</v>
      </c>
      <c r="J3384" s="0" t="s">
        <v>34</v>
      </c>
      <c r="K3384" s="0" t="s">
        <v>48</v>
      </c>
      <c r="L3384" s="0" t="s">
        <v>49</v>
      </c>
      <c r="M3384" s="0" t="s">
        <v>140</v>
      </c>
      <c r="N3384" s="0" t="n">
        <v>1298</v>
      </c>
      <c r="O3384" s="10" t="n">
        <v>0.0289626414887607</v>
      </c>
      <c r="P3384" s="10" t="n">
        <v>0.218249560333788</v>
      </c>
      <c r="Q3384" s="0" t="str">
        <f aca="false">SUBSTITUTE(SUBSTITUTE($I3384,CHAR(61),""),CHAR(34),"")</f>
        <v>01-09</v>
      </c>
      <c r="R3384" s="0" t="str">
        <f aca="false">IF($D3384&lt;&gt;"","["&amp;$E3384&amp;"]"&amp;"|"&amp;$Q3384&amp;"|"&amp;$K3384&amp;"|"&amp;$G3384&amp;"|"&amp;IF($G3384="TX_CURR_SUBNAT.R","CY2022Q4",$M3384),"")</f>
        <v>[oiPR2CiVJbf]|01-09|Male|Untreated_PLHIV_Attend.T_1|CY2023Q3</v>
      </c>
    </row>
    <row r="3385" customFormat="false" ht="15" hidden="false" customHeight="false" outlineLevel="0" collapsed="false">
      <c r="D3385" s="0" t="s">
        <v>105</v>
      </c>
      <c r="E3385" s="0" t="s">
        <v>106</v>
      </c>
      <c r="F3385" s="0" t="s">
        <v>107</v>
      </c>
      <c r="G3385" s="0" t="s">
        <v>151</v>
      </c>
      <c r="H3385" s="0" t="s">
        <v>151</v>
      </c>
      <c r="I3385" s="0" t="s">
        <v>36</v>
      </c>
      <c r="J3385" s="0" t="s">
        <v>37</v>
      </c>
      <c r="K3385" s="0" t="s">
        <v>48</v>
      </c>
      <c r="L3385" s="0" t="s">
        <v>49</v>
      </c>
      <c r="M3385" s="0" t="s">
        <v>140</v>
      </c>
      <c r="N3385" s="0" t="n">
        <v>581</v>
      </c>
      <c r="O3385" s="10" t="n">
        <v>0.910935932770371</v>
      </c>
      <c r="P3385" s="10" t="n">
        <v>0.218249560333788</v>
      </c>
      <c r="Q3385" s="0" t="str">
        <f aca="false">SUBSTITUTE(SUBSTITUTE($I3385,CHAR(61),""),CHAR(34),"")</f>
        <v>10-14</v>
      </c>
      <c r="R3385" s="0" t="str">
        <f aca="false">IF($D3385&lt;&gt;"","["&amp;$E3385&amp;"]"&amp;"|"&amp;$Q3385&amp;"|"&amp;$K3385&amp;"|"&amp;$G3385&amp;"|"&amp;IF($G3385="TX_CURR_SUBNAT.R","CY2022Q4",$M3385),"")</f>
        <v>[oiPR2CiVJbf]|10-14|Male|Untreated_PLHIV_Attend.T_1|CY2023Q3</v>
      </c>
    </row>
    <row r="3386" customFormat="false" ht="15" hidden="false" customHeight="false" outlineLevel="0" collapsed="false">
      <c r="D3386" s="0" t="s">
        <v>105</v>
      </c>
      <c r="E3386" s="0" t="s">
        <v>106</v>
      </c>
      <c r="F3386" s="0" t="s">
        <v>107</v>
      </c>
      <c r="G3386" s="0" t="s">
        <v>151</v>
      </c>
      <c r="H3386" s="0" t="s">
        <v>151</v>
      </c>
      <c r="I3386" s="0" t="s">
        <v>38</v>
      </c>
      <c r="J3386" s="0" t="s">
        <v>39</v>
      </c>
      <c r="K3386" s="0" t="s">
        <v>48</v>
      </c>
      <c r="L3386" s="0" t="s">
        <v>49</v>
      </c>
      <c r="M3386" s="0" t="s">
        <v>140</v>
      </c>
      <c r="N3386" s="0" t="n">
        <v>809</v>
      </c>
      <c r="O3386" s="10" t="n">
        <v>0.00658281426876783</v>
      </c>
      <c r="P3386" s="10" t="n">
        <v>0.218249560333788</v>
      </c>
      <c r="Q3386" s="0" t="str">
        <f aca="false">SUBSTITUTE(SUBSTITUTE($I3386,CHAR(61),""),CHAR(34),"")</f>
        <v>15-24</v>
      </c>
      <c r="R3386" s="0" t="str">
        <f aca="false">IF($D3386&lt;&gt;"","["&amp;$E3386&amp;"]"&amp;"|"&amp;$Q3386&amp;"|"&amp;$K3386&amp;"|"&amp;$G3386&amp;"|"&amp;IF($G3386="TX_CURR_SUBNAT.R","CY2022Q4",$M3386),"")</f>
        <v>[oiPR2CiVJbf]|15-24|Male|Untreated_PLHIV_Attend.T_1|CY2023Q3</v>
      </c>
    </row>
    <row r="3387" customFormat="false" ht="15" hidden="false" customHeight="false" outlineLevel="0" collapsed="false">
      <c r="D3387" s="0" t="s">
        <v>105</v>
      </c>
      <c r="E3387" s="0" t="s">
        <v>106</v>
      </c>
      <c r="F3387" s="0" t="s">
        <v>107</v>
      </c>
      <c r="G3387" s="0" t="s">
        <v>151</v>
      </c>
      <c r="H3387" s="0" t="s">
        <v>151</v>
      </c>
      <c r="I3387" s="0" t="s">
        <v>41</v>
      </c>
      <c r="J3387" s="0" t="s">
        <v>42</v>
      </c>
      <c r="K3387" s="0" t="s">
        <v>48</v>
      </c>
      <c r="L3387" s="0" t="s">
        <v>49</v>
      </c>
      <c r="M3387" s="0" t="s">
        <v>140</v>
      </c>
      <c r="N3387" s="0" t="n">
        <v>984</v>
      </c>
      <c r="O3387" s="10" t="n">
        <v>0.940672386437654</v>
      </c>
      <c r="P3387" s="10" t="n">
        <v>0.218249560333788</v>
      </c>
      <c r="Q3387" s="0" t="str">
        <f aca="false">SUBSTITUTE(SUBSTITUTE($I3387,CHAR(61),""),CHAR(34),"")</f>
        <v>25-34</v>
      </c>
      <c r="R3387" s="0" t="str">
        <f aca="false">IF($D3387&lt;&gt;"","["&amp;$E3387&amp;"]"&amp;"|"&amp;$Q3387&amp;"|"&amp;$K3387&amp;"|"&amp;$G3387&amp;"|"&amp;IF($G3387="TX_CURR_SUBNAT.R","CY2022Q4",$M3387),"")</f>
        <v>[oiPR2CiVJbf]|25-34|Male|Untreated_PLHIV_Attend.T_1|CY2023Q3</v>
      </c>
    </row>
    <row r="3388" customFormat="false" ht="15" hidden="false" customHeight="false" outlineLevel="0" collapsed="false">
      <c r="D3388" s="0" t="s">
        <v>105</v>
      </c>
      <c r="E3388" s="0" t="s">
        <v>106</v>
      </c>
      <c r="F3388" s="0" t="s">
        <v>107</v>
      </c>
      <c r="G3388" s="0" t="s">
        <v>151</v>
      </c>
      <c r="H3388" s="0" t="s">
        <v>151</v>
      </c>
      <c r="I3388" s="0" t="s">
        <v>43</v>
      </c>
      <c r="J3388" s="0" t="s">
        <v>44</v>
      </c>
      <c r="K3388" s="0" t="s">
        <v>48</v>
      </c>
      <c r="L3388" s="0" t="s">
        <v>49</v>
      </c>
      <c r="M3388" s="0" t="s">
        <v>140</v>
      </c>
      <c r="N3388" s="0" t="n">
        <v>1923</v>
      </c>
      <c r="O3388" s="10" t="n">
        <v>0.474197492701933</v>
      </c>
      <c r="P3388" s="10" t="n">
        <v>0.218249560333788</v>
      </c>
      <c r="Q3388" s="0" t="str">
        <f aca="false">SUBSTITUTE(SUBSTITUTE($I3388,CHAR(61),""),CHAR(34),"")</f>
        <v>35-49</v>
      </c>
      <c r="R3388" s="0" t="str">
        <f aca="false">IF($D3388&lt;&gt;"","["&amp;$E3388&amp;"]"&amp;"|"&amp;$Q3388&amp;"|"&amp;$K3388&amp;"|"&amp;$G3388&amp;"|"&amp;IF($G3388="TX_CURR_SUBNAT.R","CY2022Q4",$M3388),"")</f>
        <v>[oiPR2CiVJbf]|35-49|Male|Untreated_PLHIV_Attend.T_1|CY2023Q3</v>
      </c>
    </row>
    <row r="3389" customFormat="false" ht="15" hidden="false" customHeight="false" outlineLevel="0" collapsed="false">
      <c r="D3389" s="0" t="s">
        <v>105</v>
      </c>
      <c r="E3389" s="0" t="s">
        <v>106</v>
      </c>
      <c r="F3389" s="0" t="s">
        <v>107</v>
      </c>
      <c r="G3389" s="0" t="s">
        <v>151</v>
      </c>
      <c r="H3389" s="0" t="s">
        <v>151</v>
      </c>
      <c r="I3389" s="0" t="s">
        <v>45</v>
      </c>
      <c r="J3389" s="0" t="s">
        <v>46</v>
      </c>
      <c r="K3389" s="0" t="s">
        <v>48</v>
      </c>
      <c r="L3389" s="0" t="s">
        <v>49</v>
      </c>
      <c r="M3389" s="0" t="s">
        <v>140</v>
      </c>
      <c r="N3389" s="0" t="n">
        <v>1612</v>
      </c>
      <c r="O3389" s="10" t="n">
        <v>0.860225817421451</v>
      </c>
      <c r="P3389" s="10" t="n">
        <v>0.218249560333788</v>
      </c>
      <c r="Q3389" s="0" t="str">
        <f aca="false">SUBSTITUTE(SUBSTITUTE($I3389,CHAR(61),""),CHAR(34),"")</f>
        <v>50+</v>
      </c>
      <c r="R3389" s="0" t="str">
        <f aca="false">IF($D3389&lt;&gt;"","["&amp;$E3389&amp;"]"&amp;"|"&amp;$Q3389&amp;"|"&amp;$K3389&amp;"|"&amp;$G3389&amp;"|"&amp;IF($G3389="TX_CURR_SUBNAT.R","CY2022Q4",$M3389),"")</f>
        <v>[oiPR2CiVJbf]|50+|Male|Untreated_PLHIV_Attend.T_1|CY2023Q3</v>
      </c>
    </row>
    <row r="3390" customFormat="false" ht="15" hidden="false" customHeight="false" outlineLevel="0" collapsed="false">
      <c r="D3390" s="0" t="s">
        <v>108</v>
      </c>
      <c r="E3390" s="0" t="s">
        <v>109</v>
      </c>
      <c r="F3390" s="0" t="s">
        <v>110</v>
      </c>
      <c r="G3390" s="0" t="s">
        <v>151</v>
      </c>
      <c r="H3390" s="0" t="s">
        <v>151</v>
      </c>
      <c r="I3390" s="0" t="s">
        <v>28</v>
      </c>
      <c r="J3390" s="0" t="s">
        <v>29</v>
      </c>
      <c r="K3390" s="0" t="s">
        <v>30</v>
      </c>
      <c r="L3390" s="0" t="s">
        <v>31</v>
      </c>
      <c r="M3390" s="0" t="s">
        <v>140</v>
      </c>
      <c r="N3390" s="0" t="n">
        <v>911</v>
      </c>
      <c r="O3390" s="10" t="n">
        <v>0.139012583065778</v>
      </c>
      <c r="P3390" s="10" t="n">
        <v>0.434221804374829</v>
      </c>
      <c r="Q3390" s="0" t="str">
        <f aca="false">SUBSTITUTE(SUBSTITUTE($I3390,CHAR(61),""),CHAR(34),"")</f>
        <v>&lt;01</v>
      </c>
      <c r="R3390" s="0" t="str">
        <f aca="false">IF($D3390&lt;&gt;"","["&amp;$E3390&amp;"]"&amp;"|"&amp;$Q3390&amp;"|"&amp;$K3390&amp;"|"&amp;$G3390&amp;"|"&amp;IF($G3390="TX_CURR_SUBNAT.R","CY2022Q4",$M3390),"")</f>
        <v>[ul0y9diGujK]|&lt;01|Female|Untreated_PLHIV_Attend.T_1|CY2023Q3</v>
      </c>
    </row>
    <row r="3391" customFormat="false" ht="15" hidden="false" customHeight="false" outlineLevel="0" collapsed="false">
      <c r="D3391" s="0" t="s">
        <v>108</v>
      </c>
      <c r="E3391" s="0" t="s">
        <v>109</v>
      </c>
      <c r="F3391" s="0" t="s">
        <v>110</v>
      </c>
      <c r="G3391" s="0" t="s">
        <v>151</v>
      </c>
      <c r="H3391" s="0" t="s">
        <v>151</v>
      </c>
      <c r="I3391" s="0" t="s">
        <v>33</v>
      </c>
      <c r="J3391" s="0" t="s">
        <v>34</v>
      </c>
      <c r="K3391" s="0" t="s">
        <v>30</v>
      </c>
      <c r="L3391" s="0" t="s">
        <v>31</v>
      </c>
      <c r="M3391" s="0" t="s">
        <v>140</v>
      </c>
      <c r="N3391" s="0" t="n">
        <v>855</v>
      </c>
      <c r="O3391" s="10" t="n">
        <v>0.650919099804014</v>
      </c>
      <c r="P3391" s="10" t="n">
        <v>0.434221804374829</v>
      </c>
      <c r="Q3391" s="0" t="str">
        <f aca="false">SUBSTITUTE(SUBSTITUTE($I3391,CHAR(61),""),CHAR(34),"")</f>
        <v>01-09</v>
      </c>
      <c r="R3391" s="0" t="str">
        <f aca="false">IF($D3391&lt;&gt;"","["&amp;$E3391&amp;"]"&amp;"|"&amp;$Q3391&amp;"|"&amp;$K3391&amp;"|"&amp;$G3391&amp;"|"&amp;IF($G3391="TX_CURR_SUBNAT.R","CY2022Q4",$M3391),"")</f>
        <v>[ul0y9diGujK]|01-09|Female|Untreated_PLHIV_Attend.T_1|CY2023Q3</v>
      </c>
    </row>
    <row r="3392" customFormat="false" ht="15" hidden="false" customHeight="false" outlineLevel="0" collapsed="false">
      <c r="D3392" s="0" t="s">
        <v>108</v>
      </c>
      <c r="E3392" s="0" t="s">
        <v>109</v>
      </c>
      <c r="F3392" s="0" t="s">
        <v>110</v>
      </c>
      <c r="G3392" s="0" t="s">
        <v>151</v>
      </c>
      <c r="H3392" s="0" t="s">
        <v>151</v>
      </c>
      <c r="I3392" s="0" t="s">
        <v>36</v>
      </c>
      <c r="J3392" s="0" t="s">
        <v>37</v>
      </c>
      <c r="K3392" s="0" t="s">
        <v>30</v>
      </c>
      <c r="L3392" s="0" t="s">
        <v>31</v>
      </c>
      <c r="M3392" s="0" t="s">
        <v>140</v>
      </c>
      <c r="N3392" s="0" t="n">
        <v>1779</v>
      </c>
      <c r="O3392" s="10" t="n">
        <v>0.00443401955999434</v>
      </c>
      <c r="P3392" s="10" t="n">
        <v>0.434221804374829</v>
      </c>
      <c r="Q3392" s="0" t="str">
        <f aca="false">SUBSTITUTE(SUBSTITUTE($I3392,CHAR(61),""),CHAR(34),"")</f>
        <v>10-14</v>
      </c>
      <c r="R3392" s="0" t="str">
        <f aca="false">IF($D3392&lt;&gt;"","["&amp;$E3392&amp;"]"&amp;"|"&amp;$Q3392&amp;"|"&amp;$K3392&amp;"|"&amp;$G3392&amp;"|"&amp;IF($G3392="TX_CURR_SUBNAT.R","CY2022Q4",$M3392),"")</f>
        <v>[ul0y9diGujK]|10-14|Female|Untreated_PLHIV_Attend.T_1|CY2023Q3</v>
      </c>
    </row>
    <row r="3393" customFormat="false" ht="15" hidden="false" customHeight="false" outlineLevel="0" collapsed="false">
      <c r="D3393" s="0" t="s">
        <v>108</v>
      </c>
      <c r="E3393" s="0" t="s">
        <v>109</v>
      </c>
      <c r="F3393" s="0" t="s">
        <v>110</v>
      </c>
      <c r="G3393" s="0" t="s">
        <v>151</v>
      </c>
      <c r="H3393" s="0" t="s">
        <v>151</v>
      </c>
      <c r="I3393" s="0" t="s">
        <v>38</v>
      </c>
      <c r="J3393" s="0" t="s">
        <v>39</v>
      </c>
      <c r="K3393" s="0" t="s">
        <v>30</v>
      </c>
      <c r="L3393" s="0" t="s">
        <v>31</v>
      </c>
      <c r="M3393" s="0" t="s">
        <v>140</v>
      </c>
      <c r="N3393" s="0" t="n">
        <v>947</v>
      </c>
      <c r="O3393" s="10" t="n">
        <v>0.618031540419906</v>
      </c>
      <c r="P3393" s="10" t="n">
        <v>0.434221804374829</v>
      </c>
      <c r="Q3393" s="0" t="str">
        <f aca="false">SUBSTITUTE(SUBSTITUTE($I3393,CHAR(61),""),CHAR(34),"")</f>
        <v>15-24</v>
      </c>
      <c r="R3393" s="0" t="str">
        <f aca="false">IF($D3393&lt;&gt;"","["&amp;$E3393&amp;"]"&amp;"|"&amp;$Q3393&amp;"|"&amp;$K3393&amp;"|"&amp;$G3393&amp;"|"&amp;IF($G3393="TX_CURR_SUBNAT.R","CY2022Q4",$M3393),"")</f>
        <v>[ul0y9diGujK]|15-24|Female|Untreated_PLHIV_Attend.T_1|CY2023Q3</v>
      </c>
    </row>
    <row r="3394" customFormat="false" ht="15" hidden="false" customHeight="false" outlineLevel="0" collapsed="false">
      <c r="D3394" s="0" t="s">
        <v>108</v>
      </c>
      <c r="E3394" s="0" t="s">
        <v>109</v>
      </c>
      <c r="F3394" s="0" t="s">
        <v>110</v>
      </c>
      <c r="G3394" s="0" t="s">
        <v>151</v>
      </c>
      <c r="H3394" s="0" t="s">
        <v>151</v>
      </c>
      <c r="I3394" s="0" t="s">
        <v>41</v>
      </c>
      <c r="J3394" s="0" t="s">
        <v>42</v>
      </c>
      <c r="K3394" s="0" t="s">
        <v>30</v>
      </c>
      <c r="L3394" s="0" t="s">
        <v>31</v>
      </c>
      <c r="M3394" s="0" t="s">
        <v>140</v>
      </c>
      <c r="N3394" s="0" t="n">
        <v>1613</v>
      </c>
      <c r="O3394" s="10" t="n">
        <v>0.819906328106299</v>
      </c>
      <c r="P3394" s="10" t="n">
        <v>0.434221804374829</v>
      </c>
      <c r="Q3394" s="0" t="str">
        <f aca="false">SUBSTITUTE(SUBSTITUTE($I3394,CHAR(61),""),CHAR(34),"")</f>
        <v>25-34</v>
      </c>
      <c r="R3394" s="0" t="str">
        <f aca="false">IF($D3394&lt;&gt;"","["&amp;$E3394&amp;"]"&amp;"|"&amp;$Q3394&amp;"|"&amp;$K3394&amp;"|"&amp;$G3394&amp;"|"&amp;IF($G3394="TX_CURR_SUBNAT.R","CY2022Q4",$M3394),"")</f>
        <v>[ul0y9diGujK]|25-34|Female|Untreated_PLHIV_Attend.T_1|CY2023Q3</v>
      </c>
    </row>
    <row r="3395" customFormat="false" ht="15" hidden="false" customHeight="false" outlineLevel="0" collapsed="false">
      <c r="D3395" s="0" t="s">
        <v>108</v>
      </c>
      <c r="E3395" s="0" t="s">
        <v>109</v>
      </c>
      <c r="F3395" s="0" t="s">
        <v>110</v>
      </c>
      <c r="G3395" s="0" t="s">
        <v>151</v>
      </c>
      <c r="H3395" s="0" t="s">
        <v>151</v>
      </c>
      <c r="I3395" s="0" t="s">
        <v>43</v>
      </c>
      <c r="J3395" s="0" t="s">
        <v>44</v>
      </c>
      <c r="K3395" s="0" t="s">
        <v>30</v>
      </c>
      <c r="L3395" s="0" t="s">
        <v>31</v>
      </c>
      <c r="M3395" s="0" t="s">
        <v>140</v>
      </c>
      <c r="N3395" s="0" t="n">
        <v>763</v>
      </c>
      <c r="O3395" s="10" t="n">
        <v>0.789999856147915</v>
      </c>
      <c r="P3395" s="10" t="n">
        <v>0.434221804374829</v>
      </c>
      <c r="Q3395" s="0" t="str">
        <f aca="false">SUBSTITUTE(SUBSTITUTE($I3395,CHAR(61),""),CHAR(34),"")</f>
        <v>35-49</v>
      </c>
      <c r="R3395" s="0" t="str">
        <f aca="false">IF($D3395&lt;&gt;"","["&amp;$E3395&amp;"]"&amp;"|"&amp;$Q3395&amp;"|"&amp;$K3395&amp;"|"&amp;$G3395&amp;"|"&amp;IF($G3395="TX_CURR_SUBNAT.R","CY2022Q4",$M3395),"")</f>
        <v>[ul0y9diGujK]|35-49|Female|Untreated_PLHIV_Attend.T_1|CY2023Q3</v>
      </c>
    </row>
    <row r="3396" customFormat="false" ht="15" hidden="false" customHeight="false" outlineLevel="0" collapsed="false">
      <c r="D3396" s="0" t="s">
        <v>108</v>
      </c>
      <c r="E3396" s="0" t="s">
        <v>109</v>
      </c>
      <c r="F3396" s="0" t="s">
        <v>110</v>
      </c>
      <c r="G3396" s="0" t="s">
        <v>151</v>
      </c>
      <c r="H3396" s="0" t="s">
        <v>151</v>
      </c>
      <c r="I3396" s="0" t="s">
        <v>45</v>
      </c>
      <c r="J3396" s="0" t="s">
        <v>46</v>
      </c>
      <c r="K3396" s="0" t="s">
        <v>30</v>
      </c>
      <c r="L3396" s="0" t="s">
        <v>31</v>
      </c>
      <c r="M3396" s="0" t="s">
        <v>140</v>
      </c>
      <c r="N3396" s="0" t="n">
        <v>1838</v>
      </c>
      <c r="O3396" s="10" t="n">
        <v>0.259796869475394</v>
      </c>
      <c r="P3396" s="10" t="n">
        <v>0.434221804374829</v>
      </c>
      <c r="Q3396" s="0" t="str">
        <f aca="false">SUBSTITUTE(SUBSTITUTE($I3396,CHAR(61),""),CHAR(34),"")</f>
        <v>50+</v>
      </c>
      <c r="R3396" s="0" t="str">
        <f aca="false">IF($D3396&lt;&gt;"","["&amp;$E3396&amp;"]"&amp;"|"&amp;$Q3396&amp;"|"&amp;$K3396&amp;"|"&amp;$G3396&amp;"|"&amp;IF($G3396="TX_CURR_SUBNAT.R","CY2022Q4",$M3396),"")</f>
        <v>[ul0y9diGujK]|50+|Female|Untreated_PLHIV_Attend.T_1|CY2023Q3</v>
      </c>
    </row>
    <row r="3397" customFormat="false" ht="15" hidden="false" customHeight="false" outlineLevel="0" collapsed="false">
      <c r="D3397" s="0" t="s">
        <v>108</v>
      </c>
      <c r="E3397" s="0" t="s">
        <v>109</v>
      </c>
      <c r="F3397" s="0" t="s">
        <v>110</v>
      </c>
      <c r="G3397" s="0" t="s">
        <v>151</v>
      </c>
      <c r="H3397" s="0" t="s">
        <v>151</v>
      </c>
      <c r="I3397" s="0" t="s">
        <v>28</v>
      </c>
      <c r="J3397" s="0" t="s">
        <v>29</v>
      </c>
      <c r="K3397" s="0" t="s">
        <v>48</v>
      </c>
      <c r="L3397" s="0" t="s">
        <v>49</v>
      </c>
      <c r="M3397" s="0" t="s">
        <v>140</v>
      </c>
      <c r="N3397" s="0" t="n">
        <v>1678</v>
      </c>
      <c r="O3397" s="10" t="n">
        <v>0.923217877745628</v>
      </c>
      <c r="P3397" s="10" t="n">
        <v>0.434221804374829</v>
      </c>
      <c r="Q3397" s="0" t="str">
        <f aca="false">SUBSTITUTE(SUBSTITUTE($I3397,CHAR(61),""),CHAR(34),"")</f>
        <v>&lt;01</v>
      </c>
      <c r="R3397" s="0" t="str">
        <f aca="false">IF($D3397&lt;&gt;"","["&amp;$E3397&amp;"]"&amp;"|"&amp;$Q3397&amp;"|"&amp;$K3397&amp;"|"&amp;$G3397&amp;"|"&amp;IF($G3397="TX_CURR_SUBNAT.R","CY2022Q4",$M3397),"")</f>
        <v>[ul0y9diGujK]|&lt;01|Male|Untreated_PLHIV_Attend.T_1|CY2023Q3</v>
      </c>
    </row>
    <row r="3398" customFormat="false" ht="15" hidden="false" customHeight="false" outlineLevel="0" collapsed="false">
      <c r="D3398" s="0" t="s">
        <v>108</v>
      </c>
      <c r="E3398" s="0" t="s">
        <v>109</v>
      </c>
      <c r="F3398" s="0" t="s">
        <v>110</v>
      </c>
      <c r="G3398" s="0" t="s">
        <v>151</v>
      </c>
      <c r="H3398" s="0" t="s">
        <v>151</v>
      </c>
      <c r="I3398" s="0" t="s">
        <v>33</v>
      </c>
      <c r="J3398" s="0" t="s">
        <v>34</v>
      </c>
      <c r="K3398" s="0" t="s">
        <v>48</v>
      </c>
      <c r="L3398" s="0" t="s">
        <v>49</v>
      </c>
      <c r="M3398" s="0" t="s">
        <v>140</v>
      </c>
      <c r="N3398" s="0" t="n">
        <v>1054</v>
      </c>
      <c r="O3398" s="10" t="n">
        <v>0.195326385786757</v>
      </c>
      <c r="P3398" s="10" t="n">
        <v>0.434221804374829</v>
      </c>
      <c r="Q3398" s="0" t="str">
        <f aca="false">SUBSTITUTE(SUBSTITUTE($I3398,CHAR(61),""),CHAR(34),"")</f>
        <v>01-09</v>
      </c>
      <c r="R3398" s="0" t="str">
        <f aca="false">IF($D3398&lt;&gt;"","["&amp;$E3398&amp;"]"&amp;"|"&amp;$Q3398&amp;"|"&amp;$K3398&amp;"|"&amp;$G3398&amp;"|"&amp;IF($G3398="TX_CURR_SUBNAT.R","CY2022Q4",$M3398),"")</f>
        <v>[ul0y9diGujK]|01-09|Male|Untreated_PLHIV_Attend.T_1|CY2023Q3</v>
      </c>
    </row>
    <row r="3399" customFormat="false" ht="15" hidden="false" customHeight="false" outlineLevel="0" collapsed="false">
      <c r="D3399" s="0" t="s">
        <v>108</v>
      </c>
      <c r="E3399" s="0" t="s">
        <v>109</v>
      </c>
      <c r="F3399" s="0" t="s">
        <v>110</v>
      </c>
      <c r="G3399" s="0" t="s">
        <v>151</v>
      </c>
      <c r="H3399" s="0" t="s">
        <v>151</v>
      </c>
      <c r="I3399" s="0" t="s">
        <v>36</v>
      </c>
      <c r="J3399" s="0" t="s">
        <v>37</v>
      </c>
      <c r="K3399" s="0" t="s">
        <v>48</v>
      </c>
      <c r="L3399" s="0" t="s">
        <v>49</v>
      </c>
      <c r="M3399" s="0" t="s">
        <v>140</v>
      </c>
      <c r="N3399" s="0" t="n">
        <v>1352</v>
      </c>
      <c r="O3399" s="10" t="n">
        <v>0.782312133582309</v>
      </c>
      <c r="P3399" s="10" t="n">
        <v>0.434221804374829</v>
      </c>
      <c r="Q3399" s="0" t="str">
        <f aca="false">SUBSTITUTE(SUBSTITUTE($I3399,CHAR(61),""),CHAR(34),"")</f>
        <v>10-14</v>
      </c>
      <c r="R3399" s="0" t="str">
        <f aca="false">IF($D3399&lt;&gt;"","["&amp;$E3399&amp;"]"&amp;"|"&amp;$Q3399&amp;"|"&amp;$K3399&amp;"|"&amp;$G3399&amp;"|"&amp;IF($G3399="TX_CURR_SUBNAT.R","CY2022Q4",$M3399),"")</f>
        <v>[ul0y9diGujK]|10-14|Male|Untreated_PLHIV_Attend.T_1|CY2023Q3</v>
      </c>
    </row>
    <row r="3400" customFormat="false" ht="15" hidden="false" customHeight="false" outlineLevel="0" collapsed="false">
      <c r="D3400" s="0" t="s">
        <v>108</v>
      </c>
      <c r="E3400" s="0" t="s">
        <v>109</v>
      </c>
      <c r="F3400" s="0" t="s">
        <v>110</v>
      </c>
      <c r="G3400" s="0" t="s">
        <v>151</v>
      </c>
      <c r="H3400" s="0" t="s">
        <v>151</v>
      </c>
      <c r="I3400" s="0" t="s">
        <v>38</v>
      </c>
      <c r="J3400" s="0" t="s">
        <v>39</v>
      </c>
      <c r="K3400" s="0" t="s">
        <v>48</v>
      </c>
      <c r="L3400" s="0" t="s">
        <v>49</v>
      </c>
      <c r="M3400" s="0" t="s">
        <v>140</v>
      </c>
      <c r="N3400" s="0" t="n">
        <v>595</v>
      </c>
      <c r="O3400" s="10" t="n">
        <v>0.0742168060969561</v>
      </c>
      <c r="P3400" s="10" t="n">
        <v>0.434221804374829</v>
      </c>
      <c r="Q3400" s="0" t="str">
        <f aca="false">SUBSTITUTE(SUBSTITUTE($I3400,CHAR(61),""),CHAR(34),"")</f>
        <v>15-24</v>
      </c>
      <c r="R3400" s="0" t="str">
        <f aca="false">IF($D3400&lt;&gt;"","["&amp;$E3400&amp;"]"&amp;"|"&amp;$Q3400&amp;"|"&amp;$K3400&amp;"|"&amp;$G3400&amp;"|"&amp;IF($G3400="TX_CURR_SUBNAT.R","CY2022Q4",$M3400),"")</f>
        <v>[ul0y9diGujK]|15-24|Male|Untreated_PLHIV_Attend.T_1|CY2023Q3</v>
      </c>
    </row>
    <row r="3401" customFormat="false" ht="15" hidden="false" customHeight="false" outlineLevel="0" collapsed="false">
      <c r="D3401" s="0" t="s">
        <v>108</v>
      </c>
      <c r="E3401" s="0" t="s">
        <v>109</v>
      </c>
      <c r="F3401" s="0" t="s">
        <v>110</v>
      </c>
      <c r="G3401" s="0" t="s">
        <v>151</v>
      </c>
      <c r="H3401" s="0" t="s">
        <v>151</v>
      </c>
      <c r="I3401" s="0" t="s">
        <v>41</v>
      </c>
      <c r="J3401" s="0" t="s">
        <v>42</v>
      </c>
      <c r="K3401" s="0" t="s">
        <v>48</v>
      </c>
      <c r="L3401" s="0" t="s">
        <v>49</v>
      </c>
      <c r="M3401" s="0" t="s">
        <v>140</v>
      </c>
      <c r="N3401" s="0" t="n">
        <v>593</v>
      </c>
      <c r="O3401" s="10" t="n">
        <v>0.663698142161593</v>
      </c>
      <c r="P3401" s="10" t="n">
        <v>0.434221804374829</v>
      </c>
      <c r="Q3401" s="0" t="str">
        <f aca="false">SUBSTITUTE(SUBSTITUTE($I3401,CHAR(61),""),CHAR(34),"")</f>
        <v>25-34</v>
      </c>
      <c r="R3401" s="0" t="str">
        <f aca="false">IF($D3401&lt;&gt;"","["&amp;$E3401&amp;"]"&amp;"|"&amp;$Q3401&amp;"|"&amp;$K3401&amp;"|"&amp;$G3401&amp;"|"&amp;IF($G3401="TX_CURR_SUBNAT.R","CY2022Q4",$M3401),"")</f>
        <v>[ul0y9diGujK]|25-34|Male|Untreated_PLHIV_Attend.T_1|CY2023Q3</v>
      </c>
    </row>
    <row r="3402" customFormat="false" ht="15" hidden="false" customHeight="false" outlineLevel="0" collapsed="false">
      <c r="D3402" s="0" t="s">
        <v>108</v>
      </c>
      <c r="E3402" s="0" t="s">
        <v>109</v>
      </c>
      <c r="F3402" s="0" t="s">
        <v>110</v>
      </c>
      <c r="G3402" s="0" t="s">
        <v>151</v>
      </c>
      <c r="H3402" s="0" t="s">
        <v>151</v>
      </c>
      <c r="I3402" s="0" t="s">
        <v>43</v>
      </c>
      <c r="J3402" s="0" t="s">
        <v>44</v>
      </c>
      <c r="K3402" s="0" t="s">
        <v>48</v>
      </c>
      <c r="L3402" s="0" t="s">
        <v>49</v>
      </c>
      <c r="M3402" s="0" t="s">
        <v>140</v>
      </c>
      <c r="N3402" s="0" t="n">
        <v>1922</v>
      </c>
      <c r="O3402" s="10" t="n">
        <v>0.909746253862977</v>
      </c>
      <c r="P3402" s="10" t="n">
        <v>0.434221804374829</v>
      </c>
      <c r="Q3402" s="0" t="str">
        <f aca="false">SUBSTITUTE(SUBSTITUTE($I3402,CHAR(61),""),CHAR(34),"")</f>
        <v>35-49</v>
      </c>
      <c r="R3402" s="0" t="str">
        <f aca="false">IF($D3402&lt;&gt;"","["&amp;$E3402&amp;"]"&amp;"|"&amp;$Q3402&amp;"|"&amp;$K3402&amp;"|"&amp;$G3402&amp;"|"&amp;IF($G3402="TX_CURR_SUBNAT.R","CY2022Q4",$M3402),"")</f>
        <v>[ul0y9diGujK]|35-49|Male|Untreated_PLHIV_Attend.T_1|CY2023Q3</v>
      </c>
    </row>
    <row r="3403" customFormat="false" ht="15" hidden="false" customHeight="false" outlineLevel="0" collapsed="false">
      <c r="D3403" s="0" t="s">
        <v>108</v>
      </c>
      <c r="E3403" s="0" t="s">
        <v>109</v>
      </c>
      <c r="F3403" s="0" t="s">
        <v>110</v>
      </c>
      <c r="G3403" s="0" t="s">
        <v>151</v>
      </c>
      <c r="H3403" s="0" t="s">
        <v>151</v>
      </c>
      <c r="I3403" s="0" t="s">
        <v>45</v>
      </c>
      <c r="J3403" s="0" t="s">
        <v>46</v>
      </c>
      <c r="K3403" s="0" t="s">
        <v>48</v>
      </c>
      <c r="L3403" s="0" t="s">
        <v>49</v>
      </c>
      <c r="M3403" s="0" t="s">
        <v>140</v>
      </c>
      <c r="N3403" s="0" t="n">
        <v>1373</v>
      </c>
      <c r="O3403" s="10" t="n">
        <v>0.658780066296458</v>
      </c>
      <c r="P3403" s="10" t="n">
        <v>0.434221804374829</v>
      </c>
      <c r="Q3403" s="0" t="str">
        <f aca="false">SUBSTITUTE(SUBSTITUTE($I3403,CHAR(61),""),CHAR(34),"")</f>
        <v>50+</v>
      </c>
      <c r="R3403" s="0" t="str">
        <f aca="false">IF($D3403&lt;&gt;"","["&amp;$E3403&amp;"]"&amp;"|"&amp;$Q3403&amp;"|"&amp;$K3403&amp;"|"&amp;$G3403&amp;"|"&amp;IF($G3403="TX_CURR_SUBNAT.R","CY2022Q4",$M3403),"")</f>
        <v>[ul0y9diGujK]|50+|Male|Untreated_PLHIV_Attend.T_1|CY2023Q3</v>
      </c>
    </row>
    <row r="3404" customFormat="false" ht="15" hidden="false" customHeight="false" outlineLevel="0" collapsed="false">
      <c r="D3404" s="0" t="s">
        <v>111</v>
      </c>
      <c r="E3404" s="0" t="s">
        <v>112</v>
      </c>
      <c r="F3404" s="0" t="s">
        <v>113</v>
      </c>
      <c r="G3404" s="0" t="s">
        <v>151</v>
      </c>
      <c r="H3404" s="0" t="s">
        <v>151</v>
      </c>
      <c r="I3404" s="0" t="s">
        <v>28</v>
      </c>
      <c r="J3404" s="0" t="s">
        <v>29</v>
      </c>
      <c r="K3404" s="0" t="s">
        <v>30</v>
      </c>
      <c r="L3404" s="0" t="s">
        <v>31</v>
      </c>
      <c r="M3404" s="0" t="s">
        <v>140</v>
      </c>
      <c r="N3404" s="0" t="n">
        <v>1652</v>
      </c>
      <c r="O3404" s="10" t="n">
        <v>0.462140164803714</v>
      </c>
      <c r="P3404" s="10" t="n">
        <v>0.337768794968724</v>
      </c>
      <c r="Q3404" s="0" t="str">
        <f aca="false">SUBSTITUTE(SUBSTITUTE($I3404,CHAR(61),""),CHAR(34),"")</f>
        <v>&lt;01</v>
      </c>
      <c r="R3404" s="0" t="str">
        <f aca="false">IF($D3404&lt;&gt;"","["&amp;$E3404&amp;"]"&amp;"|"&amp;$Q3404&amp;"|"&amp;$K3404&amp;"|"&amp;$G3404&amp;"|"&amp;IF($G3404="TX_CURR_SUBNAT.R","CY2022Q4",$M3404),"")</f>
        <v>[U8c0so51kT6]|&lt;01|Female|Untreated_PLHIV_Attend.T_1|CY2023Q3</v>
      </c>
    </row>
    <row r="3405" customFormat="false" ht="15" hidden="false" customHeight="false" outlineLevel="0" collapsed="false">
      <c r="D3405" s="0" t="s">
        <v>111</v>
      </c>
      <c r="E3405" s="0" t="s">
        <v>112</v>
      </c>
      <c r="F3405" s="0" t="s">
        <v>113</v>
      </c>
      <c r="G3405" s="0" t="s">
        <v>151</v>
      </c>
      <c r="H3405" s="0" t="s">
        <v>151</v>
      </c>
      <c r="I3405" s="0" t="s">
        <v>33</v>
      </c>
      <c r="J3405" s="0" t="s">
        <v>34</v>
      </c>
      <c r="K3405" s="0" t="s">
        <v>30</v>
      </c>
      <c r="L3405" s="0" t="s">
        <v>31</v>
      </c>
      <c r="M3405" s="0" t="s">
        <v>140</v>
      </c>
      <c r="N3405" s="0" t="n">
        <v>582</v>
      </c>
      <c r="O3405" s="10" t="n">
        <v>0.621087192324921</v>
      </c>
      <c r="P3405" s="10" t="n">
        <v>0.337768794968724</v>
      </c>
      <c r="Q3405" s="0" t="str">
        <f aca="false">SUBSTITUTE(SUBSTITUTE($I3405,CHAR(61),""),CHAR(34),"")</f>
        <v>01-09</v>
      </c>
      <c r="R3405" s="0" t="str">
        <f aca="false">IF($D3405&lt;&gt;"","["&amp;$E3405&amp;"]"&amp;"|"&amp;$Q3405&amp;"|"&amp;$K3405&amp;"|"&amp;$G3405&amp;"|"&amp;IF($G3405="TX_CURR_SUBNAT.R","CY2022Q4",$M3405),"")</f>
        <v>[U8c0so51kT6]|01-09|Female|Untreated_PLHIV_Attend.T_1|CY2023Q3</v>
      </c>
    </row>
    <row r="3406" customFormat="false" ht="15" hidden="false" customHeight="false" outlineLevel="0" collapsed="false">
      <c r="D3406" s="0" t="s">
        <v>111</v>
      </c>
      <c r="E3406" s="0" t="s">
        <v>112</v>
      </c>
      <c r="F3406" s="0" t="s">
        <v>113</v>
      </c>
      <c r="G3406" s="0" t="s">
        <v>151</v>
      </c>
      <c r="H3406" s="0" t="s">
        <v>151</v>
      </c>
      <c r="I3406" s="0" t="s">
        <v>36</v>
      </c>
      <c r="J3406" s="0" t="s">
        <v>37</v>
      </c>
      <c r="K3406" s="0" t="s">
        <v>30</v>
      </c>
      <c r="L3406" s="0" t="s">
        <v>31</v>
      </c>
      <c r="M3406" s="0" t="s">
        <v>140</v>
      </c>
      <c r="N3406" s="0" t="n">
        <v>1869</v>
      </c>
      <c r="O3406" s="10" t="n">
        <v>0.696145415771753</v>
      </c>
      <c r="P3406" s="10" t="n">
        <v>0.337768794968724</v>
      </c>
      <c r="Q3406" s="0" t="str">
        <f aca="false">SUBSTITUTE(SUBSTITUTE($I3406,CHAR(61),""),CHAR(34),"")</f>
        <v>10-14</v>
      </c>
      <c r="R3406" s="0" t="str">
        <f aca="false">IF($D3406&lt;&gt;"","["&amp;$E3406&amp;"]"&amp;"|"&amp;$Q3406&amp;"|"&amp;$K3406&amp;"|"&amp;$G3406&amp;"|"&amp;IF($G3406="TX_CURR_SUBNAT.R","CY2022Q4",$M3406),"")</f>
        <v>[U8c0so51kT6]|10-14|Female|Untreated_PLHIV_Attend.T_1|CY2023Q3</v>
      </c>
    </row>
    <row r="3407" customFormat="false" ht="15" hidden="false" customHeight="false" outlineLevel="0" collapsed="false">
      <c r="D3407" s="0" t="s">
        <v>111</v>
      </c>
      <c r="E3407" s="0" t="s">
        <v>112</v>
      </c>
      <c r="F3407" s="0" t="s">
        <v>113</v>
      </c>
      <c r="G3407" s="0" t="s">
        <v>151</v>
      </c>
      <c r="H3407" s="0" t="s">
        <v>151</v>
      </c>
      <c r="I3407" s="0" t="s">
        <v>38</v>
      </c>
      <c r="J3407" s="0" t="s">
        <v>39</v>
      </c>
      <c r="K3407" s="0" t="s">
        <v>30</v>
      </c>
      <c r="L3407" s="0" t="s">
        <v>31</v>
      </c>
      <c r="M3407" s="0" t="s">
        <v>140</v>
      </c>
      <c r="N3407" s="0" t="n">
        <v>1380</v>
      </c>
      <c r="O3407" s="10" t="n">
        <v>0.801233699079603</v>
      </c>
      <c r="P3407" s="10" t="n">
        <v>0.337768794968724</v>
      </c>
      <c r="Q3407" s="0" t="str">
        <f aca="false">SUBSTITUTE(SUBSTITUTE($I3407,CHAR(61),""),CHAR(34),"")</f>
        <v>15-24</v>
      </c>
      <c r="R3407" s="0" t="str">
        <f aca="false">IF($D3407&lt;&gt;"","["&amp;$E3407&amp;"]"&amp;"|"&amp;$Q3407&amp;"|"&amp;$K3407&amp;"|"&amp;$G3407&amp;"|"&amp;IF($G3407="TX_CURR_SUBNAT.R","CY2022Q4",$M3407),"")</f>
        <v>[U8c0so51kT6]|15-24|Female|Untreated_PLHIV_Attend.T_1|CY2023Q3</v>
      </c>
    </row>
    <row r="3408" customFormat="false" ht="15" hidden="false" customHeight="false" outlineLevel="0" collapsed="false">
      <c r="D3408" s="0" t="s">
        <v>111</v>
      </c>
      <c r="E3408" s="0" t="s">
        <v>112</v>
      </c>
      <c r="F3408" s="0" t="s">
        <v>113</v>
      </c>
      <c r="G3408" s="0" t="s">
        <v>151</v>
      </c>
      <c r="H3408" s="0" t="s">
        <v>151</v>
      </c>
      <c r="I3408" s="0" t="s">
        <v>41</v>
      </c>
      <c r="J3408" s="0" t="s">
        <v>42</v>
      </c>
      <c r="K3408" s="0" t="s">
        <v>30</v>
      </c>
      <c r="L3408" s="0" t="s">
        <v>31</v>
      </c>
      <c r="M3408" s="0" t="s">
        <v>140</v>
      </c>
      <c r="N3408" s="0" t="n">
        <v>641</v>
      </c>
      <c r="O3408" s="10" t="n">
        <v>0.37643429171294</v>
      </c>
      <c r="P3408" s="10" t="n">
        <v>0.337768794968724</v>
      </c>
      <c r="Q3408" s="0" t="str">
        <f aca="false">SUBSTITUTE(SUBSTITUTE($I3408,CHAR(61),""),CHAR(34),"")</f>
        <v>25-34</v>
      </c>
      <c r="R3408" s="0" t="str">
        <f aca="false">IF($D3408&lt;&gt;"","["&amp;$E3408&amp;"]"&amp;"|"&amp;$Q3408&amp;"|"&amp;$K3408&amp;"|"&amp;$G3408&amp;"|"&amp;IF($G3408="TX_CURR_SUBNAT.R","CY2022Q4",$M3408),"")</f>
        <v>[U8c0so51kT6]|25-34|Female|Untreated_PLHIV_Attend.T_1|CY2023Q3</v>
      </c>
    </row>
    <row r="3409" customFormat="false" ht="15" hidden="false" customHeight="false" outlineLevel="0" collapsed="false">
      <c r="D3409" s="0" t="s">
        <v>111</v>
      </c>
      <c r="E3409" s="0" t="s">
        <v>112</v>
      </c>
      <c r="F3409" s="0" t="s">
        <v>113</v>
      </c>
      <c r="G3409" s="0" t="s">
        <v>151</v>
      </c>
      <c r="H3409" s="0" t="s">
        <v>151</v>
      </c>
      <c r="I3409" s="0" t="s">
        <v>43</v>
      </c>
      <c r="J3409" s="0" t="s">
        <v>44</v>
      </c>
      <c r="K3409" s="0" t="s">
        <v>30</v>
      </c>
      <c r="L3409" s="0" t="s">
        <v>31</v>
      </c>
      <c r="M3409" s="0" t="s">
        <v>140</v>
      </c>
      <c r="N3409" s="0" t="n">
        <v>725</v>
      </c>
      <c r="O3409" s="10" t="n">
        <v>0.147138192784041</v>
      </c>
      <c r="P3409" s="10" t="n">
        <v>0.337768794968724</v>
      </c>
      <c r="Q3409" s="0" t="str">
        <f aca="false">SUBSTITUTE(SUBSTITUTE($I3409,CHAR(61),""),CHAR(34),"")</f>
        <v>35-49</v>
      </c>
      <c r="R3409" s="0" t="str">
        <f aca="false">IF($D3409&lt;&gt;"","["&amp;$E3409&amp;"]"&amp;"|"&amp;$Q3409&amp;"|"&amp;$K3409&amp;"|"&amp;$G3409&amp;"|"&amp;IF($G3409="TX_CURR_SUBNAT.R","CY2022Q4",$M3409),"")</f>
        <v>[U8c0so51kT6]|35-49|Female|Untreated_PLHIV_Attend.T_1|CY2023Q3</v>
      </c>
    </row>
    <row r="3410" customFormat="false" ht="15" hidden="false" customHeight="false" outlineLevel="0" collapsed="false">
      <c r="D3410" s="0" t="s">
        <v>111</v>
      </c>
      <c r="E3410" s="0" t="s">
        <v>112</v>
      </c>
      <c r="F3410" s="0" t="s">
        <v>113</v>
      </c>
      <c r="G3410" s="0" t="s">
        <v>151</v>
      </c>
      <c r="H3410" s="0" t="s">
        <v>151</v>
      </c>
      <c r="I3410" s="0" t="s">
        <v>45</v>
      </c>
      <c r="J3410" s="0" t="s">
        <v>46</v>
      </c>
      <c r="K3410" s="0" t="s">
        <v>30</v>
      </c>
      <c r="L3410" s="0" t="s">
        <v>31</v>
      </c>
      <c r="M3410" s="0" t="s">
        <v>140</v>
      </c>
      <c r="N3410" s="0" t="n">
        <v>651</v>
      </c>
      <c r="O3410" s="10" t="n">
        <v>0.147876238450408</v>
      </c>
      <c r="P3410" s="10" t="n">
        <v>0.337768794968724</v>
      </c>
      <c r="Q3410" s="0" t="str">
        <f aca="false">SUBSTITUTE(SUBSTITUTE($I3410,CHAR(61),""),CHAR(34),"")</f>
        <v>50+</v>
      </c>
      <c r="R3410" s="0" t="str">
        <f aca="false">IF($D3410&lt;&gt;"","["&amp;$E3410&amp;"]"&amp;"|"&amp;$Q3410&amp;"|"&amp;$K3410&amp;"|"&amp;$G3410&amp;"|"&amp;IF($G3410="TX_CURR_SUBNAT.R","CY2022Q4",$M3410),"")</f>
        <v>[U8c0so51kT6]|50+|Female|Untreated_PLHIV_Attend.T_1|CY2023Q3</v>
      </c>
    </row>
    <row r="3411" customFormat="false" ht="15" hidden="false" customHeight="false" outlineLevel="0" collapsed="false">
      <c r="D3411" s="0" t="s">
        <v>111</v>
      </c>
      <c r="E3411" s="0" t="s">
        <v>112</v>
      </c>
      <c r="F3411" s="0" t="s">
        <v>113</v>
      </c>
      <c r="G3411" s="0" t="s">
        <v>151</v>
      </c>
      <c r="H3411" s="0" t="s">
        <v>151</v>
      </c>
      <c r="I3411" s="0" t="s">
        <v>28</v>
      </c>
      <c r="J3411" s="0" t="s">
        <v>29</v>
      </c>
      <c r="K3411" s="0" t="s">
        <v>48</v>
      </c>
      <c r="L3411" s="0" t="s">
        <v>49</v>
      </c>
      <c r="M3411" s="0" t="s">
        <v>140</v>
      </c>
      <c r="N3411" s="0" t="n">
        <v>847</v>
      </c>
      <c r="O3411" s="10" t="n">
        <v>0.504856341518462</v>
      </c>
      <c r="P3411" s="10" t="n">
        <v>0.337768794968724</v>
      </c>
      <c r="Q3411" s="0" t="str">
        <f aca="false">SUBSTITUTE(SUBSTITUTE($I3411,CHAR(61),""),CHAR(34),"")</f>
        <v>&lt;01</v>
      </c>
      <c r="R3411" s="0" t="str">
        <f aca="false">IF($D3411&lt;&gt;"","["&amp;$E3411&amp;"]"&amp;"|"&amp;$Q3411&amp;"|"&amp;$K3411&amp;"|"&amp;$G3411&amp;"|"&amp;IF($G3411="TX_CURR_SUBNAT.R","CY2022Q4",$M3411),"")</f>
        <v>[U8c0so51kT6]|&lt;01|Male|Untreated_PLHIV_Attend.T_1|CY2023Q3</v>
      </c>
    </row>
    <row r="3412" customFormat="false" ht="15" hidden="false" customHeight="false" outlineLevel="0" collapsed="false">
      <c r="D3412" s="0" t="s">
        <v>111</v>
      </c>
      <c r="E3412" s="0" t="s">
        <v>112</v>
      </c>
      <c r="F3412" s="0" t="s">
        <v>113</v>
      </c>
      <c r="G3412" s="0" t="s">
        <v>151</v>
      </c>
      <c r="H3412" s="0" t="s">
        <v>151</v>
      </c>
      <c r="I3412" s="0" t="s">
        <v>33</v>
      </c>
      <c r="J3412" s="0" t="s">
        <v>34</v>
      </c>
      <c r="K3412" s="0" t="s">
        <v>48</v>
      </c>
      <c r="L3412" s="0" t="s">
        <v>49</v>
      </c>
      <c r="M3412" s="0" t="s">
        <v>140</v>
      </c>
      <c r="N3412" s="0" t="n">
        <v>1217</v>
      </c>
      <c r="O3412" s="10" t="n">
        <v>0.496951354667544</v>
      </c>
      <c r="P3412" s="10" t="n">
        <v>0.337768794968724</v>
      </c>
      <c r="Q3412" s="0" t="str">
        <f aca="false">SUBSTITUTE(SUBSTITUTE($I3412,CHAR(61),""),CHAR(34),"")</f>
        <v>01-09</v>
      </c>
      <c r="R3412" s="0" t="str">
        <f aca="false">IF($D3412&lt;&gt;"","["&amp;$E3412&amp;"]"&amp;"|"&amp;$Q3412&amp;"|"&amp;$K3412&amp;"|"&amp;$G3412&amp;"|"&amp;IF($G3412="TX_CURR_SUBNAT.R","CY2022Q4",$M3412),"")</f>
        <v>[U8c0so51kT6]|01-09|Male|Untreated_PLHIV_Attend.T_1|CY2023Q3</v>
      </c>
    </row>
    <row r="3413" customFormat="false" ht="15" hidden="false" customHeight="false" outlineLevel="0" collapsed="false">
      <c r="D3413" s="0" t="s">
        <v>111</v>
      </c>
      <c r="E3413" s="0" t="s">
        <v>112</v>
      </c>
      <c r="F3413" s="0" t="s">
        <v>113</v>
      </c>
      <c r="G3413" s="0" t="s">
        <v>151</v>
      </c>
      <c r="H3413" s="0" t="s">
        <v>151</v>
      </c>
      <c r="I3413" s="0" t="s">
        <v>36</v>
      </c>
      <c r="J3413" s="0" t="s">
        <v>37</v>
      </c>
      <c r="K3413" s="0" t="s">
        <v>48</v>
      </c>
      <c r="L3413" s="0" t="s">
        <v>49</v>
      </c>
      <c r="M3413" s="0" t="s">
        <v>140</v>
      </c>
      <c r="N3413" s="0" t="n">
        <v>1730</v>
      </c>
      <c r="O3413" s="10" t="n">
        <v>0.31455932254903</v>
      </c>
      <c r="P3413" s="10" t="n">
        <v>0.337768794968724</v>
      </c>
      <c r="Q3413" s="0" t="str">
        <f aca="false">SUBSTITUTE(SUBSTITUTE($I3413,CHAR(61),""),CHAR(34),"")</f>
        <v>10-14</v>
      </c>
      <c r="R3413" s="0" t="str">
        <f aca="false">IF($D3413&lt;&gt;"","["&amp;$E3413&amp;"]"&amp;"|"&amp;$Q3413&amp;"|"&amp;$K3413&amp;"|"&amp;$G3413&amp;"|"&amp;IF($G3413="TX_CURR_SUBNAT.R","CY2022Q4",$M3413),"")</f>
        <v>[U8c0so51kT6]|10-14|Male|Untreated_PLHIV_Attend.T_1|CY2023Q3</v>
      </c>
    </row>
    <row r="3414" customFormat="false" ht="15" hidden="false" customHeight="false" outlineLevel="0" collapsed="false">
      <c r="D3414" s="0" t="s">
        <v>111</v>
      </c>
      <c r="E3414" s="0" t="s">
        <v>112</v>
      </c>
      <c r="F3414" s="0" t="s">
        <v>113</v>
      </c>
      <c r="G3414" s="0" t="s">
        <v>151</v>
      </c>
      <c r="H3414" s="0" t="s">
        <v>151</v>
      </c>
      <c r="I3414" s="0" t="s">
        <v>38</v>
      </c>
      <c r="J3414" s="0" t="s">
        <v>39</v>
      </c>
      <c r="K3414" s="0" t="s">
        <v>48</v>
      </c>
      <c r="L3414" s="0" t="s">
        <v>49</v>
      </c>
      <c r="M3414" s="0" t="s">
        <v>140</v>
      </c>
      <c r="N3414" s="0" t="n">
        <v>1254</v>
      </c>
      <c r="O3414" s="10" t="n">
        <v>0.283871506573632</v>
      </c>
      <c r="P3414" s="10" t="n">
        <v>0.337768794968724</v>
      </c>
      <c r="Q3414" s="0" t="str">
        <f aca="false">SUBSTITUTE(SUBSTITUTE($I3414,CHAR(61),""),CHAR(34),"")</f>
        <v>15-24</v>
      </c>
      <c r="R3414" s="0" t="str">
        <f aca="false">IF($D3414&lt;&gt;"","["&amp;$E3414&amp;"]"&amp;"|"&amp;$Q3414&amp;"|"&amp;$K3414&amp;"|"&amp;$G3414&amp;"|"&amp;IF($G3414="TX_CURR_SUBNAT.R","CY2022Q4",$M3414),"")</f>
        <v>[U8c0so51kT6]|15-24|Male|Untreated_PLHIV_Attend.T_1|CY2023Q3</v>
      </c>
    </row>
    <row r="3415" customFormat="false" ht="15" hidden="false" customHeight="false" outlineLevel="0" collapsed="false">
      <c r="D3415" s="0" t="s">
        <v>111</v>
      </c>
      <c r="E3415" s="0" t="s">
        <v>112</v>
      </c>
      <c r="F3415" s="0" t="s">
        <v>113</v>
      </c>
      <c r="G3415" s="0" t="s">
        <v>151</v>
      </c>
      <c r="H3415" s="0" t="s">
        <v>151</v>
      </c>
      <c r="I3415" s="0" t="s">
        <v>41</v>
      </c>
      <c r="J3415" s="0" t="s">
        <v>42</v>
      </c>
      <c r="K3415" s="0" t="s">
        <v>48</v>
      </c>
      <c r="L3415" s="0" t="s">
        <v>49</v>
      </c>
      <c r="M3415" s="0" t="s">
        <v>140</v>
      </c>
      <c r="N3415" s="0" t="n">
        <v>1218</v>
      </c>
      <c r="O3415" s="10" t="n">
        <v>0.0572851179167628</v>
      </c>
      <c r="P3415" s="10" t="n">
        <v>0.337768794968724</v>
      </c>
      <c r="Q3415" s="0" t="str">
        <f aca="false">SUBSTITUTE(SUBSTITUTE($I3415,CHAR(61),""),CHAR(34),"")</f>
        <v>25-34</v>
      </c>
      <c r="R3415" s="0" t="str">
        <f aca="false">IF($D3415&lt;&gt;"","["&amp;$E3415&amp;"]"&amp;"|"&amp;$Q3415&amp;"|"&amp;$K3415&amp;"|"&amp;$G3415&amp;"|"&amp;IF($G3415="TX_CURR_SUBNAT.R","CY2022Q4",$M3415),"")</f>
        <v>[U8c0so51kT6]|25-34|Male|Untreated_PLHIV_Attend.T_1|CY2023Q3</v>
      </c>
    </row>
    <row r="3416" customFormat="false" ht="15" hidden="false" customHeight="false" outlineLevel="0" collapsed="false">
      <c r="D3416" s="0" t="s">
        <v>111</v>
      </c>
      <c r="E3416" s="0" t="s">
        <v>112</v>
      </c>
      <c r="F3416" s="0" t="s">
        <v>113</v>
      </c>
      <c r="G3416" s="0" t="s">
        <v>151</v>
      </c>
      <c r="H3416" s="0" t="s">
        <v>151</v>
      </c>
      <c r="I3416" s="0" t="s">
        <v>43</v>
      </c>
      <c r="J3416" s="0" t="s">
        <v>44</v>
      </c>
      <c r="K3416" s="0" t="s">
        <v>48</v>
      </c>
      <c r="L3416" s="0" t="s">
        <v>49</v>
      </c>
      <c r="M3416" s="0" t="s">
        <v>140</v>
      </c>
      <c r="N3416" s="0" t="n">
        <v>797</v>
      </c>
      <c r="O3416" s="10" t="n">
        <v>0.540779635543004</v>
      </c>
      <c r="P3416" s="10" t="n">
        <v>0.337768794968724</v>
      </c>
      <c r="Q3416" s="0" t="str">
        <f aca="false">SUBSTITUTE(SUBSTITUTE($I3416,CHAR(61),""),CHAR(34),"")</f>
        <v>35-49</v>
      </c>
      <c r="R3416" s="0" t="str">
        <f aca="false">IF($D3416&lt;&gt;"","["&amp;$E3416&amp;"]"&amp;"|"&amp;$Q3416&amp;"|"&amp;$K3416&amp;"|"&amp;$G3416&amp;"|"&amp;IF($G3416="TX_CURR_SUBNAT.R","CY2022Q4",$M3416),"")</f>
        <v>[U8c0so51kT6]|35-49|Male|Untreated_PLHIV_Attend.T_1|CY2023Q3</v>
      </c>
    </row>
    <row r="3417" customFormat="false" ht="15" hidden="false" customHeight="false" outlineLevel="0" collapsed="false">
      <c r="D3417" s="0" t="s">
        <v>111</v>
      </c>
      <c r="E3417" s="0" t="s">
        <v>112</v>
      </c>
      <c r="F3417" s="0" t="s">
        <v>113</v>
      </c>
      <c r="G3417" s="0" t="s">
        <v>151</v>
      </c>
      <c r="H3417" s="0" t="s">
        <v>151</v>
      </c>
      <c r="I3417" s="0" t="s">
        <v>45</v>
      </c>
      <c r="J3417" s="0" t="s">
        <v>46</v>
      </c>
      <c r="K3417" s="0" t="s">
        <v>48</v>
      </c>
      <c r="L3417" s="0" t="s">
        <v>49</v>
      </c>
      <c r="M3417" s="0" t="s">
        <v>140</v>
      </c>
      <c r="N3417" s="0" t="n">
        <v>593</v>
      </c>
      <c r="O3417" s="10" t="n">
        <v>0.429727496346459</v>
      </c>
      <c r="P3417" s="10" t="n">
        <v>0.337768794968724</v>
      </c>
      <c r="Q3417" s="0" t="str">
        <f aca="false">SUBSTITUTE(SUBSTITUTE($I3417,CHAR(61),""),CHAR(34),"")</f>
        <v>50+</v>
      </c>
      <c r="R3417" s="0" t="str">
        <f aca="false">IF($D3417&lt;&gt;"","["&amp;$E3417&amp;"]"&amp;"|"&amp;$Q3417&amp;"|"&amp;$K3417&amp;"|"&amp;$G3417&amp;"|"&amp;IF($G3417="TX_CURR_SUBNAT.R","CY2022Q4",$M3417),"")</f>
        <v>[U8c0so51kT6]|50+|Male|Untreated_PLHIV_Attend.T_1|CY2023Q3</v>
      </c>
    </row>
    <row r="3418" customFormat="false" ht="15" hidden="false" customHeight="false" outlineLevel="0" collapsed="false">
      <c r="D3418" s="0" t="s">
        <v>114</v>
      </c>
      <c r="E3418" s="0" t="s">
        <v>115</v>
      </c>
      <c r="F3418" s="0" t="s">
        <v>116</v>
      </c>
      <c r="G3418" s="0" t="s">
        <v>151</v>
      </c>
      <c r="H3418" s="0" t="s">
        <v>151</v>
      </c>
      <c r="I3418" s="0" t="s">
        <v>28</v>
      </c>
      <c r="J3418" s="0" t="s">
        <v>29</v>
      </c>
      <c r="K3418" s="0" t="s">
        <v>30</v>
      </c>
      <c r="L3418" s="0" t="s">
        <v>31</v>
      </c>
      <c r="M3418" s="0" t="s">
        <v>140</v>
      </c>
      <c r="N3418" s="0" t="n">
        <v>606</v>
      </c>
      <c r="O3418" s="10" t="n">
        <v>0.484804720617831</v>
      </c>
      <c r="P3418" s="10" t="n">
        <v>0.298559809103608</v>
      </c>
      <c r="Q3418" s="0" t="str">
        <f aca="false">SUBSTITUTE(SUBSTITUTE($I3418,CHAR(61),""),CHAR(34),"")</f>
        <v>&lt;01</v>
      </c>
      <c r="R3418" s="0" t="str">
        <f aca="false">IF($D3418&lt;&gt;"","["&amp;$E3418&amp;"]"&amp;"|"&amp;$Q3418&amp;"|"&amp;$K3418&amp;"|"&amp;$G3418&amp;"|"&amp;IF($G3418="TX_CURR_SUBNAT.R","CY2022Q4",$M3418),"")</f>
        <v>[rpw540fmNUz]|&lt;01|Female|Untreated_PLHIV_Attend.T_1|CY2023Q3</v>
      </c>
    </row>
    <row r="3419" customFormat="false" ht="15" hidden="false" customHeight="false" outlineLevel="0" collapsed="false">
      <c r="D3419" s="0" t="s">
        <v>114</v>
      </c>
      <c r="E3419" s="0" t="s">
        <v>115</v>
      </c>
      <c r="F3419" s="0" t="s">
        <v>116</v>
      </c>
      <c r="G3419" s="0" t="s">
        <v>151</v>
      </c>
      <c r="H3419" s="0" t="s">
        <v>151</v>
      </c>
      <c r="I3419" s="0" t="s">
        <v>33</v>
      </c>
      <c r="J3419" s="0" t="s">
        <v>34</v>
      </c>
      <c r="K3419" s="0" t="s">
        <v>30</v>
      </c>
      <c r="L3419" s="0" t="s">
        <v>31</v>
      </c>
      <c r="M3419" s="0" t="s">
        <v>140</v>
      </c>
      <c r="N3419" s="0" t="n">
        <v>1703</v>
      </c>
      <c r="O3419" s="10" t="n">
        <v>0.308328990358859</v>
      </c>
      <c r="P3419" s="10" t="n">
        <v>0.298559809103608</v>
      </c>
      <c r="Q3419" s="0" t="str">
        <f aca="false">SUBSTITUTE(SUBSTITUTE($I3419,CHAR(61),""),CHAR(34),"")</f>
        <v>01-09</v>
      </c>
      <c r="R3419" s="0" t="str">
        <f aca="false">IF($D3419&lt;&gt;"","["&amp;$E3419&amp;"]"&amp;"|"&amp;$Q3419&amp;"|"&amp;$K3419&amp;"|"&amp;$G3419&amp;"|"&amp;IF($G3419="TX_CURR_SUBNAT.R","CY2022Q4",$M3419),"")</f>
        <v>[rpw540fmNUz]|01-09|Female|Untreated_PLHIV_Attend.T_1|CY2023Q3</v>
      </c>
    </row>
    <row r="3420" customFormat="false" ht="15" hidden="false" customHeight="false" outlineLevel="0" collapsed="false">
      <c r="D3420" s="0" t="s">
        <v>114</v>
      </c>
      <c r="E3420" s="0" t="s">
        <v>115</v>
      </c>
      <c r="F3420" s="0" t="s">
        <v>116</v>
      </c>
      <c r="G3420" s="0" t="s">
        <v>151</v>
      </c>
      <c r="H3420" s="0" t="s">
        <v>151</v>
      </c>
      <c r="I3420" s="0" t="s">
        <v>36</v>
      </c>
      <c r="J3420" s="0" t="s">
        <v>37</v>
      </c>
      <c r="K3420" s="0" t="s">
        <v>30</v>
      </c>
      <c r="L3420" s="0" t="s">
        <v>31</v>
      </c>
      <c r="M3420" s="0" t="s">
        <v>140</v>
      </c>
      <c r="N3420" s="0" t="n">
        <v>665</v>
      </c>
      <c r="O3420" s="10" t="n">
        <v>0.362508179619908</v>
      </c>
      <c r="P3420" s="10" t="n">
        <v>0.298559809103608</v>
      </c>
      <c r="Q3420" s="0" t="str">
        <f aca="false">SUBSTITUTE(SUBSTITUTE($I3420,CHAR(61),""),CHAR(34),"")</f>
        <v>10-14</v>
      </c>
      <c r="R3420" s="0" t="str">
        <f aca="false">IF($D3420&lt;&gt;"","["&amp;$E3420&amp;"]"&amp;"|"&amp;$Q3420&amp;"|"&amp;$K3420&amp;"|"&amp;$G3420&amp;"|"&amp;IF($G3420="TX_CURR_SUBNAT.R","CY2022Q4",$M3420),"")</f>
        <v>[rpw540fmNUz]|10-14|Female|Untreated_PLHIV_Attend.T_1|CY2023Q3</v>
      </c>
    </row>
    <row r="3421" customFormat="false" ht="15" hidden="false" customHeight="false" outlineLevel="0" collapsed="false">
      <c r="D3421" s="0" t="s">
        <v>114</v>
      </c>
      <c r="E3421" s="0" t="s">
        <v>115</v>
      </c>
      <c r="F3421" s="0" t="s">
        <v>116</v>
      </c>
      <c r="G3421" s="0" t="s">
        <v>151</v>
      </c>
      <c r="H3421" s="0" t="s">
        <v>151</v>
      </c>
      <c r="I3421" s="0" t="s">
        <v>38</v>
      </c>
      <c r="J3421" s="0" t="s">
        <v>39</v>
      </c>
      <c r="K3421" s="0" t="s">
        <v>30</v>
      </c>
      <c r="L3421" s="0" t="s">
        <v>31</v>
      </c>
      <c r="M3421" s="0" t="s">
        <v>140</v>
      </c>
      <c r="N3421" s="0" t="n">
        <v>1974</v>
      </c>
      <c r="O3421" s="10" t="n">
        <v>0.0366178285330534</v>
      </c>
      <c r="P3421" s="10" t="n">
        <v>0.298559809103608</v>
      </c>
      <c r="Q3421" s="0" t="str">
        <f aca="false">SUBSTITUTE(SUBSTITUTE($I3421,CHAR(61),""),CHAR(34),"")</f>
        <v>15-24</v>
      </c>
      <c r="R3421" s="0" t="str">
        <f aca="false">IF($D3421&lt;&gt;"","["&amp;$E3421&amp;"]"&amp;"|"&amp;$Q3421&amp;"|"&amp;$K3421&amp;"|"&amp;$G3421&amp;"|"&amp;IF($G3421="TX_CURR_SUBNAT.R","CY2022Q4",$M3421),"")</f>
        <v>[rpw540fmNUz]|15-24|Female|Untreated_PLHIV_Attend.T_1|CY2023Q3</v>
      </c>
    </row>
    <row r="3422" customFormat="false" ht="15" hidden="false" customHeight="false" outlineLevel="0" collapsed="false">
      <c r="D3422" s="0" t="s">
        <v>114</v>
      </c>
      <c r="E3422" s="0" t="s">
        <v>115</v>
      </c>
      <c r="F3422" s="0" t="s">
        <v>116</v>
      </c>
      <c r="G3422" s="0" t="s">
        <v>151</v>
      </c>
      <c r="H3422" s="0" t="s">
        <v>151</v>
      </c>
      <c r="I3422" s="0" t="s">
        <v>41</v>
      </c>
      <c r="J3422" s="0" t="s">
        <v>42</v>
      </c>
      <c r="K3422" s="0" t="s">
        <v>30</v>
      </c>
      <c r="L3422" s="0" t="s">
        <v>31</v>
      </c>
      <c r="M3422" s="0" t="s">
        <v>140</v>
      </c>
      <c r="N3422" s="0" t="n">
        <v>1954</v>
      </c>
      <c r="O3422" s="10" t="n">
        <v>0.697974271606654</v>
      </c>
      <c r="P3422" s="10" t="n">
        <v>0.298559809103608</v>
      </c>
      <c r="Q3422" s="0" t="str">
        <f aca="false">SUBSTITUTE(SUBSTITUTE($I3422,CHAR(61),""),CHAR(34),"")</f>
        <v>25-34</v>
      </c>
      <c r="R3422" s="0" t="str">
        <f aca="false">IF($D3422&lt;&gt;"","["&amp;$E3422&amp;"]"&amp;"|"&amp;$Q3422&amp;"|"&amp;$K3422&amp;"|"&amp;$G3422&amp;"|"&amp;IF($G3422="TX_CURR_SUBNAT.R","CY2022Q4",$M3422),"")</f>
        <v>[rpw540fmNUz]|25-34|Female|Untreated_PLHIV_Attend.T_1|CY2023Q3</v>
      </c>
    </row>
    <row r="3423" customFormat="false" ht="15" hidden="false" customHeight="false" outlineLevel="0" collapsed="false">
      <c r="D3423" s="0" t="s">
        <v>114</v>
      </c>
      <c r="E3423" s="0" t="s">
        <v>115</v>
      </c>
      <c r="F3423" s="0" t="s">
        <v>116</v>
      </c>
      <c r="G3423" s="0" t="s">
        <v>151</v>
      </c>
      <c r="H3423" s="0" t="s">
        <v>151</v>
      </c>
      <c r="I3423" s="0" t="s">
        <v>43</v>
      </c>
      <c r="J3423" s="0" t="s">
        <v>44</v>
      </c>
      <c r="K3423" s="0" t="s">
        <v>30</v>
      </c>
      <c r="L3423" s="0" t="s">
        <v>31</v>
      </c>
      <c r="M3423" s="0" t="s">
        <v>140</v>
      </c>
      <c r="N3423" s="0" t="n">
        <v>1007</v>
      </c>
      <c r="O3423" s="10" t="n">
        <v>0.755622384604067</v>
      </c>
      <c r="P3423" s="10" t="n">
        <v>0.298559809103608</v>
      </c>
      <c r="Q3423" s="0" t="str">
        <f aca="false">SUBSTITUTE(SUBSTITUTE($I3423,CHAR(61),""),CHAR(34),"")</f>
        <v>35-49</v>
      </c>
      <c r="R3423" s="0" t="str">
        <f aca="false">IF($D3423&lt;&gt;"","["&amp;$E3423&amp;"]"&amp;"|"&amp;$Q3423&amp;"|"&amp;$K3423&amp;"|"&amp;$G3423&amp;"|"&amp;IF($G3423="TX_CURR_SUBNAT.R","CY2022Q4",$M3423),"")</f>
        <v>[rpw540fmNUz]|35-49|Female|Untreated_PLHIV_Attend.T_1|CY2023Q3</v>
      </c>
    </row>
    <row r="3424" customFormat="false" ht="15" hidden="false" customHeight="false" outlineLevel="0" collapsed="false">
      <c r="D3424" s="0" t="s">
        <v>114</v>
      </c>
      <c r="E3424" s="0" t="s">
        <v>115</v>
      </c>
      <c r="F3424" s="0" t="s">
        <v>116</v>
      </c>
      <c r="G3424" s="0" t="s">
        <v>151</v>
      </c>
      <c r="H3424" s="0" t="s">
        <v>151</v>
      </c>
      <c r="I3424" s="0" t="s">
        <v>45</v>
      </c>
      <c r="J3424" s="0" t="s">
        <v>46</v>
      </c>
      <c r="K3424" s="0" t="s">
        <v>30</v>
      </c>
      <c r="L3424" s="0" t="s">
        <v>31</v>
      </c>
      <c r="M3424" s="0" t="s">
        <v>140</v>
      </c>
      <c r="N3424" s="0" t="n">
        <v>913</v>
      </c>
      <c r="O3424" s="10" t="n">
        <v>0.0954679136630148</v>
      </c>
      <c r="P3424" s="10" t="n">
        <v>0.298559809103608</v>
      </c>
      <c r="Q3424" s="0" t="str">
        <f aca="false">SUBSTITUTE(SUBSTITUTE($I3424,CHAR(61),""),CHAR(34),"")</f>
        <v>50+</v>
      </c>
      <c r="R3424" s="0" t="str">
        <f aca="false">IF($D3424&lt;&gt;"","["&amp;$E3424&amp;"]"&amp;"|"&amp;$Q3424&amp;"|"&amp;$K3424&amp;"|"&amp;$G3424&amp;"|"&amp;IF($G3424="TX_CURR_SUBNAT.R","CY2022Q4",$M3424),"")</f>
        <v>[rpw540fmNUz]|50+|Female|Untreated_PLHIV_Attend.T_1|CY2023Q3</v>
      </c>
    </row>
    <row r="3425" customFormat="false" ht="15" hidden="false" customHeight="false" outlineLevel="0" collapsed="false">
      <c r="D3425" s="0" t="s">
        <v>114</v>
      </c>
      <c r="E3425" s="0" t="s">
        <v>115</v>
      </c>
      <c r="F3425" s="0" t="s">
        <v>116</v>
      </c>
      <c r="G3425" s="0" t="s">
        <v>151</v>
      </c>
      <c r="H3425" s="0" t="s">
        <v>151</v>
      </c>
      <c r="I3425" s="0" t="s">
        <v>28</v>
      </c>
      <c r="J3425" s="0" t="s">
        <v>29</v>
      </c>
      <c r="K3425" s="0" t="s">
        <v>48</v>
      </c>
      <c r="L3425" s="0" t="s">
        <v>49</v>
      </c>
      <c r="M3425" s="0" t="s">
        <v>140</v>
      </c>
      <c r="N3425" s="0" t="n">
        <v>1163</v>
      </c>
      <c r="O3425" s="10" t="n">
        <v>0.752027539769188</v>
      </c>
      <c r="P3425" s="10" t="n">
        <v>0.298559809103608</v>
      </c>
      <c r="Q3425" s="0" t="str">
        <f aca="false">SUBSTITUTE(SUBSTITUTE($I3425,CHAR(61),""),CHAR(34),"")</f>
        <v>&lt;01</v>
      </c>
      <c r="R3425" s="0" t="str">
        <f aca="false">IF($D3425&lt;&gt;"","["&amp;$E3425&amp;"]"&amp;"|"&amp;$Q3425&amp;"|"&amp;$K3425&amp;"|"&amp;$G3425&amp;"|"&amp;IF($G3425="TX_CURR_SUBNAT.R","CY2022Q4",$M3425),"")</f>
        <v>[rpw540fmNUz]|&lt;01|Male|Untreated_PLHIV_Attend.T_1|CY2023Q3</v>
      </c>
    </row>
    <row r="3426" customFormat="false" ht="15" hidden="false" customHeight="false" outlineLevel="0" collapsed="false">
      <c r="D3426" s="0" t="s">
        <v>114</v>
      </c>
      <c r="E3426" s="0" t="s">
        <v>115</v>
      </c>
      <c r="F3426" s="0" t="s">
        <v>116</v>
      </c>
      <c r="G3426" s="0" t="s">
        <v>151</v>
      </c>
      <c r="H3426" s="0" t="s">
        <v>151</v>
      </c>
      <c r="I3426" s="0" t="s">
        <v>33</v>
      </c>
      <c r="J3426" s="0" t="s">
        <v>34</v>
      </c>
      <c r="K3426" s="0" t="s">
        <v>48</v>
      </c>
      <c r="L3426" s="0" t="s">
        <v>49</v>
      </c>
      <c r="M3426" s="0" t="s">
        <v>140</v>
      </c>
      <c r="N3426" s="0" t="n">
        <v>593</v>
      </c>
      <c r="O3426" s="10" t="n">
        <v>0.014030808582902</v>
      </c>
      <c r="P3426" s="10" t="n">
        <v>0.298559809103608</v>
      </c>
      <c r="Q3426" s="0" t="str">
        <f aca="false">SUBSTITUTE(SUBSTITUTE($I3426,CHAR(61),""),CHAR(34),"")</f>
        <v>01-09</v>
      </c>
      <c r="R3426" s="0" t="str">
        <f aca="false">IF($D3426&lt;&gt;"","["&amp;$E3426&amp;"]"&amp;"|"&amp;$Q3426&amp;"|"&amp;$K3426&amp;"|"&amp;$G3426&amp;"|"&amp;IF($G3426="TX_CURR_SUBNAT.R","CY2022Q4",$M3426),"")</f>
        <v>[rpw540fmNUz]|01-09|Male|Untreated_PLHIV_Attend.T_1|CY2023Q3</v>
      </c>
    </row>
    <row r="3427" customFormat="false" ht="15" hidden="false" customHeight="false" outlineLevel="0" collapsed="false">
      <c r="D3427" s="0" t="s">
        <v>114</v>
      </c>
      <c r="E3427" s="0" t="s">
        <v>115</v>
      </c>
      <c r="F3427" s="0" t="s">
        <v>116</v>
      </c>
      <c r="G3427" s="0" t="s">
        <v>151</v>
      </c>
      <c r="H3427" s="0" t="s">
        <v>151</v>
      </c>
      <c r="I3427" s="0" t="s">
        <v>36</v>
      </c>
      <c r="J3427" s="0" t="s">
        <v>37</v>
      </c>
      <c r="K3427" s="0" t="s">
        <v>48</v>
      </c>
      <c r="L3427" s="0" t="s">
        <v>49</v>
      </c>
      <c r="M3427" s="0" t="s">
        <v>140</v>
      </c>
      <c r="N3427" s="0" t="n">
        <v>1918</v>
      </c>
      <c r="O3427" s="10" t="n">
        <v>0.94065539049916</v>
      </c>
      <c r="P3427" s="10" t="n">
        <v>0.298559809103608</v>
      </c>
      <c r="Q3427" s="0" t="str">
        <f aca="false">SUBSTITUTE(SUBSTITUTE($I3427,CHAR(61),""),CHAR(34),"")</f>
        <v>10-14</v>
      </c>
      <c r="R3427" s="0" t="str">
        <f aca="false">IF($D3427&lt;&gt;"","["&amp;$E3427&amp;"]"&amp;"|"&amp;$Q3427&amp;"|"&amp;$K3427&amp;"|"&amp;$G3427&amp;"|"&amp;IF($G3427="TX_CURR_SUBNAT.R","CY2022Q4",$M3427),"")</f>
        <v>[rpw540fmNUz]|10-14|Male|Untreated_PLHIV_Attend.T_1|CY2023Q3</v>
      </c>
    </row>
    <row r="3428" customFormat="false" ht="15" hidden="false" customHeight="false" outlineLevel="0" collapsed="false">
      <c r="D3428" s="0" t="s">
        <v>114</v>
      </c>
      <c r="E3428" s="0" t="s">
        <v>115</v>
      </c>
      <c r="F3428" s="0" t="s">
        <v>116</v>
      </c>
      <c r="G3428" s="0" t="s">
        <v>151</v>
      </c>
      <c r="H3428" s="0" t="s">
        <v>151</v>
      </c>
      <c r="I3428" s="0" t="s">
        <v>38</v>
      </c>
      <c r="J3428" s="0" t="s">
        <v>39</v>
      </c>
      <c r="K3428" s="0" t="s">
        <v>48</v>
      </c>
      <c r="L3428" s="0" t="s">
        <v>49</v>
      </c>
      <c r="M3428" s="0" t="s">
        <v>140</v>
      </c>
      <c r="N3428" s="0" t="n">
        <v>1613</v>
      </c>
      <c r="O3428" s="10" t="n">
        <v>0.554542370373383</v>
      </c>
      <c r="P3428" s="10" t="n">
        <v>0.298559809103608</v>
      </c>
      <c r="Q3428" s="0" t="str">
        <f aca="false">SUBSTITUTE(SUBSTITUTE($I3428,CHAR(61),""),CHAR(34),"")</f>
        <v>15-24</v>
      </c>
      <c r="R3428" s="0" t="str">
        <f aca="false">IF($D3428&lt;&gt;"","["&amp;$E3428&amp;"]"&amp;"|"&amp;$Q3428&amp;"|"&amp;$K3428&amp;"|"&amp;$G3428&amp;"|"&amp;IF($G3428="TX_CURR_SUBNAT.R","CY2022Q4",$M3428),"")</f>
        <v>[rpw540fmNUz]|15-24|Male|Untreated_PLHIV_Attend.T_1|CY2023Q3</v>
      </c>
    </row>
    <row r="3429" customFormat="false" ht="15" hidden="false" customHeight="false" outlineLevel="0" collapsed="false">
      <c r="D3429" s="0" t="s">
        <v>114</v>
      </c>
      <c r="E3429" s="0" t="s">
        <v>115</v>
      </c>
      <c r="F3429" s="0" t="s">
        <v>116</v>
      </c>
      <c r="G3429" s="0" t="s">
        <v>151</v>
      </c>
      <c r="H3429" s="0" t="s">
        <v>151</v>
      </c>
      <c r="I3429" s="0" t="s">
        <v>41</v>
      </c>
      <c r="J3429" s="0" t="s">
        <v>42</v>
      </c>
      <c r="K3429" s="0" t="s">
        <v>48</v>
      </c>
      <c r="L3429" s="0" t="s">
        <v>49</v>
      </c>
      <c r="M3429" s="0" t="s">
        <v>140</v>
      </c>
      <c r="N3429" s="0" t="n">
        <v>1496</v>
      </c>
      <c r="O3429" s="10" t="n">
        <v>0.130291359033436</v>
      </c>
      <c r="P3429" s="10" t="n">
        <v>0.298559809103608</v>
      </c>
      <c r="Q3429" s="0" t="str">
        <f aca="false">SUBSTITUTE(SUBSTITUTE($I3429,CHAR(61),""),CHAR(34),"")</f>
        <v>25-34</v>
      </c>
      <c r="R3429" s="0" t="str">
        <f aca="false">IF($D3429&lt;&gt;"","["&amp;$E3429&amp;"]"&amp;"|"&amp;$Q3429&amp;"|"&amp;$K3429&amp;"|"&amp;$G3429&amp;"|"&amp;IF($G3429="TX_CURR_SUBNAT.R","CY2022Q4",$M3429),"")</f>
        <v>[rpw540fmNUz]|25-34|Male|Untreated_PLHIV_Attend.T_1|CY2023Q3</v>
      </c>
    </row>
    <row r="3430" customFormat="false" ht="15" hidden="false" customHeight="false" outlineLevel="0" collapsed="false">
      <c r="D3430" s="0" t="s">
        <v>114</v>
      </c>
      <c r="E3430" s="0" t="s">
        <v>115</v>
      </c>
      <c r="F3430" s="0" t="s">
        <v>116</v>
      </c>
      <c r="G3430" s="0" t="s">
        <v>151</v>
      </c>
      <c r="H3430" s="0" t="s">
        <v>151</v>
      </c>
      <c r="I3430" s="0" t="s">
        <v>43</v>
      </c>
      <c r="J3430" s="0" t="s">
        <v>44</v>
      </c>
      <c r="K3430" s="0" t="s">
        <v>48</v>
      </c>
      <c r="L3430" s="0" t="s">
        <v>49</v>
      </c>
      <c r="M3430" s="0" t="s">
        <v>140</v>
      </c>
      <c r="N3430" s="0" t="n">
        <v>610</v>
      </c>
      <c r="O3430" s="10" t="n">
        <v>0.698022041702643</v>
      </c>
      <c r="P3430" s="10" t="n">
        <v>0.298559809103608</v>
      </c>
      <c r="Q3430" s="0" t="str">
        <f aca="false">SUBSTITUTE(SUBSTITUTE($I3430,CHAR(61),""),CHAR(34),"")</f>
        <v>35-49</v>
      </c>
      <c r="R3430" s="0" t="str">
        <f aca="false">IF($D3430&lt;&gt;"","["&amp;$E3430&amp;"]"&amp;"|"&amp;$Q3430&amp;"|"&amp;$K3430&amp;"|"&amp;$G3430&amp;"|"&amp;IF($G3430="TX_CURR_SUBNAT.R","CY2022Q4",$M3430),"")</f>
        <v>[rpw540fmNUz]|35-49|Male|Untreated_PLHIV_Attend.T_1|CY2023Q3</v>
      </c>
    </row>
    <row r="3431" customFormat="false" ht="15" hidden="false" customHeight="false" outlineLevel="0" collapsed="false">
      <c r="D3431" s="0" t="s">
        <v>114</v>
      </c>
      <c r="E3431" s="0" t="s">
        <v>115</v>
      </c>
      <c r="F3431" s="0" t="s">
        <v>116</v>
      </c>
      <c r="G3431" s="0" t="s">
        <v>151</v>
      </c>
      <c r="H3431" s="0" t="s">
        <v>151</v>
      </c>
      <c r="I3431" s="0" t="s">
        <v>45</v>
      </c>
      <c r="J3431" s="0" t="s">
        <v>46</v>
      </c>
      <c r="K3431" s="0" t="s">
        <v>48</v>
      </c>
      <c r="L3431" s="0" t="s">
        <v>49</v>
      </c>
      <c r="M3431" s="0" t="s">
        <v>140</v>
      </c>
      <c r="N3431" s="0" t="n">
        <v>1188</v>
      </c>
      <c r="O3431" s="10" t="n">
        <v>0.0104524376802146</v>
      </c>
      <c r="P3431" s="10" t="n">
        <v>0.298559809103608</v>
      </c>
      <c r="Q3431" s="0" t="str">
        <f aca="false">SUBSTITUTE(SUBSTITUTE($I3431,CHAR(61),""),CHAR(34),"")</f>
        <v>50+</v>
      </c>
      <c r="R3431" s="0" t="str">
        <f aca="false">IF($D3431&lt;&gt;"","["&amp;$E3431&amp;"]"&amp;"|"&amp;$Q3431&amp;"|"&amp;$K3431&amp;"|"&amp;$G3431&amp;"|"&amp;IF($G3431="TX_CURR_SUBNAT.R","CY2022Q4",$M3431),"")</f>
        <v>[rpw540fmNUz]|50+|Male|Untreated_PLHIV_Attend.T_1|CY2023Q3</v>
      </c>
    </row>
    <row r="3432" customFormat="false" ht="15" hidden="false" customHeight="false" outlineLevel="0" collapsed="false">
      <c r="D3432" s="0" t="s">
        <v>117</v>
      </c>
      <c r="E3432" s="0" t="s">
        <v>118</v>
      </c>
      <c r="F3432" s="0" t="s">
        <v>119</v>
      </c>
      <c r="G3432" s="0" t="s">
        <v>151</v>
      </c>
      <c r="H3432" s="0" t="s">
        <v>151</v>
      </c>
      <c r="I3432" s="0" t="s">
        <v>28</v>
      </c>
      <c r="J3432" s="0" t="s">
        <v>29</v>
      </c>
      <c r="K3432" s="0" t="s">
        <v>30</v>
      </c>
      <c r="L3432" s="0" t="s">
        <v>31</v>
      </c>
      <c r="M3432" s="0" t="s">
        <v>140</v>
      </c>
      <c r="N3432" s="0" t="n">
        <v>1974</v>
      </c>
      <c r="O3432" s="10" t="n">
        <v>0.418680898379534</v>
      </c>
      <c r="P3432" s="10" t="n">
        <v>0.206259709550068</v>
      </c>
      <c r="Q3432" s="0" t="str">
        <f aca="false">SUBSTITUTE(SUBSTITUTE($I3432,CHAR(61),""),CHAR(34),"")</f>
        <v>&lt;01</v>
      </c>
      <c r="R3432" s="0" t="str">
        <f aca="false">IF($D3432&lt;&gt;"","["&amp;$E3432&amp;"]"&amp;"|"&amp;$Q3432&amp;"|"&amp;$K3432&amp;"|"&amp;$G3432&amp;"|"&amp;IF($G3432="TX_CURR_SUBNAT.R","CY2022Q4",$M3432),"")</f>
        <v>[lPTyjLi4w3d]|&lt;01|Female|Untreated_PLHIV_Attend.T_1|CY2023Q3</v>
      </c>
    </row>
    <row r="3433" customFormat="false" ht="15" hidden="false" customHeight="false" outlineLevel="0" collapsed="false">
      <c r="D3433" s="0" t="s">
        <v>117</v>
      </c>
      <c r="E3433" s="0" t="s">
        <v>118</v>
      </c>
      <c r="F3433" s="0" t="s">
        <v>119</v>
      </c>
      <c r="G3433" s="0" t="s">
        <v>151</v>
      </c>
      <c r="H3433" s="0" t="s">
        <v>151</v>
      </c>
      <c r="I3433" s="0" t="s">
        <v>33</v>
      </c>
      <c r="J3433" s="0" t="s">
        <v>34</v>
      </c>
      <c r="K3433" s="0" t="s">
        <v>30</v>
      </c>
      <c r="L3433" s="0" t="s">
        <v>31</v>
      </c>
      <c r="M3433" s="0" t="s">
        <v>140</v>
      </c>
      <c r="N3433" s="0" t="n">
        <v>1424</v>
      </c>
      <c r="O3433" s="10" t="n">
        <v>0.849414526950568</v>
      </c>
      <c r="P3433" s="10" t="n">
        <v>0.206259709550068</v>
      </c>
      <c r="Q3433" s="0" t="str">
        <f aca="false">SUBSTITUTE(SUBSTITUTE($I3433,CHAR(61),""),CHAR(34),"")</f>
        <v>01-09</v>
      </c>
      <c r="R3433" s="0" t="str">
        <f aca="false">IF($D3433&lt;&gt;"","["&amp;$E3433&amp;"]"&amp;"|"&amp;$Q3433&amp;"|"&amp;$K3433&amp;"|"&amp;$G3433&amp;"|"&amp;IF($G3433="TX_CURR_SUBNAT.R","CY2022Q4",$M3433),"")</f>
        <v>[lPTyjLi4w3d]|01-09|Female|Untreated_PLHIV_Attend.T_1|CY2023Q3</v>
      </c>
    </row>
    <row r="3434" customFormat="false" ht="15" hidden="false" customHeight="false" outlineLevel="0" collapsed="false">
      <c r="D3434" s="0" t="s">
        <v>117</v>
      </c>
      <c r="E3434" s="0" t="s">
        <v>118</v>
      </c>
      <c r="F3434" s="0" t="s">
        <v>119</v>
      </c>
      <c r="G3434" s="0" t="s">
        <v>151</v>
      </c>
      <c r="H3434" s="0" t="s">
        <v>151</v>
      </c>
      <c r="I3434" s="0" t="s">
        <v>36</v>
      </c>
      <c r="J3434" s="0" t="s">
        <v>37</v>
      </c>
      <c r="K3434" s="0" t="s">
        <v>30</v>
      </c>
      <c r="L3434" s="0" t="s">
        <v>31</v>
      </c>
      <c r="M3434" s="0" t="s">
        <v>140</v>
      </c>
      <c r="N3434" s="0" t="n">
        <v>1656</v>
      </c>
      <c r="O3434" s="10" t="n">
        <v>0.694374869111925</v>
      </c>
      <c r="P3434" s="10" t="n">
        <v>0.206259709550068</v>
      </c>
      <c r="Q3434" s="0" t="str">
        <f aca="false">SUBSTITUTE(SUBSTITUTE($I3434,CHAR(61),""),CHAR(34),"")</f>
        <v>10-14</v>
      </c>
      <c r="R3434" s="0" t="str">
        <f aca="false">IF($D3434&lt;&gt;"","["&amp;$E3434&amp;"]"&amp;"|"&amp;$Q3434&amp;"|"&amp;$K3434&amp;"|"&amp;$G3434&amp;"|"&amp;IF($G3434="TX_CURR_SUBNAT.R","CY2022Q4",$M3434),"")</f>
        <v>[lPTyjLi4w3d]|10-14|Female|Untreated_PLHIV_Attend.T_1|CY2023Q3</v>
      </c>
    </row>
    <row r="3435" customFormat="false" ht="15" hidden="false" customHeight="false" outlineLevel="0" collapsed="false">
      <c r="D3435" s="0" t="s">
        <v>117</v>
      </c>
      <c r="E3435" s="0" t="s">
        <v>118</v>
      </c>
      <c r="F3435" s="0" t="s">
        <v>119</v>
      </c>
      <c r="G3435" s="0" t="s">
        <v>151</v>
      </c>
      <c r="H3435" s="0" t="s">
        <v>151</v>
      </c>
      <c r="I3435" s="0" t="s">
        <v>38</v>
      </c>
      <c r="J3435" s="0" t="s">
        <v>39</v>
      </c>
      <c r="K3435" s="0" t="s">
        <v>30</v>
      </c>
      <c r="L3435" s="0" t="s">
        <v>31</v>
      </c>
      <c r="M3435" s="0" t="s">
        <v>140</v>
      </c>
      <c r="N3435" s="0" t="n">
        <v>947</v>
      </c>
      <c r="O3435" s="10" t="n">
        <v>0.0848071787040681</v>
      </c>
      <c r="P3435" s="10" t="n">
        <v>0.206259709550068</v>
      </c>
      <c r="Q3435" s="0" t="str">
        <f aca="false">SUBSTITUTE(SUBSTITUTE($I3435,CHAR(61),""),CHAR(34),"")</f>
        <v>15-24</v>
      </c>
      <c r="R3435" s="0" t="str">
        <f aca="false">IF($D3435&lt;&gt;"","["&amp;$E3435&amp;"]"&amp;"|"&amp;$Q3435&amp;"|"&amp;$K3435&amp;"|"&amp;$G3435&amp;"|"&amp;IF($G3435="TX_CURR_SUBNAT.R","CY2022Q4",$M3435),"")</f>
        <v>[lPTyjLi4w3d]|15-24|Female|Untreated_PLHIV_Attend.T_1|CY2023Q3</v>
      </c>
    </row>
    <row r="3436" customFormat="false" ht="15" hidden="false" customHeight="false" outlineLevel="0" collapsed="false">
      <c r="D3436" s="0" t="s">
        <v>117</v>
      </c>
      <c r="E3436" s="0" t="s">
        <v>118</v>
      </c>
      <c r="F3436" s="0" t="s">
        <v>119</v>
      </c>
      <c r="G3436" s="0" t="s">
        <v>151</v>
      </c>
      <c r="H3436" s="0" t="s">
        <v>151</v>
      </c>
      <c r="I3436" s="0" t="s">
        <v>41</v>
      </c>
      <c r="J3436" s="0" t="s">
        <v>42</v>
      </c>
      <c r="K3436" s="0" t="s">
        <v>30</v>
      </c>
      <c r="L3436" s="0" t="s">
        <v>31</v>
      </c>
      <c r="M3436" s="0" t="s">
        <v>140</v>
      </c>
      <c r="N3436" s="0" t="n">
        <v>1411</v>
      </c>
      <c r="O3436" s="10" t="n">
        <v>0.960465581854805</v>
      </c>
      <c r="P3436" s="10" t="n">
        <v>0.206259709550068</v>
      </c>
      <c r="Q3436" s="0" t="str">
        <f aca="false">SUBSTITUTE(SUBSTITUTE($I3436,CHAR(61),""),CHAR(34),"")</f>
        <v>25-34</v>
      </c>
      <c r="R3436" s="0" t="str">
        <f aca="false">IF($D3436&lt;&gt;"","["&amp;$E3436&amp;"]"&amp;"|"&amp;$Q3436&amp;"|"&amp;$K3436&amp;"|"&amp;$G3436&amp;"|"&amp;IF($G3436="TX_CURR_SUBNAT.R","CY2022Q4",$M3436),"")</f>
        <v>[lPTyjLi4w3d]|25-34|Female|Untreated_PLHIV_Attend.T_1|CY2023Q3</v>
      </c>
    </row>
    <row r="3437" customFormat="false" ht="15" hidden="false" customHeight="false" outlineLevel="0" collapsed="false">
      <c r="D3437" s="0" t="s">
        <v>117</v>
      </c>
      <c r="E3437" s="0" t="s">
        <v>118</v>
      </c>
      <c r="F3437" s="0" t="s">
        <v>119</v>
      </c>
      <c r="G3437" s="0" t="s">
        <v>151</v>
      </c>
      <c r="H3437" s="0" t="s">
        <v>151</v>
      </c>
      <c r="I3437" s="0" t="s">
        <v>43</v>
      </c>
      <c r="J3437" s="0" t="s">
        <v>44</v>
      </c>
      <c r="K3437" s="0" t="s">
        <v>30</v>
      </c>
      <c r="L3437" s="0" t="s">
        <v>31</v>
      </c>
      <c r="M3437" s="0" t="s">
        <v>140</v>
      </c>
      <c r="N3437" s="0" t="n">
        <v>1456</v>
      </c>
      <c r="O3437" s="10" t="n">
        <v>0.881310081342235</v>
      </c>
      <c r="P3437" s="10" t="n">
        <v>0.206259709550068</v>
      </c>
      <c r="Q3437" s="0" t="str">
        <f aca="false">SUBSTITUTE(SUBSTITUTE($I3437,CHAR(61),""),CHAR(34),"")</f>
        <v>35-49</v>
      </c>
      <c r="R3437" s="0" t="str">
        <f aca="false">IF($D3437&lt;&gt;"","["&amp;$E3437&amp;"]"&amp;"|"&amp;$Q3437&amp;"|"&amp;$K3437&amp;"|"&amp;$G3437&amp;"|"&amp;IF($G3437="TX_CURR_SUBNAT.R","CY2022Q4",$M3437),"")</f>
        <v>[lPTyjLi4w3d]|35-49|Female|Untreated_PLHIV_Attend.T_1|CY2023Q3</v>
      </c>
    </row>
    <row r="3438" customFormat="false" ht="15" hidden="false" customHeight="false" outlineLevel="0" collapsed="false">
      <c r="D3438" s="0" t="s">
        <v>117</v>
      </c>
      <c r="E3438" s="0" t="s">
        <v>118</v>
      </c>
      <c r="F3438" s="0" t="s">
        <v>119</v>
      </c>
      <c r="G3438" s="0" t="s">
        <v>151</v>
      </c>
      <c r="H3438" s="0" t="s">
        <v>151</v>
      </c>
      <c r="I3438" s="0" t="s">
        <v>45</v>
      </c>
      <c r="J3438" s="0" t="s">
        <v>46</v>
      </c>
      <c r="K3438" s="0" t="s">
        <v>30</v>
      </c>
      <c r="L3438" s="0" t="s">
        <v>31</v>
      </c>
      <c r="M3438" s="0" t="s">
        <v>140</v>
      </c>
      <c r="N3438" s="0" t="n">
        <v>1475</v>
      </c>
      <c r="O3438" s="10" t="n">
        <v>0.207438431447372</v>
      </c>
      <c r="P3438" s="10" t="n">
        <v>0.206259709550068</v>
      </c>
      <c r="Q3438" s="0" t="str">
        <f aca="false">SUBSTITUTE(SUBSTITUTE($I3438,CHAR(61),""),CHAR(34),"")</f>
        <v>50+</v>
      </c>
      <c r="R3438" s="0" t="str">
        <f aca="false">IF($D3438&lt;&gt;"","["&amp;$E3438&amp;"]"&amp;"|"&amp;$Q3438&amp;"|"&amp;$K3438&amp;"|"&amp;$G3438&amp;"|"&amp;IF($G3438="TX_CURR_SUBNAT.R","CY2022Q4",$M3438),"")</f>
        <v>[lPTyjLi4w3d]|50+|Female|Untreated_PLHIV_Attend.T_1|CY2023Q3</v>
      </c>
    </row>
    <row r="3439" customFormat="false" ht="15" hidden="false" customHeight="false" outlineLevel="0" collapsed="false">
      <c r="D3439" s="0" t="s">
        <v>117</v>
      </c>
      <c r="E3439" s="0" t="s">
        <v>118</v>
      </c>
      <c r="F3439" s="0" t="s">
        <v>119</v>
      </c>
      <c r="G3439" s="0" t="s">
        <v>151</v>
      </c>
      <c r="H3439" s="0" t="s">
        <v>151</v>
      </c>
      <c r="I3439" s="0" t="s">
        <v>28</v>
      </c>
      <c r="J3439" s="0" t="s">
        <v>29</v>
      </c>
      <c r="K3439" s="0" t="s">
        <v>48</v>
      </c>
      <c r="L3439" s="0" t="s">
        <v>49</v>
      </c>
      <c r="M3439" s="0" t="s">
        <v>140</v>
      </c>
      <c r="N3439" s="0" t="n">
        <v>533</v>
      </c>
      <c r="O3439" s="10" t="n">
        <v>0.23208832507953</v>
      </c>
      <c r="P3439" s="10" t="n">
        <v>0.206259709550068</v>
      </c>
      <c r="Q3439" s="0" t="str">
        <f aca="false">SUBSTITUTE(SUBSTITUTE($I3439,CHAR(61),""),CHAR(34),"")</f>
        <v>&lt;01</v>
      </c>
      <c r="R3439" s="0" t="str">
        <f aca="false">IF($D3439&lt;&gt;"","["&amp;$E3439&amp;"]"&amp;"|"&amp;$Q3439&amp;"|"&amp;$K3439&amp;"|"&amp;$G3439&amp;"|"&amp;IF($G3439="TX_CURR_SUBNAT.R","CY2022Q4",$M3439),"")</f>
        <v>[lPTyjLi4w3d]|&lt;01|Male|Untreated_PLHIV_Attend.T_1|CY2023Q3</v>
      </c>
    </row>
    <row r="3440" customFormat="false" ht="15" hidden="false" customHeight="false" outlineLevel="0" collapsed="false">
      <c r="D3440" s="0" t="s">
        <v>117</v>
      </c>
      <c r="E3440" s="0" t="s">
        <v>118</v>
      </c>
      <c r="F3440" s="0" t="s">
        <v>119</v>
      </c>
      <c r="G3440" s="0" t="s">
        <v>151</v>
      </c>
      <c r="H3440" s="0" t="s">
        <v>151</v>
      </c>
      <c r="I3440" s="0" t="s">
        <v>33</v>
      </c>
      <c r="J3440" s="0" t="s">
        <v>34</v>
      </c>
      <c r="K3440" s="0" t="s">
        <v>48</v>
      </c>
      <c r="L3440" s="0" t="s">
        <v>49</v>
      </c>
      <c r="M3440" s="0" t="s">
        <v>140</v>
      </c>
      <c r="N3440" s="0" t="n">
        <v>1415</v>
      </c>
      <c r="O3440" s="10" t="n">
        <v>0.0915211834944785</v>
      </c>
      <c r="P3440" s="10" t="n">
        <v>0.206259709550068</v>
      </c>
      <c r="Q3440" s="0" t="str">
        <f aca="false">SUBSTITUTE(SUBSTITUTE($I3440,CHAR(61),""),CHAR(34),"")</f>
        <v>01-09</v>
      </c>
      <c r="R3440" s="0" t="str">
        <f aca="false">IF($D3440&lt;&gt;"","["&amp;$E3440&amp;"]"&amp;"|"&amp;$Q3440&amp;"|"&amp;$K3440&amp;"|"&amp;$G3440&amp;"|"&amp;IF($G3440="TX_CURR_SUBNAT.R","CY2022Q4",$M3440),"")</f>
        <v>[lPTyjLi4w3d]|01-09|Male|Untreated_PLHIV_Attend.T_1|CY2023Q3</v>
      </c>
    </row>
    <row r="3441" customFormat="false" ht="15" hidden="false" customHeight="false" outlineLevel="0" collapsed="false">
      <c r="D3441" s="0" t="s">
        <v>117</v>
      </c>
      <c r="E3441" s="0" t="s">
        <v>118</v>
      </c>
      <c r="F3441" s="0" t="s">
        <v>119</v>
      </c>
      <c r="G3441" s="0" t="s">
        <v>151</v>
      </c>
      <c r="H3441" s="0" t="s">
        <v>151</v>
      </c>
      <c r="I3441" s="0" t="s">
        <v>36</v>
      </c>
      <c r="J3441" s="0" t="s">
        <v>37</v>
      </c>
      <c r="K3441" s="0" t="s">
        <v>48</v>
      </c>
      <c r="L3441" s="0" t="s">
        <v>49</v>
      </c>
      <c r="M3441" s="0" t="s">
        <v>140</v>
      </c>
      <c r="N3441" s="0" t="n">
        <v>1636</v>
      </c>
      <c r="O3441" s="10" t="n">
        <v>0.856360862730071</v>
      </c>
      <c r="P3441" s="10" t="n">
        <v>0.206259709550068</v>
      </c>
      <c r="Q3441" s="0" t="str">
        <f aca="false">SUBSTITUTE(SUBSTITUTE($I3441,CHAR(61),""),CHAR(34),"")</f>
        <v>10-14</v>
      </c>
      <c r="R3441" s="0" t="str">
        <f aca="false">IF($D3441&lt;&gt;"","["&amp;$E3441&amp;"]"&amp;"|"&amp;$Q3441&amp;"|"&amp;$K3441&amp;"|"&amp;$G3441&amp;"|"&amp;IF($G3441="TX_CURR_SUBNAT.R","CY2022Q4",$M3441),"")</f>
        <v>[lPTyjLi4w3d]|10-14|Male|Untreated_PLHIV_Attend.T_1|CY2023Q3</v>
      </c>
    </row>
    <row r="3442" customFormat="false" ht="15" hidden="false" customHeight="false" outlineLevel="0" collapsed="false">
      <c r="D3442" s="0" t="s">
        <v>117</v>
      </c>
      <c r="E3442" s="0" t="s">
        <v>118</v>
      </c>
      <c r="F3442" s="0" t="s">
        <v>119</v>
      </c>
      <c r="G3442" s="0" t="s">
        <v>151</v>
      </c>
      <c r="H3442" s="0" t="s">
        <v>151</v>
      </c>
      <c r="I3442" s="0" t="s">
        <v>38</v>
      </c>
      <c r="J3442" s="0" t="s">
        <v>39</v>
      </c>
      <c r="K3442" s="0" t="s">
        <v>48</v>
      </c>
      <c r="L3442" s="0" t="s">
        <v>49</v>
      </c>
      <c r="M3442" s="0" t="s">
        <v>140</v>
      </c>
      <c r="N3442" s="0" t="n">
        <v>1932</v>
      </c>
      <c r="O3442" s="10" t="n">
        <v>0.0573910588864237</v>
      </c>
      <c r="P3442" s="10" t="n">
        <v>0.206259709550068</v>
      </c>
      <c r="Q3442" s="0" t="str">
        <f aca="false">SUBSTITUTE(SUBSTITUTE($I3442,CHAR(61),""),CHAR(34),"")</f>
        <v>15-24</v>
      </c>
      <c r="R3442" s="0" t="str">
        <f aca="false">IF($D3442&lt;&gt;"","["&amp;$E3442&amp;"]"&amp;"|"&amp;$Q3442&amp;"|"&amp;$K3442&amp;"|"&amp;$G3442&amp;"|"&amp;IF($G3442="TX_CURR_SUBNAT.R","CY2022Q4",$M3442),"")</f>
        <v>[lPTyjLi4w3d]|15-24|Male|Untreated_PLHIV_Attend.T_1|CY2023Q3</v>
      </c>
    </row>
    <row r="3443" customFormat="false" ht="15" hidden="false" customHeight="false" outlineLevel="0" collapsed="false">
      <c r="D3443" s="0" t="s">
        <v>117</v>
      </c>
      <c r="E3443" s="0" t="s">
        <v>118</v>
      </c>
      <c r="F3443" s="0" t="s">
        <v>119</v>
      </c>
      <c r="G3443" s="0" t="s">
        <v>151</v>
      </c>
      <c r="H3443" s="0" t="s">
        <v>151</v>
      </c>
      <c r="I3443" s="0" t="s">
        <v>41</v>
      </c>
      <c r="J3443" s="0" t="s">
        <v>42</v>
      </c>
      <c r="K3443" s="0" t="s">
        <v>48</v>
      </c>
      <c r="L3443" s="0" t="s">
        <v>49</v>
      </c>
      <c r="M3443" s="0" t="s">
        <v>140</v>
      </c>
      <c r="N3443" s="0" t="n">
        <v>1431</v>
      </c>
      <c r="O3443" s="10" t="n">
        <v>0.719495218014345</v>
      </c>
      <c r="P3443" s="10" t="n">
        <v>0.206259709550068</v>
      </c>
      <c r="Q3443" s="0" t="str">
        <f aca="false">SUBSTITUTE(SUBSTITUTE($I3443,CHAR(61),""),CHAR(34),"")</f>
        <v>25-34</v>
      </c>
      <c r="R3443" s="0" t="str">
        <f aca="false">IF($D3443&lt;&gt;"","["&amp;$E3443&amp;"]"&amp;"|"&amp;$Q3443&amp;"|"&amp;$K3443&amp;"|"&amp;$G3443&amp;"|"&amp;IF($G3443="TX_CURR_SUBNAT.R","CY2022Q4",$M3443),"")</f>
        <v>[lPTyjLi4w3d]|25-34|Male|Untreated_PLHIV_Attend.T_1|CY2023Q3</v>
      </c>
    </row>
    <row r="3444" customFormat="false" ht="15" hidden="false" customHeight="false" outlineLevel="0" collapsed="false">
      <c r="D3444" s="0" t="s">
        <v>117</v>
      </c>
      <c r="E3444" s="0" t="s">
        <v>118</v>
      </c>
      <c r="F3444" s="0" t="s">
        <v>119</v>
      </c>
      <c r="G3444" s="0" t="s">
        <v>151</v>
      </c>
      <c r="H3444" s="0" t="s">
        <v>151</v>
      </c>
      <c r="I3444" s="0" t="s">
        <v>43</v>
      </c>
      <c r="J3444" s="0" t="s">
        <v>44</v>
      </c>
      <c r="K3444" s="0" t="s">
        <v>48</v>
      </c>
      <c r="L3444" s="0" t="s">
        <v>49</v>
      </c>
      <c r="M3444" s="0" t="s">
        <v>140</v>
      </c>
      <c r="N3444" s="0" t="n">
        <v>1663</v>
      </c>
      <c r="O3444" s="10" t="n">
        <v>0.325545193627477</v>
      </c>
      <c r="P3444" s="10" t="n">
        <v>0.206259709550068</v>
      </c>
      <c r="Q3444" s="0" t="str">
        <f aca="false">SUBSTITUTE(SUBSTITUTE($I3444,CHAR(61),""),CHAR(34),"")</f>
        <v>35-49</v>
      </c>
      <c r="R3444" s="0" t="str">
        <f aca="false">IF($D3444&lt;&gt;"","["&amp;$E3444&amp;"]"&amp;"|"&amp;$Q3444&amp;"|"&amp;$K3444&amp;"|"&amp;$G3444&amp;"|"&amp;IF($G3444="TX_CURR_SUBNAT.R","CY2022Q4",$M3444),"")</f>
        <v>[lPTyjLi4w3d]|35-49|Male|Untreated_PLHIV_Attend.T_1|CY2023Q3</v>
      </c>
    </row>
    <row r="3445" customFormat="false" ht="15" hidden="false" customHeight="false" outlineLevel="0" collapsed="false">
      <c r="D3445" s="0" t="s">
        <v>117</v>
      </c>
      <c r="E3445" s="0" t="s">
        <v>118</v>
      </c>
      <c r="F3445" s="0" t="s">
        <v>119</v>
      </c>
      <c r="G3445" s="0" t="s">
        <v>151</v>
      </c>
      <c r="H3445" s="0" t="s">
        <v>151</v>
      </c>
      <c r="I3445" s="0" t="s">
        <v>45</v>
      </c>
      <c r="J3445" s="0" t="s">
        <v>46</v>
      </c>
      <c r="K3445" s="0" t="s">
        <v>48</v>
      </c>
      <c r="L3445" s="0" t="s">
        <v>49</v>
      </c>
      <c r="M3445" s="0" t="s">
        <v>140</v>
      </c>
      <c r="N3445" s="0" t="n">
        <v>1467</v>
      </c>
      <c r="O3445" s="10" t="n">
        <v>0.761705331038684</v>
      </c>
      <c r="P3445" s="10" t="n">
        <v>0.206259709550068</v>
      </c>
      <c r="Q3445" s="0" t="str">
        <f aca="false">SUBSTITUTE(SUBSTITUTE($I3445,CHAR(61),""),CHAR(34),"")</f>
        <v>50+</v>
      </c>
      <c r="R3445" s="0" t="str">
        <f aca="false">IF($D3445&lt;&gt;"","["&amp;$E3445&amp;"]"&amp;"|"&amp;$Q3445&amp;"|"&amp;$K3445&amp;"|"&amp;$G3445&amp;"|"&amp;IF($G3445="TX_CURR_SUBNAT.R","CY2022Q4",$M3445),"")</f>
        <v>[lPTyjLi4w3d]|50+|Male|Untreated_PLHIV_Attend.T_1|CY2023Q3</v>
      </c>
    </row>
    <row r="3446" customFormat="false" ht="15" hidden="false" customHeight="false" outlineLevel="0" collapsed="false">
      <c r="D3446" s="0" t="s">
        <v>120</v>
      </c>
      <c r="E3446" s="0" t="s">
        <v>121</v>
      </c>
      <c r="F3446" s="0" t="s">
        <v>122</v>
      </c>
      <c r="G3446" s="0" t="s">
        <v>151</v>
      </c>
      <c r="H3446" s="0" t="s">
        <v>151</v>
      </c>
      <c r="I3446" s="0" t="s">
        <v>28</v>
      </c>
      <c r="J3446" s="0" t="s">
        <v>29</v>
      </c>
      <c r="K3446" s="0" t="s">
        <v>30</v>
      </c>
      <c r="L3446" s="0" t="s">
        <v>31</v>
      </c>
      <c r="M3446" s="0" t="s">
        <v>140</v>
      </c>
      <c r="N3446" s="0" t="n">
        <v>1174</v>
      </c>
      <c r="O3446" s="10" t="n">
        <v>0.494714221218601</v>
      </c>
      <c r="P3446" s="10" t="n">
        <v>0.430103979306296</v>
      </c>
      <c r="Q3446" s="0" t="str">
        <f aca="false">SUBSTITUTE(SUBSTITUTE($I3446,CHAR(61),""),CHAR(34),"")</f>
        <v>&lt;01</v>
      </c>
      <c r="R3446" s="0" t="str">
        <f aca="false">IF($D3446&lt;&gt;"","["&amp;$E3446&amp;"]"&amp;"|"&amp;$Q3446&amp;"|"&amp;$K3446&amp;"|"&amp;$G3446&amp;"|"&amp;IF($G3446="TX_CURR_SUBNAT.R","CY2022Q4",$M3446),"")</f>
        <v>[vA4NcHxfMBq]|&lt;01|Female|Untreated_PLHIV_Attend.T_1|CY2023Q3</v>
      </c>
    </row>
    <row r="3447" customFormat="false" ht="15" hidden="false" customHeight="false" outlineLevel="0" collapsed="false">
      <c r="D3447" s="0" t="s">
        <v>120</v>
      </c>
      <c r="E3447" s="0" t="s">
        <v>121</v>
      </c>
      <c r="F3447" s="0" t="s">
        <v>122</v>
      </c>
      <c r="G3447" s="0" t="s">
        <v>151</v>
      </c>
      <c r="H3447" s="0" t="s">
        <v>151</v>
      </c>
      <c r="I3447" s="0" t="s">
        <v>33</v>
      </c>
      <c r="J3447" s="0" t="s">
        <v>34</v>
      </c>
      <c r="K3447" s="0" t="s">
        <v>30</v>
      </c>
      <c r="L3447" s="0" t="s">
        <v>31</v>
      </c>
      <c r="M3447" s="0" t="s">
        <v>140</v>
      </c>
      <c r="N3447" s="0" t="n">
        <v>976</v>
      </c>
      <c r="O3447" s="10" t="n">
        <v>0.765007495647296</v>
      </c>
      <c r="P3447" s="10" t="n">
        <v>0.430103979306296</v>
      </c>
      <c r="Q3447" s="0" t="str">
        <f aca="false">SUBSTITUTE(SUBSTITUTE($I3447,CHAR(61),""),CHAR(34),"")</f>
        <v>01-09</v>
      </c>
      <c r="R3447" s="0" t="str">
        <f aca="false">IF($D3447&lt;&gt;"","["&amp;$E3447&amp;"]"&amp;"|"&amp;$Q3447&amp;"|"&amp;$K3447&amp;"|"&amp;$G3447&amp;"|"&amp;IF($G3447="TX_CURR_SUBNAT.R","CY2022Q4",$M3447),"")</f>
        <v>[vA4NcHxfMBq]|01-09|Female|Untreated_PLHIV_Attend.T_1|CY2023Q3</v>
      </c>
    </row>
    <row r="3448" customFormat="false" ht="15" hidden="false" customHeight="false" outlineLevel="0" collapsed="false">
      <c r="D3448" s="0" t="s">
        <v>120</v>
      </c>
      <c r="E3448" s="0" t="s">
        <v>121</v>
      </c>
      <c r="F3448" s="0" t="s">
        <v>122</v>
      </c>
      <c r="G3448" s="0" t="s">
        <v>151</v>
      </c>
      <c r="H3448" s="0" t="s">
        <v>151</v>
      </c>
      <c r="I3448" s="0" t="s">
        <v>36</v>
      </c>
      <c r="J3448" s="0" t="s">
        <v>37</v>
      </c>
      <c r="K3448" s="0" t="s">
        <v>30</v>
      </c>
      <c r="L3448" s="0" t="s">
        <v>31</v>
      </c>
      <c r="M3448" s="0" t="s">
        <v>140</v>
      </c>
      <c r="N3448" s="0" t="n">
        <v>1557</v>
      </c>
      <c r="O3448" s="10" t="n">
        <v>0.51219938788563</v>
      </c>
      <c r="P3448" s="10" t="n">
        <v>0.430103979306296</v>
      </c>
      <c r="Q3448" s="0" t="str">
        <f aca="false">SUBSTITUTE(SUBSTITUTE($I3448,CHAR(61),""),CHAR(34),"")</f>
        <v>10-14</v>
      </c>
      <c r="R3448" s="0" t="str">
        <f aca="false">IF($D3448&lt;&gt;"","["&amp;$E3448&amp;"]"&amp;"|"&amp;$Q3448&amp;"|"&amp;$K3448&amp;"|"&amp;$G3448&amp;"|"&amp;IF($G3448="TX_CURR_SUBNAT.R","CY2022Q4",$M3448),"")</f>
        <v>[vA4NcHxfMBq]|10-14|Female|Untreated_PLHIV_Attend.T_1|CY2023Q3</v>
      </c>
    </row>
    <row r="3449" customFormat="false" ht="15" hidden="false" customHeight="false" outlineLevel="0" collapsed="false">
      <c r="D3449" s="0" t="s">
        <v>120</v>
      </c>
      <c r="E3449" s="0" t="s">
        <v>121</v>
      </c>
      <c r="F3449" s="0" t="s">
        <v>122</v>
      </c>
      <c r="G3449" s="0" t="s">
        <v>151</v>
      </c>
      <c r="H3449" s="0" t="s">
        <v>151</v>
      </c>
      <c r="I3449" s="0" t="s">
        <v>38</v>
      </c>
      <c r="J3449" s="0" t="s">
        <v>39</v>
      </c>
      <c r="K3449" s="0" t="s">
        <v>30</v>
      </c>
      <c r="L3449" s="0" t="s">
        <v>31</v>
      </c>
      <c r="M3449" s="0" t="s">
        <v>140</v>
      </c>
      <c r="N3449" s="0" t="n">
        <v>919</v>
      </c>
      <c r="O3449" s="10" t="n">
        <v>0.174198960419744</v>
      </c>
      <c r="P3449" s="10" t="n">
        <v>0.430103979306296</v>
      </c>
      <c r="Q3449" s="0" t="str">
        <f aca="false">SUBSTITUTE(SUBSTITUTE($I3449,CHAR(61),""),CHAR(34),"")</f>
        <v>15-24</v>
      </c>
      <c r="R3449" s="0" t="str">
        <f aca="false">IF($D3449&lt;&gt;"","["&amp;$E3449&amp;"]"&amp;"|"&amp;$Q3449&amp;"|"&amp;$K3449&amp;"|"&amp;$G3449&amp;"|"&amp;IF($G3449="TX_CURR_SUBNAT.R","CY2022Q4",$M3449),"")</f>
        <v>[vA4NcHxfMBq]|15-24|Female|Untreated_PLHIV_Attend.T_1|CY2023Q3</v>
      </c>
    </row>
    <row r="3450" customFormat="false" ht="15" hidden="false" customHeight="false" outlineLevel="0" collapsed="false">
      <c r="D3450" s="0" t="s">
        <v>120</v>
      </c>
      <c r="E3450" s="0" t="s">
        <v>121</v>
      </c>
      <c r="F3450" s="0" t="s">
        <v>122</v>
      </c>
      <c r="G3450" s="0" t="s">
        <v>151</v>
      </c>
      <c r="H3450" s="0" t="s">
        <v>151</v>
      </c>
      <c r="I3450" s="0" t="s">
        <v>41</v>
      </c>
      <c r="J3450" s="0" t="s">
        <v>42</v>
      </c>
      <c r="K3450" s="0" t="s">
        <v>30</v>
      </c>
      <c r="L3450" s="0" t="s">
        <v>31</v>
      </c>
      <c r="M3450" s="0" t="s">
        <v>140</v>
      </c>
      <c r="N3450" s="0" t="n">
        <v>1446</v>
      </c>
      <c r="O3450" s="10" t="n">
        <v>0.297246276866645</v>
      </c>
      <c r="P3450" s="10" t="n">
        <v>0.430103979306296</v>
      </c>
      <c r="Q3450" s="0" t="str">
        <f aca="false">SUBSTITUTE(SUBSTITUTE($I3450,CHAR(61),""),CHAR(34),"")</f>
        <v>25-34</v>
      </c>
      <c r="R3450" s="0" t="str">
        <f aca="false">IF($D3450&lt;&gt;"","["&amp;$E3450&amp;"]"&amp;"|"&amp;$Q3450&amp;"|"&amp;$K3450&amp;"|"&amp;$G3450&amp;"|"&amp;IF($G3450="TX_CURR_SUBNAT.R","CY2022Q4",$M3450),"")</f>
        <v>[vA4NcHxfMBq]|25-34|Female|Untreated_PLHIV_Attend.T_1|CY2023Q3</v>
      </c>
    </row>
    <row r="3451" customFormat="false" ht="15" hidden="false" customHeight="false" outlineLevel="0" collapsed="false">
      <c r="D3451" s="0" t="s">
        <v>120</v>
      </c>
      <c r="E3451" s="0" t="s">
        <v>121</v>
      </c>
      <c r="F3451" s="0" t="s">
        <v>122</v>
      </c>
      <c r="G3451" s="0" t="s">
        <v>151</v>
      </c>
      <c r="H3451" s="0" t="s">
        <v>151</v>
      </c>
      <c r="I3451" s="0" t="s">
        <v>43</v>
      </c>
      <c r="J3451" s="0" t="s">
        <v>44</v>
      </c>
      <c r="K3451" s="0" t="s">
        <v>30</v>
      </c>
      <c r="L3451" s="0" t="s">
        <v>31</v>
      </c>
      <c r="M3451" s="0" t="s">
        <v>140</v>
      </c>
      <c r="N3451" s="0" t="n">
        <v>1754</v>
      </c>
      <c r="O3451" s="10" t="n">
        <v>0.470173654146492</v>
      </c>
      <c r="P3451" s="10" t="n">
        <v>0.430103979306296</v>
      </c>
      <c r="Q3451" s="0" t="str">
        <f aca="false">SUBSTITUTE(SUBSTITUTE($I3451,CHAR(61),""),CHAR(34),"")</f>
        <v>35-49</v>
      </c>
      <c r="R3451" s="0" t="str">
        <f aca="false">IF($D3451&lt;&gt;"","["&amp;$E3451&amp;"]"&amp;"|"&amp;$Q3451&amp;"|"&amp;$K3451&amp;"|"&amp;$G3451&amp;"|"&amp;IF($G3451="TX_CURR_SUBNAT.R","CY2022Q4",$M3451),"")</f>
        <v>[vA4NcHxfMBq]|35-49|Female|Untreated_PLHIV_Attend.T_1|CY2023Q3</v>
      </c>
    </row>
    <row r="3452" customFormat="false" ht="15" hidden="false" customHeight="false" outlineLevel="0" collapsed="false">
      <c r="D3452" s="0" t="s">
        <v>120</v>
      </c>
      <c r="E3452" s="0" t="s">
        <v>121</v>
      </c>
      <c r="F3452" s="0" t="s">
        <v>122</v>
      </c>
      <c r="G3452" s="0" t="s">
        <v>151</v>
      </c>
      <c r="H3452" s="0" t="s">
        <v>151</v>
      </c>
      <c r="I3452" s="0" t="s">
        <v>45</v>
      </c>
      <c r="J3452" s="0" t="s">
        <v>46</v>
      </c>
      <c r="K3452" s="0" t="s">
        <v>30</v>
      </c>
      <c r="L3452" s="0" t="s">
        <v>31</v>
      </c>
      <c r="M3452" s="0" t="s">
        <v>140</v>
      </c>
      <c r="N3452" s="0" t="n">
        <v>1661</v>
      </c>
      <c r="O3452" s="10" t="n">
        <v>0.809834676561877</v>
      </c>
      <c r="P3452" s="10" t="n">
        <v>0.430103979306296</v>
      </c>
      <c r="Q3452" s="0" t="str">
        <f aca="false">SUBSTITUTE(SUBSTITUTE($I3452,CHAR(61),""),CHAR(34),"")</f>
        <v>50+</v>
      </c>
      <c r="R3452" s="0" t="str">
        <f aca="false">IF($D3452&lt;&gt;"","["&amp;$E3452&amp;"]"&amp;"|"&amp;$Q3452&amp;"|"&amp;$K3452&amp;"|"&amp;$G3452&amp;"|"&amp;IF($G3452="TX_CURR_SUBNAT.R","CY2022Q4",$M3452),"")</f>
        <v>[vA4NcHxfMBq]|50+|Female|Untreated_PLHIV_Attend.T_1|CY2023Q3</v>
      </c>
    </row>
    <row r="3453" customFormat="false" ht="15" hidden="false" customHeight="false" outlineLevel="0" collapsed="false">
      <c r="D3453" s="0" t="s">
        <v>120</v>
      </c>
      <c r="E3453" s="0" t="s">
        <v>121</v>
      </c>
      <c r="F3453" s="0" t="s">
        <v>122</v>
      </c>
      <c r="G3453" s="0" t="s">
        <v>151</v>
      </c>
      <c r="H3453" s="0" t="s">
        <v>151</v>
      </c>
      <c r="I3453" s="0" t="s">
        <v>28</v>
      </c>
      <c r="J3453" s="0" t="s">
        <v>29</v>
      </c>
      <c r="K3453" s="0" t="s">
        <v>48</v>
      </c>
      <c r="L3453" s="0" t="s">
        <v>49</v>
      </c>
      <c r="M3453" s="0" t="s">
        <v>140</v>
      </c>
      <c r="N3453" s="0" t="n">
        <v>1138</v>
      </c>
      <c r="O3453" s="10" t="n">
        <v>0.920774045167491</v>
      </c>
      <c r="P3453" s="10" t="n">
        <v>0.430103979306296</v>
      </c>
      <c r="Q3453" s="0" t="str">
        <f aca="false">SUBSTITUTE(SUBSTITUTE($I3453,CHAR(61),""),CHAR(34),"")</f>
        <v>&lt;01</v>
      </c>
      <c r="R3453" s="0" t="str">
        <f aca="false">IF($D3453&lt;&gt;"","["&amp;$E3453&amp;"]"&amp;"|"&amp;$Q3453&amp;"|"&amp;$K3453&amp;"|"&amp;$G3453&amp;"|"&amp;IF($G3453="TX_CURR_SUBNAT.R","CY2022Q4",$M3453),"")</f>
        <v>[vA4NcHxfMBq]|&lt;01|Male|Untreated_PLHIV_Attend.T_1|CY2023Q3</v>
      </c>
    </row>
    <row r="3454" customFormat="false" ht="15" hidden="false" customHeight="false" outlineLevel="0" collapsed="false">
      <c r="D3454" s="0" t="s">
        <v>120</v>
      </c>
      <c r="E3454" s="0" t="s">
        <v>121</v>
      </c>
      <c r="F3454" s="0" t="s">
        <v>122</v>
      </c>
      <c r="G3454" s="0" t="s">
        <v>151</v>
      </c>
      <c r="H3454" s="0" t="s">
        <v>151</v>
      </c>
      <c r="I3454" s="0" t="s">
        <v>33</v>
      </c>
      <c r="J3454" s="0" t="s">
        <v>34</v>
      </c>
      <c r="K3454" s="0" t="s">
        <v>48</v>
      </c>
      <c r="L3454" s="0" t="s">
        <v>49</v>
      </c>
      <c r="M3454" s="0" t="s">
        <v>140</v>
      </c>
      <c r="N3454" s="0" t="n">
        <v>1443</v>
      </c>
      <c r="O3454" s="10" t="n">
        <v>0.75449569709599</v>
      </c>
      <c r="P3454" s="10" t="n">
        <v>0.430103979306296</v>
      </c>
      <c r="Q3454" s="0" t="str">
        <f aca="false">SUBSTITUTE(SUBSTITUTE($I3454,CHAR(61),""),CHAR(34),"")</f>
        <v>01-09</v>
      </c>
      <c r="R3454" s="0" t="str">
        <f aca="false">IF($D3454&lt;&gt;"","["&amp;$E3454&amp;"]"&amp;"|"&amp;$Q3454&amp;"|"&amp;$K3454&amp;"|"&amp;$G3454&amp;"|"&amp;IF($G3454="TX_CURR_SUBNAT.R","CY2022Q4",$M3454),"")</f>
        <v>[vA4NcHxfMBq]|01-09|Male|Untreated_PLHIV_Attend.T_1|CY2023Q3</v>
      </c>
    </row>
    <row r="3455" customFormat="false" ht="15" hidden="false" customHeight="false" outlineLevel="0" collapsed="false">
      <c r="D3455" s="0" t="s">
        <v>120</v>
      </c>
      <c r="E3455" s="0" t="s">
        <v>121</v>
      </c>
      <c r="F3455" s="0" t="s">
        <v>122</v>
      </c>
      <c r="G3455" s="0" t="s">
        <v>151</v>
      </c>
      <c r="H3455" s="0" t="s">
        <v>151</v>
      </c>
      <c r="I3455" s="0" t="s">
        <v>36</v>
      </c>
      <c r="J3455" s="0" t="s">
        <v>37</v>
      </c>
      <c r="K3455" s="0" t="s">
        <v>48</v>
      </c>
      <c r="L3455" s="0" t="s">
        <v>49</v>
      </c>
      <c r="M3455" s="0" t="s">
        <v>140</v>
      </c>
      <c r="N3455" s="0" t="n">
        <v>1345</v>
      </c>
      <c r="O3455" s="10" t="n">
        <v>0.98237532377243</v>
      </c>
      <c r="P3455" s="10" t="n">
        <v>0.430103979306296</v>
      </c>
      <c r="Q3455" s="0" t="str">
        <f aca="false">SUBSTITUTE(SUBSTITUTE($I3455,CHAR(61),""),CHAR(34),"")</f>
        <v>10-14</v>
      </c>
      <c r="R3455" s="0" t="str">
        <f aca="false">IF($D3455&lt;&gt;"","["&amp;$E3455&amp;"]"&amp;"|"&amp;$Q3455&amp;"|"&amp;$K3455&amp;"|"&amp;$G3455&amp;"|"&amp;IF($G3455="TX_CURR_SUBNAT.R","CY2022Q4",$M3455),"")</f>
        <v>[vA4NcHxfMBq]|10-14|Male|Untreated_PLHIV_Attend.T_1|CY2023Q3</v>
      </c>
    </row>
    <row r="3456" customFormat="false" ht="15" hidden="false" customHeight="false" outlineLevel="0" collapsed="false">
      <c r="D3456" s="0" t="s">
        <v>120</v>
      </c>
      <c r="E3456" s="0" t="s">
        <v>121</v>
      </c>
      <c r="F3456" s="0" t="s">
        <v>122</v>
      </c>
      <c r="G3456" s="0" t="s">
        <v>151</v>
      </c>
      <c r="H3456" s="0" t="s">
        <v>151</v>
      </c>
      <c r="I3456" s="0" t="s">
        <v>38</v>
      </c>
      <c r="J3456" s="0" t="s">
        <v>39</v>
      </c>
      <c r="K3456" s="0" t="s">
        <v>48</v>
      </c>
      <c r="L3456" s="0" t="s">
        <v>49</v>
      </c>
      <c r="M3456" s="0" t="s">
        <v>140</v>
      </c>
      <c r="N3456" s="0" t="n">
        <v>972</v>
      </c>
      <c r="O3456" s="10" t="n">
        <v>0.875800766749308</v>
      </c>
      <c r="P3456" s="10" t="n">
        <v>0.430103979306296</v>
      </c>
      <c r="Q3456" s="0" t="str">
        <f aca="false">SUBSTITUTE(SUBSTITUTE($I3456,CHAR(61),""),CHAR(34),"")</f>
        <v>15-24</v>
      </c>
      <c r="R3456" s="0" t="str">
        <f aca="false">IF($D3456&lt;&gt;"","["&amp;$E3456&amp;"]"&amp;"|"&amp;$Q3456&amp;"|"&amp;$K3456&amp;"|"&amp;$G3456&amp;"|"&amp;IF($G3456="TX_CURR_SUBNAT.R","CY2022Q4",$M3456),"")</f>
        <v>[vA4NcHxfMBq]|15-24|Male|Untreated_PLHIV_Attend.T_1|CY2023Q3</v>
      </c>
    </row>
    <row r="3457" customFormat="false" ht="15" hidden="false" customHeight="false" outlineLevel="0" collapsed="false">
      <c r="D3457" s="0" t="s">
        <v>120</v>
      </c>
      <c r="E3457" s="0" t="s">
        <v>121</v>
      </c>
      <c r="F3457" s="0" t="s">
        <v>122</v>
      </c>
      <c r="G3457" s="0" t="s">
        <v>151</v>
      </c>
      <c r="H3457" s="0" t="s">
        <v>151</v>
      </c>
      <c r="I3457" s="0" t="s">
        <v>41</v>
      </c>
      <c r="J3457" s="0" t="s">
        <v>42</v>
      </c>
      <c r="K3457" s="0" t="s">
        <v>48</v>
      </c>
      <c r="L3457" s="0" t="s">
        <v>49</v>
      </c>
      <c r="M3457" s="0" t="s">
        <v>140</v>
      </c>
      <c r="N3457" s="0" t="n">
        <v>812</v>
      </c>
      <c r="O3457" s="10" t="n">
        <v>0.727947669802234</v>
      </c>
      <c r="P3457" s="10" t="n">
        <v>0.430103979306296</v>
      </c>
      <c r="Q3457" s="0" t="str">
        <f aca="false">SUBSTITUTE(SUBSTITUTE($I3457,CHAR(61),""),CHAR(34),"")</f>
        <v>25-34</v>
      </c>
      <c r="R3457" s="0" t="str">
        <f aca="false">IF($D3457&lt;&gt;"","["&amp;$E3457&amp;"]"&amp;"|"&amp;$Q3457&amp;"|"&amp;$K3457&amp;"|"&amp;$G3457&amp;"|"&amp;IF($G3457="TX_CURR_SUBNAT.R","CY2022Q4",$M3457),"")</f>
        <v>[vA4NcHxfMBq]|25-34|Male|Untreated_PLHIV_Attend.T_1|CY2023Q3</v>
      </c>
    </row>
    <row r="3458" customFormat="false" ht="15" hidden="false" customHeight="false" outlineLevel="0" collapsed="false">
      <c r="D3458" s="0" t="s">
        <v>120</v>
      </c>
      <c r="E3458" s="0" t="s">
        <v>121</v>
      </c>
      <c r="F3458" s="0" t="s">
        <v>122</v>
      </c>
      <c r="G3458" s="0" t="s">
        <v>151</v>
      </c>
      <c r="H3458" s="0" t="s">
        <v>151</v>
      </c>
      <c r="I3458" s="0" t="s">
        <v>43</v>
      </c>
      <c r="J3458" s="0" t="s">
        <v>44</v>
      </c>
      <c r="K3458" s="0" t="s">
        <v>48</v>
      </c>
      <c r="L3458" s="0" t="s">
        <v>49</v>
      </c>
      <c r="M3458" s="0" t="s">
        <v>140</v>
      </c>
      <c r="N3458" s="0" t="n">
        <v>1300</v>
      </c>
      <c r="O3458" s="10" t="n">
        <v>0.318881996208802</v>
      </c>
      <c r="P3458" s="10" t="n">
        <v>0.430103979306296</v>
      </c>
      <c r="Q3458" s="0" t="str">
        <f aca="false">SUBSTITUTE(SUBSTITUTE($I3458,CHAR(61),""),CHAR(34),"")</f>
        <v>35-49</v>
      </c>
      <c r="R3458" s="0" t="str">
        <f aca="false">IF($D3458&lt;&gt;"","["&amp;$E3458&amp;"]"&amp;"|"&amp;$Q3458&amp;"|"&amp;$K3458&amp;"|"&amp;$G3458&amp;"|"&amp;IF($G3458="TX_CURR_SUBNAT.R","CY2022Q4",$M3458),"")</f>
        <v>[vA4NcHxfMBq]|35-49|Male|Untreated_PLHIV_Attend.T_1|CY2023Q3</v>
      </c>
    </row>
    <row r="3459" customFormat="false" ht="15" hidden="false" customHeight="false" outlineLevel="0" collapsed="false">
      <c r="D3459" s="0" t="s">
        <v>120</v>
      </c>
      <c r="E3459" s="0" t="s">
        <v>121</v>
      </c>
      <c r="F3459" s="0" t="s">
        <v>122</v>
      </c>
      <c r="G3459" s="0" t="s">
        <v>151</v>
      </c>
      <c r="H3459" s="0" t="s">
        <v>151</v>
      </c>
      <c r="I3459" s="0" t="s">
        <v>45</v>
      </c>
      <c r="J3459" s="0" t="s">
        <v>46</v>
      </c>
      <c r="K3459" s="0" t="s">
        <v>48</v>
      </c>
      <c r="L3459" s="0" t="s">
        <v>49</v>
      </c>
      <c r="M3459" s="0" t="s">
        <v>140</v>
      </c>
      <c r="N3459" s="0" t="n">
        <v>902</v>
      </c>
      <c r="O3459" s="10" t="n">
        <v>0.911368679255247</v>
      </c>
      <c r="P3459" s="10" t="n">
        <v>0.430103979306296</v>
      </c>
      <c r="Q3459" s="0" t="str">
        <f aca="false">SUBSTITUTE(SUBSTITUTE($I3459,CHAR(61),""),CHAR(34),"")</f>
        <v>50+</v>
      </c>
      <c r="R3459" s="0" t="str">
        <f aca="false">IF($D3459&lt;&gt;"","["&amp;$E3459&amp;"]"&amp;"|"&amp;$Q3459&amp;"|"&amp;$K3459&amp;"|"&amp;$G3459&amp;"|"&amp;IF($G3459="TX_CURR_SUBNAT.R","CY2022Q4",$M3459),"")</f>
        <v>[vA4NcHxfMBq]|50+|Male|Untreated_PLHIV_Attend.T_1|CY2023Q3</v>
      </c>
    </row>
    <row r="3460" customFormat="false" ht="15" hidden="false" customHeight="false" outlineLevel="0" collapsed="false">
      <c r="D3460" s="0" t="s">
        <v>123</v>
      </c>
      <c r="E3460" s="0" t="s">
        <v>124</v>
      </c>
      <c r="F3460" s="0" t="s">
        <v>125</v>
      </c>
      <c r="G3460" s="0" t="s">
        <v>151</v>
      </c>
      <c r="H3460" s="0" t="s">
        <v>151</v>
      </c>
      <c r="I3460" s="0" t="s">
        <v>28</v>
      </c>
      <c r="J3460" s="0" t="s">
        <v>29</v>
      </c>
      <c r="K3460" s="0" t="s">
        <v>30</v>
      </c>
      <c r="L3460" s="0" t="s">
        <v>31</v>
      </c>
      <c r="M3460" s="0" t="s">
        <v>140</v>
      </c>
      <c r="N3460" s="0" t="n">
        <v>1668</v>
      </c>
      <c r="O3460" s="10" t="n">
        <v>0.948886955855414</v>
      </c>
      <c r="P3460" s="10" t="n">
        <v>0.419500603340566</v>
      </c>
      <c r="Q3460" s="0" t="str">
        <f aca="false">SUBSTITUTE(SUBSTITUTE($I3460,CHAR(61),""),CHAR(34),"")</f>
        <v>&lt;01</v>
      </c>
      <c r="R3460" s="0" t="str">
        <f aca="false">IF($D3460&lt;&gt;"","["&amp;$E3460&amp;"]"&amp;"|"&amp;$Q3460&amp;"|"&amp;$K3460&amp;"|"&amp;$G3460&amp;"|"&amp;IF($G3460="TX_CURR_SUBNAT.R","CY2022Q4",$M3460),"")</f>
        <v>[E7zpfyBt7Tw]|&lt;01|Female|Untreated_PLHIV_Attend.T_1|CY2023Q3</v>
      </c>
    </row>
    <row r="3461" customFormat="false" ht="15" hidden="false" customHeight="false" outlineLevel="0" collapsed="false">
      <c r="D3461" s="0" t="s">
        <v>123</v>
      </c>
      <c r="E3461" s="0" t="s">
        <v>124</v>
      </c>
      <c r="F3461" s="0" t="s">
        <v>125</v>
      </c>
      <c r="G3461" s="0" t="s">
        <v>151</v>
      </c>
      <c r="H3461" s="0" t="s">
        <v>151</v>
      </c>
      <c r="I3461" s="0" t="s">
        <v>33</v>
      </c>
      <c r="J3461" s="0" t="s">
        <v>34</v>
      </c>
      <c r="K3461" s="0" t="s">
        <v>30</v>
      </c>
      <c r="L3461" s="0" t="s">
        <v>31</v>
      </c>
      <c r="M3461" s="0" t="s">
        <v>140</v>
      </c>
      <c r="N3461" s="0" t="n">
        <v>503</v>
      </c>
      <c r="O3461" s="10" t="n">
        <v>0.977968322578818</v>
      </c>
      <c r="P3461" s="10" t="n">
        <v>0.419500603340566</v>
      </c>
      <c r="Q3461" s="0" t="str">
        <f aca="false">SUBSTITUTE(SUBSTITUTE($I3461,CHAR(61),""),CHAR(34),"")</f>
        <v>01-09</v>
      </c>
      <c r="R3461" s="0" t="str">
        <f aca="false">IF($D3461&lt;&gt;"","["&amp;$E3461&amp;"]"&amp;"|"&amp;$Q3461&amp;"|"&amp;$K3461&amp;"|"&amp;$G3461&amp;"|"&amp;IF($G3461="TX_CURR_SUBNAT.R","CY2022Q4",$M3461),"")</f>
        <v>[E7zpfyBt7Tw]|01-09|Female|Untreated_PLHIV_Attend.T_1|CY2023Q3</v>
      </c>
    </row>
    <row r="3462" customFormat="false" ht="15" hidden="false" customHeight="false" outlineLevel="0" collapsed="false">
      <c r="D3462" s="0" t="s">
        <v>123</v>
      </c>
      <c r="E3462" s="0" t="s">
        <v>124</v>
      </c>
      <c r="F3462" s="0" t="s">
        <v>125</v>
      </c>
      <c r="G3462" s="0" t="s">
        <v>151</v>
      </c>
      <c r="H3462" s="0" t="s">
        <v>151</v>
      </c>
      <c r="I3462" s="0" t="s">
        <v>36</v>
      </c>
      <c r="J3462" s="0" t="s">
        <v>37</v>
      </c>
      <c r="K3462" s="0" t="s">
        <v>30</v>
      </c>
      <c r="L3462" s="0" t="s">
        <v>31</v>
      </c>
      <c r="M3462" s="0" t="s">
        <v>140</v>
      </c>
      <c r="N3462" s="0" t="n">
        <v>979</v>
      </c>
      <c r="O3462" s="10" t="n">
        <v>0.49533734517172</v>
      </c>
      <c r="P3462" s="10" t="n">
        <v>0.419500603340566</v>
      </c>
      <c r="Q3462" s="0" t="str">
        <f aca="false">SUBSTITUTE(SUBSTITUTE($I3462,CHAR(61),""),CHAR(34),"")</f>
        <v>10-14</v>
      </c>
      <c r="R3462" s="0" t="str">
        <f aca="false">IF($D3462&lt;&gt;"","["&amp;$E3462&amp;"]"&amp;"|"&amp;$Q3462&amp;"|"&amp;$K3462&amp;"|"&amp;$G3462&amp;"|"&amp;IF($G3462="TX_CURR_SUBNAT.R","CY2022Q4",$M3462),"")</f>
        <v>[E7zpfyBt7Tw]|10-14|Female|Untreated_PLHIV_Attend.T_1|CY2023Q3</v>
      </c>
    </row>
    <row r="3463" customFormat="false" ht="15" hidden="false" customHeight="false" outlineLevel="0" collapsed="false">
      <c r="D3463" s="0" t="s">
        <v>123</v>
      </c>
      <c r="E3463" s="0" t="s">
        <v>124</v>
      </c>
      <c r="F3463" s="0" t="s">
        <v>125</v>
      </c>
      <c r="G3463" s="0" t="s">
        <v>151</v>
      </c>
      <c r="H3463" s="0" t="s">
        <v>151</v>
      </c>
      <c r="I3463" s="0" t="s">
        <v>38</v>
      </c>
      <c r="J3463" s="0" t="s">
        <v>39</v>
      </c>
      <c r="K3463" s="0" t="s">
        <v>30</v>
      </c>
      <c r="L3463" s="0" t="s">
        <v>31</v>
      </c>
      <c r="M3463" s="0" t="s">
        <v>140</v>
      </c>
      <c r="N3463" s="0" t="n">
        <v>521</v>
      </c>
      <c r="O3463" s="10" t="n">
        <v>0.864530893508345</v>
      </c>
      <c r="P3463" s="10" t="n">
        <v>0.419500603340566</v>
      </c>
      <c r="Q3463" s="0" t="str">
        <f aca="false">SUBSTITUTE(SUBSTITUTE($I3463,CHAR(61),""),CHAR(34),"")</f>
        <v>15-24</v>
      </c>
      <c r="R3463" s="0" t="str">
        <f aca="false">IF($D3463&lt;&gt;"","["&amp;$E3463&amp;"]"&amp;"|"&amp;$Q3463&amp;"|"&amp;$K3463&amp;"|"&amp;$G3463&amp;"|"&amp;IF($G3463="TX_CURR_SUBNAT.R","CY2022Q4",$M3463),"")</f>
        <v>[E7zpfyBt7Tw]|15-24|Female|Untreated_PLHIV_Attend.T_1|CY2023Q3</v>
      </c>
    </row>
    <row r="3464" customFormat="false" ht="15" hidden="false" customHeight="false" outlineLevel="0" collapsed="false">
      <c r="D3464" s="0" t="s">
        <v>123</v>
      </c>
      <c r="E3464" s="0" t="s">
        <v>124</v>
      </c>
      <c r="F3464" s="0" t="s">
        <v>125</v>
      </c>
      <c r="G3464" s="0" t="s">
        <v>151</v>
      </c>
      <c r="H3464" s="0" t="s">
        <v>151</v>
      </c>
      <c r="I3464" s="0" t="s">
        <v>41</v>
      </c>
      <c r="J3464" s="0" t="s">
        <v>42</v>
      </c>
      <c r="K3464" s="0" t="s">
        <v>30</v>
      </c>
      <c r="L3464" s="0" t="s">
        <v>31</v>
      </c>
      <c r="M3464" s="0" t="s">
        <v>140</v>
      </c>
      <c r="N3464" s="0" t="n">
        <v>1477</v>
      </c>
      <c r="O3464" s="10" t="n">
        <v>0.350071900291368</v>
      </c>
      <c r="P3464" s="10" t="n">
        <v>0.419500603340566</v>
      </c>
      <c r="Q3464" s="0" t="str">
        <f aca="false">SUBSTITUTE(SUBSTITUTE($I3464,CHAR(61),""),CHAR(34),"")</f>
        <v>25-34</v>
      </c>
      <c r="R3464" s="0" t="str">
        <f aca="false">IF($D3464&lt;&gt;"","["&amp;$E3464&amp;"]"&amp;"|"&amp;$Q3464&amp;"|"&amp;$K3464&amp;"|"&amp;$G3464&amp;"|"&amp;IF($G3464="TX_CURR_SUBNAT.R","CY2022Q4",$M3464),"")</f>
        <v>[E7zpfyBt7Tw]|25-34|Female|Untreated_PLHIV_Attend.T_1|CY2023Q3</v>
      </c>
    </row>
    <row r="3465" customFormat="false" ht="15" hidden="false" customHeight="false" outlineLevel="0" collapsed="false">
      <c r="D3465" s="0" t="s">
        <v>123</v>
      </c>
      <c r="E3465" s="0" t="s">
        <v>124</v>
      </c>
      <c r="F3465" s="0" t="s">
        <v>125</v>
      </c>
      <c r="G3465" s="0" t="s">
        <v>151</v>
      </c>
      <c r="H3465" s="0" t="s">
        <v>151</v>
      </c>
      <c r="I3465" s="0" t="s">
        <v>43</v>
      </c>
      <c r="J3465" s="0" t="s">
        <v>44</v>
      </c>
      <c r="K3465" s="0" t="s">
        <v>30</v>
      </c>
      <c r="L3465" s="0" t="s">
        <v>31</v>
      </c>
      <c r="M3465" s="0" t="s">
        <v>140</v>
      </c>
      <c r="N3465" s="0" t="n">
        <v>984</v>
      </c>
      <c r="O3465" s="10" t="n">
        <v>0.285060127265751</v>
      </c>
      <c r="P3465" s="10" t="n">
        <v>0.419500603340566</v>
      </c>
      <c r="Q3465" s="0" t="str">
        <f aca="false">SUBSTITUTE(SUBSTITUTE($I3465,CHAR(61),""),CHAR(34),"")</f>
        <v>35-49</v>
      </c>
      <c r="R3465" s="0" t="str">
        <f aca="false">IF($D3465&lt;&gt;"","["&amp;$E3465&amp;"]"&amp;"|"&amp;$Q3465&amp;"|"&amp;$K3465&amp;"|"&amp;$G3465&amp;"|"&amp;IF($G3465="TX_CURR_SUBNAT.R","CY2022Q4",$M3465),"")</f>
        <v>[E7zpfyBt7Tw]|35-49|Female|Untreated_PLHIV_Attend.T_1|CY2023Q3</v>
      </c>
    </row>
    <row r="3466" customFormat="false" ht="15" hidden="false" customHeight="false" outlineLevel="0" collapsed="false">
      <c r="D3466" s="0" t="s">
        <v>123</v>
      </c>
      <c r="E3466" s="0" t="s">
        <v>124</v>
      </c>
      <c r="F3466" s="0" t="s">
        <v>125</v>
      </c>
      <c r="G3466" s="0" t="s">
        <v>151</v>
      </c>
      <c r="H3466" s="0" t="s">
        <v>151</v>
      </c>
      <c r="I3466" s="0" t="s">
        <v>45</v>
      </c>
      <c r="J3466" s="0" t="s">
        <v>46</v>
      </c>
      <c r="K3466" s="0" t="s">
        <v>30</v>
      </c>
      <c r="L3466" s="0" t="s">
        <v>31</v>
      </c>
      <c r="M3466" s="0" t="s">
        <v>140</v>
      </c>
      <c r="N3466" s="0" t="n">
        <v>1067</v>
      </c>
      <c r="O3466" s="10" t="n">
        <v>0.89887271495536</v>
      </c>
      <c r="P3466" s="10" t="n">
        <v>0.419500603340566</v>
      </c>
      <c r="Q3466" s="0" t="str">
        <f aca="false">SUBSTITUTE(SUBSTITUTE($I3466,CHAR(61),""),CHAR(34),"")</f>
        <v>50+</v>
      </c>
      <c r="R3466" s="0" t="str">
        <f aca="false">IF($D3466&lt;&gt;"","["&amp;$E3466&amp;"]"&amp;"|"&amp;$Q3466&amp;"|"&amp;$K3466&amp;"|"&amp;$G3466&amp;"|"&amp;IF($G3466="TX_CURR_SUBNAT.R","CY2022Q4",$M3466),"")</f>
        <v>[E7zpfyBt7Tw]|50+|Female|Untreated_PLHIV_Attend.T_1|CY2023Q3</v>
      </c>
    </row>
    <row r="3467" customFormat="false" ht="15" hidden="false" customHeight="false" outlineLevel="0" collapsed="false">
      <c r="D3467" s="0" t="s">
        <v>123</v>
      </c>
      <c r="E3467" s="0" t="s">
        <v>124</v>
      </c>
      <c r="F3467" s="0" t="s">
        <v>125</v>
      </c>
      <c r="G3467" s="0" t="s">
        <v>151</v>
      </c>
      <c r="H3467" s="0" t="s">
        <v>151</v>
      </c>
      <c r="I3467" s="0" t="s">
        <v>28</v>
      </c>
      <c r="J3467" s="0" t="s">
        <v>29</v>
      </c>
      <c r="K3467" s="0" t="s">
        <v>48</v>
      </c>
      <c r="L3467" s="0" t="s">
        <v>49</v>
      </c>
      <c r="M3467" s="0" t="s">
        <v>140</v>
      </c>
      <c r="N3467" s="0" t="n">
        <v>1002</v>
      </c>
      <c r="O3467" s="10" t="n">
        <v>0.517550657503307</v>
      </c>
      <c r="P3467" s="10" t="n">
        <v>0.419500603340566</v>
      </c>
      <c r="Q3467" s="0" t="str">
        <f aca="false">SUBSTITUTE(SUBSTITUTE($I3467,CHAR(61),""),CHAR(34),"")</f>
        <v>&lt;01</v>
      </c>
      <c r="R3467" s="0" t="str">
        <f aca="false">IF($D3467&lt;&gt;"","["&amp;$E3467&amp;"]"&amp;"|"&amp;$Q3467&amp;"|"&amp;$K3467&amp;"|"&amp;$G3467&amp;"|"&amp;IF($G3467="TX_CURR_SUBNAT.R","CY2022Q4",$M3467),"")</f>
        <v>[E7zpfyBt7Tw]|&lt;01|Male|Untreated_PLHIV_Attend.T_1|CY2023Q3</v>
      </c>
    </row>
    <row r="3468" customFormat="false" ht="15" hidden="false" customHeight="false" outlineLevel="0" collapsed="false">
      <c r="D3468" s="0" t="s">
        <v>123</v>
      </c>
      <c r="E3468" s="0" t="s">
        <v>124</v>
      </c>
      <c r="F3468" s="0" t="s">
        <v>125</v>
      </c>
      <c r="G3468" s="0" t="s">
        <v>151</v>
      </c>
      <c r="H3468" s="0" t="s">
        <v>151</v>
      </c>
      <c r="I3468" s="0" t="s">
        <v>33</v>
      </c>
      <c r="J3468" s="0" t="s">
        <v>34</v>
      </c>
      <c r="K3468" s="0" t="s">
        <v>48</v>
      </c>
      <c r="L3468" s="0" t="s">
        <v>49</v>
      </c>
      <c r="M3468" s="0" t="s">
        <v>140</v>
      </c>
      <c r="N3468" s="0" t="n">
        <v>1382</v>
      </c>
      <c r="O3468" s="10" t="n">
        <v>0.715912045212463</v>
      </c>
      <c r="P3468" s="10" t="n">
        <v>0.419500603340566</v>
      </c>
      <c r="Q3468" s="0" t="str">
        <f aca="false">SUBSTITUTE(SUBSTITUTE($I3468,CHAR(61),""),CHAR(34),"")</f>
        <v>01-09</v>
      </c>
      <c r="R3468" s="0" t="str">
        <f aca="false">IF($D3468&lt;&gt;"","["&amp;$E3468&amp;"]"&amp;"|"&amp;$Q3468&amp;"|"&amp;$K3468&amp;"|"&amp;$G3468&amp;"|"&amp;IF($G3468="TX_CURR_SUBNAT.R","CY2022Q4",$M3468),"")</f>
        <v>[E7zpfyBt7Tw]|01-09|Male|Untreated_PLHIV_Attend.T_1|CY2023Q3</v>
      </c>
    </row>
    <row r="3469" customFormat="false" ht="15" hidden="false" customHeight="false" outlineLevel="0" collapsed="false">
      <c r="D3469" s="0" t="s">
        <v>123</v>
      </c>
      <c r="E3469" s="0" t="s">
        <v>124</v>
      </c>
      <c r="F3469" s="0" t="s">
        <v>125</v>
      </c>
      <c r="G3469" s="0" t="s">
        <v>151</v>
      </c>
      <c r="H3469" s="0" t="s">
        <v>151</v>
      </c>
      <c r="I3469" s="0" t="s">
        <v>36</v>
      </c>
      <c r="J3469" s="0" t="s">
        <v>37</v>
      </c>
      <c r="K3469" s="0" t="s">
        <v>48</v>
      </c>
      <c r="L3469" s="0" t="s">
        <v>49</v>
      </c>
      <c r="M3469" s="0" t="s">
        <v>140</v>
      </c>
      <c r="N3469" s="0" t="n">
        <v>982</v>
      </c>
      <c r="O3469" s="10" t="n">
        <v>0.0449817068874836</v>
      </c>
      <c r="P3469" s="10" t="n">
        <v>0.419500603340566</v>
      </c>
      <c r="Q3469" s="0" t="str">
        <f aca="false">SUBSTITUTE(SUBSTITUTE($I3469,CHAR(61),""),CHAR(34),"")</f>
        <v>10-14</v>
      </c>
      <c r="R3469" s="0" t="str">
        <f aca="false">IF($D3469&lt;&gt;"","["&amp;$E3469&amp;"]"&amp;"|"&amp;$Q3469&amp;"|"&amp;$K3469&amp;"|"&amp;$G3469&amp;"|"&amp;IF($G3469="TX_CURR_SUBNAT.R","CY2022Q4",$M3469),"")</f>
        <v>[E7zpfyBt7Tw]|10-14|Male|Untreated_PLHIV_Attend.T_1|CY2023Q3</v>
      </c>
    </row>
    <row r="3470" customFormat="false" ht="15" hidden="false" customHeight="false" outlineLevel="0" collapsed="false">
      <c r="D3470" s="0" t="s">
        <v>123</v>
      </c>
      <c r="E3470" s="0" t="s">
        <v>124</v>
      </c>
      <c r="F3470" s="0" t="s">
        <v>125</v>
      </c>
      <c r="G3470" s="0" t="s">
        <v>151</v>
      </c>
      <c r="H3470" s="0" t="s">
        <v>151</v>
      </c>
      <c r="I3470" s="0" t="s">
        <v>38</v>
      </c>
      <c r="J3470" s="0" t="s">
        <v>39</v>
      </c>
      <c r="K3470" s="0" t="s">
        <v>48</v>
      </c>
      <c r="L3470" s="0" t="s">
        <v>49</v>
      </c>
      <c r="M3470" s="0" t="s">
        <v>140</v>
      </c>
      <c r="N3470" s="0" t="n">
        <v>1932</v>
      </c>
      <c r="O3470" s="10" t="n">
        <v>0.15630490379408</v>
      </c>
      <c r="P3470" s="10" t="n">
        <v>0.419500603340566</v>
      </c>
      <c r="Q3470" s="0" t="str">
        <f aca="false">SUBSTITUTE(SUBSTITUTE($I3470,CHAR(61),""),CHAR(34),"")</f>
        <v>15-24</v>
      </c>
      <c r="R3470" s="0" t="str">
        <f aca="false">IF($D3470&lt;&gt;"","["&amp;$E3470&amp;"]"&amp;"|"&amp;$Q3470&amp;"|"&amp;$K3470&amp;"|"&amp;$G3470&amp;"|"&amp;IF($G3470="TX_CURR_SUBNAT.R","CY2022Q4",$M3470),"")</f>
        <v>[E7zpfyBt7Tw]|15-24|Male|Untreated_PLHIV_Attend.T_1|CY2023Q3</v>
      </c>
    </row>
    <row r="3471" customFormat="false" ht="15" hidden="false" customHeight="false" outlineLevel="0" collapsed="false">
      <c r="D3471" s="0" t="s">
        <v>123</v>
      </c>
      <c r="E3471" s="0" t="s">
        <v>124</v>
      </c>
      <c r="F3471" s="0" t="s">
        <v>125</v>
      </c>
      <c r="G3471" s="0" t="s">
        <v>151</v>
      </c>
      <c r="H3471" s="0" t="s">
        <v>151</v>
      </c>
      <c r="I3471" s="0" t="s">
        <v>41</v>
      </c>
      <c r="J3471" s="0" t="s">
        <v>42</v>
      </c>
      <c r="K3471" s="0" t="s">
        <v>48</v>
      </c>
      <c r="L3471" s="0" t="s">
        <v>49</v>
      </c>
      <c r="M3471" s="0" t="s">
        <v>140</v>
      </c>
      <c r="N3471" s="0" t="n">
        <v>1918</v>
      </c>
      <c r="O3471" s="10" t="n">
        <v>0.0559612340293825</v>
      </c>
      <c r="P3471" s="10" t="n">
        <v>0.419500603340566</v>
      </c>
      <c r="Q3471" s="0" t="str">
        <f aca="false">SUBSTITUTE(SUBSTITUTE($I3471,CHAR(61),""),CHAR(34),"")</f>
        <v>25-34</v>
      </c>
      <c r="R3471" s="0" t="str">
        <f aca="false">IF($D3471&lt;&gt;"","["&amp;$E3471&amp;"]"&amp;"|"&amp;$Q3471&amp;"|"&amp;$K3471&amp;"|"&amp;$G3471&amp;"|"&amp;IF($G3471="TX_CURR_SUBNAT.R","CY2022Q4",$M3471),"")</f>
        <v>[E7zpfyBt7Tw]|25-34|Male|Untreated_PLHIV_Attend.T_1|CY2023Q3</v>
      </c>
    </row>
    <row r="3472" customFormat="false" ht="15" hidden="false" customHeight="false" outlineLevel="0" collapsed="false">
      <c r="D3472" s="0" t="s">
        <v>123</v>
      </c>
      <c r="E3472" s="0" t="s">
        <v>124</v>
      </c>
      <c r="F3472" s="0" t="s">
        <v>125</v>
      </c>
      <c r="G3472" s="0" t="s">
        <v>151</v>
      </c>
      <c r="H3472" s="0" t="s">
        <v>151</v>
      </c>
      <c r="I3472" s="0" t="s">
        <v>43</v>
      </c>
      <c r="J3472" s="0" t="s">
        <v>44</v>
      </c>
      <c r="K3472" s="0" t="s">
        <v>48</v>
      </c>
      <c r="L3472" s="0" t="s">
        <v>49</v>
      </c>
      <c r="M3472" s="0" t="s">
        <v>140</v>
      </c>
      <c r="N3472" s="0" t="n">
        <v>1551</v>
      </c>
      <c r="O3472" s="10" t="n">
        <v>0.972359887091443</v>
      </c>
      <c r="P3472" s="10" t="n">
        <v>0.419500603340566</v>
      </c>
      <c r="Q3472" s="0" t="str">
        <f aca="false">SUBSTITUTE(SUBSTITUTE($I3472,CHAR(61),""),CHAR(34),"")</f>
        <v>35-49</v>
      </c>
      <c r="R3472" s="0" t="str">
        <f aca="false">IF($D3472&lt;&gt;"","["&amp;$E3472&amp;"]"&amp;"|"&amp;$Q3472&amp;"|"&amp;$K3472&amp;"|"&amp;$G3472&amp;"|"&amp;IF($G3472="TX_CURR_SUBNAT.R","CY2022Q4",$M3472),"")</f>
        <v>[E7zpfyBt7Tw]|35-49|Male|Untreated_PLHIV_Attend.T_1|CY2023Q3</v>
      </c>
    </row>
    <row r="3473" customFormat="false" ht="15" hidden="false" customHeight="false" outlineLevel="0" collapsed="false">
      <c r="D3473" s="0" t="s">
        <v>123</v>
      </c>
      <c r="E3473" s="0" t="s">
        <v>124</v>
      </c>
      <c r="F3473" s="0" t="s">
        <v>125</v>
      </c>
      <c r="G3473" s="0" t="s">
        <v>151</v>
      </c>
      <c r="H3473" s="0" t="s">
        <v>151</v>
      </c>
      <c r="I3473" s="0" t="s">
        <v>45</v>
      </c>
      <c r="J3473" s="0" t="s">
        <v>46</v>
      </c>
      <c r="K3473" s="0" t="s">
        <v>48</v>
      </c>
      <c r="L3473" s="0" t="s">
        <v>49</v>
      </c>
      <c r="M3473" s="0" t="s">
        <v>140</v>
      </c>
      <c r="N3473" s="0" t="n">
        <v>1143</v>
      </c>
      <c r="O3473" s="10" t="n">
        <v>0.860757711809129</v>
      </c>
      <c r="P3473" s="10" t="n">
        <v>0.419500603340566</v>
      </c>
      <c r="Q3473" s="0" t="str">
        <f aca="false">SUBSTITUTE(SUBSTITUTE($I3473,CHAR(61),""),CHAR(34),"")</f>
        <v>50+</v>
      </c>
      <c r="R3473" s="0" t="str">
        <f aca="false">IF($D3473&lt;&gt;"","["&amp;$E3473&amp;"]"&amp;"|"&amp;$Q3473&amp;"|"&amp;$K3473&amp;"|"&amp;$G3473&amp;"|"&amp;IF($G3473="TX_CURR_SUBNAT.R","CY2022Q4",$M3473),"")</f>
        <v>[E7zpfyBt7Tw]|50+|Male|Untreated_PLHIV_Attend.T_1|CY2023Q3</v>
      </c>
    </row>
    <row r="3474" customFormat="false" ht="15" hidden="false" customHeight="false" outlineLevel="0" collapsed="false">
      <c r="D3474" s="0" t="s">
        <v>126</v>
      </c>
      <c r="E3474" s="0" t="s">
        <v>127</v>
      </c>
      <c r="F3474" s="0" t="s">
        <v>128</v>
      </c>
      <c r="G3474" s="0" t="s">
        <v>151</v>
      </c>
      <c r="H3474" s="0" t="s">
        <v>151</v>
      </c>
      <c r="I3474" s="0" t="s">
        <v>28</v>
      </c>
      <c r="J3474" s="0" t="s">
        <v>29</v>
      </c>
      <c r="K3474" s="0" t="s">
        <v>30</v>
      </c>
      <c r="L3474" s="0" t="s">
        <v>31</v>
      </c>
      <c r="M3474" s="0" t="s">
        <v>140</v>
      </c>
      <c r="N3474" s="0" t="n">
        <v>607</v>
      </c>
      <c r="O3474" s="10" t="n">
        <v>0.974632936995476</v>
      </c>
      <c r="P3474" s="10" t="n">
        <v>0.252706390339881</v>
      </c>
      <c r="Q3474" s="0" t="str">
        <f aca="false">SUBSTITUTE(SUBSTITUTE($I3474,CHAR(61),""),CHAR(34),"")</f>
        <v>&lt;01</v>
      </c>
      <c r="R3474" s="0" t="str">
        <f aca="false">IF($D3474&lt;&gt;"","["&amp;$E3474&amp;"]"&amp;"|"&amp;$Q3474&amp;"|"&amp;$K3474&amp;"|"&amp;$G3474&amp;"|"&amp;IF($G3474="TX_CURR_SUBNAT.R","CY2022Q4",$M3474),"")</f>
        <v>[ZCjuwgaMB9u]|&lt;01|Female|Untreated_PLHIV_Attend.T_1|CY2023Q3</v>
      </c>
    </row>
    <row r="3475" customFormat="false" ht="15" hidden="false" customHeight="false" outlineLevel="0" collapsed="false">
      <c r="D3475" s="0" t="s">
        <v>126</v>
      </c>
      <c r="E3475" s="0" t="s">
        <v>127</v>
      </c>
      <c r="F3475" s="0" t="s">
        <v>128</v>
      </c>
      <c r="G3475" s="0" t="s">
        <v>151</v>
      </c>
      <c r="H3475" s="0" t="s">
        <v>151</v>
      </c>
      <c r="I3475" s="0" t="s">
        <v>33</v>
      </c>
      <c r="J3475" s="0" t="s">
        <v>34</v>
      </c>
      <c r="K3475" s="0" t="s">
        <v>30</v>
      </c>
      <c r="L3475" s="0" t="s">
        <v>31</v>
      </c>
      <c r="M3475" s="0" t="s">
        <v>140</v>
      </c>
      <c r="N3475" s="0" t="n">
        <v>983</v>
      </c>
      <c r="O3475" s="10" t="n">
        <v>0.262127737980336</v>
      </c>
      <c r="P3475" s="10" t="n">
        <v>0.252706390339881</v>
      </c>
      <c r="Q3475" s="0" t="str">
        <f aca="false">SUBSTITUTE(SUBSTITUTE($I3475,CHAR(61),""),CHAR(34),"")</f>
        <v>01-09</v>
      </c>
      <c r="R3475" s="0" t="str">
        <f aca="false">IF($D3475&lt;&gt;"","["&amp;$E3475&amp;"]"&amp;"|"&amp;$Q3475&amp;"|"&amp;$K3475&amp;"|"&amp;$G3475&amp;"|"&amp;IF($G3475="TX_CURR_SUBNAT.R","CY2022Q4",$M3475),"")</f>
        <v>[ZCjuwgaMB9u]|01-09|Female|Untreated_PLHIV_Attend.T_1|CY2023Q3</v>
      </c>
    </row>
    <row r="3476" customFormat="false" ht="15" hidden="false" customHeight="false" outlineLevel="0" collapsed="false">
      <c r="D3476" s="0" t="s">
        <v>126</v>
      </c>
      <c r="E3476" s="0" t="s">
        <v>127</v>
      </c>
      <c r="F3476" s="0" t="s">
        <v>128</v>
      </c>
      <c r="G3476" s="0" t="s">
        <v>151</v>
      </c>
      <c r="H3476" s="0" t="s">
        <v>151</v>
      </c>
      <c r="I3476" s="0" t="s">
        <v>36</v>
      </c>
      <c r="J3476" s="0" t="s">
        <v>37</v>
      </c>
      <c r="K3476" s="0" t="s">
        <v>30</v>
      </c>
      <c r="L3476" s="0" t="s">
        <v>31</v>
      </c>
      <c r="M3476" s="0" t="s">
        <v>140</v>
      </c>
      <c r="N3476" s="0" t="n">
        <v>1829</v>
      </c>
      <c r="O3476" s="10" t="n">
        <v>0.767553588375449</v>
      </c>
      <c r="P3476" s="10" t="n">
        <v>0.252706390339881</v>
      </c>
      <c r="Q3476" s="0" t="str">
        <f aca="false">SUBSTITUTE(SUBSTITUTE($I3476,CHAR(61),""),CHAR(34),"")</f>
        <v>10-14</v>
      </c>
      <c r="R3476" s="0" t="str">
        <f aca="false">IF($D3476&lt;&gt;"","["&amp;$E3476&amp;"]"&amp;"|"&amp;$Q3476&amp;"|"&amp;$K3476&amp;"|"&amp;$G3476&amp;"|"&amp;IF($G3476="TX_CURR_SUBNAT.R","CY2022Q4",$M3476),"")</f>
        <v>[ZCjuwgaMB9u]|10-14|Female|Untreated_PLHIV_Attend.T_1|CY2023Q3</v>
      </c>
    </row>
    <row r="3477" customFormat="false" ht="15" hidden="false" customHeight="false" outlineLevel="0" collapsed="false">
      <c r="D3477" s="0" t="s">
        <v>126</v>
      </c>
      <c r="E3477" s="0" t="s">
        <v>127</v>
      </c>
      <c r="F3477" s="0" t="s">
        <v>128</v>
      </c>
      <c r="G3477" s="0" t="s">
        <v>151</v>
      </c>
      <c r="H3477" s="0" t="s">
        <v>151</v>
      </c>
      <c r="I3477" s="0" t="s">
        <v>38</v>
      </c>
      <c r="J3477" s="0" t="s">
        <v>39</v>
      </c>
      <c r="K3477" s="0" t="s">
        <v>30</v>
      </c>
      <c r="L3477" s="0" t="s">
        <v>31</v>
      </c>
      <c r="M3477" s="0" t="s">
        <v>140</v>
      </c>
      <c r="N3477" s="0" t="n">
        <v>1023</v>
      </c>
      <c r="O3477" s="10" t="n">
        <v>0.551236145198345</v>
      </c>
      <c r="P3477" s="10" t="n">
        <v>0.252706390339881</v>
      </c>
      <c r="Q3477" s="0" t="str">
        <f aca="false">SUBSTITUTE(SUBSTITUTE($I3477,CHAR(61),""),CHAR(34),"")</f>
        <v>15-24</v>
      </c>
      <c r="R3477" s="0" t="str">
        <f aca="false">IF($D3477&lt;&gt;"","["&amp;$E3477&amp;"]"&amp;"|"&amp;$Q3477&amp;"|"&amp;$K3477&amp;"|"&amp;$G3477&amp;"|"&amp;IF($G3477="TX_CURR_SUBNAT.R","CY2022Q4",$M3477),"")</f>
        <v>[ZCjuwgaMB9u]|15-24|Female|Untreated_PLHIV_Attend.T_1|CY2023Q3</v>
      </c>
    </row>
    <row r="3478" customFormat="false" ht="15" hidden="false" customHeight="false" outlineLevel="0" collapsed="false">
      <c r="D3478" s="0" t="s">
        <v>126</v>
      </c>
      <c r="E3478" s="0" t="s">
        <v>127</v>
      </c>
      <c r="F3478" s="0" t="s">
        <v>128</v>
      </c>
      <c r="G3478" s="0" t="s">
        <v>151</v>
      </c>
      <c r="H3478" s="0" t="s">
        <v>151</v>
      </c>
      <c r="I3478" s="0" t="s">
        <v>41</v>
      </c>
      <c r="J3478" s="0" t="s">
        <v>42</v>
      </c>
      <c r="K3478" s="0" t="s">
        <v>30</v>
      </c>
      <c r="L3478" s="0" t="s">
        <v>31</v>
      </c>
      <c r="M3478" s="0" t="s">
        <v>140</v>
      </c>
      <c r="N3478" s="0" t="n">
        <v>728</v>
      </c>
      <c r="O3478" s="10" t="n">
        <v>0.550929073477164</v>
      </c>
      <c r="P3478" s="10" t="n">
        <v>0.252706390339881</v>
      </c>
      <c r="Q3478" s="0" t="str">
        <f aca="false">SUBSTITUTE(SUBSTITUTE($I3478,CHAR(61),""),CHAR(34),"")</f>
        <v>25-34</v>
      </c>
      <c r="R3478" s="0" t="str">
        <f aca="false">IF($D3478&lt;&gt;"","["&amp;$E3478&amp;"]"&amp;"|"&amp;$Q3478&amp;"|"&amp;$K3478&amp;"|"&amp;$G3478&amp;"|"&amp;IF($G3478="TX_CURR_SUBNAT.R","CY2022Q4",$M3478),"")</f>
        <v>[ZCjuwgaMB9u]|25-34|Female|Untreated_PLHIV_Attend.T_1|CY2023Q3</v>
      </c>
    </row>
    <row r="3479" customFormat="false" ht="15" hidden="false" customHeight="false" outlineLevel="0" collapsed="false">
      <c r="D3479" s="0" t="s">
        <v>126</v>
      </c>
      <c r="E3479" s="0" t="s">
        <v>127</v>
      </c>
      <c r="F3479" s="0" t="s">
        <v>128</v>
      </c>
      <c r="G3479" s="0" t="s">
        <v>151</v>
      </c>
      <c r="H3479" s="0" t="s">
        <v>151</v>
      </c>
      <c r="I3479" s="0" t="s">
        <v>43</v>
      </c>
      <c r="J3479" s="0" t="s">
        <v>44</v>
      </c>
      <c r="K3479" s="0" t="s">
        <v>30</v>
      </c>
      <c r="L3479" s="0" t="s">
        <v>31</v>
      </c>
      <c r="M3479" s="0" t="s">
        <v>140</v>
      </c>
      <c r="N3479" s="0" t="n">
        <v>1510</v>
      </c>
      <c r="O3479" s="10" t="n">
        <v>0.859219382284209</v>
      </c>
      <c r="P3479" s="10" t="n">
        <v>0.252706390339881</v>
      </c>
      <c r="Q3479" s="0" t="str">
        <f aca="false">SUBSTITUTE(SUBSTITUTE($I3479,CHAR(61),""),CHAR(34),"")</f>
        <v>35-49</v>
      </c>
      <c r="R3479" s="0" t="str">
        <f aca="false">IF($D3479&lt;&gt;"","["&amp;$E3479&amp;"]"&amp;"|"&amp;$Q3479&amp;"|"&amp;$K3479&amp;"|"&amp;$G3479&amp;"|"&amp;IF($G3479="TX_CURR_SUBNAT.R","CY2022Q4",$M3479),"")</f>
        <v>[ZCjuwgaMB9u]|35-49|Female|Untreated_PLHIV_Attend.T_1|CY2023Q3</v>
      </c>
    </row>
    <row r="3480" customFormat="false" ht="15" hidden="false" customHeight="false" outlineLevel="0" collapsed="false">
      <c r="D3480" s="0" t="s">
        <v>126</v>
      </c>
      <c r="E3480" s="0" t="s">
        <v>127</v>
      </c>
      <c r="F3480" s="0" t="s">
        <v>128</v>
      </c>
      <c r="G3480" s="0" t="s">
        <v>151</v>
      </c>
      <c r="H3480" s="0" t="s">
        <v>151</v>
      </c>
      <c r="I3480" s="0" t="s">
        <v>45</v>
      </c>
      <c r="J3480" s="0" t="s">
        <v>46</v>
      </c>
      <c r="K3480" s="0" t="s">
        <v>30</v>
      </c>
      <c r="L3480" s="0" t="s">
        <v>31</v>
      </c>
      <c r="M3480" s="0" t="s">
        <v>140</v>
      </c>
      <c r="N3480" s="0" t="n">
        <v>881</v>
      </c>
      <c r="O3480" s="10" t="n">
        <v>0.489241236355156</v>
      </c>
      <c r="P3480" s="10" t="n">
        <v>0.252706390339881</v>
      </c>
      <c r="Q3480" s="0" t="str">
        <f aca="false">SUBSTITUTE(SUBSTITUTE($I3480,CHAR(61),""),CHAR(34),"")</f>
        <v>50+</v>
      </c>
      <c r="R3480" s="0" t="str">
        <f aca="false">IF($D3480&lt;&gt;"","["&amp;$E3480&amp;"]"&amp;"|"&amp;$Q3480&amp;"|"&amp;$K3480&amp;"|"&amp;$G3480&amp;"|"&amp;IF($G3480="TX_CURR_SUBNAT.R","CY2022Q4",$M3480),"")</f>
        <v>[ZCjuwgaMB9u]|50+|Female|Untreated_PLHIV_Attend.T_1|CY2023Q3</v>
      </c>
    </row>
    <row r="3481" customFormat="false" ht="15" hidden="false" customHeight="false" outlineLevel="0" collapsed="false">
      <c r="D3481" s="0" t="s">
        <v>126</v>
      </c>
      <c r="E3481" s="0" t="s">
        <v>127</v>
      </c>
      <c r="F3481" s="0" t="s">
        <v>128</v>
      </c>
      <c r="G3481" s="0" t="s">
        <v>151</v>
      </c>
      <c r="H3481" s="0" t="s">
        <v>151</v>
      </c>
      <c r="I3481" s="0" t="s">
        <v>28</v>
      </c>
      <c r="J3481" s="0" t="s">
        <v>29</v>
      </c>
      <c r="K3481" s="0" t="s">
        <v>48</v>
      </c>
      <c r="L3481" s="0" t="s">
        <v>49</v>
      </c>
      <c r="M3481" s="0" t="s">
        <v>140</v>
      </c>
      <c r="N3481" s="0" t="n">
        <v>1069</v>
      </c>
      <c r="O3481" s="10" t="n">
        <v>0.763765329262242</v>
      </c>
      <c r="P3481" s="10" t="n">
        <v>0.252706390339881</v>
      </c>
      <c r="Q3481" s="0" t="str">
        <f aca="false">SUBSTITUTE(SUBSTITUTE($I3481,CHAR(61),""),CHAR(34),"")</f>
        <v>&lt;01</v>
      </c>
      <c r="R3481" s="0" t="str">
        <f aca="false">IF($D3481&lt;&gt;"","["&amp;$E3481&amp;"]"&amp;"|"&amp;$Q3481&amp;"|"&amp;$K3481&amp;"|"&amp;$G3481&amp;"|"&amp;IF($G3481="TX_CURR_SUBNAT.R","CY2022Q4",$M3481),"")</f>
        <v>[ZCjuwgaMB9u]|&lt;01|Male|Untreated_PLHIV_Attend.T_1|CY2023Q3</v>
      </c>
    </row>
    <row r="3482" customFormat="false" ht="15" hidden="false" customHeight="false" outlineLevel="0" collapsed="false">
      <c r="D3482" s="0" t="s">
        <v>126</v>
      </c>
      <c r="E3482" s="0" t="s">
        <v>127</v>
      </c>
      <c r="F3482" s="0" t="s">
        <v>128</v>
      </c>
      <c r="G3482" s="0" t="s">
        <v>151</v>
      </c>
      <c r="H3482" s="0" t="s">
        <v>151</v>
      </c>
      <c r="I3482" s="0" t="s">
        <v>33</v>
      </c>
      <c r="J3482" s="0" t="s">
        <v>34</v>
      </c>
      <c r="K3482" s="0" t="s">
        <v>48</v>
      </c>
      <c r="L3482" s="0" t="s">
        <v>49</v>
      </c>
      <c r="M3482" s="0" t="s">
        <v>140</v>
      </c>
      <c r="N3482" s="0" t="n">
        <v>1780</v>
      </c>
      <c r="O3482" s="10" t="n">
        <v>0.653853988274932</v>
      </c>
      <c r="P3482" s="10" t="n">
        <v>0.252706390339881</v>
      </c>
      <c r="Q3482" s="0" t="str">
        <f aca="false">SUBSTITUTE(SUBSTITUTE($I3482,CHAR(61),""),CHAR(34),"")</f>
        <v>01-09</v>
      </c>
      <c r="R3482" s="0" t="str">
        <f aca="false">IF($D3482&lt;&gt;"","["&amp;$E3482&amp;"]"&amp;"|"&amp;$Q3482&amp;"|"&amp;$K3482&amp;"|"&amp;$G3482&amp;"|"&amp;IF($G3482="TX_CURR_SUBNAT.R","CY2022Q4",$M3482),"")</f>
        <v>[ZCjuwgaMB9u]|01-09|Male|Untreated_PLHIV_Attend.T_1|CY2023Q3</v>
      </c>
    </row>
    <row r="3483" customFormat="false" ht="15" hidden="false" customHeight="false" outlineLevel="0" collapsed="false">
      <c r="D3483" s="0" t="s">
        <v>126</v>
      </c>
      <c r="E3483" s="0" t="s">
        <v>127</v>
      </c>
      <c r="F3483" s="0" t="s">
        <v>128</v>
      </c>
      <c r="G3483" s="0" t="s">
        <v>151</v>
      </c>
      <c r="H3483" s="0" t="s">
        <v>151</v>
      </c>
      <c r="I3483" s="0" t="s">
        <v>36</v>
      </c>
      <c r="J3483" s="0" t="s">
        <v>37</v>
      </c>
      <c r="K3483" s="0" t="s">
        <v>48</v>
      </c>
      <c r="L3483" s="0" t="s">
        <v>49</v>
      </c>
      <c r="M3483" s="0" t="s">
        <v>140</v>
      </c>
      <c r="N3483" s="0" t="n">
        <v>1867</v>
      </c>
      <c r="O3483" s="10" t="n">
        <v>0.973893356509507</v>
      </c>
      <c r="P3483" s="10" t="n">
        <v>0.252706390339881</v>
      </c>
      <c r="Q3483" s="0" t="str">
        <f aca="false">SUBSTITUTE(SUBSTITUTE($I3483,CHAR(61),""),CHAR(34),"")</f>
        <v>10-14</v>
      </c>
      <c r="R3483" s="0" t="str">
        <f aca="false">IF($D3483&lt;&gt;"","["&amp;$E3483&amp;"]"&amp;"|"&amp;$Q3483&amp;"|"&amp;$K3483&amp;"|"&amp;$G3483&amp;"|"&amp;IF($G3483="TX_CURR_SUBNAT.R","CY2022Q4",$M3483),"")</f>
        <v>[ZCjuwgaMB9u]|10-14|Male|Untreated_PLHIV_Attend.T_1|CY2023Q3</v>
      </c>
    </row>
    <row r="3484" customFormat="false" ht="15" hidden="false" customHeight="false" outlineLevel="0" collapsed="false">
      <c r="D3484" s="0" t="s">
        <v>126</v>
      </c>
      <c r="E3484" s="0" t="s">
        <v>127</v>
      </c>
      <c r="F3484" s="0" t="s">
        <v>128</v>
      </c>
      <c r="G3484" s="0" t="s">
        <v>151</v>
      </c>
      <c r="H3484" s="0" t="s">
        <v>151</v>
      </c>
      <c r="I3484" s="0" t="s">
        <v>38</v>
      </c>
      <c r="J3484" s="0" t="s">
        <v>39</v>
      </c>
      <c r="K3484" s="0" t="s">
        <v>48</v>
      </c>
      <c r="L3484" s="0" t="s">
        <v>49</v>
      </c>
      <c r="M3484" s="0" t="s">
        <v>140</v>
      </c>
      <c r="N3484" s="0" t="n">
        <v>584</v>
      </c>
      <c r="O3484" s="10" t="n">
        <v>0.0986274478491396</v>
      </c>
      <c r="P3484" s="10" t="n">
        <v>0.252706390339881</v>
      </c>
      <c r="Q3484" s="0" t="str">
        <f aca="false">SUBSTITUTE(SUBSTITUTE($I3484,CHAR(61),""),CHAR(34),"")</f>
        <v>15-24</v>
      </c>
      <c r="R3484" s="0" t="str">
        <f aca="false">IF($D3484&lt;&gt;"","["&amp;$E3484&amp;"]"&amp;"|"&amp;$Q3484&amp;"|"&amp;$K3484&amp;"|"&amp;$G3484&amp;"|"&amp;IF($G3484="TX_CURR_SUBNAT.R","CY2022Q4",$M3484),"")</f>
        <v>[ZCjuwgaMB9u]|15-24|Male|Untreated_PLHIV_Attend.T_1|CY2023Q3</v>
      </c>
    </row>
    <row r="3485" customFormat="false" ht="15" hidden="false" customHeight="false" outlineLevel="0" collapsed="false">
      <c r="D3485" s="0" t="s">
        <v>126</v>
      </c>
      <c r="E3485" s="0" t="s">
        <v>127</v>
      </c>
      <c r="F3485" s="0" t="s">
        <v>128</v>
      </c>
      <c r="G3485" s="0" t="s">
        <v>151</v>
      </c>
      <c r="H3485" s="0" t="s">
        <v>151</v>
      </c>
      <c r="I3485" s="0" t="s">
        <v>41</v>
      </c>
      <c r="J3485" s="0" t="s">
        <v>42</v>
      </c>
      <c r="K3485" s="0" t="s">
        <v>48</v>
      </c>
      <c r="L3485" s="0" t="s">
        <v>49</v>
      </c>
      <c r="M3485" s="0" t="s">
        <v>140</v>
      </c>
      <c r="N3485" s="0" t="n">
        <v>1502</v>
      </c>
      <c r="O3485" s="10" t="n">
        <v>0.302739379461855</v>
      </c>
      <c r="P3485" s="10" t="n">
        <v>0.252706390339881</v>
      </c>
      <c r="Q3485" s="0" t="str">
        <f aca="false">SUBSTITUTE(SUBSTITUTE($I3485,CHAR(61),""),CHAR(34),"")</f>
        <v>25-34</v>
      </c>
      <c r="R3485" s="0" t="str">
        <f aca="false">IF($D3485&lt;&gt;"","["&amp;$E3485&amp;"]"&amp;"|"&amp;$Q3485&amp;"|"&amp;$K3485&amp;"|"&amp;$G3485&amp;"|"&amp;IF($G3485="TX_CURR_SUBNAT.R","CY2022Q4",$M3485),"")</f>
        <v>[ZCjuwgaMB9u]|25-34|Male|Untreated_PLHIV_Attend.T_1|CY2023Q3</v>
      </c>
    </row>
    <row r="3486" customFormat="false" ht="15" hidden="false" customHeight="false" outlineLevel="0" collapsed="false">
      <c r="D3486" s="0" t="s">
        <v>126</v>
      </c>
      <c r="E3486" s="0" t="s">
        <v>127</v>
      </c>
      <c r="F3486" s="0" t="s">
        <v>128</v>
      </c>
      <c r="G3486" s="0" t="s">
        <v>151</v>
      </c>
      <c r="H3486" s="0" t="s">
        <v>151</v>
      </c>
      <c r="I3486" s="0" t="s">
        <v>43</v>
      </c>
      <c r="J3486" s="0" t="s">
        <v>44</v>
      </c>
      <c r="K3486" s="0" t="s">
        <v>48</v>
      </c>
      <c r="L3486" s="0" t="s">
        <v>49</v>
      </c>
      <c r="M3486" s="0" t="s">
        <v>140</v>
      </c>
      <c r="N3486" s="0" t="n">
        <v>1317</v>
      </c>
      <c r="O3486" s="10" t="n">
        <v>0.970209816936404</v>
      </c>
      <c r="P3486" s="10" t="n">
        <v>0.252706390339881</v>
      </c>
      <c r="Q3486" s="0" t="str">
        <f aca="false">SUBSTITUTE(SUBSTITUTE($I3486,CHAR(61),""),CHAR(34),"")</f>
        <v>35-49</v>
      </c>
      <c r="R3486" s="0" t="str">
        <f aca="false">IF($D3486&lt;&gt;"","["&amp;$E3486&amp;"]"&amp;"|"&amp;$Q3486&amp;"|"&amp;$K3486&amp;"|"&amp;$G3486&amp;"|"&amp;IF($G3486="TX_CURR_SUBNAT.R","CY2022Q4",$M3486),"")</f>
        <v>[ZCjuwgaMB9u]|35-49|Male|Untreated_PLHIV_Attend.T_1|CY2023Q3</v>
      </c>
    </row>
    <row r="3487" customFormat="false" ht="15" hidden="false" customHeight="false" outlineLevel="0" collapsed="false">
      <c r="D3487" s="0" t="s">
        <v>126</v>
      </c>
      <c r="E3487" s="0" t="s">
        <v>127</v>
      </c>
      <c r="F3487" s="0" t="s">
        <v>128</v>
      </c>
      <c r="G3487" s="0" t="s">
        <v>151</v>
      </c>
      <c r="H3487" s="0" t="s">
        <v>151</v>
      </c>
      <c r="I3487" s="0" t="s">
        <v>45</v>
      </c>
      <c r="J3487" s="0" t="s">
        <v>46</v>
      </c>
      <c r="K3487" s="0" t="s">
        <v>48</v>
      </c>
      <c r="L3487" s="0" t="s">
        <v>49</v>
      </c>
      <c r="M3487" s="0" t="s">
        <v>140</v>
      </c>
      <c r="N3487" s="0" t="n">
        <v>1794</v>
      </c>
      <c r="O3487" s="10" t="n">
        <v>0.188572365557775</v>
      </c>
      <c r="P3487" s="10" t="n">
        <v>0.252706390339881</v>
      </c>
      <c r="Q3487" s="0" t="str">
        <f aca="false">SUBSTITUTE(SUBSTITUTE($I3487,CHAR(61),""),CHAR(34),"")</f>
        <v>50+</v>
      </c>
      <c r="R3487" s="0" t="str">
        <f aca="false">IF($D3487&lt;&gt;"","["&amp;$E3487&amp;"]"&amp;"|"&amp;$Q3487&amp;"|"&amp;$K3487&amp;"|"&amp;$G3487&amp;"|"&amp;IF($G3487="TX_CURR_SUBNAT.R","CY2022Q4",$M3487),"")</f>
        <v>[ZCjuwgaMB9u]|50+|Male|Untreated_PLHIV_Attend.T_1|CY2023Q3</v>
      </c>
    </row>
    <row r="3488" customFormat="false" ht="15" hidden="false" customHeight="false" outlineLevel="0" collapsed="false">
      <c r="D3488" s="0" t="s">
        <v>129</v>
      </c>
      <c r="E3488" s="0" t="s">
        <v>130</v>
      </c>
      <c r="F3488" s="0" t="s">
        <v>131</v>
      </c>
      <c r="G3488" s="0" t="s">
        <v>151</v>
      </c>
      <c r="H3488" s="0" t="s">
        <v>151</v>
      </c>
      <c r="I3488" s="0" t="s">
        <v>28</v>
      </c>
      <c r="J3488" s="0" t="s">
        <v>29</v>
      </c>
      <c r="K3488" s="0" t="s">
        <v>30</v>
      </c>
      <c r="L3488" s="0" t="s">
        <v>31</v>
      </c>
      <c r="M3488" s="0" t="s">
        <v>140</v>
      </c>
      <c r="N3488" s="0" t="n">
        <v>1706</v>
      </c>
      <c r="O3488" s="10" t="n">
        <v>0.863985951058567</v>
      </c>
      <c r="P3488" s="10" t="n">
        <v>0.556908084778115</v>
      </c>
      <c r="Q3488" s="0" t="str">
        <f aca="false">SUBSTITUTE(SUBSTITUTE($I3488,CHAR(61),""),CHAR(34),"")</f>
        <v>&lt;01</v>
      </c>
      <c r="R3488" s="0" t="str">
        <f aca="false">IF($D3488&lt;&gt;"","["&amp;$E3488&amp;"]"&amp;"|"&amp;$Q3488&amp;"|"&amp;$K3488&amp;"|"&amp;$G3488&amp;"|"&amp;IF($G3488="TX_CURR_SUBNAT.R","CY2022Q4",$M3488),"")</f>
        <v>[YCKiBAp8QAg]|&lt;01|Female|Untreated_PLHIV_Attend.T_1|CY2023Q3</v>
      </c>
    </row>
    <row r="3489" customFormat="false" ht="15" hidden="false" customHeight="false" outlineLevel="0" collapsed="false">
      <c r="D3489" s="0" t="s">
        <v>129</v>
      </c>
      <c r="E3489" s="0" t="s">
        <v>130</v>
      </c>
      <c r="F3489" s="0" t="s">
        <v>131</v>
      </c>
      <c r="G3489" s="0" t="s">
        <v>151</v>
      </c>
      <c r="H3489" s="0" t="s">
        <v>151</v>
      </c>
      <c r="I3489" s="0" t="s">
        <v>33</v>
      </c>
      <c r="J3489" s="0" t="s">
        <v>34</v>
      </c>
      <c r="K3489" s="0" t="s">
        <v>30</v>
      </c>
      <c r="L3489" s="0" t="s">
        <v>31</v>
      </c>
      <c r="M3489" s="0" t="s">
        <v>140</v>
      </c>
      <c r="N3489" s="0" t="n">
        <v>1524</v>
      </c>
      <c r="O3489" s="10" t="n">
        <v>0.928554505342618</v>
      </c>
      <c r="P3489" s="10" t="n">
        <v>0.556908084778115</v>
      </c>
      <c r="Q3489" s="0" t="str">
        <f aca="false">SUBSTITUTE(SUBSTITUTE($I3489,CHAR(61),""),CHAR(34),"")</f>
        <v>01-09</v>
      </c>
      <c r="R3489" s="0" t="str">
        <f aca="false">IF($D3489&lt;&gt;"","["&amp;$E3489&amp;"]"&amp;"|"&amp;$Q3489&amp;"|"&amp;$K3489&amp;"|"&amp;$G3489&amp;"|"&amp;IF($G3489="TX_CURR_SUBNAT.R","CY2022Q4",$M3489),"")</f>
        <v>[YCKiBAp8QAg]|01-09|Female|Untreated_PLHIV_Attend.T_1|CY2023Q3</v>
      </c>
    </row>
    <row r="3490" customFormat="false" ht="15" hidden="false" customHeight="false" outlineLevel="0" collapsed="false">
      <c r="D3490" s="0" t="s">
        <v>129</v>
      </c>
      <c r="E3490" s="0" t="s">
        <v>130</v>
      </c>
      <c r="F3490" s="0" t="s">
        <v>131</v>
      </c>
      <c r="G3490" s="0" t="s">
        <v>151</v>
      </c>
      <c r="H3490" s="0" t="s">
        <v>151</v>
      </c>
      <c r="I3490" s="0" t="s">
        <v>36</v>
      </c>
      <c r="J3490" s="0" t="s">
        <v>37</v>
      </c>
      <c r="K3490" s="0" t="s">
        <v>30</v>
      </c>
      <c r="L3490" s="0" t="s">
        <v>31</v>
      </c>
      <c r="M3490" s="0" t="s">
        <v>140</v>
      </c>
      <c r="N3490" s="0" t="n">
        <v>1874</v>
      </c>
      <c r="O3490" s="10" t="n">
        <v>0.482981934677809</v>
      </c>
      <c r="P3490" s="10" t="n">
        <v>0.556908084778115</v>
      </c>
      <c r="Q3490" s="0" t="str">
        <f aca="false">SUBSTITUTE(SUBSTITUTE($I3490,CHAR(61),""),CHAR(34),"")</f>
        <v>10-14</v>
      </c>
      <c r="R3490" s="0" t="str">
        <f aca="false">IF($D3490&lt;&gt;"","["&amp;$E3490&amp;"]"&amp;"|"&amp;$Q3490&amp;"|"&amp;$K3490&amp;"|"&amp;$G3490&amp;"|"&amp;IF($G3490="TX_CURR_SUBNAT.R","CY2022Q4",$M3490),"")</f>
        <v>[YCKiBAp8QAg]|10-14|Female|Untreated_PLHIV_Attend.T_1|CY2023Q3</v>
      </c>
    </row>
    <row r="3491" customFormat="false" ht="15" hidden="false" customHeight="false" outlineLevel="0" collapsed="false">
      <c r="D3491" s="0" t="s">
        <v>129</v>
      </c>
      <c r="E3491" s="0" t="s">
        <v>130</v>
      </c>
      <c r="F3491" s="0" t="s">
        <v>131</v>
      </c>
      <c r="G3491" s="0" t="s">
        <v>151</v>
      </c>
      <c r="H3491" s="0" t="s">
        <v>151</v>
      </c>
      <c r="I3491" s="0" t="s">
        <v>38</v>
      </c>
      <c r="J3491" s="0" t="s">
        <v>39</v>
      </c>
      <c r="K3491" s="0" t="s">
        <v>30</v>
      </c>
      <c r="L3491" s="0" t="s">
        <v>31</v>
      </c>
      <c r="M3491" s="0" t="s">
        <v>140</v>
      </c>
      <c r="N3491" s="0" t="n">
        <v>1044</v>
      </c>
      <c r="O3491" s="10" t="n">
        <v>0.33095618779771</v>
      </c>
      <c r="P3491" s="10" t="n">
        <v>0.556908084778115</v>
      </c>
      <c r="Q3491" s="0" t="str">
        <f aca="false">SUBSTITUTE(SUBSTITUTE($I3491,CHAR(61),""),CHAR(34),"")</f>
        <v>15-24</v>
      </c>
      <c r="R3491" s="0" t="str">
        <f aca="false">IF($D3491&lt;&gt;"","["&amp;$E3491&amp;"]"&amp;"|"&amp;$Q3491&amp;"|"&amp;$K3491&amp;"|"&amp;$G3491&amp;"|"&amp;IF($G3491="TX_CURR_SUBNAT.R","CY2022Q4",$M3491),"")</f>
        <v>[YCKiBAp8QAg]|15-24|Female|Untreated_PLHIV_Attend.T_1|CY2023Q3</v>
      </c>
    </row>
    <row r="3492" customFormat="false" ht="15" hidden="false" customHeight="false" outlineLevel="0" collapsed="false">
      <c r="D3492" s="0" t="s">
        <v>129</v>
      </c>
      <c r="E3492" s="0" t="s">
        <v>130</v>
      </c>
      <c r="F3492" s="0" t="s">
        <v>131</v>
      </c>
      <c r="G3492" s="0" t="s">
        <v>151</v>
      </c>
      <c r="H3492" s="0" t="s">
        <v>151</v>
      </c>
      <c r="I3492" s="0" t="s">
        <v>41</v>
      </c>
      <c r="J3492" s="0" t="s">
        <v>42</v>
      </c>
      <c r="K3492" s="0" t="s">
        <v>30</v>
      </c>
      <c r="L3492" s="0" t="s">
        <v>31</v>
      </c>
      <c r="M3492" s="0" t="s">
        <v>140</v>
      </c>
      <c r="N3492" s="0" t="n">
        <v>1357</v>
      </c>
      <c r="O3492" s="10" t="n">
        <v>0.389298264635727</v>
      </c>
      <c r="P3492" s="10" t="n">
        <v>0.556908084778115</v>
      </c>
      <c r="Q3492" s="0" t="str">
        <f aca="false">SUBSTITUTE(SUBSTITUTE($I3492,CHAR(61),""),CHAR(34),"")</f>
        <v>25-34</v>
      </c>
      <c r="R3492" s="0" t="str">
        <f aca="false">IF($D3492&lt;&gt;"","["&amp;$E3492&amp;"]"&amp;"|"&amp;$Q3492&amp;"|"&amp;$K3492&amp;"|"&amp;$G3492&amp;"|"&amp;IF($G3492="TX_CURR_SUBNAT.R","CY2022Q4",$M3492),"")</f>
        <v>[YCKiBAp8QAg]|25-34|Female|Untreated_PLHIV_Attend.T_1|CY2023Q3</v>
      </c>
    </row>
    <row r="3493" customFormat="false" ht="15" hidden="false" customHeight="false" outlineLevel="0" collapsed="false">
      <c r="D3493" s="0" t="s">
        <v>129</v>
      </c>
      <c r="E3493" s="0" t="s">
        <v>130</v>
      </c>
      <c r="F3493" s="0" t="s">
        <v>131</v>
      </c>
      <c r="G3493" s="0" t="s">
        <v>151</v>
      </c>
      <c r="H3493" s="0" t="s">
        <v>151</v>
      </c>
      <c r="I3493" s="0" t="s">
        <v>43</v>
      </c>
      <c r="J3493" s="0" t="s">
        <v>44</v>
      </c>
      <c r="K3493" s="0" t="s">
        <v>30</v>
      </c>
      <c r="L3493" s="0" t="s">
        <v>31</v>
      </c>
      <c r="M3493" s="0" t="s">
        <v>140</v>
      </c>
      <c r="N3493" s="0" t="n">
        <v>1813</v>
      </c>
      <c r="O3493" s="10" t="n">
        <v>0.46646162099205</v>
      </c>
      <c r="P3493" s="10" t="n">
        <v>0.556908084778115</v>
      </c>
      <c r="Q3493" s="0" t="str">
        <f aca="false">SUBSTITUTE(SUBSTITUTE($I3493,CHAR(61),""),CHAR(34),"")</f>
        <v>35-49</v>
      </c>
      <c r="R3493" s="0" t="str">
        <f aca="false">IF($D3493&lt;&gt;"","["&amp;$E3493&amp;"]"&amp;"|"&amp;$Q3493&amp;"|"&amp;$K3493&amp;"|"&amp;$G3493&amp;"|"&amp;IF($G3493="TX_CURR_SUBNAT.R","CY2022Q4",$M3493),"")</f>
        <v>[YCKiBAp8QAg]|35-49|Female|Untreated_PLHIV_Attend.T_1|CY2023Q3</v>
      </c>
    </row>
    <row r="3494" customFormat="false" ht="15" hidden="false" customHeight="false" outlineLevel="0" collapsed="false">
      <c r="D3494" s="0" t="s">
        <v>129</v>
      </c>
      <c r="E3494" s="0" t="s">
        <v>130</v>
      </c>
      <c r="F3494" s="0" t="s">
        <v>131</v>
      </c>
      <c r="G3494" s="0" t="s">
        <v>151</v>
      </c>
      <c r="H3494" s="0" t="s">
        <v>151</v>
      </c>
      <c r="I3494" s="0" t="s">
        <v>45</v>
      </c>
      <c r="J3494" s="0" t="s">
        <v>46</v>
      </c>
      <c r="K3494" s="0" t="s">
        <v>30</v>
      </c>
      <c r="L3494" s="0" t="s">
        <v>31</v>
      </c>
      <c r="M3494" s="0" t="s">
        <v>140</v>
      </c>
      <c r="N3494" s="0" t="n">
        <v>1566</v>
      </c>
      <c r="O3494" s="10" t="n">
        <v>0.529034720733762</v>
      </c>
      <c r="P3494" s="10" t="n">
        <v>0.556908084778115</v>
      </c>
      <c r="Q3494" s="0" t="str">
        <f aca="false">SUBSTITUTE(SUBSTITUTE($I3494,CHAR(61),""),CHAR(34),"")</f>
        <v>50+</v>
      </c>
      <c r="R3494" s="0" t="str">
        <f aca="false">IF($D3494&lt;&gt;"","["&amp;$E3494&amp;"]"&amp;"|"&amp;$Q3494&amp;"|"&amp;$K3494&amp;"|"&amp;$G3494&amp;"|"&amp;IF($G3494="TX_CURR_SUBNAT.R","CY2022Q4",$M3494),"")</f>
        <v>[YCKiBAp8QAg]|50+|Female|Untreated_PLHIV_Attend.T_1|CY2023Q3</v>
      </c>
    </row>
    <row r="3495" customFormat="false" ht="15" hidden="false" customHeight="false" outlineLevel="0" collapsed="false">
      <c r="D3495" s="0" t="s">
        <v>129</v>
      </c>
      <c r="E3495" s="0" t="s">
        <v>130</v>
      </c>
      <c r="F3495" s="0" t="s">
        <v>131</v>
      </c>
      <c r="G3495" s="0" t="s">
        <v>151</v>
      </c>
      <c r="H3495" s="0" t="s">
        <v>151</v>
      </c>
      <c r="I3495" s="0" t="s">
        <v>28</v>
      </c>
      <c r="J3495" s="0" t="s">
        <v>29</v>
      </c>
      <c r="K3495" s="0" t="s">
        <v>48</v>
      </c>
      <c r="L3495" s="0" t="s">
        <v>49</v>
      </c>
      <c r="M3495" s="0" t="s">
        <v>140</v>
      </c>
      <c r="N3495" s="0" t="n">
        <v>1839</v>
      </c>
      <c r="O3495" s="10" t="n">
        <v>0.52558463672176</v>
      </c>
      <c r="P3495" s="10" t="n">
        <v>0.556908084778115</v>
      </c>
      <c r="Q3495" s="0" t="str">
        <f aca="false">SUBSTITUTE(SUBSTITUTE($I3495,CHAR(61),""),CHAR(34),"")</f>
        <v>&lt;01</v>
      </c>
      <c r="R3495" s="0" t="str">
        <f aca="false">IF($D3495&lt;&gt;"","["&amp;$E3495&amp;"]"&amp;"|"&amp;$Q3495&amp;"|"&amp;$K3495&amp;"|"&amp;$G3495&amp;"|"&amp;IF($G3495="TX_CURR_SUBNAT.R","CY2022Q4",$M3495),"")</f>
        <v>[YCKiBAp8QAg]|&lt;01|Male|Untreated_PLHIV_Attend.T_1|CY2023Q3</v>
      </c>
    </row>
    <row r="3496" customFormat="false" ht="15" hidden="false" customHeight="false" outlineLevel="0" collapsed="false">
      <c r="D3496" s="0" t="s">
        <v>129</v>
      </c>
      <c r="E3496" s="0" t="s">
        <v>130</v>
      </c>
      <c r="F3496" s="0" t="s">
        <v>131</v>
      </c>
      <c r="G3496" s="0" t="s">
        <v>151</v>
      </c>
      <c r="H3496" s="0" t="s">
        <v>151</v>
      </c>
      <c r="I3496" s="0" t="s">
        <v>33</v>
      </c>
      <c r="J3496" s="0" t="s">
        <v>34</v>
      </c>
      <c r="K3496" s="0" t="s">
        <v>48</v>
      </c>
      <c r="L3496" s="0" t="s">
        <v>49</v>
      </c>
      <c r="M3496" s="0" t="s">
        <v>140</v>
      </c>
      <c r="N3496" s="0" t="n">
        <v>1483</v>
      </c>
      <c r="O3496" s="10" t="n">
        <v>0.909820297267288</v>
      </c>
      <c r="P3496" s="10" t="n">
        <v>0.556908084778115</v>
      </c>
      <c r="Q3496" s="0" t="str">
        <f aca="false">SUBSTITUTE(SUBSTITUTE($I3496,CHAR(61),""),CHAR(34),"")</f>
        <v>01-09</v>
      </c>
      <c r="R3496" s="0" t="str">
        <f aca="false">IF($D3496&lt;&gt;"","["&amp;$E3496&amp;"]"&amp;"|"&amp;$Q3496&amp;"|"&amp;$K3496&amp;"|"&amp;$G3496&amp;"|"&amp;IF($G3496="TX_CURR_SUBNAT.R","CY2022Q4",$M3496),"")</f>
        <v>[YCKiBAp8QAg]|01-09|Male|Untreated_PLHIV_Attend.T_1|CY2023Q3</v>
      </c>
    </row>
    <row r="3497" customFormat="false" ht="15" hidden="false" customHeight="false" outlineLevel="0" collapsed="false">
      <c r="D3497" s="0" t="s">
        <v>129</v>
      </c>
      <c r="E3497" s="0" t="s">
        <v>130</v>
      </c>
      <c r="F3497" s="0" t="s">
        <v>131</v>
      </c>
      <c r="G3497" s="0" t="s">
        <v>151</v>
      </c>
      <c r="H3497" s="0" t="s">
        <v>151</v>
      </c>
      <c r="I3497" s="0" t="s">
        <v>36</v>
      </c>
      <c r="J3497" s="0" t="s">
        <v>37</v>
      </c>
      <c r="K3497" s="0" t="s">
        <v>48</v>
      </c>
      <c r="L3497" s="0" t="s">
        <v>49</v>
      </c>
      <c r="M3497" s="0" t="s">
        <v>140</v>
      </c>
      <c r="N3497" s="0" t="n">
        <v>1064</v>
      </c>
      <c r="O3497" s="10" t="n">
        <v>0.236818583216518</v>
      </c>
      <c r="P3497" s="10" t="n">
        <v>0.556908084778115</v>
      </c>
      <c r="Q3497" s="0" t="str">
        <f aca="false">SUBSTITUTE(SUBSTITUTE($I3497,CHAR(61),""),CHAR(34),"")</f>
        <v>10-14</v>
      </c>
      <c r="R3497" s="0" t="str">
        <f aca="false">IF($D3497&lt;&gt;"","["&amp;$E3497&amp;"]"&amp;"|"&amp;$Q3497&amp;"|"&amp;$K3497&amp;"|"&amp;$G3497&amp;"|"&amp;IF($G3497="TX_CURR_SUBNAT.R","CY2022Q4",$M3497),"")</f>
        <v>[YCKiBAp8QAg]|10-14|Male|Untreated_PLHIV_Attend.T_1|CY2023Q3</v>
      </c>
    </row>
    <row r="3498" customFormat="false" ht="15" hidden="false" customHeight="false" outlineLevel="0" collapsed="false">
      <c r="D3498" s="0" t="s">
        <v>129</v>
      </c>
      <c r="E3498" s="0" t="s">
        <v>130</v>
      </c>
      <c r="F3498" s="0" t="s">
        <v>131</v>
      </c>
      <c r="G3498" s="0" t="s">
        <v>151</v>
      </c>
      <c r="H3498" s="0" t="s">
        <v>151</v>
      </c>
      <c r="I3498" s="0" t="s">
        <v>38</v>
      </c>
      <c r="J3498" s="0" t="s">
        <v>39</v>
      </c>
      <c r="K3498" s="0" t="s">
        <v>48</v>
      </c>
      <c r="L3498" s="0" t="s">
        <v>49</v>
      </c>
      <c r="M3498" s="0" t="s">
        <v>140</v>
      </c>
      <c r="N3498" s="0" t="n">
        <v>1636</v>
      </c>
      <c r="O3498" s="10" t="n">
        <v>0.210966221988201</v>
      </c>
      <c r="P3498" s="10" t="n">
        <v>0.556908084778115</v>
      </c>
      <c r="Q3498" s="0" t="str">
        <f aca="false">SUBSTITUTE(SUBSTITUTE($I3498,CHAR(61),""),CHAR(34),"")</f>
        <v>15-24</v>
      </c>
      <c r="R3498" s="0" t="str">
        <f aca="false">IF($D3498&lt;&gt;"","["&amp;$E3498&amp;"]"&amp;"|"&amp;$Q3498&amp;"|"&amp;$K3498&amp;"|"&amp;$G3498&amp;"|"&amp;IF($G3498="TX_CURR_SUBNAT.R","CY2022Q4",$M3498),"")</f>
        <v>[YCKiBAp8QAg]|15-24|Male|Untreated_PLHIV_Attend.T_1|CY2023Q3</v>
      </c>
    </row>
    <row r="3499" customFormat="false" ht="15" hidden="false" customHeight="false" outlineLevel="0" collapsed="false">
      <c r="D3499" s="0" t="s">
        <v>129</v>
      </c>
      <c r="E3499" s="0" t="s">
        <v>130</v>
      </c>
      <c r="F3499" s="0" t="s">
        <v>131</v>
      </c>
      <c r="G3499" s="0" t="s">
        <v>151</v>
      </c>
      <c r="H3499" s="0" t="s">
        <v>151</v>
      </c>
      <c r="I3499" s="0" t="s">
        <v>41</v>
      </c>
      <c r="J3499" s="0" t="s">
        <v>42</v>
      </c>
      <c r="K3499" s="0" t="s">
        <v>48</v>
      </c>
      <c r="L3499" s="0" t="s">
        <v>49</v>
      </c>
      <c r="M3499" s="0" t="s">
        <v>140</v>
      </c>
      <c r="N3499" s="0" t="n">
        <v>1176</v>
      </c>
      <c r="O3499" s="10" t="n">
        <v>0.341777087422088</v>
      </c>
      <c r="P3499" s="10" t="n">
        <v>0.556908084778115</v>
      </c>
      <c r="Q3499" s="0" t="str">
        <f aca="false">SUBSTITUTE(SUBSTITUTE($I3499,CHAR(61),""),CHAR(34),"")</f>
        <v>25-34</v>
      </c>
      <c r="R3499" s="0" t="str">
        <f aca="false">IF($D3499&lt;&gt;"","["&amp;$E3499&amp;"]"&amp;"|"&amp;$Q3499&amp;"|"&amp;$K3499&amp;"|"&amp;$G3499&amp;"|"&amp;IF($G3499="TX_CURR_SUBNAT.R","CY2022Q4",$M3499),"")</f>
        <v>[YCKiBAp8QAg]|25-34|Male|Untreated_PLHIV_Attend.T_1|CY2023Q3</v>
      </c>
    </row>
    <row r="3500" customFormat="false" ht="15" hidden="false" customHeight="false" outlineLevel="0" collapsed="false">
      <c r="D3500" s="0" t="s">
        <v>129</v>
      </c>
      <c r="E3500" s="0" t="s">
        <v>130</v>
      </c>
      <c r="F3500" s="0" t="s">
        <v>131</v>
      </c>
      <c r="G3500" s="0" t="s">
        <v>151</v>
      </c>
      <c r="H3500" s="0" t="s">
        <v>151</v>
      </c>
      <c r="I3500" s="0" t="s">
        <v>43</v>
      </c>
      <c r="J3500" s="0" t="s">
        <v>44</v>
      </c>
      <c r="K3500" s="0" t="s">
        <v>48</v>
      </c>
      <c r="L3500" s="0" t="s">
        <v>49</v>
      </c>
      <c r="M3500" s="0" t="s">
        <v>140</v>
      </c>
      <c r="N3500" s="0" t="n">
        <v>692</v>
      </c>
      <c r="O3500" s="10" t="n">
        <v>0.601416623219848</v>
      </c>
      <c r="P3500" s="10" t="n">
        <v>0.556908084778115</v>
      </c>
      <c r="Q3500" s="0" t="str">
        <f aca="false">SUBSTITUTE(SUBSTITUTE($I3500,CHAR(61),""),CHAR(34),"")</f>
        <v>35-49</v>
      </c>
      <c r="R3500" s="0" t="str">
        <f aca="false">IF($D3500&lt;&gt;"","["&amp;$E3500&amp;"]"&amp;"|"&amp;$Q3500&amp;"|"&amp;$K3500&amp;"|"&amp;$G3500&amp;"|"&amp;IF($G3500="TX_CURR_SUBNAT.R","CY2022Q4",$M3500),"")</f>
        <v>[YCKiBAp8QAg]|35-49|Male|Untreated_PLHIV_Attend.T_1|CY2023Q3</v>
      </c>
    </row>
    <row r="3501" customFormat="false" ht="15" hidden="false" customHeight="false" outlineLevel="0" collapsed="false">
      <c r="D3501" s="0" t="s">
        <v>129</v>
      </c>
      <c r="E3501" s="0" t="s">
        <v>130</v>
      </c>
      <c r="F3501" s="0" t="s">
        <v>131</v>
      </c>
      <c r="G3501" s="0" t="s">
        <v>151</v>
      </c>
      <c r="H3501" s="0" t="s">
        <v>151</v>
      </c>
      <c r="I3501" s="0" t="s">
        <v>45</v>
      </c>
      <c r="J3501" s="0" t="s">
        <v>46</v>
      </c>
      <c r="K3501" s="0" t="s">
        <v>48</v>
      </c>
      <c r="L3501" s="0" t="s">
        <v>49</v>
      </c>
      <c r="M3501" s="0" t="s">
        <v>140</v>
      </c>
      <c r="N3501" s="0" t="n">
        <v>1548</v>
      </c>
      <c r="O3501" s="10" t="n">
        <v>0.292185127502307</v>
      </c>
      <c r="P3501" s="10" t="n">
        <v>0.556908084778115</v>
      </c>
      <c r="Q3501" s="0" t="str">
        <f aca="false">SUBSTITUTE(SUBSTITUTE($I3501,CHAR(61),""),CHAR(34),"")</f>
        <v>50+</v>
      </c>
      <c r="R3501" s="0" t="str">
        <f aca="false">IF($D3501&lt;&gt;"","["&amp;$E3501&amp;"]"&amp;"|"&amp;$Q3501&amp;"|"&amp;$K3501&amp;"|"&amp;$G3501&amp;"|"&amp;IF($G3501="TX_CURR_SUBNAT.R","CY2022Q4",$M3501),"")</f>
        <v>[YCKiBAp8QAg]|50+|Male|Untreated_PLHIV_Attend.T_1|CY2023Q3</v>
      </c>
    </row>
    <row r="3502" customFormat="false" ht="15" hidden="false" customHeight="false" outlineLevel="0" collapsed="false">
      <c r="D3502" s="0" t="s">
        <v>132</v>
      </c>
      <c r="E3502" s="0" t="s">
        <v>133</v>
      </c>
      <c r="F3502" s="0" t="s">
        <v>134</v>
      </c>
      <c r="G3502" s="0" t="s">
        <v>151</v>
      </c>
      <c r="H3502" s="0" t="s">
        <v>151</v>
      </c>
      <c r="I3502" s="0" t="s">
        <v>28</v>
      </c>
      <c r="J3502" s="0" t="s">
        <v>29</v>
      </c>
      <c r="K3502" s="0" t="s">
        <v>30</v>
      </c>
      <c r="L3502" s="0" t="s">
        <v>31</v>
      </c>
      <c r="M3502" s="0" t="s">
        <v>140</v>
      </c>
      <c r="N3502" s="0" t="n">
        <v>1461</v>
      </c>
      <c r="O3502" s="10" t="n">
        <v>0.631812528008595</v>
      </c>
      <c r="P3502" s="10" t="n">
        <v>0.162863194011152</v>
      </c>
      <c r="Q3502" s="0" t="str">
        <f aca="false">SUBSTITUTE(SUBSTITUTE($I3502,CHAR(61),""),CHAR(34),"")</f>
        <v>&lt;01</v>
      </c>
      <c r="R3502" s="0" t="str">
        <f aca="false">IF($D3502&lt;&gt;"","["&amp;$E3502&amp;"]"&amp;"|"&amp;$Q3502&amp;"|"&amp;$K3502&amp;"|"&amp;$G3502&amp;"|"&amp;IF($G3502="TX_CURR_SUBNAT.R","CY2022Q4",$M3502),"")</f>
        <v>[JQKLKuVuY61]|&lt;01|Female|Untreated_PLHIV_Attend.T_1|CY2023Q3</v>
      </c>
    </row>
    <row r="3503" customFormat="false" ht="15" hidden="false" customHeight="false" outlineLevel="0" collapsed="false">
      <c r="D3503" s="0" t="s">
        <v>132</v>
      </c>
      <c r="E3503" s="0" t="s">
        <v>133</v>
      </c>
      <c r="F3503" s="0" t="s">
        <v>134</v>
      </c>
      <c r="G3503" s="0" t="s">
        <v>151</v>
      </c>
      <c r="H3503" s="0" t="s">
        <v>151</v>
      </c>
      <c r="I3503" s="0" t="s">
        <v>33</v>
      </c>
      <c r="J3503" s="0" t="s">
        <v>34</v>
      </c>
      <c r="K3503" s="0" t="s">
        <v>30</v>
      </c>
      <c r="L3503" s="0" t="s">
        <v>31</v>
      </c>
      <c r="M3503" s="0" t="s">
        <v>140</v>
      </c>
      <c r="N3503" s="0" t="n">
        <v>1080</v>
      </c>
      <c r="O3503" s="10" t="n">
        <v>0.187794903060421</v>
      </c>
      <c r="P3503" s="10" t="n">
        <v>0.162863194011152</v>
      </c>
      <c r="Q3503" s="0" t="str">
        <f aca="false">SUBSTITUTE(SUBSTITUTE($I3503,CHAR(61),""),CHAR(34),"")</f>
        <v>01-09</v>
      </c>
      <c r="R3503" s="0" t="str">
        <f aca="false">IF($D3503&lt;&gt;"","["&amp;$E3503&amp;"]"&amp;"|"&amp;$Q3503&amp;"|"&amp;$K3503&amp;"|"&amp;$G3503&amp;"|"&amp;IF($G3503="TX_CURR_SUBNAT.R","CY2022Q4",$M3503),"")</f>
        <v>[JQKLKuVuY61]|01-09|Female|Untreated_PLHIV_Attend.T_1|CY2023Q3</v>
      </c>
    </row>
    <row r="3504" customFormat="false" ht="15" hidden="false" customHeight="false" outlineLevel="0" collapsed="false">
      <c r="D3504" s="0" t="s">
        <v>132</v>
      </c>
      <c r="E3504" s="0" t="s">
        <v>133</v>
      </c>
      <c r="F3504" s="0" t="s">
        <v>134</v>
      </c>
      <c r="G3504" s="0" t="s">
        <v>151</v>
      </c>
      <c r="H3504" s="0" t="s">
        <v>151</v>
      </c>
      <c r="I3504" s="0" t="s">
        <v>36</v>
      </c>
      <c r="J3504" s="0" t="s">
        <v>37</v>
      </c>
      <c r="K3504" s="0" t="s">
        <v>30</v>
      </c>
      <c r="L3504" s="0" t="s">
        <v>31</v>
      </c>
      <c r="M3504" s="0" t="s">
        <v>140</v>
      </c>
      <c r="N3504" s="0" t="n">
        <v>591</v>
      </c>
      <c r="O3504" s="10" t="n">
        <v>0.451577584492043</v>
      </c>
      <c r="P3504" s="10" t="n">
        <v>0.162863194011152</v>
      </c>
      <c r="Q3504" s="0" t="str">
        <f aca="false">SUBSTITUTE(SUBSTITUTE($I3504,CHAR(61),""),CHAR(34),"")</f>
        <v>10-14</v>
      </c>
      <c r="R3504" s="0" t="str">
        <f aca="false">IF($D3504&lt;&gt;"","["&amp;$E3504&amp;"]"&amp;"|"&amp;$Q3504&amp;"|"&amp;$K3504&amp;"|"&amp;$G3504&amp;"|"&amp;IF($G3504="TX_CURR_SUBNAT.R","CY2022Q4",$M3504),"")</f>
        <v>[JQKLKuVuY61]|10-14|Female|Untreated_PLHIV_Attend.T_1|CY2023Q3</v>
      </c>
    </row>
    <row r="3505" customFormat="false" ht="15" hidden="false" customHeight="false" outlineLevel="0" collapsed="false">
      <c r="D3505" s="0" t="s">
        <v>132</v>
      </c>
      <c r="E3505" s="0" t="s">
        <v>133</v>
      </c>
      <c r="F3505" s="0" t="s">
        <v>134</v>
      </c>
      <c r="G3505" s="0" t="s">
        <v>151</v>
      </c>
      <c r="H3505" s="0" t="s">
        <v>151</v>
      </c>
      <c r="I3505" s="0" t="s">
        <v>38</v>
      </c>
      <c r="J3505" s="0" t="s">
        <v>39</v>
      </c>
      <c r="K3505" s="0" t="s">
        <v>30</v>
      </c>
      <c r="L3505" s="0" t="s">
        <v>31</v>
      </c>
      <c r="M3505" s="0" t="s">
        <v>140</v>
      </c>
      <c r="N3505" s="0" t="n">
        <v>1403</v>
      </c>
      <c r="O3505" s="10" t="n">
        <v>0.808715048478916</v>
      </c>
      <c r="P3505" s="10" t="n">
        <v>0.162863194011152</v>
      </c>
      <c r="Q3505" s="0" t="str">
        <f aca="false">SUBSTITUTE(SUBSTITUTE($I3505,CHAR(61),""),CHAR(34),"")</f>
        <v>15-24</v>
      </c>
      <c r="R3505" s="0" t="str">
        <f aca="false">IF($D3505&lt;&gt;"","["&amp;$E3505&amp;"]"&amp;"|"&amp;$Q3505&amp;"|"&amp;$K3505&amp;"|"&amp;$G3505&amp;"|"&amp;IF($G3505="TX_CURR_SUBNAT.R","CY2022Q4",$M3505),"")</f>
        <v>[JQKLKuVuY61]|15-24|Female|Untreated_PLHIV_Attend.T_1|CY2023Q3</v>
      </c>
    </row>
    <row r="3506" customFormat="false" ht="15" hidden="false" customHeight="false" outlineLevel="0" collapsed="false">
      <c r="D3506" s="0" t="s">
        <v>132</v>
      </c>
      <c r="E3506" s="0" t="s">
        <v>133</v>
      </c>
      <c r="F3506" s="0" t="s">
        <v>134</v>
      </c>
      <c r="G3506" s="0" t="s">
        <v>151</v>
      </c>
      <c r="H3506" s="0" t="s">
        <v>151</v>
      </c>
      <c r="I3506" s="0" t="s">
        <v>41</v>
      </c>
      <c r="J3506" s="0" t="s">
        <v>42</v>
      </c>
      <c r="K3506" s="0" t="s">
        <v>30</v>
      </c>
      <c r="L3506" s="0" t="s">
        <v>31</v>
      </c>
      <c r="M3506" s="0" t="s">
        <v>140</v>
      </c>
      <c r="N3506" s="0" t="n">
        <v>1461</v>
      </c>
      <c r="O3506" s="10" t="n">
        <v>0.369701881427318</v>
      </c>
      <c r="P3506" s="10" t="n">
        <v>0.162863194011152</v>
      </c>
      <c r="Q3506" s="0" t="str">
        <f aca="false">SUBSTITUTE(SUBSTITUTE($I3506,CHAR(61),""),CHAR(34),"")</f>
        <v>25-34</v>
      </c>
      <c r="R3506" s="0" t="str">
        <f aca="false">IF($D3506&lt;&gt;"","["&amp;$E3506&amp;"]"&amp;"|"&amp;$Q3506&amp;"|"&amp;$K3506&amp;"|"&amp;$G3506&amp;"|"&amp;IF($G3506="TX_CURR_SUBNAT.R","CY2022Q4",$M3506),"")</f>
        <v>[JQKLKuVuY61]|25-34|Female|Untreated_PLHIV_Attend.T_1|CY2023Q3</v>
      </c>
    </row>
    <row r="3507" customFormat="false" ht="15" hidden="false" customHeight="false" outlineLevel="0" collapsed="false">
      <c r="D3507" s="0" t="s">
        <v>132</v>
      </c>
      <c r="E3507" s="0" t="s">
        <v>133</v>
      </c>
      <c r="F3507" s="0" t="s">
        <v>134</v>
      </c>
      <c r="G3507" s="0" t="s">
        <v>151</v>
      </c>
      <c r="H3507" s="0" t="s">
        <v>151</v>
      </c>
      <c r="I3507" s="0" t="s">
        <v>43</v>
      </c>
      <c r="J3507" s="0" t="s">
        <v>44</v>
      </c>
      <c r="K3507" s="0" t="s">
        <v>30</v>
      </c>
      <c r="L3507" s="0" t="s">
        <v>31</v>
      </c>
      <c r="M3507" s="0" t="s">
        <v>140</v>
      </c>
      <c r="N3507" s="0" t="n">
        <v>1038</v>
      </c>
      <c r="O3507" s="10" t="n">
        <v>0.767187368590385</v>
      </c>
      <c r="P3507" s="10" t="n">
        <v>0.162863194011152</v>
      </c>
      <c r="Q3507" s="0" t="str">
        <f aca="false">SUBSTITUTE(SUBSTITUTE($I3507,CHAR(61),""),CHAR(34),"")</f>
        <v>35-49</v>
      </c>
      <c r="R3507" s="0" t="str">
        <f aca="false">IF($D3507&lt;&gt;"","["&amp;$E3507&amp;"]"&amp;"|"&amp;$Q3507&amp;"|"&amp;$K3507&amp;"|"&amp;$G3507&amp;"|"&amp;IF($G3507="TX_CURR_SUBNAT.R","CY2022Q4",$M3507),"")</f>
        <v>[JQKLKuVuY61]|35-49|Female|Untreated_PLHIV_Attend.T_1|CY2023Q3</v>
      </c>
    </row>
    <row r="3508" customFormat="false" ht="15" hidden="false" customHeight="false" outlineLevel="0" collapsed="false">
      <c r="D3508" s="0" t="s">
        <v>132</v>
      </c>
      <c r="E3508" s="0" t="s">
        <v>133</v>
      </c>
      <c r="F3508" s="0" t="s">
        <v>134</v>
      </c>
      <c r="G3508" s="0" t="s">
        <v>151</v>
      </c>
      <c r="H3508" s="0" t="s">
        <v>151</v>
      </c>
      <c r="I3508" s="0" t="s">
        <v>45</v>
      </c>
      <c r="J3508" s="0" t="s">
        <v>46</v>
      </c>
      <c r="K3508" s="0" t="s">
        <v>30</v>
      </c>
      <c r="L3508" s="0" t="s">
        <v>31</v>
      </c>
      <c r="M3508" s="0" t="s">
        <v>140</v>
      </c>
      <c r="N3508" s="0" t="n">
        <v>957</v>
      </c>
      <c r="O3508" s="10" t="n">
        <v>0.513303824700415</v>
      </c>
      <c r="P3508" s="10" t="n">
        <v>0.162863194011152</v>
      </c>
      <c r="Q3508" s="0" t="str">
        <f aca="false">SUBSTITUTE(SUBSTITUTE($I3508,CHAR(61),""),CHAR(34),"")</f>
        <v>50+</v>
      </c>
      <c r="R3508" s="0" t="str">
        <f aca="false">IF($D3508&lt;&gt;"","["&amp;$E3508&amp;"]"&amp;"|"&amp;$Q3508&amp;"|"&amp;$K3508&amp;"|"&amp;$G3508&amp;"|"&amp;IF($G3508="TX_CURR_SUBNAT.R","CY2022Q4",$M3508),"")</f>
        <v>[JQKLKuVuY61]|50+|Female|Untreated_PLHIV_Attend.T_1|CY2023Q3</v>
      </c>
    </row>
    <row r="3509" customFormat="false" ht="15" hidden="false" customHeight="false" outlineLevel="0" collapsed="false">
      <c r="D3509" s="0" t="s">
        <v>132</v>
      </c>
      <c r="E3509" s="0" t="s">
        <v>133</v>
      </c>
      <c r="F3509" s="0" t="s">
        <v>134</v>
      </c>
      <c r="G3509" s="0" t="s">
        <v>151</v>
      </c>
      <c r="H3509" s="0" t="s">
        <v>151</v>
      </c>
      <c r="I3509" s="0" t="s">
        <v>28</v>
      </c>
      <c r="J3509" s="0" t="s">
        <v>29</v>
      </c>
      <c r="K3509" s="0" t="s">
        <v>48</v>
      </c>
      <c r="L3509" s="0" t="s">
        <v>49</v>
      </c>
      <c r="M3509" s="0" t="s">
        <v>140</v>
      </c>
      <c r="N3509" s="0" t="n">
        <v>1934</v>
      </c>
      <c r="O3509" s="10" t="n">
        <v>0.95643865945749</v>
      </c>
      <c r="P3509" s="10" t="n">
        <v>0.162863194011152</v>
      </c>
      <c r="Q3509" s="0" t="str">
        <f aca="false">SUBSTITUTE(SUBSTITUTE($I3509,CHAR(61),""),CHAR(34),"")</f>
        <v>&lt;01</v>
      </c>
      <c r="R3509" s="0" t="str">
        <f aca="false">IF($D3509&lt;&gt;"","["&amp;$E3509&amp;"]"&amp;"|"&amp;$Q3509&amp;"|"&amp;$K3509&amp;"|"&amp;$G3509&amp;"|"&amp;IF($G3509="TX_CURR_SUBNAT.R","CY2022Q4",$M3509),"")</f>
        <v>[JQKLKuVuY61]|&lt;01|Male|Untreated_PLHIV_Attend.T_1|CY2023Q3</v>
      </c>
    </row>
    <row r="3510" customFormat="false" ht="15" hidden="false" customHeight="false" outlineLevel="0" collapsed="false">
      <c r="D3510" s="0" t="s">
        <v>132</v>
      </c>
      <c r="E3510" s="0" t="s">
        <v>133</v>
      </c>
      <c r="F3510" s="0" t="s">
        <v>134</v>
      </c>
      <c r="G3510" s="0" t="s">
        <v>151</v>
      </c>
      <c r="H3510" s="0" t="s">
        <v>151</v>
      </c>
      <c r="I3510" s="0" t="s">
        <v>33</v>
      </c>
      <c r="J3510" s="0" t="s">
        <v>34</v>
      </c>
      <c r="K3510" s="0" t="s">
        <v>48</v>
      </c>
      <c r="L3510" s="0" t="s">
        <v>49</v>
      </c>
      <c r="M3510" s="0" t="s">
        <v>140</v>
      </c>
      <c r="N3510" s="0" t="n">
        <v>1456</v>
      </c>
      <c r="O3510" s="10" t="n">
        <v>0.0581045087892562</v>
      </c>
      <c r="P3510" s="10" t="n">
        <v>0.162863194011152</v>
      </c>
      <c r="Q3510" s="0" t="str">
        <f aca="false">SUBSTITUTE(SUBSTITUTE($I3510,CHAR(61),""),CHAR(34),"")</f>
        <v>01-09</v>
      </c>
      <c r="R3510" s="0" t="str">
        <f aca="false">IF($D3510&lt;&gt;"","["&amp;$E3510&amp;"]"&amp;"|"&amp;$Q3510&amp;"|"&amp;$K3510&amp;"|"&amp;$G3510&amp;"|"&amp;IF($G3510="TX_CURR_SUBNAT.R","CY2022Q4",$M3510),"")</f>
        <v>[JQKLKuVuY61]|01-09|Male|Untreated_PLHIV_Attend.T_1|CY2023Q3</v>
      </c>
    </row>
    <row r="3511" customFormat="false" ht="15" hidden="false" customHeight="false" outlineLevel="0" collapsed="false">
      <c r="D3511" s="0" t="s">
        <v>132</v>
      </c>
      <c r="E3511" s="0" t="s">
        <v>133</v>
      </c>
      <c r="F3511" s="0" t="s">
        <v>134</v>
      </c>
      <c r="G3511" s="0" t="s">
        <v>151</v>
      </c>
      <c r="H3511" s="0" t="s">
        <v>151</v>
      </c>
      <c r="I3511" s="0" t="s">
        <v>36</v>
      </c>
      <c r="J3511" s="0" t="s">
        <v>37</v>
      </c>
      <c r="K3511" s="0" t="s">
        <v>48</v>
      </c>
      <c r="L3511" s="0" t="s">
        <v>49</v>
      </c>
      <c r="M3511" s="0" t="s">
        <v>140</v>
      </c>
      <c r="N3511" s="0" t="n">
        <v>925</v>
      </c>
      <c r="O3511" s="10" t="n">
        <v>0.579782364657149</v>
      </c>
      <c r="P3511" s="10" t="n">
        <v>0.162863194011152</v>
      </c>
      <c r="Q3511" s="0" t="str">
        <f aca="false">SUBSTITUTE(SUBSTITUTE($I3511,CHAR(61),""),CHAR(34),"")</f>
        <v>10-14</v>
      </c>
      <c r="R3511" s="0" t="str">
        <f aca="false">IF($D3511&lt;&gt;"","["&amp;$E3511&amp;"]"&amp;"|"&amp;$Q3511&amp;"|"&amp;$K3511&amp;"|"&amp;$G3511&amp;"|"&amp;IF($G3511="TX_CURR_SUBNAT.R","CY2022Q4",$M3511),"")</f>
        <v>[JQKLKuVuY61]|10-14|Male|Untreated_PLHIV_Attend.T_1|CY2023Q3</v>
      </c>
    </row>
    <row r="3512" customFormat="false" ht="15" hidden="false" customHeight="false" outlineLevel="0" collapsed="false">
      <c r="D3512" s="0" t="s">
        <v>132</v>
      </c>
      <c r="E3512" s="0" t="s">
        <v>133</v>
      </c>
      <c r="F3512" s="0" t="s">
        <v>134</v>
      </c>
      <c r="G3512" s="0" t="s">
        <v>151</v>
      </c>
      <c r="H3512" s="0" t="s">
        <v>151</v>
      </c>
      <c r="I3512" s="0" t="s">
        <v>38</v>
      </c>
      <c r="J3512" s="0" t="s">
        <v>39</v>
      </c>
      <c r="K3512" s="0" t="s">
        <v>48</v>
      </c>
      <c r="L3512" s="0" t="s">
        <v>49</v>
      </c>
      <c r="M3512" s="0" t="s">
        <v>140</v>
      </c>
      <c r="N3512" s="0" t="n">
        <v>1872</v>
      </c>
      <c r="O3512" s="10" t="n">
        <v>0.316787355812266</v>
      </c>
      <c r="P3512" s="10" t="n">
        <v>0.162863194011152</v>
      </c>
      <c r="Q3512" s="0" t="str">
        <f aca="false">SUBSTITUTE(SUBSTITUTE($I3512,CHAR(61),""),CHAR(34),"")</f>
        <v>15-24</v>
      </c>
      <c r="R3512" s="0" t="str">
        <f aca="false">IF($D3512&lt;&gt;"","["&amp;$E3512&amp;"]"&amp;"|"&amp;$Q3512&amp;"|"&amp;$K3512&amp;"|"&amp;$G3512&amp;"|"&amp;IF($G3512="TX_CURR_SUBNAT.R","CY2022Q4",$M3512),"")</f>
        <v>[JQKLKuVuY61]|15-24|Male|Untreated_PLHIV_Attend.T_1|CY2023Q3</v>
      </c>
    </row>
    <row r="3513" customFormat="false" ht="15" hidden="false" customHeight="false" outlineLevel="0" collapsed="false">
      <c r="D3513" s="0" t="s">
        <v>132</v>
      </c>
      <c r="E3513" s="0" t="s">
        <v>133</v>
      </c>
      <c r="F3513" s="0" t="s">
        <v>134</v>
      </c>
      <c r="G3513" s="0" t="s">
        <v>151</v>
      </c>
      <c r="H3513" s="0" t="s">
        <v>151</v>
      </c>
      <c r="I3513" s="0" t="s">
        <v>41</v>
      </c>
      <c r="J3513" s="0" t="s">
        <v>42</v>
      </c>
      <c r="K3513" s="0" t="s">
        <v>48</v>
      </c>
      <c r="L3513" s="0" t="s">
        <v>49</v>
      </c>
      <c r="M3513" s="0" t="s">
        <v>140</v>
      </c>
      <c r="N3513" s="0" t="n">
        <v>1118</v>
      </c>
      <c r="O3513" s="10" t="n">
        <v>0.518232895527035</v>
      </c>
      <c r="P3513" s="10" t="n">
        <v>0.162863194011152</v>
      </c>
      <c r="Q3513" s="0" t="str">
        <f aca="false">SUBSTITUTE(SUBSTITUTE($I3513,CHAR(61),""),CHAR(34),"")</f>
        <v>25-34</v>
      </c>
      <c r="R3513" s="0" t="str">
        <f aca="false">IF($D3513&lt;&gt;"","["&amp;$E3513&amp;"]"&amp;"|"&amp;$Q3513&amp;"|"&amp;$K3513&amp;"|"&amp;$G3513&amp;"|"&amp;IF($G3513="TX_CURR_SUBNAT.R","CY2022Q4",$M3513),"")</f>
        <v>[JQKLKuVuY61]|25-34|Male|Untreated_PLHIV_Attend.T_1|CY2023Q3</v>
      </c>
    </row>
    <row r="3514" customFormat="false" ht="15" hidden="false" customHeight="false" outlineLevel="0" collapsed="false">
      <c r="D3514" s="0" t="s">
        <v>132</v>
      </c>
      <c r="E3514" s="0" t="s">
        <v>133</v>
      </c>
      <c r="F3514" s="0" t="s">
        <v>134</v>
      </c>
      <c r="G3514" s="0" t="s">
        <v>151</v>
      </c>
      <c r="H3514" s="0" t="s">
        <v>151</v>
      </c>
      <c r="I3514" s="0" t="s">
        <v>43</v>
      </c>
      <c r="J3514" s="0" t="s">
        <v>44</v>
      </c>
      <c r="K3514" s="0" t="s">
        <v>48</v>
      </c>
      <c r="L3514" s="0" t="s">
        <v>49</v>
      </c>
      <c r="M3514" s="0" t="s">
        <v>140</v>
      </c>
      <c r="N3514" s="0" t="n">
        <v>1437</v>
      </c>
      <c r="O3514" s="10" t="n">
        <v>0.159402150195092</v>
      </c>
      <c r="P3514" s="10" t="n">
        <v>0.162863194011152</v>
      </c>
      <c r="Q3514" s="0" t="str">
        <f aca="false">SUBSTITUTE(SUBSTITUTE($I3514,CHAR(61),""),CHAR(34),"")</f>
        <v>35-49</v>
      </c>
      <c r="R3514" s="0" t="str">
        <f aca="false">IF($D3514&lt;&gt;"","["&amp;$E3514&amp;"]"&amp;"|"&amp;$Q3514&amp;"|"&amp;$K3514&amp;"|"&amp;$G3514&amp;"|"&amp;IF($G3514="TX_CURR_SUBNAT.R","CY2022Q4",$M3514),"")</f>
        <v>[JQKLKuVuY61]|35-49|Male|Untreated_PLHIV_Attend.T_1|CY2023Q3</v>
      </c>
    </row>
    <row r="3515" customFormat="false" ht="15" hidden="false" customHeight="false" outlineLevel="0" collapsed="false">
      <c r="D3515" s="0" t="s">
        <v>132</v>
      </c>
      <c r="E3515" s="0" t="s">
        <v>133</v>
      </c>
      <c r="F3515" s="0" t="s">
        <v>134</v>
      </c>
      <c r="G3515" s="0" t="s">
        <v>151</v>
      </c>
      <c r="H3515" s="0" t="s">
        <v>151</v>
      </c>
      <c r="I3515" s="0" t="s">
        <v>45</v>
      </c>
      <c r="J3515" s="0" t="s">
        <v>46</v>
      </c>
      <c r="K3515" s="0" t="s">
        <v>48</v>
      </c>
      <c r="L3515" s="0" t="s">
        <v>49</v>
      </c>
      <c r="M3515" s="0" t="s">
        <v>140</v>
      </c>
      <c r="N3515" s="0" t="n">
        <v>869</v>
      </c>
      <c r="O3515" s="10" t="n">
        <v>0.40526753407903</v>
      </c>
      <c r="P3515" s="10" t="n">
        <v>0.162863194011152</v>
      </c>
      <c r="Q3515" s="0" t="str">
        <f aca="false">SUBSTITUTE(SUBSTITUTE($I3515,CHAR(61),""),CHAR(34),"")</f>
        <v>50+</v>
      </c>
      <c r="R3515" s="0" t="str">
        <f aca="false">IF($D3515&lt;&gt;"","["&amp;$E3515&amp;"]"&amp;"|"&amp;$Q3515&amp;"|"&amp;$K3515&amp;"|"&amp;$G3515&amp;"|"&amp;IF($G3515="TX_CURR_SUBNAT.R","CY2022Q4",$M3515),"")</f>
        <v>[JQKLKuVuY61]|50+|Male|Untreated_PLHIV_Attend.T_1|CY2023Q3</v>
      </c>
    </row>
    <row r="3516" customFormat="false" ht="15" hidden="false" customHeight="false" outlineLevel="0" collapsed="false">
      <c r="D3516" s="0" t="s">
        <v>135</v>
      </c>
      <c r="E3516" s="0" t="s">
        <v>136</v>
      </c>
      <c r="F3516" s="0" t="s">
        <v>137</v>
      </c>
      <c r="G3516" s="0" t="s">
        <v>151</v>
      </c>
      <c r="H3516" s="0" t="s">
        <v>151</v>
      </c>
      <c r="I3516" s="0" t="s">
        <v>28</v>
      </c>
      <c r="J3516" s="0" t="s">
        <v>29</v>
      </c>
      <c r="K3516" s="0" t="s">
        <v>30</v>
      </c>
      <c r="L3516" s="0" t="s">
        <v>31</v>
      </c>
      <c r="M3516" s="0" t="s">
        <v>140</v>
      </c>
      <c r="N3516" s="0" t="n">
        <v>1490</v>
      </c>
      <c r="O3516" s="10" t="n">
        <v>0.663691497640684</v>
      </c>
      <c r="P3516" s="10" t="n">
        <v>0.955300528323278</v>
      </c>
      <c r="Q3516" s="0" t="str">
        <f aca="false">SUBSTITUTE(SUBSTITUTE($I3516,CHAR(61),""),CHAR(34),"")</f>
        <v>&lt;01</v>
      </c>
      <c r="R3516" s="0" t="str">
        <f aca="false">IF($D3516&lt;&gt;"","["&amp;$E3516&amp;"]"&amp;"|"&amp;$Q3516&amp;"|"&amp;$K3516&amp;"|"&amp;$G3516&amp;"|"&amp;IF($G3516="TX_CURR_SUBNAT.R","CY2022Q4",$M3516),"")</f>
        <v>[fiRkU6gEjLz]|&lt;01|Female|Untreated_PLHIV_Attend.T_1|CY2023Q3</v>
      </c>
    </row>
    <row r="3517" customFormat="false" ht="15" hidden="false" customHeight="false" outlineLevel="0" collapsed="false">
      <c r="D3517" s="0" t="s">
        <v>135</v>
      </c>
      <c r="E3517" s="0" t="s">
        <v>136</v>
      </c>
      <c r="F3517" s="0" t="s">
        <v>137</v>
      </c>
      <c r="G3517" s="0" t="s">
        <v>151</v>
      </c>
      <c r="H3517" s="0" t="s">
        <v>151</v>
      </c>
      <c r="I3517" s="0" t="s">
        <v>33</v>
      </c>
      <c r="J3517" s="0" t="s">
        <v>34</v>
      </c>
      <c r="K3517" s="0" t="s">
        <v>30</v>
      </c>
      <c r="L3517" s="0" t="s">
        <v>31</v>
      </c>
      <c r="M3517" s="0" t="s">
        <v>140</v>
      </c>
      <c r="N3517" s="0" t="n">
        <v>1946</v>
      </c>
      <c r="O3517" s="10" t="n">
        <v>0.139353638514876</v>
      </c>
      <c r="P3517" s="10" t="n">
        <v>0.955300528323278</v>
      </c>
      <c r="Q3517" s="0" t="str">
        <f aca="false">SUBSTITUTE(SUBSTITUTE($I3517,CHAR(61),""),CHAR(34),"")</f>
        <v>01-09</v>
      </c>
      <c r="R3517" s="0" t="str">
        <f aca="false">IF($D3517&lt;&gt;"","["&amp;$E3517&amp;"]"&amp;"|"&amp;$Q3517&amp;"|"&amp;$K3517&amp;"|"&amp;$G3517&amp;"|"&amp;IF($G3517="TX_CURR_SUBNAT.R","CY2022Q4",$M3517),"")</f>
        <v>[fiRkU6gEjLz]|01-09|Female|Untreated_PLHIV_Attend.T_1|CY2023Q3</v>
      </c>
    </row>
    <row r="3518" customFormat="false" ht="15" hidden="false" customHeight="false" outlineLevel="0" collapsed="false">
      <c r="D3518" s="0" t="s">
        <v>135</v>
      </c>
      <c r="E3518" s="0" t="s">
        <v>136</v>
      </c>
      <c r="F3518" s="0" t="s">
        <v>137</v>
      </c>
      <c r="G3518" s="0" t="s">
        <v>151</v>
      </c>
      <c r="H3518" s="0" t="s">
        <v>151</v>
      </c>
      <c r="I3518" s="0" t="s">
        <v>36</v>
      </c>
      <c r="J3518" s="0" t="s">
        <v>37</v>
      </c>
      <c r="K3518" s="0" t="s">
        <v>30</v>
      </c>
      <c r="L3518" s="0" t="s">
        <v>31</v>
      </c>
      <c r="M3518" s="0" t="s">
        <v>140</v>
      </c>
      <c r="N3518" s="0" t="n">
        <v>960</v>
      </c>
      <c r="O3518" s="10" t="n">
        <v>0.162706153467298</v>
      </c>
      <c r="P3518" s="10" t="n">
        <v>0.955300528323278</v>
      </c>
      <c r="Q3518" s="0" t="str">
        <f aca="false">SUBSTITUTE(SUBSTITUTE($I3518,CHAR(61),""),CHAR(34),"")</f>
        <v>10-14</v>
      </c>
      <c r="R3518" s="0" t="str">
        <f aca="false">IF($D3518&lt;&gt;"","["&amp;$E3518&amp;"]"&amp;"|"&amp;$Q3518&amp;"|"&amp;$K3518&amp;"|"&amp;$G3518&amp;"|"&amp;IF($G3518="TX_CURR_SUBNAT.R","CY2022Q4",$M3518),"")</f>
        <v>[fiRkU6gEjLz]|10-14|Female|Untreated_PLHIV_Attend.T_1|CY2023Q3</v>
      </c>
    </row>
    <row r="3519" customFormat="false" ht="15" hidden="false" customHeight="false" outlineLevel="0" collapsed="false">
      <c r="D3519" s="0" t="s">
        <v>135</v>
      </c>
      <c r="E3519" s="0" t="s">
        <v>136</v>
      </c>
      <c r="F3519" s="0" t="s">
        <v>137</v>
      </c>
      <c r="G3519" s="0" t="s">
        <v>151</v>
      </c>
      <c r="H3519" s="0" t="s">
        <v>151</v>
      </c>
      <c r="I3519" s="0" t="s">
        <v>38</v>
      </c>
      <c r="J3519" s="0" t="s">
        <v>39</v>
      </c>
      <c r="K3519" s="0" t="s">
        <v>30</v>
      </c>
      <c r="L3519" s="0" t="s">
        <v>31</v>
      </c>
      <c r="M3519" s="0" t="s">
        <v>140</v>
      </c>
      <c r="N3519" s="0" t="n">
        <v>1240</v>
      </c>
      <c r="O3519" s="10" t="n">
        <v>0.217527295229957</v>
      </c>
      <c r="P3519" s="10" t="n">
        <v>0.955300528323278</v>
      </c>
      <c r="Q3519" s="0" t="str">
        <f aca="false">SUBSTITUTE(SUBSTITUTE($I3519,CHAR(61),""),CHAR(34),"")</f>
        <v>15-24</v>
      </c>
      <c r="R3519" s="0" t="str">
        <f aca="false">IF($D3519&lt;&gt;"","["&amp;$E3519&amp;"]"&amp;"|"&amp;$Q3519&amp;"|"&amp;$K3519&amp;"|"&amp;$G3519&amp;"|"&amp;IF($G3519="TX_CURR_SUBNAT.R","CY2022Q4",$M3519),"")</f>
        <v>[fiRkU6gEjLz]|15-24|Female|Untreated_PLHIV_Attend.T_1|CY2023Q3</v>
      </c>
    </row>
    <row r="3520" customFormat="false" ht="15" hidden="false" customHeight="false" outlineLevel="0" collapsed="false">
      <c r="D3520" s="0" t="s">
        <v>135</v>
      </c>
      <c r="E3520" s="0" t="s">
        <v>136</v>
      </c>
      <c r="F3520" s="0" t="s">
        <v>137</v>
      </c>
      <c r="G3520" s="0" t="s">
        <v>151</v>
      </c>
      <c r="H3520" s="0" t="s">
        <v>151</v>
      </c>
      <c r="I3520" s="0" t="s">
        <v>41</v>
      </c>
      <c r="J3520" s="0" t="s">
        <v>42</v>
      </c>
      <c r="K3520" s="0" t="s">
        <v>30</v>
      </c>
      <c r="L3520" s="0" t="s">
        <v>31</v>
      </c>
      <c r="M3520" s="0" t="s">
        <v>140</v>
      </c>
      <c r="N3520" s="0" t="n">
        <v>1476</v>
      </c>
      <c r="O3520" s="10" t="n">
        <v>0.652508595958352</v>
      </c>
      <c r="P3520" s="10" t="n">
        <v>0.955300528323278</v>
      </c>
      <c r="Q3520" s="0" t="str">
        <f aca="false">SUBSTITUTE(SUBSTITUTE($I3520,CHAR(61),""),CHAR(34),"")</f>
        <v>25-34</v>
      </c>
      <c r="R3520" s="0" t="str">
        <f aca="false">IF($D3520&lt;&gt;"","["&amp;$E3520&amp;"]"&amp;"|"&amp;$Q3520&amp;"|"&amp;$K3520&amp;"|"&amp;$G3520&amp;"|"&amp;IF($G3520="TX_CURR_SUBNAT.R","CY2022Q4",$M3520),"")</f>
        <v>[fiRkU6gEjLz]|25-34|Female|Untreated_PLHIV_Attend.T_1|CY2023Q3</v>
      </c>
    </row>
    <row r="3521" customFormat="false" ht="15" hidden="false" customHeight="false" outlineLevel="0" collapsed="false">
      <c r="D3521" s="0" t="s">
        <v>135</v>
      </c>
      <c r="E3521" s="0" t="s">
        <v>136</v>
      </c>
      <c r="F3521" s="0" t="s">
        <v>137</v>
      </c>
      <c r="G3521" s="0" t="s">
        <v>151</v>
      </c>
      <c r="H3521" s="0" t="s">
        <v>151</v>
      </c>
      <c r="I3521" s="0" t="s">
        <v>43</v>
      </c>
      <c r="J3521" s="0" t="s">
        <v>44</v>
      </c>
      <c r="K3521" s="0" t="s">
        <v>30</v>
      </c>
      <c r="L3521" s="0" t="s">
        <v>31</v>
      </c>
      <c r="M3521" s="0" t="s">
        <v>140</v>
      </c>
      <c r="N3521" s="0" t="n">
        <v>1571</v>
      </c>
      <c r="O3521" s="10" t="n">
        <v>0.628027828177437</v>
      </c>
      <c r="P3521" s="10" t="n">
        <v>0.955300528323278</v>
      </c>
      <c r="Q3521" s="0" t="str">
        <f aca="false">SUBSTITUTE(SUBSTITUTE($I3521,CHAR(61),""),CHAR(34),"")</f>
        <v>35-49</v>
      </c>
      <c r="R3521" s="0" t="str">
        <f aca="false">IF($D3521&lt;&gt;"","["&amp;$E3521&amp;"]"&amp;"|"&amp;$Q3521&amp;"|"&amp;$K3521&amp;"|"&amp;$G3521&amp;"|"&amp;IF($G3521="TX_CURR_SUBNAT.R","CY2022Q4",$M3521),"")</f>
        <v>[fiRkU6gEjLz]|35-49|Female|Untreated_PLHIV_Attend.T_1|CY2023Q3</v>
      </c>
    </row>
    <row r="3522" customFormat="false" ht="15" hidden="false" customHeight="false" outlineLevel="0" collapsed="false">
      <c r="D3522" s="0" t="s">
        <v>135</v>
      </c>
      <c r="E3522" s="0" t="s">
        <v>136</v>
      </c>
      <c r="F3522" s="0" t="s">
        <v>137</v>
      </c>
      <c r="G3522" s="0" t="s">
        <v>151</v>
      </c>
      <c r="H3522" s="0" t="s">
        <v>151</v>
      </c>
      <c r="I3522" s="0" t="s">
        <v>45</v>
      </c>
      <c r="J3522" s="0" t="s">
        <v>46</v>
      </c>
      <c r="K3522" s="0" t="s">
        <v>30</v>
      </c>
      <c r="L3522" s="0" t="s">
        <v>31</v>
      </c>
      <c r="M3522" s="0" t="s">
        <v>140</v>
      </c>
      <c r="N3522" s="0" t="n">
        <v>1992</v>
      </c>
      <c r="O3522" s="10" t="n">
        <v>0.932465974939987</v>
      </c>
      <c r="P3522" s="10" t="n">
        <v>0.955300528323278</v>
      </c>
      <c r="Q3522" s="0" t="str">
        <f aca="false">SUBSTITUTE(SUBSTITUTE($I3522,CHAR(61),""),CHAR(34),"")</f>
        <v>50+</v>
      </c>
      <c r="R3522" s="0" t="str">
        <f aca="false">IF($D3522&lt;&gt;"","["&amp;$E3522&amp;"]"&amp;"|"&amp;$Q3522&amp;"|"&amp;$K3522&amp;"|"&amp;$G3522&amp;"|"&amp;IF($G3522="TX_CURR_SUBNAT.R","CY2022Q4",$M3522),"")</f>
        <v>[fiRkU6gEjLz]|50+|Female|Untreated_PLHIV_Attend.T_1|CY2023Q3</v>
      </c>
    </row>
    <row r="3523" customFormat="false" ht="15" hidden="false" customHeight="false" outlineLevel="0" collapsed="false">
      <c r="D3523" s="0" t="s">
        <v>135</v>
      </c>
      <c r="E3523" s="0" t="s">
        <v>136</v>
      </c>
      <c r="F3523" s="0" t="s">
        <v>137</v>
      </c>
      <c r="G3523" s="0" t="s">
        <v>151</v>
      </c>
      <c r="H3523" s="0" t="s">
        <v>151</v>
      </c>
      <c r="I3523" s="0" t="s">
        <v>28</v>
      </c>
      <c r="J3523" s="0" t="s">
        <v>29</v>
      </c>
      <c r="K3523" s="0" t="s">
        <v>48</v>
      </c>
      <c r="L3523" s="0" t="s">
        <v>49</v>
      </c>
      <c r="M3523" s="0" t="s">
        <v>140</v>
      </c>
      <c r="N3523" s="0" t="n">
        <v>1373</v>
      </c>
      <c r="O3523" s="10" t="n">
        <v>0.0870825981255621</v>
      </c>
      <c r="P3523" s="10" t="n">
        <v>0.955300528323278</v>
      </c>
      <c r="Q3523" s="0" t="str">
        <f aca="false">SUBSTITUTE(SUBSTITUTE($I3523,CHAR(61),""),CHAR(34),"")</f>
        <v>&lt;01</v>
      </c>
      <c r="R3523" s="0" t="str">
        <f aca="false">IF($D3523&lt;&gt;"","["&amp;$E3523&amp;"]"&amp;"|"&amp;$Q3523&amp;"|"&amp;$K3523&amp;"|"&amp;$G3523&amp;"|"&amp;IF($G3523="TX_CURR_SUBNAT.R","CY2022Q4",$M3523),"")</f>
        <v>[fiRkU6gEjLz]|&lt;01|Male|Untreated_PLHIV_Attend.T_1|CY2023Q3</v>
      </c>
    </row>
    <row r="3524" customFormat="false" ht="15" hidden="false" customHeight="false" outlineLevel="0" collapsed="false">
      <c r="D3524" s="0" t="s">
        <v>135</v>
      </c>
      <c r="E3524" s="0" t="s">
        <v>136</v>
      </c>
      <c r="F3524" s="0" t="s">
        <v>137</v>
      </c>
      <c r="G3524" s="0" t="s">
        <v>151</v>
      </c>
      <c r="H3524" s="0" t="s">
        <v>151</v>
      </c>
      <c r="I3524" s="0" t="s">
        <v>33</v>
      </c>
      <c r="J3524" s="0" t="s">
        <v>34</v>
      </c>
      <c r="K3524" s="0" t="s">
        <v>48</v>
      </c>
      <c r="L3524" s="0" t="s">
        <v>49</v>
      </c>
      <c r="M3524" s="0" t="s">
        <v>140</v>
      </c>
      <c r="N3524" s="0" t="n">
        <v>1473</v>
      </c>
      <c r="O3524" s="10" t="n">
        <v>0.692733094329014</v>
      </c>
      <c r="P3524" s="10" t="n">
        <v>0.955300528323278</v>
      </c>
      <c r="Q3524" s="0" t="str">
        <f aca="false">SUBSTITUTE(SUBSTITUTE($I3524,CHAR(61),""),CHAR(34),"")</f>
        <v>01-09</v>
      </c>
      <c r="R3524" s="0" t="str">
        <f aca="false">IF($D3524&lt;&gt;"","["&amp;$E3524&amp;"]"&amp;"|"&amp;$Q3524&amp;"|"&amp;$K3524&amp;"|"&amp;$G3524&amp;"|"&amp;IF($G3524="TX_CURR_SUBNAT.R","CY2022Q4",$M3524),"")</f>
        <v>[fiRkU6gEjLz]|01-09|Male|Untreated_PLHIV_Attend.T_1|CY2023Q3</v>
      </c>
    </row>
    <row r="3525" customFormat="false" ht="15" hidden="false" customHeight="false" outlineLevel="0" collapsed="false">
      <c r="D3525" s="0" t="s">
        <v>135</v>
      </c>
      <c r="E3525" s="0" t="s">
        <v>136</v>
      </c>
      <c r="F3525" s="0" t="s">
        <v>137</v>
      </c>
      <c r="G3525" s="0" t="s">
        <v>151</v>
      </c>
      <c r="H3525" s="0" t="s">
        <v>151</v>
      </c>
      <c r="I3525" s="0" t="s">
        <v>36</v>
      </c>
      <c r="J3525" s="0" t="s">
        <v>37</v>
      </c>
      <c r="K3525" s="0" t="s">
        <v>48</v>
      </c>
      <c r="L3525" s="0" t="s">
        <v>49</v>
      </c>
      <c r="M3525" s="0" t="s">
        <v>140</v>
      </c>
      <c r="N3525" s="0" t="n">
        <v>1947</v>
      </c>
      <c r="O3525" s="10" t="n">
        <v>0.859125453047454</v>
      </c>
      <c r="P3525" s="10" t="n">
        <v>0.955300528323278</v>
      </c>
      <c r="Q3525" s="0" t="str">
        <f aca="false">SUBSTITUTE(SUBSTITUTE($I3525,CHAR(61),""),CHAR(34),"")</f>
        <v>10-14</v>
      </c>
      <c r="R3525" s="0" t="str">
        <f aca="false">IF($D3525&lt;&gt;"","["&amp;$E3525&amp;"]"&amp;"|"&amp;$Q3525&amp;"|"&amp;$K3525&amp;"|"&amp;$G3525&amp;"|"&amp;IF($G3525="TX_CURR_SUBNAT.R","CY2022Q4",$M3525),"")</f>
        <v>[fiRkU6gEjLz]|10-14|Male|Untreated_PLHIV_Attend.T_1|CY2023Q3</v>
      </c>
    </row>
    <row r="3526" customFormat="false" ht="15" hidden="false" customHeight="false" outlineLevel="0" collapsed="false">
      <c r="D3526" s="0" t="s">
        <v>135</v>
      </c>
      <c r="E3526" s="0" t="s">
        <v>136</v>
      </c>
      <c r="F3526" s="0" t="s">
        <v>137</v>
      </c>
      <c r="G3526" s="0" t="s">
        <v>151</v>
      </c>
      <c r="H3526" s="0" t="s">
        <v>151</v>
      </c>
      <c r="I3526" s="0" t="s">
        <v>38</v>
      </c>
      <c r="J3526" s="0" t="s">
        <v>39</v>
      </c>
      <c r="K3526" s="0" t="s">
        <v>48</v>
      </c>
      <c r="L3526" s="0" t="s">
        <v>49</v>
      </c>
      <c r="M3526" s="0" t="s">
        <v>140</v>
      </c>
      <c r="N3526" s="0" t="n">
        <v>914</v>
      </c>
      <c r="O3526" s="10" t="n">
        <v>0.850661819335073</v>
      </c>
      <c r="P3526" s="10" t="n">
        <v>0.955300528323278</v>
      </c>
      <c r="Q3526" s="0" t="str">
        <f aca="false">SUBSTITUTE(SUBSTITUTE($I3526,CHAR(61),""),CHAR(34),"")</f>
        <v>15-24</v>
      </c>
      <c r="R3526" s="0" t="str">
        <f aca="false">IF($D3526&lt;&gt;"","["&amp;$E3526&amp;"]"&amp;"|"&amp;$Q3526&amp;"|"&amp;$K3526&amp;"|"&amp;$G3526&amp;"|"&amp;IF($G3526="TX_CURR_SUBNAT.R","CY2022Q4",$M3526),"")</f>
        <v>[fiRkU6gEjLz]|15-24|Male|Untreated_PLHIV_Attend.T_1|CY2023Q3</v>
      </c>
    </row>
    <row r="3527" customFormat="false" ht="15" hidden="false" customHeight="false" outlineLevel="0" collapsed="false">
      <c r="D3527" s="0" t="s">
        <v>135</v>
      </c>
      <c r="E3527" s="0" t="s">
        <v>136</v>
      </c>
      <c r="F3527" s="0" t="s">
        <v>137</v>
      </c>
      <c r="G3527" s="0" t="s">
        <v>151</v>
      </c>
      <c r="H3527" s="0" t="s">
        <v>151</v>
      </c>
      <c r="I3527" s="0" t="s">
        <v>41</v>
      </c>
      <c r="J3527" s="0" t="s">
        <v>42</v>
      </c>
      <c r="K3527" s="0" t="s">
        <v>48</v>
      </c>
      <c r="L3527" s="0" t="s">
        <v>49</v>
      </c>
      <c r="M3527" s="0" t="s">
        <v>140</v>
      </c>
      <c r="N3527" s="0" t="n">
        <v>675</v>
      </c>
      <c r="O3527" s="10" t="n">
        <v>0.577997621847317</v>
      </c>
      <c r="P3527" s="10" t="n">
        <v>0.955300528323278</v>
      </c>
      <c r="Q3527" s="0" t="str">
        <f aca="false">SUBSTITUTE(SUBSTITUTE($I3527,CHAR(61),""),CHAR(34),"")</f>
        <v>25-34</v>
      </c>
      <c r="R3527" s="0" t="str">
        <f aca="false">IF($D3527&lt;&gt;"","["&amp;$E3527&amp;"]"&amp;"|"&amp;$Q3527&amp;"|"&amp;$K3527&amp;"|"&amp;$G3527&amp;"|"&amp;IF($G3527="TX_CURR_SUBNAT.R","CY2022Q4",$M3527),"")</f>
        <v>[fiRkU6gEjLz]|25-34|Male|Untreated_PLHIV_Attend.T_1|CY2023Q3</v>
      </c>
    </row>
    <row r="3528" customFormat="false" ht="15" hidden="false" customHeight="false" outlineLevel="0" collapsed="false">
      <c r="D3528" s="0" t="s">
        <v>135</v>
      </c>
      <c r="E3528" s="0" t="s">
        <v>136</v>
      </c>
      <c r="F3528" s="0" t="s">
        <v>137</v>
      </c>
      <c r="G3528" s="0" t="s">
        <v>151</v>
      </c>
      <c r="H3528" s="0" t="s">
        <v>151</v>
      </c>
      <c r="I3528" s="0" t="s">
        <v>43</v>
      </c>
      <c r="J3528" s="0" t="s">
        <v>44</v>
      </c>
      <c r="K3528" s="0" t="s">
        <v>48</v>
      </c>
      <c r="L3528" s="0" t="s">
        <v>49</v>
      </c>
      <c r="M3528" s="0" t="s">
        <v>140</v>
      </c>
      <c r="N3528" s="0" t="n">
        <v>1352</v>
      </c>
      <c r="O3528" s="10" t="n">
        <v>0.28214891673997</v>
      </c>
      <c r="P3528" s="10" t="n">
        <v>0.955300528323278</v>
      </c>
      <c r="Q3528" s="0" t="str">
        <f aca="false">SUBSTITUTE(SUBSTITUTE($I3528,CHAR(61),""),CHAR(34),"")</f>
        <v>35-49</v>
      </c>
      <c r="R3528" s="0" t="str">
        <f aca="false">IF($D3528&lt;&gt;"","["&amp;$E3528&amp;"]"&amp;"|"&amp;$Q3528&amp;"|"&amp;$K3528&amp;"|"&amp;$G3528&amp;"|"&amp;IF($G3528="TX_CURR_SUBNAT.R","CY2022Q4",$M3528),"")</f>
        <v>[fiRkU6gEjLz]|35-49|Male|Untreated_PLHIV_Attend.T_1|CY2023Q3</v>
      </c>
    </row>
    <row r="3529" customFormat="false" ht="15" hidden="false" customHeight="false" outlineLevel="0" collapsed="false">
      <c r="D3529" s="0" t="s">
        <v>135</v>
      </c>
      <c r="E3529" s="0" t="s">
        <v>136</v>
      </c>
      <c r="F3529" s="0" t="s">
        <v>137</v>
      </c>
      <c r="G3529" s="0" t="s">
        <v>151</v>
      </c>
      <c r="H3529" s="0" t="s">
        <v>151</v>
      </c>
      <c r="I3529" s="0" t="s">
        <v>45</v>
      </c>
      <c r="J3529" s="0" t="s">
        <v>46</v>
      </c>
      <c r="K3529" s="0" t="s">
        <v>48</v>
      </c>
      <c r="L3529" s="0" t="s">
        <v>49</v>
      </c>
      <c r="M3529" s="0" t="s">
        <v>140</v>
      </c>
      <c r="N3529" s="0" t="n">
        <v>783</v>
      </c>
      <c r="O3529" s="10" t="n">
        <v>0.0725788273848593</v>
      </c>
      <c r="P3529" s="10" t="n">
        <v>0.955300528323278</v>
      </c>
      <c r="Q3529" s="0" t="str">
        <f aca="false">SUBSTITUTE(SUBSTITUTE($I3529,CHAR(61),""),CHAR(34),"")</f>
        <v>50+</v>
      </c>
      <c r="R3529" s="0" t="str">
        <f aca="false">IF($D3529&lt;&gt;"","["&amp;$E3529&amp;"]"&amp;"|"&amp;$Q3529&amp;"|"&amp;$K3529&amp;"|"&amp;$G3529&amp;"|"&amp;IF($G3529="TX_CURR_SUBNAT.R","CY2022Q4",$M3529),"")</f>
        <v>[fiRkU6gEjLz]|50+|Male|Untreated_PLHIV_Attend.T_1|CY2023Q3</v>
      </c>
    </row>
    <row r="3530" customFormat="false" ht="15" hidden="false" customHeight="false" outlineLevel="0" collapsed="false">
      <c r="D3530" s="0" t="s">
        <v>23</v>
      </c>
      <c r="E3530" s="0" t="s">
        <v>24</v>
      </c>
      <c r="F3530" s="0" t="s">
        <v>25</v>
      </c>
      <c r="G3530" s="0" t="s">
        <v>152</v>
      </c>
      <c r="H3530" s="0" t="s">
        <v>152</v>
      </c>
      <c r="I3530" s="0" t="s">
        <v>28</v>
      </c>
      <c r="J3530" s="0" t="s">
        <v>29</v>
      </c>
      <c r="K3530" s="0" t="s">
        <v>30</v>
      </c>
      <c r="L3530" s="0" t="s">
        <v>31</v>
      </c>
      <c r="M3530" s="0" t="s">
        <v>140</v>
      </c>
      <c r="N3530" s="0" t="n">
        <v>1300</v>
      </c>
      <c r="O3530" s="10" t="n">
        <v>0.358785085380077</v>
      </c>
      <c r="P3530" s="10" t="n">
        <v>0.404358610976487</v>
      </c>
      <c r="Q3530" s="0" t="str">
        <f aca="false">SUBSTITUTE(SUBSTITUTE($I3530,CHAR(61),""),CHAR(34),"")</f>
        <v>&lt;01</v>
      </c>
      <c r="R3530" s="0" t="str">
        <f aca="false">IF($D3530&lt;&gt;"","["&amp;$E3530&amp;"]"&amp;"|"&amp;$Q3530&amp;"|"&amp;$K3530&amp;"|"&amp;$G3530&amp;"|"&amp;IF($G3530="TX_CURR_SUBNAT.R","CY2022Q4",$M3530),"")</f>
        <v>[GkIwZrXy1h2]|&lt;01|Female|Incidence_SUBNAT.Rt.T_1|CY2023Q3</v>
      </c>
    </row>
    <row r="3531" customFormat="false" ht="15" hidden="false" customHeight="false" outlineLevel="0" collapsed="false">
      <c r="D3531" s="0" t="s">
        <v>23</v>
      </c>
      <c r="E3531" s="0" t="s">
        <v>24</v>
      </c>
      <c r="F3531" s="0" t="s">
        <v>25</v>
      </c>
      <c r="G3531" s="0" t="s">
        <v>152</v>
      </c>
      <c r="H3531" s="0" t="s">
        <v>152</v>
      </c>
      <c r="I3531" s="0" t="s">
        <v>33</v>
      </c>
      <c r="J3531" s="0" t="s">
        <v>34</v>
      </c>
      <c r="K3531" s="0" t="s">
        <v>30</v>
      </c>
      <c r="L3531" s="0" t="s">
        <v>31</v>
      </c>
      <c r="M3531" s="0" t="s">
        <v>140</v>
      </c>
      <c r="N3531" s="0" t="n">
        <v>886</v>
      </c>
      <c r="O3531" s="10" t="n">
        <v>0.888109138002619</v>
      </c>
      <c r="P3531" s="10" t="n">
        <v>0.404358610976487</v>
      </c>
      <c r="Q3531" s="0" t="str">
        <f aca="false">SUBSTITUTE(SUBSTITUTE($I3531,CHAR(61),""),CHAR(34),"")</f>
        <v>01-09</v>
      </c>
      <c r="R3531" s="0" t="str">
        <f aca="false">IF($D3531&lt;&gt;"","["&amp;$E3531&amp;"]"&amp;"|"&amp;$Q3531&amp;"|"&amp;$K3531&amp;"|"&amp;$G3531&amp;"|"&amp;IF($G3531="TX_CURR_SUBNAT.R","CY2022Q4",$M3531),"")</f>
        <v>[GkIwZrXy1h2]|01-09|Female|Incidence_SUBNAT.Rt.T_1|CY2023Q3</v>
      </c>
    </row>
    <row r="3532" customFormat="false" ht="15" hidden="false" customHeight="false" outlineLevel="0" collapsed="false">
      <c r="D3532" s="0" t="s">
        <v>23</v>
      </c>
      <c r="E3532" s="0" t="s">
        <v>24</v>
      </c>
      <c r="F3532" s="0" t="s">
        <v>25</v>
      </c>
      <c r="G3532" s="0" t="s">
        <v>152</v>
      </c>
      <c r="H3532" s="0" t="s">
        <v>152</v>
      </c>
      <c r="I3532" s="0" t="s">
        <v>36</v>
      </c>
      <c r="J3532" s="0" t="s">
        <v>37</v>
      </c>
      <c r="K3532" s="0" t="s">
        <v>30</v>
      </c>
      <c r="L3532" s="0" t="s">
        <v>31</v>
      </c>
      <c r="M3532" s="0" t="s">
        <v>140</v>
      </c>
      <c r="N3532" s="0" t="n">
        <v>576</v>
      </c>
      <c r="O3532" s="10" t="n">
        <v>0.257750246673822</v>
      </c>
      <c r="P3532" s="10" t="n">
        <v>0.404358610976487</v>
      </c>
      <c r="Q3532" s="0" t="str">
        <f aca="false">SUBSTITUTE(SUBSTITUTE($I3532,CHAR(61),""),CHAR(34),"")</f>
        <v>10-14</v>
      </c>
      <c r="R3532" s="0" t="str">
        <f aca="false">IF($D3532&lt;&gt;"","["&amp;$E3532&amp;"]"&amp;"|"&amp;$Q3532&amp;"|"&amp;$K3532&amp;"|"&amp;$G3532&amp;"|"&amp;IF($G3532="TX_CURR_SUBNAT.R","CY2022Q4",$M3532),"")</f>
        <v>[GkIwZrXy1h2]|10-14|Female|Incidence_SUBNAT.Rt.T_1|CY2023Q3</v>
      </c>
    </row>
    <row r="3533" customFormat="false" ht="15" hidden="false" customHeight="false" outlineLevel="0" collapsed="false">
      <c r="D3533" s="0" t="s">
        <v>23</v>
      </c>
      <c r="E3533" s="0" t="s">
        <v>24</v>
      </c>
      <c r="F3533" s="0" t="s">
        <v>25</v>
      </c>
      <c r="G3533" s="0" t="s">
        <v>152</v>
      </c>
      <c r="H3533" s="0" t="s">
        <v>152</v>
      </c>
      <c r="I3533" s="0" t="s">
        <v>38</v>
      </c>
      <c r="J3533" s="0" t="s">
        <v>39</v>
      </c>
      <c r="K3533" s="0" t="s">
        <v>30</v>
      </c>
      <c r="L3533" s="0" t="s">
        <v>31</v>
      </c>
      <c r="M3533" s="0" t="s">
        <v>140</v>
      </c>
      <c r="N3533" s="0" t="n">
        <v>864</v>
      </c>
      <c r="O3533" s="10" t="n">
        <v>0.976756611838937</v>
      </c>
      <c r="P3533" s="10" t="n">
        <v>0.404358610976487</v>
      </c>
      <c r="Q3533" s="0" t="str">
        <f aca="false">SUBSTITUTE(SUBSTITUTE($I3533,CHAR(61),""),CHAR(34),"")</f>
        <v>15-24</v>
      </c>
      <c r="R3533" s="0" t="str">
        <f aca="false">IF($D3533&lt;&gt;"","["&amp;$E3533&amp;"]"&amp;"|"&amp;$Q3533&amp;"|"&amp;$K3533&amp;"|"&amp;$G3533&amp;"|"&amp;IF($G3533="TX_CURR_SUBNAT.R","CY2022Q4",$M3533),"")</f>
        <v>[GkIwZrXy1h2]|15-24|Female|Incidence_SUBNAT.Rt.T_1|CY2023Q3</v>
      </c>
    </row>
    <row r="3534" customFormat="false" ht="15" hidden="false" customHeight="false" outlineLevel="0" collapsed="false">
      <c r="D3534" s="0" t="s">
        <v>23</v>
      </c>
      <c r="E3534" s="0" t="s">
        <v>24</v>
      </c>
      <c r="F3534" s="0" t="s">
        <v>25</v>
      </c>
      <c r="G3534" s="0" t="s">
        <v>152</v>
      </c>
      <c r="H3534" s="0" t="s">
        <v>152</v>
      </c>
      <c r="I3534" s="0" t="s">
        <v>41</v>
      </c>
      <c r="J3534" s="0" t="s">
        <v>42</v>
      </c>
      <c r="K3534" s="0" t="s">
        <v>30</v>
      </c>
      <c r="L3534" s="0" t="s">
        <v>31</v>
      </c>
      <c r="M3534" s="0" t="s">
        <v>140</v>
      </c>
      <c r="N3534" s="0" t="n">
        <v>786</v>
      </c>
      <c r="O3534" s="10" t="n">
        <v>0.445917236385867</v>
      </c>
      <c r="P3534" s="10" t="n">
        <v>0.404358610976487</v>
      </c>
      <c r="Q3534" s="0" t="str">
        <f aca="false">SUBSTITUTE(SUBSTITUTE($I3534,CHAR(61),""),CHAR(34),"")</f>
        <v>25-34</v>
      </c>
      <c r="R3534" s="0" t="str">
        <f aca="false">IF($D3534&lt;&gt;"","["&amp;$E3534&amp;"]"&amp;"|"&amp;$Q3534&amp;"|"&amp;$K3534&amp;"|"&amp;$G3534&amp;"|"&amp;IF($G3534="TX_CURR_SUBNAT.R","CY2022Q4",$M3534),"")</f>
        <v>[GkIwZrXy1h2]|25-34|Female|Incidence_SUBNAT.Rt.T_1|CY2023Q3</v>
      </c>
    </row>
    <row r="3535" customFormat="false" ht="15" hidden="false" customHeight="false" outlineLevel="0" collapsed="false">
      <c r="D3535" s="0" t="s">
        <v>23</v>
      </c>
      <c r="E3535" s="0" t="s">
        <v>24</v>
      </c>
      <c r="F3535" s="0" t="s">
        <v>25</v>
      </c>
      <c r="G3535" s="0" t="s">
        <v>152</v>
      </c>
      <c r="H3535" s="0" t="s">
        <v>152</v>
      </c>
      <c r="I3535" s="0" t="s">
        <v>43</v>
      </c>
      <c r="J3535" s="0" t="s">
        <v>44</v>
      </c>
      <c r="K3535" s="0" t="s">
        <v>30</v>
      </c>
      <c r="L3535" s="0" t="s">
        <v>31</v>
      </c>
      <c r="M3535" s="0" t="s">
        <v>140</v>
      </c>
      <c r="N3535" s="0" t="n">
        <v>769</v>
      </c>
      <c r="O3535" s="10" t="n">
        <v>0.558472698088735</v>
      </c>
      <c r="P3535" s="10" t="n">
        <v>0.404358610976487</v>
      </c>
      <c r="Q3535" s="0" t="str">
        <f aca="false">SUBSTITUTE(SUBSTITUTE($I3535,CHAR(61),""),CHAR(34),"")</f>
        <v>35-49</v>
      </c>
      <c r="R3535" s="0" t="str">
        <f aca="false">IF($D3535&lt;&gt;"","["&amp;$E3535&amp;"]"&amp;"|"&amp;$Q3535&amp;"|"&amp;$K3535&amp;"|"&amp;$G3535&amp;"|"&amp;IF($G3535="TX_CURR_SUBNAT.R","CY2022Q4",$M3535),"")</f>
        <v>[GkIwZrXy1h2]|35-49|Female|Incidence_SUBNAT.Rt.T_1|CY2023Q3</v>
      </c>
    </row>
    <row r="3536" customFormat="false" ht="15" hidden="false" customHeight="false" outlineLevel="0" collapsed="false">
      <c r="D3536" s="0" t="s">
        <v>23</v>
      </c>
      <c r="E3536" s="0" t="s">
        <v>24</v>
      </c>
      <c r="F3536" s="0" t="s">
        <v>25</v>
      </c>
      <c r="G3536" s="0" t="s">
        <v>152</v>
      </c>
      <c r="H3536" s="0" t="s">
        <v>152</v>
      </c>
      <c r="I3536" s="0" t="s">
        <v>45</v>
      </c>
      <c r="J3536" s="0" t="s">
        <v>46</v>
      </c>
      <c r="K3536" s="0" t="s">
        <v>30</v>
      </c>
      <c r="L3536" s="0" t="s">
        <v>31</v>
      </c>
      <c r="M3536" s="0" t="s">
        <v>140</v>
      </c>
      <c r="N3536" s="0" t="n">
        <v>1367</v>
      </c>
      <c r="O3536" s="10" t="n">
        <v>0.307868968928233</v>
      </c>
      <c r="P3536" s="10" t="n">
        <v>0.404358610976487</v>
      </c>
      <c r="Q3536" s="0" t="str">
        <f aca="false">SUBSTITUTE(SUBSTITUTE($I3536,CHAR(61),""),CHAR(34),"")</f>
        <v>50+</v>
      </c>
      <c r="R3536" s="0" t="str">
        <f aca="false">IF($D3536&lt;&gt;"","["&amp;$E3536&amp;"]"&amp;"|"&amp;$Q3536&amp;"|"&amp;$K3536&amp;"|"&amp;$G3536&amp;"|"&amp;IF($G3536="TX_CURR_SUBNAT.R","CY2022Q4",$M3536),"")</f>
        <v>[GkIwZrXy1h2]|50+|Female|Incidence_SUBNAT.Rt.T_1|CY2023Q3</v>
      </c>
    </row>
    <row r="3537" customFormat="false" ht="15" hidden="false" customHeight="false" outlineLevel="0" collapsed="false">
      <c r="D3537" s="0" t="s">
        <v>23</v>
      </c>
      <c r="E3537" s="0" t="s">
        <v>24</v>
      </c>
      <c r="F3537" s="0" t="s">
        <v>25</v>
      </c>
      <c r="G3537" s="0" t="s">
        <v>152</v>
      </c>
      <c r="H3537" s="0" t="s">
        <v>152</v>
      </c>
      <c r="I3537" s="0" t="s">
        <v>28</v>
      </c>
      <c r="J3537" s="0" t="s">
        <v>29</v>
      </c>
      <c r="K3537" s="0" t="s">
        <v>48</v>
      </c>
      <c r="L3537" s="0" t="s">
        <v>49</v>
      </c>
      <c r="M3537" s="0" t="s">
        <v>140</v>
      </c>
      <c r="N3537" s="0" t="n">
        <v>1956</v>
      </c>
      <c r="O3537" s="10" t="n">
        <v>0.602778863627464</v>
      </c>
      <c r="P3537" s="10" t="n">
        <v>0.404358610976487</v>
      </c>
      <c r="Q3537" s="0" t="str">
        <f aca="false">SUBSTITUTE(SUBSTITUTE($I3537,CHAR(61),""),CHAR(34),"")</f>
        <v>&lt;01</v>
      </c>
      <c r="R3537" s="0" t="str">
        <f aca="false">IF($D3537&lt;&gt;"","["&amp;$E3537&amp;"]"&amp;"|"&amp;$Q3537&amp;"|"&amp;$K3537&amp;"|"&amp;$G3537&amp;"|"&amp;IF($G3537="TX_CURR_SUBNAT.R","CY2022Q4",$M3537),"")</f>
        <v>[GkIwZrXy1h2]|&lt;01|Male|Incidence_SUBNAT.Rt.T_1|CY2023Q3</v>
      </c>
    </row>
    <row r="3538" customFormat="false" ht="15" hidden="false" customHeight="false" outlineLevel="0" collapsed="false">
      <c r="D3538" s="0" t="s">
        <v>23</v>
      </c>
      <c r="E3538" s="0" t="s">
        <v>24</v>
      </c>
      <c r="F3538" s="0" t="s">
        <v>25</v>
      </c>
      <c r="G3538" s="0" t="s">
        <v>152</v>
      </c>
      <c r="H3538" s="0" t="s">
        <v>152</v>
      </c>
      <c r="I3538" s="0" t="s">
        <v>33</v>
      </c>
      <c r="J3538" s="0" t="s">
        <v>34</v>
      </c>
      <c r="K3538" s="0" t="s">
        <v>48</v>
      </c>
      <c r="L3538" s="0" t="s">
        <v>49</v>
      </c>
      <c r="M3538" s="0" t="s">
        <v>140</v>
      </c>
      <c r="N3538" s="0" t="n">
        <v>1505</v>
      </c>
      <c r="O3538" s="10" t="n">
        <v>0.660105578135699</v>
      </c>
      <c r="P3538" s="10" t="n">
        <v>0.404358610976487</v>
      </c>
      <c r="Q3538" s="0" t="str">
        <f aca="false">SUBSTITUTE(SUBSTITUTE($I3538,CHAR(61),""),CHAR(34),"")</f>
        <v>01-09</v>
      </c>
      <c r="R3538" s="0" t="str">
        <f aca="false">IF($D3538&lt;&gt;"","["&amp;$E3538&amp;"]"&amp;"|"&amp;$Q3538&amp;"|"&amp;$K3538&amp;"|"&amp;$G3538&amp;"|"&amp;IF($G3538="TX_CURR_SUBNAT.R","CY2022Q4",$M3538),"")</f>
        <v>[GkIwZrXy1h2]|01-09|Male|Incidence_SUBNAT.Rt.T_1|CY2023Q3</v>
      </c>
    </row>
    <row r="3539" customFormat="false" ht="15" hidden="false" customHeight="false" outlineLevel="0" collapsed="false">
      <c r="D3539" s="0" t="s">
        <v>23</v>
      </c>
      <c r="E3539" s="0" t="s">
        <v>24</v>
      </c>
      <c r="F3539" s="0" t="s">
        <v>25</v>
      </c>
      <c r="G3539" s="0" t="s">
        <v>152</v>
      </c>
      <c r="H3539" s="0" t="s">
        <v>152</v>
      </c>
      <c r="I3539" s="0" t="s">
        <v>36</v>
      </c>
      <c r="J3539" s="0" t="s">
        <v>37</v>
      </c>
      <c r="K3539" s="0" t="s">
        <v>48</v>
      </c>
      <c r="L3539" s="0" t="s">
        <v>49</v>
      </c>
      <c r="M3539" s="0" t="s">
        <v>140</v>
      </c>
      <c r="N3539" s="0" t="n">
        <v>1642</v>
      </c>
      <c r="O3539" s="10" t="n">
        <v>0.361076311208308</v>
      </c>
      <c r="P3539" s="10" t="n">
        <v>0.404358610976487</v>
      </c>
      <c r="Q3539" s="0" t="str">
        <f aca="false">SUBSTITUTE(SUBSTITUTE($I3539,CHAR(61),""),CHAR(34),"")</f>
        <v>10-14</v>
      </c>
      <c r="R3539" s="0" t="str">
        <f aca="false">IF($D3539&lt;&gt;"","["&amp;$E3539&amp;"]"&amp;"|"&amp;$Q3539&amp;"|"&amp;$K3539&amp;"|"&amp;$G3539&amp;"|"&amp;IF($G3539="TX_CURR_SUBNAT.R","CY2022Q4",$M3539),"")</f>
        <v>[GkIwZrXy1h2]|10-14|Male|Incidence_SUBNAT.Rt.T_1|CY2023Q3</v>
      </c>
    </row>
    <row r="3540" customFormat="false" ht="15" hidden="false" customHeight="false" outlineLevel="0" collapsed="false">
      <c r="D3540" s="0" t="s">
        <v>23</v>
      </c>
      <c r="E3540" s="0" t="s">
        <v>24</v>
      </c>
      <c r="F3540" s="0" t="s">
        <v>25</v>
      </c>
      <c r="G3540" s="0" t="s">
        <v>152</v>
      </c>
      <c r="H3540" s="0" t="s">
        <v>152</v>
      </c>
      <c r="I3540" s="0" t="s">
        <v>38</v>
      </c>
      <c r="J3540" s="0" t="s">
        <v>39</v>
      </c>
      <c r="K3540" s="0" t="s">
        <v>48</v>
      </c>
      <c r="L3540" s="0" t="s">
        <v>49</v>
      </c>
      <c r="M3540" s="0" t="s">
        <v>140</v>
      </c>
      <c r="N3540" s="0" t="n">
        <v>1987</v>
      </c>
      <c r="O3540" s="10" t="n">
        <v>0.171670399606228</v>
      </c>
      <c r="P3540" s="10" t="n">
        <v>0.404358610976487</v>
      </c>
      <c r="Q3540" s="0" t="str">
        <f aca="false">SUBSTITUTE(SUBSTITUTE($I3540,CHAR(61),""),CHAR(34),"")</f>
        <v>15-24</v>
      </c>
      <c r="R3540" s="0" t="str">
        <f aca="false">IF($D3540&lt;&gt;"","["&amp;$E3540&amp;"]"&amp;"|"&amp;$Q3540&amp;"|"&amp;$K3540&amp;"|"&amp;$G3540&amp;"|"&amp;IF($G3540="TX_CURR_SUBNAT.R","CY2022Q4",$M3540),"")</f>
        <v>[GkIwZrXy1h2]|15-24|Male|Incidence_SUBNAT.Rt.T_1|CY2023Q3</v>
      </c>
    </row>
    <row r="3541" customFormat="false" ht="15" hidden="false" customHeight="false" outlineLevel="0" collapsed="false">
      <c r="D3541" s="0" t="s">
        <v>23</v>
      </c>
      <c r="E3541" s="0" t="s">
        <v>24</v>
      </c>
      <c r="F3541" s="0" t="s">
        <v>25</v>
      </c>
      <c r="G3541" s="0" t="s">
        <v>152</v>
      </c>
      <c r="H3541" s="0" t="s">
        <v>152</v>
      </c>
      <c r="I3541" s="0" t="s">
        <v>41</v>
      </c>
      <c r="J3541" s="0" t="s">
        <v>42</v>
      </c>
      <c r="K3541" s="0" t="s">
        <v>48</v>
      </c>
      <c r="L3541" s="0" t="s">
        <v>49</v>
      </c>
      <c r="M3541" s="0" t="s">
        <v>140</v>
      </c>
      <c r="N3541" s="0" t="n">
        <v>753</v>
      </c>
      <c r="O3541" s="10" t="n">
        <v>0.0348018794320524</v>
      </c>
      <c r="P3541" s="10" t="n">
        <v>0.404358610976487</v>
      </c>
      <c r="Q3541" s="0" t="str">
        <f aca="false">SUBSTITUTE(SUBSTITUTE($I3541,CHAR(61),""),CHAR(34),"")</f>
        <v>25-34</v>
      </c>
      <c r="R3541" s="0" t="str">
        <f aca="false">IF($D3541&lt;&gt;"","["&amp;$E3541&amp;"]"&amp;"|"&amp;$Q3541&amp;"|"&amp;$K3541&amp;"|"&amp;$G3541&amp;"|"&amp;IF($G3541="TX_CURR_SUBNAT.R","CY2022Q4",$M3541),"")</f>
        <v>[GkIwZrXy1h2]|25-34|Male|Incidence_SUBNAT.Rt.T_1|CY2023Q3</v>
      </c>
    </row>
    <row r="3542" customFormat="false" ht="15" hidden="false" customHeight="false" outlineLevel="0" collapsed="false">
      <c r="D3542" s="0" t="s">
        <v>23</v>
      </c>
      <c r="E3542" s="0" t="s">
        <v>24</v>
      </c>
      <c r="F3542" s="0" t="s">
        <v>25</v>
      </c>
      <c r="G3542" s="0" t="s">
        <v>152</v>
      </c>
      <c r="H3542" s="0" t="s">
        <v>152</v>
      </c>
      <c r="I3542" s="0" t="s">
        <v>43</v>
      </c>
      <c r="J3542" s="0" t="s">
        <v>44</v>
      </c>
      <c r="K3542" s="0" t="s">
        <v>48</v>
      </c>
      <c r="L3542" s="0" t="s">
        <v>49</v>
      </c>
      <c r="M3542" s="0" t="s">
        <v>140</v>
      </c>
      <c r="N3542" s="0" t="n">
        <v>648</v>
      </c>
      <c r="O3542" s="10" t="n">
        <v>0.633623796282336</v>
      </c>
      <c r="P3542" s="10" t="n">
        <v>0.404358610976487</v>
      </c>
      <c r="Q3542" s="0" t="str">
        <f aca="false">SUBSTITUTE(SUBSTITUTE($I3542,CHAR(61),""),CHAR(34),"")</f>
        <v>35-49</v>
      </c>
      <c r="R3542" s="0" t="str">
        <f aca="false">IF($D3542&lt;&gt;"","["&amp;$E3542&amp;"]"&amp;"|"&amp;$Q3542&amp;"|"&amp;$K3542&amp;"|"&amp;$G3542&amp;"|"&amp;IF($G3542="TX_CURR_SUBNAT.R","CY2022Q4",$M3542),"")</f>
        <v>[GkIwZrXy1h2]|35-49|Male|Incidence_SUBNAT.Rt.T_1|CY2023Q3</v>
      </c>
    </row>
    <row r="3543" customFormat="false" ht="15" hidden="false" customHeight="false" outlineLevel="0" collapsed="false">
      <c r="D3543" s="0" t="s">
        <v>23</v>
      </c>
      <c r="E3543" s="0" t="s">
        <v>24</v>
      </c>
      <c r="F3543" s="0" t="s">
        <v>25</v>
      </c>
      <c r="G3543" s="0" t="s">
        <v>152</v>
      </c>
      <c r="H3543" s="0" t="s">
        <v>152</v>
      </c>
      <c r="I3543" s="0" t="s">
        <v>45</v>
      </c>
      <c r="J3543" s="0" t="s">
        <v>46</v>
      </c>
      <c r="K3543" s="0" t="s">
        <v>48</v>
      </c>
      <c r="L3543" s="0" t="s">
        <v>49</v>
      </c>
      <c r="M3543" s="0" t="s">
        <v>140</v>
      </c>
      <c r="N3543" s="0" t="n">
        <v>529</v>
      </c>
      <c r="O3543" s="10" t="n">
        <v>0.869662322336808</v>
      </c>
      <c r="P3543" s="10" t="n">
        <v>0.404358610976487</v>
      </c>
      <c r="Q3543" s="0" t="str">
        <f aca="false">SUBSTITUTE(SUBSTITUTE($I3543,CHAR(61),""),CHAR(34),"")</f>
        <v>50+</v>
      </c>
      <c r="R3543" s="0" t="str">
        <f aca="false">IF($D3543&lt;&gt;"","["&amp;$E3543&amp;"]"&amp;"|"&amp;$Q3543&amp;"|"&amp;$K3543&amp;"|"&amp;$G3543&amp;"|"&amp;IF($G3543="TX_CURR_SUBNAT.R","CY2022Q4",$M3543),"")</f>
        <v>[GkIwZrXy1h2]|50+|Male|Incidence_SUBNAT.Rt.T_1|CY2023Q3</v>
      </c>
    </row>
    <row r="3544" customFormat="false" ht="15" hidden="false" customHeight="false" outlineLevel="0" collapsed="false">
      <c r="D3544" s="0" t="s">
        <v>53</v>
      </c>
      <c r="E3544" s="0" t="s">
        <v>54</v>
      </c>
      <c r="F3544" s="0" t="s">
        <v>55</v>
      </c>
      <c r="G3544" s="0" t="s">
        <v>152</v>
      </c>
      <c r="H3544" s="0" t="s">
        <v>152</v>
      </c>
      <c r="I3544" s="0" t="s">
        <v>28</v>
      </c>
      <c r="J3544" s="0" t="s">
        <v>29</v>
      </c>
      <c r="K3544" s="0" t="s">
        <v>30</v>
      </c>
      <c r="L3544" s="0" t="s">
        <v>31</v>
      </c>
      <c r="M3544" s="0" t="s">
        <v>140</v>
      </c>
      <c r="N3544" s="0" t="n">
        <v>965</v>
      </c>
      <c r="O3544" s="10" t="n">
        <v>0.90965877356939</v>
      </c>
      <c r="P3544" s="10" t="n">
        <v>0.616392469964921</v>
      </c>
      <c r="Q3544" s="0" t="str">
        <f aca="false">SUBSTITUTE(SUBSTITUTE($I3544,CHAR(61),""),CHAR(34),"")</f>
        <v>&lt;01</v>
      </c>
      <c r="R3544" s="0" t="str">
        <f aca="false">IF($D3544&lt;&gt;"","["&amp;$E3544&amp;"]"&amp;"|"&amp;$Q3544&amp;"|"&amp;$K3544&amp;"|"&amp;$G3544&amp;"|"&amp;IF($G3544="TX_CURR_SUBNAT.R","CY2022Q4",$M3544),"")</f>
        <v>[zphK9WV8JB4]|&lt;01|Female|Incidence_SUBNAT.Rt.T_1|CY2023Q3</v>
      </c>
    </row>
    <row r="3545" customFormat="false" ht="15" hidden="false" customHeight="false" outlineLevel="0" collapsed="false">
      <c r="D3545" s="0" t="s">
        <v>53</v>
      </c>
      <c r="E3545" s="0" t="s">
        <v>54</v>
      </c>
      <c r="F3545" s="0" t="s">
        <v>55</v>
      </c>
      <c r="G3545" s="0" t="s">
        <v>152</v>
      </c>
      <c r="H3545" s="0" t="s">
        <v>152</v>
      </c>
      <c r="I3545" s="0" t="s">
        <v>33</v>
      </c>
      <c r="J3545" s="0" t="s">
        <v>34</v>
      </c>
      <c r="K3545" s="0" t="s">
        <v>30</v>
      </c>
      <c r="L3545" s="0" t="s">
        <v>31</v>
      </c>
      <c r="M3545" s="0" t="s">
        <v>140</v>
      </c>
      <c r="N3545" s="0" t="n">
        <v>1678</v>
      </c>
      <c r="O3545" s="10" t="n">
        <v>0.183646165532991</v>
      </c>
      <c r="P3545" s="10" t="n">
        <v>0.616392469964921</v>
      </c>
      <c r="Q3545" s="0" t="str">
        <f aca="false">SUBSTITUTE(SUBSTITUTE($I3545,CHAR(61),""),CHAR(34),"")</f>
        <v>01-09</v>
      </c>
      <c r="R3545" s="0" t="str">
        <f aca="false">IF($D3545&lt;&gt;"","["&amp;$E3545&amp;"]"&amp;"|"&amp;$Q3545&amp;"|"&amp;$K3545&amp;"|"&amp;$G3545&amp;"|"&amp;IF($G3545="TX_CURR_SUBNAT.R","CY2022Q4",$M3545),"")</f>
        <v>[zphK9WV8JB4]|01-09|Female|Incidence_SUBNAT.Rt.T_1|CY2023Q3</v>
      </c>
    </row>
    <row r="3546" customFormat="false" ht="15" hidden="false" customHeight="false" outlineLevel="0" collapsed="false">
      <c r="D3546" s="0" t="s">
        <v>53</v>
      </c>
      <c r="E3546" s="0" t="s">
        <v>54</v>
      </c>
      <c r="F3546" s="0" t="s">
        <v>55</v>
      </c>
      <c r="G3546" s="0" t="s">
        <v>152</v>
      </c>
      <c r="H3546" s="0" t="s">
        <v>152</v>
      </c>
      <c r="I3546" s="0" t="s">
        <v>36</v>
      </c>
      <c r="J3546" s="0" t="s">
        <v>37</v>
      </c>
      <c r="K3546" s="0" t="s">
        <v>30</v>
      </c>
      <c r="L3546" s="0" t="s">
        <v>31</v>
      </c>
      <c r="M3546" s="0" t="s">
        <v>140</v>
      </c>
      <c r="N3546" s="0" t="n">
        <v>540</v>
      </c>
      <c r="O3546" s="10" t="n">
        <v>0.692504549166188</v>
      </c>
      <c r="P3546" s="10" t="n">
        <v>0.616392469964921</v>
      </c>
      <c r="Q3546" s="0" t="str">
        <f aca="false">SUBSTITUTE(SUBSTITUTE($I3546,CHAR(61),""),CHAR(34),"")</f>
        <v>10-14</v>
      </c>
      <c r="R3546" s="0" t="str">
        <f aca="false">IF($D3546&lt;&gt;"","["&amp;$E3546&amp;"]"&amp;"|"&amp;$Q3546&amp;"|"&amp;$K3546&amp;"|"&amp;$G3546&amp;"|"&amp;IF($G3546="TX_CURR_SUBNAT.R","CY2022Q4",$M3546),"")</f>
        <v>[zphK9WV8JB4]|10-14|Female|Incidence_SUBNAT.Rt.T_1|CY2023Q3</v>
      </c>
    </row>
    <row r="3547" customFormat="false" ht="15" hidden="false" customHeight="false" outlineLevel="0" collapsed="false">
      <c r="D3547" s="0" t="s">
        <v>53</v>
      </c>
      <c r="E3547" s="0" t="s">
        <v>54</v>
      </c>
      <c r="F3547" s="0" t="s">
        <v>55</v>
      </c>
      <c r="G3547" s="0" t="s">
        <v>152</v>
      </c>
      <c r="H3547" s="0" t="s">
        <v>152</v>
      </c>
      <c r="I3547" s="0" t="s">
        <v>38</v>
      </c>
      <c r="J3547" s="0" t="s">
        <v>39</v>
      </c>
      <c r="K3547" s="0" t="s">
        <v>30</v>
      </c>
      <c r="L3547" s="0" t="s">
        <v>31</v>
      </c>
      <c r="M3547" s="0" t="s">
        <v>140</v>
      </c>
      <c r="N3547" s="0" t="n">
        <v>1639</v>
      </c>
      <c r="O3547" s="10" t="n">
        <v>0.674797029234469</v>
      </c>
      <c r="P3547" s="10" t="n">
        <v>0.616392469964921</v>
      </c>
      <c r="Q3547" s="0" t="str">
        <f aca="false">SUBSTITUTE(SUBSTITUTE($I3547,CHAR(61),""),CHAR(34),"")</f>
        <v>15-24</v>
      </c>
      <c r="R3547" s="0" t="str">
        <f aca="false">IF($D3547&lt;&gt;"","["&amp;$E3547&amp;"]"&amp;"|"&amp;$Q3547&amp;"|"&amp;$K3547&amp;"|"&amp;$G3547&amp;"|"&amp;IF($G3547="TX_CURR_SUBNAT.R","CY2022Q4",$M3547),"")</f>
        <v>[zphK9WV8JB4]|15-24|Female|Incidence_SUBNAT.Rt.T_1|CY2023Q3</v>
      </c>
    </row>
    <row r="3548" customFormat="false" ht="15" hidden="false" customHeight="false" outlineLevel="0" collapsed="false">
      <c r="D3548" s="0" t="s">
        <v>53</v>
      </c>
      <c r="E3548" s="0" t="s">
        <v>54</v>
      </c>
      <c r="F3548" s="0" t="s">
        <v>55</v>
      </c>
      <c r="G3548" s="0" t="s">
        <v>152</v>
      </c>
      <c r="H3548" s="0" t="s">
        <v>152</v>
      </c>
      <c r="I3548" s="0" t="s">
        <v>41</v>
      </c>
      <c r="J3548" s="0" t="s">
        <v>42</v>
      </c>
      <c r="K3548" s="0" t="s">
        <v>30</v>
      </c>
      <c r="L3548" s="0" t="s">
        <v>31</v>
      </c>
      <c r="M3548" s="0" t="s">
        <v>140</v>
      </c>
      <c r="N3548" s="0" t="n">
        <v>991</v>
      </c>
      <c r="O3548" s="10" t="n">
        <v>0.828183542005718</v>
      </c>
      <c r="P3548" s="10" t="n">
        <v>0.616392469964921</v>
      </c>
      <c r="Q3548" s="0" t="str">
        <f aca="false">SUBSTITUTE(SUBSTITUTE($I3548,CHAR(61),""),CHAR(34),"")</f>
        <v>25-34</v>
      </c>
      <c r="R3548" s="0" t="str">
        <f aca="false">IF($D3548&lt;&gt;"","["&amp;$E3548&amp;"]"&amp;"|"&amp;$Q3548&amp;"|"&amp;$K3548&amp;"|"&amp;$G3548&amp;"|"&amp;IF($G3548="TX_CURR_SUBNAT.R","CY2022Q4",$M3548),"")</f>
        <v>[zphK9WV8JB4]|25-34|Female|Incidence_SUBNAT.Rt.T_1|CY2023Q3</v>
      </c>
    </row>
    <row r="3549" customFormat="false" ht="15" hidden="false" customHeight="false" outlineLevel="0" collapsed="false">
      <c r="D3549" s="0" t="s">
        <v>53</v>
      </c>
      <c r="E3549" s="0" t="s">
        <v>54</v>
      </c>
      <c r="F3549" s="0" t="s">
        <v>55</v>
      </c>
      <c r="G3549" s="0" t="s">
        <v>152</v>
      </c>
      <c r="H3549" s="0" t="s">
        <v>152</v>
      </c>
      <c r="I3549" s="0" t="s">
        <v>43</v>
      </c>
      <c r="J3549" s="0" t="s">
        <v>44</v>
      </c>
      <c r="K3549" s="0" t="s">
        <v>30</v>
      </c>
      <c r="L3549" s="0" t="s">
        <v>31</v>
      </c>
      <c r="M3549" s="0" t="s">
        <v>140</v>
      </c>
      <c r="N3549" s="0" t="n">
        <v>540</v>
      </c>
      <c r="O3549" s="10" t="n">
        <v>0.191432531224564</v>
      </c>
      <c r="P3549" s="10" t="n">
        <v>0.616392469964921</v>
      </c>
      <c r="Q3549" s="0" t="str">
        <f aca="false">SUBSTITUTE(SUBSTITUTE($I3549,CHAR(61),""),CHAR(34),"")</f>
        <v>35-49</v>
      </c>
      <c r="R3549" s="0" t="str">
        <f aca="false">IF($D3549&lt;&gt;"","["&amp;$E3549&amp;"]"&amp;"|"&amp;$Q3549&amp;"|"&amp;$K3549&amp;"|"&amp;$G3549&amp;"|"&amp;IF($G3549="TX_CURR_SUBNAT.R","CY2022Q4",$M3549),"")</f>
        <v>[zphK9WV8JB4]|35-49|Female|Incidence_SUBNAT.Rt.T_1|CY2023Q3</v>
      </c>
    </row>
    <row r="3550" customFormat="false" ht="15" hidden="false" customHeight="false" outlineLevel="0" collapsed="false">
      <c r="D3550" s="0" t="s">
        <v>53</v>
      </c>
      <c r="E3550" s="0" t="s">
        <v>54</v>
      </c>
      <c r="F3550" s="0" t="s">
        <v>55</v>
      </c>
      <c r="G3550" s="0" t="s">
        <v>152</v>
      </c>
      <c r="H3550" s="0" t="s">
        <v>152</v>
      </c>
      <c r="I3550" s="0" t="s">
        <v>45</v>
      </c>
      <c r="J3550" s="0" t="s">
        <v>46</v>
      </c>
      <c r="K3550" s="0" t="s">
        <v>30</v>
      </c>
      <c r="L3550" s="0" t="s">
        <v>31</v>
      </c>
      <c r="M3550" s="0" t="s">
        <v>140</v>
      </c>
      <c r="N3550" s="0" t="n">
        <v>1473</v>
      </c>
      <c r="O3550" s="10" t="n">
        <v>0.305182148702443</v>
      </c>
      <c r="P3550" s="10" t="n">
        <v>0.616392469964921</v>
      </c>
      <c r="Q3550" s="0" t="str">
        <f aca="false">SUBSTITUTE(SUBSTITUTE($I3550,CHAR(61),""),CHAR(34),"")</f>
        <v>50+</v>
      </c>
      <c r="R3550" s="0" t="str">
        <f aca="false">IF($D3550&lt;&gt;"","["&amp;$E3550&amp;"]"&amp;"|"&amp;$Q3550&amp;"|"&amp;$K3550&amp;"|"&amp;$G3550&amp;"|"&amp;IF($G3550="TX_CURR_SUBNAT.R","CY2022Q4",$M3550),"")</f>
        <v>[zphK9WV8JB4]|50+|Female|Incidence_SUBNAT.Rt.T_1|CY2023Q3</v>
      </c>
    </row>
    <row r="3551" customFormat="false" ht="15" hidden="false" customHeight="false" outlineLevel="0" collapsed="false">
      <c r="D3551" s="0" t="s">
        <v>53</v>
      </c>
      <c r="E3551" s="0" t="s">
        <v>54</v>
      </c>
      <c r="F3551" s="0" t="s">
        <v>55</v>
      </c>
      <c r="G3551" s="0" t="s">
        <v>152</v>
      </c>
      <c r="H3551" s="0" t="s">
        <v>152</v>
      </c>
      <c r="I3551" s="0" t="s">
        <v>28</v>
      </c>
      <c r="J3551" s="0" t="s">
        <v>29</v>
      </c>
      <c r="K3551" s="0" t="s">
        <v>48</v>
      </c>
      <c r="L3551" s="0" t="s">
        <v>49</v>
      </c>
      <c r="M3551" s="0" t="s">
        <v>140</v>
      </c>
      <c r="N3551" s="0" t="n">
        <v>1855</v>
      </c>
      <c r="O3551" s="10" t="n">
        <v>0.746911781374365</v>
      </c>
      <c r="P3551" s="10" t="n">
        <v>0.616392469964921</v>
      </c>
      <c r="Q3551" s="0" t="str">
        <f aca="false">SUBSTITUTE(SUBSTITUTE($I3551,CHAR(61),""),CHAR(34),"")</f>
        <v>&lt;01</v>
      </c>
      <c r="R3551" s="0" t="str">
        <f aca="false">IF($D3551&lt;&gt;"","["&amp;$E3551&amp;"]"&amp;"|"&amp;$Q3551&amp;"|"&amp;$K3551&amp;"|"&amp;$G3551&amp;"|"&amp;IF($G3551="TX_CURR_SUBNAT.R","CY2022Q4",$M3551),"")</f>
        <v>[zphK9WV8JB4]|&lt;01|Male|Incidence_SUBNAT.Rt.T_1|CY2023Q3</v>
      </c>
    </row>
    <row r="3552" customFormat="false" ht="15" hidden="false" customHeight="false" outlineLevel="0" collapsed="false">
      <c r="D3552" s="0" t="s">
        <v>53</v>
      </c>
      <c r="E3552" s="0" t="s">
        <v>54</v>
      </c>
      <c r="F3552" s="0" t="s">
        <v>55</v>
      </c>
      <c r="G3552" s="0" t="s">
        <v>152</v>
      </c>
      <c r="H3552" s="0" t="s">
        <v>152</v>
      </c>
      <c r="I3552" s="0" t="s">
        <v>33</v>
      </c>
      <c r="J3552" s="0" t="s">
        <v>34</v>
      </c>
      <c r="K3552" s="0" t="s">
        <v>48</v>
      </c>
      <c r="L3552" s="0" t="s">
        <v>49</v>
      </c>
      <c r="M3552" s="0" t="s">
        <v>140</v>
      </c>
      <c r="N3552" s="0" t="n">
        <v>1301</v>
      </c>
      <c r="O3552" s="10" t="n">
        <v>0.641258285846561</v>
      </c>
      <c r="P3552" s="10" t="n">
        <v>0.616392469964921</v>
      </c>
      <c r="Q3552" s="0" t="str">
        <f aca="false">SUBSTITUTE(SUBSTITUTE($I3552,CHAR(61),""),CHAR(34),"")</f>
        <v>01-09</v>
      </c>
      <c r="R3552" s="0" t="str">
        <f aca="false">IF($D3552&lt;&gt;"","["&amp;$E3552&amp;"]"&amp;"|"&amp;$Q3552&amp;"|"&amp;$K3552&amp;"|"&amp;$G3552&amp;"|"&amp;IF($G3552="TX_CURR_SUBNAT.R","CY2022Q4",$M3552),"")</f>
        <v>[zphK9WV8JB4]|01-09|Male|Incidence_SUBNAT.Rt.T_1|CY2023Q3</v>
      </c>
    </row>
    <row r="3553" customFormat="false" ht="15" hidden="false" customHeight="false" outlineLevel="0" collapsed="false">
      <c r="D3553" s="0" t="s">
        <v>53</v>
      </c>
      <c r="E3553" s="0" t="s">
        <v>54</v>
      </c>
      <c r="F3553" s="0" t="s">
        <v>55</v>
      </c>
      <c r="G3553" s="0" t="s">
        <v>152</v>
      </c>
      <c r="H3553" s="0" t="s">
        <v>152</v>
      </c>
      <c r="I3553" s="0" t="s">
        <v>36</v>
      </c>
      <c r="J3553" s="0" t="s">
        <v>37</v>
      </c>
      <c r="K3553" s="0" t="s">
        <v>48</v>
      </c>
      <c r="L3553" s="0" t="s">
        <v>49</v>
      </c>
      <c r="M3553" s="0" t="s">
        <v>140</v>
      </c>
      <c r="N3553" s="0" t="n">
        <v>1490</v>
      </c>
      <c r="O3553" s="10" t="n">
        <v>0.873527054907754</v>
      </c>
      <c r="P3553" s="10" t="n">
        <v>0.616392469964921</v>
      </c>
      <c r="Q3553" s="0" t="str">
        <f aca="false">SUBSTITUTE(SUBSTITUTE($I3553,CHAR(61),""),CHAR(34),"")</f>
        <v>10-14</v>
      </c>
      <c r="R3553" s="0" t="str">
        <f aca="false">IF($D3553&lt;&gt;"","["&amp;$E3553&amp;"]"&amp;"|"&amp;$Q3553&amp;"|"&amp;$K3553&amp;"|"&amp;$G3553&amp;"|"&amp;IF($G3553="TX_CURR_SUBNAT.R","CY2022Q4",$M3553),"")</f>
        <v>[zphK9WV8JB4]|10-14|Male|Incidence_SUBNAT.Rt.T_1|CY2023Q3</v>
      </c>
    </row>
    <row r="3554" customFormat="false" ht="15" hidden="false" customHeight="false" outlineLevel="0" collapsed="false">
      <c r="D3554" s="0" t="s">
        <v>53</v>
      </c>
      <c r="E3554" s="0" t="s">
        <v>54</v>
      </c>
      <c r="F3554" s="0" t="s">
        <v>55</v>
      </c>
      <c r="G3554" s="0" t="s">
        <v>152</v>
      </c>
      <c r="H3554" s="0" t="s">
        <v>152</v>
      </c>
      <c r="I3554" s="0" t="s">
        <v>38</v>
      </c>
      <c r="J3554" s="0" t="s">
        <v>39</v>
      </c>
      <c r="K3554" s="0" t="s">
        <v>48</v>
      </c>
      <c r="L3554" s="0" t="s">
        <v>49</v>
      </c>
      <c r="M3554" s="0" t="s">
        <v>140</v>
      </c>
      <c r="N3554" s="0" t="n">
        <v>1616</v>
      </c>
      <c r="O3554" s="10" t="n">
        <v>0.243368446128443</v>
      </c>
      <c r="P3554" s="10" t="n">
        <v>0.616392469964921</v>
      </c>
      <c r="Q3554" s="0" t="str">
        <f aca="false">SUBSTITUTE(SUBSTITUTE($I3554,CHAR(61),""),CHAR(34),"")</f>
        <v>15-24</v>
      </c>
      <c r="R3554" s="0" t="str">
        <f aca="false">IF($D3554&lt;&gt;"","["&amp;$E3554&amp;"]"&amp;"|"&amp;$Q3554&amp;"|"&amp;$K3554&amp;"|"&amp;$G3554&amp;"|"&amp;IF($G3554="TX_CURR_SUBNAT.R","CY2022Q4",$M3554),"")</f>
        <v>[zphK9WV8JB4]|15-24|Male|Incidence_SUBNAT.Rt.T_1|CY2023Q3</v>
      </c>
    </row>
    <row r="3555" customFormat="false" ht="15" hidden="false" customHeight="false" outlineLevel="0" collapsed="false">
      <c r="D3555" s="0" t="s">
        <v>53</v>
      </c>
      <c r="E3555" s="0" t="s">
        <v>54</v>
      </c>
      <c r="F3555" s="0" t="s">
        <v>55</v>
      </c>
      <c r="G3555" s="0" t="s">
        <v>152</v>
      </c>
      <c r="H3555" s="0" t="s">
        <v>152</v>
      </c>
      <c r="I3555" s="0" t="s">
        <v>41</v>
      </c>
      <c r="J3555" s="0" t="s">
        <v>42</v>
      </c>
      <c r="K3555" s="0" t="s">
        <v>48</v>
      </c>
      <c r="L3555" s="0" t="s">
        <v>49</v>
      </c>
      <c r="M3555" s="0" t="s">
        <v>140</v>
      </c>
      <c r="N3555" s="0" t="n">
        <v>1476</v>
      </c>
      <c r="O3555" s="10" t="n">
        <v>0.238021079218015</v>
      </c>
      <c r="P3555" s="10" t="n">
        <v>0.616392469964921</v>
      </c>
      <c r="Q3555" s="0" t="str">
        <f aca="false">SUBSTITUTE(SUBSTITUTE($I3555,CHAR(61),""),CHAR(34),"")</f>
        <v>25-34</v>
      </c>
      <c r="R3555" s="0" t="str">
        <f aca="false">IF($D3555&lt;&gt;"","["&amp;$E3555&amp;"]"&amp;"|"&amp;$Q3555&amp;"|"&amp;$K3555&amp;"|"&amp;$G3555&amp;"|"&amp;IF($G3555="TX_CURR_SUBNAT.R","CY2022Q4",$M3555),"")</f>
        <v>[zphK9WV8JB4]|25-34|Male|Incidence_SUBNAT.Rt.T_1|CY2023Q3</v>
      </c>
    </row>
    <row r="3556" customFormat="false" ht="15" hidden="false" customHeight="false" outlineLevel="0" collapsed="false">
      <c r="D3556" s="0" t="s">
        <v>53</v>
      </c>
      <c r="E3556" s="0" t="s">
        <v>54</v>
      </c>
      <c r="F3556" s="0" t="s">
        <v>55</v>
      </c>
      <c r="G3556" s="0" t="s">
        <v>152</v>
      </c>
      <c r="H3556" s="0" t="s">
        <v>152</v>
      </c>
      <c r="I3556" s="0" t="s">
        <v>43</v>
      </c>
      <c r="J3556" s="0" t="s">
        <v>44</v>
      </c>
      <c r="K3556" s="0" t="s">
        <v>48</v>
      </c>
      <c r="L3556" s="0" t="s">
        <v>49</v>
      </c>
      <c r="M3556" s="0" t="s">
        <v>140</v>
      </c>
      <c r="N3556" s="0" t="n">
        <v>561</v>
      </c>
      <c r="O3556" s="10" t="n">
        <v>0.94323412515223</v>
      </c>
      <c r="P3556" s="10" t="n">
        <v>0.616392469964921</v>
      </c>
      <c r="Q3556" s="0" t="str">
        <f aca="false">SUBSTITUTE(SUBSTITUTE($I3556,CHAR(61),""),CHAR(34),"")</f>
        <v>35-49</v>
      </c>
      <c r="R3556" s="0" t="str">
        <f aca="false">IF($D3556&lt;&gt;"","["&amp;$E3556&amp;"]"&amp;"|"&amp;$Q3556&amp;"|"&amp;$K3556&amp;"|"&amp;$G3556&amp;"|"&amp;IF($G3556="TX_CURR_SUBNAT.R","CY2022Q4",$M3556),"")</f>
        <v>[zphK9WV8JB4]|35-49|Male|Incidence_SUBNAT.Rt.T_1|CY2023Q3</v>
      </c>
    </row>
    <row r="3557" customFormat="false" ht="15" hidden="false" customHeight="false" outlineLevel="0" collapsed="false">
      <c r="D3557" s="0" t="s">
        <v>53</v>
      </c>
      <c r="E3557" s="0" t="s">
        <v>54</v>
      </c>
      <c r="F3557" s="0" t="s">
        <v>55</v>
      </c>
      <c r="G3557" s="0" t="s">
        <v>152</v>
      </c>
      <c r="H3557" s="0" t="s">
        <v>152</v>
      </c>
      <c r="I3557" s="0" t="s">
        <v>45</v>
      </c>
      <c r="J3557" s="0" t="s">
        <v>46</v>
      </c>
      <c r="K3557" s="0" t="s">
        <v>48</v>
      </c>
      <c r="L3557" s="0" t="s">
        <v>49</v>
      </c>
      <c r="M3557" s="0" t="s">
        <v>140</v>
      </c>
      <c r="N3557" s="0" t="n">
        <v>640</v>
      </c>
      <c r="O3557" s="10" t="n">
        <v>0.251024073688313</v>
      </c>
      <c r="P3557" s="10" t="n">
        <v>0.616392469964921</v>
      </c>
      <c r="Q3557" s="0" t="str">
        <f aca="false">SUBSTITUTE(SUBSTITUTE($I3557,CHAR(61),""),CHAR(34),"")</f>
        <v>50+</v>
      </c>
      <c r="R3557" s="0" t="str">
        <f aca="false">IF($D3557&lt;&gt;"","["&amp;$E3557&amp;"]"&amp;"|"&amp;$Q3557&amp;"|"&amp;$K3557&amp;"|"&amp;$G3557&amp;"|"&amp;IF($G3557="TX_CURR_SUBNAT.R","CY2022Q4",$M3557),"")</f>
        <v>[zphK9WV8JB4]|50+|Male|Incidence_SUBNAT.Rt.T_1|CY2023Q3</v>
      </c>
    </row>
    <row r="3558" customFormat="false" ht="15" hidden="false" customHeight="false" outlineLevel="0" collapsed="false">
      <c r="D3558" s="0" t="s">
        <v>60</v>
      </c>
      <c r="E3558" s="0" t="s">
        <v>61</v>
      </c>
      <c r="F3558" s="0" t="s">
        <v>62</v>
      </c>
      <c r="G3558" s="0" t="s">
        <v>152</v>
      </c>
      <c r="H3558" s="0" t="s">
        <v>152</v>
      </c>
      <c r="I3558" s="0" t="s">
        <v>28</v>
      </c>
      <c r="J3558" s="0" t="s">
        <v>29</v>
      </c>
      <c r="K3558" s="0" t="s">
        <v>30</v>
      </c>
      <c r="L3558" s="0" t="s">
        <v>31</v>
      </c>
      <c r="M3558" s="0" t="s">
        <v>140</v>
      </c>
      <c r="N3558" s="0" t="n">
        <v>600</v>
      </c>
      <c r="O3558" s="10" t="n">
        <v>0.223341513657942</v>
      </c>
      <c r="P3558" s="10" t="n">
        <v>0.0268250561784953</v>
      </c>
      <c r="Q3558" s="0" t="str">
        <f aca="false">SUBSTITUTE(SUBSTITUTE($I3558,CHAR(61),""),CHAR(34),"")</f>
        <v>&lt;01</v>
      </c>
      <c r="R3558" s="0" t="str">
        <f aca="false">IF($D3558&lt;&gt;"","["&amp;$E3558&amp;"]"&amp;"|"&amp;$Q3558&amp;"|"&amp;$K3558&amp;"|"&amp;$G3558&amp;"|"&amp;IF($G3558="TX_CURR_SUBNAT.R","CY2022Q4",$M3558),"")</f>
        <v>[msW2zpIN7up]|&lt;01|Female|Incidence_SUBNAT.Rt.T_1|CY2023Q3</v>
      </c>
    </row>
    <row r="3559" customFormat="false" ht="15" hidden="false" customHeight="false" outlineLevel="0" collapsed="false">
      <c r="D3559" s="0" t="s">
        <v>60</v>
      </c>
      <c r="E3559" s="0" t="s">
        <v>61</v>
      </c>
      <c r="F3559" s="0" t="s">
        <v>62</v>
      </c>
      <c r="G3559" s="0" t="s">
        <v>152</v>
      </c>
      <c r="H3559" s="0" t="s">
        <v>152</v>
      </c>
      <c r="I3559" s="0" t="s">
        <v>33</v>
      </c>
      <c r="J3559" s="0" t="s">
        <v>34</v>
      </c>
      <c r="K3559" s="0" t="s">
        <v>30</v>
      </c>
      <c r="L3559" s="0" t="s">
        <v>31</v>
      </c>
      <c r="M3559" s="0" t="s">
        <v>140</v>
      </c>
      <c r="N3559" s="0" t="n">
        <v>1331</v>
      </c>
      <c r="O3559" s="10" t="n">
        <v>0.742514508543536</v>
      </c>
      <c r="P3559" s="10" t="n">
        <v>0.0268250561784953</v>
      </c>
      <c r="Q3559" s="0" t="str">
        <f aca="false">SUBSTITUTE(SUBSTITUTE($I3559,CHAR(61),""),CHAR(34),"")</f>
        <v>01-09</v>
      </c>
      <c r="R3559" s="0" t="str">
        <f aca="false">IF($D3559&lt;&gt;"","["&amp;$E3559&amp;"]"&amp;"|"&amp;$Q3559&amp;"|"&amp;$K3559&amp;"|"&amp;$G3559&amp;"|"&amp;IF($G3559="TX_CURR_SUBNAT.R","CY2022Q4",$M3559),"")</f>
        <v>[msW2zpIN7up]|01-09|Female|Incidence_SUBNAT.Rt.T_1|CY2023Q3</v>
      </c>
    </row>
    <row r="3560" customFormat="false" ht="15" hidden="false" customHeight="false" outlineLevel="0" collapsed="false">
      <c r="D3560" s="0" t="s">
        <v>60</v>
      </c>
      <c r="E3560" s="0" t="s">
        <v>61</v>
      </c>
      <c r="F3560" s="0" t="s">
        <v>62</v>
      </c>
      <c r="G3560" s="0" t="s">
        <v>152</v>
      </c>
      <c r="H3560" s="0" t="s">
        <v>152</v>
      </c>
      <c r="I3560" s="0" t="s">
        <v>36</v>
      </c>
      <c r="J3560" s="0" t="s">
        <v>37</v>
      </c>
      <c r="K3560" s="0" t="s">
        <v>30</v>
      </c>
      <c r="L3560" s="0" t="s">
        <v>31</v>
      </c>
      <c r="M3560" s="0" t="s">
        <v>140</v>
      </c>
      <c r="N3560" s="0" t="n">
        <v>1367</v>
      </c>
      <c r="O3560" s="10" t="n">
        <v>0.180277705891058</v>
      </c>
      <c r="P3560" s="10" t="n">
        <v>0.0268250561784953</v>
      </c>
      <c r="Q3560" s="0" t="str">
        <f aca="false">SUBSTITUTE(SUBSTITUTE($I3560,CHAR(61),""),CHAR(34),"")</f>
        <v>10-14</v>
      </c>
      <c r="R3560" s="0" t="str">
        <f aca="false">IF($D3560&lt;&gt;"","["&amp;$E3560&amp;"]"&amp;"|"&amp;$Q3560&amp;"|"&amp;$K3560&amp;"|"&amp;$G3560&amp;"|"&amp;IF($G3560="TX_CURR_SUBNAT.R","CY2022Q4",$M3560),"")</f>
        <v>[msW2zpIN7up]|10-14|Female|Incidence_SUBNAT.Rt.T_1|CY2023Q3</v>
      </c>
    </row>
    <row r="3561" customFormat="false" ht="15" hidden="false" customHeight="false" outlineLevel="0" collapsed="false">
      <c r="D3561" s="0" t="s">
        <v>60</v>
      </c>
      <c r="E3561" s="0" t="s">
        <v>61</v>
      </c>
      <c r="F3561" s="0" t="s">
        <v>62</v>
      </c>
      <c r="G3561" s="0" t="s">
        <v>152</v>
      </c>
      <c r="H3561" s="0" t="s">
        <v>152</v>
      </c>
      <c r="I3561" s="0" t="s">
        <v>38</v>
      </c>
      <c r="J3561" s="0" t="s">
        <v>39</v>
      </c>
      <c r="K3561" s="0" t="s">
        <v>30</v>
      </c>
      <c r="L3561" s="0" t="s">
        <v>31</v>
      </c>
      <c r="M3561" s="0" t="s">
        <v>140</v>
      </c>
      <c r="N3561" s="0" t="n">
        <v>836</v>
      </c>
      <c r="O3561" s="10" t="n">
        <v>0.1343901429791</v>
      </c>
      <c r="P3561" s="10" t="n">
        <v>0.0268250561784953</v>
      </c>
      <c r="Q3561" s="0" t="str">
        <f aca="false">SUBSTITUTE(SUBSTITUTE($I3561,CHAR(61),""),CHAR(34),"")</f>
        <v>15-24</v>
      </c>
      <c r="R3561" s="0" t="str">
        <f aca="false">IF($D3561&lt;&gt;"","["&amp;$E3561&amp;"]"&amp;"|"&amp;$Q3561&amp;"|"&amp;$K3561&amp;"|"&amp;$G3561&amp;"|"&amp;IF($G3561="TX_CURR_SUBNAT.R","CY2022Q4",$M3561),"")</f>
        <v>[msW2zpIN7up]|15-24|Female|Incidence_SUBNAT.Rt.T_1|CY2023Q3</v>
      </c>
    </row>
    <row r="3562" customFormat="false" ht="15" hidden="false" customHeight="false" outlineLevel="0" collapsed="false">
      <c r="D3562" s="0" t="s">
        <v>60</v>
      </c>
      <c r="E3562" s="0" t="s">
        <v>61</v>
      </c>
      <c r="F3562" s="0" t="s">
        <v>62</v>
      </c>
      <c r="G3562" s="0" t="s">
        <v>152</v>
      </c>
      <c r="H3562" s="0" t="s">
        <v>152</v>
      </c>
      <c r="I3562" s="0" t="s">
        <v>41</v>
      </c>
      <c r="J3562" s="0" t="s">
        <v>42</v>
      </c>
      <c r="K3562" s="0" t="s">
        <v>30</v>
      </c>
      <c r="L3562" s="0" t="s">
        <v>31</v>
      </c>
      <c r="M3562" s="0" t="s">
        <v>140</v>
      </c>
      <c r="N3562" s="0" t="n">
        <v>550</v>
      </c>
      <c r="O3562" s="10" t="n">
        <v>0.347310860175639</v>
      </c>
      <c r="P3562" s="10" t="n">
        <v>0.0268250561784953</v>
      </c>
      <c r="Q3562" s="0" t="str">
        <f aca="false">SUBSTITUTE(SUBSTITUTE($I3562,CHAR(61),""),CHAR(34),"")</f>
        <v>25-34</v>
      </c>
      <c r="R3562" s="0" t="str">
        <f aca="false">IF($D3562&lt;&gt;"","["&amp;$E3562&amp;"]"&amp;"|"&amp;$Q3562&amp;"|"&amp;$K3562&amp;"|"&amp;$G3562&amp;"|"&amp;IF($G3562="TX_CURR_SUBNAT.R","CY2022Q4",$M3562),"")</f>
        <v>[msW2zpIN7up]|25-34|Female|Incidence_SUBNAT.Rt.T_1|CY2023Q3</v>
      </c>
    </row>
    <row r="3563" customFormat="false" ht="15" hidden="false" customHeight="false" outlineLevel="0" collapsed="false">
      <c r="D3563" s="0" t="s">
        <v>60</v>
      </c>
      <c r="E3563" s="0" t="s">
        <v>61</v>
      </c>
      <c r="F3563" s="0" t="s">
        <v>62</v>
      </c>
      <c r="G3563" s="0" t="s">
        <v>152</v>
      </c>
      <c r="H3563" s="0" t="s">
        <v>152</v>
      </c>
      <c r="I3563" s="0" t="s">
        <v>43</v>
      </c>
      <c r="J3563" s="0" t="s">
        <v>44</v>
      </c>
      <c r="K3563" s="0" t="s">
        <v>30</v>
      </c>
      <c r="L3563" s="0" t="s">
        <v>31</v>
      </c>
      <c r="M3563" s="0" t="s">
        <v>140</v>
      </c>
      <c r="N3563" s="0" t="n">
        <v>1377</v>
      </c>
      <c r="O3563" s="10" t="n">
        <v>0.699068712303415</v>
      </c>
      <c r="P3563" s="10" t="n">
        <v>0.0268250561784953</v>
      </c>
      <c r="Q3563" s="0" t="str">
        <f aca="false">SUBSTITUTE(SUBSTITUTE($I3563,CHAR(61),""),CHAR(34),"")</f>
        <v>35-49</v>
      </c>
      <c r="R3563" s="0" t="str">
        <f aca="false">IF($D3563&lt;&gt;"","["&amp;$E3563&amp;"]"&amp;"|"&amp;$Q3563&amp;"|"&amp;$K3563&amp;"|"&amp;$G3563&amp;"|"&amp;IF($G3563="TX_CURR_SUBNAT.R","CY2022Q4",$M3563),"")</f>
        <v>[msW2zpIN7up]|35-49|Female|Incidence_SUBNAT.Rt.T_1|CY2023Q3</v>
      </c>
    </row>
    <row r="3564" customFormat="false" ht="15" hidden="false" customHeight="false" outlineLevel="0" collapsed="false">
      <c r="D3564" s="0" t="s">
        <v>60</v>
      </c>
      <c r="E3564" s="0" t="s">
        <v>61</v>
      </c>
      <c r="F3564" s="0" t="s">
        <v>62</v>
      </c>
      <c r="G3564" s="0" t="s">
        <v>152</v>
      </c>
      <c r="H3564" s="0" t="s">
        <v>152</v>
      </c>
      <c r="I3564" s="0" t="s">
        <v>45</v>
      </c>
      <c r="J3564" s="0" t="s">
        <v>46</v>
      </c>
      <c r="K3564" s="0" t="s">
        <v>30</v>
      </c>
      <c r="L3564" s="0" t="s">
        <v>31</v>
      </c>
      <c r="M3564" s="0" t="s">
        <v>140</v>
      </c>
      <c r="N3564" s="0" t="n">
        <v>797</v>
      </c>
      <c r="O3564" s="10" t="n">
        <v>0.83890865300782</v>
      </c>
      <c r="P3564" s="10" t="n">
        <v>0.0268250561784953</v>
      </c>
      <c r="Q3564" s="0" t="str">
        <f aca="false">SUBSTITUTE(SUBSTITUTE($I3564,CHAR(61),""),CHAR(34),"")</f>
        <v>50+</v>
      </c>
      <c r="R3564" s="0" t="str">
        <f aca="false">IF($D3564&lt;&gt;"","["&amp;$E3564&amp;"]"&amp;"|"&amp;$Q3564&amp;"|"&amp;$K3564&amp;"|"&amp;$G3564&amp;"|"&amp;IF($G3564="TX_CURR_SUBNAT.R","CY2022Q4",$M3564),"")</f>
        <v>[msW2zpIN7up]|50+|Female|Incidence_SUBNAT.Rt.T_1|CY2023Q3</v>
      </c>
    </row>
    <row r="3565" customFormat="false" ht="15" hidden="false" customHeight="false" outlineLevel="0" collapsed="false">
      <c r="D3565" s="0" t="s">
        <v>60</v>
      </c>
      <c r="E3565" s="0" t="s">
        <v>61</v>
      </c>
      <c r="F3565" s="0" t="s">
        <v>62</v>
      </c>
      <c r="G3565" s="0" t="s">
        <v>152</v>
      </c>
      <c r="H3565" s="0" t="s">
        <v>152</v>
      </c>
      <c r="I3565" s="0" t="s">
        <v>28</v>
      </c>
      <c r="J3565" s="0" t="s">
        <v>29</v>
      </c>
      <c r="K3565" s="0" t="s">
        <v>48</v>
      </c>
      <c r="L3565" s="0" t="s">
        <v>49</v>
      </c>
      <c r="M3565" s="0" t="s">
        <v>140</v>
      </c>
      <c r="N3565" s="0" t="n">
        <v>1673</v>
      </c>
      <c r="O3565" s="10" t="n">
        <v>0.181717071449384</v>
      </c>
      <c r="P3565" s="10" t="n">
        <v>0.0268250561784953</v>
      </c>
      <c r="Q3565" s="0" t="str">
        <f aca="false">SUBSTITUTE(SUBSTITUTE($I3565,CHAR(61),""),CHAR(34),"")</f>
        <v>&lt;01</v>
      </c>
      <c r="R3565" s="0" t="str">
        <f aca="false">IF($D3565&lt;&gt;"","["&amp;$E3565&amp;"]"&amp;"|"&amp;$Q3565&amp;"|"&amp;$K3565&amp;"|"&amp;$G3565&amp;"|"&amp;IF($G3565="TX_CURR_SUBNAT.R","CY2022Q4",$M3565),"")</f>
        <v>[msW2zpIN7up]|&lt;01|Male|Incidence_SUBNAT.Rt.T_1|CY2023Q3</v>
      </c>
    </row>
    <row r="3566" customFormat="false" ht="15" hidden="false" customHeight="false" outlineLevel="0" collapsed="false">
      <c r="D3566" s="0" t="s">
        <v>60</v>
      </c>
      <c r="E3566" s="0" t="s">
        <v>61</v>
      </c>
      <c r="F3566" s="0" t="s">
        <v>62</v>
      </c>
      <c r="G3566" s="0" t="s">
        <v>152</v>
      </c>
      <c r="H3566" s="0" t="s">
        <v>152</v>
      </c>
      <c r="I3566" s="0" t="s">
        <v>33</v>
      </c>
      <c r="J3566" s="0" t="s">
        <v>34</v>
      </c>
      <c r="K3566" s="0" t="s">
        <v>48</v>
      </c>
      <c r="L3566" s="0" t="s">
        <v>49</v>
      </c>
      <c r="M3566" s="0" t="s">
        <v>140</v>
      </c>
      <c r="N3566" s="0" t="n">
        <v>614</v>
      </c>
      <c r="O3566" s="10" t="n">
        <v>0.224437163677067</v>
      </c>
      <c r="P3566" s="10" t="n">
        <v>0.0268250561784953</v>
      </c>
      <c r="Q3566" s="0" t="str">
        <f aca="false">SUBSTITUTE(SUBSTITUTE($I3566,CHAR(61),""),CHAR(34),"")</f>
        <v>01-09</v>
      </c>
      <c r="R3566" s="0" t="str">
        <f aca="false">IF($D3566&lt;&gt;"","["&amp;$E3566&amp;"]"&amp;"|"&amp;$Q3566&amp;"|"&amp;$K3566&amp;"|"&amp;$G3566&amp;"|"&amp;IF($G3566="TX_CURR_SUBNAT.R","CY2022Q4",$M3566),"")</f>
        <v>[msW2zpIN7up]|01-09|Male|Incidence_SUBNAT.Rt.T_1|CY2023Q3</v>
      </c>
    </row>
    <row r="3567" customFormat="false" ht="15" hidden="false" customHeight="false" outlineLevel="0" collapsed="false">
      <c r="D3567" s="0" t="s">
        <v>60</v>
      </c>
      <c r="E3567" s="0" t="s">
        <v>61</v>
      </c>
      <c r="F3567" s="0" t="s">
        <v>62</v>
      </c>
      <c r="G3567" s="0" t="s">
        <v>152</v>
      </c>
      <c r="H3567" s="0" t="s">
        <v>152</v>
      </c>
      <c r="I3567" s="0" t="s">
        <v>36</v>
      </c>
      <c r="J3567" s="0" t="s">
        <v>37</v>
      </c>
      <c r="K3567" s="0" t="s">
        <v>48</v>
      </c>
      <c r="L3567" s="0" t="s">
        <v>49</v>
      </c>
      <c r="M3567" s="0" t="s">
        <v>140</v>
      </c>
      <c r="N3567" s="0" t="n">
        <v>1512</v>
      </c>
      <c r="O3567" s="10" t="n">
        <v>0.794236794579774</v>
      </c>
      <c r="P3567" s="10" t="n">
        <v>0.0268250561784953</v>
      </c>
      <c r="Q3567" s="0" t="str">
        <f aca="false">SUBSTITUTE(SUBSTITUTE($I3567,CHAR(61),""),CHAR(34),"")</f>
        <v>10-14</v>
      </c>
      <c r="R3567" s="0" t="str">
        <f aca="false">IF($D3567&lt;&gt;"","["&amp;$E3567&amp;"]"&amp;"|"&amp;$Q3567&amp;"|"&amp;$K3567&amp;"|"&amp;$G3567&amp;"|"&amp;IF($G3567="TX_CURR_SUBNAT.R","CY2022Q4",$M3567),"")</f>
        <v>[msW2zpIN7up]|10-14|Male|Incidence_SUBNAT.Rt.T_1|CY2023Q3</v>
      </c>
    </row>
    <row r="3568" customFormat="false" ht="15" hidden="false" customHeight="false" outlineLevel="0" collapsed="false">
      <c r="D3568" s="0" t="s">
        <v>60</v>
      </c>
      <c r="E3568" s="0" t="s">
        <v>61</v>
      </c>
      <c r="F3568" s="0" t="s">
        <v>62</v>
      </c>
      <c r="G3568" s="0" t="s">
        <v>152</v>
      </c>
      <c r="H3568" s="0" t="s">
        <v>152</v>
      </c>
      <c r="I3568" s="0" t="s">
        <v>38</v>
      </c>
      <c r="J3568" s="0" t="s">
        <v>39</v>
      </c>
      <c r="K3568" s="0" t="s">
        <v>48</v>
      </c>
      <c r="L3568" s="0" t="s">
        <v>49</v>
      </c>
      <c r="M3568" s="0" t="s">
        <v>140</v>
      </c>
      <c r="N3568" s="0" t="n">
        <v>1615</v>
      </c>
      <c r="O3568" s="10" t="n">
        <v>0.0814599790610373</v>
      </c>
      <c r="P3568" s="10" t="n">
        <v>0.0268250561784953</v>
      </c>
      <c r="Q3568" s="0" t="str">
        <f aca="false">SUBSTITUTE(SUBSTITUTE($I3568,CHAR(61),""),CHAR(34),"")</f>
        <v>15-24</v>
      </c>
      <c r="R3568" s="0" t="str">
        <f aca="false">IF($D3568&lt;&gt;"","["&amp;$E3568&amp;"]"&amp;"|"&amp;$Q3568&amp;"|"&amp;$K3568&amp;"|"&amp;$G3568&amp;"|"&amp;IF($G3568="TX_CURR_SUBNAT.R","CY2022Q4",$M3568),"")</f>
        <v>[msW2zpIN7up]|15-24|Male|Incidence_SUBNAT.Rt.T_1|CY2023Q3</v>
      </c>
    </row>
    <row r="3569" customFormat="false" ht="15" hidden="false" customHeight="false" outlineLevel="0" collapsed="false">
      <c r="D3569" s="0" t="s">
        <v>60</v>
      </c>
      <c r="E3569" s="0" t="s">
        <v>61</v>
      </c>
      <c r="F3569" s="0" t="s">
        <v>62</v>
      </c>
      <c r="G3569" s="0" t="s">
        <v>152</v>
      </c>
      <c r="H3569" s="0" t="s">
        <v>152</v>
      </c>
      <c r="I3569" s="0" t="s">
        <v>41</v>
      </c>
      <c r="J3569" s="0" t="s">
        <v>42</v>
      </c>
      <c r="K3569" s="0" t="s">
        <v>48</v>
      </c>
      <c r="L3569" s="0" t="s">
        <v>49</v>
      </c>
      <c r="M3569" s="0" t="s">
        <v>140</v>
      </c>
      <c r="N3569" s="0" t="n">
        <v>1054</v>
      </c>
      <c r="O3569" s="10" t="n">
        <v>0.497714559780434</v>
      </c>
      <c r="P3569" s="10" t="n">
        <v>0.0268250561784953</v>
      </c>
      <c r="Q3569" s="0" t="str">
        <f aca="false">SUBSTITUTE(SUBSTITUTE($I3569,CHAR(61),""),CHAR(34),"")</f>
        <v>25-34</v>
      </c>
      <c r="R3569" s="0" t="str">
        <f aca="false">IF($D3569&lt;&gt;"","["&amp;$E3569&amp;"]"&amp;"|"&amp;$Q3569&amp;"|"&amp;$K3569&amp;"|"&amp;$G3569&amp;"|"&amp;IF($G3569="TX_CURR_SUBNAT.R","CY2022Q4",$M3569),"")</f>
        <v>[msW2zpIN7up]|25-34|Male|Incidence_SUBNAT.Rt.T_1|CY2023Q3</v>
      </c>
    </row>
    <row r="3570" customFormat="false" ht="15" hidden="false" customHeight="false" outlineLevel="0" collapsed="false">
      <c r="D3570" s="0" t="s">
        <v>60</v>
      </c>
      <c r="E3570" s="0" t="s">
        <v>61</v>
      </c>
      <c r="F3570" s="0" t="s">
        <v>62</v>
      </c>
      <c r="G3570" s="0" t="s">
        <v>152</v>
      </c>
      <c r="H3570" s="0" t="s">
        <v>152</v>
      </c>
      <c r="I3570" s="0" t="s">
        <v>43</v>
      </c>
      <c r="J3570" s="0" t="s">
        <v>44</v>
      </c>
      <c r="K3570" s="0" t="s">
        <v>48</v>
      </c>
      <c r="L3570" s="0" t="s">
        <v>49</v>
      </c>
      <c r="M3570" s="0" t="s">
        <v>140</v>
      </c>
      <c r="N3570" s="0" t="n">
        <v>642</v>
      </c>
      <c r="O3570" s="10" t="n">
        <v>0.0200617129448801</v>
      </c>
      <c r="P3570" s="10" t="n">
        <v>0.0268250561784953</v>
      </c>
      <c r="Q3570" s="0" t="str">
        <f aca="false">SUBSTITUTE(SUBSTITUTE($I3570,CHAR(61),""),CHAR(34),"")</f>
        <v>35-49</v>
      </c>
      <c r="R3570" s="0" t="str">
        <f aca="false">IF($D3570&lt;&gt;"","["&amp;$E3570&amp;"]"&amp;"|"&amp;$Q3570&amp;"|"&amp;$K3570&amp;"|"&amp;$G3570&amp;"|"&amp;IF($G3570="TX_CURR_SUBNAT.R","CY2022Q4",$M3570),"")</f>
        <v>[msW2zpIN7up]|35-49|Male|Incidence_SUBNAT.Rt.T_1|CY2023Q3</v>
      </c>
    </row>
    <row r="3571" customFormat="false" ht="15" hidden="false" customHeight="false" outlineLevel="0" collapsed="false">
      <c r="D3571" s="0" t="s">
        <v>60</v>
      </c>
      <c r="E3571" s="0" t="s">
        <v>61</v>
      </c>
      <c r="F3571" s="0" t="s">
        <v>62</v>
      </c>
      <c r="G3571" s="0" t="s">
        <v>152</v>
      </c>
      <c r="H3571" s="0" t="s">
        <v>152</v>
      </c>
      <c r="I3571" s="0" t="s">
        <v>45</v>
      </c>
      <c r="J3571" s="0" t="s">
        <v>46</v>
      </c>
      <c r="K3571" s="0" t="s">
        <v>48</v>
      </c>
      <c r="L3571" s="0" t="s">
        <v>49</v>
      </c>
      <c r="M3571" s="0" t="s">
        <v>140</v>
      </c>
      <c r="N3571" s="0" t="n">
        <v>1358</v>
      </c>
      <c r="O3571" s="10" t="n">
        <v>0.794203703058884</v>
      </c>
      <c r="P3571" s="10" t="n">
        <v>0.0268250561784953</v>
      </c>
      <c r="Q3571" s="0" t="str">
        <f aca="false">SUBSTITUTE(SUBSTITUTE($I3571,CHAR(61),""),CHAR(34),"")</f>
        <v>50+</v>
      </c>
      <c r="R3571" s="0" t="str">
        <f aca="false">IF($D3571&lt;&gt;"","["&amp;$E3571&amp;"]"&amp;"|"&amp;$Q3571&amp;"|"&amp;$K3571&amp;"|"&amp;$G3571&amp;"|"&amp;IF($G3571="TX_CURR_SUBNAT.R","CY2022Q4",$M3571),"")</f>
        <v>[msW2zpIN7up]|50+|Male|Incidence_SUBNAT.Rt.T_1|CY2023Q3</v>
      </c>
    </row>
    <row r="3572" customFormat="false" ht="15" hidden="false" customHeight="false" outlineLevel="0" collapsed="false">
      <c r="D3572" s="0" t="s">
        <v>63</v>
      </c>
      <c r="E3572" s="0" t="s">
        <v>64</v>
      </c>
      <c r="F3572" s="0" t="s">
        <v>65</v>
      </c>
      <c r="G3572" s="0" t="s">
        <v>152</v>
      </c>
      <c r="H3572" s="0" t="s">
        <v>152</v>
      </c>
      <c r="I3572" s="0" t="s">
        <v>28</v>
      </c>
      <c r="J3572" s="0" t="s">
        <v>29</v>
      </c>
      <c r="K3572" s="0" t="s">
        <v>30</v>
      </c>
      <c r="L3572" s="0" t="s">
        <v>31</v>
      </c>
      <c r="M3572" s="0" t="s">
        <v>140</v>
      </c>
      <c r="N3572" s="0" t="n">
        <v>632</v>
      </c>
      <c r="O3572" s="10" t="n">
        <v>0.130799275590107</v>
      </c>
      <c r="P3572" s="10" t="n">
        <v>0.790102193132043</v>
      </c>
      <c r="Q3572" s="0" t="str">
        <f aca="false">SUBSTITUTE(SUBSTITUTE($I3572,CHAR(61),""),CHAR(34),"")</f>
        <v>&lt;01</v>
      </c>
      <c r="R3572" s="0" t="str">
        <f aca="false">IF($D3572&lt;&gt;"","["&amp;$E3572&amp;"]"&amp;"|"&amp;$Q3572&amp;"|"&amp;$K3572&amp;"|"&amp;$G3572&amp;"|"&amp;IF($G3572="TX_CURR_SUBNAT.R","CY2022Q4",$M3572),"")</f>
        <v>[kxuuIFpOXyO]|&lt;01|Female|Incidence_SUBNAT.Rt.T_1|CY2023Q3</v>
      </c>
    </row>
    <row r="3573" customFormat="false" ht="15" hidden="false" customHeight="false" outlineLevel="0" collapsed="false">
      <c r="D3573" s="0" t="s">
        <v>63</v>
      </c>
      <c r="E3573" s="0" t="s">
        <v>64</v>
      </c>
      <c r="F3573" s="0" t="s">
        <v>65</v>
      </c>
      <c r="G3573" s="0" t="s">
        <v>152</v>
      </c>
      <c r="H3573" s="0" t="s">
        <v>152</v>
      </c>
      <c r="I3573" s="0" t="s">
        <v>33</v>
      </c>
      <c r="J3573" s="0" t="s">
        <v>34</v>
      </c>
      <c r="K3573" s="0" t="s">
        <v>30</v>
      </c>
      <c r="L3573" s="0" t="s">
        <v>31</v>
      </c>
      <c r="M3573" s="0" t="s">
        <v>140</v>
      </c>
      <c r="N3573" s="0" t="n">
        <v>667</v>
      </c>
      <c r="O3573" s="10" t="n">
        <v>0.445939440978691</v>
      </c>
      <c r="P3573" s="10" t="n">
        <v>0.790102193132043</v>
      </c>
      <c r="Q3573" s="0" t="str">
        <f aca="false">SUBSTITUTE(SUBSTITUTE($I3573,CHAR(61),""),CHAR(34),"")</f>
        <v>01-09</v>
      </c>
      <c r="R3573" s="0" t="str">
        <f aca="false">IF($D3573&lt;&gt;"","["&amp;$E3573&amp;"]"&amp;"|"&amp;$Q3573&amp;"|"&amp;$K3573&amp;"|"&amp;$G3573&amp;"|"&amp;IF($G3573="TX_CURR_SUBNAT.R","CY2022Q4",$M3573),"")</f>
        <v>[kxuuIFpOXyO]|01-09|Female|Incidence_SUBNAT.Rt.T_1|CY2023Q3</v>
      </c>
    </row>
    <row r="3574" customFormat="false" ht="15" hidden="false" customHeight="false" outlineLevel="0" collapsed="false">
      <c r="D3574" s="0" t="s">
        <v>63</v>
      </c>
      <c r="E3574" s="0" t="s">
        <v>64</v>
      </c>
      <c r="F3574" s="0" t="s">
        <v>65</v>
      </c>
      <c r="G3574" s="0" t="s">
        <v>152</v>
      </c>
      <c r="H3574" s="0" t="s">
        <v>152</v>
      </c>
      <c r="I3574" s="0" t="s">
        <v>36</v>
      </c>
      <c r="J3574" s="0" t="s">
        <v>37</v>
      </c>
      <c r="K3574" s="0" t="s">
        <v>30</v>
      </c>
      <c r="L3574" s="0" t="s">
        <v>31</v>
      </c>
      <c r="M3574" s="0" t="s">
        <v>140</v>
      </c>
      <c r="N3574" s="0" t="n">
        <v>1463</v>
      </c>
      <c r="O3574" s="10" t="n">
        <v>0.921941827284172</v>
      </c>
      <c r="P3574" s="10" t="n">
        <v>0.790102193132043</v>
      </c>
      <c r="Q3574" s="0" t="str">
        <f aca="false">SUBSTITUTE(SUBSTITUTE($I3574,CHAR(61),""),CHAR(34),"")</f>
        <v>10-14</v>
      </c>
      <c r="R3574" s="0" t="str">
        <f aca="false">IF($D3574&lt;&gt;"","["&amp;$E3574&amp;"]"&amp;"|"&amp;$Q3574&amp;"|"&amp;$K3574&amp;"|"&amp;$G3574&amp;"|"&amp;IF($G3574="TX_CURR_SUBNAT.R","CY2022Q4",$M3574),"")</f>
        <v>[kxuuIFpOXyO]|10-14|Female|Incidence_SUBNAT.Rt.T_1|CY2023Q3</v>
      </c>
    </row>
    <row r="3575" customFormat="false" ht="15" hidden="false" customHeight="false" outlineLevel="0" collapsed="false">
      <c r="D3575" s="0" t="s">
        <v>63</v>
      </c>
      <c r="E3575" s="0" t="s">
        <v>64</v>
      </c>
      <c r="F3575" s="0" t="s">
        <v>65</v>
      </c>
      <c r="G3575" s="0" t="s">
        <v>152</v>
      </c>
      <c r="H3575" s="0" t="s">
        <v>152</v>
      </c>
      <c r="I3575" s="0" t="s">
        <v>38</v>
      </c>
      <c r="J3575" s="0" t="s">
        <v>39</v>
      </c>
      <c r="K3575" s="0" t="s">
        <v>30</v>
      </c>
      <c r="L3575" s="0" t="s">
        <v>31</v>
      </c>
      <c r="M3575" s="0" t="s">
        <v>140</v>
      </c>
      <c r="N3575" s="0" t="n">
        <v>780</v>
      </c>
      <c r="O3575" s="10" t="n">
        <v>0.119801895227283</v>
      </c>
      <c r="P3575" s="10" t="n">
        <v>0.790102193132043</v>
      </c>
      <c r="Q3575" s="0" t="str">
        <f aca="false">SUBSTITUTE(SUBSTITUTE($I3575,CHAR(61),""),CHAR(34),"")</f>
        <v>15-24</v>
      </c>
      <c r="R3575" s="0" t="str">
        <f aca="false">IF($D3575&lt;&gt;"","["&amp;$E3575&amp;"]"&amp;"|"&amp;$Q3575&amp;"|"&amp;$K3575&amp;"|"&amp;$G3575&amp;"|"&amp;IF($G3575="TX_CURR_SUBNAT.R","CY2022Q4",$M3575),"")</f>
        <v>[kxuuIFpOXyO]|15-24|Female|Incidence_SUBNAT.Rt.T_1|CY2023Q3</v>
      </c>
    </row>
    <row r="3576" customFormat="false" ht="15" hidden="false" customHeight="false" outlineLevel="0" collapsed="false">
      <c r="D3576" s="0" t="s">
        <v>63</v>
      </c>
      <c r="E3576" s="0" t="s">
        <v>64</v>
      </c>
      <c r="F3576" s="0" t="s">
        <v>65</v>
      </c>
      <c r="G3576" s="0" t="s">
        <v>152</v>
      </c>
      <c r="H3576" s="0" t="s">
        <v>152</v>
      </c>
      <c r="I3576" s="0" t="s">
        <v>41</v>
      </c>
      <c r="J3576" s="0" t="s">
        <v>42</v>
      </c>
      <c r="K3576" s="0" t="s">
        <v>30</v>
      </c>
      <c r="L3576" s="0" t="s">
        <v>31</v>
      </c>
      <c r="M3576" s="0" t="s">
        <v>140</v>
      </c>
      <c r="N3576" s="0" t="n">
        <v>566</v>
      </c>
      <c r="O3576" s="10" t="n">
        <v>0.199009307660162</v>
      </c>
      <c r="P3576" s="10" t="n">
        <v>0.790102193132043</v>
      </c>
      <c r="Q3576" s="0" t="str">
        <f aca="false">SUBSTITUTE(SUBSTITUTE($I3576,CHAR(61),""),CHAR(34),"")</f>
        <v>25-34</v>
      </c>
      <c r="R3576" s="0" t="str">
        <f aca="false">IF($D3576&lt;&gt;"","["&amp;$E3576&amp;"]"&amp;"|"&amp;$Q3576&amp;"|"&amp;$K3576&amp;"|"&amp;$G3576&amp;"|"&amp;IF($G3576="TX_CURR_SUBNAT.R","CY2022Q4",$M3576),"")</f>
        <v>[kxuuIFpOXyO]|25-34|Female|Incidence_SUBNAT.Rt.T_1|CY2023Q3</v>
      </c>
    </row>
    <row r="3577" customFormat="false" ht="15" hidden="false" customHeight="false" outlineLevel="0" collapsed="false">
      <c r="D3577" s="0" t="s">
        <v>63</v>
      </c>
      <c r="E3577" s="0" t="s">
        <v>64</v>
      </c>
      <c r="F3577" s="0" t="s">
        <v>65</v>
      </c>
      <c r="G3577" s="0" t="s">
        <v>152</v>
      </c>
      <c r="H3577" s="0" t="s">
        <v>152</v>
      </c>
      <c r="I3577" s="0" t="s">
        <v>43</v>
      </c>
      <c r="J3577" s="0" t="s">
        <v>44</v>
      </c>
      <c r="K3577" s="0" t="s">
        <v>30</v>
      </c>
      <c r="L3577" s="0" t="s">
        <v>31</v>
      </c>
      <c r="M3577" s="0" t="s">
        <v>140</v>
      </c>
      <c r="N3577" s="0" t="n">
        <v>769</v>
      </c>
      <c r="O3577" s="10" t="n">
        <v>0.901079601841047</v>
      </c>
      <c r="P3577" s="10" t="n">
        <v>0.790102193132043</v>
      </c>
      <c r="Q3577" s="0" t="str">
        <f aca="false">SUBSTITUTE(SUBSTITUTE($I3577,CHAR(61),""),CHAR(34),"")</f>
        <v>35-49</v>
      </c>
      <c r="R3577" s="0" t="str">
        <f aca="false">IF($D3577&lt;&gt;"","["&amp;$E3577&amp;"]"&amp;"|"&amp;$Q3577&amp;"|"&amp;$K3577&amp;"|"&amp;$G3577&amp;"|"&amp;IF($G3577="TX_CURR_SUBNAT.R","CY2022Q4",$M3577),"")</f>
        <v>[kxuuIFpOXyO]|35-49|Female|Incidence_SUBNAT.Rt.T_1|CY2023Q3</v>
      </c>
    </row>
    <row r="3578" customFormat="false" ht="15" hidden="false" customHeight="false" outlineLevel="0" collapsed="false">
      <c r="D3578" s="0" t="s">
        <v>63</v>
      </c>
      <c r="E3578" s="0" t="s">
        <v>64</v>
      </c>
      <c r="F3578" s="0" t="s">
        <v>65</v>
      </c>
      <c r="G3578" s="0" t="s">
        <v>152</v>
      </c>
      <c r="H3578" s="0" t="s">
        <v>152</v>
      </c>
      <c r="I3578" s="0" t="s">
        <v>45</v>
      </c>
      <c r="J3578" s="0" t="s">
        <v>46</v>
      </c>
      <c r="K3578" s="0" t="s">
        <v>30</v>
      </c>
      <c r="L3578" s="0" t="s">
        <v>31</v>
      </c>
      <c r="M3578" s="0" t="s">
        <v>140</v>
      </c>
      <c r="N3578" s="0" t="n">
        <v>703</v>
      </c>
      <c r="O3578" s="10" t="n">
        <v>0.947296420112252</v>
      </c>
      <c r="P3578" s="10" t="n">
        <v>0.790102193132043</v>
      </c>
      <c r="Q3578" s="0" t="str">
        <f aca="false">SUBSTITUTE(SUBSTITUTE($I3578,CHAR(61),""),CHAR(34),"")</f>
        <v>50+</v>
      </c>
      <c r="R3578" s="0" t="str">
        <f aca="false">IF($D3578&lt;&gt;"","["&amp;$E3578&amp;"]"&amp;"|"&amp;$Q3578&amp;"|"&amp;$K3578&amp;"|"&amp;$G3578&amp;"|"&amp;IF($G3578="TX_CURR_SUBNAT.R","CY2022Q4",$M3578),"")</f>
        <v>[kxuuIFpOXyO]|50+|Female|Incidence_SUBNAT.Rt.T_1|CY2023Q3</v>
      </c>
    </row>
    <row r="3579" customFormat="false" ht="15" hidden="false" customHeight="false" outlineLevel="0" collapsed="false">
      <c r="D3579" s="0" t="s">
        <v>63</v>
      </c>
      <c r="E3579" s="0" t="s">
        <v>64</v>
      </c>
      <c r="F3579" s="0" t="s">
        <v>65</v>
      </c>
      <c r="G3579" s="0" t="s">
        <v>152</v>
      </c>
      <c r="H3579" s="0" t="s">
        <v>152</v>
      </c>
      <c r="I3579" s="0" t="s">
        <v>28</v>
      </c>
      <c r="J3579" s="0" t="s">
        <v>29</v>
      </c>
      <c r="K3579" s="0" t="s">
        <v>48</v>
      </c>
      <c r="L3579" s="0" t="s">
        <v>49</v>
      </c>
      <c r="M3579" s="0" t="s">
        <v>140</v>
      </c>
      <c r="N3579" s="0" t="n">
        <v>1907</v>
      </c>
      <c r="O3579" s="10" t="n">
        <v>0.903080198680982</v>
      </c>
      <c r="P3579" s="10" t="n">
        <v>0.790102193132043</v>
      </c>
      <c r="Q3579" s="0" t="str">
        <f aca="false">SUBSTITUTE(SUBSTITUTE($I3579,CHAR(61),""),CHAR(34),"")</f>
        <v>&lt;01</v>
      </c>
      <c r="R3579" s="0" t="str">
        <f aca="false">IF($D3579&lt;&gt;"","["&amp;$E3579&amp;"]"&amp;"|"&amp;$Q3579&amp;"|"&amp;$K3579&amp;"|"&amp;$G3579&amp;"|"&amp;IF($G3579="TX_CURR_SUBNAT.R","CY2022Q4",$M3579),"")</f>
        <v>[kxuuIFpOXyO]|&lt;01|Male|Incidence_SUBNAT.Rt.T_1|CY2023Q3</v>
      </c>
    </row>
    <row r="3580" customFormat="false" ht="15" hidden="false" customHeight="false" outlineLevel="0" collapsed="false">
      <c r="D3580" s="0" t="s">
        <v>63</v>
      </c>
      <c r="E3580" s="0" t="s">
        <v>64</v>
      </c>
      <c r="F3580" s="0" t="s">
        <v>65</v>
      </c>
      <c r="G3580" s="0" t="s">
        <v>152</v>
      </c>
      <c r="H3580" s="0" t="s">
        <v>152</v>
      </c>
      <c r="I3580" s="0" t="s">
        <v>33</v>
      </c>
      <c r="J3580" s="0" t="s">
        <v>34</v>
      </c>
      <c r="K3580" s="0" t="s">
        <v>48</v>
      </c>
      <c r="L3580" s="0" t="s">
        <v>49</v>
      </c>
      <c r="M3580" s="0" t="s">
        <v>140</v>
      </c>
      <c r="N3580" s="0" t="n">
        <v>672</v>
      </c>
      <c r="O3580" s="10" t="n">
        <v>0.549011250259355</v>
      </c>
      <c r="P3580" s="10" t="n">
        <v>0.790102193132043</v>
      </c>
      <c r="Q3580" s="0" t="str">
        <f aca="false">SUBSTITUTE(SUBSTITUTE($I3580,CHAR(61),""),CHAR(34),"")</f>
        <v>01-09</v>
      </c>
      <c r="R3580" s="0" t="str">
        <f aca="false">IF($D3580&lt;&gt;"","["&amp;$E3580&amp;"]"&amp;"|"&amp;$Q3580&amp;"|"&amp;$K3580&amp;"|"&amp;$G3580&amp;"|"&amp;IF($G3580="TX_CURR_SUBNAT.R","CY2022Q4",$M3580),"")</f>
        <v>[kxuuIFpOXyO]|01-09|Male|Incidence_SUBNAT.Rt.T_1|CY2023Q3</v>
      </c>
    </row>
    <row r="3581" customFormat="false" ht="15" hidden="false" customHeight="false" outlineLevel="0" collapsed="false">
      <c r="D3581" s="0" t="s">
        <v>63</v>
      </c>
      <c r="E3581" s="0" t="s">
        <v>64</v>
      </c>
      <c r="F3581" s="0" t="s">
        <v>65</v>
      </c>
      <c r="G3581" s="0" t="s">
        <v>152</v>
      </c>
      <c r="H3581" s="0" t="s">
        <v>152</v>
      </c>
      <c r="I3581" s="0" t="s">
        <v>36</v>
      </c>
      <c r="J3581" s="0" t="s">
        <v>37</v>
      </c>
      <c r="K3581" s="0" t="s">
        <v>48</v>
      </c>
      <c r="L3581" s="0" t="s">
        <v>49</v>
      </c>
      <c r="M3581" s="0" t="s">
        <v>140</v>
      </c>
      <c r="N3581" s="0" t="n">
        <v>1626</v>
      </c>
      <c r="O3581" s="10" t="n">
        <v>0.537358857458457</v>
      </c>
      <c r="P3581" s="10" t="n">
        <v>0.790102193132043</v>
      </c>
      <c r="Q3581" s="0" t="str">
        <f aca="false">SUBSTITUTE(SUBSTITUTE($I3581,CHAR(61),""),CHAR(34),"")</f>
        <v>10-14</v>
      </c>
      <c r="R3581" s="0" t="str">
        <f aca="false">IF($D3581&lt;&gt;"","["&amp;$E3581&amp;"]"&amp;"|"&amp;$Q3581&amp;"|"&amp;$K3581&amp;"|"&amp;$G3581&amp;"|"&amp;IF($G3581="TX_CURR_SUBNAT.R","CY2022Q4",$M3581),"")</f>
        <v>[kxuuIFpOXyO]|10-14|Male|Incidence_SUBNAT.Rt.T_1|CY2023Q3</v>
      </c>
    </row>
    <row r="3582" customFormat="false" ht="15" hidden="false" customHeight="false" outlineLevel="0" collapsed="false">
      <c r="D3582" s="0" t="s">
        <v>63</v>
      </c>
      <c r="E3582" s="0" t="s">
        <v>64</v>
      </c>
      <c r="F3582" s="0" t="s">
        <v>65</v>
      </c>
      <c r="G3582" s="0" t="s">
        <v>152</v>
      </c>
      <c r="H3582" s="0" t="s">
        <v>152</v>
      </c>
      <c r="I3582" s="0" t="s">
        <v>38</v>
      </c>
      <c r="J3582" s="0" t="s">
        <v>39</v>
      </c>
      <c r="K3582" s="0" t="s">
        <v>48</v>
      </c>
      <c r="L3582" s="0" t="s">
        <v>49</v>
      </c>
      <c r="M3582" s="0" t="s">
        <v>140</v>
      </c>
      <c r="N3582" s="0" t="n">
        <v>690</v>
      </c>
      <c r="O3582" s="10" t="n">
        <v>0.513574344106019</v>
      </c>
      <c r="P3582" s="10" t="n">
        <v>0.790102193132043</v>
      </c>
      <c r="Q3582" s="0" t="str">
        <f aca="false">SUBSTITUTE(SUBSTITUTE($I3582,CHAR(61),""),CHAR(34),"")</f>
        <v>15-24</v>
      </c>
      <c r="R3582" s="0" t="str">
        <f aca="false">IF($D3582&lt;&gt;"","["&amp;$E3582&amp;"]"&amp;"|"&amp;$Q3582&amp;"|"&amp;$K3582&amp;"|"&amp;$G3582&amp;"|"&amp;IF($G3582="TX_CURR_SUBNAT.R","CY2022Q4",$M3582),"")</f>
        <v>[kxuuIFpOXyO]|15-24|Male|Incidence_SUBNAT.Rt.T_1|CY2023Q3</v>
      </c>
    </row>
    <row r="3583" customFormat="false" ht="15" hidden="false" customHeight="false" outlineLevel="0" collapsed="false">
      <c r="D3583" s="0" t="s">
        <v>63</v>
      </c>
      <c r="E3583" s="0" t="s">
        <v>64</v>
      </c>
      <c r="F3583" s="0" t="s">
        <v>65</v>
      </c>
      <c r="G3583" s="0" t="s">
        <v>152</v>
      </c>
      <c r="H3583" s="0" t="s">
        <v>152</v>
      </c>
      <c r="I3583" s="0" t="s">
        <v>41</v>
      </c>
      <c r="J3583" s="0" t="s">
        <v>42</v>
      </c>
      <c r="K3583" s="0" t="s">
        <v>48</v>
      </c>
      <c r="L3583" s="0" t="s">
        <v>49</v>
      </c>
      <c r="M3583" s="0" t="s">
        <v>140</v>
      </c>
      <c r="N3583" s="0" t="n">
        <v>1815</v>
      </c>
      <c r="O3583" s="10" t="n">
        <v>0.911605773260817</v>
      </c>
      <c r="P3583" s="10" t="n">
        <v>0.790102193132043</v>
      </c>
      <c r="Q3583" s="0" t="str">
        <f aca="false">SUBSTITUTE(SUBSTITUTE($I3583,CHAR(61),""),CHAR(34),"")</f>
        <v>25-34</v>
      </c>
      <c r="R3583" s="0" t="str">
        <f aca="false">IF($D3583&lt;&gt;"","["&amp;$E3583&amp;"]"&amp;"|"&amp;$Q3583&amp;"|"&amp;$K3583&amp;"|"&amp;$G3583&amp;"|"&amp;IF($G3583="TX_CURR_SUBNAT.R","CY2022Q4",$M3583),"")</f>
        <v>[kxuuIFpOXyO]|25-34|Male|Incidence_SUBNAT.Rt.T_1|CY2023Q3</v>
      </c>
    </row>
    <row r="3584" customFormat="false" ht="15" hidden="false" customHeight="false" outlineLevel="0" collapsed="false">
      <c r="D3584" s="0" t="s">
        <v>63</v>
      </c>
      <c r="E3584" s="0" t="s">
        <v>64</v>
      </c>
      <c r="F3584" s="0" t="s">
        <v>65</v>
      </c>
      <c r="G3584" s="0" t="s">
        <v>152</v>
      </c>
      <c r="H3584" s="0" t="s">
        <v>152</v>
      </c>
      <c r="I3584" s="0" t="s">
        <v>43</v>
      </c>
      <c r="J3584" s="0" t="s">
        <v>44</v>
      </c>
      <c r="K3584" s="0" t="s">
        <v>48</v>
      </c>
      <c r="L3584" s="0" t="s">
        <v>49</v>
      </c>
      <c r="M3584" s="0" t="s">
        <v>140</v>
      </c>
      <c r="N3584" s="0" t="n">
        <v>1893</v>
      </c>
      <c r="O3584" s="10" t="n">
        <v>0.551775353262201</v>
      </c>
      <c r="P3584" s="10" t="n">
        <v>0.790102193132043</v>
      </c>
      <c r="Q3584" s="0" t="str">
        <f aca="false">SUBSTITUTE(SUBSTITUTE($I3584,CHAR(61),""),CHAR(34),"")</f>
        <v>35-49</v>
      </c>
      <c r="R3584" s="0" t="str">
        <f aca="false">IF($D3584&lt;&gt;"","["&amp;$E3584&amp;"]"&amp;"|"&amp;$Q3584&amp;"|"&amp;$K3584&amp;"|"&amp;$G3584&amp;"|"&amp;IF($G3584="TX_CURR_SUBNAT.R","CY2022Q4",$M3584),"")</f>
        <v>[kxuuIFpOXyO]|35-49|Male|Incidence_SUBNAT.Rt.T_1|CY2023Q3</v>
      </c>
    </row>
    <row r="3585" customFormat="false" ht="15" hidden="false" customHeight="false" outlineLevel="0" collapsed="false">
      <c r="D3585" s="0" t="s">
        <v>63</v>
      </c>
      <c r="E3585" s="0" t="s">
        <v>64</v>
      </c>
      <c r="F3585" s="0" t="s">
        <v>65</v>
      </c>
      <c r="G3585" s="0" t="s">
        <v>152</v>
      </c>
      <c r="H3585" s="0" t="s">
        <v>152</v>
      </c>
      <c r="I3585" s="0" t="s">
        <v>45</v>
      </c>
      <c r="J3585" s="0" t="s">
        <v>46</v>
      </c>
      <c r="K3585" s="0" t="s">
        <v>48</v>
      </c>
      <c r="L3585" s="0" t="s">
        <v>49</v>
      </c>
      <c r="M3585" s="0" t="s">
        <v>140</v>
      </c>
      <c r="N3585" s="0" t="n">
        <v>990</v>
      </c>
      <c r="O3585" s="10" t="n">
        <v>0.105609651654959</v>
      </c>
      <c r="P3585" s="10" t="n">
        <v>0.790102193132043</v>
      </c>
      <c r="Q3585" s="0" t="str">
        <f aca="false">SUBSTITUTE(SUBSTITUTE($I3585,CHAR(61),""),CHAR(34),"")</f>
        <v>50+</v>
      </c>
      <c r="R3585" s="0" t="str">
        <f aca="false">IF($D3585&lt;&gt;"","["&amp;$E3585&amp;"]"&amp;"|"&amp;$Q3585&amp;"|"&amp;$K3585&amp;"|"&amp;$G3585&amp;"|"&amp;IF($G3585="TX_CURR_SUBNAT.R","CY2022Q4",$M3585),"")</f>
        <v>[kxuuIFpOXyO]|50+|Male|Incidence_SUBNAT.Rt.T_1|CY2023Q3</v>
      </c>
    </row>
    <row r="3586" customFormat="false" ht="15" hidden="false" customHeight="false" outlineLevel="0" collapsed="false">
      <c r="D3586" s="0" t="s">
        <v>66</v>
      </c>
      <c r="E3586" s="0" t="s">
        <v>67</v>
      </c>
      <c r="F3586" s="0" t="s">
        <v>68</v>
      </c>
      <c r="G3586" s="0" t="s">
        <v>152</v>
      </c>
      <c r="H3586" s="0" t="s">
        <v>152</v>
      </c>
      <c r="I3586" s="0" t="s">
        <v>28</v>
      </c>
      <c r="J3586" s="0" t="s">
        <v>29</v>
      </c>
      <c r="K3586" s="0" t="s">
        <v>30</v>
      </c>
      <c r="L3586" s="0" t="s">
        <v>31</v>
      </c>
      <c r="M3586" s="0" t="s">
        <v>140</v>
      </c>
      <c r="N3586" s="0" t="n">
        <v>656</v>
      </c>
      <c r="O3586" s="10" t="n">
        <v>0.46128845307976</v>
      </c>
      <c r="P3586" s="10" t="n">
        <v>0.164609884377569</v>
      </c>
      <c r="Q3586" s="0" t="str">
        <f aca="false">SUBSTITUTE(SUBSTITUTE($I3586,CHAR(61),""),CHAR(34),"")</f>
        <v>&lt;01</v>
      </c>
      <c r="R3586" s="0" t="str">
        <f aca="false">IF($D3586&lt;&gt;"","["&amp;$E3586&amp;"]"&amp;"|"&amp;$Q3586&amp;"|"&amp;$K3586&amp;"|"&amp;$G3586&amp;"|"&amp;IF($G3586="TX_CURR_SUBNAT.R","CY2022Q4",$M3586),"")</f>
        <v>[ScR9iFKAasW]|&lt;01|Female|Incidence_SUBNAT.Rt.T_1|CY2023Q3</v>
      </c>
    </row>
    <row r="3587" customFormat="false" ht="15" hidden="false" customHeight="false" outlineLevel="0" collapsed="false">
      <c r="D3587" s="0" t="s">
        <v>66</v>
      </c>
      <c r="E3587" s="0" t="s">
        <v>67</v>
      </c>
      <c r="F3587" s="0" t="s">
        <v>68</v>
      </c>
      <c r="G3587" s="0" t="s">
        <v>152</v>
      </c>
      <c r="H3587" s="0" t="s">
        <v>152</v>
      </c>
      <c r="I3587" s="0" t="s">
        <v>33</v>
      </c>
      <c r="J3587" s="0" t="s">
        <v>34</v>
      </c>
      <c r="K3587" s="0" t="s">
        <v>30</v>
      </c>
      <c r="L3587" s="0" t="s">
        <v>31</v>
      </c>
      <c r="M3587" s="0" t="s">
        <v>140</v>
      </c>
      <c r="N3587" s="0" t="n">
        <v>568</v>
      </c>
      <c r="O3587" s="10" t="n">
        <v>0.631201648386195</v>
      </c>
      <c r="P3587" s="10" t="n">
        <v>0.164609884377569</v>
      </c>
      <c r="Q3587" s="0" t="str">
        <f aca="false">SUBSTITUTE(SUBSTITUTE($I3587,CHAR(61),""),CHAR(34),"")</f>
        <v>01-09</v>
      </c>
      <c r="R3587" s="0" t="str">
        <f aca="false">IF($D3587&lt;&gt;"","["&amp;$E3587&amp;"]"&amp;"|"&amp;$Q3587&amp;"|"&amp;$K3587&amp;"|"&amp;$G3587&amp;"|"&amp;IF($G3587="TX_CURR_SUBNAT.R","CY2022Q4",$M3587),"")</f>
        <v>[ScR9iFKAasW]|01-09|Female|Incidence_SUBNAT.Rt.T_1|CY2023Q3</v>
      </c>
    </row>
    <row r="3588" customFormat="false" ht="15" hidden="false" customHeight="false" outlineLevel="0" collapsed="false">
      <c r="D3588" s="0" t="s">
        <v>66</v>
      </c>
      <c r="E3588" s="0" t="s">
        <v>67</v>
      </c>
      <c r="F3588" s="0" t="s">
        <v>68</v>
      </c>
      <c r="G3588" s="0" t="s">
        <v>152</v>
      </c>
      <c r="H3588" s="0" t="s">
        <v>152</v>
      </c>
      <c r="I3588" s="0" t="s">
        <v>36</v>
      </c>
      <c r="J3588" s="0" t="s">
        <v>37</v>
      </c>
      <c r="K3588" s="0" t="s">
        <v>30</v>
      </c>
      <c r="L3588" s="0" t="s">
        <v>31</v>
      </c>
      <c r="M3588" s="0" t="s">
        <v>140</v>
      </c>
      <c r="N3588" s="0" t="n">
        <v>899</v>
      </c>
      <c r="O3588" s="10" t="n">
        <v>0.247608388308436</v>
      </c>
      <c r="P3588" s="10" t="n">
        <v>0.164609884377569</v>
      </c>
      <c r="Q3588" s="0" t="str">
        <f aca="false">SUBSTITUTE(SUBSTITUTE($I3588,CHAR(61),""),CHAR(34),"")</f>
        <v>10-14</v>
      </c>
      <c r="R3588" s="0" t="str">
        <f aca="false">IF($D3588&lt;&gt;"","["&amp;$E3588&amp;"]"&amp;"|"&amp;$Q3588&amp;"|"&amp;$K3588&amp;"|"&amp;$G3588&amp;"|"&amp;IF($G3588="TX_CURR_SUBNAT.R","CY2022Q4",$M3588),"")</f>
        <v>[ScR9iFKAasW]|10-14|Female|Incidence_SUBNAT.Rt.T_1|CY2023Q3</v>
      </c>
    </row>
    <row r="3589" customFormat="false" ht="15" hidden="false" customHeight="false" outlineLevel="0" collapsed="false">
      <c r="D3589" s="0" t="s">
        <v>66</v>
      </c>
      <c r="E3589" s="0" t="s">
        <v>67</v>
      </c>
      <c r="F3589" s="0" t="s">
        <v>68</v>
      </c>
      <c r="G3589" s="0" t="s">
        <v>152</v>
      </c>
      <c r="H3589" s="0" t="s">
        <v>152</v>
      </c>
      <c r="I3589" s="0" t="s">
        <v>38</v>
      </c>
      <c r="J3589" s="0" t="s">
        <v>39</v>
      </c>
      <c r="K3589" s="0" t="s">
        <v>30</v>
      </c>
      <c r="L3589" s="0" t="s">
        <v>31</v>
      </c>
      <c r="M3589" s="0" t="s">
        <v>140</v>
      </c>
      <c r="N3589" s="0" t="n">
        <v>1297</v>
      </c>
      <c r="O3589" s="10" t="n">
        <v>0.133347303373739</v>
      </c>
      <c r="P3589" s="10" t="n">
        <v>0.164609884377569</v>
      </c>
      <c r="Q3589" s="0" t="str">
        <f aca="false">SUBSTITUTE(SUBSTITUTE($I3589,CHAR(61),""),CHAR(34),"")</f>
        <v>15-24</v>
      </c>
      <c r="R3589" s="0" t="str">
        <f aca="false">IF($D3589&lt;&gt;"","["&amp;$E3589&amp;"]"&amp;"|"&amp;$Q3589&amp;"|"&amp;$K3589&amp;"|"&amp;$G3589&amp;"|"&amp;IF($G3589="TX_CURR_SUBNAT.R","CY2022Q4",$M3589),"")</f>
        <v>[ScR9iFKAasW]|15-24|Female|Incidence_SUBNAT.Rt.T_1|CY2023Q3</v>
      </c>
    </row>
    <row r="3590" customFormat="false" ht="15" hidden="false" customHeight="false" outlineLevel="0" collapsed="false">
      <c r="D3590" s="0" t="s">
        <v>66</v>
      </c>
      <c r="E3590" s="0" t="s">
        <v>67</v>
      </c>
      <c r="F3590" s="0" t="s">
        <v>68</v>
      </c>
      <c r="G3590" s="0" t="s">
        <v>152</v>
      </c>
      <c r="H3590" s="0" t="s">
        <v>152</v>
      </c>
      <c r="I3590" s="0" t="s">
        <v>41</v>
      </c>
      <c r="J3590" s="0" t="s">
        <v>42</v>
      </c>
      <c r="K3590" s="0" t="s">
        <v>30</v>
      </c>
      <c r="L3590" s="0" t="s">
        <v>31</v>
      </c>
      <c r="M3590" s="0" t="s">
        <v>140</v>
      </c>
      <c r="N3590" s="0" t="n">
        <v>1084</v>
      </c>
      <c r="O3590" s="10" t="n">
        <v>0.081215555081144</v>
      </c>
      <c r="P3590" s="10" t="n">
        <v>0.164609884377569</v>
      </c>
      <c r="Q3590" s="0" t="str">
        <f aca="false">SUBSTITUTE(SUBSTITUTE($I3590,CHAR(61),""),CHAR(34),"")</f>
        <v>25-34</v>
      </c>
      <c r="R3590" s="0" t="str">
        <f aca="false">IF($D3590&lt;&gt;"","["&amp;$E3590&amp;"]"&amp;"|"&amp;$Q3590&amp;"|"&amp;$K3590&amp;"|"&amp;$G3590&amp;"|"&amp;IF($G3590="TX_CURR_SUBNAT.R","CY2022Q4",$M3590),"")</f>
        <v>[ScR9iFKAasW]|25-34|Female|Incidence_SUBNAT.Rt.T_1|CY2023Q3</v>
      </c>
    </row>
    <row r="3591" customFormat="false" ht="15" hidden="false" customHeight="false" outlineLevel="0" collapsed="false">
      <c r="D3591" s="0" t="s">
        <v>66</v>
      </c>
      <c r="E3591" s="0" t="s">
        <v>67</v>
      </c>
      <c r="F3591" s="0" t="s">
        <v>68</v>
      </c>
      <c r="G3591" s="0" t="s">
        <v>152</v>
      </c>
      <c r="H3591" s="0" t="s">
        <v>152</v>
      </c>
      <c r="I3591" s="0" t="s">
        <v>43</v>
      </c>
      <c r="J3591" s="0" t="s">
        <v>44</v>
      </c>
      <c r="K3591" s="0" t="s">
        <v>30</v>
      </c>
      <c r="L3591" s="0" t="s">
        <v>31</v>
      </c>
      <c r="M3591" s="0" t="s">
        <v>140</v>
      </c>
      <c r="N3591" s="0" t="n">
        <v>521</v>
      </c>
      <c r="O3591" s="10" t="n">
        <v>0.941249057650566</v>
      </c>
      <c r="P3591" s="10" t="n">
        <v>0.164609884377569</v>
      </c>
      <c r="Q3591" s="0" t="str">
        <f aca="false">SUBSTITUTE(SUBSTITUTE($I3591,CHAR(61),""),CHAR(34),"")</f>
        <v>35-49</v>
      </c>
      <c r="R3591" s="0" t="str">
        <f aca="false">IF($D3591&lt;&gt;"","["&amp;$E3591&amp;"]"&amp;"|"&amp;$Q3591&amp;"|"&amp;$K3591&amp;"|"&amp;$G3591&amp;"|"&amp;IF($G3591="TX_CURR_SUBNAT.R","CY2022Q4",$M3591),"")</f>
        <v>[ScR9iFKAasW]|35-49|Female|Incidence_SUBNAT.Rt.T_1|CY2023Q3</v>
      </c>
    </row>
    <row r="3592" customFormat="false" ht="15" hidden="false" customHeight="false" outlineLevel="0" collapsed="false">
      <c r="D3592" s="0" t="s">
        <v>66</v>
      </c>
      <c r="E3592" s="0" t="s">
        <v>67</v>
      </c>
      <c r="F3592" s="0" t="s">
        <v>68</v>
      </c>
      <c r="G3592" s="0" t="s">
        <v>152</v>
      </c>
      <c r="H3592" s="0" t="s">
        <v>152</v>
      </c>
      <c r="I3592" s="0" t="s">
        <v>45</v>
      </c>
      <c r="J3592" s="0" t="s">
        <v>46</v>
      </c>
      <c r="K3592" s="0" t="s">
        <v>30</v>
      </c>
      <c r="L3592" s="0" t="s">
        <v>31</v>
      </c>
      <c r="M3592" s="0" t="s">
        <v>140</v>
      </c>
      <c r="N3592" s="0" t="n">
        <v>1354</v>
      </c>
      <c r="O3592" s="10" t="n">
        <v>0.517784335417673</v>
      </c>
      <c r="P3592" s="10" t="n">
        <v>0.164609884377569</v>
      </c>
      <c r="Q3592" s="0" t="str">
        <f aca="false">SUBSTITUTE(SUBSTITUTE($I3592,CHAR(61),""),CHAR(34),"")</f>
        <v>50+</v>
      </c>
      <c r="R3592" s="0" t="str">
        <f aca="false">IF($D3592&lt;&gt;"","["&amp;$E3592&amp;"]"&amp;"|"&amp;$Q3592&amp;"|"&amp;$K3592&amp;"|"&amp;$G3592&amp;"|"&amp;IF($G3592="TX_CURR_SUBNAT.R","CY2022Q4",$M3592),"")</f>
        <v>[ScR9iFKAasW]|50+|Female|Incidence_SUBNAT.Rt.T_1|CY2023Q3</v>
      </c>
    </row>
    <row r="3593" customFormat="false" ht="15" hidden="false" customHeight="false" outlineLevel="0" collapsed="false">
      <c r="D3593" s="0" t="s">
        <v>66</v>
      </c>
      <c r="E3593" s="0" t="s">
        <v>67</v>
      </c>
      <c r="F3593" s="0" t="s">
        <v>68</v>
      </c>
      <c r="G3593" s="0" t="s">
        <v>152</v>
      </c>
      <c r="H3593" s="0" t="s">
        <v>152</v>
      </c>
      <c r="I3593" s="0" t="s">
        <v>28</v>
      </c>
      <c r="J3593" s="0" t="s">
        <v>29</v>
      </c>
      <c r="K3593" s="0" t="s">
        <v>48</v>
      </c>
      <c r="L3593" s="0" t="s">
        <v>49</v>
      </c>
      <c r="M3593" s="0" t="s">
        <v>140</v>
      </c>
      <c r="N3593" s="0" t="n">
        <v>1516</v>
      </c>
      <c r="O3593" s="10" t="n">
        <v>0.192990111652762</v>
      </c>
      <c r="P3593" s="10" t="n">
        <v>0.164609884377569</v>
      </c>
      <c r="Q3593" s="0" t="str">
        <f aca="false">SUBSTITUTE(SUBSTITUTE($I3593,CHAR(61),""),CHAR(34),"")</f>
        <v>&lt;01</v>
      </c>
      <c r="R3593" s="0" t="str">
        <f aca="false">IF($D3593&lt;&gt;"","["&amp;$E3593&amp;"]"&amp;"|"&amp;$Q3593&amp;"|"&amp;$K3593&amp;"|"&amp;$G3593&amp;"|"&amp;IF($G3593="TX_CURR_SUBNAT.R","CY2022Q4",$M3593),"")</f>
        <v>[ScR9iFKAasW]|&lt;01|Male|Incidence_SUBNAT.Rt.T_1|CY2023Q3</v>
      </c>
    </row>
    <row r="3594" customFormat="false" ht="15" hidden="false" customHeight="false" outlineLevel="0" collapsed="false">
      <c r="D3594" s="0" t="s">
        <v>66</v>
      </c>
      <c r="E3594" s="0" t="s">
        <v>67</v>
      </c>
      <c r="F3594" s="0" t="s">
        <v>68</v>
      </c>
      <c r="G3594" s="0" t="s">
        <v>152</v>
      </c>
      <c r="H3594" s="0" t="s">
        <v>152</v>
      </c>
      <c r="I3594" s="0" t="s">
        <v>33</v>
      </c>
      <c r="J3594" s="0" t="s">
        <v>34</v>
      </c>
      <c r="K3594" s="0" t="s">
        <v>48</v>
      </c>
      <c r="L3594" s="0" t="s">
        <v>49</v>
      </c>
      <c r="M3594" s="0" t="s">
        <v>140</v>
      </c>
      <c r="N3594" s="0" t="n">
        <v>1065</v>
      </c>
      <c r="O3594" s="10" t="n">
        <v>0.52636270551011</v>
      </c>
      <c r="P3594" s="10" t="n">
        <v>0.164609884377569</v>
      </c>
      <c r="Q3594" s="0" t="str">
        <f aca="false">SUBSTITUTE(SUBSTITUTE($I3594,CHAR(61),""),CHAR(34),"")</f>
        <v>01-09</v>
      </c>
      <c r="R3594" s="0" t="str">
        <f aca="false">IF($D3594&lt;&gt;"","["&amp;$E3594&amp;"]"&amp;"|"&amp;$Q3594&amp;"|"&amp;$K3594&amp;"|"&amp;$G3594&amp;"|"&amp;IF($G3594="TX_CURR_SUBNAT.R","CY2022Q4",$M3594),"")</f>
        <v>[ScR9iFKAasW]|01-09|Male|Incidence_SUBNAT.Rt.T_1|CY2023Q3</v>
      </c>
    </row>
    <row r="3595" customFormat="false" ht="15" hidden="false" customHeight="false" outlineLevel="0" collapsed="false">
      <c r="D3595" s="0" t="s">
        <v>66</v>
      </c>
      <c r="E3595" s="0" t="s">
        <v>67</v>
      </c>
      <c r="F3595" s="0" t="s">
        <v>68</v>
      </c>
      <c r="G3595" s="0" t="s">
        <v>152</v>
      </c>
      <c r="H3595" s="0" t="s">
        <v>152</v>
      </c>
      <c r="I3595" s="0" t="s">
        <v>36</v>
      </c>
      <c r="J3595" s="0" t="s">
        <v>37</v>
      </c>
      <c r="K3595" s="0" t="s">
        <v>48</v>
      </c>
      <c r="L3595" s="0" t="s">
        <v>49</v>
      </c>
      <c r="M3595" s="0" t="s">
        <v>140</v>
      </c>
      <c r="N3595" s="0" t="n">
        <v>792</v>
      </c>
      <c r="O3595" s="10" t="n">
        <v>0.854317674180493</v>
      </c>
      <c r="P3595" s="10" t="n">
        <v>0.164609884377569</v>
      </c>
      <c r="Q3595" s="0" t="str">
        <f aca="false">SUBSTITUTE(SUBSTITUTE($I3595,CHAR(61),""),CHAR(34),"")</f>
        <v>10-14</v>
      </c>
      <c r="R3595" s="0" t="str">
        <f aca="false">IF($D3595&lt;&gt;"","["&amp;$E3595&amp;"]"&amp;"|"&amp;$Q3595&amp;"|"&amp;$K3595&amp;"|"&amp;$G3595&amp;"|"&amp;IF($G3595="TX_CURR_SUBNAT.R","CY2022Q4",$M3595),"")</f>
        <v>[ScR9iFKAasW]|10-14|Male|Incidence_SUBNAT.Rt.T_1|CY2023Q3</v>
      </c>
    </row>
    <row r="3596" customFormat="false" ht="15" hidden="false" customHeight="false" outlineLevel="0" collapsed="false">
      <c r="D3596" s="0" t="s">
        <v>66</v>
      </c>
      <c r="E3596" s="0" t="s">
        <v>67</v>
      </c>
      <c r="F3596" s="0" t="s">
        <v>68</v>
      </c>
      <c r="G3596" s="0" t="s">
        <v>152</v>
      </c>
      <c r="H3596" s="0" t="s">
        <v>152</v>
      </c>
      <c r="I3596" s="0" t="s">
        <v>38</v>
      </c>
      <c r="J3596" s="0" t="s">
        <v>39</v>
      </c>
      <c r="K3596" s="0" t="s">
        <v>48</v>
      </c>
      <c r="L3596" s="0" t="s">
        <v>49</v>
      </c>
      <c r="M3596" s="0" t="s">
        <v>140</v>
      </c>
      <c r="N3596" s="0" t="n">
        <v>1833</v>
      </c>
      <c r="O3596" s="10" t="n">
        <v>0.0561588564887643</v>
      </c>
      <c r="P3596" s="10" t="n">
        <v>0.164609884377569</v>
      </c>
      <c r="Q3596" s="0" t="str">
        <f aca="false">SUBSTITUTE(SUBSTITUTE($I3596,CHAR(61),""),CHAR(34),"")</f>
        <v>15-24</v>
      </c>
      <c r="R3596" s="0" t="str">
        <f aca="false">IF($D3596&lt;&gt;"","["&amp;$E3596&amp;"]"&amp;"|"&amp;$Q3596&amp;"|"&amp;$K3596&amp;"|"&amp;$G3596&amp;"|"&amp;IF($G3596="TX_CURR_SUBNAT.R","CY2022Q4",$M3596),"")</f>
        <v>[ScR9iFKAasW]|15-24|Male|Incidence_SUBNAT.Rt.T_1|CY2023Q3</v>
      </c>
    </row>
    <row r="3597" customFormat="false" ht="15" hidden="false" customHeight="false" outlineLevel="0" collapsed="false">
      <c r="D3597" s="0" t="s">
        <v>66</v>
      </c>
      <c r="E3597" s="0" t="s">
        <v>67</v>
      </c>
      <c r="F3597" s="0" t="s">
        <v>68</v>
      </c>
      <c r="G3597" s="0" t="s">
        <v>152</v>
      </c>
      <c r="H3597" s="0" t="s">
        <v>152</v>
      </c>
      <c r="I3597" s="0" t="s">
        <v>41</v>
      </c>
      <c r="J3597" s="0" t="s">
        <v>42</v>
      </c>
      <c r="K3597" s="0" t="s">
        <v>48</v>
      </c>
      <c r="L3597" s="0" t="s">
        <v>49</v>
      </c>
      <c r="M3597" s="0" t="s">
        <v>140</v>
      </c>
      <c r="N3597" s="0" t="n">
        <v>1464</v>
      </c>
      <c r="O3597" s="10" t="n">
        <v>0.456994272768497</v>
      </c>
      <c r="P3597" s="10" t="n">
        <v>0.164609884377569</v>
      </c>
      <c r="Q3597" s="0" t="str">
        <f aca="false">SUBSTITUTE(SUBSTITUTE($I3597,CHAR(61),""),CHAR(34),"")</f>
        <v>25-34</v>
      </c>
      <c r="R3597" s="0" t="str">
        <f aca="false">IF($D3597&lt;&gt;"","["&amp;$E3597&amp;"]"&amp;"|"&amp;$Q3597&amp;"|"&amp;$K3597&amp;"|"&amp;$G3597&amp;"|"&amp;IF($G3597="TX_CURR_SUBNAT.R","CY2022Q4",$M3597),"")</f>
        <v>[ScR9iFKAasW]|25-34|Male|Incidence_SUBNAT.Rt.T_1|CY2023Q3</v>
      </c>
    </row>
    <row r="3598" customFormat="false" ht="15" hidden="false" customHeight="false" outlineLevel="0" collapsed="false">
      <c r="D3598" s="0" t="s">
        <v>66</v>
      </c>
      <c r="E3598" s="0" t="s">
        <v>67</v>
      </c>
      <c r="F3598" s="0" t="s">
        <v>68</v>
      </c>
      <c r="G3598" s="0" t="s">
        <v>152</v>
      </c>
      <c r="H3598" s="0" t="s">
        <v>152</v>
      </c>
      <c r="I3598" s="0" t="s">
        <v>43</v>
      </c>
      <c r="J3598" s="0" t="s">
        <v>44</v>
      </c>
      <c r="K3598" s="0" t="s">
        <v>48</v>
      </c>
      <c r="L3598" s="0" t="s">
        <v>49</v>
      </c>
      <c r="M3598" s="0" t="s">
        <v>140</v>
      </c>
      <c r="N3598" s="0" t="n">
        <v>1492</v>
      </c>
      <c r="O3598" s="10" t="n">
        <v>0.0112127754837275</v>
      </c>
      <c r="P3598" s="10" t="n">
        <v>0.164609884377569</v>
      </c>
      <c r="Q3598" s="0" t="str">
        <f aca="false">SUBSTITUTE(SUBSTITUTE($I3598,CHAR(61),""),CHAR(34),"")</f>
        <v>35-49</v>
      </c>
      <c r="R3598" s="0" t="str">
        <f aca="false">IF($D3598&lt;&gt;"","["&amp;$E3598&amp;"]"&amp;"|"&amp;$Q3598&amp;"|"&amp;$K3598&amp;"|"&amp;$G3598&amp;"|"&amp;IF($G3598="TX_CURR_SUBNAT.R","CY2022Q4",$M3598),"")</f>
        <v>[ScR9iFKAasW]|35-49|Male|Incidence_SUBNAT.Rt.T_1|CY2023Q3</v>
      </c>
    </row>
    <row r="3599" customFormat="false" ht="15" hidden="false" customHeight="false" outlineLevel="0" collapsed="false">
      <c r="D3599" s="0" t="s">
        <v>66</v>
      </c>
      <c r="E3599" s="0" t="s">
        <v>67</v>
      </c>
      <c r="F3599" s="0" t="s">
        <v>68</v>
      </c>
      <c r="G3599" s="0" t="s">
        <v>152</v>
      </c>
      <c r="H3599" s="0" t="s">
        <v>152</v>
      </c>
      <c r="I3599" s="0" t="s">
        <v>45</v>
      </c>
      <c r="J3599" s="0" t="s">
        <v>46</v>
      </c>
      <c r="K3599" s="0" t="s">
        <v>48</v>
      </c>
      <c r="L3599" s="0" t="s">
        <v>49</v>
      </c>
      <c r="M3599" s="0" t="s">
        <v>140</v>
      </c>
      <c r="N3599" s="0" t="n">
        <v>1681</v>
      </c>
      <c r="O3599" s="10" t="n">
        <v>0.636948915431276</v>
      </c>
      <c r="P3599" s="10" t="n">
        <v>0.164609884377569</v>
      </c>
      <c r="Q3599" s="0" t="str">
        <f aca="false">SUBSTITUTE(SUBSTITUTE($I3599,CHAR(61),""),CHAR(34),"")</f>
        <v>50+</v>
      </c>
      <c r="R3599" s="0" t="str">
        <f aca="false">IF($D3599&lt;&gt;"","["&amp;$E3599&amp;"]"&amp;"|"&amp;$Q3599&amp;"|"&amp;$K3599&amp;"|"&amp;$G3599&amp;"|"&amp;IF($G3599="TX_CURR_SUBNAT.R","CY2022Q4",$M3599),"")</f>
        <v>[ScR9iFKAasW]|50+|Male|Incidence_SUBNAT.Rt.T_1|CY2023Q3</v>
      </c>
    </row>
    <row r="3600" customFormat="false" ht="15" hidden="false" customHeight="false" outlineLevel="0" collapsed="false">
      <c r="D3600" s="0" t="s">
        <v>69</v>
      </c>
      <c r="E3600" s="0" t="s">
        <v>70</v>
      </c>
      <c r="F3600" s="0" t="s">
        <v>71</v>
      </c>
      <c r="G3600" s="0" t="s">
        <v>152</v>
      </c>
      <c r="H3600" s="0" t="s">
        <v>152</v>
      </c>
      <c r="I3600" s="0" t="s">
        <v>28</v>
      </c>
      <c r="J3600" s="0" t="s">
        <v>29</v>
      </c>
      <c r="K3600" s="0" t="s">
        <v>30</v>
      </c>
      <c r="L3600" s="0" t="s">
        <v>31</v>
      </c>
      <c r="M3600" s="0" t="s">
        <v>140</v>
      </c>
      <c r="N3600" s="0" t="n">
        <v>1649</v>
      </c>
      <c r="O3600" s="10" t="n">
        <v>0.363285429310054</v>
      </c>
      <c r="P3600" s="10" t="n">
        <v>0.198817263124511</v>
      </c>
      <c r="Q3600" s="0" t="str">
        <f aca="false">SUBSTITUTE(SUBSTITUTE($I3600,CHAR(61),""),CHAR(34),"")</f>
        <v>&lt;01</v>
      </c>
      <c r="R3600" s="0" t="str">
        <f aca="false">IF($D3600&lt;&gt;"","["&amp;$E3600&amp;"]"&amp;"|"&amp;$Q3600&amp;"|"&amp;$K3600&amp;"|"&amp;$G3600&amp;"|"&amp;IF($G3600="TX_CURR_SUBNAT.R","CY2022Q4",$M3600),"")</f>
        <v>[PekKUkKHAzY]|&lt;01|Female|Incidence_SUBNAT.Rt.T_1|CY2023Q3</v>
      </c>
    </row>
    <row r="3601" customFormat="false" ht="15" hidden="false" customHeight="false" outlineLevel="0" collapsed="false">
      <c r="D3601" s="0" t="s">
        <v>69</v>
      </c>
      <c r="E3601" s="0" t="s">
        <v>70</v>
      </c>
      <c r="F3601" s="0" t="s">
        <v>71</v>
      </c>
      <c r="G3601" s="0" t="s">
        <v>152</v>
      </c>
      <c r="H3601" s="0" t="s">
        <v>152</v>
      </c>
      <c r="I3601" s="0" t="s">
        <v>33</v>
      </c>
      <c r="J3601" s="0" t="s">
        <v>34</v>
      </c>
      <c r="K3601" s="0" t="s">
        <v>30</v>
      </c>
      <c r="L3601" s="0" t="s">
        <v>31</v>
      </c>
      <c r="M3601" s="0" t="s">
        <v>140</v>
      </c>
      <c r="N3601" s="0" t="n">
        <v>662</v>
      </c>
      <c r="O3601" s="10" t="n">
        <v>0.201420061988756</v>
      </c>
      <c r="P3601" s="10" t="n">
        <v>0.198817263124511</v>
      </c>
      <c r="Q3601" s="0" t="str">
        <f aca="false">SUBSTITUTE(SUBSTITUTE($I3601,CHAR(61),""),CHAR(34),"")</f>
        <v>01-09</v>
      </c>
      <c r="R3601" s="0" t="str">
        <f aca="false">IF($D3601&lt;&gt;"","["&amp;$E3601&amp;"]"&amp;"|"&amp;$Q3601&amp;"|"&amp;$K3601&amp;"|"&amp;$G3601&amp;"|"&amp;IF($G3601="TX_CURR_SUBNAT.R","CY2022Q4",$M3601),"")</f>
        <v>[PekKUkKHAzY]|01-09|Female|Incidence_SUBNAT.Rt.T_1|CY2023Q3</v>
      </c>
    </row>
    <row r="3602" customFormat="false" ht="15" hidden="false" customHeight="false" outlineLevel="0" collapsed="false">
      <c r="D3602" s="0" t="s">
        <v>69</v>
      </c>
      <c r="E3602" s="0" t="s">
        <v>70</v>
      </c>
      <c r="F3602" s="0" t="s">
        <v>71</v>
      </c>
      <c r="G3602" s="0" t="s">
        <v>152</v>
      </c>
      <c r="H3602" s="0" t="s">
        <v>152</v>
      </c>
      <c r="I3602" s="0" t="s">
        <v>36</v>
      </c>
      <c r="J3602" s="0" t="s">
        <v>37</v>
      </c>
      <c r="K3602" s="0" t="s">
        <v>30</v>
      </c>
      <c r="L3602" s="0" t="s">
        <v>31</v>
      </c>
      <c r="M3602" s="0" t="s">
        <v>140</v>
      </c>
      <c r="N3602" s="0" t="n">
        <v>1688</v>
      </c>
      <c r="O3602" s="10" t="n">
        <v>0.312721852678806</v>
      </c>
      <c r="P3602" s="10" t="n">
        <v>0.198817263124511</v>
      </c>
      <c r="Q3602" s="0" t="str">
        <f aca="false">SUBSTITUTE(SUBSTITUTE($I3602,CHAR(61),""),CHAR(34),"")</f>
        <v>10-14</v>
      </c>
      <c r="R3602" s="0" t="str">
        <f aca="false">IF($D3602&lt;&gt;"","["&amp;$E3602&amp;"]"&amp;"|"&amp;$Q3602&amp;"|"&amp;$K3602&amp;"|"&amp;$G3602&amp;"|"&amp;IF($G3602="TX_CURR_SUBNAT.R","CY2022Q4",$M3602),"")</f>
        <v>[PekKUkKHAzY]|10-14|Female|Incidence_SUBNAT.Rt.T_1|CY2023Q3</v>
      </c>
    </row>
    <row r="3603" customFormat="false" ht="15" hidden="false" customHeight="false" outlineLevel="0" collapsed="false">
      <c r="D3603" s="0" t="s">
        <v>69</v>
      </c>
      <c r="E3603" s="0" t="s">
        <v>70</v>
      </c>
      <c r="F3603" s="0" t="s">
        <v>71</v>
      </c>
      <c r="G3603" s="0" t="s">
        <v>152</v>
      </c>
      <c r="H3603" s="0" t="s">
        <v>152</v>
      </c>
      <c r="I3603" s="0" t="s">
        <v>38</v>
      </c>
      <c r="J3603" s="0" t="s">
        <v>39</v>
      </c>
      <c r="K3603" s="0" t="s">
        <v>30</v>
      </c>
      <c r="L3603" s="0" t="s">
        <v>31</v>
      </c>
      <c r="M3603" s="0" t="s">
        <v>140</v>
      </c>
      <c r="N3603" s="0" t="n">
        <v>1047</v>
      </c>
      <c r="O3603" s="10" t="n">
        <v>0.0827758342493325</v>
      </c>
      <c r="P3603" s="10" t="n">
        <v>0.198817263124511</v>
      </c>
      <c r="Q3603" s="0" t="str">
        <f aca="false">SUBSTITUTE(SUBSTITUTE($I3603,CHAR(61),""),CHAR(34),"")</f>
        <v>15-24</v>
      </c>
      <c r="R3603" s="0" t="str">
        <f aca="false">IF($D3603&lt;&gt;"","["&amp;$E3603&amp;"]"&amp;"|"&amp;$Q3603&amp;"|"&amp;$K3603&amp;"|"&amp;$G3603&amp;"|"&amp;IF($G3603="TX_CURR_SUBNAT.R","CY2022Q4",$M3603),"")</f>
        <v>[PekKUkKHAzY]|15-24|Female|Incidence_SUBNAT.Rt.T_1|CY2023Q3</v>
      </c>
    </row>
    <row r="3604" customFormat="false" ht="15" hidden="false" customHeight="false" outlineLevel="0" collapsed="false">
      <c r="D3604" s="0" t="s">
        <v>69</v>
      </c>
      <c r="E3604" s="0" t="s">
        <v>70</v>
      </c>
      <c r="F3604" s="0" t="s">
        <v>71</v>
      </c>
      <c r="G3604" s="0" t="s">
        <v>152</v>
      </c>
      <c r="H3604" s="0" t="s">
        <v>152</v>
      </c>
      <c r="I3604" s="0" t="s">
        <v>41</v>
      </c>
      <c r="J3604" s="0" t="s">
        <v>42</v>
      </c>
      <c r="K3604" s="0" t="s">
        <v>30</v>
      </c>
      <c r="L3604" s="0" t="s">
        <v>31</v>
      </c>
      <c r="M3604" s="0" t="s">
        <v>140</v>
      </c>
      <c r="N3604" s="0" t="n">
        <v>519</v>
      </c>
      <c r="O3604" s="10" t="n">
        <v>0.568391174077988</v>
      </c>
      <c r="P3604" s="10" t="n">
        <v>0.198817263124511</v>
      </c>
      <c r="Q3604" s="0" t="str">
        <f aca="false">SUBSTITUTE(SUBSTITUTE($I3604,CHAR(61),""),CHAR(34),"")</f>
        <v>25-34</v>
      </c>
      <c r="R3604" s="0" t="str">
        <f aca="false">IF($D3604&lt;&gt;"","["&amp;$E3604&amp;"]"&amp;"|"&amp;$Q3604&amp;"|"&amp;$K3604&amp;"|"&amp;$G3604&amp;"|"&amp;IF($G3604="TX_CURR_SUBNAT.R","CY2022Q4",$M3604),"")</f>
        <v>[PekKUkKHAzY]|25-34|Female|Incidence_SUBNAT.Rt.T_1|CY2023Q3</v>
      </c>
    </row>
    <row r="3605" customFormat="false" ht="15" hidden="false" customHeight="false" outlineLevel="0" collapsed="false">
      <c r="D3605" s="0" t="s">
        <v>69</v>
      </c>
      <c r="E3605" s="0" t="s">
        <v>70</v>
      </c>
      <c r="F3605" s="0" t="s">
        <v>71</v>
      </c>
      <c r="G3605" s="0" t="s">
        <v>152</v>
      </c>
      <c r="H3605" s="0" t="s">
        <v>152</v>
      </c>
      <c r="I3605" s="0" t="s">
        <v>43</v>
      </c>
      <c r="J3605" s="0" t="s">
        <v>44</v>
      </c>
      <c r="K3605" s="0" t="s">
        <v>30</v>
      </c>
      <c r="L3605" s="0" t="s">
        <v>31</v>
      </c>
      <c r="M3605" s="0" t="s">
        <v>140</v>
      </c>
      <c r="N3605" s="0" t="n">
        <v>1119</v>
      </c>
      <c r="O3605" s="10" t="n">
        <v>0.782052925322205</v>
      </c>
      <c r="P3605" s="10" t="n">
        <v>0.198817263124511</v>
      </c>
      <c r="Q3605" s="0" t="str">
        <f aca="false">SUBSTITUTE(SUBSTITUTE($I3605,CHAR(61),""),CHAR(34),"")</f>
        <v>35-49</v>
      </c>
      <c r="R3605" s="0" t="str">
        <f aca="false">IF($D3605&lt;&gt;"","["&amp;$E3605&amp;"]"&amp;"|"&amp;$Q3605&amp;"|"&amp;$K3605&amp;"|"&amp;$G3605&amp;"|"&amp;IF($G3605="TX_CURR_SUBNAT.R","CY2022Q4",$M3605),"")</f>
        <v>[PekKUkKHAzY]|35-49|Female|Incidence_SUBNAT.Rt.T_1|CY2023Q3</v>
      </c>
    </row>
    <row r="3606" customFormat="false" ht="15" hidden="false" customHeight="false" outlineLevel="0" collapsed="false">
      <c r="D3606" s="0" t="s">
        <v>69</v>
      </c>
      <c r="E3606" s="0" t="s">
        <v>70</v>
      </c>
      <c r="F3606" s="0" t="s">
        <v>71</v>
      </c>
      <c r="G3606" s="0" t="s">
        <v>152</v>
      </c>
      <c r="H3606" s="0" t="s">
        <v>152</v>
      </c>
      <c r="I3606" s="0" t="s">
        <v>45</v>
      </c>
      <c r="J3606" s="0" t="s">
        <v>46</v>
      </c>
      <c r="K3606" s="0" t="s">
        <v>30</v>
      </c>
      <c r="L3606" s="0" t="s">
        <v>31</v>
      </c>
      <c r="M3606" s="0" t="s">
        <v>140</v>
      </c>
      <c r="N3606" s="0" t="n">
        <v>1463</v>
      </c>
      <c r="O3606" s="10" t="n">
        <v>0.366426801774651</v>
      </c>
      <c r="P3606" s="10" t="n">
        <v>0.198817263124511</v>
      </c>
      <c r="Q3606" s="0" t="str">
        <f aca="false">SUBSTITUTE(SUBSTITUTE($I3606,CHAR(61),""),CHAR(34),"")</f>
        <v>50+</v>
      </c>
      <c r="R3606" s="0" t="str">
        <f aca="false">IF($D3606&lt;&gt;"","["&amp;$E3606&amp;"]"&amp;"|"&amp;$Q3606&amp;"|"&amp;$K3606&amp;"|"&amp;$G3606&amp;"|"&amp;IF($G3606="TX_CURR_SUBNAT.R","CY2022Q4",$M3606),"")</f>
        <v>[PekKUkKHAzY]|50+|Female|Incidence_SUBNAT.Rt.T_1|CY2023Q3</v>
      </c>
    </row>
    <row r="3607" customFormat="false" ht="15" hidden="false" customHeight="false" outlineLevel="0" collapsed="false">
      <c r="D3607" s="0" t="s">
        <v>69</v>
      </c>
      <c r="E3607" s="0" t="s">
        <v>70</v>
      </c>
      <c r="F3607" s="0" t="s">
        <v>71</v>
      </c>
      <c r="G3607" s="0" t="s">
        <v>152</v>
      </c>
      <c r="H3607" s="0" t="s">
        <v>152</v>
      </c>
      <c r="I3607" s="0" t="s">
        <v>28</v>
      </c>
      <c r="J3607" s="0" t="s">
        <v>29</v>
      </c>
      <c r="K3607" s="0" t="s">
        <v>48</v>
      </c>
      <c r="L3607" s="0" t="s">
        <v>49</v>
      </c>
      <c r="M3607" s="0" t="s">
        <v>140</v>
      </c>
      <c r="N3607" s="0" t="n">
        <v>1089</v>
      </c>
      <c r="O3607" s="10" t="n">
        <v>0.972062506945804</v>
      </c>
      <c r="P3607" s="10" t="n">
        <v>0.198817263124511</v>
      </c>
      <c r="Q3607" s="0" t="str">
        <f aca="false">SUBSTITUTE(SUBSTITUTE($I3607,CHAR(61),""),CHAR(34),"")</f>
        <v>&lt;01</v>
      </c>
      <c r="R3607" s="0" t="str">
        <f aca="false">IF($D3607&lt;&gt;"","["&amp;$E3607&amp;"]"&amp;"|"&amp;$Q3607&amp;"|"&amp;$K3607&amp;"|"&amp;$G3607&amp;"|"&amp;IF($G3607="TX_CURR_SUBNAT.R","CY2022Q4",$M3607),"")</f>
        <v>[PekKUkKHAzY]|&lt;01|Male|Incidence_SUBNAT.Rt.T_1|CY2023Q3</v>
      </c>
    </row>
    <row r="3608" customFormat="false" ht="15" hidden="false" customHeight="false" outlineLevel="0" collapsed="false">
      <c r="D3608" s="0" t="s">
        <v>69</v>
      </c>
      <c r="E3608" s="0" t="s">
        <v>70</v>
      </c>
      <c r="F3608" s="0" t="s">
        <v>71</v>
      </c>
      <c r="G3608" s="0" t="s">
        <v>152</v>
      </c>
      <c r="H3608" s="0" t="s">
        <v>152</v>
      </c>
      <c r="I3608" s="0" t="s">
        <v>33</v>
      </c>
      <c r="J3608" s="0" t="s">
        <v>34</v>
      </c>
      <c r="K3608" s="0" t="s">
        <v>48</v>
      </c>
      <c r="L3608" s="0" t="s">
        <v>49</v>
      </c>
      <c r="M3608" s="0" t="s">
        <v>140</v>
      </c>
      <c r="N3608" s="0" t="n">
        <v>862</v>
      </c>
      <c r="O3608" s="10" t="n">
        <v>0.0470346452202648</v>
      </c>
      <c r="P3608" s="10" t="n">
        <v>0.198817263124511</v>
      </c>
      <c r="Q3608" s="0" t="str">
        <f aca="false">SUBSTITUTE(SUBSTITUTE($I3608,CHAR(61),""),CHAR(34),"")</f>
        <v>01-09</v>
      </c>
      <c r="R3608" s="0" t="str">
        <f aca="false">IF($D3608&lt;&gt;"","["&amp;$E3608&amp;"]"&amp;"|"&amp;$Q3608&amp;"|"&amp;$K3608&amp;"|"&amp;$G3608&amp;"|"&amp;IF($G3608="TX_CURR_SUBNAT.R","CY2022Q4",$M3608),"")</f>
        <v>[PekKUkKHAzY]|01-09|Male|Incidence_SUBNAT.Rt.T_1|CY2023Q3</v>
      </c>
    </row>
    <row r="3609" customFormat="false" ht="15" hidden="false" customHeight="false" outlineLevel="0" collapsed="false">
      <c r="D3609" s="0" t="s">
        <v>69</v>
      </c>
      <c r="E3609" s="0" t="s">
        <v>70</v>
      </c>
      <c r="F3609" s="0" t="s">
        <v>71</v>
      </c>
      <c r="G3609" s="0" t="s">
        <v>152</v>
      </c>
      <c r="H3609" s="0" t="s">
        <v>152</v>
      </c>
      <c r="I3609" s="0" t="s">
        <v>36</v>
      </c>
      <c r="J3609" s="0" t="s">
        <v>37</v>
      </c>
      <c r="K3609" s="0" t="s">
        <v>48</v>
      </c>
      <c r="L3609" s="0" t="s">
        <v>49</v>
      </c>
      <c r="M3609" s="0" t="s">
        <v>140</v>
      </c>
      <c r="N3609" s="0" t="n">
        <v>1234</v>
      </c>
      <c r="O3609" s="10" t="n">
        <v>0.857234941795468</v>
      </c>
      <c r="P3609" s="10" t="n">
        <v>0.198817263124511</v>
      </c>
      <c r="Q3609" s="0" t="str">
        <f aca="false">SUBSTITUTE(SUBSTITUTE($I3609,CHAR(61),""),CHAR(34),"")</f>
        <v>10-14</v>
      </c>
      <c r="R3609" s="0" t="str">
        <f aca="false">IF($D3609&lt;&gt;"","["&amp;$E3609&amp;"]"&amp;"|"&amp;$Q3609&amp;"|"&amp;$K3609&amp;"|"&amp;$G3609&amp;"|"&amp;IF($G3609="TX_CURR_SUBNAT.R","CY2022Q4",$M3609),"")</f>
        <v>[PekKUkKHAzY]|10-14|Male|Incidence_SUBNAT.Rt.T_1|CY2023Q3</v>
      </c>
    </row>
    <row r="3610" customFormat="false" ht="15" hidden="false" customHeight="false" outlineLevel="0" collapsed="false">
      <c r="D3610" s="0" t="s">
        <v>69</v>
      </c>
      <c r="E3610" s="0" t="s">
        <v>70</v>
      </c>
      <c r="F3610" s="0" t="s">
        <v>71</v>
      </c>
      <c r="G3610" s="0" t="s">
        <v>152</v>
      </c>
      <c r="H3610" s="0" t="s">
        <v>152</v>
      </c>
      <c r="I3610" s="0" t="s">
        <v>38</v>
      </c>
      <c r="J3610" s="0" t="s">
        <v>39</v>
      </c>
      <c r="K3610" s="0" t="s">
        <v>48</v>
      </c>
      <c r="L3610" s="0" t="s">
        <v>49</v>
      </c>
      <c r="M3610" s="0" t="s">
        <v>140</v>
      </c>
      <c r="N3610" s="0" t="n">
        <v>1381</v>
      </c>
      <c r="O3610" s="10" t="n">
        <v>0.197554953861982</v>
      </c>
      <c r="P3610" s="10" t="n">
        <v>0.198817263124511</v>
      </c>
      <c r="Q3610" s="0" t="str">
        <f aca="false">SUBSTITUTE(SUBSTITUTE($I3610,CHAR(61),""),CHAR(34),"")</f>
        <v>15-24</v>
      </c>
      <c r="R3610" s="0" t="str">
        <f aca="false">IF($D3610&lt;&gt;"","["&amp;$E3610&amp;"]"&amp;"|"&amp;$Q3610&amp;"|"&amp;$K3610&amp;"|"&amp;$G3610&amp;"|"&amp;IF($G3610="TX_CURR_SUBNAT.R","CY2022Q4",$M3610),"")</f>
        <v>[PekKUkKHAzY]|15-24|Male|Incidence_SUBNAT.Rt.T_1|CY2023Q3</v>
      </c>
    </row>
    <row r="3611" customFormat="false" ht="15" hidden="false" customHeight="false" outlineLevel="0" collapsed="false">
      <c r="D3611" s="0" t="s">
        <v>69</v>
      </c>
      <c r="E3611" s="0" t="s">
        <v>70</v>
      </c>
      <c r="F3611" s="0" t="s">
        <v>71</v>
      </c>
      <c r="G3611" s="0" t="s">
        <v>152</v>
      </c>
      <c r="H3611" s="0" t="s">
        <v>152</v>
      </c>
      <c r="I3611" s="0" t="s">
        <v>41</v>
      </c>
      <c r="J3611" s="0" t="s">
        <v>42</v>
      </c>
      <c r="K3611" s="0" t="s">
        <v>48</v>
      </c>
      <c r="L3611" s="0" t="s">
        <v>49</v>
      </c>
      <c r="M3611" s="0" t="s">
        <v>140</v>
      </c>
      <c r="N3611" s="0" t="n">
        <v>1590</v>
      </c>
      <c r="O3611" s="10" t="n">
        <v>0.60923193092458</v>
      </c>
      <c r="P3611" s="10" t="n">
        <v>0.198817263124511</v>
      </c>
      <c r="Q3611" s="0" t="str">
        <f aca="false">SUBSTITUTE(SUBSTITUTE($I3611,CHAR(61),""),CHAR(34),"")</f>
        <v>25-34</v>
      </c>
      <c r="R3611" s="0" t="str">
        <f aca="false">IF($D3611&lt;&gt;"","["&amp;$E3611&amp;"]"&amp;"|"&amp;$Q3611&amp;"|"&amp;$K3611&amp;"|"&amp;$G3611&amp;"|"&amp;IF($G3611="TX_CURR_SUBNAT.R","CY2022Q4",$M3611),"")</f>
        <v>[PekKUkKHAzY]|25-34|Male|Incidence_SUBNAT.Rt.T_1|CY2023Q3</v>
      </c>
    </row>
    <row r="3612" customFormat="false" ht="15" hidden="false" customHeight="false" outlineLevel="0" collapsed="false">
      <c r="D3612" s="0" t="s">
        <v>69</v>
      </c>
      <c r="E3612" s="0" t="s">
        <v>70</v>
      </c>
      <c r="F3612" s="0" t="s">
        <v>71</v>
      </c>
      <c r="G3612" s="0" t="s">
        <v>152</v>
      </c>
      <c r="H3612" s="0" t="s">
        <v>152</v>
      </c>
      <c r="I3612" s="0" t="s">
        <v>43</v>
      </c>
      <c r="J3612" s="0" t="s">
        <v>44</v>
      </c>
      <c r="K3612" s="0" t="s">
        <v>48</v>
      </c>
      <c r="L3612" s="0" t="s">
        <v>49</v>
      </c>
      <c r="M3612" s="0" t="s">
        <v>140</v>
      </c>
      <c r="N3612" s="0" t="n">
        <v>569</v>
      </c>
      <c r="O3612" s="10" t="n">
        <v>0.654636431485415</v>
      </c>
      <c r="P3612" s="10" t="n">
        <v>0.198817263124511</v>
      </c>
      <c r="Q3612" s="0" t="str">
        <f aca="false">SUBSTITUTE(SUBSTITUTE($I3612,CHAR(61),""),CHAR(34),"")</f>
        <v>35-49</v>
      </c>
      <c r="R3612" s="0" t="str">
        <f aca="false">IF($D3612&lt;&gt;"","["&amp;$E3612&amp;"]"&amp;"|"&amp;$Q3612&amp;"|"&amp;$K3612&amp;"|"&amp;$G3612&amp;"|"&amp;IF($G3612="TX_CURR_SUBNAT.R","CY2022Q4",$M3612),"")</f>
        <v>[PekKUkKHAzY]|35-49|Male|Incidence_SUBNAT.Rt.T_1|CY2023Q3</v>
      </c>
    </row>
    <row r="3613" customFormat="false" ht="15" hidden="false" customHeight="false" outlineLevel="0" collapsed="false">
      <c r="D3613" s="0" t="s">
        <v>69</v>
      </c>
      <c r="E3613" s="0" t="s">
        <v>70</v>
      </c>
      <c r="F3613" s="0" t="s">
        <v>71</v>
      </c>
      <c r="G3613" s="0" t="s">
        <v>152</v>
      </c>
      <c r="H3613" s="0" t="s">
        <v>152</v>
      </c>
      <c r="I3613" s="0" t="s">
        <v>45</v>
      </c>
      <c r="J3613" s="0" t="s">
        <v>46</v>
      </c>
      <c r="K3613" s="0" t="s">
        <v>48</v>
      </c>
      <c r="L3613" s="0" t="s">
        <v>49</v>
      </c>
      <c r="M3613" s="0" t="s">
        <v>140</v>
      </c>
      <c r="N3613" s="0" t="n">
        <v>871</v>
      </c>
      <c r="O3613" s="10" t="n">
        <v>0.00852377829141915</v>
      </c>
      <c r="P3613" s="10" t="n">
        <v>0.198817263124511</v>
      </c>
      <c r="Q3613" s="0" t="str">
        <f aca="false">SUBSTITUTE(SUBSTITUTE($I3613,CHAR(61),""),CHAR(34),"")</f>
        <v>50+</v>
      </c>
      <c r="R3613" s="0" t="str">
        <f aca="false">IF($D3613&lt;&gt;"","["&amp;$E3613&amp;"]"&amp;"|"&amp;$Q3613&amp;"|"&amp;$K3613&amp;"|"&amp;$G3613&amp;"|"&amp;IF($G3613="TX_CURR_SUBNAT.R","CY2022Q4",$M3613),"")</f>
        <v>[PekKUkKHAzY]|50+|Male|Incidence_SUBNAT.Rt.T_1|CY2023Q3</v>
      </c>
    </row>
    <row r="3614" customFormat="false" ht="15" hidden="false" customHeight="false" outlineLevel="0" collapsed="false">
      <c r="D3614" s="0" t="s">
        <v>72</v>
      </c>
      <c r="E3614" s="0" t="s">
        <v>73</v>
      </c>
      <c r="F3614" s="0" t="s">
        <v>74</v>
      </c>
      <c r="G3614" s="0" t="s">
        <v>152</v>
      </c>
      <c r="H3614" s="0" t="s">
        <v>152</v>
      </c>
      <c r="I3614" s="0" t="s">
        <v>28</v>
      </c>
      <c r="J3614" s="0" t="s">
        <v>29</v>
      </c>
      <c r="K3614" s="0" t="s">
        <v>30</v>
      </c>
      <c r="L3614" s="0" t="s">
        <v>31</v>
      </c>
      <c r="M3614" s="0" t="s">
        <v>140</v>
      </c>
      <c r="N3614" s="0" t="n">
        <v>846</v>
      </c>
      <c r="O3614" s="10" t="n">
        <v>0.740836157463491</v>
      </c>
      <c r="P3614" s="10" t="n">
        <v>0.289728706935421</v>
      </c>
      <c r="Q3614" s="0" t="str">
        <f aca="false">SUBSTITUTE(SUBSTITUTE($I3614,CHAR(61),""),CHAR(34),"")</f>
        <v>&lt;01</v>
      </c>
      <c r="R3614" s="0" t="str">
        <f aca="false">IF($D3614&lt;&gt;"","["&amp;$E3614&amp;"]"&amp;"|"&amp;$Q3614&amp;"|"&amp;$K3614&amp;"|"&amp;$G3614&amp;"|"&amp;IF($G3614="TX_CURR_SUBNAT.R","CY2022Q4",$M3614),"")</f>
        <v>[am530wpaGvr]|&lt;01|Female|Incidence_SUBNAT.Rt.T_1|CY2023Q3</v>
      </c>
    </row>
    <row r="3615" customFormat="false" ht="15" hidden="false" customHeight="false" outlineLevel="0" collapsed="false">
      <c r="D3615" s="0" t="s">
        <v>72</v>
      </c>
      <c r="E3615" s="0" t="s">
        <v>73</v>
      </c>
      <c r="F3615" s="0" t="s">
        <v>74</v>
      </c>
      <c r="G3615" s="0" t="s">
        <v>152</v>
      </c>
      <c r="H3615" s="0" t="s">
        <v>152</v>
      </c>
      <c r="I3615" s="0" t="s">
        <v>33</v>
      </c>
      <c r="J3615" s="0" t="s">
        <v>34</v>
      </c>
      <c r="K3615" s="0" t="s">
        <v>30</v>
      </c>
      <c r="L3615" s="0" t="s">
        <v>31</v>
      </c>
      <c r="M3615" s="0" t="s">
        <v>140</v>
      </c>
      <c r="N3615" s="0" t="n">
        <v>1519</v>
      </c>
      <c r="O3615" s="10" t="n">
        <v>0.294282977934927</v>
      </c>
      <c r="P3615" s="10" t="n">
        <v>0.289728706935421</v>
      </c>
      <c r="Q3615" s="0" t="str">
        <f aca="false">SUBSTITUTE(SUBSTITUTE($I3615,CHAR(61),""),CHAR(34),"")</f>
        <v>01-09</v>
      </c>
      <c r="R3615" s="0" t="str">
        <f aca="false">IF($D3615&lt;&gt;"","["&amp;$E3615&amp;"]"&amp;"|"&amp;$Q3615&amp;"|"&amp;$K3615&amp;"|"&amp;$G3615&amp;"|"&amp;IF($G3615="TX_CURR_SUBNAT.R","CY2022Q4",$M3615),"")</f>
        <v>[am530wpaGvr]|01-09|Female|Incidence_SUBNAT.Rt.T_1|CY2023Q3</v>
      </c>
    </row>
    <row r="3616" customFormat="false" ht="15" hidden="false" customHeight="false" outlineLevel="0" collapsed="false">
      <c r="D3616" s="0" t="s">
        <v>72</v>
      </c>
      <c r="E3616" s="0" t="s">
        <v>73</v>
      </c>
      <c r="F3616" s="0" t="s">
        <v>74</v>
      </c>
      <c r="G3616" s="0" t="s">
        <v>152</v>
      </c>
      <c r="H3616" s="0" t="s">
        <v>152</v>
      </c>
      <c r="I3616" s="0" t="s">
        <v>36</v>
      </c>
      <c r="J3616" s="0" t="s">
        <v>37</v>
      </c>
      <c r="K3616" s="0" t="s">
        <v>30</v>
      </c>
      <c r="L3616" s="0" t="s">
        <v>31</v>
      </c>
      <c r="M3616" s="0" t="s">
        <v>140</v>
      </c>
      <c r="N3616" s="0" t="n">
        <v>1215</v>
      </c>
      <c r="O3616" s="10" t="n">
        <v>0.259954229695722</v>
      </c>
      <c r="P3616" s="10" t="n">
        <v>0.289728706935421</v>
      </c>
      <c r="Q3616" s="0" t="str">
        <f aca="false">SUBSTITUTE(SUBSTITUTE($I3616,CHAR(61),""),CHAR(34),"")</f>
        <v>10-14</v>
      </c>
      <c r="R3616" s="0" t="str">
        <f aca="false">IF($D3616&lt;&gt;"","["&amp;$E3616&amp;"]"&amp;"|"&amp;$Q3616&amp;"|"&amp;$K3616&amp;"|"&amp;$G3616&amp;"|"&amp;IF($G3616="TX_CURR_SUBNAT.R","CY2022Q4",$M3616),"")</f>
        <v>[am530wpaGvr]|10-14|Female|Incidence_SUBNAT.Rt.T_1|CY2023Q3</v>
      </c>
    </row>
    <row r="3617" customFormat="false" ht="15" hidden="false" customHeight="false" outlineLevel="0" collapsed="false">
      <c r="D3617" s="0" t="s">
        <v>72</v>
      </c>
      <c r="E3617" s="0" t="s">
        <v>73</v>
      </c>
      <c r="F3617" s="0" t="s">
        <v>74</v>
      </c>
      <c r="G3617" s="0" t="s">
        <v>152</v>
      </c>
      <c r="H3617" s="0" t="s">
        <v>152</v>
      </c>
      <c r="I3617" s="0" t="s">
        <v>38</v>
      </c>
      <c r="J3617" s="0" t="s">
        <v>39</v>
      </c>
      <c r="K3617" s="0" t="s">
        <v>30</v>
      </c>
      <c r="L3617" s="0" t="s">
        <v>31</v>
      </c>
      <c r="M3617" s="0" t="s">
        <v>140</v>
      </c>
      <c r="N3617" s="0" t="n">
        <v>1720</v>
      </c>
      <c r="O3617" s="10" t="n">
        <v>0.581856432138011</v>
      </c>
      <c r="P3617" s="10" t="n">
        <v>0.289728706935421</v>
      </c>
      <c r="Q3617" s="0" t="str">
        <f aca="false">SUBSTITUTE(SUBSTITUTE($I3617,CHAR(61),""),CHAR(34),"")</f>
        <v>15-24</v>
      </c>
      <c r="R3617" s="0" t="str">
        <f aca="false">IF($D3617&lt;&gt;"","["&amp;$E3617&amp;"]"&amp;"|"&amp;$Q3617&amp;"|"&amp;$K3617&amp;"|"&amp;$G3617&amp;"|"&amp;IF($G3617="TX_CURR_SUBNAT.R","CY2022Q4",$M3617),"")</f>
        <v>[am530wpaGvr]|15-24|Female|Incidence_SUBNAT.Rt.T_1|CY2023Q3</v>
      </c>
    </row>
    <row r="3618" customFormat="false" ht="15" hidden="false" customHeight="false" outlineLevel="0" collapsed="false">
      <c r="D3618" s="0" t="s">
        <v>72</v>
      </c>
      <c r="E3618" s="0" t="s">
        <v>73</v>
      </c>
      <c r="F3618" s="0" t="s">
        <v>74</v>
      </c>
      <c r="G3618" s="0" t="s">
        <v>152</v>
      </c>
      <c r="H3618" s="0" t="s">
        <v>152</v>
      </c>
      <c r="I3618" s="0" t="s">
        <v>41</v>
      </c>
      <c r="J3618" s="0" t="s">
        <v>42</v>
      </c>
      <c r="K3618" s="0" t="s">
        <v>30</v>
      </c>
      <c r="L3618" s="0" t="s">
        <v>31</v>
      </c>
      <c r="M3618" s="0" t="s">
        <v>140</v>
      </c>
      <c r="N3618" s="0" t="n">
        <v>531</v>
      </c>
      <c r="O3618" s="10" t="n">
        <v>0.311393386451527</v>
      </c>
      <c r="P3618" s="10" t="n">
        <v>0.289728706935421</v>
      </c>
      <c r="Q3618" s="0" t="str">
        <f aca="false">SUBSTITUTE(SUBSTITUTE($I3618,CHAR(61),""),CHAR(34),"")</f>
        <v>25-34</v>
      </c>
      <c r="R3618" s="0" t="str">
        <f aca="false">IF($D3618&lt;&gt;"","["&amp;$E3618&amp;"]"&amp;"|"&amp;$Q3618&amp;"|"&amp;$K3618&amp;"|"&amp;$G3618&amp;"|"&amp;IF($G3618="TX_CURR_SUBNAT.R","CY2022Q4",$M3618),"")</f>
        <v>[am530wpaGvr]|25-34|Female|Incidence_SUBNAT.Rt.T_1|CY2023Q3</v>
      </c>
    </row>
    <row r="3619" customFormat="false" ht="15" hidden="false" customHeight="false" outlineLevel="0" collapsed="false">
      <c r="D3619" s="0" t="s">
        <v>72</v>
      </c>
      <c r="E3619" s="0" t="s">
        <v>73</v>
      </c>
      <c r="F3619" s="0" t="s">
        <v>74</v>
      </c>
      <c r="G3619" s="0" t="s">
        <v>152</v>
      </c>
      <c r="H3619" s="0" t="s">
        <v>152</v>
      </c>
      <c r="I3619" s="0" t="s">
        <v>43</v>
      </c>
      <c r="J3619" s="0" t="s">
        <v>44</v>
      </c>
      <c r="K3619" s="0" t="s">
        <v>30</v>
      </c>
      <c r="L3619" s="0" t="s">
        <v>31</v>
      </c>
      <c r="M3619" s="0" t="s">
        <v>140</v>
      </c>
      <c r="N3619" s="0" t="n">
        <v>1737</v>
      </c>
      <c r="O3619" s="10" t="n">
        <v>0.748879339545965</v>
      </c>
      <c r="P3619" s="10" t="n">
        <v>0.289728706935421</v>
      </c>
      <c r="Q3619" s="0" t="str">
        <f aca="false">SUBSTITUTE(SUBSTITUTE($I3619,CHAR(61),""),CHAR(34),"")</f>
        <v>35-49</v>
      </c>
      <c r="R3619" s="0" t="str">
        <f aca="false">IF($D3619&lt;&gt;"","["&amp;$E3619&amp;"]"&amp;"|"&amp;$Q3619&amp;"|"&amp;$K3619&amp;"|"&amp;$G3619&amp;"|"&amp;IF($G3619="TX_CURR_SUBNAT.R","CY2022Q4",$M3619),"")</f>
        <v>[am530wpaGvr]|35-49|Female|Incidence_SUBNAT.Rt.T_1|CY2023Q3</v>
      </c>
    </row>
    <row r="3620" customFormat="false" ht="15" hidden="false" customHeight="false" outlineLevel="0" collapsed="false">
      <c r="D3620" s="0" t="s">
        <v>72</v>
      </c>
      <c r="E3620" s="0" t="s">
        <v>73</v>
      </c>
      <c r="F3620" s="0" t="s">
        <v>74</v>
      </c>
      <c r="G3620" s="0" t="s">
        <v>152</v>
      </c>
      <c r="H3620" s="0" t="s">
        <v>152</v>
      </c>
      <c r="I3620" s="0" t="s">
        <v>45</v>
      </c>
      <c r="J3620" s="0" t="s">
        <v>46</v>
      </c>
      <c r="K3620" s="0" t="s">
        <v>30</v>
      </c>
      <c r="L3620" s="0" t="s">
        <v>31</v>
      </c>
      <c r="M3620" s="0" t="s">
        <v>140</v>
      </c>
      <c r="N3620" s="0" t="n">
        <v>666</v>
      </c>
      <c r="O3620" s="10" t="n">
        <v>0.864121030084789</v>
      </c>
      <c r="P3620" s="10" t="n">
        <v>0.289728706935421</v>
      </c>
      <c r="Q3620" s="0" t="str">
        <f aca="false">SUBSTITUTE(SUBSTITUTE($I3620,CHAR(61),""),CHAR(34),"")</f>
        <v>50+</v>
      </c>
      <c r="R3620" s="0" t="str">
        <f aca="false">IF($D3620&lt;&gt;"","["&amp;$E3620&amp;"]"&amp;"|"&amp;$Q3620&amp;"|"&amp;$K3620&amp;"|"&amp;$G3620&amp;"|"&amp;IF($G3620="TX_CURR_SUBNAT.R","CY2022Q4",$M3620),"")</f>
        <v>[am530wpaGvr]|50+|Female|Incidence_SUBNAT.Rt.T_1|CY2023Q3</v>
      </c>
    </row>
    <row r="3621" customFormat="false" ht="15" hidden="false" customHeight="false" outlineLevel="0" collapsed="false">
      <c r="D3621" s="0" t="s">
        <v>72</v>
      </c>
      <c r="E3621" s="0" t="s">
        <v>73</v>
      </c>
      <c r="F3621" s="0" t="s">
        <v>74</v>
      </c>
      <c r="G3621" s="0" t="s">
        <v>152</v>
      </c>
      <c r="H3621" s="0" t="s">
        <v>152</v>
      </c>
      <c r="I3621" s="0" t="s">
        <v>28</v>
      </c>
      <c r="J3621" s="0" t="s">
        <v>29</v>
      </c>
      <c r="K3621" s="0" t="s">
        <v>48</v>
      </c>
      <c r="L3621" s="0" t="s">
        <v>49</v>
      </c>
      <c r="M3621" s="0" t="s">
        <v>140</v>
      </c>
      <c r="N3621" s="0" t="n">
        <v>1547</v>
      </c>
      <c r="O3621" s="10" t="n">
        <v>0.576120668789372</v>
      </c>
      <c r="P3621" s="10" t="n">
        <v>0.289728706935421</v>
      </c>
      <c r="Q3621" s="0" t="str">
        <f aca="false">SUBSTITUTE(SUBSTITUTE($I3621,CHAR(61),""),CHAR(34),"")</f>
        <v>&lt;01</v>
      </c>
      <c r="R3621" s="0" t="str">
        <f aca="false">IF($D3621&lt;&gt;"","["&amp;$E3621&amp;"]"&amp;"|"&amp;$Q3621&amp;"|"&amp;$K3621&amp;"|"&amp;$G3621&amp;"|"&amp;IF($G3621="TX_CURR_SUBNAT.R","CY2022Q4",$M3621),"")</f>
        <v>[am530wpaGvr]|&lt;01|Male|Incidence_SUBNAT.Rt.T_1|CY2023Q3</v>
      </c>
    </row>
    <row r="3622" customFormat="false" ht="15" hidden="false" customHeight="false" outlineLevel="0" collapsed="false">
      <c r="D3622" s="0" t="s">
        <v>72</v>
      </c>
      <c r="E3622" s="0" t="s">
        <v>73</v>
      </c>
      <c r="F3622" s="0" t="s">
        <v>74</v>
      </c>
      <c r="G3622" s="0" t="s">
        <v>152</v>
      </c>
      <c r="H3622" s="0" t="s">
        <v>152</v>
      </c>
      <c r="I3622" s="0" t="s">
        <v>33</v>
      </c>
      <c r="J3622" s="0" t="s">
        <v>34</v>
      </c>
      <c r="K3622" s="0" t="s">
        <v>48</v>
      </c>
      <c r="L3622" s="0" t="s">
        <v>49</v>
      </c>
      <c r="M3622" s="0" t="s">
        <v>140</v>
      </c>
      <c r="N3622" s="0" t="n">
        <v>1634</v>
      </c>
      <c r="O3622" s="10" t="n">
        <v>0.502050237962976</v>
      </c>
      <c r="P3622" s="10" t="n">
        <v>0.289728706935421</v>
      </c>
      <c r="Q3622" s="0" t="str">
        <f aca="false">SUBSTITUTE(SUBSTITUTE($I3622,CHAR(61),""),CHAR(34),"")</f>
        <v>01-09</v>
      </c>
      <c r="R3622" s="0" t="str">
        <f aca="false">IF($D3622&lt;&gt;"","["&amp;$E3622&amp;"]"&amp;"|"&amp;$Q3622&amp;"|"&amp;$K3622&amp;"|"&amp;$G3622&amp;"|"&amp;IF($G3622="TX_CURR_SUBNAT.R","CY2022Q4",$M3622),"")</f>
        <v>[am530wpaGvr]|01-09|Male|Incidence_SUBNAT.Rt.T_1|CY2023Q3</v>
      </c>
    </row>
    <row r="3623" customFormat="false" ht="15" hidden="false" customHeight="false" outlineLevel="0" collapsed="false">
      <c r="D3623" s="0" t="s">
        <v>72</v>
      </c>
      <c r="E3623" s="0" t="s">
        <v>73</v>
      </c>
      <c r="F3623" s="0" t="s">
        <v>74</v>
      </c>
      <c r="G3623" s="0" t="s">
        <v>152</v>
      </c>
      <c r="H3623" s="0" t="s">
        <v>152</v>
      </c>
      <c r="I3623" s="0" t="s">
        <v>36</v>
      </c>
      <c r="J3623" s="0" t="s">
        <v>37</v>
      </c>
      <c r="K3623" s="0" t="s">
        <v>48</v>
      </c>
      <c r="L3623" s="0" t="s">
        <v>49</v>
      </c>
      <c r="M3623" s="0" t="s">
        <v>140</v>
      </c>
      <c r="N3623" s="0" t="n">
        <v>1024</v>
      </c>
      <c r="O3623" s="10" t="n">
        <v>0.870090712560341</v>
      </c>
      <c r="P3623" s="10" t="n">
        <v>0.289728706935421</v>
      </c>
      <c r="Q3623" s="0" t="str">
        <f aca="false">SUBSTITUTE(SUBSTITUTE($I3623,CHAR(61),""),CHAR(34),"")</f>
        <v>10-14</v>
      </c>
      <c r="R3623" s="0" t="str">
        <f aca="false">IF($D3623&lt;&gt;"","["&amp;$E3623&amp;"]"&amp;"|"&amp;$Q3623&amp;"|"&amp;$K3623&amp;"|"&amp;$G3623&amp;"|"&amp;IF($G3623="TX_CURR_SUBNAT.R","CY2022Q4",$M3623),"")</f>
        <v>[am530wpaGvr]|10-14|Male|Incidence_SUBNAT.Rt.T_1|CY2023Q3</v>
      </c>
    </row>
    <row r="3624" customFormat="false" ht="15" hidden="false" customHeight="false" outlineLevel="0" collapsed="false">
      <c r="D3624" s="0" t="s">
        <v>72</v>
      </c>
      <c r="E3624" s="0" t="s">
        <v>73</v>
      </c>
      <c r="F3624" s="0" t="s">
        <v>74</v>
      </c>
      <c r="G3624" s="0" t="s">
        <v>152</v>
      </c>
      <c r="H3624" s="0" t="s">
        <v>152</v>
      </c>
      <c r="I3624" s="0" t="s">
        <v>38</v>
      </c>
      <c r="J3624" s="0" t="s">
        <v>39</v>
      </c>
      <c r="K3624" s="0" t="s">
        <v>48</v>
      </c>
      <c r="L3624" s="0" t="s">
        <v>49</v>
      </c>
      <c r="M3624" s="0" t="s">
        <v>140</v>
      </c>
      <c r="N3624" s="0" t="n">
        <v>1411</v>
      </c>
      <c r="O3624" s="10" t="n">
        <v>0.795210787560791</v>
      </c>
      <c r="P3624" s="10" t="n">
        <v>0.289728706935421</v>
      </c>
      <c r="Q3624" s="0" t="str">
        <f aca="false">SUBSTITUTE(SUBSTITUTE($I3624,CHAR(61),""),CHAR(34),"")</f>
        <v>15-24</v>
      </c>
      <c r="R3624" s="0" t="str">
        <f aca="false">IF($D3624&lt;&gt;"","["&amp;$E3624&amp;"]"&amp;"|"&amp;$Q3624&amp;"|"&amp;$K3624&amp;"|"&amp;$G3624&amp;"|"&amp;IF($G3624="TX_CURR_SUBNAT.R","CY2022Q4",$M3624),"")</f>
        <v>[am530wpaGvr]|15-24|Male|Incidence_SUBNAT.Rt.T_1|CY2023Q3</v>
      </c>
    </row>
    <row r="3625" customFormat="false" ht="15" hidden="false" customHeight="false" outlineLevel="0" collapsed="false">
      <c r="D3625" s="0" t="s">
        <v>72</v>
      </c>
      <c r="E3625" s="0" t="s">
        <v>73</v>
      </c>
      <c r="F3625" s="0" t="s">
        <v>74</v>
      </c>
      <c r="G3625" s="0" t="s">
        <v>152</v>
      </c>
      <c r="H3625" s="0" t="s">
        <v>152</v>
      </c>
      <c r="I3625" s="0" t="s">
        <v>41</v>
      </c>
      <c r="J3625" s="0" t="s">
        <v>42</v>
      </c>
      <c r="K3625" s="0" t="s">
        <v>48</v>
      </c>
      <c r="L3625" s="0" t="s">
        <v>49</v>
      </c>
      <c r="M3625" s="0" t="s">
        <v>140</v>
      </c>
      <c r="N3625" s="0" t="n">
        <v>1542</v>
      </c>
      <c r="O3625" s="10" t="n">
        <v>0.164388631703332</v>
      </c>
      <c r="P3625" s="10" t="n">
        <v>0.289728706935421</v>
      </c>
      <c r="Q3625" s="0" t="str">
        <f aca="false">SUBSTITUTE(SUBSTITUTE($I3625,CHAR(61),""),CHAR(34),"")</f>
        <v>25-34</v>
      </c>
      <c r="R3625" s="0" t="str">
        <f aca="false">IF($D3625&lt;&gt;"","["&amp;$E3625&amp;"]"&amp;"|"&amp;$Q3625&amp;"|"&amp;$K3625&amp;"|"&amp;$G3625&amp;"|"&amp;IF($G3625="TX_CURR_SUBNAT.R","CY2022Q4",$M3625),"")</f>
        <v>[am530wpaGvr]|25-34|Male|Incidence_SUBNAT.Rt.T_1|CY2023Q3</v>
      </c>
    </row>
    <row r="3626" customFormat="false" ht="15" hidden="false" customHeight="false" outlineLevel="0" collapsed="false">
      <c r="D3626" s="0" t="s">
        <v>72</v>
      </c>
      <c r="E3626" s="0" t="s">
        <v>73</v>
      </c>
      <c r="F3626" s="0" t="s">
        <v>74</v>
      </c>
      <c r="G3626" s="0" t="s">
        <v>152</v>
      </c>
      <c r="H3626" s="0" t="s">
        <v>152</v>
      </c>
      <c r="I3626" s="0" t="s">
        <v>43</v>
      </c>
      <c r="J3626" s="0" t="s">
        <v>44</v>
      </c>
      <c r="K3626" s="0" t="s">
        <v>48</v>
      </c>
      <c r="L3626" s="0" t="s">
        <v>49</v>
      </c>
      <c r="M3626" s="0" t="s">
        <v>140</v>
      </c>
      <c r="N3626" s="0" t="n">
        <v>1388</v>
      </c>
      <c r="O3626" s="10" t="n">
        <v>0.704636762617156</v>
      </c>
      <c r="P3626" s="10" t="n">
        <v>0.289728706935421</v>
      </c>
      <c r="Q3626" s="0" t="str">
        <f aca="false">SUBSTITUTE(SUBSTITUTE($I3626,CHAR(61),""),CHAR(34),"")</f>
        <v>35-49</v>
      </c>
      <c r="R3626" s="0" t="str">
        <f aca="false">IF($D3626&lt;&gt;"","["&amp;$E3626&amp;"]"&amp;"|"&amp;$Q3626&amp;"|"&amp;$K3626&amp;"|"&amp;$G3626&amp;"|"&amp;IF($G3626="TX_CURR_SUBNAT.R","CY2022Q4",$M3626),"")</f>
        <v>[am530wpaGvr]|35-49|Male|Incidence_SUBNAT.Rt.T_1|CY2023Q3</v>
      </c>
    </row>
    <row r="3627" customFormat="false" ht="15" hidden="false" customHeight="false" outlineLevel="0" collapsed="false">
      <c r="D3627" s="0" t="s">
        <v>72</v>
      </c>
      <c r="E3627" s="0" t="s">
        <v>73</v>
      </c>
      <c r="F3627" s="0" t="s">
        <v>74</v>
      </c>
      <c r="G3627" s="0" t="s">
        <v>152</v>
      </c>
      <c r="H3627" s="0" t="s">
        <v>152</v>
      </c>
      <c r="I3627" s="0" t="s">
        <v>45</v>
      </c>
      <c r="J3627" s="0" t="s">
        <v>46</v>
      </c>
      <c r="K3627" s="0" t="s">
        <v>48</v>
      </c>
      <c r="L3627" s="0" t="s">
        <v>49</v>
      </c>
      <c r="M3627" s="0" t="s">
        <v>140</v>
      </c>
      <c r="N3627" s="0" t="n">
        <v>859</v>
      </c>
      <c r="O3627" s="10" t="n">
        <v>0.588603487005457</v>
      </c>
      <c r="P3627" s="10" t="n">
        <v>0.289728706935421</v>
      </c>
      <c r="Q3627" s="0" t="str">
        <f aca="false">SUBSTITUTE(SUBSTITUTE($I3627,CHAR(61),""),CHAR(34),"")</f>
        <v>50+</v>
      </c>
      <c r="R3627" s="0" t="str">
        <f aca="false">IF($D3627&lt;&gt;"","["&amp;$E3627&amp;"]"&amp;"|"&amp;$Q3627&amp;"|"&amp;$K3627&amp;"|"&amp;$G3627&amp;"|"&amp;IF($G3627="TX_CURR_SUBNAT.R","CY2022Q4",$M3627),"")</f>
        <v>[am530wpaGvr]|50+|Male|Incidence_SUBNAT.Rt.T_1|CY2023Q3</v>
      </c>
    </row>
    <row r="3628" customFormat="false" ht="15" hidden="false" customHeight="false" outlineLevel="0" collapsed="false">
      <c r="D3628" s="0" t="s">
        <v>75</v>
      </c>
      <c r="E3628" s="0" t="s">
        <v>76</v>
      </c>
      <c r="F3628" s="0" t="s">
        <v>77</v>
      </c>
      <c r="G3628" s="0" t="s">
        <v>152</v>
      </c>
      <c r="H3628" s="0" t="s">
        <v>152</v>
      </c>
      <c r="I3628" s="0" t="s">
        <v>28</v>
      </c>
      <c r="J3628" s="0" t="s">
        <v>29</v>
      </c>
      <c r="K3628" s="0" t="s">
        <v>30</v>
      </c>
      <c r="L3628" s="0" t="s">
        <v>31</v>
      </c>
      <c r="M3628" s="0" t="s">
        <v>140</v>
      </c>
      <c r="N3628" s="0" t="n">
        <v>1570</v>
      </c>
      <c r="O3628" s="10" t="n">
        <v>0.863927314989269</v>
      </c>
      <c r="P3628" s="10" t="n">
        <v>0.303055507596582</v>
      </c>
      <c r="Q3628" s="0" t="str">
        <f aca="false">SUBSTITUTE(SUBSTITUTE($I3628,CHAR(61),""),CHAR(34),"")</f>
        <v>&lt;01</v>
      </c>
      <c r="R3628" s="0" t="str">
        <f aca="false">IF($D3628&lt;&gt;"","["&amp;$E3628&amp;"]"&amp;"|"&amp;$Q3628&amp;"|"&amp;$K3628&amp;"|"&amp;$G3628&amp;"|"&amp;IF($G3628="TX_CURR_SUBNAT.R","CY2022Q4",$M3628),"")</f>
        <v>[lLDyBx5XyUi]|&lt;01|Female|Incidence_SUBNAT.Rt.T_1|CY2023Q3</v>
      </c>
    </row>
    <row r="3629" customFormat="false" ht="15" hidden="false" customHeight="false" outlineLevel="0" collapsed="false">
      <c r="D3629" s="0" t="s">
        <v>75</v>
      </c>
      <c r="E3629" s="0" t="s">
        <v>76</v>
      </c>
      <c r="F3629" s="0" t="s">
        <v>77</v>
      </c>
      <c r="G3629" s="0" t="s">
        <v>152</v>
      </c>
      <c r="H3629" s="0" t="s">
        <v>152</v>
      </c>
      <c r="I3629" s="0" t="s">
        <v>33</v>
      </c>
      <c r="J3629" s="0" t="s">
        <v>34</v>
      </c>
      <c r="K3629" s="0" t="s">
        <v>30</v>
      </c>
      <c r="L3629" s="0" t="s">
        <v>31</v>
      </c>
      <c r="M3629" s="0" t="s">
        <v>140</v>
      </c>
      <c r="N3629" s="0" t="n">
        <v>1165</v>
      </c>
      <c r="O3629" s="10" t="n">
        <v>0.575810099719092</v>
      </c>
      <c r="P3629" s="10" t="n">
        <v>0.303055507596582</v>
      </c>
      <c r="Q3629" s="0" t="str">
        <f aca="false">SUBSTITUTE(SUBSTITUTE($I3629,CHAR(61),""),CHAR(34),"")</f>
        <v>01-09</v>
      </c>
      <c r="R3629" s="0" t="str">
        <f aca="false">IF($D3629&lt;&gt;"","["&amp;$E3629&amp;"]"&amp;"|"&amp;$Q3629&amp;"|"&amp;$K3629&amp;"|"&amp;$G3629&amp;"|"&amp;IF($G3629="TX_CURR_SUBNAT.R","CY2022Q4",$M3629),"")</f>
        <v>[lLDyBx5XyUi]|01-09|Female|Incidence_SUBNAT.Rt.T_1|CY2023Q3</v>
      </c>
    </row>
    <row r="3630" customFormat="false" ht="15" hidden="false" customHeight="false" outlineLevel="0" collapsed="false">
      <c r="D3630" s="0" t="s">
        <v>75</v>
      </c>
      <c r="E3630" s="0" t="s">
        <v>76</v>
      </c>
      <c r="F3630" s="0" t="s">
        <v>77</v>
      </c>
      <c r="G3630" s="0" t="s">
        <v>152</v>
      </c>
      <c r="H3630" s="0" t="s">
        <v>152</v>
      </c>
      <c r="I3630" s="0" t="s">
        <v>36</v>
      </c>
      <c r="J3630" s="0" t="s">
        <v>37</v>
      </c>
      <c r="K3630" s="0" t="s">
        <v>30</v>
      </c>
      <c r="L3630" s="0" t="s">
        <v>31</v>
      </c>
      <c r="M3630" s="0" t="s">
        <v>140</v>
      </c>
      <c r="N3630" s="0" t="n">
        <v>1022</v>
      </c>
      <c r="O3630" s="10" t="n">
        <v>0.75133083993569</v>
      </c>
      <c r="P3630" s="10" t="n">
        <v>0.303055507596582</v>
      </c>
      <c r="Q3630" s="0" t="str">
        <f aca="false">SUBSTITUTE(SUBSTITUTE($I3630,CHAR(61),""),CHAR(34),"")</f>
        <v>10-14</v>
      </c>
      <c r="R3630" s="0" t="str">
        <f aca="false">IF($D3630&lt;&gt;"","["&amp;$E3630&amp;"]"&amp;"|"&amp;$Q3630&amp;"|"&amp;$K3630&amp;"|"&amp;$G3630&amp;"|"&amp;IF($G3630="TX_CURR_SUBNAT.R","CY2022Q4",$M3630),"")</f>
        <v>[lLDyBx5XyUi]|10-14|Female|Incidence_SUBNAT.Rt.T_1|CY2023Q3</v>
      </c>
    </row>
    <row r="3631" customFormat="false" ht="15" hidden="false" customHeight="false" outlineLevel="0" collapsed="false">
      <c r="D3631" s="0" t="s">
        <v>75</v>
      </c>
      <c r="E3631" s="0" t="s">
        <v>76</v>
      </c>
      <c r="F3631" s="0" t="s">
        <v>77</v>
      </c>
      <c r="G3631" s="0" t="s">
        <v>152</v>
      </c>
      <c r="H3631" s="0" t="s">
        <v>152</v>
      </c>
      <c r="I3631" s="0" t="s">
        <v>38</v>
      </c>
      <c r="J3631" s="0" t="s">
        <v>39</v>
      </c>
      <c r="K3631" s="0" t="s">
        <v>30</v>
      </c>
      <c r="L3631" s="0" t="s">
        <v>31</v>
      </c>
      <c r="M3631" s="0" t="s">
        <v>140</v>
      </c>
      <c r="N3631" s="0" t="n">
        <v>1381</v>
      </c>
      <c r="O3631" s="10" t="n">
        <v>0.535326743032783</v>
      </c>
      <c r="P3631" s="10" t="n">
        <v>0.303055507596582</v>
      </c>
      <c r="Q3631" s="0" t="str">
        <f aca="false">SUBSTITUTE(SUBSTITUTE($I3631,CHAR(61),""),CHAR(34),"")</f>
        <v>15-24</v>
      </c>
      <c r="R3631" s="0" t="str">
        <f aca="false">IF($D3631&lt;&gt;"","["&amp;$E3631&amp;"]"&amp;"|"&amp;$Q3631&amp;"|"&amp;$K3631&amp;"|"&amp;$G3631&amp;"|"&amp;IF($G3631="TX_CURR_SUBNAT.R","CY2022Q4",$M3631),"")</f>
        <v>[lLDyBx5XyUi]|15-24|Female|Incidence_SUBNAT.Rt.T_1|CY2023Q3</v>
      </c>
    </row>
    <row r="3632" customFormat="false" ht="15" hidden="false" customHeight="false" outlineLevel="0" collapsed="false">
      <c r="D3632" s="0" t="s">
        <v>75</v>
      </c>
      <c r="E3632" s="0" t="s">
        <v>76</v>
      </c>
      <c r="F3632" s="0" t="s">
        <v>77</v>
      </c>
      <c r="G3632" s="0" t="s">
        <v>152</v>
      </c>
      <c r="H3632" s="0" t="s">
        <v>152</v>
      </c>
      <c r="I3632" s="0" t="s">
        <v>41</v>
      </c>
      <c r="J3632" s="0" t="s">
        <v>42</v>
      </c>
      <c r="K3632" s="0" t="s">
        <v>30</v>
      </c>
      <c r="L3632" s="0" t="s">
        <v>31</v>
      </c>
      <c r="M3632" s="0" t="s">
        <v>140</v>
      </c>
      <c r="N3632" s="0" t="n">
        <v>1824</v>
      </c>
      <c r="O3632" s="10" t="n">
        <v>0.84892726666294</v>
      </c>
      <c r="P3632" s="10" t="n">
        <v>0.303055507596582</v>
      </c>
      <c r="Q3632" s="0" t="str">
        <f aca="false">SUBSTITUTE(SUBSTITUTE($I3632,CHAR(61),""),CHAR(34),"")</f>
        <v>25-34</v>
      </c>
      <c r="R3632" s="0" t="str">
        <f aca="false">IF($D3632&lt;&gt;"","["&amp;$E3632&amp;"]"&amp;"|"&amp;$Q3632&amp;"|"&amp;$K3632&amp;"|"&amp;$G3632&amp;"|"&amp;IF($G3632="TX_CURR_SUBNAT.R","CY2022Q4",$M3632),"")</f>
        <v>[lLDyBx5XyUi]|25-34|Female|Incidence_SUBNAT.Rt.T_1|CY2023Q3</v>
      </c>
    </row>
    <row r="3633" customFormat="false" ht="15" hidden="false" customHeight="false" outlineLevel="0" collapsed="false">
      <c r="D3633" s="0" t="s">
        <v>75</v>
      </c>
      <c r="E3633" s="0" t="s">
        <v>76</v>
      </c>
      <c r="F3633" s="0" t="s">
        <v>77</v>
      </c>
      <c r="G3633" s="0" t="s">
        <v>152</v>
      </c>
      <c r="H3633" s="0" t="s">
        <v>152</v>
      </c>
      <c r="I3633" s="0" t="s">
        <v>43</v>
      </c>
      <c r="J3633" s="0" t="s">
        <v>44</v>
      </c>
      <c r="K3633" s="0" t="s">
        <v>30</v>
      </c>
      <c r="L3633" s="0" t="s">
        <v>31</v>
      </c>
      <c r="M3633" s="0" t="s">
        <v>140</v>
      </c>
      <c r="N3633" s="0" t="n">
        <v>826</v>
      </c>
      <c r="O3633" s="10" t="n">
        <v>0.941952330991626</v>
      </c>
      <c r="P3633" s="10" t="n">
        <v>0.303055507596582</v>
      </c>
      <c r="Q3633" s="0" t="str">
        <f aca="false">SUBSTITUTE(SUBSTITUTE($I3633,CHAR(61),""),CHAR(34),"")</f>
        <v>35-49</v>
      </c>
      <c r="R3633" s="0" t="str">
        <f aca="false">IF($D3633&lt;&gt;"","["&amp;$E3633&amp;"]"&amp;"|"&amp;$Q3633&amp;"|"&amp;$K3633&amp;"|"&amp;$G3633&amp;"|"&amp;IF($G3633="TX_CURR_SUBNAT.R","CY2022Q4",$M3633),"")</f>
        <v>[lLDyBx5XyUi]|35-49|Female|Incidence_SUBNAT.Rt.T_1|CY2023Q3</v>
      </c>
    </row>
    <row r="3634" customFormat="false" ht="15" hidden="false" customHeight="false" outlineLevel="0" collapsed="false">
      <c r="D3634" s="0" t="s">
        <v>75</v>
      </c>
      <c r="E3634" s="0" t="s">
        <v>76</v>
      </c>
      <c r="F3634" s="0" t="s">
        <v>77</v>
      </c>
      <c r="G3634" s="0" t="s">
        <v>152</v>
      </c>
      <c r="H3634" s="0" t="s">
        <v>152</v>
      </c>
      <c r="I3634" s="0" t="s">
        <v>45</v>
      </c>
      <c r="J3634" s="0" t="s">
        <v>46</v>
      </c>
      <c r="K3634" s="0" t="s">
        <v>30</v>
      </c>
      <c r="L3634" s="0" t="s">
        <v>31</v>
      </c>
      <c r="M3634" s="0" t="s">
        <v>140</v>
      </c>
      <c r="N3634" s="0" t="n">
        <v>1504</v>
      </c>
      <c r="O3634" s="10" t="n">
        <v>0.3062562874984</v>
      </c>
      <c r="P3634" s="10" t="n">
        <v>0.303055507596582</v>
      </c>
      <c r="Q3634" s="0" t="str">
        <f aca="false">SUBSTITUTE(SUBSTITUTE($I3634,CHAR(61),""),CHAR(34),"")</f>
        <v>50+</v>
      </c>
      <c r="R3634" s="0" t="str">
        <f aca="false">IF($D3634&lt;&gt;"","["&amp;$E3634&amp;"]"&amp;"|"&amp;$Q3634&amp;"|"&amp;$K3634&amp;"|"&amp;$G3634&amp;"|"&amp;IF($G3634="TX_CURR_SUBNAT.R","CY2022Q4",$M3634),"")</f>
        <v>[lLDyBx5XyUi]|50+|Female|Incidence_SUBNAT.Rt.T_1|CY2023Q3</v>
      </c>
    </row>
    <row r="3635" customFormat="false" ht="15" hidden="false" customHeight="false" outlineLevel="0" collapsed="false">
      <c r="D3635" s="0" t="s">
        <v>75</v>
      </c>
      <c r="E3635" s="0" t="s">
        <v>76</v>
      </c>
      <c r="F3635" s="0" t="s">
        <v>77</v>
      </c>
      <c r="G3635" s="0" t="s">
        <v>152</v>
      </c>
      <c r="H3635" s="0" t="s">
        <v>152</v>
      </c>
      <c r="I3635" s="0" t="s">
        <v>28</v>
      </c>
      <c r="J3635" s="0" t="s">
        <v>29</v>
      </c>
      <c r="K3635" s="0" t="s">
        <v>48</v>
      </c>
      <c r="L3635" s="0" t="s">
        <v>49</v>
      </c>
      <c r="M3635" s="0" t="s">
        <v>140</v>
      </c>
      <c r="N3635" s="0" t="n">
        <v>1621</v>
      </c>
      <c r="O3635" s="10" t="n">
        <v>0.878776065306738</v>
      </c>
      <c r="P3635" s="10" t="n">
        <v>0.303055507596582</v>
      </c>
      <c r="Q3635" s="0" t="str">
        <f aca="false">SUBSTITUTE(SUBSTITUTE($I3635,CHAR(61),""),CHAR(34),"")</f>
        <v>&lt;01</v>
      </c>
      <c r="R3635" s="0" t="str">
        <f aca="false">IF($D3635&lt;&gt;"","["&amp;$E3635&amp;"]"&amp;"|"&amp;$Q3635&amp;"|"&amp;$K3635&amp;"|"&amp;$G3635&amp;"|"&amp;IF($G3635="TX_CURR_SUBNAT.R","CY2022Q4",$M3635),"")</f>
        <v>[lLDyBx5XyUi]|&lt;01|Male|Incidence_SUBNAT.Rt.T_1|CY2023Q3</v>
      </c>
    </row>
    <row r="3636" customFormat="false" ht="15" hidden="false" customHeight="false" outlineLevel="0" collapsed="false">
      <c r="D3636" s="0" t="s">
        <v>75</v>
      </c>
      <c r="E3636" s="0" t="s">
        <v>76</v>
      </c>
      <c r="F3636" s="0" t="s">
        <v>77</v>
      </c>
      <c r="G3636" s="0" t="s">
        <v>152</v>
      </c>
      <c r="H3636" s="0" t="s">
        <v>152</v>
      </c>
      <c r="I3636" s="0" t="s">
        <v>33</v>
      </c>
      <c r="J3636" s="0" t="s">
        <v>34</v>
      </c>
      <c r="K3636" s="0" t="s">
        <v>48</v>
      </c>
      <c r="L3636" s="0" t="s">
        <v>49</v>
      </c>
      <c r="M3636" s="0" t="s">
        <v>140</v>
      </c>
      <c r="N3636" s="0" t="n">
        <v>1221</v>
      </c>
      <c r="O3636" s="10" t="n">
        <v>0.649176149629056</v>
      </c>
      <c r="P3636" s="10" t="n">
        <v>0.303055507596582</v>
      </c>
      <c r="Q3636" s="0" t="str">
        <f aca="false">SUBSTITUTE(SUBSTITUTE($I3636,CHAR(61),""),CHAR(34),"")</f>
        <v>01-09</v>
      </c>
      <c r="R3636" s="0" t="str">
        <f aca="false">IF($D3636&lt;&gt;"","["&amp;$E3636&amp;"]"&amp;"|"&amp;$Q3636&amp;"|"&amp;$K3636&amp;"|"&amp;$G3636&amp;"|"&amp;IF($G3636="TX_CURR_SUBNAT.R","CY2022Q4",$M3636),"")</f>
        <v>[lLDyBx5XyUi]|01-09|Male|Incidence_SUBNAT.Rt.T_1|CY2023Q3</v>
      </c>
    </row>
    <row r="3637" customFormat="false" ht="15" hidden="false" customHeight="false" outlineLevel="0" collapsed="false">
      <c r="D3637" s="0" t="s">
        <v>75</v>
      </c>
      <c r="E3637" s="0" t="s">
        <v>76</v>
      </c>
      <c r="F3637" s="0" t="s">
        <v>77</v>
      </c>
      <c r="G3637" s="0" t="s">
        <v>152</v>
      </c>
      <c r="H3637" s="0" t="s">
        <v>152</v>
      </c>
      <c r="I3637" s="0" t="s">
        <v>36</v>
      </c>
      <c r="J3637" s="0" t="s">
        <v>37</v>
      </c>
      <c r="K3637" s="0" t="s">
        <v>48</v>
      </c>
      <c r="L3637" s="0" t="s">
        <v>49</v>
      </c>
      <c r="M3637" s="0" t="s">
        <v>140</v>
      </c>
      <c r="N3637" s="0" t="n">
        <v>1094</v>
      </c>
      <c r="O3637" s="10" t="n">
        <v>0.771569523029029</v>
      </c>
      <c r="P3637" s="10" t="n">
        <v>0.303055507596582</v>
      </c>
      <c r="Q3637" s="0" t="str">
        <f aca="false">SUBSTITUTE(SUBSTITUTE($I3637,CHAR(61),""),CHAR(34),"")</f>
        <v>10-14</v>
      </c>
      <c r="R3637" s="0" t="str">
        <f aca="false">IF($D3637&lt;&gt;"","["&amp;$E3637&amp;"]"&amp;"|"&amp;$Q3637&amp;"|"&amp;$K3637&amp;"|"&amp;$G3637&amp;"|"&amp;IF($G3637="TX_CURR_SUBNAT.R","CY2022Q4",$M3637),"")</f>
        <v>[lLDyBx5XyUi]|10-14|Male|Incidence_SUBNAT.Rt.T_1|CY2023Q3</v>
      </c>
    </row>
    <row r="3638" customFormat="false" ht="15" hidden="false" customHeight="false" outlineLevel="0" collapsed="false">
      <c r="D3638" s="0" t="s">
        <v>75</v>
      </c>
      <c r="E3638" s="0" t="s">
        <v>76</v>
      </c>
      <c r="F3638" s="0" t="s">
        <v>77</v>
      </c>
      <c r="G3638" s="0" t="s">
        <v>152</v>
      </c>
      <c r="H3638" s="0" t="s">
        <v>152</v>
      </c>
      <c r="I3638" s="0" t="s">
        <v>38</v>
      </c>
      <c r="J3638" s="0" t="s">
        <v>39</v>
      </c>
      <c r="K3638" s="0" t="s">
        <v>48</v>
      </c>
      <c r="L3638" s="0" t="s">
        <v>49</v>
      </c>
      <c r="M3638" s="0" t="s">
        <v>140</v>
      </c>
      <c r="N3638" s="0" t="n">
        <v>751</v>
      </c>
      <c r="O3638" s="10" t="n">
        <v>0.467484536347911</v>
      </c>
      <c r="P3638" s="10" t="n">
        <v>0.303055507596582</v>
      </c>
      <c r="Q3638" s="0" t="str">
        <f aca="false">SUBSTITUTE(SUBSTITUTE($I3638,CHAR(61),""),CHAR(34),"")</f>
        <v>15-24</v>
      </c>
      <c r="R3638" s="0" t="str">
        <f aca="false">IF($D3638&lt;&gt;"","["&amp;$E3638&amp;"]"&amp;"|"&amp;$Q3638&amp;"|"&amp;$K3638&amp;"|"&amp;$G3638&amp;"|"&amp;IF($G3638="TX_CURR_SUBNAT.R","CY2022Q4",$M3638),"")</f>
        <v>[lLDyBx5XyUi]|15-24|Male|Incidence_SUBNAT.Rt.T_1|CY2023Q3</v>
      </c>
    </row>
    <row r="3639" customFormat="false" ht="15" hidden="false" customHeight="false" outlineLevel="0" collapsed="false">
      <c r="D3639" s="0" t="s">
        <v>75</v>
      </c>
      <c r="E3639" s="0" t="s">
        <v>76</v>
      </c>
      <c r="F3639" s="0" t="s">
        <v>77</v>
      </c>
      <c r="G3639" s="0" t="s">
        <v>152</v>
      </c>
      <c r="H3639" s="0" t="s">
        <v>152</v>
      </c>
      <c r="I3639" s="0" t="s">
        <v>41</v>
      </c>
      <c r="J3639" s="0" t="s">
        <v>42</v>
      </c>
      <c r="K3639" s="0" t="s">
        <v>48</v>
      </c>
      <c r="L3639" s="0" t="s">
        <v>49</v>
      </c>
      <c r="M3639" s="0" t="s">
        <v>140</v>
      </c>
      <c r="N3639" s="0" t="n">
        <v>1942</v>
      </c>
      <c r="O3639" s="10" t="n">
        <v>0.828558513196185</v>
      </c>
      <c r="P3639" s="10" t="n">
        <v>0.303055507596582</v>
      </c>
      <c r="Q3639" s="0" t="str">
        <f aca="false">SUBSTITUTE(SUBSTITUTE($I3639,CHAR(61),""),CHAR(34),"")</f>
        <v>25-34</v>
      </c>
      <c r="R3639" s="0" t="str">
        <f aca="false">IF($D3639&lt;&gt;"","["&amp;$E3639&amp;"]"&amp;"|"&amp;$Q3639&amp;"|"&amp;$K3639&amp;"|"&amp;$G3639&amp;"|"&amp;IF($G3639="TX_CURR_SUBNAT.R","CY2022Q4",$M3639),"")</f>
        <v>[lLDyBx5XyUi]|25-34|Male|Incidence_SUBNAT.Rt.T_1|CY2023Q3</v>
      </c>
    </row>
    <row r="3640" customFormat="false" ht="15" hidden="false" customHeight="false" outlineLevel="0" collapsed="false">
      <c r="D3640" s="0" t="s">
        <v>75</v>
      </c>
      <c r="E3640" s="0" t="s">
        <v>76</v>
      </c>
      <c r="F3640" s="0" t="s">
        <v>77</v>
      </c>
      <c r="G3640" s="0" t="s">
        <v>152</v>
      </c>
      <c r="H3640" s="0" t="s">
        <v>152</v>
      </c>
      <c r="I3640" s="0" t="s">
        <v>43</v>
      </c>
      <c r="J3640" s="0" t="s">
        <v>44</v>
      </c>
      <c r="K3640" s="0" t="s">
        <v>48</v>
      </c>
      <c r="L3640" s="0" t="s">
        <v>49</v>
      </c>
      <c r="M3640" s="0" t="s">
        <v>140</v>
      </c>
      <c r="N3640" s="0" t="n">
        <v>1877</v>
      </c>
      <c r="O3640" s="10" t="n">
        <v>0.218146508559585</v>
      </c>
      <c r="P3640" s="10" t="n">
        <v>0.303055507596582</v>
      </c>
      <c r="Q3640" s="0" t="str">
        <f aca="false">SUBSTITUTE(SUBSTITUTE($I3640,CHAR(61),""),CHAR(34),"")</f>
        <v>35-49</v>
      </c>
      <c r="R3640" s="0" t="str">
        <f aca="false">IF($D3640&lt;&gt;"","["&amp;$E3640&amp;"]"&amp;"|"&amp;$Q3640&amp;"|"&amp;$K3640&amp;"|"&amp;$G3640&amp;"|"&amp;IF($G3640="TX_CURR_SUBNAT.R","CY2022Q4",$M3640),"")</f>
        <v>[lLDyBx5XyUi]|35-49|Male|Incidence_SUBNAT.Rt.T_1|CY2023Q3</v>
      </c>
    </row>
    <row r="3641" customFormat="false" ht="15" hidden="false" customHeight="false" outlineLevel="0" collapsed="false">
      <c r="D3641" s="0" t="s">
        <v>75</v>
      </c>
      <c r="E3641" s="0" t="s">
        <v>76</v>
      </c>
      <c r="F3641" s="0" t="s">
        <v>77</v>
      </c>
      <c r="G3641" s="0" t="s">
        <v>152</v>
      </c>
      <c r="H3641" s="0" t="s">
        <v>152</v>
      </c>
      <c r="I3641" s="0" t="s">
        <v>45</v>
      </c>
      <c r="J3641" s="0" t="s">
        <v>46</v>
      </c>
      <c r="K3641" s="0" t="s">
        <v>48</v>
      </c>
      <c r="L3641" s="0" t="s">
        <v>49</v>
      </c>
      <c r="M3641" s="0" t="s">
        <v>140</v>
      </c>
      <c r="N3641" s="0" t="n">
        <v>1941</v>
      </c>
      <c r="O3641" s="10" t="n">
        <v>0.166637846035883</v>
      </c>
      <c r="P3641" s="10" t="n">
        <v>0.303055507596582</v>
      </c>
      <c r="Q3641" s="0" t="str">
        <f aca="false">SUBSTITUTE(SUBSTITUTE($I3641,CHAR(61),""),CHAR(34),"")</f>
        <v>50+</v>
      </c>
      <c r="R3641" s="0" t="str">
        <f aca="false">IF($D3641&lt;&gt;"","["&amp;$E3641&amp;"]"&amp;"|"&amp;$Q3641&amp;"|"&amp;$K3641&amp;"|"&amp;$G3641&amp;"|"&amp;IF($G3641="TX_CURR_SUBNAT.R","CY2022Q4",$M3641),"")</f>
        <v>[lLDyBx5XyUi]|50+|Male|Incidence_SUBNAT.Rt.T_1|CY2023Q3</v>
      </c>
    </row>
    <row r="3642" customFormat="false" ht="15" hidden="false" customHeight="false" outlineLevel="0" collapsed="false">
      <c r="D3642" s="0" t="s">
        <v>78</v>
      </c>
      <c r="E3642" s="0" t="s">
        <v>79</v>
      </c>
      <c r="F3642" s="0" t="s">
        <v>80</v>
      </c>
      <c r="G3642" s="0" t="s">
        <v>152</v>
      </c>
      <c r="H3642" s="0" t="s">
        <v>152</v>
      </c>
      <c r="I3642" s="0" t="s">
        <v>28</v>
      </c>
      <c r="J3642" s="0" t="s">
        <v>29</v>
      </c>
      <c r="K3642" s="0" t="s">
        <v>30</v>
      </c>
      <c r="L3642" s="0" t="s">
        <v>31</v>
      </c>
      <c r="M3642" s="0" t="s">
        <v>140</v>
      </c>
      <c r="N3642" s="0" t="n">
        <v>1718</v>
      </c>
      <c r="O3642" s="10" t="n">
        <v>0.114208842860535</v>
      </c>
      <c r="P3642" s="10" t="n">
        <v>0.831597982207313</v>
      </c>
      <c r="Q3642" s="0" t="str">
        <f aca="false">SUBSTITUTE(SUBSTITUTE($I3642,CHAR(61),""),CHAR(34),"")</f>
        <v>&lt;01</v>
      </c>
      <c r="R3642" s="0" t="str">
        <f aca="false">IF($D3642&lt;&gt;"","["&amp;$E3642&amp;"]"&amp;"|"&amp;$Q3642&amp;"|"&amp;$K3642&amp;"|"&amp;$G3642&amp;"|"&amp;IF($G3642="TX_CURR_SUBNAT.R","CY2022Q4",$M3642),"")</f>
        <v>[TYnMSwzko3z]|&lt;01|Female|Incidence_SUBNAT.Rt.T_1|CY2023Q3</v>
      </c>
    </row>
    <row r="3643" customFormat="false" ht="15" hidden="false" customHeight="false" outlineLevel="0" collapsed="false">
      <c r="D3643" s="0" t="s">
        <v>78</v>
      </c>
      <c r="E3643" s="0" t="s">
        <v>79</v>
      </c>
      <c r="F3643" s="0" t="s">
        <v>80</v>
      </c>
      <c r="G3643" s="0" t="s">
        <v>152</v>
      </c>
      <c r="H3643" s="0" t="s">
        <v>152</v>
      </c>
      <c r="I3643" s="0" t="s">
        <v>33</v>
      </c>
      <c r="J3643" s="0" t="s">
        <v>34</v>
      </c>
      <c r="K3643" s="0" t="s">
        <v>30</v>
      </c>
      <c r="L3643" s="0" t="s">
        <v>31</v>
      </c>
      <c r="M3643" s="0" t="s">
        <v>140</v>
      </c>
      <c r="N3643" s="0" t="n">
        <v>1581</v>
      </c>
      <c r="O3643" s="10" t="n">
        <v>0.383041874039918</v>
      </c>
      <c r="P3643" s="10" t="n">
        <v>0.831597982207313</v>
      </c>
      <c r="Q3643" s="0" t="str">
        <f aca="false">SUBSTITUTE(SUBSTITUTE($I3643,CHAR(61),""),CHAR(34),"")</f>
        <v>01-09</v>
      </c>
      <c r="R3643" s="0" t="str">
        <f aca="false">IF($D3643&lt;&gt;"","["&amp;$E3643&amp;"]"&amp;"|"&amp;$Q3643&amp;"|"&amp;$K3643&amp;"|"&amp;$G3643&amp;"|"&amp;IF($G3643="TX_CURR_SUBNAT.R","CY2022Q4",$M3643),"")</f>
        <v>[TYnMSwzko3z]|01-09|Female|Incidence_SUBNAT.Rt.T_1|CY2023Q3</v>
      </c>
    </row>
    <row r="3644" customFormat="false" ht="15" hidden="false" customHeight="false" outlineLevel="0" collapsed="false">
      <c r="D3644" s="0" t="s">
        <v>78</v>
      </c>
      <c r="E3644" s="0" t="s">
        <v>79</v>
      </c>
      <c r="F3644" s="0" t="s">
        <v>80</v>
      </c>
      <c r="G3644" s="0" t="s">
        <v>152</v>
      </c>
      <c r="H3644" s="0" t="s">
        <v>152</v>
      </c>
      <c r="I3644" s="0" t="s">
        <v>36</v>
      </c>
      <c r="J3644" s="0" t="s">
        <v>37</v>
      </c>
      <c r="K3644" s="0" t="s">
        <v>30</v>
      </c>
      <c r="L3644" s="0" t="s">
        <v>31</v>
      </c>
      <c r="M3644" s="0" t="s">
        <v>140</v>
      </c>
      <c r="N3644" s="0" t="n">
        <v>1235</v>
      </c>
      <c r="O3644" s="10" t="n">
        <v>0.600772152421996</v>
      </c>
      <c r="P3644" s="10" t="n">
        <v>0.831597982207313</v>
      </c>
      <c r="Q3644" s="0" t="str">
        <f aca="false">SUBSTITUTE(SUBSTITUTE($I3644,CHAR(61),""),CHAR(34),"")</f>
        <v>10-14</v>
      </c>
      <c r="R3644" s="0" t="str">
        <f aca="false">IF($D3644&lt;&gt;"","["&amp;$E3644&amp;"]"&amp;"|"&amp;$Q3644&amp;"|"&amp;$K3644&amp;"|"&amp;$G3644&amp;"|"&amp;IF($G3644="TX_CURR_SUBNAT.R","CY2022Q4",$M3644),"")</f>
        <v>[TYnMSwzko3z]|10-14|Female|Incidence_SUBNAT.Rt.T_1|CY2023Q3</v>
      </c>
    </row>
    <row r="3645" customFormat="false" ht="15" hidden="false" customHeight="false" outlineLevel="0" collapsed="false">
      <c r="D3645" s="0" t="s">
        <v>78</v>
      </c>
      <c r="E3645" s="0" t="s">
        <v>79</v>
      </c>
      <c r="F3645" s="0" t="s">
        <v>80</v>
      </c>
      <c r="G3645" s="0" t="s">
        <v>152</v>
      </c>
      <c r="H3645" s="0" t="s">
        <v>152</v>
      </c>
      <c r="I3645" s="0" t="s">
        <v>38</v>
      </c>
      <c r="J3645" s="0" t="s">
        <v>39</v>
      </c>
      <c r="K3645" s="0" t="s">
        <v>30</v>
      </c>
      <c r="L3645" s="0" t="s">
        <v>31</v>
      </c>
      <c r="M3645" s="0" t="s">
        <v>140</v>
      </c>
      <c r="N3645" s="0" t="n">
        <v>1232</v>
      </c>
      <c r="O3645" s="10" t="n">
        <v>0.584409407805651</v>
      </c>
      <c r="P3645" s="10" t="n">
        <v>0.831597982207313</v>
      </c>
      <c r="Q3645" s="0" t="str">
        <f aca="false">SUBSTITUTE(SUBSTITUTE($I3645,CHAR(61),""),CHAR(34),"")</f>
        <v>15-24</v>
      </c>
      <c r="R3645" s="0" t="str">
        <f aca="false">IF($D3645&lt;&gt;"","["&amp;$E3645&amp;"]"&amp;"|"&amp;$Q3645&amp;"|"&amp;$K3645&amp;"|"&amp;$G3645&amp;"|"&amp;IF($G3645="TX_CURR_SUBNAT.R","CY2022Q4",$M3645),"")</f>
        <v>[TYnMSwzko3z]|15-24|Female|Incidence_SUBNAT.Rt.T_1|CY2023Q3</v>
      </c>
    </row>
    <row r="3646" customFormat="false" ht="15" hidden="false" customHeight="false" outlineLevel="0" collapsed="false">
      <c r="D3646" s="0" t="s">
        <v>78</v>
      </c>
      <c r="E3646" s="0" t="s">
        <v>79</v>
      </c>
      <c r="F3646" s="0" t="s">
        <v>80</v>
      </c>
      <c r="G3646" s="0" t="s">
        <v>152</v>
      </c>
      <c r="H3646" s="0" t="s">
        <v>152</v>
      </c>
      <c r="I3646" s="0" t="s">
        <v>41</v>
      </c>
      <c r="J3646" s="0" t="s">
        <v>42</v>
      </c>
      <c r="K3646" s="0" t="s">
        <v>30</v>
      </c>
      <c r="L3646" s="0" t="s">
        <v>31</v>
      </c>
      <c r="M3646" s="0" t="s">
        <v>140</v>
      </c>
      <c r="N3646" s="0" t="n">
        <v>957</v>
      </c>
      <c r="O3646" s="10" t="n">
        <v>0.723353014327586</v>
      </c>
      <c r="P3646" s="10" t="n">
        <v>0.831597982207313</v>
      </c>
      <c r="Q3646" s="0" t="str">
        <f aca="false">SUBSTITUTE(SUBSTITUTE($I3646,CHAR(61),""),CHAR(34),"")</f>
        <v>25-34</v>
      </c>
      <c r="R3646" s="0" t="str">
        <f aca="false">IF($D3646&lt;&gt;"","["&amp;$E3646&amp;"]"&amp;"|"&amp;$Q3646&amp;"|"&amp;$K3646&amp;"|"&amp;$G3646&amp;"|"&amp;IF($G3646="TX_CURR_SUBNAT.R","CY2022Q4",$M3646),"")</f>
        <v>[TYnMSwzko3z]|25-34|Female|Incidence_SUBNAT.Rt.T_1|CY2023Q3</v>
      </c>
    </row>
    <row r="3647" customFormat="false" ht="15" hidden="false" customHeight="false" outlineLevel="0" collapsed="false">
      <c r="D3647" s="0" t="s">
        <v>78</v>
      </c>
      <c r="E3647" s="0" t="s">
        <v>79</v>
      </c>
      <c r="F3647" s="0" t="s">
        <v>80</v>
      </c>
      <c r="G3647" s="0" t="s">
        <v>152</v>
      </c>
      <c r="H3647" s="0" t="s">
        <v>152</v>
      </c>
      <c r="I3647" s="0" t="s">
        <v>43</v>
      </c>
      <c r="J3647" s="0" t="s">
        <v>44</v>
      </c>
      <c r="K3647" s="0" t="s">
        <v>30</v>
      </c>
      <c r="L3647" s="0" t="s">
        <v>31</v>
      </c>
      <c r="M3647" s="0" t="s">
        <v>140</v>
      </c>
      <c r="N3647" s="0" t="n">
        <v>720</v>
      </c>
      <c r="O3647" s="10" t="n">
        <v>0.0184638577047735</v>
      </c>
      <c r="P3647" s="10" t="n">
        <v>0.831597982207313</v>
      </c>
      <c r="Q3647" s="0" t="str">
        <f aca="false">SUBSTITUTE(SUBSTITUTE($I3647,CHAR(61),""),CHAR(34),"")</f>
        <v>35-49</v>
      </c>
      <c r="R3647" s="0" t="str">
        <f aca="false">IF($D3647&lt;&gt;"","["&amp;$E3647&amp;"]"&amp;"|"&amp;$Q3647&amp;"|"&amp;$K3647&amp;"|"&amp;$G3647&amp;"|"&amp;IF($G3647="TX_CURR_SUBNAT.R","CY2022Q4",$M3647),"")</f>
        <v>[TYnMSwzko3z]|35-49|Female|Incidence_SUBNAT.Rt.T_1|CY2023Q3</v>
      </c>
    </row>
    <row r="3648" customFormat="false" ht="15" hidden="false" customHeight="false" outlineLevel="0" collapsed="false">
      <c r="D3648" s="0" t="s">
        <v>78</v>
      </c>
      <c r="E3648" s="0" t="s">
        <v>79</v>
      </c>
      <c r="F3648" s="0" t="s">
        <v>80</v>
      </c>
      <c r="G3648" s="0" t="s">
        <v>152</v>
      </c>
      <c r="H3648" s="0" t="s">
        <v>152</v>
      </c>
      <c r="I3648" s="0" t="s">
        <v>45</v>
      </c>
      <c r="J3648" s="0" t="s">
        <v>46</v>
      </c>
      <c r="K3648" s="0" t="s">
        <v>30</v>
      </c>
      <c r="L3648" s="0" t="s">
        <v>31</v>
      </c>
      <c r="M3648" s="0" t="s">
        <v>140</v>
      </c>
      <c r="N3648" s="0" t="n">
        <v>900</v>
      </c>
      <c r="O3648" s="10" t="n">
        <v>0.653148775687441</v>
      </c>
      <c r="P3648" s="10" t="n">
        <v>0.831597982207313</v>
      </c>
      <c r="Q3648" s="0" t="str">
        <f aca="false">SUBSTITUTE(SUBSTITUTE($I3648,CHAR(61),""),CHAR(34),"")</f>
        <v>50+</v>
      </c>
      <c r="R3648" s="0" t="str">
        <f aca="false">IF($D3648&lt;&gt;"","["&amp;$E3648&amp;"]"&amp;"|"&amp;$Q3648&amp;"|"&amp;$K3648&amp;"|"&amp;$G3648&amp;"|"&amp;IF($G3648="TX_CURR_SUBNAT.R","CY2022Q4",$M3648),"")</f>
        <v>[TYnMSwzko3z]|50+|Female|Incidence_SUBNAT.Rt.T_1|CY2023Q3</v>
      </c>
    </row>
    <row r="3649" customFormat="false" ht="15" hidden="false" customHeight="false" outlineLevel="0" collapsed="false">
      <c r="D3649" s="0" t="s">
        <v>78</v>
      </c>
      <c r="E3649" s="0" t="s">
        <v>79</v>
      </c>
      <c r="F3649" s="0" t="s">
        <v>80</v>
      </c>
      <c r="G3649" s="0" t="s">
        <v>152</v>
      </c>
      <c r="H3649" s="0" t="s">
        <v>152</v>
      </c>
      <c r="I3649" s="0" t="s">
        <v>28</v>
      </c>
      <c r="J3649" s="0" t="s">
        <v>29</v>
      </c>
      <c r="K3649" s="0" t="s">
        <v>48</v>
      </c>
      <c r="L3649" s="0" t="s">
        <v>49</v>
      </c>
      <c r="M3649" s="0" t="s">
        <v>140</v>
      </c>
      <c r="N3649" s="0" t="n">
        <v>1853</v>
      </c>
      <c r="O3649" s="10" t="n">
        <v>0.921138825826347</v>
      </c>
      <c r="P3649" s="10" t="n">
        <v>0.831597982207313</v>
      </c>
      <c r="Q3649" s="0" t="str">
        <f aca="false">SUBSTITUTE(SUBSTITUTE($I3649,CHAR(61),""),CHAR(34),"")</f>
        <v>&lt;01</v>
      </c>
      <c r="R3649" s="0" t="str">
        <f aca="false">IF($D3649&lt;&gt;"","["&amp;$E3649&amp;"]"&amp;"|"&amp;$Q3649&amp;"|"&amp;$K3649&amp;"|"&amp;$G3649&amp;"|"&amp;IF($G3649="TX_CURR_SUBNAT.R","CY2022Q4",$M3649),"")</f>
        <v>[TYnMSwzko3z]|&lt;01|Male|Incidence_SUBNAT.Rt.T_1|CY2023Q3</v>
      </c>
    </row>
    <row r="3650" customFormat="false" ht="15" hidden="false" customHeight="false" outlineLevel="0" collapsed="false">
      <c r="D3650" s="0" t="s">
        <v>78</v>
      </c>
      <c r="E3650" s="0" t="s">
        <v>79</v>
      </c>
      <c r="F3650" s="0" t="s">
        <v>80</v>
      </c>
      <c r="G3650" s="0" t="s">
        <v>152</v>
      </c>
      <c r="H3650" s="0" t="s">
        <v>152</v>
      </c>
      <c r="I3650" s="0" t="s">
        <v>33</v>
      </c>
      <c r="J3650" s="0" t="s">
        <v>34</v>
      </c>
      <c r="K3650" s="0" t="s">
        <v>48</v>
      </c>
      <c r="L3650" s="0" t="s">
        <v>49</v>
      </c>
      <c r="M3650" s="0" t="s">
        <v>140</v>
      </c>
      <c r="N3650" s="0" t="n">
        <v>1754</v>
      </c>
      <c r="O3650" s="10" t="n">
        <v>0.39493640162982</v>
      </c>
      <c r="P3650" s="10" t="n">
        <v>0.831597982207313</v>
      </c>
      <c r="Q3650" s="0" t="str">
        <f aca="false">SUBSTITUTE(SUBSTITUTE($I3650,CHAR(61),""),CHAR(34),"")</f>
        <v>01-09</v>
      </c>
      <c r="R3650" s="0" t="str">
        <f aca="false">IF($D3650&lt;&gt;"","["&amp;$E3650&amp;"]"&amp;"|"&amp;$Q3650&amp;"|"&amp;$K3650&amp;"|"&amp;$G3650&amp;"|"&amp;IF($G3650="TX_CURR_SUBNAT.R","CY2022Q4",$M3650),"")</f>
        <v>[TYnMSwzko3z]|01-09|Male|Incidence_SUBNAT.Rt.T_1|CY2023Q3</v>
      </c>
    </row>
    <row r="3651" customFormat="false" ht="15" hidden="false" customHeight="false" outlineLevel="0" collapsed="false">
      <c r="D3651" s="0" t="s">
        <v>78</v>
      </c>
      <c r="E3651" s="0" t="s">
        <v>79</v>
      </c>
      <c r="F3651" s="0" t="s">
        <v>80</v>
      </c>
      <c r="G3651" s="0" t="s">
        <v>152</v>
      </c>
      <c r="H3651" s="0" t="s">
        <v>152</v>
      </c>
      <c r="I3651" s="0" t="s">
        <v>36</v>
      </c>
      <c r="J3651" s="0" t="s">
        <v>37</v>
      </c>
      <c r="K3651" s="0" t="s">
        <v>48</v>
      </c>
      <c r="L3651" s="0" t="s">
        <v>49</v>
      </c>
      <c r="M3651" s="0" t="s">
        <v>140</v>
      </c>
      <c r="N3651" s="0" t="n">
        <v>1388</v>
      </c>
      <c r="O3651" s="10" t="n">
        <v>0.08319250959903</v>
      </c>
      <c r="P3651" s="10" t="n">
        <v>0.831597982207313</v>
      </c>
      <c r="Q3651" s="0" t="str">
        <f aca="false">SUBSTITUTE(SUBSTITUTE($I3651,CHAR(61),""),CHAR(34),"")</f>
        <v>10-14</v>
      </c>
      <c r="R3651" s="0" t="str">
        <f aca="false">IF($D3651&lt;&gt;"","["&amp;$E3651&amp;"]"&amp;"|"&amp;$Q3651&amp;"|"&amp;$K3651&amp;"|"&amp;$G3651&amp;"|"&amp;IF($G3651="TX_CURR_SUBNAT.R","CY2022Q4",$M3651),"")</f>
        <v>[TYnMSwzko3z]|10-14|Male|Incidence_SUBNAT.Rt.T_1|CY2023Q3</v>
      </c>
    </row>
    <row r="3652" customFormat="false" ht="15" hidden="false" customHeight="false" outlineLevel="0" collapsed="false">
      <c r="D3652" s="0" t="s">
        <v>78</v>
      </c>
      <c r="E3652" s="0" t="s">
        <v>79</v>
      </c>
      <c r="F3652" s="0" t="s">
        <v>80</v>
      </c>
      <c r="G3652" s="0" t="s">
        <v>152</v>
      </c>
      <c r="H3652" s="0" t="s">
        <v>152</v>
      </c>
      <c r="I3652" s="0" t="s">
        <v>38</v>
      </c>
      <c r="J3652" s="0" t="s">
        <v>39</v>
      </c>
      <c r="K3652" s="0" t="s">
        <v>48</v>
      </c>
      <c r="L3652" s="0" t="s">
        <v>49</v>
      </c>
      <c r="M3652" s="0" t="s">
        <v>140</v>
      </c>
      <c r="N3652" s="0" t="n">
        <v>1374</v>
      </c>
      <c r="O3652" s="10" t="n">
        <v>0.182577289408073</v>
      </c>
      <c r="P3652" s="10" t="n">
        <v>0.831597982207313</v>
      </c>
      <c r="Q3652" s="0" t="str">
        <f aca="false">SUBSTITUTE(SUBSTITUTE($I3652,CHAR(61),""),CHAR(34),"")</f>
        <v>15-24</v>
      </c>
      <c r="R3652" s="0" t="str">
        <f aca="false">IF($D3652&lt;&gt;"","["&amp;$E3652&amp;"]"&amp;"|"&amp;$Q3652&amp;"|"&amp;$K3652&amp;"|"&amp;$G3652&amp;"|"&amp;IF($G3652="TX_CURR_SUBNAT.R","CY2022Q4",$M3652),"")</f>
        <v>[TYnMSwzko3z]|15-24|Male|Incidence_SUBNAT.Rt.T_1|CY2023Q3</v>
      </c>
    </row>
    <row r="3653" customFormat="false" ht="15" hidden="false" customHeight="false" outlineLevel="0" collapsed="false">
      <c r="D3653" s="0" t="s">
        <v>78</v>
      </c>
      <c r="E3653" s="0" t="s">
        <v>79</v>
      </c>
      <c r="F3653" s="0" t="s">
        <v>80</v>
      </c>
      <c r="G3653" s="0" t="s">
        <v>152</v>
      </c>
      <c r="H3653" s="0" t="s">
        <v>152</v>
      </c>
      <c r="I3653" s="0" t="s">
        <v>41</v>
      </c>
      <c r="J3653" s="0" t="s">
        <v>42</v>
      </c>
      <c r="K3653" s="0" t="s">
        <v>48</v>
      </c>
      <c r="L3653" s="0" t="s">
        <v>49</v>
      </c>
      <c r="M3653" s="0" t="s">
        <v>140</v>
      </c>
      <c r="N3653" s="0" t="n">
        <v>1488</v>
      </c>
      <c r="O3653" s="10" t="n">
        <v>0.784226847812533</v>
      </c>
      <c r="P3653" s="10" t="n">
        <v>0.831597982207313</v>
      </c>
      <c r="Q3653" s="0" t="str">
        <f aca="false">SUBSTITUTE(SUBSTITUTE($I3653,CHAR(61),""),CHAR(34),"")</f>
        <v>25-34</v>
      </c>
      <c r="R3653" s="0" t="str">
        <f aca="false">IF($D3653&lt;&gt;"","["&amp;$E3653&amp;"]"&amp;"|"&amp;$Q3653&amp;"|"&amp;$K3653&amp;"|"&amp;$G3653&amp;"|"&amp;IF($G3653="TX_CURR_SUBNAT.R","CY2022Q4",$M3653),"")</f>
        <v>[TYnMSwzko3z]|25-34|Male|Incidence_SUBNAT.Rt.T_1|CY2023Q3</v>
      </c>
    </row>
    <row r="3654" customFormat="false" ht="15" hidden="false" customHeight="false" outlineLevel="0" collapsed="false">
      <c r="D3654" s="0" t="s">
        <v>78</v>
      </c>
      <c r="E3654" s="0" t="s">
        <v>79</v>
      </c>
      <c r="F3654" s="0" t="s">
        <v>80</v>
      </c>
      <c r="G3654" s="0" t="s">
        <v>152</v>
      </c>
      <c r="H3654" s="0" t="s">
        <v>152</v>
      </c>
      <c r="I3654" s="0" t="s">
        <v>43</v>
      </c>
      <c r="J3654" s="0" t="s">
        <v>44</v>
      </c>
      <c r="K3654" s="0" t="s">
        <v>48</v>
      </c>
      <c r="L3654" s="0" t="s">
        <v>49</v>
      </c>
      <c r="M3654" s="0" t="s">
        <v>140</v>
      </c>
      <c r="N3654" s="0" t="n">
        <v>1182</v>
      </c>
      <c r="O3654" s="10" t="n">
        <v>0.268066031858325</v>
      </c>
      <c r="P3654" s="10" t="n">
        <v>0.831597982207313</v>
      </c>
      <c r="Q3654" s="0" t="str">
        <f aca="false">SUBSTITUTE(SUBSTITUTE($I3654,CHAR(61),""),CHAR(34),"")</f>
        <v>35-49</v>
      </c>
      <c r="R3654" s="0" t="str">
        <f aca="false">IF($D3654&lt;&gt;"","["&amp;$E3654&amp;"]"&amp;"|"&amp;$Q3654&amp;"|"&amp;$K3654&amp;"|"&amp;$G3654&amp;"|"&amp;IF($G3654="TX_CURR_SUBNAT.R","CY2022Q4",$M3654),"")</f>
        <v>[TYnMSwzko3z]|35-49|Male|Incidence_SUBNAT.Rt.T_1|CY2023Q3</v>
      </c>
    </row>
    <row r="3655" customFormat="false" ht="15" hidden="false" customHeight="false" outlineLevel="0" collapsed="false">
      <c r="D3655" s="0" t="s">
        <v>78</v>
      </c>
      <c r="E3655" s="0" t="s">
        <v>79</v>
      </c>
      <c r="F3655" s="0" t="s">
        <v>80</v>
      </c>
      <c r="G3655" s="0" t="s">
        <v>152</v>
      </c>
      <c r="H3655" s="0" t="s">
        <v>152</v>
      </c>
      <c r="I3655" s="0" t="s">
        <v>45</v>
      </c>
      <c r="J3655" s="0" t="s">
        <v>46</v>
      </c>
      <c r="K3655" s="0" t="s">
        <v>48</v>
      </c>
      <c r="L3655" s="0" t="s">
        <v>49</v>
      </c>
      <c r="M3655" s="0" t="s">
        <v>140</v>
      </c>
      <c r="N3655" s="0" t="n">
        <v>1837</v>
      </c>
      <c r="O3655" s="10" t="n">
        <v>0.0423498586751521</v>
      </c>
      <c r="P3655" s="10" t="n">
        <v>0.831597982207313</v>
      </c>
      <c r="Q3655" s="0" t="str">
        <f aca="false">SUBSTITUTE(SUBSTITUTE($I3655,CHAR(61),""),CHAR(34),"")</f>
        <v>50+</v>
      </c>
      <c r="R3655" s="0" t="str">
        <f aca="false">IF($D3655&lt;&gt;"","["&amp;$E3655&amp;"]"&amp;"|"&amp;$Q3655&amp;"|"&amp;$K3655&amp;"|"&amp;$G3655&amp;"|"&amp;IF($G3655="TX_CURR_SUBNAT.R","CY2022Q4",$M3655),"")</f>
        <v>[TYnMSwzko3z]|50+|Male|Incidence_SUBNAT.Rt.T_1|CY2023Q3</v>
      </c>
    </row>
    <row r="3656" customFormat="false" ht="15" hidden="false" customHeight="false" outlineLevel="0" collapsed="false">
      <c r="D3656" s="0" t="s">
        <v>81</v>
      </c>
      <c r="E3656" s="0" t="s">
        <v>82</v>
      </c>
      <c r="F3656" s="0" t="s">
        <v>83</v>
      </c>
      <c r="G3656" s="0" t="s">
        <v>152</v>
      </c>
      <c r="H3656" s="0" t="s">
        <v>152</v>
      </c>
      <c r="I3656" s="0" t="s">
        <v>28</v>
      </c>
      <c r="J3656" s="0" t="s">
        <v>29</v>
      </c>
      <c r="K3656" s="0" t="s">
        <v>30</v>
      </c>
      <c r="L3656" s="0" t="s">
        <v>31</v>
      </c>
      <c r="M3656" s="0" t="s">
        <v>140</v>
      </c>
      <c r="N3656" s="0" t="n">
        <v>895</v>
      </c>
      <c r="O3656" s="10" t="n">
        <v>0.796104819513857</v>
      </c>
      <c r="P3656" s="10" t="n">
        <v>0.143331421539187</v>
      </c>
      <c r="Q3656" s="0" t="str">
        <f aca="false">SUBSTITUTE(SUBSTITUTE($I3656,CHAR(61),""),CHAR(34),"")</f>
        <v>&lt;01</v>
      </c>
      <c r="R3656" s="0" t="str">
        <f aca="false">IF($D3656&lt;&gt;"","["&amp;$E3656&amp;"]"&amp;"|"&amp;$Q3656&amp;"|"&amp;$K3656&amp;"|"&amp;$G3656&amp;"|"&amp;IF($G3656="TX_CURR_SUBNAT.R","CY2022Q4",$M3656),"")</f>
        <v>[ir8wuHHzoSs]|&lt;01|Female|Incidence_SUBNAT.Rt.T_1|CY2023Q3</v>
      </c>
    </row>
    <row r="3657" customFormat="false" ht="15" hidden="false" customHeight="false" outlineLevel="0" collapsed="false">
      <c r="D3657" s="0" t="s">
        <v>81</v>
      </c>
      <c r="E3657" s="0" t="s">
        <v>82</v>
      </c>
      <c r="F3657" s="0" t="s">
        <v>83</v>
      </c>
      <c r="G3657" s="0" t="s">
        <v>152</v>
      </c>
      <c r="H3657" s="0" t="s">
        <v>152</v>
      </c>
      <c r="I3657" s="0" t="s">
        <v>33</v>
      </c>
      <c r="J3657" s="0" t="s">
        <v>34</v>
      </c>
      <c r="K3657" s="0" t="s">
        <v>30</v>
      </c>
      <c r="L3657" s="0" t="s">
        <v>31</v>
      </c>
      <c r="M3657" s="0" t="s">
        <v>140</v>
      </c>
      <c r="N3657" s="0" t="n">
        <v>1756</v>
      </c>
      <c r="O3657" s="10" t="n">
        <v>0.30359477805905</v>
      </c>
      <c r="P3657" s="10" t="n">
        <v>0.143331421539187</v>
      </c>
      <c r="Q3657" s="0" t="str">
        <f aca="false">SUBSTITUTE(SUBSTITUTE($I3657,CHAR(61),""),CHAR(34),"")</f>
        <v>01-09</v>
      </c>
      <c r="R3657" s="0" t="str">
        <f aca="false">IF($D3657&lt;&gt;"","["&amp;$E3657&amp;"]"&amp;"|"&amp;$Q3657&amp;"|"&amp;$K3657&amp;"|"&amp;$G3657&amp;"|"&amp;IF($G3657="TX_CURR_SUBNAT.R","CY2022Q4",$M3657),"")</f>
        <v>[ir8wuHHzoSs]|01-09|Female|Incidence_SUBNAT.Rt.T_1|CY2023Q3</v>
      </c>
    </row>
    <row r="3658" customFormat="false" ht="15" hidden="false" customHeight="false" outlineLevel="0" collapsed="false">
      <c r="D3658" s="0" t="s">
        <v>81</v>
      </c>
      <c r="E3658" s="0" t="s">
        <v>82</v>
      </c>
      <c r="F3658" s="0" t="s">
        <v>83</v>
      </c>
      <c r="G3658" s="0" t="s">
        <v>152</v>
      </c>
      <c r="H3658" s="0" t="s">
        <v>152</v>
      </c>
      <c r="I3658" s="0" t="s">
        <v>36</v>
      </c>
      <c r="J3658" s="0" t="s">
        <v>37</v>
      </c>
      <c r="K3658" s="0" t="s">
        <v>30</v>
      </c>
      <c r="L3658" s="0" t="s">
        <v>31</v>
      </c>
      <c r="M3658" s="0" t="s">
        <v>140</v>
      </c>
      <c r="N3658" s="0" t="n">
        <v>1369</v>
      </c>
      <c r="O3658" s="10" t="n">
        <v>0.162540283985436</v>
      </c>
      <c r="P3658" s="10" t="n">
        <v>0.143331421539187</v>
      </c>
      <c r="Q3658" s="0" t="str">
        <f aca="false">SUBSTITUTE(SUBSTITUTE($I3658,CHAR(61),""),CHAR(34),"")</f>
        <v>10-14</v>
      </c>
      <c r="R3658" s="0" t="str">
        <f aca="false">IF($D3658&lt;&gt;"","["&amp;$E3658&amp;"]"&amp;"|"&amp;$Q3658&amp;"|"&amp;$K3658&amp;"|"&amp;$G3658&amp;"|"&amp;IF($G3658="TX_CURR_SUBNAT.R","CY2022Q4",$M3658),"")</f>
        <v>[ir8wuHHzoSs]|10-14|Female|Incidence_SUBNAT.Rt.T_1|CY2023Q3</v>
      </c>
    </row>
    <row r="3659" customFormat="false" ht="15" hidden="false" customHeight="false" outlineLevel="0" collapsed="false">
      <c r="D3659" s="0" t="s">
        <v>81</v>
      </c>
      <c r="E3659" s="0" t="s">
        <v>82</v>
      </c>
      <c r="F3659" s="0" t="s">
        <v>83</v>
      </c>
      <c r="G3659" s="0" t="s">
        <v>152</v>
      </c>
      <c r="H3659" s="0" t="s">
        <v>152</v>
      </c>
      <c r="I3659" s="0" t="s">
        <v>38</v>
      </c>
      <c r="J3659" s="0" t="s">
        <v>39</v>
      </c>
      <c r="K3659" s="0" t="s">
        <v>30</v>
      </c>
      <c r="L3659" s="0" t="s">
        <v>31</v>
      </c>
      <c r="M3659" s="0" t="s">
        <v>140</v>
      </c>
      <c r="N3659" s="0" t="n">
        <v>1192</v>
      </c>
      <c r="O3659" s="10" t="n">
        <v>0.539503379492089</v>
      </c>
      <c r="P3659" s="10" t="n">
        <v>0.143331421539187</v>
      </c>
      <c r="Q3659" s="0" t="str">
        <f aca="false">SUBSTITUTE(SUBSTITUTE($I3659,CHAR(61),""),CHAR(34),"")</f>
        <v>15-24</v>
      </c>
      <c r="R3659" s="0" t="str">
        <f aca="false">IF($D3659&lt;&gt;"","["&amp;$E3659&amp;"]"&amp;"|"&amp;$Q3659&amp;"|"&amp;$K3659&amp;"|"&amp;$G3659&amp;"|"&amp;IF($G3659="TX_CURR_SUBNAT.R","CY2022Q4",$M3659),"")</f>
        <v>[ir8wuHHzoSs]|15-24|Female|Incidence_SUBNAT.Rt.T_1|CY2023Q3</v>
      </c>
    </row>
    <row r="3660" customFormat="false" ht="15" hidden="false" customHeight="false" outlineLevel="0" collapsed="false">
      <c r="D3660" s="0" t="s">
        <v>81</v>
      </c>
      <c r="E3660" s="0" t="s">
        <v>82</v>
      </c>
      <c r="F3660" s="0" t="s">
        <v>83</v>
      </c>
      <c r="G3660" s="0" t="s">
        <v>152</v>
      </c>
      <c r="H3660" s="0" t="s">
        <v>152</v>
      </c>
      <c r="I3660" s="0" t="s">
        <v>41</v>
      </c>
      <c r="J3660" s="0" t="s">
        <v>42</v>
      </c>
      <c r="K3660" s="0" t="s">
        <v>30</v>
      </c>
      <c r="L3660" s="0" t="s">
        <v>31</v>
      </c>
      <c r="M3660" s="0" t="s">
        <v>140</v>
      </c>
      <c r="N3660" s="0" t="n">
        <v>1531</v>
      </c>
      <c r="O3660" s="10" t="n">
        <v>0.584351582685485</v>
      </c>
      <c r="P3660" s="10" t="n">
        <v>0.143331421539187</v>
      </c>
      <c r="Q3660" s="0" t="str">
        <f aca="false">SUBSTITUTE(SUBSTITUTE($I3660,CHAR(61),""),CHAR(34),"")</f>
        <v>25-34</v>
      </c>
      <c r="R3660" s="0" t="str">
        <f aca="false">IF($D3660&lt;&gt;"","["&amp;$E3660&amp;"]"&amp;"|"&amp;$Q3660&amp;"|"&amp;$K3660&amp;"|"&amp;$G3660&amp;"|"&amp;IF($G3660="TX_CURR_SUBNAT.R","CY2022Q4",$M3660),"")</f>
        <v>[ir8wuHHzoSs]|25-34|Female|Incidence_SUBNAT.Rt.T_1|CY2023Q3</v>
      </c>
    </row>
    <row r="3661" customFormat="false" ht="15" hidden="false" customHeight="false" outlineLevel="0" collapsed="false">
      <c r="D3661" s="0" t="s">
        <v>81</v>
      </c>
      <c r="E3661" s="0" t="s">
        <v>82</v>
      </c>
      <c r="F3661" s="0" t="s">
        <v>83</v>
      </c>
      <c r="G3661" s="0" t="s">
        <v>152</v>
      </c>
      <c r="H3661" s="0" t="s">
        <v>152</v>
      </c>
      <c r="I3661" s="0" t="s">
        <v>43</v>
      </c>
      <c r="J3661" s="0" t="s">
        <v>44</v>
      </c>
      <c r="K3661" s="0" t="s">
        <v>30</v>
      </c>
      <c r="L3661" s="0" t="s">
        <v>31</v>
      </c>
      <c r="M3661" s="0" t="s">
        <v>140</v>
      </c>
      <c r="N3661" s="0" t="n">
        <v>1933</v>
      </c>
      <c r="O3661" s="10" t="n">
        <v>0.517978853778914</v>
      </c>
      <c r="P3661" s="10" t="n">
        <v>0.143331421539187</v>
      </c>
      <c r="Q3661" s="0" t="str">
        <f aca="false">SUBSTITUTE(SUBSTITUTE($I3661,CHAR(61),""),CHAR(34),"")</f>
        <v>35-49</v>
      </c>
      <c r="R3661" s="0" t="str">
        <f aca="false">IF($D3661&lt;&gt;"","["&amp;$E3661&amp;"]"&amp;"|"&amp;$Q3661&amp;"|"&amp;$K3661&amp;"|"&amp;$G3661&amp;"|"&amp;IF($G3661="TX_CURR_SUBNAT.R","CY2022Q4",$M3661),"")</f>
        <v>[ir8wuHHzoSs]|35-49|Female|Incidence_SUBNAT.Rt.T_1|CY2023Q3</v>
      </c>
    </row>
    <row r="3662" customFormat="false" ht="15" hidden="false" customHeight="false" outlineLevel="0" collapsed="false">
      <c r="D3662" s="0" t="s">
        <v>81</v>
      </c>
      <c r="E3662" s="0" t="s">
        <v>82</v>
      </c>
      <c r="F3662" s="0" t="s">
        <v>83</v>
      </c>
      <c r="G3662" s="0" t="s">
        <v>152</v>
      </c>
      <c r="H3662" s="0" t="s">
        <v>152</v>
      </c>
      <c r="I3662" s="0" t="s">
        <v>45</v>
      </c>
      <c r="J3662" s="0" t="s">
        <v>46</v>
      </c>
      <c r="K3662" s="0" t="s">
        <v>30</v>
      </c>
      <c r="L3662" s="0" t="s">
        <v>31</v>
      </c>
      <c r="M3662" s="0" t="s">
        <v>140</v>
      </c>
      <c r="N3662" s="0" t="n">
        <v>827</v>
      </c>
      <c r="O3662" s="10" t="n">
        <v>0.526442821603268</v>
      </c>
      <c r="P3662" s="10" t="n">
        <v>0.143331421539187</v>
      </c>
      <c r="Q3662" s="0" t="str">
        <f aca="false">SUBSTITUTE(SUBSTITUTE($I3662,CHAR(61),""),CHAR(34),"")</f>
        <v>50+</v>
      </c>
      <c r="R3662" s="0" t="str">
        <f aca="false">IF($D3662&lt;&gt;"","["&amp;$E3662&amp;"]"&amp;"|"&amp;$Q3662&amp;"|"&amp;$K3662&amp;"|"&amp;$G3662&amp;"|"&amp;IF($G3662="TX_CURR_SUBNAT.R","CY2022Q4",$M3662),"")</f>
        <v>[ir8wuHHzoSs]|50+|Female|Incidence_SUBNAT.Rt.T_1|CY2023Q3</v>
      </c>
    </row>
    <row r="3663" customFormat="false" ht="15" hidden="false" customHeight="false" outlineLevel="0" collapsed="false">
      <c r="D3663" s="0" t="s">
        <v>81</v>
      </c>
      <c r="E3663" s="0" t="s">
        <v>82</v>
      </c>
      <c r="F3663" s="0" t="s">
        <v>83</v>
      </c>
      <c r="G3663" s="0" t="s">
        <v>152</v>
      </c>
      <c r="H3663" s="0" t="s">
        <v>152</v>
      </c>
      <c r="I3663" s="0" t="s">
        <v>28</v>
      </c>
      <c r="J3663" s="0" t="s">
        <v>29</v>
      </c>
      <c r="K3663" s="0" t="s">
        <v>48</v>
      </c>
      <c r="L3663" s="0" t="s">
        <v>49</v>
      </c>
      <c r="M3663" s="0" t="s">
        <v>140</v>
      </c>
      <c r="N3663" s="0" t="n">
        <v>811</v>
      </c>
      <c r="O3663" s="10" t="n">
        <v>0.489670229610056</v>
      </c>
      <c r="P3663" s="10" t="n">
        <v>0.143331421539187</v>
      </c>
      <c r="Q3663" s="0" t="str">
        <f aca="false">SUBSTITUTE(SUBSTITUTE($I3663,CHAR(61),""),CHAR(34),"")</f>
        <v>&lt;01</v>
      </c>
      <c r="R3663" s="0" t="str">
        <f aca="false">IF($D3663&lt;&gt;"","["&amp;$E3663&amp;"]"&amp;"|"&amp;$Q3663&amp;"|"&amp;$K3663&amp;"|"&amp;$G3663&amp;"|"&amp;IF($G3663="TX_CURR_SUBNAT.R","CY2022Q4",$M3663),"")</f>
        <v>[ir8wuHHzoSs]|&lt;01|Male|Incidence_SUBNAT.Rt.T_1|CY2023Q3</v>
      </c>
    </row>
    <row r="3664" customFormat="false" ht="15" hidden="false" customHeight="false" outlineLevel="0" collapsed="false">
      <c r="D3664" s="0" t="s">
        <v>81</v>
      </c>
      <c r="E3664" s="0" t="s">
        <v>82</v>
      </c>
      <c r="F3664" s="0" t="s">
        <v>83</v>
      </c>
      <c r="G3664" s="0" t="s">
        <v>152</v>
      </c>
      <c r="H3664" s="0" t="s">
        <v>152</v>
      </c>
      <c r="I3664" s="0" t="s">
        <v>33</v>
      </c>
      <c r="J3664" s="0" t="s">
        <v>34</v>
      </c>
      <c r="K3664" s="0" t="s">
        <v>48</v>
      </c>
      <c r="L3664" s="0" t="s">
        <v>49</v>
      </c>
      <c r="M3664" s="0" t="s">
        <v>140</v>
      </c>
      <c r="N3664" s="0" t="n">
        <v>1933</v>
      </c>
      <c r="O3664" s="10" t="n">
        <v>0.441007932182401</v>
      </c>
      <c r="P3664" s="10" t="n">
        <v>0.143331421539187</v>
      </c>
      <c r="Q3664" s="0" t="str">
        <f aca="false">SUBSTITUTE(SUBSTITUTE($I3664,CHAR(61),""),CHAR(34),"")</f>
        <v>01-09</v>
      </c>
      <c r="R3664" s="0" t="str">
        <f aca="false">IF($D3664&lt;&gt;"","["&amp;$E3664&amp;"]"&amp;"|"&amp;$Q3664&amp;"|"&amp;$K3664&amp;"|"&amp;$G3664&amp;"|"&amp;IF($G3664="TX_CURR_SUBNAT.R","CY2022Q4",$M3664),"")</f>
        <v>[ir8wuHHzoSs]|01-09|Male|Incidence_SUBNAT.Rt.T_1|CY2023Q3</v>
      </c>
    </row>
    <row r="3665" customFormat="false" ht="15" hidden="false" customHeight="false" outlineLevel="0" collapsed="false">
      <c r="D3665" s="0" t="s">
        <v>81</v>
      </c>
      <c r="E3665" s="0" t="s">
        <v>82</v>
      </c>
      <c r="F3665" s="0" t="s">
        <v>83</v>
      </c>
      <c r="G3665" s="0" t="s">
        <v>152</v>
      </c>
      <c r="H3665" s="0" t="s">
        <v>152</v>
      </c>
      <c r="I3665" s="0" t="s">
        <v>36</v>
      </c>
      <c r="J3665" s="0" t="s">
        <v>37</v>
      </c>
      <c r="K3665" s="0" t="s">
        <v>48</v>
      </c>
      <c r="L3665" s="0" t="s">
        <v>49</v>
      </c>
      <c r="M3665" s="0" t="s">
        <v>140</v>
      </c>
      <c r="N3665" s="0" t="n">
        <v>1724</v>
      </c>
      <c r="O3665" s="10" t="n">
        <v>0.715562233934179</v>
      </c>
      <c r="P3665" s="10" t="n">
        <v>0.143331421539187</v>
      </c>
      <c r="Q3665" s="0" t="str">
        <f aca="false">SUBSTITUTE(SUBSTITUTE($I3665,CHAR(61),""),CHAR(34),"")</f>
        <v>10-14</v>
      </c>
      <c r="R3665" s="0" t="str">
        <f aca="false">IF($D3665&lt;&gt;"","["&amp;$E3665&amp;"]"&amp;"|"&amp;$Q3665&amp;"|"&amp;$K3665&amp;"|"&amp;$G3665&amp;"|"&amp;IF($G3665="TX_CURR_SUBNAT.R","CY2022Q4",$M3665),"")</f>
        <v>[ir8wuHHzoSs]|10-14|Male|Incidence_SUBNAT.Rt.T_1|CY2023Q3</v>
      </c>
    </row>
    <row r="3666" customFormat="false" ht="15" hidden="false" customHeight="false" outlineLevel="0" collapsed="false">
      <c r="D3666" s="0" t="s">
        <v>81</v>
      </c>
      <c r="E3666" s="0" t="s">
        <v>82</v>
      </c>
      <c r="F3666" s="0" t="s">
        <v>83</v>
      </c>
      <c r="G3666" s="0" t="s">
        <v>152</v>
      </c>
      <c r="H3666" s="0" t="s">
        <v>152</v>
      </c>
      <c r="I3666" s="0" t="s">
        <v>38</v>
      </c>
      <c r="J3666" s="0" t="s">
        <v>39</v>
      </c>
      <c r="K3666" s="0" t="s">
        <v>48</v>
      </c>
      <c r="L3666" s="0" t="s">
        <v>49</v>
      </c>
      <c r="M3666" s="0" t="s">
        <v>140</v>
      </c>
      <c r="N3666" s="0" t="n">
        <v>1030</v>
      </c>
      <c r="O3666" s="10" t="n">
        <v>0.0488316901028156</v>
      </c>
      <c r="P3666" s="10" t="n">
        <v>0.143331421539187</v>
      </c>
      <c r="Q3666" s="0" t="str">
        <f aca="false">SUBSTITUTE(SUBSTITUTE($I3666,CHAR(61),""),CHAR(34),"")</f>
        <v>15-24</v>
      </c>
      <c r="R3666" s="0" t="str">
        <f aca="false">IF($D3666&lt;&gt;"","["&amp;$E3666&amp;"]"&amp;"|"&amp;$Q3666&amp;"|"&amp;$K3666&amp;"|"&amp;$G3666&amp;"|"&amp;IF($G3666="TX_CURR_SUBNAT.R","CY2022Q4",$M3666),"")</f>
        <v>[ir8wuHHzoSs]|15-24|Male|Incidence_SUBNAT.Rt.T_1|CY2023Q3</v>
      </c>
    </row>
    <row r="3667" customFormat="false" ht="15" hidden="false" customHeight="false" outlineLevel="0" collapsed="false">
      <c r="D3667" s="0" t="s">
        <v>81</v>
      </c>
      <c r="E3667" s="0" t="s">
        <v>82</v>
      </c>
      <c r="F3667" s="0" t="s">
        <v>83</v>
      </c>
      <c r="G3667" s="0" t="s">
        <v>152</v>
      </c>
      <c r="H3667" s="0" t="s">
        <v>152</v>
      </c>
      <c r="I3667" s="0" t="s">
        <v>41</v>
      </c>
      <c r="J3667" s="0" t="s">
        <v>42</v>
      </c>
      <c r="K3667" s="0" t="s">
        <v>48</v>
      </c>
      <c r="L3667" s="0" t="s">
        <v>49</v>
      </c>
      <c r="M3667" s="0" t="s">
        <v>140</v>
      </c>
      <c r="N3667" s="0" t="n">
        <v>569</v>
      </c>
      <c r="O3667" s="10" t="n">
        <v>0.224561883369461</v>
      </c>
      <c r="P3667" s="10" t="n">
        <v>0.143331421539187</v>
      </c>
      <c r="Q3667" s="0" t="str">
        <f aca="false">SUBSTITUTE(SUBSTITUTE($I3667,CHAR(61),""),CHAR(34),"")</f>
        <v>25-34</v>
      </c>
      <c r="R3667" s="0" t="str">
        <f aca="false">IF($D3667&lt;&gt;"","["&amp;$E3667&amp;"]"&amp;"|"&amp;$Q3667&amp;"|"&amp;$K3667&amp;"|"&amp;$G3667&amp;"|"&amp;IF($G3667="TX_CURR_SUBNAT.R","CY2022Q4",$M3667),"")</f>
        <v>[ir8wuHHzoSs]|25-34|Male|Incidence_SUBNAT.Rt.T_1|CY2023Q3</v>
      </c>
    </row>
    <row r="3668" customFormat="false" ht="15" hidden="false" customHeight="false" outlineLevel="0" collapsed="false">
      <c r="D3668" s="0" t="s">
        <v>81</v>
      </c>
      <c r="E3668" s="0" t="s">
        <v>82</v>
      </c>
      <c r="F3668" s="0" t="s">
        <v>83</v>
      </c>
      <c r="G3668" s="0" t="s">
        <v>152</v>
      </c>
      <c r="H3668" s="0" t="s">
        <v>152</v>
      </c>
      <c r="I3668" s="0" t="s">
        <v>43</v>
      </c>
      <c r="J3668" s="0" t="s">
        <v>44</v>
      </c>
      <c r="K3668" s="0" t="s">
        <v>48</v>
      </c>
      <c r="L3668" s="0" t="s">
        <v>49</v>
      </c>
      <c r="M3668" s="0" t="s">
        <v>140</v>
      </c>
      <c r="N3668" s="0" t="n">
        <v>1637</v>
      </c>
      <c r="O3668" s="10" t="n">
        <v>0.342025400372222</v>
      </c>
      <c r="P3668" s="10" t="n">
        <v>0.143331421539187</v>
      </c>
      <c r="Q3668" s="0" t="str">
        <f aca="false">SUBSTITUTE(SUBSTITUTE($I3668,CHAR(61),""),CHAR(34),"")</f>
        <v>35-49</v>
      </c>
      <c r="R3668" s="0" t="str">
        <f aca="false">IF($D3668&lt;&gt;"","["&amp;$E3668&amp;"]"&amp;"|"&amp;$Q3668&amp;"|"&amp;$K3668&amp;"|"&amp;$G3668&amp;"|"&amp;IF($G3668="TX_CURR_SUBNAT.R","CY2022Q4",$M3668),"")</f>
        <v>[ir8wuHHzoSs]|35-49|Male|Incidence_SUBNAT.Rt.T_1|CY2023Q3</v>
      </c>
    </row>
    <row r="3669" customFormat="false" ht="15" hidden="false" customHeight="false" outlineLevel="0" collapsed="false">
      <c r="D3669" s="0" t="s">
        <v>81</v>
      </c>
      <c r="E3669" s="0" t="s">
        <v>82</v>
      </c>
      <c r="F3669" s="0" t="s">
        <v>83</v>
      </c>
      <c r="G3669" s="0" t="s">
        <v>152</v>
      </c>
      <c r="H3669" s="0" t="s">
        <v>152</v>
      </c>
      <c r="I3669" s="0" t="s">
        <v>45</v>
      </c>
      <c r="J3669" s="0" t="s">
        <v>46</v>
      </c>
      <c r="K3669" s="0" t="s">
        <v>48</v>
      </c>
      <c r="L3669" s="0" t="s">
        <v>49</v>
      </c>
      <c r="M3669" s="0" t="s">
        <v>140</v>
      </c>
      <c r="N3669" s="0" t="n">
        <v>817</v>
      </c>
      <c r="O3669" s="10" t="n">
        <v>0.0633508055470884</v>
      </c>
      <c r="P3669" s="10" t="n">
        <v>0.143331421539187</v>
      </c>
      <c r="Q3669" s="0" t="str">
        <f aca="false">SUBSTITUTE(SUBSTITUTE($I3669,CHAR(61),""),CHAR(34),"")</f>
        <v>50+</v>
      </c>
      <c r="R3669" s="0" t="str">
        <f aca="false">IF($D3669&lt;&gt;"","["&amp;$E3669&amp;"]"&amp;"|"&amp;$Q3669&amp;"|"&amp;$K3669&amp;"|"&amp;$G3669&amp;"|"&amp;IF($G3669="TX_CURR_SUBNAT.R","CY2022Q4",$M3669),"")</f>
        <v>[ir8wuHHzoSs]|50+|Male|Incidence_SUBNAT.Rt.T_1|CY2023Q3</v>
      </c>
    </row>
    <row r="3670" customFormat="false" ht="15" hidden="false" customHeight="false" outlineLevel="0" collapsed="false">
      <c r="D3670" s="0" t="s">
        <v>84</v>
      </c>
      <c r="E3670" s="0" t="s">
        <v>85</v>
      </c>
      <c r="F3670" s="0" t="s">
        <v>86</v>
      </c>
      <c r="G3670" s="0" t="s">
        <v>152</v>
      </c>
      <c r="H3670" s="0" t="s">
        <v>152</v>
      </c>
      <c r="I3670" s="0" t="s">
        <v>28</v>
      </c>
      <c r="J3670" s="0" t="s">
        <v>29</v>
      </c>
      <c r="K3670" s="0" t="s">
        <v>30</v>
      </c>
      <c r="L3670" s="0" t="s">
        <v>31</v>
      </c>
      <c r="M3670" s="0" t="s">
        <v>140</v>
      </c>
      <c r="N3670" s="0" t="n">
        <v>947</v>
      </c>
      <c r="O3670" s="10" t="n">
        <v>0.0739140335936099</v>
      </c>
      <c r="P3670" s="10" t="n">
        <v>0.0297887143678963</v>
      </c>
      <c r="Q3670" s="0" t="str">
        <f aca="false">SUBSTITUTE(SUBSTITUTE($I3670,CHAR(61),""),CHAR(34),"")</f>
        <v>&lt;01</v>
      </c>
      <c r="R3670" s="0" t="str">
        <f aca="false">IF($D3670&lt;&gt;"","["&amp;$E3670&amp;"]"&amp;"|"&amp;$Q3670&amp;"|"&amp;$K3670&amp;"|"&amp;$G3670&amp;"|"&amp;IF($G3670="TX_CURR_SUBNAT.R","CY2022Q4",$M3670),"")</f>
        <v>[fyEoGEPERdI]|&lt;01|Female|Incidence_SUBNAT.Rt.T_1|CY2023Q3</v>
      </c>
    </row>
    <row r="3671" customFormat="false" ht="15" hidden="false" customHeight="false" outlineLevel="0" collapsed="false">
      <c r="D3671" s="0" t="s">
        <v>84</v>
      </c>
      <c r="E3671" s="0" t="s">
        <v>85</v>
      </c>
      <c r="F3671" s="0" t="s">
        <v>86</v>
      </c>
      <c r="G3671" s="0" t="s">
        <v>152</v>
      </c>
      <c r="H3671" s="0" t="s">
        <v>152</v>
      </c>
      <c r="I3671" s="0" t="s">
        <v>33</v>
      </c>
      <c r="J3671" s="0" t="s">
        <v>34</v>
      </c>
      <c r="K3671" s="0" t="s">
        <v>30</v>
      </c>
      <c r="L3671" s="0" t="s">
        <v>31</v>
      </c>
      <c r="M3671" s="0" t="s">
        <v>140</v>
      </c>
      <c r="N3671" s="0" t="n">
        <v>1299</v>
      </c>
      <c r="O3671" s="10" t="n">
        <v>0.782536177430302</v>
      </c>
      <c r="P3671" s="10" t="n">
        <v>0.0297887143678963</v>
      </c>
      <c r="Q3671" s="0" t="str">
        <f aca="false">SUBSTITUTE(SUBSTITUTE($I3671,CHAR(61),""),CHAR(34),"")</f>
        <v>01-09</v>
      </c>
      <c r="R3671" s="0" t="str">
        <f aca="false">IF($D3671&lt;&gt;"","["&amp;$E3671&amp;"]"&amp;"|"&amp;$Q3671&amp;"|"&amp;$K3671&amp;"|"&amp;$G3671&amp;"|"&amp;IF($G3671="TX_CURR_SUBNAT.R","CY2022Q4",$M3671),"")</f>
        <v>[fyEoGEPERdI]|01-09|Female|Incidence_SUBNAT.Rt.T_1|CY2023Q3</v>
      </c>
    </row>
    <row r="3672" customFormat="false" ht="15" hidden="false" customHeight="false" outlineLevel="0" collapsed="false">
      <c r="D3672" s="0" t="s">
        <v>84</v>
      </c>
      <c r="E3672" s="0" t="s">
        <v>85</v>
      </c>
      <c r="F3672" s="0" t="s">
        <v>86</v>
      </c>
      <c r="G3672" s="0" t="s">
        <v>152</v>
      </c>
      <c r="H3672" s="0" t="s">
        <v>152</v>
      </c>
      <c r="I3672" s="0" t="s">
        <v>36</v>
      </c>
      <c r="J3672" s="0" t="s">
        <v>37</v>
      </c>
      <c r="K3672" s="0" t="s">
        <v>30</v>
      </c>
      <c r="L3672" s="0" t="s">
        <v>31</v>
      </c>
      <c r="M3672" s="0" t="s">
        <v>140</v>
      </c>
      <c r="N3672" s="0" t="n">
        <v>1359</v>
      </c>
      <c r="O3672" s="10" t="n">
        <v>0.427061323774979</v>
      </c>
      <c r="P3672" s="10" t="n">
        <v>0.0297887143678963</v>
      </c>
      <c r="Q3672" s="0" t="str">
        <f aca="false">SUBSTITUTE(SUBSTITUTE($I3672,CHAR(61),""),CHAR(34),"")</f>
        <v>10-14</v>
      </c>
      <c r="R3672" s="0" t="str">
        <f aca="false">IF($D3672&lt;&gt;"","["&amp;$E3672&amp;"]"&amp;"|"&amp;$Q3672&amp;"|"&amp;$K3672&amp;"|"&amp;$G3672&amp;"|"&amp;IF($G3672="TX_CURR_SUBNAT.R","CY2022Q4",$M3672),"")</f>
        <v>[fyEoGEPERdI]|10-14|Female|Incidence_SUBNAT.Rt.T_1|CY2023Q3</v>
      </c>
    </row>
    <row r="3673" customFormat="false" ht="15" hidden="false" customHeight="false" outlineLevel="0" collapsed="false">
      <c r="D3673" s="0" t="s">
        <v>84</v>
      </c>
      <c r="E3673" s="0" t="s">
        <v>85</v>
      </c>
      <c r="F3673" s="0" t="s">
        <v>86</v>
      </c>
      <c r="G3673" s="0" t="s">
        <v>152</v>
      </c>
      <c r="H3673" s="0" t="s">
        <v>152</v>
      </c>
      <c r="I3673" s="0" t="s">
        <v>38</v>
      </c>
      <c r="J3673" s="0" t="s">
        <v>39</v>
      </c>
      <c r="K3673" s="0" t="s">
        <v>30</v>
      </c>
      <c r="L3673" s="0" t="s">
        <v>31</v>
      </c>
      <c r="M3673" s="0" t="s">
        <v>140</v>
      </c>
      <c r="N3673" s="0" t="n">
        <v>605</v>
      </c>
      <c r="O3673" s="10" t="n">
        <v>0.0400147426407784</v>
      </c>
      <c r="P3673" s="10" t="n">
        <v>0.0297887143678963</v>
      </c>
      <c r="Q3673" s="0" t="str">
        <f aca="false">SUBSTITUTE(SUBSTITUTE($I3673,CHAR(61),""),CHAR(34),"")</f>
        <v>15-24</v>
      </c>
      <c r="R3673" s="0" t="str">
        <f aca="false">IF($D3673&lt;&gt;"","["&amp;$E3673&amp;"]"&amp;"|"&amp;$Q3673&amp;"|"&amp;$K3673&amp;"|"&amp;$G3673&amp;"|"&amp;IF($G3673="TX_CURR_SUBNAT.R","CY2022Q4",$M3673),"")</f>
        <v>[fyEoGEPERdI]|15-24|Female|Incidence_SUBNAT.Rt.T_1|CY2023Q3</v>
      </c>
    </row>
    <row r="3674" customFormat="false" ht="15" hidden="false" customHeight="false" outlineLevel="0" collapsed="false">
      <c r="D3674" s="0" t="s">
        <v>84</v>
      </c>
      <c r="E3674" s="0" t="s">
        <v>85</v>
      </c>
      <c r="F3674" s="0" t="s">
        <v>86</v>
      </c>
      <c r="G3674" s="0" t="s">
        <v>152</v>
      </c>
      <c r="H3674" s="0" t="s">
        <v>152</v>
      </c>
      <c r="I3674" s="0" t="s">
        <v>41</v>
      </c>
      <c r="J3674" s="0" t="s">
        <v>42</v>
      </c>
      <c r="K3674" s="0" t="s">
        <v>30</v>
      </c>
      <c r="L3674" s="0" t="s">
        <v>31</v>
      </c>
      <c r="M3674" s="0" t="s">
        <v>140</v>
      </c>
      <c r="N3674" s="0" t="n">
        <v>1933</v>
      </c>
      <c r="O3674" s="10" t="n">
        <v>0.109011528547853</v>
      </c>
      <c r="P3674" s="10" t="n">
        <v>0.0297887143678963</v>
      </c>
      <c r="Q3674" s="0" t="str">
        <f aca="false">SUBSTITUTE(SUBSTITUTE($I3674,CHAR(61),""),CHAR(34),"")</f>
        <v>25-34</v>
      </c>
      <c r="R3674" s="0" t="str">
        <f aca="false">IF($D3674&lt;&gt;"","["&amp;$E3674&amp;"]"&amp;"|"&amp;$Q3674&amp;"|"&amp;$K3674&amp;"|"&amp;$G3674&amp;"|"&amp;IF($G3674="TX_CURR_SUBNAT.R","CY2022Q4",$M3674),"")</f>
        <v>[fyEoGEPERdI]|25-34|Female|Incidence_SUBNAT.Rt.T_1|CY2023Q3</v>
      </c>
    </row>
    <row r="3675" customFormat="false" ht="15" hidden="false" customHeight="false" outlineLevel="0" collapsed="false">
      <c r="D3675" s="0" t="s">
        <v>84</v>
      </c>
      <c r="E3675" s="0" t="s">
        <v>85</v>
      </c>
      <c r="F3675" s="0" t="s">
        <v>86</v>
      </c>
      <c r="G3675" s="0" t="s">
        <v>152</v>
      </c>
      <c r="H3675" s="0" t="s">
        <v>152</v>
      </c>
      <c r="I3675" s="0" t="s">
        <v>43</v>
      </c>
      <c r="J3675" s="0" t="s">
        <v>44</v>
      </c>
      <c r="K3675" s="0" t="s">
        <v>30</v>
      </c>
      <c r="L3675" s="0" t="s">
        <v>31</v>
      </c>
      <c r="M3675" s="0" t="s">
        <v>140</v>
      </c>
      <c r="N3675" s="0" t="n">
        <v>957</v>
      </c>
      <c r="O3675" s="10" t="n">
        <v>0.450271935202181</v>
      </c>
      <c r="P3675" s="10" t="n">
        <v>0.0297887143678963</v>
      </c>
      <c r="Q3675" s="0" t="str">
        <f aca="false">SUBSTITUTE(SUBSTITUTE($I3675,CHAR(61),""),CHAR(34),"")</f>
        <v>35-49</v>
      </c>
      <c r="R3675" s="0" t="str">
        <f aca="false">IF($D3675&lt;&gt;"","["&amp;$E3675&amp;"]"&amp;"|"&amp;$Q3675&amp;"|"&amp;$K3675&amp;"|"&amp;$G3675&amp;"|"&amp;IF($G3675="TX_CURR_SUBNAT.R","CY2022Q4",$M3675),"")</f>
        <v>[fyEoGEPERdI]|35-49|Female|Incidence_SUBNAT.Rt.T_1|CY2023Q3</v>
      </c>
    </row>
    <row r="3676" customFormat="false" ht="15" hidden="false" customHeight="false" outlineLevel="0" collapsed="false">
      <c r="D3676" s="0" t="s">
        <v>84</v>
      </c>
      <c r="E3676" s="0" t="s">
        <v>85</v>
      </c>
      <c r="F3676" s="0" t="s">
        <v>86</v>
      </c>
      <c r="G3676" s="0" t="s">
        <v>152</v>
      </c>
      <c r="H3676" s="0" t="s">
        <v>152</v>
      </c>
      <c r="I3676" s="0" t="s">
        <v>45</v>
      </c>
      <c r="J3676" s="0" t="s">
        <v>46</v>
      </c>
      <c r="K3676" s="0" t="s">
        <v>30</v>
      </c>
      <c r="L3676" s="0" t="s">
        <v>31</v>
      </c>
      <c r="M3676" s="0" t="s">
        <v>140</v>
      </c>
      <c r="N3676" s="0" t="n">
        <v>1843</v>
      </c>
      <c r="O3676" s="10" t="n">
        <v>0.108970561530441</v>
      </c>
      <c r="P3676" s="10" t="n">
        <v>0.0297887143678963</v>
      </c>
      <c r="Q3676" s="0" t="str">
        <f aca="false">SUBSTITUTE(SUBSTITUTE($I3676,CHAR(61),""),CHAR(34),"")</f>
        <v>50+</v>
      </c>
      <c r="R3676" s="0" t="str">
        <f aca="false">IF($D3676&lt;&gt;"","["&amp;$E3676&amp;"]"&amp;"|"&amp;$Q3676&amp;"|"&amp;$K3676&amp;"|"&amp;$G3676&amp;"|"&amp;IF($G3676="TX_CURR_SUBNAT.R","CY2022Q4",$M3676),"")</f>
        <v>[fyEoGEPERdI]|50+|Female|Incidence_SUBNAT.Rt.T_1|CY2023Q3</v>
      </c>
    </row>
    <row r="3677" customFormat="false" ht="15" hidden="false" customHeight="false" outlineLevel="0" collapsed="false">
      <c r="D3677" s="0" t="s">
        <v>84</v>
      </c>
      <c r="E3677" s="0" t="s">
        <v>85</v>
      </c>
      <c r="F3677" s="0" t="s">
        <v>86</v>
      </c>
      <c r="G3677" s="0" t="s">
        <v>152</v>
      </c>
      <c r="H3677" s="0" t="s">
        <v>152</v>
      </c>
      <c r="I3677" s="0" t="s">
        <v>28</v>
      </c>
      <c r="J3677" s="0" t="s">
        <v>29</v>
      </c>
      <c r="K3677" s="0" t="s">
        <v>48</v>
      </c>
      <c r="L3677" s="0" t="s">
        <v>49</v>
      </c>
      <c r="M3677" s="0" t="s">
        <v>140</v>
      </c>
      <c r="N3677" s="0" t="n">
        <v>1038</v>
      </c>
      <c r="O3677" s="10" t="n">
        <v>0.0858418210409582</v>
      </c>
      <c r="P3677" s="10" t="n">
        <v>0.0297887143678963</v>
      </c>
      <c r="Q3677" s="0" t="str">
        <f aca="false">SUBSTITUTE(SUBSTITUTE($I3677,CHAR(61),""),CHAR(34),"")</f>
        <v>&lt;01</v>
      </c>
      <c r="R3677" s="0" t="str">
        <f aca="false">IF($D3677&lt;&gt;"","["&amp;$E3677&amp;"]"&amp;"|"&amp;$Q3677&amp;"|"&amp;$K3677&amp;"|"&amp;$G3677&amp;"|"&amp;IF($G3677="TX_CURR_SUBNAT.R","CY2022Q4",$M3677),"")</f>
        <v>[fyEoGEPERdI]|&lt;01|Male|Incidence_SUBNAT.Rt.T_1|CY2023Q3</v>
      </c>
    </row>
    <row r="3678" customFormat="false" ht="15" hidden="false" customHeight="false" outlineLevel="0" collapsed="false">
      <c r="D3678" s="0" t="s">
        <v>84</v>
      </c>
      <c r="E3678" s="0" t="s">
        <v>85</v>
      </c>
      <c r="F3678" s="0" t="s">
        <v>86</v>
      </c>
      <c r="G3678" s="0" t="s">
        <v>152</v>
      </c>
      <c r="H3678" s="0" t="s">
        <v>152</v>
      </c>
      <c r="I3678" s="0" t="s">
        <v>33</v>
      </c>
      <c r="J3678" s="0" t="s">
        <v>34</v>
      </c>
      <c r="K3678" s="0" t="s">
        <v>48</v>
      </c>
      <c r="L3678" s="0" t="s">
        <v>49</v>
      </c>
      <c r="M3678" s="0" t="s">
        <v>140</v>
      </c>
      <c r="N3678" s="0" t="n">
        <v>1582</v>
      </c>
      <c r="O3678" s="10" t="n">
        <v>0.84289010730572</v>
      </c>
      <c r="P3678" s="10" t="n">
        <v>0.0297887143678963</v>
      </c>
      <c r="Q3678" s="0" t="str">
        <f aca="false">SUBSTITUTE(SUBSTITUTE($I3678,CHAR(61),""),CHAR(34),"")</f>
        <v>01-09</v>
      </c>
      <c r="R3678" s="0" t="str">
        <f aca="false">IF($D3678&lt;&gt;"","["&amp;$E3678&amp;"]"&amp;"|"&amp;$Q3678&amp;"|"&amp;$K3678&amp;"|"&amp;$G3678&amp;"|"&amp;IF($G3678="TX_CURR_SUBNAT.R","CY2022Q4",$M3678),"")</f>
        <v>[fyEoGEPERdI]|01-09|Male|Incidence_SUBNAT.Rt.T_1|CY2023Q3</v>
      </c>
    </row>
    <row r="3679" customFormat="false" ht="15" hidden="false" customHeight="false" outlineLevel="0" collapsed="false">
      <c r="D3679" s="0" t="s">
        <v>84</v>
      </c>
      <c r="E3679" s="0" t="s">
        <v>85</v>
      </c>
      <c r="F3679" s="0" t="s">
        <v>86</v>
      </c>
      <c r="G3679" s="0" t="s">
        <v>152</v>
      </c>
      <c r="H3679" s="0" t="s">
        <v>152</v>
      </c>
      <c r="I3679" s="0" t="s">
        <v>36</v>
      </c>
      <c r="J3679" s="0" t="s">
        <v>37</v>
      </c>
      <c r="K3679" s="0" t="s">
        <v>48</v>
      </c>
      <c r="L3679" s="0" t="s">
        <v>49</v>
      </c>
      <c r="M3679" s="0" t="s">
        <v>140</v>
      </c>
      <c r="N3679" s="0" t="n">
        <v>1433</v>
      </c>
      <c r="O3679" s="10" t="n">
        <v>0.373820416163653</v>
      </c>
      <c r="P3679" s="10" t="n">
        <v>0.0297887143678963</v>
      </c>
      <c r="Q3679" s="0" t="str">
        <f aca="false">SUBSTITUTE(SUBSTITUTE($I3679,CHAR(61),""),CHAR(34),"")</f>
        <v>10-14</v>
      </c>
      <c r="R3679" s="0" t="str">
        <f aca="false">IF($D3679&lt;&gt;"","["&amp;$E3679&amp;"]"&amp;"|"&amp;$Q3679&amp;"|"&amp;$K3679&amp;"|"&amp;$G3679&amp;"|"&amp;IF($G3679="TX_CURR_SUBNAT.R","CY2022Q4",$M3679),"")</f>
        <v>[fyEoGEPERdI]|10-14|Male|Incidence_SUBNAT.Rt.T_1|CY2023Q3</v>
      </c>
    </row>
    <row r="3680" customFormat="false" ht="15" hidden="false" customHeight="false" outlineLevel="0" collapsed="false">
      <c r="D3680" s="0" t="s">
        <v>84</v>
      </c>
      <c r="E3680" s="0" t="s">
        <v>85</v>
      </c>
      <c r="F3680" s="0" t="s">
        <v>86</v>
      </c>
      <c r="G3680" s="0" t="s">
        <v>152</v>
      </c>
      <c r="H3680" s="0" t="s">
        <v>152</v>
      </c>
      <c r="I3680" s="0" t="s">
        <v>38</v>
      </c>
      <c r="J3680" s="0" t="s">
        <v>39</v>
      </c>
      <c r="K3680" s="0" t="s">
        <v>48</v>
      </c>
      <c r="L3680" s="0" t="s">
        <v>49</v>
      </c>
      <c r="M3680" s="0" t="s">
        <v>140</v>
      </c>
      <c r="N3680" s="0" t="n">
        <v>1119</v>
      </c>
      <c r="O3680" s="10" t="n">
        <v>0.403612477239221</v>
      </c>
      <c r="P3680" s="10" t="n">
        <v>0.0297887143678963</v>
      </c>
      <c r="Q3680" s="0" t="str">
        <f aca="false">SUBSTITUTE(SUBSTITUTE($I3680,CHAR(61),""),CHAR(34),"")</f>
        <v>15-24</v>
      </c>
      <c r="R3680" s="0" t="str">
        <f aca="false">IF($D3680&lt;&gt;"","["&amp;$E3680&amp;"]"&amp;"|"&amp;$Q3680&amp;"|"&amp;$K3680&amp;"|"&amp;$G3680&amp;"|"&amp;IF($G3680="TX_CURR_SUBNAT.R","CY2022Q4",$M3680),"")</f>
        <v>[fyEoGEPERdI]|15-24|Male|Incidence_SUBNAT.Rt.T_1|CY2023Q3</v>
      </c>
    </row>
    <row r="3681" customFormat="false" ht="15" hidden="false" customHeight="false" outlineLevel="0" collapsed="false">
      <c r="D3681" s="0" t="s">
        <v>84</v>
      </c>
      <c r="E3681" s="0" t="s">
        <v>85</v>
      </c>
      <c r="F3681" s="0" t="s">
        <v>86</v>
      </c>
      <c r="G3681" s="0" t="s">
        <v>152</v>
      </c>
      <c r="H3681" s="0" t="s">
        <v>152</v>
      </c>
      <c r="I3681" s="0" t="s">
        <v>41</v>
      </c>
      <c r="J3681" s="0" t="s">
        <v>42</v>
      </c>
      <c r="K3681" s="0" t="s">
        <v>48</v>
      </c>
      <c r="L3681" s="0" t="s">
        <v>49</v>
      </c>
      <c r="M3681" s="0" t="s">
        <v>140</v>
      </c>
      <c r="N3681" s="0" t="n">
        <v>708</v>
      </c>
      <c r="O3681" s="10" t="n">
        <v>0.923413176322356</v>
      </c>
      <c r="P3681" s="10" t="n">
        <v>0.0297887143678963</v>
      </c>
      <c r="Q3681" s="0" t="str">
        <f aca="false">SUBSTITUTE(SUBSTITUTE($I3681,CHAR(61),""),CHAR(34),"")</f>
        <v>25-34</v>
      </c>
      <c r="R3681" s="0" t="str">
        <f aca="false">IF($D3681&lt;&gt;"","["&amp;$E3681&amp;"]"&amp;"|"&amp;$Q3681&amp;"|"&amp;$K3681&amp;"|"&amp;$G3681&amp;"|"&amp;IF($G3681="TX_CURR_SUBNAT.R","CY2022Q4",$M3681),"")</f>
        <v>[fyEoGEPERdI]|25-34|Male|Incidence_SUBNAT.Rt.T_1|CY2023Q3</v>
      </c>
    </row>
    <row r="3682" customFormat="false" ht="15" hidden="false" customHeight="false" outlineLevel="0" collapsed="false">
      <c r="D3682" s="0" t="s">
        <v>84</v>
      </c>
      <c r="E3682" s="0" t="s">
        <v>85</v>
      </c>
      <c r="F3682" s="0" t="s">
        <v>86</v>
      </c>
      <c r="G3682" s="0" t="s">
        <v>152</v>
      </c>
      <c r="H3682" s="0" t="s">
        <v>152</v>
      </c>
      <c r="I3682" s="0" t="s">
        <v>43</v>
      </c>
      <c r="J3682" s="0" t="s">
        <v>44</v>
      </c>
      <c r="K3682" s="0" t="s">
        <v>48</v>
      </c>
      <c r="L3682" s="0" t="s">
        <v>49</v>
      </c>
      <c r="M3682" s="0" t="s">
        <v>140</v>
      </c>
      <c r="N3682" s="0" t="n">
        <v>789</v>
      </c>
      <c r="O3682" s="10" t="n">
        <v>0.439956477377564</v>
      </c>
      <c r="P3682" s="10" t="n">
        <v>0.0297887143678963</v>
      </c>
      <c r="Q3682" s="0" t="str">
        <f aca="false">SUBSTITUTE(SUBSTITUTE($I3682,CHAR(61),""),CHAR(34),"")</f>
        <v>35-49</v>
      </c>
      <c r="R3682" s="0" t="str">
        <f aca="false">IF($D3682&lt;&gt;"","["&amp;$E3682&amp;"]"&amp;"|"&amp;$Q3682&amp;"|"&amp;$K3682&amp;"|"&amp;$G3682&amp;"|"&amp;IF($G3682="TX_CURR_SUBNAT.R","CY2022Q4",$M3682),"")</f>
        <v>[fyEoGEPERdI]|35-49|Male|Incidence_SUBNAT.Rt.T_1|CY2023Q3</v>
      </c>
    </row>
    <row r="3683" customFormat="false" ht="15" hidden="false" customHeight="false" outlineLevel="0" collapsed="false">
      <c r="D3683" s="0" t="s">
        <v>84</v>
      </c>
      <c r="E3683" s="0" t="s">
        <v>85</v>
      </c>
      <c r="F3683" s="0" t="s">
        <v>86</v>
      </c>
      <c r="G3683" s="0" t="s">
        <v>152</v>
      </c>
      <c r="H3683" s="0" t="s">
        <v>152</v>
      </c>
      <c r="I3683" s="0" t="s">
        <v>45</v>
      </c>
      <c r="J3683" s="0" t="s">
        <v>46</v>
      </c>
      <c r="K3683" s="0" t="s">
        <v>48</v>
      </c>
      <c r="L3683" s="0" t="s">
        <v>49</v>
      </c>
      <c r="M3683" s="0" t="s">
        <v>140</v>
      </c>
      <c r="N3683" s="0" t="n">
        <v>1469</v>
      </c>
      <c r="O3683" s="10" t="n">
        <v>0.0651910100132227</v>
      </c>
      <c r="P3683" s="10" t="n">
        <v>0.0297887143678963</v>
      </c>
      <c r="Q3683" s="0" t="str">
        <f aca="false">SUBSTITUTE(SUBSTITUTE($I3683,CHAR(61),""),CHAR(34),"")</f>
        <v>50+</v>
      </c>
      <c r="R3683" s="0" t="str">
        <f aca="false">IF($D3683&lt;&gt;"","["&amp;$E3683&amp;"]"&amp;"|"&amp;$Q3683&amp;"|"&amp;$K3683&amp;"|"&amp;$G3683&amp;"|"&amp;IF($G3683="TX_CURR_SUBNAT.R","CY2022Q4",$M3683),"")</f>
        <v>[fyEoGEPERdI]|50+|Male|Incidence_SUBNAT.Rt.T_1|CY2023Q3</v>
      </c>
    </row>
    <row r="3684" customFormat="false" ht="15" hidden="false" customHeight="false" outlineLevel="0" collapsed="false">
      <c r="D3684" s="0" t="s">
        <v>87</v>
      </c>
      <c r="E3684" s="0" t="s">
        <v>88</v>
      </c>
      <c r="F3684" s="0" t="s">
        <v>89</v>
      </c>
      <c r="G3684" s="0" t="s">
        <v>152</v>
      </c>
      <c r="H3684" s="0" t="s">
        <v>152</v>
      </c>
      <c r="I3684" s="0" t="s">
        <v>28</v>
      </c>
      <c r="J3684" s="0" t="s">
        <v>29</v>
      </c>
      <c r="K3684" s="0" t="s">
        <v>30</v>
      </c>
      <c r="L3684" s="0" t="s">
        <v>31</v>
      </c>
      <c r="M3684" s="0" t="s">
        <v>140</v>
      </c>
      <c r="N3684" s="0" t="n">
        <v>940</v>
      </c>
      <c r="O3684" s="10" t="n">
        <v>0.886005263077095</v>
      </c>
      <c r="P3684" s="10" t="n">
        <v>0.133336380822584</v>
      </c>
      <c r="Q3684" s="0" t="str">
        <f aca="false">SUBSTITUTE(SUBSTITUTE($I3684,CHAR(61),""),CHAR(34),"")</f>
        <v>&lt;01</v>
      </c>
      <c r="R3684" s="0" t="str">
        <f aca="false">IF($D3684&lt;&gt;"","["&amp;$E3684&amp;"]"&amp;"|"&amp;$Q3684&amp;"|"&amp;$K3684&amp;"|"&amp;$G3684&amp;"|"&amp;IF($G3684="TX_CURR_SUBNAT.R","CY2022Q4",$M3684),"")</f>
        <v>[cPtvxaZqXIH]|&lt;01|Female|Incidence_SUBNAT.Rt.T_1|CY2023Q3</v>
      </c>
    </row>
    <row r="3685" customFormat="false" ht="15" hidden="false" customHeight="false" outlineLevel="0" collapsed="false">
      <c r="D3685" s="0" t="s">
        <v>87</v>
      </c>
      <c r="E3685" s="0" t="s">
        <v>88</v>
      </c>
      <c r="F3685" s="0" t="s">
        <v>89</v>
      </c>
      <c r="G3685" s="0" t="s">
        <v>152</v>
      </c>
      <c r="H3685" s="0" t="s">
        <v>152</v>
      </c>
      <c r="I3685" s="0" t="s">
        <v>33</v>
      </c>
      <c r="J3685" s="0" t="s">
        <v>34</v>
      </c>
      <c r="K3685" s="0" t="s">
        <v>30</v>
      </c>
      <c r="L3685" s="0" t="s">
        <v>31</v>
      </c>
      <c r="M3685" s="0" t="s">
        <v>140</v>
      </c>
      <c r="N3685" s="0" t="n">
        <v>1632</v>
      </c>
      <c r="O3685" s="10" t="n">
        <v>0.0964663978666067</v>
      </c>
      <c r="P3685" s="10" t="n">
        <v>0.133336380822584</v>
      </c>
      <c r="Q3685" s="0" t="str">
        <f aca="false">SUBSTITUTE(SUBSTITUTE($I3685,CHAR(61),""),CHAR(34),"")</f>
        <v>01-09</v>
      </c>
      <c r="R3685" s="0" t="str">
        <f aca="false">IF($D3685&lt;&gt;"","["&amp;$E3685&amp;"]"&amp;"|"&amp;$Q3685&amp;"|"&amp;$K3685&amp;"|"&amp;$G3685&amp;"|"&amp;IF($G3685="TX_CURR_SUBNAT.R","CY2022Q4",$M3685),"")</f>
        <v>[cPtvxaZqXIH]|01-09|Female|Incidence_SUBNAT.Rt.T_1|CY2023Q3</v>
      </c>
    </row>
    <row r="3686" customFormat="false" ht="15" hidden="false" customHeight="false" outlineLevel="0" collapsed="false">
      <c r="D3686" s="0" t="s">
        <v>87</v>
      </c>
      <c r="E3686" s="0" t="s">
        <v>88</v>
      </c>
      <c r="F3686" s="0" t="s">
        <v>89</v>
      </c>
      <c r="G3686" s="0" t="s">
        <v>152</v>
      </c>
      <c r="H3686" s="0" t="s">
        <v>152</v>
      </c>
      <c r="I3686" s="0" t="s">
        <v>36</v>
      </c>
      <c r="J3686" s="0" t="s">
        <v>37</v>
      </c>
      <c r="K3686" s="0" t="s">
        <v>30</v>
      </c>
      <c r="L3686" s="0" t="s">
        <v>31</v>
      </c>
      <c r="M3686" s="0" t="s">
        <v>140</v>
      </c>
      <c r="N3686" s="0" t="n">
        <v>1168</v>
      </c>
      <c r="O3686" s="10" t="n">
        <v>0.787117981817573</v>
      </c>
      <c r="P3686" s="10" t="n">
        <v>0.133336380822584</v>
      </c>
      <c r="Q3686" s="0" t="str">
        <f aca="false">SUBSTITUTE(SUBSTITUTE($I3686,CHAR(61),""),CHAR(34),"")</f>
        <v>10-14</v>
      </c>
      <c r="R3686" s="0" t="str">
        <f aca="false">IF($D3686&lt;&gt;"","["&amp;$E3686&amp;"]"&amp;"|"&amp;$Q3686&amp;"|"&amp;$K3686&amp;"|"&amp;$G3686&amp;"|"&amp;IF($G3686="TX_CURR_SUBNAT.R","CY2022Q4",$M3686),"")</f>
        <v>[cPtvxaZqXIH]|10-14|Female|Incidence_SUBNAT.Rt.T_1|CY2023Q3</v>
      </c>
    </row>
    <row r="3687" customFormat="false" ht="15" hidden="false" customHeight="false" outlineLevel="0" collapsed="false">
      <c r="D3687" s="0" t="s">
        <v>87</v>
      </c>
      <c r="E3687" s="0" t="s">
        <v>88</v>
      </c>
      <c r="F3687" s="0" t="s">
        <v>89</v>
      </c>
      <c r="G3687" s="0" t="s">
        <v>152</v>
      </c>
      <c r="H3687" s="0" t="s">
        <v>152</v>
      </c>
      <c r="I3687" s="0" t="s">
        <v>38</v>
      </c>
      <c r="J3687" s="0" t="s">
        <v>39</v>
      </c>
      <c r="K3687" s="0" t="s">
        <v>30</v>
      </c>
      <c r="L3687" s="0" t="s">
        <v>31</v>
      </c>
      <c r="M3687" s="0" t="s">
        <v>140</v>
      </c>
      <c r="N3687" s="0" t="n">
        <v>806</v>
      </c>
      <c r="O3687" s="10" t="n">
        <v>0.561354921897873</v>
      </c>
      <c r="P3687" s="10" t="n">
        <v>0.133336380822584</v>
      </c>
      <c r="Q3687" s="0" t="str">
        <f aca="false">SUBSTITUTE(SUBSTITUTE($I3687,CHAR(61),""),CHAR(34),"")</f>
        <v>15-24</v>
      </c>
      <c r="R3687" s="0" t="str">
        <f aca="false">IF($D3687&lt;&gt;"","["&amp;$E3687&amp;"]"&amp;"|"&amp;$Q3687&amp;"|"&amp;$K3687&amp;"|"&amp;$G3687&amp;"|"&amp;IF($G3687="TX_CURR_SUBNAT.R","CY2022Q4",$M3687),"")</f>
        <v>[cPtvxaZqXIH]|15-24|Female|Incidence_SUBNAT.Rt.T_1|CY2023Q3</v>
      </c>
    </row>
    <row r="3688" customFormat="false" ht="15" hidden="false" customHeight="false" outlineLevel="0" collapsed="false">
      <c r="D3688" s="0" t="s">
        <v>87</v>
      </c>
      <c r="E3688" s="0" t="s">
        <v>88</v>
      </c>
      <c r="F3688" s="0" t="s">
        <v>89</v>
      </c>
      <c r="G3688" s="0" t="s">
        <v>152</v>
      </c>
      <c r="H3688" s="0" t="s">
        <v>152</v>
      </c>
      <c r="I3688" s="0" t="s">
        <v>41</v>
      </c>
      <c r="J3688" s="0" t="s">
        <v>42</v>
      </c>
      <c r="K3688" s="0" t="s">
        <v>30</v>
      </c>
      <c r="L3688" s="0" t="s">
        <v>31</v>
      </c>
      <c r="M3688" s="0" t="s">
        <v>140</v>
      </c>
      <c r="N3688" s="0" t="n">
        <v>1047</v>
      </c>
      <c r="O3688" s="10" t="n">
        <v>0.721201644046232</v>
      </c>
      <c r="P3688" s="10" t="n">
        <v>0.133336380822584</v>
      </c>
      <c r="Q3688" s="0" t="str">
        <f aca="false">SUBSTITUTE(SUBSTITUTE($I3688,CHAR(61),""),CHAR(34),"")</f>
        <v>25-34</v>
      </c>
      <c r="R3688" s="0" t="str">
        <f aca="false">IF($D3688&lt;&gt;"","["&amp;$E3688&amp;"]"&amp;"|"&amp;$Q3688&amp;"|"&amp;$K3688&amp;"|"&amp;$G3688&amp;"|"&amp;IF($G3688="TX_CURR_SUBNAT.R","CY2022Q4",$M3688),"")</f>
        <v>[cPtvxaZqXIH]|25-34|Female|Incidence_SUBNAT.Rt.T_1|CY2023Q3</v>
      </c>
    </row>
    <row r="3689" customFormat="false" ht="15" hidden="false" customHeight="false" outlineLevel="0" collapsed="false">
      <c r="D3689" s="0" t="s">
        <v>87</v>
      </c>
      <c r="E3689" s="0" t="s">
        <v>88</v>
      </c>
      <c r="F3689" s="0" t="s">
        <v>89</v>
      </c>
      <c r="G3689" s="0" t="s">
        <v>152</v>
      </c>
      <c r="H3689" s="0" t="s">
        <v>152</v>
      </c>
      <c r="I3689" s="0" t="s">
        <v>43</v>
      </c>
      <c r="J3689" s="0" t="s">
        <v>44</v>
      </c>
      <c r="K3689" s="0" t="s">
        <v>30</v>
      </c>
      <c r="L3689" s="0" t="s">
        <v>31</v>
      </c>
      <c r="M3689" s="0" t="s">
        <v>140</v>
      </c>
      <c r="N3689" s="0" t="n">
        <v>1275</v>
      </c>
      <c r="O3689" s="10" t="n">
        <v>0.687115541426465</v>
      </c>
      <c r="P3689" s="10" t="n">
        <v>0.133336380822584</v>
      </c>
      <c r="Q3689" s="0" t="str">
        <f aca="false">SUBSTITUTE(SUBSTITUTE($I3689,CHAR(61),""),CHAR(34),"")</f>
        <v>35-49</v>
      </c>
      <c r="R3689" s="0" t="str">
        <f aca="false">IF($D3689&lt;&gt;"","["&amp;$E3689&amp;"]"&amp;"|"&amp;$Q3689&amp;"|"&amp;$K3689&amp;"|"&amp;$G3689&amp;"|"&amp;IF($G3689="TX_CURR_SUBNAT.R","CY2022Q4",$M3689),"")</f>
        <v>[cPtvxaZqXIH]|35-49|Female|Incidence_SUBNAT.Rt.T_1|CY2023Q3</v>
      </c>
    </row>
    <row r="3690" customFormat="false" ht="15" hidden="false" customHeight="false" outlineLevel="0" collapsed="false">
      <c r="D3690" s="0" t="s">
        <v>87</v>
      </c>
      <c r="E3690" s="0" t="s">
        <v>88</v>
      </c>
      <c r="F3690" s="0" t="s">
        <v>89</v>
      </c>
      <c r="G3690" s="0" t="s">
        <v>152</v>
      </c>
      <c r="H3690" s="0" t="s">
        <v>152</v>
      </c>
      <c r="I3690" s="0" t="s">
        <v>45</v>
      </c>
      <c r="J3690" s="0" t="s">
        <v>46</v>
      </c>
      <c r="K3690" s="0" t="s">
        <v>30</v>
      </c>
      <c r="L3690" s="0" t="s">
        <v>31</v>
      </c>
      <c r="M3690" s="0" t="s">
        <v>140</v>
      </c>
      <c r="N3690" s="0" t="n">
        <v>1852</v>
      </c>
      <c r="O3690" s="10" t="n">
        <v>0.369149448350072</v>
      </c>
      <c r="P3690" s="10" t="n">
        <v>0.133336380822584</v>
      </c>
      <c r="Q3690" s="0" t="str">
        <f aca="false">SUBSTITUTE(SUBSTITUTE($I3690,CHAR(61),""),CHAR(34),"")</f>
        <v>50+</v>
      </c>
      <c r="R3690" s="0" t="str">
        <f aca="false">IF($D3690&lt;&gt;"","["&amp;$E3690&amp;"]"&amp;"|"&amp;$Q3690&amp;"|"&amp;$K3690&amp;"|"&amp;$G3690&amp;"|"&amp;IF($G3690="TX_CURR_SUBNAT.R","CY2022Q4",$M3690),"")</f>
        <v>[cPtvxaZqXIH]|50+|Female|Incidence_SUBNAT.Rt.T_1|CY2023Q3</v>
      </c>
    </row>
    <row r="3691" customFormat="false" ht="15" hidden="false" customHeight="false" outlineLevel="0" collapsed="false">
      <c r="D3691" s="0" t="s">
        <v>87</v>
      </c>
      <c r="E3691" s="0" t="s">
        <v>88</v>
      </c>
      <c r="F3691" s="0" t="s">
        <v>89</v>
      </c>
      <c r="G3691" s="0" t="s">
        <v>152</v>
      </c>
      <c r="H3691" s="0" t="s">
        <v>152</v>
      </c>
      <c r="I3691" s="0" t="s">
        <v>28</v>
      </c>
      <c r="J3691" s="0" t="s">
        <v>29</v>
      </c>
      <c r="K3691" s="0" t="s">
        <v>48</v>
      </c>
      <c r="L3691" s="0" t="s">
        <v>49</v>
      </c>
      <c r="M3691" s="0" t="s">
        <v>140</v>
      </c>
      <c r="N3691" s="0" t="n">
        <v>1389</v>
      </c>
      <c r="O3691" s="10" t="n">
        <v>0.983129810541868</v>
      </c>
      <c r="P3691" s="10" t="n">
        <v>0.133336380822584</v>
      </c>
      <c r="Q3691" s="0" t="str">
        <f aca="false">SUBSTITUTE(SUBSTITUTE($I3691,CHAR(61),""),CHAR(34),"")</f>
        <v>&lt;01</v>
      </c>
      <c r="R3691" s="0" t="str">
        <f aca="false">IF($D3691&lt;&gt;"","["&amp;$E3691&amp;"]"&amp;"|"&amp;$Q3691&amp;"|"&amp;$K3691&amp;"|"&amp;$G3691&amp;"|"&amp;IF($G3691="TX_CURR_SUBNAT.R","CY2022Q4",$M3691),"")</f>
        <v>[cPtvxaZqXIH]|&lt;01|Male|Incidence_SUBNAT.Rt.T_1|CY2023Q3</v>
      </c>
    </row>
    <row r="3692" customFormat="false" ht="15" hidden="false" customHeight="false" outlineLevel="0" collapsed="false">
      <c r="D3692" s="0" t="s">
        <v>87</v>
      </c>
      <c r="E3692" s="0" t="s">
        <v>88</v>
      </c>
      <c r="F3692" s="0" t="s">
        <v>89</v>
      </c>
      <c r="G3692" s="0" t="s">
        <v>152</v>
      </c>
      <c r="H3692" s="0" t="s">
        <v>152</v>
      </c>
      <c r="I3692" s="0" t="s">
        <v>33</v>
      </c>
      <c r="J3692" s="0" t="s">
        <v>34</v>
      </c>
      <c r="K3692" s="0" t="s">
        <v>48</v>
      </c>
      <c r="L3692" s="0" t="s">
        <v>49</v>
      </c>
      <c r="M3692" s="0" t="s">
        <v>140</v>
      </c>
      <c r="N3692" s="0" t="n">
        <v>1547</v>
      </c>
      <c r="O3692" s="10" t="n">
        <v>0.016474086092785</v>
      </c>
      <c r="P3692" s="10" t="n">
        <v>0.133336380822584</v>
      </c>
      <c r="Q3692" s="0" t="str">
        <f aca="false">SUBSTITUTE(SUBSTITUTE($I3692,CHAR(61),""),CHAR(34),"")</f>
        <v>01-09</v>
      </c>
      <c r="R3692" s="0" t="str">
        <f aca="false">IF($D3692&lt;&gt;"","["&amp;$E3692&amp;"]"&amp;"|"&amp;$Q3692&amp;"|"&amp;$K3692&amp;"|"&amp;$G3692&amp;"|"&amp;IF($G3692="TX_CURR_SUBNAT.R","CY2022Q4",$M3692),"")</f>
        <v>[cPtvxaZqXIH]|01-09|Male|Incidence_SUBNAT.Rt.T_1|CY2023Q3</v>
      </c>
    </row>
    <row r="3693" customFormat="false" ht="15" hidden="false" customHeight="false" outlineLevel="0" collapsed="false">
      <c r="D3693" s="0" t="s">
        <v>87</v>
      </c>
      <c r="E3693" s="0" t="s">
        <v>88</v>
      </c>
      <c r="F3693" s="0" t="s">
        <v>89</v>
      </c>
      <c r="G3693" s="0" t="s">
        <v>152</v>
      </c>
      <c r="H3693" s="0" t="s">
        <v>152</v>
      </c>
      <c r="I3693" s="0" t="s">
        <v>36</v>
      </c>
      <c r="J3693" s="0" t="s">
        <v>37</v>
      </c>
      <c r="K3693" s="0" t="s">
        <v>48</v>
      </c>
      <c r="L3693" s="0" t="s">
        <v>49</v>
      </c>
      <c r="M3693" s="0" t="s">
        <v>140</v>
      </c>
      <c r="N3693" s="0" t="n">
        <v>1457</v>
      </c>
      <c r="O3693" s="10" t="n">
        <v>0.783788233762607</v>
      </c>
      <c r="P3693" s="10" t="n">
        <v>0.133336380822584</v>
      </c>
      <c r="Q3693" s="0" t="str">
        <f aca="false">SUBSTITUTE(SUBSTITUTE($I3693,CHAR(61),""),CHAR(34),"")</f>
        <v>10-14</v>
      </c>
      <c r="R3693" s="0" t="str">
        <f aca="false">IF($D3693&lt;&gt;"","["&amp;$E3693&amp;"]"&amp;"|"&amp;$Q3693&amp;"|"&amp;$K3693&amp;"|"&amp;$G3693&amp;"|"&amp;IF($G3693="TX_CURR_SUBNAT.R","CY2022Q4",$M3693),"")</f>
        <v>[cPtvxaZqXIH]|10-14|Male|Incidence_SUBNAT.Rt.T_1|CY2023Q3</v>
      </c>
    </row>
    <row r="3694" customFormat="false" ht="15" hidden="false" customHeight="false" outlineLevel="0" collapsed="false">
      <c r="D3694" s="0" t="s">
        <v>87</v>
      </c>
      <c r="E3694" s="0" t="s">
        <v>88</v>
      </c>
      <c r="F3694" s="0" t="s">
        <v>89</v>
      </c>
      <c r="G3694" s="0" t="s">
        <v>152</v>
      </c>
      <c r="H3694" s="0" t="s">
        <v>152</v>
      </c>
      <c r="I3694" s="0" t="s">
        <v>38</v>
      </c>
      <c r="J3694" s="0" t="s">
        <v>39</v>
      </c>
      <c r="K3694" s="0" t="s">
        <v>48</v>
      </c>
      <c r="L3694" s="0" t="s">
        <v>49</v>
      </c>
      <c r="M3694" s="0" t="s">
        <v>140</v>
      </c>
      <c r="N3694" s="0" t="n">
        <v>1495</v>
      </c>
      <c r="O3694" s="10" t="n">
        <v>0.205779896350577</v>
      </c>
      <c r="P3694" s="10" t="n">
        <v>0.133336380822584</v>
      </c>
      <c r="Q3694" s="0" t="str">
        <f aca="false">SUBSTITUTE(SUBSTITUTE($I3694,CHAR(61),""),CHAR(34),"")</f>
        <v>15-24</v>
      </c>
      <c r="R3694" s="0" t="str">
        <f aca="false">IF($D3694&lt;&gt;"","["&amp;$E3694&amp;"]"&amp;"|"&amp;$Q3694&amp;"|"&amp;$K3694&amp;"|"&amp;$G3694&amp;"|"&amp;IF($G3694="TX_CURR_SUBNAT.R","CY2022Q4",$M3694),"")</f>
        <v>[cPtvxaZqXIH]|15-24|Male|Incidence_SUBNAT.Rt.T_1|CY2023Q3</v>
      </c>
    </row>
    <row r="3695" customFormat="false" ht="15" hidden="false" customHeight="false" outlineLevel="0" collapsed="false">
      <c r="D3695" s="0" t="s">
        <v>87</v>
      </c>
      <c r="E3695" s="0" t="s">
        <v>88</v>
      </c>
      <c r="F3695" s="0" t="s">
        <v>89</v>
      </c>
      <c r="G3695" s="0" t="s">
        <v>152</v>
      </c>
      <c r="H3695" s="0" t="s">
        <v>152</v>
      </c>
      <c r="I3695" s="0" t="s">
        <v>41</v>
      </c>
      <c r="J3695" s="0" t="s">
        <v>42</v>
      </c>
      <c r="K3695" s="0" t="s">
        <v>48</v>
      </c>
      <c r="L3695" s="0" t="s">
        <v>49</v>
      </c>
      <c r="M3695" s="0" t="s">
        <v>140</v>
      </c>
      <c r="N3695" s="0" t="n">
        <v>1476</v>
      </c>
      <c r="O3695" s="10" t="n">
        <v>0.74241969967261</v>
      </c>
      <c r="P3695" s="10" t="n">
        <v>0.133336380822584</v>
      </c>
      <c r="Q3695" s="0" t="str">
        <f aca="false">SUBSTITUTE(SUBSTITUTE($I3695,CHAR(61),""),CHAR(34),"")</f>
        <v>25-34</v>
      </c>
      <c r="R3695" s="0" t="str">
        <f aca="false">IF($D3695&lt;&gt;"","["&amp;$E3695&amp;"]"&amp;"|"&amp;$Q3695&amp;"|"&amp;$K3695&amp;"|"&amp;$G3695&amp;"|"&amp;IF($G3695="TX_CURR_SUBNAT.R","CY2022Q4",$M3695),"")</f>
        <v>[cPtvxaZqXIH]|25-34|Male|Incidence_SUBNAT.Rt.T_1|CY2023Q3</v>
      </c>
    </row>
    <row r="3696" customFormat="false" ht="15" hidden="false" customHeight="false" outlineLevel="0" collapsed="false">
      <c r="D3696" s="0" t="s">
        <v>87</v>
      </c>
      <c r="E3696" s="0" t="s">
        <v>88</v>
      </c>
      <c r="F3696" s="0" t="s">
        <v>89</v>
      </c>
      <c r="G3696" s="0" t="s">
        <v>152</v>
      </c>
      <c r="H3696" s="0" t="s">
        <v>152</v>
      </c>
      <c r="I3696" s="0" t="s">
        <v>43</v>
      </c>
      <c r="J3696" s="0" t="s">
        <v>44</v>
      </c>
      <c r="K3696" s="0" t="s">
        <v>48</v>
      </c>
      <c r="L3696" s="0" t="s">
        <v>49</v>
      </c>
      <c r="M3696" s="0" t="s">
        <v>140</v>
      </c>
      <c r="N3696" s="0" t="n">
        <v>654</v>
      </c>
      <c r="O3696" s="10" t="n">
        <v>0.317132482072338</v>
      </c>
      <c r="P3696" s="10" t="n">
        <v>0.133336380822584</v>
      </c>
      <c r="Q3696" s="0" t="str">
        <f aca="false">SUBSTITUTE(SUBSTITUTE($I3696,CHAR(61),""),CHAR(34),"")</f>
        <v>35-49</v>
      </c>
      <c r="R3696" s="0" t="str">
        <f aca="false">IF($D3696&lt;&gt;"","["&amp;$E3696&amp;"]"&amp;"|"&amp;$Q3696&amp;"|"&amp;$K3696&amp;"|"&amp;$G3696&amp;"|"&amp;IF($G3696="TX_CURR_SUBNAT.R","CY2022Q4",$M3696),"")</f>
        <v>[cPtvxaZqXIH]|35-49|Male|Incidence_SUBNAT.Rt.T_1|CY2023Q3</v>
      </c>
    </row>
    <row r="3697" customFormat="false" ht="15" hidden="false" customHeight="false" outlineLevel="0" collapsed="false">
      <c r="D3697" s="0" t="s">
        <v>87</v>
      </c>
      <c r="E3697" s="0" t="s">
        <v>88</v>
      </c>
      <c r="F3697" s="0" t="s">
        <v>89</v>
      </c>
      <c r="G3697" s="0" t="s">
        <v>152</v>
      </c>
      <c r="H3697" s="0" t="s">
        <v>152</v>
      </c>
      <c r="I3697" s="0" t="s">
        <v>45</v>
      </c>
      <c r="J3697" s="0" t="s">
        <v>46</v>
      </c>
      <c r="K3697" s="0" t="s">
        <v>48</v>
      </c>
      <c r="L3697" s="0" t="s">
        <v>49</v>
      </c>
      <c r="M3697" s="0" t="s">
        <v>140</v>
      </c>
      <c r="N3697" s="0" t="n">
        <v>1358</v>
      </c>
      <c r="O3697" s="10" t="n">
        <v>0.036535230698064</v>
      </c>
      <c r="P3697" s="10" t="n">
        <v>0.133336380822584</v>
      </c>
      <c r="Q3697" s="0" t="str">
        <f aca="false">SUBSTITUTE(SUBSTITUTE($I3697,CHAR(61),""),CHAR(34),"")</f>
        <v>50+</v>
      </c>
      <c r="R3697" s="0" t="str">
        <f aca="false">IF($D3697&lt;&gt;"","["&amp;$E3697&amp;"]"&amp;"|"&amp;$Q3697&amp;"|"&amp;$K3697&amp;"|"&amp;$G3697&amp;"|"&amp;IF($G3697="TX_CURR_SUBNAT.R","CY2022Q4",$M3697),"")</f>
        <v>[cPtvxaZqXIH]|50+|Male|Incidence_SUBNAT.Rt.T_1|CY2023Q3</v>
      </c>
    </row>
    <row r="3698" customFormat="false" ht="15" hidden="false" customHeight="false" outlineLevel="0" collapsed="false">
      <c r="D3698" s="0" t="s">
        <v>90</v>
      </c>
      <c r="E3698" s="0" t="s">
        <v>91</v>
      </c>
      <c r="F3698" s="0" t="s">
        <v>92</v>
      </c>
      <c r="G3698" s="0" t="s">
        <v>152</v>
      </c>
      <c r="H3698" s="0" t="s">
        <v>152</v>
      </c>
      <c r="I3698" s="0" t="s">
        <v>28</v>
      </c>
      <c r="J3698" s="0" t="s">
        <v>29</v>
      </c>
      <c r="K3698" s="0" t="s">
        <v>30</v>
      </c>
      <c r="L3698" s="0" t="s">
        <v>31</v>
      </c>
      <c r="M3698" s="0" t="s">
        <v>140</v>
      </c>
      <c r="N3698" s="0" t="n">
        <v>940</v>
      </c>
      <c r="O3698" s="10" t="n">
        <v>0.106836310122162</v>
      </c>
      <c r="P3698" s="10" t="n">
        <v>0.719914150424302</v>
      </c>
      <c r="Q3698" s="0" t="str">
        <f aca="false">SUBSTITUTE(SUBSTITUTE($I3698,CHAR(61),""),CHAR(34),"")</f>
        <v>&lt;01</v>
      </c>
      <c r="R3698" s="0" t="str">
        <f aca="false">IF($D3698&lt;&gt;"","["&amp;$E3698&amp;"]"&amp;"|"&amp;$Q3698&amp;"|"&amp;$K3698&amp;"|"&amp;$G3698&amp;"|"&amp;IF($G3698="TX_CURR_SUBNAT.R","CY2022Q4",$M3698),"")</f>
        <v>[AZyWpGzhcaA]|&lt;01|Female|Incidence_SUBNAT.Rt.T_1|CY2023Q3</v>
      </c>
    </row>
    <row r="3699" customFormat="false" ht="15" hidden="false" customHeight="false" outlineLevel="0" collapsed="false">
      <c r="D3699" s="0" t="s">
        <v>90</v>
      </c>
      <c r="E3699" s="0" t="s">
        <v>91</v>
      </c>
      <c r="F3699" s="0" t="s">
        <v>92</v>
      </c>
      <c r="G3699" s="0" t="s">
        <v>152</v>
      </c>
      <c r="H3699" s="0" t="s">
        <v>152</v>
      </c>
      <c r="I3699" s="0" t="s">
        <v>33</v>
      </c>
      <c r="J3699" s="0" t="s">
        <v>34</v>
      </c>
      <c r="K3699" s="0" t="s">
        <v>30</v>
      </c>
      <c r="L3699" s="0" t="s">
        <v>31</v>
      </c>
      <c r="M3699" s="0" t="s">
        <v>140</v>
      </c>
      <c r="N3699" s="0" t="n">
        <v>1531</v>
      </c>
      <c r="O3699" s="10" t="n">
        <v>0.250709170941263</v>
      </c>
      <c r="P3699" s="10" t="n">
        <v>0.719914150424302</v>
      </c>
      <c r="Q3699" s="0" t="str">
        <f aca="false">SUBSTITUTE(SUBSTITUTE($I3699,CHAR(61),""),CHAR(34),"")</f>
        <v>01-09</v>
      </c>
      <c r="R3699" s="0" t="str">
        <f aca="false">IF($D3699&lt;&gt;"","["&amp;$E3699&amp;"]"&amp;"|"&amp;$Q3699&amp;"|"&amp;$K3699&amp;"|"&amp;$G3699&amp;"|"&amp;IF($G3699="TX_CURR_SUBNAT.R","CY2022Q4",$M3699),"")</f>
        <v>[AZyWpGzhcaA]|01-09|Female|Incidence_SUBNAT.Rt.T_1|CY2023Q3</v>
      </c>
    </row>
    <row r="3700" customFormat="false" ht="15" hidden="false" customHeight="false" outlineLevel="0" collapsed="false">
      <c r="D3700" s="0" t="s">
        <v>90</v>
      </c>
      <c r="E3700" s="0" t="s">
        <v>91</v>
      </c>
      <c r="F3700" s="0" t="s">
        <v>92</v>
      </c>
      <c r="G3700" s="0" t="s">
        <v>152</v>
      </c>
      <c r="H3700" s="0" t="s">
        <v>152</v>
      </c>
      <c r="I3700" s="0" t="s">
        <v>36</v>
      </c>
      <c r="J3700" s="0" t="s">
        <v>37</v>
      </c>
      <c r="K3700" s="0" t="s">
        <v>30</v>
      </c>
      <c r="L3700" s="0" t="s">
        <v>31</v>
      </c>
      <c r="M3700" s="0" t="s">
        <v>140</v>
      </c>
      <c r="N3700" s="0" t="n">
        <v>1423</v>
      </c>
      <c r="O3700" s="10" t="n">
        <v>0.244853830663487</v>
      </c>
      <c r="P3700" s="10" t="n">
        <v>0.719914150424302</v>
      </c>
      <c r="Q3700" s="0" t="str">
        <f aca="false">SUBSTITUTE(SUBSTITUTE($I3700,CHAR(61),""),CHAR(34),"")</f>
        <v>10-14</v>
      </c>
      <c r="R3700" s="0" t="str">
        <f aca="false">IF($D3700&lt;&gt;"","["&amp;$E3700&amp;"]"&amp;"|"&amp;$Q3700&amp;"|"&amp;$K3700&amp;"|"&amp;$G3700&amp;"|"&amp;IF($G3700="TX_CURR_SUBNAT.R","CY2022Q4",$M3700),"")</f>
        <v>[AZyWpGzhcaA]|10-14|Female|Incidence_SUBNAT.Rt.T_1|CY2023Q3</v>
      </c>
    </row>
    <row r="3701" customFormat="false" ht="15" hidden="false" customHeight="false" outlineLevel="0" collapsed="false">
      <c r="D3701" s="0" t="s">
        <v>90</v>
      </c>
      <c r="E3701" s="0" t="s">
        <v>91</v>
      </c>
      <c r="F3701" s="0" t="s">
        <v>92</v>
      </c>
      <c r="G3701" s="0" t="s">
        <v>152</v>
      </c>
      <c r="H3701" s="0" t="s">
        <v>152</v>
      </c>
      <c r="I3701" s="0" t="s">
        <v>38</v>
      </c>
      <c r="J3701" s="0" t="s">
        <v>39</v>
      </c>
      <c r="K3701" s="0" t="s">
        <v>30</v>
      </c>
      <c r="L3701" s="0" t="s">
        <v>31</v>
      </c>
      <c r="M3701" s="0" t="s">
        <v>140</v>
      </c>
      <c r="N3701" s="0" t="n">
        <v>1790</v>
      </c>
      <c r="O3701" s="10" t="n">
        <v>0.99558738223277</v>
      </c>
      <c r="P3701" s="10" t="n">
        <v>0.719914150424302</v>
      </c>
      <c r="Q3701" s="0" t="str">
        <f aca="false">SUBSTITUTE(SUBSTITUTE($I3701,CHAR(61),""),CHAR(34),"")</f>
        <v>15-24</v>
      </c>
      <c r="R3701" s="0" t="str">
        <f aca="false">IF($D3701&lt;&gt;"","["&amp;$E3701&amp;"]"&amp;"|"&amp;$Q3701&amp;"|"&amp;$K3701&amp;"|"&amp;$G3701&amp;"|"&amp;IF($G3701="TX_CURR_SUBNAT.R","CY2022Q4",$M3701),"")</f>
        <v>[AZyWpGzhcaA]|15-24|Female|Incidence_SUBNAT.Rt.T_1|CY2023Q3</v>
      </c>
    </row>
    <row r="3702" customFormat="false" ht="15" hidden="false" customHeight="false" outlineLevel="0" collapsed="false">
      <c r="D3702" s="0" t="s">
        <v>90</v>
      </c>
      <c r="E3702" s="0" t="s">
        <v>91</v>
      </c>
      <c r="F3702" s="0" t="s">
        <v>92</v>
      </c>
      <c r="G3702" s="0" t="s">
        <v>152</v>
      </c>
      <c r="H3702" s="0" t="s">
        <v>152</v>
      </c>
      <c r="I3702" s="0" t="s">
        <v>41</v>
      </c>
      <c r="J3702" s="0" t="s">
        <v>42</v>
      </c>
      <c r="K3702" s="0" t="s">
        <v>30</v>
      </c>
      <c r="L3702" s="0" t="s">
        <v>31</v>
      </c>
      <c r="M3702" s="0" t="s">
        <v>140</v>
      </c>
      <c r="N3702" s="0" t="n">
        <v>1554</v>
      </c>
      <c r="O3702" s="10" t="n">
        <v>0.444934775820002</v>
      </c>
      <c r="P3702" s="10" t="n">
        <v>0.719914150424302</v>
      </c>
      <c r="Q3702" s="0" t="str">
        <f aca="false">SUBSTITUTE(SUBSTITUTE($I3702,CHAR(61),""),CHAR(34),"")</f>
        <v>25-34</v>
      </c>
      <c r="R3702" s="0" t="str">
        <f aca="false">IF($D3702&lt;&gt;"","["&amp;$E3702&amp;"]"&amp;"|"&amp;$Q3702&amp;"|"&amp;$K3702&amp;"|"&amp;$G3702&amp;"|"&amp;IF($G3702="TX_CURR_SUBNAT.R","CY2022Q4",$M3702),"")</f>
        <v>[AZyWpGzhcaA]|25-34|Female|Incidence_SUBNAT.Rt.T_1|CY2023Q3</v>
      </c>
    </row>
    <row r="3703" customFormat="false" ht="15" hidden="false" customHeight="false" outlineLevel="0" collapsed="false">
      <c r="D3703" s="0" t="s">
        <v>90</v>
      </c>
      <c r="E3703" s="0" t="s">
        <v>91</v>
      </c>
      <c r="F3703" s="0" t="s">
        <v>92</v>
      </c>
      <c r="G3703" s="0" t="s">
        <v>152</v>
      </c>
      <c r="H3703" s="0" t="s">
        <v>152</v>
      </c>
      <c r="I3703" s="0" t="s">
        <v>43</v>
      </c>
      <c r="J3703" s="0" t="s">
        <v>44</v>
      </c>
      <c r="K3703" s="0" t="s">
        <v>30</v>
      </c>
      <c r="L3703" s="0" t="s">
        <v>31</v>
      </c>
      <c r="M3703" s="0" t="s">
        <v>140</v>
      </c>
      <c r="N3703" s="0" t="n">
        <v>1085</v>
      </c>
      <c r="O3703" s="10" t="n">
        <v>0.23277763533406</v>
      </c>
      <c r="P3703" s="10" t="n">
        <v>0.719914150424302</v>
      </c>
      <c r="Q3703" s="0" t="str">
        <f aca="false">SUBSTITUTE(SUBSTITUTE($I3703,CHAR(61),""),CHAR(34),"")</f>
        <v>35-49</v>
      </c>
      <c r="R3703" s="0" t="str">
        <f aca="false">IF($D3703&lt;&gt;"","["&amp;$E3703&amp;"]"&amp;"|"&amp;$Q3703&amp;"|"&amp;$K3703&amp;"|"&amp;$G3703&amp;"|"&amp;IF($G3703="TX_CURR_SUBNAT.R","CY2022Q4",$M3703),"")</f>
        <v>[AZyWpGzhcaA]|35-49|Female|Incidence_SUBNAT.Rt.T_1|CY2023Q3</v>
      </c>
    </row>
    <row r="3704" customFormat="false" ht="15" hidden="false" customHeight="false" outlineLevel="0" collapsed="false">
      <c r="D3704" s="0" t="s">
        <v>90</v>
      </c>
      <c r="E3704" s="0" t="s">
        <v>91</v>
      </c>
      <c r="F3704" s="0" t="s">
        <v>92</v>
      </c>
      <c r="G3704" s="0" t="s">
        <v>152</v>
      </c>
      <c r="H3704" s="0" t="s">
        <v>152</v>
      </c>
      <c r="I3704" s="0" t="s">
        <v>45</v>
      </c>
      <c r="J3704" s="0" t="s">
        <v>46</v>
      </c>
      <c r="K3704" s="0" t="s">
        <v>30</v>
      </c>
      <c r="L3704" s="0" t="s">
        <v>31</v>
      </c>
      <c r="M3704" s="0" t="s">
        <v>140</v>
      </c>
      <c r="N3704" s="0" t="n">
        <v>1551</v>
      </c>
      <c r="O3704" s="10" t="n">
        <v>0.334500360535458</v>
      </c>
      <c r="P3704" s="10" t="n">
        <v>0.719914150424302</v>
      </c>
      <c r="Q3704" s="0" t="str">
        <f aca="false">SUBSTITUTE(SUBSTITUTE($I3704,CHAR(61),""),CHAR(34),"")</f>
        <v>50+</v>
      </c>
      <c r="R3704" s="0" t="str">
        <f aca="false">IF($D3704&lt;&gt;"","["&amp;$E3704&amp;"]"&amp;"|"&amp;$Q3704&amp;"|"&amp;$K3704&amp;"|"&amp;$G3704&amp;"|"&amp;IF($G3704="TX_CURR_SUBNAT.R","CY2022Q4",$M3704),"")</f>
        <v>[AZyWpGzhcaA]|50+|Female|Incidence_SUBNAT.Rt.T_1|CY2023Q3</v>
      </c>
    </row>
    <row r="3705" customFormat="false" ht="15" hidden="false" customHeight="false" outlineLevel="0" collapsed="false">
      <c r="D3705" s="0" t="s">
        <v>90</v>
      </c>
      <c r="E3705" s="0" t="s">
        <v>91</v>
      </c>
      <c r="F3705" s="0" t="s">
        <v>92</v>
      </c>
      <c r="G3705" s="0" t="s">
        <v>152</v>
      </c>
      <c r="H3705" s="0" t="s">
        <v>152</v>
      </c>
      <c r="I3705" s="0" t="s">
        <v>28</v>
      </c>
      <c r="J3705" s="0" t="s">
        <v>29</v>
      </c>
      <c r="K3705" s="0" t="s">
        <v>48</v>
      </c>
      <c r="L3705" s="0" t="s">
        <v>49</v>
      </c>
      <c r="M3705" s="0" t="s">
        <v>140</v>
      </c>
      <c r="N3705" s="0" t="n">
        <v>728</v>
      </c>
      <c r="O3705" s="10" t="n">
        <v>0.819332879502326</v>
      </c>
      <c r="P3705" s="10" t="n">
        <v>0.719914150424302</v>
      </c>
      <c r="Q3705" s="0" t="str">
        <f aca="false">SUBSTITUTE(SUBSTITUTE($I3705,CHAR(61),""),CHAR(34),"")</f>
        <v>&lt;01</v>
      </c>
      <c r="R3705" s="0" t="str">
        <f aca="false">IF($D3705&lt;&gt;"","["&amp;$E3705&amp;"]"&amp;"|"&amp;$Q3705&amp;"|"&amp;$K3705&amp;"|"&amp;$G3705&amp;"|"&amp;IF($G3705="TX_CURR_SUBNAT.R","CY2022Q4",$M3705),"")</f>
        <v>[AZyWpGzhcaA]|&lt;01|Male|Incidence_SUBNAT.Rt.T_1|CY2023Q3</v>
      </c>
    </row>
    <row r="3706" customFormat="false" ht="15" hidden="false" customHeight="false" outlineLevel="0" collapsed="false">
      <c r="D3706" s="0" t="s">
        <v>90</v>
      </c>
      <c r="E3706" s="0" t="s">
        <v>91</v>
      </c>
      <c r="F3706" s="0" t="s">
        <v>92</v>
      </c>
      <c r="G3706" s="0" t="s">
        <v>152</v>
      </c>
      <c r="H3706" s="0" t="s">
        <v>152</v>
      </c>
      <c r="I3706" s="0" t="s">
        <v>33</v>
      </c>
      <c r="J3706" s="0" t="s">
        <v>34</v>
      </c>
      <c r="K3706" s="0" t="s">
        <v>48</v>
      </c>
      <c r="L3706" s="0" t="s">
        <v>49</v>
      </c>
      <c r="M3706" s="0" t="s">
        <v>140</v>
      </c>
      <c r="N3706" s="0" t="n">
        <v>1414</v>
      </c>
      <c r="O3706" s="10" t="n">
        <v>0.784557725768536</v>
      </c>
      <c r="P3706" s="10" t="n">
        <v>0.719914150424302</v>
      </c>
      <c r="Q3706" s="0" t="str">
        <f aca="false">SUBSTITUTE(SUBSTITUTE($I3706,CHAR(61),""),CHAR(34),"")</f>
        <v>01-09</v>
      </c>
      <c r="R3706" s="0" t="str">
        <f aca="false">IF($D3706&lt;&gt;"","["&amp;$E3706&amp;"]"&amp;"|"&amp;$Q3706&amp;"|"&amp;$K3706&amp;"|"&amp;$G3706&amp;"|"&amp;IF($G3706="TX_CURR_SUBNAT.R","CY2022Q4",$M3706),"")</f>
        <v>[AZyWpGzhcaA]|01-09|Male|Incidence_SUBNAT.Rt.T_1|CY2023Q3</v>
      </c>
    </row>
    <row r="3707" customFormat="false" ht="15" hidden="false" customHeight="false" outlineLevel="0" collapsed="false">
      <c r="D3707" s="0" t="s">
        <v>90</v>
      </c>
      <c r="E3707" s="0" t="s">
        <v>91</v>
      </c>
      <c r="F3707" s="0" t="s">
        <v>92</v>
      </c>
      <c r="G3707" s="0" t="s">
        <v>152</v>
      </c>
      <c r="H3707" s="0" t="s">
        <v>152</v>
      </c>
      <c r="I3707" s="0" t="s">
        <v>36</v>
      </c>
      <c r="J3707" s="0" t="s">
        <v>37</v>
      </c>
      <c r="K3707" s="0" t="s">
        <v>48</v>
      </c>
      <c r="L3707" s="0" t="s">
        <v>49</v>
      </c>
      <c r="M3707" s="0" t="s">
        <v>140</v>
      </c>
      <c r="N3707" s="0" t="n">
        <v>601</v>
      </c>
      <c r="O3707" s="10" t="n">
        <v>0.80940724699758</v>
      </c>
      <c r="P3707" s="10" t="n">
        <v>0.719914150424302</v>
      </c>
      <c r="Q3707" s="0" t="str">
        <f aca="false">SUBSTITUTE(SUBSTITUTE($I3707,CHAR(61),""),CHAR(34),"")</f>
        <v>10-14</v>
      </c>
      <c r="R3707" s="0" t="str">
        <f aca="false">IF($D3707&lt;&gt;"","["&amp;$E3707&amp;"]"&amp;"|"&amp;$Q3707&amp;"|"&amp;$K3707&amp;"|"&amp;$G3707&amp;"|"&amp;IF($G3707="TX_CURR_SUBNAT.R","CY2022Q4",$M3707),"")</f>
        <v>[AZyWpGzhcaA]|10-14|Male|Incidence_SUBNAT.Rt.T_1|CY2023Q3</v>
      </c>
    </row>
    <row r="3708" customFormat="false" ht="15" hidden="false" customHeight="false" outlineLevel="0" collapsed="false">
      <c r="D3708" s="0" t="s">
        <v>90</v>
      </c>
      <c r="E3708" s="0" t="s">
        <v>91</v>
      </c>
      <c r="F3708" s="0" t="s">
        <v>92</v>
      </c>
      <c r="G3708" s="0" t="s">
        <v>152</v>
      </c>
      <c r="H3708" s="0" t="s">
        <v>152</v>
      </c>
      <c r="I3708" s="0" t="s">
        <v>38</v>
      </c>
      <c r="J3708" s="0" t="s">
        <v>39</v>
      </c>
      <c r="K3708" s="0" t="s">
        <v>48</v>
      </c>
      <c r="L3708" s="0" t="s">
        <v>49</v>
      </c>
      <c r="M3708" s="0" t="s">
        <v>140</v>
      </c>
      <c r="N3708" s="0" t="n">
        <v>1008</v>
      </c>
      <c r="O3708" s="10" t="n">
        <v>0.458553962409496</v>
      </c>
      <c r="P3708" s="10" t="n">
        <v>0.719914150424302</v>
      </c>
      <c r="Q3708" s="0" t="str">
        <f aca="false">SUBSTITUTE(SUBSTITUTE($I3708,CHAR(61),""),CHAR(34),"")</f>
        <v>15-24</v>
      </c>
      <c r="R3708" s="0" t="str">
        <f aca="false">IF($D3708&lt;&gt;"","["&amp;$E3708&amp;"]"&amp;"|"&amp;$Q3708&amp;"|"&amp;$K3708&amp;"|"&amp;$G3708&amp;"|"&amp;IF($G3708="TX_CURR_SUBNAT.R","CY2022Q4",$M3708),"")</f>
        <v>[AZyWpGzhcaA]|15-24|Male|Incidence_SUBNAT.Rt.T_1|CY2023Q3</v>
      </c>
    </row>
    <row r="3709" customFormat="false" ht="15" hidden="false" customHeight="false" outlineLevel="0" collapsed="false">
      <c r="D3709" s="0" t="s">
        <v>90</v>
      </c>
      <c r="E3709" s="0" t="s">
        <v>91</v>
      </c>
      <c r="F3709" s="0" t="s">
        <v>92</v>
      </c>
      <c r="G3709" s="0" t="s">
        <v>152</v>
      </c>
      <c r="H3709" s="0" t="s">
        <v>152</v>
      </c>
      <c r="I3709" s="0" t="s">
        <v>41</v>
      </c>
      <c r="J3709" s="0" t="s">
        <v>42</v>
      </c>
      <c r="K3709" s="0" t="s">
        <v>48</v>
      </c>
      <c r="L3709" s="0" t="s">
        <v>49</v>
      </c>
      <c r="M3709" s="0" t="s">
        <v>140</v>
      </c>
      <c r="N3709" s="0" t="n">
        <v>1136</v>
      </c>
      <c r="O3709" s="10" t="n">
        <v>0.228620321955532</v>
      </c>
      <c r="P3709" s="10" t="n">
        <v>0.719914150424302</v>
      </c>
      <c r="Q3709" s="0" t="str">
        <f aca="false">SUBSTITUTE(SUBSTITUTE($I3709,CHAR(61),""),CHAR(34),"")</f>
        <v>25-34</v>
      </c>
      <c r="R3709" s="0" t="str">
        <f aca="false">IF($D3709&lt;&gt;"","["&amp;$E3709&amp;"]"&amp;"|"&amp;$Q3709&amp;"|"&amp;$K3709&amp;"|"&amp;$G3709&amp;"|"&amp;IF($G3709="TX_CURR_SUBNAT.R","CY2022Q4",$M3709),"")</f>
        <v>[AZyWpGzhcaA]|25-34|Male|Incidence_SUBNAT.Rt.T_1|CY2023Q3</v>
      </c>
    </row>
    <row r="3710" customFormat="false" ht="15" hidden="false" customHeight="false" outlineLevel="0" collapsed="false">
      <c r="D3710" s="0" t="s">
        <v>90</v>
      </c>
      <c r="E3710" s="0" t="s">
        <v>91</v>
      </c>
      <c r="F3710" s="0" t="s">
        <v>92</v>
      </c>
      <c r="G3710" s="0" t="s">
        <v>152</v>
      </c>
      <c r="H3710" s="0" t="s">
        <v>152</v>
      </c>
      <c r="I3710" s="0" t="s">
        <v>43</v>
      </c>
      <c r="J3710" s="0" t="s">
        <v>44</v>
      </c>
      <c r="K3710" s="0" t="s">
        <v>48</v>
      </c>
      <c r="L3710" s="0" t="s">
        <v>49</v>
      </c>
      <c r="M3710" s="0" t="s">
        <v>140</v>
      </c>
      <c r="N3710" s="0" t="n">
        <v>509</v>
      </c>
      <c r="O3710" s="10" t="n">
        <v>0.803433340974152</v>
      </c>
      <c r="P3710" s="10" t="n">
        <v>0.719914150424302</v>
      </c>
      <c r="Q3710" s="0" t="str">
        <f aca="false">SUBSTITUTE(SUBSTITUTE($I3710,CHAR(61),""),CHAR(34),"")</f>
        <v>35-49</v>
      </c>
      <c r="R3710" s="0" t="str">
        <f aca="false">IF($D3710&lt;&gt;"","["&amp;$E3710&amp;"]"&amp;"|"&amp;$Q3710&amp;"|"&amp;$K3710&amp;"|"&amp;$G3710&amp;"|"&amp;IF($G3710="TX_CURR_SUBNAT.R","CY2022Q4",$M3710),"")</f>
        <v>[AZyWpGzhcaA]|35-49|Male|Incidence_SUBNAT.Rt.T_1|CY2023Q3</v>
      </c>
    </row>
    <row r="3711" customFormat="false" ht="15" hidden="false" customHeight="false" outlineLevel="0" collapsed="false">
      <c r="D3711" s="0" t="s">
        <v>90</v>
      </c>
      <c r="E3711" s="0" t="s">
        <v>91</v>
      </c>
      <c r="F3711" s="0" t="s">
        <v>92</v>
      </c>
      <c r="G3711" s="0" t="s">
        <v>152</v>
      </c>
      <c r="H3711" s="0" t="s">
        <v>152</v>
      </c>
      <c r="I3711" s="0" t="s">
        <v>45</v>
      </c>
      <c r="J3711" s="0" t="s">
        <v>46</v>
      </c>
      <c r="K3711" s="0" t="s">
        <v>48</v>
      </c>
      <c r="L3711" s="0" t="s">
        <v>49</v>
      </c>
      <c r="M3711" s="0" t="s">
        <v>140</v>
      </c>
      <c r="N3711" s="0" t="n">
        <v>1190</v>
      </c>
      <c r="O3711" s="10" t="n">
        <v>0.534169961931184</v>
      </c>
      <c r="P3711" s="10" t="n">
        <v>0.719914150424302</v>
      </c>
      <c r="Q3711" s="0" t="str">
        <f aca="false">SUBSTITUTE(SUBSTITUTE($I3711,CHAR(61),""),CHAR(34),"")</f>
        <v>50+</v>
      </c>
      <c r="R3711" s="0" t="str">
        <f aca="false">IF($D3711&lt;&gt;"","["&amp;$E3711&amp;"]"&amp;"|"&amp;$Q3711&amp;"|"&amp;$K3711&amp;"|"&amp;$G3711&amp;"|"&amp;IF($G3711="TX_CURR_SUBNAT.R","CY2022Q4",$M3711),"")</f>
        <v>[AZyWpGzhcaA]|50+|Male|Incidence_SUBNAT.Rt.T_1|CY2023Q3</v>
      </c>
    </row>
    <row r="3712" customFormat="false" ht="15" hidden="false" customHeight="false" outlineLevel="0" collapsed="false">
      <c r="D3712" s="0" t="s">
        <v>93</v>
      </c>
      <c r="E3712" s="0" t="s">
        <v>94</v>
      </c>
      <c r="F3712" s="0" t="s">
        <v>95</v>
      </c>
      <c r="G3712" s="0" t="s">
        <v>152</v>
      </c>
      <c r="H3712" s="0" t="s">
        <v>152</v>
      </c>
      <c r="I3712" s="0" t="s">
        <v>28</v>
      </c>
      <c r="J3712" s="0" t="s">
        <v>29</v>
      </c>
      <c r="K3712" s="0" t="s">
        <v>30</v>
      </c>
      <c r="L3712" s="0" t="s">
        <v>31</v>
      </c>
      <c r="M3712" s="0" t="s">
        <v>140</v>
      </c>
      <c r="N3712" s="0" t="n">
        <v>923</v>
      </c>
      <c r="O3712" s="10" t="n">
        <v>0.543905213009566</v>
      </c>
      <c r="P3712" s="10" t="n">
        <v>0.362272296566516</v>
      </c>
      <c r="Q3712" s="0" t="str">
        <f aca="false">SUBSTITUTE(SUBSTITUTE($I3712,CHAR(61),""),CHAR(34),"")</f>
        <v>&lt;01</v>
      </c>
      <c r="R3712" s="0" t="str">
        <f aca="false">IF($D3712&lt;&gt;"","["&amp;$E3712&amp;"]"&amp;"|"&amp;$Q3712&amp;"|"&amp;$K3712&amp;"|"&amp;$G3712&amp;"|"&amp;IF($G3712="TX_CURR_SUBNAT.R","CY2022Q4",$M3712),"")</f>
        <v>[umc2n1Z4wNv]|&lt;01|Female|Incidence_SUBNAT.Rt.T_1|CY2023Q3</v>
      </c>
    </row>
    <row r="3713" customFormat="false" ht="15" hidden="false" customHeight="false" outlineLevel="0" collapsed="false">
      <c r="D3713" s="0" t="s">
        <v>93</v>
      </c>
      <c r="E3713" s="0" t="s">
        <v>94</v>
      </c>
      <c r="F3713" s="0" t="s">
        <v>95</v>
      </c>
      <c r="G3713" s="0" t="s">
        <v>152</v>
      </c>
      <c r="H3713" s="0" t="s">
        <v>152</v>
      </c>
      <c r="I3713" s="0" t="s">
        <v>33</v>
      </c>
      <c r="J3713" s="0" t="s">
        <v>34</v>
      </c>
      <c r="K3713" s="0" t="s">
        <v>30</v>
      </c>
      <c r="L3713" s="0" t="s">
        <v>31</v>
      </c>
      <c r="M3713" s="0" t="s">
        <v>140</v>
      </c>
      <c r="N3713" s="0" t="n">
        <v>741</v>
      </c>
      <c r="O3713" s="10" t="n">
        <v>0.123776806984097</v>
      </c>
      <c r="P3713" s="10" t="n">
        <v>0.362272296566516</v>
      </c>
      <c r="Q3713" s="0" t="str">
        <f aca="false">SUBSTITUTE(SUBSTITUTE($I3713,CHAR(61),""),CHAR(34),"")</f>
        <v>01-09</v>
      </c>
      <c r="R3713" s="0" t="str">
        <f aca="false">IF($D3713&lt;&gt;"","["&amp;$E3713&amp;"]"&amp;"|"&amp;$Q3713&amp;"|"&amp;$K3713&amp;"|"&amp;$G3713&amp;"|"&amp;IF($G3713="TX_CURR_SUBNAT.R","CY2022Q4",$M3713),"")</f>
        <v>[umc2n1Z4wNv]|01-09|Female|Incidence_SUBNAT.Rt.T_1|CY2023Q3</v>
      </c>
    </row>
    <row r="3714" customFormat="false" ht="15" hidden="false" customHeight="false" outlineLevel="0" collapsed="false">
      <c r="D3714" s="0" t="s">
        <v>93</v>
      </c>
      <c r="E3714" s="0" t="s">
        <v>94</v>
      </c>
      <c r="F3714" s="0" t="s">
        <v>95</v>
      </c>
      <c r="G3714" s="0" t="s">
        <v>152</v>
      </c>
      <c r="H3714" s="0" t="s">
        <v>152</v>
      </c>
      <c r="I3714" s="0" t="s">
        <v>36</v>
      </c>
      <c r="J3714" s="0" t="s">
        <v>37</v>
      </c>
      <c r="K3714" s="0" t="s">
        <v>30</v>
      </c>
      <c r="L3714" s="0" t="s">
        <v>31</v>
      </c>
      <c r="M3714" s="0" t="s">
        <v>140</v>
      </c>
      <c r="N3714" s="0" t="n">
        <v>1296</v>
      </c>
      <c r="O3714" s="10" t="n">
        <v>0.926589356269687</v>
      </c>
      <c r="P3714" s="10" t="n">
        <v>0.362272296566516</v>
      </c>
      <c r="Q3714" s="0" t="str">
        <f aca="false">SUBSTITUTE(SUBSTITUTE($I3714,CHAR(61),""),CHAR(34),"")</f>
        <v>10-14</v>
      </c>
      <c r="R3714" s="0" t="str">
        <f aca="false">IF($D3714&lt;&gt;"","["&amp;$E3714&amp;"]"&amp;"|"&amp;$Q3714&amp;"|"&amp;$K3714&amp;"|"&amp;$G3714&amp;"|"&amp;IF($G3714="TX_CURR_SUBNAT.R","CY2022Q4",$M3714),"")</f>
        <v>[umc2n1Z4wNv]|10-14|Female|Incidence_SUBNAT.Rt.T_1|CY2023Q3</v>
      </c>
    </row>
    <row r="3715" customFormat="false" ht="15" hidden="false" customHeight="false" outlineLevel="0" collapsed="false">
      <c r="D3715" s="0" t="s">
        <v>93</v>
      </c>
      <c r="E3715" s="0" t="s">
        <v>94</v>
      </c>
      <c r="F3715" s="0" t="s">
        <v>95</v>
      </c>
      <c r="G3715" s="0" t="s">
        <v>152</v>
      </c>
      <c r="H3715" s="0" t="s">
        <v>152</v>
      </c>
      <c r="I3715" s="0" t="s">
        <v>38</v>
      </c>
      <c r="J3715" s="0" t="s">
        <v>39</v>
      </c>
      <c r="K3715" s="0" t="s">
        <v>30</v>
      </c>
      <c r="L3715" s="0" t="s">
        <v>31</v>
      </c>
      <c r="M3715" s="0" t="s">
        <v>140</v>
      </c>
      <c r="N3715" s="0" t="n">
        <v>1350</v>
      </c>
      <c r="O3715" s="10" t="n">
        <v>0.851211281260476</v>
      </c>
      <c r="P3715" s="10" t="n">
        <v>0.362272296566516</v>
      </c>
      <c r="Q3715" s="0" t="str">
        <f aca="false">SUBSTITUTE(SUBSTITUTE($I3715,CHAR(61),""),CHAR(34),"")</f>
        <v>15-24</v>
      </c>
      <c r="R3715" s="0" t="str">
        <f aca="false">IF($D3715&lt;&gt;"","["&amp;$E3715&amp;"]"&amp;"|"&amp;$Q3715&amp;"|"&amp;$K3715&amp;"|"&amp;$G3715&amp;"|"&amp;IF($G3715="TX_CURR_SUBNAT.R","CY2022Q4",$M3715),"")</f>
        <v>[umc2n1Z4wNv]|15-24|Female|Incidence_SUBNAT.Rt.T_1|CY2023Q3</v>
      </c>
    </row>
    <row r="3716" customFormat="false" ht="15" hidden="false" customHeight="false" outlineLevel="0" collapsed="false">
      <c r="D3716" s="0" t="s">
        <v>93</v>
      </c>
      <c r="E3716" s="0" t="s">
        <v>94</v>
      </c>
      <c r="F3716" s="0" t="s">
        <v>95</v>
      </c>
      <c r="G3716" s="0" t="s">
        <v>152</v>
      </c>
      <c r="H3716" s="0" t="s">
        <v>152</v>
      </c>
      <c r="I3716" s="0" t="s">
        <v>41</v>
      </c>
      <c r="J3716" s="0" t="s">
        <v>42</v>
      </c>
      <c r="K3716" s="0" t="s">
        <v>30</v>
      </c>
      <c r="L3716" s="0" t="s">
        <v>31</v>
      </c>
      <c r="M3716" s="0" t="s">
        <v>140</v>
      </c>
      <c r="N3716" s="0" t="n">
        <v>877</v>
      </c>
      <c r="O3716" s="10" t="n">
        <v>0.908438746584579</v>
      </c>
      <c r="P3716" s="10" t="n">
        <v>0.362272296566516</v>
      </c>
      <c r="Q3716" s="0" t="str">
        <f aca="false">SUBSTITUTE(SUBSTITUTE($I3716,CHAR(61),""),CHAR(34),"")</f>
        <v>25-34</v>
      </c>
      <c r="R3716" s="0" t="str">
        <f aca="false">IF($D3716&lt;&gt;"","["&amp;$E3716&amp;"]"&amp;"|"&amp;$Q3716&amp;"|"&amp;$K3716&amp;"|"&amp;$G3716&amp;"|"&amp;IF($G3716="TX_CURR_SUBNAT.R","CY2022Q4",$M3716),"")</f>
        <v>[umc2n1Z4wNv]|25-34|Female|Incidence_SUBNAT.Rt.T_1|CY2023Q3</v>
      </c>
    </row>
    <row r="3717" customFormat="false" ht="15" hidden="false" customHeight="false" outlineLevel="0" collapsed="false">
      <c r="D3717" s="0" t="s">
        <v>93</v>
      </c>
      <c r="E3717" s="0" t="s">
        <v>94</v>
      </c>
      <c r="F3717" s="0" t="s">
        <v>95</v>
      </c>
      <c r="G3717" s="0" t="s">
        <v>152</v>
      </c>
      <c r="H3717" s="0" t="s">
        <v>152</v>
      </c>
      <c r="I3717" s="0" t="s">
        <v>43</v>
      </c>
      <c r="J3717" s="0" t="s">
        <v>44</v>
      </c>
      <c r="K3717" s="0" t="s">
        <v>30</v>
      </c>
      <c r="L3717" s="0" t="s">
        <v>31</v>
      </c>
      <c r="M3717" s="0" t="s">
        <v>140</v>
      </c>
      <c r="N3717" s="0" t="n">
        <v>1843</v>
      </c>
      <c r="O3717" s="10" t="n">
        <v>0.865264812018722</v>
      </c>
      <c r="P3717" s="10" t="n">
        <v>0.362272296566516</v>
      </c>
      <c r="Q3717" s="0" t="str">
        <f aca="false">SUBSTITUTE(SUBSTITUTE($I3717,CHAR(61),""),CHAR(34),"")</f>
        <v>35-49</v>
      </c>
      <c r="R3717" s="0" t="str">
        <f aca="false">IF($D3717&lt;&gt;"","["&amp;$E3717&amp;"]"&amp;"|"&amp;$Q3717&amp;"|"&amp;$K3717&amp;"|"&amp;$G3717&amp;"|"&amp;IF($G3717="TX_CURR_SUBNAT.R","CY2022Q4",$M3717),"")</f>
        <v>[umc2n1Z4wNv]|35-49|Female|Incidence_SUBNAT.Rt.T_1|CY2023Q3</v>
      </c>
    </row>
    <row r="3718" customFormat="false" ht="15" hidden="false" customHeight="false" outlineLevel="0" collapsed="false">
      <c r="D3718" s="0" t="s">
        <v>93</v>
      </c>
      <c r="E3718" s="0" t="s">
        <v>94</v>
      </c>
      <c r="F3718" s="0" t="s">
        <v>95</v>
      </c>
      <c r="G3718" s="0" t="s">
        <v>152</v>
      </c>
      <c r="H3718" s="0" t="s">
        <v>152</v>
      </c>
      <c r="I3718" s="0" t="s">
        <v>45</v>
      </c>
      <c r="J3718" s="0" t="s">
        <v>46</v>
      </c>
      <c r="K3718" s="0" t="s">
        <v>30</v>
      </c>
      <c r="L3718" s="0" t="s">
        <v>31</v>
      </c>
      <c r="M3718" s="0" t="s">
        <v>140</v>
      </c>
      <c r="N3718" s="0" t="n">
        <v>1066</v>
      </c>
      <c r="O3718" s="10" t="n">
        <v>0.343573712045327</v>
      </c>
      <c r="P3718" s="10" t="n">
        <v>0.362272296566516</v>
      </c>
      <c r="Q3718" s="0" t="str">
        <f aca="false">SUBSTITUTE(SUBSTITUTE($I3718,CHAR(61),""),CHAR(34),"")</f>
        <v>50+</v>
      </c>
      <c r="R3718" s="0" t="str">
        <f aca="false">IF($D3718&lt;&gt;"","["&amp;$E3718&amp;"]"&amp;"|"&amp;$Q3718&amp;"|"&amp;$K3718&amp;"|"&amp;$G3718&amp;"|"&amp;IF($G3718="TX_CURR_SUBNAT.R","CY2022Q4",$M3718),"")</f>
        <v>[umc2n1Z4wNv]|50+|Female|Incidence_SUBNAT.Rt.T_1|CY2023Q3</v>
      </c>
    </row>
    <row r="3719" customFormat="false" ht="15" hidden="false" customHeight="false" outlineLevel="0" collapsed="false">
      <c r="D3719" s="0" t="s">
        <v>93</v>
      </c>
      <c r="E3719" s="0" t="s">
        <v>94</v>
      </c>
      <c r="F3719" s="0" t="s">
        <v>95</v>
      </c>
      <c r="G3719" s="0" t="s">
        <v>152</v>
      </c>
      <c r="H3719" s="0" t="s">
        <v>152</v>
      </c>
      <c r="I3719" s="0" t="s">
        <v>28</v>
      </c>
      <c r="J3719" s="0" t="s">
        <v>29</v>
      </c>
      <c r="K3719" s="0" t="s">
        <v>48</v>
      </c>
      <c r="L3719" s="0" t="s">
        <v>49</v>
      </c>
      <c r="M3719" s="0" t="s">
        <v>140</v>
      </c>
      <c r="N3719" s="0" t="n">
        <v>1099</v>
      </c>
      <c r="O3719" s="10" t="n">
        <v>0.330586643423885</v>
      </c>
      <c r="P3719" s="10" t="n">
        <v>0.362272296566516</v>
      </c>
      <c r="Q3719" s="0" t="str">
        <f aca="false">SUBSTITUTE(SUBSTITUTE($I3719,CHAR(61),""),CHAR(34),"")</f>
        <v>&lt;01</v>
      </c>
      <c r="R3719" s="0" t="str">
        <f aca="false">IF($D3719&lt;&gt;"","["&amp;$E3719&amp;"]"&amp;"|"&amp;$Q3719&amp;"|"&amp;$K3719&amp;"|"&amp;$G3719&amp;"|"&amp;IF($G3719="TX_CURR_SUBNAT.R","CY2022Q4",$M3719),"")</f>
        <v>[umc2n1Z4wNv]|&lt;01|Male|Incidence_SUBNAT.Rt.T_1|CY2023Q3</v>
      </c>
    </row>
    <row r="3720" customFormat="false" ht="15" hidden="false" customHeight="false" outlineLevel="0" collapsed="false">
      <c r="D3720" s="0" t="s">
        <v>93</v>
      </c>
      <c r="E3720" s="0" t="s">
        <v>94</v>
      </c>
      <c r="F3720" s="0" t="s">
        <v>95</v>
      </c>
      <c r="G3720" s="0" t="s">
        <v>152</v>
      </c>
      <c r="H3720" s="0" t="s">
        <v>152</v>
      </c>
      <c r="I3720" s="0" t="s">
        <v>33</v>
      </c>
      <c r="J3720" s="0" t="s">
        <v>34</v>
      </c>
      <c r="K3720" s="0" t="s">
        <v>48</v>
      </c>
      <c r="L3720" s="0" t="s">
        <v>49</v>
      </c>
      <c r="M3720" s="0" t="s">
        <v>140</v>
      </c>
      <c r="N3720" s="0" t="n">
        <v>790</v>
      </c>
      <c r="O3720" s="10" t="n">
        <v>0.309810027247295</v>
      </c>
      <c r="P3720" s="10" t="n">
        <v>0.362272296566516</v>
      </c>
      <c r="Q3720" s="0" t="str">
        <f aca="false">SUBSTITUTE(SUBSTITUTE($I3720,CHAR(61),""),CHAR(34),"")</f>
        <v>01-09</v>
      </c>
      <c r="R3720" s="0" t="str">
        <f aca="false">IF($D3720&lt;&gt;"","["&amp;$E3720&amp;"]"&amp;"|"&amp;$Q3720&amp;"|"&amp;$K3720&amp;"|"&amp;$G3720&amp;"|"&amp;IF($G3720="TX_CURR_SUBNAT.R","CY2022Q4",$M3720),"")</f>
        <v>[umc2n1Z4wNv]|01-09|Male|Incidence_SUBNAT.Rt.T_1|CY2023Q3</v>
      </c>
    </row>
    <row r="3721" customFormat="false" ht="15" hidden="false" customHeight="false" outlineLevel="0" collapsed="false">
      <c r="D3721" s="0" t="s">
        <v>93</v>
      </c>
      <c r="E3721" s="0" t="s">
        <v>94</v>
      </c>
      <c r="F3721" s="0" t="s">
        <v>95</v>
      </c>
      <c r="G3721" s="0" t="s">
        <v>152</v>
      </c>
      <c r="H3721" s="0" t="s">
        <v>152</v>
      </c>
      <c r="I3721" s="0" t="s">
        <v>36</v>
      </c>
      <c r="J3721" s="0" t="s">
        <v>37</v>
      </c>
      <c r="K3721" s="0" t="s">
        <v>48</v>
      </c>
      <c r="L3721" s="0" t="s">
        <v>49</v>
      </c>
      <c r="M3721" s="0" t="s">
        <v>140</v>
      </c>
      <c r="N3721" s="0" t="n">
        <v>1008</v>
      </c>
      <c r="O3721" s="10" t="n">
        <v>0.339372295420617</v>
      </c>
      <c r="P3721" s="10" t="n">
        <v>0.362272296566516</v>
      </c>
      <c r="Q3721" s="0" t="str">
        <f aca="false">SUBSTITUTE(SUBSTITUTE($I3721,CHAR(61),""),CHAR(34),"")</f>
        <v>10-14</v>
      </c>
      <c r="R3721" s="0" t="str">
        <f aca="false">IF($D3721&lt;&gt;"","["&amp;$E3721&amp;"]"&amp;"|"&amp;$Q3721&amp;"|"&amp;$K3721&amp;"|"&amp;$G3721&amp;"|"&amp;IF($G3721="TX_CURR_SUBNAT.R","CY2022Q4",$M3721),"")</f>
        <v>[umc2n1Z4wNv]|10-14|Male|Incidence_SUBNAT.Rt.T_1|CY2023Q3</v>
      </c>
    </row>
    <row r="3722" customFormat="false" ht="15" hidden="false" customHeight="false" outlineLevel="0" collapsed="false">
      <c r="D3722" s="0" t="s">
        <v>93</v>
      </c>
      <c r="E3722" s="0" t="s">
        <v>94</v>
      </c>
      <c r="F3722" s="0" t="s">
        <v>95</v>
      </c>
      <c r="G3722" s="0" t="s">
        <v>152</v>
      </c>
      <c r="H3722" s="0" t="s">
        <v>152</v>
      </c>
      <c r="I3722" s="0" t="s">
        <v>38</v>
      </c>
      <c r="J3722" s="0" t="s">
        <v>39</v>
      </c>
      <c r="K3722" s="0" t="s">
        <v>48</v>
      </c>
      <c r="L3722" s="0" t="s">
        <v>49</v>
      </c>
      <c r="M3722" s="0" t="s">
        <v>140</v>
      </c>
      <c r="N3722" s="0" t="n">
        <v>914</v>
      </c>
      <c r="O3722" s="10" t="n">
        <v>0.0147934607230127</v>
      </c>
      <c r="P3722" s="10" t="n">
        <v>0.362272296566516</v>
      </c>
      <c r="Q3722" s="0" t="str">
        <f aca="false">SUBSTITUTE(SUBSTITUTE($I3722,CHAR(61),""),CHAR(34),"")</f>
        <v>15-24</v>
      </c>
      <c r="R3722" s="0" t="str">
        <f aca="false">IF($D3722&lt;&gt;"","["&amp;$E3722&amp;"]"&amp;"|"&amp;$Q3722&amp;"|"&amp;$K3722&amp;"|"&amp;$G3722&amp;"|"&amp;IF($G3722="TX_CURR_SUBNAT.R","CY2022Q4",$M3722),"")</f>
        <v>[umc2n1Z4wNv]|15-24|Male|Incidence_SUBNAT.Rt.T_1|CY2023Q3</v>
      </c>
    </row>
    <row r="3723" customFormat="false" ht="15" hidden="false" customHeight="false" outlineLevel="0" collapsed="false">
      <c r="D3723" s="0" t="s">
        <v>93</v>
      </c>
      <c r="E3723" s="0" t="s">
        <v>94</v>
      </c>
      <c r="F3723" s="0" t="s">
        <v>95</v>
      </c>
      <c r="G3723" s="0" t="s">
        <v>152</v>
      </c>
      <c r="H3723" s="0" t="s">
        <v>152</v>
      </c>
      <c r="I3723" s="0" t="s">
        <v>41</v>
      </c>
      <c r="J3723" s="0" t="s">
        <v>42</v>
      </c>
      <c r="K3723" s="0" t="s">
        <v>48</v>
      </c>
      <c r="L3723" s="0" t="s">
        <v>49</v>
      </c>
      <c r="M3723" s="0" t="s">
        <v>140</v>
      </c>
      <c r="N3723" s="0" t="n">
        <v>1990</v>
      </c>
      <c r="O3723" s="10" t="n">
        <v>0.969667483586818</v>
      </c>
      <c r="P3723" s="10" t="n">
        <v>0.362272296566516</v>
      </c>
      <c r="Q3723" s="0" t="str">
        <f aca="false">SUBSTITUTE(SUBSTITUTE($I3723,CHAR(61),""),CHAR(34),"")</f>
        <v>25-34</v>
      </c>
      <c r="R3723" s="0" t="str">
        <f aca="false">IF($D3723&lt;&gt;"","["&amp;$E3723&amp;"]"&amp;"|"&amp;$Q3723&amp;"|"&amp;$K3723&amp;"|"&amp;$G3723&amp;"|"&amp;IF($G3723="TX_CURR_SUBNAT.R","CY2022Q4",$M3723),"")</f>
        <v>[umc2n1Z4wNv]|25-34|Male|Incidence_SUBNAT.Rt.T_1|CY2023Q3</v>
      </c>
    </row>
    <row r="3724" customFormat="false" ht="15" hidden="false" customHeight="false" outlineLevel="0" collapsed="false">
      <c r="D3724" s="0" t="s">
        <v>93</v>
      </c>
      <c r="E3724" s="0" t="s">
        <v>94</v>
      </c>
      <c r="F3724" s="0" t="s">
        <v>95</v>
      </c>
      <c r="G3724" s="0" t="s">
        <v>152</v>
      </c>
      <c r="H3724" s="0" t="s">
        <v>152</v>
      </c>
      <c r="I3724" s="0" t="s">
        <v>43</v>
      </c>
      <c r="J3724" s="0" t="s">
        <v>44</v>
      </c>
      <c r="K3724" s="0" t="s">
        <v>48</v>
      </c>
      <c r="L3724" s="0" t="s">
        <v>49</v>
      </c>
      <c r="M3724" s="0" t="s">
        <v>140</v>
      </c>
      <c r="N3724" s="0" t="n">
        <v>892</v>
      </c>
      <c r="O3724" s="10" t="n">
        <v>0.200528037035838</v>
      </c>
      <c r="P3724" s="10" t="n">
        <v>0.362272296566516</v>
      </c>
      <c r="Q3724" s="0" t="str">
        <f aca="false">SUBSTITUTE(SUBSTITUTE($I3724,CHAR(61),""),CHAR(34),"")</f>
        <v>35-49</v>
      </c>
      <c r="R3724" s="0" t="str">
        <f aca="false">IF($D3724&lt;&gt;"","["&amp;$E3724&amp;"]"&amp;"|"&amp;$Q3724&amp;"|"&amp;$K3724&amp;"|"&amp;$G3724&amp;"|"&amp;IF($G3724="TX_CURR_SUBNAT.R","CY2022Q4",$M3724),"")</f>
        <v>[umc2n1Z4wNv]|35-49|Male|Incidence_SUBNAT.Rt.T_1|CY2023Q3</v>
      </c>
    </row>
    <row r="3725" customFormat="false" ht="15" hidden="false" customHeight="false" outlineLevel="0" collapsed="false">
      <c r="D3725" s="0" t="s">
        <v>93</v>
      </c>
      <c r="E3725" s="0" t="s">
        <v>94</v>
      </c>
      <c r="F3725" s="0" t="s">
        <v>95</v>
      </c>
      <c r="G3725" s="0" t="s">
        <v>152</v>
      </c>
      <c r="H3725" s="0" t="s">
        <v>152</v>
      </c>
      <c r="I3725" s="0" t="s">
        <v>45</v>
      </c>
      <c r="J3725" s="0" t="s">
        <v>46</v>
      </c>
      <c r="K3725" s="0" t="s">
        <v>48</v>
      </c>
      <c r="L3725" s="0" t="s">
        <v>49</v>
      </c>
      <c r="M3725" s="0" t="s">
        <v>140</v>
      </c>
      <c r="N3725" s="0" t="n">
        <v>1753</v>
      </c>
      <c r="O3725" s="10" t="n">
        <v>0.36270226445049</v>
      </c>
      <c r="P3725" s="10" t="n">
        <v>0.362272296566516</v>
      </c>
      <c r="Q3725" s="0" t="str">
        <f aca="false">SUBSTITUTE(SUBSTITUTE($I3725,CHAR(61),""),CHAR(34),"")</f>
        <v>50+</v>
      </c>
      <c r="R3725" s="0" t="str">
        <f aca="false">IF($D3725&lt;&gt;"","["&amp;$E3725&amp;"]"&amp;"|"&amp;$Q3725&amp;"|"&amp;$K3725&amp;"|"&amp;$G3725&amp;"|"&amp;IF($G3725="TX_CURR_SUBNAT.R","CY2022Q4",$M3725),"")</f>
        <v>[umc2n1Z4wNv]|50+|Male|Incidence_SUBNAT.Rt.T_1|CY2023Q3</v>
      </c>
    </row>
    <row r="3726" customFormat="false" ht="15" hidden="false" customHeight="false" outlineLevel="0" collapsed="false">
      <c r="D3726" s="0" t="s">
        <v>96</v>
      </c>
      <c r="E3726" s="0" t="s">
        <v>97</v>
      </c>
      <c r="F3726" s="0" t="s">
        <v>98</v>
      </c>
      <c r="G3726" s="0" t="s">
        <v>152</v>
      </c>
      <c r="H3726" s="0" t="s">
        <v>152</v>
      </c>
      <c r="I3726" s="0" t="s">
        <v>28</v>
      </c>
      <c r="J3726" s="0" t="s">
        <v>29</v>
      </c>
      <c r="K3726" s="0" t="s">
        <v>30</v>
      </c>
      <c r="L3726" s="0" t="s">
        <v>31</v>
      </c>
      <c r="M3726" s="0" t="s">
        <v>140</v>
      </c>
      <c r="N3726" s="0" t="n">
        <v>994</v>
      </c>
      <c r="O3726" s="10" t="n">
        <v>0.965619921684265</v>
      </c>
      <c r="P3726" s="10" t="n">
        <v>0.601251717889681</v>
      </c>
      <c r="Q3726" s="0" t="str">
        <f aca="false">SUBSTITUTE(SUBSTITUTE($I3726,CHAR(61),""),CHAR(34),"")</f>
        <v>&lt;01</v>
      </c>
      <c r="R3726" s="0" t="str">
        <f aca="false">IF($D3726&lt;&gt;"","["&amp;$E3726&amp;"]"&amp;"|"&amp;$Q3726&amp;"|"&amp;$K3726&amp;"|"&amp;$G3726&amp;"|"&amp;IF($G3726="TX_CURR_SUBNAT.R","CY2022Q4",$M3726),"")</f>
        <v>[gwVYinjBAe9]|&lt;01|Female|Incidence_SUBNAT.Rt.T_1|CY2023Q3</v>
      </c>
    </row>
    <row r="3727" customFormat="false" ht="15" hidden="false" customHeight="false" outlineLevel="0" collapsed="false">
      <c r="D3727" s="0" t="s">
        <v>96</v>
      </c>
      <c r="E3727" s="0" t="s">
        <v>97</v>
      </c>
      <c r="F3727" s="0" t="s">
        <v>98</v>
      </c>
      <c r="G3727" s="0" t="s">
        <v>152</v>
      </c>
      <c r="H3727" s="0" t="s">
        <v>152</v>
      </c>
      <c r="I3727" s="0" t="s">
        <v>33</v>
      </c>
      <c r="J3727" s="0" t="s">
        <v>34</v>
      </c>
      <c r="K3727" s="0" t="s">
        <v>30</v>
      </c>
      <c r="L3727" s="0" t="s">
        <v>31</v>
      </c>
      <c r="M3727" s="0" t="s">
        <v>140</v>
      </c>
      <c r="N3727" s="0" t="n">
        <v>1779</v>
      </c>
      <c r="O3727" s="10" t="n">
        <v>0.416591217275709</v>
      </c>
      <c r="P3727" s="10" t="n">
        <v>0.601251717889681</v>
      </c>
      <c r="Q3727" s="0" t="str">
        <f aca="false">SUBSTITUTE(SUBSTITUTE($I3727,CHAR(61),""),CHAR(34),"")</f>
        <v>01-09</v>
      </c>
      <c r="R3727" s="0" t="str">
        <f aca="false">IF($D3727&lt;&gt;"","["&amp;$E3727&amp;"]"&amp;"|"&amp;$Q3727&amp;"|"&amp;$K3727&amp;"|"&amp;$G3727&amp;"|"&amp;IF($G3727="TX_CURR_SUBNAT.R","CY2022Q4",$M3727),"")</f>
        <v>[gwVYinjBAe9]|01-09|Female|Incidence_SUBNAT.Rt.T_1|CY2023Q3</v>
      </c>
    </row>
    <row r="3728" customFormat="false" ht="15" hidden="false" customHeight="false" outlineLevel="0" collapsed="false">
      <c r="D3728" s="0" t="s">
        <v>96</v>
      </c>
      <c r="E3728" s="0" t="s">
        <v>97</v>
      </c>
      <c r="F3728" s="0" t="s">
        <v>98</v>
      </c>
      <c r="G3728" s="0" t="s">
        <v>152</v>
      </c>
      <c r="H3728" s="0" t="s">
        <v>152</v>
      </c>
      <c r="I3728" s="0" t="s">
        <v>36</v>
      </c>
      <c r="J3728" s="0" t="s">
        <v>37</v>
      </c>
      <c r="K3728" s="0" t="s">
        <v>30</v>
      </c>
      <c r="L3728" s="0" t="s">
        <v>31</v>
      </c>
      <c r="M3728" s="0" t="s">
        <v>140</v>
      </c>
      <c r="N3728" s="0" t="n">
        <v>1987</v>
      </c>
      <c r="O3728" s="10" t="n">
        <v>0.147189003415406</v>
      </c>
      <c r="P3728" s="10" t="n">
        <v>0.601251717889681</v>
      </c>
      <c r="Q3728" s="0" t="str">
        <f aca="false">SUBSTITUTE(SUBSTITUTE($I3728,CHAR(61),""),CHAR(34),"")</f>
        <v>10-14</v>
      </c>
      <c r="R3728" s="0" t="str">
        <f aca="false">IF($D3728&lt;&gt;"","["&amp;$E3728&amp;"]"&amp;"|"&amp;$Q3728&amp;"|"&amp;$K3728&amp;"|"&amp;$G3728&amp;"|"&amp;IF($G3728="TX_CURR_SUBNAT.R","CY2022Q4",$M3728),"")</f>
        <v>[gwVYinjBAe9]|10-14|Female|Incidence_SUBNAT.Rt.T_1|CY2023Q3</v>
      </c>
    </row>
    <row r="3729" customFormat="false" ht="15" hidden="false" customHeight="false" outlineLevel="0" collapsed="false">
      <c r="D3729" s="0" t="s">
        <v>96</v>
      </c>
      <c r="E3729" s="0" t="s">
        <v>97</v>
      </c>
      <c r="F3729" s="0" t="s">
        <v>98</v>
      </c>
      <c r="G3729" s="0" t="s">
        <v>152</v>
      </c>
      <c r="H3729" s="0" t="s">
        <v>152</v>
      </c>
      <c r="I3729" s="0" t="s">
        <v>38</v>
      </c>
      <c r="J3729" s="0" t="s">
        <v>39</v>
      </c>
      <c r="K3729" s="0" t="s">
        <v>30</v>
      </c>
      <c r="L3729" s="0" t="s">
        <v>31</v>
      </c>
      <c r="M3729" s="0" t="s">
        <v>140</v>
      </c>
      <c r="N3729" s="0" t="n">
        <v>1380</v>
      </c>
      <c r="O3729" s="10" t="n">
        <v>0.0943193277344108</v>
      </c>
      <c r="P3729" s="10" t="n">
        <v>0.601251717889681</v>
      </c>
      <c r="Q3729" s="0" t="str">
        <f aca="false">SUBSTITUTE(SUBSTITUTE($I3729,CHAR(61),""),CHAR(34),"")</f>
        <v>15-24</v>
      </c>
      <c r="R3729" s="0" t="str">
        <f aca="false">IF($D3729&lt;&gt;"","["&amp;$E3729&amp;"]"&amp;"|"&amp;$Q3729&amp;"|"&amp;$K3729&amp;"|"&amp;$G3729&amp;"|"&amp;IF($G3729="TX_CURR_SUBNAT.R","CY2022Q4",$M3729),"")</f>
        <v>[gwVYinjBAe9]|15-24|Female|Incidence_SUBNAT.Rt.T_1|CY2023Q3</v>
      </c>
    </row>
    <row r="3730" customFormat="false" ht="15" hidden="false" customHeight="false" outlineLevel="0" collapsed="false">
      <c r="D3730" s="0" t="s">
        <v>96</v>
      </c>
      <c r="E3730" s="0" t="s">
        <v>97</v>
      </c>
      <c r="F3730" s="0" t="s">
        <v>98</v>
      </c>
      <c r="G3730" s="0" t="s">
        <v>152</v>
      </c>
      <c r="H3730" s="0" t="s">
        <v>152</v>
      </c>
      <c r="I3730" s="0" t="s">
        <v>41</v>
      </c>
      <c r="J3730" s="0" t="s">
        <v>42</v>
      </c>
      <c r="K3730" s="0" t="s">
        <v>30</v>
      </c>
      <c r="L3730" s="0" t="s">
        <v>31</v>
      </c>
      <c r="M3730" s="0" t="s">
        <v>140</v>
      </c>
      <c r="N3730" s="0" t="n">
        <v>1318</v>
      </c>
      <c r="O3730" s="10" t="n">
        <v>0.000849179225042462</v>
      </c>
      <c r="P3730" s="10" t="n">
        <v>0.601251717889681</v>
      </c>
      <c r="Q3730" s="0" t="str">
        <f aca="false">SUBSTITUTE(SUBSTITUTE($I3730,CHAR(61),""),CHAR(34),"")</f>
        <v>25-34</v>
      </c>
      <c r="R3730" s="0" t="str">
        <f aca="false">IF($D3730&lt;&gt;"","["&amp;$E3730&amp;"]"&amp;"|"&amp;$Q3730&amp;"|"&amp;$K3730&amp;"|"&amp;$G3730&amp;"|"&amp;IF($G3730="TX_CURR_SUBNAT.R","CY2022Q4",$M3730),"")</f>
        <v>[gwVYinjBAe9]|25-34|Female|Incidence_SUBNAT.Rt.T_1|CY2023Q3</v>
      </c>
    </row>
    <row r="3731" customFormat="false" ht="15" hidden="false" customHeight="false" outlineLevel="0" collapsed="false">
      <c r="D3731" s="0" t="s">
        <v>96</v>
      </c>
      <c r="E3731" s="0" t="s">
        <v>97</v>
      </c>
      <c r="F3731" s="0" t="s">
        <v>98</v>
      </c>
      <c r="G3731" s="0" t="s">
        <v>152</v>
      </c>
      <c r="H3731" s="0" t="s">
        <v>152</v>
      </c>
      <c r="I3731" s="0" t="s">
        <v>43</v>
      </c>
      <c r="J3731" s="0" t="s">
        <v>44</v>
      </c>
      <c r="K3731" s="0" t="s">
        <v>30</v>
      </c>
      <c r="L3731" s="0" t="s">
        <v>31</v>
      </c>
      <c r="M3731" s="0" t="s">
        <v>140</v>
      </c>
      <c r="N3731" s="0" t="n">
        <v>1834</v>
      </c>
      <c r="O3731" s="10" t="n">
        <v>0.279434854630381</v>
      </c>
      <c r="P3731" s="10" t="n">
        <v>0.601251717889681</v>
      </c>
      <c r="Q3731" s="0" t="str">
        <f aca="false">SUBSTITUTE(SUBSTITUTE($I3731,CHAR(61),""),CHAR(34),"")</f>
        <v>35-49</v>
      </c>
      <c r="R3731" s="0" t="str">
        <f aca="false">IF($D3731&lt;&gt;"","["&amp;$E3731&amp;"]"&amp;"|"&amp;$Q3731&amp;"|"&amp;$K3731&amp;"|"&amp;$G3731&amp;"|"&amp;IF($G3731="TX_CURR_SUBNAT.R","CY2022Q4",$M3731),"")</f>
        <v>[gwVYinjBAe9]|35-49|Female|Incidence_SUBNAT.Rt.T_1|CY2023Q3</v>
      </c>
    </row>
    <row r="3732" customFormat="false" ht="15" hidden="false" customHeight="false" outlineLevel="0" collapsed="false">
      <c r="D3732" s="0" t="s">
        <v>96</v>
      </c>
      <c r="E3732" s="0" t="s">
        <v>97</v>
      </c>
      <c r="F3732" s="0" t="s">
        <v>98</v>
      </c>
      <c r="G3732" s="0" t="s">
        <v>152</v>
      </c>
      <c r="H3732" s="0" t="s">
        <v>152</v>
      </c>
      <c r="I3732" s="0" t="s">
        <v>45</v>
      </c>
      <c r="J3732" s="0" t="s">
        <v>46</v>
      </c>
      <c r="K3732" s="0" t="s">
        <v>30</v>
      </c>
      <c r="L3732" s="0" t="s">
        <v>31</v>
      </c>
      <c r="M3732" s="0" t="s">
        <v>140</v>
      </c>
      <c r="N3732" s="0" t="n">
        <v>1350</v>
      </c>
      <c r="O3732" s="10" t="n">
        <v>0.913467418402433</v>
      </c>
      <c r="P3732" s="10" t="n">
        <v>0.601251717889681</v>
      </c>
      <c r="Q3732" s="0" t="str">
        <f aca="false">SUBSTITUTE(SUBSTITUTE($I3732,CHAR(61),""),CHAR(34),"")</f>
        <v>50+</v>
      </c>
      <c r="R3732" s="0" t="str">
        <f aca="false">IF($D3732&lt;&gt;"","["&amp;$E3732&amp;"]"&amp;"|"&amp;$Q3732&amp;"|"&amp;$K3732&amp;"|"&amp;$G3732&amp;"|"&amp;IF($G3732="TX_CURR_SUBNAT.R","CY2022Q4",$M3732),"")</f>
        <v>[gwVYinjBAe9]|50+|Female|Incidence_SUBNAT.Rt.T_1|CY2023Q3</v>
      </c>
    </row>
    <row r="3733" customFormat="false" ht="15" hidden="false" customHeight="false" outlineLevel="0" collapsed="false">
      <c r="D3733" s="0" t="s">
        <v>96</v>
      </c>
      <c r="E3733" s="0" t="s">
        <v>97</v>
      </c>
      <c r="F3733" s="0" t="s">
        <v>98</v>
      </c>
      <c r="G3733" s="0" t="s">
        <v>152</v>
      </c>
      <c r="H3733" s="0" t="s">
        <v>152</v>
      </c>
      <c r="I3733" s="0" t="s">
        <v>28</v>
      </c>
      <c r="J3733" s="0" t="s">
        <v>29</v>
      </c>
      <c r="K3733" s="0" t="s">
        <v>48</v>
      </c>
      <c r="L3733" s="0" t="s">
        <v>49</v>
      </c>
      <c r="M3733" s="0" t="s">
        <v>140</v>
      </c>
      <c r="N3733" s="0" t="n">
        <v>554</v>
      </c>
      <c r="O3733" s="10" t="n">
        <v>0.508252330124378</v>
      </c>
      <c r="P3733" s="10" t="n">
        <v>0.601251717889681</v>
      </c>
      <c r="Q3733" s="0" t="str">
        <f aca="false">SUBSTITUTE(SUBSTITUTE($I3733,CHAR(61),""),CHAR(34),"")</f>
        <v>&lt;01</v>
      </c>
      <c r="R3733" s="0" t="str">
        <f aca="false">IF($D3733&lt;&gt;"","["&amp;$E3733&amp;"]"&amp;"|"&amp;$Q3733&amp;"|"&amp;$K3733&amp;"|"&amp;$G3733&amp;"|"&amp;IF($G3733="TX_CURR_SUBNAT.R","CY2022Q4",$M3733),"")</f>
        <v>[gwVYinjBAe9]|&lt;01|Male|Incidence_SUBNAT.Rt.T_1|CY2023Q3</v>
      </c>
    </row>
    <row r="3734" customFormat="false" ht="15" hidden="false" customHeight="false" outlineLevel="0" collapsed="false">
      <c r="D3734" s="0" t="s">
        <v>96</v>
      </c>
      <c r="E3734" s="0" t="s">
        <v>97</v>
      </c>
      <c r="F3734" s="0" t="s">
        <v>98</v>
      </c>
      <c r="G3734" s="0" t="s">
        <v>152</v>
      </c>
      <c r="H3734" s="0" t="s">
        <v>152</v>
      </c>
      <c r="I3734" s="0" t="s">
        <v>33</v>
      </c>
      <c r="J3734" s="0" t="s">
        <v>34</v>
      </c>
      <c r="K3734" s="0" t="s">
        <v>48</v>
      </c>
      <c r="L3734" s="0" t="s">
        <v>49</v>
      </c>
      <c r="M3734" s="0" t="s">
        <v>140</v>
      </c>
      <c r="N3734" s="0" t="n">
        <v>1890</v>
      </c>
      <c r="O3734" s="10" t="n">
        <v>0.937700372887775</v>
      </c>
      <c r="P3734" s="10" t="n">
        <v>0.601251717889681</v>
      </c>
      <c r="Q3734" s="0" t="str">
        <f aca="false">SUBSTITUTE(SUBSTITUTE($I3734,CHAR(61),""),CHAR(34),"")</f>
        <v>01-09</v>
      </c>
      <c r="R3734" s="0" t="str">
        <f aca="false">IF($D3734&lt;&gt;"","["&amp;$E3734&amp;"]"&amp;"|"&amp;$Q3734&amp;"|"&amp;$K3734&amp;"|"&amp;$G3734&amp;"|"&amp;IF($G3734="TX_CURR_SUBNAT.R","CY2022Q4",$M3734),"")</f>
        <v>[gwVYinjBAe9]|01-09|Male|Incidence_SUBNAT.Rt.T_1|CY2023Q3</v>
      </c>
    </row>
    <row r="3735" customFormat="false" ht="15" hidden="false" customHeight="false" outlineLevel="0" collapsed="false">
      <c r="D3735" s="0" t="s">
        <v>96</v>
      </c>
      <c r="E3735" s="0" t="s">
        <v>97</v>
      </c>
      <c r="F3735" s="0" t="s">
        <v>98</v>
      </c>
      <c r="G3735" s="0" t="s">
        <v>152</v>
      </c>
      <c r="H3735" s="0" t="s">
        <v>152</v>
      </c>
      <c r="I3735" s="0" t="s">
        <v>36</v>
      </c>
      <c r="J3735" s="0" t="s">
        <v>37</v>
      </c>
      <c r="K3735" s="0" t="s">
        <v>48</v>
      </c>
      <c r="L3735" s="0" t="s">
        <v>49</v>
      </c>
      <c r="M3735" s="0" t="s">
        <v>140</v>
      </c>
      <c r="N3735" s="0" t="n">
        <v>775</v>
      </c>
      <c r="O3735" s="10" t="n">
        <v>0.558570154476911</v>
      </c>
      <c r="P3735" s="10" t="n">
        <v>0.601251717889681</v>
      </c>
      <c r="Q3735" s="0" t="str">
        <f aca="false">SUBSTITUTE(SUBSTITUTE($I3735,CHAR(61),""),CHAR(34),"")</f>
        <v>10-14</v>
      </c>
      <c r="R3735" s="0" t="str">
        <f aca="false">IF($D3735&lt;&gt;"","["&amp;$E3735&amp;"]"&amp;"|"&amp;$Q3735&amp;"|"&amp;$K3735&amp;"|"&amp;$G3735&amp;"|"&amp;IF($G3735="TX_CURR_SUBNAT.R","CY2022Q4",$M3735),"")</f>
        <v>[gwVYinjBAe9]|10-14|Male|Incidence_SUBNAT.Rt.T_1|CY2023Q3</v>
      </c>
    </row>
    <row r="3736" customFormat="false" ht="15" hidden="false" customHeight="false" outlineLevel="0" collapsed="false">
      <c r="D3736" s="0" t="s">
        <v>96</v>
      </c>
      <c r="E3736" s="0" t="s">
        <v>97</v>
      </c>
      <c r="F3736" s="0" t="s">
        <v>98</v>
      </c>
      <c r="G3736" s="0" t="s">
        <v>152</v>
      </c>
      <c r="H3736" s="0" t="s">
        <v>152</v>
      </c>
      <c r="I3736" s="0" t="s">
        <v>38</v>
      </c>
      <c r="J3736" s="0" t="s">
        <v>39</v>
      </c>
      <c r="K3736" s="0" t="s">
        <v>48</v>
      </c>
      <c r="L3736" s="0" t="s">
        <v>49</v>
      </c>
      <c r="M3736" s="0" t="s">
        <v>140</v>
      </c>
      <c r="N3736" s="0" t="n">
        <v>784</v>
      </c>
      <c r="O3736" s="10" t="n">
        <v>0.923084556125104</v>
      </c>
      <c r="P3736" s="10" t="n">
        <v>0.601251717889681</v>
      </c>
      <c r="Q3736" s="0" t="str">
        <f aca="false">SUBSTITUTE(SUBSTITUTE($I3736,CHAR(61),""),CHAR(34),"")</f>
        <v>15-24</v>
      </c>
      <c r="R3736" s="0" t="str">
        <f aca="false">IF($D3736&lt;&gt;"","["&amp;$E3736&amp;"]"&amp;"|"&amp;$Q3736&amp;"|"&amp;$K3736&amp;"|"&amp;$G3736&amp;"|"&amp;IF($G3736="TX_CURR_SUBNAT.R","CY2022Q4",$M3736),"")</f>
        <v>[gwVYinjBAe9]|15-24|Male|Incidence_SUBNAT.Rt.T_1|CY2023Q3</v>
      </c>
    </row>
    <row r="3737" customFormat="false" ht="15" hidden="false" customHeight="false" outlineLevel="0" collapsed="false">
      <c r="D3737" s="0" t="s">
        <v>96</v>
      </c>
      <c r="E3737" s="0" t="s">
        <v>97</v>
      </c>
      <c r="F3737" s="0" t="s">
        <v>98</v>
      </c>
      <c r="G3737" s="0" t="s">
        <v>152</v>
      </c>
      <c r="H3737" s="0" t="s">
        <v>152</v>
      </c>
      <c r="I3737" s="0" t="s">
        <v>41</v>
      </c>
      <c r="J3737" s="0" t="s">
        <v>42</v>
      </c>
      <c r="K3737" s="0" t="s">
        <v>48</v>
      </c>
      <c r="L3737" s="0" t="s">
        <v>49</v>
      </c>
      <c r="M3737" s="0" t="s">
        <v>140</v>
      </c>
      <c r="N3737" s="0" t="n">
        <v>1317</v>
      </c>
      <c r="O3737" s="10" t="n">
        <v>0.531314172549173</v>
      </c>
      <c r="P3737" s="10" t="n">
        <v>0.601251717889681</v>
      </c>
      <c r="Q3737" s="0" t="str">
        <f aca="false">SUBSTITUTE(SUBSTITUTE($I3737,CHAR(61),""),CHAR(34),"")</f>
        <v>25-34</v>
      </c>
      <c r="R3737" s="0" t="str">
        <f aca="false">IF($D3737&lt;&gt;"","["&amp;$E3737&amp;"]"&amp;"|"&amp;$Q3737&amp;"|"&amp;$K3737&amp;"|"&amp;$G3737&amp;"|"&amp;IF($G3737="TX_CURR_SUBNAT.R","CY2022Q4",$M3737),"")</f>
        <v>[gwVYinjBAe9]|25-34|Male|Incidence_SUBNAT.Rt.T_1|CY2023Q3</v>
      </c>
    </row>
    <row r="3738" customFormat="false" ht="15" hidden="false" customHeight="false" outlineLevel="0" collapsed="false">
      <c r="D3738" s="0" t="s">
        <v>96</v>
      </c>
      <c r="E3738" s="0" t="s">
        <v>97</v>
      </c>
      <c r="F3738" s="0" t="s">
        <v>98</v>
      </c>
      <c r="G3738" s="0" t="s">
        <v>152</v>
      </c>
      <c r="H3738" s="0" t="s">
        <v>152</v>
      </c>
      <c r="I3738" s="0" t="s">
        <v>43</v>
      </c>
      <c r="J3738" s="0" t="s">
        <v>44</v>
      </c>
      <c r="K3738" s="0" t="s">
        <v>48</v>
      </c>
      <c r="L3738" s="0" t="s">
        <v>49</v>
      </c>
      <c r="M3738" s="0" t="s">
        <v>140</v>
      </c>
      <c r="N3738" s="0" t="n">
        <v>529</v>
      </c>
      <c r="O3738" s="10" t="n">
        <v>0.358767443103716</v>
      </c>
      <c r="P3738" s="10" t="n">
        <v>0.601251717889681</v>
      </c>
      <c r="Q3738" s="0" t="str">
        <f aca="false">SUBSTITUTE(SUBSTITUTE($I3738,CHAR(61),""),CHAR(34),"")</f>
        <v>35-49</v>
      </c>
      <c r="R3738" s="0" t="str">
        <f aca="false">IF($D3738&lt;&gt;"","["&amp;$E3738&amp;"]"&amp;"|"&amp;$Q3738&amp;"|"&amp;$K3738&amp;"|"&amp;$G3738&amp;"|"&amp;IF($G3738="TX_CURR_SUBNAT.R","CY2022Q4",$M3738),"")</f>
        <v>[gwVYinjBAe9]|35-49|Male|Incidence_SUBNAT.Rt.T_1|CY2023Q3</v>
      </c>
    </row>
    <row r="3739" customFormat="false" ht="15" hidden="false" customHeight="false" outlineLevel="0" collapsed="false">
      <c r="D3739" s="0" t="s">
        <v>96</v>
      </c>
      <c r="E3739" s="0" t="s">
        <v>97</v>
      </c>
      <c r="F3739" s="0" t="s">
        <v>98</v>
      </c>
      <c r="G3739" s="0" t="s">
        <v>152</v>
      </c>
      <c r="H3739" s="0" t="s">
        <v>152</v>
      </c>
      <c r="I3739" s="0" t="s">
        <v>45</v>
      </c>
      <c r="J3739" s="0" t="s">
        <v>46</v>
      </c>
      <c r="K3739" s="0" t="s">
        <v>48</v>
      </c>
      <c r="L3739" s="0" t="s">
        <v>49</v>
      </c>
      <c r="M3739" s="0" t="s">
        <v>140</v>
      </c>
      <c r="N3739" s="0" t="n">
        <v>856</v>
      </c>
      <c r="O3739" s="10" t="n">
        <v>0.599596959305927</v>
      </c>
      <c r="P3739" s="10" t="n">
        <v>0.601251717889681</v>
      </c>
      <c r="Q3739" s="0" t="str">
        <f aca="false">SUBSTITUTE(SUBSTITUTE($I3739,CHAR(61),""),CHAR(34),"")</f>
        <v>50+</v>
      </c>
      <c r="R3739" s="0" t="str">
        <f aca="false">IF($D3739&lt;&gt;"","["&amp;$E3739&amp;"]"&amp;"|"&amp;$Q3739&amp;"|"&amp;$K3739&amp;"|"&amp;$G3739&amp;"|"&amp;IF($G3739="TX_CURR_SUBNAT.R","CY2022Q4",$M3739),"")</f>
        <v>[gwVYinjBAe9]|50+|Male|Incidence_SUBNAT.Rt.T_1|CY2023Q3</v>
      </c>
    </row>
    <row r="3740" customFormat="false" ht="15" hidden="false" customHeight="false" outlineLevel="0" collapsed="false">
      <c r="D3740" s="0" t="s">
        <v>99</v>
      </c>
      <c r="E3740" s="0" t="s">
        <v>100</v>
      </c>
      <c r="F3740" s="0" t="s">
        <v>101</v>
      </c>
      <c r="G3740" s="0" t="s">
        <v>152</v>
      </c>
      <c r="H3740" s="0" t="s">
        <v>152</v>
      </c>
      <c r="I3740" s="0" t="s">
        <v>28</v>
      </c>
      <c r="J3740" s="0" t="s">
        <v>29</v>
      </c>
      <c r="K3740" s="0" t="s">
        <v>30</v>
      </c>
      <c r="L3740" s="0" t="s">
        <v>31</v>
      </c>
      <c r="M3740" s="0" t="s">
        <v>140</v>
      </c>
      <c r="N3740" s="0" t="n">
        <v>1704</v>
      </c>
      <c r="O3740" s="10" t="n">
        <v>0.760693016462028</v>
      </c>
      <c r="P3740" s="10" t="n">
        <v>0.577288038097322</v>
      </c>
      <c r="Q3740" s="0" t="str">
        <f aca="false">SUBSTITUTE(SUBSTITUTE($I3740,CHAR(61),""),CHAR(34),"")</f>
        <v>&lt;01</v>
      </c>
      <c r="R3740" s="0" t="str">
        <f aca="false">IF($D3740&lt;&gt;"","["&amp;$E3740&amp;"]"&amp;"|"&amp;$Q3740&amp;"|"&amp;$K3740&amp;"|"&amp;$G3740&amp;"|"&amp;IF($G3740="TX_CURR_SUBNAT.R","CY2022Q4",$M3740),"")</f>
        <v>[mxqa3CDFmIT]|&lt;01|Female|Incidence_SUBNAT.Rt.T_1|CY2023Q3</v>
      </c>
    </row>
    <row r="3741" customFormat="false" ht="15" hidden="false" customHeight="false" outlineLevel="0" collapsed="false">
      <c r="D3741" s="0" t="s">
        <v>99</v>
      </c>
      <c r="E3741" s="0" t="s">
        <v>100</v>
      </c>
      <c r="F3741" s="0" t="s">
        <v>101</v>
      </c>
      <c r="G3741" s="0" t="s">
        <v>152</v>
      </c>
      <c r="H3741" s="0" t="s">
        <v>152</v>
      </c>
      <c r="I3741" s="0" t="s">
        <v>33</v>
      </c>
      <c r="J3741" s="0" t="s">
        <v>34</v>
      </c>
      <c r="K3741" s="0" t="s">
        <v>30</v>
      </c>
      <c r="L3741" s="0" t="s">
        <v>31</v>
      </c>
      <c r="M3741" s="0" t="s">
        <v>140</v>
      </c>
      <c r="N3741" s="0" t="n">
        <v>1309</v>
      </c>
      <c r="O3741" s="10" t="n">
        <v>0.339976944262162</v>
      </c>
      <c r="P3741" s="10" t="n">
        <v>0.577288038097322</v>
      </c>
      <c r="Q3741" s="0" t="str">
        <f aca="false">SUBSTITUTE(SUBSTITUTE($I3741,CHAR(61),""),CHAR(34),"")</f>
        <v>01-09</v>
      </c>
      <c r="R3741" s="0" t="str">
        <f aca="false">IF($D3741&lt;&gt;"","["&amp;$E3741&amp;"]"&amp;"|"&amp;$Q3741&amp;"|"&amp;$K3741&amp;"|"&amp;$G3741&amp;"|"&amp;IF($G3741="TX_CURR_SUBNAT.R","CY2022Q4",$M3741),"")</f>
        <v>[mxqa3CDFmIT]|01-09|Female|Incidence_SUBNAT.Rt.T_1|CY2023Q3</v>
      </c>
    </row>
    <row r="3742" customFormat="false" ht="15" hidden="false" customHeight="false" outlineLevel="0" collapsed="false">
      <c r="D3742" s="0" t="s">
        <v>99</v>
      </c>
      <c r="E3742" s="0" t="s">
        <v>100</v>
      </c>
      <c r="F3742" s="0" t="s">
        <v>101</v>
      </c>
      <c r="G3742" s="0" t="s">
        <v>152</v>
      </c>
      <c r="H3742" s="0" t="s">
        <v>152</v>
      </c>
      <c r="I3742" s="0" t="s">
        <v>36</v>
      </c>
      <c r="J3742" s="0" t="s">
        <v>37</v>
      </c>
      <c r="K3742" s="0" t="s">
        <v>30</v>
      </c>
      <c r="L3742" s="0" t="s">
        <v>31</v>
      </c>
      <c r="M3742" s="0" t="s">
        <v>140</v>
      </c>
      <c r="N3742" s="0" t="n">
        <v>1903</v>
      </c>
      <c r="O3742" s="10" t="n">
        <v>0.398930942872539</v>
      </c>
      <c r="P3742" s="10" t="n">
        <v>0.577288038097322</v>
      </c>
      <c r="Q3742" s="0" t="str">
        <f aca="false">SUBSTITUTE(SUBSTITUTE($I3742,CHAR(61),""),CHAR(34),"")</f>
        <v>10-14</v>
      </c>
      <c r="R3742" s="0" t="str">
        <f aca="false">IF($D3742&lt;&gt;"","["&amp;$E3742&amp;"]"&amp;"|"&amp;$Q3742&amp;"|"&amp;$K3742&amp;"|"&amp;$G3742&amp;"|"&amp;IF($G3742="TX_CURR_SUBNAT.R","CY2022Q4",$M3742),"")</f>
        <v>[mxqa3CDFmIT]|10-14|Female|Incidence_SUBNAT.Rt.T_1|CY2023Q3</v>
      </c>
    </row>
    <row r="3743" customFormat="false" ht="15" hidden="false" customHeight="false" outlineLevel="0" collapsed="false">
      <c r="D3743" s="0" t="s">
        <v>99</v>
      </c>
      <c r="E3743" s="0" t="s">
        <v>100</v>
      </c>
      <c r="F3743" s="0" t="s">
        <v>101</v>
      </c>
      <c r="G3743" s="0" t="s">
        <v>152</v>
      </c>
      <c r="H3743" s="0" t="s">
        <v>152</v>
      </c>
      <c r="I3743" s="0" t="s">
        <v>38</v>
      </c>
      <c r="J3743" s="0" t="s">
        <v>39</v>
      </c>
      <c r="K3743" s="0" t="s">
        <v>30</v>
      </c>
      <c r="L3743" s="0" t="s">
        <v>31</v>
      </c>
      <c r="M3743" s="0" t="s">
        <v>140</v>
      </c>
      <c r="N3743" s="0" t="n">
        <v>1095</v>
      </c>
      <c r="O3743" s="10" t="n">
        <v>0.742558656493202</v>
      </c>
      <c r="P3743" s="10" t="n">
        <v>0.577288038097322</v>
      </c>
      <c r="Q3743" s="0" t="str">
        <f aca="false">SUBSTITUTE(SUBSTITUTE($I3743,CHAR(61),""),CHAR(34),"")</f>
        <v>15-24</v>
      </c>
      <c r="R3743" s="0" t="str">
        <f aca="false">IF($D3743&lt;&gt;"","["&amp;$E3743&amp;"]"&amp;"|"&amp;$Q3743&amp;"|"&amp;$K3743&amp;"|"&amp;$G3743&amp;"|"&amp;IF($G3743="TX_CURR_SUBNAT.R","CY2022Q4",$M3743),"")</f>
        <v>[mxqa3CDFmIT]|15-24|Female|Incidence_SUBNAT.Rt.T_1|CY2023Q3</v>
      </c>
    </row>
    <row r="3744" customFormat="false" ht="15" hidden="false" customHeight="false" outlineLevel="0" collapsed="false">
      <c r="D3744" s="0" t="s">
        <v>99</v>
      </c>
      <c r="E3744" s="0" t="s">
        <v>100</v>
      </c>
      <c r="F3744" s="0" t="s">
        <v>101</v>
      </c>
      <c r="G3744" s="0" t="s">
        <v>152</v>
      </c>
      <c r="H3744" s="0" t="s">
        <v>152</v>
      </c>
      <c r="I3744" s="0" t="s">
        <v>41</v>
      </c>
      <c r="J3744" s="0" t="s">
        <v>42</v>
      </c>
      <c r="K3744" s="0" t="s">
        <v>30</v>
      </c>
      <c r="L3744" s="0" t="s">
        <v>31</v>
      </c>
      <c r="M3744" s="0" t="s">
        <v>140</v>
      </c>
      <c r="N3744" s="0" t="n">
        <v>1806</v>
      </c>
      <c r="O3744" s="10" t="n">
        <v>0.0627442947588861</v>
      </c>
      <c r="P3744" s="10" t="n">
        <v>0.577288038097322</v>
      </c>
      <c r="Q3744" s="0" t="str">
        <f aca="false">SUBSTITUTE(SUBSTITUTE($I3744,CHAR(61),""),CHAR(34),"")</f>
        <v>25-34</v>
      </c>
      <c r="R3744" s="0" t="str">
        <f aca="false">IF($D3744&lt;&gt;"","["&amp;$E3744&amp;"]"&amp;"|"&amp;$Q3744&amp;"|"&amp;$K3744&amp;"|"&amp;$G3744&amp;"|"&amp;IF($G3744="TX_CURR_SUBNAT.R","CY2022Q4",$M3744),"")</f>
        <v>[mxqa3CDFmIT]|25-34|Female|Incidence_SUBNAT.Rt.T_1|CY2023Q3</v>
      </c>
    </row>
    <row r="3745" customFormat="false" ht="15" hidden="false" customHeight="false" outlineLevel="0" collapsed="false">
      <c r="D3745" s="0" t="s">
        <v>99</v>
      </c>
      <c r="E3745" s="0" t="s">
        <v>100</v>
      </c>
      <c r="F3745" s="0" t="s">
        <v>101</v>
      </c>
      <c r="G3745" s="0" t="s">
        <v>152</v>
      </c>
      <c r="H3745" s="0" t="s">
        <v>152</v>
      </c>
      <c r="I3745" s="0" t="s">
        <v>43</v>
      </c>
      <c r="J3745" s="0" t="s">
        <v>44</v>
      </c>
      <c r="K3745" s="0" t="s">
        <v>30</v>
      </c>
      <c r="L3745" s="0" t="s">
        <v>31</v>
      </c>
      <c r="M3745" s="0" t="s">
        <v>140</v>
      </c>
      <c r="N3745" s="0" t="n">
        <v>1517</v>
      </c>
      <c r="O3745" s="10" t="n">
        <v>0.356553389225155</v>
      </c>
      <c r="P3745" s="10" t="n">
        <v>0.577288038097322</v>
      </c>
      <c r="Q3745" s="0" t="str">
        <f aca="false">SUBSTITUTE(SUBSTITUTE($I3745,CHAR(61),""),CHAR(34),"")</f>
        <v>35-49</v>
      </c>
      <c r="R3745" s="0" t="str">
        <f aca="false">IF($D3745&lt;&gt;"","["&amp;$E3745&amp;"]"&amp;"|"&amp;$Q3745&amp;"|"&amp;$K3745&amp;"|"&amp;$G3745&amp;"|"&amp;IF($G3745="TX_CURR_SUBNAT.R","CY2022Q4",$M3745),"")</f>
        <v>[mxqa3CDFmIT]|35-49|Female|Incidence_SUBNAT.Rt.T_1|CY2023Q3</v>
      </c>
    </row>
    <row r="3746" customFormat="false" ht="15" hidden="false" customHeight="false" outlineLevel="0" collapsed="false">
      <c r="D3746" s="0" t="s">
        <v>99</v>
      </c>
      <c r="E3746" s="0" t="s">
        <v>100</v>
      </c>
      <c r="F3746" s="0" t="s">
        <v>101</v>
      </c>
      <c r="G3746" s="0" t="s">
        <v>152</v>
      </c>
      <c r="H3746" s="0" t="s">
        <v>152</v>
      </c>
      <c r="I3746" s="0" t="s">
        <v>45</v>
      </c>
      <c r="J3746" s="0" t="s">
        <v>46</v>
      </c>
      <c r="K3746" s="0" t="s">
        <v>30</v>
      </c>
      <c r="L3746" s="0" t="s">
        <v>31</v>
      </c>
      <c r="M3746" s="0" t="s">
        <v>140</v>
      </c>
      <c r="N3746" s="0" t="n">
        <v>1942</v>
      </c>
      <c r="O3746" s="10" t="n">
        <v>0.610347659094259</v>
      </c>
      <c r="P3746" s="10" t="n">
        <v>0.577288038097322</v>
      </c>
      <c r="Q3746" s="0" t="str">
        <f aca="false">SUBSTITUTE(SUBSTITUTE($I3746,CHAR(61),""),CHAR(34),"")</f>
        <v>50+</v>
      </c>
      <c r="R3746" s="0" t="str">
        <f aca="false">IF($D3746&lt;&gt;"","["&amp;$E3746&amp;"]"&amp;"|"&amp;$Q3746&amp;"|"&amp;$K3746&amp;"|"&amp;$G3746&amp;"|"&amp;IF($G3746="TX_CURR_SUBNAT.R","CY2022Q4",$M3746),"")</f>
        <v>[mxqa3CDFmIT]|50+|Female|Incidence_SUBNAT.Rt.T_1|CY2023Q3</v>
      </c>
    </row>
    <row r="3747" customFormat="false" ht="15" hidden="false" customHeight="false" outlineLevel="0" collapsed="false">
      <c r="D3747" s="0" t="s">
        <v>99</v>
      </c>
      <c r="E3747" s="0" t="s">
        <v>100</v>
      </c>
      <c r="F3747" s="0" t="s">
        <v>101</v>
      </c>
      <c r="G3747" s="0" t="s">
        <v>152</v>
      </c>
      <c r="H3747" s="0" t="s">
        <v>152</v>
      </c>
      <c r="I3747" s="0" t="s">
        <v>28</v>
      </c>
      <c r="J3747" s="0" t="s">
        <v>29</v>
      </c>
      <c r="K3747" s="0" t="s">
        <v>48</v>
      </c>
      <c r="L3747" s="0" t="s">
        <v>49</v>
      </c>
      <c r="M3747" s="0" t="s">
        <v>140</v>
      </c>
      <c r="N3747" s="0" t="n">
        <v>1035</v>
      </c>
      <c r="O3747" s="10" t="n">
        <v>0.242152867140248</v>
      </c>
      <c r="P3747" s="10" t="n">
        <v>0.577288038097322</v>
      </c>
      <c r="Q3747" s="0" t="str">
        <f aca="false">SUBSTITUTE(SUBSTITUTE($I3747,CHAR(61),""),CHAR(34),"")</f>
        <v>&lt;01</v>
      </c>
      <c r="R3747" s="0" t="str">
        <f aca="false">IF($D3747&lt;&gt;"","["&amp;$E3747&amp;"]"&amp;"|"&amp;$Q3747&amp;"|"&amp;$K3747&amp;"|"&amp;$G3747&amp;"|"&amp;IF($G3747="TX_CURR_SUBNAT.R","CY2022Q4",$M3747),"")</f>
        <v>[mxqa3CDFmIT]|&lt;01|Male|Incidence_SUBNAT.Rt.T_1|CY2023Q3</v>
      </c>
    </row>
    <row r="3748" customFormat="false" ht="15" hidden="false" customHeight="false" outlineLevel="0" collapsed="false">
      <c r="D3748" s="0" t="s">
        <v>99</v>
      </c>
      <c r="E3748" s="0" t="s">
        <v>100</v>
      </c>
      <c r="F3748" s="0" t="s">
        <v>101</v>
      </c>
      <c r="G3748" s="0" t="s">
        <v>152</v>
      </c>
      <c r="H3748" s="0" t="s">
        <v>152</v>
      </c>
      <c r="I3748" s="0" t="s">
        <v>33</v>
      </c>
      <c r="J3748" s="0" t="s">
        <v>34</v>
      </c>
      <c r="K3748" s="0" t="s">
        <v>48</v>
      </c>
      <c r="L3748" s="0" t="s">
        <v>49</v>
      </c>
      <c r="M3748" s="0" t="s">
        <v>140</v>
      </c>
      <c r="N3748" s="0" t="n">
        <v>1811</v>
      </c>
      <c r="O3748" s="10" t="n">
        <v>0.795258359983563</v>
      </c>
      <c r="P3748" s="10" t="n">
        <v>0.577288038097322</v>
      </c>
      <c r="Q3748" s="0" t="str">
        <f aca="false">SUBSTITUTE(SUBSTITUTE($I3748,CHAR(61),""),CHAR(34),"")</f>
        <v>01-09</v>
      </c>
      <c r="R3748" s="0" t="str">
        <f aca="false">IF($D3748&lt;&gt;"","["&amp;$E3748&amp;"]"&amp;"|"&amp;$Q3748&amp;"|"&amp;$K3748&amp;"|"&amp;$G3748&amp;"|"&amp;IF($G3748="TX_CURR_SUBNAT.R","CY2022Q4",$M3748),"")</f>
        <v>[mxqa3CDFmIT]|01-09|Male|Incidence_SUBNAT.Rt.T_1|CY2023Q3</v>
      </c>
    </row>
    <row r="3749" customFormat="false" ht="15" hidden="false" customHeight="false" outlineLevel="0" collapsed="false">
      <c r="D3749" s="0" t="s">
        <v>99</v>
      </c>
      <c r="E3749" s="0" t="s">
        <v>100</v>
      </c>
      <c r="F3749" s="0" t="s">
        <v>101</v>
      </c>
      <c r="G3749" s="0" t="s">
        <v>152</v>
      </c>
      <c r="H3749" s="0" t="s">
        <v>152</v>
      </c>
      <c r="I3749" s="0" t="s">
        <v>36</v>
      </c>
      <c r="J3749" s="0" t="s">
        <v>37</v>
      </c>
      <c r="K3749" s="0" t="s">
        <v>48</v>
      </c>
      <c r="L3749" s="0" t="s">
        <v>49</v>
      </c>
      <c r="M3749" s="0" t="s">
        <v>140</v>
      </c>
      <c r="N3749" s="0" t="n">
        <v>1529</v>
      </c>
      <c r="O3749" s="10" t="n">
        <v>0.180074317147955</v>
      </c>
      <c r="P3749" s="10" t="n">
        <v>0.577288038097322</v>
      </c>
      <c r="Q3749" s="0" t="str">
        <f aca="false">SUBSTITUTE(SUBSTITUTE($I3749,CHAR(61),""),CHAR(34),"")</f>
        <v>10-14</v>
      </c>
      <c r="R3749" s="0" t="str">
        <f aca="false">IF($D3749&lt;&gt;"","["&amp;$E3749&amp;"]"&amp;"|"&amp;$Q3749&amp;"|"&amp;$K3749&amp;"|"&amp;$G3749&amp;"|"&amp;IF($G3749="TX_CURR_SUBNAT.R","CY2022Q4",$M3749),"")</f>
        <v>[mxqa3CDFmIT]|10-14|Male|Incidence_SUBNAT.Rt.T_1|CY2023Q3</v>
      </c>
    </row>
    <row r="3750" customFormat="false" ht="15" hidden="false" customHeight="false" outlineLevel="0" collapsed="false">
      <c r="D3750" s="0" t="s">
        <v>99</v>
      </c>
      <c r="E3750" s="0" t="s">
        <v>100</v>
      </c>
      <c r="F3750" s="0" t="s">
        <v>101</v>
      </c>
      <c r="G3750" s="0" t="s">
        <v>152</v>
      </c>
      <c r="H3750" s="0" t="s">
        <v>152</v>
      </c>
      <c r="I3750" s="0" t="s">
        <v>38</v>
      </c>
      <c r="J3750" s="0" t="s">
        <v>39</v>
      </c>
      <c r="K3750" s="0" t="s">
        <v>48</v>
      </c>
      <c r="L3750" s="0" t="s">
        <v>49</v>
      </c>
      <c r="M3750" s="0" t="s">
        <v>140</v>
      </c>
      <c r="N3750" s="0" t="n">
        <v>594</v>
      </c>
      <c r="O3750" s="10" t="n">
        <v>0.18017079657875</v>
      </c>
      <c r="P3750" s="10" t="n">
        <v>0.577288038097322</v>
      </c>
      <c r="Q3750" s="0" t="str">
        <f aca="false">SUBSTITUTE(SUBSTITUTE($I3750,CHAR(61),""),CHAR(34),"")</f>
        <v>15-24</v>
      </c>
      <c r="R3750" s="0" t="str">
        <f aca="false">IF($D3750&lt;&gt;"","["&amp;$E3750&amp;"]"&amp;"|"&amp;$Q3750&amp;"|"&amp;$K3750&amp;"|"&amp;$G3750&amp;"|"&amp;IF($G3750="TX_CURR_SUBNAT.R","CY2022Q4",$M3750),"")</f>
        <v>[mxqa3CDFmIT]|15-24|Male|Incidence_SUBNAT.Rt.T_1|CY2023Q3</v>
      </c>
    </row>
    <row r="3751" customFormat="false" ht="15" hidden="false" customHeight="false" outlineLevel="0" collapsed="false">
      <c r="D3751" s="0" t="s">
        <v>99</v>
      </c>
      <c r="E3751" s="0" t="s">
        <v>100</v>
      </c>
      <c r="F3751" s="0" t="s">
        <v>101</v>
      </c>
      <c r="G3751" s="0" t="s">
        <v>152</v>
      </c>
      <c r="H3751" s="0" t="s">
        <v>152</v>
      </c>
      <c r="I3751" s="0" t="s">
        <v>41</v>
      </c>
      <c r="J3751" s="0" t="s">
        <v>42</v>
      </c>
      <c r="K3751" s="0" t="s">
        <v>48</v>
      </c>
      <c r="L3751" s="0" t="s">
        <v>49</v>
      </c>
      <c r="M3751" s="0" t="s">
        <v>140</v>
      </c>
      <c r="N3751" s="0" t="n">
        <v>782</v>
      </c>
      <c r="O3751" s="10" t="n">
        <v>0.597990473499522</v>
      </c>
      <c r="P3751" s="10" t="n">
        <v>0.577288038097322</v>
      </c>
      <c r="Q3751" s="0" t="str">
        <f aca="false">SUBSTITUTE(SUBSTITUTE($I3751,CHAR(61),""),CHAR(34),"")</f>
        <v>25-34</v>
      </c>
      <c r="R3751" s="0" t="str">
        <f aca="false">IF($D3751&lt;&gt;"","["&amp;$E3751&amp;"]"&amp;"|"&amp;$Q3751&amp;"|"&amp;$K3751&amp;"|"&amp;$G3751&amp;"|"&amp;IF($G3751="TX_CURR_SUBNAT.R","CY2022Q4",$M3751),"")</f>
        <v>[mxqa3CDFmIT]|25-34|Male|Incidence_SUBNAT.Rt.T_1|CY2023Q3</v>
      </c>
    </row>
    <row r="3752" customFormat="false" ht="15" hidden="false" customHeight="false" outlineLevel="0" collapsed="false">
      <c r="D3752" s="0" t="s">
        <v>99</v>
      </c>
      <c r="E3752" s="0" t="s">
        <v>100</v>
      </c>
      <c r="F3752" s="0" t="s">
        <v>101</v>
      </c>
      <c r="G3752" s="0" t="s">
        <v>152</v>
      </c>
      <c r="H3752" s="0" t="s">
        <v>152</v>
      </c>
      <c r="I3752" s="0" t="s">
        <v>43</v>
      </c>
      <c r="J3752" s="0" t="s">
        <v>44</v>
      </c>
      <c r="K3752" s="0" t="s">
        <v>48</v>
      </c>
      <c r="L3752" s="0" t="s">
        <v>49</v>
      </c>
      <c r="M3752" s="0" t="s">
        <v>140</v>
      </c>
      <c r="N3752" s="0" t="n">
        <v>1641</v>
      </c>
      <c r="O3752" s="10" t="n">
        <v>0.494282056810334</v>
      </c>
      <c r="P3752" s="10" t="n">
        <v>0.577288038097322</v>
      </c>
      <c r="Q3752" s="0" t="str">
        <f aca="false">SUBSTITUTE(SUBSTITUTE($I3752,CHAR(61),""),CHAR(34),"")</f>
        <v>35-49</v>
      </c>
      <c r="R3752" s="0" t="str">
        <f aca="false">IF($D3752&lt;&gt;"","["&amp;$E3752&amp;"]"&amp;"|"&amp;$Q3752&amp;"|"&amp;$K3752&amp;"|"&amp;$G3752&amp;"|"&amp;IF($G3752="TX_CURR_SUBNAT.R","CY2022Q4",$M3752),"")</f>
        <v>[mxqa3CDFmIT]|35-49|Male|Incidence_SUBNAT.Rt.T_1|CY2023Q3</v>
      </c>
    </row>
    <row r="3753" customFormat="false" ht="15" hidden="false" customHeight="false" outlineLevel="0" collapsed="false">
      <c r="D3753" s="0" t="s">
        <v>99</v>
      </c>
      <c r="E3753" s="0" t="s">
        <v>100</v>
      </c>
      <c r="F3753" s="0" t="s">
        <v>101</v>
      </c>
      <c r="G3753" s="0" t="s">
        <v>152</v>
      </c>
      <c r="H3753" s="0" t="s">
        <v>152</v>
      </c>
      <c r="I3753" s="0" t="s">
        <v>45</v>
      </c>
      <c r="J3753" s="0" t="s">
        <v>46</v>
      </c>
      <c r="K3753" s="0" t="s">
        <v>48</v>
      </c>
      <c r="L3753" s="0" t="s">
        <v>49</v>
      </c>
      <c r="M3753" s="0" t="s">
        <v>140</v>
      </c>
      <c r="N3753" s="0" t="n">
        <v>934</v>
      </c>
      <c r="O3753" s="10" t="n">
        <v>0.225829203845933</v>
      </c>
      <c r="P3753" s="10" t="n">
        <v>0.577288038097322</v>
      </c>
      <c r="Q3753" s="0" t="str">
        <f aca="false">SUBSTITUTE(SUBSTITUTE($I3753,CHAR(61),""),CHAR(34),"")</f>
        <v>50+</v>
      </c>
      <c r="R3753" s="0" t="str">
        <f aca="false">IF($D3753&lt;&gt;"","["&amp;$E3753&amp;"]"&amp;"|"&amp;$Q3753&amp;"|"&amp;$K3753&amp;"|"&amp;$G3753&amp;"|"&amp;IF($G3753="TX_CURR_SUBNAT.R","CY2022Q4",$M3753),"")</f>
        <v>[mxqa3CDFmIT]|50+|Male|Incidence_SUBNAT.Rt.T_1|CY2023Q3</v>
      </c>
    </row>
    <row r="3754" customFormat="false" ht="15" hidden="false" customHeight="false" outlineLevel="0" collapsed="false">
      <c r="D3754" s="0" t="s">
        <v>102</v>
      </c>
      <c r="E3754" s="0" t="s">
        <v>103</v>
      </c>
      <c r="F3754" s="0" t="s">
        <v>104</v>
      </c>
      <c r="G3754" s="0" t="s">
        <v>152</v>
      </c>
      <c r="H3754" s="0" t="s">
        <v>152</v>
      </c>
      <c r="I3754" s="0" t="s">
        <v>28</v>
      </c>
      <c r="J3754" s="0" t="s">
        <v>29</v>
      </c>
      <c r="K3754" s="0" t="s">
        <v>30</v>
      </c>
      <c r="L3754" s="0" t="s">
        <v>31</v>
      </c>
      <c r="M3754" s="0" t="s">
        <v>140</v>
      </c>
      <c r="N3754" s="0" t="n">
        <v>1302</v>
      </c>
      <c r="O3754" s="10" t="n">
        <v>0.840395358158275</v>
      </c>
      <c r="P3754" s="10" t="n">
        <v>0.526212359312922</v>
      </c>
      <c r="Q3754" s="0" t="str">
        <f aca="false">SUBSTITUTE(SUBSTITUTE($I3754,CHAR(61),""),CHAR(34),"")</f>
        <v>&lt;01</v>
      </c>
      <c r="R3754" s="0" t="str">
        <f aca="false">IF($D3754&lt;&gt;"","["&amp;$E3754&amp;"]"&amp;"|"&amp;$Q3754&amp;"|"&amp;$K3754&amp;"|"&amp;$G3754&amp;"|"&amp;IF($G3754="TX_CURR_SUBNAT.R","CY2022Q4",$M3754),"")</f>
        <v>[wNqJp8oRIcF]|&lt;01|Female|Incidence_SUBNAT.Rt.T_1|CY2023Q3</v>
      </c>
    </row>
    <row r="3755" customFormat="false" ht="15" hidden="false" customHeight="false" outlineLevel="0" collapsed="false">
      <c r="D3755" s="0" t="s">
        <v>102</v>
      </c>
      <c r="E3755" s="0" t="s">
        <v>103</v>
      </c>
      <c r="F3755" s="0" t="s">
        <v>104</v>
      </c>
      <c r="G3755" s="0" t="s">
        <v>152</v>
      </c>
      <c r="H3755" s="0" t="s">
        <v>152</v>
      </c>
      <c r="I3755" s="0" t="s">
        <v>33</v>
      </c>
      <c r="J3755" s="0" t="s">
        <v>34</v>
      </c>
      <c r="K3755" s="0" t="s">
        <v>30</v>
      </c>
      <c r="L3755" s="0" t="s">
        <v>31</v>
      </c>
      <c r="M3755" s="0" t="s">
        <v>140</v>
      </c>
      <c r="N3755" s="0" t="n">
        <v>1882</v>
      </c>
      <c r="O3755" s="10" t="n">
        <v>0.236723611596972</v>
      </c>
      <c r="P3755" s="10" t="n">
        <v>0.526212359312922</v>
      </c>
      <c r="Q3755" s="0" t="str">
        <f aca="false">SUBSTITUTE(SUBSTITUTE($I3755,CHAR(61),""),CHAR(34),"")</f>
        <v>01-09</v>
      </c>
      <c r="R3755" s="0" t="str">
        <f aca="false">IF($D3755&lt;&gt;"","["&amp;$E3755&amp;"]"&amp;"|"&amp;$Q3755&amp;"|"&amp;$K3755&amp;"|"&amp;$G3755&amp;"|"&amp;IF($G3755="TX_CURR_SUBNAT.R","CY2022Q4",$M3755),"")</f>
        <v>[wNqJp8oRIcF]|01-09|Female|Incidence_SUBNAT.Rt.T_1|CY2023Q3</v>
      </c>
    </row>
    <row r="3756" customFormat="false" ht="15" hidden="false" customHeight="false" outlineLevel="0" collapsed="false">
      <c r="D3756" s="0" t="s">
        <v>102</v>
      </c>
      <c r="E3756" s="0" t="s">
        <v>103</v>
      </c>
      <c r="F3756" s="0" t="s">
        <v>104</v>
      </c>
      <c r="G3756" s="0" t="s">
        <v>152</v>
      </c>
      <c r="H3756" s="0" t="s">
        <v>152</v>
      </c>
      <c r="I3756" s="0" t="s">
        <v>36</v>
      </c>
      <c r="J3756" s="0" t="s">
        <v>37</v>
      </c>
      <c r="K3756" s="0" t="s">
        <v>30</v>
      </c>
      <c r="L3756" s="0" t="s">
        <v>31</v>
      </c>
      <c r="M3756" s="0" t="s">
        <v>140</v>
      </c>
      <c r="N3756" s="0" t="n">
        <v>1705</v>
      </c>
      <c r="O3756" s="10" t="n">
        <v>0.252259130356833</v>
      </c>
      <c r="P3756" s="10" t="n">
        <v>0.526212359312922</v>
      </c>
      <c r="Q3756" s="0" t="str">
        <f aca="false">SUBSTITUTE(SUBSTITUTE($I3756,CHAR(61),""),CHAR(34),"")</f>
        <v>10-14</v>
      </c>
      <c r="R3756" s="0" t="str">
        <f aca="false">IF($D3756&lt;&gt;"","["&amp;$E3756&amp;"]"&amp;"|"&amp;$Q3756&amp;"|"&amp;$K3756&amp;"|"&amp;$G3756&amp;"|"&amp;IF($G3756="TX_CURR_SUBNAT.R","CY2022Q4",$M3756),"")</f>
        <v>[wNqJp8oRIcF]|10-14|Female|Incidence_SUBNAT.Rt.T_1|CY2023Q3</v>
      </c>
    </row>
    <row r="3757" customFormat="false" ht="15" hidden="false" customHeight="false" outlineLevel="0" collapsed="false">
      <c r="D3757" s="0" t="s">
        <v>102</v>
      </c>
      <c r="E3757" s="0" t="s">
        <v>103</v>
      </c>
      <c r="F3757" s="0" t="s">
        <v>104</v>
      </c>
      <c r="G3757" s="0" t="s">
        <v>152</v>
      </c>
      <c r="H3757" s="0" t="s">
        <v>152</v>
      </c>
      <c r="I3757" s="0" t="s">
        <v>38</v>
      </c>
      <c r="J3757" s="0" t="s">
        <v>39</v>
      </c>
      <c r="K3757" s="0" t="s">
        <v>30</v>
      </c>
      <c r="L3757" s="0" t="s">
        <v>31</v>
      </c>
      <c r="M3757" s="0" t="s">
        <v>140</v>
      </c>
      <c r="N3757" s="0" t="n">
        <v>831</v>
      </c>
      <c r="O3757" s="10" t="n">
        <v>0.56778296129778</v>
      </c>
      <c r="P3757" s="10" t="n">
        <v>0.526212359312922</v>
      </c>
      <c r="Q3757" s="0" t="str">
        <f aca="false">SUBSTITUTE(SUBSTITUTE($I3757,CHAR(61),""),CHAR(34),"")</f>
        <v>15-24</v>
      </c>
      <c r="R3757" s="0" t="str">
        <f aca="false">IF($D3757&lt;&gt;"","["&amp;$E3757&amp;"]"&amp;"|"&amp;$Q3757&amp;"|"&amp;$K3757&amp;"|"&amp;$G3757&amp;"|"&amp;IF($G3757="TX_CURR_SUBNAT.R","CY2022Q4",$M3757),"")</f>
        <v>[wNqJp8oRIcF]|15-24|Female|Incidence_SUBNAT.Rt.T_1|CY2023Q3</v>
      </c>
    </row>
    <row r="3758" customFormat="false" ht="15" hidden="false" customHeight="false" outlineLevel="0" collapsed="false">
      <c r="D3758" s="0" t="s">
        <v>102</v>
      </c>
      <c r="E3758" s="0" t="s">
        <v>103</v>
      </c>
      <c r="F3758" s="0" t="s">
        <v>104</v>
      </c>
      <c r="G3758" s="0" t="s">
        <v>152</v>
      </c>
      <c r="H3758" s="0" t="s">
        <v>152</v>
      </c>
      <c r="I3758" s="0" t="s">
        <v>41</v>
      </c>
      <c r="J3758" s="0" t="s">
        <v>42</v>
      </c>
      <c r="K3758" s="0" t="s">
        <v>30</v>
      </c>
      <c r="L3758" s="0" t="s">
        <v>31</v>
      </c>
      <c r="M3758" s="0" t="s">
        <v>140</v>
      </c>
      <c r="N3758" s="0" t="n">
        <v>866</v>
      </c>
      <c r="O3758" s="10" t="n">
        <v>0.60215484467335</v>
      </c>
      <c r="P3758" s="10" t="n">
        <v>0.526212359312922</v>
      </c>
      <c r="Q3758" s="0" t="str">
        <f aca="false">SUBSTITUTE(SUBSTITUTE($I3758,CHAR(61),""),CHAR(34),"")</f>
        <v>25-34</v>
      </c>
      <c r="R3758" s="0" t="str">
        <f aca="false">IF($D3758&lt;&gt;"","["&amp;$E3758&amp;"]"&amp;"|"&amp;$Q3758&amp;"|"&amp;$K3758&amp;"|"&amp;$G3758&amp;"|"&amp;IF($G3758="TX_CURR_SUBNAT.R","CY2022Q4",$M3758),"")</f>
        <v>[wNqJp8oRIcF]|25-34|Female|Incidence_SUBNAT.Rt.T_1|CY2023Q3</v>
      </c>
    </row>
    <row r="3759" customFormat="false" ht="15" hidden="false" customHeight="false" outlineLevel="0" collapsed="false">
      <c r="D3759" s="0" t="s">
        <v>102</v>
      </c>
      <c r="E3759" s="0" t="s">
        <v>103</v>
      </c>
      <c r="F3759" s="0" t="s">
        <v>104</v>
      </c>
      <c r="G3759" s="0" t="s">
        <v>152</v>
      </c>
      <c r="H3759" s="0" t="s">
        <v>152</v>
      </c>
      <c r="I3759" s="0" t="s">
        <v>43</v>
      </c>
      <c r="J3759" s="0" t="s">
        <v>44</v>
      </c>
      <c r="K3759" s="0" t="s">
        <v>30</v>
      </c>
      <c r="L3759" s="0" t="s">
        <v>31</v>
      </c>
      <c r="M3759" s="0" t="s">
        <v>140</v>
      </c>
      <c r="N3759" s="0" t="n">
        <v>1006</v>
      </c>
      <c r="O3759" s="10" t="n">
        <v>0.71145563502796</v>
      </c>
      <c r="P3759" s="10" t="n">
        <v>0.526212359312922</v>
      </c>
      <c r="Q3759" s="0" t="str">
        <f aca="false">SUBSTITUTE(SUBSTITUTE($I3759,CHAR(61),""),CHAR(34),"")</f>
        <v>35-49</v>
      </c>
      <c r="R3759" s="0" t="str">
        <f aca="false">IF($D3759&lt;&gt;"","["&amp;$E3759&amp;"]"&amp;"|"&amp;$Q3759&amp;"|"&amp;$K3759&amp;"|"&amp;$G3759&amp;"|"&amp;IF($G3759="TX_CURR_SUBNAT.R","CY2022Q4",$M3759),"")</f>
        <v>[wNqJp8oRIcF]|35-49|Female|Incidence_SUBNAT.Rt.T_1|CY2023Q3</v>
      </c>
    </row>
    <row r="3760" customFormat="false" ht="15" hidden="false" customHeight="false" outlineLevel="0" collapsed="false">
      <c r="D3760" s="0" t="s">
        <v>102</v>
      </c>
      <c r="E3760" s="0" t="s">
        <v>103</v>
      </c>
      <c r="F3760" s="0" t="s">
        <v>104</v>
      </c>
      <c r="G3760" s="0" t="s">
        <v>152</v>
      </c>
      <c r="H3760" s="0" t="s">
        <v>152</v>
      </c>
      <c r="I3760" s="0" t="s">
        <v>45</v>
      </c>
      <c r="J3760" s="0" t="s">
        <v>46</v>
      </c>
      <c r="K3760" s="0" t="s">
        <v>30</v>
      </c>
      <c r="L3760" s="0" t="s">
        <v>31</v>
      </c>
      <c r="M3760" s="0" t="s">
        <v>140</v>
      </c>
      <c r="N3760" s="0" t="n">
        <v>1875</v>
      </c>
      <c r="O3760" s="10" t="n">
        <v>0.0494408009108156</v>
      </c>
      <c r="P3760" s="10" t="n">
        <v>0.526212359312922</v>
      </c>
      <c r="Q3760" s="0" t="str">
        <f aca="false">SUBSTITUTE(SUBSTITUTE($I3760,CHAR(61),""),CHAR(34),"")</f>
        <v>50+</v>
      </c>
      <c r="R3760" s="0" t="str">
        <f aca="false">IF($D3760&lt;&gt;"","["&amp;$E3760&amp;"]"&amp;"|"&amp;$Q3760&amp;"|"&amp;$K3760&amp;"|"&amp;$G3760&amp;"|"&amp;IF($G3760="TX_CURR_SUBNAT.R","CY2022Q4",$M3760),"")</f>
        <v>[wNqJp8oRIcF]|50+|Female|Incidence_SUBNAT.Rt.T_1|CY2023Q3</v>
      </c>
    </row>
    <row r="3761" customFormat="false" ht="15" hidden="false" customHeight="false" outlineLevel="0" collapsed="false">
      <c r="D3761" s="0" t="s">
        <v>102</v>
      </c>
      <c r="E3761" s="0" t="s">
        <v>103</v>
      </c>
      <c r="F3761" s="0" t="s">
        <v>104</v>
      </c>
      <c r="G3761" s="0" t="s">
        <v>152</v>
      </c>
      <c r="H3761" s="0" t="s">
        <v>152</v>
      </c>
      <c r="I3761" s="0" t="s">
        <v>28</v>
      </c>
      <c r="J3761" s="0" t="s">
        <v>29</v>
      </c>
      <c r="K3761" s="0" t="s">
        <v>48</v>
      </c>
      <c r="L3761" s="0" t="s">
        <v>49</v>
      </c>
      <c r="M3761" s="0" t="s">
        <v>140</v>
      </c>
      <c r="N3761" s="0" t="n">
        <v>1717</v>
      </c>
      <c r="O3761" s="10" t="n">
        <v>0.833223237190396</v>
      </c>
      <c r="P3761" s="10" t="n">
        <v>0.526212359312922</v>
      </c>
      <c r="Q3761" s="0" t="str">
        <f aca="false">SUBSTITUTE(SUBSTITUTE($I3761,CHAR(61),""),CHAR(34),"")</f>
        <v>&lt;01</v>
      </c>
      <c r="R3761" s="0" t="str">
        <f aca="false">IF($D3761&lt;&gt;"","["&amp;$E3761&amp;"]"&amp;"|"&amp;$Q3761&amp;"|"&amp;$K3761&amp;"|"&amp;$G3761&amp;"|"&amp;IF($G3761="TX_CURR_SUBNAT.R","CY2022Q4",$M3761),"")</f>
        <v>[wNqJp8oRIcF]|&lt;01|Male|Incidence_SUBNAT.Rt.T_1|CY2023Q3</v>
      </c>
    </row>
    <row r="3762" customFormat="false" ht="15" hidden="false" customHeight="false" outlineLevel="0" collapsed="false">
      <c r="D3762" s="0" t="s">
        <v>102</v>
      </c>
      <c r="E3762" s="0" t="s">
        <v>103</v>
      </c>
      <c r="F3762" s="0" t="s">
        <v>104</v>
      </c>
      <c r="G3762" s="0" t="s">
        <v>152</v>
      </c>
      <c r="H3762" s="0" t="s">
        <v>152</v>
      </c>
      <c r="I3762" s="0" t="s">
        <v>33</v>
      </c>
      <c r="J3762" s="0" t="s">
        <v>34</v>
      </c>
      <c r="K3762" s="0" t="s">
        <v>48</v>
      </c>
      <c r="L3762" s="0" t="s">
        <v>49</v>
      </c>
      <c r="M3762" s="0" t="s">
        <v>140</v>
      </c>
      <c r="N3762" s="0" t="n">
        <v>856</v>
      </c>
      <c r="O3762" s="10" t="n">
        <v>0.692630670266226</v>
      </c>
      <c r="P3762" s="10" t="n">
        <v>0.526212359312922</v>
      </c>
      <c r="Q3762" s="0" t="str">
        <f aca="false">SUBSTITUTE(SUBSTITUTE($I3762,CHAR(61),""),CHAR(34),"")</f>
        <v>01-09</v>
      </c>
      <c r="R3762" s="0" t="str">
        <f aca="false">IF($D3762&lt;&gt;"","["&amp;$E3762&amp;"]"&amp;"|"&amp;$Q3762&amp;"|"&amp;$K3762&amp;"|"&amp;$G3762&amp;"|"&amp;IF($G3762="TX_CURR_SUBNAT.R","CY2022Q4",$M3762),"")</f>
        <v>[wNqJp8oRIcF]|01-09|Male|Incidence_SUBNAT.Rt.T_1|CY2023Q3</v>
      </c>
    </row>
    <row r="3763" customFormat="false" ht="15" hidden="false" customHeight="false" outlineLevel="0" collapsed="false">
      <c r="D3763" s="0" t="s">
        <v>102</v>
      </c>
      <c r="E3763" s="0" t="s">
        <v>103</v>
      </c>
      <c r="F3763" s="0" t="s">
        <v>104</v>
      </c>
      <c r="G3763" s="0" t="s">
        <v>152</v>
      </c>
      <c r="H3763" s="0" t="s">
        <v>152</v>
      </c>
      <c r="I3763" s="0" t="s">
        <v>36</v>
      </c>
      <c r="J3763" s="0" t="s">
        <v>37</v>
      </c>
      <c r="K3763" s="0" t="s">
        <v>48</v>
      </c>
      <c r="L3763" s="0" t="s">
        <v>49</v>
      </c>
      <c r="M3763" s="0" t="s">
        <v>140</v>
      </c>
      <c r="N3763" s="0" t="n">
        <v>598</v>
      </c>
      <c r="O3763" s="10" t="n">
        <v>0.119392997119576</v>
      </c>
      <c r="P3763" s="10" t="n">
        <v>0.526212359312922</v>
      </c>
      <c r="Q3763" s="0" t="str">
        <f aca="false">SUBSTITUTE(SUBSTITUTE($I3763,CHAR(61),""),CHAR(34),"")</f>
        <v>10-14</v>
      </c>
      <c r="R3763" s="0" t="str">
        <f aca="false">IF($D3763&lt;&gt;"","["&amp;$E3763&amp;"]"&amp;"|"&amp;$Q3763&amp;"|"&amp;$K3763&amp;"|"&amp;$G3763&amp;"|"&amp;IF($G3763="TX_CURR_SUBNAT.R","CY2022Q4",$M3763),"")</f>
        <v>[wNqJp8oRIcF]|10-14|Male|Incidence_SUBNAT.Rt.T_1|CY2023Q3</v>
      </c>
    </row>
    <row r="3764" customFormat="false" ht="15" hidden="false" customHeight="false" outlineLevel="0" collapsed="false">
      <c r="D3764" s="0" t="s">
        <v>102</v>
      </c>
      <c r="E3764" s="0" t="s">
        <v>103</v>
      </c>
      <c r="F3764" s="0" t="s">
        <v>104</v>
      </c>
      <c r="G3764" s="0" t="s">
        <v>152</v>
      </c>
      <c r="H3764" s="0" t="s">
        <v>152</v>
      </c>
      <c r="I3764" s="0" t="s">
        <v>38</v>
      </c>
      <c r="J3764" s="0" t="s">
        <v>39</v>
      </c>
      <c r="K3764" s="0" t="s">
        <v>48</v>
      </c>
      <c r="L3764" s="0" t="s">
        <v>49</v>
      </c>
      <c r="M3764" s="0" t="s">
        <v>140</v>
      </c>
      <c r="N3764" s="0" t="n">
        <v>1277</v>
      </c>
      <c r="O3764" s="10" t="n">
        <v>0.96187409106642</v>
      </c>
      <c r="P3764" s="10" t="n">
        <v>0.526212359312922</v>
      </c>
      <c r="Q3764" s="0" t="str">
        <f aca="false">SUBSTITUTE(SUBSTITUTE($I3764,CHAR(61),""),CHAR(34),"")</f>
        <v>15-24</v>
      </c>
      <c r="R3764" s="0" t="str">
        <f aca="false">IF($D3764&lt;&gt;"","["&amp;$E3764&amp;"]"&amp;"|"&amp;$Q3764&amp;"|"&amp;$K3764&amp;"|"&amp;$G3764&amp;"|"&amp;IF($G3764="TX_CURR_SUBNAT.R","CY2022Q4",$M3764),"")</f>
        <v>[wNqJp8oRIcF]|15-24|Male|Incidence_SUBNAT.Rt.T_1|CY2023Q3</v>
      </c>
    </row>
    <row r="3765" customFormat="false" ht="15" hidden="false" customHeight="false" outlineLevel="0" collapsed="false">
      <c r="D3765" s="0" t="s">
        <v>102</v>
      </c>
      <c r="E3765" s="0" t="s">
        <v>103</v>
      </c>
      <c r="F3765" s="0" t="s">
        <v>104</v>
      </c>
      <c r="G3765" s="0" t="s">
        <v>152</v>
      </c>
      <c r="H3765" s="0" t="s">
        <v>152</v>
      </c>
      <c r="I3765" s="0" t="s">
        <v>41</v>
      </c>
      <c r="J3765" s="0" t="s">
        <v>42</v>
      </c>
      <c r="K3765" s="0" t="s">
        <v>48</v>
      </c>
      <c r="L3765" s="0" t="s">
        <v>49</v>
      </c>
      <c r="M3765" s="0" t="s">
        <v>140</v>
      </c>
      <c r="N3765" s="0" t="n">
        <v>1091</v>
      </c>
      <c r="O3765" s="10" t="n">
        <v>0.55258329724893</v>
      </c>
      <c r="P3765" s="10" t="n">
        <v>0.526212359312922</v>
      </c>
      <c r="Q3765" s="0" t="str">
        <f aca="false">SUBSTITUTE(SUBSTITUTE($I3765,CHAR(61),""),CHAR(34),"")</f>
        <v>25-34</v>
      </c>
      <c r="R3765" s="0" t="str">
        <f aca="false">IF($D3765&lt;&gt;"","["&amp;$E3765&amp;"]"&amp;"|"&amp;$Q3765&amp;"|"&amp;$K3765&amp;"|"&amp;$G3765&amp;"|"&amp;IF($G3765="TX_CURR_SUBNAT.R","CY2022Q4",$M3765),"")</f>
        <v>[wNqJp8oRIcF]|25-34|Male|Incidence_SUBNAT.Rt.T_1|CY2023Q3</v>
      </c>
    </row>
    <row r="3766" customFormat="false" ht="15" hidden="false" customHeight="false" outlineLevel="0" collapsed="false">
      <c r="D3766" s="0" t="s">
        <v>102</v>
      </c>
      <c r="E3766" s="0" t="s">
        <v>103</v>
      </c>
      <c r="F3766" s="0" t="s">
        <v>104</v>
      </c>
      <c r="G3766" s="0" t="s">
        <v>152</v>
      </c>
      <c r="H3766" s="0" t="s">
        <v>152</v>
      </c>
      <c r="I3766" s="0" t="s">
        <v>43</v>
      </c>
      <c r="J3766" s="0" t="s">
        <v>44</v>
      </c>
      <c r="K3766" s="0" t="s">
        <v>48</v>
      </c>
      <c r="L3766" s="0" t="s">
        <v>49</v>
      </c>
      <c r="M3766" s="0" t="s">
        <v>140</v>
      </c>
      <c r="N3766" s="0" t="n">
        <v>928</v>
      </c>
      <c r="O3766" s="10" t="n">
        <v>0.754395918222144</v>
      </c>
      <c r="P3766" s="10" t="n">
        <v>0.526212359312922</v>
      </c>
      <c r="Q3766" s="0" t="str">
        <f aca="false">SUBSTITUTE(SUBSTITUTE($I3766,CHAR(61),""),CHAR(34),"")</f>
        <v>35-49</v>
      </c>
      <c r="R3766" s="0" t="str">
        <f aca="false">IF($D3766&lt;&gt;"","["&amp;$E3766&amp;"]"&amp;"|"&amp;$Q3766&amp;"|"&amp;$K3766&amp;"|"&amp;$G3766&amp;"|"&amp;IF($G3766="TX_CURR_SUBNAT.R","CY2022Q4",$M3766),"")</f>
        <v>[wNqJp8oRIcF]|35-49|Male|Incidence_SUBNAT.Rt.T_1|CY2023Q3</v>
      </c>
    </row>
    <row r="3767" customFormat="false" ht="15" hidden="false" customHeight="false" outlineLevel="0" collapsed="false">
      <c r="D3767" s="0" t="s">
        <v>102</v>
      </c>
      <c r="E3767" s="0" t="s">
        <v>103</v>
      </c>
      <c r="F3767" s="0" t="s">
        <v>104</v>
      </c>
      <c r="G3767" s="0" t="s">
        <v>152</v>
      </c>
      <c r="H3767" s="0" t="s">
        <v>152</v>
      </c>
      <c r="I3767" s="0" t="s">
        <v>45</v>
      </c>
      <c r="J3767" s="0" t="s">
        <v>46</v>
      </c>
      <c r="K3767" s="0" t="s">
        <v>48</v>
      </c>
      <c r="L3767" s="0" t="s">
        <v>49</v>
      </c>
      <c r="M3767" s="0" t="s">
        <v>140</v>
      </c>
      <c r="N3767" s="0" t="n">
        <v>1002</v>
      </c>
      <c r="O3767" s="10" t="n">
        <v>0.991954995552078</v>
      </c>
      <c r="P3767" s="10" t="n">
        <v>0.526212359312922</v>
      </c>
      <c r="Q3767" s="0" t="str">
        <f aca="false">SUBSTITUTE(SUBSTITUTE($I3767,CHAR(61),""),CHAR(34),"")</f>
        <v>50+</v>
      </c>
      <c r="R3767" s="0" t="str">
        <f aca="false">IF($D3767&lt;&gt;"","["&amp;$E3767&amp;"]"&amp;"|"&amp;$Q3767&amp;"|"&amp;$K3767&amp;"|"&amp;$G3767&amp;"|"&amp;IF($G3767="TX_CURR_SUBNAT.R","CY2022Q4",$M3767),"")</f>
        <v>[wNqJp8oRIcF]|50+|Male|Incidence_SUBNAT.Rt.T_1|CY2023Q3</v>
      </c>
    </row>
    <row r="3768" customFormat="false" ht="15" hidden="false" customHeight="false" outlineLevel="0" collapsed="false">
      <c r="D3768" s="0" t="s">
        <v>105</v>
      </c>
      <c r="E3768" s="0" t="s">
        <v>106</v>
      </c>
      <c r="F3768" s="0" t="s">
        <v>107</v>
      </c>
      <c r="G3768" s="0" t="s">
        <v>152</v>
      </c>
      <c r="H3768" s="0" t="s">
        <v>152</v>
      </c>
      <c r="I3768" s="0" t="s">
        <v>28</v>
      </c>
      <c r="J3768" s="0" t="s">
        <v>29</v>
      </c>
      <c r="K3768" s="0" t="s">
        <v>30</v>
      </c>
      <c r="L3768" s="0" t="s">
        <v>31</v>
      </c>
      <c r="M3768" s="0" t="s">
        <v>140</v>
      </c>
      <c r="N3768" s="0" t="n">
        <v>1732</v>
      </c>
      <c r="O3768" s="10" t="n">
        <v>0.638959554256871</v>
      </c>
      <c r="P3768" s="10" t="n">
        <v>0.218249560333788</v>
      </c>
      <c r="Q3768" s="0" t="str">
        <f aca="false">SUBSTITUTE(SUBSTITUTE($I3768,CHAR(61),""),CHAR(34),"")</f>
        <v>&lt;01</v>
      </c>
      <c r="R3768" s="0" t="str">
        <f aca="false">IF($D3768&lt;&gt;"","["&amp;$E3768&amp;"]"&amp;"|"&amp;$Q3768&amp;"|"&amp;$K3768&amp;"|"&amp;$G3768&amp;"|"&amp;IF($G3768="TX_CURR_SUBNAT.R","CY2022Q4",$M3768),"")</f>
        <v>[oiPR2CiVJbf]|&lt;01|Female|Incidence_SUBNAT.Rt.T_1|CY2023Q3</v>
      </c>
    </row>
    <row r="3769" customFormat="false" ht="15" hidden="false" customHeight="false" outlineLevel="0" collapsed="false">
      <c r="D3769" s="0" t="s">
        <v>105</v>
      </c>
      <c r="E3769" s="0" t="s">
        <v>106</v>
      </c>
      <c r="F3769" s="0" t="s">
        <v>107</v>
      </c>
      <c r="G3769" s="0" t="s">
        <v>152</v>
      </c>
      <c r="H3769" s="0" t="s">
        <v>152</v>
      </c>
      <c r="I3769" s="0" t="s">
        <v>33</v>
      </c>
      <c r="J3769" s="0" t="s">
        <v>34</v>
      </c>
      <c r="K3769" s="0" t="s">
        <v>30</v>
      </c>
      <c r="L3769" s="0" t="s">
        <v>31</v>
      </c>
      <c r="M3769" s="0" t="s">
        <v>140</v>
      </c>
      <c r="N3769" s="0" t="n">
        <v>661</v>
      </c>
      <c r="O3769" s="10" t="n">
        <v>0.543491366319358</v>
      </c>
      <c r="P3769" s="10" t="n">
        <v>0.218249560333788</v>
      </c>
      <c r="Q3769" s="0" t="str">
        <f aca="false">SUBSTITUTE(SUBSTITUTE($I3769,CHAR(61),""),CHAR(34),"")</f>
        <v>01-09</v>
      </c>
      <c r="R3769" s="0" t="str">
        <f aca="false">IF($D3769&lt;&gt;"","["&amp;$E3769&amp;"]"&amp;"|"&amp;$Q3769&amp;"|"&amp;$K3769&amp;"|"&amp;$G3769&amp;"|"&amp;IF($G3769="TX_CURR_SUBNAT.R","CY2022Q4",$M3769),"")</f>
        <v>[oiPR2CiVJbf]|01-09|Female|Incidence_SUBNAT.Rt.T_1|CY2023Q3</v>
      </c>
    </row>
    <row r="3770" customFormat="false" ht="15" hidden="false" customHeight="false" outlineLevel="0" collapsed="false">
      <c r="D3770" s="0" t="s">
        <v>105</v>
      </c>
      <c r="E3770" s="0" t="s">
        <v>106</v>
      </c>
      <c r="F3770" s="0" t="s">
        <v>107</v>
      </c>
      <c r="G3770" s="0" t="s">
        <v>152</v>
      </c>
      <c r="H3770" s="0" t="s">
        <v>152</v>
      </c>
      <c r="I3770" s="0" t="s">
        <v>36</v>
      </c>
      <c r="J3770" s="0" t="s">
        <v>37</v>
      </c>
      <c r="K3770" s="0" t="s">
        <v>30</v>
      </c>
      <c r="L3770" s="0" t="s">
        <v>31</v>
      </c>
      <c r="M3770" s="0" t="s">
        <v>140</v>
      </c>
      <c r="N3770" s="0" t="n">
        <v>1211</v>
      </c>
      <c r="O3770" s="10" t="n">
        <v>0.532143168849871</v>
      </c>
      <c r="P3770" s="10" t="n">
        <v>0.218249560333788</v>
      </c>
      <c r="Q3770" s="0" t="str">
        <f aca="false">SUBSTITUTE(SUBSTITUTE($I3770,CHAR(61),""),CHAR(34),"")</f>
        <v>10-14</v>
      </c>
      <c r="R3770" s="0" t="str">
        <f aca="false">IF($D3770&lt;&gt;"","["&amp;$E3770&amp;"]"&amp;"|"&amp;$Q3770&amp;"|"&amp;$K3770&amp;"|"&amp;$G3770&amp;"|"&amp;IF($G3770="TX_CURR_SUBNAT.R","CY2022Q4",$M3770),"")</f>
        <v>[oiPR2CiVJbf]|10-14|Female|Incidence_SUBNAT.Rt.T_1|CY2023Q3</v>
      </c>
    </row>
    <row r="3771" customFormat="false" ht="15" hidden="false" customHeight="false" outlineLevel="0" collapsed="false">
      <c r="D3771" s="0" t="s">
        <v>105</v>
      </c>
      <c r="E3771" s="0" t="s">
        <v>106</v>
      </c>
      <c r="F3771" s="0" t="s">
        <v>107</v>
      </c>
      <c r="G3771" s="0" t="s">
        <v>152</v>
      </c>
      <c r="H3771" s="0" t="s">
        <v>152</v>
      </c>
      <c r="I3771" s="0" t="s">
        <v>38</v>
      </c>
      <c r="J3771" s="0" t="s">
        <v>39</v>
      </c>
      <c r="K3771" s="0" t="s">
        <v>30</v>
      </c>
      <c r="L3771" s="0" t="s">
        <v>31</v>
      </c>
      <c r="M3771" s="0" t="s">
        <v>140</v>
      </c>
      <c r="N3771" s="0" t="n">
        <v>1095</v>
      </c>
      <c r="O3771" s="10" t="n">
        <v>0.155619917204604</v>
      </c>
      <c r="P3771" s="10" t="n">
        <v>0.218249560333788</v>
      </c>
      <c r="Q3771" s="0" t="str">
        <f aca="false">SUBSTITUTE(SUBSTITUTE($I3771,CHAR(61),""),CHAR(34),"")</f>
        <v>15-24</v>
      </c>
      <c r="R3771" s="0" t="str">
        <f aca="false">IF($D3771&lt;&gt;"","["&amp;$E3771&amp;"]"&amp;"|"&amp;$Q3771&amp;"|"&amp;$K3771&amp;"|"&amp;$G3771&amp;"|"&amp;IF($G3771="TX_CURR_SUBNAT.R","CY2022Q4",$M3771),"")</f>
        <v>[oiPR2CiVJbf]|15-24|Female|Incidence_SUBNAT.Rt.T_1|CY2023Q3</v>
      </c>
    </row>
    <row r="3772" customFormat="false" ht="15" hidden="false" customHeight="false" outlineLevel="0" collapsed="false">
      <c r="D3772" s="0" t="s">
        <v>105</v>
      </c>
      <c r="E3772" s="0" t="s">
        <v>106</v>
      </c>
      <c r="F3772" s="0" t="s">
        <v>107</v>
      </c>
      <c r="G3772" s="0" t="s">
        <v>152</v>
      </c>
      <c r="H3772" s="0" t="s">
        <v>152</v>
      </c>
      <c r="I3772" s="0" t="s">
        <v>41</v>
      </c>
      <c r="J3772" s="0" t="s">
        <v>42</v>
      </c>
      <c r="K3772" s="0" t="s">
        <v>30</v>
      </c>
      <c r="L3772" s="0" t="s">
        <v>31</v>
      </c>
      <c r="M3772" s="0" t="s">
        <v>140</v>
      </c>
      <c r="N3772" s="0" t="n">
        <v>1823</v>
      </c>
      <c r="O3772" s="10" t="n">
        <v>0.414728554431349</v>
      </c>
      <c r="P3772" s="10" t="n">
        <v>0.218249560333788</v>
      </c>
      <c r="Q3772" s="0" t="str">
        <f aca="false">SUBSTITUTE(SUBSTITUTE($I3772,CHAR(61),""),CHAR(34),"")</f>
        <v>25-34</v>
      </c>
      <c r="R3772" s="0" t="str">
        <f aca="false">IF($D3772&lt;&gt;"","["&amp;$E3772&amp;"]"&amp;"|"&amp;$Q3772&amp;"|"&amp;$K3772&amp;"|"&amp;$G3772&amp;"|"&amp;IF($G3772="TX_CURR_SUBNAT.R","CY2022Q4",$M3772),"")</f>
        <v>[oiPR2CiVJbf]|25-34|Female|Incidence_SUBNAT.Rt.T_1|CY2023Q3</v>
      </c>
    </row>
    <row r="3773" customFormat="false" ht="15" hidden="false" customHeight="false" outlineLevel="0" collapsed="false">
      <c r="D3773" s="0" t="s">
        <v>105</v>
      </c>
      <c r="E3773" s="0" t="s">
        <v>106</v>
      </c>
      <c r="F3773" s="0" t="s">
        <v>107</v>
      </c>
      <c r="G3773" s="0" t="s">
        <v>152</v>
      </c>
      <c r="H3773" s="0" t="s">
        <v>152</v>
      </c>
      <c r="I3773" s="0" t="s">
        <v>43</v>
      </c>
      <c r="J3773" s="0" t="s">
        <v>44</v>
      </c>
      <c r="K3773" s="0" t="s">
        <v>30</v>
      </c>
      <c r="L3773" s="0" t="s">
        <v>31</v>
      </c>
      <c r="M3773" s="0" t="s">
        <v>140</v>
      </c>
      <c r="N3773" s="0" t="n">
        <v>1007</v>
      </c>
      <c r="O3773" s="10" t="n">
        <v>0.982602821197361</v>
      </c>
      <c r="P3773" s="10" t="n">
        <v>0.218249560333788</v>
      </c>
      <c r="Q3773" s="0" t="str">
        <f aca="false">SUBSTITUTE(SUBSTITUTE($I3773,CHAR(61),""),CHAR(34),"")</f>
        <v>35-49</v>
      </c>
      <c r="R3773" s="0" t="str">
        <f aca="false">IF($D3773&lt;&gt;"","["&amp;$E3773&amp;"]"&amp;"|"&amp;$Q3773&amp;"|"&amp;$K3773&amp;"|"&amp;$G3773&amp;"|"&amp;IF($G3773="TX_CURR_SUBNAT.R","CY2022Q4",$M3773),"")</f>
        <v>[oiPR2CiVJbf]|35-49|Female|Incidence_SUBNAT.Rt.T_1|CY2023Q3</v>
      </c>
    </row>
    <row r="3774" customFormat="false" ht="15" hidden="false" customHeight="false" outlineLevel="0" collapsed="false">
      <c r="D3774" s="0" t="s">
        <v>105</v>
      </c>
      <c r="E3774" s="0" t="s">
        <v>106</v>
      </c>
      <c r="F3774" s="0" t="s">
        <v>107</v>
      </c>
      <c r="G3774" s="0" t="s">
        <v>152</v>
      </c>
      <c r="H3774" s="0" t="s">
        <v>152</v>
      </c>
      <c r="I3774" s="0" t="s">
        <v>45</v>
      </c>
      <c r="J3774" s="0" t="s">
        <v>46</v>
      </c>
      <c r="K3774" s="0" t="s">
        <v>30</v>
      </c>
      <c r="L3774" s="0" t="s">
        <v>31</v>
      </c>
      <c r="M3774" s="0" t="s">
        <v>140</v>
      </c>
      <c r="N3774" s="0" t="n">
        <v>992</v>
      </c>
      <c r="O3774" s="10" t="n">
        <v>0.168296595802531</v>
      </c>
      <c r="P3774" s="10" t="n">
        <v>0.218249560333788</v>
      </c>
      <c r="Q3774" s="0" t="str">
        <f aca="false">SUBSTITUTE(SUBSTITUTE($I3774,CHAR(61),""),CHAR(34),"")</f>
        <v>50+</v>
      </c>
      <c r="R3774" s="0" t="str">
        <f aca="false">IF($D3774&lt;&gt;"","["&amp;$E3774&amp;"]"&amp;"|"&amp;$Q3774&amp;"|"&amp;$K3774&amp;"|"&amp;$G3774&amp;"|"&amp;IF($G3774="TX_CURR_SUBNAT.R","CY2022Q4",$M3774),"")</f>
        <v>[oiPR2CiVJbf]|50+|Female|Incidence_SUBNAT.Rt.T_1|CY2023Q3</v>
      </c>
    </row>
    <row r="3775" customFormat="false" ht="15" hidden="false" customHeight="false" outlineLevel="0" collapsed="false">
      <c r="D3775" s="0" t="s">
        <v>105</v>
      </c>
      <c r="E3775" s="0" t="s">
        <v>106</v>
      </c>
      <c r="F3775" s="0" t="s">
        <v>107</v>
      </c>
      <c r="G3775" s="0" t="s">
        <v>152</v>
      </c>
      <c r="H3775" s="0" t="s">
        <v>152</v>
      </c>
      <c r="I3775" s="0" t="s">
        <v>28</v>
      </c>
      <c r="J3775" s="0" t="s">
        <v>29</v>
      </c>
      <c r="K3775" s="0" t="s">
        <v>48</v>
      </c>
      <c r="L3775" s="0" t="s">
        <v>49</v>
      </c>
      <c r="M3775" s="0" t="s">
        <v>140</v>
      </c>
      <c r="N3775" s="0" t="n">
        <v>679</v>
      </c>
      <c r="O3775" s="10" t="n">
        <v>0.75810670433566</v>
      </c>
      <c r="P3775" s="10" t="n">
        <v>0.218249560333788</v>
      </c>
      <c r="Q3775" s="0" t="str">
        <f aca="false">SUBSTITUTE(SUBSTITUTE($I3775,CHAR(61),""),CHAR(34),"")</f>
        <v>&lt;01</v>
      </c>
      <c r="R3775" s="0" t="str">
        <f aca="false">IF($D3775&lt;&gt;"","["&amp;$E3775&amp;"]"&amp;"|"&amp;$Q3775&amp;"|"&amp;$K3775&amp;"|"&amp;$G3775&amp;"|"&amp;IF($G3775="TX_CURR_SUBNAT.R","CY2022Q4",$M3775),"")</f>
        <v>[oiPR2CiVJbf]|&lt;01|Male|Incidence_SUBNAT.Rt.T_1|CY2023Q3</v>
      </c>
    </row>
    <row r="3776" customFormat="false" ht="15" hidden="false" customHeight="false" outlineLevel="0" collapsed="false">
      <c r="D3776" s="0" t="s">
        <v>105</v>
      </c>
      <c r="E3776" s="0" t="s">
        <v>106</v>
      </c>
      <c r="F3776" s="0" t="s">
        <v>107</v>
      </c>
      <c r="G3776" s="0" t="s">
        <v>152</v>
      </c>
      <c r="H3776" s="0" t="s">
        <v>152</v>
      </c>
      <c r="I3776" s="0" t="s">
        <v>33</v>
      </c>
      <c r="J3776" s="0" t="s">
        <v>34</v>
      </c>
      <c r="K3776" s="0" t="s">
        <v>48</v>
      </c>
      <c r="L3776" s="0" t="s">
        <v>49</v>
      </c>
      <c r="M3776" s="0" t="s">
        <v>140</v>
      </c>
      <c r="N3776" s="0" t="n">
        <v>1082</v>
      </c>
      <c r="O3776" s="10" t="n">
        <v>0.282564643537626</v>
      </c>
      <c r="P3776" s="10" t="n">
        <v>0.218249560333788</v>
      </c>
      <c r="Q3776" s="0" t="str">
        <f aca="false">SUBSTITUTE(SUBSTITUTE($I3776,CHAR(61),""),CHAR(34),"")</f>
        <v>01-09</v>
      </c>
      <c r="R3776" s="0" t="str">
        <f aca="false">IF($D3776&lt;&gt;"","["&amp;$E3776&amp;"]"&amp;"|"&amp;$Q3776&amp;"|"&amp;$K3776&amp;"|"&amp;$G3776&amp;"|"&amp;IF($G3776="TX_CURR_SUBNAT.R","CY2022Q4",$M3776),"")</f>
        <v>[oiPR2CiVJbf]|01-09|Male|Incidence_SUBNAT.Rt.T_1|CY2023Q3</v>
      </c>
    </row>
    <row r="3777" customFormat="false" ht="15" hidden="false" customHeight="false" outlineLevel="0" collapsed="false">
      <c r="D3777" s="0" t="s">
        <v>105</v>
      </c>
      <c r="E3777" s="0" t="s">
        <v>106</v>
      </c>
      <c r="F3777" s="0" t="s">
        <v>107</v>
      </c>
      <c r="G3777" s="0" t="s">
        <v>152</v>
      </c>
      <c r="H3777" s="0" t="s">
        <v>152</v>
      </c>
      <c r="I3777" s="0" t="s">
        <v>36</v>
      </c>
      <c r="J3777" s="0" t="s">
        <v>37</v>
      </c>
      <c r="K3777" s="0" t="s">
        <v>48</v>
      </c>
      <c r="L3777" s="0" t="s">
        <v>49</v>
      </c>
      <c r="M3777" s="0" t="s">
        <v>140</v>
      </c>
      <c r="N3777" s="0" t="n">
        <v>866</v>
      </c>
      <c r="O3777" s="10" t="n">
        <v>0.715858520939946</v>
      </c>
      <c r="P3777" s="10" t="n">
        <v>0.218249560333788</v>
      </c>
      <c r="Q3777" s="0" t="str">
        <f aca="false">SUBSTITUTE(SUBSTITUTE($I3777,CHAR(61),""),CHAR(34),"")</f>
        <v>10-14</v>
      </c>
      <c r="R3777" s="0" t="str">
        <f aca="false">IF($D3777&lt;&gt;"","["&amp;$E3777&amp;"]"&amp;"|"&amp;$Q3777&amp;"|"&amp;$K3777&amp;"|"&amp;$G3777&amp;"|"&amp;IF($G3777="TX_CURR_SUBNAT.R","CY2022Q4",$M3777),"")</f>
        <v>[oiPR2CiVJbf]|10-14|Male|Incidence_SUBNAT.Rt.T_1|CY2023Q3</v>
      </c>
    </row>
    <row r="3778" customFormat="false" ht="15" hidden="false" customHeight="false" outlineLevel="0" collapsed="false">
      <c r="D3778" s="0" t="s">
        <v>105</v>
      </c>
      <c r="E3778" s="0" t="s">
        <v>106</v>
      </c>
      <c r="F3778" s="0" t="s">
        <v>107</v>
      </c>
      <c r="G3778" s="0" t="s">
        <v>152</v>
      </c>
      <c r="H3778" s="0" t="s">
        <v>152</v>
      </c>
      <c r="I3778" s="0" t="s">
        <v>38</v>
      </c>
      <c r="J3778" s="0" t="s">
        <v>39</v>
      </c>
      <c r="K3778" s="0" t="s">
        <v>48</v>
      </c>
      <c r="L3778" s="0" t="s">
        <v>49</v>
      </c>
      <c r="M3778" s="0" t="s">
        <v>140</v>
      </c>
      <c r="N3778" s="0" t="n">
        <v>1189</v>
      </c>
      <c r="O3778" s="10" t="n">
        <v>0.0319498283788562</v>
      </c>
      <c r="P3778" s="10" t="n">
        <v>0.218249560333788</v>
      </c>
      <c r="Q3778" s="0" t="str">
        <f aca="false">SUBSTITUTE(SUBSTITUTE($I3778,CHAR(61),""),CHAR(34),"")</f>
        <v>15-24</v>
      </c>
      <c r="R3778" s="0" t="str">
        <f aca="false">IF($D3778&lt;&gt;"","["&amp;$E3778&amp;"]"&amp;"|"&amp;$Q3778&amp;"|"&amp;$K3778&amp;"|"&amp;$G3778&amp;"|"&amp;IF($G3778="TX_CURR_SUBNAT.R","CY2022Q4",$M3778),"")</f>
        <v>[oiPR2CiVJbf]|15-24|Male|Incidence_SUBNAT.Rt.T_1|CY2023Q3</v>
      </c>
    </row>
    <row r="3779" customFormat="false" ht="15" hidden="false" customHeight="false" outlineLevel="0" collapsed="false">
      <c r="D3779" s="0" t="s">
        <v>105</v>
      </c>
      <c r="E3779" s="0" t="s">
        <v>106</v>
      </c>
      <c r="F3779" s="0" t="s">
        <v>107</v>
      </c>
      <c r="G3779" s="0" t="s">
        <v>152</v>
      </c>
      <c r="H3779" s="0" t="s">
        <v>152</v>
      </c>
      <c r="I3779" s="0" t="s">
        <v>41</v>
      </c>
      <c r="J3779" s="0" t="s">
        <v>42</v>
      </c>
      <c r="K3779" s="0" t="s">
        <v>48</v>
      </c>
      <c r="L3779" s="0" t="s">
        <v>49</v>
      </c>
      <c r="M3779" s="0" t="s">
        <v>140</v>
      </c>
      <c r="N3779" s="0" t="n">
        <v>1154</v>
      </c>
      <c r="O3779" s="10" t="n">
        <v>0.214833001140505</v>
      </c>
      <c r="P3779" s="10" t="n">
        <v>0.218249560333788</v>
      </c>
      <c r="Q3779" s="0" t="str">
        <f aca="false">SUBSTITUTE(SUBSTITUTE($I3779,CHAR(61),""),CHAR(34),"")</f>
        <v>25-34</v>
      </c>
      <c r="R3779" s="0" t="str">
        <f aca="false">IF($D3779&lt;&gt;"","["&amp;$E3779&amp;"]"&amp;"|"&amp;$Q3779&amp;"|"&amp;$K3779&amp;"|"&amp;$G3779&amp;"|"&amp;IF($G3779="TX_CURR_SUBNAT.R","CY2022Q4",$M3779),"")</f>
        <v>[oiPR2CiVJbf]|25-34|Male|Incidence_SUBNAT.Rt.T_1|CY2023Q3</v>
      </c>
    </row>
    <row r="3780" customFormat="false" ht="15" hidden="false" customHeight="false" outlineLevel="0" collapsed="false">
      <c r="D3780" s="0" t="s">
        <v>105</v>
      </c>
      <c r="E3780" s="0" t="s">
        <v>106</v>
      </c>
      <c r="F3780" s="0" t="s">
        <v>107</v>
      </c>
      <c r="G3780" s="0" t="s">
        <v>152</v>
      </c>
      <c r="H3780" s="0" t="s">
        <v>152</v>
      </c>
      <c r="I3780" s="0" t="s">
        <v>43</v>
      </c>
      <c r="J3780" s="0" t="s">
        <v>44</v>
      </c>
      <c r="K3780" s="0" t="s">
        <v>48</v>
      </c>
      <c r="L3780" s="0" t="s">
        <v>49</v>
      </c>
      <c r="M3780" s="0" t="s">
        <v>140</v>
      </c>
      <c r="N3780" s="0" t="n">
        <v>758</v>
      </c>
      <c r="O3780" s="10" t="n">
        <v>0.803761604474857</v>
      </c>
      <c r="P3780" s="10" t="n">
        <v>0.218249560333788</v>
      </c>
      <c r="Q3780" s="0" t="str">
        <f aca="false">SUBSTITUTE(SUBSTITUTE($I3780,CHAR(61),""),CHAR(34),"")</f>
        <v>35-49</v>
      </c>
      <c r="R3780" s="0" t="str">
        <f aca="false">IF($D3780&lt;&gt;"","["&amp;$E3780&amp;"]"&amp;"|"&amp;$Q3780&amp;"|"&amp;$K3780&amp;"|"&amp;$G3780&amp;"|"&amp;IF($G3780="TX_CURR_SUBNAT.R","CY2022Q4",$M3780),"")</f>
        <v>[oiPR2CiVJbf]|35-49|Male|Incidence_SUBNAT.Rt.T_1|CY2023Q3</v>
      </c>
    </row>
    <row r="3781" customFormat="false" ht="15" hidden="false" customHeight="false" outlineLevel="0" collapsed="false">
      <c r="D3781" s="0" t="s">
        <v>105</v>
      </c>
      <c r="E3781" s="0" t="s">
        <v>106</v>
      </c>
      <c r="F3781" s="0" t="s">
        <v>107</v>
      </c>
      <c r="G3781" s="0" t="s">
        <v>152</v>
      </c>
      <c r="H3781" s="0" t="s">
        <v>152</v>
      </c>
      <c r="I3781" s="0" t="s">
        <v>45</v>
      </c>
      <c r="J3781" s="0" t="s">
        <v>46</v>
      </c>
      <c r="K3781" s="0" t="s">
        <v>48</v>
      </c>
      <c r="L3781" s="0" t="s">
        <v>49</v>
      </c>
      <c r="M3781" s="0" t="s">
        <v>140</v>
      </c>
      <c r="N3781" s="0" t="n">
        <v>1928</v>
      </c>
      <c r="O3781" s="10" t="n">
        <v>0.236365508288145</v>
      </c>
      <c r="P3781" s="10" t="n">
        <v>0.218249560333788</v>
      </c>
      <c r="Q3781" s="0" t="str">
        <f aca="false">SUBSTITUTE(SUBSTITUTE($I3781,CHAR(61),""),CHAR(34),"")</f>
        <v>50+</v>
      </c>
      <c r="R3781" s="0" t="str">
        <f aca="false">IF($D3781&lt;&gt;"","["&amp;$E3781&amp;"]"&amp;"|"&amp;$Q3781&amp;"|"&amp;$K3781&amp;"|"&amp;$G3781&amp;"|"&amp;IF($G3781="TX_CURR_SUBNAT.R","CY2022Q4",$M3781),"")</f>
        <v>[oiPR2CiVJbf]|50+|Male|Incidence_SUBNAT.Rt.T_1|CY2023Q3</v>
      </c>
    </row>
    <row r="3782" customFormat="false" ht="15" hidden="false" customHeight="false" outlineLevel="0" collapsed="false">
      <c r="D3782" s="0" t="s">
        <v>108</v>
      </c>
      <c r="E3782" s="0" t="s">
        <v>109</v>
      </c>
      <c r="F3782" s="0" t="s">
        <v>110</v>
      </c>
      <c r="G3782" s="0" t="s">
        <v>152</v>
      </c>
      <c r="H3782" s="0" t="s">
        <v>152</v>
      </c>
      <c r="I3782" s="0" t="s">
        <v>28</v>
      </c>
      <c r="J3782" s="0" t="s">
        <v>29</v>
      </c>
      <c r="K3782" s="0" t="s">
        <v>30</v>
      </c>
      <c r="L3782" s="0" t="s">
        <v>31</v>
      </c>
      <c r="M3782" s="0" t="s">
        <v>140</v>
      </c>
      <c r="N3782" s="0" t="n">
        <v>1820</v>
      </c>
      <c r="O3782" s="10" t="n">
        <v>0.0647071893326938</v>
      </c>
      <c r="P3782" s="10" t="n">
        <v>0.434221804374829</v>
      </c>
      <c r="Q3782" s="0" t="str">
        <f aca="false">SUBSTITUTE(SUBSTITUTE($I3782,CHAR(61),""),CHAR(34),"")</f>
        <v>&lt;01</v>
      </c>
      <c r="R3782" s="0" t="str">
        <f aca="false">IF($D3782&lt;&gt;"","["&amp;$E3782&amp;"]"&amp;"|"&amp;$Q3782&amp;"|"&amp;$K3782&amp;"|"&amp;$G3782&amp;"|"&amp;IF($G3782="TX_CURR_SUBNAT.R","CY2022Q4",$M3782),"")</f>
        <v>[ul0y9diGujK]|&lt;01|Female|Incidence_SUBNAT.Rt.T_1|CY2023Q3</v>
      </c>
    </row>
    <row r="3783" customFormat="false" ht="15" hidden="false" customHeight="false" outlineLevel="0" collapsed="false">
      <c r="D3783" s="0" t="s">
        <v>108</v>
      </c>
      <c r="E3783" s="0" t="s">
        <v>109</v>
      </c>
      <c r="F3783" s="0" t="s">
        <v>110</v>
      </c>
      <c r="G3783" s="0" t="s">
        <v>152</v>
      </c>
      <c r="H3783" s="0" t="s">
        <v>152</v>
      </c>
      <c r="I3783" s="0" t="s">
        <v>33</v>
      </c>
      <c r="J3783" s="0" t="s">
        <v>34</v>
      </c>
      <c r="K3783" s="0" t="s">
        <v>30</v>
      </c>
      <c r="L3783" s="0" t="s">
        <v>31</v>
      </c>
      <c r="M3783" s="0" t="s">
        <v>140</v>
      </c>
      <c r="N3783" s="0" t="n">
        <v>1050</v>
      </c>
      <c r="O3783" s="10" t="n">
        <v>0.0961680982727557</v>
      </c>
      <c r="P3783" s="10" t="n">
        <v>0.434221804374829</v>
      </c>
      <c r="Q3783" s="0" t="str">
        <f aca="false">SUBSTITUTE(SUBSTITUTE($I3783,CHAR(61),""),CHAR(34),"")</f>
        <v>01-09</v>
      </c>
      <c r="R3783" s="0" t="str">
        <f aca="false">IF($D3783&lt;&gt;"","["&amp;$E3783&amp;"]"&amp;"|"&amp;$Q3783&amp;"|"&amp;$K3783&amp;"|"&amp;$G3783&amp;"|"&amp;IF($G3783="TX_CURR_SUBNAT.R","CY2022Q4",$M3783),"")</f>
        <v>[ul0y9diGujK]|01-09|Female|Incidence_SUBNAT.Rt.T_1|CY2023Q3</v>
      </c>
    </row>
    <row r="3784" customFormat="false" ht="15" hidden="false" customHeight="false" outlineLevel="0" collapsed="false">
      <c r="D3784" s="0" t="s">
        <v>108</v>
      </c>
      <c r="E3784" s="0" t="s">
        <v>109</v>
      </c>
      <c r="F3784" s="0" t="s">
        <v>110</v>
      </c>
      <c r="G3784" s="0" t="s">
        <v>152</v>
      </c>
      <c r="H3784" s="0" t="s">
        <v>152</v>
      </c>
      <c r="I3784" s="0" t="s">
        <v>36</v>
      </c>
      <c r="J3784" s="0" t="s">
        <v>37</v>
      </c>
      <c r="K3784" s="0" t="s">
        <v>30</v>
      </c>
      <c r="L3784" s="0" t="s">
        <v>31</v>
      </c>
      <c r="M3784" s="0" t="s">
        <v>140</v>
      </c>
      <c r="N3784" s="0" t="n">
        <v>756</v>
      </c>
      <c r="O3784" s="10" t="n">
        <v>0.759136172942817</v>
      </c>
      <c r="P3784" s="10" t="n">
        <v>0.434221804374829</v>
      </c>
      <c r="Q3784" s="0" t="str">
        <f aca="false">SUBSTITUTE(SUBSTITUTE($I3784,CHAR(61),""),CHAR(34),"")</f>
        <v>10-14</v>
      </c>
      <c r="R3784" s="0" t="str">
        <f aca="false">IF($D3784&lt;&gt;"","["&amp;$E3784&amp;"]"&amp;"|"&amp;$Q3784&amp;"|"&amp;$K3784&amp;"|"&amp;$G3784&amp;"|"&amp;IF($G3784="TX_CURR_SUBNAT.R","CY2022Q4",$M3784),"")</f>
        <v>[ul0y9diGujK]|10-14|Female|Incidence_SUBNAT.Rt.T_1|CY2023Q3</v>
      </c>
    </row>
    <row r="3785" customFormat="false" ht="15" hidden="false" customHeight="false" outlineLevel="0" collapsed="false">
      <c r="D3785" s="0" t="s">
        <v>108</v>
      </c>
      <c r="E3785" s="0" t="s">
        <v>109</v>
      </c>
      <c r="F3785" s="0" t="s">
        <v>110</v>
      </c>
      <c r="G3785" s="0" t="s">
        <v>152</v>
      </c>
      <c r="H3785" s="0" t="s">
        <v>152</v>
      </c>
      <c r="I3785" s="0" t="s">
        <v>38</v>
      </c>
      <c r="J3785" s="0" t="s">
        <v>39</v>
      </c>
      <c r="K3785" s="0" t="s">
        <v>30</v>
      </c>
      <c r="L3785" s="0" t="s">
        <v>31</v>
      </c>
      <c r="M3785" s="0" t="s">
        <v>140</v>
      </c>
      <c r="N3785" s="0" t="n">
        <v>1281</v>
      </c>
      <c r="O3785" s="10" t="n">
        <v>0.431605993770063</v>
      </c>
      <c r="P3785" s="10" t="n">
        <v>0.434221804374829</v>
      </c>
      <c r="Q3785" s="0" t="str">
        <f aca="false">SUBSTITUTE(SUBSTITUTE($I3785,CHAR(61),""),CHAR(34),"")</f>
        <v>15-24</v>
      </c>
      <c r="R3785" s="0" t="str">
        <f aca="false">IF($D3785&lt;&gt;"","["&amp;$E3785&amp;"]"&amp;"|"&amp;$Q3785&amp;"|"&amp;$K3785&amp;"|"&amp;$G3785&amp;"|"&amp;IF($G3785="TX_CURR_SUBNAT.R","CY2022Q4",$M3785),"")</f>
        <v>[ul0y9diGujK]|15-24|Female|Incidence_SUBNAT.Rt.T_1|CY2023Q3</v>
      </c>
    </row>
    <row r="3786" customFormat="false" ht="15" hidden="false" customHeight="false" outlineLevel="0" collapsed="false">
      <c r="D3786" s="0" t="s">
        <v>108</v>
      </c>
      <c r="E3786" s="0" t="s">
        <v>109</v>
      </c>
      <c r="F3786" s="0" t="s">
        <v>110</v>
      </c>
      <c r="G3786" s="0" t="s">
        <v>152</v>
      </c>
      <c r="H3786" s="0" t="s">
        <v>152</v>
      </c>
      <c r="I3786" s="0" t="s">
        <v>41</v>
      </c>
      <c r="J3786" s="0" t="s">
        <v>42</v>
      </c>
      <c r="K3786" s="0" t="s">
        <v>30</v>
      </c>
      <c r="L3786" s="0" t="s">
        <v>31</v>
      </c>
      <c r="M3786" s="0" t="s">
        <v>140</v>
      </c>
      <c r="N3786" s="0" t="n">
        <v>712</v>
      </c>
      <c r="O3786" s="10" t="n">
        <v>0.120953785954043</v>
      </c>
      <c r="P3786" s="10" t="n">
        <v>0.434221804374829</v>
      </c>
      <c r="Q3786" s="0" t="str">
        <f aca="false">SUBSTITUTE(SUBSTITUTE($I3786,CHAR(61),""),CHAR(34),"")</f>
        <v>25-34</v>
      </c>
      <c r="R3786" s="0" t="str">
        <f aca="false">IF($D3786&lt;&gt;"","["&amp;$E3786&amp;"]"&amp;"|"&amp;$Q3786&amp;"|"&amp;$K3786&amp;"|"&amp;$G3786&amp;"|"&amp;IF($G3786="TX_CURR_SUBNAT.R","CY2022Q4",$M3786),"")</f>
        <v>[ul0y9diGujK]|25-34|Female|Incidence_SUBNAT.Rt.T_1|CY2023Q3</v>
      </c>
    </row>
    <row r="3787" customFormat="false" ht="15" hidden="false" customHeight="false" outlineLevel="0" collapsed="false">
      <c r="D3787" s="0" t="s">
        <v>108</v>
      </c>
      <c r="E3787" s="0" t="s">
        <v>109</v>
      </c>
      <c r="F3787" s="0" t="s">
        <v>110</v>
      </c>
      <c r="G3787" s="0" t="s">
        <v>152</v>
      </c>
      <c r="H3787" s="0" t="s">
        <v>152</v>
      </c>
      <c r="I3787" s="0" t="s">
        <v>43</v>
      </c>
      <c r="J3787" s="0" t="s">
        <v>44</v>
      </c>
      <c r="K3787" s="0" t="s">
        <v>30</v>
      </c>
      <c r="L3787" s="0" t="s">
        <v>31</v>
      </c>
      <c r="M3787" s="0" t="s">
        <v>140</v>
      </c>
      <c r="N3787" s="0" t="n">
        <v>1153</v>
      </c>
      <c r="O3787" s="10" t="n">
        <v>0.739209599560127</v>
      </c>
      <c r="P3787" s="10" t="n">
        <v>0.434221804374829</v>
      </c>
      <c r="Q3787" s="0" t="str">
        <f aca="false">SUBSTITUTE(SUBSTITUTE($I3787,CHAR(61),""),CHAR(34),"")</f>
        <v>35-49</v>
      </c>
      <c r="R3787" s="0" t="str">
        <f aca="false">IF($D3787&lt;&gt;"","["&amp;$E3787&amp;"]"&amp;"|"&amp;$Q3787&amp;"|"&amp;$K3787&amp;"|"&amp;$G3787&amp;"|"&amp;IF($G3787="TX_CURR_SUBNAT.R","CY2022Q4",$M3787),"")</f>
        <v>[ul0y9diGujK]|35-49|Female|Incidence_SUBNAT.Rt.T_1|CY2023Q3</v>
      </c>
    </row>
    <row r="3788" customFormat="false" ht="15" hidden="false" customHeight="false" outlineLevel="0" collapsed="false">
      <c r="D3788" s="0" t="s">
        <v>108</v>
      </c>
      <c r="E3788" s="0" t="s">
        <v>109</v>
      </c>
      <c r="F3788" s="0" t="s">
        <v>110</v>
      </c>
      <c r="G3788" s="0" t="s">
        <v>152</v>
      </c>
      <c r="H3788" s="0" t="s">
        <v>152</v>
      </c>
      <c r="I3788" s="0" t="s">
        <v>45</v>
      </c>
      <c r="J3788" s="0" t="s">
        <v>46</v>
      </c>
      <c r="K3788" s="0" t="s">
        <v>30</v>
      </c>
      <c r="L3788" s="0" t="s">
        <v>31</v>
      </c>
      <c r="M3788" s="0" t="s">
        <v>140</v>
      </c>
      <c r="N3788" s="0" t="n">
        <v>999</v>
      </c>
      <c r="O3788" s="10" t="n">
        <v>0.705455117858946</v>
      </c>
      <c r="P3788" s="10" t="n">
        <v>0.434221804374829</v>
      </c>
      <c r="Q3788" s="0" t="str">
        <f aca="false">SUBSTITUTE(SUBSTITUTE($I3788,CHAR(61),""),CHAR(34),"")</f>
        <v>50+</v>
      </c>
      <c r="R3788" s="0" t="str">
        <f aca="false">IF($D3788&lt;&gt;"","["&amp;$E3788&amp;"]"&amp;"|"&amp;$Q3788&amp;"|"&amp;$K3788&amp;"|"&amp;$G3788&amp;"|"&amp;IF($G3788="TX_CURR_SUBNAT.R","CY2022Q4",$M3788),"")</f>
        <v>[ul0y9diGujK]|50+|Female|Incidence_SUBNAT.Rt.T_1|CY2023Q3</v>
      </c>
    </row>
    <row r="3789" customFormat="false" ht="15" hidden="false" customHeight="false" outlineLevel="0" collapsed="false">
      <c r="D3789" s="0" t="s">
        <v>108</v>
      </c>
      <c r="E3789" s="0" t="s">
        <v>109</v>
      </c>
      <c r="F3789" s="0" t="s">
        <v>110</v>
      </c>
      <c r="G3789" s="0" t="s">
        <v>152</v>
      </c>
      <c r="H3789" s="0" t="s">
        <v>152</v>
      </c>
      <c r="I3789" s="0" t="s">
        <v>28</v>
      </c>
      <c r="J3789" s="0" t="s">
        <v>29</v>
      </c>
      <c r="K3789" s="0" t="s">
        <v>48</v>
      </c>
      <c r="L3789" s="0" t="s">
        <v>49</v>
      </c>
      <c r="M3789" s="0" t="s">
        <v>140</v>
      </c>
      <c r="N3789" s="0" t="n">
        <v>1341</v>
      </c>
      <c r="O3789" s="10" t="n">
        <v>0.853812798857689</v>
      </c>
      <c r="P3789" s="10" t="n">
        <v>0.434221804374829</v>
      </c>
      <c r="Q3789" s="0" t="str">
        <f aca="false">SUBSTITUTE(SUBSTITUTE($I3789,CHAR(61),""),CHAR(34),"")</f>
        <v>&lt;01</v>
      </c>
      <c r="R3789" s="0" t="str">
        <f aca="false">IF($D3789&lt;&gt;"","["&amp;$E3789&amp;"]"&amp;"|"&amp;$Q3789&amp;"|"&amp;$K3789&amp;"|"&amp;$G3789&amp;"|"&amp;IF($G3789="TX_CURR_SUBNAT.R","CY2022Q4",$M3789),"")</f>
        <v>[ul0y9diGujK]|&lt;01|Male|Incidence_SUBNAT.Rt.T_1|CY2023Q3</v>
      </c>
    </row>
    <row r="3790" customFormat="false" ht="15" hidden="false" customHeight="false" outlineLevel="0" collapsed="false">
      <c r="D3790" s="0" t="s">
        <v>108</v>
      </c>
      <c r="E3790" s="0" t="s">
        <v>109</v>
      </c>
      <c r="F3790" s="0" t="s">
        <v>110</v>
      </c>
      <c r="G3790" s="0" t="s">
        <v>152</v>
      </c>
      <c r="H3790" s="0" t="s">
        <v>152</v>
      </c>
      <c r="I3790" s="0" t="s">
        <v>33</v>
      </c>
      <c r="J3790" s="0" t="s">
        <v>34</v>
      </c>
      <c r="K3790" s="0" t="s">
        <v>48</v>
      </c>
      <c r="L3790" s="0" t="s">
        <v>49</v>
      </c>
      <c r="M3790" s="0" t="s">
        <v>140</v>
      </c>
      <c r="N3790" s="0" t="n">
        <v>1464</v>
      </c>
      <c r="O3790" s="10" t="n">
        <v>0.258419752586633</v>
      </c>
      <c r="P3790" s="10" t="n">
        <v>0.434221804374829</v>
      </c>
      <c r="Q3790" s="0" t="str">
        <f aca="false">SUBSTITUTE(SUBSTITUTE($I3790,CHAR(61),""),CHAR(34),"")</f>
        <v>01-09</v>
      </c>
      <c r="R3790" s="0" t="str">
        <f aca="false">IF($D3790&lt;&gt;"","["&amp;$E3790&amp;"]"&amp;"|"&amp;$Q3790&amp;"|"&amp;$K3790&amp;"|"&amp;$G3790&amp;"|"&amp;IF($G3790="TX_CURR_SUBNAT.R","CY2022Q4",$M3790),"")</f>
        <v>[ul0y9diGujK]|01-09|Male|Incidence_SUBNAT.Rt.T_1|CY2023Q3</v>
      </c>
    </row>
    <row r="3791" customFormat="false" ht="15" hidden="false" customHeight="false" outlineLevel="0" collapsed="false">
      <c r="D3791" s="0" t="s">
        <v>108</v>
      </c>
      <c r="E3791" s="0" t="s">
        <v>109</v>
      </c>
      <c r="F3791" s="0" t="s">
        <v>110</v>
      </c>
      <c r="G3791" s="0" t="s">
        <v>152</v>
      </c>
      <c r="H3791" s="0" t="s">
        <v>152</v>
      </c>
      <c r="I3791" s="0" t="s">
        <v>36</v>
      </c>
      <c r="J3791" s="0" t="s">
        <v>37</v>
      </c>
      <c r="K3791" s="0" t="s">
        <v>48</v>
      </c>
      <c r="L3791" s="0" t="s">
        <v>49</v>
      </c>
      <c r="M3791" s="0" t="s">
        <v>140</v>
      </c>
      <c r="N3791" s="0" t="n">
        <v>1760</v>
      </c>
      <c r="O3791" s="10" t="n">
        <v>0.264151219744235</v>
      </c>
      <c r="P3791" s="10" t="n">
        <v>0.434221804374829</v>
      </c>
      <c r="Q3791" s="0" t="str">
        <f aca="false">SUBSTITUTE(SUBSTITUTE($I3791,CHAR(61),""),CHAR(34),"")</f>
        <v>10-14</v>
      </c>
      <c r="R3791" s="0" t="str">
        <f aca="false">IF($D3791&lt;&gt;"","["&amp;$E3791&amp;"]"&amp;"|"&amp;$Q3791&amp;"|"&amp;$K3791&amp;"|"&amp;$G3791&amp;"|"&amp;IF($G3791="TX_CURR_SUBNAT.R","CY2022Q4",$M3791),"")</f>
        <v>[ul0y9diGujK]|10-14|Male|Incidence_SUBNAT.Rt.T_1|CY2023Q3</v>
      </c>
    </row>
    <row r="3792" customFormat="false" ht="15" hidden="false" customHeight="false" outlineLevel="0" collapsed="false">
      <c r="D3792" s="0" t="s">
        <v>108</v>
      </c>
      <c r="E3792" s="0" t="s">
        <v>109</v>
      </c>
      <c r="F3792" s="0" t="s">
        <v>110</v>
      </c>
      <c r="G3792" s="0" t="s">
        <v>152</v>
      </c>
      <c r="H3792" s="0" t="s">
        <v>152</v>
      </c>
      <c r="I3792" s="0" t="s">
        <v>38</v>
      </c>
      <c r="J3792" s="0" t="s">
        <v>39</v>
      </c>
      <c r="K3792" s="0" t="s">
        <v>48</v>
      </c>
      <c r="L3792" s="0" t="s">
        <v>49</v>
      </c>
      <c r="M3792" s="0" t="s">
        <v>140</v>
      </c>
      <c r="N3792" s="0" t="n">
        <v>601</v>
      </c>
      <c r="O3792" s="10" t="n">
        <v>0.738272784976289</v>
      </c>
      <c r="P3792" s="10" t="n">
        <v>0.434221804374829</v>
      </c>
      <c r="Q3792" s="0" t="str">
        <f aca="false">SUBSTITUTE(SUBSTITUTE($I3792,CHAR(61),""),CHAR(34),"")</f>
        <v>15-24</v>
      </c>
      <c r="R3792" s="0" t="str">
        <f aca="false">IF($D3792&lt;&gt;"","["&amp;$E3792&amp;"]"&amp;"|"&amp;$Q3792&amp;"|"&amp;$K3792&amp;"|"&amp;$G3792&amp;"|"&amp;IF($G3792="TX_CURR_SUBNAT.R","CY2022Q4",$M3792),"")</f>
        <v>[ul0y9diGujK]|15-24|Male|Incidence_SUBNAT.Rt.T_1|CY2023Q3</v>
      </c>
    </row>
    <row r="3793" customFormat="false" ht="15" hidden="false" customHeight="false" outlineLevel="0" collapsed="false">
      <c r="D3793" s="0" t="s">
        <v>108</v>
      </c>
      <c r="E3793" s="0" t="s">
        <v>109</v>
      </c>
      <c r="F3793" s="0" t="s">
        <v>110</v>
      </c>
      <c r="G3793" s="0" t="s">
        <v>152</v>
      </c>
      <c r="H3793" s="0" t="s">
        <v>152</v>
      </c>
      <c r="I3793" s="0" t="s">
        <v>41</v>
      </c>
      <c r="J3793" s="0" t="s">
        <v>42</v>
      </c>
      <c r="K3793" s="0" t="s">
        <v>48</v>
      </c>
      <c r="L3793" s="0" t="s">
        <v>49</v>
      </c>
      <c r="M3793" s="0" t="s">
        <v>140</v>
      </c>
      <c r="N3793" s="0" t="n">
        <v>1317</v>
      </c>
      <c r="O3793" s="10" t="n">
        <v>0.475023406557739</v>
      </c>
      <c r="P3793" s="10" t="n">
        <v>0.434221804374829</v>
      </c>
      <c r="Q3793" s="0" t="str">
        <f aca="false">SUBSTITUTE(SUBSTITUTE($I3793,CHAR(61),""),CHAR(34),"")</f>
        <v>25-34</v>
      </c>
      <c r="R3793" s="0" t="str">
        <f aca="false">IF($D3793&lt;&gt;"","["&amp;$E3793&amp;"]"&amp;"|"&amp;$Q3793&amp;"|"&amp;$K3793&amp;"|"&amp;$G3793&amp;"|"&amp;IF($G3793="TX_CURR_SUBNAT.R","CY2022Q4",$M3793),"")</f>
        <v>[ul0y9diGujK]|25-34|Male|Incidence_SUBNAT.Rt.T_1|CY2023Q3</v>
      </c>
    </row>
    <row r="3794" customFormat="false" ht="15" hidden="false" customHeight="false" outlineLevel="0" collapsed="false">
      <c r="D3794" s="0" t="s">
        <v>108</v>
      </c>
      <c r="E3794" s="0" t="s">
        <v>109</v>
      </c>
      <c r="F3794" s="0" t="s">
        <v>110</v>
      </c>
      <c r="G3794" s="0" t="s">
        <v>152</v>
      </c>
      <c r="H3794" s="0" t="s">
        <v>152</v>
      </c>
      <c r="I3794" s="0" t="s">
        <v>43</v>
      </c>
      <c r="J3794" s="0" t="s">
        <v>44</v>
      </c>
      <c r="K3794" s="0" t="s">
        <v>48</v>
      </c>
      <c r="L3794" s="0" t="s">
        <v>49</v>
      </c>
      <c r="M3794" s="0" t="s">
        <v>140</v>
      </c>
      <c r="N3794" s="0" t="n">
        <v>1391</v>
      </c>
      <c r="O3794" s="10" t="n">
        <v>0.215254422975704</v>
      </c>
      <c r="P3794" s="10" t="n">
        <v>0.434221804374829</v>
      </c>
      <c r="Q3794" s="0" t="str">
        <f aca="false">SUBSTITUTE(SUBSTITUTE($I3794,CHAR(61),""),CHAR(34),"")</f>
        <v>35-49</v>
      </c>
      <c r="R3794" s="0" t="str">
        <f aca="false">IF($D3794&lt;&gt;"","["&amp;$E3794&amp;"]"&amp;"|"&amp;$Q3794&amp;"|"&amp;$K3794&amp;"|"&amp;$G3794&amp;"|"&amp;IF($G3794="TX_CURR_SUBNAT.R","CY2022Q4",$M3794),"")</f>
        <v>[ul0y9diGujK]|35-49|Male|Incidence_SUBNAT.Rt.T_1|CY2023Q3</v>
      </c>
    </row>
    <row r="3795" customFormat="false" ht="15" hidden="false" customHeight="false" outlineLevel="0" collapsed="false">
      <c r="D3795" s="0" t="s">
        <v>108</v>
      </c>
      <c r="E3795" s="0" t="s">
        <v>109</v>
      </c>
      <c r="F3795" s="0" t="s">
        <v>110</v>
      </c>
      <c r="G3795" s="0" t="s">
        <v>152</v>
      </c>
      <c r="H3795" s="0" t="s">
        <v>152</v>
      </c>
      <c r="I3795" s="0" t="s">
        <v>45</v>
      </c>
      <c r="J3795" s="0" t="s">
        <v>46</v>
      </c>
      <c r="K3795" s="0" t="s">
        <v>48</v>
      </c>
      <c r="L3795" s="0" t="s">
        <v>49</v>
      </c>
      <c r="M3795" s="0" t="s">
        <v>140</v>
      </c>
      <c r="N3795" s="0" t="n">
        <v>555</v>
      </c>
      <c r="O3795" s="10" t="n">
        <v>0.569270275067538</v>
      </c>
      <c r="P3795" s="10" t="n">
        <v>0.434221804374829</v>
      </c>
      <c r="Q3795" s="0" t="str">
        <f aca="false">SUBSTITUTE(SUBSTITUTE($I3795,CHAR(61),""),CHAR(34),"")</f>
        <v>50+</v>
      </c>
      <c r="R3795" s="0" t="str">
        <f aca="false">IF($D3795&lt;&gt;"","["&amp;$E3795&amp;"]"&amp;"|"&amp;$Q3795&amp;"|"&amp;$K3795&amp;"|"&amp;$G3795&amp;"|"&amp;IF($G3795="TX_CURR_SUBNAT.R","CY2022Q4",$M3795),"")</f>
        <v>[ul0y9diGujK]|50+|Male|Incidence_SUBNAT.Rt.T_1|CY2023Q3</v>
      </c>
    </row>
    <row r="3796" customFormat="false" ht="15" hidden="false" customHeight="false" outlineLevel="0" collapsed="false">
      <c r="D3796" s="0" t="s">
        <v>111</v>
      </c>
      <c r="E3796" s="0" t="s">
        <v>112</v>
      </c>
      <c r="F3796" s="0" t="s">
        <v>113</v>
      </c>
      <c r="G3796" s="0" t="s">
        <v>152</v>
      </c>
      <c r="H3796" s="0" t="s">
        <v>152</v>
      </c>
      <c r="I3796" s="0" t="s">
        <v>28</v>
      </c>
      <c r="J3796" s="0" t="s">
        <v>29</v>
      </c>
      <c r="K3796" s="0" t="s">
        <v>30</v>
      </c>
      <c r="L3796" s="0" t="s">
        <v>31</v>
      </c>
      <c r="M3796" s="0" t="s">
        <v>140</v>
      </c>
      <c r="N3796" s="0" t="n">
        <v>1244</v>
      </c>
      <c r="O3796" s="10" t="n">
        <v>0.163796033011749</v>
      </c>
      <c r="P3796" s="10" t="n">
        <v>0.337768794968724</v>
      </c>
      <c r="Q3796" s="0" t="str">
        <f aca="false">SUBSTITUTE(SUBSTITUTE($I3796,CHAR(61),""),CHAR(34),"")</f>
        <v>&lt;01</v>
      </c>
      <c r="R3796" s="0" t="str">
        <f aca="false">IF($D3796&lt;&gt;"","["&amp;$E3796&amp;"]"&amp;"|"&amp;$Q3796&amp;"|"&amp;$K3796&amp;"|"&amp;$G3796&amp;"|"&amp;IF($G3796="TX_CURR_SUBNAT.R","CY2022Q4",$M3796),"")</f>
        <v>[U8c0so51kT6]|&lt;01|Female|Incidence_SUBNAT.Rt.T_1|CY2023Q3</v>
      </c>
    </row>
    <row r="3797" customFormat="false" ht="15" hidden="false" customHeight="false" outlineLevel="0" collapsed="false">
      <c r="D3797" s="0" t="s">
        <v>111</v>
      </c>
      <c r="E3797" s="0" t="s">
        <v>112</v>
      </c>
      <c r="F3797" s="0" t="s">
        <v>113</v>
      </c>
      <c r="G3797" s="0" t="s">
        <v>152</v>
      </c>
      <c r="H3797" s="0" t="s">
        <v>152</v>
      </c>
      <c r="I3797" s="0" t="s">
        <v>33</v>
      </c>
      <c r="J3797" s="0" t="s">
        <v>34</v>
      </c>
      <c r="K3797" s="0" t="s">
        <v>30</v>
      </c>
      <c r="L3797" s="0" t="s">
        <v>31</v>
      </c>
      <c r="M3797" s="0" t="s">
        <v>140</v>
      </c>
      <c r="N3797" s="0" t="n">
        <v>1891</v>
      </c>
      <c r="O3797" s="10" t="n">
        <v>0.339196106884629</v>
      </c>
      <c r="P3797" s="10" t="n">
        <v>0.337768794968724</v>
      </c>
      <c r="Q3797" s="0" t="str">
        <f aca="false">SUBSTITUTE(SUBSTITUTE($I3797,CHAR(61),""),CHAR(34),"")</f>
        <v>01-09</v>
      </c>
      <c r="R3797" s="0" t="str">
        <f aca="false">IF($D3797&lt;&gt;"","["&amp;$E3797&amp;"]"&amp;"|"&amp;$Q3797&amp;"|"&amp;$K3797&amp;"|"&amp;$G3797&amp;"|"&amp;IF($G3797="TX_CURR_SUBNAT.R","CY2022Q4",$M3797),"")</f>
        <v>[U8c0so51kT6]|01-09|Female|Incidence_SUBNAT.Rt.T_1|CY2023Q3</v>
      </c>
    </row>
    <row r="3798" customFormat="false" ht="15" hidden="false" customHeight="false" outlineLevel="0" collapsed="false">
      <c r="D3798" s="0" t="s">
        <v>111</v>
      </c>
      <c r="E3798" s="0" t="s">
        <v>112</v>
      </c>
      <c r="F3798" s="0" t="s">
        <v>113</v>
      </c>
      <c r="G3798" s="0" t="s">
        <v>152</v>
      </c>
      <c r="H3798" s="0" t="s">
        <v>152</v>
      </c>
      <c r="I3798" s="0" t="s">
        <v>36</v>
      </c>
      <c r="J3798" s="0" t="s">
        <v>37</v>
      </c>
      <c r="K3798" s="0" t="s">
        <v>30</v>
      </c>
      <c r="L3798" s="0" t="s">
        <v>31</v>
      </c>
      <c r="M3798" s="0" t="s">
        <v>140</v>
      </c>
      <c r="N3798" s="0" t="n">
        <v>1226</v>
      </c>
      <c r="O3798" s="10" t="n">
        <v>0.568649493856356</v>
      </c>
      <c r="P3798" s="10" t="n">
        <v>0.337768794968724</v>
      </c>
      <c r="Q3798" s="0" t="str">
        <f aca="false">SUBSTITUTE(SUBSTITUTE($I3798,CHAR(61),""),CHAR(34),"")</f>
        <v>10-14</v>
      </c>
      <c r="R3798" s="0" t="str">
        <f aca="false">IF($D3798&lt;&gt;"","["&amp;$E3798&amp;"]"&amp;"|"&amp;$Q3798&amp;"|"&amp;$K3798&amp;"|"&amp;$G3798&amp;"|"&amp;IF($G3798="TX_CURR_SUBNAT.R","CY2022Q4",$M3798),"")</f>
        <v>[U8c0so51kT6]|10-14|Female|Incidence_SUBNAT.Rt.T_1|CY2023Q3</v>
      </c>
    </row>
    <row r="3799" customFormat="false" ht="15" hidden="false" customHeight="false" outlineLevel="0" collapsed="false">
      <c r="D3799" s="0" t="s">
        <v>111</v>
      </c>
      <c r="E3799" s="0" t="s">
        <v>112</v>
      </c>
      <c r="F3799" s="0" t="s">
        <v>113</v>
      </c>
      <c r="G3799" s="0" t="s">
        <v>152</v>
      </c>
      <c r="H3799" s="0" t="s">
        <v>152</v>
      </c>
      <c r="I3799" s="0" t="s">
        <v>38</v>
      </c>
      <c r="J3799" s="0" t="s">
        <v>39</v>
      </c>
      <c r="K3799" s="0" t="s">
        <v>30</v>
      </c>
      <c r="L3799" s="0" t="s">
        <v>31</v>
      </c>
      <c r="M3799" s="0" t="s">
        <v>140</v>
      </c>
      <c r="N3799" s="0" t="n">
        <v>1494</v>
      </c>
      <c r="O3799" s="10" t="n">
        <v>0.436120094964281</v>
      </c>
      <c r="P3799" s="10" t="n">
        <v>0.337768794968724</v>
      </c>
      <c r="Q3799" s="0" t="str">
        <f aca="false">SUBSTITUTE(SUBSTITUTE($I3799,CHAR(61),""),CHAR(34),"")</f>
        <v>15-24</v>
      </c>
      <c r="R3799" s="0" t="str">
        <f aca="false">IF($D3799&lt;&gt;"","["&amp;$E3799&amp;"]"&amp;"|"&amp;$Q3799&amp;"|"&amp;$K3799&amp;"|"&amp;$G3799&amp;"|"&amp;IF($G3799="TX_CURR_SUBNAT.R","CY2022Q4",$M3799),"")</f>
        <v>[U8c0so51kT6]|15-24|Female|Incidence_SUBNAT.Rt.T_1|CY2023Q3</v>
      </c>
    </row>
    <row r="3800" customFormat="false" ht="15" hidden="false" customHeight="false" outlineLevel="0" collapsed="false">
      <c r="D3800" s="0" t="s">
        <v>111</v>
      </c>
      <c r="E3800" s="0" t="s">
        <v>112</v>
      </c>
      <c r="F3800" s="0" t="s">
        <v>113</v>
      </c>
      <c r="G3800" s="0" t="s">
        <v>152</v>
      </c>
      <c r="H3800" s="0" t="s">
        <v>152</v>
      </c>
      <c r="I3800" s="0" t="s">
        <v>41</v>
      </c>
      <c r="J3800" s="0" t="s">
        <v>42</v>
      </c>
      <c r="K3800" s="0" t="s">
        <v>30</v>
      </c>
      <c r="L3800" s="0" t="s">
        <v>31</v>
      </c>
      <c r="M3800" s="0" t="s">
        <v>140</v>
      </c>
      <c r="N3800" s="0" t="n">
        <v>1881</v>
      </c>
      <c r="O3800" s="10" t="n">
        <v>0.684893205529079</v>
      </c>
      <c r="P3800" s="10" t="n">
        <v>0.337768794968724</v>
      </c>
      <c r="Q3800" s="0" t="str">
        <f aca="false">SUBSTITUTE(SUBSTITUTE($I3800,CHAR(61),""),CHAR(34),"")</f>
        <v>25-34</v>
      </c>
      <c r="R3800" s="0" t="str">
        <f aca="false">IF($D3800&lt;&gt;"","["&amp;$E3800&amp;"]"&amp;"|"&amp;$Q3800&amp;"|"&amp;$K3800&amp;"|"&amp;$G3800&amp;"|"&amp;IF($G3800="TX_CURR_SUBNAT.R","CY2022Q4",$M3800),"")</f>
        <v>[U8c0so51kT6]|25-34|Female|Incidence_SUBNAT.Rt.T_1|CY2023Q3</v>
      </c>
    </row>
    <row r="3801" customFormat="false" ht="15" hidden="false" customHeight="false" outlineLevel="0" collapsed="false">
      <c r="D3801" s="0" t="s">
        <v>111</v>
      </c>
      <c r="E3801" s="0" t="s">
        <v>112</v>
      </c>
      <c r="F3801" s="0" t="s">
        <v>113</v>
      </c>
      <c r="G3801" s="0" t="s">
        <v>152</v>
      </c>
      <c r="H3801" s="0" t="s">
        <v>152</v>
      </c>
      <c r="I3801" s="0" t="s">
        <v>43</v>
      </c>
      <c r="J3801" s="0" t="s">
        <v>44</v>
      </c>
      <c r="K3801" s="0" t="s">
        <v>30</v>
      </c>
      <c r="L3801" s="0" t="s">
        <v>31</v>
      </c>
      <c r="M3801" s="0" t="s">
        <v>140</v>
      </c>
      <c r="N3801" s="0" t="n">
        <v>589</v>
      </c>
      <c r="O3801" s="10" t="n">
        <v>0.751366612035781</v>
      </c>
      <c r="P3801" s="10" t="n">
        <v>0.337768794968724</v>
      </c>
      <c r="Q3801" s="0" t="str">
        <f aca="false">SUBSTITUTE(SUBSTITUTE($I3801,CHAR(61),""),CHAR(34),"")</f>
        <v>35-49</v>
      </c>
      <c r="R3801" s="0" t="str">
        <f aca="false">IF($D3801&lt;&gt;"","["&amp;$E3801&amp;"]"&amp;"|"&amp;$Q3801&amp;"|"&amp;$K3801&amp;"|"&amp;$G3801&amp;"|"&amp;IF($G3801="TX_CURR_SUBNAT.R","CY2022Q4",$M3801),"")</f>
        <v>[U8c0so51kT6]|35-49|Female|Incidence_SUBNAT.Rt.T_1|CY2023Q3</v>
      </c>
    </row>
    <row r="3802" customFormat="false" ht="15" hidden="false" customHeight="false" outlineLevel="0" collapsed="false">
      <c r="D3802" s="0" t="s">
        <v>111</v>
      </c>
      <c r="E3802" s="0" t="s">
        <v>112</v>
      </c>
      <c r="F3802" s="0" t="s">
        <v>113</v>
      </c>
      <c r="G3802" s="0" t="s">
        <v>152</v>
      </c>
      <c r="H3802" s="0" t="s">
        <v>152</v>
      </c>
      <c r="I3802" s="0" t="s">
        <v>45</v>
      </c>
      <c r="J3802" s="0" t="s">
        <v>46</v>
      </c>
      <c r="K3802" s="0" t="s">
        <v>30</v>
      </c>
      <c r="L3802" s="0" t="s">
        <v>31</v>
      </c>
      <c r="M3802" s="0" t="s">
        <v>140</v>
      </c>
      <c r="N3802" s="0" t="n">
        <v>1638</v>
      </c>
      <c r="O3802" s="10" t="n">
        <v>0.84989922051318</v>
      </c>
      <c r="P3802" s="10" t="n">
        <v>0.337768794968724</v>
      </c>
      <c r="Q3802" s="0" t="str">
        <f aca="false">SUBSTITUTE(SUBSTITUTE($I3802,CHAR(61),""),CHAR(34),"")</f>
        <v>50+</v>
      </c>
      <c r="R3802" s="0" t="str">
        <f aca="false">IF($D3802&lt;&gt;"","["&amp;$E3802&amp;"]"&amp;"|"&amp;$Q3802&amp;"|"&amp;$K3802&amp;"|"&amp;$G3802&amp;"|"&amp;IF($G3802="TX_CURR_SUBNAT.R","CY2022Q4",$M3802),"")</f>
        <v>[U8c0so51kT6]|50+|Female|Incidence_SUBNAT.Rt.T_1|CY2023Q3</v>
      </c>
    </row>
    <row r="3803" customFormat="false" ht="15" hidden="false" customHeight="false" outlineLevel="0" collapsed="false">
      <c r="D3803" s="0" t="s">
        <v>111</v>
      </c>
      <c r="E3803" s="0" t="s">
        <v>112</v>
      </c>
      <c r="F3803" s="0" t="s">
        <v>113</v>
      </c>
      <c r="G3803" s="0" t="s">
        <v>152</v>
      </c>
      <c r="H3803" s="0" t="s">
        <v>152</v>
      </c>
      <c r="I3803" s="0" t="s">
        <v>28</v>
      </c>
      <c r="J3803" s="0" t="s">
        <v>29</v>
      </c>
      <c r="K3803" s="0" t="s">
        <v>48</v>
      </c>
      <c r="L3803" s="0" t="s">
        <v>49</v>
      </c>
      <c r="M3803" s="0" t="s">
        <v>140</v>
      </c>
      <c r="N3803" s="0" t="n">
        <v>1575</v>
      </c>
      <c r="O3803" s="10" t="n">
        <v>0.0824791323393583</v>
      </c>
      <c r="P3803" s="10" t="n">
        <v>0.337768794968724</v>
      </c>
      <c r="Q3803" s="0" t="str">
        <f aca="false">SUBSTITUTE(SUBSTITUTE($I3803,CHAR(61),""),CHAR(34),"")</f>
        <v>&lt;01</v>
      </c>
      <c r="R3803" s="0" t="str">
        <f aca="false">IF($D3803&lt;&gt;"","["&amp;$E3803&amp;"]"&amp;"|"&amp;$Q3803&amp;"|"&amp;$K3803&amp;"|"&amp;$G3803&amp;"|"&amp;IF($G3803="TX_CURR_SUBNAT.R","CY2022Q4",$M3803),"")</f>
        <v>[U8c0so51kT6]|&lt;01|Male|Incidence_SUBNAT.Rt.T_1|CY2023Q3</v>
      </c>
    </row>
    <row r="3804" customFormat="false" ht="15" hidden="false" customHeight="false" outlineLevel="0" collapsed="false">
      <c r="D3804" s="0" t="s">
        <v>111</v>
      </c>
      <c r="E3804" s="0" t="s">
        <v>112</v>
      </c>
      <c r="F3804" s="0" t="s">
        <v>113</v>
      </c>
      <c r="G3804" s="0" t="s">
        <v>152</v>
      </c>
      <c r="H3804" s="0" t="s">
        <v>152</v>
      </c>
      <c r="I3804" s="0" t="s">
        <v>33</v>
      </c>
      <c r="J3804" s="0" t="s">
        <v>34</v>
      </c>
      <c r="K3804" s="0" t="s">
        <v>48</v>
      </c>
      <c r="L3804" s="0" t="s">
        <v>49</v>
      </c>
      <c r="M3804" s="0" t="s">
        <v>140</v>
      </c>
      <c r="N3804" s="0" t="n">
        <v>1298</v>
      </c>
      <c r="O3804" s="10" t="n">
        <v>0.969957604538649</v>
      </c>
      <c r="P3804" s="10" t="n">
        <v>0.337768794968724</v>
      </c>
      <c r="Q3804" s="0" t="str">
        <f aca="false">SUBSTITUTE(SUBSTITUTE($I3804,CHAR(61),""),CHAR(34),"")</f>
        <v>01-09</v>
      </c>
      <c r="R3804" s="0" t="str">
        <f aca="false">IF($D3804&lt;&gt;"","["&amp;$E3804&amp;"]"&amp;"|"&amp;$Q3804&amp;"|"&amp;$K3804&amp;"|"&amp;$G3804&amp;"|"&amp;IF($G3804="TX_CURR_SUBNAT.R","CY2022Q4",$M3804),"")</f>
        <v>[U8c0so51kT6]|01-09|Male|Incidence_SUBNAT.Rt.T_1|CY2023Q3</v>
      </c>
    </row>
    <row r="3805" customFormat="false" ht="15" hidden="false" customHeight="false" outlineLevel="0" collapsed="false">
      <c r="D3805" s="0" t="s">
        <v>111</v>
      </c>
      <c r="E3805" s="0" t="s">
        <v>112</v>
      </c>
      <c r="F3805" s="0" t="s">
        <v>113</v>
      </c>
      <c r="G3805" s="0" t="s">
        <v>152</v>
      </c>
      <c r="H3805" s="0" t="s">
        <v>152</v>
      </c>
      <c r="I3805" s="0" t="s">
        <v>36</v>
      </c>
      <c r="J3805" s="0" t="s">
        <v>37</v>
      </c>
      <c r="K3805" s="0" t="s">
        <v>48</v>
      </c>
      <c r="L3805" s="0" t="s">
        <v>49</v>
      </c>
      <c r="M3805" s="0" t="s">
        <v>140</v>
      </c>
      <c r="N3805" s="0" t="n">
        <v>512</v>
      </c>
      <c r="O3805" s="10" t="n">
        <v>0.598730792989954</v>
      </c>
      <c r="P3805" s="10" t="n">
        <v>0.337768794968724</v>
      </c>
      <c r="Q3805" s="0" t="str">
        <f aca="false">SUBSTITUTE(SUBSTITUTE($I3805,CHAR(61),""),CHAR(34),"")</f>
        <v>10-14</v>
      </c>
      <c r="R3805" s="0" t="str">
        <f aca="false">IF($D3805&lt;&gt;"","["&amp;$E3805&amp;"]"&amp;"|"&amp;$Q3805&amp;"|"&amp;$K3805&amp;"|"&amp;$G3805&amp;"|"&amp;IF($G3805="TX_CURR_SUBNAT.R","CY2022Q4",$M3805),"")</f>
        <v>[U8c0so51kT6]|10-14|Male|Incidence_SUBNAT.Rt.T_1|CY2023Q3</v>
      </c>
    </row>
    <row r="3806" customFormat="false" ht="15" hidden="false" customHeight="false" outlineLevel="0" collapsed="false">
      <c r="D3806" s="0" t="s">
        <v>111</v>
      </c>
      <c r="E3806" s="0" t="s">
        <v>112</v>
      </c>
      <c r="F3806" s="0" t="s">
        <v>113</v>
      </c>
      <c r="G3806" s="0" t="s">
        <v>152</v>
      </c>
      <c r="H3806" s="0" t="s">
        <v>152</v>
      </c>
      <c r="I3806" s="0" t="s">
        <v>38</v>
      </c>
      <c r="J3806" s="0" t="s">
        <v>39</v>
      </c>
      <c r="K3806" s="0" t="s">
        <v>48</v>
      </c>
      <c r="L3806" s="0" t="s">
        <v>49</v>
      </c>
      <c r="M3806" s="0" t="s">
        <v>140</v>
      </c>
      <c r="N3806" s="0" t="n">
        <v>813</v>
      </c>
      <c r="O3806" s="10" t="n">
        <v>0.143686907598749</v>
      </c>
      <c r="P3806" s="10" t="n">
        <v>0.337768794968724</v>
      </c>
      <c r="Q3806" s="0" t="str">
        <f aca="false">SUBSTITUTE(SUBSTITUTE($I3806,CHAR(61),""),CHAR(34),"")</f>
        <v>15-24</v>
      </c>
      <c r="R3806" s="0" t="str">
        <f aca="false">IF($D3806&lt;&gt;"","["&amp;$E3806&amp;"]"&amp;"|"&amp;$Q3806&amp;"|"&amp;$K3806&amp;"|"&amp;$G3806&amp;"|"&amp;IF($G3806="TX_CURR_SUBNAT.R","CY2022Q4",$M3806),"")</f>
        <v>[U8c0so51kT6]|15-24|Male|Incidence_SUBNAT.Rt.T_1|CY2023Q3</v>
      </c>
    </row>
    <row r="3807" customFormat="false" ht="15" hidden="false" customHeight="false" outlineLevel="0" collapsed="false">
      <c r="D3807" s="0" t="s">
        <v>111</v>
      </c>
      <c r="E3807" s="0" t="s">
        <v>112</v>
      </c>
      <c r="F3807" s="0" t="s">
        <v>113</v>
      </c>
      <c r="G3807" s="0" t="s">
        <v>152</v>
      </c>
      <c r="H3807" s="0" t="s">
        <v>152</v>
      </c>
      <c r="I3807" s="0" t="s">
        <v>41</v>
      </c>
      <c r="J3807" s="0" t="s">
        <v>42</v>
      </c>
      <c r="K3807" s="0" t="s">
        <v>48</v>
      </c>
      <c r="L3807" s="0" t="s">
        <v>49</v>
      </c>
      <c r="M3807" s="0" t="s">
        <v>140</v>
      </c>
      <c r="N3807" s="0" t="n">
        <v>1752</v>
      </c>
      <c r="O3807" s="10" t="n">
        <v>0.692449406255037</v>
      </c>
      <c r="P3807" s="10" t="n">
        <v>0.337768794968724</v>
      </c>
      <c r="Q3807" s="0" t="str">
        <f aca="false">SUBSTITUTE(SUBSTITUTE($I3807,CHAR(61),""),CHAR(34),"")</f>
        <v>25-34</v>
      </c>
      <c r="R3807" s="0" t="str">
        <f aca="false">IF($D3807&lt;&gt;"","["&amp;$E3807&amp;"]"&amp;"|"&amp;$Q3807&amp;"|"&amp;$K3807&amp;"|"&amp;$G3807&amp;"|"&amp;IF($G3807="TX_CURR_SUBNAT.R","CY2022Q4",$M3807),"")</f>
        <v>[U8c0so51kT6]|25-34|Male|Incidence_SUBNAT.Rt.T_1|CY2023Q3</v>
      </c>
    </row>
    <row r="3808" customFormat="false" ht="15" hidden="false" customHeight="false" outlineLevel="0" collapsed="false">
      <c r="D3808" s="0" t="s">
        <v>111</v>
      </c>
      <c r="E3808" s="0" t="s">
        <v>112</v>
      </c>
      <c r="F3808" s="0" t="s">
        <v>113</v>
      </c>
      <c r="G3808" s="0" t="s">
        <v>152</v>
      </c>
      <c r="H3808" s="0" t="s">
        <v>152</v>
      </c>
      <c r="I3808" s="0" t="s">
        <v>43</v>
      </c>
      <c r="J3808" s="0" t="s">
        <v>44</v>
      </c>
      <c r="K3808" s="0" t="s">
        <v>48</v>
      </c>
      <c r="L3808" s="0" t="s">
        <v>49</v>
      </c>
      <c r="M3808" s="0" t="s">
        <v>140</v>
      </c>
      <c r="N3808" s="0" t="n">
        <v>1676</v>
      </c>
      <c r="O3808" s="10" t="n">
        <v>0.926813337951899</v>
      </c>
      <c r="P3808" s="10" t="n">
        <v>0.337768794968724</v>
      </c>
      <c r="Q3808" s="0" t="str">
        <f aca="false">SUBSTITUTE(SUBSTITUTE($I3808,CHAR(61),""),CHAR(34),"")</f>
        <v>35-49</v>
      </c>
      <c r="R3808" s="0" t="str">
        <f aca="false">IF($D3808&lt;&gt;"","["&amp;$E3808&amp;"]"&amp;"|"&amp;$Q3808&amp;"|"&amp;$K3808&amp;"|"&amp;$G3808&amp;"|"&amp;IF($G3808="TX_CURR_SUBNAT.R","CY2022Q4",$M3808),"")</f>
        <v>[U8c0so51kT6]|35-49|Male|Incidence_SUBNAT.Rt.T_1|CY2023Q3</v>
      </c>
    </row>
    <row r="3809" customFormat="false" ht="15" hidden="false" customHeight="false" outlineLevel="0" collapsed="false">
      <c r="D3809" s="0" t="s">
        <v>111</v>
      </c>
      <c r="E3809" s="0" t="s">
        <v>112</v>
      </c>
      <c r="F3809" s="0" t="s">
        <v>113</v>
      </c>
      <c r="G3809" s="0" t="s">
        <v>152</v>
      </c>
      <c r="H3809" s="0" t="s">
        <v>152</v>
      </c>
      <c r="I3809" s="0" t="s">
        <v>45</v>
      </c>
      <c r="J3809" s="0" t="s">
        <v>46</v>
      </c>
      <c r="K3809" s="0" t="s">
        <v>48</v>
      </c>
      <c r="L3809" s="0" t="s">
        <v>49</v>
      </c>
      <c r="M3809" s="0" t="s">
        <v>140</v>
      </c>
      <c r="N3809" s="0" t="n">
        <v>1664</v>
      </c>
      <c r="O3809" s="10" t="n">
        <v>0.558019933057949</v>
      </c>
      <c r="P3809" s="10" t="n">
        <v>0.337768794968724</v>
      </c>
      <c r="Q3809" s="0" t="str">
        <f aca="false">SUBSTITUTE(SUBSTITUTE($I3809,CHAR(61),""),CHAR(34),"")</f>
        <v>50+</v>
      </c>
      <c r="R3809" s="0" t="str">
        <f aca="false">IF($D3809&lt;&gt;"","["&amp;$E3809&amp;"]"&amp;"|"&amp;$Q3809&amp;"|"&amp;$K3809&amp;"|"&amp;$G3809&amp;"|"&amp;IF($G3809="TX_CURR_SUBNAT.R","CY2022Q4",$M3809),"")</f>
        <v>[U8c0so51kT6]|50+|Male|Incidence_SUBNAT.Rt.T_1|CY2023Q3</v>
      </c>
    </row>
    <row r="3810" customFormat="false" ht="15" hidden="false" customHeight="false" outlineLevel="0" collapsed="false">
      <c r="D3810" s="0" t="s">
        <v>114</v>
      </c>
      <c r="E3810" s="0" t="s">
        <v>115</v>
      </c>
      <c r="F3810" s="0" t="s">
        <v>116</v>
      </c>
      <c r="G3810" s="0" t="s">
        <v>152</v>
      </c>
      <c r="H3810" s="0" t="s">
        <v>152</v>
      </c>
      <c r="I3810" s="0" t="s">
        <v>28</v>
      </c>
      <c r="J3810" s="0" t="s">
        <v>29</v>
      </c>
      <c r="K3810" s="0" t="s">
        <v>30</v>
      </c>
      <c r="L3810" s="0" t="s">
        <v>31</v>
      </c>
      <c r="M3810" s="0" t="s">
        <v>140</v>
      </c>
      <c r="N3810" s="0" t="n">
        <v>703</v>
      </c>
      <c r="O3810" s="10" t="n">
        <v>0.0322823757305741</v>
      </c>
      <c r="P3810" s="10" t="n">
        <v>0.298559809103608</v>
      </c>
      <c r="Q3810" s="0" t="str">
        <f aca="false">SUBSTITUTE(SUBSTITUTE($I3810,CHAR(61),""),CHAR(34),"")</f>
        <v>&lt;01</v>
      </c>
      <c r="R3810" s="0" t="str">
        <f aca="false">IF($D3810&lt;&gt;"","["&amp;$E3810&amp;"]"&amp;"|"&amp;$Q3810&amp;"|"&amp;$K3810&amp;"|"&amp;$G3810&amp;"|"&amp;IF($G3810="TX_CURR_SUBNAT.R","CY2022Q4",$M3810),"")</f>
        <v>[rpw540fmNUz]|&lt;01|Female|Incidence_SUBNAT.Rt.T_1|CY2023Q3</v>
      </c>
    </row>
    <row r="3811" customFormat="false" ht="15" hidden="false" customHeight="false" outlineLevel="0" collapsed="false">
      <c r="D3811" s="0" t="s">
        <v>114</v>
      </c>
      <c r="E3811" s="0" t="s">
        <v>115</v>
      </c>
      <c r="F3811" s="0" t="s">
        <v>116</v>
      </c>
      <c r="G3811" s="0" t="s">
        <v>152</v>
      </c>
      <c r="H3811" s="0" t="s">
        <v>152</v>
      </c>
      <c r="I3811" s="0" t="s">
        <v>33</v>
      </c>
      <c r="J3811" s="0" t="s">
        <v>34</v>
      </c>
      <c r="K3811" s="0" t="s">
        <v>30</v>
      </c>
      <c r="L3811" s="0" t="s">
        <v>31</v>
      </c>
      <c r="M3811" s="0" t="s">
        <v>140</v>
      </c>
      <c r="N3811" s="0" t="n">
        <v>801</v>
      </c>
      <c r="O3811" s="10" t="n">
        <v>0.629881580127403</v>
      </c>
      <c r="P3811" s="10" t="n">
        <v>0.298559809103608</v>
      </c>
      <c r="Q3811" s="0" t="str">
        <f aca="false">SUBSTITUTE(SUBSTITUTE($I3811,CHAR(61),""),CHAR(34),"")</f>
        <v>01-09</v>
      </c>
      <c r="R3811" s="0" t="str">
        <f aca="false">IF($D3811&lt;&gt;"","["&amp;$E3811&amp;"]"&amp;"|"&amp;$Q3811&amp;"|"&amp;$K3811&amp;"|"&amp;$G3811&amp;"|"&amp;IF($G3811="TX_CURR_SUBNAT.R","CY2022Q4",$M3811),"")</f>
        <v>[rpw540fmNUz]|01-09|Female|Incidence_SUBNAT.Rt.T_1|CY2023Q3</v>
      </c>
    </row>
    <row r="3812" customFormat="false" ht="15" hidden="false" customHeight="false" outlineLevel="0" collapsed="false">
      <c r="D3812" s="0" t="s">
        <v>114</v>
      </c>
      <c r="E3812" s="0" t="s">
        <v>115</v>
      </c>
      <c r="F3812" s="0" t="s">
        <v>116</v>
      </c>
      <c r="G3812" s="0" t="s">
        <v>152</v>
      </c>
      <c r="H3812" s="0" t="s">
        <v>152</v>
      </c>
      <c r="I3812" s="0" t="s">
        <v>36</v>
      </c>
      <c r="J3812" s="0" t="s">
        <v>37</v>
      </c>
      <c r="K3812" s="0" t="s">
        <v>30</v>
      </c>
      <c r="L3812" s="0" t="s">
        <v>31</v>
      </c>
      <c r="M3812" s="0" t="s">
        <v>140</v>
      </c>
      <c r="N3812" s="0" t="n">
        <v>1393</v>
      </c>
      <c r="O3812" s="10" t="n">
        <v>0.0244612672831863</v>
      </c>
      <c r="P3812" s="10" t="n">
        <v>0.298559809103608</v>
      </c>
      <c r="Q3812" s="0" t="str">
        <f aca="false">SUBSTITUTE(SUBSTITUTE($I3812,CHAR(61),""),CHAR(34),"")</f>
        <v>10-14</v>
      </c>
      <c r="R3812" s="0" t="str">
        <f aca="false">IF($D3812&lt;&gt;"","["&amp;$E3812&amp;"]"&amp;"|"&amp;$Q3812&amp;"|"&amp;$K3812&amp;"|"&amp;$G3812&amp;"|"&amp;IF($G3812="TX_CURR_SUBNAT.R","CY2022Q4",$M3812),"")</f>
        <v>[rpw540fmNUz]|10-14|Female|Incidence_SUBNAT.Rt.T_1|CY2023Q3</v>
      </c>
    </row>
    <row r="3813" customFormat="false" ht="15" hidden="false" customHeight="false" outlineLevel="0" collapsed="false">
      <c r="D3813" s="0" t="s">
        <v>114</v>
      </c>
      <c r="E3813" s="0" t="s">
        <v>115</v>
      </c>
      <c r="F3813" s="0" t="s">
        <v>116</v>
      </c>
      <c r="G3813" s="0" t="s">
        <v>152</v>
      </c>
      <c r="H3813" s="0" t="s">
        <v>152</v>
      </c>
      <c r="I3813" s="0" t="s">
        <v>38</v>
      </c>
      <c r="J3813" s="0" t="s">
        <v>39</v>
      </c>
      <c r="K3813" s="0" t="s">
        <v>30</v>
      </c>
      <c r="L3813" s="0" t="s">
        <v>31</v>
      </c>
      <c r="M3813" s="0" t="s">
        <v>140</v>
      </c>
      <c r="N3813" s="0" t="n">
        <v>1286</v>
      </c>
      <c r="O3813" s="10" t="n">
        <v>0.75268483441323</v>
      </c>
      <c r="P3813" s="10" t="n">
        <v>0.298559809103608</v>
      </c>
      <c r="Q3813" s="0" t="str">
        <f aca="false">SUBSTITUTE(SUBSTITUTE($I3813,CHAR(61),""),CHAR(34),"")</f>
        <v>15-24</v>
      </c>
      <c r="R3813" s="0" t="str">
        <f aca="false">IF($D3813&lt;&gt;"","["&amp;$E3813&amp;"]"&amp;"|"&amp;$Q3813&amp;"|"&amp;$K3813&amp;"|"&amp;$G3813&amp;"|"&amp;IF($G3813="TX_CURR_SUBNAT.R","CY2022Q4",$M3813),"")</f>
        <v>[rpw540fmNUz]|15-24|Female|Incidence_SUBNAT.Rt.T_1|CY2023Q3</v>
      </c>
    </row>
    <row r="3814" customFormat="false" ht="15" hidden="false" customHeight="false" outlineLevel="0" collapsed="false">
      <c r="D3814" s="0" t="s">
        <v>114</v>
      </c>
      <c r="E3814" s="0" t="s">
        <v>115</v>
      </c>
      <c r="F3814" s="0" t="s">
        <v>116</v>
      </c>
      <c r="G3814" s="0" t="s">
        <v>152</v>
      </c>
      <c r="H3814" s="0" t="s">
        <v>152</v>
      </c>
      <c r="I3814" s="0" t="s">
        <v>41</v>
      </c>
      <c r="J3814" s="0" t="s">
        <v>42</v>
      </c>
      <c r="K3814" s="0" t="s">
        <v>30</v>
      </c>
      <c r="L3814" s="0" t="s">
        <v>31</v>
      </c>
      <c r="M3814" s="0" t="s">
        <v>140</v>
      </c>
      <c r="N3814" s="0" t="n">
        <v>1440</v>
      </c>
      <c r="O3814" s="10" t="n">
        <v>0.52816118253395</v>
      </c>
      <c r="P3814" s="10" t="n">
        <v>0.298559809103608</v>
      </c>
      <c r="Q3814" s="0" t="str">
        <f aca="false">SUBSTITUTE(SUBSTITUTE($I3814,CHAR(61),""),CHAR(34),"")</f>
        <v>25-34</v>
      </c>
      <c r="R3814" s="0" t="str">
        <f aca="false">IF($D3814&lt;&gt;"","["&amp;$E3814&amp;"]"&amp;"|"&amp;$Q3814&amp;"|"&amp;$K3814&amp;"|"&amp;$G3814&amp;"|"&amp;IF($G3814="TX_CURR_SUBNAT.R","CY2022Q4",$M3814),"")</f>
        <v>[rpw540fmNUz]|25-34|Female|Incidence_SUBNAT.Rt.T_1|CY2023Q3</v>
      </c>
    </row>
    <row r="3815" customFormat="false" ht="15" hidden="false" customHeight="false" outlineLevel="0" collapsed="false">
      <c r="D3815" s="0" t="s">
        <v>114</v>
      </c>
      <c r="E3815" s="0" t="s">
        <v>115</v>
      </c>
      <c r="F3815" s="0" t="s">
        <v>116</v>
      </c>
      <c r="G3815" s="0" t="s">
        <v>152</v>
      </c>
      <c r="H3815" s="0" t="s">
        <v>152</v>
      </c>
      <c r="I3815" s="0" t="s">
        <v>43</v>
      </c>
      <c r="J3815" s="0" t="s">
        <v>44</v>
      </c>
      <c r="K3815" s="0" t="s">
        <v>30</v>
      </c>
      <c r="L3815" s="0" t="s">
        <v>31</v>
      </c>
      <c r="M3815" s="0" t="s">
        <v>140</v>
      </c>
      <c r="N3815" s="0" t="n">
        <v>859</v>
      </c>
      <c r="O3815" s="10" t="n">
        <v>0.91708415444009</v>
      </c>
      <c r="P3815" s="10" t="n">
        <v>0.298559809103608</v>
      </c>
      <c r="Q3815" s="0" t="str">
        <f aca="false">SUBSTITUTE(SUBSTITUTE($I3815,CHAR(61),""),CHAR(34),"")</f>
        <v>35-49</v>
      </c>
      <c r="R3815" s="0" t="str">
        <f aca="false">IF($D3815&lt;&gt;"","["&amp;$E3815&amp;"]"&amp;"|"&amp;$Q3815&amp;"|"&amp;$K3815&amp;"|"&amp;$G3815&amp;"|"&amp;IF($G3815="TX_CURR_SUBNAT.R","CY2022Q4",$M3815),"")</f>
        <v>[rpw540fmNUz]|35-49|Female|Incidence_SUBNAT.Rt.T_1|CY2023Q3</v>
      </c>
    </row>
    <row r="3816" customFormat="false" ht="15" hidden="false" customHeight="false" outlineLevel="0" collapsed="false">
      <c r="D3816" s="0" t="s">
        <v>114</v>
      </c>
      <c r="E3816" s="0" t="s">
        <v>115</v>
      </c>
      <c r="F3816" s="0" t="s">
        <v>116</v>
      </c>
      <c r="G3816" s="0" t="s">
        <v>152</v>
      </c>
      <c r="H3816" s="0" t="s">
        <v>152</v>
      </c>
      <c r="I3816" s="0" t="s">
        <v>45</v>
      </c>
      <c r="J3816" s="0" t="s">
        <v>46</v>
      </c>
      <c r="K3816" s="0" t="s">
        <v>30</v>
      </c>
      <c r="L3816" s="0" t="s">
        <v>31</v>
      </c>
      <c r="M3816" s="0" t="s">
        <v>140</v>
      </c>
      <c r="N3816" s="0" t="n">
        <v>1308</v>
      </c>
      <c r="O3816" s="10" t="n">
        <v>0.64150118152611</v>
      </c>
      <c r="P3816" s="10" t="n">
        <v>0.298559809103608</v>
      </c>
      <c r="Q3816" s="0" t="str">
        <f aca="false">SUBSTITUTE(SUBSTITUTE($I3816,CHAR(61),""),CHAR(34),"")</f>
        <v>50+</v>
      </c>
      <c r="R3816" s="0" t="str">
        <f aca="false">IF($D3816&lt;&gt;"","["&amp;$E3816&amp;"]"&amp;"|"&amp;$Q3816&amp;"|"&amp;$K3816&amp;"|"&amp;$G3816&amp;"|"&amp;IF($G3816="TX_CURR_SUBNAT.R","CY2022Q4",$M3816),"")</f>
        <v>[rpw540fmNUz]|50+|Female|Incidence_SUBNAT.Rt.T_1|CY2023Q3</v>
      </c>
    </row>
    <row r="3817" customFormat="false" ht="15" hidden="false" customHeight="false" outlineLevel="0" collapsed="false">
      <c r="D3817" s="0" t="s">
        <v>114</v>
      </c>
      <c r="E3817" s="0" t="s">
        <v>115</v>
      </c>
      <c r="F3817" s="0" t="s">
        <v>116</v>
      </c>
      <c r="G3817" s="0" t="s">
        <v>152</v>
      </c>
      <c r="H3817" s="0" t="s">
        <v>152</v>
      </c>
      <c r="I3817" s="0" t="s">
        <v>28</v>
      </c>
      <c r="J3817" s="0" t="s">
        <v>29</v>
      </c>
      <c r="K3817" s="0" t="s">
        <v>48</v>
      </c>
      <c r="L3817" s="0" t="s">
        <v>49</v>
      </c>
      <c r="M3817" s="0" t="s">
        <v>140</v>
      </c>
      <c r="N3817" s="0" t="n">
        <v>1155</v>
      </c>
      <c r="O3817" s="10" t="n">
        <v>0.391014179680496</v>
      </c>
      <c r="P3817" s="10" t="n">
        <v>0.298559809103608</v>
      </c>
      <c r="Q3817" s="0" t="str">
        <f aca="false">SUBSTITUTE(SUBSTITUTE($I3817,CHAR(61),""),CHAR(34),"")</f>
        <v>&lt;01</v>
      </c>
      <c r="R3817" s="0" t="str">
        <f aca="false">IF($D3817&lt;&gt;"","["&amp;$E3817&amp;"]"&amp;"|"&amp;$Q3817&amp;"|"&amp;$K3817&amp;"|"&amp;$G3817&amp;"|"&amp;IF($G3817="TX_CURR_SUBNAT.R","CY2022Q4",$M3817),"")</f>
        <v>[rpw540fmNUz]|&lt;01|Male|Incidence_SUBNAT.Rt.T_1|CY2023Q3</v>
      </c>
    </row>
    <row r="3818" customFormat="false" ht="15" hidden="false" customHeight="false" outlineLevel="0" collapsed="false">
      <c r="D3818" s="0" t="s">
        <v>114</v>
      </c>
      <c r="E3818" s="0" t="s">
        <v>115</v>
      </c>
      <c r="F3818" s="0" t="s">
        <v>116</v>
      </c>
      <c r="G3818" s="0" t="s">
        <v>152</v>
      </c>
      <c r="H3818" s="0" t="s">
        <v>152</v>
      </c>
      <c r="I3818" s="0" t="s">
        <v>33</v>
      </c>
      <c r="J3818" s="0" t="s">
        <v>34</v>
      </c>
      <c r="K3818" s="0" t="s">
        <v>48</v>
      </c>
      <c r="L3818" s="0" t="s">
        <v>49</v>
      </c>
      <c r="M3818" s="0" t="s">
        <v>140</v>
      </c>
      <c r="N3818" s="0" t="n">
        <v>1450</v>
      </c>
      <c r="O3818" s="10" t="n">
        <v>0.371096251066774</v>
      </c>
      <c r="P3818" s="10" t="n">
        <v>0.298559809103608</v>
      </c>
      <c r="Q3818" s="0" t="str">
        <f aca="false">SUBSTITUTE(SUBSTITUTE($I3818,CHAR(61),""),CHAR(34),"")</f>
        <v>01-09</v>
      </c>
      <c r="R3818" s="0" t="str">
        <f aca="false">IF($D3818&lt;&gt;"","["&amp;$E3818&amp;"]"&amp;"|"&amp;$Q3818&amp;"|"&amp;$K3818&amp;"|"&amp;$G3818&amp;"|"&amp;IF($G3818="TX_CURR_SUBNAT.R","CY2022Q4",$M3818),"")</f>
        <v>[rpw540fmNUz]|01-09|Male|Incidence_SUBNAT.Rt.T_1|CY2023Q3</v>
      </c>
    </row>
    <row r="3819" customFormat="false" ht="15" hidden="false" customHeight="false" outlineLevel="0" collapsed="false">
      <c r="D3819" s="0" t="s">
        <v>114</v>
      </c>
      <c r="E3819" s="0" t="s">
        <v>115</v>
      </c>
      <c r="F3819" s="0" t="s">
        <v>116</v>
      </c>
      <c r="G3819" s="0" t="s">
        <v>152</v>
      </c>
      <c r="H3819" s="0" t="s">
        <v>152</v>
      </c>
      <c r="I3819" s="0" t="s">
        <v>36</v>
      </c>
      <c r="J3819" s="0" t="s">
        <v>37</v>
      </c>
      <c r="K3819" s="0" t="s">
        <v>48</v>
      </c>
      <c r="L3819" s="0" t="s">
        <v>49</v>
      </c>
      <c r="M3819" s="0" t="s">
        <v>140</v>
      </c>
      <c r="N3819" s="0" t="n">
        <v>1183</v>
      </c>
      <c r="O3819" s="10" t="n">
        <v>0.892926222179085</v>
      </c>
      <c r="P3819" s="10" t="n">
        <v>0.298559809103608</v>
      </c>
      <c r="Q3819" s="0" t="str">
        <f aca="false">SUBSTITUTE(SUBSTITUTE($I3819,CHAR(61),""),CHAR(34),"")</f>
        <v>10-14</v>
      </c>
      <c r="R3819" s="0" t="str">
        <f aca="false">IF($D3819&lt;&gt;"","["&amp;$E3819&amp;"]"&amp;"|"&amp;$Q3819&amp;"|"&amp;$K3819&amp;"|"&amp;$G3819&amp;"|"&amp;IF($G3819="TX_CURR_SUBNAT.R","CY2022Q4",$M3819),"")</f>
        <v>[rpw540fmNUz]|10-14|Male|Incidence_SUBNAT.Rt.T_1|CY2023Q3</v>
      </c>
    </row>
    <row r="3820" customFormat="false" ht="15" hidden="false" customHeight="false" outlineLevel="0" collapsed="false">
      <c r="D3820" s="0" t="s">
        <v>114</v>
      </c>
      <c r="E3820" s="0" t="s">
        <v>115</v>
      </c>
      <c r="F3820" s="0" t="s">
        <v>116</v>
      </c>
      <c r="G3820" s="0" t="s">
        <v>152</v>
      </c>
      <c r="H3820" s="0" t="s">
        <v>152</v>
      </c>
      <c r="I3820" s="0" t="s">
        <v>38</v>
      </c>
      <c r="J3820" s="0" t="s">
        <v>39</v>
      </c>
      <c r="K3820" s="0" t="s">
        <v>48</v>
      </c>
      <c r="L3820" s="0" t="s">
        <v>49</v>
      </c>
      <c r="M3820" s="0" t="s">
        <v>140</v>
      </c>
      <c r="N3820" s="0" t="n">
        <v>1174</v>
      </c>
      <c r="O3820" s="10" t="n">
        <v>0.796010271878913</v>
      </c>
      <c r="P3820" s="10" t="n">
        <v>0.298559809103608</v>
      </c>
      <c r="Q3820" s="0" t="str">
        <f aca="false">SUBSTITUTE(SUBSTITUTE($I3820,CHAR(61),""),CHAR(34),"")</f>
        <v>15-24</v>
      </c>
      <c r="R3820" s="0" t="str">
        <f aca="false">IF($D3820&lt;&gt;"","["&amp;$E3820&amp;"]"&amp;"|"&amp;$Q3820&amp;"|"&amp;$K3820&amp;"|"&amp;$G3820&amp;"|"&amp;IF($G3820="TX_CURR_SUBNAT.R","CY2022Q4",$M3820),"")</f>
        <v>[rpw540fmNUz]|15-24|Male|Incidence_SUBNAT.Rt.T_1|CY2023Q3</v>
      </c>
    </row>
    <row r="3821" customFormat="false" ht="15" hidden="false" customHeight="false" outlineLevel="0" collapsed="false">
      <c r="D3821" s="0" t="s">
        <v>114</v>
      </c>
      <c r="E3821" s="0" t="s">
        <v>115</v>
      </c>
      <c r="F3821" s="0" t="s">
        <v>116</v>
      </c>
      <c r="G3821" s="0" t="s">
        <v>152</v>
      </c>
      <c r="H3821" s="0" t="s">
        <v>152</v>
      </c>
      <c r="I3821" s="0" t="s">
        <v>41</v>
      </c>
      <c r="J3821" s="0" t="s">
        <v>42</v>
      </c>
      <c r="K3821" s="0" t="s">
        <v>48</v>
      </c>
      <c r="L3821" s="0" t="s">
        <v>49</v>
      </c>
      <c r="M3821" s="0" t="s">
        <v>140</v>
      </c>
      <c r="N3821" s="0" t="n">
        <v>952</v>
      </c>
      <c r="O3821" s="10" t="n">
        <v>0.321785479784012</v>
      </c>
      <c r="P3821" s="10" t="n">
        <v>0.298559809103608</v>
      </c>
      <c r="Q3821" s="0" t="str">
        <f aca="false">SUBSTITUTE(SUBSTITUTE($I3821,CHAR(61),""),CHAR(34),"")</f>
        <v>25-34</v>
      </c>
      <c r="R3821" s="0" t="str">
        <f aca="false">IF($D3821&lt;&gt;"","["&amp;$E3821&amp;"]"&amp;"|"&amp;$Q3821&amp;"|"&amp;$K3821&amp;"|"&amp;$G3821&amp;"|"&amp;IF($G3821="TX_CURR_SUBNAT.R","CY2022Q4",$M3821),"")</f>
        <v>[rpw540fmNUz]|25-34|Male|Incidence_SUBNAT.Rt.T_1|CY2023Q3</v>
      </c>
    </row>
    <row r="3822" customFormat="false" ht="15" hidden="false" customHeight="false" outlineLevel="0" collapsed="false">
      <c r="D3822" s="0" t="s">
        <v>114</v>
      </c>
      <c r="E3822" s="0" t="s">
        <v>115</v>
      </c>
      <c r="F3822" s="0" t="s">
        <v>116</v>
      </c>
      <c r="G3822" s="0" t="s">
        <v>152</v>
      </c>
      <c r="H3822" s="0" t="s">
        <v>152</v>
      </c>
      <c r="I3822" s="0" t="s">
        <v>43</v>
      </c>
      <c r="J3822" s="0" t="s">
        <v>44</v>
      </c>
      <c r="K3822" s="0" t="s">
        <v>48</v>
      </c>
      <c r="L3822" s="0" t="s">
        <v>49</v>
      </c>
      <c r="M3822" s="0" t="s">
        <v>140</v>
      </c>
      <c r="N3822" s="0" t="n">
        <v>1570</v>
      </c>
      <c r="O3822" s="10" t="n">
        <v>0.44953418080695</v>
      </c>
      <c r="P3822" s="10" t="n">
        <v>0.298559809103608</v>
      </c>
      <c r="Q3822" s="0" t="str">
        <f aca="false">SUBSTITUTE(SUBSTITUTE($I3822,CHAR(61),""),CHAR(34),"")</f>
        <v>35-49</v>
      </c>
      <c r="R3822" s="0" t="str">
        <f aca="false">IF($D3822&lt;&gt;"","["&amp;$E3822&amp;"]"&amp;"|"&amp;$Q3822&amp;"|"&amp;$K3822&amp;"|"&amp;$G3822&amp;"|"&amp;IF($G3822="TX_CURR_SUBNAT.R","CY2022Q4",$M3822),"")</f>
        <v>[rpw540fmNUz]|35-49|Male|Incidence_SUBNAT.Rt.T_1|CY2023Q3</v>
      </c>
    </row>
    <row r="3823" customFormat="false" ht="15" hidden="false" customHeight="false" outlineLevel="0" collapsed="false">
      <c r="D3823" s="0" t="s">
        <v>114</v>
      </c>
      <c r="E3823" s="0" t="s">
        <v>115</v>
      </c>
      <c r="F3823" s="0" t="s">
        <v>116</v>
      </c>
      <c r="G3823" s="0" t="s">
        <v>152</v>
      </c>
      <c r="H3823" s="0" t="s">
        <v>152</v>
      </c>
      <c r="I3823" s="0" t="s">
        <v>45</v>
      </c>
      <c r="J3823" s="0" t="s">
        <v>46</v>
      </c>
      <c r="K3823" s="0" t="s">
        <v>48</v>
      </c>
      <c r="L3823" s="0" t="s">
        <v>49</v>
      </c>
      <c r="M3823" s="0" t="s">
        <v>140</v>
      </c>
      <c r="N3823" s="0" t="n">
        <v>1139</v>
      </c>
      <c r="O3823" s="10" t="n">
        <v>0.151516231242567</v>
      </c>
      <c r="P3823" s="10" t="n">
        <v>0.298559809103608</v>
      </c>
      <c r="Q3823" s="0" t="str">
        <f aca="false">SUBSTITUTE(SUBSTITUTE($I3823,CHAR(61),""),CHAR(34),"")</f>
        <v>50+</v>
      </c>
      <c r="R3823" s="0" t="str">
        <f aca="false">IF($D3823&lt;&gt;"","["&amp;$E3823&amp;"]"&amp;"|"&amp;$Q3823&amp;"|"&amp;$K3823&amp;"|"&amp;$G3823&amp;"|"&amp;IF($G3823="TX_CURR_SUBNAT.R","CY2022Q4",$M3823),"")</f>
        <v>[rpw540fmNUz]|50+|Male|Incidence_SUBNAT.Rt.T_1|CY2023Q3</v>
      </c>
    </row>
    <row r="3824" customFormat="false" ht="15" hidden="false" customHeight="false" outlineLevel="0" collapsed="false">
      <c r="D3824" s="0" t="s">
        <v>117</v>
      </c>
      <c r="E3824" s="0" t="s">
        <v>118</v>
      </c>
      <c r="F3824" s="0" t="s">
        <v>119</v>
      </c>
      <c r="G3824" s="0" t="s">
        <v>152</v>
      </c>
      <c r="H3824" s="0" t="s">
        <v>152</v>
      </c>
      <c r="I3824" s="0" t="s">
        <v>28</v>
      </c>
      <c r="J3824" s="0" t="s">
        <v>29</v>
      </c>
      <c r="K3824" s="0" t="s">
        <v>30</v>
      </c>
      <c r="L3824" s="0" t="s">
        <v>31</v>
      </c>
      <c r="M3824" s="0" t="s">
        <v>140</v>
      </c>
      <c r="N3824" s="0" t="n">
        <v>1877</v>
      </c>
      <c r="O3824" s="10" t="n">
        <v>0.23556043789722</v>
      </c>
      <c r="P3824" s="10" t="n">
        <v>0.206259709550068</v>
      </c>
      <c r="Q3824" s="0" t="str">
        <f aca="false">SUBSTITUTE(SUBSTITUTE($I3824,CHAR(61),""),CHAR(34),"")</f>
        <v>&lt;01</v>
      </c>
      <c r="R3824" s="0" t="str">
        <f aca="false">IF($D3824&lt;&gt;"","["&amp;$E3824&amp;"]"&amp;"|"&amp;$Q3824&amp;"|"&amp;$K3824&amp;"|"&amp;$G3824&amp;"|"&amp;IF($G3824="TX_CURR_SUBNAT.R","CY2022Q4",$M3824),"")</f>
        <v>[lPTyjLi4w3d]|&lt;01|Female|Incidence_SUBNAT.Rt.T_1|CY2023Q3</v>
      </c>
    </row>
    <row r="3825" customFormat="false" ht="15" hidden="false" customHeight="false" outlineLevel="0" collapsed="false">
      <c r="D3825" s="0" t="s">
        <v>117</v>
      </c>
      <c r="E3825" s="0" t="s">
        <v>118</v>
      </c>
      <c r="F3825" s="0" t="s">
        <v>119</v>
      </c>
      <c r="G3825" s="0" t="s">
        <v>152</v>
      </c>
      <c r="H3825" s="0" t="s">
        <v>152</v>
      </c>
      <c r="I3825" s="0" t="s">
        <v>33</v>
      </c>
      <c r="J3825" s="0" t="s">
        <v>34</v>
      </c>
      <c r="K3825" s="0" t="s">
        <v>30</v>
      </c>
      <c r="L3825" s="0" t="s">
        <v>31</v>
      </c>
      <c r="M3825" s="0" t="s">
        <v>140</v>
      </c>
      <c r="N3825" s="0" t="n">
        <v>1098</v>
      </c>
      <c r="O3825" s="10" t="n">
        <v>0.0668110232800245</v>
      </c>
      <c r="P3825" s="10" t="n">
        <v>0.206259709550068</v>
      </c>
      <c r="Q3825" s="0" t="str">
        <f aca="false">SUBSTITUTE(SUBSTITUTE($I3825,CHAR(61),""),CHAR(34),"")</f>
        <v>01-09</v>
      </c>
      <c r="R3825" s="0" t="str">
        <f aca="false">IF($D3825&lt;&gt;"","["&amp;$E3825&amp;"]"&amp;"|"&amp;$Q3825&amp;"|"&amp;$K3825&amp;"|"&amp;$G3825&amp;"|"&amp;IF($G3825="TX_CURR_SUBNAT.R","CY2022Q4",$M3825),"")</f>
        <v>[lPTyjLi4w3d]|01-09|Female|Incidence_SUBNAT.Rt.T_1|CY2023Q3</v>
      </c>
    </row>
    <row r="3826" customFormat="false" ht="15" hidden="false" customHeight="false" outlineLevel="0" collapsed="false">
      <c r="D3826" s="0" t="s">
        <v>117</v>
      </c>
      <c r="E3826" s="0" t="s">
        <v>118</v>
      </c>
      <c r="F3826" s="0" t="s">
        <v>119</v>
      </c>
      <c r="G3826" s="0" t="s">
        <v>152</v>
      </c>
      <c r="H3826" s="0" t="s">
        <v>152</v>
      </c>
      <c r="I3826" s="0" t="s">
        <v>36</v>
      </c>
      <c r="J3826" s="0" t="s">
        <v>37</v>
      </c>
      <c r="K3826" s="0" t="s">
        <v>30</v>
      </c>
      <c r="L3826" s="0" t="s">
        <v>31</v>
      </c>
      <c r="M3826" s="0" t="s">
        <v>140</v>
      </c>
      <c r="N3826" s="0" t="n">
        <v>1601</v>
      </c>
      <c r="O3826" s="10" t="n">
        <v>0.692262476542965</v>
      </c>
      <c r="P3826" s="10" t="n">
        <v>0.206259709550068</v>
      </c>
      <c r="Q3826" s="0" t="str">
        <f aca="false">SUBSTITUTE(SUBSTITUTE($I3826,CHAR(61),""),CHAR(34),"")</f>
        <v>10-14</v>
      </c>
      <c r="R3826" s="0" t="str">
        <f aca="false">IF($D3826&lt;&gt;"","["&amp;$E3826&amp;"]"&amp;"|"&amp;$Q3826&amp;"|"&amp;$K3826&amp;"|"&amp;$G3826&amp;"|"&amp;IF($G3826="TX_CURR_SUBNAT.R","CY2022Q4",$M3826),"")</f>
        <v>[lPTyjLi4w3d]|10-14|Female|Incidence_SUBNAT.Rt.T_1|CY2023Q3</v>
      </c>
    </row>
    <row r="3827" customFormat="false" ht="15" hidden="false" customHeight="false" outlineLevel="0" collapsed="false">
      <c r="D3827" s="0" t="s">
        <v>117</v>
      </c>
      <c r="E3827" s="0" t="s">
        <v>118</v>
      </c>
      <c r="F3827" s="0" t="s">
        <v>119</v>
      </c>
      <c r="G3827" s="0" t="s">
        <v>152</v>
      </c>
      <c r="H3827" s="0" t="s">
        <v>152</v>
      </c>
      <c r="I3827" s="0" t="s">
        <v>38</v>
      </c>
      <c r="J3827" s="0" t="s">
        <v>39</v>
      </c>
      <c r="K3827" s="0" t="s">
        <v>30</v>
      </c>
      <c r="L3827" s="0" t="s">
        <v>31</v>
      </c>
      <c r="M3827" s="0" t="s">
        <v>140</v>
      </c>
      <c r="N3827" s="0" t="n">
        <v>852</v>
      </c>
      <c r="O3827" s="10" t="n">
        <v>0.668837778735906</v>
      </c>
      <c r="P3827" s="10" t="n">
        <v>0.206259709550068</v>
      </c>
      <c r="Q3827" s="0" t="str">
        <f aca="false">SUBSTITUTE(SUBSTITUTE($I3827,CHAR(61),""),CHAR(34),"")</f>
        <v>15-24</v>
      </c>
      <c r="R3827" s="0" t="str">
        <f aca="false">IF($D3827&lt;&gt;"","["&amp;$E3827&amp;"]"&amp;"|"&amp;$Q3827&amp;"|"&amp;$K3827&amp;"|"&amp;$G3827&amp;"|"&amp;IF($G3827="TX_CURR_SUBNAT.R","CY2022Q4",$M3827),"")</f>
        <v>[lPTyjLi4w3d]|15-24|Female|Incidence_SUBNAT.Rt.T_1|CY2023Q3</v>
      </c>
    </row>
    <row r="3828" customFormat="false" ht="15" hidden="false" customHeight="false" outlineLevel="0" collapsed="false">
      <c r="D3828" s="0" t="s">
        <v>117</v>
      </c>
      <c r="E3828" s="0" t="s">
        <v>118</v>
      </c>
      <c r="F3828" s="0" t="s">
        <v>119</v>
      </c>
      <c r="G3828" s="0" t="s">
        <v>152</v>
      </c>
      <c r="H3828" s="0" t="s">
        <v>152</v>
      </c>
      <c r="I3828" s="0" t="s">
        <v>41</v>
      </c>
      <c r="J3828" s="0" t="s">
        <v>42</v>
      </c>
      <c r="K3828" s="0" t="s">
        <v>30</v>
      </c>
      <c r="L3828" s="0" t="s">
        <v>31</v>
      </c>
      <c r="M3828" s="0" t="s">
        <v>140</v>
      </c>
      <c r="N3828" s="0" t="n">
        <v>1880</v>
      </c>
      <c r="O3828" s="10" t="n">
        <v>0.538998088799417</v>
      </c>
      <c r="P3828" s="10" t="n">
        <v>0.206259709550068</v>
      </c>
      <c r="Q3828" s="0" t="str">
        <f aca="false">SUBSTITUTE(SUBSTITUTE($I3828,CHAR(61),""),CHAR(34),"")</f>
        <v>25-34</v>
      </c>
      <c r="R3828" s="0" t="str">
        <f aca="false">IF($D3828&lt;&gt;"","["&amp;$E3828&amp;"]"&amp;"|"&amp;$Q3828&amp;"|"&amp;$K3828&amp;"|"&amp;$G3828&amp;"|"&amp;IF($G3828="TX_CURR_SUBNAT.R","CY2022Q4",$M3828),"")</f>
        <v>[lPTyjLi4w3d]|25-34|Female|Incidence_SUBNAT.Rt.T_1|CY2023Q3</v>
      </c>
    </row>
    <row r="3829" customFormat="false" ht="15" hidden="false" customHeight="false" outlineLevel="0" collapsed="false">
      <c r="D3829" s="0" t="s">
        <v>117</v>
      </c>
      <c r="E3829" s="0" t="s">
        <v>118</v>
      </c>
      <c r="F3829" s="0" t="s">
        <v>119</v>
      </c>
      <c r="G3829" s="0" t="s">
        <v>152</v>
      </c>
      <c r="H3829" s="0" t="s">
        <v>152</v>
      </c>
      <c r="I3829" s="0" t="s">
        <v>43</v>
      </c>
      <c r="J3829" s="0" t="s">
        <v>44</v>
      </c>
      <c r="K3829" s="0" t="s">
        <v>30</v>
      </c>
      <c r="L3829" s="0" t="s">
        <v>31</v>
      </c>
      <c r="M3829" s="0" t="s">
        <v>140</v>
      </c>
      <c r="N3829" s="0" t="n">
        <v>1868</v>
      </c>
      <c r="O3829" s="10" t="n">
        <v>0.554172578267753</v>
      </c>
      <c r="P3829" s="10" t="n">
        <v>0.206259709550068</v>
      </c>
      <c r="Q3829" s="0" t="str">
        <f aca="false">SUBSTITUTE(SUBSTITUTE($I3829,CHAR(61),""),CHAR(34),"")</f>
        <v>35-49</v>
      </c>
      <c r="R3829" s="0" t="str">
        <f aca="false">IF($D3829&lt;&gt;"","["&amp;$E3829&amp;"]"&amp;"|"&amp;$Q3829&amp;"|"&amp;$K3829&amp;"|"&amp;$G3829&amp;"|"&amp;IF($G3829="TX_CURR_SUBNAT.R","CY2022Q4",$M3829),"")</f>
        <v>[lPTyjLi4w3d]|35-49|Female|Incidence_SUBNAT.Rt.T_1|CY2023Q3</v>
      </c>
    </row>
    <row r="3830" customFormat="false" ht="15" hidden="false" customHeight="false" outlineLevel="0" collapsed="false">
      <c r="D3830" s="0" t="s">
        <v>117</v>
      </c>
      <c r="E3830" s="0" t="s">
        <v>118</v>
      </c>
      <c r="F3830" s="0" t="s">
        <v>119</v>
      </c>
      <c r="G3830" s="0" t="s">
        <v>152</v>
      </c>
      <c r="H3830" s="0" t="s">
        <v>152</v>
      </c>
      <c r="I3830" s="0" t="s">
        <v>45</v>
      </c>
      <c r="J3830" s="0" t="s">
        <v>46</v>
      </c>
      <c r="K3830" s="0" t="s">
        <v>30</v>
      </c>
      <c r="L3830" s="0" t="s">
        <v>31</v>
      </c>
      <c r="M3830" s="0" t="s">
        <v>140</v>
      </c>
      <c r="N3830" s="0" t="n">
        <v>779</v>
      </c>
      <c r="O3830" s="10" t="n">
        <v>0.28930174279958</v>
      </c>
      <c r="P3830" s="10" t="n">
        <v>0.206259709550068</v>
      </c>
      <c r="Q3830" s="0" t="str">
        <f aca="false">SUBSTITUTE(SUBSTITUTE($I3830,CHAR(61),""),CHAR(34),"")</f>
        <v>50+</v>
      </c>
      <c r="R3830" s="0" t="str">
        <f aca="false">IF($D3830&lt;&gt;"","["&amp;$E3830&amp;"]"&amp;"|"&amp;$Q3830&amp;"|"&amp;$K3830&amp;"|"&amp;$G3830&amp;"|"&amp;IF($G3830="TX_CURR_SUBNAT.R","CY2022Q4",$M3830),"")</f>
        <v>[lPTyjLi4w3d]|50+|Female|Incidence_SUBNAT.Rt.T_1|CY2023Q3</v>
      </c>
    </row>
    <row r="3831" customFormat="false" ht="15" hidden="false" customHeight="false" outlineLevel="0" collapsed="false">
      <c r="D3831" s="0" t="s">
        <v>117</v>
      </c>
      <c r="E3831" s="0" t="s">
        <v>118</v>
      </c>
      <c r="F3831" s="0" t="s">
        <v>119</v>
      </c>
      <c r="G3831" s="0" t="s">
        <v>152</v>
      </c>
      <c r="H3831" s="0" t="s">
        <v>152</v>
      </c>
      <c r="I3831" s="0" t="s">
        <v>28</v>
      </c>
      <c r="J3831" s="0" t="s">
        <v>29</v>
      </c>
      <c r="K3831" s="0" t="s">
        <v>48</v>
      </c>
      <c r="L3831" s="0" t="s">
        <v>49</v>
      </c>
      <c r="M3831" s="0" t="s">
        <v>140</v>
      </c>
      <c r="N3831" s="0" t="n">
        <v>1457</v>
      </c>
      <c r="O3831" s="10" t="n">
        <v>0.0514478990808129</v>
      </c>
      <c r="P3831" s="10" t="n">
        <v>0.206259709550068</v>
      </c>
      <c r="Q3831" s="0" t="str">
        <f aca="false">SUBSTITUTE(SUBSTITUTE($I3831,CHAR(61),""),CHAR(34),"")</f>
        <v>&lt;01</v>
      </c>
      <c r="R3831" s="0" t="str">
        <f aca="false">IF($D3831&lt;&gt;"","["&amp;$E3831&amp;"]"&amp;"|"&amp;$Q3831&amp;"|"&amp;$K3831&amp;"|"&amp;$G3831&amp;"|"&amp;IF($G3831="TX_CURR_SUBNAT.R","CY2022Q4",$M3831),"")</f>
        <v>[lPTyjLi4w3d]|&lt;01|Male|Incidence_SUBNAT.Rt.T_1|CY2023Q3</v>
      </c>
    </row>
    <row r="3832" customFormat="false" ht="15" hidden="false" customHeight="false" outlineLevel="0" collapsed="false">
      <c r="D3832" s="0" t="s">
        <v>117</v>
      </c>
      <c r="E3832" s="0" t="s">
        <v>118</v>
      </c>
      <c r="F3832" s="0" t="s">
        <v>119</v>
      </c>
      <c r="G3832" s="0" t="s">
        <v>152</v>
      </c>
      <c r="H3832" s="0" t="s">
        <v>152</v>
      </c>
      <c r="I3832" s="0" t="s">
        <v>33</v>
      </c>
      <c r="J3832" s="0" t="s">
        <v>34</v>
      </c>
      <c r="K3832" s="0" t="s">
        <v>48</v>
      </c>
      <c r="L3832" s="0" t="s">
        <v>49</v>
      </c>
      <c r="M3832" s="0" t="s">
        <v>140</v>
      </c>
      <c r="N3832" s="0" t="n">
        <v>1486</v>
      </c>
      <c r="O3832" s="10" t="n">
        <v>0.538892624434084</v>
      </c>
      <c r="P3832" s="10" t="n">
        <v>0.206259709550068</v>
      </c>
      <c r="Q3832" s="0" t="str">
        <f aca="false">SUBSTITUTE(SUBSTITUTE($I3832,CHAR(61),""),CHAR(34),"")</f>
        <v>01-09</v>
      </c>
      <c r="R3832" s="0" t="str">
        <f aca="false">IF($D3832&lt;&gt;"","["&amp;$E3832&amp;"]"&amp;"|"&amp;$Q3832&amp;"|"&amp;$K3832&amp;"|"&amp;$G3832&amp;"|"&amp;IF($G3832="TX_CURR_SUBNAT.R","CY2022Q4",$M3832),"")</f>
        <v>[lPTyjLi4w3d]|01-09|Male|Incidence_SUBNAT.Rt.T_1|CY2023Q3</v>
      </c>
    </row>
    <row r="3833" customFormat="false" ht="15" hidden="false" customHeight="false" outlineLevel="0" collapsed="false">
      <c r="D3833" s="0" t="s">
        <v>117</v>
      </c>
      <c r="E3833" s="0" t="s">
        <v>118</v>
      </c>
      <c r="F3833" s="0" t="s">
        <v>119</v>
      </c>
      <c r="G3833" s="0" t="s">
        <v>152</v>
      </c>
      <c r="H3833" s="0" t="s">
        <v>152</v>
      </c>
      <c r="I3833" s="0" t="s">
        <v>36</v>
      </c>
      <c r="J3833" s="0" t="s">
        <v>37</v>
      </c>
      <c r="K3833" s="0" t="s">
        <v>48</v>
      </c>
      <c r="L3833" s="0" t="s">
        <v>49</v>
      </c>
      <c r="M3833" s="0" t="s">
        <v>140</v>
      </c>
      <c r="N3833" s="0" t="n">
        <v>1106</v>
      </c>
      <c r="O3833" s="10" t="n">
        <v>0.726444566389546</v>
      </c>
      <c r="P3833" s="10" t="n">
        <v>0.206259709550068</v>
      </c>
      <c r="Q3833" s="0" t="str">
        <f aca="false">SUBSTITUTE(SUBSTITUTE($I3833,CHAR(61),""),CHAR(34),"")</f>
        <v>10-14</v>
      </c>
      <c r="R3833" s="0" t="str">
        <f aca="false">IF($D3833&lt;&gt;"","["&amp;$E3833&amp;"]"&amp;"|"&amp;$Q3833&amp;"|"&amp;$K3833&amp;"|"&amp;$G3833&amp;"|"&amp;IF($G3833="TX_CURR_SUBNAT.R","CY2022Q4",$M3833),"")</f>
        <v>[lPTyjLi4w3d]|10-14|Male|Incidence_SUBNAT.Rt.T_1|CY2023Q3</v>
      </c>
    </row>
    <row r="3834" customFormat="false" ht="15" hidden="false" customHeight="false" outlineLevel="0" collapsed="false">
      <c r="D3834" s="0" t="s">
        <v>117</v>
      </c>
      <c r="E3834" s="0" t="s">
        <v>118</v>
      </c>
      <c r="F3834" s="0" t="s">
        <v>119</v>
      </c>
      <c r="G3834" s="0" t="s">
        <v>152</v>
      </c>
      <c r="H3834" s="0" t="s">
        <v>152</v>
      </c>
      <c r="I3834" s="0" t="s">
        <v>38</v>
      </c>
      <c r="J3834" s="0" t="s">
        <v>39</v>
      </c>
      <c r="K3834" s="0" t="s">
        <v>48</v>
      </c>
      <c r="L3834" s="0" t="s">
        <v>49</v>
      </c>
      <c r="M3834" s="0" t="s">
        <v>140</v>
      </c>
      <c r="N3834" s="0" t="n">
        <v>1570</v>
      </c>
      <c r="O3834" s="10" t="n">
        <v>0.970614035381004</v>
      </c>
      <c r="P3834" s="10" t="n">
        <v>0.206259709550068</v>
      </c>
      <c r="Q3834" s="0" t="str">
        <f aca="false">SUBSTITUTE(SUBSTITUTE($I3834,CHAR(61),""),CHAR(34),"")</f>
        <v>15-24</v>
      </c>
      <c r="R3834" s="0" t="str">
        <f aca="false">IF($D3834&lt;&gt;"","["&amp;$E3834&amp;"]"&amp;"|"&amp;$Q3834&amp;"|"&amp;$K3834&amp;"|"&amp;$G3834&amp;"|"&amp;IF($G3834="TX_CURR_SUBNAT.R","CY2022Q4",$M3834),"")</f>
        <v>[lPTyjLi4w3d]|15-24|Male|Incidence_SUBNAT.Rt.T_1|CY2023Q3</v>
      </c>
    </row>
    <row r="3835" customFormat="false" ht="15" hidden="false" customHeight="false" outlineLevel="0" collapsed="false">
      <c r="D3835" s="0" t="s">
        <v>117</v>
      </c>
      <c r="E3835" s="0" t="s">
        <v>118</v>
      </c>
      <c r="F3835" s="0" t="s">
        <v>119</v>
      </c>
      <c r="G3835" s="0" t="s">
        <v>152</v>
      </c>
      <c r="H3835" s="0" t="s">
        <v>152</v>
      </c>
      <c r="I3835" s="0" t="s">
        <v>41</v>
      </c>
      <c r="J3835" s="0" t="s">
        <v>42</v>
      </c>
      <c r="K3835" s="0" t="s">
        <v>48</v>
      </c>
      <c r="L3835" s="0" t="s">
        <v>49</v>
      </c>
      <c r="M3835" s="0" t="s">
        <v>140</v>
      </c>
      <c r="N3835" s="0" t="n">
        <v>1398</v>
      </c>
      <c r="O3835" s="10" t="n">
        <v>0.891110349679366</v>
      </c>
      <c r="P3835" s="10" t="n">
        <v>0.206259709550068</v>
      </c>
      <c r="Q3835" s="0" t="str">
        <f aca="false">SUBSTITUTE(SUBSTITUTE($I3835,CHAR(61),""),CHAR(34),"")</f>
        <v>25-34</v>
      </c>
      <c r="R3835" s="0" t="str">
        <f aca="false">IF($D3835&lt;&gt;"","["&amp;$E3835&amp;"]"&amp;"|"&amp;$Q3835&amp;"|"&amp;$K3835&amp;"|"&amp;$G3835&amp;"|"&amp;IF($G3835="TX_CURR_SUBNAT.R","CY2022Q4",$M3835),"")</f>
        <v>[lPTyjLi4w3d]|25-34|Male|Incidence_SUBNAT.Rt.T_1|CY2023Q3</v>
      </c>
    </row>
    <row r="3836" customFormat="false" ht="15" hidden="false" customHeight="false" outlineLevel="0" collapsed="false">
      <c r="D3836" s="0" t="s">
        <v>117</v>
      </c>
      <c r="E3836" s="0" t="s">
        <v>118</v>
      </c>
      <c r="F3836" s="0" t="s">
        <v>119</v>
      </c>
      <c r="G3836" s="0" t="s">
        <v>152</v>
      </c>
      <c r="H3836" s="0" t="s">
        <v>152</v>
      </c>
      <c r="I3836" s="0" t="s">
        <v>43</v>
      </c>
      <c r="J3836" s="0" t="s">
        <v>44</v>
      </c>
      <c r="K3836" s="0" t="s">
        <v>48</v>
      </c>
      <c r="L3836" s="0" t="s">
        <v>49</v>
      </c>
      <c r="M3836" s="0" t="s">
        <v>140</v>
      </c>
      <c r="N3836" s="0" t="n">
        <v>1822</v>
      </c>
      <c r="O3836" s="10" t="n">
        <v>0.325225579785183</v>
      </c>
      <c r="P3836" s="10" t="n">
        <v>0.206259709550068</v>
      </c>
      <c r="Q3836" s="0" t="str">
        <f aca="false">SUBSTITUTE(SUBSTITUTE($I3836,CHAR(61),""),CHAR(34),"")</f>
        <v>35-49</v>
      </c>
      <c r="R3836" s="0" t="str">
        <f aca="false">IF($D3836&lt;&gt;"","["&amp;$E3836&amp;"]"&amp;"|"&amp;$Q3836&amp;"|"&amp;$K3836&amp;"|"&amp;$G3836&amp;"|"&amp;IF($G3836="TX_CURR_SUBNAT.R","CY2022Q4",$M3836),"")</f>
        <v>[lPTyjLi4w3d]|35-49|Male|Incidence_SUBNAT.Rt.T_1|CY2023Q3</v>
      </c>
    </row>
    <row r="3837" customFormat="false" ht="15" hidden="false" customHeight="false" outlineLevel="0" collapsed="false">
      <c r="D3837" s="0" t="s">
        <v>117</v>
      </c>
      <c r="E3837" s="0" t="s">
        <v>118</v>
      </c>
      <c r="F3837" s="0" t="s">
        <v>119</v>
      </c>
      <c r="G3837" s="0" t="s">
        <v>152</v>
      </c>
      <c r="H3837" s="0" t="s">
        <v>152</v>
      </c>
      <c r="I3837" s="0" t="s">
        <v>45</v>
      </c>
      <c r="J3837" s="0" t="s">
        <v>46</v>
      </c>
      <c r="K3837" s="0" t="s">
        <v>48</v>
      </c>
      <c r="L3837" s="0" t="s">
        <v>49</v>
      </c>
      <c r="M3837" s="0" t="s">
        <v>140</v>
      </c>
      <c r="N3837" s="0" t="n">
        <v>1434</v>
      </c>
      <c r="O3837" s="10" t="n">
        <v>0.968167792074382</v>
      </c>
      <c r="P3837" s="10" t="n">
        <v>0.206259709550068</v>
      </c>
      <c r="Q3837" s="0" t="str">
        <f aca="false">SUBSTITUTE(SUBSTITUTE($I3837,CHAR(61),""),CHAR(34),"")</f>
        <v>50+</v>
      </c>
      <c r="R3837" s="0" t="str">
        <f aca="false">IF($D3837&lt;&gt;"","["&amp;$E3837&amp;"]"&amp;"|"&amp;$Q3837&amp;"|"&amp;$K3837&amp;"|"&amp;$G3837&amp;"|"&amp;IF($G3837="TX_CURR_SUBNAT.R","CY2022Q4",$M3837),"")</f>
        <v>[lPTyjLi4w3d]|50+|Male|Incidence_SUBNAT.Rt.T_1|CY2023Q3</v>
      </c>
    </row>
    <row r="3838" customFormat="false" ht="15" hidden="false" customHeight="false" outlineLevel="0" collapsed="false">
      <c r="D3838" s="0" t="s">
        <v>120</v>
      </c>
      <c r="E3838" s="0" t="s">
        <v>121</v>
      </c>
      <c r="F3838" s="0" t="s">
        <v>122</v>
      </c>
      <c r="G3838" s="0" t="s">
        <v>152</v>
      </c>
      <c r="H3838" s="0" t="s">
        <v>152</v>
      </c>
      <c r="I3838" s="0" t="s">
        <v>28</v>
      </c>
      <c r="J3838" s="0" t="s">
        <v>29</v>
      </c>
      <c r="K3838" s="0" t="s">
        <v>30</v>
      </c>
      <c r="L3838" s="0" t="s">
        <v>31</v>
      </c>
      <c r="M3838" s="0" t="s">
        <v>140</v>
      </c>
      <c r="N3838" s="0" t="n">
        <v>1904</v>
      </c>
      <c r="O3838" s="10" t="n">
        <v>0.0504299746826291</v>
      </c>
      <c r="P3838" s="10" t="n">
        <v>0.430103979306296</v>
      </c>
      <c r="Q3838" s="0" t="str">
        <f aca="false">SUBSTITUTE(SUBSTITUTE($I3838,CHAR(61),""),CHAR(34),"")</f>
        <v>&lt;01</v>
      </c>
      <c r="R3838" s="0" t="str">
        <f aca="false">IF($D3838&lt;&gt;"","["&amp;$E3838&amp;"]"&amp;"|"&amp;$Q3838&amp;"|"&amp;$K3838&amp;"|"&amp;$G3838&amp;"|"&amp;IF($G3838="TX_CURR_SUBNAT.R","CY2022Q4",$M3838),"")</f>
        <v>[vA4NcHxfMBq]|&lt;01|Female|Incidence_SUBNAT.Rt.T_1|CY2023Q3</v>
      </c>
    </row>
    <row r="3839" customFormat="false" ht="15" hidden="false" customHeight="false" outlineLevel="0" collapsed="false">
      <c r="D3839" s="0" t="s">
        <v>120</v>
      </c>
      <c r="E3839" s="0" t="s">
        <v>121</v>
      </c>
      <c r="F3839" s="0" t="s">
        <v>122</v>
      </c>
      <c r="G3839" s="0" t="s">
        <v>152</v>
      </c>
      <c r="H3839" s="0" t="s">
        <v>152</v>
      </c>
      <c r="I3839" s="0" t="s">
        <v>33</v>
      </c>
      <c r="J3839" s="0" t="s">
        <v>34</v>
      </c>
      <c r="K3839" s="0" t="s">
        <v>30</v>
      </c>
      <c r="L3839" s="0" t="s">
        <v>31</v>
      </c>
      <c r="M3839" s="0" t="s">
        <v>140</v>
      </c>
      <c r="N3839" s="0" t="n">
        <v>1564</v>
      </c>
      <c r="O3839" s="10" t="n">
        <v>0.131353260483593</v>
      </c>
      <c r="P3839" s="10" t="n">
        <v>0.430103979306296</v>
      </c>
      <c r="Q3839" s="0" t="str">
        <f aca="false">SUBSTITUTE(SUBSTITUTE($I3839,CHAR(61),""),CHAR(34),"")</f>
        <v>01-09</v>
      </c>
      <c r="R3839" s="0" t="str">
        <f aca="false">IF($D3839&lt;&gt;"","["&amp;$E3839&amp;"]"&amp;"|"&amp;$Q3839&amp;"|"&amp;$K3839&amp;"|"&amp;$G3839&amp;"|"&amp;IF($G3839="TX_CURR_SUBNAT.R","CY2022Q4",$M3839),"")</f>
        <v>[vA4NcHxfMBq]|01-09|Female|Incidence_SUBNAT.Rt.T_1|CY2023Q3</v>
      </c>
    </row>
    <row r="3840" customFormat="false" ht="15" hidden="false" customHeight="false" outlineLevel="0" collapsed="false">
      <c r="D3840" s="0" t="s">
        <v>120</v>
      </c>
      <c r="E3840" s="0" t="s">
        <v>121</v>
      </c>
      <c r="F3840" s="0" t="s">
        <v>122</v>
      </c>
      <c r="G3840" s="0" t="s">
        <v>152</v>
      </c>
      <c r="H3840" s="0" t="s">
        <v>152</v>
      </c>
      <c r="I3840" s="0" t="s">
        <v>36</v>
      </c>
      <c r="J3840" s="0" t="s">
        <v>37</v>
      </c>
      <c r="K3840" s="0" t="s">
        <v>30</v>
      </c>
      <c r="L3840" s="0" t="s">
        <v>31</v>
      </c>
      <c r="M3840" s="0" t="s">
        <v>140</v>
      </c>
      <c r="N3840" s="0" t="n">
        <v>1498</v>
      </c>
      <c r="O3840" s="10" t="n">
        <v>0.511510644340888</v>
      </c>
      <c r="P3840" s="10" t="n">
        <v>0.430103979306296</v>
      </c>
      <c r="Q3840" s="0" t="str">
        <f aca="false">SUBSTITUTE(SUBSTITUTE($I3840,CHAR(61),""),CHAR(34),"")</f>
        <v>10-14</v>
      </c>
      <c r="R3840" s="0" t="str">
        <f aca="false">IF($D3840&lt;&gt;"","["&amp;$E3840&amp;"]"&amp;"|"&amp;$Q3840&amp;"|"&amp;$K3840&amp;"|"&amp;$G3840&amp;"|"&amp;IF($G3840="TX_CURR_SUBNAT.R","CY2022Q4",$M3840),"")</f>
        <v>[vA4NcHxfMBq]|10-14|Female|Incidence_SUBNAT.Rt.T_1|CY2023Q3</v>
      </c>
    </row>
    <row r="3841" customFormat="false" ht="15" hidden="false" customHeight="false" outlineLevel="0" collapsed="false">
      <c r="D3841" s="0" t="s">
        <v>120</v>
      </c>
      <c r="E3841" s="0" t="s">
        <v>121</v>
      </c>
      <c r="F3841" s="0" t="s">
        <v>122</v>
      </c>
      <c r="G3841" s="0" t="s">
        <v>152</v>
      </c>
      <c r="H3841" s="0" t="s">
        <v>152</v>
      </c>
      <c r="I3841" s="0" t="s">
        <v>38</v>
      </c>
      <c r="J3841" s="0" t="s">
        <v>39</v>
      </c>
      <c r="K3841" s="0" t="s">
        <v>30</v>
      </c>
      <c r="L3841" s="0" t="s">
        <v>31</v>
      </c>
      <c r="M3841" s="0" t="s">
        <v>140</v>
      </c>
      <c r="N3841" s="0" t="n">
        <v>1829</v>
      </c>
      <c r="O3841" s="10" t="n">
        <v>0.843622397165745</v>
      </c>
      <c r="P3841" s="10" t="n">
        <v>0.430103979306296</v>
      </c>
      <c r="Q3841" s="0" t="str">
        <f aca="false">SUBSTITUTE(SUBSTITUTE($I3841,CHAR(61),""),CHAR(34),"")</f>
        <v>15-24</v>
      </c>
      <c r="R3841" s="0" t="str">
        <f aca="false">IF($D3841&lt;&gt;"","["&amp;$E3841&amp;"]"&amp;"|"&amp;$Q3841&amp;"|"&amp;$K3841&amp;"|"&amp;$G3841&amp;"|"&amp;IF($G3841="TX_CURR_SUBNAT.R","CY2022Q4",$M3841),"")</f>
        <v>[vA4NcHxfMBq]|15-24|Female|Incidence_SUBNAT.Rt.T_1|CY2023Q3</v>
      </c>
    </row>
    <row r="3842" customFormat="false" ht="15" hidden="false" customHeight="false" outlineLevel="0" collapsed="false">
      <c r="D3842" s="0" t="s">
        <v>120</v>
      </c>
      <c r="E3842" s="0" t="s">
        <v>121</v>
      </c>
      <c r="F3842" s="0" t="s">
        <v>122</v>
      </c>
      <c r="G3842" s="0" t="s">
        <v>152</v>
      </c>
      <c r="H3842" s="0" t="s">
        <v>152</v>
      </c>
      <c r="I3842" s="0" t="s">
        <v>41</v>
      </c>
      <c r="J3842" s="0" t="s">
        <v>42</v>
      </c>
      <c r="K3842" s="0" t="s">
        <v>30</v>
      </c>
      <c r="L3842" s="0" t="s">
        <v>31</v>
      </c>
      <c r="M3842" s="0" t="s">
        <v>140</v>
      </c>
      <c r="N3842" s="0" t="n">
        <v>541</v>
      </c>
      <c r="O3842" s="10" t="n">
        <v>0.300816162722185</v>
      </c>
      <c r="P3842" s="10" t="n">
        <v>0.430103979306296</v>
      </c>
      <c r="Q3842" s="0" t="str">
        <f aca="false">SUBSTITUTE(SUBSTITUTE($I3842,CHAR(61),""),CHAR(34),"")</f>
        <v>25-34</v>
      </c>
      <c r="R3842" s="0" t="str">
        <f aca="false">IF($D3842&lt;&gt;"","["&amp;$E3842&amp;"]"&amp;"|"&amp;$Q3842&amp;"|"&amp;$K3842&amp;"|"&amp;$G3842&amp;"|"&amp;IF($G3842="TX_CURR_SUBNAT.R","CY2022Q4",$M3842),"")</f>
        <v>[vA4NcHxfMBq]|25-34|Female|Incidence_SUBNAT.Rt.T_1|CY2023Q3</v>
      </c>
    </row>
    <row r="3843" customFormat="false" ht="15" hidden="false" customHeight="false" outlineLevel="0" collapsed="false">
      <c r="D3843" s="0" t="s">
        <v>120</v>
      </c>
      <c r="E3843" s="0" t="s">
        <v>121</v>
      </c>
      <c r="F3843" s="0" t="s">
        <v>122</v>
      </c>
      <c r="G3843" s="0" t="s">
        <v>152</v>
      </c>
      <c r="H3843" s="0" t="s">
        <v>152</v>
      </c>
      <c r="I3843" s="0" t="s">
        <v>43</v>
      </c>
      <c r="J3843" s="0" t="s">
        <v>44</v>
      </c>
      <c r="K3843" s="0" t="s">
        <v>30</v>
      </c>
      <c r="L3843" s="0" t="s">
        <v>31</v>
      </c>
      <c r="M3843" s="0" t="s">
        <v>140</v>
      </c>
      <c r="N3843" s="0" t="n">
        <v>1353</v>
      </c>
      <c r="O3843" s="10" t="n">
        <v>0.982490832917392</v>
      </c>
      <c r="P3843" s="10" t="n">
        <v>0.430103979306296</v>
      </c>
      <c r="Q3843" s="0" t="str">
        <f aca="false">SUBSTITUTE(SUBSTITUTE($I3843,CHAR(61),""),CHAR(34),"")</f>
        <v>35-49</v>
      </c>
      <c r="R3843" s="0" t="str">
        <f aca="false">IF($D3843&lt;&gt;"","["&amp;$E3843&amp;"]"&amp;"|"&amp;$Q3843&amp;"|"&amp;$K3843&amp;"|"&amp;$G3843&amp;"|"&amp;IF($G3843="TX_CURR_SUBNAT.R","CY2022Q4",$M3843),"")</f>
        <v>[vA4NcHxfMBq]|35-49|Female|Incidence_SUBNAT.Rt.T_1|CY2023Q3</v>
      </c>
    </row>
    <row r="3844" customFormat="false" ht="15" hidden="false" customHeight="false" outlineLevel="0" collapsed="false">
      <c r="D3844" s="0" t="s">
        <v>120</v>
      </c>
      <c r="E3844" s="0" t="s">
        <v>121</v>
      </c>
      <c r="F3844" s="0" t="s">
        <v>122</v>
      </c>
      <c r="G3844" s="0" t="s">
        <v>152</v>
      </c>
      <c r="H3844" s="0" t="s">
        <v>152</v>
      </c>
      <c r="I3844" s="0" t="s">
        <v>45</v>
      </c>
      <c r="J3844" s="0" t="s">
        <v>46</v>
      </c>
      <c r="K3844" s="0" t="s">
        <v>30</v>
      </c>
      <c r="L3844" s="0" t="s">
        <v>31</v>
      </c>
      <c r="M3844" s="0" t="s">
        <v>140</v>
      </c>
      <c r="N3844" s="0" t="n">
        <v>1509</v>
      </c>
      <c r="O3844" s="10" t="n">
        <v>0.374949309043586</v>
      </c>
      <c r="P3844" s="10" t="n">
        <v>0.430103979306296</v>
      </c>
      <c r="Q3844" s="0" t="str">
        <f aca="false">SUBSTITUTE(SUBSTITUTE($I3844,CHAR(61),""),CHAR(34),"")</f>
        <v>50+</v>
      </c>
      <c r="R3844" s="0" t="str">
        <f aca="false">IF($D3844&lt;&gt;"","["&amp;$E3844&amp;"]"&amp;"|"&amp;$Q3844&amp;"|"&amp;$K3844&amp;"|"&amp;$G3844&amp;"|"&amp;IF($G3844="TX_CURR_SUBNAT.R","CY2022Q4",$M3844),"")</f>
        <v>[vA4NcHxfMBq]|50+|Female|Incidence_SUBNAT.Rt.T_1|CY2023Q3</v>
      </c>
    </row>
    <row r="3845" customFormat="false" ht="15" hidden="false" customHeight="false" outlineLevel="0" collapsed="false">
      <c r="D3845" s="0" t="s">
        <v>120</v>
      </c>
      <c r="E3845" s="0" t="s">
        <v>121</v>
      </c>
      <c r="F3845" s="0" t="s">
        <v>122</v>
      </c>
      <c r="G3845" s="0" t="s">
        <v>152</v>
      </c>
      <c r="H3845" s="0" t="s">
        <v>152</v>
      </c>
      <c r="I3845" s="0" t="s">
        <v>28</v>
      </c>
      <c r="J3845" s="0" t="s">
        <v>29</v>
      </c>
      <c r="K3845" s="0" t="s">
        <v>48</v>
      </c>
      <c r="L3845" s="0" t="s">
        <v>49</v>
      </c>
      <c r="M3845" s="0" t="s">
        <v>140</v>
      </c>
      <c r="N3845" s="0" t="n">
        <v>1033</v>
      </c>
      <c r="O3845" s="10" t="n">
        <v>0.838853273307905</v>
      </c>
      <c r="P3845" s="10" t="n">
        <v>0.430103979306296</v>
      </c>
      <c r="Q3845" s="0" t="str">
        <f aca="false">SUBSTITUTE(SUBSTITUTE($I3845,CHAR(61),""),CHAR(34),"")</f>
        <v>&lt;01</v>
      </c>
      <c r="R3845" s="0" t="str">
        <f aca="false">IF($D3845&lt;&gt;"","["&amp;$E3845&amp;"]"&amp;"|"&amp;$Q3845&amp;"|"&amp;$K3845&amp;"|"&amp;$G3845&amp;"|"&amp;IF($G3845="TX_CURR_SUBNAT.R","CY2022Q4",$M3845),"")</f>
        <v>[vA4NcHxfMBq]|&lt;01|Male|Incidence_SUBNAT.Rt.T_1|CY2023Q3</v>
      </c>
    </row>
    <row r="3846" customFormat="false" ht="15" hidden="false" customHeight="false" outlineLevel="0" collapsed="false">
      <c r="D3846" s="0" t="s">
        <v>120</v>
      </c>
      <c r="E3846" s="0" t="s">
        <v>121</v>
      </c>
      <c r="F3846" s="0" t="s">
        <v>122</v>
      </c>
      <c r="G3846" s="0" t="s">
        <v>152</v>
      </c>
      <c r="H3846" s="0" t="s">
        <v>152</v>
      </c>
      <c r="I3846" s="0" t="s">
        <v>33</v>
      </c>
      <c r="J3846" s="0" t="s">
        <v>34</v>
      </c>
      <c r="K3846" s="0" t="s">
        <v>48</v>
      </c>
      <c r="L3846" s="0" t="s">
        <v>49</v>
      </c>
      <c r="M3846" s="0" t="s">
        <v>140</v>
      </c>
      <c r="N3846" s="0" t="n">
        <v>1729</v>
      </c>
      <c r="O3846" s="10" t="n">
        <v>0.133559457026422</v>
      </c>
      <c r="P3846" s="10" t="n">
        <v>0.430103979306296</v>
      </c>
      <c r="Q3846" s="0" t="str">
        <f aca="false">SUBSTITUTE(SUBSTITUTE($I3846,CHAR(61),""),CHAR(34),"")</f>
        <v>01-09</v>
      </c>
      <c r="R3846" s="0" t="str">
        <f aca="false">IF($D3846&lt;&gt;"","["&amp;$E3846&amp;"]"&amp;"|"&amp;$Q3846&amp;"|"&amp;$K3846&amp;"|"&amp;$G3846&amp;"|"&amp;IF($G3846="TX_CURR_SUBNAT.R","CY2022Q4",$M3846),"")</f>
        <v>[vA4NcHxfMBq]|01-09|Male|Incidence_SUBNAT.Rt.T_1|CY2023Q3</v>
      </c>
    </row>
    <row r="3847" customFormat="false" ht="15" hidden="false" customHeight="false" outlineLevel="0" collapsed="false">
      <c r="D3847" s="0" t="s">
        <v>120</v>
      </c>
      <c r="E3847" s="0" t="s">
        <v>121</v>
      </c>
      <c r="F3847" s="0" t="s">
        <v>122</v>
      </c>
      <c r="G3847" s="0" t="s">
        <v>152</v>
      </c>
      <c r="H3847" s="0" t="s">
        <v>152</v>
      </c>
      <c r="I3847" s="0" t="s">
        <v>36</v>
      </c>
      <c r="J3847" s="0" t="s">
        <v>37</v>
      </c>
      <c r="K3847" s="0" t="s">
        <v>48</v>
      </c>
      <c r="L3847" s="0" t="s">
        <v>49</v>
      </c>
      <c r="M3847" s="0" t="s">
        <v>140</v>
      </c>
      <c r="N3847" s="0" t="n">
        <v>1582</v>
      </c>
      <c r="O3847" s="10" t="n">
        <v>0.474653082899749</v>
      </c>
      <c r="P3847" s="10" t="n">
        <v>0.430103979306296</v>
      </c>
      <c r="Q3847" s="0" t="str">
        <f aca="false">SUBSTITUTE(SUBSTITUTE($I3847,CHAR(61),""),CHAR(34),"")</f>
        <v>10-14</v>
      </c>
      <c r="R3847" s="0" t="str">
        <f aca="false">IF($D3847&lt;&gt;"","["&amp;$E3847&amp;"]"&amp;"|"&amp;$Q3847&amp;"|"&amp;$K3847&amp;"|"&amp;$G3847&amp;"|"&amp;IF($G3847="TX_CURR_SUBNAT.R","CY2022Q4",$M3847),"")</f>
        <v>[vA4NcHxfMBq]|10-14|Male|Incidence_SUBNAT.Rt.T_1|CY2023Q3</v>
      </c>
    </row>
    <row r="3848" customFormat="false" ht="15" hidden="false" customHeight="false" outlineLevel="0" collapsed="false">
      <c r="D3848" s="0" t="s">
        <v>120</v>
      </c>
      <c r="E3848" s="0" t="s">
        <v>121</v>
      </c>
      <c r="F3848" s="0" t="s">
        <v>122</v>
      </c>
      <c r="G3848" s="0" t="s">
        <v>152</v>
      </c>
      <c r="H3848" s="0" t="s">
        <v>152</v>
      </c>
      <c r="I3848" s="0" t="s">
        <v>38</v>
      </c>
      <c r="J3848" s="0" t="s">
        <v>39</v>
      </c>
      <c r="K3848" s="0" t="s">
        <v>48</v>
      </c>
      <c r="L3848" s="0" t="s">
        <v>49</v>
      </c>
      <c r="M3848" s="0" t="s">
        <v>140</v>
      </c>
      <c r="N3848" s="0" t="n">
        <v>813</v>
      </c>
      <c r="O3848" s="10" t="n">
        <v>0.247436287114397</v>
      </c>
      <c r="P3848" s="10" t="n">
        <v>0.430103979306296</v>
      </c>
      <c r="Q3848" s="0" t="str">
        <f aca="false">SUBSTITUTE(SUBSTITUTE($I3848,CHAR(61),""),CHAR(34),"")</f>
        <v>15-24</v>
      </c>
      <c r="R3848" s="0" t="str">
        <f aca="false">IF($D3848&lt;&gt;"","["&amp;$E3848&amp;"]"&amp;"|"&amp;$Q3848&amp;"|"&amp;$K3848&amp;"|"&amp;$G3848&amp;"|"&amp;IF($G3848="TX_CURR_SUBNAT.R","CY2022Q4",$M3848),"")</f>
        <v>[vA4NcHxfMBq]|15-24|Male|Incidence_SUBNAT.Rt.T_1|CY2023Q3</v>
      </c>
    </row>
    <row r="3849" customFormat="false" ht="15" hidden="false" customHeight="false" outlineLevel="0" collapsed="false">
      <c r="D3849" s="0" t="s">
        <v>120</v>
      </c>
      <c r="E3849" s="0" t="s">
        <v>121</v>
      </c>
      <c r="F3849" s="0" t="s">
        <v>122</v>
      </c>
      <c r="G3849" s="0" t="s">
        <v>152</v>
      </c>
      <c r="H3849" s="0" t="s">
        <v>152</v>
      </c>
      <c r="I3849" s="0" t="s">
        <v>41</v>
      </c>
      <c r="J3849" s="0" t="s">
        <v>42</v>
      </c>
      <c r="K3849" s="0" t="s">
        <v>48</v>
      </c>
      <c r="L3849" s="0" t="s">
        <v>49</v>
      </c>
      <c r="M3849" s="0" t="s">
        <v>140</v>
      </c>
      <c r="N3849" s="0" t="n">
        <v>1366</v>
      </c>
      <c r="O3849" s="10" t="n">
        <v>0.526427554432303</v>
      </c>
      <c r="P3849" s="10" t="n">
        <v>0.430103979306296</v>
      </c>
      <c r="Q3849" s="0" t="str">
        <f aca="false">SUBSTITUTE(SUBSTITUTE($I3849,CHAR(61),""),CHAR(34),"")</f>
        <v>25-34</v>
      </c>
      <c r="R3849" s="0" t="str">
        <f aca="false">IF($D3849&lt;&gt;"","["&amp;$E3849&amp;"]"&amp;"|"&amp;$Q3849&amp;"|"&amp;$K3849&amp;"|"&amp;$G3849&amp;"|"&amp;IF($G3849="TX_CURR_SUBNAT.R","CY2022Q4",$M3849),"")</f>
        <v>[vA4NcHxfMBq]|25-34|Male|Incidence_SUBNAT.Rt.T_1|CY2023Q3</v>
      </c>
    </row>
    <row r="3850" customFormat="false" ht="15" hidden="false" customHeight="false" outlineLevel="0" collapsed="false">
      <c r="D3850" s="0" t="s">
        <v>120</v>
      </c>
      <c r="E3850" s="0" t="s">
        <v>121</v>
      </c>
      <c r="F3850" s="0" t="s">
        <v>122</v>
      </c>
      <c r="G3850" s="0" t="s">
        <v>152</v>
      </c>
      <c r="H3850" s="0" t="s">
        <v>152</v>
      </c>
      <c r="I3850" s="0" t="s">
        <v>43</v>
      </c>
      <c r="J3850" s="0" t="s">
        <v>44</v>
      </c>
      <c r="K3850" s="0" t="s">
        <v>48</v>
      </c>
      <c r="L3850" s="0" t="s">
        <v>49</v>
      </c>
      <c r="M3850" s="0" t="s">
        <v>140</v>
      </c>
      <c r="N3850" s="0" t="n">
        <v>1751</v>
      </c>
      <c r="O3850" s="10" t="n">
        <v>0.459208940621465</v>
      </c>
      <c r="P3850" s="10" t="n">
        <v>0.430103979306296</v>
      </c>
      <c r="Q3850" s="0" t="str">
        <f aca="false">SUBSTITUTE(SUBSTITUTE($I3850,CHAR(61),""),CHAR(34),"")</f>
        <v>35-49</v>
      </c>
      <c r="R3850" s="0" t="str">
        <f aca="false">IF($D3850&lt;&gt;"","["&amp;$E3850&amp;"]"&amp;"|"&amp;$Q3850&amp;"|"&amp;$K3850&amp;"|"&amp;$G3850&amp;"|"&amp;IF($G3850="TX_CURR_SUBNAT.R","CY2022Q4",$M3850),"")</f>
        <v>[vA4NcHxfMBq]|35-49|Male|Incidence_SUBNAT.Rt.T_1|CY2023Q3</v>
      </c>
    </row>
    <row r="3851" customFormat="false" ht="15" hidden="false" customHeight="false" outlineLevel="0" collapsed="false">
      <c r="D3851" s="0" t="s">
        <v>120</v>
      </c>
      <c r="E3851" s="0" t="s">
        <v>121</v>
      </c>
      <c r="F3851" s="0" t="s">
        <v>122</v>
      </c>
      <c r="G3851" s="0" t="s">
        <v>152</v>
      </c>
      <c r="H3851" s="0" t="s">
        <v>152</v>
      </c>
      <c r="I3851" s="0" t="s">
        <v>45</v>
      </c>
      <c r="J3851" s="0" t="s">
        <v>46</v>
      </c>
      <c r="K3851" s="0" t="s">
        <v>48</v>
      </c>
      <c r="L3851" s="0" t="s">
        <v>49</v>
      </c>
      <c r="M3851" s="0" t="s">
        <v>140</v>
      </c>
      <c r="N3851" s="0" t="n">
        <v>1045</v>
      </c>
      <c r="O3851" s="10" t="n">
        <v>0.348261876497418</v>
      </c>
      <c r="P3851" s="10" t="n">
        <v>0.430103979306296</v>
      </c>
      <c r="Q3851" s="0" t="str">
        <f aca="false">SUBSTITUTE(SUBSTITUTE($I3851,CHAR(61),""),CHAR(34),"")</f>
        <v>50+</v>
      </c>
      <c r="R3851" s="0" t="str">
        <f aca="false">IF($D3851&lt;&gt;"","["&amp;$E3851&amp;"]"&amp;"|"&amp;$Q3851&amp;"|"&amp;$K3851&amp;"|"&amp;$G3851&amp;"|"&amp;IF($G3851="TX_CURR_SUBNAT.R","CY2022Q4",$M3851),"")</f>
        <v>[vA4NcHxfMBq]|50+|Male|Incidence_SUBNAT.Rt.T_1|CY2023Q3</v>
      </c>
    </row>
    <row r="3852" customFormat="false" ht="15" hidden="false" customHeight="false" outlineLevel="0" collapsed="false">
      <c r="D3852" s="0" t="s">
        <v>123</v>
      </c>
      <c r="E3852" s="0" t="s">
        <v>124</v>
      </c>
      <c r="F3852" s="0" t="s">
        <v>125</v>
      </c>
      <c r="G3852" s="0" t="s">
        <v>152</v>
      </c>
      <c r="H3852" s="0" t="s">
        <v>152</v>
      </c>
      <c r="I3852" s="0" t="s">
        <v>28</v>
      </c>
      <c r="J3852" s="0" t="s">
        <v>29</v>
      </c>
      <c r="K3852" s="0" t="s">
        <v>30</v>
      </c>
      <c r="L3852" s="0" t="s">
        <v>31</v>
      </c>
      <c r="M3852" s="0" t="s">
        <v>140</v>
      </c>
      <c r="N3852" s="0" t="n">
        <v>1548</v>
      </c>
      <c r="O3852" s="10" t="n">
        <v>0.527471859008074</v>
      </c>
      <c r="P3852" s="10" t="n">
        <v>0.419500603340566</v>
      </c>
      <c r="Q3852" s="0" t="str">
        <f aca="false">SUBSTITUTE(SUBSTITUTE($I3852,CHAR(61),""),CHAR(34),"")</f>
        <v>&lt;01</v>
      </c>
      <c r="R3852" s="0" t="str">
        <f aca="false">IF($D3852&lt;&gt;"","["&amp;$E3852&amp;"]"&amp;"|"&amp;$Q3852&amp;"|"&amp;$K3852&amp;"|"&amp;$G3852&amp;"|"&amp;IF($G3852="TX_CURR_SUBNAT.R","CY2022Q4",$M3852),"")</f>
        <v>[E7zpfyBt7Tw]|&lt;01|Female|Incidence_SUBNAT.Rt.T_1|CY2023Q3</v>
      </c>
    </row>
    <row r="3853" customFormat="false" ht="15" hidden="false" customHeight="false" outlineLevel="0" collapsed="false">
      <c r="D3853" s="0" t="s">
        <v>123</v>
      </c>
      <c r="E3853" s="0" t="s">
        <v>124</v>
      </c>
      <c r="F3853" s="0" t="s">
        <v>125</v>
      </c>
      <c r="G3853" s="0" t="s">
        <v>152</v>
      </c>
      <c r="H3853" s="0" t="s">
        <v>152</v>
      </c>
      <c r="I3853" s="0" t="s">
        <v>33</v>
      </c>
      <c r="J3853" s="0" t="s">
        <v>34</v>
      </c>
      <c r="K3853" s="0" t="s">
        <v>30</v>
      </c>
      <c r="L3853" s="0" t="s">
        <v>31</v>
      </c>
      <c r="M3853" s="0" t="s">
        <v>140</v>
      </c>
      <c r="N3853" s="0" t="n">
        <v>1243</v>
      </c>
      <c r="O3853" s="10" t="n">
        <v>0.0825943367090076</v>
      </c>
      <c r="P3853" s="10" t="n">
        <v>0.419500603340566</v>
      </c>
      <c r="Q3853" s="0" t="str">
        <f aca="false">SUBSTITUTE(SUBSTITUTE($I3853,CHAR(61),""),CHAR(34),"")</f>
        <v>01-09</v>
      </c>
      <c r="R3853" s="0" t="str">
        <f aca="false">IF($D3853&lt;&gt;"","["&amp;$E3853&amp;"]"&amp;"|"&amp;$Q3853&amp;"|"&amp;$K3853&amp;"|"&amp;$G3853&amp;"|"&amp;IF($G3853="TX_CURR_SUBNAT.R","CY2022Q4",$M3853),"")</f>
        <v>[E7zpfyBt7Tw]|01-09|Female|Incidence_SUBNAT.Rt.T_1|CY2023Q3</v>
      </c>
    </row>
    <row r="3854" customFormat="false" ht="15" hidden="false" customHeight="false" outlineLevel="0" collapsed="false">
      <c r="D3854" s="0" t="s">
        <v>123</v>
      </c>
      <c r="E3854" s="0" t="s">
        <v>124</v>
      </c>
      <c r="F3854" s="0" t="s">
        <v>125</v>
      </c>
      <c r="G3854" s="0" t="s">
        <v>152</v>
      </c>
      <c r="H3854" s="0" t="s">
        <v>152</v>
      </c>
      <c r="I3854" s="0" t="s">
        <v>36</v>
      </c>
      <c r="J3854" s="0" t="s">
        <v>37</v>
      </c>
      <c r="K3854" s="0" t="s">
        <v>30</v>
      </c>
      <c r="L3854" s="0" t="s">
        <v>31</v>
      </c>
      <c r="M3854" s="0" t="s">
        <v>140</v>
      </c>
      <c r="N3854" s="0" t="n">
        <v>1288</v>
      </c>
      <c r="O3854" s="10" t="n">
        <v>0.186342658940703</v>
      </c>
      <c r="P3854" s="10" t="n">
        <v>0.419500603340566</v>
      </c>
      <c r="Q3854" s="0" t="str">
        <f aca="false">SUBSTITUTE(SUBSTITUTE($I3854,CHAR(61),""),CHAR(34),"")</f>
        <v>10-14</v>
      </c>
      <c r="R3854" s="0" t="str">
        <f aca="false">IF($D3854&lt;&gt;"","["&amp;$E3854&amp;"]"&amp;"|"&amp;$Q3854&amp;"|"&amp;$K3854&amp;"|"&amp;$G3854&amp;"|"&amp;IF($G3854="TX_CURR_SUBNAT.R","CY2022Q4",$M3854),"")</f>
        <v>[E7zpfyBt7Tw]|10-14|Female|Incidence_SUBNAT.Rt.T_1|CY2023Q3</v>
      </c>
    </row>
    <row r="3855" customFormat="false" ht="15" hidden="false" customHeight="false" outlineLevel="0" collapsed="false">
      <c r="D3855" s="0" t="s">
        <v>123</v>
      </c>
      <c r="E3855" s="0" t="s">
        <v>124</v>
      </c>
      <c r="F3855" s="0" t="s">
        <v>125</v>
      </c>
      <c r="G3855" s="0" t="s">
        <v>152</v>
      </c>
      <c r="H3855" s="0" t="s">
        <v>152</v>
      </c>
      <c r="I3855" s="0" t="s">
        <v>38</v>
      </c>
      <c r="J3855" s="0" t="s">
        <v>39</v>
      </c>
      <c r="K3855" s="0" t="s">
        <v>30</v>
      </c>
      <c r="L3855" s="0" t="s">
        <v>31</v>
      </c>
      <c r="M3855" s="0" t="s">
        <v>140</v>
      </c>
      <c r="N3855" s="0" t="n">
        <v>528</v>
      </c>
      <c r="O3855" s="10" t="n">
        <v>0.844986842712387</v>
      </c>
      <c r="P3855" s="10" t="n">
        <v>0.419500603340566</v>
      </c>
      <c r="Q3855" s="0" t="str">
        <f aca="false">SUBSTITUTE(SUBSTITUTE($I3855,CHAR(61),""),CHAR(34),"")</f>
        <v>15-24</v>
      </c>
      <c r="R3855" s="0" t="str">
        <f aca="false">IF($D3855&lt;&gt;"","["&amp;$E3855&amp;"]"&amp;"|"&amp;$Q3855&amp;"|"&amp;$K3855&amp;"|"&amp;$G3855&amp;"|"&amp;IF($G3855="TX_CURR_SUBNAT.R","CY2022Q4",$M3855),"")</f>
        <v>[E7zpfyBt7Tw]|15-24|Female|Incidence_SUBNAT.Rt.T_1|CY2023Q3</v>
      </c>
    </row>
    <row r="3856" customFormat="false" ht="15" hidden="false" customHeight="false" outlineLevel="0" collapsed="false">
      <c r="D3856" s="0" t="s">
        <v>123</v>
      </c>
      <c r="E3856" s="0" t="s">
        <v>124</v>
      </c>
      <c r="F3856" s="0" t="s">
        <v>125</v>
      </c>
      <c r="G3856" s="0" t="s">
        <v>152</v>
      </c>
      <c r="H3856" s="0" t="s">
        <v>152</v>
      </c>
      <c r="I3856" s="0" t="s">
        <v>41</v>
      </c>
      <c r="J3856" s="0" t="s">
        <v>42</v>
      </c>
      <c r="K3856" s="0" t="s">
        <v>30</v>
      </c>
      <c r="L3856" s="0" t="s">
        <v>31</v>
      </c>
      <c r="M3856" s="0" t="s">
        <v>140</v>
      </c>
      <c r="N3856" s="0" t="n">
        <v>747</v>
      </c>
      <c r="O3856" s="10" t="n">
        <v>0.971474773483351</v>
      </c>
      <c r="P3856" s="10" t="n">
        <v>0.419500603340566</v>
      </c>
      <c r="Q3856" s="0" t="str">
        <f aca="false">SUBSTITUTE(SUBSTITUTE($I3856,CHAR(61),""),CHAR(34),"")</f>
        <v>25-34</v>
      </c>
      <c r="R3856" s="0" t="str">
        <f aca="false">IF($D3856&lt;&gt;"","["&amp;$E3856&amp;"]"&amp;"|"&amp;$Q3856&amp;"|"&amp;$K3856&amp;"|"&amp;$G3856&amp;"|"&amp;IF($G3856="TX_CURR_SUBNAT.R","CY2022Q4",$M3856),"")</f>
        <v>[E7zpfyBt7Tw]|25-34|Female|Incidence_SUBNAT.Rt.T_1|CY2023Q3</v>
      </c>
    </row>
    <row r="3857" customFormat="false" ht="15" hidden="false" customHeight="false" outlineLevel="0" collapsed="false">
      <c r="D3857" s="0" t="s">
        <v>123</v>
      </c>
      <c r="E3857" s="0" t="s">
        <v>124</v>
      </c>
      <c r="F3857" s="0" t="s">
        <v>125</v>
      </c>
      <c r="G3857" s="0" t="s">
        <v>152</v>
      </c>
      <c r="H3857" s="0" t="s">
        <v>152</v>
      </c>
      <c r="I3857" s="0" t="s">
        <v>43</v>
      </c>
      <c r="J3857" s="0" t="s">
        <v>44</v>
      </c>
      <c r="K3857" s="0" t="s">
        <v>30</v>
      </c>
      <c r="L3857" s="0" t="s">
        <v>31</v>
      </c>
      <c r="M3857" s="0" t="s">
        <v>140</v>
      </c>
      <c r="N3857" s="0" t="n">
        <v>868</v>
      </c>
      <c r="O3857" s="10" t="n">
        <v>0.362204279052094</v>
      </c>
      <c r="P3857" s="10" t="n">
        <v>0.419500603340566</v>
      </c>
      <c r="Q3857" s="0" t="str">
        <f aca="false">SUBSTITUTE(SUBSTITUTE($I3857,CHAR(61),""),CHAR(34),"")</f>
        <v>35-49</v>
      </c>
      <c r="R3857" s="0" t="str">
        <f aca="false">IF($D3857&lt;&gt;"","["&amp;$E3857&amp;"]"&amp;"|"&amp;$Q3857&amp;"|"&amp;$K3857&amp;"|"&amp;$G3857&amp;"|"&amp;IF($G3857="TX_CURR_SUBNAT.R","CY2022Q4",$M3857),"")</f>
        <v>[E7zpfyBt7Tw]|35-49|Female|Incidence_SUBNAT.Rt.T_1|CY2023Q3</v>
      </c>
    </row>
    <row r="3858" customFormat="false" ht="15" hidden="false" customHeight="false" outlineLevel="0" collapsed="false">
      <c r="D3858" s="0" t="s">
        <v>123</v>
      </c>
      <c r="E3858" s="0" t="s">
        <v>124</v>
      </c>
      <c r="F3858" s="0" t="s">
        <v>125</v>
      </c>
      <c r="G3858" s="0" t="s">
        <v>152</v>
      </c>
      <c r="H3858" s="0" t="s">
        <v>152</v>
      </c>
      <c r="I3858" s="0" t="s">
        <v>45</v>
      </c>
      <c r="J3858" s="0" t="s">
        <v>46</v>
      </c>
      <c r="K3858" s="0" t="s">
        <v>30</v>
      </c>
      <c r="L3858" s="0" t="s">
        <v>31</v>
      </c>
      <c r="M3858" s="0" t="s">
        <v>140</v>
      </c>
      <c r="N3858" s="0" t="n">
        <v>1392</v>
      </c>
      <c r="O3858" s="10" t="n">
        <v>0.520688452525064</v>
      </c>
      <c r="P3858" s="10" t="n">
        <v>0.419500603340566</v>
      </c>
      <c r="Q3858" s="0" t="str">
        <f aca="false">SUBSTITUTE(SUBSTITUTE($I3858,CHAR(61),""),CHAR(34),"")</f>
        <v>50+</v>
      </c>
      <c r="R3858" s="0" t="str">
        <f aca="false">IF($D3858&lt;&gt;"","["&amp;$E3858&amp;"]"&amp;"|"&amp;$Q3858&amp;"|"&amp;$K3858&amp;"|"&amp;$G3858&amp;"|"&amp;IF($G3858="TX_CURR_SUBNAT.R","CY2022Q4",$M3858),"")</f>
        <v>[E7zpfyBt7Tw]|50+|Female|Incidence_SUBNAT.Rt.T_1|CY2023Q3</v>
      </c>
    </row>
    <row r="3859" customFormat="false" ht="15" hidden="false" customHeight="false" outlineLevel="0" collapsed="false">
      <c r="D3859" s="0" t="s">
        <v>123</v>
      </c>
      <c r="E3859" s="0" t="s">
        <v>124</v>
      </c>
      <c r="F3859" s="0" t="s">
        <v>125</v>
      </c>
      <c r="G3859" s="0" t="s">
        <v>152</v>
      </c>
      <c r="H3859" s="0" t="s">
        <v>152</v>
      </c>
      <c r="I3859" s="0" t="s">
        <v>28</v>
      </c>
      <c r="J3859" s="0" t="s">
        <v>29</v>
      </c>
      <c r="K3859" s="0" t="s">
        <v>48</v>
      </c>
      <c r="L3859" s="0" t="s">
        <v>49</v>
      </c>
      <c r="M3859" s="0" t="s">
        <v>140</v>
      </c>
      <c r="N3859" s="0" t="n">
        <v>1941</v>
      </c>
      <c r="O3859" s="10" t="n">
        <v>0.993470695801079</v>
      </c>
      <c r="P3859" s="10" t="n">
        <v>0.419500603340566</v>
      </c>
      <c r="Q3859" s="0" t="str">
        <f aca="false">SUBSTITUTE(SUBSTITUTE($I3859,CHAR(61),""),CHAR(34),"")</f>
        <v>&lt;01</v>
      </c>
      <c r="R3859" s="0" t="str">
        <f aca="false">IF($D3859&lt;&gt;"","["&amp;$E3859&amp;"]"&amp;"|"&amp;$Q3859&amp;"|"&amp;$K3859&amp;"|"&amp;$G3859&amp;"|"&amp;IF($G3859="TX_CURR_SUBNAT.R","CY2022Q4",$M3859),"")</f>
        <v>[E7zpfyBt7Tw]|&lt;01|Male|Incidence_SUBNAT.Rt.T_1|CY2023Q3</v>
      </c>
    </row>
    <row r="3860" customFormat="false" ht="15" hidden="false" customHeight="false" outlineLevel="0" collapsed="false">
      <c r="D3860" s="0" t="s">
        <v>123</v>
      </c>
      <c r="E3860" s="0" t="s">
        <v>124</v>
      </c>
      <c r="F3860" s="0" t="s">
        <v>125</v>
      </c>
      <c r="G3860" s="0" t="s">
        <v>152</v>
      </c>
      <c r="H3860" s="0" t="s">
        <v>152</v>
      </c>
      <c r="I3860" s="0" t="s">
        <v>33</v>
      </c>
      <c r="J3860" s="0" t="s">
        <v>34</v>
      </c>
      <c r="K3860" s="0" t="s">
        <v>48</v>
      </c>
      <c r="L3860" s="0" t="s">
        <v>49</v>
      </c>
      <c r="M3860" s="0" t="s">
        <v>140</v>
      </c>
      <c r="N3860" s="0" t="n">
        <v>1462</v>
      </c>
      <c r="O3860" s="10" t="n">
        <v>0.411380996927619</v>
      </c>
      <c r="P3860" s="10" t="n">
        <v>0.419500603340566</v>
      </c>
      <c r="Q3860" s="0" t="str">
        <f aca="false">SUBSTITUTE(SUBSTITUTE($I3860,CHAR(61),""),CHAR(34),"")</f>
        <v>01-09</v>
      </c>
      <c r="R3860" s="0" t="str">
        <f aca="false">IF($D3860&lt;&gt;"","["&amp;$E3860&amp;"]"&amp;"|"&amp;$Q3860&amp;"|"&amp;$K3860&amp;"|"&amp;$G3860&amp;"|"&amp;IF($G3860="TX_CURR_SUBNAT.R","CY2022Q4",$M3860),"")</f>
        <v>[E7zpfyBt7Tw]|01-09|Male|Incidence_SUBNAT.Rt.T_1|CY2023Q3</v>
      </c>
    </row>
    <row r="3861" customFormat="false" ht="15" hidden="false" customHeight="false" outlineLevel="0" collapsed="false">
      <c r="D3861" s="0" t="s">
        <v>123</v>
      </c>
      <c r="E3861" s="0" t="s">
        <v>124</v>
      </c>
      <c r="F3861" s="0" t="s">
        <v>125</v>
      </c>
      <c r="G3861" s="0" t="s">
        <v>152</v>
      </c>
      <c r="H3861" s="0" t="s">
        <v>152</v>
      </c>
      <c r="I3861" s="0" t="s">
        <v>36</v>
      </c>
      <c r="J3861" s="0" t="s">
        <v>37</v>
      </c>
      <c r="K3861" s="0" t="s">
        <v>48</v>
      </c>
      <c r="L3861" s="0" t="s">
        <v>49</v>
      </c>
      <c r="M3861" s="0" t="s">
        <v>140</v>
      </c>
      <c r="N3861" s="0" t="n">
        <v>655</v>
      </c>
      <c r="O3861" s="10" t="n">
        <v>0.530328827910125</v>
      </c>
      <c r="P3861" s="10" t="n">
        <v>0.419500603340566</v>
      </c>
      <c r="Q3861" s="0" t="str">
        <f aca="false">SUBSTITUTE(SUBSTITUTE($I3861,CHAR(61),""),CHAR(34),"")</f>
        <v>10-14</v>
      </c>
      <c r="R3861" s="0" t="str">
        <f aca="false">IF($D3861&lt;&gt;"","["&amp;$E3861&amp;"]"&amp;"|"&amp;$Q3861&amp;"|"&amp;$K3861&amp;"|"&amp;$G3861&amp;"|"&amp;IF($G3861="TX_CURR_SUBNAT.R","CY2022Q4",$M3861),"")</f>
        <v>[E7zpfyBt7Tw]|10-14|Male|Incidence_SUBNAT.Rt.T_1|CY2023Q3</v>
      </c>
    </row>
    <row r="3862" customFormat="false" ht="15" hidden="false" customHeight="false" outlineLevel="0" collapsed="false">
      <c r="D3862" s="0" t="s">
        <v>123</v>
      </c>
      <c r="E3862" s="0" t="s">
        <v>124</v>
      </c>
      <c r="F3862" s="0" t="s">
        <v>125</v>
      </c>
      <c r="G3862" s="0" t="s">
        <v>152</v>
      </c>
      <c r="H3862" s="0" t="s">
        <v>152</v>
      </c>
      <c r="I3862" s="0" t="s">
        <v>38</v>
      </c>
      <c r="J3862" s="0" t="s">
        <v>39</v>
      </c>
      <c r="K3862" s="0" t="s">
        <v>48</v>
      </c>
      <c r="L3862" s="0" t="s">
        <v>49</v>
      </c>
      <c r="M3862" s="0" t="s">
        <v>140</v>
      </c>
      <c r="N3862" s="0" t="n">
        <v>1433</v>
      </c>
      <c r="O3862" s="10" t="n">
        <v>0.833277952624485</v>
      </c>
      <c r="P3862" s="10" t="n">
        <v>0.419500603340566</v>
      </c>
      <c r="Q3862" s="0" t="str">
        <f aca="false">SUBSTITUTE(SUBSTITUTE($I3862,CHAR(61),""),CHAR(34),"")</f>
        <v>15-24</v>
      </c>
      <c r="R3862" s="0" t="str">
        <f aca="false">IF($D3862&lt;&gt;"","["&amp;$E3862&amp;"]"&amp;"|"&amp;$Q3862&amp;"|"&amp;$K3862&amp;"|"&amp;$G3862&amp;"|"&amp;IF($G3862="TX_CURR_SUBNAT.R","CY2022Q4",$M3862),"")</f>
        <v>[E7zpfyBt7Tw]|15-24|Male|Incidence_SUBNAT.Rt.T_1|CY2023Q3</v>
      </c>
    </row>
    <row r="3863" customFormat="false" ht="15" hidden="false" customHeight="false" outlineLevel="0" collapsed="false">
      <c r="D3863" s="0" t="s">
        <v>123</v>
      </c>
      <c r="E3863" s="0" t="s">
        <v>124</v>
      </c>
      <c r="F3863" s="0" t="s">
        <v>125</v>
      </c>
      <c r="G3863" s="0" t="s">
        <v>152</v>
      </c>
      <c r="H3863" s="0" t="s">
        <v>152</v>
      </c>
      <c r="I3863" s="0" t="s">
        <v>41</v>
      </c>
      <c r="J3863" s="0" t="s">
        <v>42</v>
      </c>
      <c r="K3863" s="0" t="s">
        <v>48</v>
      </c>
      <c r="L3863" s="0" t="s">
        <v>49</v>
      </c>
      <c r="M3863" s="0" t="s">
        <v>140</v>
      </c>
      <c r="N3863" s="0" t="n">
        <v>1176</v>
      </c>
      <c r="O3863" s="10" t="n">
        <v>0.247661293717101</v>
      </c>
      <c r="P3863" s="10" t="n">
        <v>0.419500603340566</v>
      </c>
      <c r="Q3863" s="0" t="str">
        <f aca="false">SUBSTITUTE(SUBSTITUTE($I3863,CHAR(61),""),CHAR(34),"")</f>
        <v>25-34</v>
      </c>
      <c r="R3863" s="0" t="str">
        <f aca="false">IF($D3863&lt;&gt;"","["&amp;$E3863&amp;"]"&amp;"|"&amp;$Q3863&amp;"|"&amp;$K3863&amp;"|"&amp;$G3863&amp;"|"&amp;IF($G3863="TX_CURR_SUBNAT.R","CY2022Q4",$M3863),"")</f>
        <v>[E7zpfyBt7Tw]|25-34|Male|Incidence_SUBNAT.Rt.T_1|CY2023Q3</v>
      </c>
    </row>
    <row r="3864" customFormat="false" ht="15" hidden="false" customHeight="false" outlineLevel="0" collapsed="false">
      <c r="D3864" s="0" t="s">
        <v>123</v>
      </c>
      <c r="E3864" s="0" t="s">
        <v>124</v>
      </c>
      <c r="F3864" s="0" t="s">
        <v>125</v>
      </c>
      <c r="G3864" s="0" t="s">
        <v>152</v>
      </c>
      <c r="H3864" s="0" t="s">
        <v>152</v>
      </c>
      <c r="I3864" s="0" t="s">
        <v>43</v>
      </c>
      <c r="J3864" s="0" t="s">
        <v>44</v>
      </c>
      <c r="K3864" s="0" t="s">
        <v>48</v>
      </c>
      <c r="L3864" s="0" t="s">
        <v>49</v>
      </c>
      <c r="M3864" s="0" t="s">
        <v>140</v>
      </c>
      <c r="N3864" s="0" t="n">
        <v>628</v>
      </c>
      <c r="O3864" s="10" t="n">
        <v>0.704991213977337</v>
      </c>
      <c r="P3864" s="10" t="n">
        <v>0.419500603340566</v>
      </c>
      <c r="Q3864" s="0" t="str">
        <f aca="false">SUBSTITUTE(SUBSTITUTE($I3864,CHAR(61),""),CHAR(34),"")</f>
        <v>35-49</v>
      </c>
      <c r="R3864" s="0" t="str">
        <f aca="false">IF($D3864&lt;&gt;"","["&amp;$E3864&amp;"]"&amp;"|"&amp;$Q3864&amp;"|"&amp;$K3864&amp;"|"&amp;$G3864&amp;"|"&amp;IF($G3864="TX_CURR_SUBNAT.R","CY2022Q4",$M3864),"")</f>
        <v>[E7zpfyBt7Tw]|35-49|Male|Incidence_SUBNAT.Rt.T_1|CY2023Q3</v>
      </c>
    </row>
    <row r="3865" customFormat="false" ht="15" hidden="false" customHeight="false" outlineLevel="0" collapsed="false">
      <c r="D3865" s="0" t="s">
        <v>123</v>
      </c>
      <c r="E3865" s="0" t="s">
        <v>124</v>
      </c>
      <c r="F3865" s="0" t="s">
        <v>125</v>
      </c>
      <c r="G3865" s="0" t="s">
        <v>152</v>
      </c>
      <c r="H3865" s="0" t="s">
        <v>152</v>
      </c>
      <c r="I3865" s="0" t="s">
        <v>45</v>
      </c>
      <c r="J3865" s="0" t="s">
        <v>46</v>
      </c>
      <c r="K3865" s="0" t="s">
        <v>48</v>
      </c>
      <c r="L3865" s="0" t="s">
        <v>49</v>
      </c>
      <c r="M3865" s="0" t="s">
        <v>140</v>
      </c>
      <c r="N3865" s="0" t="n">
        <v>1344</v>
      </c>
      <c r="O3865" s="10" t="n">
        <v>0.940496352734044</v>
      </c>
      <c r="P3865" s="10" t="n">
        <v>0.419500603340566</v>
      </c>
      <c r="Q3865" s="0" t="str">
        <f aca="false">SUBSTITUTE(SUBSTITUTE($I3865,CHAR(61),""),CHAR(34),"")</f>
        <v>50+</v>
      </c>
      <c r="R3865" s="0" t="str">
        <f aca="false">IF($D3865&lt;&gt;"","["&amp;$E3865&amp;"]"&amp;"|"&amp;$Q3865&amp;"|"&amp;$K3865&amp;"|"&amp;$G3865&amp;"|"&amp;IF($G3865="TX_CURR_SUBNAT.R","CY2022Q4",$M3865),"")</f>
        <v>[E7zpfyBt7Tw]|50+|Male|Incidence_SUBNAT.Rt.T_1|CY2023Q3</v>
      </c>
    </row>
    <row r="3866" customFormat="false" ht="15" hidden="false" customHeight="false" outlineLevel="0" collapsed="false">
      <c r="D3866" s="0" t="s">
        <v>126</v>
      </c>
      <c r="E3866" s="0" t="s">
        <v>127</v>
      </c>
      <c r="F3866" s="0" t="s">
        <v>128</v>
      </c>
      <c r="G3866" s="0" t="s">
        <v>152</v>
      </c>
      <c r="H3866" s="0" t="s">
        <v>152</v>
      </c>
      <c r="I3866" s="0" t="s">
        <v>28</v>
      </c>
      <c r="J3866" s="0" t="s">
        <v>29</v>
      </c>
      <c r="K3866" s="0" t="s">
        <v>30</v>
      </c>
      <c r="L3866" s="0" t="s">
        <v>31</v>
      </c>
      <c r="M3866" s="0" t="s">
        <v>140</v>
      </c>
      <c r="N3866" s="0" t="n">
        <v>789</v>
      </c>
      <c r="O3866" s="10" t="n">
        <v>0.941841643536463</v>
      </c>
      <c r="P3866" s="10" t="n">
        <v>0.252706390339881</v>
      </c>
      <c r="Q3866" s="0" t="str">
        <f aca="false">SUBSTITUTE(SUBSTITUTE($I3866,CHAR(61),""),CHAR(34),"")</f>
        <v>&lt;01</v>
      </c>
      <c r="R3866" s="0" t="str">
        <f aca="false">IF($D3866&lt;&gt;"","["&amp;$E3866&amp;"]"&amp;"|"&amp;$Q3866&amp;"|"&amp;$K3866&amp;"|"&amp;$G3866&amp;"|"&amp;IF($G3866="TX_CURR_SUBNAT.R","CY2022Q4",$M3866),"")</f>
        <v>[ZCjuwgaMB9u]|&lt;01|Female|Incidence_SUBNAT.Rt.T_1|CY2023Q3</v>
      </c>
    </row>
    <row r="3867" customFormat="false" ht="15" hidden="false" customHeight="false" outlineLevel="0" collapsed="false">
      <c r="D3867" s="0" t="s">
        <v>126</v>
      </c>
      <c r="E3867" s="0" t="s">
        <v>127</v>
      </c>
      <c r="F3867" s="0" t="s">
        <v>128</v>
      </c>
      <c r="G3867" s="0" t="s">
        <v>152</v>
      </c>
      <c r="H3867" s="0" t="s">
        <v>152</v>
      </c>
      <c r="I3867" s="0" t="s">
        <v>33</v>
      </c>
      <c r="J3867" s="0" t="s">
        <v>34</v>
      </c>
      <c r="K3867" s="0" t="s">
        <v>30</v>
      </c>
      <c r="L3867" s="0" t="s">
        <v>31</v>
      </c>
      <c r="M3867" s="0" t="s">
        <v>140</v>
      </c>
      <c r="N3867" s="0" t="n">
        <v>1266</v>
      </c>
      <c r="O3867" s="10" t="n">
        <v>0.0915030869655311</v>
      </c>
      <c r="P3867" s="10" t="n">
        <v>0.252706390339881</v>
      </c>
      <c r="Q3867" s="0" t="str">
        <f aca="false">SUBSTITUTE(SUBSTITUTE($I3867,CHAR(61),""),CHAR(34),"")</f>
        <v>01-09</v>
      </c>
      <c r="R3867" s="0" t="str">
        <f aca="false">IF($D3867&lt;&gt;"","["&amp;$E3867&amp;"]"&amp;"|"&amp;$Q3867&amp;"|"&amp;$K3867&amp;"|"&amp;$G3867&amp;"|"&amp;IF($G3867="TX_CURR_SUBNAT.R","CY2022Q4",$M3867),"")</f>
        <v>[ZCjuwgaMB9u]|01-09|Female|Incidence_SUBNAT.Rt.T_1|CY2023Q3</v>
      </c>
    </row>
    <row r="3868" customFormat="false" ht="15" hidden="false" customHeight="false" outlineLevel="0" collapsed="false">
      <c r="D3868" s="0" t="s">
        <v>126</v>
      </c>
      <c r="E3868" s="0" t="s">
        <v>127</v>
      </c>
      <c r="F3868" s="0" t="s">
        <v>128</v>
      </c>
      <c r="G3868" s="0" t="s">
        <v>152</v>
      </c>
      <c r="H3868" s="0" t="s">
        <v>152</v>
      </c>
      <c r="I3868" s="0" t="s">
        <v>36</v>
      </c>
      <c r="J3868" s="0" t="s">
        <v>37</v>
      </c>
      <c r="K3868" s="0" t="s">
        <v>30</v>
      </c>
      <c r="L3868" s="0" t="s">
        <v>31</v>
      </c>
      <c r="M3868" s="0" t="s">
        <v>140</v>
      </c>
      <c r="N3868" s="0" t="n">
        <v>1538</v>
      </c>
      <c r="O3868" s="10" t="n">
        <v>0.39108437881805</v>
      </c>
      <c r="P3868" s="10" t="n">
        <v>0.252706390339881</v>
      </c>
      <c r="Q3868" s="0" t="str">
        <f aca="false">SUBSTITUTE(SUBSTITUTE($I3868,CHAR(61),""),CHAR(34),"")</f>
        <v>10-14</v>
      </c>
      <c r="R3868" s="0" t="str">
        <f aca="false">IF($D3868&lt;&gt;"","["&amp;$E3868&amp;"]"&amp;"|"&amp;$Q3868&amp;"|"&amp;$K3868&amp;"|"&amp;$G3868&amp;"|"&amp;IF($G3868="TX_CURR_SUBNAT.R","CY2022Q4",$M3868),"")</f>
        <v>[ZCjuwgaMB9u]|10-14|Female|Incidence_SUBNAT.Rt.T_1|CY2023Q3</v>
      </c>
    </row>
    <row r="3869" customFormat="false" ht="15" hidden="false" customHeight="false" outlineLevel="0" collapsed="false">
      <c r="D3869" s="0" t="s">
        <v>126</v>
      </c>
      <c r="E3869" s="0" t="s">
        <v>127</v>
      </c>
      <c r="F3869" s="0" t="s">
        <v>128</v>
      </c>
      <c r="G3869" s="0" t="s">
        <v>152</v>
      </c>
      <c r="H3869" s="0" t="s">
        <v>152</v>
      </c>
      <c r="I3869" s="0" t="s">
        <v>38</v>
      </c>
      <c r="J3869" s="0" t="s">
        <v>39</v>
      </c>
      <c r="K3869" s="0" t="s">
        <v>30</v>
      </c>
      <c r="L3869" s="0" t="s">
        <v>31</v>
      </c>
      <c r="M3869" s="0" t="s">
        <v>140</v>
      </c>
      <c r="N3869" s="0" t="n">
        <v>866</v>
      </c>
      <c r="O3869" s="10" t="n">
        <v>0.349236694397405</v>
      </c>
      <c r="P3869" s="10" t="n">
        <v>0.252706390339881</v>
      </c>
      <c r="Q3869" s="0" t="str">
        <f aca="false">SUBSTITUTE(SUBSTITUTE($I3869,CHAR(61),""),CHAR(34),"")</f>
        <v>15-24</v>
      </c>
      <c r="R3869" s="0" t="str">
        <f aca="false">IF($D3869&lt;&gt;"","["&amp;$E3869&amp;"]"&amp;"|"&amp;$Q3869&amp;"|"&amp;$K3869&amp;"|"&amp;$G3869&amp;"|"&amp;IF($G3869="TX_CURR_SUBNAT.R","CY2022Q4",$M3869),"")</f>
        <v>[ZCjuwgaMB9u]|15-24|Female|Incidence_SUBNAT.Rt.T_1|CY2023Q3</v>
      </c>
    </row>
    <row r="3870" customFormat="false" ht="15" hidden="false" customHeight="false" outlineLevel="0" collapsed="false">
      <c r="D3870" s="0" t="s">
        <v>126</v>
      </c>
      <c r="E3870" s="0" t="s">
        <v>127</v>
      </c>
      <c r="F3870" s="0" t="s">
        <v>128</v>
      </c>
      <c r="G3870" s="0" t="s">
        <v>152</v>
      </c>
      <c r="H3870" s="0" t="s">
        <v>152</v>
      </c>
      <c r="I3870" s="0" t="s">
        <v>41</v>
      </c>
      <c r="J3870" s="0" t="s">
        <v>42</v>
      </c>
      <c r="K3870" s="0" t="s">
        <v>30</v>
      </c>
      <c r="L3870" s="0" t="s">
        <v>31</v>
      </c>
      <c r="M3870" s="0" t="s">
        <v>140</v>
      </c>
      <c r="N3870" s="0" t="n">
        <v>519</v>
      </c>
      <c r="O3870" s="10" t="n">
        <v>0.963535479269922</v>
      </c>
      <c r="P3870" s="10" t="n">
        <v>0.252706390339881</v>
      </c>
      <c r="Q3870" s="0" t="str">
        <f aca="false">SUBSTITUTE(SUBSTITUTE($I3870,CHAR(61),""),CHAR(34),"")</f>
        <v>25-34</v>
      </c>
      <c r="R3870" s="0" t="str">
        <f aca="false">IF($D3870&lt;&gt;"","["&amp;$E3870&amp;"]"&amp;"|"&amp;$Q3870&amp;"|"&amp;$K3870&amp;"|"&amp;$G3870&amp;"|"&amp;IF($G3870="TX_CURR_SUBNAT.R","CY2022Q4",$M3870),"")</f>
        <v>[ZCjuwgaMB9u]|25-34|Female|Incidence_SUBNAT.Rt.T_1|CY2023Q3</v>
      </c>
    </row>
    <row r="3871" customFormat="false" ht="15" hidden="false" customHeight="false" outlineLevel="0" collapsed="false">
      <c r="D3871" s="0" t="s">
        <v>126</v>
      </c>
      <c r="E3871" s="0" t="s">
        <v>127</v>
      </c>
      <c r="F3871" s="0" t="s">
        <v>128</v>
      </c>
      <c r="G3871" s="0" t="s">
        <v>152</v>
      </c>
      <c r="H3871" s="0" t="s">
        <v>152</v>
      </c>
      <c r="I3871" s="0" t="s">
        <v>43</v>
      </c>
      <c r="J3871" s="0" t="s">
        <v>44</v>
      </c>
      <c r="K3871" s="0" t="s">
        <v>30</v>
      </c>
      <c r="L3871" s="0" t="s">
        <v>31</v>
      </c>
      <c r="M3871" s="0" t="s">
        <v>140</v>
      </c>
      <c r="N3871" s="0" t="n">
        <v>505</v>
      </c>
      <c r="O3871" s="10" t="n">
        <v>0.98286837595515</v>
      </c>
      <c r="P3871" s="10" t="n">
        <v>0.252706390339881</v>
      </c>
      <c r="Q3871" s="0" t="str">
        <f aca="false">SUBSTITUTE(SUBSTITUTE($I3871,CHAR(61),""),CHAR(34),"")</f>
        <v>35-49</v>
      </c>
      <c r="R3871" s="0" t="str">
        <f aca="false">IF($D3871&lt;&gt;"","["&amp;$E3871&amp;"]"&amp;"|"&amp;$Q3871&amp;"|"&amp;$K3871&amp;"|"&amp;$G3871&amp;"|"&amp;IF($G3871="TX_CURR_SUBNAT.R","CY2022Q4",$M3871),"")</f>
        <v>[ZCjuwgaMB9u]|35-49|Female|Incidence_SUBNAT.Rt.T_1|CY2023Q3</v>
      </c>
    </row>
    <row r="3872" customFormat="false" ht="15" hidden="false" customHeight="false" outlineLevel="0" collapsed="false">
      <c r="D3872" s="0" t="s">
        <v>126</v>
      </c>
      <c r="E3872" s="0" t="s">
        <v>127</v>
      </c>
      <c r="F3872" s="0" t="s">
        <v>128</v>
      </c>
      <c r="G3872" s="0" t="s">
        <v>152</v>
      </c>
      <c r="H3872" s="0" t="s">
        <v>152</v>
      </c>
      <c r="I3872" s="0" t="s">
        <v>45</v>
      </c>
      <c r="J3872" s="0" t="s">
        <v>46</v>
      </c>
      <c r="K3872" s="0" t="s">
        <v>30</v>
      </c>
      <c r="L3872" s="0" t="s">
        <v>31</v>
      </c>
      <c r="M3872" s="0" t="s">
        <v>140</v>
      </c>
      <c r="N3872" s="0" t="n">
        <v>822</v>
      </c>
      <c r="O3872" s="10" t="n">
        <v>0.870164825115353</v>
      </c>
      <c r="P3872" s="10" t="n">
        <v>0.252706390339881</v>
      </c>
      <c r="Q3872" s="0" t="str">
        <f aca="false">SUBSTITUTE(SUBSTITUTE($I3872,CHAR(61),""),CHAR(34),"")</f>
        <v>50+</v>
      </c>
      <c r="R3872" s="0" t="str">
        <f aca="false">IF($D3872&lt;&gt;"","["&amp;$E3872&amp;"]"&amp;"|"&amp;$Q3872&amp;"|"&amp;$K3872&amp;"|"&amp;$G3872&amp;"|"&amp;IF($G3872="TX_CURR_SUBNAT.R","CY2022Q4",$M3872),"")</f>
        <v>[ZCjuwgaMB9u]|50+|Female|Incidence_SUBNAT.Rt.T_1|CY2023Q3</v>
      </c>
    </row>
    <row r="3873" customFormat="false" ht="15" hidden="false" customHeight="false" outlineLevel="0" collapsed="false">
      <c r="D3873" s="0" t="s">
        <v>126</v>
      </c>
      <c r="E3873" s="0" t="s">
        <v>127</v>
      </c>
      <c r="F3873" s="0" t="s">
        <v>128</v>
      </c>
      <c r="G3873" s="0" t="s">
        <v>152</v>
      </c>
      <c r="H3873" s="0" t="s">
        <v>152</v>
      </c>
      <c r="I3873" s="0" t="s">
        <v>28</v>
      </c>
      <c r="J3873" s="0" t="s">
        <v>29</v>
      </c>
      <c r="K3873" s="0" t="s">
        <v>48</v>
      </c>
      <c r="L3873" s="0" t="s">
        <v>49</v>
      </c>
      <c r="M3873" s="0" t="s">
        <v>140</v>
      </c>
      <c r="N3873" s="0" t="n">
        <v>721</v>
      </c>
      <c r="O3873" s="10" t="n">
        <v>0.735190873034298</v>
      </c>
      <c r="P3873" s="10" t="n">
        <v>0.252706390339881</v>
      </c>
      <c r="Q3873" s="0" t="str">
        <f aca="false">SUBSTITUTE(SUBSTITUTE($I3873,CHAR(61),""),CHAR(34),"")</f>
        <v>&lt;01</v>
      </c>
      <c r="R3873" s="0" t="str">
        <f aca="false">IF($D3873&lt;&gt;"","["&amp;$E3873&amp;"]"&amp;"|"&amp;$Q3873&amp;"|"&amp;$K3873&amp;"|"&amp;$G3873&amp;"|"&amp;IF($G3873="TX_CURR_SUBNAT.R","CY2022Q4",$M3873),"")</f>
        <v>[ZCjuwgaMB9u]|&lt;01|Male|Incidence_SUBNAT.Rt.T_1|CY2023Q3</v>
      </c>
    </row>
    <row r="3874" customFormat="false" ht="15" hidden="false" customHeight="false" outlineLevel="0" collapsed="false">
      <c r="D3874" s="0" t="s">
        <v>126</v>
      </c>
      <c r="E3874" s="0" t="s">
        <v>127</v>
      </c>
      <c r="F3874" s="0" t="s">
        <v>128</v>
      </c>
      <c r="G3874" s="0" t="s">
        <v>152</v>
      </c>
      <c r="H3874" s="0" t="s">
        <v>152</v>
      </c>
      <c r="I3874" s="0" t="s">
        <v>33</v>
      </c>
      <c r="J3874" s="0" t="s">
        <v>34</v>
      </c>
      <c r="K3874" s="0" t="s">
        <v>48</v>
      </c>
      <c r="L3874" s="0" t="s">
        <v>49</v>
      </c>
      <c r="M3874" s="0" t="s">
        <v>140</v>
      </c>
      <c r="N3874" s="0" t="n">
        <v>531</v>
      </c>
      <c r="O3874" s="10" t="n">
        <v>0.772208709269762</v>
      </c>
      <c r="P3874" s="10" t="n">
        <v>0.252706390339881</v>
      </c>
      <c r="Q3874" s="0" t="str">
        <f aca="false">SUBSTITUTE(SUBSTITUTE($I3874,CHAR(61),""),CHAR(34),"")</f>
        <v>01-09</v>
      </c>
      <c r="R3874" s="0" t="str">
        <f aca="false">IF($D3874&lt;&gt;"","["&amp;$E3874&amp;"]"&amp;"|"&amp;$Q3874&amp;"|"&amp;$K3874&amp;"|"&amp;$G3874&amp;"|"&amp;IF($G3874="TX_CURR_SUBNAT.R","CY2022Q4",$M3874),"")</f>
        <v>[ZCjuwgaMB9u]|01-09|Male|Incidence_SUBNAT.Rt.T_1|CY2023Q3</v>
      </c>
    </row>
    <row r="3875" customFormat="false" ht="15" hidden="false" customHeight="false" outlineLevel="0" collapsed="false">
      <c r="D3875" s="0" t="s">
        <v>126</v>
      </c>
      <c r="E3875" s="0" t="s">
        <v>127</v>
      </c>
      <c r="F3875" s="0" t="s">
        <v>128</v>
      </c>
      <c r="G3875" s="0" t="s">
        <v>152</v>
      </c>
      <c r="H3875" s="0" t="s">
        <v>152</v>
      </c>
      <c r="I3875" s="0" t="s">
        <v>36</v>
      </c>
      <c r="J3875" s="0" t="s">
        <v>37</v>
      </c>
      <c r="K3875" s="0" t="s">
        <v>48</v>
      </c>
      <c r="L3875" s="0" t="s">
        <v>49</v>
      </c>
      <c r="M3875" s="0" t="s">
        <v>140</v>
      </c>
      <c r="N3875" s="0" t="n">
        <v>1266</v>
      </c>
      <c r="O3875" s="10" t="n">
        <v>0.371075006434694</v>
      </c>
      <c r="P3875" s="10" t="n">
        <v>0.252706390339881</v>
      </c>
      <c r="Q3875" s="0" t="str">
        <f aca="false">SUBSTITUTE(SUBSTITUTE($I3875,CHAR(61),""),CHAR(34),"")</f>
        <v>10-14</v>
      </c>
      <c r="R3875" s="0" t="str">
        <f aca="false">IF($D3875&lt;&gt;"","["&amp;$E3875&amp;"]"&amp;"|"&amp;$Q3875&amp;"|"&amp;$K3875&amp;"|"&amp;$G3875&amp;"|"&amp;IF($G3875="TX_CURR_SUBNAT.R","CY2022Q4",$M3875),"")</f>
        <v>[ZCjuwgaMB9u]|10-14|Male|Incidence_SUBNAT.Rt.T_1|CY2023Q3</v>
      </c>
    </row>
    <row r="3876" customFormat="false" ht="15" hidden="false" customHeight="false" outlineLevel="0" collapsed="false">
      <c r="D3876" s="0" t="s">
        <v>126</v>
      </c>
      <c r="E3876" s="0" t="s">
        <v>127</v>
      </c>
      <c r="F3876" s="0" t="s">
        <v>128</v>
      </c>
      <c r="G3876" s="0" t="s">
        <v>152</v>
      </c>
      <c r="H3876" s="0" t="s">
        <v>152</v>
      </c>
      <c r="I3876" s="0" t="s">
        <v>38</v>
      </c>
      <c r="J3876" s="0" t="s">
        <v>39</v>
      </c>
      <c r="K3876" s="0" t="s">
        <v>48</v>
      </c>
      <c r="L3876" s="0" t="s">
        <v>49</v>
      </c>
      <c r="M3876" s="0" t="s">
        <v>140</v>
      </c>
      <c r="N3876" s="0" t="n">
        <v>1631</v>
      </c>
      <c r="O3876" s="10" t="n">
        <v>0.354559290222824</v>
      </c>
      <c r="P3876" s="10" t="n">
        <v>0.252706390339881</v>
      </c>
      <c r="Q3876" s="0" t="str">
        <f aca="false">SUBSTITUTE(SUBSTITUTE($I3876,CHAR(61),""),CHAR(34),"")</f>
        <v>15-24</v>
      </c>
      <c r="R3876" s="0" t="str">
        <f aca="false">IF($D3876&lt;&gt;"","["&amp;$E3876&amp;"]"&amp;"|"&amp;$Q3876&amp;"|"&amp;$K3876&amp;"|"&amp;$G3876&amp;"|"&amp;IF($G3876="TX_CURR_SUBNAT.R","CY2022Q4",$M3876),"")</f>
        <v>[ZCjuwgaMB9u]|15-24|Male|Incidence_SUBNAT.Rt.T_1|CY2023Q3</v>
      </c>
    </row>
    <row r="3877" customFormat="false" ht="15" hidden="false" customHeight="false" outlineLevel="0" collapsed="false">
      <c r="D3877" s="0" t="s">
        <v>126</v>
      </c>
      <c r="E3877" s="0" t="s">
        <v>127</v>
      </c>
      <c r="F3877" s="0" t="s">
        <v>128</v>
      </c>
      <c r="G3877" s="0" t="s">
        <v>152</v>
      </c>
      <c r="H3877" s="0" t="s">
        <v>152</v>
      </c>
      <c r="I3877" s="0" t="s">
        <v>41</v>
      </c>
      <c r="J3877" s="0" t="s">
        <v>42</v>
      </c>
      <c r="K3877" s="0" t="s">
        <v>48</v>
      </c>
      <c r="L3877" s="0" t="s">
        <v>49</v>
      </c>
      <c r="M3877" s="0" t="s">
        <v>140</v>
      </c>
      <c r="N3877" s="0" t="n">
        <v>827</v>
      </c>
      <c r="O3877" s="10" t="n">
        <v>0.40284303156659</v>
      </c>
      <c r="P3877" s="10" t="n">
        <v>0.252706390339881</v>
      </c>
      <c r="Q3877" s="0" t="str">
        <f aca="false">SUBSTITUTE(SUBSTITUTE($I3877,CHAR(61),""),CHAR(34),"")</f>
        <v>25-34</v>
      </c>
      <c r="R3877" s="0" t="str">
        <f aca="false">IF($D3877&lt;&gt;"","["&amp;$E3877&amp;"]"&amp;"|"&amp;$Q3877&amp;"|"&amp;$K3877&amp;"|"&amp;$G3877&amp;"|"&amp;IF($G3877="TX_CURR_SUBNAT.R","CY2022Q4",$M3877),"")</f>
        <v>[ZCjuwgaMB9u]|25-34|Male|Incidence_SUBNAT.Rt.T_1|CY2023Q3</v>
      </c>
    </row>
    <row r="3878" customFormat="false" ht="15" hidden="false" customHeight="false" outlineLevel="0" collapsed="false">
      <c r="D3878" s="0" t="s">
        <v>126</v>
      </c>
      <c r="E3878" s="0" t="s">
        <v>127</v>
      </c>
      <c r="F3878" s="0" t="s">
        <v>128</v>
      </c>
      <c r="G3878" s="0" t="s">
        <v>152</v>
      </c>
      <c r="H3878" s="0" t="s">
        <v>152</v>
      </c>
      <c r="I3878" s="0" t="s">
        <v>43</v>
      </c>
      <c r="J3878" s="0" t="s">
        <v>44</v>
      </c>
      <c r="K3878" s="0" t="s">
        <v>48</v>
      </c>
      <c r="L3878" s="0" t="s">
        <v>49</v>
      </c>
      <c r="M3878" s="0" t="s">
        <v>140</v>
      </c>
      <c r="N3878" s="0" t="n">
        <v>1961</v>
      </c>
      <c r="O3878" s="10" t="n">
        <v>0.338425634196028</v>
      </c>
      <c r="P3878" s="10" t="n">
        <v>0.252706390339881</v>
      </c>
      <c r="Q3878" s="0" t="str">
        <f aca="false">SUBSTITUTE(SUBSTITUTE($I3878,CHAR(61),""),CHAR(34),"")</f>
        <v>35-49</v>
      </c>
      <c r="R3878" s="0" t="str">
        <f aca="false">IF($D3878&lt;&gt;"","["&amp;$E3878&amp;"]"&amp;"|"&amp;$Q3878&amp;"|"&amp;$K3878&amp;"|"&amp;$G3878&amp;"|"&amp;IF($G3878="TX_CURR_SUBNAT.R","CY2022Q4",$M3878),"")</f>
        <v>[ZCjuwgaMB9u]|35-49|Male|Incidence_SUBNAT.Rt.T_1|CY2023Q3</v>
      </c>
    </row>
    <row r="3879" customFormat="false" ht="15" hidden="false" customHeight="false" outlineLevel="0" collapsed="false">
      <c r="D3879" s="0" t="s">
        <v>126</v>
      </c>
      <c r="E3879" s="0" t="s">
        <v>127</v>
      </c>
      <c r="F3879" s="0" t="s">
        <v>128</v>
      </c>
      <c r="G3879" s="0" t="s">
        <v>152</v>
      </c>
      <c r="H3879" s="0" t="s">
        <v>152</v>
      </c>
      <c r="I3879" s="0" t="s">
        <v>45</v>
      </c>
      <c r="J3879" s="0" t="s">
        <v>46</v>
      </c>
      <c r="K3879" s="0" t="s">
        <v>48</v>
      </c>
      <c r="L3879" s="0" t="s">
        <v>49</v>
      </c>
      <c r="M3879" s="0" t="s">
        <v>140</v>
      </c>
      <c r="N3879" s="0" t="n">
        <v>1116</v>
      </c>
      <c r="O3879" s="10" t="n">
        <v>0.64370806585066</v>
      </c>
      <c r="P3879" s="10" t="n">
        <v>0.252706390339881</v>
      </c>
      <c r="Q3879" s="0" t="str">
        <f aca="false">SUBSTITUTE(SUBSTITUTE($I3879,CHAR(61),""),CHAR(34),"")</f>
        <v>50+</v>
      </c>
      <c r="R3879" s="0" t="str">
        <f aca="false">IF($D3879&lt;&gt;"","["&amp;$E3879&amp;"]"&amp;"|"&amp;$Q3879&amp;"|"&amp;$K3879&amp;"|"&amp;$G3879&amp;"|"&amp;IF($G3879="TX_CURR_SUBNAT.R","CY2022Q4",$M3879),"")</f>
        <v>[ZCjuwgaMB9u]|50+|Male|Incidence_SUBNAT.Rt.T_1|CY2023Q3</v>
      </c>
    </row>
    <row r="3880" customFormat="false" ht="15" hidden="false" customHeight="false" outlineLevel="0" collapsed="false">
      <c r="D3880" s="0" t="s">
        <v>129</v>
      </c>
      <c r="E3880" s="0" t="s">
        <v>130</v>
      </c>
      <c r="F3880" s="0" t="s">
        <v>131</v>
      </c>
      <c r="G3880" s="0" t="s">
        <v>152</v>
      </c>
      <c r="H3880" s="0" t="s">
        <v>152</v>
      </c>
      <c r="I3880" s="0" t="s">
        <v>28</v>
      </c>
      <c r="J3880" s="0" t="s">
        <v>29</v>
      </c>
      <c r="K3880" s="0" t="s">
        <v>30</v>
      </c>
      <c r="L3880" s="0" t="s">
        <v>31</v>
      </c>
      <c r="M3880" s="0" t="s">
        <v>140</v>
      </c>
      <c r="N3880" s="0" t="n">
        <v>1562</v>
      </c>
      <c r="O3880" s="10" t="n">
        <v>0.848170245066285</v>
      </c>
      <c r="P3880" s="10" t="n">
        <v>0.556908084778115</v>
      </c>
      <c r="Q3880" s="0" t="str">
        <f aca="false">SUBSTITUTE(SUBSTITUTE($I3880,CHAR(61),""),CHAR(34),"")</f>
        <v>&lt;01</v>
      </c>
      <c r="R3880" s="0" t="str">
        <f aca="false">IF($D3880&lt;&gt;"","["&amp;$E3880&amp;"]"&amp;"|"&amp;$Q3880&amp;"|"&amp;$K3880&amp;"|"&amp;$G3880&amp;"|"&amp;IF($G3880="TX_CURR_SUBNAT.R","CY2022Q4",$M3880),"")</f>
        <v>[YCKiBAp8QAg]|&lt;01|Female|Incidence_SUBNAT.Rt.T_1|CY2023Q3</v>
      </c>
    </row>
    <row r="3881" customFormat="false" ht="15" hidden="false" customHeight="false" outlineLevel="0" collapsed="false">
      <c r="D3881" s="0" t="s">
        <v>129</v>
      </c>
      <c r="E3881" s="0" t="s">
        <v>130</v>
      </c>
      <c r="F3881" s="0" t="s">
        <v>131</v>
      </c>
      <c r="G3881" s="0" t="s">
        <v>152</v>
      </c>
      <c r="H3881" s="0" t="s">
        <v>152</v>
      </c>
      <c r="I3881" s="0" t="s">
        <v>33</v>
      </c>
      <c r="J3881" s="0" t="s">
        <v>34</v>
      </c>
      <c r="K3881" s="0" t="s">
        <v>30</v>
      </c>
      <c r="L3881" s="0" t="s">
        <v>31</v>
      </c>
      <c r="M3881" s="0" t="s">
        <v>140</v>
      </c>
      <c r="N3881" s="0" t="n">
        <v>1199</v>
      </c>
      <c r="O3881" s="10" t="n">
        <v>0.0720419157296419</v>
      </c>
      <c r="P3881" s="10" t="n">
        <v>0.556908084778115</v>
      </c>
      <c r="Q3881" s="0" t="str">
        <f aca="false">SUBSTITUTE(SUBSTITUTE($I3881,CHAR(61),""),CHAR(34),"")</f>
        <v>01-09</v>
      </c>
      <c r="R3881" s="0" t="str">
        <f aca="false">IF($D3881&lt;&gt;"","["&amp;$E3881&amp;"]"&amp;"|"&amp;$Q3881&amp;"|"&amp;$K3881&amp;"|"&amp;$G3881&amp;"|"&amp;IF($G3881="TX_CURR_SUBNAT.R","CY2022Q4",$M3881),"")</f>
        <v>[YCKiBAp8QAg]|01-09|Female|Incidence_SUBNAT.Rt.T_1|CY2023Q3</v>
      </c>
    </row>
    <row r="3882" customFormat="false" ht="15" hidden="false" customHeight="false" outlineLevel="0" collapsed="false">
      <c r="D3882" s="0" t="s">
        <v>129</v>
      </c>
      <c r="E3882" s="0" t="s">
        <v>130</v>
      </c>
      <c r="F3882" s="0" t="s">
        <v>131</v>
      </c>
      <c r="G3882" s="0" t="s">
        <v>152</v>
      </c>
      <c r="H3882" s="0" t="s">
        <v>152</v>
      </c>
      <c r="I3882" s="0" t="s">
        <v>36</v>
      </c>
      <c r="J3882" s="0" t="s">
        <v>37</v>
      </c>
      <c r="K3882" s="0" t="s">
        <v>30</v>
      </c>
      <c r="L3882" s="0" t="s">
        <v>31</v>
      </c>
      <c r="M3882" s="0" t="s">
        <v>140</v>
      </c>
      <c r="N3882" s="0" t="n">
        <v>1352</v>
      </c>
      <c r="O3882" s="10" t="n">
        <v>0.426481692586094</v>
      </c>
      <c r="P3882" s="10" t="n">
        <v>0.556908084778115</v>
      </c>
      <c r="Q3882" s="0" t="str">
        <f aca="false">SUBSTITUTE(SUBSTITUTE($I3882,CHAR(61),""),CHAR(34),"")</f>
        <v>10-14</v>
      </c>
      <c r="R3882" s="0" t="str">
        <f aca="false">IF($D3882&lt;&gt;"","["&amp;$E3882&amp;"]"&amp;"|"&amp;$Q3882&amp;"|"&amp;$K3882&amp;"|"&amp;$G3882&amp;"|"&amp;IF($G3882="TX_CURR_SUBNAT.R","CY2022Q4",$M3882),"")</f>
        <v>[YCKiBAp8QAg]|10-14|Female|Incidence_SUBNAT.Rt.T_1|CY2023Q3</v>
      </c>
    </row>
    <row r="3883" customFormat="false" ht="15" hidden="false" customHeight="false" outlineLevel="0" collapsed="false">
      <c r="D3883" s="0" t="s">
        <v>129</v>
      </c>
      <c r="E3883" s="0" t="s">
        <v>130</v>
      </c>
      <c r="F3883" s="0" t="s">
        <v>131</v>
      </c>
      <c r="G3883" s="0" t="s">
        <v>152</v>
      </c>
      <c r="H3883" s="0" t="s">
        <v>152</v>
      </c>
      <c r="I3883" s="0" t="s">
        <v>38</v>
      </c>
      <c r="J3883" s="0" t="s">
        <v>39</v>
      </c>
      <c r="K3883" s="0" t="s">
        <v>30</v>
      </c>
      <c r="L3883" s="0" t="s">
        <v>31</v>
      </c>
      <c r="M3883" s="0" t="s">
        <v>140</v>
      </c>
      <c r="N3883" s="0" t="n">
        <v>1019</v>
      </c>
      <c r="O3883" s="10" t="n">
        <v>0.00318803987465799</v>
      </c>
      <c r="P3883" s="10" t="n">
        <v>0.556908084778115</v>
      </c>
      <c r="Q3883" s="0" t="str">
        <f aca="false">SUBSTITUTE(SUBSTITUTE($I3883,CHAR(61),""),CHAR(34),"")</f>
        <v>15-24</v>
      </c>
      <c r="R3883" s="0" t="str">
        <f aca="false">IF($D3883&lt;&gt;"","["&amp;$E3883&amp;"]"&amp;"|"&amp;$Q3883&amp;"|"&amp;$K3883&amp;"|"&amp;$G3883&amp;"|"&amp;IF($G3883="TX_CURR_SUBNAT.R","CY2022Q4",$M3883),"")</f>
        <v>[YCKiBAp8QAg]|15-24|Female|Incidence_SUBNAT.Rt.T_1|CY2023Q3</v>
      </c>
    </row>
    <row r="3884" customFormat="false" ht="15" hidden="false" customHeight="false" outlineLevel="0" collapsed="false">
      <c r="D3884" s="0" t="s">
        <v>129</v>
      </c>
      <c r="E3884" s="0" t="s">
        <v>130</v>
      </c>
      <c r="F3884" s="0" t="s">
        <v>131</v>
      </c>
      <c r="G3884" s="0" t="s">
        <v>152</v>
      </c>
      <c r="H3884" s="0" t="s">
        <v>152</v>
      </c>
      <c r="I3884" s="0" t="s">
        <v>41</v>
      </c>
      <c r="J3884" s="0" t="s">
        <v>42</v>
      </c>
      <c r="K3884" s="0" t="s">
        <v>30</v>
      </c>
      <c r="L3884" s="0" t="s">
        <v>31</v>
      </c>
      <c r="M3884" s="0" t="s">
        <v>140</v>
      </c>
      <c r="N3884" s="0" t="n">
        <v>1507</v>
      </c>
      <c r="O3884" s="10" t="n">
        <v>0.209755259333178</v>
      </c>
      <c r="P3884" s="10" t="n">
        <v>0.556908084778115</v>
      </c>
      <c r="Q3884" s="0" t="str">
        <f aca="false">SUBSTITUTE(SUBSTITUTE($I3884,CHAR(61),""),CHAR(34),"")</f>
        <v>25-34</v>
      </c>
      <c r="R3884" s="0" t="str">
        <f aca="false">IF($D3884&lt;&gt;"","["&amp;$E3884&amp;"]"&amp;"|"&amp;$Q3884&amp;"|"&amp;$K3884&amp;"|"&amp;$G3884&amp;"|"&amp;IF($G3884="TX_CURR_SUBNAT.R","CY2022Q4",$M3884),"")</f>
        <v>[YCKiBAp8QAg]|25-34|Female|Incidence_SUBNAT.Rt.T_1|CY2023Q3</v>
      </c>
    </row>
    <row r="3885" customFormat="false" ht="15" hidden="false" customHeight="false" outlineLevel="0" collapsed="false">
      <c r="D3885" s="0" t="s">
        <v>129</v>
      </c>
      <c r="E3885" s="0" t="s">
        <v>130</v>
      </c>
      <c r="F3885" s="0" t="s">
        <v>131</v>
      </c>
      <c r="G3885" s="0" t="s">
        <v>152</v>
      </c>
      <c r="H3885" s="0" t="s">
        <v>152</v>
      </c>
      <c r="I3885" s="0" t="s">
        <v>43</v>
      </c>
      <c r="J3885" s="0" t="s">
        <v>44</v>
      </c>
      <c r="K3885" s="0" t="s">
        <v>30</v>
      </c>
      <c r="L3885" s="0" t="s">
        <v>31</v>
      </c>
      <c r="M3885" s="0" t="s">
        <v>140</v>
      </c>
      <c r="N3885" s="0" t="n">
        <v>1145</v>
      </c>
      <c r="O3885" s="10" t="n">
        <v>0.453059232328087</v>
      </c>
      <c r="P3885" s="10" t="n">
        <v>0.556908084778115</v>
      </c>
      <c r="Q3885" s="0" t="str">
        <f aca="false">SUBSTITUTE(SUBSTITUTE($I3885,CHAR(61),""),CHAR(34),"")</f>
        <v>35-49</v>
      </c>
      <c r="R3885" s="0" t="str">
        <f aca="false">IF($D3885&lt;&gt;"","["&amp;$E3885&amp;"]"&amp;"|"&amp;$Q3885&amp;"|"&amp;$K3885&amp;"|"&amp;$G3885&amp;"|"&amp;IF($G3885="TX_CURR_SUBNAT.R","CY2022Q4",$M3885),"")</f>
        <v>[YCKiBAp8QAg]|35-49|Female|Incidence_SUBNAT.Rt.T_1|CY2023Q3</v>
      </c>
    </row>
    <row r="3886" customFormat="false" ht="15" hidden="false" customHeight="false" outlineLevel="0" collapsed="false">
      <c r="D3886" s="0" t="s">
        <v>129</v>
      </c>
      <c r="E3886" s="0" t="s">
        <v>130</v>
      </c>
      <c r="F3886" s="0" t="s">
        <v>131</v>
      </c>
      <c r="G3886" s="0" t="s">
        <v>152</v>
      </c>
      <c r="H3886" s="0" t="s">
        <v>152</v>
      </c>
      <c r="I3886" s="0" t="s">
        <v>45</v>
      </c>
      <c r="J3886" s="0" t="s">
        <v>46</v>
      </c>
      <c r="K3886" s="0" t="s">
        <v>30</v>
      </c>
      <c r="L3886" s="0" t="s">
        <v>31</v>
      </c>
      <c r="M3886" s="0" t="s">
        <v>140</v>
      </c>
      <c r="N3886" s="0" t="n">
        <v>1214</v>
      </c>
      <c r="O3886" s="10" t="n">
        <v>0.829778122715652</v>
      </c>
      <c r="P3886" s="10" t="n">
        <v>0.556908084778115</v>
      </c>
      <c r="Q3886" s="0" t="str">
        <f aca="false">SUBSTITUTE(SUBSTITUTE($I3886,CHAR(61),""),CHAR(34),"")</f>
        <v>50+</v>
      </c>
      <c r="R3886" s="0" t="str">
        <f aca="false">IF($D3886&lt;&gt;"","["&amp;$E3886&amp;"]"&amp;"|"&amp;$Q3886&amp;"|"&amp;$K3886&amp;"|"&amp;$G3886&amp;"|"&amp;IF($G3886="TX_CURR_SUBNAT.R","CY2022Q4",$M3886),"")</f>
        <v>[YCKiBAp8QAg]|50+|Female|Incidence_SUBNAT.Rt.T_1|CY2023Q3</v>
      </c>
    </row>
    <row r="3887" customFormat="false" ht="15" hidden="false" customHeight="false" outlineLevel="0" collapsed="false">
      <c r="D3887" s="0" t="s">
        <v>129</v>
      </c>
      <c r="E3887" s="0" t="s">
        <v>130</v>
      </c>
      <c r="F3887" s="0" t="s">
        <v>131</v>
      </c>
      <c r="G3887" s="0" t="s">
        <v>152</v>
      </c>
      <c r="H3887" s="0" t="s">
        <v>152</v>
      </c>
      <c r="I3887" s="0" t="s">
        <v>28</v>
      </c>
      <c r="J3887" s="0" t="s">
        <v>29</v>
      </c>
      <c r="K3887" s="0" t="s">
        <v>48</v>
      </c>
      <c r="L3887" s="0" t="s">
        <v>49</v>
      </c>
      <c r="M3887" s="0" t="s">
        <v>140</v>
      </c>
      <c r="N3887" s="0" t="n">
        <v>590</v>
      </c>
      <c r="O3887" s="10" t="n">
        <v>0.239037872990593</v>
      </c>
      <c r="P3887" s="10" t="n">
        <v>0.556908084778115</v>
      </c>
      <c r="Q3887" s="0" t="str">
        <f aca="false">SUBSTITUTE(SUBSTITUTE($I3887,CHAR(61),""),CHAR(34),"")</f>
        <v>&lt;01</v>
      </c>
      <c r="R3887" s="0" t="str">
        <f aca="false">IF($D3887&lt;&gt;"","["&amp;$E3887&amp;"]"&amp;"|"&amp;$Q3887&amp;"|"&amp;$K3887&amp;"|"&amp;$G3887&amp;"|"&amp;IF($G3887="TX_CURR_SUBNAT.R","CY2022Q4",$M3887),"")</f>
        <v>[YCKiBAp8QAg]|&lt;01|Male|Incidence_SUBNAT.Rt.T_1|CY2023Q3</v>
      </c>
    </row>
    <row r="3888" customFormat="false" ht="15" hidden="false" customHeight="false" outlineLevel="0" collapsed="false">
      <c r="D3888" s="0" t="s">
        <v>129</v>
      </c>
      <c r="E3888" s="0" t="s">
        <v>130</v>
      </c>
      <c r="F3888" s="0" t="s">
        <v>131</v>
      </c>
      <c r="G3888" s="0" t="s">
        <v>152</v>
      </c>
      <c r="H3888" s="0" t="s">
        <v>152</v>
      </c>
      <c r="I3888" s="0" t="s">
        <v>33</v>
      </c>
      <c r="J3888" s="0" t="s">
        <v>34</v>
      </c>
      <c r="K3888" s="0" t="s">
        <v>48</v>
      </c>
      <c r="L3888" s="0" t="s">
        <v>49</v>
      </c>
      <c r="M3888" s="0" t="s">
        <v>140</v>
      </c>
      <c r="N3888" s="0" t="n">
        <v>1300</v>
      </c>
      <c r="O3888" s="10" t="n">
        <v>0.162783339619637</v>
      </c>
      <c r="P3888" s="10" t="n">
        <v>0.556908084778115</v>
      </c>
      <c r="Q3888" s="0" t="str">
        <f aca="false">SUBSTITUTE(SUBSTITUTE($I3888,CHAR(61),""),CHAR(34),"")</f>
        <v>01-09</v>
      </c>
      <c r="R3888" s="0" t="str">
        <f aca="false">IF($D3888&lt;&gt;"","["&amp;$E3888&amp;"]"&amp;"|"&amp;$Q3888&amp;"|"&amp;$K3888&amp;"|"&amp;$G3888&amp;"|"&amp;IF($G3888="TX_CURR_SUBNAT.R","CY2022Q4",$M3888),"")</f>
        <v>[YCKiBAp8QAg]|01-09|Male|Incidence_SUBNAT.Rt.T_1|CY2023Q3</v>
      </c>
    </row>
    <row r="3889" customFormat="false" ht="15" hidden="false" customHeight="false" outlineLevel="0" collapsed="false">
      <c r="D3889" s="0" t="s">
        <v>129</v>
      </c>
      <c r="E3889" s="0" t="s">
        <v>130</v>
      </c>
      <c r="F3889" s="0" t="s">
        <v>131</v>
      </c>
      <c r="G3889" s="0" t="s">
        <v>152</v>
      </c>
      <c r="H3889" s="0" t="s">
        <v>152</v>
      </c>
      <c r="I3889" s="0" t="s">
        <v>36</v>
      </c>
      <c r="J3889" s="0" t="s">
        <v>37</v>
      </c>
      <c r="K3889" s="0" t="s">
        <v>48</v>
      </c>
      <c r="L3889" s="0" t="s">
        <v>49</v>
      </c>
      <c r="M3889" s="0" t="s">
        <v>140</v>
      </c>
      <c r="N3889" s="0" t="n">
        <v>756</v>
      </c>
      <c r="O3889" s="10" t="n">
        <v>0.95048326253891</v>
      </c>
      <c r="P3889" s="10" t="n">
        <v>0.556908084778115</v>
      </c>
      <c r="Q3889" s="0" t="str">
        <f aca="false">SUBSTITUTE(SUBSTITUTE($I3889,CHAR(61),""),CHAR(34),"")</f>
        <v>10-14</v>
      </c>
      <c r="R3889" s="0" t="str">
        <f aca="false">IF($D3889&lt;&gt;"","["&amp;$E3889&amp;"]"&amp;"|"&amp;$Q3889&amp;"|"&amp;$K3889&amp;"|"&amp;$G3889&amp;"|"&amp;IF($G3889="TX_CURR_SUBNAT.R","CY2022Q4",$M3889),"")</f>
        <v>[YCKiBAp8QAg]|10-14|Male|Incidence_SUBNAT.Rt.T_1|CY2023Q3</v>
      </c>
    </row>
    <row r="3890" customFormat="false" ht="15" hidden="false" customHeight="false" outlineLevel="0" collapsed="false">
      <c r="D3890" s="0" t="s">
        <v>129</v>
      </c>
      <c r="E3890" s="0" t="s">
        <v>130</v>
      </c>
      <c r="F3890" s="0" t="s">
        <v>131</v>
      </c>
      <c r="G3890" s="0" t="s">
        <v>152</v>
      </c>
      <c r="H3890" s="0" t="s">
        <v>152</v>
      </c>
      <c r="I3890" s="0" t="s">
        <v>38</v>
      </c>
      <c r="J3890" s="0" t="s">
        <v>39</v>
      </c>
      <c r="K3890" s="0" t="s">
        <v>48</v>
      </c>
      <c r="L3890" s="0" t="s">
        <v>49</v>
      </c>
      <c r="M3890" s="0" t="s">
        <v>140</v>
      </c>
      <c r="N3890" s="0" t="n">
        <v>1395</v>
      </c>
      <c r="O3890" s="10" t="n">
        <v>0.474068654701114</v>
      </c>
      <c r="P3890" s="10" t="n">
        <v>0.556908084778115</v>
      </c>
      <c r="Q3890" s="0" t="str">
        <f aca="false">SUBSTITUTE(SUBSTITUTE($I3890,CHAR(61),""),CHAR(34),"")</f>
        <v>15-24</v>
      </c>
      <c r="R3890" s="0" t="str">
        <f aca="false">IF($D3890&lt;&gt;"","["&amp;$E3890&amp;"]"&amp;"|"&amp;$Q3890&amp;"|"&amp;$K3890&amp;"|"&amp;$G3890&amp;"|"&amp;IF($G3890="TX_CURR_SUBNAT.R","CY2022Q4",$M3890),"")</f>
        <v>[YCKiBAp8QAg]|15-24|Male|Incidence_SUBNAT.Rt.T_1|CY2023Q3</v>
      </c>
    </row>
    <row r="3891" customFormat="false" ht="15" hidden="false" customHeight="false" outlineLevel="0" collapsed="false">
      <c r="D3891" s="0" t="s">
        <v>129</v>
      </c>
      <c r="E3891" s="0" t="s">
        <v>130</v>
      </c>
      <c r="F3891" s="0" t="s">
        <v>131</v>
      </c>
      <c r="G3891" s="0" t="s">
        <v>152</v>
      </c>
      <c r="H3891" s="0" t="s">
        <v>152</v>
      </c>
      <c r="I3891" s="0" t="s">
        <v>41</v>
      </c>
      <c r="J3891" s="0" t="s">
        <v>42</v>
      </c>
      <c r="K3891" s="0" t="s">
        <v>48</v>
      </c>
      <c r="L3891" s="0" t="s">
        <v>49</v>
      </c>
      <c r="M3891" s="0" t="s">
        <v>140</v>
      </c>
      <c r="N3891" s="0" t="n">
        <v>1305</v>
      </c>
      <c r="O3891" s="10" t="n">
        <v>0.41321594058536</v>
      </c>
      <c r="P3891" s="10" t="n">
        <v>0.556908084778115</v>
      </c>
      <c r="Q3891" s="0" t="str">
        <f aca="false">SUBSTITUTE(SUBSTITUTE($I3891,CHAR(61),""),CHAR(34),"")</f>
        <v>25-34</v>
      </c>
      <c r="R3891" s="0" t="str">
        <f aca="false">IF($D3891&lt;&gt;"","["&amp;$E3891&amp;"]"&amp;"|"&amp;$Q3891&amp;"|"&amp;$K3891&amp;"|"&amp;$G3891&amp;"|"&amp;IF($G3891="TX_CURR_SUBNAT.R","CY2022Q4",$M3891),"")</f>
        <v>[YCKiBAp8QAg]|25-34|Male|Incidence_SUBNAT.Rt.T_1|CY2023Q3</v>
      </c>
    </row>
    <row r="3892" customFormat="false" ht="15" hidden="false" customHeight="false" outlineLevel="0" collapsed="false">
      <c r="D3892" s="0" t="s">
        <v>129</v>
      </c>
      <c r="E3892" s="0" t="s">
        <v>130</v>
      </c>
      <c r="F3892" s="0" t="s">
        <v>131</v>
      </c>
      <c r="G3892" s="0" t="s">
        <v>152</v>
      </c>
      <c r="H3892" s="0" t="s">
        <v>152</v>
      </c>
      <c r="I3892" s="0" t="s">
        <v>43</v>
      </c>
      <c r="J3892" s="0" t="s">
        <v>44</v>
      </c>
      <c r="K3892" s="0" t="s">
        <v>48</v>
      </c>
      <c r="L3892" s="0" t="s">
        <v>49</v>
      </c>
      <c r="M3892" s="0" t="s">
        <v>140</v>
      </c>
      <c r="N3892" s="0" t="n">
        <v>1248</v>
      </c>
      <c r="O3892" s="10" t="n">
        <v>0.811137964017689</v>
      </c>
      <c r="P3892" s="10" t="n">
        <v>0.556908084778115</v>
      </c>
      <c r="Q3892" s="0" t="str">
        <f aca="false">SUBSTITUTE(SUBSTITUTE($I3892,CHAR(61),""),CHAR(34),"")</f>
        <v>35-49</v>
      </c>
      <c r="R3892" s="0" t="str">
        <f aca="false">IF($D3892&lt;&gt;"","["&amp;$E3892&amp;"]"&amp;"|"&amp;$Q3892&amp;"|"&amp;$K3892&amp;"|"&amp;$G3892&amp;"|"&amp;IF($G3892="TX_CURR_SUBNAT.R","CY2022Q4",$M3892),"")</f>
        <v>[YCKiBAp8QAg]|35-49|Male|Incidence_SUBNAT.Rt.T_1|CY2023Q3</v>
      </c>
    </row>
    <row r="3893" customFormat="false" ht="15" hidden="false" customHeight="false" outlineLevel="0" collapsed="false">
      <c r="D3893" s="0" t="s">
        <v>129</v>
      </c>
      <c r="E3893" s="0" t="s">
        <v>130</v>
      </c>
      <c r="F3893" s="0" t="s">
        <v>131</v>
      </c>
      <c r="G3893" s="0" t="s">
        <v>152</v>
      </c>
      <c r="H3893" s="0" t="s">
        <v>152</v>
      </c>
      <c r="I3893" s="0" t="s">
        <v>45</v>
      </c>
      <c r="J3893" s="0" t="s">
        <v>46</v>
      </c>
      <c r="K3893" s="0" t="s">
        <v>48</v>
      </c>
      <c r="L3893" s="0" t="s">
        <v>49</v>
      </c>
      <c r="M3893" s="0" t="s">
        <v>140</v>
      </c>
      <c r="N3893" s="0" t="n">
        <v>591</v>
      </c>
      <c r="O3893" s="10" t="n">
        <v>0.661926117958501</v>
      </c>
      <c r="P3893" s="10" t="n">
        <v>0.556908084778115</v>
      </c>
      <c r="Q3893" s="0" t="str">
        <f aca="false">SUBSTITUTE(SUBSTITUTE($I3893,CHAR(61),""),CHAR(34),"")</f>
        <v>50+</v>
      </c>
      <c r="R3893" s="0" t="str">
        <f aca="false">IF($D3893&lt;&gt;"","["&amp;$E3893&amp;"]"&amp;"|"&amp;$Q3893&amp;"|"&amp;$K3893&amp;"|"&amp;$G3893&amp;"|"&amp;IF($G3893="TX_CURR_SUBNAT.R","CY2022Q4",$M3893),"")</f>
        <v>[YCKiBAp8QAg]|50+|Male|Incidence_SUBNAT.Rt.T_1|CY2023Q3</v>
      </c>
    </row>
    <row r="3894" customFormat="false" ht="15" hidden="false" customHeight="false" outlineLevel="0" collapsed="false">
      <c r="D3894" s="0" t="s">
        <v>132</v>
      </c>
      <c r="E3894" s="0" t="s">
        <v>133</v>
      </c>
      <c r="F3894" s="0" t="s">
        <v>134</v>
      </c>
      <c r="G3894" s="0" t="s">
        <v>152</v>
      </c>
      <c r="H3894" s="0" t="s">
        <v>152</v>
      </c>
      <c r="I3894" s="0" t="s">
        <v>28</v>
      </c>
      <c r="J3894" s="0" t="s">
        <v>29</v>
      </c>
      <c r="K3894" s="0" t="s">
        <v>30</v>
      </c>
      <c r="L3894" s="0" t="s">
        <v>31</v>
      </c>
      <c r="M3894" s="0" t="s">
        <v>140</v>
      </c>
      <c r="N3894" s="0" t="n">
        <v>1099</v>
      </c>
      <c r="O3894" s="10" t="n">
        <v>0.983681414043531</v>
      </c>
      <c r="P3894" s="10" t="n">
        <v>0.162863194011152</v>
      </c>
      <c r="Q3894" s="0" t="str">
        <f aca="false">SUBSTITUTE(SUBSTITUTE($I3894,CHAR(61),""),CHAR(34),"")</f>
        <v>&lt;01</v>
      </c>
      <c r="R3894" s="0" t="str">
        <f aca="false">IF($D3894&lt;&gt;"","["&amp;$E3894&amp;"]"&amp;"|"&amp;$Q3894&amp;"|"&amp;$K3894&amp;"|"&amp;$G3894&amp;"|"&amp;IF($G3894="TX_CURR_SUBNAT.R","CY2022Q4",$M3894),"")</f>
        <v>[JQKLKuVuY61]|&lt;01|Female|Incidence_SUBNAT.Rt.T_1|CY2023Q3</v>
      </c>
    </row>
    <row r="3895" customFormat="false" ht="15" hidden="false" customHeight="false" outlineLevel="0" collapsed="false">
      <c r="D3895" s="0" t="s">
        <v>132</v>
      </c>
      <c r="E3895" s="0" t="s">
        <v>133</v>
      </c>
      <c r="F3895" s="0" t="s">
        <v>134</v>
      </c>
      <c r="G3895" s="0" t="s">
        <v>152</v>
      </c>
      <c r="H3895" s="0" t="s">
        <v>152</v>
      </c>
      <c r="I3895" s="0" t="s">
        <v>33</v>
      </c>
      <c r="J3895" s="0" t="s">
        <v>34</v>
      </c>
      <c r="K3895" s="0" t="s">
        <v>30</v>
      </c>
      <c r="L3895" s="0" t="s">
        <v>31</v>
      </c>
      <c r="M3895" s="0" t="s">
        <v>140</v>
      </c>
      <c r="N3895" s="0" t="n">
        <v>590</v>
      </c>
      <c r="O3895" s="10" t="n">
        <v>0.532774930354208</v>
      </c>
      <c r="P3895" s="10" t="n">
        <v>0.162863194011152</v>
      </c>
      <c r="Q3895" s="0" t="str">
        <f aca="false">SUBSTITUTE(SUBSTITUTE($I3895,CHAR(61),""),CHAR(34),"")</f>
        <v>01-09</v>
      </c>
      <c r="R3895" s="0" t="str">
        <f aca="false">IF($D3895&lt;&gt;"","["&amp;$E3895&amp;"]"&amp;"|"&amp;$Q3895&amp;"|"&amp;$K3895&amp;"|"&amp;$G3895&amp;"|"&amp;IF($G3895="TX_CURR_SUBNAT.R","CY2022Q4",$M3895),"")</f>
        <v>[JQKLKuVuY61]|01-09|Female|Incidence_SUBNAT.Rt.T_1|CY2023Q3</v>
      </c>
    </row>
    <row r="3896" customFormat="false" ht="15" hidden="false" customHeight="false" outlineLevel="0" collapsed="false">
      <c r="D3896" s="0" t="s">
        <v>132</v>
      </c>
      <c r="E3896" s="0" t="s">
        <v>133</v>
      </c>
      <c r="F3896" s="0" t="s">
        <v>134</v>
      </c>
      <c r="G3896" s="0" t="s">
        <v>152</v>
      </c>
      <c r="H3896" s="0" t="s">
        <v>152</v>
      </c>
      <c r="I3896" s="0" t="s">
        <v>36</v>
      </c>
      <c r="J3896" s="0" t="s">
        <v>37</v>
      </c>
      <c r="K3896" s="0" t="s">
        <v>30</v>
      </c>
      <c r="L3896" s="0" t="s">
        <v>31</v>
      </c>
      <c r="M3896" s="0" t="s">
        <v>140</v>
      </c>
      <c r="N3896" s="0" t="n">
        <v>770</v>
      </c>
      <c r="O3896" s="10" t="n">
        <v>0.576685122214258</v>
      </c>
      <c r="P3896" s="10" t="n">
        <v>0.162863194011152</v>
      </c>
      <c r="Q3896" s="0" t="str">
        <f aca="false">SUBSTITUTE(SUBSTITUTE($I3896,CHAR(61),""),CHAR(34),"")</f>
        <v>10-14</v>
      </c>
      <c r="R3896" s="0" t="str">
        <f aca="false">IF($D3896&lt;&gt;"","["&amp;$E3896&amp;"]"&amp;"|"&amp;$Q3896&amp;"|"&amp;$K3896&amp;"|"&amp;$G3896&amp;"|"&amp;IF($G3896="TX_CURR_SUBNAT.R","CY2022Q4",$M3896),"")</f>
        <v>[JQKLKuVuY61]|10-14|Female|Incidence_SUBNAT.Rt.T_1|CY2023Q3</v>
      </c>
    </row>
    <row r="3897" customFormat="false" ht="15" hidden="false" customHeight="false" outlineLevel="0" collapsed="false">
      <c r="D3897" s="0" t="s">
        <v>132</v>
      </c>
      <c r="E3897" s="0" t="s">
        <v>133</v>
      </c>
      <c r="F3897" s="0" t="s">
        <v>134</v>
      </c>
      <c r="G3897" s="0" t="s">
        <v>152</v>
      </c>
      <c r="H3897" s="0" t="s">
        <v>152</v>
      </c>
      <c r="I3897" s="0" t="s">
        <v>38</v>
      </c>
      <c r="J3897" s="0" t="s">
        <v>39</v>
      </c>
      <c r="K3897" s="0" t="s">
        <v>30</v>
      </c>
      <c r="L3897" s="0" t="s">
        <v>31</v>
      </c>
      <c r="M3897" s="0" t="s">
        <v>140</v>
      </c>
      <c r="N3897" s="0" t="n">
        <v>885</v>
      </c>
      <c r="O3897" s="10" t="n">
        <v>0.248201508074999</v>
      </c>
      <c r="P3897" s="10" t="n">
        <v>0.162863194011152</v>
      </c>
      <c r="Q3897" s="0" t="str">
        <f aca="false">SUBSTITUTE(SUBSTITUTE($I3897,CHAR(61),""),CHAR(34),"")</f>
        <v>15-24</v>
      </c>
      <c r="R3897" s="0" t="str">
        <f aca="false">IF($D3897&lt;&gt;"","["&amp;$E3897&amp;"]"&amp;"|"&amp;$Q3897&amp;"|"&amp;$K3897&amp;"|"&amp;$G3897&amp;"|"&amp;IF($G3897="TX_CURR_SUBNAT.R","CY2022Q4",$M3897),"")</f>
        <v>[JQKLKuVuY61]|15-24|Female|Incidence_SUBNAT.Rt.T_1|CY2023Q3</v>
      </c>
    </row>
    <row r="3898" customFormat="false" ht="15" hidden="false" customHeight="false" outlineLevel="0" collapsed="false">
      <c r="D3898" s="0" t="s">
        <v>132</v>
      </c>
      <c r="E3898" s="0" t="s">
        <v>133</v>
      </c>
      <c r="F3898" s="0" t="s">
        <v>134</v>
      </c>
      <c r="G3898" s="0" t="s">
        <v>152</v>
      </c>
      <c r="H3898" s="0" t="s">
        <v>152</v>
      </c>
      <c r="I3898" s="0" t="s">
        <v>41</v>
      </c>
      <c r="J3898" s="0" t="s">
        <v>42</v>
      </c>
      <c r="K3898" s="0" t="s">
        <v>30</v>
      </c>
      <c r="L3898" s="0" t="s">
        <v>31</v>
      </c>
      <c r="M3898" s="0" t="s">
        <v>140</v>
      </c>
      <c r="N3898" s="0" t="n">
        <v>1234</v>
      </c>
      <c r="O3898" s="10" t="n">
        <v>0.642295533791184</v>
      </c>
      <c r="P3898" s="10" t="n">
        <v>0.162863194011152</v>
      </c>
      <c r="Q3898" s="0" t="str">
        <f aca="false">SUBSTITUTE(SUBSTITUTE($I3898,CHAR(61),""),CHAR(34),"")</f>
        <v>25-34</v>
      </c>
      <c r="R3898" s="0" t="str">
        <f aca="false">IF($D3898&lt;&gt;"","["&amp;$E3898&amp;"]"&amp;"|"&amp;$Q3898&amp;"|"&amp;$K3898&amp;"|"&amp;$G3898&amp;"|"&amp;IF($G3898="TX_CURR_SUBNAT.R","CY2022Q4",$M3898),"")</f>
        <v>[JQKLKuVuY61]|25-34|Female|Incidence_SUBNAT.Rt.T_1|CY2023Q3</v>
      </c>
    </row>
    <row r="3899" customFormat="false" ht="15" hidden="false" customHeight="false" outlineLevel="0" collapsed="false">
      <c r="D3899" s="0" t="s">
        <v>132</v>
      </c>
      <c r="E3899" s="0" t="s">
        <v>133</v>
      </c>
      <c r="F3899" s="0" t="s">
        <v>134</v>
      </c>
      <c r="G3899" s="0" t="s">
        <v>152</v>
      </c>
      <c r="H3899" s="0" t="s">
        <v>152</v>
      </c>
      <c r="I3899" s="0" t="s">
        <v>43</v>
      </c>
      <c r="J3899" s="0" t="s">
        <v>44</v>
      </c>
      <c r="K3899" s="0" t="s">
        <v>30</v>
      </c>
      <c r="L3899" s="0" t="s">
        <v>31</v>
      </c>
      <c r="M3899" s="0" t="s">
        <v>140</v>
      </c>
      <c r="N3899" s="0" t="n">
        <v>1436</v>
      </c>
      <c r="O3899" s="10" t="n">
        <v>0.0313376120757312</v>
      </c>
      <c r="P3899" s="10" t="n">
        <v>0.162863194011152</v>
      </c>
      <c r="Q3899" s="0" t="str">
        <f aca="false">SUBSTITUTE(SUBSTITUTE($I3899,CHAR(61),""),CHAR(34),"")</f>
        <v>35-49</v>
      </c>
      <c r="R3899" s="0" t="str">
        <f aca="false">IF($D3899&lt;&gt;"","["&amp;$E3899&amp;"]"&amp;"|"&amp;$Q3899&amp;"|"&amp;$K3899&amp;"|"&amp;$G3899&amp;"|"&amp;IF($G3899="TX_CURR_SUBNAT.R","CY2022Q4",$M3899),"")</f>
        <v>[JQKLKuVuY61]|35-49|Female|Incidence_SUBNAT.Rt.T_1|CY2023Q3</v>
      </c>
    </row>
    <row r="3900" customFormat="false" ht="15" hidden="false" customHeight="false" outlineLevel="0" collapsed="false">
      <c r="D3900" s="0" t="s">
        <v>132</v>
      </c>
      <c r="E3900" s="0" t="s">
        <v>133</v>
      </c>
      <c r="F3900" s="0" t="s">
        <v>134</v>
      </c>
      <c r="G3900" s="0" t="s">
        <v>152</v>
      </c>
      <c r="H3900" s="0" t="s">
        <v>152</v>
      </c>
      <c r="I3900" s="0" t="s">
        <v>45</v>
      </c>
      <c r="J3900" s="0" t="s">
        <v>46</v>
      </c>
      <c r="K3900" s="0" t="s">
        <v>30</v>
      </c>
      <c r="L3900" s="0" t="s">
        <v>31</v>
      </c>
      <c r="M3900" s="0" t="s">
        <v>140</v>
      </c>
      <c r="N3900" s="0" t="n">
        <v>1991</v>
      </c>
      <c r="O3900" s="10" t="n">
        <v>0.395368780940771</v>
      </c>
      <c r="P3900" s="10" t="n">
        <v>0.162863194011152</v>
      </c>
      <c r="Q3900" s="0" t="str">
        <f aca="false">SUBSTITUTE(SUBSTITUTE($I3900,CHAR(61),""),CHAR(34),"")</f>
        <v>50+</v>
      </c>
      <c r="R3900" s="0" t="str">
        <f aca="false">IF($D3900&lt;&gt;"","["&amp;$E3900&amp;"]"&amp;"|"&amp;$Q3900&amp;"|"&amp;$K3900&amp;"|"&amp;$G3900&amp;"|"&amp;IF($G3900="TX_CURR_SUBNAT.R","CY2022Q4",$M3900),"")</f>
        <v>[JQKLKuVuY61]|50+|Female|Incidence_SUBNAT.Rt.T_1|CY2023Q3</v>
      </c>
    </row>
    <row r="3901" customFormat="false" ht="15" hidden="false" customHeight="false" outlineLevel="0" collapsed="false">
      <c r="D3901" s="0" t="s">
        <v>132</v>
      </c>
      <c r="E3901" s="0" t="s">
        <v>133</v>
      </c>
      <c r="F3901" s="0" t="s">
        <v>134</v>
      </c>
      <c r="G3901" s="0" t="s">
        <v>152</v>
      </c>
      <c r="H3901" s="0" t="s">
        <v>152</v>
      </c>
      <c r="I3901" s="0" t="s">
        <v>28</v>
      </c>
      <c r="J3901" s="0" t="s">
        <v>29</v>
      </c>
      <c r="K3901" s="0" t="s">
        <v>48</v>
      </c>
      <c r="L3901" s="0" t="s">
        <v>49</v>
      </c>
      <c r="M3901" s="0" t="s">
        <v>140</v>
      </c>
      <c r="N3901" s="0" t="n">
        <v>1921</v>
      </c>
      <c r="O3901" s="10" t="n">
        <v>0.157028169371188</v>
      </c>
      <c r="P3901" s="10" t="n">
        <v>0.162863194011152</v>
      </c>
      <c r="Q3901" s="0" t="str">
        <f aca="false">SUBSTITUTE(SUBSTITUTE($I3901,CHAR(61),""),CHAR(34),"")</f>
        <v>&lt;01</v>
      </c>
      <c r="R3901" s="0" t="str">
        <f aca="false">IF($D3901&lt;&gt;"","["&amp;$E3901&amp;"]"&amp;"|"&amp;$Q3901&amp;"|"&amp;$K3901&amp;"|"&amp;$G3901&amp;"|"&amp;IF($G3901="TX_CURR_SUBNAT.R","CY2022Q4",$M3901),"")</f>
        <v>[JQKLKuVuY61]|&lt;01|Male|Incidence_SUBNAT.Rt.T_1|CY2023Q3</v>
      </c>
    </row>
    <row r="3902" customFormat="false" ht="15" hidden="false" customHeight="false" outlineLevel="0" collapsed="false">
      <c r="D3902" s="0" t="s">
        <v>132</v>
      </c>
      <c r="E3902" s="0" t="s">
        <v>133</v>
      </c>
      <c r="F3902" s="0" t="s">
        <v>134</v>
      </c>
      <c r="G3902" s="0" t="s">
        <v>152</v>
      </c>
      <c r="H3902" s="0" t="s">
        <v>152</v>
      </c>
      <c r="I3902" s="0" t="s">
        <v>33</v>
      </c>
      <c r="J3902" s="0" t="s">
        <v>34</v>
      </c>
      <c r="K3902" s="0" t="s">
        <v>48</v>
      </c>
      <c r="L3902" s="0" t="s">
        <v>49</v>
      </c>
      <c r="M3902" s="0" t="s">
        <v>140</v>
      </c>
      <c r="N3902" s="0" t="n">
        <v>668</v>
      </c>
      <c r="O3902" s="10" t="n">
        <v>0.296901714988053</v>
      </c>
      <c r="P3902" s="10" t="n">
        <v>0.162863194011152</v>
      </c>
      <c r="Q3902" s="0" t="str">
        <f aca="false">SUBSTITUTE(SUBSTITUTE($I3902,CHAR(61),""),CHAR(34),"")</f>
        <v>01-09</v>
      </c>
      <c r="R3902" s="0" t="str">
        <f aca="false">IF($D3902&lt;&gt;"","["&amp;$E3902&amp;"]"&amp;"|"&amp;$Q3902&amp;"|"&amp;$K3902&amp;"|"&amp;$G3902&amp;"|"&amp;IF($G3902="TX_CURR_SUBNAT.R","CY2022Q4",$M3902),"")</f>
        <v>[JQKLKuVuY61]|01-09|Male|Incidence_SUBNAT.Rt.T_1|CY2023Q3</v>
      </c>
    </row>
    <row r="3903" customFormat="false" ht="15" hidden="false" customHeight="false" outlineLevel="0" collapsed="false">
      <c r="D3903" s="0" t="s">
        <v>132</v>
      </c>
      <c r="E3903" s="0" t="s">
        <v>133</v>
      </c>
      <c r="F3903" s="0" t="s">
        <v>134</v>
      </c>
      <c r="G3903" s="0" t="s">
        <v>152</v>
      </c>
      <c r="H3903" s="0" t="s">
        <v>152</v>
      </c>
      <c r="I3903" s="0" t="s">
        <v>36</v>
      </c>
      <c r="J3903" s="0" t="s">
        <v>37</v>
      </c>
      <c r="K3903" s="0" t="s">
        <v>48</v>
      </c>
      <c r="L3903" s="0" t="s">
        <v>49</v>
      </c>
      <c r="M3903" s="0" t="s">
        <v>140</v>
      </c>
      <c r="N3903" s="0" t="n">
        <v>1037</v>
      </c>
      <c r="O3903" s="10" t="n">
        <v>0.76382344448939</v>
      </c>
      <c r="P3903" s="10" t="n">
        <v>0.162863194011152</v>
      </c>
      <c r="Q3903" s="0" t="str">
        <f aca="false">SUBSTITUTE(SUBSTITUTE($I3903,CHAR(61),""),CHAR(34),"")</f>
        <v>10-14</v>
      </c>
      <c r="R3903" s="0" t="str">
        <f aca="false">IF($D3903&lt;&gt;"","["&amp;$E3903&amp;"]"&amp;"|"&amp;$Q3903&amp;"|"&amp;$K3903&amp;"|"&amp;$G3903&amp;"|"&amp;IF($G3903="TX_CURR_SUBNAT.R","CY2022Q4",$M3903),"")</f>
        <v>[JQKLKuVuY61]|10-14|Male|Incidence_SUBNAT.Rt.T_1|CY2023Q3</v>
      </c>
    </row>
    <row r="3904" customFormat="false" ht="15" hidden="false" customHeight="false" outlineLevel="0" collapsed="false">
      <c r="D3904" s="0" t="s">
        <v>132</v>
      </c>
      <c r="E3904" s="0" t="s">
        <v>133</v>
      </c>
      <c r="F3904" s="0" t="s">
        <v>134</v>
      </c>
      <c r="G3904" s="0" t="s">
        <v>152</v>
      </c>
      <c r="H3904" s="0" t="s">
        <v>152</v>
      </c>
      <c r="I3904" s="0" t="s">
        <v>38</v>
      </c>
      <c r="J3904" s="0" t="s">
        <v>39</v>
      </c>
      <c r="K3904" s="0" t="s">
        <v>48</v>
      </c>
      <c r="L3904" s="0" t="s">
        <v>49</v>
      </c>
      <c r="M3904" s="0" t="s">
        <v>140</v>
      </c>
      <c r="N3904" s="0" t="n">
        <v>1558</v>
      </c>
      <c r="O3904" s="10" t="n">
        <v>0.227229742566124</v>
      </c>
      <c r="P3904" s="10" t="n">
        <v>0.162863194011152</v>
      </c>
      <c r="Q3904" s="0" t="str">
        <f aca="false">SUBSTITUTE(SUBSTITUTE($I3904,CHAR(61),""),CHAR(34),"")</f>
        <v>15-24</v>
      </c>
      <c r="R3904" s="0" t="str">
        <f aca="false">IF($D3904&lt;&gt;"","["&amp;$E3904&amp;"]"&amp;"|"&amp;$Q3904&amp;"|"&amp;$K3904&amp;"|"&amp;$G3904&amp;"|"&amp;IF($G3904="TX_CURR_SUBNAT.R","CY2022Q4",$M3904),"")</f>
        <v>[JQKLKuVuY61]|15-24|Male|Incidence_SUBNAT.Rt.T_1|CY2023Q3</v>
      </c>
    </row>
    <row r="3905" customFormat="false" ht="15" hidden="false" customHeight="false" outlineLevel="0" collapsed="false">
      <c r="D3905" s="0" t="s">
        <v>132</v>
      </c>
      <c r="E3905" s="0" t="s">
        <v>133</v>
      </c>
      <c r="F3905" s="0" t="s">
        <v>134</v>
      </c>
      <c r="G3905" s="0" t="s">
        <v>152</v>
      </c>
      <c r="H3905" s="0" t="s">
        <v>152</v>
      </c>
      <c r="I3905" s="0" t="s">
        <v>41</v>
      </c>
      <c r="J3905" s="0" t="s">
        <v>42</v>
      </c>
      <c r="K3905" s="0" t="s">
        <v>48</v>
      </c>
      <c r="L3905" s="0" t="s">
        <v>49</v>
      </c>
      <c r="M3905" s="0" t="s">
        <v>140</v>
      </c>
      <c r="N3905" s="0" t="n">
        <v>1163</v>
      </c>
      <c r="O3905" s="10" t="n">
        <v>0.985419534612447</v>
      </c>
      <c r="P3905" s="10" t="n">
        <v>0.162863194011152</v>
      </c>
      <c r="Q3905" s="0" t="str">
        <f aca="false">SUBSTITUTE(SUBSTITUTE($I3905,CHAR(61),""),CHAR(34),"")</f>
        <v>25-34</v>
      </c>
      <c r="R3905" s="0" t="str">
        <f aca="false">IF($D3905&lt;&gt;"","["&amp;$E3905&amp;"]"&amp;"|"&amp;$Q3905&amp;"|"&amp;$K3905&amp;"|"&amp;$G3905&amp;"|"&amp;IF($G3905="TX_CURR_SUBNAT.R","CY2022Q4",$M3905),"")</f>
        <v>[JQKLKuVuY61]|25-34|Male|Incidence_SUBNAT.Rt.T_1|CY2023Q3</v>
      </c>
    </row>
    <row r="3906" customFormat="false" ht="15" hidden="false" customHeight="false" outlineLevel="0" collapsed="false">
      <c r="D3906" s="0" t="s">
        <v>132</v>
      </c>
      <c r="E3906" s="0" t="s">
        <v>133</v>
      </c>
      <c r="F3906" s="0" t="s">
        <v>134</v>
      </c>
      <c r="G3906" s="0" t="s">
        <v>152</v>
      </c>
      <c r="H3906" s="0" t="s">
        <v>152</v>
      </c>
      <c r="I3906" s="0" t="s">
        <v>43</v>
      </c>
      <c r="J3906" s="0" t="s">
        <v>44</v>
      </c>
      <c r="K3906" s="0" t="s">
        <v>48</v>
      </c>
      <c r="L3906" s="0" t="s">
        <v>49</v>
      </c>
      <c r="M3906" s="0" t="s">
        <v>140</v>
      </c>
      <c r="N3906" s="0" t="n">
        <v>907</v>
      </c>
      <c r="O3906" s="10" t="n">
        <v>0.899923544609919</v>
      </c>
      <c r="P3906" s="10" t="n">
        <v>0.162863194011152</v>
      </c>
      <c r="Q3906" s="0" t="str">
        <f aca="false">SUBSTITUTE(SUBSTITUTE($I3906,CHAR(61),""),CHAR(34),"")</f>
        <v>35-49</v>
      </c>
      <c r="R3906" s="0" t="str">
        <f aca="false">IF($D3906&lt;&gt;"","["&amp;$E3906&amp;"]"&amp;"|"&amp;$Q3906&amp;"|"&amp;$K3906&amp;"|"&amp;$G3906&amp;"|"&amp;IF($G3906="TX_CURR_SUBNAT.R","CY2022Q4",$M3906),"")</f>
        <v>[JQKLKuVuY61]|35-49|Male|Incidence_SUBNAT.Rt.T_1|CY2023Q3</v>
      </c>
    </row>
    <row r="3907" customFormat="false" ht="15" hidden="false" customHeight="false" outlineLevel="0" collapsed="false">
      <c r="D3907" s="0" t="s">
        <v>132</v>
      </c>
      <c r="E3907" s="0" t="s">
        <v>133</v>
      </c>
      <c r="F3907" s="0" t="s">
        <v>134</v>
      </c>
      <c r="G3907" s="0" t="s">
        <v>152</v>
      </c>
      <c r="H3907" s="0" t="s">
        <v>152</v>
      </c>
      <c r="I3907" s="0" t="s">
        <v>45</v>
      </c>
      <c r="J3907" s="0" t="s">
        <v>46</v>
      </c>
      <c r="K3907" s="0" t="s">
        <v>48</v>
      </c>
      <c r="L3907" s="0" t="s">
        <v>49</v>
      </c>
      <c r="M3907" s="0" t="s">
        <v>140</v>
      </c>
      <c r="N3907" s="0" t="n">
        <v>1143</v>
      </c>
      <c r="O3907" s="10" t="n">
        <v>0.833315187366679</v>
      </c>
      <c r="P3907" s="10" t="n">
        <v>0.162863194011152</v>
      </c>
      <c r="Q3907" s="0" t="str">
        <f aca="false">SUBSTITUTE(SUBSTITUTE($I3907,CHAR(61),""),CHAR(34),"")</f>
        <v>50+</v>
      </c>
      <c r="R3907" s="0" t="str">
        <f aca="false">IF($D3907&lt;&gt;"","["&amp;$E3907&amp;"]"&amp;"|"&amp;$Q3907&amp;"|"&amp;$K3907&amp;"|"&amp;$G3907&amp;"|"&amp;IF($G3907="TX_CURR_SUBNAT.R","CY2022Q4",$M3907),"")</f>
        <v>[JQKLKuVuY61]|50+|Male|Incidence_SUBNAT.Rt.T_1|CY2023Q3</v>
      </c>
    </row>
    <row r="3908" customFormat="false" ht="15" hidden="false" customHeight="false" outlineLevel="0" collapsed="false">
      <c r="D3908" s="0" t="s">
        <v>135</v>
      </c>
      <c r="E3908" s="0" t="s">
        <v>136</v>
      </c>
      <c r="F3908" s="0" t="s">
        <v>137</v>
      </c>
      <c r="G3908" s="0" t="s">
        <v>152</v>
      </c>
      <c r="H3908" s="0" t="s">
        <v>152</v>
      </c>
      <c r="I3908" s="0" t="s">
        <v>28</v>
      </c>
      <c r="J3908" s="0" t="s">
        <v>29</v>
      </c>
      <c r="K3908" s="0" t="s">
        <v>30</v>
      </c>
      <c r="L3908" s="0" t="s">
        <v>31</v>
      </c>
      <c r="M3908" s="0" t="s">
        <v>140</v>
      </c>
      <c r="N3908" s="0" t="n">
        <v>1202</v>
      </c>
      <c r="O3908" s="10" t="n">
        <v>0.664457543520257</v>
      </c>
      <c r="P3908" s="10" t="n">
        <v>0.955300528323278</v>
      </c>
      <c r="Q3908" s="0" t="str">
        <f aca="false">SUBSTITUTE(SUBSTITUTE($I3908,CHAR(61),""),CHAR(34),"")</f>
        <v>&lt;01</v>
      </c>
      <c r="R3908" s="0" t="str">
        <f aca="false">IF($D3908&lt;&gt;"","["&amp;$E3908&amp;"]"&amp;"|"&amp;$Q3908&amp;"|"&amp;$K3908&amp;"|"&amp;$G3908&amp;"|"&amp;IF($G3908="TX_CURR_SUBNAT.R","CY2022Q4",$M3908),"")</f>
        <v>[fiRkU6gEjLz]|&lt;01|Female|Incidence_SUBNAT.Rt.T_1|CY2023Q3</v>
      </c>
    </row>
    <row r="3909" customFormat="false" ht="15" hidden="false" customHeight="false" outlineLevel="0" collapsed="false">
      <c r="D3909" s="0" t="s">
        <v>135</v>
      </c>
      <c r="E3909" s="0" t="s">
        <v>136</v>
      </c>
      <c r="F3909" s="0" t="s">
        <v>137</v>
      </c>
      <c r="G3909" s="0" t="s">
        <v>152</v>
      </c>
      <c r="H3909" s="0" t="s">
        <v>152</v>
      </c>
      <c r="I3909" s="0" t="s">
        <v>33</v>
      </c>
      <c r="J3909" s="0" t="s">
        <v>34</v>
      </c>
      <c r="K3909" s="0" t="s">
        <v>30</v>
      </c>
      <c r="L3909" s="0" t="s">
        <v>31</v>
      </c>
      <c r="M3909" s="0" t="s">
        <v>140</v>
      </c>
      <c r="N3909" s="0" t="n">
        <v>940</v>
      </c>
      <c r="O3909" s="10" t="n">
        <v>0.937974349828437</v>
      </c>
      <c r="P3909" s="10" t="n">
        <v>0.955300528323278</v>
      </c>
      <c r="Q3909" s="0" t="str">
        <f aca="false">SUBSTITUTE(SUBSTITUTE($I3909,CHAR(61),""),CHAR(34),"")</f>
        <v>01-09</v>
      </c>
      <c r="R3909" s="0" t="str">
        <f aca="false">IF($D3909&lt;&gt;"","["&amp;$E3909&amp;"]"&amp;"|"&amp;$Q3909&amp;"|"&amp;$K3909&amp;"|"&amp;$G3909&amp;"|"&amp;IF($G3909="TX_CURR_SUBNAT.R","CY2022Q4",$M3909),"")</f>
        <v>[fiRkU6gEjLz]|01-09|Female|Incidence_SUBNAT.Rt.T_1|CY2023Q3</v>
      </c>
    </row>
    <row r="3910" customFormat="false" ht="15" hidden="false" customHeight="false" outlineLevel="0" collapsed="false">
      <c r="D3910" s="0" t="s">
        <v>135</v>
      </c>
      <c r="E3910" s="0" t="s">
        <v>136</v>
      </c>
      <c r="F3910" s="0" t="s">
        <v>137</v>
      </c>
      <c r="G3910" s="0" t="s">
        <v>152</v>
      </c>
      <c r="H3910" s="0" t="s">
        <v>152</v>
      </c>
      <c r="I3910" s="0" t="s">
        <v>36</v>
      </c>
      <c r="J3910" s="0" t="s">
        <v>37</v>
      </c>
      <c r="K3910" s="0" t="s">
        <v>30</v>
      </c>
      <c r="L3910" s="0" t="s">
        <v>31</v>
      </c>
      <c r="M3910" s="0" t="s">
        <v>140</v>
      </c>
      <c r="N3910" s="0" t="n">
        <v>1565</v>
      </c>
      <c r="O3910" s="10" t="n">
        <v>0.612084580585361</v>
      </c>
      <c r="P3910" s="10" t="n">
        <v>0.955300528323278</v>
      </c>
      <c r="Q3910" s="0" t="str">
        <f aca="false">SUBSTITUTE(SUBSTITUTE($I3910,CHAR(61),""),CHAR(34),"")</f>
        <v>10-14</v>
      </c>
      <c r="R3910" s="0" t="str">
        <f aca="false">IF($D3910&lt;&gt;"","["&amp;$E3910&amp;"]"&amp;"|"&amp;$Q3910&amp;"|"&amp;$K3910&amp;"|"&amp;$G3910&amp;"|"&amp;IF($G3910="TX_CURR_SUBNAT.R","CY2022Q4",$M3910),"")</f>
        <v>[fiRkU6gEjLz]|10-14|Female|Incidence_SUBNAT.Rt.T_1|CY2023Q3</v>
      </c>
    </row>
    <row r="3911" customFormat="false" ht="15" hidden="false" customHeight="false" outlineLevel="0" collapsed="false">
      <c r="D3911" s="0" t="s">
        <v>135</v>
      </c>
      <c r="E3911" s="0" t="s">
        <v>136</v>
      </c>
      <c r="F3911" s="0" t="s">
        <v>137</v>
      </c>
      <c r="G3911" s="0" t="s">
        <v>152</v>
      </c>
      <c r="H3911" s="0" t="s">
        <v>152</v>
      </c>
      <c r="I3911" s="0" t="s">
        <v>38</v>
      </c>
      <c r="J3911" s="0" t="s">
        <v>39</v>
      </c>
      <c r="K3911" s="0" t="s">
        <v>30</v>
      </c>
      <c r="L3911" s="0" t="s">
        <v>31</v>
      </c>
      <c r="M3911" s="0" t="s">
        <v>140</v>
      </c>
      <c r="N3911" s="0" t="n">
        <v>792</v>
      </c>
      <c r="O3911" s="10" t="n">
        <v>0.424005206907168</v>
      </c>
      <c r="P3911" s="10" t="n">
        <v>0.955300528323278</v>
      </c>
      <c r="Q3911" s="0" t="str">
        <f aca="false">SUBSTITUTE(SUBSTITUTE($I3911,CHAR(61),""),CHAR(34),"")</f>
        <v>15-24</v>
      </c>
      <c r="R3911" s="0" t="str">
        <f aca="false">IF($D3911&lt;&gt;"","["&amp;$E3911&amp;"]"&amp;"|"&amp;$Q3911&amp;"|"&amp;$K3911&amp;"|"&amp;$G3911&amp;"|"&amp;IF($G3911="TX_CURR_SUBNAT.R","CY2022Q4",$M3911),"")</f>
        <v>[fiRkU6gEjLz]|15-24|Female|Incidence_SUBNAT.Rt.T_1|CY2023Q3</v>
      </c>
    </row>
    <row r="3912" customFormat="false" ht="15" hidden="false" customHeight="false" outlineLevel="0" collapsed="false">
      <c r="D3912" s="0" t="s">
        <v>135</v>
      </c>
      <c r="E3912" s="0" t="s">
        <v>136</v>
      </c>
      <c r="F3912" s="0" t="s">
        <v>137</v>
      </c>
      <c r="G3912" s="0" t="s">
        <v>152</v>
      </c>
      <c r="H3912" s="0" t="s">
        <v>152</v>
      </c>
      <c r="I3912" s="0" t="s">
        <v>41</v>
      </c>
      <c r="J3912" s="0" t="s">
        <v>42</v>
      </c>
      <c r="K3912" s="0" t="s">
        <v>30</v>
      </c>
      <c r="L3912" s="0" t="s">
        <v>31</v>
      </c>
      <c r="M3912" s="0" t="s">
        <v>140</v>
      </c>
      <c r="N3912" s="0" t="n">
        <v>1135</v>
      </c>
      <c r="O3912" s="10" t="n">
        <v>0.189143161056563</v>
      </c>
      <c r="P3912" s="10" t="n">
        <v>0.955300528323278</v>
      </c>
      <c r="Q3912" s="0" t="str">
        <f aca="false">SUBSTITUTE(SUBSTITUTE($I3912,CHAR(61),""),CHAR(34),"")</f>
        <v>25-34</v>
      </c>
      <c r="R3912" s="0" t="str">
        <f aca="false">IF($D3912&lt;&gt;"","["&amp;$E3912&amp;"]"&amp;"|"&amp;$Q3912&amp;"|"&amp;$K3912&amp;"|"&amp;$G3912&amp;"|"&amp;IF($G3912="TX_CURR_SUBNAT.R","CY2022Q4",$M3912),"")</f>
        <v>[fiRkU6gEjLz]|25-34|Female|Incidence_SUBNAT.Rt.T_1|CY2023Q3</v>
      </c>
    </row>
    <row r="3913" customFormat="false" ht="15" hidden="false" customHeight="false" outlineLevel="0" collapsed="false">
      <c r="D3913" s="0" t="s">
        <v>135</v>
      </c>
      <c r="E3913" s="0" t="s">
        <v>136</v>
      </c>
      <c r="F3913" s="0" t="s">
        <v>137</v>
      </c>
      <c r="G3913" s="0" t="s">
        <v>152</v>
      </c>
      <c r="H3913" s="0" t="s">
        <v>152</v>
      </c>
      <c r="I3913" s="0" t="s">
        <v>43</v>
      </c>
      <c r="J3913" s="0" t="s">
        <v>44</v>
      </c>
      <c r="K3913" s="0" t="s">
        <v>30</v>
      </c>
      <c r="L3913" s="0" t="s">
        <v>31</v>
      </c>
      <c r="M3913" s="0" t="s">
        <v>140</v>
      </c>
      <c r="N3913" s="0" t="n">
        <v>514</v>
      </c>
      <c r="O3913" s="10" t="n">
        <v>0.683897291077301</v>
      </c>
      <c r="P3913" s="10" t="n">
        <v>0.955300528323278</v>
      </c>
      <c r="Q3913" s="0" t="str">
        <f aca="false">SUBSTITUTE(SUBSTITUTE($I3913,CHAR(61),""),CHAR(34),"")</f>
        <v>35-49</v>
      </c>
      <c r="R3913" s="0" t="str">
        <f aca="false">IF($D3913&lt;&gt;"","["&amp;$E3913&amp;"]"&amp;"|"&amp;$Q3913&amp;"|"&amp;$K3913&amp;"|"&amp;$G3913&amp;"|"&amp;IF($G3913="TX_CURR_SUBNAT.R","CY2022Q4",$M3913),"")</f>
        <v>[fiRkU6gEjLz]|35-49|Female|Incidence_SUBNAT.Rt.T_1|CY2023Q3</v>
      </c>
    </row>
    <row r="3914" customFormat="false" ht="15" hidden="false" customHeight="false" outlineLevel="0" collapsed="false">
      <c r="D3914" s="0" t="s">
        <v>135</v>
      </c>
      <c r="E3914" s="0" t="s">
        <v>136</v>
      </c>
      <c r="F3914" s="0" t="s">
        <v>137</v>
      </c>
      <c r="G3914" s="0" t="s">
        <v>152</v>
      </c>
      <c r="H3914" s="0" t="s">
        <v>152</v>
      </c>
      <c r="I3914" s="0" t="s">
        <v>45</v>
      </c>
      <c r="J3914" s="0" t="s">
        <v>46</v>
      </c>
      <c r="K3914" s="0" t="s">
        <v>30</v>
      </c>
      <c r="L3914" s="0" t="s">
        <v>31</v>
      </c>
      <c r="M3914" s="0" t="s">
        <v>140</v>
      </c>
      <c r="N3914" s="0" t="n">
        <v>840</v>
      </c>
      <c r="O3914" s="10" t="n">
        <v>0.0514644992072135</v>
      </c>
      <c r="P3914" s="10" t="n">
        <v>0.955300528323278</v>
      </c>
      <c r="Q3914" s="0" t="str">
        <f aca="false">SUBSTITUTE(SUBSTITUTE($I3914,CHAR(61),""),CHAR(34),"")</f>
        <v>50+</v>
      </c>
      <c r="R3914" s="0" t="str">
        <f aca="false">IF($D3914&lt;&gt;"","["&amp;$E3914&amp;"]"&amp;"|"&amp;$Q3914&amp;"|"&amp;$K3914&amp;"|"&amp;$G3914&amp;"|"&amp;IF($G3914="TX_CURR_SUBNAT.R","CY2022Q4",$M3914),"")</f>
        <v>[fiRkU6gEjLz]|50+|Female|Incidence_SUBNAT.Rt.T_1|CY2023Q3</v>
      </c>
    </row>
    <row r="3915" customFormat="false" ht="15" hidden="false" customHeight="false" outlineLevel="0" collapsed="false">
      <c r="D3915" s="0" t="s">
        <v>135</v>
      </c>
      <c r="E3915" s="0" t="s">
        <v>136</v>
      </c>
      <c r="F3915" s="0" t="s">
        <v>137</v>
      </c>
      <c r="G3915" s="0" t="s">
        <v>152</v>
      </c>
      <c r="H3915" s="0" t="s">
        <v>152</v>
      </c>
      <c r="I3915" s="0" t="s">
        <v>28</v>
      </c>
      <c r="J3915" s="0" t="s">
        <v>29</v>
      </c>
      <c r="K3915" s="0" t="s">
        <v>48</v>
      </c>
      <c r="L3915" s="0" t="s">
        <v>49</v>
      </c>
      <c r="M3915" s="0" t="s">
        <v>140</v>
      </c>
      <c r="N3915" s="0" t="n">
        <v>1523</v>
      </c>
      <c r="O3915" s="10" t="n">
        <v>0.491321057779714</v>
      </c>
      <c r="P3915" s="10" t="n">
        <v>0.955300528323278</v>
      </c>
      <c r="Q3915" s="0" t="str">
        <f aca="false">SUBSTITUTE(SUBSTITUTE($I3915,CHAR(61),""),CHAR(34),"")</f>
        <v>&lt;01</v>
      </c>
      <c r="R3915" s="0" t="str">
        <f aca="false">IF($D3915&lt;&gt;"","["&amp;$E3915&amp;"]"&amp;"|"&amp;$Q3915&amp;"|"&amp;$K3915&amp;"|"&amp;$G3915&amp;"|"&amp;IF($G3915="TX_CURR_SUBNAT.R","CY2022Q4",$M3915),"")</f>
        <v>[fiRkU6gEjLz]|&lt;01|Male|Incidence_SUBNAT.Rt.T_1|CY2023Q3</v>
      </c>
    </row>
    <row r="3916" customFormat="false" ht="15" hidden="false" customHeight="false" outlineLevel="0" collapsed="false">
      <c r="D3916" s="0" t="s">
        <v>135</v>
      </c>
      <c r="E3916" s="0" t="s">
        <v>136</v>
      </c>
      <c r="F3916" s="0" t="s">
        <v>137</v>
      </c>
      <c r="G3916" s="0" t="s">
        <v>152</v>
      </c>
      <c r="H3916" s="0" t="s">
        <v>152</v>
      </c>
      <c r="I3916" s="0" t="s">
        <v>33</v>
      </c>
      <c r="J3916" s="0" t="s">
        <v>34</v>
      </c>
      <c r="K3916" s="0" t="s">
        <v>48</v>
      </c>
      <c r="L3916" s="0" t="s">
        <v>49</v>
      </c>
      <c r="M3916" s="0" t="s">
        <v>140</v>
      </c>
      <c r="N3916" s="0" t="n">
        <v>1528</v>
      </c>
      <c r="O3916" s="10" t="n">
        <v>0.355720187071711</v>
      </c>
      <c r="P3916" s="10" t="n">
        <v>0.955300528323278</v>
      </c>
      <c r="Q3916" s="0" t="str">
        <f aca="false">SUBSTITUTE(SUBSTITUTE($I3916,CHAR(61),""),CHAR(34),"")</f>
        <v>01-09</v>
      </c>
      <c r="R3916" s="0" t="str">
        <f aca="false">IF($D3916&lt;&gt;"","["&amp;$E3916&amp;"]"&amp;"|"&amp;$Q3916&amp;"|"&amp;$K3916&amp;"|"&amp;$G3916&amp;"|"&amp;IF($G3916="TX_CURR_SUBNAT.R","CY2022Q4",$M3916),"")</f>
        <v>[fiRkU6gEjLz]|01-09|Male|Incidence_SUBNAT.Rt.T_1|CY2023Q3</v>
      </c>
    </row>
    <row r="3917" customFormat="false" ht="15" hidden="false" customHeight="false" outlineLevel="0" collapsed="false">
      <c r="D3917" s="0" t="s">
        <v>135</v>
      </c>
      <c r="E3917" s="0" t="s">
        <v>136</v>
      </c>
      <c r="F3917" s="0" t="s">
        <v>137</v>
      </c>
      <c r="G3917" s="0" t="s">
        <v>152</v>
      </c>
      <c r="H3917" s="0" t="s">
        <v>152</v>
      </c>
      <c r="I3917" s="0" t="s">
        <v>36</v>
      </c>
      <c r="J3917" s="0" t="s">
        <v>37</v>
      </c>
      <c r="K3917" s="0" t="s">
        <v>48</v>
      </c>
      <c r="L3917" s="0" t="s">
        <v>49</v>
      </c>
      <c r="M3917" s="0" t="s">
        <v>140</v>
      </c>
      <c r="N3917" s="0" t="n">
        <v>1111</v>
      </c>
      <c r="O3917" s="10" t="n">
        <v>0.655499702086672</v>
      </c>
      <c r="P3917" s="10" t="n">
        <v>0.955300528323278</v>
      </c>
      <c r="Q3917" s="0" t="str">
        <f aca="false">SUBSTITUTE(SUBSTITUTE($I3917,CHAR(61),""),CHAR(34),"")</f>
        <v>10-14</v>
      </c>
      <c r="R3917" s="0" t="str">
        <f aca="false">IF($D3917&lt;&gt;"","["&amp;$E3917&amp;"]"&amp;"|"&amp;$Q3917&amp;"|"&amp;$K3917&amp;"|"&amp;$G3917&amp;"|"&amp;IF($G3917="TX_CURR_SUBNAT.R","CY2022Q4",$M3917),"")</f>
        <v>[fiRkU6gEjLz]|10-14|Male|Incidence_SUBNAT.Rt.T_1|CY2023Q3</v>
      </c>
    </row>
    <row r="3918" customFormat="false" ht="15" hidden="false" customHeight="false" outlineLevel="0" collapsed="false">
      <c r="D3918" s="0" t="s">
        <v>135</v>
      </c>
      <c r="E3918" s="0" t="s">
        <v>136</v>
      </c>
      <c r="F3918" s="0" t="s">
        <v>137</v>
      </c>
      <c r="G3918" s="0" t="s">
        <v>152</v>
      </c>
      <c r="H3918" s="0" t="s">
        <v>152</v>
      </c>
      <c r="I3918" s="0" t="s">
        <v>38</v>
      </c>
      <c r="J3918" s="0" t="s">
        <v>39</v>
      </c>
      <c r="K3918" s="0" t="s">
        <v>48</v>
      </c>
      <c r="L3918" s="0" t="s">
        <v>49</v>
      </c>
      <c r="M3918" s="0" t="s">
        <v>140</v>
      </c>
      <c r="N3918" s="0" t="n">
        <v>1562</v>
      </c>
      <c r="O3918" s="10" t="n">
        <v>0.481198691762984</v>
      </c>
      <c r="P3918" s="10" t="n">
        <v>0.955300528323278</v>
      </c>
      <c r="Q3918" s="0" t="str">
        <f aca="false">SUBSTITUTE(SUBSTITUTE($I3918,CHAR(61),""),CHAR(34),"")</f>
        <v>15-24</v>
      </c>
      <c r="R3918" s="0" t="str">
        <f aca="false">IF($D3918&lt;&gt;"","["&amp;$E3918&amp;"]"&amp;"|"&amp;$Q3918&amp;"|"&amp;$K3918&amp;"|"&amp;$G3918&amp;"|"&amp;IF($G3918="TX_CURR_SUBNAT.R","CY2022Q4",$M3918),"")</f>
        <v>[fiRkU6gEjLz]|15-24|Male|Incidence_SUBNAT.Rt.T_1|CY2023Q3</v>
      </c>
    </row>
    <row r="3919" customFormat="false" ht="15" hidden="false" customHeight="false" outlineLevel="0" collapsed="false">
      <c r="D3919" s="0" t="s">
        <v>135</v>
      </c>
      <c r="E3919" s="0" t="s">
        <v>136</v>
      </c>
      <c r="F3919" s="0" t="s">
        <v>137</v>
      </c>
      <c r="G3919" s="0" t="s">
        <v>152</v>
      </c>
      <c r="H3919" s="0" t="s">
        <v>152</v>
      </c>
      <c r="I3919" s="0" t="s">
        <v>41</v>
      </c>
      <c r="J3919" s="0" t="s">
        <v>42</v>
      </c>
      <c r="K3919" s="0" t="s">
        <v>48</v>
      </c>
      <c r="L3919" s="0" t="s">
        <v>49</v>
      </c>
      <c r="M3919" s="0" t="s">
        <v>140</v>
      </c>
      <c r="N3919" s="0" t="n">
        <v>1094</v>
      </c>
      <c r="O3919" s="10" t="n">
        <v>0.66391632379964</v>
      </c>
      <c r="P3919" s="10" t="n">
        <v>0.955300528323278</v>
      </c>
      <c r="Q3919" s="0" t="str">
        <f aca="false">SUBSTITUTE(SUBSTITUTE($I3919,CHAR(61),""),CHAR(34),"")</f>
        <v>25-34</v>
      </c>
      <c r="R3919" s="0" t="str">
        <f aca="false">IF($D3919&lt;&gt;"","["&amp;$E3919&amp;"]"&amp;"|"&amp;$Q3919&amp;"|"&amp;$K3919&amp;"|"&amp;$G3919&amp;"|"&amp;IF($G3919="TX_CURR_SUBNAT.R","CY2022Q4",$M3919),"")</f>
        <v>[fiRkU6gEjLz]|25-34|Male|Incidence_SUBNAT.Rt.T_1|CY2023Q3</v>
      </c>
    </row>
    <row r="3920" customFormat="false" ht="15" hidden="false" customHeight="false" outlineLevel="0" collapsed="false">
      <c r="D3920" s="0" t="s">
        <v>135</v>
      </c>
      <c r="E3920" s="0" t="s">
        <v>136</v>
      </c>
      <c r="F3920" s="0" t="s">
        <v>137</v>
      </c>
      <c r="G3920" s="0" t="s">
        <v>152</v>
      </c>
      <c r="H3920" s="0" t="s">
        <v>152</v>
      </c>
      <c r="I3920" s="0" t="s">
        <v>43</v>
      </c>
      <c r="J3920" s="0" t="s">
        <v>44</v>
      </c>
      <c r="K3920" s="0" t="s">
        <v>48</v>
      </c>
      <c r="L3920" s="0" t="s">
        <v>49</v>
      </c>
      <c r="M3920" s="0" t="s">
        <v>140</v>
      </c>
      <c r="N3920" s="0" t="n">
        <v>1750</v>
      </c>
      <c r="O3920" s="10" t="n">
        <v>0.43563701887615</v>
      </c>
      <c r="P3920" s="10" t="n">
        <v>0.955300528323278</v>
      </c>
      <c r="Q3920" s="0" t="str">
        <f aca="false">SUBSTITUTE(SUBSTITUTE($I3920,CHAR(61),""),CHAR(34),"")</f>
        <v>35-49</v>
      </c>
      <c r="R3920" s="0" t="str">
        <f aca="false">IF($D3920&lt;&gt;"","["&amp;$E3920&amp;"]"&amp;"|"&amp;$Q3920&amp;"|"&amp;$K3920&amp;"|"&amp;$G3920&amp;"|"&amp;IF($G3920="TX_CURR_SUBNAT.R","CY2022Q4",$M3920),"")</f>
        <v>[fiRkU6gEjLz]|35-49|Male|Incidence_SUBNAT.Rt.T_1|CY2023Q3</v>
      </c>
    </row>
    <row r="3921" customFormat="false" ht="15" hidden="false" customHeight="false" outlineLevel="0" collapsed="false">
      <c r="D3921" s="0" t="s">
        <v>135</v>
      </c>
      <c r="E3921" s="0" t="s">
        <v>136</v>
      </c>
      <c r="F3921" s="0" t="s">
        <v>137</v>
      </c>
      <c r="G3921" s="0" t="s">
        <v>152</v>
      </c>
      <c r="H3921" s="0" t="s">
        <v>152</v>
      </c>
      <c r="I3921" s="0" t="s">
        <v>45</v>
      </c>
      <c r="J3921" s="0" t="s">
        <v>46</v>
      </c>
      <c r="K3921" s="0" t="s">
        <v>48</v>
      </c>
      <c r="L3921" s="0" t="s">
        <v>49</v>
      </c>
      <c r="M3921" s="0" t="s">
        <v>140</v>
      </c>
      <c r="N3921" s="0" t="n">
        <v>807</v>
      </c>
      <c r="O3921" s="10" t="n">
        <v>0.196666337316856</v>
      </c>
      <c r="P3921" s="10" t="n">
        <v>0.955300528323278</v>
      </c>
      <c r="Q3921" s="0" t="str">
        <f aca="false">SUBSTITUTE(SUBSTITUTE($I3921,CHAR(61),""),CHAR(34),"")</f>
        <v>50+</v>
      </c>
      <c r="R3921" s="0" t="str">
        <f aca="false">IF($D3921&lt;&gt;"","["&amp;$E3921&amp;"]"&amp;"|"&amp;$Q3921&amp;"|"&amp;$K3921&amp;"|"&amp;$G3921&amp;"|"&amp;IF($G3921="TX_CURR_SUBNAT.R","CY2022Q4",$M3921),"")</f>
        <v>[fiRkU6gEjLz]|50+|Male|Incidence_SUBNAT.Rt.T_1|CY2023Q3</v>
      </c>
    </row>
    <row r="3922" customFormat="false" ht="15" hidden="false" customHeight="false" outlineLevel="0" collapsed="false">
      <c r="D3922" s="0" t="s">
        <v>23</v>
      </c>
      <c r="E3922" s="0" t="s">
        <v>24</v>
      </c>
      <c r="F3922" s="0" t="s">
        <v>25</v>
      </c>
      <c r="G3922" s="0" t="s">
        <v>153</v>
      </c>
      <c r="H3922" s="0" t="s">
        <v>153</v>
      </c>
      <c r="I3922" s="0" t="s">
        <v>28</v>
      </c>
      <c r="J3922" s="0" t="s">
        <v>29</v>
      </c>
      <c r="K3922" s="0" t="s">
        <v>30</v>
      </c>
      <c r="L3922" s="0" t="s">
        <v>31</v>
      </c>
      <c r="M3922" s="0" t="s">
        <v>140</v>
      </c>
      <c r="N3922" s="0" t="n">
        <v>605</v>
      </c>
      <c r="O3922" s="10" t="n">
        <v>0.82062971079722</v>
      </c>
      <c r="P3922" s="10" t="n">
        <v>0.404358610976487</v>
      </c>
      <c r="Q3922" s="0" t="str">
        <f aca="false">SUBSTITUTE(SUBSTITUTE($I3922,CHAR(61),""),CHAR(34),"")</f>
        <v>&lt;01</v>
      </c>
      <c r="R3922" s="0" t="str">
        <f aca="false">IF($D3922&lt;&gt;"","["&amp;$E3922&amp;"]"&amp;"|"&amp;$Q3922&amp;"|"&amp;$K3922&amp;"|"&amp;$G3922&amp;"|"&amp;IF($G3922="TX_CURR_SUBNAT.R","CY2022Q4",$M3922),"")</f>
        <v>[GkIwZrXy1h2]|&lt;01|Female|NEW_INFECTIONS_SUBNAT.T_1|CY2023Q3</v>
      </c>
    </row>
    <row r="3923" customFormat="false" ht="15" hidden="false" customHeight="false" outlineLevel="0" collapsed="false">
      <c r="D3923" s="0" t="s">
        <v>23</v>
      </c>
      <c r="E3923" s="0" t="s">
        <v>24</v>
      </c>
      <c r="F3923" s="0" t="s">
        <v>25</v>
      </c>
      <c r="G3923" s="0" t="s">
        <v>153</v>
      </c>
      <c r="H3923" s="0" t="s">
        <v>153</v>
      </c>
      <c r="I3923" s="0" t="s">
        <v>33</v>
      </c>
      <c r="J3923" s="0" t="s">
        <v>34</v>
      </c>
      <c r="K3923" s="0" t="s">
        <v>30</v>
      </c>
      <c r="L3923" s="0" t="s">
        <v>31</v>
      </c>
      <c r="M3923" s="0" t="s">
        <v>140</v>
      </c>
      <c r="N3923" s="0" t="n">
        <v>1934</v>
      </c>
      <c r="O3923" s="10" t="n">
        <v>0.582187405321747</v>
      </c>
      <c r="P3923" s="10" t="n">
        <v>0.404358610976487</v>
      </c>
      <c r="Q3923" s="0" t="str">
        <f aca="false">SUBSTITUTE(SUBSTITUTE($I3923,CHAR(61),""),CHAR(34),"")</f>
        <v>01-09</v>
      </c>
      <c r="R3923" s="0" t="str">
        <f aca="false">IF($D3923&lt;&gt;"","["&amp;$E3923&amp;"]"&amp;"|"&amp;$Q3923&amp;"|"&amp;$K3923&amp;"|"&amp;$G3923&amp;"|"&amp;IF($G3923="TX_CURR_SUBNAT.R","CY2022Q4",$M3923),"")</f>
        <v>[GkIwZrXy1h2]|01-09|Female|NEW_INFECTIONS_SUBNAT.T_1|CY2023Q3</v>
      </c>
    </row>
    <row r="3924" customFormat="false" ht="15" hidden="false" customHeight="false" outlineLevel="0" collapsed="false">
      <c r="D3924" s="0" t="s">
        <v>23</v>
      </c>
      <c r="E3924" s="0" t="s">
        <v>24</v>
      </c>
      <c r="F3924" s="0" t="s">
        <v>25</v>
      </c>
      <c r="G3924" s="0" t="s">
        <v>153</v>
      </c>
      <c r="H3924" s="0" t="s">
        <v>153</v>
      </c>
      <c r="I3924" s="0" t="s">
        <v>36</v>
      </c>
      <c r="J3924" s="0" t="s">
        <v>37</v>
      </c>
      <c r="K3924" s="0" t="s">
        <v>30</v>
      </c>
      <c r="L3924" s="0" t="s">
        <v>31</v>
      </c>
      <c r="M3924" s="0" t="s">
        <v>140</v>
      </c>
      <c r="N3924" s="0" t="n">
        <v>632</v>
      </c>
      <c r="O3924" s="10" t="n">
        <v>0.670829636976123</v>
      </c>
      <c r="P3924" s="10" t="n">
        <v>0.404358610976487</v>
      </c>
      <c r="Q3924" s="0" t="str">
        <f aca="false">SUBSTITUTE(SUBSTITUTE($I3924,CHAR(61),""),CHAR(34),"")</f>
        <v>10-14</v>
      </c>
      <c r="R3924" s="0" t="str">
        <f aca="false">IF($D3924&lt;&gt;"","["&amp;$E3924&amp;"]"&amp;"|"&amp;$Q3924&amp;"|"&amp;$K3924&amp;"|"&amp;$G3924&amp;"|"&amp;IF($G3924="TX_CURR_SUBNAT.R","CY2022Q4",$M3924),"")</f>
        <v>[GkIwZrXy1h2]|10-14|Female|NEW_INFECTIONS_SUBNAT.T_1|CY2023Q3</v>
      </c>
    </row>
    <row r="3925" customFormat="false" ht="15" hidden="false" customHeight="false" outlineLevel="0" collapsed="false">
      <c r="D3925" s="0" t="s">
        <v>23</v>
      </c>
      <c r="E3925" s="0" t="s">
        <v>24</v>
      </c>
      <c r="F3925" s="0" t="s">
        <v>25</v>
      </c>
      <c r="G3925" s="0" t="s">
        <v>153</v>
      </c>
      <c r="H3925" s="0" t="s">
        <v>153</v>
      </c>
      <c r="I3925" s="0" t="s">
        <v>38</v>
      </c>
      <c r="J3925" s="0" t="s">
        <v>39</v>
      </c>
      <c r="K3925" s="0" t="s">
        <v>30</v>
      </c>
      <c r="L3925" s="0" t="s">
        <v>31</v>
      </c>
      <c r="M3925" s="0" t="s">
        <v>140</v>
      </c>
      <c r="N3925" s="0" t="n">
        <v>1506</v>
      </c>
      <c r="O3925" s="10" t="n">
        <v>0.692059015156701</v>
      </c>
      <c r="P3925" s="10" t="n">
        <v>0.404358610976487</v>
      </c>
      <c r="Q3925" s="0" t="str">
        <f aca="false">SUBSTITUTE(SUBSTITUTE($I3925,CHAR(61),""),CHAR(34),"")</f>
        <v>15-24</v>
      </c>
      <c r="R3925" s="0" t="str">
        <f aca="false">IF($D3925&lt;&gt;"","["&amp;$E3925&amp;"]"&amp;"|"&amp;$Q3925&amp;"|"&amp;$K3925&amp;"|"&amp;$G3925&amp;"|"&amp;IF($G3925="TX_CURR_SUBNAT.R","CY2022Q4",$M3925),"")</f>
        <v>[GkIwZrXy1h2]|15-24|Female|NEW_INFECTIONS_SUBNAT.T_1|CY2023Q3</v>
      </c>
    </row>
    <row r="3926" customFormat="false" ht="15" hidden="false" customHeight="false" outlineLevel="0" collapsed="false">
      <c r="D3926" s="0" t="s">
        <v>23</v>
      </c>
      <c r="E3926" s="0" t="s">
        <v>24</v>
      </c>
      <c r="F3926" s="0" t="s">
        <v>25</v>
      </c>
      <c r="G3926" s="0" t="s">
        <v>153</v>
      </c>
      <c r="H3926" s="0" t="s">
        <v>153</v>
      </c>
      <c r="I3926" s="0" t="s">
        <v>41</v>
      </c>
      <c r="J3926" s="0" t="s">
        <v>42</v>
      </c>
      <c r="K3926" s="0" t="s">
        <v>30</v>
      </c>
      <c r="L3926" s="0" t="s">
        <v>31</v>
      </c>
      <c r="M3926" s="0" t="s">
        <v>140</v>
      </c>
      <c r="N3926" s="0" t="n">
        <v>1019</v>
      </c>
      <c r="O3926" s="10" t="n">
        <v>0.877196313580498</v>
      </c>
      <c r="P3926" s="10" t="n">
        <v>0.404358610976487</v>
      </c>
      <c r="Q3926" s="0" t="str">
        <f aca="false">SUBSTITUTE(SUBSTITUTE($I3926,CHAR(61),""),CHAR(34),"")</f>
        <v>25-34</v>
      </c>
      <c r="R3926" s="0" t="str">
        <f aca="false">IF($D3926&lt;&gt;"","["&amp;$E3926&amp;"]"&amp;"|"&amp;$Q3926&amp;"|"&amp;$K3926&amp;"|"&amp;$G3926&amp;"|"&amp;IF($G3926="TX_CURR_SUBNAT.R","CY2022Q4",$M3926),"")</f>
        <v>[GkIwZrXy1h2]|25-34|Female|NEW_INFECTIONS_SUBNAT.T_1|CY2023Q3</v>
      </c>
    </row>
    <row r="3927" customFormat="false" ht="15" hidden="false" customHeight="false" outlineLevel="0" collapsed="false">
      <c r="D3927" s="0" t="s">
        <v>23</v>
      </c>
      <c r="E3927" s="0" t="s">
        <v>24</v>
      </c>
      <c r="F3927" s="0" t="s">
        <v>25</v>
      </c>
      <c r="G3927" s="0" t="s">
        <v>153</v>
      </c>
      <c r="H3927" s="0" t="s">
        <v>153</v>
      </c>
      <c r="I3927" s="0" t="s">
        <v>43</v>
      </c>
      <c r="J3927" s="0" t="s">
        <v>44</v>
      </c>
      <c r="K3927" s="0" t="s">
        <v>30</v>
      </c>
      <c r="L3927" s="0" t="s">
        <v>31</v>
      </c>
      <c r="M3927" s="0" t="s">
        <v>140</v>
      </c>
      <c r="N3927" s="0" t="n">
        <v>1935</v>
      </c>
      <c r="O3927" s="10" t="n">
        <v>0.450414422200993</v>
      </c>
      <c r="P3927" s="10" t="n">
        <v>0.404358610976487</v>
      </c>
      <c r="Q3927" s="0" t="str">
        <f aca="false">SUBSTITUTE(SUBSTITUTE($I3927,CHAR(61),""),CHAR(34),"")</f>
        <v>35-49</v>
      </c>
      <c r="R3927" s="0" t="str">
        <f aca="false">IF($D3927&lt;&gt;"","["&amp;$E3927&amp;"]"&amp;"|"&amp;$Q3927&amp;"|"&amp;$K3927&amp;"|"&amp;$G3927&amp;"|"&amp;IF($G3927="TX_CURR_SUBNAT.R","CY2022Q4",$M3927),"")</f>
        <v>[GkIwZrXy1h2]|35-49|Female|NEW_INFECTIONS_SUBNAT.T_1|CY2023Q3</v>
      </c>
    </row>
    <row r="3928" customFormat="false" ht="15" hidden="false" customHeight="false" outlineLevel="0" collapsed="false">
      <c r="D3928" s="0" t="s">
        <v>23</v>
      </c>
      <c r="E3928" s="0" t="s">
        <v>24</v>
      </c>
      <c r="F3928" s="0" t="s">
        <v>25</v>
      </c>
      <c r="G3928" s="0" t="s">
        <v>153</v>
      </c>
      <c r="H3928" s="0" t="s">
        <v>153</v>
      </c>
      <c r="I3928" s="0" t="s">
        <v>45</v>
      </c>
      <c r="J3928" s="0" t="s">
        <v>46</v>
      </c>
      <c r="K3928" s="0" t="s">
        <v>30</v>
      </c>
      <c r="L3928" s="0" t="s">
        <v>31</v>
      </c>
      <c r="M3928" s="0" t="s">
        <v>140</v>
      </c>
      <c r="N3928" s="0" t="n">
        <v>824</v>
      </c>
      <c r="O3928" s="10" t="n">
        <v>0.526582996593788</v>
      </c>
      <c r="P3928" s="10" t="n">
        <v>0.404358610976487</v>
      </c>
      <c r="Q3928" s="0" t="str">
        <f aca="false">SUBSTITUTE(SUBSTITUTE($I3928,CHAR(61),""),CHAR(34),"")</f>
        <v>50+</v>
      </c>
      <c r="R3928" s="0" t="str">
        <f aca="false">IF($D3928&lt;&gt;"","["&amp;$E3928&amp;"]"&amp;"|"&amp;$Q3928&amp;"|"&amp;$K3928&amp;"|"&amp;$G3928&amp;"|"&amp;IF($G3928="TX_CURR_SUBNAT.R","CY2022Q4",$M3928),"")</f>
        <v>[GkIwZrXy1h2]|50+|Female|NEW_INFECTIONS_SUBNAT.T_1|CY2023Q3</v>
      </c>
    </row>
    <row r="3929" customFormat="false" ht="15" hidden="false" customHeight="false" outlineLevel="0" collapsed="false">
      <c r="D3929" s="0" t="s">
        <v>23</v>
      </c>
      <c r="E3929" s="0" t="s">
        <v>24</v>
      </c>
      <c r="F3929" s="0" t="s">
        <v>25</v>
      </c>
      <c r="G3929" s="0" t="s">
        <v>153</v>
      </c>
      <c r="H3929" s="0" t="s">
        <v>153</v>
      </c>
      <c r="I3929" s="0" t="s">
        <v>28</v>
      </c>
      <c r="J3929" s="0" t="s">
        <v>29</v>
      </c>
      <c r="K3929" s="0" t="s">
        <v>48</v>
      </c>
      <c r="L3929" s="0" t="s">
        <v>49</v>
      </c>
      <c r="M3929" s="0" t="s">
        <v>140</v>
      </c>
      <c r="N3929" s="0" t="n">
        <v>1928</v>
      </c>
      <c r="O3929" s="10" t="n">
        <v>0.240758854430169</v>
      </c>
      <c r="P3929" s="10" t="n">
        <v>0.404358610976487</v>
      </c>
      <c r="Q3929" s="0" t="str">
        <f aca="false">SUBSTITUTE(SUBSTITUTE($I3929,CHAR(61),""),CHAR(34),"")</f>
        <v>&lt;01</v>
      </c>
      <c r="R3929" s="0" t="str">
        <f aca="false">IF($D3929&lt;&gt;"","["&amp;$E3929&amp;"]"&amp;"|"&amp;$Q3929&amp;"|"&amp;$K3929&amp;"|"&amp;$G3929&amp;"|"&amp;IF($G3929="TX_CURR_SUBNAT.R","CY2022Q4",$M3929),"")</f>
        <v>[GkIwZrXy1h2]|&lt;01|Male|NEW_INFECTIONS_SUBNAT.T_1|CY2023Q3</v>
      </c>
    </row>
    <row r="3930" customFormat="false" ht="15" hidden="false" customHeight="false" outlineLevel="0" collapsed="false">
      <c r="D3930" s="0" t="s">
        <v>23</v>
      </c>
      <c r="E3930" s="0" t="s">
        <v>24</v>
      </c>
      <c r="F3930" s="0" t="s">
        <v>25</v>
      </c>
      <c r="G3930" s="0" t="s">
        <v>153</v>
      </c>
      <c r="H3930" s="0" t="s">
        <v>153</v>
      </c>
      <c r="I3930" s="0" t="s">
        <v>33</v>
      </c>
      <c r="J3930" s="0" t="s">
        <v>34</v>
      </c>
      <c r="K3930" s="0" t="s">
        <v>48</v>
      </c>
      <c r="L3930" s="0" t="s">
        <v>49</v>
      </c>
      <c r="M3930" s="0" t="s">
        <v>140</v>
      </c>
      <c r="N3930" s="0" t="n">
        <v>948</v>
      </c>
      <c r="O3930" s="10" t="n">
        <v>0.834291971754283</v>
      </c>
      <c r="P3930" s="10" t="n">
        <v>0.404358610976487</v>
      </c>
      <c r="Q3930" s="0" t="str">
        <f aca="false">SUBSTITUTE(SUBSTITUTE($I3930,CHAR(61),""),CHAR(34),"")</f>
        <v>01-09</v>
      </c>
      <c r="R3930" s="0" t="str">
        <f aca="false">IF($D3930&lt;&gt;"","["&amp;$E3930&amp;"]"&amp;"|"&amp;$Q3930&amp;"|"&amp;$K3930&amp;"|"&amp;$G3930&amp;"|"&amp;IF($G3930="TX_CURR_SUBNAT.R","CY2022Q4",$M3930),"")</f>
        <v>[GkIwZrXy1h2]|01-09|Male|NEW_INFECTIONS_SUBNAT.T_1|CY2023Q3</v>
      </c>
    </row>
    <row r="3931" customFormat="false" ht="15" hidden="false" customHeight="false" outlineLevel="0" collapsed="false">
      <c r="D3931" s="0" t="s">
        <v>23</v>
      </c>
      <c r="E3931" s="0" t="s">
        <v>24</v>
      </c>
      <c r="F3931" s="0" t="s">
        <v>25</v>
      </c>
      <c r="G3931" s="0" t="s">
        <v>153</v>
      </c>
      <c r="H3931" s="0" t="s">
        <v>153</v>
      </c>
      <c r="I3931" s="0" t="s">
        <v>36</v>
      </c>
      <c r="J3931" s="0" t="s">
        <v>37</v>
      </c>
      <c r="K3931" s="0" t="s">
        <v>48</v>
      </c>
      <c r="L3931" s="0" t="s">
        <v>49</v>
      </c>
      <c r="M3931" s="0" t="s">
        <v>140</v>
      </c>
      <c r="N3931" s="0" t="n">
        <v>966</v>
      </c>
      <c r="O3931" s="10" t="n">
        <v>0.469993548700586</v>
      </c>
      <c r="P3931" s="10" t="n">
        <v>0.404358610976487</v>
      </c>
      <c r="Q3931" s="0" t="str">
        <f aca="false">SUBSTITUTE(SUBSTITUTE($I3931,CHAR(61),""),CHAR(34),"")</f>
        <v>10-14</v>
      </c>
      <c r="R3931" s="0" t="str">
        <f aca="false">IF($D3931&lt;&gt;"","["&amp;$E3931&amp;"]"&amp;"|"&amp;$Q3931&amp;"|"&amp;$K3931&amp;"|"&amp;$G3931&amp;"|"&amp;IF($G3931="TX_CURR_SUBNAT.R","CY2022Q4",$M3931),"")</f>
        <v>[GkIwZrXy1h2]|10-14|Male|NEW_INFECTIONS_SUBNAT.T_1|CY2023Q3</v>
      </c>
    </row>
    <row r="3932" customFormat="false" ht="15" hidden="false" customHeight="false" outlineLevel="0" collapsed="false">
      <c r="D3932" s="0" t="s">
        <v>23</v>
      </c>
      <c r="E3932" s="0" t="s">
        <v>24</v>
      </c>
      <c r="F3932" s="0" t="s">
        <v>25</v>
      </c>
      <c r="G3932" s="0" t="s">
        <v>153</v>
      </c>
      <c r="H3932" s="0" t="s">
        <v>153</v>
      </c>
      <c r="I3932" s="0" t="s">
        <v>38</v>
      </c>
      <c r="J3932" s="0" t="s">
        <v>39</v>
      </c>
      <c r="K3932" s="0" t="s">
        <v>48</v>
      </c>
      <c r="L3932" s="0" t="s">
        <v>49</v>
      </c>
      <c r="M3932" s="0" t="s">
        <v>140</v>
      </c>
      <c r="N3932" s="0" t="n">
        <v>623</v>
      </c>
      <c r="O3932" s="10" t="n">
        <v>0.584307474084198</v>
      </c>
      <c r="P3932" s="10" t="n">
        <v>0.404358610976487</v>
      </c>
      <c r="Q3932" s="0" t="str">
        <f aca="false">SUBSTITUTE(SUBSTITUTE($I3932,CHAR(61),""),CHAR(34),"")</f>
        <v>15-24</v>
      </c>
      <c r="R3932" s="0" t="str">
        <f aca="false">IF($D3932&lt;&gt;"","["&amp;$E3932&amp;"]"&amp;"|"&amp;$Q3932&amp;"|"&amp;$K3932&amp;"|"&amp;$G3932&amp;"|"&amp;IF($G3932="TX_CURR_SUBNAT.R","CY2022Q4",$M3932),"")</f>
        <v>[GkIwZrXy1h2]|15-24|Male|NEW_INFECTIONS_SUBNAT.T_1|CY2023Q3</v>
      </c>
    </row>
    <row r="3933" customFormat="false" ht="15" hidden="false" customHeight="false" outlineLevel="0" collapsed="false">
      <c r="D3933" s="0" t="s">
        <v>23</v>
      </c>
      <c r="E3933" s="0" t="s">
        <v>24</v>
      </c>
      <c r="F3933" s="0" t="s">
        <v>25</v>
      </c>
      <c r="G3933" s="0" t="s">
        <v>153</v>
      </c>
      <c r="H3933" s="0" t="s">
        <v>153</v>
      </c>
      <c r="I3933" s="0" t="s">
        <v>41</v>
      </c>
      <c r="J3933" s="0" t="s">
        <v>42</v>
      </c>
      <c r="K3933" s="0" t="s">
        <v>48</v>
      </c>
      <c r="L3933" s="0" t="s">
        <v>49</v>
      </c>
      <c r="M3933" s="0" t="s">
        <v>140</v>
      </c>
      <c r="N3933" s="0" t="n">
        <v>1631</v>
      </c>
      <c r="O3933" s="10" t="n">
        <v>0.194630763027817</v>
      </c>
      <c r="P3933" s="10" t="n">
        <v>0.404358610976487</v>
      </c>
      <c r="Q3933" s="0" t="str">
        <f aca="false">SUBSTITUTE(SUBSTITUTE($I3933,CHAR(61),""),CHAR(34),"")</f>
        <v>25-34</v>
      </c>
      <c r="R3933" s="0" t="str">
        <f aca="false">IF($D3933&lt;&gt;"","["&amp;$E3933&amp;"]"&amp;"|"&amp;$Q3933&amp;"|"&amp;$K3933&amp;"|"&amp;$G3933&amp;"|"&amp;IF($G3933="TX_CURR_SUBNAT.R","CY2022Q4",$M3933),"")</f>
        <v>[GkIwZrXy1h2]|25-34|Male|NEW_INFECTIONS_SUBNAT.T_1|CY2023Q3</v>
      </c>
    </row>
    <row r="3934" customFormat="false" ht="15" hidden="false" customHeight="false" outlineLevel="0" collapsed="false">
      <c r="D3934" s="0" t="s">
        <v>23</v>
      </c>
      <c r="E3934" s="0" t="s">
        <v>24</v>
      </c>
      <c r="F3934" s="0" t="s">
        <v>25</v>
      </c>
      <c r="G3934" s="0" t="s">
        <v>153</v>
      </c>
      <c r="H3934" s="0" t="s">
        <v>153</v>
      </c>
      <c r="I3934" s="0" t="s">
        <v>43</v>
      </c>
      <c r="J3934" s="0" t="s">
        <v>44</v>
      </c>
      <c r="K3934" s="0" t="s">
        <v>48</v>
      </c>
      <c r="L3934" s="0" t="s">
        <v>49</v>
      </c>
      <c r="M3934" s="0" t="s">
        <v>140</v>
      </c>
      <c r="N3934" s="0" t="n">
        <v>586</v>
      </c>
      <c r="O3934" s="10" t="n">
        <v>0.256731997476891</v>
      </c>
      <c r="P3934" s="10" t="n">
        <v>0.404358610976487</v>
      </c>
      <c r="Q3934" s="0" t="str">
        <f aca="false">SUBSTITUTE(SUBSTITUTE($I3934,CHAR(61),""),CHAR(34),"")</f>
        <v>35-49</v>
      </c>
      <c r="R3934" s="0" t="str">
        <f aca="false">IF($D3934&lt;&gt;"","["&amp;$E3934&amp;"]"&amp;"|"&amp;$Q3934&amp;"|"&amp;$K3934&amp;"|"&amp;$G3934&amp;"|"&amp;IF($G3934="TX_CURR_SUBNAT.R","CY2022Q4",$M3934),"")</f>
        <v>[GkIwZrXy1h2]|35-49|Male|NEW_INFECTIONS_SUBNAT.T_1|CY2023Q3</v>
      </c>
    </row>
    <row r="3935" customFormat="false" ht="15" hidden="false" customHeight="false" outlineLevel="0" collapsed="false">
      <c r="D3935" s="0" t="s">
        <v>23</v>
      </c>
      <c r="E3935" s="0" t="s">
        <v>24</v>
      </c>
      <c r="F3935" s="0" t="s">
        <v>25</v>
      </c>
      <c r="G3935" s="0" t="s">
        <v>153</v>
      </c>
      <c r="H3935" s="0" t="s">
        <v>153</v>
      </c>
      <c r="I3935" s="0" t="s">
        <v>45</v>
      </c>
      <c r="J3935" s="0" t="s">
        <v>46</v>
      </c>
      <c r="K3935" s="0" t="s">
        <v>48</v>
      </c>
      <c r="L3935" s="0" t="s">
        <v>49</v>
      </c>
      <c r="M3935" s="0" t="s">
        <v>140</v>
      </c>
      <c r="N3935" s="0" t="n">
        <v>1317</v>
      </c>
      <c r="O3935" s="10" t="n">
        <v>0.149486851878464</v>
      </c>
      <c r="P3935" s="10" t="n">
        <v>0.404358610976487</v>
      </c>
      <c r="Q3935" s="0" t="str">
        <f aca="false">SUBSTITUTE(SUBSTITUTE($I3935,CHAR(61),""),CHAR(34),"")</f>
        <v>50+</v>
      </c>
      <c r="R3935" s="0" t="str">
        <f aca="false">IF($D3935&lt;&gt;"","["&amp;$E3935&amp;"]"&amp;"|"&amp;$Q3935&amp;"|"&amp;$K3935&amp;"|"&amp;$G3935&amp;"|"&amp;IF($G3935="TX_CURR_SUBNAT.R","CY2022Q4",$M3935),"")</f>
        <v>[GkIwZrXy1h2]|50+|Male|NEW_INFECTIONS_SUBNAT.T_1|CY2023Q3</v>
      </c>
    </row>
    <row r="3936" customFormat="false" ht="15" hidden="false" customHeight="false" outlineLevel="0" collapsed="false">
      <c r="D3936" s="0" t="s">
        <v>53</v>
      </c>
      <c r="E3936" s="0" t="s">
        <v>54</v>
      </c>
      <c r="F3936" s="0" t="s">
        <v>55</v>
      </c>
      <c r="G3936" s="0" t="s">
        <v>153</v>
      </c>
      <c r="H3936" s="0" t="s">
        <v>153</v>
      </c>
      <c r="I3936" s="0" t="s">
        <v>28</v>
      </c>
      <c r="J3936" s="0" t="s">
        <v>29</v>
      </c>
      <c r="K3936" s="0" t="s">
        <v>30</v>
      </c>
      <c r="L3936" s="0" t="s">
        <v>31</v>
      </c>
      <c r="M3936" s="0" t="s">
        <v>140</v>
      </c>
      <c r="N3936" s="0" t="n">
        <v>1839</v>
      </c>
      <c r="O3936" s="10" t="n">
        <v>0.41118138609454</v>
      </c>
      <c r="P3936" s="10" t="n">
        <v>0.616392469964921</v>
      </c>
      <c r="Q3936" s="0" t="str">
        <f aca="false">SUBSTITUTE(SUBSTITUTE($I3936,CHAR(61),""),CHAR(34),"")</f>
        <v>&lt;01</v>
      </c>
      <c r="R3936" s="0" t="str">
        <f aca="false">IF($D3936&lt;&gt;"","["&amp;$E3936&amp;"]"&amp;"|"&amp;$Q3936&amp;"|"&amp;$K3936&amp;"|"&amp;$G3936&amp;"|"&amp;IF($G3936="TX_CURR_SUBNAT.R","CY2022Q4",$M3936),"")</f>
        <v>[zphK9WV8JB4]|&lt;01|Female|NEW_INFECTIONS_SUBNAT.T_1|CY2023Q3</v>
      </c>
    </row>
    <row r="3937" customFormat="false" ht="15" hidden="false" customHeight="false" outlineLevel="0" collapsed="false">
      <c r="D3937" s="0" t="s">
        <v>53</v>
      </c>
      <c r="E3937" s="0" t="s">
        <v>54</v>
      </c>
      <c r="F3937" s="0" t="s">
        <v>55</v>
      </c>
      <c r="G3937" s="0" t="s">
        <v>153</v>
      </c>
      <c r="H3937" s="0" t="s">
        <v>153</v>
      </c>
      <c r="I3937" s="0" t="s">
        <v>33</v>
      </c>
      <c r="J3937" s="0" t="s">
        <v>34</v>
      </c>
      <c r="K3937" s="0" t="s">
        <v>30</v>
      </c>
      <c r="L3937" s="0" t="s">
        <v>31</v>
      </c>
      <c r="M3937" s="0" t="s">
        <v>140</v>
      </c>
      <c r="N3937" s="0" t="n">
        <v>829</v>
      </c>
      <c r="O3937" s="10" t="n">
        <v>0.478691265685484</v>
      </c>
      <c r="P3937" s="10" t="n">
        <v>0.616392469964921</v>
      </c>
      <c r="Q3937" s="0" t="str">
        <f aca="false">SUBSTITUTE(SUBSTITUTE($I3937,CHAR(61),""),CHAR(34),"")</f>
        <v>01-09</v>
      </c>
      <c r="R3937" s="0" t="str">
        <f aca="false">IF($D3937&lt;&gt;"","["&amp;$E3937&amp;"]"&amp;"|"&amp;$Q3937&amp;"|"&amp;$K3937&amp;"|"&amp;$G3937&amp;"|"&amp;IF($G3937="TX_CURR_SUBNAT.R","CY2022Q4",$M3937),"")</f>
        <v>[zphK9WV8JB4]|01-09|Female|NEW_INFECTIONS_SUBNAT.T_1|CY2023Q3</v>
      </c>
    </row>
    <row r="3938" customFormat="false" ht="15" hidden="false" customHeight="false" outlineLevel="0" collapsed="false">
      <c r="D3938" s="0" t="s">
        <v>53</v>
      </c>
      <c r="E3938" s="0" t="s">
        <v>54</v>
      </c>
      <c r="F3938" s="0" t="s">
        <v>55</v>
      </c>
      <c r="G3938" s="0" t="s">
        <v>153</v>
      </c>
      <c r="H3938" s="0" t="s">
        <v>153</v>
      </c>
      <c r="I3938" s="0" t="s">
        <v>36</v>
      </c>
      <c r="J3938" s="0" t="s">
        <v>37</v>
      </c>
      <c r="K3938" s="0" t="s">
        <v>30</v>
      </c>
      <c r="L3938" s="0" t="s">
        <v>31</v>
      </c>
      <c r="M3938" s="0" t="s">
        <v>140</v>
      </c>
      <c r="N3938" s="0" t="n">
        <v>1631</v>
      </c>
      <c r="O3938" s="10" t="n">
        <v>0.933473889017478</v>
      </c>
      <c r="P3938" s="10" t="n">
        <v>0.616392469964921</v>
      </c>
      <c r="Q3938" s="0" t="str">
        <f aca="false">SUBSTITUTE(SUBSTITUTE($I3938,CHAR(61),""),CHAR(34),"")</f>
        <v>10-14</v>
      </c>
      <c r="R3938" s="0" t="str">
        <f aca="false">IF($D3938&lt;&gt;"","["&amp;$E3938&amp;"]"&amp;"|"&amp;$Q3938&amp;"|"&amp;$K3938&amp;"|"&amp;$G3938&amp;"|"&amp;IF($G3938="TX_CURR_SUBNAT.R","CY2022Q4",$M3938),"")</f>
        <v>[zphK9WV8JB4]|10-14|Female|NEW_INFECTIONS_SUBNAT.T_1|CY2023Q3</v>
      </c>
    </row>
    <row r="3939" customFormat="false" ht="15" hidden="false" customHeight="false" outlineLevel="0" collapsed="false">
      <c r="D3939" s="0" t="s">
        <v>53</v>
      </c>
      <c r="E3939" s="0" t="s">
        <v>54</v>
      </c>
      <c r="F3939" s="0" t="s">
        <v>55</v>
      </c>
      <c r="G3939" s="0" t="s">
        <v>153</v>
      </c>
      <c r="H3939" s="0" t="s">
        <v>153</v>
      </c>
      <c r="I3939" s="0" t="s">
        <v>38</v>
      </c>
      <c r="J3939" s="0" t="s">
        <v>39</v>
      </c>
      <c r="K3939" s="0" t="s">
        <v>30</v>
      </c>
      <c r="L3939" s="0" t="s">
        <v>31</v>
      </c>
      <c r="M3939" s="0" t="s">
        <v>140</v>
      </c>
      <c r="N3939" s="0" t="n">
        <v>532</v>
      </c>
      <c r="O3939" s="10" t="n">
        <v>0.151038440177217</v>
      </c>
      <c r="P3939" s="10" t="n">
        <v>0.616392469964921</v>
      </c>
      <c r="Q3939" s="0" t="str">
        <f aca="false">SUBSTITUTE(SUBSTITUTE($I3939,CHAR(61),""),CHAR(34),"")</f>
        <v>15-24</v>
      </c>
      <c r="R3939" s="0" t="str">
        <f aca="false">IF($D3939&lt;&gt;"","["&amp;$E3939&amp;"]"&amp;"|"&amp;$Q3939&amp;"|"&amp;$K3939&amp;"|"&amp;$G3939&amp;"|"&amp;IF($G3939="TX_CURR_SUBNAT.R","CY2022Q4",$M3939),"")</f>
        <v>[zphK9WV8JB4]|15-24|Female|NEW_INFECTIONS_SUBNAT.T_1|CY2023Q3</v>
      </c>
    </row>
    <row r="3940" customFormat="false" ht="15" hidden="false" customHeight="false" outlineLevel="0" collapsed="false">
      <c r="D3940" s="0" t="s">
        <v>53</v>
      </c>
      <c r="E3940" s="0" t="s">
        <v>54</v>
      </c>
      <c r="F3940" s="0" t="s">
        <v>55</v>
      </c>
      <c r="G3940" s="0" t="s">
        <v>153</v>
      </c>
      <c r="H3940" s="0" t="s">
        <v>153</v>
      </c>
      <c r="I3940" s="0" t="s">
        <v>41</v>
      </c>
      <c r="J3940" s="0" t="s">
        <v>42</v>
      </c>
      <c r="K3940" s="0" t="s">
        <v>30</v>
      </c>
      <c r="L3940" s="0" t="s">
        <v>31</v>
      </c>
      <c r="M3940" s="0" t="s">
        <v>140</v>
      </c>
      <c r="N3940" s="0" t="n">
        <v>1850</v>
      </c>
      <c r="O3940" s="10" t="n">
        <v>0.63546948437579</v>
      </c>
      <c r="P3940" s="10" t="n">
        <v>0.616392469964921</v>
      </c>
      <c r="Q3940" s="0" t="str">
        <f aca="false">SUBSTITUTE(SUBSTITUTE($I3940,CHAR(61),""),CHAR(34),"")</f>
        <v>25-34</v>
      </c>
      <c r="R3940" s="0" t="str">
        <f aca="false">IF($D3940&lt;&gt;"","["&amp;$E3940&amp;"]"&amp;"|"&amp;$Q3940&amp;"|"&amp;$K3940&amp;"|"&amp;$G3940&amp;"|"&amp;IF($G3940="TX_CURR_SUBNAT.R","CY2022Q4",$M3940),"")</f>
        <v>[zphK9WV8JB4]|25-34|Female|NEW_INFECTIONS_SUBNAT.T_1|CY2023Q3</v>
      </c>
    </row>
    <row r="3941" customFormat="false" ht="15" hidden="false" customHeight="false" outlineLevel="0" collapsed="false">
      <c r="D3941" s="0" t="s">
        <v>53</v>
      </c>
      <c r="E3941" s="0" t="s">
        <v>54</v>
      </c>
      <c r="F3941" s="0" t="s">
        <v>55</v>
      </c>
      <c r="G3941" s="0" t="s">
        <v>153</v>
      </c>
      <c r="H3941" s="0" t="s">
        <v>153</v>
      </c>
      <c r="I3941" s="0" t="s">
        <v>43</v>
      </c>
      <c r="J3941" s="0" t="s">
        <v>44</v>
      </c>
      <c r="K3941" s="0" t="s">
        <v>30</v>
      </c>
      <c r="L3941" s="0" t="s">
        <v>31</v>
      </c>
      <c r="M3941" s="0" t="s">
        <v>140</v>
      </c>
      <c r="N3941" s="0" t="n">
        <v>1492</v>
      </c>
      <c r="O3941" s="10" t="n">
        <v>0.422274933662266</v>
      </c>
      <c r="P3941" s="10" t="n">
        <v>0.616392469964921</v>
      </c>
      <c r="Q3941" s="0" t="str">
        <f aca="false">SUBSTITUTE(SUBSTITUTE($I3941,CHAR(61),""),CHAR(34),"")</f>
        <v>35-49</v>
      </c>
      <c r="R3941" s="0" t="str">
        <f aca="false">IF($D3941&lt;&gt;"","["&amp;$E3941&amp;"]"&amp;"|"&amp;$Q3941&amp;"|"&amp;$K3941&amp;"|"&amp;$G3941&amp;"|"&amp;IF($G3941="TX_CURR_SUBNAT.R","CY2022Q4",$M3941),"")</f>
        <v>[zphK9WV8JB4]|35-49|Female|NEW_INFECTIONS_SUBNAT.T_1|CY2023Q3</v>
      </c>
    </row>
    <row r="3942" customFormat="false" ht="15" hidden="false" customHeight="false" outlineLevel="0" collapsed="false">
      <c r="D3942" s="0" t="s">
        <v>53</v>
      </c>
      <c r="E3942" s="0" t="s">
        <v>54</v>
      </c>
      <c r="F3942" s="0" t="s">
        <v>55</v>
      </c>
      <c r="G3942" s="0" t="s">
        <v>153</v>
      </c>
      <c r="H3942" s="0" t="s">
        <v>153</v>
      </c>
      <c r="I3942" s="0" t="s">
        <v>45</v>
      </c>
      <c r="J3942" s="0" t="s">
        <v>46</v>
      </c>
      <c r="K3942" s="0" t="s">
        <v>30</v>
      </c>
      <c r="L3942" s="0" t="s">
        <v>31</v>
      </c>
      <c r="M3942" s="0" t="s">
        <v>140</v>
      </c>
      <c r="N3942" s="0" t="n">
        <v>1637</v>
      </c>
      <c r="O3942" s="10" t="n">
        <v>0.877491878112778</v>
      </c>
      <c r="P3942" s="10" t="n">
        <v>0.616392469964921</v>
      </c>
      <c r="Q3942" s="0" t="str">
        <f aca="false">SUBSTITUTE(SUBSTITUTE($I3942,CHAR(61),""),CHAR(34),"")</f>
        <v>50+</v>
      </c>
      <c r="R3942" s="0" t="str">
        <f aca="false">IF($D3942&lt;&gt;"","["&amp;$E3942&amp;"]"&amp;"|"&amp;$Q3942&amp;"|"&amp;$K3942&amp;"|"&amp;$G3942&amp;"|"&amp;IF($G3942="TX_CURR_SUBNAT.R","CY2022Q4",$M3942),"")</f>
        <v>[zphK9WV8JB4]|50+|Female|NEW_INFECTIONS_SUBNAT.T_1|CY2023Q3</v>
      </c>
    </row>
    <row r="3943" customFormat="false" ht="15" hidden="false" customHeight="false" outlineLevel="0" collapsed="false">
      <c r="D3943" s="0" t="s">
        <v>53</v>
      </c>
      <c r="E3943" s="0" t="s">
        <v>54</v>
      </c>
      <c r="F3943" s="0" t="s">
        <v>55</v>
      </c>
      <c r="G3943" s="0" t="s">
        <v>153</v>
      </c>
      <c r="H3943" s="0" t="s">
        <v>153</v>
      </c>
      <c r="I3943" s="0" t="s">
        <v>28</v>
      </c>
      <c r="J3943" s="0" t="s">
        <v>29</v>
      </c>
      <c r="K3943" s="0" t="s">
        <v>48</v>
      </c>
      <c r="L3943" s="0" t="s">
        <v>49</v>
      </c>
      <c r="M3943" s="0" t="s">
        <v>140</v>
      </c>
      <c r="N3943" s="0" t="n">
        <v>1854</v>
      </c>
      <c r="O3943" s="10" t="n">
        <v>0.29701014677994</v>
      </c>
      <c r="P3943" s="10" t="n">
        <v>0.616392469964921</v>
      </c>
      <c r="Q3943" s="0" t="str">
        <f aca="false">SUBSTITUTE(SUBSTITUTE($I3943,CHAR(61),""),CHAR(34),"")</f>
        <v>&lt;01</v>
      </c>
      <c r="R3943" s="0" t="str">
        <f aca="false">IF($D3943&lt;&gt;"","["&amp;$E3943&amp;"]"&amp;"|"&amp;$Q3943&amp;"|"&amp;$K3943&amp;"|"&amp;$G3943&amp;"|"&amp;IF($G3943="TX_CURR_SUBNAT.R","CY2022Q4",$M3943),"")</f>
        <v>[zphK9WV8JB4]|&lt;01|Male|NEW_INFECTIONS_SUBNAT.T_1|CY2023Q3</v>
      </c>
    </row>
    <row r="3944" customFormat="false" ht="15" hidden="false" customHeight="false" outlineLevel="0" collapsed="false">
      <c r="D3944" s="0" t="s">
        <v>53</v>
      </c>
      <c r="E3944" s="0" t="s">
        <v>54</v>
      </c>
      <c r="F3944" s="0" t="s">
        <v>55</v>
      </c>
      <c r="G3944" s="0" t="s">
        <v>153</v>
      </c>
      <c r="H3944" s="0" t="s">
        <v>153</v>
      </c>
      <c r="I3944" s="0" t="s">
        <v>33</v>
      </c>
      <c r="J3944" s="0" t="s">
        <v>34</v>
      </c>
      <c r="K3944" s="0" t="s">
        <v>48</v>
      </c>
      <c r="L3944" s="0" t="s">
        <v>49</v>
      </c>
      <c r="M3944" s="0" t="s">
        <v>140</v>
      </c>
      <c r="N3944" s="0" t="n">
        <v>622</v>
      </c>
      <c r="O3944" s="10" t="n">
        <v>0.44089283933863</v>
      </c>
      <c r="P3944" s="10" t="n">
        <v>0.616392469964921</v>
      </c>
      <c r="Q3944" s="0" t="str">
        <f aca="false">SUBSTITUTE(SUBSTITUTE($I3944,CHAR(61),""),CHAR(34),"")</f>
        <v>01-09</v>
      </c>
      <c r="R3944" s="0" t="str">
        <f aca="false">IF($D3944&lt;&gt;"","["&amp;$E3944&amp;"]"&amp;"|"&amp;$Q3944&amp;"|"&amp;$K3944&amp;"|"&amp;$G3944&amp;"|"&amp;IF($G3944="TX_CURR_SUBNAT.R","CY2022Q4",$M3944),"")</f>
        <v>[zphK9WV8JB4]|01-09|Male|NEW_INFECTIONS_SUBNAT.T_1|CY2023Q3</v>
      </c>
    </row>
    <row r="3945" customFormat="false" ht="15" hidden="false" customHeight="false" outlineLevel="0" collapsed="false">
      <c r="D3945" s="0" t="s">
        <v>53</v>
      </c>
      <c r="E3945" s="0" t="s">
        <v>54</v>
      </c>
      <c r="F3945" s="0" t="s">
        <v>55</v>
      </c>
      <c r="G3945" s="0" t="s">
        <v>153</v>
      </c>
      <c r="H3945" s="0" t="s">
        <v>153</v>
      </c>
      <c r="I3945" s="0" t="s">
        <v>36</v>
      </c>
      <c r="J3945" s="0" t="s">
        <v>37</v>
      </c>
      <c r="K3945" s="0" t="s">
        <v>48</v>
      </c>
      <c r="L3945" s="0" t="s">
        <v>49</v>
      </c>
      <c r="M3945" s="0" t="s">
        <v>140</v>
      </c>
      <c r="N3945" s="0" t="n">
        <v>1304</v>
      </c>
      <c r="O3945" s="10" t="n">
        <v>0.364565323805436</v>
      </c>
      <c r="P3945" s="10" t="n">
        <v>0.616392469964921</v>
      </c>
      <c r="Q3945" s="0" t="str">
        <f aca="false">SUBSTITUTE(SUBSTITUTE($I3945,CHAR(61),""),CHAR(34),"")</f>
        <v>10-14</v>
      </c>
      <c r="R3945" s="0" t="str">
        <f aca="false">IF($D3945&lt;&gt;"","["&amp;$E3945&amp;"]"&amp;"|"&amp;$Q3945&amp;"|"&amp;$K3945&amp;"|"&amp;$G3945&amp;"|"&amp;IF($G3945="TX_CURR_SUBNAT.R","CY2022Q4",$M3945),"")</f>
        <v>[zphK9WV8JB4]|10-14|Male|NEW_INFECTIONS_SUBNAT.T_1|CY2023Q3</v>
      </c>
    </row>
    <row r="3946" customFormat="false" ht="15" hidden="false" customHeight="false" outlineLevel="0" collapsed="false">
      <c r="D3946" s="0" t="s">
        <v>53</v>
      </c>
      <c r="E3946" s="0" t="s">
        <v>54</v>
      </c>
      <c r="F3946" s="0" t="s">
        <v>55</v>
      </c>
      <c r="G3946" s="0" t="s">
        <v>153</v>
      </c>
      <c r="H3946" s="0" t="s">
        <v>153</v>
      </c>
      <c r="I3946" s="0" t="s">
        <v>38</v>
      </c>
      <c r="J3946" s="0" t="s">
        <v>39</v>
      </c>
      <c r="K3946" s="0" t="s">
        <v>48</v>
      </c>
      <c r="L3946" s="0" t="s">
        <v>49</v>
      </c>
      <c r="M3946" s="0" t="s">
        <v>140</v>
      </c>
      <c r="N3946" s="0" t="n">
        <v>1009</v>
      </c>
      <c r="O3946" s="10" t="n">
        <v>0.605189715279266</v>
      </c>
      <c r="P3946" s="10" t="n">
        <v>0.616392469964921</v>
      </c>
      <c r="Q3946" s="0" t="str">
        <f aca="false">SUBSTITUTE(SUBSTITUTE($I3946,CHAR(61),""),CHAR(34),"")</f>
        <v>15-24</v>
      </c>
      <c r="R3946" s="0" t="str">
        <f aca="false">IF($D3946&lt;&gt;"","["&amp;$E3946&amp;"]"&amp;"|"&amp;$Q3946&amp;"|"&amp;$K3946&amp;"|"&amp;$G3946&amp;"|"&amp;IF($G3946="TX_CURR_SUBNAT.R","CY2022Q4",$M3946),"")</f>
        <v>[zphK9WV8JB4]|15-24|Male|NEW_INFECTIONS_SUBNAT.T_1|CY2023Q3</v>
      </c>
    </row>
    <row r="3947" customFormat="false" ht="15" hidden="false" customHeight="false" outlineLevel="0" collapsed="false">
      <c r="D3947" s="0" t="s">
        <v>53</v>
      </c>
      <c r="E3947" s="0" t="s">
        <v>54</v>
      </c>
      <c r="F3947" s="0" t="s">
        <v>55</v>
      </c>
      <c r="G3947" s="0" t="s">
        <v>153</v>
      </c>
      <c r="H3947" s="0" t="s">
        <v>153</v>
      </c>
      <c r="I3947" s="0" t="s">
        <v>41</v>
      </c>
      <c r="J3947" s="0" t="s">
        <v>42</v>
      </c>
      <c r="K3947" s="0" t="s">
        <v>48</v>
      </c>
      <c r="L3947" s="0" t="s">
        <v>49</v>
      </c>
      <c r="M3947" s="0" t="s">
        <v>140</v>
      </c>
      <c r="N3947" s="0" t="n">
        <v>564</v>
      </c>
      <c r="O3947" s="10" t="n">
        <v>0.463009038707241</v>
      </c>
      <c r="P3947" s="10" t="n">
        <v>0.616392469964921</v>
      </c>
      <c r="Q3947" s="0" t="str">
        <f aca="false">SUBSTITUTE(SUBSTITUTE($I3947,CHAR(61),""),CHAR(34),"")</f>
        <v>25-34</v>
      </c>
      <c r="R3947" s="0" t="str">
        <f aca="false">IF($D3947&lt;&gt;"","["&amp;$E3947&amp;"]"&amp;"|"&amp;$Q3947&amp;"|"&amp;$K3947&amp;"|"&amp;$G3947&amp;"|"&amp;IF($G3947="TX_CURR_SUBNAT.R","CY2022Q4",$M3947),"")</f>
        <v>[zphK9WV8JB4]|25-34|Male|NEW_INFECTIONS_SUBNAT.T_1|CY2023Q3</v>
      </c>
    </row>
    <row r="3948" customFormat="false" ht="15" hidden="false" customHeight="false" outlineLevel="0" collapsed="false">
      <c r="D3948" s="0" t="s">
        <v>53</v>
      </c>
      <c r="E3948" s="0" t="s">
        <v>54</v>
      </c>
      <c r="F3948" s="0" t="s">
        <v>55</v>
      </c>
      <c r="G3948" s="0" t="s">
        <v>153</v>
      </c>
      <c r="H3948" s="0" t="s">
        <v>153</v>
      </c>
      <c r="I3948" s="0" t="s">
        <v>43</v>
      </c>
      <c r="J3948" s="0" t="s">
        <v>44</v>
      </c>
      <c r="K3948" s="0" t="s">
        <v>48</v>
      </c>
      <c r="L3948" s="0" t="s">
        <v>49</v>
      </c>
      <c r="M3948" s="0" t="s">
        <v>140</v>
      </c>
      <c r="N3948" s="0" t="n">
        <v>1333</v>
      </c>
      <c r="O3948" s="10" t="n">
        <v>0.995111603988335</v>
      </c>
      <c r="P3948" s="10" t="n">
        <v>0.616392469964921</v>
      </c>
      <c r="Q3948" s="0" t="str">
        <f aca="false">SUBSTITUTE(SUBSTITUTE($I3948,CHAR(61),""),CHAR(34),"")</f>
        <v>35-49</v>
      </c>
      <c r="R3948" s="0" t="str">
        <f aca="false">IF($D3948&lt;&gt;"","["&amp;$E3948&amp;"]"&amp;"|"&amp;$Q3948&amp;"|"&amp;$K3948&amp;"|"&amp;$G3948&amp;"|"&amp;IF($G3948="TX_CURR_SUBNAT.R","CY2022Q4",$M3948),"")</f>
        <v>[zphK9WV8JB4]|35-49|Male|NEW_INFECTIONS_SUBNAT.T_1|CY2023Q3</v>
      </c>
    </row>
    <row r="3949" customFormat="false" ht="15" hidden="false" customHeight="false" outlineLevel="0" collapsed="false">
      <c r="D3949" s="0" t="s">
        <v>53</v>
      </c>
      <c r="E3949" s="0" t="s">
        <v>54</v>
      </c>
      <c r="F3949" s="0" t="s">
        <v>55</v>
      </c>
      <c r="G3949" s="0" t="s">
        <v>153</v>
      </c>
      <c r="H3949" s="0" t="s">
        <v>153</v>
      </c>
      <c r="I3949" s="0" t="s">
        <v>45</v>
      </c>
      <c r="J3949" s="0" t="s">
        <v>46</v>
      </c>
      <c r="K3949" s="0" t="s">
        <v>48</v>
      </c>
      <c r="L3949" s="0" t="s">
        <v>49</v>
      </c>
      <c r="M3949" s="0" t="s">
        <v>140</v>
      </c>
      <c r="N3949" s="0" t="n">
        <v>957</v>
      </c>
      <c r="O3949" s="10" t="n">
        <v>0.686583664501086</v>
      </c>
      <c r="P3949" s="10" t="n">
        <v>0.616392469964921</v>
      </c>
      <c r="Q3949" s="0" t="str">
        <f aca="false">SUBSTITUTE(SUBSTITUTE($I3949,CHAR(61),""),CHAR(34),"")</f>
        <v>50+</v>
      </c>
      <c r="R3949" s="0" t="str">
        <f aca="false">IF($D3949&lt;&gt;"","["&amp;$E3949&amp;"]"&amp;"|"&amp;$Q3949&amp;"|"&amp;$K3949&amp;"|"&amp;$G3949&amp;"|"&amp;IF($G3949="TX_CURR_SUBNAT.R","CY2022Q4",$M3949),"")</f>
        <v>[zphK9WV8JB4]|50+|Male|NEW_INFECTIONS_SUBNAT.T_1|CY2023Q3</v>
      </c>
    </row>
    <row r="3950" customFormat="false" ht="15" hidden="false" customHeight="false" outlineLevel="0" collapsed="false">
      <c r="D3950" s="0" t="s">
        <v>60</v>
      </c>
      <c r="E3950" s="0" t="s">
        <v>61</v>
      </c>
      <c r="F3950" s="0" t="s">
        <v>62</v>
      </c>
      <c r="G3950" s="0" t="s">
        <v>153</v>
      </c>
      <c r="H3950" s="0" t="s">
        <v>153</v>
      </c>
      <c r="I3950" s="0" t="s">
        <v>28</v>
      </c>
      <c r="J3950" s="0" t="s">
        <v>29</v>
      </c>
      <c r="K3950" s="0" t="s">
        <v>30</v>
      </c>
      <c r="L3950" s="0" t="s">
        <v>31</v>
      </c>
      <c r="M3950" s="0" t="s">
        <v>140</v>
      </c>
      <c r="N3950" s="0" t="n">
        <v>1252</v>
      </c>
      <c r="O3950" s="10" t="n">
        <v>0.407818150473759</v>
      </c>
      <c r="P3950" s="10" t="n">
        <v>0.0268250561784953</v>
      </c>
      <c r="Q3950" s="0" t="str">
        <f aca="false">SUBSTITUTE(SUBSTITUTE($I3950,CHAR(61),""),CHAR(34),"")</f>
        <v>&lt;01</v>
      </c>
      <c r="R3950" s="0" t="str">
        <f aca="false">IF($D3950&lt;&gt;"","["&amp;$E3950&amp;"]"&amp;"|"&amp;$Q3950&amp;"|"&amp;$K3950&amp;"|"&amp;$G3950&amp;"|"&amp;IF($G3950="TX_CURR_SUBNAT.R","CY2022Q4",$M3950),"")</f>
        <v>[msW2zpIN7up]|&lt;01|Female|NEW_INFECTIONS_SUBNAT.T_1|CY2023Q3</v>
      </c>
    </row>
    <row r="3951" customFormat="false" ht="15" hidden="false" customHeight="false" outlineLevel="0" collapsed="false">
      <c r="D3951" s="0" t="s">
        <v>60</v>
      </c>
      <c r="E3951" s="0" t="s">
        <v>61</v>
      </c>
      <c r="F3951" s="0" t="s">
        <v>62</v>
      </c>
      <c r="G3951" s="0" t="s">
        <v>153</v>
      </c>
      <c r="H3951" s="0" t="s">
        <v>153</v>
      </c>
      <c r="I3951" s="0" t="s">
        <v>33</v>
      </c>
      <c r="J3951" s="0" t="s">
        <v>34</v>
      </c>
      <c r="K3951" s="0" t="s">
        <v>30</v>
      </c>
      <c r="L3951" s="0" t="s">
        <v>31</v>
      </c>
      <c r="M3951" s="0" t="s">
        <v>140</v>
      </c>
      <c r="N3951" s="0" t="n">
        <v>719</v>
      </c>
      <c r="O3951" s="10" t="n">
        <v>0.962227374082431</v>
      </c>
      <c r="P3951" s="10" t="n">
        <v>0.0268250561784953</v>
      </c>
      <c r="Q3951" s="0" t="str">
        <f aca="false">SUBSTITUTE(SUBSTITUTE($I3951,CHAR(61),""),CHAR(34),"")</f>
        <v>01-09</v>
      </c>
      <c r="R3951" s="0" t="str">
        <f aca="false">IF($D3951&lt;&gt;"","["&amp;$E3951&amp;"]"&amp;"|"&amp;$Q3951&amp;"|"&amp;$K3951&amp;"|"&amp;$G3951&amp;"|"&amp;IF($G3951="TX_CURR_SUBNAT.R","CY2022Q4",$M3951),"")</f>
        <v>[msW2zpIN7up]|01-09|Female|NEW_INFECTIONS_SUBNAT.T_1|CY2023Q3</v>
      </c>
    </row>
    <row r="3952" customFormat="false" ht="15" hidden="false" customHeight="false" outlineLevel="0" collapsed="false">
      <c r="D3952" s="0" t="s">
        <v>60</v>
      </c>
      <c r="E3952" s="0" t="s">
        <v>61</v>
      </c>
      <c r="F3952" s="0" t="s">
        <v>62</v>
      </c>
      <c r="G3952" s="0" t="s">
        <v>153</v>
      </c>
      <c r="H3952" s="0" t="s">
        <v>153</v>
      </c>
      <c r="I3952" s="0" t="s">
        <v>36</v>
      </c>
      <c r="J3952" s="0" t="s">
        <v>37</v>
      </c>
      <c r="K3952" s="0" t="s">
        <v>30</v>
      </c>
      <c r="L3952" s="0" t="s">
        <v>31</v>
      </c>
      <c r="M3952" s="0" t="s">
        <v>140</v>
      </c>
      <c r="N3952" s="0" t="n">
        <v>1603</v>
      </c>
      <c r="O3952" s="10" t="n">
        <v>0.0942488501314074</v>
      </c>
      <c r="P3952" s="10" t="n">
        <v>0.0268250561784953</v>
      </c>
      <c r="Q3952" s="0" t="str">
        <f aca="false">SUBSTITUTE(SUBSTITUTE($I3952,CHAR(61),""),CHAR(34),"")</f>
        <v>10-14</v>
      </c>
      <c r="R3952" s="0" t="str">
        <f aca="false">IF($D3952&lt;&gt;"","["&amp;$E3952&amp;"]"&amp;"|"&amp;$Q3952&amp;"|"&amp;$K3952&amp;"|"&amp;$G3952&amp;"|"&amp;IF($G3952="TX_CURR_SUBNAT.R","CY2022Q4",$M3952),"")</f>
        <v>[msW2zpIN7up]|10-14|Female|NEW_INFECTIONS_SUBNAT.T_1|CY2023Q3</v>
      </c>
    </row>
    <row r="3953" customFormat="false" ht="15" hidden="false" customHeight="false" outlineLevel="0" collapsed="false">
      <c r="D3953" s="0" t="s">
        <v>60</v>
      </c>
      <c r="E3953" s="0" t="s">
        <v>61</v>
      </c>
      <c r="F3953" s="0" t="s">
        <v>62</v>
      </c>
      <c r="G3953" s="0" t="s">
        <v>153</v>
      </c>
      <c r="H3953" s="0" t="s">
        <v>153</v>
      </c>
      <c r="I3953" s="0" t="s">
        <v>38</v>
      </c>
      <c r="J3953" s="0" t="s">
        <v>39</v>
      </c>
      <c r="K3953" s="0" t="s">
        <v>30</v>
      </c>
      <c r="L3953" s="0" t="s">
        <v>31</v>
      </c>
      <c r="M3953" s="0" t="s">
        <v>140</v>
      </c>
      <c r="N3953" s="0" t="n">
        <v>1675</v>
      </c>
      <c r="O3953" s="10" t="n">
        <v>0.765729809878394</v>
      </c>
      <c r="P3953" s="10" t="n">
        <v>0.0268250561784953</v>
      </c>
      <c r="Q3953" s="0" t="str">
        <f aca="false">SUBSTITUTE(SUBSTITUTE($I3953,CHAR(61),""),CHAR(34),"")</f>
        <v>15-24</v>
      </c>
      <c r="R3953" s="0" t="str">
        <f aca="false">IF($D3953&lt;&gt;"","["&amp;$E3953&amp;"]"&amp;"|"&amp;$Q3953&amp;"|"&amp;$K3953&amp;"|"&amp;$G3953&amp;"|"&amp;IF($G3953="TX_CURR_SUBNAT.R","CY2022Q4",$M3953),"")</f>
        <v>[msW2zpIN7up]|15-24|Female|NEW_INFECTIONS_SUBNAT.T_1|CY2023Q3</v>
      </c>
    </row>
    <row r="3954" customFormat="false" ht="15" hidden="false" customHeight="false" outlineLevel="0" collapsed="false">
      <c r="D3954" s="0" t="s">
        <v>60</v>
      </c>
      <c r="E3954" s="0" t="s">
        <v>61</v>
      </c>
      <c r="F3954" s="0" t="s">
        <v>62</v>
      </c>
      <c r="G3954" s="0" t="s">
        <v>153</v>
      </c>
      <c r="H3954" s="0" t="s">
        <v>153</v>
      </c>
      <c r="I3954" s="0" t="s">
        <v>41</v>
      </c>
      <c r="J3954" s="0" t="s">
        <v>42</v>
      </c>
      <c r="K3954" s="0" t="s">
        <v>30</v>
      </c>
      <c r="L3954" s="0" t="s">
        <v>31</v>
      </c>
      <c r="M3954" s="0" t="s">
        <v>140</v>
      </c>
      <c r="N3954" s="0" t="n">
        <v>1493</v>
      </c>
      <c r="O3954" s="10" t="n">
        <v>0.440150809474289</v>
      </c>
      <c r="P3954" s="10" t="n">
        <v>0.0268250561784953</v>
      </c>
      <c r="Q3954" s="0" t="str">
        <f aca="false">SUBSTITUTE(SUBSTITUTE($I3954,CHAR(61),""),CHAR(34),"")</f>
        <v>25-34</v>
      </c>
      <c r="R3954" s="0" t="str">
        <f aca="false">IF($D3954&lt;&gt;"","["&amp;$E3954&amp;"]"&amp;"|"&amp;$Q3954&amp;"|"&amp;$K3954&amp;"|"&amp;$G3954&amp;"|"&amp;IF($G3954="TX_CURR_SUBNAT.R","CY2022Q4",$M3954),"")</f>
        <v>[msW2zpIN7up]|25-34|Female|NEW_INFECTIONS_SUBNAT.T_1|CY2023Q3</v>
      </c>
    </row>
    <row r="3955" customFormat="false" ht="15" hidden="false" customHeight="false" outlineLevel="0" collapsed="false">
      <c r="D3955" s="0" t="s">
        <v>60</v>
      </c>
      <c r="E3955" s="0" t="s">
        <v>61</v>
      </c>
      <c r="F3955" s="0" t="s">
        <v>62</v>
      </c>
      <c r="G3955" s="0" t="s">
        <v>153</v>
      </c>
      <c r="H3955" s="0" t="s">
        <v>153</v>
      </c>
      <c r="I3955" s="0" t="s">
        <v>43</v>
      </c>
      <c r="J3955" s="0" t="s">
        <v>44</v>
      </c>
      <c r="K3955" s="0" t="s">
        <v>30</v>
      </c>
      <c r="L3955" s="0" t="s">
        <v>31</v>
      </c>
      <c r="M3955" s="0" t="s">
        <v>140</v>
      </c>
      <c r="N3955" s="0" t="n">
        <v>1836</v>
      </c>
      <c r="O3955" s="10" t="n">
        <v>0.540663835126907</v>
      </c>
      <c r="P3955" s="10" t="n">
        <v>0.0268250561784953</v>
      </c>
      <c r="Q3955" s="0" t="str">
        <f aca="false">SUBSTITUTE(SUBSTITUTE($I3955,CHAR(61),""),CHAR(34),"")</f>
        <v>35-49</v>
      </c>
      <c r="R3955" s="0" t="str">
        <f aca="false">IF($D3955&lt;&gt;"","["&amp;$E3955&amp;"]"&amp;"|"&amp;$Q3955&amp;"|"&amp;$K3955&amp;"|"&amp;$G3955&amp;"|"&amp;IF($G3955="TX_CURR_SUBNAT.R","CY2022Q4",$M3955),"")</f>
        <v>[msW2zpIN7up]|35-49|Female|NEW_INFECTIONS_SUBNAT.T_1|CY2023Q3</v>
      </c>
    </row>
    <row r="3956" customFormat="false" ht="15" hidden="false" customHeight="false" outlineLevel="0" collapsed="false">
      <c r="D3956" s="0" t="s">
        <v>60</v>
      </c>
      <c r="E3956" s="0" t="s">
        <v>61</v>
      </c>
      <c r="F3956" s="0" t="s">
        <v>62</v>
      </c>
      <c r="G3956" s="0" t="s">
        <v>153</v>
      </c>
      <c r="H3956" s="0" t="s">
        <v>153</v>
      </c>
      <c r="I3956" s="0" t="s">
        <v>45</v>
      </c>
      <c r="J3956" s="0" t="s">
        <v>46</v>
      </c>
      <c r="K3956" s="0" t="s">
        <v>30</v>
      </c>
      <c r="L3956" s="0" t="s">
        <v>31</v>
      </c>
      <c r="M3956" s="0" t="s">
        <v>140</v>
      </c>
      <c r="N3956" s="0" t="n">
        <v>1027</v>
      </c>
      <c r="O3956" s="10" t="n">
        <v>0.728501575998962</v>
      </c>
      <c r="P3956" s="10" t="n">
        <v>0.0268250561784953</v>
      </c>
      <c r="Q3956" s="0" t="str">
        <f aca="false">SUBSTITUTE(SUBSTITUTE($I3956,CHAR(61),""),CHAR(34),"")</f>
        <v>50+</v>
      </c>
      <c r="R3956" s="0" t="str">
        <f aca="false">IF($D3956&lt;&gt;"","["&amp;$E3956&amp;"]"&amp;"|"&amp;$Q3956&amp;"|"&amp;$K3956&amp;"|"&amp;$G3956&amp;"|"&amp;IF($G3956="TX_CURR_SUBNAT.R","CY2022Q4",$M3956),"")</f>
        <v>[msW2zpIN7up]|50+|Female|NEW_INFECTIONS_SUBNAT.T_1|CY2023Q3</v>
      </c>
    </row>
    <row r="3957" customFormat="false" ht="15" hidden="false" customHeight="false" outlineLevel="0" collapsed="false">
      <c r="D3957" s="0" t="s">
        <v>60</v>
      </c>
      <c r="E3957" s="0" t="s">
        <v>61</v>
      </c>
      <c r="F3957" s="0" t="s">
        <v>62</v>
      </c>
      <c r="G3957" s="0" t="s">
        <v>153</v>
      </c>
      <c r="H3957" s="0" t="s">
        <v>153</v>
      </c>
      <c r="I3957" s="0" t="s">
        <v>28</v>
      </c>
      <c r="J3957" s="0" t="s">
        <v>29</v>
      </c>
      <c r="K3957" s="0" t="s">
        <v>48</v>
      </c>
      <c r="L3957" s="0" t="s">
        <v>49</v>
      </c>
      <c r="M3957" s="0" t="s">
        <v>140</v>
      </c>
      <c r="N3957" s="0" t="n">
        <v>525</v>
      </c>
      <c r="O3957" s="10" t="n">
        <v>0.325613635592163</v>
      </c>
      <c r="P3957" s="10" t="n">
        <v>0.0268250561784953</v>
      </c>
      <c r="Q3957" s="0" t="str">
        <f aca="false">SUBSTITUTE(SUBSTITUTE($I3957,CHAR(61),""),CHAR(34),"")</f>
        <v>&lt;01</v>
      </c>
      <c r="R3957" s="0" t="str">
        <f aca="false">IF($D3957&lt;&gt;"","["&amp;$E3957&amp;"]"&amp;"|"&amp;$Q3957&amp;"|"&amp;$K3957&amp;"|"&amp;$G3957&amp;"|"&amp;IF($G3957="TX_CURR_SUBNAT.R","CY2022Q4",$M3957),"")</f>
        <v>[msW2zpIN7up]|&lt;01|Male|NEW_INFECTIONS_SUBNAT.T_1|CY2023Q3</v>
      </c>
    </row>
    <row r="3958" customFormat="false" ht="15" hidden="false" customHeight="false" outlineLevel="0" collapsed="false">
      <c r="D3958" s="0" t="s">
        <v>60</v>
      </c>
      <c r="E3958" s="0" t="s">
        <v>61</v>
      </c>
      <c r="F3958" s="0" t="s">
        <v>62</v>
      </c>
      <c r="G3958" s="0" t="s">
        <v>153</v>
      </c>
      <c r="H3958" s="0" t="s">
        <v>153</v>
      </c>
      <c r="I3958" s="0" t="s">
        <v>33</v>
      </c>
      <c r="J3958" s="0" t="s">
        <v>34</v>
      </c>
      <c r="K3958" s="0" t="s">
        <v>48</v>
      </c>
      <c r="L3958" s="0" t="s">
        <v>49</v>
      </c>
      <c r="M3958" s="0" t="s">
        <v>140</v>
      </c>
      <c r="N3958" s="0" t="n">
        <v>1364</v>
      </c>
      <c r="O3958" s="10" t="n">
        <v>0.596882807323709</v>
      </c>
      <c r="P3958" s="10" t="n">
        <v>0.0268250561784953</v>
      </c>
      <c r="Q3958" s="0" t="str">
        <f aca="false">SUBSTITUTE(SUBSTITUTE($I3958,CHAR(61),""),CHAR(34),"")</f>
        <v>01-09</v>
      </c>
      <c r="R3958" s="0" t="str">
        <f aca="false">IF($D3958&lt;&gt;"","["&amp;$E3958&amp;"]"&amp;"|"&amp;$Q3958&amp;"|"&amp;$K3958&amp;"|"&amp;$G3958&amp;"|"&amp;IF($G3958="TX_CURR_SUBNAT.R","CY2022Q4",$M3958),"")</f>
        <v>[msW2zpIN7up]|01-09|Male|NEW_INFECTIONS_SUBNAT.T_1|CY2023Q3</v>
      </c>
    </row>
    <row r="3959" customFormat="false" ht="15" hidden="false" customHeight="false" outlineLevel="0" collapsed="false">
      <c r="D3959" s="0" t="s">
        <v>60</v>
      </c>
      <c r="E3959" s="0" t="s">
        <v>61</v>
      </c>
      <c r="F3959" s="0" t="s">
        <v>62</v>
      </c>
      <c r="G3959" s="0" t="s">
        <v>153</v>
      </c>
      <c r="H3959" s="0" t="s">
        <v>153</v>
      </c>
      <c r="I3959" s="0" t="s">
        <v>36</v>
      </c>
      <c r="J3959" s="0" t="s">
        <v>37</v>
      </c>
      <c r="K3959" s="0" t="s">
        <v>48</v>
      </c>
      <c r="L3959" s="0" t="s">
        <v>49</v>
      </c>
      <c r="M3959" s="0" t="s">
        <v>140</v>
      </c>
      <c r="N3959" s="0" t="n">
        <v>1532</v>
      </c>
      <c r="O3959" s="10" t="n">
        <v>0.38484014198184</v>
      </c>
      <c r="P3959" s="10" t="n">
        <v>0.0268250561784953</v>
      </c>
      <c r="Q3959" s="0" t="str">
        <f aca="false">SUBSTITUTE(SUBSTITUTE($I3959,CHAR(61),""),CHAR(34),"")</f>
        <v>10-14</v>
      </c>
      <c r="R3959" s="0" t="str">
        <f aca="false">IF($D3959&lt;&gt;"","["&amp;$E3959&amp;"]"&amp;"|"&amp;$Q3959&amp;"|"&amp;$K3959&amp;"|"&amp;$G3959&amp;"|"&amp;IF($G3959="TX_CURR_SUBNAT.R","CY2022Q4",$M3959),"")</f>
        <v>[msW2zpIN7up]|10-14|Male|NEW_INFECTIONS_SUBNAT.T_1|CY2023Q3</v>
      </c>
    </row>
    <row r="3960" customFormat="false" ht="15" hidden="false" customHeight="false" outlineLevel="0" collapsed="false">
      <c r="D3960" s="0" t="s">
        <v>60</v>
      </c>
      <c r="E3960" s="0" t="s">
        <v>61</v>
      </c>
      <c r="F3960" s="0" t="s">
        <v>62</v>
      </c>
      <c r="G3960" s="0" t="s">
        <v>153</v>
      </c>
      <c r="H3960" s="0" t="s">
        <v>153</v>
      </c>
      <c r="I3960" s="0" t="s">
        <v>38</v>
      </c>
      <c r="J3960" s="0" t="s">
        <v>39</v>
      </c>
      <c r="K3960" s="0" t="s">
        <v>48</v>
      </c>
      <c r="L3960" s="0" t="s">
        <v>49</v>
      </c>
      <c r="M3960" s="0" t="s">
        <v>140</v>
      </c>
      <c r="N3960" s="0" t="n">
        <v>811</v>
      </c>
      <c r="O3960" s="10" t="n">
        <v>0.824510057223961</v>
      </c>
      <c r="P3960" s="10" t="n">
        <v>0.0268250561784953</v>
      </c>
      <c r="Q3960" s="0" t="str">
        <f aca="false">SUBSTITUTE(SUBSTITUTE($I3960,CHAR(61),""),CHAR(34),"")</f>
        <v>15-24</v>
      </c>
      <c r="R3960" s="0" t="str">
        <f aca="false">IF($D3960&lt;&gt;"","["&amp;$E3960&amp;"]"&amp;"|"&amp;$Q3960&amp;"|"&amp;$K3960&amp;"|"&amp;$G3960&amp;"|"&amp;IF($G3960="TX_CURR_SUBNAT.R","CY2022Q4",$M3960),"")</f>
        <v>[msW2zpIN7up]|15-24|Male|NEW_INFECTIONS_SUBNAT.T_1|CY2023Q3</v>
      </c>
    </row>
    <row r="3961" customFormat="false" ht="15" hidden="false" customHeight="false" outlineLevel="0" collapsed="false">
      <c r="D3961" s="0" t="s">
        <v>60</v>
      </c>
      <c r="E3961" s="0" t="s">
        <v>61</v>
      </c>
      <c r="F3961" s="0" t="s">
        <v>62</v>
      </c>
      <c r="G3961" s="0" t="s">
        <v>153</v>
      </c>
      <c r="H3961" s="0" t="s">
        <v>153</v>
      </c>
      <c r="I3961" s="0" t="s">
        <v>41</v>
      </c>
      <c r="J3961" s="0" t="s">
        <v>42</v>
      </c>
      <c r="K3961" s="0" t="s">
        <v>48</v>
      </c>
      <c r="L3961" s="0" t="s">
        <v>49</v>
      </c>
      <c r="M3961" s="0" t="s">
        <v>140</v>
      </c>
      <c r="N3961" s="0" t="n">
        <v>1789</v>
      </c>
      <c r="O3961" s="10" t="n">
        <v>0.18587095872499</v>
      </c>
      <c r="P3961" s="10" t="n">
        <v>0.0268250561784953</v>
      </c>
      <c r="Q3961" s="0" t="str">
        <f aca="false">SUBSTITUTE(SUBSTITUTE($I3961,CHAR(61),""),CHAR(34),"")</f>
        <v>25-34</v>
      </c>
      <c r="R3961" s="0" t="str">
        <f aca="false">IF($D3961&lt;&gt;"","["&amp;$E3961&amp;"]"&amp;"|"&amp;$Q3961&amp;"|"&amp;$K3961&amp;"|"&amp;$G3961&amp;"|"&amp;IF($G3961="TX_CURR_SUBNAT.R","CY2022Q4",$M3961),"")</f>
        <v>[msW2zpIN7up]|25-34|Male|NEW_INFECTIONS_SUBNAT.T_1|CY2023Q3</v>
      </c>
    </row>
    <row r="3962" customFormat="false" ht="15" hidden="false" customHeight="false" outlineLevel="0" collapsed="false">
      <c r="D3962" s="0" t="s">
        <v>60</v>
      </c>
      <c r="E3962" s="0" t="s">
        <v>61</v>
      </c>
      <c r="F3962" s="0" t="s">
        <v>62</v>
      </c>
      <c r="G3962" s="0" t="s">
        <v>153</v>
      </c>
      <c r="H3962" s="0" t="s">
        <v>153</v>
      </c>
      <c r="I3962" s="0" t="s">
        <v>43</v>
      </c>
      <c r="J3962" s="0" t="s">
        <v>44</v>
      </c>
      <c r="K3962" s="0" t="s">
        <v>48</v>
      </c>
      <c r="L3962" s="0" t="s">
        <v>49</v>
      </c>
      <c r="M3962" s="0" t="s">
        <v>140</v>
      </c>
      <c r="N3962" s="0" t="n">
        <v>676</v>
      </c>
      <c r="O3962" s="10" t="n">
        <v>0.165412196656689</v>
      </c>
      <c r="P3962" s="10" t="n">
        <v>0.0268250561784953</v>
      </c>
      <c r="Q3962" s="0" t="str">
        <f aca="false">SUBSTITUTE(SUBSTITUTE($I3962,CHAR(61),""),CHAR(34),"")</f>
        <v>35-49</v>
      </c>
      <c r="R3962" s="0" t="str">
        <f aca="false">IF($D3962&lt;&gt;"","["&amp;$E3962&amp;"]"&amp;"|"&amp;$Q3962&amp;"|"&amp;$K3962&amp;"|"&amp;$G3962&amp;"|"&amp;IF($G3962="TX_CURR_SUBNAT.R","CY2022Q4",$M3962),"")</f>
        <v>[msW2zpIN7up]|35-49|Male|NEW_INFECTIONS_SUBNAT.T_1|CY2023Q3</v>
      </c>
    </row>
    <row r="3963" customFormat="false" ht="15" hidden="false" customHeight="false" outlineLevel="0" collapsed="false">
      <c r="D3963" s="0" t="s">
        <v>60</v>
      </c>
      <c r="E3963" s="0" t="s">
        <v>61</v>
      </c>
      <c r="F3963" s="0" t="s">
        <v>62</v>
      </c>
      <c r="G3963" s="0" t="s">
        <v>153</v>
      </c>
      <c r="H3963" s="0" t="s">
        <v>153</v>
      </c>
      <c r="I3963" s="0" t="s">
        <v>45</v>
      </c>
      <c r="J3963" s="0" t="s">
        <v>46</v>
      </c>
      <c r="K3963" s="0" t="s">
        <v>48</v>
      </c>
      <c r="L3963" s="0" t="s">
        <v>49</v>
      </c>
      <c r="M3963" s="0" t="s">
        <v>140</v>
      </c>
      <c r="N3963" s="0" t="n">
        <v>879</v>
      </c>
      <c r="O3963" s="10" t="n">
        <v>0.182789885438979</v>
      </c>
      <c r="P3963" s="10" t="n">
        <v>0.0268250561784953</v>
      </c>
      <c r="Q3963" s="0" t="str">
        <f aca="false">SUBSTITUTE(SUBSTITUTE($I3963,CHAR(61),""),CHAR(34),"")</f>
        <v>50+</v>
      </c>
      <c r="R3963" s="0" t="str">
        <f aca="false">IF($D3963&lt;&gt;"","["&amp;$E3963&amp;"]"&amp;"|"&amp;$Q3963&amp;"|"&amp;$K3963&amp;"|"&amp;$G3963&amp;"|"&amp;IF($G3963="TX_CURR_SUBNAT.R","CY2022Q4",$M3963),"")</f>
        <v>[msW2zpIN7up]|50+|Male|NEW_INFECTIONS_SUBNAT.T_1|CY2023Q3</v>
      </c>
    </row>
    <row r="3964" customFormat="false" ht="15" hidden="false" customHeight="false" outlineLevel="0" collapsed="false">
      <c r="D3964" s="0" t="s">
        <v>63</v>
      </c>
      <c r="E3964" s="0" t="s">
        <v>64</v>
      </c>
      <c r="F3964" s="0" t="s">
        <v>65</v>
      </c>
      <c r="G3964" s="0" t="s">
        <v>153</v>
      </c>
      <c r="H3964" s="0" t="s">
        <v>153</v>
      </c>
      <c r="I3964" s="0" t="s">
        <v>28</v>
      </c>
      <c r="J3964" s="0" t="s">
        <v>29</v>
      </c>
      <c r="K3964" s="0" t="s">
        <v>30</v>
      </c>
      <c r="L3964" s="0" t="s">
        <v>31</v>
      </c>
      <c r="M3964" s="0" t="s">
        <v>140</v>
      </c>
      <c r="N3964" s="0" t="n">
        <v>648</v>
      </c>
      <c r="O3964" s="10" t="n">
        <v>0.16808846546337</v>
      </c>
      <c r="P3964" s="10" t="n">
        <v>0.790102193132043</v>
      </c>
      <c r="Q3964" s="0" t="str">
        <f aca="false">SUBSTITUTE(SUBSTITUTE($I3964,CHAR(61),""),CHAR(34),"")</f>
        <v>&lt;01</v>
      </c>
      <c r="R3964" s="0" t="str">
        <f aca="false">IF($D3964&lt;&gt;"","["&amp;$E3964&amp;"]"&amp;"|"&amp;$Q3964&amp;"|"&amp;$K3964&amp;"|"&amp;$G3964&amp;"|"&amp;IF($G3964="TX_CURR_SUBNAT.R","CY2022Q4",$M3964),"")</f>
        <v>[kxuuIFpOXyO]|&lt;01|Female|NEW_INFECTIONS_SUBNAT.T_1|CY2023Q3</v>
      </c>
    </row>
    <row r="3965" customFormat="false" ht="15" hidden="false" customHeight="false" outlineLevel="0" collapsed="false">
      <c r="D3965" s="0" t="s">
        <v>63</v>
      </c>
      <c r="E3965" s="0" t="s">
        <v>64</v>
      </c>
      <c r="F3965" s="0" t="s">
        <v>65</v>
      </c>
      <c r="G3965" s="0" t="s">
        <v>153</v>
      </c>
      <c r="H3965" s="0" t="s">
        <v>153</v>
      </c>
      <c r="I3965" s="0" t="s">
        <v>33</v>
      </c>
      <c r="J3965" s="0" t="s">
        <v>34</v>
      </c>
      <c r="K3965" s="0" t="s">
        <v>30</v>
      </c>
      <c r="L3965" s="0" t="s">
        <v>31</v>
      </c>
      <c r="M3965" s="0" t="s">
        <v>140</v>
      </c>
      <c r="N3965" s="0" t="n">
        <v>1708</v>
      </c>
      <c r="O3965" s="10" t="n">
        <v>0.260771976783872</v>
      </c>
      <c r="P3965" s="10" t="n">
        <v>0.790102193132043</v>
      </c>
      <c r="Q3965" s="0" t="str">
        <f aca="false">SUBSTITUTE(SUBSTITUTE($I3965,CHAR(61),""),CHAR(34),"")</f>
        <v>01-09</v>
      </c>
      <c r="R3965" s="0" t="str">
        <f aca="false">IF($D3965&lt;&gt;"","["&amp;$E3965&amp;"]"&amp;"|"&amp;$Q3965&amp;"|"&amp;$K3965&amp;"|"&amp;$G3965&amp;"|"&amp;IF($G3965="TX_CURR_SUBNAT.R","CY2022Q4",$M3965),"")</f>
        <v>[kxuuIFpOXyO]|01-09|Female|NEW_INFECTIONS_SUBNAT.T_1|CY2023Q3</v>
      </c>
    </row>
    <row r="3966" customFormat="false" ht="15" hidden="false" customHeight="false" outlineLevel="0" collapsed="false">
      <c r="D3966" s="0" t="s">
        <v>63</v>
      </c>
      <c r="E3966" s="0" t="s">
        <v>64</v>
      </c>
      <c r="F3966" s="0" t="s">
        <v>65</v>
      </c>
      <c r="G3966" s="0" t="s">
        <v>153</v>
      </c>
      <c r="H3966" s="0" t="s">
        <v>153</v>
      </c>
      <c r="I3966" s="0" t="s">
        <v>36</v>
      </c>
      <c r="J3966" s="0" t="s">
        <v>37</v>
      </c>
      <c r="K3966" s="0" t="s">
        <v>30</v>
      </c>
      <c r="L3966" s="0" t="s">
        <v>31</v>
      </c>
      <c r="M3966" s="0" t="s">
        <v>140</v>
      </c>
      <c r="N3966" s="0" t="n">
        <v>1954</v>
      </c>
      <c r="O3966" s="10" t="n">
        <v>0.661019970662892</v>
      </c>
      <c r="P3966" s="10" t="n">
        <v>0.790102193132043</v>
      </c>
      <c r="Q3966" s="0" t="str">
        <f aca="false">SUBSTITUTE(SUBSTITUTE($I3966,CHAR(61),""),CHAR(34),"")</f>
        <v>10-14</v>
      </c>
      <c r="R3966" s="0" t="str">
        <f aca="false">IF($D3966&lt;&gt;"","["&amp;$E3966&amp;"]"&amp;"|"&amp;$Q3966&amp;"|"&amp;$K3966&amp;"|"&amp;$G3966&amp;"|"&amp;IF($G3966="TX_CURR_SUBNAT.R","CY2022Q4",$M3966),"")</f>
        <v>[kxuuIFpOXyO]|10-14|Female|NEW_INFECTIONS_SUBNAT.T_1|CY2023Q3</v>
      </c>
    </row>
    <row r="3967" customFormat="false" ht="15" hidden="false" customHeight="false" outlineLevel="0" collapsed="false">
      <c r="D3967" s="0" t="s">
        <v>63</v>
      </c>
      <c r="E3967" s="0" t="s">
        <v>64</v>
      </c>
      <c r="F3967" s="0" t="s">
        <v>65</v>
      </c>
      <c r="G3967" s="0" t="s">
        <v>153</v>
      </c>
      <c r="H3967" s="0" t="s">
        <v>153</v>
      </c>
      <c r="I3967" s="0" t="s">
        <v>38</v>
      </c>
      <c r="J3967" s="0" t="s">
        <v>39</v>
      </c>
      <c r="K3967" s="0" t="s">
        <v>30</v>
      </c>
      <c r="L3967" s="0" t="s">
        <v>31</v>
      </c>
      <c r="M3967" s="0" t="s">
        <v>140</v>
      </c>
      <c r="N3967" s="0" t="n">
        <v>1736</v>
      </c>
      <c r="O3967" s="10" t="n">
        <v>0.201979426899925</v>
      </c>
      <c r="P3967" s="10" t="n">
        <v>0.790102193132043</v>
      </c>
      <c r="Q3967" s="0" t="str">
        <f aca="false">SUBSTITUTE(SUBSTITUTE($I3967,CHAR(61),""),CHAR(34),"")</f>
        <v>15-24</v>
      </c>
      <c r="R3967" s="0" t="str">
        <f aca="false">IF($D3967&lt;&gt;"","["&amp;$E3967&amp;"]"&amp;"|"&amp;$Q3967&amp;"|"&amp;$K3967&amp;"|"&amp;$G3967&amp;"|"&amp;IF($G3967="TX_CURR_SUBNAT.R","CY2022Q4",$M3967),"")</f>
        <v>[kxuuIFpOXyO]|15-24|Female|NEW_INFECTIONS_SUBNAT.T_1|CY2023Q3</v>
      </c>
    </row>
    <row r="3968" customFormat="false" ht="15" hidden="false" customHeight="false" outlineLevel="0" collapsed="false">
      <c r="D3968" s="0" t="s">
        <v>63</v>
      </c>
      <c r="E3968" s="0" t="s">
        <v>64</v>
      </c>
      <c r="F3968" s="0" t="s">
        <v>65</v>
      </c>
      <c r="G3968" s="0" t="s">
        <v>153</v>
      </c>
      <c r="H3968" s="0" t="s">
        <v>153</v>
      </c>
      <c r="I3968" s="0" t="s">
        <v>41</v>
      </c>
      <c r="J3968" s="0" t="s">
        <v>42</v>
      </c>
      <c r="K3968" s="0" t="s">
        <v>30</v>
      </c>
      <c r="L3968" s="0" t="s">
        <v>31</v>
      </c>
      <c r="M3968" s="0" t="s">
        <v>140</v>
      </c>
      <c r="N3968" s="0" t="n">
        <v>1361</v>
      </c>
      <c r="O3968" s="10" t="n">
        <v>0.191563038853928</v>
      </c>
      <c r="P3968" s="10" t="n">
        <v>0.790102193132043</v>
      </c>
      <c r="Q3968" s="0" t="str">
        <f aca="false">SUBSTITUTE(SUBSTITUTE($I3968,CHAR(61),""),CHAR(34),"")</f>
        <v>25-34</v>
      </c>
      <c r="R3968" s="0" t="str">
        <f aca="false">IF($D3968&lt;&gt;"","["&amp;$E3968&amp;"]"&amp;"|"&amp;$Q3968&amp;"|"&amp;$K3968&amp;"|"&amp;$G3968&amp;"|"&amp;IF($G3968="TX_CURR_SUBNAT.R","CY2022Q4",$M3968),"")</f>
        <v>[kxuuIFpOXyO]|25-34|Female|NEW_INFECTIONS_SUBNAT.T_1|CY2023Q3</v>
      </c>
    </row>
    <row r="3969" customFormat="false" ht="15" hidden="false" customHeight="false" outlineLevel="0" collapsed="false">
      <c r="D3969" s="0" t="s">
        <v>63</v>
      </c>
      <c r="E3969" s="0" t="s">
        <v>64</v>
      </c>
      <c r="F3969" s="0" t="s">
        <v>65</v>
      </c>
      <c r="G3969" s="0" t="s">
        <v>153</v>
      </c>
      <c r="H3969" s="0" t="s">
        <v>153</v>
      </c>
      <c r="I3969" s="0" t="s">
        <v>43</v>
      </c>
      <c r="J3969" s="0" t="s">
        <v>44</v>
      </c>
      <c r="K3969" s="0" t="s">
        <v>30</v>
      </c>
      <c r="L3969" s="0" t="s">
        <v>31</v>
      </c>
      <c r="M3969" s="0" t="s">
        <v>140</v>
      </c>
      <c r="N3969" s="0" t="n">
        <v>1462</v>
      </c>
      <c r="O3969" s="10" t="n">
        <v>0.947806266369298</v>
      </c>
      <c r="P3969" s="10" t="n">
        <v>0.790102193132043</v>
      </c>
      <c r="Q3969" s="0" t="str">
        <f aca="false">SUBSTITUTE(SUBSTITUTE($I3969,CHAR(61),""),CHAR(34),"")</f>
        <v>35-49</v>
      </c>
      <c r="R3969" s="0" t="str">
        <f aca="false">IF($D3969&lt;&gt;"","["&amp;$E3969&amp;"]"&amp;"|"&amp;$Q3969&amp;"|"&amp;$K3969&amp;"|"&amp;$G3969&amp;"|"&amp;IF($G3969="TX_CURR_SUBNAT.R","CY2022Q4",$M3969),"")</f>
        <v>[kxuuIFpOXyO]|35-49|Female|NEW_INFECTIONS_SUBNAT.T_1|CY2023Q3</v>
      </c>
    </row>
    <row r="3970" customFormat="false" ht="15" hidden="false" customHeight="false" outlineLevel="0" collapsed="false">
      <c r="D3970" s="0" t="s">
        <v>63</v>
      </c>
      <c r="E3970" s="0" t="s">
        <v>64</v>
      </c>
      <c r="F3970" s="0" t="s">
        <v>65</v>
      </c>
      <c r="G3970" s="0" t="s">
        <v>153</v>
      </c>
      <c r="H3970" s="0" t="s">
        <v>153</v>
      </c>
      <c r="I3970" s="0" t="s">
        <v>45</v>
      </c>
      <c r="J3970" s="0" t="s">
        <v>46</v>
      </c>
      <c r="K3970" s="0" t="s">
        <v>30</v>
      </c>
      <c r="L3970" s="0" t="s">
        <v>31</v>
      </c>
      <c r="M3970" s="0" t="s">
        <v>140</v>
      </c>
      <c r="N3970" s="0" t="n">
        <v>1000</v>
      </c>
      <c r="O3970" s="10" t="n">
        <v>0.354149668710306</v>
      </c>
      <c r="P3970" s="10" t="n">
        <v>0.790102193132043</v>
      </c>
      <c r="Q3970" s="0" t="str">
        <f aca="false">SUBSTITUTE(SUBSTITUTE($I3970,CHAR(61),""),CHAR(34),"")</f>
        <v>50+</v>
      </c>
      <c r="R3970" s="0" t="str">
        <f aca="false">IF($D3970&lt;&gt;"","["&amp;$E3970&amp;"]"&amp;"|"&amp;$Q3970&amp;"|"&amp;$K3970&amp;"|"&amp;$G3970&amp;"|"&amp;IF($G3970="TX_CURR_SUBNAT.R","CY2022Q4",$M3970),"")</f>
        <v>[kxuuIFpOXyO]|50+|Female|NEW_INFECTIONS_SUBNAT.T_1|CY2023Q3</v>
      </c>
    </row>
    <row r="3971" customFormat="false" ht="15" hidden="false" customHeight="false" outlineLevel="0" collapsed="false">
      <c r="D3971" s="0" t="s">
        <v>63</v>
      </c>
      <c r="E3971" s="0" t="s">
        <v>64</v>
      </c>
      <c r="F3971" s="0" t="s">
        <v>65</v>
      </c>
      <c r="G3971" s="0" t="s">
        <v>153</v>
      </c>
      <c r="H3971" s="0" t="s">
        <v>153</v>
      </c>
      <c r="I3971" s="0" t="s">
        <v>28</v>
      </c>
      <c r="J3971" s="0" t="s">
        <v>29</v>
      </c>
      <c r="K3971" s="0" t="s">
        <v>48</v>
      </c>
      <c r="L3971" s="0" t="s">
        <v>49</v>
      </c>
      <c r="M3971" s="0" t="s">
        <v>140</v>
      </c>
      <c r="N3971" s="0" t="n">
        <v>1108</v>
      </c>
      <c r="O3971" s="10" t="n">
        <v>0.853154513286427</v>
      </c>
      <c r="P3971" s="10" t="n">
        <v>0.790102193132043</v>
      </c>
      <c r="Q3971" s="0" t="str">
        <f aca="false">SUBSTITUTE(SUBSTITUTE($I3971,CHAR(61),""),CHAR(34),"")</f>
        <v>&lt;01</v>
      </c>
      <c r="R3971" s="0" t="str">
        <f aca="false">IF($D3971&lt;&gt;"","["&amp;$E3971&amp;"]"&amp;"|"&amp;$Q3971&amp;"|"&amp;$K3971&amp;"|"&amp;$G3971&amp;"|"&amp;IF($G3971="TX_CURR_SUBNAT.R","CY2022Q4",$M3971),"")</f>
        <v>[kxuuIFpOXyO]|&lt;01|Male|NEW_INFECTIONS_SUBNAT.T_1|CY2023Q3</v>
      </c>
    </row>
    <row r="3972" customFormat="false" ht="15" hidden="false" customHeight="false" outlineLevel="0" collapsed="false">
      <c r="D3972" s="0" t="s">
        <v>63</v>
      </c>
      <c r="E3972" s="0" t="s">
        <v>64</v>
      </c>
      <c r="F3972" s="0" t="s">
        <v>65</v>
      </c>
      <c r="G3972" s="0" t="s">
        <v>153</v>
      </c>
      <c r="H3972" s="0" t="s">
        <v>153</v>
      </c>
      <c r="I3972" s="0" t="s">
        <v>33</v>
      </c>
      <c r="J3972" s="0" t="s">
        <v>34</v>
      </c>
      <c r="K3972" s="0" t="s">
        <v>48</v>
      </c>
      <c r="L3972" s="0" t="s">
        <v>49</v>
      </c>
      <c r="M3972" s="0" t="s">
        <v>140</v>
      </c>
      <c r="N3972" s="0" t="n">
        <v>567</v>
      </c>
      <c r="O3972" s="10" t="n">
        <v>0.173982422798872</v>
      </c>
      <c r="P3972" s="10" t="n">
        <v>0.790102193132043</v>
      </c>
      <c r="Q3972" s="0" t="str">
        <f aca="false">SUBSTITUTE(SUBSTITUTE($I3972,CHAR(61),""),CHAR(34),"")</f>
        <v>01-09</v>
      </c>
      <c r="R3972" s="0" t="str">
        <f aca="false">IF($D3972&lt;&gt;"","["&amp;$E3972&amp;"]"&amp;"|"&amp;$Q3972&amp;"|"&amp;$K3972&amp;"|"&amp;$G3972&amp;"|"&amp;IF($G3972="TX_CURR_SUBNAT.R","CY2022Q4",$M3972),"")</f>
        <v>[kxuuIFpOXyO]|01-09|Male|NEW_INFECTIONS_SUBNAT.T_1|CY2023Q3</v>
      </c>
    </row>
    <row r="3973" customFormat="false" ht="15" hidden="false" customHeight="false" outlineLevel="0" collapsed="false">
      <c r="D3973" s="0" t="s">
        <v>63</v>
      </c>
      <c r="E3973" s="0" t="s">
        <v>64</v>
      </c>
      <c r="F3973" s="0" t="s">
        <v>65</v>
      </c>
      <c r="G3973" s="0" t="s">
        <v>153</v>
      </c>
      <c r="H3973" s="0" t="s">
        <v>153</v>
      </c>
      <c r="I3973" s="0" t="s">
        <v>36</v>
      </c>
      <c r="J3973" s="0" t="s">
        <v>37</v>
      </c>
      <c r="K3973" s="0" t="s">
        <v>48</v>
      </c>
      <c r="L3973" s="0" t="s">
        <v>49</v>
      </c>
      <c r="M3973" s="0" t="s">
        <v>140</v>
      </c>
      <c r="N3973" s="0" t="n">
        <v>700</v>
      </c>
      <c r="O3973" s="10" t="n">
        <v>0.957497632596642</v>
      </c>
      <c r="P3973" s="10" t="n">
        <v>0.790102193132043</v>
      </c>
      <c r="Q3973" s="0" t="str">
        <f aca="false">SUBSTITUTE(SUBSTITUTE($I3973,CHAR(61),""),CHAR(34),"")</f>
        <v>10-14</v>
      </c>
      <c r="R3973" s="0" t="str">
        <f aca="false">IF($D3973&lt;&gt;"","["&amp;$E3973&amp;"]"&amp;"|"&amp;$Q3973&amp;"|"&amp;$K3973&amp;"|"&amp;$G3973&amp;"|"&amp;IF($G3973="TX_CURR_SUBNAT.R","CY2022Q4",$M3973),"")</f>
        <v>[kxuuIFpOXyO]|10-14|Male|NEW_INFECTIONS_SUBNAT.T_1|CY2023Q3</v>
      </c>
    </row>
    <row r="3974" customFormat="false" ht="15" hidden="false" customHeight="false" outlineLevel="0" collapsed="false">
      <c r="D3974" s="0" t="s">
        <v>63</v>
      </c>
      <c r="E3974" s="0" t="s">
        <v>64</v>
      </c>
      <c r="F3974" s="0" t="s">
        <v>65</v>
      </c>
      <c r="G3974" s="0" t="s">
        <v>153</v>
      </c>
      <c r="H3974" s="0" t="s">
        <v>153</v>
      </c>
      <c r="I3974" s="0" t="s">
        <v>38</v>
      </c>
      <c r="J3974" s="0" t="s">
        <v>39</v>
      </c>
      <c r="K3974" s="0" t="s">
        <v>48</v>
      </c>
      <c r="L3974" s="0" t="s">
        <v>49</v>
      </c>
      <c r="M3974" s="0" t="s">
        <v>140</v>
      </c>
      <c r="N3974" s="0" t="n">
        <v>1265</v>
      </c>
      <c r="O3974" s="10" t="n">
        <v>0.711229968816042</v>
      </c>
      <c r="P3974" s="10" t="n">
        <v>0.790102193132043</v>
      </c>
      <c r="Q3974" s="0" t="str">
        <f aca="false">SUBSTITUTE(SUBSTITUTE($I3974,CHAR(61),""),CHAR(34),"")</f>
        <v>15-24</v>
      </c>
      <c r="R3974" s="0" t="str">
        <f aca="false">IF($D3974&lt;&gt;"","["&amp;$E3974&amp;"]"&amp;"|"&amp;$Q3974&amp;"|"&amp;$K3974&amp;"|"&amp;$G3974&amp;"|"&amp;IF($G3974="TX_CURR_SUBNAT.R","CY2022Q4",$M3974),"")</f>
        <v>[kxuuIFpOXyO]|15-24|Male|NEW_INFECTIONS_SUBNAT.T_1|CY2023Q3</v>
      </c>
    </row>
    <row r="3975" customFormat="false" ht="15" hidden="false" customHeight="false" outlineLevel="0" collapsed="false">
      <c r="D3975" s="0" t="s">
        <v>63</v>
      </c>
      <c r="E3975" s="0" t="s">
        <v>64</v>
      </c>
      <c r="F3975" s="0" t="s">
        <v>65</v>
      </c>
      <c r="G3975" s="0" t="s">
        <v>153</v>
      </c>
      <c r="H3975" s="0" t="s">
        <v>153</v>
      </c>
      <c r="I3975" s="0" t="s">
        <v>41</v>
      </c>
      <c r="J3975" s="0" t="s">
        <v>42</v>
      </c>
      <c r="K3975" s="0" t="s">
        <v>48</v>
      </c>
      <c r="L3975" s="0" t="s">
        <v>49</v>
      </c>
      <c r="M3975" s="0" t="s">
        <v>140</v>
      </c>
      <c r="N3975" s="0" t="n">
        <v>1911</v>
      </c>
      <c r="O3975" s="10" t="n">
        <v>0.179697273764759</v>
      </c>
      <c r="P3975" s="10" t="n">
        <v>0.790102193132043</v>
      </c>
      <c r="Q3975" s="0" t="str">
        <f aca="false">SUBSTITUTE(SUBSTITUTE($I3975,CHAR(61),""),CHAR(34),"")</f>
        <v>25-34</v>
      </c>
      <c r="R3975" s="0" t="str">
        <f aca="false">IF($D3975&lt;&gt;"","["&amp;$E3975&amp;"]"&amp;"|"&amp;$Q3975&amp;"|"&amp;$K3975&amp;"|"&amp;$G3975&amp;"|"&amp;IF($G3975="TX_CURR_SUBNAT.R","CY2022Q4",$M3975),"")</f>
        <v>[kxuuIFpOXyO]|25-34|Male|NEW_INFECTIONS_SUBNAT.T_1|CY2023Q3</v>
      </c>
    </row>
    <row r="3976" customFormat="false" ht="15" hidden="false" customHeight="false" outlineLevel="0" collapsed="false">
      <c r="D3976" s="0" t="s">
        <v>63</v>
      </c>
      <c r="E3976" s="0" t="s">
        <v>64</v>
      </c>
      <c r="F3976" s="0" t="s">
        <v>65</v>
      </c>
      <c r="G3976" s="0" t="s">
        <v>153</v>
      </c>
      <c r="H3976" s="0" t="s">
        <v>153</v>
      </c>
      <c r="I3976" s="0" t="s">
        <v>43</v>
      </c>
      <c r="J3976" s="0" t="s">
        <v>44</v>
      </c>
      <c r="K3976" s="0" t="s">
        <v>48</v>
      </c>
      <c r="L3976" s="0" t="s">
        <v>49</v>
      </c>
      <c r="M3976" s="0" t="s">
        <v>140</v>
      </c>
      <c r="N3976" s="0" t="n">
        <v>1319</v>
      </c>
      <c r="O3976" s="10" t="n">
        <v>0.456978338537738</v>
      </c>
      <c r="P3976" s="10" t="n">
        <v>0.790102193132043</v>
      </c>
      <c r="Q3976" s="0" t="str">
        <f aca="false">SUBSTITUTE(SUBSTITUTE($I3976,CHAR(61),""),CHAR(34),"")</f>
        <v>35-49</v>
      </c>
      <c r="R3976" s="0" t="str">
        <f aca="false">IF($D3976&lt;&gt;"","["&amp;$E3976&amp;"]"&amp;"|"&amp;$Q3976&amp;"|"&amp;$K3976&amp;"|"&amp;$G3976&amp;"|"&amp;IF($G3976="TX_CURR_SUBNAT.R","CY2022Q4",$M3976),"")</f>
        <v>[kxuuIFpOXyO]|35-49|Male|NEW_INFECTIONS_SUBNAT.T_1|CY2023Q3</v>
      </c>
    </row>
    <row r="3977" customFormat="false" ht="15" hidden="false" customHeight="false" outlineLevel="0" collapsed="false">
      <c r="D3977" s="0" t="s">
        <v>63</v>
      </c>
      <c r="E3977" s="0" t="s">
        <v>64</v>
      </c>
      <c r="F3977" s="0" t="s">
        <v>65</v>
      </c>
      <c r="G3977" s="0" t="s">
        <v>153</v>
      </c>
      <c r="H3977" s="0" t="s">
        <v>153</v>
      </c>
      <c r="I3977" s="0" t="s">
        <v>45</v>
      </c>
      <c r="J3977" s="0" t="s">
        <v>46</v>
      </c>
      <c r="K3977" s="0" t="s">
        <v>48</v>
      </c>
      <c r="L3977" s="0" t="s">
        <v>49</v>
      </c>
      <c r="M3977" s="0" t="s">
        <v>140</v>
      </c>
      <c r="N3977" s="0" t="n">
        <v>800</v>
      </c>
      <c r="O3977" s="10" t="n">
        <v>0.592062065843493</v>
      </c>
      <c r="P3977" s="10" t="n">
        <v>0.790102193132043</v>
      </c>
      <c r="Q3977" s="0" t="str">
        <f aca="false">SUBSTITUTE(SUBSTITUTE($I3977,CHAR(61),""),CHAR(34),"")</f>
        <v>50+</v>
      </c>
      <c r="R3977" s="0" t="str">
        <f aca="false">IF($D3977&lt;&gt;"","["&amp;$E3977&amp;"]"&amp;"|"&amp;$Q3977&amp;"|"&amp;$K3977&amp;"|"&amp;$G3977&amp;"|"&amp;IF($G3977="TX_CURR_SUBNAT.R","CY2022Q4",$M3977),"")</f>
        <v>[kxuuIFpOXyO]|50+|Male|NEW_INFECTIONS_SUBNAT.T_1|CY2023Q3</v>
      </c>
    </row>
    <row r="3978" customFormat="false" ht="15" hidden="false" customHeight="false" outlineLevel="0" collapsed="false">
      <c r="D3978" s="0" t="s">
        <v>66</v>
      </c>
      <c r="E3978" s="0" t="s">
        <v>67</v>
      </c>
      <c r="F3978" s="0" t="s">
        <v>68</v>
      </c>
      <c r="G3978" s="0" t="s">
        <v>153</v>
      </c>
      <c r="H3978" s="0" t="s">
        <v>153</v>
      </c>
      <c r="I3978" s="0" t="s">
        <v>28</v>
      </c>
      <c r="J3978" s="0" t="s">
        <v>29</v>
      </c>
      <c r="K3978" s="0" t="s">
        <v>30</v>
      </c>
      <c r="L3978" s="0" t="s">
        <v>31</v>
      </c>
      <c r="M3978" s="0" t="s">
        <v>140</v>
      </c>
      <c r="N3978" s="0" t="n">
        <v>1984</v>
      </c>
      <c r="O3978" s="10" t="n">
        <v>0.269850570475683</v>
      </c>
      <c r="P3978" s="10" t="n">
        <v>0.164609884377569</v>
      </c>
      <c r="Q3978" s="0" t="str">
        <f aca="false">SUBSTITUTE(SUBSTITUTE($I3978,CHAR(61),""),CHAR(34),"")</f>
        <v>&lt;01</v>
      </c>
      <c r="R3978" s="0" t="str">
        <f aca="false">IF($D3978&lt;&gt;"","["&amp;$E3978&amp;"]"&amp;"|"&amp;$Q3978&amp;"|"&amp;$K3978&amp;"|"&amp;$G3978&amp;"|"&amp;IF($G3978="TX_CURR_SUBNAT.R","CY2022Q4",$M3978),"")</f>
        <v>[ScR9iFKAasW]|&lt;01|Female|NEW_INFECTIONS_SUBNAT.T_1|CY2023Q3</v>
      </c>
    </row>
    <row r="3979" customFormat="false" ht="15" hidden="false" customHeight="false" outlineLevel="0" collapsed="false">
      <c r="D3979" s="0" t="s">
        <v>66</v>
      </c>
      <c r="E3979" s="0" t="s">
        <v>67</v>
      </c>
      <c r="F3979" s="0" t="s">
        <v>68</v>
      </c>
      <c r="G3979" s="0" t="s">
        <v>153</v>
      </c>
      <c r="H3979" s="0" t="s">
        <v>153</v>
      </c>
      <c r="I3979" s="0" t="s">
        <v>33</v>
      </c>
      <c r="J3979" s="0" t="s">
        <v>34</v>
      </c>
      <c r="K3979" s="0" t="s">
        <v>30</v>
      </c>
      <c r="L3979" s="0" t="s">
        <v>31</v>
      </c>
      <c r="M3979" s="0" t="s">
        <v>140</v>
      </c>
      <c r="N3979" s="0" t="n">
        <v>656</v>
      </c>
      <c r="O3979" s="10" t="n">
        <v>0.887851643376052</v>
      </c>
      <c r="P3979" s="10" t="n">
        <v>0.164609884377569</v>
      </c>
      <c r="Q3979" s="0" t="str">
        <f aca="false">SUBSTITUTE(SUBSTITUTE($I3979,CHAR(61),""),CHAR(34),"")</f>
        <v>01-09</v>
      </c>
      <c r="R3979" s="0" t="str">
        <f aca="false">IF($D3979&lt;&gt;"","["&amp;$E3979&amp;"]"&amp;"|"&amp;$Q3979&amp;"|"&amp;$K3979&amp;"|"&amp;$G3979&amp;"|"&amp;IF($G3979="TX_CURR_SUBNAT.R","CY2022Q4",$M3979),"")</f>
        <v>[ScR9iFKAasW]|01-09|Female|NEW_INFECTIONS_SUBNAT.T_1|CY2023Q3</v>
      </c>
    </row>
    <row r="3980" customFormat="false" ht="15" hidden="false" customHeight="false" outlineLevel="0" collapsed="false">
      <c r="D3980" s="0" t="s">
        <v>66</v>
      </c>
      <c r="E3980" s="0" t="s">
        <v>67</v>
      </c>
      <c r="F3980" s="0" t="s">
        <v>68</v>
      </c>
      <c r="G3980" s="0" t="s">
        <v>153</v>
      </c>
      <c r="H3980" s="0" t="s">
        <v>153</v>
      </c>
      <c r="I3980" s="0" t="s">
        <v>36</v>
      </c>
      <c r="J3980" s="0" t="s">
        <v>37</v>
      </c>
      <c r="K3980" s="0" t="s">
        <v>30</v>
      </c>
      <c r="L3980" s="0" t="s">
        <v>31</v>
      </c>
      <c r="M3980" s="0" t="s">
        <v>140</v>
      </c>
      <c r="N3980" s="0" t="n">
        <v>642</v>
      </c>
      <c r="O3980" s="10" t="n">
        <v>0.317900546593592</v>
      </c>
      <c r="P3980" s="10" t="n">
        <v>0.164609884377569</v>
      </c>
      <c r="Q3980" s="0" t="str">
        <f aca="false">SUBSTITUTE(SUBSTITUTE($I3980,CHAR(61),""),CHAR(34),"")</f>
        <v>10-14</v>
      </c>
      <c r="R3980" s="0" t="str">
        <f aca="false">IF($D3980&lt;&gt;"","["&amp;$E3980&amp;"]"&amp;"|"&amp;$Q3980&amp;"|"&amp;$K3980&amp;"|"&amp;$G3980&amp;"|"&amp;IF($G3980="TX_CURR_SUBNAT.R","CY2022Q4",$M3980),"")</f>
        <v>[ScR9iFKAasW]|10-14|Female|NEW_INFECTIONS_SUBNAT.T_1|CY2023Q3</v>
      </c>
    </row>
    <row r="3981" customFormat="false" ht="15" hidden="false" customHeight="false" outlineLevel="0" collapsed="false">
      <c r="D3981" s="0" t="s">
        <v>66</v>
      </c>
      <c r="E3981" s="0" t="s">
        <v>67</v>
      </c>
      <c r="F3981" s="0" t="s">
        <v>68</v>
      </c>
      <c r="G3981" s="0" t="s">
        <v>153</v>
      </c>
      <c r="H3981" s="0" t="s">
        <v>153</v>
      </c>
      <c r="I3981" s="0" t="s">
        <v>38</v>
      </c>
      <c r="J3981" s="0" t="s">
        <v>39</v>
      </c>
      <c r="K3981" s="0" t="s">
        <v>30</v>
      </c>
      <c r="L3981" s="0" t="s">
        <v>31</v>
      </c>
      <c r="M3981" s="0" t="s">
        <v>140</v>
      </c>
      <c r="N3981" s="0" t="n">
        <v>1865</v>
      </c>
      <c r="O3981" s="10" t="n">
        <v>0.938913322752342</v>
      </c>
      <c r="P3981" s="10" t="n">
        <v>0.164609884377569</v>
      </c>
      <c r="Q3981" s="0" t="str">
        <f aca="false">SUBSTITUTE(SUBSTITUTE($I3981,CHAR(61),""),CHAR(34),"")</f>
        <v>15-24</v>
      </c>
      <c r="R3981" s="0" t="str">
        <f aca="false">IF($D3981&lt;&gt;"","["&amp;$E3981&amp;"]"&amp;"|"&amp;$Q3981&amp;"|"&amp;$K3981&amp;"|"&amp;$G3981&amp;"|"&amp;IF($G3981="TX_CURR_SUBNAT.R","CY2022Q4",$M3981),"")</f>
        <v>[ScR9iFKAasW]|15-24|Female|NEW_INFECTIONS_SUBNAT.T_1|CY2023Q3</v>
      </c>
    </row>
    <row r="3982" customFormat="false" ht="15" hidden="false" customHeight="false" outlineLevel="0" collapsed="false">
      <c r="D3982" s="0" t="s">
        <v>66</v>
      </c>
      <c r="E3982" s="0" t="s">
        <v>67</v>
      </c>
      <c r="F3982" s="0" t="s">
        <v>68</v>
      </c>
      <c r="G3982" s="0" t="s">
        <v>153</v>
      </c>
      <c r="H3982" s="0" t="s">
        <v>153</v>
      </c>
      <c r="I3982" s="0" t="s">
        <v>41</v>
      </c>
      <c r="J3982" s="0" t="s">
        <v>42</v>
      </c>
      <c r="K3982" s="0" t="s">
        <v>30</v>
      </c>
      <c r="L3982" s="0" t="s">
        <v>31</v>
      </c>
      <c r="M3982" s="0" t="s">
        <v>140</v>
      </c>
      <c r="N3982" s="0" t="n">
        <v>1762</v>
      </c>
      <c r="O3982" s="10" t="n">
        <v>0.949648443842307</v>
      </c>
      <c r="P3982" s="10" t="n">
        <v>0.164609884377569</v>
      </c>
      <c r="Q3982" s="0" t="str">
        <f aca="false">SUBSTITUTE(SUBSTITUTE($I3982,CHAR(61),""),CHAR(34),"")</f>
        <v>25-34</v>
      </c>
      <c r="R3982" s="0" t="str">
        <f aca="false">IF($D3982&lt;&gt;"","["&amp;$E3982&amp;"]"&amp;"|"&amp;$Q3982&amp;"|"&amp;$K3982&amp;"|"&amp;$G3982&amp;"|"&amp;IF($G3982="TX_CURR_SUBNAT.R","CY2022Q4",$M3982),"")</f>
        <v>[ScR9iFKAasW]|25-34|Female|NEW_INFECTIONS_SUBNAT.T_1|CY2023Q3</v>
      </c>
    </row>
    <row r="3983" customFormat="false" ht="15" hidden="false" customHeight="false" outlineLevel="0" collapsed="false">
      <c r="D3983" s="0" t="s">
        <v>66</v>
      </c>
      <c r="E3983" s="0" t="s">
        <v>67</v>
      </c>
      <c r="F3983" s="0" t="s">
        <v>68</v>
      </c>
      <c r="G3983" s="0" t="s">
        <v>153</v>
      </c>
      <c r="H3983" s="0" t="s">
        <v>153</v>
      </c>
      <c r="I3983" s="0" t="s">
        <v>43</v>
      </c>
      <c r="J3983" s="0" t="s">
        <v>44</v>
      </c>
      <c r="K3983" s="0" t="s">
        <v>30</v>
      </c>
      <c r="L3983" s="0" t="s">
        <v>31</v>
      </c>
      <c r="M3983" s="0" t="s">
        <v>140</v>
      </c>
      <c r="N3983" s="0" t="n">
        <v>1879</v>
      </c>
      <c r="O3983" s="10" t="n">
        <v>0.812487412476912</v>
      </c>
      <c r="P3983" s="10" t="n">
        <v>0.164609884377569</v>
      </c>
      <c r="Q3983" s="0" t="str">
        <f aca="false">SUBSTITUTE(SUBSTITUTE($I3983,CHAR(61),""),CHAR(34),"")</f>
        <v>35-49</v>
      </c>
      <c r="R3983" s="0" t="str">
        <f aca="false">IF($D3983&lt;&gt;"","["&amp;$E3983&amp;"]"&amp;"|"&amp;$Q3983&amp;"|"&amp;$K3983&amp;"|"&amp;$G3983&amp;"|"&amp;IF($G3983="TX_CURR_SUBNAT.R","CY2022Q4",$M3983),"")</f>
        <v>[ScR9iFKAasW]|35-49|Female|NEW_INFECTIONS_SUBNAT.T_1|CY2023Q3</v>
      </c>
    </row>
    <row r="3984" customFormat="false" ht="15" hidden="false" customHeight="false" outlineLevel="0" collapsed="false">
      <c r="D3984" s="0" t="s">
        <v>66</v>
      </c>
      <c r="E3984" s="0" t="s">
        <v>67</v>
      </c>
      <c r="F3984" s="0" t="s">
        <v>68</v>
      </c>
      <c r="G3984" s="0" t="s">
        <v>153</v>
      </c>
      <c r="H3984" s="0" t="s">
        <v>153</v>
      </c>
      <c r="I3984" s="0" t="s">
        <v>45</v>
      </c>
      <c r="J3984" s="0" t="s">
        <v>46</v>
      </c>
      <c r="K3984" s="0" t="s">
        <v>30</v>
      </c>
      <c r="L3984" s="0" t="s">
        <v>31</v>
      </c>
      <c r="M3984" s="0" t="s">
        <v>140</v>
      </c>
      <c r="N3984" s="0" t="n">
        <v>1577</v>
      </c>
      <c r="O3984" s="10" t="n">
        <v>0.573407141957432</v>
      </c>
      <c r="P3984" s="10" t="n">
        <v>0.164609884377569</v>
      </c>
      <c r="Q3984" s="0" t="str">
        <f aca="false">SUBSTITUTE(SUBSTITUTE($I3984,CHAR(61),""),CHAR(34),"")</f>
        <v>50+</v>
      </c>
      <c r="R3984" s="0" t="str">
        <f aca="false">IF($D3984&lt;&gt;"","["&amp;$E3984&amp;"]"&amp;"|"&amp;$Q3984&amp;"|"&amp;$K3984&amp;"|"&amp;$G3984&amp;"|"&amp;IF($G3984="TX_CURR_SUBNAT.R","CY2022Q4",$M3984),"")</f>
        <v>[ScR9iFKAasW]|50+|Female|NEW_INFECTIONS_SUBNAT.T_1|CY2023Q3</v>
      </c>
    </row>
    <row r="3985" customFormat="false" ht="15" hidden="false" customHeight="false" outlineLevel="0" collapsed="false">
      <c r="D3985" s="0" t="s">
        <v>66</v>
      </c>
      <c r="E3985" s="0" t="s">
        <v>67</v>
      </c>
      <c r="F3985" s="0" t="s">
        <v>68</v>
      </c>
      <c r="G3985" s="0" t="s">
        <v>153</v>
      </c>
      <c r="H3985" s="0" t="s">
        <v>153</v>
      </c>
      <c r="I3985" s="0" t="s">
        <v>28</v>
      </c>
      <c r="J3985" s="0" t="s">
        <v>29</v>
      </c>
      <c r="K3985" s="0" t="s">
        <v>48</v>
      </c>
      <c r="L3985" s="0" t="s">
        <v>49</v>
      </c>
      <c r="M3985" s="0" t="s">
        <v>140</v>
      </c>
      <c r="N3985" s="0" t="n">
        <v>1386</v>
      </c>
      <c r="O3985" s="10" t="n">
        <v>0.841790200211108</v>
      </c>
      <c r="P3985" s="10" t="n">
        <v>0.164609884377569</v>
      </c>
      <c r="Q3985" s="0" t="str">
        <f aca="false">SUBSTITUTE(SUBSTITUTE($I3985,CHAR(61),""),CHAR(34),"")</f>
        <v>&lt;01</v>
      </c>
      <c r="R3985" s="0" t="str">
        <f aca="false">IF($D3985&lt;&gt;"","["&amp;$E3985&amp;"]"&amp;"|"&amp;$Q3985&amp;"|"&amp;$K3985&amp;"|"&amp;$G3985&amp;"|"&amp;IF($G3985="TX_CURR_SUBNAT.R","CY2022Q4",$M3985),"")</f>
        <v>[ScR9iFKAasW]|&lt;01|Male|NEW_INFECTIONS_SUBNAT.T_1|CY2023Q3</v>
      </c>
    </row>
    <row r="3986" customFormat="false" ht="15" hidden="false" customHeight="false" outlineLevel="0" collapsed="false">
      <c r="D3986" s="0" t="s">
        <v>66</v>
      </c>
      <c r="E3986" s="0" t="s">
        <v>67</v>
      </c>
      <c r="F3986" s="0" t="s">
        <v>68</v>
      </c>
      <c r="G3986" s="0" t="s">
        <v>153</v>
      </c>
      <c r="H3986" s="0" t="s">
        <v>153</v>
      </c>
      <c r="I3986" s="0" t="s">
        <v>33</v>
      </c>
      <c r="J3986" s="0" t="s">
        <v>34</v>
      </c>
      <c r="K3986" s="0" t="s">
        <v>48</v>
      </c>
      <c r="L3986" s="0" t="s">
        <v>49</v>
      </c>
      <c r="M3986" s="0" t="s">
        <v>140</v>
      </c>
      <c r="N3986" s="0" t="n">
        <v>1850</v>
      </c>
      <c r="O3986" s="10" t="n">
        <v>0.223989262012765</v>
      </c>
      <c r="P3986" s="10" t="n">
        <v>0.164609884377569</v>
      </c>
      <c r="Q3986" s="0" t="str">
        <f aca="false">SUBSTITUTE(SUBSTITUTE($I3986,CHAR(61),""),CHAR(34),"")</f>
        <v>01-09</v>
      </c>
      <c r="R3986" s="0" t="str">
        <f aca="false">IF($D3986&lt;&gt;"","["&amp;$E3986&amp;"]"&amp;"|"&amp;$Q3986&amp;"|"&amp;$K3986&amp;"|"&amp;$G3986&amp;"|"&amp;IF($G3986="TX_CURR_SUBNAT.R","CY2022Q4",$M3986),"")</f>
        <v>[ScR9iFKAasW]|01-09|Male|NEW_INFECTIONS_SUBNAT.T_1|CY2023Q3</v>
      </c>
    </row>
    <row r="3987" customFormat="false" ht="15" hidden="false" customHeight="false" outlineLevel="0" collapsed="false">
      <c r="D3987" s="0" t="s">
        <v>66</v>
      </c>
      <c r="E3987" s="0" t="s">
        <v>67</v>
      </c>
      <c r="F3987" s="0" t="s">
        <v>68</v>
      </c>
      <c r="G3987" s="0" t="s">
        <v>153</v>
      </c>
      <c r="H3987" s="0" t="s">
        <v>153</v>
      </c>
      <c r="I3987" s="0" t="s">
        <v>36</v>
      </c>
      <c r="J3987" s="0" t="s">
        <v>37</v>
      </c>
      <c r="K3987" s="0" t="s">
        <v>48</v>
      </c>
      <c r="L3987" s="0" t="s">
        <v>49</v>
      </c>
      <c r="M3987" s="0" t="s">
        <v>140</v>
      </c>
      <c r="N3987" s="0" t="n">
        <v>1051</v>
      </c>
      <c r="O3987" s="10" t="n">
        <v>0.286258042324334</v>
      </c>
      <c r="P3987" s="10" t="n">
        <v>0.164609884377569</v>
      </c>
      <c r="Q3987" s="0" t="str">
        <f aca="false">SUBSTITUTE(SUBSTITUTE($I3987,CHAR(61),""),CHAR(34),"")</f>
        <v>10-14</v>
      </c>
      <c r="R3987" s="0" t="str">
        <f aca="false">IF($D3987&lt;&gt;"","["&amp;$E3987&amp;"]"&amp;"|"&amp;$Q3987&amp;"|"&amp;$K3987&amp;"|"&amp;$G3987&amp;"|"&amp;IF($G3987="TX_CURR_SUBNAT.R","CY2022Q4",$M3987),"")</f>
        <v>[ScR9iFKAasW]|10-14|Male|NEW_INFECTIONS_SUBNAT.T_1|CY2023Q3</v>
      </c>
    </row>
    <row r="3988" customFormat="false" ht="15" hidden="false" customHeight="false" outlineLevel="0" collapsed="false">
      <c r="D3988" s="0" t="s">
        <v>66</v>
      </c>
      <c r="E3988" s="0" t="s">
        <v>67</v>
      </c>
      <c r="F3988" s="0" t="s">
        <v>68</v>
      </c>
      <c r="G3988" s="0" t="s">
        <v>153</v>
      </c>
      <c r="H3988" s="0" t="s">
        <v>153</v>
      </c>
      <c r="I3988" s="0" t="s">
        <v>38</v>
      </c>
      <c r="J3988" s="0" t="s">
        <v>39</v>
      </c>
      <c r="K3988" s="0" t="s">
        <v>48</v>
      </c>
      <c r="L3988" s="0" t="s">
        <v>49</v>
      </c>
      <c r="M3988" s="0" t="s">
        <v>140</v>
      </c>
      <c r="N3988" s="0" t="n">
        <v>1433</v>
      </c>
      <c r="O3988" s="10" t="n">
        <v>0.577213195618242</v>
      </c>
      <c r="P3988" s="10" t="n">
        <v>0.164609884377569</v>
      </c>
      <c r="Q3988" s="0" t="str">
        <f aca="false">SUBSTITUTE(SUBSTITUTE($I3988,CHAR(61),""),CHAR(34),"")</f>
        <v>15-24</v>
      </c>
      <c r="R3988" s="0" t="str">
        <f aca="false">IF($D3988&lt;&gt;"","["&amp;$E3988&amp;"]"&amp;"|"&amp;$Q3988&amp;"|"&amp;$K3988&amp;"|"&amp;$G3988&amp;"|"&amp;IF($G3988="TX_CURR_SUBNAT.R","CY2022Q4",$M3988),"")</f>
        <v>[ScR9iFKAasW]|15-24|Male|NEW_INFECTIONS_SUBNAT.T_1|CY2023Q3</v>
      </c>
    </row>
    <row r="3989" customFormat="false" ht="15" hidden="false" customHeight="false" outlineLevel="0" collapsed="false">
      <c r="D3989" s="0" t="s">
        <v>66</v>
      </c>
      <c r="E3989" s="0" t="s">
        <v>67</v>
      </c>
      <c r="F3989" s="0" t="s">
        <v>68</v>
      </c>
      <c r="G3989" s="0" t="s">
        <v>153</v>
      </c>
      <c r="H3989" s="0" t="s">
        <v>153</v>
      </c>
      <c r="I3989" s="0" t="s">
        <v>41</v>
      </c>
      <c r="J3989" s="0" t="s">
        <v>42</v>
      </c>
      <c r="K3989" s="0" t="s">
        <v>48</v>
      </c>
      <c r="L3989" s="0" t="s">
        <v>49</v>
      </c>
      <c r="M3989" s="0" t="s">
        <v>140</v>
      </c>
      <c r="N3989" s="0" t="n">
        <v>1025</v>
      </c>
      <c r="O3989" s="10" t="n">
        <v>0.783707475289702</v>
      </c>
      <c r="P3989" s="10" t="n">
        <v>0.164609884377569</v>
      </c>
      <c r="Q3989" s="0" t="str">
        <f aca="false">SUBSTITUTE(SUBSTITUTE($I3989,CHAR(61),""),CHAR(34),"")</f>
        <v>25-34</v>
      </c>
      <c r="R3989" s="0" t="str">
        <f aca="false">IF($D3989&lt;&gt;"","["&amp;$E3989&amp;"]"&amp;"|"&amp;$Q3989&amp;"|"&amp;$K3989&amp;"|"&amp;$G3989&amp;"|"&amp;IF($G3989="TX_CURR_SUBNAT.R","CY2022Q4",$M3989),"")</f>
        <v>[ScR9iFKAasW]|25-34|Male|NEW_INFECTIONS_SUBNAT.T_1|CY2023Q3</v>
      </c>
    </row>
    <row r="3990" customFormat="false" ht="15" hidden="false" customHeight="false" outlineLevel="0" collapsed="false">
      <c r="D3990" s="0" t="s">
        <v>66</v>
      </c>
      <c r="E3990" s="0" t="s">
        <v>67</v>
      </c>
      <c r="F3990" s="0" t="s">
        <v>68</v>
      </c>
      <c r="G3990" s="0" t="s">
        <v>153</v>
      </c>
      <c r="H3990" s="0" t="s">
        <v>153</v>
      </c>
      <c r="I3990" s="0" t="s">
        <v>43</v>
      </c>
      <c r="J3990" s="0" t="s">
        <v>44</v>
      </c>
      <c r="K3990" s="0" t="s">
        <v>48</v>
      </c>
      <c r="L3990" s="0" t="s">
        <v>49</v>
      </c>
      <c r="M3990" s="0" t="s">
        <v>140</v>
      </c>
      <c r="N3990" s="0" t="n">
        <v>1693</v>
      </c>
      <c r="O3990" s="10" t="n">
        <v>0.135020076530054</v>
      </c>
      <c r="P3990" s="10" t="n">
        <v>0.164609884377569</v>
      </c>
      <c r="Q3990" s="0" t="str">
        <f aca="false">SUBSTITUTE(SUBSTITUTE($I3990,CHAR(61),""),CHAR(34),"")</f>
        <v>35-49</v>
      </c>
      <c r="R3990" s="0" t="str">
        <f aca="false">IF($D3990&lt;&gt;"","["&amp;$E3990&amp;"]"&amp;"|"&amp;$Q3990&amp;"|"&amp;$K3990&amp;"|"&amp;$G3990&amp;"|"&amp;IF($G3990="TX_CURR_SUBNAT.R","CY2022Q4",$M3990),"")</f>
        <v>[ScR9iFKAasW]|35-49|Male|NEW_INFECTIONS_SUBNAT.T_1|CY2023Q3</v>
      </c>
    </row>
    <row r="3991" customFormat="false" ht="15" hidden="false" customHeight="false" outlineLevel="0" collapsed="false">
      <c r="D3991" s="0" t="s">
        <v>66</v>
      </c>
      <c r="E3991" s="0" t="s">
        <v>67</v>
      </c>
      <c r="F3991" s="0" t="s">
        <v>68</v>
      </c>
      <c r="G3991" s="0" t="s">
        <v>153</v>
      </c>
      <c r="H3991" s="0" t="s">
        <v>153</v>
      </c>
      <c r="I3991" s="0" t="s">
        <v>45</v>
      </c>
      <c r="J3991" s="0" t="s">
        <v>46</v>
      </c>
      <c r="K3991" s="0" t="s">
        <v>48</v>
      </c>
      <c r="L3991" s="0" t="s">
        <v>49</v>
      </c>
      <c r="M3991" s="0" t="s">
        <v>140</v>
      </c>
      <c r="N3991" s="0" t="n">
        <v>856</v>
      </c>
      <c r="O3991" s="10" t="n">
        <v>0.271262066671625</v>
      </c>
      <c r="P3991" s="10" t="n">
        <v>0.164609884377569</v>
      </c>
      <c r="Q3991" s="0" t="str">
        <f aca="false">SUBSTITUTE(SUBSTITUTE($I3991,CHAR(61),""),CHAR(34),"")</f>
        <v>50+</v>
      </c>
      <c r="R3991" s="0" t="str">
        <f aca="false">IF($D3991&lt;&gt;"","["&amp;$E3991&amp;"]"&amp;"|"&amp;$Q3991&amp;"|"&amp;$K3991&amp;"|"&amp;$G3991&amp;"|"&amp;IF($G3991="TX_CURR_SUBNAT.R","CY2022Q4",$M3991),"")</f>
        <v>[ScR9iFKAasW]|50+|Male|NEW_INFECTIONS_SUBNAT.T_1|CY2023Q3</v>
      </c>
    </row>
    <row r="3992" customFormat="false" ht="15" hidden="false" customHeight="false" outlineLevel="0" collapsed="false">
      <c r="D3992" s="0" t="s">
        <v>69</v>
      </c>
      <c r="E3992" s="0" t="s">
        <v>70</v>
      </c>
      <c r="F3992" s="0" t="s">
        <v>71</v>
      </c>
      <c r="G3992" s="0" t="s">
        <v>153</v>
      </c>
      <c r="H3992" s="0" t="s">
        <v>153</v>
      </c>
      <c r="I3992" s="0" t="s">
        <v>28</v>
      </c>
      <c r="J3992" s="0" t="s">
        <v>29</v>
      </c>
      <c r="K3992" s="0" t="s">
        <v>30</v>
      </c>
      <c r="L3992" s="0" t="s">
        <v>31</v>
      </c>
      <c r="M3992" s="0" t="s">
        <v>140</v>
      </c>
      <c r="N3992" s="0" t="n">
        <v>1870</v>
      </c>
      <c r="O3992" s="10" t="n">
        <v>0.229622721672058</v>
      </c>
      <c r="P3992" s="10" t="n">
        <v>0.198817263124511</v>
      </c>
      <c r="Q3992" s="0" t="str">
        <f aca="false">SUBSTITUTE(SUBSTITUTE($I3992,CHAR(61),""),CHAR(34),"")</f>
        <v>&lt;01</v>
      </c>
      <c r="R3992" s="0" t="str">
        <f aca="false">IF($D3992&lt;&gt;"","["&amp;$E3992&amp;"]"&amp;"|"&amp;$Q3992&amp;"|"&amp;$K3992&amp;"|"&amp;$G3992&amp;"|"&amp;IF($G3992="TX_CURR_SUBNAT.R","CY2022Q4",$M3992),"")</f>
        <v>[PekKUkKHAzY]|&lt;01|Female|NEW_INFECTIONS_SUBNAT.T_1|CY2023Q3</v>
      </c>
    </row>
    <row r="3993" customFormat="false" ht="15" hidden="false" customHeight="false" outlineLevel="0" collapsed="false">
      <c r="D3993" s="0" t="s">
        <v>69</v>
      </c>
      <c r="E3993" s="0" t="s">
        <v>70</v>
      </c>
      <c r="F3993" s="0" t="s">
        <v>71</v>
      </c>
      <c r="G3993" s="0" t="s">
        <v>153</v>
      </c>
      <c r="H3993" s="0" t="s">
        <v>153</v>
      </c>
      <c r="I3993" s="0" t="s">
        <v>33</v>
      </c>
      <c r="J3993" s="0" t="s">
        <v>34</v>
      </c>
      <c r="K3993" s="0" t="s">
        <v>30</v>
      </c>
      <c r="L3993" s="0" t="s">
        <v>31</v>
      </c>
      <c r="M3993" s="0" t="s">
        <v>140</v>
      </c>
      <c r="N3993" s="0" t="n">
        <v>1261</v>
      </c>
      <c r="O3993" s="10" t="n">
        <v>0.406502317637205</v>
      </c>
      <c r="P3993" s="10" t="n">
        <v>0.198817263124511</v>
      </c>
      <c r="Q3993" s="0" t="str">
        <f aca="false">SUBSTITUTE(SUBSTITUTE($I3993,CHAR(61),""),CHAR(34),"")</f>
        <v>01-09</v>
      </c>
      <c r="R3993" s="0" t="str">
        <f aca="false">IF($D3993&lt;&gt;"","["&amp;$E3993&amp;"]"&amp;"|"&amp;$Q3993&amp;"|"&amp;$K3993&amp;"|"&amp;$G3993&amp;"|"&amp;IF($G3993="TX_CURR_SUBNAT.R","CY2022Q4",$M3993),"")</f>
        <v>[PekKUkKHAzY]|01-09|Female|NEW_INFECTIONS_SUBNAT.T_1|CY2023Q3</v>
      </c>
    </row>
    <row r="3994" customFormat="false" ht="15" hidden="false" customHeight="false" outlineLevel="0" collapsed="false">
      <c r="D3994" s="0" t="s">
        <v>69</v>
      </c>
      <c r="E3994" s="0" t="s">
        <v>70</v>
      </c>
      <c r="F3994" s="0" t="s">
        <v>71</v>
      </c>
      <c r="G3994" s="0" t="s">
        <v>153</v>
      </c>
      <c r="H3994" s="0" t="s">
        <v>153</v>
      </c>
      <c r="I3994" s="0" t="s">
        <v>36</v>
      </c>
      <c r="J3994" s="0" t="s">
        <v>37</v>
      </c>
      <c r="K3994" s="0" t="s">
        <v>30</v>
      </c>
      <c r="L3994" s="0" t="s">
        <v>31</v>
      </c>
      <c r="M3994" s="0" t="s">
        <v>140</v>
      </c>
      <c r="N3994" s="0" t="n">
        <v>1910</v>
      </c>
      <c r="O3994" s="10" t="n">
        <v>0.0115688624791801</v>
      </c>
      <c r="P3994" s="10" t="n">
        <v>0.198817263124511</v>
      </c>
      <c r="Q3994" s="0" t="str">
        <f aca="false">SUBSTITUTE(SUBSTITUTE($I3994,CHAR(61),""),CHAR(34),"")</f>
        <v>10-14</v>
      </c>
      <c r="R3994" s="0" t="str">
        <f aca="false">IF($D3994&lt;&gt;"","["&amp;$E3994&amp;"]"&amp;"|"&amp;$Q3994&amp;"|"&amp;$K3994&amp;"|"&amp;$G3994&amp;"|"&amp;IF($G3994="TX_CURR_SUBNAT.R","CY2022Q4",$M3994),"")</f>
        <v>[PekKUkKHAzY]|10-14|Female|NEW_INFECTIONS_SUBNAT.T_1|CY2023Q3</v>
      </c>
    </row>
    <row r="3995" customFormat="false" ht="15" hidden="false" customHeight="false" outlineLevel="0" collapsed="false">
      <c r="D3995" s="0" t="s">
        <v>69</v>
      </c>
      <c r="E3995" s="0" t="s">
        <v>70</v>
      </c>
      <c r="F3995" s="0" t="s">
        <v>71</v>
      </c>
      <c r="G3995" s="0" t="s">
        <v>153</v>
      </c>
      <c r="H3995" s="0" t="s">
        <v>153</v>
      </c>
      <c r="I3995" s="0" t="s">
        <v>38</v>
      </c>
      <c r="J3995" s="0" t="s">
        <v>39</v>
      </c>
      <c r="K3995" s="0" t="s">
        <v>30</v>
      </c>
      <c r="L3995" s="0" t="s">
        <v>31</v>
      </c>
      <c r="M3995" s="0" t="s">
        <v>140</v>
      </c>
      <c r="N3995" s="0" t="n">
        <v>1204</v>
      </c>
      <c r="O3995" s="10" t="n">
        <v>0.593966688262299</v>
      </c>
      <c r="P3995" s="10" t="n">
        <v>0.198817263124511</v>
      </c>
      <c r="Q3995" s="0" t="str">
        <f aca="false">SUBSTITUTE(SUBSTITUTE($I3995,CHAR(61),""),CHAR(34),"")</f>
        <v>15-24</v>
      </c>
      <c r="R3995" s="0" t="str">
        <f aca="false">IF($D3995&lt;&gt;"","["&amp;$E3995&amp;"]"&amp;"|"&amp;$Q3995&amp;"|"&amp;$K3995&amp;"|"&amp;$G3995&amp;"|"&amp;IF($G3995="TX_CURR_SUBNAT.R","CY2022Q4",$M3995),"")</f>
        <v>[PekKUkKHAzY]|15-24|Female|NEW_INFECTIONS_SUBNAT.T_1|CY2023Q3</v>
      </c>
    </row>
    <row r="3996" customFormat="false" ht="15" hidden="false" customHeight="false" outlineLevel="0" collapsed="false">
      <c r="D3996" s="0" t="s">
        <v>69</v>
      </c>
      <c r="E3996" s="0" t="s">
        <v>70</v>
      </c>
      <c r="F3996" s="0" t="s">
        <v>71</v>
      </c>
      <c r="G3996" s="0" t="s">
        <v>153</v>
      </c>
      <c r="H3996" s="0" t="s">
        <v>153</v>
      </c>
      <c r="I3996" s="0" t="s">
        <v>41</v>
      </c>
      <c r="J3996" s="0" t="s">
        <v>42</v>
      </c>
      <c r="K3996" s="0" t="s">
        <v>30</v>
      </c>
      <c r="L3996" s="0" t="s">
        <v>31</v>
      </c>
      <c r="M3996" s="0" t="s">
        <v>140</v>
      </c>
      <c r="N3996" s="0" t="n">
        <v>1602</v>
      </c>
      <c r="O3996" s="10" t="n">
        <v>0.651496914913878</v>
      </c>
      <c r="P3996" s="10" t="n">
        <v>0.198817263124511</v>
      </c>
      <c r="Q3996" s="0" t="str">
        <f aca="false">SUBSTITUTE(SUBSTITUTE($I3996,CHAR(61),""),CHAR(34),"")</f>
        <v>25-34</v>
      </c>
      <c r="R3996" s="0" t="str">
        <f aca="false">IF($D3996&lt;&gt;"","["&amp;$E3996&amp;"]"&amp;"|"&amp;$Q3996&amp;"|"&amp;$K3996&amp;"|"&amp;$G3996&amp;"|"&amp;IF($G3996="TX_CURR_SUBNAT.R","CY2022Q4",$M3996),"")</f>
        <v>[PekKUkKHAzY]|25-34|Female|NEW_INFECTIONS_SUBNAT.T_1|CY2023Q3</v>
      </c>
    </row>
    <row r="3997" customFormat="false" ht="15" hidden="false" customHeight="false" outlineLevel="0" collapsed="false">
      <c r="D3997" s="0" t="s">
        <v>69</v>
      </c>
      <c r="E3997" s="0" t="s">
        <v>70</v>
      </c>
      <c r="F3997" s="0" t="s">
        <v>71</v>
      </c>
      <c r="G3997" s="0" t="s">
        <v>153</v>
      </c>
      <c r="H3997" s="0" t="s">
        <v>153</v>
      </c>
      <c r="I3997" s="0" t="s">
        <v>43</v>
      </c>
      <c r="J3997" s="0" t="s">
        <v>44</v>
      </c>
      <c r="K3997" s="0" t="s">
        <v>30</v>
      </c>
      <c r="L3997" s="0" t="s">
        <v>31</v>
      </c>
      <c r="M3997" s="0" t="s">
        <v>140</v>
      </c>
      <c r="N3997" s="0" t="n">
        <v>1326</v>
      </c>
      <c r="O3997" s="10" t="n">
        <v>0.326855179620907</v>
      </c>
      <c r="P3997" s="10" t="n">
        <v>0.198817263124511</v>
      </c>
      <c r="Q3997" s="0" t="str">
        <f aca="false">SUBSTITUTE(SUBSTITUTE($I3997,CHAR(61),""),CHAR(34),"")</f>
        <v>35-49</v>
      </c>
      <c r="R3997" s="0" t="str">
        <f aca="false">IF($D3997&lt;&gt;"","["&amp;$E3997&amp;"]"&amp;"|"&amp;$Q3997&amp;"|"&amp;$K3997&amp;"|"&amp;$G3997&amp;"|"&amp;IF($G3997="TX_CURR_SUBNAT.R","CY2022Q4",$M3997),"")</f>
        <v>[PekKUkKHAzY]|35-49|Female|NEW_INFECTIONS_SUBNAT.T_1|CY2023Q3</v>
      </c>
    </row>
    <row r="3998" customFormat="false" ht="15" hidden="false" customHeight="false" outlineLevel="0" collapsed="false">
      <c r="D3998" s="0" t="s">
        <v>69</v>
      </c>
      <c r="E3998" s="0" t="s">
        <v>70</v>
      </c>
      <c r="F3998" s="0" t="s">
        <v>71</v>
      </c>
      <c r="G3998" s="0" t="s">
        <v>153</v>
      </c>
      <c r="H3998" s="0" t="s">
        <v>153</v>
      </c>
      <c r="I3998" s="0" t="s">
        <v>45</v>
      </c>
      <c r="J3998" s="0" t="s">
        <v>46</v>
      </c>
      <c r="K3998" s="0" t="s">
        <v>30</v>
      </c>
      <c r="L3998" s="0" t="s">
        <v>31</v>
      </c>
      <c r="M3998" s="0" t="s">
        <v>140</v>
      </c>
      <c r="N3998" s="0" t="n">
        <v>1240</v>
      </c>
      <c r="O3998" s="10" t="n">
        <v>0.905315835494548</v>
      </c>
      <c r="P3998" s="10" t="n">
        <v>0.198817263124511</v>
      </c>
      <c r="Q3998" s="0" t="str">
        <f aca="false">SUBSTITUTE(SUBSTITUTE($I3998,CHAR(61),""),CHAR(34),"")</f>
        <v>50+</v>
      </c>
      <c r="R3998" s="0" t="str">
        <f aca="false">IF($D3998&lt;&gt;"","["&amp;$E3998&amp;"]"&amp;"|"&amp;$Q3998&amp;"|"&amp;$K3998&amp;"|"&amp;$G3998&amp;"|"&amp;IF($G3998="TX_CURR_SUBNAT.R","CY2022Q4",$M3998),"")</f>
        <v>[PekKUkKHAzY]|50+|Female|NEW_INFECTIONS_SUBNAT.T_1|CY2023Q3</v>
      </c>
    </row>
    <row r="3999" customFormat="false" ht="15" hidden="false" customHeight="false" outlineLevel="0" collapsed="false">
      <c r="D3999" s="0" t="s">
        <v>69</v>
      </c>
      <c r="E3999" s="0" t="s">
        <v>70</v>
      </c>
      <c r="F3999" s="0" t="s">
        <v>71</v>
      </c>
      <c r="G3999" s="0" t="s">
        <v>153</v>
      </c>
      <c r="H3999" s="0" t="s">
        <v>153</v>
      </c>
      <c r="I3999" s="0" t="s">
        <v>28</v>
      </c>
      <c r="J3999" s="0" t="s">
        <v>29</v>
      </c>
      <c r="K3999" s="0" t="s">
        <v>48</v>
      </c>
      <c r="L3999" s="0" t="s">
        <v>49</v>
      </c>
      <c r="M3999" s="0" t="s">
        <v>140</v>
      </c>
      <c r="N3999" s="0" t="n">
        <v>643</v>
      </c>
      <c r="O3999" s="10" t="n">
        <v>0.327131534693763</v>
      </c>
      <c r="P3999" s="10" t="n">
        <v>0.198817263124511</v>
      </c>
      <c r="Q3999" s="0" t="str">
        <f aca="false">SUBSTITUTE(SUBSTITUTE($I3999,CHAR(61),""),CHAR(34),"")</f>
        <v>&lt;01</v>
      </c>
      <c r="R3999" s="0" t="str">
        <f aca="false">IF($D3999&lt;&gt;"","["&amp;$E3999&amp;"]"&amp;"|"&amp;$Q3999&amp;"|"&amp;$K3999&amp;"|"&amp;$G3999&amp;"|"&amp;IF($G3999="TX_CURR_SUBNAT.R","CY2022Q4",$M3999),"")</f>
        <v>[PekKUkKHAzY]|&lt;01|Male|NEW_INFECTIONS_SUBNAT.T_1|CY2023Q3</v>
      </c>
    </row>
    <row r="4000" customFormat="false" ht="15" hidden="false" customHeight="false" outlineLevel="0" collapsed="false">
      <c r="D4000" s="0" t="s">
        <v>69</v>
      </c>
      <c r="E4000" s="0" t="s">
        <v>70</v>
      </c>
      <c r="F4000" s="0" t="s">
        <v>71</v>
      </c>
      <c r="G4000" s="0" t="s">
        <v>153</v>
      </c>
      <c r="H4000" s="0" t="s">
        <v>153</v>
      </c>
      <c r="I4000" s="0" t="s">
        <v>33</v>
      </c>
      <c r="J4000" s="0" t="s">
        <v>34</v>
      </c>
      <c r="K4000" s="0" t="s">
        <v>48</v>
      </c>
      <c r="L4000" s="0" t="s">
        <v>49</v>
      </c>
      <c r="M4000" s="0" t="s">
        <v>140</v>
      </c>
      <c r="N4000" s="0" t="n">
        <v>1687</v>
      </c>
      <c r="O4000" s="10" t="n">
        <v>0.0365612434688956</v>
      </c>
      <c r="P4000" s="10" t="n">
        <v>0.198817263124511</v>
      </c>
      <c r="Q4000" s="0" t="str">
        <f aca="false">SUBSTITUTE(SUBSTITUTE($I4000,CHAR(61),""),CHAR(34),"")</f>
        <v>01-09</v>
      </c>
      <c r="R4000" s="0" t="str">
        <f aca="false">IF($D4000&lt;&gt;"","["&amp;$E4000&amp;"]"&amp;"|"&amp;$Q4000&amp;"|"&amp;$K4000&amp;"|"&amp;$G4000&amp;"|"&amp;IF($G4000="TX_CURR_SUBNAT.R","CY2022Q4",$M4000),"")</f>
        <v>[PekKUkKHAzY]|01-09|Male|NEW_INFECTIONS_SUBNAT.T_1|CY2023Q3</v>
      </c>
    </row>
    <row r="4001" customFormat="false" ht="15" hidden="false" customHeight="false" outlineLevel="0" collapsed="false">
      <c r="D4001" s="0" t="s">
        <v>69</v>
      </c>
      <c r="E4001" s="0" t="s">
        <v>70</v>
      </c>
      <c r="F4001" s="0" t="s">
        <v>71</v>
      </c>
      <c r="G4001" s="0" t="s">
        <v>153</v>
      </c>
      <c r="H4001" s="0" t="s">
        <v>153</v>
      </c>
      <c r="I4001" s="0" t="s">
        <v>36</v>
      </c>
      <c r="J4001" s="0" t="s">
        <v>37</v>
      </c>
      <c r="K4001" s="0" t="s">
        <v>48</v>
      </c>
      <c r="L4001" s="0" t="s">
        <v>49</v>
      </c>
      <c r="M4001" s="0" t="s">
        <v>140</v>
      </c>
      <c r="N4001" s="0" t="n">
        <v>1922</v>
      </c>
      <c r="O4001" s="10" t="n">
        <v>0.110988823929802</v>
      </c>
      <c r="P4001" s="10" t="n">
        <v>0.198817263124511</v>
      </c>
      <c r="Q4001" s="0" t="str">
        <f aca="false">SUBSTITUTE(SUBSTITUTE($I4001,CHAR(61),""),CHAR(34),"")</f>
        <v>10-14</v>
      </c>
      <c r="R4001" s="0" t="str">
        <f aca="false">IF($D4001&lt;&gt;"","["&amp;$E4001&amp;"]"&amp;"|"&amp;$Q4001&amp;"|"&amp;$K4001&amp;"|"&amp;$G4001&amp;"|"&amp;IF($G4001="TX_CURR_SUBNAT.R","CY2022Q4",$M4001),"")</f>
        <v>[PekKUkKHAzY]|10-14|Male|NEW_INFECTIONS_SUBNAT.T_1|CY2023Q3</v>
      </c>
    </row>
    <row r="4002" customFormat="false" ht="15" hidden="false" customHeight="false" outlineLevel="0" collapsed="false">
      <c r="D4002" s="0" t="s">
        <v>69</v>
      </c>
      <c r="E4002" s="0" t="s">
        <v>70</v>
      </c>
      <c r="F4002" s="0" t="s">
        <v>71</v>
      </c>
      <c r="G4002" s="0" t="s">
        <v>153</v>
      </c>
      <c r="H4002" s="0" t="s">
        <v>153</v>
      </c>
      <c r="I4002" s="0" t="s">
        <v>38</v>
      </c>
      <c r="J4002" s="0" t="s">
        <v>39</v>
      </c>
      <c r="K4002" s="0" t="s">
        <v>48</v>
      </c>
      <c r="L4002" s="0" t="s">
        <v>49</v>
      </c>
      <c r="M4002" s="0" t="s">
        <v>140</v>
      </c>
      <c r="N4002" s="0" t="n">
        <v>581</v>
      </c>
      <c r="O4002" s="10" t="n">
        <v>0.736002528108656</v>
      </c>
      <c r="P4002" s="10" t="n">
        <v>0.198817263124511</v>
      </c>
      <c r="Q4002" s="0" t="str">
        <f aca="false">SUBSTITUTE(SUBSTITUTE($I4002,CHAR(61),""),CHAR(34),"")</f>
        <v>15-24</v>
      </c>
      <c r="R4002" s="0" t="str">
        <f aca="false">IF($D4002&lt;&gt;"","["&amp;$E4002&amp;"]"&amp;"|"&amp;$Q4002&amp;"|"&amp;$K4002&amp;"|"&amp;$G4002&amp;"|"&amp;IF($G4002="TX_CURR_SUBNAT.R","CY2022Q4",$M4002),"")</f>
        <v>[PekKUkKHAzY]|15-24|Male|NEW_INFECTIONS_SUBNAT.T_1|CY2023Q3</v>
      </c>
    </row>
    <row r="4003" customFormat="false" ht="15" hidden="false" customHeight="false" outlineLevel="0" collapsed="false">
      <c r="D4003" s="0" t="s">
        <v>69</v>
      </c>
      <c r="E4003" s="0" t="s">
        <v>70</v>
      </c>
      <c r="F4003" s="0" t="s">
        <v>71</v>
      </c>
      <c r="G4003" s="0" t="s">
        <v>153</v>
      </c>
      <c r="H4003" s="0" t="s">
        <v>153</v>
      </c>
      <c r="I4003" s="0" t="s">
        <v>41</v>
      </c>
      <c r="J4003" s="0" t="s">
        <v>42</v>
      </c>
      <c r="K4003" s="0" t="s">
        <v>48</v>
      </c>
      <c r="L4003" s="0" t="s">
        <v>49</v>
      </c>
      <c r="M4003" s="0" t="s">
        <v>140</v>
      </c>
      <c r="N4003" s="0" t="n">
        <v>848</v>
      </c>
      <c r="O4003" s="10" t="n">
        <v>0.843614043435082</v>
      </c>
      <c r="P4003" s="10" t="n">
        <v>0.198817263124511</v>
      </c>
      <c r="Q4003" s="0" t="str">
        <f aca="false">SUBSTITUTE(SUBSTITUTE($I4003,CHAR(61),""),CHAR(34),"")</f>
        <v>25-34</v>
      </c>
      <c r="R4003" s="0" t="str">
        <f aca="false">IF($D4003&lt;&gt;"","["&amp;$E4003&amp;"]"&amp;"|"&amp;$Q4003&amp;"|"&amp;$K4003&amp;"|"&amp;$G4003&amp;"|"&amp;IF($G4003="TX_CURR_SUBNAT.R","CY2022Q4",$M4003),"")</f>
        <v>[PekKUkKHAzY]|25-34|Male|NEW_INFECTIONS_SUBNAT.T_1|CY2023Q3</v>
      </c>
    </row>
    <row r="4004" customFormat="false" ht="15" hidden="false" customHeight="false" outlineLevel="0" collapsed="false">
      <c r="D4004" s="0" t="s">
        <v>69</v>
      </c>
      <c r="E4004" s="0" t="s">
        <v>70</v>
      </c>
      <c r="F4004" s="0" t="s">
        <v>71</v>
      </c>
      <c r="G4004" s="0" t="s">
        <v>153</v>
      </c>
      <c r="H4004" s="0" t="s">
        <v>153</v>
      </c>
      <c r="I4004" s="0" t="s">
        <v>43</v>
      </c>
      <c r="J4004" s="0" t="s">
        <v>44</v>
      </c>
      <c r="K4004" s="0" t="s">
        <v>48</v>
      </c>
      <c r="L4004" s="0" t="s">
        <v>49</v>
      </c>
      <c r="M4004" s="0" t="s">
        <v>140</v>
      </c>
      <c r="N4004" s="0" t="n">
        <v>1509</v>
      </c>
      <c r="O4004" s="10" t="n">
        <v>0.153811160940677</v>
      </c>
      <c r="P4004" s="10" t="n">
        <v>0.198817263124511</v>
      </c>
      <c r="Q4004" s="0" t="str">
        <f aca="false">SUBSTITUTE(SUBSTITUTE($I4004,CHAR(61),""),CHAR(34),"")</f>
        <v>35-49</v>
      </c>
      <c r="R4004" s="0" t="str">
        <f aca="false">IF($D4004&lt;&gt;"","["&amp;$E4004&amp;"]"&amp;"|"&amp;$Q4004&amp;"|"&amp;$K4004&amp;"|"&amp;$G4004&amp;"|"&amp;IF($G4004="TX_CURR_SUBNAT.R","CY2022Q4",$M4004),"")</f>
        <v>[PekKUkKHAzY]|35-49|Male|NEW_INFECTIONS_SUBNAT.T_1|CY2023Q3</v>
      </c>
    </row>
    <row r="4005" customFormat="false" ht="15" hidden="false" customHeight="false" outlineLevel="0" collapsed="false">
      <c r="D4005" s="0" t="s">
        <v>69</v>
      </c>
      <c r="E4005" s="0" t="s">
        <v>70</v>
      </c>
      <c r="F4005" s="0" t="s">
        <v>71</v>
      </c>
      <c r="G4005" s="0" t="s">
        <v>153</v>
      </c>
      <c r="H4005" s="0" t="s">
        <v>153</v>
      </c>
      <c r="I4005" s="0" t="s">
        <v>45</v>
      </c>
      <c r="J4005" s="0" t="s">
        <v>46</v>
      </c>
      <c r="K4005" s="0" t="s">
        <v>48</v>
      </c>
      <c r="L4005" s="0" t="s">
        <v>49</v>
      </c>
      <c r="M4005" s="0" t="s">
        <v>140</v>
      </c>
      <c r="N4005" s="0" t="n">
        <v>1470</v>
      </c>
      <c r="O4005" s="10" t="n">
        <v>0.880591476103291</v>
      </c>
      <c r="P4005" s="10" t="n">
        <v>0.198817263124511</v>
      </c>
      <c r="Q4005" s="0" t="str">
        <f aca="false">SUBSTITUTE(SUBSTITUTE($I4005,CHAR(61),""),CHAR(34),"")</f>
        <v>50+</v>
      </c>
      <c r="R4005" s="0" t="str">
        <f aca="false">IF($D4005&lt;&gt;"","["&amp;$E4005&amp;"]"&amp;"|"&amp;$Q4005&amp;"|"&amp;$K4005&amp;"|"&amp;$G4005&amp;"|"&amp;IF($G4005="TX_CURR_SUBNAT.R","CY2022Q4",$M4005),"")</f>
        <v>[PekKUkKHAzY]|50+|Male|NEW_INFECTIONS_SUBNAT.T_1|CY2023Q3</v>
      </c>
    </row>
    <row r="4006" customFormat="false" ht="15" hidden="false" customHeight="false" outlineLevel="0" collapsed="false">
      <c r="D4006" s="0" t="s">
        <v>72</v>
      </c>
      <c r="E4006" s="0" t="s">
        <v>73</v>
      </c>
      <c r="F4006" s="0" t="s">
        <v>74</v>
      </c>
      <c r="G4006" s="0" t="s">
        <v>153</v>
      </c>
      <c r="H4006" s="0" t="s">
        <v>153</v>
      </c>
      <c r="I4006" s="0" t="s">
        <v>28</v>
      </c>
      <c r="J4006" s="0" t="s">
        <v>29</v>
      </c>
      <c r="K4006" s="0" t="s">
        <v>30</v>
      </c>
      <c r="L4006" s="0" t="s">
        <v>31</v>
      </c>
      <c r="M4006" s="0" t="s">
        <v>140</v>
      </c>
      <c r="N4006" s="0" t="n">
        <v>1388</v>
      </c>
      <c r="O4006" s="10" t="n">
        <v>0.419238762231544</v>
      </c>
      <c r="P4006" s="10" t="n">
        <v>0.289728706935421</v>
      </c>
      <c r="Q4006" s="0" t="str">
        <f aca="false">SUBSTITUTE(SUBSTITUTE($I4006,CHAR(61),""),CHAR(34),"")</f>
        <v>&lt;01</v>
      </c>
      <c r="R4006" s="0" t="str">
        <f aca="false">IF($D4006&lt;&gt;"","["&amp;$E4006&amp;"]"&amp;"|"&amp;$Q4006&amp;"|"&amp;$K4006&amp;"|"&amp;$G4006&amp;"|"&amp;IF($G4006="TX_CURR_SUBNAT.R","CY2022Q4",$M4006),"")</f>
        <v>[am530wpaGvr]|&lt;01|Female|NEW_INFECTIONS_SUBNAT.T_1|CY2023Q3</v>
      </c>
    </row>
    <row r="4007" customFormat="false" ht="15" hidden="false" customHeight="false" outlineLevel="0" collapsed="false">
      <c r="D4007" s="0" t="s">
        <v>72</v>
      </c>
      <c r="E4007" s="0" t="s">
        <v>73</v>
      </c>
      <c r="F4007" s="0" t="s">
        <v>74</v>
      </c>
      <c r="G4007" s="0" t="s">
        <v>153</v>
      </c>
      <c r="H4007" s="0" t="s">
        <v>153</v>
      </c>
      <c r="I4007" s="0" t="s">
        <v>33</v>
      </c>
      <c r="J4007" s="0" t="s">
        <v>34</v>
      </c>
      <c r="K4007" s="0" t="s">
        <v>30</v>
      </c>
      <c r="L4007" s="0" t="s">
        <v>31</v>
      </c>
      <c r="M4007" s="0" t="s">
        <v>140</v>
      </c>
      <c r="N4007" s="0" t="n">
        <v>1938</v>
      </c>
      <c r="O4007" s="10" t="n">
        <v>0.449059201870114</v>
      </c>
      <c r="P4007" s="10" t="n">
        <v>0.289728706935421</v>
      </c>
      <c r="Q4007" s="0" t="str">
        <f aca="false">SUBSTITUTE(SUBSTITUTE($I4007,CHAR(61),""),CHAR(34),"")</f>
        <v>01-09</v>
      </c>
      <c r="R4007" s="0" t="str">
        <f aca="false">IF($D4007&lt;&gt;"","["&amp;$E4007&amp;"]"&amp;"|"&amp;$Q4007&amp;"|"&amp;$K4007&amp;"|"&amp;$G4007&amp;"|"&amp;IF($G4007="TX_CURR_SUBNAT.R","CY2022Q4",$M4007),"")</f>
        <v>[am530wpaGvr]|01-09|Female|NEW_INFECTIONS_SUBNAT.T_1|CY2023Q3</v>
      </c>
    </row>
    <row r="4008" customFormat="false" ht="15" hidden="false" customHeight="false" outlineLevel="0" collapsed="false">
      <c r="D4008" s="0" t="s">
        <v>72</v>
      </c>
      <c r="E4008" s="0" t="s">
        <v>73</v>
      </c>
      <c r="F4008" s="0" t="s">
        <v>74</v>
      </c>
      <c r="G4008" s="0" t="s">
        <v>153</v>
      </c>
      <c r="H4008" s="0" t="s">
        <v>153</v>
      </c>
      <c r="I4008" s="0" t="s">
        <v>36</v>
      </c>
      <c r="J4008" s="0" t="s">
        <v>37</v>
      </c>
      <c r="K4008" s="0" t="s">
        <v>30</v>
      </c>
      <c r="L4008" s="0" t="s">
        <v>31</v>
      </c>
      <c r="M4008" s="0" t="s">
        <v>140</v>
      </c>
      <c r="N4008" s="0" t="n">
        <v>1526</v>
      </c>
      <c r="O4008" s="10" t="n">
        <v>0.689945647027344</v>
      </c>
      <c r="P4008" s="10" t="n">
        <v>0.289728706935421</v>
      </c>
      <c r="Q4008" s="0" t="str">
        <f aca="false">SUBSTITUTE(SUBSTITUTE($I4008,CHAR(61),""),CHAR(34),"")</f>
        <v>10-14</v>
      </c>
      <c r="R4008" s="0" t="str">
        <f aca="false">IF($D4008&lt;&gt;"","["&amp;$E4008&amp;"]"&amp;"|"&amp;$Q4008&amp;"|"&amp;$K4008&amp;"|"&amp;$G4008&amp;"|"&amp;IF($G4008="TX_CURR_SUBNAT.R","CY2022Q4",$M4008),"")</f>
        <v>[am530wpaGvr]|10-14|Female|NEW_INFECTIONS_SUBNAT.T_1|CY2023Q3</v>
      </c>
    </row>
    <row r="4009" customFormat="false" ht="15" hidden="false" customHeight="false" outlineLevel="0" collapsed="false">
      <c r="D4009" s="0" t="s">
        <v>72</v>
      </c>
      <c r="E4009" s="0" t="s">
        <v>73</v>
      </c>
      <c r="F4009" s="0" t="s">
        <v>74</v>
      </c>
      <c r="G4009" s="0" t="s">
        <v>153</v>
      </c>
      <c r="H4009" s="0" t="s">
        <v>153</v>
      </c>
      <c r="I4009" s="0" t="s">
        <v>38</v>
      </c>
      <c r="J4009" s="0" t="s">
        <v>39</v>
      </c>
      <c r="K4009" s="0" t="s">
        <v>30</v>
      </c>
      <c r="L4009" s="0" t="s">
        <v>31</v>
      </c>
      <c r="M4009" s="0" t="s">
        <v>140</v>
      </c>
      <c r="N4009" s="0" t="n">
        <v>1573</v>
      </c>
      <c r="O4009" s="10" t="n">
        <v>0.666348807048053</v>
      </c>
      <c r="P4009" s="10" t="n">
        <v>0.289728706935421</v>
      </c>
      <c r="Q4009" s="0" t="str">
        <f aca="false">SUBSTITUTE(SUBSTITUTE($I4009,CHAR(61),""),CHAR(34),"")</f>
        <v>15-24</v>
      </c>
      <c r="R4009" s="0" t="str">
        <f aca="false">IF($D4009&lt;&gt;"","["&amp;$E4009&amp;"]"&amp;"|"&amp;$Q4009&amp;"|"&amp;$K4009&amp;"|"&amp;$G4009&amp;"|"&amp;IF($G4009="TX_CURR_SUBNAT.R","CY2022Q4",$M4009),"")</f>
        <v>[am530wpaGvr]|15-24|Female|NEW_INFECTIONS_SUBNAT.T_1|CY2023Q3</v>
      </c>
    </row>
    <row r="4010" customFormat="false" ht="15" hidden="false" customHeight="false" outlineLevel="0" collapsed="false">
      <c r="D4010" s="0" t="s">
        <v>72</v>
      </c>
      <c r="E4010" s="0" t="s">
        <v>73</v>
      </c>
      <c r="F4010" s="0" t="s">
        <v>74</v>
      </c>
      <c r="G4010" s="0" t="s">
        <v>153</v>
      </c>
      <c r="H4010" s="0" t="s">
        <v>153</v>
      </c>
      <c r="I4010" s="0" t="s">
        <v>41</v>
      </c>
      <c r="J4010" s="0" t="s">
        <v>42</v>
      </c>
      <c r="K4010" s="0" t="s">
        <v>30</v>
      </c>
      <c r="L4010" s="0" t="s">
        <v>31</v>
      </c>
      <c r="M4010" s="0" t="s">
        <v>140</v>
      </c>
      <c r="N4010" s="0" t="n">
        <v>1687</v>
      </c>
      <c r="O4010" s="10" t="n">
        <v>0.650957742473111</v>
      </c>
      <c r="P4010" s="10" t="n">
        <v>0.289728706935421</v>
      </c>
      <c r="Q4010" s="0" t="str">
        <f aca="false">SUBSTITUTE(SUBSTITUTE($I4010,CHAR(61),""),CHAR(34),"")</f>
        <v>25-34</v>
      </c>
      <c r="R4010" s="0" t="str">
        <f aca="false">IF($D4010&lt;&gt;"","["&amp;$E4010&amp;"]"&amp;"|"&amp;$Q4010&amp;"|"&amp;$K4010&amp;"|"&amp;$G4010&amp;"|"&amp;IF($G4010="TX_CURR_SUBNAT.R","CY2022Q4",$M4010),"")</f>
        <v>[am530wpaGvr]|25-34|Female|NEW_INFECTIONS_SUBNAT.T_1|CY2023Q3</v>
      </c>
    </row>
    <row r="4011" customFormat="false" ht="15" hidden="false" customHeight="false" outlineLevel="0" collapsed="false">
      <c r="D4011" s="0" t="s">
        <v>72</v>
      </c>
      <c r="E4011" s="0" t="s">
        <v>73</v>
      </c>
      <c r="F4011" s="0" t="s">
        <v>74</v>
      </c>
      <c r="G4011" s="0" t="s">
        <v>153</v>
      </c>
      <c r="H4011" s="0" t="s">
        <v>153</v>
      </c>
      <c r="I4011" s="0" t="s">
        <v>43</v>
      </c>
      <c r="J4011" s="0" t="s">
        <v>44</v>
      </c>
      <c r="K4011" s="0" t="s">
        <v>30</v>
      </c>
      <c r="L4011" s="0" t="s">
        <v>31</v>
      </c>
      <c r="M4011" s="0" t="s">
        <v>140</v>
      </c>
      <c r="N4011" s="0" t="n">
        <v>1913</v>
      </c>
      <c r="O4011" s="10" t="n">
        <v>0.424267915310338</v>
      </c>
      <c r="P4011" s="10" t="n">
        <v>0.289728706935421</v>
      </c>
      <c r="Q4011" s="0" t="str">
        <f aca="false">SUBSTITUTE(SUBSTITUTE($I4011,CHAR(61),""),CHAR(34),"")</f>
        <v>35-49</v>
      </c>
      <c r="R4011" s="0" t="str">
        <f aca="false">IF($D4011&lt;&gt;"","["&amp;$E4011&amp;"]"&amp;"|"&amp;$Q4011&amp;"|"&amp;$K4011&amp;"|"&amp;$G4011&amp;"|"&amp;IF($G4011="TX_CURR_SUBNAT.R","CY2022Q4",$M4011),"")</f>
        <v>[am530wpaGvr]|35-49|Female|NEW_INFECTIONS_SUBNAT.T_1|CY2023Q3</v>
      </c>
    </row>
    <row r="4012" customFormat="false" ht="15" hidden="false" customHeight="false" outlineLevel="0" collapsed="false">
      <c r="D4012" s="0" t="s">
        <v>72</v>
      </c>
      <c r="E4012" s="0" t="s">
        <v>73</v>
      </c>
      <c r="F4012" s="0" t="s">
        <v>74</v>
      </c>
      <c r="G4012" s="0" t="s">
        <v>153</v>
      </c>
      <c r="H4012" s="0" t="s">
        <v>153</v>
      </c>
      <c r="I4012" s="0" t="s">
        <v>45</v>
      </c>
      <c r="J4012" s="0" t="s">
        <v>46</v>
      </c>
      <c r="K4012" s="0" t="s">
        <v>30</v>
      </c>
      <c r="L4012" s="0" t="s">
        <v>31</v>
      </c>
      <c r="M4012" s="0" t="s">
        <v>140</v>
      </c>
      <c r="N4012" s="0" t="n">
        <v>525</v>
      </c>
      <c r="O4012" s="10" t="n">
        <v>0.13648971170187</v>
      </c>
      <c r="P4012" s="10" t="n">
        <v>0.289728706935421</v>
      </c>
      <c r="Q4012" s="0" t="str">
        <f aca="false">SUBSTITUTE(SUBSTITUTE($I4012,CHAR(61),""),CHAR(34),"")</f>
        <v>50+</v>
      </c>
      <c r="R4012" s="0" t="str">
        <f aca="false">IF($D4012&lt;&gt;"","["&amp;$E4012&amp;"]"&amp;"|"&amp;$Q4012&amp;"|"&amp;$K4012&amp;"|"&amp;$G4012&amp;"|"&amp;IF($G4012="TX_CURR_SUBNAT.R","CY2022Q4",$M4012),"")</f>
        <v>[am530wpaGvr]|50+|Female|NEW_INFECTIONS_SUBNAT.T_1|CY2023Q3</v>
      </c>
    </row>
    <row r="4013" customFormat="false" ht="15" hidden="false" customHeight="false" outlineLevel="0" collapsed="false">
      <c r="D4013" s="0" t="s">
        <v>72</v>
      </c>
      <c r="E4013" s="0" t="s">
        <v>73</v>
      </c>
      <c r="F4013" s="0" t="s">
        <v>74</v>
      </c>
      <c r="G4013" s="0" t="s">
        <v>153</v>
      </c>
      <c r="H4013" s="0" t="s">
        <v>153</v>
      </c>
      <c r="I4013" s="0" t="s">
        <v>28</v>
      </c>
      <c r="J4013" s="0" t="s">
        <v>29</v>
      </c>
      <c r="K4013" s="0" t="s">
        <v>48</v>
      </c>
      <c r="L4013" s="0" t="s">
        <v>49</v>
      </c>
      <c r="M4013" s="0" t="s">
        <v>140</v>
      </c>
      <c r="N4013" s="0" t="n">
        <v>683</v>
      </c>
      <c r="O4013" s="10" t="n">
        <v>0.591564764035866</v>
      </c>
      <c r="P4013" s="10" t="n">
        <v>0.289728706935421</v>
      </c>
      <c r="Q4013" s="0" t="str">
        <f aca="false">SUBSTITUTE(SUBSTITUTE($I4013,CHAR(61),""),CHAR(34),"")</f>
        <v>&lt;01</v>
      </c>
      <c r="R4013" s="0" t="str">
        <f aca="false">IF($D4013&lt;&gt;"","["&amp;$E4013&amp;"]"&amp;"|"&amp;$Q4013&amp;"|"&amp;$K4013&amp;"|"&amp;$G4013&amp;"|"&amp;IF($G4013="TX_CURR_SUBNAT.R","CY2022Q4",$M4013),"")</f>
        <v>[am530wpaGvr]|&lt;01|Male|NEW_INFECTIONS_SUBNAT.T_1|CY2023Q3</v>
      </c>
    </row>
    <row r="4014" customFormat="false" ht="15" hidden="false" customHeight="false" outlineLevel="0" collapsed="false">
      <c r="D4014" s="0" t="s">
        <v>72</v>
      </c>
      <c r="E4014" s="0" t="s">
        <v>73</v>
      </c>
      <c r="F4014" s="0" t="s">
        <v>74</v>
      </c>
      <c r="G4014" s="0" t="s">
        <v>153</v>
      </c>
      <c r="H4014" s="0" t="s">
        <v>153</v>
      </c>
      <c r="I4014" s="0" t="s">
        <v>33</v>
      </c>
      <c r="J4014" s="0" t="s">
        <v>34</v>
      </c>
      <c r="K4014" s="0" t="s">
        <v>48</v>
      </c>
      <c r="L4014" s="0" t="s">
        <v>49</v>
      </c>
      <c r="M4014" s="0" t="s">
        <v>140</v>
      </c>
      <c r="N4014" s="0" t="n">
        <v>1027</v>
      </c>
      <c r="O4014" s="10" t="n">
        <v>0.881186414742842</v>
      </c>
      <c r="P4014" s="10" t="n">
        <v>0.289728706935421</v>
      </c>
      <c r="Q4014" s="0" t="str">
        <f aca="false">SUBSTITUTE(SUBSTITUTE($I4014,CHAR(61),""),CHAR(34),"")</f>
        <v>01-09</v>
      </c>
      <c r="R4014" s="0" t="str">
        <f aca="false">IF($D4014&lt;&gt;"","["&amp;$E4014&amp;"]"&amp;"|"&amp;$Q4014&amp;"|"&amp;$K4014&amp;"|"&amp;$G4014&amp;"|"&amp;IF($G4014="TX_CURR_SUBNAT.R","CY2022Q4",$M4014),"")</f>
        <v>[am530wpaGvr]|01-09|Male|NEW_INFECTIONS_SUBNAT.T_1|CY2023Q3</v>
      </c>
    </row>
    <row r="4015" customFormat="false" ht="15" hidden="false" customHeight="false" outlineLevel="0" collapsed="false">
      <c r="D4015" s="0" t="s">
        <v>72</v>
      </c>
      <c r="E4015" s="0" t="s">
        <v>73</v>
      </c>
      <c r="F4015" s="0" t="s">
        <v>74</v>
      </c>
      <c r="G4015" s="0" t="s">
        <v>153</v>
      </c>
      <c r="H4015" s="0" t="s">
        <v>153</v>
      </c>
      <c r="I4015" s="0" t="s">
        <v>36</v>
      </c>
      <c r="J4015" s="0" t="s">
        <v>37</v>
      </c>
      <c r="K4015" s="0" t="s">
        <v>48</v>
      </c>
      <c r="L4015" s="0" t="s">
        <v>49</v>
      </c>
      <c r="M4015" s="0" t="s">
        <v>140</v>
      </c>
      <c r="N4015" s="0" t="n">
        <v>1525</v>
      </c>
      <c r="O4015" s="10" t="n">
        <v>0.312424757285044</v>
      </c>
      <c r="P4015" s="10" t="n">
        <v>0.289728706935421</v>
      </c>
      <c r="Q4015" s="0" t="str">
        <f aca="false">SUBSTITUTE(SUBSTITUTE($I4015,CHAR(61),""),CHAR(34),"")</f>
        <v>10-14</v>
      </c>
      <c r="R4015" s="0" t="str">
        <f aca="false">IF($D4015&lt;&gt;"","["&amp;$E4015&amp;"]"&amp;"|"&amp;$Q4015&amp;"|"&amp;$K4015&amp;"|"&amp;$G4015&amp;"|"&amp;IF($G4015="TX_CURR_SUBNAT.R","CY2022Q4",$M4015),"")</f>
        <v>[am530wpaGvr]|10-14|Male|NEW_INFECTIONS_SUBNAT.T_1|CY2023Q3</v>
      </c>
    </row>
    <row r="4016" customFormat="false" ht="15" hidden="false" customHeight="false" outlineLevel="0" collapsed="false">
      <c r="D4016" s="0" t="s">
        <v>72</v>
      </c>
      <c r="E4016" s="0" t="s">
        <v>73</v>
      </c>
      <c r="F4016" s="0" t="s">
        <v>74</v>
      </c>
      <c r="G4016" s="0" t="s">
        <v>153</v>
      </c>
      <c r="H4016" s="0" t="s">
        <v>153</v>
      </c>
      <c r="I4016" s="0" t="s">
        <v>38</v>
      </c>
      <c r="J4016" s="0" t="s">
        <v>39</v>
      </c>
      <c r="K4016" s="0" t="s">
        <v>48</v>
      </c>
      <c r="L4016" s="0" t="s">
        <v>49</v>
      </c>
      <c r="M4016" s="0" t="s">
        <v>140</v>
      </c>
      <c r="N4016" s="0" t="n">
        <v>1217</v>
      </c>
      <c r="O4016" s="10" t="n">
        <v>0.918002587044612</v>
      </c>
      <c r="P4016" s="10" t="n">
        <v>0.289728706935421</v>
      </c>
      <c r="Q4016" s="0" t="str">
        <f aca="false">SUBSTITUTE(SUBSTITUTE($I4016,CHAR(61),""),CHAR(34),"")</f>
        <v>15-24</v>
      </c>
      <c r="R4016" s="0" t="str">
        <f aca="false">IF($D4016&lt;&gt;"","["&amp;$E4016&amp;"]"&amp;"|"&amp;$Q4016&amp;"|"&amp;$K4016&amp;"|"&amp;$G4016&amp;"|"&amp;IF($G4016="TX_CURR_SUBNAT.R","CY2022Q4",$M4016),"")</f>
        <v>[am530wpaGvr]|15-24|Male|NEW_INFECTIONS_SUBNAT.T_1|CY2023Q3</v>
      </c>
    </row>
    <row r="4017" customFormat="false" ht="15" hidden="false" customHeight="false" outlineLevel="0" collapsed="false">
      <c r="D4017" s="0" t="s">
        <v>72</v>
      </c>
      <c r="E4017" s="0" t="s">
        <v>73</v>
      </c>
      <c r="F4017" s="0" t="s">
        <v>74</v>
      </c>
      <c r="G4017" s="0" t="s">
        <v>153</v>
      </c>
      <c r="H4017" s="0" t="s">
        <v>153</v>
      </c>
      <c r="I4017" s="0" t="s">
        <v>41</v>
      </c>
      <c r="J4017" s="0" t="s">
        <v>42</v>
      </c>
      <c r="K4017" s="0" t="s">
        <v>48</v>
      </c>
      <c r="L4017" s="0" t="s">
        <v>49</v>
      </c>
      <c r="M4017" s="0" t="s">
        <v>140</v>
      </c>
      <c r="N4017" s="0" t="n">
        <v>1604</v>
      </c>
      <c r="O4017" s="10" t="n">
        <v>0.0239601540379226</v>
      </c>
      <c r="P4017" s="10" t="n">
        <v>0.289728706935421</v>
      </c>
      <c r="Q4017" s="0" t="str">
        <f aca="false">SUBSTITUTE(SUBSTITUTE($I4017,CHAR(61),""),CHAR(34),"")</f>
        <v>25-34</v>
      </c>
      <c r="R4017" s="0" t="str">
        <f aca="false">IF($D4017&lt;&gt;"","["&amp;$E4017&amp;"]"&amp;"|"&amp;$Q4017&amp;"|"&amp;$K4017&amp;"|"&amp;$G4017&amp;"|"&amp;IF($G4017="TX_CURR_SUBNAT.R","CY2022Q4",$M4017),"")</f>
        <v>[am530wpaGvr]|25-34|Male|NEW_INFECTIONS_SUBNAT.T_1|CY2023Q3</v>
      </c>
    </row>
    <row r="4018" customFormat="false" ht="15" hidden="false" customHeight="false" outlineLevel="0" collapsed="false">
      <c r="D4018" s="0" t="s">
        <v>72</v>
      </c>
      <c r="E4018" s="0" t="s">
        <v>73</v>
      </c>
      <c r="F4018" s="0" t="s">
        <v>74</v>
      </c>
      <c r="G4018" s="0" t="s">
        <v>153</v>
      </c>
      <c r="H4018" s="0" t="s">
        <v>153</v>
      </c>
      <c r="I4018" s="0" t="s">
        <v>43</v>
      </c>
      <c r="J4018" s="0" t="s">
        <v>44</v>
      </c>
      <c r="K4018" s="0" t="s">
        <v>48</v>
      </c>
      <c r="L4018" s="0" t="s">
        <v>49</v>
      </c>
      <c r="M4018" s="0" t="s">
        <v>140</v>
      </c>
      <c r="N4018" s="0" t="n">
        <v>1719</v>
      </c>
      <c r="O4018" s="10" t="n">
        <v>0.769583516288549</v>
      </c>
      <c r="P4018" s="10" t="n">
        <v>0.289728706935421</v>
      </c>
      <c r="Q4018" s="0" t="str">
        <f aca="false">SUBSTITUTE(SUBSTITUTE($I4018,CHAR(61),""),CHAR(34),"")</f>
        <v>35-49</v>
      </c>
      <c r="R4018" s="0" t="str">
        <f aca="false">IF($D4018&lt;&gt;"","["&amp;$E4018&amp;"]"&amp;"|"&amp;$Q4018&amp;"|"&amp;$K4018&amp;"|"&amp;$G4018&amp;"|"&amp;IF($G4018="TX_CURR_SUBNAT.R","CY2022Q4",$M4018),"")</f>
        <v>[am530wpaGvr]|35-49|Male|NEW_INFECTIONS_SUBNAT.T_1|CY2023Q3</v>
      </c>
    </row>
    <row r="4019" customFormat="false" ht="15" hidden="false" customHeight="false" outlineLevel="0" collapsed="false">
      <c r="D4019" s="0" t="s">
        <v>72</v>
      </c>
      <c r="E4019" s="0" t="s">
        <v>73</v>
      </c>
      <c r="F4019" s="0" t="s">
        <v>74</v>
      </c>
      <c r="G4019" s="0" t="s">
        <v>153</v>
      </c>
      <c r="H4019" s="0" t="s">
        <v>153</v>
      </c>
      <c r="I4019" s="0" t="s">
        <v>45</v>
      </c>
      <c r="J4019" s="0" t="s">
        <v>46</v>
      </c>
      <c r="K4019" s="0" t="s">
        <v>48</v>
      </c>
      <c r="L4019" s="0" t="s">
        <v>49</v>
      </c>
      <c r="M4019" s="0" t="s">
        <v>140</v>
      </c>
      <c r="N4019" s="0" t="n">
        <v>873</v>
      </c>
      <c r="O4019" s="10" t="n">
        <v>0.545037869829684</v>
      </c>
      <c r="P4019" s="10" t="n">
        <v>0.289728706935421</v>
      </c>
      <c r="Q4019" s="0" t="str">
        <f aca="false">SUBSTITUTE(SUBSTITUTE($I4019,CHAR(61),""),CHAR(34),"")</f>
        <v>50+</v>
      </c>
      <c r="R4019" s="0" t="str">
        <f aca="false">IF($D4019&lt;&gt;"","["&amp;$E4019&amp;"]"&amp;"|"&amp;$Q4019&amp;"|"&amp;$K4019&amp;"|"&amp;$G4019&amp;"|"&amp;IF($G4019="TX_CURR_SUBNAT.R","CY2022Q4",$M4019),"")</f>
        <v>[am530wpaGvr]|50+|Male|NEW_INFECTIONS_SUBNAT.T_1|CY2023Q3</v>
      </c>
    </row>
    <row r="4020" customFormat="false" ht="15" hidden="false" customHeight="false" outlineLevel="0" collapsed="false">
      <c r="D4020" s="0" t="s">
        <v>75</v>
      </c>
      <c r="E4020" s="0" t="s">
        <v>76</v>
      </c>
      <c r="F4020" s="0" t="s">
        <v>77</v>
      </c>
      <c r="G4020" s="0" t="s">
        <v>153</v>
      </c>
      <c r="H4020" s="0" t="s">
        <v>153</v>
      </c>
      <c r="I4020" s="0" t="s">
        <v>28</v>
      </c>
      <c r="J4020" s="0" t="s">
        <v>29</v>
      </c>
      <c r="K4020" s="0" t="s">
        <v>30</v>
      </c>
      <c r="L4020" s="0" t="s">
        <v>31</v>
      </c>
      <c r="M4020" s="0" t="s">
        <v>140</v>
      </c>
      <c r="N4020" s="0" t="n">
        <v>1976</v>
      </c>
      <c r="O4020" s="10" t="n">
        <v>0.89589404547587</v>
      </c>
      <c r="P4020" s="10" t="n">
        <v>0.303055507596582</v>
      </c>
      <c r="Q4020" s="0" t="str">
        <f aca="false">SUBSTITUTE(SUBSTITUTE($I4020,CHAR(61),""),CHAR(34),"")</f>
        <v>&lt;01</v>
      </c>
      <c r="R4020" s="0" t="str">
        <f aca="false">IF($D4020&lt;&gt;"","["&amp;$E4020&amp;"]"&amp;"|"&amp;$Q4020&amp;"|"&amp;$K4020&amp;"|"&amp;$G4020&amp;"|"&amp;IF($G4020="TX_CURR_SUBNAT.R","CY2022Q4",$M4020),"")</f>
        <v>[lLDyBx5XyUi]|&lt;01|Female|NEW_INFECTIONS_SUBNAT.T_1|CY2023Q3</v>
      </c>
    </row>
    <row r="4021" customFormat="false" ht="15" hidden="false" customHeight="false" outlineLevel="0" collapsed="false">
      <c r="D4021" s="0" t="s">
        <v>75</v>
      </c>
      <c r="E4021" s="0" t="s">
        <v>76</v>
      </c>
      <c r="F4021" s="0" t="s">
        <v>77</v>
      </c>
      <c r="G4021" s="0" t="s">
        <v>153</v>
      </c>
      <c r="H4021" s="0" t="s">
        <v>153</v>
      </c>
      <c r="I4021" s="0" t="s">
        <v>33</v>
      </c>
      <c r="J4021" s="0" t="s">
        <v>34</v>
      </c>
      <c r="K4021" s="0" t="s">
        <v>30</v>
      </c>
      <c r="L4021" s="0" t="s">
        <v>31</v>
      </c>
      <c r="M4021" s="0" t="s">
        <v>140</v>
      </c>
      <c r="N4021" s="0" t="n">
        <v>1471</v>
      </c>
      <c r="O4021" s="10" t="n">
        <v>0.258560954127461</v>
      </c>
      <c r="P4021" s="10" t="n">
        <v>0.303055507596582</v>
      </c>
      <c r="Q4021" s="0" t="str">
        <f aca="false">SUBSTITUTE(SUBSTITUTE($I4021,CHAR(61),""),CHAR(34),"")</f>
        <v>01-09</v>
      </c>
      <c r="R4021" s="0" t="str">
        <f aca="false">IF($D4021&lt;&gt;"","["&amp;$E4021&amp;"]"&amp;"|"&amp;$Q4021&amp;"|"&amp;$K4021&amp;"|"&amp;$G4021&amp;"|"&amp;IF($G4021="TX_CURR_SUBNAT.R","CY2022Q4",$M4021),"")</f>
        <v>[lLDyBx5XyUi]|01-09|Female|NEW_INFECTIONS_SUBNAT.T_1|CY2023Q3</v>
      </c>
    </row>
    <row r="4022" customFormat="false" ht="15" hidden="false" customHeight="false" outlineLevel="0" collapsed="false">
      <c r="D4022" s="0" t="s">
        <v>75</v>
      </c>
      <c r="E4022" s="0" t="s">
        <v>76</v>
      </c>
      <c r="F4022" s="0" t="s">
        <v>77</v>
      </c>
      <c r="G4022" s="0" t="s">
        <v>153</v>
      </c>
      <c r="H4022" s="0" t="s">
        <v>153</v>
      </c>
      <c r="I4022" s="0" t="s">
        <v>36</v>
      </c>
      <c r="J4022" s="0" t="s">
        <v>37</v>
      </c>
      <c r="K4022" s="0" t="s">
        <v>30</v>
      </c>
      <c r="L4022" s="0" t="s">
        <v>31</v>
      </c>
      <c r="M4022" s="0" t="s">
        <v>140</v>
      </c>
      <c r="N4022" s="0" t="n">
        <v>677</v>
      </c>
      <c r="O4022" s="10" t="n">
        <v>0.000798556488007307</v>
      </c>
      <c r="P4022" s="10" t="n">
        <v>0.303055507596582</v>
      </c>
      <c r="Q4022" s="0" t="str">
        <f aca="false">SUBSTITUTE(SUBSTITUTE($I4022,CHAR(61),""),CHAR(34),"")</f>
        <v>10-14</v>
      </c>
      <c r="R4022" s="0" t="str">
        <f aca="false">IF($D4022&lt;&gt;"","["&amp;$E4022&amp;"]"&amp;"|"&amp;$Q4022&amp;"|"&amp;$K4022&amp;"|"&amp;$G4022&amp;"|"&amp;IF($G4022="TX_CURR_SUBNAT.R","CY2022Q4",$M4022),"")</f>
        <v>[lLDyBx5XyUi]|10-14|Female|NEW_INFECTIONS_SUBNAT.T_1|CY2023Q3</v>
      </c>
    </row>
    <row r="4023" customFormat="false" ht="15" hidden="false" customHeight="false" outlineLevel="0" collapsed="false">
      <c r="D4023" s="0" t="s">
        <v>75</v>
      </c>
      <c r="E4023" s="0" t="s">
        <v>76</v>
      </c>
      <c r="F4023" s="0" t="s">
        <v>77</v>
      </c>
      <c r="G4023" s="0" t="s">
        <v>153</v>
      </c>
      <c r="H4023" s="0" t="s">
        <v>153</v>
      </c>
      <c r="I4023" s="0" t="s">
        <v>38</v>
      </c>
      <c r="J4023" s="0" t="s">
        <v>39</v>
      </c>
      <c r="K4023" s="0" t="s">
        <v>30</v>
      </c>
      <c r="L4023" s="0" t="s">
        <v>31</v>
      </c>
      <c r="M4023" s="0" t="s">
        <v>140</v>
      </c>
      <c r="N4023" s="0" t="n">
        <v>1847</v>
      </c>
      <c r="O4023" s="10" t="n">
        <v>0.564402099698782</v>
      </c>
      <c r="P4023" s="10" t="n">
        <v>0.303055507596582</v>
      </c>
      <c r="Q4023" s="0" t="str">
        <f aca="false">SUBSTITUTE(SUBSTITUTE($I4023,CHAR(61),""),CHAR(34),"")</f>
        <v>15-24</v>
      </c>
      <c r="R4023" s="0" t="str">
        <f aca="false">IF($D4023&lt;&gt;"","["&amp;$E4023&amp;"]"&amp;"|"&amp;$Q4023&amp;"|"&amp;$K4023&amp;"|"&amp;$G4023&amp;"|"&amp;IF($G4023="TX_CURR_SUBNAT.R","CY2022Q4",$M4023),"")</f>
        <v>[lLDyBx5XyUi]|15-24|Female|NEW_INFECTIONS_SUBNAT.T_1|CY2023Q3</v>
      </c>
    </row>
    <row r="4024" customFormat="false" ht="15" hidden="false" customHeight="false" outlineLevel="0" collapsed="false">
      <c r="D4024" s="0" t="s">
        <v>75</v>
      </c>
      <c r="E4024" s="0" t="s">
        <v>76</v>
      </c>
      <c r="F4024" s="0" t="s">
        <v>77</v>
      </c>
      <c r="G4024" s="0" t="s">
        <v>153</v>
      </c>
      <c r="H4024" s="0" t="s">
        <v>153</v>
      </c>
      <c r="I4024" s="0" t="s">
        <v>41</v>
      </c>
      <c r="J4024" s="0" t="s">
        <v>42</v>
      </c>
      <c r="K4024" s="0" t="s">
        <v>30</v>
      </c>
      <c r="L4024" s="0" t="s">
        <v>31</v>
      </c>
      <c r="M4024" s="0" t="s">
        <v>140</v>
      </c>
      <c r="N4024" s="0" t="n">
        <v>720</v>
      </c>
      <c r="O4024" s="10" t="n">
        <v>0.964689334854484</v>
      </c>
      <c r="P4024" s="10" t="n">
        <v>0.303055507596582</v>
      </c>
      <c r="Q4024" s="0" t="str">
        <f aca="false">SUBSTITUTE(SUBSTITUTE($I4024,CHAR(61),""),CHAR(34),"")</f>
        <v>25-34</v>
      </c>
      <c r="R4024" s="0" t="str">
        <f aca="false">IF($D4024&lt;&gt;"","["&amp;$E4024&amp;"]"&amp;"|"&amp;$Q4024&amp;"|"&amp;$K4024&amp;"|"&amp;$G4024&amp;"|"&amp;IF($G4024="TX_CURR_SUBNAT.R","CY2022Q4",$M4024),"")</f>
        <v>[lLDyBx5XyUi]|25-34|Female|NEW_INFECTIONS_SUBNAT.T_1|CY2023Q3</v>
      </c>
    </row>
    <row r="4025" customFormat="false" ht="15" hidden="false" customHeight="false" outlineLevel="0" collapsed="false">
      <c r="D4025" s="0" t="s">
        <v>75</v>
      </c>
      <c r="E4025" s="0" t="s">
        <v>76</v>
      </c>
      <c r="F4025" s="0" t="s">
        <v>77</v>
      </c>
      <c r="G4025" s="0" t="s">
        <v>153</v>
      </c>
      <c r="H4025" s="0" t="s">
        <v>153</v>
      </c>
      <c r="I4025" s="0" t="s">
        <v>43</v>
      </c>
      <c r="J4025" s="0" t="s">
        <v>44</v>
      </c>
      <c r="K4025" s="0" t="s">
        <v>30</v>
      </c>
      <c r="L4025" s="0" t="s">
        <v>31</v>
      </c>
      <c r="M4025" s="0" t="s">
        <v>140</v>
      </c>
      <c r="N4025" s="0" t="n">
        <v>749</v>
      </c>
      <c r="O4025" s="10" t="n">
        <v>0.742030832218006</v>
      </c>
      <c r="P4025" s="10" t="n">
        <v>0.303055507596582</v>
      </c>
      <c r="Q4025" s="0" t="str">
        <f aca="false">SUBSTITUTE(SUBSTITUTE($I4025,CHAR(61),""),CHAR(34),"")</f>
        <v>35-49</v>
      </c>
      <c r="R4025" s="0" t="str">
        <f aca="false">IF($D4025&lt;&gt;"","["&amp;$E4025&amp;"]"&amp;"|"&amp;$Q4025&amp;"|"&amp;$K4025&amp;"|"&amp;$G4025&amp;"|"&amp;IF($G4025="TX_CURR_SUBNAT.R","CY2022Q4",$M4025),"")</f>
        <v>[lLDyBx5XyUi]|35-49|Female|NEW_INFECTIONS_SUBNAT.T_1|CY2023Q3</v>
      </c>
    </row>
    <row r="4026" customFormat="false" ht="15" hidden="false" customHeight="false" outlineLevel="0" collapsed="false">
      <c r="D4026" s="0" t="s">
        <v>75</v>
      </c>
      <c r="E4026" s="0" t="s">
        <v>76</v>
      </c>
      <c r="F4026" s="0" t="s">
        <v>77</v>
      </c>
      <c r="G4026" s="0" t="s">
        <v>153</v>
      </c>
      <c r="H4026" s="0" t="s">
        <v>153</v>
      </c>
      <c r="I4026" s="0" t="s">
        <v>45</v>
      </c>
      <c r="J4026" s="0" t="s">
        <v>46</v>
      </c>
      <c r="K4026" s="0" t="s">
        <v>30</v>
      </c>
      <c r="L4026" s="0" t="s">
        <v>31</v>
      </c>
      <c r="M4026" s="0" t="s">
        <v>140</v>
      </c>
      <c r="N4026" s="0" t="n">
        <v>1434</v>
      </c>
      <c r="O4026" s="10" t="n">
        <v>0.807649563532323</v>
      </c>
      <c r="P4026" s="10" t="n">
        <v>0.303055507596582</v>
      </c>
      <c r="Q4026" s="0" t="str">
        <f aca="false">SUBSTITUTE(SUBSTITUTE($I4026,CHAR(61),""),CHAR(34),"")</f>
        <v>50+</v>
      </c>
      <c r="R4026" s="0" t="str">
        <f aca="false">IF($D4026&lt;&gt;"","["&amp;$E4026&amp;"]"&amp;"|"&amp;$Q4026&amp;"|"&amp;$K4026&amp;"|"&amp;$G4026&amp;"|"&amp;IF($G4026="TX_CURR_SUBNAT.R","CY2022Q4",$M4026),"")</f>
        <v>[lLDyBx5XyUi]|50+|Female|NEW_INFECTIONS_SUBNAT.T_1|CY2023Q3</v>
      </c>
    </row>
    <row r="4027" customFormat="false" ht="15" hidden="false" customHeight="false" outlineLevel="0" collapsed="false">
      <c r="D4027" s="0" t="s">
        <v>75</v>
      </c>
      <c r="E4027" s="0" t="s">
        <v>76</v>
      </c>
      <c r="F4027" s="0" t="s">
        <v>77</v>
      </c>
      <c r="G4027" s="0" t="s">
        <v>153</v>
      </c>
      <c r="H4027" s="0" t="s">
        <v>153</v>
      </c>
      <c r="I4027" s="0" t="s">
        <v>28</v>
      </c>
      <c r="J4027" s="0" t="s">
        <v>29</v>
      </c>
      <c r="K4027" s="0" t="s">
        <v>48</v>
      </c>
      <c r="L4027" s="0" t="s">
        <v>49</v>
      </c>
      <c r="M4027" s="0" t="s">
        <v>140</v>
      </c>
      <c r="N4027" s="0" t="n">
        <v>841</v>
      </c>
      <c r="O4027" s="10" t="n">
        <v>0.367545397486538</v>
      </c>
      <c r="P4027" s="10" t="n">
        <v>0.303055507596582</v>
      </c>
      <c r="Q4027" s="0" t="str">
        <f aca="false">SUBSTITUTE(SUBSTITUTE($I4027,CHAR(61),""),CHAR(34),"")</f>
        <v>&lt;01</v>
      </c>
      <c r="R4027" s="0" t="str">
        <f aca="false">IF($D4027&lt;&gt;"","["&amp;$E4027&amp;"]"&amp;"|"&amp;$Q4027&amp;"|"&amp;$K4027&amp;"|"&amp;$G4027&amp;"|"&amp;IF($G4027="TX_CURR_SUBNAT.R","CY2022Q4",$M4027),"")</f>
        <v>[lLDyBx5XyUi]|&lt;01|Male|NEW_INFECTIONS_SUBNAT.T_1|CY2023Q3</v>
      </c>
    </row>
    <row r="4028" customFormat="false" ht="15" hidden="false" customHeight="false" outlineLevel="0" collapsed="false">
      <c r="D4028" s="0" t="s">
        <v>75</v>
      </c>
      <c r="E4028" s="0" t="s">
        <v>76</v>
      </c>
      <c r="F4028" s="0" t="s">
        <v>77</v>
      </c>
      <c r="G4028" s="0" t="s">
        <v>153</v>
      </c>
      <c r="H4028" s="0" t="s">
        <v>153</v>
      </c>
      <c r="I4028" s="0" t="s">
        <v>33</v>
      </c>
      <c r="J4028" s="0" t="s">
        <v>34</v>
      </c>
      <c r="K4028" s="0" t="s">
        <v>48</v>
      </c>
      <c r="L4028" s="0" t="s">
        <v>49</v>
      </c>
      <c r="M4028" s="0" t="s">
        <v>140</v>
      </c>
      <c r="N4028" s="0" t="n">
        <v>953</v>
      </c>
      <c r="O4028" s="10" t="n">
        <v>0.0336020262911916</v>
      </c>
      <c r="P4028" s="10" t="n">
        <v>0.303055507596582</v>
      </c>
      <c r="Q4028" s="0" t="str">
        <f aca="false">SUBSTITUTE(SUBSTITUTE($I4028,CHAR(61),""),CHAR(34),"")</f>
        <v>01-09</v>
      </c>
      <c r="R4028" s="0" t="str">
        <f aca="false">IF($D4028&lt;&gt;"","["&amp;$E4028&amp;"]"&amp;"|"&amp;$Q4028&amp;"|"&amp;$K4028&amp;"|"&amp;$G4028&amp;"|"&amp;IF($G4028="TX_CURR_SUBNAT.R","CY2022Q4",$M4028),"")</f>
        <v>[lLDyBx5XyUi]|01-09|Male|NEW_INFECTIONS_SUBNAT.T_1|CY2023Q3</v>
      </c>
    </row>
    <row r="4029" customFormat="false" ht="15" hidden="false" customHeight="false" outlineLevel="0" collapsed="false">
      <c r="D4029" s="0" t="s">
        <v>75</v>
      </c>
      <c r="E4029" s="0" t="s">
        <v>76</v>
      </c>
      <c r="F4029" s="0" t="s">
        <v>77</v>
      </c>
      <c r="G4029" s="0" t="s">
        <v>153</v>
      </c>
      <c r="H4029" s="0" t="s">
        <v>153</v>
      </c>
      <c r="I4029" s="0" t="s">
        <v>36</v>
      </c>
      <c r="J4029" s="0" t="s">
        <v>37</v>
      </c>
      <c r="K4029" s="0" t="s">
        <v>48</v>
      </c>
      <c r="L4029" s="0" t="s">
        <v>49</v>
      </c>
      <c r="M4029" s="0" t="s">
        <v>140</v>
      </c>
      <c r="N4029" s="0" t="n">
        <v>1686</v>
      </c>
      <c r="O4029" s="10" t="n">
        <v>0.104304261039943</v>
      </c>
      <c r="P4029" s="10" t="n">
        <v>0.303055507596582</v>
      </c>
      <c r="Q4029" s="0" t="str">
        <f aca="false">SUBSTITUTE(SUBSTITUTE($I4029,CHAR(61),""),CHAR(34),"")</f>
        <v>10-14</v>
      </c>
      <c r="R4029" s="0" t="str">
        <f aca="false">IF($D4029&lt;&gt;"","["&amp;$E4029&amp;"]"&amp;"|"&amp;$Q4029&amp;"|"&amp;$K4029&amp;"|"&amp;$G4029&amp;"|"&amp;IF($G4029="TX_CURR_SUBNAT.R","CY2022Q4",$M4029),"")</f>
        <v>[lLDyBx5XyUi]|10-14|Male|NEW_INFECTIONS_SUBNAT.T_1|CY2023Q3</v>
      </c>
    </row>
    <row r="4030" customFormat="false" ht="15" hidden="false" customHeight="false" outlineLevel="0" collapsed="false">
      <c r="D4030" s="0" t="s">
        <v>75</v>
      </c>
      <c r="E4030" s="0" t="s">
        <v>76</v>
      </c>
      <c r="F4030" s="0" t="s">
        <v>77</v>
      </c>
      <c r="G4030" s="0" t="s">
        <v>153</v>
      </c>
      <c r="H4030" s="0" t="s">
        <v>153</v>
      </c>
      <c r="I4030" s="0" t="s">
        <v>38</v>
      </c>
      <c r="J4030" s="0" t="s">
        <v>39</v>
      </c>
      <c r="K4030" s="0" t="s">
        <v>48</v>
      </c>
      <c r="L4030" s="0" t="s">
        <v>49</v>
      </c>
      <c r="M4030" s="0" t="s">
        <v>140</v>
      </c>
      <c r="N4030" s="0" t="n">
        <v>778</v>
      </c>
      <c r="O4030" s="10" t="n">
        <v>0.388025374384597</v>
      </c>
      <c r="P4030" s="10" t="n">
        <v>0.303055507596582</v>
      </c>
      <c r="Q4030" s="0" t="str">
        <f aca="false">SUBSTITUTE(SUBSTITUTE($I4030,CHAR(61),""),CHAR(34),"")</f>
        <v>15-24</v>
      </c>
      <c r="R4030" s="0" t="str">
        <f aca="false">IF($D4030&lt;&gt;"","["&amp;$E4030&amp;"]"&amp;"|"&amp;$Q4030&amp;"|"&amp;$K4030&amp;"|"&amp;$G4030&amp;"|"&amp;IF($G4030="TX_CURR_SUBNAT.R","CY2022Q4",$M4030),"")</f>
        <v>[lLDyBx5XyUi]|15-24|Male|NEW_INFECTIONS_SUBNAT.T_1|CY2023Q3</v>
      </c>
    </row>
    <row r="4031" customFormat="false" ht="15" hidden="false" customHeight="false" outlineLevel="0" collapsed="false">
      <c r="D4031" s="0" t="s">
        <v>75</v>
      </c>
      <c r="E4031" s="0" t="s">
        <v>76</v>
      </c>
      <c r="F4031" s="0" t="s">
        <v>77</v>
      </c>
      <c r="G4031" s="0" t="s">
        <v>153</v>
      </c>
      <c r="H4031" s="0" t="s">
        <v>153</v>
      </c>
      <c r="I4031" s="0" t="s">
        <v>41</v>
      </c>
      <c r="J4031" s="0" t="s">
        <v>42</v>
      </c>
      <c r="K4031" s="0" t="s">
        <v>48</v>
      </c>
      <c r="L4031" s="0" t="s">
        <v>49</v>
      </c>
      <c r="M4031" s="0" t="s">
        <v>140</v>
      </c>
      <c r="N4031" s="0" t="n">
        <v>1280</v>
      </c>
      <c r="O4031" s="10" t="n">
        <v>0.874829769833013</v>
      </c>
      <c r="P4031" s="10" t="n">
        <v>0.303055507596582</v>
      </c>
      <c r="Q4031" s="0" t="str">
        <f aca="false">SUBSTITUTE(SUBSTITUTE($I4031,CHAR(61),""),CHAR(34),"")</f>
        <v>25-34</v>
      </c>
      <c r="R4031" s="0" t="str">
        <f aca="false">IF($D4031&lt;&gt;"","["&amp;$E4031&amp;"]"&amp;"|"&amp;$Q4031&amp;"|"&amp;$K4031&amp;"|"&amp;$G4031&amp;"|"&amp;IF($G4031="TX_CURR_SUBNAT.R","CY2022Q4",$M4031),"")</f>
        <v>[lLDyBx5XyUi]|25-34|Male|NEW_INFECTIONS_SUBNAT.T_1|CY2023Q3</v>
      </c>
    </row>
    <row r="4032" customFormat="false" ht="15" hidden="false" customHeight="false" outlineLevel="0" collapsed="false">
      <c r="D4032" s="0" t="s">
        <v>75</v>
      </c>
      <c r="E4032" s="0" t="s">
        <v>76</v>
      </c>
      <c r="F4032" s="0" t="s">
        <v>77</v>
      </c>
      <c r="G4032" s="0" t="s">
        <v>153</v>
      </c>
      <c r="H4032" s="0" t="s">
        <v>153</v>
      </c>
      <c r="I4032" s="0" t="s">
        <v>43</v>
      </c>
      <c r="J4032" s="0" t="s">
        <v>44</v>
      </c>
      <c r="K4032" s="0" t="s">
        <v>48</v>
      </c>
      <c r="L4032" s="0" t="s">
        <v>49</v>
      </c>
      <c r="M4032" s="0" t="s">
        <v>140</v>
      </c>
      <c r="N4032" s="0" t="n">
        <v>1217</v>
      </c>
      <c r="O4032" s="10" t="n">
        <v>0.714036748278886</v>
      </c>
      <c r="P4032" s="10" t="n">
        <v>0.303055507596582</v>
      </c>
      <c r="Q4032" s="0" t="str">
        <f aca="false">SUBSTITUTE(SUBSTITUTE($I4032,CHAR(61),""),CHAR(34),"")</f>
        <v>35-49</v>
      </c>
      <c r="R4032" s="0" t="str">
        <f aca="false">IF($D4032&lt;&gt;"","["&amp;$E4032&amp;"]"&amp;"|"&amp;$Q4032&amp;"|"&amp;$K4032&amp;"|"&amp;$G4032&amp;"|"&amp;IF($G4032="TX_CURR_SUBNAT.R","CY2022Q4",$M4032),"")</f>
        <v>[lLDyBx5XyUi]|35-49|Male|NEW_INFECTIONS_SUBNAT.T_1|CY2023Q3</v>
      </c>
    </row>
    <row r="4033" customFormat="false" ht="15" hidden="false" customHeight="false" outlineLevel="0" collapsed="false">
      <c r="D4033" s="0" t="s">
        <v>75</v>
      </c>
      <c r="E4033" s="0" t="s">
        <v>76</v>
      </c>
      <c r="F4033" s="0" t="s">
        <v>77</v>
      </c>
      <c r="G4033" s="0" t="s">
        <v>153</v>
      </c>
      <c r="H4033" s="0" t="s">
        <v>153</v>
      </c>
      <c r="I4033" s="0" t="s">
        <v>45</v>
      </c>
      <c r="J4033" s="0" t="s">
        <v>46</v>
      </c>
      <c r="K4033" s="0" t="s">
        <v>48</v>
      </c>
      <c r="L4033" s="0" t="s">
        <v>49</v>
      </c>
      <c r="M4033" s="0" t="s">
        <v>140</v>
      </c>
      <c r="N4033" s="0" t="n">
        <v>1806</v>
      </c>
      <c r="O4033" s="10" t="n">
        <v>0.679546828381717</v>
      </c>
      <c r="P4033" s="10" t="n">
        <v>0.303055507596582</v>
      </c>
      <c r="Q4033" s="0" t="str">
        <f aca="false">SUBSTITUTE(SUBSTITUTE($I4033,CHAR(61),""),CHAR(34),"")</f>
        <v>50+</v>
      </c>
      <c r="R4033" s="0" t="str">
        <f aca="false">IF($D4033&lt;&gt;"","["&amp;$E4033&amp;"]"&amp;"|"&amp;$Q4033&amp;"|"&amp;$K4033&amp;"|"&amp;$G4033&amp;"|"&amp;IF($G4033="TX_CURR_SUBNAT.R","CY2022Q4",$M4033),"")</f>
        <v>[lLDyBx5XyUi]|50+|Male|NEW_INFECTIONS_SUBNAT.T_1|CY2023Q3</v>
      </c>
    </row>
    <row r="4034" customFormat="false" ht="15" hidden="false" customHeight="false" outlineLevel="0" collapsed="false">
      <c r="D4034" s="0" t="s">
        <v>78</v>
      </c>
      <c r="E4034" s="0" t="s">
        <v>79</v>
      </c>
      <c r="F4034" s="0" t="s">
        <v>80</v>
      </c>
      <c r="G4034" s="0" t="s">
        <v>153</v>
      </c>
      <c r="H4034" s="0" t="s">
        <v>153</v>
      </c>
      <c r="I4034" s="0" t="s">
        <v>28</v>
      </c>
      <c r="J4034" s="0" t="s">
        <v>29</v>
      </c>
      <c r="K4034" s="0" t="s">
        <v>30</v>
      </c>
      <c r="L4034" s="0" t="s">
        <v>31</v>
      </c>
      <c r="M4034" s="0" t="s">
        <v>140</v>
      </c>
      <c r="N4034" s="0" t="n">
        <v>1568</v>
      </c>
      <c r="O4034" s="10" t="n">
        <v>0.242075841408223</v>
      </c>
      <c r="P4034" s="10" t="n">
        <v>0.831597982207313</v>
      </c>
      <c r="Q4034" s="0" t="str">
        <f aca="false">SUBSTITUTE(SUBSTITUTE($I4034,CHAR(61),""),CHAR(34),"")</f>
        <v>&lt;01</v>
      </c>
      <c r="R4034" s="0" t="str">
        <f aca="false">IF($D4034&lt;&gt;"","["&amp;$E4034&amp;"]"&amp;"|"&amp;$Q4034&amp;"|"&amp;$K4034&amp;"|"&amp;$G4034&amp;"|"&amp;IF($G4034="TX_CURR_SUBNAT.R","CY2022Q4",$M4034),"")</f>
        <v>[TYnMSwzko3z]|&lt;01|Female|NEW_INFECTIONS_SUBNAT.T_1|CY2023Q3</v>
      </c>
    </row>
    <row r="4035" customFormat="false" ht="15" hidden="false" customHeight="false" outlineLevel="0" collapsed="false">
      <c r="D4035" s="0" t="s">
        <v>78</v>
      </c>
      <c r="E4035" s="0" t="s">
        <v>79</v>
      </c>
      <c r="F4035" s="0" t="s">
        <v>80</v>
      </c>
      <c r="G4035" s="0" t="s">
        <v>153</v>
      </c>
      <c r="H4035" s="0" t="s">
        <v>153</v>
      </c>
      <c r="I4035" s="0" t="s">
        <v>33</v>
      </c>
      <c r="J4035" s="0" t="s">
        <v>34</v>
      </c>
      <c r="K4035" s="0" t="s">
        <v>30</v>
      </c>
      <c r="L4035" s="0" t="s">
        <v>31</v>
      </c>
      <c r="M4035" s="0" t="s">
        <v>140</v>
      </c>
      <c r="N4035" s="0" t="n">
        <v>1453</v>
      </c>
      <c r="O4035" s="10" t="n">
        <v>0.389393487712368</v>
      </c>
      <c r="P4035" s="10" t="n">
        <v>0.831597982207313</v>
      </c>
      <c r="Q4035" s="0" t="str">
        <f aca="false">SUBSTITUTE(SUBSTITUTE($I4035,CHAR(61),""),CHAR(34),"")</f>
        <v>01-09</v>
      </c>
      <c r="R4035" s="0" t="str">
        <f aca="false">IF($D4035&lt;&gt;"","["&amp;$E4035&amp;"]"&amp;"|"&amp;$Q4035&amp;"|"&amp;$K4035&amp;"|"&amp;$G4035&amp;"|"&amp;IF($G4035="TX_CURR_SUBNAT.R","CY2022Q4",$M4035),"")</f>
        <v>[TYnMSwzko3z]|01-09|Female|NEW_INFECTIONS_SUBNAT.T_1|CY2023Q3</v>
      </c>
    </row>
    <row r="4036" customFormat="false" ht="15" hidden="false" customHeight="false" outlineLevel="0" collapsed="false">
      <c r="D4036" s="0" t="s">
        <v>78</v>
      </c>
      <c r="E4036" s="0" t="s">
        <v>79</v>
      </c>
      <c r="F4036" s="0" t="s">
        <v>80</v>
      </c>
      <c r="G4036" s="0" t="s">
        <v>153</v>
      </c>
      <c r="H4036" s="0" t="s">
        <v>153</v>
      </c>
      <c r="I4036" s="0" t="s">
        <v>36</v>
      </c>
      <c r="J4036" s="0" t="s">
        <v>37</v>
      </c>
      <c r="K4036" s="0" t="s">
        <v>30</v>
      </c>
      <c r="L4036" s="0" t="s">
        <v>31</v>
      </c>
      <c r="M4036" s="0" t="s">
        <v>140</v>
      </c>
      <c r="N4036" s="0" t="n">
        <v>932</v>
      </c>
      <c r="O4036" s="10" t="n">
        <v>0.678929015062749</v>
      </c>
      <c r="P4036" s="10" t="n">
        <v>0.831597982207313</v>
      </c>
      <c r="Q4036" s="0" t="str">
        <f aca="false">SUBSTITUTE(SUBSTITUTE($I4036,CHAR(61),""),CHAR(34),"")</f>
        <v>10-14</v>
      </c>
      <c r="R4036" s="0" t="str">
        <f aca="false">IF($D4036&lt;&gt;"","["&amp;$E4036&amp;"]"&amp;"|"&amp;$Q4036&amp;"|"&amp;$K4036&amp;"|"&amp;$G4036&amp;"|"&amp;IF($G4036="TX_CURR_SUBNAT.R","CY2022Q4",$M4036),"")</f>
        <v>[TYnMSwzko3z]|10-14|Female|NEW_INFECTIONS_SUBNAT.T_1|CY2023Q3</v>
      </c>
    </row>
    <row r="4037" customFormat="false" ht="15" hidden="false" customHeight="false" outlineLevel="0" collapsed="false">
      <c r="D4037" s="0" t="s">
        <v>78</v>
      </c>
      <c r="E4037" s="0" t="s">
        <v>79</v>
      </c>
      <c r="F4037" s="0" t="s">
        <v>80</v>
      </c>
      <c r="G4037" s="0" t="s">
        <v>153</v>
      </c>
      <c r="H4037" s="0" t="s">
        <v>153</v>
      </c>
      <c r="I4037" s="0" t="s">
        <v>38</v>
      </c>
      <c r="J4037" s="0" t="s">
        <v>39</v>
      </c>
      <c r="K4037" s="0" t="s">
        <v>30</v>
      </c>
      <c r="L4037" s="0" t="s">
        <v>31</v>
      </c>
      <c r="M4037" s="0" t="s">
        <v>140</v>
      </c>
      <c r="N4037" s="0" t="n">
        <v>1353</v>
      </c>
      <c r="O4037" s="10" t="n">
        <v>0.799686392536387</v>
      </c>
      <c r="P4037" s="10" t="n">
        <v>0.831597982207313</v>
      </c>
      <c r="Q4037" s="0" t="str">
        <f aca="false">SUBSTITUTE(SUBSTITUTE($I4037,CHAR(61),""),CHAR(34),"")</f>
        <v>15-24</v>
      </c>
      <c r="R4037" s="0" t="str">
        <f aca="false">IF($D4037&lt;&gt;"","["&amp;$E4037&amp;"]"&amp;"|"&amp;$Q4037&amp;"|"&amp;$K4037&amp;"|"&amp;$G4037&amp;"|"&amp;IF($G4037="TX_CURR_SUBNAT.R","CY2022Q4",$M4037),"")</f>
        <v>[TYnMSwzko3z]|15-24|Female|NEW_INFECTIONS_SUBNAT.T_1|CY2023Q3</v>
      </c>
    </row>
    <row r="4038" customFormat="false" ht="15" hidden="false" customHeight="false" outlineLevel="0" collapsed="false">
      <c r="D4038" s="0" t="s">
        <v>78</v>
      </c>
      <c r="E4038" s="0" t="s">
        <v>79</v>
      </c>
      <c r="F4038" s="0" t="s">
        <v>80</v>
      </c>
      <c r="G4038" s="0" t="s">
        <v>153</v>
      </c>
      <c r="H4038" s="0" t="s">
        <v>153</v>
      </c>
      <c r="I4038" s="0" t="s">
        <v>41</v>
      </c>
      <c r="J4038" s="0" t="s">
        <v>42</v>
      </c>
      <c r="K4038" s="0" t="s">
        <v>30</v>
      </c>
      <c r="L4038" s="0" t="s">
        <v>31</v>
      </c>
      <c r="M4038" s="0" t="s">
        <v>140</v>
      </c>
      <c r="N4038" s="0" t="n">
        <v>849</v>
      </c>
      <c r="O4038" s="10" t="n">
        <v>0.527661463012919</v>
      </c>
      <c r="P4038" s="10" t="n">
        <v>0.831597982207313</v>
      </c>
      <c r="Q4038" s="0" t="str">
        <f aca="false">SUBSTITUTE(SUBSTITUTE($I4038,CHAR(61),""),CHAR(34),"")</f>
        <v>25-34</v>
      </c>
      <c r="R4038" s="0" t="str">
        <f aca="false">IF($D4038&lt;&gt;"","["&amp;$E4038&amp;"]"&amp;"|"&amp;$Q4038&amp;"|"&amp;$K4038&amp;"|"&amp;$G4038&amp;"|"&amp;IF($G4038="TX_CURR_SUBNAT.R","CY2022Q4",$M4038),"")</f>
        <v>[TYnMSwzko3z]|25-34|Female|NEW_INFECTIONS_SUBNAT.T_1|CY2023Q3</v>
      </c>
    </row>
    <row r="4039" customFormat="false" ht="15" hidden="false" customHeight="false" outlineLevel="0" collapsed="false">
      <c r="D4039" s="0" t="s">
        <v>78</v>
      </c>
      <c r="E4039" s="0" t="s">
        <v>79</v>
      </c>
      <c r="F4039" s="0" t="s">
        <v>80</v>
      </c>
      <c r="G4039" s="0" t="s">
        <v>153</v>
      </c>
      <c r="H4039" s="0" t="s">
        <v>153</v>
      </c>
      <c r="I4039" s="0" t="s">
        <v>43</v>
      </c>
      <c r="J4039" s="0" t="s">
        <v>44</v>
      </c>
      <c r="K4039" s="0" t="s">
        <v>30</v>
      </c>
      <c r="L4039" s="0" t="s">
        <v>31</v>
      </c>
      <c r="M4039" s="0" t="s">
        <v>140</v>
      </c>
      <c r="N4039" s="0" t="n">
        <v>536</v>
      </c>
      <c r="O4039" s="10" t="n">
        <v>0.617776290513575</v>
      </c>
      <c r="P4039" s="10" t="n">
        <v>0.831597982207313</v>
      </c>
      <c r="Q4039" s="0" t="str">
        <f aca="false">SUBSTITUTE(SUBSTITUTE($I4039,CHAR(61),""),CHAR(34),"")</f>
        <v>35-49</v>
      </c>
      <c r="R4039" s="0" t="str">
        <f aca="false">IF($D4039&lt;&gt;"","["&amp;$E4039&amp;"]"&amp;"|"&amp;$Q4039&amp;"|"&amp;$K4039&amp;"|"&amp;$G4039&amp;"|"&amp;IF($G4039="TX_CURR_SUBNAT.R","CY2022Q4",$M4039),"")</f>
        <v>[TYnMSwzko3z]|35-49|Female|NEW_INFECTIONS_SUBNAT.T_1|CY2023Q3</v>
      </c>
    </row>
    <row r="4040" customFormat="false" ht="15" hidden="false" customHeight="false" outlineLevel="0" collapsed="false">
      <c r="D4040" s="0" t="s">
        <v>78</v>
      </c>
      <c r="E4040" s="0" t="s">
        <v>79</v>
      </c>
      <c r="F4040" s="0" t="s">
        <v>80</v>
      </c>
      <c r="G4040" s="0" t="s">
        <v>153</v>
      </c>
      <c r="H4040" s="0" t="s">
        <v>153</v>
      </c>
      <c r="I4040" s="0" t="s">
        <v>45</v>
      </c>
      <c r="J4040" s="0" t="s">
        <v>46</v>
      </c>
      <c r="K4040" s="0" t="s">
        <v>30</v>
      </c>
      <c r="L4040" s="0" t="s">
        <v>31</v>
      </c>
      <c r="M4040" s="0" t="s">
        <v>140</v>
      </c>
      <c r="N4040" s="0" t="n">
        <v>899</v>
      </c>
      <c r="O4040" s="10" t="n">
        <v>0.793658434646204</v>
      </c>
      <c r="P4040" s="10" t="n">
        <v>0.831597982207313</v>
      </c>
      <c r="Q4040" s="0" t="str">
        <f aca="false">SUBSTITUTE(SUBSTITUTE($I4040,CHAR(61),""),CHAR(34),"")</f>
        <v>50+</v>
      </c>
      <c r="R4040" s="0" t="str">
        <f aca="false">IF($D4040&lt;&gt;"","["&amp;$E4040&amp;"]"&amp;"|"&amp;$Q4040&amp;"|"&amp;$K4040&amp;"|"&amp;$G4040&amp;"|"&amp;IF($G4040="TX_CURR_SUBNAT.R","CY2022Q4",$M4040),"")</f>
        <v>[TYnMSwzko3z]|50+|Female|NEW_INFECTIONS_SUBNAT.T_1|CY2023Q3</v>
      </c>
    </row>
    <row r="4041" customFormat="false" ht="15" hidden="false" customHeight="false" outlineLevel="0" collapsed="false">
      <c r="D4041" s="0" t="s">
        <v>78</v>
      </c>
      <c r="E4041" s="0" t="s">
        <v>79</v>
      </c>
      <c r="F4041" s="0" t="s">
        <v>80</v>
      </c>
      <c r="G4041" s="0" t="s">
        <v>153</v>
      </c>
      <c r="H4041" s="0" t="s">
        <v>153</v>
      </c>
      <c r="I4041" s="0" t="s">
        <v>28</v>
      </c>
      <c r="J4041" s="0" t="s">
        <v>29</v>
      </c>
      <c r="K4041" s="0" t="s">
        <v>48</v>
      </c>
      <c r="L4041" s="0" t="s">
        <v>49</v>
      </c>
      <c r="M4041" s="0" t="s">
        <v>140</v>
      </c>
      <c r="N4041" s="0" t="n">
        <v>878</v>
      </c>
      <c r="O4041" s="10" t="n">
        <v>0.701881416607648</v>
      </c>
      <c r="P4041" s="10" t="n">
        <v>0.831597982207313</v>
      </c>
      <c r="Q4041" s="0" t="str">
        <f aca="false">SUBSTITUTE(SUBSTITUTE($I4041,CHAR(61),""),CHAR(34),"")</f>
        <v>&lt;01</v>
      </c>
      <c r="R4041" s="0" t="str">
        <f aca="false">IF($D4041&lt;&gt;"","["&amp;$E4041&amp;"]"&amp;"|"&amp;$Q4041&amp;"|"&amp;$K4041&amp;"|"&amp;$G4041&amp;"|"&amp;IF($G4041="TX_CURR_SUBNAT.R","CY2022Q4",$M4041),"")</f>
        <v>[TYnMSwzko3z]|&lt;01|Male|NEW_INFECTIONS_SUBNAT.T_1|CY2023Q3</v>
      </c>
    </row>
    <row r="4042" customFormat="false" ht="15" hidden="false" customHeight="false" outlineLevel="0" collapsed="false">
      <c r="D4042" s="0" t="s">
        <v>78</v>
      </c>
      <c r="E4042" s="0" t="s">
        <v>79</v>
      </c>
      <c r="F4042" s="0" t="s">
        <v>80</v>
      </c>
      <c r="G4042" s="0" t="s">
        <v>153</v>
      </c>
      <c r="H4042" s="0" t="s">
        <v>153</v>
      </c>
      <c r="I4042" s="0" t="s">
        <v>33</v>
      </c>
      <c r="J4042" s="0" t="s">
        <v>34</v>
      </c>
      <c r="K4042" s="0" t="s">
        <v>48</v>
      </c>
      <c r="L4042" s="0" t="s">
        <v>49</v>
      </c>
      <c r="M4042" s="0" t="s">
        <v>140</v>
      </c>
      <c r="N4042" s="0" t="n">
        <v>546</v>
      </c>
      <c r="O4042" s="10" t="n">
        <v>0.274838304379955</v>
      </c>
      <c r="P4042" s="10" t="n">
        <v>0.831597982207313</v>
      </c>
      <c r="Q4042" s="0" t="str">
        <f aca="false">SUBSTITUTE(SUBSTITUTE($I4042,CHAR(61),""),CHAR(34),"")</f>
        <v>01-09</v>
      </c>
      <c r="R4042" s="0" t="str">
        <f aca="false">IF($D4042&lt;&gt;"","["&amp;$E4042&amp;"]"&amp;"|"&amp;$Q4042&amp;"|"&amp;$K4042&amp;"|"&amp;$G4042&amp;"|"&amp;IF($G4042="TX_CURR_SUBNAT.R","CY2022Q4",$M4042),"")</f>
        <v>[TYnMSwzko3z]|01-09|Male|NEW_INFECTIONS_SUBNAT.T_1|CY2023Q3</v>
      </c>
    </row>
    <row r="4043" customFormat="false" ht="15" hidden="false" customHeight="false" outlineLevel="0" collapsed="false">
      <c r="D4043" s="0" t="s">
        <v>78</v>
      </c>
      <c r="E4043" s="0" t="s">
        <v>79</v>
      </c>
      <c r="F4043" s="0" t="s">
        <v>80</v>
      </c>
      <c r="G4043" s="0" t="s">
        <v>153</v>
      </c>
      <c r="H4043" s="0" t="s">
        <v>153</v>
      </c>
      <c r="I4043" s="0" t="s">
        <v>36</v>
      </c>
      <c r="J4043" s="0" t="s">
        <v>37</v>
      </c>
      <c r="K4043" s="0" t="s">
        <v>48</v>
      </c>
      <c r="L4043" s="0" t="s">
        <v>49</v>
      </c>
      <c r="M4043" s="0" t="s">
        <v>140</v>
      </c>
      <c r="N4043" s="0" t="n">
        <v>871</v>
      </c>
      <c r="O4043" s="10" t="n">
        <v>0.41178943705745</v>
      </c>
      <c r="P4043" s="10" t="n">
        <v>0.831597982207313</v>
      </c>
      <c r="Q4043" s="0" t="str">
        <f aca="false">SUBSTITUTE(SUBSTITUTE($I4043,CHAR(61),""),CHAR(34),"")</f>
        <v>10-14</v>
      </c>
      <c r="R4043" s="0" t="str">
        <f aca="false">IF($D4043&lt;&gt;"","["&amp;$E4043&amp;"]"&amp;"|"&amp;$Q4043&amp;"|"&amp;$K4043&amp;"|"&amp;$G4043&amp;"|"&amp;IF($G4043="TX_CURR_SUBNAT.R","CY2022Q4",$M4043),"")</f>
        <v>[TYnMSwzko3z]|10-14|Male|NEW_INFECTIONS_SUBNAT.T_1|CY2023Q3</v>
      </c>
    </row>
    <row r="4044" customFormat="false" ht="15" hidden="false" customHeight="false" outlineLevel="0" collapsed="false">
      <c r="D4044" s="0" t="s">
        <v>78</v>
      </c>
      <c r="E4044" s="0" t="s">
        <v>79</v>
      </c>
      <c r="F4044" s="0" t="s">
        <v>80</v>
      </c>
      <c r="G4044" s="0" t="s">
        <v>153</v>
      </c>
      <c r="H4044" s="0" t="s">
        <v>153</v>
      </c>
      <c r="I4044" s="0" t="s">
        <v>38</v>
      </c>
      <c r="J4044" s="0" t="s">
        <v>39</v>
      </c>
      <c r="K4044" s="0" t="s">
        <v>48</v>
      </c>
      <c r="L4044" s="0" t="s">
        <v>49</v>
      </c>
      <c r="M4044" s="0" t="s">
        <v>140</v>
      </c>
      <c r="N4044" s="0" t="n">
        <v>881</v>
      </c>
      <c r="O4044" s="10" t="n">
        <v>0.635570062557235</v>
      </c>
      <c r="P4044" s="10" t="n">
        <v>0.831597982207313</v>
      </c>
      <c r="Q4044" s="0" t="str">
        <f aca="false">SUBSTITUTE(SUBSTITUTE($I4044,CHAR(61),""),CHAR(34),"")</f>
        <v>15-24</v>
      </c>
      <c r="R4044" s="0" t="str">
        <f aca="false">IF($D4044&lt;&gt;"","["&amp;$E4044&amp;"]"&amp;"|"&amp;$Q4044&amp;"|"&amp;$K4044&amp;"|"&amp;$G4044&amp;"|"&amp;IF($G4044="TX_CURR_SUBNAT.R","CY2022Q4",$M4044),"")</f>
        <v>[TYnMSwzko3z]|15-24|Male|NEW_INFECTIONS_SUBNAT.T_1|CY2023Q3</v>
      </c>
    </row>
    <row r="4045" customFormat="false" ht="15" hidden="false" customHeight="false" outlineLevel="0" collapsed="false">
      <c r="D4045" s="0" t="s">
        <v>78</v>
      </c>
      <c r="E4045" s="0" t="s">
        <v>79</v>
      </c>
      <c r="F4045" s="0" t="s">
        <v>80</v>
      </c>
      <c r="G4045" s="0" t="s">
        <v>153</v>
      </c>
      <c r="H4045" s="0" t="s">
        <v>153</v>
      </c>
      <c r="I4045" s="0" t="s">
        <v>41</v>
      </c>
      <c r="J4045" s="0" t="s">
        <v>42</v>
      </c>
      <c r="K4045" s="0" t="s">
        <v>48</v>
      </c>
      <c r="L4045" s="0" t="s">
        <v>49</v>
      </c>
      <c r="M4045" s="0" t="s">
        <v>140</v>
      </c>
      <c r="N4045" s="0" t="n">
        <v>1317</v>
      </c>
      <c r="O4045" s="10" t="n">
        <v>0.677407132461667</v>
      </c>
      <c r="P4045" s="10" t="n">
        <v>0.831597982207313</v>
      </c>
      <c r="Q4045" s="0" t="str">
        <f aca="false">SUBSTITUTE(SUBSTITUTE($I4045,CHAR(61),""),CHAR(34),"")</f>
        <v>25-34</v>
      </c>
      <c r="R4045" s="0" t="str">
        <f aca="false">IF($D4045&lt;&gt;"","["&amp;$E4045&amp;"]"&amp;"|"&amp;$Q4045&amp;"|"&amp;$K4045&amp;"|"&amp;$G4045&amp;"|"&amp;IF($G4045="TX_CURR_SUBNAT.R","CY2022Q4",$M4045),"")</f>
        <v>[TYnMSwzko3z]|25-34|Male|NEW_INFECTIONS_SUBNAT.T_1|CY2023Q3</v>
      </c>
    </row>
    <row r="4046" customFormat="false" ht="15" hidden="false" customHeight="false" outlineLevel="0" collapsed="false">
      <c r="D4046" s="0" t="s">
        <v>78</v>
      </c>
      <c r="E4046" s="0" t="s">
        <v>79</v>
      </c>
      <c r="F4046" s="0" t="s">
        <v>80</v>
      </c>
      <c r="G4046" s="0" t="s">
        <v>153</v>
      </c>
      <c r="H4046" s="0" t="s">
        <v>153</v>
      </c>
      <c r="I4046" s="0" t="s">
        <v>43</v>
      </c>
      <c r="J4046" s="0" t="s">
        <v>44</v>
      </c>
      <c r="K4046" s="0" t="s">
        <v>48</v>
      </c>
      <c r="L4046" s="0" t="s">
        <v>49</v>
      </c>
      <c r="M4046" s="0" t="s">
        <v>140</v>
      </c>
      <c r="N4046" s="0" t="n">
        <v>1716</v>
      </c>
      <c r="O4046" s="10" t="n">
        <v>0.978923964314163</v>
      </c>
      <c r="P4046" s="10" t="n">
        <v>0.831597982207313</v>
      </c>
      <c r="Q4046" s="0" t="str">
        <f aca="false">SUBSTITUTE(SUBSTITUTE($I4046,CHAR(61),""),CHAR(34),"")</f>
        <v>35-49</v>
      </c>
      <c r="R4046" s="0" t="str">
        <f aca="false">IF($D4046&lt;&gt;"","["&amp;$E4046&amp;"]"&amp;"|"&amp;$Q4046&amp;"|"&amp;$K4046&amp;"|"&amp;$G4046&amp;"|"&amp;IF($G4046="TX_CURR_SUBNAT.R","CY2022Q4",$M4046),"")</f>
        <v>[TYnMSwzko3z]|35-49|Male|NEW_INFECTIONS_SUBNAT.T_1|CY2023Q3</v>
      </c>
    </row>
    <row r="4047" customFormat="false" ht="15" hidden="false" customHeight="false" outlineLevel="0" collapsed="false">
      <c r="D4047" s="0" t="s">
        <v>78</v>
      </c>
      <c r="E4047" s="0" t="s">
        <v>79</v>
      </c>
      <c r="F4047" s="0" t="s">
        <v>80</v>
      </c>
      <c r="G4047" s="0" t="s">
        <v>153</v>
      </c>
      <c r="H4047" s="0" t="s">
        <v>153</v>
      </c>
      <c r="I4047" s="0" t="s">
        <v>45</v>
      </c>
      <c r="J4047" s="0" t="s">
        <v>46</v>
      </c>
      <c r="K4047" s="0" t="s">
        <v>48</v>
      </c>
      <c r="L4047" s="0" t="s">
        <v>49</v>
      </c>
      <c r="M4047" s="0" t="s">
        <v>140</v>
      </c>
      <c r="N4047" s="0" t="n">
        <v>1771</v>
      </c>
      <c r="O4047" s="10" t="n">
        <v>0.274403173243627</v>
      </c>
      <c r="P4047" s="10" t="n">
        <v>0.831597982207313</v>
      </c>
      <c r="Q4047" s="0" t="str">
        <f aca="false">SUBSTITUTE(SUBSTITUTE($I4047,CHAR(61),""),CHAR(34),"")</f>
        <v>50+</v>
      </c>
      <c r="R4047" s="0" t="str">
        <f aca="false">IF($D4047&lt;&gt;"","["&amp;$E4047&amp;"]"&amp;"|"&amp;$Q4047&amp;"|"&amp;$K4047&amp;"|"&amp;$G4047&amp;"|"&amp;IF($G4047="TX_CURR_SUBNAT.R","CY2022Q4",$M4047),"")</f>
        <v>[TYnMSwzko3z]|50+|Male|NEW_INFECTIONS_SUBNAT.T_1|CY2023Q3</v>
      </c>
    </row>
    <row r="4048" customFormat="false" ht="15" hidden="false" customHeight="false" outlineLevel="0" collapsed="false">
      <c r="D4048" s="0" t="s">
        <v>81</v>
      </c>
      <c r="E4048" s="0" t="s">
        <v>82</v>
      </c>
      <c r="F4048" s="0" t="s">
        <v>83</v>
      </c>
      <c r="G4048" s="0" t="s">
        <v>153</v>
      </c>
      <c r="H4048" s="0" t="s">
        <v>153</v>
      </c>
      <c r="I4048" s="0" t="s">
        <v>28</v>
      </c>
      <c r="J4048" s="0" t="s">
        <v>29</v>
      </c>
      <c r="K4048" s="0" t="s">
        <v>30</v>
      </c>
      <c r="L4048" s="0" t="s">
        <v>31</v>
      </c>
      <c r="M4048" s="0" t="s">
        <v>140</v>
      </c>
      <c r="N4048" s="0" t="n">
        <v>968</v>
      </c>
      <c r="O4048" s="10" t="n">
        <v>0.36333097750321</v>
      </c>
      <c r="P4048" s="10" t="n">
        <v>0.143331421539187</v>
      </c>
      <c r="Q4048" s="0" t="str">
        <f aca="false">SUBSTITUTE(SUBSTITUTE($I4048,CHAR(61),""),CHAR(34),"")</f>
        <v>&lt;01</v>
      </c>
      <c r="R4048" s="0" t="str">
        <f aca="false">IF($D4048&lt;&gt;"","["&amp;$E4048&amp;"]"&amp;"|"&amp;$Q4048&amp;"|"&amp;$K4048&amp;"|"&amp;$G4048&amp;"|"&amp;IF($G4048="TX_CURR_SUBNAT.R","CY2022Q4",$M4048),"")</f>
        <v>[ir8wuHHzoSs]|&lt;01|Female|NEW_INFECTIONS_SUBNAT.T_1|CY2023Q3</v>
      </c>
    </row>
    <row r="4049" customFormat="false" ht="15" hidden="false" customHeight="false" outlineLevel="0" collapsed="false">
      <c r="D4049" s="0" t="s">
        <v>81</v>
      </c>
      <c r="E4049" s="0" t="s">
        <v>82</v>
      </c>
      <c r="F4049" s="0" t="s">
        <v>83</v>
      </c>
      <c r="G4049" s="0" t="s">
        <v>153</v>
      </c>
      <c r="H4049" s="0" t="s">
        <v>153</v>
      </c>
      <c r="I4049" s="0" t="s">
        <v>33</v>
      </c>
      <c r="J4049" s="0" t="s">
        <v>34</v>
      </c>
      <c r="K4049" s="0" t="s">
        <v>30</v>
      </c>
      <c r="L4049" s="0" t="s">
        <v>31</v>
      </c>
      <c r="M4049" s="0" t="s">
        <v>140</v>
      </c>
      <c r="N4049" s="0" t="n">
        <v>1814</v>
      </c>
      <c r="O4049" s="10" t="n">
        <v>0.792004152666777</v>
      </c>
      <c r="P4049" s="10" t="n">
        <v>0.143331421539187</v>
      </c>
      <c r="Q4049" s="0" t="str">
        <f aca="false">SUBSTITUTE(SUBSTITUTE($I4049,CHAR(61),""),CHAR(34),"")</f>
        <v>01-09</v>
      </c>
      <c r="R4049" s="0" t="str">
        <f aca="false">IF($D4049&lt;&gt;"","["&amp;$E4049&amp;"]"&amp;"|"&amp;$Q4049&amp;"|"&amp;$K4049&amp;"|"&amp;$G4049&amp;"|"&amp;IF($G4049="TX_CURR_SUBNAT.R","CY2022Q4",$M4049),"")</f>
        <v>[ir8wuHHzoSs]|01-09|Female|NEW_INFECTIONS_SUBNAT.T_1|CY2023Q3</v>
      </c>
    </row>
    <row r="4050" customFormat="false" ht="15" hidden="false" customHeight="false" outlineLevel="0" collapsed="false">
      <c r="D4050" s="0" t="s">
        <v>81</v>
      </c>
      <c r="E4050" s="0" t="s">
        <v>82</v>
      </c>
      <c r="F4050" s="0" t="s">
        <v>83</v>
      </c>
      <c r="G4050" s="0" t="s">
        <v>153</v>
      </c>
      <c r="H4050" s="0" t="s">
        <v>153</v>
      </c>
      <c r="I4050" s="0" t="s">
        <v>36</v>
      </c>
      <c r="J4050" s="0" t="s">
        <v>37</v>
      </c>
      <c r="K4050" s="0" t="s">
        <v>30</v>
      </c>
      <c r="L4050" s="0" t="s">
        <v>31</v>
      </c>
      <c r="M4050" s="0" t="s">
        <v>140</v>
      </c>
      <c r="N4050" s="0" t="n">
        <v>698</v>
      </c>
      <c r="O4050" s="10" t="n">
        <v>0.803156935842708</v>
      </c>
      <c r="P4050" s="10" t="n">
        <v>0.143331421539187</v>
      </c>
      <c r="Q4050" s="0" t="str">
        <f aca="false">SUBSTITUTE(SUBSTITUTE($I4050,CHAR(61),""),CHAR(34),"")</f>
        <v>10-14</v>
      </c>
      <c r="R4050" s="0" t="str">
        <f aca="false">IF($D4050&lt;&gt;"","["&amp;$E4050&amp;"]"&amp;"|"&amp;$Q4050&amp;"|"&amp;$K4050&amp;"|"&amp;$G4050&amp;"|"&amp;IF($G4050="TX_CURR_SUBNAT.R","CY2022Q4",$M4050),"")</f>
        <v>[ir8wuHHzoSs]|10-14|Female|NEW_INFECTIONS_SUBNAT.T_1|CY2023Q3</v>
      </c>
    </row>
    <row r="4051" customFormat="false" ht="15" hidden="false" customHeight="false" outlineLevel="0" collapsed="false">
      <c r="D4051" s="0" t="s">
        <v>81</v>
      </c>
      <c r="E4051" s="0" t="s">
        <v>82</v>
      </c>
      <c r="F4051" s="0" t="s">
        <v>83</v>
      </c>
      <c r="G4051" s="0" t="s">
        <v>153</v>
      </c>
      <c r="H4051" s="0" t="s">
        <v>153</v>
      </c>
      <c r="I4051" s="0" t="s">
        <v>38</v>
      </c>
      <c r="J4051" s="0" t="s">
        <v>39</v>
      </c>
      <c r="K4051" s="0" t="s">
        <v>30</v>
      </c>
      <c r="L4051" s="0" t="s">
        <v>31</v>
      </c>
      <c r="M4051" s="0" t="s">
        <v>140</v>
      </c>
      <c r="N4051" s="0" t="n">
        <v>1752</v>
      </c>
      <c r="O4051" s="10" t="n">
        <v>0.0605882706586272</v>
      </c>
      <c r="P4051" s="10" t="n">
        <v>0.143331421539187</v>
      </c>
      <c r="Q4051" s="0" t="str">
        <f aca="false">SUBSTITUTE(SUBSTITUTE($I4051,CHAR(61),""),CHAR(34),"")</f>
        <v>15-24</v>
      </c>
      <c r="R4051" s="0" t="str">
        <f aca="false">IF($D4051&lt;&gt;"","["&amp;$E4051&amp;"]"&amp;"|"&amp;$Q4051&amp;"|"&amp;$K4051&amp;"|"&amp;$G4051&amp;"|"&amp;IF($G4051="TX_CURR_SUBNAT.R","CY2022Q4",$M4051),"")</f>
        <v>[ir8wuHHzoSs]|15-24|Female|NEW_INFECTIONS_SUBNAT.T_1|CY2023Q3</v>
      </c>
    </row>
    <row r="4052" customFormat="false" ht="15" hidden="false" customHeight="false" outlineLevel="0" collapsed="false">
      <c r="D4052" s="0" t="s">
        <v>81</v>
      </c>
      <c r="E4052" s="0" t="s">
        <v>82</v>
      </c>
      <c r="F4052" s="0" t="s">
        <v>83</v>
      </c>
      <c r="G4052" s="0" t="s">
        <v>153</v>
      </c>
      <c r="H4052" s="0" t="s">
        <v>153</v>
      </c>
      <c r="I4052" s="0" t="s">
        <v>41</v>
      </c>
      <c r="J4052" s="0" t="s">
        <v>42</v>
      </c>
      <c r="K4052" s="0" t="s">
        <v>30</v>
      </c>
      <c r="L4052" s="0" t="s">
        <v>31</v>
      </c>
      <c r="M4052" s="0" t="s">
        <v>140</v>
      </c>
      <c r="N4052" s="0" t="n">
        <v>1014</v>
      </c>
      <c r="O4052" s="10" t="n">
        <v>0.18470015656203</v>
      </c>
      <c r="P4052" s="10" t="n">
        <v>0.143331421539187</v>
      </c>
      <c r="Q4052" s="0" t="str">
        <f aca="false">SUBSTITUTE(SUBSTITUTE($I4052,CHAR(61),""),CHAR(34),"")</f>
        <v>25-34</v>
      </c>
      <c r="R4052" s="0" t="str">
        <f aca="false">IF($D4052&lt;&gt;"","["&amp;$E4052&amp;"]"&amp;"|"&amp;$Q4052&amp;"|"&amp;$K4052&amp;"|"&amp;$G4052&amp;"|"&amp;IF($G4052="TX_CURR_SUBNAT.R","CY2022Q4",$M4052),"")</f>
        <v>[ir8wuHHzoSs]|25-34|Female|NEW_INFECTIONS_SUBNAT.T_1|CY2023Q3</v>
      </c>
    </row>
    <row r="4053" customFormat="false" ht="15" hidden="false" customHeight="false" outlineLevel="0" collapsed="false">
      <c r="D4053" s="0" t="s">
        <v>81</v>
      </c>
      <c r="E4053" s="0" t="s">
        <v>82</v>
      </c>
      <c r="F4053" s="0" t="s">
        <v>83</v>
      </c>
      <c r="G4053" s="0" t="s">
        <v>153</v>
      </c>
      <c r="H4053" s="0" t="s">
        <v>153</v>
      </c>
      <c r="I4053" s="0" t="s">
        <v>43</v>
      </c>
      <c r="J4053" s="0" t="s">
        <v>44</v>
      </c>
      <c r="K4053" s="0" t="s">
        <v>30</v>
      </c>
      <c r="L4053" s="0" t="s">
        <v>31</v>
      </c>
      <c r="M4053" s="0" t="s">
        <v>140</v>
      </c>
      <c r="N4053" s="0" t="n">
        <v>802</v>
      </c>
      <c r="O4053" s="10" t="n">
        <v>0.275050164200366</v>
      </c>
      <c r="P4053" s="10" t="n">
        <v>0.143331421539187</v>
      </c>
      <c r="Q4053" s="0" t="str">
        <f aca="false">SUBSTITUTE(SUBSTITUTE($I4053,CHAR(61),""),CHAR(34),"")</f>
        <v>35-49</v>
      </c>
      <c r="R4053" s="0" t="str">
        <f aca="false">IF($D4053&lt;&gt;"","["&amp;$E4053&amp;"]"&amp;"|"&amp;$Q4053&amp;"|"&amp;$K4053&amp;"|"&amp;$G4053&amp;"|"&amp;IF($G4053="TX_CURR_SUBNAT.R","CY2022Q4",$M4053),"")</f>
        <v>[ir8wuHHzoSs]|35-49|Female|NEW_INFECTIONS_SUBNAT.T_1|CY2023Q3</v>
      </c>
    </row>
    <row r="4054" customFormat="false" ht="15" hidden="false" customHeight="false" outlineLevel="0" collapsed="false">
      <c r="D4054" s="0" t="s">
        <v>81</v>
      </c>
      <c r="E4054" s="0" t="s">
        <v>82</v>
      </c>
      <c r="F4054" s="0" t="s">
        <v>83</v>
      </c>
      <c r="G4054" s="0" t="s">
        <v>153</v>
      </c>
      <c r="H4054" s="0" t="s">
        <v>153</v>
      </c>
      <c r="I4054" s="0" t="s">
        <v>45</v>
      </c>
      <c r="J4054" s="0" t="s">
        <v>46</v>
      </c>
      <c r="K4054" s="0" t="s">
        <v>30</v>
      </c>
      <c r="L4054" s="0" t="s">
        <v>31</v>
      </c>
      <c r="M4054" s="0" t="s">
        <v>140</v>
      </c>
      <c r="N4054" s="0" t="n">
        <v>849</v>
      </c>
      <c r="O4054" s="10" t="n">
        <v>0.417717181378976</v>
      </c>
      <c r="P4054" s="10" t="n">
        <v>0.143331421539187</v>
      </c>
      <c r="Q4054" s="0" t="str">
        <f aca="false">SUBSTITUTE(SUBSTITUTE($I4054,CHAR(61),""),CHAR(34),"")</f>
        <v>50+</v>
      </c>
      <c r="R4054" s="0" t="str">
        <f aca="false">IF($D4054&lt;&gt;"","["&amp;$E4054&amp;"]"&amp;"|"&amp;$Q4054&amp;"|"&amp;$K4054&amp;"|"&amp;$G4054&amp;"|"&amp;IF($G4054="TX_CURR_SUBNAT.R","CY2022Q4",$M4054),"")</f>
        <v>[ir8wuHHzoSs]|50+|Female|NEW_INFECTIONS_SUBNAT.T_1|CY2023Q3</v>
      </c>
    </row>
    <row r="4055" customFormat="false" ht="15" hidden="false" customHeight="false" outlineLevel="0" collapsed="false">
      <c r="D4055" s="0" t="s">
        <v>81</v>
      </c>
      <c r="E4055" s="0" t="s">
        <v>82</v>
      </c>
      <c r="F4055" s="0" t="s">
        <v>83</v>
      </c>
      <c r="G4055" s="0" t="s">
        <v>153</v>
      </c>
      <c r="H4055" s="0" t="s">
        <v>153</v>
      </c>
      <c r="I4055" s="0" t="s">
        <v>28</v>
      </c>
      <c r="J4055" s="0" t="s">
        <v>29</v>
      </c>
      <c r="K4055" s="0" t="s">
        <v>48</v>
      </c>
      <c r="L4055" s="0" t="s">
        <v>49</v>
      </c>
      <c r="M4055" s="0" t="s">
        <v>140</v>
      </c>
      <c r="N4055" s="0" t="n">
        <v>1108</v>
      </c>
      <c r="O4055" s="10" t="n">
        <v>0.58282815059647</v>
      </c>
      <c r="P4055" s="10" t="n">
        <v>0.143331421539187</v>
      </c>
      <c r="Q4055" s="0" t="str">
        <f aca="false">SUBSTITUTE(SUBSTITUTE($I4055,CHAR(61),""),CHAR(34),"")</f>
        <v>&lt;01</v>
      </c>
      <c r="R4055" s="0" t="str">
        <f aca="false">IF($D4055&lt;&gt;"","["&amp;$E4055&amp;"]"&amp;"|"&amp;$Q4055&amp;"|"&amp;$K4055&amp;"|"&amp;$G4055&amp;"|"&amp;IF($G4055="TX_CURR_SUBNAT.R","CY2022Q4",$M4055),"")</f>
        <v>[ir8wuHHzoSs]|&lt;01|Male|NEW_INFECTIONS_SUBNAT.T_1|CY2023Q3</v>
      </c>
    </row>
    <row r="4056" customFormat="false" ht="15" hidden="false" customHeight="false" outlineLevel="0" collapsed="false">
      <c r="D4056" s="0" t="s">
        <v>81</v>
      </c>
      <c r="E4056" s="0" t="s">
        <v>82</v>
      </c>
      <c r="F4056" s="0" t="s">
        <v>83</v>
      </c>
      <c r="G4056" s="0" t="s">
        <v>153</v>
      </c>
      <c r="H4056" s="0" t="s">
        <v>153</v>
      </c>
      <c r="I4056" s="0" t="s">
        <v>33</v>
      </c>
      <c r="J4056" s="0" t="s">
        <v>34</v>
      </c>
      <c r="K4056" s="0" t="s">
        <v>48</v>
      </c>
      <c r="L4056" s="0" t="s">
        <v>49</v>
      </c>
      <c r="M4056" s="0" t="s">
        <v>140</v>
      </c>
      <c r="N4056" s="0" t="n">
        <v>602</v>
      </c>
      <c r="O4056" s="10" t="n">
        <v>0.392260543769225</v>
      </c>
      <c r="P4056" s="10" t="n">
        <v>0.143331421539187</v>
      </c>
      <c r="Q4056" s="0" t="str">
        <f aca="false">SUBSTITUTE(SUBSTITUTE($I4056,CHAR(61),""),CHAR(34),"")</f>
        <v>01-09</v>
      </c>
      <c r="R4056" s="0" t="str">
        <f aca="false">IF($D4056&lt;&gt;"","["&amp;$E4056&amp;"]"&amp;"|"&amp;$Q4056&amp;"|"&amp;$K4056&amp;"|"&amp;$G4056&amp;"|"&amp;IF($G4056="TX_CURR_SUBNAT.R","CY2022Q4",$M4056),"")</f>
        <v>[ir8wuHHzoSs]|01-09|Male|NEW_INFECTIONS_SUBNAT.T_1|CY2023Q3</v>
      </c>
    </row>
    <row r="4057" customFormat="false" ht="15" hidden="false" customHeight="false" outlineLevel="0" collapsed="false">
      <c r="D4057" s="0" t="s">
        <v>81</v>
      </c>
      <c r="E4057" s="0" t="s">
        <v>82</v>
      </c>
      <c r="F4057" s="0" t="s">
        <v>83</v>
      </c>
      <c r="G4057" s="0" t="s">
        <v>153</v>
      </c>
      <c r="H4057" s="0" t="s">
        <v>153</v>
      </c>
      <c r="I4057" s="0" t="s">
        <v>36</v>
      </c>
      <c r="J4057" s="0" t="s">
        <v>37</v>
      </c>
      <c r="K4057" s="0" t="s">
        <v>48</v>
      </c>
      <c r="L4057" s="0" t="s">
        <v>49</v>
      </c>
      <c r="M4057" s="0" t="s">
        <v>140</v>
      </c>
      <c r="N4057" s="0" t="n">
        <v>1792</v>
      </c>
      <c r="O4057" s="10" t="n">
        <v>0.269028439885005</v>
      </c>
      <c r="P4057" s="10" t="n">
        <v>0.143331421539187</v>
      </c>
      <c r="Q4057" s="0" t="str">
        <f aca="false">SUBSTITUTE(SUBSTITUTE($I4057,CHAR(61),""),CHAR(34),"")</f>
        <v>10-14</v>
      </c>
      <c r="R4057" s="0" t="str">
        <f aca="false">IF($D4057&lt;&gt;"","["&amp;$E4057&amp;"]"&amp;"|"&amp;$Q4057&amp;"|"&amp;$K4057&amp;"|"&amp;$G4057&amp;"|"&amp;IF($G4057="TX_CURR_SUBNAT.R","CY2022Q4",$M4057),"")</f>
        <v>[ir8wuHHzoSs]|10-14|Male|NEW_INFECTIONS_SUBNAT.T_1|CY2023Q3</v>
      </c>
    </row>
    <row r="4058" customFormat="false" ht="15" hidden="false" customHeight="false" outlineLevel="0" collapsed="false">
      <c r="D4058" s="0" t="s">
        <v>81</v>
      </c>
      <c r="E4058" s="0" t="s">
        <v>82</v>
      </c>
      <c r="F4058" s="0" t="s">
        <v>83</v>
      </c>
      <c r="G4058" s="0" t="s">
        <v>153</v>
      </c>
      <c r="H4058" s="0" t="s">
        <v>153</v>
      </c>
      <c r="I4058" s="0" t="s">
        <v>38</v>
      </c>
      <c r="J4058" s="0" t="s">
        <v>39</v>
      </c>
      <c r="K4058" s="0" t="s">
        <v>48</v>
      </c>
      <c r="L4058" s="0" t="s">
        <v>49</v>
      </c>
      <c r="M4058" s="0" t="s">
        <v>140</v>
      </c>
      <c r="N4058" s="0" t="n">
        <v>1703</v>
      </c>
      <c r="O4058" s="10" t="n">
        <v>0.4089293431025</v>
      </c>
      <c r="P4058" s="10" t="n">
        <v>0.143331421539187</v>
      </c>
      <c r="Q4058" s="0" t="str">
        <f aca="false">SUBSTITUTE(SUBSTITUTE($I4058,CHAR(61),""),CHAR(34),"")</f>
        <v>15-24</v>
      </c>
      <c r="R4058" s="0" t="str">
        <f aca="false">IF($D4058&lt;&gt;"","["&amp;$E4058&amp;"]"&amp;"|"&amp;$Q4058&amp;"|"&amp;$K4058&amp;"|"&amp;$G4058&amp;"|"&amp;IF($G4058="TX_CURR_SUBNAT.R","CY2022Q4",$M4058),"")</f>
        <v>[ir8wuHHzoSs]|15-24|Male|NEW_INFECTIONS_SUBNAT.T_1|CY2023Q3</v>
      </c>
    </row>
    <row r="4059" customFormat="false" ht="15" hidden="false" customHeight="false" outlineLevel="0" collapsed="false">
      <c r="D4059" s="0" t="s">
        <v>81</v>
      </c>
      <c r="E4059" s="0" t="s">
        <v>82</v>
      </c>
      <c r="F4059" s="0" t="s">
        <v>83</v>
      </c>
      <c r="G4059" s="0" t="s">
        <v>153</v>
      </c>
      <c r="H4059" s="0" t="s">
        <v>153</v>
      </c>
      <c r="I4059" s="0" t="s">
        <v>41</v>
      </c>
      <c r="J4059" s="0" t="s">
        <v>42</v>
      </c>
      <c r="K4059" s="0" t="s">
        <v>48</v>
      </c>
      <c r="L4059" s="0" t="s">
        <v>49</v>
      </c>
      <c r="M4059" s="0" t="s">
        <v>140</v>
      </c>
      <c r="N4059" s="0" t="n">
        <v>1379</v>
      </c>
      <c r="O4059" s="10" t="n">
        <v>0.270094557665288</v>
      </c>
      <c r="P4059" s="10" t="n">
        <v>0.143331421539187</v>
      </c>
      <c r="Q4059" s="0" t="str">
        <f aca="false">SUBSTITUTE(SUBSTITUTE($I4059,CHAR(61),""),CHAR(34),"")</f>
        <v>25-34</v>
      </c>
      <c r="R4059" s="0" t="str">
        <f aca="false">IF($D4059&lt;&gt;"","["&amp;$E4059&amp;"]"&amp;"|"&amp;$Q4059&amp;"|"&amp;$K4059&amp;"|"&amp;$G4059&amp;"|"&amp;IF($G4059="TX_CURR_SUBNAT.R","CY2022Q4",$M4059),"")</f>
        <v>[ir8wuHHzoSs]|25-34|Male|NEW_INFECTIONS_SUBNAT.T_1|CY2023Q3</v>
      </c>
    </row>
    <row r="4060" customFormat="false" ht="15" hidden="false" customHeight="false" outlineLevel="0" collapsed="false">
      <c r="D4060" s="0" t="s">
        <v>81</v>
      </c>
      <c r="E4060" s="0" t="s">
        <v>82</v>
      </c>
      <c r="F4060" s="0" t="s">
        <v>83</v>
      </c>
      <c r="G4060" s="0" t="s">
        <v>153</v>
      </c>
      <c r="H4060" s="0" t="s">
        <v>153</v>
      </c>
      <c r="I4060" s="0" t="s">
        <v>43</v>
      </c>
      <c r="J4060" s="0" t="s">
        <v>44</v>
      </c>
      <c r="K4060" s="0" t="s">
        <v>48</v>
      </c>
      <c r="L4060" s="0" t="s">
        <v>49</v>
      </c>
      <c r="M4060" s="0" t="s">
        <v>140</v>
      </c>
      <c r="N4060" s="0" t="n">
        <v>536</v>
      </c>
      <c r="O4060" s="10" t="n">
        <v>0.109313149470836</v>
      </c>
      <c r="P4060" s="10" t="n">
        <v>0.143331421539187</v>
      </c>
      <c r="Q4060" s="0" t="str">
        <f aca="false">SUBSTITUTE(SUBSTITUTE($I4060,CHAR(61),""),CHAR(34),"")</f>
        <v>35-49</v>
      </c>
      <c r="R4060" s="0" t="str">
        <f aca="false">IF($D4060&lt;&gt;"","["&amp;$E4060&amp;"]"&amp;"|"&amp;$Q4060&amp;"|"&amp;$K4060&amp;"|"&amp;$G4060&amp;"|"&amp;IF($G4060="TX_CURR_SUBNAT.R","CY2022Q4",$M4060),"")</f>
        <v>[ir8wuHHzoSs]|35-49|Male|NEW_INFECTIONS_SUBNAT.T_1|CY2023Q3</v>
      </c>
    </row>
    <row r="4061" customFormat="false" ht="15" hidden="false" customHeight="false" outlineLevel="0" collapsed="false">
      <c r="D4061" s="0" t="s">
        <v>81</v>
      </c>
      <c r="E4061" s="0" t="s">
        <v>82</v>
      </c>
      <c r="F4061" s="0" t="s">
        <v>83</v>
      </c>
      <c r="G4061" s="0" t="s">
        <v>153</v>
      </c>
      <c r="H4061" s="0" t="s">
        <v>153</v>
      </c>
      <c r="I4061" s="0" t="s">
        <v>45</v>
      </c>
      <c r="J4061" s="0" t="s">
        <v>46</v>
      </c>
      <c r="K4061" s="0" t="s">
        <v>48</v>
      </c>
      <c r="L4061" s="0" t="s">
        <v>49</v>
      </c>
      <c r="M4061" s="0" t="s">
        <v>140</v>
      </c>
      <c r="N4061" s="0" t="n">
        <v>1349</v>
      </c>
      <c r="O4061" s="10" t="n">
        <v>0.199859462212771</v>
      </c>
      <c r="P4061" s="10" t="n">
        <v>0.143331421539187</v>
      </c>
      <c r="Q4061" s="0" t="str">
        <f aca="false">SUBSTITUTE(SUBSTITUTE($I4061,CHAR(61),""),CHAR(34),"")</f>
        <v>50+</v>
      </c>
      <c r="R4061" s="0" t="str">
        <f aca="false">IF($D4061&lt;&gt;"","["&amp;$E4061&amp;"]"&amp;"|"&amp;$Q4061&amp;"|"&amp;$K4061&amp;"|"&amp;$G4061&amp;"|"&amp;IF($G4061="TX_CURR_SUBNAT.R","CY2022Q4",$M4061),"")</f>
        <v>[ir8wuHHzoSs]|50+|Male|NEW_INFECTIONS_SUBNAT.T_1|CY2023Q3</v>
      </c>
    </row>
    <row r="4062" customFormat="false" ht="15" hidden="false" customHeight="false" outlineLevel="0" collapsed="false">
      <c r="D4062" s="0" t="s">
        <v>84</v>
      </c>
      <c r="E4062" s="0" t="s">
        <v>85</v>
      </c>
      <c r="F4062" s="0" t="s">
        <v>86</v>
      </c>
      <c r="G4062" s="0" t="s">
        <v>153</v>
      </c>
      <c r="H4062" s="0" t="s">
        <v>153</v>
      </c>
      <c r="I4062" s="0" t="s">
        <v>28</v>
      </c>
      <c r="J4062" s="0" t="s">
        <v>29</v>
      </c>
      <c r="K4062" s="0" t="s">
        <v>30</v>
      </c>
      <c r="L4062" s="0" t="s">
        <v>31</v>
      </c>
      <c r="M4062" s="0" t="s">
        <v>140</v>
      </c>
      <c r="N4062" s="0" t="n">
        <v>1726</v>
      </c>
      <c r="O4062" s="10" t="n">
        <v>0.720604614587501</v>
      </c>
      <c r="P4062" s="10" t="n">
        <v>0.0297887143678963</v>
      </c>
      <c r="Q4062" s="0" t="str">
        <f aca="false">SUBSTITUTE(SUBSTITUTE($I4062,CHAR(61),""),CHAR(34),"")</f>
        <v>&lt;01</v>
      </c>
      <c r="R4062" s="0" t="str">
        <f aca="false">IF($D4062&lt;&gt;"","["&amp;$E4062&amp;"]"&amp;"|"&amp;$Q4062&amp;"|"&amp;$K4062&amp;"|"&amp;$G4062&amp;"|"&amp;IF($G4062="TX_CURR_SUBNAT.R","CY2022Q4",$M4062),"")</f>
        <v>[fyEoGEPERdI]|&lt;01|Female|NEW_INFECTIONS_SUBNAT.T_1|CY2023Q3</v>
      </c>
    </row>
    <row r="4063" customFormat="false" ht="15" hidden="false" customHeight="false" outlineLevel="0" collapsed="false">
      <c r="D4063" s="0" t="s">
        <v>84</v>
      </c>
      <c r="E4063" s="0" t="s">
        <v>85</v>
      </c>
      <c r="F4063" s="0" t="s">
        <v>86</v>
      </c>
      <c r="G4063" s="0" t="s">
        <v>153</v>
      </c>
      <c r="H4063" s="0" t="s">
        <v>153</v>
      </c>
      <c r="I4063" s="0" t="s">
        <v>33</v>
      </c>
      <c r="J4063" s="0" t="s">
        <v>34</v>
      </c>
      <c r="K4063" s="0" t="s">
        <v>30</v>
      </c>
      <c r="L4063" s="0" t="s">
        <v>31</v>
      </c>
      <c r="M4063" s="0" t="s">
        <v>140</v>
      </c>
      <c r="N4063" s="0" t="n">
        <v>1183</v>
      </c>
      <c r="O4063" s="10" t="n">
        <v>0.123526179930195</v>
      </c>
      <c r="P4063" s="10" t="n">
        <v>0.0297887143678963</v>
      </c>
      <c r="Q4063" s="0" t="str">
        <f aca="false">SUBSTITUTE(SUBSTITUTE($I4063,CHAR(61),""),CHAR(34),"")</f>
        <v>01-09</v>
      </c>
      <c r="R4063" s="0" t="str">
        <f aca="false">IF($D4063&lt;&gt;"","["&amp;$E4063&amp;"]"&amp;"|"&amp;$Q4063&amp;"|"&amp;$K4063&amp;"|"&amp;$G4063&amp;"|"&amp;IF($G4063="TX_CURR_SUBNAT.R","CY2022Q4",$M4063),"")</f>
        <v>[fyEoGEPERdI]|01-09|Female|NEW_INFECTIONS_SUBNAT.T_1|CY2023Q3</v>
      </c>
    </row>
    <row r="4064" customFormat="false" ht="15" hidden="false" customHeight="false" outlineLevel="0" collapsed="false">
      <c r="D4064" s="0" t="s">
        <v>84</v>
      </c>
      <c r="E4064" s="0" t="s">
        <v>85</v>
      </c>
      <c r="F4064" s="0" t="s">
        <v>86</v>
      </c>
      <c r="G4064" s="0" t="s">
        <v>153</v>
      </c>
      <c r="H4064" s="0" t="s">
        <v>153</v>
      </c>
      <c r="I4064" s="0" t="s">
        <v>36</v>
      </c>
      <c r="J4064" s="0" t="s">
        <v>37</v>
      </c>
      <c r="K4064" s="0" t="s">
        <v>30</v>
      </c>
      <c r="L4064" s="0" t="s">
        <v>31</v>
      </c>
      <c r="M4064" s="0" t="s">
        <v>140</v>
      </c>
      <c r="N4064" s="0" t="n">
        <v>1694</v>
      </c>
      <c r="O4064" s="10" t="n">
        <v>0.108122819801793</v>
      </c>
      <c r="P4064" s="10" t="n">
        <v>0.0297887143678963</v>
      </c>
      <c r="Q4064" s="0" t="str">
        <f aca="false">SUBSTITUTE(SUBSTITUTE($I4064,CHAR(61),""),CHAR(34),"")</f>
        <v>10-14</v>
      </c>
      <c r="R4064" s="0" t="str">
        <f aca="false">IF($D4064&lt;&gt;"","["&amp;$E4064&amp;"]"&amp;"|"&amp;$Q4064&amp;"|"&amp;$K4064&amp;"|"&amp;$G4064&amp;"|"&amp;IF($G4064="TX_CURR_SUBNAT.R","CY2022Q4",$M4064),"")</f>
        <v>[fyEoGEPERdI]|10-14|Female|NEW_INFECTIONS_SUBNAT.T_1|CY2023Q3</v>
      </c>
    </row>
    <row r="4065" customFormat="false" ht="15" hidden="false" customHeight="false" outlineLevel="0" collapsed="false">
      <c r="D4065" s="0" t="s">
        <v>84</v>
      </c>
      <c r="E4065" s="0" t="s">
        <v>85</v>
      </c>
      <c r="F4065" s="0" t="s">
        <v>86</v>
      </c>
      <c r="G4065" s="0" t="s">
        <v>153</v>
      </c>
      <c r="H4065" s="0" t="s">
        <v>153</v>
      </c>
      <c r="I4065" s="0" t="s">
        <v>38</v>
      </c>
      <c r="J4065" s="0" t="s">
        <v>39</v>
      </c>
      <c r="K4065" s="0" t="s">
        <v>30</v>
      </c>
      <c r="L4065" s="0" t="s">
        <v>31</v>
      </c>
      <c r="M4065" s="0" t="s">
        <v>140</v>
      </c>
      <c r="N4065" s="0" t="n">
        <v>1117</v>
      </c>
      <c r="O4065" s="10" t="n">
        <v>0.638788134092465</v>
      </c>
      <c r="P4065" s="10" t="n">
        <v>0.0297887143678963</v>
      </c>
      <c r="Q4065" s="0" t="str">
        <f aca="false">SUBSTITUTE(SUBSTITUTE($I4065,CHAR(61),""),CHAR(34),"")</f>
        <v>15-24</v>
      </c>
      <c r="R4065" s="0" t="str">
        <f aca="false">IF($D4065&lt;&gt;"","["&amp;$E4065&amp;"]"&amp;"|"&amp;$Q4065&amp;"|"&amp;$K4065&amp;"|"&amp;$G4065&amp;"|"&amp;IF($G4065="TX_CURR_SUBNAT.R","CY2022Q4",$M4065),"")</f>
        <v>[fyEoGEPERdI]|15-24|Female|NEW_INFECTIONS_SUBNAT.T_1|CY2023Q3</v>
      </c>
    </row>
    <row r="4066" customFormat="false" ht="15" hidden="false" customHeight="false" outlineLevel="0" collapsed="false">
      <c r="D4066" s="0" t="s">
        <v>84</v>
      </c>
      <c r="E4066" s="0" t="s">
        <v>85</v>
      </c>
      <c r="F4066" s="0" t="s">
        <v>86</v>
      </c>
      <c r="G4066" s="0" t="s">
        <v>153</v>
      </c>
      <c r="H4066" s="0" t="s">
        <v>153</v>
      </c>
      <c r="I4066" s="0" t="s">
        <v>41</v>
      </c>
      <c r="J4066" s="0" t="s">
        <v>42</v>
      </c>
      <c r="K4066" s="0" t="s">
        <v>30</v>
      </c>
      <c r="L4066" s="0" t="s">
        <v>31</v>
      </c>
      <c r="M4066" s="0" t="s">
        <v>140</v>
      </c>
      <c r="N4066" s="0" t="n">
        <v>520</v>
      </c>
      <c r="O4066" s="10" t="n">
        <v>0.654122109757736</v>
      </c>
      <c r="P4066" s="10" t="n">
        <v>0.0297887143678963</v>
      </c>
      <c r="Q4066" s="0" t="str">
        <f aca="false">SUBSTITUTE(SUBSTITUTE($I4066,CHAR(61),""),CHAR(34),"")</f>
        <v>25-34</v>
      </c>
      <c r="R4066" s="0" t="str">
        <f aca="false">IF($D4066&lt;&gt;"","["&amp;$E4066&amp;"]"&amp;"|"&amp;$Q4066&amp;"|"&amp;$K4066&amp;"|"&amp;$G4066&amp;"|"&amp;IF($G4066="TX_CURR_SUBNAT.R","CY2022Q4",$M4066),"")</f>
        <v>[fyEoGEPERdI]|25-34|Female|NEW_INFECTIONS_SUBNAT.T_1|CY2023Q3</v>
      </c>
    </row>
    <row r="4067" customFormat="false" ht="15" hidden="false" customHeight="false" outlineLevel="0" collapsed="false">
      <c r="D4067" s="0" t="s">
        <v>84</v>
      </c>
      <c r="E4067" s="0" t="s">
        <v>85</v>
      </c>
      <c r="F4067" s="0" t="s">
        <v>86</v>
      </c>
      <c r="G4067" s="0" t="s">
        <v>153</v>
      </c>
      <c r="H4067" s="0" t="s">
        <v>153</v>
      </c>
      <c r="I4067" s="0" t="s">
        <v>43</v>
      </c>
      <c r="J4067" s="0" t="s">
        <v>44</v>
      </c>
      <c r="K4067" s="0" t="s">
        <v>30</v>
      </c>
      <c r="L4067" s="0" t="s">
        <v>31</v>
      </c>
      <c r="M4067" s="0" t="s">
        <v>140</v>
      </c>
      <c r="N4067" s="0" t="n">
        <v>1649</v>
      </c>
      <c r="O4067" s="10" t="n">
        <v>0.455497626215219</v>
      </c>
      <c r="P4067" s="10" t="n">
        <v>0.0297887143678963</v>
      </c>
      <c r="Q4067" s="0" t="str">
        <f aca="false">SUBSTITUTE(SUBSTITUTE($I4067,CHAR(61),""),CHAR(34),"")</f>
        <v>35-49</v>
      </c>
      <c r="R4067" s="0" t="str">
        <f aca="false">IF($D4067&lt;&gt;"","["&amp;$E4067&amp;"]"&amp;"|"&amp;$Q4067&amp;"|"&amp;$K4067&amp;"|"&amp;$G4067&amp;"|"&amp;IF($G4067="TX_CURR_SUBNAT.R","CY2022Q4",$M4067),"")</f>
        <v>[fyEoGEPERdI]|35-49|Female|NEW_INFECTIONS_SUBNAT.T_1|CY2023Q3</v>
      </c>
    </row>
    <row r="4068" customFormat="false" ht="15" hidden="false" customHeight="false" outlineLevel="0" collapsed="false">
      <c r="D4068" s="0" t="s">
        <v>84</v>
      </c>
      <c r="E4068" s="0" t="s">
        <v>85</v>
      </c>
      <c r="F4068" s="0" t="s">
        <v>86</v>
      </c>
      <c r="G4068" s="0" t="s">
        <v>153</v>
      </c>
      <c r="H4068" s="0" t="s">
        <v>153</v>
      </c>
      <c r="I4068" s="0" t="s">
        <v>45</v>
      </c>
      <c r="J4068" s="0" t="s">
        <v>46</v>
      </c>
      <c r="K4068" s="0" t="s">
        <v>30</v>
      </c>
      <c r="L4068" s="0" t="s">
        <v>31</v>
      </c>
      <c r="M4068" s="0" t="s">
        <v>140</v>
      </c>
      <c r="N4068" s="0" t="n">
        <v>780</v>
      </c>
      <c r="O4068" s="10" t="n">
        <v>0.550284750526771</v>
      </c>
      <c r="P4068" s="10" t="n">
        <v>0.0297887143678963</v>
      </c>
      <c r="Q4068" s="0" t="str">
        <f aca="false">SUBSTITUTE(SUBSTITUTE($I4068,CHAR(61),""),CHAR(34),"")</f>
        <v>50+</v>
      </c>
      <c r="R4068" s="0" t="str">
        <f aca="false">IF($D4068&lt;&gt;"","["&amp;$E4068&amp;"]"&amp;"|"&amp;$Q4068&amp;"|"&amp;$K4068&amp;"|"&amp;$G4068&amp;"|"&amp;IF($G4068="TX_CURR_SUBNAT.R","CY2022Q4",$M4068),"")</f>
        <v>[fyEoGEPERdI]|50+|Female|NEW_INFECTIONS_SUBNAT.T_1|CY2023Q3</v>
      </c>
    </row>
    <row r="4069" customFormat="false" ht="15" hidden="false" customHeight="false" outlineLevel="0" collapsed="false">
      <c r="D4069" s="0" t="s">
        <v>84</v>
      </c>
      <c r="E4069" s="0" t="s">
        <v>85</v>
      </c>
      <c r="F4069" s="0" t="s">
        <v>86</v>
      </c>
      <c r="G4069" s="0" t="s">
        <v>153</v>
      </c>
      <c r="H4069" s="0" t="s">
        <v>153</v>
      </c>
      <c r="I4069" s="0" t="s">
        <v>28</v>
      </c>
      <c r="J4069" s="0" t="s">
        <v>29</v>
      </c>
      <c r="K4069" s="0" t="s">
        <v>48</v>
      </c>
      <c r="L4069" s="0" t="s">
        <v>49</v>
      </c>
      <c r="M4069" s="0" t="s">
        <v>140</v>
      </c>
      <c r="N4069" s="0" t="n">
        <v>870</v>
      </c>
      <c r="O4069" s="10" t="n">
        <v>0.73152878577821</v>
      </c>
      <c r="P4069" s="10" t="n">
        <v>0.0297887143678963</v>
      </c>
      <c r="Q4069" s="0" t="str">
        <f aca="false">SUBSTITUTE(SUBSTITUTE($I4069,CHAR(61),""),CHAR(34),"")</f>
        <v>&lt;01</v>
      </c>
      <c r="R4069" s="0" t="str">
        <f aca="false">IF($D4069&lt;&gt;"","["&amp;$E4069&amp;"]"&amp;"|"&amp;$Q4069&amp;"|"&amp;$K4069&amp;"|"&amp;$G4069&amp;"|"&amp;IF($G4069="TX_CURR_SUBNAT.R","CY2022Q4",$M4069),"")</f>
        <v>[fyEoGEPERdI]|&lt;01|Male|NEW_INFECTIONS_SUBNAT.T_1|CY2023Q3</v>
      </c>
    </row>
    <row r="4070" customFormat="false" ht="15" hidden="false" customHeight="false" outlineLevel="0" collapsed="false">
      <c r="D4070" s="0" t="s">
        <v>84</v>
      </c>
      <c r="E4070" s="0" t="s">
        <v>85</v>
      </c>
      <c r="F4070" s="0" t="s">
        <v>86</v>
      </c>
      <c r="G4070" s="0" t="s">
        <v>153</v>
      </c>
      <c r="H4070" s="0" t="s">
        <v>153</v>
      </c>
      <c r="I4070" s="0" t="s">
        <v>33</v>
      </c>
      <c r="J4070" s="0" t="s">
        <v>34</v>
      </c>
      <c r="K4070" s="0" t="s">
        <v>48</v>
      </c>
      <c r="L4070" s="0" t="s">
        <v>49</v>
      </c>
      <c r="M4070" s="0" t="s">
        <v>140</v>
      </c>
      <c r="N4070" s="0" t="n">
        <v>1065</v>
      </c>
      <c r="O4070" s="10" t="n">
        <v>0.416773626580834</v>
      </c>
      <c r="P4070" s="10" t="n">
        <v>0.0297887143678963</v>
      </c>
      <c r="Q4070" s="0" t="str">
        <f aca="false">SUBSTITUTE(SUBSTITUTE($I4070,CHAR(61),""),CHAR(34),"")</f>
        <v>01-09</v>
      </c>
      <c r="R4070" s="0" t="str">
        <f aca="false">IF($D4070&lt;&gt;"","["&amp;$E4070&amp;"]"&amp;"|"&amp;$Q4070&amp;"|"&amp;$K4070&amp;"|"&amp;$G4070&amp;"|"&amp;IF($G4070="TX_CURR_SUBNAT.R","CY2022Q4",$M4070),"")</f>
        <v>[fyEoGEPERdI]|01-09|Male|NEW_INFECTIONS_SUBNAT.T_1|CY2023Q3</v>
      </c>
    </row>
    <row r="4071" customFormat="false" ht="15" hidden="false" customHeight="false" outlineLevel="0" collapsed="false">
      <c r="D4071" s="0" t="s">
        <v>84</v>
      </c>
      <c r="E4071" s="0" t="s">
        <v>85</v>
      </c>
      <c r="F4071" s="0" t="s">
        <v>86</v>
      </c>
      <c r="G4071" s="0" t="s">
        <v>153</v>
      </c>
      <c r="H4071" s="0" t="s">
        <v>153</v>
      </c>
      <c r="I4071" s="0" t="s">
        <v>36</v>
      </c>
      <c r="J4071" s="0" t="s">
        <v>37</v>
      </c>
      <c r="K4071" s="0" t="s">
        <v>48</v>
      </c>
      <c r="L4071" s="0" t="s">
        <v>49</v>
      </c>
      <c r="M4071" s="0" t="s">
        <v>140</v>
      </c>
      <c r="N4071" s="0" t="n">
        <v>1817</v>
      </c>
      <c r="O4071" s="10" t="n">
        <v>0.173234941670671</v>
      </c>
      <c r="P4071" s="10" t="n">
        <v>0.0297887143678963</v>
      </c>
      <c r="Q4071" s="0" t="str">
        <f aca="false">SUBSTITUTE(SUBSTITUTE($I4071,CHAR(61),""),CHAR(34),"")</f>
        <v>10-14</v>
      </c>
      <c r="R4071" s="0" t="str">
        <f aca="false">IF($D4071&lt;&gt;"","["&amp;$E4071&amp;"]"&amp;"|"&amp;$Q4071&amp;"|"&amp;$K4071&amp;"|"&amp;$G4071&amp;"|"&amp;IF($G4071="TX_CURR_SUBNAT.R","CY2022Q4",$M4071),"")</f>
        <v>[fyEoGEPERdI]|10-14|Male|NEW_INFECTIONS_SUBNAT.T_1|CY2023Q3</v>
      </c>
    </row>
    <row r="4072" customFormat="false" ht="15" hidden="false" customHeight="false" outlineLevel="0" collapsed="false">
      <c r="D4072" s="0" t="s">
        <v>84</v>
      </c>
      <c r="E4072" s="0" t="s">
        <v>85</v>
      </c>
      <c r="F4072" s="0" t="s">
        <v>86</v>
      </c>
      <c r="G4072" s="0" t="s">
        <v>153</v>
      </c>
      <c r="H4072" s="0" t="s">
        <v>153</v>
      </c>
      <c r="I4072" s="0" t="s">
        <v>38</v>
      </c>
      <c r="J4072" s="0" t="s">
        <v>39</v>
      </c>
      <c r="K4072" s="0" t="s">
        <v>48</v>
      </c>
      <c r="L4072" s="0" t="s">
        <v>49</v>
      </c>
      <c r="M4072" s="0" t="s">
        <v>140</v>
      </c>
      <c r="N4072" s="0" t="n">
        <v>1550</v>
      </c>
      <c r="O4072" s="10" t="n">
        <v>0.457064622081816</v>
      </c>
      <c r="P4072" s="10" t="n">
        <v>0.0297887143678963</v>
      </c>
      <c r="Q4072" s="0" t="str">
        <f aca="false">SUBSTITUTE(SUBSTITUTE($I4072,CHAR(61),""),CHAR(34),"")</f>
        <v>15-24</v>
      </c>
      <c r="R4072" s="0" t="str">
        <f aca="false">IF($D4072&lt;&gt;"","["&amp;$E4072&amp;"]"&amp;"|"&amp;$Q4072&amp;"|"&amp;$K4072&amp;"|"&amp;$G4072&amp;"|"&amp;IF($G4072="TX_CURR_SUBNAT.R","CY2022Q4",$M4072),"")</f>
        <v>[fyEoGEPERdI]|15-24|Male|NEW_INFECTIONS_SUBNAT.T_1|CY2023Q3</v>
      </c>
    </row>
    <row r="4073" customFormat="false" ht="15" hidden="false" customHeight="false" outlineLevel="0" collapsed="false">
      <c r="D4073" s="0" t="s">
        <v>84</v>
      </c>
      <c r="E4073" s="0" t="s">
        <v>85</v>
      </c>
      <c r="F4073" s="0" t="s">
        <v>86</v>
      </c>
      <c r="G4073" s="0" t="s">
        <v>153</v>
      </c>
      <c r="H4073" s="0" t="s">
        <v>153</v>
      </c>
      <c r="I4073" s="0" t="s">
        <v>41</v>
      </c>
      <c r="J4073" s="0" t="s">
        <v>42</v>
      </c>
      <c r="K4073" s="0" t="s">
        <v>48</v>
      </c>
      <c r="L4073" s="0" t="s">
        <v>49</v>
      </c>
      <c r="M4073" s="0" t="s">
        <v>140</v>
      </c>
      <c r="N4073" s="0" t="n">
        <v>1796</v>
      </c>
      <c r="O4073" s="10" t="n">
        <v>0.374168558511883</v>
      </c>
      <c r="P4073" s="10" t="n">
        <v>0.0297887143678963</v>
      </c>
      <c r="Q4073" s="0" t="str">
        <f aca="false">SUBSTITUTE(SUBSTITUTE($I4073,CHAR(61),""),CHAR(34),"")</f>
        <v>25-34</v>
      </c>
      <c r="R4073" s="0" t="str">
        <f aca="false">IF($D4073&lt;&gt;"","["&amp;$E4073&amp;"]"&amp;"|"&amp;$Q4073&amp;"|"&amp;$K4073&amp;"|"&amp;$G4073&amp;"|"&amp;IF($G4073="TX_CURR_SUBNAT.R","CY2022Q4",$M4073),"")</f>
        <v>[fyEoGEPERdI]|25-34|Male|NEW_INFECTIONS_SUBNAT.T_1|CY2023Q3</v>
      </c>
    </row>
    <row r="4074" customFormat="false" ht="15" hidden="false" customHeight="false" outlineLevel="0" collapsed="false">
      <c r="D4074" s="0" t="s">
        <v>84</v>
      </c>
      <c r="E4074" s="0" t="s">
        <v>85</v>
      </c>
      <c r="F4074" s="0" t="s">
        <v>86</v>
      </c>
      <c r="G4074" s="0" t="s">
        <v>153</v>
      </c>
      <c r="H4074" s="0" t="s">
        <v>153</v>
      </c>
      <c r="I4074" s="0" t="s">
        <v>43</v>
      </c>
      <c r="J4074" s="0" t="s">
        <v>44</v>
      </c>
      <c r="K4074" s="0" t="s">
        <v>48</v>
      </c>
      <c r="L4074" s="0" t="s">
        <v>49</v>
      </c>
      <c r="M4074" s="0" t="s">
        <v>140</v>
      </c>
      <c r="N4074" s="0" t="n">
        <v>1706</v>
      </c>
      <c r="O4074" s="10" t="n">
        <v>0.761969197774306</v>
      </c>
      <c r="P4074" s="10" t="n">
        <v>0.0297887143678963</v>
      </c>
      <c r="Q4074" s="0" t="str">
        <f aca="false">SUBSTITUTE(SUBSTITUTE($I4074,CHAR(61),""),CHAR(34),"")</f>
        <v>35-49</v>
      </c>
      <c r="R4074" s="0" t="str">
        <f aca="false">IF($D4074&lt;&gt;"","["&amp;$E4074&amp;"]"&amp;"|"&amp;$Q4074&amp;"|"&amp;$K4074&amp;"|"&amp;$G4074&amp;"|"&amp;IF($G4074="TX_CURR_SUBNAT.R","CY2022Q4",$M4074),"")</f>
        <v>[fyEoGEPERdI]|35-49|Male|NEW_INFECTIONS_SUBNAT.T_1|CY2023Q3</v>
      </c>
    </row>
    <row r="4075" customFormat="false" ht="15" hidden="false" customHeight="false" outlineLevel="0" collapsed="false">
      <c r="D4075" s="0" t="s">
        <v>84</v>
      </c>
      <c r="E4075" s="0" t="s">
        <v>85</v>
      </c>
      <c r="F4075" s="0" t="s">
        <v>86</v>
      </c>
      <c r="G4075" s="0" t="s">
        <v>153</v>
      </c>
      <c r="H4075" s="0" t="s">
        <v>153</v>
      </c>
      <c r="I4075" s="0" t="s">
        <v>45</v>
      </c>
      <c r="J4075" s="0" t="s">
        <v>46</v>
      </c>
      <c r="K4075" s="0" t="s">
        <v>48</v>
      </c>
      <c r="L4075" s="0" t="s">
        <v>49</v>
      </c>
      <c r="M4075" s="0" t="s">
        <v>140</v>
      </c>
      <c r="N4075" s="0" t="n">
        <v>1405</v>
      </c>
      <c r="O4075" s="10" t="n">
        <v>0.613475224468857</v>
      </c>
      <c r="P4075" s="10" t="n">
        <v>0.0297887143678963</v>
      </c>
      <c r="Q4075" s="0" t="str">
        <f aca="false">SUBSTITUTE(SUBSTITUTE($I4075,CHAR(61),""),CHAR(34),"")</f>
        <v>50+</v>
      </c>
      <c r="R4075" s="0" t="str">
        <f aca="false">IF($D4075&lt;&gt;"","["&amp;$E4075&amp;"]"&amp;"|"&amp;$Q4075&amp;"|"&amp;$K4075&amp;"|"&amp;$G4075&amp;"|"&amp;IF($G4075="TX_CURR_SUBNAT.R","CY2022Q4",$M4075),"")</f>
        <v>[fyEoGEPERdI]|50+|Male|NEW_INFECTIONS_SUBNAT.T_1|CY2023Q3</v>
      </c>
    </row>
    <row r="4076" customFormat="false" ht="15" hidden="false" customHeight="false" outlineLevel="0" collapsed="false">
      <c r="D4076" s="0" t="s">
        <v>87</v>
      </c>
      <c r="E4076" s="0" t="s">
        <v>88</v>
      </c>
      <c r="F4076" s="0" t="s">
        <v>89</v>
      </c>
      <c r="G4076" s="0" t="s">
        <v>153</v>
      </c>
      <c r="H4076" s="0" t="s">
        <v>153</v>
      </c>
      <c r="I4076" s="0" t="s">
        <v>28</v>
      </c>
      <c r="J4076" s="0" t="s">
        <v>29</v>
      </c>
      <c r="K4076" s="0" t="s">
        <v>30</v>
      </c>
      <c r="L4076" s="0" t="s">
        <v>31</v>
      </c>
      <c r="M4076" s="0" t="s">
        <v>140</v>
      </c>
      <c r="N4076" s="0" t="n">
        <v>1390</v>
      </c>
      <c r="O4076" s="10" t="n">
        <v>0.372081525390968</v>
      </c>
      <c r="P4076" s="10" t="n">
        <v>0.133336380822584</v>
      </c>
      <c r="Q4076" s="0" t="str">
        <f aca="false">SUBSTITUTE(SUBSTITUTE($I4076,CHAR(61),""),CHAR(34),"")</f>
        <v>&lt;01</v>
      </c>
      <c r="R4076" s="0" t="str">
        <f aca="false">IF($D4076&lt;&gt;"","["&amp;$E4076&amp;"]"&amp;"|"&amp;$Q4076&amp;"|"&amp;$K4076&amp;"|"&amp;$G4076&amp;"|"&amp;IF($G4076="TX_CURR_SUBNAT.R","CY2022Q4",$M4076),"")</f>
        <v>[cPtvxaZqXIH]|&lt;01|Female|NEW_INFECTIONS_SUBNAT.T_1|CY2023Q3</v>
      </c>
    </row>
    <row r="4077" customFormat="false" ht="15" hidden="false" customHeight="false" outlineLevel="0" collapsed="false">
      <c r="D4077" s="0" t="s">
        <v>87</v>
      </c>
      <c r="E4077" s="0" t="s">
        <v>88</v>
      </c>
      <c r="F4077" s="0" t="s">
        <v>89</v>
      </c>
      <c r="G4077" s="0" t="s">
        <v>153</v>
      </c>
      <c r="H4077" s="0" t="s">
        <v>153</v>
      </c>
      <c r="I4077" s="0" t="s">
        <v>33</v>
      </c>
      <c r="J4077" s="0" t="s">
        <v>34</v>
      </c>
      <c r="K4077" s="0" t="s">
        <v>30</v>
      </c>
      <c r="L4077" s="0" t="s">
        <v>31</v>
      </c>
      <c r="M4077" s="0" t="s">
        <v>140</v>
      </c>
      <c r="N4077" s="0" t="n">
        <v>680</v>
      </c>
      <c r="O4077" s="10" t="n">
        <v>0.177986735012382</v>
      </c>
      <c r="P4077" s="10" t="n">
        <v>0.133336380822584</v>
      </c>
      <c r="Q4077" s="0" t="str">
        <f aca="false">SUBSTITUTE(SUBSTITUTE($I4077,CHAR(61),""),CHAR(34),"")</f>
        <v>01-09</v>
      </c>
      <c r="R4077" s="0" t="str">
        <f aca="false">IF($D4077&lt;&gt;"","["&amp;$E4077&amp;"]"&amp;"|"&amp;$Q4077&amp;"|"&amp;$K4077&amp;"|"&amp;$G4077&amp;"|"&amp;IF($G4077="TX_CURR_SUBNAT.R","CY2022Q4",$M4077),"")</f>
        <v>[cPtvxaZqXIH]|01-09|Female|NEW_INFECTIONS_SUBNAT.T_1|CY2023Q3</v>
      </c>
    </row>
    <row r="4078" customFormat="false" ht="15" hidden="false" customHeight="false" outlineLevel="0" collapsed="false">
      <c r="D4078" s="0" t="s">
        <v>87</v>
      </c>
      <c r="E4078" s="0" t="s">
        <v>88</v>
      </c>
      <c r="F4078" s="0" t="s">
        <v>89</v>
      </c>
      <c r="G4078" s="0" t="s">
        <v>153</v>
      </c>
      <c r="H4078" s="0" t="s">
        <v>153</v>
      </c>
      <c r="I4078" s="0" t="s">
        <v>36</v>
      </c>
      <c r="J4078" s="0" t="s">
        <v>37</v>
      </c>
      <c r="K4078" s="0" t="s">
        <v>30</v>
      </c>
      <c r="L4078" s="0" t="s">
        <v>31</v>
      </c>
      <c r="M4078" s="0" t="s">
        <v>140</v>
      </c>
      <c r="N4078" s="0" t="n">
        <v>1262</v>
      </c>
      <c r="O4078" s="10" t="n">
        <v>0.130868235602975</v>
      </c>
      <c r="P4078" s="10" t="n">
        <v>0.133336380822584</v>
      </c>
      <c r="Q4078" s="0" t="str">
        <f aca="false">SUBSTITUTE(SUBSTITUTE($I4078,CHAR(61),""),CHAR(34),"")</f>
        <v>10-14</v>
      </c>
      <c r="R4078" s="0" t="str">
        <f aca="false">IF($D4078&lt;&gt;"","["&amp;$E4078&amp;"]"&amp;"|"&amp;$Q4078&amp;"|"&amp;$K4078&amp;"|"&amp;$G4078&amp;"|"&amp;IF($G4078="TX_CURR_SUBNAT.R","CY2022Q4",$M4078),"")</f>
        <v>[cPtvxaZqXIH]|10-14|Female|NEW_INFECTIONS_SUBNAT.T_1|CY2023Q3</v>
      </c>
    </row>
    <row r="4079" customFormat="false" ht="15" hidden="false" customHeight="false" outlineLevel="0" collapsed="false">
      <c r="D4079" s="0" t="s">
        <v>87</v>
      </c>
      <c r="E4079" s="0" t="s">
        <v>88</v>
      </c>
      <c r="F4079" s="0" t="s">
        <v>89</v>
      </c>
      <c r="G4079" s="0" t="s">
        <v>153</v>
      </c>
      <c r="H4079" s="0" t="s">
        <v>153</v>
      </c>
      <c r="I4079" s="0" t="s">
        <v>38</v>
      </c>
      <c r="J4079" s="0" t="s">
        <v>39</v>
      </c>
      <c r="K4079" s="0" t="s">
        <v>30</v>
      </c>
      <c r="L4079" s="0" t="s">
        <v>31</v>
      </c>
      <c r="M4079" s="0" t="s">
        <v>140</v>
      </c>
      <c r="N4079" s="0" t="n">
        <v>1313</v>
      </c>
      <c r="O4079" s="10" t="n">
        <v>0.981709233950824</v>
      </c>
      <c r="P4079" s="10" t="n">
        <v>0.133336380822584</v>
      </c>
      <c r="Q4079" s="0" t="str">
        <f aca="false">SUBSTITUTE(SUBSTITUTE($I4079,CHAR(61),""),CHAR(34),"")</f>
        <v>15-24</v>
      </c>
      <c r="R4079" s="0" t="str">
        <f aca="false">IF($D4079&lt;&gt;"","["&amp;$E4079&amp;"]"&amp;"|"&amp;$Q4079&amp;"|"&amp;$K4079&amp;"|"&amp;$G4079&amp;"|"&amp;IF($G4079="TX_CURR_SUBNAT.R","CY2022Q4",$M4079),"")</f>
        <v>[cPtvxaZqXIH]|15-24|Female|NEW_INFECTIONS_SUBNAT.T_1|CY2023Q3</v>
      </c>
    </row>
    <row r="4080" customFormat="false" ht="15" hidden="false" customHeight="false" outlineLevel="0" collapsed="false">
      <c r="D4080" s="0" t="s">
        <v>87</v>
      </c>
      <c r="E4080" s="0" t="s">
        <v>88</v>
      </c>
      <c r="F4080" s="0" t="s">
        <v>89</v>
      </c>
      <c r="G4080" s="0" t="s">
        <v>153</v>
      </c>
      <c r="H4080" s="0" t="s">
        <v>153</v>
      </c>
      <c r="I4080" s="0" t="s">
        <v>41</v>
      </c>
      <c r="J4080" s="0" t="s">
        <v>42</v>
      </c>
      <c r="K4080" s="0" t="s">
        <v>30</v>
      </c>
      <c r="L4080" s="0" t="s">
        <v>31</v>
      </c>
      <c r="M4080" s="0" t="s">
        <v>140</v>
      </c>
      <c r="N4080" s="0" t="n">
        <v>1923</v>
      </c>
      <c r="O4080" s="10" t="n">
        <v>0.196558127645403</v>
      </c>
      <c r="P4080" s="10" t="n">
        <v>0.133336380822584</v>
      </c>
      <c r="Q4080" s="0" t="str">
        <f aca="false">SUBSTITUTE(SUBSTITUTE($I4080,CHAR(61),""),CHAR(34),"")</f>
        <v>25-34</v>
      </c>
      <c r="R4080" s="0" t="str">
        <f aca="false">IF($D4080&lt;&gt;"","["&amp;$E4080&amp;"]"&amp;"|"&amp;$Q4080&amp;"|"&amp;$K4080&amp;"|"&amp;$G4080&amp;"|"&amp;IF($G4080="TX_CURR_SUBNAT.R","CY2022Q4",$M4080),"")</f>
        <v>[cPtvxaZqXIH]|25-34|Female|NEW_INFECTIONS_SUBNAT.T_1|CY2023Q3</v>
      </c>
    </row>
    <row r="4081" customFormat="false" ht="15" hidden="false" customHeight="false" outlineLevel="0" collapsed="false">
      <c r="D4081" s="0" t="s">
        <v>87</v>
      </c>
      <c r="E4081" s="0" t="s">
        <v>88</v>
      </c>
      <c r="F4081" s="0" t="s">
        <v>89</v>
      </c>
      <c r="G4081" s="0" t="s">
        <v>153</v>
      </c>
      <c r="H4081" s="0" t="s">
        <v>153</v>
      </c>
      <c r="I4081" s="0" t="s">
        <v>43</v>
      </c>
      <c r="J4081" s="0" t="s">
        <v>44</v>
      </c>
      <c r="K4081" s="0" t="s">
        <v>30</v>
      </c>
      <c r="L4081" s="0" t="s">
        <v>31</v>
      </c>
      <c r="M4081" s="0" t="s">
        <v>140</v>
      </c>
      <c r="N4081" s="0" t="n">
        <v>1127</v>
      </c>
      <c r="O4081" s="10" t="n">
        <v>0.11219684057869</v>
      </c>
      <c r="P4081" s="10" t="n">
        <v>0.133336380822584</v>
      </c>
      <c r="Q4081" s="0" t="str">
        <f aca="false">SUBSTITUTE(SUBSTITUTE($I4081,CHAR(61),""),CHAR(34),"")</f>
        <v>35-49</v>
      </c>
      <c r="R4081" s="0" t="str">
        <f aca="false">IF($D4081&lt;&gt;"","["&amp;$E4081&amp;"]"&amp;"|"&amp;$Q4081&amp;"|"&amp;$K4081&amp;"|"&amp;$G4081&amp;"|"&amp;IF($G4081="TX_CURR_SUBNAT.R","CY2022Q4",$M4081),"")</f>
        <v>[cPtvxaZqXIH]|35-49|Female|NEW_INFECTIONS_SUBNAT.T_1|CY2023Q3</v>
      </c>
    </row>
    <row r="4082" customFormat="false" ht="15" hidden="false" customHeight="false" outlineLevel="0" collapsed="false">
      <c r="D4082" s="0" t="s">
        <v>87</v>
      </c>
      <c r="E4082" s="0" t="s">
        <v>88</v>
      </c>
      <c r="F4082" s="0" t="s">
        <v>89</v>
      </c>
      <c r="G4082" s="0" t="s">
        <v>153</v>
      </c>
      <c r="H4082" s="0" t="s">
        <v>153</v>
      </c>
      <c r="I4082" s="0" t="s">
        <v>45</v>
      </c>
      <c r="J4082" s="0" t="s">
        <v>46</v>
      </c>
      <c r="K4082" s="0" t="s">
        <v>30</v>
      </c>
      <c r="L4082" s="0" t="s">
        <v>31</v>
      </c>
      <c r="M4082" s="0" t="s">
        <v>140</v>
      </c>
      <c r="N4082" s="0" t="n">
        <v>924</v>
      </c>
      <c r="O4082" s="10" t="n">
        <v>0.168674218002707</v>
      </c>
      <c r="P4082" s="10" t="n">
        <v>0.133336380822584</v>
      </c>
      <c r="Q4082" s="0" t="str">
        <f aca="false">SUBSTITUTE(SUBSTITUTE($I4082,CHAR(61),""),CHAR(34),"")</f>
        <v>50+</v>
      </c>
      <c r="R4082" s="0" t="str">
        <f aca="false">IF($D4082&lt;&gt;"","["&amp;$E4082&amp;"]"&amp;"|"&amp;$Q4082&amp;"|"&amp;$K4082&amp;"|"&amp;$G4082&amp;"|"&amp;IF($G4082="TX_CURR_SUBNAT.R","CY2022Q4",$M4082),"")</f>
        <v>[cPtvxaZqXIH]|50+|Female|NEW_INFECTIONS_SUBNAT.T_1|CY2023Q3</v>
      </c>
    </row>
    <row r="4083" customFormat="false" ht="15" hidden="false" customHeight="false" outlineLevel="0" collapsed="false">
      <c r="D4083" s="0" t="s">
        <v>87</v>
      </c>
      <c r="E4083" s="0" t="s">
        <v>88</v>
      </c>
      <c r="F4083" s="0" t="s">
        <v>89</v>
      </c>
      <c r="G4083" s="0" t="s">
        <v>153</v>
      </c>
      <c r="H4083" s="0" t="s">
        <v>153</v>
      </c>
      <c r="I4083" s="0" t="s">
        <v>28</v>
      </c>
      <c r="J4083" s="0" t="s">
        <v>29</v>
      </c>
      <c r="K4083" s="0" t="s">
        <v>48</v>
      </c>
      <c r="L4083" s="0" t="s">
        <v>49</v>
      </c>
      <c r="M4083" s="0" t="s">
        <v>140</v>
      </c>
      <c r="N4083" s="0" t="n">
        <v>574</v>
      </c>
      <c r="O4083" s="10" t="n">
        <v>0.266392573248595</v>
      </c>
      <c r="P4083" s="10" t="n">
        <v>0.133336380822584</v>
      </c>
      <c r="Q4083" s="0" t="str">
        <f aca="false">SUBSTITUTE(SUBSTITUTE($I4083,CHAR(61),""),CHAR(34),"")</f>
        <v>&lt;01</v>
      </c>
      <c r="R4083" s="0" t="str">
        <f aca="false">IF($D4083&lt;&gt;"","["&amp;$E4083&amp;"]"&amp;"|"&amp;$Q4083&amp;"|"&amp;$K4083&amp;"|"&amp;$G4083&amp;"|"&amp;IF($G4083="TX_CURR_SUBNAT.R","CY2022Q4",$M4083),"")</f>
        <v>[cPtvxaZqXIH]|&lt;01|Male|NEW_INFECTIONS_SUBNAT.T_1|CY2023Q3</v>
      </c>
    </row>
    <row r="4084" customFormat="false" ht="15" hidden="false" customHeight="false" outlineLevel="0" collapsed="false">
      <c r="D4084" s="0" t="s">
        <v>87</v>
      </c>
      <c r="E4084" s="0" t="s">
        <v>88</v>
      </c>
      <c r="F4084" s="0" t="s">
        <v>89</v>
      </c>
      <c r="G4084" s="0" t="s">
        <v>153</v>
      </c>
      <c r="H4084" s="0" t="s">
        <v>153</v>
      </c>
      <c r="I4084" s="0" t="s">
        <v>33</v>
      </c>
      <c r="J4084" s="0" t="s">
        <v>34</v>
      </c>
      <c r="K4084" s="0" t="s">
        <v>48</v>
      </c>
      <c r="L4084" s="0" t="s">
        <v>49</v>
      </c>
      <c r="M4084" s="0" t="s">
        <v>140</v>
      </c>
      <c r="N4084" s="0" t="n">
        <v>1553</v>
      </c>
      <c r="O4084" s="10" t="n">
        <v>0.00399379315786064</v>
      </c>
      <c r="P4084" s="10" t="n">
        <v>0.133336380822584</v>
      </c>
      <c r="Q4084" s="0" t="str">
        <f aca="false">SUBSTITUTE(SUBSTITUTE($I4084,CHAR(61),""),CHAR(34),"")</f>
        <v>01-09</v>
      </c>
      <c r="R4084" s="0" t="str">
        <f aca="false">IF($D4084&lt;&gt;"","["&amp;$E4084&amp;"]"&amp;"|"&amp;$Q4084&amp;"|"&amp;$K4084&amp;"|"&amp;$G4084&amp;"|"&amp;IF($G4084="TX_CURR_SUBNAT.R","CY2022Q4",$M4084),"")</f>
        <v>[cPtvxaZqXIH]|01-09|Male|NEW_INFECTIONS_SUBNAT.T_1|CY2023Q3</v>
      </c>
    </row>
    <row r="4085" customFormat="false" ht="15" hidden="false" customHeight="false" outlineLevel="0" collapsed="false">
      <c r="D4085" s="0" t="s">
        <v>87</v>
      </c>
      <c r="E4085" s="0" t="s">
        <v>88</v>
      </c>
      <c r="F4085" s="0" t="s">
        <v>89</v>
      </c>
      <c r="G4085" s="0" t="s">
        <v>153</v>
      </c>
      <c r="H4085" s="0" t="s">
        <v>153</v>
      </c>
      <c r="I4085" s="0" t="s">
        <v>36</v>
      </c>
      <c r="J4085" s="0" t="s">
        <v>37</v>
      </c>
      <c r="K4085" s="0" t="s">
        <v>48</v>
      </c>
      <c r="L4085" s="0" t="s">
        <v>49</v>
      </c>
      <c r="M4085" s="0" t="s">
        <v>140</v>
      </c>
      <c r="N4085" s="0" t="n">
        <v>1106</v>
      </c>
      <c r="O4085" s="10" t="n">
        <v>0.179610560182482</v>
      </c>
      <c r="P4085" s="10" t="n">
        <v>0.133336380822584</v>
      </c>
      <c r="Q4085" s="0" t="str">
        <f aca="false">SUBSTITUTE(SUBSTITUTE($I4085,CHAR(61),""),CHAR(34),"")</f>
        <v>10-14</v>
      </c>
      <c r="R4085" s="0" t="str">
        <f aca="false">IF($D4085&lt;&gt;"","["&amp;$E4085&amp;"]"&amp;"|"&amp;$Q4085&amp;"|"&amp;$K4085&amp;"|"&amp;$G4085&amp;"|"&amp;IF($G4085="TX_CURR_SUBNAT.R","CY2022Q4",$M4085),"")</f>
        <v>[cPtvxaZqXIH]|10-14|Male|NEW_INFECTIONS_SUBNAT.T_1|CY2023Q3</v>
      </c>
    </row>
    <row r="4086" customFormat="false" ht="15" hidden="false" customHeight="false" outlineLevel="0" collapsed="false">
      <c r="D4086" s="0" t="s">
        <v>87</v>
      </c>
      <c r="E4086" s="0" t="s">
        <v>88</v>
      </c>
      <c r="F4086" s="0" t="s">
        <v>89</v>
      </c>
      <c r="G4086" s="0" t="s">
        <v>153</v>
      </c>
      <c r="H4086" s="0" t="s">
        <v>153</v>
      </c>
      <c r="I4086" s="0" t="s">
        <v>38</v>
      </c>
      <c r="J4086" s="0" t="s">
        <v>39</v>
      </c>
      <c r="K4086" s="0" t="s">
        <v>48</v>
      </c>
      <c r="L4086" s="0" t="s">
        <v>49</v>
      </c>
      <c r="M4086" s="0" t="s">
        <v>140</v>
      </c>
      <c r="N4086" s="0" t="n">
        <v>1957</v>
      </c>
      <c r="O4086" s="10" t="n">
        <v>0.383601521840319</v>
      </c>
      <c r="P4086" s="10" t="n">
        <v>0.133336380822584</v>
      </c>
      <c r="Q4086" s="0" t="str">
        <f aca="false">SUBSTITUTE(SUBSTITUTE($I4086,CHAR(61),""),CHAR(34),"")</f>
        <v>15-24</v>
      </c>
      <c r="R4086" s="0" t="str">
        <f aca="false">IF($D4086&lt;&gt;"","["&amp;$E4086&amp;"]"&amp;"|"&amp;$Q4086&amp;"|"&amp;$K4086&amp;"|"&amp;$G4086&amp;"|"&amp;IF($G4086="TX_CURR_SUBNAT.R","CY2022Q4",$M4086),"")</f>
        <v>[cPtvxaZqXIH]|15-24|Male|NEW_INFECTIONS_SUBNAT.T_1|CY2023Q3</v>
      </c>
    </row>
    <row r="4087" customFormat="false" ht="15" hidden="false" customHeight="false" outlineLevel="0" collapsed="false">
      <c r="D4087" s="0" t="s">
        <v>87</v>
      </c>
      <c r="E4087" s="0" t="s">
        <v>88</v>
      </c>
      <c r="F4087" s="0" t="s">
        <v>89</v>
      </c>
      <c r="G4087" s="0" t="s">
        <v>153</v>
      </c>
      <c r="H4087" s="0" t="s">
        <v>153</v>
      </c>
      <c r="I4087" s="0" t="s">
        <v>41</v>
      </c>
      <c r="J4087" s="0" t="s">
        <v>42</v>
      </c>
      <c r="K4087" s="0" t="s">
        <v>48</v>
      </c>
      <c r="L4087" s="0" t="s">
        <v>49</v>
      </c>
      <c r="M4087" s="0" t="s">
        <v>140</v>
      </c>
      <c r="N4087" s="0" t="n">
        <v>730</v>
      </c>
      <c r="O4087" s="10" t="n">
        <v>0.558110195677727</v>
      </c>
      <c r="P4087" s="10" t="n">
        <v>0.133336380822584</v>
      </c>
      <c r="Q4087" s="0" t="str">
        <f aca="false">SUBSTITUTE(SUBSTITUTE($I4087,CHAR(61),""),CHAR(34),"")</f>
        <v>25-34</v>
      </c>
      <c r="R4087" s="0" t="str">
        <f aca="false">IF($D4087&lt;&gt;"","["&amp;$E4087&amp;"]"&amp;"|"&amp;$Q4087&amp;"|"&amp;$K4087&amp;"|"&amp;$G4087&amp;"|"&amp;IF($G4087="TX_CURR_SUBNAT.R","CY2022Q4",$M4087),"")</f>
        <v>[cPtvxaZqXIH]|25-34|Male|NEW_INFECTIONS_SUBNAT.T_1|CY2023Q3</v>
      </c>
    </row>
    <row r="4088" customFormat="false" ht="15" hidden="false" customHeight="false" outlineLevel="0" collapsed="false">
      <c r="D4088" s="0" t="s">
        <v>87</v>
      </c>
      <c r="E4088" s="0" t="s">
        <v>88</v>
      </c>
      <c r="F4088" s="0" t="s">
        <v>89</v>
      </c>
      <c r="G4088" s="0" t="s">
        <v>153</v>
      </c>
      <c r="H4088" s="0" t="s">
        <v>153</v>
      </c>
      <c r="I4088" s="0" t="s">
        <v>43</v>
      </c>
      <c r="J4088" s="0" t="s">
        <v>44</v>
      </c>
      <c r="K4088" s="0" t="s">
        <v>48</v>
      </c>
      <c r="L4088" s="0" t="s">
        <v>49</v>
      </c>
      <c r="M4088" s="0" t="s">
        <v>140</v>
      </c>
      <c r="N4088" s="0" t="n">
        <v>1869</v>
      </c>
      <c r="O4088" s="10" t="n">
        <v>0.956310405861586</v>
      </c>
      <c r="P4088" s="10" t="n">
        <v>0.133336380822584</v>
      </c>
      <c r="Q4088" s="0" t="str">
        <f aca="false">SUBSTITUTE(SUBSTITUTE($I4088,CHAR(61),""),CHAR(34),"")</f>
        <v>35-49</v>
      </c>
      <c r="R4088" s="0" t="str">
        <f aca="false">IF($D4088&lt;&gt;"","["&amp;$E4088&amp;"]"&amp;"|"&amp;$Q4088&amp;"|"&amp;$K4088&amp;"|"&amp;$G4088&amp;"|"&amp;IF($G4088="TX_CURR_SUBNAT.R","CY2022Q4",$M4088),"")</f>
        <v>[cPtvxaZqXIH]|35-49|Male|NEW_INFECTIONS_SUBNAT.T_1|CY2023Q3</v>
      </c>
    </row>
    <row r="4089" customFormat="false" ht="15" hidden="false" customHeight="false" outlineLevel="0" collapsed="false">
      <c r="D4089" s="0" t="s">
        <v>87</v>
      </c>
      <c r="E4089" s="0" t="s">
        <v>88</v>
      </c>
      <c r="F4089" s="0" t="s">
        <v>89</v>
      </c>
      <c r="G4089" s="0" t="s">
        <v>153</v>
      </c>
      <c r="H4089" s="0" t="s">
        <v>153</v>
      </c>
      <c r="I4089" s="0" t="s">
        <v>45</v>
      </c>
      <c r="J4089" s="0" t="s">
        <v>46</v>
      </c>
      <c r="K4089" s="0" t="s">
        <v>48</v>
      </c>
      <c r="L4089" s="0" t="s">
        <v>49</v>
      </c>
      <c r="M4089" s="0" t="s">
        <v>140</v>
      </c>
      <c r="N4089" s="0" t="n">
        <v>911</v>
      </c>
      <c r="O4089" s="10" t="n">
        <v>0.849345044232905</v>
      </c>
      <c r="P4089" s="10" t="n">
        <v>0.133336380822584</v>
      </c>
      <c r="Q4089" s="0" t="str">
        <f aca="false">SUBSTITUTE(SUBSTITUTE($I4089,CHAR(61),""),CHAR(34),"")</f>
        <v>50+</v>
      </c>
      <c r="R4089" s="0" t="str">
        <f aca="false">IF($D4089&lt;&gt;"","["&amp;$E4089&amp;"]"&amp;"|"&amp;$Q4089&amp;"|"&amp;$K4089&amp;"|"&amp;$G4089&amp;"|"&amp;IF($G4089="TX_CURR_SUBNAT.R","CY2022Q4",$M4089),"")</f>
        <v>[cPtvxaZqXIH]|50+|Male|NEW_INFECTIONS_SUBNAT.T_1|CY2023Q3</v>
      </c>
    </row>
    <row r="4090" customFormat="false" ht="15" hidden="false" customHeight="false" outlineLevel="0" collapsed="false">
      <c r="D4090" s="0" t="s">
        <v>90</v>
      </c>
      <c r="E4090" s="0" t="s">
        <v>91</v>
      </c>
      <c r="F4090" s="0" t="s">
        <v>92</v>
      </c>
      <c r="G4090" s="0" t="s">
        <v>153</v>
      </c>
      <c r="H4090" s="0" t="s">
        <v>153</v>
      </c>
      <c r="I4090" s="0" t="s">
        <v>28</v>
      </c>
      <c r="J4090" s="0" t="s">
        <v>29</v>
      </c>
      <c r="K4090" s="0" t="s">
        <v>30</v>
      </c>
      <c r="L4090" s="0" t="s">
        <v>31</v>
      </c>
      <c r="M4090" s="0" t="s">
        <v>140</v>
      </c>
      <c r="N4090" s="0" t="n">
        <v>540</v>
      </c>
      <c r="O4090" s="10" t="n">
        <v>0.362058733357117</v>
      </c>
      <c r="P4090" s="10" t="n">
        <v>0.719914150424302</v>
      </c>
      <c r="Q4090" s="0" t="str">
        <f aca="false">SUBSTITUTE(SUBSTITUTE($I4090,CHAR(61),""),CHAR(34),"")</f>
        <v>&lt;01</v>
      </c>
      <c r="R4090" s="0" t="str">
        <f aca="false">IF($D4090&lt;&gt;"","["&amp;$E4090&amp;"]"&amp;"|"&amp;$Q4090&amp;"|"&amp;$K4090&amp;"|"&amp;$G4090&amp;"|"&amp;IF($G4090="TX_CURR_SUBNAT.R","CY2022Q4",$M4090),"")</f>
        <v>[AZyWpGzhcaA]|&lt;01|Female|NEW_INFECTIONS_SUBNAT.T_1|CY2023Q3</v>
      </c>
    </row>
    <row r="4091" customFormat="false" ht="15" hidden="false" customHeight="false" outlineLevel="0" collapsed="false">
      <c r="D4091" s="0" t="s">
        <v>90</v>
      </c>
      <c r="E4091" s="0" t="s">
        <v>91</v>
      </c>
      <c r="F4091" s="0" t="s">
        <v>92</v>
      </c>
      <c r="G4091" s="0" t="s">
        <v>153</v>
      </c>
      <c r="H4091" s="0" t="s">
        <v>153</v>
      </c>
      <c r="I4091" s="0" t="s">
        <v>33</v>
      </c>
      <c r="J4091" s="0" t="s">
        <v>34</v>
      </c>
      <c r="K4091" s="0" t="s">
        <v>30</v>
      </c>
      <c r="L4091" s="0" t="s">
        <v>31</v>
      </c>
      <c r="M4091" s="0" t="s">
        <v>140</v>
      </c>
      <c r="N4091" s="0" t="n">
        <v>1069</v>
      </c>
      <c r="O4091" s="10" t="n">
        <v>0.938044636044651</v>
      </c>
      <c r="P4091" s="10" t="n">
        <v>0.719914150424302</v>
      </c>
      <c r="Q4091" s="0" t="str">
        <f aca="false">SUBSTITUTE(SUBSTITUTE($I4091,CHAR(61),""),CHAR(34),"")</f>
        <v>01-09</v>
      </c>
      <c r="R4091" s="0" t="str">
        <f aca="false">IF($D4091&lt;&gt;"","["&amp;$E4091&amp;"]"&amp;"|"&amp;$Q4091&amp;"|"&amp;$K4091&amp;"|"&amp;$G4091&amp;"|"&amp;IF($G4091="TX_CURR_SUBNAT.R","CY2022Q4",$M4091),"")</f>
        <v>[AZyWpGzhcaA]|01-09|Female|NEW_INFECTIONS_SUBNAT.T_1|CY2023Q3</v>
      </c>
    </row>
    <row r="4092" customFormat="false" ht="15" hidden="false" customHeight="false" outlineLevel="0" collapsed="false">
      <c r="D4092" s="0" t="s">
        <v>90</v>
      </c>
      <c r="E4092" s="0" t="s">
        <v>91</v>
      </c>
      <c r="F4092" s="0" t="s">
        <v>92</v>
      </c>
      <c r="G4092" s="0" t="s">
        <v>153</v>
      </c>
      <c r="H4092" s="0" t="s">
        <v>153</v>
      </c>
      <c r="I4092" s="0" t="s">
        <v>36</v>
      </c>
      <c r="J4092" s="0" t="s">
        <v>37</v>
      </c>
      <c r="K4092" s="0" t="s">
        <v>30</v>
      </c>
      <c r="L4092" s="0" t="s">
        <v>31</v>
      </c>
      <c r="M4092" s="0" t="s">
        <v>140</v>
      </c>
      <c r="N4092" s="0" t="n">
        <v>620</v>
      </c>
      <c r="O4092" s="10" t="n">
        <v>0.90441183722578</v>
      </c>
      <c r="P4092" s="10" t="n">
        <v>0.719914150424302</v>
      </c>
      <c r="Q4092" s="0" t="str">
        <f aca="false">SUBSTITUTE(SUBSTITUTE($I4092,CHAR(61),""),CHAR(34),"")</f>
        <v>10-14</v>
      </c>
      <c r="R4092" s="0" t="str">
        <f aca="false">IF($D4092&lt;&gt;"","["&amp;$E4092&amp;"]"&amp;"|"&amp;$Q4092&amp;"|"&amp;$K4092&amp;"|"&amp;$G4092&amp;"|"&amp;IF($G4092="TX_CURR_SUBNAT.R","CY2022Q4",$M4092),"")</f>
        <v>[AZyWpGzhcaA]|10-14|Female|NEW_INFECTIONS_SUBNAT.T_1|CY2023Q3</v>
      </c>
    </row>
    <row r="4093" customFormat="false" ht="15" hidden="false" customHeight="false" outlineLevel="0" collapsed="false">
      <c r="D4093" s="0" t="s">
        <v>90</v>
      </c>
      <c r="E4093" s="0" t="s">
        <v>91</v>
      </c>
      <c r="F4093" s="0" t="s">
        <v>92</v>
      </c>
      <c r="G4093" s="0" t="s">
        <v>153</v>
      </c>
      <c r="H4093" s="0" t="s">
        <v>153</v>
      </c>
      <c r="I4093" s="0" t="s">
        <v>38</v>
      </c>
      <c r="J4093" s="0" t="s">
        <v>39</v>
      </c>
      <c r="K4093" s="0" t="s">
        <v>30</v>
      </c>
      <c r="L4093" s="0" t="s">
        <v>31</v>
      </c>
      <c r="M4093" s="0" t="s">
        <v>140</v>
      </c>
      <c r="N4093" s="0" t="n">
        <v>1335</v>
      </c>
      <c r="O4093" s="10" t="n">
        <v>0.123442432144657</v>
      </c>
      <c r="P4093" s="10" t="n">
        <v>0.719914150424302</v>
      </c>
      <c r="Q4093" s="0" t="str">
        <f aca="false">SUBSTITUTE(SUBSTITUTE($I4093,CHAR(61),""),CHAR(34),"")</f>
        <v>15-24</v>
      </c>
      <c r="R4093" s="0" t="str">
        <f aca="false">IF($D4093&lt;&gt;"","["&amp;$E4093&amp;"]"&amp;"|"&amp;$Q4093&amp;"|"&amp;$K4093&amp;"|"&amp;$G4093&amp;"|"&amp;IF($G4093="TX_CURR_SUBNAT.R","CY2022Q4",$M4093),"")</f>
        <v>[AZyWpGzhcaA]|15-24|Female|NEW_INFECTIONS_SUBNAT.T_1|CY2023Q3</v>
      </c>
    </row>
    <row r="4094" customFormat="false" ht="15" hidden="false" customHeight="false" outlineLevel="0" collapsed="false">
      <c r="D4094" s="0" t="s">
        <v>90</v>
      </c>
      <c r="E4094" s="0" t="s">
        <v>91</v>
      </c>
      <c r="F4094" s="0" t="s">
        <v>92</v>
      </c>
      <c r="G4094" s="0" t="s">
        <v>153</v>
      </c>
      <c r="H4094" s="0" t="s">
        <v>153</v>
      </c>
      <c r="I4094" s="0" t="s">
        <v>41</v>
      </c>
      <c r="J4094" s="0" t="s">
        <v>42</v>
      </c>
      <c r="K4094" s="0" t="s">
        <v>30</v>
      </c>
      <c r="L4094" s="0" t="s">
        <v>31</v>
      </c>
      <c r="M4094" s="0" t="s">
        <v>140</v>
      </c>
      <c r="N4094" s="0" t="n">
        <v>1746</v>
      </c>
      <c r="O4094" s="10" t="n">
        <v>0.155579414218664</v>
      </c>
      <c r="P4094" s="10" t="n">
        <v>0.719914150424302</v>
      </c>
      <c r="Q4094" s="0" t="str">
        <f aca="false">SUBSTITUTE(SUBSTITUTE($I4094,CHAR(61),""),CHAR(34),"")</f>
        <v>25-34</v>
      </c>
      <c r="R4094" s="0" t="str">
        <f aca="false">IF($D4094&lt;&gt;"","["&amp;$E4094&amp;"]"&amp;"|"&amp;$Q4094&amp;"|"&amp;$K4094&amp;"|"&amp;$G4094&amp;"|"&amp;IF($G4094="TX_CURR_SUBNAT.R","CY2022Q4",$M4094),"")</f>
        <v>[AZyWpGzhcaA]|25-34|Female|NEW_INFECTIONS_SUBNAT.T_1|CY2023Q3</v>
      </c>
    </row>
    <row r="4095" customFormat="false" ht="15" hidden="false" customHeight="false" outlineLevel="0" collapsed="false">
      <c r="D4095" s="0" t="s">
        <v>90</v>
      </c>
      <c r="E4095" s="0" t="s">
        <v>91</v>
      </c>
      <c r="F4095" s="0" t="s">
        <v>92</v>
      </c>
      <c r="G4095" s="0" t="s">
        <v>153</v>
      </c>
      <c r="H4095" s="0" t="s">
        <v>153</v>
      </c>
      <c r="I4095" s="0" t="s">
        <v>43</v>
      </c>
      <c r="J4095" s="0" t="s">
        <v>44</v>
      </c>
      <c r="K4095" s="0" t="s">
        <v>30</v>
      </c>
      <c r="L4095" s="0" t="s">
        <v>31</v>
      </c>
      <c r="M4095" s="0" t="s">
        <v>140</v>
      </c>
      <c r="N4095" s="0" t="n">
        <v>1200</v>
      </c>
      <c r="O4095" s="10" t="n">
        <v>0.73560079257004</v>
      </c>
      <c r="P4095" s="10" t="n">
        <v>0.719914150424302</v>
      </c>
      <c r="Q4095" s="0" t="str">
        <f aca="false">SUBSTITUTE(SUBSTITUTE($I4095,CHAR(61),""),CHAR(34),"")</f>
        <v>35-49</v>
      </c>
      <c r="R4095" s="0" t="str">
        <f aca="false">IF($D4095&lt;&gt;"","["&amp;$E4095&amp;"]"&amp;"|"&amp;$Q4095&amp;"|"&amp;$K4095&amp;"|"&amp;$G4095&amp;"|"&amp;IF($G4095="TX_CURR_SUBNAT.R","CY2022Q4",$M4095),"")</f>
        <v>[AZyWpGzhcaA]|35-49|Female|NEW_INFECTIONS_SUBNAT.T_1|CY2023Q3</v>
      </c>
    </row>
    <row r="4096" customFormat="false" ht="15" hidden="false" customHeight="false" outlineLevel="0" collapsed="false">
      <c r="D4096" s="0" t="s">
        <v>90</v>
      </c>
      <c r="E4096" s="0" t="s">
        <v>91</v>
      </c>
      <c r="F4096" s="0" t="s">
        <v>92</v>
      </c>
      <c r="G4096" s="0" t="s">
        <v>153</v>
      </c>
      <c r="H4096" s="0" t="s">
        <v>153</v>
      </c>
      <c r="I4096" s="0" t="s">
        <v>45</v>
      </c>
      <c r="J4096" s="0" t="s">
        <v>46</v>
      </c>
      <c r="K4096" s="0" t="s">
        <v>30</v>
      </c>
      <c r="L4096" s="0" t="s">
        <v>31</v>
      </c>
      <c r="M4096" s="0" t="s">
        <v>140</v>
      </c>
      <c r="N4096" s="0" t="n">
        <v>622</v>
      </c>
      <c r="O4096" s="10" t="n">
        <v>0.0861375459935516</v>
      </c>
      <c r="P4096" s="10" t="n">
        <v>0.719914150424302</v>
      </c>
      <c r="Q4096" s="0" t="str">
        <f aca="false">SUBSTITUTE(SUBSTITUTE($I4096,CHAR(61),""),CHAR(34),"")</f>
        <v>50+</v>
      </c>
      <c r="R4096" s="0" t="str">
        <f aca="false">IF($D4096&lt;&gt;"","["&amp;$E4096&amp;"]"&amp;"|"&amp;$Q4096&amp;"|"&amp;$K4096&amp;"|"&amp;$G4096&amp;"|"&amp;IF($G4096="TX_CURR_SUBNAT.R","CY2022Q4",$M4096),"")</f>
        <v>[AZyWpGzhcaA]|50+|Female|NEW_INFECTIONS_SUBNAT.T_1|CY2023Q3</v>
      </c>
    </row>
    <row r="4097" customFormat="false" ht="15" hidden="false" customHeight="false" outlineLevel="0" collapsed="false">
      <c r="D4097" s="0" t="s">
        <v>90</v>
      </c>
      <c r="E4097" s="0" t="s">
        <v>91</v>
      </c>
      <c r="F4097" s="0" t="s">
        <v>92</v>
      </c>
      <c r="G4097" s="0" t="s">
        <v>153</v>
      </c>
      <c r="H4097" s="0" t="s">
        <v>153</v>
      </c>
      <c r="I4097" s="0" t="s">
        <v>28</v>
      </c>
      <c r="J4097" s="0" t="s">
        <v>29</v>
      </c>
      <c r="K4097" s="0" t="s">
        <v>48</v>
      </c>
      <c r="L4097" s="0" t="s">
        <v>49</v>
      </c>
      <c r="M4097" s="0" t="s">
        <v>140</v>
      </c>
      <c r="N4097" s="0" t="n">
        <v>975</v>
      </c>
      <c r="O4097" s="10" t="n">
        <v>0.432424527360126</v>
      </c>
      <c r="P4097" s="10" t="n">
        <v>0.719914150424302</v>
      </c>
      <c r="Q4097" s="0" t="str">
        <f aca="false">SUBSTITUTE(SUBSTITUTE($I4097,CHAR(61),""),CHAR(34),"")</f>
        <v>&lt;01</v>
      </c>
      <c r="R4097" s="0" t="str">
        <f aca="false">IF($D4097&lt;&gt;"","["&amp;$E4097&amp;"]"&amp;"|"&amp;$Q4097&amp;"|"&amp;$K4097&amp;"|"&amp;$G4097&amp;"|"&amp;IF($G4097="TX_CURR_SUBNAT.R","CY2022Q4",$M4097),"")</f>
        <v>[AZyWpGzhcaA]|&lt;01|Male|NEW_INFECTIONS_SUBNAT.T_1|CY2023Q3</v>
      </c>
    </row>
    <row r="4098" customFormat="false" ht="15" hidden="false" customHeight="false" outlineLevel="0" collapsed="false">
      <c r="D4098" s="0" t="s">
        <v>90</v>
      </c>
      <c r="E4098" s="0" t="s">
        <v>91</v>
      </c>
      <c r="F4098" s="0" t="s">
        <v>92</v>
      </c>
      <c r="G4098" s="0" t="s">
        <v>153</v>
      </c>
      <c r="H4098" s="0" t="s">
        <v>153</v>
      </c>
      <c r="I4098" s="0" t="s">
        <v>33</v>
      </c>
      <c r="J4098" s="0" t="s">
        <v>34</v>
      </c>
      <c r="K4098" s="0" t="s">
        <v>48</v>
      </c>
      <c r="L4098" s="0" t="s">
        <v>49</v>
      </c>
      <c r="M4098" s="0" t="s">
        <v>140</v>
      </c>
      <c r="N4098" s="0" t="n">
        <v>1194</v>
      </c>
      <c r="O4098" s="10" t="n">
        <v>0.689582463819534</v>
      </c>
      <c r="P4098" s="10" t="n">
        <v>0.719914150424302</v>
      </c>
      <c r="Q4098" s="0" t="str">
        <f aca="false">SUBSTITUTE(SUBSTITUTE($I4098,CHAR(61),""),CHAR(34),"")</f>
        <v>01-09</v>
      </c>
      <c r="R4098" s="0" t="str">
        <f aca="false">IF($D4098&lt;&gt;"","["&amp;$E4098&amp;"]"&amp;"|"&amp;$Q4098&amp;"|"&amp;$K4098&amp;"|"&amp;$G4098&amp;"|"&amp;IF($G4098="TX_CURR_SUBNAT.R","CY2022Q4",$M4098),"")</f>
        <v>[AZyWpGzhcaA]|01-09|Male|NEW_INFECTIONS_SUBNAT.T_1|CY2023Q3</v>
      </c>
    </row>
    <row r="4099" customFormat="false" ht="15" hidden="false" customHeight="false" outlineLevel="0" collapsed="false">
      <c r="D4099" s="0" t="s">
        <v>90</v>
      </c>
      <c r="E4099" s="0" t="s">
        <v>91</v>
      </c>
      <c r="F4099" s="0" t="s">
        <v>92</v>
      </c>
      <c r="G4099" s="0" t="s">
        <v>153</v>
      </c>
      <c r="H4099" s="0" t="s">
        <v>153</v>
      </c>
      <c r="I4099" s="0" t="s">
        <v>36</v>
      </c>
      <c r="J4099" s="0" t="s">
        <v>37</v>
      </c>
      <c r="K4099" s="0" t="s">
        <v>48</v>
      </c>
      <c r="L4099" s="0" t="s">
        <v>49</v>
      </c>
      <c r="M4099" s="0" t="s">
        <v>140</v>
      </c>
      <c r="N4099" s="0" t="n">
        <v>1173</v>
      </c>
      <c r="O4099" s="10" t="n">
        <v>0.282562816282734</v>
      </c>
      <c r="P4099" s="10" t="n">
        <v>0.719914150424302</v>
      </c>
      <c r="Q4099" s="0" t="str">
        <f aca="false">SUBSTITUTE(SUBSTITUTE($I4099,CHAR(61),""),CHAR(34),"")</f>
        <v>10-14</v>
      </c>
      <c r="R4099" s="0" t="str">
        <f aca="false">IF($D4099&lt;&gt;"","["&amp;$E4099&amp;"]"&amp;"|"&amp;$Q4099&amp;"|"&amp;$K4099&amp;"|"&amp;$G4099&amp;"|"&amp;IF($G4099="TX_CURR_SUBNAT.R","CY2022Q4",$M4099),"")</f>
        <v>[AZyWpGzhcaA]|10-14|Male|NEW_INFECTIONS_SUBNAT.T_1|CY2023Q3</v>
      </c>
    </row>
    <row r="4100" customFormat="false" ht="15" hidden="false" customHeight="false" outlineLevel="0" collapsed="false">
      <c r="D4100" s="0" t="s">
        <v>90</v>
      </c>
      <c r="E4100" s="0" t="s">
        <v>91</v>
      </c>
      <c r="F4100" s="0" t="s">
        <v>92</v>
      </c>
      <c r="G4100" s="0" t="s">
        <v>153</v>
      </c>
      <c r="H4100" s="0" t="s">
        <v>153</v>
      </c>
      <c r="I4100" s="0" t="s">
        <v>38</v>
      </c>
      <c r="J4100" s="0" t="s">
        <v>39</v>
      </c>
      <c r="K4100" s="0" t="s">
        <v>48</v>
      </c>
      <c r="L4100" s="0" t="s">
        <v>49</v>
      </c>
      <c r="M4100" s="0" t="s">
        <v>140</v>
      </c>
      <c r="N4100" s="0" t="n">
        <v>1714</v>
      </c>
      <c r="O4100" s="10" t="n">
        <v>0.670684941811487</v>
      </c>
      <c r="P4100" s="10" t="n">
        <v>0.719914150424302</v>
      </c>
      <c r="Q4100" s="0" t="str">
        <f aca="false">SUBSTITUTE(SUBSTITUTE($I4100,CHAR(61),""),CHAR(34),"")</f>
        <v>15-24</v>
      </c>
      <c r="R4100" s="0" t="str">
        <f aca="false">IF($D4100&lt;&gt;"","["&amp;$E4100&amp;"]"&amp;"|"&amp;$Q4100&amp;"|"&amp;$K4100&amp;"|"&amp;$G4100&amp;"|"&amp;IF($G4100="TX_CURR_SUBNAT.R","CY2022Q4",$M4100),"")</f>
        <v>[AZyWpGzhcaA]|15-24|Male|NEW_INFECTIONS_SUBNAT.T_1|CY2023Q3</v>
      </c>
    </row>
    <row r="4101" customFormat="false" ht="15" hidden="false" customHeight="false" outlineLevel="0" collapsed="false">
      <c r="D4101" s="0" t="s">
        <v>90</v>
      </c>
      <c r="E4101" s="0" t="s">
        <v>91</v>
      </c>
      <c r="F4101" s="0" t="s">
        <v>92</v>
      </c>
      <c r="G4101" s="0" t="s">
        <v>153</v>
      </c>
      <c r="H4101" s="0" t="s">
        <v>153</v>
      </c>
      <c r="I4101" s="0" t="s">
        <v>41</v>
      </c>
      <c r="J4101" s="0" t="s">
        <v>42</v>
      </c>
      <c r="K4101" s="0" t="s">
        <v>48</v>
      </c>
      <c r="L4101" s="0" t="s">
        <v>49</v>
      </c>
      <c r="M4101" s="0" t="s">
        <v>140</v>
      </c>
      <c r="N4101" s="0" t="n">
        <v>628</v>
      </c>
      <c r="O4101" s="10" t="n">
        <v>0.54659185744822</v>
      </c>
      <c r="P4101" s="10" t="n">
        <v>0.719914150424302</v>
      </c>
      <c r="Q4101" s="0" t="str">
        <f aca="false">SUBSTITUTE(SUBSTITUTE($I4101,CHAR(61),""),CHAR(34),"")</f>
        <v>25-34</v>
      </c>
      <c r="R4101" s="0" t="str">
        <f aca="false">IF($D4101&lt;&gt;"","["&amp;$E4101&amp;"]"&amp;"|"&amp;$Q4101&amp;"|"&amp;$K4101&amp;"|"&amp;$G4101&amp;"|"&amp;IF($G4101="TX_CURR_SUBNAT.R","CY2022Q4",$M4101),"")</f>
        <v>[AZyWpGzhcaA]|25-34|Male|NEW_INFECTIONS_SUBNAT.T_1|CY2023Q3</v>
      </c>
    </row>
    <row r="4102" customFormat="false" ht="15" hidden="false" customHeight="false" outlineLevel="0" collapsed="false">
      <c r="D4102" s="0" t="s">
        <v>90</v>
      </c>
      <c r="E4102" s="0" t="s">
        <v>91</v>
      </c>
      <c r="F4102" s="0" t="s">
        <v>92</v>
      </c>
      <c r="G4102" s="0" t="s">
        <v>153</v>
      </c>
      <c r="H4102" s="0" t="s">
        <v>153</v>
      </c>
      <c r="I4102" s="0" t="s">
        <v>43</v>
      </c>
      <c r="J4102" s="0" t="s">
        <v>44</v>
      </c>
      <c r="K4102" s="0" t="s">
        <v>48</v>
      </c>
      <c r="L4102" s="0" t="s">
        <v>49</v>
      </c>
      <c r="M4102" s="0" t="s">
        <v>140</v>
      </c>
      <c r="N4102" s="0" t="n">
        <v>1793</v>
      </c>
      <c r="O4102" s="10" t="n">
        <v>0.631006222916767</v>
      </c>
      <c r="P4102" s="10" t="n">
        <v>0.719914150424302</v>
      </c>
      <c r="Q4102" s="0" t="str">
        <f aca="false">SUBSTITUTE(SUBSTITUTE($I4102,CHAR(61),""),CHAR(34),"")</f>
        <v>35-49</v>
      </c>
      <c r="R4102" s="0" t="str">
        <f aca="false">IF($D4102&lt;&gt;"","["&amp;$E4102&amp;"]"&amp;"|"&amp;$Q4102&amp;"|"&amp;$K4102&amp;"|"&amp;$G4102&amp;"|"&amp;IF($G4102="TX_CURR_SUBNAT.R","CY2022Q4",$M4102),"")</f>
        <v>[AZyWpGzhcaA]|35-49|Male|NEW_INFECTIONS_SUBNAT.T_1|CY2023Q3</v>
      </c>
    </row>
    <row r="4103" customFormat="false" ht="15" hidden="false" customHeight="false" outlineLevel="0" collapsed="false">
      <c r="D4103" s="0" t="s">
        <v>90</v>
      </c>
      <c r="E4103" s="0" t="s">
        <v>91</v>
      </c>
      <c r="F4103" s="0" t="s">
        <v>92</v>
      </c>
      <c r="G4103" s="0" t="s">
        <v>153</v>
      </c>
      <c r="H4103" s="0" t="s">
        <v>153</v>
      </c>
      <c r="I4103" s="0" t="s">
        <v>45</v>
      </c>
      <c r="J4103" s="0" t="s">
        <v>46</v>
      </c>
      <c r="K4103" s="0" t="s">
        <v>48</v>
      </c>
      <c r="L4103" s="0" t="s">
        <v>49</v>
      </c>
      <c r="M4103" s="0" t="s">
        <v>140</v>
      </c>
      <c r="N4103" s="0" t="n">
        <v>963</v>
      </c>
      <c r="O4103" s="10" t="n">
        <v>0.72661943314597</v>
      </c>
      <c r="P4103" s="10" t="n">
        <v>0.719914150424302</v>
      </c>
      <c r="Q4103" s="0" t="str">
        <f aca="false">SUBSTITUTE(SUBSTITUTE($I4103,CHAR(61),""),CHAR(34),"")</f>
        <v>50+</v>
      </c>
      <c r="R4103" s="0" t="str">
        <f aca="false">IF($D4103&lt;&gt;"","["&amp;$E4103&amp;"]"&amp;"|"&amp;$Q4103&amp;"|"&amp;$K4103&amp;"|"&amp;$G4103&amp;"|"&amp;IF($G4103="TX_CURR_SUBNAT.R","CY2022Q4",$M4103),"")</f>
        <v>[AZyWpGzhcaA]|50+|Male|NEW_INFECTIONS_SUBNAT.T_1|CY2023Q3</v>
      </c>
    </row>
    <row r="4104" customFormat="false" ht="15" hidden="false" customHeight="false" outlineLevel="0" collapsed="false">
      <c r="D4104" s="0" t="s">
        <v>93</v>
      </c>
      <c r="E4104" s="0" t="s">
        <v>94</v>
      </c>
      <c r="F4104" s="0" t="s">
        <v>95</v>
      </c>
      <c r="G4104" s="0" t="s">
        <v>153</v>
      </c>
      <c r="H4104" s="0" t="s">
        <v>153</v>
      </c>
      <c r="I4104" s="0" t="s">
        <v>28</v>
      </c>
      <c r="J4104" s="0" t="s">
        <v>29</v>
      </c>
      <c r="K4104" s="0" t="s">
        <v>30</v>
      </c>
      <c r="L4104" s="0" t="s">
        <v>31</v>
      </c>
      <c r="M4104" s="0" t="s">
        <v>140</v>
      </c>
      <c r="N4104" s="0" t="n">
        <v>734</v>
      </c>
      <c r="O4104" s="10" t="n">
        <v>0.627236914122477</v>
      </c>
      <c r="P4104" s="10" t="n">
        <v>0.362272296566516</v>
      </c>
      <c r="Q4104" s="0" t="str">
        <f aca="false">SUBSTITUTE(SUBSTITUTE($I4104,CHAR(61),""),CHAR(34),"")</f>
        <v>&lt;01</v>
      </c>
      <c r="R4104" s="0" t="str">
        <f aca="false">IF($D4104&lt;&gt;"","["&amp;$E4104&amp;"]"&amp;"|"&amp;$Q4104&amp;"|"&amp;$K4104&amp;"|"&amp;$G4104&amp;"|"&amp;IF($G4104="TX_CURR_SUBNAT.R","CY2022Q4",$M4104),"")</f>
        <v>[umc2n1Z4wNv]|&lt;01|Female|NEW_INFECTIONS_SUBNAT.T_1|CY2023Q3</v>
      </c>
    </row>
    <row r="4105" customFormat="false" ht="15" hidden="false" customHeight="false" outlineLevel="0" collapsed="false">
      <c r="D4105" s="0" t="s">
        <v>93</v>
      </c>
      <c r="E4105" s="0" t="s">
        <v>94</v>
      </c>
      <c r="F4105" s="0" t="s">
        <v>95</v>
      </c>
      <c r="G4105" s="0" t="s">
        <v>153</v>
      </c>
      <c r="H4105" s="0" t="s">
        <v>153</v>
      </c>
      <c r="I4105" s="0" t="s">
        <v>33</v>
      </c>
      <c r="J4105" s="0" t="s">
        <v>34</v>
      </c>
      <c r="K4105" s="0" t="s">
        <v>30</v>
      </c>
      <c r="L4105" s="0" t="s">
        <v>31</v>
      </c>
      <c r="M4105" s="0" t="s">
        <v>140</v>
      </c>
      <c r="N4105" s="0" t="n">
        <v>1832</v>
      </c>
      <c r="O4105" s="10" t="n">
        <v>0.241333520505577</v>
      </c>
      <c r="P4105" s="10" t="n">
        <v>0.362272296566516</v>
      </c>
      <c r="Q4105" s="0" t="str">
        <f aca="false">SUBSTITUTE(SUBSTITUTE($I4105,CHAR(61),""),CHAR(34),"")</f>
        <v>01-09</v>
      </c>
      <c r="R4105" s="0" t="str">
        <f aca="false">IF($D4105&lt;&gt;"","["&amp;$E4105&amp;"]"&amp;"|"&amp;$Q4105&amp;"|"&amp;$K4105&amp;"|"&amp;$G4105&amp;"|"&amp;IF($G4105="TX_CURR_SUBNAT.R","CY2022Q4",$M4105),"")</f>
        <v>[umc2n1Z4wNv]|01-09|Female|NEW_INFECTIONS_SUBNAT.T_1|CY2023Q3</v>
      </c>
    </row>
    <row r="4106" customFormat="false" ht="15" hidden="false" customHeight="false" outlineLevel="0" collapsed="false">
      <c r="D4106" s="0" t="s">
        <v>93</v>
      </c>
      <c r="E4106" s="0" t="s">
        <v>94</v>
      </c>
      <c r="F4106" s="0" t="s">
        <v>95</v>
      </c>
      <c r="G4106" s="0" t="s">
        <v>153</v>
      </c>
      <c r="H4106" s="0" t="s">
        <v>153</v>
      </c>
      <c r="I4106" s="0" t="s">
        <v>36</v>
      </c>
      <c r="J4106" s="0" t="s">
        <v>37</v>
      </c>
      <c r="K4106" s="0" t="s">
        <v>30</v>
      </c>
      <c r="L4106" s="0" t="s">
        <v>31</v>
      </c>
      <c r="M4106" s="0" t="s">
        <v>140</v>
      </c>
      <c r="N4106" s="0" t="n">
        <v>1961</v>
      </c>
      <c r="O4106" s="10" t="n">
        <v>0.868117368780077</v>
      </c>
      <c r="P4106" s="10" t="n">
        <v>0.362272296566516</v>
      </c>
      <c r="Q4106" s="0" t="str">
        <f aca="false">SUBSTITUTE(SUBSTITUTE($I4106,CHAR(61),""),CHAR(34),"")</f>
        <v>10-14</v>
      </c>
      <c r="R4106" s="0" t="str">
        <f aca="false">IF($D4106&lt;&gt;"","["&amp;$E4106&amp;"]"&amp;"|"&amp;$Q4106&amp;"|"&amp;$K4106&amp;"|"&amp;$G4106&amp;"|"&amp;IF($G4106="TX_CURR_SUBNAT.R","CY2022Q4",$M4106),"")</f>
        <v>[umc2n1Z4wNv]|10-14|Female|NEW_INFECTIONS_SUBNAT.T_1|CY2023Q3</v>
      </c>
    </row>
    <row r="4107" customFormat="false" ht="15" hidden="false" customHeight="false" outlineLevel="0" collapsed="false">
      <c r="D4107" s="0" t="s">
        <v>93</v>
      </c>
      <c r="E4107" s="0" t="s">
        <v>94</v>
      </c>
      <c r="F4107" s="0" t="s">
        <v>95</v>
      </c>
      <c r="G4107" s="0" t="s">
        <v>153</v>
      </c>
      <c r="H4107" s="0" t="s">
        <v>153</v>
      </c>
      <c r="I4107" s="0" t="s">
        <v>38</v>
      </c>
      <c r="J4107" s="0" t="s">
        <v>39</v>
      </c>
      <c r="K4107" s="0" t="s">
        <v>30</v>
      </c>
      <c r="L4107" s="0" t="s">
        <v>31</v>
      </c>
      <c r="M4107" s="0" t="s">
        <v>140</v>
      </c>
      <c r="N4107" s="0" t="n">
        <v>1243</v>
      </c>
      <c r="O4107" s="10" t="n">
        <v>0.560102949617431</v>
      </c>
      <c r="P4107" s="10" t="n">
        <v>0.362272296566516</v>
      </c>
      <c r="Q4107" s="0" t="str">
        <f aca="false">SUBSTITUTE(SUBSTITUTE($I4107,CHAR(61),""),CHAR(34),"")</f>
        <v>15-24</v>
      </c>
      <c r="R4107" s="0" t="str">
        <f aca="false">IF($D4107&lt;&gt;"","["&amp;$E4107&amp;"]"&amp;"|"&amp;$Q4107&amp;"|"&amp;$K4107&amp;"|"&amp;$G4107&amp;"|"&amp;IF($G4107="TX_CURR_SUBNAT.R","CY2022Q4",$M4107),"")</f>
        <v>[umc2n1Z4wNv]|15-24|Female|NEW_INFECTIONS_SUBNAT.T_1|CY2023Q3</v>
      </c>
    </row>
    <row r="4108" customFormat="false" ht="15" hidden="false" customHeight="false" outlineLevel="0" collapsed="false">
      <c r="D4108" s="0" t="s">
        <v>93</v>
      </c>
      <c r="E4108" s="0" t="s">
        <v>94</v>
      </c>
      <c r="F4108" s="0" t="s">
        <v>95</v>
      </c>
      <c r="G4108" s="0" t="s">
        <v>153</v>
      </c>
      <c r="H4108" s="0" t="s">
        <v>153</v>
      </c>
      <c r="I4108" s="0" t="s">
        <v>41</v>
      </c>
      <c r="J4108" s="0" t="s">
        <v>42</v>
      </c>
      <c r="K4108" s="0" t="s">
        <v>30</v>
      </c>
      <c r="L4108" s="0" t="s">
        <v>31</v>
      </c>
      <c r="M4108" s="0" t="s">
        <v>140</v>
      </c>
      <c r="N4108" s="0" t="n">
        <v>1413</v>
      </c>
      <c r="O4108" s="10" t="n">
        <v>0.504393984330818</v>
      </c>
      <c r="P4108" s="10" t="n">
        <v>0.362272296566516</v>
      </c>
      <c r="Q4108" s="0" t="str">
        <f aca="false">SUBSTITUTE(SUBSTITUTE($I4108,CHAR(61),""),CHAR(34),"")</f>
        <v>25-34</v>
      </c>
      <c r="R4108" s="0" t="str">
        <f aca="false">IF($D4108&lt;&gt;"","["&amp;$E4108&amp;"]"&amp;"|"&amp;$Q4108&amp;"|"&amp;$K4108&amp;"|"&amp;$G4108&amp;"|"&amp;IF($G4108="TX_CURR_SUBNAT.R","CY2022Q4",$M4108),"")</f>
        <v>[umc2n1Z4wNv]|25-34|Female|NEW_INFECTIONS_SUBNAT.T_1|CY2023Q3</v>
      </c>
    </row>
    <row r="4109" customFormat="false" ht="15" hidden="false" customHeight="false" outlineLevel="0" collapsed="false">
      <c r="D4109" s="0" t="s">
        <v>93</v>
      </c>
      <c r="E4109" s="0" t="s">
        <v>94</v>
      </c>
      <c r="F4109" s="0" t="s">
        <v>95</v>
      </c>
      <c r="G4109" s="0" t="s">
        <v>153</v>
      </c>
      <c r="H4109" s="0" t="s">
        <v>153</v>
      </c>
      <c r="I4109" s="0" t="s">
        <v>43</v>
      </c>
      <c r="J4109" s="0" t="s">
        <v>44</v>
      </c>
      <c r="K4109" s="0" t="s">
        <v>30</v>
      </c>
      <c r="L4109" s="0" t="s">
        <v>31</v>
      </c>
      <c r="M4109" s="0" t="s">
        <v>140</v>
      </c>
      <c r="N4109" s="0" t="n">
        <v>652</v>
      </c>
      <c r="O4109" s="10" t="n">
        <v>0.343689344357699</v>
      </c>
      <c r="P4109" s="10" t="n">
        <v>0.362272296566516</v>
      </c>
      <c r="Q4109" s="0" t="str">
        <f aca="false">SUBSTITUTE(SUBSTITUTE($I4109,CHAR(61),""),CHAR(34),"")</f>
        <v>35-49</v>
      </c>
      <c r="R4109" s="0" t="str">
        <f aca="false">IF($D4109&lt;&gt;"","["&amp;$E4109&amp;"]"&amp;"|"&amp;$Q4109&amp;"|"&amp;$K4109&amp;"|"&amp;$G4109&amp;"|"&amp;IF($G4109="TX_CURR_SUBNAT.R","CY2022Q4",$M4109),"")</f>
        <v>[umc2n1Z4wNv]|35-49|Female|NEW_INFECTIONS_SUBNAT.T_1|CY2023Q3</v>
      </c>
    </row>
    <row r="4110" customFormat="false" ht="15" hidden="false" customHeight="false" outlineLevel="0" collapsed="false">
      <c r="D4110" s="0" t="s">
        <v>93</v>
      </c>
      <c r="E4110" s="0" t="s">
        <v>94</v>
      </c>
      <c r="F4110" s="0" t="s">
        <v>95</v>
      </c>
      <c r="G4110" s="0" t="s">
        <v>153</v>
      </c>
      <c r="H4110" s="0" t="s">
        <v>153</v>
      </c>
      <c r="I4110" s="0" t="s">
        <v>45</v>
      </c>
      <c r="J4110" s="0" t="s">
        <v>46</v>
      </c>
      <c r="K4110" s="0" t="s">
        <v>30</v>
      </c>
      <c r="L4110" s="0" t="s">
        <v>31</v>
      </c>
      <c r="M4110" s="0" t="s">
        <v>140</v>
      </c>
      <c r="N4110" s="0" t="n">
        <v>832</v>
      </c>
      <c r="O4110" s="10" t="n">
        <v>0.0737100029364228</v>
      </c>
      <c r="P4110" s="10" t="n">
        <v>0.362272296566516</v>
      </c>
      <c r="Q4110" s="0" t="str">
        <f aca="false">SUBSTITUTE(SUBSTITUTE($I4110,CHAR(61),""),CHAR(34),"")</f>
        <v>50+</v>
      </c>
      <c r="R4110" s="0" t="str">
        <f aca="false">IF($D4110&lt;&gt;"","["&amp;$E4110&amp;"]"&amp;"|"&amp;$Q4110&amp;"|"&amp;$K4110&amp;"|"&amp;$G4110&amp;"|"&amp;IF($G4110="TX_CURR_SUBNAT.R","CY2022Q4",$M4110),"")</f>
        <v>[umc2n1Z4wNv]|50+|Female|NEW_INFECTIONS_SUBNAT.T_1|CY2023Q3</v>
      </c>
    </row>
    <row r="4111" customFormat="false" ht="15" hidden="false" customHeight="false" outlineLevel="0" collapsed="false">
      <c r="D4111" s="0" t="s">
        <v>93</v>
      </c>
      <c r="E4111" s="0" t="s">
        <v>94</v>
      </c>
      <c r="F4111" s="0" t="s">
        <v>95</v>
      </c>
      <c r="G4111" s="0" t="s">
        <v>153</v>
      </c>
      <c r="H4111" s="0" t="s">
        <v>153</v>
      </c>
      <c r="I4111" s="0" t="s">
        <v>28</v>
      </c>
      <c r="J4111" s="0" t="s">
        <v>29</v>
      </c>
      <c r="K4111" s="0" t="s">
        <v>48</v>
      </c>
      <c r="L4111" s="0" t="s">
        <v>49</v>
      </c>
      <c r="M4111" s="0" t="s">
        <v>140</v>
      </c>
      <c r="N4111" s="0" t="n">
        <v>1290</v>
      </c>
      <c r="O4111" s="10" t="n">
        <v>0.727234263438731</v>
      </c>
      <c r="P4111" s="10" t="n">
        <v>0.362272296566516</v>
      </c>
      <c r="Q4111" s="0" t="str">
        <f aca="false">SUBSTITUTE(SUBSTITUTE($I4111,CHAR(61),""),CHAR(34),"")</f>
        <v>&lt;01</v>
      </c>
      <c r="R4111" s="0" t="str">
        <f aca="false">IF($D4111&lt;&gt;"","["&amp;$E4111&amp;"]"&amp;"|"&amp;$Q4111&amp;"|"&amp;$K4111&amp;"|"&amp;$G4111&amp;"|"&amp;IF($G4111="TX_CURR_SUBNAT.R","CY2022Q4",$M4111),"")</f>
        <v>[umc2n1Z4wNv]|&lt;01|Male|NEW_INFECTIONS_SUBNAT.T_1|CY2023Q3</v>
      </c>
    </row>
    <row r="4112" customFormat="false" ht="15" hidden="false" customHeight="false" outlineLevel="0" collapsed="false">
      <c r="D4112" s="0" t="s">
        <v>93</v>
      </c>
      <c r="E4112" s="0" t="s">
        <v>94</v>
      </c>
      <c r="F4112" s="0" t="s">
        <v>95</v>
      </c>
      <c r="G4112" s="0" t="s">
        <v>153</v>
      </c>
      <c r="H4112" s="0" t="s">
        <v>153</v>
      </c>
      <c r="I4112" s="0" t="s">
        <v>33</v>
      </c>
      <c r="J4112" s="0" t="s">
        <v>34</v>
      </c>
      <c r="K4112" s="0" t="s">
        <v>48</v>
      </c>
      <c r="L4112" s="0" t="s">
        <v>49</v>
      </c>
      <c r="M4112" s="0" t="s">
        <v>140</v>
      </c>
      <c r="N4112" s="0" t="n">
        <v>1253</v>
      </c>
      <c r="O4112" s="10" t="n">
        <v>0.325045723933727</v>
      </c>
      <c r="P4112" s="10" t="n">
        <v>0.362272296566516</v>
      </c>
      <c r="Q4112" s="0" t="str">
        <f aca="false">SUBSTITUTE(SUBSTITUTE($I4112,CHAR(61),""),CHAR(34),"")</f>
        <v>01-09</v>
      </c>
      <c r="R4112" s="0" t="str">
        <f aca="false">IF($D4112&lt;&gt;"","["&amp;$E4112&amp;"]"&amp;"|"&amp;$Q4112&amp;"|"&amp;$K4112&amp;"|"&amp;$G4112&amp;"|"&amp;IF($G4112="TX_CURR_SUBNAT.R","CY2022Q4",$M4112),"")</f>
        <v>[umc2n1Z4wNv]|01-09|Male|NEW_INFECTIONS_SUBNAT.T_1|CY2023Q3</v>
      </c>
    </row>
    <row r="4113" customFormat="false" ht="15" hidden="false" customHeight="false" outlineLevel="0" collapsed="false">
      <c r="D4113" s="0" t="s">
        <v>93</v>
      </c>
      <c r="E4113" s="0" t="s">
        <v>94</v>
      </c>
      <c r="F4113" s="0" t="s">
        <v>95</v>
      </c>
      <c r="G4113" s="0" t="s">
        <v>153</v>
      </c>
      <c r="H4113" s="0" t="s">
        <v>153</v>
      </c>
      <c r="I4113" s="0" t="s">
        <v>36</v>
      </c>
      <c r="J4113" s="0" t="s">
        <v>37</v>
      </c>
      <c r="K4113" s="0" t="s">
        <v>48</v>
      </c>
      <c r="L4113" s="0" t="s">
        <v>49</v>
      </c>
      <c r="M4113" s="0" t="s">
        <v>140</v>
      </c>
      <c r="N4113" s="0" t="n">
        <v>1858</v>
      </c>
      <c r="O4113" s="10" t="n">
        <v>0.458988967584446</v>
      </c>
      <c r="P4113" s="10" t="n">
        <v>0.362272296566516</v>
      </c>
      <c r="Q4113" s="0" t="str">
        <f aca="false">SUBSTITUTE(SUBSTITUTE($I4113,CHAR(61),""),CHAR(34),"")</f>
        <v>10-14</v>
      </c>
      <c r="R4113" s="0" t="str">
        <f aca="false">IF($D4113&lt;&gt;"","["&amp;$E4113&amp;"]"&amp;"|"&amp;$Q4113&amp;"|"&amp;$K4113&amp;"|"&amp;$G4113&amp;"|"&amp;IF($G4113="TX_CURR_SUBNAT.R","CY2022Q4",$M4113),"")</f>
        <v>[umc2n1Z4wNv]|10-14|Male|NEW_INFECTIONS_SUBNAT.T_1|CY2023Q3</v>
      </c>
    </row>
    <row r="4114" customFormat="false" ht="15" hidden="false" customHeight="false" outlineLevel="0" collapsed="false">
      <c r="D4114" s="0" t="s">
        <v>93</v>
      </c>
      <c r="E4114" s="0" t="s">
        <v>94</v>
      </c>
      <c r="F4114" s="0" t="s">
        <v>95</v>
      </c>
      <c r="G4114" s="0" t="s">
        <v>153</v>
      </c>
      <c r="H4114" s="0" t="s">
        <v>153</v>
      </c>
      <c r="I4114" s="0" t="s">
        <v>38</v>
      </c>
      <c r="J4114" s="0" t="s">
        <v>39</v>
      </c>
      <c r="K4114" s="0" t="s">
        <v>48</v>
      </c>
      <c r="L4114" s="0" t="s">
        <v>49</v>
      </c>
      <c r="M4114" s="0" t="s">
        <v>140</v>
      </c>
      <c r="N4114" s="0" t="n">
        <v>904</v>
      </c>
      <c r="O4114" s="10" t="n">
        <v>0.857144293840975</v>
      </c>
      <c r="P4114" s="10" t="n">
        <v>0.362272296566516</v>
      </c>
      <c r="Q4114" s="0" t="str">
        <f aca="false">SUBSTITUTE(SUBSTITUTE($I4114,CHAR(61),""),CHAR(34),"")</f>
        <v>15-24</v>
      </c>
      <c r="R4114" s="0" t="str">
        <f aca="false">IF($D4114&lt;&gt;"","["&amp;$E4114&amp;"]"&amp;"|"&amp;$Q4114&amp;"|"&amp;$K4114&amp;"|"&amp;$G4114&amp;"|"&amp;IF($G4114="TX_CURR_SUBNAT.R","CY2022Q4",$M4114),"")</f>
        <v>[umc2n1Z4wNv]|15-24|Male|NEW_INFECTIONS_SUBNAT.T_1|CY2023Q3</v>
      </c>
    </row>
    <row r="4115" customFormat="false" ht="15" hidden="false" customHeight="false" outlineLevel="0" collapsed="false">
      <c r="D4115" s="0" t="s">
        <v>93</v>
      </c>
      <c r="E4115" s="0" t="s">
        <v>94</v>
      </c>
      <c r="F4115" s="0" t="s">
        <v>95</v>
      </c>
      <c r="G4115" s="0" t="s">
        <v>153</v>
      </c>
      <c r="H4115" s="0" t="s">
        <v>153</v>
      </c>
      <c r="I4115" s="0" t="s">
        <v>41</v>
      </c>
      <c r="J4115" s="0" t="s">
        <v>42</v>
      </c>
      <c r="K4115" s="0" t="s">
        <v>48</v>
      </c>
      <c r="L4115" s="0" t="s">
        <v>49</v>
      </c>
      <c r="M4115" s="0" t="s">
        <v>140</v>
      </c>
      <c r="N4115" s="0" t="n">
        <v>1942</v>
      </c>
      <c r="O4115" s="10" t="n">
        <v>0.373952221125364</v>
      </c>
      <c r="P4115" s="10" t="n">
        <v>0.362272296566516</v>
      </c>
      <c r="Q4115" s="0" t="str">
        <f aca="false">SUBSTITUTE(SUBSTITUTE($I4115,CHAR(61),""),CHAR(34),"")</f>
        <v>25-34</v>
      </c>
      <c r="R4115" s="0" t="str">
        <f aca="false">IF($D4115&lt;&gt;"","["&amp;$E4115&amp;"]"&amp;"|"&amp;$Q4115&amp;"|"&amp;$K4115&amp;"|"&amp;$G4115&amp;"|"&amp;IF($G4115="TX_CURR_SUBNAT.R","CY2022Q4",$M4115),"")</f>
        <v>[umc2n1Z4wNv]|25-34|Male|NEW_INFECTIONS_SUBNAT.T_1|CY2023Q3</v>
      </c>
    </row>
    <row r="4116" customFormat="false" ht="15" hidden="false" customHeight="false" outlineLevel="0" collapsed="false">
      <c r="D4116" s="0" t="s">
        <v>93</v>
      </c>
      <c r="E4116" s="0" t="s">
        <v>94</v>
      </c>
      <c r="F4116" s="0" t="s">
        <v>95</v>
      </c>
      <c r="G4116" s="0" t="s">
        <v>153</v>
      </c>
      <c r="H4116" s="0" t="s">
        <v>153</v>
      </c>
      <c r="I4116" s="0" t="s">
        <v>43</v>
      </c>
      <c r="J4116" s="0" t="s">
        <v>44</v>
      </c>
      <c r="K4116" s="0" t="s">
        <v>48</v>
      </c>
      <c r="L4116" s="0" t="s">
        <v>49</v>
      </c>
      <c r="M4116" s="0" t="s">
        <v>140</v>
      </c>
      <c r="N4116" s="0" t="n">
        <v>847</v>
      </c>
      <c r="O4116" s="10" t="n">
        <v>0.398184157675132</v>
      </c>
      <c r="P4116" s="10" t="n">
        <v>0.362272296566516</v>
      </c>
      <c r="Q4116" s="0" t="str">
        <f aca="false">SUBSTITUTE(SUBSTITUTE($I4116,CHAR(61),""),CHAR(34),"")</f>
        <v>35-49</v>
      </c>
      <c r="R4116" s="0" t="str">
        <f aca="false">IF($D4116&lt;&gt;"","["&amp;$E4116&amp;"]"&amp;"|"&amp;$Q4116&amp;"|"&amp;$K4116&amp;"|"&amp;$G4116&amp;"|"&amp;IF($G4116="TX_CURR_SUBNAT.R","CY2022Q4",$M4116),"")</f>
        <v>[umc2n1Z4wNv]|35-49|Male|NEW_INFECTIONS_SUBNAT.T_1|CY2023Q3</v>
      </c>
    </row>
    <row r="4117" customFormat="false" ht="15" hidden="false" customHeight="false" outlineLevel="0" collapsed="false">
      <c r="D4117" s="0" t="s">
        <v>93</v>
      </c>
      <c r="E4117" s="0" t="s">
        <v>94</v>
      </c>
      <c r="F4117" s="0" t="s">
        <v>95</v>
      </c>
      <c r="G4117" s="0" t="s">
        <v>153</v>
      </c>
      <c r="H4117" s="0" t="s">
        <v>153</v>
      </c>
      <c r="I4117" s="0" t="s">
        <v>45</v>
      </c>
      <c r="J4117" s="0" t="s">
        <v>46</v>
      </c>
      <c r="K4117" s="0" t="s">
        <v>48</v>
      </c>
      <c r="L4117" s="0" t="s">
        <v>49</v>
      </c>
      <c r="M4117" s="0" t="s">
        <v>140</v>
      </c>
      <c r="N4117" s="0" t="n">
        <v>513</v>
      </c>
      <c r="O4117" s="10" t="n">
        <v>0.92069043032825</v>
      </c>
      <c r="P4117" s="10" t="n">
        <v>0.362272296566516</v>
      </c>
      <c r="Q4117" s="0" t="str">
        <f aca="false">SUBSTITUTE(SUBSTITUTE($I4117,CHAR(61),""),CHAR(34),"")</f>
        <v>50+</v>
      </c>
      <c r="R4117" s="0" t="str">
        <f aca="false">IF($D4117&lt;&gt;"","["&amp;$E4117&amp;"]"&amp;"|"&amp;$Q4117&amp;"|"&amp;$K4117&amp;"|"&amp;$G4117&amp;"|"&amp;IF($G4117="TX_CURR_SUBNAT.R","CY2022Q4",$M4117),"")</f>
        <v>[umc2n1Z4wNv]|50+|Male|NEW_INFECTIONS_SUBNAT.T_1|CY2023Q3</v>
      </c>
    </row>
    <row r="4118" customFormat="false" ht="15" hidden="false" customHeight="false" outlineLevel="0" collapsed="false">
      <c r="D4118" s="0" t="s">
        <v>96</v>
      </c>
      <c r="E4118" s="0" t="s">
        <v>97</v>
      </c>
      <c r="F4118" s="0" t="s">
        <v>98</v>
      </c>
      <c r="G4118" s="0" t="s">
        <v>153</v>
      </c>
      <c r="H4118" s="0" t="s">
        <v>153</v>
      </c>
      <c r="I4118" s="0" t="s">
        <v>28</v>
      </c>
      <c r="J4118" s="0" t="s">
        <v>29</v>
      </c>
      <c r="K4118" s="0" t="s">
        <v>30</v>
      </c>
      <c r="L4118" s="0" t="s">
        <v>31</v>
      </c>
      <c r="M4118" s="0" t="s">
        <v>140</v>
      </c>
      <c r="N4118" s="0" t="n">
        <v>1299</v>
      </c>
      <c r="O4118" s="10" t="n">
        <v>0.905071721877903</v>
      </c>
      <c r="P4118" s="10" t="n">
        <v>0.601251717889681</v>
      </c>
      <c r="Q4118" s="0" t="str">
        <f aca="false">SUBSTITUTE(SUBSTITUTE($I4118,CHAR(61),""),CHAR(34),"")</f>
        <v>&lt;01</v>
      </c>
      <c r="R4118" s="0" t="str">
        <f aca="false">IF($D4118&lt;&gt;"","["&amp;$E4118&amp;"]"&amp;"|"&amp;$Q4118&amp;"|"&amp;$K4118&amp;"|"&amp;$G4118&amp;"|"&amp;IF($G4118="TX_CURR_SUBNAT.R","CY2022Q4",$M4118),"")</f>
        <v>[gwVYinjBAe9]|&lt;01|Female|NEW_INFECTIONS_SUBNAT.T_1|CY2023Q3</v>
      </c>
    </row>
    <row r="4119" customFormat="false" ht="15" hidden="false" customHeight="false" outlineLevel="0" collapsed="false">
      <c r="D4119" s="0" t="s">
        <v>96</v>
      </c>
      <c r="E4119" s="0" t="s">
        <v>97</v>
      </c>
      <c r="F4119" s="0" t="s">
        <v>98</v>
      </c>
      <c r="G4119" s="0" t="s">
        <v>153</v>
      </c>
      <c r="H4119" s="0" t="s">
        <v>153</v>
      </c>
      <c r="I4119" s="0" t="s">
        <v>33</v>
      </c>
      <c r="J4119" s="0" t="s">
        <v>34</v>
      </c>
      <c r="K4119" s="0" t="s">
        <v>30</v>
      </c>
      <c r="L4119" s="0" t="s">
        <v>31</v>
      </c>
      <c r="M4119" s="0" t="s">
        <v>140</v>
      </c>
      <c r="N4119" s="0" t="n">
        <v>1820</v>
      </c>
      <c r="O4119" s="10" t="n">
        <v>0.289730221731588</v>
      </c>
      <c r="P4119" s="10" t="n">
        <v>0.601251717889681</v>
      </c>
      <c r="Q4119" s="0" t="str">
        <f aca="false">SUBSTITUTE(SUBSTITUTE($I4119,CHAR(61),""),CHAR(34),"")</f>
        <v>01-09</v>
      </c>
      <c r="R4119" s="0" t="str">
        <f aca="false">IF($D4119&lt;&gt;"","["&amp;$E4119&amp;"]"&amp;"|"&amp;$Q4119&amp;"|"&amp;$K4119&amp;"|"&amp;$G4119&amp;"|"&amp;IF($G4119="TX_CURR_SUBNAT.R","CY2022Q4",$M4119),"")</f>
        <v>[gwVYinjBAe9]|01-09|Female|NEW_INFECTIONS_SUBNAT.T_1|CY2023Q3</v>
      </c>
    </row>
    <row r="4120" customFormat="false" ht="15" hidden="false" customHeight="false" outlineLevel="0" collapsed="false">
      <c r="D4120" s="0" t="s">
        <v>96</v>
      </c>
      <c r="E4120" s="0" t="s">
        <v>97</v>
      </c>
      <c r="F4120" s="0" t="s">
        <v>98</v>
      </c>
      <c r="G4120" s="0" t="s">
        <v>153</v>
      </c>
      <c r="H4120" s="0" t="s">
        <v>153</v>
      </c>
      <c r="I4120" s="0" t="s">
        <v>36</v>
      </c>
      <c r="J4120" s="0" t="s">
        <v>37</v>
      </c>
      <c r="K4120" s="0" t="s">
        <v>30</v>
      </c>
      <c r="L4120" s="0" t="s">
        <v>31</v>
      </c>
      <c r="M4120" s="0" t="s">
        <v>140</v>
      </c>
      <c r="N4120" s="0" t="n">
        <v>1084</v>
      </c>
      <c r="O4120" s="10" t="n">
        <v>0.618137932149693</v>
      </c>
      <c r="P4120" s="10" t="n">
        <v>0.601251717889681</v>
      </c>
      <c r="Q4120" s="0" t="str">
        <f aca="false">SUBSTITUTE(SUBSTITUTE($I4120,CHAR(61),""),CHAR(34),"")</f>
        <v>10-14</v>
      </c>
      <c r="R4120" s="0" t="str">
        <f aca="false">IF($D4120&lt;&gt;"","["&amp;$E4120&amp;"]"&amp;"|"&amp;$Q4120&amp;"|"&amp;$K4120&amp;"|"&amp;$G4120&amp;"|"&amp;IF($G4120="TX_CURR_SUBNAT.R","CY2022Q4",$M4120),"")</f>
        <v>[gwVYinjBAe9]|10-14|Female|NEW_INFECTIONS_SUBNAT.T_1|CY2023Q3</v>
      </c>
    </row>
    <row r="4121" customFormat="false" ht="15" hidden="false" customHeight="false" outlineLevel="0" collapsed="false">
      <c r="D4121" s="0" t="s">
        <v>96</v>
      </c>
      <c r="E4121" s="0" t="s">
        <v>97</v>
      </c>
      <c r="F4121" s="0" t="s">
        <v>98</v>
      </c>
      <c r="G4121" s="0" t="s">
        <v>153</v>
      </c>
      <c r="H4121" s="0" t="s">
        <v>153</v>
      </c>
      <c r="I4121" s="0" t="s">
        <v>38</v>
      </c>
      <c r="J4121" s="0" t="s">
        <v>39</v>
      </c>
      <c r="K4121" s="0" t="s">
        <v>30</v>
      </c>
      <c r="L4121" s="0" t="s">
        <v>31</v>
      </c>
      <c r="M4121" s="0" t="s">
        <v>140</v>
      </c>
      <c r="N4121" s="0" t="n">
        <v>1612</v>
      </c>
      <c r="O4121" s="10" t="n">
        <v>0.903823582455516</v>
      </c>
      <c r="P4121" s="10" t="n">
        <v>0.601251717889681</v>
      </c>
      <c r="Q4121" s="0" t="str">
        <f aca="false">SUBSTITUTE(SUBSTITUTE($I4121,CHAR(61),""),CHAR(34),"")</f>
        <v>15-24</v>
      </c>
      <c r="R4121" s="0" t="str">
        <f aca="false">IF($D4121&lt;&gt;"","["&amp;$E4121&amp;"]"&amp;"|"&amp;$Q4121&amp;"|"&amp;$K4121&amp;"|"&amp;$G4121&amp;"|"&amp;IF($G4121="TX_CURR_SUBNAT.R","CY2022Q4",$M4121),"")</f>
        <v>[gwVYinjBAe9]|15-24|Female|NEW_INFECTIONS_SUBNAT.T_1|CY2023Q3</v>
      </c>
    </row>
    <row r="4122" customFormat="false" ht="15" hidden="false" customHeight="false" outlineLevel="0" collapsed="false">
      <c r="D4122" s="0" t="s">
        <v>96</v>
      </c>
      <c r="E4122" s="0" t="s">
        <v>97</v>
      </c>
      <c r="F4122" s="0" t="s">
        <v>98</v>
      </c>
      <c r="G4122" s="0" t="s">
        <v>153</v>
      </c>
      <c r="H4122" s="0" t="s">
        <v>153</v>
      </c>
      <c r="I4122" s="0" t="s">
        <v>41</v>
      </c>
      <c r="J4122" s="0" t="s">
        <v>42</v>
      </c>
      <c r="K4122" s="0" t="s">
        <v>30</v>
      </c>
      <c r="L4122" s="0" t="s">
        <v>31</v>
      </c>
      <c r="M4122" s="0" t="s">
        <v>140</v>
      </c>
      <c r="N4122" s="0" t="n">
        <v>1879</v>
      </c>
      <c r="O4122" s="10" t="n">
        <v>0.379017447819933</v>
      </c>
      <c r="P4122" s="10" t="n">
        <v>0.601251717889681</v>
      </c>
      <c r="Q4122" s="0" t="str">
        <f aca="false">SUBSTITUTE(SUBSTITUTE($I4122,CHAR(61),""),CHAR(34),"")</f>
        <v>25-34</v>
      </c>
      <c r="R4122" s="0" t="str">
        <f aca="false">IF($D4122&lt;&gt;"","["&amp;$E4122&amp;"]"&amp;"|"&amp;$Q4122&amp;"|"&amp;$K4122&amp;"|"&amp;$G4122&amp;"|"&amp;IF($G4122="TX_CURR_SUBNAT.R","CY2022Q4",$M4122),"")</f>
        <v>[gwVYinjBAe9]|25-34|Female|NEW_INFECTIONS_SUBNAT.T_1|CY2023Q3</v>
      </c>
    </row>
    <row r="4123" customFormat="false" ht="15" hidden="false" customHeight="false" outlineLevel="0" collapsed="false">
      <c r="D4123" s="0" t="s">
        <v>96</v>
      </c>
      <c r="E4123" s="0" t="s">
        <v>97</v>
      </c>
      <c r="F4123" s="0" t="s">
        <v>98</v>
      </c>
      <c r="G4123" s="0" t="s">
        <v>153</v>
      </c>
      <c r="H4123" s="0" t="s">
        <v>153</v>
      </c>
      <c r="I4123" s="0" t="s">
        <v>43</v>
      </c>
      <c r="J4123" s="0" t="s">
        <v>44</v>
      </c>
      <c r="K4123" s="0" t="s">
        <v>30</v>
      </c>
      <c r="L4123" s="0" t="s">
        <v>31</v>
      </c>
      <c r="M4123" s="0" t="s">
        <v>140</v>
      </c>
      <c r="N4123" s="0" t="n">
        <v>1623</v>
      </c>
      <c r="O4123" s="10" t="n">
        <v>0.802901117363945</v>
      </c>
      <c r="P4123" s="10" t="n">
        <v>0.601251717889681</v>
      </c>
      <c r="Q4123" s="0" t="str">
        <f aca="false">SUBSTITUTE(SUBSTITUTE($I4123,CHAR(61),""),CHAR(34),"")</f>
        <v>35-49</v>
      </c>
      <c r="R4123" s="0" t="str">
        <f aca="false">IF($D4123&lt;&gt;"","["&amp;$E4123&amp;"]"&amp;"|"&amp;$Q4123&amp;"|"&amp;$K4123&amp;"|"&amp;$G4123&amp;"|"&amp;IF($G4123="TX_CURR_SUBNAT.R","CY2022Q4",$M4123),"")</f>
        <v>[gwVYinjBAe9]|35-49|Female|NEW_INFECTIONS_SUBNAT.T_1|CY2023Q3</v>
      </c>
    </row>
    <row r="4124" customFormat="false" ht="15" hidden="false" customHeight="false" outlineLevel="0" collapsed="false">
      <c r="D4124" s="0" t="s">
        <v>96</v>
      </c>
      <c r="E4124" s="0" t="s">
        <v>97</v>
      </c>
      <c r="F4124" s="0" t="s">
        <v>98</v>
      </c>
      <c r="G4124" s="0" t="s">
        <v>153</v>
      </c>
      <c r="H4124" s="0" t="s">
        <v>153</v>
      </c>
      <c r="I4124" s="0" t="s">
        <v>45</v>
      </c>
      <c r="J4124" s="0" t="s">
        <v>46</v>
      </c>
      <c r="K4124" s="0" t="s">
        <v>30</v>
      </c>
      <c r="L4124" s="0" t="s">
        <v>31</v>
      </c>
      <c r="M4124" s="0" t="s">
        <v>140</v>
      </c>
      <c r="N4124" s="0" t="n">
        <v>1226</v>
      </c>
      <c r="O4124" s="10" t="n">
        <v>0.283776882570237</v>
      </c>
      <c r="P4124" s="10" t="n">
        <v>0.601251717889681</v>
      </c>
      <c r="Q4124" s="0" t="str">
        <f aca="false">SUBSTITUTE(SUBSTITUTE($I4124,CHAR(61),""),CHAR(34),"")</f>
        <v>50+</v>
      </c>
      <c r="R4124" s="0" t="str">
        <f aca="false">IF($D4124&lt;&gt;"","["&amp;$E4124&amp;"]"&amp;"|"&amp;$Q4124&amp;"|"&amp;$K4124&amp;"|"&amp;$G4124&amp;"|"&amp;IF($G4124="TX_CURR_SUBNAT.R","CY2022Q4",$M4124),"")</f>
        <v>[gwVYinjBAe9]|50+|Female|NEW_INFECTIONS_SUBNAT.T_1|CY2023Q3</v>
      </c>
    </row>
    <row r="4125" customFormat="false" ht="15" hidden="false" customHeight="false" outlineLevel="0" collapsed="false">
      <c r="D4125" s="0" t="s">
        <v>96</v>
      </c>
      <c r="E4125" s="0" t="s">
        <v>97</v>
      </c>
      <c r="F4125" s="0" t="s">
        <v>98</v>
      </c>
      <c r="G4125" s="0" t="s">
        <v>153</v>
      </c>
      <c r="H4125" s="0" t="s">
        <v>153</v>
      </c>
      <c r="I4125" s="0" t="s">
        <v>28</v>
      </c>
      <c r="J4125" s="0" t="s">
        <v>29</v>
      </c>
      <c r="K4125" s="0" t="s">
        <v>48</v>
      </c>
      <c r="L4125" s="0" t="s">
        <v>49</v>
      </c>
      <c r="M4125" s="0" t="s">
        <v>140</v>
      </c>
      <c r="N4125" s="0" t="n">
        <v>1146</v>
      </c>
      <c r="O4125" s="10" t="n">
        <v>0.480426737340167</v>
      </c>
      <c r="P4125" s="10" t="n">
        <v>0.601251717889681</v>
      </c>
      <c r="Q4125" s="0" t="str">
        <f aca="false">SUBSTITUTE(SUBSTITUTE($I4125,CHAR(61),""),CHAR(34),"")</f>
        <v>&lt;01</v>
      </c>
      <c r="R4125" s="0" t="str">
        <f aca="false">IF($D4125&lt;&gt;"","["&amp;$E4125&amp;"]"&amp;"|"&amp;$Q4125&amp;"|"&amp;$K4125&amp;"|"&amp;$G4125&amp;"|"&amp;IF($G4125="TX_CURR_SUBNAT.R","CY2022Q4",$M4125),"")</f>
        <v>[gwVYinjBAe9]|&lt;01|Male|NEW_INFECTIONS_SUBNAT.T_1|CY2023Q3</v>
      </c>
    </row>
    <row r="4126" customFormat="false" ht="15" hidden="false" customHeight="false" outlineLevel="0" collapsed="false">
      <c r="D4126" s="0" t="s">
        <v>96</v>
      </c>
      <c r="E4126" s="0" t="s">
        <v>97</v>
      </c>
      <c r="F4126" s="0" t="s">
        <v>98</v>
      </c>
      <c r="G4126" s="0" t="s">
        <v>153</v>
      </c>
      <c r="H4126" s="0" t="s">
        <v>153</v>
      </c>
      <c r="I4126" s="0" t="s">
        <v>33</v>
      </c>
      <c r="J4126" s="0" t="s">
        <v>34</v>
      </c>
      <c r="K4126" s="0" t="s">
        <v>48</v>
      </c>
      <c r="L4126" s="0" t="s">
        <v>49</v>
      </c>
      <c r="M4126" s="0" t="s">
        <v>140</v>
      </c>
      <c r="N4126" s="0" t="n">
        <v>796</v>
      </c>
      <c r="O4126" s="10" t="n">
        <v>0.134774920297787</v>
      </c>
      <c r="P4126" s="10" t="n">
        <v>0.601251717889681</v>
      </c>
      <c r="Q4126" s="0" t="str">
        <f aca="false">SUBSTITUTE(SUBSTITUTE($I4126,CHAR(61),""),CHAR(34),"")</f>
        <v>01-09</v>
      </c>
      <c r="R4126" s="0" t="str">
        <f aca="false">IF($D4126&lt;&gt;"","["&amp;$E4126&amp;"]"&amp;"|"&amp;$Q4126&amp;"|"&amp;$K4126&amp;"|"&amp;$G4126&amp;"|"&amp;IF($G4126="TX_CURR_SUBNAT.R","CY2022Q4",$M4126),"")</f>
        <v>[gwVYinjBAe9]|01-09|Male|NEW_INFECTIONS_SUBNAT.T_1|CY2023Q3</v>
      </c>
    </row>
    <row r="4127" customFormat="false" ht="15" hidden="false" customHeight="false" outlineLevel="0" collapsed="false">
      <c r="D4127" s="0" t="s">
        <v>96</v>
      </c>
      <c r="E4127" s="0" t="s">
        <v>97</v>
      </c>
      <c r="F4127" s="0" t="s">
        <v>98</v>
      </c>
      <c r="G4127" s="0" t="s">
        <v>153</v>
      </c>
      <c r="H4127" s="0" t="s">
        <v>153</v>
      </c>
      <c r="I4127" s="0" t="s">
        <v>36</v>
      </c>
      <c r="J4127" s="0" t="s">
        <v>37</v>
      </c>
      <c r="K4127" s="0" t="s">
        <v>48</v>
      </c>
      <c r="L4127" s="0" t="s">
        <v>49</v>
      </c>
      <c r="M4127" s="0" t="s">
        <v>140</v>
      </c>
      <c r="N4127" s="0" t="n">
        <v>1368</v>
      </c>
      <c r="O4127" s="10" t="n">
        <v>0.321534180082381</v>
      </c>
      <c r="P4127" s="10" t="n">
        <v>0.601251717889681</v>
      </c>
      <c r="Q4127" s="0" t="str">
        <f aca="false">SUBSTITUTE(SUBSTITUTE($I4127,CHAR(61),""),CHAR(34),"")</f>
        <v>10-14</v>
      </c>
      <c r="R4127" s="0" t="str">
        <f aca="false">IF($D4127&lt;&gt;"","["&amp;$E4127&amp;"]"&amp;"|"&amp;$Q4127&amp;"|"&amp;$K4127&amp;"|"&amp;$G4127&amp;"|"&amp;IF($G4127="TX_CURR_SUBNAT.R","CY2022Q4",$M4127),"")</f>
        <v>[gwVYinjBAe9]|10-14|Male|NEW_INFECTIONS_SUBNAT.T_1|CY2023Q3</v>
      </c>
    </row>
    <row r="4128" customFormat="false" ht="15" hidden="false" customHeight="false" outlineLevel="0" collapsed="false">
      <c r="D4128" s="0" t="s">
        <v>96</v>
      </c>
      <c r="E4128" s="0" t="s">
        <v>97</v>
      </c>
      <c r="F4128" s="0" t="s">
        <v>98</v>
      </c>
      <c r="G4128" s="0" t="s">
        <v>153</v>
      </c>
      <c r="H4128" s="0" t="s">
        <v>153</v>
      </c>
      <c r="I4128" s="0" t="s">
        <v>38</v>
      </c>
      <c r="J4128" s="0" t="s">
        <v>39</v>
      </c>
      <c r="K4128" s="0" t="s">
        <v>48</v>
      </c>
      <c r="L4128" s="0" t="s">
        <v>49</v>
      </c>
      <c r="M4128" s="0" t="s">
        <v>140</v>
      </c>
      <c r="N4128" s="0" t="n">
        <v>1552</v>
      </c>
      <c r="O4128" s="10" t="n">
        <v>0.511279214872047</v>
      </c>
      <c r="P4128" s="10" t="n">
        <v>0.601251717889681</v>
      </c>
      <c r="Q4128" s="0" t="str">
        <f aca="false">SUBSTITUTE(SUBSTITUTE($I4128,CHAR(61),""),CHAR(34),"")</f>
        <v>15-24</v>
      </c>
      <c r="R4128" s="0" t="str">
        <f aca="false">IF($D4128&lt;&gt;"","["&amp;$E4128&amp;"]"&amp;"|"&amp;$Q4128&amp;"|"&amp;$K4128&amp;"|"&amp;$G4128&amp;"|"&amp;IF($G4128="TX_CURR_SUBNAT.R","CY2022Q4",$M4128),"")</f>
        <v>[gwVYinjBAe9]|15-24|Male|NEW_INFECTIONS_SUBNAT.T_1|CY2023Q3</v>
      </c>
    </row>
    <row r="4129" customFormat="false" ht="15" hidden="false" customHeight="false" outlineLevel="0" collapsed="false">
      <c r="D4129" s="0" t="s">
        <v>96</v>
      </c>
      <c r="E4129" s="0" t="s">
        <v>97</v>
      </c>
      <c r="F4129" s="0" t="s">
        <v>98</v>
      </c>
      <c r="G4129" s="0" t="s">
        <v>153</v>
      </c>
      <c r="H4129" s="0" t="s">
        <v>153</v>
      </c>
      <c r="I4129" s="0" t="s">
        <v>41</v>
      </c>
      <c r="J4129" s="0" t="s">
        <v>42</v>
      </c>
      <c r="K4129" s="0" t="s">
        <v>48</v>
      </c>
      <c r="L4129" s="0" t="s">
        <v>49</v>
      </c>
      <c r="M4129" s="0" t="s">
        <v>140</v>
      </c>
      <c r="N4129" s="0" t="n">
        <v>1341</v>
      </c>
      <c r="O4129" s="10" t="n">
        <v>0.231226700823754</v>
      </c>
      <c r="P4129" s="10" t="n">
        <v>0.601251717889681</v>
      </c>
      <c r="Q4129" s="0" t="str">
        <f aca="false">SUBSTITUTE(SUBSTITUTE($I4129,CHAR(61),""),CHAR(34),"")</f>
        <v>25-34</v>
      </c>
      <c r="R4129" s="0" t="str">
        <f aca="false">IF($D4129&lt;&gt;"","["&amp;$E4129&amp;"]"&amp;"|"&amp;$Q4129&amp;"|"&amp;$K4129&amp;"|"&amp;$G4129&amp;"|"&amp;IF($G4129="TX_CURR_SUBNAT.R","CY2022Q4",$M4129),"")</f>
        <v>[gwVYinjBAe9]|25-34|Male|NEW_INFECTIONS_SUBNAT.T_1|CY2023Q3</v>
      </c>
    </row>
    <row r="4130" customFormat="false" ht="15" hidden="false" customHeight="false" outlineLevel="0" collapsed="false">
      <c r="D4130" s="0" t="s">
        <v>96</v>
      </c>
      <c r="E4130" s="0" t="s">
        <v>97</v>
      </c>
      <c r="F4130" s="0" t="s">
        <v>98</v>
      </c>
      <c r="G4130" s="0" t="s">
        <v>153</v>
      </c>
      <c r="H4130" s="0" t="s">
        <v>153</v>
      </c>
      <c r="I4130" s="0" t="s">
        <v>43</v>
      </c>
      <c r="J4130" s="0" t="s">
        <v>44</v>
      </c>
      <c r="K4130" s="0" t="s">
        <v>48</v>
      </c>
      <c r="L4130" s="0" t="s">
        <v>49</v>
      </c>
      <c r="M4130" s="0" t="s">
        <v>140</v>
      </c>
      <c r="N4130" s="0" t="n">
        <v>1370</v>
      </c>
      <c r="O4130" s="10" t="n">
        <v>0.101011876249686</v>
      </c>
      <c r="P4130" s="10" t="n">
        <v>0.601251717889681</v>
      </c>
      <c r="Q4130" s="0" t="str">
        <f aca="false">SUBSTITUTE(SUBSTITUTE($I4130,CHAR(61),""),CHAR(34),"")</f>
        <v>35-49</v>
      </c>
      <c r="R4130" s="0" t="str">
        <f aca="false">IF($D4130&lt;&gt;"","["&amp;$E4130&amp;"]"&amp;"|"&amp;$Q4130&amp;"|"&amp;$K4130&amp;"|"&amp;$G4130&amp;"|"&amp;IF($G4130="TX_CURR_SUBNAT.R","CY2022Q4",$M4130),"")</f>
        <v>[gwVYinjBAe9]|35-49|Male|NEW_INFECTIONS_SUBNAT.T_1|CY2023Q3</v>
      </c>
    </row>
    <row r="4131" customFormat="false" ht="15" hidden="false" customHeight="false" outlineLevel="0" collapsed="false">
      <c r="D4131" s="0" t="s">
        <v>96</v>
      </c>
      <c r="E4131" s="0" t="s">
        <v>97</v>
      </c>
      <c r="F4131" s="0" t="s">
        <v>98</v>
      </c>
      <c r="G4131" s="0" t="s">
        <v>153</v>
      </c>
      <c r="H4131" s="0" t="s">
        <v>153</v>
      </c>
      <c r="I4131" s="0" t="s">
        <v>45</v>
      </c>
      <c r="J4131" s="0" t="s">
        <v>46</v>
      </c>
      <c r="K4131" s="0" t="s">
        <v>48</v>
      </c>
      <c r="L4131" s="0" t="s">
        <v>49</v>
      </c>
      <c r="M4131" s="0" t="s">
        <v>140</v>
      </c>
      <c r="N4131" s="0" t="n">
        <v>673</v>
      </c>
      <c r="O4131" s="10" t="n">
        <v>0.493059838190675</v>
      </c>
      <c r="P4131" s="10" t="n">
        <v>0.601251717889681</v>
      </c>
      <c r="Q4131" s="0" t="str">
        <f aca="false">SUBSTITUTE(SUBSTITUTE($I4131,CHAR(61),""),CHAR(34),"")</f>
        <v>50+</v>
      </c>
      <c r="R4131" s="0" t="str">
        <f aca="false">IF($D4131&lt;&gt;"","["&amp;$E4131&amp;"]"&amp;"|"&amp;$Q4131&amp;"|"&amp;$K4131&amp;"|"&amp;$G4131&amp;"|"&amp;IF($G4131="TX_CURR_SUBNAT.R","CY2022Q4",$M4131),"")</f>
        <v>[gwVYinjBAe9]|50+|Male|NEW_INFECTIONS_SUBNAT.T_1|CY2023Q3</v>
      </c>
    </row>
    <row r="4132" customFormat="false" ht="15" hidden="false" customHeight="false" outlineLevel="0" collapsed="false">
      <c r="D4132" s="0" t="s">
        <v>99</v>
      </c>
      <c r="E4132" s="0" t="s">
        <v>100</v>
      </c>
      <c r="F4132" s="0" t="s">
        <v>101</v>
      </c>
      <c r="G4132" s="0" t="s">
        <v>153</v>
      </c>
      <c r="H4132" s="0" t="s">
        <v>153</v>
      </c>
      <c r="I4132" s="0" t="s">
        <v>28</v>
      </c>
      <c r="J4132" s="0" t="s">
        <v>29</v>
      </c>
      <c r="K4132" s="0" t="s">
        <v>30</v>
      </c>
      <c r="L4132" s="0" t="s">
        <v>31</v>
      </c>
      <c r="M4132" s="0" t="s">
        <v>140</v>
      </c>
      <c r="N4132" s="0" t="n">
        <v>1967</v>
      </c>
      <c r="O4132" s="10" t="n">
        <v>0.670981413917616</v>
      </c>
      <c r="P4132" s="10" t="n">
        <v>0.577288038097322</v>
      </c>
      <c r="Q4132" s="0" t="str">
        <f aca="false">SUBSTITUTE(SUBSTITUTE($I4132,CHAR(61),""),CHAR(34),"")</f>
        <v>&lt;01</v>
      </c>
      <c r="R4132" s="0" t="str">
        <f aca="false">IF($D4132&lt;&gt;"","["&amp;$E4132&amp;"]"&amp;"|"&amp;$Q4132&amp;"|"&amp;$K4132&amp;"|"&amp;$G4132&amp;"|"&amp;IF($G4132="TX_CURR_SUBNAT.R","CY2022Q4",$M4132),"")</f>
        <v>[mxqa3CDFmIT]|&lt;01|Female|NEW_INFECTIONS_SUBNAT.T_1|CY2023Q3</v>
      </c>
    </row>
    <row r="4133" customFormat="false" ht="15" hidden="false" customHeight="false" outlineLevel="0" collapsed="false">
      <c r="D4133" s="0" t="s">
        <v>99</v>
      </c>
      <c r="E4133" s="0" t="s">
        <v>100</v>
      </c>
      <c r="F4133" s="0" t="s">
        <v>101</v>
      </c>
      <c r="G4133" s="0" t="s">
        <v>153</v>
      </c>
      <c r="H4133" s="0" t="s">
        <v>153</v>
      </c>
      <c r="I4133" s="0" t="s">
        <v>33</v>
      </c>
      <c r="J4133" s="0" t="s">
        <v>34</v>
      </c>
      <c r="K4133" s="0" t="s">
        <v>30</v>
      </c>
      <c r="L4133" s="0" t="s">
        <v>31</v>
      </c>
      <c r="M4133" s="0" t="s">
        <v>140</v>
      </c>
      <c r="N4133" s="0" t="n">
        <v>867</v>
      </c>
      <c r="O4133" s="10" t="n">
        <v>0.994968625484034</v>
      </c>
      <c r="P4133" s="10" t="n">
        <v>0.577288038097322</v>
      </c>
      <c r="Q4133" s="0" t="str">
        <f aca="false">SUBSTITUTE(SUBSTITUTE($I4133,CHAR(61),""),CHAR(34),"")</f>
        <v>01-09</v>
      </c>
      <c r="R4133" s="0" t="str">
        <f aca="false">IF($D4133&lt;&gt;"","["&amp;$E4133&amp;"]"&amp;"|"&amp;$Q4133&amp;"|"&amp;$K4133&amp;"|"&amp;$G4133&amp;"|"&amp;IF($G4133="TX_CURR_SUBNAT.R","CY2022Q4",$M4133),"")</f>
        <v>[mxqa3CDFmIT]|01-09|Female|NEW_INFECTIONS_SUBNAT.T_1|CY2023Q3</v>
      </c>
    </row>
    <row r="4134" customFormat="false" ht="15" hidden="false" customHeight="false" outlineLevel="0" collapsed="false">
      <c r="D4134" s="0" t="s">
        <v>99</v>
      </c>
      <c r="E4134" s="0" t="s">
        <v>100</v>
      </c>
      <c r="F4134" s="0" t="s">
        <v>101</v>
      </c>
      <c r="G4134" s="0" t="s">
        <v>153</v>
      </c>
      <c r="H4134" s="0" t="s">
        <v>153</v>
      </c>
      <c r="I4134" s="0" t="s">
        <v>36</v>
      </c>
      <c r="J4134" s="0" t="s">
        <v>37</v>
      </c>
      <c r="K4134" s="0" t="s">
        <v>30</v>
      </c>
      <c r="L4134" s="0" t="s">
        <v>31</v>
      </c>
      <c r="M4134" s="0" t="s">
        <v>140</v>
      </c>
      <c r="N4134" s="0" t="n">
        <v>1055</v>
      </c>
      <c r="O4134" s="10" t="n">
        <v>0.652352721197531</v>
      </c>
      <c r="P4134" s="10" t="n">
        <v>0.577288038097322</v>
      </c>
      <c r="Q4134" s="0" t="str">
        <f aca="false">SUBSTITUTE(SUBSTITUTE($I4134,CHAR(61),""),CHAR(34),"")</f>
        <v>10-14</v>
      </c>
      <c r="R4134" s="0" t="str">
        <f aca="false">IF($D4134&lt;&gt;"","["&amp;$E4134&amp;"]"&amp;"|"&amp;$Q4134&amp;"|"&amp;$K4134&amp;"|"&amp;$G4134&amp;"|"&amp;IF($G4134="TX_CURR_SUBNAT.R","CY2022Q4",$M4134),"")</f>
        <v>[mxqa3CDFmIT]|10-14|Female|NEW_INFECTIONS_SUBNAT.T_1|CY2023Q3</v>
      </c>
    </row>
    <row r="4135" customFormat="false" ht="15" hidden="false" customHeight="false" outlineLevel="0" collapsed="false">
      <c r="D4135" s="0" t="s">
        <v>99</v>
      </c>
      <c r="E4135" s="0" t="s">
        <v>100</v>
      </c>
      <c r="F4135" s="0" t="s">
        <v>101</v>
      </c>
      <c r="G4135" s="0" t="s">
        <v>153</v>
      </c>
      <c r="H4135" s="0" t="s">
        <v>153</v>
      </c>
      <c r="I4135" s="0" t="s">
        <v>38</v>
      </c>
      <c r="J4135" s="0" t="s">
        <v>39</v>
      </c>
      <c r="K4135" s="0" t="s">
        <v>30</v>
      </c>
      <c r="L4135" s="0" t="s">
        <v>31</v>
      </c>
      <c r="M4135" s="0" t="s">
        <v>140</v>
      </c>
      <c r="N4135" s="0" t="n">
        <v>1643</v>
      </c>
      <c r="O4135" s="10" t="n">
        <v>0.244198117172346</v>
      </c>
      <c r="P4135" s="10" t="n">
        <v>0.577288038097322</v>
      </c>
      <c r="Q4135" s="0" t="str">
        <f aca="false">SUBSTITUTE(SUBSTITUTE($I4135,CHAR(61),""),CHAR(34),"")</f>
        <v>15-24</v>
      </c>
      <c r="R4135" s="0" t="str">
        <f aca="false">IF($D4135&lt;&gt;"","["&amp;$E4135&amp;"]"&amp;"|"&amp;$Q4135&amp;"|"&amp;$K4135&amp;"|"&amp;$G4135&amp;"|"&amp;IF($G4135="TX_CURR_SUBNAT.R","CY2022Q4",$M4135),"")</f>
        <v>[mxqa3CDFmIT]|15-24|Female|NEW_INFECTIONS_SUBNAT.T_1|CY2023Q3</v>
      </c>
    </row>
    <row r="4136" customFormat="false" ht="15" hidden="false" customHeight="false" outlineLevel="0" collapsed="false">
      <c r="D4136" s="0" t="s">
        <v>99</v>
      </c>
      <c r="E4136" s="0" t="s">
        <v>100</v>
      </c>
      <c r="F4136" s="0" t="s">
        <v>101</v>
      </c>
      <c r="G4136" s="0" t="s">
        <v>153</v>
      </c>
      <c r="H4136" s="0" t="s">
        <v>153</v>
      </c>
      <c r="I4136" s="0" t="s">
        <v>41</v>
      </c>
      <c r="J4136" s="0" t="s">
        <v>42</v>
      </c>
      <c r="K4136" s="0" t="s">
        <v>30</v>
      </c>
      <c r="L4136" s="0" t="s">
        <v>31</v>
      </c>
      <c r="M4136" s="0" t="s">
        <v>140</v>
      </c>
      <c r="N4136" s="0" t="n">
        <v>1092</v>
      </c>
      <c r="O4136" s="10" t="n">
        <v>0.360665919957682</v>
      </c>
      <c r="P4136" s="10" t="n">
        <v>0.577288038097322</v>
      </c>
      <c r="Q4136" s="0" t="str">
        <f aca="false">SUBSTITUTE(SUBSTITUTE($I4136,CHAR(61),""),CHAR(34),"")</f>
        <v>25-34</v>
      </c>
      <c r="R4136" s="0" t="str">
        <f aca="false">IF($D4136&lt;&gt;"","["&amp;$E4136&amp;"]"&amp;"|"&amp;$Q4136&amp;"|"&amp;$K4136&amp;"|"&amp;$G4136&amp;"|"&amp;IF($G4136="TX_CURR_SUBNAT.R","CY2022Q4",$M4136),"")</f>
        <v>[mxqa3CDFmIT]|25-34|Female|NEW_INFECTIONS_SUBNAT.T_1|CY2023Q3</v>
      </c>
    </row>
    <row r="4137" customFormat="false" ht="15" hidden="false" customHeight="false" outlineLevel="0" collapsed="false">
      <c r="D4137" s="0" t="s">
        <v>99</v>
      </c>
      <c r="E4137" s="0" t="s">
        <v>100</v>
      </c>
      <c r="F4137" s="0" t="s">
        <v>101</v>
      </c>
      <c r="G4137" s="0" t="s">
        <v>153</v>
      </c>
      <c r="H4137" s="0" t="s">
        <v>153</v>
      </c>
      <c r="I4137" s="0" t="s">
        <v>43</v>
      </c>
      <c r="J4137" s="0" t="s">
        <v>44</v>
      </c>
      <c r="K4137" s="0" t="s">
        <v>30</v>
      </c>
      <c r="L4137" s="0" t="s">
        <v>31</v>
      </c>
      <c r="M4137" s="0" t="s">
        <v>140</v>
      </c>
      <c r="N4137" s="0" t="n">
        <v>1008</v>
      </c>
      <c r="O4137" s="10" t="n">
        <v>0.340564352460206</v>
      </c>
      <c r="P4137" s="10" t="n">
        <v>0.577288038097322</v>
      </c>
      <c r="Q4137" s="0" t="str">
        <f aca="false">SUBSTITUTE(SUBSTITUTE($I4137,CHAR(61),""),CHAR(34),"")</f>
        <v>35-49</v>
      </c>
      <c r="R4137" s="0" t="str">
        <f aca="false">IF($D4137&lt;&gt;"","["&amp;$E4137&amp;"]"&amp;"|"&amp;$Q4137&amp;"|"&amp;$K4137&amp;"|"&amp;$G4137&amp;"|"&amp;IF($G4137="TX_CURR_SUBNAT.R","CY2022Q4",$M4137),"")</f>
        <v>[mxqa3CDFmIT]|35-49|Female|NEW_INFECTIONS_SUBNAT.T_1|CY2023Q3</v>
      </c>
    </row>
    <row r="4138" customFormat="false" ht="15" hidden="false" customHeight="false" outlineLevel="0" collapsed="false">
      <c r="D4138" s="0" t="s">
        <v>99</v>
      </c>
      <c r="E4138" s="0" t="s">
        <v>100</v>
      </c>
      <c r="F4138" s="0" t="s">
        <v>101</v>
      </c>
      <c r="G4138" s="0" t="s">
        <v>153</v>
      </c>
      <c r="H4138" s="0" t="s">
        <v>153</v>
      </c>
      <c r="I4138" s="0" t="s">
        <v>45</v>
      </c>
      <c r="J4138" s="0" t="s">
        <v>46</v>
      </c>
      <c r="K4138" s="0" t="s">
        <v>30</v>
      </c>
      <c r="L4138" s="0" t="s">
        <v>31</v>
      </c>
      <c r="M4138" s="0" t="s">
        <v>140</v>
      </c>
      <c r="N4138" s="0" t="n">
        <v>1901</v>
      </c>
      <c r="O4138" s="10" t="n">
        <v>0.544469206128269</v>
      </c>
      <c r="P4138" s="10" t="n">
        <v>0.577288038097322</v>
      </c>
      <c r="Q4138" s="0" t="str">
        <f aca="false">SUBSTITUTE(SUBSTITUTE($I4138,CHAR(61),""),CHAR(34),"")</f>
        <v>50+</v>
      </c>
      <c r="R4138" s="0" t="str">
        <f aca="false">IF($D4138&lt;&gt;"","["&amp;$E4138&amp;"]"&amp;"|"&amp;$Q4138&amp;"|"&amp;$K4138&amp;"|"&amp;$G4138&amp;"|"&amp;IF($G4138="TX_CURR_SUBNAT.R","CY2022Q4",$M4138),"")</f>
        <v>[mxqa3CDFmIT]|50+|Female|NEW_INFECTIONS_SUBNAT.T_1|CY2023Q3</v>
      </c>
    </row>
    <row r="4139" customFormat="false" ht="15" hidden="false" customHeight="false" outlineLevel="0" collapsed="false">
      <c r="D4139" s="0" t="s">
        <v>99</v>
      </c>
      <c r="E4139" s="0" t="s">
        <v>100</v>
      </c>
      <c r="F4139" s="0" t="s">
        <v>101</v>
      </c>
      <c r="G4139" s="0" t="s">
        <v>153</v>
      </c>
      <c r="H4139" s="0" t="s">
        <v>153</v>
      </c>
      <c r="I4139" s="0" t="s">
        <v>28</v>
      </c>
      <c r="J4139" s="0" t="s">
        <v>29</v>
      </c>
      <c r="K4139" s="0" t="s">
        <v>48</v>
      </c>
      <c r="L4139" s="0" t="s">
        <v>49</v>
      </c>
      <c r="M4139" s="0" t="s">
        <v>140</v>
      </c>
      <c r="N4139" s="0" t="n">
        <v>1080</v>
      </c>
      <c r="O4139" s="10" t="n">
        <v>0.523854482453316</v>
      </c>
      <c r="P4139" s="10" t="n">
        <v>0.577288038097322</v>
      </c>
      <c r="Q4139" s="0" t="str">
        <f aca="false">SUBSTITUTE(SUBSTITUTE($I4139,CHAR(61),""),CHAR(34),"")</f>
        <v>&lt;01</v>
      </c>
      <c r="R4139" s="0" t="str">
        <f aca="false">IF($D4139&lt;&gt;"","["&amp;$E4139&amp;"]"&amp;"|"&amp;$Q4139&amp;"|"&amp;$K4139&amp;"|"&amp;$G4139&amp;"|"&amp;IF($G4139="TX_CURR_SUBNAT.R","CY2022Q4",$M4139),"")</f>
        <v>[mxqa3CDFmIT]|&lt;01|Male|NEW_INFECTIONS_SUBNAT.T_1|CY2023Q3</v>
      </c>
    </row>
    <row r="4140" customFormat="false" ht="15" hidden="false" customHeight="false" outlineLevel="0" collapsed="false">
      <c r="D4140" s="0" t="s">
        <v>99</v>
      </c>
      <c r="E4140" s="0" t="s">
        <v>100</v>
      </c>
      <c r="F4140" s="0" t="s">
        <v>101</v>
      </c>
      <c r="G4140" s="0" t="s">
        <v>153</v>
      </c>
      <c r="H4140" s="0" t="s">
        <v>153</v>
      </c>
      <c r="I4140" s="0" t="s">
        <v>33</v>
      </c>
      <c r="J4140" s="0" t="s">
        <v>34</v>
      </c>
      <c r="K4140" s="0" t="s">
        <v>48</v>
      </c>
      <c r="L4140" s="0" t="s">
        <v>49</v>
      </c>
      <c r="M4140" s="0" t="s">
        <v>140</v>
      </c>
      <c r="N4140" s="0" t="n">
        <v>1469</v>
      </c>
      <c r="O4140" s="10" t="n">
        <v>0.80671851313673</v>
      </c>
      <c r="P4140" s="10" t="n">
        <v>0.577288038097322</v>
      </c>
      <c r="Q4140" s="0" t="str">
        <f aca="false">SUBSTITUTE(SUBSTITUTE($I4140,CHAR(61),""),CHAR(34),"")</f>
        <v>01-09</v>
      </c>
      <c r="R4140" s="0" t="str">
        <f aca="false">IF($D4140&lt;&gt;"","["&amp;$E4140&amp;"]"&amp;"|"&amp;$Q4140&amp;"|"&amp;$K4140&amp;"|"&amp;$G4140&amp;"|"&amp;IF($G4140="TX_CURR_SUBNAT.R","CY2022Q4",$M4140),"")</f>
        <v>[mxqa3CDFmIT]|01-09|Male|NEW_INFECTIONS_SUBNAT.T_1|CY2023Q3</v>
      </c>
    </row>
    <row r="4141" customFormat="false" ht="15" hidden="false" customHeight="false" outlineLevel="0" collapsed="false">
      <c r="D4141" s="0" t="s">
        <v>99</v>
      </c>
      <c r="E4141" s="0" t="s">
        <v>100</v>
      </c>
      <c r="F4141" s="0" t="s">
        <v>101</v>
      </c>
      <c r="G4141" s="0" t="s">
        <v>153</v>
      </c>
      <c r="H4141" s="0" t="s">
        <v>153</v>
      </c>
      <c r="I4141" s="0" t="s">
        <v>36</v>
      </c>
      <c r="J4141" s="0" t="s">
        <v>37</v>
      </c>
      <c r="K4141" s="0" t="s">
        <v>48</v>
      </c>
      <c r="L4141" s="0" t="s">
        <v>49</v>
      </c>
      <c r="M4141" s="0" t="s">
        <v>140</v>
      </c>
      <c r="N4141" s="0" t="n">
        <v>873</v>
      </c>
      <c r="O4141" s="10" t="n">
        <v>0.167418647324666</v>
      </c>
      <c r="P4141" s="10" t="n">
        <v>0.577288038097322</v>
      </c>
      <c r="Q4141" s="0" t="str">
        <f aca="false">SUBSTITUTE(SUBSTITUTE($I4141,CHAR(61),""),CHAR(34),"")</f>
        <v>10-14</v>
      </c>
      <c r="R4141" s="0" t="str">
        <f aca="false">IF($D4141&lt;&gt;"","["&amp;$E4141&amp;"]"&amp;"|"&amp;$Q4141&amp;"|"&amp;$K4141&amp;"|"&amp;$G4141&amp;"|"&amp;IF($G4141="TX_CURR_SUBNAT.R","CY2022Q4",$M4141),"")</f>
        <v>[mxqa3CDFmIT]|10-14|Male|NEW_INFECTIONS_SUBNAT.T_1|CY2023Q3</v>
      </c>
    </row>
    <row r="4142" customFormat="false" ht="15" hidden="false" customHeight="false" outlineLevel="0" collapsed="false">
      <c r="D4142" s="0" t="s">
        <v>99</v>
      </c>
      <c r="E4142" s="0" t="s">
        <v>100</v>
      </c>
      <c r="F4142" s="0" t="s">
        <v>101</v>
      </c>
      <c r="G4142" s="0" t="s">
        <v>153</v>
      </c>
      <c r="H4142" s="0" t="s">
        <v>153</v>
      </c>
      <c r="I4142" s="0" t="s">
        <v>38</v>
      </c>
      <c r="J4142" s="0" t="s">
        <v>39</v>
      </c>
      <c r="K4142" s="0" t="s">
        <v>48</v>
      </c>
      <c r="L4142" s="0" t="s">
        <v>49</v>
      </c>
      <c r="M4142" s="0" t="s">
        <v>140</v>
      </c>
      <c r="N4142" s="0" t="n">
        <v>956</v>
      </c>
      <c r="O4142" s="10" t="n">
        <v>0.539773610187694</v>
      </c>
      <c r="P4142" s="10" t="n">
        <v>0.577288038097322</v>
      </c>
      <c r="Q4142" s="0" t="str">
        <f aca="false">SUBSTITUTE(SUBSTITUTE($I4142,CHAR(61),""),CHAR(34),"")</f>
        <v>15-24</v>
      </c>
      <c r="R4142" s="0" t="str">
        <f aca="false">IF($D4142&lt;&gt;"","["&amp;$E4142&amp;"]"&amp;"|"&amp;$Q4142&amp;"|"&amp;$K4142&amp;"|"&amp;$G4142&amp;"|"&amp;IF($G4142="TX_CURR_SUBNAT.R","CY2022Q4",$M4142),"")</f>
        <v>[mxqa3CDFmIT]|15-24|Male|NEW_INFECTIONS_SUBNAT.T_1|CY2023Q3</v>
      </c>
    </row>
    <row r="4143" customFormat="false" ht="15" hidden="false" customHeight="false" outlineLevel="0" collapsed="false">
      <c r="D4143" s="0" t="s">
        <v>99</v>
      </c>
      <c r="E4143" s="0" t="s">
        <v>100</v>
      </c>
      <c r="F4143" s="0" t="s">
        <v>101</v>
      </c>
      <c r="G4143" s="0" t="s">
        <v>153</v>
      </c>
      <c r="H4143" s="0" t="s">
        <v>153</v>
      </c>
      <c r="I4143" s="0" t="s">
        <v>41</v>
      </c>
      <c r="J4143" s="0" t="s">
        <v>42</v>
      </c>
      <c r="K4143" s="0" t="s">
        <v>48</v>
      </c>
      <c r="L4143" s="0" t="s">
        <v>49</v>
      </c>
      <c r="M4143" s="0" t="s">
        <v>140</v>
      </c>
      <c r="N4143" s="0" t="n">
        <v>1651</v>
      </c>
      <c r="O4143" s="10" t="n">
        <v>0.22116764052771</v>
      </c>
      <c r="P4143" s="10" t="n">
        <v>0.577288038097322</v>
      </c>
      <c r="Q4143" s="0" t="str">
        <f aca="false">SUBSTITUTE(SUBSTITUTE($I4143,CHAR(61),""),CHAR(34),"")</f>
        <v>25-34</v>
      </c>
      <c r="R4143" s="0" t="str">
        <f aca="false">IF($D4143&lt;&gt;"","["&amp;$E4143&amp;"]"&amp;"|"&amp;$Q4143&amp;"|"&amp;$K4143&amp;"|"&amp;$G4143&amp;"|"&amp;IF($G4143="TX_CURR_SUBNAT.R","CY2022Q4",$M4143),"")</f>
        <v>[mxqa3CDFmIT]|25-34|Male|NEW_INFECTIONS_SUBNAT.T_1|CY2023Q3</v>
      </c>
    </row>
    <row r="4144" customFormat="false" ht="15" hidden="false" customHeight="false" outlineLevel="0" collapsed="false">
      <c r="D4144" s="0" t="s">
        <v>99</v>
      </c>
      <c r="E4144" s="0" t="s">
        <v>100</v>
      </c>
      <c r="F4144" s="0" t="s">
        <v>101</v>
      </c>
      <c r="G4144" s="0" t="s">
        <v>153</v>
      </c>
      <c r="H4144" s="0" t="s">
        <v>153</v>
      </c>
      <c r="I4144" s="0" t="s">
        <v>43</v>
      </c>
      <c r="J4144" s="0" t="s">
        <v>44</v>
      </c>
      <c r="K4144" s="0" t="s">
        <v>48</v>
      </c>
      <c r="L4144" s="0" t="s">
        <v>49</v>
      </c>
      <c r="M4144" s="0" t="s">
        <v>140</v>
      </c>
      <c r="N4144" s="0" t="n">
        <v>1286</v>
      </c>
      <c r="O4144" s="10" t="n">
        <v>0.639820196432993</v>
      </c>
      <c r="P4144" s="10" t="n">
        <v>0.577288038097322</v>
      </c>
      <c r="Q4144" s="0" t="str">
        <f aca="false">SUBSTITUTE(SUBSTITUTE($I4144,CHAR(61),""),CHAR(34),"")</f>
        <v>35-49</v>
      </c>
      <c r="R4144" s="0" t="str">
        <f aca="false">IF($D4144&lt;&gt;"","["&amp;$E4144&amp;"]"&amp;"|"&amp;$Q4144&amp;"|"&amp;$K4144&amp;"|"&amp;$G4144&amp;"|"&amp;IF($G4144="TX_CURR_SUBNAT.R","CY2022Q4",$M4144),"")</f>
        <v>[mxqa3CDFmIT]|35-49|Male|NEW_INFECTIONS_SUBNAT.T_1|CY2023Q3</v>
      </c>
    </row>
    <row r="4145" customFormat="false" ht="15" hidden="false" customHeight="false" outlineLevel="0" collapsed="false">
      <c r="D4145" s="0" t="s">
        <v>99</v>
      </c>
      <c r="E4145" s="0" t="s">
        <v>100</v>
      </c>
      <c r="F4145" s="0" t="s">
        <v>101</v>
      </c>
      <c r="G4145" s="0" t="s">
        <v>153</v>
      </c>
      <c r="H4145" s="0" t="s">
        <v>153</v>
      </c>
      <c r="I4145" s="0" t="s">
        <v>45</v>
      </c>
      <c r="J4145" s="0" t="s">
        <v>46</v>
      </c>
      <c r="K4145" s="0" t="s">
        <v>48</v>
      </c>
      <c r="L4145" s="0" t="s">
        <v>49</v>
      </c>
      <c r="M4145" s="0" t="s">
        <v>140</v>
      </c>
      <c r="N4145" s="0" t="n">
        <v>501</v>
      </c>
      <c r="O4145" s="10" t="n">
        <v>0.292636304860935</v>
      </c>
      <c r="P4145" s="10" t="n">
        <v>0.577288038097322</v>
      </c>
      <c r="Q4145" s="0" t="str">
        <f aca="false">SUBSTITUTE(SUBSTITUTE($I4145,CHAR(61),""),CHAR(34),"")</f>
        <v>50+</v>
      </c>
      <c r="R4145" s="0" t="str">
        <f aca="false">IF($D4145&lt;&gt;"","["&amp;$E4145&amp;"]"&amp;"|"&amp;$Q4145&amp;"|"&amp;$K4145&amp;"|"&amp;$G4145&amp;"|"&amp;IF($G4145="TX_CURR_SUBNAT.R","CY2022Q4",$M4145),"")</f>
        <v>[mxqa3CDFmIT]|50+|Male|NEW_INFECTIONS_SUBNAT.T_1|CY2023Q3</v>
      </c>
    </row>
    <row r="4146" customFormat="false" ht="15" hidden="false" customHeight="false" outlineLevel="0" collapsed="false">
      <c r="D4146" s="0" t="s">
        <v>102</v>
      </c>
      <c r="E4146" s="0" t="s">
        <v>103</v>
      </c>
      <c r="F4146" s="0" t="s">
        <v>104</v>
      </c>
      <c r="G4146" s="0" t="s">
        <v>153</v>
      </c>
      <c r="H4146" s="0" t="s">
        <v>153</v>
      </c>
      <c r="I4146" s="0" t="s">
        <v>28</v>
      </c>
      <c r="J4146" s="0" t="s">
        <v>29</v>
      </c>
      <c r="K4146" s="0" t="s">
        <v>30</v>
      </c>
      <c r="L4146" s="0" t="s">
        <v>31</v>
      </c>
      <c r="M4146" s="0" t="s">
        <v>140</v>
      </c>
      <c r="N4146" s="0" t="n">
        <v>1369</v>
      </c>
      <c r="O4146" s="10" t="n">
        <v>0.52178695006296</v>
      </c>
      <c r="P4146" s="10" t="n">
        <v>0.526212359312922</v>
      </c>
      <c r="Q4146" s="0" t="str">
        <f aca="false">SUBSTITUTE(SUBSTITUTE($I4146,CHAR(61),""),CHAR(34),"")</f>
        <v>&lt;01</v>
      </c>
      <c r="R4146" s="0" t="str">
        <f aca="false">IF($D4146&lt;&gt;"","["&amp;$E4146&amp;"]"&amp;"|"&amp;$Q4146&amp;"|"&amp;$K4146&amp;"|"&amp;$G4146&amp;"|"&amp;IF($G4146="TX_CURR_SUBNAT.R","CY2022Q4",$M4146),"")</f>
        <v>[wNqJp8oRIcF]|&lt;01|Female|NEW_INFECTIONS_SUBNAT.T_1|CY2023Q3</v>
      </c>
    </row>
    <row r="4147" customFormat="false" ht="15" hidden="false" customHeight="false" outlineLevel="0" collapsed="false">
      <c r="D4147" s="0" t="s">
        <v>102</v>
      </c>
      <c r="E4147" s="0" t="s">
        <v>103</v>
      </c>
      <c r="F4147" s="0" t="s">
        <v>104</v>
      </c>
      <c r="G4147" s="0" t="s">
        <v>153</v>
      </c>
      <c r="H4147" s="0" t="s">
        <v>153</v>
      </c>
      <c r="I4147" s="0" t="s">
        <v>33</v>
      </c>
      <c r="J4147" s="0" t="s">
        <v>34</v>
      </c>
      <c r="K4147" s="0" t="s">
        <v>30</v>
      </c>
      <c r="L4147" s="0" t="s">
        <v>31</v>
      </c>
      <c r="M4147" s="0" t="s">
        <v>140</v>
      </c>
      <c r="N4147" s="0" t="n">
        <v>1545</v>
      </c>
      <c r="O4147" s="10" t="n">
        <v>0.729289248585701</v>
      </c>
      <c r="P4147" s="10" t="n">
        <v>0.526212359312922</v>
      </c>
      <c r="Q4147" s="0" t="str">
        <f aca="false">SUBSTITUTE(SUBSTITUTE($I4147,CHAR(61),""),CHAR(34),"")</f>
        <v>01-09</v>
      </c>
      <c r="R4147" s="0" t="str">
        <f aca="false">IF($D4147&lt;&gt;"","["&amp;$E4147&amp;"]"&amp;"|"&amp;$Q4147&amp;"|"&amp;$K4147&amp;"|"&amp;$G4147&amp;"|"&amp;IF($G4147="TX_CURR_SUBNAT.R","CY2022Q4",$M4147),"")</f>
        <v>[wNqJp8oRIcF]|01-09|Female|NEW_INFECTIONS_SUBNAT.T_1|CY2023Q3</v>
      </c>
    </row>
    <row r="4148" customFormat="false" ht="15" hidden="false" customHeight="false" outlineLevel="0" collapsed="false">
      <c r="D4148" s="0" t="s">
        <v>102</v>
      </c>
      <c r="E4148" s="0" t="s">
        <v>103</v>
      </c>
      <c r="F4148" s="0" t="s">
        <v>104</v>
      </c>
      <c r="G4148" s="0" t="s">
        <v>153</v>
      </c>
      <c r="H4148" s="0" t="s">
        <v>153</v>
      </c>
      <c r="I4148" s="0" t="s">
        <v>36</v>
      </c>
      <c r="J4148" s="0" t="s">
        <v>37</v>
      </c>
      <c r="K4148" s="0" t="s">
        <v>30</v>
      </c>
      <c r="L4148" s="0" t="s">
        <v>31</v>
      </c>
      <c r="M4148" s="0" t="s">
        <v>140</v>
      </c>
      <c r="N4148" s="0" t="n">
        <v>1282</v>
      </c>
      <c r="O4148" s="10" t="n">
        <v>0.210685482481495</v>
      </c>
      <c r="P4148" s="10" t="n">
        <v>0.526212359312922</v>
      </c>
      <c r="Q4148" s="0" t="str">
        <f aca="false">SUBSTITUTE(SUBSTITUTE($I4148,CHAR(61),""),CHAR(34),"")</f>
        <v>10-14</v>
      </c>
      <c r="R4148" s="0" t="str">
        <f aca="false">IF($D4148&lt;&gt;"","["&amp;$E4148&amp;"]"&amp;"|"&amp;$Q4148&amp;"|"&amp;$K4148&amp;"|"&amp;$G4148&amp;"|"&amp;IF($G4148="TX_CURR_SUBNAT.R","CY2022Q4",$M4148),"")</f>
        <v>[wNqJp8oRIcF]|10-14|Female|NEW_INFECTIONS_SUBNAT.T_1|CY2023Q3</v>
      </c>
    </row>
    <row r="4149" customFormat="false" ht="15" hidden="false" customHeight="false" outlineLevel="0" collapsed="false">
      <c r="D4149" s="0" t="s">
        <v>102</v>
      </c>
      <c r="E4149" s="0" t="s">
        <v>103</v>
      </c>
      <c r="F4149" s="0" t="s">
        <v>104</v>
      </c>
      <c r="G4149" s="0" t="s">
        <v>153</v>
      </c>
      <c r="H4149" s="0" t="s">
        <v>153</v>
      </c>
      <c r="I4149" s="0" t="s">
        <v>38</v>
      </c>
      <c r="J4149" s="0" t="s">
        <v>39</v>
      </c>
      <c r="K4149" s="0" t="s">
        <v>30</v>
      </c>
      <c r="L4149" s="0" t="s">
        <v>31</v>
      </c>
      <c r="M4149" s="0" t="s">
        <v>140</v>
      </c>
      <c r="N4149" s="0" t="n">
        <v>1180</v>
      </c>
      <c r="O4149" s="10" t="n">
        <v>0.319601546274498</v>
      </c>
      <c r="P4149" s="10" t="n">
        <v>0.526212359312922</v>
      </c>
      <c r="Q4149" s="0" t="str">
        <f aca="false">SUBSTITUTE(SUBSTITUTE($I4149,CHAR(61),""),CHAR(34),"")</f>
        <v>15-24</v>
      </c>
      <c r="R4149" s="0" t="str">
        <f aca="false">IF($D4149&lt;&gt;"","["&amp;$E4149&amp;"]"&amp;"|"&amp;$Q4149&amp;"|"&amp;$K4149&amp;"|"&amp;$G4149&amp;"|"&amp;IF($G4149="TX_CURR_SUBNAT.R","CY2022Q4",$M4149),"")</f>
        <v>[wNqJp8oRIcF]|15-24|Female|NEW_INFECTIONS_SUBNAT.T_1|CY2023Q3</v>
      </c>
    </row>
    <row r="4150" customFormat="false" ht="15" hidden="false" customHeight="false" outlineLevel="0" collapsed="false">
      <c r="D4150" s="0" t="s">
        <v>102</v>
      </c>
      <c r="E4150" s="0" t="s">
        <v>103</v>
      </c>
      <c r="F4150" s="0" t="s">
        <v>104</v>
      </c>
      <c r="G4150" s="0" t="s">
        <v>153</v>
      </c>
      <c r="H4150" s="0" t="s">
        <v>153</v>
      </c>
      <c r="I4150" s="0" t="s">
        <v>41</v>
      </c>
      <c r="J4150" s="0" t="s">
        <v>42</v>
      </c>
      <c r="K4150" s="0" t="s">
        <v>30</v>
      </c>
      <c r="L4150" s="0" t="s">
        <v>31</v>
      </c>
      <c r="M4150" s="0" t="s">
        <v>140</v>
      </c>
      <c r="N4150" s="0" t="n">
        <v>1801</v>
      </c>
      <c r="O4150" s="10" t="n">
        <v>0.812976278597489</v>
      </c>
      <c r="P4150" s="10" t="n">
        <v>0.526212359312922</v>
      </c>
      <c r="Q4150" s="0" t="str">
        <f aca="false">SUBSTITUTE(SUBSTITUTE($I4150,CHAR(61),""),CHAR(34),"")</f>
        <v>25-34</v>
      </c>
      <c r="R4150" s="0" t="str">
        <f aca="false">IF($D4150&lt;&gt;"","["&amp;$E4150&amp;"]"&amp;"|"&amp;$Q4150&amp;"|"&amp;$K4150&amp;"|"&amp;$G4150&amp;"|"&amp;IF($G4150="TX_CURR_SUBNAT.R","CY2022Q4",$M4150),"")</f>
        <v>[wNqJp8oRIcF]|25-34|Female|NEW_INFECTIONS_SUBNAT.T_1|CY2023Q3</v>
      </c>
    </row>
    <row r="4151" customFormat="false" ht="15" hidden="false" customHeight="false" outlineLevel="0" collapsed="false">
      <c r="D4151" s="0" t="s">
        <v>102</v>
      </c>
      <c r="E4151" s="0" t="s">
        <v>103</v>
      </c>
      <c r="F4151" s="0" t="s">
        <v>104</v>
      </c>
      <c r="G4151" s="0" t="s">
        <v>153</v>
      </c>
      <c r="H4151" s="0" t="s">
        <v>153</v>
      </c>
      <c r="I4151" s="0" t="s">
        <v>43</v>
      </c>
      <c r="J4151" s="0" t="s">
        <v>44</v>
      </c>
      <c r="K4151" s="0" t="s">
        <v>30</v>
      </c>
      <c r="L4151" s="0" t="s">
        <v>31</v>
      </c>
      <c r="M4151" s="0" t="s">
        <v>140</v>
      </c>
      <c r="N4151" s="0" t="n">
        <v>1616</v>
      </c>
      <c r="O4151" s="10" t="n">
        <v>0.945955561939627</v>
      </c>
      <c r="P4151" s="10" t="n">
        <v>0.526212359312922</v>
      </c>
      <c r="Q4151" s="0" t="str">
        <f aca="false">SUBSTITUTE(SUBSTITUTE($I4151,CHAR(61),""),CHAR(34),"")</f>
        <v>35-49</v>
      </c>
      <c r="R4151" s="0" t="str">
        <f aca="false">IF($D4151&lt;&gt;"","["&amp;$E4151&amp;"]"&amp;"|"&amp;$Q4151&amp;"|"&amp;$K4151&amp;"|"&amp;$G4151&amp;"|"&amp;IF($G4151="TX_CURR_SUBNAT.R","CY2022Q4",$M4151),"")</f>
        <v>[wNqJp8oRIcF]|35-49|Female|NEW_INFECTIONS_SUBNAT.T_1|CY2023Q3</v>
      </c>
    </row>
    <row r="4152" customFormat="false" ht="15" hidden="false" customHeight="false" outlineLevel="0" collapsed="false">
      <c r="D4152" s="0" t="s">
        <v>102</v>
      </c>
      <c r="E4152" s="0" t="s">
        <v>103</v>
      </c>
      <c r="F4152" s="0" t="s">
        <v>104</v>
      </c>
      <c r="G4152" s="0" t="s">
        <v>153</v>
      </c>
      <c r="H4152" s="0" t="s">
        <v>153</v>
      </c>
      <c r="I4152" s="0" t="s">
        <v>45</v>
      </c>
      <c r="J4152" s="0" t="s">
        <v>46</v>
      </c>
      <c r="K4152" s="0" t="s">
        <v>30</v>
      </c>
      <c r="L4152" s="0" t="s">
        <v>31</v>
      </c>
      <c r="M4152" s="0" t="s">
        <v>140</v>
      </c>
      <c r="N4152" s="0" t="n">
        <v>1627</v>
      </c>
      <c r="O4152" s="10" t="n">
        <v>0.060396499466151</v>
      </c>
      <c r="P4152" s="10" t="n">
        <v>0.526212359312922</v>
      </c>
      <c r="Q4152" s="0" t="str">
        <f aca="false">SUBSTITUTE(SUBSTITUTE($I4152,CHAR(61),""),CHAR(34),"")</f>
        <v>50+</v>
      </c>
      <c r="R4152" s="0" t="str">
        <f aca="false">IF($D4152&lt;&gt;"","["&amp;$E4152&amp;"]"&amp;"|"&amp;$Q4152&amp;"|"&amp;$K4152&amp;"|"&amp;$G4152&amp;"|"&amp;IF($G4152="TX_CURR_SUBNAT.R","CY2022Q4",$M4152),"")</f>
        <v>[wNqJp8oRIcF]|50+|Female|NEW_INFECTIONS_SUBNAT.T_1|CY2023Q3</v>
      </c>
    </row>
    <row r="4153" customFormat="false" ht="15" hidden="false" customHeight="false" outlineLevel="0" collapsed="false">
      <c r="D4153" s="0" t="s">
        <v>102</v>
      </c>
      <c r="E4153" s="0" t="s">
        <v>103</v>
      </c>
      <c r="F4153" s="0" t="s">
        <v>104</v>
      </c>
      <c r="G4153" s="0" t="s">
        <v>153</v>
      </c>
      <c r="H4153" s="0" t="s">
        <v>153</v>
      </c>
      <c r="I4153" s="0" t="s">
        <v>28</v>
      </c>
      <c r="J4153" s="0" t="s">
        <v>29</v>
      </c>
      <c r="K4153" s="0" t="s">
        <v>48</v>
      </c>
      <c r="L4153" s="0" t="s">
        <v>49</v>
      </c>
      <c r="M4153" s="0" t="s">
        <v>140</v>
      </c>
      <c r="N4153" s="0" t="n">
        <v>1795</v>
      </c>
      <c r="O4153" s="10" t="n">
        <v>0.354404642479494</v>
      </c>
      <c r="P4153" s="10" t="n">
        <v>0.526212359312922</v>
      </c>
      <c r="Q4153" s="0" t="str">
        <f aca="false">SUBSTITUTE(SUBSTITUTE($I4153,CHAR(61),""),CHAR(34),"")</f>
        <v>&lt;01</v>
      </c>
      <c r="R4153" s="0" t="str">
        <f aca="false">IF($D4153&lt;&gt;"","["&amp;$E4153&amp;"]"&amp;"|"&amp;$Q4153&amp;"|"&amp;$K4153&amp;"|"&amp;$G4153&amp;"|"&amp;IF($G4153="TX_CURR_SUBNAT.R","CY2022Q4",$M4153),"")</f>
        <v>[wNqJp8oRIcF]|&lt;01|Male|NEW_INFECTIONS_SUBNAT.T_1|CY2023Q3</v>
      </c>
    </row>
    <row r="4154" customFormat="false" ht="15" hidden="false" customHeight="false" outlineLevel="0" collapsed="false">
      <c r="D4154" s="0" t="s">
        <v>102</v>
      </c>
      <c r="E4154" s="0" t="s">
        <v>103</v>
      </c>
      <c r="F4154" s="0" t="s">
        <v>104</v>
      </c>
      <c r="G4154" s="0" t="s">
        <v>153</v>
      </c>
      <c r="H4154" s="0" t="s">
        <v>153</v>
      </c>
      <c r="I4154" s="0" t="s">
        <v>33</v>
      </c>
      <c r="J4154" s="0" t="s">
        <v>34</v>
      </c>
      <c r="K4154" s="0" t="s">
        <v>48</v>
      </c>
      <c r="L4154" s="0" t="s">
        <v>49</v>
      </c>
      <c r="M4154" s="0" t="s">
        <v>140</v>
      </c>
      <c r="N4154" s="0" t="n">
        <v>1934</v>
      </c>
      <c r="O4154" s="10" t="n">
        <v>0.739571665180847</v>
      </c>
      <c r="P4154" s="10" t="n">
        <v>0.526212359312922</v>
      </c>
      <c r="Q4154" s="0" t="str">
        <f aca="false">SUBSTITUTE(SUBSTITUTE($I4154,CHAR(61),""),CHAR(34),"")</f>
        <v>01-09</v>
      </c>
      <c r="R4154" s="0" t="str">
        <f aca="false">IF($D4154&lt;&gt;"","["&amp;$E4154&amp;"]"&amp;"|"&amp;$Q4154&amp;"|"&amp;$K4154&amp;"|"&amp;$G4154&amp;"|"&amp;IF($G4154="TX_CURR_SUBNAT.R","CY2022Q4",$M4154),"")</f>
        <v>[wNqJp8oRIcF]|01-09|Male|NEW_INFECTIONS_SUBNAT.T_1|CY2023Q3</v>
      </c>
    </row>
    <row r="4155" customFormat="false" ht="15" hidden="false" customHeight="false" outlineLevel="0" collapsed="false">
      <c r="D4155" s="0" t="s">
        <v>102</v>
      </c>
      <c r="E4155" s="0" t="s">
        <v>103</v>
      </c>
      <c r="F4155" s="0" t="s">
        <v>104</v>
      </c>
      <c r="G4155" s="0" t="s">
        <v>153</v>
      </c>
      <c r="H4155" s="0" t="s">
        <v>153</v>
      </c>
      <c r="I4155" s="0" t="s">
        <v>36</v>
      </c>
      <c r="J4155" s="0" t="s">
        <v>37</v>
      </c>
      <c r="K4155" s="0" t="s">
        <v>48</v>
      </c>
      <c r="L4155" s="0" t="s">
        <v>49</v>
      </c>
      <c r="M4155" s="0" t="s">
        <v>140</v>
      </c>
      <c r="N4155" s="0" t="n">
        <v>579</v>
      </c>
      <c r="O4155" s="10" t="n">
        <v>0.426597392186522</v>
      </c>
      <c r="P4155" s="10" t="n">
        <v>0.526212359312922</v>
      </c>
      <c r="Q4155" s="0" t="str">
        <f aca="false">SUBSTITUTE(SUBSTITUTE($I4155,CHAR(61),""),CHAR(34),"")</f>
        <v>10-14</v>
      </c>
      <c r="R4155" s="0" t="str">
        <f aca="false">IF($D4155&lt;&gt;"","["&amp;$E4155&amp;"]"&amp;"|"&amp;$Q4155&amp;"|"&amp;$K4155&amp;"|"&amp;$G4155&amp;"|"&amp;IF($G4155="TX_CURR_SUBNAT.R","CY2022Q4",$M4155),"")</f>
        <v>[wNqJp8oRIcF]|10-14|Male|NEW_INFECTIONS_SUBNAT.T_1|CY2023Q3</v>
      </c>
    </row>
    <row r="4156" customFormat="false" ht="15" hidden="false" customHeight="false" outlineLevel="0" collapsed="false">
      <c r="D4156" s="0" t="s">
        <v>102</v>
      </c>
      <c r="E4156" s="0" t="s">
        <v>103</v>
      </c>
      <c r="F4156" s="0" t="s">
        <v>104</v>
      </c>
      <c r="G4156" s="0" t="s">
        <v>153</v>
      </c>
      <c r="H4156" s="0" t="s">
        <v>153</v>
      </c>
      <c r="I4156" s="0" t="s">
        <v>38</v>
      </c>
      <c r="J4156" s="0" t="s">
        <v>39</v>
      </c>
      <c r="K4156" s="0" t="s">
        <v>48</v>
      </c>
      <c r="L4156" s="0" t="s">
        <v>49</v>
      </c>
      <c r="M4156" s="0" t="s">
        <v>140</v>
      </c>
      <c r="N4156" s="0" t="n">
        <v>1177</v>
      </c>
      <c r="O4156" s="10" t="n">
        <v>0.650892582489178</v>
      </c>
      <c r="P4156" s="10" t="n">
        <v>0.526212359312922</v>
      </c>
      <c r="Q4156" s="0" t="str">
        <f aca="false">SUBSTITUTE(SUBSTITUTE($I4156,CHAR(61),""),CHAR(34),"")</f>
        <v>15-24</v>
      </c>
      <c r="R4156" s="0" t="str">
        <f aca="false">IF($D4156&lt;&gt;"","["&amp;$E4156&amp;"]"&amp;"|"&amp;$Q4156&amp;"|"&amp;$K4156&amp;"|"&amp;$G4156&amp;"|"&amp;IF($G4156="TX_CURR_SUBNAT.R","CY2022Q4",$M4156),"")</f>
        <v>[wNqJp8oRIcF]|15-24|Male|NEW_INFECTIONS_SUBNAT.T_1|CY2023Q3</v>
      </c>
    </row>
    <row r="4157" customFormat="false" ht="15" hidden="false" customHeight="false" outlineLevel="0" collapsed="false">
      <c r="D4157" s="0" t="s">
        <v>102</v>
      </c>
      <c r="E4157" s="0" t="s">
        <v>103</v>
      </c>
      <c r="F4157" s="0" t="s">
        <v>104</v>
      </c>
      <c r="G4157" s="0" t="s">
        <v>153</v>
      </c>
      <c r="H4157" s="0" t="s">
        <v>153</v>
      </c>
      <c r="I4157" s="0" t="s">
        <v>41</v>
      </c>
      <c r="J4157" s="0" t="s">
        <v>42</v>
      </c>
      <c r="K4157" s="0" t="s">
        <v>48</v>
      </c>
      <c r="L4157" s="0" t="s">
        <v>49</v>
      </c>
      <c r="M4157" s="0" t="s">
        <v>140</v>
      </c>
      <c r="N4157" s="0" t="n">
        <v>1710</v>
      </c>
      <c r="O4157" s="10" t="n">
        <v>0.967554553411901</v>
      </c>
      <c r="P4157" s="10" t="n">
        <v>0.526212359312922</v>
      </c>
      <c r="Q4157" s="0" t="str">
        <f aca="false">SUBSTITUTE(SUBSTITUTE($I4157,CHAR(61),""),CHAR(34),"")</f>
        <v>25-34</v>
      </c>
      <c r="R4157" s="0" t="str">
        <f aca="false">IF($D4157&lt;&gt;"","["&amp;$E4157&amp;"]"&amp;"|"&amp;$Q4157&amp;"|"&amp;$K4157&amp;"|"&amp;$G4157&amp;"|"&amp;IF($G4157="TX_CURR_SUBNAT.R","CY2022Q4",$M4157),"")</f>
        <v>[wNqJp8oRIcF]|25-34|Male|NEW_INFECTIONS_SUBNAT.T_1|CY2023Q3</v>
      </c>
    </row>
    <row r="4158" customFormat="false" ht="15" hidden="false" customHeight="false" outlineLevel="0" collapsed="false">
      <c r="D4158" s="0" t="s">
        <v>102</v>
      </c>
      <c r="E4158" s="0" t="s">
        <v>103</v>
      </c>
      <c r="F4158" s="0" t="s">
        <v>104</v>
      </c>
      <c r="G4158" s="0" t="s">
        <v>153</v>
      </c>
      <c r="H4158" s="0" t="s">
        <v>153</v>
      </c>
      <c r="I4158" s="0" t="s">
        <v>43</v>
      </c>
      <c r="J4158" s="0" t="s">
        <v>44</v>
      </c>
      <c r="K4158" s="0" t="s">
        <v>48</v>
      </c>
      <c r="L4158" s="0" t="s">
        <v>49</v>
      </c>
      <c r="M4158" s="0" t="s">
        <v>140</v>
      </c>
      <c r="N4158" s="0" t="n">
        <v>1585</v>
      </c>
      <c r="O4158" s="10" t="n">
        <v>0.368472188711166</v>
      </c>
      <c r="P4158" s="10" t="n">
        <v>0.526212359312922</v>
      </c>
      <c r="Q4158" s="0" t="str">
        <f aca="false">SUBSTITUTE(SUBSTITUTE($I4158,CHAR(61),""),CHAR(34),"")</f>
        <v>35-49</v>
      </c>
      <c r="R4158" s="0" t="str">
        <f aca="false">IF($D4158&lt;&gt;"","["&amp;$E4158&amp;"]"&amp;"|"&amp;$Q4158&amp;"|"&amp;$K4158&amp;"|"&amp;$G4158&amp;"|"&amp;IF($G4158="TX_CURR_SUBNAT.R","CY2022Q4",$M4158),"")</f>
        <v>[wNqJp8oRIcF]|35-49|Male|NEW_INFECTIONS_SUBNAT.T_1|CY2023Q3</v>
      </c>
    </row>
    <row r="4159" customFormat="false" ht="15" hidden="false" customHeight="false" outlineLevel="0" collapsed="false">
      <c r="D4159" s="0" t="s">
        <v>102</v>
      </c>
      <c r="E4159" s="0" t="s">
        <v>103</v>
      </c>
      <c r="F4159" s="0" t="s">
        <v>104</v>
      </c>
      <c r="G4159" s="0" t="s">
        <v>153</v>
      </c>
      <c r="H4159" s="0" t="s">
        <v>153</v>
      </c>
      <c r="I4159" s="0" t="s">
        <v>45</v>
      </c>
      <c r="J4159" s="0" t="s">
        <v>46</v>
      </c>
      <c r="K4159" s="0" t="s">
        <v>48</v>
      </c>
      <c r="L4159" s="0" t="s">
        <v>49</v>
      </c>
      <c r="M4159" s="0" t="s">
        <v>140</v>
      </c>
      <c r="N4159" s="0" t="n">
        <v>943</v>
      </c>
      <c r="O4159" s="10" t="n">
        <v>0.765497452812269</v>
      </c>
      <c r="P4159" s="10" t="n">
        <v>0.526212359312922</v>
      </c>
      <c r="Q4159" s="0" t="str">
        <f aca="false">SUBSTITUTE(SUBSTITUTE($I4159,CHAR(61),""),CHAR(34),"")</f>
        <v>50+</v>
      </c>
      <c r="R4159" s="0" t="str">
        <f aca="false">IF($D4159&lt;&gt;"","["&amp;$E4159&amp;"]"&amp;"|"&amp;$Q4159&amp;"|"&amp;$K4159&amp;"|"&amp;$G4159&amp;"|"&amp;IF($G4159="TX_CURR_SUBNAT.R","CY2022Q4",$M4159),"")</f>
        <v>[wNqJp8oRIcF]|50+|Male|NEW_INFECTIONS_SUBNAT.T_1|CY2023Q3</v>
      </c>
    </row>
    <row r="4160" customFormat="false" ht="15" hidden="false" customHeight="false" outlineLevel="0" collapsed="false">
      <c r="D4160" s="0" t="s">
        <v>105</v>
      </c>
      <c r="E4160" s="0" t="s">
        <v>106</v>
      </c>
      <c r="F4160" s="0" t="s">
        <v>107</v>
      </c>
      <c r="G4160" s="0" t="s">
        <v>153</v>
      </c>
      <c r="H4160" s="0" t="s">
        <v>153</v>
      </c>
      <c r="I4160" s="0" t="s">
        <v>28</v>
      </c>
      <c r="J4160" s="0" t="s">
        <v>29</v>
      </c>
      <c r="K4160" s="0" t="s">
        <v>30</v>
      </c>
      <c r="L4160" s="0" t="s">
        <v>31</v>
      </c>
      <c r="M4160" s="0" t="s">
        <v>140</v>
      </c>
      <c r="N4160" s="0" t="n">
        <v>746</v>
      </c>
      <c r="O4160" s="10" t="n">
        <v>0.119628937682137</v>
      </c>
      <c r="P4160" s="10" t="n">
        <v>0.218249560333788</v>
      </c>
      <c r="Q4160" s="0" t="str">
        <f aca="false">SUBSTITUTE(SUBSTITUTE($I4160,CHAR(61),""),CHAR(34),"")</f>
        <v>&lt;01</v>
      </c>
      <c r="R4160" s="0" t="str">
        <f aca="false">IF($D4160&lt;&gt;"","["&amp;$E4160&amp;"]"&amp;"|"&amp;$Q4160&amp;"|"&amp;$K4160&amp;"|"&amp;$G4160&amp;"|"&amp;IF($G4160="TX_CURR_SUBNAT.R","CY2022Q4",$M4160),"")</f>
        <v>[oiPR2CiVJbf]|&lt;01|Female|NEW_INFECTIONS_SUBNAT.T_1|CY2023Q3</v>
      </c>
    </row>
    <row r="4161" customFormat="false" ht="15" hidden="false" customHeight="false" outlineLevel="0" collapsed="false">
      <c r="D4161" s="0" t="s">
        <v>105</v>
      </c>
      <c r="E4161" s="0" t="s">
        <v>106</v>
      </c>
      <c r="F4161" s="0" t="s">
        <v>107</v>
      </c>
      <c r="G4161" s="0" t="s">
        <v>153</v>
      </c>
      <c r="H4161" s="0" t="s">
        <v>153</v>
      </c>
      <c r="I4161" s="0" t="s">
        <v>33</v>
      </c>
      <c r="J4161" s="0" t="s">
        <v>34</v>
      </c>
      <c r="K4161" s="0" t="s">
        <v>30</v>
      </c>
      <c r="L4161" s="0" t="s">
        <v>31</v>
      </c>
      <c r="M4161" s="0" t="s">
        <v>140</v>
      </c>
      <c r="N4161" s="0" t="n">
        <v>1582</v>
      </c>
      <c r="O4161" s="10" t="n">
        <v>0.0876003934536129</v>
      </c>
      <c r="P4161" s="10" t="n">
        <v>0.218249560333788</v>
      </c>
      <c r="Q4161" s="0" t="str">
        <f aca="false">SUBSTITUTE(SUBSTITUTE($I4161,CHAR(61),""),CHAR(34),"")</f>
        <v>01-09</v>
      </c>
      <c r="R4161" s="0" t="str">
        <f aca="false">IF($D4161&lt;&gt;"","["&amp;$E4161&amp;"]"&amp;"|"&amp;$Q4161&amp;"|"&amp;$K4161&amp;"|"&amp;$G4161&amp;"|"&amp;IF($G4161="TX_CURR_SUBNAT.R","CY2022Q4",$M4161),"")</f>
        <v>[oiPR2CiVJbf]|01-09|Female|NEW_INFECTIONS_SUBNAT.T_1|CY2023Q3</v>
      </c>
    </row>
    <row r="4162" customFormat="false" ht="15" hidden="false" customHeight="false" outlineLevel="0" collapsed="false">
      <c r="D4162" s="0" t="s">
        <v>105</v>
      </c>
      <c r="E4162" s="0" t="s">
        <v>106</v>
      </c>
      <c r="F4162" s="0" t="s">
        <v>107</v>
      </c>
      <c r="G4162" s="0" t="s">
        <v>153</v>
      </c>
      <c r="H4162" s="0" t="s">
        <v>153</v>
      </c>
      <c r="I4162" s="0" t="s">
        <v>36</v>
      </c>
      <c r="J4162" s="0" t="s">
        <v>37</v>
      </c>
      <c r="K4162" s="0" t="s">
        <v>30</v>
      </c>
      <c r="L4162" s="0" t="s">
        <v>31</v>
      </c>
      <c r="M4162" s="0" t="s">
        <v>140</v>
      </c>
      <c r="N4162" s="0" t="n">
        <v>1045</v>
      </c>
      <c r="O4162" s="10" t="n">
        <v>0.719181237276644</v>
      </c>
      <c r="P4162" s="10" t="n">
        <v>0.218249560333788</v>
      </c>
      <c r="Q4162" s="0" t="str">
        <f aca="false">SUBSTITUTE(SUBSTITUTE($I4162,CHAR(61),""),CHAR(34),"")</f>
        <v>10-14</v>
      </c>
      <c r="R4162" s="0" t="str">
        <f aca="false">IF($D4162&lt;&gt;"","["&amp;$E4162&amp;"]"&amp;"|"&amp;$Q4162&amp;"|"&amp;$K4162&amp;"|"&amp;$G4162&amp;"|"&amp;IF($G4162="TX_CURR_SUBNAT.R","CY2022Q4",$M4162),"")</f>
        <v>[oiPR2CiVJbf]|10-14|Female|NEW_INFECTIONS_SUBNAT.T_1|CY2023Q3</v>
      </c>
    </row>
    <row r="4163" customFormat="false" ht="15" hidden="false" customHeight="false" outlineLevel="0" collapsed="false">
      <c r="D4163" s="0" t="s">
        <v>105</v>
      </c>
      <c r="E4163" s="0" t="s">
        <v>106</v>
      </c>
      <c r="F4163" s="0" t="s">
        <v>107</v>
      </c>
      <c r="G4163" s="0" t="s">
        <v>153</v>
      </c>
      <c r="H4163" s="0" t="s">
        <v>153</v>
      </c>
      <c r="I4163" s="0" t="s">
        <v>38</v>
      </c>
      <c r="J4163" s="0" t="s">
        <v>39</v>
      </c>
      <c r="K4163" s="0" t="s">
        <v>30</v>
      </c>
      <c r="L4163" s="0" t="s">
        <v>31</v>
      </c>
      <c r="M4163" s="0" t="s">
        <v>140</v>
      </c>
      <c r="N4163" s="0" t="n">
        <v>704</v>
      </c>
      <c r="O4163" s="10" t="n">
        <v>0.705683917272836</v>
      </c>
      <c r="P4163" s="10" t="n">
        <v>0.218249560333788</v>
      </c>
      <c r="Q4163" s="0" t="str">
        <f aca="false">SUBSTITUTE(SUBSTITUTE($I4163,CHAR(61),""),CHAR(34),"")</f>
        <v>15-24</v>
      </c>
      <c r="R4163" s="0" t="str">
        <f aca="false">IF($D4163&lt;&gt;"","["&amp;$E4163&amp;"]"&amp;"|"&amp;$Q4163&amp;"|"&amp;$K4163&amp;"|"&amp;$G4163&amp;"|"&amp;IF($G4163="TX_CURR_SUBNAT.R","CY2022Q4",$M4163),"")</f>
        <v>[oiPR2CiVJbf]|15-24|Female|NEW_INFECTIONS_SUBNAT.T_1|CY2023Q3</v>
      </c>
    </row>
    <row r="4164" customFormat="false" ht="15" hidden="false" customHeight="false" outlineLevel="0" collapsed="false">
      <c r="D4164" s="0" t="s">
        <v>105</v>
      </c>
      <c r="E4164" s="0" t="s">
        <v>106</v>
      </c>
      <c r="F4164" s="0" t="s">
        <v>107</v>
      </c>
      <c r="G4164" s="0" t="s">
        <v>153</v>
      </c>
      <c r="H4164" s="0" t="s">
        <v>153</v>
      </c>
      <c r="I4164" s="0" t="s">
        <v>41</v>
      </c>
      <c r="J4164" s="0" t="s">
        <v>42</v>
      </c>
      <c r="K4164" s="0" t="s">
        <v>30</v>
      </c>
      <c r="L4164" s="0" t="s">
        <v>31</v>
      </c>
      <c r="M4164" s="0" t="s">
        <v>140</v>
      </c>
      <c r="N4164" s="0" t="n">
        <v>1094</v>
      </c>
      <c r="O4164" s="10" t="n">
        <v>0.625251112971455</v>
      </c>
      <c r="P4164" s="10" t="n">
        <v>0.218249560333788</v>
      </c>
      <c r="Q4164" s="0" t="str">
        <f aca="false">SUBSTITUTE(SUBSTITUTE($I4164,CHAR(61),""),CHAR(34),"")</f>
        <v>25-34</v>
      </c>
      <c r="R4164" s="0" t="str">
        <f aca="false">IF($D4164&lt;&gt;"","["&amp;$E4164&amp;"]"&amp;"|"&amp;$Q4164&amp;"|"&amp;$K4164&amp;"|"&amp;$G4164&amp;"|"&amp;IF($G4164="TX_CURR_SUBNAT.R","CY2022Q4",$M4164),"")</f>
        <v>[oiPR2CiVJbf]|25-34|Female|NEW_INFECTIONS_SUBNAT.T_1|CY2023Q3</v>
      </c>
    </row>
    <row r="4165" customFormat="false" ht="15" hidden="false" customHeight="false" outlineLevel="0" collapsed="false">
      <c r="D4165" s="0" t="s">
        <v>105</v>
      </c>
      <c r="E4165" s="0" t="s">
        <v>106</v>
      </c>
      <c r="F4165" s="0" t="s">
        <v>107</v>
      </c>
      <c r="G4165" s="0" t="s">
        <v>153</v>
      </c>
      <c r="H4165" s="0" t="s">
        <v>153</v>
      </c>
      <c r="I4165" s="0" t="s">
        <v>43</v>
      </c>
      <c r="J4165" s="0" t="s">
        <v>44</v>
      </c>
      <c r="K4165" s="0" t="s">
        <v>30</v>
      </c>
      <c r="L4165" s="0" t="s">
        <v>31</v>
      </c>
      <c r="M4165" s="0" t="s">
        <v>140</v>
      </c>
      <c r="N4165" s="0" t="n">
        <v>1440</v>
      </c>
      <c r="O4165" s="10" t="n">
        <v>0.141622087685391</v>
      </c>
      <c r="P4165" s="10" t="n">
        <v>0.218249560333788</v>
      </c>
      <c r="Q4165" s="0" t="str">
        <f aca="false">SUBSTITUTE(SUBSTITUTE($I4165,CHAR(61),""),CHAR(34),"")</f>
        <v>35-49</v>
      </c>
      <c r="R4165" s="0" t="str">
        <f aca="false">IF($D4165&lt;&gt;"","["&amp;$E4165&amp;"]"&amp;"|"&amp;$Q4165&amp;"|"&amp;$K4165&amp;"|"&amp;$G4165&amp;"|"&amp;IF($G4165="TX_CURR_SUBNAT.R","CY2022Q4",$M4165),"")</f>
        <v>[oiPR2CiVJbf]|35-49|Female|NEW_INFECTIONS_SUBNAT.T_1|CY2023Q3</v>
      </c>
    </row>
    <row r="4166" customFormat="false" ht="15" hidden="false" customHeight="false" outlineLevel="0" collapsed="false">
      <c r="D4166" s="0" t="s">
        <v>105</v>
      </c>
      <c r="E4166" s="0" t="s">
        <v>106</v>
      </c>
      <c r="F4166" s="0" t="s">
        <v>107</v>
      </c>
      <c r="G4166" s="0" t="s">
        <v>153</v>
      </c>
      <c r="H4166" s="0" t="s">
        <v>153</v>
      </c>
      <c r="I4166" s="0" t="s">
        <v>45</v>
      </c>
      <c r="J4166" s="0" t="s">
        <v>46</v>
      </c>
      <c r="K4166" s="0" t="s">
        <v>30</v>
      </c>
      <c r="L4166" s="0" t="s">
        <v>31</v>
      </c>
      <c r="M4166" s="0" t="s">
        <v>140</v>
      </c>
      <c r="N4166" s="0" t="n">
        <v>1028</v>
      </c>
      <c r="O4166" s="10" t="n">
        <v>0.227392687927932</v>
      </c>
      <c r="P4166" s="10" t="n">
        <v>0.218249560333788</v>
      </c>
      <c r="Q4166" s="0" t="str">
        <f aca="false">SUBSTITUTE(SUBSTITUTE($I4166,CHAR(61),""),CHAR(34),"")</f>
        <v>50+</v>
      </c>
      <c r="R4166" s="0" t="str">
        <f aca="false">IF($D4166&lt;&gt;"","["&amp;$E4166&amp;"]"&amp;"|"&amp;$Q4166&amp;"|"&amp;$K4166&amp;"|"&amp;$G4166&amp;"|"&amp;IF($G4166="TX_CURR_SUBNAT.R","CY2022Q4",$M4166),"")</f>
        <v>[oiPR2CiVJbf]|50+|Female|NEW_INFECTIONS_SUBNAT.T_1|CY2023Q3</v>
      </c>
    </row>
    <row r="4167" customFormat="false" ht="15" hidden="false" customHeight="false" outlineLevel="0" collapsed="false">
      <c r="D4167" s="0" t="s">
        <v>105</v>
      </c>
      <c r="E4167" s="0" t="s">
        <v>106</v>
      </c>
      <c r="F4167" s="0" t="s">
        <v>107</v>
      </c>
      <c r="G4167" s="0" t="s">
        <v>153</v>
      </c>
      <c r="H4167" s="0" t="s">
        <v>153</v>
      </c>
      <c r="I4167" s="0" t="s">
        <v>28</v>
      </c>
      <c r="J4167" s="0" t="s">
        <v>29</v>
      </c>
      <c r="K4167" s="0" t="s">
        <v>48</v>
      </c>
      <c r="L4167" s="0" t="s">
        <v>49</v>
      </c>
      <c r="M4167" s="0" t="s">
        <v>140</v>
      </c>
      <c r="N4167" s="0" t="n">
        <v>1715</v>
      </c>
      <c r="O4167" s="10" t="n">
        <v>0.802572531625628</v>
      </c>
      <c r="P4167" s="10" t="n">
        <v>0.218249560333788</v>
      </c>
      <c r="Q4167" s="0" t="str">
        <f aca="false">SUBSTITUTE(SUBSTITUTE($I4167,CHAR(61),""),CHAR(34),"")</f>
        <v>&lt;01</v>
      </c>
      <c r="R4167" s="0" t="str">
        <f aca="false">IF($D4167&lt;&gt;"","["&amp;$E4167&amp;"]"&amp;"|"&amp;$Q4167&amp;"|"&amp;$K4167&amp;"|"&amp;$G4167&amp;"|"&amp;IF($G4167="TX_CURR_SUBNAT.R","CY2022Q4",$M4167),"")</f>
        <v>[oiPR2CiVJbf]|&lt;01|Male|NEW_INFECTIONS_SUBNAT.T_1|CY2023Q3</v>
      </c>
    </row>
    <row r="4168" customFormat="false" ht="15" hidden="false" customHeight="false" outlineLevel="0" collapsed="false">
      <c r="D4168" s="0" t="s">
        <v>105</v>
      </c>
      <c r="E4168" s="0" t="s">
        <v>106</v>
      </c>
      <c r="F4168" s="0" t="s">
        <v>107</v>
      </c>
      <c r="G4168" s="0" t="s">
        <v>153</v>
      </c>
      <c r="H4168" s="0" t="s">
        <v>153</v>
      </c>
      <c r="I4168" s="0" t="s">
        <v>33</v>
      </c>
      <c r="J4168" s="0" t="s">
        <v>34</v>
      </c>
      <c r="K4168" s="0" t="s">
        <v>48</v>
      </c>
      <c r="L4168" s="0" t="s">
        <v>49</v>
      </c>
      <c r="M4168" s="0" t="s">
        <v>140</v>
      </c>
      <c r="N4168" s="0" t="n">
        <v>1818</v>
      </c>
      <c r="O4168" s="10" t="n">
        <v>0.221384577918798</v>
      </c>
      <c r="P4168" s="10" t="n">
        <v>0.218249560333788</v>
      </c>
      <c r="Q4168" s="0" t="str">
        <f aca="false">SUBSTITUTE(SUBSTITUTE($I4168,CHAR(61),""),CHAR(34),"")</f>
        <v>01-09</v>
      </c>
      <c r="R4168" s="0" t="str">
        <f aca="false">IF($D4168&lt;&gt;"","["&amp;$E4168&amp;"]"&amp;"|"&amp;$Q4168&amp;"|"&amp;$K4168&amp;"|"&amp;$G4168&amp;"|"&amp;IF($G4168="TX_CURR_SUBNAT.R","CY2022Q4",$M4168),"")</f>
        <v>[oiPR2CiVJbf]|01-09|Male|NEW_INFECTIONS_SUBNAT.T_1|CY2023Q3</v>
      </c>
    </row>
    <row r="4169" customFormat="false" ht="15" hidden="false" customHeight="false" outlineLevel="0" collapsed="false">
      <c r="D4169" s="0" t="s">
        <v>105</v>
      </c>
      <c r="E4169" s="0" t="s">
        <v>106</v>
      </c>
      <c r="F4169" s="0" t="s">
        <v>107</v>
      </c>
      <c r="G4169" s="0" t="s">
        <v>153</v>
      </c>
      <c r="H4169" s="0" t="s">
        <v>153</v>
      </c>
      <c r="I4169" s="0" t="s">
        <v>36</v>
      </c>
      <c r="J4169" s="0" t="s">
        <v>37</v>
      </c>
      <c r="K4169" s="0" t="s">
        <v>48</v>
      </c>
      <c r="L4169" s="0" t="s">
        <v>49</v>
      </c>
      <c r="M4169" s="0" t="s">
        <v>140</v>
      </c>
      <c r="N4169" s="0" t="n">
        <v>542</v>
      </c>
      <c r="O4169" s="10" t="n">
        <v>0.965643924660981</v>
      </c>
      <c r="P4169" s="10" t="n">
        <v>0.218249560333788</v>
      </c>
      <c r="Q4169" s="0" t="str">
        <f aca="false">SUBSTITUTE(SUBSTITUTE($I4169,CHAR(61),""),CHAR(34),"")</f>
        <v>10-14</v>
      </c>
      <c r="R4169" s="0" t="str">
        <f aca="false">IF($D4169&lt;&gt;"","["&amp;$E4169&amp;"]"&amp;"|"&amp;$Q4169&amp;"|"&amp;$K4169&amp;"|"&amp;$G4169&amp;"|"&amp;IF($G4169="TX_CURR_SUBNAT.R","CY2022Q4",$M4169),"")</f>
        <v>[oiPR2CiVJbf]|10-14|Male|NEW_INFECTIONS_SUBNAT.T_1|CY2023Q3</v>
      </c>
    </row>
    <row r="4170" customFormat="false" ht="15" hidden="false" customHeight="false" outlineLevel="0" collapsed="false">
      <c r="D4170" s="0" t="s">
        <v>105</v>
      </c>
      <c r="E4170" s="0" t="s">
        <v>106</v>
      </c>
      <c r="F4170" s="0" t="s">
        <v>107</v>
      </c>
      <c r="G4170" s="0" t="s">
        <v>153</v>
      </c>
      <c r="H4170" s="0" t="s">
        <v>153</v>
      </c>
      <c r="I4170" s="0" t="s">
        <v>38</v>
      </c>
      <c r="J4170" s="0" t="s">
        <v>39</v>
      </c>
      <c r="K4170" s="0" t="s">
        <v>48</v>
      </c>
      <c r="L4170" s="0" t="s">
        <v>49</v>
      </c>
      <c r="M4170" s="0" t="s">
        <v>140</v>
      </c>
      <c r="N4170" s="0" t="n">
        <v>1433</v>
      </c>
      <c r="O4170" s="10" t="n">
        <v>0.70008253515698</v>
      </c>
      <c r="P4170" s="10" t="n">
        <v>0.218249560333788</v>
      </c>
      <c r="Q4170" s="0" t="str">
        <f aca="false">SUBSTITUTE(SUBSTITUTE($I4170,CHAR(61),""),CHAR(34),"")</f>
        <v>15-24</v>
      </c>
      <c r="R4170" s="0" t="str">
        <f aca="false">IF($D4170&lt;&gt;"","["&amp;$E4170&amp;"]"&amp;"|"&amp;$Q4170&amp;"|"&amp;$K4170&amp;"|"&amp;$G4170&amp;"|"&amp;IF($G4170="TX_CURR_SUBNAT.R","CY2022Q4",$M4170),"")</f>
        <v>[oiPR2CiVJbf]|15-24|Male|NEW_INFECTIONS_SUBNAT.T_1|CY2023Q3</v>
      </c>
    </row>
    <row r="4171" customFormat="false" ht="15" hidden="false" customHeight="false" outlineLevel="0" collapsed="false">
      <c r="D4171" s="0" t="s">
        <v>105</v>
      </c>
      <c r="E4171" s="0" t="s">
        <v>106</v>
      </c>
      <c r="F4171" s="0" t="s">
        <v>107</v>
      </c>
      <c r="G4171" s="0" t="s">
        <v>153</v>
      </c>
      <c r="H4171" s="0" t="s">
        <v>153</v>
      </c>
      <c r="I4171" s="0" t="s">
        <v>41</v>
      </c>
      <c r="J4171" s="0" t="s">
        <v>42</v>
      </c>
      <c r="K4171" s="0" t="s">
        <v>48</v>
      </c>
      <c r="L4171" s="0" t="s">
        <v>49</v>
      </c>
      <c r="M4171" s="0" t="s">
        <v>140</v>
      </c>
      <c r="N4171" s="0" t="n">
        <v>1777</v>
      </c>
      <c r="O4171" s="10" t="n">
        <v>0.0252821007743478</v>
      </c>
      <c r="P4171" s="10" t="n">
        <v>0.218249560333788</v>
      </c>
      <c r="Q4171" s="0" t="str">
        <f aca="false">SUBSTITUTE(SUBSTITUTE($I4171,CHAR(61),""),CHAR(34),"")</f>
        <v>25-34</v>
      </c>
      <c r="R4171" s="0" t="str">
        <f aca="false">IF($D4171&lt;&gt;"","["&amp;$E4171&amp;"]"&amp;"|"&amp;$Q4171&amp;"|"&amp;$K4171&amp;"|"&amp;$G4171&amp;"|"&amp;IF($G4171="TX_CURR_SUBNAT.R","CY2022Q4",$M4171),"")</f>
        <v>[oiPR2CiVJbf]|25-34|Male|NEW_INFECTIONS_SUBNAT.T_1|CY2023Q3</v>
      </c>
    </row>
    <row r="4172" customFormat="false" ht="15" hidden="false" customHeight="false" outlineLevel="0" collapsed="false">
      <c r="D4172" s="0" t="s">
        <v>105</v>
      </c>
      <c r="E4172" s="0" t="s">
        <v>106</v>
      </c>
      <c r="F4172" s="0" t="s">
        <v>107</v>
      </c>
      <c r="G4172" s="0" t="s">
        <v>153</v>
      </c>
      <c r="H4172" s="0" t="s">
        <v>153</v>
      </c>
      <c r="I4172" s="0" t="s">
        <v>43</v>
      </c>
      <c r="J4172" s="0" t="s">
        <v>44</v>
      </c>
      <c r="K4172" s="0" t="s">
        <v>48</v>
      </c>
      <c r="L4172" s="0" t="s">
        <v>49</v>
      </c>
      <c r="M4172" s="0" t="s">
        <v>140</v>
      </c>
      <c r="N4172" s="0" t="n">
        <v>1328</v>
      </c>
      <c r="O4172" s="10" t="n">
        <v>0.0941937023308128</v>
      </c>
      <c r="P4172" s="10" t="n">
        <v>0.218249560333788</v>
      </c>
      <c r="Q4172" s="0" t="str">
        <f aca="false">SUBSTITUTE(SUBSTITUTE($I4172,CHAR(61),""),CHAR(34),"")</f>
        <v>35-49</v>
      </c>
      <c r="R4172" s="0" t="str">
        <f aca="false">IF($D4172&lt;&gt;"","["&amp;$E4172&amp;"]"&amp;"|"&amp;$Q4172&amp;"|"&amp;$K4172&amp;"|"&amp;$G4172&amp;"|"&amp;IF($G4172="TX_CURR_SUBNAT.R","CY2022Q4",$M4172),"")</f>
        <v>[oiPR2CiVJbf]|35-49|Male|NEW_INFECTIONS_SUBNAT.T_1|CY2023Q3</v>
      </c>
    </row>
    <row r="4173" customFormat="false" ht="15" hidden="false" customHeight="false" outlineLevel="0" collapsed="false">
      <c r="D4173" s="0" t="s">
        <v>105</v>
      </c>
      <c r="E4173" s="0" t="s">
        <v>106</v>
      </c>
      <c r="F4173" s="0" t="s">
        <v>107</v>
      </c>
      <c r="G4173" s="0" t="s">
        <v>153</v>
      </c>
      <c r="H4173" s="0" t="s">
        <v>153</v>
      </c>
      <c r="I4173" s="0" t="s">
        <v>45</v>
      </c>
      <c r="J4173" s="0" t="s">
        <v>46</v>
      </c>
      <c r="K4173" s="0" t="s">
        <v>48</v>
      </c>
      <c r="L4173" s="0" t="s">
        <v>49</v>
      </c>
      <c r="M4173" s="0" t="s">
        <v>140</v>
      </c>
      <c r="N4173" s="0" t="n">
        <v>1146</v>
      </c>
      <c r="O4173" s="10" t="n">
        <v>0.901288570370525</v>
      </c>
      <c r="P4173" s="10" t="n">
        <v>0.218249560333788</v>
      </c>
      <c r="Q4173" s="0" t="str">
        <f aca="false">SUBSTITUTE(SUBSTITUTE($I4173,CHAR(61),""),CHAR(34),"")</f>
        <v>50+</v>
      </c>
      <c r="R4173" s="0" t="str">
        <f aca="false">IF($D4173&lt;&gt;"","["&amp;$E4173&amp;"]"&amp;"|"&amp;$Q4173&amp;"|"&amp;$K4173&amp;"|"&amp;$G4173&amp;"|"&amp;IF($G4173="TX_CURR_SUBNAT.R","CY2022Q4",$M4173),"")</f>
        <v>[oiPR2CiVJbf]|50+|Male|NEW_INFECTIONS_SUBNAT.T_1|CY2023Q3</v>
      </c>
    </row>
    <row r="4174" customFormat="false" ht="15" hidden="false" customHeight="false" outlineLevel="0" collapsed="false">
      <c r="D4174" s="0" t="s">
        <v>108</v>
      </c>
      <c r="E4174" s="0" t="s">
        <v>109</v>
      </c>
      <c r="F4174" s="0" t="s">
        <v>110</v>
      </c>
      <c r="G4174" s="0" t="s">
        <v>153</v>
      </c>
      <c r="H4174" s="0" t="s">
        <v>153</v>
      </c>
      <c r="I4174" s="0" t="s">
        <v>28</v>
      </c>
      <c r="J4174" s="0" t="s">
        <v>29</v>
      </c>
      <c r="K4174" s="0" t="s">
        <v>30</v>
      </c>
      <c r="L4174" s="0" t="s">
        <v>31</v>
      </c>
      <c r="M4174" s="0" t="s">
        <v>140</v>
      </c>
      <c r="N4174" s="0" t="n">
        <v>1754</v>
      </c>
      <c r="O4174" s="10" t="n">
        <v>0.547933931462467</v>
      </c>
      <c r="P4174" s="10" t="n">
        <v>0.434221804374829</v>
      </c>
      <c r="Q4174" s="0" t="str">
        <f aca="false">SUBSTITUTE(SUBSTITUTE($I4174,CHAR(61),""),CHAR(34),"")</f>
        <v>&lt;01</v>
      </c>
      <c r="R4174" s="0" t="str">
        <f aca="false">IF($D4174&lt;&gt;"","["&amp;$E4174&amp;"]"&amp;"|"&amp;$Q4174&amp;"|"&amp;$K4174&amp;"|"&amp;$G4174&amp;"|"&amp;IF($G4174="TX_CURR_SUBNAT.R","CY2022Q4",$M4174),"")</f>
        <v>[ul0y9diGujK]|&lt;01|Female|NEW_INFECTIONS_SUBNAT.T_1|CY2023Q3</v>
      </c>
    </row>
    <row r="4175" customFormat="false" ht="15" hidden="false" customHeight="false" outlineLevel="0" collapsed="false">
      <c r="D4175" s="0" t="s">
        <v>108</v>
      </c>
      <c r="E4175" s="0" t="s">
        <v>109</v>
      </c>
      <c r="F4175" s="0" t="s">
        <v>110</v>
      </c>
      <c r="G4175" s="0" t="s">
        <v>153</v>
      </c>
      <c r="H4175" s="0" t="s">
        <v>153</v>
      </c>
      <c r="I4175" s="0" t="s">
        <v>33</v>
      </c>
      <c r="J4175" s="0" t="s">
        <v>34</v>
      </c>
      <c r="K4175" s="0" t="s">
        <v>30</v>
      </c>
      <c r="L4175" s="0" t="s">
        <v>31</v>
      </c>
      <c r="M4175" s="0" t="s">
        <v>140</v>
      </c>
      <c r="N4175" s="0" t="n">
        <v>1494</v>
      </c>
      <c r="O4175" s="10" t="n">
        <v>0.85831107199192</v>
      </c>
      <c r="P4175" s="10" t="n">
        <v>0.434221804374829</v>
      </c>
      <c r="Q4175" s="0" t="str">
        <f aca="false">SUBSTITUTE(SUBSTITUTE($I4175,CHAR(61),""),CHAR(34),"")</f>
        <v>01-09</v>
      </c>
      <c r="R4175" s="0" t="str">
        <f aca="false">IF($D4175&lt;&gt;"","["&amp;$E4175&amp;"]"&amp;"|"&amp;$Q4175&amp;"|"&amp;$K4175&amp;"|"&amp;$G4175&amp;"|"&amp;IF($G4175="TX_CURR_SUBNAT.R","CY2022Q4",$M4175),"")</f>
        <v>[ul0y9diGujK]|01-09|Female|NEW_INFECTIONS_SUBNAT.T_1|CY2023Q3</v>
      </c>
    </row>
    <row r="4176" customFormat="false" ht="15" hidden="false" customHeight="false" outlineLevel="0" collapsed="false">
      <c r="D4176" s="0" t="s">
        <v>108</v>
      </c>
      <c r="E4176" s="0" t="s">
        <v>109</v>
      </c>
      <c r="F4176" s="0" t="s">
        <v>110</v>
      </c>
      <c r="G4176" s="0" t="s">
        <v>153</v>
      </c>
      <c r="H4176" s="0" t="s">
        <v>153</v>
      </c>
      <c r="I4176" s="0" t="s">
        <v>36</v>
      </c>
      <c r="J4176" s="0" t="s">
        <v>37</v>
      </c>
      <c r="K4176" s="0" t="s">
        <v>30</v>
      </c>
      <c r="L4176" s="0" t="s">
        <v>31</v>
      </c>
      <c r="M4176" s="0" t="s">
        <v>140</v>
      </c>
      <c r="N4176" s="0" t="n">
        <v>1564</v>
      </c>
      <c r="O4176" s="10" t="n">
        <v>0.170807984191924</v>
      </c>
      <c r="P4176" s="10" t="n">
        <v>0.434221804374829</v>
      </c>
      <c r="Q4176" s="0" t="str">
        <f aca="false">SUBSTITUTE(SUBSTITUTE($I4176,CHAR(61),""),CHAR(34),"")</f>
        <v>10-14</v>
      </c>
      <c r="R4176" s="0" t="str">
        <f aca="false">IF($D4176&lt;&gt;"","["&amp;$E4176&amp;"]"&amp;"|"&amp;$Q4176&amp;"|"&amp;$K4176&amp;"|"&amp;$G4176&amp;"|"&amp;IF($G4176="TX_CURR_SUBNAT.R","CY2022Q4",$M4176),"")</f>
        <v>[ul0y9diGujK]|10-14|Female|NEW_INFECTIONS_SUBNAT.T_1|CY2023Q3</v>
      </c>
    </row>
    <row r="4177" customFormat="false" ht="15" hidden="false" customHeight="false" outlineLevel="0" collapsed="false">
      <c r="D4177" s="0" t="s">
        <v>108</v>
      </c>
      <c r="E4177" s="0" t="s">
        <v>109</v>
      </c>
      <c r="F4177" s="0" t="s">
        <v>110</v>
      </c>
      <c r="G4177" s="0" t="s">
        <v>153</v>
      </c>
      <c r="H4177" s="0" t="s">
        <v>153</v>
      </c>
      <c r="I4177" s="0" t="s">
        <v>38</v>
      </c>
      <c r="J4177" s="0" t="s">
        <v>39</v>
      </c>
      <c r="K4177" s="0" t="s">
        <v>30</v>
      </c>
      <c r="L4177" s="0" t="s">
        <v>31</v>
      </c>
      <c r="M4177" s="0" t="s">
        <v>140</v>
      </c>
      <c r="N4177" s="0" t="n">
        <v>1481</v>
      </c>
      <c r="O4177" s="10" t="n">
        <v>0.420840197475627</v>
      </c>
      <c r="P4177" s="10" t="n">
        <v>0.434221804374829</v>
      </c>
      <c r="Q4177" s="0" t="str">
        <f aca="false">SUBSTITUTE(SUBSTITUTE($I4177,CHAR(61),""),CHAR(34),"")</f>
        <v>15-24</v>
      </c>
      <c r="R4177" s="0" t="str">
        <f aca="false">IF($D4177&lt;&gt;"","["&amp;$E4177&amp;"]"&amp;"|"&amp;$Q4177&amp;"|"&amp;$K4177&amp;"|"&amp;$G4177&amp;"|"&amp;IF($G4177="TX_CURR_SUBNAT.R","CY2022Q4",$M4177),"")</f>
        <v>[ul0y9diGujK]|15-24|Female|NEW_INFECTIONS_SUBNAT.T_1|CY2023Q3</v>
      </c>
    </row>
    <row r="4178" customFormat="false" ht="15" hidden="false" customHeight="false" outlineLevel="0" collapsed="false">
      <c r="D4178" s="0" t="s">
        <v>108</v>
      </c>
      <c r="E4178" s="0" t="s">
        <v>109</v>
      </c>
      <c r="F4178" s="0" t="s">
        <v>110</v>
      </c>
      <c r="G4178" s="0" t="s">
        <v>153</v>
      </c>
      <c r="H4178" s="0" t="s">
        <v>153</v>
      </c>
      <c r="I4178" s="0" t="s">
        <v>41</v>
      </c>
      <c r="J4178" s="0" t="s">
        <v>42</v>
      </c>
      <c r="K4178" s="0" t="s">
        <v>30</v>
      </c>
      <c r="L4178" s="0" t="s">
        <v>31</v>
      </c>
      <c r="M4178" s="0" t="s">
        <v>140</v>
      </c>
      <c r="N4178" s="0" t="n">
        <v>1041</v>
      </c>
      <c r="O4178" s="10" t="n">
        <v>0.357891755644232</v>
      </c>
      <c r="P4178" s="10" t="n">
        <v>0.434221804374829</v>
      </c>
      <c r="Q4178" s="0" t="str">
        <f aca="false">SUBSTITUTE(SUBSTITUTE($I4178,CHAR(61),""),CHAR(34),"")</f>
        <v>25-34</v>
      </c>
      <c r="R4178" s="0" t="str">
        <f aca="false">IF($D4178&lt;&gt;"","["&amp;$E4178&amp;"]"&amp;"|"&amp;$Q4178&amp;"|"&amp;$K4178&amp;"|"&amp;$G4178&amp;"|"&amp;IF($G4178="TX_CURR_SUBNAT.R","CY2022Q4",$M4178),"")</f>
        <v>[ul0y9diGujK]|25-34|Female|NEW_INFECTIONS_SUBNAT.T_1|CY2023Q3</v>
      </c>
    </row>
    <row r="4179" customFormat="false" ht="15" hidden="false" customHeight="false" outlineLevel="0" collapsed="false">
      <c r="D4179" s="0" t="s">
        <v>108</v>
      </c>
      <c r="E4179" s="0" t="s">
        <v>109</v>
      </c>
      <c r="F4179" s="0" t="s">
        <v>110</v>
      </c>
      <c r="G4179" s="0" t="s">
        <v>153</v>
      </c>
      <c r="H4179" s="0" t="s">
        <v>153</v>
      </c>
      <c r="I4179" s="0" t="s">
        <v>43</v>
      </c>
      <c r="J4179" s="0" t="s">
        <v>44</v>
      </c>
      <c r="K4179" s="0" t="s">
        <v>30</v>
      </c>
      <c r="L4179" s="0" t="s">
        <v>31</v>
      </c>
      <c r="M4179" s="0" t="s">
        <v>140</v>
      </c>
      <c r="N4179" s="0" t="n">
        <v>1506</v>
      </c>
      <c r="O4179" s="10" t="n">
        <v>0.270895669236779</v>
      </c>
      <c r="P4179" s="10" t="n">
        <v>0.434221804374829</v>
      </c>
      <c r="Q4179" s="0" t="str">
        <f aca="false">SUBSTITUTE(SUBSTITUTE($I4179,CHAR(61),""),CHAR(34),"")</f>
        <v>35-49</v>
      </c>
      <c r="R4179" s="0" t="str">
        <f aca="false">IF($D4179&lt;&gt;"","["&amp;$E4179&amp;"]"&amp;"|"&amp;$Q4179&amp;"|"&amp;$K4179&amp;"|"&amp;$G4179&amp;"|"&amp;IF($G4179="TX_CURR_SUBNAT.R","CY2022Q4",$M4179),"")</f>
        <v>[ul0y9diGujK]|35-49|Female|NEW_INFECTIONS_SUBNAT.T_1|CY2023Q3</v>
      </c>
    </row>
    <row r="4180" customFormat="false" ht="15" hidden="false" customHeight="false" outlineLevel="0" collapsed="false">
      <c r="D4180" s="0" t="s">
        <v>108</v>
      </c>
      <c r="E4180" s="0" t="s">
        <v>109</v>
      </c>
      <c r="F4180" s="0" t="s">
        <v>110</v>
      </c>
      <c r="G4180" s="0" t="s">
        <v>153</v>
      </c>
      <c r="H4180" s="0" t="s">
        <v>153</v>
      </c>
      <c r="I4180" s="0" t="s">
        <v>45</v>
      </c>
      <c r="J4180" s="0" t="s">
        <v>46</v>
      </c>
      <c r="K4180" s="0" t="s">
        <v>30</v>
      </c>
      <c r="L4180" s="0" t="s">
        <v>31</v>
      </c>
      <c r="M4180" s="0" t="s">
        <v>140</v>
      </c>
      <c r="N4180" s="0" t="n">
        <v>1408</v>
      </c>
      <c r="O4180" s="10" t="n">
        <v>0.332688320428133</v>
      </c>
      <c r="P4180" s="10" t="n">
        <v>0.434221804374829</v>
      </c>
      <c r="Q4180" s="0" t="str">
        <f aca="false">SUBSTITUTE(SUBSTITUTE($I4180,CHAR(61),""),CHAR(34),"")</f>
        <v>50+</v>
      </c>
      <c r="R4180" s="0" t="str">
        <f aca="false">IF($D4180&lt;&gt;"","["&amp;$E4180&amp;"]"&amp;"|"&amp;$Q4180&amp;"|"&amp;$K4180&amp;"|"&amp;$G4180&amp;"|"&amp;IF($G4180="TX_CURR_SUBNAT.R","CY2022Q4",$M4180),"")</f>
        <v>[ul0y9diGujK]|50+|Female|NEW_INFECTIONS_SUBNAT.T_1|CY2023Q3</v>
      </c>
    </row>
    <row r="4181" customFormat="false" ht="15" hidden="false" customHeight="false" outlineLevel="0" collapsed="false">
      <c r="D4181" s="0" t="s">
        <v>108</v>
      </c>
      <c r="E4181" s="0" t="s">
        <v>109</v>
      </c>
      <c r="F4181" s="0" t="s">
        <v>110</v>
      </c>
      <c r="G4181" s="0" t="s">
        <v>153</v>
      </c>
      <c r="H4181" s="0" t="s">
        <v>153</v>
      </c>
      <c r="I4181" s="0" t="s">
        <v>28</v>
      </c>
      <c r="J4181" s="0" t="s">
        <v>29</v>
      </c>
      <c r="K4181" s="0" t="s">
        <v>48</v>
      </c>
      <c r="L4181" s="0" t="s">
        <v>49</v>
      </c>
      <c r="M4181" s="0" t="s">
        <v>140</v>
      </c>
      <c r="N4181" s="0" t="n">
        <v>758</v>
      </c>
      <c r="O4181" s="10" t="n">
        <v>0.643542717210948</v>
      </c>
      <c r="P4181" s="10" t="n">
        <v>0.434221804374829</v>
      </c>
      <c r="Q4181" s="0" t="str">
        <f aca="false">SUBSTITUTE(SUBSTITUTE($I4181,CHAR(61),""),CHAR(34),"")</f>
        <v>&lt;01</v>
      </c>
      <c r="R4181" s="0" t="str">
        <f aca="false">IF($D4181&lt;&gt;"","["&amp;$E4181&amp;"]"&amp;"|"&amp;$Q4181&amp;"|"&amp;$K4181&amp;"|"&amp;$G4181&amp;"|"&amp;IF($G4181="TX_CURR_SUBNAT.R","CY2022Q4",$M4181),"")</f>
        <v>[ul0y9diGujK]|&lt;01|Male|NEW_INFECTIONS_SUBNAT.T_1|CY2023Q3</v>
      </c>
    </row>
    <row r="4182" customFormat="false" ht="15" hidden="false" customHeight="false" outlineLevel="0" collapsed="false">
      <c r="D4182" s="0" t="s">
        <v>108</v>
      </c>
      <c r="E4182" s="0" t="s">
        <v>109</v>
      </c>
      <c r="F4182" s="0" t="s">
        <v>110</v>
      </c>
      <c r="G4182" s="0" t="s">
        <v>153</v>
      </c>
      <c r="H4182" s="0" t="s">
        <v>153</v>
      </c>
      <c r="I4182" s="0" t="s">
        <v>33</v>
      </c>
      <c r="J4182" s="0" t="s">
        <v>34</v>
      </c>
      <c r="K4182" s="0" t="s">
        <v>48</v>
      </c>
      <c r="L4182" s="0" t="s">
        <v>49</v>
      </c>
      <c r="M4182" s="0" t="s">
        <v>140</v>
      </c>
      <c r="N4182" s="0" t="n">
        <v>1721</v>
      </c>
      <c r="O4182" s="10" t="n">
        <v>0.827094065956771</v>
      </c>
      <c r="P4182" s="10" t="n">
        <v>0.434221804374829</v>
      </c>
      <c r="Q4182" s="0" t="str">
        <f aca="false">SUBSTITUTE(SUBSTITUTE($I4182,CHAR(61),""),CHAR(34),"")</f>
        <v>01-09</v>
      </c>
      <c r="R4182" s="0" t="str">
        <f aca="false">IF($D4182&lt;&gt;"","["&amp;$E4182&amp;"]"&amp;"|"&amp;$Q4182&amp;"|"&amp;$K4182&amp;"|"&amp;$G4182&amp;"|"&amp;IF($G4182="TX_CURR_SUBNAT.R","CY2022Q4",$M4182),"")</f>
        <v>[ul0y9diGujK]|01-09|Male|NEW_INFECTIONS_SUBNAT.T_1|CY2023Q3</v>
      </c>
    </row>
    <row r="4183" customFormat="false" ht="15" hidden="false" customHeight="false" outlineLevel="0" collapsed="false">
      <c r="D4183" s="0" t="s">
        <v>108</v>
      </c>
      <c r="E4183" s="0" t="s">
        <v>109</v>
      </c>
      <c r="F4183" s="0" t="s">
        <v>110</v>
      </c>
      <c r="G4183" s="0" t="s">
        <v>153</v>
      </c>
      <c r="H4183" s="0" t="s">
        <v>153</v>
      </c>
      <c r="I4183" s="0" t="s">
        <v>36</v>
      </c>
      <c r="J4183" s="0" t="s">
        <v>37</v>
      </c>
      <c r="K4183" s="0" t="s">
        <v>48</v>
      </c>
      <c r="L4183" s="0" t="s">
        <v>49</v>
      </c>
      <c r="M4183" s="0" t="s">
        <v>140</v>
      </c>
      <c r="N4183" s="0" t="n">
        <v>549</v>
      </c>
      <c r="O4183" s="10" t="n">
        <v>0.100400095572695</v>
      </c>
      <c r="P4183" s="10" t="n">
        <v>0.434221804374829</v>
      </c>
      <c r="Q4183" s="0" t="str">
        <f aca="false">SUBSTITUTE(SUBSTITUTE($I4183,CHAR(61),""),CHAR(34),"")</f>
        <v>10-14</v>
      </c>
      <c r="R4183" s="0" t="str">
        <f aca="false">IF($D4183&lt;&gt;"","["&amp;$E4183&amp;"]"&amp;"|"&amp;$Q4183&amp;"|"&amp;$K4183&amp;"|"&amp;$G4183&amp;"|"&amp;IF($G4183="TX_CURR_SUBNAT.R","CY2022Q4",$M4183),"")</f>
        <v>[ul0y9diGujK]|10-14|Male|NEW_INFECTIONS_SUBNAT.T_1|CY2023Q3</v>
      </c>
    </row>
    <row r="4184" customFormat="false" ht="15" hidden="false" customHeight="false" outlineLevel="0" collapsed="false">
      <c r="D4184" s="0" t="s">
        <v>108</v>
      </c>
      <c r="E4184" s="0" t="s">
        <v>109</v>
      </c>
      <c r="F4184" s="0" t="s">
        <v>110</v>
      </c>
      <c r="G4184" s="0" t="s">
        <v>153</v>
      </c>
      <c r="H4184" s="0" t="s">
        <v>153</v>
      </c>
      <c r="I4184" s="0" t="s">
        <v>38</v>
      </c>
      <c r="J4184" s="0" t="s">
        <v>39</v>
      </c>
      <c r="K4184" s="0" t="s">
        <v>48</v>
      </c>
      <c r="L4184" s="0" t="s">
        <v>49</v>
      </c>
      <c r="M4184" s="0" t="s">
        <v>140</v>
      </c>
      <c r="N4184" s="0" t="n">
        <v>1638</v>
      </c>
      <c r="O4184" s="10" t="n">
        <v>0.450540757505223</v>
      </c>
      <c r="P4184" s="10" t="n">
        <v>0.434221804374829</v>
      </c>
      <c r="Q4184" s="0" t="str">
        <f aca="false">SUBSTITUTE(SUBSTITUTE($I4184,CHAR(61),""),CHAR(34),"")</f>
        <v>15-24</v>
      </c>
      <c r="R4184" s="0" t="str">
        <f aca="false">IF($D4184&lt;&gt;"","["&amp;$E4184&amp;"]"&amp;"|"&amp;$Q4184&amp;"|"&amp;$K4184&amp;"|"&amp;$G4184&amp;"|"&amp;IF($G4184="TX_CURR_SUBNAT.R","CY2022Q4",$M4184),"")</f>
        <v>[ul0y9diGujK]|15-24|Male|NEW_INFECTIONS_SUBNAT.T_1|CY2023Q3</v>
      </c>
    </row>
    <row r="4185" customFormat="false" ht="15" hidden="false" customHeight="false" outlineLevel="0" collapsed="false">
      <c r="D4185" s="0" t="s">
        <v>108</v>
      </c>
      <c r="E4185" s="0" t="s">
        <v>109</v>
      </c>
      <c r="F4185" s="0" t="s">
        <v>110</v>
      </c>
      <c r="G4185" s="0" t="s">
        <v>153</v>
      </c>
      <c r="H4185" s="0" t="s">
        <v>153</v>
      </c>
      <c r="I4185" s="0" t="s">
        <v>41</v>
      </c>
      <c r="J4185" s="0" t="s">
        <v>42</v>
      </c>
      <c r="K4185" s="0" t="s">
        <v>48</v>
      </c>
      <c r="L4185" s="0" t="s">
        <v>49</v>
      </c>
      <c r="M4185" s="0" t="s">
        <v>140</v>
      </c>
      <c r="N4185" s="0" t="n">
        <v>500</v>
      </c>
      <c r="O4185" s="10" t="n">
        <v>0.079605930717662</v>
      </c>
      <c r="P4185" s="10" t="n">
        <v>0.434221804374829</v>
      </c>
      <c r="Q4185" s="0" t="str">
        <f aca="false">SUBSTITUTE(SUBSTITUTE($I4185,CHAR(61),""),CHAR(34),"")</f>
        <v>25-34</v>
      </c>
      <c r="R4185" s="0" t="str">
        <f aca="false">IF($D4185&lt;&gt;"","["&amp;$E4185&amp;"]"&amp;"|"&amp;$Q4185&amp;"|"&amp;$K4185&amp;"|"&amp;$G4185&amp;"|"&amp;IF($G4185="TX_CURR_SUBNAT.R","CY2022Q4",$M4185),"")</f>
        <v>[ul0y9diGujK]|25-34|Male|NEW_INFECTIONS_SUBNAT.T_1|CY2023Q3</v>
      </c>
    </row>
    <row r="4186" customFormat="false" ht="15" hidden="false" customHeight="false" outlineLevel="0" collapsed="false">
      <c r="D4186" s="0" t="s">
        <v>108</v>
      </c>
      <c r="E4186" s="0" t="s">
        <v>109</v>
      </c>
      <c r="F4186" s="0" t="s">
        <v>110</v>
      </c>
      <c r="G4186" s="0" t="s">
        <v>153</v>
      </c>
      <c r="H4186" s="0" t="s">
        <v>153</v>
      </c>
      <c r="I4186" s="0" t="s">
        <v>43</v>
      </c>
      <c r="J4186" s="0" t="s">
        <v>44</v>
      </c>
      <c r="K4186" s="0" t="s">
        <v>48</v>
      </c>
      <c r="L4186" s="0" t="s">
        <v>49</v>
      </c>
      <c r="M4186" s="0" t="s">
        <v>140</v>
      </c>
      <c r="N4186" s="0" t="n">
        <v>520</v>
      </c>
      <c r="O4186" s="10" t="n">
        <v>0.883752325549722</v>
      </c>
      <c r="P4186" s="10" t="n">
        <v>0.434221804374829</v>
      </c>
      <c r="Q4186" s="0" t="str">
        <f aca="false">SUBSTITUTE(SUBSTITUTE($I4186,CHAR(61),""),CHAR(34),"")</f>
        <v>35-49</v>
      </c>
      <c r="R4186" s="0" t="str">
        <f aca="false">IF($D4186&lt;&gt;"","["&amp;$E4186&amp;"]"&amp;"|"&amp;$Q4186&amp;"|"&amp;$K4186&amp;"|"&amp;$G4186&amp;"|"&amp;IF($G4186="TX_CURR_SUBNAT.R","CY2022Q4",$M4186),"")</f>
        <v>[ul0y9diGujK]|35-49|Male|NEW_INFECTIONS_SUBNAT.T_1|CY2023Q3</v>
      </c>
    </row>
    <row r="4187" customFormat="false" ht="15" hidden="false" customHeight="false" outlineLevel="0" collapsed="false">
      <c r="D4187" s="0" t="s">
        <v>108</v>
      </c>
      <c r="E4187" s="0" t="s">
        <v>109</v>
      </c>
      <c r="F4187" s="0" t="s">
        <v>110</v>
      </c>
      <c r="G4187" s="0" t="s">
        <v>153</v>
      </c>
      <c r="H4187" s="0" t="s">
        <v>153</v>
      </c>
      <c r="I4187" s="0" t="s">
        <v>45</v>
      </c>
      <c r="J4187" s="0" t="s">
        <v>46</v>
      </c>
      <c r="K4187" s="0" t="s">
        <v>48</v>
      </c>
      <c r="L4187" s="0" t="s">
        <v>49</v>
      </c>
      <c r="M4187" s="0" t="s">
        <v>140</v>
      </c>
      <c r="N4187" s="0" t="n">
        <v>948</v>
      </c>
      <c r="O4187" s="10" t="n">
        <v>0.918722185771912</v>
      </c>
      <c r="P4187" s="10" t="n">
        <v>0.434221804374829</v>
      </c>
      <c r="Q4187" s="0" t="str">
        <f aca="false">SUBSTITUTE(SUBSTITUTE($I4187,CHAR(61),""),CHAR(34),"")</f>
        <v>50+</v>
      </c>
      <c r="R4187" s="0" t="str">
        <f aca="false">IF($D4187&lt;&gt;"","["&amp;$E4187&amp;"]"&amp;"|"&amp;$Q4187&amp;"|"&amp;$K4187&amp;"|"&amp;$G4187&amp;"|"&amp;IF($G4187="TX_CURR_SUBNAT.R","CY2022Q4",$M4187),"")</f>
        <v>[ul0y9diGujK]|50+|Male|NEW_INFECTIONS_SUBNAT.T_1|CY2023Q3</v>
      </c>
    </row>
    <row r="4188" customFormat="false" ht="15" hidden="false" customHeight="false" outlineLevel="0" collapsed="false">
      <c r="D4188" s="0" t="s">
        <v>111</v>
      </c>
      <c r="E4188" s="0" t="s">
        <v>112</v>
      </c>
      <c r="F4188" s="0" t="s">
        <v>113</v>
      </c>
      <c r="G4188" s="0" t="s">
        <v>153</v>
      </c>
      <c r="H4188" s="0" t="s">
        <v>153</v>
      </c>
      <c r="I4188" s="0" t="s">
        <v>28</v>
      </c>
      <c r="J4188" s="0" t="s">
        <v>29</v>
      </c>
      <c r="K4188" s="0" t="s">
        <v>30</v>
      </c>
      <c r="L4188" s="0" t="s">
        <v>31</v>
      </c>
      <c r="M4188" s="0" t="s">
        <v>140</v>
      </c>
      <c r="N4188" s="0" t="n">
        <v>1325</v>
      </c>
      <c r="O4188" s="10" t="n">
        <v>0.219123379094526</v>
      </c>
      <c r="P4188" s="10" t="n">
        <v>0.337768794968724</v>
      </c>
      <c r="Q4188" s="0" t="str">
        <f aca="false">SUBSTITUTE(SUBSTITUTE($I4188,CHAR(61),""),CHAR(34),"")</f>
        <v>&lt;01</v>
      </c>
      <c r="R4188" s="0" t="str">
        <f aca="false">IF($D4188&lt;&gt;"","["&amp;$E4188&amp;"]"&amp;"|"&amp;$Q4188&amp;"|"&amp;$K4188&amp;"|"&amp;$G4188&amp;"|"&amp;IF($G4188="TX_CURR_SUBNAT.R","CY2022Q4",$M4188),"")</f>
        <v>[U8c0so51kT6]|&lt;01|Female|NEW_INFECTIONS_SUBNAT.T_1|CY2023Q3</v>
      </c>
    </row>
    <row r="4189" customFormat="false" ht="15" hidden="false" customHeight="false" outlineLevel="0" collapsed="false">
      <c r="D4189" s="0" t="s">
        <v>111</v>
      </c>
      <c r="E4189" s="0" t="s">
        <v>112</v>
      </c>
      <c r="F4189" s="0" t="s">
        <v>113</v>
      </c>
      <c r="G4189" s="0" t="s">
        <v>153</v>
      </c>
      <c r="H4189" s="0" t="s">
        <v>153</v>
      </c>
      <c r="I4189" s="0" t="s">
        <v>33</v>
      </c>
      <c r="J4189" s="0" t="s">
        <v>34</v>
      </c>
      <c r="K4189" s="0" t="s">
        <v>30</v>
      </c>
      <c r="L4189" s="0" t="s">
        <v>31</v>
      </c>
      <c r="M4189" s="0" t="s">
        <v>140</v>
      </c>
      <c r="N4189" s="0" t="n">
        <v>1316</v>
      </c>
      <c r="O4189" s="10" t="n">
        <v>0.265946448547766</v>
      </c>
      <c r="P4189" s="10" t="n">
        <v>0.337768794968724</v>
      </c>
      <c r="Q4189" s="0" t="str">
        <f aca="false">SUBSTITUTE(SUBSTITUTE($I4189,CHAR(61),""),CHAR(34),"")</f>
        <v>01-09</v>
      </c>
      <c r="R4189" s="0" t="str">
        <f aca="false">IF($D4189&lt;&gt;"","["&amp;$E4189&amp;"]"&amp;"|"&amp;$Q4189&amp;"|"&amp;$K4189&amp;"|"&amp;$G4189&amp;"|"&amp;IF($G4189="TX_CURR_SUBNAT.R","CY2022Q4",$M4189),"")</f>
        <v>[U8c0so51kT6]|01-09|Female|NEW_INFECTIONS_SUBNAT.T_1|CY2023Q3</v>
      </c>
    </row>
    <row r="4190" customFormat="false" ht="15" hidden="false" customHeight="false" outlineLevel="0" collapsed="false">
      <c r="D4190" s="0" t="s">
        <v>111</v>
      </c>
      <c r="E4190" s="0" t="s">
        <v>112</v>
      </c>
      <c r="F4190" s="0" t="s">
        <v>113</v>
      </c>
      <c r="G4190" s="0" t="s">
        <v>153</v>
      </c>
      <c r="H4190" s="0" t="s">
        <v>153</v>
      </c>
      <c r="I4190" s="0" t="s">
        <v>36</v>
      </c>
      <c r="J4190" s="0" t="s">
        <v>37</v>
      </c>
      <c r="K4190" s="0" t="s">
        <v>30</v>
      </c>
      <c r="L4190" s="0" t="s">
        <v>31</v>
      </c>
      <c r="M4190" s="0" t="s">
        <v>140</v>
      </c>
      <c r="N4190" s="0" t="n">
        <v>1639</v>
      </c>
      <c r="O4190" s="10" t="n">
        <v>0.596815615193918</v>
      </c>
      <c r="P4190" s="10" t="n">
        <v>0.337768794968724</v>
      </c>
      <c r="Q4190" s="0" t="str">
        <f aca="false">SUBSTITUTE(SUBSTITUTE($I4190,CHAR(61),""),CHAR(34),"")</f>
        <v>10-14</v>
      </c>
      <c r="R4190" s="0" t="str">
        <f aca="false">IF($D4190&lt;&gt;"","["&amp;$E4190&amp;"]"&amp;"|"&amp;$Q4190&amp;"|"&amp;$K4190&amp;"|"&amp;$G4190&amp;"|"&amp;IF($G4190="TX_CURR_SUBNAT.R","CY2022Q4",$M4190),"")</f>
        <v>[U8c0so51kT6]|10-14|Female|NEW_INFECTIONS_SUBNAT.T_1|CY2023Q3</v>
      </c>
    </row>
    <row r="4191" customFormat="false" ht="15" hidden="false" customHeight="false" outlineLevel="0" collapsed="false">
      <c r="D4191" s="0" t="s">
        <v>111</v>
      </c>
      <c r="E4191" s="0" t="s">
        <v>112</v>
      </c>
      <c r="F4191" s="0" t="s">
        <v>113</v>
      </c>
      <c r="G4191" s="0" t="s">
        <v>153</v>
      </c>
      <c r="H4191" s="0" t="s">
        <v>153</v>
      </c>
      <c r="I4191" s="0" t="s">
        <v>38</v>
      </c>
      <c r="J4191" s="0" t="s">
        <v>39</v>
      </c>
      <c r="K4191" s="0" t="s">
        <v>30</v>
      </c>
      <c r="L4191" s="0" t="s">
        <v>31</v>
      </c>
      <c r="M4191" s="0" t="s">
        <v>140</v>
      </c>
      <c r="N4191" s="0" t="n">
        <v>1780</v>
      </c>
      <c r="O4191" s="10" t="n">
        <v>0.388231507968158</v>
      </c>
      <c r="P4191" s="10" t="n">
        <v>0.337768794968724</v>
      </c>
      <c r="Q4191" s="0" t="str">
        <f aca="false">SUBSTITUTE(SUBSTITUTE($I4191,CHAR(61),""),CHAR(34),"")</f>
        <v>15-24</v>
      </c>
      <c r="R4191" s="0" t="str">
        <f aca="false">IF($D4191&lt;&gt;"","["&amp;$E4191&amp;"]"&amp;"|"&amp;$Q4191&amp;"|"&amp;$K4191&amp;"|"&amp;$G4191&amp;"|"&amp;IF($G4191="TX_CURR_SUBNAT.R","CY2022Q4",$M4191),"")</f>
        <v>[U8c0so51kT6]|15-24|Female|NEW_INFECTIONS_SUBNAT.T_1|CY2023Q3</v>
      </c>
    </row>
    <row r="4192" customFormat="false" ht="15" hidden="false" customHeight="false" outlineLevel="0" collapsed="false">
      <c r="D4192" s="0" t="s">
        <v>111</v>
      </c>
      <c r="E4192" s="0" t="s">
        <v>112</v>
      </c>
      <c r="F4192" s="0" t="s">
        <v>113</v>
      </c>
      <c r="G4192" s="0" t="s">
        <v>153</v>
      </c>
      <c r="H4192" s="0" t="s">
        <v>153</v>
      </c>
      <c r="I4192" s="0" t="s">
        <v>41</v>
      </c>
      <c r="J4192" s="0" t="s">
        <v>42</v>
      </c>
      <c r="K4192" s="0" t="s">
        <v>30</v>
      </c>
      <c r="L4192" s="0" t="s">
        <v>31</v>
      </c>
      <c r="M4192" s="0" t="s">
        <v>140</v>
      </c>
      <c r="N4192" s="0" t="n">
        <v>1703</v>
      </c>
      <c r="O4192" s="10" t="n">
        <v>0.232722708489746</v>
      </c>
      <c r="P4192" s="10" t="n">
        <v>0.337768794968724</v>
      </c>
      <c r="Q4192" s="0" t="str">
        <f aca="false">SUBSTITUTE(SUBSTITUTE($I4192,CHAR(61),""),CHAR(34),"")</f>
        <v>25-34</v>
      </c>
      <c r="R4192" s="0" t="str">
        <f aca="false">IF($D4192&lt;&gt;"","["&amp;$E4192&amp;"]"&amp;"|"&amp;$Q4192&amp;"|"&amp;$K4192&amp;"|"&amp;$G4192&amp;"|"&amp;IF($G4192="TX_CURR_SUBNAT.R","CY2022Q4",$M4192),"")</f>
        <v>[U8c0so51kT6]|25-34|Female|NEW_INFECTIONS_SUBNAT.T_1|CY2023Q3</v>
      </c>
    </row>
    <row r="4193" customFormat="false" ht="15" hidden="false" customHeight="false" outlineLevel="0" collapsed="false">
      <c r="D4193" s="0" t="s">
        <v>111</v>
      </c>
      <c r="E4193" s="0" t="s">
        <v>112</v>
      </c>
      <c r="F4193" s="0" t="s">
        <v>113</v>
      </c>
      <c r="G4193" s="0" t="s">
        <v>153</v>
      </c>
      <c r="H4193" s="0" t="s">
        <v>153</v>
      </c>
      <c r="I4193" s="0" t="s">
        <v>43</v>
      </c>
      <c r="J4193" s="0" t="s">
        <v>44</v>
      </c>
      <c r="K4193" s="0" t="s">
        <v>30</v>
      </c>
      <c r="L4193" s="0" t="s">
        <v>31</v>
      </c>
      <c r="M4193" s="0" t="s">
        <v>140</v>
      </c>
      <c r="N4193" s="0" t="n">
        <v>1125</v>
      </c>
      <c r="O4193" s="10" t="n">
        <v>0.365326103521511</v>
      </c>
      <c r="P4193" s="10" t="n">
        <v>0.337768794968724</v>
      </c>
      <c r="Q4193" s="0" t="str">
        <f aca="false">SUBSTITUTE(SUBSTITUTE($I4193,CHAR(61),""),CHAR(34),"")</f>
        <v>35-49</v>
      </c>
      <c r="R4193" s="0" t="str">
        <f aca="false">IF($D4193&lt;&gt;"","["&amp;$E4193&amp;"]"&amp;"|"&amp;$Q4193&amp;"|"&amp;$K4193&amp;"|"&amp;$G4193&amp;"|"&amp;IF($G4193="TX_CURR_SUBNAT.R","CY2022Q4",$M4193),"")</f>
        <v>[U8c0so51kT6]|35-49|Female|NEW_INFECTIONS_SUBNAT.T_1|CY2023Q3</v>
      </c>
    </row>
    <row r="4194" customFormat="false" ht="15" hidden="false" customHeight="false" outlineLevel="0" collapsed="false">
      <c r="D4194" s="0" t="s">
        <v>111</v>
      </c>
      <c r="E4194" s="0" t="s">
        <v>112</v>
      </c>
      <c r="F4194" s="0" t="s">
        <v>113</v>
      </c>
      <c r="G4194" s="0" t="s">
        <v>153</v>
      </c>
      <c r="H4194" s="0" t="s">
        <v>153</v>
      </c>
      <c r="I4194" s="0" t="s">
        <v>45</v>
      </c>
      <c r="J4194" s="0" t="s">
        <v>46</v>
      </c>
      <c r="K4194" s="0" t="s">
        <v>30</v>
      </c>
      <c r="L4194" s="0" t="s">
        <v>31</v>
      </c>
      <c r="M4194" s="0" t="s">
        <v>140</v>
      </c>
      <c r="N4194" s="0" t="n">
        <v>1096</v>
      </c>
      <c r="O4194" s="10" t="n">
        <v>0.769784076837823</v>
      </c>
      <c r="P4194" s="10" t="n">
        <v>0.337768794968724</v>
      </c>
      <c r="Q4194" s="0" t="str">
        <f aca="false">SUBSTITUTE(SUBSTITUTE($I4194,CHAR(61),""),CHAR(34),"")</f>
        <v>50+</v>
      </c>
      <c r="R4194" s="0" t="str">
        <f aca="false">IF($D4194&lt;&gt;"","["&amp;$E4194&amp;"]"&amp;"|"&amp;$Q4194&amp;"|"&amp;$K4194&amp;"|"&amp;$G4194&amp;"|"&amp;IF($G4194="TX_CURR_SUBNAT.R","CY2022Q4",$M4194),"")</f>
        <v>[U8c0so51kT6]|50+|Female|NEW_INFECTIONS_SUBNAT.T_1|CY2023Q3</v>
      </c>
    </row>
    <row r="4195" customFormat="false" ht="15" hidden="false" customHeight="false" outlineLevel="0" collapsed="false">
      <c r="D4195" s="0" t="s">
        <v>111</v>
      </c>
      <c r="E4195" s="0" t="s">
        <v>112</v>
      </c>
      <c r="F4195" s="0" t="s">
        <v>113</v>
      </c>
      <c r="G4195" s="0" t="s">
        <v>153</v>
      </c>
      <c r="H4195" s="0" t="s">
        <v>153</v>
      </c>
      <c r="I4195" s="0" t="s">
        <v>28</v>
      </c>
      <c r="J4195" s="0" t="s">
        <v>29</v>
      </c>
      <c r="K4195" s="0" t="s">
        <v>48</v>
      </c>
      <c r="L4195" s="0" t="s">
        <v>49</v>
      </c>
      <c r="M4195" s="0" t="s">
        <v>140</v>
      </c>
      <c r="N4195" s="0" t="n">
        <v>1591</v>
      </c>
      <c r="O4195" s="10" t="n">
        <v>0.253728896845132</v>
      </c>
      <c r="P4195" s="10" t="n">
        <v>0.337768794968724</v>
      </c>
      <c r="Q4195" s="0" t="str">
        <f aca="false">SUBSTITUTE(SUBSTITUTE($I4195,CHAR(61),""),CHAR(34),"")</f>
        <v>&lt;01</v>
      </c>
      <c r="R4195" s="0" t="str">
        <f aca="false">IF($D4195&lt;&gt;"","["&amp;$E4195&amp;"]"&amp;"|"&amp;$Q4195&amp;"|"&amp;$K4195&amp;"|"&amp;$G4195&amp;"|"&amp;IF($G4195="TX_CURR_SUBNAT.R","CY2022Q4",$M4195),"")</f>
        <v>[U8c0so51kT6]|&lt;01|Male|NEW_INFECTIONS_SUBNAT.T_1|CY2023Q3</v>
      </c>
    </row>
    <row r="4196" customFormat="false" ht="15" hidden="false" customHeight="false" outlineLevel="0" collapsed="false">
      <c r="D4196" s="0" t="s">
        <v>111</v>
      </c>
      <c r="E4196" s="0" t="s">
        <v>112</v>
      </c>
      <c r="F4196" s="0" t="s">
        <v>113</v>
      </c>
      <c r="G4196" s="0" t="s">
        <v>153</v>
      </c>
      <c r="H4196" s="0" t="s">
        <v>153</v>
      </c>
      <c r="I4196" s="0" t="s">
        <v>33</v>
      </c>
      <c r="J4196" s="0" t="s">
        <v>34</v>
      </c>
      <c r="K4196" s="0" t="s">
        <v>48</v>
      </c>
      <c r="L4196" s="0" t="s">
        <v>49</v>
      </c>
      <c r="M4196" s="0" t="s">
        <v>140</v>
      </c>
      <c r="N4196" s="0" t="n">
        <v>922</v>
      </c>
      <c r="O4196" s="10" t="n">
        <v>0.72438246011734</v>
      </c>
      <c r="P4196" s="10" t="n">
        <v>0.337768794968724</v>
      </c>
      <c r="Q4196" s="0" t="str">
        <f aca="false">SUBSTITUTE(SUBSTITUTE($I4196,CHAR(61),""),CHAR(34),"")</f>
        <v>01-09</v>
      </c>
      <c r="R4196" s="0" t="str">
        <f aca="false">IF($D4196&lt;&gt;"","["&amp;$E4196&amp;"]"&amp;"|"&amp;$Q4196&amp;"|"&amp;$K4196&amp;"|"&amp;$G4196&amp;"|"&amp;IF($G4196="TX_CURR_SUBNAT.R","CY2022Q4",$M4196),"")</f>
        <v>[U8c0so51kT6]|01-09|Male|NEW_INFECTIONS_SUBNAT.T_1|CY2023Q3</v>
      </c>
    </row>
    <row r="4197" customFormat="false" ht="15" hidden="false" customHeight="false" outlineLevel="0" collapsed="false">
      <c r="D4197" s="0" t="s">
        <v>111</v>
      </c>
      <c r="E4197" s="0" t="s">
        <v>112</v>
      </c>
      <c r="F4197" s="0" t="s">
        <v>113</v>
      </c>
      <c r="G4197" s="0" t="s">
        <v>153</v>
      </c>
      <c r="H4197" s="0" t="s">
        <v>153</v>
      </c>
      <c r="I4197" s="0" t="s">
        <v>36</v>
      </c>
      <c r="J4197" s="0" t="s">
        <v>37</v>
      </c>
      <c r="K4197" s="0" t="s">
        <v>48</v>
      </c>
      <c r="L4197" s="0" t="s">
        <v>49</v>
      </c>
      <c r="M4197" s="0" t="s">
        <v>140</v>
      </c>
      <c r="N4197" s="0" t="n">
        <v>1825</v>
      </c>
      <c r="O4197" s="10" t="n">
        <v>0.396143902093172</v>
      </c>
      <c r="P4197" s="10" t="n">
        <v>0.337768794968724</v>
      </c>
      <c r="Q4197" s="0" t="str">
        <f aca="false">SUBSTITUTE(SUBSTITUTE($I4197,CHAR(61),""),CHAR(34),"")</f>
        <v>10-14</v>
      </c>
      <c r="R4197" s="0" t="str">
        <f aca="false">IF($D4197&lt;&gt;"","["&amp;$E4197&amp;"]"&amp;"|"&amp;$Q4197&amp;"|"&amp;$K4197&amp;"|"&amp;$G4197&amp;"|"&amp;IF($G4197="TX_CURR_SUBNAT.R","CY2022Q4",$M4197),"")</f>
        <v>[U8c0so51kT6]|10-14|Male|NEW_INFECTIONS_SUBNAT.T_1|CY2023Q3</v>
      </c>
    </row>
    <row r="4198" customFormat="false" ht="15" hidden="false" customHeight="false" outlineLevel="0" collapsed="false">
      <c r="D4198" s="0" t="s">
        <v>111</v>
      </c>
      <c r="E4198" s="0" t="s">
        <v>112</v>
      </c>
      <c r="F4198" s="0" t="s">
        <v>113</v>
      </c>
      <c r="G4198" s="0" t="s">
        <v>153</v>
      </c>
      <c r="H4198" s="0" t="s">
        <v>153</v>
      </c>
      <c r="I4198" s="0" t="s">
        <v>38</v>
      </c>
      <c r="J4198" s="0" t="s">
        <v>39</v>
      </c>
      <c r="K4198" s="0" t="s">
        <v>48</v>
      </c>
      <c r="L4198" s="0" t="s">
        <v>49</v>
      </c>
      <c r="M4198" s="0" t="s">
        <v>140</v>
      </c>
      <c r="N4198" s="0" t="n">
        <v>622</v>
      </c>
      <c r="O4198" s="10" t="n">
        <v>0.700874340487644</v>
      </c>
      <c r="P4198" s="10" t="n">
        <v>0.337768794968724</v>
      </c>
      <c r="Q4198" s="0" t="str">
        <f aca="false">SUBSTITUTE(SUBSTITUTE($I4198,CHAR(61),""),CHAR(34),"")</f>
        <v>15-24</v>
      </c>
      <c r="R4198" s="0" t="str">
        <f aca="false">IF($D4198&lt;&gt;"","["&amp;$E4198&amp;"]"&amp;"|"&amp;$Q4198&amp;"|"&amp;$K4198&amp;"|"&amp;$G4198&amp;"|"&amp;IF($G4198="TX_CURR_SUBNAT.R","CY2022Q4",$M4198),"")</f>
        <v>[U8c0so51kT6]|15-24|Male|NEW_INFECTIONS_SUBNAT.T_1|CY2023Q3</v>
      </c>
    </row>
    <row r="4199" customFormat="false" ht="15" hidden="false" customHeight="false" outlineLevel="0" collapsed="false">
      <c r="D4199" s="0" t="s">
        <v>111</v>
      </c>
      <c r="E4199" s="0" t="s">
        <v>112</v>
      </c>
      <c r="F4199" s="0" t="s">
        <v>113</v>
      </c>
      <c r="G4199" s="0" t="s">
        <v>153</v>
      </c>
      <c r="H4199" s="0" t="s">
        <v>153</v>
      </c>
      <c r="I4199" s="0" t="s">
        <v>41</v>
      </c>
      <c r="J4199" s="0" t="s">
        <v>42</v>
      </c>
      <c r="K4199" s="0" t="s">
        <v>48</v>
      </c>
      <c r="L4199" s="0" t="s">
        <v>49</v>
      </c>
      <c r="M4199" s="0" t="s">
        <v>140</v>
      </c>
      <c r="N4199" s="0" t="n">
        <v>1565</v>
      </c>
      <c r="O4199" s="10" t="n">
        <v>0.630573993781582</v>
      </c>
      <c r="P4199" s="10" t="n">
        <v>0.337768794968724</v>
      </c>
      <c r="Q4199" s="0" t="str">
        <f aca="false">SUBSTITUTE(SUBSTITUTE($I4199,CHAR(61),""),CHAR(34),"")</f>
        <v>25-34</v>
      </c>
      <c r="R4199" s="0" t="str">
        <f aca="false">IF($D4199&lt;&gt;"","["&amp;$E4199&amp;"]"&amp;"|"&amp;$Q4199&amp;"|"&amp;$K4199&amp;"|"&amp;$G4199&amp;"|"&amp;IF($G4199="TX_CURR_SUBNAT.R","CY2022Q4",$M4199),"")</f>
        <v>[U8c0so51kT6]|25-34|Male|NEW_INFECTIONS_SUBNAT.T_1|CY2023Q3</v>
      </c>
    </row>
    <row r="4200" customFormat="false" ht="15" hidden="false" customHeight="false" outlineLevel="0" collapsed="false">
      <c r="D4200" s="0" t="s">
        <v>111</v>
      </c>
      <c r="E4200" s="0" t="s">
        <v>112</v>
      </c>
      <c r="F4200" s="0" t="s">
        <v>113</v>
      </c>
      <c r="G4200" s="0" t="s">
        <v>153</v>
      </c>
      <c r="H4200" s="0" t="s">
        <v>153</v>
      </c>
      <c r="I4200" s="0" t="s">
        <v>43</v>
      </c>
      <c r="J4200" s="0" t="s">
        <v>44</v>
      </c>
      <c r="K4200" s="0" t="s">
        <v>48</v>
      </c>
      <c r="L4200" s="0" t="s">
        <v>49</v>
      </c>
      <c r="M4200" s="0" t="s">
        <v>140</v>
      </c>
      <c r="N4200" s="0" t="n">
        <v>1577</v>
      </c>
      <c r="O4200" s="10" t="n">
        <v>0.925740175647661</v>
      </c>
      <c r="P4200" s="10" t="n">
        <v>0.337768794968724</v>
      </c>
      <c r="Q4200" s="0" t="str">
        <f aca="false">SUBSTITUTE(SUBSTITUTE($I4200,CHAR(61),""),CHAR(34),"")</f>
        <v>35-49</v>
      </c>
      <c r="R4200" s="0" t="str">
        <f aca="false">IF($D4200&lt;&gt;"","["&amp;$E4200&amp;"]"&amp;"|"&amp;$Q4200&amp;"|"&amp;$K4200&amp;"|"&amp;$G4200&amp;"|"&amp;IF($G4200="TX_CURR_SUBNAT.R","CY2022Q4",$M4200),"")</f>
        <v>[U8c0so51kT6]|35-49|Male|NEW_INFECTIONS_SUBNAT.T_1|CY2023Q3</v>
      </c>
    </row>
    <row r="4201" customFormat="false" ht="15" hidden="false" customHeight="false" outlineLevel="0" collapsed="false">
      <c r="D4201" s="0" t="s">
        <v>111</v>
      </c>
      <c r="E4201" s="0" t="s">
        <v>112</v>
      </c>
      <c r="F4201" s="0" t="s">
        <v>113</v>
      </c>
      <c r="G4201" s="0" t="s">
        <v>153</v>
      </c>
      <c r="H4201" s="0" t="s">
        <v>153</v>
      </c>
      <c r="I4201" s="0" t="s">
        <v>45</v>
      </c>
      <c r="J4201" s="0" t="s">
        <v>46</v>
      </c>
      <c r="K4201" s="0" t="s">
        <v>48</v>
      </c>
      <c r="L4201" s="0" t="s">
        <v>49</v>
      </c>
      <c r="M4201" s="0" t="s">
        <v>140</v>
      </c>
      <c r="N4201" s="0" t="n">
        <v>620</v>
      </c>
      <c r="O4201" s="10" t="n">
        <v>0.632385491393507</v>
      </c>
      <c r="P4201" s="10" t="n">
        <v>0.337768794968724</v>
      </c>
      <c r="Q4201" s="0" t="str">
        <f aca="false">SUBSTITUTE(SUBSTITUTE($I4201,CHAR(61),""),CHAR(34),"")</f>
        <v>50+</v>
      </c>
      <c r="R4201" s="0" t="str">
        <f aca="false">IF($D4201&lt;&gt;"","["&amp;$E4201&amp;"]"&amp;"|"&amp;$Q4201&amp;"|"&amp;$K4201&amp;"|"&amp;$G4201&amp;"|"&amp;IF($G4201="TX_CURR_SUBNAT.R","CY2022Q4",$M4201),"")</f>
        <v>[U8c0so51kT6]|50+|Male|NEW_INFECTIONS_SUBNAT.T_1|CY2023Q3</v>
      </c>
    </row>
    <row r="4202" customFormat="false" ht="15" hidden="false" customHeight="false" outlineLevel="0" collapsed="false">
      <c r="D4202" s="0" t="s">
        <v>114</v>
      </c>
      <c r="E4202" s="0" t="s">
        <v>115</v>
      </c>
      <c r="F4202" s="0" t="s">
        <v>116</v>
      </c>
      <c r="G4202" s="0" t="s">
        <v>153</v>
      </c>
      <c r="H4202" s="0" t="s">
        <v>153</v>
      </c>
      <c r="I4202" s="0" t="s">
        <v>28</v>
      </c>
      <c r="J4202" s="0" t="s">
        <v>29</v>
      </c>
      <c r="K4202" s="0" t="s">
        <v>30</v>
      </c>
      <c r="L4202" s="0" t="s">
        <v>31</v>
      </c>
      <c r="M4202" s="0" t="s">
        <v>140</v>
      </c>
      <c r="N4202" s="0" t="n">
        <v>1223</v>
      </c>
      <c r="O4202" s="10" t="n">
        <v>0.658206869615242</v>
      </c>
      <c r="P4202" s="10" t="n">
        <v>0.298559809103608</v>
      </c>
      <c r="Q4202" s="0" t="str">
        <f aca="false">SUBSTITUTE(SUBSTITUTE($I4202,CHAR(61),""),CHAR(34),"")</f>
        <v>&lt;01</v>
      </c>
      <c r="R4202" s="0" t="str">
        <f aca="false">IF($D4202&lt;&gt;"","["&amp;$E4202&amp;"]"&amp;"|"&amp;$Q4202&amp;"|"&amp;$K4202&amp;"|"&amp;$G4202&amp;"|"&amp;IF($G4202="TX_CURR_SUBNAT.R","CY2022Q4",$M4202),"")</f>
        <v>[rpw540fmNUz]|&lt;01|Female|NEW_INFECTIONS_SUBNAT.T_1|CY2023Q3</v>
      </c>
    </row>
    <row r="4203" customFormat="false" ht="15" hidden="false" customHeight="false" outlineLevel="0" collapsed="false">
      <c r="D4203" s="0" t="s">
        <v>114</v>
      </c>
      <c r="E4203" s="0" t="s">
        <v>115</v>
      </c>
      <c r="F4203" s="0" t="s">
        <v>116</v>
      </c>
      <c r="G4203" s="0" t="s">
        <v>153</v>
      </c>
      <c r="H4203" s="0" t="s">
        <v>153</v>
      </c>
      <c r="I4203" s="0" t="s">
        <v>33</v>
      </c>
      <c r="J4203" s="0" t="s">
        <v>34</v>
      </c>
      <c r="K4203" s="0" t="s">
        <v>30</v>
      </c>
      <c r="L4203" s="0" t="s">
        <v>31</v>
      </c>
      <c r="M4203" s="0" t="s">
        <v>140</v>
      </c>
      <c r="N4203" s="0" t="n">
        <v>773</v>
      </c>
      <c r="O4203" s="10" t="n">
        <v>0.00448680785484612</v>
      </c>
      <c r="P4203" s="10" t="n">
        <v>0.298559809103608</v>
      </c>
      <c r="Q4203" s="0" t="str">
        <f aca="false">SUBSTITUTE(SUBSTITUTE($I4203,CHAR(61),""),CHAR(34),"")</f>
        <v>01-09</v>
      </c>
      <c r="R4203" s="0" t="str">
        <f aca="false">IF($D4203&lt;&gt;"","["&amp;$E4203&amp;"]"&amp;"|"&amp;$Q4203&amp;"|"&amp;$K4203&amp;"|"&amp;$G4203&amp;"|"&amp;IF($G4203="TX_CURR_SUBNAT.R","CY2022Q4",$M4203),"")</f>
        <v>[rpw540fmNUz]|01-09|Female|NEW_INFECTIONS_SUBNAT.T_1|CY2023Q3</v>
      </c>
    </row>
    <row r="4204" customFormat="false" ht="15" hidden="false" customHeight="false" outlineLevel="0" collapsed="false">
      <c r="D4204" s="0" t="s">
        <v>114</v>
      </c>
      <c r="E4204" s="0" t="s">
        <v>115</v>
      </c>
      <c r="F4204" s="0" t="s">
        <v>116</v>
      </c>
      <c r="G4204" s="0" t="s">
        <v>153</v>
      </c>
      <c r="H4204" s="0" t="s">
        <v>153</v>
      </c>
      <c r="I4204" s="0" t="s">
        <v>36</v>
      </c>
      <c r="J4204" s="0" t="s">
        <v>37</v>
      </c>
      <c r="K4204" s="0" t="s">
        <v>30</v>
      </c>
      <c r="L4204" s="0" t="s">
        <v>31</v>
      </c>
      <c r="M4204" s="0" t="s">
        <v>140</v>
      </c>
      <c r="N4204" s="0" t="n">
        <v>633</v>
      </c>
      <c r="O4204" s="10" t="n">
        <v>0.132562413113192</v>
      </c>
      <c r="P4204" s="10" t="n">
        <v>0.298559809103608</v>
      </c>
      <c r="Q4204" s="0" t="str">
        <f aca="false">SUBSTITUTE(SUBSTITUTE($I4204,CHAR(61),""),CHAR(34),"")</f>
        <v>10-14</v>
      </c>
      <c r="R4204" s="0" t="str">
        <f aca="false">IF($D4204&lt;&gt;"","["&amp;$E4204&amp;"]"&amp;"|"&amp;$Q4204&amp;"|"&amp;$K4204&amp;"|"&amp;$G4204&amp;"|"&amp;IF($G4204="TX_CURR_SUBNAT.R","CY2022Q4",$M4204),"")</f>
        <v>[rpw540fmNUz]|10-14|Female|NEW_INFECTIONS_SUBNAT.T_1|CY2023Q3</v>
      </c>
    </row>
    <row r="4205" customFormat="false" ht="15" hidden="false" customHeight="false" outlineLevel="0" collapsed="false">
      <c r="D4205" s="0" t="s">
        <v>114</v>
      </c>
      <c r="E4205" s="0" t="s">
        <v>115</v>
      </c>
      <c r="F4205" s="0" t="s">
        <v>116</v>
      </c>
      <c r="G4205" s="0" t="s">
        <v>153</v>
      </c>
      <c r="H4205" s="0" t="s">
        <v>153</v>
      </c>
      <c r="I4205" s="0" t="s">
        <v>38</v>
      </c>
      <c r="J4205" s="0" t="s">
        <v>39</v>
      </c>
      <c r="K4205" s="0" t="s">
        <v>30</v>
      </c>
      <c r="L4205" s="0" t="s">
        <v>31</v>
      </c>
      <c r="M4205" s="0" t="s">
        <v>140</v>
      </c>
      <c r="N4205" s="0" t="n">
        <v>931</v>
      </c>
      <c r="O4205" s="10" t="n">
        <v>0.342632956570014</v>
      </c>
      <c r="P4205" s="10" t="n">
        <v>0.298559809103608</v>
      </c>
      <c r="Q4205" s="0" t="str">
        <f aca="false">SUBSTITUTE(SUBSTITUTE($I4205,CHAR(61),""),CHAR(34),"")</f>
        <v>15-24</v>
      </c>
      <c r="R4205" s="0" t="str">
        <f aca="false">IF($D4205&lt;&gt;"","["&amp;$E4205&amp;"]"&amp;"|"&amp;$Q4205&amp;"|"&amp;$K4205&amp;"|"&amp;$G4205&amp;"|"&amp;IF($G4205="TX_CURR_SUBNAT.R","CY2022Q4",$M4205),"")</f>
        <v>[rpw540fmNUz]|15-24|Female|NEW_INFECTIONS_SUBNAT.T_1|CY2023Q3</v>
      </c>
    </row>
    <row r="4206" customFormat="false" ht="15" hidden="false" customHeight="false" outlineLevel="0" collapsed="false">
      <c r="D4206" s="0" t="s">
        <v>114</v>
      </c>
      <c r="E4206" s="0" t="s">
        <v>115</v>
      </c>
      <c r="F4206" s="0" t="s">
        <v>116</v>
      </c>
      <c r="G4206" s="0" t="s">
        <v>153</v>
      </c>
      <c r="H4206" s="0" t="s">
        <v>153</v>
      </c>
      <c r="I4206" s="0" t="s">
        <v>41</v>
      </c>
      <c r="J4206" s="0" t="s">
        <v>42</v>
      </c>
      <c r="K4206" s="0" t="s">
        <v>30</v>
      </c>
      <c r="L4206" s="0" t="s">
        <v>31</v>
      </c>
      <c r="M4206" s="0" t="s">
        <v>140</v>
      </c>
      <c r="N4206" s="0" t="n">
        <v>1800</v>
      </c>
      <c r="O4206" s="10" t="n">
        <v>0.296764452010393</v>
      </c>
      <c r="P4206" s="10" t="n">
        <v>0.298559809103608</v>
      </c>
      <c r="Q4206" s="0" t="str">
        <f aca="false">SUBSTITUTE(SUBSTITUTE($I4206,CHAR(61),""),CHAR(34),"")</f>
        <v>25-34</v>
      </c>
      <c r="R4206" s="0" t="str">
        <f aca="false">IF($D4206&lt;&gt;"","["&amp;$E4206&amp;"]"&amp;"|"&amp;$Q4206&amp;"|"&amp;$K4206&amp;"|"&amp;$G4206&amp;"|"&amp;IF($G4206="TX_CURR_SUBNAT.R","CY2022Q4",$M4206),"")</f>
        <v>[rpw540fmNUz]|25-34|Female|NEW_INFECTIONS_SUBNAT.T_1|CY2023Q3</v>
      </c>
    </row>
    <row r="4207" customFormat="false" ht="15" hidden="false" customHeight="false" outlineLevel="0" collapsed="false">
      <c r="D4207" s="0" t="s">
        <v>114</v>
      </c>
      <c r="E4207" s="0" t="s">
        <v>115</v>
      </c>
      <c r="F4207" s="0" t="s">
        <v>116</v>
      </c>
      <c r="G4207" s="0" t="s">
        <v>153</v>
      </c>
      <c r="H4207" s="0" t="s">
        <v>153</v>
      </c>
      <c r="I4207" s="0" t="s">
        <v>43</v>
      </c>
      <c r="J4207" s="0" t="s">
        <v>44</v>
      </c>
      <c r="K4207" s="0" t="s">
        <v>30</v>
      </c>
      <c r="L4207" s="0" t="s">
        <v>31</v>
      </c>
      <c r="M4207" s="0" t="s">
        <v>140</v>
      </c>
      <c r="N4207" s="0" t="n">
        <v>1902</v>
      </c>
      <c r="O4207" s="10" t="n">
        <v>0.505414139013737</v>
      </c>
      <c r="P4207" s="10" t="n">
        <v>0.298559809103608</v>
      </c>
      <c r="Q4207" s="0" t="str">
        <f aca="false">SUBSTITUTE(SUBSTITUTE($I4207,CHAR(61),""),CHAR(34),"")</f>
        <v>35-49</v>
      </c>
      <c r="R4207" s="0" t="str">
        <f aca="false">IF($D4207&lt;&gt;"","["&amp;$E4207&amp;"]"&amp;"|"&amp;$Q4207&amp;"|"&amp;$K4207&amp;"|"&amp;$G4207&amp;"|"&amp;IF($G4207="TX_CURR_SUBNAT.R","CY2022Q4",$M4207),"")</f>
        <v>[rpw540fmNUz]|35-49|Female|NEW_INFECTIONS_SUBNAT.T_1|CY2023Q3</v>
      </c>
    </row>
    <row r="4208" customFormat="false" ht="15" hidden="false" customHeight="false" outlineLevel="0" collapsed="false">
      <c r="D4208" s="0" t="s">
        <v>114</v>
      </c>
      <c r="E4208" s="0" t="s">
        <v>115</v>
      </c>
      <c r="F4208" s="0" t="s">
        <v>116</v>
      </c>
      <c r="G4208" s="0" t="s">
        <v>153</v>
      </c>
      <c r="H4208" s="0" t="s">
        <v>153</v>
      </c>
      <c r="I4208" s="0" t="s">
        <v>45</v>
      </c>
      <c r="J4208" s="0" t="s">
        <v>46</v>
      </c>
      <c r="K4208" s="0" t="s">
        <v>30</v>
      </c>
      <c r="L4208" s="0" t="s">
        <v>31</v>
      </c>
      <c r="M4208" s="0" t="s">
        <v>140</v>
      </c>
      <c r="N4208" s="0" t="n">
        <v>521</v>
      </c>
      <c r="O4208" s="10" t="n">
        <v>0.059893095633015</v>
      </c>
      <c r="P4208" s="10" t="n">
        <v>0.298559809103608</v>
      </c>
      <c r="Q4208" s="0" t="str">
        <f aca="false">SUBSTITUTE(SUBSTITUTE($I4208,CHAR(61),""),CHAR(34),"")</f>
        <v>50+</v>
      </c>
      <c r="R4208" s="0" t="str">
        <f aca="false">IF($D4208&lt;&gt;"","["&amp;$E4208&amp;"]"&amp;"|"&amp;$Q4208&amp;"|"&amp;$K4208&amp;"|"&amp;$G4208&amp;"|"&amp;IF($G4208="TX_CURR_SUBNAT.R","CY2022Q4",$M4208),"")</f>
        <v>[rpw540fmNUz]|50+|Female|NEW_INFECTIONS_SUBNAT.T_1|CY2023Q3</v>
      </c>
    </row>
    <row r="4209" customFormat="false" ht="15" hidden="false" customHeight="false" outlineLevel="0" collapsed="false">
      <c r="D4209" s="0" t="s">
        <v>114</v>
      </c>
      <c r="E4209" s="0" t="s">
        <v>115</v>
      </c>
      <c r="F4209" s="0" t="s">
        <v>116</v>
      </c>
      <c r="G4209" s="0" t="s">
        <v>153</v>
      </c>
      <c r="H4209" s="0" t="s">
        <v>153</v>
      </c>
      <c r="I4209" s="0" t="s">
        <v>28</v>
      </c>
      <c r="J4209" s="0" t="s">
        <v>29</v>
      </c>
      <c r="K4209" s="0" t="s">
        <v>48</v>
      </c>
      <c r="L4209" s="0" t="s">
        <v>49</v>
      </c>
      <c r="M4209" s="0" t="s">
        <v>140</v>
      </c>
      <c r="N4209" s="0" t="n">
        <v>1210</v>
      </c>
      <c r="O4209" s="10" t="n">
        <v>0.403705396223813</v>
      </c>
      <c r="P4209" s="10" t="n">
        <v>0.298559809103608</v>
      </c>
      <c r="Q4209" s="0" t="str">
        <f aca="false">SUBSTITUTE(SUBSTITUTE($I4209,CHAR(61),""),CHAR(34),"")</f>
        <v>&lt;01</v>
      </c>
      <c r="R4209" s="0" t="str">
        <f aca="false">IF($D4209&lt;&gt;"","["&amp;$E4209&amp;"]"&amp;"|"&amp;$Q4209&amp;"|"&amp;$K4209&amp;"|"&amp;$G4209&amp;"|"&amp;IF($G4209="TX_CURR_SUBNAT.R","CY2022Q4",$M4209),"")</f>
        <v>[rpw540fmNUz]|&lt;01|Male|NEW_INFECTIONS_SUBNAT.T_1|CY2023Q3</v>
      </c>
    </row>
    <row r="4210" customFormat="false" ht="15" hidden="false" customHeight="false" outlineLevel="0" collapsed="false">
      <c r="D4210" s="0" t="s">
        <v>114</v>
      </c>
      <c r="E4210" s="0" t="s">
        <v>115</v>
      </c>
      <c r="F4210" s="0" t="s">
        <v>116</v>
      </c>
      <c r="G4210" s="0" t="s">
        <v>153</v>
      </c>
      <c r="H4210" s="0" t="s">
        <v>153</v>
      </c>
      <c r="I4210" s="0" t="s">
        <v>33</v>
      </c>
      <c r="J4210" s="0" t="s">
        <v>34</v>
      </c>
      <c r="K4210" s="0" t="s">
        <v>48</v>
      </c>
      <c r="L4210" s="0" t="s">
        <v>49</v>
      </c>
      <c r="M4210" s="0" t="s">
        <v>140</v>
      </c>
      <c r="N4210" s="0" t="n">
        <v>972</v>
      </c>
      <c r="O4210" s="10" t="n">
        <v>0.260088539682329</v>
      </c>
      <c r="P4210" s="10" t="n">
        <v>0.298559809103608</v>
      </c>
      <c r="Q4210" s="0" t="str">
        <f aca="false">SUBSTITUTE(SUBSTITUTE($I4210,CHAR(61),""),CHAR(34),"")</f>
        <v>01-09</v>
      </c>
      <c r="R4210" s="0" t="str">
        <f aca="false">IF($D4210&lt;&gt;"","["&amp;$E4210&amp;"]"&amp;"|"&amp;$Q4210&amp;"|"&amp;$K4210&amp;"|"&amp;$G4210&amp;"|"&amp;IF($G4210="TX_CURR_SUBNAT.R","CY2022Q4",$M4210),"")</f>
        <v>[rpw540fmNUz]|01-09|Male|NEW_INFECTIONS_SUBNAT.T_1|CY2023Q3</v>
      </c>
    </row>
    <row r="4211" customFormat="false" ht="15" hidden="false" customHeight="false" outlineLevel="0" collapsed="false">
      <c r="D4211" s="0" t="s">
        <v>114</v>
      </c>
      <c r="E4211" s="0" t="s">
        <v>115</v>
      </c>
      <c r="F4211" s="0" t="s">
        <v>116</v>
      </c>
      <c r="G4211" s="0" t="s">
        <v>153</v>
      </c>
      <c r="H4211" s="0" t="s">
        <v>153</v>
      </c>
      <c r="I4211" s="0" t="s">
        <v>36</v>
      </c>
      <c r="J4211" s="0" t="s">
        <v>37</v>
      </c>
      <c r="K4211" s="0" t="s">
        <v>48</v>
      </c>
      <c r="L4211" s="0" t="s">
        <v>49</v>
      </c>
      <c r="M4211" s="0" t="s">
        <v>140</v>
      </c>
      <c r="N4211" s="0" t="n">
        <v>1254</v>
      </c>
      <c r="O4211" s="10" t="n">
        <v>0.857676886953413</v>
      </c>
      <c r="P4211" s="10" t="n">
        <v>0.298559809103608</v>
      </c>
      <c r="Q4211" s="0" t="str">
        <f aca="false">SUBSTITUTE(SUBSTITUTE($I4211,CHAR(61),""),CHAR(34),"")</f>
        <v>10-14</v>
      </c>
      <c r="R4211" s="0" t="str">
        <f aca="false">IF($D4211&lt;&gt;"","["&amp;$E4211&amp;"]"&amp;"|"&amp;$Q4211&amp;"|"&amp;$K4211&amp;"|"&amp;$G4211&amp;"|"&amp;IF($G4211="TX_CURR_SUBNAT.R","CY2022Q4",$M4211),"")</f>
        <v>[rpw540fmNUz]|10-14|Male|NEW_INFECTIONS_SUBNAT.T_1|CY2023Q3</v>
      </c>
    </row>
    <row r="4212" customFormat="false" ht="15" hidden="false" customHeight="false" outlineLevel="0" collapsed="false">
      <c r="D4212" s="0" t="s">
        <v>114</v>
      </c>
      <c r="E4212" s="0" t="s">
        <v>115</v>
      </c>
      <c r="F4212" s="0" t="s">
        <v>116</v>
      </c>
      <c r="G4212" s="0" t="s">
        <v>153</v>
      </c>
      <c r="H4212" s="0" t="s">
        <v>153</v>
      </c>
      <c r="I4212" s="0" t="s">
        <v>38</v>
      </c>
      <c r="J4212" s="0" t="s">
        <v>39</v>
      </c>
      <c r="K4212" s="0" t="s">
        <v>48</v>
      </c>
      <c r="L4212" s="0" t="s">
        <v>49</v>
      </c>
      <c r="M4212" s="0" t="s">
        <v>140</v>
      </c>
      <c r="N4212" s="0" t="n">
        <v>1019</v>
      </c>
      <c r="O4212" s="10" t="n">
        <v>0.733807840151712</v>
      </c>
      <c r="P4212" s="10" t="n">
        <v>0.298559809103608</v>
      </c>
      <c r="Q4212" s="0" t="str">
        <f aca="false">SUBSTITUTE(SUBSTITUTE($I4212,CHAR(61),""),CHAR(34),"")</f>
        <v>15-24</v>
      </c>
      <c r="R4212" s="0" t="str">
        <f aca="false">IF($D4212&lt;&gt;"","["&amp;$E4212&amp;"]"&amp;"|"&amp;$Q4212&amp;"|"&amp;$K4212&amp;"|"&amp;$G4212&amp;"|"&amp;IF($G4212="TX_CURR_SUBNAT.R","CY2022Q4",$M4212),"")</f>
        <v>[rpw540fmNUz]|15-24|Male|NEW_INFECTIONS_SUBNAT.T_1|CY2023Q3</v>
      </c>
    </row>
    <row r="4213" customFormat="false" ht="15" hidden="false" customHeight="false" outlineLevel="0" collapsed="false">
      <c r="D4213" s="0" t="s">
        <v>114</v>
      </c>
      <c r="E4213" s="0" t="s">
        <v>115</v>
      </c>
      <c r="F4213" s="0" t="s">
        <v>116</v>
      </c>
      <c r="G4213" s="0" t="s">
        <v>153</v>
      </c>
      <c r="H4213" s="0" t="s">
        <v>153</v>
      </c>
      <c r="I4213" s="0" t="s">
        <v>41</v>
      </c>
      <c r="J4213" s="0" t="s">
        <v>42</v>
      </c>
      <c r="K4213" s="0" t="s">
        <v>48</v>
      </c>
      <c r="L4213" s="0" t="s">
        <v>49</v>
      </c>
      <c r="M4213" s="0" t="s">
        <v>140</v>
      </c>
      <c r="N4213" s="0" t="n">
        <v>1201</v>
      </c>
      <c r="O4213" s="10" t="n">
        <v>0.16561401123181</v>
      </c>
      <c r="P4213" s="10" t="n">
        <v>0.298559809103608</v>
      </c>
      <c r="Q4213" s="0" t="str">
        <f aca="false">SUBSTITUTE(SUBSTITUTE($I4213,CHAR(61),""),CHAR(34),"")</f>
        <v>25-34</v>
      </c>
      <c r="R4213" s="0" t="str">
        <f aca="false">IF($D4213&lt;&gt;"","["&amp;$E4213&amp;"]"&amp;"|"&amp;$Q4213&amp;"|"&amp;$K4213&amp;"|"&amp;$G4213&amp;"|"&amp;IF($G4213="TX_CURR_SUBNAT.R","CY2022Q4",$M4213),"")</f>
        <v>[rpw540fmNUz]|25-34|Male|NEW_INFECTIONS_SUBNAT.T_1|CY2023Q3</v>
      </c>
    </row>
    <row r="4214" customFormat="false" ht="15" hidden="false" customHeight="false" outlineLevel="0" collapsed="false">
      <c r="D4214" s="0" t="s">
        <v>114</v>
      </c>
      <c r="E4214" s="0" t="s">
        <v>115</v>
      </c>
      <c r="F4214" s="0" t="s">
        <v>116</v>
      </c>
      <c r="G4214" s="0" t="s">
        <v>153</v>
      </c>
      <c r="H4214" s="0" t="s">
        <v>153</v>
      </c>
      <c r="I4214" s="0" t="s">
        <v>43</v>
      </c>
      <c r="J4214" s="0" t="s">
        <v>44</v>
      </c>
      <c r="K4214" s="0" t="s">
        <v>48</v>
      </c>
      <c r="L4214" s="0" t="s">
        <v>49</v>
      </c>
      <c r="M4214" s="0" t="s">
        <v>140</v>
      </c>
      <c r="N4214" s="0" t="n">
        <v>1946</v>
      </c>
      <c r="O4214" s="10" t="n">
        <v>0.67381598893553</v>
      </c>
      <c r="P4214" s="10" t="n">
        <v>0.298559809103608</v>
      </c>
      <c r="Q4214" s="0" t="str">
        <f aca="false">SUBSTITUTE(SUBSTITUTE($I4214,CHAR(61),""),CHAR(34),"")</f>
        <v>35-49</v>
      </c>
      <c r="R4214" s="0" t="str">
        <f aca="false">IF($D4214&lt;&gt;"","["&amp;$E4214&amp;"]"&amp;"|"&amp;$Q4214&amp;"|"&amp;$K4214&amp;"|"&amp;$G4214&amp;"|"&amp;IF($G4214="TX_CURR_SUBNAT.R","CY2022Q4",$M4214),"")</f>
        <v>[rpw540fmNUz]|35-49|Male|NEW_INFECTIONS_SUBNAT.T_1|CY2023Q3</v>
      </c>
    </row>
    <row r="4215" customFormat="false" ht="15" hidden="false" customHeight="false" outlineLevel="0" collapsed="false">
      <c r="D4215" s="0" t="s">
        <v>114</v>
      </c>
      <c r="E4215" s="0" t="s">
        <v>115</v>
      </c>
      <c r="F4215" s="0" t="s">
        <v>116</v>
      </c>
      <c r="G4215" s="0" t="s">
        <v>153</v>
      </c>
      <c r="H4215" s="0" t="s">
        <v>153</v>
      </c>
      <c r="I4215" s="0" t="s">
        <v>45</v>
      </c>
      <c r="J4215" s="0" t="s">
        <v>46</v>
      </c>
      <c r="K4215" s="0" t="s">
        <v>48</v>
      </c>
      <c r="L4215" s="0" t="s">
        <v>49</v>
      </c>
      <c r="M4215" s="0" t="s">
        <v>140</v>
      </c>
      <c r="N4215" s="0" t="n">
        <v>1537</v>
      </c>
      <c r="O4215" s="10" t="n">
        <v>0.656138166319579</v>
      </c>
      <c r="P4215" s="10" t="n">
        <v>0.298559809103608</v>
      </c>
      <c r="Q4215" s="0" t="str">
        <f aca="false">SUBSTITUTE(SUBSTITUTE($I4215,CHAR(61),""),CHAR(34),"")</f>
        <v>50+</v>
      </c>
      <c r="R4215" s="0" t="str">
        <f aca="false">IF($D4215&lt;&gt;"","["&amp;$E4215&amp;"]"&amp;"|"&amp;$Q4215&amp;"|"&amp;$K4215&amp;"|"&amp;$G4215&amp;"|"&amp;IF($G4215="TX_CURR_SUBNAT.R","CY2022Q4",$M4215),"")</f>
        <v>[rpw540fmNUz]|50+|Male|NEW_INFECTIONS_SUBNAT.T_1|CY2023Q3</v>
      </c>
    </row>
    <row r="4216" customFormat="false" ht="15" hidden="false" customHeight="false" outlineLevel="0" collapsed="false">
      <c r="D4216" s="0" t="s">
        <v>117</v>
      </c>
      <c r="E4216" s="0" t="s">
        <v>118</v>
      </c>
      <c r="F4216" s="0" t="s">
        <v>119</v>
      </c>
      <c r="G4216" s="0" t="s">
        <v>153</v>
      </c>
      <c r="H4216" s="0" t="s">
        <v>153</v>
      </c>
      <c r="I4216" s="0" t="s">
        <v>28</v>
      </c>
      <c r="J4216" s="0" t="s">
        <v>29</v>
      </c>
      <c r="K4216" s="0" t="s">
        <v>30</v>
      </c>
      <c r="L4216" s="0" t="s">
        <v>31</v>
      </c>
      <c r="M4216" s="0" t="s">
        <v>140</v>
      </c>
      <c r="N4216" s="0" t="n">
        <v>882</v>
      </c>
      <c r="O4216" s="10" t="n">
        <v>0.751749944407493</v>
      </c>
      <c r="P4216" s="10" t="n">
        <v>0.206259709550068</v>
      </c>
      <c r="Q4216" s="0" t="str">
        <f aca="false">SUBSTITUTE(SUBSTITUTE($I4216,CHAR(61),""),CHAR(34),"")</f>
        <v>&lt;01</v>
      </c>
      <c r="R4216" s="0" t="str">
        <f aca="false">IF($D4216&lt;&gt;"","["&amp;$E4216&amp;"]"&amp;"|"&amp;$Q4216&amp;"|"&amp;$K4216&amp;"|"&amp;$G4216&amp;"|"&amp;IF($G4216="TX_CURR_SUBNAT.R","CY2022Q4",$M4216),"")</f>
        <v>[lPTyjLi4w3d]|&lt;01|Female|NEW_INFECTIONS_SUBNAT.T_1|CY2023Q3</v>
      </c>
    </row>
    <row r="4217" customFormat="false" ht="15" hidden="false" customHeight="false" outlineLevel="0" collapsed="false">
      <c r="D4217" s="0" t="s">
        <v>117</v>
      </c>
      <c r="E4217" s="0" t="s">
        <v>118</v>
      </c>
      <c r="F4217" s="0" t="s">
        <v>119</v>
      </c>
      <c r="G4217" s="0" t="s">
        <v>153</v>
      </c>
      <c r="H4217" s="0" t="s">
        <v>153</v>
      </c>
      <c r="I4217" s="0" t="s">
        <v>33</v>
      </c>
      <c r="J4217" s="0" t="s">
        <v>34</v>
      </c>
      <c r="K4217" s="0" t="s">
        <v>30</v>
      </c>
      <c r="L4217" s="0" t="s">
        <v>31</v>
      </c>
      <c r="M4217" s="0" t="s">
        <v>140</v>
      </c>
      <c r="N4217" s="0" t="n">
        <v>869</v>
      </c>
      <c r="O4217" s="10" t="n">
        <v>0.00228607468307018</v>
      </c>
      <c r="P4217" s="10" t="n">
        <v>0.206259709550068</v>
      </c>
      <c r="Q4217" s="0" t="str">
        <f aca="false">SUBSTITUTE(SUBSTITUTE($I4217,CHAR(61),""),CHAR(34),"")</f>
        <v>01-09</v>
      </c>
      <c r="R4217" s="0" t="str">
        <f aca="false">IF($D4217&lt;&gt;"","["&amp;$E4217&amp;"]"&amp;"|"&amp;$Q4217&amp;"|"&amp;$K4217&amp;"|"&amp;$G4217&amp;"|"&amp;IF($G4217="TX_CURR_SUBNAT.R","CY2022Q4",$M4217),"")</f>
        <v>[lPTyjLi4w3d]|01-09|Female|NEW_INFECTIONS_SUBNAT.T_1|CY2023Q3</v>
      </c>
    </row>
    <row r="4218" customFormat="false" ht="15" hidden="false" customHeight="false" outlineLevel="0" collapsed="false">
      <c r="D4218" s="0" t="s">
        <v>117</v>
      </c>
      <c r="E4218" s="0" t="s">
        <v>118</v>
      </c>
      <c r="F4218" s="0" t="s">
        <v>119</v>
      </c>
      <c r="G4218" s="0" t="s">
        <v>153</v>
      </c>
      <c r="H4218" s="0" t="s">
        <v>153</v>
      </c>
      <c r="I4218" s="0" t="s">
        <v>36</v>
      </c>
      <c r="J4218" s="0" t="s">
        <v>37</v>
      </c>
      <c r="K4218" s="0" t="s">
        <v>30</v>
      </c>
      <c r="L4218" s="0" t="s">
        <v>31</v>
      </c>
      <c r="M4218" s="0" t="s">
        <v>140</v>
      </c>
      <c r="N4218" s="0" t="n">
        <v>1671</v>
      </c>
      <c r="O4218" s="10" t="n">
        <v>0.634294425835833</v>
      </c>
      <c r="P4218" s="10" t="n">
        <v>0.206259709550068</v>
      </c>
      <c r="Q4218" s="0" t="str">
        <f aca="false">SUBSTITUTE(SUBSTITUTE($I4218,CHAR(61),""),CHAR(34),"")</f>
        <v>10-14</v>
      </c>
      <c r="R4218" s="0" t="str">
        <f aca="false">IF($D4218&lt;&gt;"","["&amp;$E4218&amp;"]"&amp;"|"&amp;$Q4218&amp;"|"&amp;$K4218&amp;"|"&amp;$G4218&amp;"|"&amp;IF($G4218="TX_CURR_SUBNAT.R","CY2022Q4",$M4218),"")</f>
        <v>[lPTyjLi4w3d]|10-14|Female|NEW_INFECTIONS_SUBNAT.T_1|CY2023Q3</v>
      </c>
    </row>
    <row r="4219" customFormat="false" ht="15" hidden="false" customHeight="false" outlineLevel="0" collapsed="false">
      <c r="D4219" s="0" t="s">
        <v>117</v>
      </c>
      <c r="E4219" s="0" t="s">
        <v>118</v>
      </c>
      <c r="F4219" s="0" t="s">
        <v>119</v>
      </c>
      <c r="G4219" s="0" t="s">
        <v>153</v>
      </c>
      <c r="H4219" s="0" t="s">
        <v>153</v>
      </c>
      <c r="I4219" s="0" t="s">
        <v>38</v>
      </c>
      <c r="J4219" s="0" t="s">
        <v>39</v>
      </c>
      <c r="K4219" s="0" t="s">
        <v>30</v>
      </c>
      <c r="L4219" s="0" t="s">
        <v>31</v>
      </c>
      <c r="M4219" s="0" t="s">
        <v>140</v>
      </c>
      <c r="N4219" s="0" t="n">
        <v>1585</v>
      </c>
      <c r="O4219" s="10" t="n">
        <v>0.505555089563131</v>
      </c>
      <c r="P4219" s="10" t="n">
        <v>0.206259709550068</v>
      </c>
      <c r="Q4219" s="0" t="str">
        <f aca="false">SUBSTITUTE(SUBSTITUTE($I4219,CHAR(61),""),CHAR(34),"")</f>
        <v>15-24</v>
      </c>
      <c r="R4219" s="0" t="str">
        <f aca="false">IF($D4219&lt;&gt;"","["&amp;$E4219&amp;"]"&amp;"|"&amp;$Q4219&amp;"|"&amp;$K4219&amp;"|"&amp;$G4219&amp;"|"&amp;IF($G4219="TX_CURR_SUBNAT.R","CY2022Q4",$M4219),"")</f>
        <v>[lPTyjLi4w3d]|15-24|Female|NEW_INFECTIONS_SUBNAT.T_1|CY2023Q3</v>
      </c>
    </row>
    <row r="4220" customFormat="false" ht="15" hidden="false" customHeight="false" outlineLevel="0" collapsed="false">
      <c r="D4220" s="0" t="s">
        <v>117</v>
      </c>
      <c r="E4220" s="0" t="s">
        <v>118</v>
      </c>
      <c r="F4220" s="0" t="s">
        <v>119</v>
      </c>
      <c r="G4220" s="0" t="s">
        <v>153</v>
      </c>
      <c r="H4220" s="0" t="s">
        <v>153</v>
      </c>
      <c r="I4220" s="0" t="s">
        <v>41</v>
      </c>
      <c r="J4220" s="0" t="s">
        <v>42</v>
      </c>
      <c r="K4220" s="0" t="s">
        <v>30</v>
      </c>
      <c r="L4220" s="0" t="s">
        <v>31</v>
      </c>
      <c r="M4220" s="0" t="s">
        <v>140</v>
      </c>
      <c r="N4220" s="0" t="n">
        <v>1214</v>
      </c>
      <c r="O4220" s="10" t="n">
        <v>0.792339364765212</v>
      </c>
      <c r="P4220" s="10" t="n">
        <v>0.206259709550068</v>
      </c>
      <c r="Q4220" s="0" t="str">
        <f aca="false">SUBSTITUTE(SUBSTITUTE($I4220,CHAR(61),""),CHAR(34),"")</f>
        <v>25-34</v>
      </c>
      <c r="R4220" s="0" t="str">
        <f aca="false">IF($D4220&lt;&gt;"","["&amp;$E4220&amp;"]"&amp;"|"&amp;$Q4220&amp;"|"&amp;$K4220&amp;"|"&amp;$G4220&amp;"|"&amp;IF($G4220="TX_CURR_SUBNAT.R","CY2022Q4",$M4220),"")</f>
        <v>[lPTyjLi4w3d]|25-34|Female|NEW_INFECTIONS_SUBNAT.T_1|CY2023Q3</v>
      </c>
    </row>
    <row r="4221" customFormat="false" ht="15" hidden="false" customHeight="false" outlineLevel="0" collapsed="false">
      <c r="D4221" s="0" t="s">
        <v>117</v>
      </c>
      <c r="E4221" s="0" t="s">
        <v>118</v>
      </c>
      <c r="F4221" s="0" t="s">
        <v>119</v>
      </c>
      <c r="G4221" s="0" t="s">
        <v>153</v>
      </c>
      <c r="H4221" s="0" t="s">
        <v>153</v>
      </c>
      <c r="I4221" s="0" t="s">
        <v>43</v>
      </c>
      <c r="J4221" s="0" t="s">
        <v>44</v>
      </c>
      <c r="K4221" s="0" t="s">
        <v>30</v>
      </c>
      <c r="L4221" s="0" t="s">
        <v>31</v>
      </c>
      <c r="M4221" s="0" t="s">
        <v>140</v>
      </c>
      <c r="N4221" s="0" t="n">
        <v>1118</v>
      </c>
      <c r="O4221" s="10" t="n">
        <v>0.744099842850119</v>
      </c>
      <c r="P4221" s="10" t="n">
        <v>0.206259709550068</v>
      </c>
      <c r="Q4221" s="0" t="str">
        <f aca="false">SUBSTITUTE(SUBSTITUTE($I4221,CHAR(61),""),CHAR(34),"")</f>
        <v>35-49</v>
      </c>
      <c r="R4221" s="0" t="str">
        <f aca="false">IF($D4221&lt;&gt;"","["&amp;$E4221&amp;"]"&amp;"|"&amp;$Q4221&amp;"|"&amp;$K4221&amp;"|"&amp;$G4221&amp;"|"&amp;IF($G4221="TX_CURR_SUBNAT.R","CY2022Q4",$M4221),"")</f>
        <v>[lPTyjLi4w3d]|35-49|Female|NEW_INFECTIONS_SUBNAT.T_1|CY2023Q3</v>
      </c>
    </row>
    <row r="4222" customFormat="false" ht="15" hidden="false" customHeight="false" outlineLevel="0" collapsed="false">
      <c r="D4222" s="0" t="s">
        <v>117</v>
      </c>
      <c r="E4222" s="0" t="s">
        <v>118</v>
      </c>
      <c r="F4222" s="0" t="s">
        <v>119</v>
      </c>
      <c r="G4222" s="0" t="s">
        <v>153</v>
      </c>
      <c r="H4222" s="0" t="s">
        <v>153</v>
      </c>
      <c r="I4222" s="0" t="s">
        <v>45</v>
      </c>
      <c r="J4222" s="0" t="s">
        <v>46</v>
      </c>
      <c r="K4222" s="0" t="s">
        <v>30</v>
      </c>
      <c r="L4222" s="0" t="s">
        <v>31</v>
      </c>
      <c r="M4222" s="0" t="s">
        <v>140</v>
      </c>
      <c r="N4222" s="0" t="n">
        <v>955</v>
      </c>
      <c r="O4222" s="10" t="n">
        <v>0.513795060338452</v>
      </c>
      <c r="P4222" s="10" t="n">
        <v>0.206259709550068</v>
      </c>
      <c r="Q4222" s="0" t="str">
        <f aca="false">SUBSTITUTE(SUBSTITUTE($I4222,CHAR(61),""),CHAR(34),"")</f>
        <v>50+</v>
      </c>
      <c r="R4222" s="0" t="str">
        <f aca="false">IF($D4222&lt;&gt;"","["&amp;$E4222&amp;"]"&amp;"|"&amp;$Q4222&amp;"|"&amp;$K4222&amp;"|"&amp;$G4222&amp;"|"&amp;IF($G4222="TX_CURR_SUBNAT.R","CY2022Q4",$M4222),"")</f>
        <v>[lPTyjLi4w3d]|50+|Female|NEW_INFECTIONS_SUBNAT.T_1|CY2023Q3</v>
      </c>
    </row>
    <row r="4223" customFormat="false" ht="15" hidden="false" customHeight="false" outlineLevel="0" collapsed="false">
      <c r="D4223" s="0" t="s">
        <v>117</v>
      </c>
      <c r="E4223" s="0" t="s">
        <v>118</v>
      </c>
      <c r="F4223" s="0" t="s">
        <v>119</v>
      </c>
      <c r="G4223" s="0" t="s">
        <v>153</v>
      </c>
      <c r="H4223" s="0" t="s">
        <v>153</v>
      </c>
      <c r="I4223" s="0" t="s">
        <v>28</v>
      </c>
      <c r="J4223" s="0" t="s">
        <v>29</v>
      </c>
      <c r="K4223" s="0" t="s">
        <v>48</v>
      </c>
      <c r="L4223" s="0" t="s">
        <v>49</v>
      </c>
      <c r="M4223" s="0" t="s">
        <v>140</v>
      </c>
      <c r="N4223" s="0" t="n">
        <v>953</v>
      </c>
      <c r="O4223" s="10" t="n">
        <v>0.456256033852696</v>
      </c>
      <c r="P4223" s="10" t="n">
        <v>0.206259709550068</v>
      </c>
      <c r="Q4223" s="0" t="str">
        <f aca="false">SUBSTITUTE(SUBSTITUTE($I4223,CHAR(61),""),CHAR(34),"")</f>
        <v>&lt;01</v>
      </c>
      <c r="R4223" s="0" t="str">
        <f aca="false">IF($D4223&lt;&gt;"","["&amp;$E4223&amp;"]"&amp;"|"&amp;$Q4223&amp;"|"&amp;$K4223&amp;"|"&amp;$G4223&amp;"|"&amp;IF($G4223="TX_CURR_SUBNAT.R","CY2022Q4",$M4223),"")</f>
        <v>[lPTyjLi4w3d]|&lt;01|Male|NEW_INFECTIONS_SUBNAT.T_1|CY2023Q3</v>
      </c>
    </row>
    <row r="4224" customFormat="false" ht="15" hidden="false" customHeight="false" outlineLevel="0" collapsed="false">
      <c r="D4224" s="0" t="s">
        <v>117</v>
      </c>
      <c r="E4224" s="0" t="s">
        <v>118</v>
      </c>
      <c r="F4224" s="0" t="s">
        <v>119</v>
      </c>
      <c r="G4224" s="0" t="s">
        <v>153</v>
      </c>
      <c r="H4224" s="0" t="s">
        <v>153</v>
      </c>
      <c r="I4224" s="0" t="s">
        <v>33</v>
      </c>
      <c r="J4224" s="0" t="s">
        <v>34</v>
      </c>
      <c r="K4224" s="0" t="s">
        <v>48</v>
      </c>
      <c r="L4224" s="0" t="s">
        <v>49</v>
      </c>
      <c r="M4224" s="0" t="s">
        <v>140</v>
      </c>
      <c r="N4224" s="0" t="n">
        <v>1488</v>
      </c>
      <c r="O4224" s="10" t="n">
        <v>0.0133898702915758</v>
      </c>
      <c r="P4224" s="10" t="n">
        <v>0.206259709550068</v>
      </c>
      <c r="Q4224" s="0" t="str">
        <f aca="false">SUBSTITUTE(SUBSTITUTE($I4224,CHAR(61),""),CHAR(34),"")</f>
        <v>01-09</v>
      </c>
      <c r="R4224" s="0" t="str">
        <f aca="false">IF($D4224&lt;&gt;"","["&amp;$E4224&amp;"]"&amp;"|"&amp;$Q4224&amp;"|"&amp;$K4224&amp;"|"&amp;$G4224&amp;"|"&amp;IF($G4224="TX_CURR_SUBNAT.R","CY2022Q4",$M4224),"")</f>
        <v>[lPTyjLi4w3d]|01-09|Male|NEW_INFECTIONS_SUBNAT.T_1|CY2023Q3</v>
      </c>
    </row>
    <row r="4225" customFormat="false" ht="15" hidden="false" customHeight="false" outlineLevel="0" collapsed="false">
      <c r="D4225" s="0" t="s">
        <v>117</v>
      </c>
      <c r="E4225" s="0" t="s">
        <v>118</v>
      </c>
      <c r="F4225" s="0" t="s">
        <v>119</v>
      </c>
      <c r="G4225" s="0" t="s">
        <v>153</v>
      </c>
      <c r="H4225" s="0" t="s">
        <v>153</v>
      </c>
      <c r="I4225" s="0" t="s">
        <v>36</v>
      </c>
      <c r="J4225" s="0" t="s">
        <v>37</v>
      </c>
      <c r="K4225" s="0" t="s">
        <v>48</v>
      </c>
      <c r="L4225" s="0" t="s">
        <v>49</v>
      </c>
      <c r="M4225" s="0" t="s">
        <v>140</v>
      </c>
      <c r="N4225" s="0" t="n">
        <v>1505</v>
      </c>
      <c r="O4225" s="10" t="n">
        <v>0.190269465791062</v>
      </c>
      <c r="P4225" s="10" t="n">
        <v>0.206259709550068</v>
      </c>
      <c r="Q4225" s="0" t="str">
        <f aca="false">SUBSTITUTE(SUBSTITUTE($I4225,CHAR(61),""),CHAR(34),"")</f>
        <v>10-14</v>
      </c>
      <c r="R4225" s="0" t="str">
        <f aca="false">IF($D4225&lt;&gt;"","["&amp;$E4225&amp;"]"&amp;"|"&amp;$Q4225&amp;"|"&amp;$K4225&amp;"|"&amp;$G4225&amp;"|"&amp;IF($G4225="TX_CURR_SUBNAT.R","CY2022Q4",$M4225),"")</f>
        <v>[lPTyjLi4w3d]|10-14|Male|NEW_INFECTIONS_SUBNAT.T_1|CY2023Q3</v>
      </c>
    </row>
    <row r="4226" customFormat="false" ht="15" hidden="false" customHeight="false" outlineLevel="0" collapsed="false">
      <c r="D4226" s="0" t="s">
        <v>117</v>
      </c>
      <c r="E4226" s="0" t="s">
        <v>118</v>
      </c>
      <c r="F4226" s="0" t="s">
        <v>119</v>
      </c>
      <c r="G4226" s="0" t="s">
        <v>153</v>
      </c>
      <c r="H4226" s="0" t="s">
        <v>153</v>
      </c>
      <c r="I4226" s="0" t="s">
        <v>38</v>
      </c>
      <c r="J4226" s="0" t="s">
        <v>39</v>
      </c>
      <c r="K4226" s="0" t="s">
        <v>48</v>
      </c>
      <c r="L4226" s="0" t="s">
        <v>49</v>
      </c>
      <c r="M4226" s="0" t="s">
        <v>140</v>
      </c>
      <c r="N4226" s="0" t="n">
        <v>1686</v>
      </c>
      <c r="O4226" s="10" t="n">
        <v>0.102604237385094</v>
      </c>
      <c r="P4226" s="10" t="n">
        <v>0.206259709550068</v>
      </c>
      <c r="Q4226" s="0" t="str">
        <f aca="false">SUBSTITUTE(SUBSTITUTE($I4226,CHAR(61),""),CHAR(34),"")</f>
        <v>15-24</v>
      </c>
      <c r="R4226" s="0" t="str">
        <f aca="false">IF($D4226&lt;&gt;"","["&amp;$E4226&amp;"]"&amp;"|"&amp;$Q4226&amp;"|"&amp;$K4226&amp;"|"&amp;$G4226&amp;"|"&amp;IF($G4226="TX_CURR_SUBNAT.R","CY2022Q4",$M4226),"")</f>
        <v>[lPTyjLi4w3d]|15-24|Male|NEW_INFECTIONS_SUBNAT.T_1|CY2023Q3</v>
      </c>
    </row>
    <row r="4227" customFormat="false" ht="15" hidden="false" customHeight="false" outlineLevel="0" collapsed="false">
      <c r="D4227" s="0" t="s">
        <v>117</v>
      </c>
      <c r="E4227" s="0" t="s">
        <v>118</v>
      </c>
      <c r="F4227" s="0" t="s">
        <v>119</v>
      </c>
      <c r="G4227" s="0" t="s">
        <v>153</v>
      </c>
      <c r="H4227" s="0" t="s">
        <v>153</v>
      </c>
      <c r="I4227" s="0" t="s">
        <v>41</v>
      </c>
      <c r="J4227" s="0" t="s">
        <v>42</v>
      </c>
      <c r="K4227" s="0" t="s">
        <v>48</v>
      </c>
      <c r="L4227" s="0" t="s">
        <v>49</v>
      </c>
      <c r="M4227" s="0" t="s">
        <v>140</v>
      </c>
      <c r="N4227" s="0" t="n">
        <v>1373</v>
      </c>
      <c r="O4227" s="10" t="n">
        <v>0.285307105863467</v>
      </c>
      <c r="P4227" s="10" t="n">
        <v>0.206259709550068</v>
      </c>
      <c r="Q4227" s="0" t="str">
        <f aca="false">SUBSTITUTE(SUBSTITUTE($I4227,CHAR(61),""),CHAR(34),"")</f>
        <v>25-34</v>
      </c>
      <c r="R4227" s="0" t="str">
        <f aca="false">IF($D4227&lt;&gt;"","["&amp;$E4227&amp;"]"&amp;"|"&amp;$Q4227&amp;"|"&amp;$K4227&amp;"|"&amp;$G4227&amp;"|"&amp;IF($G4227="TX_CURR_SUBNAT.R","CY2022Q4",$M4227),"")</f>
        <v>[lPTyjLi4w3d]|25-34|Male|NEW_INFECTIONS_SUBNAT.T_1|CY2023Q3</v>
      </c>
    </row>
    <row r="4228" customFormat="false" ht="15" hidden="false" customHeight="false" outlineLevel="0" collapsed="false">
      <c r="D4228" s="0" t="s">
        <v>117</v>
      </c>
      <c r="E4228" s="0" t="s">
        <v>118</v>
      </c>
      <c r="F4228" s="0" t="s">
        <v>119</v>
      </c>
      <c r="G4228" s="0" t="s">
        <v>153</v>
      </c>
      <c r="H4228" s="0" t="s">
        <v>153</v>
      </c>
      <c r="I4228" s="0" t="s">
        <v>43</v>
      </c>
      <c r="J4228" s="0" t="s">
        <v>44</v>
      </c>
      <c r="K4228" s="0" t="s">
        <v>48</v>
      </c>
      <c r="L4228" s="0" t="s">
        <v>49</v>
      </c>
      <c r="M4228" s="0" t="s">
        <v>140</v>
      </c>
      <c r="N4228" s="0" t="n">
        <v>1377</v>
      </c>
      <c r="O4228" s="10" t="n">
        <v>0.384640003321692</v>
      </c>
      <c r="P4228" s="10" t="n">
        <v>0.206259709550068</v>
      </c>
      <c r="Q4228" s="0" t="str">
        <f aca="false">SUBSTITUTE(SUBSTITUTE($I4228,CHAR(61),""),CHAR(34),"")</f>
        <v>35-49</v>
      </c>
      <c r="R4228" s="0" t="str">
        <f aca="false">IF($D4228&lt;&gt;"","["&amp;$E4228&amp;"]"&amp;"|"&amp;$Q4228&amp;"|"&amp;$K4228&amp;"|"&amp;$G4228&amp;"|"&amp;IF($G4228="TX_CURR_SUBNAT.R","CY2022Q4",$M4228),"")</f>
        <v>[lPTyjLi4w3d]|35-49|Male|NEW_INFECTIONS_SUBNAT.T_1|CY2023Q3</v>
      </c>
    </row>
    <row r="4229" customFormat="false" ht="15" hidden="false" customHeight="false" outlineLevel="0" collapsed="false">
      <c r="D4229" s="0" t="s">
        <v>117</v>
      </c>
      <c r="E4229" s="0" t="s">
        <v>118</v>
      </c>
      <c r="F4229" s="0" t="s">
        <v>119</v>
      </c>
      <c r="G4229" s="0" t="s">
        <v>153</v>
      </c>
      <c r="H4229" s="0" t="s">
        <v>153</v>
      </c>
      <c r="I4229" s="0" t="s">
        <v>45</v>
      </c>
      <c r="J4229" s="0" t="s">
        <v>46</v>
      </c>
      <c r="K4229" s="0" t="s">
        <v>48</v>
      </c>
      <c r="L4229" s="0" t="s">
        <v>49</v>
      </c>
      <c r="M4229" s="0" t="s">
        <v>140</v>
      </c>
      <c r="N4229" s="0" t="n">
        <v>1137</v>
      </c>
      <c r="O4229" s="10" t="n">
        <v>0.241655737860128</v>
      </c>
      <c r="P4229" s="10" t="n">
        <v>0.206259709550068</v>
      </c>
      <c r="Q4229" s="0" t="str">
        <f aca="false">SUBSTITUTE(SUBSTITUTE($I4229,CHAR(61),""),CHAR(34),"")</f>
        <v>50+</v>
      </c>
      <c r="R4229" s="0" t="str">
        <f aca="false">IF($D4229&lt;&gt;"","["&amp;$E4229&amp;"]"&amp;"|"&amp;$Q4229&amp;"|"&amp;$K4229&amp;"|"&amp;$G4229&amp;"|"&amp;IF($G4229="TX_CURR_SUBNAT.R","CY2022Q4",$M4229),"")</f>
        <v>[lPTyjLi4w3d]|50+|Male|NEW_INFECTIONS_SUBNAT.T_1|CY2023Q3</v>
      </c>
    </row>
    <row r="4230" customFormat="false" ht="15" hidden="false" customHeight="false" outlineLevel="0" collapsed="false">
      <c r="D4230" s="0" t="s">
        <v>120</v>
      </c>
      <c r="E4230" s="0" t="s">
        <v>121</v>
      </c>
      <c r="F4230" s="0" t="s">
        <v>122</v>
      </c>
      <c r="G4230" s="0" t="s">
        <v>153</v>
      </c>
      <c r="H4230" s="0" t="s">
        <v>153</v>
      </c>
      <c r="I4230" s="0" t="s">
        <v>28</v>
      </c>
      <c r="J4230" s="0" t="s">
        <v>29</v>
      </c>
      <c r="K4230" s="0" t="s">
        <v>30</v>
      </c>
      <c r="L4230" s="0" t="s">
        <v>31</v>
      </c>
      <c r="M4230" s="0" t="s">
        <v>140</v>
      </c>
      <c r="N4230" s="0" t="n">
        <v>757</v>
      </c>
      <c r="O4230" s="10" t="n">
        <v>0.310323705896735</v>
      </c>
      <c r="P4230" s="10" t="n">
        <v>0.430103979306296</v>
      </c>
      <c r="Q4230" s="0" t="str">
        <f aca="false">SUBSTITUTE(SUBSTITUTE($I4230,CHAR(61),""),CHAR(34),"")</f>
        <v>&lt;01</v>
      </c>
      <c r="R4230" s="0" t="str">
        <f aca="false">IF($D4230&lt;&gt;"","["&amp;$E4230&amp;"]"&amp;"|"&amp;$Q4230&amp;"|"&amp;$K4230&amp;"|"&amp;$G4230&amp;"|"&amp;IF($G4230="TX_CURR_SUBNAT.R","CY2022Q4",$M4230),"")</f>
        <v>[vA4NcHxfMBq]|&lt;01|Female|NEW_INFECTIONS_SUBNAT.T_1|CY2023Q3</v>
      </c>
    </row>
    <row r="4231" customFormat="false" ht="15" hidden="false" customHeight="false" outlineLevel="0" collapsed="false">
      <c r="D4231" s="0" t="s">
        <v>120</v>
      </c>
      <c r="E4231" s="0" t="s">
        <v>121</v>
      </c>
      <c r="F4231" s="0" t="s">
        <v>122</v>
      </c>
      <c r="G4231" s="0" t="s">
        <v>153</v>
      </c>
      <c r="H4231" s="0" t="s">
        <v>153</v>
      </c>
      <c r="I4231" s="0" t="s">
        <v>33</v>
      </c>
      <c r="J4231" s="0" t="s">
        <v>34</v>
      </c>
      <c r="K4231" s="0" t="s">
        <v>30</v>
      </c>
      <c r="L4231" s="0" t="s">
        <v>31</v>
      </c>
      <c r="M4231" s="0" t="s">
        <v>140</v>
      </c>
      <c r="N4231" s="0" t="n">
        <v>1381</v>
      </c>
      <c r="O4231" s="10" t="n">
        <v>0.793114254483953</v>
      </c>
      <c r="P4231" s="10" t="n">
        <v>0.430103979306296</v>
      </c>
      <c r="Q4231" s="0" t="str">
        <f aca="false">SUBSTITUTE(SUBSTITUTE($I4231,CHAR(61),""),CHAR(34),"")</f>
        <v>01-09</v>
      </c>
      <c r="R4231" s="0" t="str">
        <f aca="false">IF($D4231&lt;&gt;"","["&amp;$E4231&amp;"]"&amp;"|"&amp;$Q4231&amp;"|"&amp;$K4231&amp;"|"&amp;$G4231&amp;"|"&amp;IF($G4231="TX_CURR_SUBNAT.R","CY2022Q4",$M4231),"")</f>
        <v>[vA4NcHxfMBq]|01-09|Female|NEW_INFECTIONS_SUBNAT.T_1|CY2023Q3</v>
      </c>
    </row>
    <row r="4232" customFormat="false" ht="15" hidden="false" customHeight="false" outlineLevel="0" collapsed="false">
      <c r="D4232" s="0" t="s">
        <v>120</v>
      </c>
      <c r="E4232" s="0" t="s">
        <v>121</v>
      </c>
      <c r="F4232" s="0" t="s">
        <v>122</v>
      </c>
      <c r="G4232" s="0" t="s">
        <v>153</v>
      </c>
      <c r="H4232" s="0" t="s">
        <v>153</v>
      </c>
      <c r="I4232" s="0" t="s">
        <v>36</v>
      </c>
      <c r="J4232" s="0" t="s">
        <v>37</v>
      </c>
      <c r="K4232" s="0" t="s">
        <v>30</v>
      </c>
      <c r="L4232" s="0" t="s">
        <v>31</v>
      </c>
      <c r="M4232" s="0" t="s">
        <v>140</v>
      </c>
      <c r="N4232" s="0" t="n">
        <v>969</v>
      </c>
      <c r="O4232" s="10" t="n">
        <v>0.834137783851475</v>
      </c>
      <c r="P4232" s="10" t="n">
        <v>0.430103979306296</v>
      </c>
      <c r="Q4232" s="0" t="str">
        <f aca="false">SUBSTITUTE(SUBSTITUTE($I4232,CHAR(61),""),CHAR(34),"")</f>
        <v>10-14</v>
      </c>
      <c r="R4232" s="0" t="str">
        <f aca="false">IF($D4232&lt;&gt;"","["&amp;$E4232&amp;"]"&amp;"|"&amp;$Q4232&amp;"|"&amp;$K4232&amp;"|"&amp;$G4232&amp;"|"&amp;IF($G4232="TX_CURR_SUBNAT.R","CY2022Q4",$M4232),"")</f>
        <v>[vA4NcHxfMBq]|10-14|Female|NEW_INFECTIONS_SUBNAT.T_1|CY2023Q3</v>
      </c>
    </row>
    <row r="4233" customFormat="false" ht="15" hidden="false" customHeight="false" outlineLevel="0" collapsed="false">
      <c r="D4233" s="0" t="s">
        <v>120</v>
      </c>
      <c r="E4233" s="0" t="s">
        <v>121</v>
      </c>
      <c r="F4233" s="0" t="s">
        <v>122</v>
      </c>
      <c r="G4233" s="0" t="s">
        <v>153</v>
      </c>
      <c r="H4233" s="0" t="s">
        <v>153</v>
      </c>
      <c r="I4233" s="0" t="s">
        <v>38</v>
      </c>
      <c r="J4233" s="0" t="s">
        <v>39</v>
      </c>
      <c r="K4233" s="0" t="s">
        <v>30</v>
      </c>
      <c r="L4233" s="0" t="s">
        <v>31</v>
      </c>
      <c r="M4233" s="0" t="s">
        <v>140</v>
      </c>
      <c r="N4233" s="0" t="n">
        <v>1997</v>
      </c>
      <c r="O4233" s="10" t="n">
        <v>0.631197811337188</v>
      </c>
      <c r="P4233" s="10" t="n">
        <v>0.430103979306296</v>
      </c>
      <c r="Q4233" s="0" t="str">
        <f aca="false">SUBSTITUTE(SUBSTITUTE($I4233,CHAR(61),""),CHAR(34),"")</f>
        <v>15-24</v>
      </c>
      <c r="R4233" s="0" t="str">
        <f aca="false">IF($D4233&lt;&gt;"","["&amp;$E4233&amp;"]"&amp;"|"&amp;$Q4233&amp;"|"&amp;$K4233&amp;"|"&amp;$G4233&amp;"|"&amp;IF($G4233="TX_CURR_SUBNAT.R","CY2022Q4",$M4233),"")</f>
        <v>[vA4NcHxfMBq]|15-24|Female|NEW_INFECTIONS_SUBNAT.T_1|CY2023Q3</v>
      </c>
    </row>
    <row r="4234" customFormat="false" ht="15" hidden="false" customHeight="false" outlineLevel="0" collapsed="false">
      <c r="D4234" s="0" t="s">
        <v>120</v>
      </c>
      <c r="E4234" s="0" t="s">
        <v>121</v>
      </c>
      <c r="F4234" s="0" t="s">
        <v>122</v>
      </c>
      <c r="G4234" s="0" t="s">
        <v>153</v>
      </c>
      <c r="H4234" s="0" t="s">
        <v>153</v>
      </c>
      <c r="I4234" s="0" t="s">
        <v>41</v>
      </c>
      <c r="J4234" s="0" t="s">
        <v>42</v>
      </c>
      <c r="K4234" s="0" t="s">
        <v>30</v>
      </c>
      <c r="L4234" s="0" t="s">
        <v>31</v>
      </c>
      <c r="M4234" s="0" t="s">
        <v>140</v>
      </c>
      <c r="N4234" s="0" t="n">
        <v>1049</v>
      </c>
      <c r="O4234" s="10" t="n">
        <v>0.438846711069345</v>
      </c>
      <c r="P4234" s="10" t="n">
        <v>0.430103979306296</v>
      </c>
      <c r="Q4234" s="0" t="str">
        <f aca="false">SUBSTITUTE(SUBSTITUTE($I4234,CHAR(61),""),CHAR(34),"")</f>
        <v>25-34</v>
      </c>
      <c r="R4234" s="0" t="str">
        <f aca="false">IF($D4234&lt;&gt;"","["&amp;$E4234&amp;"]"&amp;"|"&amp;$Q4234&amp;"|"&amp;$K4234&amp;"|"&amp;$G4234&amp;"|"&amp;IF($G4234="TX_CURR_SUBNAT.R","CY2022Q4",$M4234),"")</f>
        <v>[vA4NcHxfMBq]|25-34|Female|NEW_INFECTIONS_SUBNAT.T_1|CY2023Q3</v>
      </c>
    </row>
    <row r="4235" customFormat="false" ht="15" hidden="false" customHeight="false" outlineLevel="0" collapsed="false">
      <c r="D4235" s="0" t="s">
        <v>120</v>
      </c>
      <c r="E4235" s="0" t="s">
        <v>121</v>
      </c>
      <c r="F4235" s="0" t="s">
        <v>122</v>
      </c>
      <c r="G4235" s="0" t="s">
        <v>153</v>
      </c>
      <c r="H4235" s="0" t="s">
        <v>153</v>
      </c>
      <c r="I4235" s="0" t="s">
        <v>43</v>
      </c>
      <c r="J4235" s="0" t="s">
        <v>44</v>
      </c>
      <c r="K4235" s="0" t="s">
        <v>30</v>
      </c>
      <c r="L4235" s="0" t="s">
        <v>31</v>
      </c>
      <c r="M4235" s="0" t="s">
        <v>140</v>
      </c>
      <c r="N4235" s="0" t="n">
        <v>875</v>
      </c>
      <c r="O4235" s="10" t="n">
        <v>0.97249882039614</v>
      </c>
      <c r="P4235" s="10" t="n">
        <v>0.430103979306296</v>
      </c>
      <c r="Q4235" s="0" t="str">
        <f aca="false">SUBSTITUTE(SUBSTITUTE($I4235,CHAR(61),""),CHAR(34),"")</f>
        <v>35-49</v>
      </c>
      <c r="R4235" s="0" t="str">
        <f aca="false">IF($D4235&lt;&gt;"","["&amp;$E4235&amp;"]"&amp;"|"&amp;$Q4235&amp;"|"&amp;$K4235&amp;"|"&amp;$G4235&amp;"|"&amp;IF($G4235="TX_CURR_SUBNAT.R","CY2022Q4",$M4235),"")</f>
        <v>[vA4NcHxfMBq]|35-49|Female|NEW_INFECTIONS_SUBNAT.T_1|CY2023Q3</v>
      </c>
    </row>
    <row r="4236" customFormat="false" ht="15" hidden="false" customHeight="false" outlineLevel="0" collapsed="false">
      <c r="D4236" s="0" t="s">
        <v>120</v>
      </c>
      <c r="E4236" s="0" t="s">
        <v>121</v>
      </c>
      <c r="F4236" s="0" t="s">
        <v>122</v>
      </c>
      <c r="G4236" s="0" t="s">
        <v>153</v>
      </c>
      <c r="H4236" s="0" t="s">
        <v>153</v>
      </c>
      <c r="I4236" s="0" t="s">
        <v>45</v>
      </c>
      <c r="J4236" s="0" t="s">
        <v>46</v>
      </c>
      <c r="K4236" s="0" t="s">
        <v>30</v>
      </c>
      <c r="L4236" s="0" t="s">
        <v>31</v>
      </c>
      <c r="M4236" s="0" t="s">
        <v>140</v>
      </c>
      <c r="N4236" s="0" t="n">
        <v>739</v>
      </c>
      <c r="O4236" s="10" t="n">
        <v>0.763330697547644</v>
      </c>
      <c r="P4236" s="10" t="n">
        <v>0.430103979306296</v>
      </c>
      <c r="Q4236" s="0" t="str">
        <f aca="false">SUBSTITUTE(SUBSTITUTE($I4236,CHAR(61),""),CHAR(34),"")</f>
        <v>50+</v>
      </c>
      <c r="R4236" s="0" t="str">
        <f aca="false">IF($D4236&lt;&gt;"","["&amp;$E4236&amp;"]"&amp;"|"&amp;$Q4236&amp;"|"&amp;$K4236&amp;"|"&amp;$G4236&amp;"|"&amp;IF($G4236="TX_CURR_SUBNAT.R","CY2022Q4",$M4236),"")</f>
        <v>[vA4NcHxfMBq]|50+|Female|NEW_INFECTIONS_SUBNAT.T_1|CY2023Q3</v>
      </c>
    </row>
    <row r="4237" customFormat="false" ht="15" hidden="false" customHeight="false" outlineLevel="0" collapsed="false">
      <c r="D4237" s="0" t="s">
        <v>120</v>
      </c>
      <c r="E4237" s="0" t="s">
        <v>121</v>
      </c>
      <c r="F4237" s="0" t="s">
        <v>122</v>
      </c>
      <c r="G4237" s="0" t="s">
        <v>153</v>
      </c>
      <c r="H4237" s="0" t="s">
        <v>153</v>
      </c>
      <c r="I4237" s="0" t="s">
        <v>28</v>
      </c>
      <c r="J4237" s="0" t="s">
        <v>29</v>
      </c>
      <c r="K4237" s="0" t="s">
        <v>48</v>
      </c>
      <c r="L4237" s="0" t="s">
        <v>49</v>
      </c>
      <c r="M4237" s="0" t="s">
        <v>140</v>
      </c>
      <c r="N4237" s="0" t="n">
        <v>1231</v>
      </c>
      <c r="O4237" s="10" t="n">
        <v>0.0147570816334337</v>
      </c>
      <c r="P4237" s="10" t="n">
        <v>0.430103979306296</v>
      </c>
      <c r="Q4237" s="0" t="str">
        <f aca="false">SUBSTITUTE(SUBSTITUTE($I4237,CHAR(61),""),CHAR(34),"")</f>
        <v>&lt;01</v>
      </c>
      <c r="R4237" s="0" t="str">
        <f aca="false">IF($D4237&lt;&gt;"","["&amp;$E4237&amp;"]"&amp;"|"&amp;$Q4237&amp;"|"&amp;$K4237&amp;"|"&amp;$G4237&amp;"|"&amp;IF($G4237="TX_CURR_SUBNAT.R","CY2022Q4",$M4237),"")</f>
        <v>[vA4NcHxfMBq]|&lt;01|Male|NEW_INFECTIONS_SUBNAT.T_1|CY2023Q3</v>
      </c>
    </row>
    <row r="4238" customFormat="false" ht="15" hidden="false" customHeight="false" outlineLevel="0" collapsed="false">
      <c r="D4238" s="0" t="s">
        <v>120</v>
      </c>
      <c r="E4238" s="0" t="s">
        <v>121</v>
      </c>
      <c r="F4238" s="0" t="s">
        <v>122</v>
      </c>
      <c r="G4238" s="0" t="s">
        <v>153</v>
      </c>
      <c r="H4238" s="0" t="s">
        <v>153</v>
      </c>
      <c r="I4238" s="0" t="s">
        <v>33</v>
      </c>
      <c r="J4238" s="0" t="s">
        <v>34</v>
      </c>
      <c r="K4238" s="0" t="s">
        <v>48</v>
      </c>
      <c r="L4238" s="0" t="s">
        <v>49</v>
      </c>
      <c r="M4238" s="0" t="s">
        <v>140</v>
      </c>
      <c r="N4238" s="0" t="n">
        <v>944</v>
      </c>
      <c r="O4238" s="10" t="n">
        <v>0.312040605582297</v>
      </c>
      <c r="P4238" s="10" t="n">
        <v>0.430103979306296</v>
      </c>
      <c r="Q4238" s="0" t="str">
        <f aca="false">SUBSTITUTE(SUBSTITUTE($I4238,CHAR(61),""),CHAR(34),"")</f>
        <v>01-09</v>
      </c>
      <c r="R4238" s="0" t="str">
        <f aca="false">IF($D4238&lt;&gt;"","["&amp;$E4238&amp;"]"&amp;"|"&amp;$Q4238&amp;"|"&amp;$K4238&amp;"|"&amp;$G4238&amp;"|"&amp;IF($G4238="TX_CURR_SUBNAT.R","CY2022Q4",$M4238),"")</f>
        <v>[vA4NcHxfMBq]|01-09|Male|NEW_INFECTIONS_SUBNAT.T_1|CY2023Q3</v>
      </c>
    </row>
    <row r="4239" customFormat="false" ht="15" hidden="false" customHeight="false" outlineLevel="0" collapsed="false">
      <c r="D4239" s="0" t="s">
        <v>120</v>
      </c>
      <c r="E4239" s="0" t="s">
        <v>121</v>
      </c>
      <c r="F4239" s="0" t="s">
        <v>122</v>
      </c>
      <c r="G4239" s="0" t="s">
        <v>153</v>
      </c>
      <c r="H4239" s="0" t="s">
        <v>153</v>
      </c>
      <c r="I4239" s="0" t="s">
        <v>36</v>
      </c>
      <c r="J4239" s="0" t="s">
        <v>37</v>
      </c>
      <c r="K4239" s="0" t="s">
        <v>48</v>
      </c>
      <c r="L4239" s="0" t="s">
        <v>49</v>
      </c>
      <c r="M4239" s="0" t="s">
        <v>140</v>
      </c>
      <c r="N4239" s="0" t="n">
        <v>820</v>
      </c>
      <c r="O4239" s="10" t="n">
        <v>0.660142326029018</v>
      </c>
      <c r="P4239" s="10" t="n">
        <v>0.430103979306296</v>
      </c>
      <c r="Q4239" s="0" t="str">
        <f aca="false">SUBSTITUTE(SUBSTITUTE($I4239,CHAR(61),""),CHAR(34),"")</f>
        <v>10-14</v>
      </c>
      <c r="R4239" s="0" t="str">
        <f aca="false">IF($D4239&lt;&gt;"","["&amp;$E4239&amp;"]"&amp;"|"&amp;$Q4239&amp;"|"&amp;$K4239&amp;"|"&amp;$G4239&amp;"|"&amp;IF($G4239="TX_CURR_SUBNAT.R","CY2022Q4",$M4239),"")</f>
        <v>[vA4NcHxfMBq]|10-14|Male|NEW_INFECTIONS_SUBNAT.T_1|CY2023Q3</v>
      </c>
    </row>
    <row r="4240" customFormat="false" ht="15" hidden="false" customHeight="false" outlineLevel="0" collapsed="false">
      <c r="D4240" s="0" t="s">
        <v>120</v>
      </c>
      <c r="E4240" s="0" t="s">
        <v>121</v>
      </c>
      <c r="F4240" s="0" t="s">
        <v>122</v>
      </c>
      <c r="G4240" s="0" t="s">
        <v>153</v>
      </c>
      <c r="H4240" s="0" t="s">
        <v>153</v>
      </c>
      <c r="I4240" s="0" t="s">
        <v>38</v>
      </c>
      <c r="J4240" s="0" t="s">
        <v>39</v>
      </c>
      <c r="K4240" s="0" t="s">
        <v>48</v>
      </c>
      <c r="L4240" s="0" t="s">
        <v>49</v>
      </c>
      <c r="M4240" s="0" t="s">
        <v>140</v>
      </c>
      <c r="N4240" s="0" t="n">
        <v>1138</v>
      </c>
      <c r="O4240" s="10" t="n">
        <v>0.118748670676723</v>
      </c>
      <c r="P4240" s="10" t="n">
        <v>0.430103979306296</v>
      </c>
      <c r="Q4240" s="0" t="str">
        <f aca="false">SUBSTITUTE(SUBSTITUTE($I4240,CHAR(61),""),CHAR(34),"")</f>
        <v>15-24</v>
      </c>
      <c r="R4240" s="0" t="str">
        <f aca="false">IF($D4240&lt;&gt;"","["&amp;$E4240&amp;"]"&amp;"|"&amp;$Q4240&amp;"|"&amp;$K4240&amp;"|"&amp;$G4240&amp;"|"&amp;IF($G4240="TX_CURR_SUBNAT.R","CY2022Q4",$M4240),"")</f>
        <v>[vA4NcHxfMBq]|15-24|Male|NEW_INFECTIONS_SUBNAT.T_1|CY2023Q3</v>
      </c>
    </row>
    <row r="4241" customFormat="false" ht="15" hidden="false" customHeight="false" outlineLevel="0" collapsed="false">
      <c r="D4241" s="0" t="s">
        <v>120</v>
      </c>
      <c r="E4241" s="0" t="s">
        <v>121</v>
      </c>
      <c r="F4241" s="0" t="s">
        <v>122</v>
      </c>
      <c r="G4241" s="0" t="s">
        <v>153</v>
      </c>
      <c r="H4241" s="0" t="s">
        <v>153</v>
      </c>
      <c r="I4241" s="0" t="s">
        <v>41</v>
      </c>
      <c r="J4241" s="0" t="s">
        <v>42</v>
      </c>
      <c r="K4241" s="0" t="s">
        <v>48</v>
      </c>
      <c r="L4241" s="0" t="s">
        <v>49</v>
      </c>
      <c r="M4241" s="0" t="s">
        <v>140</v>
      </c>
      <c r="N4241" s="0" t="n">
        <v>681</v>
      </c>
      <c r="O4241" s="10" t="n">
        <v>0.703319376334548</v>
      </c>
      <c r="P4241" s="10" t="n">
        <v>0.430103979306296</v>
      </c>
      <c r="Q4241" s="0" t="str">
        <f aca="false">SUBSTITUTE(SUBSTITUTE($I4241,CHAR(61),""),CHAR(34),"")</f>
        <v>25-34</v>
      </c>
      <c r="R4241" s="0" t="str">
        <f aca="false">IF($D4241&lt;&gt;"","["&amp;$E4241&amp;"]"&amp;"|"&amp;$Q4241&amp;"|"&amp;$K4241&amp;"|"&amp;$G4241&amp;"|"&amp;IF($G4241="TX_CURR_SUBNAT.R","CY2022Q4",$M4241),"")</f>
        <v>[vA4NcHxfMBq]|25-34|Male|NEW_INFECTIONS_SUBNAT.T_1|CY2023Q3</v>
      </c>
    </row>
    <row r="4242" customFormat="false" ht="15" hidden="false" customHeight="false" outlineLevel="0" collapsed="false">
      <c r="D4242" s="0" t="s">
        <v>120</v>
      </c>
      <c r="E4242" s="0" t="s">
        <v>121</v>
      </c>
      <c r="F4242" s="0" t="s">
        <v>122</v>
      </c>
      <c r="G4242" s="0" t="s">
        <v>153</v>
      </c>
      <c r="H4242" s="0" t="s">
        <v>153</v>
      </c>
      <c r="I4242" s="0" t="s">
        <v>43</v>
      </c>
      <c r="J4242" s="0" t="s">
        <v>44</v>
      </c>
      <c r="K4242" s="0" t="s">
        <v>48</v>
      </c>
      <c r="L4242" s="0" t="s">
        <v>49</v>
      </c>
      <c r="M4242" s="0" t="s">
        <v>140</v>
      </c>
      <c r="N4242" s="0" t="n">
        <v>572</v>
      </c>
      <c r="O4242" s="10" t="n">
        <v>0.71524325129576</v>
      </c>
      <c r="P4242" s="10" t="n">
        <v>0.430103979306296</v>
      </c>
      <c r="Q4242" s="0" t="str">
        <f aca="false">SUBSTITUTE(SUBSTITUTE($I4242,CHAR(61),""),CHAR(34),"")</f>
        <v>35-49</v>
      </c>
      <c r="R4242" s="0" t="str">
        <f aca="false">IF($D4242&lt;&gt;"","["&amp;$E4242&amp;"]"&amp;"|"&amp;$Q4242&amp;"|"&amp;$K4242&amp;"|"&amp;$G4242&amp;"|"&amp;IF($G4242="TX_CURR_SUBNAT.R","CY2022Q4",$M4242),"")</f>
        <v>[vA4NcHxfMBq]|35-49|Male|NEW_INFECTIONS_SUBNAT.T_1|CY2023Q3</v>
      </c>
    </row>
    <row r="4243" customFormat="false" ht="15" hidden="false" customHeight="false" outlineLevel="0" collapsed="false">
      <c r="D4243" s="0" t="s">
        <v>120</v>
      </c>
      <c r="E4243" s="0" t="s">
        <v>121</v>
      </c>
      <c r="F4243" s="0" t="s">
        <v>122</v>
      </c>
      <c r="G4243" s="0" t="s">
        <v>153</v>
      </c>
      <c r="H4243" s="0" t="s">
        <v>153</v>
      </c>
      <c r="I4243" s="0" t="s">
        <v>45</v>
      </c>
      <c r="J4243" s="0" t="s">
        <v>46</v>
      </c>
      <c r="K4243" s="0" t="s">
        <v>48</v>
      </c>
      <c r="L4243" s="0" t="s">
        <v>49</v>
      </c>
      <c r="M4243" s="0" t="s">
        <v>140</v>
      </c>
      <c r="N4243" s="0" t="n">
        <v>1939</v>
      </c>
      <c r="O4243" s="10" t="n">
        <v>0.133267430122942</v>
      </c>
      <c r="P4243" s="10" t="n">
        <v>0.430103979306296</v>
      </c>
      <c r="Q4243" s="0" t="str">
        <f aca="false">SUBSTITUTE(SUBSTITUTE($I4243,CHAR(61),""),CHAR(34),"")</f>
        <v>50+</v>
      </c>
      <c r="R4243" s="0" t="str">
        <f aca="false">IF($D4243&lt;&gt;"","["&amp;$E4243&amp;"]"&amp;"|"&amp;$Q4243&amp;"|"&amp;$K4243&amp;"|"&amp;$G4243&amp;"|"&amp;IF($G4243="TX_CURR_SUBNAT.R","CY2022Q4",$M4243),"")</f>
        <v>[vA4NcHxfMBq]|50+|Male|NEW_INFECTIONS_SUBNAT.T_1|CY2023Q3</v>
      </c>
    </row>
    <row r="4244" customFormat="false" ht="15" hidden="false" customHeight="false" outlineLevel="0" collapsed="false">
      <c r="D4244" s="0" t="s">
        <v>123</v>
      </c>
      <c r="E4244" s="0" t="s">
        <v>124</v>
      </c>
      <c r="F4244" s="0" t="s">
        <v>125</v>
      </c>
      <c r="G4244" s="0" t="s">
        <v>153</v>
      </c>
      <c r="H4244" s="0" t="s">
        <v>153</v>
      </c>
      <c r="I4244" s="0" t="s">
        <v>28</v>
      </c>
      <c r="J4244" s="0" t="s">
        <v>29</v>
      </c>
      <c r="K4244" s="0" t="s">
        <v>30</v>
      </c>
      <c r="L4244" s="0" t="s">
        <v>31</v>
      </c>
      <c r="M4244" s="0" t="s">
        <v>140</v>
      </c>
      <c r="N4244" s="0" t="n">
        <v>1165</v>
      </c>
      <c r="O4244" s="10" t="n">
        <v>0.141884786076844</v>
      </c>
      <c r="P4244" s="10" t="n">
        <v>0.419500603340566</v>
      </c>
      <c r="Q4244" s="0" t="str">
        <f aca="false">SUBSTITUTE(SUBSTITUTE($I4244,CHAR(61),""),CHAR(34),"")</f>
        <v>&lt;01</v>
      </c>
      <c r="R4244" s="0" t="str">
        <f aca="false">IF($D4244&lt;&gt;"","["&amp;$E4244&amp;"]"&amp;"|"&amp;$Q4244&amp;"|"&amp;$K4244&amp;"|"&amp;$G4244&amp;"|"&amp;IF($G4244="TX_CURR_SUBNAT.R","CY2022Q4",$M4244),"")</f>
        <v>[E7zpfyBt7Tw]|&lt;01|Female|NEW_INFECTIONS_SUBNAT.T_1|CY2023Q3</v>
      </c>
    </row>
    <row r="4245" customFormat="false" ht="15" hidden="false" customHeight="false" outlineLevel="0" collapsed="false">
      <c r="D4245" s="0" t="s">
        <v>123</v>
      </c>
      <c r="E4245" s="0" t="s">
        <v>124</v>
      </c>
      <c r="F4245" s="0" t="s">
        <v>125</v>
      </c>
      <c r="G4245" s="0" t="s">
        <v>153</v>
      </c>
      <c r="H4245" s="0" t="s">
        <v>153</v>
      </c>
      <c r="I4245" s="0" t="s">
        <v>33</v>
      </c>
      <c r="J4245" s="0" t="s">
        <v>34</v>
      </c>
      <c r="K4245" s="0" t="s">
        <v>30</v>
      </c>
      <c r="L4245" s="0" t="s">
        <v>31</v>
      </c>
      <c r="M4245" s="0" t="s">
        <v>140</v>
      </c>
      <c r="N4245" s="0" t="n">
        <v>1308</v>
      </c>
      <c r="O4245" s="10" t="n">
        <v>0.715839611599222</v>
      </c>
      <c r="P4245" s="10" t="n">
        <v>0.419500603340566</v>
      </c>
      <c r="Q4245" s="0" t="str">
        <f aca="false">SUBSTITUTE(SUBSTITUTE($I4245,CHAR(61),""),CHAR(34),"")</f>
        <v>01-09</v>
      </c>
      <c r="R4245" s="0" t="str">
        <f aca="false">IF($D4245&lt;&gt;"","["&amp;$E4245&amp;"]"&amp;"|"&amp;$Q4245&amp;"|"&amp;$K4245&amp;"|"&amp;$G4245&amp;"|"&amp;IF($G4245="TX_CURR_SUBNAT.R","CY2022Q4",$M4245),"")</f>
        <v>[E7zpfyBt7Tw]|01-09|Female|NEW_INFECTIONS_SUBNAT.T_1|CY2023Q3</v>
      </c>
    </row>
    <row r="4246" customFormat="false" ht="15" hidden="false" customHeight="false" outlineLevel="0" collapsed="false">
      <c r="D4246" s="0" t="s">
        <v>123</v>
      </c>
      <c r="E4246" s="0" t="s">
        <v>124</v>
      </c>
      <c r="F4246" s="0" t="s">
        <v>125</v>
      </c>
      <c r="G4246" s="0" t="s">
        <v>153</v>
      </c>
      <c r="H4246" s="0" t="s">
        <v>153</v>
      </c>
      <c r="I4246" s="0" t="s">
        <v>36</v>
      </c>
      <c r="J4246" s="0" t="s">
        <v>37</v>
      </c>
      <c r="K4246" s="0" t="s">
        <v>30</v>
      </c>
      <c r="L4246" s="0" t="s">
        <v>31</v>
      </c>
      <c r="M4246" s="0" t="s">
        <v>140</v>
      </c>
      <c r="N4246" s="0" t="n">
        <v>1393</v>
      </c>
      <c r="O4246" s="10" t="n">
        <v>0.856488489778712</v>
      </c>
      <c r="P4246" s="10" t="n">
        <v>0.419500603340566</v>
      </c>
      <c r="Q4246" s="0" t="str">
        <f aca="false">SUBSTITUTE(SUBSTITUTE($I4246,CHAR(61),""),CHAR(34),"")</f>
        <v>10-14</v>
      </c>
      <c r="R4246" s="0" t="str">
        <f aca="false">IF($D4246&lt;&gt;"","["&amp;$E4246&amp;"]"&amp;"|"&amp;$Q4246&amp;"|"&amp;$K4246&amp;"|"&amp;$G4246&amp;"|"&amp;IF($G4246="TX_CURR_SUBNAT.R","CY2022Q4",$M4246),"")</f>
        <v>[E7zpfyBt7Tw]|10-14|Female|NEW_INFECTIONS_SUBNAT.T_1|CY2023Q3</v>
      </c>
    </row>
    <row r="4247" customFormat="false" ht="15" hidden="false" customHeight="false" outlineLevel="0" collapsed="false">
      <c r="D4247" s="0" t="s">
        <v>123</v>
      </c>
      <c r="E4247" s="0" t="s">
        <v>124</v>
      </c>
      <c r="F4247" s="0" t="s">
        <v>125</v>
      </c>
      <c r="G4247" s="0" t="s">
        <v>153</v>
      </c>
      <c r="H4247" s="0" t="s">
        <v>153</v>
      </c>
      <c r="I4247" s="0" t="s">
        <v>38</v>
      </c>
      <c r="J4247" s="0" t="s">
        <v>39</v>
      </c>
      <c r="K4247" s="0" t="s">
        <v>30</v>
      </c>
      <c r="L4247" s="0" t="s">
        <v>31</v>
      </c>
      <c r="M4247" s="0" t="s">
        <v>140</v>
      </c>
      <c r="N4247" s="0" t="n">
        <v>1847</v>
      </c>
      <c r="O4247" s="10" t="n">
        <v>0.716316709993407</v>
      </c>
      <c r="P4247" s="10" t="n">
        <v>0.419500603340566</v>
      </c>
      <c r="Q4247" s="0" t="str">
        <f aca="false">SUBSTITUTE(SUBSTITUTE($I4247,CHAR(61),""),CHAR(34),"")</f>
        <v>15-24</v>
      </c>
      <c r="R4247" s="0" t="str">
        <f aca="false">IF($D4247&lt;&gt;"","["&amp;$E4247&amp;"]"&amp;"|"&amp;$Q4247&amp;"|"&amp;$K4247&amp;"|"&amp;$G4247&amp;"|"&amp;IF($G4247="TX_CURR_SUBNAT.R","CY2022Q4",$M4247),"")</f>
        <v>[E7zpfyBt7Tw]|15-24|Female|NEW_INFECTIONS_SUBNAT.T_1|CY2023Q3</v>
      </c>
    </row>
    <row r="4248" customFormat="false" ht="15" hidden="false" customHeight="false" outlineLevel="0" collapsed="false">
      <c r="D4248" s="0" t="s">
        <v>123</v>
      </c>
      <c r="E4248" s="0" t="s">
        <v>124</v>
      </c>
      <c r="F4248" s="0" t="s">
        <v>125</v>
      </c>
      <c r="G4248" s="0" t="s">
        <v>153</v>
      </c>
      <c r="H4248" s="0" t="s">
        <v>153</v>
      </c>
      <c r="I4248" s="0" t="s">
        <v>41</v>
      </c>
      <c r="J4248" s="0" t="s">
        <v>42</v>
      </c>
      <c r="K4248" s="0" t="s">
        <v>30</v>
      </c>
      <c r="L4248" s="0" t="s">
        <v>31</v>
      </c>
      <c r="M4248" s="0" t="s">
        <v>140</v>
      </c>
      <c r="N4248" s="0" t="n">
        <v>1081</v>
      </c>
      <c r="O4248" s="10" t="n">
        <v>0.159393101232126</v>
      </c>
      <c r="P4248" s="10" t="n">
        <v>0.419500603340566</v>
      </c>
      <c r="Q4248" s="0" t="str">
        <f aca="false">SUBSTITUTE(SUBSTITUTE($I4248,CHAR(61),""),CHAR(34),"")</f>
        <v>25-34</v>
      </c>
      <c r="R4248" s="0" t="str">
        <f aca="false">IF($D4248&lt;&gt;"","["&amp;$E4248&amp;"]"&amp;"|"&amp;$Q4248&amp;"|"&amp;$K4248&amp;"|"&amp;$G4248&amp;"|"&amp;IF($G4248="TX_CURR_SUBNAT.R","CY2022Q4",$M4248),"")</f>
        <v>[E7zpfyBt7Tw]|25-34|Female|NEW_INFECTIONS_SUBNAT.T_1|CY2023Q3</v>
      </c>
    </row>
    <row r="4249" customFormat="false" ht="15" hidden="false" customHeight="false" outlineLevel="0" collapsed="false">
      <c r="D4249" s="0" t="s">
        <v>123</v>
      </c>
      <c r="E4249" s="0" t="s">
        <v>124</v>
      </c>
      <c r="F4249" s="0" t="s">
        <v>125</v>
      </c>
      <c r="G4249" s="0" t="s">
        <v>153</v>
      </c>
      <c r="H4249" s="0" t="s">
        <v>153</v>
      </c>
      <c r="I4249" s="0" t="s">
        <v>43</v>
      </c>
      <c r="J4249" s="0" t="s">
        <v>44</v>
      </c>
      <c r="K4249" s="0" t="s">
        <v>30</v>
      </c>
      <c r="L4249" s="0" t="s">
        <v>31</v>
      </c>
      <c r="M4249" s="0" t="s">
        <v>140</v>
      </c>
      <c r="N4249" s="0" t="n">
        <v>765</v>
      </c>
      <c r="O4249" s="10" t="n">
        <v>0.81079151853919</v>
      </c>
      <c r="P4249" s="10" t="n">
        <v>0.419500603340566</v>
      </c>
      <c r="Q4249" s="0" t="str">
        <f aca="false">SUBSTITUTE(SUBSTITUTE($I4249,CHAR(61),""),CHAR(34),"")</f>
        <v>35-49</v>
      </c>
      <c r="R4249" s="0" t="str">
        <f aca="false">IF($D4249&lt;&gt;"","["&amp;$E4249&amp;"]"&amp;"|"&amp;$Q4249&amp;"|"&amp;$K4249&amp;"|"&amp;$G4249&amp;"|"&amp;IF($G4249="TX_CURR_SUBNAT.R","CY2022Q4",$M4249),"")</f>
        <v>[E7zpfyBt7Tw]|35-49|Female|NEW_INFECTIONS_SUBNAT.T_1|CY2023Q3</v>
      </c>
    </row>
    <row r="4250" customFormat="false" ht="15" hidden="false" customHeight="false" outlineLevel="0" collapsed="false">
      <c r="D4250" s="0" t="s">
        <v>123</v>
      </c>
      <c r="E4250" s="0" t="s">
        <v>124</v>
      </c>
      <c r="F4250" s="0" t="s">
        <v>125</v>
      </c>
      <c r="G4250" s="0" t="s">
        <v>153</v>
      </c>
      <c r="H4250" s="0" t="s">
        <v>153</v>
      </c>
      <c r="I4250" s="0" t="s">
        <v>45</v>
      </c>
      <c r="J4250" s="0" t="s">
        <v>46</v>
      </c>
      <c r="K4250" s="0" t="s">
        <v>30</v>
      </c>
      <c r="L4250" s="0" t="s">
        <v>31</v>
      </c>
      <c r="M4250" s="0" t="s">
        <v>140</v>
      </c>
      <c r="N4250" s="0" t="n">
        <v>1220</v>
      </c>
      <c r="O4250" s="10" t="n">
        <v>0.464056803379208</v>
      </c>
      <c r="P4250" s="10" t="n">
        <v>0.419500603340566</v>
      </c>
      <c r="Q4250" s="0" t="str">
        <f aca="false">SUBSTITUTE(SUBSTITUTE($I4250,CHAR(61),""),CHAR(34),"")</f>
        <v>50+</v>
      </c>
      <c r="R4250" s="0" t="str">
        <f aca="false">IF($D4250&lt;&gt;"","["&amp;$E4250&amp;"]"&amp;"|"&amp;$Q4250&amp;"|"&amp;$K4250&amp;"|"&amp;$G4250&amp;"|"&amp;IF($G4250="TX_CURR_SUBNAT.R","CY2022Q4",$M4250),"")</f>
        <v>[E7zpfyBt7Tw]|50+|Female|NEW_INFECTIONS_SUBNAT.T_1|CY2023Q3</v>
      </c>
    </row>
    <row r="4251" customFormat="false" ht="15" hidden="false" customHeight="false" outlineLevel="0" collapsed="false">
      <c r="D4251" s="0" t="s">
        <v>123</v>
      </c>
      <c r="E4251" s="0" t="s">
        <v>124</v>
      </c>
      <c r="F4251" s="0" t="s">
        <v>125</v>
      </c>
      <c r="G4251" s="0" t="s">
        <v>153</v>
      </c>
      <c r="H4251" s="0" t="s">
        <v>153</v>
      </c>
      <c r="I4251" s="0" t="s">
        <v>28</v>
      </c>
      <c r="J4251" s="0" t="s">
        <v>29</v>
      </c>
      <c r="K4251" s="0" t="s">
        <v>48</v>
      </c>
      <c r="L4251" s="0" t="s">
        <v>49</v>
      </c>
      <c r="M4251" s="0" t="s">
        <v>140</v>
      </c>
      <c r="N4251" s="0" t="n">
        <v>1711</v>
      </c>
      <c r="O4251" s="10" t="n">
        <v>0.655115736182779</v>
      </c>
      <c r="P4251" s="10" t="n">
        <v>0.419500603340566</v>
      </c>
      <c r="Q4251" s="0" t="str">
        <f aca="false">SUBSTITUTE(SUBSTITUTE($I4251,CHAR(61),""),CHAR(34),"")</f>
        <v>&lt;01</v>
      </c>
      <c r="R4251" s="0" t="str">
        <f aca="false">IF($D4251&lt;&gt;"","["&amp;$E4251&amp;"]"&amp;"|"&amp;$Q4251&amp;"|"&amp;$K4251&amp;"|"&amp;$G4251&amp;"|"&amp;IF($G4251="TX_CURR_SUBNAT.R","CY2022Q4",$M4251),"")</f>
        <v>[E7zpfyBt7Tw]|&lt;01|Male|NEW_INFECTIONS_SUBNAT.T_1|CY2023Q3</v>
      </c>
    </row>
    <row r="4252" customFormat="false" ht="15" hidden="false" customHeight="false" outlineLevel="0" collapsed="false">
      <c r="D4252" s="0" t="s">
        <v>123</v>
      </c>
      <c r="E4252" s="0" t="s">
        <v>124</v>
      </c>
      <c r="F4252" s="0" t="s">
        <v>125</v>
      </c>
      <c r="G4252" s="0" t="s">
        <v>153</v>
      </c>
      <c r="H4252" s="0" t="s">
        <v>153</v>
      </c>
      <c r="I4252" s="0" t="s">
        <v>33</v>
      </c>
      <c r="J4252" s="0" t="s">
        <v>34</v>
      </c>
      <c r="K4252" s="0" t="s">
        <v>48</v>
      </c>
      <c r="L4252" s="0" t="s">
        <v>49</v>
      </c>
      <c r="M4252" s="0" t="s">
        <v>140</v>
      </c>
      <c r="N4252" s="0" t="n">
        <v>1726</v>
      </c>
      <c r="O4252" s="10" t="n">
        <v>0.445189703023061</v>
      </c>
      <c r="P4252" s="10" t="n">
        <v>0.419500603340566</v>
      </c>
      <c r="Q4252" s="0" t="str">
        <f aca="false">SUBSTITUTE(SUBSTITUTE($I4252,CHAR(61),""),CHAR(34),"")</f>
        <v>01-09</v>
      </c>
      <c r="R4252" s="0" t="str">
        <f aca="false">IF($D4252&lt;&gt;"","["&amp;$E4252&amp;"]"&amp;"|"&amp;$Q4252&amp;"|"&amp;$K4252&amp;"|"&amp;$G4252&amp;"|"&amp;IF($G4252="TX_CURR_SUBNAT.R","CY2022Q4",$M4252),"")</f>
        <v>[E7zpfyBt7Tw]|01-09|Male|NEW_INFECTIONS_SUBNAT.T_1|CY2023Q3</v>
      </c>
    </row>
    <row r="4253" customFormat="false" ht="15" hidden="false" customHeight="false" outlineLevel="0" collapsed="false">
      <c r="D4253" s="0" t="s">
        <v>123</v>
      </c>
      <c r="E4253" s="0" t="s">
        <v>124</v>
      </c>
      <c r="F4253" s="0" t="s">
        <v>125</v>
      </c>
      <c r="G4253" s="0" t="s">
        <v>153</v>
      </c>
      <c r="H4253" s="0" t="s">
        <v>153</v>
      </c>
      <c r="I4253" s="0" t="s">
        <v>36</v>
      </c>
      <c r="J4253" s="0" t="s">
        <v>37</v>
      </c>
      <c r="K4253" s="0" t="s">
        <v>48</v>
      </c>
      <c r="L4253" s="0" t="s">
        <v>49</v>
      </c>
      <c r="M4253" s="0" t="s">
        <v>140</v>
      </c>
      <c r="N4253" s="0" t="n">
        <v>526</v>
      </c>
      <c r="O4253" s="10" t="n">
        <v>0.464982472360134</v>
      </c>
      <c r="P4253" s="10" t="n">
        <v>0.419500603340566</v>
      </c>
      <c r="Q4253" s="0" t="str">
        <f aca="false">SUBSTITUTE(SUBSTITUTE($I4253,CHAR(61),""),CHAR(34),"")</f>
        <v>10-14</v>
      </c>
      <c r="R4253" s="0" t="str">
        <f aca="false">IF($D4253&lt;&gt;"","["&amp;$E4253&amp;"]"&amp;"|"&amp;$Q4253&amp;"|"&amp;$K4253&amp;"|"&amp;$G4253&amp;"|"&amp;IF($G4253="TX_CURR_SUBNAT.R","CY2022Q4",$M4253),"")</f>
        <v>[E7zpfyBt7Tw]|10-14|Male|NEW_INFECTIONS_SUBNAT.T_1|CY2023Q3</v>
      </c>
    </row>
    <row r="4254" customFormat="false" ht="15" hidden="false" customHeight="false" outlineLevel="0" collapsed="false">
      <c r="D4254" s="0" t="s">
        <v>123</v>
      </c>
      <c r="E4254" s="0" t="s">
        <v>124</v>
      </c>
      <c r="F4254" s="0" t="s">
        <v>125</v>
      </c>
      <c r="G4254" s="0" t="s">
        <v>153</v>
      </c>
      <c r="H4254" s="0" t="s">
        <v>153</v>
      </c>
      <c r="I4254" s="0" t="s">
        <v>38</v>
      </c>
      <c r="J4254" s="0" t="s">
        <v>39</v>
      </c>
      <c r="K4254" s="0" t="s">
        <v>48</v>
      </c>
      <c r="L4254" s="0" t="s">
        <v>49</v>
      </c>
      <c r="M4254" s="0" t="s">
        <v>140</v>
      </c>
      <c r="N4254" s="0" t="n">
        <v>789</v>
      </c>
      <c r="O4254" s="10" t="n">
        <v>0.354813505895436</v>
      </c>
      <c r="P4254" s="10" t="n">
        <v>0.419500603340566</v>
      </c>
      <c r="Q4254" s="0" t="str">
        <f aca="false">SUBSTITUTE(SUBSTITUTE($I4254,CHAR(61),""),CHAR(34),"")</f>
        <v>15-24</v>
      </c>
      <c r="R4254" s="0" t="str">
        <f aca="false">IF($D4254&lt;&gt;"","["&amp;$E4254&amp;"]"&amp;"|"&amp;$Q4254&amp;"|"&amp;$K4254&amp;"|"&amp;$G4254&amp;"|"&amp;IF($G4254="TX_CURR_SUBNAT.R","CY2022Q4",$M4254),"")</f>
        <v>[E7zpfyBt7Tw]|15-24|Male|NEW_INFECTIONS_SUBNAT.T_1|CY2023Q3</v>
      </c>
    </row>
    <row r="4255" customFormat="false" ht="15" hidden="false" customHeight="false" outlineLevel="0" collapsed="false">
      <c r="D4255" s="0" t="s">
        <v>123</v>
      </c>
      <c r="E4255" s="0" t="s">
        <v>124</v>
      </c>
      <c r="F4255" s="0" t="s">
        <v>125</v>
      </c>
      <c r="G4255" s="0" t="s">
        <v>153</v>
      </c>
      <c r="H4255" s="0" t="s">
        <v>153</v>
      </c>
      <c r="I4255" s="0" t="s">
        <v>41</v>
      </c>
      <c r="J4255" s="0" t="s">
        <v>42</v>
      </c>
      <c r="K4255" s="0" t="s">
        <v>48</v>
      </c>
      <c r="L4255" s="0" t="s">
        <v>49</v>
      </c>
      <c r="M4255" s="0" t="s">
        <v>140</v>
      </c>
      <c r="N4255" s="0" t="n">
        <v>1891</v>
      </c>
      <c r="O4255" s="10" t="n">
        <v>0.234688076423481</v>
      </c>
      <c r="P4255" s="10" t="n">
        <v>0.419500603340566</v>
      </c>
      <c r="Q4255" s="0" t="str">
        <f aca="false">SUBSTITUTE(SUBSTITUTE($I4255,CHAR(61),""),CHAR(34),"")</f>
        <v>25-34</v>
      </c>
      <c r="R4255" s="0" t="str">
        <f aca="false">IF($D4255&lt;&gt;"","["&amp;$E4255&amp;"]"&amp;"|"&amp;$Q4255&amp;"|"&amp;$K4255&amp;"|"&amp;$G4255&amp;"|"&amp;IF($G4255="TX_CURR_SUBNAT.R","CY2022Q4",$M4255),"")</f>
        <v>[E7zpfyBt7Tw]|25-34|Male|NEW_INFECTIONS_SUBNAT.T_1|CY2023Q3</v>
      </c>
    </row>
    <row r="4256" customFormat="false" ht="15" hidden="false" customHeight="false" outlineLevel="0" collapsed="false">
      <c r="D4256" s="0" t="s">
        <v>123</v>
      </c>
      <c r="E4256" s="0" t="s">
        <v>124</v>
      </c>
      <c r="F4256" s="0" t="s">
        <v>125</v>
      </c>
      <c r="G4256" s="0" t="s">
        <v>153</v>
      </c>
      <c r="H4256" s="0" t="s">
        <v>153</v>
      </c>
      <c r="I4256" s="0" t="s">
        <v>43</v>
      </c>
      <c r="J4256" s="0" t="s">
        <v>44</v>
      </c>
      <c r="K4256" s="0" t="s">
        <v>48</v>
      </c>
      <c r="L4256" s="0" t="s">
        <v>49</v>
      </c>
      <c r="M4256" s="0" t="s">
        <v>140</v>
      </c>
      <c r="N4256" s="0" t="n">
        <v>587</v>
      </c>
      <c r="O4256" s="10" t="n">
        <v>0.636408257298172</v>
      </c>
      <c r="P4256" s="10" t="n">
        <v>0.419500603340566</v>
      </c>
      <c r="Q4256" s="0" t="str">
        <f aca="false">SUBSTITUTE(SUBSTITUTE($I4256,CHAR(61),""),CHAR(34),"")</f>
        <v>35-49</v>
      </c>
      <c r="R4256" s="0" t="str">
        <f aca="false">IF($D4256&lt;&gt;"","["&amp;$E4256&amp;"]"&amp;"|"&amp;$Q4256&amp;"|"&amp;$K4256&amp;"|"&amp;$G4256&amp;"|"&amp;IF($G4256="TX_CURR_SUBNAT.R","CY2022Q4",$M4256),"")</f>
        <v>[E7zpfyBt7Tw]|35-49|Male|NEW_INFECTIONS_SUBNAT.T_1|CY2023Q3</v>
      </c>
    </row>
    <row r="4257" customFormat="false" ht="15" hidden="false" customHeight="false" outlineLevel="0" collapsed="false">
      <c r="D4257" s="0" t="s">
        <v>123</v>
      </c>
      <c r="E4257" s="0" t="s">
        <v>124</v>
      </c>
      <c r="F4257" s="0" t="s">
        <v>125</v>
      </c>
      <c r="G4257" s="0" t="s">
        <v>153</v>
      </c>
      <c r="H4257" s="0" t="s">
        <v>153</v>
      </c>
      <c r="I4257" s="0" t="s">
        <v>45</v>
      </c>
      <c r="J4257" s="0" t="s">
        <v>46</v>
      </c>
      <c r="K4257" s="0" t="s">
        <v>48</v>
      </c>
      <c r="L4257" s="0" t="s">
        <v>49</v>
      </c>
      <c r="M4257" s="0" t="s">
        <v>140</v>
      </c>
      <c r="N4257" s="0" t="n">
        <v>1283</v>
      </c>
      <c r="O4257" s="10" t="n">
        <v>0.805516362190247</v>
      </c>
      <c r="P4257" s="10" t="n">
        <v>0.419500603340566</v>
      </c>
      <c r="Q4257" s="0" t="str">
        <f aca="false">SUBSTITUTE(SUBSTITUTE($I4257,CHAR(61),""),CHAR(34),"")</f>
        <v>50+</v>
      </c>
      <c r="R4257" s="0" t="str">
        <f aca="false">IF($D4257&lt;&gt;"","["&amp;$E4257&amp;"]"&amp;"|"&amp;$Q4257&amp;"|"&amp;$K4257&amp;"|"&amp;$G4257&amp;"|"&amp;IF($G4257="TX_CURR_SUBNAT.R","CY2022Q4",$M4257),"")</f>
        <v>[E7zpfyBt7Tw]|50+|Male|NEW_INFECTIONS_SUBNAT.T_1|CY2023Q3</v>
      </c>
    </row>
    <row r="4258" customFormat="false" ht="15" hidden="false" customHeight="false" outlineLevel="0" collapsed="false">
      <c r="D4258" s="0" t="s">
        <v>126</v>
      </c>
      <c r="E4258" s="0" t="s">
        <v>127</v>
      </c>
      <c r="F4258" s="0" t="s">
        <v>128</v>
      </c>
      <c r="G4258" s="0" t="s">
        <v>153</v>
      </c>
      <c r="H4258" s="0" t="s">
        <v>153</v>
      </c>
      <c r="I4258" s="0" t="s">
        <v>28</v>
      </c>
      <c r="J4258" s="0" t="s">
        <v>29</v>
      </c>
      <c r="K4258" s="0" t="s">
        <v>30</v>
      </c>
      <c r="L4258" s="0" t="s">
        <v>31</v>
      </c>
      <c r="M4258" s="0" t="s">
        <v>140</v>
      </c>
      <c r="N4258" s="0" t="n">
        <v>1761</v>
      </c>
      <c r="O4258" s="10" t="n">
        <v>0.370268984232098</v>
      </c>
      <c r="P4258" s="10" t="n">
        <v>0.252706390339881</v>
      </c>
      <c r="Q4258" s="0" t="str">
        <f aca="false">SUBSTITUTE(SUBSTITUTE($I4258,CHAR(61),""),CHAR(34),"")</f>
        <v>&lt;01</v>
      </c>
      <c r="R4258" s="0" t="str">
        <f aca="false">IF($D4258&lt;&gt;"","["&amp;$E4258&amp;"]"&amp;"|"&amp;$Q4258&amp;"|"&amp;$K4258&amp;"|"&amp;$G4258&amp;"|"&amp;IF($G4258="TX_CURR_SUBNAT.R","CY2022Q4",$M4258),"")</f>
        <v>[ZCjuwgaMB9u]|&lt;01|Female|NEW_INFECTIONS_SUBNAT.T_1|CY2023Q3</v>
      </c>
    </row>
    <row r="4259" customFormat="false" ht="15" hidden="false" customHeight="false" outlineLevel="0" collapsed="false">
      <c r="D4259" s="0" t="s">
        <v>126</v>
      </c>
      <c r="E4259" s="0" t="s">
        <v>127</v>
      </c>
      <c r="F4259" s="0" t="s">
        <v>128</v>
      </c>
      <c r="G4259" s="0" t="s">
        <v>153</v>
      </c>
      <c r="H4259" s="0" t="s">
        <v>153</v>
      </c>
      <c r="I4259" s="0" t="s">
        <v>33</v>
      </c>
      <c r="J4259" s="0" t="s">
        <v>34</v>
      </c>
      <c r="K4259" s="0" t="s">
        <v>30</v>
      </c>
      <c r="L4259" s="0" t="s">
        <v>31</v>
      </c>
      <c r="M4259" s="0" t="s">
        <v>140</v>
      </c>
      <c r="N4259" s="0" t="n">
        <v>1698</v>
      </c>
      <c r="O4259" s="10" t="n">
        <v>0.682507015299052</v>
      </c>
      <c r="P4259" s="10" t="n">
        <v>0.252706390339881</v>
      </c>
      <c r="Q4259" s="0" t="str">
        <f aca="false">SUBSTITUTE(SUBSTITUTE($I4259,CHAR(61),""),CHAR(34),"")</f>
        <v>01-09</v>
      </c>
      <c r="R4259" s="0" t="str">
        <f aca="false">IF($D4259&lt;&gt;"","["&amp;$E4259&amp;"]"&amp;"|"&amp;$Q4259&amp;"|"&amp;$K4259&amp;"|"&amp;$G4259&amp;"|"&amp;IF($G4259="TX_CURR_SUBNAT.R","CY2022Q4",$M4259),"")</f>
        <v>[ZCjuwgaMB9u]|01-09|Female|NEW_INFECTIONS_SUBNAT.T_1|CY2023Q3</v>
      </c>
    </row>
    <row r="4260" customFormat="false" ht="15" hidden="false" customHeight="false" outlineLevel="0" collapsed="false">
      <c r="D4260" s="0" t="s">
        <v>126</v>
      </c>
      <c r="E4260" s="0" t="s">
        <v>127</v>
      </c>
      <c r="F4260" s="0" t="s">
        <v>128</v>
      </c>
      <c r="G4260" s="0" t="s">
        <v>153</v>
      </c>
      <c r="H4260" s="0" t="s">
        <v>153</v>
      </c>
      <c r="I4260" s="0" t="s">
        <v>36</v>
      </c>
      <c r="J4260" s="0" t="s">
        <v>37</v>
      </c>
      <c r="K4260" s="0" t="s">
        <v>30</v>
      </c>
      <c r="L4260" s="0" t="s">
        <v>31</v>
      </c>
      <c r="M4260" s="0" t="s">
        <v>140</v>
      </c>
      <c r="N4260" s="0" t="n">
        <v>860</v>
      </c>
      <c r="O4260" s="10" t="n">
        <v>0.0814482152927667</v>
      </c>
      <c r="P4260" s="10" t="n">
        <v>0.252706390339881</v>
      </c>
      <c r="Q4260" s="0" t="str">
        <f aca="false">SUBSTITUTE(SUBSTITUTE($I4260,CHAR(61),""),CHAR(34),"")</f>
        <v>10-14</v>
      </c>
      <c r="R4260" s="0" t="str">
        <f aca="false">IF($D4260&lt;&gt;"","["&amp;$E4260&amp;"]"&amp;"|"&amp;$Q4260&amp;"|"&amp;$K4260&amp;"|"&amp;$G4260&amp;"|"&amp;IF($G4260="TX_CURR_SUBNAT.R","CY2022Q4",$M4260),"")</f>
        <v>[ZCjuwgaMB9u]|10-14|Female|NEW_INFECTIONS_SUBNAT.T_1|CY2023Q3</v>
      </c>
    </row>
    <row r="4261" customFormat="false" ht="15" hidden="false" customHeight="false" outlineLevel="0" collapsed="false">
      <c r="D4261" s="0" t="s">
        <v>126</v>
      </c>
      <c r="E4261" s="0" t="s">
        <v>127</v>
      </c>
      <c r="F4261" s="0" t="s">
        <v>128</v>
      </c>
      <c r="G4261" s="0" t="s">
        <v>153</v>
      </c>
      <c r="H4261" s="0" t="s">
        <v>153</v>
      </c>
      <c r="I4261" s="0" t="s">
        <v>38</v>
      </c>
      <c r="J4261" s="0" t="s">
        <v>39</v>
      </c>
      <c r="K4261" s="0" t="s">
        <v>30</v>
      </c>
      <c r="L4261" s="0" t="s">
        <v>31</v>
      </c>
      <c r="M4261" s="0" t="s">
        <v>140</v>
      </c>
      <c r="N4261" s="0" t="n">
        <v>1869</v>
      </c>
      <c r="O4261" s="10" t="n">
        <v>0.516098393592983</v>
      </c>
      <c r="P4261" s="10" t="n">
        <v>0.252706390339881</v>
      </c>
      <c r="Q4261" s="0" t="str">
        <f aca="false">SUBSTITUTE(SUBSTITUTE($I4261,CHAR(61),""),CHAR(34),"")</f>
        <v>15-24</v>
      </c>
      <c r="R4261" s="0" t="str">
        <f aca="false">IF($D4261&lt;&gt;"","["&amp;$E4261&amp;"]"&amp;"|"&amp;$Q4261&amp;"|"&amp;$K4261&amp;"|"&amp;$G4261&amp;"|"&amp;IF($G4261="TX_CURR_SUBNAT.R","CY2022Q4",$M4261),"")</f>
        <v>[ZCjuwgaMB9u]|15-24|Female|NEW_INFECTIONS_SUBNAT.T_1|CY2023Q3</v>
      </c>
    </row>
    <row r="4262" customFormat="false" ht="15" hidden="false" customHeight="false" outlineLevel="0" collapsed="false">
      <c r="D4262" s="0" t="s">
        <v>126</v>
      </c>
      <c r="E4262" s="0" t="s">
        <v>127</v>
      </c>
      <c r="F4262" s="0" t="s">
        <v>128</v>
      </c>
      <c r="G4262" s="0" t="s">
        <v>153</v>
      </c>
      <c r="H4262" s="0" t="s">
        <v>153</v>
      </c>
      <c r="I4262" s="0" t="s">
        <v>41</v>
      </c>
      <c r="J4262" s="0" t="s">
        <v>42</v>
      </c>
      <c r="K4262" s="0" t="s">
        <v>30</v>
      </c>
      <c r="L4262" s="0" t="s">
        <v>31</v>
      </c>
      <c r="M4262" s="0" t="s">
        <v>140</v>
      </c>
      <c r="N4262" s="0" t="n">
        <v>660</v>
      </c>
      <c r="O4262" s="10" t="n">
        <v>0.140245466958731</v>
      </c>
      <c r="P4262" s="10" t="n">
        <v>0.252706390339881</v>
      </c>
      <c r="Q4262" s="0" t="str">
        <f aca="false">SUBSTITUTE(SUBSTITUTE($I4262,CHAR(61),""),CHAR(34),"")</f>
        <v>25-34</v>
      </c>
      <c r="R4262" s="0" t="str">
        <f aca="false">IF($D4262&lt;&gt;"","["&amp;$E4262&amp;"]"&amp;"|"&amp;$Q4262&amp;"|"&amp;$K4262&amp;"|"&amp;$G4262&amp;"|"&amp;IF($G4262="TX_CURR_SUBNAT.R","CY2022Q4",$M4262),"")</f>
        <v>[ZCjuwgaMB9u]|25-34|Female|NEW_INFECTIONS_SUBNAT.T_1|CY2023Q3</v>
      </c>
    </row>
    <row r="4263" customFormat="false" ht="15" hidden="false" customHeight="false" outlineLevel="0" collapsed="false">
      <c r="D4263" s="0" t="s">
        <v>126</v>
      </c>
      <c r="E4263" s="0" t="s">
        <v>127</v>
      </c>
      <c r="F4263" s="0" t="s">
        <v>128</v>
      </c>
      <c r="G4263" s="0" t="s">
        <v>153</v>
      </c>
      <c r="H4263" s="0" t="s">
        <v>153</v>
      </c>
      <c r="I4263" s="0" t="s">
        <v>43</v>
      </c>
      <c r="J4263" s="0" t="s">
        <v>44</v>
      </c>
      <c r="K4263" s="0" t="s">
        <v>30</v>
      </c>
      <c r="L4263" s="0" t="s">
        <v>31</v>
      </c>
      <c r="M4263" s="0" t="s">
        <v>140</v>
      </c>
      <c r="N4263" s="0" t="n">
        <v>1035</v>
      </c>
      <c r="O4263" s="10" t="n">
        <v>0.649485022062436</v>
      </c>
      <c r="P4263" s="10" t="n">
        <v>0.252706390339881</v>
      </c>
      <c r="Q4263" s="0" t="str">
        <f aca="false">SUBSTITUTE(SUBSTITUTE($I4263,CHAR(61),""),CHAR(34),"")</f>
        <v>35-49</v>
      </c>
      <c r="R4263" s="0" t="str">
        <f aca="false">IF($D4263&lt;&gt;"","["&amp;$E4263&amp;"]"&amp;"|"&amp;$Q4263&amp;"|"&amp;$K4263&amp;"|"&amp;$G4263&amp;"|"&amp;IF($G4263="TX_CURR_SUBNAT.R","CY2022Q4",$M4263),"")</f>
        <v>[ZCjuwgaMB9u]|35-49|Female|NEW_INFECTIONS_SUBNAT.T_1|CY2023Q3</v>
      </c>
    </row>
    <row r="4264" customFormat="false" ht="15" hidden="false" customHeight="false" outlineLevel="0" collapsed="false">
      <c r="D4264" s="0" t="s">
        <v>126</v>
      </c>
      <c r="E4264" s="0" t="s">
        <v>127</v>
      </c>
      <c r="F4264" s="0" t="s">
        <v>128</v>
      </c>
      <c r="G4264" s="0" t="s">
        <v>153</v>
      </c>
      <c r="H4264" s="0" t="s">
        <v>153</v>
      </c>
      <c r="I4264" s="0" t="s">
        <v>45</v>
      </c>
      <c r="J4264" s="0" t="s">
        <v>46</v>
      </c>
      <c r="K4264" s="0" t="s">
        <v>30</v>
      </c>
      <c r="L4264" s="0" t="s">
        <v>31</v>
      </c>
      <c r="M4264" s="0" t="s">
        <v>140</v>
      </c>
      <c r="N4264" s="0" t="n">
        <v>1449</v>
      </c>
      <c r="O4264" s="10" t="n">
        <v>0.264331752201542</v>
      </c>
      <c r="P4264" s="10" t="n">
        <v>0.252706390339881</v>
      </c>
      <c r="Q4264" s="0" t="str">
        <f aca="false">SUBSTITUTE(SUBSTITUTE($I4264,CHAR(61),""),CHAR(34),"")</f>
        <v>50+</v>
      </c>
      <c r="R4264" s="0" t="str">
        <f aca="false">IF($D4264&lt;&gt;"","["&amp;$E4264&amp;"]"&amp;"|"&amp;$Q4264&amp;"|"&amp;$K4264&amp;"|"&amp;$G4264&amp;"|"&amp;IF($G4264="TX_CURR_SUBNAT.R","CY2022Q4",$M4264),"")</f>
        <v>[ZCjuwgaMB9u]|50+|Female|NEW_INFECTIONS_SUBNAT.T_1|CY2023Q3</v>
      </c>
    </row>
    <row r="4265" customFormat="false" ht="15" hidden="false" customHeight="false" outlineLevel="0" collapsed="false">
      <c r="D4265" s="0" t="s">
        <v>126</v>
      </c>
      <c r="E4265" s="0" t="s">
        <v>127</v>
      </c>
      <c r="F4265" s="0" t="s">
        <v>128</v>
      </c>
      <c r="G4265" s="0" t="s">
        <v>153</v>
      </c>
      <c r="H4265" s="0" t="s">
        <v>153</v>
      </c>
      <c r="I4265" s="0" t="s">
        <v>28</v>
      </c>
      <c r="J4265" s="0" t="s">
        <v>29</v>
      </c>
      <c r="K4265" s="0" t="s">
        <v>48</v>
      </c>
      <c r="L4265" s="0" t="s">
        <v>49</v>
      </c>
      <c r="M4265" s="0" t="s">
        <v>140</v>
      </c>
      <c r="N4265" s="0" t="n">
        <v>1297</v>
      </c>
      <c r="O4265" s="10" t="n">
        <v>0.134758098982275</v>
      </c>
      <c r="P4265" s="10" t="n">
        <v>0.252706390339881</v>
      </c>
      <c r="Q4265" s="0" t="str">
        <f aca="false">SUBSTITUTE(SUBSTITUTE($I4265,CHAR(61),""),CHAR(34),"")</f>
        <v>&lt;01</v>
      </c>
      <c r="R4265" s="0" t="str">
        <f aca="false">IF($D4265&lt;&gt;"","["&amp;$E4265&amp;"]"&amp;"|"&amp;$Q4265&amp;"|"&amp;$K4265&amp;"|"&amp;$G4265&amp;"|"&amp;IF($G4265="TX_CURR_SUBNAT.R","CY2022Q4",$M4265),"")</f>
        <v>[ZCjuwgaMB9u]|&lt;01|Male|NEW_INFECTIONS_SUBNAT.T_1|CY2023Q3</v>
      </c>
    </row>
    <row r="4266" customFormat="false" ht="15" hidden="false" customHeight="false" outlineLevel="0" collapsed="false">
      <c r="D4266" s="0" t="s">
        <v>126</v>
      </c>
      <c r="E4266" s="0" t="s">
        <v>127</v>
      </c>
      <c r="F4266" s="0" t="s">
        <v>128</v>
      </c>
      <c r="G4266" s="0" t="s">
        <v>153</v>
      </c>
      <c r="H4266" s="0" t="s">
        <v>153</v>
      </c>
      <c r="I4266" s="0" t="s">
        <v>33</v>
      </c>
      <c r="J4266" s="0" t="s">
        <v>34</v>
      </c>
      <c r="K4266" s="0" t="s">
        <v>48</v>
      </c>
      <c r="L4266" s="0" t="s">
        <v>49</v>
      </c>
      <c r="M4266" s="0" t="s">
        <v>140</v>
      </c>
      <c r="N4266" s="0" t="n">
        <v>1777</v>
      </c>
      <c r="O4266" s="10" t="n">
        <v>0.149770368356258</v>
      </c>
      <c r="P4266" s="10" t="n">
        <v>0.252706390339881</v>
      </c>
      <c r="Q4266" s="0" t="str">
        <f aca="false">SUBSTITUTE(SUBSTITUTE($I4266,CHAR(61),""),CHAR(34),"")</f>
        <v>01-09</v>
      </c>
      <c r="R4266" s="0" t="str">
        <f aca="false">IF($D4266&lt;&gt;"","["&amp;$E4266&amp;"]"&amp;"|"&amp;$Q4266&amp;"|"&amp;$K4266&amp;"|"&amp;$G4266&amp;"|"&amp;IF($G4266="TX_CURR_SUBNAT.R","CY2022Q4",$M4266),"")</f>
        <v>[ZCjuwgaMB9u]|01-09|Male|NEW_INFECTIONS_SUBNAT.T_1|CY2023Q3</v>
      </c>
    </row>
    <row r="4267" customFormat="false" ht="15" hidden="false" customHeight="false" outlineLevel="0" collapsed="false">
      <c r="D4267" s="0" t="s">
        <v>126</v>
      </c>
      <c r="E4267" s="0" t="s">
        <v>127</v>
      </c>
      <c r="F4267" s="0" t="s">
        <v>128</v>
      </c>
      <c r="G4267" s="0" t="s">
        <v>153</v>
      </c>
      <c r="H4267" s="0" t="s">
        <v>153</v>
      </c>
      <c r="I4267" s="0" t="s">
        <v>36</v>
      </c>
      <c r="J4267" s="0" t="s">
        <v>37</v>
      </c>
      <c r="K4267" s="0" t="s">
        <v>48</v>
      </c>
      <c r="L4267" s="0" t="s">
        <v>49</v>
      </c>
      <c r="M4267" s="0" t="s">
        <v>140</v>
      </c>
      <c r="N4267" s="0" t="n">
        <v>995</v>
      </c>
      <c r="O4267" s="10" t="n">
        <v>0.895410120720044</v>
      </c>
      <c r="P4267" s="10" t="n">
        <v>0.252706390339881</v>
      </c>
      <c r="Q4267" s="0" t="str">
        <f aca="false">SUBSTITUTE(SUBSTITUTE($I4267,CHAR(61),""),CHAR(34),"")</f>
        <v>10-14</v>
      </c>
      <c r="R4267" s="0" t="str">
        <f aca="false">IF($D4267&lt;&gt;"","["&amp;$E4267&amp;"]"&amp;"|"&amp;$Q4267&amp;"|"&amp;$K4267&amp;"|"&amp;$G4267&amp;"|"&amp;IF($G4267="TX_CURR_SUBNAT.R","CY2022Q4",$M4267),"")</f>
        <v>[ZCjuwgaMB9u]|10-14|Male|NEW_INFECTIONS_SUBNAT.T_1|CY2023Q3</v>
      </c>
    </row>
    <row r="4268" customFormat="false" ht="15" hidden="false" customHeight="false" outlineLevel="0" collapsed="false">
      <c r="D4268" s="0" t="s">
        <v>126</v>
      </c>
      <c r="E4268" s="0" t="s">
        <v>127</v>
      </c>
      <c r="F4268" s="0" t="s">
        <v>128</v>
      </c>
      <c r="G4268" s="0" t="s">
        <v>153</v>
      </c>
      <c r="H4268" s="0" t="s">
        <v>153</v>
      </c>
      <c r="I4268" s="0" t="s">
        <v>38</v>
      </c>
      <c r="J4268" s="0" t="s">
        <v>39</v>
      </c>
      <c r="K4268" s="0" t="s">
        <v>48</v>
      </c>
      <c r="L4268" s="0" t="s">
        <v>49</v>
      </c>
      <c r="M4268" s="0" t="s">
        <v>140</v>
      </c>
      <c r="N4268" s="0" t="n">
        <v>1028</v>
      </c>
      <c r="O4268" s="10" t="n">
        <v>0.552121980814263</v>
      </c>
      <c r="P4268" s="10" t="n">
        <v>0.252706390339881</v>
      </c>
      <c r="Q4268" s="0" t="str">
        <f aca="false">SUBSTITUTE(SUBSTITUTE($I4268,CHAR(61),""),CHAR(34),"")</f>
        <v>15-24</v>
      </c>
      <c r="R4268" s="0" t="str">
        <f aca="false">IF($D4268&lt;&gt;"","["&amp;$E4268&amp;"]"&amp;"|"&amp;$Q4268&amp;"|"&amp;$K4268&amp;"|"&amp;$G4268&amp;"|"&amp;IF($G4268="TX_CURR_SUBNAT.R","CY2022Q4",$M4268),"")</f>
        <v>[ZCjuwgaMB9u]|15-24|Male|NEW_INFECTIONS_SUBNAT.T_1|CY2023Q3</v>
      </c>
    </row>
    <row r="4269" customFormat="false" ht="15" hidden="false" customHeight="false" outlineLevel="0" collapsed="false">
      <c r="D4269" s="0" t="s">
        <v>126</v>
      </c>
      <c r="E4269" s="0" t="s">
        <v>127</v>
      </c>
      <c r="F4269" s="0" t="s">
        <v>128</v>
      </c>
      <c r="G4269" s="0" t="s">
        <v>153</v>
      </c>
      <c r="H4269" s="0" t="s">
        <v>153</v>
      </c>
      <c r="I4269" s="0" t="s">
        <v>41</v>
      </c>
      <c r="J4269" s="0" t="s">
        <v>42</v>
      </c>
      <c r="K4269" s="0" t="s">
        <v>48</v>
      </c>
      <c r="L4269" s="0" t="s">
        <v>49</v>
      </c>
      <c r="M4269" s="0" t="s">
        <v>140</v>
      </c>
      <c r="N4269" s="0" t="n">
        <v>603</v>
      </c>
      <c r="O4269" s="10" t="n">
        <v>0.218445231905207</v>
      </c>
      <c r="P4269" s="10" t="n">
        <v>0.252706390339881</v>
      </c>
      <c r="Q4269" s="0" t="str">
        <f aca="false">SUBSTITUTE(SUBSTITUTE($I4269,CHAR(61),""),CHAR(34),"")</f>
        <v>25-34</v>
      </c>
      <c r="R4269" s="0" t="str">
        <f aca="false">IF($D4269&lt;&gt;"","["&amp;$E4269&amp;"]"&amp;"|"&amp;$Q4269&amp;"|"&amp;$K4269&amp;"|"&amp;$G4269&amp;"|"&amp;IF($G4269="TX_CURR_SUBNAT.R","CY2022Q4",$M4269),"")</f>
        <v>[ZCjuwgaMB9u]|25-34|Male|NEW_INFECTIONS_SUBNAT.T_1|CY2023Q3</v>
      </c>
    </row>
    <row r="4270" customFormat="false" ht="15" hidden="false" customHeight="false" outlineLevel="0" collapsed="false">
      <c r="D4270" s="0" t="s">
        <v>126</v>
      </c>
      <c r="E4270" s="0" t="s">
        <v>127</v>
      </c>
      <c r="F4270" s="0" t="s">
        <v>128</v>
      </c>
      <c r="G4270" s="0" t="s">
        <v>153</v>
      </c>
      <c r="H4270" s="0" t="s">
        <v>153</v>
      </c>
      <c r="I4270" s="0" t="s">
        <v>43</v>
      </c>
      <c r="J4270" s="0" t="s">
        <v>44</v>
      </c>
      <c r="K4270" s="0" t="s">
        <v>48</v>
      </c>
      <c r="L4270" s="0" t="s">
        <v>49</v>
      </c>
      <c r="M4270" s="0" t="s">
        <v>140</v>
      </c>
      <c r="N4270" s="0" t="n">
        <v>1703</v>
      </c>
      <c r="O4270" s="10" t="n">
        <v>0.666392535436898</v>
      </c>
      <c r="P4270" s="10" t="n">
        <v>0.252706390339881</v>
      </c>
      <c r="Q4270" s="0" t="str">
        <f aca="false">SUBSTITUTE(SUBSTITUTE($I4270,CHAR(61),""),CHAR(34),"")</f>
        <v>35-49</v>
      </c>
      <c r="R4270" s="0" t="str">
        <f aca="false">IF($D4270&lt;&gt;"","["&amp;$E4270&amp;"]"&amp;"|"&amp;$Q4270&amp;"|"&amp;$K4270&amp;"|"&amp;$G4270&amp;"|"&amp;IF($G4270="TX_CURR_SUBNAT.R","CY2022Q4",$M4270),"")</f>
        <v>[ZCjuwgaMB9u]|35-49|Male|NEW_INFECTIONS_SUBNAT.T_1|CY2023Q3</v>
      </c>
    </row>
    <row r="4271" customFormat="false" ht="15" hidden="false" customHeight="false" outlineLevel="0" collapsed="false">
      <c r="D4271" s="0" t="s">
        <v>126</v>
      </c>
      <c r="E4271" s="0" t="s">
        <v>127</v>
      </c>
      <c r="F4271" s="0" t="s">
        <v>128</v>
      </c>
      <c r="G4271" s="0" t="s">
        <v>153</v>
      </c>
      <c r="H4271" s="0" t="s">
        <v>153</v>
      </c>
      <c r="I4271" s="0" t="s">
        <v>45</v>
      </c>
      <c r="J4271" s="0" t="s">
        <v>46</v>
      </c>
      <c r="K4271" s="0" t="s">
        <v>48</v>
      </c>
      <c r="L4271" s="0" t="s">
        <v>49</v>
      </c>
      <c r="M4271" s="0" t="s">
        <v>140</v>
      </c>
      <c r="N4271" s="0" t="n">
        <v>1402</v>
      </c>
      <c r="O4271" s="10" t="n">
        <v>0.197363196639344</v>
      </c>
      <c r="P4271" s="10" t="n">
        <v>0.252706390339881</v>
      </c>
      <c r="Q4271" s="0" t="str">
        <f aca="false">SUBSTITUTE(SUBSTITUTE($I4271,CHAR(61),""),CHAR(34),"")</f>
        <v>50+</v>
      </c>
      <c r="R4271" s="0" t="str">
        <f aca="false">IF($D4271&lt;&gt;"","["&amp;$E4271&amp;"]"&amp;"|"&amp;$Q4271&amp;"|"&amp;$K4271&amp;"|"&amp;$G4271&amp;"|"&amp;IF($G4271="TX_CURR_SUBNAT.R","CY2022Q4",$M4271),"")</f>
        <v>[ZCjuwgaMB9u]|50+|Male|NEW_INFECTIONS_SUBNAT.T_1|CY2023Q3</v>
      </c>
    </row>
    <row r="4272" customFormat="false" ht="15" hidden="false" customHeight="false" outlineLevel="0" collapsed="false">
      <c r="D4272" s="0" t="s">
        <v>129</v>
      </c>
      <c r="E4272" s="0" t="s">
        <v>130</v>
      </c>
      <c r="F4272" s="0" t="s">
        <v>131</v>
      </c>
      <c r="G4272" s="0" t="s">
        <v>153</v>
      </c>
      <c r="H4272" s="0" t="s">
        <v>153</v>
      </c>
      <c r="I4272" s="0" t="s">
        <v>28</v>
      </c>
      <c r="J4272" s="0" t="s">
        <v>29</v>
      </c>
      <c r="K4272" s="0" t="s">
        <v>30</v>
      </c>
      <c r="L4272" s="0" t="s">
        <v>31</v>
      </c>
      <c r="M4272" s="0" t="s">
        <v>140</v>
      </c>
      <c r="N4272" s="0" t="n">
        <v>876</v>
      </c>
      <c r="O4272" s="10" t="n">
        <v>0.3326136325486</v>
      </c>
      <c r="P4272" s="10" t="n">
        <v>0.556908084778115</v>
      </c>
      <c r="Q4272" s="0" t="str">
        <f aca="false">SUBSTITUTE(SUBSTITUTE($I4272,CHAR(61),""),CHAR(34),"")</f>
        <v>&lt;01</v>
      </c>
      <c r="R4272" s="0" t="str">
        <f aca="false">IF($D4272&lt;&gt;"","["&amp;$E4272&amp;"]"&amp;"|"&amp;$Q4272&amp;"|"&amp;$K4272&amp;"|"&amp;$G4272&amp;"|"&amp;IF($G4272="TX_CURR_SUBNAT.R","CY2022Q4",$M4272),"")</f>
        <v>[YCKiBAp8QAg]|&lt;01|Female|NEW_INFECTIONS_SUBNAT.T_1|CY2023Q3</v>
      </c>
    </row>
    <row r="4273" customFormat="false" ht="15" hidden="false" customHeight="false" outlineLevel="0" collapsed="false">
      <c r="D4273" s="0" t="s">
        <v>129</v>
      </c>
      <c r="E4273" s="0" t="s">
        <v>130</v>
      </c>
      <c r="F4273" s="0" t="s">
        <v>131</v>
      </c>
      <c r="G4273" s="0" t="s">
        <v>153</v>
      </c>
      <c r="H4273" s="0" t="s">
        <v>153</v>
      </c>
      <c r="I4273" s="0" t="s">
        <v>33</v>
      </c>
      <c r="J4273" s="0" t="s">
        <v>34</v>
      </c>
      <c r="K4273" s="0" t="s">
        <v>30</v>
      </c>
      <c r="L4273" s="0" t="s">
        <v>31</v>
      </c>
      <c r="M4273" s="0" t="s">
        <v>140</v>
      </c>
      <c r="N4273" s="0" t="n">
        <v>1034</v>
      </c>
      <c r="O4273" s="10" t="n">
        <v>0.89330287091434</v>
      </c>
      <c r="P4273" s="10" t="n">
        <v>0.556908084778115</v>
      </c>
      <c r="Q4273" s="0" t="str">
        <f aca="false">SUBSTITUTE(SUBSTITUTE($I4273,CHAR(61),""),CHAR(34),"")</f>
        <v>01-09</v>
      </c>
      <c r="R4273" s="0" t="str">
        <f aca="false">IF($D4273&lt;&gt;"","["&amp;$E4273&amp;"]"&amp;"|"&amp;$Q4273&amp;"|"&amp;$K4273&amp;"|"&amp;$G4273&amp;"|"&amp;IF($G4273="TX_CURR_SUBNAT.R","CY2022Q4",$M4273),"")</f>
        <v>[YCKiBAp8QAg]|01-09|Female|NEW_INFECTIONS_SUBNAT.T_1|CY2023Q3</v>
      </c>
    </row>
    <row r="4274" customFormat="false" ht="15" hidden="false" customHeight="false" outlineLevel="0" collapsed="false">
      <c r="D4274" s="0" t="s">
        <v>129</v>
      </c>
      <c r="E4274" s="0" t="s">
        <v>130</v>
      </c>
      <c r="F4274" s="0" t="s">
        <v>131</v>
      </c>
      <c r="G4274" s="0" t="s">
        <v>153</v>
      </c>
      <c r="H4274" s="0" t="s">
        <v>153</v>
      </c>
      <c r="I4274" s="0" t="s">
        <v>36</v>
      </c>
      <c r="J4274" s="0" t="s">
        <v>37</v>
      </c>
      <c r="K4274" s="0" t="s">
        <v>30</v>
      </c>
      <c r="L4274" s="0" t="s">
        <v>31</v>
      </c>
      <c r="M4274" s="0" t="s">
        <v>140</v>
      </c>
      <c r="N4274" s="0" t="n">
        <v>1389</v>
      </c>
      <c r="O4274" s="10" t="n">
        <v>0.274865698302165</v>
      </c>
      <c r="P4274" s="10" t="n">
        <v>0.556908084778115</v>
      </c>
      <c r="Q4274" s="0" t="str">
        <f aca="false">SUBSTITUTE(SUBSTITUTE($I4274,CHAR(61),""),CHAR(34),"")</f>
        <v>10-14</v>
      </c>
      <c r="R4274" s="0" t="str">
        <f aca="false">IF($D4274&lt;&gt;"","["&amp;$E4274&amp;"]"&amp;"|"&amp;$Q4274&amp;"|"&amp;$K4274&amp;"|"&amp;$G4274&amp;"|"&amp;IF($G4274="TX_CURR_SUBNAT.R","CY2022Q4",$M4274),"")</f>
        <v>[YCKiBAp8QAg]|10-14|Female|NEW_INFECTIONS_SUBNAT.T_1|CY2023Q3</v>
      </c>
    </row>
    <row r="4275" customFormat="false" ht="15" hidden="false" customHeight="false" outlineLevel="0" collapsed="false">
      <c r="D4275" s="0" t="s">
        <v>129</v>
      </c>
      <c r="E4275" s="0" t="s">
        <v>130</v>
      </c>
      <c r="F4275" s="0" t="s">
        <v>131</v>
      </c>
      <c r="G4275" s="0" t="s">
        <v>153</v>
      </c>
      <c r="H4275" s="0" t="s">
        <v>153</v>
      </c>
      <c r="I4275" s="0" t="s">
        <v>38</v>
      </c>
      <c r="J4275" s="0" t="s">
        <v>39</v>
      </c>
      <c r="K4275" s="0" t="s">
        <v>30</v>
      </c>
      <c r="L4275" s="0" t="s">
        <v>31</v>
      </c>
      <c r="M4275" s="0" t="s">
        <v>140</v>
      </c>
      <c r="N4275" s="0" t="n">
        <v>937</v>
      </c>
      <c r="O4275" s="10" t="n">
        <v>0.34628687100485</v>
      </c>
      <c r="P4275" s="10" t="n">
        <v>0.556908084778115</v>
      </c>
      <c r="Q4275" s="0" t="str">
        <f aca="false">SUBSTITUTE(SUBSTITUTE($I4275,CHAR(61),""),CHAR(34),"")</f>
        <v>15-24</v>
      </c>
      <c r="R4275" s="0" t="str">
        <f aca="false">IF($D4275&lt;&gt;"","["&amp;$E4275&amp;"]"&amp;"|"&amp;$Q4275&amp;"|"&amp;$K4275&amp;"|"&amp;$G4275&amp;"|"&amp;IF($G4275="TX_CURR_SUBNAT.R","CY2022Q4",$M4275),"")</f>
        <v>[YCKiBAp8QAg]|15-24|Female|NEW_INFECTIONS_SUBNAT.T_1|CY2023Q3</v>
      </c>
    </row>
    <row r="4276" customFormat="false" ht="15" hidden="false" customHeight="false" outlineLevel="0" collapsed="false">
      <c r="D4276" s="0" t="s">
        <v>129</v>
      </c>
      <c r="E4276" s="0" t="s">
        <v>130</v>
      </c>
      <c r="F4276" s="0" t="s">
        <v>131</v>
      </c>
      <c r="G4276" s="0" t="s">
        <v>153</v>
      </c>
      <c r="H4276" s="0" t="s">
        <v>153</v>
      </c>
      <c r="I4276" s="0" t="s">
        <v>41</v>
      </c>
      <c r="J4276" s="0" t="s">
        <v>42</v>
      </c>
      <c r="K4276" s="0" t="s">
        <v>30</v>
      </c>
      <c r="L4276" s="0" t="s">
        <v>31</v>
      </c>
      <c r="M4276" s="0" t="s">
        <v>140</v>
      </c>
      <c r="N4276" s="0" t="n">
        <v>1147</v>
      </c>
      <c r="O4276" s="10" t="n">
        <v>0.0373442557174712</v>
      </c>
      <c r="P4276" s="10" t="n">
        <v>0.556908084778115</v>
      </c>
      <c r="Q4276" s="0" t="str">
        <f aca="false">SUBSTITUTE(SUBSTITUTE($I4276,CHAR(61),""),CHAR(34),"")</f>
        <v>25-34</v>
      </c>
      <c r="R4276" s="0" t="str">
        <f aca="false">IF($D4276&lt;&gt;"","["&amp;$E4276&amp;"]"&amp;"|"&amp;$Q4276&amp;"|"&amp;$K4276&amp;"|"&amp;$G4276&amp;"|"&amp;IF($G4276="TX_CURR_SUBNAT.R","CY2022Q4",$M4276),"")</f>
        <v>[YCKiBAp8QAg]|25-34|Female|NEW_INFECTIONS_SUBNAT.T_1|CY2023Q3</v>
      </c>
    </row>
    <row r="4277" customFormat="false" ht="15" hidden="false" customHeight="false" outlineLevel="0" collapsed="false">
      <c r="D4277" s="0" t="s">
        <v>129</v>
      </c>
      <c r="E4277" s="0" t="s">
        <v>130</v>
      </c>
      <c r="F4277" s="0" t="s">
        <v>131</v>
      </c>
      <c r="G4277" s="0" t="s">
        <v>153</v>
      </c>
      <c r="H4277" s="0" t="s">
        <v>153</v>
      </c>
      <c r="I4277" s="0" t="s">
        <v>43</v>
      </c>
      <c r="J4277" s="0" t="s">
        <v>44</v>
      </c>
      <c r="K4277" s="0" t="s">
        <v>30</v>
      </c>
      <c r="L4277" s="0" t="s">
        <v>31</v>
      </c>
      <c r="M4277" s="0" t="s">
        <v>140</v>
      </c>
      <c r="N4277" s="0" t="n">
        <v>1539</v>
      </c>
      <c r="O4277" s="10" t="n">
        <v>0.855828090570867</v>
      </c>
      <c r="P4277" s="10" t="n">
        <v>0.556908084778115</v>
      </c>
      <c r="Q4277" s="0" t="str">
        <f aca="false">SUBSTITUTE(SUBSTITUTE($I4277,CHAR(61),""),CHAR(34),"")</f>
        <v>35-49</v>
      </c>
      <c r="R4277" s="0" t="str">
        <f aca="false">IF($D4277&lt;&gt;"","["&amp;$E4277&amp;"]"&amp;"|"&amp;$Q4277&amp;"|"&amp;$K4277&amp;"|"&amp;$G4277&amp;"|"&amp;IF($G4277="TX_CURR_SUBNAT.R","CY2022Q4",$M4277),"")</f>
        <v>[YCKiBAp8QAg]|35-49|Female|NEW_INFECTIONS_SUBNAT.T_1|CY2023Q3</v>
      </c>
    </row>
    <row r="4278" customFormat="false" ht="15" hidden="false" customHeight="false" outlineLevel="0" collapsed="false">
      <c r="D4278" s="0" t="s">
        <v>129</v>
      </c>
      <c r="E4278" s="0" t="s">
        <v>130</v>
      </c>
      <c r="F4278" s="0" t="s">
        <v>131</v>
      </c>
      <c r="G4278" s="0" t="s">
        <v>153</v>
      </c>
      <c r="H4278" s="0" t="s">
        <v>153</v>
      </c>
      <c r="I4278" s="0" t="s">
        <v>45</v>
      </c>
      <c r="J4278" s="0" t="s">
        <v>46</v>
      </c>
      <c r="K4278" s="0" t="s">
        <v>30</v>
      </c>
      <c r="L4278" s="0" t="s">
        <v>31</v>
      </c>
      <c r="M4278" s="0" t="s">
        <v>140</v>
      </c>
      <c r="N4278" s="0" t="n">
        <v>1473</v>
      </c>
      <c r="O4278" s="10" t="n">
        <v>0.0170412072911859</v>
      </c>
      <c r="P4278" s="10" t="n">
        <v>0.556908084778115</v>
      </c>
      <c r="Q4278" s="0" t="str">
        <f aca="false">SUBSTITUTE(SUBSTITUTE($I4278,CHAR(61),""),CHAR(34),"")</f>
        <v>50+</v>
      </c>
      <c r="R4278" s="0" t="str">
        <f aca="false">IF($D4278&lt;&gt;"","["&amp;$E4278&amp;"]"&amp;"|"&amp;$Q4278&amp;"|"&amp;$K4278&amp;"|"&amp;$G4278&amp;"|"&amp;IF($G4278="TX_CURR_SUBNAT.R","CY2022Q4",$M4278),"")</f>
        <v>[YCKiBAp8QAg]|50+|Female|NEW_INFECTIONS_SUBNAT.T_1|CY2023Q3</v>
      </c>
    </row>
    <row r="4279" customFormat="false" ht="15" hidden="false" customHeight="false" outlineLevel="0" collapsed="false">
      <c r="D4279" s="0" t="s">
        <v>129</v>
      </c>
      <c r="E4279" s="0" t="s">
        <v>130</v>
      </c>
      <c r="F4279" s="0" t="s">
        <v>131</v>
      </c>
      <c r="G4279" s="0" t="s">
        <v>153</v>
      </c>
      <c r="H4279" s="0" t="s">
        <v>153</v>
      </c>
      <c r="I4279" s="0" t="s">
        <v>28</v>
      </c>
      <c r="J4279" s="0" t="s">
        <v>29</v>
      </c>
      <c r="K4279" s="0" t="s">
        <v>48</v>
      </c>
      <c r="L4279" s="0" t="s">
        <v>49</v>
      </c>
      <c r="M4279" s="0" t="s">
        <v>140</v>
      </c>
      <c r="N4279" s="0" t="n">
        <v>1502</v>
      </c>
      <c r="O4279" s="10" t="n">
        <v>0.219916446367279</v>
      </c>
      <c r="P4279" s="10" t="n">
        <v>0.556908084778115</v>
      </c>
      <c r="Q4279" s="0" t="str">
        <f aca="false">SUBSTITUTE(SUBSTITUTE($I4279,CHAR(61),""),CHAR(34),"")</f>
        <v>&lt;01</v>
      </c>
      <c r="R4279" s="0" t="str">
        <f aca="false">IF($D4279&lt;&gt;"","["&amp;$E4279&amp;"]"&amp;"|"&amp;$Q4279&amp;"|"&amp;$K4279&amp;"|"&amp;$G4279&amp;"|"&amp;IF($G4279="TX_CURR_SUBNAT.R","CY2022Q4",$M4279),"")</f>
        <v>[YCKiBAp8QAg]|&lt;01|Male|NEW_INFECTIONS_SUBNAT.T_1|CY2023Q3</v>
      </c>
    </row>
    <row r="4280" customFormat="false" ht="15" hidden="false" customHeight="false" outlineLevel="0" collapsed="false">
      <c r="D4280" s="0" t="s">
        <v>129</v>
      </c>
      <c r="E4280" s="0" t="s">
        <v>130</v>
      </c>
      <c r="F4280" s="0" t="s">
        <v>131</v>
      </c>
      <c r="G4280" s="0" t="s">
        <v>153</v>
      </c>
      <c r="H4280" s="0" t="s">
        <v>153</v>
      </c>
      <c r="I4280" s="0" t="s">
        <v>33</v>
      </c>
      <c r="J4280" s="0" t="s">
        <v>34</v>
      </c>
      <c r="K4280" s="0" t="s">
        <v>48</v>
      </c>
      <c r="L4280" s="0" t="s">
        <v>49</v>
      </c>
      <c r="M4280" s="0" t="s">
        <v>140</v>
      </c>
      <c r="N4280" s="0" t="n">
        <v>1914</v>
      </c>
      <c r="O4280" s="10" t="n">
        <v>0.626989188371226</v>
      </c>
      <c r="P4280" s="10" t="n">
        <v>0.556908084778115</v>
      </c>
      <c r="Q4280" s="0" t="str">
        <f aca="false">SUBSTITUTE(SUBSTITUTE($I4280,CHAR(61),""),CHAR(34),"")</f>
        <v>01-09</v>
      </c>
      <c r="R4280" s="0" t="str">
        <f aca="false">IF($D4280&lt;&gt;"","["&amp;$E4280&amp;"]"&amp;"|"&amp;$Q4280&amp;"|"&amp;$K4280&amp;"|"&amp;$G4280&amp;"|"&amp;IF($G4280="TX_CURR_SUBNAT.R","CY2022Q4",$M4280),"")</f>
        <v>[YCKiBAp8QAg]|01-09|Male|NEW_INFECTIONS_SUBNAT.T_1|CY2023Q3</v>
      </c>
    </row>
    <row r="4281" customFormat="false" ht="15" hidden="false" customHeight="false" outlineLevel="0" collapsed="false">
      <c r="D4281" s="0" t="s">
        <v>129</v>
      </c>
      <c r="E4281" s="0" t="s">
        <v>130</v>
      </c>
      <c r="F4281" s="0" t="s">
        <v>131</v>
      </c>
      <c r="G4281" s="0" t="s">
        <v>153</v>
      </c>
      <c r="H4281" s="0" t="s">
        <v>153</v>
      </c>
      <c r="I4281" s="0" t="s">
        <v>36</v>
      </c>
      <c r="J4281" s="0" t="s">
        <v>37</v>
      </c>
      <c r="K4281" s="0" t="s">
        <v>48</v>
      </c>
      <c r="L4281" s="0" t="s">
        <v>49</v>
      </c>
      <c r="M4281" s="0" t="s">
        <v>140</v>
      </c>
      <c r="N4281" s="0" t="n">
        <v>1227</v>
      </c>
      <c r="O4281" s="10" t="n">
        <v>0.632934602443129</v>
      </c>
      <c r="P4281" s="10" t="n">
        <v>0.556908084778115</v>
      </c>
      <c r="Q4281" s="0" t="str">
        <f aca="false">SUBSTITUTE(SUBSTITUTE($I4281,CHAR(61),""),CHAR(34),"")</f>
        <v>10-14</v>
      </c>
      <c r="R4281" s="0" t="str">
        <f aca="false">IF($D4281&lt;&gt;"","["&amp;$E4281&amp;"]"&amp;"|"&amp;$Q4281&amp;"|"&amp;$K4281&amp;"|"&amp;$G4281&amp;"|"&amp;IF($G4281="TX_CURR_SUBNAT.R","CY2022Q4",$M4281),"")</f>
        <v>[YCKiBAp8QAg]|10-14|Male|NEW_INFECTIONS_SUBNAT.T_1|CY2023Q3</v>
      </c>
    </row>
    <row r="4282" customFormat="false" ht="15" hidden="false" customHeight="false" outlineLevel="0" collapsed="false">
      <c r="D4282" s="0" t="s">
        <v>129</v>
      </c>
      <c r="E4282" s="0" t="s">
        <v>130</v>
      </c>
      <c r="F4282" s="0" t="s">
        <v>131</v>
      </c>
      <c r="G4282" s="0" t="s">
        <v>153</v>
      </c>
      <c r="H4282" s="0" t="s">
        <v>153</v>
      </c>
      <c r="I4282" s="0" t="s">
        <v>38</v>
      </c>
      <c r="J4282" s="0" t="s">
        <v>39</v>
      </c>
      <c r="K4282" s="0" t="s">
        <v>48</v>
      </c>
      <c r="L4282" s="0" t="s">
        <v>49</v>
      </c>
      <c r="M4282" s="0" t="s">
        <v>140</v>
      </c>
      <c r="N4282" s="0" t="n">
        <v>882</v>
      </c>
      <c r="O4282" s="10" t="n">
        <v>0.239586129086092</v>
      </c>
      <c r="P4282" s="10" t="n">
        <v>0.556908084778115</v>
      </c>
      <c r="Q4282" s="0" t="str">
        <f aca="false">SUBSTITUTE(SUBSTITUTE($I4282,CHAR(61),""),CHAR(34),"")</f>
        <v>15-24</v>
      </c>
      <c r="R4282" s="0" t="str">
        <f aca="false">IF($D4282&lt;&gt;"","["&amp;$E4282&amp;"]"&amp;"|"&amp;$Q4282&amp;"|"&amp;$K4282&amp;"|"&amp;$G4282&amp;"|"&amp;IF($G4282="TX_CURR_SUBNAT.R","CY2022Q4",$M4282),"")</f>
        <v>[YCKiBAp8QAg]|15-24|Male|NEW_INFECTIONS_SUBNAT.T_1|CY2023Q3</v>
      </c>
    </row>
    <row r="4283" customFormat="false" ht="15" hidden="false" customHeight="false" outlineLevel="0" collapsed="false">
      <c r="D4283" s="0" t="s">
        <v>129</v>
      </c>
      <c r="E4283" s="0" t="s">
        <v>130</v>
      </c>
      <c r="F4283" s="0" t="s">
        <v>131</v>
      </c>
      <c r="G4283" s="0" t="s">
        <v>153</v>
      </c>
      <c r="H4283" s="0" t="s">
        <v>153</v>
      </c>
      <c r="I4283" s="0" t="s">
        <v>41</v>
      </c>
      <c r="J4283" s="0" t="s">
        <v>42</v>
      </c>
      <c r="K4283" s="0" t="s">
        <v>48</v>
      </c>
      <c r="L4283" s="0" t="s">
        <v>49</v>
      </c>
      <c r="M4283" s="0" t="s">
        <v>140</v>
      </c>
      <c r="N4283" s="0" t="n">
        <v>847</v>
      </c>
      <c r="O4283" s="10" t="n">
        <v>0.291140668094158</v>
      </c>
      <c r="P4283" s="10" t="n">
        <v>0.556908084778115</v>
      </c>
      <c r="Q4283" s="0" t="str">
        <f aca="false">SUBSTITUTE(SUBSTITUTE($I4283,CHAR(61),""),CHAR(34),"")</f>
        <v>25-34</v>
      </c>
      <c r="R4283" s="0" t="str">
        <f aca="false">IF($D4283&lt;&gt;"","["&amp;$E4283&amp;"]"&amp;"|"&amp;$Q4283&amp;"|"&amp;$K4283&amp;"|"&amp;$G4283&amp;"|"&amp;IF($G4283="TX_CURR_SUBNAT.R","CY2022Q4",$M4283),"")</f>
        <v>[YCKiBAp8QAg]|25-34|Male|NEW_INFECTIONS_SUBNAT.T_1|CY2023Q3</v>
      </c>
    </row>
    <row r="4284" customFormat="false" ht="15" hidden="false" customHeight="false" outlineLevel="0" collapsed="false">
      <c r="D4284" s="0" t="s">
        <v>129</v>
      </c>
      <c r="E4284" s="0" t="s">
        <v>130</v>
      </c>
      <c r="F4284" s="0" t="s">
        <v>131</v>
      </c>
      <c r="G4284" s="0" t="s">
        <v>153</v>
      </c>
      <c r="H4284" s="0" t="s">
        <v>153</v>
      </c>
      <c r="I4284" s="0" t="s">
        <v>43</v>
      </c>
      <c r="J4284" s="0" t="s">
        <v>44</v>
      </c>
      <c r="K4284" s="0" t="s">
        <v>48</v>
      </c>
      <c r="L4284" s="0" t="s">
        <v>49</v>
      </c>
      <c r="M4284" s="0" t="s">
        <v>140</v>
      </c>
      <c r="N4284" s="0" t="n">
        <v>1496</v>
      </c>
      <c r="O4284" s="10" t="n">
        <v>0.276266599306837</v>
      </c>
      <c r="P4284" s="10" t="n">
        <v>0.556908084778115</v>
      </c>
      <c r="Q4284" s="0" t="str">
        <f aca="false">SUBSTITUTE(SUBSTITUTE($I4284,CHAR(61),""),CHAR(34),"")</f>
        <v>35-49</v>
      </c>
      <c r="R4284" s="0" t="str">
        <f aca="false">IF($D4284&lt;&gt;"","["&amp;$E4284&amp;"]"&amp;"|"&amp;$Q4284&amp;"|"&amp;$K4284&amp;"|"&amp;$G4284&amp;"|"&amp;IF($G4284="TX_CURR_SUBNAT.R","CY2022Q4",$M4284),"")</f>
        <v>[YCKiBAp8QAg]|35-49|Male|NEW_INFECTIONS_SUBNAT.T_1|CY2023Q3</v>
      </c>
    </row>
    <row r="4285" customFormat="false" ht="15" hidden="false" customHeight="false" outlineLevel="0" collapsed="false">
      <c r="D4285" s="0" t="s">
        <v>129</v>
      </c>
      <c r="E4285" s="0" t="s">
        <v>130</v>
      </c>
      <c r="F4285" s="0" t="s">
        <v>131</v>
      </c>
      <c r="G4285" s="0" t="s">
        <v>153</v>
      </c>
      <c r="H4285" s="0" t="s">
        <v>153</v>
      </c>
      <c r="I4285" s="0" t="s">
        <v>45</v>
      </c>
      <c r="J4285" s="0" t="s">
        <v>46</v>
      </c>
      <c r="K4285" s="0" t="s">
        <v>48</v>
      </c>
      <c r="L4285" s="0" t="s">
        <v>49</v>
      </c>
      <c r="M4285" s="0" t="s">
        <v>140</v>
      </c>
      <c r="N4285" s="0" t="n">
        <v>1640</v>
      </c>
      <c r="O4285" s="10" t="n">
        <v>0.0386092998087406</v>
      </c>
      <c r="P4285" s="10" t="n">
        <v>0.556908084778115</v>
      </c>
      <c r="Q4285" s="0" t="str">
        <f aca="false">SUBSTITUTE(SUBSTITUTE($I4285,CHAR(61),""),CHAR(34),"")</f>
        <v>50+</v>
      </c>
      <c r="R4285" s="0" t="str">
        <f aca="false">IF($D4285&lt;&gt;"","["&amp;$E4285&amp;"]"&amp;"|"&amp;$Q4285&amp;"|"&amp;$K4285&amp;"|"&amp;$G4285&amp;"|"&amp;IF($G4285="TX_CURR_SUBNAT.R","CY2022Q4",$M4285),"")</f>
        <v>[YCKiBAp8QAg]|50+|Male|NEW_INFECTIONS_SUBNAT.T_1|CY2023Q3</v>
      </c>
    </row>
    <row r="4286" customFormat="false" ht="15" hidden="false" customHeight="false" outlineLevel="0" collapsed="false">
      <c r="D4286" s="0" t="s">
        <v>132</v>
      </c>
      <c r="E4286" s="0" t="s">
        <v>133</v>
      </c>
      <c r="F4286" s="0" t="s">
        <v>134</v>
      </c>
      <c r="G4286" s="0" t="s">
        <v>153</v>
      </c>
      <c r="H4286" s="0" t="s">
        <v>153</v>
      </c>
      <c r="I4286" s="0" t="s">
        <v>28</v>
      </c>
      <c r="J4286" s="0" t="s">
        <v>29</v>
      </c>
      <c r="K4286" s="0" t="s">
        <v>30</v>
      </c>
      <c r="L4286" s="0" t="s">
        <v>31</v>
      </c>
      <c r="M4286" s="0" t="s">
        <v>140</v>
      </c>
      <c r="N4286" s="0" t="n">
        <v>597</v>
      </c>
      <c r="O4286" s="10" t="n">
        <v>0.952873525675386</v>
      </c>
      <c r="P4286" s="10" t="n">
        <v>0.162863194011152</v>
      </c>
      <c r="Q4286" s="0" t="str">
        <f aca="false">SUBSTITUTE(SUBSTITUTE($I4286,CHAR(61),""),CHAR(34),"")</f>
        <v>&lt;01</v>
      </c>
      <c r="R4286" s="0" t="str">
        <f aca="false">IF($D4286&lt;&gt;"","["&amp;$E4286&amp;"]"&amp;"|"&amp;$Q4286&amp;"|"&amp;$K4286&amp;"|"&amp;$G4286&amp;"|"&amp;IF($G4286="TX_CURR_SUBNAT.R","CY2022Q4",$M4286),"")</f>
        <v>[JQKLKuVuY61]|&lt;01|Female|NEW_INFECTIONS_SUBNAT.T_1|CY2023Q3</v>
      </c>
    </row>
    <row r="4287" customFormat="false" ht="15" hidden="false" customHeight="false" outlineLevel="0" collapsed="false">
      <c r="D4287" s="0" t="s">
        <v>132</v>
      </c>
      <c r="E4287" s="0" t="s">
        <v>133</v>
      </c>
      <c r="F4287" s="0" t="s">
        <v>134</v>
      </c>
      <c r="G4287" s="0" t="s">
        <v>153</v>
      </c>
      <c r="H4287" s="0" t="s">
        <v>153</v>
      </c>
      <c r="I4287" s="0" t="s">
        <v>33</v>
      </c>
      <c r="J4287" s="0" t="s">
        <v>34</v>
      </c>
      <c r="K4287" s="0" t="s">
        <v>30</v>
      </c>
      <c r="L4287" s="0" t="s">
        <v>31</v>
      </c>
      <c r="M4287" s="0" t="s">
        <v>140</v>
      </c>
      <c r="N4287" s="0" t="n">
        <v>1085</v>
      </c>
      <c r="O4287" s="10" t="n">
        <v>0.506489486666396</v>
      </c>
      <c r="P4287" s="10" t="n">
        <v>0.162863194011152</v>
      </c>
      <c r="Q4287" s="0" t="str">
        <f aca="false">SUBSTITUTE(SUBSTITUTE($I4287,CHAR(61),""),CHAR(34),"")</f>
        <v>01-09</v>
      </c>
      <c r="R4287" s="0" t="str">
        <f aca="false">IF($D4287&lt;&gt;"","["&amp;$E4287&amp;"]"&amp;"|"&amp;$Q4287&amp;"|"&amp;$K4287&amp;"|"&amp;$G4287&amp;"|"&amp;IF($G4287="TX_CURR_SUBNAT.R","CY2022Q4",$M4287),"")</f>
        <v>[JQKLKuVuY61]|01-09|Female|NEW_INFECTIONS_SUBNAT.T_1|CY2023Q3</v>
      </c>
    </row>
    <row r="4288" customFormat="false" ht="15" hidden="false" customHeight="false" outlineLevel="0" collapsed="false">
      <c r="D4288" s="0" t="s">
        <v>132</v>
      </c>
      <c r="E4288" s="0" t="s">
        <v>133</v>
      </c>
      <c r="F4288" s="0" t="s">
        <v>134</v>
      </c>
      <c r="G4288" s="0" t="s">
        <v>153</v>
      </c>
      <c r="H4288" s="0" t="s">
        <v>153</v>
      </c>
      <c r="I4288" s="0" t="s">
        <v>36</v>
      </c>
      <c r="J4288" s="0" t="s">
        <v>37</v>
      </c>
      <c r="K4288" s="0" t="s">
        <v>30</v>
      </c>
      <c r="L4288" s="0" t="s">
        <v>31</v>
      </c>
      <c r="M4288" s="0" t="s">
        <v>140</v>
      </c>
      <c r="N4288" s="0" t="n">
        <v>957</v>
      </c>
      <c r="O4288" s="10" t="n">
        <v>0.042127437191084</v>
      </c>
      <c r="P4288" s="10" t="n">
        <v>0.162863194011152</v>
      </c>
      <c r="Q4288" s="0" t="str">
        <f aca="false">SUBSTITUTE(SUBSTITUTE($I4288,CHAR(61),""),CHAR(34),"")</f>
        <v>10-14</v>
      </c>
      <c r="R4288" s="0" t="str">
        <f aca="false">IF($D4288&lt;&gt;"","["&amp;$E4288&amp;"]"&amp;"|"&amp;$Q4288&amp;"|"&amp;$K4288&amp;"|"&amp;$G4288&amp;"|"&amp;IF($G4288="TX_CURR_SUBNAT.R","CY2022Q4",$M4288),"")</f>
        <v>[JQKLKuVuY61]|10-14|Female|NEW_INFECTIONS_SUBNAT.T_1|CY2023Q3</v>
      </c>
    </row>
    <row r="4289" customFormat="false" ht="15" hidden="false" customHeight="false" outlineLevel="0" collapsed="false">
      <c r="D4289" s="0" t="s">
        <v>132</v>
      </c>
      <c r="E4289" s="0" t="s">
        <v>133</v>
      </c>
      <c r="F4289" s="0" t="s">
        <v>134</v>
      </c>
      <c r="G4289" s="0" t="s">
        <v>153</v>
      </c>
      <c r="H4289" s="0" t="s">
        <v>153</v>
      </c>
      <c r="I4289" s="0" t="s">
        <v>38</v>
      </c>
      <c r="J4289" s="0" t="s">
        <v>39</v>
      </c>
      <c r="K4289" s="0" t="s">
        <v>30</v>
      </c>
      <c r="L4289" s="0" t="s">
        <v>31</v>
      </c>
      <c r="M4289" s="0" t="s">
        <v>140</v>
      </c>
      <c r="N4289" s="0" t="n">
        <v>1522</v>
      </c>
      <c r="O4289" s="10" t="n">
        <v>0.627798626432195</v>
      </c>
      <c r="P4289" s="10" t="n">
        <v>0.162863194011152</v>
      </c>
      <c r="Q4289" s="0" t="str">
        <f aca="false">SUBSTITUTE(SUBSTITUTE($I4289,CHAR(61),""),CHAR(34),"")</f>
        <v>15-24</v>
      </c>
      <c r="R4289" s="0" t="str">
        <f aca="false">IF($D4289&lt;&gt;"","["&amp;$E4289&amp;"]"&amp;"|"&amp;$Q4289&amp;"|"&amp;$K4289&amp;"|"&amp;$G4289&amp;"|"&amp;IF($G4289="TX_CURR_SUBNAT.R","CY2022Q4",$M4289),"")</f>
        <v>[JQKLKuVuY61]|15-24|Female|NEW_INFECTIONS_SUBNAT.T_1|CY2023Q3</v>
      </c>
    </row>
    <row r="4290" customFormat="false" ht="15" hidden="false" customHeight="false" outlineLevel="0" collapsed="false">
      <c r="D4290" s="0" t="s">
        <v>132</v>
      </c>
      <c r="E4290" s="0" t="s">
        <v>133</v>
      </c>
      <c r="F4290" s="0" t="s">
        <v>134</v>
      </c>
      <c r="G4290" s="0" t="s">
        <v>153</v>
      </c>
      <c r="H4290" s="0" t="s">
        <v>153</v>
      </c>
      <c r="I4290" s="0" t="s">
        <v>41</v>
      </c>
      <c r="J4290" s="0" t="s">
        <v>42</v>
      </c>
      <c r="K4290" s="0" t="s">
        <v>30</v>
      </c>
      <c r="L4290" s="0" t="s">
        <v>31</v>
      </c>
      <c r="M4290" s="0" t="s">
        <v>140</v>
      </c>
      <c r="N4290" s="0" t="n">
        <v>1429</v>
      </c>
      <c r="O4290" s="10" t="n">
        <v>0.531610294478014</v>
      </c>
      <c r="P4290" s="10" t="n">
        <v>0.162863194011152</v>
      </c>
      <c r="Q4290" s="0" t="str">
        <f aca="false">SUBSTITUTE(SUBSTITUTE($I4290,CHAR(61),""),CHAR(34),"")</f>
        <v>25-34</v>
      </c>
      <c r="R4290" s="0" t="str">
        <f aca="false">IF($D4290&lt;&gt;"","["&amp;$E4290&amp;"]"&amp;"|"&amp;$Q4290&amp;"|"&amp;$K4290&amp;"|"&amp;$G4290&amp;"|"&amp;IF($G4290="TX_CURR_SUBNAT.R","CY2022Q4",$M4290),"")</f>
        <v>[JQKLKuVuY61]|25-34|Female|NEW_INFECTIONS_SUBNAT.T_1|CY2023Q3</v>
      </c>
    </row>
    <row r="4291" customFormat="false" ht="15" hidden="false" customHeight="false" outlineLevel="0" collapsed="false">
      <c r="D4291" s="0" t="s">
        <v>132</v>
      </c>
      <c r="E4291" s="0" t="s">
        <v>133</v>
      </c>
      <c r="F4291" s="0" t="s">
        <v>134</v>
      </c>
      <c r="G4291" s="0" t="s">
        <v>153</v>
      </c>
      <c r="H4291" s="0" t="s">
        <v>153</v>
      </c>
      <c r="I4291" s="0" t="s">
        <v>43</v>
      </c>
      <c r="J4291" s="0" t="s">
        <v>44</v>
      </c>
      <c r="K4291" s="0" t="s">
        <v>30</v>
      </c>
      <c r="L4291" s="0" t="s">
        <v>31</v>
      </c>
      <c r="M4291" s="0" t="s">
        <v>140</v>
      </c>
      <c r="N4291" s="0" t="n">
        <v>1555</v>
      </c>
      <c r="O4291" s="10" t="n">
        <v>0.926666097017005</v>
      </c>
      <c r="P4291" s="10" t="n">
        <v>0.162863194011152</v>
      </c>
      <c r="Q4291" s="0" t="str">
        <f aca="false">SUBSTITUTE(SUBSTITUTE($I4291,CHAR(61),""),CHAR(34),"")</f>
        <v>35-49</v>
      </c>
      <c r="R4291" s="0" t="str">
        <f aca="false">IF($D4291&lt;&gt;"","["&amp;$E4291&amp;"]"&amp;"|"&amp;$Q4291&amp;"|"&amp;$K4291&amp;"|"&amp;$G4291&amp;"|"&amp;IF($G4291="TX_CURR_SUBNAT.R","CY2022Q4",$M4291),"")</f>
        <v>[JQKLKuVuY61]|35-49|Female|NEW_INFECTIONS_SUBNAT.T_1|CY2023Q3</v>
      </c>
    </row>
    <row r="4292" customFormat="false" ht="15" hidden="false" customHeight="false" outlineLevel="0" collapsed="false">
      <c r="D4292" s="0" t="s">
        <v>132</v>
      </c>
      <c r="E4292" s="0" t="s">
        <v>133</v>
      </c>
      <c r="F4292" s="0" t="s">
        <v>134</v>
      </c>
      <c r="G4292" s="0" t="s">
        <v>153</v>
      </c>
      <c r="H4292" s="0" t="s">
        <v>153</v>
      </c>
      <c r="I4292" s="0" t="s">
        <v>45</v>
      </c>
      <c r="J4292" s="0" t="s">
        <v>46</v>
      </c>
      <c r="K4292" s="0" t="s">
        <v>30</v>
      </c>
      <c r="L4292" s="0" t="s">
        <v>31</v>
      </c>
      <c r="M4292" s="0" t="s">
        <v>140</v>
      </c>
      <c r="N4292" s="0" t="n">
        <v>1218</v>
      </c>
      <c r="O4292" s="10" t="n">
        <v>0.103889394551516</v>
      </c>
      <c r="P4292" s="10" t="n">
        <v>0.162863194011152</v>
      </c>
      <c r="Q4292" s="0" t="str">
        <f aca="false">SUBSTITUTE(SUBSTITUTE($I4292,CHAR(61),""),CHAR(34),"")</f>
        <v>50+</v>
      </c>
      <c r="R4292" s="0" t="str">
        <f aca="false">IF($D4292&lt;&gt;"","["&amp;$E4292&amp;"]"&amp;"|"&amp;$Q4292&amp;"|"&amp;$K4292&amp;"|"&amp;$G4292&amp;"|"&amp;IF($G4292="TX_CURR_SUBNAT.R","CY2022Q4",$M4292),"")</f>
        <v>[JQKLKuVuY61]|50+|Female|NEW_INFECTIONS_SUBNAT.T_1|CY2023Q3</v>
      </c>
    </row>
    <row r="4293" customFormat="false" ht="15" hidden="false" customHeight="false" outlineLevel="0" collapsed="false">
      <c r="D4293" s="0" t="s">
        <v>132</v>
      </c>
      <c r="E4293" s="0" t="s">
        <v>133</v>
      </c>
      <c r="F4293" s="0" t="s">
        <v>134</v>
      </c>
      <c r="G4293" s="0" t="s">
        <v>153</v>
      </c>
      <c r="H4293" s="0" t="s">
        <v>153</v>
      </c>
      <c r="I4293" s="0" t="s">
        <v>28</v>
      </c>
      <c r="J4293" s="0" t="s">
        <v>29</v>
      </c>
      <c r="K4293" s="0" t="s">
        <v>48</v>
      </c>
      <c r="L4293" s="0" t="s">
        <v>49</v>
      </c>
      <c r="M4293" s="0" t="s">
        <v>140</v>
      </c>
      <c r="N4293" s="0" t="n">
        <v>1566</v>
      </c>
      <c r="O4293" s="10" t="n">
        <v>0.532290887786075</v>
      </c>
      <c r="P4293" s="10" t="n">
        <v>0.162863194011152</v>
      </c>
      <c r="Q4293" s="0" t="str">
        <f aca="false">SUBSTITUTE(SUBSTITUTE($I4293,CHAR(61),""),CHAR(34),"")</f>
        <v>&lt;01</v>
      </c>
      <c r="R4293" s="0" t="str">
        <f aca="false">IF($D4293&lt;&gt;"","["&amp;$E4293&amp;"]"&amp;"|"&amp;$Q4293&amp;"|"&amp;$K4293&amp;"|"&amp;$G4293&amp;"|"&amp;IF($G4293="TX_CURR_SUBNAT.R","CY2022Q4",$M4293),"")</f>
        <v>[JQKLKuVuY61]|&lt;01|Male|NEW_INFECTIONS_SUBNAT.T_1|CY2023Q3</v>
      </c>
    </row>
    <row r="4294" customFormat="false" ht="15" hidden="false" customHeight="false" outlineLevel="0" collapsed="false">
      <c r="D4294" s="0" t="s">
        <v>132</v>
      </c>
      <c r="E4294" s="0" t="s">
        <v>133</v>
      </c>
      <c r="F4294" s="0" t="s">
        <v>134</v>
      </c>
      <c r="G4294" s="0" t="s">
        <v>153</v>
      </c>
      <c r="H4294" s="0" t="s">
        <v>153</v>
      </c>
      <c r="I4294" s="0" t="s">
        <v>33</v>
      </c>
      <c r="J4294" s="0" t="s">
        <v>34</v>
      </c>
      <c r="K4294" s="0" t="s">
        <v>48</v>
      </c>
      <c r="L4294" s="0" t="s">
        <v>49</v>
      </c>
      <c r="M4294" s="0" t="s">
        <v>140</v>
      </c>
      <c r="N4294" s="0" t="n">
        <v>609</v>
      </c>
      <c r="O4294" s="10" t="n">
        <v>0.237792799947783</v>
      </c>
      <c r="P4294" s="10" t="n">
        <v>0.162863194011152</v>
      </c>
      <c r="Q4294" s="0" t="str">
        <f aca="false">SUBSTITUTE(SUBSTITUTE($I4294,CHAR(61),""),CHAR(34),"")</f>
        <v>01-09</v>
      </c>
      <c r="R4294" s="0" t="str">
        <f aca="false">IF($D4294&lt;&gt;"","["&amp;$E4294&amp;"]"&amp;"|"&amp;$Q4294&amp;"|"&amp;$K4294&amp;"|"&amp;$G4294&amp;"|"&amp;IF($G4294="TX_CURR_SUBNAT.R","CY2022Q4",$M4294),"")</f>
        <v>[JQKLKuVuY61]|01-09|Male|NEW_INFECTIONS_SUBNAT.T_1|CY2023Q3</v>
      </c>
    </row>
    <row r="4295" customFormat="false" ht="15" hidden="false" customHeight="false" outlineLevel="0" collapsed="false">
      <c r="D4295" s="0" t="s">
        <v>132</v>
      </c>
      <c r="E4295" s="0" t="s">
        <v>133</v>
      </c>
      <c r="F4295" s="0" t="s">
        <v>134</v>
      </c>
      <c r="G4295" s="0" t="s">
        <v>153</v>
      </c>
      <c r="H4295" s="0" t="s">
        <v>153</v>
      </c>
      <c r="I4295" s="0" t="s">
        <v>36</v>
      </c>
      <c r="J4295" s="0" t="s">
        <v>37</v>
      </c>
      <c r="K4295" s="0" t="s">
        <v>48</v>
      </c>
      <c r="L4295" s="0" t="s">
        <v>49</v>
      </c>
      <c r="M4295" s="0" t="s">
        <v>140</v>
      </c>
      <c r="N4295" s="0" t="n">
        <v>607</v>
      </c>
      <c r="O4295" s="10" t="n">
        <v>0.519969013053924</v>
      </c>
      <c r="P4295" s="10" t="n">
        <v>0.162863194011152</v>
      </c>
      <c r="Q4295" s="0" t="str">
        <f aca="false">SUBSTITUTE(SUBSTITUTE($I4295,CHAR(61),""),CHAR(34),"")</f>
        <v>10-14</v>
      </c>
      <c r="R4295" s="0" t="str">
        <f aca="false">IF($D4295&lt;&gt;"","["&amp;$E4295&amp;"]"&amp;"|"&amp;$Q4295&amp;"|"&amp;$K4295&amp;"|"&amp;$G4295&amp;"|"&amp;IF($G4295="TX_CURR_SUBNAT.R","CY2022Q4",$M4295),"")</f>
        <v>[JQKLKuVuY61]|10-14|Male|NEW_INFECTIONS_SUBNAT.T_1|CY2023Q3</v>
      </c>
    </row>
    <row r="4296" customFormat="false" ht="15" hidden="false" customHeight="false" outlineLevel="0" collapsed="false">
      <c r="D4296" s="0" t="s">
        <v>132</v>
      </c>
      <c r="E4296" s="0" t="s">
        <v>133</v>
      </c>
      <c r="F4296" s="0" t="s">
        <v>134</v>
      </c>
      <c r="G4296" s="0" t="s">
        <v>153</v>
      </c>
      <c r="H4296" s="0" t="s">
        <v>153</v>
      </c>
      <c r="I4296" s="0" t="s">
        <v>38</v>
      </c>
      <c r="J4296" s="0" t="s">
        <v>39</v>
      </c>
      <c r="K4296" s="0" t="s">
        <v>48</v>
      </c>
      <c r="L4296" s="0" t="s">
        <v>49</v>
      </c>
      <c r="M4296" s="0" t="s">
        <v>140</v>
      </c>
      <c r="N4296" s="0" t="n">
        <v>676</v>
      </c>
      <c r="O4296" s="10" t="n">
        <v>0.865458191605285</v>
      </c>
      <c r="P4296" s="10" t="n">
        <v>0.162863194011152</v>
      </c>
      <c r="Q4296" s="0" t="str">
        <f aca="false">SUBSTITUTE(SUBSTITUTE($I4296,CHAR(61),""),CHAR(34),"")</f>
        <v>15-24</v>
      </c>
      <c r="R4296" s="0" t="str">
        <f aca="false">IF($D4296&lt;&gt;"","["&amp;$E4296&amp;"]"&amp;"|"&amp;$Q4296&amp;"|"&amp;$K4296&amp;"|"&amp;$G4296&amp;"|"&amp;IF($G4296="TX_CURR_SUBNAT.R","CY2022Q4",$M4296),"")</f>
        <v>[JQKLKuVuY61]|15-24|Male|NEW_INFECTIONS_SUBNAT.T_1|CY2023Q3</v>
      </c>
    </row>
    <row r="4297" customFormat="false" ht="15" hidden="false" customHeight="false" outlineLevel="0" collapsed="false">
      <c r="D4297" s="0" t="s">
        <v>132</v>
      </c>
      <c r="E4297" s="0" t="s">
        <v>133</v>
      </c>
      <c r="F4297" s="0" t="s">
        <v>134</v>
      </c>
      <c r="G4297" s="0" t="s">
        <v>153</v>
      </c>
      <c r="H4297" s="0" t="s">
        <v>153</v>
      </c>
      <c r="I4297" s="0" t="s">
        <v>41</v>
      </c>
      <c r="J4297" s="0" t="s">
        <v>42</v>
      </c>
      <c r="K4297" s="0" t="s">
        <v>48</v>
      </c>
      <c r="L4297" s="0" t="s">
        <v>49</v>
      </c>
      <c r="M4297" s="0" t="s">
        <v>140</v>
      </c>
      <c r="N4297" s="0" t="n">
        <v>535</v>
      </c>
      <c r="O4297" s="10" t="n">
        <v>0.0689178386237472</v>
      </c>
      <c r="P4297" s="10" t="n">
        <v>0.162863194011152</v>
      </c>
      <c r="Q4297" s="0" t="str">
        <f aca="false">SUBSTITUTE(SUBSTITUTE($I4297,CHAR(61),""),CHAR(34),"")</f>
        <v>25-34</v>
      </c>
      <c r="R4297" s="0" t="str">
        <f aca="false">IF($D4297&lt;&gt;"","["&amp;$E4297&amp;"]"&amp;"|"&amp;$Q4297&amp;"|"&amp;$K4297&amp;"|"&amp;$G4297&amp;"|"&amp;IF($G4297="TX_CURR_SUBNAT.R","CY2022Q4",$M4297),"")</f>
        <v>[JQKLKuVuY61]|25-34|Male|NEW_INFECTIONS_SUBNAT.T_1|CY2023Q3</v>
      </c>
    </row>
    <row r="4298" customFormat="false" ht="15" hidden="false" customHeight="false" outlineLevel="0" collapsed="false">
      <c r="D4298" s="0" t="s">
        <v>132</v>
      </c>
      <c r="E4298" s="0" t="s">
        <v>133</v>
      </c>
      <c r="F4298" s="0" t="s">
        <v>134</v>
      </c>
      <c r="G4298" s="0" t="s">
        <v>153</v>
      </c>
      <c r="H4298" s="0" t="s">
        <v>153</v>
      </c>
      <c r="I4298" s="0" t="s">
        <v>43</v>
      </c>
      <c r="J4298" s="0" t="s">
        <v>44</v>
      </c>
      <c r="K4298" s="0" t="s">
        <v>48</v>
      </c>
      <c r="L4298" s="0" t="s">
        <v>49</v>
      </c>
      <c r="M4298" s="0" t="s">
        <v>140</v>
      </c>
      <c r="N4298" s="0" t="n">
        <v>517</v>
      </c>
      <c r="O4298" s="10" t="n">
        <v>0.430786544922739</v>
      </c>
      <c r="P4298" s="10" t="n">
        <v>0.162863194011152</v>
      </c>
      <c r="Q4298" s="0" t="str">
        <f aca="false">SUBSTITUTE(SUBSTITUTE($I4298,CHAR(61),""),CHAR(34),"")</f>
        <v>35-49</v>
      </c>
      <c r="R4298" s="0" t="str">
        <f aca="false">IF($D4298&lt;&gt;"","["&amp;$E4298&amp;"]"&amp;"|"&amp;$Q4298&amp;"|"&amp;$K4298&amp;"|"&amp;$G4298&amp;"|"&amp;IF($G4298="TX_CURR_SUBNAT.R","CY2022Q4",$M4298),"")</f>
        <v>[JQKLKuVuY61]|35-49|Male|NEW_INFECTIONS_SUBNAT.T_1|CY2023Q3</v>
      </c>
    </row>
    <row r="4299" customFormat="false" ht="15" hidden="false" customHeight="false" outlineLevel="0" collapsed="false">
      <c r="D4299" s="0" t="s">
        <v>132</v>
      </c>
      <c r="E4299" s="0" t="s">
        <v>133</v>
      </c>
      <c r="F4299" s="0" t="s">
        <v>134</v>
      </c>
      <c r="G4299" s="0" t="s">
        <v>153</v>
      </c>
      <c r="H4299" s="0" t="s">
        <v>153</v>
      </c>
      <c r="I4299" s="0" t="s">
        <v>45</v>
      </c>
      <c r="J4299" s="0" t="s">
        <v>46</v>
      </c>
      <c r="K4299" s="0" t="s">
        <v>48</v>
      </c>
      <c r="L4299" s="0" t="s">
        <v>49</v>
      </c>
      <c r="M4299" s="0" t="s">
        <v>140</v>
      </c>
      <c r="N4299" s="0" t="n">
        <v>907</v>
      </c>
      <c r="O4299" s="10" t="n">
        <v>0.285420141881332</v>
      </c>
      <c r="P4299" s="10" t="n">
        <v>0.162863194011152</v>
      </c>
      <c r="Q4299" s="0" t="str">
        <f aca="false">SUBSTITUTE(SUBSTITUTE($I4299,CHAR(61),""),CHAR(34),"")</f>
        <v>50+</v>
      </c>
      <c r="R4299" s="0" t="str">
        <f aca="false">IF($D4299&lt;&gt;"","["&amp;$E4299&amp;"]"&amp;"|"&amp;$Q4299&amp;"|"&amp;$K4299&amp;"|"&amp;$G4299&amp;"|"&amp;IF($G4299="TX_CURR_SUBNAT.R","CY2022Q4",$M4299),"")</f>
        <v>[JQKLKuVuY61]|50+|Male|NEW_INFECTIONS_SUBNAT.T_1|CY2023Q3</v>
      </c>
    </row>
    <row r="4300" customFormat="false" ht="15" hidden="false" customHeight="false" outlineLevel="0" collapsed="false">
      <c r="D4300" s="0" t="s">
        <v>135</v>
      </c>
      <c r="E4300" s="0" t="s">
        <v>136</v>
      </c>
      <c r="F4300" s="0" t="s">
        <v>137</v>
      </c>
      <c r="G4300" s="0" t="s">
        <v>153</v>
      </c>
      <c r="H4300" s="0" t="s">
        <v>153</v>
      </c>
      <c r="I4300" s="0" t="s">
        <v>28</v>
      </c>
      <c r="J4300" s="0" t="s">
        <v>29</v>
      </c>
      <c r="K4300" s="0" t="s">
        <v>30</v>
      </c>
      <c r="L4300" s="0" t="s">
        <v>31</v>
      </c>
      <c r="M4300" s="0" t="s">
        <v>140</v>
      </c>
      <c r="N4300" s="0" t="n">
        <v>1714</v>
      </c>
      <c r="O4300" s="10" t="n">
        <v>0.665235840016976</v>
      </c>
      <c r="P4300" s="10" t="n">
        <v>0.955300528323278</v>
      </c>
      <c r="Q4300" s="0" t="str">
        <f aca="false">SUBSTITUTE(SUBSTITUTE($I4300,CHAR(61),""),CHAR(34),"")</f>
        <v>&lt;01</v>
      </c>
      <c r="R4300" s="0" t="str">
        <f aca="false">IF($D4300&lt;&gt;"","["&amp;$E4300&amp;"]"&amp;"|"&amp;$Q4300&amp;"|"&amp;$K4300&amp;"|"&amp;$G4300&amp;"|"&amp;IF($G4300="TX_CURR_SUBNAT.R","CY2022Q4",$M4300),"")</f>
        <v>[fiRkU6gEjLz]|&lt;01|Female|NEW_INFECTIONS_SUBNAT.T_1|CY2023Q3</v>
      </c>
    </row>
    <row r="4301" customFormat="false" ht="15" hidden="false" customHeight="false" outlineLevel="0" collapsed="false">
      <c r="D4301" s="0" t="s">
        <v>135</v>
      </c>
      <c r="E4301" s="0" t="s">
        <v>136</v>
      </c>
      <c r="F4301" s="0" t="s">
        <v>137</v>
      </c>
      <c r="G4301" s="0" t="s">
        <v>153</v>
      </c>
      <c r="H4301" s="0" t="s">
        <v>153</v>
      </c>
      <c r="I4301" s="0" t="s">
        <v>33</v>
      </c>
      <c r="J4301" s="0" t="s">
        <v>34</v>
      </c>
      <c r="K4301" s="0" t="s">
        <v>30</v>
      </c>
      <c r="L4301" s="0" t="s">
        <v>31</v>
      </c>
      <c r="M4301" s="0" t="s">
        <v>140</v>
      </c>
      <c r="N4301" s="0" t="n">
        <v>933</v>
      </c>
      <c r="O4301" s="10" t="n">
        <v>0.406133747659624</v>
      </c>
      <c r="P4301" s="10" t="n">
        <v>0.955300528323278</v>
      </c>
      <c r="Q4301" s="0" t="str">
        <f aca="false">SUBSTITUTE(SUBSTITUTE($I4301,CHAR(61),""),CHAR(34),"")</f>
        <v>01-09</v>
      </c>
      <c r="R4301" s="0" t="str">
        <f aca="false">IF($D4301&lt;&gt;"","["&amp;$E4301&amp;"]"&amp;"|"&amp;$Q4301&amp;"|"&amp;$K4301&amp;"|"&amp;$G4301&amp;"|"&amp;IF($G4301="TX_CURR_SUBNAT.R","CY2022Q4",$M4301),"")</f>
        <v>[fiRkU6gEjLz]|01-09|Female|NEW_INFECTIONS_SUBNAT.T_1|CY2023Q3</v>
      </c>
    </row>
    <row r="4302" customFormat="false" ht="15" hidden="false" customHeight="false" outlineLevel="0" collapsed="false">
      <c r="D4302" s="0" t="s">
        <v>135</v>
      </c>
      <c r="E4302" s="0" t="s">
        <v>136</v>
      </c>
      <c r="F4302" s="0" t="s">
        <v>137</v>
      </c>
      <c r="G4302" s="0" t="s">
        <v>153</v>
      </c>
      <c r="H4302" s="0" t="s">
        <v>153</v>
      </c>
      <c r="I4302" s="0" t="s">
        <v>36</v>
      </c>
      <c r="J4302" s="0" t="s">
        <v>37</v>
      </c>
      <c r="K4302" s="0" t="s">
        <v>30</v>
      </c>
      <c r="L4302" s="0" t="s">
        <v>31</v>
      </c>
      <c r="M4302" s="0" t="s">
        <v>140</v>
      </c>
      <c r="N4302" s="0" t="n">
        <v>1796</v>
      </c>
      <c r="O4302" s="10" t="n">
        <v>0.733424724079669</v>
      </c>
      <c r="P4302" s="10" t="n">
        <v>0.955300528323278</v>
      </c>
      <c r="Q4302" s="0" t="str">
        <f aca="false">SUBSTITUTE(SUBSTITUTE($I4302,CHAR(61),""),CHAR(34),"")</f>
        <v>10-14</v>
      </c>
      <c r="R4302" s="0" t="str">
        <f aca="false">IF($D4302&lt;&gt;"","["&amp;$E4302&amp;"]"&amp;"|"&amp;$Q4302&amp;"|"&amp;$K4302&amp;"|"&amp;$G4302&amp;"|"&amp;IF($G4302="TX_CURR_SUBNAT.R","CY2022Q4",$M4302),"")</f>
        <v>[fiRkU6gEjLz]|10-14|Female|NEW_INFECTIONS_SUBNAT.T_1|CY2023Q3</v>
      </c>
    </row>
    <row r="4303" customFormat="false" ht="15" hidden="false" customHeight="false" outlineLevel="0" collapsed="false">
      <c r="D4303" s="0" t="s">
        <v>135</v>
      </c>
      <c r="E4303" s="0" t="s">
        <v>136</v>
      </c>
      <c r="F4303" s="0" t="s">
        <v>137</v>
      </c>
      <c r="G4303" s="0" t="s">
        <v>153</v>
      </c>
      <c r="H4303" s="0" t="s">
        <v>153</v>
      </c>
      <c r="I4303" s="0" t="s">
        <v>38</v>
      </c>
      <c r="J4303" s="0" t="s">
        <v>39</v>
      </c>
      <c r="K4303" s="0" t="s">
        <v>30</v>
      </c>
      <c r="L4303" s="0" t="s">
        <v>31</v>
      </c>
      <c r="M4303" s="0" t="s">
        <v>140</v>
      </c>
      <c r="N4303" s="0" t="n">
        <v>1800</v>
      </c>
      <c r="O4303" s="10" t="n">
        <v>0.760024315677583</v>
      </c>
      <c r="P4303" s="10" t="n">
        <v>0.955300528323278</v>
      </c>
      <c r="Q4303" s="0" t="str">
        <f aca="false">SUBSTITUTE(SUBSTITUTE($I4303,CHAR(61),""),CHAR(34),"")</f>
        <v>15-24</v>
      </c>
      <c r="R4303" s="0" t="str">
        <f aca="false">IF($D4303&lt;&gt;"","["&amp;$E4303&amp;"]"&amp;"|"&amp;$Q4303&amp;"|"&amp;$K4303&amp;"|"&amp;$G4303&amp;"|"&amp;IF($G4303="TX_CURR_SUBNAT.R","CY2022Q4",$M4303),"")</f>
        <v>[fiRkU6gEjLz]|15-24|Female|NEW_INFECTIONS_SUBNAT.T_1|CY2023Q3</v>
      </c>
    </row>
    <row r="4304" customFormat="false" ht="15" hidden="false" customHeight="false" outlineLevel="0" collapsed="false">
      <c r="D4304" s="0" t="s">
        <v>135</v>
      </c>
      <c r="E4304" s="0" t="s">
        <v>136</v>
      </c>
      <c r="F4304" s="0" t="s">
        <v>137</v>
      </c>
      <c r="G4304" s="0" t="s">
        <v>153</v>
      </c>
      <c r="H4304" s="0" t="s">
        <v>153</v>
      </c>
      <c r="I4304" s="0" t="s">
        <v>41</v>
      </c>
      <c r="J4304" s="0" t="s">
        <v>42</v>
      </c>
      <c r="K4304" s="0" t="s">
        <v>30</v>
      </c>
      <c r="L4304" s="0" t="s">
        <v>31</v>
      </c>
      <c r="M4304" s="0" t="s">
        <v>140</v>
      </c>
      <c r="N4304" s="0" t="n">
        <v>1722</v>
      </c>
      <c r="O4304" s="10" t="n">
        <v>0.983220142778009</v>
      </c>
      <c r="P4304" s="10" t="n">
        <v>0.955300528323278</v>
      </c>
      <c r="Q4304" s="0" t="str">
        <f aca="false">SUBSTITUTE(SUBSTITUTE($I4304,CHAR(61),""),CHAR(34),"")</f>
        <v>25-34</v>
      </c>
      <c r="R4304" s="0" t="str">
        <f aca="false">IF($D4304&lt;&gt;"","["&amp;$E4304&amp;"]"&amp;"|"&amp;$Q4304&amp;"|"&amp;$K4304&amp;"|"&amp;$G4304&amp;"|"&amp;IF($G4304="TX_CURR_SUBNAT.R","CY2022Q4",$M4304),"")</f>
        <v>[fiRkU6gEjLz]|25-34|Female|NEW_INFECTIONS_SUBNAT.T_1|CY2023Q3</v>
      </c>
    </row>
    <row r="4305" customFormat="false" ht="15" hidden="false" customHeight="false" outlineLevel="0" collapsed="false">
      <c r="D4305" s="0" t="s">
        <v>135</v>
      </c>
      <c r="E4305" s="0" t="s">
        <v>136</v>
      </c>
      <c r="F4305" s="0" t="s">
        <v>137</v>
      </c>
      <c r="G4305" s="0" t="s">
        <v>153</v>
      </c>
      <c r="H4305" s="0" t="s">
        <v>153</v>
      </c>
      <c r="I4305" s="0" t="s">
        <v>43</v>
      </c>
      <c r="J4305" s="0" t="s">
        <v>44</v>
      </c>
      <c r="K4305" s="0" t="s">
        <v>30</v>
      </c>
      <c r="L4305" s="0" t="s">
        <v>31</v>
      </c>
      <c r="M4305" s="0" t="s">
        <v>140</v>
      </c>
      <c r="N4305" s="0" t="n">
        <v>528</v>
      </c>
      <c r="O4305" s="10" t="n">
        <v>0.391102116322145</v>
      </c>
      <c r="P4305" s="10" t="n">
        <v>0.955300528323278</v>
      </c>
      <c r="Q4305" s="0" t="str">
        <f aca="false">SUBSTITUTE(SUBSTITUTE($I4305,CHAR(61),""),CHAR(34),"")</f>
        <v>35-49</v>
      </c>
      <c r="R4305" s="0" t="str">
        <f aca="false">IF($D4305&lt;&gt;"","["&amp;$E4305&amp;"]"&amp;"|"&amp;$Q4305&amp;"|"&amp;$K4305&amp;"|"&amp;$G4305&amp;"|"&amp;IF($G4305="TX_CURR_SUBNAT.R","CY2022Q4",$M4305),"")</f>
        <v>[fiRkU6gEjLz]|35-49|Female|NEW_INFECTIONS_SUBNAT.T_1|CY2023Q3</v>
      </c>
    </row>
    <row r="4306" customFormat="false" ht="15" hidden="false" customHeight="false" outlineLevel="0" collapsed="false">
      <c r="D4306" s="0" t="s">
        <v>135</v>
      </c>
      <c r="E4306" s="0" t="s">
        <v>136</v>
      </c>
      <c r="F4306" s="0" t="s">
        <v>137</v>
      </c>
      <c r="G4306" s="0" t="s">
        <v>153</v>
      </c>
      <c r="H4306" s="0" t="s">
        <v>153</v>
      </c>
      <c r="I4306" s="0" t="s">
        <v>45</v>
      </c>
      <c r="J4306" s="0" t="s">
        <v>46</v>
      </c>
      <c r="K4306" s="0" t="s">
        <v>30</v>
      </c>
      <c r="L4306" s="0" t="s">
        <v>31</v>
      </c>
      <c r="M4306" s="0" t="s">
        <v>140</v>
      </c>
      <c r="N4306" s="0" t="n">
        <v>1711</v>
      </c>
      <c r="O4306" s="10" t="n">
        <v>0.312146434094757</v>
      </c>
      <c r="P4306" s="10" t="n">
        <v>0.955300528323278</v>
      </c>
      <c r="Q4306" s="0" t="str">
        <f aca="false">SUBSTITUTE(SUBSTITUTE($I4306,CHAR(61),""),CHAR(34),"")</f>
        <v>50+</v>
      </c>
      <c r="R4306" s="0" t="str">
        <f aca="false">IF($D4306&lt;&gt;"","["&amp;$E4306&amp;"]"&amp;"|"&amp;$Q4306&amp;"|"&amp;$K4306&amp;"|"&amp;$G4306&amp;"|"&amp;IF($G4306="TX_CURR_SUBNAT.R","CY2022Q4",$M4306),"")</f>
        <v>[fiRkU6gEjLz]|50+|Female|NEW_INFECTIONS_SUBNAT.T_1|CY2023Q3</v>
      </c>
    </row>
    <row r="4307" customFormat="false" ht="15" hidden="false" customHeight="false" outlineLevel="0" collapsed="false">
      <c r="D4307" s="0" t="s">
        <v>135</v>
      </c>
      <c r="E4307" s="0" t="s">
        <v>136</v>
      </c>
      <c r="F4307" s="0" t="s">
        <v>137</v>
      </c>
      <c r="G4307" s="0" t="s">
        <v>153</v>
      </c>
      <c r="H4307" s="0" t="s">
        <v>153</v>
      </c>
      <c r="I4307" s="0" t="s">
        <v>28</v>
      </c>
      <c r="J4307" s="0" t="s">
        <v>29</v>
      </c>
      <c r="K4307" s="0" t="s">
        <v>48</v>
      </c>
      <c r="L4307" s="0" t="s">
        <v>49</v>
      </c>
      <c r="M4307" s="0" t="s">
        <v>140</v>
      </c>
      <c r="N4307" s="0" t="n">
        <v>1195</v>
      </c>
      <c r="O4307" s="10" t="n">
        <v>0.300086222356185</v>
      </c>
      <c r="P4307" s="10" t="n">
        <v>0.955300528323278</v>
      </c>
      <c r="Q4307" s="0" t="str">
        <f aca="false">SUBSTITUTE(SUBSTITUTE($I4307,CHAR(61),""),CHAR(34),"")</f>
        <v>&lt;01</v>
      </c>
      <c r="R4307" s="0" t="str">
        <f aca="false">IF($D4307&lt;&gt;"","["&amp;$E4307&amp;"]"&amp;"|"&amp;$Q4307&amp;"|"&amp;$K4307&amp;"|"&amp;$G4307&amp;"|"&amp;IF($G4307="TX_CURR_SUBNAT.R","CY2022Q4",$M4307),"")</f>
        <v>[fiRkU6gEjLz]|&lt;01|Male|NEW_INFECTIONS_SUBNAT.T_1|CY2023Q3</v>
      </c>
    </row>
    <row r="4308" customFormat="false" ht="15" hidden="false" customHeight="false" outlineLevel="0" collapsed="false">
      <c r="D4308" s="0" t="s">
        <v>135</v>
      </c>
      <c r="E4308" s="0" t="s">
        <v>136</v>
      </c>
      <c r="F4308" s="0" t="s">
        <v>137</v>
      </c>
      <c r="G4308" s="0" t="s">
        <v>153</v>
      </c>
      <c r="H4308" s="0" t="s">
        <v>153</v>
      </c>
      <c r="I4308" s="0" t="s">
        <v>33</v>
      </c>
      <c r="J4308" s="0" t="s">
        <v>34</v>
      </c>
      <c r="K4308" s="0" t="s">
        <v>48</v>
      </c>
      <c r="L4308" s="0" t="s">
        <v>49</v>
      </c>
      <c r="M4308" s="0" t="s">
        <v>140</v>
      </c>
      <c r="N4308" s="0" t="n">
        <v>1824</v>
      </c>
      <c r="O4308" s="10" t="n">
        <v>0.646868382347748</v>
      </c>
      <c r="P4308" s="10" t="n">
        <v>0.955300528323278</v>
      </c>
      <c r="Q4308" s="0" t="str">
        <f aca="false">SUBSTITUTE(SUBSTITUTE($I4308,CHAR(61),""),CHAR(34),"")</f>
        <v>01-09</v>
      </c>
      <c r="R4308" s="0" t="str">
        <f aca="false">IF($D4308&lt;&gt;"","["&amp;$E4308&amp;"]"&amp;"|"&amp;$Q4308&amp;"|"&amp;$K4308&amp;"|"&amp;$G4308&amp;"|"&amp;IF($G4308="TX_CURR_SUBNAT.R","CY2022Q4",$M4308),"")</f>
        <v>[fiRkU6gEjLz]|01-09|Male|NEW_INFECTIONS_SUBNAT.T_1|CY2023Q3</v>
      </c>
    </row>
    <row r="4309" customFormat="false" ht="15" hidden="false" customHeight="false" outlineLevel="0" collapsed="false">
      <c r="D4309" s="0" t="s">
        <v>135</v>
      </c>
      <c r="E4309" s="0" t="s">
        <v>136</v>
      </c>
      <c r="F4309" s="0" t="s">
        <v>137</v>
      </c>
      <c r="G4309" s="0" t="s">
        <v>153</v>
      </c>
      <c r="H4309" s="0" t="s">
        <v>153</v>
      </c>
      <c r="I4309" s="0" t="s">
        <v>36</v>
      </c>
      <c r="J4309" s="0" t="s">
        <v>37</v>
      </c>
      <c r="K4309" s="0" t="s">
        <v>48</v>
      </c>
      <c r="L4309" s="0" t="s">
        <v>49</v>
      </c>
      <c r="M4309" s="0" t="s">
        <v>140</v>
      </c>
      <c r="N4309" s="0" t="n">
        <v>713</v>
      </c>
      <c r="O4309" s="10" t="n">
        <v>0.979891563998535</v>
      </c>
      <c r="P4309" s="10" t="n">
        <v>0.955300528323278</v>
      </c>
      <c r="Q4309" s="0" t="str">
        <f aca="false">SUBSTITUTE(SUBSTITUTE($I4309,CHAR(61),""),CHAR(34),"")</f>
        <v>10-14</v>
      </c>
      <c r="R4309" s="0" t="str">
        <f aca="false">IF($D4309&lt;&gt;"","["&amp;$E4309&amp;"]"&amp;"|"&amp;$Q4309&amp;"|"&amp;$K4309&amp;"|"&amp;$G4309&amp;"|"&amp;IF($G4309="TX_CURR_SUBNAT.R","CY2022Q4",$M4309),"")</f>
        <v>[fiRkU6gEjLz]|10-14|Male|NEW_INFECTIONS_SUBNAT.T_1|CY2023Q3</v>
      </c>
    </row>
    <row r="4310" customFormat="false" ht="15" hidden="false" customHeight="false" outlineLevel="0" collapsed="false">
      <c r="D4310" s="0" t="s">
        <v>135</v>
      </c>
      <c r="E4310" s="0" t="s">
        <v>136</v>
      </c>
      <c r="F4310" s="0" t="s">
        <v>137</v>
      </c>
      <c r="G4310" s="0" t="s">
        <v>153</v>
      </c>
      <c r="H4310" s="0" t="s">
        <v>153</v>
      </c>
      <c r="I4310" s="0" t="s">
        <v>38</v>
      </c>
      <c r="J4310" s="0" t="s">
        <v>39</v>
      </c>
      <c r="K4310" s="0" t="s">
        <v>48</v>
      </c>
      <c r="L4310" s="0" t="s">
        <v>49</v>
      </c>
      <c r="M4310" s="0" t="s">
        <v>140</v>
      </c>
      <c r="N4310" s="0" t="n">
        <v>1419</v>
      </c>
      <c r="O4310" s="10" t="n">
        <v>0.434421222191304</v>
      </c>
      <c r="P4310" s="10" t="n">
        <v>0.955300528323278</v>
      </c>
      <c r="Q4310" s="0" t="str">
        <f aca="false">SUBSTITUTE(SUBSTITUTE($I4310,CHAR(61),""),CHAR(34),"")</f>
        <v>15-24</v>
      </c>
      <c r="R4310" s="0" t="str">
        <f aca="false">IF($D4310&lt;&gt;"","["&amp;$E4310&amp;"]"&amp;"|"&amp;$Q4310&amp;"|"&amp;$K4310&amp;"|"&amp;$G4310&amp;"|"&amp;IF($G4310="TX_CURR_SUBNAT.R","CY2022Q4",$M4310),"")</f>
        <v>[fiRkU6gEjLz]|15-24|Male|NEW_INFECTIONS_SUBNAT.T_1|CY2023Q3</v>
      </c>
    </row>
    <row r="4311" customFormat="false" ht="15" hidden="false" customHeight="false" outlineLevel="0" collapsed="false">
      <c r="D4311" s="0" t="s">
        <v>135</v>
      </c>
      <c r="E4311" s="0" t="s">
        <v>136</v>
      </c>
      <c r="F4311" s="0" t="s">
        <v>137</v>
      </c>
      <c r="G4311" s="0" t="s">
        <v>153</v>
      </c>
      <c r="H4311" s="0" t="s">
        <v>153</v>
      </c>
      <c r="I4311" s="0" t="s">
        <v>41</v>
      </c>
      <c r="J4311" s="0" t="s">
        <v>42</v>
      </c>
      <c r="K4311" s="0" t="s">
        <v>48</v>
      </c>
      <c r="L4311" s="0" t="s">
        <v>49</v>
      </c>
      <c r="M4311" s="0" t="s">
        <v>140</v>
      </c>
      <c r="N4311" s="0" t="n">
        <v>642</v>
      </c>
      <c r="O4311" s="10" t="n">
        <v>0.685486178612337</v>
      </c>
      <c r="P4311" s="10" t="n">
        <v>0.955300528323278</v>
      </c>
      <c r="Q4311" s="0" t="str">
        <f aca="false">SUBSTITUTE(SUBSTITUTE($I4311,CHAR(61),""),CHAR(34),"")</f>
        <v>25-34</v>
      </c>
      <c r="R4311" s="0" t="str">
        <f aca="false">IF($D4311&lt;&gt;"","["&amp;$E4311&amp;"]"&amp;"|"&amp;$Q4311&amp;"|"&amp;$K4311&amp;"|"&amp;$G4311&amp;"|"&amp;IF($G4311="TX_CURR_SUBNAT.R","CY2022Q4",$M4311),"")</f>
        <v>[fiRkU6gEjLz]|25-34|Male|NEW_INFECTIONS_SUBNAT.T_1|CY2023Q3</v>
      </c>
    </row>
    <row r="4312" customFormat="false" ht="15" hidden="false" customHeight="false" outlineLevel="0" collapsed="false">
      <c r="D4312" s="0" t="s">
        <v>135</v>
      </c>
      <c r="E4312" s="0" t="s">
        <v>136</v>
      </c>
      <c r="F4312" s="0" t="s">
        <v>137</v>
      </c>
      <c r="G4312" s="0" t="s">
        <v>153</v>
      </c>
      <c r="H4312" s="0" t="s">
        <v>153</v>
      </c>
      <c r="I4312" s="0" t="s">
        <v>43</v>
      </c>
      <c r="J4312" s="0" t="s">
        <v>44</v>
      </c>
      <c r="K4312" s="0" t="s">
        <v>48</v>
      </c>
      <c r="L4312" s="0" t="s">
        <v>49</v>
      </c>
      <c r="M4312" s="0" t="s">
        <v>140</v>
      </c>
      <c r="N4312" s="0" t="n">
        <v>539</v>
      </c>
      <c r="O4312" s="10" t="n">
        <v>0.46222434239462</v>
      </c>
      <c r="P4312" s="10" t="n">
        <v>0.955300528323278</v>
      </c>
      <c r="Q4312" s="0" t="str">
        <f aca="false">SUBSTITUTE(SUBSTITUTE($I4312,CHAR(61),""),CHAR(34),"")</f>
        <v>35-49</v>
      </c>
      <c r="R4312" s="0" t="str">
        <f aca="false">IF($D4312&lt;&gt;"","["&amp;$E4312&amp;"]"&amp;"|"&amp;$Q4312&amp;"|"&amp;$K4312&amp;"|"&amp;$G4312&amp;"|"&amp;IF($G4312="TX_CURR_SUBNAT.R","CY2022Q4",$M4312),"")</f>
        <v>[fiRkU6gEjLz]|35-49|Male|NEW_INFECTIONS_SUBNAT.T_1|CY2023Q3</v>
      </c>
    </row>
    <row r="4313" customFormat="false" ht="15" hidden="false" customHeight="false" outlineLevel="0" collapsed="false">
      <c r="D4313" s="0" t="s">
        <v>135</v>
      </c>
      <c r="E4313" s="0" t="s">
        <v>136</v>
      </c>
      <c r="F4313" s="0" t="s">
        <v>137</v>
      </c>
      <c r="G4313" s="0" t="s">
        <v>153</v>
      </c>
      <c r="H4313" s="0" t="s">
        <v>153</v>
      </c>
      <c r="I4313" s="0" t="s">
        <v>45</v>
      </c>
      <c r="J4313" s="0" t="s">
        <v>46</v>
      </c>
      <c r="K4313" s="0" t="s">
        <v>48</v>
      </c>
      <c r="L4313" s="0" t="s">
        <v>49</v>
      </c>
      <c r="M4313" s="0" t="s">
        <v>140</v>
      </c>
      <c r="N4313" s="0" t="n">
        <v>1313</v>
      </c>
      <c r="O4313" s="10" t="n">
        <v>0.921594717539847</v>
      </c>
      <c r="P4313" s="10" t="n">
        <v>0.955300528323278</v>
      </c>
      <c r="Q4313" s="0" t="str">
        <f aca="false">SUBSTITUTE(SUBSTITUTE($I4313,CHAR(61),""),CHAR(34),"")</f>
        <v>50+</v>
      </c>
      <c r="R4313" s="0" t="str">
        <f aca="false">IF($D4313&lt;&gt;"","["&amp;$E4313&amp;"]"&amp;"|"&amp;$Q4313&amp;"|"&amp;$K4313&amp;"|"&amp;$G4313&amp;"|"&amp;IF($G4313="TX_CURR_SUBNAT.R","CY2022Q4",$M4313),"")</f>
        <v>[fiRkU6gEjLz]|50+|Male|NEW_INFECTIONS_SUBNAT.T_1|CY2023Q3</v>
      </c>
    </row>
    <row r="4314" customFormat="false" ht="15" hidden="false" customHeight="false" outlineLevel="0" collapsed="false">
      <c r="D4314" s="0" t="s">
        <v>23</v>
      </c>
      <c r="E4314" s="0" t="s">
        <v>24</v>
      </c>
      <c r="F4314" s="0" t="s">
        <v>25</v>
      </c>
      <c r="G4314" s="0" t="s">
        <v>154</v>
      </c>
      <c r="H4314" s="0" t="s">
        <v>155</v>
      </c>
      <c r="I4314" s="0" t="s">
        <v>38</v>
      </c>
      <c r="J4314" s="0" t="s">
        <v>39</v>
      </c>
      <c r="K4314" s="0" t="s">
        <v>30</v>
      </c>
      <c r="L4314" s="0" t="s">
        <v>31</v>
      </c>
      <c r="M4314" s="0" t="s">
        <v>140</v>
      </c>
      <c r="N4314" s="0" t="n">
        <v>1304</v>
      </c>
      <c r="O4314" s="10" t="n">
        <v>0.721096264198422</v>
      </c>
      <c r="P4314" s="10" t="n">
        <v>0.404358610976487</v>
      </c>
      <c r="Q4314" s="0" t="str">
        <f aca="false">SUBSTITUTE(SUBSTITUTE($I4314,CHAR(61),""),CHAR(34),"")</f>
        <v>15-24</v>
      </c>
      <c r="R4314" s="0" t="str">
        <f aca="false">IF($D4314&lt;&gt;"","["&amp;$E4314&amp;"]"&amp;"|"&amp;$Q4314&amp;"|"&amp;$K4314&amp;"|"&amp;$G4314&amp;"|"&amp;IF($G4314="TX_CURR_SUBNAT.R","CY2022Q4",$M4314),"")</f>
        <v>[GkIwZrXy1h2]|15-24|Female|PMTCT_STAT_SUBNAT.D.T_1|CY2023Q3</v>
      </c>
    </row>
    <row r="4315" customFormat="false" ht="15" hidden="false" customHeight="false" outlineLevel="0" collapsed="false">
      <c r="D4315" s="0" t="s">
        <v>23</v>
      </c>
      <c r="E4315" s="0" t="s">
        <v>24</v>
      </c>
      <c r="F4315" s="0" t="s">
        <v>25</v>
      </c>
      <c r="G4315" s="0" t="s">
        <v>154</v>
      </c>
      <c r="H4315" s="0" t="s">
        <v>155</v>
      </c>
      <c r="I4315" s="0" t="s">
        <v>41</v>
      </c>
      <c r="J4315" s="0" t="s">
        <v>42</v>
      </c>
      <c r="K4315" s="0" t="s">
        <v>30</v>
      </c>
      <c r="L4315" s="0" t="s">
        <v>31</v>
      </c>
      <c r="M4315" s="0" t="s">
        <v>140</v>
      </c>
      <c r="N4315" s="0" t="n">
        <v>569</v>
      </c>
      <c r="O4315" s="10" t="n">
        <v>0.427488825982437</v>
      </c>
      <c r="P4315" s="10" t="n">
        <v>0.404358610976487</v>
      </c>
      <c r="Q4315" s="0" t="str">
        <f aca="false">SUBSTITUTE(SUBSTITUTE($I4315,CHAR(61),""),CHAR(34),"")</f>
        <v>25-34</v>
      </c>
      <c r="R4315" s="0" t="str">
        <f aca="false">IF($D4315&lt;&gt;"","["&amp;$E4315&amp;"]"&amp;"|"&amp;$Q4315&amp;"|"&amp;$K4315&amp;"|"&amp;$G4315&amp;"|"&amp;IF($G4315="TX_CURR_SUBNAT.R","CY2022Q4",$M4315),"")</f>
        <v>[GkIwZrXy1h2]|25-34|Female|PMTCT_STAT_SUBNAT.D.T_1|CY2023Q3</v>
      </c>
    </row>
    <row r="4316" customFormat="false" ht="15" hidden="false" customHeight="false" outlineLevel="0" collapsed="false">
      <c r="D4316" s="0" t="s">
        <v>23</v>
      </c>
      <c r="E4316" s="0" t="s">
        <v>24</v>
      </c>
      <c r="F4316" s="0" t="s">
        <v>25</v>
      </c>
      <c r="G4316" s="0" t="s">
        <v>154</v>
      </c>
      <c r="H4316" s="0" t="s">
        <v>155</v>
      </c>
      <c r="I4316" s="0" t="s">
        <v>43</v>
      </c>
      <c r="J4316" s="0" t="s">
        <v>44</v>
      </c>
      <c r="K4316" s="0" t="s">
        <v>30</v>
      </c>
      <c r="L4316" s="0" t="s">
        <v>31</v>
      </c>
      <c r="M4316" s="0" t="s">
        <v>140</v>
      </c>
      <c r="N4316" s="0" t="n">
        <v>1084</v>
      </c>
      <c r="O4316" s="10" t="n">
        <v>0.283592934487388</v>
      </c>
      <c r="P4316" s="10" t="n">
        <v>0.404358610976487</v>
      </c>
      <c r="Q4316" s="0" t="str">
        <f aca="false">SUBSTITUTE(SUBSTITUTE($I4316,CHAR(61),""),CHAR(34),"")</f>
        <v>35-49</v>
      </c>
      <c r="R4316" s="0" t="str">
        <f aca="false">IF($D4316&lt;&gt;"","["&amp;$E4316&amp;"]"&amp;"|"&amp;$Q4316&amp;"|"&amp;$K4316&amp;"|"&amp;$G4316&amp;"|"&amp;IF($G4316="TX_CURR_SUBNAT.R","CY2022Q4",$M4316),"")</f>
        <v>[GkIwZrXy1h2]|35-49|Female|PMTCT_STAT_SUBNAT.D.T_1|CY2023Q3</v>
      </c>
    </row>
    <row r="4317" customFormat="false" ht="15" hidden="false" customHeight="false" outlineLevel="0" collapsed="false">
      <c r="D4317" s="0" t="s">
        <v>53</v>
      </c>
      <c r="E4317" s="0" t="s">
        <v>54</v>
      </c>
      <c r="F4317" s="0" t="s">
        <v>55</v>
      </c>
      <c r="G4317" s="0" t="s">
        <v>154</v>
      </c>
      <c r="H4317" s="0" t="s">
        <v>155</v>
      </c>
      <c r="I4317" s="0" t="s">
        <v>38</v>
      </c>
      <c r="J4317" s="0" t="s">
        <v>39</v>
      </c>
      <c r="K4317" s="0" t="s">
        <v>30</v>
      </c>
      <c r="L4317" s="0" t="s">
        <v>31</v>
      </c>
      <c r="M4317" s="0" t="s">
        <v>140</v>
      </c>
      <c r="N4317" s="0" t="n">
        <v>941</v>
      </c>
      <c r="O4317" s="10" t="n">
        <v>0.347269860794768</v>
      </c>
      <c r="P4317" s="10" t="n">
        <v>0.616392469964921</v>
      </c>
      <c r="Q4317" s="0" t="str">
        <f aca="false">SUBSTITUTE(SUBSTITUTE($I4317,CHAR(61),""),CHAR(34),"")</f>
        <v>15-24</v>
      </c>
      <c r="R4317" s="0" t="str">
        <f aca="false">IF($D4317&lt;&gt;"","["&amp;$E4317&amp;"]"&amp;"|"&amp;$Q4317&amp;"|"&amp;$K4317&amp;"|"&amp;$G4317&amp;"|"&amp;IF($G4317="TX_CURR_SUBNAT.R","CY2022Q4",$M4317),"")</f>
        <v>[zphK9WV8JB4]|15-24|Female|PMTCT_STAT_SUBNAT.D.T_1|CY2023Q3</v>
      </c>
    </row>
    <row r="4318" customFormat="false" ht="15" hidden="false" customHeight="false" outlineLevel="0" collapsed="false">
      <c r="D4318" s="0" t="s">
        <v>53</v>
      </c>
      <c r="E4318" s="0" t="s">
        <v>54</v>
      </c>
      <c r="F4318" s="0" t="s">
        <v>55</v>
      </c>
      <c r="G4318" s="0" t="s">
        <v>154</v>
      </c>
      <c r="H4318" s="0" t="s">
        <v>155</v>
      </c>
      <c r="I4318" s="0" t="s">
        <v>41</v>
      </c>
      <c r="J4318" s="0" t="s">
        <v>42</v>
      </c>
      <c r="K4318" s="0" t="s">
        <v>30</v>
      </c>
      <c r="L4318" s="0" t="s">
        <v>31</v>
      </c>
      <c r="M4318" s="0" t="s">
        <v>140</v>
      </c>
      <c r="N4318" s="0" t="n">
        <v>1097</v>
      </c>
      <c r="O4318" s="10" t="n">
        <v>0.176047177985311</v>
      </c>
      <c r="P4318" s="10" t="n">
        <v>0.616392469964921</v>
      </c>
      <c r="Q4318" s="0" t="str">
        <f aca="false">SUBSTITUTE(SUBSTITUTE($I4318,CHAR(61),""),CHAR(34),"")</f>
        <v>25-34</v>
      </c>
      <c r="R4318" s="0" t="str">
        <f aca="false">IF($D4318&lt;&gt;"","["&amp;$E4318&amp;"]"&amp;"|"&amp;$Q4318&amp;"|"&amp;$K4318&amp;"|"&amp;$G4318&amp;"|"&amp;IF($G4318="TX_CURR_SUBNAT.R","CY2022Q4",$M4318),"")</f>
        <v>[zphK9WV8JB4]|25-34|Female|PMTCT_STAT_SUBNAT.D.T_1|CY2023Q3</v>
      </c>
    </row>
    <row r="4319" customFormat="false" ht="15" hidden="false" customHeight="false" outlineLevel="0" collapsed="false">
      <c r="D4319" s="0" t="s">
        <v>53</v>
      </c>
      <c r="E4319" s="0" t="s">
        <v>54</v>
      </c>
      <c r="F4319" s="0" t="s">
        <v>55</v>
      </c>
      <c r="G4319" s="0" t="s">
        <v>154</v>
      </c>
      <c r="H4319" s="0" t="s">
        <v>155</v>
      </c>
      <c r="I4319" s="0" t="s">
        <v>43</v>
      </c>
      <c r="J4319" s="0" t="s">
        <v>44</v>
      </c>
      <c r="K4319" s="0" t="s">
        <v>30</v>
      </c>
      <c r="L4319" s="0" t="s">
        <v>31</v>
      </c>
      <c r="M4319" s="0" t="s">
        <v>140</v>
      </c>
      <c r="N4319" s="0" t="n">
        <v>1468</v>
      </c>
      <c r="O4319" s="10" t="n">
        <v>0.501698147505522</v>
      </c>
      <c r="P4319" s="10" t="n">
        <v>0.616392469964921</v>
      </c>
      <c r="Q4319" s="0" t="str">
        <f aca="false">SUBSTITUTE(SUBSTITUTE($I4319,CHAR(61),""),CHAR(34),"")</f>
        <v>35-49</v>
      </c>
      <c r="R4319" s="0" t="str">
        <f aca="false">IF($D4319&lt;&gt;"","["&amp;$E4319&amp;"]"&amp;"|"&amp;$Q4319&amp;"|"&amp;$K4319&amp;"|"&amp;$G4319&amp;"|"&amp;IF($G4319="TX_CURR_SUBNAT.R","CY2022Q4",$M4319),"")</f>
        <v>[zphK9WV8JB4]|35-49|Female|PMTCT_STAT_SUBNAT.D.T_1|CY2023Q3</v>
      </c>
    </row>
    <row r="4320" customFormat="false" ht="15" hidden="false" customHeight="false" outlineLevel="0" collapsed="false">
      <c r="D4320" s="0" t="s">
        <v>60</v>
      </c>
      <c r="E4320" s="0" t="s">
        <v>61</v>
      </c>
      <c r="F4320" s="0" t="s">
        <v>62</v>
      </c>
      <c r="G4320" s="0" t="s">
        <v>154</v>
      </c>
      <c r="H4320" s="0" t="s">
        <v>155</v>
      </c>
      <c r="I4320" s="0" t="s">
        <v>38</v>
      </c>
      <c r="J4320" s="0" t="s">
        <v>39</v>
      </c>
      <c r="K4320" s="0" t="s">
        <v>30</v>
      </c>
      <c r="L4320" s="0" t="s">
        <v>31</v>
      </c>
      <c r="M4320" s="0" t="s">
        <v>140</v>
      </c>
      <c r="N4320" s="0" t="n">
        <v>1251</v>
      </c>
      <c r="O4320" s="10" t="n">
        <v>0.520305556012318</v>
      </c>
      <c r="P4320" s="10" t="n">
        <v>0.0268250561784953</v>
      </c>
      <c r="Q4320" s="0" t="str">
        <f aca="false">SUBSTITUTE(SUBSTITUTE($I4320,CHAR(61),""),CHAR(34),"")</f>
        <v>15-24</v>
      </c>
      <c r="R4320" s="0" t="str">
        <f aca="false">IF($D4320&lt;&gt;"","["&amp;$E4320&amp;"]"&amp;"|"&amp;$Q4320&amp;"|"&amp;$K4320&amp;"|"&amp;$G4320&amp;"|"&amp;IF($G4320="TX_CURR_SUBNAT.R","CY2022Q4",$M4320),"")</f>
        <v>[msW2zpIN7up]|15-24|Female|PMTCT_STAT_SUBNAT.D.T_1|CY2023Q3</v>
      </c>
    </row>
    <row r="4321" customFormat="false" ht="15" hidden="false" customHeight="false" outlineLevel="0" collapsed="false">
      <c r="D4321" s="0" t="s">
        <v>60</v>
      </c>
      <c r="E4321" s="0" t="s">
        <v>61</v>
      </c>
      <c r="F4321" s="0" t="s">
        <v>62</v>
      </c>
      <c r="G4321" s="0" t="s">
        <v>154</v>
      </c>
      <c r="H4321" s="0" t="s">
        <v>155</v>
      </c>
      <c r="I4321" s="0" t="s">
        <v>41</v>
      </c>
      <c r="J4321" s="0" t="s">
        <v>42</v>
      </c>
      <c r="K4321" s="0" t="s">
        <v>30</v>
      </c>
      <c r="L4321" s="0" t="s">
        <v>31</v>
      </c>
      <c r="M4321" s="0" t="s">
        <v>140</v>
      </c>
      <c r="N4321" s="0" t="n">
        <v>1748</v>
      </c>
      <c r="O4321" s="10" t="n">
        <v>0.28227761038579</v>
      </c>
      <c r="P4321" s="10" t="n">
        <v>0.0268250561784953</v>
      </c>
      <c r="Q4321" s="0" t="str">
        <f aca="false">SUBSTITUTE(SUBSTITUTE($I4321,CHAR(61),""),CHAR(34),"")</f>
        <v>25-34</v>
      </c>
      <c r="R4321" s="0" t="str">
        <f aca="false">IF($D4321&lt;&gt;"","["&amp;$E4321&amp;"]"&amp;"|"&amp;$Q4321&amp;"|"&amp;$K4321&amp;"|"&amp;$G4321&amp;"|"&amp;IF($G4321="TX_CURR_SUBNAT.R","CY2022Q4",$M4321),"")</f>
        <v>[msW2zpIN7up]|25-34|Female|PMTCT_STAT_SUBNAT.D.T_1|CY2023Q3</v>
      </c>
    </row>
    <row r="4322" customFormat="false" ht="15" hidden="false" customHeight="false" outlineLevel="0" collapsed="false">
      <c r="D4322" s="0" t="s">
        <v>60</v>
      </c>
      <c r="E4322" s="0" t="s">
        <v>61</v>
      </c>
      <c r="F4322" s="0" t="s">
        <v>62</v>
      </c>
      <c r="G4322" s="0" t="s">
        <v>154</v>
      </c>
      <c r="H4322" s="0" t="s">
        <v>155</v>
      </c>
      <c r="I4322" s="0" t="s">
        <v>43</v>
      </c>
      <c r="J4322" s="0" t="s">
        <v>44</v>
      </c>
      <c r="K4322" s="0" t="s">
        <v>30</v>
      </c>
      <c r="L4322" s="0" t="s">
        <v>31</v>
      </c>
      <c r="M4322" s="0" t="s">
        <v>140</v>
      </c>
      <c r="N4322" s="0" t="n">
        <v>1692</v>
      </c>
      <c r="O4322" s="10" t="n">
        <v>0.295138265704736</v>
      </c>
      <c r="P4322" s="10" t="n">
        <v>0.0268250561784953</v>
      </c>
      <c r="Q4322" s="0" t="str">
        <f aca="false">SUBSTITUTE(SUBSTITUTE($I4322,CHAR(61),""),CHAR(34),"")</f>
        <v>35-49</v>
      </c>
      <c r="R4322" s="0" t="str">
        <f aca="false">IF($D4322&lt;&gt;"","["&amp;$E4322&amp;"]"&amp;"|"&amp;$Q4322&amp;"|"&amp;$K4322&amp;"|"&amp;$G4322&amp;"|"&amp;IF($G4322="TX_CURR_SUBNAT.R","CY2022Q4",$M4322),"")</f>
        <v>[msW2zpIN7up]|35-49|Female|PMTCT_STAT_SUBNAT.D.T_1|CY2023Q3</v>
      </c>
    </row>
    <row r="4323" customFormat="false" ht="15" hidden="false" customHeight="false" outlineLevel="0" collapsed="false">
      <c r="D4323" s="0" t="s">
        <v>63</v>
      </c>
      <c r="E4323" s="0" t="s">
        <v>64</v>
      </c>
      <c r="F4323" s="0" t="s">
        <v>65</v>
      </c>
      <c r="G4323" s="0" t="s">
        <v>154</v>
      </c>
      <c r="H4323" s="0" t="s">
        <v>155</v>
      </c>
      <c r="I4323" s="0" t="s">
        <v>38</v>
      </c>
      <c r="J4323" s="0" t="s">
        <v>39</v>
      </c>
      <c r="K4323" s="0" t="s">
        <v>30</v>
      </c>
      <c r="L4323" s="0" t="s">
        <v>31</v>
      </c>
      <c r="M4323" s="0" t="s">
        <v>140</v>
      </c>
      <c r="N4323" s="0" t="n">
        <v>775</v>
      </c>
      <c r="O4323" s="10" t="n">
        <v>0.488873893395066</v>
      </c>
      <c r="P4323" s="10" t="n">
        <v>0.790102193132043</v>
      </c>
      <c r="Q4323" s="0" t="str">
        <f aca="false">SUBSTITUTE(SUBSTITUTE($I4323,CHAR(61),""),CHAR(34),"")</f>
        <v>15-24</v>
      </c>
      <c r="R4323" s="0" t="str">
        <f aca="false">IF($D4323&lt;&gt;"","["&amp;$E4323&amp;"]"&amp;"|"&amp;$Q4323&amp;"|"&amp;$K4323&amp;"|"&amp;$G4323&amp;"|"&amp;IF($G4323="TX_CURR_SUBNAT.R","CY2022Q4",$M4323),"")</f>
        <v>[kxuuIFpOXyO]|15-24|Female|PMTCT_STAT_SUBNAT.D.T_1|CY2023Q3</v>
      </c>
    </row>
    <row r="4324" customFormat="false" ht="15" hidden="false" customHeight="false" outlineLevel="0" collapsed="false">
      <c r="D4324" s="0" t="s">
        <v>63</v>
      </c>
      <c r="E4324" s="0" t="s">
        <v>64</v>
      </c>
      <c r="F4324" s="0" t="s">
        <v>65</v>
      </c>
      <c r="G4324" s="0" t="s">
        <v>154</v>
      </c>
      <c r="H4324" s="0" t="s">
        <v>155</v>
      </c>
      <c r="I4324" s="0" t="s">
        <v>41</v>
      </c>
      <c r="J4324" s="0" t="s">
        <v>42</v>
      </c>
      <c r="K4324" s="0" t="s">
        <v>30</v>
      </c>
      <c r="L4324" s="0" t="s">
        <v>31</v>
      </c>
      <c r="M4324" s="0" t="s">
        <v>140</v>
      </c>
      <c r="N4324" s="0" t="n">
        <v>985</v>
      </c>
      <c r="O4324" s="10" t="n">
        <v>0.327628161525354</v>
      </c>
      <c r="P4324" s="10" t="n">
        <v>0.790102193132043</v>
      </c>
      <c r="Q4324" s="0" t="str">
        <f aca="false">SUBSTITUTE(SUBSTITUTE($I4324,CHAR(61),""),CHAR(34),"")</f>
        <v>25-34</v>
      </c>
      <c r="R4324" s="0" t="str">
        <f aca="false">IF($D4324&lt;&gt;"","["&amp;$E4324&amp;"]"&amp;"|"&amp;$Q4324&amp;"|"&amp;$K4324&amp;"|"&amp;$G4324&amp;"|"&amp;IF($G4324="TX_CURR_SUBNAT.R","CY2022Q4",$M4324),"")</f>
        <v>[kxuuIFpOXyO]|25-34|Female|PMTCT_STAT_SUBNAT.D.T_1|CY2023Q3</v>
      </c>
    </row>
    <row r="4325" customFormat="false" ht="15" hidden="false" customHeight="false" outlineLevel="0" collapsed="false">
      <c r="D4325" s="0" t="s">
        <v>63</v>
      </c>
      <c r="E4325" s="0" t="s">
        <v>64</v>
      </c>
      <c r="F4325" s="0" t="s">
        <v>65</v>
      </c>
      <c r="G4325" s="0" t="s">
        <v>154</v>
      </c>
      <c r="H4325" s="0" t="s">
        <v>155</v>
      </c>
      <c r="I4325" s="0" t="s">
        <v>43</v>
      </c>
      <c r="J4325" s="0" t="s">
        <v>44</v>
      </c>
      <c r="K4325" s="0" t="s">
        <v>30</v>
      </c>
      <c r="L4325" s="0" t="s">
        <v>31</v>
      </c>
      <c r="M4325" s="0" t="s">
        <v>140</v>
      </c>
      <c r="N4325" s="0" t="n">
        <v>1540</v>
      </c>
      <c r="O4325" s="10" t="n">
        <v>0.621454343665391</v>
      </c>
      <c r="P4325" s="10" t="n">
        <v>0.790102193132043</v>
      </c>
      <c r="Q4325" s="0" t="str">
        <f aca="false">SUBSTITUTE(SUBSTITUTE($I4325,CHAR(61),""),CHAR(34),"")</f>
        <v>35-49</v>
      </c>
      <c r="R4325" s="0" t="str">
        <f aca="false">IF($D4325&lt;&gt;"","["&amp;$E4325&amp;"]"&amp;"|"&amp;$Q4325&amp;"|"&amp;$K4325&amp;"|"&amp;$G4325&amp;"|"&amp;IF($G4325="TX_CURR_SUBNAT.R","CY2022Q4",$M4325),"")</f>
        <v>[kxuuIFpOXyO]|35-49|Female|PMTCT_STAT_SUBNAT.D.T_1|CY2023Q3</v>
      </c>
    </row>
    <row r="4326" customFormat="false" ht="15" hidden="false" customHeight="false" outlineLevel="0" collapsed="false">
      <c r="D4326" s="0" t="s">
        <v>66</v>
      </c>
      <c r="E4326" s="0" t="s">
        <v>67</v>
      </c>
      <c r="F4326" s="0" t="s">
        <v>68</v>
      </c>
      <c r="G4326" s="0" t="s">
        <v>154</v>
      </c>
      <c r="H4326" s="0" t="s">
        <v>155</v>
      </c>
      <c r="I4326" s="0" t="s">
        <v>38</v>
      </c>
      <c r="J4326" s="0" t="s">
        <v>39</v>
      </c>
      <c r="K4326" s="0" t="s">
        <v>30</v>
      </c>
      <c r="L4326" s="0" t="s">
        <v>31</v>
      </c>
      <c r="M4326" s="0" t="s">
        <v>140</v>
      </c>
      <c r="N4326" s="0" t="n">
        <v>555</v>
      </c>
      <c r="O4326" s="10" t="n">
        <v>0.106922894716263</v>
      </c>
      <c r="P4326" s="10" t="n">
        <v>0.164609884377569</v>
      </c>
      <c r="Q4326" s="0" t="str">
        <f aca="false">SUBSTITUTE(SUBSTITUTE($I4326,CHAR(61),""),CHAR(34),"")</f>
        <v>15-24</v>
      </c>
      <c r="R4326" s="0" t="str">
        <f aca="false">IF($D4326&lt;&gt;"","["&amp;$E4326&amp;"]"&amp;"|"&amp;$Q4326&amp;"|"&amp;$K4326&amp;"|"&amp;$G4326&amp;"|"&amp;IF($G4326="TX_CURR_SUBNAT.R","CY2022Q4",$M4326),"")</f>
        <v>[ScR9iFKAasW]|15-24|Female|PMTCT_STAT_SUBNAT.D.T_1|CY2023Q3</v>
      </c>
    </row>
    <row r="4327" customFormat="false" ht="15" hidden="false" customHeight="false" outlineLevel="0" collapsed="false">
      <c r="D4327" s="0" t="s">
        <v>66</v>
      </c>
      <c r="E4327" s="0" t="s">
        <v>67</v>
      </c>
      <c r="F4327" s="0" t="s">
        <v>68</v>
      </c>
      <c r="G4327" s="0" t="s">
        <v>154</v>
      </c>
      <c r="H4327" s="0" t="s">
        <v>155</v>
      </c>
      <c r="I4327" s="0" t="s">
        <v>41</v>
      </c>
      <c r="J4327" s="0" t="s">
        <v>42</v>
      </c>
      <c r="K4327" s="0" t="s">
        <v>30</v>
      </c>
      <c r="L4327" s="0" t="s">
        <v>31</v>
      </c>
      <c r="M4327" s="0" t="s">
        <v>140</v>
      </c>
      <c r="N4327" s="0" t="n">
        <v>1491</v>
      </c>
      <c r="O4327" s="10" t="n">
        <v>0.176649973029271</v>
      </c>
      <c r="P4327" s="10" t="n">
        <v>0.164609884377569</v>
      </c>
      <c r="Q4327" s="0" t="str">
        <f aca="false">SUBSTITUTE(SUBSTITUTE($I4327,CHAR(61),""),CHAR(34),"")</f>
        <v>25-34</v>
      </c>
      <c r="R4327" s="0" t="str">
        <f aca="false">IF($D4327&lt;&gt;"","["&amp;$E4327&amp;"]"&amp;"|"&amp;$Q4327&amp;"|"&amp;$K4327&amp;"|"&amp;$G4327&amp;"|"&amp;IF($G4327="TX_CURR_SUBNAT.R","CY2022Q4",$M4327),"")</f>
        <v>[ScR9iFKAasW]|25-34|Female|PMTCT_STAT_SUBNAT.D.T_1|CY2023Q3</v>
      </c>
    </row>
    <row r="4328" customFormat="false" ht="15" hidden="false" customHeight="false" outlineLevel="0" collapsed="false">
      <c r="D4328" s="0" t="s">
        <v>66</v>
      </c>
      <c r="E4328" s="0" t="s">
        <v>67</v>
      </c>
      <c r="F4328" s="0" t="s">
        <v>68</v>
      </c>
      <c r="G4328" s="0" t="s">
        <v>154</v>
      </c>
      <c r="H4328" s="0" t="s">
        <v>155</v>
      </c>
      <c r="I4328" s="0" t="s">
        <v>43</v>
      </c>
      <c r="J4328" s="0" t="s">
        <v>44</v>
      </c>
      <c r="K4328" s="0" t="s">
        <v>30</v>
      </c>
      <c r="L4328" s="0" t="s">
        <v>31</v>
      </c>
      <c r="M4328" s="0" t="s">
        <v>140</v>
      </c>
      <c r="N4328" s="0" t="n">
        <v>1313</v>
      </c>
      <c r="O4328" s="10" t="n">
        <v>0.418258453719318</v>
      </c>
      <c r="P4328" s="10" t="n">
        <v>0.164609884377569</v>
      </c>
      <c r="Q4328" s="0" t="str">
        <f aca="false">SUBSTITUTE(SUBSTITUTE($I4328,CHAR(61),""),CHAR(34),"")</f>
        <v>35-49</v>
      </c>
      <c r="R4328" s="0" t="str">
        <f aca="false">IF($D4328&lt;&gt;"","["&amp;$E4328&amp;"]"&amp;"|"&amp;$Q4328&amp;"|"&amp;$K4328&amp;"|"&amp;$G4328&amp;"|"&amp;IF($G4328="TX_CURR_SUBNAT.R","CY2022Q4",$M4328),"")</f>
        <v>[ScR9iFKAasW]|35-49|Female|PMTCT_STAT_SUBNAT.D.T_1|CY2023Q3</v>
      </c>
    </row>
    <row r="4329" customFormat="false" ht="15" hidden="false" customHeight="false" outlineLevel="0" collapsed="false">
      <c r="D4329" s="0" t="s">
        <v>69</v>
      </c>
      <c r="E4329" s="0" t="s">
        <v>70</v>
      </c>
      <c r="F4329" s="0" t="s">
        <v>71</v>
      </c>
      <c r="G4329" s="0" t="s">
        <v>154</v>
      </c>
      <c r="H4329" s="0" t="s">
        <v>155</v>
      </c>
      <c r="I4329" s="0" t="s">
        <v>38</v>
      </c>
      <c r="J4329" s="0" t="s">
        <v>39</v>
      </c>
      <c r="K4329" s="0" t="s">
        <v>30</v>
      </c>
      <c r="L4329" s="0" t="s">
        <v>31</v>
      </c>
      <c r="M4329" s="0" t="s">
        <v>140</v>
      </c>
      <c r="N4329" s="0" t="n">
        <v>814</v>
      </c>
      <c r="O4329" s="10" t="n">
        <v>0.333472804864869</v>
      </c>
      <c r="P4329" s="10" t="n">
        <v>0.198817263124511</v>
      </c>
      <c r="Q4329" s="0" t="str">
        <f aca="false">SUBSTITUTE(SUBSTITUTE($I4329,CHAR(61),""),CHAR(34),"")</f>
        <v>15-24</v>
      </c>
      <c r="R4329" s="0" t="str">
        <f aca="false">IF($D4329&lt;&gt;"","["&amp;$E4329&amp;"]"&amp;"|"&amp;$Q4329&amp;"|"&amp;$K4329&amp;"|"&amp;$G4329&amp;"|"&amp;IF($G4329="TX_CURR_SUBNAT.R","CY2022Q4",$M4329),"")</f>
        <v>[PekKUkKHAzY]|15-24|Female|PMTCT_STAT_SUBNAT.D.T_1|CY2023Q3</v>
      </c>
    </row>
    <row r="4330" customFormat="false" ht="15" hidden="false" customHeight="false" outlineLevel="0" collapsed="false">
      <c r="D4330" s="0" t="s">
        <v>69</v>
      </c>
      <c r="E4330" s="0" t="s">
        <v>70</v>
      </c>
      <c r="F4330" s="0" t="s">
        <v>71</v>
      </c>
      <c r="G4330" s="0" t="s">
        <v>154</v>
      </c>
      <c r="H4330" s="0" t="s">
        <v>155</v>
      </c>
      <c r="I4330" s="0" t="s">
        <v>41</v>
      </c>
      <c r="J4330" s="0" t="s">
        <v>42</v>
      </c>
      <c r="K4330" s="0" t="s">
        <v>30</v>
      </c>
      <c r="L4330" s="0" t="s">
        <v>31</v>
      </c>
      <c r="M4330" s="0" t="s">
        <v>140</v>
      </c>
      <c r="N4330" s="0" t="n">
        <v>1775</v>
      </c>
      <c r="O4330" s="10" t="n">
        <v>0.413497973233461</v>
      </c>
      <c r="P4330" s="10" t="n">
        <v>0.198817263124511</v>
      </c>
      <c r="Q4330" s="0" t="str">
        <f aca="false">SUBSTITUTE(SUBSTITUTE($I4330,CHAR(61),""),CHAR(34),"")</f>
        <v>25-34</v>
      </c>
      <c r="R4330" s="0" t="str">
        <f aca="false">IF($D4330&lt;&gt;"","["&amp;$E4330&amp;"]"&amp;"|"&amp;$Q4330&amp;"|"&amp;$K4330&amp;"|"&amp;$G4330&amp;"|"&amp;IF($G4330="TX_CURR_SUBNAT.R","CY2022Q4",$M4330),"")</f>
        <v>[PekKUkKHAzY]|25-34|Female|PMTCT_STAT_SUBNAT.D.T_1|CY2023Q3</v>
      </c>
    </row>
    <row r="4331" customFormat="false" ht="15" hidden="false" customHeight="false" outlineLevel="0" collapsed="false">
      <c r="D4331" s="0" t="s">
        <v>69</v>
      </c>
      <c r="E4331" s="0" t="s">
        <v>70</v>
      </c>
      <c r="F4331" s="0" t="s">
        <v>71</v>
      </c>
      <c r="G4331" s="0" t="s">
        <v>154</v>
      </c>
      <c r="H4331" s="0" t="s">
        <v>155</v>
      </c>
      <c r="I4331" s="0" t="s">
        <v>43</v>
      </c>
      <c r="J4331" s="0" t="s">
        <v>44</v>
      </c>
      <c r="K4331" s="0" t="s">
        <v>30</v>
      </c>
      <c r="L4331" s="0" t="s">
        <v>31</v>
      </c>
      <c r="M4331" s="0" t="s">
        <v>140</v>
      </c>
      <c r="N4331" s="0" t="n">
        <v>1230</v>
      </c>
      <c r="O4331" s="10" t="n">
        <v>0.682259909342974</v>
      </c>
      <c r="P4331" s="10" t="n">
        <v>0.198817263124511</v>
      </c>
      <c r="Q4331" s="0" t="str">
        <f aca="false">SUBSTITUTE(SUBSTITUTE($I4331,CHAR(61),""),CHAR(34),"")</f>
        <v>35-49</v>
      </c>
      <c r="R4331" s="0" t="str">
        <f aca="false">IF($D4331&lt;&gt;"","["&amp;$E4331&amp;"]"&amp;"|"&amp;$Q4331&amp;"|"&amp;$K4331&amp;"|"&amp;$G4331&amp;"|"&amp;IF($G4331="TX_CURR_SUBNAT.R","CY2022Q4",$M4331),"")</f>
        <v>[PekKUkKHAzY]|35-49|Female|PMTCT_STAT_SUBNAT.D.T_1|CY2023Q3</v>
      </c>
    </row>
    <row r="4332" customFormat="false" ht="15" hidden="false" customHeight="false" outlineLevel="0" collapsed="false">
      <c r="D4332" s="0" t="s">
        <v>72</v>
      </c>
      <c r="E4332" s="0" t="s">
        <v>73</v>
      </c>
      <c r="F4332" s="0" t="s">
        <v>74</v>
      </c>
      <c r="G4332" s="0" t="s">
        <v>154</v>
      </c>
      <c r="H4332" s="0" t="s">
        <v>155</v>
      </c>
      <c r="I4332" s="0" t="s">
        <v>38</v>
      </c>
      <c r="J4332" s="0" t="s">
        <v>39</v>
      </c>
      <c r="K4332" s="0" t="s">
        <v>30</v>
      </c>
      <c r="L4332" s="0" t="s">
        <v>31</v>
      </c>
      <c r="M4332" s="0" t="s">
        <v>140</v>
      </c>
      <c r="N4332" s="0" t="n">
        <v>563</v>
      </c>
      <c r="O4332" s="10" t="n">
        <v>0.167729100910947</v>
      </c>
      <c r="P4332" s="10" t="n">
        <v>0.289728706935421</v>
      </c>
      <c r="Q4332" s="0" t="str">
        <f aca="false">SUBSTITUTE(SUBSTITUTE($I4332,CHAR(61),""),CHAR(34),"")</f>
        <v>15-24</v>
      </c>
      <c r="R4332" s="0" t="str">
        <f aca="false">IF($D4332&lt;&gt;"","["&amp;$E4332&amp;"]"&amp;"|"&amp;$Q4332&amp;"|"&amp;$K4332&amp;"|"&amp;$G4332&amp;"|"&amp;IF($G4332="TX_CURR_SUBNAT.R","CY2022Q4",$M4332),"")</f>
        <v>[am530wpaGvr]|15-24|Female|PMTCT_STAT_SUBNAT.D.T_1|CY2023Q3</v>
      </c>
    </row>
    <row r="4333" customFormat="false" ht="15" hidden="false" customHeight="false" outlineLevel="0" collapsed="false">
      <c r="D4333" s="0" t="s">
        <v>72</v>
      </c>
      <c r="E4333" s="0" t="s">
        <v>73</v>
      </c>
      <c r="F4333" s="0" t="s">
        <v>74</v>
      </c>
      <c r="G4333" s="0" t="s">
        <v>154</v>
      </c>
      <c r="H4333" s="0" t="s">
        <v>155</v>
      </c>
      <c r="I4333" s="0" t="s">
        <v>41</v>
      </c>
      <c r="J4333" s="0" t="s">
        <v>42</v>
      </c>
      <c r="K4333" s="0" t="s">
        <v>30</v>
      </c>
      <c r="L4333" s="0" t="s">
        <v>31</v>
      </c>
      <c r="M4333" s="0" t="s">
        <v>140</v>
      </c>
      <c r="N4333" s="0" t="n">
        <v>592</v>
      </c>
      <c r="O4333" s="10" t="n">
        <v>0.522130806231871</v>
      </c>
      <c r="P4333" s="10" t="n">
        <v>0.289728706935421</v>
      </c>
      <c r="Q4333" s="0" t="str">
        <f aca="false">SUBSTITUTE(SUBSTITUTE($I4333,CHAR(61),""),CHAR(34),"")</f>
        <v>25-34</v>
      </c>
      <c r="R4333" s="0" t="str">
        <f aca="false">IF($D4333&lt;&gt;"","["&amp;$E4333&amp;"]"&amp;"|"&amp;$Q4333&amp;"|"&amp;$K4333&amp;"|"&amp;$G4333&amp;"|"&amp;IF($G4333="TX_CURR_SUBNAT.R","CY2022Q4",$M4333),"")</f>
        <v>[am530wpaGvr]|25-34|Female|PMTCT_STAT_SUBNAT.D.T_1|CY2023Q3</v>
      </c>
    </row>
    <row r="4334" customFormat="false" ht="15" hidden="false" customHeight="false" outlineLevel="0" collapsed="false">
      <c r="D4334" s="0" t="s">
        <v>72</v>
      </c>
      <c r="E4334" s="0" t="s">
        <v>73</v>
      </c>
      <c r="F4334" s="0" t="s">
        <v>74</v>
      </c>
      <c r="G4334" s="0" t="s">
        <v>154</v>
      </c>
      <c r="H4334" s="0" t="s">
        <v>155</v>
      </c>
      <c r="I4334" s="0" t="s">
        <v>43</v>
      </c>
      <c r="J4334" s="0" t="s">
        <v>44</v>
      </c>
      <c r="K4334" s="0" t="s">
        <v>30</v>
      </c>
      <c r="L4334" s="0" t="s">
        <v>31</v>
      </c>
      <c r="M4334" s="0" t="s">
        <v>140</v>
      </c>
      <c r="N4334" s="0" t="n">
        <v>1128</v>
      </c>
      <c r="O4334" s="10" t="n">
        <v>0.849638577084988</v>
      </c>
      <c r="P4334" s="10" t="n">
        <v>0.289728706935421</v>
      </c>
      <c r="Q4334" s="0" t="str">
        <f aca="false">SUBSTITUTE(SUBSTITUTE($I4334,CHAR(61),""),CHAR(34),"")</f>
        <v>35-49</v>
      </c>
      <c r="R4334" s="0" t="str">
        <f aca="false">IF($D4334&lt;&gt;"","["&amp;$E4334&amp;"]"&amp;"|"&amp;$Q4334&amp;"|"&amp;$K4334&amp;"|"&amp;$G4334&amp;"|"&amp;IF($G4334="TX_CURR_SUBNAT.R","CY2022Q4",$M4334),"")</f>
        <v>[am530wpaGvr]|35-49|Female|PMTCT_STAT_SUBNAT.D.T_1|CY2023Q3</v>
      </c>
    </row>
    <row r="4335" customFormat="false" ht="15" hidden="false" customHeight="false" outlineLevel="0" collapsed="false">
      <c r="D4335" s="0" t="s">
        <v>75</v>
      </c>
      <c r="E4335" s="0" t="s">
        <v>76</v>
      </c>
      <c r="F4335" s="0" t="s">
        <v>77</v>
      </c>
      <c r="G4335" s="0" t="s">
        <v>154</v>
      </c>
      <c r="H4335" s="0" t="s">
        <v>155</v>
      </c>
      <c r="I4335" s="0" t="s">
        <v>38</v>
      </c>
      <c r="J4335" s="0" t="s">
        <v>39</v>
      </c>
      <c r="K4335" s="0" t="s">
        <v>30</v>
      </c>
      <c r="L4335" s="0" t="s">
        <v>31</v>
      </c>
      <c r="M4335" s="0" t="s">
        <v>140</v>
      </c>
      <c r="N4335" s="0" t="n">
        <v>1129</v>
      </c>
      <c r="O4335" s="10" t="n">
        <v>0.475222271401435</v>
      </c>
      <c r="P4335" s="10" t="n">
        <v>0.303055507596582</v>
      </c>
      <c r="Q4335" s="0" t="str">
        <f aca="false">SUBSTITUTE(SUBSTITUTE($I4335,CHAR(61),""),CHAR(34),"")</f>
        <v>15-24</v>
      </c>
      <c r="R4335" s="0" t="str">
        <f aca="false">IF($D4335&lt;&gt;"","["&amp;$E4335&amp;"]"&amp;"|"&amp;$Q4335&amp;"|"&amp;$K4335&amp;"|"&amp;$G4335&amp;"|"&amp;IF($G4335="TX_CURR_SUBNAT.R","CY2022Q4",$M4335),"")</f>
        <v>[lLDyBx5XyUi]|15-24|Female|PMTCT_STAT_SUBNAT.D.T_1|CY2023Q3</v>
      </c>
    </row>
    <row r="4336" customFormat="false" ht="15" hidden="false" customHeight="false" outlineLevel="0" collapsed="false">
      <c r="D4336" s="0" t="s">
        <v>75</v>
      </c>
      <c r="E4336" s="0" t="s">
        <v>76</v>
      </c>
      <c r="F4336" s="0" t="s">
        <v>77</v>
      </c>
      <c r="G4336" s="0" t="s">
        <v>154</v>
      </c>
      <c r="H4336" s="0" t="s">
        <v>155</v>
      </c>
      <c r="I4336" s="0" t="s">
        <v>41</v>
      </c>
      <c r="J4336" s="0" t="s">
        <v>42</v>
      </c>
      <c r="K4336" s="0" t="s">
        <v>30</v>
      </c>
      <c r="L4336" s="0" t="s">
        <v>31</v>
      </c>
      <c r="M4336" s="0" t="s">
        <v>140</v>
      </c>
      <c r="N4336" s="0" t="n">
        <v>984</v>
      </c>
      <c r="O4336" s="10" t="n">
        <v>0.267319867853075</v>
      </c>
      <c r="P4336" s="10" t="n">
        <v>0.303055507596582</v>
      </c>
      <c r="Q4336" s="0" t="str">
        <f aca="false">SUBSTITUTE(SUBSTITUTE($I4336,CHAR(61),""),CHAR(34),"")</f>
        <v>25-34</v>
      </c>
      <c r="R4336" s="0" t="str">
        <f aca="false">IF($D4336&lt;&gt;"","["&amp;$E4336&amp;"]"&amp;"|"&amp;$Q4336&amp;"|"&amp;$K4336&amp;"|"&amp;$G4336&amp;"|"&amp;IF($G4336="TX_CURR_SUBNAT.R","CY2022Q4",$M4336),"")</f>
        <v>[lLDyBx5XyUi]|25-34|Female|PMTCT_STAT_SUBNAT.D.T_1|CY2023Q3</v>
      </c>
    </row>
    <row r="4337" customFormat="false" ht="15" hidden="false" customHeight="false" outlineLevel="0" collapsed="false">
      <c r="D4337" s="0" t="s">
        <v>75</v>
      </c>
      <c r="E4337" s="0" t="s">
        <v>76</v>
      </c>
      <c r="F4337" s="0" t="s">
        <v>77</v>
      </c>
      <c r="G4337" s="0" t="s">
        <v>154</v>
      </c>
      <c r="H4337" s="0" t="s">
        <v>155</v>
      </c>
      <c r="I4337" s="0" t="s">
        <v>43</v>
      </c>
      <c r="J4337" s="0" t="s">
        <v>44</v>
      </c>
      <c r="K4337" s="0" t="s">
        <v>30</v>
      </c>
      <c r="L4337" s="0" t="s">
        <v>31</v>
      </c>
      <c r="M4337" s="0" t="s">
        <v>140</v>
      </c>
      <c r="N4337" s="0" t="n">
        <v>593</v>
      </c>
      <c r="O4337" s="10" t="n">
        <v>0.0295190585311502</v>
      </c>
      <c r="P4337" s="10" t="n">
        <v>0.303055507596582</v>
      </c>
      <c r="Q4337" s="0" t="str">
        <f aca="false">SUBSTITUTE(SUBSTITUTE($I4337,CHAR(61),""),CHAR(34),"")</f>
        <v>35-49</v>
      </c>
      <c r="R4337" s="0" t="str">
        <f aca="false">IF($D4337&lt;&gt;"","["&amp;$E4337&amp;"]"&amp;"|"&amp;$Q4337&amp;"|"&amp;$K4337&amp;"|"&amp;$G4337&amp;"|"&amp;IF($G4337="TX_CURR_SUBNAT.R","CY2022Q4",$M4337),"")</f>
        <v>[lLDyBx5XyUi]|35-49|Female|PMTCT_STAT_SUBNAT.D.T_1|CY2023Q3</v>
      </c>
    </row>
    <row r="4338" customFormat="false" ht="15" hidden="false" customHeight="false" outlineLevel="0" collapsed="false">
      <c r="D4338" s="0" t="s">
        <v>78</v>
      </c>
      <c r="E4338" s="0" t="s">
        <v>79</v>
      </c>
      <c r="F4338" s="0" t="s">
        <v>80</v>
      </c>
      <c r="G4338" s="0" t="s">
        <v>154</v>
      </c>
      <c r="H4338" s="0" t="s">
        <v>155</v>
      </c>
      <c r="I4338" s="0" t="s">
        <v>38</v>
      </c>
      <c r="J4338" s="0" t="s">
        <v>39</v>
      </c>
      <c r="K4338" s="0" t="s">
        <v>30</v>
      </c>
      <c r="L4338" s="0" t="s">
        <v>31</v>
      </c>
      <c r="M4338" s="0" t="s">
        <v>140</v>
      </c>
      <c r="N4338" s="0" t="n">
        <v>1991</v>
      </c>
      <c r="O4338" s="10" t="n">
        <v>0.0777348470874131</v>
      </c>
      <c r="P4338" s="10" t="n">
        <v>0.831597982207313</v>
      </c>
      <c r="Q4338" s="0" t="str">
        <f aca="false">SUBSTITUTE(SUBSTITUTE($I4338,CHAR(61),""),CHAR(34),"")</f>
        <v>15-24</v>
      </c>
      <c r="R4338" s="0" t="str">
        <f aca="false">IF($D4338&lt;&gt;"","["&amp;$E4338&amp;"]"&amp;"|"&amp;$Q4338&amp;"|"&amp;$K4338&amp;"|"&amp;$G4338&amp;"|"&amp;IF($G4338="TX_CURR_SUBNAT.R","CY2022Q4",$M4338),"")</f>
        <v>[TYnMSwzko3z]|15-24|Female|PMTCT_STAT_SUBNAT.D.T_1|CY2023Q3</v>
      </c>
    </row>
    <row r="4339" customFormat="false" ht="15" hidden="false" customHeight="false" outlineLevel="0" collapsed="false">
      <c r="D4339" s="0" t="s">
        <v>78</v>
      </c>
      <c r="E4339" s="0" t="s">
        <v>79</v>
      </c>
      <c r="F4339" s="0" t="s">
        <v>80</v>
      </c>
      <c r="G4339" s="0" t="s">
        <v>154</v>
      </c>
      <c r="H4339" s="0" t="s">
        <v>155</v>
      </c>
      <c r="I4339" s="0" t="s">
        <v>41</v>
      </c>
      <c r="J4339" s="0" t="s">
        <v>42</v>
      </c>
      <c r="K4339" s="0" t="s">
        <v>30</v>
      </c>
      <c r="L4339" s="0" t="s">
        <v>31</v>
      </c>
      <c r="M4339" s="0" t="s">
        <v>140</v>
      </c>
      <c r="N4339" s="0" t="n">
        <v>851</v>
      </c>
      <c r="O4339" s="10" t="n">
        <v>0.360373195260763</v>
      </c>
      <c r="P4339" s="10" t="n">
        <v>0.831597982207313</v>
      </c>
      <c r="Q4339" s="0" t="str">
        <f aca="false">SUBSTITUTE(SUBSTITUTE($I4339,CHAR(61),""),CHAR(34),"")</f>
        <v>25-34</v>
      </c>
      <c r="R4339" s="0" t="str">
        <f aca="false">IF($D4339&lt;&gt;"","["&amp;$E4339&amp;"]"&amp;"|"&amp;$Q4339&amp;"|"&amp;$K4339&amp;"|"&amp;$G4339&amp;"|"&amp;IF($G4339="TX_CURR_SUBNAT.R","CY2022Q4",$M4339),"")</f>
        <v>[TYnMSwzko3z]|25-34|Female|PMTCT_STAT_SUBNAT.D.T_1|CY2023Q3</v>
      </c>
    </row>
    <row r="4340" customFormat="false" ht="15" hidden="false" customHeight="false" outlineLevel="0" collapsed="false">
      <c r="D4340" s="0" t="s">
        <v>78</v>
      </c>
      <c r="E4340" s="0" t="s">
        <v>79</v>
      </c>
      <c r="F4340" s="0" t="s">
        <v>80</v>
      </c>
      <c r="G4340" s="0" t="s">
        <v>154</v>
      </c>
      <c r="H4340" s="0" t="s">
        <v>155</v>
      </c>
      <c r="I4340" s="0" t="s">
        <v>43</v>
      </c>
      <c r="J4340" s="0" t="s">
        <v>44</v>
      </c>
      <c r="K4340" s="0" t="s">
        <v>30</v>
      </c>
      <c r="L4340" s="0" t="s">
        <v>31</v>
      </c>
      <c r="M4340" s="0" t="s">
        <v>140</v>
      </c>
      <c r="N4340" s="0" t="n">
        <v>1447</v>
      </c>
      <c r="O4340" s="10" t="n">
        <v>0.506647522095591</v>
      </c>
      <c r="P4340" s="10" t="n">
        <v>0.831597982207313</v>
      </c>
      <c r="Q4340" s="0" t="str">
        <f aca="false">SUBSTITUTE(SUBSTITUTE($I4340,CHAR(61),""),CHAR(34),"")</f>
        <v>35-49</v>
      </c>
      <c r="R4340" s="0" t="str">
        <f aca="false">IF($D4340&lt;&gt;"","["&amp;$E4340&amp;"]"&amp;"|"&amp;$Q4340&amp;"|"&amp;$K4340&amp;"|"&amp;$G4340&amp;"|"&amp;IF($G4340="TX_CURR_SUBNAT.R","CY2022Q4",$M4340),"")</f>
        <v>[TYnMSwzko3z]|35-49|Female|PMTCT_STAT_SUBNAT.D.T_1|CY2023Q3</v>
      </c>
    </row>
    <row r="4341" customFormat="false" ht="15" hidden="false" customHeight="false" outlineLevel="0" collapsed="false">
      <c r="D4341" s="0" t="s">
        <v>81</v>
      </c>
      <c r="E4341" s="0" t="s">
        <v>82</v>
      </c>
      <c r="F4341" s="0" t="s">
        <v>83</v>
      </c>
      <c r="G4341" s="0" t="s">
        <v>154</v>
      </c>
      <c r="H4341" s="0" t="s">
        <v>155</v>
      </c>
      <c r="I4341" s="0" t="s">
        <v>38</v>
      </c>
      <c r="J4341" s="0" t="s">
        <v>39</v>
      </c>
      <c r="K4341" s="0" t="s">
        <v>30</v>
      </c>
      <c r="L4341" s="0" t="s">
        <v>31</v>
      </c>
      <c r="M4341" s="0" t="s">
        <v>140</v>
      </c>
      <c r="N4341" s="0" t="n">
        <v>812</v>
      </c>
      <c r="O4341" s="10" t="n">
        <v>0.259602110367268</v>
      </c>
      <c r="P4341" s="10" t="n">
        <v>0.143331421539187</v>
      </c>
      <c r="Q4341" s="0" t="str">
        <f aca="false">SUBSTITUTE(SUBSTITUTE($I4341,CHAR(61),""),CHAR(34),"")</f>
        <v>15-24</v>
      </c>
      <c r="R4341" s="0" t="str">
        <f aca="false">IF($D4341&lt;&gt;"","["&amp;$E4341&amp;"]"&amp;"|"&amp;$Q4341&amp;"|"&amp;$K4341&amp;"|"&amp;$G4341&amp;"|"&amp;IF($G4341="TX_CURR_SUBNAT.R","CY2022Q4",$M4341),"")</f>
        <v>[ir8wuHHzoSs]|15-24|Female|PMTCT_STAT_SUBNAT.D.T_1|CY2023Q3</v>
      </c>
    </row>
    <row r="4342" customFormat="false" ht="15" hidden="false" customHeight="false" outlineLevel="0" collapsed="false">
      <c r="D4342" s="0" t="s">
        <v>81</v>
      </c>
      <c r="E4342" s="0" t="s">
        <v>82</v>
      </c>
      <c r="F4342" s="0" t="s">
        <v>83</v>
      </c>
      <c r="G4342" s="0" t="s">
        <v>154</v>
      </c>
      <c r="H4342" s="0" t="s">
        <v>155</v>
      </c>
      <c r="I4342" s="0" t="s">
        <v>41</v>
      </c>
      <c r="J4342" s="0" t="s">
        <v>42</v>
      </c>
      <c r="K4342" s="0" t="s">
        <v>30</v>
      </c>
      <c r="L4342" s="0" t="s">
        <v>31</v>
      </c>
      <c r="M4342" s="0" t="s">
        <v>140</v>
      </c>
      <c r="N4342" s="0" t="n">
        <v>1180</v>
      </c>
      <c r="O4342" s="10" t="n">
        <v>0.138870227150619</v>
      </c>
      <c r="P4342" s="10" t="n">
        <v>0.143331421539187</v>
      </c>
      <c r="Q4342" s="0" t="str">
        <f aca="false">SUBSTITUTE(SUBSTITUTE($I4342,CHAR(61),""),CHAR(34),"")</f>
        <v>25-34</v>
      </c>
      <c r="R4342" s="0" t="str">
        <f aca="false">IF($D4342&lt;&gt;"","["&amp;$E4342&amp;"]"&amp;"|"&amp;$Q4342&amp;"|"&amp;$K4342&amp;"|"&amp;$G4342&amp;"|"&amp;IF($G4342="TX_CURR_SUBNAT.R","CY2022Q4",$M4342),"")</f>
        <v>[ir8wuHHzoSs]|25-34|Female|PMTCT_STAT_SUBNAT.D.T_1|CY2023Q3</v>
      </c>
    </row>
    <row r="4343" customFormat="false" ht="15" hidden="false" customHeight="false" outlineLevel="0" collapsed="false">
      <c r="D4343" s="0" t="s">
        <v>81</v>
      </c>
      <c r="E4343" s="0" t="s">
        <v>82</v>
      </c>
      <c r="F4343" s="0" t="s">
        <v>83</v>
      </c>
      <c r="G4343" s="0" t="s">
        <v>154</v>
      </c>
      <c r="H4343" s="0" t="s">
        <v>155</v>
      </c>
      <c r="I4343" s="0" t="s">
        <v>43</v>
      </c>
      <c r="J4343" s="0" t="s">
        <v>44</v>
      </c>
      <c r="K4343" s="0" t="s">
        <v>30</v>
      </c>
      <c r="L4343" s="0" t="s">
        <v>31</v>
      </c>
      <c r="M4343" s="0" t="s">
        <v>140</v>
      </c>
      <c r="N4343" s="0" t="n">
        <v>1479</v>
      </c>
      <c r="O4343" s="10" t="n">
        <v>0.459511856082827</v>
      </c>
      <c r="P4343" s="10" t="n">
        <v>0.143331421539187</v>
      </c>
      <c r="Q4343" s="0" t="str">
        <f aca="false">SUBSTITUTE(SUBSTITUTE($I4343,CHAR(61),""),CHAR(34),"")</f>
        <v>35-49</v>
      </c>
      <c r="R4343" s="0" t="str">
        <f aca="false">IF($D4343&lt;&gt;"","["&amp;$E4343&amp;"]"&amp;"|"&amp;$Q4343&amp;"|"&amp;$K4343&amp;"|"&amp;$G4343&amp;"|"&amp;IF($G4343="TX_CURR_SUBNAT.R","CY2022Q4",$M4343),"")</f>
        <v>[ir8wuHHzoSs]|35-49|Female|PMTCT_STAT_SUBNAT.D.T_1|CY2023Q3</v>
      </c>
    </row>
    <row r="4344" customFormat="false" ht="15" hidden="false" customHeight="false" outlineLevel="0" collapsed="false">
      <c r="D4344" s="0" t="s">
        <v>84</v>
      </c>
      <c r="E4344" s="0" t="s">
        <v>85</v>
      </c>
      <c r="F4344" s="0" t="s">
        <v>86</v>
      </c>
      <c r="G4344" s="0" t="s">
        <v>154</v>
      </c>
      <c r="H4344" s="0" t="s">
        <v>155</v>
      </c>
      <c r="I4344" s="0" t="s">
        <v>38</v>
      </c>
      <c r="J4344" s="0" t="s">
        <v>39</v>
      </c>
      <c r="K4344" s="0" t="s">
        <v>30</v>
      </c>
      <c r="L4344" s="0" t="s">
        <v>31</v>
      </c>
      <c r="M4344" s="0" t="s">
        <v>140</v>
      </c>
      <c r="N4344" s="0" t="n">
        <v>1476</v>
      </c>
      <c r="O4344" s="10" t="n">
        <v>0.164851163513958</v>
      </c>
      <c r="P4344" s="10" t="n">
        <v>0.0297887143678963</v>
      </c>
      <c r="Q4344" s="0" t="str">
        <f aca="false">SUBSTITUTE(SUBSTITUTE($I4344,CHAR(61),""),CHAR(34),"")</f>
        <v>15-24</v>
      </c>
      <c r="R4344" s="0" t="str">
        <f aca="false">IF($D4344&lt;&gt;"","["&amp;$E4344&amp;"]"&amp;"|"&amp;$Q4344&amp;"|"&amp;$K4344&amp;"|"&amp;$G4344&amp;"|"&amp;IF($G4344="TX_CURR_SUBNAT.R","CY2022Q4",$M4344),"")</f>
        <v>[fyEoGEPERdI]|15-24|Female|PMTCT_STAT_SUBNAT.D.T_1|CY2023Q3</v>
      </c>
    </row>
    <row r="4345" customFormat="false" ht="15" hidden="false" customHeight="false" outlineLevel="0" collapsed="false">
      <c r="D4345" s="0" t="s">
        <v>84</v>
      </c>
      <c r="E4345" s="0" t="s">
        <v>85</v>
      </c>
      <c r="F4345" s="0" t="s">
        <v>86</v>
      </c>
      <c r="G4345" s="0" t="s">
        <v>154</v>
      </c>
      <c r="H4345" s="0" t="s">
        <v>155</v>
      </c>
      <c r="I4345" s="0" t="s">
        <v>41</v>
      </c>
      <c r="J4345" s="0" t="s">
        <v>42</v>
      </c>
      <c r="K4345" s="0" t="s">
        <v>30</v>
      </c>
      <c r="L4345" s="0" t="s">
        <v>31</v>
      </c>
      <c r="M4345" s="0" t="s">
        <v>140</v>
      </c>
      <c r="N4345" s="0" t="n">
        <v>741</v>
      </c>
      <c r="O4345" s="10" t="n">
        <v>0.486395025625825</v>
      </c>
      <c r="P4345" s="10" t="n">
        <v>0.0297887143678963</v>
      </c>
      <c r="Q4345" s="0" t="str">
        <f aca="false">SUBSTITUTE(SUBSTITUTE($I4345,CHAR(61),""),CHAR(34),"")</f>
        <v>25-34</v>
      </c>
      <c r="R4345" s="0" t="str">
        <f aca="false">IF($D4345&lt;&gt;"","["&amp;$E4345&amp;"]"&amp;"|"&amp;$Q4345&amp;"|"&amp;$K4345&amp;"|"&amp;$G4345&amp;"|"&amp;IF($G4345="TX_CURR_SUBNAT.R","CY2022Q4",$M4345),"")</f>
        <v>[fyEoGEPERdI]|25-34|Female|PMTCT_STAT_SUBNAT.D.T_1|CY2023Q3</v>
      </c>
    </row>
    <row r="4346" customFormat="false" ht="15" hidden="false" customHeight="false" outlineLevel="0" collapsed="false">
      <c r="D4346" s="0" t="s">
        <v>84</v>
      </c>
      <c r="E4346" s="0" t="s">
        <v>85</v>
      </c>
      <c r="F4346" s="0" t="s">
        <v>86</v>
      </c>
      <c r="G4346" s="0" t="s">
        <v>154</v>
      </c>
      <c r="H4346" s="0" t="s">
        <v>155</v>
      </c>
      <c r="I4346" s="0" t="s">
        <v>43</v>
      </c>
      <c r="J4346" s="0" t="s">
        <v>44</v>
      </c>
      <c r="K4346" s="0" t="s">
        <v>30</v>
      </c>
      <c r="L4346" s="0" t="s">
        <v>31</v>
      </c>
      <c r="M4346" s="0" t="s">
        <v>140</v>
      </c>
      <c r="N4346" s="0" t="n">
        <v>983</v>
      </c>
      <c r="O4346" s="10" t="n">
        <v>0.0701021095737815</v>
      </c>
      <c r="P4346" s="10" t="n">
        <v>0.0297887143678963</v>
      </c>
      <c r="Q4346" s="0" t="str">
        <f aca="false">SUBSTITUTE(SUBSTITUTE($I4346,CHAR(61),""),CHAR(34),"")</f>
        <v>35-49</v>
      </c>
      <c r="R4346" s="0" t="str">
        <f aca="false">IF($D4346&lt;&gt;"","["&amp;$E4346&amp;"]"&amp;"|"&amp;$Q4346&amp;"|"&amp;$K4346&amp;"|"&amp;$G4346&amp;"|"&amp;IF($G4346="TX_CURR_SUBNAT.R","CY2022Q4",$M4346),"")</f>
        <v>[fyEoGEPERdI]|35-49|Female|PMTCT_STAT_SUBNAT.D.T_1|CY2023Q3</v>
      </c>
    </row>
    <row r="4347" customFormat="false" ht="15" hidden="false" customHeight="false" outlineLevel="0" collapsed="false">
      <c r="D4347" s="0" t="s">
        <v>87</v>
      </c>
      <c r="E4347" s="0" t="s">
        <v>88</v>
      </c>
      <c r="F4347" s="0" t="s">
        <v>89</v>
      </c>
      <c r="G4347" s="0" t="s">
        <v>154</v>
      </c>
      <c r="H4347" s="0" t="s">
        <v>155</v>
      </c>
      <c r="I4347" s="0" t="s">
        <v>38</v>
      </c>
      <c r="J4347" s="0" t="s">
        <v>39</v>
      </c>
      <c r="K4347" s="0" t="s">
        <v>30</v>
      </c>
      <c r="L4347" s="0" t="s">
        <v>31</v>
      </c>
      <c r="M4347" s="0" t="s">
        <v>140</v>
      </c>
      <c r="N4347" s="0" t="n">
        <v>1419</v>
      </c>
      <c r="O4347" s="10" t="n">
        <v>0.699777546571568</v>
      </c>
      <c r="P4347" s="10" t="n">
        <v>0.133336380822584</v>
      </c>
      <c r="Q4347" s="0" t="str">
        <f aca="false">SUBSTITUTE(SUBSTITUTE($I4347,CHAR(61),""),CHAR(34),"")</f>
        <v>15-24</v>
      </c>
      <c r="R4347" s="0" t="str">
        <f aca="false">IF($D4347&lt;&gt;"","["&amp;$E4347&amp;"]"&amp;"|"&amp;$Q4347&amp;"|"&amp;$K4347&amp;"|"&amp;$G4347&amp;"|"&amp;IF($G4347="TX_CURR_SUBNAT.R","CY2022Q4",$M4347),"")</f>
        <v>[cPtvxaZqXIH]|15-24|Female|PMTCT_STAT_SUBNAT.D.T_1|CY2023Q3</v>
      </c>
    </row>
    <row r="4348" customFormat="false" ht="15" hidden="false" customHeight="false" outlineLevel="0" collapsed="false">
      <c r="D4348" s="0" t="s">
        <v>87</v>
      </c>
      <c r="E4348" s="0" t="s">
        <v>88</v>
      </c>
      <c r="F4348" s="0" t="s">
        <v>89</v>
      </c>
      <c r="G4348" s="0" t="s">
        <v>154</v>
      </c>
      <c r="H4348" s="0" t="s">
        <v>155</v>
      </c>
      <c r="I4348" s="0" t="s">
        <v>41</v>
      </c>
      <c r="J4348" s="0" t="s">
        <v>42</v>
      </c>
      <c r="K4348" s="0" t="s">
        <v>30</v>
      </c>
      <c r="L4348" s="0" t="s">
        <v>31</v>
      </c>
      <c r="M4348" s="0" t="s">
        <v>140</v>
      </c>
      <c r="N4348" s="0" t="n">
        <v>1454</v>
      </c>
      <c r="O4348" s="10" t="n">
        <v>0.368147907312959</v>
      </c>
      <c r="P4348" s="10" t="n">
        <v>0.133336380822584</v>
      </c>
      <c r="Q4348" s="0" t="str">
        <f aca="false">SUBSTITUTE(SUBSTITUTE($I4348,CHAR(61),""),CHAR(34),"")</f>
        <v>25-34</v>
      </c>
      <c r="R4348" s="0" t="str">
        <f aca="false">IF($D4348&lt;&gt;"","["&amp;$E4348&amp;"]"&amp;"|"&amp;$Q4348&amp;"|"&amp;$K4348&amp;"|"&amp;$G4348&amp;"|"&amp;IF($G4348="TX_CURR_SUBNAT.R","CY2022Q4",$M4348),"")</f>
        <v>[cPtvxaZqXIH]|25-34|Female|PMTCT_STAT_SUBNAT.D.T_1|CY2023Q3</v>
      </c>
    </row>
    <row r="4349" customFormat="false" ht="15" hidden="false" customHeight="false" outlineLevel="0" collapsed="false">
      <c r="D4349" s="0" t="s">
        <v>87</v>
      </c>
      <c r="E4349" s="0" t="s">
        <v>88</v>
      </c>
      <c r="F4349" s="0" t="s">
        <v>89</v>
      </c>
      <c r="G4349" s="0" t="s">
        <v>154</v>
      </c>
      <c r="H4349" s="0" t="s">
        <v>155</v>
      </c>
      <c r="I4349" s="0" t="s">
        <v>43</v>
      </c>
      <c r="J4349" s="0" t="s">
        <v>44</v>
      </c>
      <c r="K4349" s="0" t="s">
        <v>30</v>
      </c>
      <c r="L4349" s="0" t="s">
        <v>31</v>
      </c>
      <c r="M4349" s="0" t="s">
        <v>140</v>
      </c>
      <c r="N4349" s="0" t="n">
        <v>868</v>
      </c>
      <c r="O4349" s="10" t="n">
        <v>0.790815773420036</v>
      </c>
      <c r="P4349" s="10" t="n">
        <v>0.133336380822584</v>
      </c>
      <c r="Q4349" s="0" t="str">
        <f aca="false">SUBSTITUTE(SUBSTITUTE($I4349,CHAR(61),""),CHAR(34),"")</f>
        <v>35-49</v>
      </c>
      <c r="R4349" s="0" t="str">
        <f aca="false">IF($D4349&lt;&gt;"","["&amp;$E4349&amp;"]"&amp;"|"&amp;$Q4349&amp;"|"&amp;$K4349&amp;"|"&amp;$G4349&amp;"|"&amp;IF($G4349="TX_CURR_SUBNAT.R","CY2022Q4",$M4349),"")</f>
        <v>[cPtvxaZqXIH]|35-49|Female|PMTCT_STAT_SUBNAT.D.T_1|CY2023Q3</v>
      </c>
    </row>
    <row r="4350" customFormat="false" ht="15" hidden="false" customHeight="false" outlineLevel="0" collapsed="false">
      <c r="D4350" s="0" t="s">
        <v>90</v>
      </c>
      <c r="E4350" s="0" t="s">
        <v>91</v>
      </c>
      <c r="F4350" s="0" t="s">
        <v>92</v>
      </c>
      <c r="G4350" s="0" t="s">
        <v>154</v>
      </c>
      <c r="H4350" s="0" t="s">
        <v>155</v>
      </c>
      <c r="I4350" s="0" t="s">
        <v>38</v>
      </c>
      <c r="J4350" s="0" t="s">
        <v>39</v>
      </c>
      <c r="K4350" s="0" t="s">
        <v>30</v>
      </c>
      <c r="L4350" s="0" t="s">
        <v>31</v>
      </c>
      <c r="M4350" s="0" t="s">
        <v>140</v>
      </c>
      <c r="N4350" s="0" t="n">
        <v>1553</v>
      </c>
      <c r="O4350" s="10" t="n">
        <v>0.73187175556086</v>
      </c>
      <c r="P4350" s="10" t="n">
        <v>0.719914150424302</v>
      </c>
      <c r="Q4350" s="0" t="str">
        <f aca="false">SUBSTITUTE(SUBSTITUTE($I4350,CHAR(61),""),CHAR(34),"")</f>
        <v>15-24</v>
      </c>
      <c r="R4350" s="0" t="str">
        <f aca="false">IF($D4350&lt;&gt;"","["&amp;$E4350&amp;"]"&amp;"|"&amp;$Q4350&amp;"|"&amp;$K4350&amp;"|"&amp;$G4350&amp;"|"&amp;IF($G4350="TX_CURR_SUBNAT.R","CY2022Q4",$M4350),"")</f>
        <v>[AZyWpGzhcaA]|15-24|Female|PMTCT_STAT_SUBNAT.D.T_1|CY2023Q3</v>
      </c>
    </row>
    <row r="4351" customFormat="false" ht="15" hidden="false" customHeight="false" outlineLevel="0" collapsed="false">
      <c r="D4351" s="0" t="s">
        <v>90</v>
      </c>
      <c r="E4351" s="0" t="s">
        <v>91</v>
      </c>
      <c r="F4351" s="0" t="s">
        <v>92</v>
      </c>
      <c r="G4351" s="0" t="s">
        <v>154</v>
      </c>
      <c r="H4351" s="0" t="s">
        <v>155</v>
      </c>
      <c r="I4351" s="0" t="s">
        <v>41</v>
      </c>
      <c r="J4351" s="0" t="s">
        <v>42</v>
      </c>
      <c r="K4351" s="0" t="s">
        <v>30</v>
      </c>
      <c r="L4351" s="0" t="s">
        <v>31</v>
      </c>
      <c r="M4351" s="0" t="s">
        <v>140</v>
      </c>
      <c r="N4351" s="0" t="n">
        <v>1972</v>
      </c>
      <c r="O4351" s="10" t="n">
        <v>0.067183930426836</v>
      </c>
      <c r="P4351" s="10" t="n">
        <v>0.719914150424302</v>
      </c>
      <c r="Q4351" s="0" t="str">
        <f aca="false">SUBSTITUTE(SUBSTITUTE($I4351,CHAR(61),""),CHAR(34),"")</f>
        <v>25-34</v>
      </c>
      <c r="R4351" s="0" t="str">
        <f aca="false">IF($D4351&lt;&gt;"","["&amp;$E4351&amp;"]"&amp;"|"&amp;$Q4351&amp;"|"&amp;$K4351&amp;"|"&amp;$G4351&amp;"|"&amp;IF($G4351="TX_CURR_SUBNAT.R","CY2022Q4",$M4351),"")</f>
        <v>[AZyWpGzhcaA]|25-34|Female|PMTCT_STAT_SUBNAT.D.T_1|CY2023Q3</v>
      </c>
    </row>
    <row r="4352" customFormat="false" ht="15" hidden="false" customHeight="false" outlineLevel="0" collapsed="false">
      <c r="D4352" s="0" t="s">
        <v>90</v>
      </c>
      <c r="E4352" s="0" t="s">
        <v>91</v>
      </c>
      <c r="F4352" s="0" t="s">
        <v>92</v>
      </c>
      <c r="G4352" s="0" t="s">
        <v>154</v>
      </c>
      <c r="H4352" s="0" t="s">
        <v>155</v>
      </c>
      <c r="I4352" s="0" t="s">
        <v>43</v>
      </c>
      <c r="J4352" s="0" t="s">
        <v>44</v>
      </c>
      <c r="K4352" s="0" t="s">
        <v>30</v>
      </c>
      <c r="L4352" s="0" t="s">
        <v>31</v>
      </c>
      <c r="M4352" s="0" t="s">
        <v>140</v>
      </c>
      <c r="N4352" s="0" t="n">
        <v>1926</v>
      </c>
      <c r="O4352" s="10" t="n">
        <v>0.0506766717880964</v>
      </c>
      <c r="P4352" s="10" t="n">
        <v>0.719914150424302</v>
      </c>
      <c r="Q4352" s="0" t="str">
        <f aca="false">SUBSTITUTE(SUBSTITUTE($I4352,CHAR(61),""),CHAR(34),"")</f>
        <v>35-49</v>
      </c>
      <c r="R4352" s="0" t="str">
        <f aca="false">IF($D4352&lt;&gt;"","["&amp;$E4352&amp;"]"&amp;"|"&amp;$Q4352&amp;"|"&amp;$K4352&amp;"|"&amp;$G4352&amp;"|"&amp;IF($G4352="TX_CURR_SUBNAT.R","CY2022Q4",$M4352),"")</f>
        <v>[AZyWpGzhcaA]|35-49|Female|PMTCT_STAT_SUBNAT.D.T_1|CY2023Q3</v>
      </c>
    </row>
    <row r="4353" customFormat="false" ht="15" hidden="false" customHeight="false" outlineLevel="0" collapsed="false">
      <c r="D4353" s="0" t="s">
        <v>93</v>
      </c>
      <c r="E4353" s="0" t="s">
        <v>94</v>
      </c>
      <c r="F4353" s="0" t="s">
        <v>95</v>
      </c>
      <c r="G4353" s="0" t="s">
        <v>154</v>
      </c>
      <c r="H4353" s="0" t="s">
        <v>155</v>
      </c>
      <c r="I4353" s="0" t="s">
        <v>38</v>
      </c>
      <c r="J4353" s="0" t="s">
        <v>39</v>
      </c>
      <c r="K4353" s="0" t="s">
        <v>30</v>
      </c>
      <c r="L4353" s="0" t="s">
        <v>31</v>
      </c>
      <c r="M4353" s="0" t="s">
        <v>140</v>
      </c>
      <c r="N4353" s="0" t="n">
        <v>1395</v>
      </c>
      <c r="O4353" s="10" t="n">
        <v>0.895449284696952</v>
      </c>
      <c r="P4353" s="10" t="n">
        <v>0.362272296566516</v>
      </c>
      <c r="Q4353" s="0" t="str">
        <f aca="false">SUBSTITUTE(SUBSTITUTE($I4353,CHAR(61),""),CHAR(34),"")</f>
        <v>15-24</v>
      </c>
      <c r="R4353" s="0" t="str">
        <f aca="false">IF($D4353&lt;&gt;"","["&amp;$E4353&amp;"]"&amp;"|"&amp;$Q4353&amp;"|"&amp;$K4353&amp;"|"&amp;$G4353&amp;"|"&amp;IF($G4353="TX_CURR_SUBNAT.R","CY2022Q4",$M4353),"")</f>
        <v>[umc2n1Z4wNv]|15-24|Female|PMTCT_STAT_SUBNAT.D.T_1|CY2023Q3</v>
      </c>
    </row>
    <row r="4354" customFormat="false" ht="15" hidden="false" customHeight="false" outlineLevel="0" collapsed="false">
      <c r="D4354" s="0" t="s">
        <v>93</v>
      </c>
      <c r="E4354" s="0" t="s">
        <v>94</v>
      </c>
      <c r="F4354" s="0" t="s">
        <v>95</v>
      </c>
      <c r="G4354" s="0" t="s">
        <v>154</v>
      </c>
      <c r="H4354" s="0" t="s">
        <v>155</v>
      </c>
      <c r="I4354" s="0" t="s">
        <v>41</v>
      </c>
      <c r="J4354" s="0" t="s">
        <v>42</v>
      </c>
      <c r="K4354" s="0" t="s">
        <v>30</v>
      </c>
      <c r="L4354" s="0" t="s">
        <v>31</v>
      </c>
      <c r="M4354" s="0" t="s">
        <v>140</v>
      </c>
      <c r="N4354" s="0" t="n">
        <v>1693</v>
      </c>
      <c r="O4354" s="10" t="n">
        <v>0.0540182737167925</v>
      </c>
      <c r="P4354" s="10" t="n">
        <v>0.362272296566516</v>
      </c>
      <c r="Q4354" s="0" t="str">
        <f aca="false">SUBSTITUTE(SUBSTITUTE($I4354,CHAR(61),""),CHAR(34),"")</f>
        <v>25-34</v>
      </c>
      <c r="R4354" s="0" t="str">
        <f aca="false">IF($D4354&lt;&gt;"","["&amp;$E4354&amp;"]"&amp;"|"&amp;$Q4354&amp;"|"&amp;$K4354&amp;"|"&amp;$G4354&amp;"|"&amp;IF($G4354="TX_CURR_SUBNAT.R","CY2022Q4",$M4354),"")</f>
        <v>[umc2n1Z4wNv]|25-34|Female|PMTCT_STAT_SUBNAT.D.T_1|CY2023Q3</v>
      </c>
    </row>
    <row r="4355" customFormat="false" ht="15" hidden="false" customHeight="false" outlineLevel="0" collapsed="false">
      <c r="D4355" s="0" t="s">
        <v>93</v>
      </c>
      <c r="E4355" s="0" t="s">
        <v>94</v>
      </c>
      <c r="F4355" s="0" t="s">
        <v>95</v>
      </c>
      <c r="G4355" s="0" t="s">
        <v>154</v>
      </c>
      <c r="H4355" s="0" t="s">
        <v>155</v>
      </c>
      <c r="I4355" s="0" t="s">
        <v>43</v>
      </c>
      <c r="J4355" s="0" t="s">
        <v>44</v>
      </c>
      <c r="K4355" s="0" t="s">
        <v>30</v>
      </c>
      <c r="L4355" s="0" t="s">
        <v>31</v>
      </c>
      <c r="M4355" s="0" t="s">
        <v>140</v>
      </c>
      <c r="N4355" s="0" t="n">
        <v>649</v>
      </c>
      <c r="O4355" s="10" t="n">
        <v>0.0101605034433305</v>
      </c>
      <c r="P4355" s="10" t="n">
        <v>0.362272296566516</v>
      </c>
      <c r="Q4355" s="0" t="str">
        <f aca="false">SUBSTITUTE(SUBSTITUTE($I4355,CHAR(61),""),CHAR(34),"")</f>
        <v>35-49</v>
      </c>
      <c r="R4355" s="0" t="str">
        <f aca="false">IF($D4355&lt;&gt;"","["&amp;$E4355&amp;"]"&amp;"|"&amp;$Q4355&amp;"|"&amp;$K4355&amp;"|"&amp;$G4355&amp;"|"&amp;IF($G4355="TX_CURR_SUBNAT.R","CY2022Q4",$M4355),"")</f>
        <v>[umc2n1Z4wNv]|35-49|Female|PMTCT_STAT_SUBNAT.D.T_1|CY2023Q3</v>
      </c>
    </row>
    <row r="4356" customFormat="false" ht="15" hidden="false" customHeight="false" outlineLevel="0" collapsed="false">
      <c r="D4356" s="0" t="s">
        <v>96</v>
      </c>
      <c r="E4356" s="0" t="s">
        <v>97</v>
      </c>
      <c r="F4356" s="0" t="s">
        <v>98</v>
      </c>
      <c r="G4356" s="0" t="s">
        <v>154</v>
      </c>
      <c r="H4356" s="0" t="s">
        <v>155</v>
      </c>
      <c r="I4356" s="0" t="s">
        <v>38</v>
      </c>
      <c r="J4356" s="0" t="s">
        <v>39</v>
      </c>
      <c r="K4356" s="0" t="s">
        <v>30</v>
      </c>
      <c r="L4356" s="0" t="s">
        <v>31</v>
      </c>
      <c r="M4356" s="0" t="s">
        <v>140</v>
      </c>
      <c r="N4356" s="0" t="n">
        <v>676</v>
      </c>
      <c r="O4356" s="10" t="n">
        <v>0.206454141065478</v>
      </c>
      <c r="P4356" s="10" t="n">
        <v>0.601251717889681</v>
      </c>
      <c r="Q4356" s="0" t="str">
        <f aca="false">SUBSTITUTE(SUBSTITUTE($I4356,CHAR(61),""),CHAR(34),"")</f>
        <v>15-24</v>
      </c>
      <c r="R4356" s="0" t="str">
        <f aca="false">IF($D4356&lt;&gt;"","["&amp;$E4356&amp;"]"&amp;"|"&amp;$Q4356&amp;"|"&amp;$K4356&amp;"|"&amp;$G4356&amp;"|"&amp;IF($G4356="TX_CURR_SUBNAT.R","CY2022Q4",$M4356),"")</f>
        <v>[gwVYinjBAe9]|15-24|Female|PMTCT_STAT_SUBNAT.D.T_1|CY2023Q3</v>
      </c>
    </row>
    <row r="4357" customFormat="false" ht="15" hidden="false" customHeight="false" outlineLevel="0" collapsed="false">
      <c r="D4357" s="0" t="s">
        <v>96</v>
      </c>
      <c r="E4357" s="0" t="s">
        <v>97</v>
      </c>
      <c r="F4357" s="0" t="s">
        <v>98</v>
      </c>
      <c r="G4357" s="0" t="s">
        <v>154</v>
      </c>
      <c r="H4357" s="0" t="s">
        <v>155</v>
      </c>
      <c r="I4357" s="0" t="s">
        <v>41</v>
      </c>
      <c r="J4357" s="0" t="s">
        <v>42</v>
      </c>
      <c r="K4357" s="0" t="s">
        <v>30</v>
      </c>
      <c r="L4357" s="0" t="s">
        <v>31</v>
      </c>
      <c r="M4357" s="0" t="s">
        <v>140</v>
      </c>
      <c r="N4357" s="0" t="n">
        <v>1831</v>
      </c>
      <c r="O4357" s="10" t="n">
        <v>0.72955946973525</v>
      </c>
      <c r="P4357" s="10" t="n">
        <v>0.601251717889681</v>
      </c>
      <c r="Q4357" s="0" t="str">
        <f aca="false">SUBSTITUTE(SUBSTITUTE($I4357,CHAR(61),""),CHAR(34),"")</f>
        <v>25-34</v>
      </c>
      <c r="R4357" s="0" t="str">
        <f aca="false">IF($D4357&lt;&gt;"","["&amp;$E4357&amp;"]"&amp;"|"&amp;$Q4357&amp;"|"&amp;$K4357&amp;"|"&amp;$G4357&amp;"|"&amp;IF($G4357="TX_CURR_SUBNAT.R","CY2022Q4",$M4357),"")</f>
        <v>[gwVYinjBAe9]|25-34|Female|PMTCT_STAT_SUBNAT.D.T_1|CY2023Q3</v>
      </c>
    </row>
    <row r="4358" customFormat="false" ht="15" hidden="false" customHeight="false" outlineLevel="0" collapsed="false">
      <c r="D4358" s="0" t="s">
        <v>96</v>
      </c>
      <c r="E4358" s="0" t="s">
        <v>97</v>
      </c>
      <c r="F4358" s="0" t="s">
        <v>98</v>
      </c>
      <c r="G4358" s="0" t="s">
        <v>154</v>
      </c>
      <c r="H4358" s="0" t="s">
        <v>155</v>
      </c>
      <c r="I4358" s="0" t="s">
        <v>43</v>
      </c>
      <c r="J4358" s="0" t="s">
        <v>44</v>
      </c>
      <c r="K4358" s="0" t="s">
        <v>30</v>
      </c>
      <c r="L4358" s="0" t="s">
        <v>31</v>
      </c>
      <c r="M4358" s="0" t="s">
        <v>140</v>
      </c>
      <c r="N4358" s="0" t="n">
        <v>1602</v>
      </c>
      <c r="O4358" s="10" t="n">
        <v>0.211621237453073</v>
      </c>
      <c r="P4358" s="10" t="n">
        <v>0.601251717889681</v>
      </c>
      <c r="Q4358" s="0" t="str">
        <f aca="false">SUBSTITUTE(SUBSTITUTE($I4358,CHAR(61),""),CHAR(34),"")</f>
        <v>35-49</v>
      </c>
      <c r="R4358" s="0" t="str">
        <f aca="false">IF($D4358&lt;&gt;"","["&amp;$E4358&amp;"]"&amp;"|"&amp;$Q4358&amp;"|"&amp;$K4358&amp;"|"&amp;$G4358&amp;"|"&amp;IF($G4358="TX_CURR_SUBNAT.R","CY2022Q4",$M4358),"")</f>
        <v>[gwVYinjBAe9]|35-49|Female|PMTCT_STAT_SUBNAT.D.T_1|CY2023Q3</v>
      </c>
    </row>
    <row r="4359" customFormat="false" ht="15" hidden="false" customHeight="false" outlineLevel="0" collapsed="false">
      <c r="D4359" s="0" t="s">
        <v>99</v>
      </c>
      <c r="E4359" s="0" t="s">
        <v>100</v>
      </c>
      <c r="F4359" s="0" t="s">
        <v>101</v>
      </c>
      <c r="G4359" s="0" t="s">
        <v>154</v>
      </c>
      <c r="H4359" s="0" t="s">
        <v>155</v>
      </c>
      <c r="I4359" s="0" t="s">
        <v>38</v>
      </c>
      <c r="J4359" s="0" t="s">
        <v>39</v>
      </c>
      <c r="K4359" s="0" t="s">
        <v>30</v>
      </c>
      <c r="L4359" s="0" t="s">
        <v>31</v>
      </c>
      <c r="M4359" s="0" t="s">
        <v>140</v>
      </c>
      <c r="N4359" s="0" t="n">
        <v>917</v>
      </c>
      <c r="O4359" s="10" t="n">
        <v>0.308248535031453</v>
      </c>
      <c r="P4359" s="10" t="n">
        <v>0.577288038097322</v>
      </c>
      <c r="Q4359" s="0" t="str">
        <f aca="false">SUBSTITUTE(SUBSTITUTE($I4359,CHAR(61),""),CHAR(34),"")</f>
        <v>15-24</v>
      </c>
      <c r="R4359" s="0" t="str">
        <f aca="false">IF($D4359&lt;&gt;"","["&amp;$E4359&amp;"]"&amp;"|"&amp;$Q4359&amp;"|"&amp;$K4359&amp;"|"&amp;$G4359&amp;"|"&amp;IF($G4359="TX_CURR_SUBNAT.R","CY2022Q4",$M4359),"")</f>
        <v>[mxqa3CDFmIT]|15-24|Female|PMTCT_STAT_SUBNAT.D.T_1|CY2023Q3</v>
      </c>
    </row>
    <row r="4360" customFormat="false" ht="15" hidden="false" customHeight="false" outlineLevel="0" collapsed="false">
      <c r="D4360" s="0" t="s">
        <v>99</v>
      </c>
      <c r="E4360" s="0" t="s">
        <v>100</v>
      </c>
      <c r="F4360" s="0" t="s">
        <v>101</v>
      </c>
      <c r="G4360" s="0" t="s">
        <v>154</v>
      </c>
      <c r="H4360" s="0" t="s">
        <v>155</v>
      </c>
      <c r="I4360" s="0" t="s">
        <v>41</v>
      </c>
      <c r="J4360" s="0" t="s">
        <v>42</v>
      </c>
      <c r="K4360" s="0" t="s">
        <v>30</v>
      </c>
      <c r="L4360" s="0" t="s">
        <v>31</v>
      </c>
      <c r="M4360" s="0" t="s">
        <v>140</v>
      </c>
      <c r="N4360" s="0" t="n">
        <v>1696</v>
      </c>
      <c r="O4360" s="10" t="n">
        <v>0.63985397759825</v>
      </c>
      <c r="P4360" s="10" t="n">
        <v>0.577288038097322</v>
      </c>
      <c r="Q4360" s="0" t="str">
        <f aca="false">SUBSTITUTE(SUBSTITUTE($I4360,CHAR(61),""),CHAR(34),"")</f>
        <v>25-34</v>
      </c>
      <c r="R4360" s="0" t="str">
        <f aca="false">IF($D4360&lt;&gt;"","["&amp;$E4360&amp;"]"&amp;"|"&amp;$Q4360&amp;"|"&amp;$K4360&amp;"|"&amp;$G4360&amp;"|"&amp;IF($G4360="TX_CURR_SUBNAT.R","CY2022Q4",$M4360),"")</f>
        <v>[mxqa3CDFmIT]|25-34|Female|PMTCT_STAT_SUBNAT.D.T_1|CY2023Q3</v>
      </c>
    </row>
    <row r="4361" customFormat="false" ht="15" hidden="false" customHeight="false" outlineLevel="0" collapsed="false">
      <c r="D4361" s="0" t="s">
        <v>99</v>
      </c>
      <c r="E4361" s="0" t="s">
        <v>100</v>
      </c>
      <c r="F4361" s="0" t="s">
        <v>101</v>
      </c>
      <c r="G4361" s="0" t="s">
        <v>154</v>
      </c>
      <c r="H4361" s="0" t="s">
        <v>155</v>
      </c>
      <c r="I4361" s="0" t="s">
        <v>43</v>
      </c>
      <c r="J4361" s="0" t="s">
        <v>44</v>
      </c>
      <c r="K4361" s="0" t="s">
        <v>30</v>
      </c>
      <c r="L4361" s="0" t="s">
        <v>31</v>
      </c>
      <c r="M4361" s="0" t="s">
        <v>140</v>
      </c>
      <c r="N4361" s="0" t="n">
        <v>833</v>
      </c>
      <c r="O4361" s="10" t="n">
        <v>0.398896389873698</v>
      </c>
      <c r="P4361" s="10" t="n">
        <v>0.577288038097322</v>
      </c>
      <c r="Q4361" s="0" t="str">
        <f aca="false">SUBSTITUTE(SUBSTITUTE($I4361,CHAR(61),""),CHAR(34),"")</f>
        <v>35-49</v>
      </c>
      <c r="R4361" s="0" t="str">
        <f aca="false">IF($D4361&lt;&gt;"","["&amp;$E4361&amp;"]"&amp;"|"&amp;$Q4361&amp;"|"&amp;$K4361&amp;"|"&amp;$G4361&amp;"|"&amp;IF($G4361="TX_CURR_SUBNAT.R","CY2022Q4",$M4361),"")</f>
        <v>[mxqa3CDFmIT]|35-49|Female|PMTCT_STAT_SUBNAT.D.T_1|CY2023Q3</v>
      </c>
    </row>
    <row r="4362" customFormat="false" ht="15" hidden="false" customHeight="false" outlineLevel="0" collapsed="false">
      <c r="D4362" s="0" t="s">
        <v>102</v>
      </c>
      <c r="E4362" s="0" t="s">
        <v>103</v>
      </c>
      <c r="F4362" s="0" t="s">
        <v>104</v>
      </c>
      <c r="G4362" s="0" t="s">
        <v>154</v>
      </c>
      <c r="H4362" s="0" t="s">
        <v>155</v>
      </c>
      <c r="I4362" s="0" t="s">
        <v>38</v>
      </c>
      <c r="J4362" s="0" t="s">
        <v>39</v>
      </c>
      <c r="K4362" s="0" t="s">
        <v>30</v>
      </c>
      <c r="L4362" s="0" t="s">
        <v>31</v>
      </c>
      <c r="M4362" s="0" t="s">
        <v>140</v>
      </c>
      <c r="N4362" s="0" t="n">
        <v>838</v>
      </c>
      <c r="O4362" s="10" t="n">
        <v>0.518023300217465</v>
      </c>
      <c r="P4362" s="10" t="n">
        <v>0.526212359312922</v>
      </c>
      <c r="Q4362" s="0" t="str">
        <f aca="false">SUBSTITUTE(SUBSTITUTE($I4362,CHAR(61),""),CHAR(34),"")</f>
        <v>15-24</v>
      </c>
      <c r="R4362" s="0" t="str">
        <f aca="false">IF($D4362&lt;&gt;"","["&amp;$E4362&amp;"]"&amp;"|"&amp;$Q4362&amp;"|"&amp;$K4362&amp;"|"&amp;$G4362&amp;"|"&amp;IF($G4362="TX_CURR_SUBNAT.R","CY2022Q4",$M4362),"")</f>
        <v>[wNqJp8oRIcF]|15-24|Female|PMTCT_STAT_SUBNAT.D.T_1|CY2023Q3</v>
      </c>
    </row>
    <row r="4363" customFormat="false" ht="15" hidden="false" customHeight="false" outlineLevel="0" collapsed="false">
      <c r="D4363" s="0" t="s">
        <v>102</v>
      </c>
      <c r="E4363" s="0" t="s">
        <v>103</v>
      </c>
      <c r="F4363" s="0" t="s">
        <v>104</v>
      </c>
      <c r="G4363" s="0" t="s">
        <v>154</v>
      </c>
      <c r="H4363" s="0" t="s">
        <v>155</v>
      </c>
      <c r="I4363" s="0" t="s">
        <v>41</v>
      </c>
      <c r="J4363" s="0" t="s">
        <v>42</v>
      </c>
      <c r="K4363" s="0" t="s">
        <v>30</v>
      </c>
      <c r="L4363" s="0" t="s">
        <v>31</v>
      </c>
      <c r="M4363" s="0" t="s">
        <v>140</v>
      </c>
      <c r="N4363" s="0" t="n">
        <v>984</v>
      </c>
      <c r="O4363" s="10" t="n">
        <v>0.968777774833143</v>
      </c>
      <c r="P4363" s="10" t="n">
        <v>0.526212359312922</v>
      </c>
      <c r="Q4363" s="0" t="str">
        <f aca="false">SUBSTITUTE(SUBSTITUTE($I4363,CHAR(61),""),CHAR(34),"")</f>
        <v>25-34</v>
      </c>
      <c r="R4363" s="0" t="str">
        <f aca="false">IF($D4363&lt;&gt;"","["&amp;$E4363&amp;"]"&amp;"|"&amp;$Q4363&amp;"|"&amp;$K4363&amp;"|"&amp;$G4363&amp;"|"&amp;IF($G4363="TX_CURR_SUBNAT.R","CY2022Q4",$M4363),"")</f>
        <v>[wNqJp8oRIcF]|25-34|Female|PMTCT_STAT_SUBNAT.D.T_1|CY2023Q3</v>
      </c>
    </row>
    <row r="4364" customFormat="false" ht="15" hidden="false" customHeight="false" outlineLevel="0" collapsed="false">
      <c r="D4364" s="0" t="s">
        <v>102</v>
      </c>
      <c r="E4364" s="0" t="s">
        <v>103</v>
      </c>
      <c r="F4364" s="0" t="s">
        <v>104</v>
      </c>
      <c r="G4364" s="0" t="s">
        <v>154</v>
      </c>
      <c r="H4364" s="0" t="s">
        <v>155</v>
      </c>
      <c r="I4364" s="0" t="s">
        <v>43</v>
      </c>
      <c r="J4364" s="0" t="s">
        <v>44</v>
      </c>
      <c r="K4364" s="0" t="s">
        <v>30</v>
      </c>
      <c r="L4364" s="0" t="s">
        <v>31</v>
      </c>
      <c r="M4364" s="0" t="s">
        <v>140</v>
      </c>
      <c r="N4364" s="0" t="n">
        <v>1154</v>
      </c>
      <c r="O4364" s="10" t="n">
        <v>0.227613993454725</v>
      </c>
      <c r="P4364" s="10" t="n">
        <v>0.526212359312922</v>
      </c>
      <c r="Q4364" s="0" t="str">
        <f aca="false">SUBSTITUTE(SUBSTITUTE($I4364,CHAR(61),""),CHAR(34),"")</f>
        <v>35-49</v>
      </c>
      <c r="R4364" s="0" t="str">
        <f aca="false">IF($D4364&lt;&gt;"","["&amp;$E4364&amp;"]"&amp;"|"&amp;$Q4364&amp;"|"&amp;$K4364&amp;"|"&amp;$G4364&amp;"|"&amp;IF($G4364="TX_CURR_SUBNAT.R","CY2022Q4",$M4364),"")</f>
        <v>[wNqJp8oRIcF]|35-49|Female|PMTCT_STAT_SUBNAT.D.T_1|CY2023Q3</v>
      </c>
    </row>
    <row r="4365" customFormat="false" ht="15" hidden="false" customHeight="false" outlineLevel="0" collapsed="false">
      <c r="D4365" s="0" t="s">
        <v>105</v>
      </c>
      <c r="E4365" s="0" t="s">
        <v>106</v>
      </c>
      <c r="F4365" s="0" t="s">
        <v>107</v>
      </c>
      <c r="G4365" s="0" t="s">
        <v>154</v>
      </c>
      <c r="H4365" s="0" t="s">
        <v>155</v>
      </c>
      <c r="I4365" s="0" t="s">
        <v>38</v>
      </c>
      <c r="J4365" s="0" t="s">
        <v>39</v>
      </c>
      <c r="K4365" s="0" t="s">
        <v>30</v>
      </c>
      <c r="L4365" s="0" t="s">
        <v>31</v>
      </c>
      <c r="M4365" s="0" t="s">
        <v>140</v>
      </c>
      <c r="N4365" s="0" t="n">
        <v>1333</v>
      </c>
      <c r="O4365" s="10" t="n">
        <v>0.938827466685325</v>
      </c>
      <c r="P4365" s="10" t="n">
        <v>0.218249560333788</v>
      </c>
      <c r="Q4365" s="0" t="str">
        <f aca="false">SUBSTITUTE(SUBSTITUTE($I4365,CHAR(61),""),CHAR(34),"")</f>
        <v>15-24</v>
      </c>
      <c r="R4365" s="0" t="str">
        <f aca="false">IF($D4365&lt;&gt;"","["&amp;$E4365&amp;"]"&amp;"|"&amp;$Q4365&amp;"|"&amp;$K4365&amp;"|"&amp;$G4365&amp;"|"&amp;IF($G4365="TX_CURR_SUBNAT.R","CY2022Q4",$M4365),"")</f>
        <v>[oiPR2CiVJbf]|15-24|Female|PMTCT_STAT_SUBNAT.D.T_1|CY2023Q3</v>
      </c>
    </row>
    <row r="4366" customFormat="false" ht="15" hidden="false" customHeight="false" outlineLevel="0" collapsed="false">
      <c r="D4366" s="0" t="s">
        <v>105</v>
      </c>
      <c r="E4366" s="0" t="s">
        <v>106</v>
      </c>
      <c r="F4366" s="0" t="s">
        <v>107</v>
      </c>
      <c r="G4366" s="0" t="s">
        <v>154</v>
      </c>
      <c r="H4366" s="0" t="s">
        <v>155</v>
      </c>
      <c r="I4366" s="0" t="s">
        <v>41</v>
      </c>
      <c r="J4366" s="0" t="s">
        <v>42</v>
      </c>
      <c r="K4366" s="0" t="s">
        <v>30</v>
      </c>
      <c r="L4366" s="0" t="s">
        <v>31</v>
      </c>
      <c r="M4366" s="0" t="s">
        <v>140</v>
      </c>
      <c r="N4366" s="0" t="n">
        <v>1617</v>
      </c>
      <c r="O4366" s="10" t="n">
        <v>0.642002723645419</v>
      </c>
      <c r="P4366" s="10" t="n">
        <v>0.218249560333788</v>
      </c>
      <c r="Q4366" s="0" t="str">
        <f aca="false">SUBSTITUTE(SUBSTITUTE($I4366,CHAR(61),""),CHAR(34),"")</f>
        <v>25-34</v>
      </c>
      <c r="R4366" s="0" t="str">
        <f aca="false">IF($D4366&lt;&gt;"","["&amp;$E4366&amp;"]"&amp;"|"&amp;$Q4366&amp;"|"&amp;$K4366&amp;"|"&amp;$G4366&amp;"|"&amp;IF($G4366="TX_CURR_SUBNAT.R","CY2022Q4",$M4366),"")</f>
        <v>[oiPR2CiVJbf]|25-34|Female|PMTCT_STAT_SUBNAT.D.T_1|CY2023Q3</v>
      </c>
    </row>
    <row r="4367" customFormat="false" ht="15" hidden="false" customHeight="false" outlineLevel="0" collapsed="false">
      <c r="D4367" s="0" t="s">
        <v>105</v>
      </c>
      <c r="E4367" s="0" t="s">
        <v>106</v>
      </c>
      <c r="F4367" s="0" t="s">
        <v>107</v>
      </c>
      <c r="G4367" s="0" t="s">
        <v>154</v>
      </c>
      <c r="H4367" s="0" t="s">
        <v>155</v>
      </c>
      <c r="I4367" s="0" t="s">
        <v>43</v>
      </c>
      <c r="J4367" s="0" t="s">
        <v>44</v>
      </c>
      <c r="K4367" s="0" t="s">
        <v>30</v>
      </c>
      <c r="L4367" s="0" t="s">
        <v>31</v>
      </c>
      <c r="M4367" s="0" t="s">
        <v>140</v>
      </c>
      <c r="N4367" s="0" t="n">
        <v>1794</v>
      </c>
      <c r="O4367" s="10" t="n">
        <v>0.0224073131103069</v>
      </c>
      <c r="P4367" s="10" t="n">
        <v>0.218249560333788</v>
      </c>
      <c r="Q4367" s="0" t="str">
        <f aca="false">SUBSTITUTE(SUBSTITUTE($I4367,CHAR(61),""),CHAR(34),"")</f>
        <v>35-49</v>
      </c>
      <c r="R4367" s="0" t="str">
        <f aca="false">IF($D4367&lt;&gt;"","["&amp;$E4367&amp;"]"&amp;"|"&amp;$Q4367&amp;"|"&amp;$K4367&amp;"|"&amp;$G4367&amp;"|"&amp;IF($G4367="TX_CURR_SUBNAT.R","CY2022Q4",$M4367),"")</f>
        <v>[oiPR2CiVJbf]|35-49|Female|PMTCT_STAT_SUBNAT.D.T_1|CY2023Q3</v>
      </c>
    </row>
    <row r="4368" customFormat="false" ht="15" hidden="false" customHeight="false" outlineLevel="0" collapsed="false">
      <c r="D4368" s="0" t="s">
        <v>108</v>
      </c>
      <c r="E4368" s="0" t="s">
        <v>109</v>
      </c>
      <c r="F4368" s="0" t="s">
        <v>110</v>
      </c>
      <c r="G4368" s="0" t="s">
        <v>154</v>
      </c>
      <c r="H4368" s="0" t="s">
        <v>155</v>
      </c>
      <c r="I4368" s="0" t="s">
        <v>38</v>
      </c>
      <c r="J4368" s="0" t="s">
        <v>39</v>
      </c>
      <c r="K4368" s="0" t="s">
        <v>30</v>
      </c>
      <c r="L4368" s="0" t="s">
        <v>31</v>
      </c>
      <c r="M4368" s="0" t="s">
        <v>140</v>
      </c>
      <c r="N4368" s="0" t="n">
        <v>1711</v>
      </c>
      <c r="O4368" s="10" t="n">
        <v>0.366123014129698</v>
      </c>
      <c r="P4368" s="10" t="n">
        <v>0.434221804374829</v>
      </c>
      <c r="Q4368" s="0" t="str">
        <f aca="false">SUBSTITUTE(SUBSTITUTE($I4368,CHAR(61),""),CHAR(34),"")</f>
        <v>15-24</v>
      </c>
      <c r="R4368" s="0" t="str">
        <f aca="false">IF($D4368&lt;&gt;"","["&amp;$E4368&amp;"]"&amp;"|"&amp;$Q4368&amp;"|"&amp;$K4368&amp;"|"&amp;$G4368&amp;"|"&amp;IF($G4368="TX_CURR_SUBNAT.R","CY2022Q4",$M4368),"")</f>
        <v>[ul0y9diGujK]|15-24|Female|PMTCT_STAT_SUBNAT.D.T_1|CY2023Q3</v>
      </c>
    </row>
    <row r="4369" customFormat="false" ht="15" hidden="false" customHeight="false" outlineLevel="0" collapsed="false">
      <c r="D4369" s="0" t="s">
        <v>108</v>
      </c>
      <c r="E4369" s="0" t="s">
        <v>109</v>
      </c>
      <c r="F4369" s="0" t="s">
        <v>110</v>
      </c>
      <c r="G4369" s="0" t="s">
        <v>154</v>
      </c>
      <c r="H4369" s="0" t="s">
        <v>155</v>
      </c>
      <c r="I4369" s="0" t="s">
        <v>41</v>
      </c>
      <c r="J4369" s="0" t="s">
        <v>42</v>
      </c>
      <c r="K4369" s="0" t="s">
        <v>30</v>
      </c>
      <c r="L4369" s="0" t="s">
        <v>31</v>
      </c>
      <c r="M4369" s="0" t="s">
        <v>140</v>
      </c>
      <c r="N4369" s="0" t="n">
        <v>1994</v>
      </c>
      <c r="O4369" s="10" t="n">
        <v>0.00877728988416493</v>
      </c>
      <c r="P4369" s="10" t="n">
        <v>0.434221804374829</v>
      </c>
      <c r="Q4369" s="0" t="str">
        <f aca="false">SUBSTITUTE(SUBSTITUTE($I4369,CHAR(61),""),CHAR(34),"")</f>
        <v>25-34</v>
      </c>
      <c r="R4369" s="0" t="str">
        <f aca="false">IF($D4369&lt;&gt;"","["&amp;$E4369&amp;"]"&amp;"|"&amp;$Q4369&amp;"|"&amp;$K4369&amp;"|"&amp;$G4369&amp;"|"&amp;IF($G4369="TX_CURR_SUBNAT.R","CY2022Q4",$M4369),"")</f>
        <v>[ul0y9diGujK]|25-34|Female|PMTCT_STAT_SUBNAT.D.T_1|CY2023Q3</v>
      </c>
    </row>
    <row r="4370" customFormat="false" ht="15" hidden="false" customHeight="false" outlineLevel="0" collapsed="false">
      <c r="D4370" s="0" t="s">
        <v>108</v>
      </c>
      <c r="E4370" s="0" t="s">
        <v>109</v>
      </c>
      <c r="F4370" s="0" t="s">
        <v>110</v>
      </c>
      <c r="G4370" s="0" t="s">
        <v>154</v>
      </c>
      <c r="H4370" s="0" t="s">
        <v>155</v>
      </c>
      <c r="I4370" s="0" t="s">
        <v>43</v>
      </c>
      <c r="J4370" s="0" t="s">
        <v>44</v>
      </c>
      <c r="K4370" s="0" t="s">
        <v>30</v>
      </c>
      <c r="L4370" s="0" t="s">
        <v>31</v>
      </c>
      <c r="M4370" s="0" t="s">
        <v>140</v>
      </c>
      <c r="N4370" s="0" t="n">
        <v>1787</v>
      </c>
      <c r="O4370" s="10" t="n">
        <v>0.352406017482281</v>
      </c>
      <c r="P4370" s="10" t="n">
        <v>0.434221804374829</v>
      </c>
      <c r="Q4370" s="0" t="str">
        <f aca="false">SUBSTITUTE(SUBSTITUTE($I4370,CHAR(61),""),CHAR(34),"")</f>
        <v>35-49</v>
      </c>
      <c r="R4370" s="0" t="str">
        <f aca="false">IF($D4370&lt;&gt;"","["&amp;$E4370&amp;"]"&amp;"|"&amp;$Q4370&amp;"|"&amp;$K4370&amp;"|"&amp;$G4370&amp;"|"&amp;IF($G4370="TX_CURR_SUBNAT.R","CY2022Q4",$M4370),"")</f>
        <v>[ul0y9diGujK]|35-49|Female|PMTCT_STAT_SUBNAT.D.T_1|CY2023Q3</v>
      </c>
    </row>
    <row r="4371" customFormat="false" ht="15" hidden="false" customHeight="false" outlineLevel="0" collapsed="false">
      <c r="D4371" s="0" t="s">
        <v>111</v>
      </c>
      <c r="E4371" s="0" t="s">
        <v>112</v>
      </c>
      <c r="F4371" s="0" t="s">
        <v>113</v>
      </c>
      <c r="G4371" s="0" t="s">
        <v>154</v>
      </c>
      <c r="H4371" s="0" t="s">
        <v>155</v>
      </c>
      <c r="I4371" s="0" t="s">
        <v>38</v>
      </c>
      <c r="J4371" s="0" t="s">
        <v>39</v>
      </c>
      <c r="K4371" s="0" t="s">
        <v>30</v>
      </c>
      <c r="L4371" s="0" t="s">
        <v>31</v>
      </c>
      <c r="M4371" s="0" t="s">
        <v>140</v>
      </c>
      <c r="N4371" s="0" t="n">
        <v>1018</v>
      </c>
      <c r="O4371" s="10" t="n">
        <v>0.746468883007765</v>
      </c>
      <c r="P4371" s="10" t="n">
        <v>0.337768794968724</v>
      </c>
      <c r="Q4371" s="0" t="str">
        <f aca="false">SUBSTITUTE(SUBSTITUTE($I4371,CHAR(61),""),CHAR(34),"")</f>
        <v>15-24</v>
      </c>
      <c r="R4371" s="0" t="str">
        <f aca="false">IF($D4371&lt;&gt;"","["&amp;$E4371&amp;"]"&amp;"|"&amp;$Q4371&amp;"|"&amp;$K4371&amp;"|"&amp;$G4371&amp;"|"&amp;IF($G4371="TX_CURR_SUBNAT.R","CY2022Q4",$M4371),"")</f>
        <v>[U8c0so51kT6]|15-24|Female|PMTCT_STAT_SUBNAT.D.T_1|CY2023Q3</v>
      </c>
    </row>
    <row r="4372" customFormat="false" ht="15" hidden="false" customHeight="false" outlineLevel="0" collapsed="false">
      <c r="D4372" s="0" t="s">
        <v>111</v>
      </c>
      <c r="E4372" s="0" t="s">
        <v>112</v>
      </c>
      <c r="F4372" s="0" t="s">
        <v>113</v>
      </c>
      <c r="G4372" s="0" t="s">
        <v>154</v>
      </c>
      <c r="H4372" s="0" t="s">
        <v>155</v>
      </c>
      <c r="I4372" s="0" t="s">
        <v>41</v>
      </c>
      <c r="J4372" s="0" t="s">
        <v>42</v>
      </c>
      <c r="K4372" s="0" t="s">
        <v>30</v>
      </c>
      <c r="L4372" s="0" t="s">
        <v>31</v>
      </c>
      <c r="M4372" s="0" t="s">
        <v>140</v>
      </c>
      <c r="N4372" s="0" t="n">
        <v>1401</v>
      </c>
      <c r="O4372" s="10" t="n">
        <v>0.774983800016344</v>
      </c>
      <c r="P4372" s="10" t="n">
        <v>0.337768794968724</v>
      </c>
      <c r="Q4372" s="0" t="str">
        <f aca="false">SUBSTITUTE(SUBSTITUTE($I4372,CHAR(61),""),CHAR(34),"")</f>
        <v>25-34</v>
      </c>
      <c r="R4372" s="0" t="str">
        <f aca="false">IF($D4372&lt;&gt;"","["&amp;$E4372&amp;"]"&amp;"|"&amp;$Q4372&amp;"|"&amp;$K4372&amp;"|"&amp;$G4372&amp;"|"&amp;IF($G4372="TX_CURR_SUBNAT.R","CY2022Q4",$M4372),"")</f>
        <v>[U8c0so51kT6]|25-34|Female|PMTCT_STAT_SUBNAT.D.T_1|CY2023Q3</v>
      </c>
    </row>
    <row r="4373" customFormat="false" ht="15" hidden="false" customHeight="false" outlineLevel="0" collapsed="false">
      <c r="D4373" s="0" t="s">
        <v>111</v>
      </c>
      <c r="E4373" s="0" t="s">
        <v>112</v>
      </c>
      <c r="F4373" s="0" t="s">
        <v>113</v>
      </c>
      <c r="G4373" s="0" t="s">
        <v>154</v>
      </c>
      <c r="H4373" s="0" t="s">
        <v>155</v>
      </c>
      <c r="I4373" s="0" t="s">
        <v>43</v>
      </c>
      <c r="J4373" s="0" t="s">
        <v>44</v>
      </c>
      <c r="K4373" s="0" t="s">
        <v>30</v>
      </c>
      <c r="L4373" s="0" t="s">
        <v>31</v>
      </c>
      <c r="M4373" s="0" t="s">
        <v>140</v>
      </c>
      <c r="N4373" s="0" t="n">
        <v>1287</v>
      </c>
      <c r="O4373" s="10" t="n">
        <v>0.102768450044096</v>
      </c>
      <c r="P4373" s="10" t="n">
        <v>0.337768794968724</v>
      </c>
      <c r="Q4373" s="0" t="str">
        <f aca="false">SUBSTITUTE(SUBSTITUTE($I4373,CHAR(61),""),CHAR(34),"")</f>
        <v>35-49</v>
      </c>
      <c r="R4373" s="0" t="str">
        <f aca="false">IF($D4373&lt;&gt;"","["&amp;$E4373&amp;"]"&amp;"|"&amp;$Q4373&amp;"|"&amp;$K4373&amp;"|"&amp;$G4373&amp;"|"&amp;IF($G4373="TX_CURR_SUBNAT.R","CY2022Q4",$M4373),"")</f>
        <v>[U8c0so51kT6]|35-49|Female|PMTCT_STAT_SUBNAT.D.T_1|CY2023Q3</v>
      </c>
    </row>
    <row r="4374" customFormat="false" ht="15" hidden="false" customHeight="false" outlineLevel="0" collapsed="false">
      <c r="D4374" s="0" t="s">
        <v>114</v>
      </c>
      <c r="E4374" s="0" t="s">
        <v>115</v>
      </c>
      <c r="F4374" s="0" t="s">
        <v>116</v>
      </c>
      <c r="G4374" s="0" t="s">
        <v>154</v>
      </c>
      <c r="H4374" s="0" t="s">
        <v>155</v>
      </c>
      <c r="I4374" s="0" t="s">
        <v>38</v>
      </c>
      <c r="J4374" s="0" t="s">
        <v>39</v>
      </c>
      <c r="K4374" s="0" t="s">
        <v>30</v>
      </c>
      <c r="L4374" s="0" t="s">
        <v>31</v>
      </c>
      <c r="M4374" s="0" t="s">
        <v>140</v>
      </c>
      <c r="N4374" s="0" t="n">
        <v>718</v>
      </c>
      <c r="O4374" s="10" t="n">
        <v>0.0681930705904961</v>
      </c>
      <c r="P4374" s="10" t="n">
        <v>0.298559809103608</v>
      </c>
      <c r="Q4374" s="0" t="str">
        <f aca="false">SUBSTITUTE(SUBSTITUTE($I4374,CHAR(61),""),CHAR(34),"")</f>
        <v>15-24</v>
      </c>
      <c r="R4374" s="0" t="str">
        <f aca="false">IF($D4374&lt;&gt;"","["&amp;$E4374&amp;"]"&amp;"|"&amp;$Q4374&amp;"|"&amp;$K4374&amp;"|"&amp;$G4374&amp;"|"&amp;IF($G4374="TX_CURR_SUBNAT.R","CY2022Q4",$M4374),"")</f>
        <v>[rpw540fmNUz]|15-24|Female|PMTCT_STAT_SUBNAT.D.T_1|CY2023Q3</v>
      </c>
    </row>
    <row r="4375" customFormat="false" ht="15" hidden="false" customHeight="false" outlineLevel="0" collapsed="false">
      <c r="D4375" s="0" t="s">
        <v>114</v>
      </c>
      <c r="E4375" s="0" t="s">
        <v>115</v>
      </c>
      <c r="F4375" s="0" t="s">
        <v>116</v>
      </c>
      <c r="G4375" s="0" t="s">
        <v>154</v>
      </c>
      <c r="H4375" s="0" t="s">
        <v>155</v>
      </c>
      <c r="I4375" s="0" t="s">
        <v>41</v>
      </c>
      <c r="J4375" s="0" t="s">
        <v>42</v>
      </c>
      <c r="K4375" s="0" t="s">
        <v>30</v>
      </c>
      <c r="L4375" s="0" t="s">
        <v>31</v>
      </c>
      <c r="M4375" s="0" t="s">
        <v>140</v>
      </c>
      <c r="N4375" s="0" t="n">
        <v>1585</v>
      </c>
      <c r="O4375" s="10" t="n">
        <v>0.352183087030426</v>
      </c>
      <c r="P4375" s="10" t="n">
        <v>0.298559809103608</v>
      </c>
      <c r="Q4375" s="0" t="str">
        <f aca="false">SUBSTITUTE(SUBSTITUTE($I4375,CHAR(61),""),CHAR(34),"")</f>
        <v>25-34</v>
      </c>
      <c r="R4375" s="0" t="str">
        <f aca="false">IF($D4375&lt;&gt;"","["&amp;$E4375&amp;"]"&amp;"|"&amp;$Q4375&amp;"|"&amp;$K4375&amp;"|"&amp;$G4375&amp;"|"&amp;IF($G4375="TX_CURR_SUBNAT.R","CY2022Q4",$M4375),"")</f>
        <v>[rpw540fmNUz]|25-34|Female|PMTCT_STAT_SUBNAT.D.T_1|CY2023Q3</v>
      </c>
    </row>
    <row r="4376" customFormat="false" ht="15" hidden="false" customHeight="false" outlineLevel="0" collapsed="false">
      <c r="D4376" s="0" t="s">
        <v>114</v>
      </c>
      <c r="E4376" s="0" t="s">
        <v>115</v>
      </c>
      <c r="F4376" s="0" t="s">
        <v>116</v>
      </c>
      <c r="G4376" s="0" t="s">
        <v>154</v>
      </c>
      <c r="H4376" s="0" t="s">
        <v>155</v>
      </c>
      <c r="I4376" s="0" t="s">
        <v>43</v>
      </c>
      <c r="J4376" s="0" t="s">
        <v>44</v>
      </c>
      <c r="K4376" s="0" t="s">
        <v>30</v>
      </c>
      <c r="L4376" s="0" t="s">
        <v>31</v>
      </c>
      <c r="M4376" s="0" t="s">
        <v>140</v>
      </c>
      <c r="N4376" s="0" t="n">
        <v>955</v>
      </c>
      <c r="O4376" s="10" t="n">
        <v>0.255462570581585</v>
      </c>
      <c r="P4376" s="10" t="n">
        <v>0.298559809103608</v>
      </c>
      <c r="Q4376" s="0" t="str">
        <f aca="false">SUBSTITUTE(SUBSTITUTE($I4376,CHAR(61),""),CHAR(34),"")</f>
        <v>35-49</v>
      </c>
      <c r="R4376" s="0" t="str">
        <f aca="false">IF($D4376&lt;&gt;"","["&amp;$E4376&amp;"]"&amp;"|"&amp;$Q4376&amp;"|"&amp;$K4376&amp;"|"&amp;$G4376&amp;"|"&amp;IF($G4376="TX_CURR_SUBNAT.R","CY2022Q4",$M4376),"")</f>
        <v>[rpw540fmNUz]|35-49|Female|PMTCT_STAT_SUBNAT.D.T_1|CY2023Q3</v>
      </c>
    </row>
    <row r="4377" customFormat="false" ht="15" hidden="false" customHeight="false" outlineLevel="0" collapsed="false">
      <c r="D4377" s="0" t="s">
        <v>117</v>
      </c>
      <c r="E4377" s="0" t="s">
        <v>118</v>
      </c>
      <c r="F4377" s="0" t="s">
        <v>119</v>
      </c>
      <c r="G4377" s="0" t="s">
        <v>154</v>
      </c>
      <c r="H4377" s="0" t="s">
        <v>155</v>
      </c>
      <c r="I4377" s="0" t="s">
        <v>38</v>
      </c>
      <c r="J4377" s="0" t="s">
        <v>39</v>
      </c>
      <c r="K4377" s="0" t="s">
        <v>30</v>
      </c>
      <c r="L4377" s="0" t="s">
        <v>31</v>
      </c>
      <c r="M4377" s="0" t="s">
        <v>140</v>
      </c>
      <c r="N4377" s="0" t="n">
        <v>1027</v>
      </c>
      <c r="O4377" s="10" t="n">
        <v>0.517493163468316</v>
      </c>
      <c r="P4377" s="10" t="n">
        <v>0.206259709550068</v>
      </c>
      <c r="Q4377" s="0" t="str">
        <f aca="false">SUBSTITUTE(SUBSTITUTE($I4377,CHAR(61),""),CHAR(34),"")</f>
        <v>15-24</v>
      </c>
      <c r="R4377" s="0" t="str">
        <f aca="false">IF($D4377&lt;&gt;"","["&amp;$E4377&amp;"]"&amp;"|"&amp;$Q4377&amp;"|"&amp;$K4377&amp;"|"&amp;$G4377&amp;"|"&amp;IF($G4377="TX_CURR_SUBNAT.R","CY2022Q4",$M4377),"")</f>
        <v>[lPTyjLi4w3d]|15-24|Female|PMTCT_STAT_SUBNAT.D.T_1|CY2023Q3</v>
      </c>
    </row>
    <row r="4378" customFormat="false" ht="15" hidden="false" customHeight="false" outlineLevel="0" collapsed="false">
      <c r="D4378" s="0" t="s">
        <v>117</v>
      </c>
      <c r="E4378" s="0" t="s">
        <v>118</v>
      </c>
      <c r="F4378" s="0" t="s">
        <v>119</v>
      </c>
      <c r="G4378" s="0" t="s">
        <v>154</v>
      </c>
      <c r="H4378" s="0" t="s">
        <v>155</v>
      </c>
      <c r="I4378" s="0" t="s">
        <v>41</v>
      </c>
      <c r="J4378" s="0" t="s">
        <v>42</v>
      </c>
      <c r="K4378" s="0" t="s">
        <v>30</v>
      </c>
      <c r="L4378" s="0" t="s">
        <v>31</v>
      </c>
      <c r="M4378" s="0" t="s">
        <v>140</v>
      </c>
      <c r="N4378" s="0" t="n">
        <v>768</v>
      </c>
      <c r="O4378" s="10" t="n">
        <v>0.352073246380314</v>
      </c>
      <c r="P4378" s="10" t="n">
        <v>0.206259709550068</v>
      </c>
      <c r="Q4378" s="0" t="str">
        <f aca="false">SUBSTITUTE(SUBSTITUTE($I4378,CHAR(61),""),CHAR(34),"")</f>
        <v>25-34</v>
      </c>
      <c r="R4378" s="0" t="str">
        <f aca="false">IF($D4378&lt;&gt;"","["&amp;$E4378&amp;"]"&amp;"|"&amp;$Q4378&amp;"|"&amp;$K4378&amp;"|"&amp;$G4378&amp;"|"&amp;IF($G4378="TX_CURR_SUBNAT.R","CY2022Q4",$M4378),"")</f>
        <v>[lPTyjLi4w3d]|25-34|Female|PMTCT_STAT_SUBNAT.D.T_1|CY2023Q3</v>
      </c>
    </row>
    <row r="4379" customFormat="false" ht="15" hidden="false" customHeight="false" outlineLevel="0" collapsed="false">
      <c r="D4379" s="0" t="s">
        <v>117</v>
      </c>
      <c r="E4379" s="0" t="s">
        <v>118</v>
      </c>
      <c r="F4379" s="0" t="s">
        <v>119</v>
      </c>
      <c r="G4379" s="0" t="s">
        <v>154</v>
      </c>
      <c r="H4379" s="0" t="s">
        <v>155</v>
      </c>
      <c r="I4379" s="0" t="s">
        <v>43</v>
      </c>
      <c r="J4379" s="0" t="s">
        <v>44</v>
      </c>
      <c r="K4379" s="0" t="s">
        <v>30</v>
      </c>
      <c r="L4379" s="0" t="s">
        <v>31</v>
      </c>
      <c r="M4379" s="0" t="s">
        <v>140</v>
      </c>
      <c r="N4379" s="0" t="n">
        <v>1096</v>
      </c>
      <c r="O4379" s="10" t="n">
        <v>0.892136941663921</v>
      </c>
      <c r="P4379" s="10" t="n">
        <v>0.206259709550068</v>
      </c>
      <c r="Q4379" s="0" t="str">
        <f aca="false">SUBSTITUTE(SUBSTITUTE($I4379,CHAR(61),""),CHAR(34),"")</f>
        <v>35-49</v>
      </c>
      <c r="R4379" s="0" t="str">
        <f aca="false">IF($D4379&lt;&gt;"","["&amp;$E4379&amp;"]"&amp;"|"&amp;$Q4379&amp;"|"&amp;$K4379&amp;"|"&amp;$G4379&amp;"|"&amp;IF($G4379="TX_CURR_SUBNAT.R","CY2022Q4",$M4379),"")</f>
        <v>[lPTyjLi4w3d]|35-49|Female|PMTCT_STAT_SUBNAT.D.T_1|CY2023Q3</v>
      </c>
    </row>
    <row r="4380" customFormat="false" ht="15" hidden="false" customHeight="false" outlineLevel="0" collapsed="false">
      <c r="D4380" s="0" t="s">
        <v>120</v>
      </c>
      <c r="E4380" s="0" t="s">
        <v>121</v>
      </c>
      <c r="F4380" s="0" t="s">
        <v>122</v>
      </c>
      <c r="G4380" s="0" t="s">
        <v>154</v>
      </c>
      <c r="H4380" s="0" t="s">
        <v>155</v>
      </c>
      <c r="I4380" s="0" t="s">
        <v>38</v>
      </c>
      <c r="J4380" s="0" t="s">
        <v>39</v>
      </c>
      <c r="K4380" s="0" t="s">
        <v>30</v>
      </c>
      <c r="L4380" s="0" t="s">
        <v>31</v>
      </c>
      <c r="M4380" s="0" t="s">
        <v>140</v>
      </c>
      <c r="N4380" s="0" t="n">
        <v>1490</v>
      </c>
      <c r="O4380" s="10" t="n">
        <v>0.766676579369232</v>
      </c>
      <c r="P4380" s="10" t="n">
        <v>0.430103979306296</v>
      </c>
      <c r="Q4380" s="0" t="str">
        <f aca="false">SUBSTITUTE(SUBSTITUTE($I4380,CHAR(61),""),CHAR(34),"")</f>
        <v>15-24</v>
      </c>
      <c r="R4380" s="0" t="str">
        <f aca="false">IF($D4380&lt;&gt;"","["&amp;$E4380&amp;"]"&amp;"|"&amp;$Q4380&amp;"|"&amp;$K4380&amp;"|"&amp;$G4380&amp;"|"&amp;IF($G4380="TX_CURR_SUBNAT.R","CY2022Q4",$M4380),"")</f>
        <v>[vA4NcHxfMBq]|15-24|Female|PMTCT_STAT_SUBNAT.D.T_1|CY2023Q3</v>
      </c>
    </row>
    <row r="4381" customFormat="false" ht="15" hidden="false" customHeight="false" outlineLevel="0" collapsed="false">
      <c r="D4381" s="0" t="s">
        <v>120</v>
      </c>
      <c r="E4381" s="0" t="s">
        <v>121</v>
      </c>
      <c r="F4381" s="0" t="s">
        <v>122</v>
      </c>
      <c r="G4381" s="0" t="s">
        <v>154</v>
      </c>
      <c r="H4381" s="0" t="s">
        <v>155</v>
      </c>
      <c r="I4381" s="0" t="s">
        <v>41</v>
      </c>
      <c r="J4381" s="0" t="s">
        <v>42</v>
      </c>
      <c r="K4381" s="0" t="s">
        <v>30</v>
      </c>
      <c r="L4381" s="0" t="s">
        <v>31</v>
      </c>
      <c r="M4381" s="0" t="s">
        <v>140</v>
      </c>
      <c r="N4381" s="0" t="n">
        <v>631</v>
      </c>
      <c r="O4381" s="10" t="n">
        <v>0.49537864443846</v>
      </c>
      <c r="P4381" s="10" t="n">
        <v>0.430103979306296</v>
      </c>
      <c r="Q4381" s="0" t="str">
        <f aca="false">SUBSTITUTE(SUBSTITUTE($I4381,CHAR(61),""),CHAR(34),"")</f>
        <v>25-34</v>
      </c>
      <c r="R4381" s="0" t="str">
        <f aca="false">IF($D4381&lt;&gt;"","["&amp;$E4381&amp;"]"&amp;"|"&amp;$Q4381&amp;"|"&amp;$K4381&amp;"|"&amp;$G4381&amp;"|"&amp;IF($G4381="TX_CURR_SUBNAT.R","CY2022Q4",$M4381),"")</f>
        <v>[vA4NcHxfMBq]|25-34|Female|PMTCT_STAT_SUBNAT.D.T_1|CY2023Q3</v>
      </c>
    </row>
    <row r="4382" customFormat="false" ht="15" hidden="false" customHeight="false" outlineLevel="0" collapsed="false">
      <c r="D4382" s="0" t="s">
        <v>120</v>
      </c>
      <c r="E4382" s="0" t="s">
        <v>121</v>
      </c>
      <c r="F4382" s="0" t="s">
        <v>122</v>
      </c>
      <c r="G4382" s="0" t="s">
        <v>154</v>
      </c>
      <c r="H4382" s="0" t="s">
        <v>155</v>
      </c>
      <c r="I4382" s="0" t="s">
        <v>43</v>
      </c>
      <c r="J4382" s="0" t="s">
        <v>44</v>
      </c>
      <c r="K4382" s="0" t="s">
        <v>30</v>
      </c>
      <c r="L4382" s="0" t="s">
        <v>31</v>
      </c>
      <c r="M4382" s="0" t="s">
        <v>140</v>
      </c>
      <c r="N4382" s="0" t="n">
        <v>1133</v>
      </c>
      <c r="O4382" s="10" t="n">
        <v>0.944862731499597</v>
      </c>
      <c r="P4382" s="10" t="n">
        <v>0.430103979306296</v>
      </c>
      <c r="Q4382" s="0" t="str">
        <f aca="false">SUBSTITUTE(SUBSTITUTE($I4382,CHAR(61),""),CHAR(34),"")</f>
        <v>35-49</v>
      </c>
      <c r="R4382" s="0" t="str">
        <f aca="false">IF($D4382&lt;&gt;"","["&amp;$E4382&amp;"]"&amp;"|"&amp;$Q4382&amp;"|"&amp;$K4382&amp;"|"&amp;$G4382&amp;"|"&amp;IF($G4382="TX_CURR_SUBNAT.R","CY2022Q4",$M4382),"")</f>
        <v>[vA4NcHxfMBq]|35-49|Female|PMTCT_STAT_SUBNAT.D.T_1|CY2023Q3</v>
      </c>
    </row>
    <row r="4383" customFormat="false" ht="15" hidden="false" customHeight="false" outlineLevel="0" collapsed="false">
      <c r="D4383" s="0" t="s">
        <v>123</v>
      </c>
      <c r="E4383" s="0" t="s">
        <v>124</v>
      </c>
      <c r="F4383" s="0" t="s">
        <v>125</v>
      </c>
      <c r="G4383" s="0" t="s">
        <v>154</v>
      </c>
      <c r="H4383" s="0" t="s">
        <v>155</v>
      </c>
      <c r="I4383" s="0" t="s">
        <v>38</v>
      </c>
      <c r="J4383" s="0" t="s">
        <v>39</v>
      </c>
      <c r="K4383" s="0" t="s">
        <v>30</v>
      </c>
      <c r="L4383" s="0" t="s">
        <v>31</v>
      </c>
      <c r="M4383" s="0" t="s">
        <v>140</v>
      </c>
      <c r="N4383" s="0" t="n">
        <v>1525</v>
      </c>
      <c r="O4383" s="10" t="n">
        <v>0.775586583418772</v>
      </c>
      <c r="P4383" s="10" t="n">
        <v>0.419500603340566</v>
      </c>
      <c r="Q4383" s="0" t="str">
        <f aca="false">SUBSTITUTE(SUBSTITUTE($I4383,CHAR(61),""),CHAR(34),"")</f>
        <v>15-24</v>
      </c>
      <c r="R4383" s="0" t="str">
        <f aca="false">IF($D4383&lt;&gt;"","["&amp;$E4383&amp;"]"&amp;"|"&amp;$Q4383&amp;"|"&amp;$K4383&amp;"|"&amp;$G4383&amp;"|"&amp;IF($G4383="TX_CURR_SUBNAT.R","CY2022Q4",$M4383),"")</f>
        <v>[E7zpfyBt7Tw]|15-24|Female|PMTCT_STAT_SUBNAT.D.T_1|CY2023Q3</v>
      </c>
    </row>
    <row r="4384" customFormat="false" ht="15" hidden="false" customHeight="false" outlineLevel="0" collapsed="false">
      <c r="D4384" s="0" t="s">
        <v>123</v>
      </c>
      <c r="E4384" s="0" t="s">
        <v>124</v>
      </c>
      <c r="F4384" s="0" t="s">
        <v>125</v>
      </c>
      <c r="G4384" s="0" t="s">
        <v>154</v>
      </c>
      <c r="H4384" s="0" t="s">
        <v>155</v>
      </c>
      <c r="I4384" s="0" t="s">
        <v>41</v>
      </c>
      <c r="J4384" s="0" t="s">
        <v>42</v>
      </c>
      <c r="K4384" s="0" t="s">
        <v>30</v>
      </c>
      <c r="L4384" s="0" t="s">
        <v>31</v>
      </c>
      <c r="M4384" s="0" t="s">
        <v>140</v>
      </c>
      <c r="N4384" s="0" t="n">
        <v>552</v>
      </c>
      <c r="O4384" s="10" t="n">
        <v>0.936715496936813</v>
      </c>
      <c r="P4384" s="10" t="n">
        <v>0.419500603340566</v>
      </c>
      <c r="Q4384" s="0" t="str">
        <f aca="false">SUBSTITUTE(SUBSTITUTE($I4384,CHAR(61),""),CHAR(34),"")</f>
        <v>25-34</v>
      </c>
      <c r="R4384" s="0" t="str">
        <f aca="false">IF($D4384&lt;&gt;"","["&amp;$E4384&amp;"]"&amp;"|"&amp;$Q4384&amp;"|"&amp;$K4384&amp;"|"&amp;$G4384&amp;"|"&amp;IF($G4384="TX_CURR_SUBNAT.R","CY2022Q4",$M4384),"")</f>
        <v>[E7zpfyBt7Tw]|25-34|Female|PMTCT_STAT_SUBNAT.D.T_1|CY2023Q3</v>
      </c>
    </row>
    <row r="4385" customFormat="false" ht="15" hidden="false" customHeight="false" outlineLevel="0" collapsed="false">
      <c r="D4385" s="0" t="s">
        <v>123</v>
      </c>
      <c r="E4385" s="0" t="s">
        <v>124</v>
      </c>
      <c r="F4385" s="0" t="s">
        <v>125</v>
      </c>
      <c r="G4385" s="0" t="s">
        <v>154</v>
      </c>
      <c r="H4385" s="0" t="s">
        <v>155</v>
      </c>
      <c r="I4385" s="0" t="s">
        <v>43</v>
      </c>
      <c r="J4385" s="0" t="s">
        <v>44</v>
      </c>
      <c r="K4385" s="0" t="s">
        <v>30</v>
      </c>
      <c r="L4385" s="0" t="s">
        <v>31</v>
      </c>
      <c r="M4385" s="0" t="s">
        <v>140</v>
      </c>
      <c r="N4385" s="0" t="n">
        <v>1592</v>
      </c>
      <c r="O4385" s="10" t="n">
        <v>0.872551348526031</v>
      </c>
      <c r="P4385" s="10" t="n">
        <v>0.419500603340566</v>
      </c>
      <c r="Q4385" s="0" t="str">
        <f aca="false">SUBSTITUTE(SUBSTITUTE($I4385,CHAR(61),""),CHAR(34),"")</f>
        <v>35-49</v>
      </c>
      <c r="R4385" s="0" t="str">
        <f aca="false">IF($D4385&lt;&gt;"","["&amp;$E4385&amp;"]"&amp;"|"&amp;$Q4385&amp;"|"&amp;$K4385&amp;"|"&amp;$G4385&amp;"|"&amp;IF($G4385="TX_CURR_SUBNAT.R","CY2022Q4",$M4385),"")</f>
        <v>[E7zpfyBt7Tw]|35-49|Female|PMTCT_STAT_SUBNAT.D.T_1|CY2023Q3</v>
      </c>
    </row>
    <row r="4386" customFormat="false" ht="15" hidden="false" customHeight="false" outlineLevel="0" collapsed="false">
      <c r="D4386" s="0" t="s">
        <v>126</v>
      </c>
      <c r="E4386" s="0" t="s">
        <v>127</v>
      </c>
      <c r="F4386" s="0" t="s">
        <v>128</v>
      </c>
      <c r="G4386" s="0" t="s">
        <v>154</v>
      </c>
      <c r="H4386" s="0" t="s">
        <v>155</v>
      </c>
      <c r="I4386" s="0" t="s">
        <v>38</v>
      </c>
      <c r="J4386" s="0" t="s">
        <v>39</v>
      </c>
      <c r="K4386" s="0" t="s">
        <v>30</v>
      </c>
      <c r="L4386" s="0" t="s">
        <v>31</v>
      </c>
      <c r="M4386" s="0" t="s">
        <v>140</v>
      </c>
      <c r="N4386" s="0" t="n">
        <v>1217</v>
      </c>
      <c r="O4386" s="10" t="n">
        <v>0.349168153246865</v>
      </c>
      <c r="P4386" s="10" t="n">
        <v>0.252706390339881</v>
      </c>
      <c r="Q4386" s="0" t="str">
        <f aca="false">SUBSTITUTE(SUBSTITUTE($I4386,CHAR(61),""),CHAR(34),"")</f>
        <v>15-24</v>
      </c>
      <c r="R4386" s="0" t="str">
        <f aca="false">IF($D4386&lt;&gt;"","["&amp;$E4386&amp;"]"&amp;"|"&amp;$Q4386&amp;"|"&amp;$K4386&amp;"|"&amp;$G4386&amp;"|"&amp;IF($G4386="TX_CURR_SUBNAT.R","CY2022Q4",$M4386),"")</f>
        <v>[ZCjuwgaMB9u]|15-24|Female|PMTCT_STAT_SUBNAT.D.T_1|CY2023Q3</v>
      </c>
    </row>
    <row r="4387" customFormat="false" ht="15" hidden="false" customHeight="false" outlineLevel="0" collapsed="false">
      <c r="D4387" s="0" t="s">
        <v>126</v>
      </c>
      <c r="E4387" s="0" t="s">
        <v>127</v>
      </c>
      <c r="F4387" s="0" t="s">
        <v>128</v>
      </c>
      <c r="G4387" s="0" t="s">
        <v>154</v>
      </c>
      <c r="H4387" s="0" t="s">
        <v>155</v>
      </c>
      <c r="I4387" s="0" t="s">
        <v>41</v>
      </c>
      <c r="J4387" s="0" t="s">
        <v>42</v>
      </c>
      <c r="K4387" s="0" t="s">
        <v>30</v>
      </c>
      <c r="L4387" s="0" t="s">
        <v>31</v>
      </c>
      <c r="M4387" s="0" t="s">
        <v>140</v>
      </c>
      <c r="N4387" s="0" t="n">
        <v>1005</v>
      </c>
      <c r="O4387" s="10" t="n">
        <v>0.268140450818464</v>
      </c>
      <c r="P4387" s="10" t="n">
        <v>0.252706390339881</v>
      </c>
      <c r="Q4387" s="0" t="str">
        <f aca="false">SUBSTITUTE(SUBSTITUTE($I4387,CHAR(61),""),CHAR(34),"")</f>
        <v>25-34</v>
      </c>
      <c r="R4387" s="0" t="str">
        <f aca="false">IF($D4387&lt;&gt;"","["&amp;$E4387&amp;"]"&amp;"|"&amp;$Q4387&amp;"|"&amp;$K4387&amp;"|"&amp;$G4387&amp;"|"&amp;IF($G4387="TX_CURR_SUBNAT.R","CY2022Q4",$M4387),"")</f>
        <v>[ZCjuwgaMB9u]|25-34|Female|PMTCT_STAT_SUBNAT.D.T_1|CY2023Q3</v>
      </c>
    </row>
    <row r="4388" customFormat="false" ht="15" hidden="false" customHeight="false" outlineLevel="0" collapsed="false">
      <c r="D4388" s="0" t="s">
        <v>126</v>
      </c>
      <c r="E4388" s="0" t="s">
        <v>127</v>
      </c>
      <c r="F4388" s="0" t="s">
        <v>128</v>
      </c>
      <c r="G4388" s="0" t="s">
        <v>154</v>
      </c>
      <c r="H4388" s="0" t="s">
        <v>155</v>
      </c>
      <c r="I4388" s="0" t="s">
        <v>43</v>
      </c>
      <c r="J4388" s="0" t="s">
        <v>44</v>
      </c>
      <c r="K4388" s="0" t="s">
        <v>30</v>
      </c>
      <c r="L4388" s="0" t="s">
        <v>31</v>
      </c>
      <c r="M4388" s="0" t="s">
        <v>140</v>
      </c>
      <c r="N4388" s="0" t="n">
        <v>1638</v>
      </c>
      <c r="O4388" s="10" t="n">
        <v>0.659680310171098</v>
      </c>
      <c r="P4388" s="10" t="n">
        <v>0.252706390339881</v>
      </c>
      <c r="Q4388" s="0" t="str">
        <f aca="false">SUBSTITUTE(SUBSTITUTE($I4388,CHAR(61),""),CHAR(34),"")</f>
        <v>35-49</v>
      </c>
      <c r="R4388" s="0" t="str">
        <f aca="false">IF($D4388&lt;&gt;"","["&amp;$E4388&amp;"]"&amp;"|"&amp;$Q4388&amp;"|"&amp;$K4388&amp;"|"&amp;$G4388&amp;"|"&amp;IF($G4388="TX_CURR_SUBNAT.R","CY2022Q4",$M4388),"")</f>
        <v>[ZCjuwgaMB9u]|35-49|Female|PMTCT_STAT_SUBNAT.D.T_1|CY2023Q3</v>
      </c>
    </row>
    <row r="4389" customFormat="false" ht="15" hidden="false" customHeight="false" outlineLevel="0" collapsed="false">
      <c r="D4389" s="0" t="s">
        <v>129</v>
      </c>
      <c r="E4389" s="0" t="s">
        <v>130</v>
      </c>
      <c r="F4389" s="0" t="s">
        <v>131</v>
      </c>
      <c r="G4389" s="0" t="s">
        <v>154</v>
      </c>
      <c r="H4389" s="0" t="s">
        <v>155</v>
      </c>
      <c r="I4389" s="0" t="s">
        <v>38</v>
      </c>
      <c r="J4389" s="0" t="s">
        <v>39</v>
      </c>
      <c r="K4389" s="0" t="s">
        <v>30</v>
      </c>
      <c r="L4389" s="0" t="s">
        <v>31</v>
      </c>
      <c r="M4389" s="0" t="s">
        <v>140</v>
      </c>
      <c r="N4389" s="0" t="n">
        <v>1919</v>
      </c>
      <c r="O4389" s="10" t="n">
        <v>0.78958003455773</v>
      </c>
      <c r="P4389" s="10" t="n">
        <v>0.556908084778115</v>
      </c>
      <c r="Q4389" s="0" t="str">
        <f aca="false">SUBSTITUTE(SUBSTITUTE($I4389,CHAR(61),""),CHAR(34),"")</f>
        <v>15-24</v>
      </c>
      <c r="R4389" s="0" t="str">
        <f aca="false">IF($D4389&lt;&gt;"","["&amp;$E4389&amp;"]"&amp;"|"&amp;$Q4389&amp;"|"&amp;$K4389&amp;"|"&amp;$G4389&amp;"|"&amp;IF($G4389="TX_CURR_SUBNAT.R","CY2022Q4",$M4389),"")</f>
        <v>[YCKiBAp8QAg]|15-24|Female|PMTCT_STAT_SUBNAT.D.T_1|CY2023Q3</v>
      </c>
    </row>
    <row r="4390" customFormat="false" ht="15" hidden="false" customHeight="false" outlineLevel="0" collapsed="false">
      <c r="D4390" s="0" t="s">
        <v>129</v>
      </c>
      <c r="E4390" s="0" t="s">
        <v>130</v>
      </c>
      <c r="F4390" s="0" t="s">
        <v>131</v>
      </c>
      <c r="G4390" s="0" t="s">
        <v>154</v>
      </c>
      <c r="H4390" s="0" t="s">
        <v>155</v>
      </c>
      <c r="I4390" s="0" t="s">
        <v>41</v>
      </c>
      <c r="J4390" s="0" t="s">
        <v>42</v>
      </c>
      <c r="K4390" s="0" t="s">
        <v>30</v>
      </c>
      <c r="L4390" s="0" t="s">
        <v>31</v>
      </c>
      <c r="M4390" s="0" t="s">
        <v>140</v>
      </c>
      <c r="N4390" s="0" t="n">
        <v>600</v>
      </c>
      <c r="O4390" s="10" t="n">
        <v>0.589712966466323</v>
      </c>
      <c r="P4390" s="10" t="n">
        <v>0.556908084778115</v>
      </c>
      <c r="Q4390" s="0" t="str">
        <f aca="false">SUBSTITUTE(SUBSTITUTE($I4390,CHAR(61),""),CHAR(34),"")</f>
        <v>25-34</v>
      </c>
      <c r="R4390" s="0" t="str">
        <f aca="false">IF($D4390&lt;&gt;"","["&amp;$E4390&amp;"]"&amp;"|"&amp;$Q4390&amp;"|"&amp;$K4390&amp;"|"&amp;$G4390&amp;"|"&amp;IF($G4390="TX_CURR_SUBNAT.R","CY2022Q4",$M4390),"")</f>
        <v>[YCKiBAp8QAg]|25-34|Female|PMTCT_STAT_SUBNAT.D.T_1|CY2023Q3</v>
      </c>
    </row>
    <row r="4391" customFormat="false" ht="15" hidden="false" customHeight="false" outlineLevel="0" collapsed="false">
      <c r="D4391" s="0" t="s">
        <v>129</v>
      </c>
      <c r="E4391" s="0" t="s">
        <v>130</v>
      </c>
      <c r="F4391" s="0" t="s">
        <v>131</v>
      </c>
      <c r="G4391" s="0" t="s">
        <v>154</v>
      </c>
      <c r="H4391" s="0" t="s">
        <v>155</v>
      </c>
      <c r="I4391" s="0" t="s">
        <v>43</v>
      </c>
      <c r="J4391" s="0" t="s">
        <v>44</v>
      </c>
      <c r="K4391" s="0" t="s">
        <v>30</v>
      </c>
      <c r="L4391" s="0" t="s">
        <v>31</v>
      </c>
      <c r="M4391" s="0" t="s">
        <v>140</v>
      </c>
      <c r="N4391" s="0" t="n">
        <v>505</v>
      </c>
      <c r="O4391" s="10" t="n">
        <v>0.473469552118331</v>
      </c>
      <c r="P4391" s="10" t="n">
        <v>0.556908084778115</v>
      </c>
      <c r="Q4391" s="0" t="str">
        <f aca="false">SUBSTITUTE(SUBSTITUTE($I4391,CHAR(61),""),CHAR(34),"")</f>
        <v>35-49</v>
      </c>
      <c r="R4391" s="0" t="str">
        <f aca="false">IF($D4391&lt;&gt;"","["&amp;$E4391&amp;"]"&amp;"|"&amp;$Q4391&amp;"|"&amp;$K4391&amp;"|"&amp;$G4391&amp;"|"&amp;IF($G4391="TX_CURR_SUBNAT.R","CY2022Q4",$M4391),"")</f>
        <v>[YCKiBAp8QAg]|35-49|Female|PMTCT_STAT_SUBNAT.D.T_1|CY2023Q3</v>
      </c>
    </row>
    <row r="4392" customFormat="false" ht="15" hidden="false" customHeight="false" outlineLevel="0" collapsed="false">
      <c r="D4392" s="0" t="s">
        <v>132</v>
      </c>
      <c r="E4392" s="0" t="s">
        <v>133</v>
      </c>
      <c r="F4392" s="0" t="s">
        <v>134</v>
      </c>
      <c r="G4392" s="0" t="s">
        <v>154</v>
      </c>
      <c r="H4392" s="0" t="s">
        <v>155</v>
      </c>
      <c r="I4392" s="0" t="s">
        <v>38</v>
      </c>
      <c r="J4392" s="0" t="s">
        <v>39</v>
      </c>
      <c r="K4392" s="0" t="s">
        <v>30</v>
      </c>
      <c r="L4392" s="0" t="s">
        <v>31</v>
      </c>
      <c r="M4392" s="0" t="s">
        <v>140</v>
      </c>
      <c r="N4392" s="0" t="n">
        <v>790</v>
      </c>
      <c r="O4392" s="10" t="n">
        <v>0.265988180879503</v>
      </c>
      <c r="P4392" s="10" t="n">
        <v>0.162863194011152</v>
      </c>
      <c r="Q4392" s="0" t="str">
        <f aca="false">SUBSTITUTE(SUBSTITUTE($I4392,CHAR(61),""),CHAR(34),"")</f>
        <v>15-24</v>
      </c>
      <c r="R4392" s="0" t="str">
        <f aca="false">IF($D4392&lt;&gt;"","["&amp;$E4392&amp;"]"&amp;"|"&amp;$Q4392&amp;"|"&amp;$K4392&amp;"|"&amp;$G4392&amp;"|"&amp;IF($G4392="TX_CURR_SUBNAT.R","CY2022Q4",$M4392),"")</f>
        <v>[JQKLKuVuY61]|15-24|Female|PMTCT_STAT_SUBNAT.D.T_1|CY2023Q3</v>
      </c>
    </row>
    <row r="4393" customFormat="false" ht="15" hidden="false" customHeight="false" outlineLevel="0" collapsed="false">
      <c r="D4393" s="0" t="s">
        <v>132</v>
      </c>
      <c r="E4393" s="0" t="s">
        <v>133</v>
      </c>
      <c r="F4393" s="0" t="s">
        <v>134</v>
      </c>
      <c r="G4393" s="0" t="s">
        <v>154</v>
      </c>
      <c r="H4393" s="0" t="s">
        <v>155</v>
      </c>
      <c r="I4393" s="0" t="s">
        <v>41</v>
      </c>
      <c r="J4393" s="0" t="s">
        <v>42</v>
      </c>
      <c r="K4393" s="0" t="s">
        <v>30</v>
      </c>
      <c r="L4393" s="0" t="s">
        <v>31</v>
      </c>
      <c r="M4393" s="0" t="s">
        <v>140</v>
      </c>
      <c r="N4393" s="0" t="n">
        <v>938</v>
      </c>
      <c r="O4393" s="10" t="n">
        <v>0.298544513992965</v>
      </c>
      <c r="P4393" s="10" t="n">
        <v>0.162863194011152</v>
      </c>
      <c r="Q4393" s="0" t="str">
        <f aca="false">SUBSTITUTE(SUBSTITUTE($I4393,CHAR(61),""),CHAR(34),"")</f>
        <v>25-34</v>
      </c>
      <c r="R4393" s="0" t="str">
        <f aca="false">IF($D4393&lt;&gt;"","["&amp;$E4393&amp;"]"&amp;"|"&amp;$Q4393&amp;"|"&amp;$K4393&amp;"|"&amp;$G4393&amp;"|"&amp;IF($G4393="TX_CURR_SUBNAT.R","CY2022Q4",$M4393),"")</f>
        <v>[JQKLKuVuY61]|25-34|Female|PMTCT_STAT_SUBNAT.D.T_1|CY2023Q3</v>
      </c>
    </row>
    <row r="4394" customFormat="false" ht="15" hidden="false" customHeight="false" outlineLevel="0" collapsed="false">
      <c r="D4394" s="0" t="s">
        <v>132</v>
      </c>
      <c r="E4394" s="0" t="s">
        <v>133</v>
      </c>
      <c r="F4394" s="0" t="s">
        <v>134</v>
      </c>
      <c r="G4394" s="0" t="s">
        <v>154</v>
      </c>
      <c r="H4394" s="0" t="s">
        <v>155</v>
      </c>
      <c r="I4394" s="0" t="s">
        <v>43</v>
      </c>
      <c r="J4394" s="0" t="s">
        <v>44</v>
      </c>
      <c r="K4394" s="0" t="s">
        <v>30</v>
      </c>
      <c r="L4394" s="0" t="s">
        <v>31</v>
      </c>
      <c r="M4394" s="0" t="s">
        <v>140</v>
      </c>
      <c r="N4394" s="0" t="n">
        <v>1413</v>
      </c>
      <c r="O4394" s="10" t="n">
        <v>0.409220356727019</v>
      </c>
      <c r="P4394" s="10" t="n">
        <v>0.162863194011152</v>
      </c>
      <c r="Q4394" s="0" t="str">
        <f aca="false">SUBSTITUTE(SUBSTITUTE($I4394,CHAR(61),""),CHAR(34),"")</f>
        <v>35-49</v>
      </c>
      <c r="R4394" s="0" t="str">
        <f aca="false">IF($D4394&lt;&gt;"","["&amp;$E4394&amp;"]"&amp;"|"&amp;$Q4394&amp;"|"&amp;$K4394&amp;"|"&amp;$G4394&amp;"|"&amp;IF($G4394="TX_CURR_SUBNAT.R","CY2022Q4",$M4394),"")</f>
        <v>[JQKLKuVuY61]|35-49|Female|PMTCT_STAT_SUBNAT.D.T_1|CY2023Q3</v>
      </c>
    </row>
    <row r="4395" customFormat="false" ht="15" hidden="false" customHeight="false" outlineLevel="0" collapsed="false">
      <c r="D4395" s="0" t="s">
        <v>135</v>
      </c>
      <c r="E4395" s="0" t="s">
        <v>136</v>
      </c>
      <c r="F4395" s="0" t="s">
        <v>137</v>
      </c>
      <c r="G4395" s="0" t="s">
        <v>154</v>
      </c>
      <c r="H4395" s="0" t="s">
        <v>155</v>
      </c>
      <c r="I4395" s="0" t="s">
        <v>38</v>
      </c>
      <c r="J4395" s="0" t="s">
        <v>39</v>
      </c>
      <c r="K4395" s="0" t="s">
        <v>30</v>
      </c>
      <c r="L4395" s="0" t="s">
        <v>31</v>
      </c>
      <c r="M4395" s="0" t="s">
        <v>140</v>
      </c>
      <c r="N4395" s="0" t="n">
        <v>681</v>
      </c>
      <c r="O4395" s="10" t="n">
        <v>0.20846128067933</v>
      </c>
      <c r="P4395" s="10" t="n">
        <v>0.955300528323278</v>
      </c>
      <c r="Q4395" s="0" t="str">
        <f aca="false">SUBSTITUTE(SUBSTITUTE($I4395,CHAR(61),""),CHAR(34),"")</f>
        <v>15-24</v>
      </c>
      <c r="R4395" s="0" t="str">
        <f aca="false">IF($D4395&lt;&gt;"","["&amp;$E4395&amp;"]"&amp;"|"&amp;$Q4395&amp;"|"&amp;$K4395&amp;"|"&amp;$G4395&amp;"|"&amp;IF($G4395="TX_CURR_SUBNAT.R","CY2022Q4",$M4395),"")</f>
        <v>[fiRkU6gEjLz]|15-24|Female|PMTCT_STAT_SUBNAT.D.T_1|CY2023Q3</v>
      </c>
    </row>
    <row r="4396" customFormat="false" ht="15" hidden="false" customHeight="false" outlineLevel="0" collapsed="false">
      <c r="D4396" s="0" t="s">
        <v>135</v>
      </c>
      <c r="E4396" s="0" t="s">
        <v>136</v>
      </c>
      <c r="F4396" s="0" t="s">
        <v>137</v>
      </c>
      <c r="G4396" s="0" t="s">
        <v>154</v>
      </c>
      <c r="H4396" s="0" t="s">
        <v>155</v>
      </c>
      <c r="I4396" s="0" t="s">
        <v>41</v>
      </c>
      <c r="J4396" s="0" t="s">
        <v>42</v>
      </c>
      <c r="K4396" s="0" t="s">
        <v>30</v>
      </c>
      <c r="L4396" s="0" t="s">
        <v>31</v>
      </c>
      <c r="M4396" s="0" t="s">
        <v>140</v>
      </c>
      <c r="N4396" s="0" t="n">
        <v>1407</v>
      </c>
      <c r="O4396" s="10" t="n">
        <v>0.662119940388948</v>
      </c>
      <c r="P4396" s="10" t="n">
        <v>0.955300528323278</v>
      </c>
      <c r="Q4396" s="0" t="str">
        <f aca="false">SUBSTITUTE(SUBSTITUTE($I4396,CHAR(61),""),CHAR(34),"")</f>
        <v>25-34</v>
      </c>
      <c r="R4396" s="0" t="str">
        <f aca="false">IF($D4396&lt;&gt;"","["&amp;$E4396&amp;"]"&amp;"|"&amp;$Q4396&amp;"|"&amp;$K4396&amp;"|"&amp;$G4396&amp;"|"&amp;IF($G4396="TX_CURR_SUBNAT.R","CY2022Q4",$M4396),"")</f>
        <v>[fiRkU6gEjLz]|25-34|Female|PMTCT_STAT_SUBNAT.D.T_1|CY2023Q3</v>
      </c>
    </row>
    <row r="4397" customFormat="false" ht="15" hidden="false" customHeight="false" outlineLevel="0" collapsed="false">
      <c r="D4397" s="0" t="s">
        <v>135</v>
      </c>
      <c r="E4397" s="0" t="s">
        <v>136</v>
      </c>
      <c r="F4397" s="0" t="s">
        <v>137</v>
      </c>
      <c r="G4397" s="0" t="s">
        <v>154</v>
      </c>
      <c r="H4397" s="0" t="s">
        <v>155</v>
      </c>
      <c r="I4397" s="0" t="s">
        <v>43</v>
      </c>
      <c r="J4397" s="0" t="s">
        <v>44</v>
      </c>
      <c r="K4397" s="0" t="s">
        <v>30</v>
      </c>
      <c r="L4397" s="0" t="s">
        <v>31</v>
      </c>
      <c r="M4397" s="0" t="s">
        <v>140</v>
      </c>
      <c r="N4397" s="0" t="n">
        <v>977</v>
      </c>
      <c r="O4397" s="10" t="n">
        <v>0.24985802732408</v>
      </c>
      <c r="P4397" s="10" t="n">
        <v>0.955300528323278</v>
      </c>
      <c r="Q4397" s="0" t="str">
        <f aca="false">SUBSTITUTE(SUBSTITUTE($I4397,CHAR(61),""),CHAR(34),"")</f>
        <v>35-49</v>
      </c>
      <c r="R4397" s="0" t="str">
        <f aca="false">IF($D4397&lt;&gt;"","["&amp;$E4397&amp;"]"&amp;"|"&amp;$Q4397&amp;"|"&amp;$K4397&amp;"|"&amp;$G4397&amp;"|"&amp;IF($G4397="TX_CURR_SUBNAT.R","CY2022Q4",$M4397),"")</f>
        <v>[fiRkU6gEjLz]|35-49|Female|PMTCT_STAT_SUBNAT.D.T_1|CY2023Q3</v>
      </c>
    </row>
    <row r="4398" customFormat="false" ht="15" hidden="false" customHeight="false" outlineLevel="0" collapsed="false">
      <c r="D4398" s="0" t="s">
        <v>23</v>
      </c>
      <c r="E4398" s="0" t="s">
        <v>24</v>
      </c>
      <c r="F4398" s="0" t="s">
        <v>25</v>
      </c>
      <c r="G4398" s="0" t="s">
        <v>156</v>
      </c>
      <c r="H4398" s="0" t="s">
        <v>157</v>
      </c>
      <c r="I4398" s="0" t="s">
        <v>38</v>
      </c>
      <c r="J4398" s="0" t="s">
        <v>39</v>
      </c>
      <c r="K4398" s="0" t="s">
        <v>30</v>
      </c>
      <c r="L4398" s="0" t="s">
        <v>31</v>
      </c>
      <c r="M4398" s="0" t="s">
        <v>140</v>
      </c>
      <c r="N4398" s="0" t="n">
        <v>899</v>
      </c>
      <c r="O4398" s="10" t="n">
        <v>0.628639798611403</v>
      </c>
      <c r="P4398" s="10" t="n">
        <v>0.404358610976487</v>
      </c>
      <c r="Q4398" s="0" t="str">
        <f aca="false">SUBSTITUTE(SUBSTITUTE($I4398,CHAR(61),""),CHAR(34),"")</f>
        <v>15-24</v>
      </c>
      <c r="R4398" s="0" t="str">
        <f aca="false">IF($D4398&lt;&gt;"","["&amp;$E4398&amp;"]"&amp;"|"&amp;$Q4398&amp;"|"&amp;$K4398&amp;"|"&amp;$G4398&amp;"|"&amp;IF($G4398="TX_CURR_SUBNAT.R","CY2022Q4",$M4398),"")</f>
        <v>[GkIwZrXy1h2]|15-24|Female|PMTCT_ART_SUBNAT.D.T_1|CY2023Q3</v>
      </c>
    </row>
    <row r="4399" customFormat="false" ht="15" hidden="false" customHeight="false" outlineLevel="0" collapsed="false">
      <c r="D4399" s="0" t="s">
        <v>23</v>
      </c>
      <c r="E4399" s="0" t="s">
        <v>24</v>
      </c>
      <c r="F4399" s="0" t="s">
        <v>25</v>
      </c>
      <c r="G4399" s="0" t="s">
        <v>156</v>
      </c>
      <c r="H4399" s="0" t="s">
        <v>157</v>
      </c>
      <c r="I4399" s="0" t="s">
        <v>41</v>
      </c>
      <c r="J4399" s="0" t="s">
        <v>42</v>
      </c>
      <c r="K4399" s="0" t="s">
        <v>30</v>
      </c>
      <c r="L4399" s="0" t="s">
        <v>31</v>
      </c>
      <c r="M4399" s="0" t="s">
        <v>140</v>
      </c>
      <c r="N4399" s="0" t="n">
        <v>1417</v>
      </c>
      <c r="O4399" s="10" t="n">
        <v>0.855159952072427</v>
      </c>
      <c r="P4399" s="10" t="n">
        <v>0.404358610976487</v>
      </c>
      <c r="Q4399" s="0" t="str">
        <f aca="false">SUBSTITUTE(SUBSTITUTE($I4399,CHAR(61),""),CHAR(34),"")</f>
        <v>25-34</v>
      </c>
      <c r="R4399" s="0" t="str">
        <f aca="false">IF($D4399&lt;&gt;"","["&amp;$E4399&amp;"]"&amp;"|"&amp;$Q4399&amp;"|"&amp;$K4399&amp;"|"&amp;$G4399&amp;"|"&amp;IF($G4399="TX_CURR_SUBNAT.R","CY2022Q4",$M4399),"")</f>
        <v>[GkIwZrXy1h2]|25-34|Female|PMTCT_ART_SUBNAT.D.T_1|CY2023Q3</v>
      </c>
    </row>
    <row r="4400" customFormat="false" ht="15" hidden="false" customHeight="false" outlineLevel="0" collapsed="false">
      <c r="D4400" s="0" t="s">
        <v>23</v>
      </c>
      <c r="E4400" s="0" t="s">
        <v>24</v>
      </c>
      <c r="F4400" s="0" t="s">
        <v>25</v>
      </c>
      <c r="G4400" s="0" t="s">
        <v>156</v>
      </c>
      <c r="H4400" s="0" t="s">
        <v>157</v>
      </c>
      <c r="I4400" s="0" t="s">
        <v>43</v>
      </c>
      <c r="J4400" s="0" t="s">
        <v>44</v>
      </c>
      <c r="K4400" s="0" t="s">
        <v>30</v>
      </c>
      <c r="L4400" s="0" t="s">
        <v>31</v>
      </c>
      <c r="M4400" s="0" t="s">
        <v>140</v>
      </c>
      <c r="N4400" s="0" t="n">
        <v>1516</v>
      </c>
      <c r="O4400" s="10" t="n">
        <v>0.547147411853075</v>
      </c>
      <c r="P4400" s="10" t="n">
        <v>0.404358610976487</v>
      </c>
      <c r="Q4400" s="0" t="str">
        <f aca="false">SUBSTITUTE(SUBSTITUTE($I4400,CHAR(61),""),CHAR(34),"")</f>
        <v>35-49</v>
      </c>
      <c r="R4400" s="0" t="str">
        <f aca="false">IF($D4400&lt;&gt;"","["&amp;$E4400&amp;"]"&amp;"|"&amp;$Q4400&amp;"|"&amp;$K4400&amp;"|"&amp;$G4400&amp;"|"&amp;IF($G4400="TX_CURR_SUBNAT.R","CY2022Q4",$M4400),"")</f>
        <v>[GkIwZrXy1h2]|35-49|Female|PMTCT_ART_SUBNAT.D.T_1|CY2023Q3</v>
      </c>
    </row>
    <row r="4401" customFormat="false" ht="15" hidden="false" customHeight="false" outlineLevel="0" collapsed="false">
      <c r="D4401" s="0" t="s">
        <v>53</v>
      </c>
      <c r="E4401" s="0" t="s">
        <v>54</v>
      </c>
      <c r="F4401" s="0" t="s">
        <v>55</v>
      </c>
      <c r="G4401" s="0" t="s">
        <v>156</v>
      </c>
      <c r="H4401" s="0" t="s">
        <v>157</v>
      </c>
      <c r="I4401" s="0" t="s">
        <v>38</v>
      </c>
      <c r="J4401" s="0" t="s">
        <v>39</v>
      </c>
      <c r="K4401" s="0" t="s">
        <v>30</v>
      </c>
      <c r="L4401" s="0" t="s">
        <v>31</v>
      </c>
      <c r="M4401" s="0" t="s">
        <v>140</v>
      </c>
      <c r="N4401" s="0" t="n">
        <v>1422</v>
      </c>
      <c r="O4401" s="10" t="n">
        <v>0.164964226540178</v>
      </c>
      <c r="P4401" s="10" t="n">
        <v>0.616392469964921</v>
      </c>
      <c r="Q4401" s="0" t="str">
        <f aca="false">SUBSTITUTE(SUBSTITUTE($I4401,CHAR(61),""),CHAR(34),"")</f>
        <v>15-24</v>
      </c>
      <c r="R4401" s="0" t="str">
        <f aca="false">IF($D4401&lt;&gt;"","["&amp;$E4401&amp;"]"&amp;"|"&amp;$Q4401&amp;"|"&amp;$K4401&amp;"|"&amp;$G4401&amp;"|"&amp;IF($G4401="TX_CURR_SUBNAT.R","CY2022Q4",$M4401),"")</f>
        <v>[zphK9WV8JB4]|15-24|Female|PMTCT_ART_SUBNAT.D.T_1|CY2023Q3</v>
      </c>
    </row>
    <row r="4402" customFormat="false" ht="15" hidden="false" customHeight="false" outlineLevel="0" collapsed="false">
      <c r="D4402" s="0" t="s">
        <v>53</v>
      </c>
      <c r="E4402" s="0" t="s">
        <v>54</v>
      </c>
      <c r="F4402" s="0" t="s">
        <v>55</v>
      </c>
      <c r="G4402" s="0" t="s">
        <v>156</v>
      </c>
      <c r="H4402" s="0" t="s">
        <v>157</v>
      </c>
      <c r="I4402" s="0" t="s">
        <v>41</v>
      </c>
      <c r="J4402" s="0" t="s">
        <v>42</v>
      </c>
      <c r="K4402" s="0" t="s">
        <v>30</v>
      </c>
      <c r="L4402" s="0" t="s">
        <v>31</v>
      </c>
      <c r="M4402" s="0" t="s">
        <v>140</v>
      </c>
      <c r="N4402" s="0" t="n">
        <v>1973</v>
      </c>
      <c r="O4402" s="10" t="n">
        <v>0.927033827407286</v>
      </c>
      <c r="P4402" s="10" t="n">
        <v>0.616392469964921</v>
      </c>
      <c r="Q4402" s="0" t="str">
        <f aca="false">SUBSTITUTE(SUBSTITUTE($I4402,CHAR(61),""),CHAR(34),"")</f>
        <v>25-34</v>
      </c>
      <c r="R4402" s="0" t="str">
        <f aca="false">IF($D4402&lt;&gt;"","["&amp;$E4402&amp;"]"&amp;"|"&amp;$Q4402&amp;"|"&amp;$K4402&amp;"|"&amp;$G4402&amp;"|"&amp;IF($G4402="TX_CURR_SUBNAT.R","CY2022Q4",$M4402),"")</f>
        <v>[zphK9WV8JB4]|25-34|Female|PMTCT_ART_SUBNAT.D.T_1|CY2023Q3</v>
      </c>
    </row>
    <row r="4403" customFormat="false" ht="15" hidden="false" customHeight="false" outlineLevel="0" collapsed="false">
      <c r="D4403" s="0" t="s">
        <v>53</v>
      </c>
      <c r="E4403" s="0" t="s">
        <v>54</v>
      </c>
      <c r="F4403" s="0" t="s">
        <v>55</v>
      </c>
      <c r="G4403" s="0" t="s">
        <v>156</v>
      </c>
      <c r="H4403" s="0" t="s">
        <v>157</v>
      </c>
      <c r="I4403" s="0" t="s">
        <v>43</v>
      </c>
      <c r="J4403" s="0" t="s">
        <v>44</v>
      </c>
      <c r="K4403" s="0" t="s">
        <v>30</v>
      </c>
      <c r="L4403" s="0" t="s">
        <v>31</v>
      </c>
      <c r="M4403" s="0" t="s">
        <v>140</v>
      </c>
      <c r="N4403" s="0" t="n">
        <v>791</v>
      </c>
      <c r="O4403" s="10" t="n">
        <v>0.287139262538403</v>
      </c>
      <c r="P4403" s="10" t="n">
        <v>0.616392469964921</v>
      </c>
      <c r="Q4403" s="0" t="str">
        <f aca="false">SUBSTITUTE(SUBSTITUTE($I4403,CHAR(61),""),CHAR(34),"")</f>
        <v>35-49</v>
      </c>
      <c r="R4403" s="0" t="str">
        <f aca="false">IF($D4403&lt;&gt;"","["&amp;$E4403&amp;"]"&amp;"|"&amp;$Q4403&amp;"|"&amp;$K4403&amp;"|"&amp;$G4403&amp;"|"&amp;IF($G4403="TX_CURR_SUBNAT.R","CY2022Q4",$M4403),"")</f>
        <v>[zphK9WV8JB4]|35-49|Female|PMTCT_ART_SUBNAT.D.T_1|CY2023Q3</v>
      </c>
    </row>
    <row r="4404" customFormat="false" ht="15" hidden="false" customHeight="false" outlineLevel="0" collapsed="false">
      <c r="D4404" s="0" t="s">
        <v>60</v>
      </c>
      <c r="E4404" s="0" t="s">
        <v>61</v>
      </c>
      <c r="F4404" s="0" t="s">
        <v>62</v>
      </c>
      <c r="G4404" s="0" t="s">
        <v>156</v>
      </c>
      <c r="H4404" s="0" t="s">
        <v>157</v>
      </c>
      <c r="I4404" s="0" t="s">
        <v>38</v>
      </c>
      <c r="J4404" s="0" t="s">
        <v>39</v>
      </c>
      <c r="K4404" s="0" t="s">
        <v>30</v>
      </c>
      <c r="L4404" s="0" t="s">
        <v>31</v>
      </c>
      <c r="M4404" s="0" t="s">
        <v>140</v>
      </c>
      <c r="N4404" s="0" t="n">
        <v>1484</v>
      </c>
      <c r="O4404" s="10" t="n">
        <v>0.0687828694935888</v>
      </c>
      <c r="P4404" s="10" t="n">
        <v>0.0268250561784953</v>
      </c>
      <c r="Q4404" s="0" t="str">
        <f aca="false">SUBSTITUTE(SUBSTITUTE($I4404,CHAR(61),""),CHAR(34),"")</f>
        <v>15-24</v>
      </c>
      <c r="R4404" s="0" t="str">
        <f aca="false">IF($D4404&lt;&gt;"","["&amp;$E4404&amp;"]"&amp;"|"&amp;$Q4404&amp;"|"&amp;$K4404&amp;"|"&amp;$G4404&amp;"|"&amp;IF($G4404="TX_CURR_SUBNAT.R","CY2022Q4",$M4404),"")</f>
        <v>[msW2zpIN7up]|15-24|Female|PMTCT_ART_SUBNAT.D.T_1|CY2023Q3</v>
      </c>
    </row>
    <row r="4405" customFormat="false" ht="15" hidden="false" customHeight="false" outlineLevel="0" collapsed="false">
      <c r="D4405" s="0" t="s">
        <v>60</v>
      </c>
      <c r="E4405" s="0" t="s">
        <v>61</v>
      </c>
      <c r="F4405" s="0" t="s">
        <v>62</v>
      </c>
      <c r="G4405" s="0" t="s">
        <v>156</v>
      </c>
      <c r="H4405" s="0" t="s">
        <v>157</v>
      </c>
      <c r="I4405" s="0" t="s">
        <v>41</v>
      </c>
      <c r="J4405" s="0" t="s">
        <v>42</v>
      </c>
      <c r="K4405" s="0" t="s">
        <v>30</v>
      </c>
      <c r="L4405" s="0" t="s">
        <v>31</v>
      </c>
      <c r="M4405" s="0" t="s">
        <v>140</v>
      </c>
      <c r="N4405" s="0" t="n">
        <v>1370</v>
      </c>
      <c r="O4405" s="10" t="n">
        <v>0.905505186878145</v>
      </c>
      <c r="P4405" s="10" t="n">
        <v>0.0268250561784953</v>
      </c>
      <c r="Q4405" s="0" t="str">
        <f aca="false">SUBSTITUTE(SUBSTITUTE($I4405,CHAR(61),""),CHAR(34),"")</f>
        <v>25-34</v>
      </c>
      <c r="R4405" s="0" t="str">
        <f aca="false">IF($D4405&lt;&gt;"","["&amp;$E4405&amp;"]"&amp;"|"&amp;$Q4405&amp;"|"&amp;$K4405&amp;"|"&amp;$G4405&amp;"|"&amp;IF($G4405="TX_CURR_SUBNAT.R","CY2022Q4",$M4405),"")</f>
        <v>[msW2zpIN7up]|25-34|Female|PMTCT_ART_SUBNAT.D.T_1|CY2023Q3</v>
      </c>
    </row>
    <row r="4406" customFormat="false" ht="15" hidden="false" customHeight="false" outlineLevel="0" collapsed="false">
      <c r="D4406" s="0" t="s">
        <v>60</v>
      </c>
      <c r="E4406" s="0" t="s">
        <v>61</v>
      </c>
      <c r="F4406" s="0" t="s">
        <v>62</v>
      </c>
      <c r="G4406" s="0" t="s">
        <v>156</v>
      </c>
      <c r="H4406" s="0" t="s">
        <v>157</v>
      </c>
      <c r="I4406" s="0" t="s">
        <v>43</v>
      </c>
      <c r="J4406" s="0" t="s">
        <v>44</v>
      </c>
      <c r="K4406" s="0" t="s">
        <v>30</v>
      </c>
      <c r="L4406" s="0" t="s">
        <v>31</v>
      </c>
      <c r="M4406" s="0" t="s">
        <v>140</v>
      </c>
      <c r="N4406" s="0" t="n">
        <v>615</v>
      </c>
      <c r="O4406" s="10" t="n">
        <v>0.519839899614453</v>
      </c>
      <c r="P4406" s="10" t="n">
        <v>0.0268250561784953</v>
      </c>
      <c r="Q4406" s="0" t="str">
        <f aca="false">SUBSTITUTE(SUBSTITUTE($I4406,CHAR(61),""),CHAR(34),"")</f>
        <v>35-49</v>
      </c>
      <c r="R4406" s="0" t="str">
        <f aca="false">IF($D4406&lt;&gt;"","["&amp;$E4406&amp;"]"&amp;"|"&amp;$Q4406&amp;"|"&amp;$K4406&amp;"|"&amp;$G4406&amp;"|"&amp;IF($G4406="TX_CURR_SUBNAT.R","CY2022Q4",$M4406),"")</f>
        <v>[msW2zpIN7up]|35-49|Female|PMTCT_ART_SUBNAT.D.T_1|CY2023Q3</v>
      </c>
    </row>
    <row r="4407" customFormat="false" ht="15" hidden="false" customHeight="false" outlineLevel="0" collapsed="false">
      <c r="D4407" s="0" t="s">
        <v>63</v>
      </c>
      <c r="E4407" s="0" t="s">
        <v>64</v>
      </c>
      <c r="F4407" s="0" t="s">
        <v>65</v>
      </c>
      <c r="G4407" s="0" t="s">
        <v>156</v>
      </c>
      <c r="H4407" s="0" t="s">
        <v>157</v>
      </c>
      <c r="I4407" s="0" t="s">
        <v>38</v>
      </c>
      <c r="J4407" s="0" t="s">
        <v>39</v>
      </c>
      <c r="K4407" s="0" t="s">
        <v>30</v>
      </c>
      <c r="L4407" s="0" t="s">
        <v>31</v>
      </c>
      <c r="M4407" s="0" t="s">
        <v>140</v>
      </c>
      <c r="N4407" s="0" t="n">
        <v>793</v>
      </c>
      <c r="O4407" s="10" t="n">
        <v>0.081027319887653</v>
      </c>
      <c r="P4407" s="10" t="n">
        <v>0.790102193132043</v>
      </c>
      <c r="Q4407" s="0" t="str">
        <f aca="false">SUBSTITUTE(SUBSTITUTE($I4407,CHAR(61),""),CHAR(34),"")</f>
        <v>15-24</v>
      </c>
      <c r="R4407" s="0" t="str">
        <f aca="false">IF($D4407&lt;&gt;"","["&amp;$E4407&amp;"]"&amp;"|"&amp;$Q4407&amp;"|"&amp;$K4407&amp;"|"&amp;$G4407&amp;"|"&amp;IF($G4407="TX_CURR_SUBNAT.R","CY2022Q4",$M4407),"")</f>
        <v>[kxuuIFpOXyO]|15-24|Female|PMTCT_ART_SUBNAT.D.T_1|CY2023Q3</v>
      </c>
    </row>
    <row r="4408" customFormat="false" ht="15" hidden="false" customHeight="false" outlineLevel="0" collapsed="false">
      <c r="D4408" s="0" t="s">
        <v>63</v>
      </c>
      <c r="E4408" s="0" t="s">
        <v>64</v>
      </c>
      <c r="F4408" s="0" t="s">
        <v>65</v>
      </c>
      <c r="G4408" s="0" t="s">
        <v>156</v>
      </c>
      <c r="H4408" s="0" t="s">
        <v>157</v>
      </c>
      <c r="I4408" s="0" t="s">
        <v>41</v>
      </c>
      <c r="J4408" s="0" t="s">
        <v>42</v>
      </c>
      <c r="K4408" s="0" t="s">
        <v>30</v>
      </c>
      <c r="L4408" s="0" t="s">
        <v>31</v>
      </c>
      <c r="M4408" s="0" t="s">
        <v>140</v>
      </c>
      <c r="N4408" s="0" t="n">
        <v>640</v>
      </c>
      <c r="O4408" s="10" t="n">
        <v>0.925866294419393</v>
      </c>
      <c r="P4408" s="10" t="n">
        <v>0.790102193132043</v>
      </c>
      <c r="Q4408" s="0" t="str">
        <f aca="false">SUBSTITUTE(SUBSTITUTE($I4408,CHAR(61),""),CHAR(34),"")</f>
        <v>25-34</v>
      </c>
      <c r="R4408" s="0" t="str">
        <f aca="false">IF($D4408&lt;&gt;"","["&amp;$E4408&amp;"]"&amp;"|"&amp;$Q4408&amp;"|"&amp;$K4408&amp;"|"&amp;$G4408&amp;"|"&amp;IF($G4408="TX_CURR_SUBNAT.R","CY2022Q4",$M4408),"")</f>
        <v>[kxuuIFpOXyO]|25-34|Female|PMTCT_ART_SUBNAT.D.T_1|CY2023Q3</v>
      </c>
    </row>
    <row r="4409" customFormat="false" ht="15" hidden="false" customHeight="false" outlineLevel="0" collapsed="false">
      <c r="D4409" s="0" t="s">
        <v>63</v>
      </c>
      <c r="E4409" s="0" t="s">
        <v>64</v>
      </c>
      <c r="F4409" s="0" t="s">
        <v>65</v>
      </c>
      <c r="G4409" s="0" t="s">
        <v>156</v>
      </c>
      <c r="H4409" s="0" t="s">
        <v>157</v>
      </c>
      <c r="I4409" s="0" t="s">
        <v>43</v>
      </c>
      <c r="J4409" s="0" t="s">
        <v>44</v>
      </c>
      <c r="K4409" s="0" t="s">
        <v>30</v>
      </c>
      <c r="L4409" s="0" t="s">
        <v>31</v>
      </c>
      <c r="M4409" s="0" t="s">
        <v>140</v>
      </c>
      <c r="N4409" s="0" t="n">
        <v>720</v>
      </c>
      <c r="O4409" s="10" t="n">
        <v>0.311817333335057</v>
      </c>
      <c r="P4409" s="10" t="n">
        <v>0.790102193132043</v>
      </c>
      <c r="Q4409" s="0" t="str">
        <f aca="false">SUBSTITUTE(SUBSTITUTE($I4409,CHAR(61),""),CHAR(34),"")</f>
        <v>35-49</v>
      </c>
      <c r="R4409" s="0" t="str">
        <f aca="false">IF($D4409&lt;&gt;"","["&amp;$E4409&amp;"]"&amp;"|"&amp;$Q4409&amp;"|"&amp;$K4409&amp;"|"&amp;$G4409&amp;"|"&amp;IF($G4409="TX_CURR_SUBNAT.R","CY2022Q4",$M4409),"")</f>
        <v>[kxuuIFpOXyO]|35-49|Female|PMTCT_ART_SUBNAT.D.T_1|CY2023Q3</v>
      </c>
    </row>
    <row r="4410" customFormat="false" ht="15" hidden="false" customHeight="false" outlineLevel="0" collapsed="false">
      <c r="D4410" s="0" t="s">
        <v>66</v>
      </c>
      <c r="E4410" s="0" t="s">
        <v>67</v>
      </c>
      <c r="F4410" s="0" t="s">
        <v>68</v>
      </c>
      <c r="G4410" s="0" t="s">
        <v>156</v>
      </c>
      <c r="H4410" s="0" t="s">
        <v>157</v>
      </c>
      <c r="I4410" s="0" t="s">
        <v>38</v>
      </c>
      <c r="J4410" s="0" t="s">
        <v>39</v>
      </c>
      <c r="K4410" s="0" t="s">
        <v>30</v>
      </c>
      <c r="L4410" s="0" t="s">
        <v>31</v>
      </c>
      <c r="M4410" s="0" t="s">
        <v>140</v>
      </c>
      <c r="N4410" s="0" t="n">
        <v>1745</v>
      </c>
      <c r="O4410" s="10" t="n">
        <v>0.676031875656918</v>
      </c>
      <c r="P4410" s="10" t="n">
        <v>0.164609884377569</v>
      </c>
      <c r="Q4410" s="0" t="str">
        <f aca="false">SUBSTITUTE(SUBSTITUTE($I4410,CHAR(61),""),CHAR(34),"")</f>
        <v>15-24</v>
      </c>
      <c r="R4410" s="0" t="str">
        <f aca="false">IF($D4410&lt;&gt;"","["&amp;$E4410&amp;"]"&amp;"|"&amp;$Q4410&amp;"|"&amp;$K4410&amp;"|"&amp;$G4410&amp;"|"&amp;IF($G4410="TX_CURR_SUBNAT.R","CY2022Q4",$M4410),"")</f>
        <v>[ScR9iFKAasW]|15-24|Female|PMTCT_ART_SUBNAT.D.T_1|CY2023Q3</v>
      </c>
    </row>
    <row r="4411" customFormat="false" ht="15" hidden="false" customHeight="false" outlineLevel="0" collapsed="false">
      <c r="D4411" s="0" t="s">
        <v>66</v>
      </c>
      <c r="E4411" s="0" t="s">
        <v>67</v>
      </c>
      <c r="F4411" s="0" t="s">
        <v>68</v>
      </c>
      <c r="G4411" s="0" t="s">
        <v>156</v>
      </c>
      <c r="H4411" s="0" t="s">
        <v>157</v>
      </c>
      <c r="I4411" s="0" t="s">
        <v>41</v>
      </c>
      <c r="J4411" s="0" t="s">
        <v>42</v>
      </c>
      <c r="K4411" s="0" t="s">
        <v>30</v>
      </c>
      <c r="L4411" s="0" t="s">
        <v>31</v>
      </c>
      <c r="M4411" s="0" t="s">
        <v>140</v>
      </c>
      <c r="N4411" s="0" t="n">
        <v>1511</v>
      </c>
      <c r="O4411" s="10" t="n">
        <v>0.354934053029865</v>
      </c>
      <c r="P4411" s="10" t="n">
        <v>0.164609884377569</v>
      </c>
      <c r="Q4411" s="0" t="str">
        <f aca="false">SUBSTITUTE(SUBSTITUTE($I4411,CHAR(61),""),CHAR(34),"")</f>
        <v>25-34</v>
      </c>
      <c r="R4411" s="0" t="str">
        <f aca="false">IF($D4411&lt;&gt;"","["&amp;$E4411&amp;"]"&amp;"|"&amp;$Q4411&amp;"|"&amp;$K4411&amp;"|"&amp;$G4411&amp;"|"&amp;IF($G4411="TX_CURR_SUBNAT.R","CY2022Q4",$M4411),"")</f>
        <v>[ScR9iFKAasW]|25-34|Female|PMTCT_ART_SUBNAT.D.T_1|CY2023Q3</v>
      </c>
    </row>
    <row r="4412" customFormat="false" ht="15" hidden="false" customHeight="false" outlineLevel="0" collapsed="false">
      <c r="D4412" s="0" t="s">
        <v>66</v>
      </c>
      <c r="E4412" s="0" t="s">
        <v>67</v>
      </c>
      <c r="F4412" s="0" t="s">
        <v>68</v>
      </c>
      <c r="G4412" s="0" t="s">
        <v>156</v>
      </c>
      <c r="H4412" s="0" t="s">
        <v>157</v>
      </c>
      <c r="I4412" s="0" t="s">
        <v>43</v>
      </c>
      <c r="J4412" s="0" t="s">
        <v>44</v>
      </c>
      <c r="K4412" s="0" t="s">
        <v>30</v>
      </c>
      <c r="L4412" s="0" t="s">
        <v>31</v>
      </c>
      <c r="M4412" s="0" t="s">
        <v>140</v>
      </c>
      <c r="N4412" s="0" t="n">
        <v>585</v>
      </c>
      <c r="O4412" s="10" t="n">
        <v>0.241333461366594</v>
      </c>
      <c r="P4412" s="10" t="n">
        <v>0.164609884377569</v>
      </c>
      <c r="Q4412" s="0" t="str">
        <f aca="false">SUBSTITUTE(SUBSTITUTE($I4412,CHAR(61),""),CHAR(34),"")</f>
        <v>35-49</v>
      </c>
      <c r="R4412" s="0" t="str">
        <f aca="false">IF($D4412&lt;&gt;"","["&amp;$E4412&amp;"]"&amp;"|"&amp;$Q4412&amp;"|"&amp;$K4412&amp;"|"&amp;$G4412&amp;"|"&amp;IF($G4412="TX_CURR_SUBNAT.R","CY2022Q4",$M4412),"")</f>
        <v>[ScR9iFKAasW]|35-49|Female|PMTCT_ART_SUBNAT.D.T_1|CY2023Q3</v>
      </c>
    </row>
    <row r="4413" customFormat="false" ht="15" hidden="false" customHeight="false" outlineLevel="0" collapsed="false">
      <c r="D4413" s="0" t="s">
        <v>69</v>
      </c>
      <c r="E4413" s="0" t="s">
        <v>70</v>
      </c>
      <c r="F4413" s="0" t="s">
        <v>71</v>
      </c>
      <c r="G4413" s="0" t="s">
        <v>156</v>
      </c>
      <c r="H4413" s="0" t="s">
        <v>157</v>
      </c>
      <c r="I4413" s="0" t="s">
        <v>38</v>
      </c>
      <c r="J4413" s="0" t="s">
        <v>39</v>
      </c>
      <c r="K4413" s="0" t="s">
        <v>30</v>
      </c>
      <c r="L4413" s="0" t="s">
        <v>31</v>
      </c>
      <c r="M4413" s="0" t="s">
        <v>140</v>
      </c>
      <c r="N4413" s="0" t="n">
        <v>630</v>
      </c>
      <c r="O4413" s="10" t="n">
        <v>0.76939426548779</v>
      </c>
      <c r="P4413" s="10" t="n">
        <v>0.198817263124511</v>
      </c>
      <c r="Q4413" s="0" t="str">
        <f aca="false">SUBSTITUTE(SUBSTITUTE($I4413,CHAR(61),""),CHAR(34),"")</f>
        <v>15-24</v>
      </c>
      <c r="R4413" s="0" t="str">
        <f aca="false">IF($D4413&lt;&gt;"","["&amp;$E4413&amp;"]"&amp;"|"&amp;$Q4413&amp;"|"&amp;$K4413&amp;"|"&amp;$G4413&amp;"|"&amp;IF($G4413="TX_CURR_SUBNAT.R","CY2022Q4",$M4413),"")</f>
        <v>[PekKUkKHAzY]|15-24|Female|PMTCT_ART_SUBNAT.D.T_1|CY2023Q3</v>
      </c>
    </row>
    <row r="4414" customFormat="false" ht="15" hidden="false" customHeight="false" outlineLevel="0" collapsed="false">
      <c r="D4414" s="0" t="s">
        <v>69</v>
      </c>
      <c r="E4414" s="0" t="s">
        <v>70</v>
      </c>
      <c r="F4414" s="0" t="s">
        <v>71</v>
      </c>
      <c r="G4414" s="0" t="s">
        <v>156</v>
      </c>
      <c r="H4414" s="0" t="s">
        <v>157</v>
      </c>
      <c r="I4414" s="0" t="s">
        <v>41</v>
      </c>
      <c r="J4414" s="0" t="s">
        <v>42</v>
      </c>
      <c r="K4414" s="0" t="s">
        <v>30</v>
      </c>
      <c r="L4414" s="0" t="s">
        <v>31</v>
      </c>
      <c r="M4414" s="0" t="s">
        <v>140</v>
      </c>
      <c r="N4414" s="0" t="n">
        <v>1659</v>
      </c>
      <c r="O4414" s="10" t="n">
        <v>0.736534563591704</v>
      </c>
      <c r="P4414" s="10" t="n">
        <v>0.198817263124511</v>
      </c>
      <c r="Q4414" s="0" t="str">
        <f aca="false">SUBSTITUTE(SUBSTITUTE($I4414,CHAR(61),""),CHAR(34),"")</f>
        <v>25-34</v>
      </c>
      <c r="R4414" s="0" t="str">
        <f aca="false">IF($D4414&lt;&gt;"","["&amp;$E4414&amp;"]"&amp;"|"&amp;$Q4414&amp;"|"&amp;$K4414&amp;"|"&amp;$G4414&amp;"|"&amp;IF($G4414="TX_CURR_SUBNAT.R","CY2022Q4",$M4414),"")</f>
        <v>[PekKUkKHAzY]|25-34|Female|PMTCT_ART_SUBNAT.D.T_1|CY2023Q3</v>
      </c>
    </row>
    <row r="4415" customFormat="false" ht="15" hidden="false" customHeight="false" outlineLevel="0" collapsed="false">
      <c r="D4415" s="0" t="s">
        <v>69</v>
      </c>
      <c r="E4415" s="0" t="s">
        <v>70</v>
      </c>
      <c r="F4415" s="0" t="s">
        <v>71</v>
      </c>
      <c r="G4415" s="0" t="s">
        <v>156</v>
      </c>
      <c r="H4415" s="0" t="s">
        <v>157</v>
      </c>
      <c r="I4415" s="0" t="s">
        <v>43</v>
      </c>
      <c r="J4415" s="0" t="s">
        <v>44</v>
      </c>
      <c r="K4415" s="0" t="s">
        <v>30</v>
      </c>
      <c r="L4415" s="0" t="s">
        <v>31</v>
      </c>
      <c r="M4415" s="0" t="s">
        <v>140</v>
      </c>
      <c r="N4415" s="0" t="n">
        <v>1675</v>
      </c>
      <c r="O4415" s="10" t="n">
        <v>0.753800562117249</v>
      </c>
      <c r="P4415" s="10" t="n">
        <v>0.198817263124511</v>
      </c>
      <c r="Q4415" s="0" t="str">
        <f aca="false">SUBSTITUTE(SUBSTITUTE($I4415,CHAR(61),""),CHAR(34),"")</f>
        <v>35-49</v>
      </c>
      <c r="R4415" s="0" t="str">
        <f aca="false">IF($D4415&lt;&gt;"","["&amp;$E4415&amp;"]"&amp;"|"&amp;$Q4415&amp;"|"&amp;$K4415&amp;"|"&amp;$G4415&amp;"|"&amp;IF($G4415="TX_CURR_SUBNAT.R","CY2022Q4",$M4415),"")</f>
        <v>[PekKUkKHAzY]|35-49|Female|PMTCT_ART_SUBNAT.D.T_1|CY2023Q3</v>
      </c>
    </row>
    <row r="4416" customFormat="false" ht="15" hidden="false" customHeight="false" outlineLevel="0" collapsed="false">
      <c r="D4416" s="0" t="s">
        <v>72</v>
      </c>
      <c r="E4416" s="0" t="s">
        <v>73</v>
      </c>
      <c r="F4416" s="0" t="s">
        <v>74</v>
      </c>
      <c r="G4416" s="0" t="s">
        <v>156</v>
      </c>
      <c r="H4416" s="0" t="s">
        <v>157</v>
      </c>
      <c r="I4416" s="0" t="s">
        <v>38</v>
      </c>
      <c r="J4416" s="0" t="s">
        <v>39</v>
      </c>
      <c r="K4416" s="0" t="s">
        <v>30</v>
      </c>
      <c r="L4416" s="0" t="s">
        <v>31</v>
      </c>
      <c r="M4416" s="0" t="s">
        <v>140</v>
      </c>
      <c r="N4416" s="0" t="n">
        <v>826</v>
      </c>
      <c r="O4416" s="10" t="n">
        <v>0.607938040979207</v>
      </c>
      <c r="P4416" s="10" t="n">
        <v>0.289728706935421</v>
      </c>
      <c r="Q4416" s="0" t="str">
        <f aca="false">SUBSTITUTE(SUBSTITUTE($I4416,CHAR(61),""),CHAR(34),"")</f>
        <v>15-24</v>
      </c>
      <c r="R4416" s="0" t="str">
        <f aca="false">IF($D4416&lt;&gt;"","["&amp;$E4416&amp;"]"&amp;"|"&amp;$Q4416&amp;"|"&amp;$K4416&amp;"|"&amp;$G4416&amp;"|"&amp;IF($G4416="TX_CURR_SUBNAT.R","CY2022Q4",$M4416),"")</f>
        <v>[am530wpaGvr]|15-24|Female|PMTCT_ART_SUBNAT.D.T_1|CY2023Q3</v>
      </c>
    </row>
    <row r="4417" customFormat="false" ht="15" hidden="false" customHeight="false" outlineLevel="0" collapsed="false">
      <c r="D4417" s="0" t="s">
        <v>72</v>
      </c>
      <c r="E4417" s="0" t="s">
        <v>73</v>
      </c>
      <c r="F4417" s="0" t="s">
        <v>74</v>
      </c>
      <c r="G4417" s="0" t="s">
        <v>156</v>
      </c>
      <c r="H4417" s="0" t="s">
        <v>157</v>
      </c>
      <c r="I4417" s="0" t="s">
        <v>41</v>
      </c>
      <c r="J4417" s="0" t="s">
        <v>42</v>
      </c>
      <c r="K4417" s="0" t="s">
        <v>30</v>
      </c>
      <c r="L4417" s="0" t="s">
        <v>31</v>
      </c>
      <c r="M4417" s="0" t="s">
        <v>140</v>
      </c>
      <c r="N4417" s="0" t="n">
        <v>999</v>
      </c>
      <c r="O4417" s="10" t="n">
        <v>0.594900750555098</v>
      </c>
      <c r="P4417" s="10" t="n">
        <v>0.289728706935421</v>
      </c>
      <c r="Q4417" s="0" t="str">
        <f aca="false">SUBSTITUTE(SUBSTITUTE($I4417,CHAR(61),""),CHAR(34),"")</f>
        <v>25-34</v>
      </c>
      <c r="R4417" s="0" t="str">
        <f aca="false">IF($D4417&lt;&gt;"","["&amp;$E4417&amp;"]"&amp;"|"&amp;$Q4417&amp;"|"&amp;$K4417&amp;"|"&amp;$G4417&amp;"|"&amp;IF($G4417="TX_CURR_SUBNAT.R","CY2022Q4",$M4417),"")</f>
        <v>[am530wpaGvr]|25-34|Female|PMTCT_ART_SUBNAT.D.T_1|CY2023Q3</v>
      </c>
    </row>
    <row r="4418" customFormat="false" ht="15" hidden="false" customHeight="false" outlineLevel="0" collapsed="false">
      <c r="D4418" s="0" t="s">
        <v>72</v>
      </c>
      <c r="E4418" s="0" t="s">
        <v>73</v>
      </c>
      <c r="F4418" s="0" t="s">
        <v>74</v>
      </c>
      <c r="G4418" s="0" t="s">
        <v>156</v>
      </c>
      <c r="H4418" s="0" t="s">
        <v>157</v>
      </c>
      <c r="I4418" s="0" t="s">
        <v>43</v>
      </c>
      <c r="J4418" s="0" t="s">
        <v>44</v>
      </c>
      <c r="K4418" s="0" t="s">
        <v>30</v>
      </c>
      <c r="L4418" s="0" t="s">
        <v>31</v>
      </c>
      <c r="M4418" s="0" t="s">
        <v>140</v>
      </c>
      <c r="N4418" s="0" t="n">
        <v>1906</v>
      </c>
      <c r="O4418" s="10" t="n">
        <v>0.851453587878495</v>
      </c>
      <c r="P4418" s="10" t="n">
        <v>0.289728706935421</v>
      </c>
      <c r="Q4418" s="0" t="str">
        <f aca="false">SUBSTITUTE(SUBSTITUTE($I4418,CHAR(61),""),CHAR(34),"")</f>
        <v>35-49</v>
      </c>
      <c r="R4418" s="0" t="str">
        <f aca="false">IF($D4418&lt;&gt;"","["&amp;$E4418&amp;"]"&amp;"|"&amp;$Q4418&amp;"|"&amp;$K4418&amp;"|"&amp;$G4418&amp;"|"&amp;IF($G4418="TX_CURR_SUBNAT.R","CY2022Q4",$M4418),"")</f>
        <v>[am530wpaGvr]|35-49|Female|PMTCT_ART_SUBNAT.D.T_1|CY2023Q3</v>
      </c>
    </row>
    <row r="4419" customFormat="false" ht="15" hidden="false" customHeight="false" outlineLevel="0" collapsed="false">
      <c r="D4419" s="0" t="s">
        <v>75</v>
      </c>
      <c r="E4419" s="0" t="s">
        <v>76</v>
      </c>
      <c r="F4419" s="0" t="s">
        <v>77</v>
      </c>
      <c r="G4419" s="0" t="s">
        <v>156</v>
      </c>
      <c r="H4419" s="0" t="s">
        <v>157</v>
      </c>
      <c r="I4419" s="0" t="s">
        <v>38</v>
      </c>
      <c r="J4419" s="0" t="s">
        <v>39</v>
      </c>
      <c r="K4419" s="0" t="s">
        <v>30</v>
      </c>
      <c r="L4419" s="0" t="s">
        <v>31</v>
      </c>
      <c r="M4419" s="0" t="s">
        <v>140</v>
      </c>
      <c r="N4419" s="0" t="n">
        <v>1159</v>
      </c>
      <c r="O4419" s="10" t="n">
        <v>0.023878927109763</v>
      </c>
      <c r="P4419" s="10" t="n">
        <v>0.303055507596582</v>
      </c>
      <c r="Q4419" s="0" t="str">
        <f aca="false">SUBSTITUTE(SUBSTITUTE($I4419,CHAR(61),""),CHAR(34),"")</f>
        <v>15-24</v>
      </c>
      <c r="R4419" s="0" t="str">
        <f aca="false">IF($D4419&lt;&gt;"","["&amp;$E4419&amp;"]"&amp;"|"&amp;$Q4419&amp;"|"&amp;$K4419&amp;"|"&amp;$G4419&amp;"|"&amp;IF($G4419="TX_CURR_SUBNAT.R","CY2022Q4",$M4419),"")</f>
        <v>[lLDyBx5XyUi]|15-24|Female|PMTCT_ART_SUBNAT.D.T_1|CY2023Q3</v>
      </c>
    </row>
    <row r="4420" customFormat="false" ht="15" hidden="false" customHeight="false" outlineLevel="0" collapsed="false">
      <c r="D4420" s="0" t="s">
        <v>75</v>
      </c>
      <c r="E4420" s="0" t="s">
        <v>76</v>
      </c>
      <c r="F4420" s="0" t="s">
        <v>77</v>
      </c>
      <c r="G4420" s="0" t="s">
        <v>156</v>
      </c>
      <c r="H4420" s="0" t="s">
        <v>157</v>
      </c>
      <c r="I4420" s="0" t="s">
        <v>41</v>
      </c>
      <c r="J4420" s="0" t="s">
        <v>42</v>
      </c>
      <c r="K4420" s="0" t="s">
        <v>30</v>
      </c>
      <c r="L4420" s="0" t="s">
        <v>31</v>
      </c>
      <c r="M4420" s="0" t="s">
        <v>140</v>
      </c>
      <c r="N4420" s="0" t="n">
        <v>997</v>
      </c>
      <c r="O4420" s="10" t="n">
        <v>0.542665138607845</v>
      </c>
      <c r="P4420" s="10" t="n">
        <v>0.303055507596582</v>
      </c>
      <c r="Q4420" s="0" t="str">
        <f aca="false">SUBSTITUTE(SUBSTITUTE($I4420,CHAR(61),""),CHAR(34),"")</f>
        <v>25-34</v>
      </c>
      <c r="R4420" s="0" t="str">
        <f aca="false">IF($D4420&lt;&gt;"","["&amp;$E4420&amp;"]"&amp;"|"&amp;$Q4420&amp;"|"&amp;$K4420&amp;"|"&amp;$G4420&amp;"|"&amp;IF($G4420="TX_CURR_SUBNAT.R","CY2022Q4",$M4420),"")</f>
        <v>[lLDyBx5XyUi]|25-34|Female|PMTCT_ART_SUBNAT.D.T_1|CY2023Q3</v>
      </c>
    </row>
    <row r="4421" customFormat="false" ht="15" hidden="false" customHeight="false" outlineLevel="0" collapsed="false">
      <c r="D4421" s="0" t="s">
        <v>75</v>
      </c>
      <c r="E4421" s="0" t="s">
        <v>76</v>
      </c>
      <c r="F4421" s="0" t="s">
        <v>77</v>
      </c>
      <c r="G4421" s="0" t="s">
        <v>156</v>
      </c>
      <c r="H4421" s="0" t="s">
        <v>157</v>
      </c>
      <c r="I4421" s="0" t="s">
        <v>43</v>
      </c>
      <c r="J4421" s="0" t="s">
        <v>44</v>
      </c>
      <c r="K4421" s="0" t="s">
        <v>30</v>
      </c>
      <c r="L4421" s="0" t="s">
        <v>31</v>
      </c>
      <c r="M4421" s="0" t="s">
        <v>140</v>
      </c>
      <c r="N4421" s="0" t="n">
        <v>1303</v>
      </c>
      <c r="O4421" s="10" t="n">
        <v>0.801179974107072</v>
      </c>
      <c r="P4421" s="10" t="n">
        <v>0.303055507596582</v>
      </c>
      <c r="Q4421" s="0" t="str">
        <f aca="false">SUBSTITUTE(SUBSTITUTE($I4421,CHAR(61),""),CHAR(34),"")</f>
        <v>35-49</v>
      </c>
      <c r="R4421" s="0" t="str">
        <f aca="false">IF($D4421&lt;&gt;"","["&amp;$E4421&amp;"]"&amp;"|"&amp;$Q4421&amp;"|"&amp;$K4421&amp;"|"&amp;$G4421&amp;"|"&amp;IF($G4421="TX_CURR_SUBNAT.R","CY2022Q4",$M4421),"")</f>
        <v>[lLDyBx5XyUi]|35-49|Female|PMTCT_ART_SUBNAT.D.T_1|CY2023Q3</v>
      </c>
    </row>
    <row r="4422" customFormat="false" ht="15" hidden="false" customHeight="false" outlineLevel="0" collapsed="false">
      <c r="D4422" s="0" t="s">
        <v>78</v>
      </c>
      <c r="E4422" s="0" t="s">
        <v>79</v>
      </c>
      <c r="F4422" s="0" t="s">
        <v>80</v>
      </c>
      <c r="G4422" s="0" t="s">
        <v>156</v>
      </c>
      <c r="H4422" s="0" t="s">
        <v>157</v>
      </c>
      <c r="I4422" s="0" t="s">
        <v>38</v>
      </c>
      <c r="J4422" s="0" t="s">
        <v>39</v>
      </c>
      <c r="K4422" s="0" t="s">
        <v>30</v>
      </c>
      <c r="L4422" s="0" t="s">
        <v>31</v>
      </c>
      <c r="M4422" s="0" t="s">
        <v>140</v>
      </c>
      <c r="N4422" s="0" t="n">
        <v>1516</v>
      </c>
      <c r="O4422" s="10" t="n">
        <v>0.645081758964807</v>
      </c>
      <c r="P4422" s="10" t="n">
        <v>0.831597982207313</v>
      </c>
      <c r="Q4422" s="0" t="str">
        <f aca="false">SUBSTITUTE(SUBSTITUTE($I4422,CHAR(61),""),CHAR(34),"")</f>
        <v>15-24</v>
      </c>
      <c r="R4422" s="0" t="str">
        <f aca="false">IF($D4422&lt;&gt;"","["&amp;$E4422&amp;"]"&amp;"|"&amp;$Q4422&amp;"|"&amp;$K4422&amp;"|"&amp;$G4422&amp;"|"&amp;IF($G4422="TX_CURR_SUBNAT.R","CY2022Q4",$M4422),"")</f>
        <v>[TYnMSwzko3z]|15-24|Female|PMTCT_ART_SUBNAT.D.T_1|CY2023Q3</v>
      </c>
    </row>
    <row r="4423" customFormat="false" ht="15" hidden="false" customHeight="false" outlineLevel="0" collapsed="false">
      <c r="D4423" s="0" t="s">
        <v>78</v>
      </c>
      <c r="E4423" s="0" t="s">
        <v>79</v>
      </c>
      <c r="F4423" s="0" t="s">
        <v>80</v>
      </c>
      <c r="G4423" s="0" t="s">
        <v>156</v>
      </c>
      <c r="H4423" s="0" t="s">
        <v>157</v>
      </c>
      <c r="I4423" s="0" t="s">
        <v>41</v>
      </c>
      <c r="J4423" s="0" t="s">
        <v>42</v>
      </c>
      <c r="K4423" s="0" t="s">
        <v>30</v>
      </c>
      <c r="L4423" s="0" t="s">
        <v>31</v>
      </c>
      <c r="M4423" s="0" t="s">
        <v>140</v>
      </c>
      <c r="N4423" s="0" t="n">
        <v>849</v>
      </c>
      <c r="O4423" s="10" t="n">
        <v>0.331780999898911</v>
      </c>
      <c r="P4423" s="10" t="n">
        <v>0.831597982207313</v>
      </c>
      <c r="Q4423" s="0" t="str">
        <f aca="false">SUBSTITUTE(SUBSTITUTE($I4423,CHAR(61),""),CHAR(34),"")</f>
        <v>25-34</v>
      </c>
      <c r="R4423" s="0" t="str">
        <f aca="false">IF($D4423&lt;&gt;"","["&amp;$E4423&amp;"]"&amp;"|"&amp;$Q4423&amp;"|"&amp;$K4423&amp;"|"&amp;$G4423&amp;"|"&amp;IF($G4423="TX_CURR_SUBNAT.R","CY2022Q4",$M4423),"")</f>
        <v>[TYnMSwzko3z]|25-34|Female|PMTCT_ART_SUBNAT.D.T_1|CY2023Q3</v>
      </c>
    </row>
    <row r="4424" customFormat="false" ht="15" hidden="false" customHeight="false" outlineLevel="0" collapsed="false">
      <c r="D4424" s="0" t="s">
        <v>78</v>
      </c>
      <c r="E4424" s="0" t="s">
        <v>79</v>
      </c>
      <c r="F4424" s="0" t="s">
        <v>80</v>
      </c>
      <c r="G4424" s="0" t="s">
        <v>156</v>
      </c>
      <c r="H4424" s="0" t="s">
        <v>157</v>
      </c>
      <c r="I4424" s="0" t="s">
        <v>43</v>
      </c>
      <c r="J4424" s="0" t="s">
        <v>44</v>
      </c>
      <c r="K4424" s="0" t="s">
        <v>30</v>
      </c>
      <c r="L4424" s="0" t="s">
        <v>31</v>
      </c>
      <c r="M4424" s="0" t="s">
        <v>140</v>
      </c>
      <c r="N4424" s="0" t="n">
        <v>1875</v>
      </c>
      <c r="O4424" s="10" t="n">
        <v>0.192588505102322</v>
      </c>
      <c r="P4424" s="10" t="n">
        <v>0.831597982207313</v>
      </c>
      <c r="Q4424" s="0" t="str">
        <f aca="false">SUBSTITUTE(SUBSTITUTE($I4424,CHAR(61),""),CHAR(34),"")</f>
        <v>35-49</v>
      </c>
      <c r="R4424" s="0" t="str">
        <f aca="false">IF($D4424&lt;&gt;"","["&amp;$E4424&amp;"]"&amp;"|"&amp;$Q4424&amp;"|"&amp;$K4424&amp;"|"&amp;$G4424&amp;"|"&amp;IF($G4424="TX_CURR_SUBNAT.R","CY2022Q4",$M4424),"")</f>
        <v>[TYnMSwzko3z]|35-49|Female|PMTCT_ART_SUBNAT.D.T_1|CY2023Q3</v>
      </c>
    </row>
    <row r="4425" customFormat="false" ht="15" hidden="false" customHeight="false" outlineLevel="0" collapsed="false">
      <c r="D4425" s="0" t="s">
        <v>81</v>
      </c>
      <c r="E4425" s="0" t="s">
        <v>82</v>
      </c>
      <c r="F4425" s="0" t="s">
        <v>83</v>
      </c>
      <c r="G4425" s="0" t="s">
        <v>156</v>
      </c>
      <c r="H4425" s="0" t="s">
        <v>157</v>
      </c>
      <c r="I4425" s="0" t="s">
        <v>38</v>
      </c>
      <c r="J4425" s="0" t="s">
        <v>39</v>
      </c>
      <c r="K4425" s="0" t="s">
        <v>30</v>
      </c>
      <c r="L4425" s="0" t="s">
        <v>31</v>
      </c>
      <c r="M4425" s="0" t="s">
        <v>140</v>
      </c>
      <c r="N4425" s="0" t="n">
        <v>539</v>
      </c>
      <c r="O4425" s="10" t="n">
        <v>0.603560145245865</v>
      </c>
      <c r="P4425" s="10" t="n">
        <v>0.143331421539187</v>
      </c>
      <c r="Q4425" s="0" t="str">
        <f aca="false">SUBSTITUTE(SUBSTITUTE($I4425,CHAR(61),""),CHAR(34),"")</f>
        <v>15-24</v>
      </c>
      <c r="R4425" s="0" t="str">
        <f aca="false">IF($D4425&lt;&gt;"","["&amp;$E4425&amp;"]"&amp;"|"&amp;$Q4425&amp;"|"&amp;$K4425&amp;"|"&amp;$G4425&amp;"|"&amp;IF($G4425="TX_CURR_SUBNAT.R","CY2022Q4",$M4425),"")</f>
        <v>[ir8wuHHzoSs]|15-24|Female|PMTCT_ART_SUBNAT.D.T_1|CY2023Q3</v>
      </c>
    </row>
    <row r="4426" customFormat="false" ht="15" hidden="false" customHeight="false" outlineLevel="0" collapsed="false">
      <c r="D4426" s="0" t="s">
        <v>81</v>
      </c>
      <c r="E4426" s="0" t="s">
        <v>82</v>
      </c>
      <c r="F4426" s="0" t="s">
        <v>83</v>
      </c>
      <c r="G4426" s="0" t="s">
        <v>156</v>
      </c>
      <c r="H4426" s="0" t="s">
        <v>157</v>
      </c>
      <c r="I4426" s="0" t="s">
        <v>41</v>
      </c>
      <c r="J4426" s="0" t="s">
        <v>42</v>
      </c>
      <c r="K4426" s="0" t="s">
        <v>30</v>
      </c>
      <c r="L4426" s="0" t="s">
        <v>31</v>
      </c>
      <c r="M4426" s="0" t="s">
        <v>140</v>
      </c>
      <c r="N4426" s="0" t="n">
        <v>1414</v>
      </c>
      <c r="O4426" s="10" t="n">
        <v>0.380184968234971</v>
      </c>
      <c r="P4426" s="10" t="n">
        <v>0.143331421539187</v>
      </c>
      <c r="Q4426" s="0" t="str">
        <f aca="false">SUBSTITUTE(SUBSTITUTE($I4426,CHAR(61),""),CHAR(34),"")</f>
        <v>25-34</v>
      </c>
      <c r="R4426" s="0" t="str">
        <f aca="false">IF($D4426&lt;&gt;"","["&amp;$E4426&amp;"]"&amp;"|"&amp;$Q4426&amp;"|"&amp;$K4426&amp;"|"&amp;$G4426&amp;"|"&amp;IF($G4426="TX_CURR_SUBNAT.R","CY2022Q4",$M4426),"")</f>
        <v>[ir8wuHHzoSs]|25-34|Female|PMTCT_ART_SUBNAT.D.T_1|CY2023Q3</v>
      </c>
    </row>
    <row r="4427" customFormat="false" ht="15" hidden="false" customHeight="false" outlineLevel="0" collapsed="false">
      <c r="D4427" s="0" t="s">
        <v>81</v>
      </c>
      <c r="E4427" s="0" t="s">
        <v>82</v>
      </c>
      <c r="F4427" s="0" t="s">
        <v>83</v>
      </c>
      <c r="G4427" s="0" t="s">
        <v>156</v>
      </c>
      <c r="H4427" s="0" t="s">
        <v>157</v>
      </c>
      <c r="I4427" s="0" t="s">
        <v>43</v>
      </c>
      <c r="J4427" s="0" t="s">
        <v>44</v>
      </c>
      <c r="K4427" s="0" t="s">
        <v>30</v>
      </c>
      <c r="L4427" s="0" t="s">
        <v>31</v>
      </c>
      <c r="M4427" s="0" t="s">
        <v>140</v>
      </c>
      <c r="N4427" s="0" t="n">
        <v>678</v>
      </c>
      <c r="O4427" s="10" t="n">
        <v>0.556341791292652</v>
      </c>
      <c r="P4427" s="10" t="n">
        <v>0.143331421539187</v>
      </c>
      <c r="Q4427" s="0" t="str">
        <f aca="false">SUBSTITUTE(SUBSTITUTE($I4427,CHAR(61),""),CHAR(34),"")</f>
        <v>35-49</v>
      </c>
      <c r="R4427" s="0" t="str">
        <f aca="false">IF($D4427&lt;&gt;"","["&amp;$E4427&amp;"]"&amp;"|"&amp;$Q4427&amp;"|"&amp;$K4427&amp;"|"&amp;$G4427&amp;"|"&amp;IF($G4427="TX_CURR_SUBNAT.R","CY2022Q4",$M4427),"")</f>
        <v>[ir8wuHHzoSs]|35-49|Female|PMTCT_ART_SUBNAT.D.T_1|CY2023Q3</v>
      </c>
    </row>
    <row r="4428" customFormat="false" ht="15" hidden="false" customHeight="false" outlineLevel="0" collapsed="false">
      <c r="D4428" s="0" t="s">
        <v>84</v>
      </c>
      <c r="E4428" s="0" t="s">
        <v>85</v>
      </c>
      <c r="F4428" s="0" t="s">
        <v>86</v>
      </c>
      <c r="G4428" s="0" t="s">
        <v>156</v>
      </c>
      <c r="H4428" s="0" t="s">
        <v>157</v>
      </c>
      <c r="I4428" s="0" t="s">
        <v>38</v>
      </c>
      <c r="J4428" s="0" t="s">
        <v>39</v>
      </c>
      <c r="K4428" s="0" t="s">
        <v>30</v>
      </c>
      <c r="L4428" s="0" t="s">
        <v>31</v>
      </c>
      <c r="M4428" s="0" t="s">
        <v>140</v>
      </c>
      <c r="N4428" s="0" t="n">
        <v>627</v>
      </c>
      <c r="O4428" s="10" t="n">
        <v>0.720987096894532</v>
      </c>
      <c r="P4428" s="10" t="n">
        <v>0.0297887143678963</v>
      </c>
      <c r="Q4428" s="0" t="str">
        <f aca="false">SUBSTITUTE(SUBSTITUTE($I4428,CHAR(61),""),CHAR(34),"")</f>
        <v>15-24</v>
      </c>
      <c r="R4428" s="0" t="str">
        <f aca="false">IF($D4428&lt;&gt;"","["&amp;$E4428&amp;"]"&amp;"|"&amp;$Q4428&amp;"|"&amp;$K4428&amp;"|"&amp;$G4428&amp;"|"&amp;IF($G4428="TX_CURR_SUBNAT.R","CY2022Q4",$M4428),"")</f>
        <v>[fyEoGEPERdI]|15-24|Female|PMTCT_ART_SUBNAT.D.T_1|CY2023Q3</v>
      </c>
    </row>
    <row r="4429" customFormat="false" ht="15" hidden="false" customHeight="false" outlineLevel="0" collapsed="false">
      <c r="D4429" s="0" t="s">
        <v>84</v>
      </c>
      <c r="E4429" s="0" t="s">
        <v>85</v>
      </c>
      <c r="F4429" s="0" t="s">
        <v>86</v>
      </c>
      <c r="G4429" s="0" t="s">
        <v>156</v>
      </c>
      <c r="H4429" s="0" t="s">
        <v>157</v>
      </c>
      <c r="I4429" s="0" t="s">
        <v>41</v>
      </c>
      <c r="J4429" s="0" t="s">
        <v>42</v>
      </c>
      <c r="K4429" s="0" t="s">
        <v>30</v>
      </c>
      <c r="L4429" s="0" t="s">
        <v>31</v>
      </c>
      <c r="M4429" s="0" t="s">
        <v>140</v>
      </c>
      <c r="N4429" s="0" t="n">
        <v>1159</v>
      </c>
      <c r="O4429" s="10" t="n">
        <v>0.401195232989267</v>
      </c>
      <c r="P4429" s="10" t="n">
        <v>0.0297887143678963</v>
      </c>
      <c r="Q4429" s="0" t="str">
        <f aca="false">SUBSTITUTE(SUBSTITUTE($I4429,CHAR(61),""),CHAR(34),"")</f>
        <v>25-34</v>
      </c>
      <c r="R4429" s="0" t="str">
        <f aca="false">IF($D4429&lt;&gt;"","["&amp;$E4429&amp;"]"&amp;"|"&amp;$Q4429&amp;"|"&amp;$K4429&amp;"|"&amp;$G4429&amp;"|"&amp;IF($G4429="TX_CURR_SUBNAT.R","CY2022Q4",$M4429),"")</f>
        <v>[fyEoGEPERdI]|25-34|Female|PMTCT_ART_SUBNAT.D.T_1|CY2023Q3</v>
      </c>
    </row>
    <row r="4430" customFormat="false" ht="15" hidden="false" customHeight="false" outlineLevel="0" collapsed="false">
      <c r="D4430" s="0" t="s">
        <v>84</v>
      </c>
      <c r="E4430" s="0" t="s">
        <v>85</v>
      </c>
      <c r="F4430" s="0" t="s">
        <v>86</v>
      </c>
      <c r="G4430" s="0" t="s">
        <v>156</v>
      </c>
      <c r="H4430" s="0" t="s">
        <v>157</v>
      </c>
      <c r="I4430" s="0" t="s">
        <v>43</v>
      </c>
      <c r="J4430" s="0" t="s">
        <v>44</v>
      </c>
      <c r="K4430" s="0" t="s">
        <v>30</v>
      </c>
      <c r="L4430" s="0" t="s">
        <v>31</v>
      </c>
      <c r="M4430" s="0" t="s">
        <v>140</v>
      </c>
      <c r="N4430" s="0" t="n">
        <v>1648</v>
      </c>
      <c r="O4430" s="10" t="n">
        <v>0.739186237333342</v>
      </c>
      <c r="P4430" s="10" t="n">
        <v>0.0297887143678963</v>
      </c>
      <c r="Q4430" s="0" t="str">
        <f aca="false">SUBSTITUTE(SUBSTITUTE($I4430,CHAR(61),""),CHAR(34),"")</f>
        <v>35-49</v>
      </c>
      <c r="R4430" s="0" t="str">
        <f aca="false">IF($D4430&lt;&gt;"","["&amp;$E4430&amp;"]"&amp;"|"&amp;$Q4430&amp;"|"&amp;$K4430&amp;"|"&amp;$G4430&amp;"|"&amp;IF($G4430="TX_CURR_SUBNAT.R","CY2022Q4",$M4430),"")</f>
        <v>[fyEoGEPERdI]|35-49|Female|PMTCT_ART_SUBNAT.D.T_1|CY2023Q3</v>
      </c>
    </row>
    <row r="4431" customFormat="false" ht="15" hidden="false" customHeight="false" outlineLevel="0" collapsed="false">
      <c r="D4431" s="0" t="s">
        <v>87</v>
      </c>
      <c r="E4431" s="0" t="s">
        <v>88</v>
      </c>
      <c r="F4431" s="0" t="s">
        <v>89</v>
      </c>
      <c r="G4431" s="0" t="s">
        <v>156</v>
      </c>
      <c r="H4431" s="0" t="s">
        <v>157</v>
      </c>
      <c r="I4431" s="0" t="s">
        <v>38</v>
      </c>
      <c r="J4431" s="0" t="s">
        <v>39</v>
      </c>
      <c r="K4431" s="0" t="s">
        <v>30</v>
      </c>
      <c r="L4431" s="0" t="s">
        <v>31</v>
      </c>
      <c r="M4431" s="0" t="s">
        <v>140</v>
      </c>
      <c r="N4431" s="0" t="n">
        <v>1073</v>
      </c>
      <c r="O4431" s="10" t="n">
        <v>0.691354278009385</v>
      </c>
      <c r="P4431" s="10" t="n">
        <v>0.133336380822584</v>
      </c>
      <c r="Q4431" s="0" t="str">
        <f aca="false">SUBSTITUTE(SUBSTITUTE($I4431,CHAR(61),""),CHAR(34),"")</f>
        <v>15-24</v>
      </c>
      <c r="R4431" s="0" t="str">
        <f aca="false">IF($D4431&lt;&gt;"","["&amp;$E4431&amp;"]"&amp;"|"&amp;$Q4431&amp;"|"&amp;$K4431&amp;"|"&amp;$G4431&amp;"|"&amp;IF($G4431="TX_CURR_SUBNAT.R","CY2022Q4",$M4431),"")</f>
        <v>[cPtvxaZqXIH]|15-24|Female|PMTCT_ART_SUBNAT.D.T_1|CY2023Q3</v>
      </c>
    </row>
    <row r="4432" customFormat="false" ht="15" hidden="false" customHeight="false" outlineLevel="0" collapsed="false">
      <c r="D4432" s="0" t="s">
        <v>87</v>
      </c>
      <c r="E4432" s="0" t="s">
        <v>88</v>
      </c>
      <c r="F4432" s="0" t="s">
        <v>89</v>
      </c>
      <c r="G4432" s="0" t="s">
        <v>156</v>
      </c>
      <c r="H4432" s="0" t="s">
        <v>157</v>
      </c>
      <c r="I4432" s="0" t="s">
        <v>41</v>
      </c>
      <c r="J4432" s="0" t="s">
        <v>42</v>
      </c>
      <c r="K4432" s="0" t="s">
        <v>30</v>
      </c>
      <c r="L4432" s="0" t="s">
        <v>31</v>
      </c>
      <c r="M4432" s="0" t="s">
        <v>140</v>
      </c>
      <c r="N4432" s="0" t="n">
        <v>1103</v>
      </c>
      <c r="O4432" s="10" t="n">
        <v>0.880220235092565</v>
      </c>
      <c r="P4432" s="10" t="n">
        <v>0.133336380822584</v>
      </c>
      <c r="Q4432" s="0" t="str">
        <f aca="false">SUBSTITUTE(SUBSTITUTE($I4432,CHAR(61),""),CHAR(34),"")</f>
        <v>25-34</v>
      </c>
      <c r="R4432" s="0" t="str">
        <f aca="false">IF($D4432&lt;&gt;"","["&amp;$E4432&amp;"]"&amp;"|"&amp;$Q4432&amp;"|"&amp;$K4432&amp;"|"&amp;$G4432&amp;"|"&amp;IF($G4432="TX_CURR_SUBNAT.R","CY2022Q4",$M4432),"")</f>
        <v>[cPtvxaZqXIH]|25-34|Female|PMTCT_ART_SUBNAT.D.T_1|CY2023Q3</v>
      </c>
    </row>
    <row r="4433" customFormat="false" ht="15" hidden="false" customHeight="false" outlineLevel="0" collapsed="false">
      <c r="D4433" s="0" t="s">
        <v>87</v>
      </c>
      <c r="E4433" s="0" t="s">
        <v>88</v>
      </c>
      <c r="F4433" s="0" t="s">
        <v>89</v>
      </c>
      <c r="G4433" s="0" t="s">
        <v>156</v>
      </c>
      <c r="H4433" s="0" t="s">
        <v>157</v>
      </c>
      <c r="I4433" s="0" t="s">
        <v>43</v>
      </c>
      <c r="J4433" s="0" t="s">
        <v>44</v>
      </c>
      <c r="K4433" s="0" t="s">
        <v>30</v>
      </c>
      <c r="L4433" s="0" t="s">
        <v>31</v>
      </c>
      <c r="M4433" s="0" t="s">
        <v>140</v>
      </c>
      <c r="N4433" s="0" t="n">
        <v>771</v>
      </c>
      <c r="O4433" s="10" t="n">
        <v>0.708768982440233</v>
      </c>
      <c r="P4433" s="10" t="n">
        <v>0.133336380822584</v>
      </c>
      <c r="Q4433" s="0" t="str">
        <f aca="false">SUBSTITUTE(SUBSTITUTE($I4433,CHAR(61),""),CHAR(34),"")</f>
        <v>35-49</v>
      </c>
      <c r="R4433" s="0" t="str">
        <f aca="false">IF($D4433&lt;&gt;"","["&amp;$E4433&amp;"]"&amp;"|"&amp;$Q4433&amp;"|"&amp;$K4433&amp;"|"&amp;$G4433&amp;"|"&amp;IF($G4433="TX_CURR_SUBNAT.R","CY2022Q4",$M4433),"")</f>
        <v>[cPtvxaZqXIH]|35-49|Female|PMTCT_ART_SUBNAT.D.T_1|CY2023Q3</v>
      </c>
    </row>
    <row r="4434" customFormat="false" ht="15" hidden="false" customHeight="false" outlineLevel="0" collapsed="false">
      <c r="D4434" s="0" t="s">
        <v>90</v>
      </c>
      <c r="E4434" s="0" t="s">
        <v>91</v>
      </c>
      <c r="F4434" s="0" t="s">
        <v>92</v>
      </c>
      <c r="G4434" s="0" t="s">
        <v>156</v>
      </c>
      <c r="H4434" s="0" t="s">
        <v>157</v>
      </c>
      <c r="I4434" s="0" t="s">
        <v>38</v>
      </c>
      <c r="J4434" s="0" t="s">
        <v>39</v>
      </c>
      <c r="K4434" s="0" t="s">
        <v>30</v>
      </c>
      <c r="L4434" s="0" t="s">
        <v>31</v>
      </c>
      <c r="M4434" s="0" t="s">
        <v>140</v>
      </c>
      <c r="N4434" s="0" t="n">
        <v>1109</v>
      </c>
      <c r="O4434" s="10" t="n">
        <v>0.314186531817541</v>
      </c>
      <c r="P4434" s="10" t="n">
        <v>0.719914150424302</v>
      </c>
      <c r="Q4434" s="0" t="str">
        <f aca="false">SUBSTITUTE(SUBSTITUTE($I4434,CHAR(61),""),CHAR(34),"")</f>
        <v>15-24</v>
      </c>
      <c r="R4434" s="0" t="str">
        <f aca="false">IF($D4434&lt;&gt;"","["&amp;$E4434&amp;"]"&amp;"|"&amp;$Q4434&amp;"|"&amp;$K4434&amp;"|"&amp;$G4434&amp;"|"&amp;IF($G4434="TX_CURR_SUBNAT.R","CY2022Q4",$M4434),"")</f>
        <v>[AZyWpGzhcaA]|15-24|Female|PMTCT_ART_SUBNAT.D.T_1|CY2023Q3</v>
      </c>
    </row>
    <row r="4435" customFormat="false" ht="15" hidden="false" customHeight="false" outlineLevel="0" collapsed="false">
      <c r="D4435" s="0" t="s">
        <v>90</v>
      </c>
      <c r="E4435" s="0" t="s">
        <v>91</v>
      </c>
      <c r="F4435" s="0" t="s">
        <v>92</v>
      </c>
      <c r="G4435" s="0" t="s">
        <v>156</v>
      </c>
      <c r="H4435" s="0" t="s">
        <v>157</v>
      </c>
      <c r="I4435" s="0" t="s">
        <v>41</v>
      </c>
      <c r="J4435" s="0" t="s">
        <v>42</v>
      </c>
      <c r="K4435" s="0" t="s">
        <v>30</v>
      </c>
      <c r="L4435" s="0" t="s">
        <v>31</v>
      </c>
      <c r="M4435" s="0" t="s">
        <v>140</v>
      </c>
      <c r="N4435" s="0" t="n">
        <v>504</v>
      </c>
      <c r="O4435" s="10" t="n">
        <v>0.487868400290608</v>
      </c>
      <c r="P4435" s="10" t="n">
        <v>0.719914150424302</v>
      </c>
      <c r="Q4435" s="0" t="str">
        <f aca="false">SUBSTITUTE(SUBSTITUTE($I4435,CHAR(61),""),CHAR(34),"")</f>
        <v>25-34</v>
      </c>
      <c r="R4435" s="0" t="str">
        <f aca="false">IF($D4435&lt;&gt;"","["&amp;$E4435&amp;"]"&amp;"|"&amp;$Q4435&amp;"|"&amp;$K4435&amp;"|"&amp;$G4435&amp;"|"&amp;IF($G4435="TX_CURR_SUBNAT.R","CY2022Q4",$M4435),"")</f>
        <v>[AZyWpGzhcaA]|25-34|Female|PMTCT_ART_SUBNAT.D.T_1|CY2023Q3</v>
      </c>
    </row>
    <row r="4436" customFormat="false" ht="15" hidden="false" customHeight="false" outlineLevel="0" collapsed="false">
      <c r="D4436" s="0" t="s">
        <v>90</v>
      </c>
      <c r="E4436" s="0" t="s">
        <v>91</v>
      </c>
      <c r="F4436" s="0" t="s">
        <v>92</v>
      </c>
      <c r="G4436" s="0" t="s">
        <v>156</v>
      </c>
      <c r="H4436" s="0" t="s">
        <v>157</v>
      </c>
      <c r="I4436" s="0" t="s">
        <v>43</v>
      </c>
      <c r="J4436" s="0" t="s">
        <v>44</v>
      </c>
      <c r="K4436" s="0" t="s">
        <v>30</v>
      </c>
      <c r="L4436" s="0" t="s">
        <v>31</v>
      </c>
      <c r="M4436" s="0" t="s">
        <v>140</v>
      </c>
      <c r="N4436" s="0" t="n">
        <v>1810</v>
      </c>
      <c r="O4436" s="10" t="n">
        <v>0.75040029338561</v>
      </c>
      <c r="P4436" s="10" t="n">
        <v>0.719914150424302</v>
      </c>
      <c r="Q4436" s="0" t="str">
        <f aca="false">SUBSTITUTE(SUBSTITUTE($I4436,CHAR(61),""),CHAR(34),"")</f>
        <v>35-49</v>
      </c>
      <c r="R4436" s="0" t="str">
        <f aca="false">IF($D4436&lt;&gt;"","["&amp;$E4436&amp;"]"&amp;"|"&amp;$Q4436&amp;"|"&amp;$K4436&amp;"|"&amp;$G4436&amp;"|"&amp;IF($G4436="TX_CURR_SUBNAT.R","CY2022Q4",$M4436),"")</f>
        <v>[AZyWpGzhcaA]|35-49|Female|PMTCT_ART_SUBNAT.D.T_1|CY2023Q3</v>
      </c>
    </row>
    <row r="4437" customFormat="false" ht="15" hidden="false" customHeight="false" outlineLevel="0" collapsed="false">
      <c r="D4437" s="0" t="s">
        <v>93</v>
      </c>
      <c r="E4437" s="0" t="s">
        <v>94</v>
      </c>
      <c r="F4437" s="0" t="s">
        <v>95</v>
      </c>
      <c r="G4437" s="0" t="s">
        <v>156</v>
      </c>
      <c r="H4437" s="0" t="s">
        <v>157</v>
      </c>
      <c r="I4437" s="0" t="s">
        <v>38</v>
      </c>
      <c r="J4437" s="0" t="s">
        <v>39</v>
      </c>
      <c r="K4437" s="0" t="s">
        <v>30</v>
      </c>
      <c r="L4437" s="0" t="s">
        <v>31</v>
      </c>
      <c r="M4437" s="0" t="s">
        <v>140</v>
      </c>
      <c r="N4437" s="0" t="n">
        <v>742</v>
      </c>
      <c r="O4437" s="10" t="n">
        <v>0.91155998641625</v>
      </c>
      <c r="P4437" s="10" t="n">
        <v>0.362272296566516</v>
      </c>
      <c r="Q4437" s="0" t="str">
        <f aca="false">SUBSTITUTE(SUBSTITUTE($I4437,CHAR(61),""),CHAR(34),"")</f>
        <v>15-24</v>
      </c>
      <c r="R4437" s="0" t="str">
        <f aca="false">IF($D4437&lt;&gt;"","["&amp;$E4437&amp;"]"&amp;"|"&amp;$Q4437&amp;"|"&amp;$K4437&amp;"|"&amp;$G4437&amp;"|"&amp;IF($G4437="TX_CURR_SUBNAT.R","CY2022Q4",$M4437),"")</f>
        <v>[umc2n1Z4wNv]|15-24|Female|PMTCT_ART_SUBNAT.D.T_1|CY2023Q3</v>
      </c>
    </row>
    <row r="4438" customFormat="false" ht="15" hidden="false" customHeight="false" outlineLevel="0" collapsed="false">
      <c r="D4438" s="0" t="s">
        <v>93</v>
      </c>
      <c r="E4438" s="0" t="s">
        <v>94</v>
      </c>
      <c r="F4438" s="0" t="s">
        <v>95</v>
      </c>
      <c r="G4438" s="0" t="s">
        <v>156</v>
      </c>
      <c r="H4438" s="0" t="s">
        <v>157</v>
      </c>
      <c r="I4438" s="0" t="s">
        <v>41</v>
      </c>
      <c r="J4438" s="0" t="s">
        <v>42</v>
      </c>
      <c r="K4438" s="0" t="s">
        <v>30</v>
      </c>
      <c r="L4438" s="0" t="s">
        <v>31</v>
      </c>
      <c r="M4438" s="0" t="s">
        <v>140</v>
      </c>
      <c r="N4438" s="0" t="n">
        <v>1320</v>
      </c>
      <c r="O4438" s="10" t="n">
        <v>0.17947076074779</v>
      </c>
      <c r="P4438" s="10" t="n">
        <v>0.362272296566516</v>
      </c>
      <c r="Q4438" s="0" t="str">
        <f aca="false">SUBSTITUTE(SUBSTITUTE($I4438,CHAR(61),""),CHAR(34),"")</f>
        <v>25-34</v>
      </c>
      <c r="R4438" s="0" t="str">
        <f aca="false">IF($D4438&lt;&gt;"","["&amp;$E4438&amp;"]"&amp;"|"&amp;$Q4438&amp;"|"&amp;$K4438&amp;"|"&amp;$G4438&amp;"|"&amp;IF($G4438="TX_CURR_SUBNAT.R","CY2022Q4",$M4438),"")</f>
        <v>[umc2n1Z4wNv]|25-34|Female|PMTCT_ART_SUBNAT.D.T_1|CY2023Q3</v>
      </c>
    </row>
    <row r="4439" customFormat="false" ht="15" hidden="false" customHeight="false" outlineLevel="0" collapsed="false">
      <c r="D4439" s="0" t="s">
        <v>93</v>
      </c>
      <c r="E4439" s="0" t="s">
        <v>94</v>
      </c>
      <c r="F4439" s="0" t="s">
        <v>95</v>
      </c>
      <c r="G4439" s="0" t="s">
        <v>156</v>
      </c>
      <c r="H4439" s="0" t="s">
        <v>157</v>
      </c>
      <c r="I4439" s="0" t="s">
        <v>43</v>
      </c>
      <c r="J4439" s="0" t="s">
        <v>44</v>
      </c>
      <c r="K4439" s="0" t="s">
        <v>30</v>
      </c>
      <c r="L4439" s="0" t="s">
        <v>31</v>
      </c>
      <c r="M4439" s="0" t="s">
        <v>140</v>
      </c>
      <c r="N4439" s="0" t="n">
        <v>1237</v>
      </c>
      <c r="O4439" s="10" t="n">
        <v>0.641716032056138</v>
      </c>
      <c r="P4439" s="10" t="n">
        <v>0.362272296566516</v>
      </c>
      <c r="Q4439" s="0" t="str">
        <f aca="false">SUBSTITUTE(SUBSTITUTE($I4439,CHAR(61),""),CHAR(34),"")</f>
        <v>35-49</v>
      </c>
      <c r="R4439" s="0" t="str">
        <f aca="false">IF($D4439&lt;&gt;"","["&amp;$E4439&amp;"]"&amp;"|"&amp;$Q4439&amp;"|"&amp;$K4439&amp;"|"&amp;$G4439&amp;"|"&amp;IF($G4439="TX_CURR_SUBNAT.R","CY2022Q4",$M4439),"")</f>
        <v>[umc2n1Z4wNv]|35-49|Female|PMTCT_ART_SUBNAT.D.T_1|CY2023Q3</v>
      </c>
    </row>
    <row r="4440" customFormat="false" ht="15" hidden="false" customHeight="false" outlineLevel="0" collapsed="false">
      <c r="D4440" s="0" t="s">
        <v>96</v>
      </c>
      <c r="E4440" s="0" t="s">
        <v>97</v>
      </c>
      <c r="F4440" s="0" t="s">
        <v>98</v>
      </c>
      <c r="G4440" s="0" t="s">
        <v>156</v>
      </c>
      <c r="H4440" s="0" t="s">
        <v>157</v>
      </c>
      <c r="I4440" s="0" t="s">
        <v>38</v>
      </c>
      <c r="J4440" s="0" t="s">
        <v>39</v>
      </c>
      <c r="K4440" s="0" t="s">
        <v>30</v>
      </c>
      <c r="L4440" s="0" t="s">
        <v>31</v>
      </c>
      <c r="M4440" s="0" t="s">
        <v>140</v>
      </c>
      <c r="N4440" s="0" t="n">
        <v>645</v>
      </c>
      <c r="O4440" s="10" t="n">
        <v>0.223836496239528</v>
      </c>
      <c r="P4440" s="10" t="n">
        <v>0.601251717889681</v>
      </c>
      <c r="Q4440" s="0" t="str">
        <f aca="false">SUBSTITUTE(SUBSTITUTE($I4440,CHAR(61),""),CHAR(34),"")</f>
        <v>15-24</v>
      </c>
      <c r="R4440" s="0" t="str">
        <f aca="false">IF($D4440&lt;&gt;"","["&amp;$E4440&amp;"]"&amp;"|"&amp;$Q4440&amp;"|"&amp;$K4440&amp;"|"&amp;$G4440&amp;"|"&amp;IF($G4440="TX_CURR_SUBNAT.R","CY2022Q4",$M4440),"")</f>
        <v>[gwVYinjBAe9]|15-24|Female|PMTCT_ART_SUBNAT.D.T_1|CY2023Q3</v>
      </c>
    </row>
    <row r="4441" customFormat="false" ht="15" hidden="false" customHeight="false" outlineLevel="0" collapsed="false">
      <c r="D4441" s="0" t="s">
        <v>96</v>
      </c>
      <c r="E4441" s="0" t="s">
        <v>97</v>
      </c>
      <c r="F4441" s="0" t="s">
        <v>98</v>
      </c>
      <c r="G4441" s="0" t="s">
        <v>156</v>
      </c>
      <c r="H4441" s="0" t="s">
        <v>157</v>
      </c>
      <c r="I4441" s="0" t="s">
        <v>41</v>
      </c>
      <c r="J4441" s="0" t="s">
        <v>42</v>
      </c>
      <c r="K4441" s="0" t="s">
        <v>30</v>
      </c>
      <c r="L4441" s="0" t="s">
        <v>31</v>
      </c>
      <c r="M4441" s="0" t="s">
        <v>140</v>
      </c>
      <c r="N4441" s="0" t="n">
        <v>1181</v>
      </c>
      <c r="O4441" s="10" t="n">
        <v>0.931816151598468</v>
      </c>
      <c r="P4441" s="10" t="n">
        <v>0.601251717889681</v>
      </c>
      <c r="Q4441" s="0" t="str">
        <f aca="false">SUBSTITUTE(SUBSTITUTE($I4441,CHAR(61),""),CHAR(34),"")</f>
        <v>25-34</v>
      </c>
      <c r="R4441" s="0" t="str">
        <f aca="false">IF($D4441&lt;&gt;"","["&amp;$E4441&amp;"]"&amp;"|"&amp;$Q4441&amp;"|"&amp;$K4441&amp;"|"&amp;$G4441&amp;"|"&amp;IF($G4441="TX_CURR_SUBNAT.R","CY2022Q4",$M4441),"")</f>
        <v>[gwVYinjBAe9]|25-34|Female|PMTCT_ART_SUBNAT.D.T_1|CY2023Q3</v>
      </c>
    </row>
    <row r="4442" customFormat="false" ht="15" hidden="false" customHeight="false" outlineLevel="0" collapsed="false">
      <c r="D4442" s="0" t="s">
        <v>96</v>
      </c>
      <c r="E4442" s="0" t="s">
        <v>97</v>
      </c>
      <c r="F4442" s="0" t="s">
        <v>98</v>
      </c>
      <c r="G4442" s="0" t="s">
        <v>156</v>
      </c>
      <c r="H4442" s="0" t="s">
        <v>157</v>
      </c>
      <c r="I4442" s="0" t="s">
        <v>43</v>
      </c>
      <c r="J4442" s="0" t="s">
        <v>44</v>
      </c>
      <c r="K4442" s="0" t="s">
        <v>30</v>
      </c>
      <c r="L4442" s="0" t="s">
        <v>31</v>
      </c>
      <c r="M4442" s="0" t="s">
        <v>140</v>
      </c>
      <c r="N4442" s="0" t="n">
        <v>1972</v>
      </c>
      <c r="O4442" s="10" t="n">
        <v>0.696321283699945</v>
      </c>
      <c r="P4442" s="10" t="n">
        <v>0.601251717889681</v>
      </c>
      <c r="Q4442" s="0" t="str">
        <f aca="false">SUBSTITUTE(SUBSTITUTE($I4442,CHAR(61),""),CHAR(34),"")</f>
        <v>35-49</v>
      </c>
      <c r="R4442" s="0" t="str">
        <f aca="false">IF($D4442&lt;&gt;"","["&amp;$E4442&amp;"]"&amp;"|"&amp;$Q4442&amp;"|"&amp;$K4442&amp;"|"&amp;$G4442&amp;"|"&amp;IF($G4442="TX_CURR_SUBNAT.R","CY2022Q4",$M4442),"")</f>
        <v>[gwVYinjBAe9]|35-49|Female|PMTCT_ART_SUBNAT.D.T_1|CY2023Q3</v>
      </c>
    </row>
    <row r="4443" customFormat="false" ht="15" hidden="false" customHeight="false" outlineLevel="0" collapsed="false">
      <c r="D4443" s="0" t="s">
        <v>99</v>
      </c>
      <c r="E4443" s="0" t="s">
        <v>100</v>
      </c>
      <c r="F4443" s="0" t="s">
        <v>101</v>
      </c>
      <c r="G4443" s="0" t="s">
        <v>156</v>
      </c>
      <c r="H4443" s="0" t="s">
        <v>157</v>
      </c>
      <c r="I4443" s="0" t="s">
        <v>38</v>
      </c>
      <c r="J4443" s="0" t="s">
        <v>39</v>
      </c>
      <c r="K4443" s="0" t="s">
        <v>30</v>
      </c>
      <c r="L4443" s="0" t="s">
        <v>31</v>
      </c>
      <c r="M4443" s="0" t="s">
        <v>140</v>
      </c>
      <c r="N4443" s="0" t="n">
        <v>722</v>
      </c>
      <c r="O4443" s="10" t="n">
        <v>0.662662104237825</v>
      </c>
      <c r="P4443" s="10" t="n">
        <v>0.577288038097322</v>
      </c>
      <c r="Q4443" s="0" t="str">
        <f aca="false">SUBSTITUTE(SUBSTITUTE($I4443,CHAR(61),""),CHAR(34),"")</f>
        <v>15-24</v>
      </c>
      <c r="R4443" s="0" t="str">
        <f aca="false">IF($D4443&lt;&gt;"","["&amp;$E4443&amp;"]"&amp;"|"&amp;$Q4443&amp;"|"&amp;$K4443&amp;"|"&amp;$G4443&amp;"|"&amp;IF($G4443="TX_CURR_SUBNAT.R","CY2022Q4",$M4443),"")</f>
        <v>[mxqa3CDFmIT]|15-24|Female|PMTCT_ART_SUBNAT.D.T_1|CY2023Q3</v>
      </c>
    </row>
    <row r="4444" customFormat="false" ht="15" hidden="false" customHeight="false" outlineLevel="0" collapsed="false">
      <c r="D4444" s="0" t="s">
        <v>99</v>
      </c>
      <c r="E4444" s="0" t="s">
        <v>100</v>
      </c>
      <c r="F4444" s="0" t="s">
        <v>101</v>
      </c>
      <c r="G4444" s="0" t="s">
        <v>156</v>
      </c>
      <c r="H4444" s="0" t="s">
        <v>157</v>
      </c>
      <c r="I4444" s="0" t="s">
        <v>41</v>
      </c>
      <c r="J4444" s="0" t="s">
        <v>42</v>
      </c>
      <c r="K4444" s="0" t="s">
        <v>30</v>
      </c>
      <c r="L4444" s="0" t="s">
        <v>31</v>
      </c>
      <c r="M4444" s="0" t="s">
        <v>140</v>
      </c>
      <c r="N4444" s="0" t="n">
        <v>698</v>
      </c>
      <c r="O4444" s="10" t="n">
        <v>0.435920038959011</v>
      </c>
      <c r="P4444" s="10" t="n">
        <v>0.577288038097322</v>
      </c>
      <c r="Q4444" s="0" t="str">
        <f aca="false">SUBSTITUTE(SUBSTITUTE($I4444,CHAR(61),""),CHAR(34),"")</f>
        <v>25-34</v>
      </c>
      <c r="R4444" s="0" t="str">
        <f aca="false">IF($D4444&lt;&gt;"","["&amp;$E4444&amp;"]"&amp;"|"&amp;$Q4444&amp;"|"&amp;$K4444&amp;"|"&amp;$G4444&amp;"|"&amp;IF($G4444="TX_CURR_SUBNAT.R","CY2022Q4",$M4444),"")</f>
        <v>[mxqa3CDFmIT]|25-34|Female|PMTCT_ART_SUBNAT.D.T_1|CY2023Q3</v>
      </c>
    </row>
    <row r="4445" customFormat="false" ht="15" hidden="false" customHeight="false" outlineLevel="0" collapsed="false">
      <c r="D4445" s="0" t="s">
        <v>99</v>
      </c>
      <c r="E4445" s="0" t="s">
        <v>100</v>
      </c>
      <c r="F4445" s="0" t="s">
        <v>101</v>
      </c>
      <c r="G4445" s="0" t="s">
        <v>156</v>
      </c>
      <c r="H4445" s="0" t="s">
        <v>157</v>
      </c>
      <c r="I4445" s="0" t="s">
        <v>43</v>
      </c>
      <c r="J4445" s="0" t="s">
        <v>44</v>
      </c>
      <c r="K4445" s="0" t="s">
        <v>30</v>
      </c>
      <c r="L4445" s="0" t="s">
        <v>31</v>
      </c>
      <c r="M4445" s="0" t="s">
        <v>140</v>
      </c>
      <c r="N4445" s="0" t="n">
        <v>1035</v>
      </c>
      <c r="O4445" s="10" t="n">
        <v>0.68636833014898</v>
      </c>
      <c r="P4445" s="10" t="n">
        <v>0.577288038097322</v>
      </c>
      <c r="Q4445" s="0" t="str">
        <f aca="false">SUBSTITUTE(SUBSTITUTE($I4445,CHAR(61),""),CHAR(34),"")</f>
        <v>35-49</v>
      </c>
      <c r="R4445" s="0" t="str">
        <f aca="false">IF($D4445&lt;&gt;"","["&amp;$E4445&amp;"]"&amp;"|"&amp;$Q4445&amp;"|"&amp;$K4445&amp;"|"&amp;$G4445&amp;"|"&amp;IF($G4445="TX_CURR_SUBNAT.R","CY2022Q4",$M4445),"")</f>
        <v>[mxqa3CDFmIT]|35-49|Female|PMTCT_ART_SUBNAT.D.T_1|CY2023Q3</v>
      </c>
    </row>
    <row r="4446" customFormat="false" ht="15" hidden="false" customHeight="false" outlineLevel="0" collapsed="false">
      <c r="D4446" s="0" t="s">
        <v>102</v>
      </c>
      <c r="E4446" s="0" t="s">
        <v>103</v>
      </c>
      <c r="F4446" s="0" t="s">
        <v>104</v>
      </c>
      <c r="G4446" s="0" t="s">
        <v>156</v>
      </c>
      <c r="H4446" s="0" t="s">
        <v>157</v>
      </c>
      <c r="I4446" s="0" t="s">
        <v>38</v>
      </c>
      <c r="J4446" s="0" t="s">
        <v>39</v>
      </c>
      <c r="K4446" s="0" t="s">
        <v>30</v>
      </c>
      <c r="L4446" s="0" t="s">
        <v>31</v>
      </c>
      <c r="M4446" s="0" t="s">
        <v>140</v>
      </c>
      <c r="N4446" s="0" t="n">
        <v>1203</v>
      </c>
      <c r="O4446" s="10" t="n">
        <v>0.13327564811334</v>
      </c>
      <c r="P4446" s="10" t="n">
        <v>0.526212359312922</v>
      </c>
      <c r="Q4446" s="0" t="str">
        <f aca="false">SUBSTITUTE(SUBSTITUTE($I4446,CHAR(61),""),CHAR(34),"")</f>
        <v>15-24</v>
      </c>
      <c r="R4446" s="0" t="str">
        <f aca="false">IF($D4446&lt;&gt;"","["&amp;$E4446&amp;"]"&amp;"|"&amp;$Q4446&amp;"|"&amp;$K4446&amp;"|"&amp;$G4446&amp;"|"&amp;IF($G4446="TX_CURR_SUBNAT.R","CY2022Q4",$M4446),"")</f>
        <v>[wNqJp8oRIcF]|15-24|Female|PMTCT_ART_SUBNAT.D.T_1|CY2023Q3</v>
      </c>
    </row>
    <row r="4447" customFormat="false" ht="15" hidden="false" customHeight="false" outlineLevel="0" collapsed="false">
      <c r="D4447" s="0" t="s">
        <v>102</v>
      </c>
      <c r="E4447" s="0" t="s">
        <v>103</v>
      </c>
      <c r="F4447" s="0" t="s">
        <v>104</v>
      </c>
      <c r="G4447" s="0" t="s">
        <v>156</v>
      </c>
      <c r="H4447" s="0" t="s">
        <v>157</v>
      </c>
      <c r="I4447" s="0" t="s">
        <v>41</v>
      </c>
      <c r="J4447" s="0" t="s">
        <v>42</v>
      </c>
      <c r="K4447" s="0" t="s">
        <v>30</v>
      </c>
      <c r="L4447" s="0" t="s">
        <v>31</v>
      </c>
      <c r="M4447" s="0" t="s">
        <v>140</v>
      </c>
      <c r="N4447" s="0" t="n">
        <v>1608</v>
      </c>
      <c r="O4447" s="10" t="n">
        <v>0.818937599891797</v>
      </c>
      <c r="P4447" s="10" t="n">
        <v>0.526212359312922</v>
      </c>
      <c r="Q4447" s="0" t="str">
        <f aca="false">SUBSTITUTE(SUBSTITUTE($I4447,CHAR(61),""),CHAR(34),"")</f>
        <v>25-34</v>
      </c>
      <c r="R4447" s="0" t="str">
        <f aca="false">IF($D4447&lt;&gt;"","["&amp;$E4447&amp;"]"&amp;"|"&amp;$Q4447&amp;"|"&amp;$K4447&amp;"|"&amp;$G4447&amp;"|"&amp;IF($G4447="TX_CURR_SUBNAT.R","CY2022Q4",$M4447),"")</f>
        <v>[wNqJp8oRIcF]|25-34|Female|PMTCT_ART_SUBNAT.D.T_1|CY2023Q3</v>
      </c>
    </row>
    <row r="4448" customFormat="false" ht="15" hidden="false" customHeight="false" outlineLevel="0" collapsed="false">
      <c r="D4448" s="0" t="s">
        <v>102</v>
      </c>
      <c r="E4448" s="0" t="s">
        <v>103</v>
      </c>
      <c r="F4448" s="0" t="s">
        <v>104</v>
      </c>
      <c r="G4448" s="0" t="s">
        <v>156</v>
      </c>
      <c r="H4448" s="0" t="s">
        <v>157</v>
      </c>
      <c r="I4448" s="0" t="s">
        <v>43</v>
      </c>
      <c r="J4448" s="0" t="s">
        <v>44</v>
      </c>
      <c r="K4448" s="0" t="s">
        <v>30</v>
      </c>
      <c r="L4448" s="0" t="s">
        <v>31</v>
      </c>
      <c r="M4448" s="0" t="s">
        <v>140</v>
      </c>
      <c r="N4448" s="0" t="n">
        <v>1943</v>
      </c>
      <c r="O4448" s="10" t="n">
        <v>0.186365687754005</v>
      </c>
      <c r="P4448" s="10" t="n">
        <v>0.526212359312922</v>
      </c>
      <c r="Q4448" s="0" t="str">
        <f aca="false">SUBSTITUTE(SUBSTITUTE($I4448,CHAR(61),""),CHAR(34),"")</f>
        <v>35-49</v>
      </c>
      <c r="R4448" s="0" t="str">
        <f aca="false">IF($D4448&lt;&gt;"","["&amp;$E4448&amp;"]"&amp;"|"&amp;$Q4448&amp;"|"&amp;$K4448&amp;"|"&amp;$G4448&amp;"|"&amp;IF($G4448="TX_CURR_SUBNAT.R","CY2022Q4",$M4448),"")</f>
        <v>[wNqJp8oRIcF]|35-49|Female|PMTCT_ART_SUBNAT.D.T_1|CY2023Q3</v>
      </c>
    </row>
    <row r="4449" customFormat="false" ht="15" hidden="false" customHeight="false" outlineLevel="0" collapsed="false">
      <c r="D4449" s="0" t="s">
        <v>105</v>
      </c>
      <c r="E4449" s="0" t="s">
        <v>106</v>
      </c>
      <c r="F4449" s="0" t="s">
        <v>107</v>
      </c>
      <c r="G4449" s="0" t="s">
        <v>156</v>
      </c>
      <c r="H4449" s="0" t="s">
        <v>157</v>
      </c>
      <c r="I4449" s="0" t="s">
        <v>38</v>
      </c>
      <c r="J4449" s="0" t="s">
        <v>39</v>
      </c>
      <c r="K4449" s="0" t="s">
        <v>30</v>
      </c>
      <c r="L4449" s="0" t="s">
        <v>31</v>
      </c>
      <c r="M4449" s="0" t="s">
        <v>140</v>
      </c>
      <c r="N4449" s="0" t="n">
        <v>1582</v>
      </c>
      <c r="O4449" s="10" t="n">
        <v>0.428426264086738</v>
      </c>
      <c r="P4449" s="10" t="n">
        <v>0.218249560333788</v>
      </c>
      <c r="Q4449" s="0" t="str">
        <f aca="false">SUBSTITUTE(SUBSTITUTE($I4449,CHAR(61),""),CHAR(34),"")</f>
        <v>15-24</v>
      </c>
      <c r="R4449" s="0" t="str">
        <f aca="false">IF($D4449&lt;&gt;"","["&amp;$E4449&amp;"]"&amp;"|"&amp;$Q4449&amp;"|"&amp;$K4449&amp;"|"&amp;$G4449&amp;"|"&amp;IF($G4449="TX_CURR_SUBNAT.R","CY2022Q4",$M4449),"")</f>
        <v>[oiPR2CiVJbf]|15-24|Female|PMTCT_ART_SUBNAT.D.T_1|CY2023Q3</v>
      </c>
    </row>
    <row r="4450" customFormat="false" ht="15" hidden="false" customHeight="false" outlineLevel="0" collapsed="false">
      <c r="D4450" s="0" t="s">
        <v>105</v>
      </c>
      <c r="E4450" s="0" t="s">
        <v>106</v>
      </c>
      <c r="F4450" s="0" t="s">
        <v>107</v>
      </c>
      <c r="G4450" s="0" t="s">
        <v>156</v>
      </c>
      <c r="H4450" s="0" t="s">
        <v>157</v>
      </c>
      <c r="I4450" s="0" t="s">
        <v>41</v>
      </c>
      <c r="J4450" s="0" t="s">
        <v>42</v>
      </c>
      <c r="K4450" s="0" t="s">
        <v>30</v>
      </c>
      <c r="L4450" s="0" t="s">
        <v>31</v>
      </c>
      <c r="M4450" s="0" t="s">
        <v>140</v>
      </c>
      <c r="N4450" s="0" t="n">
        <v>748</v>
      </c>
      <c r="O4450" s="10" t="n">
        <v>0.566808394156396</v>
      </c>
      <c r="P4450" s="10" t="n">
        <v>0.218249560333788</v>
      </c>
      <c r="Q4450" s="0" t="str">
        <f aca="false">SUBSTITUTE(SUBSTITUTE($I4450,CHAR(61),""),CHAR(34),"")</f>
        <v>25-34</v>
      </c>
      <c r="R4450" s="0" t="str">
        <f aca="false">IF($D4450&lt;&gt;"","["&amp;$E4450&amp;"]"&amp;"|"&amp;$Q4450&amp;"|"&amp;$K4450&amp;"|"&amp;$G4450&amp;"|"&amp;IF($G4450="TX_CURR_SUBNAT.R","CY2022Q4",$M4450),"")</f>
        <v>[oiPR2CiVJbf]|25-34|Female|PMTCT_ART_SUBNAT.D.T_1|CY2023Q3</v>
      </c>
    </row>
    <row r="4451" customFormat="false" ht="15" hidden="false" customHeight="false" outlineLevel="0" collapsed="false">
      <c r="D4451" s="0" t="s">
        <v>105</v>
      </c>
      <c r="E4451" s="0" t="s">
        <v>106</v>
      </c>
      <c r="F4451" s="0" t="s">
        <v>107</v>
      </c>
      <c r="G4451" s="0" t="s">
        <v>156</v>
      </c>
      <c r="H4451" s="0" t="s">
        <v>157</v>
      </c>
      <c r="I4451" s="0" t="s">
        <v>43</v>
      </c>
      <c r="J4451" s="0" t="s">
        <v>44</v>
      </c>
      <c r="K4451" s="0" t="s">
        <v>30</v>
      </c>
      <c r="L4451" s="0" t="s">
        <v>31</v>
      </c>
      <c r="M4451" s="0" t="s">
        <v>140</v>
      </c>
      <c r="N4451" s="0" t="n">
        <v>940</v>
      </c>
      <c r="O4451" s="10" t="n">
        <v>0.844737156294286</v>
      </c>
      <c r="P4451" s="10" t="n">
        <v>0.218249560333788</v>
      </c>
      <c r="Q4451" s="0" t="str">
        <f aca="false">SUBSTITUTE(SUBSTITUTE($I4451,CHAR(61),""),CHAR(34),"")</f>
        <v>35-49</v>
      </c>
      <c r="R4451" s="0" t="str">
        <f aca="false">IF($D4451&lt;&gt;"","["&amp;$E4451&amp;"]"&amp;"|"&amp;$Q4451&amp;"|"&amp;$K4451&amp;"|"&amp;$G4451&amp;"|"&amp;IF($G4451="TX_CURR_SUBNAT.R","CY2022Q4",$M4451),"")</f>
        <v>[oiPR2CiVJbf]|35-49|Female|PMTCT_ART_SUBNAT.D.T_1|CY2023Q3</v>
      </c>
    </row>
    <row r="4452" customFormat="false" ht="15" hidden="false" customHeight="false" outlineLevel="0" collapsed="false">
      <c r="D4452" s="0" t="s">
        <v>108</v>
      </c>
      <c r="E4452" s="0" t="s">
        <v>109</v>
      </c>
      <c r="F4452" s="0" t="s">
        <v>110</v>
      </c>
      <c r="G4452" s="0" t="s">
        <v>156</v>
      </c>
      <c r="H4452" s="0" t="s">
        <v>157</v>
      </c>
      <c r="I4452" s="0" t="s">
        <v>38</v>
      </c>
      <c r="J4452" s="0" t="s">
        <v>39</v>
      </c>
      <c r="K4452" s="0" t="s">
        <v>30</v>
      </c>
      <c r="L4452" s="0" t="s">
        <v>31</v>
      </c>
      <c r="M4452" s="0" t="s">
        <v>140</v>
      </c>
      <c r="N4452" s="0" t="n">
        <v>1566</v>
      </c>
      <c r="O4452" s="10" t="n">
        <v>0.413452835520729</v>
      </c>
      <c r="P4452" s="10" t="n">
        <v>0.434221804374829</v>
      </c>
      <c r="Q4452" s="0" t="str">
        <f aca="false">SUBSTITUTE(SUBSTITUTE($I4452,CHAR(61),""),CHAR(34),"")</f>
        <v>15-24</v>
      </c>
      <c r="R4452" s="0" t="str">
        <f aca="false">IF($D4452&lt;&gt;"","["&amp;$E4452&amp;"]"&amp;"|"&amp;$Q4452&amp;"|"&amp;$K4452&amp;"|"&amp;$G4452&amp;"|"&amp;IF($G4452="TX_CURR_SUBNAT.R","CY2022Q4",$M4452),"")</f>
        <v>[ul0y9diGujK]|15-24|Female|PMTCT_ART_SUBNAT.D.T_1|CY2023Q3</v>
      </c>
    </row>
    <row r="4453" customFormat="false" ht="15" hidden="false" customHeight="false" outlineLevel="0" collapsed="false">
      <c r="D4453" s="0" t="s">
        <v>108</v>
      </c>
      <c r="E4453" s="0" t="s">
        <v>109</v>
      </c>
      <c r="F4453" s="0" t="s">
        <v>110</v>
      </c>
      <c r="G4453" s="0" t="s">
        <v>156</v>
      </c>
      <c r="H4453" s="0" t="s">
        <v>157</v>
      </c>
      <c r="I4453" s="0" t="s">
        <v>41</v>
      </c>
      <c r="J4453" s="0" t="s">
        <v>42</v>
      </c>
      <c r="K4453" s="0" t="s">
        <v>30</v>
      </c>
      <c r="L4453" s="0" t="s">
        <v>31</v>
      </c>
      <c r="M4453" s="0" t="s">
        <v>140</v>
      </c>
      <c r="N4453" s="0" t="n">
        <v>623</v>
      </c>
      <c r="O4453" s="10" t="n">
        <v>0.202117185574025</v>
      </c>
      <c r="P4453" s="10" t="n">
        <v>0.434221804374829</v>
      </c>
      <c r="Q4453" s="0" t="str">
        <f aca="false">SUBSTITUTE(SUBSTITUTE($I4453,CHAR(61),""),CHAR(34),"")</f>
        <v>25-34</v>
      </c>
      <c r="R4453" s="0" t="str">
        <f aca="false">IF($D4453&lt;&gt;"","["&amp;$E4453&amp;"]"&amp;"|"&amp;$Q4453&amp;"|"&amp;$K4453&amp;"|"&amp;$G4453&amp;"|"&amp;IF($G4453="TX_CURR_SUBNAT.R","CY2022Q4",$M4453),"")</f>
        <v>[ul0y9diGujK]|25-34|Female|PMTCT_ART_SUBNAT.D.T_1|CY2023Q3</v>
      </c>
    </row>
    <row r="4454" customFormat="false" ht="15" hidden="false" customHeight="false" outlineLevel="0" collapsed="false">
      <c r="D4454" s="0" t="s">
        <v>108</v>
      </c>
      <c r="E4454" s="0" t="s">
        <v>109</v>
      </c>
      <c r="F4454" s="0" t="s">
        <v>110</v>
      </c>
      <c r="G4454" s="0" t="s">
        <v>156</v>
      </c>
      <c r="H4454" s="0" t="s">
        <v>157</v>
      </c>
      <c r="I4454" s="0" t="s">
        <v>43</v>
      </c>
      <c r="J4454" s="0" t="s">
        <v>44</v>
      </c>
      <c r="K4454" s="0" t="s">
        <v>30</v>
      </c>
      <c r="L4454" s="0" t="s">
        <v>31</v>
      </c>
      <c r="M4454" s="0" t="s">
        <v>140</v>
      </c>
      <c r="N4454" s="0" t="n">
        <v>1266</v>
      </c>
      <c r="O4454" s="10" t="n">
        <v>0.671527919359505</v>
      </c>
      <c r="P4454" s="10" t="n">
        <v>0.434221804374829</v>
      </c>
      <c r="Q4454" s="0" t="str">
        <f aca="false">SUBSTITUTE(SUBSTITUTE($I4454,CHAR(61),""),CHAR(34),"")</f>
        <v>35-49</v>
      </c>
      <c r="R4454" s="0" t="str">
        <f aca="false">IF($D4454&lt;&gt;"","["&amp;$E4454&amp;"]"&amp;"|"&amp;$Q4454&amp;"|"&amp;$K4454&amp;"|"&amp;$G4454&amp;"|"&amp;IF($G4454="TX_CURR_SUBNAT.R","CY2022Q4",$M4454),"")</f>
        <v>[ul0y9diGujK]|35-49|Female|PMTCT_ART_SUBNAT.D.T_1|CY2023Q3</v>
      </c>
    </row>
    <row r="4455" customFormat="false" ht="15" hidden="false" customHeight="false" outlineLevel="0" collapsed="false">
      <c r="D4455" s="0" t="s">
        <v>111</v>
      </c>
      <c r="E4455" s="0" t="s">
        <v>112</v>
      </c>
      <c r="F4455" s="0" t="s">
        <v>113</v>
      </c>
      <c r="G4455" s="0" t="s">
        <v>156</v>
      </c>
      <c r="H4455" s="0" t="s">
        <v>157</v>
      </c>
      <c r="I4455" s="0" t="s">
        <v>38</v>
      </c>
      <c r="J4455" s="0" t="s">
        <v>39</v>
      </c>
      <c r="K4455" s="0" t="s">
        <v>30</v>
      </c>
      <c r="L4455" s="0" t="s">
        <v>31</v>
      </c>
      <c r="M4455" s="0" t="s">
        <v>140</v>
      </c>
      <c r="N4455" s="0" t="n">
        <v>1612</v>
      </c>
      <c r="O4455" s="10" t="n">
        <v>0.330293859587982</v>
      </c>
      <c r="P4455" s="10" t="n">
        <v>0.337768794968724</v>
      </c>
      <c r="Q4455" s="0" t="str">
        <f aca="false">SUBSTITUTE(SUBSTITUTE($I4455,CHAR(61),""),CHAR(34),"")</f>
        <v>15-24</v>
      </c>
      <c r="R4455" s="0" t="str">
        <f aca="false">IF($D4455&lt;&gt;"","["&amp;$E4455&amp;"]"&amp;"|"&amp;$Q4455&amp;"|"&amp;$K4455&amp;"|"&amp;$G4455&amp;"|"&amp;IF($G4455="TX_CURR_SUBNAT.R","CY2022Q4",$M4455),"")</f>
        <v>[U8c0so51kT6]|15-24|Female|PMTCT_ART_SUBNAT.D.T_1|CY2023Q3</v>
      </c>
    </row>
    <row r="4456" customFormat="false" ht="15" hidden="false" customHeight="false" outlineLevel="0" collapsed="false">
      <c r="D4456" s="0" t="s">
        <v>111</v>
      </c>
      <c r="E4456" s="0" t="s">
        <v>112</v>
      </c>
      <c r="F4456" s="0" t="s">
        <v>113</v>
      </c>
      <c r="G4456" s="0" t="s">
        <v>156</v>
      </c>
      <c r="H4456" s="0" t="s">
        <v>157</v>
      </c>
      <c r="I4456" s="0" t="s">
        <v>41</v>
      </c>
      <c r="J4456" s="0" t="s">
        <v>42</v>
      </c>
      <c r="K4456" s="0" t="s">
        <v>30</v>
      </c>
      <c r="L4456" s="0" t="s">
        <v>31</v>
      </c>
      <c r="M4456" s="0" t="s">
        <v>140</v>
      </c>
      <c r="N4456" s="0" t="n">
        <v>1218</v>
      </c>
      <c r="O4456" s="10" t="n">
        <v>0.00699574989266694</v>
      </c>
      <c r="P4456" s="10" t="n">
        <v>0.337768794968724</v>
      </c>
      <c r="Q4456" s="0" t="str">
        <f aca="false">SUBSTITUTE(SUBSTITUTE($I4456,CHAR(61),""),CHAR(34),"")</f>
        <v>25-34</v>
      </c>
      <c r="R4456" s="0" t="str">
        <f aca="false">IF($D4456&lt;&gt;"","["&amp;$E4456&amp;"]"&amp;"|"&amp;$Q4456&amp;"|"&amp;$K4456&amp;"|"&amp;$G4456&amp;"|"&amp;IF($G4456="TX_CURR_SUBNAT.R","CY2022Q4",$M4456),"")</f>
        <v>[U8c0so51kT6]|25-34|Female|PMTCT_ART_SUBNAT.D.T_1|CY2023Q3</v>
      </c>
    </row>
    <row r="4457" customFormat="false" ht="15" hidden="false" customHeight="false" outlineLevel="0" collapsed="false">
      <c r="D4457" s="0" t="s">
        <v>111</v>
      </c>
      <c r="E4457" s="0" t="s">
        <v>112</v>
      </c>
      <c r="F4457" s="0" t="s">
        <v>113</v>
      </c>
      <c r="G4457" s="0" t="s">
        <v>156</v>
      </c>
      <c r="H4457" s="0" t="s">
        <v>157</v>
      </c>
      <c r="I4457" s="0" t="s">
        <v>43</v>
      </c>
      <c r="J4457" s="0" t="s">
        <v>44</v>
      </c>
      <c r="K4457" s="0" t="s">
        <v>30</v>
      </c>
      <c r="L4457" s="0" t="s">
        <v>31</v>
      </c>
      <c r="M4457" s="0" t="s">
        <v>140</v>
      </c>
      <c r="N4457" s="0" t="n">
        <v>1581</v>
      </c>
      <c r="O4457" s="10" t="n">
        <v>0.281834057997912</v>
      </c>
      <c r="P4457" s="10" t="n">
        <v>0.337768794968724</v>
      </c>
      <c r="Q4457" s="0" t="str">
        <f aca="false">SUBSTITUTE(SUBSTITUTE($I4457,CHAR(61),""),CHAR(34),"")</f>
        <v>35-49</v>
      </c>
      <c r="R4457" s="0" t="str">
        <f aca="false">IF($D4457&lt;&gt;"","["&amp;$E4457&amp;"]"&amp;"|"&amp;$Q4457&amp;"|"&amp;$K4457&amp;"|"&amp;$G4457&amp;"|"&amp;IF($G4457="TX_CURR_SUBNAT.R","CY2022Q4",$M4457),"")</f>
        <v>[U8c0so51kT6]|35-49|Female|PMTCT_ART_SUBNAT.D.T_1|CY2023Q3</v>
      </c>
    </row>
    <row r="4458" customFormat="false" ht="15" hidden="false" customHeight="false" outlineLevel="0" collapsed="false">
      <c r="D4458" s="0" t="s">
        <v>114</v>
      </c>
      <c r="E4458" s="0" t="s">
        <v>115</v>
      </c>
      <c r="F4458" s="0" t="s">
        <v>116</v>
      </c>
      <c r="G4458" s="0" t="s">
        <v>156</v>
      </c>
      <c r="H4458" s="0" t="s">
        <v>157</v>
      </c>
      <c r="I4458" s="0" t="s">
        <v>38</v>
      </c>
      <c r="J4458" s="0" t="s">
        <v>39</v>
      </c>
      <c r="K4458" s="0" t="s">
        <v>30</v>
      </c>
      <c r="L4458" s="0" t="s">
        <v>31</v>
      </c>
      <c r="M4458" s="0" t="s">
        <v>140</v>
      </c>
      <c r="N4458" s="0" t="n">
        <v>1212</v>
      </c>
      <c r="O4458" s="10" t="n">
        <v>0.771786553552374</v>
      </c>
      <c r="P4458" s="10" t="n">
        <v>0.298559809103608</v>
      </c>
      <c r="Q4458" s="0" t="str">
        <f aca="false">SUBSTITUTE(SUBSTITUTE($I4458,CHAR(61),""),CHAR(34),"")</f>
        <v>15-24</v>
      </c>
      <c r="R4458" s="0" t="str">
        <f aca="false">IF($D4458&lt;&gt;"","["&amp;$E4458&amp;"]"&amp;"|"&amp;$Q4458&amp;"|"&amp;$K4458&amp;"|"&amp;$G4458&amp;"|"&amp;IF($G4458="TX_CURR_SUBNAT.R","CY2022Q4",$M4458),"")</f>
        <v>[rpw540fmNUz]|15-24|Female|PMTCT_ART_SUBNAT.D.T_1|CY2023Q3</v>
      </c>
    </row>
    <row r="4459" customFormat="false" ht="15" hidden="false" customHeight="false" outlineLevel="0" collapsed="false">
      <c r="D4459" s="0" t="s">
        <v>114</v>
      </c>
      <c r="E4459" s="0" t="s">
        <v>115</v>
      </c>
      <c r="F4459" s="0" t="s">
        <v>116</v>
      </c>
      <c r="G4459" s="0" t="s">
        <v>156</v>
      </c>
      <c r="H4459" s="0" t="s">
        <v>157</v>
      </c>
      <c r="I4459" s="0" t="s">
        <v>41</v>
      </c>
      <c r="J4459" s="0" t="s">
        <v>42</v>
      </c>
      <c r="K4459" s="0" t="s">
        <v>30</v>
      </c>
      <c r="L4459" s="0" t="s">
        <v>31</v>
      </c>
      <c r="M4459" s="0" t="s">
        <v>140</v>
      </c>
      <c r="N4459" s="0" t="n">
        <v>1665</v>
      </c>
      <c r="O4459" s="10" t="n">
        <v>0.98621271410957</v>
      </c>
      <c r="P4459" s="10" t="n">
        <v>0.298559809103608</v>
      </c>
      <c r="Q4459" s="0" t="str">
        <f aca="false">SUBSTITUTE(SUBSTITUTE($I4459,CHAR(61),""),CHAR(34),"")</f>
        <v>25-34</v>
      </c>
      <c r="R4459" s="0" t="str">
        <f aca="false">IF($D4459&lt;&gt;"","["&amp;$E4459&amp;"]"&amp;"|"&amp;$Q4459&amp;"|"&amp;$K4459&amp;"|"&amp;$G4459&amp;"|"&amp;IF($G4459="TX_CURR_SUBNAT.R","CY2022Q4",$M4459),"")</f>
        <v>[rpw540fmNUz]|25-34|Female|PMTCT_ART_SUBNAT.D.T_1|CY2023Q3</v>
      </c>
    </row>
    <row r="4460" customFormat="false" ht="15" hidden="false" customHeight="false" outlineLevel="0" collapsed="false">
      <c r="D4460" s="0" t="s">
        <v>114</v>
      </c>
      <c r="E4460" s="0" t="s">
        <v>115</v>
      </c>
      <c r="F4460" s="0" t="s">
        <v>116</v>
      </c>
      <c r="G4460" s="0" t="s">
        <v>156</v>
      </c>
      <c r="H4460" s="0" t="s">
        <v>157</v>
      </c>
      <c r="I4460" s="0" t="s">
        <v>43</v>
      </c>
      <c r="J4460" s="0" t="s">
        <v>44</v>
      </c>
      <c r="K4460" s="0" t="s">
        <v>30</v>
      </c>
      <c r="L4460" s="0" t="s">
        <v>31</v>
      </c>
      <c r="M4460" s="0" t="s">
        <v>140</v>
      </c>
      <c r="N4460" s="0" t="n">
        <v>713</v>
      </c>
      <c r="O4460" s="10" t="n">
        <v>0.736754994373769</v>
      </c>
      <c r="P4460" s="10" t="n">
        <v>0.298559809103608</v>
      </c>
      <c r="Q4460" s="0" t="str">
        <f aca="false">SUBSTITUTE(SUBSTITUTE($I4460,CHAR(61),""),CHAR(34),"")</f>
        <v>35-49</v>
      </c>
      <c r="R4460" s="0" t="str">
        <f aca="false">IF($D4460&lt;&gt;"","["&amp;$E4460&amp;"]"&amp;"|"&amp;$Q4460&amp;"|"&amp;$K4460&amp;"|"&amp;$G4460&amp;"|"&amp;IF($G4460="TX_CURR_SUBNAT.R","CY2022Q4",$M4460),"")</f>
        <v>[rpw540fmNUz]|35-49|Female|PMTCT_ART_SUBNAT.D.T_1|CY2023Q3</v>
      </c>
    </row>
    <row r="4461" customFormat="false" ht="15" hidden="false" customHeight="false" outlineLevel="0" collapsed="false">
      <c r="D4461" s="0" t="s">
        <v>117</v>
      </c>
      <c r="E4461" s="0" t="s">
        <v>118</v>
      </c>
      <c r="F4461" s="0" t="s">
        <v>119</v>
      </c>
      <c r="G4461" s="0" t="s">
        <v>156</v>
      </c>
      <c r="H4461" s="0" t="s">
        <v>157</v>
      </c>
      <c r="I4461" s="0" t="s">
        <v>38</v>
      </c>
      <c r="J4461" s="0" t="s">
        <v>39</v>
      </c>
      <c r="K4461" s="0" t="s">
        <v>30</v>
      </c>
      <c r="L4461" s="0" t="s">
        <v>31</v>
      </c>
      <c r="M4461" s="0" t="s">
        <v>140</v>
      </c>
      <c r="N4461" s="0" t="n">
        <v>1459</v>
      </c>
      <c r="O4461" s="10" t="n">
        <v>0.450724394526333</v>
      </c>
      <c r="P4461" s="10" t="n">
        <v>0.206259709550068</v>
      </c>
      <c r="Q4461" s="0" t="str">
        <f aca="false">SUBSTITUTE(SUBSTITUTE($I4461,CHAR(61),""),CHAR(34),"")</f>
        <v>15-24</v>
      </c>
      <c r="R4461" s="0" t="str">
        <f aca="false">IF($D4461&lt;&gt;"","["&amp;$E4461&amp;"]"&amp;"|"&amp;$Q4461&amp;"|"&amp;$K4461&amp;"|"&amp;$G4461&amp;"|"&amp;IF($G4461="TX_CURR_SUBNAT.R","CY2022Q4",$M4461),"")</f>
        <v>[lPTyjLi4w3d]|15-24|Female|PMTCT_ART_SUBNAT.D.T_1|CY2023Q3</v>
      </c>
    </row>
    <row r="4462" customFormat="false" ht="15" hidden="false" customHeight="false" outlineLevel="0" collapsed="false">
      <c r="D4462" s="0" t="s">
        <v>117</v>
      </c>
      <c r="E4462" s="0" t="s">
        <v>118</v>
      </c>
      <c r="F4462" s="0" t="s">
        <v>119</v>
      </c>
      <c r="G4462" s="0" t="s">
        <v>156</v>
      </c>
      <c r="H4462" s="0" t="s">
        <v>157</v>
      </c>
      <c r="I4462" s="0" t="s">
        <v>41</v>
      </c>
      <c r="J4462" s="0" t="s">
        <v>42</v>
      </c>
      <c r="K4462" s="0" t="s">
        <v>30</v>
      </c>
      <c r="L4462" s="0" t="s">
        <v>31</v>
      </c>
      <c r="M4462" s="0" t="s">
        <v>140</v>
      </c>
      <c r="N4462" s="0" t="n">
        <v>677</v>
      </c>
      <c r="O4462" s="10" t="n">
        <v>0.103770412970334</v>
      </c>
      <c r="P4462" s="10" t="n">
        <v>0.206259709550068</v>
      </c>
      <c r="Q4462" s="0" t="str">
        <f aca="false">SUBSTITUTE(SUBSTITUTE($I4462,CHAR(61),""),CHAR(34),"")</f>
        <v>25-34</v>
      </c>
      <c r="R4462" s="0" t="str">
        <f aca="false">IF($D4462&lt;&gt;"","["&amp;$E4462&amp;"]"&amp;"|"&amp;$Q4462&amp;"|"&amp;$K4462&amp;"|"&amp;$G4462&amp;"|"&amp;IF($G4462="TX_CURR_SUBNAT.R","CY2022Q4",$M4462),"")</f>
        <v>[lPTyjLi4w3d]|25-34|Female|PMTCT_ART_SUBNAT.D.T_1|CY2023Q3</v>
      </c>
    </row>
    <row r="4463" customFormat="false" ht="15" hidden="false" customHeight="false" outlineLevel="0" collapsed="false">
      <c r="D4463" s="0" t="s">
        <v>117</v>
      </c>
      <c r="E4463" s="0" t="s">
        <v>118</v>
      </c>
      <c r="F4463" s="0" t="s">
        <v>119</v>
      </c>
      <c r="G4463" s="0" t="s">
        <v>156</v>
      </c>
      <c r="H4463" s="0" t="s">
        <v>157</v>
      </c>
      <c r="I4463" s="0" t="s">
        <v>43</v>
      </c>
      <c r="J4463" s="0" t="s">
        <v>44</v>
      </c>
      <c r="K4463" s="0" t="s">
        <v>30</v>
      </c>
      <c r="L4463" s="0" t="s">
        <v>31</v>
      </c>
      <c r="M4463" s="0" t="s">
        <v>140</v>
      </c>
      <c r="N4463" s="0" t="n">
        <v>838</v>
      </c>
      <c r="O4463" s="10" t="n">
        <v>0.978783841012046</v>
      </c>
      <c r="P4463" s="10" t="n">
        <v>0.206259709550068</v>
      </c>
      <c r="Q4463" s="0" t="str">
        <f aca="false">SUBSTITUTE(SUBSTITUTE($I4463,CHAR(61),""),CHAR(34),"")</f>
        <v>35-49</v>
      </c>
      <c r="R4463" s="0" t="str">
        <f aca="false">IF($D4463&lt;&gt;"","["&amp;$E4463&amp;"]"&amp;"|"&amp;$Q4463&amp;"|"&amp;$K4463&amp;"|"&amp;$G4463&amp;"|"&amp;IF($G4463="TX_CURR_SUBNAT.R","CY2022Q4",$M4463),"")</f>
        <v>[lPTyjLi4w3d]|35-49|Female|PMTCT_ART_SUBNAT.D.T_1|CY2023Q3</v>
      </c>
    </row>
    <row r="4464" customFormat="false" ht="15" hidden="false" customHeight="false" outlineLevel="0" collapsed="false">
      <c r="D4464" s="0" t="s">
        <v>120</v>
      </c>
      <c r="E4464" s="0" t="s">
        <v>121</v>
      </c>
      <c r="F4464" s="0" t="s">
        <v>122</v>
      </c>
      <c r="G4464" s="0" t="s">
        <v>156</v>
      </c>
      <c r="H4464" s="0" t="s">
        <v>157</v>
      </c>
      <c r="I4464" s="0" t="s">
        <v>38</v>
      </c>
      <c r="J4464" s="0" t="s">
        <v>39</v>
      </c>
      <c r="K4464" s="0" t="s">
        <v>30</v>
      </c>
      <c r="L4464" s="0" t="s">
        <v>31</v>
      </c>
      <c r="M4464" s="0" t="s">
        <v>140</v>
      </c>
      <c r="N4464" s="0" t="n">
        <v>1279</v>
      </c>
      <c r="O4464" s="10" t="n">
        <v>0.647220325889066</v>
      </c>
      <c r="P4464" s="10" t="n">
        <v>0.430103979306296</v>
      </c>
      <c r="Q4464" s="0" t="str">
        <f aca="false">SUBSTITUTE(SUBSTITUTE($I4464,CHAR(61),""),CHAR(34),"")</f>
        <v>15-24</v>
      </c>
      <c r="R4464" s="0" t="str">
        <f aca="false">IF($D4464&lt;&gt;"","["&amp;$E4464&amp;"]"&amp;"|"&amp;$Q4464&amp;"|"&amp;$K4464&amp;"|"&amp;$G4464&amp;"|"&amp;IF($G4464="TX_CURR_SUBNAT.R","CY2022Q4",$M4464),"")</f>
        <v>[vA4NcHxfMBq]|15-24|Female|PMTCT_ART_SUBNAT.D.T_1|CY2023Q3</v>
      </c>
    </row>
    <row r="4465" customFormat="false" ht="15" hidden="false" customHeight="false" outlineLevel="0" collapsed="false">
      <c r="D4465" s="0" t="s">
        <v>120</v>
      </c>
      <c r="E4465" s="0" t="s">
        <v>121</v>
      </c>
      <c r="F4465" s="0" t="s">
        <v>122</v>
      </c>
      <c r="G4465" s="0" t="s">
        <v>156</v>
      </c>
      <c r="H4465" s="0" t="s">
        <v>157</v>
      </c>
      <c r="I4465" s="0" t="s">
        <v>41</v>
      </c>
      <c r="J4465" s="0" t="s">
        <v>42</v>
      </c>
      <c r="K4465" s="0" t="s">
        <v>30</v>
      </c>
      <c r="L4465" s="0" t="s">
        <v>31</v>
      </c>
      <c r="M4465" s="0" t="s">
        <v>140</v>
      </c>
      <c r="N4465" s="0" t="n">
        <v>1834</v>
      </c>
      <c r="O4465" s="10" t="n">
        <v>0.413544632028788</v>
      </c>
      <c r="P4465" s="10" t="n">
        <v>0.430103979306296</v>
      </c>
      <c r="Q4465" s="0" t="str">
        <f aca="false">SUBSTITUTE(SUBSTITUTE($I4465,CHAR(61),""),CHAR(34),"")</f>
        <v>25-34</v>
      </c>
      <c r="R4465" s="0" t="str">
        <f aca="false">IF($D4465&lt;&gt;"","["&amp;$E4465&amp;"]"&amp;"|"&amp;$Q4465&amp;"|"&amp;$K4465&amp;"|"&amp;$G4465&amp;"|"&amp;IF($G4465="TX_CURR_SUBNAT.R","CY2022Q4",$M4465),"")</f>
        <v>[vA4NcHxfMBq]|25-34|Female|PMTCT_ART_SUBNAT.D.T_1|CY2023Q3</v>
      </c>
    </row>
    <row r="4466" customFormat="false" ht="15" hidden="false" customHeight="false" outlineLevel="0" collapsed="false">
      <c r="D4466" s="0" t="s">
        <v>120</v>
      </c>
      <c r="E4466" s="0" t="s">
        <v>121</v>
      </c>
      <c r="F4466" s="0" t="s">
        <v>122</v>
      </c>
      <c r="G4466" s="0" t="s">
        <v>156</v>
      </c>
      <c r="H4466" s="0" t="s">
        <v>157</v>
      </c>
      <c r="I4466" s="0" t="s">
        <v>43</v>
      </c>
      <c r="J4466" s="0" t="s">
        <v>44</v>
      </c>
      <c r="K4466" s="0" t="s">
        <v>30</v>
      </c>
      <c r="L4466" s="0" t="s">
        <v>31</v>
      </c>
      <c r="M4466" s="0" t="s">
        <v>140</v>
      </c>
      <c r="N4466" s="0" t="n">
        <v>540</v>
      </c>
      <c r="O4466" s="10" t="n">
        <v>0.320928270695731</v>
      </c>
      <c r="P4466" s="10" t="n">
        <v>0.430103979306296</v>
      </c>
      <c r="Q4466" s="0" t="str">
        <f aca="false">SUBSTITUTE(SUBSTITUTE($I4466,CHAR(61),""),CHAR(34),"")</f>
        <v>35-49</v>
      </c>
      <c r="R4466" s="0" t="str">
        <f aca="false">IF($D4466&lt;&gt;"","["&amp;$E4466&amp;"]"&amp;"|"&amp;$Q4466&amp;"|"&amp;$K4466&amp;"|"&amp;$G4466&amp;"|"&amp;IF($G4466="TX_CURR_SUBNAT.R","CY2022Q4",$M4466),"")</f>
        <v>[vA4NcHxfMBq]|35-49|Female|PMTCT_ART_SUBNAT.D.T_1|CY2023Q3</v>
      </c>
    </row>
    <row r="4467" customFormat="false" ht="15" hidden="false" customHeight="false" outlineLevel="0" collapsed="false">
      <c r="D4467" s="0" t="s">
        <v>123</v>
      </c>
      <c r="E4467" s="0" t="s">
        <v>124</v>
      </c>
      <c r="F4467" s="0" t="s">
        <v>125</v>
      </c>
      <c r="G4467" s="0" t="s">
        <v>156</v>
      </c>
      <c r="H4467" s="0" t="s">
        <v>157</v>
      </c>
      <c r="I4467" s="0" t="s">
        <v>38</v>
      </c>
      <c r="J4467" s="0" t="s">
        <v>39</v>
      </c>
      <c r="K4467" s="0" t="s">
        <v>30</v>
      </c>
      <c r="L4467" s="0" t="s">
        <v>31</v>
      </c>
      <c r="M4467" s="0" t="s">
        <v>140</v>
      </c>
      <c r="N4467" s="0" t="n">
        <v>623</v>
      </c>
      <c r="O4467" s="10" t="n">
        <v>0.162206856068224</v>
      </c>
      <c r="P4467" s="10" t="n">
        <v>0.419500603340566</v>
      </c>
      <c r="Q4467" s="0" t="str">
        <f aca="false">SUBSTITUTE(SUBSTITUTE($I4467,CHAR(61),""),CHAR(34),"")</f>
        <v>15-24</v>
      </c>
      <c r="R4467" s="0" t="str">
        <f aca="false">IF($D4467&lt;&gt;"","["&amp;$E4467&amp;"]"&amp;"|"&amp;$Q4467&amp;"|"&amp;$K4467&amp;"|"&amp;$G4467&amp;"|"&amp;IF($G4467="TX_CURR_SUBNAT.R","CY2022Q4",$M4467),"")</f>
        <v>[E7zpfyBt7Tw]|15-24|Female|PMTCT_ART_SUBNAT.D.T_1|CY2023Q3</v>
      </c>
    </row>
    <row r="4468" customFormat="false" ht="15" hidden="false" customHeight="false" outlineLevel="0" collapsed="false">
      <c r="D4468" s="0" t="s">
        <v>123</v>
      </c>
      <c r="E4468" s="0" t="s">
        <v>124</v>
      </c>
      <c r="F4468" s="0" t="s">
        <v>125</v>
      </c>
      <c r="G4468" s="0" t="s">
        <v>156</v>
      </c>
      <c r="H4468" s="0" t="s">
        <v>157</v>
      </c>
      <c r="I4468" s="0" t="s">
        <v>41</v>
      </c>
      <c r="J4468" s="0" t="s">
        <v>42</v>
      </c>
      <c r="K4468" s="0" t="s">
        <v>30</v>
      </c>
      <c r="L4468" s="0" t="s">
        <v>31</v>
      </c>
      <c r="M4468" s="0" t="s">
        <v>140</v>
      </c>
      <c r="N4468" s="0" t="n">
        <v>1475</v>
      </c>
      <c r="O4468" s="10" t="n">
        <v>0.593695697607473</v>
      </c>
      <c r="P4468" s="10" t="n">
        <v>0.419500603340566</v>
      </c>
      <c r="Q4468" s="0" t="str">
        <f aca="false">SUBSTITUTE(SUBSTITUTE($I4468,CHAR(61),""),CHAR(34),"")</f>
        <v>25-34</v>
      </c>
      <c r="R4468" s="0" t="str">
        <f aca="false">IF($D4468&lt;&gt;"","["&amp;$E4468&amp;"]"&amp;"|"&amp;$Q4468&amp;"|"&amp;$K4468&amp;"|"&amp;$G4468&amp;"|"&amp;IF($G4468="TX_CURR_SUBNAT.R","CY2022Q4",$M4468),"")</f>
        <v>[E7zpfyBt7Tw]|25-34|Female|PMTCT_ART_SUBNAT.D.T_1|CY2023Q3</v>
      </c>
    </row>
    <row r="4469" customFormat="false" ht="15" hidden="false" customHeight="false" outlineLevel="0" collapsed="false">
      <c r="D4469" s="0" t="s">
        <v>123</v>
      </c>
      <c r="E4469" s="0" t="s">
        <v>124</v>
      </c>
      <c r="F4469" s="0" t="s">
        <v>125</v>
      </c>
      <c r="G4469" s="0" t="s">
        <v>156</v>
      </c>
      <c r="H4469" s="0" t="s">
        <v>157</v>
      </c>
      <c r="I4469" s="0" t="s">
        <v>43</v>
      </c>
      <c r="J4469" s="0" t="s">
        <v>44</v>
      </c>
      <c r="K4469" s="0" t="s">
        <v>30</v>
      </c>
      <c r="L4469" s="0" t="s">
        <v>31</v>
      </c>
      <c r="M4469" s="0" t="s">
        <v>140</v>
      </c>
      <c r="N4469" s="0" t="n">
        <v>1807</v>
      </c>
      <c r="O4469" s="10" t="n">
        <v>0.648392569739372</v>
      </c>
      <c r="P4469" s="10" t="n">
        <v>0.419500603340566</v>
      </c>
      <c r="Q4469" s="0" t="str">
        <f aca="false">SUBSTITUTE(SUBSTITUTE($I4469,CHAR(61),""),CHAR(34),"")</f>
        <v>35-49</v>
      </c>
      <c r="R4469" s="0" t="str">
        <f aca="false">IF($D4469&lt;&gt;"","["&amp;$E4469&amp;"]"&amp;"|"&amp;$Q4469&amp;"|"&amp;$K4469&amp;"|"&amp;$G4469&amp;"|"&amp;IF($G4469="TX_CURR_SUBNAT.R","CY2022Q4",$M4469),"")</f>
        <v>[E7zpfyBt7Tw]|35-49|Female|PMTCT_ART_SUBNAT.D.T_1|CY2023Q3</v>
      </c>
    </row>
    <row r="4470" customFormat="false" ht="15" hidden="false" customHeight="false" outlineLevel="0" collapsed="false">
      <c r="D4470" s="0" t="s">
        <v>126</v>
      </c>
      <c r="E4470" s="0" t="s">
        <v>127</v>
      </c>
      <c r="F4470" s="0" t="s">
        <v>128</v>
      </c>
      <c r="G4470" s="0" t="s">
        <v>156</v>
      </c>
      <c r="H4470" s="0" t="s">
        <v>157</v>
      </c>
      <c r="I4470" s="0" t="s">
        <v>38</v>
      </c>
      <c r="J4470" s="0" t="s">
        <v>39</v>
      </c>
      <c r="K4470" s="0" t="s">
        <v>30</v>
      </c>
      <c r="L4470" s="0" t="s">
        <v>31</v>
      </c>
      <c r="M4470" s="0" t="s">
        <v>140</v>
      </c>
      <c r="N4470" s="0" t="n">
        <v>1710</v>
      </c>
      <c r="O4470" s="10" t="n">
        <v>0.358578400453553</v>
      </c>
      <c r="P4470" s="10" t="n">
        <v>0.252706390339881</v>
      </c>
      <c r="Q4470" s="0" t="str">
        <f aca="false">SUBSTITUTE(SUBSTITUTE($I4470,CHAR(61),""),CHAR(34),"")</f>
        <v>15-24</v>
      </c>
      <c r="R4470" s="0" t="str">
        <f aca="false">IF($D4470&lt;&gt;"","["&amp;$E4470&amp;"]"&amp;"|"&amp;$Q4470&amp;"|"&amp;$K4470&amp;"|"&amp;$G4470&amp;"|"&amp;IF($G4470="TX_CURR_SUBNAT.R","CY2022Q4",$M4470),"")</f>
        <v>[ZCjuwgaMB9u]|15-24|Female|PMTCT_ART_SUBNAT.D.T_1|CY2023Q3</v>
      </c>
    </row>
    <row r="4471" customFormat="false" ht="15" hidden="false" customHeight="false" outlineLevel="0" collapsed="false">
      <c r="D4471" s="0" t="s">
        <v>126</v>
      </c>
      <c r="E4471" s="0" t="s">
        <v>127</v>
      </c>
      <c r="F4471" s="0" t="s">
        <v>128</v>
      </c>
      <c r="G4471" s="0" t="s">
        <v>156</v>
      </c>
      <c r="H4471" s="0" t="s">
        <v>157</v>
      </c>
      <c r="I4471" s="0" t="s">
        <v>41</v>
      </c>
      <c r="J4471" s="0" t="s">
        <v>42</v>
      </c>
      <c r="K4471" s="0" t="s">
        <v>30</v>
      </c>
      <c r="L4471" s="0" t="s">
        <v>31</v>
      </c>
      <c r="M4471" s="0" t="s">
        <v>140</v>
      </c>
      <c r="N4471" s="0" t="n">
        <v>1845</v>
      </c>
      <c r="O4471" s="10" t="n">
        <v>0.873733437620103</v>
      </c>
      <c r="P4471" s="10" t="n">
        <v>0.252706390339881</v>
      </c>
      <c r="Q4471" s="0" t="str">
        <f aca="false">SUBSTITUTE(SUBSTITUTE($I4471,CHAR(61),""),CHAR(34),"")</f>
        <v>25-34</v>
      </c>
      <c r="R4471" s="0" t="str">
        <f aca="false">IF($D4471&lt;&gt;"","["&amp;$E4471&amp;"]"&amp;"|"&amp;$Q4471&amp;"|"&amp;$K4471&amp;"|"&amp;$G4471&amp;"|"&amp;IF($G4471="TX_CURR_SUBNAT.R","CY2022Q4",$M4471),"")</f>
        <v>[ZCjuwgaMB9u]|25-34|Female|PMTCT_ART_SUBNAT.D.T_1|CY2023Q3</v>
      </c>
    </row>
    <row r="4472" customFormat="false" ht="15" hidden="false" customHeight="false" outlineLevel="0" collapsed="false">
      <c r="D4472" s="0" t="s">
        <v>126</v>
      </c>
      <c r="E4472" s="0" t="s">
        <v>127</v>
      </c>
      <c r="F4472" s="0" t="s">
        <v>128</v>
      </c>
      <c r="G4472" s="0" t="s">
        <v>156</v>
      </c>
      <c r="H4472" s="0" t="s">
        <v>157</v>
      </c>
      <c r="I4472" s="0" t="s">
        <v>43</v>
      </c>
      <c r="J4472" s="0" t="s">
        <v>44</v>
      </c>
      <c r="K4472" s="0" t="s">
        <v>30</v>
      </c>
      <c r="L4472" s="0" t="s">
        <v>31</v>
      </c>
      <c r="M4472" s="0" t="s">
        <v>140</v>
      </c>
      <c r="N4472" s="0" t="n">
        <v>1220</v>
      </c>
      <c r="O4472" s="10" t="n">
        <v>0.00564604415558279</v>
      </c>
      <c r="P4472" s="10" t="n">
        <v>0.252706390339881</v>
      </c>
      <c r="Q4472" s="0" t="str">
        <f aca="false">SUBSTITUTE(SUBSTITUTE($I4472,CHAR(61),""),CHAR(34),"")</f>
        <v>35-49</v>
      </c>
      <c r="R4472" s="0" t="str">
        <f aca="false">IF($D4472&lt;&gt;"","["&amp;$E4472&amp;"]"&amp;"|"&amp;$Q4472&amp;"|"&amp;$K4472&amp;"|"&amp;$G4472&amp;"|"&amp;IF($G4472="TX_CURR_SUBNAT.R","CY2022Q4",$M4472),"")</f>
        <v>[ZCjuwgaMB9u]|35-49|Female|PMTCT_ART_SUBNAT.D.T_1|CY2023Q3</v>
      </c>
    </row>
    <row r="4473" customFormat="false" ht="15" hidden="false" customHeight="false" outlineLevel="0" collapsed="false">
      <c r="D4473" s="0" t="s">
        <v>129</v>
      </c>
      <c r="E4473" s="0" t="s">
        <v>130</v>
      </c>
      <c r="F4473" s="0" t="s">
        <v>131</v>
      </c>
      <c r="G4473" s="0" t="s">
        <v>156</v>
      </c>
      <c r="H4473" s="0" t="s">
        <v>157</v>
      </c>
      <c r="I4473" s="0" t="s">
        <v>38</v>
      </c>
      <c r="J4473" s="0" t="s">
        <v>39</v>
      </c>
      <c r="K4473" s="0" t="s">
        <v>30</v>
      </c>
      <c r="L4473" s="0" t="s">
        <v>31</v>
      </c>
      <c r="M4473" s="0" t="s">
        <v>140</v>
      </c>
      <c r="N4473" s="0" t="n">
        <v>591</v>
      </c>
      <c r="O4473" s="10" t="n">
        <v>0.336610246216878</v>
      </c>
      <c r="P4473" s="10" t="n">
        <v>0.556908084778115</v>
      </c>
      <c r="Q4473" s="0" t="str">
        <f aca="false">SUBSTITUTE(SUBSTITUTE($I4473,CHAR(61),""),CHAR(34),"")</f>
        <v>15-24</v>
      </c>
      <c r="R4473" s="0" t="str">
        <f aca="false">IF($D4473&lt;&gt;"","["&amp;$E4473&amp;"]"&amp;"|"&amp;$Q4473&amp;"|"&amp;$K4473&amp;"|"&amp;$G4473&amp;"|"&amp;IF($G4473="TX_CURR_SUBNAT.R","CY2022Q4",$M4473),"")</f>
        <v>[YCKiBAp8QAg]|15-24|Female|PMTCT_ART_SUBNAT.D.T_1|CY2023Q3</v>
      </c>
    </row>
    <row r="4474" customFormat="false" ht="15" hidden="false" customHeight="false" outlineLevel="0" collapsed="false">
      <c r="D4474" s="0" t="s">
        <v>129</v>
      </c>
      <c r="E4474" s="0" t="s">
        <v>130</v>
      </c>
      <c r="F4474" s="0" t="s">
        <v>131</v>
      </c>
      <c r="G4474" s="0" t="s">
        <v>156</v>
      </c>
      <c r="H4474" s="0" t="s">
        <v>157</v>
      </c>
      <c r="I4474" s="0" t="s">
        <v>41</v>
      </c>
      <c r="J4474" s="0" t="s">
        <v>42</v>
      </c>
      <c r="K4474" s="0" t="s">
        <v>30</v>
      </c>
      <c r="L4474" s="0" t="s">
        <v>31</v>
      </c>
      <c r="M4474" s="0" t="s">
        <v>140</v>
      </c>
      <c r="N4474" s="0" t="n">
        <v>1138</v>
      </c>
      <c r="O4474" s="10" t="n">
        <v>0.52639049384743</v>
      </c>
      <c r="P4474" s="10" t="n">
        <v>0.556908084778115</v>
      </c>
      <c r="Q4474" s="0" t="str">
        <f aca="false">SUBSTITUTE(SUBSTITUTE($I4474,CHAR(61),""),CHAR(34),"")</f>
        <v>25-34</v>
      </c>
      <c r="R4474" s="0" t="str">
        <f aca="false">IF($D4474&lt;&gt;"","["&amp;$E4474&amp;"]"&amp;"|"&amp;$Q4474&amp;"|"&amp;$K4474&amp;"|"&amp;$G4474&amp;"|"&amp;IF($G4474="TX_CURR_SUBNAT.R","CY2022Q4",$M4474),"")</f>
        <v>[YCKiBAp8QAg]|25-34|Female|PMTCT_ART_SUBNAT.D.T_1|CY2023Q3</v>
      </c>
    </row>
    <row r="4475" customFormat="false" ht="15" hidden="false" customHeight="false" outlineLevel="0" collapsed="false">
      <c r="D4475" s="0" t="s">
        <v>129</v>
      </c>
      <c r="E4475" s="0" t="s">
        <v>130</v>
      </c>
      <c r="F4475" s="0" t="s">
        <v>131</v>
      </c>
      <c r="G4475" s="0" t="s">
        <v>156</v>
      </c>
      <c r="H4475" s="0" t="s">
        <v>157</v>
      </c>
      <c r="I4475" s="0" t="s">
        <v>43</v>
      </c>
      <c r="J4475" s="0" t="s">
        <v>44</v>
      </c>
      <c r="K4475" s="0" t="s">
        <v>30</v>
      </c>
      <c r="L4475" s="0" t="s">
        <v>31</v>
      </c>
      <c r="M4475" s="0" t="s">
        <v>140</v>
      </c>
      <c r="N4475" s="0" t="n">
        <v>1345</v>
      </c>
      <c r="O4475" s="10" t="n">
        <v>0.129114669747651</v>
      </c>
      <c r="P4475" s="10" t="n">
        <v>0.556908084778115</v>
      </c>
      <c r="Q4475" s="0" t="str">
        <f aca="false">SUBSTITUTE(SUBSTITUTE($I4475,CHAR(61),""),CHAR(34),"")</f>
        <v>35-49</v>
      </c>
      <c r="R4475" s="0" t="str">
        <f aca="false">IF($D4475&lt;&gt;"","["&amp;$E4475&amp;"]"&amp;"|"&amp;$Q4475&amp;"|"&amp;$K4475&amp;"|"&amp;$G4475&amp;"|"&amp;IF($G4475="TX_CURR_SUBNAT.R","CY2022Q4",$M4475),"")</f>
        <v>[YCKiBAp8QAg]|35-49|Female|PMTCT_ART_SUBNAT.D.T_1|CY2023Q3</v>
      </c>
    </row>
    <row r="4476" customFormat="false" ht="15" hidden="false" customHeight="false" outlineLevel="0" collapsed="false">
      <c r="D4476" s="0" t="s">
        <v>132</v>
      </c>
      <c r="E4476" s="0" t="s">
        <v>133</v>
      </c>
      <c r="F4476" s="0" t="s">
        <v>134</v>
      </c>
      <c r="G4476" s="0" t="s">
        <v>156</v>
      </c>
      <c r="H4476" s="0" t="s">
        <v>157</v>
      </c>
      <c r="I4476" s="0" t="s">
        <v>38</v>
      </c>
      <c r="J4476" s="0" t="s">
        <v>39</v>
      </c>
      <c r="K4476" s="0" t="s">
        <v>30</v>
      </c>
      <c r="L4476" s="0" t="s">
        <v>31</v>
      </c>
      <c r="M4476" s="0" t="s">
        <v>140</v>
      </c>
      <c r="N4476" s="0" t="n">
        <v>1088</v>
      </c>
      <c r="O4476" s="10" t="n">
        <v>0.369760864414275</v>
      </c>
      <c r="P4476" s="10" t="n">
        <v>0.162863194011152</v>
      </c>
      <c r="Q4476" s="0" t="str">
        <f aca="false">SUBSTITUTE(SUBSTITUTE($I4476,CHAR(61),""),CHAR(34),"")</f>
        <v>15-24</v>
      </c>
      <c r="R4476" s="0" t="str">
        <f aca="false">IF($D4476&lt;&gt;"","["&amp;$E4476&amp;"]"&amp;"|"&amp;$Q4476&amp;"|"&amp;$K4476&amp;"|"&amp;$G4476&amp;"|"&amp;IF($G4476="TX_CURR_SUBNAT.R","CY2022Q4",$M4476),"")</f>
        <v>[JQKLKuVuY61]|15-24|Female|PMTCT_ART_SUBNAT.D.T_1|CY2023Q3</v>
      </c>
    </row>
    <row r="4477" customFormat="false" ht="15" hidden="false" customHeight="false" outlineLevel="0" collapsed="false">
      <c r="D4477" s="0" t="s">
        <v>132</v>
      </c>
      <c r="E4477" s="0" t="s">
        <v>133</v>
      </c>
      <c r="F4477" s="0" t="s">
        <v>134</v>
      </c>
      <c r="G4477" s="0" t="s">
        <v>156</v>
      </c>
      <c r="H4477" s="0" t="s">
        <v>157</v>
      </c>
      <c r="I4477" s="0" t="s">
        <v>41</v>
      </c>
      <c r="J4477" s="0" t="s">
        <v>42</v>
      </c>
      <c r="K4477" s="0" t="s">
        <v>30</v>
      </c>
      <c r="L4477" s="0" t="s">
        <v>31</v>
      </c>
      <c r="M4477" s="0" t="s">
        <v>140</v>
      </c>
      <c r="N4477" s="0" t="n">
        <v>719</v>
      </c>
      <c r="O4477" s="10" t="n">
        <v>0.486996557796374</v>
      </c>
      <c r="P4477" s="10" t="n">
        <v>0.162863194011152</v>
      </c>
      <c r="Q4477" s="0" t="str">
        <f aca="false">SUBSTITUTE(SUBSTITUTE($I4477,CHAR(61),""),CHAR(34),"")</f>
        <v>25-34</v>
      </c>
      <c r="R4477" s="0" t="str">
        <f aca="false">IF($D4477&lt;&gt;"","["&amp;$E4477&amp;"]"&amp;"|"&amp;$Q4477&amp;"|"&amp;$K4477&amp;"|"&amp;$G4477&amp;"|"&amp;IF($G4477="TX_CURR_SUBNAT.R","CY2022Q4",$M4477),"")</f>
        <v>[JQKLKuVuY61]|25-34|Female|PMTCT_ART_SUBNAT.D.T_1|CY2023Q3</v>
      </c>
    </row>
    <row r="4478" customFormat="false" ht="15" hidden="false" customHeight="false" outlineLevel="0" collapsed="false">
      <c r="D4478" s="0" t="s">
        <v>132</v>
      </c>
      <c r="E4478" s="0" t="s">
        <v>133</v>
      </c>
      <c r="F4478" s="0" t="s">
        <v>134</v>
      </c>
      <c r="G4478" s="0" t="s">
        <v>156</v>
      </c>
      <c r="H4478" s="0" t="s">
        <v>157</v>
      </c>
      <c r="I4478" s="0" t="s">
        <v>43</v>
      </c>
      <c r="J4478" s="0" t="s">
        <v>44</v>
      </c>
      <c r="K4478" s="0" t="s">
        <v>30</v>
      </c>
      <c r="L4478" s="0" t="s">
        <v>31</v>
      </c>
      <c r="M4478" s="0" t="s">
        <v>140</v>
      </c>
      <c r="N4478" s="0" t="n">
        <v>848</v>
      </c>
      <c r="O4478" s="10" t="n">
        <v>0.806684523122385</v>
      </c>
      <c r="P4478" s="10" t="n">
        <v>0.162863194011152</v>
      </c>
      <c r="Q4478" s="0" t="str">
        <f aca="false">SUBSTITUTE(SUBSTITUTE($I4478,CHAR(61),""),CHAR(34),"")</f>
        <v>35-49</v>
      </c>
      <c r="R4478" s="0" t="str">
        <f aca="false">IF($D4478&lt;&gt;"","["&amp;$E4478&amp;"]"&amp;"|"&amp;$Q4478&amp;"|"&amp;$K4478&amp;"|"&amp;$G4478&amp;"|"&amp;IF($G4478="TX_CURR_SUBNAT.R","CY2022Q4",$M4478),"")</f>
        <v>[JQKLKuVuY61]|35-49|Female|PMTCT_ART_SUBNAT.D.T_1|CY2023Q3</v>
      </c>
    </row>
    <row r="4479" customFormat="false" ht="15" hidden="false" customHeight="false" outlineLevel="0" collapsed="false">
      <c r="D4479" s="0" t="s">
        <v>135</v>
      </c>
      <c r="E4479" s="0" t="s">
        <v>136</v>
      </c>
      <c r="F4479" s="0" t="s">
        <v>137</v>
      </c>
      <c r="G4479" s="0" t="s">
        <v>156</v>
      </c>
      <c r="H4479" s="0" t="s">
        <v>157</v>
      </c>
      <c r="I4479" s="0" t="s">
        <v>38</v>
      </c>
      <c r="J4479" s="0" t="s">
        <v>39</v>
      </c>
      <c r="K4479" s="0" t="s">
        <v>30</v>
      </c>
      <c r="L4479" s="0" t="s">
        <v>31</v>
      </c>
      <c r="M4479" s="0" t="s">
        <v>140</v>
      </c>
      <c r="N4479" s="0" t="n">
        <v>995</v>
      </c>
      <c r="O4479" s="10" t="n">
        <v>0.260109158698469</v>
      </c>
      <c r="P4479" s="10" t="n">
        <v>0.955300528323278</v>
      </c>
      <c r="Q4479" s="0" t="str">
        <f aca="false">SUBSTITUTE(SUBSTITUTE($I4479,CHAR(61),""),CHAR(34),"")</f>
        <v>15-24</v>
      </c>
      <c r="R4479" s="0" t="str">
        <f aca="false">IF($D4479&lt;&gt;"","["&amp;$E4479&amp;"]"&amp;"|"&amp;$Q4479&amp;"|"&amp;$K4479&amp;"|"&amp;$G4479&amp;"|"&amp;IF($G4479="TX_CURR_SUBNAT.R","CY2022Q4",$M4479),"")</f>
        <v>[fiRkU6gEjLz]|15-24|Female|PMTCT_ART_SUBNAT.D.T_1|CY2023Q3</v>
      </c>
    </row>
    <row r="4480" customFormat="false" ht="15" hidden="false" customHeight="false" outlineLevel="0" collapsed="false">
      <c r="D4480" s="0" t="s">
        <v>135</v>
      </c>
      <c r="E4480" s="0" t="s">
        <v>136</v>
      </c>
      <c r="F4480" s="0" t="s">
        <v>137</v>
      </c>
      <c r="G4480" s="0" t="s">
        <v>156</v>
      </c>
      <c r="H4480" s="0" t="s">
        <v>157</v>
      </c>
      <c r="I4480" s="0" t="s">
        <v>41</v>
      </c>
      <c r="J4480" s="0" t="s">
        <v>42</v>
      </c>
      <c r="K4480" s="0" t="s">
        <v>30</v>
      </c>
      <c r="L4480" s="0" t="s">
        <v>31</v>
      </c>
      <c r="M4480" s="0" t="s">
        <v>140</v>
      </c>
      <c r="N4480" s="0" t="n">
        <v>1891</v>
      </c>
      <c r="O4480" s="10" t="n">
        <v>0.813176068011671</v>
      </c>
      <c r="P4480" s="10" t="n">
        <v>0.955300528323278</v>
      </c>
      <c r="Q4480" s="0" t="str">
        <f aca="false">SUBSTITUTE(SUBSTITUTE($I4480,CHAR(61),""),CHAR(34),"")</f>
        <v>25-34</v>
      </c>
      <c r="R4480" s="0" t="str">
        <f aca="false">IF($D4480&lt;&gt;"","["&amp;$E4480&amp;"]"&amp;"|"&amp;$Q4480&amp;"|"&amp;$K4480&amp;"|"&amp;$G4480&amp;"|"&amp;IF($G4480="TX_CURR_SUBNAT.R","CY2022Q4",$M4480),"")</f>
        <v>[fiRkU6gEjLz]|25-34|Female|PMTCT_ART_SUBNAT.D.T_1|CY2023Q3</v>
      </c>
    </row>
    <row r="4481" customFormat="false" ht="15" hidden="false" customHeight="false" outlineLevel="0" collapsed="false">
      <c r="D4481" s="0" t="s">
        <v>135</v>
      </c>
      <c r="E4481" s="0" t="s">
        <v>136</v>
      </c>
      <c r="F4481" s="0" t="s">
        <v>137</v>
      </c>
      <c r="G4481" s="0" t="s">
        <v>156</v>
      </c>
      <c r="H4481" s="0" t="s">
        <v>157</v>
      </c>
      <c r="I4481" s="0" t="s">
        <v>43</v>
      </c>
      <c r="J4481" s="0" t="s">
        <v>44</v>
      </c>
      <c r="K4481" s="0" t="s">
        <v>30</v>
      </c>
      <c r="L4481" s="0" t="s">
        <v>31</v>
      </c>
      <c r="M4481" s="0" t="s">
        <v>140</v>
      </c>
      <c r="N4481" s="0" t="n">
        <v>1492</v>
      </c>
      <c r="O4481" s="10" t="n">
        <v>0.202673358842731</v>
      </c>
      <c r="P4481" s="10" t="n">
        <v>0.955300528323278</v>
      </c>
      <c r="Q4481" s="0" t="str">
        <f aca="false">SUBSTITUTE(SUBSTITUTE($I4481,CHAR(61),""),CHAR(34),"")</f>
        <v>35-49</v>
      </c>
      <c r="R4481" s="0" t="str">
        <f aca="false">IF($D4481&lt;&gt;"","["&amp;$E4481&amp;"]"&amp;"|"&amp;$Q4481&amp;"|"&amp;$K4481&amp;"|"&amp;$G4481&amp;"|"&amp;IF($G4481="TX_CURR_SUBNAT.R","CY2022Q4",$M4481),"")</f>
        <v>[fiRkU6gEjLz]|35-49|Female|PMTCT_ART_SUBNAT.D.T_1|CY2023Q3</v>
      </c>
    </row>
    <row r="4482" customFormat="false" ht="15" hidden="false" customHeight="false" outlineLevel="0" collapsed="false">
      <c r="D4482" s="0" t="s">
        <v>23</v>
      </c>
      <c r="E4482" s="0" t="s">
        <v>24</v>
      </c>
      <c r="F4482" s="0" t="s">
        <v>25</v>
      </c>
      <c r="G4482" s="0" t="s">
        <v>158</v>
      </c>
      <c r="H4482" s="0" t="s">
        <v>159</v>
      </c>
      <c r="I4482" s="0" t="s">
        <v>38</v>
      </c>
      <c r="J4482" s="0" t="s">
        <v>39</v>
      </c>
      <c r="K4482" s="0" t="s">
        <v>30</v>
      </c>
      <c r="L4482" s="0" t="s">
        <v>31</v>
      </c>
      <c r="M4482" s="0" t="s">
        <v>140</v>
      </c>
      <c r="N4482" s="0" t="n">
        <v>1569</v>
      </c>
      <c r="O4482" s="10" t="n">
        <v>0.211725846864283</v>
      </c>
      <c r="P4482" s="10" t="n">
        <v>0.404358610976487</v>
      </c>
      <c r="Q4482" s="0" t="str">
        <f aca="false">SUBSTITUTE(SUBSTITUTE($I4482,CHAR(61),""),CHAR(34),"")</f>
        <v>15-24</v>
      </c>
      <c r="R4482" s="0" t="str">
        <f aca="false">IF($D4482&lt;&gt;"","["&amp;$E4482&amp;"]"&amp;"|"&amp;$Q4482&amp;"|"&amp;$K4482&amp;"|"&amp;$G4482&amp;"|"&amp;IF($G4482="TX_CURR_SUBNAT.R","CY2022Q4",$M4482),"")</f>
        <v>[GkIwZrXy1h2]|15-24|Female|PMTCT_ART_SUBNAT.N.Already.T_1|CY2023Q3</v>
      </c>
    </row>
    <row r="4483" customFormat="false" ht="15" hidden="false" customHeight="false" outlineLevel="0" collapsed="false">
      <c r="D4483" s="0" t="s">
        <v>23</v>
      </c>
      <c r="E4483" s="0" t="s">
        <v>24</v>
      </c>
      <c r="F4483" s="0" t="s">
        <v>25</v>
      </c>
      <c r="G4483" s="0" t="s">
        <v>158</v>
      </c>
      <c r="H4483" s="0" t="s">
        <v>159</v>
      </c>
      <c r="I4483" s="0" t="s">
        <v>41</v>
      </c>
      <c r="J4483" s="0" t="s">
        <v>42</v>
      </c>
      <c r="K4483" s="0" t="s">
        <v>30</v>
      </c>
      <c r="L4483" s="0" t="s">
        <v>31</v>
      </c>
      <c r="M4483" s="0" t="s">
        <v>140</v>
      </c>
      <c r="N4483" s="0" t="n">
        <v>849</v>
      </c>
      <c r="O4483" s="10" t="n">
        <v>0.739064385415986</v>
      </c>
      <c r="P4483" s="10" t="n">
        <v>0.404358610976487</v>
      </c>
      <c r="Q4483" s="0" t="str">
        <f aca="false">SUBSTITUTE(SUBSTITUTE($I4483,CHAR(61),""),CHAR(34),"")</f>
        <v>25-34</v>
      </c>
      <c r="R4483" s="0" t="str">
        <f aca="false">IF($D4483&lt;&gt;"","["&amp;$E4483&amp;"]"&amp;"|"&amp;$Q4483&amp;"|"&amp;$K4483&amp;"|"&amp;$G4483&amp;"|"&amp;IF($G4483="TX_CURR_SUBNAT.R","CY2022Q4",$M4483),"")</f>
        <v>[GkIwZrXy1h2]|25-34|Female|PMTCT_ART_SUBNAT.N.Already.T_1|CY2023Q3</v>
      </c>
    </row>
    <row r="4484" customFormat="false" ht="15" hidden="false" customHeight="false" outlineLevel="0" collapsed="false">
      <c r="D4484" s="0" t="s">
        <v>23</v>
      </c>
      <c r="E4484" s="0" t="s">
        <v>24</v>
      </c>
      <c r="F4484" s="0" t="s">
        <v>25</v>
      </c>
      <c r="G4484" s="0" t="s">
        <v>158</v>
      </c>
      <c r="H4484" s="0" t="s">
        <v>159</v>
      </c>
      <c r="I4484" s="0" t="s">
        <v>43</v>
      </c>
      <c r="J4484" s="0" t="s">
        <v>44</v>
      </c>
      <c r="K4484" s="0" t="s">
        <v>30</v>
      </c>
      <c r="L4484" s="0" t="s">
        <v>31</v>
      </c>
      <c r="M4484" s="0" t="s">
        <v>140</v>
      </c>
      <c r="N4484" s="0" t="n">
        <v>1299</v>
      </c>
      <c r="O4484" s="10" t="n">
        <v>0.422075953567401</v>
      </c>
      <c r="P4484" s="10" t="n">
        <v>0.404358610976487</v>
      </c>
      <c r="Q4484" s="0" t="str">
        <f aca="false">SUBSTITUTE(SUBSTITUTE($I4484,CHAR(61),""),CHAR(34),"")</f>
        <v>35-49</v>
      </c>
      <c r="R4484" s="0" t="str">
        <f aca="false">IF($D4484&lt;&gt;"","["&amp;$E4484&amp;"]"&amp;"|"&amp;$Q4484&amp;"|"&amp;$K4484&amp;"|"&amp;$G4484&amp;"|"&amp;IF($G4484="TX_CURR_SUBNAT.R","CY2022Q4",$M4484),"")</f>
        <v>[GkIwZrXy1h2]|35-49|Female|PMTCT_ART_SUBNAT.N.Already.T_1|CY2023Q3</v>
      </c>
    </row>
    <row r="4485" customFormat="false" ht="15" hidden="false" customHeight="false" outlineLevel="0" collapsed="false">
      <c r="D4485" s="0" t="s">
        <v>53</v>
      </c>
      <c r="E4485" s="0" t="s">
        <v>54</v>
      </c>
      <c r="F4485" s="0" t="s">
        <v>55</v>
      </c>
      <c r="G4485" s="0" t="s">
        <v>158</v>
      </c>
      <c r="H4485" s="0" t="s">
        <v>159</v>
      </c>
      <c r="I4485" s="0" t="s">
        <v>38</v>
      </c>
      <c r="J4485" s="0" t="s">
        <v>39</v>
      </c>
      <c r="K4485" s="0" t="s">
        <v>30</v>
      </c>
      <c r="L4485" s="0" t="s">
        <v>31</v>
      </c>
      <c r="M4485" s="0" t="s">
        <v>140</v>
      </c>
      <c r="N4485" s="0" t="n">
        <v>1018</v>
      </c>
      <c r="O4485" s="10" t="n">
        <v>0.459904320072383</v>
      </c>
      <c r="P4485" s="10" t="n">
        <v>0.616392469964921</v>
      </c>
      <c r="Q4485" s="0" t="str">
        <f aca="false">SUBSTITUTE(SUBSTITUTE($I4485,CHAR(61),""),CHAR(34),"")</f>
        <v>15-24</v>
      </c>
      <c r="R4485" s="0" t="str">
        <f aca="false">IF($D4485&lt;&gt;"","["&amp;$E4485&amp;"]"&amp;"|"&amp;$Q4485&amp;"|"&amp;$K4485&amp;"|"&amp;$G4485&amp;"|"&amp;IF($G4485="TX_CURR_SUBNAT.R","CY2022Q4",$M4485),"")</f>
        <v>[zphK9WV8JB4]|15-24|Female|PMTCT_ART_SUBNAT.N.Already.T_1|CY2023Q3</v>
      </c>
    </row>
    <row r="4486" customFormat="false" ht="15" hidden="false" customHeight="false" outlineLevel="0" collapsed="false">
      <c r="D4486" s="0" t="s">
        <v>53</v>
      </c>
      <c r="E4486" s="0" t="s">
        <v>54</v>
      </c>
      <c r="F4486" s="0" t="s">
        <v>55</v>
      </c>
      <c r="G4486" s="0" t="s">
        <v>158</v>
      </c>
      <c r="H4486" s="0" t="s">
        <v>159</v>
      </c>
      <c r="I4486" s="0" t="s">
        <v>41</v>
      </c>
      <c r="J4486" s="0" t="s">
        <v>42</v>
      </c>
      <c r="K4486" s="0" t="s">
        <v>30</v>
      </c>
      <c r="L4486" s="0" t="s">
        <v>31</v>
      </c>
      <c r="M4486" s="0" t="s">
        <v>140</v>
      </c>
      <c r="N4486" s="0" t="n">
        <v>683</v>
      </c>
      <c r="O4486" s="10" t="n">
        <v>0.18427106901072</v>
      </c>
      <c r="P4486" s="10" t="n">
        <v>0.616392469964921</v>
      </c>
      <c r="Q4486" s="0" t="str">
        <f aca="false">SUBSTITUTE(SUBSTITUTE($I4486,CHAR(61),""),CHAR(34),"")</f>
        <v>25-34</v>
      </c>
      <c r="R4486" s="0" t="str">
        <f aca="false">IF($D4486&lt;&gt;"","["&amp;$E4486&amp;"]"&amp;"|"&amp;$Q4486&amp;"|"&amp;$K4486&amp;"|"&amp;$G4486&amp;"|"&amp;IF($G4486="TX_CURR_SUBNAT.R","CY2022Q4",$M4486),"")</f>
        <v>[zphK9WV8JB4]|25-34|Female|PMTCT_ART_SUBNAT.N.Already.T_1|CY2023Q3</v>
      </c>
    </row>
    <row r="4487" customFormat="false" ht="15" hidden="false" customHeight="false" outlineLevel="0" collapsed="false">
      <c r="D4487" s="0" t="s">
        <v>53</v>
      </c>
      <c r="E4487" s="0" t="s">
        <v>54</v>
      </c>
      <c r="F4487" s="0" t="s">
        <v>55</v>
      </c>
      <c r="G4487" s="0" t="s">
        <v>158</v>
      </c>
      <c r="H4487" s="0" t="s">
        <v>159</v>
      </c>
      <c r="I4487" s="0" t="s">
        <v>43</v>
      </c>
      <c r="J4487" s="0" t="s">
        <v>44</v>
      </c>
      <c r="K4487" s="0" t="s">
        <v>30</v>
      </c>
      <c r="L4487" s="0" t="s">
        <v>31</v>
      </c>
      <c r="M4487" s="0" t="s">
        <v>140</v>
      </c>
      <c r="N4487" s="0" t="n">
        <v>1985</v>
      </c>
      <c r="O4487" s="10" t="n">
        <v>0.159741512034088</v>
      </c>
      <c r="P4487" s="10" t="n">
        <v>0.616392469964921</v>
      </c>
      <c r="Q4487" s="0" t="str">
        <f aca="false">SUBSTITUTE(SUBSTITUTE($I4487,CHAR(61),""),CHAR(34),"")</f>
        <v>35-49</v>
      </c>
      <c r="R4487" s="0" t="str">
        <f aca="false">IF($D4487&lt;&gt;"","["&amp;$E4487&amp;"]"&amp;"|"&amp;$Q4487&amp;"|"&amp;$K4487&amp;"|"&amp;$G4487&amp;"|"&amp;IF($G4487="TX_CURR_SUBNAT.R","CY2022Q4",$M4487),"")</f>
        <v>[zphK9WV8JB4]|35-49|Female|PMTCT_ART_SUBNAT.N.Already.T_1|CY2023Q3</v>
      </c>
    </row>
    <row r="4488" customFormat="false" ht="15" hidden="false" customHeight="false" outlineLevel="0" collapsed="false">
      <c r="D4488" s="0" t="s">
        <v>60</v>
      </c>
      <c r="E4488" s="0" t="s">
        <v>61</v>
      </c>
      <c r="F4488" s="0" t="s">
        <v>62</v>
      </c>
      <c r="G4488" s="0" t="s">
        <v>158</v>
      </c>
      <c r="H4488" s="0" t="s">
        <v>159</v>
      </c>
      <c r="I4488" s="0" t="s">
        <v>38</v>
      </c>
      <c r="J4488" s="0" t="s">
        <v>39</v>
      </c>
      <c r="K4488" s="0" t="s">
        <v>30</v>
      </c>
      <c r="L4488" s="0" t="s">
        <v>31</v>
      </c>
      <c r="M4488" s="0" t="s">
        <v>140</v>
      </c>
      <c r="N4488" s="0" t="n">
        <v>1317</v>
      </c>
      <c r="O4488" s="10" t="n">
        <v>0.621928185690194</v>
      </c>
      <c r="P4488" s="10" t="n">
        <v>0.0268250561784953</v>
      </c>
      <c r="Q4488" s="0" t="str">
        <f aca="false">SUBSTITUTE(SUBSTITUTE($I4488,CHAR(61),""),CHAR(34),"")</f>
        <v>15-24</v>
      </c>
      <c r="R4488" s="0" t="str">
        <f aca="false">IF($D4488&lt;&gt;"","["&amp;$E4488&amp;"]"&amp;"|"&amp;$Q4488&amp;"|"&amp;$K4488&amp;"|"&amp;$G4488&amp;"|"&amp;IF($G4488="TX_CURR_SUBNAT.R","CY2022Q4",$M4488),"")</f>
        <v>[msW2zpIN7up]|15-24|Female|PMTCT_ART_SUBNAT.N.Already.T_1|CY2023Q3</v>
      </c>
    </row>
    <row r="4489" customFormat="false" ht="15" hidden="false" customHeight="false" outlineLevel="0" collapsed="false">
      <c r="D4489" s="0" t="s">
        <v>60</v>
      </c>
      <c r="E4489" s="0" t="s">
        <v>61</v>
      </c>
      <c r="F4489" s="0" t="s">
        <v>62</v>
      </c>
      <c r="G4489" s="0" t="s">
        <v>158</v>
      </c>
      <c r="H4489" s="0" t="s">
        <v>159</v>
      </c>
      <c r="I4489" s="0" t="s">
        <v>41</v>
      </c>
      <c r="J4489" s="0" t="s">
        <v>42</v>
      </c>
      <c r="K4489" s="0" t="s">
        <v>30</v>
      </c>
      <c r="L4489" s="0" t="s">
        <v>31</v>
      </c>
      <c r="M4489" s="0" t="s">
        <v>140</v>
      </c>
      <c r="N4489" s="0" t="n">
        <v>1189</v>
      </c>
      <c r="O4489" s="10" t="n">
        <v>0.0671347815077752</v>
      </c>
      <c r="P4489" s="10" t="n">
        <v>0.0268250561784953</v>
      </c>
      <c r="Q4489" s="0" t="str">
        <f aca="false">SUBSTITUTE(SUBSTITUTE($I4489,CHAR(61),""),CHAR(34),"")</f>
        <v>25-34</v>
      </c>
      <c r="R4489" s="0" t="str">
        <f aca="false">IF($D4489&lt;&gt;"","["&amp;$E4489&amp;"]"&amp;"|"&amp;$Q4489&amp;"|"&amp;$K4489&amp;"|"&amp;$G4489&amp;"|"&amp;IF($G4489="TX_CURR_SUBNAT.R","CY2022Q4",$M4489),"")</f>
        <v>[msW2zpIN7up]|25-34|Female|PMTCT_ART_SUBNAT.N.Already.T_1|CY2023Q3</v>
      </c>
    </row>
    <row r="4490" customFormat="false" ht="15" hidden="false" customHeight="false" outlineLevel="0" collapsed="false">
      <c r="D4490" s="0" t="s">
        <v>60</v>
      </c>
      <c r="E4490" s="0" t="s">
        <v>61</v>
      </c>
      <c r="F4490" s="0" t="s">
        <v>62</v>
      </c>
      <c r="G4490" s="0" t="s">
        <v>158</v>
      </c>
      <c r="H4490" s="0" t="s">
        <v>159</v>
      </c>
      <c r="I4490" s="0" t="s">
        <v>43</v>
      </c>
      <c r="J4490" s="0" t="s">
        <v>44</v>
      </c>
      <c r="K4490" s="0" t="s">
        <v>30</v>
      </c>
      <c r="L4490" s="0" t="s">
        <v>31</v>
      </c>
      <c r="M4490" s="0" t="s">
        <v>140</v>
      </c>
      <c r="N4490" s="0" t="n">
        <v>1843</v>
      </c>
      <c r="O4490" s="10" t="n">
        <v>0.0980718873906881</v>
      </c>
      <c r="P4490" s="10" t="n">
        <v>0.0268250561784953</v>
      </c>
      <c r="Q4490" s="0" t="str">
        <f aca="false">SUBSTITUTE(SUBSTITUTE($I4490,CHAR(61),""),CHAR(34),"")</f>
        <v>35-49</v>
      </c>
      <c r="R4490" s="0" t="str">
        <f aca="false">IF($D4490&lt;&gt;"","["&amp;$E4490&amp;"]"&amp;"|"&amp;$Q4490&amp;"|"&amp;$K4490&amp;"|"&amp;$G4490&amp;"|"&amp;IF($G4490="TX_CURR_SUBNAT.R","CY2022Q4",$M4490),"")</f>
        <v>[msW2zpIN7up]|35-49|Female|PMTCT_ART_SUBNAT.N.Already.T_1|CY2023Q3</v>
      </c>
    </row>
    <row r="4491" customFormat="false" ht="15" hidden="false" customHeight="false" outlineLevel="0" collapsed="false">
      <c r="D4491" s="0" t="s">
        <v>63</v>
      </c>
      <c r="E4491" s="0" t="s">
        <v>64</v>
      </c>
      <c r="F4491" s="0" t="s">
        <v>65</v>
      </c>
      <c r="G4491" s="0" t="s">
        <v>158</v>
      </c>
      <c r="H4491" s="0" t="s">
        <v>159</v>
      </c>
      <c r="I4491" s="0" t="s">
        <v>38</v>
      </c>
      <c r="J4491" s="0" t="s">
        <v>39</v>
      </c>
      <c r="K4491" s="0" t="s">
        <v>30</v>
      </c>
      <c r="L4491" s="0" t="s">
        <v>31</v>
      </c>
      <c r="M4491" s="0" t="s">
        <v>140</v>
      </c>
      <c r="N4491" s="0" t="n">
        <v>1158</v>
      </c>
      <c r="O4491" s="10" t="n">
        <v>0.155804904876277</v>
      </c>
      <c r="P4491" s="10" t="n">
        <v>0.790102193132043</v>
      </c>
      <c r="Q4491" s="0" t="str">
        <f aca="false">SUBSTITUTE(SUBSTITUTE($I4491,CHAR(61),""),CHAR(34),"")</f>
        <v>15-24</v>
      </c>
      <c r="R4491" s="0" t="str">
        <f aca="false">IF($D4491&lt;&gt;"","["&amp;$E4491&amp;"]"&amp;"|"&amp;$Q4491&amp;"|"&amp;$K4491&amp;"|"&amp;$G4491&amp;"|"&amp;IF($G4491="TX_CURR_SUBNAT.R","CY2022Q4",$M4491),"")</f>
        <v>[kxuuIFpOXyO]|15-24|Female|PMTCT_ART_SUBNAT.N.Already.T_1|CY2023Q3</v>
      </c>
    </row>
    <row r="4492" customFormat="false" ht="15" hidden="false" customHeight="false" outlineLevel="0" collapsed="false">
      <c r="D4492" s="0" t="s">
        <v>63</v>
      </c>
      <c r="E4492" s="0" t="s">
        <v>64</v>
      </c>
      <c r="F4492" s="0" t="s">
        <v>65</v>
      </c>
      <c r="G4492" s="0" t="s">
        <v>158</v>
      </c>
      <c r="H4492" s="0" t="s">
        <v>159</v>
      </c>
      <c r="I4492" s="0" t="s">
        <v>41</v>
      </c>
      <c r="J4492" s="0" t="s">
        <v>42</v>
      </c>
      <c r="K4492" s="0" t="s">
        <v>30</v>
      </c>
      <c r="L4492" s="0" t="s">
        <v>31</v>
      </c>
      <c r="M4492" s="0" t="s">
        <v>140</v>
      </c>
      <c r="N4492" s="0" t="n">
        <v>686</v>
      </c>
      <c r="O4492" s="10" t="n">
        <v>0.091803508810699</v>
      </c>
      <c r="P4492" s="10" t="n">
        <v>0.790102193132043</v>
      </c>
      <c r="Q4492" s="0" t="str">
        <f aca="false">SUBSTITUTE(SUBSTITUTE($I4492,CHAR(61),""),CHAR(34),"")</f>
        <v>25-34</v>
      </c>
      <c r="R4492" s="0" t="str">
        <f aca="false">IF($D4492&lt;&gt;"","["&amp;$E4492&amp;"]"&amp;"|"&amp;$Q4492&amp;"|"&amp;$K4492&amp;"|"&amp;$G4492&amp;"|"&amp;IF($G4492="TX_CURR_SUBNAT.R","CY2022Q4",$M4492),"")</f>
        <v>[kxuuIFpOXyO]|25-34|Female|PMTCT_ART_SUBNAT.N.Already.T_1|CY2023Q3</v>
      </c>
    </row>
    <row r="4493" customFormat="false" ht="15" hidden="false" customHeight="false" outlineLevel="0" collapsed="false">
      <c r="D4493" s="0" t="s">
        <v>63</v>
      </c>
      <c r="E4493" s="0" t="s">
        <v>64</v>
      </c>
      <c r="F4493" s="0" t="s">
        <v>65</v>
      </c>
      <c r="G4493" s="0" t="s">
        <v>158</v>
      </c>
      <c r="H4493" s="0" t="s">
        <v>159</v>
      </c>
      <c r="I4493" s="0" t="s">
        <v>43</v>
      </c>
      <c r="J4493" s="0" t="s">
        <v>44</v>
      </c>
      <c r="K4493" s="0" t="s">
        <v>30</v>
      </c>
      <c r="L4493" s="0" t="s">
        <v>31</v>
      </c>
      <c r="M4493" s="0" t="s">
        <v>140</v>
      </c>
      <c r="N4493" s="0" t="n">
        <v>1283</v>
      </c>
      <c r="O4493" s="10" t="n">
        <v>0.73958061542362</v>
      </c>
      <c r="P4493" s="10" t="n">
        <v>0.790102193132043</v>
      </c>
      <c r="Q4493" s="0" t="str">
        <f aca="false">SUBSTITUTE(SUBSTITUTE($I4493,CHAR(61),""),CHAR(34),"")</f>
        <v>35-49</v>
      </c>
      <c r="R4493" s="0" t="str">
        <f aca="false">IF($D4493&lt;&gt;"","["&amp;$E4493&amp;"]"&amp;"|"&amp;$Q4493&amp;"|"&amp;$K4493&amp;"|"&amp;$G4493&amp;"|"&amp;IF($G4493="TX_CURR_SUBNAT.R","CY2022Q4",$M4493),"")</f>
        <v>[kxuuIFpOXyO]|35-49|Female|PMTCT_ART_SUBNAT.N.Already.T_1|CY2023Q3</v>
      </c>
    </row>
    <row r="4494" customFormat="false" ht="15" hidden="false" customHeight="false" outlineLevel="0" collapsed="false">
      <c r="D4494" s="0" t="s">
        <v>66</v>
      </c>
      <c r="E4494" s="0" t="s">
        <v>67</v>
      </c>
      <c r="F4494" s="0" t="s">
        <v>68</v>
      </c>
      <c r="G4494" s="0" t="s">
        <v>158</v>
      </c>
      <c r="H4494" s="0" t="s">
        <v>159</v>
      </c>
      <c r="I4494" s="0" t="s">
        <v>38</v>
      </c>
      <c r="J4494" s="0" t="s">
        <v>39</v>
      </c>
      <c r="K4494" s="0" t="s">
        <v>30</v>
      </c>
      <c r="L4494" s="0" t="s">
        <v>31</v>
      </c>
      <c r="M4494" s="0" t="s">
        <v>140</v>
      </c>
      <c r="N4494" s="0" t="n">
        <v>1584</v>
      </c>
      <c r="O4494" s="10" t="n">
        <v>0.386763089103624</v>
      </c>
      <c r="P4494" s="10" t="n">
        <v>0.164609884377569</v>
      </c>
      <c r="Q4494" s="0" t="str">
        <f aca="false">SUBSTITUTE(SUBSTITUTE($I4494,CHAR(61),""),CHAR(34),"")</f>
        <v>15-24</v>
      </c>
      <c r="R4494" s="0" t="str">
        <f aca="false">IF($D4494&lt;&gt;"","["&amp;$E4494&amp;"]"&amp;"|"&amp;$Q4494&amp;"|"&amp;$K4494&amp;"|"&amp;$G4494&amp;"|"&amp;IF($G4494="TX_CURR_SUBNAT.R","CY2022Q4",$M4494),"")</f>
        <v>[ScR9iFKAasW]|15-24|Female|PMTCT_ART_SUBNAT.N.Already.T_1|CY2023Q3</v>
      </c>
    </row>
    <row r="4495" customFormat="false" ht="15" hidden="false" customHeight="false" outlineLevel="0" collapsed="false">
      <c r="D4495" s="0" t="s">
        <v>66</v>
      </c>
      <c r="E4495" s="0" t="s">
        <v>67</v>
      </c>
      <c r="F4495" s="0" t="s">
        <v>68</v>
      </c>
      <c r="G4495" s="0" t="s">
        <v>158</v>
      </c>
      <c r="H4495" s="0" t="s">
        <v>159</v>
      </c>
      <c r="I4495" s="0" t="s">
        <v>41</v>
      </c>
      <c r="J4495" s="0" t="s">
        <v>42</v>
      </c>
      <c r="K4495" s="0" t="s">
        <v>30</v>
      </c>
      <c r="L4495" s="0" t="s">
        <v>31</v>
      </c>
      <c r="M4495" s="0" t="s">
        <v>140</v>
      </c>
      <c r="N4495" s="0" t="n">
        <v>1455</v>
      </c>
      <c r="O4495" s="10" t="n">
        <v>0.588647947879508</v>
      </c>
      <c r="P4495" s="10" t="n">
        <v>0.164609884377569</v>
      </c>
      <c r="Q4495" s="0" t="str">
        <f aca="false">SUBSTITUTE(SUBSTITUTE($I4495,CHAR(61),""),CHAR(34),"")</f>
        <v>25-34</v>
      </c>
      <c r="R4495" s="0" t="str">
        <f aca="false">IF($D4495&lt;&gt;"","["&amp;$E4495&amp;"]"&amp;"|"&amp;$Q4495&amp;"|"&amp;$K4495&amp;"|"&amp;$G4495&amp;"|"&amp;IF($G4495="TX_CURR_SUBNAT.R","CY2022Q4",$M4495),"")</f>
        <v>[ScR9iFKAasW]|25-34|Female|PMTCT_ART_SUBNAT.N.Already.T_1|CY2023Q3</v>
      </c>
    </row>
    <row r="4496" customFormat="false" ht="15" hidden="false" customHeight="false" outlineLevel="0" collapsed="false">
      <c r="D4496" s="0" t="s">
        <v>66</v>
      </c>
      <c r="E4496" s="0" t="s">
        <v>67</v>
      </c>
      <c r="F4496" s="0" t="s">
        <v>68</v>
      </c>
      <c r="G4496" s="0" t="s">
        <v>158</v>
      </c>
      <c r="H4496" s="0" t="s">
        <v>159</v>
      </c>
      <c r="I4496" s="0" t="s">
        <v>43</v>
      </c>
      <c r="J4496" s="0" t="s">
        <v>44</v>
      </c>
      <c r="K4496" s="0" t="s">
        <v>30</v>
      </c>
      <c r="L4496" s="0" t="s">
        <v>31</v>
      </c>
      <c r="M4496" s="0" t="s">
        <v>140</v>
      </c>
      <c r="N4496" s="0" t="n">
        <v>912</v>
      </c>
      <c r="O4496" s="10" t="n">
        <v>0.395590867148712</v>
      </c>
      <c r="P4496" s="10" t="n">
        <v>0.164609884377569</v>
      </c>
      <c r="Q4496" s="0" t="str">
        <f aca="false">SUBSTITUTE(SUBSTITUTE($I4496,CHAR(61),""),CHAR(34),"")</f>
        <v>35-49</v>
      </c>
      <c r="R4496" s="0" t="str">
        <f aca="false">IF($D4496&lt;&gt;"","["&amp;$E4496&amp;"]"&amp;"|"&amp;$Q4496&amp;"|"&amp;$K4496&amp;"|"&amp;$G4496&amp;"|"&amp;IF($G4496="TX_CURR_SUBNAT.R","CY2022Q4",$M4496),"")</f>
        <v>[ScR9iFKAasW]|35-49|Female|PMTCT_ART_SUBNAT.N.Already.T_1|CY2023Q3</v>
      </c>
    </row>
    <row r="4497" customFormat="false" ht="15" hidden="false" customHeight="false" outlineLevel="0" collapsed="false">
      <c r="D4497" s="0" t="s">
        <v>69</v>
      </c>
      <c r="E4497" s="0" t="s">
        <v>70</v>
      </c>
      <c r="F4497" s="0" t="s">
        <v>71</v>
      </c>
      <c r="G4497" s="0" t="s">
        <v>158</v>
      </c>
      <c r="H4497" s="0" t="s">
        <v>159</v>
      </c>
      <c r="I4497" s="0" t="s">
        <v>38</v>
      </c>
      <c r="J4497" s="0" t="s">
        <v>39</v>
      </c>
      <c r="K4497" s="0" t="s">
        <v>30</v>
      </c>
      <c r="L4497" s="0" t="s">
        <v>31</v>
      </c>
      <c r="M4497" s="0" t="s">
        <v>140</v>
      </c>
      <c r="N4497" s="0" t="n">
        <v>1890</v>
      </c>
      <c r="O4497" s="10" t="n">
        <v>0.450268022483215</v>
      </c>
      <c r="P4497" s="10" t="n">
        <v>0.198817263124511</v>
      </c>
      <c r="Q4497" s="0" t="str">
        <f aca="false">SUBSTITUTE(SUBSTITUTE($I4497,CHAR(61),""),CHAR(34),"")</f>
        <v>15-24</v>
      </c>
      <c r="R4497" s="0" t="str">
        <f aca="false">IF($D4497&lt;&gt;"","["&amp;$E4497&amp;"]"&amp;"|"&amp;$Q4497&amp;"|"&amp;$K4497&amp;"|"&amp;$G4497&amp;"|"&amp;IF($G4497="TX_CURR_SUBNAT.R","CY2022Q4",$M4497),"")</f>
        <v>[PekKUkKHAzY]|15-24|Female|PMTCT_ART_SUBNAT.N.Already.T_1|CY2023Q3</v>
      </c>
    </row>
    <row r="4498" customFormat="false" ht="15" hidden="false" customHeight="false" outlineLevel="0" collapsed="false">
      <c r="D4498" s="0" t="s">
        <v>69</v>
      </c>
      <c r="E4498" s="0" t="s">
        <v>70</v>
      </c>
      <c r="F4498" s="0" t="s">
        <v>71</v>
      </c>
      <c r="G4498" s="0" t="s">
        <v>158</v>
      </c>
      <c r="H4498" s="0" t="s">
        <v>159</v>
      </c>
      <c r="I4498" s="0" t="s">
        <v>41</v>
      </c>
      <c r="J4498" s="0" t="s">
        <v>42</v>
      </c>
      <c r="K4498" s="0" t="s">
        <v>30</v>
      </c>
      <c r="L4498" s="0" t="s">
        <v>31</v>
      </c>
      <c r="M4498" s="0" t="s">
        <v>140</v>
      </c>
      <c r="N4498" s="0" t="n">
        <v>1449</v>
      </c>
      <c r="O4498" s="10" t="n">
        <v>0.979701965814456</v>
      </c>
      <c r="P4498" s="10" t="n">
        <v>0.198817263124511</v>
      </c>
      <c r="Q4498" s="0" t="str">
        <f aca="false">SUBSTITUTE(SUBSTITUTE($I4498,CHAR(61),""),CHAR(34),"")</f>
        <v>25-34</v>
      </c>
      <c r="R4498" s="0" t="str">
        <f aca="false">IF($D4498&lt;&gt;"","["&amp;$E4498&amp;"]"&amp;"|"&amp;$Q4498&amp;"|"&amp;$K4498&amp;"|"&amp;$G4498&amp;"|"&amp;IF($G4498="TX_CURR_SUBNAT.R","CY2022Q4",$M4498),"")</f>
        <v>[PekKUkKHAzY]|25-34|Female|PMTCT_ART_SUBNAT.N.Already.T_1|CY2023Q3</v>
      </c>
    </row>
    <row r="4499" customFormat="false" ht="15" hidden="false" customHeight="false" outlineLevel="0" collapsed="false">
      <c r="D4499" s="0" t="s">
        <v>69</v>
      </c>
      <c r="E4499" s="0" t="s">
        <v>70</v>
      </c>
      <c r="F4499" s="0" t="s">
        <v>71</v>
      </c>
      <c r="G4499" s="0" t="s">
        <v>158</v>
      </c>
      <c r="H4499" s="0" t="s">
        <v>159</v>
      </c>
      <c r="I4499" s="0" t="s">
        <v>43</v>
      </c>
      <c r="J4499" s="0" t="s">
        <v>44</v>
      </c>
      <c r="K4499" s="0" t="s">
        <v>30</v>
      </c>
      <c r="L4499" s="0" t="s">
        <v>31</v>
      </c>
      <c r="M4499" s="0" t="s">
        <v>140</v>
      </c>
      <c r="N4499" s="0" t="n">
        <v>741</v>
      </c>
      <c r="O4499" s="10" t="n">
        <v>0.558703751303256</v>
      </c>
      <c r="P4499" s="10" t="n">
        <v>0.198817263124511</v>
      </c>
      <c r="Q4499" s="0" t="str">
        <f aca="false">SUBSTITUTE(SUBSTITUTE($I4499,CHAR(61),""),CHAR(34),"")</f>
        <v>35-49</v>
      </c>
      <c r="R4499" s="0" t="str">
        <f aca="false">IF($D4499&lt;&gt;"","["&amp;$E4499&amp;"]"&amp;"|"&amp;$Q4499&amp;"|"&amp;$K4499&amp;"|"&amp;$G4499&amp;"|"&amp;IF($G4499="TX_CURR_SUBNAT.R","CY2022Q4",$M4499),"")</f>
        <v>[PekKUkKHAzY]|35-49|Female|PMTCT_ART_SUBNAT.N.Already.T_1|CY2023Q3</v>
      </c>
    </row>
    <row r="4500" customFormat="false" ht="15" hidden="false" customHeight="false" outlineLevel="0" collapsed="false">
      <c r="D4500" s="0" t="s">
        <v>72</v>
      </c>
      <c r="E4500" s="0" t="s">
        <v>73</v>
      </c>
      <c r="F4500" s="0" t="s">
        <v>74</v>
      </c>
      <c r="G4500" s="0" t="s">
        <v>158</v>
      </c>
      <c r="H4500" s="0" t="s">
        <v>159</v>
      </c>
      <c r="I4500" s="0" t="s">
        <v>38</v>
      </c>
      <c r="J4500" s="0" t="s">
        <v>39</v>
      </c>
      <c r="K4500" s="0" t="s">
        <v>30</v>
      </c>
      <c r="L4500" s="0" t="s">
        <v>31</v>
      </c>
      <c r="M4500" s="0" t="s">
        <v>140</v>
      </c>
      <c r="N4500" s="0" t="n">
        <v>1269</v>
      </c>
      <c r="O4500" s="10" t="n">
        <v>0.449419133132324</v>
      </c>
      <c r="P4500" s="10" t="n">
        <v>0.289728706935421</v>
      </c>
      <c r="Q4500" s="0" t="str">
        <f aca="false">SUBSTITUTE(SUBSTITUTE($I4500,CHAR(61),""),CHAR(34),"")</f>
        <v>15-24</v>
      </c>
      <c r="R4500" s="0" t="str">
        <f aca="false">IF($D4500&lt;&gt;"","["&amp;$E4500&amp;"]"&amp;"|"&amp;$Q4500&amp;"|"&amp;$K4500&amp;"|"&amp;$G4500&amp;"|"&amp;IF($G4500="TX_CURR_SUBNAT.R","CY2022Q4",$M4500),"")</f>
        <v>[am530wpaGvr]|15-24|Female|PMTCT_ART_SUBNAT.N.Already.T_1|CY2023Q3</v>
      </c>
    </row>
    <row r="4501" customFormat="false" ht="15" hidden="false" customHeight="false" outlineLevel="0" collapsed="false">
      <c r="D4501" s="0" t="s">
        <v>72</v>
      </c>
      <c r="E4501" s="0" t="s">
        <v>73</v>
      </c>
      <c r="F4501" s="0" t="s">
        <v>74</v>
      </c>
      <c r="G4501" s="0" t="s">
        <v>158</v>
      </c>
      <c r="H4501" s="0" t="s">
        <v>159</v>
      </c>
      <c r="I4501" s="0" t="s">
        <v>41</v>
      </c>
      <c r="J4501" s="0" t="s">
        <v>42</v>
      </c>
      <c r="K4501" s="0" t="s">
        <v>30</v>
      </c>
      <c r="L4501" s="0" t="s">
        <v>31</v>
      </c>
      <c r="M4501" s="0" t="s">
        <v>140</v>
      </c>
      <c r="N4501" s="0" t="n">
        <v>894</v>
      </c>
      <c r="O4501" s="10" t="n">
        <v>0.902835051296279</v>
      </c>
      <c r="P4501" s="10" t="n">
        <v>0.289728706935421</v>
      </c>
      <c r="Q4501" s="0" t="str">
        <f aca="false">SUBSTITUTE(SUBSTITUTE($I4501,CHAR(61),""),CHAR(34),"")</f>
        <v>25-34</v>
      </c>
      <c r="R4501" s="0" t="str">
        <f aca="false">IF($D4501&lt;&gt;"","["&amp;$E4501&amp;"]"&amp;"|"&amp;$Q4501&amp;"|"&amp;$K4501&amp;"|"&amp;$G4501&amp;"|"&amp;IF($G4501="TX_CURR_SUBNAT.R","CY2022Q4",$M4501),"")</f>
        <v>[am530wpaGvr]|25-34|Female|PMTCT_ART_SUBNAT.N.Already.T_1|CY2023Q3</v>
      </c>
    </row>
    <row r="4502" customFormat="false" ht="15" hidden="false" customHeight="false" outlineLevel="0" collapsed="false">
      <c r="D4502" s="0" t="s">
        <v>72</v>
      </c>
      <c r="E4502" s="0" t="s">
        <v>73</v>
      </c>
      <c r="F4502" s="0" t="s">
        <v>74</v>
      </c>
      <c r="G4502" s="0" t="s">
        <v>158</v>
      </c>
      <c r="H4502" s="0" t="s">
        <v>159</v>
      </c>
      <c r="I4502" s="0" t="s">
        <v>43</v>
      </c>
      <c r="J4502" s="0" t="s">
        <v>44</v>
      </c>
      <c r="K4502" s="0" t="s">
        <v>30</v>
      </c>
      <c r="L4502" s="0" t="s">
        <v>31</v>
      </c>
      <c r="M4502" s="0" t="s">
        <v>140</v>
      </c>
      <c r="N4502" s="0" t="n">
        <v>1017</v>
      </c>
      <c r="O4502" s="10" t="n">
        <v>0.660147069720551</v>
      </c>
      <c r="P4502" s="10" t="n">
        <v>0.289728706935421</v>
      </c>
      <c r="Q4502" s="0" t="str">
        <f aca="false">SUBSTITUTE(SUBSTITUTE($I4502,CHAR(61),""),CHAR(34),"")</f>
        <v>35-49</v>
      </c>
      <c r="R4502" s="0" t="str">
        <f aca="false">IF($D4502&lt;&gt;"","["&amp;$E4502&amp;"]"&amp;"|"&amp;$Q4502&amp;"|"&amp;$K4502&amp;"|"&amp;$G4502&amp;"|"&amp;IF($G4502="TX_CURR_SUBNAT.R","CY2022Q4",$M4502),"")</f>
        <v>[am530wpaGvr]|35-49|Female|PMTCT_ART_SUBNAT.N.Already.T_1|CY2023Q3</v>
      </c>
    </row>
    <row r="4503" customFormat="false" ht="15" hidden="false" customHeight="false" outlineLevel="0" collapsed="false">
      <c r="D4503" s="0" t="s">
        <v>75</v>
      </c>
      <c r="E4503" s="0" t="s">
        <v>76</v>
      </c>
      <c r="F4503" s="0" t="s">
        <v>77</v>
      </c>
      <c r="G4503" s="0" t="s">
        <v>158</v>
      </c>
      <c r="H4503" s="0" t="s">
        <v>159</v>
      </c>
      <c r="I4503" s="0" t="s">
        <v>38</v>
      </c>
      <c r="J4503" s="0" t="s">
        <v>39</v>
      </c>
      <c r="K4503" s="0" t="s">
        <v>30</v>
      </c>
      <c r="L4503" s="0" t="s">
        <v>31</v>
      </c>
      <c r="M4503" s="0" t="s">
        <v>140</v>
      </c>
      <c r="N4503" s="0" t="n">
        <v>992</v>
      </c>
      <c r="O4503" s="10" t="n">
        <v>0.589991462649778</v>
      </c>
      <c r="P4503" s="10" t="n">
        <v>0.303055507596582</v>
      </c>
      <c r="Q4503" s="0" t="str">
        <f aca="false">SUBSTITUTE(SUBSTITUTE($I4503,CHAR(61),""),CHAR(34),"")</f>
        <v>15-24</v>
      </c>
      <c r="R4503" s="0" t="str">
        <f aca="false">IF($D4503&lt;&gt;"","["&amp;$E4503&amp;"]"&amp;"|"&amp;$Q4503&amp;"|"&amp;$K4503&amp;"|"&amp;$G4503&amp;"|"&amp;IF($G4503="TX_CURR_SUBNAT.R","CY2022Q4",$M4503),"")</f>
        <v>[lLDyBx5XyUi]|15-24|Female|PMTCT_ART_SUBNAT.N.Already.T_1|CY2023Q3</v>
      </c>
    </row>
    <row r="4504" customFormat="false" ht="15" hidden="false" customHeight="false" outlineLevel="0" collapsed="false">
      <c r="D4504" s="0" t="s">
        <v>75</v>
      </c>
      <c r="E4504" s="0" t="s">
        <v>76</v>
      </c>
      <c r="F4504" s="0" t="s">
        <v>77</v>
      </c>
      <c r="G4504" s="0" t="s">
        <v>158</v>
      </c>
      <c r="H4504" s="0" t="s">
        <v>159</v>
      </c>
      <c r="I4504" s="0" t="s">
        <v>41</v>
      </c>
      <c r="J4504" s="0" t="s">
        <v>42</v>
      </c>
      <c r="K4504" s="0" t="s">
        <v>30</v>
      </c>
      <c r="L4504" s="0" t="s">
        <v>31</v>
      </c>
      <c r="M4504" s="0" t="s">
        <v>140</v>
      </c>
      <c r="N4504" s="0" t="n">
        <v>1590</v>
      </c>
      <c r="O4504" s="10" t="n">
        <v>0.846058634109795</v>
      </c>
      <c r="P4504" s="10" t="n">
        <v>0.303055507596582</v>
      </c>
      <c r="Q4504" s="0" t="str">
        <f aca="false">SUBSTITUTE(SUBSTITUTE($I4504,CHAR(61),""),CHAR(34),"")</f>
        <v>25-34</v>
      </c>
      <c r="R4504" s="0" t="str">
        <f aca="false">IF($D4504&lt;&gt;"","["&amp;$E4504&amp;"]"&amp;"|"&amp;$Q4504&amp;"|"&amp;$K4504&amp;"|"&amp;$G4504&amp;"|"&amp;IF($G4504="TX_CURR_SUBNAT.R","CY2022Q4",$M4504),"")</f>
        <v>[lLDyBx5XyUi]|25-34|Female|PMTCT_ART_SUBNAT.N.Already.T_1|CY2023Q3</v>
      </c>
    </row>
    <row r="4505" customFormat="false" ht="15" hidden="false" customHeight="false" outlineLevel="0" collapsed="false">
      <c r="D4505" s="0" t="s">
        <v>75</v>
      </c>
      <c r="E4505" s="0" t="s">
        <v>76</v>
      </c>
      <c r="F4505" s="0" t="s">
        <v>77</v>
      </c>
      <c r="G4505" s="0" t="s">
        <v>158</v>
      </c>
      <c r="H4505" s="0" t="s">
        <v>159</v>
      </c>
      <c r="I4505" s="0" t="s">
        <v>43</v>
      </c>
      <c r="J4505" s="0" t="s">
        <v>44</v>
      </c>
      <c r="K4505" s="0" t="s">
        <v>30</v>
      </c>
      <c r="L4505" s="0" t="s">
        <v>31</v>
      </c>
      <c r="M4505" s="0" t="s">
        <v>140</v>
      </c>
      <c r="N4505" s="0" t="n">
        <v>614</v>
      </c>
      <c r="O4505" s="10" t="n">
        <v>0.108851677970961</v>
      </c>
      <c r="P4505" s="10" t="n">
        <v>0.303055507596582</v>
      </c>
      <c r="Q4505" s="0" t="str">
        <f aca="false">SUBSTITUTE(SUBSTITUTE($I4505,CHAR(61),""),CHAR(34),"")</f>
        <v>35-49</v>
      </c>
      <c r="R4505" s="0" t="str">
        <f aca="false">IF($D4505&lt;&gt;"","["&amp;$E4505&amp;"]"&amp;"|"&amp;$Q4505&amp;"|"&amp;$K4505&amp;"|"&amp;$G4505&amp;"|"&amp;IF($G4505="TX_CURR_SUBNAT.R","CY2022Q4",$M4505),"")</f>
        <v>[lLDyBx5XyUi]|35-49|Female|PMTCT_ART_SUBNAT.N.Already.T_1|CY2023Q3</v>
      </c>
    </row>
    <row r="4506" customFormat="false" ht="15" hidden="false" customHeight="false" outlineLevel="0" collapsed="false">
      <c r="D4506" s="0" t="s">
        <v>78</v>
      </c>
      <c r="E4506" s="0" t="s">
        <v>79</v>
      </c>
      <c r="F4506" s="0" t="s">
        <v>80</v>
      </c>
      <c r="G4506" s="0" t="s">
        <v>158</v>
      </c>
      <c r="H4506" s="0" t="s">
        <v>159</v>
      </c>
      <c r="I4506" s="0" t="s">
        <v>38</v>
      </c>
      <c r="J4506" s="0" t="s">
        <v>39</v>
      </c>
      <c r="K4506" s="0" t="s">
        <v>30</v>
      </c>
      <c r="L4506" s="0" t="s">
        <v>31</v>
      </c>
      <c r="M4506" s="0" t="s">
        <v>140</v>
      </c>
      <c r="N4506" s="0" t="n">
        <v>788</v>
      </c>
      <c r="O4506" s="10" t="n">
        <v>0.184508779319003</v>
      </c>
      <c r="P4506" s="10" t="n">
        <v>0.831597982207313</v>
      </c>
      <c r="Q4506" s="0" t="str">
        <f aca="false">SUBSTITUTE(SUBSTITUTE($I4506,CHAR(61),""),CHAR(34),"")</f>
        <v>15-24</v>
      </c>
      <c r="R4506" s="0" t="str">
        <f aca="false">IF($D4506&lt;&gt;"","["&amp;$E4506&amp;"]"&amp;"|"&amp;$Q4506&amp;"|"&amp;$K4506&amp;"|"&amp;$G4506&amp;"|"&amp;IF($G4506="TX_CURR_SUBNAT.R","CY2022Q4",$M4506),"")</f>
        <v>[TYnMSwzko3z]|15-24|Female|PMTCT_ART_SUBNAT.N.Already.T_1|CY2023Q3</v>
      </c>
    </row>
    <row r="4507" customFormat="false" ht="15" hidden="false" customHeight="false" outlineLevel="0" collapsed="false">
      <c r="D4507" s="0" t="s">
        <v>78</v>
      </c>
      <c r="E4507" s="0" t="s">
        <v>79</v>
      </c>
      <c r="F4507" s="0" t="s">
        <v>80</v>
      </c>
      <c r="G4507" s="0" t="s">
        <v>158</v>
      </c>
      <c r="H4507" s="0" t="s">
        <v>159</v>
      </c>
      <c r="I4507" s="0" t="s">
        <v>41</v>
      </c>
      <c r="J4507" s="0" t="s">
        <v>42</v>
      </c>
      <c r="K4507" s="0" t="s">
        <v>30</v>
      </c>
      <c r="L4507" s="0" t="s">
        <v>31</v>
      </c>
      <c r="M4507" s="0" t="s">
        <v>140</v>
      </c>
      <c r="N4507" s="0" t="n">
        <v>1700</v>
      </c>
      <c r="O4507" s="10" t="n">
        <v>0.947375921998173</v>
      </c>
      <c r="P4507" s="10" t="n">
        <v>0.831597982207313</v>
      </c>
      <c r="Q4507" s="0" t="str">
        <f aca="false">SUBSTITUTE(SUBSTITUTE($I4507,CHAR(61),""),CHAR(34),"")</f>
        <v>25-34</v>
      </c>
      <c r="R4507" s="0" t="str">
        <f aca="false">IF($D4507&lt;&gt;"","["&amp;$E4507&amp;"]"&amp;"|"&amp;$Q4507&amp;"|"&amp;$K4507&amp;"|"&amp;$G4507&amp;"|"&amp;IF($G4507="TX_CURR_SUBNAT.R","CY2022Q4",$M4507),"")</f>
        <v>[TYnMSwzko3z]|25-34|Female|PMTCT_ART_SUBNAT.N.Already.T_1|CY2023Q3</v>
      </c>
    </row>
    <row r="4508" customFormat="false" ht="15" hidden="false" customHeight="false" outlineLevel="0" collapsed="false">
      <c r="D4508" s="0" t="s">
        <v>78</v>
      </c>
      <c r="E4508" s="0" t="s">
        <v>79</v>
      </c>
      <c r="F4508" s="0" t="s">
        <v>80</v>
      </c>
      <c r="G4508" s="0" t="s">
        <v>158</v>
      </c>
      <c r="H4508" s="0" t="s">
        <v>159</v>
      </c>
      <c r="I4508" s="0" t="s">
        <v>43</v>
      </c>
      <c r="J4508" s="0" t="s">
        <v>44</v>
      </c>
      <c r="K4508" s="0" t="s">
        <v>30</v>
      </c>
      <c r="L4508" s="0" t="s">
        <v>31</v>
      </c>
      <c r="M4508" s="0" t="s">
        <v>140</v>
      </c>
      <c r="N4508" s="0" t="n">
        <v>1818</v>
      </c>
      <c r="O4508" s="10" t="n">
        <v>0.966076928190887</v>
      </c>
      <c r="P4508" s="10" t="n">
        <v>0.831597982207313</v>
      </c>
      <c r="Q4508" s="0" t="str">
        <f aca="false">SUBSTITUTE(SUBSTITUTE($I4508,CHAR(61),""),CHAR(34),"")</f>
        <v>35-49</v>
      </c>
      <c r="R4508" s="0" t="str">
        <f aca="false">IF($D4508&lt;&gt;"","["&amp;$E4508&amp;"]"&amp;"|"&amp;$Q4508&amp;"|"&amp;$K4508&amp;"|"&amp;$G4508&amp;"|"&amp;IF($G4508="TX_CURR_SUBNAT.R","CY2022Q4",$M4508),"")</f>
        <v>[TYnMSwzko3z]|35-49|Female|PMTCT_ART_SUBNAT.N.Already.T_1|CY2023Q3</v>
      </c>
    </row>
    <row r="4509" customFormat="false" ht="15" hidden="false" customHeight="false" outlineLevel="0" collapsed="false">
      <c r="D4509" s="0" t="s">
        <v>81</v>
      </c>
      <c r="E4509" s="0" t="s">
        <v>82</v>
      </c>
      <c r="F4509" s="0" t="s">
        <v>83</v>
      </c>
      <c r="G4509" s="0" t="s">
        <v>158</v>
      </c>
      <c r="H4509" s="0" t="s">
        <v>159</v>
      </c>
      <c r="I4509" s="0" t="s">
        <v>38</v>
      </c>
      <c r="J4509" s="0" t="s">
        <v>39</v>
      </c>
      <c r="K4509" s="0" t="s">
        <v>30</v>
      </c>
      <c r="L4509" s="0" t="s">
        <v>31</v>
      </c>
      <c r="M4509" s="0" t="s">
        <v>140</v>
      </c>
      <c r="N4509" s="0" t="n">
        <v>1847</v>
      </c>
      <c r="O4509" s="10" t="n">
        <v>0.875151665881276</v>
      </c>
      <c r="P4509" s="10" t="n">
        <v>0.143331421539187</v>
      </c>
      <c r="Q4509" s="0" t="str">
        <f aca="false">SUBSTITUTE(SUBSTITUTE($I4509,CHAR(61),""),CHAR(34),"")</f>
        <v>15-24</v>
      </c>
      <c r="R4509" s="0" t="str">
        <f aca="false">IF($D4509&lt;&gt;"","["&amp;$E4509&amp;"]"&amp;"|"&amp;$Q4509&amp;"|"&amp;$K4509&amp;"|"&amp;$G4509&amp;"|"&amp;IF($G4509="TX_CURR_SUBNAT.R","CY2022Q4",$M4509),"")</f>
        <v>[ir8wuHHzoSs]|15-24|Female|PMTCT_ART_SUBNAT.N.Already.T_1|CY2023Q3</v>
      </c>
    </row>
    <row r="4510" customFormat="false" ht="15" hidden="false" customHeight="false" outlineLevel="0" collapsed="false">
      <c r="D4510" s="0" t="s">
        <v>81</v>
      </c>
      <c r="E4510" s="0" t="s">
        <v>82</v>
      </c>
      <c r="F4510" s="0" t="s">
        <v>83</v>
      </c>
      <c r="G4510" s="0" t="s">
        <v>158</v>
      </c>
      <c r="H4510" s="0" t="s">
        <v>159</v>
      </c>
      <c r="I4510" s="0" t="s">
        <v>41</v>
      </c>
      <c r="J4510" s="0" t="s">
        <v>42</v>
      </c>
      <c r="K4510" s="0" t="s">
        <v>30</v>
      </c>
      <c r="L4510" s="0" t="s">
        <v>31</v>
      </c>
      <c r="M4510" s="0" t="s">
        <v>140</v>
      </c>
      <c r="N4510" s="0" t="n">
        <v>1215</v>
      </c>
      <c r="O4510" s="10" t="n">
        <v>0.872234620153904</v>
      </c>
      <c r="P4510" s="10" t="n">
        <v>0.143331421539187</v>
      </c>
      <c r="Q4510" s="0" t="str">
        <f aca="false">SUBSTITUTE(SUBSTITUTE($I4510,CHAR(61),""),CHAR(34),"")</f>
        <v>25-34</v>
      </c>
      <c r="R4510" s="0" t="str">
        <f aca="false">IF($D4510&lt;&gt;"","["&amp;$E4510&amp;"]"&amp;"|"&amp;$Q4510&amp;"|"&amp;$K4510&amp;"|"&amp;$G4510&amp;"|"&amp;IF($G4510="TX_CURR_SUBNAT.R","CY2022Q4",$M4510),"")</f>
        <v>[ir8wuHHzoSs]|25-34|Female|PMTCT_ART_SUBNAT.N.Already.T_1|CY2023Q3</v>
      </c>
    </row>
    <row r="4511" customFormat="false" ht="15" hidden="false" customHeight="false" outlineLevel="0" collapsed="false">
      <c r="D4511" s="0" t="s">
        <v>81</v>
      </c>
      <c r="E4511" s="0" t="s">
        <v>82</v>
      </c>
      <c r="F4511" s="0" t="s">
        <v>83</v>
      </c>
      <c r="G4511" s="0" t="s">
        <v>158</v>
      </c>
      <c r="H4511" s="0" t="s">
        <v>159</v>
      </c>
      <c r="I4511" s="0" t="s">
        <v>43</v>
      </c>
      <c r="J4511" s="0" t="s">
        <v>44</v>
      </c>
      <c r="K4511" s="0" t="s">
        <v>30</v>
      </c>
      <c r="L4511" s="0" t="s">
        <v>31</v>
      </c>
      <c r="M4511" s="0" t="s">
        <v>140</v>
      </c>
      <c r="N4511" s="0" t="n">
        <v>1574</v>
      </c>
      <c r="O4511" s="10" t="n">
        <v>0.818273964338005</v>
      </c>
      <c r="P4511" s="10" t="n">
        <v>0.143331421539187</v>
      </c>
      <c r="Q4511" s="0" t="str">
        <f aca="false">SUBSTITUTE(SUBSTITUTE($I4511,CHAR(61),""),CHAR(34),"")</f>
        <v>35-49</v>
      </c>
      <c r="R4511" s="0" t="str">
        <f aca="false">IF($D4511&lt;&gt;"","["&amp;$E4511&amp;"]"&amp;"|"&amp;$Q4511&amp;"|"&amp;$K4511&amp;"|"&amp;$G4511&amp;"|"&amp;IF($G4511="TX_CURR_SUBNAT.R","CY2022Q4",$M4511),"")</f>
        <v>[ir8wuHHzoSs]|35-49|Female|PMTCT_ART_SUBNAT.N.Already.T_1|CY2023Q3</v>
      </c>
    </row>
    <row r="4512" customFormat="false" ht="15" hidden="false" customHeight="false" outlineLevel="0" collapsed="false">
      <c r="D4512" s="0" t="s">
        <v>84</v>
      </c>
      <c r="E4512" s="0" t="s">
        <v>85</v>
      </c>
      <c r="F4512" s="0" t="s">
        <v>86</v>
      </c>
      <c r="G4512" s="0" t="s">
        <v>158</v>
      </c>
      <c r="H4512" s="0" t="s">
        <v>159</v>
      </c>
      <c r="I4512" s="0" t="s">
        <v>38</v>
      </c>
      <c r="J4512" s="0" t="s">
        <v>39</v>
      </c>
      <c r="K4512" s="0" t="s">
        <v>30</v>
      </c>
      <c r="L4512" s="0" t="s">
        <v>31</v>
      </c>
      <c r="M4512" s="0" t="s">
        <v>140</v>
      </c>
      <c r="N4512" s="0" t="n">
        <v>1747</v>
      </c>
      <c r="O4512" s="10" t="n">
        <v>0.510471337940544</v>
      </c>
      <c r="P4512" s="10" t="n">
        <v>0.0297887143678963</v>
      </c>
      <c r="Q4512" s="0" t="str">
        <f aca="false">SUBSTITUTE(SUBSTITUTE($I4512,CHAR(61),""),CHAR(34),"")</f>
        <v>15-24</v>
      </c>
      <c r="R4512" s="0" t="str">
        <f aca="false">IF($D4512&lt;&gt;"","["&amp;$E4512&amp;"]"&amp;"|"&amp;$Q4512&amp;"|"&amp;$K4512&amp;"|"&amp;$G4512&amp;"|"&amp;IF($G4512="TX_CURR_SUBNAT.R","CY2022Q4",$M4512),"")</f>
        <v>[fyEoGEPERdI]|15-24|Female|PMTCT_ART_SUBNAT.N.Already.T_1|CY2023Q3</v>
      </c>
    </row>
    <row r="4513" customFormat="false" ht="15" hidden="false" customHeight="false" outlineLevel="0" collapsed="false">
      <c r="D4513" s="0" t="s">
        <v>84</v>
      </c>
      <c r="E4513" s="0" t="s">
        <v>85</v>
      </c>
      <c r="F4513" s="0" t="s">
        <v>86</v>
      </c>
      <c r="G4513" s="0" t="s">
        <v>158</v>
      </c>
      <c r="H4513" s="0" t="s">
        <v>159</v>
      </c>
      <c r="I4513" s="0" t="s">
        <v>41</v>
      </c>
      <c r="J4513" s="0" t="s">
        <v>42</v>
      </c>
      <c r="K4513" s="0" t="s">
        <v>30</v>
      </c>
      <c r="L4513" s="0" t="s">
        <v>31</v>
      </c>
      <c r="M4513" s="0" t="s">
        <v>140</v>
      </c>
      <c r="N4513" s="0" t="n">
        <v>972</v>
      </c>
      <c r="O4513" s="10" t="n">
        <v>0.710896871984005</v>
      </c>
      <c r="P4513" s="10" t="n">
        <v>0.0297887143678963</v>
      </c>
      <c r="Q4513" s="0" t="str">
        <f aca="false">SUBSTITUTE(SUBSTITUTE($I4513,CHAR(61),""),CHAR(34),"")</f>
        <v>25-34</v>
      </c>
      <c r="R4513" s="0" t="str">
        <f aca="false">IF($D4513&lt;&gt;"","["&amp;$E4513&amp;"]"&amp;"|"&amp;$Q4513&amp;"|"&amp;$K4513&amp;"|"&amp;$G4513&amp;"|"&amp;IF($G4513="TX_CURR_SUBNAT.R","CY2022Q4",$M4513),"")</f>
        <v>[fyEoGEPERdI]|25-34|Female|PMTCT_ART_SUBNAT.N.Already.T_1|CY2023Q3</v>
      </c>
    </row>
    <row r="4514" customFormat="false" ht="15" hidden="false" customHeight="false" outlineLevel="0" collapsed="false">
      <c r="D4514" s="0" t="s">
        <v>84</v>
      </c>
      <c r="E4514" s="0" t="s">
        <v>85</v>
      </c>
      <c r="F4514" s="0" t="s">
        <v>86</v>
      </c>
      <c r="G4514" s="0" t="s">
        <v>158</v>
      </c>
      <c r="H4514" s="0" t="s">
        <v>159</v>
      </c>
      <c r="I4514" s="0" t="s">
        <v>43</v>
      </c>
      <c r="J4514" s="0" t="s">
        <v>44</v>
      </c>
      <c r="K4514" s="0" t="s">
        <v>30</v>
      </c>
      <c r="L4514" s="0" t="s">
        <v>31</v>
      </c>
      <c r="M4514" s="0" t="s">
        <v>140</v>
      </c>
      <c r="N4514" s="0" t="n">
        <v>1877</v>
      </c>
      <c r="O4514" s="10" t="n">
        <v>0.114673750475049</v>
      </c>
      <c r="P4514" s="10" t="n">
        <v>0.0297887143678963</v>
      </c>
      <c r="Q4514" s="0" t="str">
        <f aca="false">SUBSTITUTE(SUBSTITUTE($I4514,CHAR(61),""),CHAR(34),"")</f>
        <v>35-49</v>
      </c>
      <c r="R4514" s="0" t="str">
        <f aca="false">IF($D4514&lt;&gt;"","["&amp;$E4514&amp;"]"&amp;"|"&amp;$Q4514&amp;"|"&amp;$K4514&amp;"|"&amp;$G4514&amp;"|"&amp;IF($G4514="TX_CURR_SUBNAT.R","CY2022Q4",$M4514),"")</f>
        <v>[fyEoGEPERdI]|35-49|Female|PMTCT_ART_SUBNAT.N.Already.T_1|CY2023Q3</v>
      </c>
    </row>
    <row r="4515" customFormat="false" ht="15" hidden="false" customHeight="false" outlineLevel="0" collapsed="false">
      <c r="D4515" s="0" t="s">
        <v>87</v>
      </c>
      <c r="E4515" s="0" t="s">
        <v>88</v>
      </c>
      <c r="F4515" s="0" t="s">
        <v>89</v>
      </c>
      <c r="G4515" s="0" t="s">
        <v>158</v>
      </c>
      <c r="H4515" s="0" t="s">
        <v>159</v>
      </c>
      <c r="I4515" s="0" t="s">
        <v>38</v>
      </c>
      <c r="J4515" s="0" t="s">
        <v>39</v>
      </c>
      <c r="K4515" s="0" t="s">
        <v>30</v>
      </c>
      <c r="L4515" s="0" t="s">
        <v>31</v>
      </c>
      <c r="M4515" s="0" t="s">
        <v>140</v>
      </c>
      <c r="N4515" s="0" t="n">
        <v>601</v>
      </c>
      <c r="O4515" s="10" t="n">
        <v>0.672470644349232</v>
      </c>
      <c r="P4515" s="10" t="n">
        <v>0.133336380822584</v>
      </c>
      <c r="Q4515" s="0" t="str">
        <f aca="false">SUBSTITUTE(SUBSTITUTE($I4515,CHAR(61),""),CHAR(34),"")</f>
        <v>15-24</v>
      </c>
      <c r="R4515" s="0" t="str">
        <f aca="false">IF($D4515&lt;&gt;"","["&amp;$E4515&amp;"]"&amp;"|"&amp;$Q4515&amp;"|"&amp;$K4515&amp;"|"&amp;$G4515&amp;"|"&amp;IF($G4515="TX_CURR_SUBNAT.R","CY2022Q4",$M4515),"")</f>
        <v>[cPtvxaZqXIH]|15-24|Female|PMTCT_ART_SUBNAT.N.Already.T_1|CY2023Q3</v>
      </c>
    </row>
    <row r="4516" customFormat="false" ht="15" hidden="false" customHeight="false" outlineLevel="0" collapsed="false">
      <c r="D4516" s="0" t="s">
        <v>87</v>
      </c>
      <c r="E4516" s="0" t="s">
        <v>88</v>
      </c>
      <c r="F4516" s="0" t="s">
        <v>89</v>
      </c>
      <c r="G4516" s="0" t="s">
        <v>158</v>
      </c>
      <c r="H4516" s="0" t="s">
        <v>159</v>
      </c>
      <c r="I4516" s="0" t="s">
        <v>41</v>
      </c>
      <c r="J4516" s="0" t="s">
        <v>42</v>
      </c>
      <c r="K4516" s="0" t="s">
        <v>30</v>
      </c>
      <c r="L4516" s="0" t="s">
        <v>31</v>
      </c>
      <c r="M4516" s="0" t="s">
        <v>140</v>
      </c>
      <c r="N4516" s="0" t="n">
        <v>1061</v>
      </c>
      <c r="O4516" s="10" t="n">
        <v>0.953625936526805</v>
      </c>
      <c r="P4516" s="10" t="n">
        <v>0.133336380822584</v>
      </c>
      <c r="Q4516" s="0" t="str">
        <f aca="false">SUBSTITUTE(SUBSTITUTE($I4516,CHAR(61),""),CHAR(34),"")</f>
        <v>25-34</v>
      </c>
      <c r="R4516" s="0" t="str">
        <f aca="false">IF($D4516&lt;&gt;"","["&amp;$E4516&amp;"]"&amp;"|"&amp;$Q4516&amp;"|"&amp;$K4516&amp;"|"&amp;$G4516&amp;"|"&amp;IF($G4516="TX_CURR_SUBNAT.R","CY2022Q4",$M4516),"")</f>
        <v>[cPtvxaZqXIH]|25-34|Female|PMTCT_ART_SUBNAT.N.Already.T_1|CY2023Q3</v>
      </c>
    </row>
    <row r="4517" customFormat="false" ht="15" hidden="false" customHeight="false" outlineLevel="0" collapsed="false">
      <c r="D4517" s="0" t="s">
        <v>87</v>
      </c>
      <c r="E4517" s="0" t="s">
        <v>88</v>
      </c>
      <c r="F4517" s="0" t="s">
        <v>89</v>
      </c>
      <c r="G4517" s="0" t="s">
        <v>158</v>
      </c>
      <c r="H4517" s="0" t="s">
        <v>159</v>
      </c>
      <c r="I4517" s="0" t="s">
        <v>43</v>
      </c>
      <c r="J4517" s="0" t="s">
        <v>44</v>
      </c>
      <c r="K4517" s="0" t="s">
        <v>30</v>
      </c>
      <c r="L4517" s="0" t="s">
        <v>31</v>
      </c>
      <c r="M4517" s="0" t="s">
        <v>140</v>
      </c>
      <c r="N4517" s="0" t="n">
        <v>1763</v>
      </c>
      <c r="O4517" s="10" t="n">
        <v>0.150497822090983</v>
      </c>
      <c r="P4517" s="10" t="n">
        <v>0.133336380822584</v>
      </c>
      <c r="Q4517" s="0" t="str">
        <f aca="false">SUBSTITUTE(SUBSTITUTE($I4517,CHAR(61),""),CHAR(34),"")</f>
        <v>35-49</v>
      </c>
      <c r="R4517" s="0" t="str">
        <f aca="false">IF($D4517&lt;&gt;"","["&amp;$E4517&amp;"]"&amp;"|"&amp;$Q4517&amp;"|"&amp;$K4517&amp;"|"&amp;$G4517&amp;"|"&amp;IF($G4517="TX_CURR_SUBNAT.R","CY2022Q4",$M4517),"")</f>
        <v>[cPtvxaZqXIH]|35-49|Female|PMTCT_ART_SUBNAT.N.Already.T_1|CY2023Q3</v>
      </c>
    </row>
    <row r="4518" customFormat="false" ht="15" hidden="false" customHeight="false" outlineLevel="0" collapsed="false">
      <c r="D4518" s="0" t="s">
        <v>90</v>
      </c>
      <c r="E4518" s="0" t="s">
        <v>91</v>
      </c>
      <c r="F4518" s="0" t="s">
        <v>92</v>
      </c>
      <c r="G4518" s="0" t="s">
        <v>158</v>
      </c>
      <c r="H4518" s="0" t="s">
        <v>159</v>
      </c>
      <c r="I4518" s="0" t="s">
        <v>38</v>
      </c>
      <c r="J4518" s="0" t="s">
        <v>39</v>
      </c>
      <c r="K4518" s="0" t="s">
        <v>30</v>
      </c>
      <c r="L4518" s="0" t="s">
        <v>31</v>
      </c>
      <c r="M4518" s="0" t="s">
        <v>140</v>
      </c>
      <c r="N4518" s="0" t="n">
        <v>1510</v>
      </c>
      <c r="O4518" s="10" t="n">
        <v>0.976319273700938</v>
      </c>
      <c r="P4518" s="10" t="n">
        <v>0.719914150424302</v>
      </c>
      <c r="Q4518" s="0" t="str">
        <f aca="false">SUBSTITUTE(SUBSTITUTE($I4518,CHAR(61),""),CHAR(34),"")</f>
        <v>15-24</v>
      </c>
      <c r="R4518" s="0" t="str">
        <f aca="false">IF($D4518&lt;&gt;"","["&amp;$E4518&amp;"]"&amp;"|"&amp;$Q4518&amp;"|"&amp;$K4518&amp;"|"&amp;$G4518&amp;"|"&amp;IF($G4518="TX_CURR_SUBNAT.R","CY2022Q4",$M4518),"")</f>
        <v>[AZyWpGzhcaA]|15-24|Female|PMTCT_ART_SUBNAT.N.Already.T_1|CY2023Q3</v>
      </c>
    </row>
    <row r="4519" customFormat="false" ht="15" hidden="false" customHeight="false" outlineLevel="0" collapsed="false">
      <c r="D4519" s="0" t="s">
        <v>90</v>
      </c>
      <c r="E4519" s="0" t="s">
        <v>91</v>
      </c>
      <c r="F4519" s="0" t="s">
        <v>92</v>
      </c>
      <c r="G4519" s="0" t="s">
        <v>158</v>
      </c>
      <c r="H4519" s="0" t="s">
        <v>159</v>
      </c>
      <c r="I4519" s="0" t="s">
        <v>41</v>
      </c>
      <c r="J4519" s="0" t="s">
        <v>42</v>
      </c>
      <c r="K4519" s="0" t="s">
        <v>30</v>
      </c>
      <c r="L4519" s="0" t="s">
        <v>31</v>
      </c>
      <c r="M4519" s="0" t="s">
        <v>140</v>
      </c>
      <c r="N4519" s="0" t="n">
        <v>713</v>
      </c>
      <c r="O4519" s="10" t="n">
        <v>0.0331387096084654</v>
      </c>
      <c r="P4519" s="10" t="n">
        <v>0.719914150424302</v>
      </c>
      <c r="Q4519" s="0" t="str">
        <f aca="false">SUBSTITUTE(SUBSTITUTE($I4519,CHAR(61),""),CHAR(34),"")</f>
        <v>25-34</v>
      </c>
      <c r="R4519" s="0" t="str">
        <f aca="false">IF($D4519&lt;&gt;"","["&amp;$E4519&amp;"]"&amp;"|"&amp;$Q4519&amp;"|"&amp;$K4519&amp;"|"&amp;$G4519&amp;"|"&amp;IF($G4519="TX_CURR_SUBNAT.R","CY2022Q4",$M4519),"")</f>
        <v>[AZyWpGzhcaA]|25-34|Female|PMTCT_ART_SUBNAT.N.Already.T_1|CY2023Q3</v>
      </c>
    </row>
    <row r="4520" customFormat="false" ht="15" hidden="false" customHeight="false" outlineLevel="0" collapsed="false">
      <c r="D4520" s="0" t="s">
        <v>90</v>
      </c>
      <c r="E4520" s="0" t="s">
        <v>91</v>
      </c>
      <c r="F4520" s="0" t="s">
        <v>92</v>
      </c>
      <c r="G4520" s="0" t="s">
        <v>158</v>
      </c>
      <c r="H4520" s="0" t="s">
        <v>159</v>
      </c>
      <c r="I4520" s="0" t="s">
        <v>43</v>
      </c>
      <c r="J4520" s="0" t="s">
        <v>44</v>
      </c>
      <c r="K4520" s="0" t="s">
        <v>30</v>
      </c>
      <c r="L4520" s="0" t="s">
        <v>31</v>
      </c>
      <c r="M4520" s="0" t="s">
        <v>140</v>
      </c>
      <c r="N4520" s="0" t="n">
        <v>596</v>
      </c>
      <c r="O4520" s="10" t="n">
        <v>0.476422596722841</v>
      </c>
      <c r="P4520" s="10" t="n">
        <v>0.719914150424302</v>
      </c>
      <c r="Q4520" s="0" t="str">
        <f aca="false">SUBSTITUTE(SUBSTITUTE($I4520,CHAR(61),""),CHAR(34),"")</f>
        <v>35-49</v>
      </c>
      <c r="R4520" s="0" t="str">
        <f aca="false">IF($D4520&lt;&gt;"","["&amp;$E4520&amp;"]"&amp;"|"&amp;$Q4520&amp;"|"&amp;$K4520&amp;"|"&amp;$G4520&amp;"|"&amp;IF($G4520="TX_CURR_SUBNAT.R","CY2022Q4",$M4520),"")</f>
        <v>[AZyWpGzhcaA]|35-49|Female|PMTCT_ART_SUBNAT.N.Already.T_1|CY2023Q3</v>
      </c>
    </row>
    <row r="4521" customFormat="false" ht="15" hidden="false" customHeight="false" outlineLevel="0" collapsed="false">
      <c r="D4521" s="0" t="s">
        <v>93</v>
      </c>
      <c r="E4521" s="0" t="s">
        <v>94</v>
      </c>
      <c r="F4521" s="0" t="s">
        <v>95</v>
      </c>
      <c r="G4521" s="0" t="s">
        <v>158</v>
      </c>
      <c r="H4521" s="0" t="s">
        <v>159</v>
      </c>
      <c r="I4521" s="0" t="s">
        <v>38</v>
      </c>
      <c r="J4521" s="0" t="s">
        <v>39</v>
      </c>
      <c r="K4521" s="0" t="s">
        <v>30</v>
      </c>
      <c r="L4521" s="0" t="s">
        <v>31</v>
      </c>
      <c r="M4521" s="0" t="s">
        <v>140</v>
      </c>
      <c r="N4521" s="0" t="n">
        <v>1664</v>
      </c>
      <c r="O4521" s="10" t="n">
        <v>0.550970820477232</v>
      </c>
      <c r="P4521" s="10" t="n">
        <v>0.362272296566516</v>
      </c>
      <c r="Q4521" s="0" t="str">
        <f aca="false">SUBSTITUTE(SUBSTITUTE($I4521,CHAR(61),""),CHAR(34),"")</f>
        <v>15-24</v>
      </c>
      <c r="R4521" s="0" t="str">
        <f aca="false">IF($D4521&lt;&gt;"","["&amp;$E4521&amp;"]"&amp;"|"&amp;$Q4521&amp;"|"&amp;$K4521&amp;"|"&amp;$G4521&amp;"|"&amp;IF($G4521="TX_CURR_SUBNAT.R","CY2022Q4",$M4521),"")</f>
        <v>[umc2n1Z4wNv]|15-24|Female|PMTCT_ART_SUBNAT.N.Already.T_1|CY2023Q3</v>
      </c>
    </row>
    <row r="4522" customFormat="false" ht="15" hidden="false" customHeight="false" outlineLevel="0" collapsed="false">
      <c r="D4522" s="0" t="s">
        <v>93</v>
      </c>
      <c r="E4522" s="0" t="s">
        <v>94</v>
      </c>
      <c r="F4522" s="0" t="s">
        <v>95</v>
      </c>
      <c r="G4522" s="0" t="s">
        <v>158</v>
      </c>
      <c r="H4522" s="0" t="s">
        <v>159</v>
      </c>
      <c r="I4522" s="0" t="s">
        <v>41</v>
      </c>
      <c r="J4522" s="0" t="s">
        <v>42</v>
      </c>
      <c r="K4522" s="0" t="s">
        <v>30</v>
      </c>
      <c r="L4522" s="0" t="s">
        <v>31</v>
      </c>
      <c r="M4522" s="0" t="s">
        <v>140</v>
      </c>
      <c r="N4522" s="0" t="n">
        <v>647</v>
      </c>
      <c r="O4522" s="10" t="n">
        <v>0.295245304936543</v>
      </c>
      <c r="P4522" s="10" t="n">
        <v>0.362272296566516</v>
      </c>
      <c r="Q4522" s="0" t="str">
        <f aca="false">SUBSTITUTE(SUBSTITUTE($I4522,CHAR(61),""),CHAR(34),"")</f>
        <v>25-34</v>
      </c>
      <c r="R4522" s="0" t="str">
        <f aca="false">IF($D4522&lt;&gt;"","["&amp;$E4522&amp;"]"&amp;"|"&amp;$Q4522&amp;"|"&amp;$K4522&amp;"|"&amp;$G4522&amp;"|"&amp;IF($G4522="TX_CURR_SUBNAT.R","CY2022Q4",$M4522),"")</f>
        <v>[umc2n1Z4wNv]|25-34|Female|PMTCT_ART_SUBNAT.N.Already.T_1|CY2023Q3</v>
      </c>
    </row>
    <row r="4523" customFormat="false" ht="15" hidden="false" customHeight="false" outlineLevel="0" collapsed="false">
      <c r="D4523" s="0" t="s">
        <v>93</v>
      </c>
      <c r="E4523" s="0" t="s">
        <v>94</v>
      </c>
      <c r="F4523" s="0" t="s">
        <v>95</v>
      </c>
      <c r="G4523" s="0" t="s">
        <v>158</v>
      </c>
      <c r="H4523" s="0" t="s">
        <v>159</v>
      </c>
      <c r="I4523" s="0" t="s">
        <v>43</v>
      </c>
      <c r="J4523" s="0" t="s">
        <v>44</v>
      </c>
      <c r="K4523" s="0" t="s">
        <v>30</v>
      </c>
      <c r="L4523" s="0" t="s">
        <v>31</v>
      </c>
      <c r="M4523" s="0" t="s">
        <v>140</v>
      </c>
      <c r="N4523" s="0" t="n">
        <v>1526</v>
      </c>
      <c r="O4523" s="10" t="n">
        <v>0.0101069589145482</v>
      </c>
      <c r="P4523" s="10" t="n">
        <v>0.362272296566516</v>
      </c>
      <c r="Q4523" s="0" t="str">
        <f aca="false">SUBSTITUTE(SUBSTITUTE($I4523,CHAR(61),""),CHAR(34),"")</f>
        <v>35-49</v>
      </c>
      <c r="R4523" s="0" t="str">
        <f aca="false">IF($D4523&lt;&gt;"","["&amp;$E4523&amp;"]"&amp;"|"&amp;$Q4523&amp;"|"&amp;$K4523&amp;"|"&amp;$G4523&amp;"|"&amp;IF($G4523="TX_CURR_SUBNAT.R","CY2022Q4",$M4523),"")</f>
        <v>[umc2n1Z4wNv]|35-49|Female|PMTCT_ART_SUBNAT.N.Already.T_1|CY2023Q3</v>
      </c>
    </row>
    <row r="4524" customFormat="false" ht="15" hidden="false" customHeight="false" outlineLevel="0" collapsed="false">
      <c r="D4524" s="0" t="s">
        <v>96</v>
      </c>
      <c r="E4524" s="0" t="s">
        <v>97</v>
      </c>
      <c r="F4524" s="0" t="s">
        <v>98</v>
      </c>
      <c r="G4524" s="0" t="s">
        <v>158</v>
      </c>
      <c r="H4524" s="0" t="s">
        <v>159</v>
      </c>
      <c r="I4524" s="0" t="s">
        <v>38</v>
      </c>
      <c r="J4524" s="0" t="s">
        <v>39</v>
      </c>
      <c r="K4524" s="0" t="s">
        <v>30</v>
      </c>
      <c r="L4524" s="0" t="s">
        <v>31</v>
      </c>
      <c r="M4524" s="0" t="s">
        <v>140</v>
      </c>
      <c r="N4524" s="0" t="n">
        <v>1590</v>
      </c>
      <c r="O4524" s="10" t="n">
        <v>0.268830375513062</v>
      </c>
      <c r="P4524" s="10" t="n">
        <v>0.601251717889681</v>
      </c>
      <c r="Q4524" s="0" t="str">
        <f aca="false">SUBSTITUTE(SUBSTITUTE($I4524,CHAR(61),""),CHAR(34),"")</f>
        <v>15-24</v>
      </c>
      <c r="R4524" s="0" t="str">
        <f aca="false">IF($D4524&lt;&gt;"","["&amp;$E4524&amp;"]"&amp;"|"&amp;$Q4524&amp;"|"&amp;$K4524&amp;"|"&amp;$G4524&amp;"|"&amp;IF($G4524="TX_CURR_SUBNAT.R","CY2022Q4",$M4524),"")</f>
        <v>[gwVYinjBAe9]|15-24|Female|PMTCT_ART_SUBNAT.N.Already.T_1|CY2023Q3</v>
      </c>
    </row>
    <row r="4525" customFormat="false" ht="15" hidden="false" customHeight="false" outlineLevel="0" collapsed="false">
      <c r="D4525" s="0" t="s">
        <v>96</v>
      </c>
      <c r="E4525" s="0" t="s">
        <v>97</v>
      </c>
      <c r="F4525" s="0" t="s">
        <v>98</v>
      </c>
      <c r="G4525" s="0" t="s">
        <v>158</v>
      </c>
      <c r="H4525" s="0" t="s">
        <v>159</v>
      </c>
      <c r="I4525" s="0" t="s">
        <v>41</v>
      </c>
      <c r="J4525" s="0" t="s">
        <v>42</v>
      </c>
      <c r="K4525" s="0" t="s">
        <v>30</v>
      </c>
      <c r="L4525" s="0" t="s">
        <v>31</v>
      </c>
      <c r="M4525" s="0" t="s">
        <v>140</v>
      </c>
      <c r="N4525" s="0" t="n">
        <v>1825</v>
      </c>
      <c r="O4525" s="10" t="n">
        <v>0.686565758427605</v>
      </c>
      <c r="P4525" s="10" t="n">
        <v>0.601251717889681</v>
      </c>
      <c r="Q4525" s="0" t="str">
        <f aca="false">SUBSTITUTE(SUBSTITUTE($I4525,CHAR(61),""),CHAR(34),"")</f>
        <v>25-34</v>
      </c>
      <c r="R4525" s="0" t="str">
        <f aca="false">IF($D4525&lt;&gt;"","["&amp;$E4525&amp;"]"&amp;"|"&amp;$Q4525&amp;"|"&amp;$K4525&amp;"|"&amp;$G4525&amp;"|"&amp;IF($G4525="TX_CURR_SUBNAT.R","CY2022Q4",$M4525),"")</f>
        <v>[gwVYinjBAe9]|25-34|Female|PMTCT_ART_SUBNAT.N.Already.T_1|CY2023Q3</v>
      </c>
    </row>
    <row r="4526" customFormat="false" ht="15" hidden="false" customHeight="false" outlineLevel="0" collapsed="false">
      <c r="D4526" s="0" t="s">
        <v>96</v>
      </c>
      <c r="E4526" s="0" t="s">
        <v>97</v>
      </c>
      <c r="F4526" s="0" t="s">
        <v>98</v>
      </c>
      <c r="G4526" s="0" t="s">
        <v>158</v>
      </c>
      <c r="H4526" s="0" t="s">
        <v>159</v>
      </c>
      <c r="I4526" s="0" t="s">
        <v>43</v>
      </c>
      <c r="J4526" s="0" t="s">
        <v>44</v>
      </c>
      <c r="K4526" s="0" t="s">
        <v>30</v>
      </c>
      <c r="L4526" s="0" t="s">
        <v>31</v>
      </c>
      <c r="M4526" s="0" t="s">
        <v>140</v>
      </c>
      <c r="N4526" s="0" t="n">
        <v>1760</v>
      </c>
      <c r="O4526" s="10" t="n">
        <v>0.143593123648316</v>
      </c>
      <c r="P4526" s="10" t="n">
        <v>0.601251717889681</v>
      </c>
      <c r="Q4526" s="0" t="str">
        <f aca="false">SUBSTITUTE(SUBSTITUTE($I4526,CHAR(61),""),CHAR(34),"")</f>
        <v>35-49</v>
      </c>
      <c r="R4526" s="0" t="str">
        <f aca="false">IF($D4526&lt;&gt;"","["&amp;$E4526&amp;"]"&amp;"|"&amp;$Q4526&amp;"|"&amp;$K4526&amp;"|"&amp;$G4526&amp;"|"&amp;IF($G4526="TX_CURR_SUBNAT.R","CY2022Q4",$M4526),"")</f>
        <v>[gwVYinjBAe9]|35-49|Female|PMTCT_ART_SUBNAT.N.Already.T_1|CY2023Q3</v>
      </c>
    </row>
    <row r="4527" customFormat="false" ht="15" hidden="false" customHeight="false" outlineLevel="0" collapsed="false">
      <c r="D4527" s="0" t="s">
        <v>99</v>
      </c>
      <c r="E4527" s="0" t="s">
        <v>100</v>
      </c>
      <c r="F4527" s="0" t="s">
        <v>101</v>
      </c>
      <c r="G4527" s="0" t="s">
        <v>158</v>
      </c>
      <c r="H4527" s="0" t="s">
        <v>159</v>
      </c>
      <c r="I4527" s="0" t="s">
        <v>38</v>
      </c>
      <c r="J4527" s="0" t="s">
        <v>39</v>
      </c>
      <c r="K4527" s="0" t="s">
        <v>30</v>
      </c>
      <c r="L4527" s="0" t="s">
        <v>31</v>
      </c>
      <c r="M4527" s="0" t="s">
        <v>140</v>
      </c>
      <c r="N4527" s="0" t="n">
        <v>1548</v>
      </c>
      <c r="O4527" s="10" t="n">
        <v>0.0717625543475151</v>
      </c>
      <c r="P4527" s="10" t="n">
        <v>0.577288038097322</v>
      </c>
      <c r="Q4527" s="0" t="str">
        <f aca="false">SUBSTITUTE(SUBSTITUTE($I4527,CHAR(61),""),CHAR(34),"")</f>
        <v>15-24</v>
      </c>
      <c r="R4527" s="0" t="str">
        <f aca="false">IF($D4527&lt;&gt;"","["&amp;$E4527&amp;"]"&amp;"|"&amp;$Q4527&amp;"|"&amp;$K4527&amp;"|"&amp;$G4527&amp;"|"&amp;IF($G4527="TX_CURR_SUBNAT.R","CY2022Q4",$M4527),"")</f>
        <v>[mxqa3CDFmIT]|15-24|Female|PMTCT_ART_SUBNAT.N.Already.T_1|CY2023Q3</v>
      </c>
    </row>
    <row r="4528" customFormat="false" ht="15" hidden="false" customHeight="false" outlineLevel="0" collapsed="false">
      <c r="D4528" s="0" t="s">
        <v>99</v>
      </c>
      <c r="E4528" s="0" t="s">
        <v>100</v>
      </c>
      <c r="F4528" s="0" t="s">
        <v>101</v>
      </c>
      <c r="G4528" s="0" t="s">
        <v>158</v>
      </c>
      <c r="H4528" s="0" t="s">
        <v>159</v>
      </c>
      <c r="I4528" s="0" t="s">
        <v>41</v>
      </c>
      <c r="J4528" s="0" t="s">
        <v>42</v>
      </c>
      <c r="K4528" s="0" t="s">
        <v>30</v>
      </c>
      <c r="L4528" s="0" t="s">
        <v>31</v>
      </c>
      <c r="M4528" s="0" t="s">
        <v>140</v>
      </c>
      <c r="N4528" s="0" t="n">
        <v>900</v>
      </c>
      <c r="O4528" s="10" t="n">
        <v>0.896956755546853</v>
      </c>
      <c r="P4528" s="10" t="n">
        <v>0.577288038097322</v>
      </c>
      <c r="Q4528" s="0" t="str">
        <f aca="false">SUBSTITUTE(SUBSTITUTE($I4528,CHAR(61),""),CHAR(34),"")</f>
        <v>25-34</v>
      </c>
      <c r="R4528" s="0" t="str">
        <f aca="false">IF($D4528&lt;&gt;"","["&amp;$E4528&amp;"]"&amp;"|"&amp;$Q4528&amp;"|"&amp;$K4528&amp;"|"&amp;$G4528&amp;"|"&amp;IF($G4528="TX_CURR_SUBNAT.R","CY2022Q4",$M4528),"")</f>
        <v>[mxqa3CDFmIT]|25-34|Female|PMTCT_ART_SUBNAT.N.Already.T_1|CY2023Q3</v>
      </c>
    </row>
    <row r="4529" customFormat="false" ht="15" hidden="false" customHeight="false" outlineLevel="0" collapsed="false">
      <c r="D4529" s="0" t="s">
        <v>99</v>
      </c>
      <c r="E4529" s="0" t="s">
        <v>100</v>
      </c>
      <c r="F4529" s="0" t="s">
        <v>101</v>
      </c>
      <c r="G4529" s="0" t="s">
        <v>158</v>
      </c>
      <c r="H4529" s="0" t="s">
        <v>159</v>
      </c>
      <c r="I4529" s="0" t="s">
        <v>43</v>
      </c>
      <c r="J4529" s="0" t="s">
        <v>44</v>
      </c>
      <c r="K4529" s="0" t="s">
        <v>30</v>
      </c>
      <c r="L4529" s="0" t="s">
        <v>31</v>
      </c>
      <c r="M4529" s="0" t="s">
        <v>140</v>
      </c>
      <c r="N4529" s="0" t="n">
        <v>1811</v>
      </c>
      <c r="O4529" s="10" t="n">
        <v>0.748183791525662</v>
      </c>
      <c r="P4529" s="10" t="n">
        <v>0.577288038097322</v>
      </c>
      <c r="Q4529" s="0" t="str">
        <f aca="false">SUBSTITUTE(SUBSTITUTE($I4529,CHAR(61),""),CHAR(34),"")</f>
        <v>35-49</v>
      </c>
      <c r="R4529" s="0" t="str">
        <f aca="false">IF($D4529&lt;&gt;"","["&amp;$E4529&amp;"]"&amp;"|"&amp;$Q4529&amp;"|"&amp;$K4529&amp;"|"&amp;$G4529&amp;"|"&amp;IF($G4529="TX_CURR_SUBNAT.R","CY2022Q4",$M4529),"")</f>
        <v>[mxqa3CDFmIT]|35-49|Female|PMTCT_ART_SUBNAT.N.Already.T_1|CY2023Q3</v>
      </c>
    </row>
    <row r="4530" customFormat="false" ht="15" hidden="false" customHeight="false" outlineLevel="0" collapsed="false">
      <c r="D4530" s="0" t="s">
        <v>102</v>
      </c>
      <c r="E4530" s="0" t="s">
        <v>103</v>
      </c>
      <c r="F4530" s="0" t="s">
        <v>104</v>
      </c>
      <c r="G4530" s="0" t="s">
        <v>158</v>
      </c>
      <c r="H4530" s="0" t="s">
        <v>159</v>
      </c>
      <c r="I4530" s="0" t="s">
        <v>38</v>
      </c>
      <c r="J4530" s="0" t="s">
        <v>39</v>
      </c>
      <c r="K4530" s="0" t="s">
        <v>30</v>
      </c>
      <c r="L4530" s="0" t="s">
        <v>31</v>
      </c>
      <c r="M4530" s="0" t="s">
        <v>140</v>
      </c>
      <c r="N4530" s="0" t="n">
        <v>1626</v>
      </c>
      <c r="O4530" s="10" t="n">
        <v>0.416562560712919</v>
      </c>
      <c r="P4530" s="10" t="n">
        <v>0.526212359312922</v>
      </c>
      <c r="Q4530" s="0" t="str">
        <f aca="false">SUBSTITUTE(SUBSTITUTE($I4530,CHAR(61),""),CHAR(34),"")</f>
        <v>15-24</v>
      </c>
      <c r="R4530" s="0" t="str">
        <f aca="false">IF($D4530&lt;&gt;"","["&amp;$E4530&amp;"]"&amp;"|"&amp;$Q4530&amp;"|"&amp;$K4530&amp;"|"&amp;$G4530&amp;"|"&amp;IF($G4530="TX_CURR_SUBNAT.R","CY2022Q4",$M4530),"")</f>
        <v>[wNqJp8oRIcF]|15-24|Female|PMTCT_ART_SUBNAT.N.Already.T_1|CY2023Q3</v>
      </c>
    </row>
    <row r="4531" customFormat="false" ht="15" hidden="false" customHeight="false" outlineLevel="0" collapsed="false">
      <c r="D4531" s="0" t="s">
        <v>102</v>
      </c>
      <c r="E4531" s="0" t="s">
        <v>103</v>
      </c>
      <c r="F4531" s="0" t="s">
        <v>104</v>
      </c>
      <c r="G4531" s="0" t="s">
        <v>158</v>
      </c>
      <c r="H4531" s="0" t="s">
        <v>159</v>
      </c>
      <c r="I4531" s="0" t="s">
        <v>41</v>
      </c>
      <c r="J4531" s="0" t="s">
        <v>42</v>
      </c>
      <c r="K4531" s="0" t="s">
        <v>30</v>
      </c>
      <c r="L4531" s="0" t="s">
        <v>31</v>
      </c>
      <c r="M4531" s="0" t="s">
        <v>140</v>
      </c>
      <c r="N4531" s="0" t="n">
        <v>1913</v>
      </c>
      <c r="O4531" s="10" t="n">
        <v>0.883492905180901</v>
      </c>
      <c r="P4531" s="10" t="n">
        <v>0.526212359312922</v>
      </c>
      <c r="Q4531" s="0" t="str">
        <f aca="false">SUBSTITUTE(SUBSTITUTE($I4531,CHAR(61),""),CHAR(34),"")</f>
        <v>25-34</v>
      </c>
      <c r="R4531" s="0" t="str">
        <f aca="false">IF($D4531&lt;&gt;"","["&amp;$E4531&amp;"]"&amp;"|"&amp;$Q4531&amp;"|"&amp;$K4531&amp;"|"&amp;$G4531&amp;"|"&amp;IF($G4531="TX_CURR_SUBNAT.R","CY2022Q4",$M4531),"")</f>
        <v>[wNqJp8oRIcF]|25-34|Female|PMTCT_ART_SUBNAT.N.Already.T_1|CY2023Q3</v>
      </c>
    </row>
    <row r="4532" customFormat="false" ht="15" hidden="false" customHeight="false" outlineLevel="0" collapsed="false">
      <c r="D4532" s="0" t="s">
        <v>102</v>
      </c>
      <c r="E4532" s="0" t="s">
        <v>103</v>
      </c>
      <c r="F4532" s="0" t="s">
        <v>104</v>
      </c>
      <c r="G4532" s="0" t="s">
        <v>158</v>
      </c>
      <c r="H4532" s="0" t="s">
        <v>159</v>
      </c>
      <c r="I4532" s="0" t="s">
        <v>43</v>
      </c>
      <c r="J4532" s="0" t="s">
        <v>44</v>
      </c>
      <c r="K4532" s="0" t="s">
        <v>30</v>
      </c>
      <c r="L4532" s="0" t="s">
        <v>31</v>
      </c>
      <c r="M4532" s="0" t="s">
        <v>140</v>
      </c>
      <c r="N4532" s="0" t="n">
        <v>1752</v>
      </c>
      <c r="O4532" s="10" t="n">
        <v>0.53974302415736</v>
      </c>
      <c r="P4532" s="10" t="n">
        <v>0.526212359312922</v>
      </c>
      <c r="Q4532" s="0" t="str">
        <f aca="false">SUBSTITUTE(SUBSTITUTE($I4532,CHAR(61),""),CHAR(34),"")</f>
        <v>35-49</v>
      </c>
      <c r="R4532" s="0" t="str">
        <f aca="false">IF($D4532&lt;&gt;"","["&amp;$E4532&amp;"]"&amp;"|"&amp;$Q4532&amp;"|"&amp;$K4532&amp;"|"&amp;$G4532&amp;"|"&amp;IF($G4532="TX_CURR_SUBNAT.R","CY2022Q4",$M4532),"")</f>
        <v>[wNqJp8oRIcF]|35-49|Female|PMTCT_ART_SUBNAT.N.Already.T_1|CY2023Q3</v>
      </c>
    </row>
    <row r="4533" customFormat="false" ht="15" hidden="false" customHeight="false" outlineLevel="0" collapsed="false">
      <c r="D4533" s="0" t="s">
        <v>105</v>
      </c>
      <c r="E4533" s="0" t="s">
        <v>106</v>
      </c>
      <c r="F4533" s="0" t="s">
        <v>107</v>
      </c>
      <c r="G4533" s="0" t="s">
        <v>158</v>
      </c>
      <c r="H4533" s="0" t="s">
        <v>159</v>
      </c>
      <c r="I4533" s="0" t="s">
        <v>38</v>
      </c>
      <c r="J4533" s="0" t="s">
        <v>39</v>
      </c>
      <c r="K4533" s="0" t="s">
        <v>30</v>
      </c>
      <c r="L4533" s="0" t="s">
        <v>31</v>
      </c>
      <c r="M4533" s="0" t="s">
        <v>140</v>
      </c>
      <c r="N4533" s="0" t="n">
        <v>1531</v>
      </c>
      <c r="O4533" s="10" t="n">
        <v>0.819727434078231</v>
      </c>
      <c r="P4533" s="10" t="n">
        <v>0.218249560333788</v>
      </c>
      <c r="Q4533" s="0" t="str">
        <f aca="false">SUBSTITUTE(SUBSTITUTE($I4533,CHAR(61),""),CHAR(34),"")</f>
        <v>15-24</v>
      </c>
      <c r="R4533" s="0" t="str">
        <f aca="false">IF($D4533&lt;&gt;"","["&amp;$E4533&amp;"]"&amp;"|"&amp;$Q4533&amp;"|"&amp;$K4533&amp;"|"&amp;$G4533&amp;"|"&amp;IF($G4533="TX_CURR_SUBNAT.R","CY2022Q4",$M4533),"")</f>
        <v>[oiPR2CiVJbf]|15-24|Female|PMTCT_ART_SUBNAT.N.Already.T_1|CY2023Q3</v>
      </c>
    </row>
    <row r="4534" customFormat="false" ht="15" hidden="false" customHeight="false" outlineLevel="0" collapsed="false">
      <c r="D4534" s="0" t="s">
        <v>105</v>
      </c>
      <c r="E4534" s="0" t="s">
        <v>106</v>
      </c>
      <c r="F4534" s="0" t="s">
        <v>107</v>
      </c>
      <c r="G4534" s="0" t="s">
        <v>158</v>
      </c>
      <c r="H4534" s="0" t="s">
        <v>159</v>
      </c>
      <c r="I4534" s="0" t="s">
        <v>41</v>
      </c>
      <c r="J4534" s="0" t="s">
        <v>42</v>
      </c>
      <c r="K4534" s="0" t="s">
        <v>30</v>
      </c>
      <c r="L4534" s="0" t="s">
        <v>31</v>
      </c>
      <c r="M4534" s="0" t="s">
        <v>140</v>
      </c>
      <c r="N4534" s="0" t="n">
        <v>1487</v>
      </c>
      <c r="O4534" s="10" t="n">
        <v>0.727327124215662</v>
      </c>
      <c r="P4534" s="10" t="n">
        <v>0.218249560333788</v>
      </c>
      <c r="Q4534" s="0" t="str">
        <f aca="false">SUBSTITUTE(SUBSTITUTE($I4534,CHAR(61),""),CHAR(34),"")</f>
        <v>25-34</v>
      </c>
      <c r="R4534" s="0" t="str">
        <f aca="false">IF($D4534&lt;&gt;"","["&amp;$E4534&amp;"]"&amp;"|"&amp;$Q4534&amp;"|"&amp;$K4534&amp;"|"&amp;$G4534&amp;"|"&amp;IF($G4534="TX_CURR_SUBNAT.R","CY2022Q4",$M4534),"")</f>
        <v>[oiPR2CiVJbf]|25-34|Female|PMTCT_ART_SUBNAT.N.Already.T_1|CY2023Q3</v>
      </c>
    </row>
    <row r="4535" customFormat="false" ht="15" hidden="false" customHeight="false" outlineLevel="0" collapsed="false">
      <c r="D4535" s="0" t="s">
        <v>105</v>
      </c>
      <c r="E4535" s="0" t="s">
        <v>106</v>
      </c>
      <c r="F4535" s="0" t="s">
        <v>107</v>
      </c>
      <c r="G4535" s="0" t="s">
        <v>158</v>
      </c>
      <c r="H4535" s="0" t="s">
        <v>159</v>
      </c>
      <c r="I4535" s="0" t="s">
        <v>43</v>
      </c>
      <c r="J4535" s="0" t="s">
        <v>44</v>
      </c>
      <c r="K4535" s="0" t="s">
        <v>30</v>
      </c>
      <c r="L4535" s="0" t="s">
        <v>31</v>
      </c>
      <c r="M4535" s="0" t="s">
        <v>140</v>
      </c>
      <c r="N4535" s="0" t="n">
        <v>1256</v>
      </c>
      <c r="O4535" s="10" t="n">
        <v>0.468485630117357</v>
      </c>
      <c r="P4535" s="10" t="n">
        <v>0.218249560333788</v>
      </c>
      <c r="Q4535" s="0" t="str">
        <f aca="false">SUBSTITUTE(SUBSTITUTE($I4535,CHAR(61),""),CHAR(34),"")</f>
        <v>35-49</v>
      </c>
      <c r="R4535" s="0" t="str">
        <f aca="false">IF($D4535&lt;&gt;"","["&amp;$E4535&amp;"]"&amp;"|"&amp;$Q4535&amp;"|"&amp;$K4535&amp;"|"&amp;$G4535&amp;"|"&amp;IF($G4535="TX_CURR_SUBNAT.R","CY2022Q4",$M4535),"")</f>
        <v>[oiPR2CiVJbf]|35-49|Female|PMTCT_ART_SUBNAT.N.Already.T_1|CY2023Q3</v>
      </c>
    </row>
    <row r="4536" customFormat="false" ht="15" hidden="false" customHeight="false" outlineLevel="0" collapsed="false">
      <c r="D4536" s="0" t="s">
        <v>108</v>
      </c>
      <c r="E4536" s="0" t="s">
        <v>109</v>
      </c>
      <c r="F4536" s="0" t="s">
        <v>110</v>
      </c>
      <c r="G4536" s="0" t="s">
        <v>158</v>
      </c>
      <c r="H4536" s="0" t="s">
        <v>159</v>
      </c>
      <c r="I4536" s="0" t="s">
        <v>38</v>
      </c>
      <c r="J4536" s="0" t="s">
        <v>39</v>
      </c>
      <c r="K4536" s="0" t="s">
        <v>30</v>
      </c>
      <c r="L4536" s="0" t="s">
        <v>31</v>
      </c>
      <c r="M4536" s="0" t="s">
        <v>140</v>
      </c>
      <c r="N4536" s="0" t="n">
        <v>1414</v>
      </c>
      <c r="O4536" s="10" t="n">
        <v>0.489948332076892</v>
      </c>
      <c r="P4536" s="10" t="n">
        <v>0.434221804374829</v>
      </c>
      <c r="Q4536" s="0" t="str">
        <f aca="false">SUBSTITUTE(SUBSTITUTE($I4536,CHAR(61),""),CHAR(34),"")</f>
        <v>15-24</v>
      </c>
      <c r="R4536" s="0" t="str">
        <f aca="false">IF($D4536&lt;&gt;"","["&amp;$E4536&amp;"]"&amp;"|"&amp;$Q4536&amp;"|"&amp;$K4536&amp;"|"&amp;$G4536&amp;"|"&amp;IF($G4536="TX_CURR_SUBNAT.R","CY2022Q4",$M4536),"")</f>
        <v>[ul0y9diGujK]|15-24|Female|PMTCT_ART_SUBNAT.N.Already.T_1|CY2023Q3</v>
      </c>
    </row>
    <row r="4537" customFormat="false" ht="15" hidden="false" customHeight="false" outlineLevel="0" collapsed="false">
      <c r="D4537" s="0" t="s">
        <v>108</v>
      </c>
      <c r="E4537" s="0" t="s">
        <v>109</v>
      </c>
      <c r="F4537" s="0" t="s">
        <v>110</v>
      </c>
      <c r="G4537" s="0" t="s">
        <v>158</v>
      </c>
      <c r="H4537" s="0" t="s">
        <v>159</v>
      </c>
      <c r="I4537" s="0" t="s">
        <v>41</v>
      </c>
      <c r="J4537" s="0" t="s">
        <v>42</v>
      </c>
      <c r="K4537" s="0" t="s">
        <v>30</v>
      </c>
      <c r="L4537" s="0" t="s">
        <v>31</v>
      </c>
      <c r="M4537" s="0" t="s">
        <v>140</v>
      </c>
      <c r="N4537" s="0" t="n">
        <v>1074</v>
      </c>
      <c r="O4537" s="10" t="n">
        <v>0.758333793841302</v>
      </c>
      <c r="P4537" s="10" t="n">
        <v>0.434221804374829</v>
      </c>
      <c r="Q4537" s="0" t="str">
        <f aca="false">SUBSTITUTE(SUBSTITUTE($I4537,CHAR(61),""),CHAR(34),"")</f>
        <v>25-34</v>
      </c>
      <c r="R4537" s="0" t="str">
        <f aca="false">IF($D4537&lt;&gt;"","["&amp;$E4537&amp;"]"&amp;"|"&amp;$Q4537&amp;"|"&amp;$K4537&amp;"|"&amp;$G4537&amp;"|"&amp;IF($G4537="TX_CURR_SUBNAT.R","CY2022Q4",$M4537),"")</f>
        <v>[ul0y9diGujK]|25-34|Female|PMTCT_ART_SUBNAT.N.Already.T_1|CY2023Q3</v>
      </c>
    </row>
    <row r="4538" customFormat="false" ht="15" hidden="false" customHeight="false" outlineLevel="0" collapsed="false">
      <c r="D4538" s="0" t="s">
        <v>108</v>
      </c>
      <c r="E4538" s="0" t="s">
        <v>109</v>
      </c>
      <c r="F4538" s="0" t="s">
        <v>110</v>
      </c>
      <c r="G4538" s="0" t="s">
        <v>158</v>
      </c>
      <c r="H4538" s="0" t="s">
        <v>159</v>
      </c>
      <c r="I4538" s="0" t="s">
        <v>43</v>
      </c>
      <c r="J4538" s="0" t="s">
        <v>44</v>
      </c>
      <c r="K4538" s="0" t="s">
        <v>30</v>
      </c>
      <c r="L4538" s="0" t="s">
        <v>31</v>
      </c>
      <c r="M4538" s="0" t="s">
        <v>140</v>
      </c>
      <c r="N4538" s="0" t="n">
        <v>727</v>
      </c>
      <c r="O4538" s="10" t="n">
        <v>0.942001883406192</v>
      </c>
      <c r="P4538" s="10" t="n">
        <v>0.434221804374829</v>
      </c>
      <c r="Q4538" s="0" t="str">
        <f aca="false">SUBSTITUTE(SUBSTITUTE($I4538,CHAR(61),""),CHAR(34),"")</f>
        <v>35-49</v>
      </c>
      <c r="R4538" s="0" t="str">
        <f aca="false">IF($D4538&lt;&gt;"","["&amp;$E4538&amp;"]"&amp;"|"&amp;$Q4538&amp;"|"&amp;$K4538&amp;"|"&amp;$G4538&amp;"|"&amp;IF($G4538="TX_CURR_SUBNAT.R","CY2022Q4",$M4538),"")</f>
        <v>[ul0y9diGujK]|35-49|Female|PMTCT_ART_SUBNAT.N.Already.T_1|CY2023Q3</v>
      </c>
    </row>
    <row r="4539" customFormat="false" ht="15" hidden="false" customHeight="false" outlineLevel="0" collapsed="false">
      <c r="D4539" s="0" t="s">
        <v>111</v>
      </c>
      <c r="E4539" s="0" t="s">
        <v>112</v>
      </c>
      <c r="F4539" s="0" t="s">
        <v>113</v>
      </c>
      <c r="G4539" s="0" t="s">
        <v>158</v>
      </c>
      <c r="H4539" s="0" t="s">
        <v>159</v>
      </c>
      <c r="I4539" s="0" t="s">
        <v>38</v>
      </c>
      <c r="J4539" s="0" t="s">
        <v>39</v>
      </c>
      <c r="K4539" s="0" t="s">
        <v>30</v>
      </c>
      <c r="L4539" s="0" t="s">
        <v>31</v>
      </c>
      <c r="M4539" s="0" t="s">
        <v>140</v>
      </c>
      <c r="N4539" s="0" t="n">
        <v>1817</v>
      </c>
      <c r="O4539" s="10" t="n">
        <v>0.310916459187865</v>
      </c>
      <c r="P4539" s="10" t="n">
        <v>0.337768794968724</v>
      </c>
      <c r="Q4539" s="0" t="str">
        <f aca="false">SUBSTITUTE(SUBSTITUTE($I4539,CHAR(61),""),CHAR(34),"")</f>
        <v>15-24</v>
      </c>
      <c r="R4539" s="0" t="str">
        <f aca="false">IF($D4539&lt;&gt;"","["&amp;$E4539&amp;"]"&amp;"|"&amp;$Q4539&amp;"|"&amp;$K4539&amp;"|"&amp;$G4539&amp;"|"&amp;IF($G4539="TX_CURR_SUBNAT.R","CY2022Q4",$M4539),"")</f>
        <v>[U8c0so51kT6]|15-24|Female|PMTCT_ART_SUBNAT.N.Already.T_1|CY2023Q3</v>
      </c>
    </row>
    <row r="4540" customFormat="false" ht="15" hidden="false" customHeight="false" outlineLevel="0" collapsed="false">
      <c r="D4540" s="0" t="s">
        <v>111</v>
      </c>
      <c r="E4540" s="0" t="s">
        <v>112</v>
      </c>
      <c r="F4540" s="0" t="s">
        <v>113</v>
      </c>
      <c r="G4540" s="0" t="s">
        <v>158</v>
      </c>
      <c r="H4540" s="0" t="s">
        <v>159</v>
      </c>
      <c r="I4540" s="0" t="s">
        <v>41</v>
      </c>
      <c r="J4540" s="0" t="s">
        <v>42</v>
      </c>
      <c r="K4540" s="0" t="s">
        <v>30</v>
      </c>
      <c r="L4540" s="0" t="s">
        <v>31</v>
      </c>
      <c r="M4540" s="0" t="s">
        <v>140</v>
      </c>
      <c r="N4540" s="0" t="n">
        <v>506</v>
      </c>
      <c r="O4540" s="10" t="n">
        <v>0.0643141299951822</v>
      </c>
      <c r="P4540" s="10" t="n">
        <v>0.337768794968724</v>
      </c>
      <c r="Q4540" s="0" t="str">
        <f aca="false">SUBSTITUTE(SUBSTITUTE($I4540,CHAR(61),""),CHAR(34),"")</f>
        <v>25-34</v>
      </c>
      <c r="R4540" s="0" t="str">
        <f aca="false">IF($D4540&lt;&gt;"","["&amp;$E4540&amp;"]"&amp;"|"&amp;$Q4540&amp;"|"&amp;$K4540&amp;"|"&amp;$G4540&amp;"|"&amp;IF($G4540="TX_CURR_SUBNAT.R","CY2022Q4",$M4540),"")</f>
        <v>[U8c0so51kT6]|25-34|Female|PMTCT_ART_SUBNAT.N.Already.T_1|CY2023Q3</v>
      </c>
    </row>
    <row r="4541" customFormat="false" ht="15" hidden="false" customHeight="false" outlineLevel="0" collapsed="false">
      <c r="D4541" s="0" t="s">
        <v>111</v>
      </c>
      <c r="E4541" s="0" t="s">
        <v>112</v>
      </c>
      <c r="F4541" s="0" t="s">
        <v>113</v>
      </c>
      <c r="G4541" s="0" t="s">
        <v>158</v>
      </c>
      <c r="H4541" s="0" t="s">
        <v>159</v>
      </c>
      <c r="I4541" s="0" t="s">
        <v>43</v>
      </c>
      <c r="J4541" s="0" t="s">
        <v>44</v>
      </c>
      <c r="K4541" s="0" t="s">
        <v>30</v>
      </c>
      <c r="L4541" s="0" t="s">
        <v>31</v>
      </c>
      <c r="M4541" s="0" t="s">
        <v>140</v>
      </c>
      <c r="N4541" s="0" t="n">
        <v>1975</v>
      </c>
      <c r="O4541" s="10" t="n">
        <v>0.176988340215757</v>
      </c>
      <c r="P4541" s="10" t="n">
        <v>0.337768794968724</v>
      </c>
      <c r="Q4541" s="0" t="str">
        <f aca="false">SUBSTITUTE(SUBSTITUTE($I4541,CHAR(61),""),CHAR(34),"")</f>
        <v>35-49</v>
      </c>
      <c r="R4541" s="0" t="str">
        <f aca="false">IF($D4541&lt;&gt;"","["&amp;$E4541&amp;"]"&amp;"|"&amp;$Q4541&amp;"|"&amp;$K4541&amp;"|"&amp;$G4541&amp;"|"&amp;IF($G4541="TX_CURR_SUBNAT.R","CY2022Q4",$M4541),"")</f>
        <v>[U8c0so51kT6]|35-49|Female|PMTCT_ART_SUBNAT.N.Already.T_1|CY2023Q3</v>
      </c>
    </row>
    <row r="4542" customFormat="false" ht="15" hidden="false" customHeight="false" outlineLevel="0" collapsed="false">
      <c r="D4542" s="0" t="s">
        <v>114</v>
      </c>
      <c r="E4542" s="0" t="s">
        <v>115</v>
      </c>
      <c r="F4542" s="0" t="s">
        <v>116</v>
      </c>
      <c r="G4542" s="0" t="s">
        <v>158</v>
      </c>
      <c r="H4542" s="0" t="s">
        <v>159</v>
      </c>
      <c r="I4542" s="0" t="s">
        <v>38</v>
      </c>
      <c r="J4542" s="0" t="s">
        <v>39</v>
      </c>
      <c r="K4542" s="0" t="s">
        <v>30</v>
      </c>
      <c r="L4542" s="0" t="s">
        <v>31</v>
      </c>
      <c r="M4542" s="0" t="s">
        <v>140</v>
      </c>
      <c r="N4542" s="0" t="n">
        <v>1731</v>
      </c>
      <c r="O4542" s="10" t="n">
        <v>0.0792820826172829</v>
      </c>
      <c r="P4542" s="10" t="n">
        <v>0.298559809103608</v>
      </c>
      <c r="Q4542" s="0" t="str">
        <f aca="false">SUBSTITUTE(SUBSTITUTE($I4542,CHAR(61),""),CHAR(34),"")</f>
        <v>15-24</v>
      </c>
      <c r="R4542" s="0" t="str">
        <f aca="false">IF($D4542&lt;&gt;"","["&amp;$E4542&amp;"]"&amp;"|"&amp;$Q4542&amp;"|"&amp;$K4542&amp;"|"&amp;$G4542&amp;"|"&amp;IF($G4542="TX_CURR_SUBNAT.R","CY2022Q4",$M4542),"")</f>
        <v>[rpw540fmNUz]|15-24|Female|PMTCT_ART_SUBNAT.N.Already.T_1|CY2023Q3</v>
      </c>
    </row>
    <row r="4543" customFormat="false" ht="15" hidden="false" customHeight="false" outlineLevel="0" collapsed="false">
      <c r="D4543" s="0" t="s">
        <v>114</v>
      </c>
      <c r="E4543" s="0" t="s">
        <v>115</v>
      </c>
      <c r="F4543" s="0" t="s">
        <v>116</v>
      </c>
      <c r="G4543" s="0" t="s">
        <v>158</v>
      </c>
      <c r="H4543" s="0" t="s">
        <v>159</v>
      </c>
      <c r="I4543" s="0" t="s">
        <v>41</v>
      </c>
      <c r="J4543" s="0" t="s">
        <v>42</v>
      </c>
      <c r="K4543" s="0" t="s">
        <v>30</v>
      </c>
      <c r="L4543" s="0" t="s">
        <v>31</v>
      </c>
      <c r="M4543" s="0" t="s">
        <v>140</v>
      </c>
      <c r="N4543" s="0" t="n">
        <v>665</v>
      </c>
      <c r="O4543" s="10" t="n">
        <v>0.619634429225698</v>
      </c>
      <c r="P4543" s="10" t="n">
        <v>0.298559809103608</v>
      </c>
      <c r="Q4543" s="0" t="str">
        <f aca="false">SUBSTITUTE(SUBSTITUTE($I4543,CHAR(61),""),CHAR(34),"")</f>
        <v>25-34</v>
      </c>
      <c r="R4543" s="0" t="str">
        <f aca="false">IF($D4543&lt;&gt;"","["&amp;$E4543&amp;"]"&amp;"|"&amp;$Q4543&amp;"|"&amp;$K4543&amp;"|"&amp;$G4543&amp;"|"&amp;IF($G4543="TX_CURR_SUBNAT.R","CY2022Q4",$M4543),"")</f>
        <v>[rpw540fmNUz]|25-34|Female|PMTCT_ART_SUBNAT.N.Already.T_1|CY2023Q3</v>
      </c>
    </row>
    <row r="4544" customFormat="false" ht="15" hidden="false" customHeight="false" outlineLevel="0" collapsed="false">
      <c r="D4544" s="0" t="s">
        <v>114</v>
      </c>
      <c r="E4544" s="0" t="s">
        <v>115</v>
      </c>
      <c r="F4544" s="0" t="s">
        <v>116</v>
      </c>
      <c r="G4544" s="0" t="s">
        <v>158</v>
      </c>
      <c r="H4544" s="0" t="s">
        <v>159</v>
      </c>
      <c r="I4544" s="0" t="s">
        <v>43</v>
      </c>
      <c r="J4544" s="0" t="s">
        <v>44</v>
      </c>
      <c r="K4544" s="0" t="s">
        <v>30</v>
      </c>
      <c r="L4544" s="0" t="s">
        <v>31</v>
      </c>
      <c r="M4544" s="0" t="s">
        <v>140</v>
      </c>
      <c r="N4544" s="0" t="n">
        <v>1936</v>
      </c>
      <c r="O4544" s="10" t="n">
        <v>0.587860378203914</v>
      </c>
      <c r="P4544" s="10" t="n">
        <v>0.298559809103608</v>
      </c>
      <c r="Q4544" s="0" t="str">
        <f aca="false">SUBSTITUTE(SUBSTITUTE($I4544,CHAR(61),""),CHAR(34),"")</f>
        <v>35-49</v>
      </c>
      <c r="R4544" s="0" t="str">
        <f aca="false">IF($D4544&lt;&gt;"","["&amp;$E4544&amp;"]"&amp;"|"&amp;$Q4544&amp;"|"&amp;$K4544&amp;"|"&amp;$G4544&amp;"|"&amp;IF($G4544="TX_CURR_SUBNAT.R","CY2022Q4",$M4544),"")</f>
        <v>[rpw540fmNUz]|35-49|Female|PMTCT_ART_SUBNAT.N.Already.T_1|CY2023Q3</v>
      </c>
    </row>
    <row r="4545" customFormat="false" ht="15" hidden="false" customHeight="false" outlineLevel="0" collapsed="false">
      <c r="D4545" s="0" t="s">
        <v>117</v>
      </c>
      <c r="E4545" s="0" t="s">
        <v>118</v>
      </c>
      <c r="F4545" s="0" t="s">
        <v>119</v>
      </c>
      <c r="G4545" s="0" t="s">
        <v>158</v>
      </c>
      <c r="H4545" s="0" t="s">
        <v>159</v>
      </c>
      <c r="I4545" s="0" t="s">
        <v>38</v>
      </c>
      <c r="J4545" s="0" t="s">
        <v>39</v>
      </c>
      <c r="K4545" s="0" t="s">
        <v>30</v>
      </c>
      <c r="L4545" s="0" t="s">
        <v>31</v>
      </c>
      <c r="M4545" s="0" t="s">
        <v>140</v>
      </c>
      <c r="N4545" s="0" t="n">
        <v>1553</v>
      </c>
      <c r="O4545" s="10" t="n">
        <v>0.0814944638404995</v>
      </c>
      <c r="P4545" s="10" t="n">
        <v>0.206259709550068</v>
      </c>
      <c r="Q4545" s="0" t="str">
        <f aca="false">SUBSTITUTE(SUBSTITUTE($I4545,CHAR(61),""),CHAR(34),"")</f>
        <v>15-24</v>
      </c>
      <c r="R4545" s="0" t="str">
        <f aca="false">IF($D4545&lt;&gt;"","["&amp;$E4545&amp;"]"&amp;"|"&amp;$Q4545&amp;"|"&amp;$K4545&amp;"|"&amp;$G4545&amp;"|"&amp;IF($G4545="TX_CURR_SUBNAT.R","CY2022Q4",$M4545),"")</f>
        <v>[lPTyjLi4w3d]|15-24|Female|PMTCT_ART_SUBNAT.N.Already.T_1|CY2023Q3</v>
      </c>
    </row>
    <row r="4546" customFormat="false" ht="15" hidden="false" customHeight="false" outlineLevel="0" collapsed="false">
      <c r="D4546" s="0" t="s">
        <v>117</v>
      </c>
      <c r="E4546" s="0" t="s">
        <v>118</v>
      </c>
      <c r="F4546" s="0" t="s">
        <v>119</v>
      </c>
      <c r="G4546" s="0" t="s">
        <v>158</v>
      </c>
      <c r="H4546" s="0" t="s">
        <v>159</v>
      </c>
      <c r="I4546" s="0" t="s">
        <v>41</v>
      </c>
      <c r="J4546" s="0" t="s">
        <v>42</v>
      </c>
      <c r="K4546" s="0" t="s">
        <v>30</v>
      </c>
      <c r="L4546" s="0" t="s">
        <v>31</v>
      </c>
      <c r="M4546" s="0" t="s">
        <v>140</v>
      </c>
      <c r="N4546" s="0" t="n">
        <v>988</v>
      </c>
      <c r="O4546" s="10" t="n">
        <v>0.781659446423873</v>
      </c>
      <c r="P4546" s="10" t="n">
        <v>0.206259709550068</v>
      </c>
      <c r="Q4546" s="0" t="str">
        <f aca="false">SUBSTITUTE(SUBSTITUTE($I4546,CHAR(61),""),CHAR(34),"")</f>
        <v>25-34</v>
      </c>
      <c r="R4546" s="0" t="str">
        <f aca="false">IF($D4546&lt;&gt;"","["&amp;$E4546&amp;"]"&amp;"|"&amp;$Q4546&amp;"|"&amp;$K4546&amp;"|"&amp;$G4546&amp;"|"&amp;IF($G4546="TX_CURR_SUBNAT.R","CY2022Q4",$M4546),"")</f>
        <v>[lPTyjLi4w3d]|25-34|Female|PMTCT_ART_SUBNAT.N.Already.T_1|CY2023Q3</v>
      </c>
    </row>
    <row r="4547" customFormat="false" ht="15" hidden="false" customHeight="false" outlineLevel="0" collapsed="false">
      <c r="D4547" s="0" t="s">
        <v>117</v>
      </c>
      <c r="E4547" s="0" t="s">
        <v>118</v>
      </c>
      <c r="F4547" s="0" t="s">
        <v>119</v>
      </c>
      <c r="G4547" s="0" t="s">
        <v>158</v>
      </c>
      <c r="H4547" s="0" t="s">
        <v>159</v>
      </c>
      <c r="I4547" s="0" t="s">
        <v>43</v>
      </c>
      <c r="J4547" s="0" t="s">
        <v>44</v>
      </c>
      <c r="K4547" s="0" t="s">
        <v>30</v>
      </c>
      <c r="L4547" s="0" t="s">
        <v>31</v>
      </c>
      <c r="M4547" s="0" t="s">
        <v>140</v>
      </c>
      <c r="N4547" s="0" t="n">
        <v>1069</v>
      </c>
      <c r="O4547" s="10" t="n">
        <v>0.0883144112303853</v>
      </c>
      <c r="P4547" s="10" t="n">
        <v>0.206259709550068</v>
      </c>
      <c r="Q4547" s="0" t="str">
        <f aca="false">SUBSTITUTE(SUBSTITUTE($I4547,CHAR(61),""),CHAR(34),"")</f>
        <v>35-49</v>
      </c>
      <c r="R4547" s="0" t="str">
        <f aca="false">IF($D4547&lt;&gt;"","["&amp;$E4547&amp;"]"&amp;"|"&amp;$Q4547&amp;"|"&amp;$K4547&amp;"|"&amp;$G4547&amp;"|"&amp;IF($G4547="TX_CURR_SUBNAT.R","CY2022Q4",$M4547),"")</f>
        <v>[lPTyjLi4w3d]|35-49|Female|PMTCT_ART_SUBNAT.N.Already.T_1|CY2023Q3</v>
      </c>
    </row>
    <row r="4548" customFormat="false" ht="15" hidden="false" customHeight="false" outlineLevel="0" collapsed="false">
      <c r="D4548" s="0" t="s">
        <v>120</v>
      </c>
      <c r="E4548" s="0" t="s">
        <v>121</v>
      </c>
      <c r="F4548" s="0" t="s">
        <v>122</v>
      </c>
      <c r="G4548" s="0" t="s">
        <v>158</v>
      </c>
      <c r="H4548" s="0" t="s">
        <v>159</v>
      </c>
      <c r="I4548" s="0" t="s">
        <v>38</v>
      </c>
      <c r="J4548" s="0" t="s">
        <v>39</v>
      </c>
      <c r="K4548" s="0" t="s">
        <v>30</v>
      </c>
      <c r="L4548" s="0" t="s">
        <v>31</v>
      </c>
      <c r="M4548" s="0" t="s">
        <v>140</v>
      </c>
      <c r="N4548" s="0" t="n">
        <v>1563</v>
      </c>
      <c r="O4548" s="10" t="n">
        <v>0.510210295207798</v>
      </c>
      <c r="P4548" s="10" t="n">
        <v>0.430103979306296</v>
      </c>
      <c r="Q4548" s="0" t="str">
        <f aca="false">SUBSTITUTE(SUBSTITUTE($I4548,CHAR(61),""),CHAR(34),"")</f>
        <v>15-24</v>
      </c>
      <c r="R4548" s="0" t="str">
        <f aca="false">IF($D4548&lt;&gt;"","["&amp;$E4548&amp;"]"&amp;"|"&amp;$Q4548&amp;"|"&amp;$K4548&amp;"|"&amp;$G4548&amp;"|"&amp;IF($G4548="TX_CURR_SUBNAT.R","CY2022Q4",$M4548),"")</f>
        <v>[vA4NcHxfMBq]|15-24|Female|PMTCT_ART_SUBNAT.N.Already.T_1|CY2023Q3</v>
      </c>
    </row>
    <row r="4549" customFormat="false" ht="15" hidden="false" customHeight="false" outlineLevel="0" collapsed="false">
      <c r="D4549" s="0" t="s">
        <v>120</v>
      </c>
      <c r="E4549" s="0" t="s">
        <v>121</v>
      </c>
      <c r="F4549" s="0" t="s">
        <v>122</v>
      </c>
      <c r="G4549" s="0" t="s">
        <v>158</v>
      </c>
      <c r="H4549" s="0" t="s">
        <v>159</v>
      </c>
      <c r="I4549" s="0" t="s">
        <v>41</v>
      </c>
      <c r="J4549" s="0" t="s">
        <v>42</v>
      </c>
      <c r="K4549" s="0" t="s">
        <v>30</v>
      </c>
      <c r="L4549" s="0" t="s">
        <v>31</v>
      </c>
      <c r="M4549" s="0" t="s">
        <v>140</v>
      </c>
      <c r="N4549" s="0" t="n">
        <v>1446</v>
      </c>
      <c r="O4549" s="10" t="n">
        <v>0.86381941055879</v>
      </c>
      <c r="P4549" s="10" t="n">
        <v>0.430103979306296</v>
      </c>
      <c r="Q4549" s="0" t="str">
        <f aca="false">SUBSTITUTE(SUBSTITUTE($I4549,CHAR(61),""),CHAR(34),"")</f>
        <v>25-34</v>
      </c>
      <c r="R4549" s="0" t="str">
        <f aca="false">IF($D4549&lt;&gt;"","["&amp;$E4549&amp;"]"&amp;"|"&amp;$Q4549&amp;"|"&amp;$K4549&amp;"|"&amp;$G4549&amp;"|"&amp;IF($G4549="TX_CURR_SUBNAT.R","CY2022Q4",$M4549),"")</f>
        <v>[vA4NcHxfMBq]|25-34|Female|PMTCT_ART_SUBNAT.N.Already.T_1|CY2023Q3</v>
      </c>
    </row>
    <row r="4550" customFormat="false" ht="15" hidden="false" customHeight="false" outlineLevel="0" collapsed="false">
      <c r="D4550" s="0" t="s">
        <v>120</v>
      </c>
      <c r="E4550" s="0" t="s">
        <v>121</v>
      </c>
      <c r="F4550" s="0" t="s">
        <v>122</v>
      </c>
      <c r="G4550" s="0" t="s">
        <v>158</v>
      </c>
      <c r="H4550" s="0" t="s">
        <v>159</v>
      </c>
      <c r="I4550" s="0" t="s">
        <v>43</v>
      </c>
      <c r="J4550" s="0" t="s">
        <v>44</v>
      </c>
      <c r="K4550" s="0" t="s">
        <v>30</v>
      </c>
      <c r="L4550" s="0" t="s">
        <v>31</v>
      </c>
      <c r="M4550" s="0" t="s">
        <v>140</v>
      </c>
      <c r="N4550" s="0" t="n">
        <v>1924</v>
      </c>
      <c r="O4550" s="10" t="n">
        <v>0.436012588208541</v>
      </c>
      <c r="P4550" s="10" t="n">
        <v>0.430103979306296</v>
      </c>
      <c r="Q4550" s="0" t="str">
        <f aca="false">SUBSTITUTE(SUBSTITUTE($I4550,CHAR(61),""),CHAR(34),"")</f>
        <v>35-49</v>
      </c>
      <c r="R4550" s="0" t="str">
        <f aca="false">IF($D4550&lt;&gt;"","["&amp;$E4550&amp;"]"&amp;"|"&amp;$Q4550&amp;"|"&amp;$K4550&amp;"|"&amp;$G4550&amp;"|"&amp;IF($G4550="TX_CURR_SUBNAT.R","CY2022Q4",$M4550),"")</f>
        <v>[vA4NcHxfMBq]|35-49|Female|PMTCT_ART_SUBNAT.N.Already.T_1|CY2023Q3</v>
      </c>
    </row>
    <row r="4551" customFormat="false" ht="15" hidden="false" customHeight="false" outlineLevel="0" collapsed="false">
      <c r="D4551" s="0" t="s">
        <v>123</v>
      </c>
      <c r="E4551" s="0" t="s">
        <v>124</v>
      </c>
      <c r="F4551" s="0" t="s">
        <v>125</v>
      </c>
      <c r="G4551" s="0" t="s">
        <v>158</v>
      </c>
      <c r="H4551" s="0" t="s">
        <v>159</v>
      </c>
      <c r="I4551" s="0" t="s">
        <v>38</v>
      </c>
      <c r="J4551" s="0" t="s">
        <v>39</v>
      </c>
      <c r="K4551" s="0" t="s">
        <v>30</v>
      </c>
      <c r="L4551" s="0" t="s">
        <v>31</v>
      </c>
      <c r="M4551" s="0" t="s">
        <v>140</v>
      </c>
      <c r="N4551" s="0" t="n">
        <v>658</v>
      </c>
      <c r="O4551" s="10" t="n">
        <v>0.700657172128558</v>
      </c>
      <c r="P4551" s="10" t="n">
        <v>0.419500603340566</v>
      </c>
      <c r="Q4551" s="0" t="str">
        <f aca="false">SUBSTITUTE(SUBSTITUTE($I4551,CHAR(61),""),CHAR(34),"")</f>
        <v>15-24</v>
      </c>
      <c r="R4551" s="0" t="str">
        <f aca="false">IF($D4551&lt;&gt;"","["&amp;$E4551&amp;"]"&amp;"|"&amp;$Q4551&amp;"|"&amp;$K4551&amp;"|"&amp;$G4551&amp;"|"&amp;IF($G4551="TX_CURR_SUBNAT.R","CY2022Q4",$M4551),"")</f>
        <v>[E7zpfyBt7Tw]|15-24|Female|PMTCT_ART_SUBNAT.N.Already.T_1|CY2023Q3</v>
      </c>
    </row>
    <row r="4552" customFormat="false" ht="15" hidden="false" customHeight="false" outlineLevel="0" collapsed="false">
      <c r="D4552" s="0" t="s">
        <v>123</v>
      </c>
      <c r="E4552" s="0" t="s">
        <v>124</v>
      </c>
      <c r="F4552" s="0" t="s">
        <v>125</v>
      </c>
      <c r="G4552" s="0" t="s">
        <v>158</v>
      </c>
      <c r="H4552" s="0" t="s">
        <v>159</v>
      </c>
      <c r="I4552" s="0" t="s">
        <v>41</v>
      </c>
      <c r="J4552" s="0" t="s">
        <v>42</v>
      </c>
      <c r="K4552" s="0" t="s">
        <v>30</v>
      </c>
      <c r="L4552" s="0" t="s">
        <v>31</v>
      </c>
      <c r="M4552" s="0" t="s">
        <v>140</v>
      </c>
      <c r="N4552" s="0" t="n">
        <v>978</v>
      </c>
      <c r="O4552" s="10" t="n">
        <v>0.0557746107224375</v>
      </c>
      <c r="P4552" s="10" t="n">
        <v>0.419500603340566</v>
      </c>
      <c r="Q4552" s="0" t="str">
        <f aca="false">SUBSTITUTE(SUBSTITUTE($I4552,CHAR(61),""),CHAR(34),"")</f>
        <v>25-34</v>
      </c>
      <c r="R4552" s="0" t="str">
        <f aca="false">IF($D4552&lt;&gt;"","["&amp;$E4552&amp;"]"&amp;"|"&amp;$Q4552&amp;"|"&amp;$K4552&amp;"|"&amp;$G4552&amp;"|"&amp;IF($G4552="TX_CURR_SUBNAT.R","CY2022Q4",$M4552),"")</f>
        <v>[E7zpfyBt7Tw]|25-34|Female|PMTCT_ART_SUBNAT.N.Already.T_1|CY2023Q3</v>
      </c>
    </row>
    <row r="4553" customFormat="false" ht="15" hidden="false" customHeight="false" outlineLevel="0" collapsed="false">
      <c r="D4553" s="0" t="s">
        <v>123</v>
      </c>
      <c r="E4553" s="0" t="s">
        <v>124</v>
      </c>
      <c r="F4553" s="0" t="s">
        <v>125</v>
      </c>
      <c r="G4553" s="0" t="s">
        <v>158</v>
      </c>
      <c r="H4553" s="0" t="s">
        <v>159</v>
      </c>
      <c r="I4553" s="0" t="s">
        <v>43</v>
      </c>
      <c r="J4553" s="0" t="s">
        <v>44</v>
      </c>
      <c r="K4553" s="0" t="s">
        <v>30</v>
      </c>
      <c r="L4553" s="0" t="s">
        <v>31</v>
      </c>
      <c r="M4553" s="0" t="s">
        <v>140</v>
      </c>
      <c r="N4553" s="0" t="n">
        <v>1462</v>
      </c>
      <c r="O4553" s="10" t="n">
        <v>0.381018491229042</v>
      </c>
      <c r="P4553" s="10" t="n">
        <v>0.419500603340566</v>
      </c>
      <c r="Q4553" s="0" t="str">
        <f aca="false">SUBSTITUTE(SUBSTITUTE($I4553,CHAR(61),""),CHAR(34),"")</f>
        <v>35-49</v>
      </c>
      <c r="R4553" s="0" t="str">
        <f aca="false">IF($D4553&lt;&gt;"","["&amp;$E4553&amp;"]"&amp;"|"&amp;$Q4553&amp;"|"&amp;$K4553&amp;"|"&amp;$G4553&amp;"|"&amp;IF($G4553="TX_CURR_SUBNAT.R","CY2022Q4",$M4553),"")</f>
        <v>[E7zpfyBt7Tw]|35-49|Female|PMTCT_ART_SUBNAT.N.Already.T_1|CY2023Q3</v>
      </c>
    </row>
    <row r="4554" customFormat="false" ht="15" hidden="false" customHeight="false" outlineLevel="0" collapsed="false">
      <c r="D4554" s="0" t="s">
        <v>126</v>
      </c>
      <c r="E4554" s="0" t="s">
        <v>127</v>
      </c>
      <c r="F4554" s="0" t="s">
        <v>128</v>
      </c>
      <c r="G4554" s="0" t="s">
        <v>158</v>
      </c>
      <c r="H4554" s="0" t="s">
        <v>159</v>
      </c>
      <c r="I4554" s="0" t="s">
        <v>38</v>
      </c>
      <c r="J4554" s="0" t="s">
        <v>39</v>
      </c>
      <c r="K4554" s="0" t="s">
        <v>30</v>
      </c>
      <c r="L4554" s="0" t="s">
        <v>31</v>
      </c>
      <c r="M4554" s="0" t="s">
        <v>140</v>
      </c>
      <c r="N4554" s="0" t="n">
        <v>1572</v>
      </c>
      <c r="O4554" s="10" t="n">
        <v>0.891793834045529</v>
      </c>
      <c r="P4554" s="10" t="n">
        <v>0.252706390339881</v>
      </c>
      <c r="Q4554" s="0" t="str">
        <f aca="false">SUBSTITUTE(SUBSTITUTE($I4554,CHAR(61),""),CHAR(34),"")</f>
        <v>15-24</v>
      </c>
      <c r="R4554" s="0" t="str">
        <f aca="false">IF($D4554&lt;&gt;"","["&amp;$E4554&amp;"]"&amp;"|"&amp;$Q4554&amp;"|"&amp;$K4554&amp;"|"&amp;$G4554&amp;"|"&amp;IF($G4554="TX_CURR_SUBNAT.R","CY2022Q4",$M4554),"")</f>
        <v>[ZCjuwgaMB9u]|15-24|Female|PMTCT_ART_SUBNAT.N.Already.T_1|CY2023Q3</v>
      </c>
    </row>
    <row r="4555" customFormat="false" ht="15" hidden="false" customHeight="false" outlineLevel="0" collapsed="false">
      <c r="D4555" s="0" t="s">
        <v>126</v>
      </c>
      <c r="E4555" s="0" t="s">
        <v>127</v>
      </c>
      <c r="F4555" s="0" t="s">
        <v>128</v>
      </c>
      <c r="G4555" s="0" t="s">
        <v>158</v>
      </c>
      <c r="H4555" s="0" t="s">
        <v>159</v>
      </c>
      <c r="I4555" s="0" t="s">
        <v>41</v>
      </c>
      <c r="J4555" s="0" t="s">
        <v>42</v>
      </c>
      <c r="K4555" s="0" t="s">
        <v>30</v>
      </c>
      <c r="L4555" s="0" t="s">
        <v>31</v>
      </c>
      <c r="M4555" s="0" t="s">
        <v>140</v>
      </c>
      <c r="N4555" s="0" t="n">
        <v>994</v>
      </c>
      <c r="O4555" s="10" t="n">
        <v>0.521729375701398</v>
      </c>
      <c r="P4555" s="10" t="n">
        <v>0.252706390339881</v>
      </c>
      <c r="Q4555" s="0" t="str">
        <f aca="false">SUBSTITUTE(SUBSTITUTE($I4555,CHAR(61),""),CHAR(34),"")</f>
        <v>25-34</v>
      </c>
      <c r="R4555" s="0" t="str">
        <f aca="false">IF($D4555&lt;&gt;"","["&amp;$E4555&amp;"]"&amp;"|"&amp;$Q4555&amp;"|"&amp;$K4555&amp;"|"&amp;$G4555&amp;"|"&amp;IF($G4555="TX_CURR_SUBNAT.R","CY2022Q4",$M4555),"")</f>
        <v>[ZCjuwgaMB9u]|25-34|Female|PMTCT_ART_SUBNAT.N.Already.T_1|CY2023Q3</v>
      </c>
    </row>
    <row r="4556" customFormat="false" ht="15" hidden="false" customHeight="false" outlineLevel="0" collapsed="false">
      <c r="D4556" s="0" t="s">
        <v>126</v>
      </c>
      <c r="E4556" s="0" t="s">
        <v>127</v>
      </c>
      <c r="F4556" s="0" t="s">
        <v>128</v>
      </c>
      <c r="G4556" s="0" t="s">
        <v>158</v>
      </c>
      <c r="H4556" s="0" t="s">
        <v>159</v>
      </c>
      <c r="I4556" s="0" t="s">
        <v>43</v>
      </c>
      <c r="J4556" s="0" t="s">
        <v>44</v>
      </c>
      <c r="K4556" s="0" t="s">
        <v>30</v>
      </c>
      <c r="L4556" s="0" t="s">
        <v>31</v>
      </c>
      <c r="M4556" s="0" t="s">
        <v>140</v>
      </c>
      <c r="N4556" s="0" t="n">
        <v>953</v>
      </c>
      <c r="O4556" s="10" t="n">
        <v>0.561017621075734</v>
      </c>
      <c r="P4556" s="10" t="n">
        <v>0.252706390339881</v>
      </c>
      <c r="Q4556" s="0" t="str">
        <f aca="false">SUBSTITUTE(SUBSTITUTE($I4556,CHAR(61),""),CHAR(34),"")</f>
        <v>35-49</v>
      </c>
      <c r="R4556" s="0" t="str">
        <f aca="false">IF($D4556&lt;&gt;"","["&amp;$E4556&amp;"]"&amp;"|"&amp;$Q4556&amp;"|"&amp;$K4556&amp;"|"&amp;$G4556&amp;"|"&amp;IF($G4556="TX_CURR_SUBNAT.R","CY2022Q4",$M4556),"")</f>
        <v>[ZCjuwgaMB9u]|35-49|Female|PMTCT_ART_SUBNAT.N.Already.T_1|CY2023Q3</v>
      </c>
    </row>
    <row r="4557" customFormat="false" ht="15" hidden="false" customHeight="false" outlineLevel="0" collapsed="false">
      <c r="D4557" s="0" t="s">
        <v>129</v>
      </c>
      <c r="E4557" s="0" t="s">
        <v>130</v>
      </c>
      <c r="F4557" s="0" t="s">
        <v>131</v>
      </c>
      <c r="G4557" s="0" t="s">
        <v>158</v>
      </c>
      <c r="H4557" s="0" t="s">
        <v>159</v>
      </c>
      <c r="I4557" s="0" t="s">
        <v>38</v>
      </c>
      <c r="J4557" s="0" t="s">
        <v>39</v>
      </c>
      <c r="K4557" s="0" t="s">
        <v>30</v>
      </c>
      <c r="L4557" s="0" t="s">
        <v>31</v>
      </c>
      <c r="M4557" s="0" t="s">
        <v>140</v>
      </c>
      <c r="N4557" s="0" t="n">
        <v>869</v>
      </c>
      <c r="O4557" s="10" t="n">
        <v>0.439149162266403</v>
      </c>
      <c r="P4557" s="10" t="n">
        <v>0.556908084778115</v>
      </c>
      <c r="Q4557" s="0" t="str">
        <f aca="false">SUBSTITUTE(SUBSTITUTE($I4557,CHAR(61),""),CHAR(34),"")</f>
        <v>15-24</v>
      </c>
      <c r="R4557" s="0" t="str">
        <f aca="false">IF($D4557&lt;&gt;"","["&amp;$E4557&amp;"]"&amp;"|"&amp;$Q4557&amp;"|"&amp;$K4557&amp;"|"&amp;$G4557&amp;"|"&amp;IF($G4557="TX_CURR_SUBNAT.R","CY2022Q4",$M4557),"")</f>
        <v>[YCKiBAp8QAg]|15-24|Female|PMTCT_ART_SUBNAT.N.Already.T_1|CY2023Q3</v>
      </c>
    </row>
    <row r="4558" customFormat="false" ht="15" hidden="false" customHeight="false" outlineLevel="0" collapsed="false">
      <c r="D4558" s="0" t="s">
        <v>129</v>
      </c>
      <c r="E4558" s="0" t="s">
        <v>130</v>
      </c>
      <c r="F4558" s="0" t="s">
        <v>131</v>
      </c>
      <c r="G4558" s="0" t="s">
        <v>158</v>
      </c>
      <c r="H4558" s="0" t="s">
        <v>159</v>
      </c>
      <c r="I4558" s="0" t="s">
        <v>41</v>
      </c>
      <c r="J4558" s="0" t="s">
        <v>42</v>
      </c>
      <c r="K4558" s="0" t="s">
        <v>30</v>
      </c>
      <c r="L4558" s="0" t="s">
        <v>31</v>
      </c>
      <c r="M4558" s="0" t="s">
        <v>140</v>
      </c>
      <c r="N4558" s="0" t="n">
        <v>1362</v>
      </c>
      <c r="O4558" s="10" t="n">
        <v>0.567142960382625</v>
      </c>
      <c r="P4558" s="10" t="n">
        <v>0.556908084778115</v>
      </c>
      <c r="Q4558" s="0" t="str">
        <f aca="false">SUBSTITUTE(SUBSTITUTE($I4558,CHAR(61),""),CHAR(34),"")</f>
        <v>25-34</v>
      </c>
      <c r="R4558" s="0" t="str">
        <f aca="false">IF($D4558&lt;&gt;"","["&amp;$E4558&amp;"]"&amp;"|"&amp;$Q4558&amp;"|"&amp;$K4558&amp;"|"&amp;$G4558&amp;"|"&amp;IF($G4558="TX_CURR_SUBNAT.R","CY2022Q4",$M4558),"")</f>
        <v>[YCKiBAp8QAg]|25-34|Female|PMTCT_ART_SUBNAT.N.Already.T_1|CY2023Q3</v>
      </c>
    </row>
    <row r="4559" customFormat="false" ht="15" hidden="false" customHeight="false" outlineLevel="0" collapsed="false">
      <c r="D4559" s="0" t="s">
        <v>129</v>
      </c>
      <c r="E4559" s="0" t="s">
        <v>130</v>
      </c>
      <c r="F4559" s="0" t="s">
        <v>131</v>
      </c>
      <c r="G4559" s="0" t="s">
        <v>158</v>
      </c>
      <c r="H4559" s="0" t="s">
        <v>159</v>
      </c>
      <c r="I4559" s="0" t="s">
        <v>43</v>
      </c>
      <c r="J4559" s="0" t="s">
        <v>44</v>
      </c>
      <c r="K4559" s="0" t="s">
        <v>30</v>
      </c>
      <c r="L4559" s="0" t="s">
        <v>31</v>
      </c>
      <c r="M4559" s="0" t="s">
        <v>140</v>
      </c>
      <c r="N4559" s="0" t="n">
        <v>1611</v>
      </c>
      <c r="O4559" s="10" t="n">
        <v>0.562715116422623</v>
      </c>
      <c r="P4559" s="10" t="n">
        <v>0.556908084778115</v>
      </c>
      <c r="Q4559" s="0" t="str">
        <f aca="false">SUBSTITUTE(SUBSTITUTE($I4559,CHAR(61),""),CHAR(34),"")</f>
        <v>35-49</v>
      </c>
      <c r="R4559" s="0" t="str">
        <f aca="false">IF($D4559&lt;&gt;"","["&amp;$E4559&amp;"]"&amp;"|"&amp;$Q4559&amp;"|"&amp;$K4559&amp;"|"&amp;$G4559&amp;"|"&amp;IF($G4559="TX_CURR_SUBNAT.R","CY2022Q4",$M4559),"")</f>
        <v>[YCKiBAp8QAg]|35-49|Female|PMTCT_ART_SUBNAT.N.Already.T_1|CY2023Q3</v>
      </c>
    </row>
    <row r="4560" customFormat="false" ht="15" hidden="false" customHeight="false" outlineLevel="0" collapsed="false">
      <c r="D4560" s="0" t="s">
        <v>132</v>
      </c>
      <c r="E4560" s="0" t="s">
        <v>133</v>
      </c>
      <c r="F4560" s="0" t="s">
        <v>134</v>
      </c>
      <c r="G4560" s="0" t="s">
        <v>158</v>
      </c>
      <c r="H4560" s="0" t="s">
        <v>159</v>
      </c>
      <c r="I4560" s="0" t="s">
        <v>38</v>
      </c>
      <c r="J4560" s="0" t="s">
        <v>39</v>
      </c>
      <c r="K4560" s="0" t="s">
        <v>30</v>
      </c>
      <c r="L4560" s="0" t="s">
        <v>31</v>
      </c>
      <c r="M4560" s="0" t="s">
        <v>140</v>
      </c>
      <c r="N4560" s="0" t="n">
        <v>911</v>
      </c>
      <c r="O4560" s="10" t="n">
        <v>0.142814313527197</v>
      </c>
      <c r="P4560" s="10" t="n">
        <v>0.162863194011152</v>
      </c>
      <c r="Q4560" s="0" t="str">
        <f aca="false">SUBSTITUTE(SUBSTITUTE($I4560,CHAR(61),""),CHAR(34),"")</f>
        <v>15-24</v>
      </c>
      <c r="R4560" s="0" t="str">
        <f aca="false">IF($D4560&lt;&gt;"","["&amp;$E4560&amp;"]"&amp;"|"&amp;$Q4560&amp;"|"&amp;$K4560&amp;"|"&amp;$G4560&amp;"|"&amp;IF($G4560="TX_CURR_SUBNAT.R","CY2022Q4",$M4560),"")</f>
        <v>[JQKLKuVuY61]|15-24|Female|PMTCT_ART_SUBNAT.N.Already.T_1|CY2023Q3</v>
      </c>
    </row>
    <row r="4561" customFormat="false" ht="15" hidden="false" customHeight="false" outlineLevel="0" collapsed="false">
      <c r="D4561" s="0" t="s">
        <v>132</v>
      </c>
      <c r="E4561" s="0" t="s">
        <v>133</v>
      </c>
      <c r="F4561" s="0" t="s">
        <v>134</v>
      </c>
      <c r="G4561" s="0" t="s">
        <v>158</v>
      </c>
      <c r="H4561" s="0" t="s">
        <v>159</v>
      </c>
      <c r="I4561" s="0" t="s">
        <v>41</v>
      </c>
      <c r="J4561" s="0" t="s">
        <v>42</v>
      </c>
      <c r="K4561" s="0" t="s">
        <v>30</v>
      </c>
      <c r="L4561" s="0" t="s">
        <v>31</v>
      </c>
      <c r="M4561" s="0" t="s">
        <v>140</v>
      </c>
      <c r="N4561" s="0" t="n">
        <v>957</v>
      </c>
      <c r="O4561" s="10" t="n">
        <v>0.782238591928035</v>
      </c>
      <c r="P4561" s="10" t="n">
        <v>0.162863194011152</v>
      </c>
      <c r="Q4561" s="0" t="str">
        <f aca="false">SUBSTITUTE(SUBSTITUTE($I4561,CHAR(61),""),CHAR(34),"")</f>
        <v>25-34</v>
      </c>
      <c r="R4561" s="0" t="str">
        <f aca="false">IF($D4561&lt;&gt;"","["&amp;$E4561&amp;"]"&amp;"|"&amp;$Q4561&amp;"|"&amp;$K4561&amp;"|"&amp;$G4561&amp;"|"&amp;IF($G4561="TX_CURR_SUBNAT.R","CY2022Q4",$M4561),"")</f>
        <v>[JQKLKuVuY61]|25-34|Female|PMTCT_ART_SUBNAT.N.Already.T_1|CY2023Q3</v>
      </c>
    </row>
    <row r="4562" customFormat="false" ht="15" hidden="false" customHeight="false" outlineLevel="0" collapsed="false">
      <c r="D4562" s="0" t="s">
        <v>132</v>
      </c>
      <c r="E4562" s="0" t="s">
        <v>133</v>
      </c>
      <c r="F4562" s="0" t="s">
        <v>134</v>
      </c>
      <c r="G4562" s="0" t="s">
        <v>158</v>
      </c>
      <c r="H4562" s="0" t="s">
        <v>159</v>
      </c>
      <c r="I4562" s="0" t="s">
        <v>43</v>
      </c>
      <c r="J4562" s="0" t="s">
        <v>44</v>
      </c>
      <c r="K4562" s="0" t="s">
        <v>30</v>
      </c>
      <c r="L4562" s="0" t="s">
        <v>31</v>
      </c>
      <c r="M4562" s="0" t="s">
        <v>140</v>
      </c>
      <c r="N4562" s="0" t="n">
        <v>1109</v>
      </c>
      <c r="O4562" s="10" t="n">
        <v>0.0965161947533488</v>
      </c>
      <c r="P4562" s="10" t="n">
        <v>0.162863194011152</v>
      </c>
      <c r="Q4562" s="0" t="str">
        <f aca="false">SUBSTITUTE(SUBSTITUTE($I4562,CHAR(61),""),CHAR(34),"")</f>
        <v>35-49</v>
      </c>
      <c r="R4562" s="0" t="str">
        <f aca="false">IF($D4562&lt;&gt;"","["&amp;$E4562&amp;"]"&amp;"|"&amp;$Q4562&amp;"|"&amp;$K4562&amp;"|"&amp;$G4562&amp;"|"&amp;IF($G4562="TX_CURR_SUBNAT.R","CY2022Q4",$M4562),"")</f>
        <v>[JQKLKuVuY61]|35-49|Female|PMTCT_ART_SUBNAT.N.Already.T_1|CY2023Q3</v>
      </c>
    </row>
    <row r="4563" customFormat="false" ht="15" hidden="false" customHeight="false" outlineLevel="0" collapsed="false">
      <c r="D4563" s="0" t="s">
        <v>135</v>
      </c>
      <c r="E4563" s="0" t="s">
        <v>136</v>
      </c>
      <c r="F4563" s="0" t="s">
        <v>137</v>
      </c>
      <c r="G4563" s="0" t="s">
        <v>158</v>
      </c>
      <c r="H4563" s="0" t="s">
        <v>159</v>
      </c>
      <c r="I4563" s="0" t="s">
        <v>38</v>
      </c>
      <c r="J4563" s="0" t="s">
        <v>39</v>
      </c>
      <c r="K4563" s="0" t="s">
        <v>30</v>
      </c>
      <c r="L4563" s="0" t="s">
        <v>31</v>
      </c>
      <c r="M4563" s="0" t="s">
        <v>140</v>
      </c>
      <c r="N4563" s="0" t="n">
        <v>1254</v>
      </c>
      <c r="O4563" s="10" t="n">
        <v>0.971607431070879</v>
      </c>
      <c r="P4563" s="10" t="n">
        <v>0.955300528323278</v>
      </c>
      <c r="Q4563" s="0" t="str">
        <f aca="false">SUBSTITUTE(SUBSTITUTE($I4563,CHAR(61),""),CHAR(34),"")</f>
        <v>15-24</v>
      </c>
      <c r="R4563" s="0" t="str">
        <f aca="false">IF($D4563&lt;&gt;"","["&amp;$E4563&amp;"]"&amp;"|"&amp;$Q4563&amp;"|"&amp;$K4563&amp;"|"&amp;$G4563&amp;"|"&amp;IF($G4563="TX_CURR_SUBNAT.R","CY2022Q4",$M4563),"")</f>
        <v>[fiRkU6gEjLz]|15-24|Female|PMTCT_ART_SUBNAT.N.Already.T_1|CY2023Q3</v>
      </c>
    </row>
    <row r="4564" customFormat="false" ht="15" hidden="false" customHeight="false" outlineLevel="0" collapsed="false">
      <c r="D4564" s="0" t="s">
        <v>135</v>
      </c>
      <c r="E4564" s="0" t="s">
        <v>136</v>
      </c>
      <c r="F4564" s="0" t="s">
        <v>137</v>
      </c>
      <c r="G4564" s="0" t="s">
        <v>158</v>
      </c>
      <c r="H4564" s="0" t="s">
        <v>159</v>
      </c>
      <c r="I4564" s="0" t="s">
        <v>41</v>
      </c>
      <c r="J4564" s="0" t="s">
        <v>42</v>
      </c>
      <c r="K4564" s="0" t="s">
        <v>30</v>
      </c>
      <c r="L4564" s="0" t="s">
        <v>31</v>
      </c>
      <c r="M4564" s="0" t="s">
        <v>140</v>
      </c>
      <c r="N4564" s="0" t="n">
        <v>500</v>
      </c>
      <c r="O4564" s="10" t="n">
        <v>0.148849420715123</v>
      </c>
      <c r="P4564" s="10" t="n">
        <v>0.955300528323278</v>
      </c>
      <c r="Q4564" s="0" t="str">
        <f aca="false">SUBSTITUTE(SUBSTITUTE($I4564,CHAR(61),""),CHAR(34),"")</f>
        <v>25-34</v>
      </c>
      <c r="R4564" s="0" t="str">
        <f aca="false">IF($D4564&lt;&gt;"","["&amp;$E4564&amp;"]"&amp;"|"&amp;$Q4564&amp;"|"&amp;$K4564&amp;"|"&amp;$G4564&amp;"|"&amp;IF($G4564="TX_CURR_SUBNAT.R","CY2022Q4",$M4564),"")</f>
        <v>[fiRkU6gEjLz]|25-34|Female|PMTCT_ART_SUBNAT.N.Already.T_1|CY2023Q3</v>
      </c>
    </row>
    <row r="4565" customFormat="false" ht="15" hidden="false" customHeight="false" outlineLevel="0" collapsed="false">
      <c r="D4565" s="0" t="s">
        <v>135</v>
      </c>
      <c r="E4565" s="0" t="s">
        <v>136</v>
      </c>
      <c r="F4565" s="0" t="s">
        <v>137</v>
      </c>
      <c r="G4565" s="0" t="s">
        <v>158</v>
      </c>
      <c r="H4565" s="0" t="s">
        <v>159</v>
      </c>
      <c r="I4565" s="0" t="s">
        <v>43</v>
      </c>
      <c r="J4565" s="0" t="s">
        <v>44</v>
      </c>
      <c r="K4565" s="0" t="s">
        <v>30</v>
      </c>
      <c r="L4565" s="0" t="s">
        <v>31</v>
      </c>
      <c r="M4565" s="0" t="s">
        <v>140</v>
      </c>
      <c r="N4565" s="0" t="n">
        <v>972</v>
      </c>
      <c r="O4565" s="10" t="n">
        <v>0.0315118075814098</v>
      </c>
      <c r="P4565" s="10" t="n">
        <v>0.955300528323278</v>
      </c>
      <c r="Q4565" s="0" t="str">
        <f aca="false">SUBSTITUTE(SUBSTITUTE($I4565,CHAR(61),""),CHAR(34),"")</f>
        <v>35-49</v>
      </c>
      <c r="R4565" s="0" t="str">
        <f aca="false">IF($D4565&lt;&gt;"","["&amp;$E4565&amp;"]"&amp;"|"&amp;$Q4565&amp;"|"&amp;$K4565&amp;"|"&amp;$G4565&amp;"|"&amp;IF($G4565="TX_CURR_SUBNAT.R","CY2022Q4",$M4565),"")</f>
        <v>[fiRkU6gEjLz]|35-49|Female|PMTCT_ART_SUBNAT.N.Already.T_1|CY2023Q3</v>
      </c>
    </row>
    <row r="4566" customFormat="false" ht="15" hidden="false" customHeight="false" outlineLevel="0" collapsed="false">
      <c r="D4566" s="0" t="s">
        <v>23</v>
      </c>
      <c r="E4566" s="0" t="s">
        <v>24</v>
      </c>
      <c r="F4566" s="0" t="s">
        <v>25</v>
      </c>
      <c r="G4566" s="0" t="s">
        <v>160</v>
      </c>
      <c r="H4566" s="0" t="s">
        <v>159</v>
      </c>
      <c r="I4566" s="0" t="s">
        <v>38</v>
      </c>
      <c r="J4566" s="0" t="s">
        <v>39</v>
      </c>
      <c r="K4566" s="0" t="s">
        <v>30</v>
      </c>
      <c r="L4566" s="0" t="s">
        <v>31</v>
      </c>
      <c r="M4566" s="0" t="s">
        <v>140</v>
      </c>
      <c r="N4566" s="0" t="n">
        <v>1325</v>
      </c>
      <c r="O4566" s="10" t="n">
        <v>0.933375766733661</v>
      </c>
      <c r="P4566" s="10" t="n">
        <v>0.404358610976487</v>
      </c>
      <c r="Q4566" s="0" t="str">
        <f aca="false">SUBSTITUTE(SUBSTITUTE($I4566,CHAR(61),""),CHAR(34),"")</f>
        <v>15-24</v>
      </c>
      <c r="R4566" s="0" t="str">
        <f aca="false">IF($D4566&lt;&gt;"","["&amp;$E4566&amp;"]"&amp;"|"&amp;$Q4566&amp;"|"&amp;$K4566&amp;"|"&amp;$G4566&amp;"|"&amp;IF($G4566="TX_CURR_SUBNAT.R","CY2022Q4",$M4566),"")</f>
        <v>[GkIwZrXy1h2]|15-24|Female|PMTCT_ART_SUBNAT.N.New.T_1|CY2023Q3</v>
      </c>
    </row>
    <row r="4567" customFormat="false" ht="15" hidden="false" customHeight="false" outlineLevel="0" collapsed="false">
      <c r="D4567" s="0" t="s">
        <v>23</v>
      </c>
      <c r="E4567" s="0" t="s">
        <v>24</v>
      </c>
      <c r="F4567" s="0" t="s">
        <v>25</v>
      </c>
      <c r="G4567" s="0" t="s">
        <v>160</v>
      </c>
      <c r="H4567" s="0" t="s">
        <v>159</v>
      </c>
      <c r="I4567" s="0" t="s">
        <v>41</v>
      </c>
      <c r="J4567" s="0" t="s">
        <v>42</v>
      </c>
      <c r="K4567" s="0" t="s">
        <v>30</v>
      </c>
      <c r="L4567" s="0" t="s">
        <v>31</v>
      </c>
      <c r="M4567" s="0" t="s">
        <v>140</v>
      </c>
      <c r="N4567" s="0" t="n">
        <v>1333</v>
      </c>
      <c r="O4567" s="10" t="n">
        <v>0.85421632649377</v>
      </c>
      <c r="P4567" s="10" t="n">
        <v>0.404358610976487</v>
      </c>
      <c r="Q4567" s="0" t="str">
        <f aca="false">SUBSTITUTE(SUBSTITUTE($I4567,CHAR(61),""),CHAR(34),"")</f>
        <v>25-34</v>
      </c>
      <c r="R4567" s="0" t="str">
        <f aca="false">IF($D4567&lt;&gt;"","["&amp;$E4567&amp;"]"&amp;"|"&amp;$Q4567&amp;"|"&amp;$K4567&amp;"|"&amp;$G4567&amp;"|"&amp;IF($G4567="TX_CURR_SUBNAT.R","CY2022Q4",$M4567),"")</f>
        <v>[GkIwZrXy1h2]|25-34|Female|PMTCT_ART_SUBNAT.N.New.T_1|CY2023Q3</v>
      </c>
    </row>
    <row r="4568" customFormat="false" ht="15" hidden="false" customHeight="false" outlineLevel="0" collapsed="false">
      <c r="D4568" s="0" t="s">
        <v>23</v>
      </c>
      <c r="E4568" s="0" t="s">
        <v>24</v>
      </c>
      <c r="F4568" s="0" t="s">
        <v>25</v>
      </c>
      <c r="G4568" s="0" t="s">
        <v>160</v>
      </c>
      <c r="H4568" s="0" t="s">
        <v>159</v>
      </c>
      <c r="I4568" s="0" t="s">
        <v>43</v>
      </c>
      <c r="J4568" s="0" t="s">
        <v>44</v>
      </c>
      <c r="K4568" s="0" t="s">
        <v>30</v>
      </c>
      <c r="L4568" s="0" t="s">
        <v>31</v>
      </c>
      <c r="M4568" s="0" t="s">
        <v>140</v>
      </c>
      <c r="N4568" s="0" t="n">
        <v>1885</v>
      </c>
      <c r="O4568" s="10" t="n">
        <v>0.851770120440051</v>
      </c>
      <c r="P4568" s="10" t="n">
        <v>0.404358610976487</v>
      </c>
      <c r="Q4568" s="0" t="str">
        <f aca="false">SUBSTITUTE(SUBSTITUTE($I4568,CHAR(61),""),CHAR(34),"")</f>
        <v>35-49</v>
      </c>
      <c r="R4568" s="0" t="str">
        <f aca="false">IF($D4568&lt;&gt;"","["&amp;$E4568&amp;"]"&amp;"|"&amp;$Q4568&amp;"|"&amp;$K4568&amp;"|"&amp;$G4568&amp;"|"&amp;IF($G4568="TX_CURR_SUBNAT.R","CY2022Q4",$M4568),"")</f>
        <v>[GkIwZrXy1h2]|35-49|Female|PMTCT_ART_SUBNAT.N.New.T_1|CY2023Q3</v>
      </c>
    </row>
    <row r="4569" customFormat="false" ht="15" hidden="false" customHeight="false" outlineLevel="0" collapsed="false">
      <c r="D4569" s="0" t="s">
        <v>53</v>
      </c>
      <c r="E4569" s="0" t="s">
        <v>54</v>
      </c>
      <c r="F4569" s="0" t="s">
        <v>55</v>
      </c>
      <c r="G4569" s="0" t="s">
        <v>160</v>
      </c>
      <c r="H4569" s="0" t="s">
        <v>159</v>
      </c>
      <c r="I4569" s="0" t="s">
        <v>38</v>
      </c>
      <c r="J4569" s="0" t="s">
        <v>39</v>
      </c>
      <c r="K4569" s="0" t="s">
        <v>30</v>
      </c>
      <c r="L4569" s="0" t="s">
        <v>31</v>
      </c>
      <c r="M4569" s="0" t="s">
        <v>140</v>
      </c>
      <c r="N4569" s="0" t="n">
        <v>816</v>
      </c>
      <c r="O4569" s="10" t="n">
        <v>0.784157081041485</v>
      </c>
      <c r="P4569" s="10" t="n">
        <v>0.616392469964921</v>
      </c>
      <c r="Q4569" s="0" t="str">
        <f aca="false">SUBSTITUTE(SUBSTITUTE($I4569,CHAR(61),""),CHAR(34),"")</f>
        <v>15-24</v>
      </c>
      <c r="R4569" s="0" t="str">
        <f aca="false">IF($D4569&lt;&gt;"","["&amp;$E4569&amp;"]"&amp;"|"&amp;$Q4569&amp;"|"&amp;$K4569&amp;"|"&amp;$G4569&amp;"|"&amp;IF($G4569="TX_CURR_SUBNAT.R","CY2022Q4",$M4569),"")</f>
        <v>[zphK9WV8JB4]|15-24|Female|PMTCT_ART_SUBNAT.N.New.T_1|CY2023Q3</v>
      </c>
    </row>
    <row r="4570" customFormat="false" ht="15" hidden="false" customHeight="false" outlineLevel="0" collapsed="false">
      <c r="D4570" s="0" t="s">
        <v>53</v>
      </c>
      <c r="E4570" s="0" t="s">
        <v>54</v>
      </c>
      <c r="F4570" s="0" t="s">
        <v>55</v>
      </c>
      <c r="G4570" s="0" t="s">
        <v>160</v>
      </c>
      <c r="H4570" s="0" t="s">
        <v>159</v>
      </c>
      <c r="I4570" s="0" t="s">
        <v>41</v>
      </c>
      <c r="J4570" s="0" t="s">
        <v>42</v>
      </c>
      <c r="K4570" s="0" t="s">
        <v>30</v>
      </c>
      <c r="L4570" s="0" t="s">
        <v>31</v>
      </c>
      <c r="M4570" s="0" t="s">
        <v>140</v>
      </c>
      <c r="N4570" s="0" t="n">
        <v>1220</v>
      </c>
      <c r="O4570" s="10" t="n">
        <v>0.296542939497158</v>
      </c>
      <c r="P4570" s="10" t="n">
        <v>0.616392469964921</v>
      </c>
      <c r="Q4570" s="0" t="str">
        <f aca="false">SUBSTITUTE(SUBSTITUTE($I4570,CHAR(61),""),CHAR(34),"")</f>
        <v>25-34</v>
      </c>
      <c r="R4570" s="0" t="str">
        <f aca="false">IF($D4570&lt;&gt;"","["&amp;$E4570&amp;"]"&amp;"|"&amp;$Q4570&amp;"|"&amp;$K4570&amp;"|"&amp;$G4570&amp;"|"&amp;IF($G4570="TX_CURR_SUBNAT.R","CY2022Q4",$M4570),"")</f>
        <v>[zphK9WV8JB4]|25-34|Female|PMTCT_ART_SUBNAT.N.New.T_1|CY2023Q3</v>
      </c>
    </row>
    <row r="4571" customFormat="false" ht="15" hidden="false" customHeight="false" outlineLevel="0" collapsed="false">
      <c r="D4571" s="0" t="s">
        <v>53</v>
      </c>
      <c r="E4571" s="0" t="s">
        <v>54</v>
      </c>
      <c r="F4571" s="0" t="s">
        <v>55</v>
      </c>
      <c r="G4571" s="0" t="s">
        <v>160</v>
      </c>
      <c r="H4571" s="0" t="s">
        <v>159</v>
      </c>
      <c r="I4571" s="0" t="s">
        <v>43</v>
      </c>
      <c r="J4571" s="0" t="s">
        <v>44</v>
      </c>
      <c r="K4571" s="0" t="s">
        <v>30</v>
      </c>
      <c r="L4571" s="0" t="s">
        <v>31</v>
      </c>
      <c r="M4571" s="0" t="s">
        <v>140</v>
      </c>
      <c r="N4571" s="0" t="n">
        <v>539</v>
      </c>
      <c r="O4571" s="10" t="n">
        <v>0.81228216085583</v>
      </c>
      <c r="P4571" s="10" t="n">
        <v>0.616392469964921</v>
      </c>
      <c r="Q4571" s="0" t="str">
        <f aca="false">SUBSTITUTE(SUBSTITUTE($I4571,CHAR(61),""),CHAR(34),"")</f>
        <v>35-49</v>
      </c>
      <c r="R4571" s="0" t="str">
        <f aca="false">IF($D4571&lt;&gt;"","["&amp;$E4571&amp;"]"&amp;"|"&amp;$Q4571&amp;"|"&amp;$K4571&amp;"|"&amp;$G4571&amp;"|"&amp;IF($G4571="TX_CURR_SUBNAT.R","CY2022Q4",$M4571),"")</f>
        <v>[zphK9WV8JB4]|35-49|Female|PMTCT_ART_SUBNAT.N.New.T_1|CY2023Q3</v>
      </c>
    </row>
    <row r="4572" customFormat="false" ht="15" hidden="false" customHeight="false" outlineLevel="0" collapsed="false">
      <c r="D4572" s="0" t="s">
        <v>60</v>
      </c>
      <c r="E4572" s="0" t="s">
        <v>61</v>
      </c>
      <c r="F4572" s="0" t="s">
        <v>62</v>
      </c>
      <c r="G4572" s="0" t="s">
        <v>160</v>
      </c>
      <c r="H4572" s="0" t="s">
        <v>159</v>
      </c>
      <c r="I4572" s="0" t="s">
        <v>38</v>
      </c>
      <c r="J4572" s="0" t="s">
        <v>39</v>
      </c>
      <c r="K4572" s="0" t="s">
        <v>30</v>
      </c>
      <c r="L4572" s="0" t="s">
        <v>31</v>
      </c>
      <c r="M4572" s="0" t="s">
        <v>140</v>
      </c>
      <c r="N4572" s="0" t="n">
        <v>1006</v>
      </c>
      <c r="O4572" s="10" t="n">
        <v>0.944757878780365</v>
      </c>
      <c r="P4572" s="10" t="n">
        <v>0.0268250561784953</v>
      </c>
      <c r="Q4572" s="0" t="str">
        <f aca="false">SUBSTITUTE(SUBSTITUTE($I4572,CHAR(61),""),CHAR(34),"")</f>
        <v>15-24</v>
      </c>
      <c r="R4572" s="0" t="str">
        <f aca="false">IF($D4572&lt;&gt;"","["&amp;$E4572&amp;"]"&amp;"|"&amp;$Q4572&amp;"|"&amp;$K4572&amp;"|"&amp;$G4572&amp;"|"&amp;IF($G4572="TX_CURR_SUBNAT.R","CY2022Q4",$M4572),"")</f>
        <v>[msW2zpIN7up]|15-24|Female|PMTCT_ART_SUBNAT.N.New.T_1|CY2023Q3</v>
      </c>
    </row>
    <row r="4573" customFormat="false" ht="15" hidden="false" customHeight="false" outlineLevel="0" collapsed="false">
      <c r="D4573" s="0" t="s">
        <v>60</v>
      </c>
      <c r="E4573" s="0" t="s">
        <v>61</v>
      </c>
      <c r="F4573" s="0" t="s">
        <v>62</v>
      </c>
      <c r="G4573" s="0" t="s">
        <v>160</v>
      </c>
      <c r="H4573" s="0" t="s">
        <v>159</v>
      </c>
      <c r="I4573" s="0" t="s">
        <v>41</v>
      </c>
      <c r="J4573" s="0" t="s">
        <v>42</v>
      </c>
      <c r="K4573" s="0" t="s">
        <v>30</v>
      </c>
      <c r="L4573" s="0" t="s">
        <v>31</v>
      </c>
      <c r="M4573" s="0" t="s">
        <v>140</v>
      </c>
      <c r="N4573" s="0" t="n">
        <v>1802</v>
      </c>
      <c r="O4573" s="10" t="n">
        <v>0.0905102347023785</v>
      </c>
      <c r="P4573" s="10" t="n">
        <v>0.0268250561784953</v>
      </c>
      <c r="Q4573" s="0" t="str">
        <f aca="false">SUBSTITUTE(SUBSTITUTE($I4573,CHAR(61),""),CHAR(34),"")</f>
        <v>25-34</v>
      </c>
      <c r="R4573" s="0" t="str">
        <f aca="false">IF($D4573&lt;&gt;"","["&amp;$E4573&amp;"]"&amp;"|"&amp;$Q4573&amp;"|"&amp;$K4573&amp;"|"&amp;$G4573&amp;"|"&amp;IF($G4573="TX_CURR_SUBNAT.R","CY2022Q4",$M4573),"")</f>
        <v>[msW2zpIN7up]|25-34|Female|PMTCT_ART_SUBNAT.N.New.T_1|CY2023Q3</v>
      </c>
    </row>
    <row r="4574" customFormat="false" ht="15" hidden="false" customHeight="false" outlineLevel="0" collapsed="false">
      <c r="D4574" s="0" t="s">
        <v>60</v>
      </c>
      <c r="E4574" s="0" t="s">
        <v>61</v>
      </c>
      <c r="F4574" s="0" t="s">
        <v>62</v>
      </c>
      <c r="G4574" s="0" t="s">
        <v>160</v>
      </c>
      <c r="H4574" s="0" t="s">
        <v>159</v>
      </c>
      <c r="I4574" s="0" t="s">
        <v>43</v>
      </c>
      <c r="J4574" s="0" t="s">
        <v>44</v>
      </c>
      <c r="K4574" s="0" t="s">
        <v>30</v>
      </c>
      <c r="L4574" s="0" t="s">
        <v>31</v>
      </c>
      <c r="M4574" s="0" t="s">
        <v>140</v>
      </c>
      <c r="N4574" s="0" t="n">
        <v>1914</v>
      </c>
      <c r="O4574" s="10" t="n">
        <v>0.769668029621243</v>
      </c>
      <c r="P4574" s="10" t="n">
        <v>0.0268250561784953</v>
      </c>
      <c r="Q4574" s="0" t="str">
        <f aca="false">SUBSTITUTE(SUBSTITUTE($I4574,CHAR(61),""),CHAR(34),"")</f>
        <v>35-49</v>
      </c>
      <c r="R4574" s="0" t="str">
        <f aca="false">IF($D4574&lt;&gt;"","["&amp;$E4574&amp;"]"&amp;"|"&amp;$Q4574&amp;"|"&amp;$K4574&amp;"|"&amp;$G4574&amp;"|"&amp;IF($G4574="TX_CURR_SUBNAT.R","CY2022Q4",$M4574),"")</f>
        <v>[msW2zpIN7up]|35-49|Female|PMTCT_ART_SUBNAT.N.New.T_1|CY2023Q3</v>
      </c>
    </row>
    <row r="4575" customFormat="false" ht="15" hidden="false" customHeight="false" outlineLevel="0" collapsed="false">
      <c r="D4575" s="0" t="s">
        <v>63</v>
      </c>
      <c r="E4575" s="0" t="s">
        <v>64</v>
      </c>
      <c r="F4575" s="0" t="s">
        <v>65</v>
      </c>
      <c r="G4575" s="0" t="s">
        <v>160</v>
      </c>
      <c r="H4575" s="0" t="s">
        <v>159</v>
      </c>
      <c r="I4575" s="0" t="s">
        <v>38</v>
      </c>
      <c r="J4575" s="0" t="s">
        <v>39</v>
      </c>
      <c r="K4575" s="0" t="s">
        <v>30</v>
      </c>
      <c r="L4575" s="0" t="s">
        <v>31</v>
      </c>
      <c r="M4575" s="0" t="s">
        <v>140</v>
      </c>
      <c r="N4575" s="0" t="n">
        <v>1002</v>
      </c>
      <c r="O4575" s="10" t="n">
        <v>0.0973468851298094</v>
      </c>
      <c r="P4575" s="10" t="n">
        <v>0.790102193132043</v>
      </c>
      <c r="Q4575" s="0" t="str">
        <f aca="false">SUBSTITUTE(SUBSTITUTE($I4575,CHAR(61),""),CHAR(34),"")</f>
        <v>15-24</v>
      </c>
      <c r="R4575" s="0" t="str">
        <f aca="false">IF($D4575&lt;&gt;"","["&amp;$E4575&amp;"]"&amp;"|"&amp;$Q4575&amp;"|"&amp;$K4575&amp;"|"&amp;$G4575&amp;"|"&amp;IF($G4575="TX_CURR_SUBNAT.R","CY2022Q4",$M4575),"")</f>
        <v>[kxuuIFpOXyO]|15-24|Female|PMTCT_ART_SUBNAT.N.New.T_1|CY2023Q3</v>
      </c>
    </row>
    <row r="4576" customFormat="false" ht="15" hidden="false" customHeight="false" outlineLevel="0" collapsed="false">
      <c r="D4576" s="0" t="s">
        <v>63</v>
      </c>
      <c r="E4576" s="0" t="s">
        <v>64</v>
      </c>
      <c r="F4576" s="0" t="s">
        <v>65</v>
      </c>
      <c r="G4576" s="0" t="s">
        <v>160</v>
      </c>
      <c r="H4576" s="0" t="s">
        <v>159</v>
      </c>
      <c r="I4576" s="0" t="s">
        <v>41</v>
      </c>
      <c r="J4576" s="0" t="s">
        <v>42</v>
      </c>
      <c r="K4576" s="0" t="s">
        <v>30</v>
      </c>
      <c r="L4576" s="0" t="s">
        <v>31</v>
      </c>
      <c r="M4576" s="0" t="s">
        <v>140</v>
      </c>
      <c r="N4576" s="0" t="n">
        <v>1507</v>
      </c>
      <c r="O4576" s="10" t="n">
        <v>0.266743532847613</v>
      </c>
      <c r="P4576" s="10" t="n">
        <v>0.790102193132043</v>
      </c>
      <c r="Q4576" s="0" t="str">
        <f aca="false">SUBSTITUTE(SUBSTITUTE($I4576,CHAR(61),""),CHAR(34),"")</f>
        <v>25-34</v>
      </c>
      <c r="R4576" s="0" t="str">
        <f aca="false">IF($D4576&lt;&gt;"","["&amp;$E4576&amp;"]"&amp;"|"&amp;$Q4576&amp;"|"&amp;$K4576&amp;"|"&amp;$G4576&amp;"|"&amp;IF($G4576="TX_CURR_SUBNAT.R","CY2022Q4",$M4576),"")</f>
        <v>[kxuuIFpOXyO]|25-34|Female|PMTCT_ART_SUBNAT.N.New.T_1|CY2023Q3</v>
      </c>
    </row>
    <row r="4577" customFormat="false" ht="15" hidden="false" customHeight="false" outlineLevel="0" collapsed="false">
      <c r="D4577" s="0" t="s">
        <v>63</v>
      </c>
      <c r="E4577" s="0" t="s">
        <v>64</v>
      </c>
      <c r="F4577" s="0" t="s">
        <v>65</v>
      </c>
      <c r="G4577" s="0" t="s">
        <v>160</v>
      </c>
      <c r="H4577" s="0" t="s">
        <v>159</v>
      </c>
      <c r="I4577" s="0" t="s">
        <v>43</v>
      </c>
      <c r="J4577" s="0" t="s">
        <v>44</v>
      </c>
      <c r="K4577" s="0" t="s">
        <v>30</v>
      </c>
      <c r="L4577" s="0" t="s">
        <v>31</v>
      </c>
      <c r="M4577" s="0" t="s">
        <v>140</v>
      </c>
      <c r="N4577" s="0" t="n">
        <v>691</v>
      </c>
      <c r="O4577" s="10" t="n">
        <v>0.411689664470032</v>
      </c>
      <c r="P4577" s="10" t="n">
        <v>0.790102193132043</v>
      </c>
      <c r="Q4577" s="0" t="str">
        <f aca="false">SUBSTITUTE(SUBSTITUTE($I4577,CHAR(61),""),CHAR(34),"")</f>
        <v>35-49</v>
      </c>
      <c r="R4577" s="0" t="str">
        <f aca="false">IF($D4577&lt;&gt;"","["&amp;$E4577&amp;"]"&amp;"|"&amp;$Q4577&amp;"|"&amp;$K4577&amp;"|"&amp;$G4577&amp;"|"&amp;IF($G4577="TX_CURR_SUBNAT.R","CY2022Q4",$M4577),"")</f>
        <v>[kxuuIFpOXyO]|35-49|Female|PMTCT_ART_SUBNAT.N.New.T_1|CY2023Q3</v>
      </c>
    </row>
    <row r="4578" customFormat="false" ht="15" hidden="false" customHeight="false" outlineLevel="0" collapsed="false">
      <c r="D4578" s="0" t="s">
        <v>66</v>
      </c>
      <c r="E4578" s="0" t="s">
        <v>67</v>
      </c>
      <c r="F4578" s="0" t="s">
        <v>68</v>
      </c>
      <c r="G4578" s="0" t="s">
        <v>160</v>
      </c>
      <c r="H4578" s="0" t="s">
        <v>159</v>
      </c>
      <c r="I4578" s="0" t="s">
        <v>38</v>
      </c>
      <c r="J4578" s="0" t="s">
        <v>39</v>
      </c>
      <c r="K4578" s="0" t="s">
        <v>30</v>
      </c>
      <c r="L4578" s="0" t="s">
        <v>31</v>
      </c>
      <c r="M4578" s="0" t="s">
        <v>140</v>
      </c>
      <c r="N4578" s="0" t="n">
        <v>526</v>
      </c>
      <c r="O4578" s="10" t="n">
        <v>0.901480932720006</v>
      </c>
      <c r="P4578" s="10" t="n">
        <v>0.164609884377569</v>
      </c>
      <c r="Q4578" s="0" t="str">
        <f aca="false">SUBSTITUTE(SUBSTITUTE($I4578,CHAR(61),""),CHAR(34),"")</f>
        <v>15-24</v>
      </c>
      <c r="R4578" s="0" t="str">
        <f aca="false">IF($D4578&lt;&gt;"","["&amp;$E4578&amp;"]"&amp;"|"&amp;$Q4578&amp;"|"&amp;$K4578&amp;"|"&amp;$G4578&amp;"|"&amp;IF($G4578="TX_CURR_SUBNAT.R","CY2022Q4",$M4578),"")</f>
        <v>[ScR9iFKAasW]|15-24|Female|PMTCT_ART_SUBNAT.N.New.T_1|CY2023Q3</v>
      </c>
    </row>
    <row r="4579" customFormat="false" ht="15" hidden="false" customHeight="false" outlineLevel="0" collapsed="false">
      <c r="D4579" s="0" t="s">
        <v>66</v>
      </c>
      <c r="E4579" s="0" t="s">
        <v>67</v>
      </c>
      <c r="F4579" s="0" t="s">
        <v>68</v>
      </c>
      <c r="G4579" s="0" t="s">
        <v>160</v>
      </c>
      <c r="H4579" s="0" t="s">
        <v>159</v>
      </c>
      <c r="I4579" s="0" t="s">
        <v>41</v>
      </c>
      <c r="J4579" s="0" t="s">
        <v>42</v>
      </c>
      <c r="K4579" s="0" t="s">
        <v>30</v>
      </c>
      <c r="L4579" s="0" t="s">
        <v>31</v>
      </c>
      <c r="M4579" s="0" t="s">
        <v>140</v>
      </c>
      <c r="N4579" s="0" t="n">
        <v>1260</v>
      </c>
      <c r="O4579" s="10" t="n">
        <v>0.10471209208481</v>
      </c>
      <c r="P4579" s="10" t="n">
        <v>0.164609884377569</v>
      </c>
      <c r="Q4579" s="0" t="str">
        <f aca="false">SUBSTITUTE(SUBSTITUTE($I4579,CHAR(61),""),CHAR(34),"")</f>
        <v>25-34</v>
      </c>
      <c r="R4579" s="0" t="str">
        <f aca="false">IF($D4579&lt;&gt;"","["&amp;$E4579&amp;"]"&amp;"|"&amp;$Q4579&amp;"|"&amp;$K4579&amp;"|"&amp;$G4579&amp;"|"&amp;IF($G4579="TX_CURR_SUBNAT.R","CY2022Q4",$M4579),"")</f>
        <v>[ScR9iFKAasW]|25-34|Female|PMTCT_ART_SUBNAT.N.New.T_1|CY2023Q3</v>
      </c>
    </row>
    <row r="4580" customFormat="false" ht="15" hidden="false" customHeight="false" outlineLevel="0" collapsed="false">
      <c r="D4580" s="0" t="s">
        <v>66</v>
      </c>
      <c r="E4580" s="0" t="s">
        <v>67</v>
      </c>
      <c r="F4580" s="0" t="s">
        <v>68</v>
      </c>
      <c r="G4580" s="0" t="s">
        <v>160</v>
      </c>
      <c r="H4580" s="0" t="s">
        <v>159</v>
      </c>
      <c r="I4580" s="0" t="s">
        <v>43</v>
      </c>
      <c r="J4580" s="0" t="s">
        <v>44</v>
      </c>
      <c r="K4580" s="0" t="s">
        <v>30</v>
      </c>
      <c r="L4580" s="0" t="s">
        <v>31</v>
      </c>
      <c r="M4580" s="0" t="s">
        <v>140</v>
      </c>
      <c r="N4580" s="0" t="n">
        <v>1027</v>
      </c>
      <c r="O4580" s="10" t="n">
        <v>0.430229961872101</v>
      </c>
      <c r="P4580" s="10" t="n">
        <v>0.164609884377569</v>
      </c>
      <c r="Q4580" s="0" t="str">
        <f aca="false">SUBSTITUTE(SUBSTITUTE($I4580,CHAR(61),""),CHAR(34),"")</f>
        <v>35-49</v>
      </c>
      <c r="R4580" s="0" t="str">
        <f aca="false">IF($D4580&lt;&gt;"","["&amp;$E4580&amp;"]"&amp;"|"&amp;$Q4580&amp;"|"&amp;$K4580&amp;"|"&amp;$G4580&amp;"|"&amp;IF($G4580="TX_CURR_SUBNAT.R","CY2022Q4",$M4580),"")</f>
        <v>[ScR9iFKAasW]|35-49|Female|PMTCT_ART_SUBNAT.N.New.T_1|CY2023Q3</v>
      </c>
    </row>
    <row r="4581" customFormat="false" ht="15" hidden="false" customHeight="false" outlineLevel="0" collapsed="false">
      <c r="D4581" s="0" t="s">
        <v>69</v>
      </c>
      <c r="E4581" s="0" t="s">
        <v>70</v>
      </c>
      <c r="F4581" s="0" t="s">
        <v>71</v>
      </c>
      <c r="G4581" s="0" t="s">
        <v>160</v>
      </c>
      <c r="H4581" s="0" t="s">
        <v>159</v>
      </c>
      <c r="I4581" s="0" t="s">
        <v>38</v>
      </c>
      <c r="J4581" s="0" t="s">
        <v>39</v>
      </c>
      <c r="K4581" s="0" t="s">
        <v>30</v>
      </c>
      <c r="L4581" s="0" t="s">
        <v>31</v>
      </c>
      <c r="M4581" s="0" t="s">
        <v>140</v>
      </c>
      <c r="N4581" s="0" t="n">
        <v>713</v>
      </c>
      <c r="O4581" s="10" t="n">
        <v>0.797159134875983</v>
      </c>
      <c r="P4581" s="10" t="n">
        <v>0.198817263124511</v>
      </c>
      <c r="Q4581" s="0" t="str">
        <f aca="false">SUBSTITUTE(SUBSTITUTE($I4581,CHAR(61),""),CHAR(34),"")</f>
        <v>15-24</v>
      </c>
      <c r="R4581" s="0" t="str">
        <f aca="false">IF($D4581&lt;&gt;"","["&amp;$E4581&amp;"]"&amp;"|"&amp;$Q4581&amp;"|"&amp;$K4581&amp;"|"&amp;$G4581&amp;"|"&amp;IF($G4581="TX_CURR_SUBNAT.R","CY2022Q4",$M4581),"")</f>
        <v>[PekKUkKHAzY]|15-24|Female|PMTCT_ART_SUBNAT.N.New.T_1|CY2023Q3</v>
      </c>
    </row>
    <row r="4582" customFormat="false" ht="15" hidden="false" customHeight="false" outlineLevel="0" collapsed="false">
      <c r="D4582" s="0" t="s">
        <v>69</v>
      </c>
      <c r="E4582" s="0" t="s">
        <v>70</v>
      </c>
      <c r="F4582" s="0" t="s">
        <v>71</v>
      </c>
      <c r="G4582" s="0" t="s">
        <v>160</v>
      </c>
      <c r="H4582" s="0" t="s">
        <v>159</v>
      </c>
      <c r="I4582" s="0" t="s">
        <v>41</v>
      </c>
      <c r="J4582" s="0" t="s">
        <v>42</v>
      </c>
      <c r="K4582" s="0" t="s">
        <v>30</v>
      </c>
      <c r="L4582" s="0" t="s">
        <v>31</v>
      </c>
      <c r="M4582" s="0" t="s">
        <v>140</v>
      </c>
      <c r="N4582" s="0" t="n">
        <v>1941</v>
      </c>
      <c r="O4582" s="10" t="n">
        <v>0.267992703011259</v>
      </c>
      <c r="P4582" s="10" t="n">
        <v>0.198817263124511</v>
      </c>
      <c r="Q4582" s="0" t="str">
        <f aca="false">SUBSTITUTE(SUBSTITUTE($I4582,CHAR(61),""),CHAR(34),"")</f>
        <v>25-34</v>
      </c>
      <c r="R4582" s="0" t="str">
        <f aca="false">IF($D4582&lt;&gt;"","["&amp;$E4582&amp;"]"&amp;"|"&amp;$Q4582&amp;"|"&amp;$K4582&amp;"|"&amp;$G4582&amp;"|"&amp;IF($G4582="TX_CURR_SUBNAT.R","CY2022Q4",$M4582),"")</f>
        <v>[PekKUkKHAzY]|25-34|Female|PMTCT_ART_SUBNAT.N.New.T_1|CY2023Q3</v>
      </c>
    </row>
    <row r="4583" customFormat="false" ht="15" hidden="false" customHeight="false" outlineLevel="0" collapsed="false">
      <c r="D4583" s="0" t="s">
        <v>69</v>
      </c>
      <c r="E4583" s="0" t="s">
        <v>70</v>
      </c>
      <c r="F4583" s="0" t="s">
        <v>71</v>
      </c>
      <c r="G4583" s="0" t="s">
        <v>160</v>
      </c>
      <c r="H4583" s="0" t="s">
        <v>159</v>
      </c>
      <c r="I4583" s="0" t="s">
        <v>43</v>
      </c>
      <c r="J4583" s="0" t="s">
        <v>44</v>
      </c>
      <c r="K4583" s="0" t="s">
        <v>30</v>
      </c>
      <c r="L4583" s="0" t="s">
        <v>31</v>
      </c>
      <c r="M4583" s="0" t="s">
        <v>140</v>
      </c>
      <c r="N4583" s="0" t="n">
        <v>1162</v>
      </c>
      <c r="O4583" s="10" t="n">
        <v>0.792120685568079</v>
      </c>
      <c r="P4583" s="10" t="n">
        <v>0.198817263124511</v>
      </c>
      <c r="Q4583" s="0" t="str">
        <f aca="false">SUBSTITUTE(SUBSTITUTE($I4583,CHAR(61),""),CHAR(34),"")</f>
        <v>35-49</v>
      </c>
      <c r="R4583" s="0" t="str">
        <f aca="false">IF($D4583&lt;&gt;"","["&amp;$E4583&amp;"]"&amp;"|"&amp;$Q4583&amp;"|"&amp;$K4583&amp;"|"&amp;$G4583&amp;"|"&amp;IF($G4583="TX_CURR_SUBNAT.R","CY2022Q4",$M4583),"")</f>
        <v>[PekKUkKHAzY]|35-49|Female|PMTCT_ART_SUBNAT.N.New.T_1|CY2023Q3</v>
      </c>
    </row>
    <row r="4584" customFormat="false" ht="15" hidden="false" customHeight="false" outlineLevel="0" collapsed="false">
      <c r="D4584" s="0" t="s">
        <v>72</v>
      </c>
      <c r="E4584" s="0" t="s">
        <v>73</v>
      </c>
      <c r="F4584" s="0" t="s">
        <v>74</v>
      </c>
      <c r="G4584" s="0" t="s">
        <v>160</v>
      </c>
      <c r="H4584" s="0" t="s">
        <v>159</v>
      </c>
      <c r="I4584" s="0" t="s">
        <v>38</v>
      </c>
      <c r="J4584" s="0" t="s">
        <v>39</v>
      </c>
      <c r="K4584" s="0" t="s">
        <v>30</v>
      </c>
      <c r="L4584" s="0" t="s">
        <v>31</v>
      </c>
      <c r="M4584" s="0" t="s">
        <v>140</v>
      </c>
      <c r="N4584" s="0" t="n">
        <v>865</v>
      </c>
      <c r="O4584" s="10" t="n">
        <v>0.0410080857109278</v>
      </c>
      <c r="P4584" s="10" t="n">
        <v>0.289728706935421</v>
      </c>
      <c r="Q4584" s="0" t="str">
        <f aca="false">SUBSTITUTE(SUBSTITUTE($I4584,CHAR(61),""),CHAR(34),"")</f>
        <v>15-24</v>
      </c>
      <c r="R4584" s="0" t="str">
        <f aca="false">IF($D4584&lt;&gt;"","["&amp;$E4584&amp;"]"&amp;"|"&amp;$Q4584&amp;"|"&amp;$K4584&amp;"|"&amp;$G4584&amp;"|"&amp;IF($G4584="TX_CURR_SUBNAT.R","CY2022Q4",$M4584),"")</f>
        <v>[am530wpaGvr]|15-24|Female|PMTCT_ART_SUBNAT.N.New.T_1|CY2023Q3</v>
      </c>
    </row>
    <row r="4585" customFormat="false" ht="15" hidden="false" customHeight="false" outlineLevel="0" collapsed="false">
      <c r="D4585" s="0" t="s">
        <v>72</v>
      </c>
      <c r="E4585" s="0" t="s">
        <v>73</v>
      </c>
      <c r="F4585" s="0" t="s">
        <v>74</v>
      </c>
      <c r="G4585" s="0" t="s">
        <v>160</v>
      </c>
      <c r="H4585" s="0" t="s">
        <v>159</v>
      </c>
      <c r="I4585" s="0" t="s">
        <v>41</v>
      </c>
      <c r="J4585" s="0" t="s">
        <v>42</v>
      </c>
      <c r="K4585" s="0" t="s">
        <v>30</v>
      </c>
      <c r="L4585" s="0" t="s">
        <v>31</v>
      </c>
      <c r="M4585" s="0" t="s">
        <v>140</v>
      </c>
      <c r="N4585" s="0" t="n">
        <v>1940</v>
      </c>
      <c r="O4585" s="10" t="n">
        <v>0.841965628787875</v>
      </c>
      <c r="P4585" s="10" t="n">
        <v>0.289728706935421</v>
      </c>
      <c r="Q4585" s="0" t="str">
        <f aca="false">SUBSTITUTE(SUBSTITUTE($I4585,CHAR(61),""),CHAR(34),"")</f>
        <v>25-34</v>
      </c>
      <c r="R4585" s="0" t="str">
        <f aca="false">IF($D4585&lt;&gt;"","["&amp;$E4585&amp;"]"&amp;"|"&amp;$Q4585&amp;"|"&amp;$K4585&amp;"|"&amp;$G4585&amp;"|"&amp;IF($G4585="TX_CURR_SUBNAT.R","CY2022Q4",$M4585),"")</f>
        <v>[am530wpaGvr]|25-34|Female|PMTCT_ART_SUBNAT.N.New.T_1|CY2023Q3</v>
      </c>
    </row>
    <row r="4586" customFormat="false" ht="15" hidden="false" customHeight="false" outlineLevel="0" collapsed="false">
      <c r="D4586" s="0" t="s">
        <v>72</v>
      </c>
      <c r="E4586" s="0" t="s">
        <v>73</v>
      </c>
      <c r="F4586" s="0" t="s">
        <v>74</v>
      </c>
      <c r="G4586" s="0" t="s">
        <v>160</v>
      </c>
      <c r="H4586" s="0" t="s">
        <v>159</v>
      </c>
      <c r="I4586" s="0" t="s">
        <v>43</v>
      </c>
      <c r="J4586" s="0" t="s">
        <v>44</v>
      </c>
      <c r="K4586" s="0" t="s">
        <v>30</v>
      </c>
      <c r="L4586" s="0" t="s">
        <v>31</v>
      </c>
      <c r="M4586" s="0" t="s">
        <v>140</v>
      </c>
      <c r="N4586" s="0" t="n">
        <v>1680</v>
      </c>
      <c r="O4586" s="10" t="n">
        <v>0.196453495649621</v>
      </c>
      <c r="P4586" s="10" t="n">
        <v>0.289728706935421</v>
      </c>
      <c r="Q4586" s="0" t="str">
        <f aca="false">SUBSTITUTE(SUBSTITUTE($I4586,CHAR(61),""),CHAR(34),"")</f>
        <v>35-49</v>
      </c>
      <c r="R4586" s="0" t="str">
        <f aca="false">IF($D4586&lt;&gt;"","["&amp;$E4586&amp;"]"&amp;"|"&amp;$Q4586&amp;"|"&amp;$K4586&amp;"|"&amp;$G4586&amp;"|"&amp;IF($G4586="TX_CURR_SUBNAT.R","CY2022Q4",$M4586),"")</f>
        <v>[am530wpaGvr]|35-49|Female|PMTCT_ART_SUBNAT.N.New.T_1|CY2023Q3</v>
      </c>
    </row>
    <row r="4587" customFormat="false" ht="15" hidden="false" customHeight="false" outlineLevel="0" collapsed="false">
      <c r="D4587" s="0" t="s">
        <v>75</v>
      </c>
      <c r="E4587" s="0" t="s">
        <v>76</v>
      </c>
      <c r="F4587" s="0" t="s">
        <v>77</v>
      </c>
      <c r="G4587" s="0" t="s">
        <v>160</v>
      </c>
      <c r="H4587" s="0" t="s">
        <v>159</v>
      </c>
      <c r="I4587" s="0" t="s">
        <v>38</v>
      </c>
      <c r="J4587" s="0" t="s">
        <v>39</v>
      </c>
      <c r="K4587" s="0" t="s">
        <v>30</v>
      </c>
      <c r="L4587" s="0" t="s">
        <v>31</v>
      </c>
      <c r="M4587" s="0" t="s">
        <v>140</v>
      </c>
      <c r="N4587" s="0" t="n">
        <v>1131</v>
      </c>
      <c r="O4587" s="10" t="n">
        <v>0.980821879114956</v>
      </c>
      <c r="P4587" s="10" t="n">
        <v>0.303055507596582</v>
      </c>
      <c r="Q4587" s="0" t="str">
        <f aca="false">SUBSTITUTE(SUBSTITUTE($I4587,CHAR(61),""),CHAR(34),"")</f>
        <v>15-24</v>
      </c>
      <c r="R4587" s="0" t="str">
        <f aca="false">IF($D4587&lt;&gt;"","["&amp;$E4587&amp;"]"&amp;"|"&amp;$Q4587&amp;"|"&amp;$K4587&amp;"|"&amp;$G4587&amp;"|"&amp;IF($G4587="TX_CURR_SUBNAT.R","CY2022Q4",$M4587),"")</f>
        <v>[lLDyBx5XyUi]|15-24|Female|PMTCT_ART_SUBNAT.N.New.T_1|CY2023Q3</v>
      </c>
    </row>
    <row r="4588" customFormat="false" ht="15" hidden="false" customHeight="false" outlineLevel="0" collapsed="false">
      <c r="D4588" s="0" t="s">
        <v>75</v>
      </c>
      <c r="E4588" s="0" t="s">
        <v>76</v>
      </c>
      <c r="F4588" s="0" t="s">
        <v>77</v>
      </c>
      <c r="G4588" s="0" t="s">
        <v>160</v>
      </c>
      <c r="H4588" s="0" t="s">
        <v>159</v>
      </c>
      <c r="I4588" s="0" t="s">
        <v>41</v>
      </c>
      <c r="J4588" s="0" t="s">
        <v>42</v>
      </c>
      <c r="K4588" s="0" t="s">
        <v>30</v>
      </c>
      <c r="L4588" s="0" t="s">
        <v>31</v>
      </c>
      <c r="M4588" s="0" t="s">
        <v>140</v>
      </c>
      <c r="N4588" s="0" t="n">
        <v>1255</v>
      </c>
      <c r="O4588" s="10" t="n">
        <v>0.542984219035134</v>
      </c>
      <c r="P4588" s="10" t="n">
        <v>0.303055507596582</v>
      </c>
      <c r="Q4588" s="0" t="str">
        <f aca="false">SUBSTITUTE(SUBSTITUTE($I4588,CHAR(61),""),CHAR(34),"")</f>
        <v>25-34</v>
      </c>
      <c r="R4588" s="0" t="str">
        <f aca="false">IF($D4588&lt;&gt;"","["&amp;$E4588&amp;"]"&amp;"|"&amp;$Q4588&amp;"|"&amp;$K4588&amp;"|"&amp;$G4588&amp;"|"&amp;IF($G4588="TX_CURR_SUBNAT.R","CY2022Q4",$M4588),"")</f>
        <v>[lLDyBx5XyUi]|25-34|Female|PMTCT_ART_SUBNAT.N.New.T_1|CY2023Q3</v>
      </c>
    </row>
    <row r="4589" customFormat="false" ht="15" hidden="false" customHeight="false" outlineLevel="0" collapsed="false">
      <c r="D4589" s="0" t="s">
        <v>75</v>
      </c>
      <c r="E4589" s="0" t="s">
        <v>76</v>
      </c>
      <c r="F4589" s="0" t="s">
        <v>77</v>
      </c>
      <c r="G4589" s="0" t="s">
        <v>160</v>
      </c>
      <c r="H4589" s="0" t="s">
        <v>159</v>
      </c>
      <c r="I4589" s="0" t="s">
        <v>43</v>
      </c>
      <c r="J4589" s="0" t="s">
        <v>44</v>
      </c>
      <c r="K4589" s="0" t="s">
        <v>30</v>
      </c>
      <c r="L4589" s="0" t="s">
        <v>31</v>
      </c>
      <c r="M4589" s="0" t="s">
        <v>140</v>
      </c>
      <c r="N4589" s="0" t="n">
        <v>1726</v>
      </c>
      <c r="O4589" s="10" t="n">
        <v>0.0302002110984176</v>
      </c>
      <c r="P4589" s="10" t="n">
        <v>0.303055507596582</v>
      </c>
      <c r="Q4589" s="0" t="str">
        <f aca="false">SUBSTITUTE(SUBSTITUTE($I4589,CHAR(61),""),CHAR(34),"")</f>
        <v>35-49</v>
      </c>
      <c r="R4589" s="0" t="str">
        <f aca="false">IF($D4589&lt;&gt;"","["&amp;$E4589&amp;"]"&amp;"|"&amp;$Q4589&amp;"|"&amp;$K4589&amp;"|"&amp;$G4589&amp;"|"&amp;IF($G4589="TX_CURR_SUBNAT.R","CY2022Q4",$M4589),"")</f>
        <v>[lLDyBx5XyUi]|35-49|Female|PMTCT_ART_SUBNAT.N.New.T_1|CY2023Q3</v>
      </c>
    </row>
    <row r="4590" customFormat="false" ht="15" hidden="false" customHeight="false" outlineLevel="0" collapsed="false">
      <c r="D4590" s="0" t="s">
        <v>78</v>
      </c>
      <c r="E4590" s="0" t="s">
        <v>79</v>
      </c>
      <c r="F4590" s="0" t="s">
        <v>80</v>
      </c>
      <c r="G4590" s="0" t="s">
        <v>160</v>
      </c>
      <c r="H4590" s="0" t="s">
        <v>159</v>
      </c>
      <c r="I4590" s="0" t="s">
        <v>38</v>
      </c>
      <c r="J4590" s="0" t="s">
        <v>39</v>
      </c>
      <c r="K4590" s="0" t="s">
        <v>30</v>
      </c>
      <c r="L4590" s="0" t="s">
        <v>31</v>
      </c>
      <c r="M4590" s="0" t="s">
        <v>140</v>
      </c>
      <c r="N4590" s="0" t="n">
        <v>1589</v>
      </c>
      <c r="O4590" s="10" t="n">
        <v>0.699978901538998</v>
      </c>
      <c r="P4590" s="10" t="n">
        <v>0.831597982207313</v>
      </c>
      <c r="Q4590" s="0" t="str">
        <f aca="false">SUBSTITUTE(SUBSTITUTE($I4590,CHAR(61),""),CHAR(34),"")</f>
        <v>15-24</v>
      </c>
      <c r="R4590" s="0" t="str">
        <f aca="false">IF($D4590&lt;&gt;"","["&amp;$E4590&amp;"]"&amp;"|"&amp;$Q4590&amp;"|"&amp;$K4590&amp;"|"&amp;$G4590&amp;"|"&amp;IF($G4590="TX_CURR_SUBNAT.R","CY2022Q4",$M4590),"")</f>
        <v>[TYnMSwzko3z]|15-24|Female|PMTCT_ART_SUBNAT.N.New.T_1|CY2023Q3</v>
      </c>
    </row>
    <row r="4591" customFormat="false" ht="15" hidden="false" customHeight="false" outlineLevel="0" collapsed="false">
      <c r="D4591" s="0" t="s">
        <v>78</v>
      </c>
      <c r="E4591" s="0" t="s">
        <v>79</v>
      </c>
      <c r="F4591" s="0" t="s">
        <v>80</v>
      </c>
      <c r="G4591" s="0" t="s">
        <v>160</v>
      </c>
      <c r="H4591" s="0" t="s">
        <v>159</v>
      </c>
      <c r="I4591" s="0" t="s">
        <v>41</v>
      </c>
      <c r="J4591" s="0" t="s">
        <v>42</v>
      </c>
      <c r="K4591" s="0" t="s">
        <v>30</v>
      </c>
      <c r="L4591" s="0" t="s">
        <v>31</v>
      </c>
      <c r="M4591" s="0" t="s">
        <v>140</v>
      </c>
      <c r="N4591" s="0" t="n">
        <v>1603</v>
      </c>
      <c r="O4591" s="10" t="n">
        <v>0.298710723407567</v>
      </c>
      <c r="P4591" s="10" t="n">
        <v>0.831597982207313</v>
      </c>
      <c r="Q4591" s="0" t="str">
        <f aca="false">SUBSTITUTE(SUBSTITUTE($I4591,CHAR(61),""),CHAR(34),"")</f>
        <v>25-34</v>
      </c>
      <c r="R4591" s="0" t="str">
        <f aca="false">IF($D4591&lt;&gt;"","["&amp;$E4591&amp;"]"&amp;"|"&amp;$Q4591&amp;"|"&amp;$K4591&amp;"|"&amp;$G4591&amp;"|"&amp;IF($G4591="TX_CURR_SUBNAT.R","CY2022Q4",$M4591),"")</f>
        <v>[TYnMSwzko3z]|25-34|Female|PMTCT_ART_SUBNAT.N.New.T_1|CY2023Q3</v>
      </c>
    </row>
    <row r="4592" customFormat="false" ht="15" hidden="false" customHeight="false" outlineLevel="0" collapsed="false">
      <c r="D4592" s="0" t="s">
        <v>78</v>
      </c>
      <c r="E4592" s="0" t="s">
        <v>79</v>
      </c>
      <c r="F4592" s="0" t="s">
        <v>80</v>
      </c>
      <c r="G4592" s="0" t="s">
        <v>160</v>
      </c>
      <c r="H4592" s="0" t="s">
        <v>159</v>
      </c>
      <c r="I4592" s="0" t="s">
        <v>43</v>
      </c>
      <c r="J4592" s="0" t="s">
        <v>44</v>
      </c>
      <c r="K4592" s="0" t="s">
        <v>30</v>
      </c>
      <c r="L4592" s="0" t="s">
        <v>31</v>
      </c>
      <c r="M4592" s="0" t="s">
        <v>140</v>
      </c>
      <c r="N4592" s="0" t="n">
        <v>889</v>
      </c>
      <c r="O4592" s="10" t="n">
        <v>0.508133527357131</v>
      </c>
      <c r="P4592" s="10" t="n">
        <v>0.831597982207313</v>
      </c>
      <c r="Q4592" s="0" t="str">
        <f aca="false">SUBSTITUTE(SUBSTITUTE($I4592,CHAR(61),""),CHAR(34),"")</f>
        <v>35-49</v>
      </c>
      <c r="R4592" s="0" t="str">
        <f aca="false">IF($D4592&lt;&gt;"","["&amp;$E4592&amp;"]"&amp;"|"&amp;$Q4592&amp;"|"&amp;$K4592&amp;"|"&amp;$G4592&amp;"|"&amp;IF($G4592="TX_CURR_SUBNAT.R","CY2022Q4",$M4592),"")</f>
        <v>[TYnMSwzko3z]|35-49|Female|PMTCT_ART_SUBNAT.N.New.T_1|CY2023Q3</v>
      </c>
    </row>
    <row r="4593" customFormat="false" ht="15" hidden="false" customHeight="false" outlineLevel="0" collapsed="false">
      <c r="D4593" s="0" t="s">
        <v>81</v>
      </c>
      <c r="E4593" s="0" t="s">
        <v>82</v>
      </c>
      <c r="F4593" s="0" t="s">
        <v>83</v>
      </c>
      <c r="G4593" s="0" t="s">
        <v>160</v>
      </c>
      <c r="H4593" s="0" t="s">
        <v>159</v>
      </c>
      <c r="I4593" s="0" t="s">
        <v>38</v>
      </c>
      <c r="J4593" s="0" t="s">
        <v>39</v>
      </c>
      <c r="K4593" s="0" t="s">
        <v>30</v>
      </c>
      <c r="L4593" s="0" t="s">
        <v>31</v>
      </c>
      <c r="M4593" s="0" t="s">
        <v>140</v>
      </c>
      <c r="N4593" s="0" t="n">
        <v>1901</v>
      </c>
      <c r="O4593" s="10" t="n">
        <v>0.0600218360777944</v>
      </c>
      <c r="P4593" s="10" t="n">
        <v>0.143331421539187</v>
      </c>
      <c r="Q4593" s="0" t="str">
        <f aca="false">SUBSTITUTE(SUBSTITUTE($I4593,CHAR(61),""),CHAR(34),"")</f>
        <v>15-24</v>
      </c>
      <c r="R4593" s="0" t="str">
        <f aca="false">IF($D4593&lt;&gt;"","["&amp;$E4593&amp;"]"&amp;"|"&amp;$Q4593&amp;"|"&amp;$K4593&amp;"|"&amp;$G4593&amp;"|"&amp;IF($G4593="TX_CURR_SUBNAT.R","CY2022Q4",$M4593),"")</f>
        <v>[ir8wuHHzoSs]|15-24|Female|PMTCT_ART_SUBNAT.N.New.T_1|CY2023Q3</v>
      </c>
    </row>
    <row r="4594" customFormat="false" ht="15" hidden="false" customHeight="false" outlineLevel="0" collapsed="false">
      <c r="D4594" s="0" t="s">
        <v>81</v>
      </c>
      <c r="E4594" s="0" t="s">
        <v>82</v>
      </c>
      <c r="F4594" s="0" t="s">
        <v>83</v>
      </c>
      <c r="G4594" s="0" t="s">
        <v>160</v>
      </c>
      <c r="H4594" s="0" t="s">
        <v>159</v>
      </c>
      <c r="I4594" s="0" t="s">
        <v>41</v>
      </c>
      <c r="J4594" s="0" t="s">
        <v>42</v>
      </c>
      <c r="K4594" s="0" t="s">
        <v>30</v>
      </c>
      <c r="L4594" s="0" t="s">
        <v>31</v>
      </c>
      <c r="M4594" s="0" t="s">
        <v>140</v>
      </c>
      <c r="N4594" s="0" t="n">
        <v>1715</v>
      </c>
      <c r="O4594" s="10" t="n">
        <v>0.707054119324312</v>
      </c>
      <c r="P4594" s="10" t="n">
        <v>0.143331421539187</v>
      </c>
      <c r="Q4594" s="0" t="str">
        <f aca="false">SUBSTITUTE(SUBSTITUTE($I4594,CHAR(61),""),CHAR(34),"")</f>
        <v>25-34</v>
      </c>
      <c r="R4594" s="0" t="str">
        <f aca="false">IF($D4594&lt;&gt;"","["&amp;$E4594&amp;"]"&amp;"|"&amp;$Q4594&amp;"|"&amp;$K4594&amp;"|"&amp;$G4594&amp;"|"&amp;IF($G4594="TX_CURR_SUBNAT.R","CY2022Q4",$M4594),"")</f>
        <v>[ir8wuHHzoSs]|25-34|Female|PMTCT_ART_SUBNAT.N.New.T_1|CY2023Q3</v>
      </c>
    </row>
    <row r="4595" customFormat="false" ht="15" hidden="false" customHeight="false" outlineLevel="0" collapsed="false">
      <c r="D4595" s="0" t="s">
        <v>81</v>
      </c>
      <c r="E4595" s="0" t="s">
        <v>82</v>
      </c>
      <c r="F4595" s="0" t="s">
        <v>83</v>
      </c>
      <c r="G4595" s="0" t="s">
        <v>160</v>
      </c>
      <c r="H4595" s="0" t="s">
        <v>159</v>
      </c>
      <c r="I4595" s="0" t="s">
        <v>43</v>
      </c>
      <c r="J4595" s="0" t="s">
        <v>44</v>
      </c>
      <c r="K4595" s="0" t="s">
        <v>30</v>
      </c>
      <c r="L4595" s="0" t="s">
        <v>31</v>
      </c>
      <c r="M4595" s="0" t="s">
        <v>140</v>
      </c>
      <c r="N4595" s="0" t="n">
        <v>1520</v>
      </c>
      <c r="O4595" s="10" t="n">
        <v>0.368141806218773</v>
      </c>
      <c r="P4595" s="10" t="n">
        <v>0.143331421539187</v>
      </c>
      <c r="Q4595" s="0" t="str">
        <f aca="false">SUBSTITUTE(SUBSTITUTE($I4595,CHAR(61),""),CHAR(34),"")</f>
        <v>35-49</v>
      </c>
      <c r="R4595" s="0" t="str">
        <f aca="false">IF($D4595&lt;&gt;"","["&amp;$E4595&amp;"]"&amp;"|"&amp;$Q4595&amp;"|"&amp;$K4595&amp;"|"&amp;$G4595&amp;"|"&amp;IF($G4595="TX_CURR_SUBNAT.R","CY2022Q4",$M4595),"")</f>
        <v>[ir8wuHHzoSs]|35-49|Female|PMTCT_ART_SUBNAT.N.New.T_1|CY2023Q3</v>
      </c>
    </row>
    <row r="4596" customFormat="false" ht="15" hidden="false" customHeight="false" outlineLevel="0" collapsed="false">
      <c r="D4596" s="0" t="s">
        <v>84</v>
      </c>
      <c r="E4596" s="0" t="s">
        <v>85</v>
      </c>
      <c r="F4596" s="0" t="s">
        <v>86</v>
      </c>
      <c r="G4596" s="0" t="s">
        <v>160</v>
      </c>
      <c r="H4596" s="0" t="s">
        <v>159</v>
      </c>
      <c r="I4596" s="0" t="s">
        <v>38</v>
      </c>
      <c r="J4596" s="0" t="s">
        <v>39</v>
      </c>
      <c r="K4596" s="0" t="s">
        <v>30</v>
      </c>
      <c r="L4596" s="0" t="s">
        <v>31</v>
      </c>
      <c r="M4596" s="0" t="s">
        <v>140</v>
      </c>
      <c r="N4596" s="0" t="n">
        <v>1120</v>
      </c>
      <c r="O4596" s="10" t="n">
        <v>0.945102686062455</v>
      </c>
      <c r="P4596" s="10" t="n">
        <v>0.0297887143678963</v>
      </c>
      <c r="Q4596" s="0" t="str">
        <f aca="false">SUBSTITUTE(SUBSTITUTE($I4596,CHAR(61),""),CHAR(34),"")</f>
        <v>15-24</v>
      </c>
      <c r="R4596" s="0" t="str">
        <f aca="false">IF($D4596&lt;&gt;"","["&amp;$E4596&amp;"]"&amp;"|"&amp;$Q4596&amp;"|"&amp;$K4596&amp;"|"&amp;$G4596&amp;"|"&amp;IF($G4596="TX_CURR_SUBNAT.R","CY2022Q4",$M4596),"")</f>
        <v>[fyEoGEPERdI]|15-24|Female|PMTCT_ART_SUBNAT.N.New.T_1|CY2023Q3</v>
      </c>
    </row>
    <row r="4597" customFormat="false" ht="15" hidden="false" customHeight="false" outlineLevel="0" collapsed="false">
      <c r="D4597" s="0" t="s">
        <v>84</v>
      </c>
      <c r="E4597" s="0" t="s">
        <v>85</v>
      </c>
      <c r="F4597" s="0" t="s">
        <v>86</v>
      </c>
      <c r="G4597" s="0" t="s">
        <v>160</v>
      </c>
      <c r="H4597" s="0" t="s">
        <v>159</v>
      </c>
      <c r="I4597" s="0" t="s">
        <v>41</v>
      </c>
      <c r="J4597" s="0" t="s">
        <v>42</v>
      </c>
      <c r="K4597" s="0" t="s">
        <v>30</v>
      </c>
      <c r="L4597" s="0" t="s">
        <v>31</v>
      </c>
      <c r="M4597" s="0" t="s">
        <v>140</v>
      </c>
      <c r="N4597" s="0" t="n">
        <v>856</v>
      </c>
      <c r="O4597" s="10" t="n">
        <v>0.290003681788221</v>
      </c>
      <c r="P4597" s="10" t="n">
        <v>0.0297887143678963</v>
      </c>
      <c r="Q4597" s="0" t="str">
        <f aca="false">SUBSTITUTE(SUBSTITUTE($I4597,CHAR(61),""),CHAR(34),"")</f>
        <v>25-34</v>
      </c>
      <c r="R4597" s="0" t="str">
        <f aca="false">IF($D4597&lt;&gt;"","["&amp;$E4597&amp;"]"&amp;"|"&amp;$Q4597&amp;"|"&amp;$K4597&amp;"|"&amp;$G4597&amp;"|"&amp;IF($G4597="TX_CURR_SUBNAT.R","CY2022Q4",$M4597),"")</f>
        <v>[fyEoGEPERdI]|25-34|Female|PMTCT_ART_SUBNAT.N.New.T_1|CY2023Q3</v>
      </c>
    </row>
    <row r="4598" customFormat="false" ht="15" hidden="false" customHeight="false" outlineLevel="0" collapsed="false">
      <c r="D4598" s="0" t="s">
        <v>84</v>
      </c>
      <c r="E4598" s="0" t="s">
        <v>85</v>
      </c>
      <c r="F4598" s="0" t="s">
        <v>86</v>
      </c>
      <c r="G4598" s="0" t="s">
        <v>160</v>
      </c>
      <c r="H4598" s="0" t="s">
        <v>159</v>
      </c>
      <c r="I4598" s="0" t="s">
        <v>43</v>
      </c>
      <c r="J4598" s="0" t="s">
        <v>44</v>
      </c>
      <c r="K4598" s="0" t="s">
        <v>30</v>
      </c>
      <c r="L4598" s="0" t="s">
        <v>31</v>
      </c>
      <c r="M4598" s="0" t="s">
        <v>140</v>
      </c>
      <c r="N4598" s="0" t="n">
        <v>536</v>
      </c>
      <c r="O4598" s="10" t="n">
        <v>0.496618221281096</v>
      </c>
      <c r="P4598" s="10" t="n">
        <v>0.0297887143678963</v>
      </c>
      <c r="Q4598" s="0" t="str">
        <f aca="false">SUBSTITUTE(SUBSTITUTE($I4598,CHAR(61),""),CHAR(34),"")</f>
        <v>35-49</v>
      </c>
      <c r="R4598" s="0" t="str">
        <f aca="false">IF($D4598&lt;&gt;"","["&amp;$E4598&amp;"]"&amp;"|"&amp;$Q4598&amp;"|"&amp;$K4598&amp;"|"&amp;$G4598&amp;"|"&amp;IF($G4598="TX_CURR_SUBNAT.R","CY2022Q4",$M4598),"")</f>
        <v>[fyEoGEPERdI]|35-49|Female|PMTCT_ART_SUBNAT.N.New.T_1|CY2023Q3</v>
      </c>
    </row>
    <row r="4599" customFormat="false" ht="15" hidden="false" customHeight="false" outlineLevel="0" collapsed="false">
      <c r="D4599" s="0" t="s">
        <v>87</v>
      </c>
      <c r="E4599" s="0" t="s">
        <v>88</v>
      </c>
      <c r="F4599" s="0" t="s">
        <v>89</v>
      </c>
      <c r="G4599" s="0" t="s">
        <v>160</v>
      </c>
      <c r="H4599" s="0" t="s">
        <v>159</v>
      </c>
      <c r="I4599" s="0" t="s">
        <v>38</v>
      </c>
      <c r="J4599" s="0" t="s">
        <v>39</v>
      </c>
      <c r="K4599" s="0" t="s">
        <v>30</v>
      </c>
      <c r="L4599" s="0" t="s">
        <v>31</v>
      </c>
      <c r="M4599" s="0" t="s">
        <v>140</v>
      </c>
      <c r="N4599" s="0" t="n">
        <v>922</v>
      </c>
      <c r="O4599" s="10" t="n">
        <v>0.975539757171646</v>
      </c>
      <c r="P4599" s="10" t="n">
        <v>0.133336380822584</v>
      </c>
      <c r="Q4599" s="0" t="str">
        <f aca="false">SUBSTITUTE(SUBSTITUTE($I4599,CHAR(61),""),CHAR(34),"")</f>
        <v>15-24</v>
      </c>
      <c r="R4599" s="0" t="str">
        <f aca="false">IF($D4599&lt;&gt;"","["&amp;$E4599&amp;"]"&amp;"|"&amp;$Q4599&amp;"|"&amp;$K4599&amp;"|"&amp;$G4599&amp;"|"&amp;IF($G4599="TX_CURR_SUBNAT.R","CY2022Q4",$M4599),"")</f>
        <v>[cPtvxaZqXIH]|15-24|Female|PMTCT_ART_SUBNAT.N.New.T_1|CY2023Q3</v>
      </c>
    </row>
    <row r="4600" customFormat="false" ht="15" hidden="false" customHeight="false" outlineLevel="0" collapsed="false">
      <c r="D4600" s="0" t="s">
        <v>87</v>
      </c>
      <c r="E4600" s="0" t="s">
        <v>88</v>
      </c>
      <c r="F4600" s="0" t="s">
        <v>89</v>
      </c>
      <c r="G4600" s="0" t="s">
        <v>160</v>
      </c>
      <c r="H4600" s="0" t="s">
        <v>159</v>
      </c>
      <c r="I4600" s="0" t="s">
        <v>41</v>
      </c>
      <c r="J4600" s="0" t="s">
        <v>42</v>
      </c>
      <c r="K4600" s="0" t="s">
        <v>30</v>
      </c>
      <c r="L4600" s="0" t="s">
        <v>31</v>
      </c>
      <c r="M4600" s="0" t="s">
        <v>140</v>
      </c>
      <c r="N4600" s="0" t="n">
        <v>1453</v>
      </c>
      <c r="O4600" s="10" t="n">
        <v>0.772054091561586</v>
      </c>
      <c r="P4600" s="10" t="n">
        <v>0.133336380822584</v>
      </c>
      <c r="Q4600" s="0" t="str">
        <f aca="false">SUBSTITUTE(SUBSTITUTE($I4600,CHAR(61),""),CHAR(34),"")</f>
        <v>25-34</v>
      </c>
      <c r="R4600" s="0" t="str">
        <f aca="false">IF($D4600&lt;&gt;"","["&amp;$E4600&amp;"]"&amp;"|"&amp;$Q4600&amp;"|"&amp;$K4600&amp;"|"&amp;$G4600&amp;"|"&amp;IF($G4600="TX_CURR_SUBNAT.R","CY2022Q4",$M4600),"")</f>
        <v>[cPtvxaZqXIH]|25-34|Female|PMTCT_ART_SUBNAT.N.New.T_1|CY2023Q3</v>
      </c>
    </row>
    <row r="4601" customFormat="false" ht="15" hidden="false" customHeight="false" outlineLevel="0" collapsed="false">
      <c r="D4601" s="0" t="s">
        <v>87</v>
      </c>
      <c r="E4601" s="0" t="s">
        <v>88</v>
      </c>
      <c r="F4601" s="0" t="s">
        <v>89</v>
      </c>
      <c r="G4601" s="0" t="s">
        <v>160</v>
      </c>
      <c r="H4601" s="0" t="s">
        <v>159</v>
      </c>
      <c r="I4601" s="0" t="s">
        <v>43</v>
      </c>
      <c r="J4601" s="0" t="s">
        <v>44</v>
      </c>
      <c r="K4601" s="0" t="s">
        <v>30</v>
      </c>
      <c r="L4601" s="0" t="s">
        <v>31</v>
      </c>
      <c r="M4601" s="0" t="s">
        <v>140</v>
      </c>
      <c r="N4601" s="0" t="n">
        <v>1171</v>
      </c>
      <c r="O4601" s="10" t="n">
        <v>0.613945816177875</v>
      </c>
      <c r="P4601" s="10" t="n">
        <v>0.133336380822584</v>
      </c>
      <c r="Q4601" s="0" t="str">
        <f aca="false">SUBSTITUTE(SUBSTITUTE($I4601,CHAR(61),""),CHAR(34),"")</f>
        <v>35-49</v>
      </c>
      <c r="R4601" s="0" t="str">
        <f aca="false">IF($D4601&lt;&gt;"","["&amp;$E4601&amp;"]"&amp;"|"&amp;$Q4601&amp;"|"&amp;$K4601&amp;"|"&amp;$G4601&amp;"|"&amp;IF($G4601="TX_CURR_SUBNAT.R","CY2022Q4",$M4601),"")</f>
        <v>[cPtvxaZqXIH]|35-49|Female|PMTCT_ART_SUBNAT.N.New.T_1|CY2023Q3</v>
      </c>
    </row>
    <row r="4602" customFormat="false" ht="15" hidden="false" customHeight="false" outlineLevel="0" collapsed="false">
      <c r="D4602" s="0" t="s">
        <v>90</v>
      </c>
      <c r="E4602" s="0" t="s">
        <v>91</v>
      </c>
      <c r="F4602" s="0" t="s">
        <v>92</v>
      </c>
      <c r="G4602" s="0" t="s">
        <v>160</v>
      </c>
      <c r="H4602" s="0" t="s">
        <v>159</v>
      </c>
      <c r="I4602" s="0" t="s">
        <v>38</v>
      </c>
      <c r="J4602" s="0" t="s">
        <v>39</v>
      </c>
      <c r="K4602" s="0" t="s">
        <v>30</v>
      </c>
      <c r="L4602" s="0" t="s">
        <v>31</v>
      </c>
      <c r="M4602" s="0" t="s">
        <v>140</v>
      </c>
      <c r="N4602" s="0" t="n">
        <v>1161</v>
      </c>
      <c r="O4602" s="10" t="n">
        <v>0.80501755932346</v>
      </c>
      <c r="P4602" s="10" t="n">
        <v>0.719914150424302</v>
      </c>
      <c r="Q4602" s="0" t="str">
        <f aca="false">SUBSTITUTE(SUBSTITUTE($I4602,CHAR(61),""),CHAR(34),"")</f>
        <v>15-24</v>
      </c>
      <c r="R4602" s="0" t="str">
        <f aca="false">IF($D4602&lt;&gt;"","["&amp;$E4602&amp;"]"&amp;"|"&amp;$Q4602&amp;"|"&amp;$K4602&amp;"|"&amp;$G4602&amp;"|"&amp;IF($G4602="TX_CURR_SUBNAT.R","CY2022Q4",$M4602),"")</f>
        <v>[AZyWpGzhcaA]|15-24|Female|PMTCT_ART_SUBNAT.N.New.T_1|CY2023Q3</v>
      </c>
    </row>
    <row r="4603" customFormat="false" ht="15" hidden="false" customHeight="false" outlineLevel="0" collapsed="false">
      <c r="D4603" s="0" t="s">
        <v>90</v>
      </c>
      <c r="E4603" s="0" t="s">
        <v>91</v>
      </c>
      <c r="F4603" s="0" t="s">
        <v>92</v>
      </c>
      <c r="G4603" s="0" t="s">
        <v>160</v>
      </c>
      <c r="H4603" s="0" t="s">
        <v>159</v>
      </c>
      <c r="I4603" s="0" t="s">
        <v>41</v>
      </c>
      <c r="J4603" s="0" t="s">
        <v>42</v>
      </c>
      <c r="K4603" s="0" t="s">
        <v>30</v>
      </c>
      <c r="L4603" s="0" t="s">
        <v>31</v>
      </c>
      <c r="M4603" s="0" t="s">
        <v>140</v>
      </c>
      <c r="N4603" s="0" t="n">
        <v>605</v>
      </c>
      <c r="O4603" s="10" t="n">
        <v>0.553659281460568</v>
      </c>
      <c r="P4603" s="10" t="n">
        <v>0.719914150424302</v>
      </c>
      <c r="Q4603" s="0" t="str">
        <f aca="false">SUBSTITUTE(SUBSTITUTE($I4603,CHAR(61),""),CHAR(34),"")</f>
        <v>25-34</v>
      </c>
      <c r="R4603" s="0" t="str">
        <f aca="false">IF($D4603&lt;&gt;"","["&amp;$E4603&amp;"]"&amp;"|"&amp;$Q4603&amp;"|"&amp;$K4603&amp;"|"&amp;$G4603&amp;"|"&amp;IF($G4603="TX_CURR_SUBNAT.R","CY2022Q4",$M4603),"")</f>
        <v>[AZyWpGzhcaA]|25-34|Female|PMTCT_ART_SUBNAT.N.New.T_1|CY2023Q3</v>
      </c>
    </row>
    <row r="4604" customFormat="false" ht="15" hidden="false" customHeight="false" outlineLevel="0" collapsed="false">
      <c r="D4604" s="0" t="s">
        <v>90</v>
      </c>
      <c r="E4604" s="0" t="s">
        <v>91</v>
      </c>
      <c r="F4604" s="0" t="s">
        <v>92</v>
      </c>
      <c r="G4604" s="0" t="s">
        <v>160</v>
      </c>
      <c r="H4604" s="0" t="s">
        <v>159</v>
      </c>
      <c r="I4604" s="0" t="s">
        <v>43</v>
      </c>
      <c r="J4604" s="0" t="s">
        <v>44</v>
      </c>
      <c r="K4604" s="0" t="s">
        <v>30</v>
      </c>
      <c r="L4604" s="0" t="s">
        <v>31</v>
      </c>
      <c r="M4604" s="0" t="s">
        <v>140</v>
      </c>
      <c r="N4604" s="0" t="n">
        <v>965</v>
      </c>
      <c r="O4604" s="10" t="n">
        <v>0.916543616447598</v>
      </c>
      <c r="P4604" s="10" t="n">
        <v>0.719914150424302</v>
      </c>
      <c r="Q4604" s="0" t="str">
        <f aca="false">SUBSTITUTE(SUBSTITUTE($I4604,CHAR(61),""),CHAR(34),"")</f>
        <v>35-49</v>
      </c>
      <c r="R4604" s="0" t="str">
        <f aca="false">IF($D4604&lt;&gt;"","["&amp;$E4604&amp;"]"&amp;"|"&amp;$Q4604&amp;"|"&amp;$K4604&amp;"|"&amp;$G4604&amp;"|"&amp;IF($G4604="TX_CURR_SUBNAT.R","CY2022Q4",$M4604),"")</f>
        <v>[AZyWpGzhcaA]|35-49|Female|PMTCT_ART_SUBNAT.N.New.T_1|CY2023Q3</v>
      </c>
    </row>
    <row r="4605" customFormat="false" ht="15" hidden="false" customHeight="false" outlineLevel="0" collapsed="false">
      <c r="D4605" s="0" t="s">
        <v>93</v>
      </c>
      <c r="E4605" s="0" t="s">
        <v>94</v>
      </c>
      <c r="F4605" s="0" t="s">
        <v>95</v>
      </c>
      <c r="G4605" s="0" t="s">
        <v>160</v>
      </c>
      <c r="H4605" s="0" t="s">
        <v>159</v>
      </c>
      <c r="I4605" s="0" t="s">
        <v>38</v>
      </c>
      <c r="J4605" s="0" t="s">
        <v>39</v>
      </c>
      <c r="K4605" s="0" t="s">
        <v>30</v>
      </c>
      <c r="L4605" s="0" t="s">
        <v>31</v>
      </c>
      <c r="M4605" s="0" t="s">
        <v>140</v>
      </c>
      <c r="N4605" s="0" t="n">
        <v>1006</v>
      </c>
      <c r="O4605" s="10" t="n">
        <v>0.62489574868232</v>
      </c>
      <c r="P4605" s="10" t="n">
        <v>0.362272296566516</v>
      </c>
      <c r="Q4605" s="0" t="str">
        <f aca="false">SUBSTITUTE(SUBSTITUTE($I4605,CHAR(61),""),CHAR(34),"")</f>
        <v>15-24</v>
      </c>
      <c r="R4605" s="0" t="str">
        <f aca="false">IF($D4605&lt;&gt;"","["&amp;$E4605&amp;"]"&amp;"|"&amp;$Q4605&amp;"|"&amp;$K4605&amp;"|"&amp;$G4605&amp;"|"&amp;IF($G4605="TX_CURR_SUBNAT.R","CY2022Q4",$M4605),"")</f>
        <v>[umc2n1Z4wNv]|15-24|Female|PMTCT_ART_SUBNAT.N.New.T_1|CY2023Q3</v>
      </c>
    </row>
    <row r="4606" customFormat="false" ht="15" hidden="false" customHeight="false" outlineLevel="0" collapsed="false">
      <c r="D4606" s="0" t="s">
        <v>93</v>
      </c>
      <c r="E4606" s="0" t="s">
        <v>94</v>
      </c>
      <c r="F4606" s="0" t="s">
        <v>95</v>
      </c>
      <c r="G4606" s="0" t="s">
        <v>160</v>
      </c>
      <c r="H4606" s="0" t="s">
        <v>159</v>
      </c>
      <c r="I4606" s="0" t="s">
        <v>41</v>
      </c>
      <c r="J4606" s="0" t="s">
        <v>42</v>
      </c>
      <c r="K4606" s="0" t="s">
        <v>30</v>
      </c>
      <c r="L4606" s="0" t="s">
        <v>31</v>
      </c>
      <c r="M4606" s="0" t="s">
        <v>140</v>
      </c>
      <c r="N4606" s="0" t="n">
        <v>842</v>
      </c>
      <c r="O4606" s="10" t="n">
        <v>0.916253944160417</v>
      </c>
      <c r="P4606" s="10" t="n">
        <v>0.362272296566516</v>
      </c>
      <c r="Q4606" s="0" t="str">
        <f aca="false">SUBSTITUTE(SUBSTITUTE($I4606,CHAR(61),""),CHAR(34),"")</f>
        <v>25-34</v>
      </c>
      <c r="R4606" s="0" t="str">
        <f aca="false">IF($D4606&lt;&gt;"","["&amp;$E4606&amp;"]"&amp;"|"&amp;$Q4606&amp;"|"&amp;$K4606&amp;"|"&amp;$G4606&amp;"|"&amp;IF($G4606="TX_CURR_SUBNAT.R","CY2022Q4",$M4606),"")</f>
        <v>[umc2n1Z4wNv]|25-34|Female|PMTCT_ART_SUBNAT.N.New.T_1|CY2023Q3</v>
      </c>
    </row>
    <row r="4607" customFormat="false" ht="15" hidden="false" customHeight="false" outlineLevel="0" collapsed="false">
      <c r="D4607" s="0" t="s">
        <v>93</v>
      </c>
      <c r="E4607" s="0" t="s">
        <v>94</v>
      </c>
      <c r="F4607" s="0" t="s">
        <v>95</v>
      </c>
      <c r="G4607" s="0" t="s">
        <v>160</v>
      </c>
      <c r="H4607" s="0" t="s">
        <v>159</v>
      </c>
      <c r="I4607" s="0" t="s">
        <v>43</v>
      </c>
      <c r="J4607" s="0" t="s">
        <v>44</v>
      </c>
      <c r="K4607" s="0" t="s">
        <v>30</v>
      </c>
      <c r="L4607" s="0" t="s">
        <v>31</v>
      </c>
      <c r="M4607" s="0" t="s">
        <v>140</v>
      </c>
      <c r="N4607" s="0" t="n">
        <v>698</v>
      </c>
      <c r="O4607" s="10" t="n">
        <v>0.559248015517369</v>
      </c>
      <c r="P4607" s="10" t="n">
        <v>0.362272296566516</v>
      </c>
      <c r="Q4607" s="0" t="str">
        <f aca="false">SUBSTITUTE(SUBSTITUTE($I4607,CHAR(61),""),CHAR(34),"")</f>
        <v>35-49</v>
      </c>
      <c r="R4607" s="0" t="str">
        <f aca="false">IF($D4607&lt;&gt;"","["&amp;$E4607&amp;"]"&amp;"|"&amp;$Q4607&amp;"|"&amp;$K4607&amp;"|"&amp;$G4607&amp;"|"&amp;IF($G4607="TX_CURR_SUBNAT.R","CY2022Q4",$M4607),"")</f>
        <v>[umc2n1Z4wNv]|35-49|Female|PMTCT_ART_SUBNAT.N.New.T_1|CY2023Q3</v>
      </c>
    </row>
    <row r="4608" customFormat="false" ht="15" hidden="false" customHeight="false" outlineLevel="0" collapsed="false">
      <c r="D4608" s="0" t="s">
        <v>96</v>
      </c>
      <c r="E4608" s="0" t="s">
        <v>97</v>
      </c>
      <c r="F4608" s="0" t="s">
        <v>98</v>
      </c>
      <c r="G4608" s="0" t="s">
        <v>160</v>
      </c>
      <c r="H4608" s="0" t="s">
        <v>159</v>
      </c>
      <c r="I4608" s="0" t="s">
        <v>38</v>
      </c>
      <c r="J4608" s="0" t="s">
        <v>39</v>
      </c>
      <c r="K4608" s="0" t="s">
        <v>30</v>
      </c>
      <c r="L4608" s="0" t="s">
        <v>31</v>
      </c>
      <c r="M4608" s="0" t="s">
        <v>140</v>
      </c>
      <c r="N4608" s="0" t="n">
        <v>689</v>
      </c>
      <c r="O4608" s="10" t="n">
        <v>0.531900175847113</v>
      </c>
      <c r="P4608" s="10" t="n">
        <v>0.601251717889681</v>
      </c>
      <c r="Q4608" s="0" t="str">
        <f aca="false">SUBSTITUTE(SUBSTITUTE($I4608,CHAR(61),""),CHAR(34),"")</f>
        <v>15-24</v>
      </c>
      <c r="R4608" s="0" t="str">
        <f aca="false">IF($D4608&lt;&gt;"","["&amp;$E4608&amp;"]"&amp;"|"&amp;$Q4608&amp;"|"&amp;$K4608&amp;"|"&amp;$G4608&amp;"|"&amp;IF($G4608="TX_CURR_SUBNAT.R","CY2022Q4",$M4608),"")</f>
        <v>[gwVYinjBAe9]|15-24|Female|PMTCT_ART_SUBNAT.N.New.T_1|CY2023Q3</v>
      </c>
    </row>
    <row r="4609" customFormat="false" ht="15" hidden="false" customHeight="false" outlineLevel="0" collapsed="false">
      <c r="D4609" s="0" t="s">
        <v>96</v>
      </c>
      <c r="E4609" s="0" t="s">
        <v>97</v>
      </c>
      <c r="F4609" s="0" t="s">
        <v>98</v>
      </c>
      <c r="G4609" s="0" t="s">
        <v>160</v>
      </c>
      <c r="H4609" s="0" t="s">
        <v>159</v>
      </c>
      <c r="I4609" s="0" t="s">
        <v>41</v>
      </c>
      <c r="J4609" s="0" t="s">
        <v>42</v>
      </c>
      <c r="K4609" s="0" t="s">
        <v>30</v>
      </c>
      <c r="L4609" s="0" t="s">
        <v>31</v>
      </c>
      <c r="M4609" s="0" t="s">
        <v>140</v>
      </c>
      <c r="N4609" s="0" t="n">
        <v>1660</v>
      </c>
      <c r="O4609" s="10" t="n">
        <v>0.78904941258952</v>
      </c>
      <c r="P4609" s="10" t="n">
        <v>0.601251717889681</v>
      </c>
      <c r="Q4609" s="0" t="str">
        <f aca="false">SUBSTITUTE(SUBSTITUTE($I4609,CHAR(61),""),CHAR(34),"")</f>
        <v>25-34</v>
      </c>
      <c r="R4609" s="0" t="str">
        <f aca="false">IF($D4609&lt;&gt;"","["&amp;$E4609&amp;"]"&amp;"|"&amp;$Q4609&amp;"|"&amp;$K4609&amp;"|"&amp;$G4609&amp;"|"&amp;IF($G4609="TX_CURR_SUBNAT.R","CY2022Q4",$M4609),"")</f>
        <v>[gwVYinjBAe9]|25-34|Female|PMTCT_ART_SUBNAT.N.New.T_1|CY2023Q3</v>
      </c>
    </row>
    <row r="4610" customFormat="false" ht="15" hidden="false" customHeight="false" outlineLevel="0" collapsed="false">
      <c r="D4610" s="0" t="s">
        <v>96</v>
      </c>
      <c r="E4610" s="0" t="s">
        <v>97</v>
      </c>
      <c r="F4610" s="0" t="s">
        <v>98</v>
      </c>
      <c r="G4610" s="0" t="s">
        <v>160</v>
      </c>
      <c r="H4610" s="0" t="s">
        <v>159</v>
      </c>
      <c r="I4610" s="0" t="s">
        <v>43</v>
      </c>
      <c r="J4610" s="0" t="s">
        <v>44</v>
      </c>
      <c r="K4610" s="0" t="s">
        <v>30</v>
      </c>
      <c r="L4610" s="0" t="s">
        <v>31</v>
      </c>
      <c r="M4610" s="0" t="s">
        <v>140</v>
      </c>
      <c r="N4610" s="0" t="n">
        <v>1358</v>
      </c>
      <c r="O4610" s="10" t="n">
        <v>0.992266078945249</v>
      </c>
      <c r="P4610" s="10" t="n">
        <v>0.601251717889681</v>
      </c>
      <c r="Q4610" s="0" t="str">
        <f aca="false">SUBSTITUTE(SUBSTITUTE($I4610,CHAR(61),""),CHAR(34),"")</f>
        <v>35-49</v>
      </c>
      <c r="R4610" s="0" t="str">
        <f aca="false">IF($D4610&lt;&gt;"","["&amp;$E4610&amp;"]"&amp;"|"&amp;$Q4610&amp;"|"&amp;$K4610&amp;"|"&amp;$G4610&amp;"|"&amp;IF($G4610="TX_CURR_SUBNAT.R","CY2022Q4",$M4610),"")</f>
        <v>[gwVYinjBAe9]|35-49|Female|PMTCT_ART_SUBNAT.N.New.T_1|CY2023Q3</v>
      </c>
    </row>
    <row r="4611" customFormat="false" ht="15" hidden="false" customHeight="false" outlineLevel="0" collapsed="false">
      <c r="D4611" s="0" t="s">
        <v>99</v>
      </c>
      <c r="E4611" s="0" t="s">
        <v>100</v>
      </c>
      <c r="F4611" s="0" t="s">
        <v>101</v>
      </c>
      <c r="G4611" s="0" t="s">
        <v>160</v>
      </c>
      <c r="H4611" s="0" t="s">
        <v>159</v>
      </c>
      <c r="I4611" s="0" t="s">
        <v>38</v>
      </c>
      <c r="J4611" s="0" t="s">
        <v>39</v>
      </c>
      <c r="K4611" s="0" t="s">
        <v>30</v>
      </c>
      <c r="L4611" s="0" t="s">
        <v>31</v>
      </c>
      <c r="M4611" s="0" t="s">
        <v>140</v>
      </c>
      <c r="N4611" s="0" t="n">
        <v>1071</v>
      </c>
      <c r="O4611" s="10" t="n">
        <v>0.0755365947261453</v>
      </c>
      <c r="P4611" s="10" t="n">
        <v>0.577288038097322</v>
      </c>
      <c r="Q4611" s="0" t="str">
        <f aca="false">SUBSTITUTE(SUBSTITUTE($I4611,CHAR(61),""),CHAR(34),"")</f>
        <v>15-24</v>
      </c>
      <c r="R4611" s="0" t="str">
        <f aca="false">IF($D4611&lt;&gt;"","["&amp;$E4611&amp;"]"&amp;"|"&amp;$Q4611&amp;"|"&amp;$K4611&amp;"|"&amp;$G4611&amp;"|"&amp;IF($G4611="TX_CURR_SUBNAT.R","CY2022Q4",$M4611),"")</f>
        <v>[mxqa3CDFmIT]|15-24|Female|PMTCT_ART_SUBNAT.N.New.T_1|CY2023Q3</v>
      </c>
    </row>
    <row r="4612" customFormat="false" ht="15" hidden="false" customHeight="false" outlineLevel="0" collapsed="false">
      <c r="D4612" s="0" t="s">
        <v>99</v>
      </c>
      <c r="E4612" s="0" t="s">
        <v>100</v>
      </c>
      <c r="F4612" s="0" t="s">
        <v>101</v>
      </c>
      <c r="G4612" s="0" t="s">
        <v>160</v>
      </c>
      <c r="H4612" s="0" t="s">
        <v>159</v>
      </c>
      <c r="I4612" s="0" t="s">
        <v>41</v>
      </c>
      <c r="J4612" s="0" t="s">
        <v>42</v>
      </c>
      <c r="K4612" s="0" t="s">
        <v>30</v>
      </c>
      <c r="L4612" s="0" t="s">
        <v>31</v>
      </c>
      <c r="M4612" s="0" t="s">
        <v>140</v>
      </c>
      <c r="N4612" s="0" t="n">
        <v>644</v>
      </c>
      <c r="O4612" s="10" t="n">
        <v>0.93196649919264</v>
      </c>
      <c r="P4612" s="10" t="n">
        <v>0.577288038097322</v>
      </c>
      <c r="Q4612" s="0" t="str">
        <f aca="false">SUBSTITUTE(SUBSTITUTE($I4612,CHAR(61),""),CHAR(34),"")</f>
        <v>25-34</v>
      </c>
      <c r="R4612" s="0" t="str">
        <f aca="false">IF($D4612&lt;&gt;"","["&amp;$E4612&amp;"]"&amp;"|"&amp;$Q4612&amp;"|"&amp;$K4612&amp;"|"&amp;$G4612&amp;"|"&amp;IF($G4612="TX_CURR_SUBNAT.R","CY2022Q4",$M4612),"")</f>
        <v>[mxqa3CDFmIT]|25-34|Female|PMTCT_ART_SUBNAT.N.New.T_1|CY2023Q3</v>
      </c>
    </row>
    <row r="4613" customFormat="false" ht="15" hidden="false" customHeight="false" outlineLevel="0" collapsed="false">
      <c r="D4613" s="0" t="s">
        <v>99</v>
      </c>
      <c r="E4613" s="0" t="s">
        <v>100</v>
      </c>
      <c r="F4613" s="0" t="s">
        <v>101</v>
      </c>
      <c r="G4613" s="0" t="s">
        <v>160</v>
      </c>
      <c r="H4613" s="0" t="s">
        <v>159</v>
      </c>
      <c r="I4613" s="0" t="s">
        <v>43</v>
      </c>
      <c r="J4613" s="0" t="s">
        <v>44</v>
      </c>
      <c r="K4613" s="0" t="s">
        <v>30</v>
      </c>
      <c r="L4613" s="0" t="s">
        <v>31</v>
      </c>
      <c r="M4613" s="0" t="s">
        <v>140</v>
      </c>
      <c r="N4613" s="0" t="n">
        <v>1179</v>
      </c>
      <c r="O4613" s="10" t="n">
        <v>0.270092487335205</v>
      </c>
      <c r="P4613" s="10" t="n">
        <v>0.577288038097322</v>
      </c>
      <c r="Q4613" s="0" t="str">
        <f aca="false">SUBSTITUTE(SUBSTITUTE($I4613,CHAR(61),""),CHAR(34),"")</f>
        <v>35-49</v>
      </c>
      <c r="R4613" s="0" t="str">
        <f aca="false">IF($D4613&lt;&gt;"","["&amp;$E4613&amp;"]"&amp;"|"&amp;$Q4613&amp;"|"&amp;$K4613&amp;"|"&amp;$G4613&amp;"|"&amp;IF($G4613="TX_CURR_SUBNAT.R","CY2022Q4",$M4613),"")</f>
        <v>[mxqa3CDFmIT]|35-49|Female|PMTCT_ART_SUBNAT.N.New.T_1|CY2023Q3</v>
      </c>
    </row>
    <row r="4614" customFormat="false" ht="15" hidden="false" customHeight="false" outlineLevel="0" collapsed="false">
      <c r="D4614" s="0" t="s">
        <v>102</v>
      </c>
      <c r="E4614" s="0" t="s">
        <v>103</v>
      </c>
      <c r="F4614" s="0" t="s">
        <v>104</v>
      </c>
      <c r="G4614" s="0" t="s">
        <v>160</v>
      </c>
      <c r="H4614" s="0" t="s">
        <v>159</v>
      </c>
      <c r="I4614" s="0" t="s">
        <v>38</v>
      </c>
      <c r="J4614" s="0" t="s">
        <v>39</v>
      </c>
      <c r="K4614" s="0" t="s">
        <v>30</v>
      </c>
      <c r="L4614" s="0" t="s">
        <v>31</v>
      </c>
      <c r="M4614" s="0" t="s">
        <v>140</v>
      </c>
      <c r="N4614" s="0" t="n">
        <v>1001</v>
      </c>
      <c r="O4614" s="10" t="n">
        <v>0.319053819403052</v>
      </c>
      <c r="P4614" s="10" t="n">
        <v>0.526212359312922</v>
      </c>
      <c r="Q4614" s="0" t="str">
        <f aca="false">SUBSTITUTE(SUBSTITUTE($I4614,CHAR(61),""),CHAR(34),"")</f>
        <v>15-24</v>
      </c>
      <c r="R4614" s="0" t="str">
        <f aca="false">IF($D4614&lt;&gt;"","["&amp;$E4614&amp;"]"&amp;"|"&amp;$Q4614&amp;"|"&amp;$K4614&amp;"|"&amp;$G4614&amp;"|"&amp;IF($G4614="TX_CURR_SUBNAT.R","CY2022Q4",$M4614),"")</f>
        <v>[wNqJp8oRIcF]|15-24|Female|PMTCT_ART_SUBNAT.N.New.T_1|CY2023Q3</v>
      </c>
    </row>
    <row r="4615" customFormat="false" ht="15" hidden="false" customHeight="false" outlineLevel="0" collapsed="false">
      <c r="D4615" s="0" t="s">
        <v>102</v>
      </c>
      <c r="E4615" s="0" t="s">
        <v>103</v>
      </c>
      <c r="F4615" s="0" t="s">
        <v>104</v>
      </c>
      <c r="G4615" s="0" t="s">
        <v>160</v>
      </c>
      <c r="H4615" s="0" t="s">
        <v>159</v>
      </c>
      <c r="I4615" s="0" t="s">
        <v>41</v>
      </c>
      <c r="J4615" s="0" t="s">
        <v>42</v>
      </c>
      <c r="K4615" s="0" t="s">
        <v>30</v>
      </c>
      <c r="L4615" s="0" t="s">
        <v>31</v>
      </c>
      <c r="M4615" s="0" t="s">
        <v>140</v>
      </c>
      <c r="N4615" s="0" t="n">
        <v>882</v>
      </c>
      <c r="O4615" s="10" t="n">
        <v>0.499522318830714</v>
      </c>
      <c r="P4615" s="10" t="n">
        <v>0.526212359312922</v>
      </c>
      <c r="Q4615" s="0" t="str">
        <f aca="false">SUBSTITUTE(SUBSTITUTE($I4615,CHAR(61),""),CHAR(34),"")</f>
        <v>25-34</v>
      </c>
      <c r="R4615" s="0" t="str">
        <f aca="false">IF($D4615&lt;&gt;"","["&amp;$E4615&amp;"]"&amp;"|"&amp;$Q4615&amp;"|"&amp;$K4615&amp;"|"&amp;$G4615&amp;"|"&amp;IF($G4615="TX_CURR_SUBNAT.R","CY2022Q4",$M4615),"")</f>
        <v>[wNqJp8oRIcF]|25-34|Female|PMTCT_ART_SUBNAT.N.New.T_1|CY2023Q3</v>
      </c>
    </row>
    <row r="4616" customFormat="false" ht="15" hidden="false" customHeight="false" outlineLevel="0" collapsed="false">
      <c r="D4616" s="0" t="s">
        <v>102</v>
      </c>
      <c r="E4616" s="0" t="s">
        <v>103</v>
      </c>
      <c r="F4616" s="0" t="s">
        <v>104</v>
      </c>
      <c r="G4616" s="0" t="s">
        <v>160</v>
      </c>
      <c r="H4616" s="0" t="s">
        <v>159</v>
      </c>
      <c r="I4616" s="0" t="s">
        <v>43</v>
      </c>
      <c r="J4616" s="0" t="s">
        <v>44</v>
      </c>
      <c r="K4616" s="0" t="s">
        <v>30</v>
      </c>
      <c r="L4616" s="0" t="s">
        <v>31</v>
      </c>
      <c r="M4616" s="0" t="s">
        <v>140</v>
      </c>
      <c r="N4616" s="0" t="n">
        <v>1310</v>
      </c>
      <c r="O4616" s="10" t="n">
        <v>0.129178463481367</v>
      </c>
      <c r="P4616" s="10" t="n">
        <v>0.526212359312922</v>
      </c>
      <c r="Q4616" s="0" t="str">
        <f aca="false">SUBSTITUTE(SUBSTITUTE($I4616,CHAR(61),""),CHAR(34),"")</f>
        <v>35-49</v>
      </c>
      <c r="R4616" s="0" t="str">
        <f aca="false">IF($D4616&lt;&gt;"","["&amp;$E4616&amp;"]"&amp;"|"&amp;$Q4616&amp;"|"&amp;$K4616&amp;"|"&amp;$G4616&amp;"|"&amp;IF($G4616="TX_CURR_SUBNAT.R","CY2022Q4",$M4616),"")</f>
        <v>[wNqJp8oRIcF]|35-49|Female|PMTCT_ART_SUBNAT.N.New.T_1|CY2023Q3</v>
      </c>
    </row>
    <row r="4617" customFormat="false" ht="15" hidden="false" customHeight="false" outlineLevel="0" collapsed="false">
      <c r="D4617" s="0" t="s">
        <v>105</v>
      </c>
      <c r="E4617" s="0" t="s">
        <v>106</v>
      </c>
      <c r="F4617" s="0" t="s">
        <v>107</v>
      </c>
      <c r="G4617" s="0" t="s">
        <v>160</v>
      </c>
      <c r="H4617" s="0" t="s">
        <v>159</v>
      </c>
      <c r="I4617" s="0" t="s">
        <v>38</v>
      </c>
      <c r="J4617" s="0" t="s">
        <v>39</v>
      </c>
      <c r="K4617" s="0" t="s">
        <v>30</v>
      </c>
      <c r="L4617" s="0" t="s">
        <v>31</v>
      </c>
      <c r="M4617" s="0" t="s">
        <v>140</v>
      </c>
      <c r="N4617" s="0" t="n">
        <v>973</v>
      </c>
      <c r="O4617" s="10" t="n">
        <v>0.781821724725887</v>
      </c>
      <c r="P4617" s="10" t="n">
        <v>0.218249560333788</v>
      </c>
      <c r="Q4617" s="0" t="str">
        <f aca="false">SUBSTITUTE(SUBSTITUTE($I4617,CHAR(61),""),CHAR(34),"")</f>
        <v>15-24</v>
      </c>
      <c r="R4617" s="0" t="str">
        <f aca="false">IF($D4617&lt;&gt;"","["&amp;$E4617&amp;"]"&amp;"|"&amp;$Q4617&amp;"|"&amp;$K4617&amp;"|"&amp;$G4617&amp;"|"&amp;IF($G4617="TX_CURR_SUBNAT.R","CY2022Q4",$M4617),"")</f>
        <v>[oiPR2CiVJbf]|15-24|Female|PMTCT_ART_SUBNAT.N.New.T_1|CY2023Q3</v>
      </c>
    </row>
    <row r="4618" customFormat="false" ht="15" hidden="false" customHeight="false" outlineLevel="0" collapsed="false">
      <c r="D4618" s="0" t="s">
        <v>105</v>
      </c>
      <c r="E4618" s="0" t="s">
        <v>106</v>
      </c>
      <c r="F4618" s="0" t="s">
        <v>107</v>
      </c>
      <c r="G4618" s="0" t="s">
        <v>160</v>
      </c>
      <c r="H4618" s="0" t="s">
        <v>159</v>
      </c>
      <c r="I4618" s="0" t="s">
        <v>41</v>
      </c>
      <c r="J4618" s="0" t="s">
        <v>42</v>
      </c>
      <c r="K4618" s="0" t="s">
        <v>30</v>
      </c>
      <c r="L4618" s="0" t="s">
        <v>31</v>
      </c>
      <c r="M4618" s="0" t="s">
        <v>140</v>
      </c>
      <c r="N4618" s="0" t="n">
        <v>1303</v>
      </c>
      <c r="O4618" s="10" t="n">
        <v>0.527965609449893</v>
      </c>
      <c r="P4618" s="10" t="n">
        <v>0.218249560333788</v>
      </c>
      <c r="Q4618" s="0" t="str">
        <f aca="false">SUBSTITUTE(SUBSTITUTE($I4618,CHAR(61),""),CHAR(34),"")</f>
        <v>25-34</v>
      </c>
      <c r="R4618" s="0" t="str">
        <f aca="false">IF($D4618&lt;&gt;"","["&amp;$E4618&amp;"]"&amp;"|"&amp;$Q4618&amp;"|"&amp;$K4618&amp;"|"&amp;$G4618&amp;"|"&amp;IF($G4618="TX_CURR_SUBNAT.R","CY2022Q4",$M4618),"")</f>
        <v>[oiPR2CiVJbf]|25-34|Female|PMTCT_ART_SUBNAT.N.New.T_1|CY2023Q3</v>
      </c>
    </row>
    <row r="4619" customFormat="false" ht="15" hidden="false" customHeight="false" outlineLevel="0" collapsed="false">
      <c r="D4619" s="0" t="s">
        <v>105</v>
      </c>
      <c r="E4619" s="0" t="s">
        <v>106</v>
      </c>
      <c r="F4619" s="0" t="s">
        <v>107</v>
      </c>
      <c r="G4619" s="0" t="s">
        <v>160</v>
      </c>
      <c r="H4619" s="0" t="s">
        <v>159</v>
      </c>
      <c r="I4619" s="0" t="s">
        <v>43</v>
      </c>
      <c r="J4619" s="0" t="s">
        <v>44</v>
      </c>
      <c r="K4619" s="0" t="s">
        <v>30</v>
      </c>
      <c r="L4619" s="0" t="s">
        <v>31</v>
      </c>
      <c r="M4619" s="0" t="s">
        <v>140</v>
      </c>
      <c r="N4619" s="0" t="n">
        <v>997</v>
      </c>
      <c r="O4619" s="10" t="n">
        <v>0.243660641368479</v>
      </c>
      <c r="P4619" s="10" t="n">
        <v>0.218249560333788</v>
      </c>
      <c r="Q4619" s="0" t="str">
        <f aca="false">SUBSTITUTE(SUBSTITUTE($I4619,CHAR(61),""),CHAR(34),"")</f>
        <v>35-49</v>
      </c>
      <c r="R4619" s="0" t="str">
        <f aca="false">IF($D4619&lt;&gt;"","["&amp;$E4619&amp;"]"&amp;"|"&amp;$Q4619&amp;"|"&amp;$K4619&amp;"|"&amp;$G4619&amp;"|"&amp;IF($G4619="TX_CURR_SUBNAT.R","CY2022Q4",$M4619),"")</f>
        <v>[oiPR2CiVJbf]|35-49|Female|PMTCT_ART_SUBNAT.N.New.T_1|CY2023Q3</v>
      </c>
    </row>
    <row r="4620" customFormat="false" ht="15" hidden="false" customHeight="false" outlineLevel="0" collapsed="false">
      <c r="D4620" s="0" t="s">
        <v>108</v>
      </c>
      <c r="E4620" s="0" t="s">
        <v>109</v>
      </c>
      <c r="F4620" s="0" t="s">
        <v>110</v>
      </c>
      <c r="G4620" s="0" t="s">
        <v>160</v>
      </c>
      <c r="H4620" s="0" t="s">
        <v>159</v>
      </c>
      <c r="I4620" s="0" t="s">
        <v>38</v>
      </c>
      <c r="J4620" s="0" t="s">
        <v>39</v>
      </c>
      <c r="K4620" s="0" t="s">
        <v>30</v>
      </c>
      <c r="L4620" s="0" t="s">
        <v>31</v>
      </c>
      <c r="M4620" s="0" t="s">
        <v>140</v>
      </c>
      <c r="N4620" s="0" t="n">
        <v>1459</v>
      </c>
      <c r="O4620" s="10" t="n">
        <v>0.151205855188891</v>
      </c>
      <c r="P4620" s="10" t="n">
        <v>0.434221804374829</v>
      </c>
      <c r="Q4620" s="0" t="str">
        <f aca="false">SUBSTITUTE(SUBSTITUTE($I4620,CHAR(61),""),CHAR(34),"")</f>
        <v>15-24</v>
      </c>
      <c r="R4620" s="0" t="str">
        <f aca="false">IF($D4620&lt;&gt;"","["&amp;$E4620&amp;"]"&amp;"|"&amp;$Q4620&amp;"|"&amp;$K4620&amp;"|"&amp;$G4620&amp;"|"&amp;IF($G4620="TX_CURR_SUBNAT.R","CY2022Q4",$M4620),"")</f>
        <v>[ul0y9diGujK]|15-24|Female|PMTCT_ART_SUBNAT.N.New.T_1|CY2023Q3</v>
      </c>
    </row>
    <row r="4621" customFormat="false" ht="15" hidden="false" customHeight="false" outlineLevel="0" collapsed="false">
      <c r="D4621" s="0" t="s">
        <v>108</v>
      </c>
      <c r="E4621" s="0" t="s">
        <v>109</v>
      </c>
      <c r="F4621" s="0" t="s">
        <v>110</v>
      </c>
      <c r="G4621" s="0" t="s">
        <v>160</v>
      </c>
      <c r="H4621" s="0" t="s">
        <v>159</v>
      </c>
      <c r="I4621" s="0" t="s">
        <v>41</v>
      </c>
      <c r="J4621" s="0" t="s">
        <v>42</v>
      </c>
      <c r="K4621" s="0" t="s">
        <v>30</v>
      </c>
      <c r="L4621" s="0" t="s">
        <v>31</v>
      </c>
      <c r="M4621" s="0" t="s">
        <v>140</v>
      </c>
      <c r="N4621" s="0" t="n">
        <v>1047</v>
      </c>
      <c r="O4621" s="10" t="n">
        <v>0.92521737376228</v>
      </c>
      <c r="P4621" s="10" t="n">
        <v>0.434221804374829</v>
      </c>
      <c r="Q4621" s="0" t="str">
        <f aca="false">SUBSTITUTE(SUBSTITUTE($I4621,CHAR(61),""),CHAR(34),"")</f>
        <v>25-34</v>
      </c>
      <c r="R4621" s="0" t="str">
        <f aca="false">IF($D4621&lt;&gt;"","["&amp;$E4621&amp;"]"&amp;"|"&amp;$Q4621&amp;"|"&amp;$K4621&amp;"|"&amp;$G4621&amp;"|"&amp;IF($G4621="TX_CURR_SUBNAT.R","CY2022Q4",$M4621),"")</f>
        <v>[ul0y9diGujK]|25-34|Female|PMTCT_ART_SUBNAT.N.New.T_1|CY2023Q3</v>
      </c>
    </row>
    <row r="4622" customFormat="false" ht="15" hidden="false" customHeight="false" outlineLevel="0" collapsed="false">
      <c r="D4622" s="0" t="s">
        <v>108</v>
      </c>
      <c r="E4622" s="0" t="s">
        <v>109</v>
      </c>
      <c r="F4622" s="0" t="s">
        <v>110</v>
      </c>
      <c r="G4622" s="0" t="s">
        <v>160</v>
      </c>
      <c r="H4622" s="0" t="s">
        <v>159</v>
      </c>
      <c r="I4622" s="0" t="s">
        <v>43</v>
      </c>
      <c r="J4622" s="0" t="s">
        <v>44</v>
      </c>
      <c r="K4622" s="0" t="s">
        <v>30</v>
      </c>
      <c r="L4622" s="0" t="s">
        <v>31</v>
      </c>
      <c r="M4622" s="0" t="s">
        <v>140</v>
      </c>
      <c r="N4622" s="0" t="n">
        <v>1398</v>
      </c>
      <c r="O4622" s="10" t="n">
        <v>0.160282714059576</v>
      </c>
      <c r="P4622" s="10" t="n">
        <v>0.434221804374829</v>
      </c>
      <c r="Q4622" s="0" t="str">
        <f aca="false">SUBSTITUTE(SUBSTITUTE($I4622,CHAR(61),""),CHAR(34),"")</f>
        <v>35-49</v>
      </c>
      <c r="R4622" s="0" t="str">
        <f aca="false">IF($D4622&lt;&gt;"","["&amp;$E4622&amp;"]"&amp;"|"&amp;$Q4622&amp;"|"&amp;$K4622&amp;"|"&amp;$G4622&amp;"|"&amp;IF($G4622="TX_CURR_SUBNAT.R","CY2022Q4",$M4622),"")</f>
        <v>[ul0y9diGujK]|35-49|Female|PMTCT_ART_SUBNAT.N.New.T_1|CY2023Q3</v>
      </c>
    </row>
    <row r="4623" customFormat="false" ht="15" hidden="false" customHeight="false" outlineLevel="0" collapsed="false">
      <c r="D4623" s="0" t="s">
        <v>111</v>
      </c>
      <c r="E4623" s="0" t="s">
        <v>112</v>
      </c>
      <c r="F4623" s="0" t="s">
        <v>113</v>
      </c>
      <c r="G4623" s="0" t="s">
        <v>160</v>
      </c>
      <c r="H4623" s="0" t="s">
        <v>159</v>
      </c>
      <c r="I4623" s="0" t="s">
        <v>38</v>
      </c>
      <c r="J4623" s="0" t="s">
        <v>39</v>
      </c>
      <c r="K4623" s="0" t="s">
        <v>30</v>
      </c>
      <c r="L4623" s="0" t="s">
        <v>31</v>
      </c>
      <c r="M4623" s="0" t="s">
        <v>140</v>
      </c>
      <c r="N4623" s="0" t="n">
        <v>1978</v>
      </c>
      <c r="O4623" s="10" t="n">
        <v>0.515759521862492</v>
      </c>
      <c r="P4623" s="10" t="n">
        <v>0.337768794968724</v>
      </c>
      <c r="Q4623" s="0" t="str">
        <f aca="false">SUBSTITUTE(SUBSTITUTE($I4623,CHAR(61),""),CHAR(34),"")</f>
        <v>15-24</v>
      </c>
      <c r="R4623" s="0" t="str">
        <f aca="false">IF($D4623&lt;&gt;"","["&amp;$E4623&amp;"]"&amp;"|"&amp;$Q4623&amp;"|"&amp;$K4623&amp;"|"&amp;$G4623&amp;"|"&amp;IF($G4623="TX_CURR_SUBNAT.R","CY2022Q4",$M4623),"")</f>
        <v>[U8c0so51kT6]|15-24|Female|PMTCT_ART_SUBNAT.N.New.T_1|CY2023Q3</v>
      </c>
    </row>
    <row r="4624" customFormat="false" ht="15" hidden="false" customHeight="false" outlineLevel="0" collapsed="false">
      <c r="D4624" s="0" t="s">
        <v>111</v>
      </c>
      <c r="E4624" s="0" t="s">
        <v>112</v>
      </c>
      <c r="F4624" s="0" t="s">
        <v>113</v>
      </c>
      <c r="G4624" s="0" t="s">
        <v>160</v>
      </c>
      <c r="H4624" s="0" t="s">
        <v>159</v>
      </c>
      <c r="I4624" s="0" t="s">
        <v>41</v>
      </c>
      <c r="J4624" s="0" t="s">
        <v>42</v>
      </c>
      <c r="K4624" s="0" t="s">
        <v>30</v>
      </c>
      <c r="L4624" s="0" t="s">
        <v>31</v>
      </c>
      <c r="M4624" s="0" t="s">
        <v>140</v>
      </c>
      <c r="N4624" s="0" t="n">
        <v>655</v>
      </c>
      <c r="O4624" s="10" t="n">
        <v>0.716965508414432</v>
      </c>
      <c r="P4624" s="10" t="n">
        <v>0.337768794968724</v>
      </c>
      <c r="Q4624" s="0" t="str">
        <f aca="false">SUBSTITUTE(SUBSTITUTE($I4624,CHAR(61),""),CHAR(34),"")</f>
        <v>25-34</v>
      </c>
      <c r="R4624" s="0" t="str">
        <f aca="false">IF($D4624&lt;&gt;"","["&amp;$E4624&amp;"]"&amp;"|"&amp;$Q4624&amp;"|"&amp;$K4624&amp;"|"&amp;$G4624&amp;"|"&amp;IF($G4624="TX_CURR_SUBNAT.R","CY2022Q4",$M4624),"")</f>
        <v>[U8c0so51kT6]|25-34|Female|PMTCT_ART_SUBNAT.N.New.T_1|CY2023Q3</v>
      </c>
    </row>
    <row r="4625" customFormat="false" ht="15" hidden="false" customHeight="false" outlineLevel="0" collapsed="false">
      <c r="D4625" s="0" t="s">
        <v>111</v>
      </c>
      <c r="E4625" s="0" t="s">
        <v>112</v>
      </c>
      <c r="F4625" s="0" t="s">
        <v>113</v>
      </c>
      <c r="G4625" s="0" t="s">
        <v>160</v>
      </c>
      <c r="H4625" s="0" t="s">
        <v>159</v>
      </c>
      <c r="I4625" s="0" t="s">
        <v>43</v>
      </c>
      <c r="J4625" s="0" t="s">
        <v>44</v>
      </c>
      <c r="K4625" s="0" t="s">
        <v>30</v>
      </c>
      <c r="L4625" s="0" t="s">
        <v>31</v>
      </c>
      <c r="M4625" s="0" t="s">
        <v>140</v>
      </c>
      <c r="N4625" s="0" t="n">
        <v>670</v>
      </c>
      <c r="O4625" s="10" t="n">
        <v>0.670227664522827</v>
      </c>
      <c r="P4625" s="10" t="n">
        <v>0.337768794968724</v>
      </c>
      <c r="Q4625" s="0" t="str">
        <f aca="false">SUBSTITUTE(SUBSTITUTE($I4625,CHAR(61),""),CHAR(34),"")</f>
        <v>35-49</v>
      </c>
      <c r="R4625" s="0" t="str">
        <f aca="false">IF($D4625&lt;&gt;"","["&amp;$E4625&amp;"]"&amp;"|"&amp;$Q4625&amp;"|"&amp;$K4625&amp;"|"&amp;$G4625&amp;"|"&amp;IF($G4625="TX_CURR_SUBNAT.R","CY2022Q4",$M4625),"")</f>
        <v>[U8c0so51kT6]|35-49|Female|PMTCT_ART_SUBNAT.N.New.T_1|CY2023Q3</v>
      </c>
    </row>
    <row r="4626" customFormat="false" ht="15" hidden="false" customHeight="false" outlineLevel="0" collapsed="false">
      <c r="D4626" s="0" t="s">
        <v>114</v>
      </c>
      <c r="E4626" s="0" t="s">
        <v>115</v>
      </c>
      <c r="F4626" s="0" t="s">
        <v>116</v>
      </c>
      <c r="G4626" s="0" t="s">
        <v>160</v>
      </c>
      <c r="H4626" s="0" t="s">
        <v>159</v>
      </c>
      <c r="I4626" s="0" t="s">
        <v>38</v>
      </c>
      <c r="J4626" s="0" t="s">
        <v>39</v>
      </c>
      <c r="K4626" s="0" t="s">
        <v>30</v>
      </c>
      <c r="L4626" s="0" t="s">
        <v>31</v>
      </c>
      <c r="M4626" s="0" t="s">
        <v>140</v>
      </c>
      <c r="N4626" s="0" t="n">
        <v>1849</v>
      </c>
      <c r="O4626" s="10" t="n">
        <v>0.861251203110442</v>
      </c>
      <c r="P4626" s="10" t="n">
        <v>0.298559809103608</v>
      </c>
      <c r="Q4626" s="0" t="str">
        <f aca="false">SUBSTITUTE(SUBSTITUTE($I4626,CHAR(61),""),CHAR(34),"")</f>
        <v>15-24</v>
      </c>
      <c r="R4626" s="0" t="str">
        <f aca="false">IF($D4626&lt;&gt;"","["&amp;$E4626&amp;"]"&amp;"|"&amp;$Q4626&amp;"|"&amp;$K4626&amp;"|"&amp;$G4626&amp;"|"&amp;IF($G4626="TX_CURR_SUBNAT.R","CY2022Q4",$M4626),"")</f>
        <v>[rpw540fmNUz]|15-24|Female|PMTCT_ART_SUBNAT.N.New.T_1|CY2023Q3</v>
      </c>
    </row>
    <row r="4627" customFormat="false" ht="15" hidden="false" customHeight="false" outlineLevel="0" collapsed="false">
      <c r="D4627" s="0" t="s">
        <v>114</v>
      </c>
      <c r="E4627" s="0" t="s">
        <v>115</v>
      </c>
      <c r="F4627" s="0" t="s">
        <v>116</v>
      </c>
      <c r="G4627" s="0" t="s">
        <v>160</v>
      </c>
      <c r="H4627" s="0" t="s">
        <v>159</v>
      </c>
      <c r="I4627" s="0" t="s">
        <v>41</v>
      </c>
      <c r="J4627" s="0" t="s">
        <v>42</v>
      </c>
      <c r="K4627" s="0" t="s">
        <v>30</v>
      </c>
      <c r="L4627" s="0" t="s">
        <v>31</v>
      </c>
      <c r="M4627" s="0" t="s">
        <v>140</v>
      </c>
      <c r="N4627" s="0" t="n">
        <v>1557</v>
      </c>
      <c r="O4627" s="10" t="n">
        <v>0.473123719682917</v>
      </c>
      <c r="P4627" s="10" t="n">
        <v>0.298559809103608</v>
      </c>
      <c r="Q4627" s="0" t="str">
        <f aca="false">SUBSTITUTE(SUBSTITUTE($I4627,CHAR(61),""),CHAR(34),"")</f>
        <v>25-34</v>
      </c>
      <c r="R4627" s="0" t="str">
        <f aca="false">IF($D4627&lt;&gt;"","["&amp;$E4627&amp;"]"&amp;"|"&amp;$Q4627&amp;"|"&amp;$K4627&amp;"|"&amp;$G4627&amp;"|"&amp;IF($G4627="TX_CURR_SUBNAT.R","CY2022Q4",$M4627),"")</f>
        <v>[rpw540fmNUz]|25-34|Female|PMTCT_ART_SUBNAT.N.New.T_1|CY2023Q3</v>
      </c>
    </row>
    <row r="4628" customFormat="false" ht="15" hidden="false" customHeight="false" outlineLevel="0" collapsed="false">
      <c r="D4628" s="0" t="s">
        <v>114</v>
      </c>
      <c r="E4628" s="0" t="s">
        <v>115</v>
      </c>
      <c r="F4628" s="0" t="s">
        <v>116</v>
      </c>
      <c r="G4628" s="0" t="s">
        <v>160</v>
      </c>
      <c r="H4628" s="0" t="s">
        <v>159</v>
      </c>
      <c r="I4628" s="0" t="s">
        <v>43</v>
      </c>
      <c r="J4628" s="0" t="s">
        <v>44</v>
      </c>
      <c r="K4628" s="0" t="s">
        <v>30</v>
      </c>
      <c r="L4628" s="0" t="s">
        <v>31</v>
      </c>
      <c r="M4628" s="0" t="s">
        <v>140</v>
      </c>
      <c r="N4628" s="0" t="n">
        <v>1523</v>
      </c>
      <c r="O4628" s="10" t="n">
        <v>0.245324874296784</v>
      </c>
      <c r="P4628" s="10" t="n">
        <v>0.298559809103608</v>
      </c>
      <c r="Q4628" s="0" t="str">
        <f aca="false">SUBSTITUTE(SUBSTITUTE($I4628,CHAR(61),""),CHAR(34),"")</f>
        <v>35-49</v>
      </c>
      <c r="R4628" s="0" t="str">
        <f aca="false">IF($D4628&lt;&gt;"","["&amp;$E4628&amp;"]"&amp;"|"&amp;$Q4628&amp;"|"&amp;$K4628&amp;"|"&amp;$G4628&amp;"|"&amp;IF($G4628="TX_CURR_SUBNAT.R","CY2022Q4",$M4628),"")</f>
        <v>[rpw540fmNUz]|35-49|Female|PMTCT_ART_SUBNAT.N.New.T_1|CY2023Q3</v>
      </c>
    </row>
    <row r="4629" customFormat="false" ht="15" hidden="false" customHeight="false" outlineLevel="0" collapsed="false">
      <c r="D4629" s="0" t="s">
        <v>117</v>
      </c>
      <c r="E4629" s="0" t="s">
        <v>118</v>
      </c>
      <c r="F4629" s="0" t="s">
        <v>119</v>
      </c>
      <c r="G4629" s="0" t="s">
        <v>160</v>
      </c>
      <c r="H4629" s="0" t="s">
        <v>159</v>
      </c>
      <c r="I4629" s="0" t="s">
        <v>38</v>
      </c>
      <c r="J4629" s="0" t="s">
        <v>39</v>
      </c>
      <c r="K4629" s="0" t="s">
        <v>30</v>
      </c>
      <c r="L4629" s="0" t="s">
        <v>31</v>
      </c>
      <c r="M4629" s="0" t="s">
        <v>140</v>
      </c>
      <c r="N4629" s="0" t="n">
        <v>1400</v>
      </c>
      <c r="O4629" s="10" t="n">
        <v>0.515367058804259</v>
      </c>
      <c r="P4629" s="10" t="n">
        <v>0.206259709550068</v>
      </c>
      <c r="Q4629" s="0" t="str">
        <f aca="false">SUBSTITUTE(SUBSTITUTE($I4629,CHAR(61),""),CHAR(34),"")</f>
        <v>15-24</v>
      </c>
      <c r="R4629" s="0" t="str">
        <f aca="false">IF($D4629&lt;&gt;"","["&amp;$E4629&amp;"]"&amp;"|"&amp;$Q4629&amp;"|"&amp;$K4629&amp;"|"&amp;$G4629&amp;"|"&amp;IF($G4629="TX_CURR_SUBNAT.R","CY2022Q4",$M4629),"")</f>
        <v>[lPTyjLi4w3d]|15-24|Female|PMTCT_ART_SUBNAT.N.New.T_1|CY2023Q3</v>
      </c>
    </row>
    <row r="4630" customFormat="false" ht="15" hidden="false" customHeight="false" outlineLevel="0" collapsed="false">
      <c r="D4630" s="0" t="s">
        <v>117</v>
      </c>
      <c r="E4630" s="0" t="s">
        <v>118</v>
      </c>
      <c r="F4630" s="0" t="s">
        <v>119</v>
      </c>
      <c r="G4630" s="0" t="s">
        <v>160</v>
      </c>
      <c r="H4630" s="0" t="s">
        <v>159</v>
      </c>
      <c r="I4630" s="0" t="s">
        <v>41</v>
      </c>
      <c r="J4630" s="0" t="s">
        <v>42</v>
      </c>
      <c r="K4630" s="0" t="s">
        <v>30</v>
      </c>
      <c r="L4630" s="0" t="s">
        <v>31</v>
      </c>
      <c r="M4630" s="0" t="s">
        <v>140</v>
      </c>
      <c r="N4630" s="0" t="n">
        <v>956</v>
      </c>
      <c r="O4630" s="10" t="n">
        <v>0.407390292501077</v>
      </c>
      <c r="P4630" s="10" t="n">
        <v>0.206259709550068</v>
      </c>
      <c r="Q4630" s="0" t="str">
        <f aca="false">SUBSTITUTE(SUBSTITUTE($I4630,CHAR(61),""),CHAR(34),"")</f>
        <v>25-34</v>
      </c>
      <c r="R4630" s="0" t="str">
        <f aca="false">IF($D4630&lt;&gt;"","["&amp;$E4630&amp;"]"&amp;"|"&amp;$Q4630&amp;"|"&amp;$K4630&amp;"|"&amp;$G4630&amp;"|"&amp;IF($G4630="TX_CURR_SUBNAT.R","CY2022Q4",$M4630),"")</f>
        <v>[lPTyjLi4w3d]|25-34|Female|PMTCT_ART_SUBNAT.N.New.T_1|CY2023Q3</v>
      </c>
    </row>
    <row r="4631" customFormat="false" ht="15" hidden="false" customHeight="false" outlineLevel="0" collapsed="false">
      <c r="D4631" s="0" t="s">
        <v>117</v>
      </c>
      <c r="E4631" s="0" t="s">
        <v>118</v>
      </c>
      <c r="F4631" s="0" t="s">
        <v>119</v>
      </c>
      <c r="G4631" s="0" t="s">
        <v>160</v>
      </c>
      <c r="H4631" s="0" t="s">
        <v>159</v>
      </c>
      <c r="I4631" s="0" t="s">
        <v>43</v>
      </c>
      <c r="J4631" s="0" t="s">
        <v>44</v>
      </c>
      <c r="K4631" s="0" t="s">
        <v>30</v>
      </c>
      <c r="L4631" s="0" t="s">
        <v>31</v>
      </c>
      <c r="M4631" s="0" t="s">
        <v>140</v>
      </c>
      <c r="N4631" s="0" t="n">
        <v>1307</v>
      </c>
      <c r="O4631" s="10" t="n">
        <v>0.877110550645739</v>
      </c>
      <c r="P4631" s="10" t="n">
        <v>0.206259709550068</v>
      </c>
      <c r="Q4631" s="0" t="str">
        <f aca="false">SUBSTITUTE(SUBSTITUTE($I4631,CHAR(61),""),CHAR(34),"")</f>
        <v>35-49</v>
      </c>
      <c r="R4631" s="0" t="str">
        <f aca="false">IF($D4631&lt;&gt;"","["&amp;$E4631&amp;"]"&amp;"|"&amp;$Q4631&amp;"|"&amp;$K4631&amp;"|"&amp;$G4631&amp;"|"&amp;IF($G4631="TX_CURR_SUBNAT.R","CY2022Q4",$M4631),"")</f>
        <v>[lPTyjLi4w3d]|35-49|Female|PMTCT_ART_SUBNAT.N.New.T_1|CY2023Q3</v>
      </c>
    </row>
    <row r="4632" customFormat="false" ht="15" hidden="false" customHeight="false" outlineLevel="0" collapsed="false">
      <c r="D4632" s="0" t="s">
        <v>120</v>
      </c>
      <c r="E4632" s="0" t="s">
        <v>121</v>
      </c>
      <c r="F4632" s="0" t="s">
        <v>122</v>
      </c>
      <c r="G4632" s="0" t="s">
        <v>160</v>
      </c>
      <c r="H4632" s="0" t="s">
        <v>159</v>
      </c>
      <c r="I4632" s="0" t="s">
        <v>38</v>
      </c>
      <c r="J4632" s="0" t="s">
        <v>39</v>
      </c>
      <c r="K4632" s="0" t="s">
        <v>30</v>
      </c>
      <c r="L4632" s="0" t="s">
        <v>31</v>
      </c>
      <c r="M4632" s="0" t="s">
        <v>140</v>
      </c>
      <c r="N4632" s="0" t="n">
        <v>785</v>
      </c>
      <c r="O4632" s="10" t="n">
        <v>0.587234123377129</v>
      </c>
      <c r="P4632" s="10" t="n">
        <v>0.430103979306296</v>
      </c>
      <c r="Q4632" s="0" t="str">
        <f aca="false">SUBSTITUTE(SUBSTITUTE($I4632,CHAR(61),""),CHAR(34),"")</f>
        <v>15-24</v>
      </c>
      <c r="R4632" s="0" t="str">
        <f aca="false">IF($D4632&lt;&gt;"","["&amp;$E4632&amp;"]"&amp;"|"&amp;$Q4632&amp;"|"&amp;$K4632&amp;"|"&amp;$G4632&amp;"|"&amp;IF($G4632="TX_CURR_SUBNAT.R","CY2022Q4",$M4632),"")</f>
        <v>[vA4NcHxfMBq]|15-24|Female|PMTCT_ART_SUBNAT.N.New.T_1|CY2023Q3</v>
      </c>
    </row>
    <row r="4633" customFormat="false" ht="15" hidden="false" customHeight="false" outlineLevel="0" collapsed="false">
      <c r="D4633" s="0" t="s">
        <v>120</v>
      </c>
      <c r="E4633" s="0" t="s">
        <v>121</v>
      </c>
      <c r="F4633" s="0" t="s">
        <v>122</v>
      </c>
      <c r="G4633" s="0" t="s">
        <v>160</v>
      </c>
      <c r="H4633" s="0" t="s">
        <v>159</v>
      </c>
      <c r="I4633" s="0" t="s">
        <v>41</v>
      </c>
      <c r="J4633" s="0" t="s">
        <v>42</v>
      </c>
      <c r="K4633" s="0" t="s">
        <v>30</v>
      </c>
      <c r="L4633" s="0" t="s">
        <v>31</v>
      </c>
      <c r="M4633" s="0" t="s">
        <v>140</v>
      </c>
      <c r="N4633" s="0" t="n">
        <v>1323</v>
      </c>
      <c r="O4633" s="10" t="n">
        <v>0.625148143386468</v>
      </c>
      <c r="P4633" s="10" t="n">
        <v>0.430103979306296</v>
      </c>
      <c r="Q4633" s="0" t="str">
        <f aca="false">SUBSTITUTE(SUBSTITUTE($I4633,CHAR(61),""),CHAR(34),"")</f>
        <v>25-34</v>
      </c>
      <c r="R4633" s="0" t="str">
        <f aca="false">IF($D4633&lt;&gt;"","["&amp;$E4633&amp;"]"&amp;"|"&amp;$Q4633&amp;"|"&amp;$K4633&amp;"|"&amp;$G4633&amp;"|"&amp;IF($G4633="TX_CURR_SUBNAT.R","CY2022Q4",$M4633),"")</f>
        <v>[vA4NcHxfMBq]|25-34|Female|PMTCT_ART_SUBNAT.N.New.T_1|CY2023Q3</v>
      </c>
    </row>
    <row r="4634" customFormat="false" ht="15" hidden="false" customHeight="false" outlineLevel="0" collapsed="false">
      <c r="D4634" s="0" t="s">
        <v>120</v>
      </c>
      <c r="E4634" s="0" t="s">
        <v>121</v>
      </c>
      <c r="F4634" s="0" t="s">
        <v>122</v>
      </c>
      <c r="G4634" s="0" t="s">
        <v>160</v>
      </c>
      <c r="H4634" s="0" t="s">
        <v>159</v>
      </c>
      <c r="I4634" s="0" t="s">
        <v>43</v>
      </c>
      <c r="J4634" s="0" t="s">
        <v>44</v>
      </c>
      <c r="K4634" s="0" t="s">
        <v>30</v>
      </c>
      <c r="L4634" s="0" t="s">
        <v>31</v>
      </c>
      <c r="M4634" s="0" t="s">
        <v>140</v>
      </c>
      <c r="N4634" s="0" t="n">
        <v>938</v>
      </c>
      <c r="O4634" s="10" t="n">
        <v>0.901104112854227</v>
      </c>
      <c r="P4634" s="10" t="n">
        <v>0.430103979306296</v>
      </c>
      <c r="Q4634" s="0" t="str">
        <f aca="false">SUBSTITUTE(SUBSTITUTE($I4634,CHAR(61),""),CHAR(34),"")</f>
        <v>35-49</v>
      </c>
      <c r="R4634" s="0" t="str">
        <f aca="false">IF($D4634&lt;&gt;"","["&amp;$E4634&amp;"]"&amp;"|"&amp;$Q4634&amp;"|"&amp;$K4634&amp;"|"&amp;$G4634&amp;"|"&amp;IF($G4634="TX_CURR_SUBNAT.R","CY2022Q4",$M4634),"")</f>
        <v>[vA4NcHxfMBq]|35-49|Female|PMTCT_ART_SUBNAT.N.New.T_1|CY2023Q3</v>
      </c>
    </row>
    <row r="4635" customFormat="false" ht="15" hidden="false" customHeight="false" outlineLevel="0" collapsed="false">
      <c r="D4635" s="0" t="s">
        <v>123</v>
      </c>
      <c r="E4635" s="0" t="s">
        <v>124</v>
      </c>
      <c r="F4635" s="0" t="s">
        <v>125</v>
      </c>
      <c r="G4635" s="0" t="s">
        <v>160</v>
      </c>
      <c r="H4635" s="0" t="s">
        <v>159</v>
      </c>
      <c r="I4635" s="0" t="s">
        <v>38</v>
      </c>
      <c r="J4635" s="0" t="s">
        <v>39</v>
      </c>
      <c r="K4635" s="0" t="s">
        <v>30</v>
      </c>
      <c r="L4635" s="0" t="s">
        <v>31</v>
      </c>
      <c r="M4635" s="0" t="s">
        <v>140</v>
      </c>
      <c r="N4635" s="0" t="n">
        <v>519</v>
      </c>
      <c r="O4635" s="10" t="n">
        <v>0.476923855952919</v>
      </c>
      <c r="P4635" s="10" t="n">
        <v>0.419500603340566</v>
      </c>
      <c r="Q4635" s="0" t="str">
        <f aca="false">SUBSTITUTE(SUBSTITUTE($I4635,CHAR(61),""),CHAR(34),"")</f>
        <v>15-24</v>
      </c>
      <c r="R4635" s="0" t="str">
        <f aca="false">IF($D4635&lt;&gt;"","["&amp;$E4635&amp;"]"&amp;"|"&amp;$Q4635&amp;"|"&amp;$K4635&amp;"|"&amp;$G4635&amp;"|"&amp;IF($G4635="TX_CURR_SUBNAT.R","CY2022Q4",$M4635),"")</f>
        <v>[E7zpfyBt7Tw]|15-24|Female|PMTCT_ART_SUBNAT.N.New.T_1|CY2023Q3</v>
      </c>
    </row>
    <row r="4636" customFormat="false" ht="15" hidden="false" customHeight="false" outlineLevel="0" collapsed="false">
      <c r="D4636" s="0" t="s">
        <v>123</v>
      </c>
      <c r="E4636" s="0" t="s">
        <v>124</v>
      </c>
      <c r="F4636" s="0" t="s">
        <v>125</v>
      </c>
      <c r="G4636" s="0" t="s">
        <v>160</v>
      </c>
      <c r="H4636" s="0" t="s">
        <v>159</v>
      </c>
      <c r="I4636" s="0" t="s">
        <v>41</v>
      </c>
      <c r="J4636" s="0" t="s">
        <v>42</v>
      </c>
      <c r="K4636" s="0" t="s">
        <v>30</v>
      </c>
      <c r="L4636" s="0" t="s">
        <v>31</v>
      </c>
      <c r="M4636" s="0" t="s">
        <v>140</v>
      </c>
      <c r="N4636" s="0" t="n">
        <v>1349</v>
      </c>
      <c r="O4636" s="10" t="n">
        <v>0.312376602552831</v>
      </c>
      <c r="P4636" s="10" t="n">
        <v>0.419500603340566</v>
      </c>
      <c r="Q4636" s="0" t="str">
        <f aca="false">SUBSTITUTE(SUBSTITUTE($I4636,CHAR(61),""),CHAR(34),"")</f>
        <v>25-34</v>
      </c>
      <c r="R4636" s="0" t="str">
        <f aca="false">IF($D4636&lt;&gt;"","["&amp;$E4636&amp;"]"&amp;"|"&amp;$Q4636&amp;"|"&amp;$K4636&amp;"|"&amp;$G4636&amp;"|"&amp;IF($G4636="TX_CURR_SUBNAT.R","CY2022Q4",$M4636),"")</f>
        <v>[E7zpfyBt7Tw]|25-34|Female|PMTCT_ART_SUBNAT.N.New.T_1|CY2023Q3</v>
      </c>
    </row>
    <row r="4637" customFormat="false" ht="15" hidden="false" customHeight="false" outlineLevel="0" collapsed="false">
      <c r="D4637" s="0" t="s">
        <v>123</v>
      </c>
      <c r="E4637" s="0" t="s">
        <v>124</v>
      </c>
      <c r="F4637" s="0" t="s">
        <v>125</v>
      </c>
      <c r="G4637" s="0" t="s">
        <v>160</v>
      </c>
      <c r="H4637" s="0" t="s">
        <v>159</v>
      </c>
      <c r="I4637" s="0" t="s">
        <v>43</v>
      </c>
      <c r="J4637" s="0" t="s">
        <v>44</v>
      </c>
      <c r="K4637" s="0" t="s">
        <v>30</v>
      </c>
      <c r="L4637" s="0" t="s">
        <v>31</v>
      </c>
      <c r="M4637" s="0" t="s">
        <v>140</v>
      </c>
      <c r="N4637" s="0" t="n">
        <v>1269</v>
      </c>
      <c r="O4637" s="10" t="n">
        <v>0.254796279128641</v>
      </c>
      <c r="P4637" s="10" t="n">
        <v>0.419500603340566</v>
      </c>
      <c r="Q4637" s="0" t="str">
        <f aca="false">SUBSTITUTE(SUBSTITUTE($I4637,CHAR(61),""),CHAR(34),"")</f>
        <v>35-49</v>
      </c>
      <c r="R4637" s="0" t="str">
        <f aca="false">IF($D4637&lt;&gt;"","["&amp;$E4637&amp;"]"&amp;"|"&amp;$Q4637&amp;"|"&amp;$K4637&amp;"|"&amp;$G4637&amp;"|"&amp;IF($G4637="TX_CURR_SUBNAT.R","CY2022Q4",$M4637),"")</f>
        <v>[E7zpfyBt7Tw]|35-49|Female|PMTCT_ART_SUBNAT.N.New.T_1|CY2023Q3</v>
      </c>
    </row>
    <row r="4638" customFormat="false" ht="15" hidden="false" customHeight="false" outlineLevel="0" collapsed="false">
      <c r="D4638" s="0" t="s">
        <v>126</v>
      </c>
      <c r="E4638" s="0" t="s">
        <v>127</v>
      </c>
      <c r="F4638" s="0" t="s">
        <v>128</v>
      </c>
      <c r="G4638" s="0" t="s">
        <v>160</v>
      </c>
      <c r="H4638" s="0" t="s">
        <v>159</v>
      </c>
      <c r="I4638" s="0" t="s">
        <v>38</v>
      </c>
      <c r="J4638" s="0" t="s">
        <v>39</v>
      </c>
      <c r="K4638" s="0" t="s">
        <v>30</v>
      </c>
      <c r="L4638" s="0" t="s">
        <v>31</v>
      </c>
      <c r="M4638" s="0" t="s">
        <v>140</v>
      </c>
      <c r="N4638" s="0" t="n">
        <v>1798</v>
      </c>
      <c r="O4638" s="10" t="n">
        <v>0.179246421903372</v>
      </c>
      <c r="P4638" s="10" t="n">
        <v>0.252706390339881</v>
      </c>
      <c r="Q4638" s="0" t="str">
        <f aca="false">SUBSTITUTE(SUBSTITUTE($I4638,CHAR(61),""),CHAR(34),"")</f>
        <v>15-24</v>
      </c>
      <c r="R4638" s="0" t="str">
        <f aca="false">IF($D4638&lt;&gt;"","["&amp;$E4638&amp;"]"&amp;"|"&amp;$Q4638&amp;"|"&amp;$K4638&amp;"|"&amp;$G4638&amp;"|"&amp;IF($G4638="TX_CURR_SUBNAT.R","CY2022Q4",$M4638),"")</f>
        <v>[ZCjuwgaMB9u]|15-24|Female|PMTCT_ART_SUBNAT.N.New.T_1|CY2023Q3</v>
      </c>
    </row>
    <row r="4639" customFormat="false" ht="15" hidden="false" customHeight="false" outlineLevel="0" collapsed="false">
      <c r="D4639" s="0" t="s">
        <v>126</v>
      </c>
      <c r="E4639" s="0" t="s">
        <v>127</v>
      </c>
      <c r="F4639" s="0" t="s">
        <v>128</v>
      </c>
      <c r="G4639" s="0" t="s">
        <v>160</v>
      </c>
      <c r="H4639" s="0" t="s">
        <v>159</v>
      </c>
      <c r="I4639" s="0" t="s">
        <v>41</v>
      </c>
      <c r="J4639" s="0" t="s">
        <v>42</v>
      </c>
      <c r="K4639" s="0" t="s">
        <v>30</v>
      </c>
      <c r="L4639" s="0" t="s">
        <v>31</v>
      </c>
      <c r="M4639" s="0" t="s">
        <v>140</v>
      </c>
      <c r="N4639" s="0" t="n">
        <v>1633</v>
      </c>
      <c r="O4639" s="10" t="n">
        <v>0.295006741536781</v>
      </c>
      <c r="P4639" s="10" t="n">
        <v>0.252706390339881</v>
      </c>
      <c r="Q4639" s="0" t="str">
        <f aca="false">SUBSTITUTE(SUBSTITUTE($I4639,CHAR(61),""),CHAR(34),"")</f>
        <v>25-34</v>
      </c>
      <c r="R4639" s="0" t="str">
        <f aca="false">IF($D4639&lt;&gt;"","["&amp;$E4639&amp;"]"&amp;"|"&amp;$Q4639&amp;"|"&amp;$K4639&amp;"|"&amp;$G4639&amp;"|"&amp;IF($G4639="TX_CURR_SUBNAT.R","CY2022Q4",$M4639),"")</f>
        <v>[ZCjuwgaMB9u]|25-34|Female|PMTCT_ART_SUBNAT.N.New.T_1|CY2023Q3</v>
      </c>
    </row>
    <row r="4640" customFormat="false" ht="15" hidden="false" customHeight="false" outlineLevel="0" collapsed="false">
      <c r="D4640" s="0" t="s">
        <v>126</v>
      </c>
      <c r="E4640" s="0" t="s">
        <v>127</v>
      </c>
      <c r="F4640" s="0" t="s">
        <v>128</v>
      </c>
      <c r="G4640" s="0" t="s">
        <v>160</v>
      </c>
      <c r="H4640" s="0" t="s">
        <v>159</v>
      </c>
      <c r="I4640" s="0" t="s">
        <v>43</v>
      </c>
      <c r="J4640" s="0" t="s">
        <v>44</v>
      </c>
      <c r="K4640" s="0" t="s">
        <v>30</v>
      </c>
      <c r="L4640" s="0" t="s">
        <v>31</v>
      </c>
      <c r="M4640" s="0" t="s">
        <v>140</v>
      </c>
      <c r="N4640" s="0" t="n">
        <v>1240</v>
      </c>
      <c r="O4640" s="10" t="n">
        <v>0.771768222795799</v>
      </c>
      <c r="P4640" s="10" t="n">
        <v>0.252706390339881</v>
      </c>
      <c r="Q4640" s="0" t="str">
        <f aca="false">SUBSTITUTE(SUBSTITUTE($I4640,CHAR(61),""),CHAR(34),"")</f>
        <v>35-49</v>
      </c>
      <c r="R4640" s="0" t="str">
        <f aca="false">IF($D4640&lt;&gt;"","["&amp;$E4640&amp;"]"&amp;"|"&amp;$Q4640&amp;"|"&amp;$K4640&amp;"|"&amp;$G4640&amp;"|"&amp;IF($G4640="TX_CURR_SUBNAT.R","CY2022Q4",$M4640),"")</f>
        <v>[ZCjuwgaMB9u]|35-49|Female|PMTCT_ART_SUBNAT.N.New.T_1|CY2023Q3</v>
      </c>
    </row>
    <row r="4641" customFormat="false" ht="15" hidden="false" customHeight="false" outlineLevel="0" collapsed="false">
      <c r="D4641" s="0" t="s">
        <v>129</v>
      </c>
      <c r="E4641" s="0" t="s">
        <v>130</v>
      </c>
      <c r="F4641" s="0" t="s">
        <v>131</v>
      </c>
      <c r="G4641" s="0" t="s">
        <v>160</v>
      </c>
      <c r="H4641" s="0" t="s">
        <v>159</v>
      </c>
      <c r="I4641" s="0" t="s">
        <v>38</v>
      </c>
      <c r="J4641" s="0" t="s">
        <v>39</v>
      </c>
      <c r="K4641" s="0" t="s">
        <v>30</v>
      </c>
      <c r="L4641" s="0" t="s">
        <v>31</v>
      </c>
      <c r="M4641" s="0" t="s">
        <v>140</v>
      </c>
      <c r="N4641" s="0" t="n">
        <v>1788</v>
      </c>
      <c r="O4641" s="10" t="n">
        <v>0.499971270095557</v>
      </c>
      <c r="P4641" s="10" t="n">
        <v>0.556908084778115</v>
      </c>
      <c r="Q4641" s="0" t="str">
        <f aca="false">SUBSTITUTE(SUBSTITUTE($I4641,CHAR(61),""),CHAR(34),"")</f>
        <v>15-24</v>
      </c>
      <c r="R4641" s="0" t="str">
        <f aca="false">IF($D4641&lt;&gt;"","["&amp;$E4641&amp;"]"&amp;"|"&amp;$Q4641&amp;"|"&amp;$K4641&amp;"|"&amp;$G4641&amp;"|"&amp;IF($G4641="TX_CURR_SUBNAT.R","CY2022Q4",$M4641),"")</f>
        <v>[YCKiBAp8QAg]|15-24|Female|PMTCT_ART_SUBNAT.N.New.T_1|CY2023Q3</v>
      </c>
    </row>
    <row r="4642" customFormat="false" ht="15" hidden="false" customHeight="false" outlineLevel="0" collapsed="false">
      <c r="D4642" s="0" t="s">
        <v>129</v>
      </c>
      <c r="E4642" s="0" t="s">
        <v>130</v>
      </c>
      <c r="F4642" s="0" t="s">
        <v>131</v>
      </c>
      <c r="G4642" s="0" t="s">
        <v>160</v>
      </c>
      <c r="H4642" s="0" t="s">
        <v>159</v>
      </c>
      <c r="I4642" s="0" t="s">
        <v>41</v>
      </c>
      <c r="J4642" s="0" t="s">
        <v>42</v>
      </c>
      <c r="K4642" s="0" t="s">
        <v>30</v>
      </c>
      <c r="L4642" s="0" t="s">
        <v>31</v>
      </c>
      <c r="M4642" s="0" t="s">
        <v>140</v>
      </c>
      <c r="N4642" s="0" t="n">
        <v>1435</v>
      </c>
      <c r="O4642" s="10" t="n">
        <v>0.0948290240485221</v>
      </c>
      <c r="P4642" s="10" t="n">
        <v>0.556908084778115</v>
      </c>
      <c r="Q4642" s="0" t="str">
        <f aca="false">SUBSTITUTE(SUBSTITUTE($I4642,CHAR(61),""),CHAR(34),"")</f>
        <v>25-34</v>
      </c>
      <c r="R4642" s="0" t="str">
        <f aca="false">IF($D4642&lt;&gt;"","["&amp;$E4642&amp;"]"&amp;"|"&amp;$Q4642&amp;"|"&amp;$K4642&amp;"|"&amp;$G4642&amp;"|"&amp;IF($G4642="TX_CURR_SUBNAT.R","CY2022Q4",$M4642),"")</f>
        <v>[YCKiBAp8QAg]|25-34|Female|PMTCT_ART_SUBNAT.N.New.T_1|CY2023Q3</v>
      </c>
    </row>
    <row r="4643" customFormat="false" ht="15" hidden="false" customHeight="false" outlineLevel="0" collapsed="false">
      <c r="D4643" s="0" t="s">
        <v>129</v>
      </c>
      <c r="E4643" s="0" t="s">
        <v>130</v>
      </c>
      <c r="F4643" s="0" t="s">
        <v>131</v>
      </c>
      <c r="G4643" s="0" t="s">
        <v>160</v>
      </c>
      <c r="H4643" s="0" t="s">
        <v>159</v>
      </c>
      <c r="I4643" s="0" t="s">
        <v>43</v>
      </c>
      <c r="J4643" s="0" t="s">
        <v>44</v>
      </c>
      <c r="K4643" s="0" t="s">
        <v>30</v>
      </c>
      <c r="L4643" s="0" t="s">
        <v>31</v>
      </c>
      <c r="M4643" s="0" t="s">
        <v>140</v>
      </c>
      <c r="N4643" s="0" t="n">
        <v>1371</v>
      </c>
      <c r="O4643" s="10" t="n">
        <v>0.853836790425703</v>
      </c>
      <c r="P4643" s="10" t="n">
        <v>0.556908084778115</v>
      </c>
      <c r="Q4643" s="0" t="str">
        <f aca="false">SUBSTITUTE(SUBSTITUTE($I4643,CHAR(61),""),CHAR(34),"")</f>
        <v>35-49</v>
      </c>
      <c r="R4643" s="0" t="str">
        <f aca="false">IF($D4643&lt;&gt;"","["&amp;$E4643&amp;"]"&amp;"|"&amp;$Q4643&amp;"|"&amp;$K4643&amp;"|"&amp;$G4643&amp;"|"&amp;IF($G4643="TX_CURR_SUBNAT.R","CY2022Q4",$M4643),"")</f>
        <v>[YCKiBAp8QAg]|35-49|Female|PMTCT_ART_SUBNAT.N.New.T_1|CY2023Q3</v>
      </c>
    </row>
    <row r="4644" customFormat="false" ht="15" hidden="false" customHeight="false" outlineLevel="0" collapsed="false">
      <c r="D4644" s="0" t="s">
        <v>132</v>
      </c>
      <c r="E4644" s="0" t="s">
        <v>133</v>
      </c>
      <c r="F4644" s="0" t="s">
        <v>134</v>
      </c>
      <c r="G4644" s="0" t="s">
        <v>160</v>
      </c>
      <c r="H4644" s="0" t="s">
        <v>159</v>
      </c>
      <c r="I4644" s="0" t="s">
        <v>38</v>
      </c>
      <c r="J4644" s="0" t="s">
        <v>39</v>
      </c>
      <c r="K4644" s="0" t="s">
        <v>30</v>
      </c>
      <c r="L4644" s="0" t="s">
        <v>31</v>
      </c>
      <c r="M4644" s="0" t="s">
        <v>140</v>
      </c>
      <c r="N4644" s="0" t="n">
        <v>1393</v>
      </c>
      <c r="O4644" s="10" t="n">
        <v>0.611916040303186</v>
      </c>
      <c r="P4644" s="10" t="n">
        <v>0.162863194011152</v>
      </c>
      <c r="Q4644" s="0" t="str">
        <f aca="false">SUBSTITUTE(SUBSTITUTE($I4644,CHAR(61),""),CHAR(34),"")</f>
        <v>15-24</v>
      </c>
      <c r="R4644" s="0" t="str">
        <f aca="false">IF($D4644&lt;&gt;"","["&amp;$E4644&amp;"]"&amp;"|"&amp;$Q4644&amp;"|"&amp;$K4644&amp;"|"&amp;$G4644&amp;"|"&amp;IF($G4644="TX_CURR_SUBNAT.R","CY2022Q4",$M4644),"")</f>
        <v>[JQKLKuVuY61]|15-24|Female|PMTCT_ART_SUBNAT.N.New.T_1|CY2023Q3</v>
      </c>
    </row>
    <row r="4645" customFormat="false" ht="15" hidden="false" customHeight="false" outlineLevel="0" collapsed="false">
      <c r="D4645" s="0" t="s">
        <v>132</v>
      </c>
      <c r="E4645" s="0" t="s">
        <v>133</v>
      </c>
      <c r="F4645" s="0" t="s">
        <v>134</v>
      </c>
      <c r="G4645" s="0" t="s">
        <v>160</v>
      </c>
      <c r="H4645" s="0" t="s">
        <v>159</v>
      </c>
      <c r="I4645" s="0" t="s">
        <v>41</v>
      </c>
      <c r="J4645" s="0" t="s">
        <v>42</v>
      </c>
      <c r="K4645" s="0" t="s">
        <v>30</v>
      </c>
      <c r="L4645" s="0" t="s">
        <v>31</v>
      </c>
      <c r="M4645" s="0" t="s">
        <v>140</v>
      </c>
      <c r="N4645" s="0" t="n">
        <v>742</v>
      </c>
      <c r="O4645" s="10" t="n">
        <v>0.439640905475244</v>
      </c>
      <c r="P4645" s="10" t="n">
        <v>0.162863194011152</v>
      </c>
      <c r="Q4645" s="0" t="str">
        <f aca="false">SUBSTITUTE(SUBSTITUTE($I4645,CHAR(61),""),CHAR(34),"")</f>
        <v>25-34</v>
      </c>
      <c r="R4645" s="0" t="str">
        <f aca="false">IF($D4645&lt;&gt;"","["&amp;$E4645&amp;"]"&amp;"|"&amp;$Q4645&amp;"|"&amp;$K4645&amp;"|"&amp;$G4645&amp;"|"&amp;IF($G4645="TX_CURR_SUBNAT.R","CY2022Q4",$M4645),"")</f>
        <v>[JQKLKuVuY61]|25-34|Female|PMTCT_ART_SUBNAT.N.New.T_1|CY2023Q3</v>
      </c>
    </row>
    <row r="4646" customFormat="false" ht="15" hidden="false" customHeight="false" outlineLevel="0" collapsed="false">
      <c r="D4646" s="0" t="s">
        <v>132</v>
      </c>
      <c r="E4646" s="0" t="s">
        <v>133</v>
      </c>
      <c r="F4646" s="0" t="s">
        <v>134</v>
      </c>
      <c r="G4646" s="0" t="s">
        <v>160</v>
      </c>
      <c r="H4646" s="0" t="s">
        <v>159</v>
      </c>
      <c r="I4646" s="0" t="s">
        <v>43</v>
      </c>
      <c r="J4646" s="0" t="s">
        <v>44</v>
      </c>
      <c r="K4646" s="0" t="s">
        <v>30</v>
      </c>
      <c r="L4646" s="0" t="s">
        <v>31</v>
      </c>
      <c r="M4646" s="0" t="s">
        <v>140</v>
      </c>
      <c r="N4646" s="0" t="n">
        <v>1744</v>
      </c>
      <c r="O4646" s="10" t="n">
        <v>0.365207884693518</v>
      </c>
      <c r="P4646" s="10" t="n">
        <v>0.162863194011152</v>
      </c>
      <c r="Q4646" s="0" t="str">
        <f aca="false">SUBSTITUTE(SUBSTITUTE($I4646,CHAR(61),""),CHAR(34),"")</f>
        <v>35-49</v>
      </c>
      <c r="R4646" s="0" t="str">
        <f aca="false">IF($D4646&lt;&gt;"","["&amp;$E4646&amp;"]"&amp;"|"&amp;$Q4646&amp;"|"&amp;$K4646&amp;"|"&amp;$G4646&amp;"|"&amp;IF($G4646="TX_CURR_SUBNAT.R","CY2022Q4",$M4646),"")</f>
        <v>[JQKLKuVuY61]|35-49|Female|PMTCT_ART_SUBNAT.N.New.T_1|CY2023Q3</v>
      </c>
    </row>
    <row r="4647" customFormat="false" ht="15" hidden="false" customHeight="false" outlineLevel="0" collapsed="false">
      <c r="D4647" s="0" t="s">
        <v>135</v>
      </c>
      <c r="E4647" s="0" t="s">
        <v>136</v>
      </c>
      <c r="F4647" s="0" t="s">
        <v>137</v>
      </c>
      <c r="G4647" s="0" t="s">
        <v>160</v>
      </c>
      <c r="H4647" s="0" t="s">
        <v>159</v>
      </c>
      <c r="I4647" s="0" t="s">
        <v>38</v>
      </c>
      <c r="J4647" s="0" t="s">
        <v>39</v>
      </c>
      <c r="K4647" s="0" t="s">
        <v>30</v>
      </c>
      <c r="L4647" s="0" t="s">
        <v>31</v>
      </c>
      <c r="M4647" s="0" t="s">
        <v>140</v>
      </c>
      <c r="N4647" s="0" t="n">
        <v>667</v>
      </c>
      <c r="O4647" s="10" t="n">
        <v>0.470115412957966</v>
      </c>
      <c r="P4647" s="10" t="n">
        <v>0.955300528323278</v>
      </c>
      <c r="Q4647" s="0" t="str">
        <f aca="false">SUBSTITUTE(SUBSTITUTE($I4647,CHAR(61),""),CHAR(34),"")</f>
        <v>15-24</v>
      </c>
      <c r="R4647" s="0" t="str">
        <f aca="false">IF($D4647&lt;&gt;"","["&amp;$E4647&amp;"]"&amp;"|"&amp;$Q4647&amp;"|"&amp;$K4647&amp;"|"&amp;$G4647&amp;"|"&amp;IF($G4647="TX_CURR_SUBNAT.R","CY2022Q4",$M4647),"")</f>
        <v>[fiRkU6gEjLz]|15-24|Female|PMTCT_ART_SUBNAT.N.New.T_1|CY2023Q3</v>
      </c>
    </row>
    <row r="4648" customFormat="false" ht="15" hidden="false" customHeight="false" outlineLevel="0" collapsed="false">
      <c r="D4648" s="0" t="s">
        <v>135</v>
      </c>
      <c r="E4648" s="0" t="s">
        <v>136</v>
      </c>
      <c r="F4648" s="0" t="s">
        <v>137</v>
      </c>
      <c r="G4648" s="0" t="s">
        <v>160</v>
      </c>
      <c r="H4648" s="0" t="s">
        <v>159</v>
      </c>
      <c r="I4648" s="0" t="s">
        <v>41</v>
      </c>
      <c r="J4648" s="0" t="s">
        <v>42</v>
      </c>
      <c r="K4648" s="0" t="s">
        <v>30</v>
      </c>
      <c r="L4648" s="0" t="s">
        <v>31</v>
      </c>
      <c r="M4648" s="0" t="s">
        <v>140</v>
      </c>
      <c r="N4648" s="0" t="n">
        <v>524</v>
      </c>
      <c r="O4648" s="10" t="n">
        <v>0.332111391471699</v>
      </c>
      <c r="P4648" s="10" t="n">
        <v>0.955300528323278</v>
      </c>
      <c r="Q4648" s="0" t="str">
        <f aca="false">SUBSTITUTE(SUBSTITUTE($I4648,CHAR(61),""),CHAR(34),"")</f>
        <v>25-34</v>
      </c>
      <c r="R4648" s="0" t="str">
        <f aca="false">IF($D4648&lt;&gt;"","["&amp;$E4648&amp;"]"&amp;"|"&amp;$Q4648&amp;"|"&amp;$K4648&amp;"|"&amp;$G4648&amp;"|"&amp;IF($G4648="TX_CURR_SUBNAT.R","CY2022Q4",$M4648),"")</f>
        <v>[fiRkU6gEjLz]|25-34|Female|PMTCT_ART_SUBNAT.N.New.T_1|CY2023Q3</v>
      </c>
    </row>
    <row r="4649" customFormat="false" ht="15" hidden="false" customHeight="false" outlineLevel="0" collapsed="false">
      <c r="D4649" s="0" t="s">
        <v>135</v>
      </c>
      <c r="E4649" s="0" t="s">
        <v>136</v>
      </c>
      <c r="F4649" s="0" t="s">
        <v>137</v>
      </c>
      <c r="G4649" s="0" t="s">
        <v>160</v>
      </c>
      <c r="H4649" s="0" t="s">
        <v>159</v>
      </c>
      <c r="I4649" s="0" t="s">
        <v>43</v>
      </c>
      <c r="J4649" s="0" t="s">
        <v>44</v>
      </c>
      <c r="K4649" s="0" t="s">
        <v>30</v>
      </c>
      <c r="L4649" s="0" t="s">
        <v>31</v>
      </c>
      <c r="M4649" s="0" t="s">
        <v>140</v>
      </c>
      <c r="N4649" s="0" t="n">
        <v>1104</v>
      </c>
      <c r="O4649" s="10" t="n">
        <v>0.285292795859277</v>
      </c>
      <c r="P4649" s="10" t="n">
        <v>0.955300528323278</v>
      </c>
      <c r="Q4649" s="0" t="str">
        <f aca="false">SUBSTITUTE(SUBSTITUTE($I4649,CHAR(61),""),CHAR(34),"")</f>
        <v>35-49</v>
      </c>
      <c r="R4649" s="0" t="str">
        <f aca="false">IF($D4649&lt;&gt;"","["&amp;$E4649&amp;"]"&amp;"|"&amp;$Q4649&amp;"|"&amp;$K4649&amp;"|"&amp;$G4649&amp;"|"&amp;IF($G4649="TX_CURR_SUBNAT.R","CY2022Q4",$M4649),"")</f>
        <v>[fiRkU6gEjLz]|35-49|Female|PMTCT_ART_SUBNAT.N.New.T_1|CY2023Q3</v>
      </c>
    </row>
    <row r="4650" customFormat="false" ht="15" hidden="false" customHeight="false" outlineLevel="0" collapsed="false">
      <c r="D4650" s="0" t="s">
        <v>23</v>
      </c>
      <c r="E4650" s="0" t="s">
        <v>24</v>
      </c>
      <c r="F4650" s="0" t="s">
        <v>25</v>
      </c>
      <c r="G4650" s="0" t="s">
        <v>161</v>
      </c>
      <c r="H4650" s="0" t="s">
        <v>162</v>
      </c>
      <c r="I4650" s="0" t="s">
        <v>38</v>
      </c>
      <c r="J4650" s="0" t="s">
        <v>39</v>
      </c>
      <c r="K4650" s="0" t="s">
        <v>30</v>
      </c>
      <c r="L4650" s="0" t="s">
        <v>31</v>
      </c>
      <c r="M4650" s="0" t="s">
        <v>140</v>
      </c>
      <c r="N4650" s="0" t="n">
        <v>1513</v>
      </c>
      <c r="O4650" s="10" t="n">
        <v>0.908104256726801</v>
      </c>
      <c r="P4650" s="10" t="n">
        <v>0.404358610976487</v>
      </c>
      <c r="Q4650" s="0" t="str">
        <f aca="false">SUBSTITUTE(SUBSTITUTE($I4650,CHAR(61),""),CHAR(34),"")</f>
        <v>15-24</v>
      </c>
      <c r="R4650" s="0" t="str">
        <f aca="false">IF($D4650&lt;&gt;"","["&amp;$E4650&amp;"]"&amp;"|"&amp;$Q4650&amp;"|"&amp;$K4650&amp;"|"&amp;$G4650&amp;"|"&amp;IF($G4650="TX_CURR_SUBNAT.R","CY2022Q4",$M4650),"")</f>
        <v>[GkIwZrXy1h2]|15-24|Female|PMTCT_STAT_SUBNAT.N.Known.Pos.T_1|CY2023Q3</v>
      </c>
    </row>
    <row r="4651" customFormat="false" ht="15" hidden="false" customHeight="false" outlineLevel="0" collapsed="false">
      <c r="D4651" s="0" t="s">
        <v>23</v>
      </c>
      <c r="E4651" s="0" t="s">
        <v>24</v>
      </c>
      <c r="F4651" s="0" t="s">
        <v>25</v>
      </c>
      <c r="G4651" s="0" t="s">
        <v>161</v>
      </c>
      <c r="H4651" s="0" t="s">
        <v>162</v>
      </c>
      <c r="I4651" s="0" t="s">
        <v>41</v>
      </c>
      <c r="J4651" s="0" t="s">
        <v>42</v>
      </c>
      <c r="K4651" s="0" t="s">
        <v>30</v>
      </c>
      <c r="L4651" s="0" t="s">
        <v>31</v>
      </c>
      <c r="M4651" s="0" t="s">
        <v>140</v>
      </c>
      <c r="N4651" s="0" t="n">
        <v>866</v>
      </c>
      <c r="O4651" s="10" t="n">
        <v>0.452960527967662</v>
      </c>
      <c r="P4651" s="10" t="n">
        <v>0.404358610976487</v>
      </c>
      <c r="Q4651" s="0" t="str">
        <f aca="false">SUBSTITUTE(SUBSTITUTE($I4651,CHAR(61),""),CHAR(34),"")</f>
        <v>25-34</v>
      </c>
      <c r="R4651" s="0" t="str">
        <f aca="false">IF($D4651&lt;&gt;"","["&amp;$E4651&amp;"]"&amp;"|"&amp;$Q4651&amp;"|"&amp;$K4651&amp;"|"&amp;$G4651&amp;"|"&amp;IF($G4651="TX_CURR_SUBNAT.R","CY2022Q4",$M4651),"")</f>
        <v>[GkIwZrXy1h2]|25-34|Female|PMTCT_STAT_SUBNAT.N.Known.Pos.T_1|CY2023Q3</v>
      </c>
    </row>
    <row r="4652" customFormat="false" ht="15" hidden="false" customHeight="false" outlineLevel="0" collapsed="false">
      <c r="D4652" s="0" t="s">
        <v>23</v>
      </c>
      <c r="E4652" s="0" t="s">
        <v>24</v>
      </c>
      <c r="F4652" s="0" t="s">
        <v>25</v>
      </c>
      <c r="G4652" s="0" t="s">
        <v>161</v>
      </c>
      <c r="H4652" s="0" t="s">
        <v>162</v>
      </c>
      <c r="I4652" s="0" t="s">
        <v>43</v>
      </c>
      <c r="J4652" s="0" t="s">
        <v>44</v>
      </c>
      <c r="K4652" s="0" t="s">
        <v>30</v>
      </c>
      <c r="L4652" s="0" t="s">
        <v>31</v>
      </c>
      <c r="M4652" s="0" t="s">
        <v>140</v>
      </c>
      <c r="N4652" s="0" t="n">
        <v>807</v>
      </c>
      <c r="O4652" s="10" t="n">
        <v>0.521852214122191</v>
      </c>
      <c r="P4652" s="10" t="n">
        <v>0.404358610976487</v>
      </c>
      <c r="Q4652" s="0" t="str">
        <f aca="false">SUBSTITUTE(SUBSTITUTE($I4652,CHAR(61),""),CHAR(34),"")</f>
        <v>35-49</v>
      </c>
      <c r="R4652" s="0" t="str">
        <f aca="false">IF($D4652&lt;&gt;"","["&amp;$E4652&amp;"]"&amp;"|"&amp;$Q4652&amp;"|"&amp;$K4652&amp;"|"&amp;$G4652&amp;"|"&amp;IF($G4652="TX_CURR_SUBNAT.R","CY2022Q4",$M4652),"")</f>
        <v>[GkIwZrXy1h2]|35-49|Female|PMTCT_STAT_SUBNAT.N.Known.Pos.T_1|CY2023Q3</v>
      </c>
    </row>
    <row r="4653" customFormat="false" ht="15" hidden="false" customHeight="false" outlineLevel="0" collapsed="false">
      <c r="D4653" s="0" t="s">
        <v>53</v>
      </c>
      <c r="E4653" s="0" t="s">
        <v>54</v>
      </c>
      <c r="F4653" s="0" t="s">
        <v>55</v>
      </c>
      <c r="G4653" s="0" t="s">
        <v>161</v>
      </c>
      <c r="H4653" s="0" t="s">
        <v>162</v>
      </c>
      <c r="I4653" s="0" t="s">
        <v>38</v>
      </c>
      <c r="J4653" s="0" t="s">
        <v>39</v>
      </c>
      <c r="K4653" s="0" t="s">
        <v>30</v>
      </c>
      <c r="L4653" s="0" t="s">
        <v>31</v>
      </c>
      <c r="M4653" s="0" t="s">
        <v>140</v>
      </c>
      <c r="N4653" s="0" t="n">
        <v>1037</v>
      </c>
      <c r="O4653" s="10" t="n">
        <v>0.973869558656588</v>
      </c>
      <c r="P4653" s="10" t="n">
        <v>0.616392469964921</v>
      </c>
      <c r="Q4653" s="0" t="str">
        <f aca="false">SUBSTITUTE(SUBSTITUTE($I4653,CHAR(61),""),CHAR(34),"")</f>
        <v>15-24</v>
      </c>
      <c r="R4653" s="0" t="str">
        <f aca="false">IF($D4653&lt;&gt;"","["&amp;$E4653&amp;"]"&amp;"|"&amp;$Q4653&amp;"|"&amp;$K4653&amp;"|"&amp;$G4653&amp;"|"&amp;IF($G4653="TX_CURR_SUBNAT.R","CY2022Q4",$M4653),"")</f>
        <v>[zphK9WV8JB4]|15-24|Female|PMTCT_STAT_SUBNAT.N.Known.Pos.T_1|CY2023Q3</v>
      </c>
    </row>
    <row r="4654" customFormat="false" ht="15" hidden="false" customHeight="false" outlineLevel="0" collapsed="false">
      <c r="D4654" s="0" t="s">
        <v>53</v>
      </c>
      <c r="E4654" s="0" t="s">
        <v>54</v>
      </c>
      <c r="F4654" s="0" t="s">
        <v>55</v>
      </c>
      <c r="G4654" s="0" t="s">
        <v>161</v>
      </c>
      <c r="H4654" s="0" t="s">
        <v>162</v>
      </c>
      <c r="I4654" s="0" t="s">
        <v>41</v>
      </c>
      <c r="J4654" s="0" t="s">
        <v>42</v>
      </c>
      <c r="K4654" s="0" t="s">
        <v>30</v>
      </c>
      <c r="L4654" s="0" t="s">
        <v>31</v>
      </c>
      <c r="M4654" s="0" t="s">
        <v>140</v>
      </c>
      <c r="N4654" s="0" t="n">
        <v>1235</v>
      </c>
      <c r="O4654" s="10" t="n">
        <v>0.73948320467025</v>
      </c>
      <c r="P4654" s="10" t="n">
        <v>0.616392469964921</v>
      </c>
      <c r="Q4654" s="0" t="str">
        <f aca="false">SUBSTITUTE(SUBSTITUTE($I4654,CHAR(61),""),CHAR(34),"")</f>
        <v>25-34</v>
      </c>
      <c r="R4654" s="0" t="str">
        <f aca="false">IF($D4654&lt;&gt;"","["&amp;$E4654&amp;"]"&amp;"|"&amp;$Q4654&amp;"|"&amp;$K4654&amp;"|"&amp;$G4654&amp;"|"&amp;IF($G4654="TX_CURR_SUBNAT.R","CY2022Q4",$M4654),"")</f>
        <v>[zphK9WV8JB4]|25-34|Female|PMTCT_STAT_SUBNAT.N.Known.Pos.T_1|CY2023Q3</v>
      </c>
    </row>
    <row r="4655" customFormat="false" ht="15" hidden="false" customHeight="false" outlineLevel="0" collapsed="false">
      <c r="D4655" s="0" t="s">
        <v>53</v>
      </c>
      <c r="E4655" s="0" t="s">
        <v>54</v>
      </c>
      <c r="F4655" s="0" t="s">
        <v>55</v>
      </c>
      <c r="G4655" s="0" t="s">
        <v>161</v>
      </c>
      <c r="H4655" s="0" t="s">
        <v>162</v>
      </c>
      <c r="I4655" s="0" t="s">
        <v>43</v>
      </c>
      <c r="J4655" s="0" t="s">
        <v>44</v>
      </c>
      <c r="K4655" s="0" t="s">
        <v>30</v>
      </c>
      <c r="L4655" s="0" t="s">
        <v>31</v>
      </c>
      <c r="M4655" s="0" t="s">
        <v>140</v>
      </c>
      <c r="N4655" s="0" t="n">
        <v>1761</v>
      </c>
      <c r="O4655" s="10" t="n">
        <v>0.298682042397559</v>
      </c>
      <c r="P4655" s="10" t="n">
        <v>0.616392469964921</v>
      </c>
      <c r="Q4655" s="0" t="str">
        <f aca="false">SUBSTITUTE(SUBSTITUTE($I4655,CHAR(61),""),CHAR(34),"")</f>
        <v>35-49</v>
      </c>
      <c r="R4655" s="0" t="str">
        <f aca="false">IF($D4655&lt;&gt;"","["&amp;$E4655&amp;"]"&amp;"|"&amp;$Q4655&amp;"|"&amp;$K4655&amp;"|"&amp;$G4655&amp;"|"&amp;IF($G4655="TX_CURR_SUBNAT.R","CY2022Q4",$M4655),"")</f>
        <v>[zphK9WV8JB4]|35-49|Female|PMTCT_STAT_SUBNAT.N.Known.Pos.T_1|CY2023Q3</v>
      </c>
    </row>
    <row r="4656" customFormat="false" ht="15" hidden="false" customHeight="false" outlineLevel="0" collapsed="false">
      <c r="D4656" s="0" t="s">
        <v>60</v>
      </c>
      <c r="E4656" s="0" t="s">
        <v>61</v>
      </c>
      <c r="F4656" s="0" t="s">
        <v>62</v>
      </c>
      <c r="G4656" s="0" t="s">
        <v>161</v>
      </c>
      <c r="H4656" s="0" t="s">
        <v>162</v>
      </c>
      <c r="I4656" s="0" t="s">
        <v>38</v>
      </c>
      <c r="J4656" s="0" t="s">
        <v>39</v>
      </c>
      <c r="K4656" s="0" t="s">
        <v>30</v>
      </c>
      <c r="L4656" s="0" t="s">
        <v>31</v>
      </c>
      <c r="M4656" s="0" t="s">
        <v>140</v>
      </c>
      <c r="N4656" s="0" t="n">
        <v>1586</v>
      </c>
      <c r="O4656" s="10" t="n">
        <v>0.729510110337287</v>
      </c>
      <c r="P4656" s="10" t="n">
        <v>0.0268250561784953</v>
      </c>
      <c r="Q4656" s="0" t="str">
        <f aca="false">SUBSTITUTE(SUBSTITUTE($I4656,CHAR(61),""),CHAR(34),"")</f>
        <v>15-24</v>
      </c>
      <c r="R4656" s="0" t="str">
        <f aca="false">IF($D4656&lt;&gt;"","["&amp;$E4656&amp;"]"&amp;"|"&amp;$Q4656&amp;"|"&amp;$K4656&amp;"|"&amp;$G4656&amp;"|"&amp;IF($G4656="TX_CURR_SUBNAT.R","CY2022Q4",$M4656),"")</f>
        <v>[msW2zpIN7up]|15-24|Female|PMTCT_STAT_SUBNAT.N.Known.Pos.T_1|CY2023Q3</v>
      </c>
    </row>
    <row r="4657" customFormat="false" ht="15" hidden="false" customHeight="false" outlineLevel="0" collapsed="false">
      <c r="D4657" s="0" t="s">
        <v>60</v>
      </c>
      <c r="E4657" s="0" t="s">
        <v>61</v>
      </c>
      <c r="F4657" s="0" t="s">
        <v>62</v>
      </c>
      <c r="G4657" s="0" t="s">
        <v>161</v>
      </c>
      <c r="H4657" s="0" t="s">
        <v>162</v>
      </c>
      <c r="I4657" s="0" t="s">
        <v>41</v>
      </c>
      <c r="J4657" s="0" t="s">
        <v>42</v>
      </c>
      <c r="K4657" s="0" t="s">
        <v>30</v>
      </c>
      <c r="L4657" s="0" t="s">
        <v>31</v>
      </c>
      <c r="M4657" s="0" t="s">
        <v>140</v>
      </c>
      <c r="N4657" s="0" t="n">
        <v>1128</v>
      </c>
      <c r="O4657" s="10" t="n">
        <v>0.0753039929550141</v>
      </c>
      <c r="P4657" s="10" t="n">
        <v>0.0268250561784953</v>
      </c>
      <c r="Q4657" s="0" t="str">
        <f aca="false">SUBSTITUTE(SUBSTITUTE($I4657,CHAR(61),""),CHAR(34),"")</f>
        <v>25-34</v>
      </c>
      <c r="R4657" s="0" t="str">
        <f aca="false">IF($D4657&lt;&gt;"","["&amp;$E4657&amp;"]"&amp;"|"&amp;$Q4657&amp;"|"&amp;$K4657&amp;"|"&amp;$G4657&amp;"|"&amp;IF($G4657="TX_CURR_SUBNAT.R","CY2022Q4",$M4657),"")</f>
        <v>[msW2zpIN7up]|25-34|Female|PMTCT_STAT_SUBNAT.N.Known.Pos.T_1|CY2023Q3</v>
      </c>
    </row>
    <row r="4658" customFormat="false" ht="15" hidden="false" customHeight="false" outlineLevel="0" collapsed="false">
      <c r="D4658" s="0" t="s">
        <v>60</v>
      </c>
      <c r="E4658" s="0" t="s">
        <v>61</v>
      </c>
      <c r="F4658" s="0" t="s">
        <v>62</v>
      </c>
      <c r="G4658" s="0" t="s">
        <v>161</v>
      </c>
      <c r="H4658" s="0" t="s">
        <v>162</v>
      </c>
      <c r="I4658" s="0" t="s">
        <v>43</v>
      </c>
      <c r="J4658" s="0" t="s">
        <v>44</v>
      </c>
      <c r="K4658" s="0" t="s">
        <v>30</v>
      </c>
      <c r="L4658" s="0" t="s">
        <v>31</v>
      </c>
      <c r="M4658" s="0" t="s">
        <v>140</v>
      </c>
      <c r="N4658" s="0" t="n">
        <v>1604</v>
      </c>
      <c r="O4658" s="10" t="n">
        <v>0.570483389310539</v>
      </c>
      <c r="P4658" s="10" t="n">
        <v>0.0268250561784953</v>
      </c>
      <c r="Q4658" s="0" t="str">
        <f aca="false">SUBSTITUTE(SUBSTITUTE($I4658,CHAR(61),""),CHAR(34),"")</f>
        <v>35-49</v>
      </c>
      <c r="R4658" s="0" t="str">
        <f aca="false">IF($D4658&lt;&gt;"","["&amp;$E4658&amp;"]"&amp;"|"&amp;$Q4658&amp;"|"&amp;$K4658&amp;"|"&amp;$G4658&amp;"|"&amp;IF($G4658="TX_CURR_SUBNAT.R","CY2022Q4",$M4658),"")</f>
        <v>[msW2zpIN7up]|35-49|Female|PMTCT_STAT_SUBNAT.N.Known.Pos.T_1|CY2023Q3</v>
      </c>
    </row>
    <row r="4659" customFormat="false" ht="15" hidden="false" customHeight="false" outlineLevel="0" collapsed="false">
      <c r="D4659" s="0" t="s">
        <v>63</v>
      </c>
      <c r="E4659" s="0" t="s">
        <v>64</v>
      </c>
      <c r="F4659" s="0" t="s">
        <v>65</v>
      </c>
      <c r="G4659" s="0" t="s">
        <v>161</v>
      </c>
      <c r="H4659" s="0" t="s">
        <v>162</v>
      </c>
      <c r="I4659" s="0" t="s">
        <v>38</v>
      </c>
      <c r="J4659" s="0" t="s">
        <v>39</v>
      </c>
      <c r="K4659" s="0" t="s">
        <v>30</v>
      </c>
      <c r="L4659" s="0" t="s">
        <v>31</v>
      </c>
      <c r="M4659" s="0" t="s">
        <v>140</v>
      </c>
      <c r="N4659" s="0" t="n">
        <v>935</v>
      </c>
      <c r="O4659" s="10" t="n">
        <v>0.964653083123267</v>
      </c>
      <c r="P4659" s="10" t="n">
        <v>0.790102193132043</v>
      </c>
      <c r="Q4659" s="0" t="str">
        <f aca="false">SUBSTITUTE(SUBSTITUTE($I4659,CHAR(61),""),CHAR(34),"")</f>
        <v>15-24</v>
      </c>
      <c r="R4659" s="0" t="str">
        <f aca="false">IF($D4659&lt;&gt;"","["&amp;$E4659&amp;"]"&amp;"|"&amp;$Q4659&amp;"|"&amp;$K4659&amp;"|"&amp;$G4659&amp;"|"&amp;IF($G4659="TX_CURR_SUBNAT.R","CY2022Q4",$M4659),"")</f>
        <v>[kxuuIFpOXyO]|15-24|Female|PMTCT_STAT_SUBNAT.N.Known.Pos.T_1|CY2023Q3</v>
      </c>
    </row>
    <row r="4660" customFormat="false" ht="15" hidden="false" customHeight="false" outlineLevel="0" collapsed="false">
      <c r="D4660" s="0" t="s">
        <v>63</v>
      </c>
      <c r="E4660" s="0" t="s">
        <v>64</v>
      </c>
      <c r="F4660" s="0" t="s">
        <v>65</v>
      </c>
      <c r="G4660" s="0" t="s">
        <v>161</v>
      </c>
      <c r="H4660" s="0" t="s">
        <v>162</v>
      </c>
      <c r="I4660" s="0" t="s">
        <v>41</v>
      </c>
      <c r="J4660" s="0" t="s">
        <v>42</v>
      </c>
      <c r="K4660" s="0" t="s">
        <v>30</v>
      </c>
      <c r="L4660" s="0" t="s">
        <v>31</v>
      </c>
      <c r="M4660" s="0" t="s">
        <v>140</v>
      </c>
      <c r="N4660" s="0" t="n">
        <v>1704</v>
      </c>
      <c r="O4660" s="10" t="n">
        <v>0.344421657035127</v>
      </c>
      <c r="P4660" s="10" t="n">
        <v>0.790102193132043</v>
      </c>
      <c r="Q4660" s="0" t="str">
        <f aca="false">SUBSTITUTE(SUBSTITUTE($I4660,CHAR(61),""),CHAR(34),"")</f>
        <v>25-34</v>
      </c>
      <c r="R4660" s="0" t="str">
        <f aca="false">IF($D4660&lt;&gt;"","["&amp;$E4660&amp;"]"&amp;"|"&amp;$Q4660&amp;"|"&amp;$K4660&amp;"|"&amp;$G4660&amp;"|"&amp;IF($G4660="TX_CURR_SUBNAT.R","CY2022Q4",$M4660),"")</f>
        <v>[kxuuIFpOXyO]|25-34|Female|PMTCT_STAT_SUBNAT.N.Known.Pos.T_1|CY2023Q3</v>
      </c>
    </row>
    <row r="4661" customFormat="false" ht="15" hidden="false" customHeight="false" outlineLevel="0" collapsed="false">
      <c r="D4661" s="0" t="s">
        <v>63</v>
      </c>
      <c r="E4661" s="0" t="s">
        <v>64</v>
      </c>
      <c r="F4661" s="0" t="s">
        <v>65</v>
      </c>
      <c r="G4661" s="0" t="s">
        <v>161</v>
      </c>
      <c r="H4661" s="0" t="s">
        <v>162</v>
      </c>
      <c r="I4661" s="0" t="s">
        <v>43</v>
      </c>
      <c r="J4661" s="0" t="s">
        <v>44</v>
      </c>
      <c r="K4661" s="0" t="s">
        <v>30</v>
      </c>
      <c r="L4661" s="0" t="s">
        <v>31</v>
      </c>
      <c r="M4661" s="0" t="s">
        <v>140</v>
      </c>
      <c r="N4661" s="0" t="n">
        <v>1220</v>
      </c>
      <c r="O4661" s="10" t="n">
        <v>0.111170689575374</v>
      </c>
      <c r="P4661" s="10" t="n">
        <v>0.790102193132043</v>
      </c>
      <c r="Q4661" s="0" t="str">
        <f aca="false">SUBSTITUTE(SUBSTITUTE($I4661,CHAR(61),""),CHAR(34),"")</f>
        <v>35-49</v>
      </c>
      <c r="R4661" s="0" t="str">
        <f aca="false">IF($D4661&lt;&gt;"","["&amp;$E4661&amp;"]"&amp;"|"&amp;$Q4661&amp;"|"&amp;$K4661&amp;"|"&amp;$G4661&amp;"|"&amp;IF($G4661="TX_CURR_SUBNAT.R","CY2022Q4",$M4661),"")</f>
        <v>[kxuuIFpOXyO]|35-49|Female|PMTCT_STAT_SUBNAT.N.Known.Pos.T_1|CY2023Q3</v>
      </c>
    </row>
    <row r="4662" customFormat="false" ht="15" hidden="false" customHeight="false" outlineLevel="0" collapsed="false">
      <c r="D4662" s="0" t="s">
        <v>66</v>
      </c>
      <c r="E4662" s="0" t="s">
        <v>67</v>
      </c>
      <c r="F4662" s="0" t="s">
        <v>68</v>
      </c>
      <c r="G4662" s="0" t="s">
        <v>161</v>
      </c>
      <c r="H4662" s="0" t="s">
        <v>162</v>
      </c>
      <c r="I4662" s="0" t="s">
        <v>38</v>
      </c>
      <c r="J4662" s="0" t="s">
        <v>39</v>
      </c>
      <c r="K4662" s="0" t="s">
        <v>30</v>
      </c>
      <c r="L4662" s="0" t="s">
        <v>31</v>
      </c>
      <c r="M4662" s="0" t="s">
        <v>140</v>
      </c>
      <c r="N4662" s="0" t="n">
        <v>1036</v>
      </c>
      <c r="O4662" s="10" t="n">
        <v>0.386810566764325</v>
      </c>
      <c r="P4662" s="10" t="n">
        <v>0.164609884377569</v>
      </c>
      <c r="Q4662" s="0" t="str">
        <f aca="false">SUBSTITUTE(SUBSTITUTE($I4662,CHAR(61),""),CHAR(34),"")</f>
        <v>15-24</v>
      </c>
      <c r="R4662" s="0" t="str">
        <f aca="false">IF($D4662&lt;&gt;"","["&amp;$E4662&amp;"]"&amp;"|"&amp;$Q4662&amp;"|"&amp;$K4662&amp;"|"&amp;$G4662&amp;"|"&amp;IF($G4662="TX_CURR_SUBNAT.R","CY2022Q4",$M4662),"")</f>
        <v>[ScR9iFKAasW]|15-24|Female|PMTCT_STAT_SUBNAT.N.Known.Pos.T_1|CY2023Q3</v>
      </c>
    </row>
    <row r="4663" customFormat="false" ht="15" hidden="false" customHeight="false" outlineLevel="0" collapsed="false">
      <c r="D4663" s="0" t="s">
        <v>66</v>
      </c>
      <c r="E4663" s="0" t="s">
        <v>67</v>
      </c>
      <c r="F4663" s="0" t="s">
        <v>68</v>
      </c>
      <c r="G4663" s="0" t="s">
        <v>161</v>
      </c>
      <c r="H4663" s="0" t="s">
        <v>162</v>
      </c>
      <c r="I4663" s="0" t="s">
        <v>41</v>
      </c>
      <c r="J4663" s="0" t="s">
        <v>42</v>
      </c>
      <c r="K4663" s="0" t="s">
        <v>30</v>
      </c>
      <c r="L4663" s="0" t="s">
        <v>31</v>
      </c>
      <c r="M4663" s="0" t="s">
        <v>140</v>
      </c>
      <c r="N4663" s="0" t="n">
        <v>1102</v>
      </c>
      <c r="O4663" s="10" t="n">
        <v>0.770290949149057</v>
      </c>
      <c r="P4663" s="10" t="n">
        <v>0.164609884377569</v>
      </c>
      <c r="Q4663" s="0" t="str">
        <f aca="false">SUBSTITUTE(SUBSTITUTE($I4663,CHAR(61),""),CHAR(34),"")</f>
        <v>25-34</v>
      </c>
      <c r="R4663" s="0" t="str">
        <f aca="false">IF($D4663&lt;&gt;"","["&amp;$E4663&amp;"]"&amp;"|"&amp;$Q4663&amp;"|"&amp;$K4663&amp;"|"&amp;$G4663&amp;"|"&amp;IF($G4663="TX_CURR_SUBNAT.R","CY2022Q4",$M4663),"")</f>
        <v>[ScR9iFKAasW]|25-34|Female|PMTCT_STAT_SUBNAT.N.Known.Pos.T_1|CY2023Q3</v>
      </c>
    </row>
    <row r="4664" customFormat="false" ht="15" hidden="false" customHeight="false" outlineLevel="0" collapsed="false">
      <c r="D4664" s="0" t="s">
        <v>66</v>
      </c>
      <c r="E4664" s="0" t="s">
        <v>67</v>
      </c>
      <c r="F4664" s="0" t="s">
        <v>68</v>
      </c>
      <c r="G4664" s="0" t="s">
        <v>161</v>
      </c>
      <c r="H4664" s="0" t="s">
        <v>162</v>
      </c>
      <c r="I4664" s="0" t="s">
        <v>43</v>
      </c>
      <c r="J4664" s="0" t="s">
        <v>44</v>
      </c>
      <c r="K4664" s="0" t="s">
        <v>30</v>
      </c>
      <c r="L4664" s="0" t="s">
        <v>31</v>
      </c>
      <c r="M4664" s="0" t="s">
        <v>140</v>
      </c>
      <c r="N4664" s="0" t="n">
        <v>1712</v>
      </c>
      <c r="O4664" s="10" t="n">
        <v>0.341018896782771</v>
      </c>
      <c r="P4664" s="10" t="n">
        <v>0.164609884377569</v>
      </c>
      <c r="Q4664" s="0" t="str">
        <f aca="false">SUBSTITUTE(SUBSTITUTE($I4664,CHAR(61),""),CHAR(34),"")</f>
        <v>35-49</v>
      </c>
      <c r="R4664" s="0" t="str">
        <f aca="false">IF($D4664&lt;&gt;"","["&amp;$E4664&amp;"]"&amp;"|"&amp;$Q4664&amp;"|"&amp;$K4664&amp;"|"&amp;$G4664&amp;"|"&amp;IF($G4664="TX_CURR_SUBNAT.R","CY2022Q4",$M4664),"")</f>
        <v>[ScR9iFKAasW]|35-49|Female|PMTCT_STAT_SUBNAT.N.Known.Pos.T_1|CY2023Q3</v>
      </c>
    </row>
    <row r="4665" customFormat="false" ht="15" hidden="false" customHeight="false" outlineLevel="0" collapsed="false">
      <c r="D4665" s="0" t="s">
        <v>69</v>
      </c>
      <c r="E4665" s="0" t="s">
        <v>70</v>
      </c>
      <c r="F4665" s="0" t="s">
        <v>71</v>
      </c>
      <c r="G4665" s="0" t="s">
        <v>161</v>
      </c>
      <c r="H4665" s="0" t="s">
        <v>162</v>
      </c>
      <c r="I4665" s="0" t="s">
        <v>38</v>
      </c>
      <c r="J4665" s="0" t="s">
        <v>39</v>
      </c>
      <c r="K4665" s="0" t="s">
        <v>30</v>
      </c>
      <c r="L4665" s="0" t="s">
        <v>31</v>
      </c>
      <c r="M4665" s="0" t="s">
        <v>140</v>
      </c>
      <c r="N4665" s="0" t="n">
        <v>1212</v>
      </c>
      <c r="O4665" s="10" t="n">
        <v>0.105932409875095</v>
      </c>
      <c r="P4665" s="10" t="n">
        <v>0.198817263124511</v>
      </c>
      <c r="Q4665" s="0" t="str">
        <f aca="false">SUBSTITUTE(SUBSTITUTE($I4665,CHAR(61),""),CHAR(34),"")</f>
        <v>15-24</v>
      </c>
      <c r="R4665" s="0" t="str">
        <f aca="false">IF($D4665&lt;&gt;"","["&amp;$E4665&amp;"]"&amp;"|"&amp;$Q4665&amp;"|"&amp;$K4665&amp;"|"&amp;$G4665&amp;"|"&amp;IF($G4665="TX_CURR_SUBNAT.R","CY2022Q4",$M4665),"")</f>
        <v>[PekKUkKHAzY]|15-24|Female|PMTCT_STAT_SUBNAT.N.Known.Pos.T_1|CY2023Q3</v>
      </c>
    </row>
    <row r="4666" customFormat="false" ht="15" hidden="false" customHeight="false" outlineLevel="0" collapsed="false">
      <c r="D4666" s="0" t="s">
        <v>69</v>
      </c>
      <c r="E4666" s="0" t="s">
        <v>70</v>
      </c>
      <c r="F4666" s="0" t="s">
        <v>71</v>
      </c>
      <c r="G4666" s="0" t="s">
        <v>161</v>
      </c>
      <c r="H4666" s="0" t="s">
        <v>162</v>
      </c>
      <c r="I4666" s="0" t="s">
        <v>41</v>
      </c>
      <c r="J4666" s="0" t="s">
        <v>42</v>
      </c>
      <c r="K4666" s="0" t="s">
        <v>30</v>
      </c>
      <c r="L4666" s="0" t="s">
        <v>31</v>
      </c>
      <c r="M4666" s="0" t="s">
        <v>140</v>
      </c>
      <c r="N4666" s="0" t="n">
        <v>1346</v>
      </c>
      <c r="O4666" s="10" t="n">
        <v>0.540819032350555</v>
      </c>
      <c r="P4666" s="10" t="n">
        <v>0.198817263124511</v>
      </c>
      <c r="Q4666" s="0" t="str">
        <f aca="false">SUBSTITUTE(SUBSTITUTE($I4666,CHAR(61),""),CHAR(34),"")</f>
        <v>25-34</v>
      </c>
      <c r="R4666" s="0" t="str">
        <f aca="false">IF($D4666&lt;&gt;"","["&amp;$E4666&amp;"]"&amp;"|"&amp;$Q4666&amp;"|"&amp;$K4666&amp;"|"&amp;$G4666&amp;"|"&amp;IF($G4666="TX_CURR_SUBNAT.R","CY2022Q4",$M4666),"")</f>
        <v>[PekKUkKHAzY]|25-34|Female|PMTCT_STAT_SUBNAT.N.Known.Pos.T_1|CY2023Q3</v>
      </c>
    </row>
    <row r="4667" customFormat="false" ht="15" hidden="false" customHeight="false" outlineLevel="0" collapsed="false">
      <c r="D4667" s="0" t="s">
        <v>69</v>
      </c>
      <c r="E4667" s="0" t="s">
        <v>70</v>
      </c>
      <c r="F4667" s="0" t="s">
        <v>71</v>
      </c>
      <c r="G4667" s="0" t="s">
        <v>161</v>
      </c>
      <c r="H4667" s="0" t="s">
        <v>162</v>
      </c>
      <c r="I4667" s="0" t="s">
        <v>43</v>
      </c>
      <c r="J4667" s="0" t="s">
        <v>44</v>
      </c>
      <c r="K4667" s="0" t="s">
        <v>30</v>
      </c>
      <c r="L4667" s="0" t="s">
        <v>31</v>
      </c>
      <c r="M4667" s="0" t="s">
        <v>140</v>
      </c>
      <c r="N4667" s="0" t="n">
        <v>1608</v>
      </c>
      <c r="O4667" s="10" t="n">
        <v>0.397190957097337</v>
      </c>
      <c r="P4667" s="10" t="n">
        <v>0.198817263124511</v>
      </c>
      <c r="Q4667" s="0" t="str">
        <f aca="false">SUBSTITUTE(SUBSTITUTE($I4667,CHAR(61),""),CHAR(34),"")</f>
        <v>35-49</v>
      </c>
      <c r="R4667" s="0" t="str">
        <f aca="false">IF($D4667&lt;&gt;"","["&amp;$E4667&amp;"]"&amp;"|"&amp;$Q4667&amp;"|"&amp;$K4667&amp;"|"&amp;$G4667&amp;"|"&amp;IF($G4667="TX_CURR_SUBNAT.R","CY2022Q4",$M4667),"")</f>
        <v>[PekKUkKHAzY]|35-49|Female|PMTCT_STAT_SUBNAT.N.Known.Pos.T_1|CY2023Q3</v>
      </c>
    </row>
    <row r="4668" customFormat="false" ht="15" hidden="false" customHeight="false" outlineLevel="0" collapsed="false">
      <c r="D4668" s="0" t="s">
        <v>72</v>
      </c>
      <c r="E4668" s="0" t="s">
        <v>73</v>
      </c>
      <c r="F4668" s="0" t="s">
        <v>74</v>
      </c>
      <c r="G4668" s="0" t="s">
        <v>161</v>
      </c>
      <c r="H4668" s="0" t="s">
        <v>162</v>
      </c>
      <c r="I4668" s="0" t="s">
        <v>38</v>
      </c>
      <c r="J4668" s="0" t="s">
        <v>39</v>
      </c>
      <c r="K4668" s="0" t="s">
        <v>30</v>
      </c>
      <c r="L4668" s="0" t="s">
        <v>31</v>
      </c>
      <c r="M4668" s="0" t="s">
        <v>140</v>
      </c>
      <c r="N4668" s="0" t="n">
        <v>1108</v>
      </c>
      <c r="O4668" s="10" t="n">
        <v>0.11255947384052</v>
      </c>
      <c r="P4668" s="10" t="n">
        <v>0.289728706935421</v>
      </c>
      <c r="Q4668" s="0" t="str">
        <f aca="false">SUBSTITUTE(SUBSTITUTE($I4668,CHAR(61),""),CHAR(34),"")</f>
        <v>15-24</v>
      </c>
      <c r="R4668" s="0" t="str">
        <f aca="false">IF($D4668&lt;&gt;"","["&amp;$E4668&amp;"]"&amp;"|"&amp;$Q4668&amp;"|"&amp;$K4668&amp;"|"&amp;$G4668&amp;"|"&amp;IF($G4668="TX_CURR_SUBNAT.R","CY2022Q4",$M4668),"")</f>
        <v>[am530wpaGvr]|15-24|Female|PMTCT_STAT_SUBNAT.N.Known.Pos.T_1|CY2023Q3</v>
      </c>
    </row>
    <row r="4669" customFormat="false" ht="15" hidden="false" customHeight="false" outlineLevel="0" collapsed="false">
      <c r="D4669" s="0" t="s">
        <v>72</v>
      </c>
      <c r="E4669" s="0" t="s">
        <v>73</v>
      </c>
      <c r="F4669" s="0" t="s">
        <v>74</v>
      </c>
      <c r="G4669" s="0" t="s">
        <v>161</v>
      </c>
      <c r="H4669" s="0" t="s">
        <v>162</v>
      </c>
      <c r="I4669" s="0" t="s">
        <v>41</v>
      </c>
      <c r="J4669" s="0" t="s">
        <v>42</v>
      </c>
      <c r="K4669" s="0" t="s">
        <v>30</v>
      </c>
      <c r="L4669" s="0" t="s">
        <v>31</v>
      </c>
      <c r="M4669" s="0" t="s">
        <v>140</v>
      </c>
      <c r="N4669" s="0" t="n">
        <v>817</v>
      </c>
      <c r="O4669" s="10" t="n">
        <v>0.220523281488568</v>
      </c>
      <c r="P4669" s="10" t="n">
        <v>0.289728706935421</v>
      </c>
      <c r="Q4669" s="0" t="str">
        <f aca="false">SUBSTITUTE(SUBSTITUTE($I4669,CHAR(61),""),CHAR(34),"")</f>
        <v>25-34</v>
      </c>
      <c r="R4669" s="0" t="str">
        <f aca="false">IF($D4669&lt;&gt;"","["&amp;$E4669&amp;"]"&amp;"|"&amp;$Q4669&amp;"|"&amp;$K4669&amp;"|"&amp;$G4669&amp;"|"&amp;IF($G4669="TX_CURR_SUBNAT.R","CY2022Q4",$M4669),"")</f>
        <v>[am530wpaGvr]|25-34|Female|PMTCT_STAT_SUBNAT.N.Known.Pos.T_1|CY2023Q3</v>
      </c>
    </row>
    <row r="4670" customFormat="false" ht="15" hidden="false" customHeight="false" outlineLevel="0" collapsed="false">
      <c r="D4670" s="0" t="s">
        <v>72</v>
      </c>
      <c r="E4670" s="0" t="s">
        <v>73</v>
      </c>
      <c r="F4670" s="0" t="s">
        <v>74</v>
      </c>
      <c r="G4670" s="0" t="s">
        <v>161</v>
      </c>
      <c r="H4670" s="0" t="s">
        <v>162</v>
      </c>
      <c r="I4670" s="0" t="s">
        <v>43</v>
      </c>
      <c r="J4670" s="0" t="s">
        <v>44</v>
      </c>
      <c r="K4670" s="0" t="s">
        <v>30</v>
      </c>
      <c r="L4670" s="0" t="s">
        <v>31</v>
      </c>
      <c r="M4670" s="0" t="s">
        <v>140</v>
      </c>
      <c r="N4670" s="0" t="n">
        <v>905</v>
      </c>
      <c r="O4670" s="10" t="n">
        <v>0.559143991675228</v>
      </c>
      <c r="P4670" s="10" t="n">
        <v>0.289728706935421</v>
      </c>
      <c r="Q4670" s="0" t="str">
        <f aca="false">SUBSTITUTE(SUBSTITUTE($I4670,CHAR(61),""),CHAR(34),"")</f>
        <v>35-49</v>
      </c>
      <c r="R4670" s="0" t="str">
        <f aca="false">IF($D4670&lt;&gt;"","["&amp;$E4670&amp;"]"&amp;"|"&amp;$Q4670&amp;"|"&amp;$K4670&amp;"|"&amp;$G4670&amp;"|"&amp;IF($G4670="TX_CURR_SUBNAT.R","CY2022Q4",$M4670),"")</f>
        <v>[am530wpaGvr]|35-49|Female|PMTCT_STAT_SUBNAT.N.Known.Pos.T_1|CY2023Q3</v>
      </c>
    </row>
    <row r="4671" customFormat="false" ht="15" hidden="false" customHeight="false" outlineLevel="0" collapsed="false">
      <c r="D4671" s="0" t="s">
        <v>75</v>
      </c>
      <c r="E4671" s="0" t="s">
        <v>76</v>
      </c>
      <c r="F4671" s="0" t="s">
        <v>77</v>
      </c>
      <c r="G4671" s="0" t="s">
        <v>161</v>
      </c>
      <c r="H4671" s="0" t="s">
        <v>162</v>
      </c>
      <c r="I4671" s="0" t="s">
        <v>38</v>
      </c>
      <c r="J4671" s="0" t="s">
        <v>39</v>
      </c>
      <c r="K4671" s="0" t="s">
        <v>30</v>
      </c>
      <c r="L4671" s="0" t="s">
        <v>31</v>
      </c>
      <c r="M4671" s="0" t="s">
        <v>140</v>
      </c>
      <c r="N4671" s="0" t="n">
        <v>876</v>
      </c>
      <c r="O4671" s="10" t="n">
        <v>0.675548691768199</v>
      </c>
      <c r="P4671" s="10" t="n">
        <v>0.303055507596582</v>
      </c>
      <c r="Q4671" s="0" t="str">
        <f aca="false">SUBSTITUTE(SUBSTITUTE($I4671,CHAR(61),""),CHAR(34),"")</f>
        <v>15-24</v>
      </c>
      <c r="R4671" s="0" t="str">
        <f aca="false">IF($D4671&lt;&gt;"","["&amp;$E4671&amp;"]"&amp;"|"&amp;$Q4671&amp;"|"&amp;$K4671&amp;"|"&amp;$G4671&amp;"|"&amp;IF($G4671="TX_CURR_SUBNAT.R","CY2022Q4",$M4671),"")</f>
        <v>[lLDyBx5XyUi]|15-24|Female|PMTCT_STAT_SUBNAT.N.Known.Pos.T_1|CY2023Q3</v>
      </c>
    </row>
    <row r="4672" customFormat="false" ht="15" hidden="false" customHeight="false" outlineLevel="0" collapsed="false">
      <c r="D4672" s="0" t="s">
        <v>75</v>
      </c>
      <c r="E4672" s="0" t="s">
        <v>76</v>
      </c>
      <c r="F4672" s="0" t="s">
        <v>77</v>
      </c>
      <c r="G4672" s="0" t="s">
        <v>161</v>
      </c>
      <c r="H4672" s="0" t="s">
        <v>162</v>
      </c>
      <c r="I4672" s="0" t="s">
        <v>41</v>
      </c>
      <c r="J4672" s="0" t="s">
        <v>42</v>
      </c>
      <c r="K4672" s="0" t="s">
        <v>30</v>
      </c>
      <c r="L4672" s="0" t="s">
        <v>31</v>
      </c>
      <c r="M4672" s="0" t="s">
        <v>140</v>
      </c>
      <c r="N4672" s="0" t="n">
        <v>1133</v>
      </c>
      <c r="O4672" s="10" t="n">
        <v>0.435920734191313</v>
      </c>
      <c r="P4672" s="10" t="n">
        <v>0.303055507596582</v>
      </c>
      <c r="Q4672" s="0" t="str">
        <f aca="false">SUBSTITUTE(SUBSTITUTE($I4672,CHAR(61),""),CHAR(34),"")</f>
        <v>25-34</v>
      </c>
      <c r="R4672" s="0" t="str">
        <f aca="false">IF($D4672&lt;&gt;"","["&amp;$E4672&amp;"]"&amp;"|"&amp;$Q4672&amp;"|"&amp;$K4672&amp;"|"&amp;$G4672&amp;"|"&amp;IF($G4672="TX_CURR_SUBNAT.R","CY2022Q4",$M4672),"")</f>
        <v>[lLDyBx5XyUi]|25-34|Female|PMTCT_STAT_SUBNAT.N.Known.Pos.T_1|CY2023Q3</v>
      </c>
    </row>
    <row r="4673" customFormat="false" ht="15" hidden="false" customHeight="false" outlineLevel="0" collapsed="false">
      <c r="D4673" s="0" t="s">
        <v>75</v>
      </c>
      <c r="E4673" s="0" t="s">
        <v>76</v>
      </c>
      <c r="F4673" s="0" t="s">
        <v>77</v>
      </c>
      <c r="G4673" s="0" t="s">
        <v>161</v>
      </c>
      <c r="H4673" s="0" t="s">
        <v>162</v>
      </c>
      <c r="I4673" s="0" t="s">
        <v>43</v>
      </c>
      <c r="J4673" s="0" t="s">
        <v>44</v>
      </c>
      <c r="K4673" s="0" t="s">
        <v>30</v>
      </c>
      <c r="L4673" s="0" t="s">
        <v>31</v>
      </c>
      <c r="M4673" s="0" t="s">
        <v>140</v>
      </c>
      <c r="N4673" s="0" t="n">
        <v>1720</v>
      </c>
      <c r="O4673" s="10" t="n">
        <v>0.810847986489534</v>
      </c>
      <c r="P4673" s="10" t="n">
        <v>0.303055507596582</v>
      </c>
      <c r="Q4673" s="0" t="str">
        <f aca="false">SUBSTITUTE(SUBSTITUTE($I4673,CHAR(61),""),CHAR(34),"")</f>
        <v>35-49</v>
      </c>
      <c r="R4673" s="0" t="str">
        <f aca="false">IF($D4673&lt;&gt;"","["&amp;$E4673&amp;"]"&amp;"|"&amp;$Q4673&amp;"|"&amp;$K4673&amp;"|"&amp;$G4673&amp;"|"&amp;IF($G4673="TX_CURR_SUBNAT.R","CY2022Q4",$M4673),"")</f>
        <v>[lLDyBx5XyUi]|35-49|Female|PMTCT_STAT_SUBNAT.N.Known.Pos.T_1|CY2023Q3</v>
      </c>
    </row>
    <row r="4674" customFormat="false" ht="15" hidden="false" customHeight="false" outlineLevel="0" collapsed="false">
      <c r="D4674" s="0" t="s">
        <v>78</v>
      </c>
      <c r="E4674" s="0" t="s">
        <v>79</v>
      </c>
      <c r="F4674" s="0" t="s">
        <v>80</v>
      </c>
      <c r="G4674" s="0" t="s">
        <v>161</v>
      </c>
      <c r="H4674" s="0" t="s">
        <v>162</v>
      </c>
      <c r="I4674" s="0" t="s">
        <v>38</v>
      </c>
      <c r="J4674" s="0" t="s">
        <v>39</v>
      </c>
      <c r="K4674" s="0" t="s">
        <v>30</v>
      </c>
      <c r="L4674" s="0" t="s">
        <v>31</v>
      </c>
      <c r="M4674" s="0" t="s">
        <v>140</v>
      </c>
      <c r="N4674" s="0" t="n">
        <v>1046</v>
      </c>
      <c r="O4674" s="10" t="n">
        <v>0.905922192614526</v>
      </c>
      <c r="P4674" s="10" t="n">
        <v>0.831597982207313</v>
      </c>
      <c r="Q4674" s="0" t="str">
        <f aca="false">SUBSTITUTE(SUBSTITUTE($I4674,CHAR(61),""),CHAR(34),"")</f>
        <v>15-24</v>
      </c>
      <c r="R4674" s="0" t="str">
        <f aca="false">IF($D4674&lt;&gt;"","["&amp;$E4674&amp;"]"&amp;"|"&amp;$Q4674&amp;"|"&amp;$K4674&amp;"|"&amp;$G4674&amp;"|"&amp;IF($G4674="TX_CURR_SUBNAT.R","CY2022Q4",$M4674),"")</f>
        <v>[TYnMSwzko3z]|15-24|Female|PMTCT_STAT_SUBNAT.N.Known.Pos.T_1|CY2023Q3</v>
      </c>
    </row>
    <row r="4675" customFormat="false" ht="15" hidden="false" customHeight="false" outlineLevel="0" collapsed="false">
      <c r="D4675" s="0" t="s">
        <v>78</v>
      </c>
      <c r="E4675" s="0" t="s">
        <v>79</v>
      </c>
      <c r="F4675" s="0" t="s">
        <v>80</v>
      </c>
      <c r="G4675" s="0" t="s">
        <v>161</v>
      </c>
      <c r="H4675" s="0" t="s">
        <v>162</v>
      </c>
      <c r="I4675" s="0" t="s">
        <v>41</v>
      </c>
      <c r="J4675" s="0" t="s">
        <v>42</v>
      </c>
      <c r="K4675" s="0" t="s">
        <v>30</v>
      </c>
      <c r="L4675" s="0" t="s">
        <v>31</v>
      </c>
      <c r="M4675" s="0" t="s">
        <v>140</v>
      </c>
      <c r="N4675" s="0" t="n">
        <v>1244</v>
      </c>
      <c r="O4675" s="10" t="n">
        <v>0.139032808598131</v>
      </c>
      <c r="P4675" s="10" t="n">
        <v>0.831597982207313</v>
      </c>
      <c r="Q4675" s="0" t="str">
        <f aca="false">SUBSTITUTE(SUBSTITUTE($I4675,CHAR(61),""),CHAR(34),"")</f>
        <v>25-34</v>
      </c>
      <c r="R4675" s="0" t="str">
        <f aca="false">IF($D4675&lt;&gt;"","["&amp;$E4675&amp;"]"&amp;"|"&amp;$Q4675&amp;"|"&amp;$K4675&amp;"|"&amp;$G4675&amp;"|"&amp;IF($G4675="TX_CURR_SUBNAT.R","CY2022Q4",$M4675),"")</f>
        <v>[TYnMSwzko3z]|25-34|Female|PMTCT_STAT_SUBNAT.N.Known.Pos.T_1|CY2023Q3</v>
      </c>
    </row>
    <row r="4676" customFormat="false" ht="15" hidden="false" customHeight="false" outlineLevel="0" collapsed="false">
      <c r="D4676" s="0" t="s">
        <v>78</v>
      </c>
      <c r="E4676" s="0" t="s">
        <v>79</v>
      </c>
      <c r="F4676" s="0" t="s">
        <v>80</v>
      </c>
      <c r="G4676" s="0" t="s">
        <v>161</v>
      </c>
      <c r="H4676" s="0" t="s">
        <v>162</v>
      </c>
      <c r="I4676" s="0" t="s">
        <v>43</v>
      </c>
      <c r="J4676" s="0" t="s">
        <v>44</v>
      </c>
      <c r="K4676" s="0" t="s">
        <v>30</v>
      </c>
      <c r="L4676" s="0" t="s">
        <v>31</v>
      </c>
      <c r="M4676" s="0" t="s">
        <v>140</v>
      </c>
      <c r="N4676" s="0" t="n">
        <v>987</v>
      </c>
      <c r="O4676" s="10" t="n">
        <v>0.112037262879312</v>
      </c>
      <c r="P4676" s="10" t="n">
        <v>0.831597982207313</v>
      </c>
      <c r="Q4676" s="0" t="str">
        <f aca="false">SUBSTITUTE(SUBSTITUTE($I4676,CHAR(61),""),CHAR(34),"")</f>
        <v>35-49</v>
      </c>
      <c r="R4676" s="0" t="str">
        <f aca="false">IF($D4676&lt;&gt;"","["&amp;$E4676&amp;"]"&amp;"|"&amp;$Q4676&amp;"|"&amp;$K4676&amp;"|"&amp;$G4676&amp;"|"&amp;IF($G4676="TX_CURR_SUBNAT.R","CY2022Q4",$M4676),"")</f>
        <v>[TYnMSwzko3z]|35-49|Female|PMTCT_STAT_SUBNAT.N.Known.Pos.T_1|CY2023Q3</v>
      </c>
    </row>
    <row r="4677" customFormat="false" ht="15" hidden="false" customHeight="false" outlineLevel="0" collapsed="false">
      <c r="D4677" s="0" t="s">
        <v>81</v>
      </c>
      <c r="E4677" s="0" t="s">
        <v>82</v>
      </c>
      <c r="F4677" s="0" t="s">
        <v>83</v>
      </c>
      <c r="G4677" s="0" t="s">
        <v>161</v>
      </c>
      <c r="H4677" s="0" t="s">
        <v>162</v>
      </c>
      <c r="I4677" s="0" t="s">
        <v>38</v>
      </c>
      <c r="J4677" s="0" t="s">
        <v>39</v>
      </c>
      <c r="K4677" s="0" t="s">
        <v>30</v>
      </c>
      <c r="L4677" s="0" t="s">
        <v>31</v>
      </c>
      <c r="M4677" s="0" t="s">
        <v>140</v>
      </c>
      <c r="N4677" s="0" t="n">
        <v>901</v>
      </c>
      <c r="O4677" s="10" t="n">
        <v>0.906212480738759</v>
      </c>
      <c r="P4677" s="10" t="n">
        <v>0.143331421539187</v>
      </c>
      <c r="Q4677" s="0" t="str">
        <f aca="false">SUBSTITUTE(SUBSTITUTE($I4677,CHAR(61),""),CHAR(34),"")</f>
        <v>15-24</v>
      </c>
      <c r="R4677" s="0" t="str">
        <f aca="false">IF($D4677&lt;&gt;"","["&amp;$E4677&amp;"]"&amp;"|"&amp;$Q4677&amp;"|"&amp;$K4677&amp;"|"&amp;$G4677&amp;"|"&amp;IF($G4677="TX_CURR_SUBNAT.R","CY2022Q4",$M4677),"")</f>
        <v>[ir8wuHHzoSs]|15-24|Female|PMTCT_STAT_SUBNAT.N.Known.Pos.T_1|CY2023Q3</v>
      </c>
    </row>
    <row r="4678" customFormat="false" ht="15" hidden="false" customHeight="false" outlineLevel="0" collapsed="false">
      <c r="D4678" s="0" t="s">
        <v>81</v>
      </c>
      <c r="E4678" s="0" t="s">
        <v>82</v>
      </c>
      <c r="F4678" s="0" t="s">
        <v>83</v>
      </c>
      <c r="G4678" s="0" t="s">
        <v>161</v>
      </c>
      <c r="H4678" s="0" t="s">
        <v>162</v>
      </c>
      <c r="I4678" s="0" t="s">
        <v>41</v>
      </c>
      <c r="J4678" s="0" t="s">
        <v>42</v>
      </c>
      <c r="K4678" s="0" t="s">
        <v>30</v>
      </c>
      <c r="L4678" s="0" t="s">
        <v>31</v>
      </c>
      <c r="M4678" s="0" t="s">
        <v>140</v>
      </c>
      <c r="N4678" s="0" t="n">
        <v>1722</v>
      </c>
      <c r="O4678" s="10" t="n">
        <v>0.599479052470997</v>
      </c>
      <c r="P4678" s="10" t="n">
        <v>0.143331421539187</v>
      </c>
      <c r="Q4678" s="0" t="str">
        <f aca="false">SUBSTITUTE(SUBSTITUTE($I4678,CHAR(61),""),CHAR(34),"")</f>
        <v>25-34</v>
      </c>
      <c r="R4678" s="0" t="str">
        <f aca="false">IF($D4678&lt;&gt;"","["&amp;$E4678&amp;"]"&amp;"|"&amp;$Q4678&amp;"|"&amp;$K4678&amp;"|"&amp;$G4678&amp;"|"&amp;IF($G4678="TX_CURR_SUBNAT.R","CY2022Q4",$M4678),"")</f>
        <v>[ir8wuHHzoSs]|25-34|Female|PMTCT_STAT_SUBNAT.N.Known.Pos.T_1|CY2023Q3</v>
      </c>
    </row>
    <row r="4679" customFormat="false" ht="15" hidden="false" customHeight="false" outlineLevel="0" collapsed="false">
      <c r="D4679" s="0" t="s">
        <v>81</v>
      </c>
      <c r="E4679" s="0" t="s">
        <v>82</v>
      </c>
      <c r="F4679" s="0" t="s">
        <v>83</v>
      </c>
      <c r="G4679" s="0" t="s">
        <v>161</v>
      </c>
      <c r="H4679" s="0" t="s">
        <v>162</v>
      </c>
      <c r="I4679" s="0" t="s">
        <v>43</v>
      </c>
      <c r="J4679" s="0" t="s">
        <v>44</v>
      </c>
      <c r="K4679" s="0" t="s">
        <v>30</v>
      </c>
      <c r="L4679" s="0" t="s">
        <v>31</v>
      </c>
      <c r="M4679" s="0" t="s">
        <v>140</v>
      </c>
      <c r="N4679" s="0" t="n">
        <v>1953</v>
      </c>
      <c r="O4679" s="10" t="n">
        <v>0.300143072381616</v>
      </c>
      <c r="P4679" s="10" t="n">
        <v>0.143331421539187</v>
      </c>
      <c r="Q4679" s="0" t="str">
        <f aca="false">SUBSTITUTE(SUBSTITUTE($I4679,CHAR(61),""),CHAR(34),"")</f>
        <v>35-49</v>
      </c>
      <c r="R4679" s="0" t="str">
        <f aca="false">IF($D4679&lt;&gt;"","["&amp;$E4679&amp;"]"&amp;"|"&amp;$Q4679&amp;"|"&amp;$K4679&amp;"|"&amp;$G4679&amp;"|"&amp;IF($G4679="TX_CURR_SUBNAT.R","CY2022Q4",$M4679),"")</f>
        <v>[ir8wuHHzoSs]|35-49|Female|PMTCT_STAT_SUBNAT.N.Known.Pos.T_1|CY2023Q3</v>
      </c>
    </row>
    <row r="4680" customFormat="false" ht="15" hidden="false" customHeight="false" outlineLevel="0" collapsed="false">
      <c r="D4680" s="0" t="s">
        <v>84</v>
      </c>
      <c r="E4680" s="0" t="s">
        <v>85</v>
      </c>
      <c r="F4680" s="0" t="s">
        <v>86</v>
      </c>
      <c r="G4680" s="0" t="s">
        <v>161</v>
      </c>
      <c r="H4680" s="0" t="s">
        <v>162</v>
      </c>
      <c r="I4680" s="0" t="s">
        <v>38</v>
      </c>
      <c r="J4680" s="0" t="s">
        <v>39</v>
      </c>
      <c r="K4680" s="0" t="s">
        <v>30</v>
      </c>
      <c r="L4680" s="0" t="s">
        <v>31</v>
      </c>
      <c r="M4680" s="0" t="s">
        <v>140</v>
      </c>
      <c r="N4680" s="0" t="n">
        <v>664</v>
      </c>
      <c r="O4680" s="10" t="n">
        <v>0.855751345632598</v>
      </c>
      <c r="P4680" s="10" t="n">
        <v>0.0297887143678963</v>
      </c>
      <c r="Q4680" s="0" t="str">
        <f aca="false">SUBSTITUTE(SUBSTITUTE($I4680,CHAR(61),""),CHAR(34),"")</f>
        <v>15-24</v>
      </c>
      <c r="R4680" s="0" t="str">
        <f aca="false">IF($D4680&lt;&gt;"","["&amp;$E4680&amp;"]"&amp;"|"&amp;$Q4680&amp;"|"&amp;$K4680&amp;"|"&amp;$G4680&amp;"|"&amp;IF($G4680="TX_CURR_SUBNAT.R","CY2022Q4",$M4680),"")</f>
        <v>[fyEoGEPERdI]|15-24|Female|PMTCT_STAT_SUBNAT.N.Known.Pos.T_1|CY2023Q3</v>
      </c>
    </row>
    <row r="4681" customFormat="false" ht="15" hidden="false" customHeight="false" outlineLevel="0" collapsed="false">
      <c r="D4681" s="0" t="s">
        <v>84</v>
      </c>
      <c r="E4681" s="0" t="s">
        <v>85</v>
      </c>
      <c r="F4681" s="0" t="s">
        <v>86</v>
      </c>
      <c r="G4681" s="0" t="s">
        <v>161</v>
      </c>
      <c r="H4681" s="0" t="s">
        <v>162</v>
      </c>
      <c r="I4681" s="0" t="s">
        <v>41</v>
      </c>
      <c r="J4681" s="0" t="s">
        <v>42</v>
      </c>
      <c r="K4681" s="0" t="s">
        <v>30</v>
      </c>
      <c r="L4681" s="0" t="s">
        <v>31</v>
      </c>
      <c r="M4681" s="0" t="s">
        <v>140</v>
      </c>
      <c r="N4681" s="0" t="n">
        <v>1130</v>
      </c>
      <c r="O4681" s="10" t="n">
        <v>0.827317856485024</v>
      </c>
      <c r="P4681" s="10" t="n">
        <v>0.0297887143678963</v>
      </c>
      <c r="Q4681" s="0" t="str">
        <f aca="false">SUBSTITUTE(SUBSTITUTE($I4681,CHAR(61),""),CHAR(34),"")</f>
        <v>25-34</v>
      </c>
      <c r="R4681" s="0" t="str">
        <f aca="false">IF($D4681&lt;&gt;"","["&amp;$E4681&amp;"]"&amp;"|"&amp;$Q4681&amp;"|"&amp;$K4681&amp;"|"&amp;$G4681&amp;"|"&amp;IF($G4681="TX_CURR_SUBNAT.R","CY2022Q4",$M4681),"")</f>
        <v>[fyEoGEPERdI]|25-34|Female|PMTCT_STAT_SUBNAT.N.Known.Pos.T_1|CY2023Q3</v>
      </c>
    </row>
    <row r="4682" customFormat="false" ht="15" hidden="false" customHeight="false" outlineLevel="0" collapsed="false">
      <c r="D4682" s="0" t="s">
        <v>84</v>
      </c>
      <c r="E4682" s="0" t="s">
        <v>85</v>
      </c>
      <c r="F4682" s="0" t="s">
        <v>86</v>
      </c>
      <c r="G4682" s="0" t="s">
        <v>161</v>
      </c>
      <c r="H4682" s="0" t="s">
        <v>162</v>
      </c>
      <c r="I4682" s="0" t="s">
        <v>43</v>
      </c>
      <c r="J4682" s="0" t="s">
        <v>44</v>
      </c>
      <c r="K4682" s="0" t="s">
        <v>30</v>
      </c>
      <c r="L4682" s="0" t="s">
        <v>31</v>
      </c>
      <c r="M4682" s="0" t="s">
        <v>140</v>
      </c>
      <c r="N4682" s="0" t="n">
        <v>1055</v>
      </c>
      <c r="O4682" s="10" t="n">
        <v>0.665648159570992</v>
      </c>
      <c r="P4682" s="10" t="n">
        <v>0.0297887143678963</v>
      </c>
      <c r="Q4682" s="0" t="str">
        <f aca="false">SUBSTITUTE(SUBSTITUTE($I4682,CHAR(61),""),CHAR(34),"")</f>
        <v>35-49</v>
      </c>
      <c r="R4682" s="0" t="str">
        <f aca="false">IF($D4682&lt;&gt;"","["&amp;$E4682&amp;"]"&amp;"|"&amp;$Q4682&amp;"|"&amp;$K4682&amp;"|"&amp;$G4682&amp;"|"&amp;IF($G4682="TX_CURR_SUBNAT.R","CY2022Q4",$M4682),"")</f>
        <v>[fyEoGEPERdI]|35-49|Female|PMTCT_STAT_SUBNAT.N.Known.Pos.T_1|CY2023Q3</v>
      </c>
    </row>
    <row r="4683" customFormat="false" ht="15" hidden="false" customHeight="false" outlineLevel="0" collapsed="false">
      <c r="D4683" s="0" t="s">
        <v>87</v>
      </c>
      <c r="E4683" s="0" t="s">
        <v>88</v>
      </c>
      <c r="F4683" s="0" t="s">
        <v>89</v>
      </c>
      <c r="G4683" s="0" t="s">
        <v>161</v>
      </c>
      <c r="H4683" s="0" t="s">
        <v>162</v>
      </c>
      <c r="I4683" s="0" t="s">
        <v>38</v>
      </c>
      <c r="J4683" s="0" t="s">
        <v>39</v>
      </c>
      <c r="K4683" s="0" t="s">
        <v>30</v>
      </c>
      <c r="L4683" s="0" t="s">
        <v>31</v>
      </c>
      <c r="M4683" s="0" t="s">
        <v>140</v>
      </c>
      <c r="N4683" s="0" t="n">
        <v>1109</v>
      </c>
      <c r="O4683" s="10" t="n">
        <v>0.688314438331872</v>
      </c>
      <c r="P4683" s="10" t="n">
        <v>0.133336380822584</v>
      </c>
      <c r="Q4683" s="0" t="str">
        <f aca="false">SUBSTITUTE(SUBSTITUTE($I4683,CHAR(61),""),CHAR(34),"")</f>
        <v>15-24</v>
      </c>
      <c r="R4683" s="0" t="str">
        <f aca="false">IF($D4683&lt;&gt;"","["&amp;$E4683&amp;"]"&amp;"|"&amp;$Q4683&amp;"|"&amp;$K4683&amp;"|"&amp;$G4683&amp;"|"&amp;IF($G4683="TX_CURR_SUBNAT.R","CY2022Q4",$M4683),"")</f>
        <v>[cPtvxaZqXIH]|15-24|Female|PMTCT_STAT_SUBNAT.N.Known.Pos.T_1|CY2023Q3</v>
      </c>
    </row>
    <row r="4684" customFormat="false" ht="15" hidden="false" customHeight="false" outlineLevel="0" collapsed="false">
      <c r="D4684" s="0" t="s">
        <v>87</v>
      </c>
      <c r="E4684" s="0" t="s">
        <v>88</v>
      </c>
      <c r="F4684" s="0" t="s">
        <v>89</v>
      </c>
      <c r="G4684" s="0" t="s">
        <v>161</v>
      </c>
      <c r="H4684" s="0" t="s">
        <v>162</v>
      </c>
      <c r="I4684" s="0" t="s">
        <v>41</v>
      </c>
      <c r="J4684" s="0" t="s">
        <v>42</v>
      </c>
      <c r="K4684" s="0" t="s">
        <v>30</v>
      </c>
      <c r="L4684" s="0" t="s">
        <v>31</v>
      </c>
      <c r="M4684" s="0" t="s">
        <v>140</v>
      </c>
      <c r="N4684" s="0" t="n">
        <v>1886</v>
      </c>
      <c r="O4684" s="10" t="n">
        <v>0.54881679196842</v>
      </c>
      <c r="P4684" s="10" t="n">
        <v>0.133336380822584</v>
      </c>
      <c r="Q4684" s="0" t="str">
        <f aca="false">SUBSTITUTE(SUBSTITUTE($I4684,CHAR(61),""),CHAR(34),"")</f>
        <v>25-34</v>
      </c>
      <c r="R4684" s="0" t="str">
        <f aca="false">IF($D4684&lt;&gt;"","["&amp;$E4684&amp;"]"&amp;"|"&amp;$Q4684&amp;"|"&amp;$K4684&amp;"|"&amp;$G4684&amp;"|"&amp;IF($G4684="TX_CURR_SUBNAT.R","CY2022Q4",$M4684),"")</f>
        <v>[cPtvxaZqXIH]|25-34|Female|PMTCT_STAT_SUBNAT.N.Known.Pos.T_1|CY2023Q3</v>
      </c>
    </row>
    <row r="4685" customFormat="false" ht="15" hidden="false" customHeight="false" outlineLevel="0" collapsed="false">
      <c r="D4685" s="0" t="s">
        <v>87</v>
      </c>
      <c r="E4685" s="0" t="s">
        <v>88</v>
      </c>
      <c r="F4685" s="0" t="s">
        <v>89</v>
      </c>
      <c r="G4685" s="0" t="s">
        <v>161</v>
      </c>
      <c r="H4685" s="0" t="s">
        <v>162</v>
      </c>
      <c r="I4685" s="0" t="s">
        <v>43</v>
      </c>
      <c r="J4685" s="0" t="s">
        <v>44</v>
      </c>
      <c r="K4685" s="0" t="s">
        <v>30</v>
      </c>
      <c r="L4685" s="0" t="s">
        <v>31</v>
      </c>
      <c r="M4685" s="0" t="s">
        <v>140</v>
      </c>
      <c r="N4685" s="0" t="n">
        <v>1700</v>
      </c>
      <c r="O4685" s="10" t="n">
        <v>0.703928653616458</v>
      </c>
      <c r="P4685" s="10" t="n">
        <v>0.133336380822584</v>
      </c>
      <c r="Q4685" s="0" t="str">
        <f aca="false">SUBSTITUTE(SUBSTITUTE($I4685,CHAR(61),""),CHAR(34),"")</f>
        <v>35-49</v>
      </c>
      <c r="R4685" s="0" t="str">
        <f aca="false">IF($D4685&lt;&gt;"","["&amp;$E4685&amp;"]"&amp;"|"&amp;$Q4685&amp;"|"&amp;$K4685&amp;"|"&amp;$G4685&amp;"|"&amp;IF($G4685="TX_CURR_SUBNAT.R","CY2022Q4",$M4685),"")</f>
        <v>[cPtvxaZqXIH]|35-49|Female|PMTCT_STAT_SUBNAT.N.Known.Pos.T_1|CY2023Q3</v>
      </c>
    </row>
    <row r="4686" customFormat="false" ht="15" hidden="false" customHeight="false" outlineLevel="0" collapsed="false">
      <c r="D4686" s="0" t="s">
        <v>90</v>
      </c>
      <c r="E4686" s="0" t="s">
        <v>91</v>
      </c>
      <c r="F4686" s="0" t="s">
        <v>92</v>
      </c>
      <c r="G4686" s="0" t="s">
        <v>161</v>
      </c>
      <c r="H4686" s="0" t="s">
        <v>162</v>
      </c>
      <c r="I4686" s="0" t="s">
        <v>38</v>
      </c>
      <c r="J4686" s="0" t="s">
        <v>39</v>
      </c>
      <c r="K4686" s="0" t="s">
        <v>30</v>
      </c>
      <c r="L4686" s="0" t="s">
        <v>31</v>
      </c>
      <c r="M4686" s="0" t="s">
        <v>140</v>
      </c>
      <c r="N4686" s="0" t="n">
        <v>1648</v>
      </c>
      <c r="O4686" s="10" t="n">
        <v>0.460103594465181</v>
      </c>
      <c r="P4686" s="10" t="n">
        <v>0.719914150424302</v>
      </c>
      <c r="Q4686" s="0" t="str">
        <f aca="false">SUBSTITUTE(SUBSTITUTE($I4686,CHAR(61),""),CHAR(34),"")</f>
        <v>15-24</v>
      </c>
      <c r="R4686" s="0" t="str">
        <f aca="false">IF($D4686&lt;&gt;"","["&amp;$E4686&amp;"]"&amp;"|"&amp;$Q4686&amp;"|"&amp;$K4686&amp;"|"&amp;$G4686&amp;"|"&amp;IF($G4686="TX_CURR_SUBNAT.R","CY2022Q4",$M4686),"")</f>
        <v>[AZyWpGzhcaA]|15-24|Female|PMTCT_STAT_SUBNAT.N.Known.Pos.T_1|CY2023Q3</v>
      </c>
    </row>
    <row r="4687" customFormat="false" ht="15" hidden="false" customHeight="false" outlineLevel="0" collapsed="false">
      <c r="D4687" s="0" t="s">
        <v>90</v>
      </c>
      <c r="E4687" s="0" t="s">
        <v>91</v>
      </c>
      <c r="F4687" s="0" t="s">
        <v>92</v>
      </c>
      <c r="G4687" s="0" t="s">
        <v>161</v>
      </c>
      <c r="H4687" s="0" t="s">
        <v>162</v>
      </c>
      <c r="I4687" s="0" t="s">
        <v>41</v>
      </c>
      <c r="J4687" s="0" t="s">
        <v>42</v>
      </c>
      <c r="K4687" s="0" t="s">
        <v>30</v>
      </c>
      <c r="L4687" s="0" t="s">
        <v>31</v>
      </c>
      <c r="M4687" s="0" t="s">
        <v>140</v>
      </c>
      <c r="N4687" s="0" t="n">
        <v>1146</v>
      </c>
      <c r="O4687" s="10" t="n">
        <v>0.398977233096957</v>
      </c>
      <c r="P4687" s="10" t="n">
        <v>0.719914150424302</v>
      </c>
      <c r="Q4687" s="0" t="str">
        <f aca="false">SUBSTITUTE(SUBSTITUTE($I4687,CHAR(61),""),CHAR(34),"")</f>
        <v>25-34</v>
      </c>
      <c r="R4687" s="0" t="str">
        <f aca="false">IF($D4687&lt;&gt;"","["&amp;$E4687&amp;"]"&amp;"|"&amp;$Q4687&amp;"|"&amp;$K4687&amp;"|"&amp;$G4687&amp;"|"&amp;IF($G4687="TX_CURR_SUBNAT.R","CY2022Q4",$M4687),"")</f>
        <v>[AZyWpGzhcaA]|25-34|Female|PMTCT_STAT_SUBNAT.N.Known.Pos.T_1|CY2023Q3</v>
      </c>
    </row>
    <row r="4688" customFormat="false" ht="15" hidden="false" customHeight="false" outlineLevel="0" collapsed="false">
      <c r="D4688" s="0" t="s">
        <v>90</v>
      </c>
      <c r="E4688" s="0" t="s">
        <v>91</v>
      </c>
      <c r="F4688" s="0" t="s">
        <v>92</v>
      </c>
      <c r="G4688" s="0" t="s">
        <v>161</v>
      </c>
      <c r="H4688" s="0" t="s">
        <v>162</v>
      </c>
      <c r="I4688" s="0" t="s">
        <v>43</v>
      </c>
      <c r="J4688" s="0" t="s">
        <v>44</v>
      </c>
      <c r="K4688" s="0" t="s">
        <v>30</v>
      </c>
      <c r="L4688" s="0" t="s">
        <v>31</v>
      </c>
      <c r="M4688" s="0" t="s">
        <v>140</v>
      </c>
      <c r="N4688" s="0" t="n">
        <v>1034</v>
      </c>
      <c r="O4688" s="10" t="n">
        <v>0.0921340682543814</v>
      </c>
      <c r="P4688" s="10" t="n">
        <v>0.719914150424302</v>
      </c>
      <c r="Q4688" s="0" t="str">
        <f aca="false">SUBSTITUTE(SUBSTITUTE($I4688,CHAR(61),""),CHAR(34),"")</f>
        <v>35-49</v>
      </c>
      <c r="R4688" s="0" t="str">
        <f aca="false">IF($D4688&lt;&gt;"","["&amp;$E4688&amp;"]"&amp;"|"&amp;$Q4688&amp;"|"&amp;$K4688&amp;"|"&amp;$G4688&amp;"|"&amp;IF($G4688="TX_CURR_SUBNAT.R","CY2022Q4",$M4688),"")</f>
        <v>[AZyWpGzhcaA]|35-49|Female|PMTCT_STAT_SUBNAT.N.Known.Pos.T_1|CY2023Q3</v>
      </c>
    </row>
    <row r="4689" customFormat="false" ht="15" hidden="false" customHeight="false" outlineLevel="0" collapsed="false">
      <c r="D4689" s="0" t="s">
        <v>93</v>
      </c>
      <c r="E4689" s="0" t="s">
        <v>94</v>
      </c>
      <c r="F4689" s="0" t="s">
        <v>95</v>
      </c>
      <c r="G4689" s="0" t="s">
        <v>161</v>
      </c>
      <c r="H4689" s="0" t="s">
        <v>162</v>
      </c>
      <c r="I4689" s="0" t="s">
        <v>38</v>
      </c>
      <c r="J4689" s="0" t="s">
        <v>39</v>
      </c>
      <c r="K4689" s="0" t="s">
        <v>30</v>
      </c>
      <c r="L4689" s="0" t="s">
        <v>31</v>
      </c>
      <c r="M4689" s="0" t="s">
        <v>140</v>
      </c>
      <c r="N4689" s="0" t="n">
        <v>1221</v>
      </c>
      <c r="O4689" s="10" t="n">
        <v>0.234817117918283</v>
      </c>
      <c r="P4689" s="10" t="n">
        <v>0.362272296566516</v>
      </c>
      <c r="Q4689" s="0" t="str">
        <f aca="false">SUBSTITUTE(SUBSTITUTE($I4689,CHAR(61),""),CHAR(34),"")</f>
        <v>15-24</v>
      </c>
      <c r="R4689" s="0" t="str">
        <f aca="false">IF($D4689&lt;&gt;"","["&amp;$E4689&amp;"]"&amp;"|"&amp;$Q4689&amp;"|"&amp;$K4689&amp;"|"&amp;$G4689&amp;"|"&amp;IF($G4689="TX_CURR_SUBNAT.R","CY2022Q4",$M4689),"")</f>
        <v>[umc2n1Z4wNv]|15-24|Female|PMTCT_STAT_SUBNAT.N.Known.Pos.T_1|CY2023Q3</v>
      </c>
    </row>
    <row r="4690" customFormat="false" ht="15" hidden="false" customHeight="false" outlineLevel="0" collapsed="false">
      <c r="D4690" s="0" t="s">
        <v>93</v>
      </c>
      <c r="E4690" s="0" t="s">
        <v>94</v>
      </c>
      <c r="F4690" s="0" t="s">
        <v>95</v>
      </c>
      <c r="G4690" s="0" t="s">
        <v>161</v>
      </c>
      <c r="H4690" s="0" t="s">
        <v>162</v>
      </c>
      <c r="I4690" s="0" t="s">
        <v>41</v>
      </c>
      <c r="J4690" s="0" t="s">
        <v>42</v>
      </c>
      <c r="K4690" s="0" t="s">
        <v>30</v>
      </c>
      <c r="L4690" s="0" t="s">
        <v>31</v>
      </c>
      <c r="M4690" s="0" t="s">
        <v>140</v>
      </c>
      <c r="N4690" s="0" t="n">
        <v>1795</v>
      </c>
      <c r="O4690" s="10" t="n">
        <v>0.370018842862919</v>
      </c>
      <c r="P4690" s="10" t="n">
        <v>0.362272296566516</v>
      </c>
      <c r="Q4690" s="0" t="str">
        <f aca="false">SUBSTITUTE(SUBSTITUTE($I4690,CHAR(61),""),CHAR(34),"")</f>
        <v>25-34</v>
      </c>
      <c r="R4690" s="0" t="str">
        <f aca="false">IF($D4690&lt;&gt;"","["&amp;$E4690&amp;"]"&amp;"|"&amp;$Q4690&amp;"|"&amp;$K4690&amp;"|"&amp;$G4690&amp;"|"&amp;IF($G4690="TX_CURR_SUBNAT.R","CY2022Q4",$M4690),"")</f>
        <v>[umc2n1Z4wNv]|25-34|Female|PMTCT_STAT_SUBNAT.N.Known.Pos.T_1|CY2023Q3</v>
      </c>
    </row>
    <row r="4691" customFormat="false" ht="15" hidden="false" customHeight="false" outlineLevel="0" collapsed="false">
      <c r="D4691" s="0" t="s">
        <v>93</v>
      </c>
      <c r="E4691" s="0" t="s">
        <v>94</v>
      </c>
      <c r="F4691" s="0" t="s">
        <v>95</v>
      </c>
      <c r="G4691" s="0" t="s">
        <v>161</v>
      </c>
      <c r="H4691" s="0" t="s">
        <v>162</v>
      </c>
      <c r="I4691" s="0" t="s">
        <v>43</v>
      </c>
      <c r="J4691" s="0" t="s">
        <v>44</v>
      </c>
      <c r="K4691" s="0" t="s">
        <v>30</v>
      </c>
      <c r="L4691" s="0" t="s">
        <v>31</v>
      </c>
      <c r="M4691" s="0" t="s">
        <v>140</v>
      </c>
      <c r="N4691" s="0" t="n">
        <v>743</v>
      </c>
      <c r="O4691" s="10" t="n">
        <v>0.861429801676422</v>
      </c>
      <c r="P4691" s="10" t="n">
        <v>0.362272296566516</v>
      </c>
      <c r="Q4691" s="0" t="str">
        <f aca="false">SUBSTITUTE(SUBSTITUTE($I4691,CHAR(61),""),CHAR(34),"")</f>
        <v>35-49</v>
      </c>
      <c r="R4691" s="0" t="str">
        <f aca="false">IF($D4691&lt;&gt;"","["&amp;$E4691&amp;"]"&amp;"|"&amp;$Q4691&amp;"|"&amp;$K4691&amp;"|"&amp;$G4691&amp;"|"&amp;IF($G4691="TX_CURR_SUBNAT.R","CY2022Q4",$M4691),"")</f>
        <v>[umc2n1Z4wNv]|35-49|Female|PMTCT_STAT_SUBNAT.N.Known.Pos.T_1|CY2023Q3</v>
      </c>
    </row>
    <row r="4692" customFormat="false" ht="15" hidden="false" customHeight="false" outlineLevel="0" collapsed="false">
      <c r="D4692" s="0" t="s">
        <v>96</v>
      </c>
      <c r="E4692" s="0" t="s">
        <v>97</v>
      </c>
      <c r="F4692" s="0" t="s">
        <v>98</v>
      </c>
      <c r="G4692" s="0" t="s">
        <v>161</v>
      </c>
      <c r="H4692" s="0" t="s">
        <v>162</v>
      </c>
      <c r="I4692" s="0" t="s">
        <v>38</v>
      </c>
      <c r="J4692" s="0" t="s">
        <v>39</v>
      </c>
      <c r="K4692" s="0" t="s">
        <v>30</v>
      </c>
      <c r="L4692" s="0" t="s">
        <v>31</v>
      </c>
      <c r="M4692" s="0" t="s">
        <v>140</v>
      </c>
      <c r="N4692" s="0" t="n">
        <v>1119</v>
      </c>
      <c r="O4692" s="10" t="n">
        <v>0.734520555473864</v>
      </c>
      <c r="P4692" s="10" t="n">
        <v>0.601251717889681</v>
      </c>
      <c r="Q4692" s="0" t="str">
        <f aca="false">SUBSTITUTE(SUBSTITUTE($I4692,CHAR(61),""),CHAR(34),"")</f>
        <v>15-24</v>
      </c>
      <c r="R4692" s="0" t="str">
        <f aca="false">IF($D4692&lt;&gt;"","["&amp;$E4692&amp;"]"&amp;"|"&amp;$Q4692&amp;"|"&amp;$K4692&amp;"|"&amp;$G4692&amp;"|"&amp;IF($G4692="TX_CURR_SUBNAT.R","CY2022Q4",$M4692),"")</f>
        <v>[gwVYinjBAe9]|15-24|Female|PMTCT_STAT_SUBNAT.N.Known.Pos.T_1|CY2023Q3</v>
      </c>
    </row>
    <row r="4693" customFormat="false" ht="15" hidden="false" customHeight="false" outlineLevel="0" collapsed="false">
      <c r="D4693" s="0" t="s">
        <v>96</v>
      </c>
      <c r="E4693" s="0" t="s">
        <v>97</v>
      </c>
      <c r="F4693" s="0" t="s">
        <v>98</v>
      </c>
      <c r="G4693" s="0" t="s">
        <v>161</v>
      </c>
      <c r="H4693" s="0" t="s">
        <v>162</v>
      </c>
      <c r="I4693" s="0" t="s">
        <v>41</v>
      </c>
      <c r="J4693" s="0" t="s">
        <v>42</v>
      </c>
      <c r="K4693" s="0" t="s">
        <v>30</v>
      </c>
      <c r="L4693" s="0" t="s">
        <v>31</v>
      </c>
      <c r="M4693" s="0" t="s">
        <v>140</v>
      </c>
      <c r="N4693" s="0" t="n">
        <v>1650</v>
      </c>
      <c r="O4693" s="10" t="n">
        <v>0.572453717701137</v>
      </c>
      <c r="P4693" s="10" t="n">
        <v>0.601251717889681</v>
      </c>
      <c r="Q4693" s="0" t="str">
        <f aca="false">SUBSTITUTE(SUBSTITUTE($I4693,CHAR(61),""),CHAR(34),"")</f>
        <v>25-34</v>
      </c>
      <c r="R4693" s="0" t="str">
        <f aca="false">IF($D4693&lt;&gt;"","["&amp;$E4693&amp;"]"&amp;"|"&amp;$Q4693&amp;"|"&amp;$K4693&amp;"|"&amp;$G4693&amp;"|"&amp;IF($G4693="TX_CURR_SUBNAT.R","CY2022Q4",$M4693),"")</f>
        <v>[gwVYinjBAe9]|25-34|Female|PMTCT_STAT_SUBNAT.N.Known.Pos.T_1|CY2023Q3</v>
      </c>
    </row>
    <row r="4694" customFormat="false" ht="15" hidden="false" customHeight="false" outlineLevel="0" collapsed="false">
      <c r="D4694" s="0" t="s">
        <v>96</v>
      </c>
      <c r="E4694" s="0" t="s">
        <v>97</v>
      </c>
      <c r="F4694" s="0" t="s">
        <v>98</v>
      </c>
      <c r="G4694" s="0" t="s">
        <v>161</v>
      </c>
      <c r="H4694" s="0" t="s">
        <v>162</v>
      </c>
      <c r="I4694" s="0" t="s">
        <v>43</v>
      </c>
      <c r="J4694" s="0" t="s">
        <v>44</v>
      </c>
      <c r="K4694" s="0" t="s">
        <v>30</v>
      </c>
      <c r="L4694" s="0" t="s">
        <v>31</v>
      </c>
      <c r="M4694" s="0" t="s">
        <v>140</v>
      </c>
      <c r="N4694" s="0" t="n">
        <v>888</v>
      </c>
      <c r="O4694" s="10" t="n">
        <v>0.799310390138999</v>
      </c>
      <c r="P4694" s="10" t="n">
        <v>0.601251717889681</v>
      </c>
      <c r="Q4694" s="0" t="str">
        <f aca="false">SUBSTITUTE(SUBSTITUTE($I4694,CHAR(61),""),CHAR(34),"")</f>
        <v>35-49</v>
      </c>
      <c r="R4694" s="0" t="str">
        <f aca="false">IF($D4694&lt;&gt;"","["&amp;$E4694&amp;"]"&amp;"|"&amp;$Q4694&amp;"|"&amp;$K4694&amp;"|"&amp;$G4694&amp;"|"&amp;IF($G4694="TX_CURR_SUBNAT.R","CY2022Q4",$M4694),"")</f>
        <v>[gwVYinjBAe9]|35-49|Female|PMTCT_STAT_SUBNAT.N.Known.Pos.T_1|CY2023Q3</v>
      </c>
    </row>
    <row r="4695" customFormat="false" ht="15" hidden="false" customHeight="false" outlineLevel="0" collapsed="false">
      <c r="D4695" s="0" t="s">
        <v>99</v>
      </c>
      <c r="E4695" s="0" t="s">
        <v>100</v>
      </c>
      <c r="F4695" s="0" t="s">
        <v>101</v>
      </c>
      <c r="G4695" s="0" t="s">
        <v>161</v>
      </c>
      <c r="H4695" s="0" t="s">
        <v>162</v>
      </c>
      <c r="I4695" s="0" t="s">
        <v>38</v>
      </c>
      <c r="J4695" s="0" t="s">
        <v>39</v>
      </c>
      <c r="K4695" s="0" t="s">
        <v>30</v>
      </c>
      <c r="L4695" s="0" t="s">
        <v>31</v>
      </c>
      <c r="M4695" s="0" t="s">
        <v>140</v>
      </c>
      <c r="N4695" s="0" t="n">
        <v>728</v>
      </c>
      <c r="O4695" s="10" t="n">
        <v>0.578747373307124</v>
      </c>
      <c r="P4695" s="10" t="n">
        <v>0.577288038097322</v>
      </c>
      <c r="Q4695" s="0" t="str">
        <f aca="false">SUBSTITUTE(SUBSTITUTE($I4695,CHAR(61),""),CHAR(34),"")</f>
        <v>15-24</v>
      </c>
      <c r="R4695" s="0" t="str">
        <f aca="false">IF($D4695&lt;&gt;"","["&amp;$E4695&amp;"]"&amp;"|"&amp;$Q4695&amp;"|"&amp;$K4695&amp;"|"&amp;$G4695&amp;"|"&amp;IF($G4695="TX_CURR_SUBNAT.R","CY2022Q4",$M4695),"")</f>
        <v>[mxqa3CDFmIT]|15-24|Female|PMTCT_STAT_SUBNAT.N.Known.Pos.T_1|CY2023Q3</v>
      </c>
    </row>
    <row r="4696" customFormat="false" ht="15" hidden="false" customHeight="false" outlineLevel="0" collapsed="false">
      <c r="D4696" s="0" t="s">
        <v>99</v>
      </c>
      <c r="E4696" s="0" t="s">
        <v>100</v>
      </c>
      <c r="F4696" s="0" t="s">
        <v>101</v>
      </c>
      <c r="G4696" s="0" t="s">
        <v>161</v>
      </c>
      <c r="H4696" s="0" t="s">
        <v>162</v>
      </c>
      <c r="I4696" s="0" t="s">
        <v>41</v>
      </c>
      <c r="J4696" s="0" t="s">
        <v>42</v>
      </c>
      <c r="K4696" s="0" t="s">
        <v>30</v>
      </c>
      <c r="L4696" s="0" t="s">
        <v>31</v>
      </c>
      <c r="M4696" s="0" t="s">
        <v>140</v>
      </c>
      <c r="N4696" s="0" t="n">
        <v>643</v>
      </c>
      <c r="O4696" s="10" t="n">
        <v>0.576728470856324</v>
      </c>
      <c r="P4696" s="10" t="n">
        <v>0.577288038097322</v>
      </c>
      <c r="Q4696" s="0" t="str">
        <f aca="false">SUBSTITUTE(SUBSTITUTE($I4696,CHAR(61),""),CHAR(34),"")</f>
        <v>25-34</v>
      </c>
      <c r="R4696" s="0" t="str">
        <f aca="false">IF($D4696&lt;&gt;"","["&amp;$E4696&amp;"]"&amp;"|"&amp;$Q4696&amp;"|"&amp;$K4696&amp;"|"&amp;$G4696&amp;"|"&amp;IF($G4696="TX_CURR_SUBNAT.R","CY2022Q4",$M4696),"")</f>
        <v>[mxqa3CDFmIT]|25-34|Female|PMTCT_STAT_SUBNAT.N.Known.Pos.T_1|CY2023Q3</v>
      </c>
    </row>
    <row r="4697" customFormat="false" ht="15" hidden="false" customHeight="false" outlineLevel="0" collapsed="false">
      <c r="D4697" s="0" t="s">
        <v>99</v>
      </c>
      <c r="E4697" s="0" t="s">
        <v>100</v>
      </c>
      <c r="F4697" s="0" t="s">
        <v>101</v>
      </c>
      <c r="G4697" s="0" t="s">
        <v>161</v>
      </c>
      <c r="H4697" s="0" t="s">
        <v>162</v>
      </c>
      <c r="I4697" s="0" t="s">
        <v>43</v>
      </c>
      <c r="J4697" s="0" t="s">
        <v>44</v>
      </c>
      <c r="K4697" s="0" t="s">
        <v>30</v>
      </c>
      <c r="L4697" s="0" t="s">
        <v>31</v>
      </c>
      <c r="M4697" s="0" t="s">
        <v>140</v>
      </c>
      <c r="N4697" s="0" t="n">
        <v>1791</v>
      </c>
      <c r="O4697" s="10" t="n">
        <v>0.712009683484212</v>
      </c>
      <c r="P4697" s="10" t="n">
        <v>0.577288038097322</v>
      </c>
      <c r="Q4697" s="0" t="str">
        <f aca="false">SUBSTITUTE(SUBSTITUTE($I4697,CHAR(61),""),CHAR(34),"")</f>
        <v>35-49</v>
      </c>
      <c r="R4697" s="0" t="str">
        <f aca="false">IF($D4697&lt;&gt;"","["&amp;$E4697&amp;"]"&amp;"|"&amp;$Q4697&amp;"|"&amp;$K4697&amp;"|"&amp;$G4697&amp;"|"&amp;IF($G4697="TX_CURR_SUBNAT.R","CY2022Q4",$M4697),"")</f>
        <v>[mxqa3CDFmIT]|35-49|Female|PMTCT_STAT_SUBNAT.N.Known.Pos.T_1|CY2023Q3</v>
      </c>
    </row>
    <row r="4698" customFormat="false" ht="15" hidden="false" customHeight="false" outlineLevel="0" collapsed="false">
      <c r="D4698" s="0" t="s">
        <v>102</v>
      </c>
      <c r="E4698" s="0" t="s">
        <v>103</v>
      </c>
      <c r="F4698" s="0" t="s">
        <v>104</v>
      </c>
      <c r="G4698" s="0" t="s">
        <v>161</v>
      </c>
      <c r="H4698" s="0" t="s">
        <v>162</v>
      </c>
      <c r="I4698" s="0" t="s">
        <v>38</v>
      </c>
      <c r="J4698" s="0" t="s">
        <v>39</v>
      </c>
      <c r="K4698" s="0" t="s">
        <v>30</v>
      </c>
      <c r="L4698" s="0" t="s">
        <v>31</v>
      </c>
      <c r="M4698" s="0" t="s">
        <v>140</v>
      </c>
      <c r="N4698" s="0" t="n">
        <v>864</v>
      </c>
      <c r="O4698" s="10" t="n">
        <v>0.915841589681804</v>
      </c>
      <c r="P4698" s="10" t="n">
        <v>0.526212359312922</v>
      </c>
      <c r="Q4698" s="0" t="str">
        <f aca="false">SUBSTITUTE(SUBSTITUTE($I4698,CHAR(61),""),CHAR(34),"")</f>
        <v>15-24</v>
      </c>
      <c r="R4698" s="0" t="str">
        <f aca="false">IF($D4698&lt;&gt;"","["&amp;$E4698&amp;"]"&amp;"|"&amp;$Q4698&amp;"|"&amp;$K4698&amp;"|"&amp;$G4698&amp;"|"&amp;IF($G4698="TX_CURR_SUBNAT.R","CY2022Q4",$M4698),"")</f>
        <v>[wNqJp8oRIcF]|15-24|Female|PMTCT_STAT_SUBNAT.N.Known.Pos.T_1|CY2023Q3</v>
      </c>
    </row>
    <row r="4699" customFormat="false" ht="15" hidden="false" customHeight="false" outlineLevel="0" collapsed="false">
      <c r="D4699" s="0" t="s">
        <v>102</v>
      </c>
      <c r="E4699" s="0" t="s">
        <v>103</v>
      </c>
      <c r="F4699" s="0" t="s">
        <v>104</v>
      </c>
      <c r="G4699" s="0" t="s">
        <v>161</v>
      </c>
      <c r="H4699" s="0" t="s">
        <v>162</v>
      </c>
      <c r="I4699" s="0" t="s">
        <v>41</v>
      </c>
      <c r="J4699" s="0" t="s">
        <v>42</v>
      </c>
      <c r="K4699" s="0" t="s">
        <v>30</v>
      </c>
      <c r="L4699" s="0" t="s">
        <v>31</v>
      </c>
      <c r="M4699" s="0" t="s">
        <v>140</v>
      </c>
      <c r="N4699" s="0" t="n">
        <v>1373</v>
      </c>
      <c r="O4699" s="10" t="n">
        <v>0.00225994014181197</v>
      </c>
      <c r="P4699" s="10" t="n">
        <v>0.526212359312922</v>
      </c>
      <c r="Q4699" s="0" t="str">
        <f aca="false">SUBSTITUTE(SUBSTITUTE($I4699,CHAR(61),""),CHAR(34),"")</f>
        <v>25-34</v>
      </c>
      <c r="R4699" s="0" t="str">
        <f aca="false">IF($D4699&lt;&gt;"","["&amp;$E4699&amp;"]"&amp;"|"&amp;$Q4699&amp;"|"&amp;$K4699&amp;"|"&amp;$G4699&amp;"|"&amp;IF($G4699="TX_CURR_SUBNAT.R","CY2022Q4",$M4699),"")</f>
        <v>[wNqJp8oRIcF]|25-34|Female|PMTCT_STAT_SUBNAT.N.Known.Pos.T_1|CY2023Q3</v>
      </c>
    </row>
    <row r="4700" customFormat="false" ht="15" hidden="false" customHeight="false" outlineLevel="0" collapsed="false">
      <c r="D4700" s="0" t="s">
        <v>102</v>
      </c>
      <c r="E4700" s="0" t="s">
        <v>103</v>
      </c>
      <c r="F4700" s="0" t="s">
        <v>104</v>
      </c>
      <c r="G4700" s="0" t="s">
        <v>161</v>
      </c>
      <c r="H4700" s="0" t="s">
        <v>162</v>
      </c>
      <c r="I4700" s="0" t="s">
        <v>43</v>
      </c>
      <c r="J4700" s="0" t="s">
        <v>44</v>
      </c>
      <c r="K4700" s="0" t="s">
        <v>30</v>
      </c>
      <c r="L4700" s="0" t="s">
        <v>31</v>
      </c>
      <c r="M4700" s="0" t="s">
        <v>140</v>
      </c>
      <c r="N4700" s="0" t="n">
        <v>1221</v>
      </c>
      <c r="O4700" s="10" t="n">
        <v>0.151891998481005</v>
      </c>
      <c r="P4700" s="10" t="n">
        <v>0.526212359312922</v>
      </c>
      <c r="Q4700" s="0" t="str">
        <f aca="false">SUBSTITUTE(SUBSTITUTE($I4700,CHAR(61),""),CHAR(34),"")</f>
        <v>35-49</v>
      </c>
      <c r="R4700" s="0" t="str">
        <f aca="false">IF($D4700&lt;&gt;"","["&amp;$E4700&amp;"]"&amp;"|"&amp;$Q4700&amp;"|"&amp;$K4700&amp;"|"&amp;$G4700&amp;"|"&amp;IF($G4700="TX_CURR_SUBNAT.R","CY2022Q4",$M4700),"")</f>
        <v>[wNqJp8oRIcF]|35-49|Female|PMTCT_STAT_SUBNAT.N.Known.Pos.T_1|CY2023Q3</v>
      </c>
    </row>
    <row r="4701" customFormat="false" ht="15" hidden="false" customHeight="false" outlineLevel="0" collapsed="false">
      <c r="D4701" s="0" t="s">
        <v>105</v>
      </c>
      <c r="E4701" s="0" t="s">
        <v>106</v>
      </c>
      <c r="F4701" s="0" t="s">
        <v>107</v>
      </c>
      <c r="G4701" s="0" t="s">
        <v>161</v>
      </c>
      <c r="H4701" s="0" t="s">
        <v>162</v>
      </c>
      <c r="I4701" s="0" t="s">
        <v>38</v>
      </c>
      <c r="J4701" s="0" t="s">
        <v>39</v>
      </c>
      <c r="K4701" s="0" t="s">
        <v>30</v>
      </c>
      <c r="L4701" s="0" t="s">
        <v>31</v>
      </c>
      <c r="M4701" s="0" t="s">
        <v>140</v>
      </c>
      <c r="N4701" s="0" t="n">
        <v>1627</v>
      </c>
      <c r="O4701" s="10" t="n">
        <v>0.0479608704335988</v>
      </c>
      <c r="P4701" s="10" t="n">
        <v>0.218249560333788</v>
      </c>
      <c r="Q4701" s="0" t="str">
        <f aca="false">SUBSTITUTE(SUBSTITUTE($I4701,CHAR(61),""),CHAR(34),"")</f>
        <v>15-24</v>
      </c>
      <c r="R4701" s="0" t="str">
        <f aca="false">IF($D4701&lt;&gt;"","["&amp;$E4701&amp;"]"&amp;"|"&amp;$Q4701&amp;"|"&amp;$K4701&amp;"|"&amp;$G4701&amp;"|"&amp;IF($G4701="TX_CURR_SUBNAT.R","CY2022Q4",$M4701),"")</f>
        <v>[oiPR2CiVJbf]|15-24|Female|PMTCT_STAT_SUBNAT.N.Known.Pos.T_1|CY2023Q3</v>
      </c>
    </row>
    <row r="4702" customFormat="false" ht="15" hidden="false" customHeight="false" outlineLevel="0" collapsed="false">
      <c r="D4702" s="0" t="s">
        <v>105</v>
      </c>
      <c r="E4702" s="0" t="s">
        <v>106</v>
      </c>
      <c r="F4702" s="0" t="s">
        <v>107</v>
      </c>
      <c r="G4702" s="0" t="s">
        <v>161</v>
      </c>
      <c r="H4702" s="0" t="s">
        <v>162</v>
      </c>
      <c r="I4702" s="0" t="s">
        <v>41</v>
      </c>
      <c r="J4702" s="0" t="s">
        <v>42</v>
      </c>
      <c r="K4702" s="0" t="s">
        <v>30</v>
      </c>
      <c r="L4702" s="0" t="s">
        <v>31</v>
      </c>
      <c r="M4702" s="0" t="s">
        <v>140</v>
      </c>
      <c r="N4702" s="0" t="n">
        <v>516</v>
      </c>
      <c r="O4702" s="10" t="n">
        <v>0.299932442838326</v>
      </c>
      <c r="P4702" s="10" t="n">
        <v>0.218249560333788</v>
      </c>
      <c r="Q4702" s="0" t="str">
        <f aca="false">SUBSTITUTE(SUBSTITUTE($I4702,CHAR(61),""),CHAR(34),"")</f>
        <v>25-34</v>
      </c>
      <c r="R4702" s="0" t="str">
        <f aca="false">IF($D4702&lt;&gt;"","["&amp;$E4702&amp;"]"&amp;"|"&amp;$Q4702&amp;"|"&amp;$K4702&amp;"|"&amp;$G4702&amp;"|"&amp;IF($G4702="TX_CURR_SUBNAT.R","CY2022Q4",$M4702),"")</f>
        <v>[oiPR2CiVJbf]|25-34|Female|PMTCT_STAT_SUBNAT.N.Known.Pos.T_1|CY2023Q3</v>
      </c>
    </row>
    <row r="4703" customFormat="false" ht="15" hidden="false" customHeight="false" outlineLevel="0" collapsed="false">
      <c r="D4703" s="0" t="s">
        <v>105</v>
      </c>
      <c r="E4703" s="0" t="s">
        <v>106</v>
      </c>
      <c r="F4703" s="0" t="s">
        <v>107</v>
      </c>
      <c r="G4703" s="0" t="s">
        <v>161</v>
      </c>
      <c r="H4703" s="0" t="s">
        <v>162</v>
      </c>
      <c r="I4703" s="0" t="s">
        <v>43</v>
      </c>
      <c r="J4703" s="0" t="s">
        <v>44</v>
      </c>
      <c r="K4703" s="0" t="s">
        <v>30</v>
      </c>
      <c r="L4703" s="0" t="s">
        <v>31</v>
      </c>
      <c r="M4703" s="0" t="s">
        <v>140</v>
      </c>
      <c r="N4703" s="0" t="n">
        <v>867</v>
      </c>
      <c r="O4703" s="10" t="n">
        <v>0.646442813100293</v>
      </c>
      <c r="P4703" s="10" t="n">
        <v>0.218249560333788</v>
      </c>
      <c r="Q4703" s="0" t="str">
        <f aca="false">SUBSTITUTE(SUBSTITUTE($I4703,CHAR(61),""),CHAR(34),"")</f>
        <v>35-49</v>
      </c>
      <c r="R4703" s="0" t="str">
        <f aca="false">IF($D4703&lt;&gt;"","["&amp;$E4703&amp;"]"&amp;"|"&amp;$Q4703&amp;"|"&amp;$K4703&amp;"|"&amp;$G4703&amp;"|"&amp;IF($G4703="TX_CURR_SUBNAT.R","CY2022Q4",$M4703),"")</f>
        <v>[oiPR2CiVJbf]|35-49|Female|PMTCT_STAT_SUBNAT.N.Known.Pos.T_1|CY2023Q3</v>
      </c>
    </row>
    <row r="4704" customFormat="false" ht="15" hidden="false" customHeight="false" outlineLevel="0" collapsed="false">
      <c r="D4704" s="0" t="s">
        <v>108</v>
      </c>
      <c r="E4704" s="0" t="s">
        <v>109</v>
      </c>
      <c r="F4704" s="0" t="s">
        <v>110</v>
      </c>
      <c r="G4704" s="0" t="s">
        <v>161</v>
      </c>
      <c r="H4704" s="0" t="s">
        <v>162</v>
      </c>
      <c r="I4704" s="0" t="s">
        <v>38</v>
      </c>
      <c r="J4704" s="0" t="s">
        <v>39</v>
      </c>
      <c r="K4704" s="0" t="s">
        <v>30</v>
      </c>
      <c r="L4704" s="0" t="s">
        <v>31</v>
      </c>
      <c r="M4704" s="0" t="s">
        <v>140</v>
      </c>
      <c r="N4704" s="0" t="n">
        <v>1487</v>
      </c>
      <c r="O4704" s="10" t="n">
        <v>0.00937333866022527</v>
      </c>
      <c r="P4704" s="10" t="n">
        <v>0.434221804374829</v>
      </c>
      <c r="Q4704" s="0" t="str">
        <f aca="false">SUBSTITUTE(SUBSTITUTE($I4704,CHAR(61),""),CHAR(34),"")</f>
        <v>15-24</v>
      </c>
      <c r="R4704" s="0" t="str">
        <f aca="false">IF($D4704&lt;&gt;"","["&amp;$E4704&amp;"]"&amp;"|"&amp;$Q4704&amp;"|"&amp;$K4704&amp;"|"&amp;$G4704&amp;"|"&amp;IF($G4704="TX_CURR_SUBNAT.R","CY2022Q4",$M4704),"")</f>
        <v>[ul0y9diGujK]|15-24|Female|PMTCT_STAT_SUBNAT.N.Known.Pos.T_1|CY2023Q3</v>
      </c>
    </row>
    <row r="4705" customFormat="false" ht="15" hidden="false" customHeight="false" outlineLevel="0" collapsed="false">
      <c r="D4705" s="0" t="s">
        <v>108</v>
      </c>
      <c r="E4705" s="0" t="s">
        <v>109</v>
      </c>
      <c r="F4705" s="0" t="s">
        <v>110</v>
      </c>
      <c r="G4705" s="0" t="s">
        <v>161</v>
      </c>
      <c r="H4705" s="0" t="s">
        <v>162</v>
      </c>
      <c r="I4705" s="0" t="s">
        <v>41</v>
      </c>
      <c r="J4705" s="0" t="s">
        <v>42</v>
      </c>
      <c r="K4705" s="0" t="s">
        <v>30</v>
      </c>
      <c r="L4705" s="0" t="s">
        <v>31</v>
      </c>
      <c r="M4705" s="0" t="s">
        <v>140</v>
      </c>
      <c r="N4705" s="0" t="n">
        <v>1352</v>
      </c>
      <c r="O4705" s="10" t="n">
        <v>0.248821267858148</v>
      </c>
      <c r="P4705" s="10" t="n">
        <v>0.434221804374829</v>
      </c>
      <c r="Q4705" s="0" t="str">
        <f aca="false">SUBSTITUTE(SUBSTITUTE($I4705,CHAR(61),""),CHAR(34),"")</f>
        <v>25-34</v>
      </c>
      <c r="R4705" s="0" t="str">
        <f aca="false">IF($D4705&lt;&gt;"","["&amp;$E4705&amp;"]"&amp;"|"&amp;$Q4705&amp;"|"&amp;$K4705&amp;"|"&amp;$G4705&amp;"|"&amp;IF($G4705="TX_CURR_SUBNAT.R","CY2022Q4",$M4705),"")</f>
        <v>[ul0y9diGujK]|25-34|Female|PMTCT_STAT_SUBNAT.N.Known.Pos.T_1|CY2023Q3</v>
      </c>
    </row>
    <row r="4706" customFormat="false" ht="15" hidden="false" customHeight="false" outlineLevel="0" collapsed="false">
      <c r="D4706" s="0" t="s">
        <v>108</v>
      </c>
      <c r="E4706" s="0" t="s">
        <v>109</v>
      </c>
      <c r="F4706" s="0" t="s">
        <v>110</v>
      </c>
      <c r="G4706" s="0" t="s">
        <v>161</v>
      </c>
      <c r="H4706" s="0" t="s">
        <v>162</v>
      </c>
      <c r="I4706" s="0" t="s">
        <v>43</v>
      </c>
      <c r="J4706" s="0" t="s">
        <v>44</v>
      </c>
      <c r="K4706" s="0" t="s">
        <v>30</v>
      </c>
      <c r="L4706" s="0" t="s">
        <v>31</v>
      </c>
      <c r="M4706" s="0" t="s">
        <v>140</v>
      </c>
      <c r="N4706" s="0" t="n">
        <v>1299</v>
      </c>
      <c r="O4706" s="10" t="n">
        <v>0.29902733466588</v>
      </c>
      <c r="P4706" s="10" t="n">
        <v>0.434221804374829</v>
      </c>
      <c r="Q4706" s="0" t="str">
        <f aca="false">SUBSTITUTE(SUBSTITUTE($I4706,CHAR(61),""),CHAR(34),"")</f>
        <v>35-49</v>
      </c>
      <c r="R4706" s="0" t="str">
        <f aca="false">IF($D4706&lt;&gt;"","["&amp;$E4706&amp;"]"&amp;"|"&amp;$Q4706&amp;"|"&amp;$K4706&amp;"|"&amp;$G4706&amp;"|"&amp;IF($G4706="TX_CURR_SUBNAT.R","CY2022Q4",$M4706),"")</f>
        <v>[ul0y9diGujK]|35-49|Female|PMTCT_STAT_SUBNAT.N.Known.Pos.T_1|CY2023Q3</v>
      </c>
    </row>
    <row r="4707" customFormat="false" ht="15" hidden="false" customHeight="false" outlineLevel="0" collapsed="false">
      <c r="D4707" s="0" t="s">
        <v>111</v>
      </c>
      <c r="E4707" s="0" t="s">
        <v>112</v>
      </c>
      <c r="F4707" s="0" t="s">
        <v>113</v>
      </c>
      <c r="G4707" s="0" t="s">
        <v>161</v>
      </c>
      <c r="H4707" s="0" t="s">
        <v>162</v>
      </c>
      <c r="I4707" s="0" t="s">
        <v>38</v>
      </c>
      <c r="J4707" s="0" t="s">
        <v>39</v>
      </c>
      <c r="K4707" s="0" t="s">
        <v>30</v>
      </c>
      <c r="L4707" s="0" t="s">
        <v>31</v>
      </c>
      <c r="M4707" s="0" t="s">
        <v>140</v>
      </c>
      <c r="N4707" s="0" t="n">
        <v>801</v>
      </c>
      <c r="O4707" s="10" t="n">
        <v>0.313064389396459</v>
      </c>
      <c r="P4707" s="10" t="n">
        <v>0.337768794968724</v>
      </c>
      <c r="Q4707" s="0" t="str">
        <f aca="false">SUBSTITUTE(SUBSTITUTE($I4707,CHAR(61),""),CHAR(34),"")</f>
        <v>15-24</v>
      </c>
      <c r="R4707" s="0" t="str">
        <f aca="false">IF($D4707&lt;&gt;"","["&amp;$E4707&amp;"]"&amp;"|"&amp;$Q4707&amp;"|"&amp;$K4707&amp;"|"&amp;$G4707&amp;"|"&amp;IF($G4707="TX_CURR_SUBNAT.R","CY2022Q4",$M4707),"")</f>
        <v>[U8c0so51kT6]|15-24|Female|PMTCT_STAT_SUBNAT.N.Known.Pos.T_1|CY2023Q3</v>
      </c>
    </row>
    <row r="4708" customFormat="false" ht="15" hidden="false" customHeight="false" outlineLevel="0" collapsed="false">
      <c r="D4708" s="0" t="s">
        <v>111</v>
      </c>
      <c r="E4708" s="0" t="s">
        <v>112</v>
      </c>
      <c r="F4708" s="0" t="s">
        <v>113</v>
      </c>
      <c r="G4708" s="0" t="s">
        <v>161</v>
      </c>
      <c r="H4708" s="0" t="s">
        <v>162</v>
      </c>
      <c r="I4708" s="0" t="s">
        <v>41</v>
      </c>
      <c r="J4708" s="0" t="s">
        <v>42</v>
      </c>
      <c r="K4708" s="0" t="s">
        <v>30</v>
      </c>
      <c r="L4708" s="0" t="s">
        <v>31</v>
      </c>
      <c r="M4708" s="0" t="s">
        <v>140</v>
      </c>
      <c r="N4708" s="0" t="n">
        <v>811</v>
      </c>
      <c r="O4708" s="10" t="n">
        <v>0.166249471949413</v>
      </c>
      <c r="P4708" s="10" t="n">
        <v>0.337768794968724</v>
      </c>
      <c r="Q4708" s="0" t="str">
        <f aca="false">SUBSTITUTE(SUBSTITUTE($I4708,CHAR(61),""),CHAR(34),"")</f>
        <v>25-34</v>
      </c>
      <c r="R4708" s="0" t="str">
        <f aca="false">IF($D4708&lt;&gt;"","["&amp;$E4708&amp;"]"&amp;"|"&amp;$Q4708&amp;"|"&amp;$K4708&amp;"|"&amp;$G4708&amp;"|"&amp;IF($G4708="TX_CURR_SUBNAT.R","CY2022Q4",$M4708),"")</f>
        <v>[U8c0so51kT6]|25-34|Female|PMTCT_STAT_SUBNAT.N.Known.Pos.T_1|CY2023Q3</v>
      </c>
    </row>
    <row r="4709" customFormat="false" ht="15" hidden="false" customHeight="false" outlineLevel="0" collapsed="false">
      <c r="D4709" s="0" t="s">
        <v>111</v>
      </c>
      <c r="E4709" s="0" t="s">
        <v>112</v>
      </c>
      <c r="F4709" s="0" t="s">
        <v>113</v>
      </c>
      <c r="G4709" s="0" t="s">
        <v>161</v>
      </c>
      <c r="H4709" s="0" t="s">
        <v>162</v>
      </c>
      <c r="I4709" s="0" t="s">
        <v>43</v>
      </c>
      <c r="J4709" s="0" t="s">
        <v>44</v>
      </c>
      <c r="K4709" s="0" t="s">
        <v>30</v>
      </c>
      <c r="L4709" s="0" t="s">
        <v>31</v>
      </c>
      <c r="M4709" s="0" t="s">
        <v>140</v>
      </c>
      <c r="N4709" s="0" t="n">
        <v>1478</v>
      </c>
      <c r="O4709" s="10" t="n">
        <v>0.902237775735557</v>
      </c>
      <c r="P4709" s="10" t="n">
        <v>0.337768794968724</v>
      </c>
      <c r="Q4709" s="0" t="str">
        <f aca="false">SUBSTITUTE(SUBSTITUTE($I4709,CHAR(61),""),CHAR(34),"")</f>
        <v>35-49</v>
      </c>
      <c r="R4709" s="0" t="str">
        <f aca="false">IF($D4709&lt;&gt;"","["&amp;$E4709&amp;"]"&amp;"|"&amp;$Q4709&amp;"|"&amp;$K4709&amp;"|"&amp;$G4709&amp;"|"&amp;IF($G4709="TX_CURR_SUBNAT.R","CY2022Q4",$M4709),"")</f>
        <v>[U8c0so51kT6]|35-49|Female|PMTCT_STAT_SUBNAT.N.Known.Pos.T_1|CY2023Q3</v>
      </c>
    </row>
    <row r="4710" customFormat="false" ht="15" hidden="false" customHeight="false" outlineLevel="0" collapsed="false">
      <c r="D4710" s="0" t="s">
        <v>114</v>
      </c>
      <c r="E4710" s="0" t="s">
        <v>115</v>
      </c>
      <c r="F4710" s="0" t="s">
        <v>116</v>
      </c>
      <c r="G4710" s="0" t="s">
        <v>161</v>
      </c>
      <c r="H4710" s="0" t="s">
        <v>162</v>
      </c>
      <c r="I4710" s="0" t="s">
        <v>38</v>
      </c>
      <c r="J4710" s="0" t="s">
        <v>39</v>
      </c>
      <c r="K4710" s="0" t="s">
        <v>30</v>
      </c>
      <c r="L4710" s="0" t="s">
        <v>31</v>
      </c>
      <c r="M4710" s="0" t="s">
        <v>140</v>
      </c>
      <c r="N4710" s="0" t="n">
        <v>1616</v>
      </c>
      <c r="O4710" s="10" t="n">
        <v>0.228925664676353</v>
      </c>
      <c r="P4710" s="10" t="n">
        <v>0.298559809103608</v>
      </c>
      <c r="Q4710" s="0" t="str">
        <f aca="false">SUBSTITUTE(SUBSTITUTE($I4710,CHAR(61),""),CHAR(34),"")</f>
        <v>15-24</v>
      </c>
      <c r="R4710" s="0" t="str">
        <f aca="false">IF($D4710&lt;&gt;"","["&amp;$E4710&amp;"]"&amp;"|"&amp;$Q4710&amp;"|"&amp;$K4710&amp;"|"&amp;$G4710&amp;"|"&amp;IF($G4710="TX_CURR_SUBNAT.R","CY2022Q4",$M4710),"")</f>
        <v>[rpw540fmNUz]|15-24|Female|PMTCT_STAT_SUBNAT.N.Known.Pos.T_1|CY2023Q3</v>
      </c>
    </row>
    <row r="4711" customFormat="false" ht="15" hidden="false" customHeight="false" outlineLevel="0" collapsed="false">
      <c r="D4711" s="0" t="s">
        <v>114</v>
      </c>
      <c r="E4711" s="0" t="s">
        <v>115</v>
      </c>
      <c r="F4711" s="0" t="s">
        <v>116</v>
      </c>
      <c r="G4711" s="0" t="s">
        <v>161</v>
      </c>
      <c r="H4711" s="0" t="s">
        <v>162</v>
      </c>
      <c r="I4711" s="0" t="s">
        <v>41</v>
      </c>
      <c r="J4711" s="0" t="s">
        <v>42</v>
      </c>
      <c r="K4711" s="0" t="s">
        <v>30</v>
      </c>
      <c r="L4711" s="0" t="s">
        <v>31</v>
      </c>
      <c r="M4711" s="0" t="s">
        <v>140</v>
      </c>
      <c r="N4711" s="0" t="n">
        <v>1625</v>
      </c>
      <c r="O4711" s="10" t="n">
        <v>0.998026512796059</v>
      </c>
      <c r="P4711" s="10" t="n">
        <v>0.298559809103608</v>
      </c>
      <c r="Q4711" s="0" t="str">
        <f aca="false">SUBSTITUTE(SUBSTITUTE($I4711,CHAR(61),""),CHAR(34),"")</f>
        <v>25-34</v>
      </c>
      <c r="R4711" s="0" t="str">
        <f aca="false">IF($D4711&lt;&gt;"","["&amp;$E4711&amp;"]"&amp;"|"&amp;$Q4711&amp;"|"&amp;$K4711&amp;"|"&amp;$G4711&amp;"|"&amp;IF($G4711="TX_CURR_SUBNAT.R","CY2022Q4",$M4711),"")</f>
        <v>[rpw540fmNUz]|25-34|Female|PMTCT_STAT_SUBNAT.N.Known.Pos.T_1|CY2023Q3</v>
      </c>
    </row>
    <row r="4712" customFormat="false" ht="15" hidden="false" customHeight="false" outlineLevel="0" collapsed="false">
      <c r="D4712" s="0" t="s">
        <v>114</v>
      </c>
      <c r="E4712" s="0" t="s">
        <v>115</v>
      </c>
      <c r="F4712" s="0" t="s">
        <v>116</v>
      </c>
      <c r="G4712" s="0" t="s">
        <v>161</v>
      </c>
      <c r="H4712" s="0" t="s">
        <v>162</v>
      </c>
      <c r="I4712" s="0" t="s">
        <v>43</v>
      </c>
      <c r="J4712" s="0" t="s">
        <v>44</v>
      </c>
      <c r="K4712" s="0" t="s">
        <v>30</v>
      </c>
      <c r="L4712" s="0" t="s">
        <v>31</v>
      </c>
      <c r="M4712" s="0" t="s">
        <v>140</v>
      </c>
      <c r="N4712" s="0" t="n">
        <v>550</v>
      </c>
      <c r="O4712" s="10" t="n">
        <v>0.16287295636721</v>
      </c>
      <c r="P4712" s="10" t="n">
        <v>0.298559809103608</v>
      </c>
      <c r="Q4712" s="0" t="str">
        <f aca="false">SUBSTITUTE(SUBSTITUTE($I4712,CHAR(61),""),CHAR(34),"")</f>
        <v>35-49</v>
      </c>
      <c r="R4712" s="0" t="str">
        <f aca="false">IF($D4712&lt;&gt;"","["&amp;$E4712&amp;"]"&amp;"|"&amp;$Q4712&amp;"|"&amp;$K4712&amp;"|"&amp;$G4712&amp;"|"&amp;IF($G4712="TX_CURR_SUBNAT.R","CY2022Q4",$M4712),"")</f>
        <v>[rpw540fmNUz]|35-49|Female|PMTCT_STAT_SUBNAT.N.Known.Pos.T_1|CY2023Q3</v>
      </c>
    </row>
    <row r="4713" customFormat="false" ht="15" hidden="false" customHeight="false" outlineLevel="0" collapsed="false">
      <c r="D4713" s="0" t="s">
        <v>117</v>
      </c>
      <c r="E4713" s="0" t="s">
        <v>118</v>
      </c>
      <c r="F4713" s="0" t="s">
        <v>119</v>
      </c>
      <c r="G4713" s="0" t="s">
        <v>161</v>
      </c>
      <c r="H4713" s="0" t="s">
        <v>162</v>
      </c>
      <c r="I4713" s="0" t="s">
        <v>38</v>
      </c>
      <c r="J4713" s="0" t="s">
        <v>39</v>
      </c>
      <c r="K4713" s="0" t="s">
        <v>30</v>
      </c>
      <c r="L4713" s="0" t="s">
        <v>31</v>
      </c>
      <c r="M4713" s="0" t="s">
        <v>140</v>
      </c>
      <c r="N4713" s="0" t="n">
        <v>1175</v>
      </c>
      <c r="O4713" s="10" t="n">
        <v>0.767391255591065</v>
      </c>
      <c r="P4713" s="10" t="n">
        <v>0.206259709550068</v>
      </c>
      <c r="Q4713" s="0" t="str">
        <f aca="false">SUBSTITUTE(SUBSTITUTE($I4713,CHAR(61),""),CHAR(34),"")</f>
        <v>15-24</v>
      </c>
      <c r="R4713" s="0" t="str">
        <f aca="false">IF($D4713&lt;&gt;"","["&amp;$E4713&amp;"]"&amp;"|"&amp;$Q4713&amp;"|"&amp;$K4713&amp;"|"&amp;$G4713&amp;"|"&amp;IF($G4713="TX_CURR_SUBNAT.R","CY2022Q4",$M4713),"")</f>
        <v>[lPTyjLi4w3d]|15-24|Female|PMTCT_STAT_SUBNAT.N.Known.Pos.T_1|CY2023Q3</v>
      </c>
    </row>
    <row r="4714" customFormat="false" ht="15" hidden="false" customHeight="false" outlineLevel="0" collapsed="false">
      <c r="D4714" s="0" t="s">
        <v>117</v>
      </c>
      <c r="E4714" s="0" t="s">
        <v>118</v>
      </c>
      <c r="F4714" s="0" t="s">
        <v>119</v>
      </c>
      <c r="G4714" s="0" t="s">
        <v>161</v>
      </c>
      <c r="H4714" s="0" t="s">
        <v>162</v>
      </c>
      <c r="I4714" s="0" t="s">
        <v>41</v>
      </c>
      <c r="J4714" s="0" t="s">
        <v>42</v>
      </c>
      <c r="K4714" s="0" t="s">
        <v>30</v>
      </c>
      <c r="L4714" s="0" t="s">
        <v>31</v>
      </c>
      <c r="M4714" s="0" t="s">
        <v>140</v>
      </c>
      <c r="N4714" s="0" t="n">
        <v>1603</v>
      </c>
      <c r="O4714" s="10" t="n">
        <v>0.417448011925444</v>
      </c>
      <c r="P4714" s="10" t="n">
        <v>0.206259709550068</v>
      </c>
      <c r="Q4714" s="0" t="str">
        <f aca="false">SUBSTITUTE(SUBSTITUTE($I4714,CHAR(61),""),CHAR(34),"")</f>
        <v>25-34</v>
      </c>
      <c r="R4714" s="0" t="str">
        <f aca="false">IF($D4714&lt;&gt;"","["&amp;$E4714&amp;"]"&amp;"|"&amp;$Q4714&amp;"|"&amp;$K4714&amp;"|"&amp;$G4714&amp;"|"&amp;IF($G4714="TX_CURR_SUBNAT.R","CY2022Q4",$M4714),"")</f>
        <v>[lPTyjLi4w3d]|25-34|Female|PMTCT_STAT_SUBNAT.N.Known.Pos.T_1|CY2023Q3</v>
      </c>
    </row>
    <row r="4715" customFormat="false" ht="15" hidden="false" customHeight="false" outlineLevel="0" collapsed="false">
      <c r="D4715" s="0" t="s">
        <v>117</v>
      </c>
      <c r="E4715" s="0" t="s">
        <v>118</v>
      </c>
      <c r="F4715" s="0" t="s">
        <v>119</v>
      </c>
      <c r="G4715" s="0" t="s">
        <v>161</v>
      </c>
      <c r="H4715" s="0" t="s">
        <v>162</v>
      </c>
      <c r="I4715" s="0" t="s">
        <v>43</v>
      </c>
      <c r="J4715" s="0" t="s">
        <v>44</v>
      </c>
      <c r="K4715" s="0" t="s">
        <v>30</v>
      </c>
      <c r="L4715" s="0" t="s">
        <v>31</v>
      </c>
      <c r="M4715" s="0" t="s">
        <v>140</v>
      </c>
      <c r="N4715" s="0" t="n">
        <v>753</v>
      </c>
      <c r="O4715" s="10" t="n">
        <v>0.297884705476463</v>
      </c>
      <c r="P4715" s="10" t="n">
        <v>0.206259709550068</v>
      </c>
      <c r="Q4715" s="0" t="str">
        <f aca="false">SUBSTITUTE(SUBSTITUTE($I4715,CHAR(61),""),CHAR(34),"")</f>
        <v>35-49</v>
      </c>
      <c r="R4715" s="0" t="str">
        <f aca="false">IF($D4715&lt;&gt;"","["&amp;$E4715&amp;"]"&amp;"|"&amp;$Q4715&amp;"|"&amp;$K4715&amp;"|"&amp;$G4715&amp;"|"&amp;IF($G4715="TX_CURR_SUBNAT.R","CY2022Q4",$M4715),"")</f>
        <v>[lPTyjLi4w3d]|35-49|Female|PMTCT_STAT_SUBNAT.N.Known.Pos.T_1|CY2023Q3</v>
      </c>
    </row>
    <row r="4716" customFormat="false" ht="15" hidden="false" customHeight="false" outlineLevel="0" collapsed="false">
      <c r="D4716" s="0" t="s">
        <v>120</v>
      </c>
      <c r="E4716" s="0" t="s">
        <v>121</v>
      </c>
      <c r="F4716" s="0" t="s">
        <v>122</v>
      </c>
      <c r="G4716" s="0" t="s">
        <v>161</v>
      </c>
      <c r="H4716" s="0" t="s">
        <v>162</v>
      </c>
      <c r="I4716" s="0" t="s">
        <v>38</v>
      </c>
      <c r="J4716" s="0" t="s">
        <v>39</v>
      </c>
      <c r="K4716" s="0" t="s">
        <v>30</v>
      </c>
      <c r="L4716" s="0" t="s">
        <v>31</v>
      </c>
      <c r="M4716" s="0" t="s">
        <v>140</v>
      </c>
      <c r="N4716" s="0" t="n">
        <v>946</v>
      </c>
      <c r="O4716" s="10" t="n">
        <v>0.229960891185328</v>
      </c>
      <c r="P4716" s="10" t="n">
        <v>0.430103979306296</v>
      </c>
      <c r="Q4716" s="0" t="str">
        <f aca="false">SUBSTITUTE(SUBSTITUTE($I4716,CHAR(61),""),CHAR(34),"")</f>
        <v>15-24</v>
      </c>
      <c r="R4716" s="0" t="str">
        <f aca="false">IF($D4716&lt;&gt;"","["&amp;$E4716&amp;"]"&amp;"|"&amp;$Q4716&amp;"|"&amp;$K4716&amp;"|"&amp;$G4716&amp;"|"&amp;IF($G4716="TX_CURR_SUBNAT.R","CY2022Q4",$M4716),"")</f>
        <v>[vA4NcHxfMBq]|15-24|Female|PMTCT_STAT_SUBNAT.N.Known.Pos.T_1|CY2023Q3</v>
      </c>
    </row>
    <row r="4717" customFormat="false" ht="15" hidden="false" customHeight="false" outlineLevel="0" collapsed="false">
      <c r="D4717" s="0" t="s">
        <v>120</v>
      </c>
      <c r="E4717" s="0" t="s">
        <v>121</v>
      </c>
      <c r="F4717" s="0" t="s">
        <v>122</v>
      </c>
      <c r="G4717" s="0" t="s">
        <v>161</v>
      </c>
      <c r="H4717" s="0" t="s">
        <v>162</v>
      </c>
      <c r="I4717" s="0" t="s">
        <v>41</v>
      </c>
      <c r="J4717" s="0" t="s">
        <v>42</v>
      </c>
      <c r="K4717" s="0" t="s">
        <v>30</v>
      </c>
      <c r="L4717" s="0" t="s">
        <v>31</v>
      </c>
      <c r="M4717" s="0" t="s">
        <v>140</v>
      </c>
      <c r="N4717" s="0" t="n">
        <v>758</v>
      </c>
      <c r="O4717" s="10" t="n">
        <v>0.5095681224484</v>
      </c>
      <c r="P4717" s="10" t="n">
        <v>0.430103979306296</v>
      </c>
      <c r="Q4717" s="0" t="str">
        <f aca="false">SUBSTITUTE(SUBSTITUTE($I4717,CHAR(61),""),CHAR(34),"")</f>
        <v>25-34</v>
      </c>
      <c r="R4717" s="0" t="str">
        <f aca="false">IF($D4717&lt;&gt;"","["&amp;$E4717&amp;"]"&amp;"|"&amp;$Q4717&amp;"|"&amp;$K4717&amp;"|"&amp;$G4717&amp;"|"&amp;IF($G4717="TX_CURR_SUBNAT.R","CY2022Q4",$M4717),"")</f>
        <v>[vA4NcHxfMBq]|25-34|Female|PMTCT_STAT_SUBNAT.N.Known.Pos.T_1|CY2023Q3</v>
      </c>
    </row>
    <row r="4718" customFormat="false" ht="15" hidden="false" customHeight="false" outlineLevel="0" collapsed="false">
      <c r="D4718" s="0" t="s">
        <v>120</v>
      </c>
      <c r="E4718" s="0" t="s">
        <v>121</v>
      </c>
      <c r="F4718" s="0" t="s">
        <v>122</v>
      </c>
      <c r="G4718" s="0" t="s">
        <v>161</v>
      </c>
      <c r="H4718" s="0" t="s">
        <v>162</v>
      </c>
      <c r="I4718" s="0" t="s">
        <v>43</v>
      </c>
      <c r="J4718" s="0" t="s">
        <v>44</v>
      </c>
      <c r="K4718" s="0" t="s">
        <v>30</v>
      </c>
      <c r="L4718" s="0" t="s">
        <v>31</v>
      </c>
      <c r="M4718" s="0" t="s">
        <v>140</v>
      </c>
      <c r="N4718" s="0" t="n">
        <v>1122</v>
      </c>
      <c r="O4718" s="10" t="n">
        <v>0.418194602942094</v>
      </c>
      <c r="P4718" s="10" t="n">
        <v>0.430103979306296</v>
      </c>
      <c r="Q4718" s="0" t="str">
        <f aca="false">SUBSTITUTE(SUBSTITUTE($I4718,CHAR(61),""),CHAR(34),"")</f>
        <v>35-49</v>
      </c>
      <c r="R4718" s="0" t="str">
        <f aca="false">IF($D4718&lt;&gt;"","["&amp;$E4718&amp;"]"&amp;"|"&amp;$Q4718&amp;"|"&amp;$K4718&amp;"|"&amp;$G4718&amp;"|"&amp;IF($G4718="TX_CURR_SUBNAT.R","CY2022Q4",$M4718),"")</f>
        <v>[vA4NcHxfMBq]|35-49|Female|PMTCT_STAT_SUBNAT.N.Known.Pos.T_1|CY2023Q3</v>
      </c>
    </row>
    <row r="4719" customFormat="false" ht="15" hidden="false" customHeight="false" outlineLevel="0" collapsed="false">
      <c r="D4719" s="0" t="s">
        <v>123</v>
      </c>
      <c r="E4719" s="0" t="s">
        <v>124</v>
      </c>
      <c r="F4719" s="0" t="s">
        <v>125</v>
      </c>
      <c r="G4719" s="0" t="s">
        <v>161</v>
      </c>
      <c r="H4719" s="0" t="s">
        <v>162</v>
      </c>
      <c r="I4719" s="0" t="s">
        <v>38</v>
      </c>
      <c r="J4719" s="0" t="s">
        <v>39</v>
      </c>
      <c r="K4719" s="0" t="s">
        <v>30</v>
      </c>
      <c r="L4719" s="0" t="s">
        <v>31</v>
      </c>
      <c r="M4719" s="0" t="s">
        <v>140</v>
      </c>
      <c r="N4719" s="0" t="n">
        <v>1258</v>
      </c>
      <c r="O4719" s="10" t="n">
        <v>0.344518221681938</v>
      </c>
      <c r="P4719" s="10" t="n">
        <v>0.419500603340566</v>
      </c>
      <c r="Q4719" s="0" t="str">
        <f aca="false">SUBSTITUTE(SUBSTITUTE($I4719,CHAR(61),""),CHAR(34),"")</f>
        <v>15-24</v>
      </c>
      <c r="R4719" s="0" t="str">
        <f aca="false">IF($D4719&lt;&gt;"","["&amp;$E4719&amp;"]"&amp;"|"&amp;$Q4719&amp;"|"&amp;$K4719&amp;"|"&amp;$G4719&amp;"|"&amp;IF($G4719="TX_CURR_SUBNAT.R","CY2022Q4",$M4719),"")</f>
        <v>[E7zpfyBt7Tw]|15-24|Female|PMTCT_STAT_SUBNAT.N.Known.Pos.T_1|CY2023Q3</v>
      </c>
    </row>
    <row r="4720" customFormat="false" ht="15" hidden="false" customHeight="false" outlineLevel="0" collapsed="false">
      <c r="D4720" s="0" t="s">
        <v>123</v>
      </c>
      <c r="E4720" s="0" t="s">
        <v>124</v>
      </c>
      <c r="F4720" s="0" t="s">
        <v>125</v>
      </c>
      <c r="G4720" s="0" t="s">
        <v>161</v>
      </c>
      <c r="H4720" s="0" t="s">
        <v>162</v>
      </c>
      <c r="I4720" s="0" t="s">
        <v>41</v>
      </c>
      <c r="J4720" s="0" t="s">
        <v>42</v>
      </c>
      <c r="K4720" s="0" t="s">
        <v>30</v>
      </c>
      <c r="L4720" s="0" t="s">
        <v>31</v>
      </c>
      <c r="M4720" s="0" t="s">
        <v>140</v>
      </c>
      <c r="N4720" s="0" t="n">
        <v>1430</v>
      </c>
      <c r="O4720" s="10" t="n">
        <v>0.696342324372381</v>
      </c>
      <c r="P4720" s="10" t="n">
        <v>0.419500603340566</v>
      </c>
      <c r="Q4720" s="0" t="str">
        <f aca="false">SUBSTITUTE(SUBSTITUTE($I4720,CHAR(61),""),CHAR(34),"")</f>
        <v>25-34</v>
      </c>
      <c r="R4720" s="0" t="str">
        <f aca="false">IF($D4720&lt;&gt;"","["&amp;$E4720&amp;"]"&amp;"|"&amp;$Q4720&amp;"|"&amp;$K4720&amp;"|"&amp;$G4720&amp;"|"&amp;IF($G4720="TX_CURR_SUBNAT.R","CY2022Q4",$M4720),"")</f>
        <v>[E7zpfyBt7Tw]|25-34|Female|PMTCT_STAT_SUBNAT.N.Known.Pos.T_1|CY2023Q3</v>
      </c>
    </row>
    <row r="4721" customFormat="false" ht="15" hidden="false" customHeight="false" outlineLevel="0" collapsed="false">
      <c r="D4721" s="0" t="s">
        <v>123</v>
      </c>
      <c r="E4721" s="0" t="s">
        <v>124</v>
      </c>
      <c r="F4721" s="0" t="s">
        <v>125</v>
      </c>
      <c r="G4721" s="0" t="s">
        <v>161</v>
      </c>
      <c r="H4721" s="0" t="s">
        <v>162</v>
      </c>
      <c r="I4721" s="0" t="s">
        <v>43</v>
      </c>
      <c r="J4721" s="0" t="s">
        <v>44</v>
      </c>
      <c r="K4721" s="0" t="s">
        <v>30</v>
      </c>
      <c r="L4721" s="0" t="s">
        <v>31</v>
      </c>
      <c r="M4721" s="0" t="s">
        <v>140</v>
      </c>
      <c r="N4721" s="0" t="n">
        <v>759</v>
      </c>
      <c r="O4721" s="10" t="n">
        <v>0.144165639299899</v>
      </c>
      <c r="P4721" s="10" t="n">
        <v>0.419500603340566</v>
      </c>
      <c r="Q4721" s="0" t="str">
        <f aca="false">SUBSTITUTE(SUBSTITUTE($I4721,CHAR(61),""),CHAR(34),"")</f>
        <v>35-49</v>
      </c>
      <c r="R4721" s="0" t="str">
        <f aca="false">IF($D4721&lt;&gt;"","["&amp;$E4721&amp;"]"&amp;"|"&amp;$Q4721&amp;"|"&amp;$K4721&amp;"|"&amp;$G4721&amp;"|"&amp;IF($G4721="TX_CURR_SUBNAT.R","CY2022Q4",$M4721),"")</f>
        <v>[E7zpfyBt7Tw]|35-49|Female|PMTCT_STAT_SUBNAT.N.Known.Pos.T_1|CY2023Q3</v>
      </c>
    </row>
    <row r="4722" customFormat="false" ht="15" hidden="false" customHeight="false" outlineLevel="0" collapsed="false">
      <c r="D4722" s="0" t="s">
        <v>126</v>
      </c>
      <c r="E4722" s="0" t="s">
        <v>127</v>
      </c>
      <c r="F4722" s="0" t="s">
        <v>128</v>
      </c>
      <c r="G4722" s="0" t="s">
        <v>161</v>
      </c>
      <c r="H4722" s="0" t="s">
        <v>162</v>
      </c>
      <c r="I4722" s="0" t="s">
        <v>38</v>
      </c>
      <c r="J4722" s="0" t="s">
        <v>39</v>
      </c>
      <c r="K4722" s="0" t="s">
        <v>30</v>
      </c>
      <c r="L4722" s="0" t="s">
        <v>31</v>
      </c>
      <c r="M4722" s="0" t="s">
        <v>140</v>
      </c>
      <c r="N4722" s="0" t="n">
        <v>826</v>
      </c>
      <c r="O4722" s="10" t="n">
        <v>0.1220832914114</v>
      </c>
      <c r="P4722" s="10" t="n">
        <v>0.252706390339881</v>
      </c>
      <c r="Q4722" s="0" t="str">
        <f aca="false">SUBSTITUTE(SUBSTITUTE($I4722,CHAR(61),""),CHAR(34),"")</f>
        <v>15-24</v>
      </c>
      <c r="R4722" s="0" t="str">
        <f aca="false">IF($D4722&lt;&gt;"","["&amp;$E4722&amp;"]"&amp;"|"&amp;$Q4722&amp;"|"&amp;$K4722&amp;"|"&amp;$G4722&amp;"|"&amp;IF($G4722="TX_CURR_SUBNAT.R","CY2022Q4",$M4722),"")</f>
        <v>[ZCjuwgaMB9u]|15-24|Female|PMTCT_STAT_SUBNAT.N.Known.Pos.T_1|CY2023Q3</v>
      </c>
    </row>
    <row r="4723" customFormat="false" ht="15" hidden="false" customHeight="false" outlineLevel="0" collapsed="false">
      <c r="D4723" s="0" t="s">
        <v>126</v>
      </c>
      <c r="E4723" s="0" t="s">
        <v>127</v>
      </c>
      <c r="F4723" s="0" t="s">
        <v>128</v>
      </c>
      <c r="G4723" s="0" t="s">
        <v>161</v>
      </c>
      <c r="H4723" s="0" t="s">
        <v>162</v>
      </c>
      <c r="I4723" s="0" t="s">
        <v>41</v>
      </c>
      <c r="J4723" s="0" t="s">
        <v>42</v>
      </c>
      <c r="K4723" s="0" t="s">
        <v>30</v>
      </c>
      <c r="L4723" s="0" t="s">
        <v>31</v>
      </c>
      <c r="M4723" s="0" t="s">
        <v>140</v>
      </c>
      <c r="N4723" s="0" t="n">
        <v>1398</v>
      </c>
      <c r="O4723" s="10" t="n">
        <v>0.252282010857016</v>
      </c>
      <c r="P4723" s="10" t="n">
        <v>0.252706390339881</v>
      </c>
      <c r="Q4723" s="0" t="str">
        <f aca="false">SUBSTITUTE(SUBSTITUTE($I4723,CHAR(61),""),CHAR(34),"")</f>
        <v>25-34</v>
      </c>
      <c r="R4723" s="0" t="str">
        <f aca="false">IF($D4723&lt;&gt;"","["&amp;$E4723&amp;"]"&amp;"|"&amp;$Q4723&amp;"|"&amp;$K4723&amp;"|"&amp;$G4723&amp;"|"&amp;IF($G4723="TX_CURR_SUBNAT.R","CY2022Q4",$M4723),"")</f>
        <v>[ZCjuwgaMB9u]|25-34|Female|PMTCT_STAT_SUBNAT.N.Known.Pos.T_1|CY2023Q3</v>
      </c>
    </row>
    <row r="4724" customFormat="false" ht="15" hidden="false" customHeight="false" outlineLevel="0" collapsed="false">
      <c r="D4724" s="0" t="s">
        <v>126</v>
      </c>
      <c r="E4724" s="0" t="s">
        <v>127</v>
      </c>
      <c r="F4724" s="0" t="s">
        <v>128</v>
      </c>
      <c r="G4724" s="0" t="s">
        <v>161</v>
      </c>
      <c r="H4724" s="0" t="s">
        <v>162</v>
      </c>
      <c r="I4724" s="0" t="s">
        <v>43</v>
      </c>
      <c r="J4724" s="0" t="s">
        <v>44</v>
      </c>
      <c r="K4724" s="0" t="s">
        <v>30</v>
      </c>
      <c r="L4724" s="0" t="s">
        <v>31</v>
      </c>
      <c r="M4724" s="0" t="s">
        <v>140</v>
      </c>
      <c r="N4724" s="0" t="n">
        <v>825</v>
      </c>
      <c r="O4724" s="10" t="n">
        <v>0.472297311294824</v>
      </c>
      <c r="P4724" s="10" t="n">
        <v>0.252706390339881</v>
      </c>
      <c r="Q4724" s="0" t="str">
        <f aca="false">SUBSTITUTE(SUBSTITUTE($I4724,CHAR(61),""),CHAR(34),"")</f>
        <v>35-49</v>
      </c>
      <c r="R4724" s="0" t="str">
        <f aca="false">IF($D4724&lt;&gt;"","["&amp;$E4724&amp;"]"&amp;"|"&amp;$Q4724&amp;"|"&amp;$K4724&amp;"|"&amp;$G4724&amp;"|"&amp;IF($G4724="TX_CURR_SUBNAT.R","CY2022Q4",$M4724),"")</f>
        <v>[ZCjuwgaMB9u]|35-49|Female|PMTCT_STAT_SUBNAT.N.Known.Pos.T_1|CY2023Q3</v>
      </c>
    </row>
    <row r="4725" customFormat="false" ht="15" hidden="false" customHeight="false" outlineLevel="0" collapsed="false">
      <c r="D4725" s="0" t="s">
        <v>129</v>
      </c>
      <c r="E4725" s="0" t="s">
        <v>130</v>
      </c>
      <c r="F4725" s="0" t="s">
        <v>131</v>
      </c>
      <c r="G4725" s="0" t="s">
        <v>161</v>
      </c>
      <c r="H4725" s="0" t="s">
        <v>162</v>
      </c>
      <c r="I4725" s="0" t="s">
        <v>38</v>
      </c>
      <c r="J4725" s="0" t="s">
        <v>39</v>
      </c>
      <c r="K4725" s="0" t="s">
        <v>30</v>
      </c>
      <c r="L4725" s="0" t="s">
        <v>31</v>
      </c>
      <c r="M4725" s="0" t="s">
        <v>140</v>
      </c>
      <c r="N4725" s="0" t="n">
        <v>703</v>
      </c>
      <c r="O4725" s="10" t="n">
        <v>0.348124434938654</v>
      </c>
      <c r="P4725" s="10" t="n">
        <v>0.556908084778115</v>
      </c>
      <c r="Q4725" s="0" t="str">
        <f aca="false">SUBSTITUTE(SUBSTITUTE($I4725,CHAR(61),""),CHAR(34),"")</f>
        <v>15-24</v>
      </c>
      <c r="R4725" s="0" t="str">
        <f aca="false">IF($D4725&lt;&gt;"","["&amp;$E4725&amp;"]"&amp;"|"&amp;$Q4725&amp;"|"&amp;$K4725&amp;"|"&amp;$G4725&amp;"|"&amp;IF($G4725="TX_CURR_SUBNAT.R","CY2022Q4",$M4725),"")</f>
        <v>[YCKiBAp8QAg]|15-24|Female|PMTCT_STAT_SUBNAT.N.Known.Pos.T_1|CY2023Q3</v>
      </c>
    </row>
    <row r="4726" customFormat="false" ht="15" hidden="false" customHeight="false" outlineLevel="0" collapsed="false">
      <c r="D4726" s="0" t="s">
        <v>129</v>
      </c>
      <c r="E4726" s="0" t="s">
        <v>130</v>
      </c>
      <c r="F4726" s="0" t="s">
        <v>131</v>
      </c>
      <c r="G4726" s="0" t="s">
        <v>161</v>
      </c>
      <c r="H4726" s="0" t="s">
        <v>162</v>
      </c>
      <c r="I4726" s="0" t="s">
        <v>41</v>
      </c>
      <c r="J4726" s="0" t="s">
        <v>42</v>
      </c>
      <c r="K4726" s="0" t="s">
        <v>30</v>
      </c>
      <c r="L4726" s="0" t="s">
        <v>31</v>
      </c>
      <c r="M4726" s="0" t="s">
        <v>140</v>
      </c>
      <c r="N4726" s="0" t="n">
        <v>1978</v>
      </c>
      <c r="O4726" s="10" t="n">
        <v>0.278158012311906</v>
      </c>
      <c r="P4726" s="10" t="n">
        <v>0.556908084778115</v>
      </c>
      <c r="Q4726" s="0" t="str">
        <f aca="false">SUBSTITUTE(SUBSTITUTE($I4726,CHAR(61),""),CHAR(34),"")</f>
        <v>25-34</v>
      </c>
      <c r="R4726" s="0" t="str">
        <f aca="false">IF($D4726&lt;&gt;"","["&amp;$E4726&amp;"]"&amp;"|"&amp;$Q4726&amp;"|"&amp;$K4726&amp;"|"&amp;$G4726&amp;"|"&amp;IF($G4726="TX_CURR_SUBNAT.R","CY2022Q4",$M4726),"")</f>
        <v>[YCKiBAp8QAg]|25-34|Female|PMTCT_STAT_SUBNAT.N.Known.Pos.T_1|CY2023Q3</v>
      </c>
    </row>
    <row r="4727" customFormat="false" ht="15" hidden="false" customHeight="false" outlineLevel="0" collapsed="false">
      <c r="D4727" s="0" t="s">
        <v>129</v>
      </c>
      <c r="E4727" s="0" t="s">
        <v>130</v>
      </c>
      <c r="F4727" s="0" t="s">
        <v>131</v>
      </c>
      <c r="G4727" s="0" t="s">
        <v>161</v>
      </c>
      <c r="H4727" s="0" t="s">
        <v>162</v>
      </c>
      <c r="I4727" s="0" t="s">
        <v>43</v>
      </c>
      <c r="J4727" s="0" t="s">
        <v>44</v>
      </c>
      <c r="K4727" s="0" t="s">
        <v>30</v>
      </c>
      <c r="L4727" s="0" t="s">
        <v>31</v>
      </c>
      <c r="M4727" s="0" t="s">
        <v>140</v>
      </c>
      <c r="N4727" s="0" t="n">
        <v>1324</v>
      </c>
      <c r="O4727" s="10" t="n">
        <v>0.357205426786095</v>
      </c>
      <c r="P4727" s="10" t="n">
        <v>0.556908084778115</v>
      </c>
      <c r="Q4727" s="0" t="str">
        <f aca="false">SUBSTITUTE(SUBSTITUTE($I4727,CHAR(61),""),CHAR(34),"")</f>
        <v>35-49</v>
      </c>
      <c r="R4727" s="0" t="str">
        <f aca="false">IF($D4727&lt;&gt;"","["&amp;$E4727&amp;"]"&amp;"|"&amp;$Q4727&amp;"|"&amp;$K4727&amp;"|"&amp;$G4727&amp;"|"&amp;IF($G4727="TX_CURR_SUBNAT.R","CY2022Q4",$M4727),"")</f>
        <v>[YCKiBAp8QAg]|35-49|Female|PMTCT_STAT_SUBNAT.N.Known.Pos.T_1|CY2023Q3</v>
      </c>
    </row>
    <row r="4728" customFormat="false" ht="15" hidden="false" customHeight="false" outlineLevel="0" collapsed="false">
      <c r="D4728" s="0" t="s">
        <v>132</v>
      </c>
      <c r="E4728" s="0" t="s">
        <v>133</v>
      </c>
      <c r="F4728" s="0" t="s">
        <v>134</v>
      </c>
      <c r="G4728" s="0" t="s">
        <v>161</v>
      </c>
      <c r="H4728" s="0" t="s">
        <v>162</v>
      </c>
      <c r="I4728" s="0" t="s">
        <v>38</v>
      </c>
      <c r="J4728" s="0" t="s">
        <v>39</v>
      </c>
      <c r="K4728" s="0" t="s">
        <v>30</v>
      </c>
      <c r="L4728" s="0" t="s">
        <v>31</v>
      </c>
      <c r="M4728" s="0" t="s">
        <v>140</v>
      </c>
      <c r="N4728" s="0" t="n">
        <v>1485</v>
      </c>
      <c r="O4728" s="10" t="n">
        <v>0.132319797296077</v>
      </c>
      <c r="P4728" s="10" t="n">
        <v>0.162863194011152</v>
      </c>
      <c r="Q4728" s="0" t="str">
        <f aca="false">SUBSTITUTE(SUBSTITUTE($I4728,CHAR(61),""),CHAR(34),"")</f>
        <v>15-24</v>
      </c>
      <c r="R4728" s="0" t="str">
        <f aca="false">IF($D4728&lt;&gt;"","["&amp;$E4728&amp;"]"&amp;"|"&amp;$Q4728&amp;"|"&amp;$K4728&amp;"|"&amp;$G4728&amp;"|"&amp;IF($G4728="TX_CURR_SUBNAT.R","CY2022Q4",$M4728),"")</f>
        <v>[JQKLKuVuY61]|15-24|Female|PMTCT_STAT_SUBNAT.N.Known.Pos.T_1|CY2023Q3</v>
      </c>
    </row>
    <row r="4729" customFormat="false" ht="15" hidden="false" customHeight="false" outlineLevel="0" collapsed="false">
      <c r="D4729" s="0" t="s">
        <v>132</v>
      </c>
      <c r="E4729" s="0" t="s">
        <v>133</v>
      </c>
      <c r="F4729" s="0" t="s">
        <v>134</v>
      </c>
      <c r="G4729" s="0" t="s">
        <v>161</v>
      </c>
      <c r="H4729" s="0" t="s">
        <v>162</v>
      </c>
      <c r="I4729" s="0" t="s">
        <v>41</v>
      </c>
      <c r="J4729" s="0" t="s">
        <v>42</v>
      </c>
      <c r="K4729" s="0" t="s">
        <v>30</v>
      </c>
      <c r="L4729" s="0" t="s">
        <v>31</v>
      </c>
      <c r="M4729" s="0" t="s">
        <v>140</v>
      </c>
      <c r="N4729" s="0" t="n">
        <v>587</v>
      </c>
      <c r="O4729" s="10" t="n">
        <v>0.447473785374314</v>
      </c>
      <c r="P4729" s="10" t="n">
        <v>0.162863194011152</v>
      </c>
      <c r="Q4729" s="0" t="str">
        <f aca="false">SUBSTITUTE(SUBSTITUTE($I4729,CHAR(61),""),CHAR(34),"")</f>
        <v>25-34</v>
      </c>
      <c r="R4729" s="0" t="str">
        <f aca="false">IF($D4729&lt;&gt;"","["&amp;$E4729&amp;"]"&amp;"|"&amp;$Q4729&amp;"|"&amp;$K4729&amp;"|"&amp;$G4729&amp;"|"&amp;IF($G4729="TX_CURR_SUBNAT.R","CY2022Q4",$M4729),"")</f>
        <v>[JQKLKuVuY61]|25-34|Female|PMTCT_STAT_SUBNAT.N.Known.Pos.T_1|CY2023Q3</v>
      </c>
    </row>
    <row r="4730" customFormat="false" ht="15" hidden="false" customHeight="false" outlineLevel="0" collapsed="false">
      <c r="D4730" s="0" t="s">
        <v>132</v>
      </c>
      <c r="E4730" s="0" t="s">
        <v>133</v>
      </c>
      <c r="F4730" s="0" t="s">
        <v>134</v>
      </c>
      <c r="G4730" s="0" t="s">
        <v>161</v>
      </c>
      <c r="H4730" s="0" t="s">
        <v>162</v>
      </c>
      <c r="I4730" s="0" t="s">
        <v>43</v>
      </c>
      <c r="J4730" s="0" t="s">
        <v>44</v>
      </c>
      <c r="K4730" s="0" t="s">
        <v>30</v>
      </c>
      <c r="L4730" s="0" t="s">
        <v>31</v>
      </c>
      <c r="M4730" s="0" t="s">
        <v>140</v>
      </c>
      <c r="N4730" s="0" t="n">
        <v>1787</v>
      </c>
      <c r="O4730" s="10" t="n">
        <v>0.244349115993828</v>
      </c>
      <c r="P4730" s="10" t="n">
        <v>0.162863194011152</v>
      </c>
      <c r="Q4730" s="0" t="str">
        <f aca="false">SUBSTITUTE(SUBSTITUTE($I4730,CHAR(61),""),CHAR(34),"")</f>
        <v>35-49</v>
      </c>
      <c r="R4730" s="0" t="str">
        <f aca="false">IF($D4730&lt;&gt;"","["&amp;$E4730&amp;"]"&amp;"|"&amp;$Q4730&amp;"|"&amp;$K4730&amp;"|"&amp;$G4730&amp;"|"&amp;IF($G4730="TX_CURR_SUBNAT.R","CY2022Q4",$M4730),"")</f>
        <v>[JQKLKuVuY61]|35-49|Female|PMTCT_STAT_SUBNAT.N.Known.Pos.T_1|CY2023Q3</v>
      </c>
    </row>
    <row r="4731" customFormat="false" ht="15" hidden="false" customHeight="false" outlineLevel="0" collapsed="false">
      <c r="D4731" s="0" t="s">
        <v>135</v>
      </c>
      <c r="E4731" s="0" t="s">
        <v>136</v>
      </c>
      <c r="F4731" s="0" t="s">
        <v>137</v>
      </c>
      <c r="G4731" s="0" t="s">
        <v>161</v>
      </c>
      <c r="H4731" s="0" t="s">
        <v>162</v>
      </c>
      <c r="I4731" s="0" t="s">
        <v>38</v>
      </c>
      <c r="J4731" s="0" t="s">
        <v>39</v>
      </c>
      <c r="K4731" s="0" t="s">
        <v>30</v>
      </c>
      <c r="L4731" s="0" t="s">
        <v>31</v>
      </c>
      <c r="M4731" s="0" t="s">
        <v>140</v>
      </c>
      <c r="N4731" s="0" t="n">
        <v>1521</v>
      </c>
      <c r="O4731" s="10" t="n">
        <v>0.0381864930968732</v>
      </c>
      <c r="P4731" s="10" t="n">
        <v>0.955300528323278</v>
      </c>
      <c r="Q4731" s="0" t="str">
        <f aca="false">SUBSTITUTE(SUBSTITUTE($I4731,CHAR(61),""),CHAR(34),"")</f>
        <v>15-24</v>
      </c>
      <c r="R4731" s="0" t="str">
        <f aca="false">IF($D4731&lt;&gt;"","["&amp;$E4731&amp;"]"&amp;"|"&amp;$Q4731&amp;"|"&amp;$K4731&amp;"|"&amp;$G4731&amp;"|"&amp;IF($G4731="TX_CURR_SUBNAT.R","CY2022Q4",$M4731),"")</f>
        <v>[fiRkU6gEjLz]|15-24|Female|PMTCT_STAT_SUBNAT.N.Known.Pos.T_1|CY2023Q3</v>
      </c>
    </row>
    <row r="4732" customFormat="false" ht="15" hidden="false" customHeight="false" outlineLevel="0" collapsed="false">
      <c r="D4732" s="0" t="s">
        <v>135</v>
      </c>
      <c r="E4732" s="0" t="s">
        <v>136</v>
      </c>
      <c r="F4732" s="0" t="s">
        <v>137</v>
      </c>
      <c r="G4732" s="0" t="s">
        <v>161</v>
      </c>
      <c r="H4732" s="0" t="s">
        <v>162</v>
      </c>
      <c r="I4732" s="0" t="s">
        <v>41</v>
      </c>
      <c r="J4732" s="0" t="s">
        <v>42</v>
      </c>
      <c r="K4732" s="0" t="s">
        <v>30</v>
      </c>
      <c r="L4732" s="0" t="s">
        <v>31</v>
      </c>
      <c r="M4732" s="0" t="s">
        <v>140</v>
      </c>
      <c r="N4732" s="0" t="n">
        <v>971</v>
      </c>
      <c r="O4732" s="10" t="n">
        <v>0.891370247118175</v>
      </c>
      <c r="P4732" s="10" t="n">
        <v>0.955300528323278</v>
      </c>
      <c r="Q4732" s="0" t="str">
        <f aca="false">SUBSTITUTE(SUBSTITUTE($I4732,CHAR(61),""),CHAR(34),"")</f>
        <v>25-34</v>
      </c>
      <c r="R4732" s="0" t="str">
        <f aca="false">IF($D4732&lt;&gt;"","["&amp;$E4732&amp;"]"&amp;"|"&amp;$Q4732&amp;"|"&amp;$K4732&amp;"|"&amp;$G4732&amp;"|"&amp;IF($G4732="TX_CURR_SUBNAT.R","CY2022Q4",$M4732),"")</f>
        <v>[fiRkU6gEjLz]|25-34|Female|PMTCT_STAT_SUBNAT.N.Known.Pos.T_1|CY2023Q3</v>
      </c>
    </row>
    <row r="4733" customFormat="false" ht="15" hidden="false" customHeight="false" outlineLevel="0" collapsed="false">
      <c r="D4733" s="0" t="s">
        <v>135</v>
      </c>
      <c r="E4733" s="0" t="s">
        <v>136</v>
      </c>
      <c r="F4733" s="0" t="s">
        <v>137</v>
      </c>
      <c r="G4733" s="0" t="s">
        <v>161</v>
      </c>
      <c r="H4733" s="0" t="s">
        <v>162</v>
      </c>
      <c r="I4733" s="0" t="s">
        <v>43</v>
      </c>
      <c r="J4733" s="0" t="s">
        <v>44</v>
      </c>
      <c r="K4733" s="0" t="s">
        <v>30</v>
      </c>
      <c r="L4733" s="0" t="s">
        <v>31</v>
      </c>
      <c r="M4733" s="0" t="s">
        <v>140</v>
      </c>
      <c r="N4733" s="0" t="n">
        <v>1110</v>
      </c>
      <c r="O4733" s="10" t="n">
        <v>0.988823822699487</v>
      </c>
      <c r="P4733" s="10" t="n">
        <v>0.955300528323278</v>
      </c>
      <c r="Q4733" s="0" t="str">
        <f aca="false">SUBSTITUTE(SUBSTITUTE($I4733,CHAR(61),""),CHAR(34),"")</f>
        <v>35-49</v>
      </c>
      <c r="R4733" s="0" t="str">
        <f aca="false">IF($D4733&lt;&gt;"","["&amp;$E4733&amp;"]"&amp;"|"&amp;$Q4733&amp;"|"&amp;$K4733&amp;"|"&amp;$G4733&amp;"|"&amp;IF($G4733="TX_CURR_SUBNAT.R","CY2022Q4",$M4733),"")</f>
        <v>[fiRkU6gEjLz]|35-49|Female|PMTCT_STAT_SUBNAT.N.Known.Pos.T_1|CY2023Q3</v>
      </c>
    </row>
    <row r="4734" customFormat="false" ht="15" hidden="false" customHeight="false" outlineLevel="0" collapsed="false">
      <c r="D4734" s="0" t="s">
        <v>23</v>
      </c>
      <c r="E4734" s="0" t="s">
        <v>24</v>
      </c>
      <c r="F4734" s="0" t="s">
        <v>25</v>
      </c>
      <c r="G4734" s="0" t="s">
        <v>163</v>
      </c>
      <c r="H4734" s="0" t="s">
        <v>162</v>
      </c>
      <c r="I4734" s="0" t="s">
        <v>38</v>
      </c>
      <c r="J4734" s="0" t="s">
        <v>39</v>
      </c>
      <c r="K4734" s="0" t="s">
        <v>30</v>
      </c>
      <c r="L4734" s="0" t="s">
        <v>31</v>
      </c>
      <c r="M4734" s="0" t="s">
        <v>140</v>
      </c>
      <c r="N4734" s="0" t="n">
        <v>1349</v>
      </c>
      <c r="O4734" s="10" t="n">
        <v>0.799513887846842</v>
      </c>
      <c r="P4734" s="10" t="n">
        <v>0.404358610976487</v>
      </c>
      <c r="Q4734" s="0" t="str">
        <f aca="false">SUBSTITUTE(SUBSTITUTE($I4734,CHAR(61),""),CHAR(34),"")</f>
        <v>15-24</v>
      </c>
      <c r="R4734" s="0" t="str">
        <f aca="false">IF($D4734&lt;&gt;"","["&amp;$E4734&amp;"]"&amp;"|"&amp;$Q4734&amp;"|"&amp;$K4734&amp;"|"&amp;$G4734&amp;"|"&amp;IF($G4734="TX_CURR_SUBNAT.R","CY2022Q4",$M4734),"")</f>
        <v>[GkIwZrXy1h2]|15-24|Female|PMTCT_STAT_SUBNAT.N.New.Pos.T_1|CY2023Q3</v>
      </c>
    </row>
    <row r="4735" customFormat="false" ht="15" hidden="false" customHeight="false" outlineLevel="0" collapsed="false">
      <c r="D4735" s="0" t="s">
        <v>23</v>
      </c>
      <c r="E4735" s="0" t="s">
        <v>24</v>
      </c>
      <c r="F4735" s="0" t="s">
        <v>25</v>
      </c>
      <c r="G4735" s="0" t="s">
        <v>163</v>
      </c>
      <c r="H4735" s="0" t="s">
        <v>162</v>
      </c>
      <c r="I4735" s="0" t="s">
        <v>41</v>
      </c>
      <c r="J4735" s="0" t="s">
        <v>42</v>
      </c>
      <c r="K4735" s="0" t="s">
        <v>30</v>
      </c>
      <c r="L4735" s="0" t="s">
        <v>31</v>
      </c>
      <c r="M4735" s="0" t="s">
        <v>140</v>
      </c>
      <c r="N4735" s="0" t="n">
        <v>905</v>
      </c>
      <c r="O4735" s="10" t="n">
        <v>0.289234520401806</v>
      </c>
      <c r="P4735" s="10" t="n">
        <v>0.404358610976487</v>
      </c>
      <c r="Q4735" s="0" t="str">
        <f aca="false">SUBSTITUTE(SUBSTITUTE($I4735,CHAR(61),""),CHAR(34),"")</f>
        <v>25-34</v>
      </c>
      <c r="R4735" s="0" t="str">
        <f aca="false">IF($D4735&lt;&gt;"","["&amp;$E4735&amp;"]"&amp;"|"&amp;$Q4735&amp;"|"&amp;$K4735&amp;"|"&amp;$G4735&amp;"|"&amp;IF($G4735="TX_CURR_SUBNAT.R","CY2022Q4",$M4735),"")</f>
        <v>[GkIwZrXy1h2]|25-34|Female|PMTCT_STAT_SUBNAT.N.New.Pos.T_1|CY2023Q3</v>
      </c>
    </row>
    <row r="4736" customFormat="false" ht="15" hidden="false" customHeight="false" outlineLevel="0" collapsed="false">
      <c r="D4736" s="0" t="s">
        <v>23</v>
      </c>
      <c r="E4736" s="0" t="s">
        <v>24</v>
      </c>
      <c r="F4736" s="0" t="s">
        <v>25</v>
      </c>
      <c r="G4736" s="0" t="s">
        <v>163</v>
      </c>
      <c r="H4736" s="0" t="s">
        <v>162</v>
      </c>
      <c r="I4736" s="0" t="s">
        <v>43</v>
      </c>
      <c r="J4736" s="0" t="s">
        <v>44</v>
      </c>
      <c r="K4736" s="0" t="s">
        <v>30</v>
      </c>
      <c r="L4736" s="0" t="s">
        <v>31</v>
      </c>
      <c r="M4736" s="0" t="s">
        <v>140</v>
      </c>
      <c r="N4736" s="0" t="n">
        <v>1423</v>
      </c>
      <c r="O4736" s="10" t="n">
        <v>0.255086707416922</v>
      </c>
      <c r="P4736" s="10" t="n">
        <v>0.404358610976487</v>
      </c>
      <c r="Q4736" s="0" t="str">
        <f aca="false">SUBSTITUTE(SUBSTITUTE($I4736,CHAR(61),""),CHAR(34),"")</f>
        <v>35-49</v>
      </c>
      <c r="R4736" s="0" t="str">
        <f aca="false">IF($D4736&lt;&gt;"","["&amp;$E4736&amp;"]"&amp;"|"&amp;$Q4736&amp;"|"&amp;$K4736&amp;"|"&amp;$G4736&amp;"|"&amp;IF($G4736="TX_CURR_SUBNAT.R","CY2022Q4",$M4736),"")</f>
        <v>[GkIwZrXy1h2]|35-49|Female|PMTCT_STAT_SUBNAT.N.New.Pos.T_1|CY2023Q3</v>
      </c>
    </row>
    <row r="4737" customFormat="false" ht="15" hidden="false" customHeight="false" outlineLevel="0" collapsed="false">
      <c r="D4737" s="0" t="s">
        <v>53</v>
      </c>
      <c r="E4737" s="0" t="s">
        <v>54</v>
      </c>
      <c r="F4737" s="0" t="s">
        <v>55</v>
      </c>
      <c r="G4737" s="0" t="s">
        <v>163</v>
      </c>
      <c r="H4737" s="0" t="s">
        <v>162</v>
      </c>
      <c r="I4737" s="0" t="s">
        <v>38</v>
      </c>
      <c r="J4737" s="0" t="s">
        <v>39</v>
      </c>
      <c r="K4737" s="0" t="s">
        <v>30</v>
      </c>
      <c r="L4737" s="0" t="s">
        <v>31</v>
      </c>
      <c r="M4737" s="0" t="s">
        <v>140</v>
      </c>
      <c r="N4737" s="0" t="n">
        <v>903</v>
      </c>
      <c r="O4737" s="10" t="n">
        <v>0.120483552571386</v>
      </c>
      <c r="P4737" s="10" t="n">
        <v>0.616392469964921</v>
      </c>
      <c r="Q4737" s="0" t="str">
        <f aca="false">SUBSTITUTE(SUBSTITUTE($I4737,CHAR(61),""),CHAR(34),"")</f>
        <v>15-24</v>
      </c>
      <c r="R4737" s="0" t="str">
        <f aca="false">IF($D4737&lt;&gt;"","["&amp;$E4737&amp;"]"&amp;"|"&amp;$Q4737&amp;"|"&amp;$K4737&amp;"|"&amp;$G4737&amp;"|"&amp;IF($G4737="TX_CURR_SUBNAT.R","CY2022Q4",$M4737),"")</f>
        <v>[zphK9WV8JB4]|15-24|Female|PMTCT_STAT_SUBNAT.N.New.Pos.T_1|CY2023Q3</v>
      </c>
    </row>
    <row r="4738" customFormat="false" ht="15" hidden="false" customHeight="false" outlineLevel="0" collapsed="false">
      <c r="D4738" s="0" t="s">
        <v>53</v>
      </c>
      <c r="E4738" s="0" t="s">
        <v>54</v>
      </c>
      <c r="F4738" s="0" t="s">
        <v>55</v>
      </c>
      <c r="G4738" s="0" t="s">
        <v>163</v>
      </c>
      <c r="H4738" s="0" t="s">
        <v>162</v>
      </c>
      <c r="I4738" s="0" t="s">
        <v>41</v>
      </c>
      <c r="J4738" s="0" t="s">
        <v>42</v>
      </c>
      <c r="K4738" s="0" t="s">
        <v>30</v>
      </c>
      <c r="L4738" s="0" t="s">
        <v>31</v>
      </c>
      <c r="M4738" s="0" t="s">
        <v>140</v>
      </c>
      <c r="N4738" s="0" t="n">
        <v>1662</v>
      </c>
      <c r="O4738" s="10" t="n">
        <v>0.440866425866261</v>
      </c>
      <c r="P4738" s="10" t="n">
        <v>0.616392469964921</v>
      </c>
      <c r="Q4738" s="0" t="str">
        <f aca="false">SUBSTITUTE(SUBSTITUTE($I4738,CHAR(61),""),CHAR(34),"")</f>
        <v>25-34</v>
      </c>
      <c r="R4738" s="0" t="str">
        <f aca="false">IF($D4738&lt;&gt;"","["&amp;$E4738&amp;"]"&amp;"|"&amp;$Q4738&amp;"|"&amp;$K4738&amp;"|"&amp;$G4738&amp;"|"&amp;IF($G4738="TX_CURR_SUBNAT.R","CY2022Q4",$M4738),"")</f>
        <v>[zphK9WV8JB4]|25-34|Female|PMTCT_STAT_SUBNAT.N.New.Pos.T_1|CY2023Q3</v>
      </c>
    </row>
    <row r="4739" customFormat="false" ht="15" hidden="false" customHeight="false" outlineLevel="0" collapsed="false">
      <c r="D4739" s="0" t="s">
        <v>53</v>
      </c>
      <c r="E4739" s="0" t="s">
        <v>54</v>
      </c>
      <c r="F4739" s="0" t="s">
        <v>55</v>
      </c>
      <c r="G4739" s="0" t="s">
        <v>163</v>
      </c>
      <c r="H4739" s="0" t="s">
        <v>162</v>
      </c>
      <c r="I4739" s="0" t="s">
        <v>43</v>
      </c>
      <c r="J4739" s="0" t="s">
        <v>44</v>
      </c>
      <c r="K4739" s="0" t="s">
        <v>30</v>
      </c>
      <c r="L4739" s="0" t="s">
        <v>31</v>
      </c>
      <c r="M4739" s="0" t="s">
        <v>140</v>
      </c>
      <c r="N4739" s="0" t="n">
        <v>1513</v>
      </c>
      <c r="O4739" s="10" t="n">
        <v>0.179337189765647</v>
      </c>
      <c r="P4739" s="10" t="n">
        <v>0.616392469964921</v>
      </c>
      <c r="Q4739" s="0" t="str">
        <f aca="false">SUBSTITUTE(SUBSTITUTE($I4739,CHAR(61),""),CHAR(34),"")</f>
        <v>35-49</v>
      </c>
      <c r="R4739" s="0" t="str">
        <f aca="false">IF($D4739&lt;&gt;"","["&amp;$E4739&amp;"]"&amp;"|"&amp;$Q4739&amp;"|"&amp;$K4739&amp;"|"&amp;$G4739&amp;"|"&amp;IF($G4739="TX_CURR_SUBNAT.R","CY2022Q4",$M4739),"")</f>
        <v>[zphK9WV8JB4]|35-49|Female|PMTCT_STAT_SUBNAT.N.New.Pos.T_1|CY2023Q3</v>
      </c>
    </row>
    <row r="4740" customFormat="false" ht="15" hidden="false" customHeight="false" outlineLevel="0" collapsed="false">
      <c r="D4740" s="0" t="s">
        <v>60</v>
      </c>
      <c r="E4740" s="0" t="s">
        <v>61</v>
      </c>
      <c r="F4740" s="0" t="s">
        <v>62</v>
      </c>
      <c r="G4740" s="0" t="s">
        <v>163</v>
      </c>
      <c r="H4740" s="0" t="s">
        <v>162</v>
      </c>
      <c r="I4740" s="0" t="s">
        <v>38</v>
      </c>
      <c r="J4740" s="0" t="s">
        <v>39</v>
      </c>
      <c r="K4740" s="0" t="s">
        <v>30</v>
      </c>
      <c r="L4740" s="0" t="s">
        <v>31</v>
      </c>
      <c r="M4740" s="0" t="s">
        <v>140</v>
      </c>
      <c r="N4740" s="0" t="n">
        <v>1049</v>
      </c>
      <c r="O4740" s="10" t="n">
        <v>0.494724104180932</v>
      </c>
      <c r="P4740" s="10" t="n">
        <v>0.0268250561784953</v>
      </c>
      <c r="Q4740" s="0" t="str">
        <f aca="false">SUBSTITUTE(SUBSTITUTE($I4740,CHAR(61),""),CHAR(34),"")</f>
        <v>15-24</v>
      </c>
      <c r="R4740" s="0" t="str">
        <f aca="false">IF($D4740&lt;&gt;"","["&amp;$E4740&amp;"]"&amp;"|"&amp;$Q4740&amp;"|"&amp;$K4740&amp;"|"&amp;$G4740&amp;"|"&amp;IF($G4740="TX_CURR_SUBNAT.R","CY2022Q4",$M4740),"")</f>
        <v>[msW2zpIN7up]|15-24|Female|PMTCT_STAT_SUBNAT.N.New.Pos.T_1|CY2023Q3</v>
      </c>
    </row>
    <row r="4741" customFormat="false" ht="15" hidden="false" customHeight="false" outlineLevel="0" collapsed="false">
      <c r="D4741" s="0" t="s">
        <v>60</v>
      </c>
      <c r="E4741" s="0" t="s">
        <v>61</v>
      </c>
      <c r="F4741" s="0" t="s">
        <v>62</v>
      </c>
      <c r="G4741" s="0" t="s">
        <v>163</v>
      </c>
      <c r="H4741" s="0" t="s">
        <v>162</v>
      </c>
      <c r="I4741" s="0" t="s">
        <v>41</v>
      </c>
      <c r="J4741" s="0" t="s">
        <v>42</v>
      </c>
      <c r="K4741" s="0" t="s">
        <v>30</v>
      </c>
      <c r="L4741" s="0" t="s">
        <v>31</v>
      </c>
      <c r="M4741" s="0" t="s">
        <v>140</v>
      </c>
      <c r="N4741" s="0" t="n">
        <v>1658</v>
      </c>
      <c r="O4741" s="10" t="n">
        <v>0.104061520891264</v>
      </c>
      <c r="P4741" s="10" t="n">
        <v>0.0268250561784953</v>
      </c>
      <c r="Q4741" s="0" t="str">
        <f aca="false">SUBSTITUTE(SUBSTITUTE($I4741,CHAR(61),""),CHAR(34),"")</f>
        <v>25-34</v>
      </c>
      <c r="R4741" s="0" t="str">
        <f aca="false">IF($D4741&lt;&gt;"","["&amp;$E4741&amp;"]"&amp;"|"&amp;$Q4741&amp;"|"&amp;$K4741&amp;"|"&amp;$G4741&amp;"|"&amp;IF($G4741="TX_CURR_SUBNAT.R","CY2022Q4",$M4741),"")</f>
        <v>[msW2zpIN7up]|25-34|Female|PMTCT_STAT_SUBNAT.N.New.Pos.T_1|CY2023Q3</v>
      </c>
    </row>
    <row r="4742" customFormat="false" ht="15" hidden="false" customHeight="false" outlineLevel="0" collapsed="false">
      <c r="D4742" s="0" t="s">
        <v>60</v>
      </c>
      <c r="E4742" s="0" t="s">
        <v>61</v>
      </c>
      <c r="F4742" s="0" t="s">
        <v>62</v>
      </c>
      <c r="G4742" s="0" t="s">
        <v>163</v>
      </c>
      <c r="H4742" s="0" t="s">
        <v>162</v>
      </c>
      <c r="I4742" s="0" t="s">
        <v>43</v>
      </c>
      <c r="J4742" s="0" t="s">
        <v>44</v>
      </c>
      <c r="K4742" s="0" t="s">
        <v>30</v>
      </c>
      <c r="L4742" s="0" t="s">
        <v>31</v>
      </c>
      <c r="M4742" s="0" t="s">
        <v>140</v>
      </c>
      <c r="N4742" s="0" t="n">
        <v>1157</v>
      </c>
      <c r="O4742" s="10" t="n">
        <v>0.144808607641608</v>
      </c>
      <c r="P4742" s="10" t="n">
        <v>0.0268250561784953</v>
      </c>
      <c r="Q4742" s="0" t="str">
        <f aca="false">SUBSTITUTE(SUBSTITUTE($I4742,CHAR(61),""),CHAR(34),"")</f>
        <v>35-49</v>
      </c>
      <c r="R4742" s="0" t="str">
        <f aca="false">IF($D4742&lt;&gt;"","["&amp;$E4742&amp;"]"&amp;"|"&amp;$Q4742&amp;"|"&amp;$K4742&amp;"|"&amp;$G4742&amp;"|"&amp;IF($G4742="TX_CURR_SUBNAT.R","CY2022Q4",$M4742),"")</f>
        <v>[msW2zpIN7up]|35-49|Female|PMTCT_STAT_SUBNAT.N.New.Pos.T_1|CY2023Q3</v>
      </c>
    </row>
    <row r="4743" customFormat="false" ht="15" hidden="false" customHeight="false" outlineLevel="0" collapsed="false">
      <c r="D4743" s="0" t="s">
        <v>63</v>
      </c>
      <c r="E4743" s="0" t="s">
        <v>64</v>
      </c>
      <c r="F4743" s="0" t="s">
        <v>65</v>
      </c>
      <c r="G4743" s="0" t="s">
        <v>163</v>
      </c>
      <c r="H4743" s="0" t="s">
        <v>162</v>
      </c>
      <c r="I4743" s="0" t="s">
        <v>38</v>
      </c>
      <c r="J4743" s="0" t="s">
        <v>39</v>
      </c>
      <c r="K4743" s="0" t="s">
        <v>30</v>
      </c>
      <c r="L4743" s="0" t="s">
        <v>31</v>
      </c>
      <c r="M4743" s="0" t="s">
        <v>140</v>
      </c>
      <c r="N4743" s="0" t="n">
        <v>673</v>
      </c>
      <c r="O4743" s="10" t="n">
        <v>0.925438570557162</v>
      </c>
      <c r="P4743" s="10" t="n">
        <v>0.790102193132043</v>
      </c>
      <c r="Q4743" s="0" t="str">
        <f aca="false">SUBSTITUTE(SUBSTITUTE($I4743,CHAR(61),""),CHAR(34),"")</f>
        <v>15-24</v>
      </c>
      <c r="R4743" s="0" t="str">
        <f aca="false">IF($D4743&lt;&gt;"","["&amp;$E4743&amp;"]"&amp;"|"&amp;$Q4743&amp;"|"&amp;$K4743&amp;"|"&amp;$G4743&amp;"|"&amp;IF($G4743="TX_CURR_SUBNAT.R","CY2022Q4",$M4743),"")</f>
        <v>[kxuuIFpOXyO]|15-24|Female|PMTCT_STAT_SUBNAT.N.New.Pos.T_1|CY2023Q3</v>
      </c>
    </row>
    <row r="4744" customFormat="false" ht="15" hidden="false" customHeight="false" outlineLevel="0" collapsed="false">
      <c r="D4744" s="0" t="s">
        <v>63</v>
      </c>
      <c r="E4744" s="0" t="s">
        <v>64</v>
      </c>
      <c r="F4744" s="0" t="s">
        <v>65</v>
      </c>
      <c r="G4744" s="0" t="s">
        <v>163</v>
      </c>
      <c r="H4744" s="0" t="s">
        <v>162</v>
      </c>
      <c r="I4744" s="0" t="s">
        <v>41</v>
      </c>
      <c r="J4744" s="0" t="s">
        <v>42</v>
      </c>
      <c r="K4744" s="0" t="s">
        <v>30</v>
      </c>
      <c r="L4744" s="0" t="s">
        <v>31</v>
      </c>
      <c r="M4744" s="0" t="s">
        <v>140</v>
      </c>
      <c r="N4744" s="0" t="n">
        <v>858</v>
      </c>
      <c r="O4744" s="10" t="n">
        <v>0.690934969810769</v>
      </c>
      <c r="P4744" s="10" t="n">
        <v>0.790102193132043</v>
      </c>
      <c r="Q4744" s="0" t="str">
        <f aca="false">SUBSTITUTE(SUBSTITUTE($I4744,CHAR(61),""),CHAR(34),"")</f>
        <v>25-34</v>
      </c>
      <c r="R4744" s="0" t="str">
        <f aca="false">IF($D4744&lt;&gt;"","["&amp;$E4744&amp;"]"&amp;"|"&amp;$Q4744&amp;"|"&amp;$K4744&amp;"|"&amp;$G4744&amp;"|"&amp;IF($G4744="TX_CURR_SUBNAT.R","CY2022Q4",$M4744),"")</f>
        <v>[kxuuIFpOXyO]|25-34|Female|PMTCT_STAT_SUBNAT.N.New.Pos.T_1|CY2023Q3</v>
      </c>
    </row>
    <row r="4745" customFormat="false" ht="15" hidden="false" customHeight="false" outlineLevel="0" collapsed="false">
      <c r="D4745" s="0" t="s">
        <v>63</v>
      </c>
      <c r="E4745" s="0" t="s">
        <v>64</v>
      </c>
      <c r="F4745" s="0" t="s">
        <v>65</v>
      </c>
      <c r="G4745" s="0" t="s">
        <v>163</v>
      </c>
      <c r="H4745" s="0" t="s">
        <v>162</v>
      </c>
      <c r="I4745" s="0" t="s">
        <v>43</v>
      </c>
      <c r="J4745" s="0" t="s">
        <v>44</v>
      </c>
      <c r="K4745" s="0" t="s">
        <v>30</v>
      </c>
      <c r="L4745" s="0" t="s">
        <v>31</v>
      </c>
      <c r="M4745" s="0" t="s">
        <v>140</v>
      </c>
      <c r="N4745" s="0" t="n">
        <v>1032</v>
      </c>
      <c r="O4745" s="10" t="n">
        <v>0.0142390222754329</v>
      </c>
      <c r="P4745" s="10" t="n">
        <v>0.790102193132043</v>
      </c>
      <c r="Q4745" s="0" t="str">
        <f aca="false">SUBSTITUTE(SUBSTITUTE($I4745,CHAR(61),""),CHAR(34),"")</f>
        <v>35-49</v>
      </c>
      <c r="R4745" s="0" t="str">
        <f aca="false">IF($D4745&lt;&gt;"","["&amp;$E4745&amp;"]"&amp;"|"&amp;$Q4745&amp;"|"&amp;$K4745&amp;"|"&amp;$G4745&amp;"|"&amp;IF($G4745="TX_CURR_SUBNAT.R","CY2022Q4",$M4745),"")</f>
        <v>[kxuuIFpOXyO]|35-49|Female|PMTCT_STAT_SUBNAT.N.New.Pos.T_1|CY2023Q3</v>
      </c>
    </row>
    <row r="4746" customFormat="false" ht="15" hidden="false" customHeight="false" outlineLevel="0" collapsed="false">
      <c r="D4746" s="0" t="s">
        <v>66</v>
      </c>
      <c r="E4746" s="0" t="s">
        <v>67</v>
      </c>
      <c r="F4746" s="0" t="s">
        <v>68</v>
      </c>
      <c r="G4746" s="0" t="s">
        <v>163</v>
      </c>
      <c r="H4746" s="0" t="s">
        <v>162</v>
      </c>
      <c r="I4746" s="0" t="s">
        <v>38</v>
      </c>
      <c r="J4746" s="0" t="s">
        <v>39</v>
      </c>
      <c r="K4746" s="0" t="s">
        <v>30</v>
      </c>
      <c r="L4746" s="0" t="s">
        <v>31</v>
      </c>
      <c r="M4746" s="0" t="s">
        <v>140</v>
      </c>
      <c r="N4746" s="0" t="n">
        <v>1767</v>
      </c>
      <c r="O4746" s="10" t="n">
        <v>0.483137426432222</v>
      </c>
      <c r="P4746" s="10" t="n">
        <v>0.164609884377569</v>
      </c>
      <c r="Q4746" s="0" t="str">
        <f aca="false">SUBSTITUTE(SUBSTITUTE($I4746,CHAR(61),""),CHAR(34),"")</f>
        <v>15-24</v>
      </c>
      <c r="R4746" s="0" t="str">
        <f aca="false">IF($D4746&lt;&gt;"","["&amp;$E4746&amp;"]"&amp;"|"&amp;$Q4746&amp;"|"&amp;$K4746&amp;"|"&amp;$G4746&amp;"|"&amp;IF($G4746="TX_CURR_SUBNAT.R","CY2022Q4",$M4746),"")</f>
        <v>[ScR9iFKAasW]|15-24|Female|PMTCT_STAT_SUBNAT.N.New.Pos.T_1|CY2023Q3</v>
      </c>
    </row>
    <row r="4747" customFormat="false" ht="15" hidden="false" customHeight="false" outlineLevel="0" collapsed="false">
      <c r="D4747" s="0" t="s">
        <v>66</v>
      </c>
      <c r="E4747" s="0" t="s">
        <v>67</v>
      </c>
      <c r="F4747" s="0" t="s">
        <v>68</v>
      </c>
      <c r="G4747" s="0" t="s">
        <v>163</v>
      </c>
      <c r="H4747" s="0" t="s">
        <v>162</v>
      </c>
      <c r="I4747" s="0" t="s">
        <v>41</v>
      </c>
      <c r="J4747" s="0" t="s">
        <v>42</v>
      </c>
      <c r="K4747" s="0" t="s">
        <v>30</v>
      </c>
      <c r="L4747" s="0" t="s">
        <v>31</v>
      </c>
      <c r="M4747" s="0" t="s">
        <v>140</v>
      </c>
      <c r="N4747" s="0" t="n">
        <v>1885</v>
      </c>
      <c r="O4747" s="10" t="n">
        <v>0.229574381606653</v>
      </c>
      <c r="P4747" s="10" t="n">
        <v>0.164609884377569</v>
      </c>
      <c r="Q4747" s="0" t="str">
        <f aca="false">SUBSTITUTE(SUBSTITUTE($I4747,CHAR(61),""),CHAR(34),"")</f>
        <v>25-34</v>
      </c>
      <c r="R4747" s="0" t="str">
        <f aca="false">IF($D4747&lt;&gt;"","["&amp;$E4747&amp;"]"&amp;"|"&amp;$Q4747&amp;"|"&amp;$K4747&amp;"|"&amp;$G4747&amp;"|"&amp;IF($G4747="TX_CURR_SUBNAT.R","CY2022Q4",$M4747),"")</f>
        <v>[ScR9iFKAasW]|25-34|Female|PMTCT_STAT_SUBNAT.N.New.Pos.T_1|CY2023Q3</v>
      </c>
    </row>
    <row r="4748" customFormat="false" ht="15" hidden="false" customHeight="false" outlineLevel="0" collapsed="false">
      <c r="D4748" s="0" t="s">
        <v>66</v>
      </c>
      <c r="E4748" s="0" t="s">
        <v>67</v>
      </c>
      <c r="F4748" s="0" t="s">
        <v>68</v>
      </c>
      <c r="G4748" s="0" t="s">
        <v>163</v>
      </c>
      <c r="H4748" s="0" t="s">
        <v>162</v>
      </c>
      <c r="I4748" s="0" t="s">
        <v>43</v>
      </c>
      <c r="J4748" s="0" t="s">
        <v>44</v>
      </c>
      <c r="K4748" s="0" t="s">
        <v>30</v>
      </c>
      <c r="L4748" s="0" t="s">
        <v>31</v>
      </c>
      <c r="M4748" s="0" t="s">
        <v>140</v>
      </c>
      <c r="N4748" s="0" t="n">
        <v>1620</v>
      </c>
      <c r="O4748" s="10" t="n">
        <v>0.8745030045975</v>
      </c>
      <c r="P4748" s="10" t="n">
        <v>0.164609884377569</v>
      </c>
      <c r="Q4748" s="0" t="str">
        <f aca="false">SUBSTITUTE(SUBSTITUTE($I4748,CHAR(61),""),CHAR(34),"")</f>
        <v>35-49</v>
      </c>
      <c r="R4748" s="0" t="str">
        <f aca="false">IF($D4748&lt;&gt;"","["&amp;$E4748&amp;"]"&amp;"|"&amp;$Q4748&amp;"|"&amp;$K4748&amp;"|"&amp;$G4748&amp;"|"&amp;IF($G4748="TX_CURR_SUBNAT.R","CY2022Q4",$M4748),"")</f>
        <v>[ScR9iFKAasW]|35-49|Female|PMTCT_STAT_SUBNAT.N.New.Pos.T_1|CY2023Q3</v>
      </c>
    </row>
    <row r="4749" customFormat="false" ht="15" hidden="false" customHeight="false" outlineLevel="0" collapsed="false">
      <c r="D4749" s="0" t="s">
        <v>69</v>
      </c>
      <c r="E4749" s="0" t="s">
        <v>70</v>
      </c>
      <c r="F4749" s="0" t="s">
        <v>71</v>
      </c>
      <c r="G4749" s="0" t="s">
        <v>163</v>
      </c>
      <c r="H4749" s="0" t="s">
        <v>162</v>
      </c>
      <c r="I4749" s="0" t="s">
        <v>38</v>
      </c>
      <c r="J4749" s="0" t="s">
        <v>39</v>
      </c>
      <c r="K4749" s="0" t="s">
        <v>30</v>
      </c>
      <c r="L4749" s="0" t="s">
        <v>31</v>
      </c>
      <c r="M4749" s="0" t="s">
        <v>140</v>
      </c>
      <c r="N4749" s="0" t="n">
        <v>1239</v>
      </c>
      <c r="O4749" s="10" t="n">
        <v>0.908355800667778</v>
      </c>
      <c r="P4749" s="10" t="n">
        <v>0.198817263124511</v>
      </c>
      <c r="Q4749" s="0" t="str">
        <f aca="false">SUBSTITUTE(SUBSTITUTE($I4749,CHAR(61),""),CHAR(34),"")</f>
        <v>15-24</v>
      </c>
      <c r="R4749" s="0" t="str">
        <f aca="false">IF($D4749&lt;&gt;"","["&amp;$E4749&amp;"]"&amp;"|"&amp;$Q4749&amp;"|"&amp;$K4749&amp;"|"&amp;$G4749&amp;"|"&amp;IF($G4749="TX_CURR_SUBNAT.R","CY2022Q4",$M4749),"")</f>
        <v>[PekKUkKHAzY]|15-24|Female|PMTCT_STAT_SUBNAT.N.New.Pos.T_1|CY2023Q3</v>
      </c>
    </row>
    <row r="4750" customFormat="false" ht="15" hidden="false" customHeight="false" outlineLevel="0" collapsed="false">
      <c r="D4750" s="0" t="s">
        <v>69</v>
      </c>
      <c r="E4750" s="0" t="s">
        <v>70</v>
      </c>
      <c r="F4750" s="0" t="s">
        <v>71</v>
      </c>
      <c r="G4750" s="0" t="s">
        <v>163</v>
      </c>
      <c r="H4750" s="0" t="s">
        <v>162</v>
      </c>
      <c r="I4750" s="0" t="s">
        <v>41</v>
      </c>
      <c r="J4750" s="0" t="s">
        <v>42</v>
      </c>
      <c r="K4750" s="0" t="s">
        <v>30</v>
      </c>
      <c r="L4750" s="0" t="s">
        <v>31</v>
      </c>
      <c r="M4750" s="0" t="s">
        <v>140</v>
      </c>
      <c r="N4750" s="0" t="n">
        <v>1295</v>
      </c>
      <c r="O4750" s="10" t="n">
        <v>0.534205789910629</v>
      </c>
      <c r="P4750" s="10" t="n">
        <v>0.198817263124511</v>
      </c>
      <c r="Q4750" s="0" t="str">
        <f aca="false">SUBSTITUTE(SUBSTITUTE($I4750,CHAR(61),""),CHAR(34),"")</f>
        <v>25-34</v>
      </c>
      <c r="R4750" s="0" t="str">
        <f aca="false">IF($D4750&lt;&gt;"","["&amp;$E4750&amp;"]"&amp;"|"&amp;$Q4750&amp;"|"&amp;$K4750&amp;"|"&amp;$G4750&amp;"|"&amp;IF($G4750="TX_CURR_SUBNAT.R","CY2022Q4",$M4750),"")</f>
        <v>[PekKUkKHAzY]|25-34|Female|PMTCT_STAT_SUBNAT.N.New.Pos.T_1|CY2023Q3</v>
      </c>
    </row>
    <row r="4751" customFormat="false" ht="15" hidden="false" customHeight="false" outlineLevel="0" collapsed="false">
      <c r="D4751" s="0" t="s">
        <v>69</v>
      </c>
      <c r="E4751" s="0" t="s">
        <v>70</v>
      </c>
      <c r="F4751" s="0" t="s">
        <v>71</v>
      </c>
      <c r="G4751" s="0" t="s">
        <v>163</v>
      </c>
      <c r="H4751" s="0" t="s">
        <v>162</v>
      </c>
      <c r="I4751" s="0" t="s">
        <v>43</v>
      </c>
      <c r="J4751" s="0" t="s">
        <v>44</v>
      </c>
      <c r="K4751" s="0" t="s">
        <v>30</v>
      </c>
      <c r="L4751" s="0" t="s">
        <v>31</v>
      </c>
      <c r="M4751" s="0" t="s">
        <v>140</v>
      </c>
      <c r="N4751" s="0" t="n">
        <v>739</v>
      </c>
      <c r="O4751" s="10" t="n">
        <v>0.883587387856096</v>
      </c>
      <c r="P4751" s="10" t="n">
        <v>0.198817263124511</v>
      </c>
      <c r="Q4751" s="0" t="str">
        <f aca="false">SUBSTITUTE(SUBSTITUTE($I4751,CHAR(61),""),CHAR(34),"")</f>
        <v>35-49</v>
      </c>
      <c r="R4751" s="0" t="str">
        <f aca="false">IF($D4751&lt;&gt;"","["&amp;$E4751&amp;"]"&amp;"|"&amp;$Q4751&amp;"|"&amp;$K4751&amp;"|"&amp;$G4751&amp;"|"&amp;IF($G4751="TX_CURR_SUBNAT.R","CY2022Q4",$M4751),"")</f>
        <v>[PekKUkKHAzY]|35-49|Female|PMTCT_STAT_SUBNAT.N.New.Pos.T_1|CY2023Q3</v>
      </c>
    </row>
    <row r="4752" customFormat="false" ht="15" hidden="false" customHeight="false" outlineLevel="0" collapsed="false">
      <c r="D4752" s="0" t="s">
        <v>72</v>
      </c>
      <c r="E4752" s="0" t="s">
        <v>73</v>
      </c>
      <c r="F4752" s="0" t="s">
        <v>74</v>
      </c>
      <c r="G4752" s="0" t="s">
        <v>163</v>
      </c>
      <c r="H4752" s="0" t="s">
        <v>162</v>
      </c>
      <c r="I4752" s="0" t="s">
        <v>38</v>
      </c>
      <c r="J4752" s="0" t="s">
        <v>39</v>
      </c>
      <c r="K4752" s="0" t="s">
        <v>30</v>
      </c>
      <c r="L4752" s="0" t="s">
        <v>31</v>
      </c>
      <c r="M4752" s="0" t="s">
        <v>140</v>
      </c>
      <c r="N4752" s="0" t="n">
        <v>1741</v>
      </c>
      <c r="O4752" s="10" t="n">
        <v>0.642687651561573</v>
      </c>
      <c r="P4752" s="10" t="n">
        <v>0.289728706935421</v>
      </c>
      <c r="Q4752" s="0" t="str">
        <f aca="false">SUBSTITUTE(SUBSTITUTE($I4752,CHAR(61),""),CHAR(34),"")</f>
        <v>15-24</v>
      </c>
      <c r="R4752" s="0" t="str">
        <f aca="false">IF($D4752&lt;&gt;"","["&amp;$E4752&amp;"]"&amp;"|"&amp;$Q4752&amp;"|"&amp;$K4752&amp;"|"&amp;$G4752&amp;"|"&amp;IF($G4752="TX_CURR_SUBNAT.R","CY2022Q4",$M4752),"")</f>
        <v>[am530wpaGvr]|15-24|Female|PMTCT_STAT_SUBNAT.N.New.Pos.T_1|CY2023Q3</v>
      </c>
    </row>
    <row r="4753" customFormat="false" ht="15" hidden="false" customHeight="false" outlineLevel="0" collapsed="false">
      <c r="D4753" s="0" t="s">
        <v>72</v>
      </c>
      <c r="E4753" s="0" t="s">
        <v>73</v>
      </c>
      <c r="F4753" s="0" t="s">
        <v>74</v>
      </c>
      <c r="G4753" s="0" t="s">
        <v>163</v>
      </c>
      <c r="H4753" s="0" t="s">
        <v>162</v>
      </c>
      <c r="I4753" s="0" t="s">
        <v>41</v>
      </c>
      <c r="J4753" s="0" t="s">
        <v>42</v>
      </c>
      <c r="K4753" s="0" t="s">
        <v>30</v>
      </c>
      <c r="L4753" s="0" t="s">
        <v>31</v>
      </c>
      <c r="M4753" s="0" t="s">
        <v>140</v>
      </c>
      <c r="N4753" s="0" t="n">
        <v>1777</v>
      </c>
      <c r="O4753" s="10" t="n">
        <v>0.18316799076274</v>
      </c>
      <c r="P4753" s="10" t="n">
        <v>0.289728706935421</v>
      </c>
      <c r="Q4753" s="0" t="str">
        <f aca="false">SUBSTITUTE(SUBSTITUTE($I4753,CHAR(61),""),CHAR(34),"")</f>
        <v>25-34</v>
      </c>
      <c r="R4753" s="0" t="str">
        <f aca="false">IF($D4753&lt;&gt;"","["&amp;$E4753&amp;"]"&amp;"|"&amp;$Q4753&amp;"|"&amp;$K4753&amp;"|"&amp;$G4753&amp;"|"&amp;IF($G4753="TX_CURR_SUBNAT.R","CY2022Q4",$M4753),"")</f>
        <v>[am530wpaGvr]|25-34|Female|PMTCT_STAT_SUBNAT.N.New.Pos.T_1|CY2023Q3</v>
      </c>
    </row>
    <row r="4754" customFormat="false" ht="15" hidden="false" customHeight="false" outlineLevel="0" collapsed="false">
      <c r="D4754" s="0" t="s">
        <v>72</v>
      </c>
      <c r="E4754" s="0" t="s">
        <v>73</v>
      </c>
      <c r="F4754" s="0" t="s">
        <v>74</v>
      </c>
      <c r="G4754" s="0" t="s">
        <v>163</v>
      </c>
      <c r="H4754" s="0" t="s">
        <v>162</v>
      </c>
      <c r="I4754" s="0" t="s">
        <v>43</v>
      </c>
      <c r="J4754" s="0" t="s">
        <v>44</v>
      </c>
      <c r="K4754" s="0" t="s">
        <v>30</v>
      </c>
      <c r="L4754" s="0" t="s">
        <v>31</v>
      </c>
      <c r="M4754" s="0" t="s">
        <v>140</v>
      </c>
      <c r="N4754" s="0" t="n">
        <v>1409</v>
      </c>
      <c r="O4754" s="10" t="n">
        <v>0.946158088510856</v>
      </c>
      <c r="P4754" s="10" t="n">
        <v>0.289728706935421</v>
      </c>
      <c r="Q4754" s="0" t="str">
        <f aca="false">SUBSTITUTE(SUBSTITUTE($I4754,CHAR(61),""),CHAR(34),"")</f>
        <v>35-49</v>
      </c>
      <c r="R4754" s="0" t="str">
        <f aca="false">IF($D4754&lt;&gt;"","["&amp;$E4754&amp;"]"&amp;"|"&amp;$Q4754&amp;"|"&amp;$K4754&amp;"|"&amp;$G4754&amp;"|"&amp;IF($G4754="TX_CURR_SUBNAT.R","CY2022Q4",$M4754),"")</f>
        <v>[am530wpaGvr]|35-49|Female|PMTCT_STAT_SUBNAT.N.New.Pos.T_1|CY2023Q3</v>
      </c>
    </row>
    <row r="4755" customFormat="false" ht="15" hidden="false" customHeight="false" outlineLevel="0" collapsed="false">
      <c r="D4755" s="0" t="s">
        <v>75</v>
      </c>
      <c r="E4755" s="0" t="s">
        <v>76</v>
      </c>
      <c r="F4755" s="0" t="s">
        <v>77</v>
      </c>
      <c r="G4755" s="0" t="s">
        <v>163</v>
      </c>
      <c r="H4755" s="0" t="s">
        <v>162</v>
      </c>
      <c r="I4755" s="0" t="s">
        <v>38</v>
      </c>
      <c r="J4755" s="0" t="s">
        <v>39</v>
      </c>
      <c r="K4755" s="0" t="s">
        <v>30</v>
      </c>
      <c r="L4755" s="0" t="s">
        <v>31</v>
      </c>
      <c r="M4755" s="0" t="s">
        <v>140</v>
      </c>
      <c r="N4755" s="0" t="n">
        <v>1071</v>
      </c>
      <c r="O4755" s="10" t="n">
        <v>0.0408745331224054</v>
      </c>
      <c r="P4755" s="10" t="n">
        <v>0.303055507596582</v>
      </c>
      <c r="Q4755" s="0" t="str">
        <f aca="false">SUBSTITUTE(SUBSTITUTE($I4755,CHAR(61),""),CHAR(34),"")</f>
        <v>15-24</v>
      </c>
      <c r="R4755" s="0" t="str">
        <f aca="false">IF($D4755&lt;&gt;"","["&amp;$E4755&amp;"]"&amp;"|"&amp;$Q4755&amp;"|"&amp;$K4755&amp;"|"&amp;$G4755&amp;"|"&amp;IF($G4755="TX_CURR_SUBNAT.R","CY2022Q4",$M4755),"")</f>
        <v>[lLDyBx5XyUi]|15-24|Female|PMTCT_STAT_SUBNAT.N.New.Pos.T_1|CY2023Q3</v>
      </c>
    </row>
    <row r="4756" customFormat="false" ht="15" hidden="false" customHeight="false" outlineLevel="0" collapsed="false">
      <c r="D4756" s="0" t="s">
        <v>75</v>
      </c>
      <c r="E4756" s="0" t="s">
        <v>76</v>
      </c>
      <c r="F4756" s="0" t="s">
        <v>77</v>
      </c>
      <c r="G4756" s="0" t="s">
        <v>163</v>
      </c>
      <c r="H4756" s="0" t="s">
        <v>162</v>
      </c>
      <c r="I4756" s="0" t="s">
        <v>41</v>
      </c>
      <c r="J4756" s="0" t="s">
        <v>42</v>
      </c>
      <c r="K4756" s="0" t="s">
        <v>30</v>
      </c>
      <c r="L4756" s="0" t="s">
        <v>31</v>
      </c>
      <c r="M4756" s="0" t="s">
        <v>140</v>
      </c>
      <c r="N4756" s="0" t="n">
        <v>1858</v>
      </c>
      <c r="O4756" s="10" t="n">
        <v>0.28708052681759</v>
      </c>
      <c r="P4756" s="10" t="n">
        <v>0.303055507596582</v>
      </c>
      <c r="Q4756" s="0" t="str">
        <f aca="false">SUBSTITUTE(SUBSTITUTE($I4756,CHAR(61),""),CHAR(34),"")</f>
        <v>25-34</v>
      </c>
      <c r="R4756" s="0" t="str">
        <f aca="false">IF($D4756&lt;&gt;"","["&amp;$E4756&amp;"]"&amp;"|"&amp;$Q4756&amp;"|"&amp;$K4756&amp;"|"&amp;$G4756&amp;"|"&amp;IF($G4756="TX_CURR_SUBNAT.R","CY2022Q4",$M4756),"")</f>
        <v>[lLDyBx5XyUi]|25-34|Female|PMTCT_STAT_SUBNAT.N.New.Pos.T_1|CY2023Q3</v>
      </c>
    </row>
    <row r="4757" customFormat="false" ht="15" hidden="false" customHeight="false" outlineLevel="0" collapsed="false">
      <c r="D4757" s="0" t="s">
        <v>75</v>
      </c>
      <c r="E4757" s="0" t="s">
        <v>76</v>
      </c>
      <c r="F4757" s="0" t="s">
        <v>77</v>
      </c>
      <c r="G4757" s="0" t="s">
        <v>163</v>
      </c>
      <c r="H4757" s="0" t="s">
        <v>162</v>
      </c>
      <c r="I4757" s="0" t="s">
        <v>43</v>
      </c>
      <c r="J4757" s="0" t="s">
        <v>44</v>
      </c>
      <c r="K4757" s="0" t="s">
        <v>30</v>
      </c>
      <c r="L4757" s="0" t="s">
        <v>31</v>
      </c>
      <c r="M4757" s="0" t="s">
        <v>140</v>
      </c>
      <c r="N4757" s="0" t="n">
        <v>1903</v>
      </c>
      <c r="O4757" s="10" t="n">
        <v>0.0917461295612156</v>
      </c>
      <c r="P4757" s="10" t="n">
        <v>0.303055507596582</v>
      </c>
      <c r="Q4757" s="0" t="str">
        <f aca="false">SUBSTITUTE(SUBSTITUTE($I4757,CHAR(61),""),CHAR(34),"")</f>
        <v>35-49</v>
      </c>
      <c r="R4757" s="0" t="str">
        <f aca="false">IF($D4757&lt;&gt;"","["&amp;$E4757&amp;"]"&amp;"|"&amp;$Q4757&amp;"|"&amp;$K4757&amp;"|"&amp;$G4757&amp;"|"&amp;IF($G4757="TX_CURR_SUBNAT.R","CY2022Q4",$M4757),"")</f>
        <v>[lLDyBx5XyUi]|35-49|Female|PMTCT_STAT_SUBNAT.N.New.Pos.T_1|CY2023Q3</v>
      </c>
    </row>
    <row r="4758" customFormat="false" ht="15" hidden="false" customHeight="false" outlineLevel="0" collapsed="false">
      <c r="D4758" s="0" t="s">
        <v>78</v>
      </c>
      <c r="E4758" s="0" t="s">
        <v>79</v>
      </c>
      <c r="F4758" s="0" t="s">
        <v>80</v>
      </c>
      <c r="G4758" s="0" t="s">
        <v>163</v>
      </c>
      <c r="H4758" s="0" t="s">
        <v>162</v>
      </c>
      <c r="I4758" s="0" t="s">
        <v>38</v>
      </c>
      <c r="J4758" s="0" t="s">
        <v>39</v>
      </c>
      <c r="K4758" s="0" t="s">
        <v>30</v>
      </c>
      <c r="L4758" s="0" t="s">
        <v>31</v>
      </c>
      <c r="M4758" s="0" t="s">
        <v>140</v>
      </c>
      <c r="N4758" s="0" t="n">
        <v>1443</v>
      </c>
      <c r="O4758" s="10" t="n">
        <v>0.167344462359324</v>
      </c>
      <c r="P4758" s="10" t="n">
        <v>0.831597982207313</v>
      </c>
      <c r="Q4758" s="0" t="str">
        <f aca="false">SUBSTITUTE(SUBSTITUTE($I4758,CHAR(61),""),CHAR(34),"")</f>
        <v>15-24</v>
      </c>
      <c r="R4758" s="0" t="str">
        <f aca="false">IF($D4758&lt;&gt;"","["&amp;$E4758&amp;"]"&amp;"|"&amp;$Q4758&amp;"|"&amp;$K4758&amp;"|"&amp;$G4758&amp;"|"&amp;IF($G4758="TX_CURR_SUBNAT.R","CY2022Q4",$M4758),"")</f>
        <v>[TYnMSwzko3z]|15-24|Female|PMTCT_STAT_SUBNAT.N.New.Pos.T_1|CY2023Q3</v>
      </c>
    </row>
    <row r="4759" customFormat="false" ht="15" hidden="false" customHeight="false" outlineLevel="0" collapsed="false">
      <c r="D4759" s="0" t="s">
        <v>78</v>
      </c>
      <c r="E4759" s="0" t="s">
        <v>79</v>
      </c>
      <c r="F4759" s="0" t="s">
        <v>80</v>
      </c>
      <c r="G4759" s="0" t="s">
        <v>163</v>
      </c>
      <c r="H4759" s="0" t="s">
        <v>162</v>
      </c>
      <c r="I4759" s="0" t="s">
        <v>41</v>
      </c>
      <c r="J4759" s="0" t="s">
        <v>42</v>
      </c>
      <c r="K4759" s="0" t="s">
        <v>30</v>
      </c>
      <c r="L4759" s="0" t="s">
        <v>31</v>
      </c>
      <c r="M4759" s="0" t="s">
        <v>140</v>
      </c>
      <c r="N4759" s="0" t="n">
        <v>1930</v>
      </c>
      <c r="O4759" s="10" t="n">
        <v>0.971781593281776</v>
      </c>
      <c r="P4759" s="10" t="n">
        <v>0.831597982207313</v>
      </c>
      <c r="Q4759" s="0" t="str">
        <f aca="false">SUBSTITUTE(SUBSTITUTE($I4759,CHAR(61),""),CHAR(34),"")</f>
        <v>25-34</v>
      </c>
      <c r="R4759" s="0" t="str">
        <f aca="false">IF($D4759&lt;&gt;"","["&amp;$E4759&amp;"]"&amp;"|"&amp;$Q4759&amp;"|"&amp;$K4759&amp;"|"&amp;$G4759&amp;"|"&amp;IF($G4759="TX_CURR_SUBNAT.R","CY2022Q4",$M4759),"")</f>
        <v>[TYnMSwzko3z]|25-34|Female|PMTCT_STAT_SUBNAT.N.New.Pos.T_1|CY2023Q3</v>
      </c>
    </row>
    <row r="4760" customFormat="false" ht="15" hidden="false" customHeight="false" outlineLevel="0" collapsed="false">
      <c r="D4760" s="0" t="s">
        <v>78</v>
      </c>
      <c r="E4760" s="0" t="s">
        <v>79</v>
      </c>
      <c r="F4760" s="0" t="s">
        <v>80</v>
      </c>
      <c r="G4760" s="0" t="s">
        <v>163</v>
      </c>
      <c r="H4760" s="0" t="s">
        <v>162</v>
      </c>
      <c r="I4760" s="0" t="s">
        <v>43</v>
      </c>
      <c r="J4760" s="0" t="s">
        <v>44</v>
      </c>
      <c r="K4760" s="0" t="s">
        <v>30</v>
      </c>
      <c r="L4760" s="0" t="s">
        <v>31</v>
      </c>
      <c r="M4760" s="0" t="s">
        <v>140</v>
      </c>
      <c r="N4760" s="0" t="n">
        <v>1995</v>
      </c>
      <c r="O4760" s="10" t="n">
        <v>0.557850543409586</v>
      </c>
      <c r="P4760" s="10" t="n">
        <v>0.831597982207313</v>
      </c>
      <c r="Q4760" s="0" t="str">
        <f aca="false">SUBSTITUTE(SUBSTITUTE($I4760,CHAR(61),""),CHAR(34),"")</f>
        <v>35-49</v>
      </c>
      <c r="R4760" s="0" t="str">
        <f aca="false">IF($D4760&lt;&gt;"","["&amp;$E4760&amp;"]"&amp;"|"&amp;$Q4760&amp;"|"&amp;$K4760&amp;"|"&amp;$G4760&amp;"|"&amp;IF($G4760="TX_CURR_SUBNAT.R","CY2022Q4",$M4760),"")</f>
        <v>[TYnMSwzko3z]|35-49|Female|PMTCT_STAT_SUBNAT.N.New.Pos.T_1|CY2023Q3</v>
      </c>
    </row>
    <row r="4761" customFormat="false" ht="15" hidden="false" customHeight="false" outlineLevel="0" collapsed="false">
      <c r="D4761" s="0" t="s">
        <v>81</v>
      </c>
      <c r="E4761" s="0" t="s">
        <v>82</v>
      </c>
      <c r="F4761" s="0" t="s">
        <v>83</v>
      </c>
      <c r="G4761" s="0" t="s">
        <v>163</v>
      </c>
      <c r="H4761" s="0" t="s">
        <v>162</v>
      </c>
      <c r="I4761" s="0" t="s">
        <v>38</v>
      </c>
      <c r="J4761" s="0" t="s">
        <v>39</v>
      </c>
      <c r="K4761" s="0" t="s">
        <v>30</v>
      </c>
      <c r="L4761" s="0" t="s">
        <v>31</v>
      </c>
      <c r="M4761" s="0" t="s">
        <v>140</v>
      </c>
      <c r="N4761" s="0" t="n">
        <v>1070</v>
      </c>
      <c r="O4761" s="10" t="n">
        <v>0.788194156484678</v>
      </c>
      <c r="P4761" s="10" t="n">
        <v>0.143331421539187</v>
      </c>
      <c r="Q4761" s="0" t="str">
        <f aca="false">SUBSTITUTE(SUBSTITUTE($I4761,CHAR(61),""),CHAR(34),"")</f>
        <v>15-24</v>
      </c>
      <c r="R4761" s="0" t="str">
        <f aca="false">IF($D4761&lt;&gt;"","["&amp;$E4761&amp;"]"&amp;"|"&amp;$Q4761&amp;"|"&amp;$K4761&amp;"|"&amp;$G4761&amp;"|"&amp;IF($G4761="TX_CURR_SUBNAT.R","CY2022Q4",$M4761),"")</f>
        <v>[ir8wuHHzoSs]|15-24|Female|PMTCT_STAT_SUBNAT.N.New.Pos.T_1|CY2023Q3</v>
      </c>
    </row>
    <row r="4762" customFormat="false" ht="15" hidden="false" customHeight="false" outlineLevel="0" collapsed="false">
      <c r="D4762" s="0" t="s">
        <v>81</v>
      </c>
      <c r="E4762" s="0" t="s">
        <v>82</v>
      </c>
      <c r="F4762" s="0" t="s">
        <v>83</v>
      </c>
      <c r="G4762" s="0" t="s">
        <v>163</v>
      </c>
      <c r="H4762" s="0" t="s">
        <v>162</v>
      </c>
      <c r="I4762" s="0" t="s">
        <v>41</v>
      </c>
      <c r="J4762" s="0" t="s">
        <v>42</v>
      </c>
      <c r="K4762" s="0" t="s">
        <v>30</v>
      </c>
      <c r="L4762" s="0" t="s">
        <v>31</v>
      </c>
      <c r="M4762" s="0" t="s">
        <v>140</v>
      </c>
      <c r="N4762" s="0" t="n">
        <v>583</v>
      </c>
      <c r="O4762" s="10" t="n">
        <v>0.776193583616987</v>
      </c>
      <c r="P4762" s="10" t="n">
        <v>0.143331421539187</v>
      </c>
      <c r="Q4762" s="0" t="str">
        <f aca="false">SUBSTITUTE(SUBSTITUTE($I4762,CHAR(61),""),CHAR(34),"")</f>
        <v>25-34</v>
      </c>
      <c r="R4762" s="0" t="str">
        <f aca="false">IF($D4762&lt;&gt;"","["&amp;$E4762&amp;"]"&amp;"|"&amp;$Q4762&amp;"|"&amp;$K4762&amp;"|"&amp;$G4762&amp;"|"&amp;IF($G4762="TX_CURR_SUBNAT.R","CY2022Q4",$M4762),"")</f>
        <v>[ir8wuHHzoSs]|25-34|Female|PMTCT_STAT_SUBNAT.N.New.Pos.T_1|CY2023Q3</v>
      </c>
    </row>
    <row r="4763" customFormat="false" ht="15" hidden="false" customHeight="false" outlineLevel="0" collapsed="false">
      <c r="D4763" s="0" t="s">
        <v>81</v>
      </c>
      <c r="E4763" s="0" t="s">
        <v>82</v>
      </c>
      <c r="F4763" s="0" t="s">
        <v>83</v>
      </c>
      <c r="G4763" s="0" t="s">
        <v>163</v>
      </c>
      <c r="H4763" s="0" t="s">
        <v>162</v>
      </c>
      <c r="I4763" s="0" t="s">
        <v>43</v>
      </c>
      <c r="J4763" s="0" t="s">
        <v>44</v>
      </c>
      <c r="K4763" s="0" t="s">
        <v>30</v>
      </c>
      <c r="L4763" s="0" t="s">
        <v>31</v>
      </c>
      <c r="M4763" s="0" t="s">
        <v>140</v>
      </c>
      <c r="N4763" s="0" t="n">
        <v>1340</v>
      </c>
      <c r="O4763" s="10" t="n">
        <v>0.808529581874609</v>
      </c>
      <c r="P4763" s="10" t="n">
        <v>0.143331421539187</v>
      </c>
      <c r="Q4763" s="0" t="str">
        <f aca="false">SUBSTITUTE(SUBSTITUTE($I4763,CHAR(61),""),CHAR(34),"")</f>
        <v>35-49</v>
      </c>
      <c r="R4763" s="0" t="str">
        <f aca="false">IF($D4763&lt;&gt;"","["&amp;$E4763&amp;"]"&amp;"|"&amp;$Q4763&amp;"|"&amp;$K4763&amp;"|"&amp;$G4763&amp;"|"&amp;IF($G4763="TX_CURR_SUBNAT.R","CY2022Q4",$M4763),"")</f>
        <v>[ir8wuHHzoSs]|35-49|Female|PMTCT_STAT_SUBNAT.N.New.Pos.T_1|CY2023Q3</v>
      </c>
    </row>
    <row r="4764" customFormat="false" ht="15" hidden="false" customHeight="false" outlineLevel="0" collapsed="false">
      <c r="D4764" s="0" t="s">
        <v>84</v>
      </c>
      <c r="E4764" s="0" t="s">
        <v>85</v>
      </c>
      <c r="F4764" s="0" t="s">
        <v>86</v>
      </c>
      <c r="G4764" s="0" t="s">
        <v>163</v>
      </c>
      <c r="H4764" s="0" t="s">
        <v>162</v>
      </c>
      <c r="I4764" s="0" t="s">
        <v>38</v>
      </c>
      <c r="J4764" s="0" t="s">
        <v>39</v>
      </c>
      <c r="K4764" s="0" t="s">
        <v>30</v>
      </c>
      <c r="L4764" s="0" t="s">
        <v>31</v>
      </c>
      <c r="M4764" s="0" t="s">
        <v>140</v>
      </c>
      <c r="N4764" s="0" t="n">
        <v>1571</v>
      </c>
      <c r="O4764" s="10" t="n">
        <v>0.414543491788208</v>
      </c>
      <c r="P4764" s="10" t="n">
        <v>0.0297887143678963</v>
      </c>
      <c r="Q4764" s="0" t="str">
        <f aca="false">SUBSTITUTE(SUBSTITUTE($I4764,CHAR(61),""),CHAR(34),"")</f>
        <v>15-24</v>
      </c>
      <c r="R4764" s="0" t="str">
        <f aca="false">IF($D4764&lt;&gt;"","["&amp;$E4764&amp;"]"&amp;"|"&amp;$Q4764&amp;"|"&amp;$K4764&amp;"|"&amp;$G4764&amp;"|"&amp;IF($G4764="TX_CURR_SUBNAT.R","CY2022Q4",$M4764),"")</f>
        <v>[fyEoGEPERdI]|15-24|Female|PMTCT_STAT_SUBNAT.N.New.Pos.T_1|CY2023Q3</v>
      </c>
    </row>
    <row r="4765" customFormat="false" ht="15" hidden="false" customHeight="false" outlineLevel="0" collapsed="false">
      <c r="D4765" s="0" t="s">
        <v>84</v>
      </c>
      <c r="E4765" s="0" t="s">
        <v>85</v>
      </c>
      <c r="F4765" s="0" t="s">
        <v>86</v>
      </c>
      <c r="G4765" s="0" t="s">
        <v>163</v>
      </c>
      <c r="H4765" s="0" t="s">
        <v>162</v>
      </c>
      <c r="I4765" s="0" t="s">
        <v>41</v>
      </c>
      <c r="J4765" s="0" t="s">
        <v>42</v>
      </c>
      <c r="K4765" s="0" t="s">
        <v>30</v>
      </c>
      <c r="L4765" s="0" t="s">
        <v>31</v>
      </c>
      <c r="M4765" s="0" t="s">
        <v>140</v>
      </c>
      <c r="N4765" s="0" t="n">
        <v>1498</v>
      </c>
      <c r="O4765" s="10" t="n">
        <v>0.662186143221334</v>
      </c>
      <c r="P4765" s="10" t="n">
        <v>0.0297887143678963</v>
      </c>
      <c r="Q4765" s="0" t="str">
        <f aca="false">SUBSTITUTE(SUBSTITUTE($I4765,CHAR(61),""),CHAR(34),"")</f>
        <v>25-34</v>
      </c>
      <c r="R4765" s="0" t="str">
        <f aca="false">IF($D4765&lt;&gt;"","["&amp;$E4765&amp;"]"&amp;"|"&amp;$Q4765&amp;"|"&amp;$K4765&amp;"|"&amp;$G4765&amp;"|"&amp;IF($G4765="TX_CURR_SUBNAT.R","CY2022Q4",$M4765),"")</f>
        <v>[fyEoGEPERdI]|25-34|Female|PMTCT_STAT_SUBNAT.N.New.Pos.T_1|CY2023Q3</v>
      </c>
    </row>
    <row r="4766" customFormat="false" ht="15" hidden="false" customHeight="false" outlineLevel="0" collapsed="false">
      <c r="D4766" s="0" t="s">
        <v>84</v>
      </c>
      <c r="E4766" s="0" t="s">
        <v>85</v>
      </c>
      <c r="F4766" s="0" t="s">
        <v>86</v>
      </c>
      <c r="G4766" s="0" t="s">
        <v>163</v>
      </c>
      <c r="H4766" s="0" t="s">
        <v>162</v>
      </c>
      <c r="I4766" s="0" t="s">
        <v>43</v>
      </c>
      <c r="J4766" s="0" t="s">
        <v>44</v>
      </c>
      <c r="K4766" s="0" t="s">
        <v>30</v>
      </c>
      <c r="L4766" s="0" t="s">
        <v>31</v>
      </c>
      <c r="M4766" s="0" t="s">
        <v>140</v>
      </c>
      <c r="N4766" s="0" t="n">
        <v>1388</v>
      </c>
      <c r="O4766" s="10" t="n">
        <v>0.710620719473809</v>
      </c>
      <c r="P4766" s="10" t="n">
        <v>0.0297887143678963</v>
      </c>
      <c r="Q4766" s="0" t="str">
        <f aca="false">SUBSTITUTE(SUBSTITUTE($I4766,CHAR(61),""),CHAR(34),"")</f>
        <v>35-49</v>
      </c>
      <c r="R4766" s="0" t="str">
        <f aca="false">IF($D4766&lt;&gt;"","["&amp;$E4766&amp;"]"&amp;"|"&amp;$Q4766&amp;"|"&amp;$K4766&amp;"|"&amp;$G4766&amp;"|"&amp;IF($G4766="TX_CURR_SUBNAT.R","CY2022Q4",$M4766),"")</f>
        <v>[fyEoGEPERdI]|35-49|Female|PMTCT_STAT_SUBNAT.N.New.Pos.T_1|CY2023Q3</v>
      </c>
    </row>
    <row r="4767" customFormat="false" ht="15" hidden="false" customHeight="false" outlineLevel="0" collapsed="false">
      <c r="D4767" s="0" t="s">
        <v>87</v>
      </c>
      <c r="E4767" s="0" t="s">
        <v>88</v>
      </c>
      <c r="F4767" s="0" t="s">
        <v>89</v>
      </c>
      <c r="G4767" s="0" t="s">
        <v>163</v>
      </c>
      <c r="H4767" s="0" t="s">
        <v>162</v>
      </c>
      <c r="I4767" s="0" t="s">
        <v>38</v>
      </c>
      <c r="J4767" s="0" t="s">
        <v>39</v>
      </c>
      <c r="K4767" s="0" t="s">
        <v>30</v>
      </c>
      <c r="L4767" s="0" t="s">
        <v>31</v>
      </c>
      <c r="M4767" s="0" t="s">
        <v>140</v>
      </c>
      <c r="N4767" s="0" t="n">
        <v>1867</v>
      </c>
      <c r="O4767" s="10" t="n">
        <v>0.353515291353688</v>
      </c>
      <c r="P4767" s="10" t="n">
        <v>0.133336380822584</v>
      </c>
      <c r="Q4767" s="0" t="str">
        <f aca="false">SUBSTITUTE(SUBSTITUTE($I4767,CHAR(61),""),CHAR(34),"")</f>
        <v>15-24</v>
      </c>
      <c r="R4767" s="0" t="str">
        <f aca="false">IF($D4767&lt;&gt;"","["&amp;$E4767&amp;"]"&amp;"|"&amp;$Q4767&amp;"|"&amp;$K4767&amp;"|"&amp;$G4767&amp;"|"&amp;IF($G4767="TX_CURR_SUBNAT.R","CY2022Q4",$M4767),"")</f>
        <v>[cPtvxaZqXIH]|15-24|Female|PMTCT_STAT_SUBNAT.N.New.Pos.T_1|CY2023Q3</v>
      </c>
    </row>
    <row r="4768" customFormat="false" ht="15" hidden="false" customHeight="false" outlineLevel="0" collapsed="false">
      <c r="D4768" s="0" t="s">
        <v>87</v>
      </c>
      <c r="E4768" s="0" t="s">
        <v>88</v>
      </c>
      <c r="F4768" s="0" t="s">
        <v>89</v>
      </c>
      <c r="G4768" s="0" t="s">
        <v>163</v>
      </c>
      <c r="H4768" s="0" t="s">
        <v>162</v>
      </c>
      <c r="I4768" s="0" t="s">
        <v>41</v>
      </c>
      <c r="J4768" s="0" t="s">
        <v>42</v>
      </c>
      <c r="K4768" s="0" t="s">
        <v>30</v>
      </c>
      <c r="L4768" s="0" t="s">
        <v>31</v>
      </c>
      <c r="M4768" s="0" t="s">
        <v>140</v>
      </c>
      <c r="N4768" s="0" t="n">
        <v>1640</v>
      </c>
      <c r="O4768" s="10" t="n">
        <v>0.669349766103551</v>
      </c>
      <c r="P4768" s="10" t="n">
        <v>0.133336380822584</v>
      </c>
      <c r="Q4768" s="0" t="str">
        <f aca="false">SUBSTITUTE(SUBSTITUTE($I4768,CHAR(61),""),CHAR(34),"")</f>
        <v>25-34</v>
      </c>
      <c r="R4768" s="0" t="str">
        <f aca="false">IF($D4768&lt;&gt;"","["&amp;$E4768&amp;"]"&amp;"|"&amp;$Q4768&amp;"|"&amp;$K4768&amp;"|"&amp;$G4768&amp;"|"&amp;IF($G4768="TX_CURR_SUBNAT.R","CY2022Q4",$M4768),"")</f>
        <v>[cPtvxaZqXIH]|25-34|Female|PMTCT_STAT_SUBNAT.N.New.Pos.T_1|CY2023Q3</v>
      </c>
    </row>
    <row r="4769" customFormat="false" ht="15" hidden="false" customHeight="false" outlineLevel="0" collapsed="false">
      <c r="D4769" s="0" t="s">
        <v>87</v>
      </c>
      <c r="E4769" s="0" t="s">
        <v>88</v>
      </c>
      <c r="F4769" s="0" t="s">
        <v>89</v>
      </c>
      <c r="G4769" s="0" t="s">
        <v>163</v>
      </c>
      <c r="H4769" s="0" t="s">
        <v>162</v>
      </c>
      <c r="I4769" s="0" t="s">
        <v>43</v>
      </c>
      <c r="J4769" s="0" t="s">
        <v>44</v>
      </c>
      <c r="K4769" s="0" t="s">
        <v>30</v>
      </c>
      <c r="L4769" s="0" t="s">
        <v>31</v>
      </c>
      <c r="M4769" s="0" t="s">
        <v>140</v>
      </c>
      <c r="N4769" s="0" t="n">
        <v>1287</v>
      </c>
      <c r="O4769" s="10" t="n">
        <v>0.677137892460451</v>
      </c>
      <c r="P4769" s="10" t="n">
        <v>0.133336380822584</v>
      </c>
      <c r="Q4769" s="0" t="str">
        <f aca="false">SUBSTITUTE(SUBSTITUTE($I4769,CHAR(61),""),CHAR(34),"")</f>
        <v>35-49</v>
      </c>
      <c r="R4769" s="0" t="str">
        <f aca="false">IF($D4769&lt;&gt;"","["&amp;$E4769&amp;"]"&amp;"|"&amp;$Q4769&amp;"|"&amp;$K4769&amp;"|"&amp;$G4769&amp;"|"&amp;IF($G4769="TX_CURR_SUBNAT.R","CY2022Q4",$M4769),"")</f>
        <v>[cPtvxaZqXIH]|35-49|Female|PMTCT_STAT_SUBNAT.N.New.Pos.T_1|CY2023Q3</v>
      </c>
    </row>
    <row r="4770" customFormat="false" ht="15" hidden="false" customHeight="false" outlineLevel="0" collapsed="false">
      <c r="D4770" s="0" t="s">
        <v>90</v>
      </c>
      <c r="E4770" s="0" t="s">
        <v>91</v>
      </c>
      <c r="F4770" s="0" t="s">
        <v>92</v>
      </c>
      <c r="G4770" s="0" t="s">
        <v>163</v>
      </c>
      <c r="H4770" s="0" t="s">
        <v>162</v>
      </c>
      <c r="I4770" s="0" t="s">
        <v>38</v>
      </c>
      <c r="J4770" s="0" t="s">
        <v>39</v>
      </c>
      <c r="K4770" s="0" t="s">
        <v>30</v>
      </c>
      <c r="L4770" s="0" t="s">
        <v>31</v>
      </c>
      <c r="M4770" s="0" t="s">
        <v>140</v>
      </c>
      <c r="N4770" s="0" t="n">
        <v>1419</v>
      </c>
      <c r="O4770" s="10" t="n">
        <v>0.880688793491572</v>
      </c>
      <c r="P4770" s="10" t="n">
        <v>0.719914150424302</v>
      </c>
      <c r="Q4770" s="0" t="str">
        <f aca="false">SUBSTITUTE(SUBSTITUTE($I4770,CHAR(61),""),CHAR(34),"")</f>
        <v>15-24</v>
      </c>
      <c r="R4770" s="0" t="str">
        <f aca="false">IF($D4770&lt;&gt;"","["&amp;$E4770&amp;"]"&amp;"|"&amp;$Q4770&amp;"|"&amp;$K4770&amp;"|"&amp;$G4770&amp;"|"&amp;IF($G4770="TX_CURR_SUBNAT.R","CY2022Q4",$M4770),"")</f>
        <v>[AZyWpGzhcaA]|15-24|Female|PMTCT_STAT_SUBNAT.N.New.Pos.T_1|CY2023Q3</v>
      </c>
    </row>
    <row r="4771" customFormat="false" ht="15" hidden="false" customHeight="false" outlineLevel="0" collapsed="false">
      <c r="D4771" s="0" t="s">
        <v>90</v>
      </c>
      <c r="E4771" s="0" t="s">
        <v>91</v>
      </c>
      <c r="F4771" s="0" t="s">
        <v>92</v>
      </c>
      <c r="G4771" s="0" t="s">
        <v>163</v>
      </c>
      <c r="H4771" s="0" t="s">
        <v>162</v>
      </c>
      <c r="I4771" s="0" t="s">
        <v>41</v>
      </c>
      <c r="J4771" s="0" t="s">
        <v>42</v>
      </c>
      <c r="K4771" s="0" t="s">
        <v>30</v>
      </c>
      <c r="L4771" s="0" t="s">
        <v>31</v>
      </c>
      <c r="M4771" s="0" t="s">
        <v>140</v>
      </c>
      <c r="N4771" s="0" t="n">
        <v>1827</v>
      </c>
      <c r="O4771" s="10" t="n">
        <v>0.0679542003199458</v>
      </c>
      <c r="P4771" s="10" t="n">
        <v>0.719914150424302</v>
      </c>
      <c r="Q4771" s="0" t="str">
        <f aca="false">SUBSTITUTE(SUBSTITUTE($I4771,CHAR(61),""),CHAR(34),"")</f>
        <v>25-34</v>
      </c>
      <c r="R4771" s="0" t="str">
        <f aca="false">IF($D4771&lt;&gt;"","["&amp;$E4771&amp;"]"&amp;"|"&amp;$Q4771&amp;"|"&amp;$K4771&amp;"|"&amp;$G4771&amp;"|"&amp;IF($G4771="TX_CURR_SUBNAT.R","CY2022Q4",$M4771),"")</f>
        <v>[AZyWpGzhcaA]|25-34|Female|PMTCT_STAT_SUBNAT.N.New.Pos.T_1|CY2023Q3</v>
      </c>
    </row>
    <row r="4772" customFormat="false" ht="15" hidden="false" customHeight="false" outlineLevel="0" collapsed="false">
      <c r="D4772" s="0" t="s">
        <v>90</v>
      </c>
      <c r="E4772" s="0" t="s">
        <v>91</v>
      </c>
      <c r="F4772" s="0" t="s">
        <v>92</v>
      </c>
      <c r="G4772" s="0" t="s">
        <v>163</v>
      </c>
      <c r="H4772" s="0" t="s">
        <v>162</v>
      </c>
      <c r="I4772" s="0" t="s">
        <v>43</v>
      </c>
      <c r="J4772" s="0" t="s">
        <v>44</v>
      </c>
      <c r="K4772" s="0" t="s">
        <v>30</v>
      </c>
      <c r="L4772" s="0" t="s">
        <v>31</v>
      </c>
      <c r="M4772" s="0" t="s">
        <v>140</v>
      </c>
      <c r="N4772" s="0" t="n">
        <v>542</v>
      </c>
      <c r="O4772" s="10" t="n">
        <v>0.91428054869175</v>
      </c>
      <c r="P4772" s="10" t="n">
        <v>0.719914150424302</v>
      </c>
      <c r="Q4772" s="0" t="str">
        <f aca="false">SUBSTITUTE(SUBSTITUTE($I4772,CHAR(61),""),CHAR(34),"")</f>
        <v>35-49</v>
      </c>
      <c r="R4772" s="0" t="str">
        <f aca="false">IF($D4772&lt;&gt;"","["&amp;$E4772&amp;"]"&amp;"|"&amp;$Q4772&amp;"|"&amp;$K4772&amp;"|"&amp;$G4772&amp;"|"&amp;IF($G4772="TX_CURR_SUBNAT.R","CY2022Q4",$M4772),"")</f>
        <v>[AZyWpGzhcaA]|35-49|Female|PMTCT_STAT_SUBNAT.N.New.Pos.T_1|CY2023Q3</v>
      </c>
    </row>
    <row r="4773" customFormat="false" ht="15" hidden="false" customHeight="false" outlineLevel="0" collapsed="false">
      <c r="D4773" s="0" t="s">
        <v>93</v>
      </c>
      <c r="E4773" s="0" t="s">
        <v>94</v>
      </c>
      <c r="F4773" s="0" t="s">
        <v>95</v>
      </c>
      <c r="G4773" s="0" t="s">
        <v>163</v>
      </c>
      <c r="H4773" s="0" t="s">
        <v>162</v>
      </c>
      <c r="I4773" s="0" t="s">
        <v>38</v>
      </c>
      <c r="J4773" s="0" t="s">
        <v>39</v>
      </c>
      <c r="K4773" s="0" t="s">
        <v>30</v>
      </c>
      <c r="L4773" s="0" t="s">
        <v>31</v>
      </c>
      <c r="M4773" s="0" t="s">
        <v>140</v>
      </c>
      <c r="N4773" s="0" t="n">
        <v>1569</v>
      </c>
      <c r="O4773" s="10" t="n">
        <v>0.153961381176487</v>
      </c>
      <c r="P4773" s="10" t="n">
        <v>0.362272296566516</v>
      </c>
      <c r="Q4773" s="0" t="str">
        <f aca="false">SUBSTITUTE(SUBSTITUTE($I4773,CHAR(61),""),CHAR(34),"")</f>
        <v>15-24</v>
      </c>
      <c r="R4773" s="0" t="str">
        <f aca="false">IF($D4773&lt;&gt;"","["&amp;$E4773&amp;"]"&amp;"|"&amp;$Q4773&amp;"|"&amp;$K4773&amp;"|"&amp;$G4773&amp;"|"&amp;IF($G4773="TX_CURR_SUBNAT.R","CY2022Q4",$M4773),"")</f>
        <v>[umc2n1Z4wNv]|15-24|Female|PMTCT_STAT_SUBNAT.N.New.Pos.T_1|CY2023Q3</v>
      </c>
    </row>
    <row r="4774" customFormat="false" ht="15" hidden="false" customHeight="false" outlineLevel="0" collapsed="false">
      <c r="D4774" s="0" t="s">
        <v>93</v>
      </c>
      <c r="E4774" s="0" t="s">
        <v>94</v>
      </c>
      <c r="F4774" s="0" t="s">
        <v>95</v>
      </c>
      <c r="G4774" s="0" t="s">
        <v>163</v>
      </c>
      <c r="H4774" s="0" t="s">
        <v>162</v>
      </c>
      <c r="I4774" s="0" t="s">
        <v>41</v>
      </c>
      <c r="J4774" s="0" t="s">
        <v>42</v>
      </c>
      <c r="K4774" s="0" t="s">
        <v>30</v>
      </c>
      <c r="L4774" s="0" t="s">
        <v>31</v>
      </c>
      <c r="M4774" s="0" t="s">
        <v>140</v>
      </c>
      <c r="N4774" s="0" t="n">
        <v>619</v>
      </c>
      <c r="O4774" s="10" t="n">
        <v>0.104701197007671</v>
      </c>
      <c r="P4774" s="10" t="n">
        <v>0.362272296566516</v>
      </c>
      <c r="Q4774" s="0" t="str">
        <f aca="false">SUBSTITUTE(SUBSTITUTE($I4774,CHAR(61),""),CHAR(34),"")</f>
        <v>25-34</v>
      </c>
      <c r="R4774" s="0" t="str">
        <f aca="false">IF($D4774&lt;&gt;"","["&amp;$E4774&amp;"]"&amp;"|"&amp;$Q4774&amp;"|"&amp;$K4774&amp;"|"&amp;$G4774&amp;"|"&amp;IF($G4774="TX_CURR_SUBNAT.R","CY2022Q4",$M4774),"")</f>
        <v>[umc2n1Z4wNv]|25-34|Female|PMTCT_STAT_SUBNAT.N.New.Pos.T_1|CY2023Q3</v>
      </c>
    </row>
    <row r="4775" customFormat="false" ht="15" hidden="false" customHeight="false" outlineLevel="0" collapsed="false">
      <c r="D4775" s="0" t="s">
        <v>93</v>
      </c>
      <c r="E4775" s="0" t="s">
        <v>94</v>
      </c>
      <c r="F4775" s="0" t="s">
        <v>95</v>
      </c>
      <c r="G4775" s="0" t="s">
        <v>163</v>
      </c>
      <c r="H4775" s="0" t="s">
        <v>162</v>
      </c>
      <c r="I4775" s="0" t="s">
        <v>43</v>
      </c>
      <c r="J4775" s="0" t="s">
        <v>44</v>
      </c>
      <c r="K4775" s="0" t="s">
        <v>30</v>
      </c>
      <c r="L4775" s="0" t="s">
        <v>31</v>
      </c>
      <c r="M4775" s="0" t="s">
        <v>140</v>
      </c>
      <c r="N4775" s="0" t="n">
        <v>1318</v>
      </c>
      <c r="O4775" s="10" t="n">
        <v>0.466077502584085</v>
      </c>
      <c r="P4775" s="10" t="n">
        <v>0.362272296566516</v>
      </c>
      <c r="Q4775" s="0" t="str">
        <f aca="false">SUBSTITUTE(SUBSTITUTE($I4775,CHAR(61),""),CHAR(34),"")</f>
        <v>35-49</v>
      </c>
      <c r="R4775" s="0" t="str">
        <f aca="false">IF($D4775&lt;&gt;"","["&amp;$E4775&amp;"]"&amp;"|"&amp;$Q4775&amp;"|"&amp;$K4775&amp;"|"&amp;$G4775&amp;"|"&amp;IF($G4775="TX_CURR_SUBNAT.R","CY2022Q4",$M4775),"")</f>
        <v>[umc2n1Z4wNv]|35-49|Female|PMTCT_STAT_SUBNAT.N.New.Pos.T_1|CY2023Q3</v>
      </c>
    </row>
    <row r="4776" customFormat="false" ht="15" hidden="false" customHeight="false" outlineLevel="0" collapsed="false">
      <c r="D4776" s="0" t="s">
        <v>96</v>
      </c>
      <c r="E4776" s="0" t="s">
        <v>97</v>
      </c>
      <c r="F4776" s="0" t="s">
        <v>98</v>
      </c>
      <c r="G4776" s="0" t="s">
        <v>163</v>
      </c>
      <c r="H4776" s="0" t="s">
        <v>162</v>
      </c>
      <c r="I4776" s="0" t="s">
        <v>38</v>
      </c>
      <c r="J4776" s="0" t="s">
        <v>39</v>
      </c>
      <c r="K4776" s="0" t="s">
        <v>30</v>
      </c>
      <c r="L4776" s="0" t="s">
        <v>31</v>
      </c>
      <c r="M4776" s="0" t="s">
        <v>140</v>
      </c>
      <c r="N4776" s="0" t="n">
        <v>1001</v>
      </c>
      <c r="O4776" s="10" t="n">
        <v>0.94936760654673</v>
      </c>
      <c r="P4776" s="10" t="n">
        <v>0.601251717889681</v>
      </c>
      <c r="Q4776" s="0" t="str">
        <f aca="false">SUBSTITUTE(SUBSTITUTE($I4776,CHAR(61),""),CHAR(34),"")</f>
        <v>15-24</v>
      </c>
      <c r="R4776" s="0" t="str">
        <f aca="false">IF($D4776&lt;&gt;"","["&amp;$E4776&amp;"]"&amp;"|"&amp;$Q4776&amp;"|"&amp;$K4776&amp;"|"&amp;$G4776&amp;"|"&amp;IF($G4776="TX_CURR_SUBNAT.R","CY2022Q4",$M4776),"")</f>
        <v>[gwVYinjBAe9]|15-24|Female|PMTCT_STAT_SUBNAT.N.New.Pos.T_1|CY2023Q3</v>
      </c>
    </row>
    <row r="4777" customFormat="false" ht="15" hidden="false" customHeight="false" outlineLevel="0" collapsed="false">
      <c r="D4777" s="0" t="s">
        <v>96</v>
      </c>
      <c r="E4777" s="0" t="s">
        <v>97</v>
      </c>
      <c r="F4777" s="0" t="s">
        <v>98</v>
      </c>
      <c r="G4777" s="0" t="s">
        <v>163</v>
      </c>
      <c r="H4777" s="0" t="s">
        <v>162</v>
      </c>
      <c r="I4777" s="0" t="s">
        <v>41</v>
      </c>
      <c r="J4777" s="0" t="s">
        <v>42</v>
      </c>
      <c r="K4777" s="0" t="s">
        <v>30</v>
      </c>
      <c r="L4777" s="0" t="s">
        <v>31</v>
      </c>
      <c r="M4777" s="0" t="s">
        <v>140</v>
      </c>
      <c r="N4777" s="0" t="n">
        <v>1398</v>
      </c>
      <c r="O4777" s="10" t="n">
        <v>0.331153924111277</v>
      </c>
      <c r="P4777" s="10" t="n">
        <v>0.601251717889681</v>
      </c>
      <c r="Q4777" s="0" t="str">
        <f aca="false">SUBSTITUTE(SUBSTITUTE($I4777,CHAR(61),""),CHAR(34),"")</f>
        <v>25-34</v>
      </c>
      <c r="R4777" s="0" t="str">
        <f aca="false">IF($D4777&lt;&gt;"","["&amp;$E4777&amp;"]"&amp;"|"&amp;$Q4777&amp;"|"&amp;$K4777&amp;"|"&amp;$G4777&amp;"|"&amp;IF($G4777="TX_CURR_SUBNAT.R","CY2022Q4",$M4777),"")</f>
        <v>[gwVYinjBAe9]|25-34|Female|PMTCT_STAT_SUBNAT.N.New.Pos.T_1|CY2023Q3</v>
      </c>
    </row>
    <row r="4778" customFormat="false" ht="15" hidden="false" customHeight="false" outlineLevel="0" collapsed="false">
      <c r="D4778" s="0" t="s">
        <v>96</v>
      </c>
      <c r="E4778" s="0" t="s">
        <v>97</v>
      </c>
      <c r="F4778" s="0" t="s">
        <v>98</v>
      </c>
      <c r="G4778" s="0" t="s">
        <v>163</v>
      </c>
      <c r="H4778" s="0" t="s">
        <v>162</v>
      </c>
      <c r="I4778" s="0" t="s">
        <v>43</v>
      </c>
      <c r="J4778" s="0" t="s">
        <v>44</v>
      </c>
      <c r="K4778" s="0" t="s">
        <v>30</v>
      </c>
      <c r="L4778" s="0" t="s">
        <v>31</v>
      </c>
      <c r="M4778" s="0" t="s">
        <v>140</v>
      </c>
      <c r="N4778" s="0" t="n">
        <v>1475</v>
      </c>
      <c r="O4778" s="10" t="n">
        <v>0.529305267380551</v>
      </c>
      <c r="P4778" s="10" t="n">
        <v>0.601251717889681</v>
      </c>
      <c r="Q4778" s="0" t="str">
        <f aca="false">SUBSTITUTE(SUBSTITUTE($I4778,CHAR(61),""),CHAR(34),"")</f>
        <v>35-49</v>
      </c>
      <c r="R4778" s="0" t="str">
        <f aca="false">IF($D4778&lt;&gt;"","["&amp;$E4778&amp;"]"&amp;"|"&amp;$Q4778&amp;"|"&amp;$K4778&amp;"|"&amp;$G4778&amp;"|"&amp;IF($G4778="TX_CURR_SUBNAT.R","CY2022Q4",$M4778),"")</f>
        <v>[gwVYinjBAe9]|35-49|Female|PMTCT_STAT_SUBNAT.N.New.Pos.T_1|CY2023Q3</v>
      </c>
    </row>
    <row r="4779" customFormat="false" ht="15" hidden="false" customHeight="false" outlineLevel="0" collapsed="false">
      <c r="D4779" s="0" t="s">
        <v>99</v>
      </c>
      <c r="E4779" s="0" t="s">
        <v>100</v>
      </c>
      <c r="F4779" s="0" t="s">
        <v>101</v>
      </c>
      <c r="G4779" s="0" t="s">
        <v>163</v>
      </c>
      <c r="H4779" s="0" t="s">
        <v>162</v>
      </c>
      <c r="I4779" s="0" t="s">
        <v>38</v>
      </c>
      <c r="J4779" s="0" t="s">
        <v>39</v>
      </c>
      <c r="K4779" s="0" t="s">
        <v>30</v>
      </c>
      <c r="L4779" s="0" t="s">
        <v>31</v>
      </c>
      <c r="M4779" s="0" t="s">
        <v>140</v>
      </c>
      <c r="N4779" s="0" t="n">
        <v>669</v>
      </c>
      <c r="O4779" s="10" t="n">
        <v>0.10384756163694</v>
      </c>
      <c r="P4779" s="10" t="n">
        <v>0.577288038097322</v>
      </c>
      <c r="Q4779" s="0" t="str">
        <f aca="false">SUBSTITUTE(SUBSTITUTE($I4779,CHAR(61),""),CHAR(34),"")</f>
        <v>15-24</v>
      </c>
      <c r="R4779" s="0" t="str">
        <f aca="false">IF($D4779&lt;&gt;"","["&amp;$E4779&amp;"]"&amp;"|"&amp;$Q4779&amp;"|"&amp;$K4779&amp;"|"&amp;$G4779&amp;"|"&amp;IF($G4779="TX_CURR_SUBNAT.R","CY2022Q4",$M4779),"")</f>
        <v>[mxqa3CDFmIT]|15-24|Female|PMTCT_STAT_SUBNAT.N.New.Pos.T_1|CY2023Q3</v>
      </c>
    </row>
    <row r="4780" customFormat="false" ht="15" hidden="false" customHeight="false" outlineLevel="0" collapsed="false">
      <c r="D4780" s="0" t="s">
        <v>99</v>
      </c>
      <c r="E4780" s="0" t="s">
        <v>100</v>
      </c>
      <c r="F4780" s="0" t="s">
        <v>101</v>
      </c>
      <c r="G4780" s="0" t="s">
        <v>163</v>
      </c>
      <c r="H4780" s="0" t="s">
        <v>162</v>
      </c>
      <c r="I4780" s="0" t="s">
        <v>41</v>
      </c>
      <c r="J4780" s="0" t="s">
        <v>42</v>
      </c>
      <c r="K4780" s="0" t="s">
        <v>30</v>
      </c>
      <c r="L4780" s="0" t="s">
        <v>31</v>
      </c>
      <c r="M4780" s="0" t="s">
        <v>140</v>
      </c>
      <c r="N4780" s="0" t="n">
        <v>814</v>
      </c>
      <c r="O4780" s="10" t="n">
        <v>0.757108753547072</v>
      </c>
      <c r="P4780" s="10" t="n">
        <v>0.577288038097322</v>
      </c>
      <c r="Q4780" s="0" t="str">
        <f aca="false">SUBSTITUTE(SUBSTITUTE($I4780,CHAR(61),""),CHAR(34),"")</f>
        <v>25-34</v>
      </c>
      <c r="R4780" s="0" t="str">
        <f aca="false">IF($D4780&lt;&gt;"","["&amp;$E4780&amp;"]"&amp;"|"&amp;$Q4780&amp;"|"&amp;$K4780&amp;"|"&amp;$G4780&amp;"|"&amp;IF($G4780="TX_CURR_SUBNAT.R","CY2022Q4",$M4780),"")</f>
        <v>[mxqa3CDFmIT]|25-34|Female|PMTCT_STAT_SUBNAT.N.New.Pos.T_1|CY2023Q3</v>
      </c>
    </row>
    <row r="4781" customFormat="false" ht="15" hidden="false" customHeight="false" outlineLevel="0" collapsed="false">
      <c r="D4781" s="0" t="s">
        <v>99</v>
      </c>
      <c r="E4781" s="0" t="s">
        <v>100</v>
      </c>
      <c r="F4781" s="0" t="s">
        <v>101</v>
      </c>
      <c r="G4781" s="0" t="s">
        <v>163</v>
      </c>
      <c r="H4781" s="0" t="s">
        <v>162</v>
      </c>
      <c r="I4781" s="0" t="s">
        <v>43</v>
      </c>
      <c r="J4781" s="0" t="s">
        <v>44</v>
      </c>
      <c r="K4781" s="0" t="s">
        <v>30</v>
      </c>
      <c r="L4781" s="0" t="s">
        <v>31</v>
      </c>
      <c r="M4781" s="0" t="s">
        <v>140</v>
      </c>
      <c r="N4781" s="0" t="n">
        <v>1569</v>
      </c>
      <c r="O4781" s="10" t="n">
        <v>0.528387110680342</v>
      </c>
      <c r="P4781" s="10" t="n">
        <v>0.577288038097322</v>
      </c>
      <c r="Q4781" s="0" t="str">
        <f aca="false">SUBSTITUTE(SUBSTITUTE($I4781,CHAR(61),""),CHAR(34),"")</f>
        <v>35-49</v>
      </c>
      <c r="R4781" s="0" t="str">
        <f aca="false">IF($D4781&lt;&gt;"","["&amp;$E4781&amp;"]"&amp;"|"&amp;$Q4781&amp;"|"&amp;$K4781&amp;"|"&amp;$G4781&amp;"|"&amp;IF($G4781="TX_CURR_SUBNAT.R","CY2022Q4",$M4781),"")</f>
        <v>[mxqa3CDFmIT]|35-49|Female|PMTCT_STAT_SUBNAT.N.New.Pos.T_1|CY2023Q3</v>
      </c>
    </row>
    <row r="4782" customFormat="false" ht="15" hidden="false" customHeight="false" outlineLevel="0" collapsed="false">
      <c r="D4782" s="0" t="s">
        <v>102</v>
      </c>
      <c r="E4782" s="0" t="s">
        <v>103</v>
      </c>
      <c r="F4782" s="0" t="s">
        <v>104</v>
      </c>
      <c r="G4782" s="0" t="s">
        <v>163</v>
      </c>
      <c r="H4782" s="0" t="s">
        <v>162</v>
      </c>
      <c r="I4782" s="0" t="s">
        <v>38</v>
      </c>
      <c r="J4782" s="0" t="s">
        <v>39</v>
      </c>
      <c r="K4782" s="0" t="s">
        <v>30</v>
      </c>
      <c r="L4782" s="0" t="s">
        <v>31</v>
      </c>
      <c r="M4782" s="0" t="s">
        <v>140</v>
      </c>
      <c r="N4782" s="0" t="n">
        <v>503</v>
      </c>
      <c r="O4782" s="10" t="n">
        <v>0.99264805437997</v>
      </c>
      <c r="P4782" s="10" t="n">
        <v>0.526212359312922</v>
      </c>
      <c r="Q4782" s="0" t="str">
        <f aca="false">SUBSTITUTE(SUBSTITUTE($I4782,CHAR(61),""),CHAR(34),"")</f>
        <v>15-24</v>
      </c>
      <c r="R4782" s="0" t="str">
        <f aca="false">IF($D4782&lt;&gt;"","["&amp;$E4782&amp;"]"&amp;"|"&amp;$Q4782&amp;"|"&amp;$K4782&amp;"|"&amp;$G4782&amp;"|"&amp;IF($G4782="TX_CURR_SUBNAT.R","CY2022Q4",$M4782),"")</f>
        <v>[wNqJp8oRIcF]|15-24|Female|PMTCT_STAT_SUBNAT.N.New.Pos.T_1|CY2023Q3</v>
      </c>
    </row>
    <row r="4783" customFormat="false" ht="15" hidden="false" customHeight="false" outlineLevel="0" collapsed="false">
      <c r="D4783" s="0" t="s">
        <v>102</v>
      </c>
      <c r="E4783" s="0" t="s">
        <v>103</v>
      </c>
      <c r="F4783" s="0" t="s">
        <v>104</v>
      </c>
      <c r="G4783" s="0" t="s">
        <v>163</v>
      </c>
      <c r="H4783" s="0" t="s">
        <v>162</v>
      </c>
      <c r="I4783" s="0" t="s">
        <v>41</v>
      </c>
      <c r="J4783" s="0" t="s">
        <v>42</v>
      </c>
      <c r="K4783" s="0" t="s">
        <v>30</v>
      </c>
      <c r="L4783" s="0" t="s">
        <v>31</v>
      </c>
      <c r="M4783" s="0" t="s">
        <v>140</v>
      </c>
      <c r="N4783" s="0" t="n">
        <v>751</v>
      </c>
      <c r="O4783" s="10" t="n">
        <v>0.296092275995761</v>
      </c>
      <c r="P4783" s="10" t="n">
        <v>0.526212359312922</v>
      </c>
      <c r="Q4783" s="0" t="str">
        <f aca="false">SUBSTITUTE(SUBSTITUTE($I4783,CHAR(61),""),CHAR(34),"")</f>
        <v>25-34</v>
      </c>
      <c r="R4783" s="0" t="str">
        <f aca="false">IF($D4783&lt;&gt;"","["&amp;$E4783&amp;"]"&amp;"|"&amp;$Q4783&amp;"|"&amp;$K4783&amp;"|"&amp;$G4783&amp;"|"&amp;IF($G4783="TX_CURR_SUBNAT.R","CY2022Q4",$M4783),"")</f>
        <v>[wNqJp8oRIcF]|25-34|Female|PMTCT_STAT_SUBNAT.N.New.Pos.T_1|CY2023Q3</v>
      </c>
    </row>
    <row r="4784" customFormat="false" ht="15" hidden="false" customHeight="false" outlineLevel="0" collapsed="false">
      <c r="D4784" s="0" t="s">
        <v>102</v>
      </c>
      <c r="E4784" s="0" t="s">
        <v>103</v>
      </c>
      <c r="F4784" s="0" t="s">
        <v>104</v>
      </c>
      <c r="G4784" s="0" t="s">
        <v>163</v>
      </c>
      <c r="H4784" s="0" t="s">
        <v>162</v>
      </c>
      <c r="I4784" s="0" t="s">
        <v>43</v>
      </c>
      <c r="J4784" s="0" t="s">
        <v>44</v>
      </c>
      <c r="K4784" s="0" t="s">
        <v>30</v>
      </c>
      <c r="L4784" s="0" t="s">
        <v>31</v>
      </c>
      <c r="M4784" s="0" t="s">
        <v>140</v>
      </c>
      <c r="N4784" s="0" t="n">
        <v>1064</v>
      </c>
      <c r="O4784" s="10" t="n">
        <v>0.65912049706094</v>
      </c>
      <c r="P4784" s="10" t="n">
        <v>0.526212359312922</v>
      </c>
      <c r="Q4784" s="0" t="str">
        <f aca="false">SUBSTITUTE(SUBSTITUTE($I4784,CHAR(61),""),CHAR(34),"")</f>
        <v>35-49</v>
      </c>
      <c r="R4784" s="0" t="str">
        <f aca="false">IF($D4784&lt;&gt;"","["&amp;$E4784&amp;"]"&amp;"|"&amp;$Q4784&amp;"|"&amp;$K4784&amp;"|"&amp;$G4784&amp;"|"&amp;IF($G4784="TX_CURR_SUBNAT.R","CY2022Q4",$M4784),"")</f>
        <v>[wNqJp8oRIcF]|35-49|Female|PMTCT_STAT_SUBNAT.N.New.Pos.T_1|CY2023Q3</v>
      </c>
    </row>
    <row r="4785" customFormat="false" ht="15" hidden="false" customHeight="false" outlineLevel="0" collapsed="false">
      <c r="D4785" s="0" t="s">
        <v>105</v>
      </c>
      <c r="E4785" s="0" t="s">
        <v>106</v>
      </c>
      <c r="F4785" s="0" t="s">
        <v>107</v>
      </c>
      <c r="G4785" s="0" t="s">
        <v>163</v>
      </c>
      <c r="H4785" s="0" t="s">
        <v>162</v>
      </c>
      <c r="I4785" s="0" t="s">
        <v>38</v>
      </c>
      <c r="J4785" s="0" t="s">
        <v>39</v>
      </c>
      <c r="K4785" s="0" t="s">
        <v>30</v>
      </c>
      <c r="L4785" s="0" t="s">
        <v>31</v>
      </c>
      <c r="M4785" s="0" t="s">
        <v>140</v>
      </c>
      <c r="N4785" s="0" t="n">
        <v>1149</v>
      </c>
      <c r="O4785" s="10" t="n">
        <v>0.731860677711666</v>
      </c>
      <c r="P4785" s="10" t="n">
        <v>0.218249560333788</v>
      </c>
      <c r="Q4785" s="0" t="str">
        <f aca="false">SUBSTITUTE(SUBSTITUTE($I4785,CHAR(61),""),CHAR(34),"")</f>
        <v>15-24</v>
      </c>
      <c r="R4785" s="0" t="str">
        <f aca="false">IF($D4785&lt;&gt;"","["&amp;$E4785&amp;"]"&amp;"|"&amp;$Q4785&amp;"|"&amp;$K4785&amp;"|"&amp;$G4785&amp;"|"&amp;IF($G4785="TX_CURR_SUBNAT.R","CY2022Q4",$M4785),"")</f>
        <v>[oiPR2CiVJbf]|15-24|Female|PMTCT_STAT_SUBNAT.N.New.Pos.T_1|CY2023Q3</v>
      </c>
    </row>
    <row r="4786" customFormat="false" ht="15" hidden="false" customHeight="false" outlineLevel="0" collapsed="false">
      <c r="D4786" s="0" t="s">
        <v>105</v>
      </c>
      <c r="E4786" s="0" t="s">
        <v>106</v>
      </c>
      <c r="F4786" s="0" t="s">
        <v>107</v>
      </c>
      <c r="G4786" s="0" t="s">
        <v>163</v>
      </c>
      <c r="H4786" s="0" t="s">
        <v>162</v>
      </c>
      <c r="I4786" s="0" t="s">
        <v>41</v>
      </c>
      <c r="J4786" s="0" t="s">
        <v>42</v>
      </c>
      <c r="K4786" s="0" t="s">
        <v>30</v>
      </c>
      <c r="L4786" s="0" t="s">
        <v>31</v>
      </c>
      <c r="M4786" s="0" t="s">
        <v>140</v>
      </c>
      <c r="N4786" s="0" t="n">
        <v>1519</v>
      </c>
      <c r="O4786" s="10" t="n">
        <v>0.54672921448946</v>
      </c>
      <c r="P4786" s="10" t="n">
        <v>0.218249560333788</v>
      </c>
      <c r="Q4786" s="0" t="str">
        <f aca="false">SUBSTITUTE(SUBSTITUTE($I4786,CHAR(61),""),CHAR(34),"")</f>
        <v>25-34</v>
      </c>
      <c r="R4786" s="0" t="str">
        <f aca="false">IF($D4786&lt;&gt;"","["&amp;$E4786&amp;"]"&amp;"|"&amp;$Q4786&amp;"|"&amp;$K4786&amp;"|"&amp;$G4786&amp;"|"&amp;IF($G4786="TX_CURR_SUBNAT.R","CY2022Q4",$M4786),"")</f>
        <v>[oiPR2CiVJbf]|25-34|Female|PMTCT_STAT_SUBNAT.N.New.Pos.T_1|CY2023Q3</v>
      </c>
    </row>
    <row r="4787" customFormat="false" ht="15" hidden="false" customHeight="false" outlineLevel="0" collapsed="false">
      <c r="D4787" s="0" t="s">
        <v>105</v>
      </c>
      <c r="E4787" s="0" t="s">
        <v>106</v>
      </c>
      <c r="F4787" s="0" t="s">
        <v>107</v>
      </c>
      <c r="G4787" s="0" t="s">
        <v>163</v>
      </c>
      <c r="H4787" s="0" t="s">
        <v>162</v>
      </c>
      <c r="I4787" s="0" t="s">
        <v>43</v>
      </c>
      <c r="J4787" s="0" t="s">
        <v>44</v>
      </c>
      <c r="K4787" s="0" t="s">
        <v>30</v>
      </c>
      <c r="L4787" s="0" t="s">
        <v>31</v>
      </c>
      <c r="M4787" s="0" t="s">
        <v>140</v>
      </c>
      <c r="N4787" s="0" t="n">
        <v>1255</v>
      </c>
      <c r="O4787" s="10" t="n">
        <v>0.397377889836207</v>
      </c>
      <c r="P4787" s="10" t="n">
        <v>0.218249560333788</v>
      </c>
      <c r="Q4787" s="0" t="str">
        <f aca="false">SUBSTITUTE(SUBSTITUTE($I4787,CHAR(61),""),CHAR(34),"")</f>
        <v>35-49</v>
      </c>
      <c r="R4787" s="0" t="str">
        <f aca="false">IF($D4787&lt;&gt;"","["&amp;$E4787&amp;"]"&amp;"|"&amp;$Q4787&amp;"|"&amp;$K4787&amp;"|"&amp;$G4787&amp;"|"&amp;IF($G4787="TX_CURR_SUBNAT.R","CY2022Q4",$M4787),"")</f>
        <v>[oiPR2CiVJbf]|35-49|Female|PMTCT_STAT_SUBNAT.N.New.Pos.T_1|CY2023Q3</v>
      </c>
    </row>
    <row r="4788" customFormat="false" ht="15" hidden="false" customHeight="false" outlineLevel="0" collapsed="false">
      <c r="D4788" s="0" t="s">
        <v>108</v>
      </c>
      <c r="E4788" s="0" t="s">
        <v>109</v>
      </c>
      <c r="F4788" s="0" t="s">
        <v>110</v>
      </c>
      <c r="G4788" s="0" t="s">
        <v>163</v>
      </c>
      <c r="H4788" s="0" t="s">
        <v>162</v>
      </c>
      <c r="I4788" s="0" t="s">
        <v>38</v>
      </c>
      <c r="J4788" s="0" t="s">
        <v>39</v>
      </c>
      <c r="K4788" s="0" t="s">
        <v>30</v>
      </c>
      <c r="L4788" s="0" t="s">
        <v>31</v>
      </c>
      <c r="M4788" s="0" t="s">
        <v>140</v>
      </c>
      <c r="N4788" s="0" t="n">
        <v>1258</v>
      </c>
      <c r="O4788" s="10" t="n">
        <v>0.144006241811439</v>
      </c>
      <c r="P4788" s="10" t="n">
        <v>0.434221804374829</v>
      </c>
      <c r="Q4788" s="0" t="str">
        <f aca="false">SUBSTITUTE(SUBSTITUTE($I4788,CHAR(61),""),CHAR(34),"")</f>
        <v>15-24</v>
      </c>
      <c r="R4788" s="0" t="str">
        <f aca="false">IF($D4788&lt;&gt;"","["&amp;$E4788&amp;"]"&amp;"|"&amp;$Q4788&amp;"|"&amp;$K4788&amp;"|"&amp;$G4788&amp;"|"&amp;IF($G4788="TX_CURR_SUBNAT.R","CY2022Q4",$M4788),"")</f>
        <v>[ul0y9diGujK]|15-24|Female|PMTCT_STAT_SUBNAT.N.New.Pos.T_1|CY2023Q3</v>
      </c>
    </row>
    <row r="4789" customFormat="false" ht="15" hidden="false" customHeight="false" outlineLevel="0" collapsed="false">
      <c r="D4789" s="0" t="s">
        <v>108</v>
      </c>
      <c r="E4789" s="0" t="s">
        <v>109</v>
      </c>
      <c r="F4789" s="0" t="s">
        <v>110</v>
      </c>
      <c r="G4789" s="0" t="s">
        <v>163</v>
      </c>
      <c r="H4789" s="0" t="s">
        <v>162</v>
      </c>
      <c r="I4789" s="0" t="s">
        <v>41</v>
      </c>
      <c r="J4789" s="0" t="s">
        <v>42</v>
      </c>
      <c r="K4789" s="0" t="s">
        <v>30</v>
      </c>
      <c r="L4789" s="0" t="s">
        <v>31</v>
      </c>
      <c r="M4789" s="0" t="s">
        <v>140</v>
      </c>
      <c r="N4789" s="0" t="n">
        <v>1891</v>
      </c>
      <c r="O4789" s="10" t="n">
        <v>0.220383052015677</v>
      </c>
      <c r="P4789" s="10" t="n">
        <v>0.434221804374829</v>
      </c>
      <c r="Q4789" s="0" t="str">
        <f aca="false">SUBSTITUTE(SUBSTITUTE($I4789,CHAR(61),""),CHAR(34),"")</f>
        <v>25-34</v>
      </c>
      <c r="R4789" s="0" t="str">
        <f aca="false">IF($D4789&lt;&gt;"","["&amp;$E4789&amp;"]"&amp;"|"&amp;$Q4789&amp;"|"&amp;$K4789&amp;"|"&amp;$G4789&amp;"|"&amp;IF($G4789="TX_CURR_SUBNAT.R","CY2022Q4",$M4789),"")</f>
        <v>[ul0y9diGujK]|25-34|Female|PMTCT_STAT_SUBNAT.N.New.Pos.T_1|CY2023Q3</v>
      </c>
    </row>
    <row r="4790" customFormat="false" ht="15" hidden="false" customHeight="false" outlineLevel="0" collapsed="false">
      <c r="D4790" s="0" t="s">
        <v>108</v>
      </c>
      <c r="E4790" s="0" t="s">
        <v>109</v>
      </c>
      <c r="F4790" s="0" t="s">
        <v>110</v>
      </c>
      <c r="G4790" s="0" t="s">
        <v>163</v>
      </c>
      <c r="H4790" s="0" t="s">
        <v>162</v>
      </c>
      <c r="I4790" s="0" t="s">
        <v>43</v>
      </c>
      <c r="J4790" s="0" t="s">
        <v>44</v>
      </c>
      <c r="K4790" s="0" t="s">
        <v>30</v>
      </c>
      <c r="L4790" s="0" t="s">
        <v>31</v>
      </c>
      <c r="M4790" s="0" t="s">
        <v>140</v>
      </c>
      <c r="N4790" s="0" t="n">
        <v>1354</v>
      </c>
      <c r="O4790" s="10" t="n">
        <v>0.647209209855646</v>
      </c>
      <c r="P4790" s="10" t="n">
        <v>0.434221804374829</v>
      </c>
      <c r="Q4790" s="0" t="str">
        <f aca="false">SUBSTITUTE(SUBSTITUTE($I4790,CHAR(61),""),CHAR(34),"")</f>
        <v>35-49</v>
      </c>
      <c r="R4790" s="0" t="str">
        <f aca="false">IF($D4790&lt;&gt;"","["&amp;$E4790&amp;"]"&amp;"|"&amp;$Q4790&amp;"|"&amp;$K4790&amp;"|"&amp;$G4790&amp;"|"&amp;IF($G4790="TX_CURR_SUBNAT.R","CY2022Q4",$M4790),"")</f>
        <v>[ul0y9diGujK]|35-49|Female|PMTCT_STAT_SUBNAT.N.New.Pos.T_1|CY2023Q3</v>
      </c>
    </row>
    <row r="4791" customFormat="false" ht="15" hidden="false" customHeight="false" outlineLevel="0" collapsed="false">
      <c r="D4791" s="0" t="s">
        <v>111</v>
      </c>
      <c r="E4791" s="0" t="s">
        <v>112</v>
      </c>
      <c r="F4791" s="0" t="s">
        <v>113</v>
      </c>
      <c r="G4791" s="0" t="s">
        <v>163</v>
      </c>
      <c r="H4791" s="0" t="s">
        <v>162</v>
      </c>
      <c r="I4791" s="0" t="s">
        <v>38</v>
      </c>
      <c r="J4791" s="0" t="s">
        <v>39</v>
      </c>
      <c r="K4791" s="0" t="s">
        <v>30</v>
      </c>
      <c r="L4791" s="0" t="s">
        <v>31</v>
      </c>
      <c r="M4791" s="0" t="s">
        <v>140</v>
      </c>
      <c r="N4791" s="0" t="n">
        <v>1430</v>
      </c>
      <c r="O4791" s="10" t="n">
        <v>0.881162549601868</v>
      </c>
      <c r="P4791" s="10" t="n">
        <v>0.337768794968724</v>
      </c>
      <c r="Q4791" s="0" t="str">
        <f aca="false">SUBSTITUTE(SUBSTITUTE($I4791,CHAR(61),""),CHAR(34),"")</f>
        <v>15-24</v>
      </c>
      <c r="R4791" s="0" t="str">
        <f aca="false">IF($D4791&lt;&gt;"","["&amp;$E4791&amp;"]"&amp;"|"&amp;$Q4791&amp;"|"&amp;$K4791&amp;"|"&amp;$G4791&amp;"|"&amp;IF($G4791="TX_CURR_SUBNAT.R","CY2022Q4",$M4791),"")</f>
        <v>[U8c0so51kT6]|15-24|Female|PMTCT_STAT_SUBNAT.N.New.Pos.T_1|CY2023Q3</v>
      </c>
    </row>
    <row r="4792" customFormat="false" ht="15" hidden="false" customHeight="false" outlineLevel="0" collapsed="false">
      <c r="D4792" s="0" t="s">
        <v>111</v>
      </c>
      <c r="E4792" s="0" t="s">
        <v>112</v>
      </c>
      <c r="F4792" s="0" t="s">
        <v>113</v>
      </c>
      <c r="G4792" s="0" t="s">
        <v>163</v>
      </c>
      <c r="H4792" s="0" t="s">
        <v>162</v>
      </c>
      <c r="I4792" s="0" t="s">
        <v>41</v>
      </c>
      <c r="J4792" s="0" t="s">
        <v>42</v>
      </c>
      <c r="K4792" s="0" t="s">
        <v>30</v>
      </c>
      <c r="L4792" s="0" t="s">
        <v>31</v>
      </c>
      <c r="M4792" s="0" t="s">
        <v>140</v>
      </c>
      <c r="N4792" s="0" t="n">
        <v>775</v>
      </c>
      <c r="O4792" s="10" t="n">
        <v>0.904745512874797</v>
      </c>
      <c r="P4792" s="10" t="n">
        <v>0.337768794968724</v>
      </c>
      <c r="Q4792" s="0" t="str">
        <f aca="false">SUBSTITUTE(SUBSTITUTE($I4792,CHAR(61),""),CHAR(34),"")</f>
        <v>25-34</v>
      </c>
      <c r="R4792" s="0" t="str">
        <f aca="false">IF($D4792&lt;&gt;"","["&amp;$E4792&amp;"]"&amp;"|"&amp;$Q4792&amp;"|"&amp;$K4792&amp;"|"&amp;$G4792&amp;"|"&amp;IF($G4792="TX_CURR_SUBNAT.R","CY2022Q4",$M4792),"")</f>
        <v>[U8c0so51kT6]|25-34|Female|PMTCT_STAT_SUBNAT.N.New.Pos.T_1|CY2023Q3</v>
      </c>
    </row>
    <row r="4793" customFormat="false" ht="15" hidden="false" customHeight="false" outlineLevel="0" collapsed="false">
      <c r="D4793" s="0" t="s">
        <v>111</v>
      </c>
      <c r="E4793" s="0" t="s">
        <v>112</v>
      </c>
      <c r="F4793" s="0" t="s">
        <v>113</v>
      </c>
      <c r="G4793" s="0" t="s">
        <v>163</v>
      </c>
      <c r="H4793" s="0" t="s">
        <v>162</v>
      </c>
      <c r="I4793" s="0" t="s">
        <v>43</v>
      </c>
      <c r="J4793" s="0" t="s">
        <v>44</v>
      </c>
      <c r="K4793" s="0" t="s">
        <v>30</v>
      </c>
      <c r="L4793" s="0" t="s">
        <v>31</v>
      </c>
      <c r="M4793" s="0" t="s">
        <v>140</v>
      </c>
      <c r="N4793" s="0" t="n">
        <v>1795</v>
      </c>
      <c r="O4793" s="10" t="n">
        <v>0.487935109762475</v>
      </c>
      <c r="P4793" s="10" t="n">
        <v>0.337768794968724</v>
      </c>
      <c r="Q4793" s="0" t="str">
        <f aca="false">SUBSTITUTE(SUBSTITUTE($I4793,CHAR(61),""),CHAR(34),"")</f>
        <v>35-49</v>
      </c>
      <c r="R4793" s="0" t="str">
        <f aca="false">IF($D4793&lt;&gt;"","["&amp;$E4793&amp;"]"&amp;"|"&amp;$Q4793&amp;"|"&amp;$K4793&amp;"|"&amp;$G4793&amp;"|"&amp;IF($G4793="TX_CURR_SUBNAT.R","CY2022Q4",$M4793),"")</f>
        <v>[U8c0so51kT6]|35-49|Female|PMTCT_STAT_SUBNAT.N.New.Pos.T_1|CY2023Q3</v>
      </c>
    </row>
    <row r="4794" customFormat="false" ht="15" hidden="false" customHeight="false" outlineLevel="0" collapsed="false">
      <c r="D4794" s="0" t="s">
        <v>114</v>
      </c>
      <c r="E4794" s="0" t="s">
        <v>115</v>
      </c>
      <c r="F4794" s="0" t="s">
        <v>116</v>
      </c>
      <c r="G4794" s="0" t="s">
        <v>163</v>
      </c>
      <c r="H4794" s="0" t="s">
        <v>162</v>
      </c>
      <c r="I4794" s="0" t="s">
        <v>38</v>
      </c>
      <c r="J4794" s="0" t="s">
        <v>39</v>
      </c>
      <c r="K4794" s="0" t="s">
        <v>30</v>
      </c>
      <c r="L4794" s="0" t="s">
        <v>31</v>
      </c>
      <c r="M4794" s="0" t="s">
        <v>140</v>
      </c>
      <c r="N4794" s="0" t="n">
        <v>1154</v>
      </c>
      <c r="O4794" s="10" t="n">
        <v>0.277092551579699</v>
      </c>
      <c r="P4794" s="10" t="n">
        <v>0.298559809103608</v>
      </c>
      <c r="Q4794" s="0" t="str">
        <f aca="false">SUBSTITUTE(SUBSTITUTE($I4794,CHAR(61),""),CHAR(34),"")</f>
        <v>15-24</v>
      </c>
      <c r="R4794" s="0" t="str">
        <f aca="false">IF($D4794&lt;&gt;"","["&amp;$E4794&amp;"]"&amp;"|"&amp;$Q4794&amp;"|"&amp;$K4794&amp;"|"&amp;$G4794&amp;"|"&amp;IF($G4794="TX_CURR_SUBNAT.R","CY2022Q4",$M4794),"")</f>
        <v>[rpw540fmNUz]|15-24|Female|PMTCT_STAT_SUBNAT.N.New.Pos.T_1|CY2023Q3</v>
      </c>
    </row>
    <row r="4795" customFormat="false" ht="15" hidden="false" customHeight="false" outlineLevel="0" collapsed="false">
      <c r="D4795" s="0" t="s">
        <v>114</v>
      </c>
      <c r="E4795" s="0" t="s">
        <v>115</v>
      </c>
      <c r="F4795" s="0" t="s">
        <v>116</v>
      </c>
      <c r="G4795" s="0" t="s">
        <v>163</v>
      </c>
      <c r="H4795" s="0" t="s">
        <v>162</v>
      </c>
      <c r="I4795" s="0" t="s">
        <v>41</v>
      </c>
      <c r="J4795" s="0" t="s">
        <v>42</v>
      </c>
      <c r="K4795" s="0" t="s">
        <v>30</v>
      </c>
      <c r="L4795" s="0" t="s">
        <v>31</v>
      </c>
      <c r="M4795" s="0" t="s">
        <v>140</v>
      </c>
      <c r="N4795" s="0" t="n">
        <v>627</v>
      </c>
      <c r="O4795" s="10" t="n">
        <v>0.31328077847138</v>
      </c>
      <c r="P4795" s="10" t="n">
        <v>0.298559809103608</v>
      </c>
      <c r="Q4795" s="0" t="str">
        <f aca="false">SUBSTITUTE(SUBSTITUTE($I4795,CHAR(61),""),CHAR(34),"")</f>
        <v>25-34</v>
      </c>
      <c r="R4795" s="0" t="str">
        <f aca="false">IF($D4795&lt;&gt;"","["&amp;$E4795&amp;"]"&amp;"|"&amp;$Q4795&amp;"|"&amp;$K4795&amp;"|"&amp;$G4795&amp;"|"&amp;IF($G4795="TX_CURR_SUBNAT.R","CY2022Q4",$M4795),"")</f>
        <v>[rpw540fmNUz]|25-34|Female|PMTCT_STAT_SUBNAT.N.New.Pos.T_1|CY2023Q3</v>
      </c>
    </row>
    <row r="4796" customFormat="false" ht="15" hidden="false" customHeight="false" outlineLevel="0" collapsed="false">
      <c r="D4796" s="0" t="s">
        <v>114</v>
      </c>
      <c r="E4796" s="0" t="s">
        <v>115</v>
      </c>
      <c r="F4796" s="0" t="s">
        <v>116</v>
      </c>
      <c r="G4796" s="0" t="s">
        <v>163</v>
      </c>
      <c r="H4796" s="0" t="s">
        <v>162</v>
      </c>
      <c r="I4796" s="0" t="s">
        <v>43</v>
      </c>
      <c r="J4796" s="0" t="s">
        <v>44</v>
      </c>
      <c r="K4796" s="0" t="s">
        <v>30</v>
      </c>
      <c r="L4796" s="0" t="s">
        <v>31</v>
      </c>
      <c r="M4796" s="0" t="s">
        <v>140</v>
      </c>
      <c r="N4796" s="0" t="n">
        <v>1382</v>
      </c>
      <c r="O4796" s="10" t="n">
        <v>0.1279128161259</v>
      </c>
      <c r="P4796" s="10" t="n">
        <v>0.298559809103608</v>
      </c>
      <c r="Q4796" s="0" t="str">
        <f aca="false">SUBSTITUTE(SUBSTITUTE($I4796,CHAR(61),""),CHAR(34),"")</f>
        <v>35-49</v>
      </c>
      <c r="R4796" s="0" t="str">
        <f aca="false">IF($D4796&lt;&gt;"","["&amp;$E4796&amp;"]"&amp;"|"&amp;$Q4796&amp;"|"&amp;$K4796&amp;"|"&amp;$G4796&amp;"|"&amp;IF($G4796="TX_CURR_SUBNAT.R","CY2022Q4",$M4796),"")</f>
        <v>[rpw540fmNUz]|35-49|Female|PMTCT_STAT_SUBNAT.N.New.Pos.T_1|CY2023Q3</v>
      </c>
    </row>
    <row r="4797" customFormat="false" ht="15" hidden="false" customHeight="false" outlineLevel="0" collapsed="false">
      <c r="D4797" s="0" t="s">
        <v>117</v>
      </c>
      <c r="E4797" s="0" t="s">
        <v>118</v>
      </c>
      <c r="F4797" s="0" t="s">
        <v>119</v>
      </c>
      <c r="G4797" s="0" t="s">
        <v>163</v>
      </c>
      <c r="H4797" s="0" t="s">
        <v>162</v>
      </c>
      <c r="I4797" s="0" t="s">
        <v>38</v>
      </c>
      <c r="J4797" s="0" t="s">
        <v>39</v>
      </c>
      <c r="K4797" s="0" t="s">
        <v>30</v>
      </c>
      <c r="L4797" s="0" t="s">
        <v>31</v>
      </c>
      <c r="M4797" s="0" t="s">
        <v>140</v>
      </c>
      <c r="N4797" s="0" t="n">
        <v>1729</v>
      </c>
      <c r="O4797" s="10" t="n">
        <v>0.342369738733396</v>
      </c>
      <c r="P4797" s="10" t="n">
        <v>0.206259709550068</v>
      </c>
      <c r="Q4797" s="0" t="str">
        <f aca="false">SUBSTITUTE(SUBSTITUTE($I4797,CHAR(61),""),CHAR(34),"")</f>
        <v>15-24</v>
      </c>
      <c r="R4797" s="0" t="str">
        <f aca="false">IF($D4797&lt;&gt;"","["&amp;$E4797&amp;"]"&amp;"|"&amp;$Q4797&amp;"|"&amp;$K4797&amp;"|"&amp;$G4797&amp;"|"&amp;IF($G4797="TX_CURR_SUBNAT.R","CY2022Q4",$M4797),"")</f>
        <v>[lPTyjLi4w3d]|15-24|Female|PMTCT_STAT_SUBNAT.N.New.Pos.T_1|CY2023Q3</v>
      </c>
    </row>
    <row r="4798" customFormat="false" ht="15" hidden="false" customHeight="false" outlineLevel="0" collapsed="false">
      <c r="D4798" s="0" t="s">
        <v>117</v>
      </c>
      <c r="E4798" s="0" t="s">
        <v>118</v>
      </c>
      <c r="F4798" s="0" t="s">
        <v>119</v>
      </c>
      <c r="G4798" s="0" t="s">
        <v>163</v>
      </c>
      <c r="H4798" s="0" t="s">
        <v>162</v>
      </c>
      <c r="I4798" s="0" t="s">
        <v>41</v>
      </c>
      <c r="J4798" s="0" t="s">
        <v>42</v>
      </c>
      <c r="K4798" s="0" t="s">
        <v>30</v>
      </c>
      <c r="L4798" s="0" t="s">
        <v>31</v>
      </c>
      <c r="M4798" s="0" t="s">
        <v>140</v>
      </c>
      <c r="N4798" s="0" t="n">
        <v>1780</v>
      </c>
      <c r="O4798" s="10" t="n">
        <v>0.489222222240642</v>
      </c>
      <c r="P4798" s="10" t="n">
        <v>0.206259709550068</v>
      </c>
      <c r="Q4798" s="0" t="str">
        <f aca="false">SUBSTITUTE(SUBSTITUTE($I4798,CHAR(61),""),CHAR(34),"")</f>
        <v>25-34</v>
      </c>
      <c r="R4798" s="0" t="str">
        <f aca="false">IF($D4798&lt;&gt;"","["&amp;$E4798&amp;"]"&amp;"|"&amp;$Q4798&amp;"|"&amp;$K4798&amp;"|"&amp;$G4798&amp;"|"&amp;IF($G4798="TX_CURR_SUBNAT.R","CY2022Q4",$M4798),"")</f>
        <v>[lPTyjLi4w3d]|25-34|Female|PMTCT_STAT_SUBNAT.N.New.Pos.T_1|CY2023Q3</v>
      </c>
    </row>
    <row r="4799" customFormat="false" ht="15" hidden="false" customHeight="false" outlineLevel="0" collapsed="false">
      <c r="D4799" s="0" t="s">
        <v>117</v>
      </c>
      <c r="E4799" s="0" t="s">
        <v>118</v>
      </c>
      <c r="F4799" s="0" t="s">
        <v>119</v>
      </c>
      <c r="G4799" s="0" t="s">
        <v>163</v>
      </c>
      <c r="H4799" s="0" t="s">
        <v>162</v>
      </c>
      <c r="I4799" s="0" t="s">
        <v>43</v>
      </c>
      <c r="J4799" s="0" t="s">
        <v>44</v>
      </c>
      <c r="K4799" s="0" t="s">
        <v>30</v>
      </c>
      <c r="L4799" s="0" t="s">
        <v>31</v>
      </c>
      <c r="M4799" s="0" t="s">
        <v>140</v>
      </c>
      <c r="N4799" s="0" t="n">
        <v>929</v>
      </c>
      <c r="O4799" s="10" t="n">
        <v>0.649708846583962</v>
      </c>
      <c r="P4799" s="10" t="n">
        <v>0.206259709550068</v>
      </c>
      <c r="Q4799" s="0" t="str">
        <f aca="false">SUBSTITUTE(SUBSTITUTE($I4799,CHAR(61),""),CHAR(34),"")</f>
        <v>35-49</v>
      </c>
      <c r="R4799" s="0" t="str">
        <f aca="false">IF($D4799&lt;&gt;"","["&amp;$E4799&amp;"]"&amp;"|"&amp;$Q4799&amp;"|"&amp;$K4799&amp;"|"&amp;$G4799&amp;"|"&amp;IF($G4799="TX_CURR_SUBNAT.R","CY2022Q4",$M4799),"")</f>
        <v>[lPTyjLi4w3d]|35-49|Female|PMTCT_STAT_SUBNAT.N.New.Pos.T_1|CY2023Q3</v>
      </c>
    </row>
    <row r="4800" customFormat="false" ht="15" hidden="false" customHeight="false" outlineLevel="0" collapsed="false">
      <c r="D4800" s="0" t="s">
        <v>120</v>
      </c>
      <c r="E4800" s="0" t="s">
        <v>121</v>
      </c>
      <c r="F4800" s="0" t="s">
        <v>122</v>
      </c>
      <c r="G4800" s="0" t="s">
        <v>163</v>
      </c>
      <c r="H4800" s="0" t="s">
        <v>162</v>
      </c>
      <c r="I4800" s="0" t="s">
        <v>38</v>
      </c>
      <c r="J4800" s="0" t="s">
        <v>39</v>
      </c>
      <c r="K4800" s="0" t="s">
        <v>30</v>
      </c>
      <c r="L4800" s="0" t="s">
        <v>31</v>
      </c>
      <c r="M4800" s="0" t="s">
        <v>140</v>
      </c>
      <c r="N4800" s="0" t="n">
        <v>1215</v>
      </c>
      <c r="O4800" s="10" t="n">
        <v>0.126009850995615</v>
      </c>
      <c r="P4800" s="10" t="n">
        <v>0.430103979306296</v>
      </c>
      <c r="Q4800" s="0" t="str">
        <f aca="false">SUBSTITUTE(SUBSTITUTE($I4800,CHAR(61),""),CHAR(34),"")</f>
        <v>15-24</v>
      </c>
      <c r="R4800" s="0" t="str">
        <f aca="false">IF($D4800&lt;&gt;"","["&amp;$E4800&amp;"]"&amp;"|"&amp;$Q4800&amp;"|"&amp;$K4800&amp;"|"&amp;$G4800&amp;"|"&amp;IF($G4800="TX_CURR_SUBNAT.R","CY2022Q4",$M4800),"")</f>
        <v>[vA4NcHxfMBq]|15-24|Female|PMTCT_STAT_SUBNAT.N.New.Pos.T_1|CY2023Q3</v>
      </c>
    </row>
    <row r="4801" customFormat="false" ht="15" hidden="false" customHeight="false" outlineLevel="0" collapsed="false">
      <c r="D4801" s="0" t="s">
        <v>120</v>
      </c>
      <c r="E4801" s="0" t="s">
        <v>121</v>
      </c>
      <c r="F4801" s="0" t="s">
        <v>122</v>
      </c>
      <c r="G4801" s="0" t="s">
        <v>163</v>
      </c>
      <c r="H4801" s="0" t="s">
        <v>162</v>
      </c>
      <c r="I4801" s="0" t="s">
        <v>41</v>
      </c>
      <c r="J4801" s="0" t="s">
        <v>42</v>
      </c>
      <c r="K4801" s="0" t="s">
        <v>30</v>
      </c>
      <c r="L4801" s="0" t="s">
        <v>31</v>
      </c>
      <c r="M4801" s="0" t="s">
        <v>140</v>
      </c>
      <c r="N4801" s="0" t="n">
        <v>541</v>
      </c>
      <c r="O4801" s="10" t="n">
        <v>0.440064685186371</v>
      </c>
      <c r="P4801" s="10" t="n">
        <v>0.430103979306296</v>
      </c>
      <c r="Q4801" s="0" t="str">
        <f aca="false">SUBSTITUTE(SUBSTITUTE($I4801,CHAR(61),""),CHAR(34),"")</f>
        <v>25-34</v>
      </c>
      <c r="R4801" s="0" t="str">
        <f aca="false">IF($D4801&lt;&gt;"","["&amp;$E4801&amp;"]"&amp;"|"&amp;$Q4801&amp;"|"&amp;$K4801&amp;"|"&amp;$G4801&amp;"|"&amp;IF($G4801="TX_CURR_SUBNAT.R","CY2022Q4",$M4801),"")</f>
        <v>[vA4NcHxfMBq]|25-34|Female|PMTCT_STAT_SUBNAT.N.New.Pos.T_1|CY2023Q3</v>
      </c>
    </row>
    <row r="4802" customFormat="false" ht="15" hidden="false" customHeight="false" outlineLevel="0" collapsed="false">
      <c r="D4802" s="0" t="s">
        <v>120</v>
      </c>
      <c r="E4802" s="0" t="s">
        <v>121</v>
      </c>
      <c r="F4802" s="0" t="s">
        <v>122</v>
      </c>
      <c r="G4802" s="0" t="s">
        <v>163</v>
      </c>
      <c r="H4802" s="0" t="s">
        <v>162</v>
      </c>
      <c r="I4802" s="0" t="s">
        <v>43</v>
      </c>
      <c r="J4802" s="0" t="s">
        <v>44</v>
      </c>
      <c r="K4802" s="0" t="s">
        <v>30</v>
      </c>
      <c r="L4802" s="0" t="s">
        <v>31</v>
      </c>
      <c r="M4802" s="0" t="s">
        <v>140</v>
      </c>
      <c r="N4802" s="0" t="n">
        <v>1600</v>
      </c>
      <c r="O4802" s="10" t="n">
        <v>0.62902076006867</v>
      </c>
      <c r="P4802" s="10" t="n">
        <v>0.430103979306296</v>
      </c>
      <c r="Q4802" s="0" t="str">
        <f aca="false">SUBSTITUTE(SUBSTITUTE($I4802,CHAR(61),""),CHAR(34),"")</f>
        <v>35-49</v>
      </c>
      <c r="R4802" s="0" t="str">
        <f aca="false">IF($D4802&lt;&gt;"","["&amp;$E4802&amp;"]"&amp;"|"&amp;$Q4802&amp;"|"&amp;$K4802&amp;"|"&amp;$G4802&amp;"|"&amp;IF($G4802="TX_CURR_SUBNAT.R","CY2022Q4",$M4802),"")</f>
        <v>[vA4NcHxfMBq]|35-49|Female|PMTCT_STAT_SUBNAT.N.New.Pos.T_1|CY2023Q3</v>
      </c>
    </row>
    <row r="4803" customFormat="false" ht="15" hidden="false" customHeight="false" outlineLevel="0" collapsed="false">
      <c r="D4803" s="0" t="s">
        <v>123</v>
      </c>
      <c r="E4803" s="0" t="s">
        <v>124</v>
      </c>
      <c r="F4803" s="0" t="s">
        <v>125</v>
      </c>
      <c r="G4803" s="0" t="s">
        <v>163</v>
      </c>
      <c r="H4803" s="0" t="s">
        <v>162</v>
      </c>
      <c r="I4803" s="0" t="s">
        <v>38</v>
      </c>
      <c r="J4803" s="0" t="s">
        <v>39</v>
      </c>
      <c r="K4803" s="0" t="s">
        <v>30</v>
      </c>
      <c r="L4803" s="0" t="s">
        <v>31</v>
      </c>
      <c r="M4803" s="0" t="s">
        <v>140</v>
      </c>
      <c r="N4803" s="0" t="n">
        <v>545</v>
      </c>
      <c r="O4803" s="10" t="n">
        <v>0.541455081896856</v>
      </c>
      <c r="P4803" s="10" t="n">
        <v>0.419500603340566</v>
      </c>
      <c r="Q4803" s="0" t="str">
        <f aca="false">SUBSTITUTE(SUBSTITUTE($I4803,CHAR(61),""),CHAR(34),"")</f>
        <v>15-24</v>
      </c>
      <c r="R4803" s="0" t="str">
        <f aca="false">IF($D4803&lt;&gt;"","["&amp;$E4803&amp;"]"&amp;"|"&amp;$Q4803&amp;"|"&amp;$K4803&amp;"|"&amp;$G4803&amp;"|"&amp;IF($G4803="TX_CURR_SUBNAT.R","CY2022Q4",$M4803),"")</f>
        <v>[E7zpfyBt7Tw]|15-24|Female|PMTCT_STAT_SUBNAT.N.New.Pos.T_1|CY2023Q3</v>
      </c>
    </row>
    <row r="4804" customFormat="false" ht="15" hidden="false" customHeight="false" outlineLevel="0" collapsed="false">
      <c r="D4804" s="0" t="s">
        <v>123</v>
      </c>
      <c r="E4804" s="0" t="s">
        <v>124</v>
      </c>
      <c r="F4804" s="0" t="s">
        <v>125</v>
      </c>
      <c r="G4804" s="0" t="s">
        <v>163</v>
      </c>
      <c r="H4804" s="0" t="s">
        <v>162</v>
      </c>
      <c r="I4804" s="0" t="s">
        <v>41</v>
      </c>
      <c r="J4804" s="0" t="s">
        <v>42</v>
      </c>
      <c r="K4804" s="0" t="s">
        <v>30</v>
      </c>
      <c r="L4804" s="0" t="s">
        <v>31</v>
      </c>
      <c r="M4804" s="0" t="s">
        <v>140</v>
      </c>
      <c r="N4804" s="0" t="n">
        <v>1581</v>
      </c>
      <c r="O4804" s="10" t="n">
        <v>0.979872479336336</v>
      </c>
      <c r="P4804" s="10" t="n">
        <v>0.419500603340566</v>
      </c>
      <c r="Q4804" s="0" t="str">
        <f aca="false">SUBSTITUTE(SUBSTITUTE($I4804,CHAR(61),""),CHAR(34),"")</f>
        <v>25-34</v>
      </c>
      <c r="R4804" s="0" t="str">
        <f aca="false">IF($D4804&lt;&gt;"","["&amp;$E4804&amp;"]"&amp;"|"&amp;$Q4804&amp;"|"&amp;$K4804&amp;"|"&amp;$G4804&amp;"|"&amp;IF($G4804="TX_CURR_SUBNAT.R","CY2022Q4",$M4804),"")</f>
        <v>[E7zpfyBt7Tw]|25-34|Female|PMTCT_STAT_SUBNAT.N.New.Pos.T_1|CY2023Q3</v>
      </c>
    </row>
    <row r="4805" customFormat="false" ht="15" hidden="false" customHeight="false" outlineLevel="0" collapsed="false">
      <c r="D4805" s="0" t="s">
        <v>123</v>
      </c>
      <c r="E4805" s="0" t="s">
        <v>124</v>
      </c>
      <c r="F4805" s="0" t="s">
        <v>125</v>
      </c>
      <c r="G4805" s="0" t="s">
        <v>163</v>
      </c>
      <c r="H4805" s="0" t="s">
        <v>162</v>
      </c>
      <c r="I4805" s="0" t="s">
        <v>43</v>
      </c>
      <c r="J4805" s="0" t="s">
        <v>44</v>
      </c>
      <c r="K4805" s="0" t="s">
        <v>30</v>
      </c>
      <c r="L4805" s="0" t="s">
        <v>31</v>
      </c>
      <c r="M4805" s="0" t="s">
        <v>140</v>
      </c>
      <c r="N4805" s="0" t="n">
        <v>1745</v>
      </c>
      <c r="O4805" s="10" t="n">
        <v>0.0901917631272227</v>
      </c>
      <c r="P4805" s="10" t="n">
        <v>0.419500603340566</v>
      </c>
      <c r="Q4805" s="0" t="str">
        <f aca="false">SUBSTITUTE(SUBSTITUTE($I4805,CHAR(61),""),CHAR(34),"")</f>
        <v>35-49</v>
      </c>
      <c r="R4805" s="0" t="str">
        <f aca="false">IF($D4805&lt;&gt;"","["&amp;$E4805&amp;"]"&amp;"|"&amp;$Q4805&amp;"|"&amp;$K4805&amp;"|"&amp;$G4805&amp;"|"&amp;IF($G4805="TX_CURR_SUBNAT.R","CY2022Q4",$M4805),"")</f>
        <v>[E7zpfyBt7Tw]|35-49|Female|PMTCT_STAT_SUBNAT.N.New.Pos.T_1|CY2023Q3</v>
      </c>
    </row>
    <row r="4806" customFormat="false" ht="15" hidden="false" customHeight="false" outlineLevel="0" collapsed="false">
      <c r="D4806" s="0" t="s">
        <v>126</v>
      </c>
      <c r="E4806" s="0" t="s">
        <v>127</v>
      </c>
      <c r="F4806" s="0" t="s">
        <v>128</v>
      </c>
      <c r="G4806" s="0" t="s">
        <v>163</v>
      </c>
      <c r="H4806" s="0" t="s">
        <v>162</v>
      </c>
      <c r="I4806" s="0" t="s">
        <v>38</v>
      </c>
      <c r="J4806" s="0" t="s">
        <v>39</v>
      </c>
      <c r="K4806" s="0" t="s">
        <v>30</v>
      </c>
      <c r="L4806" s="0" t="s">
        <v>31</v>
      </c>
      <c r="M4806" s="0" t="s">
        <v>140</v>
      </c>
      <c r="N4806" s="0" t="n">
        <v>1079</v>
      </c>
      <c r="O4806" s="10" t="n">
        <v>0.369061005068943</v>
      </c>
      <c r="P4806" s="10" t="n">
        <v>0.252706390339881</v>
      </c>
      <c r="Q4806" s="0" t="str">
        <f aca="false">SUBSTITUTE(SUBSTITUTE($I4806,CHAR(61),""),CHAR(34),"")</f>
        <v>15-24</v>
      </c>
      <c r="R4806" s="0" t="str">
        <f aca="false">IF($D4806&lt;&gt;"","["&amp;$E4806&amp;"]"&amp;"|"&amp;$Q4806&amp;"|"&amp;$K4806&amp;"|"&amp;$G4806&amp;"|"&amp;IF($G4806="TX_CURR_SUBNAT.R","CY2022Q4",$M4806),"")</f>
        <v>[ZCjuwgaMB9u]|15-24|Female|PMTCT_STAT_SUBNAT.N.New.Pos.T_1|CY2023Q3</v>
      </c>
    </row>
    <row r="4807" customFormat="false" ht="15" hidden="false" customHeight="false" outlineLevel="0" collapsed="false">
      <c r="D4807" s="0" t="s">
        <v>126</v>
      </c>
      <c r="E4807" s="0" t="s">
        <v>127</v>
      </c>
      <c r="F4807" s="0" t="s">
        <v>128</v>
      </c>
      <c r="G4807" s="0" t="s">
        <v>163</v>
      </c>
      <c r="H4807" s="0" t="s">
        <v>162</v>
      </c>
      <c r="I4807" s="0" t="s">
        <v>41</v>
      </c>
      <c r="J4807" s="0" t="s">
        <v>42</v>
      </c>
      <c r="K4807" s="0" t="s">
        <v>30</v>
      </c>
      <c r="L4807" s="0" t="s">
        <v>31</v>
      </c>
      <c r="M4807" s="0" t="s">
        <v>140</v>
      </c>
      <c r="N4807" s="0" t="n">
        <v>1667</v>
      </c>
      <c r="O4807" s="10" t="n">
        <v>0.868883435381576</v>
      </c>
      <c r="P4807" s="10" t="n">
        <v>0.252706390339881</v>
      </c>
      <c r="Q4807" s="0" t="str">
        <f aca="false">SUBSTITUTE(SUBSTITUTE($I4807,CHAR(61),""),CHAR(34),"")</f>
        <v>25-34</v>
      </c>
      <c r="R4807" s="0" t="str">
        <f aca="false">IF($D4807&lt;&gt;"","["&amp;$E4807&amp;"]"&amp;"|"&amp;$Q4807&amp;"|"&amp;$K4807&amp;"|"&amp;$G4807&amp;"|"&amp;IF($G4807="TX_CURR_SUBNAT.R","CY2022Q4",$M4807),"")</f>
        <v>[ZCjuwgaMB9u]|25-34|Female|PMTCT_STAT_SUBNAT.N.New.Pos.T_1|CY2023Q3</v>
      </c>
    </row>
    <row r="4808" customFormat="false" ht="15" hidden="false" customHeight="false" outlineLevel="0" collapsed="false">
      <c r="D4808" s="0" t="s">
        <v>126</v>
      </c>
      <c r="E4808" s="0" t="s">
        <v>127</v>
      </c>
      <c r="F4808" s="0" t="s">
        <v>128</v>
      </c>
      <c r="G4808" s="0" t="s">
        <v>163</v>
      </c>
      <c r="H4808" s="0" t="s">
        <v>162</v>
      </c>
      <c r="I4808" s="0" t="s">
        <v>43</v>
      </c>
      <c r="J4808" s="0" t="s">
        <v>44</v>
      </c>
      <c r="K4808" s="0" t="s">
        <v>30</v>
      </c>
      <c r="L4808" s="0" t="s">
        <v>31</v>
      </c>
      <c r="M4808" s="0" t="s">
        <v>140</v>
      </c>
      <c r="N4808" s="0" t="n">
        <v>835</v>
      </c>
      <c r="O4808" s="10" t="n">
        <v>0.396456260466948</v>
      </c>
      <c r="P4808" s="10" t="n">
        <v>0.252706390339881</v>
      </c>
      <c r="Q4808" s="0" t="str">
        <f aca="false">SUBSTITUTE(SUBSTITUTE($I4808,CHAR(61),""),CHAR(34),"")</f>
        <v>35-49</v>
      </c>
      <c r="R4808" s="0" t="str">
        <f aca="false">IF($D4808&lt;&gt;"","["&amp;$E4808&amp;"]"&amp;"|"&amp;$Q4808&amp;"|"&amp;$K4808&amp;"|"&amp;$G4808&amp;"|"&amp;IF($G4808="TX_CURR_SUBNAT.R","CY2022Q4",$M4808),"")</f>
        <v>[ZCjuwgaMB9u]|35-49|Female|PMTCT_STAT_SUBNAT.N.New.Pos.T_1|CY2023Q3</v>
      </c>
    </row>
    <row r="4809" customFormat="false" ht="15" hidden="false" customHeight="false" outlineLevel="0" collapsed="false">
      <c r="D4809" s="0" t="s">
        <v>129</v>
      </c>
      <c r="E4809" s="0" t="s">
        <v>130</v>
      </c>
      <c r="F4809" s="0" t="s">
        <v>131</v>
      </c>
      <c r="G4809" s="0" t="s">
        <v>163</v>
      </c>
      <c r="H4809" s="0" t="s">
        <v>162</v>
      </c>
      <c r="I4809" s="0" t="s">
        <v>38</v>
      </c>
      <c r="J4809" s="0" t="s">
        <v>39</v>
      </c>
      <c r="K4809" s="0" t="s">
        <v>30</v>
      </c>
      <c r="L4809" s="0" t="s">
        <v>31</v>
      </c>
      <c r="M4809" s="0" t="s">
        <v>140</v>
      </c>
      <c r="N4809" s="0" t="n">
        <v>1721</v>
      </c>
      <c r="O4809" s="10" t="n">
        <v>0.916739211417735</v>
      </c>
      <c r="P4809" s="10" t="n">
        <v>0.556908084778115</v>
      </c>
      <c r="Q4809" s="0" t="str">
        <f aca="false">SUBSTITUTE(SUBSTITUTE($I4809,CHAR(61),""),CHAR(34),"")</f>
        <v>15-24</v>
      </c>
      <c r="R4809" s="0" t="str">
        <f aca="false">IF($D4809&lt;&gt;"","["&amp;$E4809&amp;"]"&amp;"|"&amp;$Q4809&amp;"|"&amp;$K4809&amp;"|"&amp;$G4809&amp;"|"&amp;IF($G4809="TX_CURR_SUBNAT.R","CY2022Q4",$M4809),"")</f>
        <v>[YCKiBAp8QAg]|15-24|Female|PMTCT_STAT_SUBNAT.N.New.Pos.T_1|CY2023Q3</v>
      </c>
    </row>
    <row r="4810" customFormat="false" ht="15" hidden="false" customHeight="false" outlineLevel="0" collapsed="false">
      <c r="D4810" s="0" t="s">
        <v>129</v>
      </c>
      <c r="E4810" s="0" t="s">
        <v>130</v>
      </c>
      <c r="F4810" s="0" t="s">
        <v>131</v>
      </c>
      <c r="G4810" s="0" t="s">
        <v>163</v>
      </c>
      <c r="H4810" s="0" t="s">
        <v>162</v>
      </c>
      <c r="I4810" s="0" t="s">
        <v>41</v>
      </c>
      <c r="J4810" s="0" t="s">
        <v>42</v>
      </c>
      <c r="K4810" s="0" t="s">
        <v>30</v>
      </c>
      <c r="L4810" s="0" t="s">
        <v>31</v>
      </c>
      <c r="M4810" s="0" t="s">
        <v>140</v>
      </c>
      <c r="N4810" s="0" t="n">
        <v>1847</v>
      </c>
      <c r="O4810" s="10" t="n">
        <v>0.747475357260555</v>
      </c>
      <c r="P4810" s="10" t="n">
        <v>0.556908084778115</v>
      </c>
      <c r="Q4810" s="0" t="str">
        <f aca="false">SUBSTITUTE(SUBSTITUTE($I4810,CHAR(61),""),CHAR(34),"")</f>
        <v>25-34</v>
      </c>
      <c r="R4810" s="0" t="str">
        <f aca="false">IF($D4810&lt;&gt;"","["&amp;$E4810&amp;"]"&amp;"|"&amp;$Q4810&amp;"|"&amp;$K4810&amp;"|"&amp;$G4810&amp;"|"&amp;IF($G4810="TX_CURR_SUBNAT.R","CY2022Q4",$M4810),"")</f>
        <v>[YCKiBAp8QAg]|25-34|Female|PMTCT_STAT_SUBNAT.N.New.Pos.T_1|CY2023Q3</v>
      </c>
    </row>
    <row r="4811" customFormat="false" ht="15" hidden="false" customHeight="false" outlineLevel="0" collapsed="false">
      <c r="D4811" s="0" t="s">
        <v>129</v>
      </c>
      <c r="E4811" s="0" t="s">
        <v>130</v>
      </c>
      <c r="F4811" s="0" t="s">
        <v>131</v>
      </c>
      <c r="G4811" s="0" t="s">
        <v>163</v>
      </c>
      <c r="H4811" s="0" t="s">
        <v>162</v>
      </c>
      <c r="I4811" s="0" t="s">
        <v>43</v>
      </c>
      <c r="J4811" s="0" t="s">
        <v>44</v>
      </c>
      <c r="K4811" s="0" t="s">
        <v>30</v>
      </c>
      <c r="L4811" s="0" t="s">
        <v>31</v>
      </c>
      <c r="M4811" s="0" t="s">
        <v>140</v>
      </c>
      <c r="N4811" s="0" t="n">
        <v>802</v>
      </c>
      <c r="O4811" s="10" t="n">
        <v>0.162395988358185</v>
      </c>
      <c r="P4811" s="10" t="n">
        <v>0.556908084778115</v>
      </c>
      <c r="Q4811" s="0" t="str">
        <f aca="false">SUBSTITUTE(SUBSTITUTE($I4811,CHAR(61),""),CHAR(34),"")</f>
        <v>35-49</v>
      </c>
      <c r="R4811" s="0" t="str">
        <f aca="false">IF($D4811&lt;&gt;"","["&amp;$E4811&amp;"]"&amp;"|"&amp;$Q4811&amp;"|"&amp;$K4811&amp;"|"&amp;$G4811&amp;"|"&amp;IF($G4811="TX_CURR_SUBNAT.R","CY2022Q4",$M4811),"")</f>
        <v>[YCKiBAp8QAg]|35-49|Female|PMTCT_STAT_SUBNAT.N.New.Pos.T_1|CY2023Q3</v>
      </c>
    </row>
    <row r="4812" customFormat="false" ht="15" hidden="false" customHeight="false" outlineLevel="0" collapsed="false">
      <c r="D4812" s="0" t="s">
        <v>132</v>
      </c>
      <c r="E4812" s="0" t="s">
        <v>133</v>
      </c>
      <c r="F4812" s="0" t="s">
        <v>134</v>
      </c>
      <c r="G4812" s="0" t="s">
        <v>163</v>
      </c>
      <c r="H4812" s="0" t="s">
        <v>162</v>
      </c>
      <c r="I4812" s="0" t="s">
        <v>38</v>
      </c>
      <c r="J4812" s="0" t="s">
        <v>39</v>
      </c>
      <c r="K4812" s="0" t="s">
        <v>30</v>
      </c>
      <c r="L4812" s="0" t="s">
        <v>31</v>
      </c>
      <c r="M4812" s="0" t="s">
        <v>140</v>
      </c>
      <c r="N4812" s="0" t="n">
        <v>687</v>
      </c>
      <c r="O4812" s="10" t="n">
        <v>0.130855402676389</v>
      </c>
      <c r="P4812" s="10" t="n">
        <v>0.162863194011152</v>
      </c>
      <c r="Q4812" s="0" t="str">
        <f aca="false">SUBSTITUTE(SUBSTITUTE($I4812,CHAR(61),""),CHAR(34),"")</f>
        <v>15-24</v>
      </c>
      <c r="R4812" s="0" t="str">
        <f aca="false">IF($D4812&lt;&gt;"","["&amp;$E4812&amp;"]"&amp;"|"&amp;$Q4812&amp;"|"&amp;$K4812&amp;"|"&amp;$G4812&amp;"|"&amp;IF($G4812="TX_CURR_SUBNAT.R","CY2022Q4",$M4812),"")</f>
        <v>[JQKLKuVuY61]|15-24|Female|PMTCT_STAT_SUBNAT.N.New.Pos.T_1|CY2023Q3</v>
      </c>
    </row>
    <row r="4813" customFormat="false" ht="15" hidden="false" customHeight="false" outlineLevel="0" collapsed="false">
      <c r="D4813" s="0" t="s">
        <v>132</v>
      </c>
      <c r="E4813" s="0" t="s">
        <v>133</v>
      </c>
      <c r="F4813" s="0" t="s">
        <v>134</v>
      </c>
      <c r="G4813" s="0" t="s">
        <v>163</v>
      </c>
      <c r="H4813" s="0" t="s">
        <v>162</v>
      </c>
      <c r="I4813" s="0" t="s">
        <v>41</v>
      </c>
      <c r="J4813" s="0" t="s">
        <v>42</v>
      </c>
      <c r="K4813" s="0" t="s">
        <v>30</v>
      </c>
      <c r="L4813" s="0" t="s">
        <v>31</v>
      </c>
      <c r="M4813" s="0" t="s">
        <v>140</v>
      </c>
      <c r="N4813" s="0" t="n">
        <v>770</v>
      </c>
      <c r="O4813" s="10" t="n">
        <v>0.363993314793333</v>
      </c>
      <c r="P4813" s="10" t="n">
        <v>0.162863194011152</v>
      </c>
      <c r="Q4813" s="0" t="str">
        <f aca="false">SUBSTITUTE(SUBSTITUTE($I4813,CHAR(61),""),CHAR(34),"")</f>
        <v>25-34</v>
      </c>
      <c r="R4813" s="0" t="str">
        <f aca="false">IF($D4813&lt;&gt;"","["&amp;$E4813&amp;"]"&amp;"|"&amp;$Q4813&amp;"|"&amp;$K4813&amp;"|"&amp;$G4813&amp;"|"&amp;IF($G4813="TX_CURR_SUBNAT.R","CY2022Q4",$M4813),"")</f>
        <v>[JQKLKuVuY61]|25-34|Female|PMTCT_STAT_SUBNAT.N.New.Pos.T_1|CY2023Q3</v>
      </c>
    </row>
    <row r="4814" customFormat="false" ht="15" hidden="false" customHeight="false" outlineLevel="0" collapsed="false">
      <c r="D4814" s="0" t="s">
        <v>132</v>
      </c>
      <c r="E4814" s="0" t="s">
        <v>133</v>
      </c>
      <c r="F4814" s="0" t="s">
        <v>134</v>
      </c>
      <c r="G4814" s="0" t="s">
        <v>163</v>
      </c>
      <c r="H4814" s="0" t="s">
        <v>162</v>
      </c>
      <c r="I4814" s="0" t="s">
        <v>43</v>
      </c>
      <c r="J4814" s="0" t="s">
        <v>44</v>
      </c>
      <c r="K4814" s="0" t="s">
        <v>30</v>
      </c>
      <c r="L4814" s="0" t="s">
        <v>31</v>
      </c>
      <c r="M4814" s="0" t="s">
        <v>140</v>
      </c>
      <c r="N4814" s="0" t="n">
        <v>1857</v>
      </c>
      <c r="O4814" s="10" t="n">
        <v>0.492446199059486</v>
      </c>
      <c r="P4814" s="10" t="n">
        <v>0.162863194011152</v>
      </c>
      <c r="Q4814" s="0" t="str">
        <f aca="false">SUBSTITUTE(SUBSTITUTE($I4814,CHAR(61),""),CHAR(34),"")</f>
        <v>35-49</v>
      </c>
      <c r="R4814" s="0" t="str">
        <f aca="false">IF($D4814&lt;&gt;"","["&amp;$E4814&amp;"]"&amp;"|"&amp;$Q4814&amp;"|"&amp;$K4814&amp;"|"&amp;$G4814&amp;"|"&amp;IF($G4814="TX_CURR_SUBNAT.R","CY2022Q4",$M4814),"")</f>
        <v>[JQKLKuVuY61]|35-49|Female|PMTCT_STAT_SUBNAT.N.New.Pos.T_1|CY2023Q3</v>
      </c>
    </row>
    <row r="4815" customFormat="false" ht="15" hidden="false" customHeight="false" outlineLevel="0" collapsed="false">
      <c r="D4815" s="0" t="s">
        <v>135</v>
      </c>
      <c r="E4815" s="0" t="s">
        <v>136</v>
      </c>
      <c r="F4815" s="0" t="s">
        <v>137</v>
      </c>
      <c r="G4815" s="0" t="s">
        <v>163</v>
      </c>
      <c r="H4815" s="0" t="s">
        <v>162</v>
      </c>
      <c r="I4815" s="0" t="s">
        <v>38</v>
      </c>
      <c r="J4815" s="0" t="s">
        <v>39</v>
      </c>
      <c r="K4815" s="0" t="s">
        <v>30</v>
      </c>
      <c r="L4815" s="0" t="s">
        <v>31</v>
      </c>
      <c r="M4815" s="0" t="s">
        <v>140</v>
      </c>
      <c r="N4815" s="0" t="n">
        <v>703</v>
      </c>
      <c r="O4815" s="10" t="n">
        <v>0.130859623663127</v>
      </c>
      <c r="P4815" s="10" t="n">
        <v>0.955300528323278</v>
      </c>
      <c r="Q4815" s="0" t="str">
        <f aca="false">SUBSTITUTE(SUBSTITUTE($I4815,CHAR(61),""),CHAR(34),"")</f>
        <v>15-24</v>
      </c>
      <c r="R4815" s="0" t="str">
        <f aca="false">IF($D4815&lt;&gt;"","["&amp;$E4815&amp;"]"&amp;"|"&amp;$Q4815&amp;"|"&amp;$K4815&amp;"|"&amp;$G4815&amp;"|"&amp;IF($G4815="TX_CURR_SUBNAT.R","CY2022Q4",$M4815),"")</f>
        <v>[fiRkU6gEjLz]|15-24|Female|PMTCT_STAT_SUBNAT.N.New.Pos.T_1|CY2023Q3</v>
      </c>
    </row>
    <row r="4816" customFormat="false" ht="15" hidden="false" customHeight="false" outlineLevel="0" collapsed="false">
      <c r="D4816" s="0" t="s">
        <v>135</v>
      </c>
      <c r="E4816" s="0" t="s">
        <v>136</v>
      </c>
      <c r="F4816" s="0" t="s">
        <v>137</v>
      </c>
      <c r="G4816" s="0" t="s">
        <v>163</v>
      </c>
      <c r="H4816" s="0" t="s">
        <v>162</v>
      </c>
      <c r="I4816" s="0" t="s">
        <v>41</v>
      </c>
      <c r="J4816" s="0" t="s">
        <v>42</v>
      </c>
      <c r="K4816" s="0" t="s">
        <v>30</v>
      </c>
      <c r="L4816" s="0" t="s">
        <v>31</v>
      </c>
      <c r="M4816" s="0" t="s">
        <v>140</v>
      </c>
      <c r="N4816" s="0" t="n">
        <v>1516</v>
      </c>
      <c r="O4816" s="10" t="n">
        <v>0.138418241403997</v>
      </c>
      <c r="P4816" s="10" t="n">
        <v>0.955300528323278</v>
      </c>
      <c r="Q4816" s="0" t="str">
        <f aca="false">SUBSTITUTE(SUBSTITUTE($I4816,CHAR(61),""),CHAR(34),"")</f>
        <v>25-34</v>
      </c>
      <c r="R4816" s="0" t="str">
        <f aca="false">IF($D4816&lt;&gt;"","["&amp;$E4816&amp;"]"&amp;"|"&amp;$Q4816&amp;"|"&amp;$K4816&amp;"|"&amp;$G4816&amp;"|"&amp;IF($G4816="TX_CURR_SUBNAT.R","CY2022Q4",$M4816),"")</f>
        <v>[fiRkU6gEjLz]|25-34|Female|PMTCT_STAT_SUBNAT.N.New.Pos.T_1|CY2023Q3</v>
      </c>
    </row>
    <row r="4817" customFormat="false" ht="15" hidden="false" customHeight="false" outlineLevel="0" collapsed="false">
      <c r="D4817" s="0" t="s">
        <v>135</v>
      </c>
      <c r="E4817" s="0" t="s">
        <v>136</v>
      </c>
      <c r="F4817" s="0" t="s">
        <v>137</v>
      </c>
      <c r="G4817" s="0" t="s">
        <v>163</v>
      </c>
      <c r="H4817" s="0" t="s">
        <v>162</v>
      </c>
      <c r="I4817" s="0" t="s">
        <v>43</v>
      </c>
      <c r="J4817" s="0" t="s">
        <v>44</v>
      </c>
      <c r="K4817" s="0" t="s">
        <v>30</v>
      </c>
      <c r="L4817" s="0" t="s">
        <v>31</v>
      </c>
      <c r="M4817" s="0" t="s">
        <v>140</v>
      </c>
      <c r="N4817" s="0" t="n">
        <v>1320</v>
      </c>
      <c r="O4817" s="10" t="n">
        <v>0.0573737593367696</v>
      </c>
      <c r="P4817" s="10" t="n">
        <v>0.955300528323278</v>
      </c>
      <c r="Q4817" s="0" t="str">
        <f aca="false">SUBSTITUTE(SUBSTITUTE($I4817,CHAR(61),""),CHAR(34),"")</f>
        <v>35-49</v>
      </c>
      <c r="R4817" s="0" t="str">
        <f aca="false">IF($D4817&lt;&gt;"","["&amp;$E4817&amp;"]"&amp;"|"&amp;$Q4817&amp;"|"&amp;$K4817&amp;"|"&amp;$G4817&amp;"|"&amp;IF($G4817="TX_CURR_SUBNAT.R","CY2022Q4",$M4817),"")</f>
        <v>[fiRkU6gEjLz]|35-49|Female|PMTCT_STAT_SUBNAT.N.New.Pos.T_1|CY2023Q3</v>
      </c>
    </row>
    <row r="4818" customFormat="false" ht="15" hidden="false" customHeight="false" outlineLevel="0" collapsed="false">
      <c r="D4818" s="0" t="s">
        <v>23</v>
      </c>
      <c r="E4818" s="0" t="s">
        <v>24</v>
      </c>
      <c r="F4818" s="0" t="s">
        <v>25</v>
      </c>
      <c r="G4818" s="0" t="s">
        <v>164</v>
      </c>
      <c r="H4818" s="0" t="s">
        <v>162</v>
      </c>
      <c r="I4818" s="0" t="s">
        <v>38</v>
      </c>
      <c r="J4818" s="0" t="s">
        <v>39</v>
      </c>
      <c r="K4818" s="0" t="s">
        <v>30</v>
      </c>
      <c r="L4818" s="0" t="s">
        <v>31</v>
      </c>
      <c r="M4818" s="0" t="s">
        <v>140</v>
      </c>
      <c r="N4818" s="0" t="n">
        <v>1584</v>
      </c>
      <c r="O4818" s="10" t="n">
        <v>0.796810176456347</v>
      </c>
      <c r="P4818" s="10" t="n">
        <v>0.404358610976487</v>
      </c>
      <c r="Q4818" s="0" t="str">
        <f aca="false">SUBSTITUTE(SUBSTITUTE($I4818,CHAR(61),""),CHAR(34),"")</f>
        <v>15-24</v>
      </c>
      <c r="R4818" s="0" t="str">
        <f aca="false">IF($D4818&lt;&gt;"","["&amp;$E4818&amp;"]"&amp;"|"&amp;$Q4818&amp;"|"&amp;$K4818&amp;"|"&amp;$G4818&amp;"|"&amp;IF($G4818="TX_CURR_SUBNAT.R","CY2022Q4",$M4818),"")</f>
        <v>[GkIwZrXy1h2]|15-24|Female|PMTCT_STAT_SUBNAT.N.New.Neg.T_1|CY2023Q3</v>
      </c>
    </row>
    <row r="4819" customFormat="false" ht="15" hidden="false" customHeight="false" outlineLevel="0" collapsed="false">
      <c r="D4819" s="0" t="s">
        <v>23</v>
      </c>
      <c r="E4819" s="0" t="s">
        <v>24</v>
      </c>
      <c r="F4819" s="0" t="s">
        <v>25</v>
      </c>
      <c r="G4819" s="0" t="s">
        <v>164</v>
      </c>
      <c r="H4819" s="0" t="s">
        <v>162</v>
      </c>
      <c r="I4819" s="0" t="s">
        <v>41</v>
      </c>
      <c r="J4819" s="0" t="s">
        <v>42</v>
      </c>
      <c r="K4819" s="0" t="s">
        <v>30</v>
      </c>
      <c r="L4819" s="0" t="s">
        <v>31</v>
      </c>
      <c r="M4819" s="0" t="s">
        <v>140</v>
      </c>
      <c r="N4819" s="0" t="n">
        <v>1301</v>
      </c>
      <c r="O4819" s="10" t="n">
        <v>0.522333362139761</v>
      </c>
      <c r="P4819" s="10" t="n">
        <v>0.404358610976487</v>
      </c>
      <c r="Q4819" s="0" t="str">
        <f aca="false">SUBSTITUTE(SUBSTITUTE($I4819,CHAR(61),""),CHAR(34),"")</f>
        <v>25-34</v>
      </c>
      <c r="R4819" s="0" t="str">
        <f aca="false">IF($D4819&lt;&gt;"","["&amp;$E4819&amp;"]"&amp;"|"&amp;$Q4819&amp;"|"&amp;$K4819&amp;"|"&amp;$G4819&amp;"|"&amp;IF($G4819="TX_CURR_SUBNAT.R","CY2022Q4",$M4819),"")</f>
        <v>[GkIwZrXy1h2]|25-34|Female|PMTCT_STAT_SUBNAT.N.New.Neg.T_1|CY2023Q3</v>
      </c>
    </row>
    <row r="4820" customFormat="false" ht="15" hidden="false" customHeight="false" outlineLevel="0" collapsed="false">
      <c r="D4820" s="0" t="s">
        <v>23</v>
      </c>
      <c r="E4820" s="0" t="s">
        <v>24</v>
      </c>
      <c r="F4820" s="0" t="s">
        <v>25</v>
      </c>
      <c r="G4820" s="0" t="s">
        <v>164</v>
      </c>
      <c r="H4820" s="0" t="s">
        <v>162</v>
      </c>
      <c r="I4820" s="0" t="s">
        <v>43</v>
      </c>
      <c r="J4820" s="0" t="s">
        <v>44</v>
      </c>
      <c r="K4820" s="0" t="s">
        <v>30</v>
      </c>
      <c r="L4820" s="0" t="s">
        <v>31</v>
      </c>
      <c r="M4820" s="0" t="s">
        <v>140</v>
      </c>
      <c r="N4820" s="0" t="n">
        <v>794</v>
      </c>
      <c r="O4820" s="10" t="n">
        <v>0.205391883617267</v>
      </c>
      <c r="P4820" s="10" t="n">
        <v>0.404358610976487</v>
      </c>
      <c r="Q4820" s="0" t="str">
        <f aca="false">SUBSTITUTE(SUBSTITUTE($I4820,CHAR(61),""),CHAR(34),"")</f>
        <v>35-49</v>
      </c>
      <c r="R4820" s="0" t="str">
        <f aca="false">IF($D4820&lt;&gt;"","["&amp;$E4820&amp;"]"&amp;"|"&amp;$Q4820&amp;"|"&amp;$K4820&amp;"|"&amp;$G4820&amp;"|"&amp;IF($G4820="TX_CURR_SUBNAT.R","CY2022Q4",$M4820),"")</f>
        <v>[GkIwZrXy1h2]|35-49|Female|PMTCT_STAT_SUBNAT.N.New.Neg.T_1|CY2023Q3</v>
      </c>
    </row>
    <row r="4821" customFormat="false" ht="15" hidden="false" customHeight="false" outlineLevel="0" collapsed="false">
      <c r="D4821" s="0" t="s">
        <v>53</v>
      </c>
      <c r="E4821" s="0" t="s">
        <v>54</v>
      </c>
      <c r="F4821" s="0" t="s">
        <v>55</v>
      </c>
      <c r="G4821" s="0" t="s">
        <v>164</v>
      </c>
      <c r="H4821" s="0" t="s">
        <v>162</v>
      </c>
      <c r="I4821" s="0" t="s">
        <v>38</v>
      </c>
      <c r="J4821" s="0" t="s">
        <v>39</v>
      </c>
      <c r="K4821" s="0" t="s">
        <v>30</v>
      </c>
      <c r="L4821" s="0" t="s">
        <v>31</v>
      </c>
      <c r="M4821" s="0" t="s">
        <v>140</v>
      </c>
      <c r="N4821" s="0" t="n">
        <v>1303</v>
      </c>
      <c r="O4821" s="10" t="n">
        <v>0.368469306267798</v>
      </c>
      <c r="P4821" s="10" t="n">
        <v>0.616392469964921</v>
      </c>
      <c r="Q4821" s="0" t="str">
        <f aca="false">SUBSTITUTE(SUBSTITUTE($I4821,CHAR(61),""),CHAR(34),"")</f>
        <v>15-24</v>
      </c>
      <c r="R4821" s="0" t="str">
        <f aca="false">IF($D4821&lt;&gt;"","["&amp;$E4821&amp;"]"&amp;"|"&amp;$Q4821&amp;"|"&amp;$K4821&amp;"|"&amp;$G4821&amp;"|"&amp;IF($G4821="TX_CURR_SUBNAT.R","CY2022Q4",$M4821),"")</f>
        <v>[zphK9WV8JB4]|15-24|Female|PMTCT_STAT_SUBNAT.N.New.Neg.T_1|CY2023Q3</v>
      </c>
    </row>
    <row r="4822" customFormat="false" ht="15" hidden="false" customHeight="false" outlineLevel="0" collapsed="false">
      <c r="D4822" s="0" t="s">
        <v>53</v>
      </c>
      <c r="E4822" s="0" t="s">
        <v>54</v>
      </c>
      <c r="F4822" s="0" t="s">
        <v>55</v>
      </c>
      <c r="G4822" s="0" t="s">
        <v>164</v>
      </c>
      <c r="H4822" s="0" t="s">
        <v>162</v>
      </c>
      <c r="I4822" s="0" t="s">
        <v>41</v>
      </c>
      <c r="J4822" s="0" t="s">
        <v>42</v>
      </c>
      <c r="K4822" s="0" t="s">
        <v>30</v>
      </c>
      <c r="L4822" s="0" t="s">
        <v>31</v>
      </c>
      <c r="M4822" s="0" t="s">
        <v>140</v>
      </c>
      <c r="N4822" s="0" t="n">
        <v>1313</v>
      </c>
      <c r="O4822" s="10" t="n">
        <v>0.537653674604371</v>
      </c>
      <c r="P4822" s="10" t="n">
        <v>0.616392469964921</v>
      </c>
      <c r="Q4822" s="0" t="str">
        <f aca="false">SUBSTITUTE(SUBSTITUTE($I4822,CHAR(61),""),CHAR(34),"")</f>
        <v>25-34</v>
      </c>
      <c r="R4822" s="0" t="str">
        <f aca="false">IF($D4822&lt;&gt;"","["&amp;$E4822&amp;"]"&amp;"|"&amp;$Q4822&amp;"|"&amp;$K4822&amp;"|"&amp;$G4822&amp;"|"&amp;IF($G4822="TX_CURR_SUBNAT.R","CY2022Q4",$M4822),"")</f>
        <v>[zphK9WV8JB4]|25-34|Female|PMTCT_STAT_SUBNAT.N.New.Neg.T_1|CY2023Q3</v>
      </c>
    </row>
    <row r="4823" customFormat="false" ht="15" hidden="false" customHeight="false" outlineLevel="0" collapsed="false">
      <c r="D4823" s="0" t="s">
        <v>53</v>
      </c>
      <c r="E4823" s="0" t="s">
        <v>54</v>
      </c>
      <c r="F4823" s="0" t="s">
        <v>55</v>
      </c>
      <c r="G4823" s="0" t="s">
        <v>164</v>
      </c>
      <c r="H4823" s="0" t="s">
        <v>162</v>
      </c>
      <c r="I4823" s="0" t="s">
        <v>43</v>
      </c>
      <c r="J4823" s="0" t="s">
        <v>44</v>
      </c>
      <c r="K4823" s="0" t="s">
        <v>30</v>
      </c>
      <c r="L4823" s="0" t="s">
        <v>31</v>
      </c>
      <c r="M4823" s="0" t="s">
        <v>140</v>
      </c>
      <c r="N4823" s="0" t="n">
        <v>1910</v>
      </c>
      <c r="O4823" s="10" t="n">
        <v>0.375454247230664</v>
      </c>
      <c r="P4823" s="10" t="n">
        <v>0.616392469964921</v>
      </c>
      <c r="Q4823" s="0" t="str">
        <f aca="false">SUBSTITUTE(SUBSTITUTE($I4823,CHAR(61),""),CHAR(34),"")</f>
        <v>35-49</v>
      </c>
      <c r="R4823" s="0" t="str">
        <f aca="false">IF($D4823&lt;&gt;"","["&amp;$E4823&amp;"]"&amp;"|"&amp;$Q4823&amp;"|"&amp;$K4823&amp;"|"&amp;$G4823&amp;"|"&amp;IF($G4823="TX_CURR_SUBNAT.R","CY2022Q4",$M4823),"")</f>
        <v>[zphK9WV8JB4]|35-49|Female|PMTCT_STAT_SUBNAT.N.New.Neg.T_1|CY2023Q3</v>
      </c>
    </row>
    <row r="4824" customFormat="false" ht="15" hidden="false" customHeight="false" outlineLevel="0" collapsed="false">
      <c r="D4824" s="0" t="s">
        <v>60</v>
      </c>
      <c r="E4824" s="0" t="s">
        <v>61</v>
      </c>
      <c r="F4824" s="0" t="s">
        <v>62</v>
      </c>
      <c r="G4824" s="0" t="s">
        <v>164</v>
      </c>
      <c r="H4824" s="0" t="s">
        <v>162</v>
      </c>
      <c r="I4824" s="0" t="s">
        <v>38</v>
      </c>
      <c r="J4824" s="0" t="s">
        <v>39</v>
      </c>
      <c r="K4824" s="0" t="s">
        <v>30</v>
      </c>
      <c r="L4824" s="0" t="s">
        <v>31</v>
      </c>
      <c r="M4824" s="0" t="s">
        <v>140</v>
      </c>
      <c r="N4824" s="0" t="n">
        <v>1333</v>
      </c>
      <c r="O4824" s="10" t="n">
        <v>0.952896936330944</v>
      </c>
      <c r="P4824" s="10" t="n">
        <v>0.0268250561784953</v>
      </c>
      <c r="Q4824" s="0" t="str">
        <f aca="false">SUBSTITUTE(SUBSTITUTE($I4824,CHAR(61),""),CHAR(34),"")</f>
        <v>15-24</v>
      </c>
      <c r="R4824" s="0" t="str">
        <f aca="false">IF($D4824&lt;&gt;"","["&amp;$E4824&amp;"]"&amp;"|"&amp;$Q4824&amp;"|"&amp;$K4824&amp;"|"&amp;$G4824&amp;"|"&amp;IF($G4824="TX_CURR_SUBNAT.R","CY2022Q4",$M4824),"")</f>
        <v>[msW2zpIN7up]|15-24|Female|PMTCT_STAT_SUBNAT.N.New.Neg.T_1|CY2023Q3</v>
      </c>
    </row>
    <row r="4825" customFormat="false" ht="15" hidden="false" customHeight="false" outlineLevel="0" collapsed="false">
      <c r="D4825" s="0" t="s">
        <v>60</v>
      </c>
      <c r="E4825" s="0" t="s">
        <v>61</v>
      </c>
      <c r="F4825" s="0" t="s">
        <v>62</v>
      </c>
      <c r="G4825" s="0" t="s">
        <v>164</v>
      </c>
      <c r="H4825" s="0" t="s">
        <v>162</v>
      </c>
      <c r="I4825" s="0" t="s">
        <v>41</v>
      </c>
      <c r="J4825" s="0" t="s">
        <v>42</v>
      </c>
      <c r="K4825" s="0" t="s">
        <v>30</v>
      </c>
      <c r="L4825" s="0" t="s">
        <v>31</v>
      </c>
      <c r="M4825" s="0" t="s">
        <v>140</v>
      </c>
      <c r="N4825" s="0" t="n">
        <v>1391</v>
      </c>
      <c r="O4825" s="10" t="n">
        <v>0.160698695108294</v>
      </c>
      <c r="P4825" s="10" t="n">
        <v>0.0268250561784953</v>
      </c>
      <c r="Q4825" s="0" t="str">
        <f aca="false">SUBSTITUTE(SUBSTITUTE($I4825,CHAR(61),""),CHAR(34),"")</f>
        <v>25-34</v>
      </c>
      <c r="R4825" s="0" t="str">
        <f aca="false">IF($D4825&lt;&gt;"","["&amp;$E4825&amp;"]"&amp;"|"&amp;$Q4825&amp;"|"&amp;$K4825&amp;"|"&amp;$G4825&amp;"|"&amp;IF($G4825="TX_CURR_SUBNAT.R","CY2022Q4",$M4825),"")</f>
        <v>[msW2zpIN7up]|25-34|Female|PMTCT_STAT_SUBNAT.N.New.Neg.T_1|CY2023Q3</v>
      </c>
    </row>
    <row r="4826" customFormat="false" ht="15" hidden="false" customHeight="false" outlineLevel="0" collapsed="false">
      <c r="D4826" s="0" t="s">
        <v>60</v>
      </c>
      <c r="E4826" s="0" t="s">
        <v>61</v>
      </c>
      <c r="F4826" s="0" t="s">
        <v>62</v>
      </c>
      <c r="G4826" s="0" t="s">
        <v>164</v>
      </c>
      <c r="H4826" s="0" t="s">
        <v>162</v>
      </c>
      <c r="I4826" s="0" t="s">
        <v>43</v>
      </c>
      <c r="J4826" s="0" t="s">
        <v>44</v>
      </c>
      <c r="K4826" s="0" t="s">
        <v>30</v>
      </c>
      <c r="L4826" s="0" t="s">
        <v>31</v>
      </c>
      <c r="M4826" s="0" t="s">
        <v>140</v>
      </c>
      <c r="N4826" s="0" t="n">
        <v>1242</v>
      </c>
      <c r="O4826" s="10" t="n">
        <v>0.898781135445461</v>
      </c>
      <c r="P4826" s="10" t="n">
        <v>0.0268250561784953</v>
      </c>
      <c r="Q4826" s="0" t="str">
        <f aca="false">SUBSTITUTE(SUBSTITUTE($I4826,CHAR(61),""),CHAR(34),"")</f>
        <v>35-49</v>
      </c>
      <c r="R4826" s="0" t="str">
        <f aca="false">IF($D4826&lt;&gt;"","["&amp;$E4826&amp;"]"&amp;"|"&amp;$Q4826&amp;"|"&amp;$K4826&amp;"|"&amp;$G4826&amp;"|"&amp;IF($G4826="TX_CURR_SUBNAT.R","CY2022Q4",$M4826),"")</f>
        <v>[msW2zpIN7up]|35-49|Female|PMTCT_STAT_SUBNAT.N.New.Neg.T_1|CY2023Q3</v>
      </c>
    </row>
    <row r="4827" customFormat="false" ht="15" hidden="false" customHeight="false" outlineLevel="0" collapsed="false">
      <c r="D4827" s="0" t="s">
        <v>63</v>
      </c>
      <c r="E4827" s="0" t="s">
        <v>64</v>
      </c>
      <c r="F4827" s="0" t="s">
        <v>65</v>
      </c>
      <c r="G4827" s="0" t="s">
        <v>164</v>
      </c>
      <c r="H4827" s="0" t="s">
        <v>162</v>
      </c>
      <c r="I4827" s="0" t="s">
        <v>38</v>
      </c>
      <c r="J4827" s="0" t="s">
        <v>39</v>
      </c>
      <c r="K4827" s="0" t="s">
        <v>30</v>
      </c>
      <c r="L4827" s="0" t="s">
        <v>31</v>
      </c>
      <c r="M4827" s="0" t="s">
        <v>140</v>
      </c>
      <c r="N4827" s="0" t="n">
        <v>922</v>
      </c>
      <c r="O4827" s="10" t="n">
        <v>0.277519277995452</v>
      </c>
      <c r="P4827" s="10" t="n">
        <v>0.790102193132043</v>
      </c>
      <c r="Q4827" s="0" t="str">
        <f aca="false">SUBSTITUTE(SUBSTITUTE($I4827,CHAR(61),""),CHAR(34),"")</f>
        <v>15-24</v>
      </c>
      <c r="R4827" s="0" t="str">
        <f aca="false">IF($D4827&lt;&gt;"","["&amp;$E4827&amp;"]"&amp;"|"&amp;$Q4827&amp;"|"&amp;$K4827&amp;"|"&amp;$G4827&amp;"|"&amp;IF($G4827="TX_CURR_SUBNAT.R","CY2022Q4",$M4827),"")</f>
        <v>[kxuuIFpOXyO]|15-24|Female|PMTCT_STAT_SUBNAT.N.New.Neg.T_1|CY2023Q3</v>
      </c>
    </row>
    <row r="4828" customFormat="false" ht="15" hidden="false" customHeight="false" outlineLevel="0" collapsed="false">
      <c r="D4828" s="0" t="s">
        <v>63</v>
      </c>
      <c r="E4828" s="0" t="s">
        <v>64</v>
      </c>
      <c r="F4828" s="0" t="s">
        <v>65</v>
      </c>
      <c r="G4828" s="0" t="s">
        <v>164</v>
      </c>
      <c r="H4828" s="0" t="s">
        <v>162</v>
      </c>
      <c r="I4828" s="0" t="s">
        <v>41</v>
      </c>
      <c r="J4828" s="0" t="s">
        <v>42</v>
      </c>
      <c r="K4828" s="0" t="s">
        <v>30</v>
      </c>
      <c r="L4828" s="0" t="s">
        <v>31</v>
      </c>
      <c r="M4828" s="0" t="s">
        <v>140</v>
      </c>
      <c r="N4828" s="0" t="n">
        <v>1655</v>
      </c>
      <c r="O4828" s="10" t="n">
        <v>0.416443552123383</v>
      </c>
      <c r="P4828" s="10" t="n">
        <v>0.790102193132043</v>
      </c>
      <c r="Q4828" s="0" t="str">
        <f aca="false">SUBSTITUTE(SUBSTITUTE($I4828,CHAR(61),""),CHAR(34),"")</f>
        <v>25-34</v>
      </c>
      <c r="R4828" s="0" t="str">
        <f aca="false">IF($D4828&lt;&gt;"","["&amp;$E4828&amp;"]"&amp;"|"&amp;$Q4828&amp;"|"&amp;$K4828&amp;"|"&amp;$G4828&amp;"|"&amp;IF($G4828="TX_CURR_SUBNAT.R","CY2022Q4",$M4828),"")</f>
        <v>[kxuuIFpOXyO]|25-34|Female|PMTCT_STAT_SUBNAT.N.New.Neg.T_1|CY2023Q3</v>
      </c>
    </row>
    <row r="4829" customFormat="false" ht="15" hidden="false" customHeight="false" outlineLevel="0" collapsed="false">
      <c r="D4829" s="0" t="s">
        <v>63</v>
      </c>
      <c r="E4829" s="0" t="s">
        <v>64</v>
      </c>
      <c r="F4829" s="0" t="s">
        <v>65</v>
      </c>
      <c r="G4829" s="0" t="s">
        <v>164</v>
      </c>
      <c r="H4829" s="0" t="s">
        <v>162</v>
      </c>
      <c r="I4829" s="0" t="s">
        <v>43</v>
      </c>
      <c r="J4829" s="0" t="s">
        <v>44</v>
      </c>
      <c r="K4829" s="0" t="s">
        <v>30</v>
      </c>
      <c r="L4829" s="0" t="s">
        <v>31</v>
      </c>
      <c r="M4829" s="0" t="s">
        <v>140</v>
      </c>
      <c r="N4829" s="0" t="n">
        <v>1218</v>
      </c>
      <c r="O4829" s="10" t="n">
        <v>0.0327727789990604</v>
      </c>
      <c r="P4829" s="10" t="n">
        <v>0.790102193132043</v>
      </c>
      <c r="Q4829" s="0" t="str">
        <f aca="false">SUBSTITUTE(SUBSTITUTE($I4829,CHAR(61),""),CHAR(34),"")</f>
        <v>35-49</v>
      </c>
      <c r="R4829" s="0" t="str">
        <f aca="false">IF($D4829&lt;&gt;"","["&amp;$E4829&amp;"]"&amp;"|"&amp;$Q4829&amp;"|"&amp;$K4829&amp;"|"&amp;$G4829&amp;"|"&amp;IF($G4829="TX_CURR_SUBNAT.R","CY2022Q4",$M4829),"")</f>
        <v>[kxuuIFpOXyO]|35-49|Female|PMTCT_STAT_SUBNAT.N.New.Neg.T_1|CY2023Q3</v>
      </c>
    </row>
    <row r="4830" customFormat="false" ht="15" hidden="false" customHeight="false" outlineLevel="0" collapsed="false">
      <c r="D4830" s="0" t="s">
        <v>66</v>
      </c>
      <c r="E4830" s="0" t="s">
        <v>67</v>
      </c>
      <c r="F4830" s="0" t="s">
        <v>68</v>
      </c>
      <c r="G4830" s="0" t="s">
        <v>164</v>
      </c>
      <c r="H4830" s="0" t="s">
        <v>162</v>
      </c>
      <c r="I4830" s="0" t="s">
        <v>38</v>
      </c>
      <c r="J4830" s="0" t="s">
        <v>39</v>
      </c>
      <c r="K4830" s="0" t="s">
        <v>30</v>
      </c>
      <c r="L4830" s="0" t="s">
        <v>31</v>
      </c>
      <c r="M4830" s="0" t="s">
        <v>140</v>
      </c>
      <c r="N4830" s="0" t="n">
        <v>970</v>
      </c>
      <c r="O4830" s="10" t="n">
        <v>0.658691009040922</v>
      </c>
      <c r="P4830" s="10" t="n">
        <v>0.164609884377569</v>
      </c>
      <c r="Q4830" s="0" t="str">
        <f aca="false">SUBSTITUTE(SUBSTITUTE($I4830,CHAR(61),""),CHAR(34),"")</f>
        <v>15-24</v>
      </c>
      <c r="R4830" s="0" t="str">
        <f aca="false">IF($D4830&lt;&gt;"","["&amp;$E4830&amp;"]"&amp;"|"&amp;$Q4830&amp;"|"&amp;$K4830&amp;"|"&amp;$G4830&amp;"|"&amp;IF($G4830="TX_CURR_SUBNAT.R","CY2022Q4",$M4830),"")</f>
        <v>[ScR9iFKAasW]|15-24|Female|PMTCT_STAT_SUBNAT.N.New.Neg.T_1|CY2023Q3</v>
      </c>
    </row>
    <row r="4831" customFormat="false" ht="15" hidden="false" customHeight="false" outlineLevel="0" collapsed="false">
      <c r="D4831" s="0" t="s">
        <v>66</v>
      </c>
      <c r="E4831" s="0" t="s">
        <v>67</v>
      </c>
      <c r="F4831" s="0" t="s">
        <v>68</v>
      </c>
      <c r="G4831" s="0" t="s">
        <v>164</v>
      </c>
      <c r="H4831" s="0" t="s">
        <v>162</v>
      </c>
      <c r="I4831" s="0" t="s">
        <v>41</v>
      </c>
      <c r="J4831" s="0" t="s">
        <v>42</v>
      </c>
      <c r="K4831" s="0" t="s">
        <v>30</v>
      </c>
      <c r="L4831" s="0" t="s">
        <v>31</v>
      </c>
      <c r="M4831" s="0" t="s">
        <v>140</v>
      </c>
      <c r="N4831" s="0" t="n">
        <v>2000</v>
      </c>
      <c r="O4831" s="10" t="n">
        <v>0.338952238438651</v>
      </c>
      <c r="P4831" s="10" t="n">
        <v>0.164609884377569</v>
      </c>
      <c r="Q4831" s="0" t="str">
        <f aca="false">SUBSTITUTE(SUBSTITUTE($I4831,CHAR(61),""),CHAR(34),"")</f>
        <v>25-34</v>
      </c>
      <c r="R4831" s="0" t="str">
        <f aca="false">IF($D4831&lt;&gt;"","["&amp;$E4831&amp;"]"&amp;"|"&amp;$Q4831&amp;"|"&amp;$K4831&amp;"|"&amp;$G4831&amp;"|"&amp;IF($G4831="TX_CURR_SUBNAT.R","CY2022Q4",$M4831),"")</f>
        <v>[ScR9iFKAasW]|25-34|Female|PMTCT_STAT_SUBNAT.N.New.Neg.T_1|CY2023Q3</v>
      </c>
    </row>
    <row r="4832" customFormat="false" ht="15" hidden="false" customHeight="false" outlineLevel="0" collapsed="false">
      <c r="D4832" s="0" t="s">
        <v>66</v>
      </c>
      <c r="E4832" s="0" t="s">
        <v>67</v>
      </c>
      <c r="F4832" s="0" t="s">
        <v>68</v>
      </c>
      <c r="G4832" s="0" t="s">
        <v>164</v>
      </c>
      <c r="H4832" s="0" t="s">
        <v>162</v>
      </c>
      <c r="I4832" s="0" t="s">
        <v>43</v>
      </c>
      <c r="J4832" s="0" t="s">
        <v>44</v>
      </c>
      <c r="K4832" s="0" t="s">
        <v>30</v>
      </c>
      <c r="L4832" s="0" t="s">
        <v>31</v>
      </c>
      <c r="M4832" s="0" t="s">
        <v>140</v>
      </c>
      <c r="N4832" s="0" t="n">
        <v>897</v>
      </c>
      <c r="O4832" s="10" t="n">
        <v>0.916796621168032</v>
      </c>
      <c r="P4832" s="10" t="n">
        <v>0.164609884377569</v>
      </c>
      <c r="Q4832" s="0" t="str">
        <f aca="false">SUBSTITUTE(SUBSTITUTE($I4832,CHAR(61),""),CHAR(34),"")</f>
        <v>35-49</v>
      </c>
      <c r="R4832" s="0" t="str">
        <f aca="false">IF($D4832&lt;&gt;"","["&amp;$E4832&amp;"]"&amp;"|"&amp;$Q4832&amp;"|"&amp;$K4832&amp;"|"&amp;$G4832&amp;"|"&amp;IF($G4832="TX_CURR_SUBNAT.R","CY2022Q4",$M4832),"")</f>
        <v>[ScR9iFKAasW]|35-49|Female|PMTCT_STAT_SUBNAT.N.New.Neg.T_1|CY2023Q3</v>
      </c>
    </row>
    <row r="4833" customFormat="false" ht="15" hidden="false" customHeight="false" outlineLevel="0" collapsed="false">
      <c r="D4833" s="0" t="s">
        <v>69</v>
      </c>
      <c r="E4833" s="0" t="s">
        <v>70</v>
      </c>
      <c r="F4833" s="0" t="s">
        <v>71</v>
      </c>
      <c r="G4833" s="0" t="s">
        <v>164</v>
      </c>
      <c r="H4833" s="0" t="s">
        <v>162</v>
      </c>
      <c r="I4833" s="0" t="s">
        <v>38</v>
      </c>
      <c r="J4833" s="0" t="s">
        <v>39</v>
      </c>
      <c r="K4833" s="0" t="s">
        <v>30</v>
      </c>
      <c r="L4833" s="0" t="s">
        <v>31</v>
      </c>
      <c r="M4833" s="0" t="s">
        <v>140</v>
      </c>
      <c r="N4833" s="0" t="n">
        <v>1749</v>
      </c>
      <c r="O4833" s="10" t="n">
        <v>0.924140069633722</v>
      </c>
      <c r="P4833" s="10" t="n">
        <v>0.198817263124511</v>
      </c>
      <c r="Q4833" s="0" t="str">
        <f aca="false">SUBSTITUTE(SUBSTITUTE($I4833,CHAR(61),""),CHAR(34),"")</f>
        <v>15-24</v>
      </c>
      <c r="R4833" s="0" t="str">
        <f aca="false">IF($D4833&lt;&gt;"","["&amp;$E4833&amp;"]"&amp;"|"&amp;$Q4833&amp;"|"&amp;$K4833&amp;"|"&amp;$G4833&amp;"|"&amp;IF($G4833="TX_CURR_SUBNAT.R","CY2022Q4",$M4833),"")</f>
        <v>[PekKUkKHAzY]|15-24|Female|PMTCT_STAT_SUBNAT.N.New.Neg.T_1|CY2023Q3</v>
      </c>
    </row>
    <row r="4834" customFormat="false" ht="15" hidden="false" customHeight="false" outlineLevel="0" collapsed="false">
      <c r="D4834" s="0" t="s">
        <v>69</v>
      </c>
      <c r="E4834" s="0" t="s">
        <v>70</v>
      </c>
      <c r="F4834" s="0" t="s">
        <v>71</v>
      </c>
      <c r="G4834" s="0" t="s">
        <v>164</v>
      </c>
      <c r="H4834" s="0" t="s">
        <v>162</v>
      </c>
      <c r="I4834" s="0" t="s">
        <v>41</v>
      </c>
      <c r="J4834" s="0" t="s">
        <v>42</v>
      </c>
      <c r="K4834" s="0" t="s">
        <v>30</v>
      </c>
      <c r="L4834" s="0" t="s">
        <v>31</v>
      </c>
      <c r="M4834" s="0" t="s">
        <v>140</v>
      </c>
      <c r="N4834" s="0" t="n">
        <v>1055</v>
      </c>
      <c r="O4834" s="10" t="n">
        <v>0.762692283838987</v>
      </c>
      <c r="P4834" s="10" t="n">
        <v>0.198817263124511</v>
      </c>
      <c r="Q4834" s="0" t="str">
        <f aca="false">SUBSTITUTE(SUBSTITUTE($I4834,CHAR(61),""),CHAR(34),"")</f>
        <v>25-34</v>
      </c>
      <c r="R4834" s="0" t="str">
        <f aca="false">IF($D4834&lt;&gt;"","["&amp;$E4834&amp;"]"&amp;"|"&amp;$Q4834&amp;"|"&amp;$K4834&amp;"|"&amp;$G4834&amp;"|"&amp;IF($G4834="TX_CURR_SUBNAT.R","CY2022Q4",$M4834),"")</f>
        <v>[PekKUkKHAzY]|25-34|Female|PMTCT_STAT_SUBNAT.N.New.Neg.T_1|CY2023Q3</v>
      </c>
    </row>
    <row r="4835" customFormat="false" ht="15" hidden="false" customHeight="false" outlineLevel="0" collapsed="false">
      <c r="D4835" s="0" t="s">
        <v>69</v>
      </c>
      <c r="E4835" s="0" t="s">
        <v>70</v>
      </c>
      <c r="F4835" s="0" t="s">
        <v>71</v>
      </c>
      <c r="G4835" s="0" t="s">
        <v>164</v>
      </c>
      <c r="H4835" s="0" t="s">
        <v>162</v>
      </c>
      <c r="I4835" s="0" t="s">
        <v>43</v>
      </c>
      <c r="J4835" s="0" t="s">
        <v>44</v>
      </c>
      <c r="K4835" s="0" t="s">
        <v>30</v>
      </c>
      <c r="L4835" s="0" t="s">
        <v>31</v>
      </c>
      <c r="M4835" s="0" t="s">
        <v>140</v>
      </c>
      <c r="N4835" s="0" t="n">
        <v>712</v>
      </c>
      <c r="O4835" s="10" t="n">
        <v>0.02263153786771</v>
      </c>
      <c r="P4835" s="10" t="n">
        <v>0.198817263124511</v>
      </c>
      <c r="Q4835" s="0" t="str">
        <f aca="false">SUBSTITUTE(SUBSTITUTE($I4835,CHAR(61),""),CHAR(34),"")</f>
        <v>35-49</v>
      </c>
      <c r="R4835" s="0" t="str">
        <f aca="false">IF($D4835&lt;&gt;"","["&amp;$E4835&amp;"]"&amp;"|"&amp;$Q4835&amp;"|"&amp;$K4835&amp;"|"&amp;$G4835&amp;"|"&amp;IF($G4835="TX_CURR_SUBNAT.R","CY2022Q4",$M4835),"")</f>
        <v>[PekKUkKHAzY]|35-49|Female|PMTCT_STAT_SUBNAT.N.New.Neg.T_1|CY2023Q3</v>
      </c>
    </row>
    <row r="4836" customFormat="false" ht="15" hidden="false" customHeight="false" outlineLevel="0" collapsed="false">
      <c r="D4836" s="0" t="s">
        <v>72</v>
      </c>
      <c r="E4836" s="0" t="s">
        <v>73</v>
      </c>
      <c r="F4836" s="0" t="s">
        <v>74</v>
      </c>
      <c r="G4836" s="0" t="s">
        <v>164</v>
      </c>
      <c r="H4836" s="0" t="s">
        <v>162</v>
      </c>
      <c r="I4836" s="0" t="s">
        <v>38</v>
      </c>
      <c r="J4836" s="0" t="s">
        <v>39</v>
      </c>
      <c r="K4836" s="0" t="s">
        <v>30</v>
      </c>
      <c r="L4836" s="0" t="s">
        <v>31</v>
      </c>
      <c r="M4836" s="0" t="s">
        <v>140</v>
      </c>
      <c r="N4836" s="0" t="n">
        <v>1822</v>
      </c>
      <c r="O4836" s="10" t="n">
        <v>0.141451293136925</v>
      </c>
      <c r="P4836" s="10" t="n">
        <v>0.289728706935421</v>
      </c>
      <c r="Q4836" s="0" t="str">
        <f aca="false">SUBSTITUTE(SUBSTITUTE($I4836,CHAR(61),""),CHAR(34),"")</f>
        <v>15-24</v>
      </c>
      <c r="R4836" s="0" t="str">
        <f aca="false">IF($D4836&lt;&gt;"","["&amp;$E4836&amp;"]"&amp;"|"&amp;$Q4836&amp;"|"&amp;$K4836&amp;"|"&amp;$G4836&amp;"|"&amp;IF($G4836="TX_CURR_SUBNAT.R","CY2022Q4",$M4836),"")</f>
        <v>[am530wpaGvr]|15-24|Female|PMTCT_STAT_SUBNAT.N.New.Neg.T_1|CY2023Q3</v>
      </c>
    </row>
    <row r="4837" customFormat="false" ht="15" hidden="false" customHeight="false" outlineLevel="0" collapsed="false">
      <c r="D4837" s="0" t="s">
        <v>72</v>
      </c>
      <c r="E4837" s="0" t="s">
        <v>73</v>
      </c>
      <c r="F4837" s="0" t="s">
        <v>74</v>
      </c>
      <c r="G4837" s="0" t="s">
        <v>164</v>
      </c>
      <c r="H4837" s="0" t="s">
        <v>162</v>
      </c>
      <c r="I4837" s="0" t="s">
        <v>41</v>
      </c>
      <c r="J4837" s="0" t="s">
        <v>42</v>
      </c>
      <c r="K4837" s="0" t="s">
        <v>30</v>
      </c>
      <c r="L4837" s="0" t="s">
        <v>31</v>
      </c>
      <c r="M4837" s="0" t="s">
        <v>140</v>
      </c>
      <c r="N4837" s="0" t="n">
        <v>1548</v>
      </c>
      <c r="O4837" s="10" t="n">
        <v>0.954620311502367</v>
      </c>
      <c r="P4837" s="10" t="n">
        <v>0.289728706935421</v>
      </c>
      <c r="Q4837" s="0" t="str">
        <f aca="false">SUBSTITUTE(SUBSTITUTE($I4837,CHAR(61),""),CHAR(34),"")</f>
        <v>25-34</v>
      </c>
      <c r="R4837" s="0" t="str">
        <f aca="false">IF($D4837&lt;&gt;"","["&amp;$E4837&amp;"]"&amp;"|"&amp;$Q4837&amp;"|"&amp;$K4837&amp;"|"&amp;$G4837&amp;"|"&amp;IF($G4837="TX_CURR_SUBNAT.R","CY2022Q4",$M4837),"")</f>
        <v>[am530wpaGvr]|25-34|Female|PMTCT_STAT_SUBNAT.N.New.Neg.T_1|CY2023Q3</v>
      </c>
    </row>
    <row r="4838" customFormat="false" ht="15" hidden="false" customHeight="false" outlineLevel="0" collapsed="false">
      <c r="D4838" s="0" t="s">
        <v>72</v>
      </c>
      <c r="E4838" s="0" t="s">
        <v>73</v>
      </c>
      <c r="F4838" s="0" t="s">
        <v>74</v>
      </c>
      <c r="G4838" s="0" t="s">
        <v>164</v>
      </c>
      <c r="H4838" s="0" t="s">
        <v>162</v>
      </c>
      <c r="I4838" s="0" t="s">
        <v>43</v>
      </c>
      <c r="J4838" s="0" t="s">
        <v>44</v>
      </c>
      <c r="K4838" s="0" t="s">
        <v>30</v>
      </c>
      <c r="L4838" s="0" t="s">
        <v>31</v>
      </c>
      <c r="M4838" s="0" t="s">
        <v>140</v>
      </c>
      <c r="N4838" s="0" t="n">
        <v>690</v>
      </c>
      <c r="O4838" s="10" t="n">
        <v>0.160930494545028</v>
      </c>
      <c r="P4838" s="10" t="n">
        <v>0.289728706935421</v>
      </c>
      <c r="Q4838" s="0" t="str">
        <f aca="false">SUBSTITUTE(SUBSTITUTE($I4838,CHAR(61),""),CHAR(34),"")</f>
        <v>35-49</v>
      </c>
      <c r="R4838" s="0" t="str">
        <f aca="false">IF($D4838&lt;&gt;"","["&amp;$E4838&amp;"]"&amp;"|"&amp;$Q4838&amp;"|"&amp;$K4838&amp;"|"&amp;$G4838&amp;"|"&amp;IF($G4838="TX_CURR_SUBNAT.R","CY2022Q4",$M4838),"")</f>
        <v>[am530wpaGvr]|35-49|Female|PMTCT_STAT_SUBNAT.N.New.Neg.T_1|CY2023Q3</v>
      </c>
    </row>
    <row r="4839" customFormat="false" ht="15" hidden="false" customHeight="false" outlineLevel="0" collapsed="false">
      <c r="D4839" s="0" t="s">
        <v>75</v>
      </c>
      <c r="E4839" s="0" t="s">
        <v>76</v>
      </c>
      <c r="F4839" s="0" t="s">
        <v>77</v>
      </c>
      <c r="G4839" s="0" t="s">
        <v>164</v>
      </c>
      <c r="H4839" s="0" t="s">
        <v>162</v>
      </c>
      <c r="I4839" s="0" t="s">
        <v>38</v>
      </c>
      <c r="J4839" s="0" t="s">
        <v>39</v>
      </c>
      <c r="K4839" s="0" t="s">
        <v>30</v>
      </c>
      <c r="L4839" s="0" t="s">
        <v>31</v>
      </c>
      <c r="M4839" s="0" t="s">
        <v>140</v>
      </c>
      <c r="N4839" s="0" t="n">
        <v>865</v>
      </c>
      <c r="O4839" s="10" t="n">
        <v>0.272655706852674</v>
      </c>
      <c r="P4839" s="10" t="n">
        <v>0.303055507596582</v>
      </c>
      <c r="Q4839" s="0" t="str">
        <f aca="false">SUBSTITUTE(SUBSTITUTE($I4839,CHAR(61),""),CHAR(34),"")</f>
        <v>15-24</v>
      </c>
      <c r="R4839" s="0" t="str">
        <f aca="false">IF($D4839&lt;&gt;"","["&amp;$E4839&amp;"]"&amp;"|"&amp;$Q4839&amp;"|"&amp;$K4839&amp;"|"&amp;$G4839&amp;"|"&amp;IF($G4839="TX_CURR_SUBNAT.R","CY2022Q4",$M4839),"")</f>
        <v>[lLDyBx5XyUi]|15-24|Female|PMTCT_STAT_SUBNAT.N.New.Neg.T_1|CY2023Q3</v>
      </c>
    </row>
    <row r="4840" customFormat="false" ht="15" hidden="false" customHeight="false" outlineLevel="0" collapsed="false">
      <c r="D4840" s="0" t="s">
        <v>75</v>
      </c>
      <c r="E4840" s="0" t="s">
        <v>76</v>
      </c>
      <c r="F4840" s="0" t="s">
        <v>77</v>
      </c>
      <c r="G4840" s="0" t="s">
        <v>164</v>
      </c>
      <c r="H4840" s="0" t="s">
        <v>162</v>
      </c>
      <c r="I4840" s="0" t="s">
        <v>41</v>
      </c>
      <c r="J4840" s="0" t="s">
        <v>42</v>
      </c>
      <c r="K4840" s="0" t="s">
        <v>30</v>
      </c>
      <c r="L4840" s="0" t="s">
        <v>31</v>
      </c>
      <c r="M4840" s="0" t="s">
        <v>140</v>
      </c>
      <c r="N4840" s="0" t="n">
        <v>698</v>
      </c>
      <c r="O4840" s="10" t="n">
        <v>0.153020245488733</v>
      </c>
      <c r="P4840" s="10" t="n">
        <v>0.303055507596582</v>
      </c>
      <c r="Q4840" s="0" t="str">
        <f aca="false">SUBSTITUTE(SUBSTITUTE($I4840,CHAR(61),""),CHAR(34),"")</f>
        <v>25-34</v>
      </c>
      <c r="R4840" s="0" t="str">
        <f aca="false">IF($D4840&lt;&gt;"","["&amp;$E4840&amp;"]"&amp;"|"&amp;$Q4840&amp;"|"&amp;$K4840&amp;"|"&amp;$G4840&amp;"|"&amp;IF($G4840="TX_CURR_SUBNAT.R","CY2022Q4",$M4840),"")</f>
        <v>[lLDyBx5XyUi]|25-34|Female|PMTCT_STAT_SUBNAT.N.New.Neg.T_1|CY2023Q3</v>
      </c>
    </row>
    <row r="4841" customFormat="false" ht="15" hidden="false" customHeight="false" outlineLevel="0" collapsed="false">
      <c r="D4841" s="0" t="s">
        <v>75</v>
      </c>
      <c r="E4841" s="0" t="s">
        <v>76</v>
      </c>
      <c r="F4841" s="0" t="s">
        <v>77</v>
      </c>
      <c r="G4841" s="0" t="s">
        <v>164</v>
      </c>
      <c r="H4841" s="0" t="s">
        <v>162</v>
      </c>
      <c r="I4841" s="0" t="s">
        <v>43</v>
      </c>
      <c r="J4841" s="0" t="s">
        <v>44</v>
      </c>
      <c r="K4841" s="0" t="s">
        <v>30</v>
      </c>
      <c r="L4841" s="0" t="s">
        <v>31</v>
      </c>
      <c r="M4841" s="0" t="s">
        <v>140</v>
      </c>
      <c r="N4841" s="0" t="n">
        <v>988</v>
      </c>
      <c r="O4841" s="10" t="n">
        <v>0.000584756722673774</v>
      </c>
      <c r="P4841" s="10" t="n">
        <v>0.303055507596582</v>
      </c>
      <c r="Q4841" s="0" t="str">
        <f aca="false">SUBSTITUTE(SUBSTITUTE($I4841,CHAR(61),""),CHAR(34),"")</f>
        <v>35-49</v>
      </c>
      <c r="R4841" s="0" t="str">
        <f aca="false">IF($D4841&lt;&gt;"","["&amp;$E4841&amp;"]"&amp;"|"&amp;$Q4841&amp;"|"&amp;$K4841&amp;"|"&amp;$G4841&amp;"|"&amp;IF($G4841="TX_CURR_SUBNAT.R","CY2022Q4",$M4841),"")</f>
        <v>[lLDyBx5XyUi]|35-49|Female|PMTCT_STAT_SUBNAT.N.New.Neg.T_1|CY2023Q3</v>
      </c>
    </row>
    <row r="4842" customFormat="false" ht="15" hidden="false" customHeight="false" outlineLevel="0" collapsed="false">
      <c r="D4842" s="0" t="s">
        <v>78</v>
      </c>
      <c r="E4842" s="0" t="s">
        <v>79</v>
      </c>
      <c r="F4842" s="0" t="s">
        <v>80</v>
      </c>
      <c r="G4842" s="0" t="s">
        <v>164</v>
      </c>
      <c r="H4842" s="0" t="s">
        <v>162</v>
      </c>
      <c r="I4842" s="0" t="s">
        <v>38</v>
      </c>
      <c r="J4842" s="0" t="s">
        <v>39</v>
      </c>
      <c r="K4842" s="0" t="s">
        <v>30</v>
      </c>
      <c r="L4842" s="0" t="s">
        <v>31</v>
      </c>
      <c r="M4842" s="0" t="s">
        <v>140</v>
      </c>
      <c r="N4842" s="0" t="n">
        <v>1240</v>
      </c>
      <c r="O4842" s="10" t="n">
        <v>0.129065079847351</v>
      </c>
      <c r="P4842" s="10" t="n">
        <v>0.831597982207313</v>
      </c>
      <c r="Q4842" s="0" t="str">
        <f aca="false">SUBSTITUTE(SUBSTITUTE($I4842,CHAR(61),""),CHAR(34),"")</f>
        <v>15-24</v>
      </c>
      <c r="R4842" s="0" t="str">
        <f aca="false">IF($D4842&lt;&gt;"","["&amp;$E4842&amp;"]"&amp;"|"&amp;$Q4842&amp;"|"&amp;$K4842&amp;"|"&amp;$G4842&amp;"|"&amp;IF($G4842="TX_CURR_SUBNAT.R","CY2022Q4",$M4842),"")</f>
        <v>[TYnMSwzko3z]|15-24|Female|PMTCT_STAT_SUBNAT.N.New.Neg.T_1|CY2023Q3</v>
      </c>
    </row>
    <row r="4843" customFormat="false" ht="15" hidden="false" customHeight="false" outlineLevel="0" collapsed="false">
      <c r="D4843" s="0" t="s">
        <v>78</v>
      </c>
      <c r="E4843" s="0" t="s">
        <v>79</v>
      </c>
      <c r="F4843" s="0" t="s">
        <v>80</v>
      </c>
      <c r="G4843" s="0" t="s">
        <v>164</v>
      </c>
      <c r="H4843" s="0" t="s">
        <v>162</v>
      </c>
      <c r="I4843" s="0" t="s">
        <v>41</v>
      </c>
      <c r="J4843" s="0" t="s">
        <v>42</v>
      </c>
      <c r="K4843" s="0" t="s">
        <v>30</v>
      </c>
      <c r="L4843" s="0" t="s">
        <v>31</v>
      </c>
      <c r="M4843" s="0" t="s">
        <v>140</v>
      </c>
      <c r="N4843" s="0" t="n">
        <v>1069</v>
      </c>
      <c r="O4843" s="10" t="n">
        <v>0.552932757185772</v>
      </c>
      <c r="P4843" s="10" t="n">
        <v>0.831597982207313</v>
      </c>
      <c r="Q4843" s="0" t="str">
        <f aca="false">SUBSTITUTE(SUBSTITUTE($I4843,CHAR(61),""),CHAR(34),"")</f>
        <v>25-34</v>
      </c>
      <c r="R4843" s="0" t="str">
        <f aca="false">IF($D4843&lt;&gt;"","["&amp;$E4843&amp;"]"&amp;"|"&amp;$Q4843&amp;"|"&amp;$K4843&amp;"|"&amp;$G4843&amp;"|"&amp;IF($G4843="TX_CURR_SUBNAT.R","CY2022Q4",$M4843),"")</f>
        <v>[TYnMSwzko3z]|25-34|Female|PMTCT_STAT_SUBNAT.N.New.Neg.T_1|CY2023Q3</v>
      </c>
    </row>
    <row r="4844" customFormat="false" ht="15" hidden="false" customHeight="false" outlineLevel="0" collapsed="false">
      <c r="D4844" s="0" t="s">
        <v>78</v>
      </c>
      <c r="E4844" s="0" t="s">
        <v>79</v>
      </c>
      <c r="F4844" s="0" t="s">
        <v>80</v>
      </c>
      <c r="G4844" s="0" t="s">
        <v>164</v>
      </c>
      <c r="H4844" s="0" t="s">
        <v>162</v>
      </c>
      <c r="I4844" s="0" t="s">
        <v>43</v>
      </c>
      <c r="J4844" s="0" t="s">
        <v>44</v>
      </c>
      <c r="K4844" s="0" t="s">
        <v>30</v>
      </c>
      <c r="L4844" s="0" t="s">
        <v>31</v>
      </c>
      <c r="M4844" s="0" t="s">
        <v>140</v>
      </c>
      <c r="N4844" s="0" t="n">
        <v>1544</v>
      </c>
      <c r="O4844" s="10" t="n">
        <v>0.937533402582631</v>
      </c>
      <c r="P4844" s="10" t="n">
        <v>0.831597982207313</v>
      </c>
      <c r="Q4844" s="0" t="str">
        <f aca="false">SUBSTITUTE(SUBSTITUTE($I4844,CHAR(61),""),CHAR(34),"")</f>
        <v>35-49</v>
      </c>
      <c r="R4844" s="0" t="str">
        <f aca="false">IF($D4844&lt;&gt;"","["&amp;$E4844&amp;"]"&amp;"|"&amp;$Q4844&amp;"|"&amp;$K4844&amp;"|"&amp;$G4844&amp;"|"&amp;IF($G4844="TX_CURR_SUBNAT.R","CY2022Q4",$M4844),"")</f>
        <v>[TYnMSwzko3z]|35-49|Female|PMTCT_STAT_SUBNAT.N.New.Neg.T_1|CY2023Q3</v>
      </c>
    </row>
    <row r="4845" customFormat="false" ht="15" hidden="false" customHeight="false" outlineLevel="0" collapsed="false">
      <c r="D4845" s="0" t="s">
        <v>81</v>
      </c>
      <c r="E4845" s="0" t="s">
        <v>82</v>
      </c>
      <c r="F4845" s="0" t="s">
        <v>83</v>
      </c>
      <c r="G4845" s="0" t="s">
        <v>164</v>
      </c>
      <c r="H4845" s="0" t="s">
        <v>162</v>
      </c>
      <c r="I4845" s="0" t="s">
        <v>38</v>
      </c>
      <c r="J4845" s="0" t="s">
        <v>39</v>
      </c>
      <c r="K4845" s="0" t="s">
        <v>30</v>
      </c>
      <c r="L4845" s="0" t="s">
        <v>31</v>
      </c>
      <c r="M4845" s="0" t="s">
        <v>140</v>
      </c>
      <c r="N4845" s="0" t="n">
        <v>1636</v>
      </c>
      <c r="O4845" s="10" t="n">
        <v>0.186145938467234</v>
      </c>
      <c r="P4845" s="10" t="n">
        <v>0.143331421539187</v>
      </c>
      <c r="Q4845" s="0" t="str">
        <f aca="false">SUBSTITUTE(SUBSTITUTE($I4845,CHAR(61),""),CHAR(34),"")</f>
        <v>15-24</v>
      </c>
      <c r="R4845" s="0" t="str">
        <f aca="false">IF($D4845&lt;&gt;"","["&amp;$E4845&amp;"]"&amp;"|"&amp;$Q4845&amp;"|"&amp;$K4845&amp;"|"&amp;$G4845&amp;"|"&amp;IF($G4845="TX_CURR_SUBNAT.R","CY2022Q4",$M4845),"")</f>
        <v>[ir8wuHHzoSs]|15-24|Female|PMTCT_STAT_SUBNAT.N.New.Neg.T_1|CY2023Q3</v>
      </c>
    </row>
    <row r="4846" customFormat="false" ht="15" hidden="false" customHeight="false" outlineLevel="0" collapsed="false">
      <c r="D4846" s="0" t="s">
        <v>81</v>
      </c>
      <c r="E4846" s="0" t="s">
        <v>82</v>
      </c>
      <c r="F4846" s="0" t="s">
        <v>83</v>
      </c>
      <c r="G4846" s="0" t="s">
        <v>164</v>
      </c>
      <c r="H4846" s="0" t="s">
        <v>162</v>
      </c>
      <c r="I4846" s="0" t="s">
        <v>41</v>
      </c>
      <c r="J4846" s="0" t="s">
        <v>42</v>
      </c>
      <c r="K4846" s="0" t="s">
        <v>30</v>
      </c>
      <c r="L4846" s="0" t="s">
        <v>31</v>
      </c>
      <c r="M4846" s="0" t="s">
        <v>140</v>
      </c>
      <c r="N4846" s="0" t="n">
        <v>688</v>
      </c>
      <c r="O4846" s="10" t="n">
        <v>0.32135297334753</v>
      </c>
      <c r="P4846" s="10" t="n">
        <v>0.143331421539187</v>
      </c>
      <c r="Q4846" s="0" t="str">
        <f aca="false">SUBSTITUTE(SUBSTITUTE($I4846,CHAR(61),""),CHAR(34),"")</f>
        <v>25-34</v>
      </c>
      <c r="R4846" s="0" t="str">
        <f aca="false">IF($D4846&lt;&gt;"","["&amp;$E4846&amp;"]"&amp;"|"&amp;$Q4846&amp;"|"&amp;$K4846&amp;"|"&amp;$G4846&amp;"|"&amp;IF($G4846="TX_CURR_SUBNAT.R","CY2022Q4",$M4846),"")</f>
        <v>[ir8wuHHzoSs]|25-34|Female|PMTCT_STAT_SUBNAT.N.New.Neg.T_1|CY2023Q3</v>
      </c>
    </row>
    <row r="4847" customFormat="false" ht="15" hidden="false" customHeight="false" outlineLevel="0" collapsed="false">
      <c r="D4847" s="0" t="s">
        <v>81</v>
      </c>
      <c r="E4847" s="0" t="s">
        <v>82</v>
      </c>
      <c r="F4847" s="0" t="s">
        <v>83</v>
      </c>
      <c r="G4847" s="0" t="s">
        <v>164</v>
      </c>
      <c r="H4847" s="0" t="s">
        <v>162</v>
      </c>
      <c r="I4847" s="0" t="s">
        <v>43</v>
      </c>
      <c r="J4847" s="0" t="s">
        <v>44</v>
      </c>
      <c r="K4847" s="0" t="s">
        <v>30</v>
      </c>
      <c r="L4847" s="0" t="s">
        <v>31</v>
      </c>
      <c r="M4847" s="0" t="s">
        <v>140</v>
      </c>
      <c r="N4847" s="0" t="n">
        <v>575</v>
      </c>
      <c r="O4847" s="10" t="n">
        <v>0.0769255745690316</v>
      </c>
      <c r="P4847" s="10" t="n">
        <v>0.143331421539187</v>
      </c>
      <c r="Q4847" s="0" t="str">
        <f aca="false">SUBSTITUTE(SUBSTITUTE($I4847,CHAR(61),""),CHAR(34),"")</f>
        <v>35-49</v>
      </c>
      <c r="R4847" s="0" t="str">
        <f aca="false">IF($D4847&lt;&gt;"","["&amp;$E4847&amp;"]"&amp;"|"&amp;$Q4847&amp;"|"&amp;$K4847&amp;"|"&amp;$G4847&amp;"|"&amp;IF($G4847="TX_CURR_SUBNAT.R","CY2022Q4",$M4847),"")</f>
        <v>[ir8wuHHzoSs]|35-49|Female|PMTCT_STAT_SUBNAT.N.New.Neg.T_1|CY2023Q3</v>
      </c>
    </row>
    <row r="4848" customFormat="false" ht="15" hidden="false" customHeight="false" outlineLevel="0" collapsed="false">
      <c r="D4848" s="0" t="s">
        <v>84</v>
      </c>
      <c r="E4848" s="0" t="s">
        <v>85</v>
      </c>
      <c r="F4848" s="0" t="s">
        <v>86</v>
      </c>
      <c r="G4848" s="0" t="s">
        <v>164</v>
      </c>
      <c r="H4848" s="0" t="s">
        <v>162</v>
      </c>
      <c r="I4848" s="0" t="s">
        <v>38</v>
      </c>
      <c r="J4848" s="0" t="s">
        <v>39</v>
      </c>
      <c r="K4848" s="0" t="s">
        <v>30</v>
      </c>
      <c r="L4848" s="0" t="s">
        <v>31</v>
      </c>
      <c r="M4848" s="0" t="s">
        <v>140</v>
      </c>
      <c r="N4848" s="0" t="n">
        <v>1137</v>
      </c>
      <c r="O4848" s="10" t="n">
        <v>0.498607785673812</v>
      </c>
      <c r="P4848" s="10" t="n">
        <v>0.0297887143678963</v>
      </c>
      <c r="Q4848" s="0" t="str">
        <f aca="false">SUBSTITUTE(SUBSTITUTE($I4848,CHAR(61),""),CHAR(34),"")</f>
        <v>15-24</v>
      </c>
      <c r="R4848" s="0" t="str">
        <f aca="false">IF($D4848&lt;&gt;"","["&amp;$E4848&amp;"]"&amp;"|"&amp;$Q4848&amp;"|"&amp;$K4848&amp;"|"&amp;$G4848&amp;"|"&amp;IF($G4848="TX_CURR_SUBNAT.R","CY2022Q4",$M4848),"")</f>
        <v>[fyEoGEPERdI]|15-24|Female|PMTCT_STAT_SUBNAT.N.New.Neg.T_1|CY2023Q3</v>
      </c>
    </row>
    <row r="4849" customFormat="false" ht="15" hidden="false" customHeight="false" outlineLevel="0" collapsed="false">
      <c r="D4849" s="0" t="s">
        <v>84</v>
      </c>
      <c r="E4849" s="0" t="s">
        <v>85</v>
      </c>
      <c r="F4849" s="0" t="s">
        <v>86</v>
      </c>
      <c r="G4849" s="0" t="s">
        <v>164</v>
      </c>
      <c r="H4849" s="0" t="s">
        <v>162</v>
      </c>
      <c r="I4849" s="0" t="s">
        <v>41</v>
      </c>
      <c r="J4849" s="0" t="s">
        <v>42</v>
      </c>
      <c r="K4849" s="0" t="s">
        <v>30</v>
      </c>
      <c r="L4849" s="0" t="s">
        <v>31</v>
      </c>
      <c r="M4849" s="0" t="s">
        <v>140</v>
      </c>
      <c r="N4849" s="0" t="n">
        <v>871</v>
      </c>
      <c r="O4849" s="10" t="n">
        <v>0.217438131105155</v>
      </c>
      <c r="P4849" s="10" t="n">
        <v>0.0297887143678963</v>
      </c>
      <c r="Q4849" s="0" t="str">
        <f aca="false">SUBSTITUTE(SUBSTITUTE($I4849,CHAR(61),""),CHAR(34),"")</f>
        <v>25-34</v>
      </c>
      <c r="R4849" s="0" t="str">
        <f aca="false">IF($D4849&lt;&gt;"","["&amp;$E4849&amp;"]"&amp;"|"&amp;$Q4849&amp;"|"&amp;$K4849&amp;"|"&amp;$G4849&amp;"|"&amp;IF($G4849="TX_CURR_SUBNAT.R","CY2022Q4",$M4849),"")</f>
        <v>[fyEoGEPERdI]|25-34|Female|PMTCT_STAT_SUBNAT.N.New.Neg.T_1|CY2023Q3</v>
      </c>
    </row>
    <row r="4850" customFormat="false" ht="15" hidden="false" customHeight="false" outlineLevel="0" collapsed="false">
      <c r="D4850" s="0" t="s">
        <v>84</v>
      </c>
      <c r="E4850" s="0" t="s">
        <v>85</v>
      </c>
      <c r="F4850" s="0" t="s">
        <v>86</v>
      </c>
      <c r="G4850" s="0" t="s">
        <v>164</v>
      </c>
      <c r="H4850" s="0" t="s">
        <v>162</v>
      </c>
      <c r="I4850" s="0" t="s">
        <v>43</v>
      </c>
      <c r="J4850" s="0" t="s">
        <v>44</v>
      </c>
      <c r="K4850" s="0" t="s">
        <v>30</v>
      </c>
      <c r="L4850" s="0" t="s">
        <v>31</v>
      </c>
      <c r="M4850" s="0" t="s">
        <v>140</v>
      </c>
      <c r="N4850" s="0" t="n">
        <v>1269</v>
      </c>
      <c r="O4850" s="10" t="n">
        <v>0.723238448845223</v>
      </c>
      <c r="P4850" s="10" t="n">
        <v>0.0297887143678963</v>
      </c>
      <c r="Q4850" s="0" t="str">
        <f aca="false">SUBSTITUTE(SUBSTITUTE($I4850,CHAR(61),""),CHAR(34),"")</f>
        <v>35-49</v>
      </c>
      <c r="R4850" s="0" t="str">
        <f aca="false">IF($D4850&lt;&gt;"","["&amp;$E4850&amp;"]"&amp;"|"&amp;$Q4850&amp;"|"&amp;$K4850&amp;"|"&amp;$G4850&amp;"|"&amp;IF($G4850="TX_CURR_SUBNAT.R","CY2022Q4",$M4850),"")</f>
        <v>[fyEoGEPERdI]|35-49|Female|PMTCT_STAT_SUBNAT.N.New.Neg.T_1|CY2023Q3</v>
      </c>
    </row>
    <row r="4851" customFormat="false" ht="15" hidden="false" customHeight="false" outlineLevel="0" collapsed="false">
      <c r="D4851" s="0" t="s">
        <v>87</v>
      </c>
      <c r="E4851" s="0" t="s">
        <v>88</v>
      </c>
      <c r="F4851" s="0" t="s">
        <v>89</v>
      </c>
      <c r="G4851" s="0" t="s">
        <v>164</v>
      </c>
      <c r="H4851" s="0" t="s">
        <v>162</v>
      </c>
      <c r="I4851" s="0" t="s">
        <v>38</v>
      </c>
      <c r="J4851" s="0" t="s">
        <v>39</v>
      </c>
      <c r="K4851" s="0" t="s">
        <v>30</v>
      </c>
      <c r="L4851" s="0" t="s">
        <v>31</v>
      </c>
      <c r="M4851" s="0" t="s">
        <v>140</v>
      </c>
      <c r="N4851" s="0" t="n">
        <v>651</v>
      </c>
      <c r="O4851" s="10" t="n">
        <v>0.545021997299045</v>
      </c>
      <c r="P4851" s="10" t="n">
        <v>0.133336380822584</v>
      </c>
      <c r="Q4851" s="0" t="str">
        <f aca="false">SUBSTITUTE(SUBSTITUTE($I4851,CHAR(61),""),CHAR(34),"")</f>
        <v>15-24</v>
      </c>
      <c r="R4851" s="0" t="str">
        <f aca="false">IF($D4851&lt;&gt;"","["&amp;$E4851&amp;"]"&amp;"|"&amp;$Q4851&amp;"|"&amp;$K4851&amp;"|"&amp;$G4851&amp;"|"&amp;IF($G4851="TX_CURR_SUBNAT.R","CY2022Q4",$M4851),"")</f>
        <v>[cPtvxaZqXIH]|15-24|Female|PMTCT_STAT_SUBNAT.N.New.Neg.T_1|CY2023Q3</v>
      </c>
    </row>
    <row r="4852" customFormat="false" ht="15" hidden="false" customHeight="false" outlineLevel="0" collapsed="false">
      <c r="D4852" s="0" t="s">
        <v>87</v>
      </c>
      <c r="E4852" s="0" t="s">
        <v>88</v>
      </c>
      <c r="F4852" s="0" t="s">
        <v>89</v>
      </c>
      <c r="G4852" s="0" t="s">
        <v>164</v>
      </c>
      <c r="H4852" s="0" t="s">
        <v>162</v>
      </c>
      <c r="I4852" s="0" t="s">
        <v>41</v>
      </c>
      <c r="J4852" s="0" t="s">
        <v>42</v>
      </c>
      <c r="K4852" s="0" t="s">
        <v>30</v>
      </c>
      <c r="L4852" s="0" t="s">
        <v>31</v>
      </c>
      <c r="M4852" s="0" t="s">
        <v>140</v>
      </c>
      <c r="N4852" s="0" t="n">
        <v>1740</v>
      </c>
      <c r="O4852" s="10" t="n">
        <v>0.568904850864783</v>
      </c>
      <c r="P4852" s="10" t="n">
        <v>0.133336380822584</v>
      </c>
      <c r="Q4852" s="0" t="str">
        <f aca="false">SUBSTITUTE(SUBSTITUTE($I4852,CHAR(61),""),CHAR(34),"")</f>
        <v>25-34</v>
      </c>
      <c r="R4852" s="0" t="str">
        <f aca="false">IF($D4852&lt;&gt;"","["&amp;$E4852&amp;"]"&amp;"|"&amp;$Q4852&amp;"|"&amp;$K4852&amp;"|"&amp;$G4852&amp;"|"&amp;IF($G4852="TX_CURR_SUBNAT.R","CY2022Q4",$M4852),"")</f>
        <v>[cPtvxaZqXIH]|25-34|Female|PMTCT_STAT_SUBNAT.N.New.Neg.T_1|CY2023Q3</v>
      </c>
    </row>
    <row r="4853" customFormat="false" ht="15" hidden="false" customHeight="false" outlineLevel="0" collapsed="false">
      <c r="D4853" s="0" t="s">
        <v>87</v>
      </c>
      <c r="E4853" s="0" t="s">
        <v>88</v>
      </c>
      <c r="F4853" s="0" t="s">
        <v>89</v>
      </c>
      <c r="G4853" s="0" t="s">
        <v>164</v>
      </c>
      <c r="H4853" s="0" t="s">
        <v>162</v>
      </c>
      <c r="I4853" s="0" t="s">
        <v>43</v>
      </c>
      <c r="J4853" s="0" t="s">
        <v>44</v>
      </c>
      <c r="K4853" s="0" t="s">
        <v>30</v>
      </c>
      <c r="L4853" s="0" t="s">
        <v>31</v>
      </c>
      <c r="M4853" s="0" t="s">
        <v>140</v>
      </c>
      <c r="N4853" s="0" t="n">
        <v>922</v>
      </c>
      <c r="O4853" s="10" t="n">
        <v>0.537532539106905</v>
      </c>
      <c r="P4853" s="10" t="n">
        <v>0.133336380822584</v>
      </c>
      <c r="Q4853" s="0" t="str">
        <f aca="false">SUBSTITUTE(SUBSTITUTE($I4853,CHAR(61),""),CHAR(34),"")</f>
        <v>35-49</v>
      </c>
      <c r="R4853" s="0" t="str">
        <f aca="false">IF($D4853&lt;&gt;"","["&amp;$E4853&amp;"]"&amp;"|"&amp;$Q4853&amp;"|"&amp;$K4853&amp;"|"&amp;$G4853&amp;"|"&amp;IF($G4853="TX_CURR_SUBNAT.R","CY2022Q4",$M4853),"")</f>
        <v>[cPtvxaZqXIH]|35-49|Female|PMTCT_STAT_SUBNAT.N.New.Neg.T_1|CY2023Q3</v>
      </c>
    </row>
    <row r="4854" customFormat="false" ht="15" hidden="false" customHeight="false" outlineLevel="0" collapsed="false">
      <c r="D4854" s="0" t="s">
        <v>90</v>
      </c>
      <c r="E4854" s="0" t="s">
        <v>91</v>
      </c>
      <c r="F4854" s="0" t="s">
        <v>92</v>
      </c>
      <c r="G4854" s="0" t="s">
        <v>164</v>
      </c>
      <c r="H4854" s="0" t="s">
        <v>162</v>
      </c>
      <c r="I4854" s="0" t="s">
        <v>38</v>
      </c>
      <c r="J4854" s="0" t="s">
        <v>39</v>
      </c>
      <c r="K4854" s="0" t="s">
        <v>30</v>
      </c>
      <c r="L4854" s="0" t="s">
        <v>31</v>
      </c>
      <c r="M4854" s="0" t="s">
        <v>140</v>
      </c>
      <c r="N4854" s="0" t="n">
        <v>1864</v>
      </c>
      <c r="O4854" s="10" t="n">
        <v>0.440386879257858</v>
      </c>
      <c r="P4854" s="10" t="n">
        <v>0.719914150424302</v>
      </c>
      <c r="Q4854" s="0" t="str">
        <f aca="false">SUBSTITUTE(SUBSTITUTE($I4854,CHAR(61),""),CHAR(34),"")</f>
        <v>15-24</v>
      </c>
      <c r="R4854" s="0" t="str">
        <f aca="false">IF($D4854&lt;&gt;"","["&amp;$E4854&amp;"]"&amp;"|"&amp;$Q4854&amp;"|"&amp;$K4854&amp;"|"&amp;$G4854&amp;"|"&amp;IF($G4854="TX_CURR_SUBNAT.R","CY2022Q4",$M4854),"")</f>
        <v>[AZyWpGzhcaA]|15-24|Female|PMTCT_STAT_SUBNAT.N.New.Neg.T_1|CY2023Q3</v>
      </c>
    </row>
    <row r="4855" customFormat="false" ht="15" hidden="false" customHeight="false" outlineLevel="0" collapsed="false">
      <c r="D4855" s="0" t="s">
        <v>90</v>
      </c>
      <c r="E4855" s="0" t="s">
        <v>91</v>
      </c>
      <c r="F4855" s="0" t="s">
        <v>92</v>
      </c>
      <c r="G4855" s="0" t="s">
        <v>164</v>
      </c>
      <c r="H4855" s="0" t="s">
        <v>162</v>
      </c>
      <c r="I4855" s="0" t="s">
        <v>41</v>
      </c>
      <c r="J4855" s="0" t="s">
        <v>42</v>
      </c>
      <c r="K4855" s="0" t="s">
        <v>30</v>
      </c>
      <c r="L4855" s="0" t="s">
        <v>31</v>
      </c>
      <c r="M4855" s="0" t="s">
        <v>140</v>
      </c>
      <c r="N4855" s="0" t="n">
        <v>1376</v>
      </c>
      <c r="O4855" s="10" t="n">
        <v>0.899355814326555</v>
      </c>
      <c r="P4855" s="10" t="n">
        <v>0.719914150424302</v>
      </c>
      <c r="Q4855" s="0" t="str">
        <f aca="false">SUBSTITUTE(SUBSTITUTE($I4855,CHAR(61),""),CHAR(34),"")</f>
        <v>25-34</v>
      </c>
      <c r="R4855" s="0" t="str">
        <f aca="false">IF($D4855&lt;&gt;"","["&amp;$E4855&amp;"]"&amp;"|"&amp;$Q4855&amp;"|"&amp;$K4855&amp;"|"&amp;$G4855&amp;"|"&amp;IF($G4855="TX_CURR_SUBNAT.R","CY2022Q4",$M4855),"")</f>
        <v>[AZyWpGzhcaA]|25-34|Female|PMTCT_STAT_SUBNAT.N.New.Neg.T_1|CY2023Q3</v>
      </c>
    </row>
    <row r="4856" customFormat="false" ht="15" hidden="false" customHeight="false" outlineLevel="0" collapsed="false">
      <c r="D4856" s="0" t="s">
        <v>90</v>
      </c>
      <c r="E4856" s="0" t="s">
        <v>91</v>
      </c>
      <c r="F4856" s="0" t="s">
        <v>92</v>
      </c>
      <c r="G4856" s="0" t="s">
        <v>164</v>
      </c>
      <c r="H4856" s="0" t="s">
        <v>162</v>
      </c>
      <c r="I4856" s="0" t="s">
        <v>43</v>
      </c>
      <c r="J4856" s="0" t="s">
        <v>44</v>
      </c>
      <c r="K4856" s="0" t="s">
        <v>30</v>
      </c>
      <c r="L4856" s="0" t="s">
        <v>31</v>
      </c>
      <c r="M4856" s="0" t="s">
        <v>140</v>
      </c>
      <c r="N4856" s="0" t="n">
        <v>1528</v>
      </c>
      <c r="O4856" s="10" t="n">
        <v>0.120479910867289</v>
      </c>
      <c r="P4856" s="10" t="n">
        <v>0.719914150424302</v>
      </c>
      <c r="Q4856" s="0" t="str">
        <f aca="false">SUBSTITUTE(SUBSTITUTE($I4856,CHAR(61),""),CHAR(34),"")</f>
        <v>35-49</v>
      </c>
      <c r="R4856" s="0" t="str">
        <f aca="false">IF($D4856&lt;&gt;"","["&amp;$E4856&amp;"]"&amp;"|"&amp;$Q4856&amp;"|"&amp;$K4856&amp;"|"&amp;$G4856&amp;"|"&amp;IF($G4856="TX_CURR_SUBNAT.R","CY2022Q4",$M4856),"")</f>
        <v>[AZyWpGzhcaA]|35-49|Female|PMTCT_STAT_SUBNAT.N.New.Neg.T_1|CY2023Q3</v>
      </c>
    </row>
    <row r="4857" customFormat="false" ht="15" hidden="false" customHeight="false" outlineLevel="0" collapsed="false">
      <c r="D4857" s="0" t="s">
        <v>93</v>
      </c>
      <c r="E4857" s="0" t="s">
        <v>94</v>
      </c>
      <c r="F4857" s="0" t="s">
        <v>95</v>
      </c>
      <c r="G4857" s="0" t="s">
        <v>164</v>
      </c>
      <c r="H4857" s="0" t="s">
        <v>162</v>
      </c>
      <c r="I4857" s="0" t="s">
        <v>38</v>
      </c>
      <c r="J4857" s="0" t="s">
        <v>39</v>
      </c>
      <c r="K4857" s="0" t="s">
        <v>30</v>
      </c>
      <c r="L4857" s="0" t="s">
        <v>31</v>
      </c>
      <c r="M4857" s="0" t="s">
        <v>140</v>
      </c>
      <c r="N4857" s="0" t="n">
        <v>1458</v>
      </c>
      <c r="O4857" s="10" t="n">
        <v>0.420624480349943</v>
      </c>
      <c r="P4857" s="10" t="n">
        <v>0.362272296566516</v>
      </c>
      <c r="Q4857" s="0" t="str">
        <f aca="false">SUBSTITUTE(SUBSTITUTE($I4857,CHAR(61),""),CHAR(34),"")</f>
        <v>15-24</v>
      </c>
      <c r="R4857" s="0" t="str">
        <f aca="false">IF($D4857&lt;&gt;"","["&amp;$E4857&amp;"]"&amp;"|"&amp;$Q4857&amp;"|"&amp;$K4857&amp;"|"&amp;$G4857&amp;"|"&amp;IF($G4857="TX_CURR_SUBNAT.R","CY2022Q4",$M4857),"")</f>
        <v>[umc2n1Z4wNv]|15-24|Female|PMTCT_STAT_SUBNAT.N.New.Neg.T_1|CY2023Q3</v>
      </c>
    </row>
    <row r="4858" customFormat="false" ht="15" hidden="false" customHeight="false" outlineLevel="0" collapsed="false">
      <c r="D4858" s="0" t="s">
        <v>93</v>
      </c>
      <c r="E4858" s="0" t="s">
        <v>94</v>
      </c>
      <c r="F4858" s="0" t="s">
        <v>95</v>
      </c>
      <c r="G4858" s="0" t="s">
        <v>164</v>
      </c>
      <c r="H4858" s="0" t="s">
        <v>162</v>
      </c>
      <c r="I4858" s="0" t="s">
        <v>41</v>
      </c>
      <c r="J4858" s="0" t="s">
        <v>42</v>
      </c>
      <c r="K4858" s="0" t="s">
        <v>30</v>
      </c>
      <c r="L4858" s="0" t="s">
        <v>31</v>
      </c>
      <c r="M4858" s="0" t="s">
        <v>140</v>
      </c>
      <c r="N4858" s="0" t="n">
        <v>1328</v>
      </c>
      <c r="O4858" s="10" t="n">
        <v>0.768710989039391</v>
      </c>
      <c r="P4858" s="10" t="n">
        <v>0.362272296566516</v>
      </c>
      <c r="Q4858" s="0" t="str">
        <f aca="false">SUBSTITUTE(SUBSTITUTE($I4858,CHAR(61),""),CHAR(34),"")</f>
        <v>25-34</v>
      </c>
      <c r="R4858" s="0" t="str">
        <f aca="false">IF($D4858&lt;&gt;"","["&amp;$E4858&amp;"]"&amp;"|"&amp;$Q4858&amp;"|"&amp;$K4858&amp;"|"&amp;$G4858&amp;"|"&amp;IF($G4858="TX_CURR_SUBNAT.R","CY2022Q4",$M4858),"")</f>
        <v>[umc2n1Z4wNv]|25-34|Female|PMTCT_STAT_SUBNAT.N.New.Neg.T_1|CY2023Q3</v>
      </c>
    </row>
    <row r="4859" customFormat="false" ht="15" hidden="false" customHeight="false" outlineLevel="0" collapsed="false">
      <c r="D4859" s="0" t="s">
        <v>93</v>
      </c>
      <c r="E4859" s="0" t="s">
        <v>94</v>
      </c>
      <c r="F4859" s="0" t="s">
        <v>95</v>
      </c>
      <c r="G4859" s="0" t="s">
        <v>164</v>
      </c>
      <c r="H4859" s="0" t="s">
        <v>162</v>
      </c>
      <c r="I4859" s="0" t="s">
        <v>43</v>
      </c>
      <c r="J4859" s="0" t="s">
        <v>44</v>
      </c>
      <c r="K4859" s="0" t="s">
        <v>30</v>
      </c>
      <c r="L4859" s="0" t="s">
        <v>31</v>
      </c>
      <c r="M4859" s="0" t="s">
        <v>140</v>
      </c>
      <c r="N4859" s="0" t="n">
        <v>1616</v>
      </c>
      <c r="O4859" s="10" t="n">
        <v>0.649560187011957</v>
      </c>
      <c r="P4859" s="10" t="n">
        <v>0.362272296566516</v>
      </c>
      <c r="Q4859" s="0" t="str">
        <f aca="false">SUBSTITUTE(SUBSTITUTE($I4859,CHAR(61),""),CHAR(34),"")</f>
        <v>35-49</v>
      </c>
      <c r="R4859" s="0" t="str">
        <f aca="false">IF($D4859&lt;&gt;"","["&amp;$E4859&amp;"]"&amp;"|"&amp;$Q4859&amp;"|"&amp;$K4859&amp;"|"&amp;$G4859&amp;"|"&amp;IF($G4859="TX_CURR_SUBNAT.R","CY2022Q4",$M4859),"")</f>
        <v>[umc2n1Z4wNv]|35-49|Female|PMTCT_STAT_SUBNAT.N.New.Neg.T_1|CY2023Q3</v>
      </c>
    </row>
    <row r="4860" customFormat="false" ht="15" hidden="false" customHeight="false" outlineLevel="0" collapsed="false">
      <c r="D4860" s="0" t="s">
        <v>96</v>
      </c>
      <c r="E4860" s="0" t="s">
        <v>97</v>
      </c>
      <c r="F4860" s="0" t="s">
        <v>98</v>
      </c>
      <c r="G4860" s="0" t="s">
        <v>164</v>
      </c>
      <c r="H4860" s="0" t="s">
        <v>162</v>
      </c>
      <c r="I4860" s="0" t="s">
        <v>38</v>
      </c>
      <c r="J4860" s="0" t="s">
        <v>39</v>
      </c>
      <c r="K4860" s="0" t="s">
        <v>30</v>
      </c>
      <c r="L4860" s="0" t="s">
        <v>31</v>
      </c>
      <c r="M4860" s="0" t="s">
        <v>140</v>
      </c>
      <c r="N4860" s="0" t="n">
        <v>1747</v>
      </c>
      <c r="O4860" s="10" t="n">
        <v>0.30852452875115</v>
      </c>
      <c r="P4860" s="10" t="n">
        <v>0.601251717889681</v>
      </c>
      <c r="Q4860" s="0" t="str">
        <f aca="false">SUBSTITUTE(SUBSTITUTE($I4860,CHAR(61),""),CHAR(34),"")</f>
        <v>15-24</v>
      </c>
      <c r="R4860" s="0" t="str">
        <f aca="false">IF($D4860&lt;&gt;"","["&amp;$E4860&amp;"]"&amp;"|"&amp;$Q4860&amp;"|"&amp;$K4860&amp;"|"&amp;$G4860&amp;"|"&amp;IF($G4860="TX_CURR_SUBNAT.R","CY2022Q4",$M4860),"")</f>
        <v>[gwVYinjBAe9]|15-24|Female|PMTCT_STAT_SUBNAT.N.New.Neg.T_1|CY2023Q3</v>
      </c>
    </row>
    <row r="4861" customFormat="false" ht="15" hidden="false" customHeight="false" outlineLevel="0" collapsed="false">
      <c r="D4861" s="0" t="s">
        <v>96</v>
      </c>
      <c r="E4861" s="0" t="s">
        <v>97</v>
      </c>
      <c r="F4861" s="0" t="s">
        <v>98</v>
      </c>
      <c r="G4861" s="0" t="s">
        <v>164</v>
      </c>
      <c r="H4861" s="0" t="s">
        <v>162</v>
      </c>
      <c r="I4861" s="0" t="s">
        <v>41</v>
      </c>
      <c r="J4861" s="0" t="s">
        <v>42</v>
      </c>
      <c r="K4861" s="0" t="s">
        <v>30</v>
      </c>
      <c r="L4861" s="0" t="s">
        <v>31</v>
      </c>
      <c r="M4861" s="0" t="s">
        <v>140</v>
      </c>
      <c r="N4861" s="0" t="n">
        <v>567</v>
      </c>
      <c r="O4861" s="10" t="n">
        <v>0.0813917419873178</v>
      </c>
      <c r="P4861" s="10" t="n">
        <v>0.601251717889681</v>
      </c>
      <c r="Q4861" s="0" t="str">
        <f aca="false">SUBSTITUTE(SUBSTITUTE($I4861,CHAR(61),""),CHAR(34),"")</f>
        <v>25-34</v>
      </c>
      <c r="R4861" s="0" t="str">
        <f aca="false">IF($D4861&lt;&gt;"","["&amp;$E4861&amp;"]"&amp;"|"&amp;$Q4861&amp;"|"&amp;$K4861&amp;"|"&amp;$G4861&amp;"|"&amp;IF($G4861="TX_CURR_SUBNAT.R","CY2022Q4",$M4861),"")</f>
        <v>[gwVYinjBAe9]|25-34|Female|PMTCT_STAT_SUBNAT.N.New.Neg.T_1|CY2023Q3</v>
      </c>
    </row>
    <row r="4862" customFormat="false" ht="15" hidden="false" customHeight="false" outlineLevel="0" collapsed="false">
      <c r="D4862" s="0" t="s">
        <v>96</v>
      </c>
      <c r="E4862" s="0" t="s">
        <v>97</v>
      </c>
      <c r="F4862" s="0" t="s">
        <v>98</v>
      </c>
      <c r="G4862" s="0" t="s">
        <v>164</v>
      </c>
      <c r="H4862" s="0" t="s">
        <v>162</v>
      </c>
      <c r="I4862" s="0" t="s">
        <v>43</v>
      </c>
      <c r="J4862" s="0" t="s">
        <v>44</v>
      </c>
      <c r="K4862" s="0" t="s">
        <v>30</v>
      </c>
      <c r="L4862" s="0" t="s">
        <v>31</v>
      </c>
      <c r="M4862" s="0" t="s">
        <v>140</v>
      </c>
      <c r="N4862" s="0" t="n">
        <v>1254</v>
      </c>
      <c r="O4862" s="10" t="n">
        <v>0.983566817361861</v>
      </c>
      <c r="P4862" s="10" t="n">
        <v>0.601251717889681</v>
      </c>
      <c r="Q4862" s="0" t="str">
        <f aca="false">SUBSTITUTE(SUBSTITUTE($I4862,CHAR(61),""),CHAR(34),"")</f>
        <v>35-49</v>
      </c>
      <c r="R4862" s="0" t="str">
        <f aca="false">IF($D4862&lt;&gt;"","["&amp;$E4862&amp;"]"&amp;"|"&amp;$Q4862&amp;"|"&amp;$K4862&amp;"|"&amp;$G4862&amp;"|"&amp;IF($G4862="TX_CURR_SUBNAT.R","CY2022Q4",$M4862),"")</f>
        <v>[gwVYinjBAe9]|35-49|Female|PMTCT_STAT_SUBNAT.N.New.Neg.T_1|CY2023Q3</v>
      </c>
    </row>
    <row r="4863" customFormat="false" ht="15" hidden="false" customHeight="false" outlineLevel="0" collapsed="false">
      <c r="D4863" s="0" t="s">
        <v>99</v>
      </c>
      <c r="E4863" s="0" t="s">
        <v>100</v>
      </c>
      <c r="F4863" s="0" t="s">
        <v>101</v>
      </c>
      <c r="G4863" s="0" t="s">
        <v>164</v>
      </c>
      <c r="H4863" s="0" t="s">
        <v>162</v>
      </c>
      <c r="I4863" s="0" t="s">
        <v>38</v>
      </c>
      <c r="J4863" s="0" t="s">
        <v>39</v>
      </c>
      <c r="K4863" s="0" t="s">
        <v>30</v>
      </c>
      <c r="L4863" s="0" t="s">
        <v>31</v>
      </c>
      <c r="M4863" s="0" t="s">
        <v>140</v>
      </c>
      <c r="N4863" s="0" t="n">
        <v>524</v>
      </c>
      <c r="O4863" s="10" t="n">
        <v>0.359453858807683</v>
      </c>
      <c r="P4863" s="10" t="n">
        <v>0.577288038097322</v>
      </c>
      <c r="Q4863" s="0" t="str">
        <f aca="false">SUBSTITUTE(SUBSTITUTE($I4863,CHAR(61),""),CHAR(34),"")</f>
        <v>15-24</v>
      </c>
      <c r="R4863" s="0" t="str">
        <f aca="false">IF($D4863&lt;&gt;"","["&amp;$E4863&amp;"]"&amp;"|"&amp;$Q4863&amp;"|"&amp;$K4863&amp;"|"&amp;$G4863&amp;"|"&amp;IF($G4863="TX_CURR_SUBNAT.R","CY2022Q4",$M4863),"")</f>
        <v>[mxqa3CDFmIT]|15-24|Female|PMTCT_STAT_SUBNAT.N.New.Neg.T_1|CY2023Q3</v>
      </c>
    </row>
    <row r="4864" customFormat="false" ht="15" hidden="false" customHeight="false" outlineLevel="0" collapsed="false">
      <c r="D4864" s="0" t="s">
        <v>99</v>
      </c>
      <c r="E4864" s="0" t="s">
        <v>100</v>
      </c>
      <c r="F4864" s="0" t="s">
        <v>101</v>
      </c>
      <c r="G4864" s="0" t="s">
        <v>164</v>
      </c>
      <c r="H4864" s="0" t="s">
        <v>162</v>
      </c>
      <c r="I4864" s="0" t="s">
        <v>41</v>
      </c>
      <c r="J4864" s="0" t="s">
        <v>42</v>
      </c>
      <c r="K4864" s="0" t="s">
        <v>30</v>
      </c>
      <c r="L4864" s="0" t="s">
        <v>31</v>
      </c>
      <c r="M4864" s="0" t="s">
        <v>140</v>
      </c>
      <c r="N4864" s="0" t="n">
        <v>1502</v>
      </c>
      <c r="O4864" s="10" t="n">
        <v>0.698297159513459</v>
      </c>
      <c r="P4864" s="10" t="n">
        <v>0.577288038097322</v>
      </c>
      <c r="Q4864" s="0" t="str">
        <f aca="false">SUBSTITUTE(SUBSTITUTE($I4864,CHAR(61),""),CHAR(34),"")</f>
        <v>25-34</v>
      </c>
      <c r="R4864" s="0" t="str">
        <f aca="false">IF($D4864&lt;&gt;"","["&amp;$E4864&amp;"]"&amp;"|"&amp;$Q4864&amp;"|"&amp;$K4864&amp;"|"&amp;$G4864&amp;"|"&amp;IF($G4864="TX_CURR_SUBNAT.R","CY2022Q4",$M4864),"")</f>
        <v>[mxqa3CDFmIT]|25-34|Female|PMTCT_STAT_SUBNAT.N.New.Neg.T_1|CY2023Q3</v>
      </c>
    </row>
    <row r="4865" customFormat="false" ht="15" hidden="false" customHeight="false" outlineLevel="0" collapsed="false">
      <c r="D4865" s="0" t="s">
        <v>99</v>
      </c>
      <c r="E4865" s="0" t="s">
        <v>100</v>
      </c>
      <c r="F4865" s="0" t="s">
        <v>101</v>
      </c>
      <c r="G4865" s="0" t="s">
        <v>164</v>
      </c>
      <c r="H4865" s="0" t="s">
        <v>162</v>
      </c>
      <c r="I4865" s="0" t="s">
        <v>43</v>
      </c>
      <c r="J4865" s="0" t="s">
        <v>44</v>
      </c>
      <c r="K4865" s="0" t="s">
        <v>30</v>
      </c>
      <c r="L4865" s="0" t="s">
        <v>31</v>
      </c>
      <c r="M4865" s="0" t="s">
        <v>140</v>
      </c>
      <c r="N4865" s="0" t="n">
        <v>835</v>
      </c>
      <c r="O4865" s="10" t="n">
        <v>0.338744405191392</v>
      </c>
      <c r="P4865" s="10" t="n">
        <v>0.577288038097322</v>
      </c>
      <c r="Q4865" s="0" t="str">
        <f aca="false">SUBSTITUTE(SUBSTITUTE($I4865,CHAR(61),""),CHAR(34),"")</f>
        <v>35-49</v>
      </c>
      <c r="R4865" s="0" t="str">
        <f aca="false">IF($D4865&lt;&gt;"","["&amp;$E4865&amp;"]"&amp;"|"&amp;$Q4865&amp;"|"&amp;$K4865&amp;"|"&amp;$G4865&amp;"|"&amp;IF($G4865="TX_CURR_SUBNAT.R","CY2022Q4",$M4865),"")</f>
        <v>[mxqa3CDFmIT]|35-49|Female|PMTCT_STAT_SUBNAT.N.New.Neg.T_1|CY2023Q3</v>
      </c>
    </row>
    <row r="4866" customFormat="false" ht="15" hidden="false" customHeight="false" outlineLevel="0" collapsed="false">
      <c r="D4866" s="0" t="s">
        <v>102</v>
      </c>
      <c r="E4866" s="0" t="s">
        <v>103</v>
      </c>
      <c r="F4866" s="0" t="s">
        <v>104</v>
      </c>
      <c r="G4866" s="0" t="s">
        <v>164</v>
      </c>
      <c r="H4866" s="0" t="s">
        <v>162</v>
      </c>
      <c r="I4866" s="0" t="s">
        <v>38</v>
      </c>
      <c r="J4866" s="0" t="s">
        <v>39</v>
      </c>
      <c r="K4866" s="0" t="s">
        <v>30</v>
      </c>
      <c r="L4866" s="0" t="s">
        <v>31</v>
      </c>
      <c r="M4866" s="0" t="s">
        <v>140</v>
      </c>
      <c r="N4866" s="0" t="n">
        <v>1321</v>
      </c>
      <c r="O4866" s="10" t="n">
        <v>0.514575033215806</v>
      </c>
      <c r="P4866" s="10" t="n">
        <v>0.526212359312922</v>
      </c>
      <c r="Q4866" s="0" t="str">
        <f aca="false">SUBSTITUTE(SUBSTITUTE($I4866,CHAR(61),""),CHAR(34),"")</f>
        <v>15-24</v>
      </c>
      <c r="R4866" s="0" t="str">
        <f aca="false">IF($D4866&lt;&gt;"","["&amp;$E4866&amp;"]"&amp;"|"&amp;$Q4866&amp;"|"&amp;$K4866&amp;"|"&amp;$G4866&amp;"|"&amp;IF($G4866="TX_CURR_SUBNAT.R","CY2022Q4",$M4866),"")</f>
        <v>[wNqJp8oRIcF]|15-24|Female|PMTCT_STAT_SUBNAT.N.New.Neg.T_1|CY2023Q3</v>
      </c>
    </row>
    <row r="4867" customFormat="false" ht="15" hidden="false" customHeight="false" outlineLevel="0" collapsed="false">
      <c r="D4867" s="0" t="s">
        <v>102</v>
      </c>
      <c r="E4867" s="0" t="s">
        <v>103</v>
      </c>
      <c r="F4867" s="0" t="s">
        <v>104</v>
      </c>
      <c r="G4867" s="0" t="s">
        <v>164</v>
      </c>
      <c r="H4867" s="0" t="s">
        <v>162</v>
      </c>
      <c r="I4867" s="0" t="s">
        <v>41</v>
      </c>
      <c r="J4867" s="0" t="s">
        <v>42</v>
      </c>
      <c r="K4867" s="0" t="s">
        <v>30</v>
      </c>
      <c r="L4867" s="0" t="s">
        <v>31</v>
      </c>
      <c r="M4867" s="0" t="s">
        <v>140</v>
      </c>
      <c r="N4867" s="0" t="n">
        <v>1390</v>
      </c>
      <c r="O4867" s="10" t="n">
        <v>0.997698859544471</v>
      </c>
      <c r="P4867" s="10" t="n">
        <v>0.526212359312922</v>
      </c>
      <c r="Q4867" s="0" t="str">
        <f aca="false">SUBSTITUTE(SUBSTITUTE($I4867,CHAR(61),""),CHAR(34),"")</f>
        <v>25-34</v>
      </c>
      <c r="R4867" s="0" t="str">
        <f aca="false">IF($D4867&lt;&gt;"","["&amp;$E4867&amp;"]"&amp;"|"&amp;$Q4867&amp;"|"&amp;$K4867&amp;"|"&amp;$G4867&amp;"|"&amp;IF($G4867="TX_CURR_SUBNAT.R","CY2022Q4",$M4867),"")</f>
        <v>[wNqJp8oRIcF]|25-34|Female|PMTCT_STAT_SUBNAT.N.New.Neg.T_1|CY2023Q3</v>
      </c>
    </row>
    <row r="4868" customFormat="false" ht="15" hidden="false" customHeight="false" outlineLevel="0" collapsed="false">
      <c r="D4868" s="0" t="s">
        <v>102</v>
      </c>
      <c r="E4868" s="0" t="s">
        <v>103</v>
      </c>
      <c r="F4868" s="0" t="s">
        <v>104</v>
      </c>
      <c r="G4868" s="0" t="s">
        <v>164</v>
      </c>
      <c r="H4868" s="0" t="s">
        <v>162</v>
      </c>
      <c r="I4868" s="0" t="s">
        <v>43</v>
      </c>
      <c r="J4868" s="0" t="s">
        <v>44</v>
      </c>
      <c r="K4868" s="0" t="s">
        <v>30</v>
      </c>
      <c r="L4868" s="0" t="s">
        <v>31</v>
      </c>
      <c r="M4868" s="0" t="s">
        <v>140</v>
      </c>
      <c r="N4868" s="0" t="n">
        <v>1955</v>
      </c>
      <c r="O4868" s="10" t="n">
        <v>0.559018702479079</v>
      </c>
      <c r="P4868" s="10" t="n">
        <v>0.526212359312922</v>
      </c>
      <c r="Q4868" s="0" t="str">
        <f aca="false">SUBSTITUTE(SUBSTITUTE($I4868,CHAR(61),""),CHAR(34),"")</f>
        <v>35-49</v>
      </c>
      <c r="R4868" s="0" t="str">
        <f aca="false">IF($D4868&lt;&gt;"","["&amp;$E4868&amp;"]"&amp;"|"&amp;$Q4868&amp;"|"&amp;$K4868&amp;"|"&amp;$G4868&amp;"|"&amp;IF($G4868="TX_CURR_SUBNAT.R","CY2022Q4",$M4868),"")</f>
        <v>[wNqJp8oRIcF]|35-49|Female|PMTCT_STAT_SUBNAT.N.New.Neg.T_1|CY2023Q3</v>
      </c>
    </row>
    <row r="4869" customFormat="false" ht="15" hidden="false" customHeight="false" outlineLevel="0" collapsed="false">
      <c r="D4869" s="0" t="s">
        <v>105</v>
      </c>
      <c r="E4869" s="0" t="s">
        <v>106</v>
      </c>
      <c r="F4869" s="0" t="s">
        <v>107</v>
      </c>
      <c r="G4869" s="0" t="s">
        <v>164</v>
      </c>
      <c r="H4869" s="0" t="s">
        <v>162</v>
      </c>
      <c r="I4869" s="0" t="s">
        <v>38</v>
      </c>
      <c r="J4869" s="0" t="s">
        <v>39</v>
      </c>
      <c r="K4869" s="0" t="s">
        <v>30</v>
      </c>
      <c r="L4869" s="0" t="s">
        <v>31</v>
      </c>
      <c r="M4869" s="0" t="s">
        <v>140</v>
      </c>
      <c r="N4869" s="0" t="n">
        <v>1786</v>
      </c>
      <c r="O4869" s="10" t="n">
        <v>0.923476405441761</v>
      </c>
      <c r="P4869" s="10" t="n">
        <v>0.218249560333788</v>
      </c>
      <c r="Q4869" s="0" t="str">
        <f aca="false">SUBSTITUTE(SUBSTITUTE($I4869,CHAR(61),""),CHAR(34),"")</f>
        <v>15-24</v>
      </c>
      <c r="R4869" s="0" t="str">
        <f aca="false">IF($D4869&lt;&gt;"","["&amp;$E4869&amp;"]"&amp;"|"&amp;$Q4869&amp;"|"&amp;$K4869&amp;"|"&amp;$G4869&amp;"|"&amp;IF($G4869="TX_CURR_SUBNAT.R","CY2022Q4",$M4869),"")</f>
        <v>[oiPR2CiVJbf]|15-24|Female|PMTCT_STAT_SUBNAT.N.New.Neg.T_1|CY2023Q3</v>
      </c>
    </row>
    <row r="4870" customFormat="false" ht="15" hidden="false" customHeight="false" outlineLevel="0" collapsed="false">
      <c r="D4870" s="0" t="s">
        <v>105</v>
      </c>
      <c r="E4870" s="0" t="s">
        <v>106</v>
      </c>
      <c r="F4870" s="0" t="s">
        <v>107</v>
      </c>
      <c r="G4870" s="0" t="s">
        <v>164</v>
      </c>
      <c r="H4870" s="0" t="s">
        <v>162</v>
      </c>
      <c r="I4870" s="0" t="s">
        <v>41</v>
      </c>
      <c r="J4870" s="0" t="s">
        <v>42</v>
      </c>
      <c r="K4870" s="0" t="s">
        <v>30</v>
      </c>
      <c r="L4870" s="0" t="s">
        <v>31</v>
      </c>
      <c r="M4870" s="0" t="s">
        <v>140</v>
      </c>
      <c r="N4870" s="0" t="n">
        <v>1312</v>
      </c>
      <c r="O4870" s="10" t="n">
        <v>0.215355021879077</v>
      </c>
      <c r="P4870" s="10" t="n">
        <v>0.218249560333788</v>
      </c>
      <c r="Q4870" s="0" t="str">
        <f aca="false">SUBSTITUTE(SUBSTITUTE($I4870,CHAR(61),""),CHAR(34),"")</f>
        <v>25-34</v>
      </c>
      <c r="R4870" s="0" t="str">
        <f aca="false">IF($D4870&lt;&gt;"","["&amp;$E4870&amp;"]"&amp;"|"&amp;$Q4870&amp;"|"&amp;$K4870&amp;"|"&amp;$G4870&amp;"|"&amp;IF($G4870="TX_CURR_SUBNAT.R","CY2022Q4",$M4870),"")</f>
        <v>[oiPR2CiVJbf]|25-34|Female|PMTCT_STAT_SUBNAT.N.New.Neg.T_1|CY2023Q3</v>
      </c>
    </row>
    <row r="4871" customFormat="false" ht="15" hidden="false" customHeight="false" outlineLevel="0" collapsed="false">
      <c r="D4871" s="0" t="s">
        <v>105</v>
      </c>
      <c r="E4871" s="0" t="s">
        <v>106</v>
      </c>
      <c r="F4871" s="0" t="s">
        <v>107</v>
      </c>
      <c r="G4871" s="0" t="s">
        <v>164</v>
      </c>
      <c r="H4871" s="0" t="s">
        <v>162</v>
      </c>
      <c r="I4871" s="0" t="s">
        <v>43</v>
      </c>
      <c r="J4871" s="0" t="s">
        <v>44</v>
      </c>
      <c r="K4871" s="0" t="s">
        <v>30</v>
      </c>
      <c r="L4871" s="0" t="s">
        <v>31</v>
      </c>
      <c r="M4871" s="0" t="s">
        <v>140</v>
      </c>
      <c r="N4871" s="0" t="n">
        <v>1631</v>
      </c>
      <c r="O4871" s="10" t="n">
        <v>0.27803014125675</v>
      </c>
      <c r="P4871" s="10" t="n">
        <v>0.218249560333788</v>
      </c>
      <c r="Q4871" s="0" t="str">
        <f aca="false">SUBSTITUTE(SUBSTITUTE($I4871,CHAR(61),""),CHAR(34),"")</f>
        <v>35-49</v>
      </c>
      <c r="R4871" s="0" t="str">
        <f aca="false">IF($D4871&lt;&gt;"","["&amp;$E4871&amp;"]"&amp;"|"&amp;$Q4871&amp;"|"&amp;$K4871&amp;"|"&amp;$G4871&amp;"|"&amp;IF($G4871="TX_CURR_SUBNAT.R","CY2022Q4",$M4871),"")</f>
        <v>[oiPR2CiVJbf]|35-49|Female|PMTCT_STAT_SUBNAT.N.New.Neg.T_1|CY2023Q3</v>
      </c>
    </row>
    <row r="4872" customFormat="false" ht="15" hidden="false" customHeight="false" outlineLevel="0" collapsed="false">
      <c r="D4872" s="0" t="s">
        <v>108</v>
      </c>
      <c r="E4872" s="0" t="s">
        <v>109</v>
      </c>
      <c r="F4872" s="0" t="s">
        <v>110</v>
      </c>
      <c r="G4872" s="0" t="s">
        <v>164</v>
      </c>
      <c r="H4872" s="0" t="s">
        <v>162</v>
      </c>
      <c r="I4872" s="0" t="s">
        <v>38</v>
      </c>
      <c r="J4872" s="0" t="s">
        <v>39</v>
      </c>
      <c r="K4872" s="0" t="s">
        <v>30</v>
      </c>
      <c r="L4872" s="0" t="s">
        <v>31</v>
      </c>
      <c r="M4872" s="0" t="s">
        <v>140</v>
      </c>
      <c r="N4872" s="0" t="n">
        <v>978</v>
      </c>
      <c r="O4872" s="10" t="n">
        <v>0.78763313847594</v>
      </c>
      <c r="P4872" s="10" t="n">
        <v>0.434221804374829</v>
      </c>
      <c r="Q4872" s="0" t="str">
        <f aca="false">SUBSTITUTE(SUBSTITUTE($I4872,CHAR(61),""),CHAR(34),"")</f>
        <v>15-24</v>
      </c>
      <c r="R4872" s="0" t="str">
        <f aca="false">IF($D4872&lt;&gt;"","["&amp;$E4872&amp;"]"&amp;"|"&amp;$Q4872&amp;"|"&amp;$K4872&amp;"|"&amp;$G4872&amp;"|"&amp;IF($G4872="TX_CURR_SUBNAT.R","CY2022Q4",$M4872),"")</f>
        <v>[ul0y9diGujK]|15-24|Female|PMTCT_STAT_SUBNAT.N.New.Neg.T_1|CY2023Q3</v>
      </c>
    </row>
    <row r="4873" customFormat="false" ht="15" hidden="false" customHeight="false" outlineLevel="0" collapsed="false">
      <c r="D4873" s="0" t="s">
        <v>108</v>
      </c>
      <c r="E4873" s="0" t="s">
        <v>109</v>
      </c>
      <c r="F4873" s="0" t="s">
        <v>110</v>
      </c>
      <c r="G4873" s="0" t="s">
        <v>164</v>
      </c>
      <c r="H4873" s="0" t="s">
        <v>162</v>
      </c>
      <c r="I4873" s="0" t="s">
        <v>41</v>
      </c>
      <c r="J4873" s="0" t="s">
        <v>42</v>
      </c>
      <c r="K4873" s="0" t="s">
        <v>30</v>
      </c>
      <c r="L4873" s="0" t="s">
        <v>31</v>
      </c>
      <c r="M4873" s="0" t="s">
        <v>140</v>
      </c>
      <c r="N4873" s="0" t="n">
        <v>1603</v>
      </c>
      <c r="O4873" s="10" t="n">
        <v>0.623701858799905</v>
      </c>
      <c r="P4873" s="10" t="n">
        <v>0.434221804374829</v>
      </c>
      <c r="Q4873" s="0" t="str">
        <f aca="false">SUBSTITUTE(SUBSTITUTE($I4873,CHAR(61),""),CHAR(34),"")</f>
        <v>25-34</v>
      </c>
      <c r="R4873" s="0" t="str">
        <f aca="false">IF($D4873&lt;&gt;"","["&amp;$E4873&amp;"]"&amp;"|"&amp;$Q4873&amp;"|"&amp;$K4873&amp;"|"&amp;$G4873&amp;"|"&amp;IF($G4873="TX_CURR_SUBNAT.R","CY2022Q4",$M4873),"")</f>
        <v>[ul0y9diGujK]|25-34|Female|PMTCT_STAT_SUBNAT.N.New.Neg.T_1|CY2023Q3</v>
      </c>
    </row>
    <row r="4874" customFormat="false" ht="15" hidden="false" customHeight="false" outlineLevel="0" collapsed="false">
      <c r="D4874" s="0" t="s">
        <v>108</v>
      </c>
      <c r="E4874" s="0" t="s">
        <v>109</v>
      </c>
      <c r="F4874" s="0" t="s">
        <v>110</v>
      </c>
      <c r="G4874" s="0" t="s">
        <v>164</v>
      </c>
      <c r="H4874" s="0" t="s">
        <v>162</v>
      </c>
      <c r="I4874" s="0" t="s">
        <v>43</v>
      </c>
      <c r="J4874" s="0" t="s">
        <v>44</v>
      </c>
      <c r="K4874" s="0" t="s">
        <v>30</v>
      </c>
      <c r="L4874" s="0" t="s">
        <v>31</v>
      </c>
      <c r="M4874" s="0" t="s">
        <v>140</v>
      </c>
      <c r="N4874" s="0" t="n">
        <v>1490</v>
      </c>
      <c r="O4874" s="10" t="n">
        <v>0.507592210313305</v>
      </c>
      <c r="P4874" s="10" t="n">
        <v>0.434221804374829</v>
      </c>
      <c r="Q4874" s="0" t="str">
        <f aca="false">SUBSTITUTE(SUBSTITUTE($I4874,CHAR(61),""),CHAR(34),"")</f>
        <v>35-49</v>
      </c>
      <c r="R4874" s="0" t="str">
        <f aca="false">IF($D4874&lt;&gt;"","["&amp;$E4874&amp;"]"&amp;"|"&amp;$Q4874&amp;"|"&amp;$K4874&amp;"|"&amp;$G4874&amp;"|"&amp;IF($G4874="TX_CURR_SUBNAT.R","CY2022Q4",$M4874),"")</f>
        <v>[ul0y9diGujK]|35-49|Female|PMTCT_STAT_SUBNAT.N.New.Neg.T_1|CY2023Q3</v>
      </c>
    </row>
    <row r="4875" customFormat="false" ht="15" hidden="false" customHeight="false" outlineLevel="0" collapsed="false">
      <c r="D4875" s="0" t="s">
        <v>111</v>
      </c>
      <c r="E4875" s="0" t="s">
        <v>112</v>
      </c>
      <c r="F4875" s="0" t="s">
        <v>113</v>
      </c>
      <c r="G4875" s="0" t="s">
        <v>164</v>
      </c>
      <c r="H4875" s="0" t="s">
        <v>162</v>
      </c>
      <c r="I4875" s="0" t="s">
        <v>38</v>
      </c>
      <c r="J4875" s="0" t="s">
        <v>39</v>
      </c>
      <c r="K4875" s="0" t="s">
        <v>30</v>
      </c>
      <c r="L4875" s="0" t="s">
        <v>31</v>
      </c>
      <c r="M4875" s="0" t="s">
        <v>140</v>
      </c>
      <c r="N4875" s="0" t="n">
        <v>977</v>
      </c>
      <c r="O4875" s="10" t="n">
        <v>0.415504291886464</v>
      </c>
      <c r="P4875" s="10" t="n">
        <v>0.337768794968724</v>
      </c>
      <c r="Q4875" s="0" t="str">
        <f aca="false">SUBSTITUTE(SUBSTITUTE($I4875,CHAR(61),""),CHAR(34),"")</f>
        <v>15-24</v>
      </c>
      <c r="R4875" s="0" t="str">
        <f aca="false">IF($D4875&lt;&gt;"","["&amp;$E4875&amp;"]"&amp;"|"&amp;$Q4875&amp;"|"&amp;$K4875&amp;"|"&amp;$G4875&amp;"|"&amp;IF($G4875="TX_CURR_SUBNAT.R","CY2022Q4",$M4875),"")</f>
        <v>[U8c0so51kT6]|15-24|Female|PMTCT_STAT_SUBNAT.N.New.Neg.T_1|CY2023Q3</v>
      </c>
    </row>
    <row r="4876" customFormat="false" ht="15" hidden="false" customHeight="false" outlineLevel="0" collapsed="false">
      <c r="D4876" s="0" t="s">
        <v>111</v>
      </c>
      <c r="E4876" s="0" t="s">
        <v>112</v>
      </c>
      <c r="F4876" s="0" t="s">
        <v>113</v>
      </c>
      <c r="G4876" s="0" t="s">
        <v>164</v>
      </c>
      <c r="H4876" s="0" t="s">
        <v>162</v>
      </c>
      <c r="I4876" s="0" t="s">
        <v>41</v>
      </c>
      <c r="J4876" s="0" t="s">
        <v>42</v>
      </c>
      <c r="K4876" s="0" t="s">
        <v>30</v>
      </c>
      <c r="L4876" s="0" t="s">
        <v>31</v>
      </c>
      <c r="M4876" s="0" t="s">
        <v>140</v>
      </c>
      <c r="N4876" s="0" t="n">
        <v>768</v>
      </c>
      <c r="O4876" s="10" t="n">
        <v>0.799626570660621</v>
      </c>
      <c r="P4876" s="10" t="n">
        <v>0.337768794968724</v>
      </c>
      <c r="Q4876" s="0" t="str">
        <f aca="false">SUBSTITUTE(SUBSTITUTE($I4876,CHAR(61),""),CHAR(34),"")</f>
        <v>25-34</v>
      </c>
      <c r="R4876" s="0" t="str">
        <f aca="false">IF($D4876&lt;&gt;"","["&amp;$E4876&amp;"]"&amp;"|"&amp;$Q4876&amp;"|"&amp;$K4876&amp;"|"&amp;$G4876&amp;"|"&amp;IF($G4876="TX_CURR_SUBNAT.R","CY2022Q4",$M4876),"")</f>
        <v>[U8c0so51kT6]|25-34|Female|PMTCT_STAT_SUBNAT.N.New.Neg.T_1|CY2023Q3</v>
      </c>
    </row>
    <row r="4877" customFormat="false" ht="15" hidden="false" customHeight="false" outlineLevel="0" collapsed="false">
      <c r="D4877" s="0" t="s">
        <v>111</v>
      </c>
      <c r="E4877" s="0" t="s">
        <v>112</v>
      </c>
      <c r="F4877" s="0" t="s">
        <v>113</v>
      </c>
      <c r="G4877" s="0" t="s">
        <v>164</v>
      </c>
      <c r="H4877" s="0" t="s">
        <v>162</v>
      </c>
      <c r="I4877" s="0" t="s">
        <v>43</v>
      </c>
      <c r="J4877" s="0" t="s">
        <v>44</v>
      </c>
      <c r="K4877" s="0" t="s">
        <v>30</v>
      </c>
      <c r="L4877" s="0" t="s">
        <v>31</v>
      </c>
      <c r="M4877" s="0" t="s">
        <v>140</v>
      </c>
      <c r="N4877" s="0" t="n">
        <v>1239</v>
      </c>
      <c r="O4877" s="10" t="n">
        <v>0.0373417781665921</v>
      </c>
      <c r="P4877" s="10" t="n">
        <v>0.337768794968724</v>
      </c>
      <c r="Q4877" s="0" t="str">
        <f aca="false">SUBSTITUTE(SUBSTITUTE($I4877,CHAR(61),""),CHAR(34),"")</f>
        <v>35-49</v>
      </c>
      <c r="R4877" s="0" t="str">
        <f aca="false">IF($D4877&lt;&gt;"","["&amp;$E4877&amp;"]"&amp;"|"&amp;$Q4877&amp;"|"&amp;$K4877&amp;"|"&amp;$G4877&amp;"|"&amp;IF($G4877="TX_CURR_SUBNAT.R","CY2022Q4",$M4877),"")</f>
        <v>[U8c0so51kT6]|35-49|Female|PMTCT_STAT_SUBNAT.N.New.Neg.T_1|CY2023Q3</v>
      </c>
    </row>
    <row r="4878" customFormat="false" ht="15" hidden="false" customHeight="false" outlineLevel="0" collapsed="false">
      <c r="D4878" s="0" t="s">
        <v>114</v>
      </c>
      <c r="E4878" s="0" t="s">
        <v>115</v>
      </c>
      <c r="F4878" s="0" t="s">
        <v>116</v>
      </c>
      <c r="G4878" s="0" t="s">
        <v>164</v>
      </c>
      <c r="H4878" s="0" t="s">
        <v>162</v>
      </c>
      <c r="I4878" s="0" t="s">
        <v>38</v>
      </c>
      <c r="J4878" s="0" t="s">
        <v>39</v>
      </c>
      <c r="K4878" s="0" t="s">
        <v>30</v>
      </c>
      <c r="L4878" s="0" t="s">
        <v>31</v>
      </c>
      <c r="M4878" s="0" t="s">
        <v>140</v>
      </c>
      <c r="N4878" s="0" t="n">
        <v>1654</v>
      </c>
      <c r="O4878" s="10" t="n">
        <v>0.25405359105207</v>
      </c>
      <c r="P4878" s="10" t="n">
        <v>0.298559809103608</v>
      </c>
      <c r="Q4878" s="0" t="str">
        <f aca="false">SUBSTITUTE(SUBSTITUTE($I4878,CHAR(61),""),CHAR(34),"")</f>
        <v>15-24</v>
      </c>
      <c r="R4878" s="0" t="str">
        <f aca="false">IF($D4878&lt;&gt;"","["&amp;$E4878&amp;"]"&amp;"|"&amp;$Q4878&amp;"|"&amp;$K4878&amp;"|"&amp;$G4878&amp;"|"&amp;IF($G4878="TX_CURR_SUBNAT.R","CY2022Q4",$M4878),"")</f>
        <v>[rpw540fmNUz]|15-24|Female|PMTCT_STAT_SUBNAT.N.New.Neg.T_1|CY2023Q3</v>
      </c>
    </row>
    <row r="4879" customFormat="false" ht="15" hidden="false" customHeight="false" outlineLevel="0" collapsed="false">
      <c r="D4879" s="0" t="s">
        <v>114</v>
      </c>
      <c r="E4879" s="0" t="s">
        <v>115</v>
      </c>
      <c r="F4879" s="0" t="s">
        <v>116</v>
      </c>
      <c r="G4879" s="0" t="s">
        <v>164</v>
      </c>
      <c r="H4879" s="0" t="s">
        <v>162</v>
      </c>
      <c r="I4879" s="0" t="s">
        <v>41</v>
      </c>
      <c r="J4879" s="0" t="s">
        <v>42</v>
      </c>
      <c r="K4879" s="0" t="s">
        <v>30</v>
      </c>
      <c r="L4879" s="0" t="s">
        <v>31</v>
      </c>
      <c r="M4879" s="0" t="s">
        <v>140</v>
      </c>
      <c r="N4879" s="0" t="n">
        <v>1295</v>
      </c>
      <c r="O4879" s="10" t="n">
        <v>0.621143830474466</v>
      </c>
      <c r="P4879" s="10" t="n">
        <v>0.298559809103608</v>
      </c>
      <c r="Q4879" s="0" t="str">
        <f aca="false">SUBSTITUTE(SUBSTITUTE($I4879,CHAR(61),""),CHAR(34),"")</f>
        <v>25-34</v>
      </c>
      <c r="R4879" s="0" t="str">
        <f aca="false">IF($D4879&lt;&gt;"","["&amp;$E4879&amp;"]"&amp;"|"&amp;$Q4879&amp;"|"&amp;$K4879&amp;"|"&amp;$G4879&amp;"|"&amp;IF($G4879="TX_CURR_SUBNAT.R","CY2022Q4",$M4879),"")</f>
        <v>[rpw540fmNUz]|25-34|Female|PMTCT_STAT_SUBNAT.N.New.Neg.T_1|CY2023Q3</v>
      </c>
    </row>
    <row r="4880" customFormat="false" ht="15" hidden="false" customHeight="false" outlineLevel="0" collapsed="false">
      <c r="D4880" s="0" t="s">
        <v>114</v>
      </c>
      <c r="E4880" s="0" t="s">
        <v>115</v>
      </c>
      <c r="F4880" s="0" t="s">
        <v>116</v>
      </c>
      <c r="G4880" s="0" t="s">
        <v>164</v>
      </c>
      <c r="H4880" s="0" t="s">
        <v>162</v>
      </c>
      <c r="I4880" s="0" t="s">
        <v>43</v>
      </c>
      <c r="J4880" s="0" t="s">
        <v>44</v>
      </c>
      <c r="K4880" s="0" t="s">
        <v>30</v>
      </c>
      <c r="L4880" s="0" t="s">
        <v>31</v>
      </c>
      <c r="M4880" s="0" t="s">
        <v>140</v>
      </c>
      <c r="N4880" s="0" t="n">
        <v>833</v>
      </c>
      <c r="O4880" s="10" t="n">
        <v>0.878222696483135</v>
      </c>
      <c r="P4880" s="10" t="n">
        <v>0.298559809103608</v>
      </c>
      <c r="Q4880" s="0" t="str">
        <f aca="false">SUBSTITUTE(SUBSTITUTE($I4880,CHAR(61),""),CHAR(34),"")</f>
        <v>35-49</v>
      </c>
      <c r="R4880" s="0" t="str">
        <f aca="false">IF($D4880&lt;&gt;"","["&amp;$E4880&amp;"]"&amp;"|"&amp;$Q4880&amp;"|"&amp;$K4880&amp;"|"&amp;$G4880&amp;"|"&amp;IF($G4880="TX_CURR_SUBNAT.R","CY2022Q4",$M4880),"")</f>
        <v>[rpw540fmNUz]|35-49|Female|PMTCT_STAT_SUBNAT.N.New.Neg.T_1|CY2023Q3</v>
      </c>
    </row>
    <row r="4881" customFormat="false" ht="15" hidden="false" customHeight="false" outlineLevel="0" collapsed="false">
      <c r="D4881" s="0" t="s">
        <v>117</v>
      </c>
      <c r="E4881" s="0" t="s">
        <v>118</v>
      </c>
      <c r="F4881" s="0" t="s">
        <v>119</v>
      </c>
      <c r="G4881" s="0" t="s">
        <v>164</v>
      </c>
      <c r="H4881" s="0" t="s">
        <v>162</v>
      </c>
      <c r="I4881" s="0" t="s">
        <v>38</v>
      </c>
      <c r="J4881" s="0" t="s">
        <v>39</v>
      </c>
      <c r="K4881" s="0" t="s">
        <v>30</v>
      </c>
      <c r="L4881" s="0" t="s">
        <v>31</v>
      </c>
      <c r="M4881" s="0" t="s">
        <v>140</v>
      </c>
      <c r="N4881" s="0" t="n">
        <v>1797</v>
      </c>
      <c r="O4881" s="10" t="n">
        <v>0.189693748950958</v>
      </c>
      <c r="P4881" s="10" t="n">
        <v>0.206259709550068</v>
      </c>
      <c r="Q4881" s="0" t="str">
        <f aca="false">SUBSTITUTE(SUBSTITUTE($I4881,CHAR(61),""),CHAR(34),"")</f>
        <v>15-24</v>
      </c>
      <c r="R4881" s="0" t="str">
        <f aca="false">IF($D4881&lt;&gt;"","["&amp;$E4881&amp;"]"&amp;"|"&amp;$Q4881&amp;"|"&amp;$K4881&amp;"|"&amp;$G4881&amp;"|"&amp;IF($G4881="TX_CURR_SUBNAT.R","CY2022Q4",$M4881),"")</f>
        <v>[lPTyjLi4w3d]|15-24|Female|PMTCT_STAT_SUBNAT.N.New.Neg.T_1|CY2023Q3</v>
      </c>
    </row>
    <row r="4882" customFormat="false" ht="15" hidden="false" customHeight="false" outlineLevel="0" collapsed="false">
      <c r="D4882" s="0" t="s">
        <v>117</v>
      </c>
      <c r="E4882" s="0" t="s">
        <v>118</v>
      </c>
      <c r="F4882" s="0" t="s">
        <v>119</v>
      </c>
      <c r="G4882" s="0" t="s">
        <v>164</v>
      </c>
      <c r="H4882" s="0" t="s">
        <v>162</v>
      </c>
      <c r="I4882" s="0" t="s">
        <v>41</v>
      </c>
      <c r="J4882" s="0" t="s">
        <v>42</v>
      </c>
      <c r="K4882" s="0" t="s">
        <v>30</v>
      </c>
      <c r="L4882" s="0" t="s">
        <v>31</v>
      </c>
      <c r="M4882" s="0" t="s">
        <v>140</v>
      </c>
      <c r="N4882" s="0" t="n">
        <v>1047</v>
      </c>
      <c r="O4882" s="10" t="n">
        <v>0.149839290883392</v>
      </c>
      <c r="P4882" s="10" t="n">
        <v>0.206259709550068</v>
      </c>
      <c r="Q4882" s="0" t="str">
        <f aca="false">SUBSTITUTE(SUBSTITUTE($I4882,CHAR(61),""),CHAR(34),"")</f>
        <v>25-34</v>
      </c>
      <c r="R4882" s="0" t="str">
        <f aca="false">IF($D4882&lt;&gt;"","["&amp;$E4882&amp;"]"&amp;"|"&amp;$Q4882&amp;"|"&amp;$K4882&amp;"|"&amp;$G4882&amp;"|"&amp;IF($G4882="TX_CURR_SUBNAT.R","CY2022Q4",$M4882),"")</f>
        <v>[lPTyjLi4w3d]|25-34|Female|PMTCT_STAT_SUBNAT.N.New.Neg.T_1|CY2023Q3</v>
      </c>
    </row>
    <row r="4883" customFormat="false" ht="15" hidden="false" customHeight="false" outlineLevel="0" collapsed="false">
      <c r="D4883" s="0" t="s">
        <v>117</v>
      </c>
      <c r="E4883" s="0" t="s">
        <v>118</v>
      </c>
      <c r="F4883" s="0" t="s">
        <v>119</v>
      </c>
      <c r="G4883" s="0" t="s">
        <v>164</v>
      </c>
      <c r="H4883" s="0" t="s">
        <v>162</v>
      </c>
      <c r="I4883" s="0" t="s">
        <v>43</v>
      </c>
      <c r="J4883" s="0" t="s">
        <v>44</v>
      </c>
      <c r="K4883" s="0" t="s">
        <v>30</v>
      </c>
      <c r="L4883" s="0" t="s">
        <v>31</v>
      </c>
      <c r="M4883" s="0" t="s">
        <v>140</v>
      </c>
      <c r="N4883" s="0" t="n">
        <v>1002</v>
      </c>
      <c r="O4883" s="10" t="n">
        <v>0.0781540162861347</v>
      </c>
      <c r="P4883" s="10" t="n">
        <v>0.206259709550068</v>
      </c>
      <c r="Q4883" s="0" t="str">
        <f aca="false">SUBSTITUTE(SUBSTITUTE($I4883,CHAR(61),""),CHAR(34),"")</f>
        <v>35-49</v>
      </c>
      <c r="R4883" s="0" t="str">
        <f aca="false">IF($D4883&lt;&gt;"","["&amp;$E4883&amp;"]"&amp;"|"&amp;$Q4883&amp;"|"&amp;$K4883&amp;"|"&amp;$G4883&amp;"|"&amp;IF($G4883="TX_CURR_SUBNAT.R","CY2022Q4",$M4883),"")</f>
        <v>[lPTyjLi4w3d]|35-49|Female|PMTCT_STAT_SUBNAT.N.New.Neg.T_1|CY2023Q3</v>
      </c>
    </row>
    <row r="4884" customFormat="false" ht="15" hidden="false" customHeight="false" outlineLevel="0" collapsed="false">
      <c r="D4884" s="0" t="s">
        <v>120</v>
      </c>
      <c r="E4884" s="0" t="s">
        <v>121</v>
      </c>
      <c r="F4884" s="0" t="s">
        <v>122</v>
      </c>
      <c r="G4884" s="0" t="s">
        <v>164</v>
      </c>
      <c r="H4884" s="0" t="s">
        <v>162</v>
      </c>
      <c r="I4884" s="0" t="s">
        <v>38</v>
      </c>
      <c r="J4884" s="0" t="s">
        <v>39</v>
      </c>
      <c r="K4884" s="0" t="s">
        <v>30</v>
      </c>
      <c r="L4884" s="0" t="s">
        <v>31</v>
      </c>
      <c r="M4884" s="0" t="s">
        <v>140</v>
      </c>
      <c r="N4884" s="0" t="n">
        <v>1524</v>
      </c>
      <c r="O4884" s="10" t="n">
        <v>0.921202607220039</v>
      </c>
      <c r="P4884" s="10" t="n">
        <v>0.430103979306296</v>
      </c>
      <c r="Q4884" s="0" t="str">
        <f aca="false">SUBSTITUTE(SUBSTITUTE($I4884,CHAR(61),""),CHAR(34),"")</f>
        <v>15-24</v>
      </c>
      <c r="R4884" s="0" t="str">
        <f aca="false">IF($D4884&lt;&gt;"","["&amp;$E4884&amp;"]"&amp;"|"&amp;$Q4884&amp;"|"&amp;$K4884&amp;"|"&amp;$G4884&amp;"|"&amp;IF($G4884="TX_CURR_SUBNAT.R","CY2022Q4",$M4884),"")</f>
        <v>[vA4NcHxfMBq]|15-24|Female|PMTCT_STAT_SUBNAT.N.New.Neg.T_1|CY2023Q3</v>
      </c>
    </row>
    <row r="4885" customFormat="false" ht="15" hidden="false" customHeight="false" outlineLevel="0" collapsed="false">
      <c r="D4885" s="0" t="s">
        <v>120</v>
      </c>
      <c r="E4885" s="0" t="s">
        <v>121</v>
      </c>
      <c r="F4885" s="0" t="s">
        <v>122</v>
      </c>
      <c r="G4885" s="0" t="s">
        <v>164</v>
      </c>
      <c r="H4885" s="0" t="s">
        <v>162</v>
      </c>
      <c r="I4885" s="0" t="s">
        <v>41</v>
      </c>
      <c r="J4885" s="0" t="s">
        <v>42</v>
      </c>
      <c r="K4885" s="0" t="s">
        <v>30</v>
      </c>
      <c r="L4885" s="0" t="s">
        <v>31</v>
      </c>
      <c r="M4885" s="0" t="s">
        <v>140</v>
      </c>
      <c r="N4885" s="0" t="n">
        <v>1193</v>
      </c>
      <c r="O4885" s="10" t="n">
        <v>0.13093846431002</v>
      </c>
      <c r="P4885" s="10" t="n">
        <v>0.430103979306296</v>
      </c>
      <c r="Q4885" s="0" t="str">
        <f aca="false">SUBSTITUTE(SUBSTITUTE($I4885,CHAR(61),""),CHAR(34),"")</f>
        <v>25-34</v>
      </c>
      <c r="R4885" s="0" t="str">
        <f aca="false">IF($D4885&lt;&gt;"","["&amp;$E4885&amp;"]"&amp;"|"&amp;$Q4885&amp;"|"&amp;$K4885&amp;"|"&amp;$G4885&amp;"|"&amp;IF($G4885="TX_CURR_SUBNAT.R","CY2022Q4",$M4885),"")</f>
        <v>[vA4NcHxfMBq]|25-34|Female|PMTCT_STAT_SUBNAT.N.New.Neg.T_1|CY2023Q3</v>
      </c>
    </row>
    <row r="4886" customFormat="false" ht="15" hidden="false" customHeight="false" outlineLevel="0" collapsed="false">
      <c r="D4886" s="0" t="s">
        <v>120</v>
      </c>
      <c r="E4886" s="0" t="s">
        <v>121</v>
      </c>
      <c r="F4886" s="0" t="s">
        <v>122</v>
      </c>
      <c r="G4886" s="0" t="s">
        <v>164</v>
      </c>
      <c r="H4886" s="0" t="s">
        <v>162</v>
      </c>
      <c r="I4886" s="0" t="s">
        <v>43</v>
      </c>
      <c r="J4886" s="0" t="s">
        <v>44</v>
      </c>
      <c r="K4886" s="0" t="s">
        <v>30</v>
      </c>
      <c r="L4886" s="0" t="s">
        <v>31</v>
      </c>
      <c r="M4886" s="0" t="s">
        <v>140</v>
      </c>
      <c r="N4886" s="0" t="n">
        <v>909</v>
      </c>
      <c r="O4886" s="10" t="n">
        <v>0.223194333724678</v>
      </c>
      <c r="P4886" s="10" t="n">
        <v>0.430103979306296</v>
      </c>
      <c r="Q4886" s="0" t="str">
        <f aca="false">SUBSTITUTE(SUBSTITUTE($I4886,CHAR(61),""),CHAR(34),"")</f>
        <v>35-49</v>
      </c>
      <c r="R4886" s="0" t="str">
        <f aca="false">IF($D4886&lt;&gt;"","["&amp;$E4886&amp;"]"&amp;"|"&amp;$Q4886&amp;"|"&amp;$K4886&amp;"|"&amp;$G4886&amp;"|"&amp;IF($G4886="TX_CURR_SUBNAT.R","CY2022Q4",$M4886),"")</f>
        <v>[vA4NcHxfMBq]|35-49|Female|PMTCT_STAT_SUBNAT.N.New.Neg.T_1|CY2023Q3</v>
      </c>
    </row>
    <row r="4887" customFormat="false" ht="15" hidden="false" customHeight="false" outlineLevel="0" collapsed="false">
      <c r="D4887" s="0" t="s">
        <v>123</v>
      </c>
      <c r="E4887" s="0" t="s">
        <v>124</v>
      </c>
      <c r="F4887" s="0" t="s">
        <v>125</v>
      </c>
      <c r="G4887" s="0" t="s">
        <v>164</v>
      </c>
      <c r="H4887" s="0" t="s">
        <v>162</v>
      </c>
      <c r="I4887" s="0" t="s">
        <v>38</v>
      </c>
      <c r="J4887" s="0" t="s">
        <v>39</v>
      </c>
      <c r="K4887" s="0" t="s">
        <v>30</v>
      </c>
      <c r="L4887" s="0" t="s">
        <v>31</v>
      </c>
      <c r="M4887" s="0" t="s">
        <v>140</v>
      </c>
      <c r="N4887" s="0" t="n">
        <v>953</v>
      </c>
      <c r="O4887" s="10" t="n">
        <v>0.945780894719064</v>
      </c>
      <c r="P4887" s="10" t="n">
        <v>0.419500603340566</v>
      </c>
      <c r="Q4887" s="0" t="str">
        <f aca="false">SUBSTITUTE(SUBSTITUTE($I4887,CHAR(61),""),CHAR(34),"")</f>
        <v>15-24</v>
      </c>
      <c r="R4887" s="0" t="str">
        <f aca="false">IF($D4887&lt;&gt;"","["&amp;$E4887&amp;"]"&amp;"|"&amp;$Q4887&amp;"|"&amp;$K4887&amp;"|"&amp;$G4887&amp;"|"&amp;IF($G4887="TX_CURR_SUBNAT.R","CY2022Q4",$M4887),"")</f>
        <v>[E7zpfyBt7Tw]|15-24|Female|PMTCT_STAT_SUBNAT.N.New.Neg.T_1|CY2023Q3</v>
      </c>
    </row>
    <row r="4888" customFormat="false" ht="15" hidden="false" customHeight="false" outlineLevel="0" collapsed="false">
      <c r="D4888" s="0" t="s">
        <v>123</v>
      </c>
      <c r="E4888" s="0" t="s">
        <v>124</v>
      </c>
      <c r="F4888" s="0" t="s">
        <v>125</v>
      </c>
      <c r="G4888" s="0" t="s">
        <v>164</v>
      </c>
      <c r="H4888" s="0" t="s">
        <v>162</v>
      </c>
      <c r="I4888" s="0" t="s">
        <v>41</v>
      </c>
      <c r="J4888" s="0" t="s">
        <v>42</v>
      </c>
      <c r="K4888" s="0" t="s">
        <v>30</v>
      </c>
      <c r="L4888" s="0" t="s">
        <v>31</v>
      </c>
      <c r="M4888" s="0" t="s">
        <v>140</v>
      </c>
      <c r="N4888" s="0" t="n">
        <v>1030</v>
      </c>
      <c r="O4888" s="10" t="n">
        <v>0.196321019437164</v>
      </c>
      <c r="P4888" s="10" t="n">
        <v>0.419500603340566</v>
      </c>
      <c r="Q4888" s="0" t="str">
        <f aca="false">SUBSTITUTE(SUBSTITUTE($I4888,CHAR(61),""),CHAR(34),"")</f>
        <v>25-34</v>
      </c>
      <c r="R4888" s="0" t="str">
        <f aca="false">IF($D4888&lt;&gt;"","["&amp;$E4888&amp;"]"&amp;"|"&amp;$Q4888&amp;"|"&amp;$K4888&amp;"|"&amp;$G4888&amp;"|"&amp;IF($G4888="TX_CURR_SUBNAT.R","CY2022Q4",$M4888),"")</f>
        <v>[E7zpfyBt7Tw]|25-34|Female|PMTCT_STAT_SUBNAT.N.New.Neg.T_1|CY2023Q3</v>
      </c>
    </row>
    <row r="4889" customFormat="false" ht="15" hidden="false" customHeight="false" outlineLevel="0" collapsed="false">
      <c r="D4889" s="0" t="s">
        <v>123</v>
      </c>
      <c r="E4889" s="0" t="s">
        <v>124</v>
      </c>
      <c r="F4889" s="0" t="s">
        <v>125</v>
      </c>
      <c r="G4889" s="0" t="s">
        <v>164</v>
      </c>
      <c r="H4889" s="0" t="s">
        <v>162</v>
      </c>
      <c r="I4889" s="0" t="s">
        <v>43</v>
      </c>
      <c r="J4889" s="0" t="s">
        <v>44</v>
      </c>
      <c r="K4889" s="0" t="s">
        <v>30</v>
      </c>
      <c r="L4889" s="0" t="s">
        <v>31</v>
      </c>
      <c r="M4889" s="0" t="s">
        <v>140</v>
      </c>
      <c r="N4889" s="0" t="n">
        <v>1520</v>
      </c>
      <c r="O4889" s="10" t="n">
        <v>0.527130984235555</v>
      </c>
      <c r="P4889" s="10" t="n">
        <v>0.419500603340566</v>
      </c>
      <c r="Q4889" s="0" t="str">
        <f aca="false">SUBSTITUTE(SUBSTITUTE($I4889,CHAR(61),""),CHAR(34),"")</f>
        <v>35-49</v>
      </c>
      <c r="R4889" s="0" t="str">
        <f aca="false">IF($D4889&lt;&gt;"","["&amp;$E4889&amp;"]"&amp;"|"&amp;$Q4889&amp;"|"&amp;$K4889&amp;"|"&amp;$G4889&amp;"|"&amp;IF($G4889="TX_CURR_SUBNAT.R","CY2022Q4",$M4889),"")</f>
        <v>[E7zpfyBt7Tw]|35-49|Female|PMTCT_STAT_SUBNAT.N.New.Neg.T_1|CY2023Q3</v>
      </c>
    </row>
    <row r="4890" customFormat="false" ht="15" hidden="false" customHeight="false" outlineLevel="0" collapsed="false">
      <c r="D4890" s="0" t="s">
        <v>126</v>
      </c>
      <c r="E4890" s="0" t="s">
        <v>127</v>
      </c>
      <c r="F4890" s="0" t="s">
        <v>128</v>
      </c>
      <c r="G4890" s="0" t="s">
        <v>164</v>
      </c>
      <c r="H4890" s="0" t="s">
        <v>162</v>
      </c>
      <c r="I4890" s="0" t="s">
        <v>38</v>
      </c>
      <c r="J4890" s="0" t="s">
        <v>39</v>
      </c>
      <c r="K4890" s="0" t="s">
        <v>30</v>
      </c>
      <c r="L4890" s="0" t="s">
        <v>31</v>
      </c>
      <c r="M4890" s="0" t="s">
        <v>140</v>
      </c>
      <c r="N4890" s="0" t="n">
        <v>1672</v>
      </c>
      <c r="O4890" s="10" t="n">
        <v>0.586065428098664</v>
      </c>
      <c r="P4890" s="10" t="n">
        <v>0.252706390339881</v>
      </c>
      <c r="Q4890" s="0" t="str">
        <f aca="false">SUBSTITUTE(SUBSTITUTE($I4890,CHAR(61),""),CHAR(34),"")</f>
        <v>15-24</v>
      </c>
      <c r="R4890" s="0" t="str">
        <f aca="false">IF($D4890&lt;&gt;"","["&amp;$E4890&amp;"]"&amp;"|"&amp;$Q4890&amp;"|"&amp;$K4890&amp;"|"&amp;$G4890&amp;"|"&amp;IF($G4890="TX_CURR_SUBNAT.R","CY2022Q4",$M4890),"")</f>
        <v>[ZCjuwgaMB9u]|15-24|Female|PMTCT_STAT_SUBNAT.N.New.Neg.T_1|CY2023Q3</v>
      </c>
    </row>
    <row r="4891" customFormat="false" ht="15" hidden="false" customHeight="false" outlineLevel="0" collapsed="false">
      <c r="D4891" s="0" t="s">
        <v>126</v>
      </c>
      <c r="E4891" s="0" t="s">
        <v>127</v>
      </c>
      <c r="F4891" s="0" t="s">
        <v>128</v>
      </c>
      <c r="G4891" s="0" t="s">
        <v>164</v>
      </c>
      <c r="H4891" s="0" t="s">
        <v>162</v>
      </c>
      <c r="I4891" s="0" t="s">
        <v>41</v>
      </c>
      <c r="J4891" s="0" t="s">
        <v>42</v>
      </c>
      <c r="K4891" s="0" t="s">
        <v>30</v>
      </c>
      <c r="L4891" s="0" t="s">
        <v>31</v>
      </c>
      <c r="M4891" s="0" t="s">
        <v>140</v>
      </c>
      <c r="N4891" s="0" t="n">
        <v>785</v>
      </c>
      <c r="O4891" s="10" t="n">
        <v>0.0108990450389683</v>
      </c>
      <c r="P4891" s="10" t="n">
        <v>0.252706390339881</v>
      </c>
      <c r="Q4891" s="0" t="str">
        <f aca="false">SUBSTITUTE(SUBSTITUTE($I4891,CHAR(61),""),CHAR(34),"")</f>
        <v>25-34</v>
      </c>
      <c r="R4891" s="0" t="str">
        <f aca="false">IF($D4891&lt;&gt;"","["&amp;$E4891&amp;"]"&amp;"|"&amp;$Q4891&amp;"|"&amp;$K4891&amp;"|"&amp;$G4891&amp;"|"&amp;IF($G4891="TX_CURR_SUBNAT.R","CY2022Q4",$M4891),"")</f>
        <v>[ZCjuwgaMB9u]|25-34|Female|PMTCT_STAT_SUBNAT.N.New.Neg.T_1|CY2023Q3</v>
      </c>
    </row>
    <row r="4892" customFormat="false" ht="15" hidden="false" customHeight="false" outlineLevel="0" collapsed="false">
      <c r="D4892" s="0" t="s">
        <v>126</v>
      </c>
      <c r="E4892" s="0" t="s">
        <v>127</v>
      </c>
      <c r="F4892" s="0" t="s">
        <v>128</v>
      </c>
      <c r="G4892" s="0" t="s">
        <v>164</v>
      </c>
      <c r="H4892" s="0" t="s">
        <v>162</v>
      </c>
      <c r="I4892" s="0" t="s">
        <v>43</v>
      </c>
      <c r="J4892" s="0" t="s">
        <v>44</v>
      </c>
      <c r="K4892" s="0" t="s">
        <v>30</v>
      </c>
      <c r="L4892" s="0" t="s">
        <v>31</v>
      </c>
      <c r="M4892" s="0" t="s">
        <v>140</v>
      </c>
      <c r="N4892" s="0" t="n">
        <v>1347</v>
      </c>
      <c r="O4892" s="10" t="n">
        <v>0.00614610640332103</v>
      </c>
      <c r="P4892" s="10" t="n">
        <v>0.252706390339881</v>
      </c>
      <c r="Q4892" s="0" t="str">
        <f aca="false">SUBSTITUTE(SUBSTITUTE($I4892,CHAR(61),""),CHAR(34),"")</f>
        <v>35-49</v>
      </c>
      <c r="R4892" s="0" t="str">
        <f aca="false">IF($D4892&lt;&gt;"","["&amp;$E4892&amp;"]"&amp;"|"&amp;$Q4892&amp;"|"&amp;$K4892&amp;"|"&amp;$G4892&amp;"|"&amp;IF($G4892="TX_CURR_SUBNAT.R","CY2022Q4",$M4892),"")</f>
        <v>[ZCjuwgaMB9u]|35-49|Female|PMTCT_STAT_SUBNAT.N.New.Neg.T_1|CY2023Q3</v>
      </c>
    </row>
    <row r="4893" customFormat="false" ht="15" hidden="false" customHeight="false" outlineLevel="0" collapsed="false">
      <c r="D4893" s="0" t="s">
        <v>129</v>
      </c>
      <c r="E4893" s="0" t="s">
        <v>130</v>
      </c>
      <c r="F4893" s="0" t="s">
        <v>131</v>
      </c>
      <c r="G4893" s="0" t="s">
        <v>164</v>
      </c>
      <c r="H4893" s="0" t="s">
        <v>162</v>
      </c>
      <c r="I4893" s="0" t="s">
        <v>38</v>
      </c>
      <c r="J4893" s="0" t="s">
        <v>39</v>
      </c>
      <c r="K4893" s="0" t="s">
        <v>30</v>
      </c>
      <c r="L4893" s="0" t="s">
        <v>31</v>
      </c>
      <c r="M4893" s="0" t="s">
        <v>140</v>
      </c>
      <c r="N4893" s="0" t="n">
        <v>784</v>
      </c>
      <c r="O4893" s="10" t="n">
        <v>0.734872291330248</v>
      </c>
      <c r="P4893" s="10" t="n">
        <v>0.556908084778115</v>
      </c>
      <c r="Q4893" s="0" t="str">
        <f aca="false">SUBSTITUTE(SUBSTITUTE($I4893,CHAR(61),""),CHAR(34),"")</f>
        <v>15-24</v>
      </c>
      <c r="R4893" s="0" t="str">
        <f aca="false">IF($D4893&lt;&gt;"","["&amp;$E4893&amp;"]"&amp;"|"&amp;$Q4893&amp;"|"&amp;$K4893&amp;"|"&amp;$G4893&amp;"|"&amp;IF($G4893="TX_CURR_SUBNAT.R","CY2022Q4",$M4893),"")</f>
        <v>[YCKiBAp8QAg]|15-24|Female|PMTCT_STAT_SUBNAT.N.New.Neg.T_1|CY2023Q3</v>
      </c>
    </row>
    <row r="4894" customFormat="false" ht="15" hidden="false" customHeight="false" outlineLevel="0" collapsed="false">
      <c r="D4894" s="0" t="s">
        <v>129</v>
      </c>
      <c r="E4894" s="0" t="s">
        <v>130</v>
      </c>
      <c r="F4894" s="0" t="s">
        <v>131</v>
      </c>
      <c r="G4894" s="0" t="s">
        <v>164</v>
      </c>
      <c r="H4894" s="0" t="s">
        <v>162</v>
      </c>
      <c r="I4894" s="0" t="s">
        <v>41</v>
      </c>
      <c r="J4894" s="0" t="s">
        <v>42</v>
      </c>
      <c r="K4894" s="0" t="s">
        <v>30</v>
      </c>
      <c r="L4894" s="0" t="s">
        <v>31</v>
      </c>
      <c r="M4894" s="0" t="s">
        <v>140</v>
      </c>
      <c r="N4894" s="0" t="n">
        <v>1011</v>
      </c>
      <c r="O4894" s="10" t="n">
        <v>0.365672887302935</v>
      </c>
      <c r="P4894" s="10" t="n">
        <v>0.556908084778115</v>
      </c>
      <c r="Q4894" s="0" t="str">
        <f aca="false">SUBSTITUTE(SUBSTITUTE($I4894,CHAR(61),""),CHAR(34),"")</f>
        <v>25-34</v>
      </c>
      <c r="R4894" s="0" t="str">
        <f aca="false">IF($D4894&lt;&gt;"","["&amp;$E4894&amp;"]"&amp;"|"&amp;$Q4894&amp;"|"&amp;$K4894&amp;"|"&amp;$G4894&amp;"|"&amp;IF($G4894="TX_CURR_SUBNAT.R","CY2022Q4",$M4894),"")</f>
        <v>[YCKiBAp8QAg]|25-34|Female|PMTCT_STAT_SUBNAT.N.New.Neg.T_1|CY2023Q3</v>
      </c>
    </row>
    <row r="4895" customFormat="false" ht="15" hidden="false" customHeight="false" outlineLevel="0" collapsed="false">
      <c r="D4895" s="0" t="s">
        <v>129</v>
      </c>
      <c r="E4895" s="0" t="s">
        <v>130</v>
      </c>
      <c r="F4895" s="0" t="s">
        <v>131</v>
      </c>
      <c r="G4895" s="0" t="s">
        <v>164</v>
      </c>
      <c r="H4895" s="0" t="s">
        <v>162</v>
      </c>
      <c r="I4895" s="0" t="s">
        <v>43</v>
      </c>
      <c r="J4895" s="0" t="s">
        <v>44</v>
      </c>
      <c r="K4895" s="0" t="s">
        <v>30</v>
      </c>
      <c r="L4895" s="0" t="s">
        <v>31</v>
      </c>
      <c r="M4895" s="0" t="s">
        <v>140</v>
      </c>
      <c r="N4895" s="0" t="n">
        <v>797</v>
      </c>
      <c r="O4895" s="10" t="n">
        <v>0.624439111445099</v>
      </c>
      <c r="P4895" s="10" t="n">
        <v>0.556908084778115</v>
      </c>
      <c r="Q4895" s="0" t="str">
        <f aca="false">SUBSTITUTE(SUBSTITUTE($I4895,CHAR(61),""),CHAR(34),"")</f>
        <v>35-49</v>
      </c>
      <c r="R4895" s="0" t="str">
        <f aca="false">IF($D4895&lt;&gt;"","["&amp;$E4895&amp;"]"&amp;"|"&amp;$Q4895&amp;"|"&amp;$K4895&amp;"|"&amp;$G4895&amp;"|"&amp;IF($G4895="TX_CURR_SUBNAT.R","CY2022Q4",$M4895),"")</f>
        <v>[YCKiBAp8QAg]|35-49|Female|PMTCT_STAT_SUBNAT.N.New.Neg.T_1|CY2023Q3</v>
      </c>
    </row>
    <row r="4896" customFormat="false" ht="15" hidden="false" customHeight="false" outlineLevel="0" collapsed="false">
      <c r="D4896" s="0" t="s">
        <v>132</v>
      </c>
      <c r="E4896" s="0" t="s">
        <v>133</v>
      </c>
      <c r="F4896" s="0" t="s">
        <v>134</v>
      </c>
      <c r="G4896" s="0" t="s">
        <v>164</v>
      </c>
      <c r="H4896" s="0" t="s">
        <v>162</v>
      </c>
      <c r="I4896" s="0" t="s">
        <v>38</v>
      </c>
      <c r="J4896" s="0" t="s">
        <v>39</v>
      </c>
      <c r="K4896" s="0" t="s">
        <v>30</v>
      </c>
      <c r="L4896" s="0" t="s">
        <v>31</v>
      </c>
      <c r="M4896" s="0" t="s">
        <v>140</v>
      </c>
      <c r="N4896" s="0" t="n">
        <v>1248</v>
      </c>
      <c r="O4896" s="10" t="n">
        <v>0.716874177102</v>
      </c>
      <c r="P4896" s="10" t="n">
        <v>0.162863194011152</v>
      </c>
      <c r="Q4896" s="0" t="str">
        <f aca="false">SUBSTITUTE(SUBSTITUTE($I4896,CHAR(61),""),CHAR(34),"")</f>
        <v>15-24</v>
      </c>
      <c r="R4896" s="0" t="str">
        <f aca="false">IF($D4896&lt;&gt;"","["&amp;$E4896&amp;"]"&amp;"|"&amp;$Q4896&amp;"|"&amp;$K4896&amp;"|"&amp;$G4896&amp;"|"&amp;IF($G4896="TX_CURR_SUBNAT.R","CY2022Q4",$M4896),"")</f>
        <v>[JQKLKuVuY61]|15-24|Female|PMTCT_STAT_SUBNAT.N.New.Neg.T_1|CY2023Q3</v>
      </c>
    </row>
    <row r="4897" customFormat="false" ht="15" hidden="false" customHeight="false" outlineLevel="0" collapsed="false">
      <c r="D4897" s="0" t="s">
        <v>132</v>
      </c>
      <c r="E4897" s="0" t="s">
        <v>133</v>
      </c>
      <c r="F4897" s="0" t="s">
        <v>134</v>
      </c>
      <c r="G4897" s="0" t="s">
        <v>164</v>
      </c>
      <c r="H4897" s="0" t="s">
        <v>162</v>
      </c>
      <c r="I4897" s="0" t="s">
        <v>41</v>
      </c>
      <c r="J4897" s="0" t="s">
        <v>42</v>
      </c>
      <c r="K4897" s="0" t="s">
        <v>30</v>
      </c>
      <c r="L4897" s="0" t="s">
        <v>31</v>
      </c>
      <c r="M4897" s="0" t="s">
        <v>140</v>
      </c>
      <c r="N4897" s="0" t="n">
        <v>908</v>
      </c>
      <c r="O4897" s="10" t="n">
        <v>0.96885335422121</v>
      </c>
      <c r="P4897" s="10" t="n">
        <v>0.162863194011152</v>
      </c>
      <c r="Q4897" s="0" t="str">
        <f aca="false">SUBSTITUTE(SUBSTITUTE($I4897,CHAR(61),""),CHAR(34),"")</f>
        <v>25-34</v>
      </c>
      <c r="R4897" s="0" t="str">
        <f aca="false">IF($D4897&lt;&gt;"","["&amp;$E4897&amp;"]"&amp;"|"&amp;$Q4897&amp;"|"&amp;$K4897&amp;"|"&amp;$G4897&amp;"|"&amp;IF($G4897="TX_CURR_SUBNAT.R","CY2022Q4",$M4897),"")</f>
        <v>[JQKLKuVuY61]|25-34|Female|PMTCT_STAT_SUBNAT.N.New.Neg.T_1|CY2023Q3</v>
      </c>
    </row>
    <row r="4898" customFormat="false" ht="15" hidden="false" customHeight="false" outlineLevel="0" collapsed="false">
      <c r="D4898" s="0" t="s">
        <v>132</v>
      </c>
      <c r="E4898" s="0" t="s">
        <v>133</v>
      </c>
      <c r="F4898" s="0" t="s">
        <v>134</v>
      </c>
      <c r="G4898" s="0" t="s">
        <v>164</v>
      </c>
      <c r="H4898" s="0" t="s">
        <v>162</v>
      </c>
      <c r="I4898" s="0" t="s">
        <v>43</v>
      </c>
      <c r="J4898" s="0" t="s">
        <v>44</v>
      </c>
      <c r="K4898" s="0" t="s">
        <v>30</v>
      </c>
      <c r="L4898" s="0" t="s">
        <v>31</v>
      </c>
      <c r="M4898" s="0" t="s">
        <v>140</v>
      </c>
      <c r="N4898" s="0" t="n">
        <v>1850</v>
      </c>
      <c r="O4898" s="10" t="n">
        <v>0.103834190173075</v>
      </c>
      <c r="P4898" s="10" t="n">
        <v>0.162863194011152</v>
      </c>
      <c r="Q4898" s="0" t="str">
        <f aca="false">SUBSTITUTE(SUBSTITUTE($I4898,CHAR(61),""),CHAR(34),"")</f>
        <v>35-49</v>
      </c>
      <c r="R4898" s="0" t="str">
        <f aca="false">IF($D4898&lt;&gt;"","["&amp;$E4898&amp;"]"&amp;"|"&amp;$Q4898&amp;"|"&amp;$K4898&amp;"|"&amp;$G4898&amp;"|"&amp;IF($G4898="TX_CURR_SUBNAT.R","CY2022Q4",$M4898),"")</f>
        <v>[JQKLKuVuY61]|35-49|Female|PMTCT_STAT_SUBNAT.N.New.Neg.T_1|CY2023Q3</v>
      </c>
    </row>
    <row r="4899" customFormat="false" ht="15" hidden="false" customHeight="false" outlineLevel="0" collapsed="false">
      <c r="D4899" s="0" t="s">
        <v>135</v>
      </c>
      <c r="E4899" s="0" t="s">
        <v>136</v>
      </c>
      <c r="F4899" s="0" t="s">
        <v>137</v>
      </c>
      <c r="G4899" s="0" t="s">
        <v>164</v>
      </c>
      <c r="H4899" s="0" t="s">
        <v>162</v>
      </c>
      <c r="I4899" s="0" t="s">
        <v>38</v>
      </c>
      <c r="J4899" s="0" t="s">
        <v>39</v>
      </c>
      <c r="K4899" s="0" t="s">
        <v>30</v>
      </c>
      <c r="L4899" s="0" t="s">
        <v>31</v>
      </c>
      <c r="M4899" s="0" t="s">
        <v>140</v>
      </c>
      <c r="N4899" s="0" t="n">
        <v>1664</v>
      </c>
      <c r="O4899" s="10" t="n">
        <v>0.950106541160494</v>
      </c>
      <c r="P4899" s="10" t="n">
        <v>0.955300528323278</v>
      </c>
      <c r="Q4899" s="0" t="str">
        <f aca="false">SUBSTITUTE(SUBSTITUTE($I4899,CHAR(61),""),CHAR(34),"")</f>
        <v>15-24</v>
      </c>
      <c r="R4899" s="0" t="str">
        <f aca="false">IF($D4899&lt;&gt;"","["&amp;$E4899&amp;"]"&amp;"|"&amp;$Q4899&amp;"|"&amp;$K4899&amp;"|"&amp;$G4899&amp;"|"&amp;IF($G4899="TX_CURR_SUBNAT.R","CY2022Q4",$M4899),"")</f>
        <v>[fiRkU6gEjLz]|15-24|Female|PMTCT_STAT_SUBNAT.N.New.Neg.T_1|CY2023Q3</v>
      </c>
    </row>
    <row r="4900" customFormat="false" ht="15" hidden="false" customHeight="false" outlineLevel="0" collapsed="false">
      <c r="D4900" s="0" t="s">
        <v>135</v>
      </c>
      <c r="E4900" s="0" t="s">
        <v>136</v>
      </c>
      <c r="F4900" s="0" t="s">
        <v>137</v>
      </c>
      <c r="G4900" s="0" t="s">
        <v>164</v>
      </c>
      <c r="H4900" s="0" t="s">
        <v>162</v>
      </c>
      <c r="I4900" s="0" t="s">
        <v>41</v>
      </c>
      <c r="J4900" s="0" t="s">
        <v>42</v>
      </c>
      <c r="K4900" s="0" t="s">
        <v>30</v>
      </c>
      <c r="L4900" s="0" t="s">
        <v>31</v>
      </c>
      <c r="M4900" s="0" t="s">
        <v>140</v>
      </c>
      <c r="N4900" s="0" t="n">
        <v>1007</v>
      </c>
      <c r="O4900" s="10" t="n">
        <v>0.377824928378686</v>
      </c>
      <c r="P4900" s="10" t="n">
        <v>0.955300528323278</v>
      </c>
      <c r="Q4900" s="0" t="str">
        <f aca="false">SUBSTITUTE(SUBSTITUTE($I4900,CHAR(61),""),CHAR(34),"")</f>
        <v>25-34</v>
      </c>
      <c r="R4900" s="0" t="str">
        <f aca="false">IF($D4900&lt;&gt;"","["&amp;$E4900&amp;"]"&amp;"|"&amp;$Q4900&amp;"|"&amp;$K4900&amp;"|"&amp;$G4900&amp;"|"&amp;IF($G4900="TX_CURR_SUBNAT.R","CY2022Q4",$M4900),"")</f>
        <v>[fiRkU6gEjLz]|25-34|Female|PMTCT_STAT_SUBNAT.N.New.Neg.T_1|CY2023Q3</v>
      </c>
    </row>
    <row r="4901" customFormat="false" ht="15" hidden="false" customHeight="false" outlineLevel="0" collapsed="false">
      <c r="D4901" s="0" t="s">
        <v>135</v>
      </c>
      <c r="E4901" s="0" t="s">
        <v>136</v>
      </c>
      <c r="F4901" s="0" t="s">
        <v>137</v>
      </c>
      <c r="G4901" s="0" t="s">
        <v>164</v>
      </c>
      <c r="H4901" s="0" t="s">
        <v>162</v>
      </c>
      <c r="I4901" s="0" t="s">
        <v>43</v>
      </c>
      <c r="J4901" s="0" t="s">
        <v>44</v>
      </c>
      <c r="K4901" s="0" t="s">
        <v>30</v>
      </c>
      <c r="L4901" s="0" t="s">
        <v>31</v>
      </c>
      <c r="M4901" s="0" t="s">
        <v>140</v>
      </c>
      <c r="N4901" s="0" t="n">
        <v>1424</v>
      </c>
      <c r="O4901" s="10" t="n">
        <v>0.328358826460317</v>
      </c>
      <c r="P4901" s="10" t="n">
        <v>0.955300528323278</v>
      </c>
      <c r="Q4901" s="0" t="str">
        <f aca="false">SUBSTITUTE(SUBSTITUTE($I4901,CHAR(61),""),CHAR(34),"")</f>
        <v>35-49</v>
      </c>
      <c r="R4901" s="0" t="str">
        <f aca="false">IF($D4901&lt;&gt;"","["&amp;$E4901&amp;"]"&amp;"|"&amp;$Q4901&amp;"|"&amp;$K4901&amp;"|"&amp;$G4901&amp;"|"&amp;IF($G4901="TX_CURR_SUBNAT.R","CY2022Q4",$M4901),"")</f>
        <v>[fiRkU6gEjLz]|35-49|Female|PMTCT_STAT_SUBNAT.N.New.Neg.T_1|CY2023Q3</v>
      </c>
    </row>
    <row r="4902" customFormat="false" ht="15" hidden="false" customHeight="false" outlineLevel="0" collapsed="false">
      <c r="D4902" s="0" t="s">
        <v>23</v>
      </c>
      <c r="E4902" s="0" t="s">
        <v>24</v>
      </c>
      <c r="F4902" s="0" t="s">
        <v>25</v>
      </c>
      <c r="G4902" s="0" t="s">
        <v>165</v>
      </c>
      <c r="H4902" s="0" t="s">
        <v>166</v>
      </c>
      <c r="I4902" s="0" t="s">
        <v>28</v>
      </c>
      <c r="J4902" s="0" t="s">
        <v>29</v>
      </c>
      <c r="K4902" s="0" t="s">
        <v>30</v>
      </c>
      <c r="L4902" s="0" t="s">
        <v>31</v>
      </c>
      <c r="M4902" s="0" t="s">
        <v>167</v>
      </c>
      <c r="N4902" s="0" t="n">
        <v>1521</v>
      </c>
      <c r="O4902" s="10" t="n">
        <v>0.694762873696163</v>
      </c>
      <c r="P4902" s="10" t="n">
        <v>0.404358610976487</v>
      </c>
      <c r="Q4902" s="0" t="str">
        <f aca="false">SUBSTITUTE(SUBSTITUTE($I4902,CHAR(61),""),CHAR(34),"")</f>
        <v>&lt;01</v>
      </c>
      <c r="R4902" s="0" t="str">
        <f aca="false">IF($D4902&lt;&gt;"","["&amp;$E4902&amp;"]"&amp;"|"&amp;$Q4902&amp;"|"&amp;$K4902&amp;"|"&amp;$G4902&amp;"|"&amp;IF($G4902="TX_CURR_SUBNAT.R","CY2022Q4",$M4902),"")</f>
        <v>[GkIwZrXy1h2]|&lt;01|Female|PLHIV_Residents.T|CY2024Q3</v>
      </c>
    </row>
    <row r="4903" customFormat="false" ht="15" hidden="false" customHeight="false" outlineLevel="0" collapsed="false">
      <c r="D4903" s="0" t="s">
        <v>23</v>
      </c>
      <c r="E4903" s="0" t="s">
        <v>24</v>
      </c>
      <c r="F4903" s="0" t="s">
        <v>25</v>
      </c>
      <c r="G4903" s="0" t="s">
        <v>165</v>
      </c>
      <c r="H4903" s="0" t="s">
        <v>166</v>
      </c>
      <c r="I4903" s="0" t="s">
        <v>33</v>
      </c>
      <c r="J4903" s="0" t="s">
        <v>34</v>
      </c>
      <c r="K4903" s="0" t="s">
        <v>30</v>
      </c>
      <c r="L4903" s="0" t="s">
        <v>31</v>
      </c>
      <c r="M4903" s="0" t="s">
        <v>167</v>
      </c>
      <c r="N4903" s="0" t="n">
        <v>760</v>
      </c>
      <c r="O4903" s="10" t="n">
        <v>0.354180794674903</v>
      </c>
      <c r="P4903" s="10" t="n">
        <v>0.404358610976487</v>
      </c>
      <c r="Q4903" s="0" t="str">
        <f aca="false">SUBSTITUTE(SUBSTITUTE($I4903,CHAR(61),""),CHAR(34),"")</f>
        <v>01-09</v>
      </c>
      <c r="R4903" s="0" t="str">
        <f aca="false">IF($D4903&lt;&gt;"","["&amp;$E4903&amp;"]"&amp;"|"&amp;$Q4903&amp;"|"&amp;$K4903&amp;"|"&amp;$G4903&amp;"|"&amp;IF($G4903="TX_CURR_SUBNAT.R","CY2022Q4",$M4903),"")</f>
        <v>[GkIwZrXy1h2]|01-09|Female|PLHIV_Residents.T|CY2024Q3</v>
      </c>
    </row>
    <row r="4904" customFormat="false" ht="15" hidden="false" customHeight="false" outlineLevel="0" collapsed="false">
      <c r="D4904" s="0" t="s">
        <v>23</v>
      </c>
      <c r="E4904" s="0" t="s">
        <v>24</v>
      </c>
      <c r="F4904" s="0" t="s">
        <v>25</v>
      </c>
      <c r="G4904" s="0" t="s">
        <v>165</v>
      </c>
      <c r="H4904" s="0" t="s">
        <v>166</v>
      </c>
      <c r="I4904" s="0" t="s">
        <v>36</v>
      </c>
      <c r="J4904" s="0" t="s">
        <v>37</v>
      </c>
      <c r="K4904" s="0" t="s">
        <v>30</v>
      </c>
      <c r="L4904" s="0" t="s">
        <v>31</v>
      </c>
      <c r="M4904" s="0" t="s">
        <v>167</v>
      </c>
      <c r="N4904" s="0" t="n">
        <v>1001</v>
      </c>
      <c r="O4904" s="10" t="n">
        <v>0.0140020449180156</v>
      </c>
      <c r="P4904" s="10" t="n">
        <v>0.404358610976487</v>
      </c>
      <c r="Q4904" s="0" t="str">
        <f aca="false">SUBSTITUTE(SUBSTITUTE($I4904,CHAR(61),""),CHAR(34),"")</f>
        <v>10-14</v>
      </c>
      <c r="R4904" s="0" t="str">
        <f aca="false">IF($D4904&lt;&gt;"","["&amp;$E4904&amp;"]"&amp;"|"&amp;$Q4904&amp;"|"&amp;$K4904&amp;"|"&amp;$G4904&amp;"|"&amp;IF($G4904="TX_CURR_SUBNAT.R","CY2022Q4",$M4904),"")</f>
        <v>[GkIwZrXy1h2]|10-14|Female|PLHIV_Residents.T|CY2024Q3</v>
      </c>
    </row>
    <row r="4905" customFormat="false" ht="15" hidden="false" customHeight="false" outlineLevel="0" collapsed="false">
      <c r="D4905" s="0" t="s">
        <v>23</v>
      </c>
      <c r="E4905" s="0" t="s">
        <v>24</v>
      </c>
      <c r="F4905" s="0" t="s">
        <v>25</v>
      </c>
      <c r="G4905" s="0" t="s">
        <v>165</v>
      </c>
      <c r="H4905" s="0" t="s">
        <v>166</v>
      </c>
      <c r="I4905" s="0" t="s">
        <v>38</v>
      </c>
      <c r="J4905" s="0" t="s">
        <v>39</v>
      </c>
      <c r="K4905" s="0" t="s">
        <v>30</v>
      </c>
      <c r="L4905" s="0" t="s">
        <v>31</v>
      </c>
      <c r="M4905" s="0" t="s">
        <v>167</v>
      </c>
      <c r="N4905" s="0" t="n">
        <v>1982</v>
      </c>
      <c r="O4905" s="10" t="n">
        <v>0.350442925468087</v>
      </c>
      <c r="P4905" s="10" t="n">
        <v>0.404358610976487</v>
      </c>
      <c r="Q4905" s="0" t="str">
        <f aca="false">SUBSTITUTE(SUBSTITUTE($I4905,CHAR(61),""),CHAR(34),"")</f>
        <v>15-24</v>
      </c>
      <c r="R4905" s="0" t="str">
        <f aca="false">IF($D4905&lt;&gt;"","["&amp;$E4905&amp;"]"&amp;"|"&amp;$Q4905&amp;"|"&amp;$K4905&amp;"|"&amp;$G4905&amp;"|"&amp;IF($G4905="TX_CURR_SUBNAT.R","CY2022Q4",$M4905),"")</f>
        <v>[GkIwZrXy1h2]|15-24|Female|PLHIV_Residents.T|CY2024Q3</v>
      </c>
    </row>
    <row r="4906" customFormat="false" ht="15" hidden="false" customHeight="false" outlineLevel="0" collapsed="false">
      <c r="D4906" s="0" t="s">
        <v>23</v>
      </c>
      <c r="E4906" s="0" t="s">
        <v>24</v>
      </c>
      <c r="F4906" s="0" t="s">
        <v>25</v>
      </c>
      <c r="G4906" s="0" t="s">
        <v>165</v>
      </c>
      <c r="H4906" s="0" t="s">
        <v>166</v>
      </c>
      <c r="I4906" s="0" t="s">
        <v>41</v>
      </c>
      <c r="J4906" s="0" t="s">
        <v>42</v>
      </c>
      <c r="K4906" s="0" t="s">
        <v>30</v>
      </c>
      <c r="L4906" s="0" t="s">
        <v>31</v>
      </c>
      <c r="M4906" s="0" t="s">
        <v>167</v>
      </c>
      <c r="N4906" s="0" t="n">
        <v>507</v>
      </c>
      <c r="O4906" s="10" t="n">
        <v>0.0533900463487953</v>
      </c>
      <c r="P4906" s="10" t="n">
        <v>0.404358610976487</v>
      </c>
      <c r="Q4906" s="0" t="str">
        <f aca="false">SUBSTITUTE(SUBSTITUTE($I4906,CHAR(61),""),CHAR(34),"")</f>
        <v>25-34</v>
      </c>
      <c r="R4906" s="0" t="str">
        <f aca="false">IF($D4906&lt;&gt;"","["&amp;$E4906&amp;"]"&amp;"|"&amp;$Q4906&amp;"|"&amp;$K4906&amp;"|"&amp;$G4906&amp;"|"&amp;IF($G4906="TX_CURR_SUBNAT.R","CY2022Q4",$M4906),"")</f>
        <v>[GkIwZrXy1h2]|25-34|Female|PLHIV_Residents.T|CY2024Q3</v>
      </c>
    </row>
    <row r="4907" customFormat="false" ht="15" hidden="false" customHeight="false" outlineLevel="0" collapsed="false">
      <c r="D4907" s="0" t="s">
        <v>23</v>
      </c>
      <c r="E4907" s="0" t="s">
        <v>24</v>
      </c>
      <c r="F4907" s="0" t="s">
        <v>25</v>
      </c>
      <c r="G4907" s="0" t="s">
        <v>165</v>
      </c>
      <c r="H4907" s="0" t="s">
        <v>166</v>
      </c>
      <c r="I4907" s="0" t="s">
        <v>43</v>
      </c>
      <c r="J4907" s="0" t="s">
        <v>44</v>
      </c>
      <c r="K4907" s="0" t="s">
        <v>30</v>
      </c>
      <c r="L4907" s="0" t="s">
        <v>31</v>
      </c>
      <c r="M4907" s="0" t="s">
        <v>167</v>
      </c>
      <c r="N4907" s="0" t="n">
        <v>1712</v>
      </c>
      <c r="O4907" s="10" t="n">
        <v>0.153497531777248</v>
      </c>
      <c r="P4907" s="10" t="n">
        <v>0.404358610976487</v>
      </c>
      <c r="Q4907" s="0" t="str">
        <f aca="false">SUBSTITUTE(SUBSTITUTE($I4907,CHAR(61),""),CHAR(34),"")</f>
        <v>35-49</v>
      </c>
      <c r="R4907" s="0" t="str">
        <f aca="false">IF($D4907&lt;&gt;"","["&amp;$E4907&amp;"]"&amp;"|"&amp;$Q4907&amp;"|"&amp;$K4907&amp;"|"&amp;$G4907&amp;"|"&amp;IF($G4907="TX_CURR_SUBNAT.R","CY2022Q4",$M4907),"")</f>
        <v>[GkIwZrXy1h2]|35-49|Female|PLHIV_Residents.T|CY2024Q3</v>
      </c>
    </row>
    <row r="4908" customFormat="false" ht="15" hidden="false" customHeight="false" outlineLevel="0" collapsed="false">
      <c r="D4908" s="0" t="s">
        <v>23</v>
      </c>
      <c r="E4908" s="0" t="s">
        <v>24</v>
      </c>
      <c r="F4908" s="0" t="s">
        <v>25</v>
      </c>
      <c r="G4908" s="0" t="s">
        <v>165</v>
      </c>
      <c r="H4908" s="0" t="s">
        <v>166</v>
      </c>
      <c r="I4908" s="0" t="s">
        <v>45</v>
      </c>
      <c r="J4908" s="0" t="s">
        <v>46</v>
      </c>
      <c r="K4908" s="0" t="s">
        <v>30</v>
      </c>
      <c r="L4908" s="0" t="s">
        <v>31</v>
      </c>
      <c r="M4908" s="0" t="s">
        <v>167</v>
      </c>
      <c r="N4908" s="0" t="n">
        <v>917</v>
      </c>
      <c r="O4908" s="10" t="n">
        <v>0.429328142665327</v>
      </c>
      <c r="P4908" s="10" t="n">
        <v>0.404358610976487</v>
      </c>
      <c r="Q4908" s="0" t="str">
        <f aca="false">SUBSTITUTE(SUBSTITUTE($I4908,CHAR(61),""),CHAR(34),"")</f>
        <v>50+</v>
      </c>
      <c r="R4908" s="0" t="str">
        <f aca="false">IF($D4908&lt;&gt;"","["&amp;$E4908&amp;"]"&amp;"|"&amp;$Q4908&amp;"|"&amp;$K4908&amp;"|"&amp;$G4908&amp;"|"&amp;IF($G4908="TX_CURR_SUBNAT.R","CY2022Q4",$M4908),"")</f>
        <v>[GkIwZrXy1h2]|50+|Female|PLHIV_Residents.T|CY2024Q3</v>
      </c>
    </row>
    <row r="4909" customFormat="false" ht="15" hidden="false" customHeight="false" outlineLevel="0" collapsed="false">
      <c r="D4909" s="0" t="s">
        <v>23</v>
      </c>
      <c r="E4909" s="0" t="s">
        <v>24</v>
      </c>
      <c r="F4909" s="0" t="s">
        <v>25</v>
      </c>
      <c r="G4909" s="0" t="s">
        <v>165</v>
      </c>
      <c r="H4909" s="0" t="s">
        <v>166</v>
      </c>
      <c r="I4909" s="0" t="s">
        <v>28</v>
      </c>
      <c r="J4909" s="0" t="s">
        <v>29</v>
      </c>
      <c r="K4909" s="0" t="s">
        <v>48</v>
      </c>
      <c r="L4909" s="0" t="s">
        <v>49</v>
      </c>
      <c r="M4909" s="0" t="s">
        <v>167</v>
      </c>
      <c r="N4909" s="0" t="n">
        <v>663</v>
      </c>
      <c r="O4909" s="10" t="n">
        <v>0.690992112737149</v>
      </c>
      <c r="P4909" s="10" t="n">
        <v>0.404358610976487</v>
      </c>
      <c r="Q4909" s="0" t="str">
        <f aca="false">SUBSTITUTE(SUBSTITUTE($I4909,CHAR(61),""),CHAR(34),"")</f>
        <v>&lt;01</v>
      </c>
      <c r="R4909" s="0" t="str">
        <f aca="false">IF($D4909&lt;&gt;"","["&amp;$E4909&amp;"]"&amp;"|"&amp;$Q4909&amp;"|"&amp;$K4909&amp;"|"&amp;$G4909&amp;"|"&amp;IF($G4909="TX_CURR_SUBNAT.R","CY2022Q4",$M4909),"")</f>
        <v>[GkIwZrXy1h2]|&lt;01|Male|PLHIV_Residents.T|CY2024Q3</v>
      </c>
    </row>
    <row r="4910" customFormat="false" ht="15" hidden="false" customHeight="false" outlineLevel="0" collapsed="false">
      <c r="D4910" s="0" t="s">
        <v>23</v>
      </c>
      <c r="E4910" s="0" t="s">
        <v>24</v>
      </c>
      <c r="F4910" s="0" t="s">
        <v>25</v>
      </c>
      <c r="G4910" s="0" t="s">
        <v>165</v>
      </c>
      <c r="H4910" s="0" t="s">
        <v>166</v>
      </c>
      <c r="I4910" s="0" t="s">
        <v>33</v>
      </c>
      <c r="J4910" s="0" t="s">
        <v>34</v>
      </c>
      <c r="K4910" s="0" t="s">
        <v>48</v>
      </c>
      <c r="L4910" s="0" t="s">
        <v>49</v>
      </c>
      <c r="M4910" s="0" t="s">
        <v>167</v>
      </c>
      <c r="N4910" s="0" t="n">
        <v>596</v>
      </c>
      <c r="O4910" s="10" t="n">
        <v>0.147945886943489</v>
      </c>
      <c r="P4910" s="10" t="n">
        <v>0.404358610976487</v>
      </c>
      <c r="Q4910" s="0" t="str">
        <f aca="false">SUBSTITUTE(SUBSTITUTE($I4910,CHAR(61),""),CHAR(34),"")</f>
        <v>01-09</v>
      </c>
      <c r="R4910" s="0" t="str">
        <f aca="false">IF($D4910&lt;&gt;"","["&amp;$E4910&amp;"]"&amp;"|"&amp;$Q4910&amp;"|"&amp;$K4910&amp;"|"&amp;$G4910&amp;"|"&amp;IF($G4910="TX_CURR_SUBNAT.R","CY2022Q4",$M4910),"")</f>
        <v>[GkIwZrXy1h2]|01-09|Male|PLHIV_Residents.T|CY2024Q3</v>
      </c>
    </row>
    <row r="4911" customFormat="false" ht="15" hidden="false" customHeight="false" outlineLevel="0" collapsed="false">
      <c r="D4911" s="0" t="s">
        <v>23</v>
      </c>
      <c r="E4911" s="0" t="s">
        <v>24</v>
      </c>
      <c r="F4911" s="0" t="s">
        <v>25</v>
      </c>
      <c r="G4911" s="0" t="s">
        <v>165</v>
      </c>
      <c r="H4911" s="0" t="s">
        <v>166</v>
      </c>
      <c r="I4911" s="0" t="s">
        <v>36</v>
      </c>
      <c r="J4911" s="0" t="s">
        <v>37</v>
      </c>
      <c r="K4911" s="0" t="s">
        <v>48</v>
      </c>
      <c r="L4911" s="0" t="s">
        <v>49</v>
      </c>
      <c r="M4911" s="0" t="s">
        <v>167</v>
      </c>
      <c r="N4911" s="0" t="n">
        <v>727</v>
      </c>
      <c r="O4911" s="10" t="n">
        <v>0.877810912206769</v>
      </c>
      <c r="P4911" s="10" t="n">
        <v>0.404358610976487</v>
      </c>
      <c r="Q4911" s="0" t="str">
        <f aca="false">SUBSTITUTE(SUBSTITUTE($I4911,CHAR(61),""),CHAR(34),"")</f>
        <v>10-14</v>
      </c>
      <c r="R4911" s="0" t="str">
        <f aca="false">IF($D4911&lt;&gt;"","["&amp;$E4911&amp;"]"&amp;"|"&amp;$Q4911&amp;"|"&amp;$K4911&amp;"|"&amp;$G4911&amp;"|"&amp;IF($G4911="TX_CURR_SUBNAT.R","CY2022Q4",$M4911),"")</f>
        <v>[GkIwZrXy1h2]|10-14|Male|PLHIV_Residents.T|CY2024Q3</v>
      </c>
    </row>
    <row r="4912" customFormat="false" ht="15" hidden="false" customHeight="false" outlineLevel="0" collapsed="false">
      <c r="D4912" s="0" t="s">
        <v>23</v>
      </c>
      <c r="E4912" s="0" t="s">
        <v>24</v>
      </c>
      <c r="F4912" s="0" t="s">
        <v>25</v>
      </c>
      <c r="G4912" s="0" t="s">
        <v>165</v>
      </c>
      <c r="H4912" s="0" t="s">
        <v>166</v>
      </c>
      <c r="I4912" s="0" t="s">
        <v>38</v>
      </c>
      <c r="J4912" s="0" t="s">
        <v>39</v>
      </c>
      <c r="K4912" s="0" t="s">
        <v>48</v>
      </c>
      <c r="L4912" s="0" t="s">
        <v>49</v>
      </c>
      <c r="M4912" s="0" t="s">
        <v>167</v>
      </c>
      <c r="N4912" s="0" t="n">
        <v>1683</v>
      </c>
      <c r="O4912" s="10" t="n">
        <v>0.56345922453329</v>
      </c>
      <c r="P4912" s="10" t="n">
        <v>0.404358610976487</v>
      </c>
      <c r="Q4912" s="0" t="str">
        <f aca="false">SUBSTITUTE(SUBSTITUTE($I4912,CHAR(61),""),CHAR(34),"")</f>
        <v>15-24</v>
      </c>
      <c r="R4912" s="0" t="str">
        <f aca="false">IF($D4912&lt;&gt;"","["&amp;$E4912&amp;"]"&amp;"|"&amp;$Q4912&amp;"|"&amp;$K4912&amp;"|"&amp;$G4912&amp;"|"&amp;IF($G4912="TX_CURR_SUBNAT.R","CY2022Q4",$M4912),"")</f>
        <v>[GkIwZrXy1h2]|15-24|Male|PLHIV_Residents.T|CY2024Q3</v>
      </c>
    </row>
    <row r="4913" customFormat="false" ht="15" hidden="false" customHeight="false" outlineLevel="0" collapsed="false">
      <c r="D4913" s="0" t="s">
        <v>23</v>
      </c>
      <c r="E4913" s="0" t="s">
        <v>24</v>
      </c>
      <c r="F4913" s="0" t="s">
        <v>25</v>
      </c>
      <c r="G4913" s="0" t="s">
        <v>165</v>
      </c>
      <c r="H4913" s="0" t="s">
        <v>166</v>
      </c>
      <c r="I4913" s="0" t="s">
        <v>41</v>
      </c>
      <c r="J4913" s="0" t="s">
        <v>42</v>
      </c>
      <c r="K4913" s="0" t="s">
        <v>48</v>
      </c>
      <c r="L4913" s="0" t="s">
        <v>49</v>
      </c>
      <c r="M4913" s="0" t="s">
        <v>167</v>
      </c>
      <c r="N4913" s="0" t="n">
        <v>1104</v>
      </c>
      <c r="O4913" s="10" t="n">
        <v>0.612354811280966</v>
      </c>
      <c r="P4913" s="10" t="n">
        <v>0.404358610976487</v>
      </c>
      <c r="Q4913" s="0" t="str">
        <f aca="false">SUBSTITUTE(SUBSTITUTE($I4913,CHAR(61),""),CHAR(34),"")</f>
        <v>25-34</v>
      </c>
      <c r="R4913" s="0" t="str">
        <f aca="false">IF($D4913&lt;&gt;"","["&amp;$E4913&amp;"]"&amp;"|"&amp;$Q4913&amp;"|"&amp;$K4913&amp;"|"&amp;$G4913&amp;"|"&amp;IF($G4913="TX_CURR_SUBNAT.R","CY2022Q4",$M4913),"")</f>
        <v>[GkIwZrXy1h2]|25-34|Male|PLHIV_Residents.T|CY2024Q3</v>
      </c>
    </row>
    <row r="4914" customFormat="false" ht="15" hidden="false" customHeight="false" outlineLevel="0" collapsed="false">
      <c r="D4914" s="0" t="s">
        <v>23</v>
      </c>
      <c r="E4914" s="0" t="s">
        <v>24</v>
      </c>
      <c r="F4914" s="0" t="s">
        <v>25</v>
      </c>
      <c r="G4914" s="0" t="s">
        <v>165</v>
      </c>
      <c r="H4914" s="0" t="s">
        <v>166</v>
      </c>
      <c r="I4914" s="0" t="s">
        <v>43</v>
      </c>
      <c r="J4914" s="0" t="s">
        <v>44</v>
      </c>
      <c r="K4914" s="0" t="s">
        <v>48</v>
      </c>
      <c r="L4914" s="0" t="s">
        <v>49</v>
      </c>
      <c r="M4914" s="0" t="s">
        <v>167</v>
      </c>
      <c r="N4914" s="0" t="n">
        <v>1270</v>
      </c>
      <c r="O4914" s="10" t="n">
        <v>0.927947964286432</v>
      </c>
      <c r="P4914" s="10" t="n">
        <v>0.404358610976487</v>
      </c>
      <c r="Q4914" s="0" t="str">
        <f aca="false">SUBSTITUTE(SUBSTITUTE($I4914,CHAR(61),""),CHAR(34),"")</f>
        <v>35-49</v>
      </c>
      <c r="R4914" s="0" t="str">
        <f aca="false">IF($D4914&lt;&gt;"","["&amp;$E4914&amp;"]"&amp;"|"&amp;$Q4914&amp;"|"&amp;$K4914&amp;"|"&amp;$G4914&amp;"|"&amp;IF($G4914="TX_CURR_SUBNAT.R","CY2022Q4",$M4914),"")</f>
        <v>[GkIwZrXy1h2]|35-49|Male|PLHIV_Residents.T|CY2024Q3</v>
      </c>
    </row>
    <row r="4915" customFormat="false" ht="15" hidden="false" customHeight="false" outlineLevel="0" collapsed="false">
      <c r="D4915" s="0" t="s">
        <v>23</v>
      </c>
      <c r="E4915" s="0" t="s">
        <v>24</v>
      </c>
      <c r="F4915" s="0" t="s">
        <v>25</v>
      </c>
      <c r="G4915" s="0" t="s">
        <v>165</v>
      </c>
      <c r="H4915" s="0" t="s">
        <v>166</v>
      </c>
      <c r="I4915" s="0" t="s">
        <v>45</v>
      </c>
      <c r="J4915" s="0" t="s">
        <v>46</v>
      </c>
      <c r="K4915" s="0" t="s">
        <v>48</v>
      </c>
      <c r="L4915" s="0" t="s">
        <v>49</v>
      </c>
      <c r="M4915" s="0" t="s">
        <v>167</v>
      </c>
      <c r="N4915" s="0" t="n">
        <v>635</v>
      </c>
      <c r="O4915" s="10" t="n">
        <v>0.39890376990661</v>
      </c>
      <c r="P4915" s="10" t="n">
        <v>0.404358610976487</v>
      </c>
      <c r="Q4915" s="0" t="str">
        <f aca="false">SUBSTITUTE(SUBSTITUTE($I4915,CHAR(61),""),CHAR(34),"")</f>
        <v>50+</v>
      </c>
      <c r="R4915" s="0" t="str">
        <f aca="false">IF($D4915&lt;&gt;"","["&amp;$E4915&amp;"]"&amp;"|"&amp;$Q4915&amp;"|"&amp;$K4915&amp;"|"&amp;$G4915&amp;"|"&amp;IF($G4915="TX_CURR_SUBNAT.R","CY2022Q4",$M4915),"")</f>
        <v>[GkIwZrXy1h2]|50+|Male|PLHIV_Residents.T|CY2024Q3</v>
      </c>
    </row>
    <row r="4916" customFormat="false" ht="15" hidden="false" customHeight="false" outlineLevel="0" collapsed="false">
      <c r="D4916" s="0" t="s">
        <v>53</v>
      </c>
      <c r="E4916" s="0" t="s">
        <v>54</v>
      </c>
      <c r="F4916" s="0" t="s">
        <v>55</v>
      </c>
      <c r="G4916" s="0" t="s">
        <v>165</v>
      </c>
      <c r="H4916" s="0" t="s">
        <v>166</v>
      </c>
      <c r="I4916" s="0" t="s">
        <v>28</v>
      </c>
      <c r="J4916" s="0" t="s">
        <v>29</v>
      </c>
      <c r="K4916" s="0" t="s">
        <v>30</v>
      </c>
      <c r="L4916" s="0" t="s">
        <v>31</v>
      </c>
      <c r="M4916" s="0" t="s">
        <v>167</v>
      </c>
      <c r="N4916" s="0" t="n">
        <v>1905</v>
      </c>
      <c r="O4916" s="10" t="n">
        <v>0.867676253663376</v>
      </c>
      <c r="P4916" s="10" t="n">
        <v>0.616392469964921</v>
      </c>
      <c r="Q4916" s="0" t="str">
        <f aca="false">SUBSTITUTE(SUBSTITUTE($I4916,CHAR(61),""),CHAR(34),"")</f>
        <v>&lt;01</v>
      </c>
      <c r="R4916" s="0" t="str">
        <f aca="false">IF($D4916&lt;&gt;"","["&amp;$E4916&amp;"]"&amp;"|"&amp;$Q4916&amp;"|"&amp;$K4916&amp;"|"&amp;$G4916&amp;"|"&amp;IF($G4916="TX_CURR_SUBNAT.R","CY2022Q4",$M4916),"")</f>
        <v>[zphK9WV8JB4]|&lt;01|Female|PLHIV_Residents.T|CY2024Q3</v>
      </c>
    </row>
    <row r="4917" customFormat="false" ht="15" hidden="false" customHeight="false" outlineLevel="0" collapsed="false">
      <c r="D4917" s="0" t="s">
        <v>53</v>
      </c>
      <c r="E4917" s="0" t="s">
        <v>54</v>
      </c>
      <c r="F4917" s="0" t="s">
        <v>55</v>
      </c>
      <c r="G4917" s="0" t="s">
        <v>165</v>
      </c>
      <c r="H4917" s="0" t="s">
        <v>166</v>
      </c>
      <c r="I4917" s="0" t="s">
        <v>33</v>
      </c>
      <c r="J4917" s="0" t="s">
        <v>34</v>
      </c>
      <c r="K4917" s="0" t="s">
        <v>30</v>
      </c>
      <c r="L4917" s="0" t="s">
        <v>31</v>
      </c>
      <c r="M4917" s="0" t="s">
        <v>167</v>
      </c>
      <c r="N4917" s="0" t="n">
        <v>1512</v>
      </c>
      <c r="O4917" s="10" t="n">
        <v>0.00482965796254575</v>
      </c>
      <c r="P4917" s="10" t="n">
        <v>0.616392469964921</v>
      </c>
      <c r="Q4917" s="0" t="str">
        <f aca="false">SUBSTITUTE(SUBSTITUTE($I4917,CHAR(61),""),CHAR(34),"")</f>
        <v>01-09</v>
      </c>
      <c r="R4917" s="0" t="str">
        <f aca="false">IF($D4917&lt;&gt;"","["&amp;$E4917&amp;"]"&amp;"|"&amp;$Q4917&amp;"|"&amp;$K4917&amp;"|"&amp;$G4917&amp;"|"&amp;IF($G4917="TX_CURR_SUBNAT.R","CY2022Q4",$M4917),"")</f>
        <v>[zphK9WV8JB4]|01-09|Female|PLHIV_Residents.T|CY2024Q3</v>
      </c>
    </row>
    <row r="4918" customFormat="false" ht="15" hidden="false" customHeight="false" outlineLevel="0" collapsed="false">
      <c r="D4918" s="0" t="s">
        <v>53</v>
      </c>
      <c r="E4918" s="0" t="s">
        <v>54</v>
      </c>
      <c r="F4918" s="0" t="s">
        <v>55</v>
      </c>
      <c r="G4918" s="0" t="s">
        <v>165</v>
      </c>
      <c r="H4918" s="0" t="s">
        <v>166</v>
      </c>
      <c r="I4918" s="0" t="s">
        <v>36</v>
      </c>
      <c r="J4918" s="0" t="s">
        <v>37</v>
      </c>
      <c r="K4918" s="0" t="s">
        <v>30</v>
      </c>
      <c r="L4918" s="0" t="s">
        <v>31</v>
      </c>
      <c r="M4918" s="0" t="s">
        <v>167</v>
      </c>
      <c r="N4918" s="0" t="n">
        <v>1207</v>
      </c>
      <c r="O4918" s="10" t="n">
        <v>0.649977447697893</v>
      </c>
      <c r="P4918" s="10" t="n">
        <v>0.616392469964921</v>
      </c>
      <c r="Q4918" s="0" t="str">
        <f aca="false">SUBSTITUTE(SUBSTITUTE($I4918,CHAR(61),""),CHAR(34),"")</f>
        <v>10-14</v>
      </c>
      <c r="R4918" s="0" t="str">
        <f aca="false">IF($D4918&lt;&gt;"","["&amp;$E4918&amp;"]"&amp;"|"&amp;$Q4918&amp;"|"&amp;$K4918&amp;"|"&amp;$G4918&amp;"|"&amp;IF($G4918="TX_CURR_SUBNAT.R","CY2022Q4",$M4918),"")</f>
        <v>[zphK9WV8JB4]|10-14|Female|PLHIV_Residents.T|CY2024Q3</v>
      </c>
    </row>
    <row r="4919" customFormat="false" ht="15" hidden="false" customHeight="false" outlineLevel="0" collapsed="false">
      <c r="D4919" s="0" t="s">
        <v>53</v>
      </c>
      <c r="E4919" s="0" t="s">
        <v>54</v>
      </c>
      <c r="F4919" s="0" t="s">
        <v>55</v>
      </c>
      <c r="G4919" s="0" t="s">
        <v>165</v>
      </c>
      <c r="H4919" s="0" t="s">
        <v>166</v>
      </c>
      <c r="I4919" s="0" t="s">
        <v>38</v>
      </c>
      <c r="J4919" s="0" t="s">
        <v>39</v>
      </c>
      <c r="K4919" s="0" t="s">
        <v>30</v>
      </c>
      <c r="L4919" s="0" t="s">
        <v>31</v>
      </c>
      <c r="M4919" s="0" t="s">
        <v>167</v>
      </c>
      <c r="N4919" s="0" t="n">
        <v>1839</v>
      </c>
      <c r="O4919" s="10" t="n">
        <v>0.997573899338022</v>
      </c>
      <c r="P4919" s="10" t="n">
        <v>0.616392469964921</v>
      </c>
      <c r="Q4919" s="0" t="str">
        <f aca="false">SUBSTITUTE(SUBSTITUTE($I4919,CHAR(61),""),CHAR(34),"")</f>
        <v>15-24</v>
      </c>
      <c r="R4919" s="0" t="str">
        <f aca="false">IF($D4919&lt;&gt;"","["&amp;$E4919&amp;"]"&amp;"|"&amp;$Q4919&amp;"|"&amp;$K4919&amp;"|"&amp;$G4919&amp;"|"&amp;IF($G4919="TX_CURR_SUBNAT.R","CY2022Q4",$M4919),"")</f>
        <v>[zphK9WV8JB4]|15-24|Female|PLHIV_Residents.T|CY2024Q3</v>
      </c>
    </row>
    <row r="4920" customFormat="false" ht="15" hidden="false" customHeight="false" outlineLevel="0" collapsed="false">
      <c r="D4920" s="0" t="s">
        <v>53</v>
      </c>
      <c r="E4920" s="0" t="s">
        <v>54</v>
      </c>
      <c r="F4920" s="0" t="s">
        <v>55</v>
      </c>
      <c r="G4920" s="0" t="s">
        <v>165</v>
      </c>
      <c r="H4920" s="0" t="s">
        <v>166</v>
      </c>
      <c r="I4920" s="0" t="s">
        <v>41</v>
      </c>
      <c r="J4920" s="0" t="s">
        <v>42</v>
      </c>
      <c r="K4920" s="0" t="s">
        <v>30</v>
      </c>
      <c r="L4920" s="0" t="s">
        <v>31</v>
      </c>
      <c r="M4920" s="0" t="s">
        <v>167</v>
      </c>
      <c r="N4920" s="0" t="n">
        <v>672</v>
      </c>
      <c r="O4920" s="10" t="n">
        <v>0.0101910817902535</v>
      </c>
      <c r="P4920" s="10" t="n">
        <v>0.616392469964921</v>
      </c>
      <c r="Q4920" s="0" t="str">
        <f aca="false">SUBSTITUTE(SUBSTITUTE($I4920,CHAR(61),""),CHAR(34),"")</f>
        <v>25-34</v>
      </c>
      <c r="R4920" s="0" t="str">
        <f aca="false">IF($D4920&lt;&gt;"","["&amp;$E4920&amp;"]"&amp;"|"&amp;$Q4920&amp;"|"&amp;$K4920&amp;"|"&amp;$G4920&amp;"|"&amp;IF($G4920="TX_CURR_SUBNAT.R","CY2022Q4",$M4920),"")</f>
        <v>[zphK9WV8JB4]|25-34|Female|PLHIV_Residents.T|CY2024Q3</v>
      </c>
    </row>
    <row r="4921" customFormat="false" ht="15" hidden="false" customHeight="false" outlineLevel="0" collapsed="false">
      <c r="D4921" s="0" t="s">
        <v>53</v>
      </c>
      <c r="E4921" s="0" t="s">
        <v>54</v>
      </c>
      <c r="F4921" s="0" t="s">
        <v>55</v>
      </c>
      <c r="G4921" s="0" t="s">
        <v>165</v>
      </c>
      <c r="H4921" s="0" t="s">
        <v>166</v>
      </c>
      <c r="I4921" s="0" t="s">
        <v>43</v>
      </c>
      <c r="J4921" s="0" t="s">
        <v>44</v>
      </c>
      <c r="K4921" s="0" t="s">
        <v>30</v>
      </c>
      <c r="L4921" s="0" t="s">
        <v>31</v>
      </c>
      <c r="M4921" s="0" t="s">
        <v>167</v>
      </c>
      <c r="N4921" s="0" t="n">
        <v>1922</v>
      </c>
      <c r="O4921" s="10" t="n">
        <v>0.798685934860259</v>
      </c>
      <c r="P4921" s="10" t="n">
        <v>0.616392469964921</v>
      </c>
      <c r="Q4921" s="0" t="str">
        <f aca="false">SUBSTITUTE(SUBSTITUTE($I4921,CHAR(61),""),CHAR(34),"")</f>
        <v>35-49</v>
      </c>
      <c r="R4921" s="0" t="str">
        <f aca="false">IF($D4921&lt;&gt;"","["&amp;$E4921&amp;"]"&amp;"|"&amp;$Q4921&amp;"|"&amp;$K4921&amp;"|"&amp;$G4921&amp;"|"&amp;IF($G4921="TX_CURR_SUBNAT.R","CY2022Q4",$M4921),"")</f>
        <v>[zphK9WV8JB4]|35-49|Female|PLHIV_Residents.T|CY2024Q3</v>
      </c>
    </row>
    <row r="4922" customFormat="false" ht="15" hidden="false" customHeight="false" outlineLevel="0" collapsed="false">
      <c r="D4922" s="0" t="s">
        <v>53</v>
      </c>
      <c r="E4922" s="0" t="s">
        <v>54</v>
      </c>
      <c r="F4922" s="0" t="s">
        <v>55</v>
      </c>
      <c r="G4922" s="0" t="s">
        <v>165</v>
      </c>
      <c r="H4922" s="0" t="s">
        <v>166</v>
      </c>
      <c r="I4922" s="0" t="s">
        <v>45</v>
      </c>
      <c r="J4922" s="0" t="s">
        <v>46</v>
      </c>
      <c r="K4922" s="0" t="s">
        <v>30</v>
      </c>
      <c r="L4922" s="0" t="s">
        <v>31</v>
      </c>
      <c r="M4922" s="0" t="s">
        <v>167</v>
      </c>
      <c r="N4922" s="0" t="n">
        <v>1546</v>
      </c>
      <c r="O4922" s="10" t="n">
        <v>0.690181135432795</v>
      </c>
      <c r="P4922" s="10" t="n">
        <v>0.616392469964921</v>
      </c>
      <c r="Q4922" s="0" t="str">
        <f aca="false">SUBSTITUTE(SUBSTITUTE($I4922,CHAR(61),""),CHAR(34),"")</f>
        <v>50+</v>
      </c>
      <c r="R4922" s="0" t="str">
        <f aca="false">IF($D4922&lt;&gt;"","["&amp;$E4922&amp;"]"&amp;"|"&amp;$Q4922&amp;"|"&amp;$K4922&amp;"|"&amp;$G4922&amp;"|"&amp;IF($G4922="TX_CURR_SUBNAT.R","CY2022Q4",$M4922),"")</f>
        <v>[zphK9WV8JB4]|50+|Female|PLHIV_Residents.T|CY2024Q3</v>
      </c>
    </row>
    <row r="4923" customFormat="false" ht="15" hidden="false" customHeight="false" outlineLevel="0" collapsed="false">
      <c r="D4923" s="0" t="s">
        <v>53</v>
      </c>
      <c r="E4923" s="0" t="s">
        <v>54</v>
      </c>
      <c r="F4923" s="0" t="s">
        <v>55</v>
      </c>
      <c r="G4923" s="0" t="s">
        <v>165</v>
      </c>
      <c r="H4923" s="0" t="s">
        <v>166</v>
      </c>
      <c r="I4923" s="0" t="s">
        <v>28</v>
      </c>
      <c r="J4923" s="0" t="s">
        <v>29</v>
      </c>
      <c r="K4923" s="0" t="s">
        <v>48</v>
      </c>
      <c r="L4923" s="0" t="s">
        <v>49</v>
      </c>
      <c r="M4923" s="0" t="s">
        <v>167</v>
      </c>
      <c r="N4923" s="0" t="n">
        <v>1789</v>
      </c>
      <c r="O4923" s="10" t="n">
        <v>0.477555248420686</v>
      </c>
      <c r="P4923" s="10" t="n">
        <v>0.616392469964921</v>
      </c>
      <c r="Q4923" s="0" t="str">
        <f aca="false">SUBSTITUTE(SUBSTITUTE($I4923,CHAR(61),""),CHAR(34),"")</f>
        <v>&lt;01</v>
      </c>
      <c r="R4923" s="0" t="str">
        <f aca="false">IF($D4923&lt;&gt;"","["&amp;$E4923&amp;"]"&amp;"|"&amp;$Q4923&amp;"|"&amp;$K4923&amp;"|"&amp;$G4923&amp;"|"&amp;IF($G4923="TX_CURR_SUBNAT.R","CY2022Q4",$M4923),"")</f>
        <v>[zphK9WV8JB4]|&lt;01|Male|PLHIV_Residents.T|CY2024Q3</v>
      </c>
    </row>
    <row r="4924" customFormat="false" ht="15" hidden="false" customHeight="false" outlineLevel="0" collapsed="false">
      <c r="D4924" s="0" t="s">
        <v>53</v>
      </c>
      <c r="E4924" s="0" t="s">
        <v>54</v>
      </c>
      <c r="F4924" s="0" t="s">
        <v>55</v>
      </c>
      <c r="G4924" s="0" t="s">
        <v>165</v>
      </c>
      <c r="H4924" s="0" t="s">
        <v>166</v>
      </c>
      <c r="I4924" s="0" t="s">
        <v>33</v>
      </c>
      <c r="J4924" s="0" t="s">
        <v>34</v>
      </c>
      <c r="K4924" s="0" t="s">
        <v>48</v>
      </c>
      <c r="L4924" s="0" t="s">
        <v>49</v>
      </c>
      <c r="M4924" s="0" t="s">
        <v>167</v>
      </c>
      <c r="N4924" s="0" t="n">
        <v>683</v>
      </c>
      <c r="O4924" s="10" t="n">
        <v>0.00488420645706356</v>
      </c>
      <c r="P4924" s="10" t="n">
        <v>0.616392469964921</v>
      </c>
      <c r="Q4924" s="0" t="str">
        <f aca="false">SUBSTITUTE(SUBSTITUTE($I4924,CHAR(61),""),CHAR(34),"")</f>
        <v>01-09</v>
      </c>
      <c r="R4924" s="0" t="str">
        <f aca="false">IF($D4924&lt;&gt;"","["&amp;$E4924&amp;"]"&amp;"|"&amp;$Q4924&amp;"|"&amp;$K4924&amp;"|"&amp;$G4924&amp;"|"&amp;IF($G4924="TX_CURR_SUBNAT.R","CY2022Q4",$M4924),"")</f>
        <v>[zphK9WV8JB4]|01-09|Male|PLHIV_Residents.T|CY2024Q3</v>
      </c>
    </row>
    <row r="4925" customFormat="false" ht="15" hidden="false" customHeight="false" outlineLevel="0" collapsed="false">
      <c r="D4925" s="0" t="s">
        <v>53</v>
      </c>
      <c r="E4925" s="0" t="s">
        <v>54</v>
      </c>
      <c r="F4925" s="0" t="s">
        <v>55</v>
      </c>
      <c r="G4925" s="0" t="s">
        <v>165</v>
      </c>
      <c r="H4925" s="0" t="s">
        <v>166</v>
      </c>
      <c r="I4925" s="0" t="s">
        <v>36</v>
      </c>
      <c r="J4925" s="0" t="s">
        <v>37</v>
      </c>
      <c r="K4925" s="0" t="s">
        <v>48</v>
      </c>
      <c r="L4925" s="0" t="s">
        <v>49</v>
      </c>
      <c r="M4925" s="0" t="s">
        <v>167</v>
      </c>
      <c r="N4925" s="0" t="n">
        <v>1859</v>
      </c>
      <c r="O4925" s="10" t="n">
        <v>0.57664710492827</v>
      </c>
      <c r="P4925" s="10" t="n">
        <v>0.616392469964921</v>
      </c>
      <c r="Q4925" s="0" t="str">
        <f aca="false">SUBSTITUTE(SUBSTITUTE($I4925,CHAR(61),""),CHAR(34),"")</f>
        <v>10-14</v>
      </c>
      <c r="R4925" s="0" t="str">
        <f aca="false">IF($D4925&lt;&gt;"","["&amp;$E4925&amp;"]"&amp;"|"&amp;$Q4925&amp;"|"&amp;$K4925&amp;"|"&amp;$G4925&amp;"|"&amp;IF($G4925="TX_CURR_SUBNAT.R","CY2022Q4",$M4925),"")</f>
        <v>[zphK9WV8JB4]|10-14|Male|PLHIV_Residents.T|CY2024Q3</v>
      </c>
    </row>
    <row r="4926" customFormat="false" ht="15" hidden="false" customHeight="false" outlineLevel="0" collapsed="false">
      <c r="D4926" s="0" t="s">
        <v>53</v>
      </c>
      <c r="E4926" s="0" t="s">
        <v>54</v>
      </c>
      <c r="F4926" s="0" t="s">
        <v>55</v>
      </c>
      <c r="G4926" s="0" t="s">
        <v>165</v>
      </c>
      <c r="H4926" s="0" t="s">
        <v>166</v>
      </c>
      <c r="I4926" s="0" t="s">
        <v>38</v>
      </c>
      <c r="J4926" s="0" t="s">
        <v>39</v>
      </c>
      <c r="K4926" s="0" t="s">
        <v>48</v>
      </c>
      <c r="L4926" s="0" t="s">
        <v>49</v>
      </c>
      <c r="M4926" s="0" t="s">
        <v>167</v>
      </c>
      <c r="N4926" s="0" t="n">
        <v>1967</v>
      </c>
      <c r="O4926" s="10" t="n">
        <v>0.522818738594651</v>
      </c>
      <c r="P4926" s="10" t="n">
        <v>0.616392469964921</v>
      </c>
      <c r="Q4926" s="0" t="str">
        <f aca="false">SUBSTITUTE(SUBSTITUTE($I4926,CHAR(61),""),CHAR(34),"")</f>
        <v>15-24</v>
      </c>
      <c r="R4926" s="0" t="str">
        <f aca="false">IF($D4926&lt;&gt;"","["&amp;$E4926&amp;"]"&amp;"|"&amp;$Q4926&amp;"|"&amp;$K4926&amp;"|"&amp;$G4926&amp;"|"&amp;IF($G4926="TX_CURR_SUBNAT.R","CY2022Q4",$M4926),"")</f>
        <v>[zphK9WV8JB4]|15-24|Male|PLHIV_Residents.T|CY2024Q3</v>
      </c>
    </row>
    <row r="4927" customFormat="false" ht="15" hidden="false" customHeight="false" outlineLevel="0" collapsed="false">
      <c r="D4927" s="0" t="s">
        <v>53</v>
      </c>
      <c r="E4927" s="0" t="s">
        <v>54</v>
      </c>
      <c r="F4927" s="0" t="s">
        <v>55</v>
      </c>
      <c r="G4927" s="0" t="s">
        <v>165</v>
      </c>
      <c r="H4927" s="0" t="s">
        <v>166</v>
      </c>
      <c r="I4927" s="0" t="s">
        <v>41</v>
      </c>
      <c r="J4927" s="0" t="s">
        <v>42</v>
      </c>
      <c r="K4927" s="0" t="s">
        <v>48</v>
      </c>
      <c r="L4927" s="0" t="s">
        <v>49</v>
      </c>
      <c r="M4927" s="0" t="s">
        <v>167</v>
      </c>
      <c r="N4927" s="0" t="n">
        <v>1828</v>
      </c>
      <c r="O4927" s="10" t="n">
        <v>0.477433943655342</v>
      </c>
      <c r="P4927" s="10" t="n">
        <v>0.616392469964921</v>
      </c>
      <c r="Q4927" s="0" t="str">
        <f aca="false">SUBSTITUTE(SUBSTITUTE($I4927,CHAR(61),""),CHAR(34),"")</f>
        <v>25-34</v>
      </c>
      <c r="R4927" s="0" t="str">
        <f aca="false">IF($D4927&lt;&gt;"","["&amp;$E4927&amp;"]"&amp;"|"&amp;$Q4927&amp;"|"&amp;$K4927&amp;"|"&amp;$G4927&amp;"|"&amp;IF($G4927="TX_CURR_SUBNAT.R","CY2022Q4",$M4927),"")</f>
        <v>[zphK9WV8JB4]|25-34|Male|PLHIV_Residents.T|CY2024Q3</v>
      </c>
    </row>
    <row r="4928" customFormat="false" ht="15" hidden="false" customHeight="false" outlineLevel="0" collapsed="false">
      <c r="D4928" s="0" t="s">
        <v>53</v>
      </c>
      <c r="E4928" s="0" t="s">
        <v>54</v>
      </c>
      <c r="F4928" s="0" t="s">
        <v>55</v>
      </c>
      <c r="G4928" s="0" t="s">
        <v>165</v>
      </c>
      <c r="H4928" s="0" t="s">
        <v>166</v>
      </c>
      <c r="I4928" s="0" t="s">
        <v>43</v>
      </c>
      <c r="J4928" s="0" t="s">
        <v>44</v>
      </c>
      <c r="K4928" s="0" t="s">
        <v>48</v>
      </c>
      <c r="L4928" s="0" t="s">
        <v>49</v>
      </c>
      <c r="M4928" s="0" t="s">
        <v>167</v>
      </c>
      <c r="N4928" s="0" t="n">
        <v>1768</v>
      </c>
      <c r="O4928" s="10" t="n">
        <v>0.923800211632624</v>
      </c>
      <c r="P4928" s="10" t="n">
        <v>0.616392469964921</v>
      </c>
      <c r="Q4928" s="0" t="str">
        <f aca="false">SUBSTITUTE(SUBSTITUTE($I4928,CHAR(61),""),CHAR(34),"")</f>
        <v>35-49</v>
      </c>
      <c r="R4928" s="0" t="str">
        <f aca="false">IF($D4928&lt;&gt;"","["&amp;$E4928&amp;"]"&amp;"|"&amp;$Q4928&amp;"|"&amp;$K4928&amp;"|"&amp;$G4928&amp;"|"&amp;IF($G4928="TX_CURR_SUBNAT.R","CY2022Q4",$M4928),"")</f>
        <v>[zphK9WV8JB4]|35-49|Male|PLHIV_Residents.T|CY2024Q3</v>
      </c>
    </row>
    <row r="4929" customFormat="false" ht="15" hidden="false" customHeight="false" outlineLevel="0" collapsed="false">
      <c r="D4929" s="0" t="s">
        <v>53</v>
      </c>
      <c r="E4929" s="0" t="s">
        <v>54</v>
      </c>
      <c r="F4929" s="0" t="s">
        <v>55</v>
      </c>
      <c r="G4929" s="0" t="s">
        <v>165</v>
      </c>
      <c r="H4929" s="0" t="s">
        <v>166</v>
      </c>
      <c r="I4929" s="0" t="s">
        <v>45</v>
      </c>
      <c r="J4929" s="0" t="s">
        <v>46</v>
      </c>
      <c r="K4929" s="0" t="s">
        <v>48</v>
      </c>
      <c r="L4929" s="0" t="s">
        <v>49</v>
      </c>
      <c r="M4929" s="0" t="s">
        <v>167</v>
      </c>
      <c r="N4929" s="0" t="n">
        <v>1989</v>
      </c>
      <c r="O4929" s="10" t="n">
        <v>0.37403770419769</v>
      </c>
      <c r="P4929" s="10" t="n">
        <v>0.616392469964921</v>
      </c>
      <c r="Q4929" s="0" t="str">
        <f aca="false">SUBSTITUTE(SUBSTITUTE($I4929,CHAR(61),""),CHAR(34),"")</f>
        <v>50+</v>
      </c>
      <c r="R4929" s="0" t="str">
        <f aca="false">IF($D4929&lt;&gt;"","["&amp;$E4929&amp;"]"&amp;"|"&amp;$Q4929&amp;"|"&amp;$K4929&amp;"|"&amp;$G4929&amp;"|"&amp;IF($G4929="TX_CURR_SUBNAT.R","CY2022Q4",$M4929),"")</f>
        <v>[zphK9WV8JB4]|50+|Male|PLHIV_Residents.T|CY2024Q3</v>
      </c>
    </row>
    <row r="4930" customFormat="false" ht="15" hidden="false" customHeight="false" outlineLevel="0" collapsed="false">
      <c r="D4930" s="0" t="s">
        <v>60</v>
      </c>
      <c r="E4930" s="0" t="s">
        <v>61</v>
      </c>
      <c r="F4930" s="0" t="s">
        <v>62</v>
      </c>
      <c r="G4930" s="0" t="s">
        <v>165</v>
      </c>
      <c r="H4930" s="0" t="s">
        <v>166</v>
      </c>
      <c r="I4930" s="0" t="s">
        <v>28</v>
      </c>
      <c r="J4930" s="0" t="s">
        <v>29</v>
      </c>
      <c r="K4930" s="0" t="s">
        <v>30</v>
      </c>
      <c r="L4930" s="0" t="s">
        <v>31</v>
      </c>
      <c r="M4930" s="0" t="s">
        <v>167</v>
      </c>
      <c r="N4930" s="0" t="n">
        <v>1722</v>
      </c>
      <c r="O4930" s="10" t="n">
        <v>0.315132160438225</v>
      </c>
      <c r="P4930" s="10" t="n">
        <v>0.0268250561784953</v>
      </c>
      <c r="Q4930" s="0" t="str">
        <f aca="false">SUBSTITUTE(SUBSTITUTE($I4930,CHAR(61),""),CHAR(34),"")</f>
        <v>&lt;01</v>
      </c>
      <c r="R4930" s="0" t="str">
        <f aca="false">IF($D4930&lt;&gt;"","["&amp;$E4930&amp;"]"&amp;"|"&amp;$Q4930&amp;"|"&amp;$K4930&amp;"|"&amp;$G4930&amp;"|"&amp;IF($G4930="TX_CURR_SUBNAT.R","CY2022Q4",$M4930),"")</f>
        <v>[msW2zpIN7up]|&lt;01|Female|PLHIV_Residents.T|CY2024Q3</v>
      </c>
    </row>
    <row r="4931" customFormat="false" ht="15" hidden="false" customHeight="false" outlineLevel="0" collapsed="false">
      <c r="D4931" s="0" t="s">
        <v>60</v>
      </c>
      <c r="E4931" s="0" t="s">
        <v>61</v>
      </c>
      <c r="F4931" s="0" t="s">
        <v>62</v>
      </c>
      <c r="G4931" s="0" t="s">
        <v>165</v>
      </c>
      <c r="H4931" s="0" t="s">
        <v>166</v>
      </c>
      <c r="I4931" s="0" t="s">
        <v>33</v>
      </c>
      <c r="J4931" s="0" t="s">
        <v>34</v>
      </c>
      <c r="K4931" s="0" t="s">
        <v>30</v>
      </c>
      <c r="L4931" s="0" t="s">
        <v>31</v>
      </c>
      <c r="M4931" s="0" t="s">
        <v>167</v>
      </c>
      <c r="N4931" s="0" t="n">
        <v>1451</v>
      </c>
      <c r="O4931" s="10" t="n">
        <v>0.143044932512566</v>
      </c>
      <c r="P4931" s="10" t="n">
        <v>0.0268250561784953</v>
      </c>
      <c r="Q4931" s="0" t="str">
        <f aca="false">SUBSTITUTE(SUBSTITUTE($I4931,CHAR(61),""),CHAR(34),"")</f>
        <v>01-09</v>
      </c>
      <c r="R4931" s="0" t="str">
        <f aca="false">IF($D4931&lt;&gt;"","["&amp;$E4931&amp;"]"&amp;"|"&amp;$Q4931&amp;"|"&amp;$K4931&amp;"|"&amp;$G4931&amp;"|"&amp;IF($G4931="TX_CURR_SUBNAT.R","CY2022Q4",$M4931),"")</f>
        <v>[msW2zpIN7up]|01-09|Female|PLHIV_Residents.T|CY2024Q3</v>
      </c>
    </row>
    <row r="4932" customFormat="false" ht="15" hidden="false" customHeight="false" outlineLevel="0" collapsed="false">
      <c r="D4932" s="0" t="s">
        <v>60</v>
      </c>
      <c r="E4932" s="0" t="s">
        <v>61</v>
      </c>
      <c r="F4932" s="0" t="s">
        <v>62</v>
      </c>
      <c r="G4932" s="0" t="s">
        <v>165</v>
      </c>
      <c r="H4932" s="0" t="s">
        <v>166</v>
      </c>
      <c r="I4932" s="0" t="s">
        <v>36</v>
      </c>
      <c r="J4932" s="0" t="s">
        <v>37</v>
      </c>
      <c r="K4932" s="0" t="s">
        <v>30</v>
      </c>
      <c r="L4932" s="0" t="s">
        <v>31</v>
      </c>
      <c r="M4932" s="0" t="s">
        <v>167</v>
      </c>
      <c r="N4932" s="0" t="n">
        <v>723</v>
      </c>
      <c r="O4932" s="10" t="n">
        <v>0.125955417053774</v>
      </c>
      <c r="P4932" s="10" t="n">
        <v>0.0268250561784953</v>
      </c>
      <c r="Q4932" s="0" t="str">
        <f aca="false">SUBSTITUTE(SUBSTITUTE($I4932,CHAR(61),""),CHAR(34),"")</f>
        <v>10-14</v>
      </c>
      <c r="R4932" s="0" t="str">
        <f aca="false">IF($D4932&lt;&gt;"","["&amp;$E4932&amp;"]"&amp;"|"&amp;$Q4932&amp;"|"&amp;$K4932&amp;"|"&amp;$G4932&amp;"|"&amp;IF($G4932="TX_CURR_SUBNAT.R","CY2022Q4",$M4932),"")</f>
        <v>[msW2zpIN7up]|10-14|Female|PLHIV_Residents.T|CY2024Q3</v>
      </c>
    </row>
    <row r="4933" customFormat="false" ht="15" hidden="false" customHeight="false" outlineLevel="0" collapsed="false">
      <c r="D4933" s="0" t="s">
        <v>60</v>
      </c>
      <c r="E4933" s="0" t="s">
        <v>61</v>
      </c>
      <c r="F4933" s="0" t="s">
        <v>62</v>
      </c>
      <c r="G4933" s="0" t="s">
        <v>165</v>
      </c>
      <c r="H4933" s="0" t="s">
        <v>166</v>
      </c>
      <c r="I4933" s="0" t="s">
        <v>38</v>
      </c>
      <c r="J4933" s="0" t="s">
        <v>39</v>
      </c>
      <c r="K4933" s="0" t="s">
        <v>30</v>
      </c>
      <c r="L4933" s="0" t="s">
        <v>31</v>
      </c>
      <c r="M4933" s="0" t="s">
        <v>167</v>
      </c>
      <c r="N4933" s="0" t="n">
        <v>1451</v>
      </c>
      <c r="O4933" s="10" t="n">
        <v>0.264724486740306</v>
      </c>
      <c r="P4933" s="10" t="n">
        <v>0.0268250561784953</v>
      </c>
      <c r="Q4933" s="0" t="str">
        <f aca="false">SUBSTITUTE(SUBSTITUTE($I4933,CHAR(61),""),CHAR(34),"")</f>
        <v>15-24</v>
      </c>
      <c r="R4933" s="0" t="str">
        <f aca="false">IF($D4933&lt;&gt;"","["&amp;$E4933&amp;"]"&amp;"|"&amp;$Q4933&amp;"|"&amp;$K4933&amp;"|"&amp;$G4933&amp;"|"&amp;IF($G4933="TX_CURR_SUBNAT.R","CY2022Q4",$M4933),"")</f>
        <v>[msW2zpIN7up]|15-24|Female|PLHIV_Residents.T|CY2024Q3</v>
      </c>
    </row>
    <row r="4934" customFormat="false" ht="15" hidden="false" customHeight="false" outlineLevel="0" collapsed="false">
      <c r="D4934" s="0" t="s">
        <v>60</v>
      </c>
      <c r="E4934" s="0" t="s">
        <v>61</v>
      </c>
      <c r="F4934" s="0" t="s">
        <v>62</v>
      </c>
      <c r="G4934" s="0" t="s">
        <v>165</v>
      </c>
      <c r="H4934" s="0" t="s">
        <v>166</v>
      </c>
      <c r="I4934" s="0" t="s">
        <v>41</v>
      </c>
      <c r="J4934" s="0" t="s">
        <v>42</v>
      </c>
      <c r="K4934" s="0" t="s">
        <v>30</v>
      </c>
      <c r="L4934" s="0" t="s">
        <v>31</v>
      </c>
      <c r="M4934" s="0" t="s">
        <v>167</v>
      </c>
      <c r="N4934" s="0" t="n">
        <v>1073</v>
      </c>
      <c r="O4934" s="10" t="n">
        <v>0.74409019947052</v>
      </c>
      <c r="P4934" s="10" t="n">
        <v>0.0268250561784953</v>
      </c>
      <c r="Q4934" s="0" t="str">
        <f aca="false">SUBSTITUTE(SUBSTITUTE($I4934,CHAR(61),""),CHAR(34),"")</f>
        <v>25-34</v>
      </c>
      <c r="R4934" s="0" t="str">
        <f aca="false">IF($D4934&lt;&gt;"","["&amp;$E4934&amp;"]"&amp;"|"&amp;$Q4934&amp;"|"&amp;$K4934&amp;"|"&amp;$G4934&amp;"|"&amp;IF($G4934="TX_CURR_SUBNAT.R","CY2022Q4",$M4934),"")</f>
        <v>[msW2zpIN7up]|25-34|Female|PLHIV_Residents.T|CY2024Q3</v>
      </c>
    </row>
    <row r="4935" customFormat="false" ht="15" hidden="false" customHeight="false" outlineLevel="0" collapsed="false">
      <c r="D4935" s="0" t="s">
        <v>60</v>
      </c>
      <c r="E4935" s="0" t="s">
        <v>61</v>
      </c>
      <c r="F4935" s="0" t="s">
        <v>62</v>
      </c>
      <c r="G4935" s="0" t="s">
        <v>165</v>
      </c>
      <c r="H4935" s="0" t="s">
        <v>166</v>
      </c>
      <c r="I4935" s="0" t="s">
        <v>43</v>
      </c>
      <c r="J4935" s="0" t="s">
        <v>44</v>
      </c>
      <c r="K4935" s="0" t="s">
        <v>30</v>
      </c>
      <c r="L4935" s="0" t="s">
        <v>31</v>
      </c>
      <c r="M4935" s="0" t="s">
        <v>167</v>
      </c>
      <c r="N4935" s="0" t="n">
        <v>732</v>
      </c>
      <c r="O4935" s="10" t="n">
        <v>0.262248291168362</v>
      </c>
      <c r="P4935" s="10" t="n">
        <v>0.0268250561784953</v>
      </c>
      <c r="Q4935" s="0" t="str">
        <f aca="false">SUBSTITUTE(SUBSTITUTE($I4935,CHAR(61),""),CHAR(34),"")</f>
        <v>35-49</v>
      </c>
      <c r="R4935" s="0" t="str">
        <f aca="false">IF($D4935&lt;&gt;"","["&amp;$E4935&amp;"]"&amp;"|"&amp;$Q4935&amp;"|"&amp;$K4935&amp;"|"&amp;$G4935&amp;"|"&amp;IF($G4935="TX_CURR_SUBNAT.R","CY2022Q4",$M4935),"")</f>
        <v>[msW2zpIN7up]|35-49|Female|PLHIV_Residents.T|CY2024Q3</v>
      </c>
    </row>
    <row r="4936" customFormat="false" ht="15" hidden="false" customHeight="false" outlineLevel="0" collapsed="false">
      <c r="D4936" s="0" t="s">
        <v>60</v>
      </c>
      <c r="E4936" s="0" t="s">
        <v>61</v>
      </c>
      <c r="F4936" s="0" t="s">
        <v>62</v>
      </c>
      <c r="G4936" s="0" t="s">
        <v>165</v>
      </c>
      <c r="H4936" s="0" t="s">
        <v>166</v>
      </c>
      <c r="I4936" s="0" t="s">
        <v>45</v>
      </c>
      <c r="J4936" s="0" t="s">
        <v>46</v>
      </c>
      <c r="K4936" s="0" t="s">
        <v>30</v>
      </c>
      <c r="L4936" s="0" t="s">
        <v>31</v>
      </c>
      <c r="M4936" s="0" t="s">
        <v>167</v>
      </c>
      <c r="N4936" s="0" t="n">
        <v>1823</v>
      </c>
      <c r="O4936" s="10" t="n">
        <v>0.0218712196219712</v>
      </c>
      <c r="P4936" s="10" t="n">
        <v>0.0268250561784953</v>
      </c>
      <c r="Q4936" s="0" t="str">
        <f aca="false">SUBSTITUTE(SUBSTITUTE($I4936,CHAR(61),""),CHAR(34),"")</f>
        <v>50+</v>
      </c>
      <c r="R4936" s="0" t="str">
        <f aca="false">IF($D4936&lt;&gt;"","["&amp;$E4936&amp;"]"&amp;"|"&amp;$Q4936&amp;"|"&amp;$K4936&amp;"|"&amp;$G4936&amp;"|"&amp;IF($G4936="TX_CURR_SUBNAT.R","CY2022Q4",$M4936),"")</f>
        <v>[msW2zpIN7up]|50+|Female|PLHIV_Residents.T|CY2024Q3</v>
      </c>
    </row>
    <row r="4937" customFormat="false" ht="15" hidden="false" customHeight="false" outlineLevel="0" collapsed="false">
      <c r="D4937" s="0" t="s">
        <v>60</v>
      </c>
      <c r="E4937" s="0" t="s">
        <v>61</v>
      </c>
      <c r="F4937" s="0" t="s">
        <v>62</v>
      </c>
      <c r="G4937" s="0" t="s">
        <v>165</v>
      </c>
      <c r="H4937" s="0" t="s">
        <v>166</v>
      </c>
      <c r="I4937" s="0" t="s">
        <v>28</v>
      </c>
      <c r="J4937" s="0" t="s">
        <v>29</v>
      </c>
      <c r="K4937" s="0" t="s">
        <v>48</v>
      </c>
      <c r="L4937" s="0" t="s">
        <v>49</v>
      </c>
      <c r="M4937" s="0" t="s">
        <v>167</v>
      </c>
      <c r="N4937" s="0" t="n">
        <v>1067</v>
      </c>
      <c r="O4937" s="10" t="n">
        <v>0.327707953751087</v>
      </c>
      <c r="P4937" s="10" t="n">
        <v>0.0268250561784953</v>
      </c>
      <c r="Q4937" s="0" t="str">
        <f aca="false">SUBSTITUTE(SUBSTITUTE($I4937,CHAR(61),""),CHAR(34),"")</f>
        <v>&lt;01</v>
      </c>
      <c r="R4937" s="0" t="str">
        <f aca="false">IF($D4937&lt;&gt;"","["&amp;$E4937&amp;"]"&amp;"|"&amp;$Q4937&amp;"|"&amp;$K4937&amp;"|"&amp;$G4937&amp;"|"&amp;IF($G4937="TX_CURR_SUBNAT.R","CY2022Q4",$M4937),"")</f>
        <v>[msW2zpIN7up]|&lt;01|Male|PLHIV_Residents.T|CY2024Q3</v>
      </c>
    </row>
    <row r="4938" customFormat="false" ht="15" hidden="false" customHeight="false" outlineLevel="0" collapsed="false">
      <c r="D4938" s="0" t="s">
        <v>60</v>
      </c>
      <c r="E4938" s="0" t="s">
        <v>61</v>
      </c>
      <c r="F4938" s="0" t="s">
        <v>62</v>
      </c>
      <c r="G4938" s="0" t="s">
        <v>165</v>
      </c>
      <c r="H4938" s="0" t="s">
        <v>166</v>
      </c>
      <c r="I4938" s="0" t="s">
        <v>33</v>
      </c>
      <c r="J4938" s="0" t="s">
        <v>34</v>
      </c>
      <c r="K4938" s="0" t="s">
        <v>48</v>
      </c>
      <c r="L4938" s="0" t="s">
        <v>49</v>
      </c>
      <c r="M4938" s="0" t="s">
        <v>167</v>
      </c>
      <c r="N4938" s="0" t="n">
        <v>952</v>
      </c>
      <c r="O4938" s="10" t="n">
        <v>0.73437039158307</v>
      </c>
      <c r="P4938" s="10" t="n">
        <v>0.0268250561784953</v>
      </c>
      <c r="Q4938" s="0" t="str">
        <f aca="false">SUBSTITUTE(SUBSTITUTE($I4938,CHAR(61),""),CHAR(34),"")</f>
        <v>01-09</v>
      </c>
      <c r="R4938" s="0" t="str">
        <f aca="false">IF($D4938&lt;&gt;"","["&amp;$E4938&amp;"]"&amp;"|"&amp;$Q4938&amp;"|"&amp;$K4938&amp;"|"&amp;$G4938&amp;"|"&amp;IF($G4938="TX_CURR_SUBNAT.R","CY2022Q4",$M4938),"")</f>
        <v>[msW2zpIN7up]|01-09|Male|PLHIV_Residents.T|CY2024Q3</v>
      </c>
    </row>
    <row r="4939" customFormat="false" ht="15" hidden="false" customHeight="false" outlineLevel="0" collapsed="false">
      <c r="D4939" s="0" t="s">
        <v>60</v>
      </c>
      <c r="E4939" s="0" t="s">
        <v>61</v>
      </c>
      <c r="F4939" s="0" t="s">
        <v>62</v>
      </c>
      <c r="G4939" s="0" t="s">
        <v>165</v>
      </c>
      <c r="H4939" s="0" t="s">
        <v>166</v>
      </c>
      <c r="I4939" s="0" t="s">
        <v>36</v>
      </c>
      <c r="J4939" s="0" t="s">
        <v>37</v>
      </c>
      <c r="K4939" s="0" t="s">
        <v>48</v>
      </c>
      <c r="L4939" s="0" t="s">
        <v>49</v>
      </c>
      <c r="M4939" s="0" t="s">
        <v>167</v>
      </c>
      <c r="N4939" s="0" t="n">
        <v>1307</v>
      </c>
      <c r="O4939" s="10" t="n">
        <v>0.462670720182359</v>
      </c>
      <c r="P4939" s="10" t="n">
        <v>0.0268250561784953</v>
      </c>
      <c r="Q4939" s="0" t="str">
        <f aca="false">SUBSTITUTE(SUBSTITUTE($I4939,CHAR(61),""),CHAR(34),"")</f>
        <v>10-14</v>
      </c>
      <c r="R4939" s="0" t="str">
        <f aca="false">IF($D4939&lt;&gt;"","["&amp;$E4939&amp;"]"&amp;"|"&amp;$Q4939&amp;"|"&amp;$K4939&amp;"|"&amp;$G4939&amp;"|"&amp;IF($G4939="TX_CURR_SUBNAT.R","CY2022Q4",$M4939),"")</f>
        <v>[msW2zpIN7up]|10-14|Male|PLHIV_Residents.T|CY2024Q3</v>
      </c>
    </row>
    <row r="4940" customFormat="false" ht="15" hidden="false" customHeight="false" outlineLevel="0" collapsed="false">
      <c r="D4940" s="0" t="s">
        <v>60</v>
      </c>
      <c r="E4940" s="0" t="s">
        <v>61</v>
      </c>
      <c r="F4940" s="0" t="s">
        <v>62</v>
      </c>
      <c r="G4940" s="0" t="s">
        <v>165</v>
      </c>
      <c r="H4940" s="0" t="s">
        <v>166</v>
      </c>
      <c r="I4940" s="0" t="s">
        <v>38</v>
      </c>
      <c r="J4940" s="0" t="s">
        <v>39</v>
      </c>
      <c r="K4940" s="0" t="s">
        <v>48</v>
      </c>
      <c r="L4940" s="0" t="s">
        <v>49</v>
      </c>
      <c r="M4940" s="0" t="s">
        <v>167</v>
      </c>
      <c r="N4940" s="0" t="n">
        <v>1214</v>
      </c>
      <c r="O4940" s="10" t="n">
        <v>0.459833475993946</v>
      </c>
      <c r="P4940" s="10" t="n">
        <v>0.0268250561784953</v>
      </c>
      <c r="Q4940" s="0" t="str">
        <f aca="false">SUBSTITUTE(SUBSTITUTE($I4940,CHAR(61),""),CHAR(34),"")</f>
        <v>15-24</v>
      </c>
      <c r="R4940" s="0" t="str">
        <f aca="false">IF($D4940&lt;&gt;"","["&amp;$E4940&amp;"]"&amp;"|"&amp;$Q4940&amp;"|"&amp;$K4940&amp;"|"&amp;$G4940&amp;"|"&amp;IF($G4940="TX_CURR_SUBNAT.R","CY2022Q4",$M4940),"")</f>
        <v>[msW2zpIN7up]|15-24|Male|PLHIV_Residents.T|CY2024Q3</v>
      </c>
    </row>
    <row r="4941" customFormat="false" ht="15" hidden="false" customHeight="false" outlineLevel="0" collapsed="false">
      <c r="D4941" s="0" t="s">
        <v>60</v>
      </c>
      <c r="E4941" s="0" t="s">
        <v>61</v>
      </c>
      <c r="F4941" s="0" t="s">
        <v>62</v>
      </c>
      <c r="G4941" s="0" t="s">
        <v>165</v>
      </c>
      <c r="H4941" s="0" t="s">
        <v>166</v>
      </c>
      <c r="I4941" s="0" t="s">
        <v>41</v>
      </c>
      <c r="J4941" s="0" t="s">
        <v>42</v>
      </c>
      <c r="K4941" s="0" t="s">
        <v>48</v>
      </c>
      <c r="L4941" s="0" t="s">
        <v>49</v>
      </c>
      <c r="M4941" s="0" t="s">
        <v>167</v>
      </c>
      <c r="N4941" s="0" t="n">
        <v>1115</v>
      </c>
      <c r="O4941" s="10" t="n">
        <v>0.055344691965729</v>
      </c>
      <c r="P4941" s="10" t="n">
        <v>0.0268250561784953</v>
      </c>
      <c r="Q4941" s="0" t="str">
        <f aca="false">SUBSTITUTE(SUBSTITUTE($I4941,CHAR(61),""),CHAR(34),"")</f>
        <v>25-34</v>
      </c>
      <c r="R4941" s="0" t="str">
        <f aca="false">IF($D4941&lt;&gt;"","["&amp;$E4941&amp;"]"&amp;"|"&amp;$Q4941&amp;"|"&amp;$K4941&amp;"|"&amp;$G4941&amp;"|"&amp;IF($G4941="TX_CURR_SUBNAT.R","CY2022Q4",$M4941),"")</f>
        <v>[msW2zpIN7up]|25-34|Male|PLHIV_Residents.T|CY2024Q3</v>
      </c>
    </row>
    <row r="4942" customFormat="false" ht="15" hidden="false" customHeight="false" outlineLevel="0" collapsed="false">
      <c r="D4942" s="0" t="s">
        <v>60</v>
      </c>
      <c r="E4942" s="0" t="s">
        <v>61</v>
      </c>
      <c r="F4942" s="0" t="s">
        <v>62</v>
      </c>
      <c r="G4942" s="0" t="s">
        <v>165</v>
      </c>
      <c r="H4942" s="0" t="s">
        <v>166</v>
      </c>
      <c r="I4942" s="0" t="s">
        <v>43</v>
      </c>
      <c r="J4942" s="0" t="s">
        <v>44</v>
      </c>
      <c r="K4942" s="0" t="s">
        <v>48</v>
      </c>
      <c r="L4942" s="0" t="s">
        <v>49</v>
      </c>
      <c r="M4942" s="0" t="s">
        <v>167</v>
      </c>
      <c r="N4942" s="0" t="n">
        <v>1395</v>
      </c>
      <c r="O4942" s="10" t="n">
        <v>0.284615376032889</v>
      </c>
      <c r="P4942" s="10" t="n">
        <v>0.0268250561784953</v>
      </c>
      <c r="Q4942" s="0" t="str">
        <f aca="false">SUBSTITUTE(SUBSTITUTE($I4942,CHAR(61),""),CHAR(34),"")</f>
        <v>35-49</v>
      </c>
      <c r="R4942" s="0" t="str">
        <f aca="false">IF($D4942&lt;&gt;"","["&amp;$E4942&amp;"]"&amp;"|"&amp;$Q4942&amp;"|"&amp;$K4942&amp;"|"&amp;$G4942&amp;"|"&amp;IF($G4942="TX_CURR_SUBNAT.R","CY2022Q4",$M4942),"")</f>
        <v>[msW2zpIN7up]|35-49|Male|PLHIV_Residents.T|CY2024Q3</v>
      </c>
    </row>
    <row r="4943" customFormat="false" ht="15" hidden="false" customHeight="false" outlineLevel="0" collapsed="false">
      <c r="D4943" s="0" t="s">
        <v>60</v>
      </c>
      <c r="E4943" s="0" t="s">
        <v>61</v>
      </c>
      <c r="F4943" s="0" t="s">
        <v>62</v>
      </c>
      <c r="G4943" s="0" t="s">
        <v>165</v>
      </c>
      <c r="H4943" s="0" t="s">
        <v>166</v>
      </c>
      <c r="I4943" s="0" t="s">
        <v>45</v>
      </c>
      <c r="J4943" s="0" t="s">
        <v>46</v>
      </c>
      <c r="K4943" s="0" t="s">
        <v>48</v>
      </c>
      <c r="L4943" s="0" t="s">
        <v>49</v>
      </c>
      <c r="M4943" s="0" t="s">
        <v>167</v>
      </c>
      <c r="N4943" s="0" t="n">
        <v>765</v>
      </c>
      <c r="O4943" s="10" t="n">
        <v>0.31194097478874</v>
      </c>
      <c r="P4943" s="10" t="n">
        <v>0.0268250561784953</v>
      </c>
      <c r="Q4943" s="0" t="str">
        <f aca="false">SUBSTITUTE(SUBSTITUTE($I4943,CHAR(61),""),CHAR(34),"")</f>
        <v>50+</v>
      </c>
      <c r="R4943" s="0" t="str">
        <f aca="false">IF($D4943&lt;&gt;"","["&amp;$E4943&amp;"]"&amp;"|"&amp;$Q4943&amp;"|"&amp;$K4943&amp;"|"&amp;$G4943&amp;"|"&amp;IF($G4943="TX_CURR_SUBNAT.R","CY2022Q4",$M4943),"")</f>
        <v>[msW2zpIN7up]|50+|Male|PLHIV_Residents.T|CY2024Q3</v>
      </c>
    </row>
    <row r="4944" customFormat="false" ht="15" hidden="false" customHeight="false" outlineLevel="0" collapsed="false">
      <c r="D4944" s="0" t="s">
        <v>63</v>
      </c>
      <c r="E4944" s="0" t="s">
        <v>64</v>
      </c>
      <c r="F4944" s="0" t="s">
        <v>65</v>
      </c>
      <c r="G4944" s="0" t="s">
        <v>165</v>
      </c>
      <c r="H4944" s="0" t="s">
        <v>166</v>
      </c>
      <c r="I4944" s="0" t="s">
        <v>28</v>
      </c>
      <c r="J4944" s="0" t="s">
        <v>29</v>
      </c>
      <c r="K4944" s="0" t="s">
        <v>30</v>
      </c>
      <c r="L4944" s="0" t="s">
        <v>31</v>
      </c>
      <c r="M4944" s="0" t="s">
        <v>167</v>
      </c>
      <c r="N4944" s="0" t="n">
        <v>1323</v>
      </c>
      <c r="O4944" s="10" t="n">
        <v>0.598452089820057</v>
      </c>
      <c r="P4944" s="10" t="n">
        <v>0.790102193132043</v>
      </c>
      <c r="Q4944" s="0" t="str">
        <f aca="false">SUBSTITUTE(SUBSTITUTE($I4944,CHAR(61),""),CHAR(34),"")</f>
        <v>&lt;01</v>
      </c>
      <c r="R4944" s="0" t="str">
        <f aca="false">IF($D4944&lt;&gt;"","["&amp;$E4944&amp;"]"&amp;"|"&amp;$Q4944&amp;"|"&amp;$K4944&amp;"|"&amp;$G4944&amp;"|"&amp;IF($G4944="TX_CURR_SUBNAT.R","CY2022Q4",$M4944),"")</f>
        <v>[kxuuIFpOXyO]|&lt;01|Female|PLHIV_Residents.T|CY2024Q3</v>
      </c>
    </row>
    <row r="4945" customFormat="false" ht="15" hidden="false" customHeight="false" outlineLevel="0" collapsed="false">
      <c r="D4945" s="0" t="s">
        <v>63</v>
      </c>
      <c r="E4945" s="0" t="s">
        <v>64</v>
      </c>
      <c r="F4945" s="0" t="s">
        <v>65</v>
      </c>
      <c r="G4945" s="0" t="s">
        <v>165</v>
      </c>
      <c r="H4945" s="0" t="s">
        <v>166</v>
      </c>
      <c r="I4945" s="0" t="s">
        <v>33</v>
      </c>
      <c r="J4945" s="0" t="s">
        <v>34</v>
      </c>
      <c r="K4945" s="0" t="s">
        <v>30</v>
      </c>
      <c r="L4945" s="0" t="s">
        <v>31</v>
      </c>
      <c r="M4945" s="0" t="s">
        <v>167</v>
      </c>
      <c r="N4945" s="0" t="n">
        <v>1293</v>
      </c>
      <c r="O4945" s="10" t="n">
        <v>0.756966762477532</v>
      </c>
      <c r="P4945" s="10" t="n">
        <v>0.790102193132043</v>
      </c>
      <c r="Q4945" s="0" t="str">
        <f aca="false">SUBSTITUTE(SUBSTITUTE($I4945,CHAR(61),""),CHAR(34),"")</f>
        <v>01-09</v>
      </c>
      <c r="R4945" s="0" t="str">
        <f aca="false">IF($D4945&lt;&gt;"","["&amp;$E4945&amp;"]"&amp;"|"&amp;$Q4945&amp;"|"&amp;$K4945&amp;"|"&amp;$G4945&amp;"|"&amp;IF($G4945="TX_CURR_SUBNAT.R","CY2022Q4",$M4945),"")</f>
        <v>[kxuuIFpOXyO]|01-09|Female|PLHIV_Residents.T|CY2024Q3</v>
      </c>
    </row>
    <row r="4946" customFormat="false" ht="15" hidden="false" customHeight="false" outlineLevel="0" collapsed="false">
      <c r="D4946" s="0" t="s">
        <v>63</v>
      </c>
      <c r="E4946" s="0" t="s">
        <v>64</v>
      </c>
      <c r="F4946" s="0" t="s">
        <v>65</v>
      </c>
      <c r="G4946" s="0" t="s">
        <v>165</v>
      </c>
      <c r="H4946" s="0" t="s">
        <v>166</v>
      </c>
      <c r="I4946" s="0" t="s">
        <v>36</v>
      </c>
      <c r="J4946" s="0" t="s">
        <v>37</v>
      </c>
      <c r="K4946" s="0" t="s">
        <v>30</v>
      </c>
      <c r="L4946" s="0" t="s">
        <v>31</v>
      </c>
      <c r="M4946" s="0" t="s">
        <v>167</v>
      </c>
      <c r="N4946" s="0" t="n">
        <v>854</v>
      </c>
      <c r="O4946" s="10" t="n">
        <v>0.108926852233708</v>
      </c>
      <c r="P4946" s="10" t="n">
        <v>0.790102193132043</v>
      </c>
      <c r="Q4946" s="0" t="str">
        <f aca="false">SUBSTITUTE(SUBSTITUTE($I4946,CHAR(61),""),CHAR(34),"")</f>
        <v>10-14</v>
      </c>
      <c r="R4946" s="0" t="str">
        <f aca="false">IF($D4946&lt;&gt;"","["&amp;$E4946&amp;"]"&amp;"|"&amp;$Q4946&amp;"|"&amp;$K4946&amp;"|"&amp;$G4946&amp;"|"&amp;IF($G4946="TX_CURR_SUBNAT.R","CY2022Q4",$M4946),"")</f>
        <v>[kxuuIFpOXyO]|10-14|Female|PLHIV_Residents.T|CY2024Q3</v>
      </c>
    </row>
    <row r="4947" customFormat="false" ht="15" hidden="false" customHeight="false" outlineLevel="0" collapsed="false">
      <c r="D4947" s="0" t="s">
        <v>63</v>
      </c>
      <c r="E4947" s="0" t="s">
        <v>64</v>
      </c>
      <c r="F4947" s="0" t="s">
        <v>65</v>
      </c>
      <c r="G4947" s="0" t="s">
        <v>165</v>
      </c>
      <c r="H4947" s="0" t="s">
        <v>166</v>
      </c>
      <c r="I4947" s="0" t="s">
        <v>38</v>
      </c>
      <c r="J4947" s="0" t="s">
        <v>39</v>
      </c>
      <c r="K4947" s="0" t="s">
        <v>30</v>
      </c>
      <c r="L4947" s="0" t="s">
        <v>31</v>
      </c>
      <c r="M4947" s="0" t="s">
        <v>167</v>
      </c>
      <c r="N4947" s="0" t="n">
        <v>1868</v>
      </c>
      <c r="O4947" s="10" t="n">
        <v>0.926634037634358</v>
      </c>
      <c r="P4947" s="10" t="n">
        <v>0.790102193132043</v>
      </c>
      <c r="Q4947" s="0" t="str">
        <f aca="false">SUBSTITUTE(SUBSTITUTE($I4947,CHAR(61),""),CHAR(34),"")</f>
        <v>15-24</v>
      </c>
      <c r="R4947" s="0" t="str">
        <f aca="false">IF($D4947&lt;&gt;"","["&amp;$E4947&amp;"]"&amp;"|"&amp;$Q4947&amp;"|"&amp;$K4947&amp;"|"&amp;$G4947&amp;"|"&amp;IF($G4947="TX_CURR_SUBNAT.R","CY2022Q4",$M4947),"")</f>
        <v>[kxuuIFpOXyO]|15-24|Female|PLHIV_Residents.T|CY2024Q3</v>
      </c>
    </row>
    <row r="4948" customFormat="false" ht="15" hidden="false" customHeight="false" outlineLevel="0" collapsed="false">
      <c r="D4948" s="0" t="s">
        <v>63</v>
      </c>
      <c r="E4948" s="0" t="s">
        <v>64</v>
      </c>
      <c r="F4948" s="0" t="s">
        <v>65</v>
      </c>
      <c r="G4948" s="0" t="s">
        <v>165</v>
      </c>
      <c r="H4948" s="0" t="s">
        <v>166</v>
      </c>
      <c r="I4948" s="0" t="s">
        <v>41</v>
      </c>
      <c r="J4948" s="0" t="s">
        <v>42</v>
      </c>
      <c r="K4948" s="0" t="s">
        <v>30</v>
      </c>
      <c r="L4948" s="0" t="s">
        <v>31</v>
      </c>
      <c r="M4948" s="0" t="s">
        <v>167</v>
      </c>
      <c r="N4948" s="0" t="n">
        <v>965</v>
      </c>
      <c r="O4948" s="10" t="n">
        <v>0.626331629697233</v>
      </c>
      <c r="P4948" s="10" t="n">
        <v>0.790102193132043</v>
      </c>
      <c r="Q4948" s="0" t="str">
        <f aca="false">SUBSTITUTE(SUBSTITUTE($I4948,CHAR(61),""),CHAR(34),"")</f>
        <v>25-34</v>
      </c>
      <c r="R4948" s="0" t="str">
        <f aca="false">IF($D4948&lt;&gt;"","["&amp;$E4948&amp;"]"&amp;"|"&amp;$Q4948&amp;"|"&amp;$K4948&amp;"|"&amp;$G4948&amp;"|"&amp;IF($G4948="TX_CURR_SUBNAT.R","CY2022Q4",$M4948),"")</f>
        <v>[kxuuIFpOXyO]|25-34|Female|PLHIV_Residents.T|CY2024Q3</v>
      </c>
    </row>
    <row r="4949" customFormat="false" ht="15" hidden="false" customHeight="false" outlineLevel="0" collapsed="false">
      <c r="D4949" s="0" t="s">
        <v>63</v>
      </c>
      <c r="E4949" s="0" t="s">
        <v>64</v>
      </c>
      <c r="F4949" s="0" t="s">
        <v>65</v>
      </c>
      <c r="G4949" s="0" t="s">
        <v>165</v>
      </c>
      <c r="H4949" s="0" t="s">
        <v>166</v>
      </c>
      <c r="I4949" s="0" t="s">
        <v>43</v>
      </c>
      <c r="J4949" s="0" t="s">
        <v>44</v>
      </c>
      <c r="K4949" s="0" t="s">
        <v>30</v>
      </c>
      <c r="L4949" s="0" t="s">
        <v>31</v>
      </c>
      <c r="M4949" s="0" t="s">
        <v>167</v>
      </c>
      <c r="N4949" s="0" t="n">
        <v>1225</v>
      </c>
      <c r="O4949" s="10" t="n">
        <v>0.971211252035573</v>
      </c>
      <c r="P4949" s="10" t="n">
        <v>0.790102193132043</v>
      </c>
      <c r="Q4949" s="0" t="str">
        <f aca="false">SUBSTITUTE(SUBSTITUTE($I4949,CHAR(61),""),CHAR(34),"")</f>
        <v>35-49</v>
      </c>
      <c r="R4949" s="0" t="str">
        <f aca="false">IF($D4949&lt;&gt;"","["&amp;$E4949&amp;"]"&amp;"|"&amp;$Q4949&amp;"|"&amp;$K4949&amp;"|"&amp;$G4949&amp;"|"&amp;IF($G4949="TX_CURR_SUBNAT.R","CY2022Q4",$M4949),"")</f>
        <v>[kxuuIFpOXyO]|35-49|Female|PLHIV_Residents.T|CY2024Q3</v>
      </c>
    </row>
    <row r="4950" customFormat="false" ht="15" hidden="false" customHeight="false" outlineLevel="0" collapsed="false">
      <c r="D4950" s="0" t="s">
        <v>63</v>
      </c>
      <c r="E4950" s="0" t="s">
        <v>64</v>
      </c>
      <c r="F4950" s="0" t="s">
        <v>65</v>
      </c>
      <c r="G4950" s="0" t="s">
        <v>165</v>
      </c>
      <c r="H4950" s="0" t="s">
        <v>166</v>
      </c>
      <c r="I4950" s="0" t="s">
        <v>45</v>
      </c>
      <c r="J4950" s="0" t="s">
        <v>46</v>
      </c>
      <c r="K4950" s="0" t="s">
        <v>30</v>
      </c>
      <c r="L4950" s="0" t="s">
        <v>31</v>
      </c>
      <c r="M4950" s="0" t="s">
        <v>167</v>
      </c>
      <c r="N4950" s="0" t="n">
        <v>1336</v>
      </c>
      <c r="O4950" s="10" t="n">
        <v>0.616921820212156</v>
      </c>
      <c r="P4950" s="10" t="n">
        <v>0.790102193132043</v>
      </c>
      <c r="Q4950" s="0" t="str">
        <f aca="false">SUBSTITUTE(SUBSTITUTE($I4950,CHAR(61),""),CHAR(34),"")</f>
        <v>50+</v>
      </c>
      <c r="R4950" s="0" t="str">
        <f aca="false">IF($D4950&lt;&gt;"","["&amp;$E4950&amp;"]"&amp;"|"&amp;$Q4950&amp;"|"&amp;$K4950&amp;"|"&amp;$G4950&amp;"|"&amp;IF($G4950="TX_CURR_SUBNAT.R","CY2022Q4",$M4950),"")</f>
        <v>[kxuuIFpOXyO]|50+|Female|PLHIV_Residents.T|CY2024Q3</v>
      </c>
    </row>
    <row r="4951" customFormat="false" ht="15" hidden="false" customHeight="false" outlineLevel="0" collapsed="false">
      <c r="D4951" s="0" t="s">
        <v>63</v>
      </c>
      <c r="E4951" s="0" t="s">
        <v>64</v>
      </c>
      <c r="F4951" s="0" t="s">
        <v>65</v>
      </c>
      <c r="G4951" s="0" t="s">
        <v>165</v>
      </c>
      <c r="H4951" s="0" t="s">
        <v>166</v>
      </c>
      <c r="I4951" s="0" t="s">
        <v>28</v>
      </c>
      <c r="J4951" s="0" t="s">
        <v>29</v>
      </c>
      <c r="K4951" s="0" t="s">
        <v>48</v>
      </c>
      <c r="L4951" s="0" t="s">
        <v>49</v>
      </c>
      <c r="M4951" s="0" t="s">
        <v>167</v>
      </c>
      <c r="N4951" s="0" t="n">
        <v>773</v>
      </c>
      <c r="O4951" s="10" t="n">
        <v>0.0598749744240195</v>
      </c>
      <c r="P4951" s="10" t="n">
        <v>0.790102193132043</v>
      </c>
      <c r="Q4951" s="0" t="str">
        <f aca="false">SUBSTITUTE(SUBSTITUTE($I4951,CHAR(61),""),CHAR(34),"")</f>
        <v>&lt;01</v>
      </c>
      <c r="R4951" s="0" t="str">
        <f aca="false">IF($D4951&lt;&gt;"","["&amp;$E4951&amp;"]"&amp;"|"&amp;$Q4951&amp;"|"&amp;$K4951&amp;"|"&amp;$G4951&amp;"|"&amp;IF($G4951="TX_CURR_SUBNAT.R","CY2022Q4",$M4951),"")</f>
        <v>[kxuuIFpOXyO]|&lt;01|Male|PLHIV_Residents.T|CY2024Q3</v>
      </c>
    </row>
    <row r="4952" customFormat="false" ht="15" hidden="false" customHeight="false" outlineLevel="0" collapsed="false">
      <c r="D4952" s="0" t="s">
        <v>63</v>
      </c>
      <c r="E4952" s="0" t="s">
        <v>64</v>
      </c>
      <c r="F4952" s="0" t="s">
        <v>65</v>
      </c>
      <c r="G4952" s="0" t="s">
        <v>165</v>
      </c>
      <c r="H4952" s="0" t="s">
        <v>166</v>
      </c>
      <c r="I4952" s="0" t="s">
        <v>33</v>
      </c>
      <c r="J4952" s="0" t="s">
        <v>34</v>
      </c>
      <c r="K4952" s="0" t="s">
        <v>48</v>
      </c>
      <c r="L4952" s="0" t="s">
        <v>49</v>
      </c>
      <c r="M4952" s="0" t="s">
        <v>167</v>
      </c>
      <c r="N4952" s="0" t="n">
        <v>1528</v>
      </c>
      <c r="O4952" s="10" t="n">
        <v>0.244726919103414</v>
      </c>
      <c r="P4952" s="10" t="n">
        <v>0.790102193132043</v>
      </c>
      <c r="Q4952" s="0" t="str">
        <f aca="false">SUBSTITUTE(SUBSTITUTE($I4952,CHAR(61),""),CHAR(34),"")</f>
        <v>01-09</v>
      </c>
      <c r="R4952" s="0" t="str">
        <f aca="false">IF($D4952&lt;&gt;"","["&amp;$E4952&amp;"]"&amp;"|"&amp;$Q4952&amp;"|"&amp;$K4952&amp;"|"&amp;$G4952&amp;"|"&amp;IF($G4952="TX_CURR_SUBNAT.R","CY2022Q4",$M4952),"")</f>
        <v>[kxuuIFpOXyO]|01-09|Male|PLHIV_Residents.T|CY2024Q3</v>
      </c>
    </row>
    <row r="4953" customFormat="false" ht="15" hidden="false" customHeight="false" outlineLevel="0" collapsed="false">
      <c r="D4953" s="0" t="s">
        <v>63</v>
      </c>
      <c r="E4953" s="0" t="s">
        <v>64</v>
      </c>
      <c r="F4953" s="0" t="s">
        <v>65</v>
      </c>
      <c r="G4953" s="0" t="s">
        <v>165</v>
      </c>
      <c r="H4953" s="0" t="s">
        <v>166</v>
      </c>
      <c r="I4953" s="0" t="s">
        <v>36</v>
      </c>
      <c r="J4953" s="0" t="s">
        <v>37</v>
      </c>
      <c r="K4953" s="0" t="s">
        <v>48</v>
      </c>
      <c r="L4953" s="0" t="s">
        <v>49</v>
      </c>
      <c r="M4953" s="0" t="s">
        <v>167</v>
      </c>
      <c r="N4953" s="0" t="n">
        <v>1840</v>
      </c>
      <c r="O4953" s="10" t="n">
        <v>0.976107956608757</v>
      </c>
      <c r="P4953" s="10" t="n">
        <v>0.790102193132043</v>
      </c>
      <c r="Q4953" s="0" t="str">
        <f aca="false">SUBSTITUTE(SUBSTITUTE($I4953,CHAR(61),""),CHAR(34),"")</f>
        <v>10-14</v>
      </c>
      <c r="R4953" s="0" t="str">
        <f aca="false">IF($D4953&lt;&gt;"","["&amp;$E4953&amp;"]"&amp;"|"&amp;$Q4953&amp;"|"&amp;$K4953&amp;"|"&amp;$G4953&amp;"|"&amp;IF($G4953="TX_CURR_SUBNAT.R","CY2022Q4",$M4953),"")</f>
        <v>[kxuuIFpOXyO]|10-14|Male|PLHIV_Residents.T|CY2024Q3</v>
      </c>
    </row>
    <row r="4954" customFormat="false" ht="15" hidden="false" customHeight="false" outlineLevel="0" collapsed="false">
      <c r="D4954" s="0" t="s">
        <v>63</v>
      </c>
      <c r="E4954" s="0" t="s">
        <v>64</v>
      </c>
      <c r="F4954" s="0" t="s">
        <v>65</v>
      </c>
      <c r="G4954" s="0" t="s">
        <v>165</v>
      </c>
      <c r="H4954" s="0" t="s">
        <v>166</v>
      </c>
      <c r="I4954" s="0" t="s">
        <v>38</v>
      </c>
      <c r="J4954" s="0" t="s">
        <v>39</v>
      </c>
      <c r="K4954" s="0" t="s">
        <v>48</v>
      </c>
      <c r="L4954" s="0" t="s">
        <v>49</v>
      </c>
      <c r="M4954" s="0" t="s">
        <v>167</v>
      </c>
      <c r="N4954" s="0" t="n">
        <v>1774</v>
      </c>
      <c r="O4954" s="10" t="n">
        <v>0.869130964623764</v>
      </c>
      <c r="P4954" s="10" t="n">
        <v>0.790102193132043</v>
      </c>
      <c r="Q4954" s="0" t="str">
        <f aca="false">SUBSTITUTE(SUBSTITUTE($I4954,CHAR(61),""),CHAR(34),"")</f>
        <v>15-24</v>
      </c>
      <c r="R4954" s="0" t="str">
        <f aca="false">IF($D4954&lt;&gt;"","["&amp;$E4954&amp;"]"&amp;"|"&amp;$Q4954&amp;"|"&amp;$K4954&amp;"|"&amp;$G4954&amp;"|"&amp;IF($G4954="TX_CURR_SUBNAT.R","CY2022Q4",$M4954),"")</f>
        <v>[kxuuIFpOXyO]|15-24|Male|PLHIV_Residents.T|CY2024Q3</v>
      </c>
    </row>
    <row r="4955" customFormat="false" ht="15" hidden="false" customHeight="false" outlineLevel="0" collapsed="false">
      <c r="D4955" s="0" t="s">
        <v>63</v>
      </c>
      <c r="E4955" s="0" t="s">
        <v>64</v>
      </c>
      <c r="F4955" s="0" t="s">
        <v>65</v>
      </c>
      <c r="G4955" s="0" t="s">
        <v>165</v>
      </c>
      <c r="H4955" s="0" t="s">
        <v>166</v>
      </c>
      <c r="I4955" s="0" t="s">
        <v>41</v>
      </c>
      <c r="J4955" s="0" t="s">
        <v>42</v>
      </c>
      <c r="K4955" s="0" t="s">
        <v>48</v>
      </c>
      <c r="L4955" s="0" t="s">
        <v>49</v>
      </c>
      <c r="M4955" s="0" t="s">
        <v>167</v>
      </c>
      <c r="N4955" s="0" t="n">
        <v>825</v>
      </c>
      <c r="O4955" s="10" t="n">
        <v>0.290015677688643</v>
      </c>
      <c r="P4955" s="10" t="n">
        <v>0.790102193132043</v>
      </c>
      <c r="Q4955" s="0" t="str">
        <f aca="false">SUBSTITUTE(SUBSTITUTE($I4955,CHAR(61),""),CHAR(34),"")</f>
        <v>25-34</v>
      </c>
      <c r="R4955" s="0" t="str">
        <f aca="false">IF($D4955&lt;&gt;"","["&amp;$E4955&amp;"]"&amp;"|"&amp;$Q4955&amp;"|"&amp;$K4955&amp;"|"&amp;$G4955&amp;"|"&amp;IF($G4955="TX_CURR_SUBNAT.R","CY2022Q4",$M4955),"")</f>
        <v>[kxuuIFpOXyO]|25-34|Male|PLHIV_Residents.T|CY2024Q3</v>
      </c>
    </row>
    <row r="4956" customFormat="false" ht="15" hidden="false" customHeight="false" outlineLevel="0" collapsed="false">
      <c r="D4956" s="0" t="s">
        <v>63</v>
      </c>
      <c r="E4956" s="0" t="s">
        <v>64</v>
      </c>
      <c r="F4956" s="0" t="s">
        <v>65</v>
      </c>
      <c r="G4956" s="0" t="s">
        <v>165</v>
      </c>
      <c r="H4956" s="0" t="s">
        <v>166</v>
      </c>
      <c r="I4956" s="0" t="s">
        <v>43</v>
      </c>
      <c r="J4956" s="0" t="s">
        <v>44</v>
      </c>
      <c r="K4956" s="0" t="s">
        <v>48</v>
      </c>
      <c r="L4956" s="0" t="s">
        <v>49</v>
      </c>
      <c r="M4956" s="0" t="s">
        <v>167</v>
      </c>
      <c r="N4956" s="0" t="n">
        <v>1988</v>
      </c>
      <c r="O4956" s="10" t="n">
        <v>0.547190132783726</v>
      </c>
      <c r="P4956" s="10" t="n">
        <v>0.790102193132043</v>
      </c>
      <c r="Q4956" s="0" t="str">
        <f aca="false">SUBSTITUTE(SUBSTITUTE($I4956,CHAR(61),""),CHAR(34),"")</f>
        <v>35-49</v>
      </c>
      <c r="R4956" s="0" t="str">
        <f aca="false">IF($D4956&lt;&gt;"","["&amp;$E4956&amp;"]"&amp;"|"&amp;$Q4956&amp;"|"&amp;$K4956&amp;"|"&amp;$G4956&amp;"|"&amp;IF($G4956="TX_CURR_SUBNAT.R","CY2022Q4",$M4956),"")</f>
        <v>[kxuuIFpOXyO]|35-49|Male|PLHIV_Residents.T|CY2024Q3</v>
      </c>
    </row>
    <row r="4957" customFormat="false" ht="15" hidden="false" customHeight="false" outlineLevel="0" collapsed="false">
      <c r="D4957" s="0" t="s">
        <v>63</v>
      </c>
      <c r="E4957" s="0" t="s">
        <v>64</v>
      </c>
      <c r="F4957" s="0" t="s">
        <v>65</v>
      </c>
      <c r="G4957" s="0" t="s">
        <v>165</v>
      </c>
      <c r="H4957" s="0" t="s">
        <v>166</v>
      </c>
      <c r="I4957" s="0" t="s">
        <v>45</v>
      </c>
      <c r="J4957" s="0" t="s">
        <v>46</v>
      </c>
      <c r="K4957" s="0" t="s">
        <v>48</v>
      </c>
      <c r="L4957" s="0" t="s">
        <v>49</v>
      </c>
      <c r="M4957" s="0" t="s">
        <v>167</v>
      </c>
      <c r="N4957" s="0" t="n">
        <v>941</v>
      </c>
      <c r="O4957" s="10" t="n">
        <v>0.784398189280182</v>
      </c>
      <c r="P4957" s="10" t="n">
        <v>0.790102193132043</v>
      </c>
      <c r="Q4957" s="0" t="str">
        <f aca="false">SUBSTITUTE(SUBSTITUTE($I4957,CHAR(61),""),CHAR(34),"")</f>
        <v>50+</v>
      </c>
      <c r="R4957" s="0" t="str">
        <f aca="false">IF($D4957&lt;&gt;"","["&amp;$E4957&amp;"]"&amp;"|"&amp;$Q4957&amp;"|"&amp;$K4957&amp;"|"&amp;$G4957&amp;"|"&amp;IF($G4957="TX_CURR_SUBNAT.R","CY2022Q4",$M4957),"")</f>
        <v>[kxuuIFpOXyO]|50+|Male|PLHIV_Residents.T|CY2024Q3</v>
      </c>
    </row>
    <row r="4958" customFormat="false" ht="15" hidden="false" customHeight="false" outlineLevel="0" collapsed="false">
      <c r="D4958" s="0" t="s">
        <v>66</v>
      </c>
      <c r="E4958" s="0" t="s">
        <v>67</v>
      </c>
      <c r="F4958" s="0" t="s">
        <v>68</v>
      </c>
      <c r="G4958" s="0" t="s">
        <v>165</v>
      </c>
      <c r="H4958" s="0" t="s">
        <v>166</v>
      </c>
      <c r="I4958" s="0" t="s">
        <v>28</v>
      </c>
      <c r="J4958" s="0" t="s">
        <v>29</v>
      </c>
      <c r="K4958" s="0" t="s">
        <v>30</v>
      </c>
      <c r="L4958" s="0" t="s">
        <v>31</v>
      </c>
      <c r="M4958" s="0" t="s">
        <v>167</v>
      </c>
      <c r="N4958" s="0" t="n">
        <v>1899</v>
      </c>
      <c r="O4958" s="10" t="n">
        <v>0.807384092593566</v>
      </c>
      <c r="P4958" s="10" t="n">
        <v>0.164609884377569</v>
      </c>
      <c r="Q4958" s="0" t="str">
        <f aca="false">SUBSTITUTE(SUBSTITUTE($I4958,CHAR(61),""),CHAR(34),"")</f>
        <v>&lt;01</v>
      </c>
      <c r="R4958" s="0" t="str">
        <f aca="false">IF($D4958&lt;&gt;"","["&amp;$E4958&amp;"]"&amp;"|"&amp;$Q4958&amp;"|"&amp;$K4958&amp;"|"&amp;$G4958&amp;"|"&amp;IF($G4958="TX_CURR_SUBNAT.R","CY2022Q4",$M4958),"")</f>
        <v>[ScR9iFKAasW]|&lt;01|Female|PLHIV_Residents.T|CY2024Q3</v>
      </c>
    </row>
    <row r="4959" customFormat="false" ht="15" hidden="false" customHeight="false" outlineLevel="0" collapsed="false">
      <c r="D4959" s="0" t="s">
        <v>66</v>
      </c>
      <c r="E4959" s="0" t="s">
        <v>67</v>
      </c>
      <c r="F4959" s="0" t="s">
        <v>68</v>
      </c>
      <c r="G4959" s="0" t="s">
        <v>165</v>
      </c>
      <c r="H4959" s="0" t="s">
        <v>166</v>
      </c>
      <c r="I4959" s="0" t="s">
        <v>33</v>
      </c>
      <c r="J4959" s="0" t="s">
        <v>34</v>
      </c>
      <c r="K4959" s="0" t="s">
        <v>30</v>
      </c>
      <c r="L4959" s="0" t="s">
        <v>31</v>
      </c>
      <c r="M4959" s="0" t="s">
        <v>167</v>
      </c>
      <c r="N4959" s="0" t="n">
        <v>1133</v>
      </c>
      <c r="O4959" s="10" t="n">
        <v>0.644896624144167</v>
      </c>
      <c r="P4959" s="10" t="n">
        <v>0.164609884377569</v>
      </c>
      <c r="Q4959" s="0" t="str">
        <f aca="false">SUBSTITUTE(SUBSTITUTE($I4959,CHAR(61),""),CHAR(34),"")</f>
        <v>01-09</v>
      </c>
      <c r="R4959" s="0" t="str">
        <f aca="false">IF($D4959&lt;&gt;"","["&amp;$E4959&amp;"]"&amp;"|"&amp;$Q4959&amp;"|"&amp;$K4959&amp;"|"&amp;$G4959&amp;"|"&amp;IF($G4959="TX_CURR_SUBNAT.R","CY2022Q4",$M4959),"")</f>
        <v>[ScR9iFKAasW]|01-09|Female|PLHIV_Residents.T|CY2024Q3</v>
      </c>
    </row>
    <row r="4960" customFormat="false" ht="15" hidden="false" customHeight="false" outlineLevel="0" collapsed="false">
      <c r="D4960" s="0" t="s">
        <v>66</v>
      </c>
      <c r="E4960" s="0" t="s">
        <v>67</v>
      </c>
      <c r="F4960" s="0" t="s">
        <v>68</v>
      </c>
      <c r="G4960" s="0" t="s">
        <v>165</v>
      </c>
      <c r="H4960" s="0" t="s">
        <v>166</v>
      </c>
      <c r="I4960" s="0" t="s">
        <v>36</v>
      </c>
      <c r="J4960" s="0" t="s">
        <v>37</v>
      </c>
      <c r="K4960" s="0" t="s">
        <v>30</v>
      </c>
      <c r="L4960" s="0" t="s">
        <v>31</v>
      </c>
      <c r="M4960" s="0" t="s">
        <v>167</v>
      </c>
      <c r="N4960" s="0" t="n">
        <v>1830</v>
      </c>
      <c r="O4960" s="10" t="n">
        <v>0.894177352078259</v>
      </c>
      <c r="P4960" s="10" t="n">
        <v>0.164609884377569</v>
      </c>
      <c r="Q4960" s="0" t="str">
        <f aca="false">SUBSTITUTE(SUBSTITUTE($I4960,CHAR(61),""),CHAR(34),"")</f>
        <v>10-14</v>
      </c>
      <c r="R4960" s="0" t="str">
        <f aca="false">IF($D4960&lt;&gt;"","["&amp;$E4960&amp;"]"&amp;"|"&amp;$Q4960&amp;"|"&amp;$K4960&amp;"|"&amp;$G4960&amp;"|"&amp;IF($G4960="TX_CURR_SUBNAT.R","CY2022Q4",$M4960),"")</f>
        <v>[ScR9iFKAasW]|10-14|Female|PLHIV_Residents.T|CY2024Q3</v>
      </c>
    </row>
    <row r="4961" customFormat="false" ht="15" hidden="false" customHeight="false" outlineLevel="0" collapsed="false">
      <c r="D4961" s="0" t="s">
        <v>66</v>
      </c>
      <c r="E4961" s="0" t="s">
        <v>67</v>
      </c>
      <c r="F4961" s="0" t="s">
        <v>68</v>
      </c>
      <c r="G4961" s="0" t="s">
        <v>165</v>
      </c>
      <c r="H4961" s="0" t="s">
        <v>166</v>
      </c>
      <c r="I4961" s="0" t="s">
        <v>38</v>
      </c>
      <c r="J4961" s="0" t="s">
        <v>39</v>
      </c>
      <c r="K4961" s="0" t="s">
        <v>30</v>
      </c>
      <c r="L4961" s="0" t="s">
        <v>31</v>
      </c>
      <c r="M4961" s="0" t="s">
        <v>167</v>
      </c>
      <c r="N4961" s="0" t="n">
        <v>1078</v>
      </c>
      <c r="O4961" s="10" t="n">
        <v>0.880806317552924</v>
      </c>
      <c r="P4961" s="10" t="n">
        <v>0.164609884377569</v>
      </c>
      <c r="Q4961" s="0" t="str">
        <f aca="false">SUBSTITUTE(SUBSTITUTE($I4961,CHAR(61),""),CHAR(34),"")</f>
        <v>15-24</v>
      </c>
      <c r="R4961" s="0" t="str">
        <f aca="false">IF($D4961&lt;&gt;"","["&amp;$E4961&amp;"]"&amp;"|"&amp;$Q4961&amp;"|"&amp;$K4961&amp;"|"&amp;$G4961&amp;"|"&amp;IF($G4961="TX_CURR_SUBNAT.R","CY2022Q4",$M4961),"")</f>
        <v>[ScR9iFKAasW]|15-24|Female|PLHIV_Residents.T|CY2024Q3</v>
      </c>
    </row>
    <row r="4962" customFormat="false" ht="15" hidden="false" customHeight="false" outlineLevel="0" collapsed="false">
      <c r="D4962" s="0" t="s">
        <v>66</v>
      </c>
      <c r="E4962" s="0" t="s">
        <v>67</v>
      </c>
      <c r="F4962" s="0" t="s">
        <v>68</v>
      </c>
      <c r="G4962" s="0" t="s">
        <v>165</v>
      </c>
      <c r="H4962" s="0" t="s">
        <v>166</v>
      </c>
      <c r="I4962" s="0" t="s">
        <v>41</v>
      </c>
      <c r="J4962" s="0" t="s">
        <v>42</v>
      </c>
      <c r="K4962" s="0" t="s">
        <v>30</v>
      </c>
      <c r="L4962" s="0" t="s">
        <v>31</v>
      </c>
      <c r="M4962" s="0" t="s">
        <v>167</v>
      </c>
      <c r="N4962" s="0" t="n">
        <v>1292</v>
      </c>
      <c r="O4962" s="10" t="n">
        <v>0.623579370323569</v>
      </c>
      <c r="P4962" s="10" t="n">
        <v>0.164609884377569</v>
      </c>
      <c r="Q4962" s="0" t="str">
        <f aca="false">SUBSTITUTE(SUBSTITUTE($I4962,CHAR(61),""),CHAR(34),"")</f>
        <v>25-34</v>
      </c>
      <c r="R4962" s="0" t="str">
        <f aca="false">IF($D4962&lt;&gt;"","["&amp;$E4962&amp;"]"&amp;"|"&amp;$Q4962&amp;"|"&amp;$K4962&amp;"|"&amp;$G4962&amp;"|"&amp;IF($G4962="TX_CURR_SUBNAT.R","CY2022Q4",$M4962),"")</f>
        <v>[ScR9iFKAasW]|25-34|Female|PLHIV_Residents.T|CY2024Q3</v>
      </c>
    </row>
    <row r="4963" customFormat="false" ht="15" hidden="false" customHeight="false" outlineLevel="0" collapsed="false">
      <c r="D4963" s="0" t="s">
        <v>66</v>
      </c>
      <c r="E4963" s="0" t="s">
        <v>67</v>
      </c>
      <c r="F4963" s="0" t="s">
        <v>68</v>
      </c>
      <c r="G4963" s="0" t="s">
        <v>165</v>
      </c>
      <c r="H4963" s="0" t="s">
        <v>166</v>
      </c>
      <c r="I4963" s="0" t="s">
        <v>43</v>
      </c>
      <c r="J4963" s="0" t="s">
        <v>44</v>
      </c>
      <c r="K4963" s="0" t="s">
        <v>30</v>
      </c>
      <c r="L4963" s="0" t="s">
        <v>31</v>
      </c>
      <c r="M4963" s="0" t="s">
        <v>167</v>
      </c>
      <c r="N4963" s="0" t="n">
        <v>668</v>
      </c>
      <c r="O4963" s="10" t="n">
        <v>0.348530443152413</v>
      </c>
      <c r="P4963" s="10" t="n">
        <v>0.164609884377569</v>
      </c>
      <c r="Q4963" s="0" t="str">
        <f aca="false">SUBSTITUTE(SUBSTITUTE($I4963,CHAR(61),""),CHAR(34),"")</f>
        <v>35-49</v>
      </c>
      <c r="R4963" s="0" t="str">
        <f aca="false">IF($D4963&lt;&gt;"","["&amp;$E4963&amp;"]"&amp;"|"&amp;$Q4963&amp;"|"&amp;$K4963&amp;"|"&amp;$G4963&amp;"|"&amp;IF($G4963="TX_CURR_SUBNAT.R","CY2022Q4",$M4963),"")</f>
        <v>[ScR9iFKAasW]|35-49|Female|PLHIV_Residents.T|CY2024Q3</v>
      </c>
    </row>
    <row r="4964" customFormat="false" ht="15" hidden="false" customHeight="false" outlineLevel="0" collapsed="false">
      <c r="D4964" s="0" t="s">
        <v>66</v>
      </c>
      <c r="E4964" s="0" t="s">
        <v>67</v>
      </c>
      <c r="F4964" s="0" t="s">
        <v>68</v>
      </c>
      <c r="G4964" s="0" t="s">
        <v>165</v>
      </c>
      <c r="H4964" s="0" t="s">
        <v>166</v>
      </c>
      <c r="I4964" s="0" t="s">
        <v>45</v>
      </c>
      <c r="J4964" s="0" t="s">
        <v>46</v>
      </c>
      <c r="K4964" s="0" t="s">
        <v>30</v>
      </c>
      <c r="L4964" s="0" t="s">
        <v>31</v>
      </c>
      <c r="M4964" s="0" t="s">
        <v>167</v>
      </c>
      <c r="N4964" s="0" t="n">
        <v>1298</v>
      </c>
      <c r="O4964" s="10" t="n">
        <v>0.956148380646482</v>
      </c>
      <c r="P4964" s="10" t="n">
        <v>0.164609884377569</v>
      </c>
      <c r="Q4964" s="0" t="str">
        <f aca="false">SUBSTITUTE(SUBSTITUTE($I4964,CHAR(61),""),CHAR(34),"")</f>
        <v>50+</v>
      </c>
      <c r="R4964" s="0" t="str">
        <f aca="false">IF($D4964&lt;&gt;"","["&amp;$E4964&amp;"]"&amp;"|"&amp;$Q4964&amp;"|"&amp;$K4964&amp;"|"&amp;$G4964&amp;"|"&amp;IF($G4964="TX_CURR_SUBNAT.R","CY2022Q4",$M4964),"")</f>
        <v>[ScR9iFKAasW]|50+|Female|PLHIV_Residents.T|CY2024Q3</v>
      </c>
    </row>
    <row r="4965" customFormat="false" ht="15" hidden="false" customHeight="false" outlineLevel="0" collapsed="false">
      <c r="D4965" s="0" t="s">
        <v>66</v>
      </c>
      <c r="E4965" s="0" t="s">
        <v>67</v>
      </c>
      <c r="F4965" s="0" t="s">
        <v>68</v>
      </c>
      <c r="G4965" s="0" t="s">
        <v>165</v>
      </c>
      <c r="H4965" s="0" t="s">
        <v>166</v>
      </c>
      <c r="I4965" s="0" t="s">
        <v>28</v>
      </c>
      <c r="J4965" s="0" t="s">
        <v>29</v>
      </c>
      <c r="K4965" s="0" t="s">
        <v>48</v>
      </c>
      <c r="L4965" s="0" t="s">
        <v>49</v>
      </c>
      <c r="M4965" s="0" t="s">
        <v>167</v>
      </c>
      <c r="N4965" s="0" t="n">
        <v>1709</v>
      </c>
      <c r="O4965" s="10" t="n">
        <v>0.603708549402654</v>
      </c>
      <c r="P4965" s="10" t="n">
        <v>0.164609884377569</v>
      </c>
      <c r="Q4965" s="0" t="str">
        <f aca="false">SUBSTITUTE(SUBSTITUTE($I4965,CHAR(61),""),CHAR(34),"")</f>
        <v>&lt;01</v>
      </c>
      <c r="R4965" s="0" t="str">
        <f aca="false">IF($D4965&lt;&gt;"","["&amp;$E4965&amp;"]"&amp;"|"&amp;$Q4965&amp;"|"&amp;$K4965&amp;"|"&amp;$G4965&amp;"|"&amp;IF($G4965="TX_CURR_SUBNAT.R","CY2022Q4",$M4965),"")</f>
        <v>[ScR9iFKAasW]|&lt;01|Male|PLHIV_Residents.T|CY2024Q3</v>
      </c>
    </row>
    <row r="4966" customFormat="false" ht="15" hidden="false" customHeight="false" outlineLevel="0" collapsed="false">
      <c r="D4966" s="0" t="s">
        <v>66</v>
      </c>
      <c r="E4966" s="0" t="s">
        <v>67</v>
      </c>
      <c r="F4966" s="0" t="s">
        <v>68</v>
      </c>
      <c r="G4966" s="0" t="s">
        <v>165</v>
      </c>
      <c r="H4966" s="0" t="s">
        <v>166</v>
      </c>
      <c r="I4966" s="0" t="s">
        <v>33</v>
      </c>
      <c r="J4966" s="0" t="s">
        <v>34</v>
      </c>
      <c r="K4966" s="0" t="s">
        <v>48</v>
      </c>
      <c r="L4966" s="0" t="s">
        <v>49</v>
      </c>
      <c r="M4966" s="0" t="s">
        <v>167</v>
      </c>
      <c r="N4966" s="0" t="n">
        <v>1802</v>
      </c>
      <c r="O4966" s="10" t="n">
        <v>0.662889919476584</v>
      </c>
      <c r="P4966" s="10" t="n">
        <v>0.164609884377569</v>
      </c>
      <c r="Q4966" s="0" t="str">
        <f aca="false">SUBSTITUTE(SUBSTITUTE($I4966,CHAR(61),""),CHAR(34),"")</f>
        <v>01-09</v>
      </c>
      <c r="R4966" s="0" t="str">
        <f aca="false">IF($D4966&lt;&gt;"","["&amp;$E4966&amp;"]"&amp;"|"&amp;$Q4966&amp;"|"&amp;$K4966&amp;"|"&amp;$G4966&amp;"|"&amp;IF($G4966="TX_CURR_SUBNAT.R","CY2022Q4",$M4966),"")</f>
        <v>[ScR9iFKAasW]|01-09|Male|PLHIV_Residents.T|CY2024Q3</v>
      </c>
    </row>
    <row r="4967" customFormat="false" ht="15" hidden="false" customHeight="false" outlineLevel="0" collapsed="false">
      <c r="D4967" s="0" t="s">
        <v>66</v>
      </c>
      <c r="E4967" s="0" t="s">
        <v>67</v>
      </c>
      <c r="F4967" s="0" t="s">
        <v>68</v>
      </c>
      <c r="G4967" s="0" t="s">
        <v>165</v>
      </c>
      <c r="H4967" s="0" t="s">
        <v>166</v>
      </c>
      <c r="I4967" s="0" t="s">
        <v>36</v>
      </c>
      <c r="J4967" s="0" t="s">
        <v>37</v>
      </c>
      <c r="K4967" s="0" t="s">
        <v>48</v>
      </c>
      <c r="L4967" s="0" t="s">
        <v>49</v>
      </c>
      <c r="M4967" s="0" t="s">
        <v>167</v>
      </c>
      <c r="N4967" s="0" t="n">
        <v>805</v>
      </c>
      <c r="O4967" s="10" t="n">
        <v>0.784326909808442</v>
      </c>
      <c r="P4967" s="10" t="n">
        <v>0.164609884377569</v>
      </c>
      <c r="Q4967" s="0" t="str">
        <f aca="false">SUBSTITUTE(SUBSTITUTE($I4967,CHAR(61),""),CHAR(34),"")</f>
        <v>10-14</v>
      </c>
      <c r="R4967" s="0" t="str">
        <f aca="false">IF($D4967&lt;&gt;"","["&amp;$E4967&amp;"]"&amp;"|"&amp;$Q4967&amp;"|"&amp;$K4967&amp;"|"&amp;$G4967&amp;"|"&amp;IF($G4967="TX_CURR_SUBNAT.R","CY2022Q4",$M4967),"")</f>
        <v>[ScR9iFKAasW]|10-14|Male|PLHIV_Residents.T|CY2024Q3</v>
      </c>
    </row>
    <row r="4968" customFormat="false" ht="15" hidden="false" customHeight="false" outlineLevel="0" collapsed="false">
      <c r="D4968" s="0" t="s">
        <v>66</v>
      </c>
      <c r="E4968" s="0" t="s">
        <v>67</v>
      </c>
      <c r="F4968" s="0" t="s">
        <v>68</v>
      </c>
      <c r="G4968" s="0" t="s">
        <v>165</v>
      </c>
      <c r="H4968" s="0" t="s">
        <v>166</v>
      </c>
      <c r="I4968" s="0" t="s">
        <v>38</v>
      </c>
      <c r="J4968" s="0" t="s">
        <v>39</v>
      </c>
      <c r="K4968" s="0" t="s">
        <v>48</v>
      </c>
      <c r="L4968" s="0" t="s">
        <v>49</v>
      </c>
      <c r="M4968" s="0" t="s">
        <v>167</v>
      </c>
      <c r="N4968" s="0" t="n">
        <v>844</v>
      </c>
      <c r="O4968" s="10" t="n">
        <v>0.148090932751074</v>
      </c>
      <c r="P4968" s="10" t="n">
        <v>0.164609884377569</v>
      </c>
      <c r="Q4968" s="0" t="str">
        <f aca="false">SUBSTITUTE(SUBSTITUTE($I4968,CHAR(61),""),CHAR(34),"")</f>
        <v>15-24</v>
      </c>
      <c r="R4968" s="0" t="str">
        <f aca="false">IF($D4968&lt;&gt;"","["&amp;$E4968&amp;"]"&amp;"|"&amp;$Q4968&amp;"|"&amp;$K4968&amp;"|"&amp;$G4968&amp;"|"&amp;IF($G4968="TX_CURR_SUBNAT.R","CY2022Q4",$M4968),"")</f>
        <v>[ScR9iFKAasW]|15-24|Male|PLHIV_Residents.T|CY2024Q3</v>
      </c>
    </row>
    <row r="4969" customFormat="false" ht="15" hidden="false" customHeight="false" outlineLevel="0" collapsed="false">
      <c r="D4969" s="0" t="s">
        <v>66</v>
      </c>
      <c r="E4969" s="0" t="s">
        <v>67</v>
      </c>
      <c r="F4969" s="0" t="s">
        <v>68</v>
      </c>
      <c r="G4969" s="0" t="s">
        <v>165</v>
      </c>
      <c r="H4969" s="0" t="s">
        <v>166</v>
      </c>
      <c r="I4969" s="0" t="s">
        <v>41</v>
      </c>
      <c r="J4969" s="0" t="s">
        <v>42</v>
      </c>
      <c r="K4969" s="0" t="s">
        <v>48</v>
      </c>
      <c r="L4969" s="0" t="s">
        <v>49</v>
      </c>
      <c r="M4969" s="0" t="s">
        <v>167</v>
      </c>
      <c r="N4969" s="0" t="n">
        <v>1040</v>
      </c>
      <c r="O4969" s="10" t="n">
        <v>0.322759679052979</v>
      </c>
      <c r="P4969" s="10" t="n">
        <v>0.164609884377569</v>
      </c>
      <c r="Q4969" s="0" t="str">
        <f aca="false">SUBSTITUTE(SUBSTITUTE($I4969,CHAR(61),""),CHAR(34),"")</f>
        <v>25-34</v>
      </c>
      <c r="R4969" s="0" t="str">
        <f aca="false">IF($D4969&lt;&gt;"","["&amp;$E4969&amp;"]"&amp;"|"&amp;$Q4969&amp;"|"&amp;$K4969&amp;"|"&amp;$G4969&amp;"|"&amp;IF($G4969="TX_CURR_SUBNAT.R","CY2022Q4",$M4969),"")</f>
        <v>[ScR9iFKAasW]|25-34|Male|PLHIV_Residents.T|CY2024Q3</v>
      </c>
    </row>
    <row r="4970" customFormat="false" ht="15" hidden="false" customHeight="false" outlineLevel="0" collapsed="false">
      <c r="D4970" s="0" t="s">
        <v>66</v>
      </c>
      <c r="E4970" s="0" t="s">
        <v>67</v>
      </c>
      <c r="F4970" s="0" t="s">
        <v>68</v>
      </c>
      <c r="G4970" s="0" t="s">
        <v>165</v>
      </c>
      <c r="H4970" s="0" t="s">
        <v>166</v>
      </c>
      <c r="I4970" s="0" t="s">
        <v>43</v>
      </c>
      <c r="J4970" s="0" t="s">
        <v>44</v>
      </c>
      <c r="K4970" s="0" t="s">
        <v>48</v>
      </c>
      <c r="L4970" s="0" t="s">
        <v>49</v>
      </c>
      <c r="M4970" s="0" t="s">
        <v>167</v>
      </c>
      <c r="N4970" s="0" t="n">
        <v>1640</v>
      </c>
      <c r="O4970" s="10" t="n">
        <v>0.505501965526491</v>
      </c>
      <c r="P4970" s="10" t="n">
        <v>0.164609884377569</v>
      </c>
      <c r="Q4970" s="0" t="str">
        <f aca="false">SUBSTITUTE(SUBSTITUTE($I4970,CHAR(61),""),CHAR(34),"")</f>
        <v>35-49</v>
      </c>
      <c r="R4970" s="0" t="str">
        <f aca="false">IF($D4970&lt;&gt;"","["&amp;$E4970&amp;"]"&amp;"|"&amp;$Q4970&amp;"|"&amp;$K4970&amp;"|"&amp;$G4970&amp;"|"&amp;IF($G4970="TX_CURR_SUBNAT.R","CY2022Q4",$M4970),"")</f>
        <v>[ScR9iFKAasW]|35-49|Male|PLHIV_Residents.T|CY2024Q3</v>
      </c>
    </row>
    <row r="4971" customFormat="false" ht="15" hidden="false" customHeight="false" outlineLevel="0" collapsed="false">
      <c r="D4971" s="0" t="s">
        <v>66</v>
      </c>
      <c r="E4971" s="0" t="s">
        <v>67</v>
      </c>
      <c r="F4971" s="0" t="s">
        <v>68</v>
      </c>
      <c r="G4971" s="0" t="s">
        <v>165</v>
      </c>
      <c r="H4971" s="0" t="s">
        <v>166</v>
      </c>
      <c r="I4971" s="0" t="s">
        <v>45</v>
      </c>
      <c r="J4971" s="0" t="s">
        <v>46</v>
      </c>
      <c r="K4971" s="0" t="s">
        <v>48</v>
      </c>
      <c r="L4971" s="0" t="s">
        <v>49</v>
      </c>
      <c r="M4971" s="0" t="s">
        <v>167</v>
      </c>
      <c r="N4971" s="0" t="n">
        <v>742</v>
      </c>
      <c r="O4971" s="10" t="n">
        <v>0.558177242521197</v>
      </c>
      <c r="P4971" s="10" t="n">
        <v>0.164609884377569</v>
      </c>
      <c r="Q4971" s="0" t="str">
        <f aca="false">SUBSTITUTE(SUBSTITUTE($I4971,CHAR(61),""),CHAR(34),"")</f>
        <v>50+</v>
      </c>
      <c r="R4971" s="0" t="str">
        <f aca="false">IF($D4971&lt;&gt;"","["&amp;$E4971&amp;"]"&amp;"|"&amp;$Q4971&amp;"|"&amp;$K4971&amp;"|"&amp;$G4971&amp;"|"&amp;IF($G4971="TX_CURR_SUBNAT.R","CY2022Q4",$M4971),"")</f>
        <v>[ScR9iFKAasW]|50+|Male|PLHIV_Residents.T|CY2024Q3</v>
      </c>
    </row>
    <row r="4972" customFormat="false" ht="15" hidden="false" customHeight="false" outlineLevel="0" collapsed="false">
      <c r="D4972" s="0" t="s">
        <v>69</v>
      </c>
      <c r="E4972" s="0" t="s">
        <v>70</v>
      </c>
      <c r="F4972" s="0" t="s">
        <v>71</v>
      </c>
      <c r="G4972" s="0" t="s">
        <v>165</v>
      </c>
      <c r="H4972" s="0" t="s">
        <v>166</v>
      </c>
      <c r="I4972" s="0" t="s">
        <v>28</v>
      </c>
      <c r="J4972" s="0" t="s">
        <v>29</v>
      </c>
      <c r="K4972" s="0" t="s">
        <v>30</v>
      </c>
      <c r="L4972" s="0" t="s">
        <v>31</v>
      </c>
      <c r="M4972" s="0" t="s">
        <v>167</v>
      </c>
      <c r="N4972" s="0" t="n">
        <v>1034</v>
      </c>
      <c r="O4972" s="10" t="n">
        <v>0.49297011946328</v>
      </c>
      <c r="P4972" s="10" t="n">
        <v>0.198817263124511</v>
      </c>
      <c r="Q4972" s="0" t="str">
        <f aca="false">SUBSTITUTE(SUBSTITUTE($I4972,CHAR(61),""),CHAR(34),"")</f>
        <v>&lt;01</v>
      </c>
      <c r="R4972" s="0" t="str">
        <f aca="false">IF($D4972&lt;&gt;"","["&amp;$E4972&amp;"]"&amp;"|"&amp;$Q4972&amp;"|"&amp;$K4972&amp;"|"&amp;$G4972&amp;"|"&amp;IF($G4972="TX_CURR_SUBNAT.R","CY2022Q4",$M4972),"")</f>
        <v>[PekKUkKHAzY]|&lt;01|Female|PLHIV_Residents.T|CY2024Q3</v>
      </c>
    </row>
    <row r="4973" customFormat="false" ht="15" hidden="false" customHeight="false" outlineLevel="0" collapsed="false">
      <c r="D4973" s="0" t="s">
        <v>69</v>
      </c>
      <c r="E4973" s="0" t="s">
        <v>70</v>
      </c>
      <c r="F4973" s="0" t="s">
        <v>71</v>
      </c>
      <c r="G4973" s="0" t="s">
        <v>165</v>
      </c>
      <c r="H4973" s="0" t="s">
        <v>166</v>
      </c>
      <c r="I4973" s="0" t="s">
        <v>33</v>
      </c>
      <c r="J4973" s="0" t="s">
        <v>34</v>
      </c>
      <c r="K4973" s="0" t="s">
        <v>30</v>
      </c>
      <c r="L4973" s="0" t="s">
        <v>31</v>
      </c>
      <c r="M4973" s="0" t="s">
        <v>167</v>
      </c>
      <c r="N4973" s="0" t="n">
        <v>915</v>
      </c>
      <c r="O4973" s="10" t="n">
        <v>0.166449325392023</v>
      </c>
      <c r="P4973" s="10" t="n">
        <v>0.198817263124511</v>
      </c>
      <c r="Q4973" s="0" t="str">
        <f aca="false">SUBSTITUTE(SUBSTITUTE($I4973,CHAR(61),""),CHAR(34),"")</f>
        <v>01-09</v>
      </c>
      <c r="R4973" s="0" t="str">
        <f aca="false">IF($D4973&lt;&gt;"","["&amp;$E4973&amp;"]"&amp;"|"&amp;$Q4973&amp;"|"&amp;$K4973&amp;"|"&amp;$G4973&amp;"|"&amp;IF($G4973="TX_CURR_SUBNAT.R","CY2022Q4",$M4973),"")</f>
        <v>[PekKUkKHAzY]|01-09|Female|PLHIV_Residents.T|CY2024Q3</v>
      </c>
    </row>
    <row r="4974" customFormat="false" ht="15" hidden="false" customHeight="false" outlineLevel="0" collapsed="false">
      <c r="D4974" s="0" t="s">
        <v>69</v>
      </c>
      <c r="E4974" s="0" t="s">
        <v>70</v>
      </c>
      <c r="F4974" s="0" t="s">
        <v>71</v>
      </c>
      <c r="G4974" s="0" t="s">
        <v>165</v>
      </c>
      <c r="H4974" s="0" t="s">
        <v>166</v>
      </c>
      <c r="I4974" s="0" t="s">
        <v>36</v>
      </c>
      <c r="J4974" s="0" t="s">
        <v>37</v>
      </c>
      <c r="K4974" s="0" t="s">
        <v>30</v>
      </c>
      <c r="L4974" s="0" t="s">
        <v>31</v>
      </c>
      <c r="M4974" s="0" t="s">
        <v>167</v>
      </c>
      <c r="N4974" s="0" t="n">
        <v>833</v>
      </c>
      <c r="O4974" s="10" t="n">
        <v>0.804073964245617</v>
      </c>
      <c r="P4974" s="10" t="n">
        <v>0.198817263124511</v>
      </c>
      <c r="Q4974" s="0" t="str">
        <f aca="false">SUBSTITUTE(SUBSTITUTE($I4974,CHAR(61),""),CHAR(34),"")</f>
        <v>10-14</v>
      </c>
      <c r="R4974" s="0" t="str">
        <f aca="false">IF($D4974&lt;&gt;"","["&amp;$E4974&amp;"]"&amp;"|"&amp;$Q4974&amp;"|"&amp;$K4974&amp;"|"&amp;$G4974&amp;"|"&amp;IF($G4974="TX_CURR_SUBNAT.R","CY2022Q4",$M4974),"")</f>
        <v>[PekKUkKHAzY]|10-14|Female|PLHIV_Residents.T|CY2024Q3</v>
      </c>
    </row>
    <row r="4975" customFormat="false" ht="15" hidden="false" customHeight="false" outlineLevel="0" collapsed="false">
      <c r="D4975" s="0" t="s">
        <v>69</v>
      </c>
      <c r="E4975" s="0" t="s">
        <v>70</v>
      </c>
      <c r="F4975" s="0" t="s">
        <v>71</v>
      </c>
      <c r="G4975" s="0" t="s">
        <v>165</v>
      </c>
      <c r="H4975" s="0" t="s">
        <v>166</v>
      </c>
      <c r="I4975" s="0" t="s">
        <v>38</v>
      </c>
      <c r="J4975" s="0" t="s">
        <v>39</v>
      </c>
      <c r="K4975" s="0" t="s">
        <v>30</v>
      </c>
      <c r="L4975" s="0" t="s">
        <v>31</v>
      </c>
      <c r="M4975" s="0" t="s">
        <v>167</v>
      </c>
      <c r="N4975" s="0" t="n">
        <v>1088</v>
      </c>
      <c r="O4975" s="10" t="n">
        <v>0.84351620497182</v>
      </c>
      <c r="P4975" s="10" t="n">
        <v>0.198817263124511</v>
      </c>
      <c r="Q4975" s="0" t="str">
        <f aca="false">SUBSTITUTE(SUBSTITUTE($I4975,CHAR(61),""),CHAR(34),"")</f>
        <v>15-24</v>
      </c>
      <c r="R4975" s="0" t="str">
        <f aca="false">IF($D4975&lt;&gt;"","["&amp;$E4975&amp;"]"&amp;"|"&amp;$Q4975&amp;"|"&amp;$K4975&amp;"|"&amp;$G4975&amp;"|"&amp;IF($G4975="TX_CURR_SUBNAT.R","CY2022Q4",$M4975),"")</f>
        <v>[PekKUkKHAzY]|15-24|Female|PLHIV_Residents.T|CY2024Q3</v>
      </c>
    </row>
    <row r="4976" customFormat="false" ht="15" hidden="false" customHeight="false" outlineLevel="0" collapsed="false">
      <c r="D4976" s="0" t="s">
        <v>69</v>
      </c>
      <c r="E4976" s="0" t="s">
        <v>70</v>
      </c>
      <c r="F4976" s="0" t="s">
        <v>71</v>
      </c>
      <c r="G4976" s="0" t="s">
        <v>165</v>
      </c>
      <c r="H4976" s="0" t="s">
        <v>166</v>
      </c>
      <c r="I4976" s="0" t="s">
        <v>41</v>
      </c>
      <c r="J4976" s="0" t="s">
        <v>42</v>
      </c>
      <c r="K4976" s="0" t="s">
        <v>30</v>
      </c>
      <c r="L4976" s="0" t="s">
        <v>31</v>
      </c>
      <c r="M4976" s="0" t="s">
        <v>167</v>
      </c>
      <c r="N4976" s="0" t="n">
        <v>1733</v>
      </c>
      <c r="O4976" s="10" t="n">
        <v>0.275288770440966</v>
      </c>
      <c r="P4976" s="10" t="n">
        <v>0.198817263124511</v>
      </c>
      <c r="Q4976" s="0" t="str">
        <f aca="false">SUBSTITUTE(SUBSTITUTE($I4976,CHAR(61),""),CHAR(34),"")</f>
        <v>25-34</v>
      </c>
      <c r="R4976" s="0" t="str">
        <f aca="false">IF($D4976&lt;&gt;"","["&amp;$E4976&amp;"]"&amp;"|"&amp;$Q4976&amp;"|"&amp;$K4976&amp;"|"&amp;$G4976&amp;"|"&amp;IF($G4976="TX_CURR_SUBNAT.R","CY2022Q4",$M4976),"")</f>
        <v>[PekKUkKHAzY]|25-34|Female|PLHIV_Residents.T|CY2024Q3</v>
      </c>
    </row>
    <row r="4977" customFormat="false" ht="15" hidden="false" customHeight="false" outlineLevel="0" collapsed="false">
      <c r="D4977" s="0" t="s">
        <v>69</v>
      </c>
      <c r="E4977" s="0" t="s">
        <v>70</v>
      </c>
      <c r="F4977" s="0" t="s">
        <v>71</v>
      </c>
      <c r="G4977" s="0" t="s">
        <v>165</v>
      </c>
      <c r="H4977" s="0" t="s">
        <v>166</v>
      </c>
      <c r="I4977" s="0" t="s">
        <v>43</v>
      </c>
      <c r="J4977" s="0" t="s">
        <v>44</v>
      </c>
      <c r="K4977" s="0" t="s">
        <v>30</v>
      </c>
      <c r="L4977" s="0" t="s">
        <v>31</v>
      </c>
      <c r="M4977" s="0" t="s">
        <v>167</v>
      </c>
      <c r="N4977" s="0" t="n">
        <v>1211</v>
      </c>
      <c r="O4977" s="10" t="n">
        <v>0.96337650087662</v>
      </c>
      <c r="P4977" s="10" t="n">
        <v>0.198817263124511</v>
      </c>
      <c r="Q4977" s="0" t="str">
        <f aca="false">SUBSTITUTE(SUBSTITUTE($I4977,CHAR(61),""),CHAR(34),"")</f>
        <v>35-49</v>
      </c>
      <c r="R4977" s="0" t="str">
        <f aca="false">IF($D4977&lt;&gt;"","["&amp;$E4977&amp;"]"&amp;"|"&amp;$Q4977&amp;"|"&amp;$K4977&amp;"|"&amp;$G4977&amp;"|"&amp;IF($G4977="TX_CURR_SUBNAT.R","CY2022Q4",$M4977),"")</f>
        <v>[PekKUkKHAzY]|35-49|Female|PLHIV_Residents.T|CY2024Q3</v>
      </c>
    </row>
    <row r="4978" customFormat="false" ht="15" hidden="false" customHeight="false" outlineLevel="0" collapsed="false">
      <c r="D4978" s="0" t="s">
        <v>69</v>
      </c>
      <c r="E4978" s="0" t="s">
        <v>70</v>
      </c>
      <c r="F4978" s="0" t="s">
        <v>71</v>
      </c>
      <c r="G4978" s="0" t="s">
        <v>165</v>
      </c>
      <c r="H4978" s="0" t="s">
        <v>166</v>
      </c>
      <c r="I4978" s="0" t="s">
        <v>45</v>
      </c>
      <c r="J4978" s="0" t="s">
        <v>46</v>
      </c>
      <c r="K4978" s="0" t="s">
        <v>30</v>
      </c>
      <c r="L4978" s="0" t="s">
        <v>31</v>
      </c>
      <c r="M4978" s="0" t="s">
        <v>167</v>
      </c>
      <c r="N4978" s="0" t="n">
        <v>1888</v>
      </c>
      <c r="O4978" s="10" t="n">
        <v>0.512028879718855</v>
      </c>
      <c r="P4978" s="10" t="n">
        <v>0.198817263124511</v>
      </c>
      <c r="Q4978" s="0" t="str">
        <f aca="false">SUBSTITUTE(SUBSTITUTE($I4978,CHAR(61),""),CHAR(34),"")</f>
        <v>50+</v>
      </c>
      <c r="R4978" s="0" t="str">
        <f aca="false">IF($D4978&lt;&gt;"","["&amp;$E4978&amp;"]"&amp;"|"&amp;$Q4978&amp;"|"&amp;$K4978&amp;"|"&amp;$G4978&amp;"|"&amp;IF($G4978="TX_CURR_SUBNAT.R","CY2022Q4",$M4978),"")</f>
        <v>[PekKUkKHAzY]|50+|Female|PLHIV_Residents.T|CY2024Q3</v>
      </c>
    </row>
    <row r="4979" customFormat="false" ht="15" hidden="false" customHeight="false" outlineLevel="0" collapsed="false">
      <c r="D4979" s="0" t="s">
        <v>69</v>
      </c>
      <c r="E4979" s="0" t="s">
        <v>70</v>
      </c>
      <c r="F4979" s="0" t="s">
        <v>71</v>
      </c>
      <c r="G4979" s="0" t="s">
        <v>165</v>
      </c>
      <c r="H4979" s="0" t="s">
        <v>166</v>
      </c>
      <c r="I4979" s="0" t="s">
        <v>28</v>
      </c>
      <c r="J4979" s="0" t="s">
        <v>29</v>
      </c>
      <c r="K4979" s="0" t="s">
        <v>48</v>
      </c>
      <c r="L4979" s="0" t="s">
        <v>49</v>
      </c>
      <c r="M4979" s="0" t="s">
        <v>167</v>
      </c>
      <c r="N4979" s="0" t="n">
        <v>1122</v>
      </c>
      <c r="O4979" s="10" t="n">
        <v>0.857603422831744</v>
      </c>
      <c r="P4979" s="10" t="n">
        <v>0.198817263124511</v>
      </c>
      <c r="Q4979" s="0" t="str">
        <f aca="false">SUBSTITUTE(SUBSTITUTE($I4979,CHAR(61),""),CHAR(34),"")</f>
        <v>&lt;01</v>
      </c>
      <c r="R4979" s="0" t="str">
        <f aca="false">IF($D4979&lt;&gt;"","["&amp;$E4979&amp;"]"&amp;"|"&amp;$Q4979&amp;"|"&amp;$K4979&amp;"|"&amp;$G4979&amp;"|"&amp;IF($G4979="TX_CURR_SUBNAT.R","CY2022Q4",$M4979),"")</f>
        <v>[PekKUkKHAzY]|&lt;01|Male|PLHIV_Residents.T|CY2024Q3</v>
      </c>
    </row>
    <row r="4980" customFormat="false" ht="15" hidden="false" customHeight="false" outlineLevel="0" collapsed="false">
      <c r="D4980" s="0" t="s">
        <v>69</v>
      </c>
      <c r="E4980" s="0" t="s">
        <v>70</v>
      </c>
      <c r="F4980" s="0" t="s">
        <v>71</v>
      </c>
      <c r="G4980" s="0" t="s">
        <v>165</v>
      </c>
      <c r="H4980" s="0" t="s">
        <v>166</v>
      </c>
      <c r="I4980" s="0" t="s">
        <v>33</v>
      </c>
      <c r="J4980" s="0" t="s">
        <v>34</v>
      </c>
      <c r="K4980" s="0" t="s">
        <v>48</v>
      </c>
      <c r="L4980" s="0" t="s">
        <v>49</v>
      </c>
      <c r="M4980" s="0" t="s">
        <v>167</v>
      </c>
      <c r="N4980" s="0" t="n">
        <v>1151</v>
      </c>
      <c r="O4980" s="10" t="n">
        <v>0.732637222623453</v>
      </c>
      <c r="P4980" s="10" t="n">
        <v>0.198817263124511</v>
      </c>
      <c r="Q4980" s="0" t="str">
        <f aca="false">SUBSTITUTE(SUBSTITUTE($I4980,CHAR(61),""),CHAR(34),"")</f>
        <v>01-09</v>
      </c>
      <c r="R4980" s="0" t="str">
        <f aca="false">IF($D4980&lt;&gt;"","["&amp;$E4980&amp;"]"&amp;"|"&amp;$Q4980&amp;"|"&amp;$K4980&amp;"|"&amp;$G4980&amp;"|"&amp;IF($G4980="TX_CURR_SUBNAT.R","CY2022Q4",$M4980),"")</f>
        <v>[PekKUkKHAzY]|01-09|Male|PLHIV_Residents.T|CY2024Q3</v>
      </c>
    </row>
    <row r="4981" customFormat="false" ht="15" hidden="false" customHeight="false" outlineLevel="0" collapsed="false">
      <c r="D4981" s="0" t="s">
        <v>69</v>
      </c>
      <c r="E4981" s="0" t="s">
        <v>70</v>
      </c>
      <c r="F4981" s="0" t="s">
        <v>71</v>
      </c>
      <c r="G4981" s="0" t="s">
        <v>165</v>
      </c>
      <c r="H4981" s="0" t="s">
        <v>166</v>
      </c>
      <c r="I4981" s="0" t="s">
        <v>36</v>
      </c>
      <c r="J4981" s="0" t="s">
        <v>37</v>
      </c>
      <c r="K4981" s="0" t="s">
        <v>48</v>
      </c>
      <c r="L4981" s="0" t="s">
        <v>49</v>
      </c>
      <c r="M4981" s="0" t="s">
        <v>167</v>
      </c>
      <c r="N4981" s="0" t="n">
        <v>1833</v>
      </c>
      <c r="O4981" s="10" t="n">
        <v>0.635290859965608</v>
      </c>
      <c r="P4981" s="10" t="n">
        <v>0.198817263124511</v>
      </c>
      <c r="Q4981" s="0" t="str">
        <f aca="false">SUBSTITUTE(SUBSTITUTE($I4981,CHAR(61),""),CHAR(34),"")</f>
        <v>10-14</v>
      </c>
      <c r="R4981" s="0" t="str">
        <f aca="false">IF($D4981&lt;&gt;"","["&amp;$E4981&amp;"]"&amp;"|"&amp;$Q4981&amp;"|"&amp;$K4981&amp;"|"&amp;$G4981&amp;"|"&amp;IF($G4981="TX_CURR_SUBNAT.R","CY2022Q4",$M4981),"")</f>
        <v>[PekKUkKHAzY]|10-14|Male|PLHIV_Residents.T|CY2024Q3</v>
      </c>
    </row>
    <row r="4982" customFormat="false" ht="15" hidden="false" customHeight="false" outlineLevel="0" collapsed="false">
      <c r="D4982" s="0" t="s">
        <v>69</v>
      </c>
      <c r="E4982" s="0" t="s">
        <v>70</v>
      </c>
      <c r="F4982" s="0" t="s">
        <v>71</v>
      </c>
      <c r="G4982" s="0" t="s">
        <v>165</v>
      </c>
      <c r="H4982" s="0" t="s">
        <v>166</v>
      </c>
      <c r="I4982" s="0" t="s">
        <v>38</v>
      </c>
      <c r="J4982" s="0" t="s">
        <v>39</v>
      </c>
      <c r="K4982" s="0" t="s">
        <v>48</v>
      </c>
      <c r="L4982" s="0" t="s">
        <v>49</v>
      </c>
      <c r="M4982" s="0" t="s">
        <v>167</v>
      </c>
      <c r="N4982" s="0" t="n">
        <v>1041</v>
      </c>
      <c r="O4982" s="10" t="n">
        <v>0.389347014017403</v>
      </c>
      <c r="P4982" s="10" t="n">
        <v>0.198817263124511</v>
      </c>
      <c r="Q4982" s="0" t="str">
        <f aca="false">SUBSTITUTE(SUBSTITUTE($I4982,CHAR(61),""),CHAR(34),"")</f>
        <v>15-24</v>
      </c>
      <c r="R4982" s="0" t="str">
        <f aca="false">IF($D4982&lt;&gt;"","["&amp;$E4982&amp;"]"&amp;"|"&amp;$Q4982&amp;"|"&amp;$K4982&amp;"|"&amp;$G4982&amp;"|"&amp;IF($G4982="TX_CURR_SUBNAT.R","CY2022Q4",$M4982),"")</f>
        <v>[PekKUkKHAzY]|15-24|Male|PLHIV_Residents.T|CY2024Q3</v>
      </c>
    </row>
    <row r="4983" customFormat="false" ht="15" hidden="false" customHeight="false" outlineLevel="0" collapsed="false">
      <c r="D4983" s="0" t="s">
        <v>69</v>
      </c>
      <c r="E4983" s="0" t="s">
        <v>70</v>
      </c>
      <c r="F4983" s="0" t="s">
        <v>71</v>
      </c>
      <c r="G4983" s="0" t="s">
        <v>165</v>
      </c>
      <c r="H4983" s="0" t="s">
        <v>166</v>
      </c>
      <c r="I4983" s="0" t="s">
        <v>41</v>
      </c>
      <c r="J4983" s="0" t="s">
        <v>42</v>
      </c>
      <c r="K4983" s="0" t="s">
        <v>48</v>
      </c>
      <c r="L4983" s="0" t="s">
        <v>49</v>
      </c>
      <c r="M4983" s="0" t="s">
        <v>167</v>
      </c>
      <c r="N4983" s="0" t="n">
        <v>1509</v>
      </c>
      <c r="O4983" s="10" t="n">
        <v>0.19149161875248</v>
      </c>
      <c r="P4983" s="10" t="n">
        <v>0.198817263124511</v>
      </c>
      <c r="Q4983" s="0" t="str">
        <f aca="false">SUBSTITUTE(SUBSTITUTE($I4983,CHAR(61),""),CHAR(34),"")</f>
        <v>25-34</v>
      </c>
      <c r="R4983" s="0" t="str">
        <f aca="false">IF($D4983&lt;&gt;"","["&amp;$E4983&amp;"]"&amp;"|"&amp;$Q4983&amp;"|"&amp;$K4983&amp;"|"&amp;$G4983&amp;"|"&amp;IF($G4983="TX_CURR_SUBNAT.R","CY2022Q4",$M4983),"")</f>
        <v>[PekKUkKHAzY]|25-34|Male|PLHIV_Residents.T|CY2024Q3</v>
      </c>
    </row>
    <row r="4984" customFormat="false" ht="15" hidden="false" customHeight="false" outlineLevel="0" collapsed="false">
      <c r="D4984" s="0" t="s">
        <v>69</v>
      </c>
      <c r="E4984" s="0" t="s">
        <v>70</v>
      </c>
      <c r="F4984" s="0" t="s">
        <v>71</v>
      </c>
      <c r="G4984" s="0" t="s">
        <v>165</v>
      </c>
      <c r="H4984" s="0" t="s">
        <v>166</v>
      </c>
      <c r="I4984" s="0" t="s">
        <v>43</v>
      </c>
      <c r="J4984" s="0" t="s">
        <v>44</v>
      </c>
      <c r="K4984" s="0" t="s">
        <v>48</v>
      </c>
      <c r="L4984" s="0" t="s">
        <v>49</v>
      </c>
      <c r="M4984" s="0" t="s">
        <v>167</v>
      </c>
      <c r="N4984" s="0" t="n">
        <v>1941</v>
      </c>
      <c r="O4984" s="10" t="n">
        <v>0.267292482545599</v>
      </c>
      <c r="P4984" s="10" t="n">
        <v>0.198817263124511</v>
      </c>
      <c r="Q4984" s="0" t="str">
        <f aca="false">SUBSTITUTE(SUBSTITUTE($I4984,CHAR(61),""),CHAR(34),"")</f>
        <v>35-49</v>
      </c>
      <c r="R4984" s="0" t="str">
        <f aca="false">IF($D4984&lt;&gt;"","["&amp;$E4984&amp;"]"&amp;"|"&amp;$Q4984&amp;"|"&amp;$K4984&amp;"|"&amp;$G4984&amp;"|"&amp;IF($G4984="TX_CURR_SUBNAT.R","CY2022Q4",$M4984),"")</f>
        <v>[PekKUkKHAzY]|35-49|Male|PLHIV_Residents.T|CY2024Q3</v>
      </c>
    </row>
    <row r="4985" customFormat="false" ht="15" hidden="false" customHeight="false" outlineLevel="0" collapsed="false">
      <c r="D4985" s="0" t="s">
        <v>69</v>
      </c>
      <c r="E4985" s="0" t="s">
        <v>70</v>
      </c>
      <c r="F4985" s="0" t="s">
        <v>71</v>
      </c>
      <c r="G4985" s="0" t="s">
        <v>165</v>
      </c>
      <c r="H4985" s="0" t="s">
        <v>166</v>
      </c>
      <c r="I4985" s="0" t="s">
        <v>45</v>
      </c>
      <c r="J4985" s="0" t="s">
        <v>46</v>
      </c>
      <c r="K4985" s="0" t="s">
        <v>48</v>
      </c>
      <c r="L4985" s="0" t="s">
        <v>49</v>
      </c>
      <c r="M4985" s="0" t="s">
        <v>167</v>
      </c>
      <c r="N4985" s="0" t="n">
        <v>1842</v>
      </c>
      <c r="O4985" s="10" t="n">
        <v>0.957432014402002</v>
      </c>
      <c r="P4985" s="10" t="n">
        <v>0.198817263124511</v>
      </c>
      <c r="Q4985" s="0" t="str">
        <f aca="false">SUBSTITUTE(SUBSTITUTE($I4985,CHAR(61),""),CHAR(34),"")</f>
        <v>50+</v>
      </c>
      <c r="R4985" s="0" t="str">
        <f aca="false">IF($D4985&lt;&gt;"","["&amp;$E4985&amp;"]"&amp;"|"&amp;$Q4985&amp;"|"&amp;$K4985&amp;"|"&amp;$G4985&amp;"|"&amp;IF($G4985="TX_CURR_SUBNAT.R","CY2022Q4",$M4985),"")</f>
        <v>[PekKUkKHAzY]|50+|Male|PLHIV_Residents.T|CY2024Q3</v>
      </c>
    </row>
    <row r="4986" customFormat="false" ht="15" hidden="false" customHeight="false" outlineLevel="0" collapsed="false">
      <c r="D4986" s="0" t="s">
        <v>72</v>
      </c>
      <c r="E4986" s="0" t="s">
        <v>73</v>
      </c>
      <c r="F4986" s="0" t="s">
        <v>74</v>
      </c>
      <c r="G4986" s="0" t="s">
        <v>165</v>
      </c>
      <c r="H4986" s="0" t="s">
        <v>166</v>
      </c>
      <c r="I4986" s="0" t="s">
        <v>28</v>
      </c>
      <c r="J4986" s="0" t="s">
        <v>29</v>
      </c>
      <c r="K4986" s="0" t="s">
        <v>30</v>
      </c>
      <c r="L4986" s="0" t="s">
        <v>31</v>
      </c>
      <c r="M4986" s="0" t="s">
        <v>167</v>
      </c>
      <c r="N4986" s="0" t="n">
        <v>704</v>
      </c>
      <c r="O4986" s="10" t="n">
        <v>0.886473544407636</v>
      </c>
      <c r="P4986" s="10" t="n">
        <v>0.289728706935421</v>
      </c>
      <c r="Q4986" s="0" t="str">
        <f aca="false">SUBSTITUTE(SUBSTITUTE($I4986,CHAR(61),""),CHAR(34),"")</f>
        <v>&lt;01</v>
      </c>
      <c r="R4986" s="0" t="str">
        <f aca="false">IF($D4986&lt;&gt;"","["&amp;$E4986&amp;"]"&amp;"|"&amp;$Q4986&amp;"|"&amp;$K4986&amp;"|"&amp;$G4986&amp;"|"&amp;IF($G4986="TX_CURR_SUBNAT.R","CY2022Q4",$M4986),"")</f>
        <v>[am530wpaGvr]|&lt;01|Female|PLHIV_Residents.T|CY2024Q3</v>
      </c>
    </row>
    <row r="4987" customFormat="false" ht="15" hidden="false" customHeight="false" outlineLevel="0" collapsed="false">
      <c r="D4987" s="0" t="s">
        <v>72</v>
      </c>
      <c r="E4987" s="0" t="s">
        <v>73</v>
      </c>
      <c r="F4987" s="0" t="s">
        <v>74</v>
      </c>
      <c r="G4987" s="0" t="s">
        <v>165</v>
      </c>
      <c r="H4987" s="0" t="s">
        <v>166</v>
      </c>
      <c r="I4987" s="0" t="s">
        <v>33</v>
      </c>
      <c r="J4987" s="0" t="s">
        <v>34</v>
      </c>
      <c r="K4987" s="0" t="s">
        <v>30</v>
      </c>
      <c r="L4987" s="0" t="s">
        <v>31</v>
      </c>
      <c r="M4987" s="0" t="s">
        <v>167</v>
      </c>
      <c r="N4987" s="0" t="n">
        <v>1232</v>
      </c>
      <c r="O4987" s="10" t="n">
        <v>0.356347124790773</v>
      </c>
      <c r="P4987" s="10" t="n">
        <v>0.289728706935421</v>
      </c>
      <c r="Q4987" s="0" t="str">
        <f aca="false">SUBSTITUTE(SUBSTITUTE($I4987,CHAR(61),""),CHAR(34),"")</f>
        <v>01-09</v>
      </c>
      <c r="R4987" s="0" t="str">
        <f aca="false">IF($D4987&lt;&gt;"","["&amp;$E4987&amp;"]"&amp;"|"&amp;$Q4987&amp;"|"&amp;$K4987&amp;"|"&amp;$G4987&amp;"|"&amp;IF($G4987="TX_CURR_SUBNAT.R","CY2022Q4",$M4987),"")</f>
        <v>[am530wpaGvr]|01-09|Female|PLHIV_Residents.T|CY2024Q3</v>
      </c>
    </row>
    <row r="4988" customFormat="false" ht="15" hidden="false" customHeight="false" outlineLevel="0" collapsed="false">
      <c r="D4988" s="0" t="s">
        <v>72</v>
      </c>
      <c r="E4988" s="0" t="s">
        <v>73</v>
      </c>
      <c r="F4988" s="0" t="s">
        <v>74</v>
      </c>
      <c r="G4988" s="0" t="s">
        <v>165</v>
      </c>
      <c r="H4988" s="0" t="s">
        <v>166</v>
      </c>
      <c r="I4988" s="0" t="s">
        <v>36</v>
      </c>
      <c r="J4988" s="0" t="s">
        <v>37</v>
      </c>
      <c r="K4988" s="0" t="s">
        <v>30</v>
      </c>
      <c r="L4988" s="0" t="s">
        <v>31</v>
      </c>
      <c r="M4988" s="0" t="s">
        <v>167</v>
      </c>
      <c r="N4988" s="0" t="n">
        <v>1052</v>
      </c>
      <c r="O4988" s="10" t="n">
        <v>0.793086929945275</v>
      </c>
      <c r="P4988" s="10" t="n">
        <v>0.289728706935421</v>
      </c>
      <c r="Q4988" s="0" t="str">
        <f aca="false">SUBSTITUTE(SUBSTITUTE($I4988,CHAR(61),""),CHAR(34),"")</f>
        <v>10-14</v>
      </c>
      <c r="R4988" s="0" t="str">
        <f aca="false">IF($D4988&lt;&gt;"","["&amp;$E4988&amp;"]"&amp;"|"&amp;$Q4988&amp;"|"&amp;$K4988&amp;"|"&amp;$G4988&amp;"|"&amp;IF($G4988="TX_CURR_SUBNAT.R","CY2022Q4",$M4988),"")</f>
        <v>[am530wpaGvr]|10-14|Female|PLHIV_Residents.T|CY2024Q3</v>
      </c>
    </row>
    <row r="4989" customFormat="false" ht="15" hidden="false" customHeight="false" outlineLevel="0" collapsed="false">
      <c r="D4989" s="0" t="s">
        <v>72</v>
      </c>
      <c r="E4989" s="0" t="s">
        <v>73</v>
      </c>
      <c r="F4989" s="0" t="s">
        <v>74</v>
      </c>
      <c r="G4989" s="0" t="s">
        <v>165</v>
      </c>
      <c r="H4989" s="0" t="s">
        <v>166</v>
      </c>
      <c r="I4989" s="0" t="s">
        <v>38</v>
      </c>
      <c r="J4989" s="0" t="s">
        <v>39</v>
      </c>
      <c r="K4989" s="0" t="s">
        <v>30</v>
      </c>
      <c r="L4989" s="0" t="s">
        <v>31</v>
      </c>
      <c r="M4989" s="0" t="s">
        <v>167</v>
      </c>
      <c r="N4989" s="0" t="n">
        <v>1232</v>
      </c>
      <c r="O4989" s="10" t="n">
        <v>0.481298964936286</v>
      </c>
      <c r="P4989" s="10" t="n">
        <v>0.289728706935421</v>
      </c>
      <c r="Q4989" s="0" t="str">
        <f aca="false">SUBSTITUTE(SUBSTITUTE($I4989,CHAR(61),""),CHAR(34),"")</f>
        <v>15-24</v>
      </c>
      <c r="R4989" s="0" t="str">
        <f aca="false">IF($D4989&lt;&gt;"","["&amp;$E4989&amp;"]"&amp;"|"&amp;$Q4989&amp;"|"&amp;$K4989&amp;"|"&amp;$G4989&amp;"|"&amp;IF($G4989="TX_CURR_SUBNAT.R","CY2022Q4",$M4989),"")</f>
        <v>[am530wpaGvr]|15-24|Female|PLHIV_Residents.T|CY2024Q3</v>
      </c>
    </row>
    <row r="4990" customFormat="false" ht="15" hidden="false" customHeight="false" outlineLevel="0" collapsed="false">
      <c r="D4990" s="0" t="s">
        <v>72</v>
      </c>
      <c r="E4990" s="0" t="s">
        <v>73</v>
      </c>
      <c r="F4990" s="0" t="s">
        <v>74</v>
      </c>
      <c r="G4990" s="0" t="s">
        <v>165</v>
      </c>
      <c r="H4990" s="0" t="s">
        <v>166</v>
      </c>
      <c r="I4990" s="0" t="s">
        <v>41</v>
      </c>
      <c r="J4990" s="0" t="s">
        <v>42</v>
      </c>
      <c r="K4990" s="0" t="s">
        <v>30</v>
      </c>
      <c r="L4990" s="0" t="s">
        <v>31</v>
      </c>
      <c r="M4990" s="0" t="s">
        <v>167</v>
      </c>
      <c r="N4990" s="0" t="n">
        <v>725</v>
      </c>
      <c r="O4990" s="10" t="n">
        <v>0.552921642549336</v>
      </c>
      <c r="P4990" s="10" t="n">
        <v>0.289728706935421</v>
      </c>
      <c r="Q4990" s="0" t="str">
        <f aca="false">SUBSTITUTE(SUBSTITUTE($I4990,CHAR(61),""),CHAR(34),"")</f>
        <v>25-34</v>
      </c>
      <c r="R4990" s="0" t="str">
        <f aca="false">IF($D4990&lt;&gt;"","["&amp;$E4990&amp;"]"&amp;"|"&amp;$Q4990&amp;"|"&amp;$K4990&amp;"|"&amp;$G4990&amp;"|"&amp;IF($G4990="TX_CURR_SUBNAT.R","CY2022Q4",$M4990),"")</f>
        <v>[am530wpaGvr]|25-34|Female|PLHIV_Residents.T|CY2024Q3</v>
      </c>
    </row>
    <row r="4991" customFormat="false" ht="15" hidden="false" customHeight="false" outlineLevel="0" collapsed="false">
      <c r="D4991" s="0" t="s">
        <v>72</v>
      </c>
      <c r="E4991" s="0" t="s">
        <v>73</v>
      </c>
      <c r="F4991" s="0" t="s">
        <v>74</v>
      </c>
      <c r="G4991" s="0" t="s">
        <v>165</v>
      </c>
      <c r="H4991" s="0" t="s">
        <v>166</v>
      </c>
      <c r="I4991" s="0" t="s">
        <v>43</v>
      </c>
      <c r="J4991" s="0" t="s">
        <v>44</v>
      </c>
      <c r="K4991" s="0" t="s">
        <v>30</v>
      </c>
      <c r="L4991" s="0" t="s">
        <v>31</v>
      </c>
      <c r="M4991" s="0" t="s">
        <v>167</v>
      </c>
      <c r="N4991" s="0" t="n">
        <v>1814</v>
      </c>
      <c r="O4991" s="10" t="n">
        <v>0.355621688999236</v>
      </c>
      <c r="P4991" s="10" t="n">
        <v>0.289728706935421</v>
      </c>
      <c r="Q4991" s="0" t="str">
        <f aca="false">SUBSTITUTE(SUBSTITUTE($I4991,CHAR(61),""),CHAR(34),"")</f>
        <v>35-49</v>
      </c>
      <c r="R4991" s="0" t="str">
        <f aca="false">IF($D4991&lt;&gt;"","["&amp;$E4991&amp;"]"&amp;"|"&amp;$Q4991&amp;"|"&amp;$K4991&amp;"|"&amp;$G4991&amp;"|"&amp;IF($G4991="TX_CURR_SUBNAT.R","CY2022Q4",$M4991),"")</f>
        <v>[am530wpaGvr]|35-49|Female|PLHIV_Residents.T|CY2024Q3</v>
      </c>
    </row>
    <row r="4992" customFormat="false" ht="15" hidden="false" customHeight="false" outlineLevel="0" collapsed="false">
      <c r="D4992" s="0" t="s">
        <v>72</v>
      </c>
      <c r="E4992" s="0" t="s">
        <v>73</v>
      </c>
      <c r="F4992" s="0" t="s">
        <v>74</v>
      </c>
      <c r="G4992" s="0" t="s">
        <v>165</v>
      </c>
      <c r="H4992" s="0" t="s">
        <v>166</v>
      </c>
      <c r="I4992" s="0" t="s">
        <v>45</v>
      </c>
      <c r="J4992" s="0" t="s">
        <v>46</v>
      </c>
      <c r="K4992" s="0" t="s">
        <v>30</v>
      </c>
      <c r="L4992" s="0" t="s">
        <v>31</v>
      </c>
      <c r="M4992" s="0" t="s">
        <v>167</v>
      </c>
      <c r="N4992" s="0" t="n">
        <v>1956</v>
      </c>
      <c r="O4992" s="10" t="n">
        <v>0.642078446689993</v>
      </c>
      <c r="P4992" s="10" t="n">
        <v>0.289728706935421</v>
      </c>
      <c r="Q4992" s="0" t="str">
        <f aca="false">SUBSTITUTE(SUBSTITUTE($I4992,CHAR(61),""),CHAR(34),"")</f>
        <v>50+</v>
      </c>
      <c r="R4992" s="0" t="str">
        <f aca="false">IF($D4992&lt;&gt;"","["&amp;$E4992&amp;"]"&amp;"|"&amp;$Q4992&amp;"|"&amp;$K4992&amp;"|"&amp;$G4992&amp;"|"&amp;IF($G4992="TX_CURR_SUBNAT.R","CY2022Q4",$M4992),"")</f>
        <v>[am530wpaGvr]|50+|Female|PLHIV_Residents.T|CY2024Q3</v>
      </c>
    </row>
    <row r="4993" customFormat="false" ht="15" hidden="false" customHeight="false" outlineLevel="0" collapsed="false">
      <c r="D4993" s="0" t="s">
        <v>72</v>
      </c>
      <c r="E4993" s="0" t="s">
        <v>73</v>
      </c>
      <c r="F4993" s="0" t="s">
        <v>74</v>
      </c>
      <c r="G4993" s="0" t="s">
        <v>165</v>
      </c>
      <c r="H4993" s="0" t="s">
        <v>166</v>
      </c>
      <c r="I4993" s="0" t="s">
        <v>28</v>
      </c>
      <c r="J4993" s="0" t="s">
        <v>29</v>
      </c>
      <c r="K4993" s="0" t="s">
        <v>48</v>
      </c>
      <c r="L4993" s="0" t="s">
        <v>49</v>
      </c>
      <c r="M4993" s="0" t="s">
        <v>167</v>
      </c>
      <c r="N4993" s="0" t="n">
        <v>866</v>
      </c>
      <c r="O4993" s="10" t="n">
        <v>0.496585166081786</v>
      </c>
      <c r="P4993" s="10" t="n">
        <v>0.289728706935421</v>
      </c>
      <c r="Q4993" s="0" t="str">
        <f aca="false">SUBSTITUTE(SUBSTITUTE($I4993,CHAR(61),""),CHAR(34),"")</f>
        <v>&lt;01</v>
      </c>
      <c r="R4993" s="0" t="str">
        <f aca="false">IF($D4993&lt;&gt;"","["&amp;$E4993&amp;"]"&amp;"|"&amp;$Q4993&amp;"|"&amp;$K4993&amp;"|"&amp;$G4993&amp;"|"&amp;IF($G4993="TX_CURR_SUBNAT.R","CY2022Q4",$M4993),"")</f>
        <v>[am530wpaGvr]|&lt;01|Male|PLHIV_Residents.T|CY2024Q3</v>
      </c>
    </row>
    <row r="4994" customFormat="false" ht="15" hidden="false" customHeight="false" outlineLevel="0" collapsed="false">
      <c r="D4994" s="0" t="s">
        <v>72</v>
      </c>
      <c r="E4994" s="0" t="s">
        <v>73</v>
      </c>
      <c r="F4994" s="0" t="s">
        <v>74</v>
      </c>
      <c r="G4994" s="0" t="s">
        <v>165</v>
      </c>
      <c r="H4994" s="0" t="s">
        <v>166</v>
      </c>
      <c r="I4994" s="0" t="s">
        <v>33</v>
      </c>
      <c r="J4994" s="0" t="s">
        <v>34</v>
      </c>
      <c r="K4994" s="0" t="s">
        <v>48</v>
      </c>
      <c r="L4994" s="0" t="s">
        <v>49</v>
      </c>
      <c r="M4994" s="0" t="s">
        <v>167</v>
      </c>
      <c r="N4994" s="0" t="n">
        <v>1863</v>
      </c>
      <c r="O4994" s="10" t="n">
        <v>0.175386747578159</v>
      </c>
      <c r="P4994" s="10" t="n">
        <v>0.289728706935421</v>
      </c>
      <c r="Q4994" s="0" t="str">
        <f aca="false">SUBSTITUTE(SUBSTITUTE($I4994,CHAR(61),""),CHAR(34),"")</f>
        <v>01-09</v>
      </c>
      <c r="R4994" s="0" t="str">
        <f aca="false">IF($D4994&lt;&gt;"","["&amp;$E4994&amp;"]"&amp;"|"&amp;$Q4994&amp;"|"&amp;$K4994&amp;"|"&amp;$G4994&amp;"|"&amp;IF($G4994="TX_CURR_SUBNAT.R","CY2022Q4",$M4994),"")</f>
        <v>[am530wpaGvr]|01-09|Male|PLHIV_Residents.T|CY2024Q3</v>
      </c>
    </row>
    <row r="4995" customFormat="false" ht="15" hidden="false" customHeight="false" outlineLevel="0" collapsed="false">
      <c r="D4995" s="0" t="s">
        <v>72</v>
      </c>
      <c r="E4995" s="0" t="s">
        <v>73</v>
      </c>
      <c r="F4995" s="0" t="s">
        <v>74</v>
      </c>
      <c r="G4995" s="0" t="s">
        <v>165</v>
      </c>
      <c r="H4995" s="0" t="s">
        <v>166</v>
      </c>
      <c r="I4995" s="0" t="s">
        <v>36</v>
      </c>
      <c r="J4995" s="0" t="s">
        <v>37</v>
      </c>
      <c r="K4995" s="0" t="s">
        <v>48</v>
      </c>
      <c r="L4995" s="0" t="s">
        <v>49</v>
      </c>
      <c r="M4995" s="0" t="s">
        <v>167</v>
      </c>
      <c r="N4995" s="0" t="n">
        <v>1223</v>
      </c>
      <c r="O4995" s="10" t="n">
        <v>0.490550997667015</v>
      </c>
      <c r="P4995" s="10" t="n">
        <v>0.289728706935421</v>
      </c>
      <c r="Q4995" s="0" t="str">
        <f aca="false">SUBSTITUTE(SUBSTITUTE($I4995,CHAR(61),""),CHAR(34),"")</f>
        <v>10-14</v>
      </c>
      <c r="R4995" s="0" t="str">
        <f aca="false">IF($D4995&lt;&gt;"","["&amp;$E4995&amp;"]"&amp;"|"&amp;$Q4995&amp;"|"&amp;$K4995&amp;"|"&amp;$G4995&amp;"|"&amp;IF($G4995="TX_CURR_SUBNAT.R","CY2022Q4",$M4995),"")</f>
        <v>[am530wpaGvr]|10-14|Male|PLHIV_Residents.T|CY2024Q3</v>
      </c>
    </row>
    <row r="4996" customFormat="false" ht="15" hidden="false" customHeight="false" outlineLevel="0" collapsed="false">
      <c r="D4996" s="0" t="s">
        <v>72</v>
      </c>
      <c r="E4996" s="0" t="s">
        <v>73</v>
      </c>
      <c r="F4996" s="0" t="s">
        <v>74</v>
      </c>
      <c r="G4996" s="0" t="s">
        <v>165</v>
      </c>
      <c r="H4996" s="0" t="s">
        <v>166</v>
      </c>
      <c r="I4996" s="0" t="s">
        <v>38</v>
      </c>
      <c r="J4996" s="0" t="s">
        <v>39</v>
      </c>
      <c r="K4996" s="0" t="s">
        <v>48</v>
      </c>
      <c r="L4996" s="0" t="s">
        <v>49</v>
      </c>
      <c r="M4996" s="0" t="s">
        <v>167</v>
      </c>
      <c r="N4996" s="0" t="n">
        <v>1883</v>
      </c>
      <c r="O4996" s="10" t="n">
        <v>0.200474229641259</v>
      </c>
      <c r="P4996" s="10" t="n">
        <v>0.289728706935421</v>
      </c>
      <c r="Q4996" s="0" t="str">
        <f aca="false">SUBSTITUTE(SUBSTITUTE($I4996,CHAR(61),""),CHAR(34),"")</f>
        <v>15-24</v>
      </c>
      <c r="R4996" s="0" t="str">
        <f aca="false">IF($D4996&lt;&gt;"","["&amp;$E4996&amp;"]"&amp;"|"&amp;$Q4996&amp;"|"&amp;$K4996&amp;"|"&amp;$G4996&amp;"|"&amp;IF($G4996="TX_CURR_SUBNAT.R","CY2022Q4",$M4996),"")</f>
        <v>[am530wpaGvr]|15-24|Male|PLHIV_Residents.T|CY2024Q3</v>
      </c>
    </row>
    <row r="4997" customFormat="false" ht="15" hidden="false" customHeight="false" outlineLevel="0" collapsed="false">
      <c r="D4997" s="0" t="s">
        <v>72</v>
      </c>
      <c r="E4997" s="0" t="s">
        <v>73</v>
      </c>
      <c r="F4997" s="0" t="s">
        <v>74</v>
      </c>
      <c r="G4997" s="0" t="s">
        <v>165</v>
      </c>
      <c r="H4997" s="0" t="s">
        <v>166</v>
      </c>
      <c r="I4997" s="0" t="s">
        <v>41</v>
      </c>
      <c r="J4997" s="0" t="s">
        <v>42</v>
      </c>
      <c r="K4997" s="0" t="s">
        <v>48</v>
      </c>
      <c r="L4997" s="0" t="s">
        <v>49</v>
      </c>
      <c r="M4997" s="0" t="s">
        <v>167</v>
      </c>
      <c r="N4997" s="0" t="n">
        <v>1646</v>
      </c>
      <c r="O4997" s="10" t="n">
        <v>0.631156307412311</v>
      </c>
      <c r="P4997" s="10" t="n">
        <v>0.289728706935421</v>
      </c>
      <c r="Q4997" s="0" t="str">
        <f aca="false">SUBSTITUTE(SUBSTITUTE($I4997,CHAR(61),""),CHAR(34),"")</f>
        <v>25-34</v>
      </c>
      <c r="R4997" s="0" t="str">
        <f aca="false">IF($D4997&lt;&gt;"","["&amp;$E4997&amp;"]"&amp;"|"&amp;$Q4997&amp;"|"&amp;$K4997&amp;"|"&amp;$G4997&amp;"|"&amp;IF($G4997="TX_CURR_SUBNAT.R","CY2022Q4",$M4997),"")</f>
        <v>[am530wpaGvr]|25-34|Male|PLHIV_Residents.T|CY2024Q3</v>
      </c>
    </row>
    <row r="4998" customFormat="false" ht="15" hidden="false" customHeight="false" outlineLevel="0" collapsed="false">
      <c r="D4998" s="0" t="s">
        <v>72</v>
      </c>
      <c r="E4998" s="0" t="s">
        <v>73</v>
      </c>
      <c r="F4998" s="0" t="s">
        <v>74</v>
      </c>
      <c r="G4998" s="0" t="s">
        <v>165</v>
      </c>
      <c r="H4998" s="0" t="s">
        <v>166</v>
      </c>
      <c r="I4998" s="0" t="s">
        <v>43</v>
      </c>
      <c r="J4998" s="0" t="s">
        <v>44</v>
      </c>
      <c r="K4998" s="0" t="s">
        <v>48</v>
      </c>
      <c r="L4998" s="0" t="s">
        <v>49</v>
      </c>
      <c r="M4998" s="0" t="s">
        <v>167</v>
      </c>
      <c r="N4998" s="0" t="n">
        <v>617</v>
      </c>
      <c r="O4998" s="10" t="n">
        <v>0.298742016078904</v>
      </c>
      <c r="P4998" s="10" t="n">
        <v>0.289728706935421</v>
      </c>
      <c r="Q4998" s="0" t="str">
        <f aca="false">SUBSTITUTE(SUBSTITUTE($I4998,CHAR(61),""),CHAR(34),"")</f>
        <v>35-49</v>
      </c>
      <c r="R4998" s="0" t="str">
        <f aca="false">IF($D4998&lt;&gt;"","["&amp;$E4998&amp;"]"&amp;"|"&amp;$Q4998&amp;"|"&amp;$K4998&amp;"|"&amp;$G4998&amp;"|"&amp;IF($G4998="TX_CURR_SUBNAT.R","CY2022Q4",$M4998),"")</f>
        <v>[am530wpaGvr]|35-49|Male|PLHIV_Residents.T|CY2024Q3</v>
      </c>
    </row>
    <row r="4999" customFormat="false" ht="15" hidden="false" customHeight="false" outlineLevel="0" collapsed="false">
      <c r="D4999" s="0" t="s">
        <v>72</v>
      </c>
      <c r="E4999" s="0" t="s">
        <v>73</v>
      </c>
      <c r="F4999" s="0" t="s">
        <v>74</v>
      </c>
      <c r="G4999" s="0" t="s">
        <v>165</v>
      </c>
      <c r="H4999" s="0" t="s">
        <v>166</v>
      </c>
      <c r="I4999" s="0" t="s">
        <v>45</v>
      </c>
      <c r="J4999" s="0" t="s">
        <v>46</v>
      </c>
      <c r="K4999" s="0" t="s">
        <v>48</v>
      </c>
      <c r="L4999" s="0" t="s">
        <v>49</v>
      </c>
      <c r="M4999" s="0" t="s">
        <v>167</v>
      </c>
      <c r="N4999" s="0" t="n">
        <v>1491</v>
      </c>
      <c r="O4999" s="10" t="n">
        <v>0.163765415316448</v>
      </c>
      <c r="P4999" s="10" t="n">
        <v>0.289728706935421</v>
      </c>
      <c r="Q4999" s="0" t="str">
        <f aca="false">SUBSTITUTE(SUBSTITUTE($I4999,CHAR(61),""),CHAR(34),"")</f>
        <v>50+</v>
      </c>
      <c r="R4999" s="0" t="str">
        <f aca="false">IF($D4999&lt;&gt;"","["&amp;$E4999&amp;"]"&amp;"|"&amp;$Q4999&amp;"|"&amp;$K4999&amp;"|"&amp;$G4999&amp;"|"&amp;IF($G4999="TX_CURR_SUBNAT.R","CY2022Q4",$M4999),"")</f>
        <v>[am530wpaGvr]|50+|Male|PLHIV_Residents.T|CY2024Q3</v>
      </c>
    </row>
    <row r="5000" customFormat="false" ht="15" hidden="false" customHeight="false" outlineLevel="0" collapsed="false">
      <c r="D5000" s="0" t="s">
        <v>75</v>
      </c>
      <c r="E5000" s="0" t="s">
        <v>76</v>
      </c>
      <c r="F5000" s="0" t="s">
        <v>77</v>
      </c>
      <c r="G5000" s="0" t="s">
        <v>165</v>
      </c>
      <c r="H5000" s="0" t="s">
        <v>166</v>
      </c>
      <c r="I5000" s="0" t="s">
        <v>28</v>
      </c>
      <c r="J5000" s="0" t="s">
        <v>29</v>
      </c>
      <c r="K5000" s="0" t="s">
        <v>30</v>
      </c>
      <c r="L5000" s="0" t="s">
        <v>31</v>
      </c>
      <c r="M5000" s="0" t="s">
        <v>167</v>
      </c>
      <c r="N5000" s="0" t="n">
        <v>638</v>
      </c>
      <c r="O5000" s="10" t="n">
        <v>0.133242418756709</v>
      </c>
      <c r="P5000" s="10" t="n">
        <v>0.303055507596582</v>
      </c>
      <c r="Q5000" s="0" t="str">
        <f aca="false">SUBSTITUTE(SUBSTITUTE($I5000,CHAR(61),""),CHAR(34),"")</f>
        <v>&lt;01</v>
      </c>
      <c r="R5000" s="0" t="str">
        <f aca="false">IF($D5000&lt;&gt;"","["&amp;$E5000&amp;"]"&amp;"|"&amp;$Q5000&amp;"|"&amp;$K5000&amp;"|"&amp;$G5000&amp;"|"&amp;IF($G5000="TX_CURR_SUBNAT.R","CY2022Q4",$M5000),"")</f>
        <v>[lLDyBx5XyUi]|&lt;01|Female|PLHIV_Residents.T|CY2024Q3</v>
      </c>
    </row>
    <row r="5001" customFormat="false" ht="15" hidden="false" customHeight="false" outlineLevel="0" collapsed="false">
      <c r="D5001" s="0" t="s">
        <v>75</v>
      </c>
      <c r="E5001" s="0" t="s">
        <v>76</v>
      </c>
      <c r="F5001" s="0" t="s">
        <v>77</v>
      </c>
      <c r="G5001" s="0" t="s">
        <v>165</v>
      </c>
      <c r="H5001" s="0" t="s">
        <v>166</v>
      </c>
      <c r="I5001" s="0" t="s">
        <v>33</v>
      </c>
      <c r="J5001" s="0" t="s">
        <v>34</v>
      </c>
      <c r="K5001" s="0" t="s">
        <v>30</v>
      </c>
      <c r="L5001" s="0" t="s">
        <v>31</v>
      </c>
      <c r="M5001" s="0" t="s">
        <v>167</v>
      </c>
      <c r="N5001" s="0" t="n">
        <v>1726</v>
      </c>
      <c r="O5001" s="10" t="n">
        <v>0.45591763406992</v>
      </c>
      <c r="P5001" s="10" t="n">
        <v>0.303055507596582</v>
      </c>
      <c r="Q5001" s="0" t="str">
        <f aca="false">SUBSTITUTE(SUBSTITUTE($I5001,CHAR(61),""),CHAR(34),"")</f>
        <v>01-09</v>
      </c>
      <c r="R5001" s="0" t="str">
        <f aca="false">IF($D5001&lt;&gt;"","["&amp;$E5001&amp;"]"&amp;"|"&amp;$Q5001&amp;"|"&amp;$K5001&amp;"|"&amp;$G5001&amp;"|"&amp;IF($G5001="TX_CURR_SUBNAT.R","CY2022Q4",$M5001),"")</f>
        <v>[lLDyBx5XyUi]|01-09|Female|PLHIV_Residents.T|CY2024Q3</v>
      </c>
    </row>
    <row r="5002" customFormat="false" ht="15" hidden="false" customHeight="false" outlineLevel="0" collapsed="false">
      <c r="D5002" s="0" t="s">
        <v>75</v>
      </c>
      <c r="E5002" s="0" t="s">
        <v>76</v>
      </c>
      <c r="F5002" s="0" t="s">
        <v>77</v>
      </c>
      <c r="G5002" s="0" t="s">
        <v>165</v>
      </c>
      <c r="H5002" s="0" t="s">
        <v>166</v>
      </c>
      <c r="I5002" s="0" t="s">
        <v>36</v>
      </c>
      <c r="J5002" s="0" t="s">
        <v>37</v>
      </c>
      <c r="K5002" s="0" t="s">
        <v>30</v>
      </c>
      <c r="L5002" s="0" t="s">
        <v>31</v>
      </c>
      <c r="M5002" s="0" t="s">
        <v>167</v>
      </c>
      <c r="N5002" s="0" t="n">
        <v>1115</v>
      </c>
      <c r="O5002" s="10" t="n">
        <v>0.296293895924464</v>
      </c>
      <c r="P5002" s="10" t="n">
        <v>0.303055507596582</v>
      </c>
      <c r="Q5002" s="0" t="str">
        <f aca="false">SUBSTITUTE(SUBSTITUTE($I5002,CHAR(61),""),CHAR(34),"")</f>
        <v>10-14</v>
      </c>
      <c r="R5002" s="0" t="str">
        <f aca="false">IF($D5002&lt;&gt;"","["&amp;$E5002&amp;"]"&amp;"|"&amp;$Q5002&amp;"|"&amp;$K5002&amp;"|"&amp;$G5002&amp;"|"&amp;IF($G5002="TX_CURR_SUBNAT.R","CY2022Q4",$M5002),"")</f>
        <v>[lLDyBx5XyUi]|10-14|Female|PLHIV_Residents.T|CY2024Q3</v>
      </c>
    </row>
    <row r="5003" customFormat="false" ht="15" hidden="false" customHeight="false" outlineLevel="0" collapsed="false">
      <c r="D5003" s="0" t="s">
        <v>75</v>
      </c>
      <c r="E5003" s="0" t="s">
        <v>76</v>
      </c>
      <c r="F5003" s="0" t="s">
        <v>77</v>
      </c>
      <c r="G5003" s="0" t="s">
        <v>165</v>
      </c>
      <c r="H5003" s="0" t="s">
        <v>166</v>
      </c>
      <c r="I5003" s="0" t="s">
        <v>38</v>
      </c>
      <c r="J5003" s="0" t="s">
        <v>39</v>
      </c>
      <c r="K5003" s="0" t="s">
        <v>30</v>
      </c>
      <c r="L5003" s="0" t="s">
        <v>31</v>
      </c>
      <c r="M5003" s="0" t="s">
        <v>167</v>
      </c>
      <c r="N5003" s="0" t="n">
        <v>1238</v>
      </c>
      <c r="O5003" s="10" t="n">
        <v>0.941695917630568</v>
      </c>
      <c r="P5003" s="10" t="n">
        <v>0.303055507596582</v>
      </c>
      <c r="Q5003" s="0" t="str">
        <f aca="false">SUBSTITUTE(SUBSTITUTE($I5003,CHAR(61),""),CHAR(34),"")</f>
        <v>15-24</v>
      </c>
      <c r="R5003" s="0" t="str">
        <f aca="false">IF($D5003&lt;&gt;"","["&amp;$E5003&amp;"]"&amp;"|"&amp;$Q5003&amp;"|"&amp;$K5003&amp;"|"&amp;$G5003&amp;"|"&amp;IF($G5003="TX_CURR_SUBNAT.R","CY2022Q4",$M5003),"")</f>
        <v>[lLDyBx5XyUi]|15-24|Female|PLHIV_Residents.T|CY2024Q3</v>
      </c>
    </row>
    <row r="5004" customFormat="false" ht="15" hidden="false" customHeight="false" outlineLevel="0" collapsed="false">
      <c r="D5004" s="0" t="s">
        <v>75</v>
      </c>
      <c r="E5004" s="0" t="s">
        <v>76</v>
      </c>
      <c r="F5004" s="0" t="s">
        <v>77</v>
      </c>
      <c r="G5004" s="0" t="s">
        <v>165</v>
      </c>
      <c r="H5004" s="0" t="s">
        <v>166</v>
      </c>
      <c r="I5004" s="0" t="s">
        <v>41</v>
      </c>
      <c r="J5004" s="0" t="s">
        <v>42</v>
      </c>
      <c r="K5004" s="0" t="s">
        <v>30</v>
      </c>
      <c r="L5004" s="0" t="s">
        <v>31</v>
      </c>
      <c r="M5004" s="0" t="s">
        <v>167</v>
      </c>
      <c r="N5004" s="0" t="n">
        <v>586</v>
      </c>
      <c r="O5004" s="10" t="n">
        <v>0.563753656344488</v>
      </c>
      <c r="P5004" s="10" t="n">
        <v>0.303055507596582</v>
      </c>
      <c r="Q5004" s="0" t="str">
        <f aca="false">SUBSTITUTE(SUBSTITUTE($I5004,CHAR(61),""),CHAR(34),"")</f>
        <v>25-34</v>
      </c>
      <c r="R5004" s="0" t="str">
        <f aca="false">IF($D5004&lt;&gt;"","["&amp;$E5004&amp;"]"&amp;"|"&amp;$Q5004&amp;"|"&amp;$K5004&amp;"|"&amp;$G5004&amp;"|"&amp;IF($G5004="TX_CURR_SUBNAT.R","CY2022Q4",$M5004),"")</f>
        <v>[lLDyBx5XyUi]|25-34|Female|PLHIV_Residents.T|CY2024Q3</v>
      </c>
    </row>
    <row r="5005" customFormat="false" ht="15" hidden="false" customHeight="false" outlineLevel="0" collapsed="false">
      <c r="D5005" s="0" t="s">
        <v>75</v>
      </c>
      <c r="E5005" s="0" t="s">
        <v>76</v>
      </c>
      <c r="F5005" s="0" t="s">
        <v>77</v>
      </c>
      <c r="G5005" s="0" t="s">
        <v>165</v>
      </c>
      <c r="H5005" s="0" t="s">
        <v>166</v>
      </c>
      <c r="I5005" s="0" t="s">
        <v>43</v>
      </c>
      <c r="J5005" s="0" t="s">
        <v>44</v>
      </c>
      <c r="K5005" s="0" t="s">
        <v>30</v>
      </c>
      <c r="L5005" s="0" t="s">
        <v>31</v>
      </c>
      <c r="M5005" s="0" t="s">
        <v>167</v>
      </c>
      <c r="N5005" s="0" t="n">
        <v>1667</v>
      </c>
      <c r="O5005" s="10" t="n">
        <v>0.603944557951763</v>
      </c>
      <c r="P5005" s="10" t="n">
        <v>0.303055507596582</v>
      </c>
      <c r="Q5005" s="0" t="str">
        <f aca="false">SUBSTITUTE(SUBSTITUTE($I5005,CHAR(61),""),CHAR(34),"")</f>
        <v>35-49</v>
      </c>
      <c r="R5005" s="0" t="str">
        <f aca="false">IF($D5005&lt;&gt;"","["&amp;$E5005&amp;"]"&amp;"|"&amp;$Q5005&amp;"|"&amp;$K5005&amp;"|"&amp;$G5005&amp;"|"&amp;IF($G5005="TX_CURR_SUBNAT.R","CY2022Q4",$M5005),"")</f>
        <v>[lLDyBx5XyUi]|35-49|Female|PLHIV_Residents.T|CY2024Q3</v>
      </c>
    </row>
    <row r="5006" customFormat="false" ht="15" hidden="false" customHeight="false" outlineLevel="0" collapsed="false">
      <c r="D5006" s="0" t="s">
        <v>75</v>
      </c>
      <c r="E5006" s="0" t="s">
        <v>76</v>
      </c>
      <c r="F5006" s="0" t="s">
        <v>77</v>
      </c>
      <c r="G5006" s="0" t="s">
        <v>165</v>
      </c>
      <c r="H5006" s="0" t="s">
        <v>166</v>
      </c>
      <c r="I5006" s="0" t="s">
        <v>45</v>
      </c>
      <c r="J5006" s="0" t="s">
        <v>46</v>
      </c>
      <c r="K5006" s="0" t="s">
        <v>30</v>
      </c>
      <c r="L5006" s="0" t="s">
        <v>31</v>
      </c>
      <c r="M5006" s="0" t="s">
        <v>167</v>
      </c>
      <c r="N5006" s="0" t="n">
        <v>601</v>
      </c>
      <c r="O5006" s="10" t="n">
        <v>0.291448211995885</v>
      </c>
      <c r="P5006" s="10" t="n">
        <v>0.303055507596582</v>
      </c>
      <c r="Q5006" s="0" t="str">
        <f aca="false">SUBSTITUTE(SUBSTITUTE($I5006,CHAR(61),""),CHAR(34),"")</f>
        <v>50+</v>
      </c>
      <c r="R5006" s="0" t="str">
        <f aca="false">IF($D5006&lt;&gt;"","["&amp;$E5006&amp;"]"&amp;"|"&amp;$Q5006&amp;"|"&amp;$K5006&amp;"|"&amp;$G5006&amp;"|"&amp;IF($G5006="TX_CURR_SUBNAT.R","CY2022Q4",$M5006),"")</f>
        <v>[lLDyBx5XyUi]|50+|Female|PLHIV_Residents.T|CY2024Q3</v>
      </c>
    </row>
    <row r="5007" customFormat="false" ht="15" hidden="false" customHeight="false" outlineLevel="0" collapsed="false">
      <c r="D5007" s="0" t="s">
        <v>75</v>
      </c>
      <c r="E5007" s="0" t="s">
        <v>76</v>
      </c>
      <c r="F5007" s="0" t="s">
        <v>77</v>
      </c>
      <c r="G5007" s="0" t="s">
        <v>165</v>
      </c>
      <c r="H5007" s="0" t="s">
        <v>166</v>
      </c>
      <c r="I5007" s="0" t="s">
        <v>28</v>
      </c>
      <c r="J5007" s="0" t="s">
        <v>29</v>
      </c>
      <c r="K5007" s="0" t="s">
        <v>48</v>
      </c>
      <c r="L5007" s="0" t="s">
        <v>49</v>
      </c>
      <c r="M5007" s="0" t="s">
        <v>167</v>
      </c>
      <c r="N5007" s="0" t="n">
        <v>1665</v>
      </c>
      <c r="O5007" s="10" t="n">
        <v>0.174495370592922</v>
      </c>
      <c r="P5007" s="10" t="n">
        <v>0.303055507596582</v>
      </c>
      <c r="Q5007" s="0" t="str">
        <f aca="false">SUBSTITUTE(SUBSTITUTE($I5007,CHAR(61),""),CHAR(34),"")</f>
        <v>&lt;01</v>
      </c>
      <c r="R5007" s="0" t="str">
        <f aca="false">IF($D5007&lt;&gt;"","["&amp;$E5007&amp;"]"&amp;"|"&amp;$Q5007&amp;"|"&amp;$K5007&amp;"|"&amp;$G5007&amp;"|"&amp;IF($G5007="TX_CURR_SUBNAT.R","CY2022Q4",$M5007),"")</f>
        <v>[lLDyBx5XyUi]|&lt;01|Male|PLHIV_Residents.T|CY2024Q3</v>
      </c>
    </row>
    <row r="5008" customFormat="false" ht="15" hidden="false" customHeight="false" outlineLevel="0" collapsed="false">
      <c r="D5008" s="0" t="s">
        <v>75</v>
      </c>
      <c r="E5008" s="0" t="s">
        <v>76</v>
      </c>
      <c r="F5008" s="0" t="s">
        <v>77</v>
      </c>
      <c r="G5008" s="0" t="s">
        <v>165</v>
      </c>
      <c r="H5008" s="0" t="s">
        <v>166</v>
      </c>
      <c r="I5008" s="0" t="s">
        <v>33</v>
      </c>
      <c r="J5008" s="0" t="s">
        <v>34</v>
      </c>
      <c r="K5008" s="0" t="s">
        <v>48</v>
      </c>
      <c r="L5008" s="0" t="s">
        <v>49</v>
      </c>
      <c r="M5008" s="0" t="s">
        <v>167</v>
      </c>
      <c r="N5008" s="0" t="n">
        <v>1821</v>
      </c>
      <c r="O5008" s="10" t="n">
        <v>0.605497176060453</v>
      </c>
      <c r="P5008" s="10" t="n">
        <v>0.303055507596582</v>
      </c>
      <c r="Q5008" s="0" t="str">
        <f aca="false">SUBSTITUTE(SUBSTITUTE($I5008,CHAR(61),""),CHAR(34),"")</f>
        <v>01-09</v>
      </c>
      <c r="R5008" s="0" t="str">
        <f aca="false">IF($D5008&lt;&gt;"","["&amp;$E5008&amp;"]"&amp;"|"&amp;$Q5008&amp;"|"&amp;$K5008&amp;"|"&amp;$G5008&amp;"|"&amp;IF($G5008="TX_CURR_SUBNAT.R","CY2022Q4",$M5008),"")</f>
        <v>[lLDyBx5XyUi]|01-09|Male|PLHIV_Residents.T|CY2024Q3</v>
      </c>
    </row>
    <row r="5009" customFormat="false" ht="15" hidden="false" customHeight="false" outlineLevel="0" collapsed="false">
      <c r="D5009" s="0" t="s">
        <v>75</v>
      </c>
      <c r="E5009" s="0" t="s">
        <v>76</v>
      </c>
      <c r="F5009" s="0" t="s">
        <v>77</v>
      </c>
      <c r="G5009" s="0" t="s">
        <v>165</v>
      </c>
      <c r="H5009" s="0" t="s">
        <v>166</v>
      </c>
      <c r="I5009" s="0" t="s">
        <v>36</v>
      </c>
      <c r="J5009" s="0" t="s">
        <v>37</v>
      </c>
      <c r="K5009" s="0" t="s">
        <v>48</v>
      </c>
      <c r="L5009" s="0" t="s">
        <v>49</v>
      </c>
      <c r="M5009" s="0" t="s">
        <v>167</v>
      </c>
      <c r="N5009" s="0" t="n">
        <v>1364</v>
      </c>
      <c r="O5009" s="10" t="n">
        <v>0.113916239701211</v>
      </c>
      <c r="P5009" s="10" t="n">
        <v>0.303055507596582</v>
      </c>
      <c r="Q5009" s="0" t="str">
        <f aca="false">SUBSTITUTE(SUBSTITUTE($I5009,CHAR(61),""),CHAR(34),"")</f>
        <v>10-14</v>
      </c>
      <c r="R5009" s="0" t="str">
        <f aca="false">IF($D5009&lt;&gt;"","["&amp;$E5009&amp;"]"&amp;"|"&amp;$Q5009&amp;"|"&amp;$K5009&amp;"|"&amp;$G5009&amp;"|"&amp;IF($G5009="TX_CURR_SUBNAT.R","CY2022Q4",$M5009),"")</f>
        <v>[lLDyBx5XyUi]|10-14|Male|PLHIV_Residents.T|CY2024Q3</v>
      </c>
    </row>
    <row r="5010" customFormat="false" ht="15" hidden="false" customHeight="false" outlineLevel="0" collapsed="false">
      <c r="D5010" s="0" t="s">
        <v>75</v>
      </c>
      <c r="E5010" s="0" t="s">
        <v>76</v>
      </c>
      <c r="F5010" s="0" t="s">
        <v>77</v>
      </c>
      <c r="G5010" s="0" t="s">
        <v>165</v>
      </c>
      <c r="H5010" s="0" t="s">
        <v>166</v>
      </c>
      <c r="I5010" s="0" t="s">
        <v>38</v>
      </c>
      <c r="J5010" s="0" t="s">
        <v>39</v>
      </c>
      <c r="K5010" s="0" t="s">
        <v>48</v>
      </c>
      <c r="L5010" s="0" t="s">
        <v>49</v>
      </c>
      <c r="M5010" s="0" t="s">
        <v>167</v>
      </c>
      <c r="N5010" s="0" t="n">
        <v>1833</v>
      </c>
      <c r="O5010" s="10" t="n">
        <v>0.914406989701092</v>
      </c>
      <c r="P5010" s="10" t="n">
        <v>0.303055507596582</v>
      </c>
      <c r="Q5010" s="0" t="str">
        <f aca="false">SUBSTITUTE(SUBSTITUTE($I5010,CHAR(61),""),CHAR(34),"")</f>
        <v>15-24</v>
      </c>
      <c r="R5010" s="0" t="str">
        <f aca="false">IF($D5010&lt;&gt;"","["&amp;$E5010&amp;"]"&amp;"|"&amp;$Q5010&amp;"|"&amp;$K5010&amp;"|"&amp;$G5010&amp;"|"&amp;IF($G5010="TX_CURR_SUBNAT.R","CY2022Q4",$M5010),"")</f>
        <v>[lLDyBx5XyUi]|15-24|Male|PLHIV_Residents.T|CY2024Q3</v>
      </c>
    </row>
    <row r="5011" customFormat="false" ht="15" hidden="false" customHeight="false" outlineLevel="0" collapsed="false">
      <c r="D5011" s="0" t="s">
        <v>75</v>
      </c>
      <c r="E5011" s="0" t="s">
        <v>76</v>
      </c>
      <c r="F5011" s="0" t="s">
        <v>77</v>
      </c>
      <c r="G5011" s="0" t="s">
        <v>165</v>
      </c>
      <c r="H5011" s="0" t="s">
        <v>166</v>
      </c>
      <c r="I5011" s="0" t="s">
        <v>41</v>
      </c>
      <c r="J5011" s="0" t="s">
        <v>42</v>
      </c>
      <c r="K5011" s="0" t="s">
        <v>48</v>
      </c>
      <c r="L5011" s="0" t="s">
        <v>49</v>
      </c>
      <c r="M5011" s="0" t="s">
        <v>167</v>
      </c>
      <c r="N5011" s="0" t="n">
        <v>1714</v>
      </c>
      <c r="O5011" s="10" t="n">
        <v>0.839096959913149</v>
      </c>
      <c r="P5011" s="10" t="n">
        <v>0.303055507596582</v>
      </c>
      <c r="Q5011" s="0" t="str">
        <f aca="false">SUBSTITUTE(SUBSTITUTE($I5011,CHAR(61),""),CHAR(34),"")</f>
        <v>25-34</v>
      </c>
      <c r="R5011" s="0" t="str">
        <f aca="false">IF($D5011&lt;&gt;"","["&amp;$E5011&amp;"]"&amp;"|"&amp;$Q5011&amp;"|"&amp;$K5011&amp;"|"&amp;$G5011&amp;"|"&amp;IF($G5011="TX_CURR_SUBNAT.R","CY2022Q4",$M5011),"")</f>
        <v>[lLDyBx5XyUi]|25-34|Male|PLHIV_Residents.T|CY2024Q3</v>
      </c>
    </row>
    <row r="5012" customFormat="false" ht="15" hidden="false" customHeight="false" outlineLevel="0" collapsed="false">
      <c r="D5012" s="0" t="s">
        <v>75</v>
      </c>
      <c r="E5012" s="0" t="s">
        <v>76</v>
      </c>
      <c r="F5012" s="0" t="s">
        <v>77</v>
      </c>
      <c r="G5012" s="0" t="s">
        <v>165</v>
      </c>
      <c r="H5012" s="0" t="s">
        <v>166</v>
      </c>
      <c r="I5012" s="0" t="s">
        <v>43</v>
      </c>
      <c r="J5012" s="0" t="s">
        <v>44</v>
      </c>
      <c r="K5012" s="0" t="s">
        <v>48</v>
      </c>
      <c r="L5012" s="0" t="s">
        <v>49</v>
      </c>
      <c r="M5012" s="0" t="s">
        <v>167</v>
      </c>
      <c r="N5012" s="0" t="n">
        <v>1997</v>
      </c>
      <c r="O5012" s="10" t="n">
        <v>0.0226376526989043</v>
      </c>
      <c r="P5012" s="10" t="n">
        <v>0.303055507596582</v>
      </c>
      <c r="Q5012" s="0" t="str">
        <f aca="false">SUBSTITUTE(SUBSTITUTE($I5012,CHAR(61),""),CHAR(34),"")</f>
        <v>35-49</v>
      </c>
      <c r="R5012" s="0" t="str">
        <f aca="false">IF($D5012&lt;&gt;"","["&amp;$E5012&amp;"]"&amp;"|"&amp;$Q5012&amp;"|"&amp;$K5012&amp;"|"&amp;$G5012&amp;"|"&amp;IF($G5012="TX_CURR_SUBNAT.R","CY2022Q4",$M5012),"")</f>
        <v>[lLDyBx5XyUi]|35-49|Male|PLHIV_Residents.T|CY2024Q3</v>
      </c>
    </row>
    <row r="5013" customFormat="false" ht="15" hidden="false" customHeight="false" outlineLevel="0" collapsed="false">
      <c r="D5013" s="0" t="s">
        <v>75</v>
      </c>
      <c r="E5013" s="0" t="s">
        <v>76</v>
      </c>
      <c r="F5013" s="0" t="s">
        <v>77</v>
      </c>
      <c r="G5013" s="0" t="s">
        <v>165</v>
      </c>
      <c r="H5013" s="0" t="s">
        <v>166</v>
      </c>
      <c r="I5013" s="0" t="s">
        <v>45</v>
      </c>
      <c r="J5013" s="0" t="s">
        <v>46</v>
      </c>
      <c r="K5013" s="0" t="s">
        <v>48</v>
      </c>
      <c r="L5013" s="0" t="s">
        <v>49</v>
      </c>
      <c r="M5013" s="0" t="s">
        <v>167</v>
      </c>
      <c r="N5013" s="0" t="n">
        <v>779</v>
      </c>
      <c r="O5013" s="10" t="n">
        <v>0.907921845791861</v>
      </c>
      <c r="P5013" s="10" t="n">
        <v>0.303055507596582</v>
      </c>
      <c r="Q5013" s="0" t="str">
        <f aca="false">SUBSTITUTE(SUBSTITUTE($I5013,CHAR(61),""),CHAR(34),"")</f>
        <v>50+</v>
      </c>
      <c r="R5013" s="0" t="str">
        <f aca="false">IF($D5013&lt;&gt;"","["&amp;$E5013&amp;"]"&amp;"|"&amp;$Q5013&amp;"|"&amp;$K5013&amp;"|"&amp;$G5013&amp;"|"&amp;IF($G5013="TX_CURR_SUBNAT.R","CY2022Q4",$M5013),"")</f>
        <v>[lLDyBx5XyUi]|50+|Male|PLHIV_Residents.T|CY2024Q3</v>
      </c>
    </row>
    <row r="5014" customFormat="false" ht="15" hidden="false" customHeight="false" outlineLevel="0" collapsed="false">
      <c r="D5014" s="0" t="s">
        <v>78</v>
      </c>
      <c r="E5014" s="0" t="s">
        <v>79</v>
      </c>
      <c r="F5014" s="0" t="s">
        <v>80</v>
      </c>
      <c r="G5014" s="0" t="s">
        <v>165</v>
      </c>
      <c r="H5014" s="0" t="s">
        <v>166</v>
      </c>
      <c r="I5014" s="0" t="s">
        <v>28</v>
      </c>
      <c r="J5014" s="0" t="s">
        <v>29</v>
      </c>
      <c r="K5014" s="0" t="s">
        <v>30</v>
      </c>
      <c r="L5014" s="0" t="s">
        <v>31</v>
      </c>
      <c r="M5014" s="0" t="s">
        <v>167</v>
      </c>
      <c r="N5014" s="0" t="n">
        <v>1127</v>
      </c>
      <c r="O5014" s="10" t="n">
        <v>0.852011628914624</v>
      </c>
      <c r="P5014" s="10" t="n">
        <v>0.831597982207313</v>
      </c>
      <c r="Q5014" s="0" t="str">
        <f aca="false">SUBSTITUTE(SUBSTITUTE($I5014,CHAR(61),""),CHAR(34),"")</f>
        <v>&lt;01</v>
      </c>
      <c r="R5014" s="0" t="str">
        <f aca="false">IF($D5014&lt;&gt;"","["&amp;$E5014&amp;"]"&amp;"|"&amp;$Q5014&amp;"|"&amp;$K5014&amp;"|"&amp;$G5014&amp;"|"&amp;IF($G5014="TX_CURR_SUBNAT.R","CY2022Q4",$M5014),"")</f>
        <v>[TYnMSwzko3z]|&lt;01|Female|PLHIV_Residents.T|CY2024Q3</v>
      </c>
    </row>
    <row r="5015" customFormat="false" ht="15" hidden="false" customHeight="false" outlineLevel="0" collapsed="false">
      <c r="D5015" s="0" t="s">
        <v>78</v>
      </c>
      <c r="E5015" s="0" t="s">
        <v>79</v>
      </c>
      <c r="F5015" s="0" t="s">
        <v>80</v>
      </c>
      <c r="G5015" s="0" t="s">
        <v>165</v>
      </c>
      <c r="H5015" s="0" t="s">
        <v>166</v>
      </c>
      <c r="I5015" s="0" t="s">
        <v>33</v>
      </c>
      <c r="J5015" s="0" t="s">
        <v>34</v>
      </c>
      <c r="K5015" s="0" t="s">
        <v>30</v>
      </c>
      <c r="L5015" s="0" t="s">
        <v>31</v>
      </c>
      <c r="M5015" s="0" t="s">
        <v>167</v>
      </c>
      <c r="N5015" s="0" t="n">
        <v>578</v>
      </c>
      <c r="O5015" s="10" t="n">
        <v>0.749807099578902</v>
      </c>
      <c r="P5015" s="10" t="n">
        <v>0.831597982207313</v>
      </c>
      <c r="Q5015" s="0" t="str">
        <f aca="false">SUBSTITUTE(SUBSTITUTE($I5015,CHAR(61),""),CHAR(34),"")</f>
        <v>01-09</v>
      </c>
      <c r="R5015" s="0" t="str">
        <f aca="false">IF($D5015&lt;&gt;"","["&amp;$E5015&amp;"]"&amp;"|"&amp;$Q5015&amp;"|"&amp;$K5015&amp;"|"&amp;$G5015&amp;"|"&amp;IF($G5015="TX_CURR_SUBNAT.R","CY2022Q4",$M5015),"")</f>
        <v>[TYnMSwzko3z]|01-09|Female|PLHIV_Residents.T|CY2024Q3</v>
      </c>
    </row>
    <row r="5016" customFormat="false" ht="15" hidden="false" customHeight="false" outlineLevel="0" collapsed="false">
      <c r="D5016" s="0" t="s">
        <v>78</v>
      </c>
      <c r="E5016" s="0" t="s">
        <v>79</v>
      </c>
      <c r="F5016" s="0" t="s">
        <v>80</v>
      </c>
      <c r="G5016" s="0" t="s">
        <v>165</v>
      </c>
      <c r="H5016" s="0" t="s">
        <v>166</v>
      </c>
      <c r="I5016" s="0" t="s">
        <v>36</v>
      </c>
      <c r="J5016" s="0" t="s">
        <v>37</v>
      </c>
      <c r="K5016" s="0" t="s">
        <v>30</v>
      </c>
      <c r="L5016" s="0" t="s">
        <v>31</v>
      </c>
      <c r="M5016" s="0" t="s">
        <v>167</v>
      </c>
      <c r="N5016" s="0" t="n">
        <v>505</v>
      </c>
      <c r="O5016" s="10" t="n">
        <v>0.413018241524696</v>
      </c>
      <c r="P5016" s="10" t="n">
        <v>0.831597982207313</v>
      </c>
      <c r="Q5016" s="0" t="str">
        <f aca="false">SUBSTITUTE(SUBSTITUTE($I5016,CHAR(61),""),CHAR(34),"")</f>
        <v>10-14</v>
      </c>
      <c r="R5016" s="0" t="str">
        <f aca="false">IF($D5016&lt;&gt;"","["&amp;$E5016&amp;"]"&amp;"|"&amp;$Q5016&amp;"|"&amp;$K5016&amp;"|"&amp;$G5016&amp;"|"&amp;IF($G5016="TX_CURR_SUBNAT.R","CY2022Q4",$M5016),"")</f>
        <v>[TYnMSwzko3z]|10-14|Female|PLHIV_Residents.T|CY2024Q3</v>
      </c>
    </row>
    <row r="5017" customFormat="false" ht="15" hidden="false" customHeight="false" outlineLevel="0" collapsed="false">
      <c r="D5017" s="0" t="s">
        <v>78</v>
      </c>
      <c r="E5017" s="0" t="s">
        <v>79</v>
      </c>
      <c r="F5017" s="0" t="s">
        <v>80</v>
      </c>
      <c r="G5017" s="0" t="s">
        <v>165</v>
      </c>
      <c r="H5017" s="0" t="s">
        <v>166</v>
      </c>
      <c r="I5017" s="0" t="s">
        <v>38</v>
      </c>
      <c r="J5017" s="0" t="s">
        <v>39</v>
      </c>
      <c r="K5017" s="0" t="s">
        <v>30</v>
      </c>
      <c r="L5017" s="0" t="s">
        <v>31</v>
      </c>
      <c r="M5017" s="0" t="s">
        <v>167</v>
      </c>
      <c r="N5017" s="0" t="n">
        <v>1332</v>
      </c>
      <c r="O5017" s="10" t="n">
        <v>0.531356390798464</v>
      </c>
      <c r="P5017" s="10" t="n">
        <v>0.831597982207313</v>
      </c>
      <c r="Q5017" s="0" t="str">
        <f aca="false">SUBSTITUTE(SUBSTITUTE($I5017,CHAR(61),""),CHAR(34),"")</f>
        <v>15-24</v>
      </c>
      <c r="R5017" s="0" t="str">
        <f aca="false">IF($D5017&lt;&gt;"","["&amp;$E5017&amp;"]"&amp;"|"&amp;$Q5017&amp;"|"&amp;$K5017&amp;"|"&amp;$G5017&amp;"|"&amp;IF($G5017="TX_CURR_SUBNAT.R","CY2022Q4",$M5017),"")</f>
        <v>[TYnMSwzko3z]|15-24|Female|PLHIV_Residents.T|CY2024Q3</v>
      </c>
    </row>
    <row r="5018" customFormat="false" ht="15" hidden="false" customHeight="false" outlineLevel="0" collapsed="false">
      <c r="D5018" s="0" t="s">
        <v>78</v>
      </c>
      <c r="E5018" s="0" t="s">
        <v>79</v>
      </c>
      <c r="F5018" s="0" t="s">
        <v>80</v>
      </c>
      <c r="G5018" s="0" t="s">
        <v>165</v>
      </c>
      <c r="H5018" s="0" t="s">
        <v>166</v>
      </c>
      <c r="I5018" s="0" t="s">
        <v>41</v>
      </c>
      <c r="J5018" s="0" t="s">
        <v>42</v>
      </c>
      <c r="K5018" s="0" t="s">
        <v>30</v>
      </c>
      <c r="L5018" s="0" t="s">
        <v>31</v>
      </c>
      <c r="M5018" s="0" t="s">
        <v>167</v>
      </c>
      <c r="N5018" s="0" t="n">
        <v>576</v>
      </c>
      <c r="O5018" s="10" t="n">
        <v>0.70968269999139</v>
      </c>
      <c r="P5018" s="10" t="n">
        <v>0.831597982207313</v>
      </c>
      <c r="Q5018" s="0" t="str">
        <f aca="false">SUBSTITUTE(SUBSTITUTE($I5018,CHAR(61),""),CHAR(34),"")</f>
        <v>25-34</v>
      </c>
      <c r="R5018" s="0" t="str">
        <f aca="false">IF($D5018&lt;&gt;"","["&amp;$E5018&amp;"]"&amp;"|"&amp;$Q5018&amp;"|"&amp;$K5018&amp;"|"&amp;$G5018&amp;"|"&amp;IF($G5018="TX_CURR_SUBNAT.R","CY2022Q4",$M5018),"")</f>
        <v>[TYnMSwzko3z]|25-34|Female|PLHIV_Residents.T|CY2024Q3</v>
      </c>
    </row>
    <row r="5019" customFormat="false" ht="15" hidden="false" customHeight="false" outlineLevel="0" collapsed="false">
      <c r="D5019" s="0" t="s">
        <v>78</v>
      </c>
      <c r="E5019" s="0" t="s">
        <v>79</v>
      </c>
      <c r="F5019" s="0" t="s">
        <v>80</v>
      </c>
      <c r="G5019" s="0" t="s">
        <v>165</v>
      </c>
      <c r="H5019" s="0" t="s">
        <v>166</v>
      </c>
      <c r="I5019" s="0" t="s">
        <v>43</v>
      </c>
      <c r="J5019" s="0" t="s">
        <v>44</v>
      </c>
      <c r="K5019" s="0" t="s">
        <v>30</v>
      </c>
      <c r="L5019" s="0" t="s">
        <v>31</v>
      </c>
      <c r="M5019" s="0" t="s">
        <v>167</v>
      </c>
      <c r="N5019" s="0" t="n">
        <v>789</v>
      </c>
      <c r="O5019" s="10" t="n">
        <v>0.273332292679697</v>
      </c>
      <c r="P5019" s="10" t="n">
        <v>0.831597982207313</v>
      </c>
      <c r="Q5019" s="0" t="str">
        <f aca="false">SUBSTITUTE(SUBSTITUTE($I5019,CHAR(61),""),CHAR(34),"")</f>
        <v>35-49</v>
      </c>
      <c r="R5019" s="0" t="str">
        <f aca="false">IF($D5019&lt;&gt;"","["&amp;$E5019&amp;"]"&amp;"|"&amp;$Q5019&amp;"|"&amp;$K5019&amp;"|"&amp;$G5019&amp;"|"&amp;IF($G5019="TX_CURR_SUBNAT.R","CY2022Q4",$M5019),"")</f>
        <v>[TYnMSwzko3z]|35-49|Female|PLHIV_Residents.T|CY2024Q3</v>
      </c>
    </row>
    <row r="5020" customFormat="false" ht="15" hidden="false" customHeight="false" outlineLevel="0" collapsed="false">
      <c r="D5020" s="0" t="s">
        <v>78</v>
      </c>
      <c r="E5020" s="0" t="s">
        <v>79</v>
      </c>
      <c r="F5020" s="0" t="s">
        <v>80</v>
      </c>
      <c r="G5020" s="0" t="s">
        <v>165</v>
      </c>
      <c r="H5020" s="0" t="s">
        <v>166</v>
      </c>
      <c r="I5020" s="0" t="s">
        <v>45</v>
      </c>
      <c r="J5020" s="0" t="s">
        <v>46</v>
      </c>
      <c r="K5020" s="0" t="s">
        <v>30</v>
      </c>
      <c r="L5020" s="0" t="s">
        <v>31</v>
      </c>
      <c r="M5020" s="0" t="s">
        <v>167</v>
      </c>
      <c r="N5020" s="0" t="n">
        <v>985</v>
      </c>
      <c r="O5020" s="10" t="n">
        <v>0.662762535968795</v>
      </c>
      <c r="P5020" s="10" t="n">
        <v>0.831597982207313</v>
      </c>
      <c r="Q5020" s="0" t="str">
        <f aca="false">SUBSTITUTE(SUBSTITUTE($I5020,CHAR(61),""),CHAR(34),"")</f>
        <v>50+</v>
      </c>
      <c r="R5020" s="0" t="str">
        <f aca="false">IF($D5020&lt;&gt;"","["&amp;$E5020&amp;"]"&amp;"|"&amp;$Q5020&amp;"|"&amp;$K5020&amp;"|"&amp;$G5020&amp;"|"&amp;IF($G5020="TX_CURR_SUBNAT.R","CY2022Q4",$M5020),"")</f>
        <v>[TYnMSwzko3z]|50+|Female|PLHIV_Residents.T|CY2024Q3</v>
      </c>
    </row>
    <row r="5021" customFormat="false" ht="15" hidden="false" customHeight="false" outlineLevel="0" collapsed="false">
      <c r="D5021" s="0" t="s">
        <v>78</v>
      </c>
      <c r="E5021" s="0" t="s">
        <v>79</v>
      </c>
      <c r="F5021" s="0" t="s">
        <v>80</v>
      </c>
      <c r="G5021" s="0" t="s">
        <v>165</v>
      </c>
      <c r="H5021" s="0" t="s">
        <v>166</v>
      </c>
      <c r="I5021" s="0" t="s">
        <v>28</v>
      </c>
      <c r="J5021" s="0" t="s">
        <v>29</v>
      </c>
      <c r="K5021" s="0" t="s">
        <v>48</v>
      </c>
      <c r="L5021" s="0" t="s">
        <v>49</v>
      </c>
      <c r="M5021" s="0" t="s">
        <v>167</v>
      </c>
      <c r="N5021" s="0" t="n">
        <v>1631</v>
      </c>
      <c r="O5021" s="10" t="n">
        <v>0.612919492181391</v>
      </c>
      <c r="P5021" s="10" t="n">
        <v>0.831597982207313</v>
      </c>
      <c r="Q5021" s="0" t="str">
        <f aca="false">SUBSTITUTE(SUBSTITUTE($I5021,CHAR(61),""),CHAR(34),"")</f>
        <v>&lt;01</v>
      </c>
      <c r="R5021" s="0" t="str">
        <f aca="false">IF($D5021&lt;&gt;"","["&amp;$E5021&amp;"]"&amp;"|"&amp;$Q5021&amp;"|"&amp;$K5021&amp;"|"&amp;$G5021&amp;"|"&amp;IF($G5021="TX_CURR_SUBNAT.R","CY2022Q4",$M5021),"")</f>
        <v>[TYnMSwzko3z]|&lt;01|Male|PLHIV_Residents.T|CY2024Q3</v>
      </c>
    </row>
    <row r="5022" customFormat="false" ht="15" hidden="false" customHeight="false" outlineLevel="0" collapsed="false">
      <c r="D5022" s="0" t="s">
        <v>78</v>
      </c>
      <c r="E5022" s="0" t="s">
        <v>79</v>
      </c>
      <c r="F5022" s="0" t="s">
        <v>80</v>
      </c>
      <c r="G5022" s="0" t="s">
        <v>165</v>
      </c>
      <c r="H5022" s="0" t="s">
        <v>166</v>
      </c>
      <c r="I5022" s="0" t="s">
        <v>33</v>
      </c>
      <c r="J5022" s="0" t="s">
        <v>34</v>
      </c>
      <c r="K5022" s="0" t="s">
        <v>48</v>
      </c>
      <c r="L5022" s="0" t="s">
        <v>49</v>
      </c>
      <c r="M5022" s="0" t="s">
        <v>167</v>
      </c>
      <c r="N5022" s="0" t="n">
        <v>1775</v>
      </c>
      <c r="O5022" s="10" t="n">
        <v>0.866868378827348</v>
      </c>
      <c r="P5022" s="10" t="n">
        <v>0.831597982207313</v>
      </c>
      <c r="Q5022" s="0" t="str">
        <f aca="false">SUBSTITUTE(SUBSTITUTE($I5022,CHAR(61),""),CHAR(34),"")</f>
        <v>01-09</v>
      </c>
      <c r="R5022" s="0" t="str">
        <f aca="false">IF($D5022&lt;&gt;"","["&amp;$E5022&amp;"]"&amp;"|"&amp;$Q5022&amp;"|"&amp;$K5022&amp;"|"&amp;$G5022&amp;"|"&amp;IF($G5022="TX_CURR_SUBNAT.R","CY2022Q4",$M5022),"")</f>
        <v>[TYnMSwzko3z]|01-09|Male|PLHIV_Residents.T|CY2024Q3</v>
      </c>
    </row>
    <row r="5023" customFormat="false" ht="15" hidden="false" customHeight="false" outlineLevel="0" collapsed="false">
      <c r="D5023" s="0" t="s">
        <v>78</v>
      </c>
      <c r="E5023" s="0" t="s">
        <v>79</v>
      </c>
      <c r="F5023" s="0" t="s">
        <v>80</v>
      </c>
      <c r="G5023" s="0" t="s">
        <v>165</v>
      </c>
      <c r="H5023" s="0" t="s">
        <v>166</v>
      </c>
      <c r="I5023" s="0" t="s">
        <v>36</v>
      </c>
      <c r="J5023" s="0" t="s">
        <v>37</v>
      </c>
      <c r="K5023" s="0" t="s">
        <v>48</v>
      </c>
      <c r="L5023" s="0" t="s">
        <v>49</v>
      </c>
      <c r="M5023" s="0" t="s">
        <v>167</v>
      </c>
      <c r="N5023" s="0" t="n">
        <v>1404</v>
      </c>
      <c r="O5023" s="10" t="n">
        <v>0.310496801044792</v>
      </c>
      <c r="P5023" s="10" t="n">
        <v>0.831597982207313</v>
      </c>
      <c r="Q5023" s="0" t="str">
        <f aca="false">SUBSTITUTE(SUBSTITUTE($I5023,CHAR(61),""),CHAR(34),"")</f>
        <v>10-14</v>
      </c>
      <c r="R5023" s="0" t="str">
        <f aca="false">IF($D5023&lt;&gt;"","["&amp;$E5023&amp;"]"&amp;"|"&amp;$Q5023&amp;"|"&amp;$K5023&amp;"|"&amp;$G5023&amp;"|"&amp;IF($G5023="TX_CURR_SUBNAT.R","CY2022Q4",$M5023),"")</f>
        <v>[TYnMSwzko3z]|10-14|Male|PLHIV_Residents.T|CY2024Q3</v>
      </c>
    </row>
    <row r="5024" customFormat="false" ht="15" hidden="false" customHeight="false" outlineLevel="0" collapsed="false">
      <c r="D5024" s="0" t="s">
        <v>78</v>
      </c>
      <c r="E5024" s="0" t="s">
        <v>79</v>
      </c>
      <c r="F5024" s="0" t="s">
        <v>80</v>
      </c>
      <c r="G5024" s="0" t="s">
        <v>165</v>
      </c>
      <c r="H5024" s="0" t="s">
        <v>166</v>
      </c>
      <c r="I5024" s="0" t="s">
        <v>38</v>
      </c>
      <c r="J5024" s="0" t="s">
        <v>39</v>
      </c>
      <c r="K5024" s="0" t="s">
        <v>48</v>
      </c>
      <c r="L5024" s="0" t="s">
        <v>49</v>
      </c>
      <c r="M5024" s="0" t="s">
        <v>167</v>
      </c>
      <c r="N5024" s="0" t="n">
        <v>672</v>
      </c>
      <c r="O5024" s="10" t="n">
        <v>0.578582759480923</v>
      </c>
      <c r="P5024" s="10" t="n">
        <v>0.831597982207313</v>
      </c>
      <c r="Q5024" s="0" t="str">
        <f aca="false">SUBSTITUTE(SUBSTITUTE($I5024,CHAR(61),""),CHAR(34),"")</f>
        <v>15-24</v>
      </c>
      <c r="R5024" s="0" t="str">
        <f aca="false">IF($D5024&lt;&gt;"","["&amp;$E5024&amp;"]"&amp;"|"&amp;$Q5024&amp;"|"&amp;$K5024&amp;"|"&amp;$G5024&amp;"|"&amp;IF($G5024="TX_CURR_SUBNAT.R","CY2022Q4",$M5024),"")</f>
        <v>[TYnMSwzko3z]|15-24|Male|PLHIV_Residents.T|CY2024Q3</v>
      </c>
    </row>
    <row r="5025" customFormat="false" ht="15" hidden="false" customHeight="false" outlineLevel="0" collapsed="false">
      <c r="D5025" s="0" t="s">
        <v>78</v>
      </c>
      <c r="E5025" s="0" t="s">
        <v>79</v>
      </c>
      <c r="F5025" s="0" t="s">
        <v>80</v>
      </c>
      <c r="G5025" s="0" t="s">
        <v>165</v>
      </c>
      <c r="H5025" s="0" t="s">
        <v>166</v>
      </c>
      <c r="I5025" s="0" t="s">
        <v>41</v>
      </c>
      <c r="J5025" s="0" t="s">
        <v>42</v>
      </c>
      <c r="K5025" s="0" t="s">
        <v>48</v>
      </c>
      <c r="L5025" s="0" t="s">
        <v>49</v>
      </c>
      <c r="M5025" s="0" t="s">
        <v>167</v>
      </c>
      <c r="N5025" s="0" t="n">
        <v>1247</v>
      </c>
      <c r="O5025" s="10" t="n">
        <v>0.0722393011674285</v>
      </c>
      <c r="P5025" s="10" t="n">
        <v>0.831597982207313</v>
      </c>
      <c r="Q5025" s="0" t="str">
        <f aca="false">SUBSTITUTE(SUBSTITUTE($I5025,CHAR(61),""),CHAR(34),"")</f>
        <v>25-34</v>
      </c>
      <c r="R5025" s="0" t="str">
        <f aca="false">IF($D5025&lt;&gt;"","["&amp;$E5025&amp;"]"&amp;"|"&amp;$Q5025&amp;"|"&amp;$K5025&amp;"|"&amp;$G5025&amp;"|"&amp;IF($G5025="TX_CURR_SUBNAT.R","CY2022Q4",$M5025),"")</f>
        <v>[TYnMSwzko3z]|25-34|Male|PLHIV_Residents.T|CY2024Q3</v>
      </c>
    </row>
    <row r="5026" customFormat="false" ht="15" hidden="false" customHeight="false" outlineLevel="0" collapsed="false">
      <c r="D5026" s="0" t="s">
        <v>78</v>
      </c>
      <c r="E5026" s="0" t="s">
        <v>79</v>
      </c>
      <c r="F5026" s="0" t="s">
        <v>80</v>
      </c>
      <c r="G5026" s="0" t="s">
        <v>165</v>
      </c>
      <c r="H5026" s="0" t="s">
        <v>166</v>
      </c>
      <c r="I5026" s="0" t="s">
        <v>43</v>
      </c>
      <c r="J5026" s="0" t="s">
        <v>44</v>
      </c>
      <c r="K5026" s="0" t="s">
        <v>48</v>
      </c>
      <c r="L5026" s="0" t="s">
        <v>49</v>
      </c>
      <c r="M5026" s="0" t="s">
        <v>167</v>
      </c>
      <c r="N5026" s="0" t="n">
        <v>1126</v>
      </c>
      <c r="O5026" s="10" t="n">
        <v>0.783166303997859</v>
      </c>
      <c r="P5026" s="10" t="n">
        <v>0.831597982207313</v>
      </c>
      <c r="Q5026" s="0" t="str">
        <f aca="false">SUBSTITUTE(SUBSTITUTE($I5026,CHAR(61),""),CHAR(34),"")</f>
        <v>35-49</v>
      </c>
      <c r="R5026" s="0" t="str">
        <f aca="false">IF($D5026&lt;&gt;"","["&amp;$E5026&amp;"]"&amp;"|"&amp;$Q5026&amp;"|"&amp;$K5026&amp;"|"&amp;$G5026&amp;"|"&amp;IF($G5026="TX_CURR_SUBNAT.R","CY2022Q4",$M5026),"")</f>
        <v>[TYnMSwzko3z]|35-49|Male|PLHIV_Residents.T|CY2024Q3</v>
      </c>
    </row>
    <row r="5027" customFormat="false" ht="15" hidden="false" customHeight="false" outlineLevel="0" collapsed="false">
      <c r="D5027" s="0" t="s">
        <v>78</v>
      </c>
      <c r="E5027" s="0" t="s">
        <v>79</v>
      </c>
      <c r="F5027" s="0" t="s">
        <v>80</v>
      </c>
      <c r="G5027" s="0" t="s">
        <v>165</v>
      </c>
      <c r="H5027" s="0" t="s">
        <v>166</v>
      </c>
      <c r="I5027" s="0" t="s">
        <v>45</v>
      </c>
      <c r="J5027" s="0" t="s">
        <v>46</v>
      </c>
      <c r="K5027" s="0" t="s">
        <v>48</v>
      </c>
      <c r="L5027" s="0" t="s">
        <v>49</v>
      </c>
      <c r="M5027" s="0" t="s">
        <v>167</v>
      </c>
      <c r="N5027" s="0" t="n">
        <v>976</v>
      </c>
      <c r="O5027" s="10" t="n">
        <v>0.771766835590824</v>
      </c>
      <c r="P5027" s="10" t="n">
        <v>0.831597982207313</v>
      </c>
      <c r="Q5027" s="0" t="str">
        <f aca="false">SUBSTITUTE(SUBSTITUTE($I5027,CHAR(61),""),CHAR(34),"")</f>
        <v>50+</v>
      </c>
      <c r="R5027" s="0" t="str">
        <f aca="false">IF($D5027&lt;&gt;"","["&amp;$E5027&amp;"]"&amp;"|"&amp;$Q5027&amp;"|"&amp;$K5027&amp;"|"&amp;$G5027&amp;"|"&amp;IF($G5027="TX_CURR_SUBNAT.R","CY2022Q4",$M5027),"")</f>
        <v>[TYnMSwzko3z]|50+|Male|PLHIV_Residents.T|CY2024Q3</v>
      </c>
    </row>
    <row r="5028" customFormat="false" ht="15" hidden="false" customHeight="false" outlineLevel="0" collapsed="false">
      <c r="D5028" s="0" t="s">
        <v>81</v>
      </c>
      <c r="E5028" s="0" t="s">
        <v>82</v>
      </c>
      <c r="F5028" s="0" t="s">
        <v>83</v>
      </c>
      <c r="G5028" s="0" t="s">
        <v>165</v>
      </c>
      <c r="H5028" s="0" t="s">
        <v>166</v>
      </c>
      <c r="I5028" s="0" t="s">
        <v>28</v>
      </c>
      <c r="J5028" s="0" t="s">
        <v>29</v>
      </c>
      <c r="K5028" s="0" t="s">
        <v>30</v>
      </c>
      <c r="L5028" s="0" t="s">
        <v>31</v>
      </c>
      <c r="M5028" s="0" t="s">
        <v>167</v>
      </c>
      <c r="N5028" s="0" t="n">
        <v>612</v>
      </c>
      <c r="O5028" s="10" t="n">
        <v>0.727728313067928</v>
      </c>
      <c r="P5028" s="10" t="n">
        <v>0.143331421539187</v>
      </c>
      <c r="Q5028" s="0" t="str">
        <f aca="false">SUBSTITUTE(SUBSTITUTE($I5028,CHAR(61),""),CHAR(34),"")</f>
        <v>&lt;01</v>
      </c>
      <c r="R5028" s="0" t="str">
        <f aca="false">IF($D5028&lt;&gt;"","["&amp;$E5028&amp;"]"&amp;"|"&amp;$Q5028&amp;"|"&amp;$K5028&amp;"|"&amp;$G5028&amp;"|"&amp;IF($G5028="TX_CURR_SUBNAT.R","CY2022Q4",$M5028),"")</f>
        <v>[ir8wuHHzoSs]|&lt;01|Female|PLHIV_Residents.T|CY2024Q3</v>
      </c>
    </row>
    <row r="5029" customFormat="false" ht="15" hidden="false" customHeight="false" outlineLevel="0" collapsed="false">
      <c r="D5029" s="0" t="s">
        <v>81</v>
      </c>
      <c r="E5029" s="0" t="s">
        <v>82</v>
      </c>
      <c r="F5029" s="0" t="s">
        <v>83</v>
      </c>
      <c r="G5029" s="0" t="s">
        <v>165</v>
      </c>
      <c r="H5029" s="0" t="s">
        <v>166</v>
      </c>
      <c r="I5029" s="0" t="s">
        <v>33</v>
      </c>
      <c r="J5029" s="0" t="s">
        <v>34</v>
      </c>
      <c r="K5029" s="0" t="s">
        <v>30</v>
      </c>
      <c r="L5029" s="0" t="s">
        <v>31</v>
      </c>
      <c r="M5029" s="0" t="s">
        <v>167</v>
      </c>
      <c r="N5029" s="0" t="n">
        <v>1960</v>
      </c>
      <c r="O5029" s="10" t="n">
        <v>0.182444155449048</v>
      </c>
      <c r="P5029" s="10" t="n">
        <v>0.143331421539187</v>
      </c>
      <c r="Q5029" s="0" t="str">
        <f aca="false">SUBSTITUTE(SUBSTITUTE($I5029,CHAR(61),""),CHAR(34),"")</f>
        <v>01-09</v>
      </c>
      <c r="R5029" s="0" t="str">
        <f aca="false">IF($D5029&lt;&gt;"","["&amp;$E5029&amp;"]"&amp;"|"&amp;$Q5029&amp;"|"&amp;$K5029&amp;"|"&amp;$G5029&amp;"|"&amp;IF($G5029="TX_CURR_SUBNAT.R","CY2022Q4",$M5029),"")</f>
        <v>[ir8wuHHzoSs]|01-09|Female|PLHIV_Residents.T|CY2024Q3</v>
      </c>
    </row>
    <row r="5030" customFormat="false" ht="15" hidden="false" customHeight="false" outlineLevel="0" collapsed="false">
      <c r="D5030" s="0" t="s">
        <v>81</v>
      </c>
      <c r="E5030" s="0" t="s">
        <v>82</v>
      </c>
      <c r="F5030" s="0" t="s">
        <v>83</v>
      </c>
      <c r="G5030" s="0" t="s">
        <v>165</v>
      </c>
      <c r="H5030" s="0" t="s">
        <v>166</v>
      </c>
      <c r="I5030" s="0" t="s">
        <v>36</v>
      </c>
      <c r="J5030" s="0" t="s">
        <v>37</v>
      </c>
      <c r="K5030" s="0" t="s">
        <v>30</v>
      </c>
      <c r="L5030" s="0" t="s">
        <v>31</v>
      </c>
      <c r="M5030" s="0" t="s">
        <v>167</v>
      </c>
      <c r="N5030" s="0" t="n">
        <v>742</v>
      </c>
      <c r="O5030" s="10" t="n">
        <v>0.0557895735837519</v>
      </c>
      <c r="P5030" s="10" t="n">
        <v>0.143331421539187</v>
      </c>
      <c r="Q5030" s="0" t="str">
        <f aca="false">SUBSTITUTE(SUBSTITUTE($I5030,CHAR(61),""),CHAR(34),"")</f>
        <v>10-14</v>
      </c>
      <c r="R5030" s="0" t="str">
        <f aca="false">IF($D5030&lt;&gt;"","["&amp;$E5030&amp;"]"&amp;"|"&amp;$Q5030&amp;"|"&amp;$K5030&amp;"|"&amp;$G5030&amp;"|"&amp;IF($G5030="TX_CURR_SUBNAT.R","CY2022Q4",$M5030),"")</f>
        <v>[ir8wuHHzoSs]|10-14|Female|PLHIV_Residents.T|CY2024Q3</v>
      </c>
    </row>
    <row r="5031" customFormat="false" ht="15" hidden="false" customHeight="false" outlineLevel="0" collapsed="false">
      <c r="D5031" s="0" t="s">
        <v>81</v>
      </c>
      <c r="E5031" s="0" t="s">
        <v>82</v>
      </c>
      <c r="F5031" s="0" t="s">
        <v>83</v>
      </c>
      <c r="G5031" s="0" t="s">
        <v>165</v>
      </c>
      <c r="H5031" s="0" t="s">
        <v>166</v>
      </c>
      <c r="I5031" s="0" t="s">
        <v>38</v>
      </c>
      <c r="J5031" s="0" t="s">
        <v>39</v>
      </c>
      <c r="K5031" s="0" t="s">
        <v>30</v>
      </c>
      <c r="L5031" s="0" t="s">
        <v>31</v>
      </c>
      <c r="M5031" s="0" t="s">
        <v>167</v>
      </c>
      <c r="N5031" s="0" t="n">
        <v>1249</v>
      </c>
      <c r="O5031" s="10" t="n">
        <v>0.682462270604447</v>
      </c>
      <c r="P5031" s="10" t="n">
        <v>0.143331421539187</v>
      </c>
      <c r="Q5031" s="0" t="str">
        <f aca="false">SUBSTITUTE(SUBSTITUTE($I5031,CHAR(61),""),CHAR(34),"")</f>
        <v>15-24</v>
      </c>
      <c r="R5031" s="0" t="str">
        <f aca="false">IF($D5031&lt;&gt;"","["&amp;$E5031&amp;"]"&amp;"|"&amp;$Q5031&amp;"|"&amp;$K5031&amp;"|"&amp;$G5031&amp;"|"&amp;IF($G5031="TX_CURR_SUBNAT.R","CY2022Q4",$M5031),"")</f>
        <v>[ir8wuHHzoSs]|15-24|Female|PLHIV_Residents.T|CY2024Q3</v>
      </c>
    </row>
    <row r="5032" customFormat="false" ht="15" hidden="false" customHeight="false" outlineLevel="0" collapsed="false">
      <c r="D5032" s="0" t="s">
        <v>81</v>
      </c>
      <c r="E5032" s="0" t="s">
        <v>82</v>
      </c>
      <c r="F5032" s="0" t="s">
        <v>83</v>
      </c>
      <c r="G5032" s="0" t="s">
        <v>165</v>
      </c>
      <c r="H5032" s="0" t="s">
        <v>166</v>
      </c>
      <c r="I5032" s="0" t="s">
        <v>41</v>
      </c>
      <c r="J5032" s="0" t="s">
        <v>42</v>
      </c>
      <c r="K5032" s="0" t="s">
        <v>30</v>
      </c>
      <c r="L5032" s="0" t="s">
        <v>31</v>
      </c>
      <c r="M5032" s="0" t="s">
        <v>167</v>
      </c>
      <c r="N5032" s="0" t="n">
        <v>981</v>
      </c>
      <c r="O5032" s="10" t="n">
        <v>0.194741959450766</v>
      </c>
      <c r="P5032" s="10" t="n">
        <v>0.143331421539187</v>
      </c>
      <c r="Q5032" s="0" t="str">
        <f aca="false">SUBSTITUTE(SUBSTITUTE($I5032,CHAR(61),""),CHAR(34),"")</f>
        <v>25-34</v>
      </c>
      <c r="R5032" s="0" t="str">
        <f aca="false">IF($D5032&lt;&gt;"","["&amp;$E5032&amp;"]"&amp;"|"&amp;$Q5032&amp;"|"&amp;$K5032&amp;"|"&amp;$G5032&amp;"|"&amp;IF($G5032="TX_CURR_SUBNAT.R","CY2022Q4",$M5032),"")</f>
        <v>[ir8wuHHzoSs]|25-34|Female|PLHIV_Residents.T|CY2024Q3</v>
      </c>
    </row>
    <row r="5033" customFormat="false" ht="15" hidden="false" customHeight="false" outlineLevel="0" collapsed="false">
      <c r="D5033" s="0" t="s">
        <v>81</v>
      </c>
      <c r="E5033" s="0" t="s">
        <v>82</v>
      </c>
      <c r="F5033" s="0" t="s">
        <v>83</v>
      </c>
      <c r="G5033" s="0" t="s">
        <v>165</v>
      </c>
      <c r="H5033" s="0" t="s">
        <v>166</v>
      </c>
      <c r="I5033" s="0" t="s">
        <v>43</v>
      </c>
      <c r="J5033" s="0" t="s">
        <v>44</v>
      </c>
      <c r="K5033" s="0" t="s">
        <v>30</v>
      </c>
      <c r="L5033" s="0" t="s">
        <v>31</v>
      </c>
      <c r="M5033" s="0" t="s">
        <v>167</v>
      </c>
      <c r="N5033" s="0" t="n">
        <v>1619</v>
      </c>
      <c r="O5033" s="10" t="n">
        <v>0.503146259114146</v>
      </c>
      <c r="P5033" s="10" t="n">
        <v>0.143331421539187</v>
      </c>
      <c r="Q5033" s="0" t="str">
        <f aca="false">SUBSTITUTE(SUBSTITUTE($I5033,CHAR(61),""),CHAR(34),"")</f>
        <v>35-49</v>
      </c>
      <c r="R5033" s="0" t="str">
        <f aca="false">IF($D5033&lt;&gt;"","["&amp;$E5033&amp;"]"&amp;"|"&amp;$Q5033&amp;"|"&amp;$K5033&amp;"|"&amp;$G5033&amp;"|"&amp;IF($G5033="TX_CURR_SUBNAT.R","CY2022Q4",$M5033),"")</f>
        <v>[ir8wuHHzoSs]|35-49|Female|PLHIV_Residents.T|CY2024Q3</v>
      </c>
    </row>
    <row r="5034" customFormat="false" ht="15" hidden="false" customHeight="false" outlineLevel="0" collapsed="false">
      <c r="D5034" s="0" t="s">
        <v>81</v>
      </c>
      <c r="E5034" s="0" t="s">
        <v>82</v>
      </c>
      <c r="F5034" s="0" t="s">
        <v>83</v>
      </c>
      <c r="G5034" s="0" t="s">
        <v>165</v>
      </c>
      <c r="H5034" s="0" t="s">
        <v>166</v>
      </c>
      <c r="I5034" s="0" t="s">
        <v>45</v>
      </c>
      <c r="J5034" s="0" t="s">
        <v>46</v>
      </c>
      <c r="K5034" s="0" t="s">
        <v>30</v>
      </c>
      <c r="L5034" s="0" t="s">
        <v>31</v>
      </c>
      <c r="M5034" s="0" t="s">
        <v>167</v>
      </c>
      <c r="N5034" s="0" t="n">
        <v>1182</v>
      </c>
      <c r="O5034" s="10" t="n">
        <v>0.16312529030256</v>
      </c>
      <c r="P5034" s="10" t="n">
        <v>0.143331421539187</v>
      </c>
      <c r="Q5034" s="0" t="str">
        <f aca="false">SUBSTITUTE(SUBSTITUTE($I5034,CHAR(61),""),CHAR(34),"")</f>
        <v>50+</v>
      </c>
      <c r="R5034" s="0" t="str">
        <f aca="false">IF($D5034&lt;&gt;"","["&amp;$E5034&amp;"]"&amp;"|"&amp;$Q5034&amp;"|"&amp;$K5034&amp;"|"&amp;$G5034&amp;"|"&amp;IF($G5034="TX_CURR_SUBNAT.R","CY2022Q4",$M5034),"")</f>
        <v>[ir8wuHHzoSs]|50+|Female|PLHIV_Residents.T|CY2024Q3</v>
      </c>
    </row>
    <row r="5035" customFormat="false" ht="15" hidden="false" customHeight="false" outlineLevel="0" collapsed="false">
      <c r="D5035" s="0" t="s">
        <v>81</v>
      </c>
      <c r="E5035" s="0" t="s">
        <v>82</v>
      </c>
      <c r="F5035" s="0" t="s">
        <v>83</v>
      </c>
      <c r="G5035" s="0" t="s">
        <v>165</v>
      </c>
      <c r="H5035" s="0" t="s">
        <v>166</v>
      </c>
      <c r="I5035" s="0" t="s">
        <v>28</v>
      </c>
      <c r="J5035" s="0" t="s">
        <v>29</v>
      </c>
      <c r="K5035" s="0" t="s">
        <v>48</v>
      </c>
      <c r="L5035" s="0" t="s">
        <v>49</v>
      </c>
      <c r="M5035" s="0" t="s">
        <v>167</v>
      </c>
      <c r="N5035" s="0" t="n">
        <v>1524</v>
      </c>
      <c r="O5035" s="10" t="n">
        <v>0.446808306733146</v>
      </c>
      <c r="P5035" s="10" t="n">
        <v>0.143331421539187</v>
      </c>
      <c r="Q5035" s="0" t="str">
        <f aca="false">SUBSTITUTE(SUBSTITUTE($I5035,CHAR(61),""),CHAR(34),"")</f>
        <v>&lt;01</v>
      </c>
      <c r="R5035" s="0" t="str">
        <f aca="false">IF($D5035&lt;&gt;"","["&amp;$E5035&amp;"]"&amp;"|"&amp;$Q5035&amp;"|"&amp;$K5035&amp;"|"&amp;$G5035&amp;"|"&amp;IF($G5035="TX_CURR_SUBNAT.R","CY2022Q4",$M5035),"")</f>
        <v>[ir8wuHHzoSs]|&lt;01|Male|PLHIV_Residents.T|CY2024Q3</v>
      </c>
    </row>
    <row r="5036" customFormat="false" ht="15" hidden="false" customHeight="false" outlineLevel="0" collapsed="false">
      <c r="D5036" s="0" t="s">
        <v>81</v>
      </c>
      <c r="E5036" s="0" t="s">
        <v>82</v>
      </c>
      <c r="F5036" s="0" t="s">
        <v>83</v>
      </c>
      <c r="G5036" s="0" t="s">
        <v>165</v>
      </c>
      <c r="H5036" s="0" t="s">
        <v>166</v>
      </c>
      <c r="I5036" s="0" t="s">
        <v>33</v>
      </c>
      <c r="J5036" s="0" t="s">
        <v>34</v>
      </c>
      <c r="K5036" s="0" t="s">
        <v>48</v>
      </c>
      <c r="L5036" s="0" t="s">
        <v>49</v>
      </c>
      <c r="M5036" s="0" t="s">
        <v>167</v>
      </c>
      <c r="N5036" s="0" t="n">
        <v>1139</v>
      </c>
      <c r="O5036" s="10" t="n">
        <v>0.312385329743847</v>
      </c>
      <c r="P5036" s="10" t="n">
        <v>0.143331421539187</v>
      </c>
      <c r="Q5036" s="0" t="str">
        <f aca="false">SUBSTITUTE(SUBSTITUTE($I5036,CHAR(61),""),CHAR(34),"")</f>
        <v>01-09</v>
      </c>
      <c r="R5036" s="0" t="str">
        <f aca="false">IF($D5036&lt;&gt;"","["&amp;$E5036&amp;"]"&amp;"|"&amp;$Q5036&amp;"|"&amp;$K5036&amp;"|"&amp;$G5036&amp;"|"&amp;IF($G5036="TX_CURR_SUBNAT.R","CY2022Q4",$M5036),"")</f>
        <v>[ir8wuHHzoSs]|01-09|Male|PLHIV_Residents.T|CY2024Q3</v>
      </c>
    </row>
    <row r="5037" customFormat="false" ht="15" hidden="false" customHeight="false" outlineLevel="0" collapsed="false">
      <c r="D5037" s="0" t="s">
        <v>81</v>
      </c>
      <c r="E5037" s="0" t="s">
        <v>82</v>
      </c>
      <c r="F5037" s="0" t="s">
        <v>83</v>
      </c>
      <c r="G5037" s="0" t="s">
        <v>165</v>
      </c>
      <c r="H5037" s="0" t="s">
        <v>166</v>
      </c>
      <c r="I5037" s="0" t="s">
        <v>36</v>
      </c>
      <c r="J5037" s="0" t="s">
        <v>37</v>
      </c>
      <c r="K5037" s="0" t="s">
        <v>48</v>
      </c>
      <c r="L5037" s="0" t="s">
        <v>49</v>
      </c>
      <c r="M5037" s="0" t="s">
        <v>167</v>
      </c>
      <c r="N5037" s="0" t="n">
        <v>1997</v>
      </c>
      <c r="O5037" s="10" t="n">
        <v>0.545437210472301</v>
      </c>
      <c r="P5037" s="10" t="n">
        <v>0.143331421539187</v>
      </c>
      <c r="Q5037" s="0" t="str">
        <f aca="false">SUBSTITUTE(SUBSTITUTE($I5037,CHAR(61),""),CHAR(34),"")</f>
        <v>10-14</v>
      </c>
      <c r="R5037" s="0" t="str">
        <f aca="false">IF($D5037&lt;&gt;"","["&amp;$E5037&amp;"]"&amp;"|"&amp;$Q5037&amp;"|"&amp;$K5037&amp;"|"&amp;$G5037&amp;"|"&amp;IF($G5037="TX_CURR_SUBNAT.R","CY2022Q4",$M5037),"")</f>
        <v>[ir8wuHHzoSs]|10-14|Male|PLHIV_Residents.T|CY2024Q3</v>
      </c>
    </row>
    <row r="5038" customFormat="false" ht="15" hidden="false" customHeight="false" outlineLevel="0" collapsed="false">
      <c r="D5038" s="0" t="s">
        <v>81</v>
      </c>
      <c r="E5038" s="0" t="s">
        <v>82</v>
      </c>
      <c r="F5038" s="0" t="s">
        <v>83</v>
      </c>
      <c r="G5038" s="0" t="s">
        <v>165</v>
      </c>
      <c r="H5038" s="0" t="s">
        <v>166</v>
      </c>
      <c r="I5038" s="0" t="s">
        <v>38</v>
      </c>
      <c r="J5038" s="0" t="s">
        <v>39</v>
      </c>
      <c r="K5038" s="0" t="s">
        <v>48</v>
      </c>
      <c r="L5038" s="0" t="s">
        <v>49</v>
      </c>
      <c r="M5038" s="0" t="s">
        <v>167</v>
      </c>
      <c r="N5038" s="0" t="n">
        <v>963</v>
      </c>
      <c r="O5038" s="10" t="n">
        <v>0.455740422941744</v>
      </c>
      <c r="P5038" s="10" t="n">
        <v>0.143331421539187</v>
      </c>
      <c r="Q5038" s="0" t="str">
        <f aca="false">SUBSTITUTE(SUBSTITUTE($I5038,CHAR(61),""),CHAR(34),"")</f>
        <v>15-24</v>
      </c>
      <c r="R5038" s="0" t="str">
        <f aca="false">IF($D5038&lt;&gt;"","["&amp;$E5038&amp;"]"&amp;"|"&amp;$Q5038&amp;"|"&amp;$K5038&amp;"|"&amp;$G5038&amp;"|"&amp;IF($G5038="TX_CURR_SUBNAT.R","CY2022Q4",$M5038),"")</f>
        <v>[ir8wuHHzoSs]|15-24|Male|PLHIV_Residents.T|CY2024Q3</v>
      </c>
    </row>
    <row r="5039" customFormat="false" ht="15" hidden="false" customHeight="false" outlineLevel="0" collapsed="false">
      <c r="D5039" s="0" t="s">
        <v>81</v>
      </c>
      <c r="E5039" s="0" t="s">
        <v>82</v>
      </c>
      <c r="F5039" s="0" t="s">
        <v>83</v>
      </c>
      <c r="G5039" s="0" t="s">
        <v>165</v>
      </c>
      <c r="H5039" s="0" t="s">
        <v>166</v>
      </c>
      <c r="I5039" s="0" t="s">
        <v>41</v>
      </c>
      <c r="J5039" s="0" t="s">
        <v>42</v>
      </c>
      <c r="K5039" s="0" t="s">
        <v>48</v>
      </c>
      <c r="L5039" s="0" t="s">
        <v>49</v>
      </c>
      <c r="M5039" s="0" t="s">
        <v>167</v>
      </c>
      <c r="N5039" s="0" t="n">
        <v>1189</v>
      </c>
      <c r="O5039" s="10" t="n">
        <v>0.48964500753209</v>
      </c>
      <c r="P5039" s="10" t="n">
        <v>0.143331421539187</v>
      </c>
      <c r="Q5039" s="0" t="str">
        <f aca="false">SUBSTITUTE(SUBSTITUTE($I5039,CHAR(61),""),CHAR(34),"")</f>
        <v>25-34</v>
      </c>
      <c r="R5039" s="0" t="str">
        <f aca="false">IF($D5039&lt;&gt;"","["&amp;$E5039&amp;"]"&amp;"|"&amp;$Q5039&amp;"|"&amp;$K5039&amp;"|"&amp;$G5039&amp;"|"&amp;IF($G5039="TX_CURR_SUBNAT.R","CY2022Q4",$M5039),"")</f>
        <v>[ir8wuHHzoSs]|25-34|Male|PLHIV_Residents.T|CY2024Q3</v>
      </c>
    </row>
    <row r="5040" customFormat="false" ht="15" hidden="false" customHeight="false" outlineLevel="0" collapsed="false">
      <c r="D5040" s="0" t="s">
        <v>81</v>
      </c>
      <c r="E5040" s="0" t="s">
        <v>82</v>
      </c>
      <c r="F5040" s="0" t="s">
        <v>83</v>
      </c>
      <c r="G5040" s="0" t="s">
        <v>165</v>
      </c>
      <c r="H5040" s="0" t="s">
        <v>166</v>
      </c>
      <c r="I5040" s="0" t="s">
        <v>43</v>
      </c>
      <c r="J5040" s="0" t="s">
        <v>44</v>
      </c>
      <c r="K5040" s="0" t="s">
        <v>48</v>
      </c>
      <c r="L5040" s="0" t="s">
        <v>49</v>
      </c>
      <c r="M5040" s="0" t="s">
        <v>167</v>
      </c>
      <c r="N5040" s="0" t="n">
        <v>1927</v>
      </c>
      <c r="O5040" s="10" t="n">
        <v>0.109200124396011</v>
      </c>
      <c r="P5040" s="10" t="n">
        <v>0.143331421539187</v>
      </c>
      <c r="Q5040" s="0" t="str">
        <f aca="false">SUBSTITUTE(SUBSTITUTE($I5040,CHAR(61),""),CHAR(34),"")</f>
        <v>35-49</v>
      </c>
      <c r="R5040" s="0" t="str">
        <f aca="false">IF($D5040&lt;&gt;"","["&amp;$E5040&amp;"]"&amp;"|"&amp;$Q5040&amp;"|"&amp;$K5040&amp;"|"&amp;$G5040&amp;"|"&amp;IF($G5040="TX_CURR_SUBNAT.R","CY2022Q4",$M5040),"")</f>
        <v>[ir8wuHHzoSs]|35-49|Male|PLHIV_Residents.T|CY2024Q3</v>
      </c>
    </row>
    <row r="5041" customFormat="false" ht="15" hidden="false" customHeight="false" outlineLevel="0" collapsed="false">
      <c r="D5041" s="0" t="s">
        <v>81</v>
      </c>
      <c r="E5041" s="0" t="s">
        <v>82</v>
      </c>
      <c r="F5041" s="0" t="s">
        <v>83</v>
      </c>
      <c r="G5041" s="0" t="s">
        <v>165</v>
      </c>
      <c r="H5041" s="0" t="s">
        <v>166</v>
      </c>
      <c r="I5041" s="0" t="s">
        <v>45</v>
      </c>
      <c r="J5041" s="0" t="s">
        <v>46</v>
      </c>
      <c r="K5041" s="0" t="s">
        <v>48</v>
      </c>
      <c r="L5041" s="0" t="s">
        <v>49</v>
      </c>
      <c r="M5041" s="0" t="s">
        <v>167</v>
      </c>
      <c r="N5041" s="0" t="n">
        <v>907</v>
      </c>
      <c r="O5041" s="10" t="n">
        <v>0.637554226908833</v>
      </c>
      <c r="P5041" s="10" t="n">
        <v>0.143331421539187</v>
      </c>
      <c r="Q5041" s="0" t="str">
        <f aca="false">SUBSTITUTE(SUBSTITUTE($I5041,CHAR(61),""),CHAR(34),"")</f>
        <v>50+</v>
      </c>
      <c r="R5041" s="0" t="str">
        <f aca="false">IF($D5041&lt;&gt;"","["&amp;$E5041&amp;"]"&amp;"|"&amp;$Q5041&amp;"|"&amp;$K5041&amp;"|"&amp;$G5041&amp;"|"&amp;IF($G5041="TX_CURR_SUBNAT.R","CY2022Q4",$M5041),"")</f>
        <v>[ir8wuHHzoSs]|50+|Male|PLHIV_Residents.T|CY2024Q3</v>
      </c>
    </row>
    <row r="5042" customFormat="false" ht="15" hidden="false" customHeight="false" outlineLevel="0" collapsed="false">
      <c r="D5042" s="0" t="s">
        <v>84</v>
      </c>
      <c r="E5042" s="0" t="s">
        <v>85</v>
      </c>
      <c r="F5042" s="0" t="s">
        <v>86</v>
      </c>
      <c r="G5042" s="0" t="s">
        <v>165</v>
      </c>
      <c r="H5042" s="0" t="s">
        <v>166</v>
      </c>
      <c r="I5042" s="0" t="s">
        <v>28</v>
      </c>
      <c r="J5042" s="0" t="s">
        <v>29</v>
      </c>
      <c r="K5042" s="0" t="s">
        <v>30</v>
      </c>
      <c r="L5042" s="0" t="s">
        <v>31</v>
      </c>
      <c r="M5042" s="0" t="s">
        <v>167</v>
      </c>
      <c r="N5042" s="0" t="n">
        <v>1749</v>
      </c>
      <c r="O5042" s="10" t="n">
        <v>0.275239435490221</v>
      </c>
      <c r="P5042" s="10" t="n">
        <v>0.0297887143678963</v>
      </c>
      <c r="Q5042" s="0" t="str">
        <f aca="false">SUBSTITUTE(SUBSTITUTE($I5042,CHAR(61),""),CHAR(34),"")</f>
        <v>&lt;01</v>
      </c>
      <c r="R5042" s="0" t="str">
        <f aca="false">IF($D5042&lt;&gt;"","["&amp;$E5042&amp;"]"&amp;"|"&amp;$Q5042&amp;"|"&amp;$K5042&amp;"|"&amp;$G5042&amp;"|"&amp;IF($G5042="TX_CURR_SUBNAT.R","CY2022Q4",$M5042),"")</f>
        <v>[fyEoGEPERdI]|&lt;01|Female|PLHIV_Residents.T|CY2024Q3</v>
      </c>
    </row>
    <row r="5043" customFormat="false" ht="15" hidden="false" customHeight="false" outlineLevel="0" collapsed="false">
      <c r="D5043" s="0" t="s">
        <v>84</v>
      </c>
      <c r="E5043" s="0" t="s">
        <v>85</v>
      </c>
      <c r="F5043" s="0" t="s">
        <v>86</v>
      </c>
      <c r="G5043" s="0" t="s">
        <v>165</v>
      </c>
      <c r="H5043" s="0" t="s">
        <v>166</v>
      </c>
      <c r="I5043" s="0" t="s">
        <v>33</v>
      </c>
      <c r="J5043" s="0" t="s">
        <v>34</v>
      </c>
      <c r="K5043" s="0" t="s">
        <v>30</v>
      </c>
      <c r="L5043" s="0" t="s">
        <v>31</v>
      </c>
      <c r="M5043" s="0" t="s">
        <v>167</v>
      </c>
      <c r="N5043" s="0" t="n">
        <v>1264</v>
      </c>
      <c r="O5043" s="10" t="n">
        <v>0.808885856065899</v>
      </c>
      <c r="P5043" s="10" t="n">
        <v>0.0297887143678963</v>
      </c>
      <c r="Q5043" s="0" t="str">
        <f aca="false">SUBSTITUTE(SUBSTITUTE($I5043,CHAR(61),""),CHAR(34),"")</f>
        <v>01-09</v>
      </c>
      <c r="R5043" s="0" t="str">
        <f aca="false">IF($D5043&lt;&gt;"","["&amp;$E5043&amp;"]"&amp;"|"&amp;$Q5043&amp;"|"&amp;$K5043&amp;"|"&amp;$G5043&amp;"|"&amp;IF($G5043="TX_CURR_SUBNAT.R","CY2022Q4",$M5043),"")</f>
        <v>[fyEoGEPERdI]|01-09|Female|PLHIV_Residents.T|CY2024Q3</v>
      </c>
    </row>
    <row r="5044" customFormat="false" ht="15" hidden="false" customHeight="false" outlineLevel="0" collapsed="false">
      <c r="D5044" s="0" t="s">
        <v>84</v>
      </c>
      <c r="E5044" s="0" t="s">
        <v>85</v>
      </c>
      <c r="F5044" s="0" t="s">
        <v>86</v>
      </c>
      <c r="G5044" s="0" t="s">
        <v>165</v>
      </c>
      <c r="H5044" s="0" t="s">
        <v>166</v>
      </c>
      <c r="I5044" s="0" t="s">
        <v>36</v>
      </c>
      <c r="J5044" s="0" t="s">
        <v>37</v>
      </c>
      <c r="K5044" s="0" t="s">
        <v>30</v>
      </c>
      <c r="L5044" s="0" t="s">
        <v>31</v>
      </c>
      <c r="M5044" s="0" t="s">
        <v>167</v>
      </c>
      <c r="N5044" s="0" t="n">
        <v>1265</v>
      </c>
      <c r="O5044" s="10" t="n">
        <v>0.0453661438077688</v>
      </c>
      <c r="P5044" s="10" t="n">
        <v>0.0297887143678963</v>
      </c>
      <c r="Q5044" s="0" t="str">
        <f aca="false">SUBSTITUTE(SUBSTITUTE($I5044,CHAR(61),""),CHAR(34),"")</f>
        <v>10-14</v>
      </c>
      <c r="R5044" s="0" t="str">
        <f aca="false">IF($D5044&lt;&gt;"","["&amp;$E5044&amp;"]"&amp;"|"&amp;$Q5044&amp;"|"&amp;$K5044&amp;"|"&amp;$G5044&amp;"|"&amp;IF($G5044="TX_CURR_SUBNAT.R","CY2022Q4",$M5044),"")</f>
        <v>[fyEoGEPERdI]|10-14|Female|PLHIV_Residents.T|CY2024Q3</v>
      </c>
    </row>
    <row r="5045" customFormat="false" ht="15" hidden="false" customHeight="false" outlineLevel="0" collapsed="false">
      <c r="D5045" s="0" t="s">
        <v>84</v>
      </c>
      <c r="E5045" s="0" t="s">
        <v>85</v>
      </c>
      <c r="F5045" s="0" t="s">
        <v>86</v>
      </c>
      <c r="G5045" s="0" t="s">
        <v>165</v>
      </c>
      <c r="H5045" s="0" t="s">
        <v>166</v>
      </c>
      <c r="I5045" s="0" t="s">
        <v>38</v>
      </c>
      <c r="J5045" s="0" t="s">
        <v>39</v>
      </c>
      <c r="K5045" s="0" t="s">
        <v>30</v>
      </c>
      <c r="L5045" s="0" t="s">
        <v>31</v>
      </c>
      <c r="M5045" s="0" t="s">
        <v>167</v>
      </c>
      <c r="N5045" s="0" t="n">
        <v>1858</v>
      </c>
      <c r="O5045" s="10" t="n">
        <v>0.703346470138058</v>
      </c>
      <c r="P5045" s="10" t="n">
        <v>0.0297887143678963</v>
      </c>
      <c r="Q5045" s="0" t="str">
        <f aca="false">SUBSTITUTE(SUBSTITUTE($I5045,CHAR(61),""),CHAR(34),"")</f>
        <v>15-24</v>
      </c>
      <c r="R5045" s="0" t="str">
        <f aca="false">IF($D5045&lt;&gt;"","["&amp;$E5045&amp;"]"&amp;"|"&amp;$Q5045&amp;"|"&amp;$K5045&amp;"|"&amp;$G5045&amp;"|"&amp;IF($G5045="TX_CURR_SUBNAT.R","CY2022Q4",$M5045),"")</f>
        <v>[fyEoGEPERdI]|15-24|Female|PLHIV_Residents.T|CY2024Q3</v>
      </c>
    </row>
    <row r="5046" customFormat="false" ht="15" hidden="false" customHeight="false" outlineLevel="0" collapsed="false">
      <c r="D5046" s="0" t="s">
        <v>84</v>
      </c>
      <c r="E5046" s="0" t="s">
        <v>85</v>
      </c>
      <c r="F5046" s="0" t="s">
        <v>86</v>
      </c>
      <c r="G5046" s="0" t="s">
        <v>165</v>
      </c>
      <c r="H5046" s="0" t="s">
        <v>166</v>
      </c>
      <c r="I5046" s="0" t="s">
        <v>41</v>
      </c>
      <c r="J5046" s="0" t="s">
        <v>42</v>
      </c>
      <c r="K5046" s="0" t="s">
        <v>30</v>
      </c>
      <c r="L5046" s="0" t="s">
        <v>31</v>
      </c>
      <c r="M5046" s="0" t="s">
        <v>167</v>
      </c>
      <c r="N5046" s="0" t="n">
        <v>1888</v>
      </c>
      <c r="O5046" s="10" t="n">
        <v>0.328514273278415</v>
      </c>
      <c r="P5046" s="10" t="n">
        <v>0.0297887143678963</v>
      </c>
      <c r="Q5046" s="0" t="str">
        <f aca="false">SUBSTITUTE(SUBSTITUTE($I5046,CHAR(61),""),CHAR(34),"")</f>
        <v>25-34</v>
      </c>
      <c r="R5046" s="0" t="str">
        <f aca="false">IF($D5046&lt;&gt;"","["&amp;$E5046&amp;"]"&amp;"|"&amp;$Q5046&amp;"|"&amp;$K5046&amp;"|"&amp;$G5046&amp;"|"&amp;IF($G5046="TX_CURR_SUBNAT.R","CY2022Q4",$M5046),"")</f>
        <v>[fyEoGEPERdI]|25-34|Female|PLHIV_Residents.T|CY2024Q3</v>
      </c>
    </row>
    <row r="5047" customFormat="false" ht="15" hidden="false" customHeight="false" outlineLevel="0" collapsed="false">
      <c r="D5047" s="0" t="s">
        <v>84</v>
      </c>
      <c r="E5047" s="0" t="s">
        <v>85</v>
      </c>
      <c r="F5047" s="0" t="s">
        <v>86</v>
      </c>
      <c r="G5047" s="0" t="s">
        <v>165</v>
      </c>
      <c r="H5047" s="0" t="s">
        <v>166</v>
      </c>
      <c r="I5047" s="0" t="s">
        <v>43</v>
      </c>
      <c r="J5047" s="0" t="s">
        <v>44</v>
      </c>
      <c r="K5047" s="0" t="s">
        <v>30</v>
      </c>
      <c r="L5047" s="0" t="s">
        <v>31</v>
      </c>
      <c r="M5047" s="0" t="s">
        <v>167</v>
      </c>
      <c r="N5047" s="0" t="n">
        <v>507</v>
      </c>
      <c r="O5047" s="10" t="n">
        <v>0.365997217129916</v>
      </c>
      <c r="P5047" s="10" t="n">
        <v>0.0297887143678963</v>
      </c>
      <c r="Q5047" s="0" t="str">
        <f aca="false">SUBSTITUTE(SUBSTITUTE($I5047,CHAR(61),""),CHAR(34),"")</f>
        <v>35-49</v>
      </c>
      <c r="R5047" s="0" t="str">
        <f aca="false">IF($D5047&lt;&gt;"","["&amp;$E5047&amp;"]"&amp;"|"&amp;$Q5047&amp;"|"&amp;$K5047&amp;"|"&amp;$G5047&amp;"|"&amp;IF($G5047="TX_CURR_SUBNAT.R","CY2022Q4",$M5047),"")</f>
        <v>[fyEoGEPERdI]|35-49|Female|PLHIV_Residents.T|CY2024Q3</v>
      </c>
    </row>
    <row r="5048" customFormat="false" ht="15" hidden="false" customHeight="false" outlineLevel="0" collapsed="false">
      <c r="D5048" s="0" t="s">
        <v>84</v>
      </c>
      <c r="E5048" s="0" t="s">
        <v>85</v>
      </c>
      <c r="F5048" s="0" t="s">
        <v>86</v>
      </c>
      <c r="G5048" s="0" t="s">
        <v>165</v>
      </c>
      <c r="H5048" s="0" t="s">
        <v>166</v>
      </c>
      <c r="I5048" s="0" t="s">
        <v>45</v>
      </c>
      <c r="J5048" s="0" t="s">
        <v>46</v>
      </c>
      <c r="K5048" s="0" t="s">
        <v>30</v>
      </c>
      <c r="L5048" s="0" t="s">
        <v>31</v>
      </c>
      <c r="M5048" s="0" t="s">
        <v>167</v>
      </c>
      <c r="N5048" s="0" t="n">
        <v>1403</v>
      </c>
      <c r="O5048" s="10" t="n">
        <v>0.153915193164721</v>
      </c>
      <c r="P5048" s="10" t="n">
        <v>0.0297887143678963</v>
      </c>
      <c r="Q5048" s="0" t="str">
        <f aca="false">SUBSTITUTE(SUBSTITUTE($I5048,CHAR(61),""),CHAR(34),"")</f>
        <v>50+</v>
      </c>
      <c r="R5048" s="0" t="str">
        <f aca="false">IF($D5048&lt;&gt;"","["&amp;$E5048&amp;"]"&amp;"|"&amp;$Q5048&amp;"|"&amp;$K5048&amp;"|"&amp;$G5048&amp;"|"&amp;IF($G5048="TX_CURR_SUBNAT.R","CY2022Q4",$M5048),"")</f>
        <v>[fyEoGEPERdI]|50+|Female|PLHIV_Residents.T|CY2024Q3</v>
      </c>
    </row>
    <row r="5049" customFormat="false" ht="15" hidden="false" customHeight="false" outlineLevel="0" collapsed="false">
      <c r="D5049" s="0" t="s">
        <v>84</v>
      </c>
      <c r="E5049" s="0" t="s">
        <v>85</v>
      </c>
      <c r="F5049" s="0" t="s">
        <v>86</v>
      </c>
      <c r="G5049" s="0" t="s">
        <v>165</v>
      </c>
      <c r="H5049" s="0" t="s">
        <v>166</v>
      </c>
      <c r="I5049" s="0" t="s">
        <v>28</v>
      </c>
      <c r="J5049" s="0" t="s">
        <v>29</v>
      </c>
      <c r="K5049" s="0" t="s">
        <v>48</v>
      </c>
      <c r="L5049" s="0" t="s">
        <v>49</v>
      </c>
      <c r="M5049" s="0" t="s">
        <v>167</v>
      </c>
      <c r="N5049" s="0" t="n">
        <v>994</v>
      </c>
      <c r="O5049" s="10" t="n">
        <v>0.3072821253445</v>
      </c>
      <c r="P5049" s="10" t="n">
        <v>0.0297887143678963</v>
      </c>
      <c r="Q5049" s="0" t="str">
        <f aca="false">SUBSTITUTE(SUBSTITUTE($I5049,CHAR(61),""),CHAR(34),"")</f>
        <v>&lt;01</v>
      </c>
      <c r="R5049" s="0" t="str">
        <f aca="false">IF($D5049&lt;&gt;"","["&amp;$E5049&amp;"]"&amp;"|"&amp;$Q5049&amp;"|"&amp;$K5049&amp;"|"&amp;$G5049&amp;"|"&amp;IF($G5049="TX_CURR_SUBNAT.R","CY2022Q4",$M5049),"")</f>
        <v>[fyEoGEPERdI]|&lt;01|Male|PLHIV_Residents.T|CY2024Q3</v>
      </c>
    </row>
    <row r="5050" customFormat="false" ht="15" hidden="false" customHeight="false" outlineLevel="0" collapsed="false">
      <c r="D5050" s="0" t="s">
        <v>84</v>
      </c>
      <c r="E5050" s="0" t="s">
        <v>85</v>
      </c>
      <c r="F5050" s="0" t="s">
        <v>86</v>
      </c>
      <c r="G5050" s="0" t="s">
        <v>165</v>
      </c>
      <c r="H5050" s="0" t="s">
        <v>166</v>
      </c>
      <c r="I5050" s="0" t="s">
        <v>33</v>
      </c>
      <c r="J5050" s="0" t="s">
        <v>34</v>
      </c>
      <c r="K5050" s="0" t="s">
        <v>48</v>
      </c>
      <c r="L5050" s="0" t="s">
        <v>49</v>
      </c>
      <c r="M5050" s="0" t="s">
        <v>167</v>
      </c>
      <c r="N5050" s="0" t="n">
        <v>1473</v>
      </c>
      <c r="O5050" s="10" t="n">
        <v>0.961097346851602</v>
      </c>
      <c r="P5050" s="10" t="n">
        <v>0.0297887143678963</v>
      </c>
      <c r="Q5050" s="0" t="str">
        <f aca="false">SUBSTITUTE(SUBSTITUTE($I5050,CHAR(61),""),CHAR(34),"")</f>
        <v>01-09</v>
      </c>
      <c r="R5050" s="0" t="str">
        <f aca="false">IF($D5050&lt;&gt;"","["&amp;$E5050&amp;"]"&amp;"|"&amp;$Q5050&amp;"|"&amp;$K5050&amp;"|"&amp;$G5050&amp;"|"&amp;IF($G5050="TX_CURR_SUBNAT.R","CY2022Q4",$M5050),"")</f>
        <v>[fyEoGEPERdI]|01-09|Male|PLHIV_Residents.T|CY2024Q3</v>
      </c>
    </row>
    <row r="5051" customFormat="false" ht="15" hidden="false" customHeight="false" outlineLevel="0" collapsed="false">
      <c r="D5051" s="0" t="s">
        <v>84</v>
      </c>
      <c r="E5051" s="0" t="s">
        <v>85</v>
      </c>
      <c r="F5051" s="0" t="s">
        <v>86</v>
      </c>
      <c r="G5051" s="0" t="s">
        <v>165</v>
      </c>
      <c r="H5051" s="0" t="s">
        <v>166</v>
      </c>
      <c r="I5051" s="0" t="s">
        <v>36</v>
      </c>
      <c r="J5051" s="0" t="s">
        <v>37</v>
      </c>
      <c r="K5051" s="0" t="s">
        <v>48</v>
      </c>
      <c r="L5051" s="0" t="s">
        <v>49</v>
      </c>
      <c r="M5051" s="0" t="s">
        <v>167</v>
      </c>
      <c r="N5051" s="0" t="n">
        <v>931</v>
      </c>
      <c r="O5051" s="10" t="n">
        <v>0.835522268200293</v>
      </c>
      <c r="P5051" s="10" t="n">
        <v>0.0297887143678963</v>
      </c>
      <c r="Q5051" s="0" t="str">
        <f aca="false">SUBSTITUTE(SUBSTITUTE($I5051,CHAR(61),""),CHAR(34),"")</f>
        <v>10-14</v>
      </c>
      <c r="R5051" s="0" t="str">
        <f aca="false">IF($D5051&lt;&gt;"","["&amp;$E5051&amp;"]"&amp;"|"&amp;$Q5051&amp;"|"&amp;$K5051&amp;"|"&amp;$G5051&amp;"|"&amp;IF($G5051="TX_CURR_SUBNAT.R","CY2022Q4",$M5051),"")</f>
        <v>[fyEoGEPERdI]|10-14|Male|PLHIV_Residents.T|CY2024Q3</v>
      </c>
    </row>
    <row r="5052" customFormat="false" ht="15" hidden="false" customHeight="false" outlineLevel="0" collapsed="false">
      <c r="D5052" s="0" t="s">
        <v>84</v>
      </c>
      <c r="E5052" s="0" t="s">
        <v>85</v>
      </c>
      <c r="F5052" s="0" t="s">
        <v>86</v>
      </c>
      <c r="G5052" s="0" t="s">
        <v>165</v>
      </c>
      <c r="H5052" s="0" t="s">
        <v>166</v>
      </c>
      <c r="I5052" s="0" t="s">
        <v>38</v>
      </c>
      <c r="J5052" s="0" t="s">
        <v>39</v>
      </c>
      <c r="K5052" s="0" t="s">
        <v>48</v>
      </c>
      <c r="L5052" s="0" t="s">
        <v>49</v>
      </c>
      <c r="M5052" s="0" t="s">
        <v>167</v>
      </c>
      <c r="N5052" s="0" t="n">
        <v>732</v>
      </c>
      <c r="O5052" s="10" t="n">
        <v>0.0108745747711509</v>
      </c>
      <c r="P5052" s="10" t="n">
        <v>0.0297887143678963</v>
      </c>
      <c r="Q5052" s="0" t="str">
        <f aca="false">SUBSTITUTE(SUBSTITUTE($I5052,CHAR(61),""),CHAR(34),"")</f>
        <v>15-24</v>
      </c>
      <c r="R5052" s="0" t="str">
        <f aca="false">IF($D5052&lt;&gt;"","["&amp;$E5052&amp;"]"&amp;"|"&amp;$Q5052&amp;"|"&amp;$K5052&amp;"|"&amp;$G5052&amp;"|"&amp;IF($G5052="TX_CURR_SUBNAT.R","CY2022Q4",$M5052),"")</f>
        <v>[fyEoGEPERdI]|15-24|Male|PLHIV_Residents.T|CY2024Q3</v>
      </c>
    </row>
    <row r="5053" customFormat="false" ht="15" hidden="false" customHeight="false" outlineLevel="0" collapsed="false">
      <c r="D5053" s="0" t="s">
        <v>84</v>
      </c>
      <c r="E5053" s="0" t="s">
        <v>85</v>
      </c>
      <c r="F5053" s="0" t="s">
        <v>86</v>
      </c>
      <c r="G5053" s="0" t="s">
        <v>165</v>
      </c>
      <c r="H5053" s="0" t="s">
        <v>166</v>
      </c>
      <c r="I5053" s="0" t="s">
        <v>41</v>
      </c>
      <c r="J5053" s="0" t="s">
        <v>42</v>
      </c>
      <c r="K5053" s="0" t="s">
        <v>48</v>
      </c>
      <c r="L5053" s="0" t="s">
        <v>49</v>
      </c>
      <c r="M5053" s="0" t="s">
        <v>167</v>
      </c>
      <c r="N5053" s="0" t="n">
        <v>597</v>
      </c>
      <c r="O5053" s="10" t="n">
        <v>0.491108778864145</v>
      </c>
      <c r="P5053" s="10" t="n">
        <v>0.0297887143678963</v>
      </c>
      <c r="Q5053" s="0" t="str">
        <f aca="false">SUBSTITUTE(SUBSTITUTE($I5053,CHAR(61),""),CHAR(34),"")</f>
        <v>25-34</v>
      </c>
      <c r="R5053" s="0" t="str">
        <f aca="false">IF($D5053&lt;&gt;"","["&amp;$E5053&amp;"]"&amp;"|"&amp;$Q5053&amp;"|"&amp;$K5053&amp;"|"&amp;$G5053&amp;"|"&amp;IF($G5053="TX_CURR_SUBNAT.R","CY2022Q4",$M5053),"")</f>
        <v>[fyEoGEPERdI]|25-34|Male|PLHIV_Residents.T|CY2024Q3</v>
      </c>
    </row>
    <row r="5054" customFormat="false" ht="15" hidden="false" customHeight="false" outlineLevel="0" collapsed="false">
      <c r="D5054" s="0" t="s">
        <v>84</v>
      </c>
      <c r="E5054" s="0" t="s">
        <v>85</v>
      </c>
      <c r="F5054" s="0" t="s">
        <v>86</v>
      </c>
      <c r="G5054" s="0" t="s">
        <v>165</v>
      </c>
      <c r="H5054" s="0" t="s">
        <v>166</v>
      </c>
      <c r="I5054" s="0" t="s">
        <v>43</v>
      </c>
      <c r="J5054" s="0" t="s">
        <v>44</v>
      </c>
      <c r="K5054" s="0" t="s">
        <v>48</v>
      </c>
      <c r="L5054" s="0" t="s">
        <v>49</v>
      </c>
      <c r="M5054" s="0" t="s">
        <v>167</v>
      </c>
      <c r="N5054" s="0" t="n">
        <v>1301</v>
      </c>
      <c r="O5054" s="10" t="n">
        <v>0.994140709051862</v>
      </c>
      <c r="P5054" s="10" t="n">
        <v>0.0297887143678963</v>
      </c>
      <c r="Q5054" s="0" t="str">
        <f aca="false">SUBSTITUTE(SUBSTITUTE($I5054,CHAR(61),""),CHAR(34),"")</f>
        <v>35-49</v>
      </c>
      <c r="R5054" s="0" t="str">
        <f aca="false">IF($D5054&lt;&gt;"","["&amp;$E5054&amp;"]"&amp;"|"&amp;$Q5054&amp;"|"&amp;$K5054&amp;"|"&amp;$G5054&amp;"|"&amp;IF($G5054="TX_CURR_SUBNAT.R","CY2022Q4",$M5054),"")</f>
        <v>[fyEoGEPERdI]|35-49|Male|PLHIV_Residents.T|CY2024Q3</v>
      </c>
    </row>
    <row r="5055" customFormat="false" ht="15" hidden="false" customHeight="false" outlineLevel="0" collapsed="false">
      <c r="D5055" s="0" t="s">
        <v>84</v>
      </c>
      <c r="E5055" s="0" t="s">
        <v>85</v>
      </c>
      <c r="F5055" s="0" t="s">
        <v>86</v>
      </c>
      <c r="G5055" s="0" t="s">
        <v>165</v>
      </c>
      <c r="H5055" s="0" t="s">
        <v>166</v>
      </c>
      <c r="I5055" s="0" t="s">
        <v>45</v>
      </c>
      <c r="J5055" s="0" t="s">
        <v>46</v>
      </c>
      <c r="K5055" s="0" t="s">
        <v>48</v>
      </c>
      <c r="L5055" s="0" t="s">
        <v>49</v>
      </c>
      <c r="M5055" s="0" t="s">
        <v>167</v>
      </c>
      <c r="N5055" s="0" t="n">
        <v>1380</v>
      </c>
      <c r="O5055" s="10" t="n">
        <v>0.8720650493633</v>
      </c>
      <c r="P5055" s="10" t="n">
        <v>0.0297887143678963</v>
      </c>
      <c r="Q5055" s="0" t="str">
        <f aca="false">SUBSTITUTE(SUBSTITUTE($I5055,CHAR(61),""),CHAR(34),"")</f>
        <v>50+</v>
      </c>
      <c r="R5055" s="0" t="str">
        <f aca="false">IF($D5055&lt;&gt;"","["&amp;$E5055&amp;"]"&amp;"|"&amp;$Q5055&amp;"|"&amp;$K5055&amp;"|"&amp;$G5055&amp;"|"&amp;IF($G5055="TX_CURR_SUBNAT.R","CY2022Q4",$M5055),"")</f>
        <v>[fyEoGEPERdI]|50+|Male|PLHIV_Residents.T|CY2024Q3</v>
      </c>
    </row>
    <row r="5056" customFormat="false" ht="15" hidden="false" customHeight="false" outlineLevel="0" collapsed="false">
      <c r="D5056" s="0" t="s">
        <v>87</v>
      </c>
      <c r="E5056" s="0" t="s">
        <v>88</v>
      </c>
      <c r="F5056" s="0" t="s">
        <v>89</v>
      </c>
      <c r="G5056" s="0" t="s">
        <v>165</v>
      </c>
      <c r="H5056" s="0" t="s">
        <v>166</v>
      </c>
      <c r="I5056" s="0" t="s">
        <v>28</v>
      </c>
      <c r="J5056" s="0" t="s">
        <v>29</v>
      </c>
      <c r="K5056" s="0" t="s">
        <v>30</v>
      </c>
      <c r="L5056" s="0" t="s">
        <v>31</v>
      </c>
      <c r="M5056" s="0" t="s">
        <v>167</v>
      </c>
      <c r="N5056" s="0" t="n">
        <v>1877</v>
      </c>
      <c r="O5056" s="10" t="n">
        <v>0.325385568197817</v>
      </c>
      <c r="P5056" s="10" t="n">
        <v>0.133336380822584</v>
      </c>
      <c r="Q5056" s="0" t="str">
        <f aca="false">SUBSTITUTE(SUBSTITUTE($I5056,CHAR(61),""),CHAR(34),"")</f>
        <v>&lt;01</v>
      </c>
      <c r="R5056" s="0" t="str">
        <f aca="false">IF($D5056&lt;&gt;"","["&amp;$E5056&amp;"]"&amp;"|"&amp;$Q5056&amp;"|"&amp;$K5056&amp;"|"&amp;$G5056&amp;"|"&amp;IF($G5056="TX_CURR_SUBNAT.R","CY2022Q4",$M5056),"")</f>
        <v>[cPtvxaZqXIH]|&lt;01|Female|PLHIV_Residents.T|CY2024Q3</v>
      </c>
    </row>
    <row r="5057" customFormat="false" ht="15" hidden="false" customHeight="false" outlineLevel="0" collapsed="false">
      <c r="D5057" s="0" t="s">
        <v>87</v>
      </c>
      <c r="E5057" s="0" t="s">
        <v>88</v>
      </c>
      <c r="F5057" s="0" t="s">
        <v>89</v>
      </c>
      <c r="G5057" s="0" t="s">
        <v>165</v>
      </c>
      <c r="H5057" s="0" t="s">
        <v>166</v>
      </c>
      <c r="I5057" s="0" t="s">
        <v>33</v>
      </c>
      <c r="J5057" s="0" t="s">
        <v>34</v>
      </c>
      <c r="K5057" s="0" t="s">
        <v>30</v>
      </c>
      <c r="L5057" s="0" t="s">
        <v>31</v>
      </c>
      <c r="M5057" s="0" t="s">
        <v>167</v>
      </c>
      <c r="N5057" s="0" t="n">
        <v>669</v>
      </c>
      <c r="O5057" s="10" t="n">
        <v>0.0836603022180498</v>
      </c>
      <c r="P5057" s="10" t="n">
        <v>0.133336380822584</v>
      </c>
      <c r="Q5057" s="0" t="str">
        <f aca="false">SUBSTITUTE(SUBSTITUTE($I5057,CHAR(61),""),CHAR(34),"")</f>
        <v>01-09</v>
      </c>
      <c r="R5057" s="0" t="str">
        <f aca="false">IF($D5057&lt;&gt;"","["&amp;$E5057&amp;"]"&amp;"|"&amp;$Q5057&amp;"|"&amp;$K5057&amp;"|"&amp;$G5057&amp;"|"&amp;IF($G5057="TX_CURR_SUBNAT.R","CY2022Q4",$M5057),"")</f>
        <v>[cPtvxaZqXIH]|01-09|Female|PLHIV_Residents.T|CY2024Q3</v>
      </c>
    </row>
    <row r="5058" customFormat="false" ht="15" hidden="false" customHeight="false" outlineLevel="0" collapsed="false">
      <c r="D5058" s="0" t="s">
        <v>87</v>
      </c>
      <c r="E5058" s="0" t="s">
        <v>88</v>
      </c>
      <c r="F5058" s="0" t="s">
        <v>89</v>
      </c>
      <c r="G5058" s="0" t="s">
        <v>165</v>
      </c>
      <c r="H5058" s="0" t="s">
        <v>166</v>
      </c>
      <c r="I5058" s="0" t="s">
        <v>36</v>
      </c>
      <c r="J5058" s="0" t="s">
        <v>37</v>
      </c>
      <c r="K5058" s="0" t="s">
        <v>30</v>
      </c>
      <c r="L5058" s="0" t="s">
        <v>31</v>
      </c>
      <c r="M5058" s="0" t="s">
        <v>167</v>
      </c>
      <c r="N5058" s="0" t="n">
        <v>996</v>
      </c>
      <c r="O5058" s="10" t="n">
        <v>0.222410205518827</v>
      </c>
      <c r="P5058" s="10" t="n">
        <v>0.133336380822584</v>
      </c>
      <c r="Q5058" s="0" t="str">
        <f aca="false">SUBSTITUTE(SUBSTITUTE($I5058,CHAR(61),""),CHAR(34),"")</f>
        <v>10-14</v>
      </c>
      <c r="R5058" s="0" t="str">
        <f aca="false">IF($D5058&lt;&gt;"","["&amp;$E5058&amp;"]"&amp;"|"&amp;$Q5058&amp;"|"&amp;$K5058&amp;"|"&amp;$G5058&amp;"|"&amp;IF($G5058="TX_CURR_SUBNAT.R","CY2022Q4",$M5058),"")</f>
        <v>[cPtvxaZqXIH]|10-14|Female|PLHIV_Residents.T|CY2024Q3</v>
      </c>
    </row>
    <row r="5059" customFormat="false" ht="15" hidden="false" customHeight="false" outlineLevel="0" collapsed="false">
      <c r="D5059" s="0" t="s">
        <v>87</v>
      </c>
      <c r="E5059" s="0" t="s">
        <v>88</v>
      </c>
      <c r="F5059" s="0" t="s">
        <v>89</v>
      </c>
      <c r="G5059" s="0" t="s">
        <v>165</v>
      </c>
      <c r="H5059" s="0" t="s">
        <v>166</v>
      </c>
      <c r="I5059" s="0" t="s">
        <v>38</v>
      </c>
      <c r="J5059" s="0" t="s">
        <v>39</v>
      </c>
      <c r="K5059" s="0" t="s">
        <v>30</v>
      </c>
      <c r="L5059" s="0" t="s">
        <v>31</v>
      </c>
      <c r="M5059" s="0" t="s">
        <v>167</v>
      </c>
      <c r="N5059" s="0" t="n">
        <v>1644</v>
      </c>
      <c r="O5059" s="10" t="n">
        <v>0.658337393775582</v>
      </c>
      <c r="P5059" s="10" t="n">
        <v>0.133336380822584</v>
      </c>
      <c r="Q5059" s="0" t="str">
        <f aca="false">SUBSTITUTE(SUBSTITUTE($I5059,CHAR(61),""),CHAR(34),"")</f>
        <v>15-24</v>
      </c>
      <c r="R5059" s="0" t="str">
        <f aca="false">IF($D5059&lt;&gt;"","["&amp;$E5059&amp;"]"&amp;"|"&amp;$Q5059&amp;"|"&amp;$K5059&amp;"|"&amp;$G5059&amp;"|"&amp;IF($G5059="TX_CURR_SUBNAT.R","CY2022Q4",$M5059),"")</f>
        <v>[cPtvxaZqXIH]|15-24|Female|PLHIV_Residents.T|CY2024Q3</v>
      </c>
    </row>
    <row r="5060" customFormat="false" ht="15" hidden="false" customHeight="false" outlineLevel="0" collapsed="false">
      <c r="D5060" s="0" t="s">
        <v>87</v>
      </c>
      <c r="E5060" s="0" t="s">
        <v>88</v>
      </c>
      <c r="F5060" s="0" t="s">
        <v>89</v>
      </c>
      <c r="G5060" s="0" t="s">
        <v>165</v>
      </c>
      <c r="H5060" s="0" t="s">
        <v>166</v>
      </c>
      <c r="I5060" s="0" t="s">
        <v>41</v>
      </c>
      <c r="J5060" s="0" t="s">
        <v>42</v>
      </c>
      <c r="K5060" s="0" t="s">
        <v>30</v>
      </c>
      <c r="L5060" s="0" t="s">
        <v>31</v>
      </c>
      <c r="M5060" s="0" t="s">
        <v>167</v>
      </c>
      <c r="N5060" s="0" t="n">
        <v>1583</v>
      </c>
      <c r="O5060" s="10" t="n">
        <v>0.311405061511323</v>
      </c>
      <c r="P5060" s="10" t="n">
        <v>0.133336380822584</v>
      </c>
      <c r="Q5060" s="0" t="str">
        <f aca="false">SUBSTITUTE(SUBSTITUTE($I5060,CHAR(61),""),CHAR(34),"")</f>
        <v>25-34</v>
      </c>
      <c r="R5060" s="0" t="str">
        <f aca="false">IF($D5060&lt;&gt;"","["&amp;$E5060&amp;"]"&amp;"|"&amp;$Q5060&amp;"|"&amp;$K5060&amp;"|"&amp;$G5060&amp;"|"&amp;IF($G5060="TX_CURR_SUBNAT.R","CY2022Q4",$M5060),"")</f>
        <v>[cPtvxaZqXIH]|25-34|Female|PLHIV_Residents.T|CY2024Q3</v>
      </c>
    </row>
    <row r="5061" customFormat="false" ht="15" hidden="false" customHeight="false" outlineLevel="0" collapsed="false">
      <c r="D5061" s="0" t="s">
        <v>87</v>
      </c>
      <c r="E5061" s="0" t="s">
        <v>88</v>
      </c>
      <c r="F5061" s="0" t="s">
        <v>89</v>
      </c>
      <c r="G5061" s="0" t="s">
        <v>165</v>
      </c>
      <c r="H5061" s="0" t="s">
        <v>166</v>
      </c>
      <c r="I5061" s="0" t="s">
        <v>43</v>
      </c>
      <c r="J5061" s="0" t="s">
        <v>44</v>
      </c>
      <c r="K5061" s="0" t="s">
        <v>30</v>
      </c>
      <c r="L5061" s="0" t="s">
        <v>31</v>
      </c>
      <c r="M5061" s="0" t="s">
        <v>167</v>
      </c>
      <c r="N5061" s="0" t="n">
        <v>580</v>
      </c>
      <c r="O5061" s="10" t="n">
        <v>0.529799374984577</v>
      </c>
      <c r="P5061" s="10" t="n">
        <v>0.133336380822584</v>
      </c>
      <c r="Q5061" s="0" t="str">
        <f aca="false">SUBSTITUTE(SUBSTITUTE($I5061,CHAR(61),""),CHAR(34),"")</f>
        <v>35-49</v>
      </c>
      <c r="R5061" s="0" t="str">
        <f aca="false">IF($D5061&lt;&gt;"","["&amp;$E5061&amp;"]"&amp;"|"&amp;$Q5061&amp;"|"&amp;$K5061&amp;"|"&amp;$G5061&amp;"|"&amp;IF($G5061="TX_CURR_SUBNAT.R","CY2022Q4",$M5061),"")</f>
        <v>[cPtvxaZqXIH]|35-49|Female|PLHIV_Residents.T|CY2024Q3</v>
      </c>
    </row>
    <row r="5062" customFormat="false" ht="15" hidden="false" customHeight="false" outlineLevel="0" collapsed="false">
      <c r="D5062" s="0" t="s">
        <v>87</v>
      </c>
      <c r="E5062" s="0" t="s">
        <v>88</v>
      </c>
      <c r="F5062" s="0" t="s">
        <v>89</v>
      </c>
      <c r="G5062" s="0" t="s">
        <v>165</v>
      </c>
      <c r="H5062" s="0" t="s">
        <v>166</v>
      </c>
      <c r="I5062" s="0" t="s">
        <v>45</v>
      </c>
      <c r="J5062" s="0" t="s">
        <v>46</v>
      </c>
      <c r="K5062" s="0" t="s">
        <v>30</v>
      </c>
      <c r="L5062" s="0" t="s">
        <v>31</v>
      </c>
      <c r="M5062" s="0" t="s">
        <v>167</v>
      </c>
      <c r="N5062" s="0" t="n">
        <v>1259</v>
      </c>
      <c r="O5062" s="10" t="n">
        <v>0.98945748899132</v>
      </c>
      <c r="P5062" s="10" t="n">
        <v>0.133336380822584</v>
      </c>
      <c r="Q5062" s="0" t="str">
        <f aca="false">SUBSTITUTE(SUBSTITUTE($I5062,CHAR(61),""),CHAR(34),"")</f>
        <v>50+</v>
      </c>
      <c r="R5062" s="0" t="str">
        <f aca="false">IF($D5062&lt;&gt;"","["&amp;$E5062&amp;"]"&amp;"|"&amp;$Q5062&amp;"|"&amp;$K5062&amp;"|"&amp;$G5062&amp;"|"&amp;IF($G5062="TX_CURR_SUBNAT.R","CY2022Q4",$M5062),"")</f>
        <v>[cPtvxaZqXIH]|50+|Female|PLHIV_Residents.T|CY2024Q3</v>
      </c>
    </row>
    <row r="5063" customFormat="false" ht="15" hidden="false" customHeight="false" outlineLevel="0" collapsed="false">
      <c r="D5063" s="0" t="s">
        <v>87</v>
      </c>
      <c r="E5063" s="0" t="s">
        <v>88</v>
      </c>
      <c r="F5063" s="0" t="s">
        <v>89</v>
      </c>
      <c r="G5063" s="0" t="s">
        <v>165</v>
      </c>
      <c r="H5063" s="0" t="s">
        <v>166</v>
      </c>
      <c r="I5063" s="0" t="s">
        <v>28</v>
      </c>
      <c r="J5063" s="0" t="s">
        <v>29</v>
      </c>
      <c r="K5063" s="0" t="s">
        <v>48</v>
      </c>
      <c r="L5063" s="0" t="s">
        <v>49</v>
      </c>
      <c r="M5063" s="0" t="s">
        <v>167</v>
      </c>
      <c r="N5063" s="0" t="n">
        <v>547</v>
      </c>
      <c r="O5063" s="10" t="n">
        <v>0.9044764644932</v>
      </c>
      <c r="P5063" s="10" t="n">
        <v>0.133336380822584</v>
      </c>
      <c r="Q5063" s="0" t="str">
        <f aca="false">SUBSTITUTE(SUBSTITUTE($I5063,CHAR(61),""),CHAR(34),"")</f>
        <v>&lt;01</v>
      </c>
      <c r="R5063" s="0" t="str">
        <f aca="false">IF($D5063&lt;&gt;"","["&amp;$E5063&amp;"]"&amp;"|"&amp;$Q5063&amp;"|"&amp;$K5063&amp;"|"&amp;$G5063&amp;"|"&amp;IF($G5063="TX_CURR_SUBNAT.R","CY2022Q4",$M5063),"")</f>
        <v>[cPtvxaZqXIH]|&lt;01|Male|PLHIV_Residents.T|CY2024Q3</v>
      </c>
    </row>
    <row r="5064" customFormat="false" ht="15" hidden="false" customHeight="false" outlineLevel="0" collapsed="false">
      <c r="D5064" s="0" t="s">
        <v>87</v>
      </c>
      <c r="E5064" s="0" t="s">
        <v>88</v>
      </c>
      <c r="F5064" s="0" t="s">
        <v>89</v>
      </c>
      <c r="G5064" s="0" t="s">
        <v>165</v>
      </c>
      <c r="H5064" s="0" t="s">
        <v>166</v>
      </c>
      <c r="I5064" s="0" t="s">
        <v>33</v>
      </c>
      <c r="J5064" s="0" t="s">
        <v>34</v>
      </c>
      <c r="K5064" s="0" t="s">
        <v>48</v>
      </c>
      <c r="L5064" s="0" t="s">
        <v>49</v>
      </c>
      <c r="M5064" s="0" t="s">
        <v>167</v>
      </c>
      <c r="N5064" s="0" t="n">
        <v>1410</v>
      </c>
      <c r="O5064" s="10" t="n">
        <v>0.0432519598398358</v>
      </c>
      <c r="P5064" s="10" t="n">
        <v>0.133336380822584</v>
      </c>
      <c r="Q5064" s="0" t="str">
        <f aca="false">SUBSTITUTE(SUBSTITUTE($I5064,CHAR(61),""),CHAR(34),"")</f>
        <v>01-09</v>
      </c>
      <c r="R5064" s="0" t="str">
        <f aca="false">IF($D5064&lt;&gt;"","["&amp;$E5064&amp;"]"&amp;"|"&amp;$Q5064&amp;"|"&amp;$K5064&amp;"|"&amp;$G5064&amp;"|"&amp;IF($G5064="TX_CURR_SUBNAT.R","CY2022Q4",$M5064),"")</f>
        <v>[cPtvxaZqXIH]|01-09|Male|PLHIV_Residents.T|CY2024Q3</v>
      </c>
    </row>
    <row r="5065" customFormat="false" ht="15" hidden="false" customHeight="false" outlineLevel="0" collapsed="false">
      <c r="D5065" s="0" t="s">
        <v>87</v>
      </c>
      <c r="E5065" s="0" t="s">
        <v>88</v>
      </c>
      <c r="F5065" s="0" t="s">
        <v>89</v>
      </c>
      <c r="G5065" s="0" t="s">
        <v>165</v>
      </c>
      <c r="H5065" s="0" t="s">
        <v>166</v>
      </c>
      <c r="I5065" s="0" t="s">
        <v>36</v>
      </c>
      <c r="J5065" s="0" t="s">
        <v>37</v>
      </c>
      <c r="K5065" s="0" t="s">
        <v>48</v>
      </c>
      <c r="L5065" s="0" t="s">
        <v>49</v>
      </c>
      <c r="M5065" s="0" t="s">
        <v>167</v>
      </c>
      <c r="N5065" s="0" t="n">
        <v>1462</v>
      </c>
      <c r="O5065" s="10" t="n">
        <v>0.982682967791334</v>
      </c>
      <c r="P5065" s="10" t="n">
        <v>0.133336380822584</v>
      </c>
      <c r="Q5065" s="0" t="str">
        <f aca="false">SUBSTITUTE(SUBSTITUTE($I5065,CHAR(61),""),CHAR(34),"")</f>
        <v>10-14</v>
      </c>
      <c r="R5065" s="0" t="str">
        <f aca="false">IF($D5065&lt;&gt;"","["&amp;$E5065&amp;"]"&amp;"|"&amp;$Q5065&amp;"|"&amp;$K5065&amp;"|"&amp;$G5065&amp;"|"&amp;IF($G5065="TX_CURR_SUBNAT.R","CY2022Q4",$M5065),"")</f>
        <v>[cPtvxaZqXIH]|10-14|Male|PLHIV_Residents.T|CY2024Q3</v>
      </c>
    </row>
    <row r="5066" customFormat="false" ht="15" hidden="false" customHeight="false" outlineLevel="0" collapsed="false">
      <c r="D5066" s="0" t="s">
        <v>87</v>
      </c>
      <c r="E5066" s="0" t="s">
        <v>88</v>
      </c>
      <c r="F5066" s="0" t="s">
        <v>89</v>
      </c>
      <c r="G5066" s="0" t="s">
        <v>165</v>
      </c>
      <c r="H5066" s="0" t="s">
        <v>166</v>
      </c>
      <c r="I5066" s="0" t="s">
        <v>38</v>
      </c>
      <c r="J5066" s="0" t="s">
        <v>39</v>
      </c>
      <c r="K5066" s="0" t="s">
        <v>48</v>
      </c>
      <c r="L5066" s="0" t="s">
        <v>49</v>
      </c>
      <c r="M5066" s="0" t="s">
        <v>167</v>
      </c>
      <c r="N5066" s="0" t="n">
        <v>523</v>
      </c>
      <c r="O5066" s="10" t="n">
        <v>0.190475804498419</v>
      </c>
      <c r="P5066" s="10" t="n">
        <v>0.133336380822584</v>
      </c>
      <c r="Q5066" s="0" t="str">
        <f aca="false">SUBSTITUTE(SUBSTITUTE($I5066,CHAR(61),""),CHAR(34),"")</f>
        <v>15-24</v>
      </c>
      <c r="R5066" s="0" t="str">
        <f aca="false">IF($D5066&lt;&gt;"","["&amp;$E5066&amp;"]"&amp;"|"&amp;$Q5066&amp;"|"&amp;$K5066&amp;"|"&amp;$G5066&amp;"|"&amp;IF($G5066="TX_CURR_SUBNAT.R","CY2022Q4",$M5066),"")</f>
        <v>[cPtvxaZqXIH]|15-24|Male|PLHIV_Residents.T|CY2024Q3</v>
      </c>
    </row>
    <row r="5067" customFormat="false" ht="15" hidden="false" customHeight="false" outlineLevel="0" collapsed="false">
      <c r="D5067" s="0" t="s">
        <v>87</v>
      </c>
      <c r="E5067" s="0" t="s">
        <v>88</v>
      </c>
      <c r="F5067" s="0" t="s">
        <v>89</v>
      </c>
      <c r="G5067" s="0" t="s">
        <v>165</v>
      </c>
      <c r="H5067" s="0" t="s">
        <v>166</v>
      </c>
      <c r="I5067" s="0" t="s">
        <v>41</v>
      </c>
      <c r="J5067" s="0" t="s">
        <v>42</v>
      </c>
      <c r="K5067" s="0" t="s">
        <v>48</v>
      </c>
      <c r="L5067" s="0" t="s">
        <v>49</v>
      </c>
      <c r="M5067" s="0" t="s">
        <v>167</v>
      </c>
      <c r="N5067" s="0" t="n">
        <v>688</v>
      </c>
      <c r="O5067" s="10" t="n">
        <v>0.66816973965615</v>
      </c>
      <c r="P5067" s="10" t="n">
        <v>0.133336380822584</v>
      </c>
      <c r="Q5067" s="0" t="str">
        <f aca="false">SUBSTITUTE(SUBSTITUTE($I5067,CHAR(61),""),CHAR(34),"")</f>
        <v>25-34</v>
      </c>
      <c r="R5067" s="0" t="str">
        <f aca="false">IF($D5067&lt;&gt;"","["&amp;$E5067&amp;"]"&amp;"|"&amp;$Q5067&amp;"|"&amp;$K5067&amp;"|"&amp;$G5067&amp;"|"&amp;IF($G5067="TX_CURR_SUBNAT.R","CY2022Q4",$M5067),"")</f>
        <v>[cPtvxaZqXIH]|25-34|Male|PLHIV_Residents.T|CY2024Q3</v>
      </c>
    </row>
    <row r="5068" customFormat="false" ht="15" hidden="false" customHeight="false" outlineLevel="0" collapsed="false">
      <c r="D5068" s="0" t="s">
        <v>87</v>
      </c>
      <c r="E5068" s="0" t="s">
        <v>88</v>
      </c>
      <c r="F5068" s="0" t="s">
        <v>89</v>
      </c>
      <c r="G5068" s="0" t="s">
        <v>165</v>
      </c>
      <c r="H5068" s="0" t="s">
        <v>166</v>
      </c>
      <c r="I5068" s="0" t="s">
        <v>43</v>
      </c>
      <c r="J5068" s="0" t="s">
        <v>44</v>
      </c>
      <c r="K5068" s="0" t="s">
        <v>48</v>
      </c>
      <c r="L5068" s="0" t="s">
        <v>49</v>
      </c>
      <c r="M5068" s="0" t="s">
        <v>167</v>
      </c>
      <c r="N5068" s="0" t="n">
        <v>653</v>
      </c>
      <c r="O5068" s="10" t="n">
        <v>0.77638739370741</v>
      </c>
      <c r="P5068" s="10" t="n">
        <v>0.133336380822584</v>
      </c>
      <c r="Q5068" s="0" t="str">
        <f aca="false">SUBSTITUTE(SUBSTITUTE($I5068,CHAR(61),""),CHAR(34),"")</f>
        <v>35-49</v>
      </c>
      <c r="R5068" s="0" t="str">
        <f aca="false">IF($D5068&lt;&gt;"","["&amp;$E5068&amp;"]"&amp;"|"&amp;$Q5068&amp;"|"&amp;$K5068&amp;"|"&amp;$G5068&amp;"|"&amp;IF($G5068="TX_CURR_SUBNAT.R","CY2022Q4",$M5068),"")</f>
        <v>[cPtvxaZqXIH]|35-49|Male|PLHIV_Residents.T|CY2024Q3</v>
      </c>
    </row>
    <row r="5069" customFormat="false" ht="15" hidden="false" customHeight="false" outlineLevel="0" collapsed="false">
      <c r="D5069" s="0" t="s">
        <v>87</v>
      </c>
      <c r="E5069" s="0" t="s">
        <v>88</v>
      </c>
      <c r="F5069" s="0" t="s">
        <v>89</v>
      </c>
      <c r="G5069" s="0" t="s">
        <v>165</v>
      </c>
      <c r="H5069" s="0" t="s">
        <v>166</v>
      </c>
      <c r="I5069" s="0" t="s">
        <v>45</v>
      </c>
      <c r="J5069" s="0" t="s">
        <v>46</v>
      </c>
      <c r="K5069" s="0" t="s">
        <v>48</v>
      </c>
      <c r="L5069" s="0" t="s">
        <v>49</v>
      </c>
      <c r="M5069" s="0" t="s">
        <v>167</v>
      </c>
      <c r="N5069" s="0" t="n">
        <v>1754</v>
      </c>
      <c r="O5069" s="10" t="n">
        <v>0.664049941580743</v>
      </c>
      <c r="P5069" s="10" t="n">
        <v>0.133336380822584</v>
      </c>
      <c r="Q5069" s="0" t="str">
        <f aca="false">SUBSTITUTE(SUBSTITUTE($I5069,CHAR(61),""),CHAR(34),"")</f>
        <v>50+</v>
      </c>
      <c r="R5069" s="0" t="str">
        <f aca="false">IF($D5069&lt;&gt;"","["&amp;$E5069&amp;"]"&amp;"|"&amp;$Q5069&amp;"|"&amp;$K5069&amp;"|"&amp;$G5069&amp;"|"&amp;IF($G5069="TX_CURR_SUBNAT.R","CY2022Q4",$M5069),"")</f>
        <v>[cPtvxaZqXIH]|50+|Male|PLHIV_Residents.T|CY2024Q3</v>
      </c>
    </row>
    <row r="5070" customFormat="false" ht="15" hidden="false" customHeight="false" outlineLevel="0" collapsed="false">
      <c r="D5070" s="0" t="s">
        <v>90</v>
      </c>
      <c r="E5070" s="0" t="s">
        <v>91</v>
      </c>
      <c r="F5070" s="0" t="s">
        <v>92</v>
      </c>
      <c r="G5070" s="0" t="s">
        <v>165</v>
      </c>
      <c r="H5070" s="0" t="s">
        <v>166</v>
      </c>
      <c r="I5070" s="0" t="s">
        <v>28</v>
      </c>
      <c r="J5070" s="0" t="s">
        <v>29</v>
      </c>
      <c r="K5070" s="0" t="s">
        <v>30</v>
      </c>
      <c r="L5070" s="0" t="s">
        <v>31</v>
      </c>
      <c r="M5070" s="0" t="s">
        <v>167</v>
      </c>
      <c r="N5070" s="0" t="n">
        <v>682</v>
      </c>
      <c r="O5070" s="10" t="n">
        <v>0.179023250471801</v>
      </c>
      <c r="P5070" s="10" t="n">
        <v>0.719914150424302</v>
      </c>
      <c r="Q5070" s="0" t="str">
        <f aca="false">SUBSTITUTE(SUBSTITUTE($I5070,CHAR(61),""),CHAR(34),"")</f>
        <v>&lt;01</v>
      </c>
      <c r="R5070" s="0" t="str">
        <f aca="false">IF($D5070&lt;&gt;"","["&amp;$E5070&amp;"]"&amp;"|"&amp;$Q5070&amp;"|"&amp;$K5070&amp;"|"&amp;$G5070&amp;"|"&amp;IF($G5070="TX_CURR_SUBNAT.R","CY2022Q4",$M5070),"")</f>
        <v>[AZyWpGzhcaA]|&lt;01|Female|PLHIV_Residents.T|CY2024Q3</v>
      </c>
    </row>
    <row r="5071" customFormat="false" ht="15" hidden="false" customHeight="false" outlineLevel="0" collapsed="false">
      <c r="D5071" s="0" t="s">
        <v>90</v>
      </c>
      <c r="E5071" s="0" t="s">
        <v>91</v>
      </c>
      <c r="F5071" s="0" t="s">
        <v>92</v>
      </c>
      <c r="G5071" s="0" t="s">
        <v>165</v>
      </c>
      <c r="H5071" s="0" t="s">
        <v>166</v>
      </c>
      <c r="I5071" s="0" t="s">
        <v>33</v>
      </c>
      <c r="J5071" s="0" t="s">
        <v>34</v>
      </c>
      <c r="K5071" s="0" t="s">
        <v>30</v>
      </c>
      <c r="L5071" s="0" t="s">
        <v>31</v>
      </c>
      <c r="M5071" s="0" t="s">
        <v>167</v>
      </c>
      <c r="N5071" s="0" t="n">
        <v>1658</v>
      </c>
      <c r="O5071" s="10" t="n">
        <v>0.919867976335809</v>
      </c>
      <c r="P5071" s="10" t="n">
        <v>0.719914150424302</v>
      </c>
      <c r="Q5071" s="0" t="str">
        <f aca="false">SUBSTITUTE(SUBSTITUTE($I5071,CHAR(61),""),CHAR(34),"")</f>
        <v>01-09</v>
      </c>
      <c r="R5071" s="0" t="str">
        <f aca="false">IF($D5071&lt;&gt;"","["&amp;$E5071&amp;"]"&amp;"|"&amp;$Q5071&amp;"|"&amp;$K5071&amp;"|"&amp;$G5071&amp;"|"&amp;IF($G5071="TX_CURR_SUBNAT.R","CY2022Q4",$M5071),"")</f>
        <v>[AZyWpGzhcaA]|01-09|Female|PLHIV_Residents.T|CY2024Q3</v>
      </c>
    </row>
    <row r="5072" customFormat="false" ht="15" hidden="false" customHeight="false" outlineLevel="0" collapsed="false">
      <c r="D5072" s="0" t="s">
        <v>90</v>
      </c>
      <c r="E5072" s="0" t="s">
        <v>91</v>
      </c>
      <c r="F5072" s="0" t="s">
        <v>92</v>
      </c>
      <c r="G5072" s="0" t="s">
        <v>165</v>
      </c>
      <c r="H5072" s="0" t="s">
        <v>166</v>
      </c>
      <c r="I5072" s="0" t="s">
        <v>36</v>
      </c>
      <c r="J5072" s="0" t="s">
        <v>37</v>
      </c>
      <c r="K5072" s="0" t="s">
        <v>30</v>
      </c>
      <c r="L5072" s="0" t="s">
        <v>31</v>
      </c>
      <c r="M5072" s="0" t="s">
        <v>167</v>
      </c>
      <c r="N5072" s="0" t="n">
        <v>1156</v>
      </c>
      <c r="O5072" s="10" t="n">
        <v>0.344149150652811</v>
      </c>
      <c r="P5072" s="10" t="n">
        <v>0.719914150424302</v>
      </c>
      <c r="Q5072" s="0" t="str">
        <f aca="false">SUBSTITUTE(SUBSTITUTE($I5072,CHAR(61),""),CHAR(34),"")</f>
        <v>10-14</v>
      </c>
      <c r="R5072" s="0" t="str">
        <f aca="false">IF($D5072&lt;&gt;"","["&amp;$E5072&amp;"]"&amp;"|"&amp;$Q5072&amp;"|"&amp;$K5072&amp;"|"&amp;$G5072&amp;"|"&amp;IF($G5072="TX_CURR_SUBNAT.R","CY2022Q4",$M5072),"")</f>
        <v>[AZyWpGzhcaA]|10-14|Female|PLHIV_Residents.T|CY2024Q3</v>
      </c>
    </row>
    <row r="5073" customFormat="false" ht="15" hidden="false" customHeight="false" outlineLevel="0" collapsed="false">
      <c r="D5073" s="0" t="s">
        <v>90</v>
      </c>
      <c r="E5073" s="0" t="s">
        <v>91</v>
      </c>
      <c r="F5073" s="0" t="s">
        <v>92</v>
      </c>
      <c r="G5073" s="0" t="s">
        <v>165</v>
      </c>
      <c r="H5073" s="0" t="s">
        <v>166</v>
      </c>
      <c r="I5073" s="0" t="s">
        <v>38</v>
      </c>
      <c r="J5073" s="0" t="s">
        <v>39</v>
      </c>
      <c r="K5073" s="0" t="s">
        <v>30</v>
      </c>
      <c r="L5073" s="0" t="s">
        <v>31</v>
      </c>
      <c r="M5073" s="0" t="s">
        <v>167</v>
      </c>
      <c r="N5073" s="0" t="n">
        <v>1939</v>
      </c>
      <c r="O5073" s="10" t="n">
        <v>0.821809574728832</v>
      </c>
      <c r="P5073" s="10" t="n">
        <v>0.719914150424302</v>
      </c>
      <c r="Q5073" s="0" t="str">
        <f aca="false">SUBSTITUTE(SUBSTITUTE($I5073,CHAR(61),""),CHAR(34),"")</f>
        <v>15-24</v>
      </c>
      <c r="R5073" s="0" t="str">
        <f aca="false">IF($D5073&lt;&gt;"","["&amp;$E5073&amp;"]"&amp;"|"&amp;$Q5073&amp;"|"&amp;$K5073&amp;"|"&amp;$G5073&amp;"|"&amp;IF($G5073="TX_CURR_SUBNAT.R","CY2022Q4",$M5073),"")</f>
        <v>[AZyWpGzhcaA]|15-24|Female|PLHIV_Residents.T|CY2024Q3</v>
      </c>
    </row>
    <row r="5074" customFormat="false" ht="15" hidden="false" customHeight="false" outlineLevel="0" collapsed="false">
      <c r="D5074" s="0" t="s">
        <v>90</v>
      </c>
      <c r="E5074" s="0" t="s">
        <v>91</v>
      </c>
      <c r="F5074" s="0" t="s">
        <v>92</v>
      </c>
      <c r="G5074" s="0" t="s">
        <v>165</v>
      </c>
      <c r="H5074" s="0" t="s">
        <v>166</v>
      </c>
      <c r="I5074" s="0" t="s">
        <v>41</v>
      </c>
      <c r="J5074" s="0" t="s">
        <v>42</v>
      </c>
      <c r="K5074" s="0" t="s">
        <v>30</v>
      </c>
      <c r="L5074" s="0" t="s">
        <v>31</v>
      </c>
      <c r="M5074" s="0" t="s">
        <v>167</v>
      </c>
      <c r="N5074" s="0" t="n">
        <v>1885</v>
      </c>
      <c r="O5074" s="10" t="n">
        <v>0.517334844218567</v>
      </c>
      <c r="P5074" s="10" t="n">
        <v>0.719914150424302</v>
      </c>
      <c r="Q5074" s="0" t="str">
        <f aca="false">SUBSTITUTE(SUBSTITUTE($I5074,CHAR(61),""),CHAR(34),"")</f>
        <v>25-34</v>
      </c>
      <c r="R5074" s="0" t="str">
        <f aca="false">IF($D5074&lt;&gt;"","["&amp;$E5074&amp;"]"&amp;"|"&amp;$Q5074&amp;"|"&amp;$K5074&amp;"|"&amp;$G5074&amp;"|"&amp;IF($G5074="TX_CURR_SUBNAT.R","CY2022Q4",$M5074),"")</f>
        <v>[AZyWpGzhcaA]|25-34|Female|PLHIV_Residents.T|CY2024Q3</v>
      </c>
    </row>
    <row r="5075" customFormat="false" ht="15" hidden="false" customHeight="false" outlineLevel="0" collapsed="false">
      <c r="D5075" s="0" t="s">
        <v>90</v>
      </c>
      <c r="E5075" s="0" t="s">
        <v>91</v>
      </c>
      <c r="F5075" s="0" t="s">
        <v>92</v>
      </c>
      <c r="G5075" s="0" t="s">
        <v>165</v>
      </c>
      <c r="H5075" s="0" t="s">
        <v>166</v>
      </c>
      <c r="I5075" s="0" t="s">
        <v>43</v>
      </c>
      <c r="J5075" s="0" t="s">
        <v>44</v>
      </c>
      <c r="K5075" s="0" t="s">
        <v>30</v>
      </c>
      <c r="L5075" s="0" t="s">
        <v>31</v>
      </c>
      <c r="M5075" s="0" t="s">
        <v>167</v>
      </c>
      <c r="N5075" s="0" t="n">
        <v>1416</v>
      </c>
      <c r="O5075" s="10" t="n">
        <v>0.60002799727954</v>
      </c>
      <c r="P5075" s="10" t="n">
        <v>0.719914150424302</v>
      </c>
      <c r="Q5075" s="0" t="str">
        <f aca="false">SUBSTITUTE(SUBSTITUTE($I5075,CHAR(61),""),CHAR(34),"")</f>
        <v>35-49</v>
      </c>
      <c r="R5075" s="0" t="str">
        <f aca="false">IF($D5075&lt;&gt;"","["&amp;$E5075&amp;"]"&amp;"|"&amp;$Q5075&amp;"|"&amp;$K5075&amp;"|"&amp;$G5075&amp;"|"&amp;IF($G5075="TX_CURR_SUBNAT.R","CY2022Q4",$M5075),"")</f>
        <v>[AZyWpGzhcaA]|35-49|Female|PLHIV_Residents.T|CY2024Q3</v>
      </c>
    </row>
    <row r="5076" customFormat="false" ht="15" hidden="false" customHeight="false" outlineLevel="0" collapsed="false">
      <c r="D5076" s="0" t="s">
        <v>90</v>
      </c>
      <c r="E5076" s="0" t="s">
        <v>91</v>
      </c>
      <c r="F5076" s="0" t="s">
        <v>92</v>
      </c>
      <c r="G5076" s="0" t="s">
        <v>165</v>
      </c>
      <c r="H5076" s="0" t="s">
        <v>166</v>
      </c>
      <c r="I5076" s="0" t="s">
        <v>45</v>
      </c>
      <c r="J5076" s="0" t="s">
        <v>46</v>
      </c>
      <c r="K5076" s="0" t="s">
        <v>30</v>
      </c>
      <c r="L5076" s="0" t="s">
        <v>31</v>
      </c>
      <c r="M5076" s="0" t="s">
        <v>167</v>
      </c>
      <c r="N5076" s="0" t="n">
        <v>916</v>
      </c>
      <c r="O5076" s="10" t="n">
        <v>0.269793760729954</v>
      </c>
      <c r="P5076" s="10" t="n">
        <v>0.719914150424302</v>
      </c>
      <c r="Q5076" s="0" t="str">
        <f aca="false">SUBSTITUTE(SUBSTITUTE($I5076,CHAR(61),""),CHAR(34),"")</f>
        <v>50+</v>
      </c>
      <c r="R5076" s="0" t="str">
        <f aca="false">IF($D5076&lt;&gt;"","["&amp;$E5076&amp;"]"&amp;"|"&amp;$Q5076&amp;"|"&amp;$K5076&amp;"|"&amp;$G5076&amp;"|"&amp;IF($G5076="TX_CURR_SUBNAT.R","CY2022Q4",$M5076),"")</f>
        <v>[AZyWpGzhcaA]|50+|Female|PLHIV_Residents.T|CY2024Q3</v>
      </c>
    </row>
    <row r="5077" customFormat="false" ht="15" hidden="false" customHeight="false" outlineLevel="0" collapsed="false">
      <c r="D5077" s="0" t="s">
        <v>90</v>
      </c>
      <c r="E5077" s="0" t="s">
        <v>91</v>
      </c>
      <c r="F5077" s="0" t="s">
        <v>92</v>
      </c>
      <c r="G5077" s="0" t="s">
        <v>165</v>
      </c>
      <c r="H5077" s="0" t="s">
        <v>166</v>
      </c>
      <c r="I5077" s="0" t="s">
        <v>28</v>
      </c>
      <c r="J5077" s="0" t="s">
        <v>29</v>
      </c>
      <c r="K5077" s="0" t="s">
        <v>48</v>
      </c>
      <c r="L5077" s="0" t="s">
        <v>49</v>
      </c>
      <c r="M5077" s="0" t="s">
        <v>167</v>
      </c>
      <c r="N5077" s="0" t="n">
        <v>1834</v>
      </c>
      <c r="O5077" s="10" t="n">
        <v>0.404309070669115</v>
      </c>
      <c r="P5077" s="10" t="n">
        <v>0.719914150424302</v>
      </c>
      <c r="Q5077" s="0" t="str">
        <f aca="false">SUBSTITUTE(SUBSTITUTE($I5077,CHAR(61),""),CHAR(34),"")</f>
        <v>&lt;01</v>
      </c>
      <c r="R5077" s="0" t="str">
        <f aca="false">IF($D5077&lt;&gt;"","["&amp;$E5077&amp;"]"&amp;"|"&amp;$Q5077&amp;"|"&amp;$K5077&amp;"|"&amp;$G5077&amp;"|"&amp;IF($G5077="TX_CURR_SUBNAT.R","CY2022Q4",$M5077),"")</f>
        <v>[AZyWpGzhcaA]|&lt;01|Male|PLHIV_Residents.T|CY2024Q3</v>
      </c>
    </row>
    <row r="5078" customFormat="false" ht="15" hidden="false" customHeight="false" outlineLevel="0" collapsed="false">
      <c r="D5078" s="0" t="s">
        <v>90</v>
      </c>
      <c r="E5078" s="0" t="s">
        <v>91</v>
      </c>
      <c r="F5078" s="0" t="s">
        <v>92</v>
      </c>
      <c r="G5078" s="0" t="s">
        <v>165</v>
      </c>
      <c r="H5078" s="0" t="s">
        <v>166</v>
      </c>
      <c r="I5078" s="0" t="s">
        <v>33</v>
      </c>
      <c r="J5078" s="0" t="s">
        <v>34</v>
      </c>
      <c r="K5078" s="0" t="s">
        <v>48</v>
      </c>
      <c r="L5078" s="0" t="s">
        <v>49</v>
      </c>
      <c r="M5078" s="0" t="s">
        <v>167</v>
      </c>
      <c r="N5078" s="0" t="n">
        <v>809</v>
      </c>
      <c r="O5078" s="10" t="n">
        <v>0.713477543788031</v>
      </c>
      <c r="P5078" s="10" t="n">
        <v>0.719914150424302</v>
      </c>
      <c r="Q5078" s="0" t="str">
        <f aca="false">SUBSTITUTE(SUBSTITUTE($I5078,CHAR(61),""),CHAR(34),"")</f>
        <v>01-09</v>
      </c>
      <c r="R5078" s="0" t="str">
        <f aca="false">IF($D5078&lt;&gt;"","["&amp;$E5078&amp;"]"&amp;"|"&amp;$Q5078&amp;"|"&amp;$K5078&amp;"|"&amp;$G5078&amp;"|"&amp;IF($G5078="TX_CURR_SUBNAT.R","CY2022Q4",$M5078),"")</f>
        <v>[AZyWpGzhcaA]|01-09|Male|PLHIV_Residents.T|CY2024Q3</v>
      </c>
    </row>
    <row r="5079" customFormat="false" ht="15" hidden="false" customHeight="false" outlineLevel="0" collapsed="false">
      <c r="D5079" s="0" t="s">
        <v>90</v>
      </c>
      <c r="E5079" s="0" t="s">
        <v>91</v>
      </c>
      <c r="F5079" s="0" t="s">
        <v>92</v>
      </c>
      <c r="G5079" s="0" t="s">
        <v>165</v>
      </c>
      <c r="H5079" s="0" t="s">
        <v>166</v>
      </c>
      <c r="I5079" s="0" t="s">
        <v>36</v>
      </c>
      <c r="J5079" s="0" t="s">
        <v>37</v>
      </c>
      <c r="K5079" s="0" t="s">
        <v>48</v>
      </c>
      <c r="L5079" s="0" t="s">
        <v>49</v>
      </c>
      <c r="M5079" s="0" t="s">
        <v>167</v>
      </c>
      <c r="N5079" s="0" t="n">
        <v>1896</v>
      </c>
      <c r="O5079" s="10" t="n">
        <v>0.530837608268484</v>
      </c>
      <c r="P5079" s="10" t="n">
        <v>0.719914150424302</v>
      </c>
      <c r="Q5079" s="0" t="str">
        <f aca="false">SUBSTITUTE(SUBSTITUTE($I5079,CHAR(61),""),CHAR(34),"")</f>
        <v>10-14</v>
      </c>
      <c r="R5079" s="0" t="str">
        <f aca="false">IF($D5079&lt;&gt;"","["&amp;$E5079&amp;"]"&amp;"|"&amp;$Q5079&amp;"|"&amp;$K5079&amp;"|"&amp;$G5079&amp;"|"&amp;IF($G5079="TX_CURR_SUBNAT.R","CY2022Q4",$M5079),"")</f>
        <v>[AZyWpGzhcaA]|10-14|Male|PLHIV_Residents.T|CY2024Q3</v>
      </c>
    </row>
    <row r="5080" customFormat="false" ht="15" hidden="false" customHeight="false" outlineLevel="0" collapsed="false">
      <c r="D5080" s="0" t="s">
        <v>90</v>
      </c>
      <c r="E5080" s="0" t="s">
        <v>91</v>
      </c>
      <c r="F5080" s="0" t="s">
        <v>92</v>
      </c>
      <c r="G5080" s="0" t="s">
        <v>165</v>
      </c>
      <c r="H5080" s="0" t="s">
        <v>166</v>
      </c>
      <c r="I5080" s="0" t="s">
        <v>38</v>
      </c>
      <c r="J5080" s="0" t="s">
        <v>39</v>
      </c>
      <c r="K5080" s="0" t="s">
        <v>48</v>
      </c>
      <c r="L5080" s="0" t="s">
        <v>49</v>
      </c>
      <c r="M5080" s="0" t="s">
        <v>167</v>
      </c>
      <c r="N5080" s="0" t="n">
        <v>1360</v>
      </c>
      <c r="O5080" s="10" t="n">
        <v>0.768167176051065</v>
      </c>
      <c r="P5080" s="10" t="n">
        <v>0.719914150424302</v>
      </c>
      <c r="Q5080" s="0" t="str">
        <f aca="false">SUBSTITUTE(SUBSTITUTE($I5080,CHAR(61),""),CHAR(34),"")</f>
        <v>15-24</v>
      </c>
      <c r="R5080" s="0" t="str">
        <f aca="false">IF($D5080&lt;&gt;"","["&amp;$E5080&amp;"]"&amp;"|"&amp;$Q5080&amp;"|"&amp;$K5080&amp;"|"&amp;$G5080&amp;"|"&amp;IF($G5080="TX_CURR_SUBNAT.R","CY2022Q4",$M5080),"")</f>
        <v>[AZyWpGzhcaA]|15-24|Male|PLHIV_Residents.T|CY2024Q3</v>
      </c>
    </row>
    <row r="5081" customFormat="false" ht="15" hidden="false" customHeight="false" outlineLevel="0" collapsed="false">
      <c r="D5081" s="0" t="s">
        <v>90</v>
      </c>
      <c r="E5081" s="0" t="s">
        <v>91</v>
      </c>
      <c r="F5081" s="0" t="s">
        <v>92</v>
      </c>
      <c r="G5081" s="0" t="s">
        <v>165</v>
      </c>
      <c r="H5081" s="0" t="s">
        <v>166</v>
      </c>
      <c r="I5081" s="0" t="s">
        <v>41</v>
      </c>
      <c r="J5081" s="0" t="s">
        <v>42</v>
      </c>
      <c r="K5081" s="0" t="s">
        <v>48</v>
      </c>
      <c r="L5081" s="0" t="s">
        <v>49</v>
      </c>
      <c r="M5081" s="0" t="s">
        <v>167</v>
      </c>
      <c r="N5081" s="0" t="n">
        <v>757</v>
      </c>
      <c r="O5081" s="10" t="n">
        <v>0.467057008761913</v>
      </c>
      <c r="P5081" s="10" t="n">
        <v>0.719914150424302</v>
      </c>
      <c r="Q5081" s="0" t="str">
        <f aca="false">SUBSTITUTE(SUBSTITUTE($I5081,CHAR(61),""),CHAR(34),"")</f>
        <v>25-34</v>
      </c>
      <c r="R5081" s="0" t="str">
        <f aca="false">IF($D5081&lt;&gt;"","["&amp;$E5081&amp;"]"&amp;"|"&amp;$Q5081&amp;"|"&amp;$K5081&amp;"|"&amp;$G5081&amp;"|"&amp;IF($G5081="TX_CURR_SUBNAT.R","CY2022Q4",$M5081),"")</f>
        <v>[AZyWpGzhcaA]|25-34|Male|PLHIV_Residents.T|CY2024Q3</v>
      </c>
    </row>
    <row r="5082" customFormat="false" ht="15" hidden="false" customHeight="false" outlineLevel="0" collapsed="false">
      <c r="D5082" s="0" t="s">
        <v>90</v>
      </c>
      <c r="E5082" s="0" t="s">
        <v>91</v>
      </c>
      <c r="F5082" s="0" t="s">
        <v>92</v>
      </c>
      <c r="G5082" s="0" t="s">
        <v>165</v>
      </c>
      <c r="H5082" s="0" t="s">
        <v>166</v>
      </c>
      <c r="I5082" s="0" t="s">
        <v>43</v>
      </c>
      <c r="J5082" s="0" t="s">
        <v>44</v>
      </c>
      <c r="K5082" s="0" t="s">
        <v>48</v>
      </c>
      <c r="L5082" s="0" t="s">
        <v>49</v>
      </c>
      <c r="M5082" s="0" t="s">
        <v>167</v>
      </c>
      <c r="N5082" s="0" t="n">
        <v>1462</v>
      </c>
      <c r="O5082" s="10" t="n">
        <v>0.956552539952099</v>
      </c>
      <c r="P5082" s="10" t="n">
        <v>0.719914150424302</v>
      </c>
      <c r="Q5082" s="0" t="str">
        <f aca="false">SUBSTITUTE(SUBSTITUTE($I5082,CHAR(61),""),CHAR(34),"")</f>
        <v>35-49</v>
      </c>
      <c r="R5082" s="0" t="str">
        <f aca="false">IF($D5082&lt;&gt;"","["&amp;$E5082&amp;"]"&amp;"|"&amp;$Q5082&amp;"|"&amp;$K5082&amp;"|"&amp;$G5082&amp;"|"&amp;IF($G5082="TX_CURR_SUBNAT.R","CY2022Q4",$M5082),"")</f>
        <v>[AZyWpGzhcaA]|35-49|Male|PLHIV_Residents.T|CY2024Q3</v>
      </c>
    </row>
    <row r="5083" customFormat="false" ht="15" hidden="false" customHeight="false" outlineLevel="0" collapsed="false">
      <c r="D5083" s="0" t="s">
        <v>90</v>
      </c>
      <c r="E5083" s="0" t="s">
        <v>91</v>
      </c>
      <c r="F5083" s="0" t="s">
        <v>92</v>
      </c>
      <c r="G5083" s="0" t="s">
        <v>165</v>
      </c>
      <c r="H5083" s="0" t="s">
        <v>166</v>
      </c>
      <c r="I5083" s="0" t="s">
        <v>45</v>
      </c>
      <c r="J5083" s="0" t="s">
        <v>46</v>
      </c>
      <c r="K5083" s="0" t="s">
        <v>48</v>
      </c>
      <c r="L5083" s="0" t="s">
        <v>49</v>
      </c>
      <c r="M5083" s="0" t="s">
        <v>167</v>
      </c>
      <c r="N5083" s="0" t="n">
        <v>1504</v>
      </c>
      <c r="O5083" s="10" t="n">
        <v>0.835929596796632</v>
      </c>
      <c r="P5083" s="10" t="n">
        <v>0.719914150424302</v>
      </c>
      <c r="Q5083" s="0" t="str">
        <f aca="false">SUBSTITUTE(SUBSTITUTE($I5083,CHAR(61),""),CHAR(34),"")</f>
        <v>50+</v>
      </c>
      <c r="R5083" s="0" t="str">
        <f aca="false">IF($D5083&lt;&gt;"","["&amp;$E5083&amp;"]"&amp;"|"&amp;$Q5083&amp;"|"&amp;$K5083&amp;"|"&amp;$G5083&amp;"|"&amp;IF($G5083="TX_CURR_SUBNAT.R","CY2022Q4",$M5083),"")</f>
        <v>[AZyWpGzhcaA]|50+|Male|PLHIV_Residents.T|CY2024Q3</v>
      </c>
    </row>
    <row r="5084" customFormat="false" ht="15" hidden="false" customHeight="false" outlineLevel="0" collapsed="false">
      <c r="D5084" s="0" t="s">
        <v>93</v>
      </c>
      <c r="E5084" s="0" t="s">
        <v>94</v>
      </c>
      <c r="F5084" s="0" t="s">
        <v>95</v>
      </c>
      <c r="G5084" s="0" t="s">
        <v>165</v>
      </c>
      <c r="H5084" s="0" t="s">
        <v>166</v>
      </c>
      <c r="I5084" s="0" t="s">
        <v>28</v>
      </c>
      <c r="J5084" s="0" t="s">
        <v>29</v>
      </c>
      <c r="K5084" s="0" t="s">
        <v>30</v>
      </c>
      <c r="L5084" s="0" t="s">
        <v>31</v>
      </c>
      <c r="M5084" s="0" t="s">
        <v>167</v>
      </c>
      <c r="N5084" s="0" t="n">
        <v>742</v>
      </c>
      <c r="O5084" s="10" t="n">
        <v>0.361011441098526</v>
      </c>
      <c r="P5084" s="10" t="n">
        <v>0.362272296566516</v>
      </c>
      <c r="Q5084" s="0" t="str">
        <f aca="false">SUBSTITUTE(SUBSTITUTE($I5084,CHAR(61),""),CHAR(34),"")</f>
        <v>&lt;01</v>
      </c>
      <c r="R5084" s="0" t="str">
        <f aca="false">IF($D5084&lt;&gt;"","["&amp;$E5084&amp;"]"&amp;"|"&amp;$Q5084&amp;"|"&amp;$K5084&amp;"|"&amp;$G5084&amp;"|"&amp;IF($G5084="TX_CURR_SUBNAT.R","CY2022Q4",$M5084),"")</f>
        <v>[umc2n1Z4wNv]|&lt;01|Female|PLHIV_Residents.T|CY2024Q3</v>
      </c>
    </row>
    <row r="5085" customFormat="false" ht="15" hidden="false" customHeight="false" outlineLevel="0" collapsed="false">
      <c r="D5085" s="0" t="s">
        <v>93</v>
      </c>
      <c r="E5085" s="0" t="s">
        <v>94</v>
      </c>
      <c r="F5085" s="0" t="s">
        <v>95</v>
      </c>
      <c r="G5085" s="0" t="s">
        <v>165</v>
      </c>
      <c r="H5085" s="0" t="s">
        <v>166</v>
      </c>
      <c r="I5085" s="0" t="s">
        <v>33</v>
      </c>
      <c r="J5085" s="0" t="s">
        <v>34</v>
      </c>
      <c r="K5085" s="0" t="s">
        <v>30</v>
      </c>
      <c r="L5085" s="0" t="s">
        <v>31</v>
      </c>
      <c r="M5085" s="0" t="s">
        <v>167</v>
      </c>
      <c r="N5085" s="0" t="n">
        <v>1765</v>
      </c>
      <c r="O5085" s="10" t="n">
        <v>0.0551727353595197</v>
      </c>
      <c r="P5085" s="10" t="n">
        <v>0.362272296566516</v>
      </c>
      <c r="Q5085" s="0" t="str">
        <f aca="false">SUBSTITUTE(SUBSTITUTE($I5085,CHAR(61),""),CHAR(34),"")</f>
        <v>01-09</v>
      </c>
      <c r="R5085" s="0" t="str">
        <f aca="false">IF($D5085&lt;&gt;"","["&amp;$E5085&amp;"]"&amp;"|"&amp;$Q5085&amp;"|"&amp;$K5085&amp;"|"&amp;$G5085&amp;"|"&amp;IF($G5085="TX_CURR_SUBNAT.R","CY2022Q4",$M5085),"")</f>
        <v>[umc2n1Z4wNv]|01-09|Female|PLHIV_Residents.T|CY2024Q3</v>
      </c>
    </row>
    <row r="5086" customFormat="false" ht="15" hidden="false" customHeight="false" outlineLevel="0" collapsed="false">
      <c r="D5086" s="0" t="s">
        <v>93</v>
      </c>
      <c r="E5086" s="0" t="s">
        <v>94</v>
      </c>
      <c r="F5086" s="0" t="s">
        <v>95</v>
      </c>
      <c r="G5086" s="0" t="s">
        <v>165</v>
      </c>
      <c r="H5086" s="0" t="s">
        <v>166</v>
      </c>
      <c r="I5086" s="0" t="s">
        <v>36</v>
      </c>
      <c r="J5086" s="0" t="s">
        <v>37</v>
      </c>
      <c r="K5086" s="0" t="s">
        <v>30</v>
      </c>
      <c r="L5086" s="0" t="s">
        <v>31</v>
      </c>
      <c r="M5086" s="0" t="s">
        <v>167</v>
      </c>
      <c r="N5086" s="0" t="n">
        <v>1891</v>
      </c>
      <c r="O5086" s="10" t="n">
        <v>0.760645834030584</v>
      </c>
      <c r="P5086" s="10" t="n">
        <v>0.362272296566516</v>
      </c>
      <c r="Q5086" s="0" t="str">
        <f aca="false">SUBSTITUTE(SUBSTITUTE($I5086,CHAR(61),""),CHAR(34),"")</f>
        <v>10-14</v>
      </c>
      <c r="R5086" s="0" t="str">
        <f aca="false">IF($D5086&lt;&gt;"","["&amp;$E5086&amp;"]"&amp;"|"&amp;$Q5086&amp;"|"&amp;$K5086&amp;"|"&amp;$G5086&amp;"|"&amp;IF($G5086="TX_CURR_SUBNAT.R","CY2022Q4",$M5086),"")</f>
        <v>[umc2n1Z4wNv]|10-14|Female|PLHIV_Residents.T|CY2024Q3</v>
      </c>
    </row>
    <row r="5087" customFormat="false" ht="15" hidden="false" customHeight="false" outlineLevel="0" collapsed="false">
      <c r="D5087" s="0" t="s">
        <v>93</v>
      </c>
      <c r="E5087" s="0" t="s">
        <v>94</v>
      </c>
      <c r="F5087" s="0" t="s">
        <v>95</v>
      </c>
      <c r="G5087" s="0" t="s">
        <v>165</v>
      </c>
      <c r="H5087" s="0" t="s">
        <v>166</v>
      </c>
      <c r="I5087" s="0" t="s">
        <v>38</v>
      </c>
      <c r="J5087" s="0" t="s">
        <v>39</v>
      </c>
      <c r="K5087" s="0" t="s">
        <v>30</v>
      </c>
      <c r="L5087" s="0" t="s">
        <v>31</v>
      </c>
      <c r="M5087" s="0" t="s">
        <v>167</v>
      </c>
      <c r="N5087" s="0" t="n">
        <v>722</v>
      </c>
      <c r="O5087" s="10" t="n">
        <v>0.990505578694865</v>
      </c>
      <c r="P5087" s="10" t="n">
        <v>0.362272296566516</v>
      </c>
      <c r="Q5087" s="0" t="str">
        <f aca="false">SUBSTITUTE(SUBSTITUTE($I5087,CHAR(61),""),CHAR(34),"")</f>
        <v>15-24</v>
      </c>
      <c r="R5087" s="0" t="str">
        <f aca="false">IF($D5087&lt;&gt;"","["&amp;$E5087&amp;"]"&amp;"|"&amp;$Q5087&amp;"|"&amp;$K5087&amp;"|"&amp;$G5087&amp;"|"&amp;IF($G5087="TX_CURR_SUBNAT.R","CY2022Q4",$M5087),"")</f>
        <v>[umc2n1Z4wNv]|15-24|Female|PLHIV_Residents.T|CY2024Q3</v>
      </c>
    </row>
    <row r="5088" customFormat="false" ht="15" hidden="false" customHeight="false" outlineLevel="0" collapsed="false">
      <c r="D5088" s="0" t="s">
        <v>93</v>
      </c>
      <c r="E5088" s="0" t="s">
        <v>94</v>
      </c>
      <c r="F5088" s="0" t="s">
        <v>95</v>
      </c>
      <c r="G5088" s="0" t="s">
        <v>165</v>
      </c>
      <c r="H5088" s="0" t="s">
        <v>166</v>
      </c>
      <c r="I5088" s="0" t="s">
        <v>41</v>
      </c>
      <c r="J5088" s="0" t="s">
        <v>42</v>
      </c>
      <c r="K5088" s="0" t="s">
        <v>30</v>
      </c>
      <c r="L5088" s="0" t="s">
        <v>31</v>
      </c>
      <c r="M5088" s="0" t="s">
        <v>167</v>
      </c>
      <c r="N5088" s="0" t="n">
        <v>995</v>
      </c>
      <c r="O5088" s="10" t="n">
        <v>0.950101007940248</v>
      </c>
      <c r="P5088" s="10" t="n">
        <v>0.362272296566516</v>
      </c>
      <c r="Q5088" s="0" t="str">
        <f aca="false">SUBSTITUTE(SUBSTITUTE($I5088,CHAR(61),""),CHAR(34),"")</f>
        <v>25-34</v>
      </c>
      <c r="R5088" s="0" t="str">
        <f aca="false">IF($D5088&lt;&gt;"","["&amp;$E5088&amp;"]"&amp;"|"&amp;$Q5088&amp;"|"&amp;$K5088&amp;"|"&amp;$G5088&amp;"|"&amp;IF($G5088="TX_CURR_SUBNAT.R","CY2022Q4",$M5088),"")</f>
        <v>[umc2n1Z4wNv]|25-34|Female|PLHIV_Residents.T|CY2024Q3</v>
      </c>
    </row>
    <row r="5089" customFormat="false" ht="15" hidden="false" customHeight="false" outlineLevel="0" collapsed="false">
      <c r="D5089" s="0" t="s">
        <v>93</v>
      </c>
      <c r="E5089" s="0" t="s">
        <v>94</v>
      </c>
      <c r="F5089" s="0" t="s">
        <v>95</v>
      </c>
      <c r="G5089" s="0" t="s">
        <v>165</v>
      </c>
      <c r="H5089" s="0" t="s">
        <v>166</v>
      </c>
      <c r="I5089" s="0" t="s">
        <v>43</v>
      </c>
      <c r="J5089" s="0" t="s">
        <v>44</v>
      </c>
      <c r="K5089" s="0" t="s">
        <v>30</v>
      </c>
      <c r="L5089" s="0" t="s">
        <v>31</v>
      </c>
      <c r="M5089" s="0" t="s">
        <v>167</v>
      </c>
      <c r="N5089" s="0" t="n">
        <v>1427</v>
      </c>
      <c r="O5089" s="10" t="n">
        <v>0.795054385671392</v>
      </c>
      <c r="P5089" s="10" t="n">
        <v>0.362272296566516</v>
      </c>
      <c r="Q5089" s="0" t="str">
        <f aca="false">SUBSTITUTE(SUBSTITUTE($I5089,CHAR(61),""),CHAR(34),"")</f>
        <v>35-49</v>
      </c>
      <c r="R5089" s="0" t="str">
        <f aca="false">IF($D5089&lt;&gt;"","["&amp;$E5089&amp;"]"&amp;"|"&amp;$Q5089&amp;"|"&amp;$K5089&amp;"|"&amp;$G5089&amp;"|"&amp;IF($G5089="TX_CURR_SUBNAT.R","CY2022Q4",$M5089),"")</f>
        <v>[umc2n1Z4wNv]|35-49|Female|PLHIV_Residents.T|CY2024Q3</v>
      </c>
    </row>
    <row r="5090" customFormat="false" ht="15" hidden="false" customHeight="false" outlineLevel="0" collapsed="false">
      <c r="D5090" s="0" t="s">
        <v>93</v>
      </c>
      <c r="E5090" s="0" t="s">
        <v>94</v>
      </c>
      <c r="F5090" s="0" t="s">
        <v>95</v>
      </c>
      <c r="G5090" s="0" t="s">
        <v>165</v>
      </c>
      <c r="H5090" s="0" t="s">
        <v>166</v>
      </c>
      <c r="I5090" s="0" t="s">
        <v>45</v>
      </c>
      <c r="J5090" s="0" t="s">
        <v>46</v>
      </c>
      <c r="K5090" s="0" t="s">
        <v>30</v>
      </c>
      <c r="L5090" s="0" t="s">
        <v>31</v>
      </c>
      <c r="M5090" s="0" t="s">
        <v>167</v>
      </c>
      <c r="N5090" s="0" t="n">
        <v>1936</v>
      </c>
      <c r="O5090" s="10" t="n">
        <v>0.318334260256961</v>
      </c>
      <c r="P5090" s="10" t="n">
        <v>0.362272296566516</v>
      </c>
      <c r="Q5090" s="0" t="str">
        <f aca="false">SUBSTITUTE(SUBSTITUTE($I5090,CHAR(61),""),CHAR(34),"")</f>
        <v>50+</v>
      </c>
      <c r="R5090" s="0" t="str">
        <f aca="false">IF($D5090&lt;&gt;"","["&amp;$E5090&amp;"]"&amp;"|"&amp;$Q5090&amp;"|"&amp;$K5090&amp;"|"&amp;$G5090&amp;"|"&amp;IF($G5090="TX_CURR_SUBNAT.R","CY2022Q4",$M5090),"")</f>
        <v>[umc2n1Z4wNv]|50+|Female|PLHIV_Residents.T|CY2024Q3</v>
      </c>
    </row>
    <row r="5091" customFormat="false" ht="15" hidden="false" customHeight="false" outlineLevel="0" collapsed="false">
      <c r="D5091" s="0" t="s">
        <v>93</v>
      </c>
      <c r="E5091" s="0" t="s">
        <v>94</v>
      </c>
      <c r="F5091" s="0" t="s">
        <v>95</v>
      </c>
      <c r="G5091" s="0" t="s">
        <v>165</v>
      </c>
      <c r="H5091" s="0" t="s">
        <v>166</v>
      </c>
      <c r="I5091" s="0" t="s">
        <v>28</v>
      </c>
      <c r="J5091" s="0" t="s">
        <v>29</v>
      </c>
      <c r="K5091" s="0" t="s">
        <v>48</v>
      </c>
      <c r="L5091" s="0" t="s">
        <v>49</v>
      </c>
      <c r="M5091" s="0" t="s">
        <v>167</v>
      </c>
      <c r="N5091" s="0" t="n">
        <v>968</v>
      </c>
      <c r="O5091" s="10" t="n">
        <v>0.554836920229718</v>
      </c>
      <c r="P5091" s="10" t="n">
        <v>0.362272296566516</v>
      </c>
      <c r="Q5091" s="0" t="str">
        <f aca="false">SUBSTITUTE(SUBSTITUTE($I5091,CHAR(61),""),CHAR(34),"")</f>
        <v>&lt;01</v>
      </c>
      <c r="R5091" s="0" t="str">
        <f aca="false">IF($D5091&lt;&gt;"","["&amp;$E5091&amp;"]"&amp;"|"&amp;$Q5091&amp;"|"&amp;$K5091&amp;"|"&amp;$G5091&amp;"|"&amp;IF($G5091="TX_CURR_SUBNAT.R","CY2022Q4",$M5091),"")</f>
        <v>[umc2n1Z4wNv]|&lt;01|Male|PLHIV_Residents.T|CY2024Q3</v>
      </c>
    </row>
    <row r="5092" customFormat="false" ht="15" hidden="false" customHeight="false" outlineLevel="0" collapsed="false">
      <c r="D5092" s="0" t="s">
        <v>93</v>
      </c>
      <c r="E5092" s="0" t="s">
        <v>94</v>
      </c>
      <c r="F5092" s="0" t="s">
        <v>95</v>
      </c>
      <c r="G5092" s="0" t="s">
        <v>165</v>
      </c>
      <c r="H5092" s="0" t="s">
        <v>166</v>
      </c>
      <c r="I5092" s="0" t="s">
        <v>33</v>
      </c>
      <c r="J5092" s="0" t="s">
        <v>34</v>
      </c>
      <c r="K5092" s="0" t="s">
        <v>48</v>
      </c>
      <c r="L5092" s="0" t="s">
        <v>49</v>
      </c>
      <c r="M5092" s="0" t="s">
        <v>167</v>
      </c>
      <c r="N5092" s="0" t="n">
        <v>1422</v>
      </c>
      <c r="O5092" s="10" t="n">
        <v>0.713977001374587</v>
      </c>
      <c r="P5092" s="10" t="n">
        <v>0.362272296566516</v>
      </c>
      <c r="Q5092" s="0" t="str">
        <f aca="false">SUBSTITUTE(SUBSTITUTE($I5092,CHAR(61),""),CHAR(34),"")</f>
        <v>01-09</v>
      </c>
      <c r="R5092" s="0" t="str">
        <f aca="false">IF($D5092&lt;&gt;"","["&amp;$E5092&amp;"]"&amp;"|"&amp;$Q5092&amp;"|"&amp;$K5092&amp;"|"&amp;$G5092&amp;"|"&amp;IF($G5092="TX_CURR_SUBNAT.R","CY2022Q4",$M5092),"")</f>
        <v>[umc2n1Z4wNv]|01-09|Male|PLHIV_Residents.T|CY2024Q3</v>
      </c>
    </row>
    <row r="5093" customFormat="false" ht="15" hidden="false" customHeight="false" outlineLevel="0" collapsed="false">
      <c r="D5093" s="0" t="s">
        <v>93</v>
      </c>
      <c r="E5093" s="0" t="s">
        <v>94</v>
      </c>
      <c r="F5093" s="0" t="s">
        <v>95</v>
      </c>
      <c r="G5093" s="0" t="s">
        <v>165</v>
      </c>
      <c r="H5093" s="0" t="s">
        <v>166</v>
      </c>
      <c r="I5093" s="0" t="s">
        <v>36</v>
      </c>
      <c r="J5093" s="0" t="s">
        <v>37</v>
      </c>
      <c r="K5093" s="0" t="s">
        <v>48</v>
      </c>
      <c r="L5093" s="0" t="s">
        <v>49</v>
      </c>
      <c r="M5093" s="0" t="s">
        <v>167</v>
      </c>
      <c r="N5093" s="0" t="n">
        <v>958</v>
      </c>
      <c r="O5093" s="10" t="n">
        <v>0.730037477565929</v>
      </c>
      <c r="P5093" s="10" t="n">
        <v>0.362272296566516</v>
      </c>
      <c r="Q5093" s="0" t="str">
        <f aca="false">SUBSTITUTE(SUBSTITUTE($I5093,CHAR(61),""),CHAR(34),"")</f>
        <v>10-14</v>
      </c>
      <c r="R5093" s="0" t="str">
        <f aca="false">IF($D5093&lt;&gt;"","["&amp;$E5093&amp;"]"&amp;"|"&amp;$Q5093&amp;"|"&amp;$K5093&amp;"|"&amp;$G5093&amp;"|"&amp;IF($G5093="TX_CURR_SUBNAT.R","CY2022Q4",$M5093),"")</f>
        <v>[umc2n1Z4wNv]|10-14|Male|PLHIV_Residents.T|CY2024Q3</v>
      </c>
    </row>
    <row r="5094" customFormat="false" ht="15" hidden="false" customHeight="false" outlineLevel="0" collapsed="false">
      <c r="D5094" s="0" t="s">
        <v>93</v>
      </c>
      <c r="E5094" s="0" t="s">
        <v>94</v>
      </c>
      <c r="F5094" s="0" t="s">
        <v>95</v>
      </c>
      <c r="G5094" s="0" t="s">
        <v>165</v>
      </c>
      <c r="H5094" s="0" t="s">
        <v>166</v>
      </c>
      <c r="I5094" s="0" t="s">
        <v>38</v>
      </c>
      <c r="J5094" s="0" t="s">
        <v>39</v>
      </c>
      <c r="K5094" s="0" t="s">
        <v>48</v>
      </c>
      <c r="L5094" s="0" t="s">
        <v>49</v>
      </c>
      <c r="M5094" s="0" t="s">
        <v>167</v>
      </c>
      <c r="N5094" s="0" t="n">
        <v>1939</v>
      </c>
      <c r="O5094" s="10" t="n">
        <v>0.107939002336934</v>
      </c>
      <c r="P5094" s="10" t="n">
        <v>0.362272296566516</v>
      </c>
      <c r="Q5094" s="0" t="str">
        <f aca="false">SUBSTITUTE(SUBSTITUTE($I5094,CHAR(61),""),CHAR(34),"")</f>
        <v>15-24</v>
      </c>
      <c r="R5094" s="0" t="str">
        <f aca="false">IF($D5094&lt;&gt;"","["&amp;$E5094&amp;"]"&amp;"|"&amp;$Q5094&amp;"|"&amp;$K5094&amp;"|"&amp;$G5094&amp;"|"&amp;IF($G5094="TX_CURR_SUBNAT.R","CY2022Q4",$M5094),"")</f>
        <v>[umc2n1Z4wNv]|15-24|Male|PLHIV_Residents.T|CY2024Q3</v>
      </c>
    </row>
    <row r="5095" customFormat="false" ht="15" hidden="false" customHeight="false" outlineLevel="0" collapsed="false">
      <c r="D5095" s="0" t="s">
        <v>93</v>
      </c>
      <c r="E5095" s="0" t="s">
        <v>94</v>
      </c>
      <c r="F5095" s="0" t="s">
        <v>95</v>
      </c>
      <c r="G5095" s="0" t="s">
        <v>165</v>
      </c>
      <c r="H5095" s="0" t="s">
        <v>166</v>
      </c>
      <c r="I5095" s="0" t="s">
        <v>41</v>
      </c>
      <c r="J5095" s="0" t="s">
        <v>42</v>
      </c>
      <c r="K5095" s="0" t="s">
        <v>48</v>
      </c>
      <c r="L5095" s="0" t="s">
        <v>49</v>
      </c>
      <c r="M5095" s="0" t="s">
        <v>167</v>
      </c>
      <c r="N5095" s="0" t="n">
        <v>676</v>
      </c>
      <c r="O5095" s="10" t="n">
        <v>0.197140405653045</v>
      </c>
      <c r="P5095" s="10" t="n">
        <v>0.362272296566516</v>
      </c>
      <c r="Q5095" s="0" t="str">
        <f aca="false">SUBSTITUTE(SUBSTITUTE($I5095,CHAR(61),""),CHAR(34),"")</f>
        <v>25-34</v>
      </c>
      <c r="R5095" s="0" t="str">
        <f aca="false">IF($D5095&lt;&gt;"","["&amp;$E5095&amp;"]"&amp;"|"&amp;$Q5095&amp;"|"&amp;$K5095&amp;"|"&amp;$G5095&amp;"|"&amp;IF($G5095="TX_CURR_SUBNAT.R","CY2022Q4",$M5095),"")</f>
        <v>[umc2n1Z4wNv]|25-34|Male|PLHIV_Residents.T|CY2024Q3</v>
      </c>
    </row>
    <row r="5096" customFormat="false" ht="15" hidden="false" customHeight="false" outlineLevel="0" collapsed="false">
      <c r="D5096" s="0" t="s">
        <v>93</v>
      </c>
      <c r="E5096" s="0" t="s">
        <v>94</v>
      </c>
      <c r="F5096" s="0" t="s">
        <v>95</v>
      </c>
      <c r="G5096" s="0" t="s">
        <v>165</v>
      </c>
      <c r="H5096" s="0" t="s">
        <v>166</v>
      </c>
      <c r="I5096" s="0" t="s">
        <v>43</v>
      </c>
      <c r="J5096" s="0" t="s">
        <v>44</v>
      </c>
      <c r="K5096" s="0" t="s">
        <v>48</v>
      </c>
      <c r="L5096" s="0" t="s">
        <v>49</v>
      </c>
      <c r="M5096" s="0" t="s">
        <v>167</v>
      </c>
      <c r="N5096" s="0" t="n">
        <v>1326</v>
      </c>
      <c r="O5096" s="10" t="n">
        <v>0.48745701299049</v>
      </c>
      <c r="P5096" s="10" t="n">
        <v>0.362272296566516</v>
      </c>
      <c r="Q5096" s="0" t="str">
        <f aca="false">SUBSTITUTE(SUBSTITUTE($I5096,CHAR(61),""),CHAR(34),"")</f>
        <v>35-49</v>
      </c>
      <c r="R5096" s="0" t="str">
        <f aca="false">IF($D5096&lt;&gt;"","["&amp;$E5096&amp;"]"&amp;"|"&amp;$Q5096&amp;"|"&amp;$K5096&amp;"|"&amp;$G5096&amp;"|"&amp;IF($G5096="TX_CURR_SUBNAT.R","CY2022Q4",$M5096),"")</f>
        <v>[umc2n1Z4wNv]|35-49|Male|PLHIV_Residents.T|CY2024Q3</v>
      </c>
    </row>
    <row r="5097" customFormat="false" ht="15" hidden="false" customHeight="false" outlineLevel="0" collapsed="false">
      <c r="D5097" s="0" t="s">
        <v>93</v>
      </c>
      <c r="E5097" s="0" t="s">
        <v>94</v>
      </c>
      <c r="F5097" s="0" t="s">
        <v>95</v>
      </c>
      <c r="G5097" s="0" t="s">
        <v>165</v>
      </c>
      <c r="H5097" s="0" t="s">
        <v>166</v>
      </c>
      <c r="I5097" s="0" t="s">
        <v>45</v>
      </c>
      <c r="J5097" s="0" t="s">
        <v>46</v>
      </c>
      <c r="K5097" s="0" t="s">
        <v>48</v>
      </c>
      <c r="L5097" s="0" t="s">
        <v>49</v>
      </c>
      <c r="M5097" s="0" t="s">
        <v>167</v>
      </c>
      <c r="N5097" s="0" t="n">
        <v>1865</v>
      </c>
      <c r="O5097" s="10" t="n">
        <v>0.00619612587615848</v>
      </c>
      <c r="P5097" s="10" t="n">
        <v>0.362272296566516</v>
      </c>
      <c r="Q5097" s="0" t="str">
        <f aca="false">SUBSTITUTE(SUBSTITUTE($I5097,CHAR(61),""),CHAR(34),"")</f>
        <v>50+</v>
      </c>
      <c r="R5097" s="0" t="str">
        <f aca="false">IF($D5097&lt;&gt;"","["&amp;$E5097&amp;"]"&amp;"|"&amp;$Q5097&amp;"|"&amp;$K5097&amp;"|"&amp;$G5097&amp;"|"&amp;IF($G5097="TX_CURR_SUBNAT.R","CY2022Q4",$M5097),"")</f>
        <v>[umc2n1Z4wNv]|50+|Male|PLHIV_Residents.T|CY2024Q3</v>
      </c>
    </row>
    <row r="5098" customFormat="false" ht="15" hidden="false" customHeight="false" outlineLevel="0" collapsed="false">
      <c r="D5098" s="0" t="s">
        <v>96</v>
      </c>
      <c r="E5098" s="0" t="s">
        <v>97</v>
      </c>
      <c r="F5098" s="0" t="s">
        <v>98</v>
      </c>
      <c r="G5098" s="0" t="s">
        <v>165</v>
      </c>
      <c r="H5098" s="0" t="s">
        <v>166</v>
      </c>
      <c r="I5098" s="0" t="s">
        <v>28</v>
      </c>
      <c r="J5098" s="0" t="s">
        <v>29</v>
      </c>
      <c r="K5098" s="0" t="s">
        <v>30</v>
      </c>
      <c r="L5098" s="0" t="s">
        <v>31</v>
      </c>
      <c r="M5098" s="0" t="s">
        <v>167</v>
      </c>
      <c r="N5098" s="0" t="n">
        <v>1727</v>
      </c>
      <c r="O5098" s="10" t="n">
        <v>0.156806334853172</v>
      </c>
      <c r="P5098" s="10" t="n">
        <v>0.601251717889681</v>
      </c>
      <c r="Q5098" s="0" t="str">
        <f aca="false">SUBSTITUTE(SUBSTITUTE($I5098,CHAR(61),""),CHAR(34),"")</f>
        <v>&lt;01</v>
      </c>
      <c r="R5098" s="0" t="str">
        <f aca="false">IF($D5098&lt;&gt;"","["&amp;$E5098&amp;"]"&amp;"|"&amp;$Q5098&amp;"|"&amp;$K5098&amp;"|"&amp;$G5098&amp;"|"&amp;IF($G5098="TX_CURR_SUBNAT.R","CY2022Q4",$M5098),"")</f>
        <v>[gwVYinjBAe9]|&lt;01|Female|PLHIV_Residents.T|CY2024Q3</v>
      </c>
    </row>
    <row r="5099" customFormat="false" ht="15" hidden="false" customHeight="false" outlineLevel="0" collapsed="false">
      <c r="D5099" s="0" t="s">
        <v>96</v>
      </c>
      <c r="E5099" s="0" t="s">
        <v>97</v>
      </c>
      <c r="F5099" s="0" t="s">
        <v>98</v>
      </c>
      <c r="G5099" s="0" t="s">
        <v>165</v>
      </c>
      <c r="H5099" s="0" t="s">
        <v>166</v>
      </c>
      <c r="I5099" s="0" t="s">
        <v>33</v>
      </c>
      <c r="J5099" s="0" t="s">
        <v>34</v>
      </c>
      <c r="K5099" s="0" t="s">
        <v>30</v>
      </c>
      <c r="L5099" s="0" t="s">
        <v>31</v>
      </c>
      <c r="M5099" s="0" t="s">
        <v>167</v>
      </c>
      <c r="N5099" s="0" t="n">
        <v>1494</v>
      </c>
      <c r="O5099" s="10" t="n">
        <v>0.73359477519989</v>
      </c>
      <c r="P5099" s="10" t="n">
        <v>0.601251717889681</v>
      </c>
      <c r="Q5099" s="0" t="str">
        <f aca="false">SUBSTITUTE(SUBSTITUTE($I5099,CHAR(61),""),CHAR(34),"")</f>
        <v>01-09</v>
      </c>
      <c r="R5099" s="0" t="str">
        <f aca="false">IF($D5099&lt;&gt;"","["&amp;$E5099&amp;"]"&amp;"|"&amp;$Q5099&amp;"|"&amp;$K5099&amp;"|"&amp;$G5099&amp;"|"&amp;IF($G5099="TX_CURR_SUBNAT.R","CY2022Q4",$M5099),"")</f>
        <v>[gwVYinjBAe9]|01-09|Female|PLHIV_Residents.T|CY2024Q3</v>
      </c>
    </row>
    <row r="5100" customFormat="false" ht="15" hidden="false" customHeight="false" outlineLevel="0" collapsed="false">
      <c r="D5100" s="0" t="s">
        <v>96</v>
      </c>
      <c r="E5100" s="0" t="s">
        <v>97</v>
      </c>
      <c r="F5100" s="0" t="s">
        <v>98</v>
      </c>
      <c r="G5100" s="0" t="s">
        <v>165</v>
      </c>
      <c r="H5100" s="0" t="s">
        <v>166</v>
      </c>
      <c r="I5100" s="0" t="s">
        <v>36</v>
      </c>
      <c r="J5100" s="0" t="s">
        <v>37</v>
      </c>
      <c r="K5100" s="0" t="s">
        <v>30</v>
      </c>
      <c r="L5100" s="0" t="s">
        <v>31</v>
      </c>
      <c r="M5100" s="0" t="s">
        <v>167</v>
      </c>
      <c r="N5100" s="0" t="n">
        <v>1160</v>
      </c>
      <c r="O5100" s="10" t="n">
        <v>0.0410892537329346</v>
      </c>
      <c r="P5100" s="10" t="n">
        <v>0.601251717889681</v>
      </c>
      <c r="Q5100" s="0" t="str">
        <f aca="false">SUBSTITUTE(SUBSTITUTE($I5100,CHAR(61),""),CHAR(34),"")</f>
        <v>10-14</v>
      </c>
      <c r="R5100" s="0" t="str">
        <f aca="false">IF($D5100&lt;&gt;"","["&amp;$E5100&amp;"]"&amp;"|"&amp;$Q5100&amp;"|"&amp;$K5100&amp;"|"&amp;$G5100&amp;"|"&amp;IF($G5100="TX_CURR_SUBNAT.R","CY2022Q4",$M5100),"")</f>
        <v>[gwVYinjBAe9]|10-14|Female|PLHIV_Residents.T|CY2024Q3</v>
      </c>
    </row>
    <row r="5101" customFormat="false" ht="15" hidden="false" customHeight="false" outlineLevel="0" collapsed="false">
      <c r="D5101" s="0" t="s">
        <v>96</v>
      </c>
      <c r="E5101" s="0" t="s">
        <v>97</v>
      </c>
      <c r="F5101" s="0" t="s">
        <v>98</v>
      </c>
      <c r="G5101" s="0" t="s">
        <v>165</v>
      </c>
      <c r="H5101" s="0" t="s">
        <v>166</v>
      </c>
      <c r="I5101" s="0" t="s">
        <v>38</v>
      </c>
      <c r="J5101" s="0" t="s">
        <v>39</v>
      </c>
      <c r="K5101" s="0" t="s">
        <v>30</v>
      </c>
      <c r="L5101" s="0" t="s">
        <v>31</v>
      </c>
      <c r="M5101" s="0" t="s">
        <v>167</v>
      </c>
      <c r="N5101" s="0" t="n">
        <v>943</v>
      </c>
      <c r="O5101" s="10" t="n">
        <v>0.764104269212112</v>
      </c>
      <c r="P5101" s="10" t="n">
        <v>0.601251717889681</v>
      </c>
      <c r="Q5101" s="0" t="str">
        <f aca="false">SUBSTITUTE(SUBSTITUTE($I5101,CHAR(61),""),CHAR(34),"")</f>
        <v>15-24</v>
      </c>
      <c r="R5101" s="0" t="str">
        <f aca="false">IF($D5101&lt;&gt;"","["&amp;$E5101&amp;"]"&amp;"|"&amp;$Q5101&amp;"|"&amp;$K5101&amp;"|"&amp;$G5101&amp;"|"&amp;IF($G5101="TX_CURR_SUBNAT.R","CY2022Q4",$M5101),"")</f>
        <v>[gwVYinjBAe9]|15-24|Female|PLHIV_Residents.T|CY2024Q3</v>
      </c>
    </row>
    <row r="5102" customFormat="false" ht="15" hidden="false" customHeight="false" outlineLevel="0" collapsed="false">
      <c r="D5102" s="0" t="s">
        <v>96</v>
      </c>
      <c r="E5102" s="0" t="s">
        <v>97</v>
      </c>
      <c r="F5102" s="0" t="s">
        <v>98</v>
      </c>
      <c r="G5102" s="0" t="s">
        <v>165</v>
      </c>
      <c r="H5102" s="0" t="s">
        <v>166</v>
      </c>
      <c r="I5102" s="0" t="s">
        <v>41</v>
      </c>
      <c r="J5102" s="0" t="s">
        <v>42</v>
      </c>
      <c r="K5102" s="0" t="s">
        <v>30</v>
      </c>
      <c r="L5102" s="0" t="s">
        <v>31</v>
      </c>
      <c r="M5102" s="0" t="s">
        <v>167</v>
      </c>
      <c r="N5102" s="0" t="n">
        <v>1486</v>
      </c>
      <c r="O5102" s="10" t="n">
        <v>0.485270001227036</v>
      </c>
      <c r="P5102" s="10" t="n">
        <v>0.601251717889681</v>
      </c>
      <c r="Q5102" s="0" t="str">
        <f aca="false">SUBSTITUTE(SUBSTITUTE($I5102,CHAR(61),""),CHAR(34),"")</f>
        <v>25-34</v>
      </c>
      <c r="R5102" s="0" t="str">
        <f aca="false">IF($D5102&lt;&gt;"","["&amp;$E5102&amp;"]"&amp;"|"&amp;$Q5102&amp;"|"&amp;$K5102&amp;"|"&amp;$G5102&amp;"|"&amp;IF($G5102="TX_CURR_SUBNAT.R","CY2022Q4",$M5102),"")</f>
        <v>[gwVYinjBAe9]|25-34|Female|PLHIV_Residents.T|CY2024Q3</v>
      </c>
    </row>
    <row r="5103" customFormat="false" ht="15" hidden="false" customHeight="false" outlineLevel="0" collapsed="false">
      <c r="D5103" s="0" t="s">
        <v>96</v>
      </c>
      <c r="E5103" s="0" t="s">
        <v>97</v>
      </c>
      <c r="F5103" s="0" t="s">
        <v>98</v>
      </c>
      <c r="G5103" s="0" t="s">
        <v>165</v>
      </c>
      <c r="H5103" s="0" t="s">
        <v>166</v>
      </c>
      <c r="I5103" s="0" t="s">
        <v>43</v>
      </c>
      <c r="J5103" s="0" t="s">
        <v>44</v>
      </c>
      <c r="K5103" s="0" t="s">
        <v>30</v>
      </c>
      <c r="L5103" s="0" t="s">
        <v>31</v>
      </c>
      <c r="M5103" s="0" t="s">
        <v>167</v>
      </c>
      <c r="N5103" s="0" t="n">
        <v>1262</v>
      </c>
      <c r="O5103" s="10" t="n">
        <v>0.332169889239594</v>
      </c>
      <c r="P5103" s="10" t="n">
        <v>0.601251717889681</v>
      </c>
      <c r="Q5103" s="0" t="str">
        <f aca="false">SUBSTITUTE(SUBSTITUTE($I5103,CHAR(61),""),CHAR(34),"")</f>
        <v>35-49</v>
      </c>
      <c r="R5103" s="0" t="str">
        <f aca="false">IF($D5103&lt;&gt;"","["&amp;$E5103&amp;"]"&amp;"|"&amp;$Q5103&amp;"|"&amp;$K5103&amp;"|"&amp;$G5103&amp;"|"&amp;IF($G5103="TX_CURR_SUBNAT.R","CY2022Q4",$M5103),"")</f>
        <v>[gwVYinjBAe9]|35-49|Female|PLHIV_Residents.T|CY2024Q3</v>
      </c>
    </row>
    <row r="5104" customFormat="false" ht="15" hidden="false" customHeight="false" outlineLevel="0" collapsed="false">
      <c r="D5104" s="0" t="s">
        <v>96</v>
      </c>
      <c r="E5104" s="0" t="s">
        <v>97</v>
      </c>
      <c r="F5104" s="0" t="s">
        <v>98</v>
      </c>
      <c r="G5104" s="0" t="s">
        <v>165</v>
      </c>
      <c r="H5104" s="0" t="s">
        <v>166</v>
      </c>
      <c r="I5104" s="0" t="s">
        <v>45</v>
      </c>
      <c r="J5104" s="0" t="s">
        <v>46</v>
      </c>
      <c r="K5104" s="0" t="s">
        <v>30</v>
      </c>
      <c r="L5104" s="0" t="s">
        <v>31</v>
      </c>
      <c r="M5104" s="0" t="s">
        <v>167</v>
      </c>
      <c r="N5104" s="0" t="n">
        <v>702</v>
      </c>
      <c r="O5104" s="10" t="n">
        <v>0.808070082683116</v>
      </c>
      <c r="P5104" s="10" t="n">
        <v>0.601251717889681</v>
      </c>
      <c r="Q5104" s="0" t="str">
        <f aca="false">SUBSTITUTE(SUBSTITUTE($I5104,CHAR(61),""),CHAR(34),"")</f>
        <v>50+</v>
      </c>
      <c r="R5104" s="0" t="str">
        <f aca="false">IF($D5104&lt;&gt;"","["&amp;$E5104&amp;"]"&amp;"|"&amp;$Q5104&amp;"|"&amp;$K5104&amp;"|"&amp;$G5104&amp;"|"&amp;IF($G5104="TX_CURR_SUBNAT.R","CY2022Q4",$M5104),"")</f>
        <v>[gwVYinjBAe9]|50+|Female|PLHIV_Residents.T|CY2024Q3</v>
      </c>
    </row>
    <row r="5105" customFormat="false" ht="15" hidden="false" customHeight="false" outlineLevel="0" collapsed="false">
      <c r="D5105" s="0" t="s">
        <v>96</v>
      </c>
      <c r="E5105" s="0" t="s">
        <v>97</v>
      </c>
      <c r="F5105" s="0" t="s">
        <v>98</v>
      </c>
      <c r="G5105" s="0" t="s">
        <v>165</v>
      </c>
      <c r="H5105" s="0" t="s">
        <v>166</v>
      </c>
      <c r="I5105" s="0" t="s">
        <v>28</v>
      </c>
      <c r="J5105" s="0" t="s">
        <v>29</v>
      </c>
      <c r="K5105" s="0" t="s">
        <v>48</v>
      </c>
      <c r="L5105" s="0" t="s">
        <v>49</v>
      </c>
      <c r="M5105" s="0" t="s">
        <v>167</v>
      </c>
      <c r="N5105" s="0" t="n">
        <v>1617</v>
      </c>
      <c r="O5105" s="10" t="n">
        <v>0.540596974315122</v>
      </c>
      <c r="P5105" s="10" t="n">
        <v>0.601251717889681</v>
      </c>
      <c r="Q5105" s="0" t="str">
        <f aca="false">SUBSTITUTE(SUBSTITUTE($I5105,CHAR(61),""),CHAR(34),"")</f>
        <v>&lt;01</v>
      </c>
      <c r="R5105" s="0" t="str">
        <f aca="false">IF($D5105&lt;&gt;"","["&amp;$E5105&amp;"]"&amp;"|"&amp;$Q5105&amp;"|"&amp;$K5105&amp;"|"&amp;$G5105&amp;"|"&amp;IF($G5105="TX_CURR_SUBNAT.R","CY2022Q4",$M5105),"")</f>
        <v>[gwVYinjBAe9]|&lt;01|Male|PLHIV_Residents.T|CY2024Q3</v>
      </c>
    </row>
    <row r="5106" customFormat="false" ht="15" hidden="false" customHeight="false" outlineLevel="0" collapsed="false">
      <c r="D5106" s="0" t="s">
        <v>96</v>
      </c>
      <c r="E5106" s="0" t="s">
        <v>97</v>
      </c>
      <c r="F5106" s="0" t="s">
        <v>98</v>
      </c>
      <c r="G5106" s="0" t="s">
        <v>165</v>
      </c>
      <c r="H5106" s="0" t="s">
        <v>166</v>
      </c>
      <c r="I5106" s="0" t="s">
        <v>33</v>
      </c>
      <c r="J5106" s="0" t="s">
        <v>34</v>
      </c>
      <c r="K5106" s="0" t="s">
        <v>48</v>
      </c>
      <c r="L5106" s="0" t="s">
        <v>49</v>
      </c>
      <c r="M5106" s="0" t="s">
        <v>167</v>
      </c>
      <c r="N5106" s="0" t="n">
        <v>1818</v>
      </c>
      <c r="O5106" s="10" t="n">
        <v>0.694382898742333</v>
      </c>
      <c r="P5106" s="10" t="n">
        <v>0.601251717889681</v>
      </c>
      <c r="Q5106" s="0" t="str">
        <f aca="false">SUBSTITUTE(SUBSTITUTE($I5106,CHAR(61),""),CHAR(34),"")</f>
        <v>01-09</v>
      </c>
      <c r="R5106" s="0" t="str">
        <f aca="false">IF($D5106&lt;&gt;"","["&amp;$E5106&amp;"]"&amp;"|"&amp;$Q5106&amp;"|"&amp;$K5106&amp;"|"&amp;$G5106&amp;"|"&amp;IF($G5106="TX_CURR_SUBNAT.R","CY2022Q4",$M5106),"")</f>
        <v>[gwVYinjBAe9]|01-09|Male|PLHIV_Residents.T|CY2024Q3</v>
      </c>
    </row>
    <row r="5107" customFormat="false" ht="15" hidden="false" customHeight="false" outlineLevel="0" collapsed="false">
      <c r="D5107" s="0" t="s">
        <v>96</v>
      </c>
      <c r="E5107" s="0" t="s">
        <v>97</v>
      </c>
      <c r="F5107" s="0" t="s">
        <v>98</v>
      </c>
      <c r="G5107" s="0" t="s">
        <v>165</v>
      </c>
      <c r="H5107" s="0" t="s">
        <v>166</v>
      </c>
      <c r="I5107" s="0" t="s">
        <v>36</v>
      </c>
      <c r="J5107" s="0" t="s">
        <v>37</v>
      </c>
      <c r="K5107" s="0" t="s">
        <v>48</v>
      </c>
      <c r="L5107" s="0" t="s">
        <v>49</v>
      </c>
      <c r="M5107" s="0" t="s">
        <v>167</v>
      </c>
      <c r="N5107" s="0" t="n">
        <v>1723</v>
      </c>
      <c r="O5107" s="10" t="n">
        <v>0.759163068141788</v>
      </c>
      <c r="P5107" s="10" t="n">
        <v>0.601251717889681</v>
      </c>
      <c r="Q5107" s="0" t="str">
        <f aca="false">SUBSTITUTE(SUBSTITUTE($I5107,CHAR(61),""),CHAR(34),"")</f>
        <v>10-14</v>
      </c>
      <c r="R5107" s="0" t="str">
        <f aca="false">IF($D5107&lt;&gt;"","["&amp;$E5107&amp;"]"&amp;"|"&amp;$Q5107&amp;"|"&amp;$K5107&amp;"|"&amp;$G5107&amp;"|"&amp;IF($G5107="TX_CURR_SUBNAT.R","CY2022Q4",$M5107),"")</f>
        <v>[gwVYinjBAe9]|10-14|Male|PLHIV_Residents.T|CY2024Q3</v>
      </c>
    </row>
    <row r="5108" customFormat="false" ht="15" hidden="false" customHeight="false" outlineLevel="0" collapsed="false">
      <c r="D5108" s="0" t="s">
        <v>96</v>
      </c>
      <c r="E5108" s="0" t="s">
        <v>97</v>
      </c>
      <c r="F5108" s="0" t="s">
        <v>98</v>
      </c>
      <c r="G5108" s="0" t="s">
        <v>165</v>
      </c>
      <c r="H5108" s="0" t="s">
        <v>166</v>
      </c>
      <c r="I5108" s="0" t="s">
        <v>38</v>
      </c>
      <c r="J5108" s="0" t="s">
        <v>39</v>
      </c>
      <c r="K5108" s="0" t="s">
        <v>48</v>
      </c>
      <c r="L5108" s="0" t="s">
        <v>49</v>
      </c>
      <c r="M5108" s="0" t="s">
        <v>167</v>
      </c>
      <c r="N5108" s="0" t="n">
        <v>890</v>
      </c>
      <c r="O5108" s="10" t="n">
        <v>0.464501418871805</v>
      </c>
      <c r="P5108" s="10" t="n">
        <v>0.601251717889681</v>
      </c>
      <c r="Q5108" s="0" t="str">
        <f aca="false">SUBSTITUTE(SUBSTITUTE($I5108,CHAR(61),""),CHAR(34),"")</f>
        <v>15-24</v>
      </c>
      <c r="R5108" s="0" t="str">
        <f aca="false">IF($D5108&lt;&gt;"","["&amp;$E5108&amp;"]"&amp;"|"&amp;$Q5108&amp;"|"&amp;$K5108&amp;"|"&amp;$G5108&amp;"|"&amp;IF($G5108="TX_CURR_SUBNAT.R","CY2022Q4",$M5108),"")</f>
        <v>[gwVYinjBAe9]|15-24|Male|PLHIV_Residents.T|CY2024Q3</v>
      </c>
    </row>
    <row r="5109" customFormat="false" ht="15" hidden="false" customHeight="false" outlineLevel="0" collapsed="false">
      <c r="D5109" s="0" t="s">
        <v>96</v>
      </c>
      <c r="E5109" s="0" t="s">
        <v>97</v>
      </c>
      <c r="F5109" s="0" t="s">
        <v>98</v>
      </c>
      <c r="G5109" s="0" t="s">
        <v>165</v>
      </c>
      <c r="H5109" s="0" t="s">
        <v>166</v>
      </c>
      <c r="I5109" s="0" t="s">
        <v>41</v>
      </c>
      <c r="J5109" s="0" t="s">
        <v>42</v>
      </c>
      <c r="K5109" s="0" t="s">
        <v>48</v>
      </c>
      <c r="L5109" s="0" t="s">
        <v>49</v>
      </c>
      <c r="M5109" s="0" t="s">
        <v>167</v>
      </c>
      <c r="N5109" s="0" t="n">
        <v>664</v>
      </c>
      <c r="O5109" s="10" t="n">
        <v>0.033198299119249</v>
      </c>
      <c r="P5109" s="10" t="n">
        <v>0.601251717889681</v>
      </c>
      <c r="Q5109" s="0" t="str">
        <f aca="false">SUBSTITUTE(SUBSTITUTE($I5109,CHAR(61),""),CHAR(34),"")</f>
        <v>25-34</v>
      </c>
      <c r="R5109" s="0" t="str">
        <f aca="false">IF($D5109&lt;&gt;"","["&amp;$E5109&amp;"]"&amp;"|"&amp;$Q5109&amp;"|"&amp;$K5109&amp;"|"&amp;$G5109&amp;"|"&amp;IF($G5109="TX_CURR_SUBNAT.R","CY2022Q4",$M5109),"")</f>
        <v>[gwVYinjBAe9]|25-34|Male|PLHIV_Residents.T|CY2024Q3</v>
      </c>
    </row>
    <row r="5110" customFormat="false" ht="15" hidden="false" customHeight="false" outlineLevel="0" collapsed="false">
      <c r="D5110" s="0" t="s">
        <v>96</v>
      </c>
      <c r="E5110" s="0" t="s">
        <v>97</v>
      </c>
      <c r="F5110" s="0" t="s">
        <v>98</v>
      </c>
      <c r="G5110" s="0" t="s">
        <v>165</v>
      </c>
      <c r="H5110" s="0" t="s">
        <v>166</v>
      </c>
      <c r="I5110" s="0" t="s">
        <v>43</v>
      </c>
      <c r="J5110" s="0" t="s">
        <v>44</v>
      </c>
      <c r="K5110" s="0" t="s">
        <v>48</v>
      </c>
      <c r="L5110" s="0" t="s">
        <v>49</v>
      </c>
      <c r="M5110" s="0" t="s">
        <v>167</v>
      </c>
      <c r="N5110" s="0" t="n">
        <v>1622</v>
      </c>
      <c r="O5110" s="10" t="n">
        <v>0.957327164011076</v>
      </c>
      <c r="P5110" s="10" t="n">
        <v>0.601251717889681</v>
      </c>
      <c r="Q5110" s="0" t="str">
        <f aca="false">SUBSTITUTE(SUBSTITUTE($I5110,CHAR(61),""),CHAR(34),"")</f>
        <v>35-49</v>
      </c>
      <c r="R5110" s="0" t="str">
        <f aca="false">IF($D5110&lt;&gt;"","["&amp;$E5110&amp;"]"&amp;"|"&amp;$Q5110&amp;"|"&amp;$K5110&amp;"|"&amp;$G5110&amp;"|"&amp;IF($G5110="TX_CURR_SUBNAT.R","CY2022Q4",$M5110),"")</f>
        <v>[gwVYinjBAe9]|35-49|Male|PLHIV_Residents.T|CY2024Q3</v>
      </c>
    </row>
    <row r="5111" customFormat="false" ht="15" hidden="false" customHeight="false" outlineLevel="0" collapsed="false">
      <c r="D5111" s="0" t="s">
        <v>96</v>
      </c>
      <c r="E5111" s="0" t="s">
        <v>97</v>
      </c>
      <c r="F5111" s="0" t="s">
        <v>98</v>
      </c>
      <c r="G5111" s="0" t="s">
        <v>165</v>
      </c>
      <c r="H5111" s="0" t="s">
        <v>166</v>
      </c>
      <c r="I5111" s="0" t="s">
        <v>45</v>
      </c>
      <c r="J5111" s="0" t="s">
        <v>46</v>
      </c>
      <c r="K5111" s="0" t="s">
        <v>48</v>
      </c>
      <c r="L5111" s="0" t="s">
        <v>49</v>
      </c>
      <c r="M5111" s="0" t="s">
        <v>167</v>
      </c>
      <c r="N5111" s="0" t="n">
        <v>599</v>
      </c>
      <c r="O5111" s="10" t="n">
        <v>0.525167446350679</v>
      </c>
      <c r="P5111" s="10" t="n">
        <v>0.601251717889681</v>
      </c>
      <c r="Q5111" s="0" t="str">
        <f aca="false">SUBSTITUTE(SUBSTITUTE($I5111,CHAR(61),""),CHAR(34),"")</f>
        <v>50+</v>
      </c>
      <c r="R5111" s="0" t="str">
        <f aca="false">IF($D5111&lt;&gt;"","["&amp;$E5111&amp;"]"&amp;"|"&amp;$Q5111&amp;"|"&amp;$K5111&amp;"|"&amp;$G5111&amp;"|"&amp;IF($G5111="TX_CURR_SUBNAT.R","CY2022Q4",$M5111),"")</f>
        <v>[gwVYinjBAe9]|50+|Male|PLHIV_Residents.T|CY2024Q3</v>
      </c>
    </row>
    <row r="5112" customFormat="false" ht="15" hidden="false" customHeight="false" outlineLevel="0" collapsed="false">
      <c r="D5112" s="0" t="s">
        <v>99</v>
      </c>
      <c r="E5112" s="0" t="s">
        <v>100</v>
      </c>
      <c r="F5112" s="0" t="s">
        <v>101</v>
      </c>
      <c r="G5112" s="0" t="s">
        <v>165</v>
      </c>
      <c r="H5112" s="0" t="s">
        <v>166</v>
      </c>
      <c r="I5112" s="0" t="s">
        <v>28</v>
      </c>
      <c r="J5112" s="0" t="s">
        <v>29</v>
      </c>
      <c r="K5112" s="0" t="s">
        <v>30</v>
      </c>
      <c r="L5112" s="0" t="s">
        <v>31</v>
      </c>
      <c r="M5112" s="0" t="s">
        <v>167</v>
      </c>
      <c r="N5112" s="0" t="n">
        <v>720</v>
      </c>
      <c r="O5112" s="10" t="n">
        <v>0.00958888279274106</v>
      </c>
      <c r="P5112" s="10" t="n">
        <v>0.577288038097322</v>
      </c>
      <c r="Q5112" s="0" t="str">
        <f aca="false">SUBSTITUTE(SUBSTITUTE($I5112,CHAR(61),""),CHAR(34),"")</f>
        <v>&lt;01</v>
      </c>
      <c r="R5112" s="0" t="str">
        <f aca="false">IF($D5112&lt;&gt;"","["&amp;$E5112&amp;"]"&amp;"|"&amp;$Q5112&amp;"|"&amp;$K5112&amp;"|"&amp;$G5112&amp;"|"&amp;IF($G5112="TX_CURR_SUBNAT.R","CY2022Q4",$M5112),"")</f>
        <v>[mxqa3CDFmIT]|&lt;01|Female|PLHIV_Residents.T|CY2024Q3</v>
      </c>
    </row>
    <row r="5113" customFormat="false" ht="15" hidden="false" customHeight="false" outlineLevel="0" collapsed="false">
      <c r="D5113" s="0" t="s">
        <v>99</v>
      </c>
      <c r="E5113" s="0" t="s">
        <v>100</v>
      </c>
      <c r="F5113" s="0" t="s">
        <v>101</v>
      </c>
      <c r="G5113" s="0" t="s">
        <v>165</v>
      </c>
      <c r="H5113" s="0" t="s">
        <v>166</v>
      </c>
      <c r="I5113" s="0" t="s">
        <v>33</v>
      </c>
      <c r="J5113" s="0" t="s">
        <v>34</v>
      </c>
      <c r="K5113" s="0" t="s">
        <v>30</v>
      </c>
      <c r="L5113" s="0" t="s">
        <v>31</v>
      </c>
      <c r="M5113" s="0" t="s">
        <v>167</v>
      </c>
      <c r="N5113" s="0" t="n">
        <v>1494</v>
      </c>
      <c r="O5113" s="10" t="n">
        <v>0.251638269983232</v>
      </c>
      <c r="P5113" s="10" t="n">
        <v>0.577288038097322</v>
      </c>
      <c r="Q5113" s="0" t="str">
        <f aca="false">SUBSTITUTE(SUBSTITUTE($I5113,CHAR(61),""),CHAR(34),"")</f>
        <v>01-09</v>
      </c>
      <c r="R5113" s="0" t="str">
        <f aca="false">IF($D5113&lt;&gt;"","["&amp;$E5113&amp;"]"&amp;"|"&amp;$Q5113&amp;"|"&amp;$K5113&amp;"|"&amp;$G5113&amp;"|"&amp;IF($G5113="TX_CURR_SUBNAT.R","CY2022Q4",$M5113),"")</f>
        <v>[mxqa3CDFmIT]|01-09|Female|PLHIV_Residents.T|CY2024Q3</v>
      </c>
    </row>
    <row r="5114" customFormat="false" ht="15" hidden="false" customHeight="false" outlineLevel="0" collapsed="false">
      <c r="D5114" s="0" t="s">
        <v>99</v>
      </c>
      <c r="E5114" s="0" t="s">
        <v>100</v>
      </c>
      <c r="F5114" s="0" t="s">
        <v>101</v>
      </c>
      <c r="G5114" s="0" t="s">
        <v>165</v>
      </c>
      <c r="H5114" s="0" t="s">
        <v>166</v>
      </c>
      <c r="I5114" s="0" t="s">
        <v>36</v>
      </c>
      <c r="J5114" s="0" t="s">
        <v>37</v>
      </c>
      <c r="K5114" s="0" t="s">
        <v>30</v>
      </c>
      <c r="L5114" s="0" t="s">
        <v>31</v>
      </c>
      <c r="M5114" s="0" t="s">
        <v>167</v>
      </c>
      <c r="N5114" s="0" t="n">
        <v>1952</v>
      </c>
      <c r="O5114" s="10" t="n">
        <v>0.82403906295076</v>
      </c>
      <c r="P5114" s="10" t="n">
        <v>0.577288038097322</v>
      </c>
      <c r="Q5114" s="0" t="str">
        <f aca="false">SUBSTITUTE(SUBSTITUTE($I5114,CHAR(61),""),CHAR(34),"")</f>
        <v>10-14</v>
      </c>
      <c r="R5114" s="0" t="str">
        <f aca="false">IF($D5114&lt;&gt;"","["&amp;$E5114&amp;"]"&amp;"|"&amp;$Q5114&amp;"|"&amp;$K5114&amp;"|"&amp;$G5114&amp;"|"&amp;IF($G5114="TX_CURR_SUBNAT.R","CY2022Q4",$M5114),"")</f>
        <v>[mxqa3CDFmIT]|10-14|Female|PLHIV_Residents.T|CY2024Q3</v>
      </c>
    </row>
    <row r="5115" customFormat="false" ht="15" hidden="false" customHeight="false" outlineLevel="0" collapsed="false">
      <c r="D5115" s="0" t="s">
        <v>99</v>
      </c>
      <c r="E5115" s="0" t="s">
        <v>100</v>
      </c>
      <c r="F5115" s="0" t="s">
        <v>101</v>
      </c>
      <c r="G5115" s="0" t="s">
        <v>165</v>
      </c>
      <c r="H5115" s="0" t="s">
        <v>166</v>
      </c>
      <c r="I5115" s="0" t="s">
        <v>38</v>
      </c>
      <c r="J5115" s="0" t="s">
        <v>39</v>
      </c>
      <c r="K5115" s="0" t="s">
        <v>30</v>
      </c>
      <c r="L5115" s="0" t="s">
        <v>31</v>
      </c>
      <c r="M5115" s="0" t="s">
        <v>167</v>
      </c>
      <c r="N5115" s="0" t="n">
        <v>553</v>
      </c>
      <c r="O5115" s="10" t="n">
        <v>0.135835543973371</v>
      </c>
      <c r="P5115" s="10" t="n">
        <v>0.577288038097322</v>
      </c>
      <c r="Q5115" s="0" t="str">
        <f aca="false">SUBSTITUTE(SUBSTITUTE($I5115,CHAR(61),""),CHAR(34),"")</f>
        <v>15-24</v>
      </c>
      <c r="R5115" s="0" t="str">
        <f aca="false">IF($D5115&lt;&gt;"","["&amp;$E5115&amp;"]"&amp;"|"&amp;$Q5115&amp;"|"&amp;$K5115&amp;"|"&amp;$G5115&amp;"|"&amp;IF($G5115="TX_CURR_SUBNAT.R","CY2022Q4",$M5115),"")</f>
        <v>[mxqa3CDFmIT]|15-24|Female|PLHIV_Residents.T|CY2024Q3</v>
      </c>
    </row>
    <row r="5116" customFormat="false" ht="15" hidden="false" customHeight="false" outlineLevel="0" collapsed="false">
      <c r="D5116" s="0" t="s">
        <v>99</v>
      </c>
      <c r="E5116" s="0" t="s">
        <v>100</v>
      </c>
      <c r="F5116" s="0" t="s">
        <v>101</v>
      </c>
      <c r="G5116" s="0" t="s">
        <v>165</v>
      </c>
      <c r="H5116" s="0" t="s">
        <v>166</v>
      </c>
      <c r="I5116" s="0" t="s">
        <v>41</v>
      </c>
      <c r="J5116" s="0" t="s">
        <v>42</v>
      </c>
      <c r="K5116" s="0" t="s">
        <v>30</v>
      </c>
      <c r="L5116" s="0" t="s">
        <v>31</v>
      </c>
      <c r="M5116" s="0" t="s">
        <v>167</v>
      </c>
      <c r="N5116" s="0" t="n">
        <v>1825</v>
      </c>
      <c r="O5116" s="10" t="n">
        <v>0.151433755178005</v>
      </c>
      <c r="P5116" s="10" t="n">
        <v>0.577288038097322</v>
      </c>
      <c r="Q5116" s="0" t="str">
        <f aca="false">SUBSTITUTE(SUBSTITUTE($I5116,CHAR(61),""),CHAR(34),"")</f>
        <v>25-34</v>
      </c>
      <c r="R5116" s="0" t="str">
        <f aca="false">IF($D5116&lt;&gt;"","["&amp;$E5116&amp;"]"&amp;"|"&amp;$Q5116&amp;"|"&amp;$K5116&amp;"|"&amp;$G5116&amp;"|"&amp;IF($G5116="TX_CURR_SUBNAT.R","CY2022Q4",$M5116),"")</f>
        <v>[mxqa3CDFmIT]|25-34|Female|PLHIV_Residents.T|CY2024Q3</v>
      </c>
    </row>
    <row r="5117" customFormat="false" ht="15" hidden="false" customHeight="false" outlineLevel="0" collapsed="false">
      <c r="D5117" s="0" t="s">
        <v>99</v>
      </c>
      <c r="E5117" s="0" t="s">
        <v>100</v>
      </c>
      <c r="F5117" s="0" t="s">
        <v>101</v>
      </c>
      <c r="G5117" s="0" t="s">
        <v>165</v>
      </c>
      <c r="H5117" s="0" t="s">
        <v>166</v>
      </c>
      <c r="I5117" s="0" t="s">
        <v>43</v>
      </c>
      <c r="J5117" s="0" t="s">
        <v>44</v>
      </c>
      <c r="K5117" s="0" t="s">
        <v>30</v>
      </c>
      <c r="L5117" s="0" t="s">
        <v>31</v>
      </c>
      <c r="M5117" s="0" t="s">
        <v>167</v>
      </c>
      <c r="N5117" s="0" t="n">
        <v>1038</v>
      </c>
      <c r="O5117" s="10" t="n">
        <v>0.717108693206683</v>
      </c>
      <c r="P5117" s="10" t="n">
        <v>0.577288038097322</v>
      </c>
      <c r="Q5117" s="0" t="str">
        <f aca="false">SUBSTITUTE(SUBSTITUTE($I5117,CHAR(61),""),CHAR(34),"")</f>
        <v>35-49</v>
      </c>
      <c r="R5117" s="0" t="str">
        <f aca="false">IF($D5117&lt;&gt;"","["&amp;$E5117&amp;"]"&amp;"|"&amp;$Q5117&amp;"|"&amp;$K5117&amp;"|"&amp;$G5117&amp;"|"&amp;IF($G5117="TX_CURR_SUBNAT.R","CY2022Q4",$M5117),"")</f>
        <v>[mxqa3CDFmIT]|35-49|Female|PLHIV_Residents.T|CY2024Q3</v>
      </c>
    </row>
    <row r="5118" customFormat="false" ht="15" hidden="false" customHeight="false" outlineLevel="0" collapsed="false">
      <c r="D5118" s="0" t="s">
        <v>99</v>
      </c>
      <c r="E5118" s="0" t="s">
        <v>100</v>
      </c>
      <c r="F5118" s="0" t="s">
        <v>101</v>
      </c>
      <c r="G5118" s="0" t="s">
        <v>165</v>
      </c>
      <c r="H5118" s="0" t="s">
        <v>166</v>
      </c>
      <c r="I5118" s="0" t="s">
        <v>45</v>
      </c>
      <c r="J5118" s="0" t="s">
        <v>46</v>
      </c>
      <c r="K5118" s="0" t="s">
        <v>30</v>
      </c>
      <c r="L5118" s="0" t="s">
        <v>31</v>
      </c>
      <c r="M5118" s="0" t="s">
        <v>167</v>
      </c>
      <c r="N5118" s="0" t="n">
        <v>539</v>
      </c>
      <c r="O5118" s="10" t="n">
        <v>0.0132038341835141</v>
      </c>
      <c r="P5118" s="10" t="n">
        <v>0.577288038097322</v>
      </c>
      <c r="Q5118" s="0" t="str">
        <f aca="false">SUBSTITUTE(SUBSTITUTE($I5118,CHAR(61),""),CHAR(34),"")</f>
        <v>50+</v>
      </c>
      <c r="R5118" s="0" t="str">
        <f aca="false">IF($D5118&lt;&gt;"","["&amp;$E5118&amp;"]"&amp;"|"&amp;$Q5118&amp;"|"&amp;$K5118&amp;"|"&amp;$G5118&amp;"|"&amp;IF($G5118="TX_CURR_SUBNAT.R","CY2022Q4",$M5118),"")</f>
        <v>[mxqa3CDFmIT]|50+|Female|PLHIV_Residents.T|CY2024Q3</v>
      </c>
    </row>
    <row r="5119" customFormat="false" ht="15" hidden="false" customHeight="false" outlineLevel="0" collapsed="false">
      <c r="D5119" s="0" t="s">
        <v>99</v>
      </c>
      <c r="E5119" s="0" t="s">
        <v>100</v>
      </c>
      <c r="F5119" s="0" t="s">
        <v>101</v>
      </c>
      <c r="G5119" s="0" t="s">
        <v>165</v>
      </c>
      <c r="H5119" s="0" t="s">
        <v>166</v>
      </c>
      <c r="I5119" s="0" t="s">
        <v>28</v>
      </c>
      <c r="J5119" s="0" t="s">
        <v>29</v>
      </c>
      <c r="K5119" s="0" t="s">
        <v>48</v>
      </c>
      <c r="L5119" s="0" t="s">
        <v>49</v>
      </c>
      <c r="M5119" s="0" t="s">
        <v>167</v>
      </c>
      <c r="N5119" s="0" t="n">
        <v>1404</v>
      </c>
      <c r="O5119" s="10" t="n">
        <v>0.251837738323957</v>
      </c>
      <c r="P5119" s="10" t="n">
        <v>0.577288038097322</v>
      </c>
      <c r="Q5119" s="0" t="str">
        <f aca="false">SUBSTITUTE(SUBSTITUTE($I5119,CHAR(61),""),CHAR(34),"")</f>
        <v>&lt;01</v>
      </c>
      <c r="R5119" s="0" t="str">
        <f aca="false">IF($D5119&lt;&gt;"","["&amp;$E5119&amp;"]"&amp;"|"&amp;$Q5119&amp;"|"&amp;$K5119&amp;"|"&amp;$G5119&amp;"|"&amp;IF($G5119="TX_CURR_SUBNAT.R","CY2022Q4",$M5119),"")</f>
        <v>[mxqa3CDFmIT]|&lt;01|Male|PLHIV_Residents.T|CY2024Q3</v>
      </c>
    </row>
    <row r="5120" customFormat="false" ht="15" hidden="false" customHeight="false" outlineLevel="0" collapsed="false">
      <c r="D5120" s="0" t="s">
        <v>99</v>
      </c>
      <c r="E5120" s="0" t="s">
        <v>100</v>
      </c>
      <c r="F5120" s="0" t="s">
        <v>101</v>
      </c>
      <c r="G5120" s="0" t="s">
        <v>165</v>
      </c>
      <c r="H5120" s="0" t="s">
        <v>166</v>
      </c>
      <c r="I5120" s="0" t="s">
        <v>33</v>
      </c>
      <c r="J5120" s="0" t="s">
        <v>34</v>
      </c>
      <c r="K5120" s="0" t="s">
        <v>48</v>
      </c>
      <c r="L5120" s="0" t="s">
        <v>49</v>
      </c>
      <c r="M5120" s="0" t="s">
        <v>167</v>
      </c>
      <c r="N5120" s="0" t="n">
        <v>681</v>
      </c>
      <c r="O5120" s="10" t="n">
        <v>0.816338188480586</v>
      </c>
      <c r="P5120" s="10" t="n">
        <v>0.577288038097322</v>
      </c>
      <c r="Q5120" s="0" t="str">
        <f aca="false">SUBSTITUTE(SUBSTITUTE($I5120,CHAR(61),""),CHAR(34),"")</f>
        <v>01-09</v>
      </c>
      <c r="R5120" s="0" t="str">
        <f aca="false">IF($D5120&lt;&gt;"","["&amp;$E5120&amp;"]"&amp;"|"&amp;$Q5120&amp;"|"&amp;$K5120&amp;"|"&amp;$G5120&amp;"|"&amp;IF($G5120="TX_CURR_SUBNAT.R","CY2022Q4",$M5120),"")</f>
        <v>[mxqa3CDFmIT]|01-09|Male|PLHIV_Residents.T|CY2024Q3</v>
      </c>
    </row>
    <row r="5121" customFormat="false" ht="15" hidden="false" customHeight="false" outlineLevel="0" collapsed="false">
      <c r="D5121" s="0" t="s">
        <v>99</v>
      </c>
      <c r="E5121" s="0" t="s">
        <v>100</v>
      </c>
      <c r="F5121" s="0" t="s">
        <v>101</v>
      </c>
      <c r="G5121" s="0" t="s">
        <v>165</v>
      </c>
      <c r="H5121" s="0" t="s">
        <v>166</v>
      </c>
      <c r="I5121" s="0" t="s">
        <v>36</v>
      </c>
      <c r="J5121" s="0" t="s">
        <v>37</v>
      </c>
      <c r="K5121" s="0" t="s">
        <v>48</v>
      </c>
      <c r="L5121" s="0" t="s">
        <v>49</v>
      </c>
      <c r="M5121" s="0" t="s">
        <v>167</v>
      </c>
      <c r="N5121" s="0" t="n">
        <v>1193</v>
      </c>
      <c r="O5121" s="10" t="n">
        <v>0.922061213525012</v>
      </c>
      <c r="P5121" s="10" t="n">
        <v>0.577288038097322</v>
      </c>
      <c r="Q5121" s="0" t="str">
        <f aca="false">SUBSTITUTE(SUBSTITUTE($I5121,CHAR(61),""),CHAR(34),"")</f>
        <v>10-14</v>
      </c>
      <c r="R5121" s="0" t="str">
        <f aca="false">IF($D5121&lt;&gt;"","["&amp;$E5121&amp;"]"&amp;"|"&amp;$Q5121&amp;"|"&amp;$K5121&amp;"|"&amp;$G5121&amp;"|"&amp;IF($G5121="TX_CURR_SUBNAT.R","CY2022Q4",$M5121),"")</f>
        <v>[mxqa3CDFmIT]|10-14|Male|PLHIV_Residents.T|CY2024Q3</v>
      </c>
    </row>
    <row r="5122" customFormat="false" ht="15" hidden="false" customHeight="false" outlineLevel="0" collapsed="false">
      <c r="D5122" s="0" t="s">
        <v>99</v>
      </c>
      <c r="E5122" s="0" t="s">
        <v>100</v>
      </c>
      <c r="F5122" s="0" t="s">
        <v>101</v>
      </c>
      <c r="G5122" s="0" t="s">
        <v>165</v>
      </c>
      <c r="H5122" s="0" t="s">
        <v>166</v>
      </c>
      <c r="I5122" s="0" t="s">
        <v>38</v>
      </c>
      <c r="J5122" s="0" t="s">
        <v>39</v>
      </c>
      <c r="K5122" s="0" t="s">
        <v>48</v>
      </c>
      <c r="L5122" s="0" t="s">
        <v>49</v>
      </c>
      <c r="M5122" s="0" t="s">
        <v>167</v>
      </c>
      <c r="N5122" s="0" t="n">
        <v>857</v>
      </c>
      <c r="O5122" s="10" t="n">
        <v>0.829018873162568</v>
      </c>
      <c r="P5122" s="10" t="n">
        <v>0.577288038097322</v>
      </c>
      <c r="Q5122" s="0" t="str">
        <f aca="false">SUBSTITUTE(SUBSTITUTE($I5122,CHAR(61),""),CHAR(34),"")</f>
        <v>15-24</v>
      </c>
      <c r="R5122" s="0" t="str">
        <f aca="false">IF($D5122&lt;&gt;"","["&amp;$E5122&amp;"]"&amp;"|"&amp;$Q5122&amp;"|"&amp;$K5122&amp;"|"&amp;$G5122&amp;"|"&amp;IF($G5122="TX_CURR_SUBNAT.R","CY2022Q4",$M5122),"")</f>
        <v>[mxqa3CDFmIT]|15-24|Male|PLHIV_Residents.T|CY2024Q3</v>
      </c>
    </row>
    <row r="5123" customFormat="false" ht="15" hidden="false" customHeight="false" outlineLevel="0" collapsed="false">
      <c r="D5123" s="0" t="s">
        <v>99</v>
      </c>
      <c r="E5123" s="0" t="s">
        <v>100</v>
      </c>
      <c r="F5123" s="0" t="s">
        <v>101</v>
      </c>
      <c r="G5123" s="0" t="s">
        <v>165</v>
      </c>
      <c r="H5123" s="0" t="s">
        <v>166</v>
      </c>
      <c r="I5123" s="0" t="s">
        <v>41</v>
      </c>
      <c r="J5123" s="0" t="s">
        <v>42</v>
      </c>
      <c r="K5123" s="0" t="s">
        <v>48</v>
      </c>
      <c r="L5123" s="0" t="s">
        <v>49</v>
      </c>
      <c r="M5123" s="0" t="s">
        <v>167</v>
      </c>
      <c r="N5123" s="0" t="n">
        <v>1121</v>
      </c>
      <c r="O5123" s="10" t="n">
        <v>0.287257747724652</v>
      </c>
      <c r="P5123" s="10" t="n">
        <v>0.577288038097322</v>
      </c>
      <c r="Q5123" s="0" t="str">
        <f aca="false">SUBSTITUTE(SUBSTITUTE($I5123,CHAR(61),""),CHAR(34),"")</f>
        <v>25-34</v>
      </c>
      <c r="R5123" s="0" t="str">
        <f aca="false">IF($D5123&lt;&gt;"","["&amp;$E5123&amp;"]"&amp;"|"&amp;$Q5123&amp;"|"&amp;$K5123&amp;"|"&amp;$G5123&amp;"|"&amp;IF($G5123="TX_CURR_SUBNAT.R","CY2022Q4",$M5123),"")</f>
        <v>[mxqa3CDFmIT]|25-34|Male|PLHIV_Residents.T|CY2024Q3</v>
      </c>
    </row>
    <row r="5124" customFormat="false" ht="15" hidden="false" customHeight="false" outlineLevel="0" collapsed="false">
      <c r="D5124" s="0" t="s">
        <v>99</v>
      </c>
      <c r="E5124" s="0" t="s">
        <v>100</v>
      </c>
      <c r="F5124" s="0" t="s">
        <v>101</v>
      </c>
      <c r="G5124" s="0" t="s">
        <v>165</v>
      </c>
      <c r="H5124" s="0" t="s">
        <v>166</v>
      </c>
      <c r="I5124" s="0" t="s">
        <v>43</v>
      </c>
      <c r="J5124" s="0" t="s">
        <v>44</v>
      </c>
      <c r="K5124" s="0" t="s">
        <v>48</v>
      </c>
      <c r="L5124" s="0" t="s">
        <v>49</v>
      </c>
      <c r="M5124" s="0" t="s">
        <v>167</v>
      </c>
      <c r="N5124" s="0" t="n">
        <v>1697</v>
      </c>
      <c r="O5124" s="10" t="n">
        <v>0.77884227107279</v>
      </c>
      <c r="P5124" s="10" t="n">
        <v>0.577288038097322</v>
      </c>
      <c r="Q5124" s="0" t="str">
        <f aca="false">SUBSTITUTE(SUBSTITUTE($I5124,CHAR(61),""),CHAR(34),"")</f>
        <v>35-49</v>
      </c>
      <c r="R5124" s="0" t="str">
        <f aca="false">IF($D5124&lt;&gt;"","["&amp;$E5124&amp;"]"&amp;"|"&amp;$Q5124&amp;"|"&amp;$K5124&amp;"|"&amp;$G5124&amp;"|"&amp;IF($G5124="TX_CURR_SUBNAT.R","CY2022Q4",$M5124),"")</f>
        <v>[mxqa3CDFmIT]|35-49|Male|PLHIV_Residents.T|CY2024Q3</v>
      </c>
    </row>
    <row r="5125" customFormat="false" ht="15" hidden="false" customHeight="false" outlineLevel="0" collapsed="false">
      <c r="D5125" s="0" t="s">
        <v>99</v>
      </c>
      <c r="E5125" s="0" t="s">
        <v>100</v>
      </c>
      <c r="F5125" s="0" t="s">
        <v>101</v>
      </c>
      <c r="G5125" s="0" t="s">
        <v>165</v>
      </c>
      <c r="H5125" s="0" t="s">
        <v>166</v>
      </c>
      <c r="I5125" s="0" t="s">
        <v>45</v>
      </c>
      <c r="J5125" s="0" t="s">
        <v>46</v>
      </c>
      <c r="K5125" s="0" t="s">
        <v>48</v>
      </c>
      <c r="L5125" s="0" t="s">
        <v>49</v>
      </c>
      <c r="M5125" s="0" t="s">
        <v>167</v>
      </c>
      <c r="N5125" s="0" t="n">
        <v>1711</v>
      </c>
      <c r="O5125" s="10" t="n">
        <v>0.17629729770124</v>
      </c>
      <c r="P5125" s="10" t="n">
        <v>0.577288038097322</v>
      </c>
      <c r="Q5125" s="0" t="str">
        <f aca="false">SUBSTITUTE(SUBSTITUTE($I5125,CHAR(61),""),CHAR(34),"")</f>
        <v>50+</v>
      </c>
      <c r="R5125" s="0" t="str">
        <f aca="false">IF($D5125&lt;&gt;"","["&amp;$E5125&amp;"]"&amp;"|"&amp;$Q5125&amp;"|"&amp;$K5125&amp;"|"&amp;$G5125&amp;"|"&amp;IF($G5125="TX_CURR_SUBNAT.R","CY2022Q4",$M5125),"")</f>
        <v>[mxqa3CDFmIT]|50+|Male|PLHIV_Residents.T|CY2024Q3</v>
      </c>
    </row>
    <row r="5126" customFormat="false" ht="15" hidden="false" customHeight="false" outlineLevel="0" collapsed="false">
      <c r="D5126" s="0" t="s">
        <v>102</v>
      </c>
      <c r="E5126" s="0" t="s">
        <v>103</v>
      </c>
      <c r="F5126" s="0" t="s">
        <v>104</v>
      </c>
      <c r="G5126" s="0" t="s">
        <v>165</v>
      </c>
      <c r="H5126" s="0" t="s">
        <v>166</v>
      </c>
      <c r="I5126" s="0" t="s">
        <v>28</v>
      </c>
      <c r="J5126" s="0" t="s">
        <v>29</v>
      </c>
      <c r="K5126" s="0" t="s">
        <v>30</v>
      </c>
      <c r="L5126" s="0" t="s">
        <v>31</v>
      </c>
      <c r="M5126" s="0" t="s">
        <v>167</v>
      </c>
      <c r="N5126" s="0" t="n">
        <v>1244</v>
      </c>
      <c r="O5126" s="10" t="n">
        <v>0.912807570537552</v>
      </c>
      <c r="P5126" s="10" t="n">
        <v>0.526212359312922</v>
      </c>
      <c r="Q5126" s="0" t="str">
        <f aca="false">SUBSTITUTE(SUBSTITUTE($I5126,CHAR(61),""),CHAR(34),"")</f>
        <v>&lt;01</v>
      </c>
      <c r="R5126" s="0" t="str">
        <f aca="false">IF($D5126&lt;&gt;"","["&amp;$E5126&amp;"]"&amp;"|"&amp;$Q5126&amp;"|"&amp;$K5126&amp;"|"&amp;$G5126&amp;"|"&amp;IF($G5126="TX_CURR_SUBNAT.R","CY2022Q4",$M5126),"")</f>
        <v>[wNqJp8oRIcF]|&lt;01|Female|PLHIV_Residents.T|CY2024Q3</v>
      </c>
    </row>
    <row r="5127" customFormat="false" ht="15" hidden="false" customHeight="false" outlineLevel="0" collapsed="false">
      <c r="D5127" s="0" t="s">
        <v>102</v>
      </c>
      <c r="E5127" s="0" t="s">
        <v>103</v>
      </c>
      <c r="F5127" s="0" t="s">
        <v>104</v>
      </c>
      <c r="G5127" s="0" t="s">
        <v>165</v>
      </c>
      <c r="H5127" s="0" t="s">
        <v>166</v>
      </c>
      <c r="I5127" s="0" t="s">
        <v>33</v>
      </c>
      <c r="J5127" s="0" t="s">
        <v>34</v>
      </c>
      <c r="K5127" s="0" t="s">
        <v>30</v>
      </c>
      <c r="L5127" s="0" t="s">
        <v>31</v>
      </c>
      <c r="M5127" s="0" t="s">
        <v>167</v>
      </c>
      <c r="N5127" s="0" t="n">
        <v>1259</v>
      </c>
      <c r="O5127" s="10" t="n">
        <v>0.505997456610203</v>
      </c>
      <c r="P5127" s="10" t="n">
        <v>0.526212359312922</v>
      </c>
      <c r="Q5127" s="0" t="str">
        <f aca="false">SUBSTITUTE(SUBSTITUTE($I5127,CHAR(61),""),CHAR(34),"")</f>
        <v>01-09</v>
      </c>
      <c r="R5127" s="0" t="str">
        <f aca="false">IF($D5127&lt;&gt;"","["&amp;$E5127&amp;"]"&amp;"|"&amp;$Q5127&amp;"|"&amp;$K5127&amp;"|"&amp;$G5127&amp;"|"&amp;IF($G5127="TX_CURR_SUBNAT.R","CY2022Q4",$M5127),"")</f>
        <v>[wNqJp8oRIcF]|01-09|Female|PLHIV_Residents.T|CY2024Q3</v>
      </c>
    </row>
    <row r="5128" customFormat="false" ht="15" hidden="false" customHeight="false" outlineLevel="0" collapsed="false">
      <c r="D5128" s="0" t="s">
        <v>102</v>
      </c>
      <c r="E5128" s="0" t="s">
        <v>103</v>
      </c>
      <c r="F5128" s="0" t="s">
        <v>104</v>
      </c>
      <c r="G5128" s="0" t="s">
        <v>165</v>
      </c>
      <c r="H5128" s="0" t="s">
        <v>166</v>
      </c>
      <c r="I5128" s="0" t="s">
        <v>36</v>
      </c>
      <c r="J5128" s="0" t="s">
        <v>37</v>
      </c>
      <c r="K5128" s="0" t="s">
        <v>30</v>
      </c>
      <c r="L5128" s="0" t="s">
        <v>31</v>
      </c>
      <c r="M5128" s="0" t="s">
        <v>167</v>
      </c>
      <c r="N5128" s="0" t="n">
        <v>813</v>
      </c>
      <c r="O5128" s="10" t="n">
        <v>0.542838369496167</v>
      </c>
      <c r="P5128" s="10" t="n">
        <v>0.526212359312922</v>
      </c>
      <c r="Q5128" s="0" t="str">
        <f aca="false">SUBSTITUTE(SUBSTITUTE($I5128,CHAR(61),""),CHAR(34),"")</f>
        <v>10-14</v>
      </c>
      <c r="R5128" s="0" t="str">
        <f aca="false">IF($D5128&lt;&gt;"","["&amp;$E5128&amp;"]"&amp;"|"&amp;$Q5128&amp;"|"&amp;$K5128&amp;"|"&amp;$G5128&amp;"|"&amp;IF($G5128="TX_CURR_SUBNAT.R","CY2022Q4",$M5128),"")</f>
        <v>[wNqJp8oRIcF]|10-14|Female|PLHIV_Residents.T|CY2024Q3</v>
      </c>
    </row>
    <row r="5129" customFormat="false" ht="15" hidden="false" customHeight="false" outlineLevel="0" collapsed="false">
      <c r="D5129" s="0" t="s">
        <v>102</v>
      </c>
      <c r="E5129" s="0" t="s">
        <v>103</v>
      </c>
      <c r="F5129" s="0" t="s">
        <v>104</v>
      </c>
      <c r="G5129" s="0" t="s">
        <v>165</v>
      </c>
      <c r="H5129" s="0" t="s">
        <v>166</v>
      </c>
      <c r="I5129" s="0" t="s">
        <v>38</v>
      </c>
      <c r="J5129" s="0" t="s">
        <v>39</v>
      </c>
      <c r="K5129" s="0" t="s">
        <v>30</v>
      </c>
      <c r="L5129" s="0" t="s">
        <v>31</v>
      </c>
      <c r="M5129" s="0" t="s">
        <v>167</v>
      </c>
      <c r="N5129" s="0" t="n">
        <v>1532</v>
      </c>
      <c r="O5129" s="10" t="n">
        <v>0.396616352023557</v>
      </c>
      <c r="P5129" s="10" t="n">
        <v>0.526212359312922</v>
      </c>
      <c r="Q5129" s="0" t="str">
        <f aca="false">SUBSTITUTE(SUBSTITUTE($I5129,CHAR(61),""),CHAR(34),"")</f>
        <v>15-24</v>
      </c>
      <c r="R5129" s="0" t="str">
        <f aca="false">IF($D5129&lt;&gt;"","["&amp;$E5129&amp;"]"&amp;"|"&amp;$Q5129&amp;"|"&amp;$K5129&amp;"|"&amp;$G5129&amp;"|"&amp;IF($G5129="TX_CURR_SUBNAT.R","CY2022Q4",$M5129),"")</f>
        <v>[wNqJp8oRIcF]|15-24|Female|PLHIV_Residents.T|CY2024Q3</v>
      </c>
    </row>
    <row r="5130" customFormat="false" ht="15" hidden="false" customHeight="false" outlineLevel="0" collapsed="false">
      <c r="D5130" s="0" t="s">
        <v>102</v>
      </c>
      <c r="E5130" s="0" t="s">
        <v>103</v>
      </c>
      <c r="F5130" s="0" t="s">
        <v>104</v>
      </c>
      <c r="G5130" s="0" t="s">
        <v>165</v>
      </c>
      <c r="H5130" s="0" t="s">
        <v>166</v>
      </c>
      <c r="I5130" s="0" t="s">
        <v>41</v>
      </c>
      <c r="J5130" s="0" t="s">
        <v>42</v>
      </c>
      <c r="K5130" s="0" t="s">
        <v>30</v>
      </c>
      <c r="L5130" s="0" t="s">
        <v>31</v>
      </c>
      <c r="M5130" s="0" t="s">
        <v>167</v>
      </c>
      <c r="N5130" s="0" t="n">
        <v>1274</v>
      </c>
      <c r="O5130" s="10" t="n">
        <v>0.331489997915924</v>
      </c>
      <c r="P5130" s="10" t="n">
        <v>0.526212359312922</v>
      </c>
      <c r="Q5130" s="0" t="str">
        <f aca="false">SUBSTITUTE(SUBSTITUTE($I5130,CHAR(61),""),CHAR(34),"")</f>
        <v>25-34</v>
      </c>
      <c r="R5130" s="0" t="str">
        <f aca="false">IF($D5130&lt;&gt;"","["&amp;$E5130&amp;"]"&amp;"|"&amp;$Q5130&amp;"|"&amp;$K5130&amp;"|"&amp;$G5130&amp;"|"&amp;IF($G5130="TX_CURR_SUBNAT.R","CY2022Q4",$M5130),"")</f>
        <v>[wNqJp8oRIcF]|25-34|Female|PLHIV_Residents.T|CY2024Q3</v>
      </c>
    </row>
    <row r="5131" customFormat="false" ht="15" hidden="false" customHeight="false" outlineLevel="0" collapsed="false">
      <c r="D5131" s="0" t="s">
        <v>102</v>
      </c>
      <c r="E5131" s="0" t="s">
        <v>103</v>
      </c>
      <c r="F5131" s="0" t="s">
        <v>104</v>
      </c>
      <c r="G5131" s="0" t="s">
        <v>165</v>
      </c>
      <c r="H5131" s="0" t="s">
        <v>166</v>
      </c>
      <c r="I5131" s="0" t="s">
        <v>43</v>
      </c>
      <c r="J5131" s="0" t="s">
        <v>44</v>
      </c>
      <c r="K5131" s="0" t="s">
        <v>30</v>
      </c>
      <c r="L5131" s="0" t="s">
        <v>31</v>
      </c>
      <c r="M5131" s="0" t="s">
        <v>167</v>
      </c>
      <c r="N5131" s="0" t="n">
        <v>953</v>
      </c>
      <c r="O5131" s="10" t="n">
        <v>0.452887253835797</v>
      </c>
      <c r="P5131" s="10" t="n">
        <v>0.526212359312922</v>
      </c>
      <c r="Q5131" s="0" t="str">
        <f aca="false">SUBSTITUTE(SUBSTITUTE($I5131,CHAR(61),""),CHAR(34),"")</f>
        <v>35-49</v>
      </c>
      <c r="R5131" s="0" t="str">
        <f aca="false">IF($D5131&lt;&gt;"","["&amp;$E5131&amp;"]"&amp;"|"&amp;$Q5131&amp;"|"&amp;$K5131&amp;"|"&amp;$G5131&amp;"|"&amp;IF($G5131="TX_CURR_SUBNAT.R","CY2022Q4",$M5131),"")</f>
        <v>[wNqJp8oRIcF]|35-49|Female|PLHIV_Residents.T|CY2024Q3</v>
      </c>
    </row>
    <row r="5132" customFormat="false" ht="15" hidden="false" customHeight="false" outlineLevel="0" collapsed="false">
      <c r="D5132" s="0" t="s">
        <v>102</v>
      </c>
      <c r="E5132" s="0" t="s">
        <v>103</v>
      </c>
      <c r="F5132" s="0" t="s">
        <v>104</v>
      </c>
      <c r="G5132" s="0" t="s">
        <v>165</v>
      </c>
      <c r="H5132" s="0" t="s">
        <v>166</v>
      </c>
      <c r="I5132" s="0" t="s">
        <v>45</v>
      </c>
      <c r="J5132" s="0" t="s">
        <v>46</v>
      </c>
      <c r="K5132" s="0" t="s">
        <v>30</v>
      </c>
      <c r="L5132" s="0" t="s">
        <v>31</v>
      </c>
      <c r="M5132" s="0" t="s">
        <v>167</v>
      </c>
      <c r="N5132" s="0" t="n">
        <v>646</v>
      </c>
      <c r="O5132" s="10" t="n">
        <v>0.823772058822215</v>
      </c>
      <c r="P5132" s="10" t="n">
        <v>0.526212359312922</v>
      </c>
      <c r="Q5132" s="0" t="str">
        <f aca="false">SUBSTITUTE(SUBSTITUTE($I5132,CHAR(61),""),CHAR(34),"")</f>
        <v>50+</v>
      </c>
      <c r="R5132" s="0" t="str">
        <f aca="false">IF($D5132&lt;&gt;"","["&amp;$E5132&amp;"]"&amp;"|"&amp;$Q5132&amp;"|"&amp;$K5132&amp;"|"&amp;$G5132&amp;"|"&amp;IF($G5132="TX_CURR_SUBNAT.R","CY2022Q4",$M5132),"")</f>
        <v>[wNqJp8oRIcF]|50+|Female|PLHIV_Residents.T|CY2024Q3</v>
      </c>
    </row>
    <row r="5133" customFormat="false" ht="15" hidden="false" customHeight="false" outlineLevel="0" collapsed="false">
      <c r="D5133" s="0" t="s">
        <v>102</v>
      </c>
      <c r="E5133" s="0" t="s">
        <v>103</v>
      </c>
      <c r="F5133" s="0" t="s">
        <v>104</v>
      </c>
      <c r="G5133" s="0" t="s">
        <v>165</v>
      </c>
      <c r="H5133" s="0" t="s">
        <v>166</v>
      </c>
      <c r="I5133" s="0" t="s">
        <v>28</v>
      </c>
      <c r="J5133" s="0" t="s">
        <v>29</v>
      </c>
      <c r="K5133" s="0" t="s">
        <v>48</v>
      </c>
      <c r="L5133" s="0" t="s">
        <v>49</v>
      </c>
      <c r="M5133" s="0" t="s">
        <v>167</v>
      </c>
      <c r="N5133" s="0" t="n">
        <v>1717</v>
      </c>
      <c r="O5133" s="10" t="n">
        <v>0.839463606709614</v>
      </c>
      <c r="P5133" s="10" t="n">
        <v>0.526212359312922</v>
      </c>
      <c r="Q5133" s="0" t="str">
        <f aca="false">SUBSTITUTE(SUBSTITUTE($I5133,CHAR(61),""),CHAR(34),"")</f>
        <v>&lt;01</v>
      </c>
      <c r="R5133" s="0" t="str">
        <f aca="false">IF($D5133&lt;&gt;"","["&amp;$E5133&amp;"]"&amp;"|"&amp;$Q5133&amp;"|"&amp;$K5133&amp;"|"&amp;$G5133&amp;"|"&amp;IF($G5133="TX_CURR_SUBNAT.R","CY2022Q4",$M5133),"")</f>
        <v>[wNqJp8oRIcF]|&lt;01|Male|PLHIV_Residents.T|CY2024Q3</v>
      </c>
    </row>
    <row r="5134" customFormat="false" ht="15" hidden="false" customHeight="false" outlineLevel="0" collapsed="false">
      <c r="D5134" s="0" t="s">
        <v>102</v>
      </c>
      <c r="E5134" s="0" t="s">
        <v>103</v>
      </c>
      <c r="F5134" s="0" t="s">
        <v>104</v>
      </c>
      <c r="G5134" s="0" t="s">
        <v>165</v>
      </c>
      <c r="H5134" s="0" t="s">
        <v>166</v>
      </c>
      <c r="I5134" s="0" t="s">
        <v>33</v>
      </c>
      <c r="J5134" s="0" t="s">
        <v>34</v>
      </c>
      <c r="K5134" s="0" t="s">
        <v>48</v>
      </c>
      <c r="L5134" s="0" t="s">
        <v>49</v>
      </c>
      <c r="M5134" s="0" t="s">
        <v>167</v>
      </c>
      <c r="N5134" s="0" t="n">
        <v>1915</v>
      </c>
      <c r="O5134" s="10" t="n">
        <v>0.78458434692584</v>
      </c>
      <c r="P5134" s="10" t="n">
        <v>0.526212359312922</v>
      </c>
      <c r="Q5134" s="0" t="str">
        <f aca="false">SUBSTITUTE(SUBSTITUTE($I5134,CHAR(61),""),CHAR(34),"")</f>
        <v>01-09</v>
      </c>
      <c r="R5134" s="0" t="str">
        <f aca="false">IF($D5134&lt;&gt;"","["&amp;$E5134&amp;"]"&amp;"|"&amp;$Q5134&amp;"|"&amp;$K5134&amp;"|"&amp;$G5134&amp;"|"&amp;IF($G5134="TX_CURR_SUBNAT.R","CY2022Q4",$M5134),"")</f>
        <v>[wNqJp8oRIcF]|01-09|Male|PLHIV_Residents.T|CY2024Q3</v>
      </c>
    </row>
    <row r="5135" customFormat="false" ht="15" hidden="false" customHeight="false" outlineLevel="0" collapsed="false">
      <c r="D5135" s="0" t="s">
        <v>102</v>
      </c>
      <c r="E5135" s="0" t="s">
        <v>103</v>
      </c>
      <c r="F5135" s="0" t="s">
        <v>104</v>
      </c>
      <c r="G5135" s="0" t="s">
        <v>165</v>
      </c>
      <c r="H5135" s="0" t="s">
        <v>166</v>
      </c>
      <c r="I5135" s="0" t="s">
        <v>36</v>
      </c>
      <c r="J5135" s="0" t="s">
        <v>37</v>
      </c>
      <c r="K5135" s="0" t="s">
        <v>48</v>
      </c>
      <c r="L5135" s="0" t="s">
        <v>49</v>
      </c>
      <c r="M5135" s="0" t="s">
        <v>167</v>
      </c>
      <c r="N5135" s="0" t="n">
        <v>1606</v>
      </c>
      <c r="O5135" s="10" t="n">
        <v>0.637022144161165</v>
      </c>
      <c r="P5135" s="10" t="n">
        <v>0.526212359312922</v>
      </c>
      <c r="Q5135" s="0" t="str">
        <f aca="false">SUBSTITUTE(SUBSTITUTE($I5135,CHAR(61),""),CHAR(34),"")</f>
        <v>10-14</v>
      </c>
      <c r="R5135" s="0" t="str">
        <f aca="false">IF($D5135&lt;&gt;"","["&amp;$E5135&amp;"]"&amp;"|"&amp;$Q5135&amp;"|"&amp;$K5135&amp;"|"&amp;$G5135&amp;"|"&amp;IF($G5135="TX_CURR_SUBNAT.R","CY2022Q4",$M5135),"")</f>
        <v>[wNqJp8oRIcF]|10-14|Male|PLHIV_Residents.T|CY2024Q3</v>
      </c>
    </row>
    <row r="5136" customFormat="false" ht="15" hidden="false" customHeight="false" outlineLevel="0" collapsed="false">
      <c r="D5136" s="0" t="s">
        <v>102</v>
      </c>
      <c r="E5136" s="0" t="s">
        <v>103</v>
      </c>
      <c r="F5136" s="0" t="s">
        <v>104</v>
      </c>
      <c r="G5136" s="0" t="s">
        <v>165</v>
      </c>
      <c r="H5136" s="0" t="s">
        <v>166</v>
      </c>
      <c r="I5136" s="0" t="s">
        <v>38</v>
      </c>
      <c r="J5136" s="0" t="s">
        <v>39</v>
      </c>
      <c r="K5136" s="0" t="s">
        <v>48</v>
      </c>
      <c r="L5136" s="0" t="s">
        <v>49</v>
      </c>
      <c r="M5136" s="0" t="s">
        <v>167</v>
      </c>
      <c r="N5136" s="0" t="n">
        <v>1527</v>
      </c>
      <c r="O5136" s="10" t="n">
        <v>0.0818003634922206</v>
      </c>
      <c r="P5136" s="10" t="n">
        <v>0.526212359312922</v>
      </c>
      <c r="Q5136" s="0" t="str">
        <f aca="false">SUBSTITUTE(SUBSTITUTE($I5136,CHAR(61),""),CHAR(34),"")</f>
        <v>15-24</v>
      </c>
      <c r="R5136" s="0" t="str">
        <f aca="false">IF($D5136&lt;&gt;"","["&amp;$E5136&amp;"]"&amp;"|"&amp;$Q5136&amp;"|"&amp;$K5136&amp;"|"&amp;$G5136&amp;"|"&amp;IF($G5136="TX_CURR_SUBNAT.R","CY2022Q4",$M5136),"")</f>
        <v>[wNqJp8oRIcF]|15-24|Male|PLHIV_Residents.T|CY2024Q3</v>
      </c>
    </row>
    <row r="5137" customFormat="false" ht="15" hidden="false" customHeight="false" outlineLevel="0" collapsed="false">
      <c r="D5137" s="0" t="s">
        <v>102</v>
      </c>
      <c r="E5137" s="0" t="s">
        <v>103</v>
      </c>
      <c r="F5137" s="0" t="s">
        <v>104</v>
      </c>
      <c r="G5137" s="0" t="s">
        <v>165</v>
      </c>
      <c r="H5137" s="0" t="s">
        <v>166</v>
      </c>
      <c r="I5137" s="0" t="s">
        <v>41</v>
      </c>
      <c r="J5137" s="0" t="s">
        <v>42</v>
      </c>
      <c r="K5137" s="0" t="s">
        <v>48</v>
      </c>
      <c r="L5137" s="0" t="s">
        <v>49</v>
      </c>
      <c r="M5137" s="0" t="s">
        <v>167</v>
      </c>
      <c r="N5137" s="0" t="n">
        <v>724</v>
      </c>
      <c r="O5137" s="10" t="n">
        <v>0.179148917086422</v>
      </c>
      <c r="P5137" s="10" t="n">
        <v>0.526212359312922</v>
      </c>
      <c r="Q5137" s="0" t="str">
        <f aca="false">SUBSTITUTE(SUBSTITUTE($I5137,CHAR(61),""),CHAR(34),"")</f>
        <v>25-34</v>
      </c>
      <c r="R5137" s="0" t="str">
        <f aca="false">IF($D5137&lt;&gt;"","["&amp;$E5137&amp;"]"&amp;"|"&amp;$Q5137&amp;"|"&amp;$K5137&amp;"|"&amp;$G5137&amp;"|"&amp;IF($G5137="TX_CURR_SUBNAT.R","CY2022Q4",$M5137),"")</f>
        <v>[wNqJp8oRIcF]|25-34|Male|PLHIV_Residents.T|CY2024Q3</v>
      </c>
    </row>
    <row r="5138" customFormat="false" ht="15" hidden="false" customHeight="false" outlineLevel="0" collapsed="false">
      <c r="D5138" s="0" t="s">
        <v>102</v>
      </c>
      <c r="E5138" s="0" t="s">
        <v>103</v>
      </c>
      <c r="F5138" s="0" t="s">
        <v>104</v>
      </c>
      <c r="G5138" s="0" t="s">
        <v>165</v>
      </c>
      <c r="H5138" s="0" t="s">
        <v>166</v>
      </c>
      <c r="I5138" s="0" t="s">
        <v>43</v>
      </c>
      <c r="J5138" s="0" t="s">
        <v>44</v>
      </c>
      <c r="K5138" s="0" t="s">
        <v>48</v>
      </c>
      <c r="L5138" s="0" t="s">
        <v>49</v>
      </c>
      <c r="M5138" s="0" t="s">
        <v>167</v>
      </c>
      <c r="N5138" s="0" t="n">
        <v>1157</v>
      </c>
      <c r="O5138" s="10" t="n">
        <v>0.156466041924432</v>
      </c>
      <c r="P5138" s="10" t="n">
        <v>0.526212359312922</v>
      </c>
      <c r="Q5138" s="0" t="str">
        <f aca="false">SUBSTITUTE(SUBSTITUTE($I5138,CHAR(61),""),CHAR(34),"")</f>
        <v>35-49</v>
      </c>
      <c r="R5138" s="0" t="str">
        <f aca="false">IF($D5138&lt;&gt;"","["&amp;$E5138&amp;"]"&amp;"|"&amp;$Q5138&amp;"|"&amp;$K5138&amp;"|"&amp;$G5138&amp;"|"&amp;IF($G5138="TX_CURR_SUBNAT.R","CY2022Q4",$M5138),"")</f>
        <v>[wNqJp8oRIcF]|35-49|Male|PLHIV_Residents.T|CY2024Q3</v>
      </c>
    </row>
    <row r="5139" customFormat="false" ht="15" hidden="false" customHeight="false" outlineLevel="0" collapsed="false">
      <c r="D5139" s="0" t="s">
        <v>102</v>
      </c>
      <c r="E5139" s="0" t="s">
        <v>103</v>
      </c>
      <c r="F5139" s="0" t="s">
        <v>104</v>
      </c>
      <c r="G5139" s="0" t="s">
        <v>165</v>
      </c>
      <c r="H5139" s="0" t="s">
        <v>166</v>
      </c>
      <c r="I5139" s="0" t="s">
        <v>45</v>
      </c>
      <c r="J5139" s="0" t="s">
        <v>46</v>
      </c>
      <c r="K5139" s="0" t="s">
        <v>48</v>
      </c>
      <c r="L5139" s="0" t="s">
        <v>49</v>
      </c>
      <c r="M5139" s="0" t="s">
        <v>167</v>
      </c>
      <c r="N5139" s="0" t="n">
        <v>1928</v>
      </c>
      <c r="O5139" s="10" t="n">
        <v>0.708191233687103</v>
      </c>
      <c r="P5139" s="10" t="n">
        <v>0.526212359312922</v>
      </c>
      <c r="Q5139" s="0" t="str">
        <f aca="false">SUBSTITUTE(SUBSTITUTE($I5139,CHAR(61),""),CHAR(34),"")</f>
        <v>50+</v>
      </c>
      <c r="R5139" s="0" t="str">
        <f aca="false">IF($D5139&lt;&gt;"","["&amp;$E5139&amp;"]"&amp;"|"&amp;$Q5139&amp;"|"&amp;$K5139&amp;"|"&amp;$G5139&amp;"|"&amp;IF($G5139="TX_CURR_SUBNAT.R","CY2022Q4",$M5139),"")</f>
        <v>[wNqJp8oRIcF]|50+|Male|PLHIV_Residents.T|CY2024Q3</v>
      </c>
    </row>
    <row r="5140" customFormat="false" ht="15" hidden="false" customHeight="false" outlineLevel="0" collapsed="false">
      <c r="D5140" s="0" t="s">
        <v>105</v>
      </c>
      <c r="E5140" s="0" t="s">
        <v>106</v>
      </c>
      <c r="F5140" s="0" t="s">
        <v>107</v>
      </c>
      <c r="G5140" s="0" t="s">
        <v>165</v>
      </c>
      <c r="H5140" s="0" t="s">
        <v>166</v>
      </c>
      <c r="I5140" s="0" t="s">
        <v>28</v>
      </c>
      <c r="J5140" s="0" t="s">
        <v>29</v>
      </c>
      <c r="K5140" s="0" t="s">
        <v>30</v>
      </c>
      <c r="L5140" s="0" t="s">
        <v>31</v>
      </c>
      <c r="M5140" s="0" t="s">
        <v>167</v>
      </c>
      <c r="N5140" s="0" t="n">
        <v>1531</v>
      </c>
      <c r="O5140" s="10" t="n">
        <v>0.34624458826147</v>
      </c>
      <c r="P5140" s="10" t="n">
        <v>0.218249560333788</v>
      </c>
      <c r="Q5140" s="0" t="str">
        <f aca="false">SUBSTITUTE(SUBSTITUTE($I5140,CHAR(61),""),CHAR(34),"")</f>
        <v>&lt;01</v>
      </c>
      <c r="R5140" s="0" t="str">
        <f aca="false">IF($D5140&lt;&gt;"","["&amp;$E5140&amp;"]"&amp;"|"&amp;$Q5140&amp;"|"&amp;$K5140&amp;"|"&amp;$G5140&amp;"|"&amp;IF($G5140="TX_CURR_SUBNAT.R","CY2022Q4",$M5140),"")</f>
        <v>[oiPR2CiVJbf]|&lt;01|Female|PLHIV_Residents.T|CY2024Q3</v>
      </c>
    </row>
    <row r="5141" customFormat="false" ht="15" hidden="false" customHeight="false" outlineLevel="0" collapsed="false">
      <c r="D5141" s="0" t="s">
        <v>105</v>
      </c>
      <c r="E5141" s="0" t="s">
        <v>106</v>
      </c>
      <c r="F5141" s="0" t="s">
        <v>107</v>
      </c>
      <c r="G5141" s="0" t="s">
        <v>165</v>
      </c>
      <c r="H5141" s="0" t="s">
        <v>166</v>
      </c>
      <c r="I5141" s="0" t="s">
        <v>33</v>
      </c>
      <c r="J5141" s="0" t="s">
        <v>34</v>
      </c>
      <c r="K5141" s="0" t="s">
        <v>30</v>
      </c>
      <c r="L5141" s="0" t="s">
        <v>31</v>
      </c>
      <c r="M5141" s="0" t="s">
        <v>167</v>
      </c>
      <c r="N5141" s="0" t="n">
        <v>1934</v>
      </c>
      <c r="O5141" s="10" t="n">
        <v>0.535381544148549</v>
      </c>
      <c r="P5141" s="10" t="n">
        <v>0.218249560333788</v>
      </c>
      <c r="Q5141" s="0" t="str">
        <f aca="false">SUBSTITUTE(SUBSTITUTE($I5141,CHAR(61),""),CHAR(34),"")</f>
        <v>01-09</v>
      </c>
      <c r="R5141" s="0" t="str">
        <f aca="false">IF($D5141&lt;&gt;"","["&amp;$E5141&amp;"]"&amp;"|"&amp;$Q5141&amp;"|"&amp;$K5141&amp;"|"&amp;$G5141&amp;"|"&amp;IF($G5141="TX_CURR_SUBNAT.R","CY2022Q4",$M5141),"")</f>
        <v>[oiPR2CiVJbf]|01-09|Female|PLHIV_Residents.T|CY2024Q3</v>
      </c>
    </row>
    <row r="5142" customFormat="false" ht="15" hidden="false" customHeight="false" outlineLevel="0" collapsed="false">
      <c r="D5142" s="0" t="s">
        <v>105</v>
      </c>
      <c r="E5142" s="0" t="s">
        <v>106</v>
      </c>
      <c r="F5142" s="0" t="s">
        <v>107</v>
      </c>
      <c r="G5142" s="0" t="s">
        <v>165</v>
      </c>
      <c r="H5142" s="0" t="s">
        <v>166</v>
      </c>
      <c r="I5142" s="0" t="s">
        <v>36</v>
      </c>
      <c r="J5142" s="0" t="s">
        <v>37</v>
      </c>
      <c r="K5142" s="0" t="s">
        <v>30</v>
      </c>
      <c r="L5142" s="0" t="s">
        <v>31</v>
      </c>
      <c r="M5142" s="0" t="s">
        <v>167</v>
      </c>
      <c r="N5142" s="0" t="n">
        <v>1355</v>
      </c>
      <c r="O5142" s="10" t="n">
        <v>0.0620472573209554</v>
      </c>
      <c r="P5142" s="10" t="n">
        <v>0.218249560333788</v>
      </c>
      <c r="Q5142" s="0" t="str">
        <f aca="false">SUBSTITUTE(SUBSTITUTE($I5142,CHAR(61),""),CHAR(34),"")</f>
        <v>10-14</v>
      </c>
      <c r="R5142" s="0" t="str">
        <f aca="false">IF($D5142&lt;&gt;"","["&amp;$E5142&amp;"]"&amp;"|"&amp;$Q5142&amp;"|"&amp;$K5142&amp;"|"&amp;$G5142&amp;"|"&amp;IF($G5142="TX_CURR_SUBNAT.R","CY2022Q4",$M5142),"")</f>
        <v>[oiPR2CiVJbf]|10-14|Female|PLHIV_Residents.T|CY2024Q3</v>
      </c>
    </row>
    <row r="5143" customFormat="false" ht="15" hidden="false" customHeight="false" outlineLevel="0" collapsed="false">
      <c r="D5143" s="0" t="s">
        <v>105</v>
      </c>
      <c r="E5143" s="0" t="s">
        <v>106</v>
      </c>
      <c r="F5143" s="0" t="s">
        <v>107</v>
      </c>
      <c r="G5143" s="0" t="s">
        <v>165</v>
      </c>
      <c r="H5143" s="0" t="s">
        <v>166</v>
      </c>
      <c r="I5143" s="0" t="s">
        <v>38</v>
      </c>
      <c r="J5143" s="0" t="s">
        <v>39</v>
      </c>
      <c r="K5143" s="0" t="s">
        <v>30</v>
      </c>
      <c r="L5143" s="0" t="s">
        <v>31</v>
      </c>
      <c r="M5143" s="0" t="s">
        <v>167</v>
      </c>
      <c r="N5143" s="0" t="n">
        <v>1468</v>
      </c>
      <c r="O5143" s="10" t="n">
        <v>0.558552335947752</v>
      </c>
      <c r="P5143" s="10" t="n">
        <v>0.218249560333788</v>
      </c>
      <c r="Q5143" s="0" t="str">
        <f aca="false">SUBSTITUTE(SUBSTITUTE($I5143,CHAR(61),""),CHAR(34),"")</f>
        <v>15-24</v>
      </c>
      <c r="R5143" s="0" t="str">
        <f aca="false">IF($D5143&lt;&gt;"","["&amp;$E5143&amp;"]"&amp;"|"&amp;$Q5143&amp;"|"&amp;$K5143&amp;"|"&amp;$G5143&amp;"|"&amp;IF($G5143="TX_CURR_SUBNAT.R","CY2022Q4",$M5143),"")</f>
        <v>[oiPR2CiVJbf]|15-24|Female|PLHIV_Residents.T|CY2024Q3</v>
      </c>
    </row>
    <row r="5144" customFormat="false" ht="15" hidden="false" customHeight="false" outlineLevel="0" collapsed="false">
      <c r="D5144" s="0" t="s">
        <v>105</v>
      </c>
      <c r="E5144" s="0" t="s">
        <v>106</v>
      </c>
      <c r="F5144" s="0" t="s">
        <v>107</v>
      </c>
      <c r="G5144" s="0" t="s">
        <v>165</v>
      </c>
      <c r="H5144" s="0" t="s">
        <v>166</v>
      </c>
      <c r="I5144" s="0" t="s">
        <v>41</v>
      </c>
      <c r="J5144" s="0" t="s">
        <v>42</v>
      </c>
      <c r="K5144" s="0" t="s">
        <v>30</v>
      </c>
      <c r="L5144" s="0" t="s">
        <v>31</v>
      </c>
      <c r="M5144" s="0" t="s">
        <v>167</v>
      </c>
      <c r="N5144" s="0" t="n">
        <v>671</v>
      </c>
      <c r="O5144" s="10" t="n">
        <v>0.887413588119671</v>
      </c>
      <c r="P5144" s="10" t="n">
        <v>0.218249560333788</v>
      </c>
      <c r="Q5144" s="0" t="str">
        <f aca="false">SUBSTITUTE(SUBSTITUTE($I5144,CHAR(61),""),CHAR(34),"")</f>
        <v>25-34</v>
      </c>
      <c r="R5144" s="0" t="str">
        <f aca="false">IF($D5144&lt;&gt;"","["&amp;$E5144&amp;"]"&amp;"|"&amp;$Q5144&amp;"|"&amp;$K5144&amp;"|"&amp;$G5144&amp;"|"&amp;IF($G5144="TX_CURR_SUBNAT.R","CY2022Q4",$M5144),"")</f>
        <v>[oiPR2CiVJbf]|25-34|Female|PLHIV_Residents.T|CY2024Q3</v>
      </c>
    </row>
    <row r="5145" customFormat="false" ht="15" hidden="false" customHeight="false" outlineLevel="0" collapsed="false">
      <c r="D5145" s="0" t="s">
        <v>105</v>
      </c>
      <c r="E5145" s="0" t="s">
        <v>106</v>
      </c>
      <c r="F5145" s="0" t="s">
        <v>107</v>
      </c>
      <c r="G5145" s="0" t="s">
        <v>165</v>
      </c>
      <c r="H5145" s="0" t="s">
        <v>166</v>
      </c>
      <c r="I5145" s="0" t="s">
        <v>43</v>
      </c>
      <c r="J5145" s="0" t="s">
        <v>44</v>
      </c>
      <c r="K5145" s="0" t="s">
        <v>30</v>
      </c>
      <c r="L5145" s="0" t="s">
        <v>31</v>
      </c>
      <c r="M5145" s="0" t="s">
        <v>167</v>
      </c>
      <c r="N5145" s="0" t="n">
        <v>1778</v>
      </c>
      <c r="O5145" s="10" t="n">
        <v>0.94339426420629</v>
      </c>
      <c r="P5145" s="10" t="n">
        <v>0.218249560333788</v>
      </c>
      <c r="Q5145" s="0" t="str">
        <f aca="false">SUBSTITUTE(SUBSTITUTE($I5145,CHAR(61),""),CHAR(34),"")</f>
        <v>35-49</v>
      </c>
      <c r="R5145" s="0" t="str">
        <f aca="false">IF($D5145&lt;&gt;"","["&amp;$E5145&amp;"]"&amp;"|"&amp;$Q5145&amp;"|"&amp;$K5145&amp;"|"&amp;$G5145&amp;"|"&amp;IF($G5145="TX_CURR_SUBNAT.R","CY2022Q4",$M5145),"")</f>
        <v>[oiPR2CiVJbf]|35-49|Female|PLHIV_Residents.T|CY2024Q3</v>
      </c>
    </row>
    <row r="5146" customFormat="false" ht="15" hidden="false" customHeight="false" outlineLevel="0" collapsed="false">
      <c r="D5146" s="0" t="s">
        <v>105</v>
      </c>
      <c r="E5146" s="0" t="s">
        <v>106</v>
      </c>
      <c r="F5146" s="0" t="s">
        <v>107</v>
      </c>
      <c r="G5146" s="0" t="s">
        <v>165</v>
      </c>
      <c r="H5146" s="0" t="s">
        <v>166</v>
      </c>
      <c r="I5146" s="0" t="s">
        <v>45</v>
      </c>
      <c r="J5146" s="0" t="s">
        <v>46</v>
      </c>
      <c r="K5146" s="0" t="s">
        <v>30</v>
      </c>
      <c r="L5146" s="0" t="s">
        <v>31</v>
      </c>
      <c r="M5146" s="0" t="s">
        <v>167</v>
      </c>
      <c r="N5146" s="0" t="n">
        <v>1113</v>
      </c>
      <c r="O5146" s="10" t="n">
        <v>0.36928469943814</v>
      </c>
      <c r="P5146" s="10" t="n">
        <v>0.218249560333788</v>
      </c>
      <c r="Q5146" s="0" t="str">
        <f aca="false">SUBSTITUTE(SUBSTITUTE($I5146,CHAR(61),""),CHAR(34),"")</f>
        <v>50+</v>
      </c>
      <c r="R5146" s="0" t="str">
        <f aca="false">IF($D5146&lt;&gt;"","["&amp;$E5146&amp;"]"&amp;"|"&amp;$Q5146&amp;"|"&amp;$K5146&amp;"|"&amp;$G5146&amp;"|"&amp;IF($G5146="TX_CURR_SUBNAT.R","CY2022Q4",$M5146),"")</f>
        <v>[oiPR2CiVJbf]|50+|Female|PLHIV_Residents.T|CY2024Q3</v>
      </c>
    </row>
    <row r="5147" customFormat="false" ht="15" hidden="false" customHeight="false" outlineLevel="0" collapsed="false">
      <c r="D5147" s="0" t="s">
        <v>105</v>
      </c>
      <c r="E5147" s="0" t="s">
        <v>106</v>
      </c>
      <c r="F5147" s="0" t="s">
        <v>107</v>
      </c>
      <c r="G5147" s="0" t="s">
        <v>165</v>
      </c>
      <c r="H5147" s="0" t="s">
        <v>166</v>
      </c>
      <c r="I5147" s="0" t="s">
        <v>28</v>
      </c>
      <c r="J5147" s="0" t="s">
        <v>29</v>
      </c>
      <c r="K5147" s="0" t="s">
        <v>48</v>
      </c>
      <c r="L5147" s="0" t="s">
        <v>49</v>
      </c>
      <c r="M5147" s="0" t="s">
        <v>167</v>
      </c>
      <c r="N5147" s="0" t="n">
        <v>1817</v>
      </c>
      <c r="O5147" s="10" t="n">
        <v>0.743589955382049</v>
      </c>
      <c r="P5147" s="10" t="n">
        <v>0.218249560333788</v>
      </c>
      <c r="Q5147" s="0" t="str">
        <f aca="false">SUBSTITUTE(SUBSTITUTE($I5147,CHAR(61),""),CHAR(34),"")</f>
        <v>&lt;01</v>
      </c>
      <c r="R5147" s="0" t="str">
        <f aca="false">IF($D5147&lt;&gt;"","["&amp;$E5147&amp;"]"&amp;"|"&amp;$Q5147&amp;"|"&amp;$K5147&amp;"|"&amp;$G5147&amp;"|"&amp;IF($G5147="TX_CURR_SUBNAT.R","CY2022Q4",$M5147),"")</f>
        <v>[oiPR2CiVJbf]|&lt;01|Male|PLHIV_Residents.T|CY2024Q3</v>
      </c>
    </row>
    <row r="5148" customFormat="false" ht="15" hidden="false" customHeight="false" outlineLevel="0" collapsed="false">
      <c r="D5148" s="0" t="s">
        <v>105</v>
      </c>
      <c r="E5148" s="0" t="s">
        <v>106</v>
      </c>
      <c r="F5148" s="0" t="s">
        <v>107</v>
      </c>
      <c r="G5148" s="0" t="s">
        <v>165</v>
      </c>
      <c r="H5148" s="0" t="s">
        <v>166</v>
      </c>
      <c r="I5148" s="0" t="s">
        <v>33</v>
      </c>
      <c r="J5148" s="0" t="s">
        <v>34</v>
      </c>
      <c r="K5148" s="0" t="s">
        <v>48</v>
      </c>
      <c r="L5148" s="0" t="s">
        <v>49</v>
      </c>
      <c r="M5148" s="0" t="s">
        <v>167</v>
      </c>
      <c r="N5148" s="0" t="n">
        <v>906</v>
      </c>
      <c r="O5148" s="10" t="n">
        <v>0.756148415151983</v>
      </c>
      <c r="P5148" s="10" t="n">
        <v>0.218249560333788</v>
      </c>
      <c r="Q5148" s="0" t="str">
        <f aca="false">SUBSTITUTE(SUBSTITUTE($I5148,CHAR(61),""),CHAR(34),"")</f>
        <v>01-09</v>
      </c>
      <c r="R5148" s="0" t="str">
        <f aca="false">IF($D5148&lt;&gt;"","["&amp;$E5148&amp;"]"&amp;"|"&amp;$Q5148&amp;"|"&amp;$K5148&amp;"|"&amp;$G5148&amp;"|"&amp;IF($G5148="TX_CURR_SUBNAT.R","CY2022Q4",$M5148),"")</f>
        <v>[oiPR2CiVJbf]|01-09|Male|PLHIV_Residents.T|CY2024Q3</v>
      </c>
    </row>
    <row r="5149" customFormat="false" ht="15" hidden="false" customHeight="false" outlineLevel="0" collapsed="false">
      <c r="D5149" s="0" t="s">
        <v>105</v>
      </c>
      <c r="E5149" s="0" t="s">
        <v>106</v>
      </c>
      <c r="F5149" s="0" t="s">
        <v>107</v>
      </c>
      <c r="G5149" s="0" t="s">
        <v>165</v>
      </c>
      <c r="H5149" s="0" t="s">
        <v>166</v>
      </c>
      <c r="I5149" s="0" t="s">
        <v>36</v>
      </c>
      <c r="J5149" s="0" t="s">
        <v>37</v>
      </c>
      <c r="K5149" s="0" t="s">
        <v>48</v>
      </c>
      <c r="L5149" s="0" t="s">
        <v>49</v>
      </c>
      <c r="M5149" s="0" t="s">
        <v>167</v>
      </c>
      <c r="N5149" s="0" t="n">
        <v>1854</v>
      </c>
      <c r="O5149" s="10" t="n">
        <v>0.116510711377487</v>
      </c>
      <c r="P5149" s="10" t="n">
        <v>0.218249560333788</v>
      </c>
      <c r="Q5149" s="0" t="str">
        <f aca="false">SUBSTITUTE(SUBSTITUTE($I5149,CHAR(61),""),CHAR(34),"")</f>
        <v>10-14</v>
      </c>
      <c r="R5149" s="0" t="str">
        <f aca="false">IF($D5149&lt;&gt;"","["&amp;$E5149&amp;"]"&amp;"|"&amp;$Q5149&amp;"|"&amp;$K5149&amp;"|"&amp;$G5149&amp;"|"&amp;IF($G5149="TX_CURR_SUBNAT.R","CY2022Q4",$M5149),"")</f>
        <v>[oiPR2CiVJbf]|10-14|Male|PLHIV_Residents.T|CY2024Q3</v>
      </c>
    </row>
    <row r="5150" customFormat="false" ht="15" hidden="false" customHeight="false" outlineLevel="0" collapsed="false">
      <c r="D5150" s="0" t="s">
        <v>105</v>
      </c>
      <c r="E5150" s="0" t="s">
        <v>106</v>
      </c>
      <c r="F5150" s="0" t="s">
        <v>107</v>
      </c>
      <c r="G5150" s="0" t="s">
        <v>165</v>
      </c>
      <c r="H5150" s="0" t="s">
        <v>166</v>
      </c>
      <c r="I5150" s="0" t="s">
        <v>38</v>
      </c>
      <c r="J5150" s="0" t="s">
        <v>39</v>
      </c>
      <c r="K5150" s="0" t="s">
        <v>48</v>
      </c>
      <c r="L5150" s="0" t="s">
        <v>49</v>
      </c>
      <c r="M5150" s="0" t="s">
        <v>167</v>
      </c>
      <c r="N5150" s="0" t="n">
        <v>1231</v>
      </c>
      <c r="O5150" s="10" t="n">
        <v>0.486640236340463</v>
      </c>
      <c r="P5150" s="10" t="n">
        <v>0.218249560333788</v>
      </c>
      <c r="Q5150" s="0" t="str">
        <f aca="false">SUBSTITUTE(SUBSTITUTE($I5150,CHAR(61),""),CHAR(34),"")</f>
        <v>15-24</v>
      </c>
      <c r="R5150" s="0" t="str">
        <f aca="false">IF($D5150&lt;&gt;"","["&amp;$E5150&amp;"]"&amp;"|"&amp;$Q5150&amp;"|"&amp;$K5150&amp;"|"&amp;$G5150&amp;"|"&amp;IF($G5150="TX_CURR_SUBNAT.R","CY2022Q4",$M5150),"")</f>
        <v>[oiPR2CiVJbf]|15-24|Male|PLHIV_Residents.T|CY2024Q3</v>
      </c>
    </row>
    <row r="5151" customFormat="false" ht="15" hidden="false" customHeight="false" outlineLevel="0" collapsed="false">
      <c r="D5151" s="0" t="s">
        <v>105</v>
      </c>
      <c r="E5151" s="0" t="s">
        <v>106</v>
      </c>
      <c r="F5151" s="0" t="s">
        <v>107</v>
      </c>
      <c r="G5151" s="0" t="s">
        <v>165</v>
      </c>
      <c r="H5151" s="0" t="s">
        <v>166</v>
      </c>
      <c r="I5151" s="0" t="s">
        <v>41</v>
      </c>
      <c r="J5151" s="0" t="s">
        <v>42</v>
      </c>
      <c r="K5151" s="0" t="s">
        <v>48</v>
      </c>
      <c r="L5151" s="0" t="s">
        <v>49</v>
      </c>
      <c r="M5151" s="0" t="s">
        <v>167</v>
      </c>
      <c r="N5151" s="0" t="n">
        <v>1785</v>
      </c>
      <c r="O5151" s="10" t="n">
        <v>0.359170512296259</v>
      </c>
      <c r="P5151" s="10" t="n">
        <v>0.218249560333788</v>
      </c>
      <c r="Q5151" s="0" t="str">
        <f aca="false">SUBSTITUTE(SUBSTITUTE($I5151,CHAR(61),""),CHAR(34),"")</f>
        <v>25-34</v>
      </c>
      <c r="R5151" s="0" t="str">
        <f aca="false">IF($D5151&lt;&gt;"","["&amp;$E5151&amp;"]"&amp;"|"&amp;$Q5151&amp;"|"&amp;$K5151&amp;"|"&amp;$G5151&amp;"|"&amp;IF($G5151="TX_CURR_SUBNAT.R","CY2022Q4",$M5151),"")</f>
        <v>[oiPR2CiVJbf]|25-34|Male|PLHIV_Residents.T|CY2024Q3</v>
      </c>
    </row>
    <row r="5152" customFormat="false" ht="15" hidden="false" customHeight="false" outlineLevel="0" collapsed="false">
      <c r="D5152" s="0" t="s">
        <v>105</v>
      </c>
      <c r="E5152" s="0" t="s">
        <v>106</v>
      </c>
      <c r="F5152" s="0" t="s">
        <v>107</v>
      </c>
      <c r="G5152" s="0" t="s">
        <v>165</v>
      </c>
      <c r="H5152" s="0" t="s">
        <v>166</v>
      </c>
      <c r="I5152" s="0" t="s">
        <v>43</v>
      </c>
      <c r="J5152" s="0" t="s">
        <v>44</v>
      </c>
      <c r="K5152" s="0" t="s">
        <v>48</v>
      </c>
      <c r="L5152" s="0" t="s">
        <v>49</v>
      </c>
      <c r="M5152" s="0" t="s">
        <v>167</v>
      </c>
      <c r="N5152" s="0" t="n">
        <v>852</v>
      </c>
      <c r="O5152" s="10" t="n">
        <v>0.159891333431005</v>
      </c>
      <c r="P5152" s="10" t="n">
        <v>0.218249560333788</v>
      </c>
      <c r="Q5152" s="0" t="str">
        <f aca="false">SUBSTITUTE(SUBSTITUTE($I5152,CHAR(61),""),CHAR(34),"")</f>
        <v>35-49</v>
      </c>
      <c r="R5152" s="0" t="str">
        <f aca="false">IF($D5152&lt;&gt;"","["&amp;$E5152&amp;"]"&amp;"|"&amp;$Q5152&amp;"|"&amp;$K5152&amp;"|"&amp;$G5152&amp;"|"&amp;IF($G5152="TX_CURR_SUBNAT.R","CY2022Q4",$M5152),"")</f>
        <v>[oiPR2CiVJbf]|35-49|Male|PLHIV_Residents.T|CY2024Q3</v>
      </c>
    </row>
    <row r="5153" customFormat="false" ht="15" hidden="false" customHeight="false" outlineLevel="0" collapsed="false">
      <c r="D5153" s="0" t="s">
        <v>105</v>
      </c>
      <c r="E5153" s="0" t="s">
        <v>106</v>
      </c>
      <c r="F5153" s="0" t="s">
        <v>107</v>
      </c>
      <c r="G5153" s="0" t="s">
        <v>165</v>
      </c>
      <c r="H5153" s="0" t="s">
        <v>166</v>
      </c>
      <c r="I5153" s="0" t="s">
        <v>45</v>
      </c>
      <c r="J5153" s="0" t="s">
        <v>46</v>
      </c>
      <c r="K5153" s="0" t="s">
        <v>48</v>
      </c>
      <c r="L5153" s="0" t="s">
        <v>49</v>
      </c>
      <c r="M5153" s="0" t="s">
        <v>167</v>
      </c>
      <c r="N5153" s="0" t="n">
        <v>925</v>
      </c>
      <c r="O5153" s="10" t="n">
        <v>0.230751309776679</v>
      </c>
      <c r="P5153" s="10" t="n">
        <v>0.218249560333788</v>
      </c>
      <c r="Q5153" s="0" t="str">
        <f aca="false">SUBSTITUTE(SUBSTITUTE($I5153,CHAR(61),""),CHAR(34),"")</f>
        <v>50+</v>
      </c>
      <c r="R5153" s="0" t="str">
        <f aca="false">IF($D5153&lt;&gt;"","["&amp;$E5153&amp;"]"&amp;"|"&amp;$Q5153&amp;"|"&amp;$K5153&amp;"|"&amp;$G5153&amp;"|"&amp;IF($G5153="TX_CURR_SUBNAT.R","CY2022Q4",$M5153),"")</f>
        <v>[oiPR2CiVJbf]|50+|Male|PLHIV_Residents.T|CY2024Q3</v>
      </c>
    </row>
    <row r="5154" customFormat="false" ht="15" hidden="false" customHeight="false" outlineLevel="0" collapsed="false">
      <c r="D5154" s="0" t="s">
        <v>108</v>
      </c>
      <c r="E5154" s="0" t="s">
        <v>109</v>
      </c>
      <c r="F5154" s="0" t="s">
        <v>110</v>
      </c>
      <c r="G5154" s="0" t="s">
        <v>165</v>
      </c>
      <c r="H5154" s="0" t="s">
        <v>166</v>
      </c>
      <c r="I5154" s="0" t="s">
        <v>28</v>
      </c>
      <c r="J5154" s="0" t="s">
        <v>29</v>
      </c>
      <c r="K5154" s="0" t="s">
        <v>30</v>
      </c>
      <c r="L5154" s="0" t="s">
        <v>31</v>
      </c>
      <c r="M5154" s="0" t="s">
        <v>167</v>
      </c>
      <c r="N5154" s="0" t="n">
        <v>1465</v>
      </c>
      <c r="O5154" s="10" t="n">
        <v>0.882697621127591</v>
      </c>
      <c r="P5154" s="10" t="n">
        <v>0.434221804374829</v>
      </c>
      <c r="Q5154" s="0" t="str">
        <f aca="false">SUBSTITUTE(SUBSTITUTE($I5154,CHAR(61),""),CHAR(34),"")</f>
        <v>&lt;01</v>
      </c>
      <c r="R5154" s="0" t="str">
        <f aca="false">IF($D5154&lt;&gt;"","["&amp;$E5154&amp;"]"&amp;"|"&amp;$Q5154&amp;"|"&amp;$K5154&amp;"|"&amp;$G5154&amp;"|"&amp;IF($G5154="TX_CURR_SUBNAT.R","CY2022Q4",$M5154),"")</f>
        <v>[ul0y9diGujK]|&lt;01|Female|PLHIV_Residents.T|CY2024Q3</v>
      </c>
    </row>
    <row r="5155" customFormat="false" ht="15" hidden="false" customHeight="false" outlineLevel="0" collapsed="false">
      <c r="D5155" s="0" t="s">
        <v>108</v>
      </c>
      <c r="E5155" s="0" t="s">
        <v>109</v>
      </c>
      <c r="F5155" s="0" t="s">
        <v>110</v>
      </c>
      <c r="G5155" s="0" t="s">
        <v>165</v>
      </c>
      <c r="H5155" s="0" t="s">
        <v>166</v>
      </c>
      <c r="I5155" s="0" t="s">
        <v>33</v>
      </c>
      <c r="J5155" s="0" t="s">
        <v>34</v>
      </c>
      <c r="K5155" s="0" t="s">
        <v>30</v>
      </c>
      <c r="L5155" s="0" t="s">
        <v>31</v>
      </c>
      <c r="M5155" s="0" t="s">
        <v>167</v>
      </c>
      <c r="N5155" s="0" t="n">
        <v>745</v>
      </c>
      <c r="O5155" s="10" t="n">
        <v>0.603029103949666</v>
      </c>
      <c r="P5155" s="10" t="n">
        <v>0.434221804374829</v>
      </c>
      <c r="Q5155" s="0" t="str">
        <f aca="false">SUBSTITUTE(SUBSTITUTE($I5155,CHAR(61),""),CHAR(34),"")</f>
        <v>01-09</v>
      </c>
      <c r="R5155" s="0" t="str">
        <f aca="false">IF($D5155&lt;&gt;"","["&amp;$E5155&amp;"]"&amp;"|"&amp;$Q5155&amp;"|"&amp;$K5155&amp;"|"&amp;$G5155&amp;"|"&amp;IF($G5155="TX_CURR_SUBNAT.R","CY2022Q4",$M5155),"")</f>
        <v>[ul0y9diGujK]|01-09|Female|PLHIV_Residents.T|CY2024Q3</v>
      </c>
    </row>
    <row r="5156" customFormat="false" ht="15" hidden="false" customHeight="false" outlineLevel="0" collapsed="false">
      <c r="D5156" s="0" t="s">
        <v>108</v>
      </c>
      <c r="E5156" s="0" t="s">
        <v>109</v>
      </c>
      <c r="F5156" s="0" t="s">
        <v>110</v>
      </c>
      <c r="G5156" s="0" t="s">
        <v>165</v>
      </c>
      <c r="H5156" s="0" t="s">
        <v>166</v>
      </c>
      <c r="I5156" s="0" t="s">
        <v>36</v>
      </c>
      <c r="J5156" s="0" t="s">
        <v>37</v>
      </c>
      <c r="K5156" s="0" t="s">
        <v>30</v>
      </c>
      <c r="L5156" s="0" t="s">
        <v>31</v>
      </c>
      <c r="M5156" s="0" t="s">
        <v>167</v>
      </c>
      <c r="N5156" s="0" t="n">
        <v>1514</v>
      </c>
      <c r="O5156" s="10" t="n">
        <v>0.130527145927772</v>
      </c>
      <c r="P5156" s="10" t="n">
        <v>0.434221804374829</v>
      </c>
      <c r="Q5156" s="0" t="str">
        <f aca="false">SUBSTITUTE(SUBSTITUTE($I5156,CHAR(61),""),CHAR(34),"")</f>
        <v>10-14</v>
      </c>
      <c r="R5156" s="0" t="str">
        <f aca="false">IF($D5156&lt;&gt;"","["&amp;$E5156&amp;"]"&amp;"|"&amp;$Q5156&amp;"|"&amp;$K5156&amp;"|"&amp;$G5156&amp;"|"&amp;IF($G5156="TX_CURR_SUBNAT.R","CY2022Q4",$M5156),"")</f>
        <v>[ul0y9diGujK]|10-14|Female|PLHIV_Residents.T|CY2024Q3</v>
      </c>
    </row>
    <row r="5157" customFormat="false" ht="15" hidden="false" customHeight="false" outlineLevel="0" collapsed="false">
      <c r="D5157" s="0" t="s">
        <v>108</v>
      </c>
      <c r="E5157" s="0" t="s">
        <v>109</v>
      </c>
      <c r="F5157" s="0" t="s">
        <v>110</v>
      </c>
      <c r="G5157" s="0" t="s">
        <v>165</v>
      </c>
      <c r="H5157" s="0" t="s">
        <v>166</v>
      </c>
      <c r="I5157" s="0" t="s">
        <v>38</v>
      </c>
      <c r="J5157" s="0" t="s">
        <v>39</v>
      </c>
      <c r="K5157" s="0" t="s">
        <v>30</v>
      </c>
      <c r="L5157" s="0" t="s">
        <v>31</v>
      </c>
      <c r="M5157" s="0" t="s">
        <v>167</v>
      </c>
      <c r="N5157" s="0" t="n">
        <v>1244</v>
      </c>
      <c r="O5157" s="10" t="n">
        <v>0.0197212041821331</v>
      </c>
      <c r="P5157" s="10" t="n">
        <v>0.434221804374829</v>
      </c>
      <c r="Q5157" s="0" t="str">
        <f aca="false">SUBSTITUTE(SUBSTITUTE($I5157,CHAR(61),""),CHAR(34),"")</f>
        <v>15-24</v>
      </c>
      <c r="R5157" s="0" t="str">
        <f aca="false">IF($D5157&lt;&gt;"","["&amp;$E5157&amp;"]"&amp;"|"&amp;$Q5157&amp;"|"&amp;$K5157&amp;"|"&amp;$G5157&amp;"|"&amp;IF($G5157="TX_CURR_SUBNAT.R","CY2022Q4",$M5157),"")</f>
        <v>[ul0y9diGujK]|15-24|Female|PLHIV_Residents.T|CY2024Q3</v>
      </c>
    </row>
    <row r="5158" customFormat="false" ht="15" hidden="false" customHeight="false" outlineLevel="0" collapsed="false">
      <c r="D5158" s="0" t="s">
        <v>108</v>
      </c>
      <c r="E5158" s="0" t="s">
        <v>109</v>
      </c>
      <c r="F5158" s="0" t="s">
        <v>110</v>
      </c>
      <c r="G5158" s="0" t="s">
        <v>165</v>
      </c>
      <c r="H5158" s="0" t="s">
        <v>166</v>
      </c>
      <c r="I5158" s="0" t="s">
        <v>41</v>
      </c>
      <c r="J5158" s="0" t="s">
        <v>42</v>
      </c>
      <c r="K5158" s="0" t="s">
        <v>30</v>
      </c>
      <c r="L5158" s="0" t="s">
        <v>31</v>
      </c>
      <c r="M5158" s="0" t="s">
        <v>167</v>
      </c>
      <c r="N5158" s="0" t="n">
        <v>815</v>
      </c>
      <c r="O5158" s="10" t="n">
        <v>0.648091196781024</v>
      </c>
      <c r="P5158" s="10" t="n">
        <v>0.434221804374829</v>
      </c>
      <c r="Q5158" s="0" t="str">
        <f aca="false">SUBSTITUTE(SUBSTITUTE($I5158,CHAR(61),""),CHAR(34),"")</f>
        <v>25-34</v>
      </c>
      <c r="R5158" s="0" t="str">
        <f aca="false">IF($D5158&lt;&gt;"","["&amp;$E5158&amp;"]"&amp;"|"&amp;$Q5158&amp;"|"&amp;$K5158&amp;"|"&amp;$G5158&amp;"|"&amp;IF($G5158="TX_CURR_SUBNAT.R","CY2022Q4",$M5158),"")</f>
        <v>[ul0y9diGujK]|25-34|Female|PLHIV_Residents.T|CY2024Q3</v>
      </c>
    </row>
    <row r="5159" customFormat="false" ht="15" hidden="false" customHeight="false" outlineLevel="0" collapsed="false">
      <c r="D5159" s="0" t="s">
        <v>108</v>
      </c>
      <c r="E5159" s="0" t="s">
        <v>109</v>
      </c>
      <c r="F5159" s="0" t="s">
        <v>110</v>
      </c>
      <c r="G5159" s="0" t="s">
        <v>165</v>
      </c>
      <c r="H5159" s="0" t="s">
        <v>166</v>
      </c>
      <c r="I5159" s="0" t="s">
        <v>43</v>
      </c>
      <c r="J5159" s="0" t="s">
        <v>44</v>
      </c>
      <c r="K5159" s="0" t="s">
        <v>30</v>
      </c>
      <c r="L5159" s="0" t="s">
        <v>31</v>
      </c>
      <c r="M5159" s="0" t="s">
        <v>167</v>
      </c>
      <c r="N5159" s="0" t="n">
        <v>980</v>
      </c>
      <c r="O5159" s="10" t="n">
        <v>0.0499376533553004</v>
      </c>
      <c r="P5159" s="10" t="n">
        <v>0.434221804374829</v>
      </c>
      <c r="Q5159" s="0" t="str">
        <f aca="false">SUBSTITUTE(SUBSTITUTE($I5159,CHAR(61),""),CHAR(34),"")</f>
        <v>35-49</v>
      </c>
      <c r="R5159" s="0" t="str">
        <f aca="false">IF($D5159&lt;&gt;"","["&amp;$E5159&amp;"]"&amp;"|"&amp;$Q5159&amp;"|"&amp;$K5159&amp;"|"&amp;$G5159&amp;"|"&amp;IF($G5159="TX_CURR_SUBNAT.R","CY2022Q4",$M5159),"")</f>
        <v>[ul0y9diGujK]|35-49|Female|PLHIV_Residents.T|CY2024Q3</v>
      </c>
    </row>
    <row r="5160" customFormat="false" ht="15" hidden="false" customHeight="false" outlineLevel="0" collapsed="false">
      <c r="D5160" s="0" t="s">
        <v>108</v>
      </c>
      <c r="E5160" s="0" t="s">
        <v>109</v>
      </c>
      <c r="F5160" s="0" t="s">
        <v>110</v>
      </c>
      <c r="G5160" s="0" t="s">
        <v>165</v>
      </c>
      <c r="H5160" s="0" t="s">
        <v>166</v>
      </c>
      <c r="I5160" s="0" t="s">
        <v>45</v>
      </c>
      <c r="J5160" s="0" t="s">
        <v>46</v>
      </c>
      <c r="K5160" s="0" t="s">
        <v>30</v>
      </c>
      <c r="L5160" s="0" t="s">
        <v>31</v>
      </c>
      <c r="M5160" s="0" t="s">
        <v>167</v>
      </c>
      <c r="N5160" s="0" t="n">
        <v>526</v>
      </c>
      <c r="O5160" s="10" t="n">
        <v>0.0163768311031163</v>
      </c>
      <c r="P5160" s="10" t="n">
        <v>0.434221804374829</v>
      </c>
      <c r="Q5160" s="0" t="str">
        <f aca="false">SUBSTITUTE(SUBSTITUTE($I5160,CHAR(61),""),CHAR(34),"")</f>
        <v>50+</v>
      </c>
      <c r="R5160" s="0" t="str">
        <f aca="false">IF($D5160&lt;&gt;"","["&amp;$E5160&amp;"]"&amp;"|"&amp;$Q5160&amp;"|"&amp;$K5160&amp;"|"&amp;$G5160&amp;"|"&amp;IF($G5160="TX_CURR_SUBNAT.R","CY2022Q4",$M5160),"")</f>
        <v>[ul0y9diGujK]|50+|Female|PLHIV_Residents.T|CY2024Q3</v>
      </c>
    </row>
    <row r="5161" customFormat="false" ht="15" hidden="false" customHeight="false" outlineLevel="0" collapsed="false">
      <c r="D5161" s="0" t="s">
        <v>108</v>
      </c>
      <c r="E5161" s="0" t="s">
        <v>109</v>
      </c>
      <c r="F5161" s="0" t="s">
        <v>110</v>
      </c>
      <c r="G5161" s="0" t="s">
        <v>165</v>
      </c>
      <c r="H5161" s="0" t="s">
        <v>166</v>
      </c>
      <c r="I5161" s="0" t="s">
        <v>28</v>
      </c>
      <c r="J5161" s="0" t="s">
        <v>29</v>
      </c>
      <c r="K5161" s="0" t="s">
        <v>48</v>
      </c>
      <c r="L5161" s="0" t="s">
        <v>49</v>
      </c>
      <c r="M5161" s="0" t="s">
        <v>167</v>
      </c>
      <c r="N5161" s="0" t="n">
        <v>604</v>
      </c>
      <c r="O5161" s="10" t="n">
        <v>0.312380464980379</v>
      </c>
      <c r="P5161" s="10" t="n">
        <v>0.434221804374829</v>
      </c>
      <c r="Q5161" s="0" t="str">
        <f aca="false">SUBSTITUTE(SUBSTITUTE($I5161,CHAR(61),""),CHAR(34),"")</f>
        <v>&lt;01</v>
      </c>
      <c r="R5161" s="0" t="str">
        <f aca="false">IF($D5161&lt;&gt;"","["&amp;$E5161&amp;"]"&amp;"|"&amp;$Q5161&amp;"|"&amp;$K5161&amp;"|"&amp;$G5161&amp;"|"&amp;IF($G5161="TX_CURR_SUBNAT.R","CY2022Q4",$M5161),"")</f>
        <v>[ul0y9diGujK]|&lt;01|Male|PLHIV_Residents.T|CY2024Q3</v>
      </c>
    </row>
    <row r="5162" customFormat="false" ht="15" hidden="false" customHeight="false" outlineLevel="0" collapsed="false">
      <c r="D5162" s="0" t="s">
        <v>108</v>
      </c>
      <c r="E5162" s="0" t="s">
        <v>109</v>
      </c>
      <c r="F5162" s="0" t="s">
        <v>110</v>
      </c>
      <c r="G5162" s="0" t="s">
        <v>165</v>
      </c>
      <c r="H5162" s="0" t="s">
        <v>166</v>
      </c>
      <c r="I5162" s="0" t="s">
        <v>33</v>
      </c>
      <c r="J5162" s="0" t="s">
        <v>34</v>
      </c>
      <c r="K5162" s="0" t="s">
        <v>48</v>
      </c>
      <c r="L5162" s="0" t="s">
        <v>49</v>
      </c>
      <c r="M5162" s="0" t="s">
        <v>167</v>
      </c>
      <c r="N5162" s="0" t="n">
        <v>1925</v>
      </c>
      <c r="O5162" s="10" t="n">
        <v>0.296959076309577</v>
      </c>
      <c r="P5162" s="10" t="n">
        <v>0.434221804374829</v>
      </c>
      <c r="Q5162" s="0" t="str">
        <f aca="false">SUBSTITUTE(SUBSTITUTE($I5162,CHAR(61),""),CHAR(34),"")</f>
        <v>01-09</v>
      </c>
      <c r="R5162" s="0" t="str">
        <f aca="false">IF($D5162&lt;&gt;"","["&amp;$E5162&amp;"]"&amp;"|"&amp;$Q5162&amp;"|"&amp;$K5162&amp;"|"&amp;$G5162&amp;"|"&amp;IF($G5162="TX_CURR_SUBNAT.R","CY2022Q4",$M5162),"")</f>
        <v>[ul0y9diGujK]|01-09|Male|PLHIV_Residents.T|CY2024Q3</v>
      </c>
    </row>
    <row r="5163" customFormat="false" ht="15" hidden="false" customHeight="false" outlineLevel="0" collapsed="false">
      <c r="D5163" s="0" t="s">
        <v>108</v>
      </c>
      <c r="E5163" s="0" t="s">
        <v>109</v>
      </c>
      <c r="F5163" s="0" t="s">
        <v>110</v>
      </c>
      <c r="G5163" s="0" t="s">
        <v>165</v>
      </c>
      <c r="H5163" s="0" t="s">
        <v>166</v>
      </c>
      <c r="I5163" s="0" t="s">
        <v>36</v>
      </c>
      <c r="J5163" s="0" t="s">
        <v>37</v>
      </c>
      <c r="K5163" s="0" t="s">
        <v>48</v>
      </c>
      <c r="L5163" s="0" t="s">
        <v>49</v>
      </c>
      <c r="M5163" s="0" t="s">
        <v>167</v>
      </c>
      <c r="N5163" s="0" t="n">
        <v>1639</v>
      </c>
      <c r="O5163" s="10" t="n">
        <v>0.239804722368717</v>
      </c>
      <c r="P5163" s="10" t="n">
        <v>0.434221804374829</v>
      </c>
      <c r="Q5163" s="0" t="str">
        <f aca="false">SUBSTITUTE(SUBSTITUTE($I5163,CHAR(61),""),CHAR(34),"")</f>
        <v>10-14</v>
      </c>
      <c r="R5163" s="0" t="str">
        <f aca="false">IF($D5163&lt;&gt;"","["&amp;$E5163&amp;"]"&amp;"|"&amp;$Q5163&amp;"|"&amp;$K5163&amp;"|"&amp;$G5163&amp;"|"&amp;IF($G5163="TX_CURR_SUBNAT.R","CY2022Q4",$M5163),"")</f>
        <v>[ul0y9diGujK]|10-14|Male|PLHIV_Residents.T|CY2024Q3</v>
      </c>
    </row>
    <row r="5164" customFormat="false" ht="15" hidden="false" customHeight="false" outlineLevel="0" collapsed="false">
      <c r="D5164" s="0" t="s">
        <v>108</v>
      </c>
      <c r="E5164" s="0" t="s">
        <v>109</v>
      </c>
      <c r="F5164" s="0" t="s">
        <v>110</v>
      </c>
      <c r="G5164" s="0" t="s">
        <v>165</v>
      </c>
      <c r="H5164" s="0" t="s">
        <v>166</v>
      </c>
      <c r="I5164" s="0" t="s">
        <v>38</v>
      </c>
      <c r="J5164" s="0" t="s">
        <v>39</v>
      </c>
      <c r="K5164" s="0" t="s">
        <v>48</v>
      </c>
      <c r="L5164" s="0" t="s">
        <v>49</v>
      </c>
      <c r="M5164" s="0" t="s">
        <v>167</v>
      </c>
      <c r="N5164" s="0" t="n">
        <v>1873</v>
      </c>
      <c r="O5164" s="10" t="n">
        <v>0.112221683375537</v>
      </c>
      <c r="P5164" s="10" t="n">
        <v>0.434221804374829</v>
      </c>
      <c r="Q5164" s="0" t="str">
        <f aca="false">SUBSTITUTE(SUBSTITUTE($I5164,CHAR(61),""),CHAR(34),"")</f>
        <v>15-24</v>
      </c>
      <c r="R5164" s="0" t="str">
        <f aca="false">IF($D5164&lt;&gt;"","["&amp;$E5164&amp;"]"&amp;"|"&amp;$Q5164&amp;"|"&amp;$K5164&amp;"|"&amp;$G5164&amp;"|"&amp;IF($G5164="TX_CURR_SUBNAT.R","CY2022Q4",$M5164),"")</f>
        <v>[ul0y9diGujK]|15-24|Male|PLHIV_Residents.T|CY2024Q3</v>
      </c>
    </row>
    <row r="5165" customFormat="false" ht="15" hidden="false" customHeight="false" outlineLevel="0" collapsed="false">
      <c r="D5165" s="0" t="s">
        <v>108</v>
      </c>
      <c r="E5165" s="0" t="s">
        <v>109</v>
      </c>
      <c r="F5165" s="0" t="s">
        <v>110</v>
      </c>
      <c r="G5165" s="0" t="s">
        <v>165</v>
      </c>
      <c r="H5165" s="0" t="s">
        <v>166</v>
      </c>
      <c r="I5165" s="0" t="s">
        <v>41</v>
      </c>
      <c r="J5165" s="0" t="s">
        <v>42</v>
      </c>
      <c r="K5165" s="0" t="s">
        <v>48</v>
      </c>
      <c r="L5165" s="0" t="s">
        <v>49</v>
      </c>
      <c r="M5165" s="0" t="s">
        <v>167</v>
      </c>
      <c r="N5165" s="0" t="n">
        <v>1000</v>
      </c>
      <c r="O5165" s="10" t="n">
        <v>0.853372853482142</v>
      </c>
      <c r="P5165" s="10" t="n">
        <v>0.434221804374829</v>
      </c>
      <c r="Q5165" s="0" t="str">
        <f aca="false">SUBSTITUTE(SUBSTITUTE($I5165,CHAR(61),""),CHAR(34),"")</f>
        <v>25-34</v>
      </c>
      <c r="R5165" s="0" t="str">
        <f aca="false">IF($D5165&lt;&gt;"","["&amp;$E5165&amp;"]"&amp;"|"&amp;$Q5165&amp;"|"&amp;$K5165&amp;"|"&amp;$G5165&amp;"|"&amp;IF($G5165="TX_CURR_SUBNAT.R","CY2022Q4",$M5165),"")</f>
        <v>[ul0y9diGujK]|25-34|Male|PLHIV_Residents.T|CY2024Q3</v>
      </c>
    </row>
    <row r="5166" customFormat="false" ht="15" hidden="false" customHeight="false" outlineLevel="0" collapsed="false">
      <c r="D5166" s="0" t="s">
        <v>108</v>
      </c>
      <c r="E5166" s="0" t="s">
        <v>109</v>
      </c>
      <c r="F5166" s="0" t="s">
        <v>110</v>
      </c>
      <c r="G5166" s="0" t="s">
        <v>165</v>
      </c>
      <c r="H5166" s="0" t="s">
        <v>166</v>
      </c>
      <c r="I5166" s="0" t="s">
        <v>43</v>
      </c>
      <c r="J5166" s="0" t="s">
        <v>44</v>
      </c>
      <c r="K5166" s="0" t="s">
        <v>48</v>
      </c>
      <c r="L5166" s="0" t="s">
        <v>49</v>
      </c>
      <c r="M5166" s="0" t="s">
        <v>167</v>
      </c>
      <c r="N5166" s="0" t="n">
        <v>1832</v>
      </c>
      <c r="O5166" s="10" t="n">
        <v>0.417729729786515</v>
      </c>
      <c r="P5166" s="10" t="n">
        <v>0.434221804374829</v>
      </c>
      <c r="Q5166" s="0" t="str">
        <f aca="false">SUBSTITUTE(SUBSTITUTE($I5166,CHAR(61),""),CHAR(34),"")</f>
        <v>35-49</v>
      </c>
      <c r="R5166" s="0" t="str">
        <f aca="false">IF($D5166&lt;&gt;"","["&amp;$E5166&amp;"]"&amp;"|"&amp;$Q5166&amp;"|"&amp;$K5166&amp;"|"&amp;$G5166&amp;"|"&amp;IF($G5166="TX_CURR_SUBNAT.R","CY2022Q4",$M5166),"")</f>
        <v>[ul0y9diGujK]|35-49|Male|PLHIV_Residents.T|CY2024Q3</v>
      </c>
    </row>
    <row r="5167" customFormat="false" ht="15" hidden="false" customHeight="false" outlineLevel="0" collapsed="false">
      <c r="D5167" s="0" t="s">
        <v>108</v>
      </c>
      <c r="E5167" s="0" t="s">
        <v>109</v>
      </c>
      <c r="F5167" s="0" t="s">
        <v>110</v>
      </c>
      <c r="G5167" s="0" t="s">
        <v>165</v>
      </c>
      <c r="H5167" s="0" t="s">
        <v>166</v>
      </c>
      <c r="I5167" s="0" t="s">
        <v>45</v>
      </c>
      <c r="J5167" s="0" t="s">
        <v>46</v>
      </c>
      <c r="K5167" s="0" t="s">
        <v>48</v>
      </c>
      <c r="L5167" s="0" t="s">
        <v>49</v>
      </c>
      <c r="M5167" s="0" t="s">
        <v>167</v>
      </c>
      <c r="N5167" s="0" t="n">
        <v>603</v>
      </c>
      <c r="O5167" s="10" t="n">
        <v>0.806284558726475</v>
      </c>
      <c r="P5167" s="10" t="n">
        <v>0.434221804374829</v>
      </c>
      <c r="Q5167" s="0" t="str">
        <f aca="false">SUBSTITUTE(SUBSTITUTE($I5167,CHAR(61),""),CHAR(34),"")</f>
        <v>50+</v>
      </c>
      <c r="R5167" s="0" t="str">
        <f aca="false">IF($D5167&lt;&gt;"","["&amp;$E5167&amp;"]"&amp;"|"&amp;$Q5167&amp;"|"&amp;$K5167&amp;"|"&amp;$G5167&amp;"|"&amp;IF($G5167="TX_CURR_SUBNAT.R","CY2022Q4",$M5167),"")</f>
        <v>[ul0y9diGujK]|50+|Male|PLHIV_Residents.T|CY2024Q3</v>
      </c>
    </row>
    <row r="5168" customFormat="false" ht="15" hidden="false" customHeight="false" outlineLevel="0" collapsed="false">
      <c r="D5168" s="0" t="s">
        <v>111</v>
      </c>
      <c r="E5168" s="0" t="s">
        <v>112</v>
      </c>
      <c r="F5168" s="0" t="s">
        <v>113</v>
      </c>
      <c r="G5168" s="0" t="s">
        <v>165</v>
      </c>
      <c r="H5168" s="0" t="s">
        <v>166</v>
      </c>
      <c r="I5168" s="0" t="s">
        <v>28</v>
      </c>
      <c r="J5168" s="0" t="s">
        <v>29</v>
      </c>
      <c r="K5168" s="0" t="s">
        <v>30</v>
      </c>
      <c r="L5168" s="0" t="s">
        <v>31</v>
      </c>
      <c r="M5168" s="0" t="s">
        <v>167</v>
      </c>
      <c r="N5168" s="0" t="n">
        <v>1568</v>
      </c>
      <c r="O5168" s="10" t="n">
        <v>0.676794374128804</v>
      </c>
      <c r="P5168" s="10" t="n">
        <v>0.337768794968724</v>
      </c>
      <c r="Q5168" s="0" t="str">
        <f aca="false">SUBSTITUTE(SUBSTITUTE($I5168,CHAR(61),""),CHAR(34),"")</f>
        <v>&lt;01</v>
      </c>
      <c r="R5168" s="0" t="str">
        <f aca="false">IF($D5168&lt;&gt;"","["&amp;$E5168&amp;"]"&amp;"|"&amp;$Q5168&amp;"|"&amp;$K5168&amp;"|"&amp;$G5168&amp;"|"&amp;IF($G5168="TX_CURR_SUBNAT.R","CY2022Q4",$M5168),"")</f>
        <v>[U8c0so51kT6]|&lt;01|Female|PLHIV_Residents.T|CY2024Q3</v>
      </c>
    </row>
    <row r="5169" customFormat="false" ht="15" hidden="false" customHeight="false" outlineLevel="0" collapsed="false">
      <c r="D5169" s="0" t="s">
        <v>111</v>
      </c>
      <c r="E5169" s="0" t="s">
        <v>112</v>
      </c>
      <c r="F5169" s="0" t="s">
        <v>113</v>
      </c>
      <c r="G5169" s="0" t="s">
        <v>165</v>
      </c>
      <c r="H5169" s="0" t="s">
        <v>166</v>
      </c>
      <c r="I5169" s="0" t="s">
        <v>33</v>
      </c>
      <c r="J5169" s="0" t="s">
        <v>34</v>
      </c>
      <c r="K5169" s="0" t="s">
        <v>30</v>
      </c>
      <c r="L5169" s="0" t="s">
        <v>31</v>
      </c>
      <c r="M5169" s="0" t="s">
        <v>167</v>
      </c>
      <c r="N5169" s="0" t="n">
        <v>1626</v>
      </c>
      <c r="O5169" s="10" t="n">
        <v>0.376221961574629</v>
      </c>
      <c r="P5169" s="10" t="n">
        <v>0.337768794968724</v>
      </c>
      <c r="Q5169" s="0" t="str">
        <f aca="false">SUBSTITUTE(SUBSTITUTE($I5169,CHAR(61),""),CHAR(34),"")</f>
        <v>01-09</v>
      </c>
      <c r="R5169" s="0" t="str">
        <f aca="false">IF($D5169&lt;&gt;"","["&amp;$E5169&amp;"]"&amp;"|"&amp;$Q5169&amp;"|"&amp;$K5169&amp;"|"&amp;$G5169&amp;"|"&amp;IF($G5169="TX_CURR_SUBNAT.R","CY2022Q4",$M5169),"")</f>
        <v>[U8c0so51kT6]|01-09|Female|PLHIV_Residents.T|CY2024Q3</v>
      </c>
    </row>
    <row r="5170" customFormat="false" ht="15" hidden="false" customHeight="false" outlineLevel="0" collapsed="false">
      <c r="D5170" s="0" t="s">
        <v>111</v>
      </c>
      <c r="E5170" s="0" t="s">
        <v>112</v>
      </c>
      <c r="F5170" s="0" t="s">
        <v>113</v>
      </c>
      <c r="G5170" s="0" t="s">
        <v>165</v>
      </c>
      <c r="H5170" s="0" t="s">
        <v>166</v>
      </c>
      <c r="I5170" s="0" t="s">
        <v>36</v>
      </c>
      <c r="J5170" s="0" t="s">
        <v>37</v>
      </c>
      <c r="K5170" s="0" t="s">
        <v>30</v>
      </c>
      <c r="L5170" s="0" t="s">
        <v>31</v>
      </c>
      <c r="M5170" s="0" t="s">
        <v>167</v>
      </c>
      <c r="N5170" s="0" t="n">
        <v>1267</v>
      </c>
      <c r="O5170" s="10" t="n">
        <v>0.585634084884077</v>
      </c>
      <c r="P5170" s="10" t="n">
        <v>0.337768794968724</v>
      </c>
      <c r="Q5170" s="0" t="str">
        <f aca="false">SUBSTITUTE(SUBSTITUTE($I5170,CHAR(61),""),CHAR(34),"")</f>
        <v>10-14</v>
      </c>
      <c r="R5170" s="0" t="str">
        <f aca="false">IF($D5170&lt;&gt;"","["&amp;$E5170&amp;"]"&amp;"|"&amp;$Q5170&amp;"|"&amp;$K5170&amp;"|"&amp;$G5170&amp;"|"&amp;IF($G5170="TX_CURR_SUBNAT.R","CY2022Q4",$M5170),"")</f>
        <v>[U8c0so51kT6]|10-14|Female|PLHIV_Residents.T|CY2024Q3</v>
      </c>
    </row>
    <row r="5171" customFormat="false" ht="15" hidden="false" customHeight="false" outlineLevel="0" collapsed="false">
      <c r="D5171" s="0" t="s">
        <v>111</v>
      </c>
      <c r="E5171" s="0" t="s">
        <v>112</v>
      </c>
      <c r="F5171" s="0" t="s">
        <v>113</v>
      </c>
      <c r="G5171" s="0" t="s">
        <v>165</v>
      </c>
      <c r="H5171" s="0" t="s">
        <v>166</v>
      </c>
      <c r="I5171" s="0" t="s">
        <v>38</v>
      </c>
      <c r="J5171" s="0" t="s">
        <v>39</v>
      </c>
      <c r="K5171" s="0" t="s">
        <v>30</v>
      </c>
      <c r="L5171" s="0" t="s">
        <v>31</v>
      </c>
      <c r="M5171" s="0" t="s">
        <v>167</v>
      </c>
      <c r="N5171" s="0" t="n">
        <v>1387</v>
      </c>
      <c r="O5171" s="10" t="n">
        <v>0.818512497004122</v>
      </c>
      <c r="P5171" s="10" t="n">
        <v>0.337768794968724</v>
      </c>
      <c r="Q5171" s="0" t="str">
        <f aca="false">SUBSTITUTE(SUBSTITUTE($I5171,CHAR(61),""),CHAR(34),"")</f>
        <v>15-24</v>
      </c>
      <c r="R5171" s="0" t="str">
        <f aca="false">IF($D5171&lt;&gt;"","["&amp;$E5171&amp;"]"&amp;"|"&amp;$Q5171&amp;"|"&amp;$K5171&amp;"|"&amp;$G5171&amp;"|"&amp;IF($G5171="TX_CURR_SUBNAT.R","CY2022Q4",$M5171),"")</f>
        <v>[U8c0so51kT6]|15-24|Female|PLHIV_Residents.T|CY2024Q3</v>
      </c>
    </row>
    <row r="5172" customFormat="false" ht="15" hidden="false" customHeight="false" outlineLevel="0" collapsed="false">
      <c r="D5172" s="0" t="s">
        <v>111</v>
      </c>
      <c r="E5172" s="0" t="s">
        <v>112</v>
      </c>
      <c r="F5172" s="0" t="s">
        <v>113</v>
      </c>
      <c r="G5172" s="0" t="s">
        <v>165</v>
      </c>
      <c r="H5172" s="0" t="s">
        <v>166</v>
      </c>
      <c r="I5172" s="0" t="s">
        <v>41</v>
      </c>
      <c r="J5172" s="0" t="s">
        <v>42</v>
      </c>
      <c r="K5172" s="0" t="s">
        <v>30</v>
      </c>
      <c r="L5172" s="0" t="s">
        <v>31</v>
      </c>
      <c r="M5172" s="0" t="s">
        <v>167</v>
      </c>
      <c r="N5172" s="0" t="n">
        <v>810</v>
      </c>
      <c r="O5172" s="10" t="n">
        <v>0.810982811497524</v>
      </c>
      <c r="P5172" s="10" t="n">
        <v>0.337768794968724</v>
      </c>
      <c r="Q5172" s="0" t="str">
        <f aca="false">SUBSTITUTE(SUBSTITUTE($I5172,CHAR(61),""),CHAR(34),"")</f>
        <v>25-34</v>
      </c>
      <c r="R5172" s="0" t="str">
        <f aca="false">IF($D5172&lt;&gt;"","["&amp;$E5172&amp;"]"&amp;"|"&amp;$Q5172&amp;"|"&amp;$K5172&amp;"|"&amp;$G5172&amp;"|"&amp;IF($G5172="TX_CURR_SUBNAT.R","CY2022Q4",$M5172),"")</f>
        <v>[U8c0so51kT6]|25-34|Female|PLHIV_Residents.T|CY2024Q3</v>
      </c>
    </row>
    <row r="5173" customFormat="false" ht="15" hidden="false" customHeight="false" outlineLevel="0" collapsed="false">
      <c r="D5173" s="0" t="s">
        <v>111</v>
      </c>
      <c r="E5173" s="0" t="s">
        <v>112</v>
      </c>
      <c r="F5173" s="0" t="s">
        <v>113</v>
      </c>
      <c r="G5173" s="0" t="s">
        <v>165</v>
      </c>
      <c r="H5173" s="0" t="s">
        <v>166</v>
      </c>
      <c r="I5173" s="0" t="s">
        <v>43</v>
      </c>
      <c r="J5173" s="0" t="s">
        <v>44</v>
      </c>
      <c r="K5173" s="0" t="s">
        <v>30</v>
      </c>
      <c r="L5173" s="0" t="s">
        <v>31</v>
      </c>
      <c r="M5173" s="0" t="s">
        <v>167</v>
      </c>
      <c r="N5173" s="0" t="n">
        <v>1116</v>
      </c>
      <c r="O5173" s="10" t="n">
        <v>0.845957494573668</v>
      </c>
      <c r="P5173" s="10" t="n">
        <v>0.337768794968724</v>
      </c>
      <c r="Q5173" s="0" t="str">
        <f aca="false">SUBSTITUTE(SUBSTITUTE($I5173,CHAR(61),""),CHAR(34),"")</f>
        <v>35-49</v>
      </c>
      <c r="R5173" s="0" t="str">
        <f aca="false">IF($D5173&lt;&gt;"","["&amp;$E5173&amp;"]"&amp;"|"&amp;$Q5173&amp;"|"&amp;$K5173&amp;"|"&amp;$G5173&amp;"|"&amp;IF($G5173="TX_CURR_SUBNAT.R","CY2022Q4",$M5173),"")</f>
        <v>[U8c0so51kT6]|35-49|Female|PLHIV_Residents.T|CY2024Q3</v>
      </c>
    </row>
    <row r="5174" customFormat="false" ht="15" hidden="false" customHeight="false" outlineLevel="0" collapsed="false">
      <c r="D5174" s="0" t="s">
        <v>111</v>
      </c>
      <c r="E5174" s="0" t="s">
        <v>112</v>
      </c>
      <c r="F5174" s="0" t="s">
        <v>113</v>
      </c>
      <c r="G5174" s="0" t="s">
        <v>165</v>
      </c>
      <c r="H5174" s="0" t="s">
        <v>166</v>
      </c>
      <c r="I5174" s="0" t="s">
        <v>45</v>
      </c>
      <c r="J5174" s="0" t="s">
        <v>46</v>
      </c>
      <c r="K5174" s="0" t="s">
        <v>30</v>
      </c>
      <c r="L5174" s="0" t="s">
        <v>31</v>
      </c>
      <c r="M5174" s="0" t="s">
        <v>167</v>
      </c>
      <c r="N5174" s="0" t="n">
        <v>785</v>
      </c>
      <c r="O5174" s="10" t="n">
        <v>0.0787948311772197</v>
      </c>
      <c r="P5174" s="10" t="n">
        <v>0.337768794968724</v>
      </c>
      <c r="Q5174" s="0" t="str">
        <f aca="false">SUBSTITUTE(SUBSTITUTE($I5174,CHAR(61),""),CHAR(34),"")</f>
        <v>50+</v>
      </c>
      <c r="R5174" s="0" t="str">
        <f aca="false">IF($D5174&lt;&gt;"","["&amp;$E5174&amp;"]"&amp;"|"&amp;$Q5174&amp;"|"&amp;$K5174&amp;"|"&amp;$G5174&amp;"|"&amp;IF($G5174="TX_CURR_SUBNAT.R","CY2022Q4",$M5174),"")</f>
        <v>[U8c0so51kT6]|50+|Female|PLHIV_Residents.T|CY2024Q3</v>
      </c>
    </row>
    <row r="5175" customFormat="false" ht="15" hidden="false" customHeight="false" outlineLevel="0" collapsed="false">
      <c r="D5175" s="0" t="s">
        <v>111</v>
      </c>
      <c r="E5175" s="0" t="s">
        <v>112</v>
      </c>
      <c r="F5175" s="0" t="s">
        <v>113</v>
      </c>
      <c r="G5175" s="0" t="s">
        <v>165</v>
      </c>
      <c r="H5175" s="0" t="s">
        <v>166</v>
      </c>
      <c r="I5175" s="0" t="s">
        <v>28</v>
      </c>
      <c r="J5175" s="0" t="s">
        <v>29</v>
      </c>
      <c r="K5175" s="0" t="s">
        <v>48</v>
      </c>
      <c r="L5175" s="0" t="s">
        <v>49</v>
      </c>
      <c r="M5175" s="0" t="s">
        <v>167</v>
      </c>
      <c r="N5175" s="0" t="n">
        <v>733</v>
      </c>
      <c r="O5175" s="10" t="n">
        <v>0.976183925988153</v>
      </c>
      <c r="P5175" s="10" t="n">
        <v>0.337768794968724</v>
      </c>
      <c r="Q5175" s="0" t="str">
        <f aca="false">SUBSTITUTE(SUBSTITUTE($I5175,CHAR(61),""),CHAR(34),"")</f>
        <v>&lt;01</v>
      </c>
      <c r="R5175" s="0" t="str">
        <f aca="false">IF($D5175&lt;&gt;"","["&amp;$E5175&amp;"]"&amp;"|"&amp;$Q5175&amp;"|"&amp;$K5175&amp;"|"&amp;$G5175&amp;"|"&amp;IF($G5175="TX_CURR_SUBNAT.R","CY2022Q4",$M5175),"")</f>
        <v>[U8c0so51kT6]|&lt;01|Male|PLHIV_Residents.T|CY2024Q3</v>
      </c>
    </row>
    <row r="5176" customFormat="false" ht="15" hidden="false" customHeight="false" outlineLevel="0" collapsed="false">
      <c r="D5176" s="0" t="s">
        <v>111</v>
      </c>
      <c r="E5176" s="0" t="s">
        <v>112</v>
      </c>
      <c r="F5176" s="0" t="s">
        <v>113</v>
      </c>
      <c r="G5176" s="0" t="s">
        <v>165</v>
      </c>
      <c r="H5176" s="0" t="s">
        <v>166</v>
      </c>
      <c r="I5176" s="0" t="s">
        <v>33</v>
      </c>
      <c r="J5176" s="0" t="s">
        <v>34</v>
      </c>
      <c r="K5176" s="0" t="s">
        <v>48</v>
      </c>
      <c r="L5176" s="0" t="s">
        <v>49</v>
      </c>
      <c r="M5176" s="0" t="s">
        <v>167</v>
      </c>
      <c r="N5176" s="0" t="n">
        <v>1465</v>
      </c>
      <c r="O5176" s="10" t="n">
        <v>0.0493070760276169</v>
      </c>
      <c r="P5176" s="10" t="n">
        <v>0.337768794968724</v>
      </c>
      <c r="Q5176" s="0" t="str">
        <f aca="false">SUBSTITUTE(SUBSTITUTE($I5176,CHAR(61),""),CHAR(34),"")</f>
        <v>01-09</v>
      </c>
      <c r="R5176" s="0" t="str">
        <f aca="false">IF($D5176&lt;&gt;"","["&amp;$E5176&amp;"]"&amp;"|"&amp;$Q5176&amp;"|"&amp;$K5176&amp;"|"&amp;$G5176&amp;"|"&amp;IF($G5176="TX_CURR_SUBNAT.R","CY2022Q4",$M5176),"")</f>
        <v>[U8c0so51kT6]|01-09|Male|PLHIV_Residents.T|CY2024Q3</v>
      </c>
    </row>
    <row r="5177" customFormat="false" ht="15" hidden="false" customHeight="false" outlineLevel="0" collapsed="false">
      <c r="D5177" s="0" t="s">
        <v>111</v>
      </c>
      <c r="E5177" s="0" t="s">
        <v>112</v>
      </c>
      <c r="F5177" s="0" t="s">
        <v>113</v>
      </c>
      <c r="G5177" s="0" t="s">
        <v>165</v>
      </c>
      <c r="H5177" s="0" t="s">
        <v>166</v>
      </c>
      <c r="I5177" s="0" t="s">
        <v>36</v>
      </c>
      <c r="J5177" s="0" t="s">
        <v>37</v>
      </c>
      <c r="K5177" s="0" t="s">
        <v>48</v>
      </c>
      <c r="L5177" s="0" t="s">
        <v>49</v>
      </c>
      <c r="M5177" s="0" t="s">
        <v>167</v>
      </c>
      <c r="N5177" s="0" t="n">
        <v>576</v>
      </c>
      <c r="O5177" s="10" t="n">
        <v>0.318576201796532</v>
      </c>
      <c r="P5177" s="10" t="n">
        <v>0.337768794968724</v>
      </c>
      <c r="Q5177" s="0" t="str">
        <f aca="false">SUBSTITUTE(SUBSTITUTE($I5177,CHAR(61),""),CHAR(34),"")</f>
        <v>10-14</v>
      </c>
      <c r="R5177" s="0" t="str">
        <f aca="false">IF($D5177&lt;&gt;"","["&amp;$E5177&amp;"]"&amp;"|"&amp;$Q5177&amp;"|"&amp;$K5177&amp;"|"&amp;$G5177&amp;"|"&amp;IF($G5177="TX_CURR_SUBNAT.R","CY2022Q4",$M5177),"")</f>
        <v>[U8c0so51kT6]|10-14|Male|PLHIV_Residents.T|CY2024Q3</v>
      </c>
    </row>
    <row r="5178" customFormat="false" ht="15" hidden="false" customHeight="false" outlineLevel="0" collapsed="false">
      <c r="D5178" s="0" t="s">
        <v>111</v>
      </c>
      <c r="E5178" s="0" t="s">
        <v>112</v>
      </c>
      <c r="F5178" s="0" t="s">
        <v>113</v>
      </c>
      <c r="G5178" s="0" t="s">
        <v>165</v>
      </c>
      <c r="H5178" s="0" t="s">
        <v>166</v>
      </c>
      <c r="I5178" s="0" t="s">
        <v>38</v>
      </c>
      <c r="J5178" s="0" t="s">
        <v>39</v>
      </c>
      <c r="K5178" s="0" t="s">
        <v>48</v>
      </c>
      <c r="L5178" s="0" t="s">
        <v>49</v>
      </c>
      <c r="M5178" s="0" t="s">
        <v>167</v>
      </c>
      <c r="N5178" s="0" t="n">
        <v>965</v>
      </c>
      <c r="O5178" s="10" t="n">
        <v>0.735221165465191</v>
      </c>
      <c r="P5178" s="10" t="n">
        <v>0.337768794968724</v>
      </c>
      <c r="Q5178" s="0" t="str">
        <f aca="false">SUBSTITUTE(SUBSTITUTE($I5178,CHAR(61),""),CHAR(34),"")</f>
        <v>15-24</v>
      </c>
      <c r="R5178" s="0" t="str">
        <f aca="false">IF($D5178&lt;&gt;"","["&amp;$E5178&amp;"]"&amp;"|"&amp;$Q5178&amp;"|"&amp;$K5178&amp;"|"&amp;$G5178&amp;"|"&amp;IF($G5178="TX_CURR_SUBNAT.R","CY2022Q4",$M5178),"")</f>
        <v>[U8c0so51kT6]|15-24|Male|PLHIV_Residents.T|CY2024Q3</v>
      </c>
    </row>
    <row r="5179" customFormat="false" ht="15" hidden="false" customHeight="false" outlineLevel="0" collapsed="false">
      <c r="D5179" s="0" t="s">
        <v>111</v>
      </c>
      <c r="E5179" s="0" t="s">
        <v>112</v>
      </c>
      <c r="F5179" s="0" t="s">
        <v>113</v>
      </c>
      <c r="G5179" s="0" t="s">
        <v>165</v>
      </c>
      <c r="H5179" s="0" t="s">
        <v>166</v>
      </c>
      <c r="I5179" s="0" t="s">
        <v>41</v>
      </c>
      <c r="J5179" s="0" t="s">
        <v>42</v>
      </c>
      <c r="K5179" s="0" t="s">
        <v>48</v>
      </c>
      <c r="L5179" s="0" t="s">
        <v>49</v>
      </c>
      <c r="M5179" s="0" t="s">
        <v>167</v>
      </c>
      <c r="N5179" s="0" t="n">
        <v>1483</v>
      </c>
      <c r="O5179" s="10" t="n">
        <v>0.921873342944309</v>
      </c>
      <c r="P5179" s="10" t="n">
        <v>0.337768794968724</v>
      </c>
      <c r="Q5179" s="0" t="str">
        <f aca="false">SUBSTITUTE(SUBSTITUTE($I5179,CHAR(61),""),CHAR(34),"")</f>
        <v>25-34</v>
      </c>
      <c r="R5179" s="0" t="str">
        <f aca="false">IF($D5179&lt;&gt;"","["&amp;$E5179&amp;"]"&amp;"|"&amp;$Q5179&amp;"|"&amp;$K5179&amp;"|"&amp;$G5179&amp;"|"&amp;IF($G5179="TX_CURR_SUBNAT.R","CY2022Q4",$M5179),"")</f>
        <v>[U8c0so51kT6]|25-34|Male|PLHIV_Residents.T|CY2024Q3</v>
      </c>
    </row>
    <row r="5180" customFormat="false" ht="15" hidden="false" customHeight="false" outlineLevel="0" collapsed="false">
      <c r="D5180" s="0" t="s">
        <v>111</v>
      </c>
      <c r="E5180" s="0" t="s">
        <v>112</v>
      </c>
      <c r="F5180" s="0" t="s">
        <v>113</v>
      </c>
      <c r="G5180" s="0" t="s">
        <v>165</v>
      </c>
      <c r="H5180" s="0" t="s">
        <v>166</v>
      </c>
      <c r="I5180" s="0" t="s">
        <v>43</v>
      </c>
      <c r="J5180" s="0" t="s">
        <v>44</v>
      </c>
      <c r="K5180" s="0" t="s">
        <v>48</v>
      </c>
      <c r="L5180" s="0" t="s">
        <v>49</v>
      </c>
      <c r="M5180" s="0" t="s">
        <v>167</v>
      </c>
      <c r="N5180" s="0" t="n">
        <v>1883</v>
      </c>
      <c r="O5180" s="10" t="n">
        <v>0.48056500335224</v>
      </c>
      <c r="P5180" s="10" t="n">
        <v>0.337768794968724</v>
      </c>
      <c r="Q5180" s="0" t="str">
        <f aca="false">SUBSTITUTE(SUBSTITUTE($I5180,CHAR(61),""),CHAR(34),"")</f>
        <v>35-49</v>
      </c>
      <c r="R5180" s="0" t="str">
        <f aca="false">IF($D5180&lt;&gt;"","["&amp;$E5180&amp;"]"&amp;"|"&amp;$Q5180&amp;"|"&amp;$K5180&amp;"|"&amp;$G5180&amp;"|"&amp;IF($G5180="TX_CURR_SUBNAT.R","CY2022Q4",$M5180),"")</f>
        <v>[U8c0so51kT6]|35-49|Male|PLHIV_Residents.T|CY2024Q3</v>
      </c>
    </row>
    <row r="5181" customFormat="false" ht="15" hidden="false" customHeight="false" outlineLevel="0" collapsed="false">
      <c r="D5181" s="0" t="s">
        <v>111</v>
      </c>
      <c r="E5181" s="0" t="s">
        <v>112</v>
      </c>
      <c r="F5181" s="0" t="s">
        <v>113</v>
      </c>
      <c r="G5181" s="0" t="s">
        <v>165</v>
      </c>
      <c r="H5181" s="0" t="s">
        <v>166</v>
      </c>
      <c r="I5181" s="0" t="s">
        <v>45</v>
      </c>
      <c r="J5181" s="0" t="s">
        <v>46</v>
      </c>
      <c r="K5181" s="0" t="s">
        <v>48</v>
      </c>
      <c r="L5181" s="0" t="s">
        <v>49</v>
      </c>
      <c r="M5181" s="0" t="s">
        <v>167</v>
      </c>
      <c r="N5181" s="0" t="n">
        <v>1227</v>
      </c>
      <c r="O5181" s="10" t="n">
        <v>0.362511968705803</v>
      </c>
      <c r="P5181" s="10" t="n">
        <v>0.337768794968724</v>
      </c>
      <c r="Q5181" s="0" t="str">
        <f aca="false">SUBSTITUTE(SUBSTITUTE($I5181,CHAR(61),""),CHAR(34),"")</f>
        <v>50+</v>
      </c>
      <c r="R5181" s="0" t="str">
        <f aca="false">IF($D5181&lt;&gt;"","["&amp;$E5181&amp;"]"&amp;"|"&amp;$Q5181&amp;"|"&amp;$K5181&amp;"|"&amp;$G5181&amp;"|"&amp;IF($G5181="TX_CURR_SUBNAT.R","CY2022Q4",$M5181),"")</f>
        <v>[U8c0so51kT6]|50+|Male|PLHIV_Residents.T|CY2024Q3</v>
      </c>
    </row>
    <row r="5182" customFormat="false" ht="15" hidden="false" customHeight="false" outlineLevel="0" collapsed="false">
      <c r="D5182" s="0" t="s">
        <v>114</v>
      </c>
      <c r="E5182" s="0" t="s">
        <v>115</v>
      </c>
      <c r="F5182" s="0" t="s">
        <v>116</v>
      </c>
      <c r="G5182" s="0" t="s">
        <v>165</v>
      </c>
      <c r="H5182" s="0" t="s">
        <v>166</v>
      </c>
      <c r="I5182" s="0" t="s">
        <v>28</v>
      </c>
      <c r="J5182" s="0" t="s">
        <v>29</v>
      </c>
      <c r="K5182" s="0" t="s">
        <v>30</v>
      </c>
      <c r="L5182" s="0" t="s">
        <v>31</v>
      </c>
      <c r="M5182" s="0" t="s">
        <v>167</v>
      </c>
      <c r="N5182" s="0" t="n">
        <v>867</v>
      </c>
      <c r="O5182" s="10" t="n">
        <v>0.0103918495588005</v>
      </c>
      <c r="P5182" s="10" t="n">
        <v>0.298559809103608</v>
      </c>
      <c r="Q5182" s="0" t="str">
        <f aca="false">SUBSTITUTE(SUBSTITUTE($I5182,CHAR(61),""),CHAR(34),"")</f>
        <v>&lt;01</v>
      </c>
      <c r="R5182" s="0" t="str">
        <f aca="false">IF($D5182&lt;&gt;"","["&amp;$E5182&amp;"]"&amp;"|"&amp;$Q5182&amp;"|"&amp;$K5182&amp;"|"&amp;$G5182&amp;"|"&amp;IF($G5182="TX_CURR_SUBNAT.R","CY2022Q4",$M5182),"")</f>
        <v>[rpw540fmNUz]|&lt;01|Female|PLHIV_Residents.T|CY2024Q3</v>
      </c>
    </row>
    <row r="5183" customFormat="false" ht="15" hidden="false" customHeight="false" outlineLevel="0" collapsed="false">
      <c r="D5183" s="0" t="s">
        <v>114</v>
      </c>
      <c r="E5183" s="0" t="s">
        <v>115</v>
      </c>
      <c r="F5183" s="0" t="s">
        <v>116</v>
      </c>
      <c r="G5183" s="0" t="s">
        <v>165</v>
      </c>
      <c r="H5183" s="0" t="s">
        <v>166</v>
      </c>
      <c r="I5183" s="0" t="s">
        <v>33</v>
      </c>
      <c r="J5183" s="0" t="s">
        <v>34</v>
      </c>
      <c r="K5183" s="0" t="s">
        <v>30</v>
      </c>
      <c r="L5183" s="0" t="s">
        <v>31</v>
      </c>
      <c r="M5183" s="0" t="s">
        <v>167</v>
      </c>
      <c r="N5183" s="0" t="n">
        <v>1613</v>
      </c>
      <c r="O5183" s="10" t="n">
        <v>0.461648237658665</v>
      </c>
      <c r="P5183" s="10" t="n">
        <v>0.298559809103608</v>
      </c>
      <c r="Q5183" s="0" t="str">
        <f aca="false">SUBSTITUTE(SUBSTITUTE($I5183,CHAR(61),""),CHAR(34),"")</f>
        <v>01-09</v>
      </c>
      <c r="R5183" s="0" t="str">
        <f aca="false">IF($D5183&lt;&gt;"","["&amp;$E5183&amp;"]"&amp;"|"&amp;$Q5183&amp;"|"&amp;$K5183&amp;"|"&amp;$G5183&amp;"|"&amp;IF($G5183="TX_CURR_SUBNAT.R","CY2022Q4",$M5183),"")</f>
        <v>[rpw540fmNUz]|01-09|Female|PLHIV_Residents.T|CY2024Q3</v>
      </c>
    </row>
    <row r="5184" customFormat="false" ht="15" hidden="false" customHeight="false" outlineLevel="0" collapsed="false">
      <c r="D5184" s="0" t="s">
        <v>114</v>
      </c>
      <c r="E5184" s="0" t="s">
        <v>115</v>
      </c>
      <c r="F5184" s="0" t="s">
        <v>116</v>
      </c>
      <c r="G5184" s="0" t="s">
        <v>165</v>
      </c>
      <c r="H5184" s="0" t="s">
        <v>166</v>
      </c>
      <c r="I5184" s="0" t="s">
        <v>36</v>
      </c>
      <c r="J5184" s="0" t="s">
        <v>37</v>
      </c>
      <c r="K5184" s="0" t="s">
        <v>30</v>
      </c>
      <c r="L5184" s="0" t="s">
        <v>31</v>
      </c>
      <c r="M5184" s="0" t="s">
        <v>167</v>
      </c>
      <c r="N5184" s="0" t="n">
        <v>1702</v>
      </c>
      <c r="O5184" s="10" t="n">
        <v>0.0680056596174836</v>
      </c>
      <c r="P5184" s="10" t="n">
        <v>0.298559809103608</v>
      </c>
      <c r="Q5184" s="0" t="str">
        <f aca="false">SUBSTITUTE(SUBSTITUTE($I5184,CHAR(61),""),CHAR(34),"")</f>
        <v>10-14</v>
      </c>
      <c r="R5184" s="0" t="str">
        <f aca="false">IF($D5184&lt;&gt;"","["&amp;$E5184&amp;"]"&amp;"|"&amp;$Q5184&amp;"|"&amp;$K5184&amp;"|"&amp;$G5184&amp;"|"&amp;IF($G5184="TX_CURR_SUBNAT.R","CY2022Q4",$M5184),"")</f>
        <v>[rpw540fmNUz]|10-14|Female|PLHIV_Residents.T|CY2024Q3</v>
      </c>
    </row>
    <row r="5185" customFormat="false" ht="15" hidden="false" customHeight="false" outlineLevel="0" collapsed="false">
      <c r="D5185" s="0" t="s">
        <v>114</v>
      </c>
      <c r="E5185" s="0" t="s">
        <v>115</v>
      </c>
      <c r="F5185" s="0" t="s">
        <v>116</v>
      </c>
      <c r="G5185" s="0" t="s">
        <v>165</v>
      </c>
      <c r="H5185" s="0" t="s">
        <v>166</v>
      </c>
      <c r="I5185" s="0" t="s">
        <v>38</v>
      </c>
      <c r="J5185" s="0" t="s">
        <v>39</v>
      </c>
      <c r="K5185" s="0" t="s">
        <v>30</v>
      </c>
      <c r="L5185" s="0" t="s">
        <v>31</v>
      </c>
      <c r="M5185" s="0" t="s">
        <v>167</v>
      </c>
      <c r="N5185" s="0" t="n">
        <v>923</v>
      </c>
      <c r="O5185" s="10" t="n">
        <v>0.329761076485738</v>
      </c>
      <c r="P5185" s="10" t="n">
        <v>0.298559809103608</v>
      </c>
      <c r="Q5185" s="0" t="str">
        <f aca="false">SUBSTITUTE(SUBSTITUTE($I5185,CHAR(61),""),CHAR(34),"")</f>
        <v>15-24</v>
      </c>
      <c r="R5185" s="0" t="str">
        <f aca="false">IF($D5185&lt;&gt;"","["&amp;$E5185&amp;"]"&amp;"|"&amp;$Q5185&amp;"|"&amp;$K5185&amp;"|"&amp;$G5185&amp;"|"&amp;IF($G5185="TX_CURR_SUBNAT.R","CY2022Q4",$M5185),"")</f>
        <v>[rpw540fmNUz]|15-24|Female|PLHIV_Residents.T|CY2024Q3</v>
      </c>
    </row>
    <row r="5186" customFormat="false" ht="15" hidden="false" customHeight="false" outlineLevel="0" collapsed="false">
      <c r="D5186" s="0" t="s">
        <v>114</v>
      </c>
      <c r="E5186" s="0" t="s">
        <v>115</v>
      </c>
      <c r="F5186" s="0" t="s">
        <v>116</v>
      </c>
      <c r="G5186" s="0" t="s">
        <v>165</v>
      </c>
      <c r="H5186" s="0" t="s">
        <v>166</v>
      </c>
      <c r="I5186" s="0" t="s">
        <v>41</v>
      </c>
      <c r="J5186" s="0" t="s">
        <v>42</v>
      </c>
      <c r="K5186" s="0" t="s">
        <v>30</v>
      </c>
      <c r="L5186" s="0" t="s">
        <v>31</v>
      </c>
      <c r="M5186" s="0" t="s">
        <v>167</v>
      </c>
      <c r="N5186" s="0" t="n">
        <v>1061</v>
      </c>
      <c r="O5186" s="10" t="n">
        <v>0.033010563114658</v>
      </c>
      <c r="P5186" s="10" t="n">
        <v>0.298559809103608</v>
      </c>
      <c r="Q5186" s="0" t="str">
        <f aca="false">SUBSTITUTE(SUBSTITUTE($I5186,CHAR(61),""),CHAR(34),"")</f>
        <v>25-34</v>
      </c>
      <c r="R5186" s="0" t="str">
        <f aca="false">IF($D5186&lt;&gt;"","["&amp;$E5186&amp;"]"&amp;"|"&amp;$Q5186&amp;"|"&amp;$K5186&amp;"|"&amp;$G5186&amp;"|"&amp;IF($G5186="TX_CURR_SUBNAT.R","CY2022Q4",$M5186),"")</f>
        <v>[rpw540fmNUz]|25-34|Female|PLHIV_Residents.T|CY2024Q3</v>
      </c>
    </row>
    <row r="5187" customFormat="false" ht="15" hidden="false" customHeight="false" outlineLevel="0" collapsed="false">
      <c r="D5187" s="0" t="s">
        <v>114</v>
      </c>
      <c r="E5187" s="0" t="s">
        <v>115</v>
      </c>
      <c r="F5187" s="0" t="s">
        <v>116</v>
      </c>
      <c r="G5187" s="0" t="s">
        <v>165</v>
      </c>
      <c r="H5187" s="0" t="s">
        <v>166</v>
      </c>
      <c r="I5187" s="0" t="s">
        <v>43</v>
      </c>
      <c r="J5187" s="0" t="s">
        <v>44</v>
      </c>
      <c r="K5187" s="0" t="s">
        <v>30</v>
      </c>
      <c r="L5187" s="0" t="s">
        <v>31</v>
      </c>
      <c r="M5187" s="0" t="s">
        <v>167</v>
      </c>
      <c r="N5187" s="0" t="n">
        <v>1368</v>
      </c>
      <c r="O5187" s="10" t="n">
        <v>0.130419646622613</v>
      </c>
      <c r="P5187" s="10" t="n">
        <v>0.298559809103608</v>
      </c>
      <c r="Q5187" s="0" t="str">
        <f aca="false">SUBSTITUTE(SUBSTITUTE($I5187,CHAR(61),""),CHAR(34),"")</f>
        <v>35-49</v>
      </c>
      <c r="R5187" s="0" t="str">
        <f aca="false">IF($D5187&lt;&gt;"","["&amp;$E5187&amp;"]"&amp;"|"&amp;$Q5187&amp;"|"&amp;$K5187&amp;"|"&amp;$G5187&amp;"|"&amp;IF($G5187="TX_CURR_SUBNAT.R","CY2022Q4",$M5187),"")</f>
        <v>[rpw540fmNUz]|35-49|Female|PLHIV_Residents.T|CY2024Q3</v>
      </c>
    </row>
    <row r="5188" customFormat="false" ht="15" hidden="false" customHeight="false" outlineLevel="0" collapsed="false">
      <c r="D5188" s="0" t="s">
        <v>114</v>
      </c>
      <c r="E5188" s="0" t="s">
        <v>115</v>
      </c>
      <c r="F5188" s="0" t="s">
        <v>116</v>
      </c>
      <c r="G5188" s="0" t="s">
        <v>165</v>
      </c>
      <c r="H5188" s="0" t="s">
        <v>166</v>
      </c>
      <c r="I5188" s="0" t="s">
        <v>45</v>
      </c>
      <c r="J5188" s="0" t="s">
        <v>46</v>
      </c>
      <c r="K5188" s="0" t="s">
        <v>30</v>
      </c>
      <c r="L5188" s="0" t="s">
        <v>31</v>
      </c>
      <c r="M5188" s="0" t="s">
        <v>167</v>
      </c>
      <c r="N5188" s="0" t="n">
        <v>1889</v>
      </c>
      <c r="O5188" s="10" t="n">
        <v>0.657767702126876</v>
      </c>
      <c r="P5188" s="10" t="n">
        <v>0.298559809103608</v>
      </c>
      <c r="Q5188" s="0" t="str">
        <f aca="false">SUBSTITUTE(SUBSTITUTE($I5188,CHAR(61),""),CHAR(34),"")</f>
        <v>50+</v>
      </c>
      <c r="R5188" s="0" t="str">
        <f aca="false">IF($D5188&lt;&gt;"","["&amp;$E5188&amp;"]"&amp;"|"&amp;$Q5188&amp;"|"&amp;$K5188&amp;"|"&amp;$G5188&amp;"|"&amp;IF($G5188="TX_CURR_SUBNAT.R","CY2022Q4",$M5188),"")</f>
        <v>[rpw540fmNUz]|50+|Female|PLHIV_Residents.T|CY2024Q3</v>
      </c>
    </row>
    <row r="5189" customFormat="false" ht="15" hidden="false" customHeight="false" outlineLevel="0" collapsed="false">
      <c r="D5189" s="0" t="s">
        <v>114</v>
      </c>
      <c r="E5189" s="0" t="s">
        <v>115</v>
      </c>
      <c r="F5189" s="0" t="s">
        <v>116</v>
      </c>
      <c r="G5189" s="0" t="s">
        <v>165</v>
      </c>
      <c r="H5189" s="0" t="s">
        <v>166</v>
      </c>
      <c r="I5189" s="0" t="s">
        <v>28</v>
      </c>
      <c r="J5189" s="0" t="s">
        <v>29</v>
      </c>
      <c r="K5189" s="0" t="s">
        <v>48</v>
      </c>
      <c r="L5189" s="0" t="s">
        <v>49</v>
      </c>
      <c r="M5189" s="0" t="s">
        <v>167</v>
      </c>
      <c r="N5189" s="0" t="n">
        <v>1604</v>
      </c>
      <c r="O5189" s="10" t="n">
        <v>0.600394344888628</v>
      </c>
      <c r="P5189" s="10" t="n">
        <v>0.298559809103608</v>
      </c>
      <c r="Q5189" s="0" t="str">
        <f aca="false">SUBSTITUTE(SUBSTITUTE($I5189,CHAR(61),""),CHAR(34),"")</f>
        <v>&lt;01</v>
      </c>
      <c r="R5189" s="0" t="str">
        <f aca="false">IF($D5189&lt;&gt;"","["&amp;$E5189&amp;"]"&amp;"|"&amp;$Q5189&amp;"|"&amp;$K5189&amp;"|"&amp;$G5189&amp;"|"&amp;IF($G5189="TX_CURR_SUBNAT.R","CY2022Q4",$M5189),"")</f>
        <v>[rpw540fmNUz]|&lt;01|Male|PLHIV_Residents.T|CY2024Q3</v>
      </c>
    </row>
    <row r="5190" customFormat="false" ht="15" hidden="false" customHeight="false" outlineLevel="0" collapsed="false">
      <c r="D5190" s="0" t="s">
        <v>114</v>
      </c>
      <c r="E5190" s="0" t="s">
        <v>115</v>
      </c>
      <c r="F5190" s="0" t="s">
        <v>116</v>
      </c>
      <c r="G5190" s="0" t="s">
        <v>165</v>
      </c>
      <c r="H5190" s="0" t="s">
        <v>166</v>
      </c>
      <c r="I5190" s="0" t="s">
        <v>33</v>
      </c>
      <c r="J5190" s="0" t="s">
        <v>34</v>
      </c>
      <c r="K5190" s="0" t="s">
        <v>48</v>
      </c>
      <c r="L5190" s="0" t="s">
        <v>49</v>
      </c>
      <c r="M5190" s="0" t="s">
        <v>167</v>
      </c>
      <c r="N5190" s="0" t="n">
        <v>1854</v>
      </c>
      <c r="O5190" s="10" t="n">
        <v>0.0329592835623771</v>
      </c>
      <c r="P5190" s="10" t="n">
        <v>0.298559809103608</v>
      </c>
      <c r="Q5190" s="0" t="str">
        <f aca="false">SUBSTITUTE(SUBSTITUTE($I5190,CHAR(61),""),CHAR(34),"")</f>
        <v>01-09</v>
      </c>
      <c r="R5190" s="0" t="str">
        <f aca="false">IF($D5190&lt;&gt;"","["&amp;$E5190&amp;"]"&amp;"|"&amp;$Q5190&amp;"|"&amp;$K5190&amp;"|"&amp;$G5190&amp;"|"&amp;IF($G5190="TX_CURR_SUBNAT.R","CY2022Q4",$M5190),"")</f>
        <v>[rpw540fmNUz]|01-09|Male|PLHIV_Residents.T|CY2024Q3</v>
      </c>
    </row>
    <row r="5191" customFormat="false" ht="15" hidden="false" customHeight="false" outlineLevel="0" collapsed="false">
      <c r="D5191" s="0" t="s">
        <v>114</v>
      </c>
      <c r="E5191" s="0" t="s">
        <v>115</v>
      </c>
      <c r="F5191" s="0" t="s">
        <v>116</v>
      </c>
      <c r="G5191" s="0" t="s">
        <v>165</v>
      </c>
      <c r="H5191" s="0" t="s">
        <v>166</v>
      </c>
      <c r="I5191" s="0" t="s">
        <v>36</v>
      </c>
      <c r="J5191" s="0" t="s">
        <v>37</v>
      </c>
      <c r="K5191" s="0" t="s">
        <v>48</v>
      </c>
      <c r="L5191" s="0" t="s">
        <v>49</v>
      </c>
      <c r="M5191" s="0" t="s">
        <v>167</v>
      </c>
      <c r="N5191" s="0" t="n">
        <v>624</v>
      </c>
      <c r="O5191" s="10" t="n">
        <v>0.0552253869827837</v>
      </c>
      <c r="P5191" s="10" t="n">
        <v>0.298559809103608</v>
      </c>
      <c r="Q5191" s="0" t="str">
        <f aca="false">SUBSTITUTE(SUBSTITUTE($I5191,CHAR(61),""),CHAR(34),"")</f>
        <v>10-14</v>
      </c>
      <c r="R5191" s="0" t="str">
        <f aca="false">IF($D5191&lt;&gt;"","["&amp;$E5191&amp;"]"&amp;"|"&amp;$Q5191&amp;"|"&amp;$K5191&amp;"|"&amp;$G5191&amp;"|"&amp;IF($G5191="TX_CURR_SUBNAT.R","CY2022Q4",$M5191),"")</f>
        <v>[rpw540fmNUz]|10-14|Male|PLHIV_Residents.T|CY2024Q3</v>
      </c>
    </row>
    <row r="5192" customFormat="false" ht="15" hidden="false" customHeight="false" outlineLevel="0" collapsed="false">
      <c r="D5192" s="0" t="s">
        <v>114</v>
      </c>
      <c r="E5192" s="0" t="s">
        <v>115</v>
      </c>
      <c r="F5192" s="0" t="s">
        <v>116</v>
      </c>
      <c r="G5192" s="0" t="s">
        <v>165</v>
      </c>
      <c r="H5192" s="0" t="s">
        <v>166</v>
      </c>
      <c r="I5192" s="0" t="s">
        <v>38</v>
      </c>
      <c r="J5192" s="0" t="s">
        <v>39</v>
      </c>
      <c r="K5192" s="0" t="s">
        <v>48</v>
      </c>
      <c r="L5192" s="0" t="s">
        <v>49</v>
      </c>
      <c r="M5192" s="0" t="s">
        <v>167</v>
      </c>
      <c r="N5192" s="0" t="n">
        <v>1986</v>
      </c>
      <c r="O5192" s="10" t="n">
        <v>0.684775305213407</v>
      </c>
      <c r="P5192" s="10" t="n">
        <v>0.298559809103608</v>
      </c>
      <c r="Q5192" s="0" t="str">
        <f aca="false">SUBSTITUTE(SUBSTITUTE($I5192,CHAR(61),""),CHAR(34),"")</f>
        <v>15-24</v>
      </c>
      <c r="R5192" s="0" t="str">
        <f aca="false">IF($D5192&lt;&gt;"","["&amp;$E5192&amp;"]"&amp;"|"&amp;$Q5192&amp;"|"&amp;$K5192&amp;"|"&amp;$G5192&amp;"|"&amp;IF($G5192="TX_CURR_SUBNAT.R","CY2022Q4",$M5192),"")</f>
        <v>[rpw540fmNUz]|15-24|Male|PLHIV_Residents.T|CY2024Q3</v>
      </c>
    </row>
    <row r="5193" customFormat="false" ht="15" hidden="false" customHeight="false" outlineLevel="0" collapsed="false">
      <c r="D5193" s="0" t="s">
        <v>114</v>
      </c>
      <c r="E5193" s="0" t="s">
        <v>115</v>
      </c>
      <c r="F5193" s="0" t="s">
        <v>116</v>
      </c>
      <c r="G5193" s="0" t="s">
        <v>165</v>
      </c>
      <c r="H5193" s="0" t="s">
        <v>166</v>
      </c>
      <c r="I5193" s="0" t="s">
        <v>41</v>
      </c>
      <c r="J5193" s="0" t="s">
        <v>42</v>
      </c>
      <c r="K5193" s="0" t="s">
        <v>48</v>
      </c>
      <c r="L5193" s="0" t="s">
        <v>49</v>
      </c>
      <c r="M5193" s="0" t="s">
        <v>167</v>
      </c>
      <c r="N5193" s="0" t="n">
        <v>1836</v>
      </c>
      <c r="O5193" s="10" t="n">
        <v>0.249986435519531</v>
      </c>
      <c r="P5193" s="10" t="n">
        <v>0.298559809103608</v>
      </c>
      <c r="Q5193" s="0" t="str">
        <f aca="false">SUBSTITUTE(SUBSTITUTE($I5193,CHAR(61),""),CHAR(34),"")</f>
        <v>25-34</v>
      </c>
      <c r="R5193" s="0" t="str">
        <f aca="false">IF($D5193&lt;&gt;"","["&amp;$E5193&amp;"]"&amp;"|"&amp;$Q5193&amp;"|"&amp;$K5193&amp;"|"&amp;$G5193&amp;"|"&amp;IF($G5193="TX_CURR_SUBNAT.R","CY2022Q4",$M5193),"")</f>
        <v>[rpw540fmNUz]|25-34|Male|PLHIV_Residents.T|CY2024Q3</v>
      </c>
    </row>
    <row r="5194" customFormat="false" ht="15" hidden="false" customHeight="false" outlineLevel="0" collapsed="false">
      <c r="D5194" s="0" t="s">
        <v>114</v>
      </c>
      <c r="E5194" s="0" t="s">
        <v>115</v>
      </c>
      <c r="F5194" s="0" t="s">
        <v>116</v>
      </c>
      <c r="G5194" s="0" t="s">
        <v>165</v>
      </c>
      <c r="H5194" s="0" t="s">
        <v>166</v>
      </c>
      <c r="I5194" s="0" t="s">
        <v>43</v>
      </c>
      <c r="J5194" s="0" t="s">
        <v>44</v>
      </c>
      <c r="K5194" s="0" t="s">
        <v>48</v>
      </c>
      <c r="L5194" s="0" t="s">
        <v>49</v>
      </c>
      <c r="M5194" s="0" t="s">
        <v>167</v>
      </c>
      <c r="N5194" s="0" t="n">
        <v>1471</v>
      </c>
      <c r="O5194" s="10" t="n">
        <v>0.707450951216742</v>
      </c>
      <c r="P5194" s="10" t="n">
        <v>0.298559809103608</v>
      </c>
      <c r="Q5194" s="0" t="str">
        <f aca="false">SUBSTITUTE(SUBSTITUTE($I5194,CHAR(61),""),CHAR(34),"")</f>
        <v>35-49</v>
      </c>
      <c r="R5194" s="0" t="str">
        <f aca="false">IF($D5194&lt;&gt;"","["&amp;$E5194&amp;"]"&amp;"|"&amp;$Q5194&amp;"|"&amp;$K5194&amp;"|"&amp;$G5194&amp;"|"&amp;IF($G5194="TX_CURR_SUBNAT.R","CY2022Q4",$M5194),"")</f>
        <v>[rpw540fmNUz]|35-49|Male|PLHIV_Residents.T|CY2024Q3</v>
      </c>
    </row>
    <row r="5195" customFormat="false" ht="15" hidden="false" customHeight="false" outlineLevel="0" collapsed="false">
      <c r="D5195" s="0" t="s">
        <v>114</v>
      </c>
      <c r="E5195" s="0" t="s">
        <v>115</v>
      </c>
      <c r="F5195" s="0" t="s">
        <v>116</v>
      </c>
      <c r="G5195" s="0" t="s">
        <v>165</v>
      </c>
      <c r="H5195" s="0" t="s">
        <v>166</v>
      </c>
      <c r="I5195" s="0" t="s">
        <v>45</v>
      </c>
      <c r="J5195" s="0" t="s">
        <v>46</v>
      </c>
      <c r="K5195" s="0" t="s">
        <v>48</v>
      </c>
      <c r="L5195" s="0" t="s">
        <v>49</v>
      </c>
      <c r="M5195" s="0" t="s">
        <v>167</v>
      </c>
      <c r="N5195" s="0" t="n">
        <v>1491</v>
      </c>
      <c r="O5195" s="10" t="n">
        <v>0.042013824917376</v>
      </c>
      <c r="P5195" s="10" t="n">
        <v>0.298559809103608</v>
      </c>
      <c r="Q5195" s="0" t="str">
        <f aca="false">SUBSTITUTE(SUBSTITUTE($I5195,CHAR(61),""),CHAR(34),"")</f>
        <v>50+</v>
      </c>
      <c r="R5195" s="0" t="str">
        <f aca="false">IF($D5195&lt;&gt;"","["&amp;$E5195&amp;"]"&amp;"|"&amp;$Q5195&amp;"|"&amp;$K5195&amp;"|"&amp;$G5195&amp;"|"&amp;IF($G5195="TX_CURR_SUBNAT.R","CY2022Q4",$M5195),"")</f>
        <v>[rpw540fmNUz]|50+|Male|PLHIV_Residents.T|CY2024Q3</v>
      </c>
    </row>
    <row r="5196" customFormat="false" ht="15" hidden="false" customHeight="false" outlineLevel="0" collapsed="false">
      <c r="D5196" s="0" t="s">
        <v>117</v>
      </c>
      <c r="E5196" s="0" t="s">
        <v>118</v>
      </c>
      <c r="F5196" s="0" t="s">
        <v>119</v>
      </c>
      <c r="G5196" s="0" t="s">
        <v>165</v>
      </c>
      <c r="H5196" s="0" t="s">
        <v>166</v>
      </c>
      <c r="I5196" s="0" t="s">
        <v>28</v>
      </c>
      <c r="J5196" s="0" t="s">
        <v>29</v>
      </c>
      <c r="K5196" s="0" t="s">
        <v>30</v>
      </c>
      <c r="L5196" s="0" t="s">
        <v>31</v>
      </c>
      <c r="M5196" s="0" t="s">
        <v>167</v>
      </c>
      <c r="N5196" s="0" t="n">
        <v>744</v>
      </c>
      <c r="O5196" s="10" t="n">
        <v>0.591137082315981</v>
      </c>
      <c r="P5196" s="10" t="n">
        <v>0.206259709550068</v>
      </c>
      <c r="Q5196" s="0" t="str">
        <f aca="false">SUBSTITUTE(SUBSTITUTE($I5196,CHAR(61),""),CHAR(34),"")</f>
        <v>&lt;01</v>
      </c>
      <c r="R5196" s="0" t="str">
        <f aca="false">IF($D5196&lt;&gt;"","["&amp;$E5196&amp;"]"&amp;"|"&amp;$Q5196&amp;"|"&amp;$K5196&amp;"|"&amp;$G5196&amp;"|"&amp;IF($G5196="TX_CURR_SUBNAT.R","CY2022Q4",$M5196),"")</f>
        <v>[lPTyjLi4w3d]|&lt;01|Female|PLHIV_Residents.T|CY2024Q3</v>
      </c>
    </row>
    <row r="5197" customFormat="false" ht="15" hidden="false" customHeight="false" outlineLevel="0" collapsed="false">
      <c r="D5197" s="0" t="s">
        <v>117</v>
      </c>
      <c r="E5197" s="0" t="s">
        <v>118</v>
      </c>
      <c r="F5197" s="0" t="s">
        <v>119</v>
      </c>
      <c r="G5197" s="0" t="s">
        <v>165</v>
      </c>
      <c r="H5197" s="0" t="s">
        <v>166</v>
      </c>
      <c r="I5197" s="0" t="s">
        <v>33</v>
      </c>
      <c r="J5197" s="0" t="s">
        <v>34</v>
      </c>
      <c r="K5197" s="0" t="s">
        <v>30</v>
      </c>
      <c r="L5197" s="0" t="s">
        <v>31</v>
      </c>
      <c r="M5197" s="0" t="s">
        <v>167</v>
      </c>
      <c r="N5197" s="0" t="n">
        <v>1803</v>
      </c>
      <c r="O5197" s="10" t="n">
        <v>0.579825077904388</v>
      </c>
      <c r="P5197" s="10" t="n">
        <v>0.206259709550068</v>
      </c>
      <c r="Q5197" s="0" t="str">
        <f aca="false">SUBSTITUTE(SUBSTITUTE($I5197,CHAR(61),""),CHAR(34),"")</f>
        <v>01-09</v>
      </c>
      <c r="R5197" s="0" t="str">
        <f aca="false">IF($D5197&lt;&gt;"","["&amp;$E5197&amp;"]"&amp;"|"&amp;$Q5197&amp;"|"&amp;$K5197&amp;"|"&amp;$G5197&amp;"|"&amp;IF($G5197="TX_CURR_SUBNAT.R","CY2022Q4",$M5197),"")</f>
        <v>[lPTyjLi4w3d]|01-09|Female|PLHIV_Residents.T|CY2024Q3</v>
      </c>
    </row>
    <row r="5198" customFormat="false" ht="15" hidden="false" customHeight="false" outlineLevel="0" collapsed="false">
      <c r="D5198" s="0" t="s">
        <v>117</v>
      </c>
      <c r="E5198" s="0" t="s">
        <v>118</v>
      </c>
      <c r="F5198" s="0" t="s">
        <v>119</v>
      </c>
      <c r="G5198" s="0" t="s">
        <v>165</v>
      </c>
      <c r="H5198" s="0" t="s">
        <v>166</v>
      </c>
      <c r="I5198" s="0" t="s">
        <v>36</v>
      </c>
      <c r="J5198" s="0" t="s">
        <v>37</v>
      </c>
      <c r="K5198" s="0" t="s">
        <v>30</v>
      </c>
      <c r="L5198" s="0" t="s">
        <v>31</v>
      </c>
      <c r="M5198" s="0" t="s">
        <v>167</v>
      </c>
      <c r="N5198" s="0" t="n">
        <v>848</v>
      </c>
      <c r="O5198" s="10" t="n">
        <v>0.047801248729229</v>
      </c>
      <c r="P5198" s="10" t="n">
        <v>0.206259709550068</v>
      </c>
      <c r="Q5198" s="0" t="str">
        <f aca="false">SUBSTITUTE(SUBSTITUTE($I5198,CHAR(61),""),CHAR(34),"")</f>
        <v>10-14</v>
      </c>
      <c r="R5198" s="0" t="str">
        <f aca="false">IF($D5198&lt;&gt;"","["&amp;$E5198&amp;"]"&amp;"|"&amp;$Q5198&amp;"|"&amp;$K5198&amp;"|"&amp;$G5198&amp;"|"&amp;IF($G5198="TX_CURR_SUBNAT.R","CY2022Q4",$M5198),"")</f>
        <v>[lPTyjLi4w3d]|10-14|Female|PLHIV_Residents.T|CY2024Q3</v>
      </c>
    </row>
    <row r="5199" customFormat="false" ht="15" hidden="false" customHeight="false" outlineLevel="0" collapsed="false">
      <c r="D5199" s="0" t="s">
        <v>117</v>
      </c>
      <c r="E5199" s="0" t="s">
        <v>118</v>
      </c>
      <c r="F5199" s="0" t="s">
        <v>119</v>
      </c>
      <c r="G5199" s="0" t="s">
        <v>165</v>
      </c>
      <c r="H5199" s="0" t="s">
        <v>166</v>
      </c>
      <c r="I5199" s="0" t="s">
        <v>38</v>
      </c>
      <c r="J5199" s="0" t="s">
        <v>39</v>
      </c>
      <c r="K5199" s="0" t="s">
        <v>30</v>
      </c>
      <c r="L5199" s="0" t="s">
        <v>31</v>
      </c>
      <c r="M5199" s="0" t="s">
        <v>167</v>
      </c>
      <c r="N5199" s="0" t="n">
        <v>1639</v>
      </c>
      <c r="O5199" s="10" t="n">
        <v>0.927357436856255</v>
      </c>
      <c r="P5199" s="10" t="n">
        <v>0.206259709550068</v>
      </c>
      <c r="Q5199" s="0" t="str">
        <f aca="false">SUBSTITUTE(SUBSTITUTE($I5199,CHAR(61),""),CHAR(34),"")</f>
        <v>15-24</v>
      </c>
      <c r="R5199" s="0" t="str">
        <f aca="false">IF($D5199&lt;&gt;"","["&amp;$E5199&amp;"]"&amp;"|"&amp;$Q5199&amp;"|"&amp;$K5199&amp;"|"&amp;$G5199&amp;"|"&amp;IF($G5199="TX_CURR_SUBNAT.R","CY2022Q4",$M5199),"")</f>
        <v>[lPTyjLi4w3d]|15-24|Female|PLHIV_Residents.T|CY2024Q3</v>
      </c>
    </row>
    <row r="5200" customFormat="false" ht="15" hidden="false" customHeight="false" outlineLevel="0" collapsed="false">
      <c r="D5200" s="0" t="s">
        <v>117</v>
      </c>
      <c r="E5200" s="0" t="s">
        <v>118</v>
      </c>
      <c r="F5200" s="0" t="s">
        <v>119</v>
      </c>
      <c r="G5200" s="0" t="s">
        <v>165</v>
      </c>
      <c r="H5200" s="0" t="s">
        <v>166</v>
      </c>
      <c r="I5200" s="0" t="s">
        <v>41</v>
      </c>
      <c r="J5200" s="0" t="s">
        <v>42</v>
      </c>
      <c r="K5200" s="0" t="s">
        <v>30</v>
      </c>
      <c r="L5200" s="0" t="s">
        <v>31</v>
      </c>
      <c r="M5200" s="0" t="s">
        <v>167</v>
      </c>
      <c r="N5200" s="0" t="n">
        <v>768</v>
      </c>
      <c r="O5200" s="10" t="n">
        <v>0.356487705139443</v>
      </c>
      <c r="P5200" s="10" t="n">
        <v>0.206259709550068</v>
      </c>
      <c r="Q5200" s="0" t="str">
        <f aca="false">SUBSTITUTE(SUBSTITUTE($I5200,CHAR(61),""),CHAR(34),"")</f>
        <v>25-34</v>
      </c>
      <c r="R5200" s="0" t="str">
        <f aca="false">IF($D5200&lt;&gt;"","["&amp;$E5200&amp;"]"&amp;"|"&amp;$Q5200&amp;"|"&amp;$K5200&amp;"|"&amp;$G5200&amp;"|"&amp;IF($G5200="TX_CURR_SUBNAT.R","CY2022Q4",$M5200),"")</f>
        <v>[lPTyjLi4w3d]|25-34|Female|PLHIV_Residents.T|CY2024Q3</v>
      </c>
    </row>
    <row r="5201" customFormat="false" ht="15" hidden="false" customHeight="false" outlineLevel="0" collapsed="false">
      <c r="D5201" s="0" t="s">
        <v>117</v>
      </c>
      <c r="E5201" s="0" t="s">
        <v>118</v>
      </c>
      <c r="F5201" s="0" t="s">
        <v>119</v>
      </c>
      <c r="G5201" s="0" t="s">
        <v>165</v>
      </c>
      <c r="H5201" s="0" t="s">
        <v>166</v>
      </c>
      <c r="I5201" s="0" t="s">
        <v>43</v>
      </c>
      <c r="J5201" s="0" t="s">
        <v>44</v>
      </c>
      <c r="K5201" s="0" t="s">
        <v>30</v>
      </c>
      <c r="L5201" s="0" t="s">
        <v>31</v>
      </c>
      <c r="M5201" s="0" t="s">
        <v>167</v>
      </c>
      <c r="N5201" s="0" t="n">
        <v>1957</v>
      </c>
      <c r="O5201" s="10" t="n">
        <v>0.0424270236399025</v>
      </c>
      <c r="P5201" s="10" t="n">
        <v>0.206259709550068</v>
      </c>
      <c r="Q5201" s="0" t="str">
        <f aca="false">SUBSTITUTE(SUBSTITUTE($I5201,CHAR(61),""),CHAR(34),"")</f>
        <v>35-49</v>
      </c>
      <c r="R5201" s="0" t="str">
        <f aca="false">IF($D5201&lt;&gt;"","["&amp;$E5201&amp;"]"&amp;"|"&amp;$Q5201&amp;"|"&amp;$K5201&amp;"|"&amp;$G5201&amp;"|"&amp;IF($G5201="TX_CURR_SUBNAT.R","CY2022Q4",$M5201),"")</f>
        <v>[lPTyjLi4w3d]|35-49|Female|PLHIV_Residents.T|CY2024Q3</v>
      </c>
    </row>
    <row r="5202" customFormat="false" ht="15" hidden="false" customHeight="false" outlineLevel="0" collapsed="false">
      <c r="D5202" s="0" t="s">
        <v>117</v>
      </c>
      <c r="E5202" s="0" t="s">
        <v>118</v>
      </c>
      <c r="F5202" s="0" t="s">
        <v>119</v>
      </c>
      <c r="G5202" s="0" t="s">
        <v>165</v>
      </c>
      <c r="H5202" s="0" t="s">
        <v>166</v>
      </c>
      <c r="I5202" s="0" t="s">
        <v>45</v>
      </c>
      <c r="J5202" s="0" t="s">
        <v>46</v>
      </c>
      <c r="K5202" s="0" t="s">
        <v>30</v>
      </c>
      <c r="L5202" s="0" t="s">
        <v>31</v>
      </c>
      <c r="M5202" s="0" t="s">
        <v>167</v>
      </c>
      <c r="N5202" s="0" t="n">
        <v>1545</v>
      </c>
      <c r="O5202" s="10" t="n">
        <v>0.664716577157378</v>
      </c>
      <c r="P5202" s="10" t="n">
        <v>0.206259709550068</v>
      </c>
      <c r="Q5202" s="0" t="str">
        <f aca="false">SUBSTITUTE(SUBSTITUTE($I5202,CHAR(61),""),CHAR(34),"")</f>
        <v>50+</v>
      </c>
      <c r="R5202" s="0" t="str">
        <f aca="false">IF($D5202&lt;&gt;"","["&amp;$E5202&amp;"]"&amp;"|"&amp;$Q5202&amp;"|"&amp;$K5202&amp;"|"&amp;$G5202&amp;"|"&amp;IF($G5202="TX_CURR_SUBNAT.R","CY2022Q4",$M5202),"")</f>
        <v>[lPTyjLi4w3d]|50+|Female|PLHIV_Residents.T|CY2024Q3</v>
      </c>
    </row>
    <row r="5203" customFormat="false" ht="15" hidden="false" customHeight="false" outlineLevel="0" collapsed="false">
      <c r="D5203" s="0" t="s">
        <v>117</v>
      </c>
      <c r="E5203" s="0" t="s">
        <v>118</v>
      </c>
      <c r="F5203" s="0" t="s">
        <v>119</v>
      </c>
      <c r="G5203" s="0" t="s">
        <v>165</v>
      </c>
      <c r="H5203" s="0" t="s">
        <v>166</v>
      </c>
      <c r="I5203" s="0" t="s">
        <v>28</v>
      </c>
      <c r="J5203" s="0" t="s">
        <v>29</v>
      </c>
      <c r="K5203" s="0" t="s">
        <v>48</v>
      </c>
      <c r="L5203" s="0" t="s">
        <v>49</v>
      </c>
      <c r="M5203" s="0" t="s">
        <v>167</v>
      </c>
      <c r="N5203" s="0" t="n">
        <v>1562</v>
      </c>
      <c r="O5203" s="10" t="n">
        <v>0.87119122990407</v>
      </c>
      <c r="P5203" s="10" t="n">
        <v>0.206259709550068</v>
      </c>
      <c r="Q5203" s="0" t="str">
        <f aca="false">SUBSTITUTE(SUBSTITUTE($I5203,CHAR(61),""),CHAR(34),"")</f>
        <v>&lt;01</v>
      </c>
      <c r="R5203" s="0" t="str">
        <f aca="false">IF($D5203&lt;&gt;"","["&amp;$E5203&amp;"]"&amp;"|"&amp;$Q5203&amp;"|"&amp;$K5203&amp;"|"&amp;$G5203&amp;"|"&amp;IF($G5203="TX_CURR_SUBNAT.R","CY2022Q4",$M5203),"")</f>
        <v>[lPTyjLi4w3d]|&lt;01|Male|PLHIV_Residents.T|CY2024Q3</v>
      </c>
    </row>
    <row r="5204" customFormat="false" ht="15" hidden="false" customHeight="false" outlineLevel="0" collapsed="false">
      <c r="D5204" s="0" t="s">
        <v>117</v>
      </c>
      <c r="E5204" s="0" t="s">
        <v>118</v>
      </c>
      <c r="F5204" s="0" t="s">
        <v>119</v>
      </c>
      <c r="G5204" s="0" t="s">
        <v>165</v>
      </c>
      <c r="H5204" s="0" t="s">
        <v>166</v>
      </c>
      <c r="I5204" s="0" t="s">
        <v>33</v>
      </c>
      <c r="J5204" s="0" t="s">
        <v>34</v>
      </c>
      <c r="K5204" s="0" t="s">
        <v>48</v>
      </c>
      <c r="L5204" s="0" t="s">
        <v>49</v>
      </c>
      <c r="M5204" s="0" t="s">
        <v>167</v>
      </c>
      <c r="N5204" s="0" t="n">
        <v>1163</v>
      </c>
      <c r="O5204" s="10" t="n">
        <v>0.871819799533114</v>
      </c>
      <c r="P5204" s="10" t="n">
        <v>0.206259709550068</v>
      </c>
      <c r="Q5204" s="0" t="str">
        <f aca="false">SUBSTITUTE(SUBSTITUTE($I5204,CHAR(61),""),CHAR(34),"")</f>
        <v>01-09</v>
      </c>
      <c r="R5204" s="0" t="str">
        <f aca="false">IF($D5204&lt;&gt;"","["&amp;$E5204&amp;"]"&amp;"|"&amp;$Q5204&amp;"|"&amp;$K5204&amp;"|"&amp;$G5204&amp;"|"&amp;IF($G5204="TX_CURR_SUBNAT.R","CY2022Q4",$M5204),"")</f>
        <v>[lPTyjLi4w3d]|01-09|Male|PLHIV_Residents.T|CY2024Q3</v>
      </c>
    </row>
    <row r="5205" customFormat="false" ht="15" hidden="false" customHeight="false" outlineLevel="0" collapsed="false">
      <c r="D5205" s="0" t="s">
        <v>117</v>
      </c>
      <c r="E5205" s="0" t="s">
        <v>118</v>
      </c>
      <c r="F5205" s="0" t="s">
        <v>119</v>
      </c>
      <c r="G5205" s="0" t="s">
        <v>165</v>
      </c>
      <c r="H5205" s="0" t="s">
        <v>166</v>
      </c>
      <c r="I5205" s="0" t="s">
        <v>36</v>
      </c>
      <c r="J5205" s="0" t="s">
        <v>37</v>
      </c>
      <c r="K5205" s="0" t="s">
        <v>48</v>
      </c>
      <c r="L5205" s="0" t="s">
        <v>49</v>
      </c>
      <c r="M5205" s="0" t="s">
        <v>167</v>
      </c>
      <c r="N5205" s="0" t="n">
        <v>1422</v>
      </c>
      <c r="O5205" s="10" t="n">
        <v>0.0509959605988115</v>
      </c>
      <c r="P5205" s="10" t="n">
        <v>0.206259709550068</v>
      </c>
      <c r="Q5205" s="0" t="str">
        <f aca="false">SUBSTITUTE(SUBSTITUTE($I5205,CHAR(61),""),CHAR(34),"")</f>
        <v>10-14</v>
      </c>
      <c r="R5205" s="0" t="str">
        <f aca="false">IF($D5205&lt;&gt;"","["&amp;$E5205&amp;"]"&amp;"|"&amp;$Q5205&amp;"|"&amp;$K5205&amp;"|"&amp;$G5205&amp;"|"&amp;IF($G5205="TX_CURR_SUBNAT.R","CY2022Q4",$M5205),"")</f>
        <v>[lPTyjLi4w3d]|10-14|Male|PLHIV_Residents.T|CY2024Q3</v>
      </c>
    </row>
    <row r="5206" customFormat="false" ht="15" hidden="false" customHeight="false" outlineLevel="0" collapsed="false">
      <c r="D5206" s="0" t="s">
        <v>117</v>
      </c>
      <c r="E5206" s="0" t="s">
        <v>118</v>
      </c>
      <c r="F5206" s="0" t="s">
        <v>119</v>
      </c>
      <c r="G5206" s="0" t="s">
        <v>165</v>
      </c>
      <c r="H5206" s="0" t="s">
        <v>166</v>
      </c>
      <c r="I5206" s="0" t="s">
        <v>38</v>
      </c>
      <c r="J5206" s="0" t="s">
        <v>39</v>
      </c>
      <c r="K5206" s="0" t="s">
        <v>48</v>
      </c>
      <c r="L5206" s="0" t="s">
        <v>49</v>
      </c>
      <c r="M5206" s="0" t="s">
        <v>167</v>
      </c>
      <c r="N5206" s="0" t="n">
        <v>1779</v>
      </c>
      <c r="O5206" s="10" t="n">
        <v>0.698500684695318</v>
      </c>
      <c r="P5206" s="10" t="n">
        <v>0.206259709550068</v>
      </c>
      <c r="Q5206" s="0" t="str">
        <f aca="false">SUBSTITUTE(SUBSTITUTE($I5206,CHAR(61),""),CHAR(34),"")</f>
        <v>15-24</v>
      </c>
      <c r="R5206" s="0" t="str">
        <f aca="false">IF($D5206&lt;&gt;"","["&amp;$E5206&amp;"]"&amp;"|"&amp;$Q5206&amp;"|"&amp;$K5206&amp;"|"&amp;$G5206&amp;"|"&amp;IF($G5206="TX_CURR_SUBNAT.R","CY2022Q4",$M5206),"")</f>
        <v>[lPTyjLi4w3d]|15-24|Male|PLHIV_Residents.T|CY2024Q3</v>
      </c>
    </row>
    <row r="5207" customFormat="false" ht="15" hidden="false" customHeight="false" outlineLevel="0" collapsed="false">
      <c r="D5207" s="0" t="s">
        <v>117</v>
      </c>
      <c r="E5207" s="0" t="s">
        <v>118</v>
      </c>
      <c r="F5207" s="0" t="s">
        <v>119</v>
      </c>
      <c r="G5207" s="0" t="s">
        <v>165</v>
      </c>
      <c r="H5207" s="0" t="s">
        <v>166</v>
      </c>
      <c r="I5207" s="0" t="s">
        <v>41</v>
      </c>
      <c r="J5207" s="0" t="s">
        <v>42</v>
      </c>
      <c r="K5207" s="0" t="s">
        <v>48</v>
      </c>
      <c r="L5207" s="0" t="s">
        <v>49</v>
      </c>
      <c r="M5207" s="0" t="s">
        <v>167</v>
      </c>
      <c r="N5207" s="0" t="n">
        <v>1549</v>
      </c>
      <c r="O5207" s="10" t="n">
        <v>0.210970771731809</v>
      </c>
      <c r="P5207" s="10" t="n">
        <v>0.206259709550068</v>
      </c>
      <c r="Q5207" s="0" t="str">
        <f aca="false">SUBSTITUTE(SUBSTITUTE($I5207,CHAR(61),""),CHAR(34),"")</f>
        <v>25-34</v>
      </c>
      <c r="R5207" s="0" t="str">
        <f aca="false">IF($D5207&lt;&gt;"","["&amp;$E5207&amp;"]"&amp;"|"&amp;$Q5207&amp;"|"&amp;$K5207&amp;"|"&amp;$G5207&amp;"|"&amp;IF($G5207="TX_CURR_SUBNAT.R","CY2022Q4",$M5207),"")</f>
        <v>[lPTyjLi4w3d]|25-34|Male|PLHIV_Residents.T|CY2024Q3</v>
      </c>
    </row>
    <row r="5208" customFormat="false" ht="15" hidden="false" customHeight="false" outlineLevel="0" collapsed="false">
      <c r="D5208" s="0" t="s">
        <v>117</v>
      </c>
      <c r="E5208" s="0" t="s">
        <v>118</v>
      </c>
      <c r="F5208" s="0" t="s">
        <v>119</v>
      </c>
      <c r="G5208" s="0" t="s">
        <v>165</v>
      </c>
      <c r="H5208" s="0" t="s">
        <v>166</v>
      </c>
      <c r="I5208" s="0" t="s">
        <v>43</v>
      </c>
      <c r="J5208" s="0" t="s">
        <v>44</v>
      </c>
      <c r="K5208" s="0" t="s">
        <v>48</v>
      </c>
      <c r="L5208" s="0" t="s">
        <v>49</v>
      </c>
      <c r="M5208" s="0" t="s">
        <v>167</v>
      </c>
      <c r="N5208" s="0" t="n">
        <v>1610</v>
      </c>
      <c r="O5208" s="10" t="n">
        <v>0.404594449093565</v>
      </c>
      <c r="P5208" s="10" t="n">
        <v>0.206259709550068</v>
      </c>
      <c r="Q5208" s="0" t="str">
        <f aca="false">SUBSTITUTE(SUBSTITUTE($I5208,CHAR(61),""),CHAR(34),"")</f>
        <v>35-49</v>
      </c>
      <c r="R5208" s="0" t="str">
        <f aca="false">IF($D5208&lt;&gt;"","["&amp;$E5208&amp;"]"&amp;"|"&amp;$Q5208&amp;"|"&amp;$K5208&amp;"|"&amp;$G5208&amp;"|"&amp;IF($G5208="TX_CURR_SUBNAT.R","CY2022Q4",$M5208),"")</f>
        <v>[lPTyjLi4w3d]|35-49|Male|PLHIV_Residents.T|CY2024Q3</v>
      </c>
    </row>
    <row r="5209" customFormat="false" ht="15" hidden="false" customHeight="false" outlineLevel="0" collapsed="false">
      <c r="D5209" s="0" t="s">
        <v>117</v>
      </c>
      <c r="E5209" s="0" t="s">
        <v>118</v>
      </c>
      <c r="F5209" s="0" t="s">
        <v>119</v>
      </c>
      <c r="G5209" s="0" t="s">
        <v>165</v>
      </c>
      <c r="H5209" s="0" t="s">
        <v>166</v>
      </c>
      <c r="I5209" s="0" t="s">
        <v>45</v>
      </c>
      <c r="J5209" s="0" t="s">
        <v>46</v>
      </c>
      <c r="K5209" s="0" t="s">
        <v>48</v>
      </c>
      <c r="L5209" s="0" t="s">
        <v>49</v>
      </c>
      <c r="M5209" s="0" t="s">
        <v>167</v>
      </c>
      <c r="N5209" s="0" t="n">
        <v>1484</v>
      </c>
      <c r="O5209" s="10" t="n">
        <v>0.136566756293178</v>
      </c>
      <c r="P5209" s="10" t="n">
        <v>0.206259709550068</v>
      </c>
      <c r="Q5209" s="0" t="str">
        <f aca="false">SUBSTITUTE(SUBSTITUTE($I5209,CHAR(61),""),CHAR(34),"")</f>
        <v>50+</v>
      </c>
      <c r="R5209" s="0" t="str">
        <f aca="false">IF($D5209&lt;&gt;"","["&amp;$E5209&amp;"]"&amp;"|"&amp;$Q5209&amp;"|"&amp;$K5209&amp;"|"&amp;$G5209&amp;"|"&amp;IF($G5209="TX_CURR_SUBNAT.R","CY2022Q4",$M5209),"")</f>
        <v>[lPTyjLi4w3d]|50+|Male|PLHIV_Residents.T|CY2024Q3</v>
      </c>
    </row>
    <row r="5210" customFormat="false" ht="15" hidden="false" customHeight="false" outlineLevel="0" collapsed="false">
      <c r="D5210" s="0" t="s">
        <v>120</v>
      </c>
      <c r="E5210" s="0" t="s">
        <v>121</v>
      </c>
      <c r="F5210" s="0" t="s">
        <v>122</v>
      </c>
      <c r="G5210" s="0" t="s">
        <v>165</v>
      </c>
      <c r="H5210" s="0" t="s">
        <v>166</v>
      </c>
      <c r="I5210" s="0" t="s">
        <v>28</v>
      </c>
      <c r="J5210" s="0" t="s">
        <v>29</v>
      </c>
      <c r="K5210" s="0" t="s">
        <v>30</v>
      </c>
      <c r="L5210" s="0" t="s">
        <v>31</v>
      </c>
      <c r="M5210" s="0" t="s">
        <v>167</v>
      </c>
      <c r="N5210" s="0" t="n">
        <v>1605</v>
      </c>
      <c r="O5210" s="10" t="n">
        <v>0.686590978642926</v>
      </c>
      <c r="P5210" s="10" t="n">
        <v>0.430103979306296</v>
      </c>
      <c r="Q5210" s="0" t="str">
        <f aca="false">SUBSTITUTE(SUBSTITUTE($I5210,CHAR(61),""),CHAR(34),"")</f>
        <v>&lt;01</v>
      </c>
      <c r="R5210" s="0" t="str">
        <f aca="false">IF($D5210&lt;&gt;"","["&amp;$E5210&amp;"]"&amp;"|"&amp;$Q5210&amp;"|"&amp;$K5210&amp;"|"&amp;$G5210&amp;"|"&amp;IF($G5210="TX_CURR_SUBNAT.R","CY2022Q4",$M5210),"")</f>
        <v>[vA4NcHxfMBq]|&lt;01|Female|PLHIV_Residents.T|CY2024Q3</v>
      </c>
    </row>
    <row r="5211" customFormat="false" ht="15" hidden="false" customHeight="false" outlineLevel="0" collapsed="false">
      <c r="D5211" s="0" t="s">
        <v>120</v>
      </c>
      <c r="E5211" s="0" t="s">
        <v>121</v>
      </c>
      <c r="F5211" s="0" t="s">
        <v>122</v>
      </c>
      <c r="G5211" s="0" t="s">
        <v>165</v>
      </c>
      <c r="H5211" s="0" t="s">
        <v>166</v>
      </c>
      <c r="I5211" s="0" t="s">
        <v>33</v>
      </c>
      <c r="J5211" s="0" t="s">
        <v>34</v>
      </c>
      <c r="K5211" s="0" t="s">
        <v>30</v>
      </c>
      <c r="L5211" s="0" t="s">
        <v>31</v>
      </c>
      <c r="M5211" s="0" t="s">
        <v>167</v>
      </c>
      <c r="N5211" s="0" t="n">
        <v>1174</v>
      </c>
      <c r="O5211" s="10" t="n">
        <v>0.257596277398989</v>
      </c>
      <c r="P5211" s="10" t="n">
        <v>0.430103979306296</v>
      </c>
      <c r="Q5211" s="0" t="str">
        <f aca="false">SUBSTITUTE(SUBSTITUTE($I5211,CHAR(61),""),CHAR(34),"")</f>
        <v>01-09</v>
      </c>
      <c r="R5211" s="0" t="str">
        <f aca="false">IF($D5211&lt;&gt;"","["&amp;$E5211&amp;"]"&amp;"|"&amp;$Q5211&amp;"|"&amp;$K5211&amp;"|"&amp;$G5211&amp;"|"&amp;IF($G5211="TX_CURR_SUBNAT.R","CY2022Q4",$M5211),"")</f>
        <v>[vA4NcHxfMBq]|01-09|Female|PLHIV_Residents.T|CY2024Q3</v>
      </c>
    </row>
    <row r="5212" customFormat="false" ht="15" hidden="false" customHeight="false" outlineLevel="0" collapsed="false">
      <c r="D5212" s="0" t="s">
        <v>120</v>
      </c>
      <c r="E5212" s="0" t="s">
        <v>121</v>
      </c>
      <c r="F5212" s="0" t="s">
        <v>122</v>
      </c>
      <c r="G5212" s="0" t="s">
        <v>165</v>
      </c>
      <c r="H5212" s="0" t="s">
        <v>166</v>
      </c>
      <c r="I5212" s="0" t="s">
        <v>36</v>
      </c>
      <c r="J5212" s="0" t="s">
        <v>37</v>
      </c>
      <c r="K5212" s="0" t="s">
        <v>30</v>
      </c>
      <c r="L5212" s="0" t="s">
        <v>31</v>
      </c>
      <c r="M5212" s="0" t="s">
        <v>167</v>
      </c>
      <c r="N5212" s="0" t="n">
        <v>1885</v>
      </c>
      <c r="O5212" s="10" t="n">
        <v>0.671018485911191</v>
      </c>
      <c r="P5212" s="10" t="n">
        <v>0.430103979306296</v>
      </c>
      <c r="Q5212" s="0" t="str">
        <f aca="false">SUBSTITUTE(SUBSTITUTE($I5212,CHAR(61),""),CHAR(34),"")</f>
        <v>10-14</v>
      </c>
      <c r="R5212" s="0" t="str">
        <f aca="false">IF($D5212&lt;&gt;"","["&amp;$E5212&amp;"]"&amp;"|"&amp;$Q5212&amp;"|"&amp;$K5212&amp;"|"&amp;$G5212&amp;"|"&amp;IF($G5212="TX_CURR_SUBNAT.R","CY2022Q4",$M5212),"")</f>
        <v>[vA4NcHxfMBq]|10-14|Female|PLHIV_Residents.T|CY2024Q3</v>
      </c>
    </row>
    <row r="5213" customFormat="false" ht="15" hidden="false" customHeight="false" outlineLevel="0" collapsed="false">
      <c r="D5213" s="0" t="s">
        <v>120</v>
      </c>
      <c r="E5213" s="0" t="s">
        <v>121</v>
      </c>
      <c r="F5213" s="0" t="s">
        <v>122</v>
      </c>
      <c r="G5213" s="0" t="s">
        <v>165</v>
      </c>
      <c r="H5213" s="0" t="s">
        <v>166</v>
      </c>
      <c r="I5213" s="0" t="s">
        <v>38</v>
      </c>
      <c r="J5213" s="0" t="s">
        <v>39</v>
      </c>
      <c r="K5213" s="0" t="s">
        <v>30</v>
      </c>
      <c r="L5213" s="0" t="s">
        <v>31</v>
      </c>
      <c r="M5213" s="0" t="s">
        <v>167</v>
      </c>
      <c r="N5213" s="0" t="n">
        <v>976</v>
      </c>
      <c r="O5213" s="10" t="n">
        <v>0.994713035412133</v>
      </c>
      <c r="P5213" s="10" t="n">
        <v>0.430103979306296</v>
      </c>
      <c r="Q5213" s="0" t="str">
        <f aca="false">SUBSTITUTE(SUBSTITUTE($I5213,CHAR(61),""),CHAR(34),"")</f>
        <v>15-24</v>
      </c>
      <c r="R5213" s="0" t="str">
        <f aca="false">IF($D5213&lt;&gt;"","["&amp;$E5213&amp;"]"&amp;"|"&amp;$Q5213&amp;"|"&amp;$K5213&amp;"|"&amp;$G5213&amp;"|"&amp;IF($G5213="TX_CURR_SUBNAT.R","CY2022Q4",$M5213),"")</f>
        <v>[vA4NcHxfMBq]|15-24|Female|PLHIV_Residents.T|CY2024Q3</v>
      </c>
    </row>
    <row r="5214" customFormat="false" ht="15" hidden="false" customHeight="false" outlineLevel="0" collapsed="false">
      <c r="D5214" s="0" t="s">
        <v>120</v>
      </c>
      <c r="E5214" s="0" t="s">
        <v>121</v>
      </c>
      <c r="F5214" s="0" t="s">
        <v>122</v>
      </c>
      <c r="G5214" s="0" t="s">
        <v>165</v>
      </c>
      <c r="H5214" s="0" t="s">
        <v>166</v>
      </c>
      <c r="I5214" s="0" t="s">
        <v>41</v>
      </c>
      <c r="J5214" s="0" t="s">
        <v>42</v>
      </c>
      <c r="K5214" s="0" t="s">
        <v>30</v>
      </c>
      <c r="L5214" s="0" t="s">
        <v>31</v>
      </c>
      <c r="M5214" s="0" t="s">
        <v>167</v>
      </c>
      <c r="N5214" s="0" t="n">
        <v>1969</v>
      </c>
      <c r="O5214" s="10" t="n">
        <v>0.0582684811670333</v>
      </c>
      <c r="P5214" s="10" t="n">
        <v>0.430103979306296</v>
      </c>
      <c r="Q5214" s="0" t="str">
        <f aca="false">SUBSTITUTE(SUBSTITUTE($I5214,CHAR(61),""),CHAR(34),"")</f>
        <v>25-34</v>
      </c>
      <c r="R5214" s="0" t="str">
        <f aca="false">IF($D5214&lt;&gt;"","["&amp;$E5214&amp;"]"&amp;"|"&amp;$Q5214&amp;"|"&amp;$K5214&amp;"|"&amp;$G5214&amp;"|"&amp;IF($G5214="TX_CURR_SUBNAT.R","CY2022Q4",$M5214),"")</f>
        <v>[vA4NcHxfMBq]|25-34|Female|PLHIV_Residents.T|CY2024Q3</v>
      </c>
    </row>
    <row r="5215" customFormat="false" ht="15" hidden="false" customHeight="false" outlineLevel="0" collapsed="false">
      <c r="D5215" s="0" t="s">
        <v>120</v>
      </c>
      <c r="E5215" s="0" t="s">
        <v>121</v>
      </c>
      <c r="F5215" s="0" t="s">
        <v>122</v>
      </c>
      <c r="G5215" s="0" t="s">
        <v>165</v>
      </c>
      <c r="H5215" s="0" t="s">
        <v>166</v>
      </c>
      <c r="I5215" s="0" t="s">
        <v>43</v>
      </c>
      <c r="J5215" s="0" t="s">
        <v>44</v>
      </c>
      <c r="K5215" s="0" t="s">
        <v>30</v>
      </c>
      <c r="L5215" s="0" t="s">
        <v>31</v>
      </c>
      <c r="M5215" s="0" t="s">
        <v>167</v>
      </c>
      <c r="N5215" s="0" t="n">
        <v>949</v>
      </c>
      <c r="O5215" s="10" t="n">
        <v>0.412896240362898</v>
      </c>
      <c r="P5215" s="10" t="n">
        <v>0.430103979306296</v>
      </c>
      <c r="Q5215" s="0" t="str">
        <f aca="false">SUBSTITUTE(SUBSTITUTE($I5215,CHAR(61),""),CHAR(34),"")</f>
        <v>35-49</v>
      </c>
      <c r="R5215" s="0" t="str">
        <f aca="false">IF($D5215&lt;&gt;"","["&amp;$E5215&amp;"]"&amp;"|"&amp;$Q5215&amp;"|"&amp;$K5215&amp;"|"&amp;$G5215&amp;"|"&amp;IF($G5215="TX_CURR_SUBNAT.R","CY2022Q4",$M5215),"")</f>
        <v>[vA4NcHxfMBq]|35-49|Female|PLHIV_Residents.T|CY2024Q3</v>
      </c>
    </row>
    <row r="5216" customFormat="false" ht="15" hidden="false" customHeight="false" outlineLevel="0" collapsed="false">
      <c r="D5216" s="0" t="s">
        <v>120</v>
      </c>
      <c r="E5216" s="0" t="s">
        <v>121</v>
      </c>
      <c r="F5216" s="0" t="s">
        <v>122</v>
      </c>
      <c r="G5216" s="0" t="s">
        <v>165</v>
      </c>
      <c r="H5216" s="0" t="s">
        <v>166</v>
      </c>
      <c r="I5216" s="0" t="s">
        <v>45</v>
      </c>
      <c r="J5216" s="0" t="s">
        <v>46</v>
      </c>
      <c r="K5216" s="0" t="s">
        <v>30</v>
      </c>
      <c r="L5216" s="0" t="s">
        <v>31</v>
      </c>
      <c r="M5216" s="0" t="s">
        <v>167</v>
      </c>
      <c r="N5216" s="0" t="n">
        <v>1792</v>
      </c>
      <c r="O5216" s="10" t="n">
        <v>0.462160074617714</v>
      </c>
      <c r="P5216" s="10" t="n">
        <v>0.430103979306296</v>
      </c>
      <c r="Q5216" s="0" t="str">
        <f aca="false">SUBSTITUTE(SUBSTITUTE($I5216,CHAR(61),""),CHAR(34),"")</f>
        <v>50+</v>
      </c>
      <c r="R5216" s="0" t="str">
        <f aca="false">IF($D5216&lt;&gt;"","["&amp;$E5216&amp;"]"&amp;"|"&amp;$Q5216&amp;"|"&amp;$K5216&amp;"|"&amp;$G5216&amp;"|"&amp;IF($G5216="TX_CURR_SUBNAT.R","CY2022Q4",$M5216),"")</f>
        <v>[vA4NcHxfMBq]|50+|Female|PLHIV_Residents.T|CY2024Q3</v>
      </c>
    </row>
    <row r="5217" customFormat="false" ht="15" hidden="false" customHeight="false" outlineLevel="0" collapsed="false">
      <c r="D5217" s="0" t="s">
        <v>120</v>
      </c>
      <c r="E5217" s="0" t="s">
        <v>121</v>
      </c>
      <c r="F5217" s="0" t="s">
        <v>122</v>
      </c>
      <c r="G5217" s="0" t="s">
        <v>165</v>
      </c>
      <c r="H5217" s="0" t="s">
        <v>166</v>
      </c>
      <c r="I5217" s="0" t="s">
        <v>28</v>
      </c>
      <c r="J5217" s="0" t="s">
        <v>29</v>
      </c>
      <c r="K5217" s="0" t="s">
        <v>48</v>
      </c>
      <c r="L5217" s="0" t="s">
        <v>49</v>
      </c>
      <c r="M5217" s="0" t="s">
        <v>167</v>
      </c>
      <c r="N5217" s="0" t="n">
        <v>1859</v>
      </c>
      <c r="O5217" s="10" t="n">
        <v>0.0958092492073774</v>
      </c>
      <c r="P5217" s="10" t="n">
        <v>0.430103979306296</v>
      </c>
      <c r="Q5217" s="0" t="str">
        <f aca="false">SUBSTITUTE(SUBSTITUTE($I5217,CHAR(61),""),CHAR(34),"")</f>
        <v>&lt;01</v>
      </c>
      <c r="R5217" s="0" t="str">
        <f aca="false">IF($D5217&lt;&gt;"","["&amp;$E5217&amp;"]"&amp;"|"&amp;$Q5217&amp;"|"&amp;$K5217&amp;"|"&amp;$G5217&amp;"|"&amp;IF($G5217="TX_CURR_SUBNAT.R","CY2022Q4",$M5217),"")</f>
        <v>[vA4NcHxfMBq]|&lt;01|Male|PLHIV_Residents.T|CY2024Q3</v>
      </c>
    </row>
    <row r="5218" customFormat="false" ht="15" hidden="false" customHeight="false" outlineLevel="0" collapsed="false">
      <c r="D5218" s="0" t="s">
        <v>120</v>
      </c>
      <c r="E5218" s="0" t="s">
        <v>121</v>
      </c>
      <c r="F5218" s="0" t="s">
        <v>122</v>
      </c>
      <c r="G5218" s="0" t="s">
        <v>165</v>
      </c>
      <c r="H5218" s="0" t="s">
        <v>166</v>
      </c>
      <c r="I5218" s="0" t="s">
        <v>33</v>
      </c>
      <c r="J5218" s="0" t="s">
        <v>34</v>
      </c>
      <c r="K5218" s="0" t="s">
        <v>48</v>
      </c>
      <c r="L5218" s="0" t="s">
        <v>49</v>
      </c>
      <c r="M5218" s="0" t="s">
        <v>167</v>
      </c>
      <c r="N5218" s="0" t="n">
        <v>1119</v>
      </c>
      <c r="O5218" s="10" t="n">
        <v>0.824374681571499</v>
      </c>
      <c r="P5218" s="10" t="n">
        <v>0.430103979306296</v>
      </c>
      <c r="Q5218" s="0" t="str">
        <f aca="false">SUBSTITUTE(SUBSTITUTE($I5218,CHAR(61),""),CHAR(34),"")</f>
        <v>01-09</v>
      </c>
      <c r="R5218" s="0" t="str">
        <f aca="false">IF($D5218&lt;&gt;"","["&amp;$E5218&amp;"]"&amp;"|"&amp;$Q5218&amp;"|"&amp;$K5218&amp;"|"&amp;$G5218&amp;"|"&amp;IF($G5218="TX_CURR_SUBNAT.R","CY2022Q4",$M5218),"")</f>
        <v>[vA4NcHxfMBq]|01-09|Male|PLHIV_Residents.T|CY2024Q3</v>
      </c>
    </row>
    <row r="5219" customFormat="false" ht="15" hidden="false" customHeight="false" outlineLevel="0" collapsed="false">
      <c r="D5219" s="0" t="s">
        <v>120</v>
      </c>
      <c r="E5219" s="0" t="s">
        <v>121</v>
      </c>
      <c r="F5219" s="0" t="s">
        <v>122</v>
      </c>
      <c r="G5219" s="0" t="s">
        <v>165</v>
      </c>
      <c r="H5219" s="0" t="s">
        <v>166</v>
      </c>
      <c r="I5219" s="0" t="s">
        <v>36</v>
      </c>
      <c r="J5219" s="0" t="s">
        <v>37</v>
      </c>
      <c r="K5219" s="0" t="s">
        <v>48</v>
      </c>
      <c r="L5219" s="0" t="s">
        <v>49</v>
      </c>
      <c r="M5219" s="0" t="s">
        <v>167</v>
      </c>
      <c r="N5219" s="0" t="n">
        <v>1994</v>
      </c>
      <c r="O5219" s="10" t="n">
        <v>0.799278649967164</v>
      </c>
      <c r="P5219" s="10" t="n">
        <v>0.430103979306296</v>
      </c>
      <c r="Q5219" s="0" t="str">
        <f aca="false">SUBSTITUTE(SUBSTITUTE($I5219,CHAR(61),""),CHAR(34),"")</f>
        <v>10-14</v>
      </c>
      <c r="R5219" s="0" t="str">
        <f aca="false">IF($D5219&lt;&gt;"","["&amp;$E5219&amp;"]"&amp;"|"&amp;$Q5219&amp;"|"&amp;$K5219&amp;"|"&amp;$G5219&amp;"|"&amp;IF($G5219="TX_CURR_SUBNAT.R","CY2022Q4",$M5219),"")</f>
        <v>[vA4NcHxfMBq]|10-14|Male|PLHIV_Residents.T|CY2024Q3</v>
      </c>
    </row>
    <row r="5220" customFormat="false" ht="15" hidden="false" customHeight="false" outlineLevel="0" collapsed="false">
      <c r="D5220" s="0" t="s">
        <v>120</v>
      </c>
      <c r="E5220" s="0" t="s">
        <v>121</v>
      </c>
      <c r="F5220" s="0" t="s">
        <v>122</v>
      </c>
      <c r="G5220" s="0" t="s">
        <v>165</v>
      </c>
      <c r="H5220" s="0" t="s">
        <v>166</v>
      </c>
      <c r="I5220" s="0" t="s">
        <v>38</v>
      </c>
      <c r="J5220" s="0" t="s">
        <v>39</v>
      </c>
      <c r="K5220" s="0" t="s">
        <v>48</v>
      </c>
      <c r="L5220" s="0" t="s">
        <v>49</v>
      </c>
      <c r="M5220" s="0" t="s">
        <v>167</v>
      </c>
      <c r="N5220" s="0" t="n">
        <v>1497</v>
      </c>
      <c r="O5220" s="10" t="n">
        <v>0.721541194943711</v>
      </c>
      <c r="P5220" s="10" t="n">
        <v>0.430103979306296</v>
      </c>
      <c r="Q5220" s="0" t="str">
        <f aca="false">SUBSTITUTE(SUBSTITUTE($I5220,CHAR(61),""),CHAR(34),"")</f>
        <v>15-24</v>
      </c>
      <c r="R5220" s="0" t="str">
        <f aca="false">IF($D5220&lt;&gt;"","["&amp;$E5220&amp;"]"&amp;"|"&amp;$Q5220&amp;"|"&amp;$K5220&amp;"|"&amp;$G5220&amp;"|"&amp;IF($G5220="TX_CURR_SUBNAT.R","CY2022Q4",$M5220),"")</f>
        <v>[vA4NcHxfMBq]|15-24|Male|PLHIV_Residents.T|CY2024Q3</v>
      </c>
    </row>
    <row r="5221" customFormat="false" ht="15" hidden="false" customHeight="false" outlineLevel="0" collapsed="false">
      <c r="D5221" s="0" t="s">
        <v>120</v>
      </c>
      <c r="E5221" s="0" t="s">
        <v>121</v>
      </c>
      <c r="F5221" s="0" t="s">
        <v>122</v>
      </c>
      <c r="G5221" s="0" t="s">
        <v>165</v>
      </c>
      <c r="H5221" s="0" t="s">
        <v>166</v>
      </c>
      <c r="I5221" s="0" t="s">
        <v>41</v>
      </c>
      <c r="J5221" s="0" t="s">
        <v>42</v>
      </c>
      <c r="K5221" s="0" t="s">
        <v>48</v>
      </c>
      <c r="L5221" s="0" t="s">
        <v>49</v>
      </c>
      <c r="M5221" s="0" t="s">
        <v>167</v>
      </c>
      <c r="N5221" s="0" t="n">
        <v>873</v>
      </c>
      <c r="O5221" s="10" t="n">
        <v>0.757554017938673</v>
      </c>
      <c r="P5221" s="10" t="n">
        <v>0.430103979306296</v>
      </c>
      <c r="Q5221" s="0" t="str">
        <f aca="false">SUBSTITUTE(SUBSTITUTE($I5221,CHAR(61),""),CHAR(34),"")</f>
        <v>25-34</v>
      </c>
      <c r="R5221" s="0" t="str">
        <f aca="false">IF($D5221&lt;&gt;"","["&amp;$E5221&amp;"]"&amp;"|"&amp;$Q5221&amp;"|"&amp;$K5221&amp;"|"&amp;$G5221&amp;"|"&amp;IF($G5221="TX_CURR_SUBNAT.R","CY2022Q4",$M5221),"")</f>
        <v>[vA4NcHxfMBq]|25-34|Male|PLHIV_Residents.T|CY2024Q3</v>
      </c>
    </row>
    <row r="5222" customFormat="false" ht="15" hidden="false" customHeight="false" outlineLevel="0" collapsed="false">
      <c r="D5222" s="0" t="s">
        <v>120</v>
      </c>
      <c r="E5222" s="0" t="s">
        <v>121</v>
      </c>
      <c r="F5222" s="0" t="s">
        <v>122</v>
      </c>
      <c r="G5222" s="0" t="s">
        <v>165</v>
      </c>
      <c r="H5222" s="0" t="s">
        <v>166</v>
      </c>
      <c r="I5222" s="0" t="s">
        <v>43</v>
      </c>
      <c r="J5222" s="0" t="s">
        <v>44</v>
      </c>
      <c r="K5222" s="0" t="s">
        <v>48</v>
      </c>
      <c r="L5222" s="0" t="s">
        <v>49</v>
      </c>
      <c r="M5222" s="0" t="s">
        <v>167</v>
      </c>
      <c r="N5222" s="0" t="n">
        <v>1811</v>
      </c>
      <c r="O5222" s="10" t="n">
        <v>0.0308696427382529</v>
      </c>
      <c r="P5222" s="10" t="n">
        <v>0.430103979306296</v>
      </c>
      <c r="Q5222" s="0" t="str">
        <f aca="false">SUBSTITUTE(SUBSTITUTE($I5222,CHAR(61),""),CHAR(34),"")</f>
        <v>35-49</v>
      </c>
      <c r="R5222" s="0" t="str">
        <f aca="false">IF($D5222&lt;&gt;"","["&amp;$E5222&amp;"]"&amp;"|"&amp;$Q5222&amp;"|"&amp;$K5222&amp;"|"&amp;$G5222&amp;"|"&amp;IF($G5222="TX_CURR_SUBNAT.R","CY2022Q4",$M5222),"")</f>
        <v>[vA4NcHxfMBq]|35-49|Male|PLHIV_Residents.T|CY2024Q3</v>
      </c>
    </row>
    <row r="5223" customFormat="false" ht="15" hidden="false" customHeight="false" outlineLevel="0" collapsed="false">
      <c r="D5223" s="0" t="s">
        <v>120</v>
      </c>
      <c r="E5223" s="0" t="s">
        <v>121</v>
      </c>
      <c r="F5223" s="0" t="s">
        <v>122</v>
      </c>
      <c r="G5223" s="0" t="s">
        <v>165</v>
      </c>
      <c r="H5223" s="0" t="s">
        <v>166</v>
      </c>
      <c r="I5223" s="0" t="s">
        <v>45</v>
      </c>
      <c r="J5223" s="0" t="s">
        <v>46</v>
      </c>
      <c r="K5223" s="0" t="s">
        <v>48</v>
      </c>
      <c r="L5223" s="0" t="s">
        <v>49</v>
      </c>
      <c r="M5223" s="0" t="s">
        <v>167</v>
      </c>
      <c r="N5223" s="0" t="n">
        <v>1843</v>
      </c>
      <c r="O5223" s="10" t="n">
        <v>0.57894048653543</v>
      </c>
      <c r="P5223" s="10" t="n">
        <v>0.430103979306296</v>
      </c>
      <c r="Q5223" s="0" t="str">
        <f aca="false">SUBSTITUTE(SUBSTITUTE($I5223,CHAR(61),""),CHAR(34),"")</f>
        <v>50+</v>
      </c>
      <c r="R5223" s="0" t="str">
        <f aca="false">IF($D5223&lt;&gt;"","["&amp;$E5223&amp;"]"&amp;"|"&amp;$Q5223&amp;"|"&amp;$K5223&amp;"|"&amp;$G5223&amp;"|"&amp;IF($G5223="TX_CURR_SUBNAT.R","CY2022Q4",$M5223),"")</f>
        <v>[vA4NcHxfMBq]|50+|Male|PLHIV_Residents.T|CY2024Q3</v>
      </c>
    </row>
    <row r="5224" customFormat="false" ht="15" hidden="false" customHeight="false" outlineLevel="0" collapsed="false">
      <c r="D5224" s="0" t="s">
        <v>123</v>
      </c>
      <c r="E5224" s="0" t="s">
        <v>124</v>
      </c>
      <c r="F5224" s="0" t="s">
        <v>125</v>
      </c>
      <c r="G5224" s="0" t="s">
        <v>165</v>
      </c>
      <c r="H5224" s="0" t="s">
        <v>166</v>
      </c>
      <c r="I5224" s="0" t="s">
        <v>28</v>
      </c>
      <c r="J5224" s="0" t="s">
        <v>29</v>
      </c>
      <c r="K5224" s="0" t="s">
        <v>30</v>
      </c>
      <c r="L5224" s="0" t="s">
        <v>31</v>
      </c>
      <c r="M5224" s="0" t="s">
        <v>167</v>
      </c>
      <c r="N5224" s="0" t="n">
        <v>756</v>
      </c>
      <c r="O5224" s="10" t="n">
        <v>0.87537283427082</v>
      </c>
      <c r="P5224" s="10" t="n">
        <v>0.419500603340566</v>
      </c>
      <c r="Q5224" s="0" t="str">
        <f aca="false">SUBSTITUTE(SUBSTITUTE($I5224,CHAR(61),""),CHAR(34),"")</f>
        <v>&lt;01</v>
      </c>
      <c r="R5224" s="0" t="str">
        <f aca="false">IF($D5224&lt;&gt;"","["&amp;$E5224&amp;"]"&amp;"|"&amp;$Q5224&amp;"|"&amp;$K5224&amp;"|"&amp;$G5224&amp;"|"&amp;IF($G5224="TX_CURR_SUBNAT.R","CY2022Q4",$M5224),"")</f>
        <v>[E7zpfyBt7Tw]|&lt;01|Female|PLHIV_Residents.T|CY2024Q3</v>
      </c>
    </row>
    <row r="5225" customFormat="false" ht="15" hidden="false" customHeight="false" outlineLevel="0" collapsed="false">
      <c r="D5225" s="0" t="s">
        <v>123</v>
      </c>
      <c r="E5225" s="0" t="s">
        <v>124</v>
      </c>
      <c r="F5225" s="0" t="s">
        <v>125</v>
      </c>
      <c r="G5225" s="0" t="s">
        <v>165</v>
      </c>
      <c r="H5225" s="0" t="s">
        <v>166</v>
      </c>
      <c r="I5225" s="0" t="s">
        <v>33</v>
      </c>
      <c r="J5225" s="0" t="s">
        <v>34</v>
      </c>
      <c r="K5225" s="0" t="s">
        <v>30</v>
      </c>
      <c r="L5225" s="0" t="s">
        <v>31</v>
      </c>
      <c r="M5225" s="0" t="s">
        <v>167</v>
      </c>
      <c r="N5225" s="0" t="n">
        <v>1913</v>
      </c>
      <c r="O5225" s="10" t="n">
        <v>0.545944167301059</v>
      </c>
      <c r="P5225" s="10" t="n">
        <v>0.419500603340566</v>
      </c>
      <c r="Q5225" s="0" t="str">
        <f aca="false">SUBSTITUTE(SUBSTITUTE($I5225,CHAR(61),""),CHAR(34),"")</f>
        <v>01-09</v>
      </c>
      <c r="R5225" s="0" t="str">
        <f aca="false">IF($D5225&lt;&gt;"","["&amp;$E5225&amp;"]"&amp;"|"&amp;$Q5225&amp;"|"&amp;$K5225&amp;"|"&amp;$G5225&amp;"|"&amp;IF($G5225="TX_CURR_SUBNAT.R","CY2022Q4",$M5225),"")</f>
        <v>[E7zpfyBt7Tw]|01-09|Female|PLHIV_Residents.T|CY2024Q3</v>
      </c>
    </row>
    <row r="5226" customFormat="false" ht="15" hidden="false" customHeight="false" outlineLevel="0" collapsed="false">
      <c r="D5226" s="0" t="s">
        <v>123</v>
      </c>
      <c r="E5226" s="0" t="s">
        <v>124</v>
      </c>
      <c r="F5226" s="0" t="s">
        <v>125</v>
      </c>
      <c r="G5226" s="0" t="s">
        <v>165</v>
      </c>
      <c r="H5226" s="0" t="s">
        <v>166</v>
      </c>
      <c r="I5226" s="0" t="s">
        <v>36</v>
      </c>
      <c r="J5226" s="0" t="s">
        <v>37</v>
      </c>
      <c r="K5226" s="0" t="s">
        <v>30</v>
      </c>
      <c r="L5226" s="0" t="s">
        <v>31</v>
      </c>
      <c r="M5226" s="0" t="s">
        <v>167</v>
      </c>
      <c r="N5226" s="0" t="n">
        <v>904</v>
      </c>
      <c r="O5226" s="10" t="n">
        <v>0.682393228635192</v>
      </c>
      <c r="P5226" s="10" t="n">
        <v>0.419500603340566</v>
      </c>
      <c r="Q5226" s="0" t="str">
        <f aca="false">SUBSTITUTE(SUBSTITUTE($I5226,CHAR(61),""),CHAR(34),"")</f>
        <v>10-14</v>
      </c>
      <c r="R5226" s="0" t="str">
        <f aca="false">IF($D5226&lt;&gt;"","["&amp;$E5226&amp;"]"&amp;"|"&amp;$Q5226&amp;"|"&amp;$K5226&amp;"|"&amp;$G5226&amp;"|"&amp;IF($G5226="TX_CURR_SUBNAT.R","CY2022Q4",$M5226),"")</f>
        <v>[E7zpfyBt7Tw]|10-14|Female|PLHIV_Residents.T|CY2024Q3</v>
      </c>
    </row>
    <row r="5227" customFormat="false" ht="15" hidden="false" customHeight="false" outlineLevel="0" collapsed="false">
      <c r="D5227" s="0" t="s">
        <v>123</v>
      </c>
      <c r="E5227" s="0" t="s">
        <v>124</v>
      </c>
      <c r="F5227" s="0" t="s">
        <v>125</v>
      </c>
      <c r="G5227" s="0" t="s">
        <v>165</v>
      </c>
      <c r="H5227" s="0" t="s">
        <v>166</v>
      </c>
      <c r="I5227" s="0" t="s">
        <v>38</v>
      </c>
      <c r="J5227" s="0" t="s">
        <v>39</v>
      </c>
      <c r="K5227" s="0" t="s">
        <v>30</v>
      </c>
      <c r="L5227" s="0" t="s">
        <v>31</v>
      </c>
      <c r="M5227" s="0" t="s">
        <v>167</v>
      </c>
      <c r="N5227" s="0" t="n">
        <v>783</v>
      </c>
      <c r="O5227" s="10" t="n">
        <v>0.808180557563901</v>
      </c>
      <c r="P5227" s="10" t="n">
        <v>0.419500603340566</v>
      </c>
      <c r="Q5227" s="0" t="str">
        <f aca="false">SUBSTITUTE(SUBSTITUTE($I5227,CHAR(61),""),CHAR(34),"")</f>
        <v>15-24</v>
      </c>
      <c r="R5227" s="0" t="str">
        <f aca="false">IF($D5227&lt;&gt;"","["&amp;$E5227&amp;"]"&amp;"|"&amp;$Q5227&amp;"|"&amp;$K5227&amp;"|"&amp;$G5227&amp;"|"&amp;IF($G5227="TX_CURR_SUBNAT.R","CY2022Q4",$M5227),"")</f>
        <v>[E7zpfyBt7Tw]|15-24|Female|PLHIV_Residents.T|CY2024Q3</v>
      </c>
    </row>
    <row r="5228" customFormat="false" ht="15" hidden="false" customHeight="false" outlineLevel="0" collapsed="false">
      <c r="D5228" s="0" t="s">
        <v>123</v>
      </c>
      <c r="E5228" s="0" t="s">
        <v>124</v>
      </c>
      <c r="F5228" s="0" t="s">
        <v>125</v>
      </c>
      <c r="G5228" s="0" t="s">
        <v>165</v>
      </c>
      <c r="H5228" s="0" t="s">
        <v>166</v>
      </c>
      <c r="I5228" s="0" t="s">
        <v>41</v>
      </c>
      <c r="J5228" s="0" t="s">
        <v>42</v>
      </c>
      <c r="K5228" s="0" t="s">
        <v>30</v>
      </c>
      <c r="L5228" s="0" t="s">
        <v>31</v>
      </c>
      <c r="M5228" s="0" t="s">
        <v>167</v>
      </c>
      <c r="N5228" s="0" t="n">
        <v>766</v>
      </c>
      <c r="O5228" s="10" t="n">
        <v>0.47119445214048</v>
      </c>
      <c r="P5228" s="10" t="n">
        <v>0.419500603340566</v>
      </c>
      <c r="Q5228" s="0" t="str">
        <f aca="false">SUBSTITUTE(SUBSTITUTE($I5228,CHAR(61),""),CHAR(34),"")</f>
        <v>25-34</v>
      </c>
      <c r="R5228" s="0" t="str">
        <f aca="false">IF($D5228&lt;&gt;"","["&amp;$E5228&amp;"]"&amp;"|"&amp;$Q5228&amp;"|"&amp;$K5228&amp;"|"&amp;$G5228&amp;"|"&amp;IF($G5228="TX_CURR_SUBNAT.R","CY2022Q4",$M5228),"")</f>
        <v>[E7zpfyBt7Tw]|25-34|Female|PLHIV_Residents.T|CY2024Q3</v>
      </c>
    </row>
    <row r="5229" customFormat="false" ht="15" hidden="false" customHeight="false" outlineLevel="0" collapsed="false">
      <c r="D5229" s="0" t="s">
        <v>123</v>
      </c>
      <c r="E5229" s="0" t="s">
        <v>124</v>
      </c>
      <c r="F5229" s="0" t="s">
        <v>125</v>
      </c>
      <c r="G5229" s="0" t="s">
        <v>165</v>
      </c>
      <c r="H5229" s="0" t="s">
        <v>166</v>
      </c>
      <c r="I5229" s="0" t="s">
        <v>43</v>
      </c>
      <c r="J5229" s="0" t="s">
        <v>44</v>
      </c>
      <c r="K5229" s="0" t="s">
        <v>30</v>
      </c>
      <c r="L5229" s="0" t="s">
        <v>31</v>
      </c>
      <c r="M5229" s="0" t="s">
        <v>167</v>
      </c>
      <c r="N5229" s="0" t="n">
        <v>1473</v>
      </c>
      <c r="O5229" s="10" t="n">
        <v>0.197920373640954</v>
      </c>
      <c r="P5229" s="10" t="n">
        <v>0.419500603340566</v>
      </c>
      <c r="Q5229" s="0" t="str">
        <f aca="false">SUBSTITUTE(SUBSTITUTE($I5229,CHAR(61),""),CHAR(34),"")</f>
        <v>35-49</v>
      </c>
      <c r="R5229" s="0" t="str">
        <f aca="false">IF($D5229&lt;&gt;"","["&amp;$E5229&amp;"]"&amp;"|"&amp;$Q5229&amp;"|"&amp;$K5229&amp;"|"&amp;$G5229&amp;"|"&amp;IF($G5229="TX_CURR_SUBNAT.R","CY2022Q4",$M5229),"")</f>
        <v>[E7zpfyBt7Tw]|35-49|Female|PLHIV_Residents.T|CY2024Q3</v>
      </c>
    </row>
    <row r="5230" customFormat="false" ht="15" hidden="false" customHeight="false" outlineLevel="0" collapsed="false">
      <c r="D5230" s="0" t="s">
        <v>123</v>
      </c>
      <c r="E5230" s="0" t="s">
        <v>124</v>
      </c>
      <c r="F5230" s="0" t="s">
        <v>125</v>
      </c>
      <c r="G5230" s="0" t="s">
        <v>165</v>
      </c>
      <c r="H5230" s="0" t="s">
        <v>166</v>
      </c>
      <c r="I5230" s="0" t="s">
        <v>45</v>
      </c>
      <c r="J5230" s="0" t="s">
        <v>46</v>
      </c>
      <c r="K5230" s="0" t="s">
        <v>30</v>
      </c>
      <c r="L5230" s="0" t="s">
        <v>31</v>
      </c>
      <c r="M5230" s="0" t="s">
        <v>167</v>
      </c>
      <c r="N5230" s="0" t="n">
        <v>1100</v>
      </c>
      <c r="O5230" s="10" t="n">
        <v>0.759075796930119</v>
      </c>
      <c r="P5230" s="10" t="n">
        <v>0.419500603340566</v>
      </c>
      <c r="Q5230" s="0" t="str">
        <f aca="false">SUBSTITUTE(SUBSTITUTE($I5230,CHAR(61),""),CHAR(34),"")</f>
        <v>50+</v>
      </c>
      <c r="R5230" s="0" t="str">
        <f aca="false">IF($D5230&lt;&gt;"","["&amp;$E5230&amp;"]"&amp;"|"&amp;$Q5230&amp;"|"&amp;$K5230&amp;"|"&amp;$G5230&amp;"|"&amp;IF($G5230="TX_CURR_SUBNAT.R","CY2022Q4",$M5230),"")</f>
        <v>[E7zpfyBt7Tw]|50+|Female|PLHIV_Residents.T|CY2024Q3</v>
      </c>
    </row>
    <row r="5231" customFormat="false" ht="15" hidden="false" customHeight="false" outlineLevel="0" collapsed="false">
      <c r="D5231" s="0" t="s">
        <v>123</v>
      </c>
      <c r="E5231" s="0" t="s">
        <v>124</v>
      </c>
      <c r="F5231" s="0" t="s">
        <v>125</v>
      </c>
      <c r="G5231" s="0" t="s">
        <v>165</v>
      </c>
      <c r="H5231" s="0" t="s">
        <v>166</v>
      </c>
      <c r="I5231" s="0" t="s">
        <v>28</v>
      </c>
      <c r="J5231" s="0" t="s">
        <v>29</v>
      </c>
      <c r="K5231" s="0" t="s">
        <v>48</v>
      </c>
      <c r="L5231" s="0" t="s">
        <v>49</v>
      </c>
      <c r="M5231" s="0" t="s">
        <v>167</v>
      </c>
      <c r="N5231" s="0" t="n">
        <v>1647</v>
      </c>
      <c r="O5231" s="10" t="n">
        <v>0.211280978517607</v>
      </c>
      <c r="P5231" s="10" t="n">
        <v>0.419500603340566</v>
      </c>
      <c r="Q5231" s="0" t="str">
        <f aca="false">SUBSTITUTE(SUBSTITUTE($I5231,CHAR(61),""),CHAR(34),"")</f>
        <v>&lt;01</v>
      </c>
      <c r="R5231" s="0" t="str">
        <f aca="false">IF($D5231&lt;&gt;"","["&amp;$E5231&amp;"]"&amp;"|"&amp;$Q5231&amp;"|"&amp;$K5231&amp;"|"&amp;$G5231&amp;"|"&amp;IF($G5231="TX_CURR_SUBNAT.R","CY2022Q4",$M5231),"")</f>
        <v>[E7zpfyBt7Tw]|&lt;01|Male|PLHIV_Residents.T|CY2024Q3</v>
      </c>
    </row>
    <row r="5232" customFormat="false" ht="15" hidden="false" customHeight="false" outlineLevel="0" collapsed="false">
      <c r="D5232" s="0" t="s">
        <v>123</v>
      </c>
      <c r="E5232" s="0" t="s">
        <v>124</v>
      </c>
      <c r="F5232" s="0" t="s">
        <v>125</v>
      </c>
      <c r="G5232" s="0" t="s">
        <v>165</v>
      </c>
      <c r="H5232" s="0" t="s">
        <v>166</v>
      </c>
      <c r="I5232" s="0" t="s">
        <v>33</v>
      </c>
      <c r="J5232" s="0" t="s">
        <v>34</v>
      </c>
      <c r="K5232" s="0" t="s">
        <v>48</v>
      </c>
      <c r="L5232" s="0" t="s">
        <v>49</v>
      </c>
      <c r="M5232" s="0" t="s">
        <v>167</v>
      </c>
      <c r="N5232" s="0" t="n">
        <v>1619</v>
      </c>
      <c r="O5232" s="10" t="n">
        <v>0.980884856544435</v>
      </c>
      <c r="P5232" s="10" t="n">
        <v>0.419500603340566</v>
      </c>
      <c r="Q5232" s="0" t="str">
        <f aca="false">SUBSTITUTE(SUBSTITUTE($I5232,CHAR(61),""),CHAR(34),"")</f>
        <v>01-09</v>
      </c>
      <c r="R5232" s="0" t="str">
        <f aca="false">IF($D5232&lt;&gt;"","["&amp;$E5232&amp;"]"&amp;"|"&amp;$Q5232&amp;"|"&amp;$K5232&amp;"|"&amp;$G5232&amp;"|"&amp;IF($G5232="TX_CURR_SUBNAT.R","CY2022Q4",$M5232),"")</f>
        <v>[E7zpfyBt7Tw]|01-09|Male|PLHIV_Residents.T|CY2024Q3</v>
      </c>
    </row>
    <row r="5233" customFormat="false" ht="15" hidden="false" customHeight="false" outlineLevel="0" collapsed="false">
      <c r="D5233" s="0" t="s">
        <v>123</v>
      </c>
      <c r="E5233" s="0" t="s">
        <v>124</v>
      </c>
      <c r="F5233" s="0" t="s">
        <v>125</v>
      </c>
      <c r="G5233" s="0" t="s">
        <v>165</v>
      </c>
      <c r="H5233" s="0" t="s">
        <v>166</v>
      </c>
      <c r="I5233" s="0" t="s">
        <v>36</v>
      </c>
      <c r="J5233" s="0" t="s">
        <v>37</v>
      </c>
      <c r="K5233" s="0" t="s">
        <v>48</v>
      </c>
      <c r="L5233" s="0" t="s">
        <v>49</v>
      </c>
      <c r="M5233" s="0" t="s">
        <v>167</v>
      </c>
      <c r="N5233" s="0" t="n">
        <v>1892</v>
      </c>
      <c r="O5233" s="10" t="n">
        <v>0.500622511841357</v>
      </c>
      <c r="P5233" s="10" t="n">
        <v>0.419500603340566</v>
      </c>
      <c r="Q5233" s="0" t="str">
        <f aca="false">SUBSTITUTE(SUBSTITUTE($I5233,CHAR(61),""),CHAR(34),"")</f>
        <v>10-14</v>
      </c>
      <c r="R5233" s="0" t="str">
        <f aca="false">IF($D5233&lt;&gt;"","["&amp;$E5233&amp;"]"&amp;"|"&amp;$Q5233&amp;"|"&amp;$K5233&amp;"|"&amp;$G5233&amp;"|"&amp;IF($G5233="TX_CURR_SUBNAT.R","CY2022Q4",$M5233),"")</f>
        <v>[E7zpfyBt7Tw]|10-14|Male|PLHIV_Residents.T|CY2024Q3</v>
      </c>
    </row>
    <row r="5234" customFormat="false" ht="15" hidden="false" customHeight="false" outlineLevel="0" collapsed="false">
      <c r="D5234" s="0" t="s">
        <v>123</v>
      </c>
      <c r="E5234" s="0" t="s">
        <v>124</v>
      </c>
      <c r="F5234" s="0" t="s">
        <v>125</v>
      </c>
      <c r="G5234" s="0" t="s">
        <v>165</v>
      </c>
      <c r="H5234" s="0" t="s">
        <v>166</v>
      </c>
      <c r="I5234" s="0" t="s">
        <v>38</v>
      </c>
      <c r="J5234" s="0" t="s">
        <v>39</v>
      </c>
      <c r="K5234" s="0" t="s">
        <v>48</v>
      </c>
      <c r="L5234" s="0" t="s">
        <v>49</v>
      </c>
      <c r="M5234" s="0" t="s">
        <v>167</v>
      </c>
      <c r="N5234" s="0" t="n">
        <v>987</v>
      </c>
      <c r="O5234" s="10" t="n">
        <v>0.680896517587826</v>
      </c>
      <c r="P5234" s="10" t="n">
        <v>0.419500603340566</v>
      </c>
      <c r="Q5234" s="0" t="str">
        <f aca="false">SUBSTITUTE(SUBSTITUTE($I5234,CHAR(61),""),CHAR(34),"")</f>
        <v>15-24</v>
      </c>
      <c r="R5234" s="0" t="str">
        <f aca="false">IF($D5234&lt;&gt;"","["&amp;$E5234&amp;"]"&amp;"|"&amp;$Q5234&amp;"|"&amp;$K5234&amp;"|"&amp;$G5234&amp;"|"&amp;IF($G5234="TX_CURR_SUBNAT.R","CY2022Q4",$M5234),"")</f>
        <v>[E7zpfyBt7Tw]|15-24|Male|PLHIV_Residents.T|CY2024Q3</v>
      </c>
    </row>
    <row r="5235" customFormat="false" ht="15" hidden="false" customHeight="false" outlineLevel="0" collapsed="false">
      <c r="D5235" s="0" t="s">
        <v>123</v>
      </c>
      <c r="E5235" s="0" t="s">
        <v>124</v>
      </c>
      <c r="F5235" s="0" t="s">
        <v>125</v>
      </c>
      <c r="G5235" s="0" t="s">
        <v>165</v>
      </c>
      <c r="H5235" s="0" t="s">
        <v>166</v>
      </c>
      <c r="I5235" s="0" t="s">
        <v>41</v>
      </c>
      <c r="J5235" s="0" t="s">
        <v>42</v>
      </c>
      <c r="K5235" s="0" t="s">
        <v>48</v>
      </c>
      <c r="L5235" s="0" t="s">
        <v>49</v>
      </c>
      <c r="M5235" s="0" t="s">
        <v>167</v>
      </c>
      <c r="N5235" s="0" t="n">
        <v>627</v>
      </c>
      <c r="O5235" s="10" t="n">
        <v>0.039904196979478</v>
      </c>
      <c r="P5235" s="10" t="n">
        <v>0.419500603340566</v>
      </c>
      <c r="Q5235" s="0" t="str">
        <f aca="false">SUBSTITUTE(SUBSTITUTE($I5235,CHAR(61),""),CHAR(34),"")</f>
        <v>25-34</v>
      </c>
      <c r="R5235" s="0" t="str">
        <f aca="false">IF($D5235&lt;&gt;"","["&amp;$E5235&amp;"]"&amp;"|"&amp;$Q5235&amp;"|"&amp;$K5235&amp;"|"&amp;$G5235&amp;"|"&amp;IF($G5235="TX_CURR_SUBNAT.R","CY2022Q4",$M5235),"")</f>
        <v>[E7zpfyBt7Tw]|25-34|Male|PLHIV_Residents.T|CY2024Q3</v>
      </c>
    </row>
    <row r="5236" customFormat="false" ht="15" hidden="false" customHeight="false" outlineLevel="0" collapsed="false">
      <c r="D5236" s="0" t="s">
        <v>123</v>
      </c>
      <c r="E5236" s="0" t="s">
        <v>124</v>
      </c>
      <c r="F5236" s="0" t="s">
        <v>125</v>
      </c>
      <c r="G5236" s="0" t="s">
        <v>165</v>
      </c>
      <c r="H5236" s="0" t="s">
        <v>166</v>
      </c>
      <c r="I5236" s="0" t="s">
        <v>43</v>
      </c>
      <c r="J5236" s="0" t="s">
        <v>44</v>
      </c>
      <c r="K5236" s="0" t="s">
        <v>48</v>
      </c>
      <c r="L5236" s="0" t="s">
        <v>49</v>
      </c>
      <c r="M5236" s="0" t="s">
        <v>167</v>
      </c>
      <c r="N5236" s="0" t="n">
        <v>1238</v>
      </c>
      <c r="O5236" s="10" t="n">
        <v>0.13193142786622</v>
      </c>
      <c r="P5236" s="10" t="n">
        <v>0.419500603340566</v>
      </c>
      <c r="Q5236" s="0" t="str">
        <f aca="false">SUBSTITUTE(SUBSTITUTE($I5236,CHAR(61),""),CHAR(34),"")</f>
        <v>35-49</v>
      </c>
      <c r="R5236" s="0" t="str">
        <f aca="false">IF($D5236&lt;&gt;"","["&amp;$E5236&amp;"]"&amp;"|"&amp;$Q5236&amp;"|"&amp;$K5236&amp;"|"&amp;$G5236&amp;"|"&amp;IF($G5236="TX_CURR_SUBNAT.R","CY2022Q4",$M5236),"")</f>
        <v>[E7zpfyBt7Tw]|35-49|Male|PLHIV_Residents.T|CY2024Q3</v>
      </c>
    </row>
    <row r="5237" customFormat="false" ht="15" hidden="false" customHeight="false" outlineLevel="0" collapsed="false">
      <c r="D5237" s="0" t="s">
        <v>123</v>
      </c>
      <c r="E5237" s="0" t="s">
        <v>124</v>
      </c>
      <c r="F5237" s="0" t="s">
        <v>125</v>
      </c>
      <c r="G5237" s="0" t="s">
        <v>165</v>
      </c>
      <c r="H5237" s="0" t="s">
        <v>166</v>
      </c>
      <c r="I5237" s="0" t="s">
        <v>45</v>
      </c>
      <c r="J5237" s="0" t="s">
        <v>46</v>
      </c>
      <c r="K5237" s="0" t="s">
        <v>48</v>
      </c>
      <c r="L5237" s="0" t="s">
        <v>49</v>
      </c>
      <c r="M5237" s="0" t="s">
        <v>167</v>
      </c>
      <c r="N5237" s="0" t="n">
        <v>589</v>
      </c>
      <c r="O5237" s="10" t="n">
        <v>0.219348413171247</v>
      </c>
      <c r="P5237" s="10" t="n">
        <v>0.419500603340566</v>
      </c>
      <c r="Q5237" s="0" t="str">
        <f aca="false">SUBSTITUTE(SUBSTITUTE($I5237,CHAR(61),""),CHAR(34),"")</f>
        <v>50+</v>
      </c>
      <c r="R5237" s="0" t="str">
        <f aca="false">IF($D5237&lt;&gt;"","["&amp;$E5237&amp;"]"&amp;"|"&amp;$Q5237&amp;"|"&amp;$K5237&amp;"|"&amp;$G5237&amp;"|"&amp;IF($G5237="TX_CURR_SUBNAT.R","CY2022Q4",$M5237),"")</f>
        <v>[E7zpfyBt7Tw]|50+|Male|PLHIV_Residents.T|CY2024Q3</v>
      </c>
    </row>
    <row r="5238" customFormat="false" ht="15" hidden="false" customHeight="false" outlineLevel="0" collapsed="false">
      <c r="D5238" s="0" t="s">
        <v>126</v>
      </c>
      <c r="E5238" s="0" t="s">
        <v>127</v>
      </c>
      <c r="F5238" s="0" t="s">
        <v>128</v>
      </c>
      <c r="G5238" s="0" t="s">
        <v>165</v>
      </c>
      <c r="H5238" s="0" t="s">
        <v>166</v>
      </c>
      <c r="I5238" s="0" t="s">
        <v>28</v>
      </c>
      <c r="J5238" s="0" t="s">
        <v>29</v>
      </c>
      <c r="K5238" s="0" t="s">
        <v>30</v>
      </c>
      <c r="L5238" s="0" t="s">
        <v>31</v>
      </c>
      <c r="M5238" s="0" t="s">
        <v>167</v>
      </c>
      <c r="N5238" s="0" t="n">
        <v>1433</v>
      </c>
      <c r="O5238" s="10" t="n">
        <v>0.753633007174358</v>
      </c>
      <c r="P5238" s="10" t="n">
        <v>0.252706390339881</v>
      </c>
      <c r="Q5238" s="0" t="str">
        <f aca="false">SUBSTITUTE(SUBSTITUTE($I5238,CHAR(61),""),CHAR(34),"")</f>
        <v>&lt;01</v>
      </c>
      <c r="R5238" s="0" t="str">
        <f aca="false">IF($D5238&lt;&gt;"","["&amp;$E5238&amp;"]"&amp;"|"&amp;$Q5238&amp;"|"&amp;$K5238&amp;"|"&amp;$G5238&amp;"|"&amp;IF($G5238="TX_CURR_SUBNAT.R","CY2022Q4",$M5238),"")</f>
        <v>[ZCjuwgaMB9u]|&lt;01|Female|PLHIV_Residents.T|CY2024Q3</v>
      </c>
    </row>
    <row r="5239" customFormat="false" ht="15" hidden="false" customHeight="false" outlineLevel="0" collapsed="false">
      <c r="D5239" s="0" t="s">
        <v>126</v>
      </c>
      <c r="E5239" s="0" t="s">
        <v>127</v>
      </c>
      <c r="F5239" s="0" t="s">
        <v>128</v>
      </c>
      <c r="G5239" s="0" t="s">
        <v>165</v>
      </c>
      <c r="H5239" s="0" t="s">
        <v>166</v>
      </c>
      <c r="I5239" s="0" t="s">
        <v>33</v>
      </c>
      <c r="J5239" s="0" t="s">
        <v>34</v>
      </c>
      <c r="K5239" s="0" t="s">
        <v>30</v>
      </c>
      <c r="L5239" s="0" t="s">
        <v>31</v>
      </c>
      <c r="M5239" s="0" t="s">
        <v>167</v>
      </c>
      <c r="N5239" s="0" t="n">
        <v>1201</v>
      </c>
      <c r="O5239" s="10" t="n">
        <v>0.536894804565236</v>
      </c>
      <c r="P5239" s="10" t="n">
        <v>0.252706390339881</v>
      </c>
      <c r="Q5239" s="0" t="str">
        <f aca="false">SUBSTITUTE(SUBSTITUTE($I5239,CHAR(61),""),CHAR(34),"")</f>
        <v>01-09</v>
      </c>
      <c r="R5239" s="0" t="str">
        <f aca="false">IF($D5239&lt;&gt;"","["&amp;$E5239&amp;"]"&amp;"|"&amp;$Q5239&amp;"|"&amp;$K5239&amp;"|"&amp;$G5239&amp;"|"&amp;IF($G5239="TX_CURR_SUBNAT.R","CY2022Q4",$M5239),"")</f>
        <v>[ZCjuwgaMB9u]|01-09|Female|PLHIV_Residents.T|CY2024Q3</v>
      </c>
    </row>
    <row r="5240" customFormat="false" ht="15" hidden="false" customHeight="false" outlineLevel="0" collapsed="false">
      <c r="D5240" s="0" t="s">
        <v>126</v>
      </c>
      <c r="E5240" s="0" t="s">
        <v>127</v>
      </c>
      <c r="F5240" s="0" t="s">
        <v>128</v>
      </c>
      <c r="G5240" s="0" t="s">
        <v>165</v>
      </c>
      <c r="H5240" s="0" t="s">
        <v>166</v>
      </c>
      <c r="I5240" s="0" t="s">
        <v>36</v>
      </c>
      <c r="J5240" s="0" t="s">
        <v>37</v>
      </c>
      <c r="K5240" s="0" t="s">
        <v>30</v>
      </c>
      <c r="L5240" s="0" t="s">
        <v>31</v>
      </c>
      <c r="M5240" s="0" t="s">
        <v>167</v>
      </c>
      <c r="N5240" s="0" t="n">
        <v>1748</v>
      </c>
      <c r="O5240" s="10" t="n">
        <v>0.377987645333633</v>
      </c>
      <c r="P5240" s="10" t="n">
        <v>0.252706390339881</v>
      </c>
      <c r="Q5240" s="0" t="str">
        <f aca="false">SUBSTITUTE(SUBSTITUTE($I5240,CHAR(61),""),CHAR(34),"")</f>
        <v>10-14</v>
      </c>
      <c r="R5240" s="0" t="str">
        <f aca="false">IF($D5240&lt;&gt;"","["&amp;$E5240&amp;"]"&amp;"|"&amp;$Q5240&amp;"|"&amp;$K5240&amp;"|"&amp;$G5240&amp;"|"&amp;IF($G5240="TX_CURR_SUBNAT.R","CY2022Q4",$M5240),"")</f>
        <v>[ZCjuwgaMB9u]|10-14|Female|PLHIV_Residents.T|CY2024Q3</v>
      </c>
    </row>
    <row r="5241" customFormat="false" ht="15" hidden="false" customHeight="false" outlineLevel="0" collapsed="false">
      <c r="D5241" s="0" t="s">
        <v>126</v>
      </c>
      <c r="E5241" s="0" t="s">
        <v>127</v>
      </c>
      <c r="F5241" s="0" t="s">
        <v>128</v>
      </c>
      <c r="G5241" s="0" t="s">
        <v>165</v>
      </c>
      <c r="H5241" s="0" t="s">
        <v>166</v>
      </c>
      <c r="I5241" s="0" t="s">
        <v>38</v>
      </c>
      <c r="J5241" s="0" t="s">
        <v>39</v>
      </c>
      <c r="K5241" s="0" t="s">
        <v>30</v>
      </c>
      <c r="L5241" s="0" t="s">
        <v>31</v>
      </c>
      <c r="M5241" s="0" t="s">
        <v>167</v>
      </c>
      <c r="N5241" s="0" t="n">
        <v>1438</v>
      </c>
      <c r="O5241" s="10" t="n">
        <v>0.511866045882925</v>
      </c>
      <c r="P5241" s="10" t="n">
        <v>0.252706390339881</v>
      </c>
      <c r="Q5241" s="0" t="str">
        <f aca="false">SUBSTITUTE(SUBSTITUTE($I5241,CHAR(61),""),CHAR(34),"")</f>
        <v>15-24</v>
      </c>
      <c r="R5241" s="0" t="str">
        <f aca="false">IF($D5241&lt;&gt;"","["&amp;$E5241&amp;"]"&amp;"|"&amp;$Q5241&amp;"|"&amp;$K5241&amp;"|"&amp;$G5241&amp;"|"&amp;IF($G5241="TX_CURR_SUBNAT.R","CY2022Q4",$M5241),"")</f>
        <v>[ZCjuwgaMB9u]|15-24|Female|PLHIV_Residents.T|CY2024Q3</v>
      </c>
    </row>
    <row r="5242" customFormat="false" ht="15" hidden="false" customHeight="false" outlineLevel="0" collapsed="false">
      <c r="D5242" s="0" t="s">
        <v>126</v>
      </c>
      <c r="E5242" s="0" t="s">
        <v>127</v>
      </c>
      <c r="F5242" s="0" t="s">
        <v>128</v>
      </c>
      <c r="G5242" s="0" t="s">
        <v>165</v>
      </c>
      <c r="H5242" s="0" t="s">
        <v>166</v>
      </c>
      <c r="I5242" s="0" t="s">
        <v>41</v>
      </c>
      <c r="J5242" s="0" t="s">
        <v>42</v>
      </c>
      <c r="K5242" s="0" t="s">
        <v>30</v>
      </c>
      <c r="L5242" s="0" t="s">
        <v>31</v>
      </c>
      <c r="M5242" s="0" t="s">
        <v>167</v>
      </c>
      <c r="N5242" s="0" t="n">
        <v>1293</v>
      </c>
      <c r="O5242" s="10" t="n">
        <v>0.914209384238347</v>
      </c>
      <c r="P5242" s="10" t="n">
        <v>0.252706390339881</v>
      </c>
      <c r="Q5242" s="0" t="str">
        <f aca="false">SUBSTITUTE(SUBSTITUTE($I5242,CHAR(61),""),CHAR(34),"")</f>
        <v>25-34</v>
      </c>
      <c r="R5242" s="0" t="str">
        <f aca="false">IF($D5242&lt;&gt;"","["&amp;$E5242&amp;"]"&amp;"|"&amp;$Q5242&amp;"|"&amp;$K5242&amp;"|"&amp;$G5242&amp;"|"&amp;IF($G5242="TX_CURR_SUBNAT.R","CY2022Q4",$M5242),"")</f>
        <v>[ZCjuwgaMB9u]|25-34|Female|PLHIV_Residents.T|CY2024Q3</v>
      </c>
    </row>
    <row r="5243" customFormat="false" ht="15" hidden="false" customHeight="false" outlineLevel="0" collapsed="false">
      <c r="D5243" s="0" t="s">
        <v>126</v>
      </c>
      <c r="E5243" s="0" t="s">
        <v>127</v>
      </c>
      <c r="F5243" s="0" t="s">
        <v>128</v>
      </c>
      <c r="G5243" s="0" t="s">
        <v>165</v>
      </c>
      <c r="H5243" s="0" t="s">
        <v>166</v>
      </c>
      <c r="I5243" s="0" t="s">
        <v>43</v>
      </c>
      <c r="J5243" s="0" t="s">
        <v>44</v>
      </c>
      <c r="K5243" s="0" t="s">
        <v>30</v>
      </c>
      <c r="L5243" s="0" t="s">
        <v>31</v>
      </c>
      <c r="M5243" s="0" t="s">
        <v>167</v>
      </c>
      <c r="N5243" s="0" t="n">
        <v>1750</v>
      </c>
      <c r="O5243" s="10" t="n">
        <v>0.466936966404319</v>
      </c>
      <c r="P5243" s="10" t="n">
        <v>0.252706390339881</v>
      </c>
      <c r="Q5243" s="0" t="str">
        <f aca="false">SUBSTITUTE(SUBSTITUTE($I5243,CHAR(61),""),CHAR(34),"")</f>
        <v>35-49</v>
      </c>
      <c r="R5243" s="0" t="str">
        <f aca="false">IF($D5243&lt;&gt;"","["&amp;$E5243&amp;"]"&amp;"|"&amp;$Q5243&amp;"|"&amp;$K5243&amp;"|"&amp;$G5243&amp;"|"&amp;IF($G5243="TX_CURR_SUBNAT.R","CY2022Q4",$M5243),"")</f>
        <v>[ZCjuwgaMB9u]|35-49|Female|PLHIV_Residents.T|CY2024Q3</v>
      </c>
    </row>
    <row r="5244" customFormat="false" ht="15" hidden="false" customHeight="false" outlineLevel="0" collapsed="false">
      <c r="D5244" s="0" t="s">
        <v>126</v>
      </c>
      <c r="E5244" s="0" t="s">
        <v>127</v>
      </c>
      <c r="F5244" s="0" t="s">
        <v>128</v>
      </c>
      <c r="G5244" s="0" t="s">
        <v>165</v>
      </c>
      <c r="H5244" s="0" t="s">
        <v>166</v>
      </c>
      <c r="I5244" s="0" t="s">
        <v>45</v>
      </c>
      <c r="J5244" s="0" t="s">
        <v>46</v>
      </c>
      <c r="K5244" s="0" t="s">
        <v>30</v>
      </c>
      <c r="L5244" s="0" t="s">
        <v>31</v>
      </c>
      <c r="M5244" s="0" t="s">
        <v>167</v>
      </c>
      <c r="N5244" s="0" t="n">
        <v>550</v>
      </c>
      <c r="O5244" s="10" t="n">
        <v>0.914798747049645</v>
      </c>
      <c r="P5244" s="10" t="n">
        <v>0.252706390339881</v>
      </c>
      <c r="Q5244" s="0" t="str">
        <f aca="false">SUBSTITUTE(SUBSTITUTE($I5244,CHAR(61),""),CHAR(34),"")</f>
        <v>50+</v>
      </c>
      <c r="R5244" s="0" t="str">
        <f aca="false">IF($D5244&lt;&gt;"","["&amp;$E5244&amp;"]"&amp;"|"&amp;$Q5244&amp;"|"&amp;$K5244&amp;"|"&amp;$G5244&amp;"|"&amp;IF($G5244="TX_CURR_SUBNAT.R","CY2022Q4",$M5244),"")</f>
        <v>[ZCjuwgaMB9u]|50+|Female|PLHIV_Residents.T|CY2024Q3</v>
      </c>
    </row>
    <row r="5245" customFormat="false" ht="15" hidden="false" customHeight="false" outlineLevel="0" collapsed="false">
      <c r="D5245" s="0" t="s">
        <v>126</v>
      </c>
      <c r="E5245" s="0" t="s">
        <v>127</v>
      </c>
      <c r="F5245" s="0" t="s">
        <v>128</v>
      </c>
      <c r="G5245" s="0" t="s">
        <v>165</v>
      </c>
      <c r="H5245" s="0" t="s">
        <v>166</v>
      </c>
      <c r="I5245" s="0" t="s">
        <v>28</v>
      </c>
      <c r="J5245" s="0" t="s">
        <v>29</v>
      </c>
      <c r="K5245" s="0" t="s">
        <v>48</v>
      </c>
      <c r="L5245" s="0" t="s">
        <v>49</v>
      </c>
      <c r="M5245" s="0" t="s">
        <v>167</v>
      </c>
      <c r="N5245" s="0" t="n">
        <v>1995</v>
      </c>
      <c r="O5245" s="10" t="n">
        <v>0.251489754300565</v>
      </c>
      <c r="P5245" s="10" t="n">
        <v>0.252706390339881</v>
      </c>
      <c r="Q5245" s="0" t="str">
        <f aca="false">SUBSTITUTE(SUBSTITUTE($I5245,CHAR(61),""),CHAR(34),"")</f>
        <v>&lt;01</v>
      </c>
      <c r="R5245" s="0" t="str">
        <f aca="false">IF($D5245&lt;&gt;"","["&amp;$E5245&amp;"]"&amp;"|"&amp;$Q5245&amp;"|"&amp;$K5245&amp;"|"&amp;$G5245&amp;"|"&amp;IF($G5245="TX_CURR_SUBNAT.R","CY2022Q4",$M5245),"")</f>
        <v>[ZCjuwgaMB9u]|&lt;01|Male|PLHIV_Residents.T|CY2024Q3</v>
      </c>
    </row>
    <row r="5246" customFormat="false" ht="15" hidden="false" customHeight="false" outlineLevel="0" collapsed="false">
      <c r="D5246" s="0" t="s">
        <v>126</v>
      </c>
      <c r="E5246" s="0" t="s">
        <v>127</v>
      </c>
      <c r="F5246" s="0" t="s">
        <v>128</v>
      </c>
      <c r="G5246" s="0" t="s">
        <v>165</v>
      </c>
      <c r="H5246" s="0" t="s">
        <v>166</v>
      </c>
      <c r="I5246" s="0" t="s">
        <v>33</v>
      </c>
      <c r="J5246" s="0" t="s">
        <v>34</v>
      </c>
      <c r="K5246" s="0" t="s">
        <v>48</v>
      </c>
      <c r="L5246" s="0" t="s">
        <v>49</v>
      </c>
      <c r="M5246" s="0" t="s">
        <v>167</v>
      </c>
      <c r="N5246" s="0" t="n">
        <v>1365</v>
      </c>
      <c r="O5246" s="10" t="n">
        <v>0.948637938359752</v>
      </c>
      <c r="P5246" s="10" t="n">
        <v>0.252706390339881</v>
      </c>
      <c r="Q5246" s="0" t="str">
        <f aca="false">SUBSTITUTE(SUBSTITUTE($I5246,CHAR(61),""),CHAR(34),"")</f>
        <v>01-09</v>
      </c>
      <c r="R5246" s="0" t="str">
        <f aca="false">IF($D5246&lt;&gt;"","["&amp;$E5246&amp;"]"&amp;"|"&amp;$Q5246&amp;"|"&amp;$K5246&amp;"|"&amp;$G5246&amp;"|"&amp;IF($G5246="TX_CURR_SUBNAT.R","CY2022Q4",$M5246),"")</f>
        <v>[ZCjuwgaMB9u]|01-09|Male|PLHIV_Residents.T|CY2024Q3</v>
      </c>
    </row>
    <row r="5247" customFormat="false" ht="15" hidden="false" customHeight="false" outlineLevel="0" collapsed="false">
      <c r="D5247" s="0" t="s">
        <v>126</v>
      </c>
      <c r="E5247" s="0" t="s">
        <v>127</v>
      </c>
      <c r="F5247" s="0" t="s">
        <v>128</v>
      </c>
      <c r="G5247" s="0" t="s">
        <v>165</v>
      </c>
      <c r="H5247" s="0" t="s">
        <v>166</v>
      </c>
      <c r="I5247" s="0" t="s">
        <v>36</v>
      </c>
      <c r="J5247" s="0" t="s">
        <v>37</v>
      </c>
      <c r="K5247" s="0" t="s">
        <v>48</v>
      </c>
      <c r="L5247" s="0" t="s">
        <v>49</v>
      </c>
      <c r="M5247" s="0" t="s">
        <v>167</v>
      </c>
      <c r="N5247" s="0" t="n">
        <v>1497</v>
      </c>
      <c r="O5247" s="10" t="n">
        <v>0.614207434700802</v>
      </c>
      <c r="P5247" s="10" t="n">
        <v>0.252706390339881</v>
      </c>
      <c r="Q5247" s="0" t="str">
        <f aca="false">SUBSTITUTE(SUBSTITUTE($I5247,CHAR(61),""),CHAR(34),"")</f>
        <v>10-14</v>
      </c>
      <c r="R5247" s="0" t="str">
        <f aca="false">IF($D5247&lt;&gt;"","["&amp;$E5247&amp;"]"&amp;"|"&amp;$Q5247&amp;"|"&amp;$K5247&amp;"|"&amp;$G5247&amp;"|"&amp;IF($G5247="TX_CURR_SUBNAT.R","CY2022Q4",$M5247),"")</f>
        <v>[ZCjuwgaMB9u]|10-14|Male|PLHIV_Residents.T|CY2024Q3</v>
      </c>
    </row>
    <row r="5248" customFormat="false" ht="15" hidden="false" customHeight="false" outlineLevel="0" collapsed="false">
      <c r="D5248" s="0" t="s">
        <v>126</v>
      </c>
      <c r="E5248" s="0" t="s">
        <v>127</v>
      </c>
      <c r="F5248" s="0" t="s">
        <v>128</v>
      </c>
      <c r="G5248" s="0" t="s">
        <v>165</v>
      </c>
      <c r="H5248" s="0" t="s">
        <v>166</v>
      </c>
      <c r="I5248" s="0" t="s">
        <v>38</v>
      </c>
      <c r="J5248" s="0" t="s">
        <v>39</v>
      </c>
      <c r="K5248" s="0" t="s">
        <v>48</v>
      </c>
      <c r="L5248" s="0" t="s">
        <v>49</v>
      </c>
      <c r="M5248" s="0" t="s">
        <v>167</v>
      </c>
      <c r="N5248" s="0" t="n">
        <v>578</v>
      </c>
      <c r="O5248" s="10" t="n">
        <v>0.882869366556406</v>
      </c>
      <c r="P5248" s="10" t="n">
        <v>0.252706390339881</v>
      </c>
      <c r="Q5248" s="0" t="str">
        <f aca="false">SUBSTITUTE(SUBSTITUTE($I5248,CHAR(61),""),CHAR(34),"")</f>
        <v>15-24</v>
      </c>
      <c r="R5248" s="0" t="str">
        <f aca="false">IF($D5248&lt;&gt;"","["&amp;$E5248&amp;"]"&amp;"|"&amp;$Q5248&amp;"|"&amp;$K5248&amp;"|"&amp;$G5248&amp;"|"&amp;IF($G5248="TX_CURR_SUBNAT.R","CY2022Q4",$M5248),"")</f>
        <v>[ZCjuwgaMB9u]|15-24|Male|PLHIV_Residents.T|CY2024Q3</v>
      </c>
    </row>
    <row r="5249" customFormat="false" ht="15" hidden="false" customHeight="false" outlineLevel="0" collapsed="false">
      <c r="D5249" s="0" t="s">
        <v>126</v>
      </c>
      <c r="E5249" s="0" t="s">
        <v>127</v>
      </c>
      <c r="F5249" s="0" t="s">
        <v>128</v>
      </c>
      <c r="G5249" s="0" t="s">
        <v>165</v>
      </c>
      <c r="H5249" s="0" t="s">
        <v>166</v>
      </c>
      <c r="I5249" s="0" t="s">
        <v>41</v>
      </c>
      <c r="J5249" s="0" t="s">
        <v>42</v>
      </c>
      <c r="K5249" s="0" t="s">
        <v>48</v>
      </c>
      <c r="L5249" s="0" t="s">
        <v>49</v>
      </c>
      <c r="M5249" s="0" t="s">
        <v>167</v>
      </c>
      <c r="N5249" s="0" t="n">
        <v>513</v>
      </c>
      <c r="O5249" s="10" t="n">
        <v>0.681356144603342</v>
      </c>
      <c r="P5249" s="10" t="n">
        <v>0.252706390339881</v>
      </c>
      <c r="Q5249" s="0" t="str">
        <f aca="false">SUBSTITUTE(SUBSTITUTE($I5249,CHAR(61),""),CHAR(34),"")</f>
        <v>25-34</v>
      </c>
      <c r="R5249" s="0" t="str">
        <f aca="false">IF($D5249&lt;&gt;"","["&amp;$E5249&amp;"]"&amp;"|"&amp;$Q5249&amp;"|"&amp;$K5249&amp;"|"&amp;$G5249&amp;"|"&amp;IF($G5249="TX_CURR_SUBNAT.R","CY2022Q4",$M5249),"")</f>
        <v>[ZCjuwgaMB9u]|25-34|Male|PLHIV_Residents.T|CY2024Q3</v>
      </c>
    </row>
    <row r="5250" customFormat="false" ht="15" hidden="false" customHeight="false" outlineLevel="0" collapsed="false">
      <c r="D5250" s="0" t="s">
        <v>126</v>
      </c>
      <c r="E5250" s="0" t="s">
        <v>127</v>
      </c>
      <c r="F5250" s="0" t="s">
        <v>128</v>
      </c>
      <c r="G5250" s="0" t="s">
        <v>165</v>
      </c>
      <c r="H5250" s="0" t="s">
        <v>166</v>
      </c>
      <c r="I5250" s="0" t="s">
        <v>43</v>
      </c>
      <c r="J5250" s="0" t="s">
        <v>44</v>
      </c>
      <c r="K5250" s="0" t="s">
        <v>48</v>
      </c>
      <c r="L5250" s="0" t="s">
        <v>49</v>
      </c>
      <c r="M5250" s="0" t="s">
        <v>167</v>
      </c>
      <c r="N5250" s="0" t="n">
        <v>1432</v>
      </c>
      <c r="O5250" s="10" t="n">
        <v>0.752525708870962</v>
      </c>
      <c r="P5250" s="10" t="n">
        <v>0.252706390339881</v>
      </c>
      <c r="Q5250" s="0" t="str">
        <f aca="false">SUBSTITUTE(SUBSTITUTE($I5250,CHAR(61),""),CHAR(34),"")</f>
        <v>35-49</v>
      </c>
      <c r="R5250" s="0" t="str">
        <f aca="false">IF($D5250&lt;&gt;"","["&amp;$E5250&amp;"]"&amp;"|"&amp;$Q5250&amp;"|"&amp;$K5250&amp;"|"&amp;$G5250&amp;"|"&amp;IF($G5250="TX_CURR_SUBNAT.R","CY2022Q4",$M5250),"")</f>
        <v>[ZCjuwgaMB9u]|35-49|Male|PLHIV_Residents.T|CY2024Q3</v>
      </c>
    </row>
    <row r="5251" customFormat="false" ht="15" hidden="false" customHeight="false" outlineLevel="0" collapsed="false">
      <c r="D5251" s="0" t="s">
        <v>126</v>
      </c>
      <c r="E5251" s="0" t="s">
        <v>127</v>
      </c>
      <c r="F5251" s="0" t="s">
        <v>128</v>
      </c>
      <c r="G5251" s="0" t="s">
        <v>165</v>
      </c>
      <c r="H5251" s="0" t="s">
        <v>166</v>
      </c>
      <c r="I5251" s="0" t="s">
        <v>45</v>
      </c>
      <c r="J5251" s="0" t="s">
        <v>46</v>
      </c>
      <c r="K5251" s="0" t="s">
        <v>48</v>
      </c>
      <c r="L5251" s="0" t="s">
        <v>49</v>
      </c>
      <c r="M5251" s="0" t="s">
        <v>167</v>
      </c>
      <c r="N5251" s="0" t="n">
        <v>1504</v>
      </c>
      <c r="O5251" s="10" t="n">
        <v>0.343703075544909</v>
      </c>
      <c r="P5251" s="10" t="n">
        <v>0.252706390339881</v>
      </c>
      <c r="Q5251" s="0" t="str">
        <f aca="false">SUBSTITUTE(SUBSTITUTE($I5251,CHAR(61),""),CHAR(34),"")</f>
        <v>50+</v>
      </c>
      <c r="R5251" s="0" t="str">
        <f aca="false">IF($D5251&lt;&gt;"","["&amp;$E5251&amp;"]"&amp;"|"&amp;$Q5251&amp;"|"&amp;$K5251&amp;"|"&amp;$G5251&amp;"|"&amp;IF($G5251="TX_CURR_SUBNAT.R","CY2022Q4",$M5251),"")</f>
        <v>[ZCjuwgaMB9u]|50+|Male|PLHIV_Residents.T|CY2024Q3</v>
      </c>
    </row>
    <row r="5252" customFormat="false" ht="15" hidden="false" customHeight="false" outlineLevel="0" collapsed="false">
      <c r="D5252" s="0" t="s">
        <v>129</v>
      </c>
      <c r="E5252" s="0" t="s">
        <v>130</v>
      </c>
      <c r="F5252" s="0" t="s">
        <v>131</v>
      </c>
      <c r="G5252" s="0" t="s">
        <v>165</v>
      </c>
      <c r="H5252" s="0" t="s">
        <v>166</v>
      </c>
      <c r="I5252" s="0" t="s">
        <v>28</v>
      </c>
      <c r="J5252" s="0" t="s">
        <v>29</v>
      </c>
      <c r="K5252" s="0" t="s">
        <v>30</v>
      </c>
      <c r="L5252" s="0" t="s">
        <v>31</v>
      </c>
      <c r="M5252" s="0" t="s">
        <v>167</v>
      </c>
      <c r="N5252" s="0" t="n">
        <v>1024</v>
      </c>
      <c r="O5252" s="10" t="n">
        <v>0.279300531372428</v>
      </c>
      <c r="P5252" s="10" t="n">
        <v>0.556908084778115</v>
      </c>
      <c r="Q5252" s="0" t="str">
        <f aca="false">SUBSTITUTE(SUBSTITUTE($I5252,CHAR(61),""),CHAR(34),"")</f>
        <v>&lt;01</v>
      </c>
      <c r="R5252" s="0" t="str">
        <f aca="false">IF($D5252&lt;&gt;"","["&amp;$E5252&amp;"]"&amp;"|"&amp;$Q5252&amp;"|"&amp;$K5252&amp;"|"&amp;$G5252&amp;"|"&amp;IF($G5252="TX_CURR_SUBNAT.R","CY2022Q4",$M5252),"")</f>
        <v>[YCKiBAp8QAg]|&lt;01|Female|PLHIV_Residents.T|CY2024Q3</v>
      </c>
    </row>
    <row r="5253" customFormat="false" ht="15" hidden="false" customHeight="false" outlineLevel="0" collapsed="false">
      <c r="D5253" s="0" t="s">
        <v>129</v>
      </c>
      <c r="E5253" s="0" t="s">
        <v>130</v>
      </c>
      <c r="F5253" s="0" t="s">
        <v>131</v>
      </c>
      <c r="G5253" s="0" t="s">
        <v>165</v>
      </c>
      <c r="H5253" s="0" t="s">
        <v>166</v>
      </c>
      <c r="I5253" s="0" t="s">
        <v>33</v>
      </c>
      <c r="J5253" s="0" t="s">
        <v>34</v>
      </c>
      <c r="K5253" s="0" t="s">
        <v>30</v>
      </c>
      <c r="L5253" s="0" t="s">
        <v>31</v>
      </c>
      <c r="M5253" s="0" t="s">
        <v>167</v>
      </c>
      <c r="N5253" s="0" t="n">
        <v>1633</v>
      </c>
      <c r="O5253" s="10" t="n">
        <v>0.986281213816255</v>
      </c>
      <c r="P5253" s="10" t="n">
        <v>0.556908084778115</v>
      </c>
      <c r="Q5253" s="0" t="str">
        <f aca="false">SUBSTITUTE(SUBSTITUTE($I5253,CHAR(61),""),CHAR(34),"")</f>
        <v>01-09</v>
      </c>
      <c r="R5253" s="0" t="str">
        <f aca="false">IF($D5253&lt;&gt;"","["&amp;$E5253&amp;"]"&amp;"|"&amp;$Q5253&amp;"|"&amp;$K5253&amp;"|"&amp;$G5253&amp;"|"&amp;IF($G5253="TX_CURR_SUBNAT.R","CY2022Q4",$M5253),"")</f>
        <v>[YCKiBAp8QAg]|01-09|Female|PLHIV_Residents.T|CY2024Q3</v>
      </c>
    </row>
    <row r="5254" customFormat="false" ht="15" hidden="false" customHeight="false" outlineLevel="0" collapsed="false">
      <c r="D5254" s="0" t="s">
        <v>129</v>
      </c>
      <c r="E5254" s="0" t="s">
        <v>130</v>
      </c>
      <c r="F5254" s="0" t="s">
        <v>131</v>
      </c>
      <c r="G5254" s="0" t="s">
        <v>165</v>
      </c>
      <c r="H5254" s="0" t="s">
        <v>166</v>
      </c>
      <c r="I5254" s="0" t="s">
        <v>36</v>
      </c>
      <c r="J5254" s="0" t="s">
        <v>37</v>
      </c>
      <c r="K5254" s="0" t="s">
        <v>30</v>
      </c>
      <c r="L5254" s="0" t="s">
        <v>31</v>
      </c>
      <c r="M5254" s="0" t="s">
        <v>167</v>
      </c>
      <c r="N5254" s="0" t="n">
        <v>1376</v>
      </c>
      <c r="O5254" s="10" t="n">
        <v>0.425347395706922</v>
      </c>
      <c r="P5254" s="10" t="n">
        <v>0.556908084778115</v>
      </c>
      <c r="Q5254" s="0" t="str">
        <f aca="false">SUBSTITUTE(SUBSTITUTE($I5254,CHAR(61),""),CHAR(34),"")</f>
        <v>10-14</v>
      </c>
      <c r="R5254" s="0" t="str">
        <f aca="false">IF($D5254&lt;&gt;"","["&amp;$E5254&amp;"]"&amp;"|"&amp;$Q5254&amp;"|"&amp;$K5254&amp;"|"&amp;$G5254&amp;"|"&amp;IF($G5254="TX_CURR_SUBNAT.R","CY2022Q4",$M5254),"")</f>
        <v>[YCKiBAp8QAg]|10-14|Female|PLHIV_Residents.T|CY2024Q3</v>
      </c>
    </row>
    <row r="5255" customFormat="false" ht="15" hidden="false" customHeight="false" outlineLevel="0" collapsed="false">
      <c r="D5255" s="0" t="s">
        <v>129</v>
      </c>
      <c r="E5255" s="0" t="s">
        <v>130</v>
      </c>
      <c r="F5255" s="0" t="s">
        <v>131</v>
      </c>
      <c r="G5255" s="0" t="s">
        <v>165</v>
      </c>
      <c r="H5255" s="0" t="s">
        <v>166</v>
      </c>
      <c r="I5255" s="0" t="s">
        <v>38</v>
      </c>
      <c r="J5255" s="0" t="s">
        <v>39</v>
      </c>
      <c r="K5255" s="0" t="s">
        <v>30</v>
      </c>
      <c r="L5255" s="0" t="s">
        <v>31</v>
      </c>
      <c r="M5255" s="0" t="s">
        <v>167</v>
      </c>
      <c r="N5255" s="0" t="n">
        <v>1065</v>
      </c>
      <c r="O5255" s="10" t="n">
        <v>0.220554289408028</v>
      </c>
      <c r="P5255" s="10" t="n">
        <v>0.556908084778115</v>
      </c>
      <c r="Q5255" s="0" t="str">
        <f aca="false">SUBSTITUTE(SUBSTITUTE($I5255,CHAR(61),""),CHAR(34),"")</f>
        <v>15-24</v>
      </c>
      <c r="R5255" s="0" t="str">
        <f aca="false">IF($D5255&lt;&gt;"","["&amp;$E5255&amp;"]"&amp;"|"&amp;$Q5255&amp;"|"&amp;$K5255&amp;"|"&amp;$G5255&amp;"|"&amp;IF($G5255="TX_CURR_SUBNAT.R","CY2022Q4",$M5255),"")</f>
        <v>[YCKiBAp8QAg]|15-24|Female|PLHIV_Residents.T|CY2024Q3</v>
      </c>
    </row>
    <row r="5256" customFormat="false" ht="15" hidden="false" customHeight="false" outlineLevel="0" collapsed="false">
      <c r="D5256" s="0" t="s">
        <v>129</v>
      </c>
      <c r="E5256" s="0" t="s">
        <v>130</v>
      </c>
      <c r="F5256" s="0" t="s">
        <v>131</v>
      </c>
      <c r="G5256" s="0" t="s">
        <v>165</v>
      </c>
      <c r="H5256" s="0" t="s">
        <v>166</v>
      </c>
      <c r="I5256" s="0" t="s">
        <v>41</v>
      </c>
      <c r="J5256" s="0" t="s">
        <v>42</v>
      </c>
      <c r="K5256" s="0" t="s">
        <v>30</v>
      </c>
      <c r="L5256" s="0" t="s">
        <v>31</v>
      </c>
      <c r="M5256" s="0" t="s">
        <v>167</v>
      </c>
      <c r="N5256" s="0" t="n">
        <v>847</v>
      </c>
      <c r="O5256" s="10" t="n">
        <v>0.672422227915376</v>
      </c>
      <c r="P5256" s="10" t="n">
        <v>0.556908084778115</v>
      </c>
      <c r="Q5256" s="0" t="str">
        <f aca="false">SUBSTITUTE(SUBSTITUTE($I5256,CHAR(61),""),CHAR(34),"")</f>
        <v>25-34</v>
      </c>
      <c r="R5256" s="0" t="str">
        <f aca="false">IF($D5256&lt;&gt;"","["&amp;$E5256&amp;"]"&amp;"|"&amp;$Q5256&amp;"|"&amp;$K5256&amp;"|"&amp;$G5256&amp;"|"&amp;IF($G5256="TX_CURR_SUBNAT.R","CY2022Q4",$M5256),"")</f>
        <v>[YCKiBAp8QAg]|25-34|Female|PLHIV_Residents.T|CY2024Q3</v>
      </c>
    </row>
    <row r="5257" customFormat="false" ht="15" hidden="false" customHeight="false" outlineLevel="0" collapsed="false">
      <c r="D5257" s="0" t="s">
        <v>129</v>
      </c>
      <c r="E5257" s="0" t="s">
        <v>130</v>
      </c>
      <c r="F5257" s="0" t="s">
        <v>131</v>
      </c>
      <c r="G5257" s="0" t="s">
        <v>165</v>
      </c>
      <c r="H5257" s="0" t="s">
        <v>166</v>
      </c>
      <c r="I5257" s="0" t="s">
        <v>43</v>
      </c>
      <c r="J5257" s="0" t="s">
        <v>44</v>
      </c>
      <c r="K5257" s="0" t="s">
        <v>30</v>
      </c>
      <c r="L5257" s="0" t="s">
        <v>31</v>
      </c>
      <c r="M5257" s="0" t="s">
        <v>167</v>
      </c>
      <c r="N5257" s="0" t="n">
        <v>1862</v>
      </c>
      <c r="O5257" s="10" t="n">
        <v>0.250208121957257</v>
      </c>
      <c r="P5257" s="10" t="n">
        <v>0.556908084778115</v>
      </c>
      <c r="Q5257" s="0" t="str">
        <f aca="false">SUBSTITUTE(SUBSTITUTE($I5257,CHAR(61),""),CHAR(34),"")</f>
        <v>35-49</v>
      </c>
      <c r="R5257" s="0" t="str">
        <f aca="false">IF($D5257&lt;&gt;"","["&amp;$E5257&amp;"]"&amp;"|"&amp;$Q5257&amp;"|"&amp;$K5257&amp;"|"&amp;$G5257&amp;"|"&amp;IF($G5257="TX_CURR_SUBNAT.R","CY2022Q4",$M5257),"")</f>
        <v>[YCKiBAp8QAg]|35-49|Female|PLHIV_Residents.T|CY2024Q3</v>
      </c>
    </row>
    <row r="5258" customFormat="false" ht="15" hidden="false" customHeight="false" outlineLevel="0" collapsed="false">
      <c r="D5258" s="0" t="s">
        <v>129</v>
      </c>
      <c r="E5258" s="0" t="s">
        <v>130</v>
      </c>
      <c r="F5258" s="0" t="s">
        <v>131</v>
      </c>
      <c r="G5258" s="0" t="s">
        <v>165</v>
      </c>
      <c r="H5258" s="0" t="s">
        <v>166</v>
      </c>
      <c r="I5258" s="0" t="s">
        <v>45</v>
      </c>
      <c r="J5258" s="0" t="s">
        <v>46</v>
      </c>
      <c r="K5258" s="0" t="s">
        <v>30</v>
      </c>
      <c r="L5258" s="0" t="s">
        <v>31</v>
      </c>
      <c r="M5258" s="0" t="s">
        <v>167</v>
      </c>
      <c r="N5258" s="0" t="n">
        <v>1322</v>
      </c>
      <c r="O5258" s="10" t="n">
        <v>0.192245284095407</v>
      </c>
      <c r="P5258" s="10" t="n">
        <v>0.556908084778115</v>
      </c>
      <c r="Q5258" s="0" t="str">
        <f aca="false">SUBSTITUTE(SUBSTITUTE($I5258,CHAR(61),""),CHAR(34),"")</f>
        <v>50+</v>
      </c>
      <c r="R5258" s="0" t="str">
        <f aca="false">IF($D5258&lt;&gt;"","["&amp;$E5258&amp;"]"&amp;"|"&amp;$Q5258&amp;"|"&amp;$K5258&amp;"|"&amp;$G5258&amp;"|"&amp;IF($G5258="TX_CURR_SUBNAT.R","CY2022Q4",$M5258),"")</f>
        <v>[YCKiBAp8QAg]|50+|Female|PLHIV_Residents.T|CY2024Q3</v>
      </c>
    </row>
    <row r="5259" customFormat="false" ht="15" hidden="false" customHeight="false" outlineLevel="0" collapsed="false">
      <c r="D5259" s="0" t="s">
        <v>129</v>
      </c>
      <c r="E5259" s="0" t="s">
        <v>130</v>
      </c>
      <c r="F5259" s="0" t="s">
        <v>131</v>
      </c>
      <c r="G5259" s="0" t="s">
        <v>165</v>
      </c>
      <c r="H5259" s="0" t="s">
        <v>166</v>
      </c>
      <c r="I5259" s="0" t="s">
        <v>28</v>
      </c>
      <c r="J5259" s="0" t="s">
        <v>29</v>
      </c>
      <c r="K5259" s="0" t="s">
        <v>48</v>
      </c>
      <c r="L5259" s="0" t="s">
        <v>49</v>
      </c>
      <c r="M5259" s="0" t="s">
        <v>167</v>
      </c>
      <c r="N5259" s="0" t="n">
        <v>1842</v>
      </c>
      <c r="O5259" s="10" t="n">
        <v>0.726222223835066</v>
      </c>
      <c r="P5259" s="10" t="n">
        <v>0.556908084778115</v>
      </c>
      <c r="Q5259" s="0" t="str">
        <f aca="false">SUBSTITUTE(SUBSTITUTE($I5259,CHAR(61),""),CHAR(34),"")</f>
        <v>&lt;01</v>
      </c>
      <c r="R5259" s="0" t="str">
        <f aca="false">IF($D5259&lt;&gt;"","["&amp;$E5259&amp;"]"&amp;"|"&amp;$Q5259&amp;"|"&amp;$K5259&amp;"|"&amp;$G5259&amp;"|"&amp;IF($G5259="TX_CURR_SUBNAT.R","CY2022Q4",$M5259),"")</f>
        <v>[YCKiBAp8QAg]|&lt;01|Male|PLHIV_Residents.T|CY2024Q3</v>
      </c>
    </row>
    <row r="5260" customFormat="false" ht="15" hidden="false" customHeight="false" outlineLevel="0" collapsed="false">
      <c r="D5260" s="0" t="s">
        <v>129</v>
      </c>
      <c r="E5260" s="0" t="s">
        <v>130</v>
      </c>
      <c r="F5260" s="0" t="s">
        <v>131</v>
      </c>
      <c r="G5260" s="0" t="s">
        <v>165</v>
      </c>
      <c r="H5260" s="0" t="s">
        <v>166</v>
      </c>
      <c r="I5260" s="0" t="s">
        <v>33</v>
      </c>
      <c r="J5260" s="0" t="s">
        <v>34</v>
      </c>
      <c r="K5260" s="0" t="s">
        <v>48</v>
      </c>
      <c r="L5260" s="0" t="s">
        <v>49</v>
      </c>
      <c r="M5260" s="0" t="s">
        <v>167</v>
      </c>
      <c r="N5260" s="0" t="n">
        <v>1094</v>
      </c>
      <c r="O5260" s="10" t="n">
        <v>0.970421585021541</v>
      </c>
      <c r="P5260" s="10" t="n">
        <v>0.556908084778115</v>
      </c>
      <c r="Q5260" s="0" t="str">
        <f aca="false">SUBSTITUTE(SUBSTITUTE($I5260,CHAR(61),""),CHAR(34),"")</f>
        <v>01-09</v>
      </c>
      <c r="R5260" s="0" t="str">
        <f aca="false">IF($D5260&lt;&gt;"","["&amp;$E5260&amp;"]"&amp;"|"&amp;$Q5260&amp;"|"&amp;$K5260&amp;"|"&amp;$G5260&amp;"|"&amp;IF($G5260="TX_CURR_SUBNAT.R","CY2022Q4",$M5260),"")</f>
        <v>[YCKiBAp8QAg]|01-09|Male|PLHIV_Residents.T|CY2024Q3</v>
      </c>
    </row>
    <row r="5261" customFormat="false" ht="15" hidden="false" customHeight="false" outlineLevel="0" collapsed="false">
      <c r="D5261" s="0" t="s">
        <v>129</v>
      </c>
      <c r="E5261" s="0" t="s">
        <v>130</v>
      </c>
      <c r="F5261" s="0" t="s">
        <v>131</v>
      </c>
      <c r="G5261" s="0" t="s">
        <v>165</v>
      </c>
      <c r="H5261" s="0" t="s">
        <v>166</v>
      </c>
      <c r="I5261" s="0" t="s">
        <v>36</v>
      </c>
      <c r="J5261" s="0" t="s">
        <v>37</v>
      </c>
      <c r="K5261" s="0" t="s">
        <v>48</v>
      </c>
      <c r="L5261" s="0" t="s">
        <v>49</v>
      </c>
      <c r="M5261" s="0" t="s">
        <v>167</v>
      </c>
      <c r="N5261" s="0" t="n">
        <v>1067</v>
      </c>
      <c r="O5261" s="10" t="n">
        <v>0.964922735700384</v>
      </c>
      <c r="P5261" s="10" t="n">
        <v>0.556908084778115</v>
      </c>
      <c r="Q5261" s="0" t="str">
        <f aca="false">SUBSTITUTE(SUBSTITUTE($I5261,CHAR(61),""),CHAR(34),"")</f>
        <v>10-14</v>
      </c>
      <c r="R5261" s="0" t="str">
        <f aca="false">IF($D5261&lt;&gt;"","["&amp;$E5261&amp;"]"&amp;"|"&amp;$Q5261&amp;"|"&amp;$K5261&amp;"|"&amp;$G5261&amp;"|"&amp;IF($G5261="TX_CURR_SUBNAT.R","CY2022Q4",$M5261),"")</f>
        <v>[YCKiBAp8QAg]|10-14|Male|PLHIV_Residents.T|CY2024Q3</v>
      </c>
    </row>
    <row r="5262" customFormat="false" ht="15" hidden="false" customHeight="false" outlineLevel="0" collapsed="false">
      <c r="D5262" s="0" t="s">
        <v>129</v>
      </c>
      <c r="E5262" s="0" t="s">
        <v>130</v>
      </c>
      <c r="F5262" s="0" t="s">
        <v>131</v>
      </c>
      <c r="G5262" s="0" t="s">
        <v>165</v>
      </c>
      <c r="H5262" s="0" t="s">
        <v>166</v>
      </c>
      <c r="I5262" s="0" t="s">
        <v>38</v>
      </c>
      <c r="J5262" s="0" t="s">
        <v>39</v>
      </c>
      <c r="K5262" s="0" t="s">
        <v>48</v>
      </c>
      <c r="L5262" s="0" t="s">
        <v>49</v>
      </c>
      <c r="M5262" s="0" t="s">
        <v>167</v>
      </c>
      <c r="N5262" s="0" t="n">
        <v>1644</v>
      </c>
      <c r="O5262" s="10" t="n">
        <v>0.142406309489161</v>
      </c>
      <c r="P5262" s="10" t="n">
        <v>0.556908084778115</v>
      </c>
      <c r="Q5262" s="0" t="str">
        <f aca="false">SUBSTITUTE(SUBSTITUTE($I5262,CHAR(61),""),CHAR(34),"")</f>
        <v>15-24</v>
      </c>
      <c r="R5262" s="0" t="str">
        <f aca="false">IF($D5262&lt;&gt;"","["&amp;$E5262&amp;"]"&amp;"|"&amp;$Q5262&amp;"|"&amp;$K5262&amp;"|"&amp;$G5262&amp;"|"&amp;IF($G5262="TX_CURR_SUBNAT.R","CY2022Q4",$M5262),"")</f>
        <v>[YCKiBAp8QAg]|15-24|Male|PLHIV_Residents.T|CY2024Q3</v>
      </c>
    </row>
    <row r="5263" customFormat="false" ht="15" hidden="false" customHeight="false" outlineLevel="0" collapsed="false">
      <c r="D5263" s="0" t="s">
        <v>129</v>
      </c>
      <c r="E5263" s="0" t="s">
        <v>130</v>
      </c>
      <c r="F5263" s="0" t="s">
        <v>131</v>
      </c>
      <c r="G5263" s="0" t="s">
        <v>165</v>
      </c>
      <c r="H5263" s="0" t="s">
        <v>166</v>
      </c>
      <c r="I5263" s="0" t="s">
        <v>41</v>
      </c>
      <c r="J5263" s="0" t="s">
        <v>42</v>
      </c>
      <c r="K5263" s="0" t="s">
        <v>48</v>
      </c>
      <c r="L5263" s="0" t="s">
        <v>49</v>
      </c>
      <c r="M5263" s="0" t="s">
        <v>167</v>
      </c>
      <c r="N5263" s="0" t="n">
        <v>959</v>
      </c>
      <c r="O5263" s="10" t="n">
        <v>0.418512425152585</v>
      </c>
      <c r="P5263" s="10" t="n">
        <v>0.556908084778115</v>
      </c>
      <c r="Q5263" s="0" t="str">
        <f aca="false">SUBSTITUTE(SUBSTITUTE($I5263,CHAR(61),""),CHAR(34),"")</f>
        <v>25-34</v>
      </c>
      <c r="R5263" s="0" t="str">
        <f aca="false">IF($D5263&lt;&gt;"","["&amp;$E5263&amp;"]"&amp;"|"&amp;$Q5263&amp;"|"&amp;$K5263&amp;"|"&amp;$G5263&amp;"|"&amp;IF($G5263="TX_CURR_SUBNAT.R","CY2022Q4",$M5263),"")</f>
        <v>[YCKiBAp8QAg]|25-34|Male|PLHIV_Residents.T|CY2024Q3</v>
      </c>
    </row>
    <row r="5264" customFormat="false" ht="15" hidden="false" customHeight="false" outlineLevel="0" collapsed="false">
      <c r="D5264" s="0" t="s">
        <v>129</v>
      </c>
      <c r="E5264" s="0" t="s">
        <v>130</v>
      </c>
      <c r="F5264" s="0" t="s">
        <v>131</v>
      </c>
      <c r="G5264" s="0" t="s">
        <v>165</v>
      </c>
      <c r="H5264" s="0" t="s">
        <v>166</v>
      </c>
      <c r="I5264" s="0" t="s">
        <v>43</v>
      </c>
      <c r="J5264" s="0" t="s">
        <v>44</v>
      </c>
      <c r="K5264" s="0" t="s">
        <v>48</v>
      </c>
      <c r="L5264" s="0" t="s">
        <v>49</v>
      </c>
      <c r="M5264" s="0" t="s">
        <v>167</v>
      </c>
      <c r="N5264" s="0" t="n">
        <v>1597</v>
      </c>
      <c r="O5264" s="10" t="n">
        <v>0.541495529469103</v>
      </c>
      <c r="P5264" s="10" t="n">
        <v>0.556908084778115</v>
      </c>
      <c r="Q5264" s="0" t="str">
        <f aca="false">SUBSTITUTE(SUBSTITUTE($I5264,CHAR(61),""),CHAR(34),"")</f>
        <v>35-49</v>
      </c>
      <c r="R5264" s="0" t="str">
        <f aca="false">IF($D5264&lt;&gt;"","["&amp;$E5264&amp;"]"&amp;"|"&amp;$Q5264&amp;"|"&amp;$K5264&amp;"|"&amp;$G5264&amp;"|"&amp;IF($G5264="TX_CURR_SUBNAT.R","CY2022Q4",$M5264),"")</f>
        <v>[YCKiBAp8QAg]|35-49|Male|PLHIV_Residents.T|CY2024Q3</v>
      </c>
    </row>
    <row r="5265" customFormat="false" ht="15" hidden="false" customHeight="false" outlineLevel="0" collapsed="false">
      <c r="D5265" s="0" t="s">
        <v>129</v>
      </c>
      <c r="E5265" s="0" t="s">
        <v>130</v>
      </c>
      <c r="F5265" s="0" t="s">
        <v>131</v>
      </c>
      <c r="G5265" s="0" t="s">
        <v>165</v>
      </c>
      <c r="H5265" s="0" t="s">
        <v>166</v>
      </c>
      <c r="I5265" s="0" t="s">
        <v>45</v>
      </c>
      <c r="J5265" s="0" t="s">
        <v>46</v>
      </c>
      <c r="K5265" s="0" t="s">
        <v>48</v>
      </c>
      <c r="L5265" s="0" t="s">
        <v>49</v>
      </c>
      <c r="M5265" s="0" t="s">
        <v>167</v>
      </c>
      <c r="N5265" s="0" t="n">
        <v>605</v>
      </c>
      <c r="O5265" s="10" t="n">
        <v>0.834469343768433</v>
      </c>
      <c r="P5265" s="10" t="n">
        <v>0.556908084778115</v>
      </c>
      <c r="Q5265" s="0" t="str">
        <f aca="false">SUBSTITUTE(SUBSTITUTE($I5265,CHAR(61),""),CHAR(34),"")</f>
        <v>50+</v>
      </c>
      <c r="R5265" s="0" t="str">
        <f aca="false">IF($D5265&lt;&gt;"","["&amp;$E5265&amp;"]"&amp;"|"&amp;$Q5265&amp;"|"&amp;$K5265&amp;"|"&amp;$G5265&amp;"|"&amp;IF($G5265="TX_CURR_SUBNAT.R","CY2022Q4",$M5265),"")</f>
        <v>[YCKiBAp8QAg]|50+|Male|PLHIV_Residents.T|CY2024Q3</v>
      </c>
    </row>
    <row r="5266" customFormat="false" ht="15" hidden="false" customHeight="false" outlineLevel="0" collapsed="false">
      <c r="D5266" s="0" t="s">
        <v>132</v>
      </c>
      <c r="E5266" s="0" t="s">
        <v>133</v>
      </c>
      <c r="F5266" s="0" t="s">
        <v>134</v>
      </c>
      <c r="G5266" s="0" t="s">
        <v>165</v>
      </c>
      <c r="H5266" s="0" t="s">
        <v>166</v>
      </c>
      <c r="I5266" s="0" t="s">
        <v>28</v>
      </c>
      <c r="J5266" s="0" t="s">
        <v>29</v>
      </c>
      <c r="K5266" s="0" t="s">
        <v>30</v>
      </c>
      <c r="L5266" s="0" t="s">
        <v>31</v>
      </c>
      <c r="M5266" s="0" t="s">
        <v>167</v>
      </c>
      <c r="N5266" s="0" t="n">
        <v>1552</v>
      </c>
      <c r="O5266" s="10" t="n">
        <v>0.102993910666555</v>
      </c>
      <c r="P5266" s="10" t="n">
        <v>0.162863194011152</v>
      </c>
      <c r="Q5266" s="0" t="str">
        <f aca="false">SUBSTITUTE(SUBSTITUTE($I5266,CHAR(61),""),CHAR(34),"")</f>
        <v>&lt;01</v>
      </c>
      <c r="R5266" s="0" t="str">
        <f aca="false">IF($D5266&lt;&gt;"","["&amp;$E5266&amp;"]"&amp;"|"&amp;$Q5266&amp;"|"&amp;$K5266&amp;"|"&amp;$G5266&amp;"|"&amp;IF($G5266="TX_CURR_SUBNAT.R","CY2022Q4",$M5266),"")</f>
        <v>[JQKLKuVuY61]|&lt;01|Female|PLHIV_Residents.T|CY2024Q3</v>
      </c>
    </row>
    <row r="5267" customFormat="false" ht="15" hidden="false" customHeight="false" outlineLevel="0" collapsed="false">
      <c r="D5267" s="0" t="s">
        <v>132</v>
      </c>
      <c r="E5267" s="0" t="s">
        <v>133</v>
      </c>
      <c r="F5267" s="0" t="s">
        <v>134</v>
      </c>
      <c r="G5267" s="0" t="s">
        <v>165</v>
      </c>
      <c r="H5267" s="0" t="s">
        <v>166</v>
      </c>
      <c r="I5267" s="0" t="s">
        <v>33</v>
      </c>
      <c r="J5267" s="0" t="s">
        <v>34</v>
      </c>
      <c r="K5267" s="0" t="s">
        <v>30</v>
      </c>
      <c r="L5267" s="0" t="s">
        <v>31</v>
      </c>
      <c r="M5267" s="0" t="s">
        <v>167</v>
      </c>
      <c r="N5267" s="0" t="n">
        <v>1707</v>
      </c>
      <c r="O5267" s="10" t="n">
        <v>0.746721008326858</v>
      </c>
      <c r="P5267" s="10" t="n">
        <v>0.162863194011152</v>
      </c>
      <c r="Q5267" s="0" t="str">
        <f aca="false">SUBSTITUTE(SUBSTITUTE($I5267,CHAR(61),""),CHAR(34),"")</f>
        <v>01-09</v>
      </c>
      <c r="R5267" s="0" t="str">
        <f aca="false">IF($D5267&lt;&gt;"","["&amp;$E5267&amp;"]"&amp;"|"&amp;$Q5267&amp;"|"&amp;$K5267&amp;"|"&amp;$G5267&amp;"|"&amp;IF($G5267="TX_CURR_SUBNAT.R","CY2022Q4",$M5267),"")</f>
        <v>[JQKLKuVuY61]|01-09|Female|PLHIV_Residents.T|CY2024Q3</v>
      </c>
    </row>
    <row r="5268" customFormat="false" ht="15" hidden="false" customHeight="false" outlineLevel="0" collapsed="false">
      <c r="D5268" s="0" t="s">
        <v>132</v>
      </c>
      <c r="E5268" s="0" t="s">
        <v>133</v>
      </c>
      <c r="F5268" s="0" t="s">
        <v>134</v>
      </c>
      <c r="G5268" s="0" t="s">
        <v>165</v>
      </c>
      <c r="H5268" s="0" t="s">
        <v>166</v>
      </c>
      <c r="I5268" s="0" t="s">
        <v>36</v>
      </c>
      <c r="J5268" s="0" t="s">
        <v>37</v>
      </c>
      <c r="K5268" s="0" t="s">
        <v>30</v>
      </c>
      <c r="L5268" s="0" t="s">
        <v>31</v>
      </c>
      <c r="M5268" s="0" t="s">
        <v>167</v>
      </c>
      <c r="N5268" s="0" t="n">
        <v>1317</v>
      </c>
      <c r="O5268" s="10" t="n">
        <v>0.740537038305774</v>
      </c>
      <c r="P5268" s="10" t="n">
        <v>0.162863194011152</v>
      </c>
      <c r="Q5268" s="0" t="str">
        <f aca="false">SUBSTITUTE(SUBSTITUTE($I5268,CHAR(61),""),CHAR(34),"")</f>
        <v>10-14</v>
      </c>
      <c r="R5268" s="0" t="str">
        <f aca="false">IF($D5268&lt;&gt;"","["&amp;$E5268&amp;"]"&amp;"|"&amp;$Q5268&amp;"|"&amp;$K5268&amp;"|"&amp;$G5268&amp;"|"&amp;IF($G5268="TX_CURR_SUBNAT.R","CY2022Q4",$M5268),"")</f>
        <v>[JQKLKuVuY61]|10-14|Female|PLHIV_Residents.T|CY2024Q3</v>
      </c>
    </row>
    <row r="5269" customFormat="false" ht="15" hidden="false" customHeight="false" outlineLevel="0" collapsed="false">
      <c r="D5269" s="0" t="s">
        <v>132</v>
      </c>
      <c r="E5269" s="0" t="s">
        <v>133</v>
      </c>
      <c r="F5269" s="0" t="s">
        <v>134</v>
      </c>
      <c r="G5269" s="0" t="s">
        <v>165</v>
      </c>
      <c r="H5269" s="0" t="s">
        <v>166</v>
      </c>
      <c r="I5269" s="0" t="s">
        <v>38</v>
      </c>
      <c r="J5269" s="0" t="s">
        <v>39</v>
      </c>
      <c r="K5269" s="0" t="s">
        <v>30</v>
      </c>
      <c r="L5269" s="0" t="s">
        <v>31</v>
      </c>
      <c r="M5269" s="0" t="s">
        <v>167</v>
      </c>
      <c r="N5269" s="0" t="n">
        <v>1525</v>
      </c>
      <c r="O5269" s="10" t="n">
        <v>0.909569145180285</v>
      </c>
      <c r="P5269" s="10" t="n">
        <v>0.162863194011152</v>
      </c>
      <c r="Q5269" s="0" t="str">
        <f aca="false">SUBSTITUTE(SUBSTITUTE($I5269,CHAR(61),""),CHAR(34),"")</f>
        <v>15-24</v>
      </c>
      <c r="R5269" s="0" t="str">
        <f aca="false">IF($D5269&lt;&gt;"","["&amp;$E5269&amp;"]"&amp;"|"&amp;$Q5269&amp;"|"&amp;$K5269&amp;"|"&amp;$G5269&amp;"|"&amp;IF($G5269="TX_CURR_SUBNAT.R","CY2022Q4",$M5269),"")</f>
        <v>[JQKLKuVuY61]|15-24|Female|PLHIV_Residents.T|CY2024Q3</v>
      </c>
    </row>
    <row r="5270" customFormat="false" ht="15" hidden="false" customHeight="false" outlineLevel="0" collapsed="false">
      <c r="D5270" s="0" t="s">
        <v>132</v>
      </c>
      <c r="E5270" s="0" t="s">
        <v>133</v>
      </c>
      <c r="F5270" s="0" t="s">
        <v>134</v>
      </c>
      <c r="G5270" s="0" t="s">
        <v>165</v>
      </c>
      <c r="H5270" s="0" t="s">
        <v>166</v>
      </c>
      <c r="I5270" s="0" t="s">
        <v>41</v>
      </c>
      <c r="J5270" s="0" t="s">
        <v>42</v>
      </c>
      <c r="K5270" s="0" t="s">
        <v>30</v>
      </c>
      <c r="L5270" s="0" t="s">
        <v>31</v>
      </c>
      <c r="M5270" s="0" t="s">
        <v>167</v>
      </c>
      <c r="N5270" s="0" t="n">
        <v>1464</v>
      </c>
      <c r="O5270" s="10" t="n">
        <v>0.28765579755418</v>
      </c>
      <c r="P5270" s="10" t="n">
        <v>0.162863194011152</v>
      </c>
      <c r="Q5270" s="0" t="str">
        <f aca="false">SUBSTITUTE(SUBSTITUTE($I5270,CHAR(61),""),CHAR(34),"")</f>
        <v>25-34</v>
      </c>
      <c r="R5270" s="0" t="str">
        <f aca="false">IF($D5270&lt;&gt;"","["&amp;$E5270&amp;"]"&amp;"|"&amp;$Q5270&amp;"|"&amp;$K5270&amp;"|"&amp;$G5270&amp;"|"&amp;IF($G5270="TX_CURR_SUBNAT.R","CY2022Q4",$M5270),"")</f>
        <v>[JQKLKuVuY61]|25-34|Female|PLHIV_Residents.T|CY2024Q3</v>
      </c>
    </row>
    <row r="5271" customFormat="false" ht="15" hidden="false" customHeight="false" outlineLevel="0" collapsed="false">
      <c r="D5271" s="0" t="s">
        <v>132</v>
      </c>
      <c r="E5271" s="0" t="s">
        <v>133</v>
      </c>
      <c r="F5271" s="0" t="s">
        <v>134</v>
      </c>
      <c r="G5271" s="0" t="s">
        <v>165</v>
      </c>
      <c r="H5271" s="0" t="s">
        <v>166</v>
      </c>
      <c r="I5271" s="0" t="s">
        <v>43</v>
      </c>
      <c r="J5271" s="0" t="s">
        <v>44</v>
      </c>
      <c r="K5271" s="0" t="s">
        <v>30</v>
      </c>
      <c r="L5271" s="0" t="s">
        <v>31</v>
      </c>
      <c r="M5271" s="0" t="s">
        <v>167</v>
      </c>
      <c r="N5271" s="0" t="n">
        <v>1536</v>
      </c>
      <c r="O5271" s="10" t="n">
        <v>0.440629973541945</v>
      </c>
      <c r="P5271" s="10" t="n">
        <v>0.162863194011152</v>
      </c>
      <c r="Q5271" s="0" t="str">
        <f aca="false">SUBSTITUTE(SUBSTITUTE($I5271,CHAR(61),""),CHAR(34),"")</f>
        <v>35-49</v>
      </c>
      <c r="R5271" s="0" t="str">
        <f aca="false">IF($D5271&lt;&gt;"","["&amp;$E5271&amp;"]"&amp;"|"&amp;$Q5271&amp;"|"&amp;$K5271&amp;"|"&amp;$G5271&amp;"|"&amp;IF($G5271="TX_CURR_SUBNAT.R","CY2022Q4",$M5271),"")</f>
        <v>[JQKLKuVuY61]|35-49|Female|PLHIV_Residents.T|CY2024Q3</v>
      </c>
    </row>
    <row r="5272" customFormat="false" ht="15" hidden="false" customHeight="false" outlineLevel="0" collapsed="false">
      <c r="D5272" s="0" t="s">
        <v>132</v>
      </c>
      <c r="E5272" s="0" t="s">
        <v>133</v>
      </c>
      <c r="F5272" s="0" t="s">
        <v>134</v>
      </c>
      <c r="G5272" s="0" t="s">
        <v>165</v>
      </c>
      <c r="H5272" s="0" t="s">
        <v>166</v>
      </c>
      <c r="I5272" s="0" t="s">
        <v>45</v>
      </c>
      <c r="J5272" s="0" t="s">
        <v>46</v>
      </c>
      <c r="K5272" s="0" t="s">
        <v>30</v>
      </c>
      <c r="L5272" s="0" t="s">
        <v>31</v>
      </c>
      <c r="M5272" s="0" t="s">
        <v>167</v>
      </c>
      <c r="N5272" s="0" t="n">
        <v>1974</v>
      </c>
      <c r="O5272" s="10" t="n">
        <v>0.812914774753153</v>
      </c>
      <c r="P5272" s="10" t="n">
        <v>0.162863194011152</v>
      </c>
      <c r="Q5272" s="0" t="str">
        <f aca="false">SUBSTITUTE(SUBSTITUTE($I5272,CHAR(61),""),CHAR(34),"")</f>
        <v>50+</v>
      </c>
      <c r="R5272" s="0" t="str">
        <f aca="false">IF($D5272&lt;&gt;"","["&amp;$E5272&amp;"]"&amp;"|"&amp;$Q5272&amp;"|"&amp;$K5272&amp;"|"&amp;$G5272&amp;"|"&amp;IF($G5272="TX_CURR_SUBNAT.R","CY2022Q4",$M5272),"")</f>
        <v>[JQKLKuVuY61]|50+|Female|PLHIV_Residents.T|CY2024Q3</v>
      </c>
    </row>
    <row r="5273" customFormat="false" ht="15" hidden="false" customHeight="false" outlineLevel="0" collapsed="false">
      <c r="D5273" s="0" t="s">
        <v>132</v>
      </c>
      <c r="E5273" s="0" t="s">
        <v>133</v>
      </c>
      <c r="F5273" s="0" t="s">
        <v>134</v>
      </c>
      <c r="G5273" s="0" t="s">
        <v>165</v>
      </c>
      <c r="H5273" s="0" t="s">
        <v>166</v>
      </c>
      <c r="I5273" s="0" t="s">
        <v>28</v>
      </c>
      <c r="J5273" s="0" t="s">
        <v>29</v>
      </c>
      <c r="K5273" s="0" t="s">
        <v>48</v>
      </c>
      <c r="L5273" s="0" t="s">
        <v>49</v>
      </c>
      <c r="M5273" s="0" t="s">
        <v>167</v>
      </c>
      <c r="N5273" s="0" t="n">
        <v>1709</v>
      </c>
      <c r="O5273" s="10" t="n">
        <v>0.955699778394774</v>
      </c>
      <c r="P5273" s="10" t="n">
        <v>0.162863194011152</v>
      </c>
      <c r="Q5273" s="0" t="str">
        <f aca="false">SUBSTITUTE(SUBSTITUTE($I5273,CHAR(61),""),CHAR(34),"")</f>
        <v>&lt;01</v>
      </c>
      <c r="R5273" s="0" t="str">
        <f aca="false">IF($D5273&lt;&gt;"","["&amp;$E5273&amp;"]"&amp;"|"&amp;$Q5273&amp;"|"&amp;$K5273&amp;"|"&amp;$G5273&amp;"|"&amp;IF($G5273="TX_CURR_SUBNAT.R","CY2022Q4",$M5273),"")</f>
        <v>[JQKLKuVuY61]|&lt;01|Male|PLHIV_Residents.T|CY2024Q3</v>
      </c>
    </row>
    <row r="5274" customFormat="false" ht="15" hidden="false" customHeight="false" outlineLevel="0" collapsed="false">
      <c r="D5274" s="0" t="s">
        <v>132</v>
      </c>
      <c r="E5274" s="0" t="s">
        <v>133</v>
      </c>
      <c r="F5274" s="0" t="s">
        <v>134</v>
      </c>
      <c r="G5274" s="0" t="s">
        <v>165</v>
      </c>
      <c r="H5274" s="0" t="s">
        <v>166</v>
      </c>
      <c r="I5274" s="0" t="s">
        <v>33</v>
      </c>
      <c r="J5274" s="0" t="s">
        <v>34</v>
      </c>
      <c r="K5274" s="0" t="s">
        <v>48</v>
      </c>
      <c r="L5274" s="0" t="s">
        <v>49</v>
      </c>
      <c r="M5274" s="0" t="s">
        <v>167</v>
      </c>
      <c r="N5274" s="0" t="n">
        <v>1776</v>
      </c>
      <c r="O5274" s="10" t="n">
        <v>0.45716709527187</v>
      </c>
      <c r="P5274" s="10" t="n">
        <v>0.162863194011152</v>
      </c>
      <c r="Q5274" s="0" t="str">
        <f aca="false">SUBSTITUTE(SUBSTITUTE($I5274,CHAR(61),""),CHAR(34),"")</f>
        <v>01-09</v>
      </c>
      <c r="R5274" s="0" t="str">
        <f aca="false">IF($D5274&lt;&gt;"","["&amp;$E5274&amp;"]"&amp;"|"&amp;$Q5274&amp;"|"&amp;$K5274&amp;"|"&amp;$G5274&amp;"|"&amp;IF($G5274="TX_CURR_SUBNAT.R","CY2022Q4",$M5274),"")</f>
        <v>[JQKLKuVuY61]|01-09|Male|PLHIV_Residents.T|CY2024Q3</v>
      </c>
    </row>
    <row r="5275" customFormat="false" ht="15" hidden="false" customHeight="false" outlineLevel="0" collapsed="false">
      <c r="D5275" s="0" t="s">
        <v>132</v>
      </c>
      <c r="E5275" s="0" t="s">
        <v>133</v>
      </c>
      <c r="F5275" s="0" t="s">
        <v>134</v>
      </c>
      <c r="G5275" s="0" t="s">
        <v>165</v>
      </c>
      <c r="H5275" s="0" t="s">
        <v>166</v>
      </c>
      <c r="I5275" s="0" t="s">
        <v>36</v>
      </c>
      <c r="J5275" s="0" t="s">
        <v>37</v>
      </c>
      <c r="K5275" s="0" t="s">
        <v>48</v>
      </c>
      <c r="L5275" s="0" t="s">
        <v>49</v>
      </c>
      <c r="M5275" s="0" t="s">
        <v>167</v>
      </c>
      <c r="N5275" s="0" t="n">
        <v>1260</v>
      </c>
      <c r="O5275" s="10" t="n">
        <v>0.795205064117908</v>
      </c>
      <c r="P5275" s="10" t="n">
        <v>0.162863194011152</v>
      </c>
      <c r="Q5275" s="0" t="str">
        <f aca="false">SUBSTITUTE(SUBSTITUTE($I5275,CHAR(61),""),CHAR(34),"")</f>
        <v>10-14</v>
      </c>
      <c r="R5275" s="0" t="str">
        <f aca="false">IF($D5275&lt;&gt;"","["&amp;$E5275&amp;"]"&amp;"|"&amp;$Q5275&amp;"|"&amp;$K5275&amp;"|"&amp;$G5275&amp;"|"&amp;IF($G5275="TX_CURR_SUBNAT.R","CY2022Q4",$M5275),"")</f>
        <v>[JQKLKuVuY61]|10-14|Male|PLHIV_Residents.T|CY2024Q3</v>
      </c>
    </row>
    <row r="5276" customFormat="false" ht="15" hidden="false" customHeight="false" outlineLevel="0" collapsed="false">
      <c r="D5276" s="0" t="s">
        <v>132</v>
      </c>
      <c r="E5276" s="0" t="s">
        <v>133</v>
      </c>
      <c r="F5276" s="0" t="s">
        <v>134</v>
      </c>
      <c r="G5276" s="0" t="s">
        <v>165</v>
      </c>
      <c r="H5276" s="0" t="s">
        <v>166</v>
      </c>
      <c r="I5276" s="0" t="s">
        <v>38</v>
      </c>
      <c r="J5276" s="0" t="s">
        <v>39</v>
      </c>
      <c r="K5276" s="0" t="s">
        <v>48</v>
      </c>
      <c r="L5276" s="0" t="s">
        <v>49</v>
      </c>
      <c r="M5276" s="0" t="s">
        <v>167</v>
      </c>
      <c r="N5276" s="0" t="n">
        <v>632</v>
      </c>
      <c r="O5276" s="10" t="n">
        <v>0.604462343035266</v>
      </c>
      <c r="P5276" s="10" t="n">
        <v>0.162863194011152</v>
      </c>
      <c r="Q5276" s="0" t="str">
        <f aca="false">SUBSTITUTE(SUBSTITUTE($I5276,CHAR(61),""),CHAR(34),"")</f>
        <v>15-24</v>
      </c>
      <c r="R5276" s="0" t="str">
        <f aca="false">IF($D5276&lt;&gt;"","["&amp;$E5276&amp;"]"&amp;"|"&amp;$Q5276&amp;"|"&amp;$K5276&amp;"|"&amp;$G5276&amp;"|"&amp;IF($G5276="TX_CURR_SUBNAT.R","CY2022Q4",$M5276),"")</f>
        <v>[JQKLKuVuY61]|15-24|Male|PLHIV_Residents.T|CY2024Q3</v>
      </c>
    </row>
    <row r="5277" customFormat="false" ht="15" hidden="false" customHeight="false" outlineLevel="0" collapsed="false">
      <c r="D5277" s="0" t="s">
        <v>132</v>
      </c>
      <c r="E5277" s="0" t="s">
        <v>133</v>
      </c>
      <c r="F5277" s="0" t="s">
        <v>134</v>
      </c>
      <c r="G5277" s="0" t="s">
        <v>165</v>
      </c>
      <c r="H5277" s="0" t="s">
        <v>166</v>
      </c>
      <c r="I5277" s="0" t="s">
        <v>41</v>
      </c>
      <c r="J5277" s="0" t="s">
        <v>42</v>
      </c>
      <c r="K5277" s="0" t="s">
        <v>48</v>
      </c>
      <c r="L5277" s="0" t="s">
        <v>49</v>
      </c>
      <c r="M5277" s="0" t="s">
        <v>167</v>
      </c>
      <c r="N5277" s="0" t="n">
        <v>1404</v>
      </c>
      <c r="O5277" s="10" t="n">
        <v>0.861616300418973</v>
      </c>
      <c r="P5277" s="10" t="n">
        <v>0.162863194011152</v>
      </c>
      <c r="Q5277" s="0" t="str">
        <f aca="false">SUBSTITUTE(SUBSTITUTE($I5277,CHAR(61),""),CHAR(34),"")</f>
        <v>25-34</v>
      </c>
      <c r="R5277" s="0" t="str">
        <f aca="false">IF($D5277&lt;&gt;"","["&amp;$E5277&amp;"]"&amp;"|"&amp;$Q5277&amp;"|"&amp;$K5277&amp;"|"&amp;$G5277&amp;"|"&amp;IF($G5277="TX_CURR_SUBNAT.R","CY2022Q4",$M5277),"")</f>
        <v>[JQKLKuVuY61]|25-34|Male|PLHIV_Residents.T|CY2024Q3</v>
      </c>
    </row>
    <row r="5278" customFormat="false" ht="15" hidden="false" customHeight="false" outlineLevel="0" collapsed="false">
      <c r="D5278" s="0" t="s">
        <v>132</v>
      </c>
      <c r="E5278" s="0" t="s">
        <v>133</v>
      </c>
      <c r="F5278" s="0" t="s">
        <v>134</v>
      </c>
      <c r="G5278" s="0" t="s">
        <v>165</v>
      </c>
      <c r="H5278" s="0" t="s">
        <v>166</v>
      </c>
      <c r="I5278" s="0" t="s">
        <v>43</v>
      </c>
      <c r="J5278" s="0" t="s">
        <v>44</v>
      </c>
      <c r="K5278" s="0" t="s">
        <v>48</v>
      </c>
      <c r="L5278" s="0" t="s">
        <v>49</v>
      </c>
      <c r="M5278" s="0" t="s">
        <v>167</v>
      </c>
      <c r="N5278" s="0" t="n">
        <v>831</v>
      </c>
      <c r="O5278" s="10" t="n">
        <v>0.0524961051996797</v>
      </c>
      <c r="P5278" s="10" t="n">
        <v>0.162863194011152</v>
      </c>
      <c r="Q5278" s="0" t="str">
        <f aca="false">SUBSTITUTE(SUBSTITUTE($I5278,CHAR(61),""),CHAR(34),"")</f>
        <v>35-49</v>
      </c>
      <c r="R5278" s="0" t="str">
        <f aca="false">IF($D5278&lt;&gt;"","["&amp;$E5278&amp;"]"&amp;"|"&amp;$Q5278&amp;"|"&amp;$K5278&amp;"|"&amp;$G5278&amp;"|"&amp;IF($G5278="TX_CURR_SUBNAT.R","CY2022Q4",$M5278),"")</f>
        <v>[JQKLKuVuY61]|35-49|Male|PLHIV_Residents.T|CY2024Q3</v>
      </c>
    </row>
    <row r="5279" customFormat="false" ht="15" hidden="false" customHeight="false" outlineLevel="0" collapsed="false">
      <c r="D5279" s="0" t="s">
        <v>132</v>
      </c>
      <c r="E5279" s="0" t="s">
        <v>133</v>
      </c>
      <c r="F5279" s="0" t="s">
        <v>134</v>
      </c>
      <c r="G5279" s="0" t="s">
        <v>165</v>
      </c>
      <c r="H5279" s="0" t="s">
        <v>166</v>
      </c>
      <c r="I5279" s="0" t="s">
        <v>45</v>
      </c>
      <c r="J5279" s="0" t="s">
        <v>46</v>
      </c>
      <c r="K5279" s="0" t="s">
        <v>48</v>
      </c>
      <c r="L5279" s="0" t="s">
        <v>49</v>
      </c>
      <c r="M5279" s="0" t="s">
        <v>167</v>
      </c>
      <c r="N5279" s="0" t="n">
        <v>1854</v>
      </c>
      <c r="O5279" s="10" t="n">
        <v>0.793781056068838</v>
      </c>
      <c r="P5279" s="10" t="n">
        <v>0.162863194011152</v>
      </c>
      <c r="Q5279" s="0" t="str">
        <f aca="false">SUBSTITUTE(SUBSTITUTE($I5279,CHAR(61),""),CHAR(34),"")</f>
        <v>50+</v>
      </c>
      <c r="R5279" s="0" t="str">
        <f aca="false">IF($D5279&lt;&gt;"","["&amp;$E5279&amp;"]"&amp;"|"&amp;$Q5279&amp;"|"&amp;$K5279&amp;"|"&amp;$G5279&amp;"|"&amp;IF($G5279="TX_CURR_SUBNAT.R","CY2022Q4",$M5279),"")</f>
        <v>[JQKLKuVuY61]|50+|Male|PLHIV_Residents.T|CY2024Q3</v>
      </c>
    </row>
    <row r="5280" customFormat="false" ht="15" hidden="false" customHeight="false" outlineLevel="0" collapsed="false">
      <c r="D5280" s="0" t="s">
        <v>135</v>
      </c>
      <c r="E5280" s="0" t="s">
        <v>136</v>
      </c>
      <c r="F5280" s="0" t="s">
        <v>137</v>
      </c>
      <c r="G5280" s="0" t="s">
        <v>165</v>
      </c>
      <c r="H5280" s="0" t="s">
        <v>166</v>
      </c>
      <c r="I5280" s="0" t="s">
        <v>28</v>
      </c>
      <c r="J5280" s="0" t="s">
        <v>29</v>
      </c>
      <c r="K5280" s="0" t="s">
        <v>30</v>
      </c>
      <c r="L5280" s="0" t="s">
        <v>31</v>
      </c>
      <c r="M5280" s="0" t="s">
        <v>167</v>
      </c>
      <c r="N5280" s="0" t="n">
        <v>1469</v>
      </c>
      <c r="O5280" s="10" t="n">
        <v>0.905201842542738</v>
      </c>
      <c r="P5280" s="10" t="n">
        <v>0.955300528323278</v>
      </c>
      <c r="Q5280" s="0" t="str">
        <f aca="false">SUBSTITUTE(SUBSTITUTE($I5280,CHAR(61),""),CHAR(34),"")</f>
        <v>&lt;01</v>
      </c>
      <c r="R5280" s="0" t="str">
        <f aca="false">IF($D5280&lt;&gt;"","["&amp;$E5280&amp;"]"&amp;"|"&amp;$Q5280&amp;"|"&amp;$K5280&amp;"|"&amp;$G5280&amp;"|"&amp;IF($G5280="TX_CURR_SUBNAT.R","CY2022Q4",$M5280),"")</f>
        <v>[fiRkU6gEjLz]|&lt;01|Female|PLHIV_Residents.T|CY2024Q3</v>
      </c>
    </row>
    <row r="5281" customFormat="false" ht="15" hidden="false" customHeight="false" outlineLevel="0" collapsed="false">
      <c r="D5281" s="0" t="s">
        <v>135</v>
      </c>
      <c r="E5281" s="0" t="s">
        <v>136</v>
      </c>
      <c r="F5281" s="0" t="s">
        <v>137</v>
      </c>
      <c r="G5281" s="0" t="s">
        <v>165</v>
      </c>
      <c r="H5281" s="0" t="s">
        <v>166</v>
      </c>
      <c r="I5281" s="0" t="s">
        <v>33</v>
      </c>
      <c r="J5281" s="0" t="s">
        <v>34</v>
      </c>
      <c r="K5281" s="0" t="s">
        <v>30</v>
      </c>
      <c r="L5281" s="0" t="s">
        <v>31</v>
      </c>
      <c r="M5281" s="0" t="s">
        <v>167</v>
      </c>
      <c r="N5281" s="0" t="n">
        <v>982</v>
      </c>
      <c r="O5281" s="10" t="n">
        <v>0.8662450669799</v>
      </c>
      <c r="P5281" s="10" t="n">
        <v>0.955300528323278</v>
      </c>
      <c r="Q5281" s="0" t="str">
        <f aca="false">SUBSTITUTE(SUBSTITUTE($I5281,CHAR(61),""),CHAR(34),"")</f>
        <v>01-09</v>
      </c>
      <c r="R5281" s="0" t="str">
        <f aca="false">IF($D5281&lt;&gt;"","["&amp;$E5281&amp;"]"&amp;"|"&amp;$Q5281&amp;"|"&amp;$K5281&amp;"|"&amp;$G5281&amp;"|"&amp;IF($G5281="TX_CURR_SUBNAT.R","CY2022Q4",$M5281),"")</f>
        <v>[fiRkU6gEjLz]|01-09|Female|PLHIV_Residents.T|CY2024Q3</v>
      </c>
    </row>
    <row r="5282" customFormat="false" ht="15" hidden="false" customHeight="false" outlineLevel="0" collapsed="false">
      <c r="D5282" s="0" t="s">
        <v>135</v>
      </c>
      <c r="E5282" s="0" t="s">
        <v>136</v>
      </c>
      <c r="F5282" s="0" t="s">
        <v>137</v>
      </c>
      <c r="G5282" s="0" t="s">
        <v>165</v>
      </c>
      <c r="H5282" s="0" t="s">
        <v>166</v>
      </c>
      <c r="I5282" s="0" t="s">
        <v>36</v>
      </c>
      <c r="J5282" s="0" t="s">
        <v>37</v>
      </c>
      <c r="K5282" s="0" t="s">
        <v>30</v>
      </c>
      <c r="L5282" s="0" t="s">
        <v>31</v>
      </c>
      <c r="M5282" s="0" t="s">
        <v>167</v>
      </c>
      <c r="N5282" s="0" t="n">
        <v>1754</v>
      </c>
      <c r="O5282" s="10" t="n">
        <v>0.784515779931098</v>
      </c>
      <c r="P5282" s="10" t="n">
        <v>0.955300528323278</v>
      </c>
      <c r="Q5282" s="0" t="str">
        <f aca="false">SUBSTITUTE(SUBSTITUTE($I5282,CHAR(61),""),CHAR(34),"")</f>
        <v>10-14</v>
      </c>
      <c r="R5282" s="0" t="str">
        <f aca="false">IF($D5282&lt;&gt;"","["&amp;$E5282&amp;"]"&amp;"|"&amp;$Q5282&amp;"|"&amp;$K5282&amp;"|"&amp;$G5282&amp;"|"&amp;IF($G5282="TX_CURR_SUBNAT.R","CY2022Q4",$M5282),"")</f>
        <v>[fiRkU6gEjLz]|10-14|Female|PLHIV_Residents.T|CY2024Q3</v>
      </c>
    </row>
    <row r="5283" customFormat="false" ht="15" hidden="false" customHeight="false" outlineLevel="0" collapsed="false">
      <c r="D5283" s="0" t="s">
        <v>135</v>
      </c>
      <c r="E5283" s="0" t="s">
        <v>136</v>
      </c>
      <c r="F5283" s="0" t="s">
        <v>137</v>
      </c>
      <c r="G5283" s="0" t="s">
        <v>165</v>
      </c>
      <c r="H5283" s="0" t="s">
        <v>166</v>
      </c>
      <c r="I5283" s="0" t="s">
        <v>38</v>
      </c>
      <c r="J5283" s="0" t="s">
        <v>39</v>
      </c>
      <c r="K5283" s="0" t="s">
        <v>30</v>
      </c>
      <c r="L5283" s="0" t="s">
        <v>31</v>
      </c>
      <c r="M5283" s="0" t="s">
        <v>167</v>
      </c>
      <c r="N5283" s="0" t="n">
        <v>1022</v>
      </c>
      <c r="O5283" s="10" t="n">
        <v>0.818700520088896</v>
      </c>
      <c r="P5283" s="10" t="n">
        <v>0.955300528323278</v>
      </c>
      <c r="Q5283" s="0" t="str">
        <f aca="false">SUBSTITUTE(SUBSTITUTE($I5283,CHAR(61),""),CHAR(34),"")</f>
        <v>15-24</v>
      </c>
      <c r="R5283" s="0" t="str">
        <f aca="false">IF($D5283&lt;&gt;"","["&amp;$E5283&amp;"]"&amp;"|"&amp;$Q5283&amp;"|"&amp;$K5283&amp;"|"&amp;$G5283&amp;"|"&amp;IF($G5283="TX_CURR_SUBNAT.R","CY2022Q4",$M5283),"")</f>
        <v>[fiRkU6gEjLz]|15-24|Female|PLHIV_Residents.T|CY2024Q3</v>
      </c>
    </row>
    <row r="5284" customFormat="false" ht="15" hidden="false" customHeight="false" outlineLevel="0" collapsed="false">
      <c r="D5284" s="0" t="s">
        <v>135</v>
      </c>
      <c r="E5284" s="0" t="s">
        <v>136</v>
      </c>
      <c r="F5284" s="0" t="s">
        <v>137</v>
      </c>
      <c r="G5284" s="0" t="s">
        <v>165</v>
      </c>
      <c r="H5284" s="0" t="s">
        <v>166</v>
      </c>
      <c r="I5284" s="0" t="s">
        <v>41</v>
      </c>
      <c r="J5284" s="0" t="s">
        <v>42</v>
      </c>
      <c r="K5284" s="0" t="s">
        <v>30</v>
      </c>
      <c r="L5284" s="0" t="s">
        <v>31</v>
      </c>
      <c r="M5284" s="0" t="s">
        <v>167</v>
      </c>
      <c r="N5284" s="0" t="n">
        <v>905</v>
      </c>
      <c r="O5284" s="10" t="n">
        <v>0.160359261091799</v>
      </c>
      <c r="P5284" s="10" t="n">
        <v>0.955300528323278</v>
      </c>
      <c r="Q5284" s="0" t="str">
        <f aca="false">SUBSTITUTE(SUBSTITUTE($I5284,CHAR(61),""),CHAR(34),"")</f>
        <v>25-34</v>
      </c>
      <c r="R5284" s="0" t="str">
        <f aca="false">IF($D5284&lt;&gt;"","["&amp;$E5284&amp;"]"&amp;"|"&amp;$Q5284&amp;"|"&amp;$K5284&amp;"|"&amp;$G5284&amp;"|"&amp;IF($G5284="TX_CURR_SUBNAT.R","CY2022Q4",$M5284),"")</f>
        <v>[fiRkU6gEjLz]|25-34|Female|PLHIV_Residents.T|CY2024Q3</v>
      </c>
    </row>
    <row r="5285" customFormat="false" ht="15" hidden="false" customHeight="false" outlineLevel="0" collapsed="false">
      <c r="D5285" s="0" t="s">
        <v>135</v>
      </c>
      <c r="E5285" s="0" t="s">
        <v>136</v>
      </c>
      <c r="F5285" s="0" t="s">
        <v>137</v>
      </c>
      <c r="G5285" s="0" t="s">
        <v>165</v>
      </c>
      <c r="H5285" s="0" t="s">
        <v>166</v>
      </c>
      <c r="I5285" s="0" t="s">
        <v>43</v>
      </c>
      <c r="J5285" s="0" t="s">
        <v>44</v>
      </c>
      <c r="K5285" s="0" t="s">
        <v>30</v>
      </c>
      <c r="L5285" s="0" t="s">
        <v>31</v>
      </c>
      <c r="M5285" s="0" t="s">
        <v>167</v>
      </c>
      <c r="N5285" s="0" t="n">
        <v>714</v>
      </c>
      <c r="O5285" s="10" t="n">
        <v>0.354726483346894</v>
      </c>
      <c r="P5285" s="10" t="n">
        <v>0.955300528323278</v>
      </c>
      <c r="Q5285" s="0" t="str">
        <f aca="false">SUBSTITUTE(SUBSTITUTE($I5285,CHAR(61),""),CHAR(34),"")</f>
        <v>35-49</v>
      </c>
      <c r="R5285" s="0" t="str">
        <f aca="false">IF($D5285&lt;&gt;"","["&amp;$E5285&amp;"]"&amp;"|"&amp;$Q5285&amp;"|"&amp;$K5285&amp;"|"&amp;$G5285&amp;"|"&amp;IF($G5285="TX_CURR_SUBNAT.R","CY2022Q4",$M5285),"")</f>
        <v>[fiRkU6gEjLz]|35-49|Female|PLHIV_Residents.T|CY2024Q3</v>
      </c>
    </row>
    <row r="5286" customFormat="false" ht="15" hidden="false" customHeight="false" outlineLevel="0" collapsed="false">
      <c r="D5286" s="0" t="s">
        <v>135</v>
      </c>
      <c r="E5286" s="0" t="s">
        <v>136</v>
      </c>
      <c r="F5286" s="0" t="s">
        <v>137</v>
      </c>
      <c r="G5286" s="0" t="s">
        <v>165</v>
      </c>
      <c r="H5286" s="0" t="s">
        <v>166</v>
      </c>
      <c r="I5286" s="0" t="s">
        <v>45</v>
      </c>
      <c r="J5286" s="0" t="s">
        <v>46</v>
      </c>
      <c r="K5286" s="0" t="s">
        <v>30</v>
      </c>
      <c r="L5286" s="0" t="s">
        <v>31</v>
      </c>
      <c r="M5286" s="0" t="s">
        <v>167</v>
      </c>
      <c r="N5286" s="0" t="n">
        <v>1991</v>
      </c>
      <c r="O5286" s="10" t="n">
        <v>0.594806446228176</v>
      </c>
      <c r="P5286" s="10" t="n">
        <v>0.955300528323278</v>
      </c>
      <c r="Q5286" s="0" t="str">
        <f aca="false">SUBSTITUTE(SUBSTITUTE($I5286,CHAR(61),""),CHAR(34),"")</f>
        <v>50+</v>
      </c>
      <c r="R5286" s="0" t="str">
        <f aca="false">IF($D5286&lt;&gt;"","["&amp;$E5286&amp;"]"&amp;"|"&amp;$Q5286&amp;"|"&amp;$K5286&amp;"|"&amp;$G5286&amp;"|"&amp;IF($G5286="TX_CURR_SUBNAT.R","CY2022Q4",$M5286),"")</f>
        <v>[fiRkU6gEjLz]|50+|Female|PLHIV_Residents.T|CY2024Q3</v>
      </c>
    </row>
    <row r="5287" customFormat="false" ht="15" hidden="false" customHeight="false" outlineLevel="0" collapsed="false">
      <c r="D5287" s="0" t="s">
        <v>135</v>
      </c>
      <c r="E5287" s="0" t="s">
        <v>136</v>
      </c>
      <c r="F5287" s="0" t="s">
        <v>137</v>
      </c>
      <c r="G5287" s="0" t="s">
        <v>165</v>
      </c>
      <c r="H5287" s="0" t="s">
        <v>166</v>
      </c>
      <c r="I5287" s="0" t="s">
        <v>28</v>
      </c>
      <c r="J5287" s="0" t="s">
        <v>29</v>
      </c>
      <c r="K5287" s="0" t="s">
        <v>48</v>
      </c>
      <c r="L5287" s="0" t="s">
        <v>49</v>
      </c>
      <c r="M5287" s="0" t="s">
        <v>167</v>
      </c>
      <c r="N5287" s="0" t="n">
        <v>1292</v>
      </c>
      <c r="O5287" s="10" t="n">
        <v>0.199702383717522</v>
      </c>
      <c r="P5287" s="10" t="n">
        <v>0.955300528323278</v>
      </c>
      <c r="Q5287" s="0" t="str">
        <f aca="false">SUBSTITUTE(SUBSTITUTE($I5287,CHAR(61),""),CHAR(34),"")</f>
        <v>&lt;01</v>
      </c>
      <c r="R5287" s="0" t="str">
        <f aca="false">IF($D5287&lt;&gt;"","["&amp;$E5287&amp;"]"&amp;"|"&amp;$Q5287&amp;"|"&amp;$K5287&amp;"|"&amp;$G5287&amp;"|"&amp;IF($G5287="TX_CURR_SUBNAT.R","CY2022Q4",$M5287),"")</f>
        <v>[fiRkU6gEjLz]|&lt;01|Male|PLHIV_Residents.T|CY2024Q3</v>
      </c>
    </row>
    <row r="5288" customFormat="false" ht="15" hidden="false" customHeight="false" outlineLevel="0" collapsed="false">
      <c r="D5288" s="0" t="s">
        <v>135</v>
      </c>
      <c r="E5288" s="0" t="s">
        <v>136</v>
      </c>
      <c r="F5288" s="0" t="s">
        <v>137</v>
      </c>
      <c r="G5288" s="0" t="s">
        <v>165</v>
      </c>
      <c r="H5288" s="0" t="s">
        <v>166</v>
      </c>
      <c r="I5288" s="0" t="s">
        <v>33</v>
      </c>
      <c r="J5288" s="0" t="s">
        <v>34</v>
      </c>
      <c r="K5288" s="0" t="s">
        <v>48</v>
      </c>
      <c r="L5288" s="0" t="s">
        <v>49</v>
      </c>
      <c r="M5288" s="0" t="s">
        <v>167</v>
      </c>
      <c r="N5288" s="0" t="n">
        <v>1611</v>
      </c>
      <c r="O5288" s="10" t="n">
        <v>0.265794466948137</v>
      </c>
      <c r="P5288" s="10" t="n">
        <v>0.955300528323278</v>
      </c>
      <c r="Q5288" s="0" t="str">
        <f aca="false">SUBSTITUTE(SUBSTITUTE($I5288,CHAR(61),""),CHAR(34),"")</f>
        <v>01-09</v>
      </c>
      <c r="R5288" s="0" t="str">
        <f aca="false">IF($D5288&lt;&gt;"","["&amp;$E5288&amp;"]"&amp;"|"&amp;$Q5288&amp;"|"&amp;$K5288&amp;"|"&amp;$G5288&amp;"|"&amp;IF($G5288="TX_CURR_SUBNAT.R","CY2022Q4",$M5288),"")</f>
        <v>[fiRkU6gEjLz]|01-09|Male|PLHIV_Residents.T|CY2024Q3</v>
      </c>
    </row>
    <row r="5289" customFormat="false" ht="15" hidden="false" customHeight="false" outlineLevel="0" collapsed="false">
      <c r="D5289" s="0" t="s">
        <v>135</v>
      </c>
      <c r="E5289" s="0" t="s">
        <v>136</v>
      </c>
      <c r="F5289" s="0" t="s">
        <v>137</v>
      </c>
      <c r="G5289" s="0" t="s">
        <v>165</v>
      </c>
      <c r="H5289" s="0" t="s">
        <v>166</v>
      </c>
      <c r="I5289" s="0" t="s">
        <v>36</v>
      </c>
      <c r="J5289" s="0" t="s">
        <v>37</v>
      </c>
      <c r="K5289" s="0" t="s">
        <v>48</v>
      </c>
      <c r="L5289" s="0" t="s">
        <v>49</v>
      </c>
      <c r="M5289" s="0" t="s">
        <v>167</v>
      </c>
      <c r="N5289" s="0" t="n">
        <v>825</v>
      </c>
      <c r="O5289" s="10" t="n">
        <v>0.277827811893076</v>
      </c>
      <c r="P5289" s="10" t="n">
        <v>0.955300528323278</v>
      </c>
      <c r="Q5289" s="0" t="str">
        <f aca="false">SUBSTITUTE(SUBSTITUTE($I5289,CHAR(61),""),CHAR(34),"")</f>
        <v>10-14</v>
      </c>
      <c r="R5289" s="0" t="str">
        <f aca="false">IF($D5289&lt;&gt;"","["&amp;$E5289&amp;"]"&amp;"|"&amp;$Q5289&amp;"|"&amp;$K5289&amp;"|"&amp;$G5289&amp;"|"&amp;IF($G5289="TX_CURR_SUBNAT.R","CY2022Q4",$M5289),"")</f>
        <v>[fiRkU6gEjLz]|10-14|Male|PLHIV_Residents.T|CY2024Q3</v>
      </c>
    </row>
    <row r="5290" customFormat="false" ht="15" hidden="false" customHeight="false" outlineLevel="0" collapsed="false">
      <c r="D5290" s="0" t="s">
        <v>135</v>
      </c>
      <c r="E5290" s="0" t="s">
        <v>136</v>
      </c>
      <c r="F5290" s="0" t="s">
        <v>137</v>
      </c>
      <c r="G5290" s="0" t="s">
        <v>165</v>
      </c>
      <c r="H5290" s="0" t="s">
        <v>166</v>
      </c>
      <c r="I5290" s="0" t="s">
        <v>38</v>
      </c>
      <c r="J5290" s="0" t="s">
        <v>39</v>
      </c>
      <c r="K5290" s="0" t="s">
        <v>48</v>
      </c>
      <c r="L5290" s="0" t="s">
        <v>49</v>
      </c>
      <c r="M5290" s="0" t="s">
        <v>167</v>
      </c>
      <c r="N5290" s="0" t="n">
        <v>1770</v>
      </c>
      <c r="O5290" s="10" t="n">
        <v>0.50778831448406</v>
      </c>
      <c r="P5290" s="10" t="n">
        <v>0.955300528323278</v>
      </c>
      <c r="Q5290" s="0" t="str">
        <f aca="false">SUBSTITUTE(SUBSTITUTE($I5290,CHAR(61),""),CHAR(34),"")</f>
        <v>15-24</v>
      </c>
      <c r="R5290" s="0" t="str">
        <f aca="false">IF($D5290&lt;&gt;"","["&amp;$E5290&amp;"]"&amp;"|"&amp;$Q5290&amp;"|"&amp;$K5290&amp;"|"&amp;$G5290&amp;"|"&amp;IF($G5290="TX_CURR_SUBNAT.R","CY2022Q4",$M5290),"")</f>
        <v>[fiRkU6gEjLz]|15-24|Male|PLHIV_Residents.T|CY2024Q3</v>
      </c>
    </row>
    <row r="5291" customFormat="false" ht="15" hidden="false" customHeight="false" outlineLevel="0" collapsed="false">
      <c r="D5291" s="0" t="s">
        <v>135</v>
      </c>
      <c r="E5291" s="0" t="s">
        <v>136</v>
      </c>
      <c r="F5291" s="0" t="s">
        <v>137</v>
      </c>
      <c r="G5291" s="0" t="s">
        <v>165</v>
      </c>
      <c r="H5291" s="0" t="s">
        <v>166</v>
      </c>
      <c r="I5291" s="0" t="s">
        <v>41</v>
      </c>
      <c r="J5291" s="0" t="s">
        <v>42</v>
      </c>
      <c r="K5291" s="0" t="s">
        <v>48</v>
      </c>
      <c r="L5291" s="0" t="s">
        <v>49</v>
      </c>
      <c r="M5291" s="0" t="s">
        <v>167</v>
      </c>
      <c r="N5291" s="0" t="n">
        <v>1870</v>
      </c>
      <c r="O5291" s="10" t="n">
        <v>0.718464850680903</v>
      </c>
      <c r="P5291" s="10" t="n">
        <v>0.955300528323278</v>
      </c>
      <c r="Q5291" s="0" t="str">
        <f aca="false">SUBSTITUTE(SUBSTITUTE($I5291,CHAR(61),""),CHAR(34),"")</f>
        <v>25-34</v>
      </c>
      <c r="R5291" s="0" t="str">
        <f aca="false">IF($D5291&lt;&gt;"","["&amp;$E5291&amp;"]"&amp;"|"&amp;$Q5291&amp;"|"&amp;$K5291&amp;"|"&amp;$G5291&amp;"|"&amp;IF($G5291="TX_CURR_SUBNAT.R","CY2022Q4",$M5291),"")</f>
        <v>[fiRkU6gEjLz]|25-34|Male|PLHIV_Residents.T|CY2024Q3</v>
      </c>
    </row>
    <row r="5292" customFormat="false" ht="15" hidden="false" customHeight="false" outlineLevel="0" collapsed="false">
      <c r="D5292" s="0" t="s">
        <v>135</v>
      </c>
      <c r="E5292" s="0" t="s">
        <v>136</v>
      </c>
      <c r="F5292" s="0" t="s">
        <v>137</v>
      </c>
      <c r="G5292" s="0" t="s">
        <v>165</v>
      </c>
      <c r="H5292" s="0" t="s">
        <v>166</v>
      </c>
      <c r="I5292" s="0" t="s">
        <v>43</v>
      </c>
      <c r="J5292" s="0" t="s">
        <v>44</v>
      </c>
      <c r="K5292" s="0" t="s">
        <v>48</v>
      </c>
      <c r="L5292" s="0" t="s">
        <v>49</v>
      </c>
      <c r="M5292" s="0" t="s">
        <v>167</v>
      </c>
      <c r="N5292" s="0" t="n">
        <v>955</v>
      </c>
      <c r="O5292" s="10" t="n">
        <v>0.21051803836599</v>
      </c>
      <c r="P5292" s="10" t="n">
        <v>0.955300528323278</v>
      </c>
      <c r="Q5292" s="0" t="str">
        <f aca="false">SUBSTITUTE(SUBSTITUTE($I5292,CHAR(61),""),CHAR(34),"")</f>
        <v>35-49</v>
      </c>
      <c r="R5292" s="0" t="str">
        <f aca="false">IF($D5292&lt;&gt;"","["&amp;$E5292&amp;"]"&amp;"|"&amp;$Q5292&amp;"|"&amp;$K5292&amp;"|"&amp;$G5292&amp;"|"&amp;IF($G5292="TX_CURR_SUBNAT.R","CY2022Q4",$M5292),"")</f>
        <v>[fiRkU6gEjLz]|35-49|Male|PLHIV_Residents.T|CY2024Q3</v>
      </c>
    </row>
    <row r="5293" customFormat="false" ht="15" hidden="false" customHeight="false" outlineLevel="0" collapsed="false">
      <c r="D5293" s="0" t="s">
        <v>135</v>
      </c>
      <c r="E5293" s="0" t="s">
        <v>136</v>
      </c>
      <c r="F5293" s="0" t="s">
        <v>137</v>
      </c>
      <c r="G5293" s="0" t="s">
        <v>165</v>
      </c>
      <c r="H5293" s="0" t="s">
        <v>166</v>
      </c>
      <c r="I5293" s="0" t="s">
        <v>45</v>
      </c>
      <c r="J5293" s="0" t="s">
        <v>46</v>
      </c>
      <c r="K5293" s="0" t="s">
        <v>48</v>
      </c>
      <c r="L5293" s="0" t="s">
        <v>49</v>
      </c>
      <c r="M5293" s="0" t="s">
        <v>167</v>
      </c>
      <c r="N5293" s="0" t="n">
        <v>525</v>
      </c>
      <c r="O5293" s="10" t="n">
        <v>0.607641005190089</v>
      </c>
      <c r="P5293" s="10" t="n">
        <v>0.955300528323278</v>
      </c>
      <c r="Q5293" s="0" t="str">
        <f aca="false">SUBSTITUTE(SUBSTITUTE($I5293,CHAR(61),""),CHAR(34),"")</f>
        <v>50+</v>
      </c>
      <c r="R5293" s="0" t="str">
        <f aca="false">IF($D5293&lt;&gt;"","["&amp;$E5293&amp;"]"&amp;"|"&amp;$Q5293&amp;"|"&amp;$K5293&amp;"|"&amp;$G5293&amp;"|"&amp;IF($G5293="TX_CURR_SUBNAT.R","CY2022Q4",$M5293),"")</f>
        <v>[fiRkU6gEjLz]|50+|Male|PLHIV_Residents.T|CY2024Q3</v>
      </c>
    </row>
    <row r="5294" customFormat="false" ht="15" hidden="false" customHeight="false" outlineLevel="0" collapsed="false">
      <c r="D5294" s="0" t="s">
        <v>23</v>
      </c>
      <c r="E5294" s="0" t="s">
        <v>24</v>
      </c>
      <c r="F5294" s="0" t="s">
        <v>25</v>
      </c>
      <c r="G5294" s="0" t="s">
        <v>168</v>
      </c>
      <c r="H5294" s="0" t="s">
        <v>168</v>
      </c>
      <c r="I5294" s="0" t="s">
        <v>28</v>
      </c>
      <c r="J5294" s="0" t="s">
        <v>29</v>
      </c>
      <c r="K5294" s="0" t="s">
        <v>30</v>
      </c>
      <c r="L5294" s="0" t="s">
        <v>31</v>
      </c>
      <c r="M5294" s="0" t="s">
        <v>167</v>
      </c>
      <c r="N5294" s="0" t="n">
        <v>1995</v>
      </c>
      <c r="O5294" s="10" t="n">
        <v>0.0800503399223089</v>
      </c>
      <c r="P5294" s="10" t="n">
        <v>0.404358610976487</v>
      </c>
      <c r="Q5294" s="0" t="str">
        <f aca="false">SUBSTITUTE(SUBSTITUTE($I5294,CHAR(61),""),CHAR(34),"")</f>
        <v>&lt;01</v>
      </c>
      <c r="R5294" s="0" t="str">
        <f aca="false">IF($D5294&lt;&gt;"","["&amp;$E5294&amp;"]"&amp;"|"&amp;$Q5294&amp;"|"&amp;$K5294&amp;"|"&amp;$G5294&amp;"|"&amp;IF($G5294="TX_CURR_SUBNAT.R","CY2022Q4",$M5294),"")</f>
        <v>[GkIwZrXy1h2]|&lt;01|Female|PLHIV_Attend.T|CY2024Q3</v>
      </c>
    </row>
    <row r="5295" customFormat="false" ht="15" hidden="false" customHeight="false" outlineLevel="0" collapsed="false">
      <c r="D5295" s="0" t="s">
        <v>23</v>
      </c>
      <c r="E5295" s="0" t="s">
        <v>24</v>
      </c>
      <c r="F5295" s="0" t="s">
        <v>25</v>
      </c>
      <c r="G5295" s="0" t="s">
        <v>168</v>
      </c>
      <c r="H5295" s="0" t="s">
        <v>168</v>
      </c>
      <c r="I5295" s="0" t="s">
        <v>33</v>
      </c>
      <c r="J5295" s="0" t="s">
        <v>34</v>
      </c>
      <c r="K5295" s="0" t="s">
        <v>30</v>
      </c>
      <c r="L5295" s="0" t="s">
        <v>31</v>
      </c>
      <c r="M5295" s="0" t="s">
        <v>167</v>
      </c>
      <c r="N5295" s="0" t="n">
        <v>1392</v>
      </c>
      <c r="O5295" s="10" t="n">
        <v>0.89083078247495</v>
      </c>
      <c r="P5295" s="10" t="n">
        <v>0.404358610976487</v>
      </c>
      <c r="Q5295" s="0" t="str">
        <f aca="false">SUBSTITUTE(SUBSTITUTE($I5295,CHAR(61),""),CHAR(34),"")</f>
        <v>01-09</v>
      </c>
      <c r="R5295" s="0" t="str">
        <f aca="false">IF($D5295&lt;&gt;"","["&amp;$E5295&amp;"]"&amp;"|"&amp;$Q5295&amp;"|"&amp;$K5295&amp;"|"&amp;$G5295&amp;"|"&amp;IF($G5295="TX_CURR_SUBNAT.R","CY2022Q4",$M5295),"")</f>
        <v>[GkIwZrXy1h2]|01-09|Female|PLHIV_Attend.T|CY2024Q3</v>
      </c>
    </row>
    <row r="5296" customFormat="false" ht="15" hidden="false" customHeight="false" outlineLevel="0" collapsed="false">
      <c r="D5296" s="0" t="s">
        <v>23</v>
      </c>
      <c r="E5296" s="0" t="s">
        <v>24</v>
      </c>
      <c r="F5296" s="0" t="s">
        <v>25</v>
      </c>
      <c r="G5296" s="0" t="s">
        <v>168</v>
      </c>
      <c r="H5296" s="0" t="s">
        <v>168</v>
      </c>
      <c r="I5296" s="0" t="s">
        <v>36</v>
      </c>
      <c r="J5296" s="0" t="s">
        <v>37</v>
      </c>
      <c r="K5296" s="0" t="s">
        <v>30</v>
      </c>
      <c r="L5296" s="0" t="s">
        <v>31</v>
      </c>
      <c r="M5296" s="0" t="s">
        <v>167</v>
      </c>
      <c r="N5296" s="0" t="n">
        <v>521</v>
      </c>
      <c r="O5296" s="10" t="n">
        <v>0.118715223157778</v>
      </c>
      <c r="P5296" s="10" t="n">
        <v>0.404358610976487</v>
      </c>
      <c r="Q5296" s="0" t="str">
        <f aca="false">SUBSTITUTE(SUBSTITUTE($I5296,CHAR(61),""),CHAR(34),"")</f>
        <v>10-14</v>
      </c>
      <c r="R5296" s="0" t="str">
        <f aca="false">IF($D5296&lt;&gt;"","["&amp;$E5296&amp;"]"&amp;"|"&amp;$Q5296&amp;"|"&amp;$K5296&amp;"|"&amp;$G5296&amp;"|"&amp;IF($G5296="TX_CURR_SUBNAT.R","CY2022Q4",$M5296),"")</f>
        <v>[GkIwZrXy1h2]|10-14|Female|PLHIV_Attend.T|CY2024Q3</v>
      </c>
    </row>
    <row r="5297" customFormat="false" ht="15" hidden="false" customHeight="false" outlineLevel="0" collapsed="false">
      <c r="D5297" s="0" t="s">
        <v>23</v>
      </c>
      <c r="E5297" s="0" t="s">
        <v>24</v>
      </c>
      <c r="F5297" s="0" t="s">
        <v>25</v>
      </c>
      <c r="G5297" s="0" t="s">
        <v>168</v>
      </c>
      <c r="H5297" s="0" t="s">
        <v>168</v>
      </c>
      <c r="I5297" s="0" t="s">
        <v>38</v>
      </c>
      <c r="J5297" s="0" t="s">
        <v>39</v>
      </c>
      <c r="K5297" s="0" t="s">
        <v>30</v>
      </c>
      <c r="L5297" s="0" t="s">
        <v>31</v>
      </c>
      <c r="M5297" s="0" t="s">
        <v>167</v>
      </c>
      <c r="N5297" s="0" t="n">
        <v>890</v>
      </c>
      <c r="O5297" s="10" t="n">
        <v>0.411622039042413</v>
      </c>
      <c r="P5297" s="10" t="n">
        <v>0.404358610976487</v>
      </c>
      <c r="Q5297" s="0" t="str">
        <f aca="false">SUBSTITUTE(SUBSTITUTE($I5297,CHAR(61),""),CHAR(34),"")</f>
        <v>15-24</v>
      </c>
      <c r="R5297" s="0" t="str">
        <f aca="false">IF($D5297&lt;&gt;"","["&amp;$E5297&amp;"]"&amp;"|"&amp;$Q5297&amp;"|"&amp;$K5297&amp;"|"&amp;$G5297&amp;"|"&amp;IF($G5297="TX_CURR_SUBNAT.R","CY2022Q4",$M5297),"")</f>
        <v>[GkIwZrXy1h2]|15-24|Female|PLHIV_Attend.T|CY2024Q3</v>
      </c>
    </row>
    <row r="5298" customFormat="false" ht="15" hidden="false" customHeight="false" outlineLevel="0" collapsed="false">
      <c r="D5298" s="0" t="s">
        <v>23</v>
      </c>
      <c r="E5298" s="0" t="s">
        <v>24</v>
      </c>
      <c r="F5298" s="0" t="s">
        <v>25</v>
      </c>
      <c r="G5298" s="0" t="s">
        <v>168</v>
      </c>
      <c r="H5298" s="0" t="s">
        <v>168</v>
      </c>
      <c r="I5298" s="0" t="s">
        <v>41</v>
      </c>
      <c r="J5298" s="0" t="s">
        <v>42</v>
      </c>
      <c r="K5298" s="0" t="s">
        <v>30</v>
      </c>
      <c r="L5298" s="0" t="s">
        <v>31</v>
      </c>
      <c r="M5298" s="0" t="s">
        <v>167</v>
      </c>
      <c r="N5298" s="0" t="n">
        <v>1121</v>
      </c>
      <c r="O5298" s="10" t="n">
        <v>0.984839674085379</v>
      </c>
      <c r="P5298" s="10" t="n">
        <v>0.404358610976487</v>
      </c>
      <c r="Q5298" s="0" t="str">
        <f aca="false">SUBSTITUTE(SUBSTITUTE($I5298,CHAR(61),""),CHAR(34),"")</f>
        <v>25-34</v>
      </c>
      <c r="R5298" s="0" t="str">
        <f aca="false">IF($D5298&lt;&gt;"","["&amp;$E5298&amp;"]"&amp;"|"&amp;$Q5298&amp;"|"&amp;$K5298&amp;"|"&amp;$G5298&amp;"|"&amp;IF($G5298="TX_CURR_SUBNAT.R","CY2022Q4",$M5298),"")</f>
        <v>[GkIwZrXy1h2]|25-34|Female|PLHIV_Attend.T|CY2024Q3</v>
      </c>
    </row>
    <row r="5299" customFormat="false" ht="15" hidden="false" customHeight="false" outlineLevel="0" collapsed="false">
      <c r="D5299" s="0" t="s">
        <v>23</v>
      </c>
      <c r="E5299" s="0" t="s">
        <v>24</v>
      </c>
      <c r="F5299" s="0" t="s">
        <v>25</v>
      </c>
      <c r="G5299" s="0" t="s">
        <v>168</v>
      </c>
      <c r="H5299" s="0" t="s">
        <v>168</v>
      </c>
      <c r="I5299" s="0" t="s">
        <v>43</v>
      </c>
      <c r="J5299" s="0" t="s">
        <v>44</v>
      </c>
      <c r="K5299" s="0" t="s">
        <v>30</v>
      </c>
      <c r="L5299" s="0" t="s">
        <v>31</v>
      </c>
      <c r="M5299" s="0" t="s">
        <v>167</v>
      </c>
      <c r="N5299" s="0" t="n">
        <v>989</v>
      </c>
      <c r="O5299" s="10" t="n">
        <v>0.510008563054726</v>
      </c>
      <c r="P5299" s="10" t="n">
        <v>0.404358610976487</v>
      </c>
      <c r="Q5299" s="0" t="str">
        <f aca="false">SUBSTITUTE(SUBSTITUTE($I5299,CHAR(61),""),CHAR(34),"")</f>
        <v>35-49</v>
      </c>
      <c r="R5299" s="0" t="str">
        <f aca="false">IF($D5299&lt;&gt;"","["&amp;$E5299&amp;"]"&amp;"|"&amp;$Q5299&amp;"|"&amp;$K5299&amp;"|"&amp;$G5299&amp;"|"&amp;IF($G5299="TX_CURR_SUBNAT.R","CY2022Q4",$M5299),"")</f>
        <v>[GkIwZrXy1h2]|35-49|Female|PLHIV_Attend.T|CY2024Q3</v>
      </c>
    </row>
    <row r="5300" customFormat="false" ht="15" hidden="false" customHeight="false" outlineLevel="0" collapsed="false">
      <c r="D5300" s="0" t="s">
        <v>23</v>
      </c>
      <c r="E5300" s="0" t="s">
        <v>24</v>
      </c>
      <c r="F5300" s="0" t="s">
        <v>25</v>
      </c>
      <c r="G5300" s="0" t="s">
        <v>168</v>
      </c>
      <c r="H5300" s="0" t="s">
        <v>168</v>
      </c>
      <c r="I5300" s="0" t="s">
        <v>45</v>
      </c>
      <c r="J5300" s="0" t="s">
        <v>46</v>
      </c>
      <c r="K5300" s="0" t="s">
        <v>30</v>
      </c>
      <c r="L5300" s="0" t="s">
        <v>31</v>
      </c>
      <c r="M5300" s="0" t="s">
        <v>167</v>
      </c>
      <c r="N5300" s="0" t="n">
        <v>1345</v>
      </c>
      <c r="O5300" s="10" t="n">
        <v>0.357180234743282</v>
      </c>
      <c r="P5300" s="10" t="n">
        <v>0.404358610976487</v>
      </c>
      <c r="Q5300" s="0" t="str">
        <f aca="false">SUBSTITUTE(SUBSTITUTE($I5300,CHAR(61),""),CHAR(34),"")</f>
        <v>50+</v>
      </c>
      <c r="R5300" s="0" t="str">
        <f aca="false">IF($D5300&lt;&gt;"","["&amp;$E5300&amp;"]"&amp;"|"&amp;$Q5300&amp;"|"&amp;$K5300&amp;"|"&amp;$G5300&amp;"|"&amp;IF($G5300="TX_CURR_SUBNAT.R","CY2022Q4",$M5300),"")</f>
        <v>[GkIwZrXy1h2]|50+|Female|PLHIV_Attend.T|CY2024Q3</v>
      </c>
    </row>
    <row r="5301" customFormat="false" ht="15" hidden="false" customHeight="false" outlineLevel="0" collapsed="false">
      <c r="D5301" s="0" t="s">
        <v>23</v>
      </c>
      <c r="E5301" s="0" t="s">
        <v>24</v>
      </c>
      <c r="F5301" s="0" t="s">
        <v>25</v>
      </c>
      <c r="G5301" s="0" t="s">
        <v>168</v>
      </c>
      <c r="H5301" s="0" t="s">
        <v>168</v>
      </c>
      <c r="I5301" s="0" t="s">
        <v>28</v>
      </c>
      <c r="J5301" s="0" t="s">
        <v>29</v>
      </c>
      <c r="K5301" s="0" t="s">
        <v>48</v>
      </c>
      <c r="L5301" s="0" t="s">
        <v>49</v>
      </c>
      <c r="M5301" s="0" t="s">
        <v>167</v>
      </c>
      <c r="N5301" s="0" t="n">
        <v>1877</v>
      </c>
      <c r="O5301" s="10" t="n">
        <v>0.577766240108758</v>
      </c>
      <c r="P5301" s="10" t="n">
        <v>0.404358610976487</v>
      </c>
      <c r="Q5301" s="0" t="str">
        <f aca="false">SUBSTITUTE(SUBSTITUTE($I5301,CHAR(61),""),CHAR(34),"")</f>
        <v>&lt;01</v>
      </c>
      <c r="R5301" s="0" t="str">
        <f aca="false">IF($D5301&lt;&gt;"","["&amp;$E5301&amp;"]"&amp;"|"&amp;$Q5301&amp;"|"&amp;$K5301&amp;"|"&amp;$G5301&amp;"|"&amp;IF($G5301="TX_CURR_SUBNAT.R","CY2022Q4",$M5301),"")</f>
        <v>[GkIwZrXy1h2]|&lt;01|Male|PLHIV_Attend.T|CY2024Q3</v>
      </c>
    </row>
    <row r="5302" customFormat="false" ht="15" hidden="false" customHeight="false" outlineLevel="0" collapsed="false">
      <c r="D5302" s="0" t="s">
        <v>23</v>
      </c>
      <c r="E5302" s="0" t="s">
        <v>24</v>
      </c>
      <c r="F5302" s="0" t="s">
        <v>25</v>
      </c>
      <c r="G5302" s="0" t="s">
        <v>168</v>
      </c>
      <c r="H5302" s="0" t="s">
        <v>168</v>
      </c>
      <c r="I5302" s="0" t="s">
        <v>33</v>
      </c>
      <c r="J5302" s="0" t="s">
        <v>34</v>
      </c>
      <c r="K5302" s="0" t="s">
        <v>48</v>
      </c>
      <c r="L5302" s="0" t="s">
        <v>49</v>
      </c>
      <c r="M5302" s="0" t="s">
        <v>167</v>
      </c>
      <c r="N5302" s="0" t="n">
        <v>983</v>
      </c>
      <c r="O5302" s="10" t="n">
        <v>0.989996207412332</v>
      </c>
      <c r="P5302" s="10" t="n">
        <v>0.404358610976487</v>
      </c>
      <c r="Q5302" s="0" t="str">
        <f aca="false">SUBSTITUTE(SUBSTITUTE($I5302,CHAR(61),""),CHAR(34),"")</f>
        <v>01-09</v>
      </c>
      <c r="R5302" s="0" t="str">
        <f aca="false">IF($D5302&lt;&gt;"","["&amp;$E5302&amp;"]"&amp;"|"&amp;$Q5302&amp;"|"&amp;$K5302&amp;"|"&amp;$G5302&amp;"|"&amp;IF($G5302="TX_CURR_SUBNAT.R","CY2022Q4",$M5302),"")</f>
        <v>[GkIwZrXy1h2]|01-09|Male|PLHIV_Attend.T|CY2024Q3</v>
      </c>
    </row>
    <row r="5303" customFormat="false" ht="15" hidden="false" customHeight="false" outlineLevel="0" collapsed="false">
      <c r="D5303" s="0" t="s">
        <v>23</v>
      </c>
      <c r="E5303" s="0" t="s">
        <v>24</v>
      </c>
      <c r="F5303" s="0" t="s">
        <v>25</v>
      </c>
      <c r="G5303" s="0" t="s">
        <v>168</v>
      </c>
      <c r="H5303" s="0" t="s">
        <v>168</v>
      </c>
      <c r="I5303" s="0" t="s">
        <v>36</v>
      </c>
      <c r="J5303" s="0" t="s">
        <v>37</v>
      </c>
      <c r="K5303" s="0" t="s">
        <v>48</v>
      </c>
      <c r="L5303" s="0" t="s">
        <v>49</v>
      </c>
      <c r="M5303" s="0" t="s">
        <v>167</v>
      </c>
      <c r="N5303" s="0" t="n">
        <v>1984</v>
      </c>
      <c r="O5303" s="10" t="n">
        <v>0.362145313294604</v>
      </c>
      <c r="P5303" s="10" t="n">
        <v>0.404358610976487</v>
      </c>
      <c r="Q5303" s="0" t="str">
        <f aca="false">SUBSTITUTE(SUBSTITUTE($I5303,CHAR(61),""),CHAR(34),"")</f>
        <v>10-14</v>
      </c>
      <c r="R5303" s="0" t="str">
        <f aca="false">IF($D5303&lt;&gt;"","["&amp;$E5303&amp;"]"&amp;"|"&amp;$Q5303&amp;"|"&amp;$K5303&amp;"|"&amp;$G5303&amp;"|"&amp;IF($G5303="TX_CURR_SUBNAT.R","CY2022Q4",$M5303),"")</f>
        <v>[GkIwZrXy1h2]|10-14|Male|PLHIV_Attend.T|CY2024Q3</v>
      </c>
    </row>
    <row r="5304" customFormat="false" ht="15" hidden="false" customHeight="false" outlineLevel="0" collapsed="false">
      <c r="D5304" s="0" t="s">
        <v>23</v>
      </c>
      <c r="E5304" s="0" t="s">
        <v>24</v>
      </c>
      <c r="F5304" s="0" t="s">
        <v>25</v>
      </c>
      <c r="G5304" s="0" t="s">
        <v>168</v>
      </c>
      <c r="H5304" s="0" t="s">
        <v>168</v>
      </c>
      <c r="I5304" s="0" t="s">
        <v>38</v>
      </c>
      <c r="J5304" s="0" t="s">
        <v>39</v>
      </c>
      <c r="K5304" s="0" t="s">
        <v>48</v>
      </c>
      <c r="L5304" s="0" t="s">
        <v>49</v>
      </c>
      <c r="M5304" s="0" t="s">
        <v>167</v>
      </c>
      <c r="N5304" s="0" t="n">
        <v>1621</v>
      </c>
      <c r="O5304" s="10" t="n">
        <v>0.11474942881614</v>
      </c>
      <c r="P5304" s="10" t="n">
        <v>0.404358610976487</v>
      </c>
      <c r="Q5304" s="0" t="str">
        <f aca="false">SUBSTITUTE(SUBSTITUTE($I5304,CHAR(61),""),CHAR(34),"")</f>
        <v>15-24</v>
      </c>
      <c r="R5304" s="0" t="str">
        <f aca="false">IF($D5304&lt;&gt;"","["&amp;$E5304&amp;"]"&amp;"|"&amp;$Q5304&amp;"|"&amp;$K5304&amp;"|"&amp;$G5304&amp;"|"&amp;IF($G5304="TX_CURR_SUBNAT.R","CY2022Q4",$M5304),"")</f>
        <v>[GkIwZrXy1h2]|15-24|Male|PLHIV_Attend.T|CY2024Q3</v>
      </c>
    </row>
    <row r="5305" customFormat="false" ht="15" hidden="false" customHeight="false" outlineLevel="0" collapsed="false">
      <c r="D5305" s="0" t="s">
        <v>23</v>
      </c>
      <c r="E5305" s="0" t="s">
        <v>24</v>
      </c>
      <c r="F5305" s="0" t="s">
        <v>25</v>
      </c>
      <c r="G5305" s="0" t="s">
        <v>168</v>
      </c>
      <c r="H5305" s="0" t="s">
        <v>168</v>
      </c>
      <c r="I5305" s="0" t="s">
        <v>41</v>
      </c>
      <c r="J5305" s="0" t="s">
        <v>42</v>
      </c>
      <c r="K5305" s="0" t="s">
        <v>48</v>
      </c>
      <c r="L5305" s="0" t="s">
        <v>49</v>
      </c>
      <c r="M5305" s="0" t="s">
        <v>167</v>
      </c>
      <c r="N5305" s="0" t="n">
        <v>1273</v>
      </c>
      <c r="O5305" s="10" t="n">
        <v>0.416566464118659</v>
      </c>
      <c r="P5305" s="10" t="n">
        <v>0.404358610976487</v>
      </c>
      <c r="Q5305" s="0" t="str">
        <f aca="false">SUBSTITUTE(SUBSTITUTE($I5305,CHAR(61),""),CHAR(34),"")</f>
        <v>25-34</v>
      </c>
      <c r="R5305" s="0" t="str">
        <f aca="false">IF($D5305&lt;&gt;"","["&amp;$E5305&amp;"]"&amp;"|"&amp;$Q5305&amp;"|"&amp;$K5305&amp;"|"&amp;$G5305&amp;"|"&amp;IF($G5305="TX_CURR_SUBNAT.R","CY2022Q4",$M5305),"")</f>
        <v>[GkIwZrXy1h2]|25-34|Male|PLHIV_Attend.T|CY2024Q3</v>
      </c>
    </row>
    <row r="5306" customFormat="false" ht="15" hidden="false" customHeight="false" outlineLevel="0" collapsed="false">
      <c r="D5306" s="0" t="s">
        <v>23</v>
      </c>
      <c r="E5306" s="0" t="s">
        <v>24</v>
      </c>
      <c r="F5306" s="0" t="s">
        <v>25</v>
      </c>
      <c r="G5306" s="0" t="s">
        <v>168</v>
      </c>
      <c r="H5306" s="0" t="s">
        <v>168</v>
      </c>
      <c r="I5306" s="0" t="s">
        <v>43</v>
      </c>
      <c r="J5306" s="0" t="s">
        <v>44</v>
      </c>
      <c r="K5306" s="0" t="s">
        <v>48</v>
      </c>
      <c r="L5306" s="0" t="s">
        <v>49</v>
      </c>
      <c r="M5306" s="0" t="s">
        <v>167</v>
      </c>
      <c r="N5306" s="0" t="n">
        <v>1672</v>
      </c>
      <c r="O5306" s="10" t="n">
        <v>0.66010350198485</v>
      </c>
      <c r="P5306" s="10" t="n">
        <v>0.404358610976487</v>
      </c>
      <c r="Q5306" s="0" t="str">
        <f aca="false">SUBSTITUTE(SUBSTITUTE($I5306,CHAR(61),""),CHAR(34),"")</f>
        <v>35-49</v>
      </c>
      <c r="R5306" s="0" t="str">
        <f aca="false">IF($D5306&lt;&gt;"","["&amp;$E5306&amp;"]"&amp;"|"&amp;$Q5306&amp;"|"&amp;$K5306&amp;"|"&amp;$G5306&amp;"|"&amp;IF($G5306="TX_CURR_SUBNAT.R","CY2022Q4",$M5306),"")</f>
        <v>[GkIwZrXy1h2]|35-49|Male|PLHIV_Attend.T|CY2024Q3</v>
      </c>
    </row>
    <row r="5307" customFormat="false" ht="15" hidden="false" customHeight="false" outlineLevel="0" collapsed="false">
      <c r="D5307" s="0" t="s">
        <v>23</v>
      </c>
      <c r="E5307" s="0" t="s">
        <v>24</v>
      </c>
      <c r="F5307" s="0" t="s">
        <v>25</v>
      </c>
      <c r="G5307" s="0" t="s">
        <v>168</v>
      </c>
      <c r="H5307" s="0" t="s">
        <v>168</v>
      </c>
      <c r="I5307" s="0" t="s">
        <v>45</v>
      </c>
      <c r="J5307" s="0" t="s">
        <v>46</v>
      </c>
      <c r="K5307" s="0" t="s">
        <v>48</v>
      </c>
      <c r="L5307" s="0" t="s">
        <v>49</v>
      </c>
      <c r="M5307" s="0" t="s">
        <v>167</v>
      </c>
      <c r="N5307" s="0" t="n">
        <v>669</v>
      </c>
      <c r="O5307" s="10" t="n">
        <v>0.427559986943379</v>
      </c>
      <c r="P5307" s="10" t="n">
        <v>0.404358610976487</v>
      </c>
      <c r="Q5307" s="0" t="str">
        <f aca="false">SUBSTITUTE(SUBSTITUTE($I5307,CHAR(61),""),CHAR(34),"")</f>
        <v>50+</v>
      </c>
      <c r="R5307" s="0" t="str">
        <f aca="false">IF($D5307&lt;&gt;"","["&amp;$E5307&amp;"]"&amp;"|"&amp;$Q5307&amp;"|"&amp;$K5307&amp;"|"&amp;$G5307&amp;"|"&amp;IF($G5307="TX_CURR_SUBNAT.R","CY2022Q4",$M5307),"")</f>
        <v>[GkIwZrXy1h2]|50+|Male|PLHIV_Attend.T|CY2024Q3</v>
      </c>
    </row>
    <row r="5308" customFormat="false" ht="15" hidden="false" customHeight="false" outlineLevel="0" collapsed="false">
      <c r="D5308" s="0" t="s">
        <v>53</v>
      </c>
      <c r="E5308" s="0" t="s">
        <v>54</v>
      </c>
      <c r="F5308" s="0" t="s">
        <v>55</v>
      </c>
      <c r="G5308" s="0" t="s">
        <v>168</v>
      </c>
      <c r="H5308" s="0" t="s">
        <v>168</v>
      </c>
      <c r="I5308" s="0" t="s">
        <v>28</v>
      </c>
      <c r="J5308" s="0" t="s">
        <v>29</v>
      </c>
      <c r="K5308" s="0" t="s">
        <v>30</v>
      </c>
      <c r="L5308" s="0" t="s">
        <v>31</v>
      </c>
      <c r="M5308" s="0" t="s">
        <v>167</v>
      </c>
      <c r="N5308" s="0" t="n">
        <v>530</v>
      </c>
      <c r="O5308" s="10" t="n">
        <v>0.413228942314163</v>
      </c>
      <c r="P5308" s="10" t="n">
        <v>0.616392469964921</v>
      </c>
      <c r="Q5308" s="0" t="str">
        <f aca="false">SUBSTITUTE(SUBSTITUTE($I5308,CHAR(61),""),CHAR(34),"")</f>
        <v>&lt;01</v>
      </c>
      <c r="R5308" s="0" t="str">
        <f aca="false">IF($D5308&lt;&gt;"","["&amp;$E5308&amp;"]"&amp;"|"&amp;$Q5308&amp;"|"&amp;$K5308&amp;"|"&amp;$G5308&amp;"|"&amp;IF($G5308="TX_CURR_SUBNAT.R","CY2022Q4",$M5308),"")</f>
        <v>[zphK9WV8JB4]|&lt;01|Female|PLHIV_Attend.T|CY2024Q3</v>
      </c>
    </row>
    <row r="5309" customFormat="false" ht="15" hidden="false" customHeight="false" outlineLevel="0" collapsed="false">
      <c r="D5309" s="0" t="s">
        <v>53</v>
      </c>
      <c r="E5309" s="0" t="s">
        <v>54</v>
      </c>
      <c r="F5309" s="0" t="s">
        <v>55</v>
      </c>
      <c r="G5309" s="0" t="s">
        <v>168</v>
      </c>
      <c r="H5309" s="0" t="s">
        <v>168</v>
      </c>
      <c r="I5309" s="0" t="s">
        <v>33</v>
      </c>
      <c r="J5309" s="0" t="s">
        <v>34</v>
      </c>
      <c r="K5309" s="0" t="s">
        <v>30</v>
      </c>
      <c r="L5309" s="0" t="s">
        <v>31</v>
      </c>
      <c r="M5309" s="0" t="s">
        <v>167</v>
      </c>
      <c r="N5309" s="0" t="n">
        <v>1940</v>
      </c>
      <c r="O5309" s="10" t="n">
        <v>0.125700521981344</v>
      </c>
      <c r="P5309" s="10" t="n">
        <v>0.616392469964921</v>
      </c>
      <c r="Q5309" s="0" t="str">
        <f aca="false">SUBSTITUTE(SUBSTITUTE($I5309,CHAR(61),""),CHAR(34),"")</f>
        <v>01-09</v>
      </c>
      <c r="R5309" s="0" t="str">
        <f aca="false">IF($D5309&lt;&gt;"","["&amp;$E5309&amp;"]"&amp;"|"&amp;$Q5309&amp;"|"&amp;$K5309&amp;"|"&amp;$G5309&amp;"|"&amp;IF($G5309="TX_CURR_SUBNAT.R","CY2022Q4",$M5309),"")</f>
        <v>[zphK9WV8JB4]|01-09|Female|PLHIV_Attend.T|CY2024Q3</v>
      </c>
    </row>
    <row r="5310" customFormat="false" ht="15" hidden="false" customHeight="false" outlineLevel="0" collapsed="false">
      <c r="D5310" s="0" t="s">
        <v>53</v>
      </c>
      <c r="E5310" s="0" t="s">
        <v>54</v>
      </c>
      <c r="F5310" s="0" t="s">
        <v>55</v>
      </c>
      <c r="G5310" s="0" t="s">
        <v>168</v>
      </c>
      <c r="H5310" s="0" t="s">
        <v>168</v>
      </c>
      <c r="I5310" s="0" t="s">
        <v>36</v>
      </c>
      <c r="J5310" s="0" t="s">
        <v>37</v>
      </c>
      <c r="K5310" s="0" t="s">
        <v>30</v>
      </c>
      <c r="L5310" s="0" t="s">
        <v>31</v>
      </c>
      <c r="M5310" s="0" t="s">
        <v>167</v>
      </c>
      <c r="N5310" s="0" t="n">
        <v>909</v>
      </c>
      <c r="O5310" s="10" t="n">
        <v>0.549874453572556</v>
      </c>
      <c r="P5310" s="10" t="n">
        <v>0.616392469964921</v>
      </c>
      <c r="Q5310" s="0" t="str">
        <f aca="false">SUBSTITUTE(SUBSTITUTE($I5310,CHAR(61),""),CHAR(34),"")</f>
        <v>10-14</v>
      </c>
      <c r="R5310" s="0" t="str">
        <f aca="false">IF($D5310&lt;&gt;"","["&amp;$E5310&amp;"]"&amp;"|"&amp;$Q5310&amp;"|"&amp;$K5310&amp;"|"&amp;$G5310&amp;"|"&amp;IF($G5310="TX_CURR_SUBNAT.R","CY2022Q4",$M5310),"")</f>
        <v>[zphK9WV8JB4]|10-14|Female|PLHIV_Attend.T|CY2024Q3</v>
      </c>
    </row>
    <row r="5311" customFormat="false" ht="15" hidden="false" customHeight="false" outlineLevel="0" collapsed="false">
      <c r="D5311" s="0" t="s">
        <v>53</v>
      </c>
      <c r="E5311" s="0" t="s">
        <v>54</v>
      </c>
      <c r="F5311" s="0" t="s">
        <v>55</v>
      </c>
      <c r="G5311" s="0" t="s">
        <v>168</v>
      </c>
      <c r="H5311" s="0" t="s">
        <v>168</v>
      </c>
      <c r="I5311" s="0" t="s">
        <v>38</v>
      </c>
      <c r="J5311" s="0" t="s">
        <v>39</v>
      </c>
      <c r="K5311" s="0" t="s">
        <v>30</v>
      </c>
      <c r="L5311" s="0" t="s">
        <v>31</v>
      </c>
      <c r="M5311" s="0" t="s">
        <v>167</v>
      </c>
      <c r="N5311" s="0" t="n">
        <v>1325</v>
      </c>
      <c r="O5311" s="10" t="n">
        <v>0.350335037102923</v>
      </c>
      <c r="P5311" s="10" t="n">
        <v>0.616392469964921</v>
      </c>
      <c r="Q5311" s="0" t="str">
        <f aca="false">SUBSTITUTE(SUBSTITUTE($I5311,CHAR(61),""),CHAR(34),"")</f>
        <v>15-24</v>
      </c>
      <c r="R5311" s="0" t="str">
        <f aca="false">IF($D5311&lt;&gt;"","["&amp;$E5311&amp;"]"&amp;"|"&amp;$Q5311&amp;"|"&amp;$K5311&amp;"|"&amp;$G5311&amp;"|"&amp;IF($G5311="TX_CURR_SUBNAT.R","CY2022Q4",$M5311),"")</f>
        <v>[zphK9WV8JB4]|15-24|Female|PLHIV_Attend.T|CY2024Q3</v>
      </c>
    </row>
    <row r="5312" customFormat="false" ht="15" hidden="false" customHeight="false" outlineLevel="0" collapsed="false">
      <c r="D5312" s="0" t="s">
        <v>53</v>
      </c>
      <c r="E5312" s="0" t="s">
        <v>54</v>
      </c>
      <c r="F5312" s="0" t="s">
        <v>55</v>
      </c>
      <c r="G5312" s="0" t="s">
        <v>168</v>
      </c>
      <c r="H5312" s="0" t="s">
        <v>168</v>
      </c>
      <c r="I5312" s="0" t="s">
        <v>41</v>
      </c>
      <c r="J5312" s="0" t="s">
        <v>42</v>
      </c>
      <c r="K5312" s="0" t="s">
        <v>30</v>
      </c>
      <c r="L5312" s="0" t="s">
        <v>31</v>
      </c>
      <c r="M5312" s="0" t="s">
        <v>167</v>
      </c>
      <c r="N5312" s="0" t="n">
        <v>765</v>
      </c>
      <c r="O5312" s="10" t="n">
        <v>0.473551492905244</v>
      </c>
      <c r="P5312" s="10" t="n">
        <v>0.616392469964921</v>
      </c>
      <c r="Q5312" s="0" t="str">
        <f aca="false">SUBSTITUTE(SUBSTITUTE($I5312,CHAR(61),""),CHAR(34),"")</f>
        <v>25-34</v>
      </c>
      <c r="R5312" s="0" t="str">
        <f aca="false">IF($D5312&lt;&gt;"","["&amp;$E5312&amp;"]"&amp;"|"&amp;$Q5312&amp;"|"&amp;$K5312&amp;"|"&amp;$G5312&amp;"|"&amp;IF($G5312="TX_CURR_SUBNAT.R","CY2022Q4",$M5312),"")</f>
        <v>[zphK9WV8JB4]|25-34|Female|PLHIV_Attend.T|CY2024Q3</v>
      </c>
    </row>
    <row r="5313" customFormat="false" ht="15" hidden="false" customHeight="false" outlineLevel="0" collapsed="false">
      <c r="D5313" s="0" t="s">
        <v>53</v>
      </c>
      <c r="E5313" s="0" t="s">
        <v>54</v>
      </c>
      <c r="F5313" s="0" t="s">
        <v>55</v>
      </c>
      <c r="G5313" s="0" t="s">
        <v>168</v>
      </c>
      <c r="H5313" s="0" t="s">
        <v>168</v>
      </c>
      <c r="I5313" s="0" t="s">
        <v>43</v>
      </c>
      <c r="J5313" s="0" t="s">
        <v>44</v>
      </c>
      <c r="K5313" s="0" t="s">
        <v>30</v>
      </c>
      <c r="L5313" s="0" t="s">
        <v>31</v>
      </c>
      <c r="M5313" s="0" t="s">
        <v>167</v>
      </c>
      <c r="N5313" s="0" t="n">
        <v>1873</v>
      </c>
      <c r="O5313" s="10" t="n">
        <v>0.759470890043303</v>
      </c>
      <c r="P5313" s="10" t="n">
        <v>0.616392469964921</v>
      </c>
      <c r="Q5313" s="0" t="str">
        <f aca="false">SUBSTITUTE(SUBSTITUTE($I5313,CHAR(61),""),CHAR(34),"")</f>
        <v>35-49</v>
      </c>
      <c r="R5313" s="0" t="str">
        <f aca="false">IF($D5313&lt;&gt;"","["&amp;$E5313&amp;"]"&amp;"|"&amp;$Q5313&amp;"|"&amp;$K5313&amp;"|"&amp;$G5313&amp;"|"&amp;IF($G5313="TX_CURR_SUBNAT.R","CY2022Q4",$M5313),"")</f>
        <v>[zphK9WV8JB4]|35-49|Female|PLHIV_Attend.T|CY2024Q3</v>
      </c>
    </row>
    <row r="5314" customFormat="false" ht="15" hidden="false" customHeight="false" outlineLevel="0" collapsed="false">
      <c r="D5314" s="0" t="s">
        <v>53</v>
      </c>
      <c r="E5314" s="0" t="s">
        <v>54</v>
      </c>
      <c r="F5314" s="0" t="s">
        <v>55</v>
      </c>
      <c r="G5314" s="0" t="s">
        <v>168</v>
      </c>
      <c r="H5314" s="0" t="s">
        <v>168</v>
      </c>
      <c r="I5314" s="0" t="s">
        <v>45</v>
      </c>
      <c r="J5314" s="0" t="s">
        <v>46</v>
      </c>
      <c r="K5314" s="0" t="s">
        <v>30</v>
      </c>
      <c r="L5314" s="0" t="s">
        <v>31</v>
      </c>
      <c r="M5314" s="0" t="s">
        <v>167</v>
      </c>
      <c r="N5314" s="0" t="n">
        <v>726</v>
      </c>
      <c r="O5314" s="10" t="n">
        <v>0.0717208520509303</v>
      </c>
      <c r="P5314" s="10" t="n">
        <v>0.616392469964921</v>
      </c>
      <c r="Q5314" s="0" t="str">
        <f aca="false">SUBSTITUTE(SUBSTITUTE($I5314,CHAR(61),""),CHAR(34),"")</f>
        <v>50+</v>
      </c>
      <c r="R5314" s="0" t="str">
        <f aca="false">IF($D5314&lt;&gt;"","["&amp;$E5314&amp;"]"&amp;"|"&amp;$Q5314&amp;"|"&amp;$K5314&amp;"|"&amp;$G5314&amp;"|"&amp;IF($G5314="TX_CURR_SUBNAT.R","CY2022Q4",$M5314),"")</f>
        <v>[zphK9WV8JB4]|50+|Female|PLHIV_Attend.T|CY2024Q3</v>
      </c>
    </row>
    <row r="5315" customFormat="false" ht="15" hidden="false" customHeight="false" outlineLevel="0" collapsed="false">
      <c r="D5315" s="0" t="s">
        <v>53</v>
      </c>
      <c r="E5315" s="0" t="s">
        <v>54</v>
      </c>
      <c r="F5315" s="0" t="s">
        <v>55</v>
      </c>
      <c r="G5315" s="0" t="s">
        <v>168</v>
      </c>
      <c r="H5315" s="0" t="s">
        <v>168</v>
      </c>
      <c r="I5315" s="0" t="s">
        <v>28</v>
      </c>
      <c r="J5315" s="0" t="s">
        <v>29</v>
      </c>
      <c r="K5315" s="0" t="s">
        <v>48</v>
      </c>
      <c r="L5315" s="0" t="s">
        <v>49</v>
      </c>
      <c r="M5315" s="0" t="s">
        <v>167</v>
      </c>
      <c r="N5315" s="0" t="n">
        <v>665</v>
      </c>
      <c r="O5315" s="10" t="n">
        <v>0.120301029644907</v>
      </c>
      <c r="P5315" s="10" t="n">
        <v>0.616392469964921</v>
      </c>
      <c r="Q5315" s="0" t="str">
        <f aca="false">SUBSTITUTE(SUBSTITUTE($I5315,CHAR(61),""),CHAR(34),"")</f>
        <v>&lt;01</v>
      </c>
      <c r="R5315" s="0" t="str">
        <f aca="false">IF($D5315&lt;&gt;"","["&amp;$E5315&amp;"]"&amp;"|"&amp;$Q5315&amp;"|"&amp;$K5315&amp;"|"&amp;$G5315&amp;"|"&amp;IF($G5315="TX_CURR_SUBNAT.R","CY2022Q4",$M5315),"")</f>
        <v>[zphK9WV8JB4]|&lt;01|Male|PLHIV_Attend.T|CY2024Q3</v>
      </c>
    </row>
    <row r="5316" customFormat="false" ht="15" hidden="false" customHeight="false" outlineLevel="0" collapsed="false">
      <c r="D5316" s="0" t="s">
        <v>53</v>
      </c>
      <c r="E5316" s="0" t="s">
        <v>54</v>
      </c>
      <c r="F5316" s="0" t="s">
        <v>55</v>
      </c>
      <c r="G5316" s="0" t="s">
        <v>168</v>
      </c>
      <c r="H5316" s="0" t="s">
        <v>168</v>
      </c>
      <c r="I5316" s="0" t="s">
        <v>33</v>
      </c>
      <c r="J5316" s="0" t="s">
        <v>34</v>
      </c>
      <c r="K5316" s="0" t="s">
        <v>48</v>
      </c>
      <c r="L5316" s="0" t="s">
        <v>49</v>
      </c>
      <c r="M5316" s="0" t="s">
        <v>167</v>
      </c>
      <c r="N5316" s="0" t="n">
        <v>1984</v>
      </c>
      <c r="O5316" s="10" t="n">
        <v>0.276463161688298</v>
      </c>
      <c r="P5316" s="10" t="n">
        <v>0.616392469964921</v>
      </c>
      <c r="Q5316" s="0" t="str">
        <f aca="false">SUBSTITUTE(SUBSTITUTE($I5316,CHAR(61),""),CHAR(34),"")</f>
        <v>01-09</v>
      </c>
      <c r="R5316" s="0" t="str">
        <f aca="false">IF($D5316&lt;&gt;"","["&amp;$E5316&amp;"]"&amp;"|"&amp;$Q5316&amp;"|"&amp;$K5316&amp;"|"&amp;$G5316&amp;"|"&amp;IF($G5316="TX_CURR_SUBNAT.R","CY2022Q4",$M5316),"")</f>
        <v>[zphK9WV8JB4]|01-09|Male|PLHIV_Attend.T|CY2024Q3</v>
      </c>
    </row>
    <row r="5317" customFormat="false" ht="15" hidden="false" customHeight="false" outlineLevel="0" collapsed="false">
      <c r="D5317" s="0" t="s">
        <v>53</v>
      </c>
      <c r="E5317" s="0" t="s">
        <v>54</v>
      </c>
      <c r="F5317" s="0" t="s">
        <v>55</v>
      </c>
      <c r="G5317" s="0" t="s">
        <v>168</v>
      </c>
      <c r="H5317" s="0" t="s">
        <v>168</v>
      </c>
      <c r="I5317" s="0" t="s">
        <v>36</v>
      </c>
      <c r="J5317" s="0" t="s">
        <v>37</v>
      </c>
      <c r="K5317" s="0" t="s">
        <v>48</v>
      </c>
      <c r="L5317" s="0" t="s">
        <v>49</v>
      </c>
      <c r="M5317" s="0" t="s">
        <v>167</v>
      </c>
      <c r="N5317" s="0" t="n">
        <v>697</v>
      </c>
      <c r="O5317" s="10" t="n">
        <v>0.568310723174363</v>
      </c>
      <c r="P5317" s="10" t="n">
        <v>0.616392469964921</v>
      </c>
      <c r="Q5317" s="0" t="str">
        <f aca="false">SUBSTITUTE(SUBSTITUTE($I5317,CHAR(61),""),CHAR(34),"")</f>
        <v>10-14</v>
      </c>
      <c r="R5317" s="0" t="str">
        <f aca="false">IF($D5317&lt;&gt;"","["&amp;$E5317&amp;"]"&amp;"|"&amp;$Q5317&amp;"|"&amp;$K5317&amp;"|"&amp;$G5317&amp;"|"&amp;IF($G5317="TX_CURR_SUBNAT.R","CY2022Q4",$M5317),"")</f>
        <v>[zphK9WV8JB4]|10-14|Male|PLHIV_Attend.T|CY2024Q3</v>
      </c>
    </row>
    <row r="5318" customFormat="false" ht="15" hidden="false" customHeight="false" outlineLevel="0" collapsed="false">
      <c r="D5318" s="0" t="s">
        <v>53</v>
      </c>
      <c r="E5318" s="0" t="s">
        <v>54</v>
      </c>
      <c r="F5318" s="0" t="s">
        <v>55</v>
      </c>
      <c r="G5318" s="0" t="s">
        <v>168</v>
      </c>
      <c r="H5318" s="0" t="s">
        <v>168</v>
      </c>
      <c r="I5318" s="0" t="s">
        <v>38</v>
      </c>
      <c r="J5318" s="0" t="s">
        <v>39</v>
      </c>
      <c r="K5318" s="0" t="s">
        <v>48</v>
      </c>
      <c r="L5318" s="0" t="s">
        <v>49</v>
      </c>
      <c r="M5318" s="0" t="s">
        <v>167</v>
      </c>
      <c r="N5318" s="0" t="n">
        <v>1868</v>
      </c>
      <c r="O5318" s="10" t="n">
        <v>0.989456195151433</v>
      </c>
      <c r="P5318" s="10" t="n">
        <v>0.616392469964921</v>
      </c>
      <c r="Q5318" s="0" t="str">
        <f aca="false">SUBSTITUTE(SUBSTITUTE($I5318,CHAR(61),""),CHAR(34),"")</f>
        <v>15-24</v>
      </c>
      <c r="R5318" s="0" t="str">
        <f aca="false">IF($D5318&lt;&gt;"","["&amp;$E5318&amp;"]"&amp;"|"&amp;$Q5318&amp;"|"&amp;$K5318&amp;"|"&amp;$G5318&amp;"|"&amp;IF($G5318="TX_CURR_SUBNAT.R","CY2022Q4",$M5318),"")</f>
        <v>[zphK9WV8JB4]|15-24|Male|PLHIV_Attend.T|CY2024Q3</v>
      </c>
    </row>
    <row r="5319" customFormat="false" ht="15" hidden="false" customHeight="false" outlineLevel="0" collapsed="false">
      <c r="D5319" s="0" t="s">
        <v>53</v>
      </c>
      <c r="E5319" s="0" t="s">
        <v>54</v>
      </c>
      <c r="F5319" s="0" t="s">
        <v>55</v>
      </c>
      <c r="G5319" s="0" t="s">
        <v>168</v>
      </c>
      <c r="H5319" s="0" t="s">
        <v>168</v>
      </c>
      <c r="I5319" s="0" t="s">
        <v>41</v>
      </c>
      <c r="J5319" s="0" t="s">
        <v>42</v>
      </c>
      <c r="K5319" s="0" t="s">
        <v>48</v>
      </c>
      <c r="L5319" s="0" t="s">
        <v>49</v>
      </c>
      <c r="M5319" s="0" t="s">
        <v>167</v>
      </c>
      <c r="N5319" s="0" t="n">
        <v>1642</v>
      </c>
      <c r="O5319" s="10" t="n">
        <v>0.147193236509338</v>
      </c>
      <c r="P5319" s="10" t="n">
        <v>0.616392469964921</v>
      </c>
      <c r="Q5319" s="0" t="str">
        <f aca="false">SUBSTITUTE(SUBSTITUTE($I5319,CHAR(61),""),CHAR(34),"")</f>
        <v>25-34</v>
      </c>
      <c r="R5319" s="0" t="str">
        <f aca="false">IF($D5319&lt;&gt;"","["&amp;$E5319&amp;"]"&amp;"|"&amp;$Q5319&amp;"|"&amp;$K5319&amp;"|"&amp;$G5319&amp;"|"&amp;IF($G5319="TX_CURR_SUBNAT.R","CY2022Q4",$M5319),"")</f>
        <v>[zphK9WV8JB4]|25-34|Male|PLHIV_Attend.T|CY2024Q3</v>
      </c>
    </row>
    <row r="5320" customFormat="false" ht="15" hidden="false" customHeight="false" outlineLevel="0" collapsed="false">
      <c r="D5320" s="0" t="s">
        <v>53</v>
      </c>
      <c r="E5320" s="0" t="s">
        <v>54</v>
      </c>
      <c r="F5320" s="0" t="s">
        <v>55</v>
      </c>
      <c r="G5320" s="0" t="s">
        <v>168</v>
      </c>
      <c r="H5320" s="0" t="s">
        <v>168</v>
      </c>
      <c r="I5320" s="0" t="s">
        <v>43</v>
      </c>
      <c r="J5320" s="0" t="s">
        <v>44</v>
      </c>
      <c r="K5320" s="0" t="s">
        <v>48</v>
      </c>
      <c r="L5320" s="0" t="s">
        <v>49</v>
      </c>
      <c r="M5320" s="0" t="s">
        <v>167</v>
      </c>
      <c r="N5320" s="0" t="n">
        <v>1268</v>
      </c>
      <c r="O5320" s="10" t="n">
        <v>0.636873659910634</v>
      </c>
      <c r="P5320" s="10" t="n">
        <v>0.616392469964921</v>
      </c>
      <c r="Q5320" s="0" t="str">
        <f aca="false">SUBSTITUTE(SUBSTITUTE($I5320,CHAR(61),""),CHAR(34),"")</f>
        <v>35-49</v>
      </c>
      <c r="R5320" s="0" t="str">
        <f aca="false">IF($D5320&lt;&gt;"","["&amp;$E5320&amp;"]"&amp;"|"&amp;$Q5320&amp;"|"&amp;$K5320&amp;"|"&amp;$G5320&amp;"|"&amp;IF($G5320="TX_CURR_SUBNAT.R","CY2022Q4",$M5320),"")</f>
        <v>[zphK9WV8JB4]|35-49|Male|PLHIV_Attend.T|CY2024Q3</v>
      </c>
    </row>
    <row r="5321" customFormat="false" ht="15" hidden="false" customHeight="false" outlineLevel="0" collapsed="false">
      <c r="D5321" s="0" t="s">
        <v>53</v>
      </c>
      <c r="E5321" s="0" t="s">
        <v>54</v>
      </c>
      <c r="F5321" s="0" t="s">
        <v>55</v>
      </c>
      <c r="G5321" s="0" t="s">
        <v>168</v>
      </c>
      <c r="H5321" s="0" t="s">
        <v>168</v>
      </c>
      <c r="I5321" s="0" t="s">
        <v>45</v>
      </c>
      <c r="J5321" s="0" t="s">
        <v>46</v>
      </c>
      <c r="K5321" s="0" t="s">
        <v>48</v>
      </c>
      <c r="L5321" s="0" t="s">
        <v>49</v>
      </c>
      <c r="M5321" s="0" t="s">
        <v>167</v>
      </c>
      <c r="N5321" s="0" t="n">
        <v>1581</v>
      </c>
      <c r="O5321" s="10" t="n">
        <v>0.431270463159308</v>
      </c>
      <c r="P5321" s="10" t="n">
        <v>0.616392469964921</v>
      </c>
      <c r="Q5321" s="0" t="str">
        <f aca="false">SUBSTITUTE(SUBSTITUTE($I5321,CHAR(61),""),CHAR(34),"")</f>
        <v>50+</v>
      </c>
      <c r="R5321" s="0" t="str">
        <f aca="false">IF($D5321&lt;&gt;"","["&amp;$E5321&amp;"]"&amp;"|"&amp;$Q5321&amp;"|"&amp;$K5321&amp;"|"&amp;$G5321&amp;"|"&amp;IF($G5321="TX_CURR_SUBNAT.R","CY2022Q4",$M5321),"")</f>
        <v>[zphK9WV8JB4]|50+|Male|PLHIV_Attend.T|CY2024Q3</v>
      </c>
    </row>
    <row r="5322" customFormat="false" ht="15" hidden="false" customHeight="false" outlineLevel="0" collapsed="false">
      <c r="D5322" s="0" t="s">
        <v>60</v>
      </c>
      <c r="E5322" s="0" t="s">
        <v>61</v>
      </c>
      <c r="F5322" s="0" t="s">
        <v>62</v>
      </c>
      <c r="G5322" s="0" t="s">
        <v>168</v>
      </c>
      <c r="H5322" s="0" t="s">
        <v>168</v>
      </c>
      <c r="I5322" s="0" t="s">
        <v>28</v>
      </c>
      <c r="J5322" s="0" t="s">
        <v>29</v>
      </c>
      <c r="K5322" s="0" t="s">
        <v>30</v>
      </c>
      <c r="L5322" s="0" t="s">
        <v>31</v>
      </c>
      <c r="M5322" s="0" t="s">
        <v>167</v>
      </c>
      <c r="N5322" s="0" t="n">
        <v>1239</v>
      </c>
      <c r="O5322" s="10" t="n">
        <v>0.0832365364767611</v>
      </c>
      <c r="P5322" s="10" t="n">
        <v>0.0268250561784953</v>
      </c>
      <c r="Q5322" s="0" t="str">
        <f aca="false">SUBSTITUTE(SUBSTITUTE($I5322,CHAR(61),""),CHAR(34),"")</f>
        <v>&lt;01</v>
      </c>
      <c r="R5322" s="0" t="str">
        <f aca="false">IF($D5322&lt;&gt;"","["&amp;$E5322&amp;"]"&amp;"|"&amp;$Q5322&amp;"|"&amp;$K5322&amp;"|"&amp;$G5322&amp;"|"&amp;IF($G5322="TX_CURR_SUBNAT.R","CY2022Q4",$M5322),"")</f>
        <v>[msW2zpIN7up]|&lt;01|Female|PLHIV_Attend.T|CY2024Q3</v>
      </c>
    </row>
    <row r="5323" customFormat="false" ht="15" hidden="false" customHeight="false" outlineLevel="0" collapsed="false">
      <c r="D5323" s="0" t="s">
        <v>60</v>
      </c>
      <c r="E5323" s="0" t="s">
        <v>61</v>
      </c>
      <c r="F5323" s="0" t="s">
        <v>62</v>
      </c>
      <c r="G5323" s="0" t="s">
        <v>168</v>
      </c>
      <c r="H5323" s="0" t="s">
        <v>168</v>
      </c>
      <c r="I5323" s="0" t="s">
        <v>33</v>
      </c>
      <c r="J5323" s="0" t="s">
        <v>34</v>
      </c>
      <c r="K5323" s="0" t="s">
        <v>30</v>
      </c>
      <c r="L5323" s="0" t="s">
        <v>31</v>
      </c>
      <c r="M5323" s="0" t="s">
        <v>167</v>
      </c>
      <c r="N5323" s="0" t="n">
        <v>1869</v>
      </c>
      <c r="O5323" s="10" t="n">
        <v>0.135350737255067</v>
      </c>
      <c r="P5323" s="10" t="n">
        <v>0.0268250561784953</v>
      </c>
      <c r="Q5323" s="0" t="str">
        <f aca="false">SUBSTITUTE(SUBSTITUTE($I5323,CHAR(61),""),CHAR(34),"")</f>
        <v>01-09</v>
      </c>
      <c r="R5323" s="0" t="str">
        <f aca="false">IF($D5323&lt;&gt;"","["&amp;$E5323&amp;"]"&amp;"|"&amp;$Q5323&amp;"|"&amp;$K5323&amp;"|"&amp;$G5323&amp;"|"&amp;IF($G5323="TX_CURR_SUBNAT.R","CY2022Q4",$M5323),"")</f>
        <v>[msW2zpIN7up]|01-09|Female|PLHIV_Attend.T|CY2024Q3</v>
      </c>
    </row>
    <row r="5324" customFormat="false" ht="15" hidden="false" customHeight="false" outlineLevel="0" collapsed="false">
      <c r="D5324" s="0" t="s">
        <v>60</v>
      </c>
      <c r="E5324" s="0" t="s">
        <v>61</v>
      </c>
      <c r="F5324" s="0" t="s">
        <v>62</v>
      </c>
      <c r="G5324" s="0" t="s">
        <v>168</v>
      </c>
      <c r="H5324" s="0" t="s">
        <v>168</v>
      </c>
      <c r="I5324" s="0" t="s">
        <v>36</v>
      </c>
      <c r="J5324" s="0" t="s">
        <v>37</v>
      </c>
      <c r="K5324" s="0" t="s">
        <v>30</v>
      </c>
      <c r="L5324" s="0" t="s">
        <v>31</v>
      </c>
      <c r="M5324" s="0" t="s">
        <v>167</v>
      </c>
      <c r="N5324" s="0" t="n">
        <v>547</v>
      </c>
      <c r="O5324" s="10" t="n">
        <v>0.97820560913533</v>
      </c>
      <c r="P5324" s="10" t="n">
        <v>0.0268250561784953</v>
      </c>
      <c r="Q5324" s="0" t="str">
        <f aca="false">SUBSTITUTE(SUBSTITUTE($I5324,CHAR(61),""),CHAR(34),"")</f>
        <v>10-14</v>
      </c>
      <c r="R5324" s="0" t="str">
        <f aca="false">IF($D5324&lt;&gt;"","["&amp;$E5324&amp;"]"&amp;"|"&amp;$Q5324&amp;"|"&amp;$K5324&amp;"|"&amp;$G5324&amp;"|"&amp;IF($G5324="TX_CURR_SUBNAT.R","CY2022Q4",$M5324),"")</f>
        <v>[msW2zpIN7up]|10-14|Female|PLHIV_Attend.T|CY2024Q3</v>
      </c>
    </row>
    <row r="5325" customFormat="false" ht="15" hidden="false" customHeight="false" outlineLevel="0" collapsed="false">
      <c r="D5325" s="0" t="s">
        <v>60</v>
      </c>
      <c r="E5325" s="0" t="s">
        <v>61</v>
      </c>
      <c r="F5325" s="0" t="s">
        <v>62</v>
      </c>
      <c r="G5325" s="0" t="s">
        <v>168</v>
      </c>
      <c r="H5325" s="0" t="s">
        <v>168</v>
      </c>
      <c r="I5325" s="0" t="s">
        <v>38</v>
      </c>
      <c r="J5325" s="0" t="s">
        <v>39</v>
      </c>
      <c r="K5325" s="0" t="s">
        <v>30</v>
      </c>
      <c r="L5325" s="0" t="s">
        <v>31</v>
      </c>
      <c r="M5325" s="0" t="s">
        <v>167</v>
      </c>
      <c r="N5325" s="0" t="n">
        <v>1722</v>
      </c>
      <c r="O5325" s="10" t="n">
        <v>0.700846769846976</v>
      </c>
      <c r="P5325" s="10" t="n">
        <v>0.0268250561784953</v>
      </c>
      <c r="Q5325" s="0" t="str">
        <f aca="false">SUBSTITUTE(SUBSTITUTE($I5325,CHAR(61),""),CHAR(34),"")</f>
        <v>15-24</v>
      </c>
      <c r="R5325" s="0" t="str">
        <f aca="false">IF($D5325&lt;&gt;"","["&amp;$E5325&amp;"]"&amp;"|"&amp;$Q5325&amp;"|"&amp;$K5325&amp;"|"&amp;$G5325&amp;"|"&amp;IF($G5325="TX_CURR_SUBNAT.R","CY2022Q4",$M5325),"")</f>
        <v>[msW2zpIN7up]|15-24|Female|PLHIV_Attend.T|CY2024Q3</v>
      </c>
    </row>
    <row r="5326" customFormat="false" ht="15" hidden="false" customHeight="false" outlineLevel="0" collapsed="false">
      <c r="D5326" s="0" t="s">
        <v>60</v>
      </c>
      <c r="E5326" s="0" t="s">
        <v>61</v>
      </c>
      <c r="F5326" s="0" t="s">
        <v>62</v>
      </c>
      <c r="G5326" s="0" t="s">
        <v>168</v>
      </c>
      <c r="H5326" s="0" t="s">
        <v>168</v>
      </c>
      <c r="I5326" s="0" t="s">
        <v>41</v>
      </c>
      <c r="J5326" s="0" t="s">
        <v>42</v>
      </c>
      <c r="K5326" s="0" t="s">
        <v>30</v>
      </c>
      <c r="L5326" s="0" t="s">
        <v>31</v>
      </c>
      <c r="M5326" s="0" t="s">
        <v>167</v>
      </c>
      <c r="N5326" s="0" t="n">
        <v>1847</v>
      </c>
      <c r="O5326" s="10" t="n">
        <v>0.420586763648316</v>
      </c>
      <c r="P5326" s="10" t="n">
        <v>0.0268250561784953</v>
      </c>
      <c r="Q5326" s="0" t="str">
        <f aca="false">SUBSTITUTE(SUBSTITUTE($I5326,CHAR(61),""),CHAR(34),"")</f>
        <v>25-34</v>
      </c>
      <c r="R5326" s="0" t="str">
        <f aca="false">IF($D5326&lt;&gt;"","["&amp;$E5326&amp;"]"&amp;"|"&amp;$Q5326&amp;"|"&amp;$K5326&amp;"|"&amp;$G5326&amp;"|"&amp;IF($G5326="TX_CURR_SUBNAT.R","CY2022Q4",$M5326),"")</f>
        <v>[msW2zpIN7up]|25-34|Female|PLHIV_Attend.T|CY2024Q3</v>
      </c>
    </row>
    <row r="5327" customFormat="false" ht="15" hidden="false" customHeight="false" outlineLevel="0" collapsed="false">
      <c r="D5327" s="0" t="s">
        <v>60</v>
      </c>
      <c r="E5327" s="0" t="s">
        <v>61</v>
      </c>
      <c r="F5327" s="0" t="s">
        <v>62</v>
      </c>
      <c r="G5327" s="0" t="s">
        <v>168</v>
      </c>
      <c r="H5327" s="0" t="s">
        <v>168</v>
      </c>
      <c r="I5327" s="0" t="s">
        <v>43</v>
      </c>
      <c r="J5327" s="0" t="s">
        <v>44</v>
      </c>
      <c r="K5327" s="0" t="s">
        <v>30</v>
      </c>
      <c r="L5327" s="0" t="s">
        <v>31</v>
      </c>
      <c r="M5327" s="0" t="s">
        <v>167</v>
      </c>
      <c r="N5327" s="0" t="n">
        <v>1736</v>
      </c>
      <c r="O5327" s="10" t="n">
        <v>0.675757522229105</v>
      </c>
      <c r="P5327" s="10" t="n">
        <v>0.0268250561784953</v>
      </c>
      <c r="Q5327" s="0" t="str">
        <f aca="false">SUBSTITUTE(SUBSTITUTE($I5327,CHAR(61),""),CHAR(34),"")</f>
        <v>35-49</v>
      </c>
      <c r="R5327" s="0" t="str">
        <f aca="false">IF($D5327&lt;&gt;"","["&amp;$E5327&amp;"]"&amp;"|"&amp;$Q5327&amp;"|"&amp;$K5327&amp;"|"&amp;$G5327&amp;"|"&amp;IF($G5327="TX_CURR_SUBNAT.R","CY2022Q4",$M5327),"")</f>
        <v>[msW2zpIN7up]|35-49|Female|PLHIV_Attend.T|CY2024Q3</v>
      </c>
    </row>
    <row r="5328" customFormat="false" ht="15" hidden="false" customHeight="false" outlineLevel="0" collapsed="false">
      <c r="D5328" s="0" t="s">
        <v>60</v>
      </c>
      <c r="E5328" s="0" t="s">
        <v>61</v>
      </c>
      <c r="F5328" s="0" t="s">
        <v>62</v>
      </c>
      <c r="G5328" s="0" t="s">
        <v>168</v>
      </c>
      <c r="H5328" s="0" t="s">
        <v>168</v>
      </c>
      <c r="I5328" s="0" t="s">
        <v>45</v>
      </c>
      <c r="J5328" s="0" t="s">
        <v>46</v>
      </c>
      <c r="K5328" s="0" t="s">
        <v>30</v>
      </c>
      <c r="L5328" s="0" t="s">
        <v>31</v>
      </c>
      <c r="M5328" s="0" t="s">
        <v>167</v>
      </c>
      <c r="N5328" s="0" t="n">
        <v>749</v>
      </c>
      <c r="O5328" s="10" t="n">
        <v>0.228287643985823</v>
      </c>
      <c r="P5328" s="10" t="n">
        <v>0.0268250561784953</v>
      </c>
      <c r="Q5328" s="0" t="str">
        <f aca="false">SUBSTITUTE(SUBSTITUTE($I5328,CHAR(61),""),CHAR(34),"")</f>
        <v>50+</v>
      </c>
      <c r="R5328" s="0" t="str">
        <f aca="false">IF($D5328&lt;&gt;"","["&amp;$E5328&amp;"]"&amp;"|"&amp;$Q5328&amp;"|"&amp;$K5328&amp;"|"&amp;$G5328&amp;"|"&amp;IF($G5328="TX_CURR_SUBNAT.R","CY2022Q4",$M5328),"")</f>
        <v>[msW2zpIN7up]|50+|Female|PLHIV_Attend.T|CY2024Q3</v>
      </c>
    </row>
    <row r="5329" customFormat="false" ht="15" hidden="false" customHeight="false" outlineLevel="0" collapsed="false">
      <c r="D5329" s="0" t="s">
        <v>60</v>
      </c>
      <c r="E5329" s="0" t="s">
        <v>61</v>
      </c>
      <c r="F5329" s="0" t="s">
        <v>62</v>
      </c>
      <c r="G5329" s="0" t="s">
        <v>168</v>
      </c>
      <c r="H5329" s="0" t="s">
        <v>168</v>
      </c>
      <c r="I5329" s="0" t="s">
        <v>28</v>
      </c>
      <c r="J5329" s="0" t="s">
        <v>29</v>
      </c>
      <c r="K5329" s="0" t="s">
        <v>48</v>
      </c>
      <c r="L5329" s="0" t="s">
        <v>49</v>
      </c>
      <c r="M5329" s="0" t="s">
        <v>167</v>
      </c>
      <c r="N5329" s="0" t="n">
        <v>1299</v>
      </c>
      <c r="O5329" s="10" t="n">
        <v>0.662257142132148</v>
      </c>
      <c r="P5329" s="10" t="n">
        <v>0.0268250561784953</v>
      </c>
      <c r="Q5329" s="0" t="str">
        <f aca="false">SUBSTITUTE(SUBSTITUTE($I5329,CHAR(61),""),CHAR(34),"")</f>
        <v>&lt;01</v>
      </c>
      <c r="R5329" s="0" t="str">
        <f aca="false">IF($D5329&lt;&gt;"","["&amp;$E5329&amp;"]"&amp;"|"&amp;$Q5329&amp;"|"&amp;$K5329&amp;"|"&amp;$G5329&amp;"|"&amp;IF($G5329="TX_CURR_SUBNAT.R","CY2022Q4",$M5329),"")</f>
        <v>[msW2zpIN7up]|&lt;01|Male|PLHIV_Attend.T|CY2024Q3</v>
      </c>
    </row>
    <row r="5330" customFormat="false" ht="15" hidden="false" customHeight="false" outlineLevel="0" collapsed="false">
      <c r="D5330" s="0" t="s">
        <v>60</v>
      </c>
      <c r="E5330" s="0" t="s">
        <v>61</v>
      </c>
      <c r="F5330" s="0" t="s">
        <v>62</v>
      </c>
      <c r="G5330" s="0" t="s">
        <v>168</v>
      </c>
      <c r="H5330" s="0" t="s">
        <v>168</v>
      </c>
      <c r="I5330" s="0" t="s">
        <v>33</v>
      </c>
      <c r="J5330" s="0" t="s">
        <v>34</v>
      </c>
      <c r="K5330" s="0" t="s">
        <v>48</v>
      </c>
      <c r="L5330" s="0" t="s">
        <v>49</v>
      </c>
      <c r="M5330" s="0" t="s">
        <v>167</v>
      </c>
      <c r="N5330" s="0" t="n">
        <v>1949</v>
      </c>
      <c r="O5330" s="10" t="n">
        <v>0.591819286113605</v>
      </c>
      <c r="P5330" s="10" t="n">
        <v>0.0268250561784953</v>
      </c>
      <c r="Q5330" s="0" t="str">
        <f aca="false">SUBSTITUTE(SUBSTITUTE($I5330,CHAR(61),""),CHAR(34),"")</f>
        <v>01-09</v>
      </c>
      <c r="R5330" s="0" t="str">
        <f aca="false">IF($D5330&lt;&gt;"","["&amp;$E5330&amp;"]"&amp;"|"&amp;$Q5330&amp;"|"&amp;$K5330&amp;"|"&amp;$G5330&amp;"|"&amp;IF($G5330="TX_CURR_SUBNAT.R","CY2022Q4",$M5330),"")</f>
        <v>[msW2zpIN7up]|01-09|Male|PLHIV_Attend.T|CY2024Q3</v>
      </c>
    </row>
    <row r="5331" customFormat="false" ht="15" hidden="false" customHeight="false" outlineLevel="0" collapsed="false">
      <c r="D5331" s="0" t="s">
        <v>60</v>
      </c>
      <c r="E5331" s="0" t="s">
        <v>61</v>
      </c>
      <c r="F5331" s="0" t="s">
        <v>62</v>
      </c>
      <c r="G5331" s="0" t="s">
        <v>168</v>
      </c>
      <c r="H5331" s="0" t="s">
        <v>168</v>
      </c>
      <c r="I5331" s="0" t="s">
        <v>36</v>
      </c>
      <c r="J5331" s="0" t="s">
        <v>37</v>
      </c>
      <c r="K5331" s="0" t="s">
        <v>48</v>
      </c>
      <c r="L5331" s="0" t="s">
        <v>49</v>
      </c>
      <c r="M5331" s="0" t="s">
        <v>167</v>
      </c>
      <c r="N5331" s="0" t="n">
        <v>1856</v>
      </c>
      <c r="O5331" s="10" t="n">
        <v>0.283798722317442</v>
      </c>
      <c r="P5331" s="10" t="n">
        <v>0.0268250561784953</v>
      </c>
      <c r="Q5331" s="0" t="str">
        <f aca="false">SUBSTITUTE(SUBSTITUTE($I5331,CHAR(61),""),CHAR(34),"")</f>
        <v>10-14</v>
      </c>
      <c r="R5331" s="0" t="str">
        <f aca="false">IF($D5331&lt;&gt;"","["&amp;$E5331&amp;"]"&amp;"|"&amp;$Q5331&amp;"|"&amp;$K5331&amp;"|"&amp;$G5331&amp;"|"&amp;IF($G5331="TX_CURR_SUBNAT.R","CY2022Q4",$M5331),"")</f>
        <v>[msW2zpIN7up]|10-14|Male|PLHIV_Attend.T|CY2024Q3</v>
      </c>
    </row>
    <row r="5332" customFormat="false" ht="15" hidden="false" customHeight="false" outlineLevel="0" collapsed="false">
      <c r="D5332" s="0" t="s">
        <v>60</v>
      </c>
      <c r="E5332" s="0" t="s">
        <v>61</v>
      </c>
      <c r="F5332" s="0" t="s">
        <v>62</v>
      </c>
      <c r="G5332" s="0" t="s">
        <v>168</v>
      </c>
      <c r="H5332" s="0" t="s">
        <v>168</v>
      </c>
      <c r="I5332" s="0" t="s">
        <v>38</v>
      </c>
      <c r="J5332" s="0" t="s">
        <v>39</v>
      </c>
      <c r="K5332" s="0" t="s">
        <v>48</v>
      </c>
      <c r="L5332" s="0" t="s">
        <v>49</v>
      </c>
      <c r="M5332" s="0" t="s">
        <v>167</v>
      </c>
      <c r="N5332" s="0" t="n">
        <v>864</v>
      </c>
      <c r="O5332" s="10" t="n">
        <v>0.0132104146759957</v>
      </c>
      <c r="P5332" s="10" t="n">
        <v>0.0268250561784953</v>
      </c>
      <c r="Q5332" s="0" t="str">
        <f aca="false">SUBSTITUTE(SUBSTITUTE($I5332,CHAR(61),""),CHAR(34),"")</f>
        <v>15-24</v>
      </c>
      <c r="R5332" s="0" t="str">
        <f aca="false">IF($D5332&lt;&gt;"","["&amp;$E5332&amp;"]"&amp;"|"&amp;$Q5332&amp;"|"&amp;$K5332&amp;"|"&amp;$G5332&amp;"|"&amp;IF($G5332="TX_CURR_SUBNAT.R","CY2022Q4",$M5332),"")</f>
        <v>[msW2zpIN7up]|15-24|Male|PLHIV_Attend.T|CY2024Q3</v>
      </c>
    </row>
    <row r="5333" customFormat="false" ht="15" hidden="false" customHeight="false" outlineLevel="0" collapsed="false">
      <c r="D5333" s="0" t="s">
        <v>60</v>
      </c>
      <c r="E5333" s="0" t="s">
        <v>61</v>
      </c>
      <c r="F5333" s="0" t="s">
        <v>62</v>
      </c>
      <c r="G5333" s="0" t="s">
        <v>168</v>
      </c>
      <c r="H5333" s="0" t="s">
        <v>168</v>
      </c>
      <c r="I5333" s="0" t="s">
        <v>41</v>
      </c>
      <c r="J5333" s="0" t="s">
        <v>42</v>
      </c>
      <c r="K5333" s="0" t="s">
        <v>48</v>
      </c>
      <c r="L5333" s="0" t="s">
        <v>49</v>
      </c>
      <c r="M5333" s="0" t="s">
        <v>167</v>
      </c>
      <c r="N5333" s="0" t="n">
        <v>1914</v>
      </c>
      <c r="O5333" s="10" t="n">
        <v>0.722639207495376</v>
      </c>
      <c r="P5333" s="10" t="n">
        <v>0.0268250561784953</v>
      </c>
      <c r="Q5333" s="0" t="str">
        <f aca="false">SUBSTITUTE(SUBSTITUTE($I5333,CHAR(61),""),CHAR(34),"")</f>
        <v>25-34</v>
      </c>
      <c r="R5333" s="0" t="str">
        <f aca="false">IF($D5333&lt;&gt;"","["&amp;$E5333&amp;"]"&amp;"|"&amp;$Q5333&amp;"|"&amp;$K5333&amp;"|"&amp;$G5333&amp;"|"&amp;IF($G5333="TX_CURR_SUBNAT.R","CY2022Q4",$M5333),"")</f>
        <v>[msW2zpIN7up]|25-34|Male|PLHIV_Attend.T|CY2024Q3</v>
      </c>
    </row>
    <row r="5334" customFormat="false" ht="15" hidden="false" customHeight="false" outlineLevel="0" collapsed="false">
      <c r="D5334" s="0" t="s">
        <v>60</v>
      </c>
      <c r="E5334" s="0" t="s">
        <v>61</v>
      </c>
      <c r="F5334" s="0" t="s">
        <v>62</v>
      </c>
      <c r="G5334" s="0" t="s">
        <v>168</v>
      </c>
      <c r="H5334" s="0" t="s">
        <v>168</v>
      </c>
      <c r="I5334" s="0" t="s">
        <v>43</v>
      </c>
      <c r="J5334" s="0" t="s">
        <v>44</v>
      </c>
      <c r="K5334" s="0" t="s">
        <v>48</v>
      </c>
      <c r="L5334" s="0" t="s">
        <v>49</v>
      </c>
      <c r="M5334" s="0" t="s">
        <v>167</v>
      </c>
      <c r="N5334" s="0" t="n">
        <v>828</v>
      </c>
      <c r="O5334" s="10" t="n">
        <v>0.017977096606046</v>
      </c>
      <c r="P5334" s="10" t="n">
        <v>0.0268250561784953</v>
      </c>
      <c r="Q5334" s="0" t="str">
        <f aca="false">SUBSTITUTE(SUBSTITUTE($I5334,CHAR(61),""),CHAR(34),"")</f>
        <v>35-49</v>
      </c>
      <c r="R5334" s="0" t="str">
        <f aca="false">IF($D5334&lt;&gt;"","["&amp;$E5334&amp;"]"&amp;"|"&amp;$Q5334&amp;"|"&amp;$K5334&amp;"|"&amp;$G5334&amp;"|"&amp;IF($G5334="TX_CURR_SUBNAT.R","CY2022Q4",$M5334),"")</f>
        <v>[msW2zpIN7up]|35-49|Male|PLHIV_Attend.T|CY2024Q3</v>
      </c>
    </row>
    <row r="5335" customFormat="false" ht="15" hidden="false" customHeight="false" outlineLevel="0" collapsed="false">
      <c r="D5335" s="0" t="s">
        <v>60</v>
      </c>
      <c r="E5335" s="0" t="s">
        <v>61</v>
      </c>
      <c r="F5335" s="0" t="s">
        <v>62</v>
      </c>
      <c r="G5335" s="0" t="s">
        <v>168</v>
      </c>
      <c r="H5335" s="0" t="s">
        <v>168</v>
      </c>
      <c r="I5335" s="0" t="s">
        <v>45</v>
      </c>
      <c r="J5335" s="0" t="s">
        <v>46</v>
      </c>
      <c r="K5335" s="0" t="s">
        <v>48</v>
      </c>
      <c r="L5335" s="0" t="s">
        <v>49</v>
      </c>
      <c r="M5335" s="0" t="s">
        <v>167</v>
      </c>
      <c r="N5335" s="0" t="n">
        <v>1759</v>
      </c>
      <c r="O5335" s="10" t="n">
        <v>0.675338013097644</v>
      </c>
      <c r="P5335" s="10" t="n">
        <v>0.0268250561784953</v>
      </c>
      <c r="Q5335" s="0" t="str">
        <f aca="false">SUBSTITUTE(SUBSTITUTE($I5335,CHAR(61),""),CHAR(34),"")</f>
        <v>50+</v>
      </c>
      <c r="R5335" s="0" t="str">
        <f aca="false">IF($D5335&lt;&gt;"","["&amp;$E5335&amp;"]"&amp;"|"&amp;$Q5335&amp;"|"&amp;$K5335&amp;"|"&amp;$G5335&amp;"|"&amp;IF($G5335="TX_CURR_SUBNAT.R","CY2022Q4",$M5335),"")</f>
        <v>[msW2zpIN7up]|50+|Male|PLHIV_Attend.T|CY2024Q3</v>
      </c>
    </row>
    <row r="5336" customFormat="false" ht="15" hidden="false" customHeight="false" outlineLevel="0" collapsed="false">
      <c r="D5336" s="0" t="s">
        <v>63</v>
      </c>
      <c r="E5336" s="0" t="s">
        <v>64</v>
      </c>
      <c r="F5336" s="0" t="s">
        <v>65</v>
      </c>
      <c r="G5336" s="0" t="s">
        <v>168</v>
      </c>
      <c r="H5336" s="0" t="s">
        <v>168</v>
      </c>
      <c r="I5336" s="0" t="s">
        <v>28</v>
      </c>
      <c r="J5336" s="0" t="s">
        <v>29</v>
      </c>
      <c r="K5336" s="0" t="s">
        <v>30</v>
      </c>
      <c r="L5336" s="0" t="s">
        <v>31</v>
      </c>
      <c r="M5336" s="0" t="s">
        <v>167</v>
      </c>
      <c r="N5336" s="0" t="n">
        <v>847</v>
      </c>
      <c r="O5336" s="10" t="n">
        <v>0.333077453542501</v>
      </c>
      <c r="P5336" s="10" t="n">
        <v>0.790102193132043</v>
      </c>
      <c r="Q5336" s="0" t="str">
        <f aca="false">SUBSTITUTE(SUBSTITUTE($I5336,CHAR(61),""),CHAR(34),"")</f>
        <v>&lt;01</v>
      </c>
      <c r="R5336" s="0" t="str">
        <f aca="false">IF($D5336&lt;&gt;"","["&amp;$E5336&amp;"]"&amp;"|"&amp;$Q5336&amp;"|"&amp;$K5336&amp;"|"&amp;$G5336&amp;"|"&amp;IF($G5336="TX_CURR_SUBNAT.R","CY2022Q4",$M5336),"")</f>
        <v>[kxuuIFpOXyO]|&lt;01|Female|PLHIV_Attend.T|CY2024Q3</v>
      </c>
    </row>
    <row r="5337" customFormat="false" ht="15" hidden="false" customHeight="false" outlineLevel="0" collapsed="false">
      <c r="D5337" s="0" t="s">
        <v>63</v>
      </c>
      <c r="E5337" s="0" t="s">
        <v>64</v>
      </c>
      <c r="F5337" s="0" t="s">
        <v>65</v>
      </c>
      <c r="G5337" s="0" t="s">
        <v>168</v>
      </c>
      <c r="H5337" s="0" t="s">
        <v>168</v>
      </c>
      <c r="I5337" s="0" t="s">
        <v>33</v>
      </c>
      <c r="J5337" s="0" t="s">
        <v>34</v>
      </c>
      <c r="K5337" s="0" t="s">
        <v>30</v>
      </c>
      <c r="L5337" s="0" t="s">
        <v>31</v>
      </c>
      <c r="M5337" s="0" t="s">
        <v>167</v>
      </c>
      <c r="N5337" s="0" t="n">
        <v>705</v>
      </c>
      <c r="O5337" s="10" t="n">
        <v>0.791487526148558</v>
      </c>
      <c r="P5337" s="10" t="n">
        <v>0.790102193132043</v>
      </c>
      <c r="Q5337" s="0" t="str">
        <f aca="false">SUBSTITUTE(SUBSTITUTE($I5337,CHAR(61),""),CHAR(34),"")</f>
        <v>01-09</v>
      </c>
      <c r="R5337" s="0" t="str">
        <f aca="false">IF($D5337&lt;&gt;"","["&amp;$E5337&amp;"]"&amp;"|"&amp;$Q5337&amp;"|"&amp;$K5337&amp;"|"&amp;$G5337&amp;"|"&amp;IF($G5337="TX_CURR_SUBNAT.R","CY2022Q4",$M5337),"")</f>
        <v>[kxuuIFpOXyO]|01-09|Female|PLHIV_Attend.T|CY2024Q3</v>
      </c>
    </row>
    <row r="5338" customFormat="false" ht="15" hidden="false" customHeight="false" outlineLevel="0" collapsed="false">
      <c r="D5338" s="0" t="s">
        <v>63</v>
      </c>
      <c r="E5338" s="0" t="s">
        <v>64</v>
      </c>
      <c r="F5338" s="0" t="s">
        <v>65</v>
      </c>
      <c r="G5338" s="0" t="s">
        <v>168</v>
      </c>
      <c r="H5338" s="0" t="s">
        <v>168</v>
      </c>
      <c r="I5338" s="0" t="s">
        <v>36</v>
      </c>
      <c r="J5338" s="0" t="s">
        <v>37</v>
      </c>
      <c r="K5338" s="0" t="s">
        <v>30</v>
      </c>
      <c r="L5338" s="0" t="s">
        <v>31</v>
      </c>
      <c r="M5338" s="0" t="s">
        <v>167</v>
      </c>
      <c r="N5338" s="0" t="n">
        <v>1212</v>
      </c>
      <c r="O5338" s="10" t="n">
        <v>0.697104858001694</v>
      </c>
      <c r="P5338" s="10" t="n">
        <v>0.790102193132043</v>
      </c>
      <c r="Q5338" s="0" t="str">
        <f aca="false">SUBSTITUTE(SUBSTITUTE($I5338,CHAR(61),""),CHAR(34),"")</f>
        <v>10-14</v>
      </c>
      <c r="R5338" s="0" t="str">
        <f aca="false">IF($D5338&lt;&gt;"","["&amp;$E5338&amp;"]"&amp;"|"&amp;$Q5338&amp;"|"&amp;$K5338&amp;"|"&amp;$G5338&amp;"|"&amp;IF($G5338="TX_CURR_SUBNAT.R","CY2022Q4",$M5338),"")</f>
        <v>[kxuuIFpOXyO]|10-14|Female|PLHIV_Attend.T|CY2024Q3</v>
      </c>
    </row>
    <row r="5339" customFormat="false" ht="15" hidden="false" customHeight="false" outlineLevel="0" collapsed="false">
      <c r="D5339" s="0" t="s">
        <v>63</v>
      </c>
      <c r="E5339" s="0" t="s">
        <v>64</v>
      </c>
      <c r="F5339" s="0" t="s">
        <v>65</v>
      </c>
      <c r="G5339" s="0" t="s">
        <v>168</v>
      </c>
      <c r="H5339" s="0" t="s">
        <v>168</v>
      </c>
      <c r="I5339" s="0" t="s">
        <v>38</v>
      </c>
      <c r="J5339" s="0" t="s">
        <v>39</v>
      </c>
      <c r="K5339" s="0" t="s">
        <v>30</v>
      </c>
      <c r="L5339" s="0" t="s">
        <v>31</v>
      </c>
      <c r="M5339" s="0" t="s">
        <v>167</v>
      </c>
      <c r="N5339" s="0" t="n">
        <v>1371</v>
      </c>
      <c r="O5339" s="10" t="n">
        <v>0.000452589942142367</v>
      </c>
      <c r="P5339" s="10" t="n">
        <v>0.790102193132043</v>
      </c>
      <c r="Q5339" s="0" t="str">
        <f aca="false">SUBSTITUTE(SUBSTITUTE($I5339,CHAR(61),""),CHAR(34),"")</f>
        <v>15-24</v>
      </c>
      <c r="R5339" s="0" t="str">
        <f aca="false">IF($D5339&lt;&gt;"","["&amp;$E5339&amp;"]"&amp;"|"&amp;$Q5339&amp;"|"&amp;$K5339&amp;"|"&amp;$G5339&amp;"|"&amp;IF($G5339="TX_CURR_SUBNAT.R","CY2022Q4",$M5339),"")</f>
        <v>[kxuuIFpOXyO]|15-24|Female|PLHIV_Attend.T|CY2024Q3</v>
      </c>
    </row>
    <row r="5340" customFormat="false" ht="15" hidden="false" customHeight="false" outlineLevel="0" collapsed="false">
      <c r="D5340" s="0" t="s">
        <v>63</v>
      </c>
      <c r="E5340" s="0" t="s">
        <v>64</v>
      </c>
      <c r="F5340" s="0" t="s">
        <v>65</v>
      </c>
      <c r="G5340" s="0" t="s">
        <v>168</v>
      </c>
      <c r="H5340" s="0" t="s">
        <v>168</v>
      </c>
      <c r="I5340" s="0" t="s">
        <v>41</v>
      </c>
      <c r="J5340" s="0" t="s">
        <v>42</v>
      </c>
      <c r="K5340" s="0" t="s">
        <v>30</v>
      </c>
      <c r="L5340" s="0" t="s">
        <v>31</v>
      </c>
      <c r="M5340" s="0" t="s">
        <v>167</v>
      </c>
      <c r="N5340" s="0" t="n">
        <v>1850</v>
      </c>
      <c r="O5340" s="10" t="n">
        <v>0.845565023599193</v>
      </c>
      <c r="P5340" s="10" t="n">
        <v>0.790102193132043</v>
      </c>
      <c r="Q5340" s="0" t="str">
        <f aca="false">SUBSTITUTE(SUBSTITUTE($I5340,CHAR(61),""),CHAR(34),"")</f>
        <v>25-34</v>
      </c>
      <c r="R5340" s="0" t="str">
        <f aca="false">IF($D5340&lt;&gt;"","["&amp;$E5340&amp;"]"&amp;"|"&amp;$Q5340&amp;"|"&amp;$K5340&amp;"|"&amp;$G5340&amp;"|"&amp;IF($G5340="TX_CURR_SUBNAT.R","CY2022Q4",$M5340),"")</f>
        <v>[kxuuIFpOXyO]|25-34|Female|PLHIV_Attend.T|CY2024Q3</v>
      </c>
    </row>
    <row r="5341" customFormat="false" ht="15" hidden="false" customHeight="false" outlineLevel="0" collapsed="false">
      <c r="D5341" s="0" t="s">
        <v>63</v>
      </c>
      <c r="E5341" s="0" t="s">
        <v>64</v>
      </c>
      <c r="F5341" s="0" t="s">
        <v>65</v>
      </c>
      <c r="G5341" s="0" t="s">
        <v>168</v>
      </c>
      <c r="H5341" s="0" t="s">
        <v>168</v>
      </c>
      <c r="I5341" s="0" t="s">
        <v>43</v>
      </c>
      <c r="J5341" s="0" t="s">
        <v>44</v>
      </c>
      <c r="K5341" s="0" t="s">
        <v>30</v>
      </c>
      <c r="L5341" s="0" t="s">
        <v>31</v>
      </c>
      <c r="M5341" s="0" t="s">
        <v>167</v>
      </c>
      <c r="N5341" s="0" t="n">
        <v>1249</v>
      </c>
      <c r="O5341" s="10" t="n">
        <v>0.328028061194345</v>
      </c>
      <c r="P5341" s="10" t="n">
        <v>0.790102193132043</v>
      </c>
      <c r="Q5341" s="0" t="str">
        <f aca="false">SUBSTITUTE(SUBSTITUTE($I5341,CHAR(61),""),CHAR(34),"")</f>
        <v>35-49</v>
      </c>
      <c r="R5341" s="0" t="str">
        <f aca="false">IF($D5341&lt;&gt;"","["&amp;$E5341&amp;"]"&amp;"|"&amp;$Q5341&amp;"|"&amp;$K5341&amp;"|"&amp;$G5341&amp;"|"&amp;IF($G5341="TX_CURR_SUBNAT.R","CY2022Q4",$M5341),"")</f>
        <v>[kxuuIFpOXyO]|35-49|Female|PLHIV_Attend.T|CY2024Q3</v>
      </c>
    </row>
    <row r="5342" customFormat="false" ht="15" hidden="false" customHeight="false" outlineLevel="0" collapsed="false">
      <c r="D5342" s="0" t="s">
        <v>63</v>
      </c>
      <c r="E5342" s="0" t="s">
        <v>64</v>
      </c>
      <c r="F5342" s="0" t="s">
        <v>65</v>
      </c>
      <c r="G5342" s="0" t="s">
        <v>168</v>
      </c>
      <c r="H5342" s="0" t="s">
        <v>168</v>
      </c>
      <c r="I5342" s="0" t="s">
        <v>45</v>
      </c>
      <c r="J5342" s="0" t="s">
        <v>46</v>
      </c>
      <c r="K5342" s="0" t="s">
        <v>30</v>
      </c>
      <c r="L5342" s="0" t="s">
        <v>31</v>
      </c>
      <c r="M5342" s="0" t="s">
        <v>167</v>
      </c>
      <c r="N5342" s="0" t="n">
        <v>1286</v>
      </c>
      <c r="O5342" s="10" t="n">
        <v>0.796331193763763</v>
      </c>
      <c r="P5342" s="10" t="n">
        <v>0.790102193132043</v>
      </c>
      <c r="Q5342" s="0" t="str">
        <f aca="false">SUBSTITUTE(SUBSTITUTE($I5342,CHAR(61),""),CHAR(34),"")</f>
        <v>50+</v>
      </c>
      <c r="R5342" s="0" t="str">
        <f aca="false">IF($D5342&lt;&gt;"","["&amp;$E5342&amp;"]"&amp;"|"&amp;$Q5342&amp;"|"&amp;$K5342&amp;"|"&amp;$G5342&amp;"|"&amp;IF($G5342="TX_CURR_SUBNAT.R","CY2022Q4",$M5342),"")</f>
        <v>[kxuuIFpOXyO]|50+|Female|PLHIV_Attend.T|CY2024Q3</v>
      </c>
    </row>
    <row r="5343" customFormat="false" ht="15" hidden="false" customHeight="false" outlineLevel="0" collapsed="false">
      <c r="D5343" s="0" t="s">
        <v>63</v>
      </c>
      <c r="E5343" s="0" t="s">
        <v>64</v>
      </c>
      <c r="F5343" s="0" t="s">
        <v>65</v>
      </c>
      <c r="G5343" s="0" t="s">
        <v>168</v>
      </c>
      <c r="H5343" s="0" t="s">
        <v>168</v>
      </c>
      <c r="I5343" s="0" t="s">
        <v>28</v>
      </c>
      <c r="J5343" s="0" t="s">
        <v>29</v>
      </c>
      <c r="K5343" s="0" t="s">
        <v>48</v>
      </c>
      <c r="L5343" s="0" t="s">
        <v>49</v>
      </c>
      <c r="M5343" s="0" t="s">
        <v>167</v>
      </c>
      <c r="N5343" s="0" t="n">
        <v>1874</v>
      </c>
      <c r="O5343" s="10" t="n">
        <v>0.203380784485489</v>
      </c>
      <c r="P5343" s="10" t="n">
        <v>0.790102193132043</v>
      </c>
      <c r="Q5343" s="0" t="str">
        <f aca="false">SUBSTITUTE(SUBSTITUTE($I5343,CHAR(61),""),CHAR(34),"")</f>
        <v>&lt;01</v>
      </c>
      <c r="R5343" s="0" t="str">
        <f aca="false">IF($D5343&lt;&gt;"","["&amp;$E5343&amp;"]"&amp;"|"&amp;$Q5343&amp;"|"&amp;$K5343&amp;"|"&amp;$G5343&amp;"|"&amp;IF($G5343="TX_CURR_SUBNAT.R","CY2022Q4",$M5343),"")</f>
        <v>[kxuuIFpOXyO]|&lt;01|Male|PLHIV_Attend.T|CY2024Q3</v>
      </c>
    </row>
    <row r="5344" customFormat="false" ht="15" hidden="false" customHeight="false" outlineLevel="0" collapsed="false">
      <c r="D5344" s="0" t="s">
        <v>63</v>
      </c>
      <c r="E5344" s="0" t="s">
        <v>64</v>
      </c>
      <c r="F5344" s="0" t="s">
        <v>65</v>
      </c>
      <c r="G5344" s="0" t="s">
        <v>168</v>
      </c>
      <c r="H5344" s="0" t="s">
        <v>168</v>
      </c>
      <c r="I5344" s="0" t="s">
        <v>33</v>
      </c>
      <c r="J5344" s="0" t="s">
        <v>34</v>
      </c>
      <c r="K5344" s="0" t="s">
        <v>48</v>
      </c>
      <c r="L5344" s="0" t="s">
        <v>49</v>
      </c>
      <c r="M5344" s="0" t="s">
        <v>167</v>
      </c>
      <c r="N5344" s="0" t="n">
        <v>1477</v>
      </c>
      <c r="O5344" s="10" t="n">
        <v>0.477678639814258</v>
      </c>
      <c r="P5344" s="10" t="n">
        <v>0.790102193132043</v>
      </c>
      <c r="Q5344" s="0" t="str">
        <f aca="false">SUBSTITUTE(SUBSTITUTE($I5344,CHAR(61),""),CHAR(34),"")</f>
        <v>01-09</v>
      </c>
      <c r="R5344" s="0" t="str">
        <f aca="false">IF($D5344&lt;&gt;"","["&amp;$E5344&amp;"]"&amp;"|"&amp;$Q5344&amp;"|"&amp;$K5344&amp;"|"&amp;$G5344&amp;"|"&amp;IF($G5344="TX_CURR_SUBNAT.R","CY2022Q4",$M5344),"")</f>
        <v>[kxuuIFpOXyO]|01-09|Male|PLHIV_Attend.T|CY2024Q3</v>
      </c>
    </row>
    <row r="5345" customFormat="false" ht="15" hidden="false" customHeight="false" outlineLevel="0" collapsed="false">
      <c r="D5345" s="0" t="s">
        <v>63</v>
      </c>
      <c r="E5345" s="0" t="s">
        <v>64</v>
      </c>
      <c r="F5345" s="0" t="s">
        <v>65</v>
      </c>
      <c r="G5345" s="0" t="s">
        <v>168</v>
      </c>
      <c r="H5345" s="0" t="s">
        <v>168</v>
      </c>
      <c r="I5345" s="0" t="s">
        <v>36</v>
      </c>
      <c r="J5345" s="0" t="s">
        <v>37</v>
      </c>
      <c r="K5345" s="0" t="s">
        <v>48</v>
      </c>
      <c r="L5345" s="0" t="s">
        <v>49</v>
      </c>
      <c r="M5345" s="0" t="s">
        <v>167</v>
      </c>
      <c r="N5345" s="0" t="n">
        <v>548</v>
      </c>
      <c r="O5345" s="10" t="n">
        <v>0.00396537710912526</v>
      </c>
      <c r="P5345" s="10" t="n">
        <v>0.790102193132043</v>
      </c>
      <c r="Q5345" s="0" t="str">
        <f aca="false">SUBSTITUTE(SUBSTITUTE($I5345,CHAR(61),""),CHAR(34),"")</f>
        <v>10-14</v>
      </c>
      <c r="R5345" s="0" t="str">
        <f aca="false">IF($D5345&lt;&gt;"","["&amp;$E5345&amp;"]"&amp;"|"&amp;$Q5345&amp;"|"&amp;$K5345&amp;"|"&amp;$G5345&amp;"|"&amp;IF($G5345="TX_CURR_SUBNAT.R","CY2022Q4",$M5345),"")</f>
        <v>[kxuuIFpOXyO]|10-14|Male|PLHIV_Attend.T|CY2024Q3</v>
      </c>
    </row>
    <row r="5346" customFormat="false" ht="15" hidden="false" customHeight="false" outlineLevel="0" collapsed="false">
      <c r="D5346" s="0" t="s">
        <v>63</v>
      </c>
      <c r="E5346" s="0" t="s">
        <v>64</v>
      </c>
      <c r="F5346" s="0" t="s">
        <v>65</v>
      </c>
      <c r="G5346" s="0" t="s">
        <v>168</v>
      </c>
      <c r="H5346" s="0" t="s">
        <v>168</v>
      </c>
      <c r="I5346" s="0" t="s">
        <v>38</v>
      </c>
      <c r="J5346" s="0" t="s">
        <v>39</v>
      </c>
      <c r="K5346" s="0" t="s">
        <v>48</v>
      </c>
      <c r="L5346" s="0" t="s">
        <v>49</v>
      </c>
      <c r="M5346" s="0" t="s">
        <v>167</v>
      </c>
      <c r="N5346" s="0" t="n">
        <v>1229</v>
      </c>
      <c r="O5346" s="10" t="n">
        <v>0.175874430919066</v>
      </c>
      <c r="P5346" s="10" t="n">
        <v>0.790102193132043</v>
      </c>
      <c r="Q5346" s="0" t="str">
        <f aca="false">SUBSTITUTE(SUBSTITUTE($I5346,CHAR(61),""),CHAR(34),"")</f>
        <v>15-24</v>
      </c>
      <c r="R5346" s="0" t="str">
        <f aca="false">IF($D5346&lt;&gt;"","["&amp;$E5346&amp;"]"&amp;"|"&amp;$Q5346&amp;"|"&amp;$K5346&amp;"|"&amp;$G5346&amp;"|"&amp;IF($G5346="TX_CURR_SUBNAT.R","CY2022Q4",$M5346),"")</f>
        <v>[kxuuIFpOXyO]|15-24|Male|PLHIV_Attend.T|CY2024Q3</v>
      </c>
    </row>
    <row r="5347" customFormat="false" ht="15" hidden="false" customHeight="false" outlineLevel="0" collapsed="false">
      <c r="D5347" s="0" t="s">
        <v>63</v>
      </c>
      <c r="E5347" s="0" t="s">
        <v>64</v>
      </c>
      <c r="F5347" s="0" t="s">
        <v>65</v>
      </c>
      <c r="G5347" s="0" t="s">
        <v>168</v>
      </c>
      <c r="H5347" s="0" t="s">
        <v>168</v>
      </c>
      <c r="I5347" s="0" t="s">
        <v>41</v>
      </c>
      <c r="J5347" s="0" t="s">
        <v>42</v>
      </c>
      <c r="K5347" s="0" t="s">
        <v>48</v>
      </c>
      <c r="L5347" s="0" t="s">
        <v>49</v>
      </c>
      <c r="M5347" s="0" t="s">
        <v>167</v>
      </c>
      <c r="N5347" s="0" t="n">
        <v>885</v>
      </c>
      <c r="O5347" s="10" t="n">
        <v>0.582500372081995</v>
      </c>
      <c r="P5347" s="10" t="n">
        <v>0.790102193132043</v>
      </c>
      <c r="Q5347" s="0" t="str">
        <f aca="false">SUBSTITUTE(SUBSTITUTE($I5347,CHAR(61),""),CHAR(34),"")</f>
        <v>25-34</v>
      </c>
      <c r="R5347" s="0" t="str">
        <f aca="false">IF($D5347&lt;&gt;"","["&amp;$E5347&amp;"]"&amp;"|"&amp;$Q5347&amp;"|"&amp;$K5347&amp;"|"&amp;$G5347&amp;"|"&amp;IF($G5347="TX_CURR_SUBNAT.R","CY2022Q4",$M5347),"")</f>
        <v>[kxuuIFpOXyO]|25-34|Male|PLHIV_Attend.T|CY2024Q3</v>
      </c>
    </row>
    <row r="5348" customFormat="false" ht="15" hidden="false" customHeight="false" outlineLevel="0" collapsed="false">
      <c r="D5348" s="0" t="s">
        <v>63</v>
      </c>
      <c r="E5348" s="0" t="s">
        <v>64</v>
      </c>
      <c r="F5348" s="0" t="s">
        <v>65</v>
      </c>
      <c r="G5348" s="0" t="s">
        <v>168</v>
      </c>
      <c r="H5348" s="0" t="s">
        <v>168</v>
      </c>
      <c r="I5348" s="0" t="s">
        <v>43</v>
      </c>
      <c r="J5348" s="0" t="s">
        <v>44</v>
      </c>
      <c r="K5348" s="0" t="s">
        <v>48</v>
      </c>
      <c r="L5348" s="0" t="s">
        <v>49</v>
      </c>
      <c r="M5348" s="0" t="s">
        <v>167</v>
      </c>
      <c r="N5348" s="0" t="n">
        <v>1530</v>
      </c>
      <c r="O5348" s="10" t="n">
        <v>0.818303573410958</v>
      </c>
      <c r="P5348" s="10" t="n">
        <v>0.790102193132043</v>
      </c>
      <c r="Q5348" s="0" t="str">
        <f aca="false">SUBSTITUTE(SUBSTITUTE($I5348,CHAR(61),""),CHAR(34),"")</f>
        <v>35-49</v>
      </c>
      <c r="R5348" s="0" t="str">
        <f aca="false">IF($D5348&lt;&gt;"","["&amp;$E5348&amp;"]"&amp;"|"&amp;$Q5348&amp;"|"&amp;$K5348&amp;"|"&amp;$G5348&amp;"|"&amp;IF($G5348="TX_CURR_SUBNAT.R","CY2022Q4",$M5348),"")</f>
        <v>[kxuuIFpOXyO]|35-49|Male|PLHIV_Attend.T|CY2024Q3</v>
      </c>
    </row>
    <row r="5349" customFormat="false" ht="15" hidden="false" customHeight="false" outlineLevel="0" collapsed="false">
      <c r="D5349" s="0" t="s">
        <v>63</v>
      </c>
      <c r="E5349" s="0" t="s">
        <v>64</v>
      </c>
      <c r="F5349" s="0" t="s">
        <v>65</v>
      </c>
      <c r="G5349" s="0" t="s">
        <v>168</v>
      </c>
      <c r="H5349" s="0" t="s">
        <v>168</v>
      </c>
      <c r="I5349" s="0" t="s">
        <v>45</v>
      </c>
      <c r="J5349" s="0" t="s">
        <v>46</v>
      </c>
      <c r="K5349" s="0" t="s">
        <v>48</v>
      </c>
      <c r="L5349" s="0" t="s">
        <v>49</v>
      </c>
      <c r="M5349" s="0" t="s">
        <v>167</v>
      </c>
      <c r="N5349" s="0" t="n">
        <v>746</v>
      </c>
      <c r="O5349" s="10" t="n">
        <v>0.874643433606252</v>
      </c>
      <c r="P5349" s="10" t="n">
        <v>0.790102193132043</v>
      </c>
      <c r="Q5349" s="0" t="str">
        <f aca="false">SUBSTITUTE(SUBSTITUTE($I5349,CHAR(61),""),CHAR(34),"")</f>
        <v>50+</v>
      </c>
      <c r="R5349" s="0" t="str">
        <f aca="false">IF($D5349&lt;&gt;"","["&amp;$E5349&amp;"]"&amp;"|"&amp;$Q5349&amp;"|"&amp;$K5349&amp;"|"&amp;$G5349&amp;"|"&amp;IF($G5349="TX_CURR_SUBNAT.R","CY2022Q4",$M5349),"")</f>
        <v>[kxuuIFpOXyO]|50+|Male|PLHIV_Attend.T|CY2024Q3</v>
      </c>
    </row>
    <row r="5350" customFormat="false" ht="15" hidden="false" customHeight="false" outlineLevel="0" collapsed="false">
      <c r="D5350" s="0" t="s">
        <v>66</v>
      </c>
      <c r="E5350" s="0" t="s">
        <v>67</v>
      </c>
      <c r="F5350" s="0" t="s">
        <v>68</v>
      </c>
      <c r="G5350" s="0" t="s">
        <v>168</v>
      </c>
      <c r="H5350" s="0" t="s">
        <v>168</v>
      </c>
      <c r="I5350" s="0" t="s">
        <v>28</v>
      </c>
      <c r="J5350" s="0" t="s">
        <v>29</v>
      </c>
      <c r="K5350" s="0" t="s">
        <v>30</v>
      </c>
      <c r="L5350" s="0" t="s">
        <v>31</v>
      </c>
      <c r="M5350" s="0" t="s">
        <v>167</v>
      </c>
      <c r="N5350" s="0" t="n">
        <v>771</v>
      </c>
      <c r="O5350" s="10" t="n">
        <v>0.668061223812401</v>
      </c>
      <c r="P5350" s="10" t="n">
        <v>0.164609884377569</v>
      </c>
      <c r="Q5350" s="0" t="str">
        <f aca="false">SUBSTITUTE(SUBSTITUTE($I5350,CHAR(61),""),CHAR(34),"")</f>
        <v>&lt;01</v>
      </c>
      <c r="R5350" s="0" t="str">
        <f aca="false">IF($D5350&lt;&gt;"","["&amp;$E5350&amp;"]"&amp;"|"&amp;$Q5350&amp;"|"&amp;$K5350&amp;"|"&amp;$G5350&amp;"|"&amp;IF($G5350="TX_CURR_SUBNAT.R","CY2022Q4",$M5350),"")</f>
        <v>[ScR9iFKAasW]|&lt;01|Female|PLHIV_Attend.T|CY2024Q3</v>
      </c>
    </row>
    <row r="5351" customFormat="false" ht="15" hidden="false" customHeight="false" outlineLevel="0" collapsed="false">
      <c r="D5351" s="0" t="s">
        <v>66</v>
      </c>
      <c r="E5351" s="0" t="s">
        <v>67</v>
      </c>
      <c r="F5351" s="0" t="s">
        <v>68</v>
      </c>
      <c r="G5351" s="0" t="s">
        <v>168</v>
      </c>
      <c r="H5351" s="0" t="s">
        <v>168</v>
      </c>
      <c r="I5351" s="0" t="s">
        <v>33</v>
      </c>
      <c r="J5351" s="0" t="s">
        <v>34</v>
      </c>
      <c r="K5351" s="0" t="s">
        <v>30</v>
      </c>
      <c r="L5351" s="0" t="s">
        <v>31</v>
      </c>
      <c r="M5351" s="0" t="s">
        <v>167</v>
      </c>
      <c r="N5351" s="0" t="n">
        <v>1909</v>
      </c>
      <c r="O5351" s="10" t="n">
        <v>0.0479735049884766</v>
      </c>
      <c r="P5351" s="10" t="n">
        <v>0.164609884377569</v>
      </c>
      <c r="Q5351" s="0" t="str">
        <f aca="false">SUBSTITUTE(SUBSTITUTE($I5351,CHAR(61),""),CHAR(34),"")</f>
        <v>01-09</v>
      </c>
      <c r="R5351" s="0" t="str">
        <f aca="false">IF($D5351&lt;&gt;"","["&amp;$E5351&amp;"]"&amp;"|"&amp;$Q5351&amp;"|"&amp;$K5351&amp;"|"&amp;$G5351&amp;"|"&amp;IF($G5351="TX_CURR_SUBNAT.R","CY2022Q4",$M5351),"")</f>
        <v>[ScR9iFKAasW]|01-09|Female|PLHIV_Attend.T|CY2024Q3</v>
      </c>
    </row>
    <row r="5352" customFormat="false" ht="15" hidden="false" customHeight="false" outlineLevel="0" collapsed="false">
      <c r="D5352" s="0" t="s">
        <v>66</v>
      </c>
      <c r="E5352" s="0" t="s">
        <v>67</v>
      </c>
      <c r="F5352" s="0" t="s">
        <v>68</v>
      </c>
      <c r="G5352" s="0" t="s">
        <v>168</v>
      </c>
      <c r="H5352" s="0" t="s">
        <v>168</v>
      </c>
      <c r="I5352" s="0" t="s">
        <v>36</v>
      </c>
      <c r="J5352" s="0" t="s">
        <v>37</v>
      </c>
      <c r="K5352" s="0" t="s">
        <v>30</v>
      </c>
      <c r="L5352" s="0" t="s">
        <v>31</v>
      </c>
      <c r="M5352" s="0" t="s">
        <v>167</v>
      </c>
      <c r="N5352" s="0" t="n">
        <v>851</v>
      </c>
      <c r="O5352" s="10" t="n">
        <v>0.640667848521844</v>
      </c>
      <c r="P5352" s="10" t="n">
        <v>0.164609884377569</v>
      </c>
      <c r="Q5352" s="0" t="str">
        <f aca="false">SUBSTITUTE(SUBSTITUTE($I5352,CHAR(61),""),CHAR(34),"")</f>
        <v>10-14</v>
      </c>
      <c r="R5352" s="0" t="str">
        <f aca="false">IF($D5352&lt;&gt;"","["&amp;$E5352&amp;"]"&amp;"|"&amp;$Q5352&amp;"|"&amp;$K5352&amp;"|"&amp;$G5352&amp;"|"&amp;IF($G5352="TX_CURR_SUBNAT.R","CY2022Q4",$M5352),"")</f>
        <v>[ScR9iFKAasW]|10-14|Female|PLHIV_Attend.T|CY2024Q3</v>
      </c>
    </row>
    <row r="5353" customFormat="false" ht="15" hidden="false" customHeight="false" outlineLevel="0" collapsed="false">
      <c r="D5353" s="0" t="s">
        <v>66</v>
      </c>
      <c r="E5353" s="0" t="s">
        <v>67</v>
      </c>
      <c r="F5353" s="0" t="s">
        <v>68</v>
      </c>
      <c r="G5353" s="0" t="s">
        <v>168</v>
      </c>
      <c r="H5353" s="0" t="s">
        <v>168</v>
      </c>
      <c r="I5353" s="0" t="s">
        <v>38</v>
      </c>
      <c r="J5353" s="0" t="s">
        <v>39</v>
      </c>
      <c r="K5353" s="0" t="s">
        <v>30</v>
      </c>
      <c r="L5353" s="0" t="s">
        <v>31</v>
      </c>
      <c r="M5353" s="0" t="s">
        <v>167</v>
      </c>
      <c r="N5353" s="0" t="n">
        <v>699</v>
      </c>
      <c r="O5353" s="10" t="n">
        <v>0.777552439598367</v>
      </c>
      <c r="P5353" s="10" t="n">
        <v>0.164609884377569</v>
      </c>
      <c r="Q5353" s="0" t="str">
        <f aca="false">SUBSTITUTE(SUBSTITUTE($I5353,CHAR(61),""),CHAR(34),"")</f>
        <v>15-24</v>
      </c>
      <c r="R5353" s="0" t="str">
        <f aca="false">IF($D5353&lt;&gt;"","["&amp;$E5353&amp;"]"&amp;"|"&amp;$Q5353&amp;"|"&amp;$K5353&amp;"|"&amp;$G5353&amp;"|"&amp;IF($G5353="TX_CURR_SUBNAT.R","CY2022Q4",$M5353),"")</f>
        <v>[ScR9iFKAasW]|15-24|Female|PLHIV_Attend.T|CY2024Q3</v>
      </c>
    </row>
    <row r="5354" customFormat="false" ht="15" hidden="false" customHeight="false" outlineLevel="0" collapsed="false">
      <c r="D5354" s="0" t="s">
        <v>66</v>
      </c>
      <c r="E5354" s="0" t="s">
        <v>67</v>
      </c>
      <c r="F5354" s="0" t="s">
        <v>68</v>
      </c>
      <c r="G5354" s="0" t="s">
        <v>168</v>
      </c>
      <c r="H5354" s="0" t="s">
        <v>168</v>
      </c>
      <c r="I5354" s="0" t="s">
        <v>41</v>
      </c>
      <c r="J5354" s="0" t="s">
        <v>42</v>
      </c>
      <c r="K5354" s="0" t="s">
        <v>30</v>
      </c>
      <c r="L5354" s="0" t="s">
        <v>31</v>
      </c>
      <c r="M5354" s="0" t="s">
        <v>167</v>
      </c>
      <c r="N5354" s="0" t="n">
        <v>1956</v>
      </c>
      <c r="O5354" s="10" t="n">
        <v>0.360389157664031</v>
      </c>
      <c r="P5354" s="10" t="n">
        <v>0.164609884377569</v>
      </c>
      <c r="Q5354" s="0" t="str">
        <f aca="false">SUBSTITUTE(SUBSTITUTE($I5354,CHAR(61),""),CHAR(34),"")</f>
        <v>25-34</v>
      </c>
      <c r="R5354" s="0" t="str">
        <f aca="false">IF($D5354&lt;&gt;"","["&amp;$E5354&amp;"]"&amp;"|"&amp;$Q5354&amp;"|"&amp;$K5354&amp;"|"&amp;$G5354&amp;"|"&amp;IF($G5354="TX_CURR_SUBNAT.R","CY2022Q4",$M5354),"")</f>
        <v>[ScR9iFKAasW]|25-34|Female|PLHIV_Attend.T|CY2024Q3</v>
      </c>
    </row>
    <row r="5355" customFormat="false" ht="15" hidden="false" customHeight="false" outlineLevel="0" collapsed="false">
      <c r="D5355" s="0" t="s">
        <v>66</v>
      </c>
      <c r="E5355" s="0" t="s">
        <v>67</v>
      </c>
      <c r="F5355" s="0" t="s">
        <v>68</v>
      </c>
      <c r="G5355" s="0" t="s">
        <v>168</v>
      </c>
      <c r="H5355" s="0" t="s">
        <v>168</v>
      </c>
      <c r="I5355" s="0" t="s">
        <v>43</v>
      </c>
      <c r="J5355" s="0" t="s">
        <v>44</v>
      </c>
      <c r="K5355" s="0" t="s">
        <v>30</v>
      </c>
      <c r="L5355" s="0" t="s">
        <v>31</v>
      </c>
      <c r="M5355" s="0" t="s">
        <v>167</v>
      </c>
      <c r="N5355" s="0" t="n">
        <v>1070</v>
      </c>
      <c r="O5355" s="10" t="n">
        <v>0.437163485679775</v>
      </c>
      <c r="P5355" s="10" t="n">
        <v>0.164609884377569</v>
      </c>
      <c r="Q5355" s="0" t="str">
        <f aca="false">SUBSTITUTE(SUBSTITUTE($I5355,CHAR(61),""),CHAR(34),"")</f>
        <v>35-49</v>
      </c>
      <c r="R5355" s="0" t="str">
        <f aca="false">IF($D5355&lt;&gt;"","["&amp;$E5355&amp;"]"&amp;"|"&amp;$Q5355&amp;"|"&amp;$K5355&amp;"|"&amp;$G5355&amp;"|"&amp;IF($G5355="TX_CURR_SUBNAT.R","CY2022Q4",$M5355),"")</f>
        <v>[ScR9iFKAasW]|35-49|Female|PLHIV_Attend.T|CY2024Q3</v>
      </c>
    </row>
    <row r="5356" customFormat="false" ht="15" hidden="false" customHeight="false" outlineLevel="0" collapsed="false">
      <c r="D5356" s="0" t="s">
        <v>66</v>
      </c>
      <c r="E5356" s="0" t="s">
        <v>67</v>
      </c>
      <c r="F5356" s="0" t="s">
        <v>68</v>
      </c>
      <c r="G5356" s="0" t="s">
        <v>168</v>
      </c>
      <c r="H5356" s="0" t="s">
        <v>168</v>
      </c>
      <c r="I5356" s="0" t="s">
        <v>45</v>
      </c>
      <c r="J5356" s="0" t="s">
        <v>46</v>
      </c>
      <c r="K5356" s="0" t="s">
        <v>30</v>
      </c>
      <c r="L5356" s="0" t="s">
        <v>31</v>
      </c>
      <c r="M5356" s="0" t="s">
        <v>167</v>
      </c>
      <c r="N5356" s="0" t="n">
        <v>1504</v>
      </c>
      <c r="O5356" s="10" t="n">
        <v>0.161268255207688</v>
      </c>
      <c r="P5356" s="10" t="n">
        <v>0.164609884377569</v>
      </c>
      <c r="Q5356" s="0" t="str">
        <f aca="false">SUBSTITUTE(SUBSTITUTE($I5356,CHAR(61),""),CHAR(34),"")</f>
        <v>50+</v>
      </c>
      <c r="R5356" s="0" t="str">
        <f aca="false">IF($D5356&lt;&gt;"","["&amp;$E5356&amp;"]"&amp;"|"&amp;$Q5356&amp;"|"&amp;$K5356&amp;"|"&amp;$G5356&amp;"|"&amp;IF($G5356="TX_CURR_SUBNAT.R","CY2022Q4",$M5356),"")</f>
        <v>[ScR9iFKAasW]|50+|Female|PLHIV_Attend.T|CY2024Q3</v>
      </c>
    </row>
    <row r="5357" customFormat="false" ht="15" hidden="false" customHeight="false" outlineLevel="0" collapsed="false">
      <c r="D5357" s="0" t="s">
        <v>66</v>
      </c>
      <c r="E5357" s="0" t="s">
        <v>67</v>
      </c>
      <c r="F5357" s="0" t="s">
        <v>68</v>
      </c>
      <c r="G5357" s="0" t="s">
        <v>168</v>
      </c>
      <c r="H5357" s="0" t="s">
        <v>168</v>
      </c>
      <c r="I5357" s="0" t="s">
        <v>28</v>
      </c>
      <c r="J5357" s="0" t="s">
        <v>29</v>
      </c>
      <c r="K5357" s="0" t="s">
        <v>48</v>
      </c>
      <c r="L5357" s="0" t="s">
        <v>49</v>
      </c>
      <c r="M5357" s="0" t="s">
        <v>167</v>
      </c>
      <c r="N5357" s="0" t="n">
        <v>1314</v>
      </c>
      <c r="O5357" s="10" t="n">
        <v>0.705189084168524</v>
      </c>
      <c r="P5357" s="10" t="n">
        <v>0.164609884377569</v>
      </c>
      <c r="Q5357" s="0" t="str">
        <f aca="false">SUBSTITUTE(SUBSTITUTE($I5357,CHAR(61),""),CHAR(34),"")</f>
        <v>&lt;01</v>
      </c>
      <c r="R5357" s="0" t="str">
        <f aca="false">IF($D5357&lt;&gt;"","["&amp;$E5357&amp;"]"&amp;"|"&amp;$Q5357&amp;"|"&amp;$K5357&amp;"|"&amp;$G5357&amp;"|"&amp;IF($G5357="TX_CURR_SUBNAT.R","CY2022Q4",$M5357),"")</f>
        <v>[ScR9iFKAasW]|&lt;01|Male|PLHIV_Attend.T|CY2024Q3</v>
      </c>
    </row>
    <row r="5358" customFormat="false" ht="15" hidden="false" customHeight="false" outlineLevel="0" collapsed="false">
      <c r="D5358" s="0" t="s">
        <v>66</v>
      </c>
      <c r="E5358" s="0" t="s">
        <v>67</v>
      </c>
      <c r="F5358" s="0" t="s">
        <v>68</v>
      </c>
      <c r="G5358" s="0" t="s">
        <v>168</v>
      </c>
      <c r="H5358" s="0" t="s">
        <v>168</v>
      </c>
      <c r="I5358" s="0" t="s">
        <v>33</v>
      </c>
      <c r="J5358" s="0" t="s">
        <v>34</v>
      </c>
      <c r="K5358" s="0" t="s">
        <v>48</v>
      </c>
      <c r="L5358" s="0" t="s">
        <v>49</v>
      </c>
      <c r="M5358" s="0" t="s">
        <v>167</v>
      </c>
      <c r="N5358" s="0" t="n">
        <v>1047</v>
      </c>
      <c r="O5358" s="10" t="n">
        <v>0.173759486526251</v>
      </c>
      <c r="P5358" s="10" t="n">
        <v>0.164609884377569</v>
      </c>
      <c r="Q5358" s="0" t="str">
        <f aca="false">SUBSTITUTE(SUBSTITUTE($I5358,CHAR(61),""),CHAR(34),"")</f>
        <v>01-09</v>
      </c>
      <c r="R5358" s="0" t="str">
        <f aca="false">IF($D5358&lt;&gt;"","["&amp;$E5358&amp;"]"&amp;"|"&amp;$Q5358&amp;"|"&amp;$K5358&amp;"|"&amp;$G5358&amp;"|"&amp;IF($G5358="TX_CURR_SUBNAT.R","CY2022Q4",$M5358),"")</f>
        <v>[ScR9iFKAasW]|01-09|Male|PLHIV_Attend.T|CY2024Q3</v>
      </c>
    </row>
    <row r="5359" customFormat="false" ht="15" hidden="false" customHeight="false" outlineLevel="0" collapsed="false">
      <c r="D5359" s="0" t="s">
        <v>66</v>
      </c>
      <c r="E5359" s="0" t="s">
        <v>67</v>
      </c>
      <c r="F5359" s="0" t="s">
        <v>68</v>
      </c>
      <c r="G5359" s="0" t="s">
        <v>168</v>
      </c>
      <c r="H5359" s="0" t="s">
        <v>168</v>
      </c>
      <c r="I5359" s="0" t="s">
        <v>36</v>
      </c>
      <c r="J5359" s="0" t="s">
        <v>37</v>
      </c>
      <c r="K5359" s="0" t="s">
        <v>48</v>
      </c>
      <c r="L5359" s="0" t="s">
        <v>49</v>
      </c>
      <c r="M5359" s="0" t="s">
        <v>167</v>
      </c>
      <c r="N5359" s="0" t="n">
        <v>1508</v>
      </c>
      <c r="O5359" s="10" t="n">
        <v>0.0202037948183715</v>
      </c>
      <c r="P5359" s="10" t="n">
        <v>0.164609884377569</v>
      </c>
      <c r="Q5359" s="0" t="str">
        <f aca="false">SUBSTITUTE(SUBSTITUTE($I5359,CHAR(61),""),CHAR(34),"")</f>
        <v>10-14</v>
      </c>
      <c r="R5359" s="0" t="str">
        <f aca="false">IF($D5359&lt;&gt;"","["&amp;$E5359&amp;"]"&amp;"|"&amp;$Q5359&amp;"|"&amp;$K5359&amp;"|"&amp;$G5359&amp;"|"&amp;IF($G5359="TX_CURR_SUBNAT.R","CY2022Q4",$M5359),"")</f>
        <v>[ScR9iFKAasW]|10-14|Male|PLHIV_Attend.T|CY2024Q3</v>
      </c>
    </row>
    <row r="5360" customFormat="false" ht="15" hidden="false" customHeight="false" outlineLevel="0" collapsed="false">
      <c r="D5360" s="0" t="s">
        <v>66</v>
      </c>
      <c r="E5360" s="0" t="s">
        <v>67</v>
      </c>
      <c r="F5360" s="0" t="s">
        <v>68</v>
      </c>
      <c r="G5360" s="0" t="s">
        <v>168</v>
      </c>
      <c r="H5360" s="0" t="s">
        <v>168</v>
      </c>
      <c r="I5360" s="0" t="s">
        <v>38</v>
      </c>
      <c r="J5360" s="0" t="s">
        <v>39</v>
      </c>
      <c r="K5360" s="0" t="s">
        <v>48</v>
      </c>
      <c r="L5360" s="0" t="s">
        <v>49</v>
      </c>
      <c r="M5360" s="0" t="s">
        <v>167</v>
      </c>
      <c r="N5360" s="0" t="n">
        <v>1845</v>
      </c>
      <c r="O5360" s="10" t="n">
        <v>0.253234694944695</v>
      </c>
      <c r="P5360" s="10" t="n">
        <v>0.164609884377569</v>
      </c>
      <c r="Q5360" s="0" t="str">
        <f aca="false">SUBSTITUTE(SUBSTITUTE($I5360,CHAR(61),""),CHAR(34),"")</f>
        <v>15-24</v>
      </c>
      <c r="R5360" s="0" t="str">
        <f aca="false">IF($D5360&lt;&gt;"","["&amp;$E5360&amp;"]"&amp;"|"&amp;$Q5360&amp;"|"&amp;$K5360&amp;"|"&amp;$G5360&amp;"|"&amp;IF($G5360="TX_CURR_SUBNAT.R","CY2022Q4",$M5360),"")</f>
        <v>[ScR9iFKAasW]|15-24|Male|PLHIV_Attend.T|CY2024Q3</v>
      </c>
    </row>
    <row r="5361" customFormat="false" ht="15" hidden="false" customHeight="false" outlineLevel="0" collapsed="false">
      <c r="D5361" s="0" t="s">
        <v>66</v>
      </c>
      <c r="E5361" s="0" t="s">
        <v>67</v>
      </c>
      <c r="F5361" s="0" t="s">
        <v>68</v>
      </c>
      <c r="G5361" s="0" t="s">
        <v>168</v>
      </c>
      <c r="H5361" s="0" t="s">
        <v>168</v>
      </c>
      <c r="I5361" s="0" t="s">
        <v>41</v>
      </c>
      <c r="J5361" s="0" t="s">
        <v>42</v>
      </c>
      <c r="K5361" s="0" t="s">
        <v>48</v>
      </c>
      <c r="L5361" s="0" t="s">
        <v>49</v>
      </c>
      <c r="M5361" s="0" t="s">
        <v>167</v>
      </c>
      <c r="N5361" s="0" t="n">
        <v>1370</v>
      </c>
      <c r="O5361" s="10" t="n">
        <v>0.185658438829705</v>
      </c>
      <c r="P5361" s="10" t="n">
        <v>0.164609884377569</v>
      </c>
      <c r="Q5361" s="0" t="str">
        <f aca="false">SUBSTITUTE(SUBSTITUTE($I5361,CHAR(61),""),CHAR(34),"")</f>
        <v>25-34</v>
      </c>
      <c r="R5361" s="0" t="str">
        <f aca="false">IF($D5361&lt;&gt;"","["&amp;$E5361&amp;"]"&amp;"|"&amp;$Q5361&amp;"|"&amp;$K5361&amp;"|"&amp;$G5361&amp;"|"&amp;IF($G5361="TX_CURR_SUBNAT.R","CY2022Q4",$M5361),"")</f>
        <v>[ScR9iFKAasW]|25-34|Male|PLHIV_Attend.T|CY2024Q3</v>
      </c>
    </row>
    <row r="5362" customFormat="false" ht="15" hidden="false" customHeight="false" outlineLevel="0" collapsed="false">
      <c r="D5362" s="0" t="s">
        <v>66</v>
      </c>
      <c r="E5362" s="0" t="s">
        <v>67</v>
      </c>
      <c r="F5362" s="0" t="s">
        <v>68</v>
      </c>
      <c r="G5362" s="0" t="s">
        <v>168</v>
      </c>
      <c r="H5362" s="0" t="s">
        <v>168</v>
      </c>
      <c r="I5362" s="0" t="s">
        <v>43</v>
      </c>
      <c r="J5362" s="0" t="s">
        <v>44</v>
      </c>
      <c r="K5362" s="0" t="s">
        <v>48</v>
      </c>
      <c r="L5362" s="0" t="s">
        <v>49</v>
      </c>
      <c r="M5362" s="0" t="s">
        <v>167</v>
      </c>
      <c r="N5362" s="0" t="n">
        <v>691</v>
      </c>
      <c r="O5362" s="10" t="n">
        <v>0.742514958139509</v>
      </c>
      <c r="P5362" s="10" t="n">
        <v>0.164609884377569</v>
      </c>
      <c r="Q5362" s="0" t="str">
        <f aca="false">SUBSTITUTE(SUBSTITUTE($I5362,CHAR(61),""),CHAR(34),"")</f>
        <v>35-49</v>
      </c>
      <c r="R5362" s="0" t="str">
        <f aca="false">IF($D5362&lt;&gt;"","["&amp;$E5362&amp;"]"&amp;"|"&amp;$Q5362&amp;"|"&amp;$K5362&amp;"|"&amp;$G5362&amp;"|"&amp;IF($G5362="TX_CURR_SUBNAT.R","CY2022Q4",$M5362),"")</f>
        <v>[ScR9iFKAasW]|35-49|Male|PLHIV_Attend.T|CY2024Q3</v>
      </c>
    </row>
    <row r="5363" customFormat="false" ht="15" hidden="false" customHeight="false" outlineLevel="0" collapsed="false">
      <c r="D5363" s="0" t="s">
        <v>66</v>
      </c>
      <c r="E5363" s="0" t="s">
        <v>67</v>
      </c>
      <c r="F5363" s="0" t="s">
        <v>68</v>
      </c>
      <c r="G5363" s="0" t="s">
        <v>168</v>
      </c>
      <c r="H5363" s="0" t="s">
        <v>168</v>
      </c>
      <c r="I5363" s="0" t="s">
        <v>45</v>
      </c>
      <c r="J5363" s="0" t="s">
        <v>46</v>
      </c>
      <c r="K5363" s="0" t="s">
        <v>48</v>
      </c>
      <c r="L5363" s="0" t="s">
        <v>49</v>
      </c>
      <c r="M5363" s="0" t="s">
        <v>167</v>
      </c>
      <c r="N5363" s="0" t="n">
        <v>1403</v>
      </c>
      <c r="O5363" s="10" t="n">
        <v>0.624098614556715</v>
      </c>
      <c r="P5363" s="10" t="n">
        <v>0.164609884377569</v>
      </c>
      <c r="Q5363" s="0" t="str">
        <f aca="false">SUBSTITUTE(SUBSTITUTE($I5363,CHAR(61),""),CHAR(34),"")</f>
        <v>50+</v>
      </c>
      <c r="R5363" s="0" t="str">
        <f aca="false">IF($D5363&lt;&gt;"","["&amp;$E5363&amp;"]"&amp;"|"&amp;$Q5363&amp;"|"&amp;$K5363&amp;"|"&amp;$G5363&amp;"|"&amp;IF($G5363="TX_CURR_SUBNAT.R","CY2022Q4",$M5363),"")</f>
        <v>[ScR9iFKAasW]|50+|Male|PLHIV_Attend.T|CY2024Q3</v>
      </c>
    </row>
    <row r="5364" customFormat="false" ht="15" hidden="false" customHeight="false" outlineLevel="0" collapsed="false">
      <c r="D5364" s="0" t="s">
        <v>69</v>
      </c>
      <c r="E5364" s="0" t="s">
        <v>70</v>
      </c>
      <c r="F5364" s="0" t="s">
        <v>71</v>
      </c>
      <c r="G5364" s="0" t="s">
        <v>168</v>
      </c>
      <c r="H5364" s="0" t="s">
        <v>168</v>
      </c>
      <c r="I5364" s="0" t="s">
        <v>28</v>
      </c>
      <c r="J5364" s="0" t="s">
        <v>29</v>
      </c>
      <c r="K5364" s="0" t="s">
        <v>30</v>
      </c>
      <c r="L5364" s="0" t="s">
        <v>31</v>
      </c>
      <c r="M5364" s="0" t="s">
        <v>167</v>
      </c>
      <c r="N5364" s="0" t="n">
        <v>1670</v>
      </c>
      <c r="O5364" s="10" t="n">
        <v>0.798565273405984</v>
      </c>
      <c r="P5364" s="10" t="n">
        <v>0.198817263124511</v>
      </c>
      <c r="Q5364" s="0" t="str">
        <f aca="false">SUBSTITUTE(SUBSTITUTE($I5364,CHAR(61),""),CHAR(34),"")</f>
        <v>&lt;01</v>
      </c>
      <c r="R5364" s="0" t="str">
        <f aca="false">IF($D5364&lt;&gt;"","["&amp;$E5364&amp;"]"&amp;"|"&amp;$Q5364&amp;"|"&amp;$K5364&amp;"|"&amp;$G5364&amp;"|"&amp;IF($G5364="TX_CURR_SUBNAT.R","CY2022Q4",$M5364),"")</f>
        <v>[PekKUkKHAzY]|&lt;01|Female|PLHIV_Attend.T|CY2024Q3</v>
      </c>
    </row>
    <row r="5365" customFormat="false" ht="15" hidden="false" customHeight="false" outlineLevel="0" collapsed="false">
      <c r="D5365" s="0" t="s">
        <v>69</v>
      </c>
      <c r="E5365" s="0" t="s">
        <v>70</v>
      </c>
      <c r="F5365" s="0" t="s">
        <v>71</v>
      </c>
      <c r="G5365" s="0" t="s">
        <v>168</v>
      </c>
      <c r="H5365" s="0" t="s">
        <v>168</v>
      </c>
      <c r="I5365" s="0" t="s">
        <v>33</v>
      </c>
      <c r="J5365" s="0" t="s">
        <v>34</v>
      </c>
      <c r="K5365" s="0" t="s">
        <v>30</v>
      </c>
      <c r="L5365" s="0" t="s">
        <v>31</v>
      </c>
      <c r="M5365" s="0" t="s">
        <v>167</v>
      </c>
      <c r="N5365" s="0" t="n">
        <v>894</v>
      </c>
      <c r="O5365" s="10" t="n">
        <v>0.2880565142259</v>
      </c>
      <c r="P5365" s="10" t="n">
        <v>0.198817263124511</v>
      </c>
      <c r="Q5365" s="0" t="str">
        <f aca="false">SUBSTITUTE(SUBSTITUTE($I5365,CHAR(61),""),CHAR(34),"")</f>
        <v>01-09</v>
      </c>
      <c r="R5365" s="0" t="str">
        <f aca="false">IF($D5365&lt;&gt;"","["&amp;$E5365&amp;"]"&amp;"|"&amp;$Q5365&amp;"|"&amp;$K5365&amp;"|"&amp;$G5365&amp;"|"&amp;IF($G5365="TX_CURR_SUBNAT.R","CY2022Q4",$M5365),"")</f>
        <v>[PekKUkKHAzY]|01-09|Female|PLHIV_Attend.T|CY2024Q3</v>
      </c>
    </row>
    <row r="5366" customFormat="false" ht="15" hidden="false" customHeight="false" outlineLevel="0" collapsed="false">
      <c r="D5366" s="0" t="s">
        <v>69</v>
      </c>
      <c r="E5366" s="0" t="s">
        <v>70</v>
      </c>
      <c r="F5366" s="0" t="s">
        <v>71</v>
      </c>
      <c r="G5366" s="0" t="s">
        <v>168</v>
      </c>
      <c r="H5366" s="0" t="s">
        <v>168</v>
      </c>
      <c r="I5366" s="0" t="s">
        <v>36</v>
      </c>
      <c r="J5366" s="0" t="s">
        <v>37</v>
      </c>
      <c r="K5366" s="0" t="s">
        <v>30</v>
      </c>
      <c r="L5366" s="0" t="s">
        <v>31</v>
      </c>
      <c r="M5366" s="0" t="s">
        <v>167</v>
      </c>
      <c r="N5366" s="0" t="n">
        <v>894</v>
      </c>
      <c r="O5366" s="10" t="n">
        <v>0.556633923202753</v>
      </c>
      <c r="P5366" s="10" t="n">
        <v>0.198817263124511</v>
      </c>
      <c r="Q5366" s="0" t="str">
        <f aca="false">SUBSTITUTE(SUBSTITUTE($I5366,CHAR(61),""),CHAR(34),"")</f>
        <v>10-14</v>
      </c>
      <c r="R5366" s="0" t="str">
        <f aca="false">IF($D5366&lt;&gt;"","["&amp;$E5366&amp;"]"&amp;"|"&amp;$Q5366&amp;"|"&amp;$K5366&amp;"|"&amp;$G5366&amp;"|"&amp;IF($G5366="TX_CURR_SUBNAT.R","CY2022Q4",$M5366),"")</f>
        <v>[PekKUkKHAzY]|10-14|Female|PLHIV_Attend.T|CY2024Q3</v>
      </c>
    </row>
    <row r="5367" customFormat="false" ht="15" hidden="false" customHeight="false" outlineLevel="0" collapsed="false">
      <c r="D5367" s="0" t="s">
        <v>69</v>
      </c>
      <c r="E5367" s="0" t="s">
        <v>70</v>
      </c>
      <c r="F5367" s="0" t="s">
        <v>71</v>
      </c>
      <c r="G5367" s="0" t="s">
        <v>168</v>
      </c>
      <c r="H5367" s="0" t="s">
        <v>168</v>
      </c>
      <c r="I5367" s="0" t="s">
        <v>38</v>
      </c>
      <c r="J5367" s="0" t="s">
        <v>39</v>
      </c>
      <c r="K5367" s="0" t="s">
        <v>30</v>
      </c>
      <c r="L5367" s="0" t="s">
        <v>31</v>
      </c>
      <c r="M5367" s="0" t="s">
        <v>167</v>
      </c>
      <c r="N5367" s="0" t="n">
        <v>520</v>
      </c>
      <c r="O5367" s="10" t="n">
        <v>0.321353015489876</v>
      </c>
      <c r="P5367" s="10" t="n">
        <v>0.198817263124511</v>
      </c>
      <c r="Q5367" s="0" t="str">
        <f aca="false">SUBSTITUTE(SUBSTITUTE($I5367,CHAR(61),""),CHAR(34),"")</f>
        <v>15-24</v>
      </c>
      <c r="R5367" s="0" t="str">
        <f aca="false">IF($D5367&lt;&gt;"","["&amp;$E5367&amp;"]"&amp;"|"&amp;$Q5367&amp;"|"&amp;$K5367&amp;"|"&amp;$G5367&amp;"|"&amp;IF($G5367="TX_CURR_SUBNAT.R","CY2022Q4",$M5367),"")</f>
        <v>[PekKUkKHAzY]|15-24|Female|PLHIV_Attend.T|CY2024Q3</v>
      </c>
    </row>
    <row r="5368" customFormat="false" ht="15" hidden="false" customHeight="false" outlineLevel="0" collapsed="false">
      <c r="D5368" s="0" t="s">
        <v>69</v>
      </c>
      <c r="E5368" s="0" t="s">
        <v>70</v>
      </c>
      <c r="F5368" s="0" t="s">
        <v>71</v>
      </c>
      <c r="G5368" s="0" t="s">
        <v>168</v>
      </c>
      <c r="H5368" s="0" t="s">
        <v>168</v>
      </c>
      <c r="I5368" s="0" t="s">
        <v>41</v>
      </c>
      <c r="J5368" s="0" t="s">
        <v>42</v>
      </c>
      <c r="K5368" s="0" t="s">
        <v>30</v>
      </c>
      <c r="L5368" s="0" t="s">
        <v>31</v>
      </c>
      <c r="M5368" s="0" t="s">
        <v>167</v>
      </c>
      <c r="N5368" s="0" t="n">
        <v>1110</v>
      </c>
      <c r="O5368" s="10" t="n">
        <v>0.0943997439462692</v>
      </c>
      <c r="P5368" s="10" t="n">
        <v>0.198817263124511</v>
      </c>
      <c r="Q5368" s="0" t="str">
        <f aca="false">SUBSTITUTE(SUBSTITUTE($I5368,CHAR(61),""),CHAR(34),"")</f>
        <v>25-34</v>
      </c>
      <c r="R5368" s="0" t="str">
        <f aca="false">IF($D5368&lt;&gt;"","["&amp;$E5368&amp;"]"&amp;"|"&amp;$Q5368&amp;"|"&amp;$K5368&amp;"|"&amp;$G5368&amp;"|"&amp;IF($G5368="TX_CURR_SUBNAT.R","CY2022Q4",$M5368),"")</f>
        <v>[PekKUkKHAzY]|25-34|Female|PLHIV_Attend.T|CY2024Q3</v>
      </c>
    </row>
    <row r="5369" customFormat="false" ht="15" hidden="false" customHeight="false" outlineLevel="0" collapsed="false">
      <c r="D5369" s="0" t="s">
        <v>69</v>
      </c>
      <c r="E5369" s="0" t="s">
        <v>70</v>
      </c>
      <c r="F5369" s="0" t="s">
        <v>71</v>
      </c>
      <c r="G5369" s="0" t="s">
        <v>168</v>
      </c>
      <c r="H5369" s="0" t="s">
        <v>168</v>
      </c>
      <c r="I5369" s="0" t="s">
        <v>43</v>
      </c>
      <c r="J5369" s="0" t="s">
        <v>44</v>
      </c>
      <c r="K5369" s="0" t="s">
        <v>30</v>
      </c>
      <c r="L5369" s="0" t="s">
        <v>31</v>
      </c>
      <c r="M5369" s="0" t="s">
        <v>167</v>
      </c>
      <c r="N5369" s="0" t="n">
        <v>1813</v>
      </c>
      <c r="O5369" s="10" t="n">
        <v>0.931310481391847</v>
      </c>
      <c r="P5369" s="10" t="n">
        <v>0.198817263124511</v>
      </c>
      <c r="Q5369" s="0" t="str">
        <f aca="false">SUBSTITUTE(SUBSTITUTE($I5369,CHAR(61),""),CHAR(34),"")</f>
        <v>35-49</v>
      </c>
      <c r="R5369" s="0" t="str">
        <f aca="false">IF($D5369&lt;&gt;"","["&amp;$E5369&amp;"]"&amp;"|"&amp;$Q5369&amp;"|"&amp;$K5369&amp;"|"&amp;$G5369&amp;"|"&amp;IF($G5369="TX_CURR_SUBNAT.R","CY2022Q4",$M5369),"")</f>
        <v>[PekKUkKHAzY]|35-49|Female|PLHIV_Attend.T|CY2024Q3</v>
      </c>
    </row>
    <row r="5370" customFormat="false" ht="15" hidden="false" customHeight="false" outlineLevel="0" collapsed="false">
      <c r="D5370" s="0" t="s">
        <v>69</v>
      </c>
      <c r="E5370" s="0" t="s">
        <v>70</v>
      </c>
      <c r="F5370" s="0" t="s">
        <v>71</v>
      </c>
      <c r="G5370" s="0" t="s">
        <v>168</v>
      </c>
      <c r="H5370" s="0" t="s">
        <v>168</v>
      </c>
      <c r="I5370" s="0" t="s">
        <v>45</v>
      </c>
      <c r="J5370" s="0" t="s">
        <v>46</v>
      </c>
      <c r="K5370" s="0" t="s">
        <v>30</v>
      </c>
      <c r="L5370" s="0" t="s">
        <v>31</v>
      </c>
      <c r="M5370" s="0" t="s">
        <v>167</v>
      </c>
      <c r="N5370" s="0" t="n">
        <v>1845</v>
      </c>
      <c r="O5370" s="10" t="n">
        <v>0.847909779986367</v>
      </c>
      <c r="P5370" s="10" t="n">
        <v>0.198817263124511</v>
      </c>
      <c r="Q5370" s="0" t="str">
        <f aca="false">SUBSTITUTE(SUBSTITUTE($I5370,CHAR(61),""),CHAR(34),"")</f>
        <v>50+</v>
      </c>
      <c r="R5370" s="0" t="str">
        <f aca="false">IF($D5370&lt;&gt;"","["&amp;$E5370&amp;"]"&amp;"|"&amp;$Q5370&amp;"|"&amp;$K5370&amp;"|"&amp;$G5370&amp;"|"&amp;IF($G5370="TX_CURR_SUBNAT.R","CY2022Q4",$M5370),"")</f>
        <v>[PekKUkKHAzY]|50+|Female|PLHIV_Attend.T|CY2024Q3</v>
      </c>
    </row>
    <row r="5371" customFormat="false" ht="15" hidden="false" customHeight="false" outlineLevel="0" collapsed="false">
      <c r="D5371" s="0" t="s">
        <v>69</v>
      </c>
      <c r="E5371" s="0" t="s">
        <v>70</v>
      </c>
      <c r="F5371" s="0" t="s">
        <v>71</v>
      </c>
      <c r="G5371" s="0" t="s">
        <v>168</v>
      </c>
      <c r="H5371" s="0" t="s">
        <v>168</v>
      </c>
      <c r="I5371" s="0" t="s">
        <v>28</v>
      </c>
      <c r="J5371" s="0" t="s">
        <v>29</v>
      </c>
      <c r="K5371" s="0" t="s">
        <v>48</v>
      </c>
      <c r="L5371" s="0" t="s">
        <v>49</v>
      </c>
      <c r="M5371" s="0" t="s">
        <v>167</v>
      </c>
      <c r="N5371" s="0" t="n">
        <v>602</v>
      </c>
      <c r="O5371" s="10" t="n">
        <v>0.084015327738598</v>
      </c>
      <c r="P5371" s="10" t="n">
        <v>0.198817263124511</v>
      </c>
      <c r="Q5371" s="0" t="str">
        <f aca="false">SUBSTITUTE(SUBSTITUTE($I5371,CHAR(61),""),CHAR(34),"")</f>
        <v>&lt;01</v>
      </c>
      <c r="R5371" s="0" t="str">
        <f aca="false">IF($D5371&lt;&gt;"","["&amp;$E5371&amp;"]"&amp;"|"&amp;$Q5371&amp;"|"&amp;$K5371&amp;"|"&amp;$G5371&amp;"|"&amp;IF($G5371="TX_CURR_SUBNAT.R","CY2022Q4",$M5371),"")</f>
        <v>[PekKUkKHAzY]|&lt;01|Male|PLHIV_Attend.T|CY2024Q3</v>
      </c>
    </row>
    <row r="5372" customFormat="false" ht="15" hidden="false" customHeight="false" outlineLevel="0" collapsed="false">
      <c r="D5372" s="0" t="s">
        <v>69</v>
      </c>
      <c r="E5372" s="0" t="s">
        <v>70</v>
      </c>
      <c r="F5372" s="0" t="s">
        <v>71</v>
      </c>
      <c r="G5372" s="0" t="s">
        <v>168</v>
      </c>
      <c r="H5372" s="0" t="s">
        <v>168</v>
      </c>
      <c r="I5372" s="0" t="s">
        <v>33</v>
      </c>
      <c r="J5372" s="0" t="s">
        <v>34</v>
      </c>
      <c r="K5372" s="0" t="s">
        <v>48</v>
      </c>
      <c r="L5372" s="0" t="s">
        <v>49</v>
      </c>
      <c r="M5372" s="0" t="s">
        <v>167</v>
      </c>
      <c r="N5372" s="0" t="n">
        <v>1113</v>
      </c>
      <c r="O5372" s="10" t="n">
        <v>0.425976769533008</v>
      </c>
      <c r="P5372" s="10" t="n">
        <v>0.198817263124511</v>
      </c>
      <c r="Q5372" s="0" t="str">
        <f aca="false">SUBSTITUTE(SUBSTITUTE($I5372,CHAR(61),""),CHAR(34),"")</f>
        <v>01-09</v>
      </c>
      <c r="R5372" s="0" t="str">
        <f aca="false">IF($D5372&lt;&gt;"","["&amp;$E5372&amp;"]"&amp;"|"&amp;$Q5372&amp;"|"&amp;$K5372&amp;"|"&amp;$G5372&amp;"|"&amp;IF($G5372="TX_CURR_SUBNAT.R","CY2022Q4",$M5372),"")</f>
        <v>[PekKUkKHAzY]|01-09|Male|PLHIV_Attend.T|CY2024Q3</v>
      </c>
    </row>
    <row r="5373" customFormat="false" ht="15" hidden="false" customHeight="false" outlineLevel="0" collapsed="false">
      <c r="D5373" s="0" t="s">
        <v>69</v>
      </c>
      <c r="E5373" s="0" t="s">
        <v>70</v>
      </c>
      <c r="F5373" s="0" t="s">
        <v>71</v>
      </c>
      <c r="G5373" s="0" t="s">
        <v>168</v>
      </c>
      <c r="H5373" s="0" t="s">
        <v>168</v>
      </c>
      <c r="I5373" s="0" t="s">
        <v>36</v>
      </c>
      <c r="J5373" s="0" t="s">
        <v>37</v>
      </c>
      <c r="K5373" s="0" t="s">
        <v>48</v>
      </c>
      <c r="L5373" s="0" t="s">
        <v>49</v>
      </c>
      <c r="M5373" s="0" t="s">
        <v>167</v>
      </c>
      <c r="N5373" s="0" t="n">
        <v>1395</v>
      </c>
      <c r="O5373" s="10" t="n">
        <v>0.752971224253997</v>
      </c>
      <c r="P5373" s="10" t="n">
        <v>0.198817263124511</v>
      </c>
      <c r="Q5373" s="0" t="str">
        <f aca="false">SUBSTITUTE(SUBSTITUTE($I5373,CHAR(61),""),CHAR(34),"")</f>
        <v>10-14</v>
      </c>
      <c r="R5373" s="0" t="str">
        <f aca="false">IF($D5373&lt;&gt;"","["&amp;$E5373&amp;"]"&amp;"|"&amp;$Q5373&amp;"|"&amp;$K5373&amp;"|"&amp;$G5373&amp;"|"&amp;IF($G5373="TX_CURR_SUBNAT.R","CY2022Q4",$M5373),"")</f>
        <v>[PekKUkKHAzY]|10-14|Male|PLHIV_Attend.T|CY2024Q3</v>
      </c>
    </row>
    <row r="5374" customFormat="false" ht="15" hidden="false" customHeight="false" outlineLevel="0" collapsed="false">
      <c r="D5374" s="0" t="s">
        <v>69</v>
      </c>
      <c r="E5374" s="0" t="s">
        <v>70</v>
      </c>
      <c r="F5374" s="0" t="s">
        <v>71</v>
      </c>
      <c r="G5374" s="0" t="s">
        <v>168</v>
      </c>
      <c r="H5374" s="0" t="s">
        <v>168</v>
      </c>
      <c r="I5374" s="0" t="s">
        <v>38</v>
      </c>
      <c r="J5374" s="0" t="s">
        <v>39</v>
      </c>
      <c r="K5374" s="0" t="s">
        <v>48</v>
      </c>
      <c r="L5374" s="0" t="s">
        <v>49</v>
      </c>
      <c r="M5374" s="0" t="s">
        <v>167</v>
      </c>
      <c r="N5374" s="0" t="n">
        <v>1106</v>
      </c>
      <c r="O5374" s="10" t="n">
        <v>0.518201947910711</v>
      </c>
      <c r="P5374" s="10" t="n">
        <v>0.198817263124511</v>
      </c>
      <c r="Q5374" s="0" t="str">
        <f aca="false">SUBSTITUTE(SUBSTITUTE($I5374,CHAR(61),""),CHAR(34),"")</f>
        <v>15-24</v>
      </c>
      <c r="R5374" s="0" t="str">
        <f aca="false">IF($D5374&lt;&gt;"","["&amp;$E5374&amp;"]"&amp;"|"&amp;$Q5374&amp;"|"&amp;$K5374&amp;"|"&amp;$G5374&amp;"|"&amp;IF($G5374="TX_CURR_SUBNAT.R","CY2022Q4",$M5374),"")</f>
        <v>[PekKUkKHAzY]|15-24|Male|PLHIV_Attend.T|CY2024Q3</v>
      </c>
    </row>
    <row r="5375" customFormat="false" ht="15" hidden="false" customHeight="false" outlineLevel="0" collapsed="false">
      <c r="D5375" s="0" t="s">
        <v>69</v>
      </c>
      <c r="E5375" s="0" t="s">
        <v>70</v>
      </c>
      <c r="F5375" s="0" t="s">
        <v>71</v>
      </c>
      <c r="G5375" s="0" t="s">
        <v>168</v>
      </c>
      <c r="H5375" s="0" t="s">
        <v>168</v>
      </c>
      <c r="I5375" s="0" t="s">
        <v>41</v>
      </c>
      <c r="J5375" s="0" t="s">
        <v>42</v>
      </c>
      <c r="K5375" s="0" t="s">
        <v>48</v>
      </c>
      <c r="L5375" s="0" t="s">
        <v>49</v>
      </c>
      <c r="M5375" s="0" t="s">
        <v>167</v>
      </c>
      <c r="N5375" s="0" t="n">
        <v>1124</v>
      </c>
      <c r="O5375" s="10" t="n">
        <v>0.245296701323241</v>
      </c>
      <c r="P5375" s="10" t="n">
        <v>0.198817263124511</v>
      </c>
      <c r="Q5375" s="0" t="str">
        <f aca="false">SUBSTITUTE(SUBSTITUTE($I5375,CHAR(61),""),CHAR(34),"")</f>
        <v>25-34</v>
      </c>
      <c r="R5375" s="0" t="str">
        <f aca="false">IF($D5375&lt;&gt;"","["&amp;$E5375&amp;"]"&amp;"|"&amp;$Q5375&amp;"|"&amp;$K5375&amp;"|"&amp;$G5375&amp;"|"&amp;IF($G5375="TX_CURR_SUBNAT.R","CY2022Q4",$M5375),"")</f>
        <v>[PekKUkKHAzY]|25-34|Male|PLHIV_Attend.T|CY2024Q3</v>
      </c>
    </row>
    <row r="5376" customFormat="false" ht="15" hidden="false" customHeight="false" outlineLevel="0" collapsed="false">
      <c r="D5376" s="0" t="s">
        <v>69</v>
      </c>
      <c r="E5376" s="0" t="s">
        <v>70</v>
      </c>
      <c r="F5376" s="0" t="s">
        <v>71</v>
      </c>
      <c r="G5376" s="0" t="s">
        <v>168</v>
      </c>
      <c r="H5376" s="0" t="s">
        <v>168</v>
      </c>
      <c r="I5376" s="0" t="s">
        <v>43</v>
      </c>
      <c r="J5376" s="0" t="s">
        <v>44</v>
      </c>
      <c r="K5376" s="0" t="s">
        <v>48</v>
      </c>
      <c r="L5376" s="0" t="s">
        <v>49</v>
      </c>
      <c r="M5376" s="0" t="s">
        <v>167</v>
      </c>
      <c r="N5376" s="0" t="n">
        <v>1826</v>
      </c>
      <c r="O5376" s="10" t="n">
        <v>0.513741695787758</v>
      </c>
      <c r="P5376" s="10" t="n">
        <v>0.198817263124511</v>
      </c>
      <c r="Q5376" s="0" t="str">
        <f aca="false">SUBSTITUTE(SUBSTITUTE($I5376,CHAR(61),""),CHAR(34),"")</f>
        <v>35-49</v>
      </c>
      <c r="R5376" s="0" t="str">
        <f aca="false">IF($D5376&lt;&gt;"","["&amp;$E5376&amp;"]"&amp;"|"&amp;$Q5376&amp;"|"&amp;$K5376&amp;"|"&amp;$G5376&amp;"|"&amp;IF($G5376="TX_CURR_SUBNAT.R","CY2022Q4",$M5376),"")</f>
        <v>[PekKUkKHAzY]|35-49|Male|PLHIV_Attend.T|CY2024Q3</v>
      </c>
    </row>
    <row r="5377" customFormat="false" ht="15" hidden="false" customHeight="false" outlineLevel="0" collapsed="false">
      <c r="D5377" s="0" t="s">
        <v>69</v>
      </c>
      <c r="E5377" s="0" t="s">
        <v>70</v>
      </c>
      <c r="F5377" s="0" t="s">
        <v>71</v>
      </c>
      <c r="G5377" s="0" t="s">
        <v>168</v>
      </c>
      <c r="H5377" s="0" t="s">
        <v>168</v>
      </c>
      <c r="I5377" s="0" t="s">
        <v>45</v>
      </c>
      <c r="J5377" s="0" t="s">
        <v>46</v>
      </c>
      <c r="K5377" s="0" t="s">
        <v>48</v>
      </c>
      <c r="L5377" s="0" t="s">
        <v>49</v>
      </c>
      <c r="M5377" s="0" t="s">
        <v>167</v>
      </c>
      <c r="N5377" s="0" t="n">
        <v>1597</v>
      </c>
      <c r="O5377" s="10" t="n">
        <v>0.680499139940366</v>
      </c>
      <c r="P5377" s="10" t="n">
        <v>0.198817263124511</v>
      </c>
      <c r="Q5377" s="0" t="str">
        <f aca="false">SUBSTITUTE(SUBSTITUTE($I5377,CHAR(61),""),CHAR(34),"")</f>
        <v>50+</v>
      </c>
      <c r="R5377" s="0" t="str">
        <f aca="false">IF($D5377&lt;&gt;"","["&amp;$E5377&amp;"]"&amp;"|"&amp;$Q5377&amp;"|"&amp;$K5377&amp;"|"&amp;$G5377&amp;"|"&amp;IF($G5377="TX_CURR_SUBNAT.R","CY2022Q4",$M5377),"")</f>
        <v>[PekKUkKHAzY]|50+|Male|PLHIV_Attend.T|CY2024Q3</v>
      </c>
    </row>
    <row r="5378" customFormat="false" ht="15" hidden="false" customHeight="false" outlineLevel="0" collapsed="false">
      <c r="D5378" s="0" t="s">
        <v>72</v>
      </c>
      <c r="E5378" s="0" t="s">
        <v>73</v>
      </c>
      <c r="F5378" s="0" t="s">
        <v>74</v>
      </c>
      <c r="G5378" s="0" t="s">
        <v>168</v>
      </c>
      <c r="H5378" s="0" t="s">
        <v>168</v>
      </c>
      <c r="I5378" s="0" t="s">
        <v>28</v>
      </c>
      <c r="J5378" s="0" t="s">
        <v>29</v>
      </c>
      <c r="K5378" s="0" t="s">
        <v>30</v>
      </c>
      <c r="L5378" s="0" t="s">
        <v>31</v>
      </c>
      <c r="M5378" s="0" t="s">
        <v>167</v>
      </c>
      <c r="N5378" s="0" t="n">
        <v>516</v>
      </c>
      <c r="O5378" s="10" t="n">
        <v>0.384531626477838</v>
      </c>
      <c r="P5378" s="10" t="n">
        <v>0.289728706935421</v>
      </c>
      <c r="Q5378" s="0" t="str">
        <f aca="false">SUBSTITUTE(SUBSTITUTE($I5378,CHAR(61),""),CHAR(34),"")</f>
        <v>&lt;01</v>
      </c>
      <c r="R5378" s="0" t="str">
        <f aca="false">IF($D5378&lt;&gt;"","["&amp;$E5378&amp;"]"&amp;"|"&amp;$Q5378&amp;"|"&amp;$K5378&amp;"|"&amp;$G5378&amp;"|"&amp;IF($G5378="TX_CURR_SUBNAT.R","CY2022Q4",$M5378),"")</f>
        <v>[am530wpaGvr]|&lt;01|Female|PLHIV_Attend.T|CY2024Q3</v>
      </c>
    </row>
    <row r="5379" customFormat="false" ht="15" hidden="false" customHeight="false" outlineLevel="0" collapsed="false">
      <c r="D5379" s="0" t="s">
        <v>72</v>
      </c>
      <c r="E5379" s="0" t="s">
        <v>73</v>
      </c>
      <c r="F5379" s="0" t="s">
        <v>74</v>
      </c>
      <c r="G5379" s="0" t="s">
        <v>168</v>
      </c>
      <c r="H5379" s="0" t="s">
        <v>168</v>
      </c>
      <c r="I5379" s="0" t="s">
        <v>33</v>
      </c>
      <c r="J5379" s="0" t="s">
        <v>34</v>
      </c>
      <c r="K5379" s="0" t="s">
        <v>30</v>
      </c>
      <c r="L5379" s="0" t="s">
        <v>31</v>
      </c>
      <c r="M5379" s="0" t="s">
        <v>167</v>
      </c>
      <c r="N5379" s="0" t="n">
        <v>942</v>
      </c>
      <c r="O5379" s="10" t="n">
        <v>0.116684413747862</v>
      </c>
      <c r="P5379" s="10" t="n">
        <v>0.289728706935421</v>
      </c>
      <c r="Q5379" s="0" t="str">
        <f aca="false">SUBSTITUTE(SUBSTITUTE($I5379,CHAR(61),""),CHAR(34),"")</f>
        <v>01-09</v>
      </c>
      <c r="R5379" s="0" t="str">
        <f aca="false">IF($D5379&lt;&gt;"","["&amp;$E5379&amp;"]"&amp;"|"&amp;$Q5379&amp;"|"&amp;$K5379&amp;"|"&amp;$G5379&amp;"|"&amp;IF($G5379="TX_CURR_SUBNAT.R","CY2022Q4",$M5379),"")</f>
        <v>[am530wpaGvr]|01-09|Female|PLHIV_Attend.T|CY2024Q3</v>
      </c>
    </row>
    <row r="5380" customFormat="false" ht="15" hidden="false" customHeight="false" outlineLevel="0" collapsed="false">
      <c r="D5380" s="0" t="s">
        <v>72</v>
      </c>
      <c r="E5380" s="0" t="s">
        <v>73</v>
      </c>
      <c r="F5380" s="0" t="s">
        <v>74</v>
      </c>
      <c r="G5380" s="0" t="s">
        <v>168</v>
      </c>
      <c r="H5380" s="0" t="s">
        <v>168</v>
      </c>
      <c r="I5380" s="0" t="s">
        <v>36</v>
      </c>
      <c r="J5380" s="0" t="s">
        <v>37</v>
      </c>
      <c r="K5380" s="0" t="s">
        <v>30</v>
      </c>
      <c r="L5380" s="0" t="s">
        <v>31</v>
      </c>
      <c r="M5380" s="0" t="s">
        <v>167</v>
      </c>
      <c r="N5380" s="0" t="n">
        <v>1677</v>
      </c>
      <c r="O5380" s="10" t="n">
        <v>0.638750721234828</v>
      </c>
      <c r="P5380" s="10" t="n">
        <v>0.289728706935421</v>
      </c>
      <c r="Q5380" s="0" t="str">
        <f aca="false">SUBSTITUTE(SUBSTITUTE($I5380,CHAR(61),""),CHAR(34),"")</f>
        <v>10-14</v>
      </c>
      <c r="R5380" s="0" t="str">
        <f aca="false">IF($D5380&lt;&gt;"","["&amp;$E5380&amp;"]"&amp;"|"&amp;$Q5380&amp;"|"&amp;$K5380&amp;"|"&amp;$G5380&amp;"|"&amp;IF($G5380="TX_CURR_SUBNAT.R","CY2022Q4",$M5380),"")</f>
        <v>[am530wpaGvr]|10-14|Female|PLHIV_Attend.T|CY2024Q3</v>
      </c>
    </row>
    <row r="5381" customFormat="false" ht="15" hidden="false" customHeight="false" outlineLevel="0" collapsed="false">
      <c r="D5381" s="0" t="s">
        <v>72</v>
      </c>
      <c r="E5381" s="0" t="s">
        <v>73</v>
      </c>
      <c r="F5381" s="0" t="s">
        <v>74</v>
      </c>
      <c r="G5381" s="0" t="s">
        <v>168</v>
      </c>
      <c r="H5381" s="0" t="s">
        <v>168</v>
      </c>
      <c r="I5381" s="0" t="s">
        <v>38</v>
      </c>
      <c r="J5381" s="0" t="s">
        <v>39</v>
      </c>
      <c r="K5381" s="0" t="s">
        <v>30</v>
      </c>
      <c r="L5381" s="0" t="s">
        <v>31</v>
      </c>
      <c r="M5381" s="0" t="s">
        <v>167</v>
      </c>
      <c r="N5381" s="0" t="n">
        <v>1064</v>
      </c>
      <c r="O5381" s="10" t="n">
        <v>0.625179745256901</v>
      </c>
      <c r="P5381" s="10" t="n">
        <v>0.289728706935421</v>
      </c>
      <c r="Q5381" s="0" t="str">
        <f aca="false">SUBSTITUTE(SUBSTITUTE($I5381,CHAR(61),""),CHAR(34),"")</f>
        <v>15-24</v>
      </c>
      <c r="R5381" s="0" t="str">
        <f aca="false">IF($D5381&lt;&gt;"","["&amp;$E5381&amp;"]"&amp;"|"&amp;$Q5381&amp;"|"&amp;$K5381&amp;"|"&amp;$G5381&amp;"|"&amp;IF($G5381="TX_CURR_SUBNAT.R","CY2022Q4",$M5381),"")</f>
        <v>[am530wpaGvr]|15-24|Female|PLHIV_Attend.T|CY2024Q3</v>
      </c>
    </row>
    <row r="5382" customFormat="false" ht="15" hidden="false" customHeight="false" outlineLevel="0" collapsed="false">
      <c r="D5382" s="0" t="s">
        <v>72</v>
      </c>
      <c r="E5382" s="0" t="s">
        <v>73</v>
      </c>
      <c r="F5382" s="0" t="s">
        <v>74</v>
      </c>
      <c r="G5382" s="0" t="s">
        <v>168</v>
      </c>
      <c r="H5382" s="0" t="s">
        <v>168</v>
      </c>
      <c r="I5382" s="0" t="s">
        <v>41</v>
      </c>
      <c r="J5382" s="0" t="s">
        <v>42</v>
      </c>
      <c r="K5382" s="0" t="s">
        <v>30</v>
      </c>
      <c r="L5382" s="0" t="s">
        <v>31</v>
      </c>
      <c r="M5382" s="0" t="s">
        <v>167</v>
      </c>
      <c r="N5382" s="0" t="n">
        <v>569</v>
      </c>
      <c r="O5382" s="10" t="n">
        <v>0.437113471562043</v>
      </c>
      <c r="P5382" s="10" t="n">
        <v>0.289728706935421</v>
      </c>
      <c r="Q5382" s="0" t="str">
        <f aca="false">SUBSTITUTE(SUBSTITUTE($I5382,CHAR(61),""),CHAR(34),"")</f>
        <v>25-34</v>
      </c>
      <c r="R5382" s="0" t="str">
        <f aca="false">IF($D5382&lt;&gt;"","["&amp;$E5382&amp;"]"&amp;"|"&amp;$Q5382&amp;"|"&amp;$K5382&amp;"|"&amp;$G5382&amp;"|"&amp;IF($G5382="TX_CURR_SUBNAT.R","CY2022Q4",$M5382),"")</f>
        <v>[am530wpaGvr]|25-34|Female|PLHIV_Attend.T|CY2024Q3</v>
      </c>
    </row>
    <row r="5383" customFormat="false" ht="15" hidden="false" customHeight="false" outlineLevel="0" collapsed="false">
      <c r="D5383" s="0" t="s">
        <v>72</v>
      </c>
      <c r="E5383" s="0" t="s">
        <v>73</v>
      </c>
      <c r="F5383" s="0" t="s">
        <v>74</v>
      </c>
      <c r="G5383" s="0" t="s">
        <v>168</v>
      </c>
      <c r="H5383" s="0" t="s">
        <v>168</v>
      </c>
      <c r="I5383" s="0" t="s">
        <v>43</v>
      </c>
      <c r="J5383" s="0" t="s">
        <v>44</v>
      </c>
      <c r="K5383" s="0" t="s">
        <v>30</v>
      </c>
      <c r="L5383" s="0" t="s">
        <v>31</v>
      </c>
      <c r="M5383" s="0" t="s">
        <v>167</v>
      </c>
      <c r="N5383" s="0" t="n">
        <v>847</v>
      </c>
      <c r="O5383" s="10" t="n">
        <v>0.149154675891623</v>
      </c>
      <c r="P5383" s="10" t="n">
        <v>0.289728706935421</v>
      </c>
      <c r="Q5383" s="0" t="str">
        <f aca="false">SUBSTITUTE(SUBSTITUTE($I5383,CHAR(61),""),CHAR(34),"")</f>
        <v>35-49</v>
      </c>
      <c r="R5383" s="0" t="str">
        <f aca="false">IF($D5383&lt;&gt;"","["&amp;$E5383&amp;"]"&amp;"|"&amp;$Q5383&amp;"|"&amp;$K5383&amp;"|"&amp;$G5383&amp;"|"&amp;IF($G5383="TX_CURR_SUBNAT.R","CY2022Q4",$M5383),"")</f>
        <v>[am530wpaGvr]|35-49|Female|PLHIV_Attend.T|CY2024Q3</v>
      </c>
    </row>
    <row r="5384" customFormat="false" ht="15" hidden="false" customHeight="false" outlineLevel="0" collapsed="false">
      <c r="D5384" s="0" t="s">
        <v>72</v>
      </c>
      <c r="E5384" s="0" t="s">
        <v>73</v>
      </c>
      <c r="F5384" s="0" t="s">
        <v>74</v>
      </c>
      <c r="G5384" s="0" t="s">
        <v>168</v>
      </c>
      <c r="H5384" s="0" t="s">
        <v>168</v>
      </c>
      <c r="I5384" s="0" t="s">
        <v>45</v>
      </c>
      <c r="J5384" s="0" t="s">
        <v>46</v>
      </c>
      <c r="K5384" s="0" t="s">
        <v>30</v>
      </c>
      <c r="L5384" s="0" t="s">
        <v>31</v>
      </c>
      <c r="M5384" s="0" t="s">
        <v>167</v>
      </c>
      <c r="N5384" s="0" t="n">
        <v>629</v>
      </c>
      <c r="O5384" s="10" t="n">
        <v>0.453291355632246</v>
      </c>
      <c r="P5384" s="10" t="n">
        <v>0.289728706935421</v>
      </c>
      <c r="Q5384" s="0" t="str">
        <f aca="false">SUBSTITUTE(SUBSTITUTE($I5384,CHAR(61),""),CHAR(34),"")</f>
        <v>50+</v>
      </c>
      <c r="R5384" s="0" t="str">
        <f aca="false">IF($D5384&lt;&gt;"","["&amp;$E5384&amp;"]"&amp;"|"&amp;$Q5384&amp;"|"&amp;$K5384&amp;"|"&amp;$G5384&amp;"|"&amp;IF($G5384="TX_CURR_SUBNAT.R","CY2022Q4",$M5384),"")</f>
        <v>[am530wpaGvr]|50+|Female|PLHIV_Attend.T|CY2024Q3</v>
      </c>
    </row>
    <row r="5385" customFormat="false" ht="15" hidden="false" customHeight="false" outlineLevel="0" collapsed="false">
      <c r="D5385" s="0" t="s">
        <v>72</v>
      </c>
      <c r="E5385" s="0" t="s">
        <v>73</v>
      </c>
      <c r="F5385" s="0" t="s">
        <v>74</v>
      </c>
      <c r="G5385" s="0" t="s">
        <v>168</v>
      </c>
      <c r="H5385" s="0" t="s">
        <v>168</v>
      </c>
      <c r="I5385" s="0" t="s">
        <v>28</v>
      </c>
      <c r="J5385" s="0" t="s">
        <v>29</v>
      </c>
      <c r="K5385" s="0" t="s">
        <v>48</v>
      </c>
      <c r="L5385" s="0" t="s">
        <v>49</v>
      </c>
      <c r="M5385" s="0" t="s">
        <v>167</v>
      </c>
      <c r="N5385" s="0" t="n">
        <v>1814</v>
      </c>
      <c r="O5385" s="10" t="n">
        <v>0.660895929671824</v>
      </c>
      <c r="P5385" s="10" t="n">
        <v>0.289728706935421</v>
      </c>
      <c r="Q5385" s="0" t="str">
        <f aca="false">SUBSTITUTE(SUBSTITUTE($I5385,CHAR(61),""),CHAR(34),"")</f>
        <v>&lt;01</v>
      </c>
      <c r="R5385" s="0" t="str">
        <f aca="false">IF($D5385&lt;&gt;"","["&amp;$E5385&amp;"]"&amp;"|"&amp;$Q5385&amp;"|"&amp;$K5385&amp;"|"&amp;$G5385&amp;"|"&amp;IF($G5385="TX_CURR_SUBNAT.R","CY2022Q4",$M5385),"")</f>
        <v>[am530wpaGvr]|&lt;01|Male|PLHIV_Attend.T|CY2024Q3</v>
      </c>
    </row>
    <row r="5386" customFormat="false" ht="15" hidden="false" customHeight="false" outlineLevel="0" collapsed="false">
      <c r="D5386" s="0" t="s">
        <v>72</v>
      </c>
      <c r="E5386" s="0" t="s">
        <v>73</v>
      </c>
      <c r="F5386" s="0" t="s">
        <v>74</v>
      </c>
      <c r="G5386" s="0" t="s">
        <v>168</v>
      </c>
      <c r="H5386" s="0" t="s">
        <v>168</v>
      </c>
      <c r="I5386" s="0" t="s">
        <v>33</v>
      </c>
      <c r="J5386" s="0" t="s">
        <v>34</v>
      </c>
      <c r="K5386" s="0" t="s">
        <v>48</v>
      </c>
      <c r="L5386" s="0" t="s">
        <v>49</v>
      </c>
      <c r="M5386" s="0" t="s">
        <v>167</v>
      </c>
      <c r="N5386" s="0" t="n">
        <v>1633</v>
      </c>
      <c r="O5386" s="10" t="n">
        <v>0.973761476809159</v>
      </c>
      <c r="P5386" s="10" t="n">
        <v>0.289728706935421</v>
      </c>
      <c r="Q5386" s="0" t="str">
        <f aca="false">SUBSTITUTE(SUBSTITUTE($I5386,CHAR(61),""),CHAR(34),"")</f>
        <v>01-09</v>
      </c>
      <c r="R5386" s="0" t="str">
        <f aca="false">IF($D5386&lt;&gt;"","["&amp;$E5386&amp;"]"&amp;"|"&amp;$Q5386&amp;"|"&amp;$K5386&amp;"|"&amp;$G5386&amp;"|"&amp;IF($G5386="TX_CURR_SUBNAT.R","CY2022Q4",$M5386),"")</f>
        <v>[am530wpaGvr]|01-09|Male|PLHIV_Attend.T|CY2024Q3</v>
      </c>
    </row>
    <row r="5387" customFormat="false" ht="15" hidden="false" customHeight="false" outlineLevel="0" collapsed="false">
      <c r="D5387" s="0" t="s">
        <v>72</v>
      </c>
      <c r="E5387" s="0" t="s">
        <v>73</v>
      </c>
      <c r="F5387" s="0" t="s">
        <v>74</v>
      </c>
      <c r="G5387" s="0" t="s">
        <v>168</v>
      </c>
      <c r="H5387" s="0" t="s">
        <v>168</v>
      </c>
      <c r="I5387" s="0" t="s">
        <v>36</v>
      </c>
      <c r="J5387" s="0" t="s">
        <v>37</v>
      </c>
      <c r="K5387" s="0" t="s">
        <v>48</v>
      </c>
      <c r="L5387" s="0" t="s">
        <v>49</v>
      </c>
      <c r="M5387" s="0" t="s">
        <v>167</v>
      </c>
      <c r="N5387" s="0" t="n">
        <v>628</v>
      </c>
      <c r="O5387" s="10" t="n">
        <v>0.681862946832553</v>
      </c>
      <c r="P5387" s="10" t="n">
        <v>0.289728706935421</v>
      </c>
      <c r="Q5387" s="0" t="str">
        <f aca="false">SUBSTITUTE(SUBSTITUTE($I5387,CHAR(61),""),CHAR(34),"")</f>
        <v>10-14</v>
      </c>
      <c r="R5387" s="0" t="str">
        <f aca="false">IF($D5387&lt;&gt;"","["&amp;$E5387&amp;"]"&amp;"|"&amp;$Q5387&amp;"|"&amp;$K5387&amp;"|"&amp;$G5387&amp;"|"&amp;IF($G5387="TX_CURR_SUBNAT.R","CY2022Q4",$M5387),"")</f>
        <v>[am530wpaGvr]|10-14|Male|PLHIV_Attend.T|CY2024Q3</v>
      </c>
    </row>
    <row r="5388" customFormat="false" ht="15" hidden="false" customHeight="false" outlineLevel="0" collapsed="false">
      <c r="D5388" s="0" t="s">
        <v>72</v>
      </c>
      <c r="E5388" s="0" t="s">
        <v>73</v>
      </c>
      <c r="F5388" s="0" t="s">
        <v>74</v>
      </c>
      <c r="G5388" s="0" t="s">
        <v>168</v>
      </c>
      <c r="H5388" s="0" t="s">
        <v>168</v>
      </c>
      <c r="I5388" s="0" t="s">
        <v>38</v>
      </c>
      <c r="J5388" s="0" t="s">
        <v>39</v>
      </c>
      <c r="K5388" s="0" t="s">
        <v>48</v>
      </c>
      <c r="L5388" s="0" t="s">
        <v>49</v>
      </c>
      <c r="M5388" s="0" t="s">
        <v>167</v>
      </c>
      <c r="N5388" s="0" t="n">
        <v>1930</v>
      </c>
      <c r="O5388" s="10" t="n">
        <v>0.490834565833211</v>
      </c>
      <c r="P5388" s="10" t="n">
        <v>0.289728706935421</v>
      </c>
      <c r="Q5388" s="0" t="str">
        <f aca="false">SUBSTITUTE(SUBSTITUTE($I5388,CHAR(61),""),CHAR(34),"")</f>
        <v>15-24</v>
      </c>
      <c r="R5388" s="0" t="str">
        <f aca="false">IF($D5388&lt;&gt;"","["&amp;$E5388&amp;"]"&amp;"|"&amp;$Q5388&amp;"|"&amp;$K5388&amp;"|"&amp;$G5388&amp;"|"&amp;IF($G5388="TX_CURR_SUBNAT.R","CY2022Q4",$M5388),"")</f>
        <v>[am530wpaGvr]|15-24|Male|PLHIV_Attend.T|CY2024Q3</v>
      </c>
    </row>
    <row r="5389" customFormat="false" ht="15" hidden="false" customHeight="false" outlineLevel="0" collapsed="false">
      <c r="D5389" s="0" t="s">
        <v>72</v>
      </c>
      <c r="E5389" s="0" t="s">
        <v>73</v>
      </c>
      <c r="F5389" s="0" t="s">
        <v>74</v>
      </c>
      <c r="G5389" s="0" t="s">
        <v>168</v>
      </c>
      <c r="H5389" s="0" t="s">
        <v>168</v>
      </c>
      <c r="I5389" s="0" t="s">
        <v>41</v>
      </c>
      <c r="J5389" s="0" t="s">
        <v>42</v>
      </c>
      <c r="K5389" s="0" t="s">
        <v>48</v>
      </c>
      <c r="L5389" s="0" t="s">
        <v>49</v>
      </c>
      <c r="M5389" s="0" t="s">
        <v>167</v>
      </c>
      <c r="N5389" s="0" t="n">
        <v>1303</v>
      </c>
      <c r="O5389" s="10" t="n">
        <v>0.812903545098379</v>
      </c>
      <c r="P5389" s="10" t="n">
        <v>0.289728706935421</v>
      </c>
      <c r="Q5389" s="0" t="str">
        <f aca="false">SUBSTITUTE(SUBSTITUTE($I5389,CHAR(61),""),CHAR(34),"")</f>
        <v>25-34</v>
      </c>
      <c r="R5389" s="0" t="str">
        <f aca="false">IF($D5389&lt;&gt;"","["&amp;$E5389&amp;"]"&amp;"|"&amp;$Q5389&amp;"|"&amp;$K5389&amp;"|"&amp;$G5389&amp;"|"&amp;IF($G5389="TX_CURR_SUBNAT.R","CY2022Q4",$M5389),"")</f>
        <v>[am530wpaGvr]|25-34|Male|PLHIV_Attend.T|CY2024Q3</v>
      </c>
    </row>
    <row r="5390" customFormat="false" ht="15" hidden="false" customHeight="false" outlineLevel="0" collapsed="false">
      <c r="D5390" s="0" t="s">
        <v>72</v>
      </c>
      <c r="E5390" s="0" t="s">
        <v>73</v>
      </c>
      <c r="F5390" s="0" t="s">
        <v>74</v>
      </c>
      <c r="G5390" s="0" t="s">
        <v>168</v>
      </c>
      <c r="H5390" s="0" t="s">
        <v>168</v>
      </c>
      <c r="I5390" s="0" t="s">
        <v>43</v>
      </c>
      <c r="J5390" s="0" t="s">
        <v>44</v>
      </c>
      <c r="K5390" s="0" t="s">
        <v>48</v>
      </c>
      <c r="L5390" s="0" t="s">
        <v>49</v>
      </c>
      <c r="M5390" s="0" t="s">
        <v>167</v>
      </c>
      <c r="N5390" s="0" t="n">
        <v>1758</v>
      </c>
      <c r="O5390" s="10" t="n">
        <v>0.581807554932311</v>
      </c>
      <c r="P5390" s="10" t="n">
        <v>0.289728706935421</v>
      </c>
      <c r="Q5390" s="0" t="str">
        <f aca="false">SUBSTITUTE(SUBSTITUTE($I5390,CHAR(61),""),CHAR(34),"")</f>
        <v>35-49</v>
      </c>
      <c r="R5390" s="0" t="str">
        <f aca="false">IF($D5390&lt;&gt;"","["&amp;$E5390&amp;"]"&amp;"|"&amp;$Q5390&amp;"|"&amp;$K5390&amp;"|"&amp;$G5390&amp;"|"&amp;IF($G5390="TX_CURR_SUBNAT.R","CY2022Q4",$M5390),"")</f>
        <v>[am530wpaGvr]|35-49|Male|PLHIV_Attend.T|CY2024Q3</v>
      </c>
    </row>
    <row r="5391" customFormat="false" ht="15" hidden="false" customHeight="false" outlineLevel="0" collapsed="false">
      <c r="D5391" s="0" t="s">
        <v>72</v>
      </c>
      <c r="E5391" s="0" t="s">
        <v>73</v>
      </c>
      <c r="F5391" s="0" t="s">
        <v>74</v>
      </c>
      <c r="G5391" s="0" t="s">
        <v>168</v>
      </c>
      <c r="H5391" s="0" t="s">
        <v>168</v>
      </c>
      <c r="I5391" s="0" t="s">
        <v>45</v>
      </c>
      <c r="J5391" s="0" t="s">
        <v>46</v>
      </c>
      <c r="K5391" s="0" t="s">
        <v>48</v>
      </c>
      <c r="L5391" s="0" t="s">
        <v>49</v>
      </c>
      <c r="M5391" s="0" t="s">
        <v>167</v>
      </c>
      <c r="N5391" s="0" t="n">
        <v>1815</v>
      </c>
      <c r="O5391" s="10" t="n">
        <v>0.271731630899012</v>
      </c>
      <c r="P5391" s="10" t="n">
        <v>0.289728706935421</v>
      </c>
      <c r="Q5391" s="0" t="str">
        <f aca="false">SUBSTITUTE(SUBSTITUTE($I5391,CHAR(61),""),CHAR(34),"")</f>
        <v>50+</v>
      </c>
      <c r="R5391" s="0" t="str">
        <f aca="false">IF($D5391&lt;&gt;"","["&amp;$E5391&amp;"]"&amp;"|"&amp;$Q5391&amp;"|"&amp;$K5391&amp;"|"&amp;$G5391&amp;"|"&amp;IF($G5391="TX_CURR_SUBNAT.R","CY2022Q4",$M5391),"")</f>
        <v>[am530wpaGvr]|50+|Male|PLHIV_Attend.T|CY2024Q3</v>
      </c>
    </row>
    <row r="5392" customFormat="false" ht="15" hidden="false" customHeight="false" outlineLevel="0" collapsed="false">
      <c r="D5392" s="0" t="s">
        <v>75</v>
      </c>
      <c r="E5392" s="0" t="s">
        <v>76</v>
      </c>
      <c r="F5392" s="0" t="s">
        <v>77</v>
      </c>
      <c r="G5392" s="0" t="s">
        <v>168</v>
      </c>
      <c r="H5392" s="0" t="s">
        <v>168</v>
      </c>
      <c r="I5392" s="0" t="s">
        <v>28</v>
      </c>
      <c r="J5392" s="0" t="s">
        <v>29</v>
      </c>
      <c r="K5392" s="0" t="s">
        <v>30</v>
      </c>
      <c r="L5392" s="0" t="s">
        <v>31</v>
      </c>
      <c r="M5392" s="0" t="s">
        <v>167</v>
      </c>
      <c r="N5392" s="0" t="n">
        <v>1329</v>
      </c>
      <c r="O5392" s="10" t="n">
        <v>0.74396080407314</v>
      </c>
      <c r="P5392" s="10" t="n">
        <v>0.303055507596582</v>
      </c>
      <c r="Q5392" s="0" t="str">
        <f aca="false">SUBSTITUTE(SUBSTITUTE($I5392,CHAR(61),""),CHAR(34),"")</f>
        <v>&lt;01</v>
      </c>
      <c r="R5392" s="0" t="str">
        <f aca="false">IF($D5392&lt;&gt;"","["&amp;$E5392&amp;"]"&amp;"|"&amp;$Q5392&amp;"|"&amp;$K5392&amp;"|"&amp;$G5392&amp;"|"&amp;IF($G5392="TX_CURR_SUBNAT.R","CY2022Q4",$M5392),"")</f>
        <v>[lLDyBx5XyUi]|&lt;01|Female|PLHIV_Attend.T|CY2024Q3</v>
      </c>
    </row>
    <row r="5393" customFormat="false" ht="15" hidden="false" customHeight="false" outlineLevel="0" collapsed="false">
      <c r="D5393" s="0" t="s">
        <v>75</v>
      </c>
      <c r="E5393" s="0" t="s">
        <v>76</v>
      </c>
      <c r="F5393" s="0" t="s">
        <v>77</v>
      </c>
      <c r="G5393" s="0" t="s">
        <v>168</v>
      </c>
      <c r="H5393" s="0" t="s">
        <v>168</v>
      </c>
      <c r="I5393" s="0" t="s">
        <v>33</v>
      </c>
      <c r="J5393" s="0" t="s">
        <v>34</v>
      </c>
      <c r="K5393" s="0" t="s">
        <v>30</v>
      </c>
      <c r="L5393" s="0" t="s">
        <v>31</v>
      </c>
      <c r="M5393" s="0" t="s">
        <v>167</v>
      </c>
      <c r="N5393" s="0" t="n">
        <v>1942</v>
      </c>
      <c r="O5393" s="10" t="n">
        <v>0.852736699394882</v>
      </c>
      <c r="P5393" s="10" t="n">
        <v>0.303055507596582</v>
      </c>
      <c r="Q5393" s="0" t="str">
        <f aca="false">SUBSTITUTE(SUBSTITUTE($I5393,CHAR(61),""),CHAR(34),"")</f>
        <v>01-09</v>
      </c>
      <c r="R5393" s="0" t="str">
        <f aca="false">IF($D5393&lt;&gt;"","["&amp;$E5393&amp;"]"&amp;"|"&amp;$Q5393&amp;"|"&amp;$K5393&amp;"|"&amp;$G5393&amp;"|"&amp;IF($G5393="TX_CURR_SUBNAT.R","CY2022Q4",$M5393),"")</f>
        <v>[lLDyBx5XyUi]|01-09|Female|PLHIV_Attend.T|CY2024Q3</v>
      </c>
    </row>
    <row r="5394" customFormat="false" ht="15" hidden="false" customHeight="false" outlineLevel="0" collapsed="false">
      <c r="D5394" s="0" t="s">
        <v>75</v>
      </c>
      <c r="E5394" s="0" t="s">
        <v>76</v>
      </c>
      <c r="F5394" s="0" t="s">
        <v>77</v>
      </c>
      <c r="G5394" s="0" t="s">
        <v>168</v>
      </c>
      <c r="H5394" s="0" t="s">
        <v>168</v>
      </c>
      <c r="I5394" s="0" t="s">
        <v>36</v>
      </c>
      <c r="J5394" s="0" t="s">
        <v>37</v>
      </c>
      <c r="K5394" s="0" t="s">
        <v>30</v>
      </c>
      <c r="L5394" s="0" t="s">
        <v>31</v>
      </c>
      <c r="M5394" s="0" t="s">
        <v>167</v>
      </c>
      <c r="N5394" s="0" t="n">
        <v>589</v>
      </c>
      <c r="O5394" s="10" t="n">
        <v>0.760418140795082</v>
      </c>
      <c r="P5394" s="10" t="n">
        <v>0.303055507596582</v>
      </c>
      <c r="Q5394" s="0" t="str">
        <f aca="false">SUBSTITUTE(SUBSTITUTE($I5394,CHAR(61),""),CHAR(34),"")</f>
        <v>10-14</v>
      </c>
      <c r="R5394" s="0" t="str">
        <f aca="false">IF($D5394&lt;&gt;"","["&amp;$E5394&amp;"]"&amp;"|"&amp;$Q5394&amp;"|"&amp;$K5394&amp;"|"&amp;$G5394&amp;"|"&amp;IF($G5394="TX_CURR_SUBNAT.R","CY2022Q4",$M5394),"")</f>
        <v>[lLDyBx5XyUi]|10-14|Female|PLHIV_Attend.T|CY2024Q3</v>
      </c>
    </row>
    <row r="5395" customFormat="false" ht="15" hidden="false" customHeight="false" outlineLevel="0" collapsed="false">
      <c r="D5395" s="0" t="s">
        <v>75</v>
      </c>
      <c r="E5395" s="0" t="s">
        <v>76</v>
      </c>
      <c r="F5395" s="0" t="s">
        <v>77</v>
      </c>
      <c r="G5395" s="0" t="s">
        <v>168</v>
      </c>
      <c r="H5395" s="0" t="s">
        <v>168</v>
      </c>
      <c r="I5395" s="0" t="s">
        <v>38</v>
      </c>
      <c r="J5395" s="0" t="s">
        <v>39</v>
      </c>
      <c r="K5395" s="0" t="s">
        <v>30</v>
      </c>
      <c r="L5395" s="0" t="s">
        <v>31</v>
      </c>
      <c r="M5395" s="0" t="s">
        <v>167</v>
      </c>
      <c r="N5395" s="0" t="n">
        <v>746</v>
      </c>
      <c r="O5395" s="10" t="n">
        <v>0.297316194744781</v>
      </c>
      <c r="P5395" s="10" t="n">
        <v>0.303055507596582</v>
      </c>
      <c r="Q5395" s="0" t="str">
        <f aca="false">SUBSTITUTE(SUBSTITUTE($I5395,CHAR(61),""),CHAR(34),"")</f>
        <v>15-24</v>
      </c>
      <c r="R5395" s="0" t="str">
        <f aca="false">IF($D5395&lt;&gt;"","["&amp;$E5395&amp;"]"&amp;"|"&amp;$Q5395&amp;"|"&amp;$K5395&amp;"|"&amp;$G5395&amp;"|"&amp;IF($G5395="TX_CURR_SUBNAT.R","CY2022Q4",$M5395),"")</f>
        <v>[lLDyBx5XyUi]|15-24|Female|PLHIV_Attend.T|CY2024Q3</v>
      </c>
    </row>
    <row r="5396" customFormat="false" ht="15" hidden="false" customHeight="false" outlineLevel="0" collapsed="false">
      <c r="D5396" s="0" t="s">
        <v>75</v>
      </c>
      <c r="E5396" s="0" t="s">
        <v>76</v>
      </c>
      <c r="F5396" s="0" t="s">
        <v>77</v>
      </c>
      <c r="G5396" s="0" t="s">
        <v>168</v>
      </c>
      <c r="H5396" s="0" t="s">
        <v>168</v>
      </c>
      <c r="I5396" s="0" t="s">
        <v>41</v>
      </c>
      <c r="J5396" s="0" t="s">
        <v>42</v>
      </c>
      <c r="K5396" s="0" t="s">
        <v>30</v>
      </c>
      <c r="L5396" s="0" t="s">
        <v>31</v>
      </c>
      <c r="M5396" s="0" t="s">
        <v>167</v>
      </c>
      <c r="N5396" s="0" t="n">
        <v>908</v>
      </c>
      <c r="O5396" s="10" t="n">
        <v>0.519699970027432</v>
      </c>
      <c r="P5396" s="10" t="n">
        <v>0.303055507596582</v>
      </c>
      <c r="Q5396" s="0" t="str">
        <f aca="false">SUBSTITUTE(SUBSTITUTE($I5396,CHAR(61),""),CHAR(34),"")</f>
        <v>25-34</v>
      </c>
      <c r="R5396" s="0" t="str">
        <f aca="false">IF($D5396&lt;&gt;"","["&amp;$E5396&amp;"]"&amp;"|"&amp;$Q5396&amp;"|"&amp;$K5396&amp;"|"&amp;$G5396&amp;"|"&amp;IF($G5396="TX_CURR_SUBNAT.R","CY2022Q4",$M5396),"")</f>
        <v>[lLDyBx5XyUi]|25-34|Female|PLHIV_Attend.T|CY2024Q3</v>
      </c>
    </row>
    <row r="5397" customFormat="false" ht="15" hidden="false" customHeight="false" outlineLevel="0" collapsed="false">
      <c r="D5397" s="0" t="s">
        <v>75</v>
      </c>
      <c r="E5397" s="0" t="s">
        <v>76</v>
      </c>
      <c r="F5397" s="0" t="s">
        <v>77</v>
      </c>
      <c r="G5397" s="0" t="s">
        <v>168</v>
      </c>
      <c r="H5397" s="0" t="s">
        <v>168</v>
      </c>
      <c r="I5397" s="0" t="s">
        <v>43</v>
      </c>
      <c r="J5397" s="0" t="s">
        <v>44</v>
      </c>
      <c r="K5397" s="0" t="s">
        <v>30</v>
      </c>
      <c r="L5397" s="0" t="s">
        <v>31</v>
      </c>
      <c r="M5397" s="0" t="s">
        <v>167</v>
      </c>
      <c r="N5397" s="0" t="n">
        <v>1402</v>
      </c>
      <c r="O5397" s="10" t="n">
        <v>0.109526442363858</v>
      </c>
      <c r="P5397" s="10" t="n">
        <v>0.303055507596582</v>
      </c>
      <c r="Q5397" s="0" t="str">
        <f aca="false">SUBSTITUTE(SUBSTITUTE($I5397,CHAR(61),""),CHAR(34),"")</f>
        <v>35-49</v>
      </c>
      <c r="R5397" s="0" t="str">
        <f aca="false">IF($D5397&lt;&gt;"","["&amp;$E5397&amp;"]"&amp;"|"&amp;$Q5397&amp;"|"&amp;$K5397&amp;"|"&amp;$G5397&amp;"|"&amp;IF($G5397="TX_CURR_SUBNAT.R","CY2022Q4",$M5397),"")</f>
        <v>[lLDyBx5XyUi]|35-49|Female|PLHIV_Attend.T|CY2024Q3</v>
      </c>
    </row>
    <row r="5398" customFormat="false" ht="15" hidden="false" customHeight="false" outlineLevel="0" collapsed="false">
      <c r="D5398" s="0" t="s">
        <v>75</v>
      </c>
      <c r="E5398" s="0" t="s">
        <v>76</v>
      </c>
      <c r="F5398" s="0" t="s">
        <v>77</v>
      </c>
      <c r="G5398" s="0" t="s">
        <v>168</v>
      </c>
      <c r="H5398" s="0" t="s">
        <v>168</v>
      </c>
      <c r="I5398" s="0" t="s">
        <v>45</v>
      </c>
      <c r="J5398" s="0" t="s">
        <v>46</v>
      </c>
      <c r="K5398" s="0" t="s">
        <v>30</v>
      </c>
      <c r="L5398" s="0" t="s">
        <v>31</v>
      </c>
      <c r="M5398" s="0" t="s">
        <v>167</v>
      </c>
      <c r="N5398" s="0" t="n">
        <v>1369</v>
      </c>
      <c r="O5398" s="10" t="n">
        <v>0.885468071093783</v>
      </c>
      <c r="P5398" s="10" t="n">
        <v>0.303055507596582</v>
      </c>
      <c r="Q5398" s="0" t="str">
        <f aca="false">SUBSTITUTE(SUBSTITUTE($I5398,CHAR(61),""),CHAR(34),"")</f>
        <v>50+</v>
      </c>
      <c r="R5398" s="0" t="str">
        <f aca="false">IF($D5398&lt;&gt;"","["&amp;$E5398&amp;"]"&amp;"|"&amp;$Q5398&amp;"|"&amp;$K5398&amp;"|"&amp;$G5398&amp;"|"&amp;IF($G5398="TX_CURR_SUBNAT.R","CY2022Q4",$M5398),"")</f>
        <v>[lLDyBx5XyUi]|50+|Female|PLHIV_Attend.T|CY2024Q3</v>
      </c>
    </row>
    <row r="5399" customFormat="false" ht="15" hidden="false" customHeight="false" outlineLevel="0" collapsed="false">
      <c r="D5399" s="0" t="s">
        <v>75</v>
      </c>
      <c r="E5399" s="0" t="s">
        <v>76</v>
      </c>
      <c r="F5399" s="0" t="s">
        <v>77</v>
      </c>
      <c r="G5399" s="0" t="s">
        <v>168</v>
      </c>
      <c r="H5399" s="0" t="s">
        <v>168</v>
      </c>
      <c r="I5399" s="0" t="s">
        <v>28</v>
      </c>
      <c r="J5399" s="0" t="s">
        <v>29</v>
      </c>
      <c r="K5399" s="0" t="s">
        <v>48</v>
      </c>
      <c r="L5399" s="0" t="s">
        <v>49</v>
      </c>
      <c r="M5399" s="0" t="s">
        <v>167</v>
      </c>
      <c r="N5399" s="0" t="n">
        <v>1643</v>
      </c>
      <c r="O5399" s="10" t="n">
        <v>0.455885858507827</v>
      </c>
      <c r="P5399" s="10" t="n">
        <v>0.303055507596582</v>
      </c>
      <c r="Q5399" s="0" t="str">
        <f aca="false">SUBSTITUTE(SUBSTITUTE($I5399,CHAR(61),""),CHAR(34),"")</f>
        <v>&lt;01</v>
      </c>
      <c r="R5399" s="0" t="str">
        <f aca="false">IF($D5399&lt;&gt;"","["&amp;$E5399&amp;"]"&amp;"|"&amp;$Q5399&amp;"|"&amp;$K5399&amp;"|"&amp;$G5399&amp;"|"&amp;IF($G5399="TX_CURR_SUBNAT.R","CY2022Q4",$M5399),"")</f>
        <v>[lLDyBx5XyUi]|&lt;01|Male|PLHIV_Attend.T|CY2024Q3</v>
      </c>
    </row>
    <row r="5400" customFormat="false" ht="15" hidden="false" customHeight="false" outlineLevel="0" collapsed="false">
      <c r="D5400" s="0" t="s">
        <v>75</v>
      </c>
      <c r="E5400" s="0" t="s">
        <v>76</v>
      </c>
      <c r="F5400" s="0" t="s">
        <v>77</v>
      </c>
      <c r="G5400" s="0" t="s">
        <v>168</v>
      </c>
      <c r="H5400" s="0" t="s">
        <v>168</v>
      </c>
      <c r="I5400" s="0" t="s">
        <v>33</v>
      </c>
      <c r="J5400" s="0" t="s">
        <v>34</v>
      </c>
      <c r="K5400" s="0" t="s">
        <v>48</v>
      </c>
      <c r="L5400" s="0" t="s">
        <v>49</v>
      </c>
      <c r="M5400" s="0" t="s">
        <v>167</v>
      </c>
      <c r="N5400" s="0" t="n">
        <v>1013</v>
      </c>
      <c r="O5400" s="10" t="n">
        <v>0.610940200742334</v>
      </c>
      <c r="P5400" s="10" t="n">
        <v>0.303055507596582</v>
      </c>
      <c r="Q5400" s="0" t="str">
        <f aca="false">SUBSTITUTE(SUBSTITUTE($I5400,CHAR(61),""),CHAR(34),"")</f>
        <v>01-09</v>
      </c>
      <c r="R5400" s="0" t="str">
        <f aca="false">IF($D5400&lt;&gt;"","["&amp;$E5400&amp;"]"&amp;"|"&amp;$Q5400&amp;"|"&amp;$K5400&amp;"|"&amp;$G5400&amp;"|"&amp;IF($G5400="TX_CURR_SUBNAT.R","CY2022Q4",$M5400),"")</f>
        <v>[lLDyBx5XyUi]|01-09|Male|PLHIV_Attend.T|CY2024Q3</v>
      </c>
    </row>
    <row r="5401" customFormat="false" ht="15" hidden="false" customHeight="false" outlineLevel="0" collapsed="false">
      <c r="D5401" s="0" t="s">
        <v>75</v>
      </c>
      <c r="E5401" s="0" t="s">
        <v>76</v>
      </c>
      <c r="F5401" s="0" t="s">
        <v>77</v>
      </c>
      <c r="G5401" s="0" t="s">
        <v>168</v>
      </c>
      <c r="H5401" s="0" t="s">
        <v>168</v>
      </c>
      <c r="I5401" s="0" t="s">
        <v>36</v>
      </c>
      <c r="J5401" s="0" t="s">
        <v>37</v>
      </c>
      <c r="K5401" s="0" t="s">
        <v>48</v>
      </c>
      <c r="L5401" s="0" t="s">
        <v>49</v>
      </c>
      <c r="M5401" s="0" t="s">
        <v>167</v>
      </c>
      <c r="N5401" s="0" t="n">
        <v>1902</v>
      </c>
      <c r="O5401" s="10" t="n">
        <v>0.697012008866295</v>
      </c>
      <c r="P5401" s="10" t="n">
        <v>0.303055507596582</v>
      </c>
      <c r="Q5401" s="0" t="str">
        <f aca="false">SUBSTITUTE(SUBSTITUTE($I5401,CHAR(61),""),CHAR(34),"")</f>
        <v>10-14</v>
      </c>
      <c r="R5401" s="0" t="str">
        <f aca="false">IF($D5401&lt;&gt;"","["&amp;$E5401&amp;"]"&amp;"|"&amp;$Q5401&amp;"|"&amp;$K5401&amp;"|"&amp;$G5401&amp;"|"&amp;IF($G5401="TX_CURR_SUBNAT.R","CY2022Q4",$M5401),"")</f>
        <v>[lLDyBx5XyUi]|10-14|Male|PLHIV_Attend.T|CY2024Q3</v>
      </c>
    </row>
    <row r="5402" customFormat="false" ht="15" hidden="false" customHeight="false" outlineLevel="0" collapsed="false">
      <c r="D5402" s="0" t="s">
        <v>75</v>
      </c>
      <c r="E5402" s="0" t="s">
        <v>76</v>
      </c>
      <c r="F5402" s="0" t="s">
        <v>77</v>
      </c>
      <c r="G5402" s="0" t="s">
        <v>168</v>
      </c>
      <c r="H5402" s="0" t="s">
        <v>168</v>
      </c>
      <c r="I5402" s="0" t="s">
        <v>38</v>
      </c>
      <c r="J5402" s="0" t="s">
        <v>39</v>
      </c>
      <c r="K5402" s="0" t="s">
        <v>48</v>
      </c>
      <c r="L5402" s="0" t="s">
        <v>49</v>
      </c>
      <c r="M5402" s="0" t="s">
        <v>167</v>
      </c>
      <c r="N5402" s="0" t="n">
        <v>1190</v>
      </c>
      <c r="O5402" s="10" t="n">
        <v>0.735304962843657</v>
      </c>
      <c r="P5402" s="10" t="n">
        <v>0.303055507596582</v>
      </c>
      <c r="Q5402" s="0" t="str">
        <f aca="false">SUBSTITUTE(SUBSTITUTE($I5402,CHAR(61),""),CHAR(34),"")</f>
        <v>15-24</v>
      </c>
      <c r="R5402" s="0" t="str">
        <f aca="false">IF($D5402&lt;&gt;"","["&amp;$E5402&amp;"]"&amp;"|"&amp;$Q5402&amp;"|"&amp;$K5402&amp;"|"&amp;$G5402&amp;"|"&amp;IF($G5402="TX_CURR_SUBNAT.R","CY2022Q4",$M5402),"")</f>
        <v>[lLDyBx5XyUi]|15-24|Male|PLHIV_Attend.T|CY2024Q3</v>
      </c>
    </row>
    <row r="5403" customFormat="false" ht="15" hidden="false" customHeight="false" outlineLevel="0" collapsed="false">
      <c r="D5403" s="0" t="s">
        <v>75</v>
      </c>
      <c r="E5403" s="0" t="s">
        <v>76</v>
      </c>
      <c r="F5403" s="0" t="s">
        <v>77</v>
      </c>
      <c r="G5403" s="0" t="s">
        <v>168</v>
      </c>
      <c r="H5403" s="0" t="s">
        <v>168</v>
      </c>
      <c r="I5403" s="0" t="s">
        <v>41</v>
      </c>
      <c r="J5403" s="0" t="s">
        <v>42</v>
      </c>
      <c r="K5403" s="0" t="s">
        <v>48</v>
      </c>
      <c r="L5403" s="0" t="s">
        <v>49</v>
      </c>
      <c r="M5403" s="0" t="s">
        <v>167</v>
      </c>
      <c r="N5403" s="0" t="n">
        <v>1818</v>
      </c>
      <c r="O5403" s="10" t="n">
        <v>0.302617383887991</v>
      </c>
      <c r="P5403" s="10" t="n">
        <v>0.303055507596582</v>
      </c>
      <c r="Q5403" s="0" t="str">
        <f aca="false">SUBSTITUTE(SUBSTITUTE($I5403,CHAR(61),""),CHAR(34),"")</f>
        <v>25-34</v>
      </c>
      <c r="R5403" s="0" t="str">
        <f aca="false">IF($D5403&lt;&gt;"","["&amp;$E5403&amp;"]"&amp;"|"&amp;$Q5403&amp;"|"&amp;$K5403&amp;"|"&amp;$G5403&amp;"|"&amp;IF($G5403="TX_CURR_SUBNAT.R","CY2022Q4",$M5403),"")</f>
        <v>[lLDyBx5XyUi]|25-34|Male|PLHIV_Attend.T|CY2024Q3</v>
      </c>
    </row>
    <row r="5404" customFormat="false" ht="15" hidden="false" customHeight="false" outlineLevel="0" collapsed="false">
      <c r="D5404" s="0" t="s">
        <v>75</v>
      </c>
      <c r="E5404" s="0" t="s">
        <v>76</v>
      </c>
      <c r="F5404" s="0" t="s">
        <v>77</v>
      </c>
      <c r="G5404" s="0" t="s">
        <v>168</v>
      </c>
      <c r="H5404" s="0" t="s">
        <v>168</v>
      </c>
      <c r="I5404" s="0" t="s">
        <v>43</v>
      </c>
      <c r="J5404" s="0" t="s">
        <v>44</v>
      </c>
      <c r="K5404" s="0" t="s">
        <v>48</v>
      </c>
      <c r="L5404" s="0" t="s">
        <v>49</v>
      </c>
      <c r="M5404" s="0" t="s">
        <v>167</v>
      </c>
      <c r="N5404" s="0" t="n">
        <v>615</v>
      </c>
      <c r="O5404" s="10" t="n">
        <v>0.325846976600587</v>
      </c>
      <c r="P5404" s="10" t="n">
        <v>0.303055507596582</v>
      </c>
      <c r="Q5404" s="0" t="str">
        <f aca="false">SUBSTITUTE(SUBSTITUTE($I5404,CHAR(61),""),CHAR(34),"")</f>
        <v>35-49</v>
      </c>
      <c r="R5404" s="0" t="str">
        <f aca="false">IF($D5404&lt;&gt;"","["&amp;$E5404&amp;"]"&amp;"|"&amp;$Q5404&amp;"|"&amp;$K5404&amp;"|"&amp;$G5404&amp;"|"&amp;IF($G5404="TX_CURR_SUBNAT.R","CY2022Q4",$M5404),"")</f>
        <v>[lLDyBx5XyUi]|35-49|Male|PLHIV_Attend.T|CY2024Q3</v>
      </c>
    </row>
    <row r="5405" customFormat="false" ht="15" hidden="false" customHeight="false" outlineLevel="0" collapsed="false">
      <c r="D5405" s="0" t="s">
        <v>75</v>
      </c>
      <c r="E5405" s="0" t="s">
        <v>76</v>
      </c>
      <c r="F5405" s="0" t="s">
        <v>77</v>
      </c>
      <c r="G5405" s="0" t="s">
        <v>168</v>
      </c>
      <c r="H5405" s="0" t="s">
        <v>168</v>
      </c>
      <c r="I5405" s="0" t="s">
        <v>45</v>
      </c>
      <c r="J5405" s="0" t="s">
        <v>46</v>
      </c>
      <c r="K5405" s="0" t="s">
        <v>48</v>
      </c>
      <c r="L5405" s="0" t="s">
        <v>49</v>
      </c>
      <c r="M5405" s="0" t="s">
        <v>167</v>
      </c>
      <c r="N5405" s="0" t="n">
        <v>1340</v>
      </c>
      <c r="O5405" s="10" t="n">
        <v>0.734789641341195</v>
      </c>
      <c r="P5405" s="10" t="n">
        <v>0.303055507596582</v>
      </c>
      <c r="Q5405" s="0" t="str">
        <f aca="false">SUBSTITUTE(SUBSTITUTE($I5405,CHAR(61),""),CHAR(34),"")</f>
        <v>50+</v>
      </c>
      <c r="R5405" s="0" t="str">
        <f aca="false">IF($D5405&lt;&gt;"","["&amp;$E5405&amp;"]"&amp;"|"&amp;$Q5405&amp;"|"&amp;$K5405&amp;"|"&amp;$G5405&amp;"|"&amp;IF($G5405="TX_CURR_SUBNAT.R","CY2022Q4",$M5405),"")</f>
        <v>[lLDyBx5XyUi]|50+|Male|PLHIV_Attend.T|CY2024Q3</v>
      </c>
    </row>
    <row r="5406" customFormat="false" ht="15" hidden="false" customHeight="false" outlineLevel="0" collapsed="false">
      <c r="D5406" s="0" t="s">
        <v>78</v>
      </c>
      <c r="E5406" s="0" t="s">
        <v>79</v>
      </c>
      <c r="F5406" s="0" t="s">
        <v>80</v>
      </c>
      <c r="G5406" s="0" t="s">
        <v>168</v>
      </c>
      <c r="H5406" s="0" t="s">
        <v>168</v>
      </c>
      <c r="I5406" s="0" t="s">
        <v>28</v>
      </c>
      <c r="J5406" s="0" t="s">
        <v>29</v>
      </c>
      <c r="K5406" s="0" t="s">
        <v>30</v>
      </c>
      <c r="L5406" s="0" t="s">
        <v>31</v>
      </c>
      <c r="M5406" s="0" t="s">
        <v>167</v>
      </c>
      <c r="N5406" s="0" t="n">
        <v>1119</v>
      </c>
      <c r="O5406" s="10" t="n">
        <v>0.79720476293005</v>
      </c>
      <c r="P5406" s="10" t="n">
        <v>0.831597982207313</v>
      </c>
      <c r="Q5406" s="0" t="str">
        <f aca="false">SUBSTITUTE(SUBSTITUTE($I5406,CHAR(61),""),CHAR(34),"")</f>
        <v>&lt;01</v>
      </c>
      <c r="R5406" s="0" t="str">
        <f aca="false">IF($D5406&lt;&gt;"","["&amp;$E5406&amp;"]"&amp;"|"&amp;$Q5406&amp;"|"&amp;$K5406&amp;"|"&amp;$G5406&amp;"|"&amp;IF($G5406="TX_CURR_SUBNAT.R","CY2022Q4",$M5406),"")</f>
        <v>[TYnMSwzko3z]|&lt;01|Female|PLHIV_Attend.T|CY2024Q3</v>
      </c>
    </row>
    <row r="5407" customFormat="false" ht="15" hidden="false" customHeight="false" outlineLevel="0" collapsed="false">
      <c r="D5407" s="0" t="s">
        <v>78</v>
      </c>
      <c r="E5407" s="0" t="s">
        <v>79</v>
      </c>
      <c r="F5407" s="0" t="s">
        <v>80</v>
      </c>
      <c r="G5407" s="0" t="s">
        <v>168</v>
      </c>
      <c r="H5407" s="0" t="s">
        <v>168</v>
      </c>
      <c r="I5407" s="0" t="s">
        <v>33</v>
      </c>
      <c r="J5407" s="0" t="s">
        <v>34</v>
      </c>
      <c r="K5407" s="0" t="s">
        <v>30</v>
      </c>
      <c r="L5407" s="0" t="s">
        <v>31</v>
      </c>
      <c r="M5407" s="0" t="s">
        <v>167</v>
      </c>
      <c r="N5407" s="0" t="n">
        <v>1582</v>
      </c>
      <c r="O5407" s="10" t="n">
        <v>0.435765914153308</v>
      </c>
      <c r="P5407" s="10" t="n">
        <v>0.831597982207313</v>
      </c>
      <c r="Q5407" s="0" t="str">
        <f aca="false">SUBSTITUTE(SUBSTITUTE($I5407,CHAR(61),""),CHAR(34),"")</f>
        <v>01-09</v>
      </c>
      <c r="R5407" s="0" t="str">
        <f aca="false">IF($D5407&lt;&gt;"","["&amp;$E5407&amp;"]"&amp;"|"&amp;$Q5407&amp;"|"&amp;$K5407&amp;"|"&amp;$G5407&amp;"|"&amp;IF($G5407="TX_CURR_SUBNAT.R","CY2022Q4",$M5407),"")</f>
        <v>[TYnMSwzko3z]|01-09|Female|PLHIV_Attend.T|CY2024Q3</v>
      </c>
    </row>
    <row r="5408" customFormat="false" ht="15" hidden="false" customHeight="false" outlineLevel="0" collapsed="false">
      <c r="D5408" s="0" t="s">
        <v>78</v>
      </c>
      <c r="E5408" s="0" t="s">
        <v>79</v>
      </c>
      <c r="F5408" s="0" t="s">
        <v>80</v>
      </c>
      <c r="G5408" s="0" t="s">
        <v>168</v>
      </c>
      <c r="H5408" s="0" t="s">
        <v>168</v>
      </c>
      <c r="I5408" s="0" t="s">
        <v>36</v>
      </c>
      <c r="J5408" s="0" t="s">
        <v>37</v>
      </c>
      <c r="K5408" s="0" t="s">
        <v>30</v>
      </c>
      <c r="L5408" s="0" t="s">
        <v>31</v>
      </c>
      <c r="M5408" s="0" t="s">
        <v>167</v>
      </c>
      <c r="N5408" s="0" t="n">
        <v>748</v>
      </c>
      <c r="O5408" s="10" t="n">
        <v>0.0905541859101504</v>
      </c>
      <c r="P5408" s="10" t="n">
        <v>0.831597982207313</v>
      </c>
      <c r="Q5408" s="0" t="str">
        <f aca="false">SUBSTITUTE(SUBSTITUTE($I5408,CHAR(61),""),CHAR(34),"")</f>
        <v>10-14</v>
      </c>
      <c r="R5408" s="0" t="str">
        <f aca="false">IF($D5408&lt;&gt;"","["&amp;$E5408&amp;"]"&amp;"|"&amp;$Q5408&amp;"|"&amp;$K5408&amp;"|"&amp;$G5408&amp;"|"&amp;IF($G5408="TX_CURR_SUBNAT.R","CY2022Q4",$M5408),"")</f>
        <v>[TYnMSwzko3z]|10-14|Female|PLHIV_Attend.T|CY2024Q3</v>
      </c>
    </row>
    <row r="5409" customFormat="false" ht="15" hidden="false" customHeight="false" outlineLevel="0" collapsed="false">
      <c r="D5409" s="0" t="s">
        <v>78</v>
      </c>
      <c r="E5409" s="0" t="s">
        <v>79</v>
      </c>
      <c r="F5409" s="0" t="s">
        <v>80</v>
      </c>
      <c r="G5409" s="0" t="s">
        <v>168</v>
      </c>
      <c r="H5409" s="0" t="s">
        <v>168</v>
      </c>
      <c r="I5409" s="0" t="s">
        <v>38</v>
      </c>
      <c r="J5409" s="0" t="s">
        <v>39</v>
      </c>
      <c r="K5409" s="0" t="s">
        <v>30</v>
      </c>
      <c r="L5409" s="0" t="s">
        <v>31</v>
      </c>
      <c r="M5409" s="0" t="s">
        <v>167</v>
      </c>
      <c r="N5409" s="0" t="n">
        <v>640</v>
      </c>
      <c r="O5409" s="10" t="n">
        <v>0.230717264581472</v>
      </c>
      <c r="P5409" s="10" t="n">
        <v>0.831597982207313</v>
      </c>
      <c r="Q5409" s="0" t="str">
        <f aca="false">SUBSTITUTE(SUBSTITUTE($I5409,CHAR(61),""),CHAR(34),"")</f>
        <v>15-24</v>
      </c>
      <c r="R5409" s="0" t="str">
        <f aca="false">IF($D5409&lt;&gt;"","["&amp;$E5409&amp;"]"&amp;"|"&amp;$Q5409&amp;"|"&amp;$K5409&amp;"|"&amp;$G5409&amp;"|"&amp;IF($G5409="TX_CURR_SUBNAT.R","CY2022Q4",$M5409),"")</f>
        <v>[TYnMSwzko3z]|15-24|Female|PLHIV_Attend.T|CY2024Q3</v>
      </c>
    </row>
    <row r="5410" customFormat="false" ht="15" hidden="false" customHeight="false" outlineLevel="0" collapsed="false">
      <c r="D5410" s="0" t="s">
        <v>78</v>
      </c>
      <c r="E5410" s="0" t="s">
        <v>79</v>
      </c>
      <c r="F5410" s="0" t="s">
        <v>80</v>
      </c>
      <c r="G5410" s="0" t="s">
        <v>168</v>
      </c>
      <c r="H5410" s="0" t="s">
        <v>168</v>
      </c>
      <c r="I5410" s="0" t="s">
        <v>41</v>
      </c>
      <c r="J5410" s="0" t="s">
        <v>42</v>
      </c>
      <c r="K5410" s="0" t="s">
        <v>30</v>
      </c>
      <c r="L5410" s="0" t="s">
        <v>31</v>
      </c>
      <c r="M5410" s="0" t="s">
        <v>167</v>
      </c>
      <c r="N5410" s="0" t="n">
        <v>1502</v>
      </c>
      <c r="O5410" s="10" t="n">
        <v>0.772366049000993</v>
      </c>
      <c r="P5410" s="10" t="n">
        <v>0.831597982207313</v>
      </c>
      <c r="Q5410" s="0" t="str">
        <f aca="false">SUBSTITUTE(SUBSTITUTE($I5410,CHAR(61),""),CHAR(34),"")</f>
        <v>25-34</v>
      </c>
      <c r="R5410" s="0" t="str">
        <f aca="false">IF($D5410&lt;&gt;"","["&amp;$E5410&amp;"]"&amp;"|"&amp;$Q5410&amp;"|"&amp;$K5410&amp;"|"&amp;$G5410&amp;"|"&amp;IF($G5410="TX_CURR_SUBNAT.R","CY2022Q4",$M5410),"")</f>
        <v>[TYnMSwzko3z]|25-34|Female|PLHIV_Attend.T|CY2024Q3</v>
      </c>
    </row>
    <row r="5411" customFormat="false" ht="15" hidden="false" customHeight="false" outlineLevel="0" collapsed="false">
      <c r="D5411" s="0" t="s">
        <v>78</v>
      </c>
      <c r="E5411" s="0" t="s">
        <v>79</v>
      </c>
      <c r="F5411" s="0" t="s">
        <v>80</v>
      </c>
      <c r="G5411" s="0" t="s">
        <v>168</v>
      </c>
      <c r="H5411" s="0" t="s">
        <v>168</v>
      </c>
      <c r="I5411" s="0" t="s">
        <v>43</v>
      </c>
      <c r="J5411" s="0" t="s">
        <v>44</v>
      </c>
      <c r="K5411" s="0" t="s">
        <v>30</v>
      </c>
      <c r="L5411" s="0" t="s">
        <v>31</v>
      </c>
      <c r="M5411" s="0" t="s">
        <v>167</v>
      </c>
      <c r="N5411" s="0" t="n">
        <v>1972</v>
      </c>
      <c r="O5411" s="10" t="n">
        <v>0.352603145642206</v>
      </c>
      <c r="P5411" s="10" t="n">
        <v>0.831597982207313</v>
      </c>
      <c r="Q5411" s="0" t="str">
        <f aca="false">SUBSTITUTE(SUBSTITUTE($I5411,CHAR(61),""),CHAR(34),"")</f>
        <v>35-49</v>
      </c>
      <c r="R5411" s="0" t="str">
        <f aca="false">IF($D5411&lt;&gt;"","["&amp;$E5411&amp;"]"&amp;"|"&amp;$Q5411&amp;"|"&amp;$K5411&amp;"|"&amp;$G5411&amp;"|"&amp;IF($G5411="TX_CURR_SUBNAT.R","CY2022Q4",$M5411),"")</f>
        <v>[TYnMSwzko3z]|35-49|Female|PLHIV_Attend.T|CY2024Q3</v>
      </c>
    </row>
    <row r="5412" customFormat="false" ht="15" hidden="false" customHeight="false" outlineLevel="0" collapsed="false">
      <c r="D5412" s="0" t="s">
        <v>78</v>
      </c>
      <c r="E5412" s="0" t="s">
        <v>79</v>
      </c>
      <c r="F5412" s="0" t="s">
        <v>80</v>
      </c>
      <c r="G5412" s="0" t="s">
        <v>168</v>
      </c>
      <c r="H5412" s="0" t="s">
        <v>168</v>
      </c>
      <c r="I5412" s="0" t="s">
        <v>45</v>
      </c>
      <c r="J5412" s="0" t="s">
        <v>46</v>
      </c>
      <c r="K5412" s="0" t="s">
        <v>30</v>
      </c>
      <c r="L5412" s="0" t="s">
        <v>31</v>
      </c>
      <c r="M5412" s="0" t="s">
        <v>167</v>
      </c>
      <c r="N5412" s="0" t="n">
        <v>896</v>
      </c>
      <c r="O5412" s="10" t="n">
        <v>0.907737087458372</v>
      </c>
      <c r="P5412" s="10" t="n">
        <v>0.831597982207313</v>
      </c>
      <c r="Q5412" s="0" t="str">
        <f aca="false">SUBSTITUTE(SUBSTITUTE($I5412,CHAR(61),""),CHAR(34),"")</f>
        <v>50+</v>
      </c>
      <c r="R5412" s="0" t="str">
        <f aca="false">IF($D5412&lt;&gt;"","["&amp;$E5412&amp;"]"&amp;"|"&amp;$Q5412&amp;"|"&amp;$K5412&amp;"|"&amp;$G5412&amp;"|"&amp;IF($G5412="TX_CURR_SUBNAT.R","CY2022Q4",$M5412),"")</f>
        <v>[TYnMSwzko3z]|50+|Female|PLHIV_Attend.T|CY2024Q3</v>
      </c>
    </row>
    <row r="5413" customFormat="false" ht="15" hidden="false" customHeight="false" outlineLevel="0" collapsed="false">
      <c r="D5413" s="0" t="s">
        <v>78</v>
      </c>
      <c r="E5413" s="0" t="s">
        <v>79</v>
      </c>
      <c r="F5413" s="0" t="s">
        <v>80</v>
      </c>
      <c r="G5413" s="0" t="s">
        <v>168</v>
      </c>
      <c r="H5413" s="0" t="s">
        <v>168</v>
      </c>
      <c r="I5413" s="0" t="s">
        <v>28</v>
      </c>
      <c r="J5413" s="0" t="s">
        <v>29</v>
      </c>
      <c r="K5413" s="0" t="s">
        <v>48</v>
      </c>
      <c r="L5413" s="0" t="s">
        <v>49</v>
      </c>
      <c r="M5413" s="0" t="s">
        <v>167</v>
      </c>
      <c r="N5413" s="0" t="n">
        <v>1338</v>
      </c>
      <c r="O5413" s="10" t="n">
        <v>0.859659712063149</v>
      </c>
      <c r="P5413" s="10" t="n">
        <v>0.831597982207313</v>
      </c>
      <c r="Q5413" s="0" t="str">
        <f aca="false">SUBSTITUTE(SUBSTITUTE($I5413,CHAR(61),""),CHAR(34),"")</f>
        <v>&lt;01</v>
      </c>
      <c r="R5413" s="0" t="str">
        <f aca="false">IF($D5413&lt;&gt;"","["&amp;$E5413&amp;"]"&amp;"|"&amp;$Q5413&amp;"|"&amp;$K5413&amp;"|"&amp;$G5413&amp;"|"&amp;IF($G5413="TX_CURR_SUBNAT.R","CY2022Q4",$M5413),"")</f>
        <v>[TYnMSwzko3z]|&lt;01|Male|PLHIV_Attend.T|CY2024Q3</v>
      </c>
    </row>
    <row r="5414" customFormat="false" ht="15" hidden="false" customHeight="false" outlineLevel="0" collapsed="false">
      <c r="D5414" s="0" t="s">
        <v>78</v>
      </c>
      <c r="E5414" s="0" t="s">
        <v>79</v>
      </c>
      <c r="F5414" s="0" t="s">
        <v>80</v>
      </c>
      <c r="G5414" s="0" t="s">
        <v>168</v>
      </c>
      <c r="H5414" s="0" t="s">
        <v>168</v>
      </c>
      <c r="I5414" s="0" t="s">
        <v>33</v>
      </c>
      <c r="J5414" s="0" t="s">
        <v>34</v>
      </c>
      <c r="K5414" s="0" t="s">
        <v>48</v>
      </c>
      <c r="L5414" s="0" t="s">
        <v>49</v>
      </c>
      <c r="M5414" s="0" t="s">
        <v>167</v>
      </c>
      <c r="N5414" s="0" t="n">
        <v>1558</v>
      </c>
      <c r="O5414" s="10" t="n">
        <v>0.529141522711143</v>
      </c>
      <c r="P5414" s="10" t="n">
        <v>0.831597982207313</v>
      </c>
      <c r="Q5414" s="0" t="str">
        <f aca="false">SUBSTITUTE(SUBSTITUTE($I5414,CHAR(61),""),CHAR(34),"")</f>
        <v>01-09</v>
      </c>
      <c r="R5414" s="0" t="str">
        <f aca="false">IF($D5414&lt;&gt;"","["&amp;$E5414&amp;"]"&amp;"|"&amp;$Q5414&amp;"|"&amp;$K5414&amp;"|"&amp;$G5414&amp;"|"&amp;IF($G5414="TX_CURR_SUBNAT.R","CY2022Q4",$M5414),"")</f>
        <v>[TYnMSwzko3z]|01-09|Male|PLHIV_Attend.T|CY2024Q3</v>
      </c>
    </row>
    <row r="5415" customFormat="false" ht="15" hidden="false" customHeight="false" outlineLevel="0" collapsed="false">
      <c r="D5415" s="0" t="s">
        <v>78</v>
      </c>
      <c r="E5415" s="0" t="s">
        <v>79</v>
      </c>
      <c r="F5415" s="0" t="s">
        <v>80</v>
      </c>
      <c r="G5415" s="0" t="s">
        <v>168</v>
      </c>
      <c r="H5415" s="0" t="s">
        <v>168</v>
      </c>
      <c r="I5415" s="0" t="s">
        <v>36</v>
      </c>
      <c r="J5415" s="0" t="s">
        <v>37</v>
      </c>
      <c r="K5415" s="0" t="s">
        <v>48</v>
      </c>
      <c r="L5415" s="0" t="s">
        <v>49</v>
      </c>
      <c r="M5415" s="0" t="s">
        <v>167</v>
      </c>
      <c r="N5415" s="0" t="n">
        <v>553</v>
      </c>
      <c r="O5415" s="10" t="n">
        <v>0.914455315098166</v>
      </c>
      <c r="P5415" s="10" t="n">
        <v>0.831597982207313</v>
      </c>
      <c r="Q5415" s="0" t="str">
        <f aca="false">SUBSTITUTE(SUBSTITUTE($I5415,CHAR(61),""),CHAR(34),"")</f>
        <v>10-14</v>
      </c>
      <c r="R5415" s="0" t="str">
        <f aca="false">IF($D5415&lt;&gt;"","["&amp;$E5415&amp;"]"&amp;"|"&amp;$Q5415&amp;"|"&amp;$K5415&amp;"|"&amp;$G5415&amp;"|"&amp;IF($G5415="TX_CURR_SUBNAT.R","CY2022Q4",$M5415),"")</f>
        <v>[TYnMSwzko3z]|10-14|Male|PLHIV_Attend.T|CY2024Q3</v>
      </c>
    </row>
    <row r="5416" customFormat="false" ht="15" hidden="false" customHeight="false" outlineLevel="0" collapsed="false">
      <c r="D5416" s="0" t="s">
        <v>78</v>
      </c>
      <c r="E5416" s="0" t="s">
        <v>79</v>
      </c>
      <c r="F5416" s="0" t="s">
        <v>80</v>
      </c>
      <c r="G5416" s="0" t="s">
        <v>168</v>
      </c>
      <c r="H5416" s="0" t="s">
        <v>168</v>
      </c>
      <c r="I5416" s="0" t="s">
        <v>38</v>
      </c>
      <c r="J5416" s="0" t="s">
        <v>39</v>
      </c>
      <c r="K5416" s="0" t="s">
        <v>48</v>
      </c>
      <c r="L5416" s="0" t="s">
        <v>49</v>
      </c>
      <c r="M5416" s="0" t="s">
        <v>167</v>
      </c>
      <c r="N5416" s="0" t="n">
        <v>1882</v>
      </c>
      <c r="O5416" s="10" t="n">
        <v>0.310485370457172</v>
      </c>
      <c r="P5416" s="10" t="n">
        <v>0.831597982207313</v>
      </c>
      <c r="Q5416" s="0" t="str">
        <f aca="false">SUBSTITUTE(SUBSTITUTE($I5416,CHAR(61),""),CHAR(34),"")</f>
        <v>15-24</v>
      </c>
      <c r="R5416" s="0" t="str">
        <f aca="false">IF($D5416&lt;&gt;"","["&amp;$E5416&amp;"]"&amp;"|"&amp;$Q5416&amp;"|"&amp;$K5416&amp;"|"&amp;$G5416&amp;"|"&amp;IF($G5416="TX_CURR_SUBNAT.R","CY2022Q4",$M5416),"")</f>
        <v>[TYnMSwzko3z]|15-24|Male|PLHIV_Attend.T|CY2024Q3</v>
      </c>
    </row>
    <row r="5417" customFormat="false" ht="15" hidden="false" customHeight="false" outlineLevel="0" collapsed="false">
      <c r="D5417" s="0" t="s">
        <v>78</v>
      </c>
      <c r="E5417" s="0" t="s">
        <v>79</v>
      </c>
      <c r="F5417" s="0" t="s">
        <v>80</v>
      </c>
      <c r="G5417" s="0" t="s">
        <v>168</v>
      </c>
      <c r="H5417" s="0" t="s">
        <v>168</v>
      </c>
      <c r="I5417" s="0" t="s">
        <v>41</v>
      </c>
      <c r="J5417" s="0" t="s">
        <v>42</v>
      </c>
      <c r="K5417" s="0" t="s">
        <v>48</v>
      </c>
      <c r="L5417" s="0" t="s">
        <v>49</v>
      </c>
      <c r="M5417" s="0" t="s">
        <v>167</v>
      </c>
      <c r="N5417" s="0" t="n">
        <v>806</v>
      </c>
      <c r="O5417" s="10" t="n">
        <v>0.982913827057928</v>
      </c>
      <c r="P5417" s="10" t="n">
        <v>0.831597982207313</v>
      </c>
      <c r="Q5417" s="0" t="str">
        <f aca="false">SUBSTITUTE(SUBSTITUTE($I5417,CHAR(61),""),CHAR(34),"")</f>
        <v>25-34</v>
      </c>
      <c r="R5417" s="0" t="str">
        <f aca="false">IF($D5417&lt;&gt;"","["&amp;$E5417&amp;"]"&amp;"|"&amp;$Q5417&amp;"|"&amp;$K5417&amp;"|"&amp;$G5417&amp;"|"&amp;IF($G5417="TX_CURR_SUBNAT.R","CY2022Q4",$M5417),"")</f>
        <v>[TYnMSwzko3z]|25-34|Male|PLHIV_Attend.T|CY2024Q3</v>
      </c>
    </row>
    <row r="5418" customFormat="false" ht="15" hidden="false" customHeight="false" outlineLevel="0" collapsed="false">
      <c r="D5418" s="0" t="s">
        <v>78</v>
      </c>
      <c r="E5418" s="0" t="s">
        <v>79</v>
      </c>
      <c r="F5418" s="0" t="s">
        <v>80</v>
      </c>
      <c r="G5418" s="0" t="s">
        <v>168</v>
      </c>
      <c r="H5418" s="0" t="s">
        <v>168</v>
      </c>
      <c r="I5418" s="0" t="s">
        <v>43</v>
      </c>
      <c r="J5418" s="0" t="s">
        <v>44</v>
      </c>
      <c r="K5418" s="0" t="s">
        <v>48</v>
      </c>
      <c r="L5418" s="0" t="s">
        <v>49</v>
      </c>
      <c r="M5418" s="0" t="s">
        <v>167</v>
      </c>
      <c r="N5418" s="0" t="n">
        <v>1010</v>
      </c>
      <c r="O5418" s="10" t="n">
        <v>0.933378916000947</v>
      </c>
      <c r="P5418" s="10" t="n">
        <v>0.831597982207313</v>
      </c>
      <c r="Q5418" s="0" t="str">
        <f aca="false">SUBSTITUTE(SUBSTITUTE($I5418,CHAR(61),""),CHAR(34),"")</f>
        <v>35-49</v>
      </c>
      <c r="R5418" s="0" t="str">
        <f aca="false">IF($D5418&lt;&gt;"","["&amp;$E5418&amp;"]"&amp;"|"&amp;$Q5418&amp;"|"&amp;$K5418&amp;"|"&amp;$G5418&amp;"|"&amp;IF($G5418="TX_CURR_SUBNAT.R","CY2022Q4",$M5418),"")</f>
        <v>[TYnMSwzko3z]|35-49|Male|PLHIV_Attend.T|CY2024Q3</v>
      </c>
    </row>
    <row r="5419" customFormat="false" ht="15" hidden="false" customHeight="false" outlineLevel="0" collapsed="false">
      <c r="D5419" s="0" t="s">
        <v>78</v>
      </c>
      <c r="E5419" s="0" t="s">
        <v>79</v>
      </c>
      <c r="F5419" s="0" t="s">
        <v>80</v>
      </c>
      <c r="G5419" s="0" t="s">
        <v>168</v>
      </c>
      <c r="H5419" s="0" t="s">
        <v>168</v>
      </c>
      <c r="I5419" s="0" t="s">
        <v>45</v>
      </c>
      <c r="J5419" s="0" t="s">
        <v>46</v>
      </c>
      <c r="K5419" s="0" t="s">
        <v>48</v>
      </c>
      <c r="L5419" s="0" t="s">
        <v>49</v>
      </c>
      <c r="M5419" s="0" t="s">
        <v>167</v>
      </c>
      <c r="N5419" s="0" t="n">
        <v>1642</v>
      </c>
      <c r="O5419" s="10" t="n">
        <v>0.299860286526382</v>
      </c>
      <c r="P5419" s="10" t="n">
        <v>0.831597982207313</v>
      </c>
      <c r="Q5419" s="0" t="str">
        <f aca="false">SUBSTITUTE(SUBSTITUTE($I5419,CHAR(61),""),CHAR(34),"")</f>
        <v>50+</v>
      </c>
      <c r="R5419" s="0" t="str">
        <f aca="false">IF($D5419&lt;&gt;"","["&amp;$E5419&amp;"]"&amp;"|"&amp;$Q5419&amp;"|"&amp;$K5419&amp;"|"&amp;$G5419&amp;"|"&amp;IF($G5419="TX_CURR_SUBNAT.R","CY2022Q4",$M5419),"")</f>
        <v>[TYnMSwzko3z]|50+|Male|PLHIV_Attend.T|CY2024Q3</v>
      </c>
    </row>
    <row r="5420" customFormat="false" ht="15" hidden="false" customHeight="false" outlineLevel="0" collapsed="false">
      <c r="D5420" s="0" t="s">
        <v>81</v>
      </c>
      <c r="E5420" s="0" t="s">
        <v>82</v>
      </c>
      <c r="F5420" s="0" t="s">
        <v>83</v>
      </c>
      <c r="G5420" s="0" t="s">
        <v>168</v>
      </c>
      <c r="H5420" s="0" t="s">
        <v>168</v>
      </c>
      <c r="I5420" s="0" t="s">
        <v>28</v>
      </c>
      <c r="J5420" s="0" t="s">
        <v>29</v>
      </c>
      <c r="K5420" s="0" t="s">
        <v>30</v>
      </c>
      <c r="L5420" s="0" t="s">
        <v>31</v>
      </c>
      <c r="M5420" s="0" t="s">
        <v>167</v>
      </c>
      <c r="N5420" s="0" t="n">
        <v>1964</v>
      </c>
      <c r="O5420" s="10" t="n">
        <v>0.0938813749235123</v>
      </c>
      <c r="P5420" s="10" t="n">
        <v>0.143331421539187</v>
      </c>
      <c r="Q5420" s="0" t="str">
        <f aca="false">SUBSTITUTE(SUBSTITUTE($I5420,CHAR(61),""),CHAR(34),"")</f>
        <v>&lt;01</v>
      </c>
      <c r="R5420" s="0" t="str">
        <f aca="false">IF($D5420&lt;&gt;"","["&amp;$E5420&amp;"]"&amp;"|"&amp;$Q5420&amp;"|"&amp;$K5420&amp;"|"&amp;$G5420&amp;"|"&amp;IF($G5420="TX_CURR_SUBNAT.R","CY2022Q4",$M5420),"")</f>
        <v>[ir8wuHHzoSs]|&lt;01|Female|PLHIV_Attend.T|CY2024Q3</v>
      </c>
    </row>
    <row r="5421" customFormat="false" ht="15" hidden="false" customHeight="false" outlineLevel="0" collapsed="false">
      <c r="D5421" s="0" t="s">
        <v>81</v>
      </c>
      <c r="E5421" s="0" t="s">
        <v>82</v>
      </c>
      <c r="F5421" s="0" t="s">
        <v>83</v>
      </c>
      <c r="G5421" s="0" t="s">
        <v>168</v>
      </c>
      <c r="H5421" s="0" t="s">
        <v>168</v>
      </c>
      <c r="I5421" s="0" t="s">
        <v>33</v>
      </c>
      <c r="J5421" s="0" t="s">
        <v>34</v>
      </c>
      <c r="K5421" s="0" t="s">
        <v>30</v>
      </c>
      <c r="L5421" s="0" t="s">
        <v>31</v>
      </c>
      <c r="M5421" s="0" t="s">
        <v>167</v>
      </c>
      <c r="N5421" s="0" t="n">
        <v>1781</v>
      </c>
      <c r="O5421" s="10" t="n">
        <v>0.619573857169598</v>
      </c>
      <c r="P5421" s="10" t="n">
        <v>0.143331421539187</v>
      </c>
      <c r="Q5421" s="0" t="str">
        <f aca="false">SUBSTITUTE(SUBSTITUTE($I5421,CHAR(61),""),CHAR(34),"")</f>
        <v>01-09</v>
      </c>
      <c r="R5421" s="0" t="str">
        <f aca="false">IF($D5421&lt;&gt;"","["&amp;$E5421&amp;"]"&amp;"|"&amp;$Q5421&amp;"|"&amp;$K5421&amp;"|"&amp;$G5421&amp;"|"&amp;IF($G5421="TX_CURR_SUBNAT.R","CY2022Q4",$M5421),"")</f>
        <v>[ir8wuHHzoSs]|01-09|Female|PLHIV_Attend.T|CY2024Q3</v>
      </c>
    </row>
    <row r="5422" customFormat="false" ht="15" hidden="false" customHeight="false" outlineLevel="0" collapsed="false">
      <c r="D5422" s="0" t="s">
        <v>81</v>
      </c>
      <c r="E5422" s="0" t="s">
        <v>82</v>
      </c>
      <c r="F5422" s="0" t="s">
        <v>83</v>
      </c>
      <c r="G5422" s="0" t="s">
        <v>168</v>
      </c>
      <c r="H5422" s="0" t="s">
        <v>168</v>
      </c>
      <c r="I5422" s="0" t="s">
        <v>36</v>
      </c>
      <c r="J5422" s="0" t="s">
        <v>37</v>
      </c>
      <c r="K5422" s="0" t="s">
        <v>30</v>
      </c>
      <c r="L5422" s="0" t="s">
        <v>31</v>
      </c>
      <c r="M5422" s="0" t="s">
        <v>167</v>
      </c>
      <c r="N5422" s="0" t="n">
        <v>1053</v>
      </c>
      <c r="O5422" s="10" t="n">
        <v>0.722395377699286</v>
      </c>
      <c r="P5422" s="10" t="n">
        <v>0.143331421539187</v>
      </c>
      <c r="Q5422" s="0" t="str">
        <f aca="false">SUBSTITUTE(SUBSTITUTE($I5422,CHAR(61),""),CHAR(34),"")</f>
        <v>10-14</v>
      </c>
      <c r="R5422" s="0" t="str">
        <f aca="false">IF($D5422&lt;&gt;"","["&amp;$E5422&amp;"]"&amp;"|"&amp;$Q5422&amp;"|"&amp;$K5422&amp;"|"&amp;$G5422&amp;"|"&amp;IF($G5422="TX_CURR_SUBNAT.R","CY2022Q4",$M5422),"")</f>
        <v>[ir8wuHHzoSs]|10-14|Female|PLHIV_Attend.T|CY2024Q3</v>
      </c>
    </row>
    <row r="5423" customFormat="false" ht="15" hidden="false" customHeight="false" outlineLevel="0" collapsed="false">
      <c r="D5423" s="0" t="s">
        <v>81</v>
      </c>
      <c r="E5423" s="0" t="s">
        <v>82</v>
      </c>
      <c r="F5423" s="0" t="s">
        <v>83</v>
      </c>
      <c r="G5423" s="0" t="s">
        <v>168</v>
      </c>
      <c r="H5423" s="0" t="s">
        <v>168</v>
      </c>
      <c r="I5423" s="0" t="s">
        <v>38</v>
      </c>
      <c r="J5423" s="0" t="s">
        <v>39</v>
      </c>
      <c r="K5423" s="0" t="s">
        <v>30</v>
      </c>
      <c r="L5423" s="0" t="s">
        <v>31</v>
      </c>
      <c r="M5423" s="0" t="s">
        <v>167</v>
      </c>
      <c r="N5423" s="0" t="n">
        <v>872</v>
      </c>
      <c r="O5423" s="10" t="n">
        <v>0.907878661295399</v>
      </c>
      <c r="P5423" s="10" t="n">
        <v>0.143331421539187</v>
      </c>
      <c r="Q5423" s="0" t="str">
        <f aca="false">SUBSTITUTE(SUBSTITUTE($I5423,CHAR(61),""),CHAR(34),"")</f>
        <v>15-24</v>
      </c>
      <c r="R5423" s="0" t="str">
        <f aca="false">IF($D5423&lt;&gt;"","["&amp;$E5423&amp;"]"&amp;"|"&amp;$Q5423&amp;"|"&amp;$K5423&amp;"|"&amp;$G5423&amp;"|"&amp;IF($G5423="TX_CURR_SUBNAT.R","CY2022Q4",$M5423),"")</f>
        <v>[ir8wuHHzoSs]|15-24|Female|PLHIV_Attend.T|CY2024Q3</v>
      </c>
    </row>
    <row r="5424" customFormat="false" ht="15" hidden="false" customHeight="false" outlineLevel="0" collapsed="false">
      <c r="D5424" s="0" t="s">
        <v>81</v>
      </c>
      <c r="E5424" s="0" t="s">
        <v>82</v>
      </c>
      <c r="F5424" s="0" t="s">
        <v>83</v>
      </c>
      <c r="G5424" s="0" t="s">
        <v>168</v>
      </c>
      <c r="H5424" s="0" t="s">
        <v>168</v>
      </c>
      <c r="I5424" s="0" t="s">
        <v>41</v>
      </c>
      <c r="J5424" s="0" t="s">
        <v>42</v>
      </c>
      <c r="K5424" s="0" t="s">
        <v>30</v>
      </c>
      <c r="L5424" s="0" t="s">
        <v>31</v>
      </c>
      <c r="M5424" s="0" t="s">
        <v>167</v>
      </c>
      <c r="N5424" s="0" t="n">
        <v>1379</v>
      </c>
      <c r="O5424" s="10" t="n">
        <v>0.732840796466917</v>
      </c>
      <c r="P5424" s="10" t="n">
        <v>0.143331421539187</v>
      </c>
      <c r="Q5424" s="0" t="str">
        <f aca="false">SUBSTITUTE(SUBSTITUTE($I5424,CHAR(61),""),CHAR(34),"")</f>
        <v>25-34</v>
      </c>
      <c r="R5424" s="0" t="str">
        <f aca="false">IF($D5424&lt;&gt;"","["&amp;$E5424&amp;"]"&amp;"|"&amp;$Q5424&amp;"|"&amp;$K5424&amp;"|"&amp;$G5424&amp;"|"&amp;IF($G5424="TX_CURR_SUBNAT.R","CY2022Q4",$M5424),"")</f>
        <v>[ir8wuHHzoSs]|25-34|Female|PLHIV_Attend.T|CY2024Q3</v>
      </c>
    </row>
    <row r="5425" customFormat="false" ht="15" hidden="false" customHeight="false" outlineLevel="0" collapsed="false">
      <c r="D5425" s="0" t="s">
        <v>81</v>
      </c>
      <c r="E5425" s="0" t="s">
        <v>82</v>
      </c>
      <c r="F5425" s="0" t="s">
        <v>83</v>
      </c>
      <c r="G5425" s="0" t="s">
        <v>168</v>
      </c>
      <c r="H5425" s="0" t="s">
        <v>168</v>
      </c>
      <c r="I5425" s="0" t="s">
        <v>43</v>
      </c>
      <c r="J5425" s="0" t="s">
        <v>44</v>
      </c>
      <c r="K5425" s="0" t="s">
        <v>30</v>
      </c>
      <c r="L5425" s="0" t="s">
        <v>31</v>
      </c>
      <c r="M5425" s="0" t="s">
        <v>167</v>
      </c>
      <c r="N5425" s="0" t="n">
        <v>1267</v>
      </c>
      <c r="O5425" s="10" t="n">
        <v>0.54128355672583</v>
      </c>
      <c r="P5425" s="10" t="n">
        <v>0.143331421539187</v>
      </c>
      <c r="Q5425" s="0" t="str">
        <f aca="false">SUBSTITUTE(SUBSTITUTE($I5425,CHAR(61),""),CHAR(34),"")</f>
        <v>35-49</v>
      </c>
      <c r="R5425" s="0" t="str">
        <f aca="false">IF($D5425&lt;&gt;"","["&amp;$E5425&amp;"]"&amp;"|"&amp;$Q5425&amp;"|"&amp;$K5425&amp;"|"&amp;$G5425&amp;"|"&amp;IF($G5425="TX_CURR_SUBNAT.R","CY2022Q4",$M5425),"")</f>
        <v>[ir8wuHHzoSs]|35-49|Female|PLHIV_Attend.T|CY2024Q3</v>
      </c>
    </row>
    <row r="5426" customFormat="false" ht="15" hidden="false" customHeight="false" outlineLevel="0" collapsed="false">
      <c r="D5426" s="0" t="s">
        <v>81</v>
      </c>
      <c r="E5426" s="0" t="s">
        <v>82</v>
      </c>
      <c r="F5426" s="0" t="s">
        <v>83</v>
      </c>
      <c r="G5426" s="0" t="s">
        <v>168</v>
      </c>
      <c r="H5426" s="0" t="s">
        <v>168</v>
      </c>
      <c r="I5426" s="0" t="s">
        <v>45</v>
      </c>
      <c r="J5426" s="0" t="s">
        <v>46</v>
      </c>
      <c r="K5426" s="0" t="s">
        <v>30</v>
      </c>
      <c r="L5426" s="0" t="s">
        <v>31</v>
      </c>
      <c r="M5426" s="0" t="s">
        <v>167</v>
      </c>
      <c r="N5426" s="0" t="n">
        <v>1064</v>
      </c>
      <c r="O5426" s="10" t="n">
        <v>0.222389407223091</v>
      </c>
      <c r="P5426" s="10" t="n">
        <v>0.143331421539187</v>
      </c>
      <c r="Q5426" s="0" t="str">
        <f aca="false">SUBSTITUTE(SUBSTITUTE($I5426,CHAR(61),""),CHAR(34),"")</f>
        <v>50+</v>
      </c>
      <c r="R5426" s="0" t="str">
        <f aca="false">IF($D5426&lt;&gt;"","["&amp;$E5426&amp;"]"&amp;"|"&amp;$Q5426&amp;"|"&amp;$K5426&amp;"|"&amp;$G5426&amp;"|"&amp;IF($G5426="TX_CURR_SUBNAT.R","CY2022Q4",$M5426),"")</f>
        <v>[ir8wuHHzoSs]|50+|Female|PLHIV_Attend.T|CY2024Q3</v>
      </c>
    </row>
    <row r="5427" customFormat="false" ht="15" hidden="false" customHeight="false" outlineLevel="0" collapsed="false">
      <c r="D5427" s="0" t="s">
        <v>81</v>
      </c>
      <c r="E5427" s="0" t="s">
        <v>82</v>
      </c>
      <c r="F5427" s="0" t="s">
        <v>83</v>
      </c>
      <c r="G5427" s="0" t="s">
        <v>168</v>
      </c>
      <c r="H5427" s="0" t="s">
        <v>168</v>
      </c>
      <c r="I5427" s="0" t="s">
        <v>28</v>
      </c>
      <c r="J5427" s="0" t="s">
        <v>29</v>
      </c>
      <c r="K5427" s="0" t="s">
        <v>48</v>
      </c>
      <c r="L5427" s="0" t="s">
        <v>49</v>
      </c>
      <c r="M5427" s="0" t="s">
        <v>167</v>
      </c>
      <c r="N5427" s="0" t="n">
        <v>766</v>
      </c>
      <c r="O5427" s="10" t="n">
        <v>0.197754519525915</v>
      </c>
      <c r="P5427" s="10" t="n">
        <v>0.143331421539187</v>
      </c>
      <c r="Q5427" s="0" t="str">
        <f aca="false">SUBSTITUTE(SUBSTITUTE($I5427,CHAR(61),""),CHAR(34),"")</f>
        <v>&lt;01</v>
      </c>
      <c r="R5427" s="0" t="str">
        <f aca="false">IF($D5427&lt;&gt;"","["&amp;$E5427&amp;"]"&amp;"|"&amp;$Q5427&amp;"|"&amp;$K5427&amp;"|"&amp;$G5427&amp;"|"&amp;IF($G5427="TX_CURR_SUBNAT.R","CY2022Q4",$M5427),"")</f>
        <v>[ir8wuHHzoSs]|&lt;01|Male|PLHIV_Attend.T|CY2024Q3</v>
      </c>
    </row>
    <row r="5428" customFormat="false" ht="15" hidden="false" customHeight="false" outlineLevel="0" collapsed="false">
      <c r="D5428" s="0" t="s">
        <v>81</v>
      </c>
      <c r="E5428" s="0" t="s">
        <v>82</v>
      </c>
      <c r="F5428" s="0" t="s">
        <v>83</v>
      </c>
      <c r="G5428" s="0" t="s">
        <v>168</v>
      </c>
      <c r="H5428" s="0" t="s">
        <v>168</v>
      </c>
      <c r="I5428" s="0" t="s">
        <v>33</v>
      </c>
      <c r="J5428" s="0" t="s">
        <v>34</v>
      </c>
      <c r="K5428" s="0" t="s">
        <v>48</v>
      </c>
      <c r="L5428" s="0" t="s">
        <v>49</v>
      </c>
      <c r="M5428" s="0" t="s">
        <v>167</v>
      </c>
      <c r="N5428" s="0" t="n">
        <v>570</v>
      </c>
      <c r="O5428" s="10" t="n">
        <v>0.498712699161842</v>
      </c>
      <c r="P5428" s="10" t="n">
        <v>0.143331421539187</v>
      </c>
      <c r="Q5428" s="0" t="str">
        <f aca="false">SUBSTITUTE(SUBSTITUTE($I5428,CHAR(61),""),CHAR(34),"")</f>
        <v>01-09</v>
      </c>
      <c r="R5428" s="0" t="str">
        <f aca="false">IF($D5428&lt;&gt;"","["&amp;$E5428&amp;"]"&amp;"|"&amp;$Q5428&amp;"|"&amp;$K5428&amp;"|"&amp;$G5428&amp;"|"&amp;IF($G5428="TX_CURR_SUBNAT.R","CY2022Q4",$M5428),"")</f>
        <v>[ir8wuHHzoSs]|01-09|Male|PLHIV_Attend.T|CY2024Q3</v>
      </c>
    </row>
    <row r="5429" customFormat="false" ht="15" hidden="false" customHeight="false" outlineLevel="0" collapsed="false">
      <c r="D5429" s="0" t="s">
        <v>81</v>
      </c>
      <c r="E5429" s="0" t="s">
        <v>82</v>
      </c>
      <c r="F5429" s="0" t="s">
        <v>83</v>
      </c>
      <c r="G5429" s="0" t="s">
        <v>168</v>
      </c>
      <c r="H5429" s="0" t="s">
        <v>168</v>
      </c>
      <c r="I5429" s="0" t="s">
        <v>36</v>
      </c>
      <c r="J5429" s="0" t="s">
        <v>37</v>
      </c>
      <c r="K5429" s="0" t="s">
        <v>48</v>
      </c>
      <c r="L5429" s="0" t="s">
        <v>49</v>
      </c>
      <c r="M5429" s="0" t="s">
        <v>167</v>
      </c>
      <c r="N5429" s="0" t="n">
        <v>1238</v>
      </c>
      <c r="O5429" s="10" t="n">
        <v>0.871689236955717</v>
      </c>
      <c r="P5429" s="10" t="n">
        <v>0.143331421539187</v>
      </c>
      <c r="Q5429" s="0" t="str">
        <f aca="false">SUBSTITUTE(SUBSTITUTE($I5429,CHAR(61),""),CHAR(34),"")</f>
        <v>10-14</v>
      </c>
      <c r="R5429" s="0" t="str">
        <f aca="false">IF($D5429&lt;&gt;"","["&amp;$E5429&amp;"]"&amp;"|"&amp;$Q5429&amp;"|"&amp;$K5429&amp;"|"&amp;$G5429&amp;"|"&amp;IF($G5429="TX_CURR_SUBNAT.R","CY2022Q4",$M5429),"")</f>
        <v>[ir8wuHHzoSs]|10-14|Male|PLHIV_Attend.T|CY2024Q3</v>
      </c>
    </row>
    <row r="5430" customFormat="false" ht="15" hidden="false" customHeight="false" outlineLevel="0" collapsed="false">
      <c r="D5430" s="0" t="s">
        <v>81</v>
      </c>
      <c r="E5430" s="0" t="s">
        <v>82</v>
      </c>
      <c r="F5430" s="0" t="s">
        <v>83</v>
      </c>
      <c r="G5430" s="0" t="s">
        <v>168</v>
      </c>
      <c r="H5430" s="0" t="s">
        <v>168</v>
      </c>
      <c r="I5430" s="0" t="s">
        <v>38</v>
      </c>
      <c r="J5430" s="0" t="s">
        <v>39</v>
      </c>
      <c r="K5430" s="0" t="s">
        <v>48</v>
      </c>
      <c r="L5430" s="0" t="s">
        <v>49</v>
      </c>
      <c r="M5430" s="0" t="s">
        <v>167</v>
      </c>
      <c r="N5430" s="0" t="n">
        <v>1064</v>
      </c>
      <c r="O5430" s="10" t="n">
        <v>0.122046623844653</v>
      </c>
      <c r="P5430" s="10" t="n">
        <v>0.143331421539187</v>
      </c>
      <c r="Q5430" s="0" t="str">
        <f aca="false">SUBSTITUTE(SUBSTITUTE($I5430,CHAR(61),""),CHAR(34),"")</f>
        <v>15-24</v>
      </c>
      <c r="R5430" s="0" t="str">
        <f aca="false">IF($D5430&lt;&gt;"","["&amp;$E5430&amp;"]"&amp;"|"&amp;$Q5430&amp;"|"&amp;$K5430&amp;"|"&amp;$G5430&amp;"|"&amp;IF($G5430="TX_CURR_SUBNAT.R","CY2022Q4",$M5430),"")</f>
        <v>[ir8wuHHzoSs]|15-24|Male|PLHIV_Attend.T|CY2024Q3</v>
      </c>
    </row>
    <row r="5431" customFormat="false" ht="15" hidden="false" customHeight="false" outlineLevel="0" collapsed="false">
      <c r="D5431" s="0" t="s">
        <v>81</v>
      </c>
      <c r="E5431" s="0" t="s">
        <v>82</v>
      </c>
      <c r="F5431" s="0" t="s">
        <v>83</v>
      </c>
      <c r="G5431" s="0" t="s">
        <v>168</v>
      </c>
      <c r="H5431" s="0" t="s">
        <v>168</v>
      </c>
      <c r="I5431" s="0" t="s">
        <v>41</v>
      </c>
      <c r="J5431" s="0" t="s">
        <v>42</v>
      </c>
      <c r="K5431" s="0" t="s">
        <v>48</v>
      </c>
      <c r="L5431" s="0" t="s">
        <v>49</v>
      </c>
      <c r="M5431" s="0" t="s">
        <v>167</v>
      </c>
      <c r="N5431" s="0" t="n">
        <v>1441</v>
      </c>
      <c r="O5431" s="10" t="n">
        <v>0.777030467055738</v>
      </c>
      <c r="P5431" s="10" t="n">
        <v>0.143331421539187</v>
      </c>
      <c r="Q5431" s="0" t="str">
        <f aca="false">SUBSTITUTE(SUBSTITUTE($I5431,CHAR(61),""),CHAR(34),"")</f>
        <v>25-34</v>
      </c>
      <c r="R5431" s="0" t="str">
        <f aca="false">IF($D5431&lt;&gt;"","["&amp;$E5431&amp;"]"&amp;"|"&amp;$Q5431&amp;"|"&amp;$K5431&amp;"|"&amp;$G5431&amp;"|"&amp;IF($G5431="TX_CURR_SUBNAT.R","CY2022Q4",$M5431),"")</f>
        <v>[ir8wuHHzoSs]|25-34|Male|PLHIV_Attend.T|CY2024Q3</v>
      </c>
    </row>
    <row r="5432" customFormat="false" ht="15" hidden="false" customHeight="false" outlineLevel="0" collapsed="false">
      <c r="D5432" s="0" t="s">
        <v>81</v>
      </c>
      <c r="E5432" s="0" t="s">
        <v>82</v>
      </c>
      <c r="F5432" s="0" t="s">
        <v>83</v>
      </c>
      <c r="G5432" s="0" t="s">
        <v>168</v>
      </c>
      <c r="H5432" s="0" t="s">
        <v>168</v>
      </c>
      <c r="I5432" s="0" t="s">
        <v>43</v>
      </c>
      <c r="J5432" s="0" t="s">
        <v>44</v>
      </c>
      <c r="K5432" s="0" t="s">
        <v>48</v>
      </c>
      <c r="L5432" s="0" t="s">
        <v>49</v>
      </c>
      <c r="M5432" s="0" t="s">
        <v>167</v>
      </c>
      <c r="N5432" s="0" t="n">
        <v>1122</v>
      </c>
      <c r="O5432" s="10" t="n">
        <v>0.104130849707872</v>
      </c>
      <c r="P5432" s="10" t="n">
        <v>0.143331421539187</v>
      </c>
      <c r="Q5432" s="0" t="str">
        <f aca="false">SUBSTITUTE(SUBSTITUTE($I5432,CHAR(61),""),CHAR(34),"")</f>
        <v>35-49</v>
      </c>
      <c r="R5432" s="0" t="str">
        <f aca="false">IF($D5432&lt;&gt;"","["&amp;$E5432&amp;"]"&amp;"|"&amp;$Q5432&amp;"|"&amp;$K5432&amp;"|"&amp;$G5432&amp;"|"&amp;IF($G5432="TX_CURR_SUBNAT.R","CY2022Q4",$M5432),"")</f>
        <v>[ir8wuHHzoSs]|35-49|Male|PLHIV_Attend.T|CY2024Q3</v>
      </c>
    </row>
    <row r="5433" customFormat="false" ht="15" hidden="false" customHeight="false" outlineLevel="0" collapsed="false">
      <c r="D5433" s="0" t="s">
        <v>81</v>
      </c>
      <c r="E5433" s="0" t="s">
        <v>82</v>
      </c>
      <c r="F5433" s="0" t="s">
        <v>83</v>
      </c>
      <c r="G5433" s="0" t="s">
        <v>168</v>
      </c>
      <c r="H5433" s="0" t="s">
        <v>168</v>
      </c>
      <c r="I5433" s="0" t="s">
        <v>45</v>
      </c>
      <c r="J5433" s="0" t="s">
        <v>46</v>
      </c>
      <c r="K5433" s="0" t="s">
        <v>48</v>
      </c>
      <c r="L5433" s="0" t="s">
        <v>49</v>
      </c>
      <c r="M5433" s="0" t="s">
        <v>167</v>
      </c>
      <c r="N5433" s="0" t="n">
        <v>965</v>
      </c>
      <c r="O5433" s="10" t="n">
        <v>0.0647865002974868</v>
      </c>
      <c r="P5433" s="10" t="n">
        <v>0.143331421539187</v>
      </c>
      <c r="Q5433" s="0" t="str">
        <f aca="false">SUBSTITUTE(SUBSTITUTE($I5433,CHAR(61),""),CHAR(34),"")</f>
        <v>50+</v>
      </c>
      <c r="R5433" s="0" t="str">
        <f aca="false">IF($D5433&lt;&gt;"","["&amp;$E5433&amp;"]"&amp;"|"&amp;$Q5433&amp;"|"&amp;$K5433&amp;"|"&amp;$G5433&amp;"|"&amp;IF($G5433="TX_CURR_SUBNAT.R","CY2022Q4",$M5433),"")</f>
        <v>[ir8wuHHzoSs]|50+|Male|PLHIV_Attend.T|CY2024Q3</v>
      </c>
    </row>
    <row r="5434" customFormat="false" ht="15" hidden="false" customHeight="false" outlineLevel="0" collapsed="false">
      <c r="D5434" s="0" t="s">
        <v>84</v>
      </c>
      <c r="E5434" s="0" t="s">
        <v>85</v>
      </c>
      <c r="F5434" s="0" t="s">
        <v>86</v>
      </c>
      <c r="G5434" s="0" t="s">
        <v>168</v>
      </c>
      <c r="H5434" s="0" t="s">
        <v>168</v>
      </c>
      <c r="I5434" s="0" t="s">
        <v>28</v>
      </c>
      <c r="J5434" s="0" t="s">
        <v>29</v>
      </c>
      <c r="K5434" s="0" t="s">
        <v>30</v>
      </c>
      <c r="L5434" s="0" t="s">
        <v>31</v>
      </c>
      <c r="M5434" s="0" t="s">
        <v>167</v>
      </c>
      <c r="N5434" s="0" t="n">
        <v>833</v>
      </c>
      <c r="O5434" s="10" t="n">
        <v>0.0136704547330737</v>
      </c>
      <c r="P5434" s="10" t="n">
        <v>0.0297887143678963</v>
      </c>
      <c r="Q5434" s="0" t="str">
        <f aca="false">SUBSTITUTE(SUBSTITUTE($I5434,CHAR(61),""),CHAR(34),"")</f>
        <v>&lt;01</v>
      </c>
      <c r="R5434" s="0" t="str">
        <f aca="false">IF($D5434&lt;&gt;"","["&amp;$E5434&amp;"]"&amp;"|"&amp;$Q5434&amp;"|"&amp;$K5434&amp;"|"&amp;$G5434&amp;"|"&amp;IF($G5434="TX_CURR_SUBNAT.R","CY2022Q4",$M5434),"")</f>
        <v>[fyEoGEPERdI]|&lt;01|Female|PLHIV_Attend.T|CY2024Q3</v>
      </c>
    </row>
    <row r="5435" customFormat="false" ht="15" hidden="false" customHeight="false" outlineLevel="0" collapsed="false">
      <c r="D5435" s="0" t="s">
        <v>84</v>
      </c>
      <c r="E5435" s="0" t="s">
        <v>85</v>
      </c>
      <c r="F5435" s="0" t="s">
        <v>86</v>
      </c>
      <c r="G5435" s="0" t="s">
        <v>168</v>
      </c>
      <c r="H5435" s="0" t="s">
        <v>168</v>
      </c>
      <c r="I5435" s="0" t="s">
        <v>33</v>
      </c>
      <c r="J5435" s="0" t="s">
        <v>34</v>
      </c>
      <c r="K5435" s="0" t="s">
        <v>30</v>
      </c>
      <c r="L5435" s="0" t="s">
        <v>31</v>
      </c>
      <c r="M5435" s="0" t="s">
        <v>167</v>
      </c>
      <c r="N5435" s="0" t="n">
        <v>792</v>
      </c>
      <c r="O5435" s="10" t="n">
        <v>0.975204217247665</v>
      </c>
      <c r="P5435" s="10" t="n">
        <v>0.0297887143678963</v>
      </c>
      <c r="Q5435" s="0" t="str">
        <f aca="false">SUBSTITUTE(SUBSTITUTE($I5435,CHAR(61),""),CHAR(34),"")</f>
        <v>01-09</v>
      </c>
      <c r="R5435" s="0" t="str">
        <f aca="false">IF($D5435&lt;&gt;"","["&amp;$E5435&amp;"]"&amp;"|"&amp;$Q5435&amp;"|"&amp;$K5435&amp;"|"&amp;$G5435&amp;"|"&amp;IF($G5435="TX_CURR_SUBNAT.R","CY2022Q4",$M5435),"")</f>
        <v>[fyEoGEPERdI]|01-09|Female|PLHIV_Attend.T|CY2024Q3</v>
      </c>
    </row>
    <row r="5436" customFormat="false" ht="15" hidden="false" customHeight="false" outlineLevel="0" collapsed="false">
      <c r="D5436" s="0" t="s">
        <v>84</v>
      </c>
      <c r="E5436" s="0" t="s">
        <v>85</v>
      </c>
      <c r="F5436" s="0" t="s">
        <v>86</v>
      </c>
      <c r="G5436" s="0" t="s">
        <v>168</v>
      </c>
      <c r="H5436" s="0" t="s">
        <v>168</v>
      </c>
      <c r="I5436" s="0" t="s">
        <v>36</v>
      </c>
      <c r="J5436" s="0" t="s">
        <v>37</v>
      </c>
      <c r="K5436" s="0" t="s">
        <v>30</v>
      </c>
      <c r="L5436" s="0" t="s">
        <v>31</v>
      </c>
      <c r="M5436" s="0" t="s">
        <v>167</v>
      </c>
      <c r="N5436" s="0" t="n">
        <v>1371</v>
      </c>
      <c r="O5436" s="10" t="n">
        <v>0.426855591358617</v>
      </c>
      <c r="P5436" s="10" t="n">
        <v>0.0297887143678963</v>
      </c>
      <c r="Q5436" s="0" t="str">
        <f aca="false">SUBSTITUTE(SUBSTITUTE($I5436,CHAR(61),""),CHAR(34),"")</f>
        <v>10-14</v>
      </c>
      <c r="R5436" s="0" t="str">
        <f aca="false">IF($D5436&lt;&gt;"","["&amp;$E5436&amp;"]"&amp;"|"&amp;$Q5436&amp;"|"&amp;$K5436&amp;"|"&amp;$G5436&amp;"|"&amp;IF($G5436="TX_CURR_SUBNAT.R","CY2022Q4",$M5436),"")</f>
        <v>[fyEoGEPERdI]|10-14|Female|PLHIV_Attend.T|CY2024Q3</v>
      </c>
    </row>
    <row r="5437" customFormat="false" ht="15" hidden="false" customHeight="false" outlineLevel="0" collapsed="false">
      <c r="D5437" s="0" t="s">
        <v>84</v>
      </c>
      <c r="E5437" s="0" t="s">
        <v>85</v>
      </c>
      <c r="F5437" s="0" t="s">
        <v>86</v>
      </c>
      <c r="G5437" s="0" t="s">
        <v>168</v>
      </c>
      <c r="H5437" s="0" t="s">
        <v>168</v>
      </c>
      <c r="I5437" s="0" t="s">
        <v>38</v>
      </c>
      <c r="J5437" s="0" t="s">
        <v>39</v>
      </c>
      <c r="K5437" s="0" t="s">
        <v>30</v>
      </c>
      <c r="L5437" s="0" t="s">
        <v>31</v>
      </c>
      <c r="M5437" s="0" t="s">
        <v>167</v>
      </c>
      <c r="N5437" s="0" t="n">
        <v>991</v>
      </c>
      <c r="O5437" s="10" t="n">
        <v>0.998523399000987</v>
      </c>
      <c r="P5437" s="10" t="n">
        <v>0.0297887143678963</v>
      </c>
      <c r="Q5437" s="0" t="str">
        <f aca="false">SUBSTITUTE(SUBSTITUTE($I5437,CHAR(61),""),CHAR(34),"")</f>
        <v>15-24</v>
      </c>
      <c r="R5437" s="0" t="str">
        <f aca="false">IF($D5437&lt;&gt;"","["&amp;$E5437&amp;"]"&amp;"|"&amp;$Q5437&amp;"|"&amp;$K5437&amp;"|"&amp;$G5437&amp;"|"&amp;IF($G5437="TX_CURR_SUBNAT.R","CY2022Q4",$M5437),"")</f>
        <v>[fyEoGEPERdI]|15-24|Female|PLHIV_Attend.T|CY2024Q3</v>
      </c>
    </row>
    <row r="5438" customFormat="false" ht="15" hidden="false" customHeight="false" outlineLevel="0" collapsed="false">
      <c r="D5438" s="0" t="s">
        <v>84</v>
      </c>
      <c r="E5438" s="0" t="s">
        <v>85</v>
      </c>
      <c r="F5438" s="0" t="s">
        <v>86</v>
      </c>
      <c r="G5438" s="0" t="s">
        <v>168</v>
      </c>
      <c r="H5438" s="0" t="s">
        <v>168</v>
      </c>
      <c r="I5438" s="0" t="s">
        <v>41</v>
      </c>
      <c r="J5438" s="0" t="s">
        <v>42</v>
      </c>
      <c r="K5438" s="0" t="s">
        <v>30</v>
      </c>
      <c r="L5438" s="0" t="s">
        <v>31</v>
      </c>
      <c r="M5438" s="0" t="s">
        <v>167</v>
      </c>
      <c r="N5438" s="0" t="n">
        <v>997</v>
      </c>
      <c r="O5438" s="10" t="n">
        <v>0.179345296928659</v>
      </c>
      <c r="P5438" s="10" t="n">
        <v>0.0297887143678963</v>
      </c>
      <c r="Q5438" s="0" t="str">
        <f aca="false">SUBSTITUTE(SUBSTITUTE($I5438,CHAR(61),""),CHAR(34),"")</f>
        <v>25-34</v>
      </c>
      <c r="R5438" s="0" t="str">
        <f aca="false">IF($D5438&lt;&gt;"","["&amp;$E5438&amp;"]"&amp;"|"&amp;$Q5438&amp;"|"&amp;$K5438&amp;"|"&amp;$G5438&amp;"|"&amp;IF($G5438="TX_CURR_SUBNAT.R","CY2022Q4",$M5438),"")</f>
        <v>[fyEoGEPERdI]|25-34|Female|PLHIV_Attend.T|CY2024Q3</v>
      </c>
    </row>
    <row r="5439" customFormat="false" ht="15" hidden="false" customHeight="false" outlineLevel="0" collapsed="false">
      <c r="D5439" s="0" t="s">
        <v>84</v>
      </c>
      <c r="E5439" s="0" t="s">
        <v>85</v>
      </c>
      <c r="F5439" s="0" t="s">
        <v>86</v>
      </c>
      <c r="G5439" s="0" t="s">
        <v>168</v>
      </c>
      <c r="H5439" s="0" t="s">
        <v>168</v>
      </c>
      <c r="I5439" s="0" t="s">
        <v>43</v>
      </c>
      <c r="J5439" s="0" t="s">
        <v>44</v>
      </c>
      <c r="K5439" s="0" t="s">
        <v>30</v>
      </c>
      <c r="L5439" s="0" t="s">
        <v>31</v>
      </c>
      <c r="M5439" s="0" t="s">
        <v>167</v>
      </c>
      <c r="N5439" s="0" t="n">
        <v>576</v>
      </c>
      <c r="O5439" s="10" t="n">
        <v>0.540512962499633</v>
      </c>
      <c r="P5439" s="10" t="n">
        <v>0.0297887143678963</v>
      </c>
      <c r="Q5439" s="0" t="str">
        <f aca="false">SUBSTITUTE(SUBSTITUTE($I5439,CHAR(61),""),CHAR(34),"")</f>
        <v>35-49</v>
      </c>
      <c r="R5439" s="0" t="str">
        <f aca="false">IF($D5439&lt;&gt;"","["&amp;$E5439&amp;"]"&amp;"|"&amp;$Q5439&amp;"|"&amp;$K5439&amp;"|"&amp;$G5439&amp;"|"&amp;IF($G5439="TX_CURR_SUBNAT.R","CY2022Q4",$M5439),"")</f>
        <v>[fyEoGEPERdI]|35-49|Female|PLHIV_Attend.T|CY2024Q3</v>
      </c>
    </row>
    <row r="5440" customFormat="false" ht="15" hidden="false" customHeight="false" outlineLevel="0" collapsed="false">
      <c r="D5440" s="0" t="s">
        <v>84</v>
      </c>
      <c r="E5440" s="0" t="s">
        <v>85</v>
      </c>
      <c r="F5440" s="0" t="s">
        <v>86</v>
      </c>
      <c r="G5440" s="0" t="s">
        <v>168</v>
      </c>
      <c r="H5440" s="0" t="s">
        <v>168</v>
      </c>
      <c r="I5440" s="0" t="s">
        <v>45</v>
      </c>
      <c r="J5440" s="0" t="s">
        <v>46</v>
      </c>
      <c r="K5440" s="0" t="s">
        <v>30</v>
      </c>
      <c r="L5440" s="0" t="s">
        <v>31</v>
      </c>
      <c r="M5440" s="0" t="s">
        <v>167</v>
      </c>
      <c r="N5440" s="0" t="n">
        <v>1830</v>
      </c>
      <c r="O5440" s="10" t="n">
        <v>0.914133379701525</v>
      </c>
      <c r="P5440" s="10" t="n">
        <v>0.0297887143678963</v>
      </c>
      <c r="Q5440" s="0" t="str">
        <f aca="false">SUBSTITUTE(SUBSTITUTE($I5440,CHAR(61),""),CHAR(34),"")</f>
        <v>50+</v>
      </c>
      <c r="R5440" s="0" t="str">
        <f aca="false">IF($D5440&lt;&gt;"","["&amp;$E5440&amp;"]"&amp;"|"&amp;$Q5440&amp;"|"&amp;$K5440&amp;"|"&amp;$G5440&amp;"|"&amp;IF($G5440="TX_CURR_SUBNAT.R","CY2022Q4",$M5440),"")</f>
        <v>[fyEoGEPERdI]|50+|Female|PLHIV_Attend.T|CY2024Q3</v>
      </c>
    </row>
    <row r="5441" customFormat="false" ht="15" hidden="false" customHeight="false" outlineLevel="0" collapsed="false">
      <c r="D5441" s="0" t="s">
        <v>84</v>
      </c>
      <c r="E5441" s="0" t="s">
        <v>85</v>
      </c>
      <c r="F5441" s="0" t="s">
        <v>86</v>
      </c>
      <c r="G5441" s="0" t="s">
        <v>168</v>
      </c>
      <c r="H5441" s="0" t="s">
        <v>168</v>
      </c>
      <c r="I5441" s="0" t="s">
        <v>28</v>
      </c>
      <c r="J5441" s="0" t="s">
        <v>29</v>
      </c>
      <c r="K5441" s="0" t="s">
        <v>48</v>
      </c>
      <c r="L5441" s="0" t="s">
        <v>49</v>
      </c>
      <c r="M5441" s="0" t="s">
        <v>167</v>
      </c>
      <c r="N5441" s="0" t="n">
        <v>896</v>
      </c>
      <c r="O5441" s="10" t="n">
        <v>0.412901137955487</v>
      </c>
      <c r="P5441" s="10" t="n">
        <v>0.0297887143678963</v>
      </c>
      <c r="Q5441" s="0" t="str">
        <f aca="false">SUBSTITUTE(SUBSTITUTE($I5441,CHAR(61),""),CHAR(34),"")</f>
        <v>&lt;01</v>
      </c>
      <c r="R5441" s="0" t="str">
        <f aca="false">IF($D5441&lt;&gt;"","["&amp;$E5441&amp;"]"&amp;"|"&amp;$Q5441&amp;"|"&amp;$K5441&amp;"|"&amp;$G5441&amp;"|"&amp;IF($G5441="TX_CURR_SUBNAT.R","CY2022Q4",$M5441),"")</f>
        <v>[fyEoGEPERdI]|&lt;01|Male|PLHIV_Attend.T|CY2024Q3</v>
      </c>
    </row>
    <row r="5442" customFormat="false" ht="15" hidden="false" customHeight="false" outlineLevel="0" collapsed="false">
      <c r="D5442" s="0" t="s">
        <v>84</v>
      </c>
      <c r="E5442" s="0" t="s">
        <v>85</v>
      </c>
      <c r="F5442" s="0" t="s">
        <v>86</v>
      </c>
      <c r="G5442" s="0" t="s">
        <v>168</v>
      </c>
      <c r="H5442" s="0" t="s">
        <v>168</v>
      </c>
      <c r="I5442" s="0" t="s">
        <v>33</v>
      </c>
      <c r="J5442" s="0" t="s">
        <v>34</v>
      </c>
      <c r="K5442" s="0" t="s">
        <v>48</v>
      </c>
      <c r="L5442" s="0" t="s">
        <v>49</v>
      </c>
      <c r="M5442" s="0" t="s">
        <v>167</v>
      </c>
      <c r="N5442" s="0" t="n">
        <v>1582</v>
      </c>
      <c r="O5442" s="10" t="n">
        <v>0.145921812858433</v>
      </c>
      <c r="P5442" s="10" t="n">
        <v>0.0297887143678963</v>
      </c>
      <c r="Q5442" s="0" t="str">
        <f aca="false">SUBSTITUTE(SUBSTITUTE($I5442,CHAR(61),""),CHAR(34),"")</f>
        <v>01-09</v>
      </c>
      <c r="R5442" s="0" t="str">
        <f aca="false">IF($D5442&lt;&gt;"","["&amp;$E5442&amp;"]"&amp;"|"&amp;$Q5442&amp;"|"&amp;$K5442&amp;"|"&amp;$G5442&amp;"|"&amp;IF($G5442="TX_CURR_SUBNAT.R","CY2022Q4",$M5442),"")</f>
        <v>[fyEoGEPERdI]|01-09|Male|PLHIV_Attend.T|CY2024Q3</v>
      </c>
    </row>
    <row r="5443" customFormat="false" ht="15" hidden="false" customHeight="false" outlineLevel="0" collapsed="false">
      <c r="D5443" s="0" t="s">
        <v>84</v>
      </c>
      <c r="E5443" s="0" t="s">
        <v>85</v>
      </c>
      <c r="F5443" s="0" t="s">
        <v>86</v>
      </c>
      <c r="G5443" s="0" t="s">
        <v>168</v>
      </c>
      <c r="H5443" s="0" t="s">
        <v>168</v>
      </c>
      <c r="I5443" s="0" t="s">
        <v>36</v>
      </c>
      <c r="J5443" s="0" t="s">
        <v>37</v>
      </c>
      <c r="K5443" s="0" t="s">
        <v>48</v>
      </c>
      <c r="L5443" s="0" t="s">
        <v>49</v>
      </c>
      <c r="M5443" s="0" t="s">
        <v>167</v>
      </c>
      <c r="N5443" s="0" t="n">
        <v>1272</v>
      </c>
      <c r="O5443" s="10" t="n">
        <v>0.934447773266584</v>
      </c>
      <c r="P5443" s="10" t="n">
        <v>0.0297887143678963</v>
      </c>
      <c r="Q5443" s="0" t="str">
        <f aca="false">SUBSTITUTE(SUBSTITUTE($I5443,CHAR(61),""),CHAR(34),"")</f>
        <v>10-14</v>
      </c>
      <c r="R5443" s="0" t="str">
        <f aca="false">IF($D5443&lt;&gt;"","["&amp;$E5443&amp;"]"&amp;"|"&amp;$Q5443&amp;"|"&amp;$K5443&amp;"|"&amp;$G5443&amp;"|"&amp;IF($G5443="TX_CURR_SUBNAT.R","CY2022Q4",$M5443),"")</f>
        <v>[fyEoGEPERdI]|10-14|Male|PLHIV_Attend.T|CY2024Q3</v>
      </c>
    </row>
    <row r="5444" customFormat="false" ht="15" hidden="false" customHeight="false" outlineLevel="0" collapsed="false">
      <c r="D5444" s="0" t="s">
        <v>84</v>
      </c>
      <c r="E5444" s="0" t="s">
        <v>85</v>
      </c>
      <c r="F5444" s="0" t="s">
        <v>86</v>
      </c>
      <c r="G5444" s="0" t="s">
        <v>168</v>
      </c>
      <c r="H5444" s="0" t="s">
        <v>168</v>
      </c>
      <c r="I5444" s="0" t="s">
        <v>38</v>
      </c>
      <c r="J5444" s="0" t="s">
        <v>39</v>
      </c>
      <c r="K5444" s="0" t="s">
        <v>48</v>
      </c>
      <c r="L5444" s="0" t="s">
        <v>49</v>
      </c>
      <c r="M5444" s="0" t="s">
        <v>167</v>
      </c>
      <c r="N5444" s="0" t="n">
        <v>979</v>
      </c>
      <c r="O5444" s="10" t="n">
        <v>0.704704263014719</v>
      </c>
      <c r="P5444" s="10" t="n">
        <v>0.0297887143678963</v>
      </c>
      <c r="Q5444" s="0" t="str">
        <f aca="false">SUBSTITUTE(SUBSTITUTE($I5444,CHAR(61),""),CHAR(34),"")</f>
        <v>15-24</v>
      </c>
      <c r="R5444" s="0" t="str">
        <f aca="false">IF($D5444&lt;&gt;"","["&amp;$E5444&amp;"]"&amp;"|"&amp;$Q5444&amp;"|"&amp;$K5444&amp;"|"&amp;$G5444&amp;"|"&amp;IF($G5444="TX_CURR_SUBNAT.R","CY2022Q4",$M5444),"")</f>
        <v>[fyEoGEPERdI]|15-24|Male|PLHIV_Attend.T|CY2024Q3</v>
      </c>
    </row>
    <row r="5445" customFormat="false" ht="15" hidden="false" customHeight="false" outlineLevel="0" collapsed="false">
      <c r="D5445" s="0" t="s">
        <v>84</v>
      </c>
      <c r="E5445" s="0" t="s">
        <v>85</v>
      </c>
      <c r="F5445" s="0" t="s">
        <v>86</v>
      </c>
      <c r="G5445" s="0" t="s">
        <v>168</v>
      </c>
      <c r="H5445" s="0" t="s">
        <v>168</v>
      </c>
      <c r="I5445" s="0" t="s">
        <v>41</v>
      </c>
      <c r="J5445" s="0" t="s">
        <v>42</v>
      </c>
      <c r="K5445" s="0" t="s">
        <v>48</v>
      </c>
      <c r="L5445" s="0" t="s">
        <v>49</v>
      </c>
      <c r="M5445" s="0" t="s">
        <v>167</v>
      </c>
      <c r="N5445" s="0" t="n">
        <v>1368</v>
      </c>
      <c r="O5445" s="10" t="n">
        <v>0.546165671665221</v>
      </c>
      <c r="P5445" s="10" t="n">
        <v>0.0297887143678963</v>
      </c>
      <c r="Q5445" s="0" t="str">
        <f aca="false">SUBSTITUTE(SUBSTITUTE($I5445,CHAR(61),""),CHAR(34),"")</f>
        <v>25-34</v>
      </c>
      <c r="R5445" s="0" t="str">
        <f aca="false">IF($D5445&lt;&gt;"","["&amp;$E5445&amp;"]"&amp;"|"&amp;$Q5445&amp;"|"&amp;$K5445&amp;"|"&amp;$G5445&amp;"|"&amp;IF($G5445="TX_CURR_SUBNAT.R","CY2022Q4",$M5445),"")</f>
        <v>[fyEoGEPERdI]|25-34|Male|PLHIV_Attend.T|CY2024Q3</v>
      </c>
    </row>
    <row r="5446" customFormat="false" ht="15" hidden="false" customHeight="false" outlineLevel="0" collapsed="false">
      <c r="D5446" s="0" t="s">
        <v>84</v>
      </c>
      <c r="E5446" s="0" t="s">
        <v>85</v>
      </c>
      <c r="F5446" s="0" t="s">
        <v>86</v>
      </c>
      <c r="G5446" s="0" t="s">
        <v>168</v>
      </c>
      <c r="H5446" s="0" t="s">
        <v>168</v>
      </c>
      <c r="I5446" s="0" t="s">
        <v>43</v>
      </c>
      <c r="J5446" s="0" t="s">
        <v>44</v>
      </c>
      <c r="K5446" s="0" t="s">
        <v>48</v>
      </c>
      <c r="L5446" s="0" t="s">
        <v>49</v>
      </c>
      <c r="M5446" s="0" t="s">
        <v>167</v>
      </c>
      <c r="N5446" s="0" t="n">
        <v>1637</v>
      </c>
      <c r="O5446" s="10" t="n">
        <v>0.0171090527437627</v>
      </c>
      <c r="P5446" s="10" t="n">
        <v>0.0297887143678963</v>
      </c>
      <c r="Q5446" s="0" t="str">
        <f aca="false">SUBSTITUTE(SUBSTITUTE($I5446,CHAR(61),""),CHAR(34),"")</f>
        <v>35-49</v>
      </c>
      <c r="R5446" s="0" t="str">
        <f aca="false">IF($D5446&lt;&gt;"","["&amp;$E5446&amp;"]"&amp;"|"&amp;$Q5446&amp;"|"&amp;$K5446&amp;"|"&amp;$G5446&amp;"|"&amp;IF($G5446="TX_CURR_SUBNAT.R","CY2022Q4",$M5446),"")</f>
        <v>[fyEoGEPERdI]|35-49|Male|PLHIV_Attend.T|CY2024Q3</v>
      </c>
    </row>
    <row r="5447" customFormat="false" ht="15" hidden="false" customHeight="false" outlineLevel="0" collapsed="false">
      <c r="D5447" s="0" t="s">
        <v>84</v>
      </c>
      <c r="E5447" s="0" t="s">
        <v>85</v>
      </c>
      <c r="F5447" s="0" t="s">
        <v>86</v>
      </c>
      <c r="G5447" s="0" t="s">
        <v>168</v>
      </c>
      <c r="H5447" s="0" t="s">
        <v>168</v>
      </c>
      <c r="I5447" s="0" t="s">
        <v>45</v>
      </c>
      <c r="J5447" s="0" t="s">
        <v>46</v>
      </c>
      <c r="K5447" s="0" t="s">
        <v>48</v>
      </c>
      <c r="L5447" s="0" t="s">
        <v>49</v>
      </c>
      <c r="M5447" s="0" t="s">
        <v>167</v>
      </c>
      <c r="N5447" s="0" t="n">
        <v>775</v>
      </c>
      <c r="O5447" s="10" t="n">
        <v>0.218413705006242</v>
      </c>
      <c r="P5447" s="10" t="n">
        <v>0.0297887143678963</v>
      </c>
      <c r="Q5447" s="0" t="str">
        <f aca="false">SUBSTITUTE(SUBSTITUTE($I5447,CHAR(61),""),CHAR(34),"")</f>
        <v>50+</v>
      </c>
      <c r="R5447" s="0" t="str">
        <f aca="false">IF($D5447&lt;&gt;"","["&amp;$E5447&amp;"]"&amp;"|"&amp;$Q5447&amp;"|"&amp;$K5447&amp;"|"&amp;$G5447&amp;"|"&amp;IF($G5447="TX_CURR_SUBNAT.R","CY2022Q4",$M5447),"")</f>
        <v>[fyEoGEPERdI]|50+|Male|PLHIV_Attend.T|CY2024Q3</v>
      </c>
    </row>
    <row r="5448" customFormat="false" ht="15" hidden="false" customHeight="false" outlineLevel="0" collapsed="false">
      <c r="D5448" s="0" t="s">
        <v>87</v>
      </c>
      <c r="E5448" s="0" t="s">
        <v>88</v>
      </c>
      <c r="F5448" s="0" t="s">
        <v>89</v>
      </c>
      <c r="G5448" s="0" t="s">
        <v>168</v>
      </c>
      <c r="H5448" s="0" t="s">
        <v>168</v>
      </c>
      <c r="I5448" s="0" t="s">
        <v>28</v>
      </c>
      <c r="J5448" s="0" t="s">
        <v>29</v>
      </c>
      <c r="K5448" s="0" t="s">
        <v>30</v>
      </c>
      <c r="L5448" s="0" t="s">
        <v>31</v>
      </c>
      <c r="M5448" s="0" t="s">
        <v>167</v>
      </c>
      <c r="N5448" s="0" t="n">
        <v>582</v>
      </c>
      <c r="O5448" s="10" t="n">
        <v>0.0660603451542556</v>
      </c>
      <c r="P5448" s="10" t="n">
        <v>0.133336380822584</v>
      </c>
      <c r="Q5448" s="0" t="str">
        <f aca="false">SUBSTITUTE(SUBSTITUTE($I5448,CHAR(61),""),CHAR(34),"")</f>
        <v>&lt;01</v>
      </c>
      <c r="R5448" s="0" t="str">
        <f aca="false">IF($D5448&lt;&gt;"","["&amp;$E5448&amp;"]"&amp;"|"&amp;$Q5448&amp;"|"&amp;$K5448&amp;"|"&amp;$G5448&amp;"|"&amp;IF($G5448="TX_CURR_SUBNAT.R","CY2022Q4",$M5448),"")</f>
        <v>[cPtvxaZqXIH]|&lt;01|Female|PLHIV_Attend.T|CY2024Q3</v>
      </c>
    </row>
    <row r="5449" customFormat="false" ht="15" hidden="false" customHeight="false" outlineLevel="0" collapsed="false">
      <c r="D5449" s="0" t="s">
        <v>87</v>
      </c>
      <c r="E5449" s="0" t="s">
        <v>88</v>
      </c>
      <c r="F5449" s="0" t="s">
        <v>89</v>
      </c>
      <c r="G5449" s="0" t="s">
        <v>168</v>
      </c>
      <c r="H5449" s="0" t="s">
        <v>168</v>
      </c>
      <c r="I5449" s="0" t="s">
        <v>33</v>
      </c>
      <c r="J5449" s="0" t="s">
        <v>34</v>
      </c>
      <c r="K5449" s="0" t="s">
        <v>30</v>
      </c>
      <c r="L5449" s="0" t="s">
        <v>31</v>
      </c>
      <c r="M5449" s="0" t="s">
        <v>167</v>
      </c>
      <c r="N5449" s="0" t="n">
        <v>1410</v>
      </c>
      <c r="O5449" s="10" t="n">
        <v>0.113672962412238</v>
      </c>
      <c r="P5449" s="10" t="n">
        <v>0.133336380822584</v>
      </c>
      <c r="Q5449" s="0" t="str">
        <f aca="false">SUBSTITUTE(SUBSTITUTE($I5449,CHAR(61),""),CHAR(34),"")</f>
        <v>01-09</v>
      </c>
      <c r="R5449" s="0" t="str">
        <f aca="false">IF($D5449&lt;&gt;"","["&amp;$E5449&amp;"]"&amp;"|"&amp;$Q5449&amp;"|"&amp;$K5449&amp;"|"&amp;$G5449&amp;"|"&amp;IF($G5449="TX_CURR_SUBNAT.R","CY2022Q4",$M5449),"")</f>
        <v>[cPtvxaZqXIH]|01-09|Female|PLHIV_Attend.T|CY2024Q3</v>
      </c>
    </row>
    <row r="5450" customFormat="false" ht="15" hidden="false" customHeight="false" outlineLevel="0" collapsed="false">
      <c r="D5450" s="0" t="s">
        <v>87</v>
      </c>
      <c r="E5450" s="0" t="s">
        <v>88</v>
      </c>
      <c r="F5450" s="0" t="s">
        <v>89</v>
      </c>
      <c r="G5450" s="0" t="s">
        <v>168</v>
      </c>
      <c r="H5450" s="0" t="s">
        <v>168</v>
      </c>
      <c r="I5450" s="0" t="s">
        <v>36</v>
      </c>
      <c r="J5450" s="0" t="s">
        <v>37</v>
      </c>
      <c r="K5450" s="0" t="s">
        <v>30</v>
      </c>
      <c r="L5450" s="0" t="s">
        <v>31</v>
      </c>
      <c r="M5450" s="0" t="s">
        <v>167</v>
      </c>
      <c r="N5450" s="0" t="n">
        <v>696</v>
      </c>
      <c r="O5450" s="10" t="n">
        <v>0.465995728736743</v>
      </c>
      <c r="P5450" s="10" t="n">
        <v>0.133336380822584</v>
      </c>
      <c r="Q5450" s="0" t="str">
        <f aca="false">SUBSTITUTE(SUBSTITUTE($I5450,CHAR(61),""),CHAR(34),"")</f>
        <v>10-14</v>
      </c>
      <c r="R5450" s="0" t="str">
        <f aca="false">IF($D5450&lt;&gt;"","["&amp;$E5450&amp;"]"&amp;"|"&amp;$Q5450&amp;"|"&amp;$K5450&amp;"|"&amp;$G5450&amp;"|"&amp;IF($G5450="TX_CURR_SUBNAT.R","CY2022Q4",$M5450),"")</f>
        <v>[cPtvxaZqXIH]|10-14|Female|PLHIV_Attend.T|CY2024Q3</v>
      </c>
    </row>
    <row r="5451" customFormat="false" ht="15" hidden="false" customHeight="false" outlineLevel="0" collapsed="false">
      <c r="D5451" s="0" t="s">
        <v>87</v>
      </c>
      <c r="E5451" s="0" t="s">
        <v>88</v>
      </c>
      <c r="F5451" s="0" t="s">
        <v>89</v>
      </c>
      <c r="G5451" s="0" t="s">
        <v>168</v>
      </c>
      <c r="H5451" s="0" t="s">
        <v>168</v>
      </c>
      <c r="I5451" s="0" t="s">
        <v>38</v>
      </c>
      <c r="J5451" s="0" t="s">
        <v>39</v>
      </c>
      <c r="K5451" s="0" t="s">
        <v>30</v>
      </c>
      <c r="L5451" s="0" t="s">
        <v>31</v>
      </c>
      <c r="M5451" s="0" t="s">
        <v>167</v>
      </c>
      <c r="N5451" s="0" t="n">
        <v>836</v>
      </c>
      <c r="O5451" s="10" t="n">
        <v>0.859544224105775</v>
      </c>
      <c r="P5451" s="10" t="n">
        <v>0.133336380822584</v>
      </c>
      <c r="Q5451" s="0" t="str">
        <f aca="false">SUBSTITUTE(SUBSTITUTE($I5451,CHAR(61),""),CHAR(34),"")</f>
        <v>15-24</v>
      </c>
      <c r="R5451" s="0" t="str">
        <f aca="false">IF($D5451&lt;&gt;"","["&amp;$E5451&amp;"]"&amp;"|"&amp;$Q5451&amp;"|"&amp;$K5451&amp;"|"&amp;$G5451&amp;"|"&amp;IF($G5451="TX_CURR_SUBNAT.R","CY2022Q4",$M5451),"")</f>
        <v>[cPtvxaZqXIH]|15-24|Female|PLHIV_Attend.T|CY2024Q3</v>
      </c>
    </row>
    <row r="5452" customFormat="false" ht="15" hidden="false" customHeight="false" outlineLevel="0" collapsed="false">
      <c r="D5452" s="0" t="s">
        <v>87</v>
      </c>
      <c r="E5452" s="0" t="s">
        <v>88</v>
      </c>
      <c r="F5452" s="0" t="s">
        <v>89</v>
      </c>
      <c r="G5452" s="0" t="s">
        <v>168</v>
      </c>
      <c r="H5452" s="0" t="s">
        <v>168</v>
      </c>
      <c r="I5452" s="0" t="s">
        <v>41</v>
      </c>
      <c r="J5452" s="0" t="s">
        <v>42</v>
      </c>
      <c r="K5452" s="0" t="s">
        <v>30</v>
      </c>
      <c r="L5452" s="0" t="s">
        <v>31</v>
      </c>
      <c r="M5452" s="0" t="s">
        <v>167</v>
      </c>
      <c r="N5452" s="0" t="n">
        <v>801</v>
      </c>
      <c r="O5452" s="10" t="n">
        <v>0.897619428811595</v>
      </c>
      <c r="P5452" s="10" t="n">
        <v>0.133336380822584</v>
      </c>
      <c r="Q5452" s="0" t="str">
        <f aca="false">SUBSTITUTE(SUBSTITUTE($I5452,CHAR(61),""),CHAR(34),"")</f>
        <v>25-34</v>
      </c>
      <c r="R5452" s="0" t="str">
        <f aca="false">IF($D5452&lt;&gt;"","["&amp;$E5452&amp;"]"&amp;"|"&amp;$Q5452&amp;"|"&amp;$K5452&amp;"|"&amp;$G5452&amp;"|"&amp;IF($G5452="TX_CURR_SUBNAT.R","CY2022Q4",$M5452),"")</f>
        <v>[cPtvxaZqXIH]|25-34|Female|PLHIV_Attend.T|CY2024Q3</v>
      </c>
    </row>
    <row r="5453" customFormat="false" ht="15" hidden="false" customHeight="false" outlineLevel="0" collapsed="false">
      <c r="D5453" s="0" t="s">
        <v>87</v>
      </c>
      <c r="E5453" s="0" t="s">
        <v>88</v>
      </c>
      <c r="F5453" s="0" t="s">
        <v>89</v>
      </c>
      <c r="G5453" s="0" t="s">
        <v>168</v>
      </c>
      <c r="H5453" s="0" t="s">
        <v>168</v>
      </c>
      <c r="I5453" s="0" t="s">
        <v>43</v>
      </c>
      <c r="J5453" s="0" t="s">
        <v>44</v>
      </c>
      <c r="K5453" s="0" t="s">
        <v>30</v>
      </c>
      <c r="L5453" s="0" t="s">
        <v>31</v>
      </c>
      <c r="M5453" s="0" t="s">
        <v>167</v>
      </c>
      <c r="N5453" s="0" t="n">
        <v>1167</v>
      </c>
      <c r="O5453" s="10" t="n">
        <v>0.746720384340733</v>
      </c>
      <c r="P5453" s="10" t="n">
        <v>0.133336380822584</v>
      </c>
      <c r="Q5453" s="0" t="str">
        <f aca="false">SUBSTITUTE(SUBSTITUTE($I5453,CHAR(61),""),CHAR(34),"")</f>
        <v>35-49</v>
      </c>
      <c r="R5453" s="0" t="str">
        <f aca="false">IF($D5453&lt;&gt;"","["&amp;$E5453&amp;"]"&amp;"|"&amp;$Q5453&amp;"|"&amp;$K5453&amp;"|"&amp;$G5453&amp;"|"&amp;IF($G5453="TX_CURR_SUBNAT.R","CY2022Q4",$M5453),"")</f>
        <v>[cPtvxaZqXIH]|35-49|Female|PLHIV_Attend.T|CY2024Q3</v>
      </c>
    </row>
    <row r="5454" customFormat="false" ht="15" hidden="false" customHeight="false" outlineLevel="0" collapsed="false">
      <c r="D5454" s="0" t="s">
        <v>87</v>
      </c>
      <c r="E5454" s="0" t="s">
        <v>88</v>
      </c>
      <c r="F5454" s="0" t="s">
        <v>89</v>
      </c>
      <c r="G5454" s="0" t="s">
        <v>168</v>
      </c>
      <c r="H5454" s="0" t="s">
        <v>168</v>
      </c>
      <c r="I5454" s="0" t="s">
        <v>45</v>
      </c>
      <c r="J5454" s="0" t="s">
        <v>46</v>
      </c>
      <c r="K5454" s="0" t="s">
        <v>30</v>
      </c>
      <c r="L5454" s="0" t="s">
        <v>31</v>
      </c>
      <c r="M5454" s="0" t="s">
        <v>167</v>
      </c>
      <c r="N5454" s="0" t="n">
        <v>1574</v>
      </c>
      <c r="O5454" s="10" t="n">
        <v>0.114479053299874</v>
      </c>
      <c r="P5454" s="10" t="n">
        <v>0.133336380822584</v>
      </c>
      <c r="Q5454" s="0" t="str">
        <f aca="false">SUBSTITUTE(SUBSTITUTE($I5454,CHAR(61),""),CHAR(34),"")</f>
        <v>50+</v>
      </c>
      <c r="R5454" s="0" t="str">
        <f aca="false">IF($D5454&lt;&gt;"","["&amp;$E5454&amp;"]"&amp;"|"&amp;$Q5454&amp;"|"&amp;$K5454&amp;"|"&amp;$G5454&amp;"|"&amp;IF($G5454="TX_CURR_SUBNAT.R","CY2022Q4",$M5454),"")</f>
        <v>[cPtvxaZqXIH]|50+|Female|PLHIV_Attend.T|CY2024Q3</v>
      </c>
    </row>
    <row r="5455" customFormat="false" ht="15" hidden="false" customHeight="false" outlineLevel="0" collapsed="false">
      <c r="D5455" s="0" t="s">
        <v>87</v>
      </c>
      <c r="E5455" s="0" t="s">
        <v>88</v>
      </c>
      <c r="F5455" s="0" t="s">
        <v>89</v>
      </c>
      <c r="G5455" s="0" t="s">
        <v>168</v>
      </c>
      <c r="H5455" s="0" t="s">
        <v>168</v>
      </c>
      <c r="I5455" s="0" t="s">
        <v>28</v>
      </c>
      <c r="J5455" s="0" t="s">
        <v>29</v>
      </c>
      <c r="K5455" s="0" t="s">
        <v>48</v>
      </c>
      <c r="L5455" s="0" t="s">
        <v>49</v>
      </c>
      <c r="M5455" s="0" t="s">
        <v>167</v>
      </c>
      <c r="N5455" s="0" t="n">
        <v>1213</v>
      </c>
      <c r="O5455" s="10" t="n">
        <v>0.492106367601082</v>
      </c>
      <c r="P5455" s="10" t="n">
        <v>0.133336380822584</v>
      </c>
      <c r="Q5455" s="0" t="str">
        <f aca="false">SUBSTITUTE(SUBSTITUTE($I5455,CHAR(61),""),CHAR(34),"")</f>
        <v>&lt;01</v>
      </c>
      <c r="R5455" s="0" t="str">
        <f aca="false">IF($D5455&lt;&gt;"","["&amp;$E5455&amp;"]"&amp;"|"&amp;$Q5455&amp;"|"&amp;$K5455&amp;"|"&amp;$G5455&amp;"|"&amp;IF($G5455="TX_CURR_SUBNAT.R","CY2022Q4",$M5455),"")</f>
        <v>[cPtvxaZqXIH]|&lt;01|Male|PLHIV_Attend.T|CY2024Q3</v>
      </c>
    </row>
    <row r="5456" customFormat="false" ht="15" hidden="false" customHeight="false" outlineLevel="0" collapsed="false">
      <c r="D5456" s="0" t="s">
        <v>87</v>
      </c>
      <c r="E5456" s="0" t="s">
        <v>88</v>
      </c>
      <c r="F5456" s="0" t="s">
        <v>89</v>
      </c>
      <c r="G5456" s="0" t="s">
        <v>168</v>
      </c>
      <c r="H5456" s="0" t="s">
        <v>168</v>
      </c>
      <c r="I5456" s="0" t="s">
        <v>33</v>
      </c>
      <c r="J5456" s="0" t="s">
        <v>34</v>
      </c>
      <c r="K5456" s="0" t="s">
        <v>48</v>
      </c>
      <c r="L5456" s="0" t="s">
        <v>49</v>
      </c>
      <c r="M5456" s="0" t="s">
        <v>167</v>
      </c>
      <c r="N5456" s="0" t="n">
        <v>1510</v>
      </c>
      <c r="O5456" s="10" t="n">
        <v>0.0406824455130845</v>
      </c>
      <c r="P5456" s="10" t="n">
        <v>0.133336380822584</v>
      </c>
      <c r="Q5456" s="0" t="str">
        <f aca="false">SUBSTITUTE(SUBSTITUTE($I5456,CHAR(61),""),CHAR(34),"")</f>
        <v>01-09</v>
      </c>
      <c r="R5456" s="0" t="str">
        <f aca="false">IF($D5456&lt;&gt;"","["&amp;$E5456&amp;"]"&amp;"|"&amp;$Q5456&amp;"|"&amp;$K5456&amp;"|"&amp;$G5456&amp;"|"&amp;IF($G5456="TX_CURR_SUBNAT.R","CY2022Q4",$M5456),"")</f>
        <v>[cPtvxaZqXIH]|01-09|Male|PLHIV_Attend.T|CY2024Q3</v>
      </c>
    </row>
    <row r="5457" customFormat="false" ht="15" hidden="false" customHeight="false" outlineLevel="0" collapsed="false">
      <c r="D5457" s="0" t="s">
        <v>87</v>
      </c>
      <c r="E5457" s="0" t="s">
        <v>88</v>
      </c>
      <c r="F5457" s="0" t="s">
        <v>89</v>
      </c>
      <c r="G5457" s="0" t="s">
        <v>168</v>
      </c>
      <c r="H5457" s="0" t="s">
        <v>168</v>
      </c>
      <c r="I5457" s="0" t="s">
        <v>36</v>
      </c>
      <c r="J5457" s="0" t="s">
        <v>37</v>
      </c>
      <c r="K5457" s="0" t="s">
        <v>48</v>
      </c>
      <c r="L5457" s="0" t="s">
        <v>49</v>
      </c>
      <c r="M5457" s="0" t="s">
        <v>167</v>
      </c>
      <c r="N5457" s="0" t="n">
        <v>1430</v>
      </c>
      <c r="O5457" s="10" t="n">
        <v>0.645037214737386</v>
      </c>
      <c r="P5457" s="10" t="n">
        <v>0.133336380822584</v>
      </c>
      <c r="Q5457" s="0" t="str">
        <f aca="false">SUBSTITUTE(SUBSTITUTE($I5457,CHAR(61),""),CHAR(34),"")</f>
        <v>10-14</v>
      </c>
      <c r="R5457" s="0" t="str">
        <f aca="false">IF($D5457&lt;&gt;"","["&amp;$E5457&amp;"]"&amp;"|"&amp;$Q5457&amp;"|"&amp;$K5457&amp;"|"&amp;$G5457&amp;"|"&amp;IF($G5457="TX_CURR_SUBNAT.R","CY2022Q4",$M5457),"")</f>
        <v>[cPtvxaZqXIH]|10-14|Male|PLHIV_Attend.T|CY2024Q3</v>
      </c>
    </row>
    <row r="5458" customFormat="false" ht="15" hidden="false" customHeight="false" outlineLevel="0" collapsed="false">
      <c r="D5458" s="0" t="s">
        <v>87</v>
      </c>
      <c r="E5458" s="0" t="s">
        <v>88</v>
      </c>
      <c r="F5458" s="0" t="s">
        <v>89</v>
      </c>
      <c r="G5458" s="0" t="s">
        <v>168</v>
      </c>
      <c r="H5458" s="0" t="s">
        <v>168</v>
      </c>
      <c r="I5458" s="0" t="s">
        <v>38</v>
      </c>
      <c r="J5458" s="0" t="s">
        <v>39</v>
      </c>
      <c r="K5458" s="0" t="s">
        <v>48</v>
      </c>
      <c r="L5458" s="0" t="s">
        <v>49</v>
      </c>
      <c r="M5458" s="0" t="s">
        <v>167</v>
      </c>
      <c r="N5458" s="0" t="n">
        <v>1205</v>
      </c>
      <c r="O5458" s="10" t="n">
        <v>0.421872187172994</v>
      </c>
      <c r="P5458" s="10" t="n">
        <v>0.133336380822584</v>
      </c>
      <c r="Q5458" s="0" t="str">
        <f aca="false">SUBSTITUTE(SUBSTITUTE($I5458,CHAR(61),""),CHAR(34),"")</f>
        <v>15-24</v>
      </c>
      <c r="R5458" s="0" t="str">
        <f aca="false">IF($D5458&lt;&gt;"","["&amp;$E5458&amp;"]"&amp;"|"&amp;$Q5458&amp;"|"&amp;$K5458&amp;"|"&amp;$G5458&amp;"|"&amp;IF($G5458="TX_CURR_SUBNAT.R","CY2022Q4",$M5458),"")</f>
        <v>[cPtvxaZqXIH]|15-24|Male|PLHIV_Attend.T|CY2024Q3</v>
      </c>
    </row>
    <row r="5459" customFormat="false" ht="15" hidden="false" customHeight="false" outlineLevel="0" collapsed="false">
      <c r="D5459" s="0" t="s">
        <v>87</v>
      </c>
      <c r="E5459" s="0" t="s">
        <v>88</v>
      </c>
      <c r="F5459" s="0" t="s">
        <v>89</v>
      </c>
      <c r="G5459" s="0" t="s">
        <v>168</v>
      </c>
      <c r="H5459" s="0" t="s">
        <v>168</v>
      </c>
      <c r="I5459" s="0" t="s">
        <v>41</v>
      </c>
      <c r="J5459" s="0" t="s">
        <v>42</v>
      </c>
      <c r="K5459" s="0" t="s">
        <v>48</v>
      </c>
      <c r="L5459" s="0" t="s">
        <v>49</v>
      </c>
      <c r="M5459" s="0" t="s">
        <v>167</v>
      </c>
      <c r="N5459" s="0" t="n">
        <v>1697</v>
      </c>
      <c r="O5459" s="10" t="n">
        <v>0.839504763716832</v>
      </c>
      <c r="P5459" s="10" t="n">
        <v>0.133336380822584</v>
      </c>
      <c r="Q5459" s="0" t="str">
        <f aca="false">SUBSTITUTE(SUBSTITUTE($I5459,CHAR(61),""),CHAR(34),"")</f>
        <v>25-34</v>
      </c>
      <c r="R5459" s="0" t="str">
        <f aca="false">IF($D5459&lt;&gt;"","["&amp;$E5459&amp;"]"&amp;"|"&amp;$Q5459&amp;"|"&amp;$K5459&amp;"|"&amp;$G5459&amp;"|"&amp;IF($G5459="TX_CURR_SUBNAT.R","CY2022Q4",$M5459),"")</f>
        <v>[cPtvxaZqXIH]|25-34|Male|PLHIV_Attend.T|CY2024Q3</v>
      </c>
    </row>
    <row r="5460" customFormat="false" ht="15" hidden="false" customHeight="false" outlineLevel="0" collapsed="false">
      <c r="D5460" s="0" t="s">
        <v>87</v>
      </c>
      <c r="E5460" s="0" t="s">
        <v>88</v>
      </c>
      <c r="F5460" s="0" t="s">
        <v>89</v>
      </c>
      <c r="G5460" s="0" t="s">
        <v>168</v>
      </c>
      <c r="H5460" s="0" t="s">
        <v>168</v>
      </c>
      <c r="I5460" s="0" t="s">
        <v>43</v>
      </c>
      <c r="J5460" s="0" t="s">
        <v>44</v>
      </c>
      <c r="K5460" s="0" t="s">
        <v>48</v>
      </c>
      <c r="L5460" s="0" t="s">
        <v>49</v>
      </c>
      <c r="M5460" s="0" t="s">
        <v>167</v>
      </c>
      <c r="N5460" s="0" t="n">
        <v>1843</v>
      </c>
      <c r="O5460" s="10" t="n">
        <v>0.924455946311355</v>
      </c>
      <c r="P5460" s="10" t="n">
        <v>0.133336380822584</v>
      </c>
      <c r="Q5460" s="0" t="str">
        <f aca="false">SUBSTITUTE(SUBSTITUTE($I5460,CHAR(61),""),CHAR(34),"")</f>
        <v>35-49</v>
      </c>
      <c r="R5460" s="0" t="str">
        <f aca="false">IF($D5460&lt;&gt;"","["&amp;$E5460&amp;"]"&amp;"|"&amp;$Q5460&amp;"|"&amp;$K5460&amp;"|"&amp;$G5460&amp;"|"&amp;IF($G5460="TX_CURR_SUBNAT.R","CY2022Q4",$M5460),"")</f>
        <v>[cPtvxaZqXIH]|35-49|Male|PLHIV_Attend.T|CY2024Q3</v>
      </c>
    </row>
    <row r="5461" customFormat="false" ht="15" hidden="false" customHeight="false" outlineLevel="0" collapsed="false">
      <c r="D5461" s="0" t="s">
        <v>87</v>
      </c>
      <c r="E5461" s="0" t="s">
        <v>88</v>
      </c>
      <c r="F5461" s="0" t="s">
        <v>89</v>
      </c>
      <c r="G5461" s="0" t="s">
        <v>168</v>
      </c>
      <c r="H5461" s="0" t="s">
        <v>168</v>
      </c>
      <c r="I5461" s="0" t="s">
        <v>45</v>
      </c>
      <c r="J5461" s="0" t="s">
        <v>46</v>
      </c>
      <c r="K5461" s="0" t="s">
        <v>48</v>
      </c>
      <c r="L5461" s="0" t="s">
        <v>49</v>
      </c>
      <c r="M5461" s="0" t="s">
        <v>167</v>
      </c>
      <c r="N5461" s="0" t="n">
        <v>906</v>
      </c>
      <c r="O5461" s="10" t="n">
        <v>0.96513234032318</v>
      </c>
      <c r="P5461" s="10" t="n">
        <v>0.133336380822584</v>
      </c>
      <c r="Q5461" s="0" t="str">
        <f aca="false">SUBSTITUTE(SUBSTITUTE($I5461,CHAR(61),""),CHAR(34),"")</f>
        <v>50+</v>
      </c>
      <c r="R5461" s="0" t="str">
        <f aca="false">IF($D5461&lt;&gt;"","["&amp;$E5461&amp;"]"&amp;"|"&amp;$Q5461&amp;"|"&amp;$K5461&amp;"|"&amp;$G5461&amp;"|"&amp;IF($G5461="TX_CURR_SUBNAT.R","CY2022Q4",$M5461),"")</f>
        <v>[cPtvxaZqXIH]|50+|Male|PLHIV_Attend.T|CY2024Q3</v>
      </c>
    </row>
    <row r="5462" customFormat="false" ht="15" hidden="false" customHeight="false" outlineLevel="0" collapsed="false">
      <c r="D5462" s="0" t="s">
        <v>90</v>
      </c>
      <c r="E5462" s="0" t="s">
        <v>91</v>
      </c>
      <c r="F5462" s="0" t="s">
        <v>92</v>
      </c>
      <c r="G5462" s="0" t="s">
        <v>168</v>
      </c>
      <c r="H5462" s="0" t="s">
        <v>168</v>
      </c>
      <c r="I5462" s="0" t="s">
        <v>28</v>
      </c>
      <c r="J5462" s="0" t="s">
        <v>29</v>
      </c>
      <c r="K5462" s="0" t="s">
        <v>30</v>
      </c>
      <c r="L5462" s="0" t="s">
        <v>31</v>
      </c>
      <c r="M5462" s="0" t="s">
        <v>167</v>
      </c>
      <c r="N5462" s="0" t="n">
        <v>1760</v>
      </c>
      <c r="O5462" s="10" t="n">
        <v>0.0306198478210717</v>
      </c>
      <c r="P5462" s="10" t="n">
        <v>0.719914150424302</v>
      </c>
      <c r="Q5462" s="0" t="str">
        <f aca="false">SUBSTITUTE(SUBSTITUTE($I5462,CHAR(61),""),CHAR(34),"")</f>
        <v>&lt;01</v>
      </c>
      <c r="R5462" s="0" t="str">
        <f aca="false">IF($D5462&lt;&gt;"","["&amp;$E5462&amp;"]"&amp;"|"&amp;$Q5462&amp;"|"&amp;$K5462&amp;"|"&amp;$G5462&amp;"|"&amp;IF($G5462="TX_CURR_SUBNAT.R","CY2022Q4",$M5462),"")</f>
        <v>[AZyWpGzhcaA]|&lt;01|Female|PLHIV_Attend.T|CY2024Q3</v>
      </c>
    </row>
    <row r="5463" customFormat="false" ht="15" hidden="false" customHeight="false" outlineLevel="0" collapsed="false">
      <c r="D5463" s="0" t="s">
        <v>90</v>
      </c>
      <c r="E5463" s="0" t="s">
        <v>91</v>
      </c>
      <c r="F5463" s="0" t="s">
        <v>92</v>
      </c>
      <c r="G5463" s="0" t="s">
        <v>168</v>
      </c>
      <c r="H5463" s="0" t="s">
        <v>168</v>
      </c>
      <c r="I5463" s="0" t="s">
        <v>33</v>
      </c>
      <c r="J5463" s="0" t="s">
        <v>34</v>
      </c>
      <c r="K5463" s="0" t="s">
        <v>30</v>
      </c>
      <c r="L5463" s="0" t="s">
        <v>31</v>
      </c>
      <c r="M5463" s="0" t="s">
        <v>167</v>
      </c>
      <c r="N5463" s="0" t="n">
        <v>1029</v>
      </c>
      <c r="O5463" s="10" t="n">
        <v>0.599433425813913</v>
      </c>
      <c r="P5463" s="10" t="n">
        <v>0.719914150424302</v>
      </c>
      <c r="Q5463" s="0" t="str">
        <f aca="false">SUBSTITUTE(SUBSTITUTE($I5463,CHAR(61),""),CHAR(34),"")</f>
        <v>01-09</v>
      </c>
      <c r="R5463" s="0" t="str">
        <f aca="false">IF($D5463&lt;&gt;"","["&amp;$E5463&amp;"]"&amp;"|"&amp;$Q5463&amp;"|"&amp;$K5463&amp;"|"&amp;$G5463&amp;"|"&amp;IF($G5463="TX_CURR_SUBNAT.R","CY2022Q4",$M5463),"")</f>
        <v>[AZyWpGzhcaA]|01-09|Female|PLHIV_Attend.T|CY2024Q3</v>
      </c>
    </row>
    <row r="5464" customFormat="false" ht="15" hidden="false" customHeight="false" outlineLevel="0" collapsed="false">
      <c r="D5464" s="0" t="s">
        <v>90</v>
      </c>
      <c r="E5464" s="0" t="s">
        <v>91</v>
      </c>
      <c r="F5464" s="0" t="s">
        <v>92</v>
      </c>
      <c r="G5464" s="0" t="s">
        <v>168</v>
      </c>
      <c r="H5464" s="0" t="s">
        <v>168</v>
      </c>
      <c r="I5464" s="0" t="s">
        <v>36</v>
      </c>
      <c r="J5464" s="0" t="s">
        <v>37</v>
      </c>
      <c r="K5464" s="0" t="s">
        <v>30</v>
      </c>
      <c r="L5464" s="0" t="s">
        <v>31</v>
      </c>
      <c r="M5464" s="0" t="s">
        <v>167</v>
      </c>
      <c r="N5464" s="0" t="n">
        <v>1163</v>
      </c>
      <c r="O5464" s="10" t="n">
        <v>0.32486550649628</v>
      </c>
      <c r="P5464" s="10" t="n">
        <v>0.719914150424302</v>
      </c>
      <c r="Q5464" s="0" t="str">
        <f aca="false">SUBSTITUTE(SUBSTITUTE($I5464,CHAR(61),""),CHAR(34),"")</f>
        <v>10-14</v>
      </c>
      <c r="R5464" s="0" t="str">
        <f aca="false">IF($D5464&lt;&gt;"","["&amp;$E5464&amp;"]"&amp;"|"&amp;$Q5464&amp;"|"&amp;$K5464&amp;"|"&amp;$G5464&amp;"|"&amp;IF($G5464="TX_CURR_SUBNAT.R","CY2022Q4",$M5464),"")</f>
        <v>[AZyWpGzhcaA]|10-14|Female|PLHIV_Attend.T|CY2024Q3</v>
      </c>
    </row>
    <row r="5465" customFormat="false" ht="15" hidden="false" customHeight="false" outlineLevel="0" collapsed="false">
      <c r="D5465" s="0" t="s">
        <v>90</v>
      </c>
      <c r="E5465" s="0" t="s">
        <v>91</v>
      </c>
      <c r="F5465" s="0" t="s">
        <v>92</v>
      </c>
      <c r="G5465" s="0" t="s">
        <v>168</v>
      </c>
      <c r="H5465" s="0" t="s">
        <v>168</v>
      </c>
      <c r="I5465" s="0" t="s">
        <v>38</v>
      </c>
      <c r="J5465" s="0" t="s">
        <v>39</v>
      </c>
      <c r="K5465" s="0" t="s">
        <v>30</v>
      </c>
      <c r="L5465" s="0" t="s">
        <v>31</v>
      </c>
      <c r="M5465" s="0" t="s">
        <v>167</v>
      </c>
      <c r="N5465" s="0" t="n">
        <v>1671</v>
      </c>
      <c r="O5465" s="10" t="n">
        <v>0.565886371769011</v>
      </c>
      <c r="P5465" s="10" t="n">
        <v>0.719914150424302</v>
      </c>
      <c r="Q5465" s="0" t="str">
        <f aca="false">SUBSTITUTE(SUBSTITUTE($I5465,CHAR(61),""),CHAR(34),"")</f>
        <v>15-24</v>
      </c>
      <c r="R5465" s="0" t="str">
        <f aca="false">IF($D5465&lt;&gt;"","["&amp;$E5465&amp;"]"&amp;"|"&amp;$Q5465&amp;"|"&amp;$K5465&amp;"|"&amp;$G5465&amp;"|"&amp;IF($G5465="TX_CURR_SUBNAT.R","CY2022Q4",$M5465),"")</f>
        <v>[AZyWpGzhcaA]|15-24|Female|PLHIV_Attend.T|CY2024Q3</v>
      </c>
    </row>
    <row r="5466" customFormat="false" ht="15" hidden="false" customHeight="false" outlineLevel="0" collapsed="false">
      <c r="D5466" s="0" t="s">
        <v>90</v>
      </c>
      <c r="E5466" s="0" t="s">
        <v>91</v>
      </c>
      <c r="F5466" s="0" t="s">
        <v>92</v>
      </c>
      <c r="G5466" s="0" t="s">
        <v>168</v>
      </c>
      <c r="H5466" s="0" t="s">
        <v>168</v>
      </c>
      <c r="I5466" s="0" t="s">
        <v>41</v>
      </c>
      <c r="J5466" s="0" t="s">
        <v>42</v>
      </c>
      <c r="K5466" s="0" t="s">
        <v>30</v>
      </c>
      <c r="L5466" s="0" t="s">
        <v>31</v>
      </c>
      <c r="M5466" s="0" t="s">
        <v>167</v>
      </c>
      <c r="N5466" s="0" t="n">
        <v>849</v>
      </c>
      <c r="O5466" s="10" t="n">
        <v>0.939823983004317</v>
      </c>
      <c r="P5466" s="10" t="n">
        <v>0.719914150424302</v>
      </c>
      <c r="Q5466" s="0" t="str">
        <f aca="false">SUBSTITUTE(SUBSTITUTE($I5466,CHAR(61),""),CHAR(34),"")</f>
        <v>25-34</v>
      </c>
      <c r="R5466" s="0" t="str">
        <f aca="false">IF($D5466&lt;&gt;"","["&amp;$E5466&amp;"]"&amp;"|"&amp;$Q5466&amp;"|"&amp;$K5466&amp;"|"&amp;$G5466&amp;"|"&amp;IF($G5466="TX_CURR_SUBNAT.R","CY2022Q4",$M5466),"")</f>
        <v>[AZyWpGzhcaA]|25-34|Female|PLHIV_Attend.T|CY2024Q3</v>
      </c>
    </row>
    <row r="5467" customFormat="false" ht="15" hidden="false" customHeight="false" outlineLevel="0" collapsed="false">
      <c r="D5467" s="0" t="s">
        <v>90</v>
      </c>
      <c r="E5467" s="0" t="s">
        <v>91</v>
      </c>
      <c r="F5467" s="0" t="s">
        <v>92</v>
      </c>
      <c r="G5467" s="0" t="s">
        <v>168</v>
      </c>
      <c r="H5467" s="0" t="s">
        <v>168</v>
      </c>
      <c r="I5467" s="0" t="s">
        <v>43</v>
      </c>
      <c r="J5467" s="0" t="s">
        <v>44</v>
      </c>
      <c r="K5467" s="0" t="s">
        <v>30</v>
      </c>
      <c r="L5467" s="0" t="s">
        <v>31</v>
      </c>
      <c r="M5467" s="0" t="s">
        <v>167</v>
      </c>
      <c r="N5467" s="0" t="n">
        <v>988</v>
      </c>
      <c r="O5467" s="10" t="n">
        <v>0.437170353718102</v>
      </c>
      <c r="P5467" s="10" t="n">
        <v>0.719914150424302</v>
      </c>
      <c r="Q5467" s="0" t="str">
        <f aca="false">SUBSTITUTE(SUBSTITUTE($I5467,CHAR(61),""),CHAR(34),"")</f>
        <v>35-49</v>
      </c>
      <c r="R5467" s="0" t="str">
        <f aca="false">IF($D5467&lt;&gt;"","["&amp;$E5467&amp;"]"&amp;"|"&amp;$Q5467&amp;"|"&amp;$K5467&amp;"|"&amp;$G5467&amp;"|"&amp;IF($G5467="TX_CURR_SUBNAT.R","CY2022Q4",$M5467),"")</f>
        <v>[AZyWpGzhcaA]|35-49|Female|PLHIV_Attend.T|CY2024Q3</v>
      </c>
    </row>
    <row r="5468" customFormat="false" ht="15" hidden="false" customHeight="false" outlineLevel="0" collapsed="false">
      <c r="D5468" s="0" t="s">
        <v>90</v>
      </c>
      <c r="E5468" s="0" t="s">
        <v>91</v>
      </c>
      <c r="F5468" s="0" t="s">
        <v>92</v>
      </c>
      <c r="G5468" s="0" t="s">
        <v>168</v>
      </c>
      <c r="H5468" s="0" t="s">
        <v>168</v>
      </c>
      <c r="I5468" s="0" t="s">
        <v>45</v>
      </c>
      <c r="J5468" s="0" t="s">
        <v>46</v>
      </c>
      <c r="K5468" s="0" t="s">
        <v>30</v>
      </c>
      <c r="L5468" s="0" t="s">
        <v>31</v>
      </c>
      <c r="M5468" s="0" t="s">
        <v>167</v>
      </c>
      <c r="N5468" s="0" t="n">
        <v>1091</v>
      </c>
      <c r="O5468" s="10" t="n">
        <v>0.626025923993438</v>
      </c>
      <c r="P5468" s="10" t="n">
        <v>0.719914150424302</v>
      </c>
      <c r="Q5468" s="0" t="str">
        <f aca="false">SUBSTITUTE(SUBSTITUTE($I5468,CHAR(61),""),CHAR(34),"")</f>
        <v>50+</v>
      </c>
      <c r="R5468" s="0" t="str">
        <f aca="false">IF($D5468&lt;&gt;"","["&amp;$E5468&amp;"]"&amp;"|"&amp;$Q5468&amp;"|"&amp;$K5468&amp;"|"&amp;$G5468&amp;"|"&amp;IF($G5468="TX_CURR_SUBNAT.R","CY2022Q4",$M5468),"")</f>
        <v>[AZyWpGzhcaA]|50+|Female|PLHIV_Attend.T|CY2024Q3</v>
      </c>
    </row>
    <row r="5469" customFormat="false" ht="15" hidden="false" customHeight="false" outlineLevel="0" collapsed="false">
      <c r="D5469" s="0" t="s">
        <v>90</v>
      </c>
      <c r="E5469" s="0" t="s">
        <v>91</v>
      </c>
      <c r="F5469" s="0" t="s">
        <v>92</v>
      </c>
      <c r="G5469" s="0" t="s">
        <v>168</v>
      </c>
      <c r="H5469" s="0" t="s">
        <v>168</v>
      </c>
      <c r="I5469" s="0" t="s">
        <v>28</v>
      </c>
      <c r="J5469" s="0" t="s">
        <v>29</v>
      </c>
      <c r="K5469" s="0" t="s">
        <v>48</v>
      </c>
      <c r="L5469" s="0" t="s">
        <v>49</v>
      </c>
      <c r="M5469" s="0" t="s">
        <v>167</v>
      </c>
      <c r="N5469" s="0" t="n">
        <v>1061</v>
      </c>
      <c r="O5469" s="10" t="n">
        <v>0.336453187745064</v>
      </c>
      <c r="P5469" s="10" t="n">
        <v>0.719914150424302</v>
      </c>
      <c r="Q5469" s="0" t="str">
        <f aca="false">SUBSTITUTE(SUBSTITUTE($I5469,CHAR(61),""),CHAR(34),"")</f>
        <v>&lt;01</v>
      </c>
      <c r="R5469" s="0" t="str">
        <f aca="false">IF($D5469&lt;&gt;"","["&amp;$E5469&amp;"]"&amp;"|"&amp;$Q5469&amp;"|"&amp;$K5469&amp;"|"&amp;$G5469&amp;"|"&amp;IF($G5469="TX_CURR_SUBNAT.R","CY2022Q4",$M5469),"")</f>
        <v>[AZyWpGzhcaA]|&lt;01|Male|PLHIV_Attend.T|CY2024Q3</v>
      </c>
    </row>
    <row r="5470" customFormat="false" ht="15" hidden="false" customHeight="false" outlineLevel="0" collapsed="false">
      <c r="D5470" s="0" t="s">
        <v>90</v>
      </c>
      <c r="E5470" s="0" t="s">
        <v>91</v>
      </c>
      <c r="F5470" s="0" t="s">
        <v>92</v>
      </c>
      <c r="G5470" s="0" t="s">
        <v>168</v>
      </c>
      <c r="H5470" s="0" t="s">
        <v>168</v>
      </c>
      <c r="I5470" s="0" t="s">
        <v>33</v>
      </c>
      <c r="J5470" s="0" t="s">
        <v>34</v>
      </c>
      <c r="K5470" s="0" t="s">
        <v>48</v>
      </c>
      <c r="L5470" s="0" t="s">
        <v>49</v>
      </c>
      <c r="M5470" s="0" t="s">
        <v>167</v>
      </c>
      <c r="N5470" s="0" t="n">
        <v>1054</v>
      </c>
      <c r="O5470" s="10" t="n">
        <v>0.913635122589767</v>
      </c>
      <c r="P5470" s="10" t="n">
        <v>0.719914150424302</v>
      </c>
      <c r="Q5470" s="0" t="str">
        <f aca="false">SUBSTITUTE(SUBSTITUTE($I5470,CHAR(61),""),CHAR(34),"")</f>
        <v>01-09</v>
      </c>
      <c r="R5470" s="0" t="str">
        <f aca="false">IF($D5470&lt;&gt;"","["&amp;$E5470&amp;"]"&amp;"|"&amp;$Q5470&amp;"|"&amp;$K5470&amp;"|"&amp;$G5470&amp;"|"&amp;IF($G5470="TX_CURR_SUBNAT.R","CY2022Q4",$M5470),"")</f>
        <v>[AZyWpGzhcaA]|01-09|Male|PLHIV_Attend.T|CY2024Q3</v>
      </c>
    </row>
    <row r="5471" customFormat="false" ht="15" hidden="false" customHeight="false" outlineLevel="0" collapsed="false">
      <c r="D5471" s="0" t="s">
        <v>90</v>
      </c>
      <c r="E5471" s="0" t="s">
        <v>91</v>
      </c>
      <c r="F5471" s="0" t="s">
        <v>92</v>
      </c>
      <c r="G5471" s="0" t="s">
        <v>168</v>
      </c>
      <c r="H5471" s="0" t="s">
        <v>168</v>
      </c>
      <c r="I5471" s="0" t="s">
        <v>36</v>
      </c>
      <c r="J5471" s="0" t="s">
        <v>37</v>
      </c>
      <c r="K5471" s="0" t="s">
        <v>48</v>
      </c>
      <c r="L5471" s="0" t="s">
        <v>49</v>
      </c>
      <c r="M5471" s="0" t="s">
        <v>167</v>
      </c>
      <c r="N5471" s="0" t="n">
        <v>1339</v>
      </c>
      <c r="O5471" s="10" t="n">
        <v>0.996335989329964</v>
      </c>
      <c r="P5471" s="10" t="n">
        <v>0.719914150424302</v>
      </c>
      <c r="Q5471" s="0" t="str">
        <f aca="false">SUBSTITUTE(SUBSTITUTE($I5471,CHAR(61),""),CHAR(34),"")</f>
        <v>10-14</v>
      </c>
      <c r="R5471" s="0" t="str">
        <f aca="false">IF($D5471&lt;&gt;"","["&amp;$E5471&amp;"]"&amp;"|"&amp;$Q5471&amp;"|"&amp;$K5471&amp;"|"&amp;$G5471&amp;"|"&amp;IF($G5471="TX_CURR_SUBNAT.R","CY2022Q4",$M5471),"")</f>
        <v>[AZyWpGzhcaA]|10-14|Male|PLHIV_Attend.T|CY2024Q3</v>
      </c>
    </row>
    <row r="5472" customFormat="false" ht="15" hidden="false" customHeight="false" outlineLevel="0" collapsed="false">
      <c r="D5472" s="0" t="s">
        <v>90</v>
      </c>
      <c r="E5472" s="0" t="s">
        <v>91</v>
      </c>
      <c r="F5472" s="0" t="s">
        <v>92</v>
      </c>
      <c r="G5472" s="0" t="s">
        <v>168</v>
      </c>
      <c r="H5472" s="0" t="s">
        <v>168</v>
      </c>
      <c r="I5472" s="0" t="s">
        <v>38</v>
      </c>
      <c r="J5472" s="0" t="s">
        <v>39</v>
      </c>
      <c r="K5472" s="0" t="s">
        <v>48</v>
      </c>
      <c r="L5472" s="0" t="s">
        <v>49</v>
      </c>
      <c r="M5472" s="0" t="s">
        <v>167</v>
      </c>
      <c r="N5472" s="0" t="n">
        <v>1119</v>
      </c>
      <c r="O5472" s="10" t="n">
        <v>0.944319537840784</v>
      </c>
      <c r="P5472" s="10" t="n">
        <v>0.719914150424302</v>
      </c>
      <c r="Q5472" s="0" t="str">
        <f aca="false">SUBSTITUTE(SUBSTITUTE($I5472,CHAR(61),""),CHAR(34),"")</f>
        <v>15-24</v>
      </c>
      <c r="R5472" s="0" t="str">
        <f aca="false">IF($D5472&lt;&gt;"","["&amp;$E5472&amp;"]"&amp;"|"&amp;$Q5472&amp;"|"&amp;$K5472&amp;"|"&amp;$G5472&amp;"|"&amp;IF($G5472="TX_CURR_SUBNAT.R","CY2022Q4",$M5472),"")</f>
        <v>[AZyWpGzhcaA]|15-24|Male|PLHIV_Attend.T|CY2024Q3</v>
      </c>
    </row>
    <row r="5473" customFormat="false" ht="15" hidden="false" customHeight="false" outlineLevel="0" collapsed="false">
      <c r="D5473" s="0" t="s">
        <v>90</v>
      </c>
      <c r="E5473" s="0" t="s">
        <v>91</v>
      </c>
      <c r="F5473" s="0" t="s">
        <v>92</v>
      </c>
      <c r="G5473" s="0" t="s">
        <v>168</v>
      </c>
      <c r="H5473" s="0" t="s">
        <v>168</v>
      </c>
      <c r="I5473" s="0" t="s">
        <v>41</v>
      </c>
      <c r="J5473" s="0" t="s">
        <v>42</v>
      </c>
      <c r="K5473" s="0" t="s">
        <v>48</v>
      </c>
      <c r="L5473" s="0" t="s">
        <v>49</v>
      </c>
      <c r="M5473" s="0" t="s">
        <v>167</v>
      </c>
      <c r="N5473" s="0" t="n">
        <v>888</v>
      </c>
      <c r="O5473" s="10" t="n">
        <v>0.540210059611127</v>
      </c>
      <c r="P5473" s="10" t="n">
        <v>0.719914150424302</v>
      </c>
      <c r="Q5473" s="0" t="str">
        <f aca="false">SUBSTITUTE(SUBSTITUTE($I5473,CHAR(61),""),CHAR(34),"")</f>
        <v>25-34</v>
      </c>
      <c r="R5473" s="0" t="str">
        <f aca="false">IF($D5473&lt;&gt;"","["&amp;$E5473&amp;"]"&amp;"|"&amp;$Q5473&amp;"|"&amp;$K5473&amp;"|"&amp;$G5473&amp;"|"&amp;IF($G5473="TX_CURR_SUBNAT.R","CY2022Q4",$M5473),"")</f>
        <v>[AZyWpGzhcaA]|25-34|Male|PLHIV_Attend.T|CY2024Q3</v>
      </c>
    </row>
    <row r="5474" customFormat="false" ht="15" hidden="false" customHeight="false" outlineLevel="0" collapsed="false">
      <c r="D5474" s="0" t="s">
        <v>90</v>
      </c>
      <c r="E5474" s="0" t="s">
        <v>91</v>
      </c>
      <c r="F5474" s="0" t="s">
        <v>92</v>
      </c>
      <c r="G5474" s="0" t="s">
        <v>168</v>
      </c>
      <c r="H5474" s="0" t="s">
        <v>168</v>
      </c>
      <c r="I5474" s="0" t="s">
        <v>43</v>
      </c>
      <c r="J5474" s="0" t="s">
        <v>44</v>
      </c>
      <c r="K5474" s="0" t="s">
        <v>48</v>
      </c>
      <c r="L5474" s="0" t="s">
        <v>49</v>
      </c>
      <c r="M5474" s="0" t="s">
        <v>167</v>
      </c>
      <c r="N5474" s="0" t="n">
        <v>878</v>
      </c>
      <c r="O5474" s="10" t="n">
        <v>0.868927626870573</v>
      </c>
      <c r="P5474" s="10" t="n">
        <v>0.719914150424302</v>
      </c>
      <c r="Q5474" s="0" t="str">
        <f aca="false">SUBSTITUTE(SUBSTITUTE($I5474,CHAR(61),""),CHAR(34),"")</f>
        <v>35-49</v>
      </c>
      <c r="R5474" s="0" t="str">
        <f aca="false">IF($D5474&lt;&gt;"","["&amp;$E5474&amp;"]"&amp;"|"&amp;$Q5474&amp;"|"&amp;$K5474&amp;"|"&amp;$G5474&amp;"|"&amp;IF($G5474="TX_CURR_SUBNAT.R","CY2022Q4",$M5474),"")</f>
        <v>[AZyWpGzhcaA]|35-49|Male|PLHIV_Attend.T|CY2024Q3</v>
      </c>
    </row>
    <row r="5475" customFormat="false" ht="15" hidden="false" customHeight="false" outlineLevel="0" collapsed="false">
      <c r="D5475" s="0" t="s">
        <v>90</v>
      </c>
      <c r="E5475" s="0" t="s">
        <v>91</v>
      </c>
      <c r="F5475" s="0" t="s">
        <v>92</v>
      </c>
      <c r="G5475" s="0" t="s">
        <v>168</v>
      </c>
      <c r="H5475" s="0" t="s">
        <v>168</v>
      </c>
      <c r="I5475" s="0" t="s">
        <v>45</v>
      </c>
      <c r="J5475" s="0" t="s">
        <v>46</v>
      </c>
      <c r="K5475" s="0" t="s">
        <v>48</v>
      </c>
      <c r="L5475" s="0" t="s">
        <v>49</v>
      </c>
      <c r="M5475" s="0" t="s">
        <v>167</v>
      </c>
      <c r="N5475" s="0" t="n">
        <v>997</v>
      </c>
      <c r="O5475" s="10" t="n">
        <v>0.130230205599219</v>
      </c>
      <c r="P5475" s="10" t="n">
        <v>0.719914150424302</v>
      </c>
      <c r="Q5475" s="0" t="str">
        <f aca="false">SUBSTITUTE(SUBSTITUTE($I5475,CHAR(61),""),CHAR(34),"")</f>
        <v>50+</v>
      </c>
      <c r="R5475" s="0" t="str">
        <f aca="false">IF($D5475&lt;&gt;"","["&amp;$E5475&amp;"]"&amp;"|"&amp;$Q5475&amp;"|"&amp;$K5475&amp;"|"&amp;$G5475&amp;"|"&amp;IF($G5475="TX_CURR_SUBNAT.R","CY2022Q4",$M5475),"")</f>
        <v>[AZyWpGzhcaA]|50+|Male|PLHIV_Attend.T|CY2024Q3</v>
      </c>
    </row>
    <row r="5476" customFormat="false" ht="15" hidden="false" customHeight="false" outlineLevel="0" collapsed="false">
      <c r="D5476" s="0" t="s">
        <v>93</v>
      </c>
      <c r="E5476" s="0" t="s">
        <v>94</v>
      </c>
      <c r="F5476" s="0" t="s">
        <v>95</v>
      </c>
      <c r="G5476" s="0" t="s">
        <v>168</v>
      </c>
      <c r="H5476" s="0" t="s">
        <v>168</v>
      </c>
      <c r="I5476" s="0" t="s">
        <v>28</v>
      </c>
      <c r="J5476" s="0" t="s">
        <v>29</v>
      </c>
      <c r="K5476" s="0" t="s">
        <v>30</v>
      </c>
      <c r="L5476" s="0" t="s">
        <v>31</v>
      </c>
      <c r="M5476" s="0" t="s">
        <v>167</v>
      </c>
      <c r="N5476" s="0" t="n">
        <v>1778</v>
      </c>
      <c r="O5476" s="10" t="n">
        <v>0.840081044938415</v>
      </c>
      <c r="P5476" s="10" t="n">
        <v>0.362272296566516</v>
      </c>
      <c r="Q5476" s="0" t="str">
        <f aca="false">SUBSTITUTE(SUBSTITUTE($I5476,CHAR(61),""),CHAR(34),"")</f>
        <v>&lt;01</v>
      </c>
      <c r="R5476" s="0" t="str">
        <f aca="false">IF($D5476&lt;&gt;"","["&amp;$E5476&amp;"]"&amp;"|"&amp;$Q5476&amp;"|"&amp;$K5476&amp;"|"&amp;$G5476&amp;"|"&amp;IF($G5476="TX_CURR_SUBNAT.R","CY2022Q4",$M5476),"")</f>
        <v>[umc2n1Z4wNv]|&lt;01|Female|PLHIV_Attend.T|CY2024Q3</v>
      </c>
    </row>
    <row r="5477" customFormat="false" ht="15" hidden="false" customHeight="false" outlineLevel="0" collapsed="false">
      <c r="D5477" s="0" t="s">
        <v>93</v>
      </c>
      <c r="E5477" s="0" t="s">
        <v>94</v>
      </c>
      <c r="F5477" s="0" t="s">
        <v>95</v>
      </c>
      <c r="G5477" s="0" t="s">
        <v>168</v>
      </c>
      <c r="H5477" s="0" t="s">
        <v>168</v>
      </c>
      <c r="I5477" s="0" t="s">
        <v>33</v>
      </c>
      <c r="J5477" s="0" t="s">
        <v>34</v>
      </c>
      <c r="K5477" s="0" t="s">
        <v>30</v>
      </c>
      <c r="L5477" s="0" t="s">
        <v>31</v>
      </c>
      <c r="M5477" s="0" t="s">
        <v>167</v>
      </c>
      <c r="N5477" s="0" t="n">
        <v>646</v>
      </c>
      <c r="O5477" s="10" t="n">
        <v>0.253397712018341</v>
      </c>
      <c r="P5477" s="10" t="n">
        <v>0.362272296566516</v>
      </c>
      <c r="Q5477" s="0" t="str">
        <f aca="false">SUBSTITUTE(SUBSTITUTE($I5477,CHAR(61),""),CHAR(34),"")</f>
        <v>01-09</v>
      </c>
      <c r="R5477" s="0" t="str">
        <f aca="false">IF($D5477&lt;&gt;"","["&amp;$E5477&amp;"]"&amp;"|"&amp;$Q5477&amp;"|"&amp;$K5477&amp;"|"&amp;$G5477&amp;"|"&amp;IF($G5477="TX_CURR_SUBNAT.R","CY2022Q4",$M5477),"")</f>
        <v>[umc2n1Z4wNv]|01-09|Female|PLHIV_Attend.T|CY2024Q3</v>
      </c>
    </row>
    <row r="5478" customFormat="false" ht="15" hidden="false" customHeight="false" outlineLevel="0" collapsed="false">
      <c r="D5478" s="0" t="s">
        <v>93</v>
      </c>
      <c r="E5478" s="0" t="s">
        <v>94</v>
      </c>
      <c r="F5478" s="0" t="s">
        <v>95</v>
      </c>
      <c r="G5478" s="0" t="s">
        <v>168</v>
      </c>
      <c r="H5478" s="0" t="s">
        <v>168</v>
      </c>
      <c r="I5478" s="0" t="s">
        <v>36</v>
      </c>
      <c r="J5478" s="0" t="s">
        <v>37</v>
      </c>
      <c r="K5478" s="0" t="s">
        <v>30</v>
      </c>
      <c r="L5478" s="0" t="s">
        <v>31</v>
      </c>
      <c r="M5478" s="0" t="s">
        <v>167</v>
      </c>
      <c r="N5478" s="0" t="n">
        <v>893</v>
      </c>
      <c r="O5478" s="10" t="n">
        <v>0.519844536669552</v>
      </c>
      <c r="P5478" s="10" t="n">
        <v>0.362272296566516</v>
      </c>
      <c r="Q5478" s="0" t="str">
        <f aca="false">SUBSTITUTE(SUBSTITUTE($I5478,CHAR(61),""),CHAR(34),"")</f>
        <v>10-14</v>
      </c>
      <c r="R5478" s="0" t="str">
        <f aca="false">IF($D5478&lt;&gt;"","["&amp;$E5478&amp;"]"&amp;"|"&amp;$Q5478&amp;"|"&amp;$K5478&amp;"|"&amp;$G5478&amp;"|"&amp;IF($G5478="TX_CURR_SUBNAT.R","CY2022Q4",$M5478),"")</f>
        <v>[umc2n1Z4wNv]|10-14|Female|PLHIV_Attend.T|CY2024Q3</v>
      </c>
    </row>
    <row r="5479" customFormat="false" ht="15" hidden="false" customHeight="false" outlineLevel="0" collapsed="false">
      <c r="D5479" s="0" t="s">
        <v>93</v>
      </c>
      <c r="E5479" s="0" t="s">
        <v>94</v>
      </c>
      <c r="F5479" s="0" t="s">
        <v>95</v>
      </c>
      <c r="G5479" s="0" t="s">
        <v>168</v>
      </c>
      <c r="H5479" s="0" t="s">
        <v>168</v>
      </c>
      <c r="I5479" s="0" t="s">
        <v>38</v>
      </c>
      <c r="J5479" s="0" t="s">
        <v>39</v>
      </c>
      <c r="K5479" s="0" t="s">
        <v>30</v>
      </c>
      <c r="L5479" s="0" t="s">
        <v>31</v>
      </c>
      <c r="M5479" s="0" t="s">
        <v>167</v>
      </c>
      <c r="N5479" s="0" t="n">
        <v>1287</v>
      </c>
      <c r="O5479" s="10" t="n">
        <v>0.754869826603681</v>
      </c>
      <c r="P5479" s="10" t="n">
        <v>0.362272296566516</v>
      </c>
      <c r="Q5479" s="0" t="str">
        <f aca="false">SUBSTITUTE(SUBSTITUTE($I5479,CHAR(61),""),CHAR(34),"")</f>
        <v>15-24</v>
      </c>
      <c r="R5479" s="0" t="str">
        <f aca="false">IF($D5479&lt;&gt;"","["&amp;$E5479&amp;"]"&amp;"|"&amp;$Q5479&amp;"|"&amp;$K5479&amp;"|"&amp;$G5479&amp;"|"&amp;IF($G5479="TX_CURR_SUBNAT.R","CY2022Q4",$M5479),"")</f>
        <v>[umc2n1Z4wNv]|15-24|Female|PLHIV_Attend.T|CY2024Q3</v>
      </c>
    </row>
    <row r="5480" customFormat="false" ht="15" hidden="false" customHeight="false" outlineLevel="0" collapsed="false">
      <c r="D5480" s="0" t="s">
        <v>93</v>
      </c>
      <c r="E5480" s="0" t="s">
        <v>94</v>
      </c>
      <c r="F5480" s="0" t="s">
        <v>95</v>
      </c>
      <c r="G5480" s="0" t="s">
        <v>168</v>
      </c>
      <c r="H5480" s="0" t="s">
        <v>168</v>
      </c>
      <c r="I5480" s="0" t="s">
        <v>41</v>
      </c>
      <c r="J5480" s="0" t="s">
        <v>42</v>
      </c>
      <c r="K5480" s="0" t="s">
        <v>30</v>
      </c>
      <c r="L5480" s="0" t="s">
        <v>31</v>
      </c>
      <c r="M5480" s="0" t="s">
        <v>167</v>
      </c>
      <c r="N5480" s="0" t="n">
        <v>1901</v>
      </c>
      <c r="O5480" s="10" t="n">
        <v>0.261123036267236</v>
      </c>
      <c r="P5480" s="10" t="n">
        <v>0.362272296566516</v>
      </c>
      <c r="Q5480" s="0" t="str">
        <f aca="false">SUBSTITUTE(SUBSTITUTE($I5480,CHAR(61),""),CHAR(34),"")</f>
        <v>25-34</v>
      </c>
      <c r="R5480" s="0" t="str">
        <f aca="false">IF($D5480&lt;&gt;"","["&amp;$E5480&amp;"]"&amp;"|"&amp;$Q5480&amp;"|"&amp;$K5480&amp;"|"&amp;$G5480&amp;"|"&amp;IF($G5480="TX_CURR_SUBNAT.R","CY2022Q4",$M5480),"")</f>
        <v>[umc2n1Z4wNv]|25-34|Female|PLHIV_Attend.T|CY2024Q3</v>
      </c>
    </row>
    <row r="5481" customFormat="false" ht="15" hidden="false" customHeight="false" outlineLevel="0" collapsed="false">
      <c r="D5481" s="0" t="s">
        <v>93</v>
      </c>
      <c r="E5481" s="0" t="s">
        <v>94</v>
      </c>
      <c r="F5481" s="0" t="s">
        <v>95</v>
      </c>
      <c r="G5481" s="0" t="s">
        <v>168</v>
      </c>
      <c r="H5481" s="0" t="s">
        <v>168</v>
      </c>
      <c r="I5481" s="0" t="s">
        <v>43</v>
      </c>
      <c r="J5481" s="0" t="s">
        <v>44</v>
      </c>
      <c r="K5481" s="0" t="s">
        <v>30</v>
      </c>
      <c r="L5481" s="0" t="s">
        <v>31</v>
      </c>
      <c r="M5481" s="0" t="s">
        <v>167</v>
      </c>
      <c r="N5481" s="0" t="n">
        <v>1124</v>
      </c>
      <c r="O5481" s="10" t="n">
        <v>0.992326751118526</v>
      </c>
      <c r="P5481" s="10" t="n">
        <v>0.362272296566516</v>
      </c>
      <c r="Q5481" s="0" t="str">
        <f aca="false">SUBSTITUTE(SUBSTITUTE($I5481,CHAR(61),""),CHAR(34),"")</f>
        <v>35-49</v>
      </c>
      <c r="R5481" s="0" t="str">
        <f aca="false">IF($D5481&lt;&gt;"","["&amp;$E5481&amp;"]"&amp;"|"&amp;$Q5481&amp;"|"&amp;$K5481&amp;"|"&amp;$G5481&amp;"|"&amp;IF($G5481="TX_CURR_SUBNAT.R","CY2022Q4",$M5481),"")</f>
        <v>[umc2n1Z4wNv]|35-49|Female|PLHIV_Attend.T|CY2024Q3</v>
      </c>
    </row>
    <row r="5482" customFormat="false" ht="15" hidden="false" customHeight="false" outlineLevel="0" collapsed="false">
      <c r="D5482" s="0" t="s">
        <v>93</v>
      </c>
      <c r="E5482" s="0" t="s">
        <v>94</v>
      </c>
      <c r="F5482" s="0" t="s">
        <v>95</v>
      </c>
      <c r="G5482" s="0" t="s">
        <v>168</v>
      </c>
      <c r="H5482" s="0" t="s">
        <v>168</v>
      </c>
      <c r="I5482" s="0" t="s">
        <v>45</v>
      </c>
      <c r="J5482" s="0" t="s">
        <v>46</v>
      </c>
      <c r="K5482" s="0" t="s">
        <v>30</v>
      </c>
      <c r="L5482" s="0" t="s">
        <v>31</v>
      </c>
      <c r="M5482" s="0" t="s">
        <v>167</v>
      </c>
      <c r="N5482" s="0" t="n">
        <v>1538</v>
      </c>
      <c r="O5482" s="10" t="n">
        <v>0.665882507804781</v>
      </c>
      <c r="P5482" s="10" t="n">
        <v>0.362272296566516</v>
      </c>
      <c r="Q5482" s="0" t="str">
        <f aca="false">SUBSTITUTE(SUBSTITUTE($I5482,CHAR(61),""),CHAR(34),"")</f>
        <v>50+</v>
      </c>
      <c r="R5482" s="0" t="str">
        <f aca="false">IF($D5482&lt;&gt;"","["&amp;$E5482&amp;"]"&amp;"|"&amp;$Q5482&amp;"|"&amp;$K5482&amp;"|"&amp;$G5482&amp;"|"&amp;IF($G5482="TX_CURR_SUBNAT.R","CY2022Q4",$M5482),"")</f>
        <v>[umc2n1Z4wNv]|50+|Female|PLHIV_Attend.T|CY2024Q3</v>
      </c>
    </row>
    <row r="5483" customFormat="false" ht="15" hidden="false" customHeight="false" outlineLevel="0" collapsed="false">
      <c r="D5483" s="0" t="s">
        <v>93</v>
      </c>
      <c r="E5483" s="0" t="s">
        <v>94</v>
      </c>
      <c r="F5483" s="0" t="s">
        <v>95</v>
      </c>
      <c r="G5483" s="0" t="s">
        <v>168</v>
      </c>
      <c r="H5483" s="0" t="s">
        <v>168</v>
      </c>
      <c r="I5483" s="0" t="s">
        <v>28</v>
      </c>
      <c r="J5483" s="0" t="s">
        <v>29</v>
      </c>
      <c r="K5483" s="0" t="s">
        <v>48</v>
      </c>
      <c r="L5483" s="0" t="s">
        <v>49</v>
      </c>
      <c r="M5483" s="0" t="s">
        <v>167</v>
      </c>
      <c r="N5483" s="0" t="n">
        <v>1856</v>
      </c>
      <c r="O5483" s="10" t="n">
        <v>0.475886540254578</v>
      </c>
      <c r="P5483" s="10" t="n">
        <v>0.362272296566516</v>
      </c>
      <c r="Q5483" s="0" t="str">
        <f aca="false">SUBSTITUTE(SUBSTITUTE($I5483,CHAR(61),""),CHAR(34),"")</f>
        <v>&lt;01</v>
      </c>
      <c r="R5483" s="0" t="str">
        <f aca="false">IF($D5483&lt;&gt;"","["&amp;$E5483&amp;"]"&amp;"|"&amp;$Q5483&amp;"|"&amp;$K5483&amp;"|"&amp;$G5483&amp;"|"&amp;IF($G5483="TX_CURR_SUBNAT.R","CY2022Q4",$M5483),"")</f>
        <v>[umc2n1Z4wNv]|&lt;01|Male|PLHIV_Attend.T|CY2024Q3</v>
      </c>
    </row>
    <row r="5484" customFormat="false" ht="15" hidden="false" customHeight="false" outlineLevel="0" collapsed="false">
      <c r="D5484" s="0" t="s">
        <v>93</v>
      </c>
      <c r="E5484" s="0" t="s">
        <v>94</v>
      </c>
      <c r="F5484" s="0" t="s">
        <v>95</v>
      </c>
      <c r="G5484" s="0" t="s">
        <v>168</v>
      </c>
      <c r="H5484" s="0" t="s">
        <v>168</v>
      </c>
      <c r="I5484" s="0" t="s">
        <v>33</v>
      </c>
      <c r="J5484" s="0" t="s">
        <v>34</v>
      </c>
      <c r="K5484" s="0" t="s">
        <v>48</v>
      </c>
      <c r="L5484" s="0" t="s">
        <v>49</v>
      </c>
      <c r="M5484" s="0" t="s">
        <v>167</v>
      </c>
      <c r="N5484" s="0" t="n">
        <v>1130</v>
      </c>
      <c r="O5484" s="10" t="n">
        <v>0.070684174541384</v>
      </c>
      <c r="P5484" s="10" t="n">
        <v>0.362272296566516</v>
      </c>
      <c r="Q5484" s="0" t="str">
        <f aca="false">SUBSTITUTE(SUBSTITUTE($I5484,CHAR(61),""),CHAR(34),"")</f>
        <v>01-09</v>
      </c>
      <c r="R5484" s="0" t="str">
        <f aca="false">IF($D5484&lt;&gt;"","["&amp;$E5484&amp;"]"&amp;"|"&amp;$Q5484&amp;"|"&amp;$K5484&amp;"|"&amp;$G5484&amp;"|"&amp;IF($G5484="TX_CURR_SUBNAT.R","CY2022Q4",$M5484),"")</f>
        <v>[umc2n1Z4wNv]|01-09|Male|PLHIV_Attend.T|CY2024Q3</v>
      </c>
    </row>
    <row r="5485" customFormat="false" ht="15" hidden="false" customHeight="false" outlineLevel="0" collapsed="false">
      <c r="D5485" s="0" t="s">
        <v>93</v>
      </c>
      <c r="E5485" s="0" t="s">
        <v>94</v>
      </c>
      <c r="F5485" s="0" t="s">
        <v>95</v>
      </c>
      <c r="G5485" s="0" t="s">
        <v>168</v>
      </c>
      <c r="H5485" s="0" t="s">
        <v>168</v>
      </c>
      <c r="I5485" s="0" t="s">
        <v>36</v>
      </c>
      <c r="J5485" s="0" t="s">
        <v>37</v>
      </c>
      <c r="K5485" s="0" t="s">
        <v>48</v>
      </c>
      <c r="L5485" s="0" t="s">
        <v>49</v>
      </c>
      <c r="M5485" s="0" t="s">
        <v>167</v>
      </c>
      <c r="N5485" s="0" t="n">
        <v>1606</v>
      </c>
      <c r="O5485" s="10" t="n">
        <v>0.168623354984447</v>
      </c>
      <c r="P5485" s="10" t="n">
        <v>0.362272296566516</v>
      </c>
      <c r="Q5485" s="0" t="str">
        <f aca="false">SUBSTITUTE(SUBSTITUTE($I5485,CHAR(61),""),CHAR(34),"")</f>
        <v>10-14</v>
      </c>
      <c r="R5485" s="0" t="str">
        <f aca="false">IF($D5485&lt;&gt;"","["&amp;$E5485&amp;"]"&amp;"|"&amp;$Q5485&amp;"|"&amp;$K5485&amp;"|"&amp;$G5485&amp;"|"&amp;IF($G5485="TX_CURR_SUBNAT.R","CY2022Q4",$M5485),"")</f>
        <v>[umc2n1Z4wNv]|10-14|Male|PLHIV_Attend.T|CY2024Q3</v>
      </c>
    </row>
    <row r="5486" customFormat="false" ht="15" hidden="false" customHeight="false" outlineLevel="0" collapsed="false">
      <c r="D5486" s="0" t="s">
        <v>93</v>
      </c>
      <c r="E5486" s="0" t="s">
        <v>94</v>
      </c>
      <c r="F5486" s="0" t="s">
        <v>95</v>
      </c>
      <c r="G5486" s="0" t="s">
        <v>168</v>
      </c>
      <c r="H5486" s="0" t="s">
        <v>168</v>
      </c>
      <c r="I5486" s="0" t="s">
        <v>38</v>
      </c>
      <c r="J5486" s="0" t="s">
        <v>39</v>
      </c>
      <c r="K5486" s="0" t="s">
        <v>48</v>
      </c>
      <c r="L5486" s="0" t="s">
        <v>49</v>
      </c>
      <c r="M5486" s="0" t="s">
        <v>167</v>
      </c>
      <c r="N5486" s="0" t="n">
        <v>1414</v>
      </c>
      <c r="O5486" s="10" t="n">
        <v>0.66926788398996</v>
      </c>
      <c r="P5486" s="10" t="n">
        <v>0.362272296566516</v>
      </c>
      <c r="Q5486" s="0" t="str">
        <f aca="false">SUBSTITUTE(SUBSTITUTE($I5486,CHAR(61),""),CHAR(34),"")</f>
        <v>15-24</v>
      </c>
      <c r="R5486" s="0" t="str">
        <f aca="false">IF($D5486&lt;&gt;"","["&amp;$E5486&amp;"]"&amp;"|"&amp;$Q5486&amp;"|"&amp;$K5486&amp;"|"&amp;$G5486&amp;"|"&amp;IF($G5486="TX_CURR_SUBNAT.R","CY2022Q4",$M5486),"")</f>
        <v>[umc2n1Z4wNv]|15-24|Male|PLHIV_Attend.T|CY2024Q3</v>
      </c>
    </row>
    <row r="5487" customFormat="false" ht="15" hidden="false" customHeight="false" outlineLevel="0" collapsed="false">
      <c r="D5487" s="0" t="s">
        <v>93</v>
      </c>
      <c r="E5487" s="0" t="s">
        <v>94</v>
      </c>
      <c r="F5487" s="0" t="s">
        <v>95</v>
      </c>
      <c r="G5487" s="0" t="s">
        <v>168</v>
      </c>
      <c r="H5487" s="0" t="s">
        <v>168</v>
      </c>
      <c r="I5487" s="0" t="s">
        <v>41</v>
      </c>
      <c r="J5487" s="0" t="s">
        <v>42</v>
      </c>
      <c r="K5487" s="0" t="s">
        <v>48</v>
      </c>
      <c r="L5487" s="0" t="s">
        <v>49</v>
      </c>
      <c r="M5487" s="0" t="s">
        <v>167</v>
      </c>
      <c r="N5487" s="0" t="n">
        <v>1662</v>
      </c>
      <c r="O5487" s="10" t="n">
        <v>0.941364251310006</v>
      </c>
      <c r="P5487" s="10" t="n">
        <v>0.362272296566516</v>
      </c>
      <c r="Q5487" s="0" t="str">
        <f aca="false">SUBSTITUTE(SUBSTITUTE($I5487,CHAR(61),""),CHAR(34),"")</f>
        <v>25-34</v>
      </c>
      <c r="R5487" s="0" t="str">
        <f aca="false">IF($D5487&lt;&gt;"","["&amp;$E5487&amp;"]"&amp;"|"&amp;$Q5487&amp;"|"&amp;$K5487&amp;"|"&amp;$G5487&amp;"|"&amp;IF($G5487="TX_CURR_SUBNAT.R","CY2022Q4",$M5487),"")</f>
        <v>[umc2n1Z4wNv]|25-34|Male|PLHIV_Attend.T|CY2024Q3</v>
      </c>
    </row>
    <row r="5488" customFormat="false" ht="15" hidden="false" customHeight="false" outlineLevel="0" collapsed="false">
      <c r="D5488" s="0" t="s">
        <v>93</v>
      </c>
      <c r="E5488" s="0" t="s">
        <v>94</v>
      </c>
      <c r="F5488" s="0" t="s">
        <v>95</v>
      </c>
      <c r="G5488" s="0" t="s">
        <v>168</v>
      </c>
      <c r="H5488" s="0" t="s">
        <v>168</v>
      </c>
      <c r="I5488" s="0" t="s">
        <v>43</v>
      </c>
      <c r="J5488" s="0" t="s">
        <v>44</v>
      </c>
      <c r="K5488" s="0" t="s">
        <v>48</v>
      </c>
      <c r="L5488" s="0" t="s">
        <v>49</v>
      </c>
      <c r="M5488" s="0" t="s">
        <v>167</v>
      </c>
      <c r="N5488" s="0" t="n">
        <v>1856</v>
      </c>
      <c r="O5488" s="10" t="n">
        <v>0.536464814562351</v>
      </c>
      <c r="P5488" s="10" t="n">
        <v>0.362272296566516</v>
      </c>
      <c r="Q5488" s="0" t="str">
        <f aca="false">SUBSTITUTE(SUBSTITUTE($I5488,CHAR(61),""),CHAR(34),"")</f>
        <v>35-49</v>
      </c>
      <c r="R5488" s="0" t="str">
        <f aca="false">IF($D5488&lt;&gt;"","["&amp;$E5488&amp;"]"&amp;"|"&amp;$Q5488&amp;"|"&amp;$K5488&amp;"|"&amp;$G5488&amp;"|"&amp;IF($G5488="TX_CURR_SUBNAT.R","CY2022Q4",$M5488),"")</f>
        <v>[umc2n1Z4wNv]|35-49|Male|PLHIV_Attend.T|CY2024Q3</v>
      </c>
    </row>
    <row r="5489" customFormat="false" ht="15" hidden="false" customHeight="false" outlineLevel="0" collapsed="false">
      <c r="D5489" s="0" t="s">
        <v>93</v>
      </c>
      <c r="E5489" s="0" t="s">
        <v>94</v>
      </c>
      <c r="F5489" s="0" t="s">
        <v>95</v>
      </c>
      <c r="G5489" s="0" t="s">
        <v>168</v>
      </c>
      <c r="H5489" s="0" t="s">
        <v>168</v>
      </c>
      <c r="I5489" s="0" t="s">
        <v>45</v>
      </c>
      <c r="J5489" s="0" t="s">
        <v>46</v>
      </c>
      <c r="K5489" s="0" t="s">
        <v>48</v>
      </c>
      <c r="L5489" s="0" t="s">
        <v>49</v>
      </c>
      <c r="M5489" s="0" t="s">
        <v>167</v>
      </c>
      <c r="N5489" s="0" t="n">
        <v>1401</v>
      </c>
      <c r="O5489" s="10" t="n">
        <v>0.456560317194089</v>
      </c>
      <c r="P5489" s="10" t="n">
        <v>0.362272296566516</v>
      </c>
      <c r="Q5489" s="0" t="str">
        <f aca="false">SUBSTITUTE(SUBSTITUTE($I5489,CHAR(61),""),CHAR(34),"")</f>
        <v>50+</v>
      </c>
      <c r="R5489" s="0" t="str">
        <f aca="false">IF($D5489&lt;&gt;"","["&amp;$E5489&amp;"]"&amp;"|"&amp;$Q5489&amp;"|"&amp;$K5489&amp;"|"&amp;$G5489&amp;"|"&amp;IF($G5489="TX_CURR_SUBNAT.R","CY2022Q4",$M5489),"")</f>
        <v>[umc2n1Z4wNv]|50+|Male|PLHIV_Attend.T|CY2024Q3</v>
      </c>
    </row>
    <row r="5490" customFormat="false" ht="15" hidden="false" customHeight="false" outlineLevel="0" collapsed="false">
      <c r="D5490" s="0" t="s">
        <v>96</v>
      </c>
      <c r="E5490" s="0" t="s">
        <v>97</v>
      </c>
      <c r="F5490" s="0" t="s">
        <v>98</v>
      </c>
      <c r="G5490" s="0" t="s">
        <v>168</v>
      </c>
      <c r="H5490" s="0" t="s">
        <v>168</v>
      </c>
      <c r="I5490" s="0" t="s">
        <v>28</v>
      </c>
      <c r="J5490" s="0" t="s">
        <v>29</v>
      </c>
      <c r="K5490" s="0" t="s">
        <v>30</v>
      </c>
      <c r="L5490" s="0" t="s">
        <v>31</v>
      </c>
      <c r="M5490" s="0" t="s">
        <v>167</v>
      </c>
      <c r="N5490" s="0" t="n">
        <v>1245</v>
      </c>
      <c r="O5490" s="10" t="n">
        <v>0.849370990879834</v>
      </c>
      <c r="P5490" s="10" t="n">
        <v>0.601251717889681</v>
      </c>
      <c r="Q5490" s="0" t="str">
        <f aca="false">SUBSTITUTE(SUBSTITUTE($I5490,CHAR(61),""),CHAR(34),"")</f>
        <v>&lt;01</v>
      </c>
      <c r="R5490" s="0" t="str">
        <f aca="false">IF($D5490&lt;&gt;"","["&amp;$E5490&amp;"]"&amp;"|"&amp;$Q5490&amp;"|"&amp;$K5490&amp;"|"&amp;$G5490&amp;"|"&amp;IF($G5490="TX_CURR_SUBNAT.R","CY2022Q4",$M5490),"")</f>
        <v>[gwVYinjBAe9]|&lt;01|Female|PLHIV_Attend.T|CY2024Q3</v>
      </c>
    </row>
    <row r="5491" customFormat="false" ht="15" hidden="false" customHeight="false" outlineLevel="0" collapsed="false">
      <c r="D5491" s="0" t="s">
        <v>96</v>
      </c>
      <c r="E5491" s="0" t="s">
        <v>97</v>
      </c>
      <c r="F5491" s="0" t="s">
        <v>98</v>
      </c>
      <c r="G5491" s="0" t="s">
        <v>168</v>
      </c>
      <c r="H5491" s="0" t="s">
        <v>168</v>
      </c>
      <c r="I5491" s="0" t="s">
        <v>33</v>
      </c>
      <c r="J5491" s="0" t="s">
        <v>34</v>
      </c>
      <c r="K5491" s="0" t="s">
        <v>30</v>
      </c>
      <c r="L5491" s="0" t="s">
        <v>31</v>
      </c>
      <c r="M5491" s="0" t="s">
        <v>167</v>
      </c>
      <c r="N5491" s="0" t="n">
        <v>1847</v>
      </c>
      <c r="O5491" s="10" t="n">
        <v>0.872271831147373</v>
      </c>
      <c r="P5491" s="10" t="n">
        <v>0.601251717889681</v>
      </c>
      <c r="Q5491" s="0" t="str">
        <f aca="false">SUBSTITUTE(SUBSTITUTE($I5491,CHAR(61),""),CHAR(34),"")</f>
        <v>01-09</v>
      </c>
      <c r="R5491" s="0" t="str">
        <f aca="false">IF($D5491&lt;&gt;"","["&amp;$E5491&amp;"]"&amp;"|"&amp;$Q5491&amp;"|"&amp;$K5491&amp;"|"&amp;$G5491&amp;"|"&amp;IF($G5491="TX_CURR_SUBNAT.R","CY2022Q4",$M5491),"")</f>
        <v>[gwVYinjBAe9]|01-09|Female|PLHIV_Attend.T|CY2024Q3</v>
      </c>
    </row>
    <row r="5492" customFormat="false" ht="15" hidden="false" customHeight="false" outlineLevel="0" collapsed="false">
      <c r="D5492" s="0" t="s">
        <v>96</v>
      </c>
      <c r="E5492" s="0" t="s">
        <v>97</v>
      </c>
      <c r="F5492" s="0" t="s">
        <v>98</v>
      </c>
      <c r="G5492" s="0" t="s">
        <v>168</v>
      </c>
      <c r="H5492" s="0" t="s">
        <v>168</v>
      </c>
      <c r="I5492" s="0" t="s">
        <v>36</v>
      </c>
      <c r="J5492" s="0" t="s">
        <v>37</v>
      </c>
      <c r="K5492" s="0" t="s">
        <v>30</v>
      </c>
      <c r="L5492" s="0" t="s">
        <v>31</v>
      </c>
      <c r="M5492" s="0" t="s">
        <v>167</v>
      </c>
      <c r="N5492" s="0" t="n">
        <v>734</v>
      </c>
      <c r="O5492" s="10" t="n">
        <v>0.345972353126854</v>
      </c>
      <c r="P5492" s="10" t="n">
        <v>0.601251717889681</v>
      </c>
      <c r="Q5492" s="0" t="str">
        <f aca="false">SUBSTITUTE(SUBSTITUTE($I5492,CHAR(61),""),CHAR(34),"")</f>
        <v>10-14</v>
      </c>
      <c r="R5492" s="0" t="str">
        <f aca="false">IF($D5492&lt;&gt;"","["&amp;$E5492&amp;"]"&amp;"|"&amp;$Q5492&amp;"|"&amp;$K5492&amp;"|"&amp;$G5492&amp;"|"&amp;IF($G5492="TX_CURR_SUBNAT.R","CY2022Q4",$M5492),"")</f>
        <v>[gwVYinjBAe9]|10-14|Female|PLHIV_Attend.T|CY2024Q3</v>
      </c>
    </row>
    <row r="5493" customFormat="false" ht="15" hidden="false" customHeight="false" outlineLevel="0" collapsed="false">
      <c r="D5493" s="0" t="s">
        <v>96</v>
      </c>
      <c r="E5493" s="0" t="s">
        <v>97</v>
      </c>
      <c r="F5493" s="0" t="s">
        <v>98</v>
      </c>
      <c r="G5493" s="0" t="s">
        <v>168</v>
      </c>
      <c r="H5493" s="0" t="s">
        <v>168</v>
      </c>
      <c r="I5493" s="0" t="s">
        <v>38</v>
      </c>
      <c r="J5493" s="0" t="s">
        <v>39</v>
      </c>
      <c r="K5493" s="0" t="s">
        <v>30</v>
      </c>
      <c r="L5493" s="0" t="s">
        <v>31</v>
      </c>
      <c r="M5493" s="0" t="s">
        <v>167</v>
      </c>
      <c r="N5493" s="0" t="n">
        <v>947</v>
      </c>
      <c r="O5493" s="10" t="n">
        <v>0.958523357054219</v>
      </c>
      <c r="P5493" s="10" t="n">
        <v>0.601251717889681</v>
      </c>
      <c r="Q5493" s="0" t="str">
        <f aca="false">SUBSTITUTE(SUBSTITUTE($I5493,CHAR(61),""),CHAR(34),"")</f>
        <v>15-24</v>
      </c>
      <c r="R5493" s="0" t="str">
        <f aca="false">IF($D5493&lt;&gt;"","["&amp;$E5493&amp;"]"&amp;"|"&amp;$Q5493&amp;"|"&amp;$K5493&amp;"|"&amp;$G5493&amp;"|"&amp;IF($G5493="TX_CURR_SUBNAT.R","CY2022Q4",$M5493),"")</f>
        <v>[gwVYinjBAe9]|15-24|Female|PLHIV_Attend.T|CY2024Q3</v>
      </c>
    </row>
    <row r="5494" customFormat="false" ht="15" hidden="false" customHeight="false" outlineLevel="0" collapsed="false">
      <c r="D5494" s="0" t="s">
        <v>96</v>
      </c>
      <c r="E5494" s="0" t="s">
        <v>97</v>
      </c>
      <c r="F5494" s="0" t="s">
        <v>98</v>
      </c>
      <c r="G5494" s="0" t="s">
        <v>168</v>
      </c>
      <c r="H5494" s="0" t="s">
        <v>168</v>
      </c>
      <c r="I5494" s="0" t="s">
        <v>41</v>
      </c>
      <c r="J5494" s="0" t="s">
        <v>42</v>
      </c>
      <c r="K5494" s="0" t="s">
        <v>30</v>
      </c>
      <c r="L5494" s="0" t="s">
        <v>31</v>
      </c>
      <c r="M5494" s="0" t="s">
        <v>167</v>
      </c>
      <c r="N5494" s="0" t="n">
        <v>1572</v>
      </c>
      <c r="O5494" s="10" t="n">
        <v>0.485626901499927</v>
      </c>
      <c r="P5494" s="10" t="n">
        <v>0.601251717889681</v>
      </c>
      <c r="Q5494" s="0" t="str">
        <f aca="false">SUBSTITUTE(SUBSTITUTE($I5494,CHAR(61),""),CHAR(34),"")</f>
        <v>25-34</v>
      </c>
      <c r="R5494" s="0" t="str">
        <f aca="false">IF($D5494&lt;&gt;"","["&amp;$E5494&amp;"]"&amp;"|"&amp;$Q5494&amp;"|"&amp;$K5494&amp;"|"&amp;$G5494&amp;"|"&amp;IF($G5494="TX_CURR_SUBNAT.R","CY2022Q4",$M5494),"")</f>
        <v>[gwVYinjBAe9]|25-34|Female|PLHIV_Attend.T|CY2024Q3</v>
      </c>
    </row>
    <row r="5495" customFormat="false" ht="15" hidden="false" customHeight="false" outlineLevel="0" collapsed="false">
      <c r="D5495" s="0" t="s">
        <v>96</v>
      </c>
      <c r="E5495" s="0" t="s">
        <v>97</v>
      </c>
      <c r="F5495" s="0" t="s">
        <v>98</v>
      </c>
      <c r="G5495" s="0" t="s">
        <v>168</v>
      </c>
      <c r="H5495" s="0" t="s">
        <v>168</v>
      </c>
      <c r="I5495" s="0" t="s">
        <v>43</v>
      </c>
      <c r="J5495" s="0" t="s">
        <v>44</v>
      </c>
      <c r="K5495" s="0" t="s">
        <v>30</v>
      </c>
      <c r="L5495" s="0" t="s">
        <v>31</v>
      </c>
      <c r="M5495" s="0" t="s">
        <v>167</v>
      </c>
      <c r="N5495" s="0" t="n">
        <v>572</v>
      </c>
      <c r="O5495" s="10" t="n">
        <v>0.619360602227971</v>
      </c>
      <c r="P5495" s="10" t="n">
        <v>0.601251717889681</v>
      </c>
      <c r="Q5495" s="0" t="str">
        <f aca="false">SUBSTITUTE(SUBSTITUTE($I5495,CHAR(61),""),CHAR(34),"")</f>
        <v>35-49</v>
      </c>
      <c r="R5495" s="0" t="str">
        <f aca="false">IF($D5495&lt;&gt;"","["&amp;$E5495&amp;"]"&amp;"|"&amp;$Q5495&amp;"|"&amp;$K5495&amp;"|"&amp;$G5495&amp;"|"&amp;IF($G5495="TX_CURR_SUBNAT.R","CY2022Q4",$M5495),"")</f>
        <v>[gwVYinjBAe9]|35-49|Female|PLHIV_Attend.T|CY2024Q3</v>
      </c>
    </row>
    <row r="5496" customFormat="false" ht="15" hidden="false" customHeight="false" outlineLevel="0" collapsed="false">
      <c r="D5496" s="0" t="s">
        <v>96</v>
      </c>
      <c r="E5496" s="0" t="s">
        <v>97</v>
      </c>
      <c r="F5496" s="0" t="s">
        <v>98</v>
      </c>
      <c r="G5496" s="0" t="s">
        <v>168</v>
      </c>
      <c r="H5496" s="0" t="s">
        <v>168</v>
      </c>
      <c r="I5496" s="0" t="s">
        <v>45</v>
      </c>
      <c r="J5496" s="0" t="s">
        <v>46</v>
      </c>
      <c r="K5496" s="0" t="s">
        <v>30</v>
      </c>
      <c r="L5496" s="0" t="s">
        <v>31</v>
      </c>
      <c r="M5496" s="0" t="s">
        <v>167</v>
      </c>
      <c r="N5496" s="0" t="n">
        <v>1347</v>
      </c>
      <c r="O5496" s="10" t="n">
        <v>0.0274351488333195</v>
      </c>
      <c r="P5496" s="10" t="n">
        <v>0.601251717889681</v>
      </c>
      <c r="Q5496" s="0" t="str">
        <f aca="false">SUBSTITUTE(SUBSTITUTE($I5496,CHAR(61),""),CHAR(34),"")</f>
        <v>50+</v>
      </c>
      <c r="R5496" s="0" t="str">
        <f aca="false">IF($D5496&lt;&gt;"","["&amp;$E5496&amp;"]"&amp;"|"&amp;$Q5496&amp;"|"&amp;$K5496&amp;"|"&amp;$G5496&amp;"|"&amp;IF($G5496="TX_CURR_SUBNAT.R","CY2022Q4",$M5496),"")</f>
        <v>[gwVYinjBAe9]|50+|Female|PLHIV_Attend.T|CY2024Q3</v>
      </c>
    </row>
    <row r="5497" customFormat="false" ht="15" hidden="false" customHeight="false" outlineLevel="0" collapsed="false">
      <c r="D5497" s="0" t="s">
        <v>96</v>
      </c>
      <c r="E5497" s="0" t="s">
        <v>97</v>
      </c>
      <c r="F5497" s="0" t="s">
        <v>98</v>
      </c>
      <c r="G5497" s="0" t="s">
        <v>168</v>
      </c>
      <c r="H5497" s="0" t="s">
        <v>168</v>
      </c>
      <c r="I5497" s="0" t="s">
        <v>28</v>
      </c>
      <c r="J5497" s="0" t="s">
        <v>29</v>
      </c>
      <c r="K5497" s="0" t="s">
        <v>48</v>
      </c>
      <c r="L5497" s="0" t="s">
        <v>49</v>
      </c>
      <c r="M5497" s="0" t="s">
        <v>167</v>
      </c>
      <c r="N5497" s="0" t="n">
        <v>1809</v>
      </c>
      <c r="O5497" s="10" t="n">
        <v>0.0737064620479941</v>
      </c>
      <c r="P5497" s="10" t="n">
        <v>0.601251717889681</v>
      </c>
      <c r="Q5497" s="0" t="str">
        <f aca="false">SUBSTITUTE(SUBSTITUTE($I5497,CHAR(61),""),CHAR(34),"")</f>
        <v>&lt;01</v>
      </c>
      <c r="R5497" s="0" t="str">
        <f aca="false">IF($D5497&lt;&gt;"","["&amp;$E5497&amp;"]"&amp;"|"&amp;$Q5497&amp;"|"&amp;$K5497&amp;"|"&amp;$G5497&amp;"|"&amp;IF($G5497="TX_CURR_SUBNAT.R","CY2022Q4",$M5497),"")</f>
        <v>[gwVYinjBAe9]|&lt;01|Male|PLHIV_Attend.T|CY2024Q3</v>
      </c>
    </row>
    <row r="5498" customFormat="false" ht="15" hidden="false" customHeight="false" outlineLevel="0" collapsed="false">
      <c r="D5498" s="0" t="s">
        <v>96</v>
      </c>
      <c r="E5498" s="0" t="s">
        <v>97</v>
      </c>
      <c r="F5498" s="0" t="s">
        <v>98</v>
      </c>
      <c r="G5498" s="0" t="s">
        <v>168</v>
      </c>
      <c r="H5498" s="0" t="s">
        <v>168</v>
      </c>
      <c r="I5498" s="0" t="s">
        <v>33</v>
      </c>
      <c r="J5498" s="0" t="s">
        <v>34</v>
      </c>
      <c r="K5498" s="0" t="s">
        <v>48</v>
      </c>
      <c r="L5498" s="0" t="s">
        <v>49</v>
      </c>
      <c r="M5498" s="0" t="s">
        <v>167</v>
      </c>
      <c r="N5498" s="0" t="n">
        <v>1336</v>
      </c>
      <c r="O5498" s="10" t="n">
        <v>0.619274406228215</v>
      </c>
      <c r="P5498" s="10" t="n">
        <v>0.601251717889681</v>
      </c>
      <c r="Q5498" s="0" t="str">
        <f aca="false">SUBSTITUTE(SUBSTITUTE($I5498,CHAR(61),""),CHAR(34),"")</f>
        <v>01-09</v>
      </c>
      <c r="R5498" s="0" t="str">
        <f aca="false">IF($D5498&lt;&gt;"","["&amp;$E5498&amp;"]"&amp;"|"&amp;$Q5498&amp;"|"&amp;$K5498&amp;"|"&amp;$G5498&amp;"|"&amp;IF($G5498="TX_CURR_SUBNAT.R","CY2022Q4",$M5498),"")</f>
        <v>[gwVYinjBAe9]|01-09|Male|PLHIV_Attend.T|CY2024Q3</v>
      </c>
    </row>
    <row r="5499" customFormat="false" ht="15" hidden="false" customHeight="false" outlineLevel="0" collapsed="false">
      <c r="D5499" s="0" t="s">
        <v>96</v>
      </c>
      <c r="E5499" s="0" t="s">
        <v>97</v>
      </c>
      <c r="F5499" s="0" t="s">
        <v>98</v>
      </c>
      <c r="G5499" s="0" t="s">
        <v>168</v>
      </c>
      <c r="H5499" s="0" t="s">
        <v>168</v>
      </c>
      <c r="I5499" s="0" t="s">
        <v>36</v>
      </c>
      <c r="J5499" s="0" t="s">
        <v>37</v>
      </c>
      <c r="K5499" s="0" t="s">
        <v>48</v>
      </c>
      <c r="L5499" s="0" t="s">
        <v>49</v>
      </c>
      <c r="M5499" s="0" t="s">
        <v>167</v>
      </c>
      <c r="N5499" s="0" t="n">
        <v>1216</v>
      </c>
      <c r="O5499" s="10" t="n">
        <v>0.813849983969703</v>
      </c>
      <c r="P5499" s="10" t="n">
        <v>0.601251717889681</v>
      </c>
      <c r="Q5499" s="0" t="str">
        <f aca="false">SUBSTITUTE(SUBSTITUTE($I5499,CHAR(61),""),CHAR(34),"")</f>
        <v>10-14</v>
      </c>
      <c r="R5499" s="0" t="str">
        <f aca="false">IF($D5499&lt;&gt;"","["&amp;$E5499&amp;"]"&amp;"|"&amp;$Q5499&amp;"|"&amp;$K5499&amp;"|"&amp;$G5499&amp;"|"&amp;IF($G5499="TX_CURR_SUBNAT.R","CY2022Q4",$M5499),"")</f>
        <v>[gwVYinjBAe9]|10-14|Male|PLHIV_Attend.T|CY2024Q3</v>
      </c>
    </row>
    <row r="5500" customFormat="false" ht="15" hidden="false" customHeight="false" outlineLevel="0" collapsed="false">
      <c r="D5500" s="0" t="s">
        <v>96</v>
      </c>
      <c r="E5500" s="0" t="s">
        <v>97</v>
      </c>
      <c r="F5500" s="0" t="s">
        <v>98</v>
      </c>
      <c r="G5500" s="0" t="s">
        <v>168</v>
      </c>
      <c r="H5500" s="0" t="s">
        <v>168</v>
      </c>
      <c r="I5500" s="0" t="s">
        <v>38</v>
      </c>
      <c r="J5500" s="0" t="s">
        <v>39</v>
      </c>
      <c r="K5500" s="0" t="s">
        <v>48</v>
      </c>
      <c r="L5500" s="0" t="s">
        <v>49</v>
      </c>
      <c r="M5500" s="0" t="s">
        <v>167</v>
      </c>
      <c r="N5500" s="0" t="n">
        <v>1440</v>
      </c>
      <c r="O5500" s="10" t="n">
        <v>0.463871232932433</v>
      </c>
      <c r="P5500" s="10" t="n">
        <v>0.601251717889681</v>
      </c>
      <c r="Q5500" s="0" t="str">
        <f aca="false">SUBSTITUTE(SUBSTITUTE($I5500,CHAR(61),""),CHAR(34),"")</f>
        <v>15-24</v>
      </c>
      <c r="R5500" s="0" t="str">
        <f aca="false">IF($D5500&lt;&gt;"","["&amp;$E5500&amp;"]"&amp;"|"&amp;$Q5500&amp;"|"&amp;$K5500&amp;"|"&amp;$G5500&amp;"|"&amp;IF($G5500="TX_CURR_SUBNAT.R","CY2022Q4",$M5500),"")</f>
        <v>[gwVYinjBAe9]|15-24|Male|PLHIV_Attend.T|CY2024Q3</v>
      </c>
    </row>
    <row r="5501" customFormat="false" ht="15" hidden="false" customHeight="false" outlineLevel="0" collapsed="false">
      <c r="D5501" s="0" t="s">
        <v>96</v>
      </c>
      <c r="E5501" s="0" t="s">
        <v>97</v>
      </c>
      <c r="F5501" s="0" t="s">
        <v>98</v>
      </c>
      <c r="G5501" s="0" t="s">
        <v>168</v>
      </c>
      <c r="H5501" s="0" t="s">
        <v>168</v>
      </c>
      <c r="I5501" s="0" t="s">
        <v>41</v>
      </c>
      <c r="J5501" s="0" t="s">
        <v>42</v>
      </c>
      <c r="K5501" s="0" t="s">
        <v>48</v>
      </c>
      <c r="L5501" s="0" t="s">
        <v>49</v>
      </c>
      <c r="M5501" s="0" t="s">
        <v>167</v>
      </c>
      <c r="N5501" s="0" t="n">
        <v>1627</v>
      </c>
      <c r="O5501" s="10" t="n">
        <v>0.429921182338148</v>
      </c>
      <c r="P5501" s="10" t="n">
        <v>0.601251717889681</v>
      </c>
      <c r="Q5501" s="0" t="str">
        <f aca="false">SUBSTITUTE(SUBSTITUTE($I5501,CHAR(61),""),CHAR(34),"")</f>
        <v>25-34</v>
      </c>
      <c r="R5501" s="0" t="str">
        <f aca="false">IF($D5501&lt;&gt;"","["&amp;$E5501&amp;"]"&amp;"|"&amp;$Q5501&amp;"|"&amp;$K5501&amp;"|"&amp;$G5501&amp;"|"&amp;IF($G5501="TX_CURR_SUBNAT.R","CY2022Q4",$M5501),"")</f>
        <v>[gwVYinjBAe9]|25-34|Male|PLHIV_Attend.T|CY2024Q3</v>
      </c>
    </row>
    <row r="5502" customFormat="false" ht="15" hidden="false" customHeight="false" outlineLevel="0" collapsed="false">
      <c r="D5502" s="0" t="s">
        <v>96</v>
      </c>
      <c r="E5502" s="0" t="s">
        <v>97</v>
      </c>
      <c r="F5502" s="0" t="s">
        <v>98</v>
      </c>
      <c r="G5502" s="0" t="s">
        <v>168</v>
      </c>
      <c r="H5502" s="0" t="s">
        <v>168</v>
      </c>
      <c r="I5502" s="0" t="s">
        <v>43</v>
      </c>
      <c r="J5502" s="0" t="s">
        <v>44</v>
      </c>
      <c r="K5502" s="0" t="s">
        <v>48</v>
      </c>
      <c r="L5502" s="0" t="s">
        <v>49</v>
      </c>
      <c r="M5502" s="0" t="s">
        <v>167</v>
      </c>
      <c r="N5502" s="0" t="n">
        <v>911</v>
      </c>
      <c r="O5502" s="10" t="n">
        <v>0.113767368951812</v>
      </c>
      <c r="P5502" s="10" t="n">
        <v>0.601251717889681</v>
      </c>
      <c r="Q5502" s="0" t="str">
        <f aca="false">SUBSTITUTE(SUBSTITUTE($I5502,CHAR(61),""),CHAR(34),"")</f>
        <v>35-49</v>
      </c>
      <c r="R5502" s="0" t="str">
        <f aca="false">IF($D5502&lt;&gt;"","["&amp;$E5502&amp;"]"&amp;"|"&amp;$Q5502&amp;"|"&amp;$K5502&amp;"|"&amp;$G5502&amp;"|"&amp;IF($G5502="TX_CURR_SUBNAT.R","CY2022Q4",$M5502),"")</f>
        <v>[gwVYinjBAe9]|35-49|Male|PLHIV_Attend.T|CY2024Q3</v>
      </c>
    </row>
    <row r="5503" customFormat="false" ht="15" hidden="false" customHeight="false" outlineLevel="0" collapsed="false">
      <c r="D5503" s="0" t="s">
        <v>96</v>
      </c>
      <c r="E5503" s="0" t="s">
        <v>97</v>
      </c>
      <c r="F5503" s="0" t="s">
        <v>98</v>
      </c>
      <c r="G5503" s="0" t="s">
        <v>168</v>
      </c>
      <c r="H5503" s="0" t="s">
        <v>168</v>
      </c>
      <c r="I5503" s="0" t="s">
        <v>45</v>
      </c>
      <c r="J5503" s="0" t="s">
        <v>46</v>
      </c>
      <c r="K5503" s="0" t="s">
        <v>48</v>
      </c>
      <c r="L5503" s="0" t="s">
        <v>49</v>
      </c>
      <c r="M5503" s="0" t="s">
        <v>167</v>
      </c>
      <c r="N5503" s="0" t="n">
        <v>1728</v>
      </c>
      <c r="O5503" s="10" t="n">
        <v>0.833722334355116</v>
      </c>
      <c r="P5503" s="10" t="n">
        <v>0.601251717889681</v>
      </c>
      <c r="Q5503" s="0" t="str">
        <f aca="false">SUBSTITUTE(SUBSTITUTE($I5503,CHAR(61),""),CHAR(34),"")</f>
        <v>50+</v>
      </c>
      <c r="R5503" s="0" t="str">
        <f aca="false">IF($D5503&lt;&gt;"","["&amp;$E5503&amp;"]"&amp;"|"&amp;$Q5503&amp;"|"&amp;$K5503&amp;"|"&amp;$G5503&amp;"|"&amp;IF($G5503="TX_CURR_SUBNAT.R","CY2022Q4",$M5503),"")</f>
        <v>[gwVYinjBAe9]|50+|Male|PLHIV_Attend.T|CY2024Q3</v>
      </c>
    </row>
    <row r="5504" customFormat="false" ht="15" hidden="false" customHeight="false" outlineLevel="0" collapsed="false">
      <c r="D5504" s="0" t="s">
        <v>99</v>
      </c>
      <c r="E5504" s="0" t="s">
        <v>100</v>
      </c>
      <c r="F5504" s="0" t="s">
        <v>101</v>
      </c>
      <c r="G5504" s="0" t="s">
        <v>168</v>
      </c>
      <c r="H5504" s="0" t="s">
        <v>168</v>
      </c>
      <c r="I5504" s="0" t="s">
        <v>28</v>
      </c>
      <c r="J5504" s="0" t="s">
        <v>29</v>
      </c>
      <c r="K5504" s="0" t="s">
        <v>30</v>
      </c>
      <c r="L5504" s="0" t="s">
        <v>31</v>
      </c>
      <c r="M5504" s="0" t="s">
        <v>167</v>
      </c>
      <c r="N5504" s="0" t="n">
        <v>997</v>
      </c>
      <c r="O5504" s="10" t="n">
        <v>0.516186691820621</v>
      </c>
      <c r="P5504" s="10" t="n">
        <v>0.577288038097322</v>
      </c>
      <c r="Q5504" s="0" t="str">
        <f aca="false">SUBSTITUTE(SUBSTITUTE($I5504,CHAR(61),""),CHAR(34),"")</f>
        <v>&lt;01</v>
      </c>
      <c r="R5504" s="0" t="str">
        <f aca="false">IF($D5504&lt;&gt;"","["&amp;$E5504&amp;"]"&amp;"|"&amp;$Q5504&amp;"|"&amp;$K5504&amp;"|"&amp;$G5504&amp;"|"&amp;IF($G5504="TX_CURR_SUBNAT.R","CY2022Q4",$M5504),"")</f>
        <v>[mxqa3CDFmIT]|&lt;01|Female|PLHIV_Attend.T|CY2024Q3</v>
      </c>
    </row>
    <row r="5505" customFormat="false" ht="15" hidden="false" customHeight="false" outlineLevel="0" collapsed="false">
      <c r="D5505" s="0" t="s">
        <v>99</v>
      </c>
      <c r="E5505" s="0" t="s">
        <v>100</v>
      </c>
      <c r="F5505" s="0" t="s">
        <v>101</v>
      </c>
      <c r="G5505" s="0" t="s">
        <v>168</v>
      </c>
      <c r="H5505" s="0" t="s">
        <v>168</v>
      </c>
      <c r="I5505" s="0" t="s">
        <v>33</v>
      </c>
      <c r="J5505" s="0" t="s">
        <v>34</v>
      </c>
      <c r="K5505" s="0" t="s">
        <v>30</v>
      </c>
      <c r="L5505" s="0" t="s">
        <v>31</v>
      </c>
      <c r="M5505" s="0" t="s">
        <v>167</v>
      </c>
      <c r="N5505" s="0" t="n">
        <v>1762</v>
      </c>
      <c r="O5505" s="10" t="n">
        <v>0.870559031376615</v>
      </c>
      <c r="P5505" s="10" t="n">
        <v>0.577288038097322</v>
      </c>
      <c r="Q5505" s="0" t="str">
        <f aca="false">SUBSTITUTE(SUBSTITUTE($I5505,CHAR(61),""),CHAR(34),"")</f>
        <v>01-09</v>
      </c>
      <c r="R5505" s="0" t="str">
        <f aca="false">IF($D5505&lt;&gt;"","["&amp;$E5505&amp;"]"&amp;"|"&amp;$Q5505&amp;"|"&amp;$K5505&amp;"|"&amp;$G5505&amp;"|"&amp;IF($G5505="TX_CURR_SUBNAT.R","CY2022Q4",$M5505),"")</f>
        <v>[mxqa3CDFmIT]|01-09|Female|PLHIV_Attend.T|CY2024Q3</v>
      </c>
    </row>
    <row r="5506" customFormat="false" ht="15" hidden="false" customHeight="false" outlineLevel="0" collapsed="false">
      <c r="D5506" s="0" t="s">
        <v>99</v>
      </c>
      <c r="E5506" s="0" t="s">
        <v>100</v>
      </c>
      <c r="F5506" s="0" t="s">
        <v>101</v>
      </c>
      <c r="G5506" s="0" t="s">
        <v>168</v>
      </c>
      <c r="H5506" s="0" t="s">
        <v>168</v>
      </c>
      <c r="I5506" s="0" t="s">
        <v>36</v>
      </c>
      <c r="J5506" s="0" t="s">
        <v>37</v>
      </c>
      <c r="K5506" s="0" t="s">
        <v>30</v>
      </c>
      <c r="L5506" s="0" t="s">
        <v>31</v>
      </c>
      <c r="M5506" s="0" t="s">
        <v>167</v>
      </c>
      <c r="N5506" s="0" t="n">
        <v>834</v>
      </c>
      <c r="O5506" s="10" t="n">
        <v>0.196852290304378</v>
      </c>
      <c r="P5506" s="10" t="n">
        <v>0.577288038097322</v>
      </c>
      <c r="Q5506" s="0" t="str">
        <f aca="false">SUBSTITUTE(SUBSTITUTE($I5506,CHAR(61),""),CHAR(34),"")</f>
        <v>10-14</v>
      </c>
      <c r="R5506" s="0" t="str">
        <f aca="false">IF($D5506&lt;&gt;"","["&amp;$E5506&amp;"]"&amp;"|"&amp;$Q5506&amp;"|"&amp;$K5506&amp;"|"&amp;$G5506&amp;"|"&amp;IF($G5506="TX_CURR_SUBNAT.R","CY2022Q4",$M5506),"")</f>
        <v>[mxqa3CDFmIT]|10-14|Female|PLHIV_Attend.T|CY2024Q3</v>
      </c>
    </row>
    <row r="5507" customFormat="false" ht="15" hidden="false" customHeight="false" outlineLevel="0" collapsed="false">
      <c r="D5507" s="0" t="s">
        <v>99</v>
      </c>
      <c r="E5507" s="0" t="s">
        <v>100</v>
      </c>
      <c r="F5507" s="0" t="s">
        <v>101</v>
      </c>
      <c r="G5507" s="0" t="s">
        <v>168</v>
      </c>
      <c r="H5507" s="0" t="s">
        <v>168</v>
      </c>
      <c r="I5507" s="0" t="s">
        <v>38</v>
      </c>
      <c r="J5507" s="0" t="s">
        <v>39</v>
      </c>
      <c r="K5507" s="0" t="s">
        <v>30</v>
      </c>
      <c r="L5507" s="0" t="s">
        <v>31</v>
      </c>
      <c r="M5507" s="0" t="s">
        <v>167</v>
      </c>
      <c r="N5507" s="0" t="n">
        <v>964</v>
      </c>
      <c r="O5507" s="10" t="n">
        <v>0.85301555483602</v>
      </c>
      <c r="P5507" s="10" t="n">
        <v>0.577288038097322</v>
      </c>
      <c r="Q5507" s="0" t="str">
        <f aca="false">SUBSTITUTE(SUBSTITUTE($I5507,CHAR(61),""),CHAR(34),"")</f>
        <v>15-24</v>
      </c>
      <c r="R5507" s="0" t="str">
        <f aca="false">IF($D5507&lt;&gt;"","["&amp;$E5507&amp;"]"&amp;"|"&amp;$Q5507&amp;"|"&amp;$K5507&amp;"|"&amp;$G5507&amp;"|"&amp;IF($G5507="TX_CURR_SUBNAT.R","CY2022Q4",$M5507),"")</f>
        <v>[mxqa3CDFmIT]|15-24|Female|PLHIV_Attend.T|CY2024Q3</v>
      </c>
    </row>
    <row r="5508" customFormat="false" ht="15" hidden="false" customHeight="false" outlineLevel="0" collapsed="false">
      <c r="D5508" s="0" t="s">
        <v>99</v>
      </c>
      <c r="E5508" s="0" t="s">
        <v>100</v>
      </c>
      <c r="F5508" s="0" t="s">
        <v>101</v>
      </c>
      <c r="G5508" s="0" t="s">
        <v>168</v>
      </c>
      <c r="H5508" s="0" t="s">
        <v>168</v>
      </c>
      <c r="I5508" s="0" t="s">
        <v>41</v>
      </c>
      <c r="J5508" s="0" t="s">
        <v>42</v>
      </c>
      <c r="K5508" s="0" t="s">
        <v>30</v>
      </c>
      <c r="L5508" s="0" t="s">
        <v>31</v>
      </c>
      <c r="M5508" s="0" t="s">
        <v>167</v>
      </c>
      <c r="N5508" s="0" t="n">
        <v>561</v>
      </c>
      <c r="O5508" s="10" t="n">
        <v>0.244515017606318</v>
      </c>
      <c r="P5508" s="10" t="n">
        <v>0.577288038097322</v>
      </c>
      <c r="Q5508" s="0" t="str">
        <f aca="false">SUBSTITUTE(SUBSTITUTE($I5508,CHAR(61),""),CHAR(34),"")</f>
        <v>25-34</v>
      </c>
      <c r="R5508" s="0" t="str">
        <f aca="false">IF($D5508&lt;&gt;"","["&amp;$E5508&amp;"]"&amp;"|"&amp;$Q5508&amp;"|"&amp;$K5508&amp;"|"&amp;$G5508&amp;"|"&amp;IF($G5508="TX_CURR_SUBNAT.R","CY2022Q4",$M5508),"")</f>
        <v>[mxqa3CDFmIT]|25-34|Female|PLHIV_Attend.T|CY2024Q3</v>
      </c>
    </row>
    <row r="5509" customFormat="false" ht="15" hidden="false" customHeight="false" outlineLevel="0" collapsed="false">
      <c r="D5509" s="0" t="s">
        <v>99</v>
      </c>
      <c r="E5509" s="0" t="s">
        <v>100</v>
      </c>
      <c r="F5509" s="0" t="s">
        <v>101</v>
      </c>
      <c r="G5509" s="0" t="s">
        <v>168</v>
      </c>
      <c r="H5509" s="0" t="s">
        <v>168</v>
      </c>
      <c r="I5509" s="0" t="s">
        <v>43</v>
      </c>
      <c r="J5509" s="0" t="s">
        <v>44</v>
      </c>
      <c r="K5509" s="0" t="s">
        <v>30</v>
      </c>
      <c r="L5509" s="0" t="s">
        <v>31</v>
      </c>
      <c r="M5509" s="0" t="s">
        <v>167</v>
      </c>
      <c r="N5509" s="0" t="n">
        <v>1689</v>
      </c>
      <c r="O5509" s="10" t="n">
        <v>0.224225683370605</v>
      </c>
      <c r="P5509" s="10" t="n">
        <v>0.577288038097322</v>
      </c>
      <c r="Q5509" s="0" t="str">
        <f aca="false">SUBSTITUTE(SUBSTITUTE($I5509,CHAR(61),""),CHAR(34),"")</f>
        <v>35-49</v>
      </c>
      <c r="R5509" s="0" t="str">
        <f aca="false">IF($D5509&lt;&gt;"","["&amp;$E5509&amp;"]"&amp;"|"&amp;$Q5509&amp;"|"&amp;$K5509&amp;"|"&amp;$G5509&amp;"|"&amp;IF($G5509="TX_CURR_SUBNAT.R","CY2022Q4",$M5509),"")</f>
        <v>[mxqa3CDFmIT]|35-49|Female|PLHIV_Attend.T|CY2024Q3</v>
      </c>
    </row>
    <row r="5510" customFormat="false" ht="15" hidden="false" customHeight="false" outlineLevel="0" collapsed="false">
      <c r="D5510" s="0" t="s">
        <v>99</v>
      </c>
      <c r="E5510" s="0" t="s">
        <v>100</v>
      </c>
      <c r="F5510" s="0" t="s">
        <v>101</v>
      </c>
      <c r="G5510" s="0" t="s">
        <v>168</v>
      </c>
      <c r="H5510" s="0" t="s">
        <v>168</v>
      </c>
      <c r="I5510" s="0" t="s">
        <v>45</v>
      </c>
      <c r="J5510" s="0" t="s">
        <v>46</v>
      </c>
      <c r="K5510" s="0" t="s">
        <v>30</v>
      </c>
      <c r="L5510" s="0" t="s">
        <v>31</v>
      </c>
      <c r="M5510" s="0" t="s">
        <v>167</v>
      </c>
      <c r="N5510" s="0" t="n">
        <v>1147</v>
      </c>
      <c r="O5510" s="10" t="n">
        <v>0.790321671636775</v>
      </c>
      <c r="P5510" s="10" t="n">
        <v>0.577288038097322</v>
      </c>
      <c r="Q5510" s="0" t="str">
        <f aca="false">SUBSTITUTE(SUBSTITUTE($I5510,CHAR(61),""),CHAR(34),"")</f>
        <v>50+</v>
      </c>
      <c r="R5510" s="0" t="str">
        <f aca="false">IF($D5510&lt;&gt;"","["&amp;$E5510&amp;"]"&amp;"|"&amp;$Q5510&amp;"|"&amp;$K5510&amp;"|"&amp;$G5510&amp;"|"&amp;IF($G5510="TX_CURR_SUBNAT.R","CY2022Q4",$M5510),"")</f>
        <v>[mxqa3CDFmIT]|50+|Female|PLHIV_Attend.T|CY2024Q3</v>
      </c>
    </row>
    <row r="5511" customFormat="false" ht="15" hidden="false" customHeight="false" outlineLevel="0" collapsed="false">
      <c r="D5511" s="0" t="s">
        <v>99</v>
      </c>
      <c r="E5511" s="0" t="s">
        <v>100</v>
      </c>
      <c r="F5511" s="0" t="s">
        <v>101</v>
      </c>
      <c r="G5511" s="0" t="s">
        <v>168</v>
      </c>
      <c r="H5511" s="0" t="s">
        <v>168</v>
      </c>
      <c r="I5511" s="0" t="s">
        <v>28</v>
      </c>
      <c r="J5511" s="0" t="s">
        <v>29</v>
      </c>
      <c r="K5511" s="0" t="s">
        <v>48</v>
      </c>
      <c r="L5511" s="0" t="s">
        <v>49</v>
      </c>
      <c r="M5511" s="0" t="s">
        <v>167</v>
      </c>
      <c r="N5511" s="0" t="n">
        <v>1777</v>
      </c>
      <c r="O5511" s="10" t="n">
        <v>0.751349856611341</v>
      </c>
      <c r="P5511" s="10" t="n">
        <v>0.577288038097322</v>
      </c>
      <c r="Q5511" s="0" t="str">
        <f aca="false">SUBSTITUTE(SUBSTITUTE($I5511,CHAR(61),""),CHAR(34),"")</f>
        <v>&lt;01</v>
      </c>
      <c r="R5511" s="0" t="str">
        <f aca="false">IF($D5511&lt;&gt;"","["&amp;$E5511&amp;"]"&amp;"|"&amp;$Q5511&amp;"|"&amp;$K5511&amp;"|"&amp;$G5511&amp;"|"&amp;IF($G5511="TX_CURR_SUBNAT.R","CY2022Q4",$M5511),"")</f>
        <v>[mxqa3CDFmIT]|&lt;01|Male|PLHIV_Attend.T|CY2024Q3</v>
      </c>
    </row>
    <row r="5512" customFormat="false" ht="15" hidden="false" customHeight="false" outlineLevel="0" collapsed="false">
      <c r="D5512" s="0" t="s">
        <v>99</v>
      </c>
      <c r="E5512" s="0" t="s">
        <v>100</v>
      </c>
      <c r="F5512" s="0" t="s">
        <v>101</v>
      </c>
      <c r="G5512" s="0" t="s">
        <v>168</v>
      </c>
      <c r="H5512" s="0" t="s">
        <v>168</v>
      </c>
      <c r="I5512" s="0" t="s">
        <v>33</v>
      </c>
      <c r="J5512" s="0" t="s">
        <v>34</v>
      </c>
      <c r="K5512" s="0" t="s">
        <v>48</v>
      </c>
      <c r="L5512" s="0" t="s">
        <v>49</v>
      </c>
      <c r="M5512" s="0" t="s">
        <v>167</v>
      </c>
      <c r="N5512" s="0" t="n">
        <v>1184</v>
      </c>
      <c r="O5512" s="10" t="n">
        <v>0.759653059532866</v>
      </c>
      <c r="P5512" s="10" t="n">
        <v>0.577288038097322</v>
      </c>
      <c r="Q5512" s="0" t="str">
        <f aca="false">SUBSTITUTE(SUBSTITUTE($I5512,CHAR(61),""),CHAR(34),"")</f>
        <v>01-09</v>
      </c>
      <c r="R5512" s="0" t="str">
        <f aca="false">IF($D5512&lt;&gt;"","["&amp;$E5512&amp;"]"&amp;"|"&amp;$Q5512&amp;"|"&amp;$K5512&amp;"|"&amp;$G5512&amp;"|"&amp;IF($G5512="TX_CURR_SUBNAT.R","CY2022Q4",$M5512),"")</f>
        <v>[mxqa3CDFmIT]|01-09|Male|PLHIV_Attend.T|CY2024Q3</v>
      </c>
    </row>
    <row r="5513" customFormat="false" ht="15" hidden="false" customHeight="false" outlineLevel="0" collapsed="false">
      <c r="D5513" s="0" t="s">
        <v>99</v>
      </c>
      <c r="E5513" s="0" t="s">
        <v>100</v>
      </c>
      <c r="F5513" s="0" t="s">
        <v>101</v>
      </c>
      <c r="G5513" s="0" t="s">
        <v>168</v>
      </c>
      <c r="H5513" s="0" t="s">
        <v>168</v>
      </c>
      <c r="I5513" s="0" t="s">
        <v>36</v>
      </c>
      <c r="J5513" s="0" t="s">
        <v>37</v>
      </c>
      <c r="K5513" s="0" t="s">
        <v>48</v>
      </c>
      <c r="L5513" s="0" t="s">
        <v>49</v>
      </c>
      <c r="M5513" s="0" t="s">
        <v>167</v>
      </c>
      <c r="N5513" s="0" t="n">
        <v>1305</v>
      </c>
      <c r="O5513" s="10" t="n">
        <v>0.193705371348187</v>
      </c>
      <c r="P5513" s="10" t="n">
        <v>0.577288038097322</v>
      </c>
      <c r="Q5513" s="0" t="str">
        <f aca="false">SUBSTITUTE(SUBSTITUTE($I5513,CHAR(61),""),CHAR(34),"")</f>
        <v>10-14</v>
      </c>
      <c r="R5513" s="0" t="str">
        <f aca="false">IF($D5513&lt;&gt;"","["&amp;$E5513&amp;"]"&amp;"|"&amp;$Q5513&amp;"|"&amp;$K5513&amp;"|"&amp;$G5513&amp;"|"&amp;IF($G5513="TX_CURR_SUBNAT.R","CY2022Q4",$M5513),"")</f>
        <v>[mxqa3CDFmIT]|10-14|Male|PLHIV_Attend.T|CY2024Q3</v>
      </c>
    </row>
    <row r="5514" customFormat="false" ht="15" hidden="false" customHeight="false" outlineLevel="0" collapsed="false">
      <c r="D5514" s="0" t="s">
        <v>99</v>
      </c>
      <c r="E5514" s="0" t="s">
        <v>100</v>
      </c>
      <c r="F5514" s="0" t="s">
        <v>101</v>
      </c>
      <c r="G5514" s="0" t="s">
        <v>168</v>
      </c>
      <c r="H5514" s="0" t="s">
        <v>168</v>
      </c>
      <c r="I5514" s="0" t="s">
        <v>38</v>
      </c>
      <c r="J5514" s="0" t="s">
        <v>39</v>
      </c>
      <c r="K5514" s="0" t="s">
        <v>48</v>
      </c>
      <c r="L5514" s="0" t="s">
        <v>49</v>
      </c>
      <c r="M5514" s="0" t="s">
        <v>167</v>
      </c>
      <c r="N5514" s="0" t="n">
        <v>542</v>
      </c>
      <c r="O5514" s="10" t="n">
        <v>0.834459320409223</v>
      </c>
      <c r="P5514" s="10" t="n">
        <v>0.577288038097322</v>
      </c>
      <c r="Q5514" s="0" t="str">
        <f aca="false">SUBSTITUTE(SUBSTITUTE($I5514,CHAR(61),""),CHAR(34),"")</f>
        <v>15-24</v>
      </c>
      <c r="R5514" s="0" t="str">
        <f aca="false">IF($D5514&lt;&gt;"","["&amp;$E5514&amp;"]"&amp;"|"&amp;$Q5514&amp;"|"&amp;$K5514&amp;"|"&amp;$G5514&amp;"|"&amp;IF($G5514="TX_CURR_SUBNAT.R","CY2022Q4",$M5514),"")</f>
        <v>[mxqa3CDFmIT]|15-24|Male|PLHIV_Attend.T|CY2024Q3</v>
      </c>
    </row>
    <row r="5515" customFormat="false" ht="15" hidden="false" customHeight="false" outlineLevel="0" collapsed="false">
      <c r="D5515" s="0" t="s">
        <v>99</v>
      </c>
      <c r="E5515" s="0" t="s">
        <v>100</v>
      </c>
      <c r="F5515" s="0" t="s">
        <v>101</v>
      </c>
      <c r="G5515" s="0" t="s">
        <v>168</v>
      </c>
      <c r="H5515" s="0" t="s">
        <v>168</v>
      </c>
      <c r="I5515" s="0" t="s">
        <v>41</v>
      </c>
      <c r="J5515" s="0" t="s">
        <v>42</v>
      </c>
      <c r="K5515" s="0" t="s">
        <v>48</v>
      </c>
      <c r="L5515" s="0" t="s">
        <v>49</v>
      </c>
      <c r="M5515" s="0" t="s">
        <v>167</v>
      </c>
      <c r="N5515" s="0" t="n">
        <v>1476</v>
      </c>
      <c r="O5515" s="10" t="n">
        <v>0.650728410109878</v>
      </c>
      <c r="P5515" s="10" t="n">
        <v>0.577288038097322</v>
      </c>
      <c r="Q5515" s="0" t="str">
        <f aca="false">SUBSTITUTE(SUBSTITUTE($I5515,CHAR(61),""),CHAR(34),"")</f>
        <v>25-34</v>
      </c>
      <c r="R5515" s="0" t="str">
        <f aca="false">IF($D5515&lt;&gt;"","["&amp;$E5515&amp;"]"&amp;"|"&amp;$Q5515&amp;"|"&amp;$K5515&amp;"|"&amp;$G5515&amp;"|"&amp;IF($G5515="TX_CURR_SUBNAT.R","CY2022Q4",$M5515),"")</f>
        <v>[mxqa3CDFmIT]|25-34|Male|PLHIV_Attend.T|CY2024Q3</v>
      </c>
    </row>
    <row r="5516" customFormat="false" ht="15" hidden="false" customHeight="false" outlineLevel="0" collapsed="false">
      <c r="D5516" s="0" t="s">
        <v>99</v>
      </c>
      <c r="E5516" s="0" t="s">
        <v>100</v>
      </c>
      <c r="F5516" s="0" t="s">
        <v>101</v>
      </c>
      <c r="G5516" s="0" t="s">
        <v>168</v>
      </c>
      <c r="H5516" s="0" t="s">
        <v>168</v>
      </c>
      <c r="I5516" s="0" t="s">
        <v>43</v>
      </c>
      <c r="J5516" s="0" t="s">
        <v>44</v>
      </c>
      <c r="K5516" s="0" t="s">
        <v>48</v>
      </c>
      <c r="L5516" s="0" t="s">
        <v>49</v>
      </c>
      <c r="M5516" s="0" t="s">
        <v>167</v>
      </c>
      <c r="N5516" s="0" t="n">
        <v>1041</v>
      </c>
      <c r="O5516" s="10" t="n">
        <v>0.491783179575577</v>
      </c>
      <c r="P5516" s="10" t="n">
        <v>0.577288038097322</v>
      </c>
      <c r="Q5516" s="0" t="str">
        <f aca="false">SUBSTITUTE(SUBSTITUTE($I5516,CHAR(61),""),CHAR(34),"")</f>
        <v>35-49</v>
      </c>
      <c r="R5516" s="0" t="str">
        <f aca="false">IF($D5516&lt;&gt;"","["&amp;$E5516&amp;"]"&amp;"|"&amp;$Q5516&amp;"|"&amp;$K5516&amp;"|"&amp;$G5516&amp;"|"&amp;IF($G5516="TX_CURR_SUBNAT.R","CY2022Q4",$M5516),"")</f>
        <v>[mxqa3CDFmIT]|35-49|Male|PLHIV_Attend.T|CY2024Q3</v>
      </c>
    </row>
    <row r="5517" customFormat="false" ht="15" hidden="false" customHeight="false" outlineLevel="0" collapsed="false">
      <c r="D5517" s="0" t="s">
        <v>99</v>
      </c>
      <c r="E5517" s="0" t="s">
        <v>100</v>
      </c>
      <c r="F5517" s="0" t="s">
        <v>101</v>
      </c>
      <c r="G5517" s="0" t="s">
        <v>168</v>
      </c>
      <c r="H5517" s="0" t="s">
        <v>168</v>
      </c>
      <c r="I5517" s="0" t="s">
        <v>45</v>
      </c>
      <c r="J5517" s="0" t="s">
        <v>46</v>
      </c>
      <c r="K5517" s="0" t="s">
        <v>48</v>
      </c>
      <c r="L5517" s="0" t="s">
        <v>49</v>
      </c>
      <c r="M5517" s="0" t="s">
        <v>167</v>
      </c>
      <c r="N5517" s="0" t="n">
        <v>1649</v>
      </c>
      <c r="O5517" s="10" t="n">
        <v>0.964430580381304</v>
      </c>
      <c r="P5517" s="10" t="n">
        <v>0.577288038097322</v>
      </c>
      <c r="Q5517" s="0" t="str">
        <f aca="false">SUBSTITUTE(SUBSTITUTE($I5517,CHAR(61),""),CHAR(34),"")</f>
        <v>50+</v>
      </c>
      <c r="R5517" s="0" t="str">
        <f aca="false">IF($D5517&lt;&gt;"","["&amp;$E5517&amp;"]"&amp;"|"&amp;$Q5517&amp;"|"&amp;$K5517&amp;"|"&amp;$G5517&amp;"|"&amp;IF($G5517="TX_CURR_SUBNAT.R","CY2022Q4",$M5517),"")</f>
        <v>[mxqa3CDFmIT]|50+|Male|PLHIV_Attend.T|CY2024Q3</v>
      </c>
    </row>
    <row r="5518" customFormat="false" ht="15" hidden="false" customHeight="false" outlineLevel="0" collapsed="false">
      <c r="D5518" s="0" t="s">
        <v>102</v>
      </c>
      <c r="E5518" s="0" t="s">
        <v>103</v>
      </c>
      <c r="F5518" s="0" t="s">
        <v>104</v>
      </c>
      <c r="G5518" s="0" t="s">
        <v>168</v>
      </c>
      <c r="H5518" s="0" t="s">
        <v>168</v>
      </c>
      <c r="I5518" s="0" t="s">
        <v>28</v>
      </c>
      <c r="J5518" s="0" t="s">
        <v>29</v>
      </c>
      <c r="K5518" s="0" t="s">
        <v>30</v>
      </c>
      <c r="L5518" s="0" t="s">
        <v>31</v>
      </c>
      <c r="M5518" s="0" t="s">
        <v>167</v>
      </c>
      <c r="N5518" s="0" t="n">
        <v>1708</v>
      </c>
      <c r="O5518" s="10" t="n">
        <v>0.946272698696703</v>
      </c>
      <c r="P5518" s="10" t="n">
        <v>0.526212359312922</v>
      </c>
      <c r="Q5518" s="0" t="str">
        <f aca="false">SUBSTITUTE(SUBSTITUTE($I5518,CHAR(61),""),CHAR(34),"")</f>
        <v>&lt;01</v>
      </c>
      <c r="R5518" s="0" t="str">
        <f aca="false">IF($D5518&lt;&gt;"","["&amp;$E5518&amp;"]"&amp;"|"&amp;$Q5518&amp;"|"&amp;$K5518&amp;"|"&amp;$G5518&amp;"|"&amp;IF($G5518="TX_CURR_SUBNAT.R","CY2022Q4",$M5518),"")</f>
        <v>[wNqJp8oRIcF]|&lt;01|Female|PLHIV_Attend.T|CY2024Q3</v>
      </c>
    </row>
    <row r="5519" customFormat="false" ht="15" hidden="false" customHeight="false" outlineLevel="0" collapsed="false">
      <c r="D5519" s="0" t="s">
        <v>102</v>
      </c>
      <c r="E5519" s="0" t="s">
        <v>103</v>
      </c>
      <c r="F5519" s="0" t="s">
        <v>104</v>
      </c>
      <c r="G5519" s="0" t="s">
        <v>168</v>
      </c>
      <c r="H5519" s="0" t="s">
        <v>168</v>
      </c>
      <c r="I5519" s="0" t="s">
        <v>33</v>
      </c>
      <c r="J5519" s="0" t="s">
        <v>34</v>
      </c>
      <c r="K5519" s="0" t="s">
        <v>30</v>
      </c>
      <c r="L5519" s="0" t="s">
        <v>31</v>
      </c>
      <c r="M5519" s="0" t="s">
        <v>167</v>
      </c>
      <c r="N5519" s="0" t="n">
        <v>1216</v>
      </c>
      <c r="O5519" s="10" t="n">
        <v>0.579740478424355</v>
      </c>
      <c r="P5519" s="10" t="n">
        <v>0.526212359312922</v>
      </c>
      <c r="Q5519" s="0" t="str">
        <f aca="false">SUBSTITUTE(SUBSTITUTE($I5519,CHAR(61),""),CHAR(34),"")</f>
        <v>01-09</v>
      </c>
      <c r="R5519" s="0" t="str">
        <f aca="false">IF($D5519&lt;&gt;"","["&amp;$E5519&amp;"]"&amp;"|"&amp;$Q5519&amp;"|"&amp;$K5519&amp;"|"&amp;$G5519&amp;"|"&amp;IF($G5519="TX_CURR_SUBNAT.R","CY2022Q4",$M5519),"")</f>
        <v>[wNqJp8oRIcF]|01-09|Female|PLHIV_Attend.T|CY2024Q3</v>
      </c>
    </row>
    <row r="5520" customFormat="false" ht="15" hidden="false" customHeight="false" outlineLevel="0" collapsed="false">
      <c r="D5520" s="0" t="s">
        <v>102</v>
      </c>
      <c r="E5520" s="0" t="s">
        <v>103</v>
      </c>
      <c r="F5520" s="0" t="s">
        <v>104</v>
      </c>
      <c r="G5520" s="0" t="s">
        <v>168</v>
      </c>
      <c r="H5520" s="0" t="s">
        <v>168</v>
      </c>
      <c r="I5520" s="0" t="s">
        <v>36</v>
      </c>
      <c r="J5520" s="0" t="s">
        <v>37</v>
      </c>
      <c r="K5520" s="0" t="s">
        <v>30</v>
      </c>
      <c r="L5520" s="0" t="s">
        <v>31</v>
      </c>
      <c r="M5520" s="0" t="s">
        <v>167</v>
      </c>
      <c r="N5520" s="0" t="n">
        <v>1823</v>
      </c>
      <c r="O5520" s="10" t="n">
        <v>0.0251695732586086</v>
      </c>
      <c r="P5520" s="10" t="n">
        <v>0.526212359312922</v>
      </c>
      <c r="Q5520" s="0" t="str">
        <f aca="false">SUBSTITUTE(SUBSTITUTE($I5520,CHAR(61),""),CHAR(34),"")</f>
        <v>10-14</v>
      </c>
      <c r="R5520" s="0" t="str">
        <f aca="false">IF($D5520&lt;&gt;"","["&amp;$E5520&amp;"]"&amp;"|"&amp;$Q5520&amp;"|"&amp;$K5520&amp;"|"&amp;$G5520&amp;"|"&amp;IF($G5520="TX_CURR_SUBNAT.R","CY2022Q4",$M5520),"")</f>
        <v>[wNqJp8oRIcF]|10-14|Female|PLHIV_Attend.T|CY2024Q3</v>
      </c>
    </row>
    <row r="5521" customFormat="false" ht="15" hidden="false" customHeight="false" outlineLevel="0" collapsed="false">
      <c r="D5521" s="0" t="s">
        <v>102</v>
      </c>
      <c r="E5521" s="0" t="s">
        <v>103</v>
      </c>
      <c r="F5521" s="0" t="s">
        <v>104</v>
      </c>
      <c r="G5521" s="0" t="s">
        <v>168</v>
      </c>
      <c r="H5521" s="0" t="s">
        <v>168</v>
      </c>
      <c r="I5521" s="0" t="s">
        <v>38</v>
      </c>
      <c r="J5521" s="0" t="s">
        <v>39</v>
      </c>
      <c r="K5521" s="0" t="s">
        <v>30</v>
      </c>
      <c r="L5521" s="0" t="s">
        <v>31</v>
      </c>
      <c r="M5521" s="0" t="s">
        <v>167</v>
      </c>
      <c r="N5521" s="0" t="n">
        <v>1105</v>
      </c>
      <c r="O5521" s="10" t="n">
        <v>0.0211950114462525</v>
      </c>
      <c r="P5521" s="10" t="n">
        <v>0.526212359312922</v>
      </c>
      <c r="Q5521" s="0" t="str">
        <f aca="false">SUBSTITUTE(SUBSTITUTE($I5521,CHAR(61),""),CHAR(34),"")</f>
        <v>15-24</v>
      </c>
      <c r="R5521" s="0" t="str">
        <f aca="false">IF($D5521&lt;&gt;"","["&amp;$E5521&amp;"]"&amp;"|"&amp;$Q5521&amp;"|"&amp;$K5521&amp;"|"&amp;$G5521&amp;"|"&amp;IF($G5521="TX_CURR_SUBNAT.R","CY2022Q4",$M5521),"")</f>
        <v>[wNqJp8oRIcF]|15-24|Female|PLHIV_Attend.T|CY2024Q3</v>
      </c>
    </row>
    <row r="5522" customFormat="false" ht="15" hidden="false" customHeight="false" outlineLevel="0" collapsed="false">
      <c r="D5522" s="0" t="s">
        <v>102</v>
      </c>
      <c r="E5522" s="0" t="s">
        <v>103</v>
      </c>
      <c r="F5522" s="0" t="s">
        <v>104</v>
      </c>
      <c r="G5522" s="0" t="s">
        <v>168</v>
      </c>
      <c r="H5522" s="0" t="s">
        <v>168</v>
      </c>
      <c r="I5522" s="0" t="s">
        <v>41</v>
      </c>
      <c r="J5522" s="0" t="s">
        <v>42</v>
      </c>
      <c r="K5522" s="0" t="s">
        <v>30</v>
      </c>
      <c r="L5522" s="0" t="s">
        <v>31</v>
      </c>
      <c r="M5522" s="0" t="s">
        <v>167</v>
      </c>
      <c r="N5522" s="0" t="n">
        <v>1532</v>
      </c>
      <c r="O5522" s="10" t="n">
        <v>0.996567090973258</v>
      </c>
      <c r="P5522" s="10" t="n">
        <v>0.526212359312922</v>
      </c>
      <c r="Q5522" s="0" t="str">
        <f aca="false">SUBSTITUTE(SUBSTITUTE($I5522,CHAR(61),""),CHAR(34),"")</f>
        <v>25-34</v>
      </c>
      <c r="R5522" s="0" t="str">
        <f aca="false">IF($D5522&lt;&gt;"","["&amp;$E5522&amp;"]"&amp;"|"&amp;$Q5522&amp;"|"&amp;$K5522&amp;"|"&amp;$G5522&amp;"|"&amp;IF($G5522="TX_CURR_SUBNAT.R","CY2022Q4",$M5522),"")</f>
        <v>[wNqJp8oRIcF]|25-34|Female|PLHIV_Attend.T|CY2024Q3</v>
      </c>
    </row>
    <row r="5523" customFormat="false" ht="15" hidden="false" customHeight="false" outlineLevel="0" collapsed="false">
      <c r="D5523" s="0" t="s">
        <v>102</v>
      </c>
      <c r="E5523" s="0" t="s">
        <v>103</v>
      </c>
      <c r="F5523" s="0" t="s">
        <v>104</v>
      </c>
      <c r="G5523" s="0" t="s">
        <v>168</v>
      </c>
      <c r="H5523" s="0" t="s">
        <v>168</v>
      </c>
      <c r="I5523" s="0" t="s">
        <v>43</v>
      </c>
      <c r="J5523" s="0" t="s">
        <v>44</v>
      </c>
      <c r="K5523" s="0" t="s">
        <v>30</v>
      </c>
      <c r="L5523" s="0" t="s">
        <v>31</v>
      </c>
      <c r="M5523" s="0" t="s">
        <v>167</v>
      </c>
      <c r="N5523" s="0" t="n">
        <v>1426</v>
      </c>
      <c r="O5523" s="10" t="n">
        <v>0.790863138856366</v>
      </c>
      <c r="P5523" s="10" t="n">
        <v>0.526212359312922</v>
      </c>
      <c r="Q5523" s="0" t="str">
        <f aca="false">SUBSTITUTE(SUBSTITUTE($I5523,CHAR(61),""),CHAR(34),"")</f>
        <v>35-49</v>
      </c>
      <c r="R5523" s="0" t="str">
        <f aca="false">IF($D5523&lt;&gt;"","["&amp;$E5523&amp;"]"&amp;"|"&amp;$Q5523&amp;"|"&amp;$K5523&amp;"|"&amp;$G5523&amp;"|"&amp;IF($G5523="TX_CURR_SUBNAT.R","CY2022Q4",$M5523),"")</f>
        <v>[wNqJp8oRIcF]|35-49|Female|PLHIV_Attend.T|CY2024Q3</v>
      </c>
    </row>
    <row r="5524" customFormat="false" ht="15" hidden="false" customHeight="false" outlineLevel="0" collapsed="false">
      <c r="D5524" s="0" t="s">
        <v>102</v>
      </c>
      <c r="E5524" s="0" t="s">
        <v>103</v>
      </c>
      <c r="F5524" s="0" t="s">
        <v>104</v>
      </c>
      <c r="G5524" s="0" t="s">
        <v>168</v>
      </c>
      <c r="H5524" s="0" t="s">
        <v>168</v>
      </c>
      <c r="I5524" s="0" t="s">
        <v>45</v>
      </c>
      <c r="J5524" s="0" t="s">
        <v>46</v>
      </c>
      <c r="K5524" s="0" t="s">
        <v>30</v>
      </c>
      <c r="L5524" s="0" t="s">
        <v>31</v>
      </c>
      <c r="M5524" s="0" t="s">
        <v>167</v>
      </c>
      <c r="N5524" s="0" t="n">
        <v>759</v>
      </c>
      <c r="O5524" s="10" t="n">
        <v>0.942767141852528</v>
      </c>
      <c r="P5524" s="10" t="n">
        <v>0.526212359312922</v>
      </c>
      <c r="Q5524" s="0" t="str">
        <f aca="false">SUBSTITUTE(SUBSTITUTE($I5524,CHAR(61),""),CHAR(34),"")</f>
        <v>50+</v>
      </c>
      <c r="R5524" s="0" t="str">
        <f aca="false">IF($D5524&lt;&gt;"","["&amp;$E5524&amp;"]"&amp;"|"&amp;$Q5524&amp;"|"&amp;$K5524&amp;"|"&amp;$G5524&amp;"|"&amp;IF($G5524="TX_CURR_SUBNAT.R","CY2022Q4",$M5524),"")</f>
        <v>[wNqJp8oRIcF]|50+|Female|PLHIV_Attend.T|CY2024Q3</v>
      </c>
    </row>
    <row r="5525" customFormat="false" ht="15" hidden="false" customHeight="false" outlineLevel="0" collapsed="false">
      <c r="D5525" s="0" t="s">
        <v>102</v>
      </c>
      <c r="E5525" s="0" t="s">
        <v>103</v>
      </c>
      <c r="F5525" s="0" t="s">
        <v>104</v>
      </c>
      <c r="G5525" s="0" t="s">
        <v>168</v>
      </c>
      <c r="H5525" s="0" t="s">
        <v>168</v>
      </c>
      <c r="I5525" s="0" t="s">
        <v>28</v>
      </c>
      <c r="J5525" s="0" t="s">
        <v>29</v>
      </c>
      <c r="K5525" s="0" t="s">
        <v>48</v>
      </c>
      <c r="L5525" s="0" t="s">
        <v>49</v>
      </c>
      <c r="M5525" s="0" t="s">
        <v>167</v>
      </c>
      <c r="N5525" s="0" t="n">
        <v>1301</v>
      </c>
      <c r="O5525" s="10" t="n">
        <v>0.688587949611247</v>
      </c>
      <c r="P5525" s="10" t="n">
        <v>0.526212359312922</v>
      </c>
      <c r="Q5525" s="0" t="str">
        <f aca="false">SUBSTITUTE(SUBSTITUTE($I5525,CHAR(61),""),CHAR(34),"")</f>
        <v>&lt;01</v>
      </c>
      <c r="R5525" s="0" t="str">
        <f aca="false">IF($D5525&lt;&gt;"","["&amp;$E5525&amp;"]"&amp;"|"&amp;$Q5525&amp;"|"&amp;$K5525&amp;"|"&amp;$G5525&amp;"|"&amp;IF($G5525="TX_CURR_SUBNAT.R","CY2022Q4",$M5525),"")</f>
        <v>[wNqJp8oRIcF]|&lt;01|Male|PLHIV_Attend.T|CY2024Q3</v>
      </c>
    </row>
    <row r="5526" customFormat="false" ht="15" hidden="false" customHeight="false" outlineLevel="0" collapsed="false">
      <c r="D5526" s="0" t="s">
        <v>102</v>
      </c>
      <c r="E5526" s="0" t="s">
        <v>103</v>
      </c>
      <c r="F5526" s="0" t="s">
        <v>104</v>
      </c>
      <c r="G5526" s="0" t="s">
        <v>168</v>
      </c>
      <c r="H5526" s="0" t="s">
        <v>168</v>
      </c>
      <c r="I5526" s="0" t="s">
        <v>33</v>
      </c>
      <c r="J5526" s="0" t="s">
        <v>34</v>
      </c>
      <c r="K5526" s="0" t="s">
        <v>48</v>
      </c>
      <c r="L5526" s="0" t="s">
        <v>49</v>
      </c>
      <c r="M5526" s="0" t="s">
        <v>167</v>
      </c>
      <c r="N5526" s="0" t="n">
        <v>675</v>
      </c>
      <c r="O5526" s="10" t="n">
        <v>0.100221855565906</v>
      </c>
      <c r="P5526" s="10" t="n">
        <v>0.526212359312922</v>
      </c>
      <c r="Q5526" s="0" t="str">
        <f aca="false">SUBSTITUTE(SUBSTITUTE($I5526,CHAR(61),""),CHAR(34),"")</f>
        <v>01-09</v>
      </c>
      <c r="R5526" s="0" t="str">
        <f aca="false">IF($D5526&lt;&gt;"","["&amp;$E5526&amp;"]"&amp;"|"&amp;$Q5526&amp;"|"&amp;$K5526&amp;"|"&amp;$G5526&amp;"|"&amp;IF($G5526="TX_CURR_SUBNAT.R","CY2022Q4",$M5526),"")</f>
        <v>[wNqJp8oRIcF]|01-09|Male|PLHIV_Attend.T|CY2024Q3</v>
      </c>
    </row>
    <row r="5527" customFormat="false" ht="15" hidden="false" customHeight="false" outlineLevel="0" collapsed="false">
      <c r="D5527" s="0" t="s">
        <v>102</v>
      </c>
      <c r="E5527" s="0" t="s">
        <v>103</v>
      </c>
      <c r="F5527" s="0" t="s">
        <v>104</v>
      </c>
      <c r="G5527" s="0" t="s">
        <v>168</v>
      </c>
      <c r="H5527" s="0" t="s">
        <v>168</v>
      </c>
      <c r="I5527" s="0" t="s">
        <v>36</v>
      </c>
      <c r="J5527" s="0" t="s">
        <v>37</v>
      </c>
      <c r="K5527" s="0" t="s">
        <v>48</v>
      </c>
      <c r="L5527" s="0" t="s">
        <v>49</v>
      </c>
      <c r="M5527" s="0" t="s">
        <v>167</v>
      </c>
      <c r="N5527" s="0" t="n">
        <v>1524</v>
      </c>
      <c r="O5527" s="10" t="n">
        <v>0.302699904888868</v>
      </c>
      <c r="P5527" s="10" t="n">
        <v>0.526212359312922</v>
      </c>
      <c r="Q5527" s="0" t="str">
        <f aca="false">SUBSTITUTE(SUBSTITUTE($I5527,CHAR(61),""),CHAR(34),"")</f>
        <v>10-14</v>
      </c>
      <c r="R5527" s="0" t="str">
        <f aca="false">IF($D5527&lt;&gt;"","["&amp;$E5527&amp;"]"&amp;"|"&amp;$Q5527&amp;"|"&amp;$K5527&amp;"|"&amp;$G5527&amp;"|"&amp;IF($G5527="TX_CURR_SUBNAT.R","CY2022Q4",$M5527),"")</f>
        <v>[wNqJp8oRIcF]|10-14|Male|PLHIV_Attend.T|CY2024Q3</v>
      </c>
    </row>
    <row r="5528" customFormat="false" ht="15" hidden="false" customHeight="false" outlineLevel="0" collapsed="false">
      <c r="D5528" s="0" t="s">
        <v>102</v>
      </c>
      <c r="E5528" s="0" t="s">
        <v>103</v>
      </c>
      <c r="F5528" s="0" t="s">
        <v>104</v>
      </c>
      <c r="G5528" s="0" t="s">
        <v>168</v>
      </c>
      <c r="H5528" s="0" t="s">
        <v>168</v>
      </c>
      <c r="I5528" s="0" t="s">
        <v>38</v>
      </c>
      <c r="J5528" s="0" t="s">
        <v>39</v>
      </c>
      <c r="K5528" s="0" t="s">
        <v>48</v>
      </c>
      <c r="L5528" s="0" t="s">
        <v>49</v>
      </c>
      <c r="M5528" s="0" t="s">
        <v>167</v>
      </c>
      <c r="N5528" s="0" t="n">
        <v>1130</v>
      </c>
      <c r="O5528" s="10" t="n">
        <v>0.565364739159122</v>
      </c>
      <c r="P5528" s="10" t="n">
        <v>0.526212359312922</v>
      </c>
      <c r="Q5528" s="0" t="str">
        <f aca="false">SUBSTITUTE(SUBSTITUTE($I5528,CHAR(61),""),CHAR(34),"")</f>
        <v>15-24</v>
      </c>
      <c r="R5528" s="0" t="str">
        <f aca="false">IF($D5528&lt;&gt;"","["&amp;$E5528&amp;"]"&amp;"|"&amp;$Q5528&amp;"|"&amp;$K5528&amp;"|"&amp;$G5528&amp;"|"&amp;IF($G5528="TX_CURR_SUBNAT.R","CY2022Q4",$M5528),"")</f>
        <v>[wNqJp8oRIcF]|15-24|Male|PLHIV_Attend.T|CY2024Q3</v>
      </c>
    </row>
    <row r="5529" customFormat="false" ht="15" hidden="false" customHeight="false" outlineLevel="0" collapsed="false">
      <c r="D5529" s="0" t="s">
        <v>102</v>
      </c>
      <c r="E5529" s="0" t="s">
        <v>103</v>
      </c>
      <c r="F5529" s="0" t="s">
        <v>104</v>
      </c>
      <c r="G5529" s="0" t="s">
        <v>168</v>
      </c>
      <c r="H5529" s="0" t="s">
        <v>168</v>
      </c>
      <c r="I5529" s="0" t="s">
        <v>41</v>
      </c>
      <c r="J5529" s="0" t="s">
        <v>42</v>
      </c>
      <c r="K5529" s="0" t="s">
        <v>48</v>
      </c>
      <c r="L5529" s="0" t="s">
        <v>49</v>
      </c>
      <c r="M5529" s="0" t="s">
        <v>167</v>
      </c>
      <c r="N5529" s="0" t="n">
        <v>780</v>
      </c>
      <c r="O5529" s="10" t="n">
        <v>0.552550762426108</v>
      </c>
      <c r="P5529" s="10" t="n">
        <v>0.526212359312922</v>
      </c>
      <c r="Q5529" s="0" t="str">
        <f aca="false">SUBSTITUTE(SUBSTITUTE($I5529,CHAR(61),""),CHAR(34),"")</f>
        <v>25-34</v>
      </c>
      <c r="R5529" s="0" t="str">
        <f aca="false">IF($D5529&lt;&gt;"","["&amp;$E5529&amp;"]"&amp;"|"&amp;$Q5529&amp;"|"&amp;$K5529&amp;"|"&amp;$G5529&amp;"|"&amp;IF($G5529="TX_CURR_SUBNAT.R","CY2022Q4",$M5529),"")</f>
        <v>[wNqJp8oRIcF]|25-34|Male|PLHIV_Attend.T|CY2024Q3</v>
      </c>
    </row>
    <row r="5530" customFormat="false" ht="15" hidden="false" customHeight="false" outlineLevel="0" collapsed="false">
      <c r="D5530" s="0" t="s">
        <v>102</v>
      </c>
      <c r="E5530" s="0" t="s">
        <v>103</v>
      </c>
      <c r="F5530" s="0" t="s">
        <v>104</v>
      </c>
      <c r="G5530" s="0" t="s">
        <v>168</v>
      </c>
      <c r="H5530" s="0" t="s">
        <v>168</v>
      </c>
      <c r="I5530" s="0" t="s">
        <v>43</v>
      </c>
      <c r="J5530" s="0" t="s">
        <v>44</v>
      </c>
      <c r="K5530" s="0" t="s">
        <v>48</v>
      </c>
      <c r="L5530" s="0" t="s">
        <v>49</v>
      </c>
      <c r="M5530" s="0" t="s">
        <v>167</v>
      </c>
      <c r="N5530" s="0" t="n">
        <v>752</v>
      </c>
      <c r="O5530" s="10" t="n">
        <v>0.513972631888464</v>
      </c>
      <c r="P5530" s="10" t="n">
        <v>0.526212359312922</v>
      </c>
      <c r="Q5530" s="0" t="str">
        <f aca="false">SUBSTITUTE(SUBSTITUTE($I5530,CHAR(61),""),CHAR(34),"")</f>
        <v>35-49</v>
      </c>
      <c r="R5530" s="0" t="str">
        <f aca="false">IF($D5530&lt;&gt;"","["&amp;$E5530&amp;"]"&amp;"|"&amp;$Q5530&amp;"|"&amp;$K5530&amp;"|"&amp;$G5530&amp;"|"&amp;IF($G5530="TX_CURR_SUBNAT.R","CY2022Q4",$M5530),"")</f>
        <v>[wNqJp8oRIcF]|35-49|Male|PLHIV_Attend.T|CY2024Q3</v>
      </c>
    </row>
    <row r="5531" customFormat="false" ht="15" hidden="false" customHeight="false" outlineLevel="0" collapsed="false">
      <c r="D5531" s="0" t="s">
        <v>102</v>
      </c>
      <c r="E5531" s="0" t="s">
        <v>103</v>
      </c>
      <c r="F5531" s="0" t="s">
        <v>104</v>
      </c>
      <c r="G5531" s="0" t="s">
        <v>168</v>
      </c>
      <c r="H5531" s="0" t="s">
        <v>168</v>
      </c>
      <c r="I5531" s="0" t="s">
        <v>45</v>
      </c>
      <c r="J5531" s="0" t="s">
        <v>46</v>
      </c>
      <c r="K5531" s="0" t="s">
        <v>48</v>
      </c>
      <c r="L5531" s="0" t="s">
        <v>49</v>
      </c>
      <c r="M5531" s="0" t="s">
        <v>167</v>
      </c>
      <c r="N5531" s="0" t="n">
        <v>1832</v>
      </c>
      <c r="O5531" s="10" t="n">
        <v>0.0980757640209049</v>
      </c>
      <c r="P5531" s="10" t="n">
        <v>0.526212359312922</v>
      </c>
      <c r="Q5531" s="0" t="str">
        <f aca="false">SUBSTITUTE(SUBSTITUTE($I5531,CHAR(61),""),CHAR(34),"")</f>
        <v>50+</v>
      </c>
      <c r="R5531" s="0" t="str">
        <f aca="false">IF($D5531&lt;&gt;"","["&amp;$E5531&amp;"]"&amp;"|"&amp;$Q5531&amp;"|"&amp;$K5531&amp;"|"&amp;$G5531&amp;"|"&amp;IF($G5531="TX_CURR_SUBNAT.R","CY2022Q4",$M5531),"")</f>
        <v>[wNqJp8oRIcF]|50+|Male|PLHIV_Attend.T|CY2024Q3</v>
      </c>
    </row>
    <row r="5532" customFormat="false" ht="15" hidden="false" customHeight="false" outlineLevel="0" collapsed="false">
      <c r="D5532" s="0" t="s">
        <v>105</v>
      </c>
      <c r="E5532" s="0" t="s">
        <v>106</v>
      </c>
      <c r="F5532" s="0" t="s">
        <v>107</v>
      </c>
      <c r="G5532" s="0" t="s">
        <v>168</v>
      </c>
      <c r="H5532" s="0" t="s">
        <v>168</v>
      </c>
      <c r="I5532" s="0" t="s">
        <v>28</v>
      </c>
      <c r="J5532" s="0" t="s">
        <v>29</v>
      </c>
      <c r="K5532" s="0" t="s">
        <v>30</v>
      </c>
      <c r="L5532" s="0" t="s">
        <v>31</v>
      </c>
      <c r="M5532" s="0" t="s">
        <v>167</v>
      </c>
      <c r="N5532" s="0" t="n">
        <v>1142</v>
      </c>
      <c r="O5532" s="10" t="n">
        <v>0.774666854180396</v>
      </c>
      <c r="P5532" s="10" t="n">
        <v>0.218249560333788</v>
      </c>
      <c r="Q5532" s="0" t="str">
        <f aca="false">SUBSTITUTE(SUBSTITUTE($I5532,CHAR(61),""),CHAR(34),"")</f>
        <v>&lt;01</v>
      </c>
      <c r="R5532" s="0" t="str">
        <f aca="false">IF($D5532&lt;&gt;"","["&amp;$E5532&amp;"]"&amp;"|"&amp;$Q5532&amp;"|"&amp;$K5532&amp;"|"&amp;$G5532&amp;"|"&amp;IF($G5532="TX_CURR_SUBNAT.R","CY2022Q4",$M5532),"")</f>
        <v>[oiPR2CiVJbf]|&lt;01|Female|PLHIV_Attend.T|CY2024Q3</v>
      </c>
    </row>
    <row r="5533" customFormat="false" ht="15" hidden="false" customHeight="false" outlineLevel="0" collapsed="false">
      <c r="D5533" s="0" t="s">
        <v>105</v>
      </c>
      <c r="E5533" s="0" t="s">
        <v>106</v>
      </c>
      <c r="F5533" s="0" t="s">
        <v>107</v>
      </c>
      <c r="G5533" s="0" t="s">
        <v>168</v>
      </c>
      <c r="H5533" s="0" t="s">
        <v>168</v>
      </c>
      <c r="I5533" s="0" t="s">
        <v>33</v>
      </c>
      <c r="J5533" s="0" t="s">
        <v>34</v>
      </c>
      <c r="K5533" s="0" t="s">
        <v>30</v>
      </c>
      <c r="L5533" s="0" t="s">
        <v>31</v>
      </c>
      <c r="M5533" s="0" t="s">
        <v>167</v>
      </c>
      <c r="N5533" s="0" t="n">
        <v>1545</v>
      </c>
      <c r="O5533" s="10" t="n">
        <v>0.84343454032205</v>
      </c>
      <c r="P5533" s="10" t="n">
        <v>0.218249560333788</v>
      </c>
      <c r="Q5533" s="0" t="str">
        <f aca="false">SUBSTITUTE(SUBSTITUTE($I5533,CHAR(61),""),CHAR(34),"")</f>
        <v>01-09</v>
      </c>
      <c r="R5533" s="0" t="str">
        <f aca="false">IF($D5533&lt;&gt;"","["&amp;$E5533&amp;"]"&amp;"|"&amp;$Q5533&amp;"|"&amp;$K5533&amp;"|"&amp;$G5533&amp;"|"&amp;IF($G5533="TX_CURR_SUBNAT.R","CY2022Q4",$M5533),"")</f>
        <v>[oiPR2CiVJbf]|01-09|Female|PLHIV_Attend.T|CY2024Q3</v>
      </c>
    </row>
    <row r="5534" customFormat="false" ht="15" hidden="false" customHeight="false" outlineLevel="0" collapsed="false">
      <c r="D5534" s="0" t="s">
        <v>105</v>
      </c>
      <c r="E5534" s="0" t="s">
        <v>106</v>
      </c>
      <c r="F5534" s="0" t="s">
        <v>107</v>
      </c>
      <c r="G5534" s="0" t="s">
        <v>168</v>
      </c>
      <c r="H5534" s="0" t="s">
        <v>168</v>
      </c>
      <c r="I5534" s="0" t="s">
        <v>36</v>
      </c>
      <c r="J5534" s="0" t="s">
        <v>37</v>
      </c>
      <c r="K5534" s="0" t="s">
        <v>30</v>
      </c>
      <c r="L5534" s="0" t="s">
        <v>31</v>
      </c>
      <c r="M5534" s="0" t="s">
        <v>167</v>
      </c>
      <c r="N5534" s="0" t="n">
        <v>1627</v>
      </c>
      <c r="O5534" s="10" t="n">
        <v>0.156197546049953</v>
      </c>
      <c r="P5534" s="10" t="n">
        <v>0.218249560333788</v>
      </c>
      <c r="Q5534" s="0" t="str">
        <f aca="false">SUBSTITUTE(SUBSTITUTE($I5534,CHAR(61),""),CHAR(34),"")</f>
        <v>10-14</v>
      </c>
      <c r="R5534" s="0" t="str">
        <f aca="false">IF($D5534&lt;&gt;"","["&amp;$E5534&amp;"]"&amp;"|"&amp;$Q5534&amp;"|"&amp;$K5534&amp;"|"&amp;$G5534&amp;"|"&amp;IF($G5534="TX_CURR_SUBNAT.R","CY2022Q4",$M5534),"")</f>
        <v>[oiPR2CiVJbf]|10-14|Female|PLHIV_Attend.T|CY2024Q3</v>
      </c>
    </row>
    <row r="5535" customFormat="false" ht="15" hidden="false" customHeight="false" outlineLevel="0" collapsed="false">
      <c r="D5535" s="0" t="s">
        <v>105</v>
      </c>
      <c r="E5535" s="0" t="s">
        <v>106</v>
      </c>
      <c r="F5535" s="0" t="s">
        <v>107</v>
      </c>
      <c r="G5535" s="0" t="s">
        <v>168</v>
      </c>
      <c r="H5535" s="0" t="s">
        <v>168</v>
      </c>
      <c r="I5535" s="0" t="s">
        <v>38</v>
      </c>
      <c r="J5535" s="0" t="s">
        <v>39</v>
      </c>
      <c r="K5535" s="0" t="s">
        <v>30</v>
      </c>
      <c r="L5535" s="0" t="s">
        <v>31</v>
      </c>
      <c r="M5535" s="0" t="s">
        <v>167</v>
      </c>
      <c r="N5535" s="0" t="n">
        <v>1752</v>
      </c>
      <c r="O5535" s="10" t="n">
        <v>0.254046457121149</v>
      </c>
      <c r="P5535" s="10" t="n">
        <v>0.218249560333788</v>
      </c>
      <c r="Q5535" s="0" t="str">
        <f aca="false">SUBSTITUTE(SUBSTITUTE($I5535,CHAR(61),""),CHAR(34),"")</f>
        <v>15-24</v>
      </c>
      <c r="R5535" s="0" t="str">
        <f aca="false">IF($D5535&lt;&gt;"","["&amp;$E5535&amp;"]"&amp;"|"&amp;$Q5535&amp;"|"&amp;$K5535&amp;"|"&amp;$G5535&amp;"|"&amp;IF($G5535="TX_CURR_SUBNAT.R","CY2022Q4",$M5535),"")</f>
        <v>[oiPR2CiVJbf]|15-24|Female|PLHIV_Attend.T|CY2024Q3</v>
      </c>
    </row>
    <row r="5536" customFormat="false" ht="15" hidden="false" customHeight="false" outlineLevel="0" collapsed="false">
      <c r="D5536" s="0" t="s">
        <v>105</v>
      </c>
      <c r="E5536" s="0" t="s">
        <v>106</v>
      </c>
      <c r="F5536" s="0" t="s">
        <v>107</v>
      </c>
      <c r="G5536" s="0" t="s">
        <v>168</v>
      </c>
      <c r="H5536" s="0" t="s">
        <v>168</v>
      </c>
      <c r="I5536" s="0" t="s">
        <v>41</v>
      </c>
      <c r="J5536" s="0" t="s">
        <v>42</v>
      </c>
      <c r="K5536" s="0" t="s">
        <v>30</v>
      </c>
      <c r="L5536" s="0" t="s">
        <v>31</v>
      </c>
      <c r="M5536" s="0" t="s">
        <v>167</v>
      </c>
      <c r="N5536" s="0" t="n">
        <v>901</v>
      </c>
      <c r="O5536" s="10" t="n">
        <v>0.894122498808429</v>
      </c>
      <c r="P5536" s="10" t="n">
        <v>0.218249560333788</v>
      </c>
      <c r="Q5536" s="0" t="str">
        <f aca="false">SUBSTITUTE(SUBSTITUTE($I5536,CHAR(61),""),CHAR(34),"")</f>
        <v>25-34</v>
      </c>
      <c r="R5536" s="0" t="str">
        <f aca="false">IF($D5536&lt;&gt;"","["&amp;$E5536&amp;"]"&amp;"|"&amp;$Q5536&amp;"|"&amp;$K5536&amp;"|"&amp;$G5536&amp;"|"&amp;IF($G5536="TX_CURR_SUBNAT.R","CY2022Q4",$M5536),"")</f>
        <v>[oiPR2CiVJbf]|25-34|Female|PLHIV_Attend.T|CY2024Q3</v>
      </c>
    </row>
    <row r="5537" customFormat="false" ht="15" hidden="false" customHeight="false" outlineLevel="0" collapsed="false">
      <c r="D5537" s="0" t="s">
        <v>105</v>
      </c>
      <c r="E5537" s="0" t="s">
        <v>106</v>
      </c>
      <c r="F5537" s="0" t="s">
        <v>107</v>
      </c>
      <c r="G5537" s="0" t="s">
        <v>168</v>
      </c>
      <c r="H5537" s="0" t="s">
        <v>168</v>
      </c>
      <c r="I5537" s="0" t="s">
        <v>43</v>
      </c>
      <c r="J5537" s="0" t="s">
        <v>44</v>
      </c>
      <c r="K5537" s="0" t="s">
        <v>30</v>
      </c>
      <c r="L5537" s="0" t="s">
        <v>31</v>
      </c>
      <c r="M5537" s="0" t="s">
        <v>167</v>
      </c>
      <c r="N5537" s="0" t="n">
        <v>876</v>
      </c>
      <c r="O5537" s="10" t="n">
        <v>0.069344459567219</v>
      </c>
      <c r="P5537" s="10" t="n">
        <v>0.218249560333788</v>
      </c>
      <c r="Q5537" s="0" t="str">
        <f aca="false">SUBSTITUTE(SUBSTITUTE($I5537,CHAR(61),""),CHAR(34),"")</f>
        <v>35-49</v>
      </c>
      <c r="R5537" s="0" t="str">
        <f aca="false">IF($D5537&lt;&gt;"","["&amp;$E5537&amp;"]"&amp;"|"&amp;$Q5537&amp;"|"&amp;$K5537&amp;"|"&amp;$G5537&amp;"|"&amp;IF($G5537="TX_CURR_SUBNAT.R","CY2022Q4",$M5537),"")</f>
        <v>[oiPR2CiVJbf]|35-49|Female|PLHIV_Attend.T|CY2024Q3</v>
      </c>
    </row>
    <row r="5538" customFormat="false" ht="15" hidden="false" customHeight="false" outlineLevel="0" collapsed="false">
      <c r="D5538" s="0" t="s">
        <v>105</v>
      </c>
      <c r="E5538" s="0" t="s">
        <v>106</v>
      </c>
      <c r="F5538" s="0" t="s">
        <v>107</v>
      </c>
      <c r="G5538" s="0" t="s">
        <v>168</v>
      </c>
      <c r="H5538" s="0" t="s">
        <v>168</v>
      </c>
      <c r="I5538" s="0" t="s">
        <v>45</v>
      </c>
      <c r="J5538" s="0" t="s">
        <v>46</v>
      </c>
      <c r="K5538" s="0" t="s">
        <v>30</v>
      </c>
      <c r="L5538" s="0" t="s">
        <v>31</v>
      </c>
      <c r="M5538" s="0" t="s">
        <v>167</v>
      </c>
      <c r="N5538" s="0" t="n">
        <v>1290</v>
      </c>
      <c r="O5538" s="10" t="n">
        <v>0.919051144970581</v>
      </c>
      <c r="P5538" s="10" t="n">
        <v>0.218249560333788</v>
      </c>
      <c r="Q5538" s="0" t="str">
        <f aca="false">SUBSTITUTE(SUBSTITUTE($I5538,CHAR(61),""),CHAR(34),"")</f>
        <v>50+</v>
      </c>
      <c r="R5538" s="0" t="str">
        <f aca="false">IF($D5538&lt;&gt;"","["&amp;$E5538&amp;"]"&amp;"|"&amp;$Q5538&amp;"|"&amp;$K5538&amp;"|"&amp;$G5538&amp;"|"&amp;IF($G5538="TX_CURR_SUBNAT.R","CY2022Q4",$M5538),"")</f>
        <v>[oiPR2CiVJbf]|50+|Female|PLHIV_Attend.T|CY2024Q3</v>
      </c>
    </row>
    <row r="5539" customFormat="false" ht="15" hidden="false" customHeight="false" outlineLevel="0" collapsed="false">
      <c r="D5539" s="0" t="s">
        <v>105</v>
      </c>
      <c r="E5539" s="0" t="s">
        <v>106</v>
      </c>
      <c r="F5539" s="0" t="s">
        <v>107</v>
      </c>
      <c r="G5539" s="0" t="s">
        <v>168</v>
      </c>
      <c r="H5539" s="0" t="s">
        <v>168</v>
      </c>
      <c r="I5539" s="0" t="s">
        <v>28</v>
      </c>
      <c r="J5539" s="0" t="s">
        <v>29</v>
      </c>
      <c r="K5539" s="0" t="s">
        <v>48</v>
      </c>
      <c r="L5539" s="0" t="s">
        <v>49</v>
      </c>
      <c r="M5539" s="0" t="s">
        <v>167</v>
      </c>
      <c r="N5539" s="0" t="n">
        <v>1996</v>
      </c>
      <c r="O5539" s="10" t="n">
        <v>0.772440836299211</v>
      </c>
      <c r="P5539" s="10" t="n">
        <v>0.218249560333788</v>
      </c>
      <c r="Q5539" s="0" t="str">
        <f aca="false">SUBSTITUTE(SUBSTITUTE($I5539,CHAR(61),""),CHAR(34),"")</f>
        <v>&lt;01</v>
      </c>
      <c r="R5539" s="0" t="str">
        <f aca="false">IF($D5539&lt;&gt;"","["&amp;$E5539&amp;"]"&amp;"|"&amp;$Q5539&amp;"|"&amp;$K5539&amp;"|"&amp;$G5539&amp;"|"&amp;IF($G5539="TX_CURR_SUBNAT.R","CY2022Q4",$M5539),"")</f>
        <v>[oiPR2CiVJbf]|&lt;01|Male|PLHIV_Attend.T|CY2024Q3</v>
      </c>
    </row>
    <row r="5540" customFormat="false" ht="15" hidden="false" customHeight="false" outlineLevel="0" collapsed="false">
      <c r="D5540" s="0" t="s">
        <v>105</v>
      </c>
      <c r="E5540" s="0" t="s">
        <v>106</v>
      </c>
      <c r="F5540" s="0" t="s">
        <v>107</v>
      </c>
      <c r="G5540" s="0" t="s">
        <v>168</v>
      </c>
      <c r="H5540" s="0" t="s">
        <v>168</v>
      </c>
      <c r="I5540" s="0" t="s">
        <v>33</v>
      </c>
      <c r="J5540" s="0" t="s">
        <v>34</v>
      </c>
      <c r="K5540" s="0" t="s">
        <v>48</v>
      </c>
      <c r="L5540" s="0" t="s">
        <v>49</v>
      </c>
      <c r="M5540" s="0" t="s">
        <v>167</v>
      </c>
      <c r="N5540" s="0" t="n">
        <v>559</v>
      </c>
      <c r="O5540" s="10" t="n">
        <v>0.264212398091331</v>
      </c>
      <c r="P5540" s="10" t="n">
        <v>0.218249560333788</v>
      </c>
      <c r="Q5540" s="0" t="str">
        <f aca="false">SUBSTITUTE(SUBSTITUTE($I5540,CHAR(61),""),CHAR(34),"")</f>
        <v>01-09</v>
      </c>
      <c r="R5540" s="0" t="str">
        <f aca="false">IF($D5540&lt;&gt;"","["&amp;$E5540&amp;"]"&amp;"|"&amp;$Q5540&amp;"|"&amp;$K5540&amp;"|"&amp;$G5540&amp;"|"&amp;IF($G5540="TX_CURR_SUBNAT.R","CY2022Q4",$M5540),"")</f>
        <v>[oiPR2CiVJbf]|01-09|Male|PLHIV_Attend.T|CY2024Q3</v>
      </c>
    </row>
    <row r="5541" customFormat="false" ht="15" hidden="false" customHeight="false" outlineLevel="0" collapsed="false">
      <c r="D5541" s="0" t="s">
        <v>105</v>
      </c>
      <c r="E5541" s="0" t="s">
        <v>106</v>
      </c>
      <c r="F5541" s="0" t="s">
        <v>107</v>
      </c>
      <c r="G5541" s="0" t="s">
        <v>168</v>
      </c>
      <c r="H5541" s="0" t="s">
        <v>168</v>
      </c>
      <c r="I5541" s="0" t="s">
        <v>36</v>
      </c>
      <c r="J5541" s="0" t="s">
        <v>37</v>
      </c>
      <c r="K5541" s="0" t="s">
        <v>48</v>
      </c>
      <c r="L5541" s="0" t="s">
        <v>49</v>
      </c>
      <c r="M5541" s="0" t="s">
        <v>167</v>
      </c>
      <c r="N5541" s="0" t="n">
        <v>1095</v>
      </c>
      <c r="O5541" s="10" t="n">
        <v>0.729270262410864</v>
      </c>
      <c r="P5541" s="10" t="n">
        <v>0.218249560333788</v>
      </c>
      <c r="Q5541" s="0" t="str">
        <f aca="false">SUBSTITUTE(SUBSTITUTE($I5541,CHAR(61),""),CHAR(34),"")</f>
        <v>10-14</v>
      </c>
      <c r="R5541" s="0" t="str">
        <f aca="false">IF($D5541&lt;&gt;"","["&amp;$E5541&amp;"]"&amp;"|"&amp;$Q5541&amp;"|"&amp;$K5541&amp;"|"&amp;$G5541&amp;"|"&amp;IF($G5541="TX_CURR_SUBNAT.R","CY2022Q4",$M5541),"")</f>
        <v>[oiPR2CiVJbf]|10-14|Male|PLHIV_Attend.T|CY2024Q3</v>
      </c>
    </row>
    <row r="5542" customFormat="false" ht="15" hidden="false" customHeight="false" outlineLevel="0" collapsed="false">
      <c r="D5542" s="0" t="s">
        <v>105</v>
      </c>
      <c r="E5542" s="0" t="s">
        <v>106</v>
      </c>
      <c r="F5542" s="0" t="s">
        <v>107</v>
      </c>
      <c r="G5542" s="0" t="s">
        <v>168</v>
      </c>
      <c r="H5542" s="0" t="s">
        <v>168</v>
      </c>
      <c r="I5542" s="0" t="s">
        <v>38</v>
      </c>
      <c r="J5542" s="0" t="s">
        <v>39</v>
      </c>
      <c r="K5542" s="0" t="s">
        <v>48</v>
      </c>
      <c r="L5542" s="0" t="s">
        <v>49</v>
      </c>
      <c r="M5542" s="0" t="s">
        <v>167</v>
      </c>
      <c r="N5542" s="0" t="n">
        <v>1615</v>
      </c>
      <c r="O5542" s="10" t="n">
        <v>0.439979006536305</v>
      </c>
      <c r="P5542" s="10" t="n">
        <v>0.218249560333788</v>
      </c>
      <c r="Q5542" s="0" t="str">
        <f aca="false">SUBSTITUTE(SUBSTITUTE($I5542,CHAR(61),""),CHAR(34),"")</f>
        <v>15-24</v>
      </c>
      <c r="R5542" s="0" t="str">
        <f aca="false">IF($D5542&lt;&gt;"","["&amp;$E5542&amp;"]"&amp;"|"&amp;$Q5542&amp;"|"&amp;$K5542&amp;"|"&amp;$G5542&amp;"|"&amp;IF($G5542="TX_CURR_SUBNAT.R","CY2022Q4",$M5542),"")</f>
        <v>[oiPR2CiVJbf]|15-24|Male|PLHIV_Attend.T|CY2024Q3</v>
      </c>
    </row>
    <row r="5543" customFormat="false" ht="15" hidden="false" customHeight="false" outlineLevel="0" collapsed="false">
      <c r="D5543" s="0" t="s">
        <v>105</v>
      </c>
      <c r="E5543" s="0" t="s">
        <v>106</v>
      </c>
      <c r="F5543" s="0" t="s">
        <v>107</v>
      </c>
      <c r="G5543" s="0" t="s">
        <v>168</v>
      </c>
      <c r="H5543" s="0" t="s">
        <v>168</v>
      </c>
      <c r="I5543" s="0" t="s">
        <v>41</v>
      </c>
      <c r="J5543" s="0" t="s">
        <v>42</v>
      </c>
      <c r="K5543" s="0" t="s">
        <v>48</v>
      </c>
      <c r="L5543" s="0" t="s">
        <v>49</v>
      </c>
      <c r="M5543" s="0" t="s">
        <v>167</v>
      </c>
      <c r="N5543" s="0" t="n">
        <v>1055</v>
      </c>
      <c r="O5543" s="10" t="n">
        <v>0.822058977559209</v>
      </c>
      <c r="P5543" s="10" t="n">
        <v>0.218249560333788</v>
      </c>
      <c r="Q5543" s="0" t="str">
        <f aca="false">SUBSTITUTE(SUBSTITUTE($I5543,CHAR(61),""),CHAR(34),"")</f>
        <v>25-34</v>
      </c>
      <c r="R5543" s="0" t="str">
        <f aca="false">IF($D5543&lt;&gt;"","["&amp;$E5543&amp;"]"&amp;"|"&amp;$Q5543&amp;"|"&amp;$K5543&amp;"|"&amp;$G5543&amp;"|"&amp;IF($G5543="TX_CURR_SUBNAT.R","CY2022Q4",$M5543),"")</f>
        <v>[oiPR2CiVJbf]|25-34|Male|PLHIV_Attend.T|CY2024Q3</v>
      </c>
    </row>
    <row r="5544" customFormat="false" ht="15" hidden="false" customHeight="false" outlineLevel="0" collapsed="false">
      <c r="D5544" s="0" t="s">
        <v>105</v>
      </c>
      <c r="E5544" s="0" t="s">
        <v>106</v>
      </c>
      <c r="F5544" s="0" t="s">
        <v>107</v>
      </c>
      <c r="G5544" s="0" t="s">
        <v>168</v>
      </c>
      <c r="H5544" s="0" t="s">
        <v>168</v>
      </c>
      <c r="I5544" s="0" t="s">
        <v>43</v>
      </c>
      <c r="J5544" s="0" t="s">
        <v>44</v>
      </c>
      <c r="K5544" s="0" t="s">
        <v>48</v>
      </c>
      <c r="L5544" s="0" t="s">
        <v>49</v>
      </c>
      <c r="M5544" s="0" t="s">
        <v>167</v>
      </c>
      <c r="N5544" s="0" t="n">
        <v>576</v>
      </c>
      <c r="O5544" s="10" t="n">
        <v>0.971121478825808</v>
      </c>
      <c r="P5544" s="10" t="n">
        <v>0.218249560333788</v>
      </c>
      <c r="Q5544" s="0" t="str">
        <f aca="false">SUBSTITUTE(SUBSTITUTE($I5544,CHAR(61),""),CHAR(34),"")</f>
        <v>35-49</v>
      </c>
      <c r="R5544" s="0" t="str">
        <f aca="false">IF($D5544&lt;&gt;"","["&amp;$E5544&amp;"]"&amp;"|"&amp;$Q5544&amp;"|"&amp;$K5544&amp;"|"&amp;$G5544&amp;"|"&amp;IF($G5544="TX_CURR_SUBNAT.R","CY2022Q4",$M5544),"")</f>
        <v>[oiPR2CiVJbf]|35-49|Male|PLHIV_Attend.T|CY2024Q3</v>
      </c>
    </row>
    <row r="5545" customFormat="false" ht="15" hidden="false" customHeight="false" outlineLevel="0" collapsed="false">
      <c r="D5545" s="0" t="s">
        <v>105</v>
      </c>
      <c r="E5545" s="0" t="s">
        <v>106</v>
      </c>
      <c r="F5545" s="0" t="s">
        <v>107</v>
      </c>
      <c r="G5545" s="0" t="s">
        <v>168</v>
      </c>
      <c r="H5545" s="0" t="s">
        <v>168</v>
      </c>
      <c r="I5545" s="0" t="s">
        <v>45</v>
      </c>
      <c r="J5545" s="0" t="s">
        <v>46</v>
      </c>
      <c r="K5545" s="0" t="s">
        <v>48</v>
      </c>
      <c r="L5545" s="0" t="s">
        <v>49</v>
      </c>
      <c r="M5545" s="0" t="s">
        <v>167</v>
      </c>
      <c r="N5545" s="0" t="n">
        <v>552</v>
      </c>
      <c r="O5545" s="10" t="n">
        <v>0.507908457657322</v>
      </c>
      <c r="P5545" s="10" t="n">
        <v>0.218249560333788</v>
      </c>
      <c r="Q5545" s="0" t="str">
        <f aca="false">SUBSTITUTE(SUBSTITUTE($I5545,CHAR(61),""),CHAR(34),"")</f>
        <v>50+</v>
      </c>
      <c r="R5545" s="0" t="str">
        <f aca="false">IF($D5545&lt;&gt;"","["&amp;$E5545&amp;"]"&amp;"|"&amp;$Q5545&amp;"|"&amp;$K5545&amp;"|"&amp;$G5545&amp;"|"&amp;IF($G5545="TX_CURR_SUBNAT.R","CY2022Q4",$M5545),"")</f>
        <v>[oiPR2CiVJbf]|50+|Male|PLHIV_Attend.T|CY2024Q3</v>
      </c>
    </row>
    <row r="5546" customFormat="false" ht="15" hidden="false" customHeight="false" outlineLevel="0" collapsed="false">
      <c r="D5546" s="0" t="s">
        <v>108</v>
      </c>
      <c r="E5546" s="0" t="s">
        <v>109</v>
      </c>
      <c r="F5546" s="0" t="s">
        <v>110</v>
      </c>
      <c r="G5546" s="0" t="s">
        <v>168</v>
      </c>
      <c r="H5546" s="0" t="s">
        <v>168</v>
      </c>
      <c r="I5546" s="0" t="s">
        <v>28</v>
      </c>
      <c r="J5546" s="0" t="s">
        <v>29</v>
      </c>
      <c r="K5546" s="0" t="s">
        <v>30</v>
      </c>
      <c r="L5546" s="0" t="s">
        <v>31</v>
      </c>
      <c r="M5546" s="0" t="s">
        <v>167</v>
      </c>
      <c r="N5546" s="0" t="n">
        <v>1774</v>
      </c>
      <c r="O5546" s="10" t="n">
        <v>0.0895305273588747</v>
      </c>
      <c r="P5546" s="10" t="n">
        <v>0.434221804374829</v>
      </c>
      <c r="Q5546" s="0" t="str">
        <f aca="false">SUBSTITUTE(SUBSTITUTE($I5546,CHAR(61),""),CHAR(34),"")</f>
        <v>&lt;01</v>
      </c>
      <c r="R5546" s="0" t="str">
        <f aca="false">IF($D5546&lt;&gt;"","["&amp;$E5546&amp;"]"&amp;"|"&amp;$Q5546&amp;"|"&amp;$K5546&amp;"|"&amp;$G5546&amp;"|"&amp;IF($G5546="TX_CURR_SUBNAT.R","CY2022Q4",$M5546),"")</f>
        <v>[ul0y9diGujK]|&lt;01|Female|PLHIV_Attend.T|CY2024Q3</v>
      </c>
    </row>
    <row r="5547" customFormat="false" ht="15" hidden="false" customHeight="false" outlineLevel="0" collapsed="false">
      <c r="D5547" s="0" t="s">
        <v>108</v>
      </c>
      <c r="E5547" s="0" t="s">
        <v>109</v>
      </c>
      <c r="F5547" s="0" t="s">
        <v>110</v>
      </c>
      <c r="G5547" s="0" t="s">
        <v>168</v>
      </c>
      <c r="H5547" s="0" t="s">
        <v>168</v>
      </c>
      <c r="I5547" s="0" t="s">
        <v>33</v>
      </c>
      <c r="J5547" s="0" t="s">
        <v>34</v>
      </c>
      <c r="K5547" s="0" t="s">
        <v>30</v>
      </c>
      <c r="L5547" s="0" t="s">
        <v>31</v>
      </c>
      <c r="M5547" s="0" t="s">
        <v>167</v>
      </c>
      <c r="N5547" s="0" t="n">
        <v>1506</v>
      </c>
      <c r="O5547" s="10" t="n">
        <v>0.225308729801327</v>
      </c>
      <c r="P5547" s="10" t="n">
        <v>0.434221804374829</v>
      </c>
      <c r="Q5547" s="0" t="str">
        <f aca="false">SUBSTITUTE(SUBSTITUTE($I5547,CHAR(61),""),CHAR(34),"")</f>
        <v>01-09</v>
      </c>
      <c r="R5547" s="0" t="str">
        <f aca="false">IF($D5547&lt;&gt;"","["&amp;$E5547&amp;"]"&amp;"|"&amp;$Q5547&amp;"|"&amp;$K5547&amp;"|"&amp;$G5547&amp;"|"&amp;IF($G5547="TX_CURR_SUBNAT.R","CY2022Q4",$M5547),"")</f>
        <v>[ul0y9diGujK]|01-09|Female|PLHIV_Attend.T|CY2024Q3</v>
      </c>
    </row>
    <row r="5548" customFormat="false" ht="15" hidden="false" customHeight="false" outlineLevel="0" collapsed="false">
      <c r="D5548" s="0" t="s">
        <v>108</v>
      </c>
      <c r="E5548" s="0" t="s">
        <v>109</v>
      </c>
      <c r="F5548" s="0" t="s">
        <v>110</v>
      </c>
      <c r="G5548" s="0" t="s">
        <v>168</v>
      </c>
      <c r="H5548" s="0" t="s">
        <v>168</v>
      </c>
      <c r="I5548" s="0" t="s">
        <v>36</v>
      </c>
      <c r="J5548" s="0" t="s">
        <v>37</v>
      </c>
      <c r="K5548" s="0" t="s">
        <v>30</v>
      </c>
      <c r="L5548" s="0" t="s">
        <v>31</v>
      </c>
      <c r="M5548" s="0" t="s">
        <v>167</v>
      </c>
      <c r="N5548" s="0" t="n">
        <v>1748</v>
      </c>
      <c r="O5548" s="10" t="n">
        <v>0.583882716717198</v>
      </c>
      <c r="P5548" s="10" t="n">
        <v>0.434221804374829</v>
      </c>
      <c r="Q5548" s="0" t="str">
        <f aca="false">SUBSTITUTE(SUBSTITUTE($I5548,CHAR(61),""),CHAR(34),"")</f>
        <v>10-14</v>
      </c>
      <c r="R5548" s="0" t="str">
        <f aca="false">IF($D5548&lt;&gt;"","["&amp;$E5548&amp;"]"&amp;"|"&amp;$Q5548&amp;"|"&amp;$K5548&amp;"|"&amp;$G5548&amp;"|"&amp;IF($G5548="TX_CURR_SUBNAT.R","CY2022Q4",$M5548),"")</f>
        <v>[ul0y9diGujK]|10-14|Female|PLHIV_Attend.T|CY2024Q3</v>
      </c>
    </row>
    <row r="5549" customFormat="false" ht="15" hidden="false" customHeight="false" outlineLevel="0" collapsed="false">
      <c r="D5549" s="0" t="s">
        <v>108</v>
      </c>
      <c r="E5549" s="0" t="s">
        <v>109</v>
      </c>
      <c r="F5549" s="0" t="s">
        <v>110</v>
      </c>
      <c r="G5549" s="0" t="s">
        <v>168</v>
      </c>
      <c r="H5549" s="0" t="s">
        <v>168</v>
      </c>
      <c r="I5549" s="0" t="s">
        <v>38</v>
      </c>
      <c r="J5549" s="0" t="s">
        <v>39</v>
      </c>
      <c r="K5549" s="0" t="s">
        <v>30</v>
      </c>
      <c r="L5549" s="0" t="s">
        <v>31</v>
      </c>
      <c r="M5549" s="0" t="s">
        <v>167</v>
      </c>
      <c r="N5549" s="0" t="n">
        <v>1800</v>
      </c>
      <c r="O5549" s="10" t="n">
        <v>0.844981391448528</v>
      </c>
      <c r="P5549" s="10" t="n">
        <v>0.434221804374829</v>
      </c>
      <c r="Q5549" s="0" t="str">
        <f aca="false">SUBSTITUTE(SUBSTITUTE($I5549,CHAR(61),""),CHAR(34),"")</f>
        <v>15-24</v>
      </c>
      <c r="R5549" s="0" t="str">
        <f aca="false">IF($D5549&lt;&gt;"","["&amp;$E5549&amp;"]"&amp;"|"&amp;$Q5549&amp;"|"&amp;$K5549&amp;"|"&amp;$G5549&amp;"|"&amp;IF($G5549="TX_CURR_SUBNAT.R","CY2022Q4",$M5549),"")</f>
        <v>[ul0y9diGujK]|15-24|Female|PLHIV_Attend.T|CY2024Q3</v>
      </c>
    </row>
    <row r="5550" customFormat="false" ht="15" hidden="false" customHeight="false" outlineLevel="0" collapsed="false">
      <c r="D5550" s="0" t="s">
        <v>108</v>
      </c>
      <c r="E5550" s="0" t="s">
        <v>109</v>
      </c>
      <c r="F5550" s="0" t="s">
        <v>110</v>
      </c>
      <c r="G5550" s="0" t="s">
        <v>168</v>
      </c>
      <c r="H5550" s="0" t="s">
        <v>168</v>
      </c>
      <c r="I5550" s="0" t="s">
        <v>41</v>
      </c>
      <c r="J5550" s="0" t="s">
        <v>42</v>
      </c>
      <c r="K5550" s="0" t="s">
        <v>30</v>
      </c>
      <c r="L5550" s="0" t="s">
        <v>31</v>
      </c>
      <c r="M5550" s="0" t="s">
        <v>167</v>
      </c>
      <c r="N5550" s="0" t="n">
        <v>1365</v>
      </c>
      <c r="O5550" s="10" t="n">
        <v>0.29317215597257</v>
      </c>
      <c r="P5550" s="10" t="n">
        <v>0.434221804374829</v>
      </c>
      <c r="Q5550" s="0" t="str">
        <f aca="false">SUBSTITUTE(SUBSTITUTE($I5550,CHAR(61),""),CHAR(34),"")</f>
        <v>25-34</v>
      </c>
      <c r="R5550" s="0" t="str">
        <f aca="false">IF($D5550&lt;&gt;"","["&amp;$E5550&amp;"]"&amp;"|"&amp;$Q5550&amp;"|"&amp;$K5550&amp;"|"&amp;$G5550&amp;"|"&amp;IF($G5550="TX_CURR_SUBNAT.R","CY2022Q4",$M5550),"")</f>
        <v>[ul0y9diGujK]|25-34|Female|PLHIV_Attend.T|CY2024Q3</v>
      </c>
    </row>
    <row r="5551" customFormat="false" ht="15" hidden="false" customHeight="false" outlineLevel="0" collapsed="false">
      <c r="D5551" s="0" t="s">
        <v>108</v>
      </c>
      <c r="E5551" s="0" t="s">
        <v>109</v>
      </c>
      <c r="F5551" s="0" t="s">
        <v>110</v>
      </c>
      <c r="G5551" s="0" t="s">
        <v>168</v>
      </c>
      <c r="H5551" s="0" t="s">
        <v>168</v>
      </c>
      <c r="I5551" s="0" t="s">
        <v>43</v>
      </c>
      <c r="J5551" s="0" t="s">
        <v>44</v>
      </c>
      <c r="K5551" s="0" t="s">
        <v>30</v>
      </c>
      <c r="L5551" s="0" t="s">
        <v>31</v>
      </c>
      <c r="M5551" s="0" t="s">
        <v>167</v>
      </c>
      <c r="N5551" s="0" t="n">
        <v>777</v>
      </c>
      <c r="O5551" s="10" t="n">
        <v>0.127742333803326</v>
      </c>
      <c r="P5551" s="10" t="n">
        <v>0.434221804374829</v>
      </c>
      <c r="Q5551" s="0" t="str">
        <f aca="false">SUBSTITUTE(SUBSTITUTE($I5551,CHAR(61),""),CHAR(34),"")</f>
        <v>35-49</v>
      </c>
      <c r="R5551" s="0" t="str">
        <f aca="false">IF($D5551&lt;&gt;"","["&amp;$E5551&amp;"]"&amp;"|"&amp;$Q5551&amp;"|"&amp;$K5551&amp;"|"&amp;$G5551&amp;"|"&amp;IF($G5551="TX_CURR_SUBNAT.R","CY2022Q4",$M5551),"")</f>
        <v>[ul0y9diGujK]|35-49|Female|PLHIV_Attend.T|CY2024Q3</v>
      </c>
    </row>
    <row r="5552" customFormat="false" ht="15" hidden="false" customHeight="false" outlineLevel="0" collapsed="false">
      <c r="D5552" s="0" t="s">
        <v>108</v>
      </c>
      <c r="E5552" s="0" t="s">
        <v>109</v>
      </c>
      <c r="F5552" s="0" t="s">
        <v>110</v>
      </c>
      <c r="G5552" s="0" t="s">
        <v>168</v>
      </c>
      <c r="H5552" s="0" t="s">
        <v>168</v>
      </c>
      <c r="I5552" s="0" t="s">
        <v>45</v>
      </c>
      <c r="J5552" s="0" t="s">
        <v>46</v>
      </c>
      <c r="K5552" s="0" t="s">
        <v>30</v>
      </c>
      <c r="L5552" s="0" t="s">
        <v>31</v>
      </c>
      <c r="M5552" s="0" t="s">
        <v>167</v>
      </c>
      <c r="N5552" s="0" t="n">
        <v>1307</v>
      </c>
      <c r="O5552" s="10" t="n">
        <v>0.230414708144963</v>
      </c>
      <c r="P5552" s="10" t="n">
        <v>0.434221804374829</v>
      </c>
      <c r="Q5552" s="0" t="str">
        <f aca="false">SUBSTITUTE(SUBSTITUTE($I5552,CHAR(61),""),CHAR(34),"")</f>
        <v>50+</v>
      </c>
      <c r="R5552" s="0" t="str">
        <f aca="false">IF($D5552&lt;&gt;"","["&amp;$E5552&amp;"]"&amp;"|"&amp;$Q5552&amp;"|"&amp;$K5552&amp;"|"&amp;$G5552&amp;"|"&amp;IF($G5552="TX_CURR_SUBNAT.R","CY2022Q4",$M5552),"")</f>
        <v>[ul0y9diGujK]|50+|Female|PLHIV_Attend.T|CY2024Q3</v>
      </c>
    </row>
    <row r="5553" customFormat="false" ht="15" hidden="false" customHeight="false" outlineLevel="0" collapsed="false">
      <c r="D5553" s="0" t="s">
        <v>108</v>
      </c>
      <c r="E5553" s="0" t="s">
        <v>109</v>
      </c>
      <c r="F5553" s="0" t="s">
        <v>110</v>
      </c>
      <c r="G5553" s="0" t="s">
        <v>168</v>
      </c>
      <c r="H5553" s="0" t="s">
        <v>168</v>
      </c>
      <c r="I5553" s="0" t="s">
        <v>28</v>
      </c>
      <c r="J5553" s="0" t="s">
        <v>29</v>
      </c>
      <c r="K5553" s="0" t="s">
        <v>48</v>
      </c>
      <c r="L5553" s="0" t="s">
        <v>49</v>
      </c>
      <c r="M5553" s="0" t="s">
        <v>167</v>
      </c>
      <c r="N5553" s="0" t="n">
        <v>1114</v>
      </c>
      <c r="O5553" s="10" t="n">
        <v>0.805285822134465</v>
      </c>
      <c r="P5553" s="10" t="n">
        <v>0.434221804374829</v>
      </c>
      <c r="Q5553" s="0" t="str">
        <f aca="false">SUBSTITUTE(SUBSTITUTE($I5553,CHAR(61),""),CHAR(34),"")</f>
        <v>&lt;01</v>
      </c>
      <c r="R5553" s="0" t="str">
        <f aca="false">IF($D5553&lt;&gt;"","["&amp;$E5553&amp;"]"&amp;"|"&amp;$Q5553&amp;"|"&amp;$K5553&amp;"|"&amp;$G5553&amp;"|"&amp;IF($G5553="TX_CURR_SUBNAT.R","CY2022Q4",$M5553),"")</f>
        <v>[ul0y9diGujK]|&lt;01|Male|PLHIV_Attend.T|CY2024Q3</v>
      </c>
    </row>
    <row r="5554" customFormat="false" ht="15" hidden="false" customHeight="false" outlineLevel="0" collapsed="false">
      <c r="D5554" s="0" t="s">
        <v>108</v>
      </c>
      <c r="E5554" s="0" t="s">
        <v>109</v>
      </c>
      <c r="F5554" s="0" t="s">
        <v>110</v>
      </c>
      <c r="G5554" s="0" t="s">
        <v>168</v>
      </c>
      <c r="H5554" s="0" t="s">
        <v>168</v>
      </c>
      <c r="I5554" s="0" t="s">
        <v>33</v>
      </c>
      <c r="J5554" s="0" t="s">
        <v>34</v>
      </c>
      <c r="K5554" s="0" t="s">
        <v>48</v>
      </c>
      <c r="L5554" s="0" t="s">
        <v>49</v>
      </c>
      <c r="M5554" s="0" t="s">
        <v>167</v>
      </c>
      <c r="N5554" s="0" t="n">
        <v>1865</v>
      </c>
      <c r="O5554" s="10" t="n">
        <v>0.435324244899675</v>
      </c>
      <c r="P5554" s="10" t="n">
        <v>0.434221804374829</v>
      </c>
      <c r="Q5554" s="0" t="str">
        <f aca="false">SUBSTITUTE(SUBSTITUTE($I5554,CHAR(61),""),CHAR(34),"")</f>
        <v>01-09</v>
      </c>
      <c r="R5554" s="0" t="str">
        <f aca="false">IF($D5554&lt;&gt;"","["&amp;$E5554&amp;"]"&amp;"|"&amp;$Q5554&amp;"|"&amp;$K5554&amp;"|"&amp;$G5554&amp;"|"&amp;IF($G5554="TX_CURR_SUBNAT.R","CY2022Q4",$M5554),"")</f>
        <v>[ul0y9diGujK]|01-09|Male|PLHIV_Attend.T|CY2024Q3</v>
      </c>
    </row>
    <row r="5555" customFormat="false" ht="15" hidden="false" customHeight="false" outlineLevel="0" collapsed="false">
      <c r="D5555" s="0" t="s">
        <v>108</v>
      </c>
      <c r="E5555" s="0" t="s">
        <v>109</v>
      </c>
      <c r="F5555" s="0" t="s">
        <v>110</v>
      </c>
      <c r="G5555" s="0" t="s">
        <v>168</v>
      </c>
      <c r="H5555" s="0" t="s">
        <v>168</v>
      </c>
      <c r="I5555" s="0" t="s">
        <v>36</v>
      </c>
      <c r="J5555" s="0" t="s">
        <v>37</v>
      </c>
      <c r="K5555" s="0" t="s">
        <v>48</v>
      </c>
      <c r="L5555" s="0" t="s">
        <v>49</v>
      </c>
      <c r="M5555" s="0" t="s">
        <v>167</v>
      </c>
      <c r="N5555" s="0" t="n">
        <v>1474</v>
      </c>
      <c r="O5555" s="10" t="n">
        <v>0.649531622882932</v>
      </c>
      <c r="P5555" s="10" t="n">
        <v>0.434221804374829</v>
      </c>
      <c r="Q5555" s="0" t="str">
        <f aca="false">SUBSTITUTE(SUBSTITUTE($I5555,CHAR(61),""),CHAR(34),"")</f>
        <v>10-14</v>
      </c>
      <c r="R5555" s="0" t="str">
        <f aca="false">IF($D5555&lt;&gt;"","["&amp;$E5555&amp;"]"&amp;"|"&amp;$Q5555&amp;"|"&amp;$K5555&amp;"|"&amp;$G5555&amp;"|"&amp;IF($G5555="TX_CURR_SUBNAT.R","CY2022Q4",$M5555),"")</f>
        <v>[ul0y9diGujK]|10-14|Male|PLHIV_Attend.T|CY2024Q3</v>
      </c>
    </row>
    <row r="5556" customFormat="false" ht="15" hidden="false" customHeight="false" outlineLevel="0" collapsed="false">
      <c r="D5556" s="0" t="s">
        <v>108</v>
      </c>
      <c r="E5556" s="0" t="s">
        <v>109</v>
      </c>
      <c r="F5556" s="0" t="s">
        <v>110</v>
      </c>
      <c r="G5556" s="0" t="s">
        <v>168</v>
      </c>
      <c r="H5556" s="0" t="s">
        <v>168</v>
      </c>
      <c r="I5556" s="0" t="s">
        <v>38</v>
      </c>
      <c r="J5556" s="0" t="s">
        <v>39</v>
      </c>
      <c r="K5556" s="0" t="s">
        <v>48</v>
      </c>
      <c r="L5556" s="0" t="s">
        <v>49</v>
      </c>
      <c r="M5556" s="0" t="s">
        <v>167</v>
      </c>
      <c r="N5556" s="0" t="n">
        <v>1692</v>
      </c>
      <c r="O5556" s="10" t="n">
        <v>0.782537473831326</v>
      </c>
      <c r="P5556" s="10" t="n">
        <v>0.434221804374829</v>
      </c>
      <c r="Q5556" s="0" t="str">
        <f aca="false">SUBSTITUTE(SUBSTITUTE($I5556,CHAR(61),""),CHAR(34),"")</f>
        <v>15-24</v>
      </c>
      <c r="R5556" s="0" t="str">
        <f aca="false">IF($D5556&lt;&gt;"","["&amp;$E5556&amp;"]"&amp;"|"&amp;$Q5556&amp;"|"&amp;$K5556&amp;"|"&amp;$G5556&amp;"|"&amp;IF($G5556="TX_CURR_SUBNAT.R","CY2022Q4",$M5556),"")</f>
        <v>[ul0y9diGujK]|15-24|Male|PLHIV_Attend.T|CY2024Q3</v>
      </c>
    </row>
    <row r="5557" customFormat="false" ht="15" hidden="false" customHeight="false" outlineLevel="0" collapsed="false">
      <c r="D5557" s="0" t="s">
        <v>108</v>
      </c>
      <c r="E5557" s="0" t="s">
        <v>109</v>
      </c>
      <c r="F5557" s="0" t="s">
        <v>110</v>
      </c>
      <c r="G5557" s="0" t="s">
        <v>168</v>
      </c>
      <c r="H5557" s="0" t="s">
        <v>168</v>
      </c>
      <c r="I5557" s="0" t="s">
        <v>41</v>
      </c>
      <c r="J5557" s="0" t="s">
        <v>42</v>
      </c>
      <c r="K5557" s="0" t="s">
        <v>48</v>
      </c>
      <c r="L5557" s="0" t="s">
        <v>49</v>
      </c>
      <c r="M5557" s="0" t="s">
        <v>167</v>
      </c>
      <c r="N5557" s="0" t="n">
        <v>796</v>
      </c>
      <c r="O5557" s="10" t="n">
        <v>0.840248665306717</v>
      </c>
      <c r="P5557" s="10" t="n">
        <v>0.434221804374829</v>
      </c>
      <c r="Q5557" s="0" t="str">
        <f aca="false">SUBSTITUTE(SUBSTITUTE($I5557,CHAR(61),""),CHAR(34),"")</f>
        <v>25-34</v>
      </c>
      <c r="R5557" s="0" t="str">
        <f aca="false">IF($D5557&lt;&gt;"","["&amp;$E5557&amp;"]"&amp;"|"&amp;$Q5557&amp;"|"&amp;$K5557&amp;"|"&amp;$G5557&amp;"|"&amp;IF($G5557="TX_CURR_SUBNAT.R","CY2022Q4",$M5557),"")</f>
        <v>[ul0y9diGujK]|25-34|Male|PLHIV_Attend.T|CY2024Q3</v>
      </c>
    </row>
    <row r="5558" customFormat="false" ht="15" hidden="false" customHeight="false" outlineLevel="0" collapsed="false">
      <c r="D5558" s="0" t="s">
        <v>108</v>
      </c>
      <c r="E5558" s="0" t="s">
        <v>109</v>
      </c>
      <c r="F5558" s="0" t="s">
        <v>110</v>
      </c>
      <c r="G5558" s="0" t="s">
        <v>168</v>
      </c>
      <c r="H5558" s="0" t="s">
        <v>168</v>
      </c>
      <c r="I5558" s="0" t="s">
        <v>43</v>
      </c>
      <c r="J5558" s="0" t="s">
        <v>44</v>
      </c>
      <c r="K5558" s="0" t="s">
        <v>48</v>
      </c>
      <c r="L5558" s="0" t="s">
        <v>49</v>
      </c>
      <c r="M5558" s="0" t="s">
        <v>167</v>
      </c>
      <c r="N5558" s="0" t="n">
        <v>1720</v>
      </c>
      <c r="O5558" s="10" t="n">
        <v>0.427806448889896</v>
      </c>
      <c r="P5558" s="10" t="n">
        <v>0.434221804374829</v>
      </c>
      <c r="Q5558" s="0" t="str">
        <f aca="false">SUBSTITUTE(SUBSTITUTE($I5558,CHAR(61),""),CHAR(34),"")</f>
        <v>35-49</v>
      </c>
      <c r="R5558" s="0" t="str">
        <f aca="false">IF($D5558&lt;&gt;"","["&amp;$E5558&amp;"]"&amp;"|"&amp;$Q5558&amp;"|"&amp;$K5558&amp;"|"&amp;$G5558&amp;"|"&amp;IF($G5558="TX_CURR_SUBNAT.R","CY2022Q4",$M5558),"")</f>
        <v>[ul0y9diGujK]|35-49|Male|PLHIV_Attend.T|CY2024Q3</v>
      </c>
    </row>
    <row r="5559" customFormat="false" ht="15" hidden="false" customHeight="false" outlineLevel="0" collapsed="false">
      <c r="D5559" s="0" t="s">
        <v>108</v>
      </c>
      <c r="E5559" s="0" t="s">
        <v>109</v>
      </c>
      <c r="F5559" s="0" t="s">
        <v>110</v>
      </c>
      <c r="G5559" s="0" t="s">
        <v>168</v>
      </c>
      <c r="H5559" s="0" t="s">
        <v>168</v>
      </c>
      <c r="I5559" s="0" t="s">
        <v>45</v>
      </c>
      <c r="J5559" s="0" t="s">
        <v>46</v>
      </c>
      <c r="K5559" s="0" t="s">
        <v>48</v>
      </c>
      <c r="L5559" s="0" t="s">
        <v>49</v>
      </c>
      <c r="M5559" s="0" t="s">
        <v>167</v>
      </c>
      <c r="N5559" s="0" t="n">
        <v>545</v>
      </c>
      <c r="O5559" s="10" t="n">
        <v>0.0145713314414024</v>
      </c>
      <c r="P5559" s="10" t="n">
        <v>0.434221804374829</v>
      </c>
      <c r="Q5559" s="0" t="str">
        <f aca="false">SUBSTITUTE(SUBSTITUTE($I5559,CHAR(61),""),CHAR(34),"")</f>
        <v>50+</v>
      </c>
      <c r="R5559" s="0" t="str">
        <f aca="false">IF($D5559&lt;&gt;"","["&amp;$E5559&amp;"]"&amp;"|"&amp;$Q5559&amp;"|"&amp;$K5559&amp;"|"&amp;$G5559&amp;"|"&amp;IF($G5559="TX_CURR_SUBNAT.R","CY2022Q4",$M5559),"")</f>
        <v>[ul0y9diGujK]|50+|Male|PLHIV_Attend.T|CY2024Q3</v>
      </c>
    </row>
    <row r="5560" customFormat="false" ht="15" hidden="false" customHeight="false" outlineLevel="0" collapsed="false">
      <c r="D5560" s="0" t="s">
        <v>111</v>
      </c>
      <c r="E5560" s="0" t="s">
        <v>112</v>
      </c>
      <c r="F5560" s="0" t="s">
        <v>113</v>
      </c>
      <c r="G5560" s="0" t="s">
        <v>168</v>
      </c>
      <c r="H5560" s="0" t="s">
        <v>168</v>
      </c>
      <c r="I5560" s="0" t="s">
        <v>28</v>
      </c>
      <c r="J5560" s="0" t="s">
        <v>29</v>
      </c>
      <c r="K5560" s="0" t="s">
        <v>30</v>
      </c>
      <c r="L5560" s="0" t="s">
        <v>31</v>
      </c>
      <c r="M5560" s="0" t="s">
        <v>167</v>
      </c>
      <c r="N5560" s="0" t="n">
        <v>1015</v>
      </c>
      <c r="O5560" s="10" t="n">
        <v>0.0770759177394211</v>
      </c>
      <c r="P5560" s="10" t="n">
        <v>0.337768794968724</v>
      </c>
      <c r="Q5560" s="0" t="str">
        <f aca="false">SUBSTITUTE(SUBSTITUTE($I5560,CHAR(61),""),CHAR(34),"")</f>
        <v>&lt;01</v>
      </c>
      <c r="R5560" s="0" t="str">
        <f aca="false">IF($D5560&lt;&gt;"","["&amp;$E5560&amp;"]"&amp;"|"&amp;$Q5560&amp;"|"&amp;$K5560&amp;"|"&amp;$G5560&amp;"|"&amp;IF($G5560="TX_CURR_SUBNAT.R","CY2022Q4",$M5560),"")</f>
        <v>[U8c0so51kT6]|&lt;01|Female|PLHIV_Attend.T|CY2024Q3</v>
      </c>
    </row>
    <row r="5561" customFormat="false" ht="15" hidden="false" customHeight="false" outlineLevel="0" collapsed="false">
      <c r="D5561" s="0" t="s">
        <v>111</v>
      </c>
      <c r="E5561" s="0" t="s">
        <v>112</v>
      </c>
      <c r="F5561" s="0" t="s">
        <v>113</v>
      </c>
      <c r="G5561" s="0" t="s">
        <v>168</v>
      </c>
      <c r="H5561" s="0" t="s">
        <v>168</v>
      </c>
      <c r="I5561" s="0" t="s">
        <v>33</v>
      </c>
      <c r="J5561" s="0" t="s">
        <v>34</v>
      </c>
      <c r="K5561" s="0" t="s">
        <v>30</v>
      </c>
      <c r="L5561" s="0" t="s">
        <v>31</v>
      </c>
      <c r="M5561" s="0" t="s">
        <v>167</v>
      </c>
      <c r="N5561" s="0" t="n">
        <v>1452</v>
      </c>
      <c r="O5561" s="10" t="n">
        <v>0.00829681684263051</v>
      </c>
      <c r="P5561" s="10" t="n">
        <v>0.337768794968724</v>
      </c>
      <c r="Q5561" s="0" t="str">
        <f aca="false">SUBSTITUTE(SUBSTITUTE($I5561,CHAR(61),""),CHAR(34),"")</f>
        <v>01-09</v>
      </c>
      <c r="R5561" s="0" t="str">
        <f aca="false">IF($D5561&lt;&gt;"","["&amp;$E5561&amp;"]"&amp;"|"&amp;$Q5561&amp;"|"&amp;$K5561&amp;"|"&amp;$G5561&amp;"|"&amp;IF($G5561="TX_CURR_SUBNAT.R","CY2022Q4",$M5561),"")</f>
        <v>[U8c0so51kT6]|01-09|Female|PLHIV_Attend.T|CY2024Q3</v>
      </c>
    </row>
    <row r="5562" customFormat="false" ht="15" hidden="false" customHeight="false" outlineLevel="0" collapsed="false">
      <c r="D5562" s="0" t="s">
        <v>111</v>
      </c>
      <c r="E5562" s="0" t="s">
        <v>112</v>
      </c>
      <c r="F5562" s="0" t="s">
        <v>113</v>
      </c>
      <c r="G5562" s="0" t="s">
        <v>168</v>
      </c>
      <c r="H5562" s="0" t="s">
        <v>168</v>
      </c>
      <c r="I5562" s="0" t="s">
        <v>36</v>
      </c>
      <c r="J5562" s="0" t="s">
        <v>37</v>
      </c>
      <c r="K5562" s="0" t="s">
        <v>30</v>
      </c>
      <c r="L5562" s="0" t="s">
        <v>31</v>
      </c>
      <c r="M5562" s="0" t="s">
        <v>167</v>
      </c>
      <c r="N5562" s="0" t="n">
        <v>605</v>
      </c>
      <c r="O5562" s="10" t="n">
        <v>0.972570485435426</v>
      </c>
      <c r="P5562" s="10" t="n">
        <v>0.337768794968724</v>
      </c>
      <c r="Q5562" s="0" t="str">
        <f aca="false">SUBSTITUTE(SUBSTITUTE($I5562,CHAR(61),""),CHAR(34),"")</f>
        <v>10-14</v>
      </c>
      <c r="R5562" s="0" t="str">
        <f aca="false">IF($D5562&lt;&gt;"","["&amp;$E5562&amp;"]"&amp;"|"&amp;$Q5562&amp;"|"&amp;$K5562&amp;"|"&amp;$G5562&amp;"|"&amp;IF($G5562="TX_CURR_SUBNAT.R","CY2022Q4",$M5562),"")</f>
        <v>[U8c0so51kT6]|10-14|Female|PLHIV_Attend.T|CY2024Q3</v>
      </c>
    </row>
    <row r="5563" customFormat="false" ht="15" hidden="false" customHeight="false" outlineLevel="0" collapsed="false">
      <c r="D5563" s="0" t="s">
        <v>111</v>
      </c>
      <c r="E5563" s="0" t="s">
        <v>112</v>
      </c>
      <c r="F5563" s="0" t="s">
        <v>113</v>
      </c>
      <c r="G5563" s="0" t="s">
        <v>168</v>
      </c>
      <c r="H5563" s="0" t="s">
        <v>168</v>
      </c>
      <c r="I5563" s="0" t="s">
        <v>38</v>
      </c>
      <c r="J5563" s="0" t="s">
        <v>39</v>
      </c>
      <c r="K5563" s="0" t="s">
        <v>30</v>
      </c>
      <c r="L5563" s="0" t="s">
        <v>31</v>
      </c>
      <c r="M5563" s="0" t="s">
        <v>167</v>
      </c>
      <c r="N5563" s="0" t="n">
        <v>1982</v>
      </c>
      <c r="O5563" s="10" t="n">
        <v>0.0119516050908715</v>
      </c>
      <c r="P5563" s="10" t="n">
        <v>0.337768794968724</v>
      </c>
      <c r="Q5563" s="0" t="str">
        <f aca="false">SUBSTITUTE(SUBSTITUTE($I5563,CHAR(61),""),CHAR(34),"")</f>
        <v>15-24</v>
      </c>
      <c r="R5563" s="0" t="str">
        <f aca="false">IF($D5563&lt;&gt;"","["&amp;$E5563&amp;"]"&amp;"|"&amp;$Q5563&amp;"|"&amp;$K5563&amp;"|"&amp;$G5563&amp;"|"&amp;IF($G5563="TX_CURR_SUBNAT.R","CY2022Q4",$M5563),"")</f>
        <v>[U8c0so51kT6]|15-24|Female|PLHIV_Attend.T|CY2024Q3</v>
      </c>
    </row>
    <row r="5564" customFormat="false" ht="15" hidden="false" customHeight="false" outlineLevel="0" collapsed="false">
      <c r="D5564" s="0" t="s">
        <v>111</v>
      </c>
      <c r="E5564" s="0" t="s">
        <v>112</v>
      </c>
      <c r="F5564" s="0" t="s">
        <v>113</v>
      </c>
      <c r="G5564" s="0" t="s">
        <v>168</v>
      </c>
      <c r="H5564" s="0" t="s">
        <v>168</v>
      </c>
      <c r="I5564" s="0" t="s">
        <v>41</v>
      </c>
      <c r="J5564" s="0" t="s">
        <v>42</v>
      </c>
      <c r="K5564" s="0" t="s">
        <v>30</v>
      </c>
      <c r="L5564" s="0" t="s">
        <v>31</v>
      </c>
      <c r="M5564" s="0" t="s">
        <v>167</v>
      </c>
      <c r="N5564" s="0" t="n">
        <v>1039</v>
      </c>
      <c r="O5564" s="10" t="n">
        <v>0.0534051710274071</v>
      </c>
      <c r="P5564" s="10" t="n">
        <v>0.337768794968724</v>
      </c>
      <c r="Q5564" s="0" t="str">
        <f aca="false">SUBSTITUTE(SUBSTITUTE($I5564,CHAR(61),""),CHAR(34),"")</f>
        <v>25-34</v>
      </c>
      <c r="R5564" s="0" t="str">
        <f aca="false">IF($D5564&lt;&gt;"","["&amp;$E5564&amp;"]"&amp;"|"&amp;$Q5564&amp;"|"&amp;$K5564&amp;"|"&amp;$G5564&amp;"|"&amp;IF($G5564="TX_CURR_SUBNAT.R","CY2022Q4",$M5564),"")</f>
        <v>[U8c0so51kT6]|25-34|Female|PLHIV_Attend.T|CY2024Q3</v>
      </c>
    </row>
    <row r="5565" customFormat="false" ht="15" hidden="false" customHeight="false" outlineLevel="0" collapsed="false">
      <c r="D5565" s="0" t="s">
        <v>111</v>
      </c>
      <c r="E5565" s="0" t="s">
        <v>112</v>
      </c>
      <c r="F5565" s="0" t="s">
        <v>113</v>
      </c>
      <c r="G5565" s="0" t="s">
        <v>168</v>
      </c>
      <c r="H5565" s="0" t="s">
        <v>168</v>
      </c>
      <c r="I5565" s="0" t="s">
        <v>43</v>
      </c>
      <c r="J5565" s="0" t="s">
        <v>44</v>
      </c>
      <c r="K5565" s="0" t="s">
        <v>30</v>
      </c>
      <c r="L5565" s="0" t="s">
        <v>31</v>
      </c>
      <c r="M5565" s="0" t="s">
        <v>167</v>
      </c>
      <c r="N5565" s="0" t="n">
        <v>542</v>
      </c>
      <c r="O5565" s="10" t="n">
        <v>0.99224626715295</v>
      </c>
      <c r="P5565" s="10" t="n">
        <v>0.337768794968724</v>
      </c>
      <c r="Q5565" s="0" t="str">
        <f aca="false">SUBSTITUTE(SUBSTITUTE($I5565,CHAR(61),""),CHAR(34),"")</f>
        <v>35-49</v>
      </c>
      <c r="R5565" s="0" t="str">
        <f aca="false">IF($D5565&lt;&gt;"","["&amp;$E5565&amp;"]"&amp;"|"&amp;$Q5565&amp;"|"&amp;$K5565&amp;"|"&amp;$G5565&amp;"|"&amp;IF($G5565="TX_CURR_SUBNAT.R","CY2022Q4",$M5565),"")</f>
        <v>[U8c0so51kT6]|35-49|Female|PLHIV_Attend.T|CY2024Q3</v>
      </c>
    </row>
    <row r="5566" customFormat="false" ht="15" hidden="false" customHeight="false" outlineLevel="0" collapsed="false">
      <c r="D5566" s="0" t="s">
        <v>111</v>
      </c>
      <c r="E5566" s="0" t="s">
        <v>112</v>
      </c>
      <c r="F5566" s="0" t="s">
        <v>113</v>
      </c>
      <c r="G5566" s="0" t="s">
        <v>168</v>
      </c>
      <c r="H5566" s="0" t="s">
        <v>168</v>
      </c>
      <c r="I5566" s="0" t="s">
        <v>45</v>
      </c>
      <c r="J5566" s="0" t="s">
        <v>46</v>
      </c>
      <c r="K5566" s="0" t="s">
        <v>30</v>
      </c>
      <c r="L5566" s="0" t="s">
        <v>31</v>
      </c>
      <c r="M5566" s="0" t="s">
        <v>167</v>
      </c>
      <c r="N5566" s="0" t="n">
        <v>1368</v>
      </c>
      <c r="O5566" s="10" t="n">
        <v>0.408381683286279</v>
      </c>
      <c r="P5566" s="10" t="n">
        <v>0.337768794968724</v>
      </c>
      <c r="Q5566" s="0" t="str">
        <f aca="false">SUBSTITUTE(SUBSTITUTE($I5566,CHAR(61),""),CHAR(34),"")</f>
        <v>50+</v>
      </c>
      <c r="R5566" s="0" t="str">
        <f aca="false">IF($D5566&lt;&gt;"","["&amp;$E5566&amp;"]"&amp;"|"&amp;$Q5566&amp;"|"&amp;$K5566&amp;"|"&amp;$G5566&amp;"|"&amp;IF($G5566="TX_CURR_SUBNAT.R","CY2022Q4",$M5566),"")</f>
        <v>[U8c0so51kT6]|50+|Female|PLHIV_Attend.T|CY2024Q3</v>
      </c>
    </row>
    <row r="5567" customFormat="false" ht="15" hidden="false" customHeight="false" outlineLevel="0" collapsed="false">
      <c r="D5567" s="0" t="s">
        <v>111</v>
      </c>
      <c r="E5567" s="0" t="s">
        <v>112</v>
      </c>
      <c r="F5567" s="0" t="s">
        <v>113</v>
      </c>
      <c r="G5567" s="0" t="s">
        <v>168</v>
      </c>
      <c r="H5567" s="0" t="s">
        <v>168</v>
      </c>
      <c r="I5567" s="0" t="s">
        <v>28</v>
      </c>
      <c r="J5567" s="0" t="s">
        <v>29</v>
      </c>
      <c r="K5567" s="0" t="s">
        <v>48</v>
      </c>
      <c r="L5567" s="0" t="s">
        <v>49</v>
      </c>
      <c r="M5567" s="0" t="s">
        <v>167</v>
      </c>
      <c r="N5567" s="0" t="n">
        <v>1925</v>
      </c>
      <c r="O5567" s="10" t="n">
        <v>0.708059057826176</v>
      </c>
      <c r="P5567" s="10" t="n">
        <v>0.337768794968724</v>
      </c>
      <c r="Q5567" s="0" t="str">
        <f aca="false">SUBSTITUTE(SUBSTITUTE($I5567,CHAR(61),""),CHAR(34),"")</f>
        <v>&lt;01</v>
      </c>
      <c r="R5567" s="0" t="str">
        <f aca="false">IF($D5567&lt;&gt;"","["&amp;$E5567&amp;"]"&amp;"|"&amp;$Q5567&amp;"|"&amp;$K5567&amp;"|"&amp;$G5567&amp;"|"&amp;IF($G5567="TX_CURR_SUBNAT.R","CY2022Q4",$M5567),"")</f>
        <v>[U8c0so51kT6]|&lt;01|Male|PLHIV_Attend.T|CY2024Q3</v>
      </c>
    </row>
    <row r="5568" customFormat="false" ht="15" hidden="false" customHeight="false" outlineLevel="0" collapsed="false">
      <c r="D5568" s="0" t="s">
        <v>111</v>
      </c>
      <c r="E5568" s="0" t="s">
        <v>112</v>
      </c>
      <c r="F5568" s="0" t="s">
        <v>113</v>
      </c>
      <c r="G5568" s="0" t="s">
        <v>168</v>
      </c>
      <c r="H5568" s="0" t="s">
        <v>168</v>
      </c>
      <c r="I5568" s="0" t="s">
        <v>33</v>
      </c>
      <c r="J5568" s="0" t="s">
        <v>34</v>
      </c>
      <c r="K5568" s="0" t="s">
        <v>48</v>
      </c>
      <c r="L5568" s="0" t="s">
        <v>49</v>
      </c>
      <c r="M5568" s="0" t="s">
        <v>167</v>
      </c>
      <c r="N5568" s="0" t="n">
        <v>1541</v>
      </c>
      <c r="O5568" s="10" t="n">
        <v>0.158679618267342</v>
      </c>
      <c r="P5568" s="10" t="n">
        <v>0.337768794968724</v>
      </c>
      <c r="Q5568" s="0" t="str">
        <f aca="false">SUBSTITUTE(SUBSTITUTE($I5568,CHAR(61),""),CHAR(34),"")</f>
        <v>01-09</v>
      </c>
      <c r="R5568" s="0" t="str">
        <f aca="false">IF($D5568&lt;&gt;"","["&amp;$E5568&amp;"]"&amp;"|"&amp;$Q5568&amp;"|"&amp;$K5568&amp;"|"&amp;$G5568&amp;"|"&amp;IF($G5568="TX_CURR_SUBNAT.R","CY2022Q4",$M5568),"")</f>
        <v>[U8c0so51kT6]|01-09|Male|PLHIV_Attend.T|CY2024Q3</v>
      </c>
    </row>
    <row r="5569" customFormat="false" ht="15" hidden="false" customHeight="false" outlineLevel="0" collapsed="false">
      <c r="D5569" s="0" t="s">
        <v>111</v>
      </c>
      <c r="E5569" s="0" t="s">
        <v>112</v>
      </c>
      <c r="F5569" s="0" t="s">
        <v>113</v>
      </c>
      <c r="G5569" s="0" t="s">
        <v>168</v>
      </c>
      <c r="H5569" s="0" t="s">
        <v>168</v>
      </c>
      <c r="I5569" s="0" t="s">
        <v>36</v>
      </c>
      <c r="J5569" s="0" t="s">
        <v>37</v>
      </c>
      <c r="K5569" s="0" t="s">
        <v>48</v>
      </c>
      <c r="L5569" s="0" t="s">
        <v>49</v>
      </c>
      <c r="M5569" s="0" t="s">
        <v>167</v>
      </c>
      <c r="N5569" s="0" t="n">
        <v>1623</v>
      </c>
      <c r="O5569" s="10" t="n">
        <v>0.198140299879014</v>
      </c>
      <c r="P5569" s="10" t="n">
        <v>0.337768794968724</v>
      </c>
      <c r="Q5569" s="0" t="str">
        <f aca="false">SUBSTITUTE(SUBSTITUTE($I5569,CHAR(61),""),CHAR(34),"")</f>
        <v>10-14</v>
      </c>
      <c r="R5569" s="0" t="str">
        <f aca="false">IF($D5569&lt;&gt;"","["&amp;$E5569&amp;"]"&amp;"|"&amp;$Q5569&amp;"|"&amp;$K5569&amp;"|"&amp;$G5569&amp;"|"&amp;IF($G5569="TX_CURR_SUBNAT.R","CY2022Q4",$M5569),"")</f>
        <v>[U8c0so51kT6]|10-14|Male|PLHIV_Attend.T|CY2024Q3</v>
      </c>
    </row>
    <row r="5570" customFormat="false" ht="15" hidden="false" customHeight="false" outlineLevel="0" collapsed="false">
      <c r="D5570" s="0" t="s">
        <v>111</v>
      </c>
      <c r="E5570" s="0" t="s">
        <v>112</v>
      </c>
      <c r="F5570" s="0" t="s">
        <v>113</v>
      </c>
      <c r="G5570" s="0" t="s">
        <v>168</v>
      </c>
      <c r="H5570" s="0" t="s">
        <v>168</v>
      </c>
      <c r="I5570" s="0" t="s">
        <v>38</v>
      </c>
      <c r="J5570" s="0" t="s">
        <v>39</v>
      </c>
      <c r="K5570" s="0" t="s">
        <v>48</v>
      </c>
      <c r="L5570" s="0" t="s">
        <v>49</v>
      </c>
      <c r="M5570" s="0" t="s">
        <v>167</v>
      </c>
      <c r="N5570" s="0" t="n">
        <v>1983</v>
      </c>
      <c r="O5570" s="10" t="n">
        <v>0.699119383469224</v>
      </c>
      <c r="P5570" s="10" t="n">
        <v>0.337768794968724</v>
      </c>
      <c r="Q5570" s="0" t="str">
        <f aca="false">SUBSTITUTE(SUBSTITUTE($I5570,CHAR(61),""),CHAR(34),"")</f>
        <v>15-24</v>
      </c>
      <c r="R5570" s="0" t="str">
        <f aca="false">IF($D5570&lt;&gt;"","["&amp;$E5570&amp;"]"&amp;"|"&amp;$Q5570&amp;"|"&amp;$K5570&amp;"|"&amp;$G5570&amp;"|"&amp;IF($G5570="TX_CURR_SUBNAT.R","CY2022Q4",$M5570),"")</f>
        <v>[U8c0so51kT6]|15-24|Male|PLHIV_Attend.T|CY2024Q3</v>
      </c>
    </row>
    <row r="5571" customFormat="false" ht="15" hidden="false" customHeight="false" outlineLevel="0" collapsed="false">
      <c r="D5571" s="0" t="s">
        <v>111</v>
      </c>
      <c r="E5571" s="0" t="s">
        <v>112</v>
      </c>
      <c r="F5571" s="0" t="s">
        <v>113</v>
      </c>
      <c r="G5571" s="0" t="s">
        <v>168</v>
      </c>
      <c r="H5571" s="0" t="s">
        <v>168</v>
      </c>
      <c r="I5571" s="0" t="s">
        <v>41</v>
      </c>
      <c r="J5571" s="0" t="s">
        <v>42</v>
      </c>
      <c r="K5571" s="0" t="s">
        <v>48</v>
      </c>
      <c r="L5571" s="0" t="s">
        <v>49</v>
      </c>
      <c r="M5571" s="0" t="s">
        <v>167</v>
      </c>
      <c r="N5571" s="0" t="n">
        <v>820</v>
      </c>
      <c r="O5571" s="10" t="n">
        <v>0.517772761173546</v>
      </c>
      <c r="P5571" s="10" t="n">
        <v>0.337768794968724</v>
      </c>
      <c r="Q5571" s="0" t="str">
        <f aca="false">SUBSTITUTE(SUBSTITUTE($I5571,CHAR(61),""),CHAR(34),"")</f>
        <v>25-34</v>
      </c>
      <c r="R5571" s="0" t="str">
        <f aca="false">IF($D5571&lt;&gt;"","["&amp;$E5571&amp;"]"&amp;"|"&amp;$Q5571&amp;"|"&amp;$K5571&amp;"|"&amp;$G5571&amp;"|"&amp;IF($G5571="TX_CURR_SUBNAT.R","CY2022Q4",$M5571),"")</f>
        <v>[U8c0so51kT6]|25-34|Male|PLHIV_Attend.T|CY2024Q3</v>
      </c>
    </row>
    <row r="5572" customFormat="false" ht="15" hidden="false" customHeight="false" outlineLevel="0" collapsed="false">
      <c r="D5572" s="0" t="s">
        <v>111</v>
      </c>
      <c r="E5572" s="0" t="s">
        <v>112</v>
      </c>
      <c r="F5572" s="0" t="s">
        <v>113</v>
      </c>
      <c r="G5572" s="0" t="s">
        <v>168</v>
      </c>
      <c r="H5572" s="0" t="s">
        <v>168</v>
      </c>
      <c r="I5572" s="0" t="s">
        <v>43</v>
      </c>
      <c r="J5572" s="0" t="s">
        <v>44</v>
      </c>
      <c r="K5572" s="0" t="s">
        <v>48</v>
      </c>
      <c r="L5572" s="0" t="s">
        <v>49</v>
      </c>
      <c r="M5572" s="0" t="s">
        <v>167</v>
      </c>
      <c r="N5572" s="0" t="n">
        <v>1036</v>
      </c>
      <c r="O5572" s="10" t="n">
        <v>0.283082009293139</v>
      </c>
      <c r="P5572" s="10" t="n">
        <v>0.337768794968724</v>
      </c>
      <c r="Q5572" s="0" t="str">
        <f aca="false">SUBSTITUTE(SUBSTITUTE($I5572,CHAR(61),""),CHAR(34),"")</f>
        <v>35-49</v>
      </c>
      <c r="R5572" s="0" t="str">
        <f aca="false">IF($D5572&lt;&gt;"","["&amp;$E5572&amp;"]"&amp;"|"&amp;$Q5572&amp;"|"&amp;$K5572&amp;"|"&amp;$G5572&amp;"|"&amp;IF($G5572="TX_CURR_SUBNAT.R","CY2022Q4",$M5572),"")</f>
        <v>[U8c0so51kT6]|35-49|Male|PLHIV_Attend.T|CY2024Q3</v>
      </c>
    </row>
    <row r="5573" customFormat="false" ht="15" hidden="false" customHeight="false" outlineLevel="0" collapsed="false">
      <c r="D5573" s="0" t="s">
        <v>111</v>
      </c>
      <c r="E5573" s="0" t="s">
        <v>112</v>
      </c>
      <c r="F5573" s="0" t="s">
        <v>113</v>
      </c>
      <c r="G5573" s="0" t="s">
        <v>168</v>
      </c>
      <c r="H5573" s="0" t="s">
        <v>168</v>
      </c>
      <c r="I5573" s="0" t="s">
        <v>45</v>
      </c>
      <c r="J5573" s="0" t="s">
        <v>46</v>
      </c>
      <c r="K5573" s="0" t="s">
        <v>48</v>
      </c>
      <c r="L5573" s="0" t="s">
        <v>49</v>
      </c>
      <c r="M5573" s="0" t="s">
        <v>167</v>
      </c>
      <c r="N5573" s="0" t="n">
        <v>1300</v>
      </c>
      <c r="O5573" s="10" t="n">
        <v>0.843278647633269</v>
      </c>
      <c r="P5573" s="10" t="n">
        <v>0.337768794968724</v>
      </c>
      <c r="Q5573" s="0" t="str">
        <f aca="false">SUBSTITUTE(SUBSTITUTE($I5573,CHAR(61),""),CHAR(34),"")</f>
        <v>50+</v>
      </c>
      <c r="R5573" s="0" t="str">
        <f aca="false">IF($D5573&lt;&gt;"","["&amp;$E5573&amp;"]"&amp;"|"&amp;$Q5573&amp;"|"&amp;$K5573&amp;"|"&amp;$G5573&amp;"|"&amp;IF($G5573="TX_CURR_SUBNAT.R","CY2022Q4",$M5573),"")</f>
        <v>[U8c0so51kT6]|50+|Male|PLHIV_Attend.T|CY2024Q3</v>
      </c>
    </row>
    <row r="5574" customFormat="false" ht="15" hidden="false" customHeight="false" outlineLevel="0" collapsed="false">
      <c r="D5574" s="0" t="s">
        <v>114</v>
      </c>
      <c r="E5574" s="0" t="s">
        <v>115</v>
      </c>
      <c r="F5574" s="0" t="s">
        <v>116</v>
      </c>
      <c r="G5574" s="0" t="s">
        <v>168</v>
      </c>
      <c r="H5574" s="0" t="s">
        <v>168</v>
      </c>
      <c r="I5574" s="0" t="s">
        <v>28</v>
      </c>
      <c r="J5574" s="0" t="s">
        <v>29</v>
      </c>
      <c r="K5574" s="0" t="s">
        <v>30</v>
      </c>
      <c r="L5574" s="0" t="s">
        <v>31</v>
      </c>
      <c r="M5574" s="0" t="s">
        <v>167</v>
      </c>
      <c r="N5574" s="0" t="n">
        <v>1168</v>
      </c>
      <c r="O5574" s="10" t="n">
        <v>0.509749501012266</v>
      </c>
      <c r="P5574" s="10" t="n">
        <v>0.298559809103608</v>
      </c>
      <c r="Q5574" s="0" t="str">
        <f aca="false">SUBSTITUTE(SUBSTITUTE($I5574,CHAR(61),""),CHAR(34),"")</f>
        <v>&lt;01</v>
      </c>
      <c r="R5574" s="0" t="str">
        <f aca="false">IF($D5574&lt;&gt;"","["&amp;$E5574&amp;"]"&amp;"|"&amp;$Q5574&amp;"|"&amp;$K5574&amp;"|"&amp;$G5574&amp;"|"&amp;IF($G5574="TX_CURR_SUBNAT.R","CY2022Q4",$M5574),"")</f>
        <v>[rpw540fmNUz]|&lt;01|Female|PLHIV_Attend.T|CY2024Q3</v>
      </c>
    </row>
    <row r="5575" customFormat="false" ht="15" hidden="false" customHeight="false" outlineLevel="0" collapsed="false">
      <c r="D5575" s="0" t="s">
        <v>114</v>
      </c>
      <c r="E5575" s="0" t="s">
        <v>115</v>
      </c>
      <c r="F5575" s="0" t="s">
        <v>116</v>
      </c>
      <c r="G5575" s="0" t="s">
        <v>168</v>
      </c>
      <c r="H5575" s="0" t="s">
        <v>168</v>
      </c>
      <c r="I5575" s="0" t="s">
        <v>33</v>
      </c>
      <c r="J5575" s="0" t="s">
        <v>34</v>
      </c>
      <c r="K5575" s="0" t="s">
        <v>30</v>
      </c>
      <c r="L5575" s="0" t="s">
        <v>31</v>
      </c>
      <c r="M5575" s="0" t="s">
        <v>167</v>
      </c>
      <c r="N5575" s="0" t="n">
        <v>565</v>
      </c>
      <c r="O5575" s="10" t="n">
        <v>0.552919524721801</v>
      </c>
      <c r="P5575" s="10" t="n">
        <v>0.298559809103608</v>
      </c>
      <c r="Q5575" s="0" t="str">
        <f aca="false">SUBSTITUTE(SUBSTITUTE($I5575,CHAR(61),""),CHAR(34),"")</f>
        <v>01-09</v>
      </c>
      <c r="R5575" s="0" t="str">
        <f aca="false">IF($D5575&lt;&gt;"","["&amp;$E5575&amp;"]"&amp;"|"&amp;$Q5575&amp;"|"&amp;$K5575&amp;"|"&amp;$G5575&amp;"|"&amp;IF($G5575="TX_CURR_SUBNAT.R","CY2022Q4",$M5575),"")</f>
        <v>[rpw540fmNUz]|01-09|Female|PLHIV_Attend.T|CY2024Q3</v>
      </c>
    </row>
    <row r="5576" customFormat="false" ht="15" hidden="false" customHeight="false" outlineLevel="0" collapsed="false">
      <c r="D5576" s="0" t="s">
        <v>114</v>
      </c>
      <c r="E5576" s="0" t="s">
        <v>115</v>
      </c>
      <c r="F5576" s="0" t="s">
        <v>116</v>
      </c>
      <c r="G5576" s="0" t="s">
        <v>168</v>
      </c>
      <c r="H5576" s="0" t="s">
        <v>168</v>
      </c>
      <c r="I5576" s="0" t="s">
        <v>36</v>
      </c>
      <c r="J5576" s="0" t="s">
        <v>37</v>
      </c>
      <c r="K5576" s="0" t="s">
        <v>30</v>
      </c>
      <c r="L5576" s="0" t="s">
        <v>31</v>
      </c>
      <c r="M5576" s="0" t="s">
        <v>167</v>
      </c>
      <c r="N5576" s="0" t="n">
        <v>1190</v>
      </c>
      <c r="O5576" s="10" t="n">
        <v>0.27848807699047</v>
      </c>
      <c r="P5576" s="10" t="n">
        <v>0.298559809103608</v>
      </c>
      <c r="Q5576" s="0" t="str">
        <f aca="false">SUBSTITUTE(SUBSTITUTE($I5576,CHAR(61),""),CHAR(34),"")</f>
        <v>10-14</v>
      </c>
      <c r="R5576" s="0" t="str">
        <f aca="false">IF($D5576&lt;&gt;"","["&amp;$E5576&amp;"]"&amp;"|"&amp;$Q5576&amp;"|"&amp;$K5576&amp;"|"&amp;$G5576&amp;"|"&amp;IF($G5576="TX_CURR_SUBNAT.R","CY2022Q4",$M5576),"")</f>
        <v>[rpw540fmNUz]|10-14|Female|PLHIV_Attend.T|CY2024Q3</v>
      </c>
    </row>
    <row r="5577" customFormat="false" ht="15" hidden="false" customHeight="false" outlineLevel="0" collapsed="false">
      <c r="D5577" s="0" t="s">
        <v>114</v>
      </c>
      <c r="E5577" s="0" t="s">
        <v>115</v>
      </c>
      <c r="F5577" s="0" t="s">
        <v>116</v>
      </c>
      <c r="G5577" s="0" t="s">
        <v>168</v>
      </c>
      <c r="H5577" s="0" t="s">
        <v>168</v>
      </c>
      <c r="I5577" s="0" t="s">
        <v>38</v>
      </c>
      <c r="J5577" s="0" t="s">
        <v>39</v>
      </c>
      <c r="K5577" s="0" t="s">
        <v>30</v>
      </c>
      <c r="L5577" s="0" t="s">
        <v>31</v>
      </c>
      <c r="M5577" s="0" t="s">
        <v>167</v>
      </c>
      <c r="N5577" s="0" t="n">
        <v>899</v>
      </c>
      <c r="O5577" s="10" t="n">
        <v>0.0950094640720636</v>
      </c>
      <c r="P5577" s="10" t="n">
        <v>0.298559809103608</v>
      </c>
      <c r="Q5577" s="0" t="str">
        <f aca="false">SUBSTITUTE(SUBSTITUTE($I5577,CHAR(61),""),CHAR(34),"")</f>
        <v>15-24</v>
      </c>
      <c r="R5577" s="0" t="str">
        <f aca="false">IF($D5577&lt;&gt;"","["&amp;$E5577&amp;"]"&amp;"|"&amp;$Q5577&amp;"|"&amp;$K5577&amp;"|"&amp;$G5577&amp;"|"&amp;IF($G5577="TX_CURR_SUBNAT.R","CY2022Q4",$M5577),"")</f>
        <v>[rpw540fmNUz]|15-24|Female|PLHIV_Attend.T|CY2024Q3</v>
      </c>
    </row>
    <row r="5578" customFormat="false" ht="15" hidden="false" customHeight="false" outlineLevel="0" collapsed="false">
      <c r="D5578" s="0" t="s">
        <v>114</v>
      </c>
      <c r="E5578" s="0" t="s">
        <v>115</v>
      </c>
      <c r="F5578" s="0" t="s">
        <v>116</v>
      </c>
      <c r="G5578" s="0" t="s">
        <v>168</v>
      </c>
      <c r="H5578" s="0" t="s">
        <v>168</v>
      </c>
      <c r="I5578" s="0" t="s">
        <v>41</v>
      </c>
      <c r="J5578" s="0" t="s">
        <v>42</v>
      </c>
      <c r="K5578" s="0" t="s">
        <v>30</v>
      </c>
      <c r="L5578" s="0" t="s">
        <v>31</v>
      </c>
      <c r="M5578" s="0" t="s">
        <v>167</v>
      </c>
      <c r="N5578" s="0" t="n">
        <v>646</v>
      </c>
      <c r="O5578" s="10" t="n">
        <v>0.971187727991492</v>
      </c>
      <c r="P5578" s="10" t="n">
        <v>0.298559809103608</v>
      </c>
      <c r="Q5578" s="0" t="str">
        <f aca="false">SUBSTITUTE(SUBSTITUTE($I5578,CHAR(61),""),CHAR(34),"")</f>
        <v>25-34</v>
      </c>
      <c r="R5578" s="0" t="str">
        <f aca="false">IF($D5578&lt;&gt;"","["&amp;$E5578&amp;"]"&amp;"|"&amp;$Q5578&amp;"|"&amp;$K5578&amp;"|"&amp;$G5578&amp;"|"&amp;IF($G5578="TX_CURR_SUBNAT.R","CY2022Q4",$M5578),"")</f>
        <v>[rpw540fmNUz]|25-34|Female|PLHIV_Attend.T|CY2024Q3</v>
      </c>
    </row>
    <row r="5579" customFormat="false" ht="15" hidden="false" customHeight="false" outlineLevel="0" collapsed="false">
      <c r="D5579" s="0" t="s">
        <v>114</v>
      </c>
      <c r="E5579" s="0" t="s">
        <v>115</v>
      </c>
      <c r="F5579" s="0" t="s">
        <v>116</v>
      </c>
      <c r="G5579" s="0" t="s">
        <v>168</v>
      </c>
      <c r="H5579" s="0" t="s">
        <v>168</v>
      </c>
      <c r="I5579" s="0" t="s">
        <v>43</v>
      </c>
      <c r="J5579" s="0" t="s">
        <v>44</v>
      </c>
      <c r="K5579" s="0" t="s">
        <v>30</v>
      </c>
      <c r="L5579" s="0" t="s">
        <v>31</v>
      </c>
      <c r="M5579" s="0" t="s">
        <v>167</v>
      </c>
      <c r="N5579" s="0" t="n">
        <v>552</v>
      </c>
      <c r="O5579" s="10" t="n">
        <v>0.777226179838181</v>
      </c>
      <c r="P5579" s="10" t="n">
        <v>0.298559809103608</v>
      </c>
      <c r="Q5579" s="0" t="str">
        <f aca="false">SUBSTITUTE(SUBSTITUTE($I5579,CHAR(61),""),CHAR(34),"")</f>
        <v>35-49</v>
      </c>
      <c r="R5579" s="0" t="str">
        <f aca="false">IF($D5579&lt;&gt;"","["&amp;$E5579&amp;"]"&amp;"|"&amp;$Q5579&amp;"|"&amp;$K5579&amp;"|"&amp;$G5579&amp;"|"&amp;IF($G5579="TX_CURR_SUBNAT.R","CY2022Q4",$M5579),"")</f>
        <v>[rpw540fmNUz]|35-49|Female|PLHIV_Attend.T|CY2024Q3</v>
      </c>
    </row>
    <row r="5580" customFormat="false" ht="15" hidden="false" customHeight="false" outlineLevel="0" collapsed="false">
      <c r="D5580" s="0" t="s">
        <v>114</v>
      </c>
      <c r="E5580" s="0" t="s">
        <v>115</v>
      </c>
      <c r="F5580" s="0" t="s">
        <v>116</v>
      </c>
      <c r="G5580" s="0" t="s">
        <v>168</v>
      </c>
      <c r="H5580" s="0" t="s">
        <v>168</v>
      </c>
      <c r="I5580" s="0" t="s">
        <v>45</v>
      </c>
      <c r="J5580" s="0" t="s">
        <v>46</v>
      </c>
      <c r="K5580" s="0" t="s">
        <v>30</v>
      </c>
      <c r="L5580" s="0" t="s">
        <v>31</v>
      </c>
      <c r="M5580" s="0" t="s">
        <v>167</v>
      </c>
      <c r="N5580" s="0" t="n">
        <v>1986</v>
      </c>
      <c r="O5580" s="10" t="n">
        <v>0.53636530879885</v>
      </c>
      <c r="P5580" s="10" t="n">
        <v>0.298559809103608</v>
      </c>
      <c r="Q5580" s="0" t="str">
        <f aca="false">SUBSTITUTE(SUBSTITUTE($I5580,CHAR(61),""),CHAR(34),"")</f>
        <v>50+</v>
      </c>
      <c r="R5580" s="0" t="str">
        <f aca="false">IF($D5580&lt;&gt;"","["&amp;$E5580&amp;"]"&amp;"|"&amp;$Q5580&amp;"|"&amp;$K5580&amp;"|"&amp;$G5580&amp;"|"&amp;IF($G5580="TX_CURR_SUBNAT.R","CY2022Q4",$M5580),"")</f>
        <v>[rpw540fmNUz]|50+|Female|PLHIV_Attend.T|CY2024Q3</v>
      </c>
    </row>
    <row r="5581" customFormat="false" ht="15" hidden="false" customHeight="false" outlineLevel="0" collapsed="false">
      <c r="D5581" s="0" t="s">
        <v>114</v>
      </c>
      <c r="E5581" s="0" t="s">
        <v>115</v>
      </c>
      <c r="F5581" s="0" t="s">
        <v>116</v>
      </c>
      <c r="G5581" s="0" t="s">
        <v>168</v>
      </c>
      <c r="H5581" s="0" t="s">
        <v>168</v>
      </c>
      <c r="I5581" s="0" t="s">
        <v>28</v>
      </c>
      <c r="J5581" s="0" t="s">
        <v>29</v>
      </c>
      <c r="K5581" s="0" t="s">
        <v>48</v>
      </c>
      <c r="L5581" s="0" t="s">
        <v>49</v>
      </c>
      <c r="M5581" s="0" t="s">
        <v>167</v>
      </c>
      <c r="N5581" s="0" t="n">
        <v>691</v>
      </c>
      <c r="O5581" s="10" t="n">
        <v>0.811284475494176</v>
      </c>
      <c r="P5581" s="10" t="n">
        <v>0.298559809103608</v>
      </c>
      <c r="Q5581" s="0" t="str">
        <f aca="false">SUBSTITUTE(SUBSTITUTE($I5581,CHAR(61),""),CHAR(34),"")</f>
        <v>&lt;01</v>
      </c>
      <c r="R5581" s="0" t="str">
        <f aca="false">IF($D5581&lt;&gt;"","["&amp;$E5581&amp;"]"&amp;"|"&amp;$Q5581&amp;"|"&amp;$K5581&amp;"|"&amp;$G5581&amp;"|"&amp;IF($G5581="TX_CURR_SUBNAT.R","CY2022Q4",$M5581),"")</f>
        <v>[rpw540fmNUz]|&lt;01|Male|PLHIV_Attend.T|CY2024Q3</v>
      </c>
    </row>
    <row r="5582" customFormat="false" ht="15" hidden="false" customHeight="false" outlineLevel="0" collapsed="false">
      <c r="D5582" s="0" t="s">
        <v>114</v>
      </c>
      <c r="E5582" s="0" t="s">
        <v>115</v>
      </c>
      <c r="F5582" s="0" t="s">
        <v>116</v>
      </c>
      <c r="G5582" s="0" t="s">
        <v>168</v>
      </c>
      <c r="H5582" s="0" t="s">
        <v>168</v>
      </c>
      <c r="I5582" s="0" t="s">
        <v>33</v>
      </c>
      <c r="J5582" s="0" t="s">
        <v>34</v>
      </c>
      <c r="K5582" s="0" t="s">
        <v>48</v>
      </c>
      <c r="L5582" s="0" t="s">
        <v>49</v>
      </c>
      <c r="M5582" s="0" t="s">
        <v>167</v>
      </c>
      <c r="N5582" s="0" t="n">
        <v>612</v>
      </c>
      <c r="O5582" s="10" t="n">
        <v>0.285596918081865</v>
      </c>
      <c r="P5582" s="10" t="n">
        <v>0.298559809103608</v>
      </c>
      <c r="Q5582" s="0" t="str">
        <f aca="false">SUBSTITUTE(SUBSTITUTE($I5582,CHAR(61),""),CHAR(34),"")</f>
        <v>01-09</v>
      </c>
      <c r="R5582" s="0" t="str">
        <f aca="false">IF($D5582&lt;&gt;"","["&amp;$E5582&amp;"]"&amp;"|"&amp;$Q5582&amp;"|"&amp;$K5582&amp;"|"&amp;$G5582&amp;"|"&amp;IF($G5582="TX_CURR_SUBNAT.R","CY2022Q4",$M5582),"")</f>
        <v>[rpw540fmNUz]|01-09|Male|PLHIV_Attend.T|CY2024Q3</v>
      </c>
    </row>
    <row r="5583" customFormat="false" ht="15" hidden="false" customHeight="false" outlineLevel="0" collapsed="false">
      <c r="D5583" s="0" t="s">
        <v>114</v>
      </c>
      <c r="E5583" s="0" t="s">
        <v>115</v>
      </c>
      <c r="F5583" s="0" t="s">
        <v>116</v>
      </c>
      <c r="G5583" s="0" t="s">
        <v>168</v>
      </c>
      <c r="H5583" s="0" t="s">
        <v>168</v>
      </c>
      <c r="I5583" s="0" t="s">
        <v>36</v>
      </c>
      <c r="J5583" s="0" t="s">
        <v>37</v>
      </c>
      <c r="K5583" s="0" t="s">
        <v>48</v>
      </c>
      <c r="L5583" s="0" t="s">
        <v>49</v>
      </c>
      <c r="M5583" s="0" t="s">
        <v>167</v>
      </c>
      <c r="N5583" s="0" t="n">
        <v>529</v>
      </c>
      <c r="O5583" s="10" t="n">
        <v>0.816765563096851</v>
      </c>
      <c r="P5583" s="10" t="n">
        <v>0.298559809103608</v>
      </c>
      <c r="Q5583" s="0" t="str">
        <f aca="false">SUBSTITUTE(SUBSTITUTE($I5583,CHAR(61),""),CHAR(34),"")</f>
        <v>10-14</v>
      </c>
      <c r="R5583" s="0" t="str">
        <f aca="false">IF($D5583&lt;&gt;"","["&amp;$E5583&amp;"]"&amp;"|"&amp;$Q5583&amp;"|"&amp;$K5583&amp;"|"&amp;$G5583&amp;"|"&amp;IF($G5583="TX_CURR_SUBNAT.R","CY2022Q4",$M5583),"")</f>
        <v>[rpw540fmNUz]|10-14|Male|PLHIV_Attend.T|CY2024Q3</v>
      </c>
    </row>
    <row r="5584" customFormat="false" ht="15" hidden="false" customHeight="false" outlineLevel="0" collapsed="false">
      <c r="D5584" s="0" t="s">
        <v>114</v>
      </c>
      <c r="E5584" s="0" t="s">
        <v>115</v>
      </c>
      <c r="F5584" s="0" t="s">
        <v>116</v>
      </c>
      <c r="G5584" s="0" t="s">
        <v>168</v>
      </c>
      <c r="H5584" s="0" t="s">
        <v>168</v>
      </c>
      <c r="I5584" s="0" t="s">
        <v>38</v>
      </c>
      <c r="J5584" s="0" t="s">
        <v>39</v>
      </c>
      <c r="K5584" s="0" t="s">
        <v>48</v>
      </c>
      <c r="L5584" s="0" t="s">
        <v>49</v>
      </c>
      <c r="M5584" s="0" t="s">
        <v>167</v>
      </c>
      <c r="N5584" s="0" t="n">
        <v>1630</v>
      </c>
      <c r="O5584" s="10" t="n">
        <v>0.368544296594337</v>
      </c>
      <c r="P5584" s="10" t="n">
        <v>0.298559809103608</v>
      </c>
      <c r="Q5584" s="0" t="str">
        <f aca="false">SUBSTITUTE(SUBSTITUTE($I5584,CHAR(61),""),CHAR(34),"")</f>
        <v>15-24</v>
      </c>
      <c r="R5584" s="0" t="str">
        <f aca="false">IF($D5584&lt;&gt;"","["&amp;$E5584&amp;"]"&amp;"|"&amp;$Q5584&amp;"|"&amp;$K5584&amp;"|"&amp;$G5584&amp;"|"&amp;IF($G5584="TX_CURR_SUBNAT.R","CY2022Q4",$M5584),"")</f>
        <v>[rpw540fmNUz]|15-24|Male|PLHIV_Attend.T|CY2024Q3</v>
      </c>
    </row>
    <row r="5585" customFormat="false" ht="15" hidden="false" customHeight="false" outlineLevel="0" collapsed="false">
      <c r="D5585" s="0" t="s">
        <v>114</v>
      </c>
      <c r="E5585" s="0" t="s">
        <v>115</v>
      </c>
      <c r="F5585" s="0" t="s">
        <v>116</v>
      </c>
      <c r="G5585" s="0" t="s">
        <v>168</v>
      </c>
      <c r="H5585" s="0" t="s">
        <v>168</v>
      </c>
      <c r="I5585" s="0" t="s">
        <v>41</v>
      </c>
      <c r="J5585" s="0" t="s">
        <v>42</v>
      </c>
      <c r="K5585" s="0" t="s">
        <v>48</v>
      </c>
      <c r="L5585" s="0" t="s">
        <v>49</v>
      </c>
      <c r="M5585" s="0" t="s">
        <v>167</v>
      </c>
      <c r="N5585" s="0" t="n">
        <v>1240</v>
      </c>
      <c r="O5585" s="10" t="n">
        <v>0.471237839199603</v>
      </c>
      <c r="P5585" s="10" t="n">
        <v>0.298559809103608</v>
      </c>
      <c r="Q5585" s="0" t="str">
        <f aca="false">SUBSTITUTE(SUBSTITUTE($I5585,CHAR(61),""),CHAR(34),"")</f>
        <v>25-34</v>
      </c>
      <c r="R5585" s="0" t="str">
        <f aca="false">IF($D5585&lt;&gt;"","["&amp;$E5585&amp;"]"&amp;"|"&amp;$Q5585&amp;"|"&amp;$K5585&amp;"|"&amp;$G5585&amp;"|"&amp;IF($G5585="TX_CURR_SUBNAT.R","CY2022Q4",$M5585),"")</f>
        <v>[rpw540fmNUz]|25-34|Male|PLHIV_Attend.T|CY2024Q3</v>
      </c>
    </row>
    <row r="5586" customFormat="false" ht="15" hidden="false" customHeight="false" outlineLevel="0" collapsed="false">
      <c r="D5586" s="0" t="s">
        <v>114</v>
      </c>
      <c r="E5586" s="0" t="s">
        <v>115</v>
      </c>
      <c r="F5586" s="0" t="s">
        <v>116</v>
      </c>
      <c r="G5586" s="0" t="s">
        <v>168</v>
      </c>
      <c r="H5586" s="0" t="s">
        <v>168</v>
      </c>
      <c r="I5586" s="0" t="s">
        <v>43</v>
      </c>
      <c r="J5586" s="0" t="s">
        <v>44</v>
      </c>
      <c r="K5586" s="0" t="s">
        <v>48</v>
      </c>
      <c r="L5586" s="0" t="s">
        <v>49</v>
      </c>
      <c r="M5586" s="0" t="s">
        <v>167</v>
      </c>
      <c r="N5586" s="0" t="n">
        <v>776</v>
      </c>
      <c r="O5586" s="10" t="n">
        <v>0.767341435188428</v>
      </c>
      <c r="P5586" s="10" t="n">
        <v>0.298559809103608</v>
      </c>
      <c r="Q5586" s="0" t="str">
        <f aca="false">SUBSTITUTE(SUBSTITUTE($I5586,CHAR(61),""),CHAR(34),"")</f>
        <v>35-49</v>
      </c>
      <c r="R5586" s="0" t="str">
        <f aca="false">IF($D5586&lt;&gt;"","["&amp;$E5586&amp;"]"&amp;"|"&amp;$Q5586&amp;"|"&amp;$K5586&amp;"|"&amp;$G5586&amp;"|"&amp;IF($G5586="TX_CURR_SUBNAT.R","CY2022Q4",$M5586),"")</f>
        <v>[rpw540fmNUz]|35-49|Male|PLHIV_Attend.T|CY2024Q3</v>
      </c>
    </row>
    <row r="5587" customFormat="false" ht="15" hidden="false" customHeight="false" outlineLevel="0" collapsed="false">
      <c r="D5587" s="0" t="s">
        <v>114</v>
      </c>
      <c r="E5587" s="0" t="s">
        <v>115</v>
      </c>
      <c r="F5587" s="0" t="s">
        <v>116</v>
      </c>
      <c r="G5587" s="0" t="s">
        <v>168</v>
      </c>
      <c r="H5587" s="0" t="s">
        <v>168</v>
      </c>
      <c r="I5587" s="0" t="s">
        <v>45</v>
      </c>
      <c r="J5587" s="0" t="s">
        <v>46</v>
      </c>
      <c r="K5587" s="0" t="s">
        <v>48</v>
      </c>
      <c r="L5587" s="0" t="s">
        <v>49</v>
      </c>
      <c r="M5587" s="0" t="s">
        <v>167</v>
      </c>
      <c r="N5587" s="0" t="n">
        <v>689</v>
      </c>
      <c r="O5587" s="10" t="n">
        <v>0.954893044196069</v>
      </c>
      <c r="P5587" s="10" t="n">
        <v>0.298559809103608</v>
      </c>
      <c r="Q5587" s="0" t="str">
        <f aca="false">SUBSTITUTE(SUBSTITUTE($I5587,CHAR(61),""),CHAR(34),"")</f>
        <v>50+</v>
      </c>
      <c r="R5587" s="0" t="str">
        <f aca="false">IF($D5587&lt;&gt;"","["&amp;$E5587&amp;"]"&amp;"|"&amp;$Q5587&amp;"|"&amp;$K5587&amp;"|"&amp;$G5587&amp;"|"&amp;IF($G5587="TX_CURR_SUBNAT.R","CY2022Q4",$M5587),"")</f>
        <v>[rpw540fmNUz]|50+|Male|PLHIV_Attend.T|CY2024Q3</v>
      </c>
    </row>
    <row r="5588" customFormat="false" ht="15" hidden="false" customHeight="false" outlineLevel="0" collapsed="false">
      <c r="D5588" s="0" t="s">
        <v>117</v>
      </c>
      <c r="E5588" s="0" t="s">
        <v>118</v>
      </c>
      <c r="F5588" s="0" t="s">
        <v>119</v>
      </c>
      <c r="G5588" s="0" t="s">
        <v>168</v>
      </c>
      <c r="H5588" s="0" t="s">
        <v>168</v>
      </c>
      <c r="I5588" s="0" t="s">
        <v>28</v>
      </c>
      <c r="J5588" s="0" t="s">
        <v>29</v>
      </c>
      <c r="K5588" s="0" t="s">
        <v>30</v>
      </c>
      <c r="L5588" s="0" t="s">
        <v>31</v>
      </c>
      <c r="M5588" s="0" t="s">
        <v>167</v>
      </c>
      <c r="N5588" s="0" t="n">
        <v>674</v>
      </c>
      <c r="O5588" s="10" t="n">
        <v>0.997190467780456</v>
      </c>
      <c r="P5588" s="10" t="n">
        <v>0.206259709550068</v>
      </c>
      <c r="Q5588" s="0" t="str">
        <f aca="false">SUBSTITUTE(SUBSTITUTE($I5588,CHAR(61),""),CHAR(34),"")</f>
        <v>&lt;01</v>
      </c>
      <c r="R5588" s="0" t="str">
        <f aca="false">IF($D5588&lt;&gt;"","["&amp;$E5588&amp;"]"&amp;"|"&amp;$Q5588&amp;"|"&amp;$K5588&amp;"|"&amp;$G5588&amp;"|"&amp;IF($G5588="TX_CURR_SUBNAT.R","CY2022Q4",$M5588),"")</f>
        <v>[lPTyjLi4w3d]|&lt;01|Female|PLHIV_Attend.T|CY2024Q3</v>
      </c>
    </row>
    <row r="5589" customFormat="false" ht="15" hidden="false" customHeight="false" outlineLevel="0" collapsed="false">
      <c r="D5589" s="0" t="s">
        <v>117</v>
      </c>
      <c r="E5589" s="0" t="s">
        <v>118</v>
      </c>
      <c r="F5589" s="0" t="s">
        <v>119</v>
      </c>
      <c r="G5589" s="0" t="s">
        <v>168</v>
      </c>
      <c r="H5589" s="0" t="s">
        <v>168</v>
      </c>
      <c r="I5589" s="0" t="s">
        <v>33</v>
      </c>
      <c r="J5589" s="0" t="s">
        <v>34</v>
      </c>
      <c r="K5589" s="0" t="s">
        <v>30</v>
      </c>
      <c r="L5589" s="0" t="s">
        <v>31</v>
      </c>
      <c r="M5589" s="0" t="s">
        <v>167</v>
      </c>
      <c r="N5589" s="0" t="n">
        <v>1599</v>
      </c>
      <c r="O5589" s="10" t="n">
        <v>0.0297972145490348</v>
      </c>
      <c r="P5589" s="10" t="n">
        <v>0.206259709550068</v>
      </c>
      <c r="Q5589" s="0" t="str">
        <f aca="false">SUBSTITUTE(SUBSTITUTE($I5589,CHAR(61),""),CHAR(34),"")</f>
        <v>01-09</v>
      </c>
      <c r="R5589" s="0" t="str">
        <f aca="false">IF($D5589&lt;&gt;"","["&amp;$E5589&amp;"]"&amp;"|"&amp;$Q5589&amp;"|"&amp;$K5589&amp;"|"&amp;$G5589&amp;"|"&amp;IF($G5589="TX_CURR_SUBNAT.R","CY2022Q4",$M5589),"")</f>
        <v>[lPTyjLi4w3d]|01-09|Female|PLHIV_Attend.T|CY2024Q3</v>
      </c>
    </row>
    <row r="5590" customFormat="false" ht="15" hidden="false" customHeight="false" outlineLevel="0" collapsed="false">
      <c r="D5590" s="0" t="s">
        <v>117</v>
      </c>
      <c r="E5590" s="0" t="s">
        <v>118</v>
      </c>
      <c r="F5590" s="0" t="s">
        <v>119</v>
      </c>
      <c r="G5590" s="0" t="s">
        <v>168</v>
      </c>
      <c r="H5590" s="0" t="s">
        <v>168</v>
      </c>
      <c r="I5590" s="0" t="s">
        <v>36</v>
      </c>
      <c r="J5590" s="0" t="s">
        <v>37</v>
      </c>
      <c r="K5590" s="0" t="s">
        <v>30</v>
      </c>
      <c r="L5590" s="0" t="s">
        <v>31</v>
      </c>
      <c r="M5590" s="0" t="s">
        <v>167</v>
      </c>
      <c r="N5590" s="0" t="n">
        <v>1482</v>
      </c>
      <c r="O5590" s="10" t="n">
        <v>0.232799239456654</v>
      </c>
      <c r="P5590" s="10" t="n">
        <v>0.206259709550068</v>
      </c>
      <c r="Q5590" s="0" t="str">
        <f aca="false">SUBSTITUTE(SUBSTITUTE($I5590,CHAR(61),""),CHAR(34),"")</f>
        <v>10-14</v>
      </c>
      <c r="R5590" s="0" t="str">
        <f aca="false">IF($D5590&lt;&gt;"","["&amp;$E5590&amp;"]"&amp;"|"&amp;$Q5590&amp;"|"&amp;$K5590&amp;"|"&amp;$G5590&amp;"|"&amp;IF($G5590="TX_CURR_SUBNAT.R","CY2022Q4",$M5590),"")</f>
        <v>[lPTyjLi4w3d]|10-14|Female|PLHIV_Attend.T|CY2024Q3</v>
      </c>
    </row>
    <row r="5591" customFormat="false" ht="15" hidden="false" customHeight="false" outlineLevel="0" collapsed="false">
      <c r="D5591" s="0" t="s">
        <v>117</v>
      </c>
      <c r="E5591" s="0" t="s">
        <v>118</v>
      </c>
      <c r="F5591" s="0" t="s">
        <v>119</v>
      </c>
      <c r="G5591" s="0" t="s">
        <v>168</v>
      </c>
      <c r="H5591" s="0" t="s">
        <v>168</v>
      </c>
      <c r="I5591" s="0" t="s">
        <v>38</v>
      </c>
      <c r="J5591" s="0" t="s">
        <v>39</v>
      </c>
      <c r="K5591" s="0" t="s">
        <v>30</v>
      </c>
      <c r="L5591" s="0" t="s">
        <v>31</v>
      </c>
      <c r="M5591" s="0" t="s">
        <v>167</v>
      </c>
      <c r="N5591" s="0" t="n">
        <v>645</v>
      </c>
      <c r="O5591" s="10" t="n">
        <v>0.157958371564746</v>
      </c>
      <c r="P5591" s="10" t="n">
        <v>0.206259709550068</v>
      </c>
      <c r="Q5591" s="0" t="str">
        <f aca="false">SUBSTITUTE(SUBSTITUTE($I5591,CHAR(61),""),CHAR(34),"")</f>
        <v>15-24</v>
      </c>
      <c r="R5591" s="0" t="str">
        <f aca="false">IF($D5591&lt;&gt;"","["&amp;$E5591&amp;"]"&amp;"|"&amp;$Q5591&amp;"|"&amp;$K5591&amp;"|"&amp;$G5591&amp;"|"&amp;IF($G5591="TX_CURR_SUBNAT.R","CY2022Q4",$M5591),"")</f>
        <v>[lPTyjLi4w3d]|15-24|Female|PLHIV_Attend.T|CY2024Q3</v>
      </c>
    </row>
    <row r="5592" customFormat="false" ht="15" hidden="false" customHeight="false" outlineLevel="0" collapsed="false">
      <c r="D5592" s="0" t="s">
        <v>117</v>
      </c>
      <c r="E5592" s="0" t="s">
        <v>118</v>
      </c>
      <c r="F5592" s="0" t="s">
        <v>119</v>
      </c>
      <c r="G5592" s="0" t="s">
        <v>168</v>
      </c>
      <c r="H5592" s="0" t="s">
        <v>168</v>
      </c>
      <c r="I5592" s="0" t="s">
        <v>41</v>
      </c>
      <c r="J5592" s="0" t="s">
        <v>42</v>
      </c>
      <c r="K5592" s="0" t="s">
        <v>30</v>
      </c>
      <c r="L5592" s="0" t="s">
        <v>31</v>
      </c>
      <c r="M5592" s="0" t="s">
        <v>167</v>
      </c>
      <c r="N5592" s="0" t="n">
        <v>1847</v>
      </c>
      <c r="O5592" s="10" t="n">
        <v>0.169757870957255</v>
      </c>
      <c r="P5592" s="10" t="n">
        <v>0.206259709550068</v>
      </c>
      <c r="Q5592" s="0" t="str">
        <f aca="false">SUBSTITUTE(SUBSTITUTE($I5592,CHAR(61),""),CHAR(34),"")</f>
        <v>25-34</v>
      </c>
      <c r="R5592" s="0" t="str">
        <f aca="false">IF($D5592&lt;&gt;"","["&amp;$E5592&amp;"]"&amp;"|"&amp;$Q5592&amp;"|"&amp;$K5592&amp;"|"&amp;$G5592&amp;"|"&amp;IF($G5592="TX_CURR_SUBNAT.R","CY2022Q4",$M5592),"")</f>
        <v>[lPTyjLi4w3d]|25-34|Female|PLHIV_Attend.T|CY2024Q3</v>
      </c>
    </row>
    <row r="5593" customFormat="false" ht="15" hidden="false" customHeight="false" outlineLevel="0" collapsed="false">
      <c r="D5593" s="0" t="s">
        <v>117</v>
      </c>
      <c r="E5593" s="0" t="s">
        <v>118</v>
      </c>
      <c r="F5593" s="0" t="s">
        <v>119</v>
      </c>
      <c r="G5593" s="0" t="s">
        <v>168</v>
      </c>
      <c r="H5593" s="0" t="s">
        <v>168</v>
      </c>
      <c r="I5593" s="0" t="s">
        <v>43</v>
      </c>
      <c r="J5593" s="0" t="s">
        <v>44</v>
      </c>
      <c r="K5593" s="0" t="s">
        <v>30</v>
      </c>
      <c r="L5593" s="0" t="s">
        <v>31</v>
      </c>
      <c r="M5593" s="0" t="s">
        <v>167</v>
      </c>
      <c r="N5593" s="0" t="n">
        <v>1766</v>
      </c>
      <c r="O5593" s="10" t="n">
        <v>0.181737324921414</v>
      </c>
      <c r="P5593" s="10" t="n">
        <v>0.206259709550068</v>
      </c>
      <c r="Q5593" s="0" t="str">
        <f aca="false">SUBSTITUTE(SUBSTITUTE($I5593,CHAR(61),""),CHAR(34),"")</f>
        <v>35-49</v>
      </c>
      <c r="R5593" s="0" t="str">
        <f aca="false">IF($D5593&lt;&gt;"","["&amp;$E5593&amp;"]"&amp;"|"&amp;$Q5593&amp;"|"&amp;$K5593&amp;"|"&amp;$G5593&amp;"|"&amp;IF($G5593="TX_CURR_SUBNAT.R","CY2022Q4",$M5593),"")</f>
        <v>[lPTyjLi4w3d]|35-49|Female|PLHIV_Attend.T|CY2024Q3</v>
      </c>
    </row>
    <row r="5594" customFormat="false" ht="15" hidden="false" customHeight="false" outlineLevel="0" collapsed="false">
      <c r="D5594" s="0" t="s">
        <v>117</v>
      </c>
      <c r="E5594" s="0" t="s">
        <v>118</v>
      </c>
      <c r="F5594" s="0" t="s">
        <v>119</v>
      </c>
      <c r="G5594" s="0" t="s">
        <v>168</v>
      </c>
      <c r="H5594" s="0" t="s">
        <v>168</v>
      </c>
      <c r="I5594" s="0" t="s">
        <v>45</v>
      </c>
      <c r="J5594" s="0" t="s">
        <v>46</v>
      </c>
      <c r="K5594" s="0" t="s">
        <v>30</v>
      </c>
      <c r="L5594" s="0" t="s">
        <v>31</v>
      </c>
      <c r="M5594" s="0" t="s">
        <v>167</v>
      </c>
      <c r="N5594" s="0" t="n">
        <v>1797</v>
      </c>
      <c r="O5594" s="10" t="n">
        <v>0.81301586702466</v>
      </c>
      <c r="P5594" s="10" t="n">
        <v>0.206259709550068</v>
      </c>
      <c r="Q5594" s="0" t="str">
        <f aca="false">SUBSTITUTE(SUBSTITUTE($I5594,CHAR(61),""),CHAR(34),"")</f>
        <v>50+</v>
      </c>
      <c r="R5594" s="0" t="str">
        <f aca="false">IF($D5594&lt;&gt;"","["&amp;$E5594&amp;"]"&amp;"|"&amp;$Q5594&amp;"|"&amp;$K5594&amp;"|"&amp;$G5594&amp;"|"&amp;IF($G5594="TX_CURR_SUBNAT.R","CY2022Q4",$M5594),"")</f>
        <v>[lPTyjLi4w3d]|50+|Female|PLHIV_Attend.T|CY2024Q3</v>
      </c>
    </row>
    <row r="5595" customFormat="false" ht="15" hidden="false" customHeight="false" outlineLevel="0" collapsed="false">
      <c r="D5595" s="0" t="s">
        <v>117</v>
      </c>
      <c r="E5595" s="0" t="s">
        <v>118</v>
      </c>
      <c r="F5595" s="0" t="s">
        <v>119</v>
      </c>
      <c r="G5595" s="0" t="s">
        <v>168</v>
      </c>
      <c r="H5595" s="0" t="s">
        <v>168</v>
      </c>
      <c r="I5595" s="0" t="s">
        <v>28</v>
      </c>
      <c r="J5595" s="0" t="s">
        <v>29</v>
      </c>
      <c r="K5595" s="0" t="s">
        <v>48</v>
      </c>
      <c r="L5595" s="0" t="s">
        <v>49</v>
      </c>
      <c r="M5595" s="0" t="s">
        <v>167</v>
      </c>
      <c r="N5595" s="0" t="n">
        <v>1429</v>
      </c>
      <c r="O5595" s="10" t="n">
        <v>0.801036997465417</v>
      </c>
      <c r="P5595" s="10" t="n">
        <v>0.206259709550068</v>
      </c>
      <c r="Q5595" s="0" t="str">
        <f aca="false">SUBSTITUTE(SUBSTITUTE($I5595,CHAR(61),""),CHAR(34),"")</f>
        <v>&lt;01</v>
      </c>
      <c r="R5595" s="0" t="str">
        <f aca="false">IF($D5595&lt;&gt;"","["&amp;$E5595&amp;"]"&amp;"|"&amp;$Q5595&amp;"|"&amp;$K5595&amp;"|"&amp;$G5595&amp;"|"&amp;IF($G5595="TX_CURR_SUBNAT.R","CY2022Q4",$M5595),"")</f>
        <v>[lPTyjLi4w3d]|&lt;01|Male|PLHIV_Attend.T|CY2024Q3</v>
      </c>
    </row>
    <row r="5596" customFormat="false" ht="15" hidden="false" customHeight="false" outlineLevel="0" collapsed="false">
      <c r="D5596" s="0" t="s">
        <v>117</v>
      </c>
      <c r="E5596" s="0" t="s">
        <v>118</v>
      </c>
      <c r="F5596" s="0" t="s">
        <v>119</v>
      </c>
      <c r="G5596" s="0" t="s">
        <v>168</v>
      </c>
      <c r="H5596" s="0" t="s">
        <v>168</v>
      </c>
      <c r="I5596" s="0" t="s">
        <v>33</v>
      </c>
      <c r="J5596" s="0" t="s">
        <v>34</v>
      </c>
      <c r="K5596" s="0" t="s">
        <v>48</v>
      </c>
      <c r="L5596" s="0" t="s">
        <v>49</v>
      </c>
      <c r="M5596" s="0" t="s">
        <v>167</v>
      </c>
      <c r="N5596" s="0" t="n">
        <v>1446</v>
      </c>
      <c r="O5596" s="10" t="n">
        <v>0.0618385679554194</v>
      </c>
      <c r="P5596" s="10" t="n">
        <v>0.206259709550068</v>
      </c>
      <c r="Q5596" s="0" t="str">
        <f aca="false">SUBSTITUTE(SUBSTITUTE($I5596,CHAR(61),""),CHAR(34),"")</f>
        <v>01-09</v>
      </c>
      <c r="R5596" s="0" t="str">
        <f aca="false">IF($D5596&lt;&gt;"","["&amp;$E5596&amp;"]"&amp;"|"&amp;$Q5596&amp;"|"&amp;$K5596&amp;"|"&amp;$G5596&amp;"|"&amp;IF($G5596="TX_CURR_SUBNAT.R","CY2022Q4",$M5596),"")</f>
        <v>[lPTyjLi4w3d]|01-09|Male|PLHIV_Attend.T|CY2024Q3</v>
      </c>
    </row>
    <row r="5597" customFormat="false" ht="15" hidden="false" customHeight="false" outlineLevel="0" collapsed="false">
      <c r="D5597" s="0" t="s">
        <v>117</v>
      </c>
      <c r="E5597" s="0" t="s">
        <v>118</v>
      </c>
      <c r="F5597" s="0" t="s">
        <v>119</v>
      </c>
      <c r="G5597" s="0" t="s">
        <v>168</v>
      </c>
      <c r="H5597" s="0" t="s">
        <v>168</v>
      </c>
      <c r="I5597" s="0" t="s">
        <v>36</v>
      </c>
      <c r="J5597" s="0" t="s">
        <v>37</v>
      </c>
      <c r="K5597" s="0" t="s">
        <v>48</v>
      </c>
      <c r="L5597" s="0" t="s">
        <v>49</v>
      </c>
      <c r="M5597" s="0" t="s">
        <v>167</v>
      </c>
      <c r="N5597" s="0" t="n">
        <v>1164</v>
      </c>
      <c r="O5597" s="10" t="n">
        <v>0.0192593922838569</v>
      </c>
      <c r="P5597" s="10" t="n">
        <v>0.206259709550068</v>
      </c>
      <c r="Q5597" s="0" t="str">
        <f aca="false">SUBSTITUTE(SUBSTITUTE($I5597,CHAR(61),""),CHAR(34),"")</f>
        <v>10-14</v>
      </c>
      <c r="R5597" s="0" t="str">
        <f aca="false">IF($D5597&lt;&gt;"","["&amp;$E5597&amp;"]"&amp;"|"&amp;$Q5597&amp;"|"&amp;$K5597&amp;"|"&amp;$G5597&amp;"|"&amp;IF($G5597="TX_CURR_SUBNAT.R","CY2022Q4",$M5597),"")</f>
        <v>[lPTyjLi4w3d]|10-14|Male|PLHIV_Attend.T|CY2024Q3</v>
      </c>
    </row>
    <row r="5598" customFormat="false" ht="15" hidden="false" customHeight="false" outlineLevel="0" collapsed="false">
      <c r="D5598" s="0" t="s">
        <v>117</v>
      </c>
      <c r="E5598" s="0" t="s">
        <v>118</v>
      </c>
      <c r="F5598" s="0" t="s">
        <v>119</v>
      </c>
      <c r="G5598" s="0" t="s">
        <v>168</v>
      </c>
      <c r="H5598" s="0" t="s">
        <v>168</v>
      </c>
      <c r="I5598" s="0" t="s">
        <v>38</v>
      </c>
      <c r="J5598" s="0" t="s">
        <v>39</v>
      </c>
      <c r="K5598" s="0" t="s">
        <v>48</v>
      </c>
      <c r="L5598" s="0" t="s">
        <v>49</v>
      </c>
      <c r="M5598" s="0" t="s">
        <v>167</v>
      </c>
      <c r="N5598" s="0" t="n">
        <v>1988</v>
      </c>
      <c r="O5598" s="10" t="n">
        <v>0.868437783094123</v>
      </c>
      <c r="P5598" s="10" t="n">
        <v>0.206259709550068</v>
      </c>
      <c r="Q5598" s="0" t="str">
        <f aca="false">SUBSTITUTE(SUBSTITUTE($I5598,CHAR(61),""),CHAR(34),"")</f>
        <v>15-24</v>
      </c>
      <c r="R5598" s="0" t="str">
        <f aca="false">IF($D5598&lt;&gt;"","["&amp;$E5598&amp;"]"&amp;"|"&amp;$Q5598&amp;"|"&amp;$K5598&amp;"|"&amp;$G5598&amp;"|"&amp;IF($G5598="TX_CURR_SUBNAT.R","CY2022Q4",$M5598),"")</f>
        <v>[lPTyjLi4w3d]|15-24|Male|PLHIV_Attend.T|CY2024Q3</v>
      </c>
    </row>
    <row r="5599" customFormat="false" ht="15" hidden="false" customHeight="false" outlineLevel="0" collapsed="false">
      <c r="D5599" s="0" t="s">
        <v>117</v>
      </c>
      <c r="E5599" s="0" t="s">
        <v>118</v>
      </c>
      <c r="F5599" s="0" t="s">
        <v>119</v>
      </c>
      <c r="G5599" s="0" t="s">
        <v>168</v>
      </c>
      <c r="H5599" s="0" t="s">
        <v>168</v>
      </c>
      <c r="I5599" s="0" t="s">
        <v>41</v>
      </c>
      <c r="J5599" s="0" t="s">
        <v>42</v>
      </c>
      <c r="K5599" s="0" t="s">
        <v>48</v>
      </c>
      <c r="L5599" s="0" t="s">
        <v>49</v>
      </c>
      <c r="M5599" s="0" t="s">
        <v>167</v>
      </c>
      <c r="N5599" s="0" t="n">
        <v>1048</v>
      </c>
      <c r="O5599" s="10" t="n">
        <v>0.747511351946741</v>
      </c>
      <c r="P5599" s="10" t="n">
        <v>0.206259709550068</v>
      </c>
      <c r="Q5599" s="0" t="str">
        <f aca="false">SUBSTITUTE(SUBSTITUTE($I5599,CHAR(61),""),CHAR(34),"")</f>
        <v>25-34</v>
      </c>
      <c r="R5599" s="0" t="str">
        <f aca="false">IF($D5599&lt;&gt;"","["&amp;$E5599&amp;"]"&amp;"|"&amp;$Q5599&amp;"|"&amp;$K5599&amp;"|"&amp;$G5599&amp;"|"&amp;IF($G5599="TX_CURR_SUBNAT.R","CY2022Q4",$M5599),"")</f>
        <v>[lPTyjLi4w3d]|25-34|Male|PLHIV_Attend.T|CY2024Q3</v>
      </c>
    </row>
    <row r="5600" customFormat="false" ht="15" hidden="false" customHeight="false" outlineLevel="0" collapsed="false">
      <c r="D5600" s="0" t="s">
        <v>117</v>
      </c>
      <c r="E5600" s="0" t="s">
        <v>118</v>
      </c>
      <c r="F5600" s="0" t="s">
        <v>119</v>
      </c>
      <c r="G5600" s="0" t="s">
        <v>168</v>
      </c>
      <c r="H5600" s="0" t="s">
        <v>168</v>
      </c>
      <c r="I5600" s="0" t="s">
        <v>43</v>
      </c>
      <c r="J5600" s="0" t="s">
        <v>44</v>
      </c>
      <c r="K5600" s="0" t="s">
        <v>48</v>
      </c>
      <c r="L5600" s="0" t="s">
        <v>49</v>
      </c>
      <c r="M5600" s="0" t="s">
        <v>167</v>
      </c>
      <c r="N5600" s="0" t="n">
        <v>1452</v>
      </c>
      <c r="O5600" s="10" t="n">
        <v>0.1899399375543</v>
      </c>
      <c r="P5600" s="10" t="n">
        <v>0.206259709550068</v>
      </c>
      <c r="Q5600" s="0" t="str">
        <f aca="false">SUBSTITUTE(SUBSTITUTE($I5600,CHAR(61),""),CHAR(34),"")</f>
        <v>35-49</v>
      </c>
      <c r="R5600" s="0" t="str">
        <f aca="false">IF($D5600&lt;&gt;"","["&amp;$E5600&amp;"]"&amp;"|"&amp;$Q5600&amp;"|"&amp;$K5600&amp;"|"&amp;$G5600&amp;"|"&amp;IF($G5600="TX_CURR_SUBNAT.R","CY2022Q4",$M5600),"")</f>
        <v>[lPTyjLi4w3d]|35-49|Male|PLHIV_Attend.T|CY2024Q3</v>
      </c>
    </row>
    <row r="5601" customFormat="false" ht="15" hidden="false" customHeight="false" outlineLevel="0" collapsed="false">
      <c r="D5601" s="0" t="s">
        <v>117</v>
      </c>
      <c r="E5601" s="0" t="s">
        <v>118</v>
      </c>
      <c r="F5601" s="0" t="s">
        <v>119</v>
      </c>
      <c r="G5601" s="0" t="s">
        <v>168</v>
      </c>
      <c r="H5601" s="0" t="s">
        <v>168</v>
      </c>
      <c r="I5601" s="0" t="s">
        <v>45</v>
      </c>
      <c r="J5601" s="0" t="s">
        <v>46</v>
      </c>
      <c r="K5601" s="0" t="s">
        <v>48</v>
      </c>
      <c r="L5601" s="0" t="s">
        <v>49</v>
      </c>
      <c r="M5601" s="0" t="s">
        <v>167</v>
      </c>
      <c r="N5601" s="0" t="n">
        <v>798</v>
      </c>
      <c r="O5601" s="10" t="n">
        <v>0.0797488165553659</v>
      </c>
      <c r="P5601" s="10" t="n">
        <v>0.206259709550068</v>
      </c>
      <c r="Q5601" s="0" t="str">
        <f aca="false">SUBSTITUTE(SUBSTITUTE($I5601,CHAR(61),""),CHAR(34),"")</f>
        <v>50+</v>
      </c>
      <c r="R5601" s="0" t="str">
        <f aca="false">IF($D5601&lt;&gt;"","["&amp;$E5601&amp;"]"&amp;"|"&amp;$Q5601&amp;"|"&amp;$K5601&amp;"|"&amp;$G5601&amp;"|"&amp;IF($G5601="TX_CURR_SUBNAT.R","CY2022Q4",$M5601),"")</f>
        <v>[lPTyjLi4w3d]|50+|Male|PLHIV_Attend.T|CY2024Q3</v>
      </c>
    </row>
    <row r="5602" customFormat="false" ht="15" hidden="false" customHeight="false" outlineLevel="0" collapsed="false">
      <c r="D5602" s="0" t="s">
        <v>120</v>
      </c>
      <c r="E5602" s="0" t="s">
        <v>121</v>
      </c>
      <c r="F5602" s="0" t="s">
        <v>122</v>
      </c>
      <c r="G5602" s="0" t="s">
        <v>168</v>
      </c>
      <c r="H5602" s="0" t="s">
        <v>168</v>
      </c>
      <c r="I5602" s="0" t="s">
        <v>28</v>
      </c>
      <c r="J5602" s="0" t="s">
        <v>29</v>
      </c>
      <c r="K5602" s="0" t="s">
        <v>30</v>
      </c>
      <c r="L5602" s="0" t="s">
        <v>31</v>
      </c>
      <c r="M5602" s="0" t="s">
        <v>167</v>
      </c>
      <c r="N5602" s="0" t="n">
        <v>1814</v>
      </c>
      <c r="O5602" s="10" t="n">
        <v>0.467761620646343</v>
      </c>
      <c r="P5602" s="10" t="n">
        <v>0.430103979306296</v>
      </c>
      <c r="Q5602" s="0" t="str">
        <f aca="false">SUBSTITUTE(SUBSTITUTE($I5602,CHAR(61),""),CHAR(34),"")</f>
        <v>&lt;01</v>
      </c>
      <c r="R5602" s="0" t="str">
        <f aca="false">IF($D5602&lt;&gt;"","["&amp;$E5602&amp;"]"&amp;"|"&amp;$Q5602&amp;"|"&amp;$K5602&amp;"|"&amp;$G5602&amp;"|"&amp;IF($G5602="TX_CURR_SUBNAT.R","CY2022Q4",$M5602),"")</f>
        <v>[vA4NcHxfMBq]|&lt;01|Female|PLHIV_Attend.T|CY2024Q3</v>
      </c>
    </row>
    <row r="5603" customFormat="false" ht="15" hidden="false" customHeight="false" outlineLevel="0" collapsed="false">
      <c r="D5603" s="0" t="s">
        <v>120</v>
      </c>
      <c r="E5603" s="0" t="s">
        <v>121</v>
      </c>
      <c r="F5603" s="0" t="s">
        <v>122</v>
      </c>
      <c r="G5603" s="0" t="s">
        <v>168</v>
      </c>
      <c r="H5603" s="0" t="s">
        <v>168</v>
      </c>
      <c r="I5603" s="0" t="s">
        <v>33</v>
      </c>
      <c r="J5603" s="0" t="s">
        <v>34</v>
      </c>
      <c r="K5603" s="0" t="s">
        <v>30</v>
      </c>
      <c r="L5603" s="0" t="s">
        <v>31</v>
      </c>
      <c r="M5603" s="0" t="s">
        <v>167</v>
      </c>
      <c r="N5603" s="0" t="n">
        <v>1362</v>
      </c>
      <c r="O5603" s="10" t="n">
        <v>0.71177901304327</v>
      </c>
      <c r="P5603" s="10" t="n">
        <v>0.430103979306296</v>
      </c>
      <c r="Q5603" s="0" t="str">
        <f aca="false">SUBSTITUTE(SUBSTITUTE($I5603,CHAR(61),""),CHAR(34),"")</f>
        <v>01-09</v>
      </c>
      <c r="R5603" s="0" t="str">
        <f aca="false">IF($D5603&lt;&gt;"","["&amp;$E5603&amp;"]"&amp;"|"&amp;$Q5603&amp;"|"&amp;$K5603&amp;"|"&amp;$G5603&amp;"|"&amp;IF($G5603="TX_CURR_SUBNAT.R","CY2022Q4",$M5603),"")</f>
        <v>[vA4NcHxfMBq]|01-09|Female|PLHIV_Attend.T|CY2024Q3</v>
      </c>
    </row>
    <row r="5604" customFormat="false" ht="15" hidden="false" customHeight="false" outlineLevel="0" collapsed="false">
      <c r="D5604" s="0" t="s">
        <v>120</v>
      </c>
      <c r="E5604" s="0" t="s">
        <v>121</v>
      </c>
      <c r="F5604" s="0" t="s">
        <v>122</v>
      </c>
      <c r="G5604" s="0" t="s">
        <v>168</v>
      </c>
      <c r="H5604" s="0" t="s">
        <v>168</v>
      </c>
      <c r="I5604" s="0" t="s">
        <v>36</v>
      </c>
      <c r="J5604" s="0" t="s">
        <v>37</v>
      </c>
      <c r="K5604" s="0" t="s">
        <v>30</v>
      </c>
      <c r="L5604" s="0" t="s">
        <v>31</v>
      </c>
      <c r="M5604" s="0" t="s">
        <v>167</v>
      </c>
      <c r="N5604" s="0" t="n">
        <v>1320</v>
      </c>
      <c r="O5604" s="10" t="n">
        <v>0.62372528668493</v>
      </c>
      <c r="P5604" s="10" t="n">
        <v>0.430103979306296</v>
      </c>
      <c r="Q5604" s="0" t="str">
        <f aca="false">SUBSTITUTE(SUBSTITUTE($I5604,CHAR(61),""),CHAR(34),"")</f>
        <v>10-14</v>
      </c>
      <c r="R5604" s="0" t="str">
        <f aca="false">IF($D5604&lt;&gt;"","["&amp;$E5604&amp;"]"&amp;"|"&amp;$Q5604&amp;"|"&amp;$K5604&amp;"|"&amp;$G5604&amp;"|"&amp;IF($G5604="TX_CURR_SUBNAT.R","CY2022Q4",$M5604),"")</f>
        <v>[vA4NcHxfMBq]|10-14|Female|PLHIV_Attend.T|CY2024Q3</v>
      </c>
    </row>
    <row r="5605" customFormat="false" ht="15" hidden="false" customHeight="false" outlineLevel="0" collapsed="false">
      <c r="D5605" s="0" t="s">
        <v>120</v>
      </c>
      <c r="E5605" s="0" t="s">
        <v>121</v>
      </c>
      <c r="F5605" s="0" t="s">
        <v>122</v>
      </c>
      <c r="G5605" s="0" t="s">
        <v>168</v>
      </c>
      <c r="H5605" s="0" t="s">
        <v>168</v>
      </c>
      <c r="I5605" s="0" t="s">
        <v>38</v>
      </c>
      <c r="J5605" s="0" t="s">
        <v>39</v>
      </c>
      <c r="K5605" s="0" t="s">
        <v>30</v>
      </c>
      <c r="L5605" s="0" t="s">
        <v>31</v>
      </c>
      <c r="M5605" s="0" t="s">
        <v>167</v>
      </c>
      <c r="N5605" s="0" t="n">
        <v>753</v>
      </c>
      <c r="O5605" s="10" t="n">
        <v>0.625103062717244</v>
      </c>
      <c r="P5605" s="10" t="n">
        <v>0.430103979306296</v>
      </c>
      <c r="Q5605" s="0" t="str">
        <f aca="false">SUBSTITUTE(SUBSTITUTE($I5605,CHAR(61),""),CHAR(34),"")</f>
        <v>15-24</v>
      </c>
      <c r="R5605" s="0" t="str">
        <f aca="false">IF($D5605&lt;&gt;"","["&amp;$E5605&amp;"]"&amp;"|"&amp;$Q5605&amp;"|"&amp;$K5605&amp;"|"&amp;$G5605&amp;"|"&amp;IF($G5605="TX_CURR_SUBNAT.R","CY2022Q4",$M5605),"")</f>
        <v>[vA4NcHxfMBq]|15-24|Female|PLHIV_Attend.T|CY2024Q3</v>
      </c>
    </row>
    <row r="5606" customFormat="false" ht="15" hidden="false" customHeight="false" outlineLevel="0" collapsed="false">
      <c r="D5606" s="0" t="s">
        <v>120</v>
      </c>
      <c r="E5606" s="0" t="s">
        <v>121</v>
      </c>
      <c r="F5606" s="0" t="s">
        <v>122</v>
      </c>
      <c r="G5606" s="0" t="s">
        <v>168</v>
      </c>
      <c r="H5606" s="0" t="s">
        <v>168</v>
      </c>
      <c r="I5606" s="0" t="s">
        <v>41</v>
      </c>
      <c r="J5606" s="0" t="s">
        <v>42</v>
      </c>
      <c r="K5606" s="0" t="s">
        <v>30</v>
      </c>
      <c r="L5606" s="0" t="s">
        <v>31</v>
      </c>
      <c r="M5606" s="0" t="s">
        <v>167</v>
      </c>
      <c r="N5606" s="0" t="n">
        <v>1867</v>
      </c>
      <c r="O5606" s="10" t="n">
        <v>0.333127324469388</v>
      </c>
      <c r="P5606" s="10" t="n">
        <v>0.430103979306296</v>
      </c>
      <c r="Q5606" s="0" t="str">
        <f aca="false">SUBSTITUTE(SUBSTITUTE($I5606,CHAR(61),""),CHAR(34),"")</f>
        <v>25-34</v>
      </c>
      <c r="R5606" s="0" t="str">
        <f aca="false">IF($D5606&lt;&gt;"","["&amp;$E5606&amp;"]"&amp;"|"&amp;$Q5606&amp;"|"&amp;$K5606&amp;"|"&amp;$G5606&amp;"|"&amp;IF($G5606="TX_CURR_SUBNAT.R","CY2022Q4",$M5606),"")</f>
        <v>[vA4NcHxfMBq]|25-34|Female|PLHIV_Attend.T|CY2024Q3</v>
      </c>
    </row>
    <row r="5607" customFormat="false" ht="15" hidden="false" customHeight="false" outlineLevel="0" collapsed="false">
      <c r="D5607" s="0" t="s">
        <v>120</v>
      </c>
      <c r="E5607" s="0" t="s">
        <v>121</v>
      </c>
      <c r="F5607" s="0" t="s">
        <v>122</v>
      </c>
      <c r="G5607" s="0" t="s">
        <v>168</v>
      </c>
      <c r="H5607" s="0" t="s">
        <v>168</v>
      </c>
      <c r="I5607" s="0" t="s">
        <v>43</v>
      </c>
      <c r="J5607" s="0" t="s">
        <v>44</v>
      </c>
      <c r="K5607" s="0" t="s">
        <v>30</v>
      </c>
      <c r="L5607" s="0" t="s">
        <v>31</v>
      </c>
      <c r="M5607" s="0" t="s">
        <v>167</v>
      </c>
      <c r="N5607" s="0" t="n">
        <v>1544</v>
      </c>
      <c r="O5607" s="10" t="n">
        <v>0.407843199092895</v>
      </c>
      <c r="P5607" s="10" t="n">
        <v>0.430103979306296</v>
      </c>
      <c r="Q5607" s="0" t="str">
        <f aca="false">SUBSTITUTE(SUBSTITUTE($I5607,CHAR(61),""),CHAR(34),"")</f>
        <v>35-49</v>
      </c>
      <c r="R5607" s="0" t="str">
        <f aca="false">IF($D5607&lt;&gt;"","["&amp;$E5607&amp;"]"&amp;"|"&amp;$Q5607&amp;"|"&amp;$K5607&amp;"|"&amp;$G5607&amp;"|"&amp;IF($G5607="TX_CURR_SUBNAT.R","CY2022Q4",$M5607),"")</f>
        <v>[vA4NcHxfMBq]|35-49|Female|PLHIV_Attend.T|CY2024Q3</v>
      </c>
    </row>
    <row r="5608" customFormat="false" ht="15" hidden="false" customHeight="false" outlineLevel="0" collapsed="false">
      <c r="D5608" s="0" t="s">
        <v>120</v>
      </c>
      <c r="E5608" s="0" t="s">
        <v>121</v>
      </c>
      <c r="F5608" s="0" t="s">
        <v>122</v>
      </c>
      <c r="G5608" s="0" t="s">
        <v>168</v>
      </c>
      <c r="H5608" s="0" t="s">
        <v>168</v>
      </c>
      <c r="I5608" s="0" t="s">
        <v>45</v>
      </c>
      <c r="J5608" s="0" t="s">
        <v>46</v>
      </c>
      <c r="K5608" s="0" t="s">
        <v>30</v>
      </c>
      <c r="L5608" s="0" t="s">
        <v>31</v>
      </c>
      <c r="M5608" s="0" t="s">
        <v>167</v>
      </c>
      <c r="N5608" s="0" t="n">
        <v>957</v>
      </c>
      <c r="O5608" s="10" t="n">
        <v>0.117356891045347</v>
      </c>
      <c r="P5608" s="10" t="n">
        <v>0.430103979306296</v>
      </c>
      <c r="Q5608" s="0" t="str">
        <f aca="false">SUBSTITUTE(SUBSTITUTE($I5608,CHAR(61),""),CHAR(34),"")</f>
        <v>50+</v>
      </c>
      <c r="R5608" s="0" t="str">
        <f aca="false">IF($D5608&lt;&gt;"","["&amp;$E5608&amp;"]"&amp;"|"&amp;$Q5608&amp;"|"&amp;$K5608&amp;"|"&amp;$G5608&amp;"|"&amp;IF($G5608="TX_CURR_SUBNAT.R","CY2022Q4",$M5608),"")</f>
        <v>[vA4NcHxfMBq]|50+|Female|PLHIV_Attend.T|CY2024Q3</v>
      </c>
    </row>
    <row r="5609" customFormat="false" ht="15" hidden="false" customHeight="false" outlineLevel="0" collapsed="false">
      <c r="D5609" s="0" t="s">
        <v>120</v>
      </c>
      <c r="E5609" s="0" t="s">
        <v>121</v>
      </c>
      <c r="F5609" s="0" t="s">
        <v>122</v>
      </c>
      <c r="G5609" s="0" t="s">
        <v>168</v>
      </c>
      <c r="H5609" s="0" t="s">
        <v>168</v>
      </c>
      <c r="I5609" s="0" t="s">
        <v>28</v>
      </c>
      <c r="J5609" s="0" t="s">
        <v>29</v>
      </c>
      <c r="K5609" s="0" t="s">
        <v>48</v>
      </c>
      <c r="L5609" s="0" t="s">
        <v>49</v>
      </c>
      <c r="M5609" s="0" t="s">
        <v>167</v>
      </c>
      <c r="N5609" s="0" t="n">
        <v>835</v>
      </c>
      <c r="O5609" s="10" t="n">
        <v>0.1092258032877</v>
      </c>
      <c r="P5609" s="10" t="n">
        <v>0.430103979306296</v>
      </c>
      <c r="Q5609" s="0" t="str">
        <f aca="false">SUBSTITUTE(SUBSTITUTE($I5609,CHAR(61),""),CHAR(34),"")</f>
        <v>&lt;01</v>
      </c>
      <c r="R5609" s="0" t="str">
        <f aca="false">IF($D5609&lt;&gt;"","["&amp;$E5609&amp;"]"&amp;"|"&amp;$Q5609&amp;"|"&amp;$K5609&amp;"|"&amp;$G5609&amp;"|"&amp;IF($G5609="TX_CURR_SUBNAT.R","CY2022Q4",$M5609),"")</f>
        <v>[vA4NcHxfMBq]|&lt;01|Male|PLHIV_Attend.T|CY2024Q3</v>
      </c>
    </row>
    <row r="5610" customFormat="false" ht="15" hidden="false" customHeight="false" outlineLevel="0" collapsed="false">
      <c r="D5610" s="0" t="s">
        <v>120</v>
      </c>
      <c r="E5610" s="0" t="s">
        <v>121</v>
      </c>
      <c r="F5610" s="0" t="s">
        <v>122</v>
      </c>
      <c r="G5610" s="0" t="s">
        <v>168</v>
      </c>
      <c r="H5610" s="0" t="s">
        <v>168</v>
      </c>
      <c r="I5610" s="0" t="s">
        <v>33</v>
      </c>
      <c r="J5610" s="0" t="s">
        <v>34</v>
      </c>
      <c r="K5610" s="0" t="s">
        <v>48</v>
      </c>
      <c r="L5610" s="0" t="s">
        <v>49</v>
      </c>
      <c r="M5610" s="0" t="s">
        <v>167</v>
      </c>
      <c r="N5610" s="0" t="n">
        <v>1131</v>
      </c>
      <c r="O5610" s="10" t="n">
        <v>0.341630428563803</v>
      </c>
      <c r="P5610" s="10" t="n">
        <v>0.430103979306296</v>
      </c>
      <c r="Q5610" s="0" t="str">
        <f aca="false">SUBSTITUTE(SUBSTITUTE($I5610,CHAR(61),""),CHAR(34),"")</f>
        <v>01-09</v>
      </c>
      <c r="R5610" s="0" t="str">
        <f aca="false">IF($D5610&lt;&gt;"","["&amp;$E5610&amp;"]"&amp;"|"&amp;$Q5610&amp;"|"&amp;$K5610&amp;"|"&amp;$G5610&amp;"|"&amp;IF($G5610="TX_CURR_SUBNAT.R","CY2022Q4",$M5610),"")</f>
        <v>[vA4NcHxfMBq]|01-09|Male|PLHIV_Attend.T|CY2024Q3</v>
      </c>
    </row>
    <row r="5611" customFormat="false" ht="15" hidden="false" customHeight="false" outlineLevel="0" collapsed="false">
      <c r="D5611" s="0" t="s">
        <v>120</v>
      </c>
      <c r="E5611" s="0" t="s">
        <v>121</v>
      </c>
      <c r="F5611" s="0" t="s">
        <v>122</v>
      </c>
      <c r="G5611" s="0" t="s">
        <v>168</v>
      </c>
      <c r="H5611" s="0" t="s">
        <v>168</v>
      </c>
      <c r="I5611" s="0" t="s">
        <v>36</v>
      </c>
      <c r="J5611" s="0" t="s">
        <v>37</v>
      </c>
      <c r="K5611" s="0" t="s">
        <v>48</v>
      </c>
      <c r="L5611" s="0" t="s">
        <v>49</v>
      </c>
      <c r="M5611" s="0" t="s">
        <v>167</v>
      </c>
      <c r="N5611" s="0" t="n">
        <v>563</v>
      </c>
      <c r="O5611" s="10" t="n">
        <v>0.703705681487918</v>
      </c>
      <c r="P5611" s="10" t="n">
        <v>0.430103979306296</v>
      </c>
      <c r="Q5611" s="0" t="str">
        <f aca="false">SUBSTITUTE(SUBSTITUTE($I5611,CHAR(61),""),CHAR(34),"")</f>
        <v>10-14</v>
      </c>
      <c r="R5611" s="0" t="str">
        <f aca="false">IF($D5611&lt;&gt;"","["&amp;$E5611&amp;"]"&amp;"|"&amp;$Q5611&amp;"|"&amp;$K5611&amp;"|"&amp;$G5611&amp;"|"&amp;IF($G5611="TX_CURR_SUBNAT.R","CY2022Q4",$M5611),"")</f>
        <v>[vA4NcHxfMBq]|10-14|Male|PLHIV_Attend.T|CY2024Q3</v>
      </c>
    </row>
    <row r="5612" customFormat="false" ht="15" hidden="false" customHeight="false" outlineLevel="0" collapsed="false">
      <c r="D5612" s="0" t="s">
        <v>120</v>
      </c>
      <c r="E5612" s="0" t="s">
        <v>121</v>
      </c>
      <c r="F5612" s="0" t="s">
        <v>122</v>
      </c>
      <c r="G5612" s="0" t="s">
        <v>168</v>
      </c>
      <c r="H5612" s="0" t="s">
        <v>168</v>
      </c>
      <c r="I5612" s="0" t="s">
        <v>38</v>
      </c>
      <c r="J5612" s="0" t="s">
        <v>39</v>
      </c>
      <c r="K5612" s="0" t="s">
        <v>48</v>
      </c>
      <c r="L5612" s="0" t="s">
        <v>49</v>
      </c>
      <c r="M5612" s="0" t="s">
        <v>167</v>
      </c>
      <c r="N5612" s="0" t="n">
        <v>1416</v>
      </c>
      <c r="O5612" s="10" t="n">
        <v>0.98174093477428</v>
      </c>
      <c r="P5612" s="10" t="n">
        <v>0.430103979306296</v>
      </c>
      <c r="Q5612" s="0" t="str">
        <f aca="false">SUBSTITUTE(SUBSTITUTE($I5612,CHAR(61),""),CHAR(34),"")</f>
        <v>15-24</v>
      </c>
      <c r="R5612" s="0" t="str">
        <f aca="false">IF($D5612&lt;&gt;"","["&amp;$E5612&amp;"]"&amp;"|"&amp;$Q5612&amp;"|"&amp;$K5612&amp;"|"&amp;$G5612&amp;"|"&amp;IF($G5612="TX_CURR_SUBNAT.R","CY2022Q4",$M5612),"")</f>
        <v>[vA4NcHxfMBq]|15-24|Male|PLHIV_Attend.T|CY2024Q3</v>
      </c>
    </row>
    <row r="5613" customFormat="false" ht="15" hidden="false" customHeight="false" outlineLevel="0" collapsed="false">
      <c r="D5613" s="0" t="s">
        <v>120</v>
      </c>
      <c r="E5613" s="0" t="s">
        <v>121</v>
      </c>
      <c r="F5613" s="0" t="s">
        <v>122</v>
      </c>
      <c r="G5613" s="0" t="s">
        <v>168</v>
      </c>
      <c r="H5613" s="0" t="s">
        <v>168</v>
      </c>
      <c r="I5613" s="0" t="s">
        <v>41</v>
      </c>
      <c r="J5613" s="0" t="s">
        <v>42</v>
      </c>
      <c r="K5613" s="0" t="s">
        <v>48</v>
      </c>
      <c r="L5613" s="0" t="s">
        <v>49</v>
      </c>
      <c r="M5613" s="0" t="s">
        <v>167</v>
      </c>
      <c r="N5613" s="0" t="n">
        <v>1679</v>
      </c>
      <c r="O5613" s="10" t="n">
        <v>0.240505791269243</v>
      </c>
      <c r="P5613" s="10" t="n">
        <v>0.430103979306296</v>
      </c>
      <c r="Q5613" s="0" t="str">
        <f aca="false">SUBSTITUTE(SUBSTITUTE($I5613,CHAR(61),""),CHAR(34),"")</f>
        <v>25-34</v>
      </c>
      <c r="R5613" s="0" t="str">
        <f aca="false">IF($D5613&lt;&gt;"","["&amp;$E5613&amp;"]"&amp;"|"&amp;$Q5613&amp;"|"&amp;$K5613&amp;"|"&amp;$G5613&amp;"|"&amp;IF($G5613="TX_CURR_SUBNAT.R","CY2022Q4",$M5613),"")</f>
        <v>[vA4NcHxfMBq]|25-34|Male|PLHIV_Attend.T|CY2024Q3</v>
      </c>
    </row>
    <row r="5614" customFormat="false" ht="15" hidden="false" customHeight="false" outlineLevel="0" collapsed="false">
      <c r="D5614" s="0" t="s">
        <v>120</v>
      </c>
      <c r="E5614" s="0" t="s">
        <v>121</v>
      </c>
      <c r="F5614" s="0" t="s">
        <v>122</v>
      </c>
      <c r="G5614" s="0" t="s">
        <v>168</v>
      </c>
      <c r="H5614" s="0" t="s">
        <v>168</v>
      </c>
      <c r="I5614" s="0" t="s">
        <v>43</v>
      </c>
      <c r="J5614" s="0" t="s">
        <v>44</v>
      </c>
      <c r="K5614" s="0" t="s">
        <v>48</v>
      </c>
      <c r="L5614" s="0" t="s">
        <v>49</v>
      </c>
      <c r="M5614" s="0" t="s">
        <v>167</v>
      </c>
      <c r="N5614" s="0" t="n">
        <v>959</v>
      </c>
      <c r="O5614" s="10" t="n">
        <v>0.0874952995218337</v>
      </c>
      <c r="P5614" s="10" t="n">
        <v>0.430103979306296</v>
      </c>
      <c r="Q5614" s="0" t="str">
        <f aca="false">SUBSTITUTE(SUBSTITUTE($I5614,CHAR(61),""),CHAR(34),"")</f>
        <v>35-49</v>
      </c>
      <c r="R5614" s="0" t="str">
        <f aca="false">IF($D5614&lt;&gt;"","["&amp;$E5614&amp;"]"&amp;"|"&amp;$Q5614&amp;"|"&amp;$K5614&amp;"|"&amp;$G5614&amp;"|"&amp;IF($G5614="TX_CURR_SUBNAT.R","CY2022Q4",$M5614),"")</f>
        <v>[vA4NcHxfMBq]|35-49|Male|PLHIV_Attend.T|CY2024Q3</v>
      </c>
    </row>
    <row r="5615" customFormat="false" ht="15" hidden="false" customHeight="false" outlineLevel="0" collapsed="false">
      <c r="D5615" s="0" t="s">
        <v>120</v>
      </c>
      <c r="E5615" s="0" t="s">
        <v>121</v>
      </c>
      <c r="F5615" s="0" t="s">
        <v>122</v>
      </c>
      <c r="G5615" s="0" t="s">
        <v>168</v>
      </c>
      <c r="H5615" s="0" t="s">
        <v>168</v>
      </c>
      <c r="I5615" s="0" t="s">
        <v>45</v>
      </c>
      <c r="J5615" s="0" t="s">
        <v>46</v>
      </c>
      <c r="K5615" s="0" t="s">
        <v>48</v>
      </c>
      <c r="L5615" s="0" t="s">
        <v>49</v>
      </c>
      <c r="M5615" s="0" t="s">
        <v>167</v>
      </c>
      <c r="N5615" s="0" t="n">
        <v>833</v>
      </c>
      <c r="O5615" s="10" t="n">
        <v>0.0611195845995098</v>
      </c>
      <c r="P5615" s="10" t="n">
        <v>0.430103979306296</v>
      </c>
      <c r="Q5615" s="0" t="str">
        <f aca="false">SUBSTITUTE(SUBSTITUTE($I5615,CHAR(61),""),CHAR(34),"")</f>
        <v>50+</v>
      </c>
      <c r="R5615" s="0" t="str">
        <f aca="false">IF($D5615&lt;&gt;"","["&amp;$E5615&amp;"]"&amp;"|"&amp;$Q5615&amp;"|"&amp;$K5615&amp;"|"&amp;$G5615&amp;"|"&amp;IF($G5615="TX_CURR_SUBNAT.R","CY2022Q4",$M5615),"")</f>
        <v>[vA4NcHxfMBq]|50+|Male|PLHIV_Attend.T|CY2024Q3</v>
      </c>
    </row>
    <row r="5616" customFormat="false" ht="15" hidden="false" customHeight="false" outlineLevel="0" collapsed="false">
      <c r="D5616" s="0" t="s">
        <v>123</v>
      </c>
      <c r="E5616" s="0" t="s">
        <v>124</v>
      </c>
      <c r="F5616" s="0" t="s">
        <v>125</v>
      </c>
      <c r="G5616" s="0" t="s">
        <v>168</v>
      </c>
      <c r="H5616" s="0" t="s">
        <v>168</v>
      </c>
      <c r="I5616" s="0" t="s">
        <v>28</v>
      </c>
      <c r="J5616" s="0" t="s">
        <v>29</v>
      </c>
      <c r="K5616" s="0" t="s">
        <v>30</v>
      </c>
      <c r="L5616" s="0" t="s">
        <v>31</v>
      </c>
      <c r="M5616" s="0" t="s">
        <v>167</v>
      </c>
      <c r="N5616" s="0" t="n">
        <v>1317</v>
      </c>
      <c r="O5616" s="10" t="n">
        <v>0.376290985615924</v>
      </c>
      <c r="P5616" s="10" t="n">
        <v>0.419500603340566</v>
      </c>
      <c r="Q5616" s="0" t="str">
        <f aca="false">SUBSTITUTE(SUBSTITUTE($I5616,CHAR(61),""),CHAR(34),"")</f>
        <v>&lt;01</v>
      </c>
      <c r="R5616" s="0" t="str">
        <f aca="false">IF($D5616&lt;&gt;"","["&amp;$E5616&amp;"]"&amp;"|"&amp;$Q5616&amp;"|"&amp;$K5616&amp;"|"&amp;$G5616&amp;"|"&amp;IF($G5616="TX_CURR_SUBNAT.R","CY2022Q4",$M5616),"")</f>
        <v>[E7zpfyBt7Tw]|&lt;01|Female|PLHIV_Attend.T|CY2024Q3</v>
      </c>
    </row>
    <row r="5617" customFormat="false" ht="15" hidden="false" customHeight="false" outlineLevel="0" collapsed="false">
      <c r="D5617" s="0" t="s">
        <v>123</v>
      </c>
      <c r="E5617" s="0" t="s">
        <v>124</v>
      </c>
      <c r="F5617" s="0" t="s">
        <v>125</v>
      </c>
      <c r="G5617" s="0" t="s">
        <v>168</v>
      </c>
      <c r="H5617" s="0" t="s">
        <v>168</v>
      </c>
      <c r="I5617" s="0" t="s">
        <v>33</v>
      </c>
      <c r="J5617" s="0" t="s">
        <v>34</v>
      </c>
      <c r="K5617" s="0" t="s">
        <v>30</v>
      </c>
      <c r="L5617" s="0" t="s">
        <v>31</v>
      </c>
      <c r="M5617" s="0" t="s">
        <v>167</v>
      </c>
      <c r="N5617" s="0" t="n">
        <v>1265</v>
      </c>
      <c r="O5617" s="10" t="n">
        <v>0.649458519648761</v>
      </c>
      <c r="P5617" s="10" t="n">
        <v>0.419500603340566</v>
      </c>
      <c r="Q5617" s="0" t="str">
        <f aca="false">SUBSTITUTE(SUBSTITUTE($I5617,CHAR(61),""),CHAR(34),"")</f>
        <v>01-09</v>
      </c>
      <c r="R5617" s="0" t="str">
        <f aca="false">IF($D5617&lt;&gt;"","["&amp;$E5617&amp;"]"&amp;"|"&amp;$Q5617&amp;"|"&amp;$K5617&amp;"|"&amp;$G5617&amp;"|"&amp;IF($G5617="TX_CURR_SUBNAT.R","CY2022Q4",$M5617),"")</f>
        <v>[E7zpfyBt7Tw]|01-09|Female|PLHIV_Attend.T|CY2024Q3</v>
      </c>
    </row>
    <row r="5618" customFormat="false" ht="15" hidden="false" customHeight="false" outlineLevel="0" collapsed="false">
      <c r="D5618" s="0" t="s">
        <v>123</v>
      </c>
      <c r="E5618" s="0" t="s">
        <v>124</v>
      </c>
      <c r="F5618" s="0" t="s">
        <v>125</v>
      </c>
      <c r="G5618" s="0" t="s">
        <v>168</v>
      </c>
      <c r="H5618" s="0" t="s">
        <v>168</v>
      </c>
      <c r="I5618" s="0" t="s">
        <v>36</v>
      </c>
      <c r="J5618" s="0" t="s">
        <v>37</v>
      </c>
      <c r="K5618" s="0" t="s">
        <v>30</v>
      </c>
      <c r="L5618" s="0" t="s">
        <v>31</v>
      </c>
      <c r="M5618" s="0" t="s">
        <v>167</v>
      </c>
      <c r="N5618" s="0" t="n">
        <v>779</v>
      </c>
      <c r="O5618" s="10" t="n">
        <v>0.494999968912452</v>
      </c>
      <c r="P5618" s="10" t="n">
        <v>0.419500603340566</v>
      </c>
      <c r="Q5618" s="0" t="str">
        <f aca="false">SUBSTITUTE(SUBSTITUTE($I5618,CHAR(61),""),CHAR(34),"")</f>
        <v>10-14</v>
      </c>
      <c r="R5618" s="0" t="str">
        <f aca="false">IF($D5618&lt;&gt;"","["&amp;$E5618&amp;"]"&amp;"|"&amp;$Q5618&amp;"|"&amp;$K5618&amp;"|"&amp;$G5618&amp;"|"&amp;IF($G5618="TX_CURR_SUBNAT.R","CY2022Q4",$M5618),"")</f>
        <v>[E7zpfyBt7Tw]|10-14|Female|PLHIV_Attend.T|CY2024Q3</v>
      </c>
    </row>
    <row r="5619" customFormat="false" ht="15" hidden="false" customHeight="false" outlineLevel="0" collapsed="false">
      <c r="D5619" s="0" t="s">
        <v>123</v>
      </c>
      <c r="E5619" s="0" t="s">
        <v>124</v>
      </c>
      <c r="F5619" s="0" t="s">
        <v>125</v>
      </c>
      <c r="G5619" s="0" t="s">
        <v>168</v>
      </c>
      <c r="H5619" s="0" t="s">
        <v>168</v>
      </c>
      <c r="I5619" s="0" t="s">
        <v>38</v>
      </c>
      <c r="J5619" s="0" t="s">
        <v>39</v>
      </c>
      <c r="K5619" s="0" t="s">
        <v>30</v>
      </c>
      <c r="L5619" s="0" t="s">
        <v>31</v>
      </c>
      <c r="M5619" s="0" t="s">
        <v>167</v>
      </c>
      <c r="N5619" s="0" t="n">
        <v>798</v>
      </c>
      <c r="O5619" s="10" t="n">
        <v>0.119885513093323</v>
      </c>
      <c r="P5619" s="10" t="n">
        <v>0.419500603340566</v>
      </c>
      <c r="Q5619" s="0" t="str">
        <f aca="false">SUBSTITUTE(SUBSTITUTE($I5619,CHAR(61),""),CHAR(34),"")</f>
        <v>15-24</v>
      </c>
      <c r="R5619" s="0" t="str">
        <f aca="false">IF($D5619&lt;&gt;"","["&amp;$E5619&amp;"]"&amp;"|"&amp;$Q5619&amp;"|"&amp;$K5619&amp;"|"&amp;$G5619&amp;"|"&amp;IF($G5619="TX_CURR_SUBNAT.R","CY2022Q4",$M5619),"")</f>
        <v>[E7zpfyBt7Tw]|15-24|Female|PLHIV_Attend.T|CY2024Q3</v>
      </c>
    </row>
    <row r="5620" customFormat="false" ht="15" hidden="false" customHeight="false" outlineLevel="0" collapsed="false">
      <c r="D5620" s="0" t="s">
        <v>123</v>
      </c>
      <c r="E5620" s="0" t="s">
        <v>124</v>
      </c>
      <c r="F5620" s="0" t="s">
        <v>125</v>
      </c>
      <c r="G5620" s="0" t="s">
        <v>168</v>
      </c>
      <c r="H5620" s="0" t="s">
        <v>168</v>
      </c>
      <c r="I5620" s="0" t="s">
        <v>41</v>
      </c>
      <c r="J5620" s="0" t="s">
        <v>42</v>
      </c>
      <c r="K5620" s="0" t="s">
        <v>30</v>
      </c>
      <c r="L5620" s="0" t="s">
        <v>31</v>
      </c>
      <c r="M5620" s="0" t="s">
        <v>167</v>
      </c>
      <c r="N5620" s="0" t="n">
        <v>1462</v>
      </c>
      <c r="O5620" s="10" t="n">
        <v>0.375938790151849</v>
      </c>
      <c r="P5620" s="10" t="n">
        <v>0.419500603340566</v>
      </c>
      <c r="Q5620" s="0" t="str">
        <f aca="false">SUBSTITUTE(SUBSTITUTE($I5620,CHAR(61),""),CHAR(34),"")</f>
        <v>25-34</v>
      </c>
      <c r="R5620" s="0" t="str">
        <f aca="false">IF($D5620&lt;&gt;"","["&amp;$E5620&amp;"]"&amp;"|"&amp;$Q5620&amp;"|"&amp;$K5620&amp;"|"&amp;$G5620&amp;"|"&amp;IF($G5620="TX_CURR_SUBNAT.R","CY2022Q4",$M5620),"")</f>
        <v>[E7zpfyBt7Tw]|25-34|Female|PLHIV_Attend.T|CY2024Q3</v>
      </c>
    </row>
    <row r="5621" customFormat="false" ht="15" hidden="false" customHeight="false" outlineLevel="0" collapsed="false">
      <c r="D5621" s="0" t="s">
        <v>123</v>
      </c>
      <c r="E5621" s="0" t="s">
        <v>124</v>
      </c>
      <c r="F5621" s="0" t="s">
        <v>125</v>
      </c>
      <c r="G5621" s="0" t="s">
        <v>168</v>
      </c>
      <c r="H5621" s="0" t="s">
        <v>168</v>
      </c>
      <c r="I5621" s="0" t="s">
        <v>43</v>
      </c>
      <c r="J5621" s="0" t="s">
        <v>44</v>
      </c>
      <c r="K5621" s="0" t="s">
        <v>30</v>
      </c>
      <c r="L5621" s="0" t="s">
        <v>31</v>
      </c>
      <c r="M5621" s="0" t="s">
        <v>167</v>
      </c>
      <c r="N5621" s="0" t="n">
        <v>669</v>
      </c>
      <c r="O5621" s="10" t="n">
        <v>0.119049167027697</v>
      </c>
      <c r="P5621" s="10" t="n">
        <v>0.419500603340566</v>
      </c>
      <c r="Q5621" s="0" t="str">
        <f aca="false">SUBSTITUTE(SUBSTITUTE($I5621,CHAR(61),""),CHAR(34),"")</f>
        <v>35-49</v>
      </c>
      <c r="R5621" s="0" t="str">
        <f aca="false">IF($D5621&lt;&gt;"","["&amp;$E5621&amp;"]"&amp;"|"&amp;$Q5621&amp;"|"&amp;$K5621&amp;"|"&amp;$G5621&amp;"|"&amp;IF($G5621="TX_CURR_SUBNAT.R","CY2022Q4",$M5621),"")</f>
        <v>[E7zpfyBt7Tw]|35-49|Female|PLHIV_Attend.T|CY2024Q3</v>
      </c>
    </row>
    <row r="5622" customFormat="false" ht="15" hidden="false" customHeight="false" outlineLevel="0" collapsed="false">
      <c r="D5622" s="0" t="s">
        <v>123</v>
      </c>
      <c r="E5622" s="0" t="s">
        <v>124</v>
      </c>
      <c r="F5622" s="0" t="s">
        <v>125</v>
      </c>
      <c r="G5622" s="0" t="s">
        <v>168</v>
      </c>
      <c r="H5622" s="0" t="s">
        <v>168</v>
      </c>
      <c r="I5622" s="0" t="s">
        <v>45</v>
      </c>
      <c r="J5622" s="0" t="s">
        <v>46</v>
      </c>
      <c r="K5622" s="0" t="s">
        <v>30</v>
      </c>
      <c r="L5622" s="0" t="s">
        <v>31</v>
      </c>
      <c r="M5622" s="0" t="s">
        <v>167</v>
      </c>
      <c r="N5622" s="0" t="n">
        <v>1463</v>
      </c>
      <c r="O5622" s="10" t="n">
        <v>0.617273652227595</v>
      </c>
      <c r="P5622" s="10" t="n">
        <v>0.419500603340566</v>
      </c>
      <c r="Q5622" s="0" t="str">
        <f aca="false">SUBSTITUTE(SUBSTITUTE($I5622,CHAR(61),""),CHAR(34),"")</f>
        <v>50+</v>
      </c>
      <c r="R5622" s="0" t="str">
        <f aca="false">IF($D5622&lt;&gt;"","["&amp;$E5622&amp;"]"&amp;"|"&amp;$Q5622&amp;"|"&amp;$K5622&amp;"|"&amp;$G5622&amp;"|"&amp;IF($G5622="TX_CURR_SUBNAT.R","CY2022Q4",$M5622),"")</f>
        <v>[E7zpfyBt7Tw]|50+|Female|PLHIV_Attend.T|CY2024Q3</v>
      </c>
    </row>
    <row r="5623" customFormat="false" ht="15" hidden="false" customHeight="false" outlineLevel="0" collapsed="false">
      <c r="D5623" s="0" t="s">
        <v>123</v>
      </c>
      <c r="E5623" s="0" t="s">
        <v>124</v>
      </c>
      <c r="F5623" s="0" t="s">
        <v>125</v>
      </c>
      <c r="G5623" s="0" t="s">
        <v>168</v>
      </c>
      <c r="H5623" s="0" t="s">
        <v>168</v>
      </c>
      <c r="I5623" s="0" t="s">
        <v>28</v>
      </c>
      <c r="J5623" s="0" t="s">
        <v>29</v>
      </c>
      <c r="K5623" s="0" t="s">
        <v>48</v>
      </c>
      <c r="L5623" s="0" t="s">
        <v>49</v>
      </c>
      <c r="M5623" s="0" t="s">
        <v>167</v>
      </c>
      <c r="N5623" s="0" t="n">
        <v>1175</v>
      </c>
      <c r="O5623" s="10" t="n">
        <v>0.239935027668253</v>
      </c>
      <c r="P5623" s="10" t="n">
        <v>0.419500603340566</v>
      </c>
      <c r="Q5623" s="0" t="str">
        <f aca="false">SUBSTITUTE(SUBSTITUTE($I5623,CHAR(61),""),CHAR(34),"")</f>
        <v>&lt;01</v>
      </c>
      <c r="R5623" s="0" t="str">
        <f aca="false">IF($D5623&lt;&gt;"","["&amp;$E5623&amp;"]"&amp;"|"&amp;$Q5623&amp;"|"&amp;$K5623&amp;"|"&amp;$G5623&amp;"|"&amp;IF($G5623="TX_CURR_SUBNAT.R","CY2022Q4",$M5623),"")</f>
        <v>[E7zpfyBt7Tw]|&lt;01|Male|PLHIV_Attend.T|CY2024Q3</v>
      </c>
    </row>
    <row r="5624" customFormat="false" ht="15" hidden="false" customHeight="false" outlineLevel="0" collapsed="false">
      <c r="D5624" s="0" t="s">
        <v>123</v>
      </c>
      <c r="E5624" s="0" t="s">
        <v>124</v>
      </c>
      <c r="F5624" s="0" t="s">
        <v>125</v>
      </c>
      <c r="G5624" s="0" t="s">
        <v>168</v>
      </c>
      <c r="H5624" s="0" t="s">
        <v>168</v>
      </c>
      <c r="I5624" s="0" t="s">
        <v>33</v>
      </c>
      <c r="J5624" s="0" t="s">
        <v>34</v>
      </c>
      <c r="K5624" s="0" t="s">
        <v>48</v>
      </c>
      <c r="L5624" s="0" t="s">
        <v>49</v>
      </c>
      <c r="M5624" s="0" t="s">
        <v>167</v>
      </c>
      <c r="N5624" s="0" t="n">
        <v>1818</v>
      </c>
      <c r="O5624" s="10" t="n">
        <v>0.514283156022429</v>
      </c>
      <c r="P5624" s="10" t="n">
        <v>0.419500603340566</v>
      </c>
      <c r="Q5624" s="0" t="str">
        <f aca="false">SUBSTITUTE(SUBSTITUTE($I5624,CHAR(61),""),CHAR(34),"")</f>
        <v>01-09</v>
      </c>
      <c r="R5624" s="0" t="str">
        <f aca="false">IF($D5624&lt;&gt;"","["&amp;$E5624&amp;"]"&amp;"|"&amp;$Q5624&amp;"|"&amp;$K5624&amp;"|"&amp;$G5624&amp;"|"&amp;IF($G5624="TX_CURR_SUBNAT.R","CY2022Q4",$M5624),"")</f>
        <v>[E7zpfyBt7Tw]|01-09|Male|PLHIV_Attend.T|CY2024Q3</v>
      </c>
    </row>
    <row r="5625" customFormat="false" ht="15" hidden="false" customHeight="false" outlineLevel="0" collapsed="false">
      <c r="D5625" s="0" t="s">
        <v>123</v>
      </c>
      <c r="E5625" s="0" t="s">
        <v>124</v>
      </c>
      <c r="F5625" s="0" t="s">
        <v>125</v>
      </c>
      <c r="G5625" s="0" t="s">
        <v>168</v>
      </c>
      <c r="H5625" s="0" t="s">
        <v>168</v>
      </c>
      <c r="I5625" s="0" t="s">
        <v>36</v>
      </c>
      <c r="J5625" s="0" t="s">
        <v>37</v>
      </c>
      <c r="K5625" s="0" t="s">
        <v>48</v>
      </c>
      <c r="L5625" s="0" t="s">
        <v>49</v>
      </c>
      <c r="M5625" s="0" t="s">
        <v>167</v>
      </c>
      <c r="N5625" s="0" t="n">
        <v>1127</v>
      </c>
      <c r="O5625" s="10" t="n">
        <v>0.834593930514529</v>
      </c>
      <c r="P5625" s="10" t="n">
        <v>0.419500603340566</v>
      </c>
      <c r="Q5625" s="0" t="str">
        <f aca="false">SUBSTITUTE(SUBSTITUTE($I5625,CHAR(61),""),CHAR(34),"")</f>
        <v>10-14</v>
      </c>
      <c r="R5625" s="0" t="str">
        <f aca="false">IF($D5625&lt;&gt;"","["&amp;$E5625&amp;"]"&amp;"|"&amp;$Q5625&amp;"|"&amp;$K5625&amp;"|"&amp;$G5625&amp;"|"&amp;IF($G5625="TX_CURR_SUBNAT.R","CY2022Q4",$M5625),"")</f>
        <v>[E7zpfyBt7Tw]|10-14|Male|PLHIV_Attend.T|CY2024Q3</v>
      </c>
    </row>
    <row r="5626" customFormat="false" ht="15" hidden="false" customHeight="false" outlineLevel="0" collapsed="false">
      <c r="D5626" s="0" t="s">
        <v>123</v>
      </c>
      <c r="E5626" s="0" t="s">
        <v>124</v>
      </c>
      <c r="F5626" s="0" t="s">
        <v>125</v>
      </c>
      <c r="G5626" s="0" t="s">
        <v>168</v>
      </c>
      <c r="H5626" s="0" t="s">
        <v>168</v>
      </c>
      <c r="I5626" s="0" t="s">
        <v>38</v>
      </c>
      <c r="J5626" s="0" t="s">
        <v>39</v>
      </c>
      <c r="K5626" s="0" t="s">
        <v>48</v>
      </c>
      <c r="L5626" s="0" t="s">
        <v>49</v>
      </c>
      <c r="M5626" s="0" t="s">
        <v>167</v>
      </c>
      <c r="N5626" s="0" t="n">
        <v>870</v>
      </c>
      <c r="O5626" s="10" t="n">
        <v>0.129378839861602</v>
      </c>
      <c r="P5626" s="10" t="n">
        <v>0.419500603340566</v>
      </c>
      <c r="Q5626" s="0" t="str">
        <f aca="false">SUBSTITUTE(SUBSTITUTE($I5626,CHAR(61),""),CHAR(34),"")</f>
        <v>15-24</v>
      </c>
      <c r="R5626" s="0" t="str">
        <f aca="false">IF($D5626&lt;&gt;"","["&amp;$E5626&amp;"]"&amp;"|"&amp;$Q5626&amp;"|"&amp;$K5626&amp;"|"&amp;$G5626&amp;"|"&amp;IF($G5626="TX_CURR_SUBNAT.R","CY2022Q4",$M5626),"")</f>
        <v>[E7zpfyBt7Tw]|15-24|Male|PLHIV_Attend.T|CY2024Q3</v>
      </c>
    </row>
    <row r="5627" customFormat="false" ht="15" hidden="false" customHeight="false" outlineLevel="0" collapsed="false">
      <c r="D5627" s="0" t="s">
        <v>123</v>
      </c>
      <c r="E5627" s="0" t="s">
        <v>124</v>
      </c>
      <c r="F5627" s="0" t="s">
        <v>125</v>
      </c>
      <c r="G5627" s="0" t="s">
        <v>168</v>
      </c>
      <c r="H5627" s="0" t="s">
        <v>168</v>
      </c>
      <c r="I5627" s="0" t="s">
        <v>41</v>
      </c>
      <c r="J5627" s="0" t="s">
        <v>42</v>
      </c>
      <c r="K5627" s="0" t="s">
        <v>48</v>
      </c>
      <c r="L5627" s="0" t="s">
        <v>49</v>
      </c>
      <c r="M5627" s="0" t="s">
        <v>167</v>
      </c>
      <c r="N5627" s="0" t="n">
        <v>725</v>
      </c>
      <c r="O5627" s="10" t="n">
        <v>0.48863278189674</v>
      </c>
      <c r="P5627" s="10" t="n">
        <v>0.419500603340566</v>
      </c>
      <c r="Q5627" s="0" t="str">
        <f aca="false">SUBSTITUTE(SUBSTITUTE($I5627,CHAR(61),""),CHAR(34),"")</f>
        <v>25-34</v>
      </c>
      <c r="R5627" s="0" t="str">
        <f aca="false">IF($D5627&lt;&gt;"","["&amp;$E5627&amp;"]"&amp;"|"&amp;$Q5627&amp;"|"&amp;$K5627&amp;"|"&amp;$G5627&amp;"|"&amp;IF($G5627="TX_CURR_SUBNAT.R","CY2022Q4",$M5627),"")</f>
        <v>[E7zpfyBt7Tw]|25-34|Male|PLHIV_Attend.T|CY2024Q3</v>
      </c>
    </row>
    <row r="5628" customFormat="false" ht="15" hidden="false" customHeight="false" outlineLevel="0" collapsed="false">
      <c r="D5628" s="0" t="s">
        <v>123</v>
      </c>
      <c r="E5628" s="0" t="s">
        <v>124</v>
      </c>
      <c r="F5628" s="0" t="s">
        <v>125</v>
      </c>
      <c r="G5628" s="0" t="s">
        <v>168</v>
      </c>
      <c r="H5628" s="0" t="s">
        <v>168</v>
      </c>
      <c r="I5628" s="0" t="s">
        <v>43</v>
      </c>
      <c r="J5628" s="0" t="s">
        <v>44</v>
      </c>
      <c r="K5628" s="0" t="s">
        <v>48</v>
      </c>
      <c r="L5628" s="0" t="s">
        <v>49</v>
      </c>
      <c r="M5628" s="0" t="s">
        <v>167</v>
      </c>
      <c r="N5628" s="0" t="n">
        <v>1179</v>
      </c>
      <c r="O5628" s="10" t="n">
        <v>0.688867336837575</v>
      </c>
      <c r="P5628" s="10" t="n">
        <v>0.419500603340566</v>
      </c>
      <c r="Q5628" s="0" t="str">
        <f aca="false">SUBSTITUTE(SUBSTITUTE($I5628,CHAR(61),""),CHAR(34),"")</f>
        <v>35-49</v>
      </c>
      <c r="R5628" s="0" t="str">
        <f aca="false">IF($D5628&lt;&gt;"","["&amp;$E5628&amp;"]"&amp;"|"&amp;$Q5628&amp;"|"&amp;$K5628&amp;"|"&amp;$G5628&amp;"|"&amp;IF($G5628="TX_CURR_SUBNAT.R","CY2022Q4",$M5628),"")</f>
        <v>[E7zpfyBt7Tw]|35-49|Male|PLHIV_Attend.T|CY2024Q3</v>
      </c>
    </row>
    <row r="5629" customFormat="false" ht="15" hidden="false" customHeight="false" outlineLevel="0" collapsed="false">
      <c r="D5629" s="0" t="s">
        <v>123</v>
      </c>
      <c r="E5629" s="0" t="s">
        <v>124</v>
      </c>
      <c r="F5629" s="0" t="s">
        <v>125</v>
      </c>
      <c r="G5629" s="0" t="s">
        <v>168</v>
      </c>
      <c r="H5629" s="0" t="s">
        <v>168</v>
      </c>
      <c r="I5629" s="0" t="s">
        <v>45</v>
      </c>
      <c r="J5629" s="0" t="s">
        <v>46</v>
      </c>
      <c r="K5629" s="0" t="s">
        <v>48</v>
      </c>
      <c r="L5629" s="0" t="s">
        <v>49</v>
      </c>
      <c r="M5629" s="0" t="s">
        <v>167</v>
      </c>
      <c r="N5629" s="0" t="n">
        <v>1616</v>
      </c>
      <c r="O5629" s="10" t="n">
        <v>0.416208249283955</v>
      </c>
      <c r="P5629" s="10" t="n">
        <v>0.419500603340566</v>
      </c>
      <c r="Q5629" s="0" t="str">
        <f aca="false">SUBSTITUTE(SUBSTITUTE($I5629,CHAR(61),""),CHAR(34),"")</f>
        <v>50+</v>
      </c>
      <c r="R5629" s="0" t="str">
        <f aca="false">IF($D5629&lt;&gt;"","["&amp;$E5629&amp;"]"&amp;"|"&amp;$Q5629&amp;"|"&amp;$K5629&amp;"|"&amp;$G5629&amp;"|"&amp;IF($G5629="TX_CURR_SUBNAT.R","CY2022Q4",$M5629),"")</f>
        <v>[E7zpfyBt7Tw]|50+|Male|PLHIV_Attend.T|CY2024Q3</v>
      </c>
    </row>
    <row r="5630" customFormat="false" ht="15" hidden="false" customHeight="false" outlineLevel="0" collapsed="false">
      <c r="D5630" s="0" t="s">
        <v>126</v>
      </c>
      <c r="E5630" s="0" t="s">
        <v>127</v>
      </c>
      <c r="F5630" s="0" t="s">
        <v>128</v>
      </c>
      <c r="G5630" s="0" t="s">
        <v>168</v>
      </c>
      <c r="H5630" s="0" t="s">
        <v>168</v>
      </c>
      <c r="I5630" s="0" t="s">
        <v>28</v>
      </c>
      <c r="J5630" s="0" t="s">
        <v>29</v>
      </c>
      <c r="K5630" s="0" t="s">
        <v>30</v>
      </c>
      <c r="L5630" s="0" t="s">
        <v>31</v>
      </c>
      <c r="M5630" s="0" t="s">
        <v>167</v>
      </c>
      <c r="N5630" s="0" t="n">
        <v>1230</v>
      </c>
      <c r="O5630" s="10" t="n">
        <v>0.909607595764101</v>
      </c>
      <c r="P5630" s="10" t="n">
        <v>0.252706390339881</v>
      </c>
      <c r="Q5630" s="0" t="str">
        <f aca="false">SUBSTITUTE(SUBSTITUTE($I5630,CHAR(61),""),CHAR(34),"")</f>
        <v>&lt;01</v>
      </c>
      <c r="R5630" s="0" t="str">
        <f aca="false">IF($D5630&lt;&gt;"","["&amp;$E5630&amp;"]"&amp;"|"&amp;$Q5630&amp;"|"&amp;$K5630&amp;"|"&amp;$G5630&amp;"|"&amp;IF($G5630="TX_CURR_SUBNAT.R","CY2022Q4",$M5630),"")</f>
        <v>[ZCjuwgaMB9u]|&lt;01|Female|PLHIV_Attend.T|CY2024Q3</v>
      </c>
    </row>
    <row r="5631" customFormat="false" ht="15" hidden="false" customHeight="false" outlineLevel="0" collapsed="false">
      <c r="D5631" s="0" t="s">
        <v>126</v>
      </c>
      <c r="E5631" s="0" t="s">
        <v>127</v>
      </c>
      <c r="F5631" s="0" t="s">
        <v>128</v>
      </c>
      <c r="G5631" s="0" t="s">
        <v>168</v>
      </c>
      <c r="H5631" s="0" t="s">
        <v>168</v>
      </c>
      <c r="I5631" s="0" t="s">
        <v>33</v>
      </c>
      <c r="J5631" s="0" t="s">
        <v>34</v>
      </c>
      <c r="K5631" s="0" t="s">
        <v>30</v>
      </c>
      <c r="L5631" s="0" t="s">
        <v>31</v>
      </c>
      <c r="M5631" s="0" t="s">
        <v>167</v>
      </c>
      <c r="N5631" s="0" t="n">
        <v>1309</v>
      </c>
      <c r="O5631" s="10" t="n">
        <v>0.223502570996061</v>
      </c>
      <c r="P5631" s="10" t="n">
        <v>0.252706390339881</v>
      </c>
      <c r="Q5631" s="0" t="str">
        <f aca="false">SUBSTITUTE(SUBSTITUTE($I5631,CHAR(61),""),CHAR(34),"")</f>
        <v>01-09</v>
      </c>
      <c r="R5631" s="0" t="str">
        <f aca="false">IF($D5631&lt;&gt;"","["&amp;$E5631&amp;"]"&amp;"|"&amp;$Q5631&amp;"|"&amp;$K5631&amp;"|"&amp;$G5631&amp;"|"&amp;IF($G5631="TX_CURR_SUBNAT.R","CY2022Q4",$M5631),"")</f>
        <v>[ZCjuwgaMB9u]|01-09|Female|PLHIV_Attend.T|CY2024Q3</v>
      </c>
    </row>
    <row r="5632" customFormat="false" ht="15" hidden="false" customHeight="false" outlineLevel="0" collapsed="false">
      <c r="D5632" s="0" t="s">
        <v>126</v>
      </c>
      <c r="E5632" s="0" t="s">
        <v>127</v>
      </c>
      <c r="F5632" s="0" t="s">
        <v>128</v>
      </c>
      <c r="G5632" s="0" t="s">
        <v>168</v>
      </c>
      <c r="H5632" s="0" t="s">
        <v>168</v>
      </c>
      <c r="I5632" s="0" t="s">
        <v>36</v>
      </c>
      <c r="J5632" s="0" t="s">
        <v>37</v>
      </c>
      <c r="K5632" s="0" t="s">
        <v>30</v>
      </c>
      <c r="L5632" s="0" t="s">
        <v>31</v>
      </c>
      <c r="M5632" s="0" t="s">
        <v>167</v>
      </c>
      <c r="N5632" s="0" t="n">
        <v>688</v>
      </c>
      <c r="O5632" s="10" t="n">
        <v>0.869867955334485</v>
      </c>
      <c r="P5632" s="10" t="n">
        <v>0.252706390339881</v>
      </c>
      <c r="Q5632" s="0" t="str">
        <f aca="false">SUBSTITUTE(SUBSTITUTE($I5632,CHAR(61),""),CHAR(34),"")</f>
        <v>10-14</v>
      </c>
      <c r="R5632" s="0" t="str">
        <f aca="false">IF($D5632&lt;&gt;"","["&amp;$E5632&amp;"]"&amp;"|"&amp;$Q5632&amp;"|"&amp;$K5632&amp;"|"&amp;$G5632&amp;"|"&amp;IF($G5632="TX_CURR_SUBNAT.R","CY2022Q4",$M5632),"")</f>
        <v>[ZCjuwgaMB9u]|10-14|Female|PLHIV_Attend.T|CY2024Q3</v>
      </c>
    </row>
    <row r="5633" customFormat="false" ht="15" hidden="false" customHeight="false" outlineLevel="0" collapsed="false">
      <c r="D5633" s="0" t="s">
        <v>126</v>
      </c>
      <c r="E5633" s="0" t="s">
        <v>127</v>
      </c>
      <c r="F5633" s="0" t="s">
        <v>128</v>
      </c>
      <c r="G5633" s="0" t="s">
        <v>168</v>
      </c>
      <c r="H5633" s="0" t="s">
        <v>168</v>
      </c>
      <c r="I5633" s="0" t="s">
        <v>38</v>
      </c>
      <c r="J5633" s="0" t="s">
        <v>39</v>
      </c>
      <c r="K5633" s="0" t="s">
        <v>30</v>
      </c>
      <c r="L5633" s="0" t="s">
        <v>31</v>
      </c>
      <c r="M5633" s="0" t="s">
        <v>167</v>
      </c>
      <c r="N5633" s="0" t="n">
        <v>1340</v>
      </c>
      <c r="O5633" s="10" t="n">
        <v>0.702957733068615</v>
      </c>
      <c r="P5633" s="10" t="n">
        <v>0.252706390339881</v>
      </c>
      <c r="Q5633" s="0" t="str">
        <f aca="false">SUBSTITUTE(SUBSTITUTE($I5633,CHAR(61),""),CHAR(34),"")</f>
        <v>15-24</v>
      </c>
      <c r="R5633" s="0" t="str">
        <f aca="false">IF($D5633&lt;&gt;"","["&amp;$E5633&amp;"]"&amp;"|"&amp;$Q5633&amp;"|"&amp;$K5633&amp;"|"&amp;$G5633&amp;"|"&amp;IF($G5633="TX_CURR_SUBNAT.R","CY2022Q4",$M5633),"")</f>
        <v>[ZCjuwgaMB9u]|15-24|Female|PLHIV_Attend.T|CY2024Q3</v>
      </c>
    </row>
    <row r="5634" customFormat="false" ht="15" hidden="false" customHeight="false" outlineLevel="0" collapsed="false">
      <c r="D5634" s="0" t="s">
        <v>126</v>
      </c>
      <c r="E5634" s="0" t="s">
        <v>127</v>
      </c>
      <c r="F5634" s="0" t="s">
        <v>128</v>
      </c>
      <c r="G5634" s="0" t="s">
        <v>168</v>
      </c>
      <c r="H5634" s="0" t="s">
        <v>168</v>
      </c>
      <c r="I5634" s="0" t="s">
        <v>41</v>
      </c>
      <c r="J5634" s="0" t="s">
        <v>42</v>
      </c>
      <c r="K5634" s="0" t="s">
        <v>30</v>
      </c>
      <c r="L5634" s="0" t="s">
        <v>31</v>
      </c>
      <c r="M5634" s="0" t="s">
        <v>167</v>
      </c>
      <c r="N5634" s="0" t="n">
        <v>883</v>
      </c>
      <c r="O5634" s="10" t="n">
        <v>0.396737521048635</v>
      </c>
      <c r="P5634" s="10" t="n">
        <v>0.252706390339881</v>
      </c>
      <c r="Q5634" s="0" t="str">
        <f aca="false">SUBSTITUTE(SUBSTITUTE($I5634,CHAR(61),""),CHAR(34),"")</f>
        <v>25-34</v>
      </c>
      <c r="R5634" s="0" t="str">
        <f aca="false">IF($D5634&lt;&gt;"","["&amp;$E5634&amp;"]"&amp;"|"&amp;$Q5634&amp;"|"&amp;$K5634&amp;"|"&amp;$G5634&amp;"|"&amp;IF($G5634="TX_CURR_SUBNAT.R","CY2022Q4",$M5634),"")</f>
        <v>[ZCjuwgaMB9u]|25-34|Female|PLHIV_Attend.T|CY2024Q3</v>
      </c>
    </row>
    <row r="5635" customFormat="false" ht="15" hidden="false" customHeight="false" outlineLevel="0" collapsed="false">
      <c r="D5635" s="0" t="s">
        <v>126</v>
      </c>
      <c r="E5635" s="0" t="s">
        <v>127</v>
      </c>
      <c r="F5635" s="0" t="s">
        <v>128</v>
      </c>
      <c r="G5635" s="0" t="s">
        <v>168</v>
      </c>
      <c r="H5635" s="0" t="s">
        <v>168</v>
      </c>
      <c r="I5635" s="0" t="s">
        <v>43</v>
      </c>
      <c r="J5635" s="0" t="s">
        <v>44</v>
      </c>
      <c r="K5635" s="0" t="s">
        <v>30</v>
      </c>
      <c r="L5635" s="0" t="s">
        <v>31</v>
      </c>
      <c r="M5635" s="0" t="s">
        <v>167</v>
      </c>
      <c r="N5635" s="0" t="n">
        <v>538</v>
      </c>
      <c r="O5635" s="10" t="n">
        <v>0.787497455021366</v>
      </c>
      <c r="P5635" s="10" t="n">
        <v>0.252706390339881</v>
      </c>
      <c r="Q5635" s="0" t="str">
        <f aca="false">SUBSTITUTE(SUBSTITUTE($I5635,CHAR(61),""),CHAR(34),"")</f>
        <v>35-49</v>
      </c>
      <c r="R5635" s="0" t="str">
        <f aca="false">IF($D5635&lt;&gt;"","["&amp;$E5635&amp;"]"&amp;"|"&amp;$Q5635&amp;"|"&amp;$K5635&amp;"|"&amp;$G5635&amp;"|"&amp;IF($G5635="TX_CURR_SUBNAT.R","CY2022Q4",$M5635),"")</f>
        <v>[ZCjuwgaMB9u]|35-49|Female|PLHIV_Attend.T|CY2024Q3</v>
      </c>
    </row>
    <row r="5636" customFormat="false" ht="15" hidden="false" customHeight="false" outlineLevel="0" collapsed="false">
      <c r="D5636" s="0" t="s">
        <v>126</v>
      </c>
      <c r="E5636" s="0" t="s">
        <v>127</v>
      </c>
      <c r="F5636" s="0" t="s">
        <v>128</v>
      </c>
      <c r="G5636" s="0" t="s">
        <v>168</v>
      </c>
      <c r="H5636" s="0" t="s">
        <v>168</v>
      </c>
      <c r="I5636" s="0" t="s">
        <v>45</v>
      </c>
      <c r="J5636" s="0" t="s">
        <v>46</v>
      </c>
      <c r="K5636" s="0" t="s">
        <v>30</v>
      </c>
      <c r="L5636" s="0" t="s">
        <v>31</v>
      </c>
      <c r="M5636" s="0" t="s">
        <v>167</v>
      </c>
      <c r="N5636" s="0" t="n">
        <v>771</v>
      </c>
      <c r="O5636" s="10" t="n">
        <v>0.466104209655896</v>
      </c>
      <c r="P5636" s="10" t="n">
        <v>0.252706390339881</v>
      </c>
      <c r="Q5636" s="0" t="str">
        <f aca="false">SUBSTITUTE(SUBSTITUTE($I5636,CHAR(61),""),CHAR(34),"")</f>
        <v>50+</v>
      </c>
      <c r="R5636" s="0" t="str">
        <f aca="false">IF($D5636&lt;&gt;"","["&amp;$E5636&amp;"]"&amp;"|"&amp;$Q5636&amp;"|"&amp;$K5636&amp;"|"&amp;$G5636&amp;"|"&amp;IF($G5636="TX_CURR_SUBNAT.R","CY2022Q4",$M5636),"")</f>
        <v>[ZCjuwgaMB9u]|50+|Female|PLHIV_Attend.T|CY2024Q3</v>
      </c>
    </row>
    <row r="5637" customFormat="false" ht="15" hidden="false" customHeight="false" outlineLevel="0" collapsed="false">
      <c r="D5637" s="0" t="s">
        <v>126</v>
      </c>
      <c r="E5637" s="0" t="s">
        <v>127</v>
      </c>
      <c r="F5637" s="0" t="s">
        <v>128</v>
      </c>
      <c r="G5637" s="0" t="s">
        <v>168</v>
      </c>
      <c r="H5637" s="0" t="s">
        <v>168</v>
      </c>
      <c r="I5637" s="0" t="s">
        <v>28</v>
      </c>
      <c r="J5637" s="0" t="s">
        <v>29</v>
      </c>
      <c r="K5637" s="0" t="s">
        <v>48</v>
      </c>
      <c r="L5637" s="0" t="s">
        <v>49</v>
      </c>
      <c r="M5637" s="0" t="s">
        <v>167</v>
      </c>
      <c r="N5637" s="0" t="n">
        <v>809</v>
      </c>
      <c r="O5637" s="10" t="n">
        <v>0.880839423043653</v>
      </c>
      <c r="P5637" s="10" t="n">
        <v>0.252706390339881</v>
      </c>
      <c r="Q5637" s="0" t="str">
        <f aca="false">SUBSTITUTE(SUBSTITUTE($I5637,CHAR(61),""),CHAR(34),"")</f>
        <v>&lt;01</v>
      </c>
      <c r="R5637" s="0" t="str">
        <f aca="false">IF($D5637&lt;&gt;"","["&amp;$E5637&amp;"]"&amp;"|"&amp;$Q5637&amp;"|"&amp;$K5637&amp;"|"&amp;$G5637&amp;"|"&amp;IF($G5637="TX_CURR_SUBNAT.R","CY2022Q4",$M5637),"")</f>
        <v>[ZCjuwgaMB9u]|&lt;01|Male|PLHIV_Attend.T|CY2024Q3</v>
      </c>
    </row>
    <row r="5638" customFormat="false" ht="15" hidden="false" customHeight="false" outlineLevel="0" collapsed="false">
      <c r="D5638" s="0" t="s">
        <v>126</v>
      </c>
      <c r="E5638" s="0" t="s">
        <v>127</v>
      </c>
      <c r="F5638" s="0" t="s">
        <v>128</v>
      </c>
      <c r="G5638" s="0" t="s">
        <v>168</v>
      </c>
      <c r="H5638" s="0" t="s">
        <v>168</v>
      </c>
      <c r="I5638" s="0" t="s">
        <v>33</v>
      </c>
      <c r="J5638" s="0" t="s">
        <v>34</v>
      </c>
      <c r="K5638" s="0" t="s">
        <v>48</v>
      </c>
      <c r="L5638" s="0" t="s">
        <v>49</v>
      </c>
      <c r="M5638" s="0" t="s">
        <v>167</v>
      </c>
      <c r="N5638" s="0" t="n">
        <v>1309</v>
      </c>
      <c r="O5638" s="10" t="n">
        <v>0.574803656665608</v>
      </c>
      <c r="P5638" s="10" t="n">
        <v>0.252706390339881</v>
      </c>
      <c r="Q5638" s="0" t="str">
        <f aca="false">SUBSTITUTE(SUBSTITUTE($I5638,CHAR(61),""),CHAR(34),"")</f>
        <v>01-09</v>
      </c>
      <c r="R5638" s="0" t="str">
        <f aca="false">IF($D5638&lt;&gt;"","["&amp;$E5638&amp;"]"&amp;"|"&amp;$Q5638&amp;"|"&amp;$K5638&amp;"|"&amp;$G5638&amp;"|"&amp;IF($G5638="TX_CURR_SUBNAT.R","CY2022Q4",$M5638),"")</f>
        <v>[ZCjuwgaMB9u]|01-09|Male|PLHIV_Attend.T|CY2024Q3</v>
      </c>
    </row>
    <row r="5639" customFormat="false" ht="15" hidden="false" customHeight="false" outlineLevel="0" collapsed="false">
      <c r="D5639" s="0" t="s">
        <v>126</v>
      </c>
      <c r="E5639" s="0" t="s">
        <v>127</v>
      </c>
      <c r="F5639" s="0" t="s">
        <v>128</v>
      </c>
      <c r="G5639" s="0" t="s">
        <v>168</v>
      </c>
      <c r="H5639" s="0" t="s">
        <v>168</v>
      </c>
      <c r="I5639" s="0" t="s">
        <v>36</v>
      </c>
      <c r="J5639" s="0" t="s">
        <v>37</v>
      </c>
      <c r="K5639" s="0" t="s">
        <v>48</v>
      </c>
      <c r="L5639" s="0" t="s">
        <v>49</v>
      </c>
      <c r="M5639" s="0" t="s">
        <v>167</v>
      </c>
      <c r="N5639" s="0" t="n">
        <v>1828</v>
      </c>
      <c r="O5639" s="10" t="n">
        <v>0.215824057115242</v>
      </c>
      <c r="P5639" s="10" t="n">
        <v>0.252706390339881</v>
      </c>
      <c r="Q5639" s="0" t="str">
        <f aca="false">SUBSTITUTE(SUBSTITUTE($I5639,CHAR(61),""),CHAR(34),"")</f>
        <v>10-14</v>
      </c>
      <c r="R5639" s="0" t="str">
        <f aca="false">IF($D5639&lt;&gt;"","["&amp;$E5639&amp;"]"&amp;"|"&amp;$Q5639&amp;"|"&amp;$K5639&amp;"|"&amp;$G5639&amp;"|"&amp;IF($G5639="TX_CURR_SUBNAT.R","CY2022Q4",$M5639),"")</f>
        <v>[ZCjuwgaMB9u]|10-14|Male|PLHIV_Attend.T|CY2024Q3</v>
      </c>
    </row>
    <row r="5640" customFormat="false" ht="15" hidden="false" customHeight="false" outlineLevel="0" collapsed="false">
      <c r="D5640" s="0" t="s">
        <v>126</v>
      </c>
      <c r="E5640" s="0" t="s">
        <v>127</v>
      </c>
      <c r="F5640" s="0" t="s">
        <v>128</v>
      </c>
      <c r="G5640" s="0" t="s">
        <v>168</v>
      </c>
      <c r="H5640" s="0" t="s">
        <v>168</v>
      </c>
      <c r="I5640" s="0" t="s">
        <v>38</v>
      </c>
      <c r="J5640" s="0" t="s">
        <v>39</v>
      </c>
      <c r="K5640" s="0" t="s">
        <v>48</v>
      </c>
      <c r="L5640" s="0" t="s">
        <v>49</v>
      </c>
      <c r="M5640" s="0" t="s">
        <v>167</v>
      </c>
      <c r="N5640" s="0" t="n">
        <v>705</v>
      </c>
      <c r="O5640" s="10" t="n">
        <v>0.751757906749845</v>
      </c>
      <c r="P5640" s="10" t="n">
        <v>0.252706390339881</v>
      </c>
      <c r="Q5640" s="0" t="str">
        <f aca="false">SUBSTITUTE(SUBSTITUTE($I5640,CHAR(61),""),CHAR(34),"")</f>
        <v>15-24</v>
      </c>
      <c r="R5640" s="0" t="str">
        <f aca="false">IF($D5640&lt;&gt;"","["&amp;$E5640&amp;"]"&amp;"|"&amp;$Q5640&amp;"|"&amp;$K5640&amp;"|"&amp;$G5640&amp;"|"&amp;IF($G5640="TX_CURR_SUBNAT.R","CY2022Q4",$M5640),"")</f>
        <v>[ZCjuwgaMB9u]|15-24|Male|PLHIV_Attend.T|CY2024Q3</v>
      </c>
    </row>
    <row r="5641" customFormat="false" ht="15" hidden="false" customHeight="false" outlineLevel="0" collapsed="false">
      <c r="D5641" s="0" t="s">
        <v>126</v>
      </c>
      <c r="E5641" s="0" t="s">
        <v>127</v>
      </c>
      <c r="F5641" s="0" t="s">
        <v>128</v>
      </c>
      <c r="G5641" s="0" t="s">
        <v>168</v>
      </c>
      <c r="H5641" s="0" t="s">
        <v>168</v>
      </c>
      <c r="I5641" s="0" t="s">
        <v>41</v>
      </c>
      <c r="J5641" s="0" t="s">
        <v>42</v>
      </c>
      <c r="K5641" s="0" t="s">
        <v>48</v>
      </c>
      <c r="L5641" s="0" t="s">
        <v>49</v>
      </c>
      <c r="M5641" s="0" t="s">
        <v>167</v>
      </c>
      <c r="N5641" s="0" t="n">
        <v>1277</v>
      </c>
      <c r="O5641" s="10" t="n">
        <v>0.653102262644097</v>
      </c>
      <c r="P5641" s="10" t="n">
        <v>0.252706390339881</v>
      </c>
      <c r="Q5641" s="0" t="str">
        <f aca="false">SUBSTITUTE(SUBSTITUTE($I5641,CHAR(61),""),CHAR(34),"")</f>
        <v>25-34</v>
      </c>
      <c r="R5641" s="0" t="str">
        <f aca="false">IF($D5641&lt;&gt;"","["&amp;$E5641&amp;"]"&amp;"|"&amp;$Q5641&amp;"|"&amp;$K5641&amp;"|"&amp;$G5641&amp;"|"&amp;IF($G5641="TX_CURR_SUBNAT.R","CY2022Q4",$M5641),"")</f>
        <v>[ZCjuwgaMB9u]|25-34|Male|PLHIV_Attend.T|CY2024Q3</v>
      </c>
    </row>
    <row r="5642" customFormat="false" ht="15" hidden="false" customHeight="false" outlineLevel="0" collapsed="false">
      <c r="D5642" s="0" t="s">
        <v>126</v>
      </c>
      <c r="E5642" s="0" t="s">
        <v>127</v>
      </c>
      <c r="F5642" s="0" t="s">
        <v>128</v>
      </c>
      <c r="G5642" s="0" t="s">
        <v>168</v>
      </c>
      <c r="H5642" s="0" t="s">
        <v>168</v>
      </c>
      <c r="I5642" s="0" t="s">
        <v>43</v>
      </c>
      <c r="J5642" s="0" t="s">
        <v>44</v>
      </c>
      <c r="K5642" s="0" t="s">
        <v>48</v>
      </c>
      <c r="L5642" s="0" t="s">
        <v>49</v>
      </c>
      <c r="M5642" s="0" t="s">
        <v>167</v>
      </c>
      <c r="N5642" s="0" t="n">
        <v>1729</v>
      </c>
      <c r="O5642" s="10" t="n">
        <v>0.265920125646517</v>
      </c>
      <c r="P5642" s="10" t="n">
        <v>0.252706390339881</v>
      </c>
      <c r="Q5642" s="0" t="str">
        <f aca="false">SUBSTITUTE(SUBSTITUTE($I5642,CHAR(61),""),CHAR(34),"")</f>
        <v>35-49</v>
      </c>
      <c r="R5642" s="0" t="str">
        <f aca="false">IF($D5642&lt;&gt;"","["&amp;$E5642&amp;"]"&amp;"|"&amp;$Q5642&amp;"|"&amp;$K5642&amp;"|"&amp;$G5642&amp;"|"&amp;IF($G5642="TX_CURR_SUBNAT.R","CY2022Q4",$M5642),"")</f>
        <v>[ZCjuwgaMB9u]|35-49|Male|PLHIV_Attend.T|CY2024Q3</v>
      </c>
    </row>
    <row r="5643" customFormat="false" ht="15" hidden="false" customHeight="false" outlineLevel="0" collapsed="false">
      <c r="D5643" s="0" t="s">
        <v>126</v>
      </c>
      <c r="E5643" s="0" t="s">
        <v>127</v>
      </c>
      <c r="F5643" s="0" t="s">
        <v>128</v>
      </c>
      <c r="G5643" s="0" t="s">
        <v>168</v>
      </c>
      <c r="H5643" s="0" t="s">
        <v>168</v>
      </c>
      <c r="I5643" s="0" t="s">
        <v>45</v>
      </c>
      <c r="J5643" s="0" t="s">
        <v>46</v>
      </c>
      <c r="K5643" s="0" t="s">
        <v>48</v>
      </c>
      <c r="L5643" s="0" t="s">
        <v>49</v>
      </c>
      <c r="M5643" s="0" t="s">
        <v>167</v>
      </c>
      <c r="N5643" s="0" t="n">
        <v>898</v>
      </c>
      <c r="O5643" s="10" t="n">
        <v>0.130686801392585</v>
      </c>
      <c r="P5643" s="10" t="n">
        <v>0.252706390339881</v>
      </c>
      <c r="Q5643" s="0" t="str">
        <f aca="false">SUBSTITUTE(SUBSTITUTE($I5643,CHAR(61),""),CHAR(34),"")</f>
        <v>50+</v>
      </c>
      <c r="R5643" s="0" t="str">
        <f aca="false">IF($D5643&lt;&gt;"","["&amp;$E5643&amp;"]"&amp;"|"&amp;$Q5643&amp;"|"&amp;$K5643&amp;"|"&amp;$G5643&amp;"|"&amp;IF($G5643="TX_CURR_SUBNAT.R","CY2022Q4",$M5643),"")</f>
        <v>[ZCjuwgaMB9u]|50+|Male|PLHIV_Attend.T|CY2024Q3</v>
      </c>
    </row>
    <row r="5644" customFormat="false" ht="15" hidden="false" customHeight="false" outlineLevel="0" collapsed="false">
      <c r="D5644" s="0" t="s">
        <v>129</v>
      </c>
      <c r="E5644" s="0" t="s">
        <v>130</v>
      </c>
      <c r="F5644" s="0" t="s">
        <v>131</v>
      </c>
      <c r="G5644" s="0" t="s">
        <v>168</v>
      </c>
      <c r="H5644" s="0" t="s">
        <v>168</v>
      </c>
      <c r="I5644" s="0" t="s">
        <v>28</v>
      </c>
      <c r="J5644" s="0" t="s">
        <v>29</v>
      </c>
      <c r="K5644" s="0" t="s">
        <v>30</v>
      </c>
      <c r="L5644" s="0" t="s">
        <v>31</v>
      </c>
      <c r="M5644" s="0" t="s">
        <v>167</v>
      </c>
      <c r="N5644" s="0" t="n">
        <v>954</v>
      </c>
      <c r="O5644" s="10" t="n">
        <v>0.140906950691715</v>
      </c>
      <c r="P5644" s="10" t="n">
        <v>0.556908084778115</v>
      </c>
      <c r="Q5644" s="0" t="str">
        <f aca="false">SUBSTITUTE(SUBSTITUTE($I5644,CHAR(61),""),CHAR(34),"")</f>
        <v>&lt;01</v>
      </c>
      <c r="R5644" s="0" t="str">
        <f aca="false">IF($D5644&lt;&gt;"","["&amp;$E5644&amp;"]"&amp;"|"&amp;$Q5644&amp;"|"&amp;$K5644&amp;"|"&amp;$G5644&amp;"|"&amp;IF($G5644="TX_CURR_SUBNAT.R","CY2022Q4",$M5644),"")</f>
        <v>[YCKiBAp8QAg]|&lt;01|Female|PLHIV_Attend.T|CY2024Q3</v>
      </c>
    </row>
    <row r="5645" customFormat="false" ht="15" hidden="false" customHeight="false" outlineLevel="0" collapsed="false">
      <c r="D5645" s="0" t="s">
        <v>129</v>
      </c>
      <c r="E5645" s="0" t="s">
        <v>130</v>
      </c>
      <c r="F5645" s="0" t="s">
        <v>131</v>
      </c>
      <c r="G5645" s="0" t="s">
        <v>168</v>
      </c>
      <c r="H5645" s="0" t="s">
        <v>168</v>
      </c>
      <c r="I5645" s="0" t="s">
        <v>33</v>
      </c>
      <c r="J5645" s="0" t="s">
        <v>34</v>
      </c>
      <c r="K5645" s="0" t="s">
        <v>30</v>
      </c>
      <c r="L5645" s="0" t="s">
        <v>31</v>
      </c>
      <c r="M5645" s="0" t="s">
        <v>167</v>
      </c>
      <c r="N5645" s="0" t="n">
        <v>1579</v>
      </c>
      <c r="O5645" s="10" t="n">
        <v>0.59598538139835</v>
      </c>
      <c r="P5645" s="10" t="n">
        <v>0.556908084778115</v>
      </c>
      <c r="Q5645" s="0" t="str">
        <f aca="false">SUBSTITUTE(SUBSTITUTE($I5645,CHAR(61),""),CHAR(34),"")</f>
        <v>01-09</v>
      </c>
      <c r="R5645" s="0" t="str">
        <f aca="false">IF($D5645&lt;&gt;"","["&amp;$E5645&amp;"]"&amp;"|"&amp;$Q5645&amp;"|"&amp;$K5645&amp;"|"&amp;$G5645&amp;"|"&amp;IF($G5645="TX_CURR_SUBNAT.R","CY2022Q4",$M5645),"")</f>
        <v>[YCKiBAp8QAg]|01-09|Female|PLHIV_Attend.T|CY2024Q3</v>
      </c>
    </row>
    <row r="5646" customFormat="false" ht="15" hidden="false" customHeight="false" outlineLevel="0" collapsed="false">
      <c r="D5646" s="0" t="s">
        <v>129</v>
      </c>
      <c r="E5646" s="0" t="s">
        <v>130</v>
      </c>
      <c r="F5646" s="0" t="s">
        <v>131</v>
      </c>
      <c r="G5646" s="0" t="s">
        <v>168</v>
      </c>
      <c r="H5646" s="0" t="s">
        <v>168</v>
      </c>
      <c r="I5646" s="0" t="s">
        <v>36</v>
      </c>
      <c r="J5646" s="0" t="s">
        <v>37</v>
      </c>
      <c r="K5646" s="0" t="s">
        <v>30</v>
      </c>
      <c r="L5646" s="0" t="s">
        <v>31</v>
      </c>
      <c r="M5646" s="0" t="s">
        <v>167</v>
      </c>
      <c r="N5646" s="0" t="n">
        <v>909</v>
      </c>
      <c r="O5646" s="10" t="n">
        <v>0.922226615948603</v>
      </c>
      <c r="P5646" s="10" t="n">
        <v>0.556908084778115</v>
      </c>
      <c r="Q5646" s="0" t="str">
        <f aca="false">SUBSTITUTE(SUBSTITUTE($I5646,CHAR(61),""),CHAR(34),"")</f>
        <v>10-14</v>
      </c>
      <c r="R5646" s="0" t="str">
        <f aca="false">IF($D5646&lt;&gt;"","["&amp;$E5646&amp;"]"&amp;"|"&amp;$Q5646&amp;"|"&amp;$K5646&amp;"|"&amp;$G5646&amp;"|"&amp;IF($G5646="TX_CURR_SUBNAT.R","CY2022Q4",$M5646),"")</f>
        <v>[YCKiBAp8QAg]|10-14|Female|PLHIV_Attend.T|CY2024Q3</v>
      </c>
    </row>
    <row r="5647" customFormat="false" ht="15" hidden="false" customHeight="false" outlineLevel="0" collapsed="false">
      <c r="D5647" s="0" t="s">
        <v>129</v>
      </c>
      <c r="E5647" s="0" t="s">
        <v>130</v>
      </c>
      <c r="F5647" s="0" t="s">
        <v>131</v>
      </c>
      <c r="G5647" s="0" t="s">
        <v>168</v>
      </c>
      <c r="H5647" s="0" t="s">
        <v>168</v>
      </c>
      <c r="I5647" s="0" t="s">
        <v>38</v>
      </c>
      <c r="J5647" s="0" t="s">
        <v>39</v>
      </c>
      <c r="K5647" s="0" t="s">
        <v>30</v>
      </c>
      <c r="L5647" s="0" t="s">
        <v>31</v>
      </c>
      <c r="M5647" s="0" t="s">
        <v>167</v>
      </c>
      <c r="N5647" s="0" t="n">
        <v>1067</v>
      </c>
      <c r="O5647" s="10" t="n">
        <v>0.66398837370798</v>
      </c>
      <c r="P5647" s="10" t="n">
        <v>0.556908084778115</v>
      </c>
      <c r="Q5647" s="0" t="str">
        <f aca="false">SUBSTITUTE(SUBSTITUTE($I5647,CHAR(61),""),CHAR(34),"")</f>
        <v>15-24</v>
      </c>
      <c r="R5647" s="0" t="str">
        <f aca="false">IF($D5647&lt;&gt;"","["&amp;$E5647&amp;"]"&amp;"|"&amp;$Q5647&amp;"|"&amp;$K5647&amp;"|"&amp;$G5647&amp;"|"&amp;IF($G5647="TX_CURR_SUBNAT.R","CY2022Q4",$M5647),"")</f>
        <v>[YCKiBAp8QAg]|15-24|Female|PLHIV_Attend.T|CY2024Q3</v>
      </c>
    </row>
    <row r="5648" customFormat="false" ht="15" hidden="false" customHeight="false" outlineLevel="0" collapsed="false">
      <c r="D5648" s="0" t="s">
        <v>129</v>
      </c>
      <c r="E5648" s="0" t="s">
        <v>130</v>
      </c>
      <c r="F5648" s="0" t="s">
        <v>131</v>
      </c>
      <c r="G5648" s="0" t="s">
        <v>168</v>
      </c>
      <c r="H5648" s="0" t="s">
        <v>168</v>
      </c>
      <c r="I5648" s="0" t="s">
        <v>41</v>
      </c>
      <c r="J5648" s="0" t="s">
        <v>42</v>
      </c>
      <c r="K5648" s="0" t="s">
        <v>30</v>
      </c>
      <c r="L5648" s="0" t="s">
        <v>31</v>
      </c>
      <c r="M5648" s="0" t="s">
        <v>167</v>
      </c>
      <c r="N5648" s="0" t="n">
        <v>1869</v>
      </c>
      <c r="O5648" s="10" t="n">
        <v>0.502365971915424</v>
      </c>
      <c r="P5648" s="10" t="n">
        <v>0.556908084778115</v>
      </c>
      <c r="Q5648" s="0" t="str">
        <f aca="false">SUBSTITUTE(SUBSTITUTE($I5648,CHAR(61),""),CHAR(34),"")</f>
        <v>25-34</v>
      </c>
      <c r="R5648" s="0" t="str">
        <f aca="false">IF($D5648&lt;&gt;"","["&amp;$E5648&amp;"]"&amp;"|"&amp;$Q5648&amp;"|"&amp;$K5648&amp;"|"&amp;$G5648&amp;"|"&amp;IF($G5648="TX_CURR_SUBNAT.R","CY2022Q4",$M5648),"")</f>
        <v>[YCKiBAp8QAg]|25-34|Female|PLHIV_Attend.T|CY2024Q3</v>
      </c>
    </row>
    <row r="5649" customFormat="false" ht="15" hidden="false" customHeight="false" outlineLevel="0" collapsed="false">
      <c r="D5649" s="0" t="s">
        <v>129</v>
      </c>
      <c r="E5649" s="0" t="s">
        <v>130</v>
      </c>
      <c r="F5649" s="0" t="s">
        <v>131</v>
      </c>
      <c r="G5649" s="0" t="s">
        <v>168</v>
      </c>
      <c r="H5649" s="0" t="s">
        <v>168</v>
      </c>
      <c r="I5649" s="0" t="s">
        <v>43</v>
      </c>
      <c r="J5649" s="0" t="s">
        <v>44</v>
      </c>
      <c r="K5649" s="0" t="s">
        <v>30</v>
      </c>
      <c r="L5649" s="0" t="s">
        <v>31</v>
      </c>
      <c r="M5649" s="0" t="s">
        <v>167</v>
      </c>
      <c r="N5649" s="0" t="n">
        <v>1807</v>
      </c>
      <c r="O5649" s="10" t="n">
        <v>0.129954752279446</v>
      </c>
      <c r="P5649" s="10" t="n">
        <v>0.556908084778115</v>
      </c>
      <c r="Q5649" s="0" t="str">
        <f aca="false">SUBSTITUTE(SUBSTITUTE($I5649,CHAR(61),""),CHAR(34),"")</f>
        <v>35-49</v>
      </c>
      <c r="R5649" s="0" t="str">
        <f aca="false">IF($D5649&lt;&gt;"","["&amp;$E5649&amp;"]"&amp;"|"&amp;$Q5649&amp;"|"&amp;$K5649&amp;"|"&amp;$G5649&amp;"|"&amp;IF($G5649="TX_CURR_SUBNAT.R","CY2022Q4",$M5649),"")</f>
        <v>[YCKiBAp8QAg]|35-49|Female|PLHIV_Attend.T|CY2024Q3</v>
      </c>
    </row>
    <row r="5650" customFormat="false" ht="15" hidden="false" customHeight="false" outlineLevel="0" collapsed="false">
      <c r="D5650" s="0" t="s">
        <v>129</v>
      </c>
      <c r="E5650" s="0" t="s">
        <v>130</v>
      </c>
      <c r="F5650" s="0" t="s">
        <v>131</v>
      </c>
      <c r="G5650" s="0" t="s">
        <v>168</v>
      </c>
      <c r="H5650" s="0" t="s">
        <v>168</v>
      </c>
      <c r="I5650" s="0" t="s">
        <v>45</v>
      </c>
      <c r="J5650" s="0" t="s">
        <v>46</v>
      </c>
      <c r="K5650" s="0" t="s">
        <v>30</v>
      </c>
      <c r="L5650" s="0" t="s">
        <v>31</v>
      </c>
      <c r="M5650" s="0" t="s">
        <v>167</v>
      </c>
      <c r="N5650" s="0" t="n">
        <v>734</v>
      </c>
      <c r="O5650" s="10" t="n">
        <v>0.615131512051448</v>
      </c>
      <c r="P5650" s="10" t="n">
        <v>0.556908084778115</v>
      </c>
      <c r="Q5650" s="0" t="str">
        <f aca="false">SUBSTITUTE(SUBSTITUTE($I5650,CHAR(61),""),CHAR(34),"")</f>
        <v>50+</v>
      </c>
      <c r="R5650" s="0" t="str">
        <f aca="false">IF($D5650&lt;&gt;"","["&amp;$E5650&amp;"]"&amp;"|"&amp;$Q5650&amp;"|"&amp;$K5650&amp;"|"&amp;$G5650&amp;"|"&amp;IF($G5650="TX_CURR_SUBNAT.R","CY2022Q4",$M5650),"")</f>
        <v>[YCKiBAp8QAg]|50+|Female|PLHIV_Attend.T|CY2024Q3</v>
      </c>
    </row>
    <row r="5651" customFormat="false" ht="15" hidden="false" customHeight="false" outlineLevel="0" collapsed="false">
      <c r="D5651" s="0" t="s">
        <v>129</v>
      </c>
      <c r="E5651" s="0" t="s">
        <v>130</v>
      </c>
      <c r="F5651" s="0" t="s">
        <v>131</v>
      </c>
      <c r="G5651" s="0" t="s">
        <v>168</v>
      </c>
      <c r="H5651" s="0" t="s">
        <v>168</v>
      </c>
      <c r="I5651" s="0" t="s">
        <v>28</v>
      </c>
      <c r="J5651" s="0" t="s">
        <v>29</v>
      </c>
      <c r="K5651" s="0" t="s">
        <v>48</v>
      </c>
      <c r="L5651" s="0" t="s">
        <v>49</v>
      </c>
      <c r="M5651" s="0" t="s">
        <v>167</v>
      </c>
      <c r="N5651" s="0" t="n">
        <v>1906</v>
      </c>
      <c r="O5651" s="10" t="n">
        <v>0.73891211557202</v>
      </c>
      <c r="P5651" s="10" t="n">
        <v>0.556908084778115</v>
      </c>
      <c r="Q5651" s="0" t="str">
        <f aca="false">SUBSTITUTE(SUBSTITUTE($I5651,CHAR(61),""),CHAR(34),"")</f>
        <v>&lt;01</v>
      </c>
      <c r="R5651" s="0" t="str">
        <f aca="false">IF($D5651&lt;&gt;"","["&amp;$E5651&amp;"]"&amp;"|"&amp;$Q5651&amp;"|"&amp;$K5651&amp;"|"&amp;$G5651&amp;"|"&amp;IF($G5651="TX_CURR_SUBNAT.R","CY2022Q4",$M5651),"")</f>
        <v>[YCKiBAp8QAg]|&lt;01|Male|PLHIV_Attend.T|CY2024Q3</v>
      </c>
    </row>
    <row r="5652" customFormat="false" ht="15" hidden="false" customHeight="false" outlineLevel="0" collapsed="false">
      <c r="D5652" s="0" t="s">
        <v>129</v>
      </c>
      <c r="E5652" s="0" t="s">
        <v>130</v>
      </c>
      <c r="F5652" s="0" t="s">
        <v>131</v>
      </c>
      <c r="G5652" s="0" t="s">
        <v>168</v>
      </c>
      <c r="H5652" s="0" t="s">
        <v>168</v>
      </c>
      <c r="I5652" s="0" t="s">
        <v>33</v>
      </c>
      <c r="J5652" s="0" t="s">
        <v>34</v>
      </c>
      <c r="K5652" s="0" t="s">
        <v>48</v>
      </c>
      <c r="L5652" s="0" t="s">
        <v>49</v>
      </c>
      <c r="M5652" s="0" t="s">
        <v>167</v>
      </c>
      <c r="N5652" s="0" t="n">
        <v>1149</v>
      </c>
      <c r="O5652" s="10" t="n">
        <v>0.818222344387323</v>
      </c>
      <c r="P5652" s="10" t="n">
        <v>0.556908084778115</v>
      </c>
      <c r="Q5652" s="0" t="str">
        <f aca="false">SUBSTITUTE(SUBSTITUTE($I5652,CHAR(61),""),CHAR(34),"")</f>
        <v>01-09</v>
      </c>
      <c r="R5652" s="0" t="str">
        <f aca="false">IF($D5652&lt;&gt;"","["&amp;$E5652&amp;"]"&amp;"|"&amp;$Q5652&amp;"|"&amp;$K5652&amp;"|"&amp;$G5652&amp;"|"&amp;IF($G5652="TX_CURR_SUBNAT.R","CY2022Q4",$M5652),"")</f>
        <v>[YCKiBAp8QAg]|01-09|Male|PLHIV_Attend.T|CY2024Q3</v>
      </c>
    </row>
    <row r="5653" customFormat="false" ht="15" hidden="false" customHeight="false" outlineLevel="0" collapsed="false">
      <c r="D5653" s="0" t="s">
        <v>129</v>
      </c>
      <c r="E5653" s="0" t="s">
        <v>130</v>
      </c>
      <c r="F5653" s="0" t="s">
        <v>131</v>
      </c>
      <c r="G5653" s="0" t="s">
        <v>168</v>
      </c>
      <c r="H5653" s="0" t="s">
        <v>168</v>
      </c>
      <c r="I5653" s="0" t="s">
        <v>36</v>
      </c>
      <c r="J5653" s="0" t="s">
        <v>37</v>
      </c>
      <c r="K5653" s="0" t="s">
        <v>48</v>
      </c>
      <c r="L5653" s="0" t="s">
        <v>49</v>
      </c>
      <c r="M5653" s="0" t="s">
        <v>167</v>
      </c>
      <c r="N5653" s="0" t="n">
        <v>822</v>
      </c>
      <c r="O5653" s="10" t="n">
        <v>0.547264319378883</v>
      </c>
      <c r="P5653" s="10" t="n">
        <v>0.556908084778115</v>
      </c>
      <c r="Q5653" s="0" t="str">
        <f aca="false">SUBSTITUTE(SUBSTITUTE($I5653,CHAR(61),""),CHAR(34),"")</f>
        <v>10-14</v>
      </c>
      <c r="R5653" s="0" t="str">
        <f aca="false">IF($D5653&lt;&gt;"","["&amp;$E5653&amp;"]"&amp;"|"&amp;$Q5653&amp;"|"&amp;$K5653&amp;"|"&amp;$G5653&amp;"|"&amp;IF($G5653="TX_CURR_SUBNAT.R","CY2022Q4",$M5653),"")</f>
        <v>[YCKiBAp8QAg]|10-14|Male|PLHIV_Attend.T|CY2024Q3</v>
      </c>
    </row>
    <row r="5654" customFormat="false" ht="15" hidden="false" customHeight="false" outlineLevel="0" collapsed="false">
      <c r="D5654" s="0" t="s">
        <v>129</v>
      </c>
      <c r="E5654" s="0" t="s">
        <v>130</v>
      </c>
      <c r="F5654" s="0" t="s">
        <v>131</v>
      </c>
      <c r="G5654" s="0" t="s">
        <v>168</v>
      </c>
      <c r="H5654" s="0" t="s">
        <v>168</v>
      </c>
      <c r="I5654" s="0" t="s">
        <v>38</v>
      </c>
      <c r="J5654" s="0" t="s">
        <v>39</v>
      </c>
      <c r="K5654" s="0" t="s">
        <v>48</v>
      </c>
      <c r="L5654" s="0" t="s">
        <v>49</v>
      </c>
      <c r="M5654" s="0" t="s">
        <v>167</v>
      </c>
      <c r="N5654" s="0" t="n">
        <v>1147</v>
      </c>
      <c r="O5654" s="10" t="n">
        <v>0.228594403946772</v>
      </c>
      <c r="P5654" s="10" t="n">
        <v>0.556908084778115</v>
      </c>
      <c r="Q5654" s="0" t="str">
        <f aca="false">SUBSTITUTE(SUBSTITUTE($I5654,CHAR(61),""),CHAR(34),"")</f>
        <v>15-24</v>
      </c>
      <c r="R5654" s="0" t="str">
        <f aca="false">IF($D5654&lt;&gt;"","["&amp;$E5654&amp;"]"&amp;"|"&amp;$Q5654&amp;"|"&amp;$K5654&amp;"|"&amp;$G5654&amp;"|"&amp;IF($G5654="TX_CURR_SUBNAT.R","CY2022Q4",$M5654),"")</f>
        <v>[YCKiBAp8QAg]|15-24|Male|PLHIV_Attend.T|CY2024Q3</v>
      </c>
    </row>
    <row r="5655" customFormat="false" ht="15" hidden="false" customHeight="false" outlineLevel="0" collapsed="false">
      <c r="D5655" s="0" t="s">
        <v>129</v>
      </c>
      <c r="E5655" s="0" t="s">
        <v>130</v>
      </c>
      <c r="F5655" s="0" t="s">
        <v>131</v>
      </c>
      <c r="G5655" s="0" t="s">
        <v>168</v>
      </c>
      <c r="H5655" s="0" t="s">
        <v>168</v>
      </c>
      <c r="I5655" s="0" t="s">
        <v>41</v>
      </c>
      <c r="J5655" s="0" t="s">
        <v>42</v>
      </c>
      <c r="K5655" s="0" t="s">
        <v>48</v>
      </c>
      <c r="L5655" s="0" t="s">
        <v>49</v>
      </c>
      <c r="M5655" s="0" t="s">
        <v>167</v>
      </c>
      <c r="N5655" s="0" t="n">
        <v>1520</v>
      </c>
      <c r="O5655" s="10" t="n">
        <v>0.275516243418679</v>
      </c>
      <c r="P5655" s="10" t="n">
        <v>0.556908084778115</v>
      </c>
      <c r="Q5655" s="0" t="str">
        <f aca="false">SUBSTITUTE(SUBSTITUTE($I5655,CHAR(61),""),CHAR(34),"")</f>
        <v>25-34</v>
      </c>
      <c r="R5655" s="0" t="str">
        <f aca="false">IF($D5655&lt;&gt;"","["&amp;$E5655&amp;"]"&amp;"|"&amp;$Q5655&amp;"|"&amp;$K5655&amp;"|"&amp;$G5655&amp;"|"&amp;IF($G5655="TX_CURR_SUBNAT.R","CY2022Q4",$M5655),"")</f>
        <v>[YCKiBAp8QAg]|25-34|Male|PLHIV_Attend.T|CY2024Q3</v>
      </c>
    </row>
    <row r="5656" customFormat="false" ht="15" hidden="false" customHeight="false" outlineLevel="0" collapsed="false">
      <c r="D5656" s="0" t="s">
        <v>129</v>
      </c>
      <c r="E5656" s="0" t="s">
        <v>130</v>
      </c>
      <c r="F5656" s="0" t="s">
        <v>131</v>
      </c>
      <c r="G5656" s="0" t="s">
        <v>168</v>
      </c>
      <c r="H5656" s="0" t="s">
        <v>168</v>
      </c>
      <c r="I5656" s="0" t="s">
        <v>43</v>
      </c>
      <c r="J5656" s="0" t="s">
        <v>44</v>
      </c>
      <c r="K5656" s="0" t="s">
        <v>48</v>
      </c>
      <c r="L5656" s="0" t="s">
        <v>49</v>
      </c>
      <c r="M5656" s="0" t="s">
        <v>167</v>
      </c>
      <c r="N5656" s="0" t="n">
        <v>1432</v>
      </c>
      <c r="O5656" s="10" t="n">
        <v>0.122906830394641</v>
      </c>
      <c r="P5656" s="10" t="n">
        <v>0.556908084778115</v>
      </c>
      <c r="Q5656" s="0" t="str">
        <f aca="false">SUBSTITUTE(SUBSTITUTE($I5656,CHAR(61),""),CHAR(34),"")</f>
        <v>35-49</v>
      </c>
      <c r="R5656" s="0" t="str">
        <f aca="false">IF($D5656&lt;&gt;"","["&amp;$E5656&amp;"]"&amp;"|"&amp;$Q5656&amp;"|"&amp;$K5656&amp;"|"&amp;$G5656&amp;"|"&amp;IF($G5656="TX_CURR_SUBNAT.R","CY2022Q4",$M5656),"")</f>
        <v>[YCKiBAp8QAg]|35-49|Male|PLHIV_Attend.T|CY2024Q3</v>
      </c>
    </row>
    <row r="5657" customFormat="false" ht="15" hidden="false" customHeight="false" outlineLevel="0" collapsed="false">
      <c r="D5657" s="0" t="s">
        <v>129</v>
      </c>
      <c r="E5657" s="0" t="s">
        <v>130</v>
      </c>
      <c r="F5657" s="0" t="s">
        <v>131</v>
      </c>
      <c r="G5657" s="0" t="s">
        <v>168</v>
      </c>
      <c r="H5657" s="0" t="s">
        <v>168</v>
      </c>
      <c r="I5657" s="0" t="s">
        <v>45</v>
      </c>
      <c r="J5657" s="0" t="s">
        <v>46</v>
      </c>
      <c r="K5657" s="0" t="s">
        <v>48</v>
      </c>
      <c r="L5657" s="0" t="s">
        <v>49</v>
      </c>
      <c r="M5657" s="0" t="s">
        <v>167</v>
      </c>
      <c r="N5657" s="0" t="n">
        <v>1061</v>
      </c>
      <c r="O5657" s="10" t="n">
        <v>0.104131501866505</v>
      </c>
      <c r="P5657" s="10" t="n">
        <v>0.556908084778115</v>
      </c>
      <c r="Q5657" s="0" t="str">
        <f aca="false">SUBSTITUTE(SUBSTITUTE($I5657,CHAR(61),""),CHAR(34),"")</f>
        <v>50+</v>
      </c>
      <c r="R5657" s="0" t="str">
        <f aca="false">IF($D5657&lt;&gt;"","["&amp;$E5657&amp;"]"&amp;"|"&amp;$Q5657&amp;"|"&amp;$K5657&amp;"|"&amp;$G5657&amp;"|"&amp;IF($G5657="TX_CURR_SUBNAT.R","CY2022Q4",$M5657),"")</f>
        <v>[YCKiBAp8QAg]|50+|Male|PLHIV_Attend.T|CY2024Q3</v>
      </c>
    </row>
    <row r="5658" customFormat="false" ht="15" hidden="false" customHeight="false" outlineLevel="0" collapsed="false">
      <c r="D5658" s="0" t="s">
        <v>132</v>
      </c>
      <c r="E5658" s="0" t="s">
        <v>133</v>
      </c>
      <c r="F5658" s="0" t="s">
        <v>134</v>
      </c>
      <c r="G5658" s="0" t="s">
        <v>168</v>
      </c>
      <c r="H5658" s="0" t="s">
        <v>168</v>
      </c>
      <c r="I5658" s="0" t="s">
        <v>28</v>
      </c>
      <c r="J5658" s="0" t="s">
        <v>29</v>
      </c>
      <c r="K5658" s="0" t="s">
        <v>30</v>
      </c>
      <c r="L5658" s="0" t="s">
        <v>31</v>
      </c>
      <c r="M5658" s="0" t="s">
        <v>167</v>
      </c>
      <c r="N5658" s="0" t="n">
        <v>1407</v>
      </c>
      <c r="O5658" s="10" t="n">
        <v>0.376294234767556</v>
      </c>
      <c r="P5658" s="10" t="n">
        <v>0.162863194011152</v>
      </c>
      <c r="Q5658" s="0" t="str">
        <f aca="false">SUBSTITUTE(SUBSTITUTE($I5658,CHAR(61),""),CHAR(34),"")</f>
        <v>&lt;01</v>
      </c>
      <c r="R5658" s="0" t="str">
        <f aca="false">IF($D5658&lt;&gt;"","["&amp;$E5658&amp;"]"&amp;"|"&amp;$Q5658&amp;"|"&amp;$K5658&amp;"|"&amp;$G5658&amp;"|"&amp;IF($G5658="TX_CURR_SUBNAT.R","CY2022Q4",$M5658),"")</f>
        <v>[JQKLKuVuY61]|&lt;01|Female|PLHIV_Attend.T|CY2024Q3</v>
      </c>
    </row>
    <row r="5659" customFormat="false" ht="15" hidden="false" customHeight="false" outlineLevel="0" collapsed="false">
      <c r="D5659" s="0" t="s">
        <v>132</v>
      </c>
      <c r="E5659" s="0" t="s">
        <v>133</v>
      </c>
      <c r="F5659" s="0" t="s">
        <v>134</v>
      </c>
      <c r="G5659" s="0" t="s">
        <v>168</v>
      </c>
      <c r="H5659" s="0" t="s">
        <v>168</v>
      </c>
      <c r="I5659" s="0" t="s">
        <v>33</v>
      </c>
      <c r="J5659" s="0" t="s">
        <v>34</v>
      </c>
      <c r="K5659" s="0" t="s">
        <v>30</v>
      </c>
      <c r="L5659" s="0" t="s">
        <v>31</v>
      </c>
      <c r="M5659" s="0" t="s">
        <v>167</v>
      </c>
      <c r="N5659" s="0" t="n">
        <v>1866</v>
      </c>
      <c r="O5659" s="10" t="n">
        <v>0.589593563694507</v>
      </c>
      <c r="P5659" s="10" t="n">
        <v>0.162863194011152</v>
      </c>
      <c r="Q5659" s="0" t="str">
        <f aca="false">SUBSTITUTE(SUBSTITUTE($I5659,CHAR(61),""),CHAR(34),"")</f>
        <v>01-09</v>
      </c>
      <c r="R5659" s="0" t="str">
        <f aca="false">IF($D5659&lt;&gt;"","["&amp;$E5659&amp;"]"&amp;"|"&amp;$Q5659&amp;"|"&amp;$K5659&amp;"|"&amp;$G5659&amp;"|"&amp;IF($G5659="TX_CURR_SUBNAT.R","CY2022Q4",$M5659),"")</f>
        <v>[JQKLKuVuY61]|01-09|Female|PLHIV_Attend.T|CY2024Q3</v>
      </c>
    </row>
    <row r="5660" customFormat="false" ht="15" hidden="false" customHeight="false" outlineLevel="0" collapsed="false">
      <c r="D5660" s="0" t="s">
        <v>132</v>
      </c>
      <c r="E5660" s="0" t="s">
        <v>133</v>
      </c>
      <c r="F5660" s="0" t="s">
        <v>134</v>
      </c>
      <c r="G5660" s="0" t="s">
        <v>168</v>
      </c>
      <c r="H5660" s="0" t="s">
        <v>168</v>
      </c>
      <c r="I5660" s="0" t="s">
        <v>36</v>
      </c>
      <c r="J5660" s="0" t="s">
        <v>37</v>
      </c>
      <c r="K5660" s="0" t="s">
        <v>30</v>
      </c>
      <c r="L5660" s="0" t="s">
        <v>31</v>
      </c>
      <c r="M5660" s="0" t="s">
        <v>167</v>
      </c>
      <c r="N5660" s="0" t="n">
        <v>1440</v>
      </c>
      <c r="O5660" s="10" t="n">
        <v>0.602300987578928</v>
      </c>
      <c r="P5660" s="10" t="n">
        <v>0.162863194011152</v>
      </c>
      <c r="Q5660" s="0" t="str">
        <f aca="false">SUBSTITUTE(SUBSTITUTE($I5660,CHAR(61),""),CHAR(34),"")</f>
        <v>10-14</v>
      </c>
      <c r="R5660" s="0" t="str">
        <f aca="false">IF($D5660&lt;&gt;"","["&amp;$E5660&amp;"]"&amp;"|"&amp;$Q5660&amp;"|"&amp;$K5660&amp;"|"&amp;$G5660&amp;"|"&amp;IF($G5660="TX_CURR_SUBNAT.R","CY2022Q4",$M5660),"")</f>
        <v>[JQKLKuVuY61]|10-14|Female|PLHIV_Attend.T|CY2024Q3</v>
      </c>
    </row>
    <row r="5661" customFormat="false" ht="15" hidden="false" customHeight="false" outlineLevel="0" collapsed="false">
      <c r="D5661" s="0" t="s">
        <v>132</v>
      </c>
      <c r="E5661" s="0" t="s">
        <v>133</v>
      </c>
      <c r="F5661" s="0" t="s">
        <v>134</v>
      </c>
      <c r="G5661" s="0" t="s">
        <v>168</v>
      </c>
      <c r="H5661" s="0" t="s">
        <v>168</v>
      </c>
      <c r="I5661" s="0" t="s">
        <v>38</v>
      </c>
      <c r="J5661" s="0" t="s">
        <v>39</v>
      </c>
      <c r="K5661" s="0" t="s">
        <v>30</v>
      </c>
      <c r="L5661" s="0" t="s">
        <v>31</v>
      </c>
      <c r="M5661" s="0" t="s">
        <v>167</v>
      </c>
      <c r="N5661" s="0" t="n">
        <v>1044</v>
      </c>
      <c r="O5661" s="10" t="n">
        <v>0.774676822824404</v>
      </c>
      <c r="P5661" s="10" t="n">
        <v>0.162863194011152</v>
      </c>
      <c r="Q5661" s="0" t="str">
        <f aca="false">SUBSTITUTE(SUBSTITUTE($I5661,CHAR(61),""),CHAR(34),"")</f>
        <v>15-24</v>
      </c>
      <c r="R5661" s="0" t="str">
        <f aca="false">IF($D5661&lt;&gt;"","["&amp;$E5661&amp;"]"&amp;"|"&amp;$Q5661&amp;"|"&amp;$K5661&amp;"|"&amp;$G5661&amp;"|"&amp;IF($G5661="TX_CURR_SUBNAT.R","CY2022Q4",$M5661),"")</f>
        <v>[JQKLKuVuY61]|15-24|Female|PLHIV_Attend.T|CY2024Q3</v>
      </c>
    </row>
    <row r="5662" customFormat="false" ht="15" hidden="false" customHeight="false" outlineLevel="0" collapsed="false">
      <c r="D5662" s="0" t="s">
        <v>132</v>
      </c>
      <c r="E5662" s="0" t="s">
        <v>133</v>
      </c>
      <c r="F5662" s="0" t="s">
        <v>134</v>
      </c>
      <c r="G5662" s="0" t="s">
        <v>168</v>
      </c>
      <c r="H5662" s="0" t="s">
        <v>168</v>
      </c>
      <c r="I5662" s="0" t="s">
        <v>41</v>
      </c>
      <c r="J5662" s="0" t="s">
        <v>42</v>
      </c>
      <c r="K5662" s="0" t="s">
        <v>30</v>
      </c>
      <c r="L5662" s="0" t="s">
        <v>31</v>
      </c>
      <c r="M5662" s="0" t="s">
        <v>167</v>
      </c>
      <c r="N5662" s="0" t="n">
        <v>1219</v>
      </c>
      <c r="O5662" s="10" t="n">
        <v>0.298114147270098</v>
      </c>
      <c r="P5662" s="10" t="n">
        <v>0.162863194011152</v>
      </c>
      <c r="Q5662" s="0" t="str">
        <f aca="false">SUBSTITUTE(SUBSTITUTE($I5662,CHAR(61),""),CHAR(34),"")</f>
        <v>25-34</v>
      </c>
      <c r="R5662" s="0" t="str">
        <f aca="false">IF($D5662&lt;&gt;"","["&amp;$E5662&amp;"]"&amp;"|"&amp;$Q5662&amp;"|"&amp;$K5662&amp;"|"&amp;$G5662&amp;"|"&amp;IF($G5662="TX_CURR_SUBNAT.R","CY2022Q4",$M5662),"")</f>
        <v>[JQKLKuVuY61]|25-34|Female|PLHIV_Attend.T|CY2024Q3</v>
      </c>
    </row>
    <row r="5663" customFormat="false" ht="15" hidden="false" customHeight="false" outlineLevel="0" collapsed="false">
      <c r="D5663" s="0" t="s">
        <v>132</v>
      </c>
      <c r="E5663" s="0" t="s">
        <v>133</v>
      </c>
      <c r="F5663" s="0" t="s">
        <v>134</v>
      </c>
      <c r="G5663" s="0" t="s">
        <v>168</v>
      </c>
      <c r="H5663" s="0" t="s">
        <v>168</v>
      </c>
      <c r="I5663" s="0" t="s">
        <v>43</v>
      </c>
      <c r="J5663" s="0" t="s">
        <v>44</v>
      </c>
      <c r="K5663" s="0" t="s">
        <v>30</v>
      </c>
      <c r="L5663" s="0" t="s">
        <v>31</v>
      </c>
      <c r="M5663" s="0" t="s">
        <v>167</v>
      </c>
      <c r="N5663" s="0" t="n">
        <v>1495</v>
      </c>
      <c r="O5663" s="10" t="n">
        <v>0.313420366961509</v>
      </c>
      <c r="P5663" s="10" t="n">
        <v>0.162863194011152</v>
      </c>
      <c r="Q5663" s="0" t="str">
        <f aca="false">SUBSTITUTE(SUBSTITUTE($I5663,CHAR(61),""),CHAR(34),"")</f>
        <v>35-49</v>
      </c>
      <c r="R5663" s="0" t="str">
        <f aca="false">IF($D5663&lt;&gt;"","["&amp;$E5663&amp;"]"&amp;"|"&amp;$Q5663&amp;"|"&amp;$K5663&amp;"|"&amp;$G5663&amp;"|"&amp;IF($G5663="TX_CURR_SUBNAT.R","CY2022Q4",$M5663),"")</f>
        <v>[JQKLKuVuY61]|35-49|Female|PLHIV_Attend.T|CY2024Q3</v>
      </c>
    </row>
    <row r="5664" customFormat="false" ht="15" hidden="false" customHeight="false" outlineLevel="0" collapsed="false">
      <c r="D5664" s="0" t="s">
        <v>132</v>
      </c>
      <c r="E5664" s="0" t="s">
        <v>133</v>
      </c>
      <c r="F5664" s="0" t="s">
        <v>134</v>
      </c>
      <c r="G5664" s="0" t="s">
        <v>168</v>
      </c>
      <c r="H5664" s="0" t="s">
        <v>168</v>
      </c>
      <c r="I5664" s="0" t="s">
        <v>45</v>
      </c>
      <c r="J5664" s="0" t="s">
        <v>46</v>
      </c>
      <c r="K5664" s="0" t="s">
        <v>30</v>
      </c>
      <c r="L5664" s="0" t="s">
        <v>31</v>
      </c>
      <c r="M5664" s="0" t="s">
        <v>167</v>
      </c>
      <c r="N5664" s="0" t="n">
        <v>1433</v>
      </c>
      <c r="O5664" s="10" t="n">
        <v>0.278209412936121</v>
      </c>
      <c r="P5664" s="10" t="n">
        <v>0.162863194011152</v>
      </c>
      <c r="Q5664" s="0" t="str">
        <f aca="false">SUBSTITUTE(SUBSTITUTE($I5664,CHAR(61),""),CHAR(34),"")</f>
        <v>50+</v>
      </c>
      <c r="R5664" s="0" t="str">
        <f aca="false">IF($D5664&lt;&gt;"","["&amp;$E5664&amp;"]"&amp;"|"&amp;$Q5664&amp;"|"&amp;$K5664&amp;"|"&amp;$G5664&amp;"|"&amp;IF($G5664="TX_CURR_SUBNAT.R","CY2022Q4",$M5664),"")</f>
        <v>[JQKLKuVuY61]|50+|Female|PLHIV_Attend.T|CY2024Q3</v>
      </c>
    </row>
    <row r="5665" customFormat="false" ht="15" hidden="false" customHeight="false" outlineLevel="0" collapsed="false">
      <c r="D5665" s="0" t="s">
        <v>132</v>
      </c>
      <c r="E5665" s="0" t="s">
        <v>133</v>
      </c>
      <c r="F5665" s="0" t="s">
        <v>134</v>
      </c>
      <c r="G5665" s="0" t="s">
        <v>168</v>
      </c>
      <c r="H5665" s="0" t="s">
        <v>168</v>
      </c>
      <c r="I5665" s="0" t="s">
        <v>28</v>
      </c>
      <c r="J5665" s="0" t="s">
        <v>29</v>
      </c>
      <c r="K5665" s="0" t="s">
        <v>48</v>
      </c>
      <c r="L5665" s="0" t="s">
        <v>49</v>
      </c>
      <c r="M5665" s="0" t="s">
        <v>167</v>
      </c>
      <c r="N5665" s="0" t="n">
        <v>1108</v>
      </c>
      <c r="O5665" s="10" t="n">
        <v>0.44953567860648</v>
      </c>
      <c r="P5665" s="10" t="n">
        <v>0.162863194011152</v>
      </c>
      <c r="Q5665" s="0" t="str">
        <f aca="false">SUBSTITUTE(SUBSTITUTE($I5665,CHAR(61),""),CHAR(34),"")</f>
        <v>&lt;01</v>
      </c>
      <c r="R5665" s="0" t="str">
        <f aca="false">IF($D5665&lt;&gt;"","["&amp;$E5665&amp;"]"&amp;"|"&amp;$Q5665&amp;"|"&amp;$K5665&amp;"|"&amp;$G5665&amp;"|"&amp;IF($G5665="TX_CURR_SUBNAT.R","CY2022Q4",$M5665),"")</f>
        <v>[JQKLKuVuY61]|&lt;01|Male|PLHIV_Attend.T|CY2024Q3</v>
      </c>
    </row>
    <row r="5666" customFormat="false" ht="15" hidden="false" customHeight="false" outlineLevel="0" collapsed="false">
      <c r="D5666" s="0" t="s">
        <v>132</v>
      </c>
      <c r="E5666" s="0" t="s">
        <v>133</v>
      </c>
      <c r="F5666" s="0" t="s">
        <v>134</v>
      </c>
      <c r="G5666" s="0" t="s">
        <v>168</v>
      </c>
      <c r="H5666" s="0" t="s">
        <v>168</v>
      </c>
      <c r="I5666" s="0" t="s">
        <v>33</v>
      </c>
      <c r="J5666" s="0" t="s">
        <v>34</v>
      </c>
      <c r="K5666" s="0" t="s">
        <v>48</v>
      </c>
      <c r="L5666" s="0" t="s">
        <v>49</v>
      </c>
      <c r="M5666" s="0" t="s">
        <v>167</v>
      </c>
      <c r="N5666" s="0" t="n">
        <v>1465</v>
      </c>
      <c r="O5666" s="10" t="n">
        <v>0.457446638029069</v>
      </c>
      <c r="P5666" s="10" t="n">
        <v>0.162863194011152</v>
      </c>
      <c r="Q5666" s="0" t="str">
        <f aca="false">SUBSTITUTE(SUBSTITUTE($I5666,CHAR(61),""),CHAR(34),"")</f>
        <v>01-09</v>
      </c>
      <c r="R5666" s="0" t="str">
        <f aca="false">IF($D5666&lt;&gt;"","["&amp;$E5666&amp;"]"&amp;"|"&amp;$Q5666&amp;"|"&amp;$K5666&amp;"|"&amp;$G5666&amp;"|"&amp;IF($G5666="TX_CURR_SUBNAT.R","CY2022Q4",$M5666),"")</f>
        <v>[JQKLKuVuY61]|01-09|Male|PLHIV_Attend.T|CY2024Q3</v>
      </c>
    </row>
    <row r="5667" customFormat="false" ht="15" hidden="false" customHeight="false" outlineLevel="0" collapsed="false">
      <c r="D5667" s="0" t="s">
        <v>132</v>
      </c>
      <c r="E5667" s="0" t="s">
        <v>133</v>
      </c>
      <c r="F5667" s="0" t="s">
        <v>134</v>
      </c>
      <c r="G5667" s="0" t="s">
        <v>168</v>
      </c>
      <c r="H5667" s="0" t="s">
        <v>168</v>
      </c>
      <c r="I5667" s="0" t="s">
        <v>36</v>
      </c>
      <c r="J5667" s="0" t="s">
        <v>37</v>
      </c>
      <c r="K5667" s="0" t="s">
        <v>48</v>
      </c>
      <c r="L5667" s="0" t="s">
        <v>49</v>
      </c>
      <c r="M5667" s="0" t="s">
        <v>167</v>
      </c>
      <c r="N5667" s="0" t="n">
        <v>1223</v>
      </c>
      <c r="O5667" s="10" t="n">
        <v>0.0147340325638652</v>
      </c>
      <c r="P5667" s="10" t="n">
        <v>0.162863194011152</v>
      </c>
      <c r="Q5667" s="0" t="str">
        <f aca="false">SUBSTITUTE(SUBSTITUTE($I5667,CHAR(61),""),CHAR(34),"")</f>
        <v>10-14</v>
      </c>
      <c r="R5667" s="0" t="str">
        <f aca="false">IF($D5667&lt;&gt;"","["&amp;$E5667&amp;"]"&amp;"|"&amp;$Q5667&amp;"|"&amp;$K5667&amp;"|"&amp;$G5667&amp;"|"&amp;IF($G5667="TX_CURR_SUBNAT.R","CY2022Q4",$M5667),"")</f>
        <v>[JQKLKuVuY61]|10-14|Male|PLHIV_Attend.T|CY2024Q3</v>
      </c>
    </row>
    <row r="5668" customFormat="false" ht="15" hidden="false" customHeight="false" outlineLevel="0" collapsed="false">
      <c r="D5668" s="0" t="s">
        <v>132</v>
      </c>
      <c r="E5668" s="0" t="s">
        <v>133</v>
      </c>
      <c r="F5668" s="0" t="s">
        <v>134</v>
      </c>
      <c r="G5668" s="0" t="s">
        <v>168</v>
      </c>
      <c r="H5668" s="0" t="s">
        <v>168</v>
      </c>
      <c r="I5668" s="0" t="s">
        <v>38</v>
      </c>
      <c r="J5668" s="0" t="s">
        <v>39</v>
      </c>
      <c r="K5668" s="0" t="s">
        <v>48</v>
      </c>
      <c r="L5668" s="0" t="s">
        <v>49</v>
      </c>
      <c r="M5668" s="0" t="s">
        <v>167</v>
      </c>
      <c r="N5668" s="0" t="n">
        <v>1933</v>
      </c>
      <c r="O5668" s="10" t="n">
        <v>0.866864266339689</v>
      </c>
      <c r="P5668" s="10" t="n">
        <v>0.162863194011152</v>
      </c>
      <c r="Q5668" s="0" t="str">
        <f aca="false">SUBSTITUTE(SUBSTITUTE($I5668,CHAR(61),""),CHAR(34),"")</f>
        <v>15-24</v>
      </c>
      <c r="R5668" s="0" t="str">
        <f aca="false">IF($D5668&lt;&gt;"","["&amp;$E5668&amp;"]"&amp;"|"&amp;$Q5668&amp;"|"&amp;$K5668&amp;"|"&amp;$G5668&amp;"|"&amp;IF($G5668="TX_CURR_SUBNAT.R","CY2022Q4",$M5668),"")</f>
        <v>[JQKLKuVuY61]|15-24|Male|PLHIV_Attend.T|CY2024Q3</v>
      </c>
    </row>
    <row r="5669" customFormat="false" ht="15" hidden="false" customHeight="false" outlineLevel="0" collapsed="false">
      <c r="D5669" s="0" t="s">
        <v>132</v>
      </c>
      <c r="E5669" s="0" t="s">
        <v>133</v>
      </c>
      <c r="F5669" s="0" t="s">
        <v>134</v>
      </c>
      <c r="G5669" s="0" t="s">
        <v>168</v>
      </c>
      <c r="H5669" s="0" t="s">
        <v>168</v>
      </c>
      <c r="I5669" s="0" t="s">
        <v>41</v>
      </c>
      <c r="J5669" s="0" t="s">
        <v>42</v>
      </c>
      <c r="K5669" s="0" t="s">
        <v>48</v>
      </c>
      <c r="L5669" s="0" t="s">
        <v>49</v>
      </c>
      <c r="M5669" s="0" t="s">
        <v>167</v>
      </c>
      <c r="N5669" s="0" t="n">
        <v>1528</v>
      </c>
      <c r="O5669" s="10" t="n">
        <v>0.105439700419083</v>
      </c>
      <c r="P5669" s="10" t="n">
        <v>0.162863194011152</v>
      </c>
      <c r="Q5669" s="0" t="str">
        <f aca="false">SUBSTITUTE(SUBSTITUTE($I5669,CHAR(61),""),CHAR(34),"")</f>
        <v>25-34</v>
      </c>
      <c r="R5669" s="0" t="str">
        <f aca="false">IF($D5669&lt;&gt;"","["&amp;$E5669&amp;"]"&amp;"|"&amp;$Q5669&amp;"|"&amp;$K5669&amp;"|"&amp;$G5669&amp;"|"&amp;IF($G5669="TX_CURR_SUBNAT.R","CY2022Q4",$M5669),"")</f>
        <v>[JQKLKuVuY61]|25-34|Male|PLHIV_Attend.T|CY2024Q3</v>
      </c>
    </row>
    <row r="5670" customFormat="false" ht="15" hidden="false" customHeight="false" outlineLevel="0" collapsed="false">
      <c r="D5670" s="0" t="s">
        <v>132</v>
      </c>
      <c r="E5670" s="0" t="s">
        <v>133</v>
      </c>
      <c r="F5670" s="0" t="s">
        <v>134</v>
      </c>
      <c r="G5670" s="0" t="s">
        <v>168</v>
      </c>
      <c r="H5670" s="0" t="s">
        <v>168</v>
      </c>
      <c r="I5670" s="0" t="s">
        <v>43</v>
      </c>
      <c r="J5670" s="0" t="s">
        <v>44</v>
      </c>
      <c r="K5670" s="0" t="s">
        <v>48</v>
      </c>
      <c r="L5670" s="0" t="s">
        <v>49</v>
      </c>
      <c r="M5670" s="0" t="s">
        <v>167</v>
      </c>
      <c r="N5670" s="0" t="n">
        <v>1488</v>
      </c>
      <c r="O5670" s="10" t="n">
        <v>0.416009894106537</v>
      </c>
      <c r="P5670" s="10" t="n">
        <v>0.162863194011152</v>
      </c>
      <c r="Q5670" s="0" t="str">
        <f aca="false">SUBSTITUTE(SUBSTITUTE($I5670,CHAR(61),""),CHAR(34),"")</f>
        <v>35-49</v>
      </c>
      <c r="R5670" s="0" t="str">
        <f aca="false">IF($D5670&lt;&gt;"","["&amp;$E5670&amp;"]"&amp;"|"&amp;$Q5670&amp;"|"&amp;$K5670&amp;"|"&amp;$G5670&amp;"|"&amp;IF($G5670="TX_CURR_SUBNAT.R","CY2022Q4",$M5670),"")</f>
        <v>[JQKLKuVuY61]|35-49|Male|PLHIV_Attend.T|CY2024Q3</v>
      </c>
    </row>
    <row r="5671" customFormat="false" ht="15" hidden="false" customHeight="false" outlineLevel="0" collapsed="false">
      <c r="D5671" s="0" t="s">
        <v>132</v>
      </c>
      <c r="E5671" s="0" t="s">
        <v>133</v>
      </c>
      <c r="F5671" s="0" t="s">
        <v>134</v>
      </c>
      <c r="G5671" s="0" t="s">
        <v>168</v>
      </c>
      <c r="H5671" s="0" t="s">
        <v>168</v>
      </c>
      <c r="I5671" s="0" t="s">
        <v>45</v>
      </c>
      <c r="J5671" s="0" t="s">
        <v>46</v>
      </c>
      <c r="K5671" s="0" t="s">
        <v>48</v>
      </c>
      <c r="L5671" s="0" t="s">
        <v>49</v>
      </c>
      <c r="M5671" s="0" t="s">
        <v>167</v>
      </c>
      <c r="N5671" s="0" t="n">
        <v>1908</v>
      </c>
      <c r="O5671" s="10" t="n">
        <v>0.0720141062047333</v>
      </c>
      <c r="P5671" s="10" t="n">
        <v>0.162863194011152</v>
      </c>
      <c r="Q5671" s="0" t="str">
        <f aca="false">SUBSTITUTE(SUBSTITUTE($I5671,CHAR(61),""),CHAR(34),"")</f>
        <v>50+</v>
      </c>
      <c r="R5671" s="0" t="str">
        <f aca="false">IF($D5671&lt;&gt;"","["&amp;$E5671&amp;"]"&amp;"|"&amp;$Q5671&amp;"|"&amp;$K5671&amp;"|"&amp;$G5671&amp;"|"&amp;IF($G5671="TX_CURR_SUBNAT.R","CY2022Q4",$M5671),"")</f>
        <v>[JQKLKuVuY61]|50+|Male|PLHIV_Attend.T|CY2024Q3</v>
      </c>
    </row>
    <row r="5672" customFormat="false" ht="15" hidden="false" customHeight="false" outlineLevel="0" collapsed="false">
      <c r="D5672" s="0" t="s">
        <v>135</v>
      </c>
      <c r="E5672" s="0" t="s">
        <v>136</v>
      </c>
      <c r="F5672" s="0" t="s">
        <v>137</v>
      </c>
      <c r="G5672" s="0" t="s">
        <v>168</v>
      </c>
      <c r="H5672" s="0" t="s">
        <v>168</v>
      </c>
      <c r="I5672" s="0" t="s">
        <v>28</v>
      </c>
      <c r="J5672" s="0" t="s">
        <v>29</v>
      </c>
      <c r="K5672" s="0" t="s">
        <v>30</v>
      </c>
      <c r="L5672" s="0" t="s">
        <v>31</v>
      </c>
      <c r="M5672" s="0" t="s">
        <v>167</v>
      </c>
      <c r="N5672" s="0" t="n">
        <v>1281</v>
      </c>
      <c r="O5672" s="10" t="n">
        <v>0.412659538211301</v>
      </c>
      <c r="P5672" s="10" t="n">
        <v>0.955300528323278</v>
      </c>
      <c r="Q5672" s="0" t="str">
        <f aca="false">SUBSTITUTE(SUBSTITUTE($I5672,CHAR(61),""),CHAR(34),"")</f>
        <v>&lt;01</v>
      </c>
      <c r="R5672" s="0" t="str">
        <f aca="false">IF($D5672&lt;&gt;"","["&amp;$E5672&amp;"]"&amp;"|"&amp;$Q5672&amp;"|"&amp;$K5672&amp;"|"&amp;$G5672&amp;"|"&amp;IF($G5672="TX_CURR_SUBNAT.R","CY2022Q4",$M5672),"")</f>
        <v>[fiRkU6gEjLz]|&lt;01|Female|PLHIV_Attend.T|CY2024Q3</v>
      </c>
    </row>
    <row r="5673" customFormat="false" ht="15" hidden="false" customHeight="false" outlineLevel="0" collapsed="false">
      <c r="D5673" s="0" t="s">
        <v>135</v>
      </c>
      <c r="E5673" s="0" t="s">
        <v>136</v>
      </c>
      <c r="F5673" s="0" t="s">
        <v>137</v>
      </c>
      <c r="G5673" s="0" t="s">
        <v>168</v>
      </c>
      <c r="H5673" s="0" t="s">
        <v>168</v>
      </c>
      <c r="I5673" s="0" t="s">
        <v>33</v>
      </c>
      <c r="J5673" s="0" t="s">
        <v>34</v>
      </c>
      <c r="K5673" s="0" t="s">
        <v>30</v>
      </c>
      <c r="L5673" s="0" t="s">
        <v>31</v>
      </c>
      <c r="M5673" s="0" t="s">
        <v>167</v>
      </c>
      <c r="N5673" s="0" t="n">
        <v>717</v>
      </c>
      <c r="O5673" s="10" t="n">
        <v>0.610237857094035</v>
      </c>
      <c r="P5673" s="10" t="n">
        <v>0.955300528323278</v>
      </c>
      <c r="Q5673" s="0" t="str">
        <f aca="false">SUBSTITUTE(SUBSTITUTE($I5673,CHAR(61),""),CHAR(34),"")</f>
        <v>01-09</v>
      </c>
      <c r="R5673" s="0" t="str">
        <f aca="false">IF($D5673&lt;&gt;"","["&amp;$E5673&amp;"]"&amp;"|"&amp;$Q5673&amp;"|"&amp;$K5673&amp;"|"&amp;$G5673&amp;"|"&amp;IF($G5673="TX_CURR_SUBNAT.R","CY2022Q4",$M5673),"")</f>
        <v>[fiRkU6gEjLz]|01-09|Female|PLHIV_Attend.T|CY2024Q3</v>
      </c>
    </row>
    <row r="5674" customFormat="false" ht="15" hidden="false" customHeight="false" outlineLevel="0" collapsed="false">
      <c r="D5674" s="0" t="s">
        <v>135</v>
      </c>
      <c r="E5674" s="0" t="s">
        <v>136</v>
      </c>
      <c r="F5674" s="0" t="s">
        <v>137</v>
      </c>
      <c r="G5674" s="0" t="s">
        <v>168</v>
      </c>
      <c r="H5674" s="0" t="s">
        <v>168</v>
      </c>
      <c r="I5674" s="0" t="s">
        <v>36</v>
      </c>
      <c r="J5674" s="0" t="s">
        <v>37</v>
      </c>
      <c r="K5674" s="0" t="s">
        <v>30</v>
      </c>
      <c r="L5674" s="0" t="s">
        <v>31</v>
      </c>
      <c r="M5674" s="0" t="s">
        <v>167</v>
      </c>
      <c r="N5674" s="0" t="n">
        <v>935</v>
      </c>
      <c r="O5674" s="10" t="n">
        <v>0.658762066392228</v>
      </c>
      <c r="P5674" s="10" t="n">
        <v>0.955300528323278</v>
      </c>
      <c r="Q5674" s="0" t="str">
        <f aca="false">SUBSTITUTE(SUBSTITUTE($I5674,CHAR(61),""),CHAR(34),"")</f>
        <v>10-14</v>
      </c>
      <c r="R5674" s="0" t="str">
        <f aca="false">IF($D5674&lt;&gt;"","["&amp;$E5674&amp;"]"&amp;"|"&amp;$Q5674&amp;"|"&amp;$K5674&amp;"|"&amp;$G5674&amp;"|"&amp;IF($G5674="TX_CURR_SUBNAT.R","CY2022Q4",$M5674),"")</f>
        <v>[fiRkU6gEjLz]|10-14|Female|PLHIV_Attend.T|CY2024Q3</v>
      </c>
    </row>
    <row r="5675" customFormat="false" ht="15" hidden="false" customHeight="false" outlineLevel="0" collapsed="false">
      <c r="D5675" s="0" t="s">
        <v>135</v>
      </c>
      <c r="E5675" s="0" t="s">
        <v>136</v>
      </c>
      <c r="F5675" s="0" t="s">
        <v>137</v>
      </c>
      <c r="G5675" s="0" t="s">
        <v>168</v>
      </c>
      <c r="H5675" s="0" t="s">
        <v>168</v>
      </c>
      <c r="I5675" s="0" t="s">
        <v>38</v>
      </c>
      <c r="J5675" s="0" t="s">
        <v>39</v>
      </c>
      <c r="K5675" s="0" t="s">
        <v>30</v>
      </c>
      <c r="L5675" s="0" t="s">
        <v>31</v>
      </c>
      <c r="M5675" s="0" t="s">
        <v>167</v>
      </c>
      <c r="N5675" s="0" t="n">
        <v>1642</v>
      </c>
      <c r="O5675" s="10" t="n">
        <v>0.445898361271247</v>
      </c>
      <c r="P5675" s="10" t="n">
        <v>0.955300528323278</v>
      </c>
      <c r="Q5675" s="0" t="str">
        <f aca="false">SUBSTITUTE(SUBSTITUTE($I5675,CHAR(61),""),CHAR(34),"")</f>
        <v>15-24</v>
      </c>
      <c r="R5675" s="0" t="str">
        <f aca="false">IF($D5675&lt;&gt;"","["&amp;$E5675&amp;"]"&amp;"|"&amp;$Q5675&amp;"|"&amp;$K5675&amp;"|"&amp;$G5675&amp;"|"&amp;IF($G5675="TX_CURR_SUBNAT.R","CY2022Q4",$M5675),"")</f>
        <v>[fiRkU6gEjLz]|15-24|Female|PLHIV_Attend.T|CY2024Q3</v>
      </c>
    </row>
    <row r="5676" customFormat="false" ht="15" hidden="false" customHeight="false" outlineLevel="0" collapsed="false">
      <c r="D5676" s="0" t="s">
        <v>135</v>
      </c>
      <c r="E5676" s="0" t="s">
        <v>136</v>
      </c>
      <c r="F5676" s="0" t="s">
        <v>137</v>
      </c>
      <c r="G5676" s="0" t="s">
        <v>168</v>
      </c>
      <c r="H5676" s="0" t="s">
        <v>168</v>
      </c>
      <c r="I5676" s="0" t="s">
        <v>41</v>
      </c>
      <c r="J5676" s="0" t="s">
        <v>42</v>
      </c>
      <c r="K5676" s="0" t="s">
        <v>30</v>
      </c>
      <c r="L5676" s="0" t="s">
        <v>31</v>
      </c>
      <c r="M5676" s="0" t="s">
        <v>167</v>
      </c>
      <c r="N5676" s="0" t="n">
        <v>1792</v>
      </c>
      <c r="O5676" s="10" t="n">
        <v>0.203753469977528</v>
      </c>
      <c r="P5676" s="10" t="n">
        <v>0.955300528323278</v>
      </c>
      <c r="Q5676" s="0" t="str">
        <f aca="false">SUBSTITUTE(SUBSTITUTE($I5676,CHAR(61),""),CHAR(34),"")</f>
        <v>25-34</v>
      </c>
      <c r="R5676" s="0" t="str">
        <f aca="false">IF($D5676&lt;&gt;"","["&amp;$E5676&amp;"]"&amp;"|"&amp;$Q5676&amp;"|"&amp;$K5676&amp;"|"&amp;$G5676&amp;"|"&amp;IF($G5676="TX_CURR_SUBNAT.R","CY2022Q4",$M5676),"")</f>
        <v>[fiRkU6gEjLz]|25-34|Female|PLHIV_Attend.T|CY2024Q3</v>
      </c>
    </row>
    <row r="5677" customFormat="false" ht="15" hidden="false" customHeight="false" outlineLevel="0" collapsed="false">
      <c r="D5677" s="0" t="s">
        <v>135</v>
      </c>
      <c r="E5677" s="0" t="s">
        <v>136</v>
      </c>
      <c r="F5677" s="0" t="s">
        <v>137</v>
      </c>
      <c r="G5677" s="0" t="s">
        <v>168</v>
      </c>
      <c r="H5677" s="0" t="s">
        <v>168</v>
      </c>
      <c r="I5677" s="0" t="s">
        <v>43</v>
      </c>
      <c r="J5677" s="0" t="s">
        <v>44</v>
      </c>
      <c r="K5677" s="0" t="s">
        <v>30</v>
      </c>
      <c r="L5677" s="0" t="s">
        <v>31</v>
      </c>
      <c r="M5677" s="0" t="s">
        <v>167</v>
      </c>
      <c r="N5677" s="0" t="n">
        <v>1756</v>
      </c>
      <c r="O5677" s="10" t="n">
        <v>0.388161164941266</v>
      </c>
      <c r="P5677" s="10" t="n">
        <v>0.955300528323278</v>
      </c>
      <c r="Q5677" s="0" t="str">
        <f aca="false">SUBSTITUTE(SUBSTITUTE($I5677,CHAR(61),""),CHAR(34),"")</f>
        <v>35-49</v>
      </c>
      <c r="R5677" s="0" t="str">
        <f aca="false">IF($D5677&lt;&gt;"","["&amp;$E5677&amp;"]"&amp;"|"&amp;$Q5677&amp;"|"&amp;$K5677&amp;"|"&amp;$G5677&amp;"|"&amp;IF($G5677="TX_CURR_SUBNAT.R","CY2022Q4",$M5677),"")</f>
        <v>[fiRkU6gEjLz]|35-49|Female|PLHIV_Attend.T|CY2024Q3</v>
      </c>
    </row>
    <row r="5678" customFormat="false" ht="15" hidden="false" customHeight="false" outlineLevel="0" collapsed="false">
      <c r="D5678" s="0" t="s">
        <v>135</v>
      </c>
      <c r="E5678" s="0" t="s">
        <v>136</v>
      </c>
      <c r="F5678" s="0" t="s">
        <v>137</v>
      </c>
      <c r="G5678" s="0" t="s">
        <v>168</v>
      </c>
      <c r="H5678" s="0" t="s">
        <v>168</v>
      </c>
      <c r="I5678" s="0" t="s">
        <v>45</v>
      </c>
      <c r="J5678" s="0" t="s">
        <v>46</v>
      </c>
      <c r="K5678" s="0" t="s">
        <v>30</v>
      </c>
      <c r="L5678" s="0" t="s">
        <v>31</v>
      </c>
      <c r="M5678" s="0" t="s">
        <v>167</v>
      </c>
      <c r="N5678" s="0" t="n">
        <v>1447</v>
      </c>
      <c r="O5678" s="10" t="n">
        <v>0.806769219459966</v>
      </c>
      <c r="P5678" s="10" t="n">
        <v>0.955300528323278</v>
      </c>
      <c r="Q5678" s="0" t="str">
        <f aca="false">SUBSTITUTE(SUBSTITUTE($I5678,CHAR(61),""),CHAR(34),"")</f>
        <v>50+</v>
      </c>
      <c r="R5678" s="0" t="str">
        <f aca="false">IF($D5678&lt;&gt;"","["&amp;$E5678&amp;"]"&amp;"|"&amp;$Q5678&amp;"|"&amp;$K5678&amp;"|"&amp;$G5678&amp;"|"&amp;IF($G5678="TX_CURR_SUBNAT.R","CY2022Q4",$M5678),"")</f>
        <v>[fiRkU6gEjLz]|50+|Female|PLHIV_Attend.T|CY2024Q3</v>
      </c>
    </row>
    <row r="5679" customFormat="false" ht="15" hidden="false" customHeight="false" outlineLevel="0" collapsed="false">
      <c r="D5679" s="0" t="s">
        <v>135</v>
      </c>
      <c r="E5679" s="0" t="s">
        <v>136</v>
      </c>
      <c r="F5679" s="0" t="s">
        <v>137</v>
      </c>
      <c r="G5679" s="0" t="s">
        <v>168</v>
      </c>
      <c r="H5679" s="0" t="s">
        <v>168</v>
      </c>
      <c r="I5679" s="0" t="s">
        <v>28</v>
      </c>
      <c r="J5679" s="0" t="s">
        <v>29</v>
      </c>
      <c r="K5679" s="0" t="s">
        <v>48</v>
      </c>
      <c r="L5679" s="0" t="s">
        <v>49</v>
      </c>
      <c r="M5679" s="0" t="s">
        <v>167</v>
      </c>
      <c r="N5679" s="0" t="n">
        <v>1467</v>
      </c>
      <c r="O5679" s="10" t="n">
        <v>0.582017468521371</v>
      </c>
      <c r="P5679" s="10" t="n">
        <v>0.955300528323278</v>
      </c>
      <c r="Q5679" s="0" t="str">
        <f aca="false">SUBSTITUTE(SUBSTITUTE($I5679,CHAR(61),""),CHAR(34),"")</f>
        <v>&lt;01</v>
      </c>
      <c r="R5679" s="0" t="str">
        <f aca="false">IF($D5679&lt;&gt;"","["&amp;$E5679&amp;"]"&amp;"|"&amp;$Q5679&amp;"|"&amp;$K5679&amp;"|"&amp;$G5679&amp;"|"&amp;IF($G5679="TX_CURR_SUBNAT.R","CY2022Q4",$M5679),"")</f>
        <v>[fiRkU6gEjLz]|&lt;01|Male|PLHIV_Attend.T|CY2024Q3</v>
      </c>
    </row>
    <row r="5680" customFormat="false" ht="15" hidden="false" customHeight="false" outlineLevel="0" collapsed="false">
      <c r="D5680" s="0" t="s">
        <v>135</v>
      </c>
      <c r="E5680" s="0" t="s">
        <v>136</v>
      </c>
      <c r="F5680" s="0" t="s">
        <v>137</v>
      </c>
      <c r="G5680" s="0" t="s">
        <v>168</v>
      </c>
      <c r="H5680" s="0" t="s">
        <v>168</v>
      </c>
      <c r="I5680" s="0" t="s">
        <v>33</v>
      </c>
      <c r="J5680" s="0" t="s">
        <v>34</v>
      </c>
      <c r="K5680" s="0" t="s">
        <v>48</v>
      </c>
      <c r="L5680" s="0" t="s">
        <v>49</v>
      </c>
      <c r="M5680" s="0" t="s">
        <v>167</v>
      </c>
      <c r="N5680" s="0" t="n">
        <v>1160</v>
      </c>
      <c r="O5680" s="10" t="n">
        <v>0.711473830975592</v>
      </c>
      <c r="P5680" s="10" t="n">
        <v>0.955300528323278</v>
      </c>
      <c r="Q5680" s="0" t="str">
        <f aca="false">SUBSTITUTE(SUBSTITUTE($I5680,CHAR(61),""),CHAR(34),"")</f>
        <v>01-09</v>
      </c>
      <c r="R5680" s="0" t="str">
        <f aca="false">IF($D5680&lt;&gt;"","["&amp;$E5680&amp;"]"&amp;"|"&amp;$Q5680&amp;"|"&amp;$K5680&amp;"|"&amp;$G5680&amp;"|"&amp;IF($G5680="TX_CURR_SUBNAT.R","CY2022Q4",$M5680),"")</f>
        <v>[fiRkU6gEjLz]|01-09|Male|PLHIV_Attend.T|CY2024Q3</v>
      </c>
    </row>
    <row r="5681" customFormat="false" ht="15" hidden="false" customHeight="false" outlineLevel="0" collapsed="false">
      <c r="D5681" s="0" t="s">
        <v>135</v>
      </c>
      <c r="E5681" s="0" t="s">
        <v>136</v>
      </c>
      <c r="F5681" s="0" t="s">
        <v>137</v>
      </c>
      <c r="G5681" s="0" t="s">
        <v>168</v>
      </c>
      <c r="H5681" s="0" t="s">
        <v>168</v>
      </c>
      <c r="I5681" s="0" t="s">
        <v>36</v>
      </c>
      <c r="J5681" s="0" t="s">
        <v>37</v>
      </c>
      <c r="K5681" s="0" t="s">
        <v>48</v>
      </c>
      <c r="L5681" s="0" t="s">
        <v>49</v>
      </c>
      <c r="M5681" s="0" t="s">
        <v>167</v>
      </c>
      <c r="N5681" s="0" t="n">
        <v>1857</v>
      </c>
      <c r="O5681" s="10" t="n">
        <v>0.236894483910874</v>
      </c>
      <c r="P5681" s="10" t="n">
        <v>0.955300528323278</v>
      </c>
      <c r="Q5681" s="0" t="str">
        <f aca="false">SUBSTITUTE(SUBSTITUTE($I5681,CHAR(61),""),CHAR(34),"")</f>
        <v>10-14</v>
      </c>
      <c r="R5681" s="0" t="str">
        <f aca="false">IF($D5681&lt;&gt;"","["&amp;$E5681&amp;"]"&amp;"|"&amp;$Q5681&amp;"|"&amp;$K5681&amp;"|"&amp;$G5681&amp;"|"&amp;IF($G5681="TX_CURR_SUBNAT.R","CY2022Q4",$M5681),"")</f>
        <v>[fiRkU6gEjLz]|10-14|Male|PLHIV_Attend.T|CY2024Q3</v>
      </c>
    </row>
    <row r="5682" customFormat="false" ht="15" hidden="false" customHeight="false" outlineLevel="0" collapsed="false">
      <c r="D5682" s="0" t="s">
        <v>135</v>
      </c>
      <c r="E5682" s="0" t="s">
        <v>136</v>
      </c>
      <c r="F5682" s="0" t="s">
        <v>137</v>
      </c>
      <c r="G5682" s="0" t="s">
        <v>168</v>
      </c>
      <c r="H5682" s="0" t="s">
        <v>168</v>
      </c>
      <c r="I5682" s="0" t="s">
        <v>38</v>
      </c>
      <c r="J5682" s="0" t="s">
        <v>39</v>
      </c>
      <c r="K5682" s="0" t="s">
        <v>48</v>
      </c>
      <c r="L5682" s="0" t="s">
        <v>49</v>
      </c>
      <c r="M5682" s="0" t="s">
        <v>167</v>
      </c>
      <c r="N5682" s="0" t="n">
        <v>1489</v>
      </c>
      <c r="O5682" s="10" t="n">
        <v>0.999243935570121</v>
      </c>
      <c r="P5682" s="10" t="n">
        <v>0.955300528323278</v>
      </c>
      <c r="Q5682" s="0" t="str">
        <f aca="false">SUBSTITUTE(SUBSTITUTE($I5682,CHAR(61),""),CHAR(34),"")</f>
        <v>15-24</v>
      </c>
      <c r="R5682" s="0" t="str">
        <f aca="false">IF($D5682&lt;&gt;"","["&amp;$E5682&amp;"]"&amp;"|"&amp;$Q5682&amp;"|"&amp;$K5682&amp;"|"&amp;$G5682&amp;"|"&amp;IF($G5682="TX_CURR_SUBNAT.R","CY2022Q4",$M5682),"")</f>
        <v>[fiRkU6gEjLz]|15-24|Male|PLHIV_Attend.T|CY2024Q3</v>
      </c>
    </row>
    <row r="5683" customFormat="false" ht="15" hidden="false" customHeight="false" outlineLevel="0" collapsed="false">
      <c r="D5683" s="0" t="s">
        <v>135</v>
      </c>
      <c r="E5683" s="0" t="s">
        <v>136</v>
      </c>
      <c r="F5683" s="0" t="s">
        <v>137</v>
      </c>
      <c r="G5683" s="0" t="s">
        <v>168</v>
      </c>
      <c r="H5683" s="0" t="s">
        <v>168</v>
      </c>
      <c r="I5683" s="0" t="s">
        <v>41</v>
      </c>
      <c r="J5683" s="0" t="s">
        <v>42</v>
      </c>
      <c r="K5683" s="0" t="s">
        <v>48</v>
      </c>
      <c r="L5683" s="0" t="s">
        <v>49</v>
      </c>
      <c r="M5683" s="0" t="s">
        <v>167</v>
      </c>
      <c r="N5683" s="0" t="n">
        <v>502</v>
      </c>
      <c r="O5683" s="10" t="n">
        <v>0.890603195875883</v>
      </c>
      <c r="P5683" s="10" t="n">
        <v>0.955300528323278</v>
      </c>
      <c r="Q5683" s="0" t="str">
        <f aca="false">SUBSTITUTE(SUBSTITUTE($I5683,CHAR(61),""),CHAR(34),"")</f>
        <v>25-34</v>
      </c>
      <c r="R5683" s="0" t="str">
        <f aca="false">IF($D5683&lt;&gt;"","["&amp;$E5683&amp;"]"&amp;"|"&amp;$Q5683&amp;"|"&amp;$K5683&amp;"|"&amp;$G5683&amp;"|"&amp;IF($G5683="TX_CURR_SUBNAT.R","CY2022Q4",$M5683),"")</f>
        <v>[fiRkU6gEjLz]|25-34|Male|PLHIV_Attend.T|CY2024Q3</v>
      </c>
    </row>
    <row r="5684" customFormat="false" ht="15" hidden="false" customHeight="false" outlineLevel="0" collapsed="false">
      <c r="D5684" s="0" t="s">
        <v>135</v>
      </c>
      <c r="E5684" s="0" t="s">
        <v>136</v>
      </c>
      <c r="F5684" s="0" t="s">
        <v>137</v>
      </c>
      <c r="G5684" s="0" t="s">
        <v>168</v>
      </c>
      <c r="H5684" s="0" t="s">
        <v>168</v>
      </c>
      <c r="I5684" s="0" t="s">
        <v>43</v>
      </c>
      <c r="J5684" s="0" t="s">
        <v>44</v>
      </c>
      <c r="K5684" s="0" t="s">
        <v>48</v>
      </c>
      <c r="L5684" s="0" t="s">
        <v>49</v>
      </c>
      <c r="M5684" s="0" t="s">
        <v>167</v>
      </c>
      <c r="N5684" s="0" t="n">
        <v>1487</v>
      </c>
      <c r="O5684" s="10" t="n">
        <v>0.847875629784539</v>
      </c>
      <c r="P5684" s="10" t="n">
        <v>0.955300528323278</v>
      </c>
      <c r="Q5684" s="0" t="str">
        <f aca="false">SUBSTITUTE(SUBSTITUTE($I5684,CHAR(61),""),CHAR(34),"")</f>
        <v>35-49</v>
      </c>
      <c r="R5684" s="0" t="str">
        <f aca="false">IF($D5684&lt;&gt;"","["&amp;$E5684&amp;"]"&amp;"|"&amp;$Q5684&amp;"|"&amp;$K5684&amp;"|"&amp;$G5684&amp;"|"&amp;IF($G5684="TX_CURR_SUBNAT.R","CY2022Q4",$M5684),"")</f>
        <v>[fiRkU6gEjLz]|35-49|Male|PLHIV_Attend.T|CY2024Q3</v>
      </c>
    </row>
    <row r="5685" customFormat="false" ht="15" hidden="false" customHeight="false" outlineLevel="0" collapsed="false">
      <c r="D5685" s="0" t="s">
        <v>135</v>
      </c>
      <c r="E5685" s="0" t="s">
        <v>136</v>
      </c>
      <c r="F5685" s="0" t="s">
        <v>137</v>
      </c>
      <c r="G5685" s="0" t="s">
        <v>168</v>
      </c>
      <c r="H5685" s="0" t="s">
        <v>168</v>
      </c>
      <c r="I5685" s="0" t="s">
        <v>45</v>
      </c>
      <c r="J5685" s="0" t="s">
        <v>46</v>
      </c>
      <c r="K5685" s="0" t="s">
        <v>48</v>
      </c>
      <c r="L5685" s="0" t="s">
        <v>49</v>
      </c>
      <c r="M5685" s="0" t="s">
        <v>167</v>
      </c>
      <c r="N5685" s="0" t="n">
        <v>1939</v>
      </c>
      <c r="O5685" s="10" t="n">
        <v>0.980050776386634</v>
      </c>
      <c r="P5685" s="10" t="n">
        <v>0.955300528323278</v>
      </c>
      <c r="Q5685" s="0" t="str">
        <f aca="false">SUBSTITUTE(SUBSTITUTE($I5685,CHAR(61),""),CHAR(34),"")</f>
        <v>50+</v>
      </c>
      <c r="R5685" s="0" t="str">
        <f aca="false">IF($D5685&lt;&gt;"","["&amp;$E5685&amp;"]"&amp;"|"&amp;$Q5685&amp;"|"&amp;$K5685&amp;"|"&amp;$G5685&amp;"|"&amp;IF($G5685="TX_CURR_SUBNAT.R","CY2022Q4",$M5685),"")</f>
        <v>[fiRkU6gEjLz]|50+|Male|PLHIV_Attend.T|CY2024Q3</v>
      </c>
    </row>
    <row r="5686" customFormat="false" ht="15" hidden="false" customHeight="false" outlineLevel="0" collapsed="false">
      <c r="D5686" s="0" t="s">
        <v>23</v>
      </c>
      <c r="E5686" s="0" t="s">
        <v>24</v>
      </c>
      <c r="F5686" s="0" t="s">
        <v>25</v>
      </c>
      <c r="G5686" s="0" t="s">
        <v>169</v>
      </c>
      <c r="H5686" s="0" t="s">
        <v>169</v>
      </c>
      <c r="I5686" s="0" t="s">
        <v>28</v>
      </c>
      <c r="J5686" s="0" t="s">
        <v>29</v>
      </c>
      <c r="K5686" s="0" t="s">
        <v>30</v>
      </c>
      <c r="L5686" s="0" t="s">
        <v>31</v>
      </c>
      <c r="M5686" s="0" t="s">
        <v>167</v>
      </c>
      <c r="N5686" s="0" t="n">
        <v>646</v>
      </c>
      <c r="O5686" s="10" t="n">
        <v>0.699471232481301</v>
      </c>
      <c r="P5686" s="10" t="n">
        <v>0.404358610976487</v>
      </c>
      <c r="Q5686" s="0" t="str">
        <f aca="false">SUBSTITUTE(SUBSTITUTE($I5686,CHAR(61),""),CHAR(34),"")</f>
        <v>&lt;01</v>
      </c>
      <c r="R5686" s="0" t="str">
        <f aca="false">IF($D5686&lt;&gt;"","["&amp;$E5686&amp;"]"&amp;"|"&amp;$Q5686&amp;"|"&amp;$K5686&amp;"|"&amp;$G5686&amp;"|"&amp;IF($G5686="TX_CURR_SUBNAT.R","CY2022Q4",$M5686),"")</f>
        <v>[GkIwZrXy1h2]|&lt;01|Female|Incidence_SUBNAT.Rt.T|CY2024Q3</v>
      </c>
    </row>
    <row r="5687" customFormat="false" ht="15" hidden="false" customHeight="false" outlineLevel="0" collapsed="false">
      <c r="D5687" s="0" t="s">
        <v>23</v>
      </c>
      <c r="E5687" s="0" t="s">
        <v>24</v>
      </c>
      <c r="F5687" s="0" t="s">
        <v>25</v>
      </c>
      <c r="G5687" s="0" t="s">
        <v>169</v>
      </c>
      <c r="H5687" s="0" t="s">
        <v>169</v>
      </c>
      <c r="I5687" s="0" t="s">
        <v>33</v>
      </c>
      <c r="J5687" s="0" t="s">
        <v>34</v>
      </c>
      <c r="K5687" s="0" t="s">
        <v>30</v>
      </c>
      <c r="L5687" s="0" t="s">
        <v>31</v>
      </c>
      <c r="M5687" s="0" t="s">
        <v>167</v>
      </c>
      <c r="N5687" s="0" t="n">
        <v>1004</v>
      </c>
      <c r="O5687" s="10" t="n">
        <v>0.481681659352034</v>
      </c>
      <c r="P5687" s="10" t="n">
        <v>0.404358610976487</v>
      </c>
      <c r="Q5687" s="0" t="str">
        <f aca="false">SUBSTITUTE(SUBSTITUTE($I5687,CHAR(61),""),CHAR(34),"")</f>
        <v>01-09</v>
      </c>
      <c r="R5687" s="0" t="str">
        <f aca="false">IF($D5687&lt;&gt;"","["&amp;$E5687&amp;"]"&amp;"|"&amp;$Q5687&amp;"|"&amp;$K5687&amp;"|"&amp;$G5687&amp;"|"&amp;IF($G5687="TX_CURR_SUBNAT.R","CY2022Q4",$M5687),"")</f>
        <v>[GkIwZrXy1h2]|01-09|Female|Incidence_SUBNAT.Rt.T|CY2024Q3</v>
      </c>
    </row>
    <row r="5688" customFormat="false" ht="15" hidden="false" customHeight="false" outlineLevel="0" collapsed="false">
      <c r="D5688" s="0" t="s">
        <v>23</v>
      </c>
      <c r="E5688" s="0" t="s">
        <v>24</v>
      </c>
      <c r="F5688" s="0" t="s">
        <v>25</v>
      </c>
      <c r="G5688" s="0" t="s">
        <v>169</v>
      </c>
      <c r="H5688" s="0" t="s">
        <v>169</v>
      </c>
      <c r="I5688" s="0" t="s">
        <v>36</v>
      </c>
      <c r="J5688" s="0" t="s">
        <v>37</v>
      </c>
      <c r="K5688" s="0" t="s">
        <v>30</v>
      </c>
      <c r="L5688" s="0" t="s">
        <v>31</v>
      </c>
      <c r="M5688" s="0" t="s">
        <v>167</v>
      </c>
      <c r="N5688" s="0" t="n">
        <v>1427</v>
      </c>
      <c r="O5688" s="10" t="n">
        <v>0.997297644848004</v>
      </c>
      <c r="P5688" s="10" t="n">
        <v>0.404358610976487</v>
      </c>
      <c r="Q5688" s="0" t="str">
        <f aca="false">SUBSTITUTE(SUBSTITUTE($I5688,CHAR(61),""),CHAR(34),"")</f>
        <v>10-14</v>
      </c>
      <c r="R5688" s="0" t="str">
        <f aca="false">IF($D5688&lt;&gt;"","["&amp;$E5688&amp;"]"&amp;"|"&amp;$Q5688&amp;"|"&amp;$K5688&amp;"|"&amp;$G5688&amp;"|"&amp;IF($G5688="TX_CURR_SUBNAT.R","CY2022Q4",$M5688),"")</f>
        <v>[GkIwZrXy1h2]|10-14|Female|Incidence_SUBNAT.Rt.T|CY2024Q3</v>
      </c>
    </row>
    <row r="5689" customFormat="false" ht="15" hidden="false" customHeight="false" outlineLevel="0" collapsed="false">
      <c r="D5689" s="0" t="s">
        <v>23</v>
      </c>
      <c r="E5689" s="0" t="s">
        <v>24</v>
      </c>
      <c r="F5689" s="0" t="s">
        <v>25</v>
      </c>
      <c r="G5689" s="0" t="s">
        <v>169</v>
      </c>
      <c r="H5689" s="0" t="s">
        <v>169</v>
      </c>
      <c r="I5689" s="0" t="s">
        <v>38</v>
      </c>
      <c r="J5689" s="0" t="s">
        <v>39</v>
      </c>
      <c r="K5689" s="0" t="s">
        <v>30</v>
      </c>
      <c r="L5689" s="0" t="s">
        <v>31</v>
      </c>
      <c r="M5689" s="0" t="s">
        <v>167</v>
      </c>
      <c r="N5689" s="0" t="n">
        <v>806</v>
      </c>
      <c r="O5689" s="10" t="n">
        <v>0.517047983594239</v>
      </c>
      <c r="P5689" s="10" t="n">
        <v>0.404358610976487</v>
      </c>
      <c r="Q5689" s="0" t="str">
        <f aca="false">SUBSTITUTE(SUBSTITUTE($I5689,CHAR(61),""),CHAR(34),"")</f>
        <v>15-24</v>
      </c>
      <c r="R5689" s="0" t="str">
        <f aca="false">IF($D5689&lt;&gt;"","["&amp;$E5689&amp;"]"&amp;"|"&amp;$Q5689&amp;"|"&amp;$K5689&amp;"|"&amp;$G5689&amp;"|"&amp;IF($G5689="TX_CURR_SUBNAT.R","CY2022Q4",$M5689),"")</f>
        <v>[GkIwZrXy1h2]|15-24|Female|Incidence_SUBNAT.Rt.T|CY2024Q3</v>
      </c>
    </row>
    <row r="5690" customFormat="false" ht="15" hidden="false" customHeight="false" outlineLevel="0" collapsed="false">
      <c r="D5690" s="0" t="s">
        <v>23</v>
      </c>
      <c r="E5690" s="0" t="s">
        <v>24</v>
      </c>
      <c r="F5690" s="0" t="s">
        <v>25</v>
      </c>
      <c r="G5690" s="0" t="s">
        <v>169</v>
      </c>
      <c r="H5690" s="0" t="s">
        <v>169</v>
      </c>
      <c r="I5690" s="0" t="s">
        <v>41</v>
      </c>
      <c r="J5690" s="0" t="s">
        <v>42</v>
      </c>
      <c r="K5690" s="0" t="s">
        <v>30</v>
      </c>
      <c r="L5690" s="0" t="s">
        <v>31</v>
      </c>
      <c r="M5690" s="0" t="s">
        <v>167</v>
      </c>
      <c r="N5690" s="0" t="n">
        <v>1938</v>
      </c>
      <c r="O5690" s="10" t="n">
        <v>0.203535865293816</v>
      </c>
      <c r="P5690" s="10" t="n">
        <v>0.404358610976487</v>
      </c>
      <c r="Q5690" s="0" t="str">
        <f aca="false">SUBSTITUTE(SUBSTITUTE($I5690,CHAR(61),""),CHAR(34),"")</f>
        <v>25-34</v>
      </c>
      <c r="R5690" s="0" t="str">
        <f aca="false">IF($D5690&lt;&gt;"","["&amp;$E5690&amp;"]"&amp;"|"&amp;$Q5690&amp;"|"&amp;$K5690&amp;"|"&amp;$G5690&amp;"|"&amp;IF($G5690="TX_CURR_SUBNAT.R","CY2022Q4",$M5690),"")</f>
        <v>[GkIwZrXy1h2]|25-34|Female|Incidence_SUBNAT.Rt.T|CY2024Q3</v>
      </c>
    </row>
    <row r="5691" customFormat="false" ht="15" hidden="false" customHeight="false" outlineLevel="0" collapsed="false">
      <c r="D5691" s="0" t="s">
        <v>23</v>
      </c>
      <c r="E5691" s="0" t="s">
        <v>24</v>
      </c>
      <c r="F5691" s="0" t="s">
        <v>25</v>
      </c>
      <c r="G5691" s="0" t="s">
        <v>169</v>
      </c>
      <c r="H5691" s="0" t="s">
        <v>169</v>
      </c>
      <c r="I5691" s="0" t="s">
        <v>43</v>
      </c>
      <c r="J5691" s="0" t="s">
        <v>44</v>
      </c>
      <c r="K5691" s="0" t="s">
        <v>30</v>
      </c>
      <c r="L5691" s="0" t="s">
        <v>31</v>
      </c>
      <c r="M5691" s="0" t="s">
        <v>167</v>
      </c>
      <c r="N5691" s="0" t="n">
        <v>750</v>
      </c>
      <c r="O5691" s="10" t="n">
        <v>0.154785477556288</v>
      </c>
      <c r="P5691" s="10" t="n">
        <v>0.404358610976487</v>
      </c>
      <c r="Q5691" s="0" t="str">
        <f aca="false">SUBSTITUTE(SUBSTITUTE($I5691,CHAR(61),""),CHAR(34),"")</f>
        <v>35-49</v>
      </c>
      <c r="R5691" s="0" t="str">
        <f aca="false">IF($D5691&lt;&gt;"","["&amp;$E5691&amp;"]"&amp;"|"&amp;$Q5691&amp;"|"&amp;$K5691&amp;"|"&amp;$G5691&amp;"|"&amp;IF($G5691="TX_CURR_SUBNAT.R","CY2022Q4",$M5691),"")</f>
        <v>[GkIwZrXy1h2]|35-49|Female|Incidence_SUBNAT.Rt.T|CY2024Q3</v>
      </c>
    </row>
    <row r="5692" customFormat="false" ht="15" hidden="false" customHeight="false" outlineLevel="0" collapsed="false">
      <c r="D5692" s="0" t="s">
        <v>23</v>
      </c>
      <c r="E5692" s="0" t="s">
        <v>24</v>
      </c>
      <c r="F5692" s="0" t="s">
        <v>25</v>
      </c>
      <c r="G5692" s="0" t="s">
        <v>169</v>
      </c>
      <c r="H5692" s="0" t="s">
        <v>169</v>
      </c>
      <c r="I5692" s="0" t="s">
        <v>45</v>
      </c>
      <c r="J5692" s="0" t="s">
        <v>46</v>
      </c>
      <c r="K5692" s="0" t="s">
        <v>30</v>
      </c>
      <c r="L5692" s="0" t="s">
        <v>31</v>
      </c>
      <c r="M5692" s="0" t="s">
        <v>167</v>
      </c>
      <c r="N5692" s="0" t="n">
        <v>1191</v>
      </c>
      <c r="O5692" s="10" t="n">
        <v>0.12534461542964</v>
      </c>
      <c r="P5692" s="10" t="n">
        <v>0.404358610976487</v>
      </c>
      <c r="Q5692" s="0" t="str">
        <f aca="false">SUBSTITUTE(SUBSTITUTE($I5692,CHAR(61),""),CHAR(34),"")</f>
        <v>50+</v>
      </c>
      <c r="R5692" s="0" t="str">
        <f aca="false">IF($D5692&lt;&gt;"","["&amp;$E5692&amp;"]"&amp;"|"&amp;$Q5692&amp;"|"&amp;$K5692&amp;"|"&amp;$G5692&amp;"|"&amp;IF($G5692="TX_CURR_SUBNAT.R","CY2022Q4",$M5692),"")</f>
        <v>[GkIwZrXy1h2]|50+|Female|Incidence_SUBNAT.Rt.T|CY2024Q3</v>
      </c>
    </row>
    <row r="5693" customFormat="false" ht="15" hidden="false" customHeight="false" outlineLevel="0" collapsed="false">
      <c r="D5693" s="0" t="s">
        <v>23</v>
      </c>
      <c r="E5693" s="0" t="s">
        <v>24</v>
      </c>
      <c r="F5693" s="0" t="s">
        <v>25</v>
      </c>
      <c r="G5693" s="0" t="s">
        <v>169</v>
      </c>
      <c r="H5693" s="0" t="s">
        <v>169</v>
      </c>
      <c r="I5693" s="0" t="s">
        <v>28</v>
      </c>
      <c r="J5693" s="0" t="s">
        <v>29</v>
      </c>
      <c r="K5693" s="0" t="s">
        <v>48</v>
      </c>
      <c r="L5693" s="0" t="s">
        <v>49</v>
      </c>
      <c r="M5693" s="0" t="s">
        <v>167</v>
      </c>
      <c r="N5693" s="0" t="n">
        <v>789</v>
      </c>
      <c r="O5693" s="10" t="n">
        <v>0.647136324085295</v>
      </c>
      <c r="P5693" s="10" t="n">
        <v>0.404358610976487</v>
      </c>
      <c r="Q5693" s="0" t="str">
        <f aca="false">SUBSTITUTE(SUBSTITUTE($I5693,CHAR(61),""),CHAR(34),"")</f>
        <v>&lt;01</v>
      </c>
      <c r="R5693" s="0" t="str">
        <f aca="false">IF($D5693&lt;&gt;"","["&amp;$E5693&amp;"]"&amp;"|"&amp;$Q5693&amp;"|"&amp;$K5693&amp;"|"&amp;$G5693&amp;"|"&amp;IF($G5693="TX_CURR_SUBNAT.R","CY2022Q4",$M5693),"")</f>
        <v>[GkIwZrXy1h2]|&lt;01|Male|Incidence_SUBNAT.Rt.T|CY2024Q3</v>
      </c>
    </row>
    <row r="5694" customFormat="false" ht="15" hidden="false" customHeight="false" outlineLevel="0" collapsed="false">
      <c r="D5694" s="0" t="s">
        <v>23</v>
      </c>
      <c r="E5694" s="0" t="s">
        <v>24</v>
      </c>
      <c r="F5694" s="0" t="s">
        <v>25</v>
      </c>
      <c r="G5694" s="0" t="s">
        <v>169</v>
      </c>
      <c r="H5694" s="0" t="s">
        <v>169</v>
      </c>
      <c r="I5694" s="0" t="s">
        <v>33</v>
      </c>
      <c r="J5694" s="0" t="s">
        <v>34</v>
      </c>
      <c r="K5694" s="0" t="s">
        <v>48</v>
      </c>
      <c r="L5694" s="0" t="s">
        <v>49</v>
      </c>
      <c r="M5694" s="0" t="s">
        <v>167</v>
      </c>
      <c r="N5694" s="0" t="n">
        <v>1746</v>
      </c>
      <c r="O5694" s="10" t="n">
        <v>0.376508716261014</v>
      </c>
      <c r="P5694" s="10" t="n">
        <v>0.404358610976487</v>
      </c>
      <c r="Q5694" s="0" t="str">
        <f aca="false">SUBSTITUTE(SUBSTITUTE($I5694,CHAR(61),""),CHAR(34),"")</f>
        <v>01-09</v>
      </c>
      <c r="R5694" s="0" t="str">
        <f aca="false">IF($D5694&lt;&gt;"","["&amp;$E5694&amp;"]"&amp;"|"&amp;$Q5694&amp;"|"&amp;$K5694&amp;"|"&amp;$G5694&amp;"|"&amp;IF($G5694="TX_CURR_SUBNAT.R","CY2022Q4",$M5694),"")</f>
        <v>[GkIwZrXy1h2]|01-09|Male|Incidence_SUBNAT.Rt.T|CY2024Q3</v>
      </c>
    </row>
    <row r="5695" customFormat="false" ht="15" hidden="false" customHeight="false" outlineLevel="0" collapsed="false">
      <c r="D5695" s="0" t="s">
        <v>23</v>
      </c>
      <c r="E5695" s="0" t="s">
        <v>24</v>
      </c>
      <c r="F5695" s="0" t="s">
        <v>25</v>
      </c>
      <c r="G5695" s="0" t="s">
        <v>169</v>
      </c>
      <c r="H5695" s="0" t="s">
        <v>169</v>
      </c>
      <c r="I5695" s="0" t="s">
        <v>36</v>
      </c>
      <c r="J5695" s="0" t="s">
        <v>37</v>
      </c>
      <c r="K5695" s="0" t="s">
        <v>48</v>
      </c>
      <c r="L5695" s="0" t="s">
        <v>49</v>
      </c>
      <c r="M5695" s="0" t="s">
        <v>167</v>
      </c>
      <c r="N5695" s="0" t="n">
        <v>1861</v>
      </c>
      <c r="O5695" s="10" t="n">
        <v>0.687657539499924</v>
      </c>
      <c r="P5695" s="10" t="n">
        <v>0.404358610976487</v>
      </c>
      <c r="Q5695" s="0" t="str">
        <f aca="false">SUBSTITUTE(SUBSTITUTE($I5695,CHAR(61),""),CHAR(34),"")</f>
        <v>10-14</v>
      </c>
      <c r="R5695" s="0" t="str">
        <f aca="false">IF($D5695&lt;&gt;"","["&amp;$E5695&amp;"]"&amp;"|"&amp;$Q5695&amp;"|"&amp;$K5695&amp;"|"&amp;$G5695&amp;"|"&amp;IF($G5695="TX_CURR_SUBNAT.R","CY2022Q4",$M5695),"")</f>
        <v>[GkIwZrXy1h2]|10-14|Male|Incidence_SUBNAT.Rt.T|CY2024Q3</v>
      </c>
    </row>
    <row r="5696" customFormat="false" ht="15" hidden="false" customHeight="false" outlineLevel="0" collapsed="false">
      <c r="D5696" s="0" t="s">
        <v>23</v>
      </c>
      <c r="E5696" s="0" t="s">
        <v>24</v>
      </c>
      <c r="F5696" s="0" t="s">
        <v>25</v>
      </c>
      <c r="G5696" s="0" t="s">
        <v>169</v>
      </c>
      <c r="H5696" s="0" t="s">
        <v>169</v>
      </c>
      <c r="I5696" s="0" t="s">
        <v>38</v>
      </c>
      <c r="J5696" s="0" t="s">
        <v>39</v>
      </c>
      <c r="K5696" s="0" t="s">
        <v>48</v>
      </c>
      <c r="L5696" s="0" t="s">
        <v>49</v>
      </c>
      <c r="M5696" s="0" t="s">
        <v>167</v>
      </c>
      <c r="N5696" s="0" t="n">
        <v>1717</v>
      </c>
      <c r="O5696" s="10" t="n">
        <v>0.50261658988893</v>
      </c>
      <c r="P5696" s="10" t="n">
        <v>0.404358610976487</v>
      </c>
      <c r="Q5696" s="0" t="str">
        <f aca="false">SUBSTITUTE(SUBSTITUTE($I5696,CHAR(61),""),CHAR(34),"")</f>
        <v>15-24</v>
      </c>
      <c r="R5696" s="0" t="str">
        <f aca="false">IF($D5696&lt;&gt;"","["&amp;$E5696&amp;"]"&amp;"|"&amp;$Q5696&amp;"|"&amp;$K5696&amp;"|"&amp;$G5696&amp;"|"&amp;IF($G5696="TX_CURR_SUBNAT.R","CY2022Q4",$M5696),"")</f>
        <v>[GkIwZrXy1h2]|15-24|Male|Incidence_SUBNAT.Rt.T|CY2024Q3</v>
      </c>
    </row>
    <row r="5697" customFormat="false" ht="15" hidden="false" customHeight="false" outlineLevel="0" collapsed="false">
      <c r="D5697" s="0" t="s">
        <v>23</v>
      </c>
      <c r="E5697" s="0" t="s">
        <v>24</v>
      </c>
      <c r="F5697" s="0" t="s">
        <v>25</v>
      </c>
      <c r="G5697" s="0" t="s">
        <v>169</v>
      </c>
      <c r="H5697" s="0" t="s">
        <v>169</v>
      </c>
      <c r="I5697" s="0" t="s">
        <v>41</v>
      </c>
      <c r="J5697" s="0" t="s">
        <v>42</v>
      </c>
      <c r="K5697" s="0" t="s">
        <v>48</v>
      </c>
      <c r="L5697" s="0" t="s">
        <v>49</v>
      </c>
      <c r="M5697" s="0" t="s">
        <v>167</v>
      </c>
      <c r="N5697" s="0" t="n">
        <v>1335</v>
      </c>
      <c r="O5697" s="10" t="n">
        <v>0.227955257985741</v>
      </c>
      <c r="P5697" s="10" t="n">
        <v>0.404358610976487</v>
      </c>
      <c r="Q5697" s="0" t="str">
        <f aca="false">SUBSTITUTE(SUBSTITUTE($I5697,CHAR(61),""),CHAR(34),"")</f>
        <v>25-34</v>
      </c>
      <c r="R5697" s="0" t="str">
        <f aca="false">IF($D5697&lt;&gt;"","["&amp;$E5697&amp;"]"&amp;"|"&amp;$Q5697&amp;"|"&amp;$K5697&amp;"|"&amp;$G5697&amp;"|"&amp;IF($G5697="TX_CURR_SUBNAT.R","CY2022Q4",$M5697),"")</f>
        <v>[GkIwZrXy1h2]|25-34|Male|Incidence_SUBNAT.Rt.T|CY2024Q3</v>
      </c>
    </row>
    <row r="5698" customFormat="false" ht="15" hidden="false" customHeight="false" outlineLevel="0" collapsed="false">
      <c r="D5698" s="0" t="s">
        <v>23</v>
      </c>
      <c r="E5698" s="0" t="s">
        <v>24</v>
      </c>
      <c r="F5698" s="0" t="s">
        <v>25</v>
      </c>
      <c r="G5698" s="0" t="s">
        <v>169</v>
      </c>
      <c r="H5698" s="0" t="s">
        <v>169</v>
      </c>
      <c r="I5698" s="0" t="s">
        <v>43</v>
      </c>
      <c r="J5698" s="0" t="s">
        <v>44</v>
      </c>
      <c r="K5698" s="0" t="s">
        <v>48</v>
      </c>
      <c r="L5698" s="0" t="s">
        <v>49</v>
      </c>
      <c r="M5698" s="0" t="s">
        <v>167</v>
      </c>
      <c r="N5698" s="0" t="n">
        <v>610</v>
      </c>
      <c r="O5698" s="10" t="n">
        <v>0.244624324608594</v>
      </c>
      <c r="P5698" s="10" t="n">
        <v>0.404358610976487</v>
      </c>
      <c r="Q5698" s="0" t="str">
        <f aca="false">SUBSTITUTE(SUBSTITUTE($I5698,CHAR(61),""),CHAR(34),"")</f>
        <v>35-49</v>
      </c>
      <c r="R5698" s="0" t="str">
        <f aca="false">IF($D5698&lt;&gt;"","["&amp;$E5698&amp;"]"&amp;"|"&amp;$Q5698&amp;"|"&amp;$K5698&amp;"|"&amp;$G5698&amp;"|"&amp;IF($G5698="TX_CURR_SUBNAT.R","CY2022Q4",$M5698),"")</f>
        <v>[GkIwZrXy1h2]|35-49|Male|Incidence_SUBNAT.Rt.T|CY2024Q3</v>
      </c>
    </row>
    <row r="5699" customFormat="false" ht="15" hidden="false" customHeight="false" outlineLevel="0" collapsed="false">
      <c r="D5699" s="0" t="s">
        <v>23</v>
      </c>
      <c r="E5699" s="0" t="s">
        <v>24</v>
      </c>
      <c r="F5699" s="0" t="s">
        <v>25</v>
      </c>
      <c r="G5699" s="0" t="s">
        <v>169</v>
      </c>
      <c r="H5699" s="0" t="s">
        <v>169</v>
      </c>
      <c r="I5699" s="0" t="s">
        <v>45</v>
      </c>
      <c r="J5699" s="0" t="s">
        <v>46</v>
      </c>
      <c r="K5699" s="0" t="s">
        <v>48</v>
      </c>
      <c r="L5699" s="0" t="s">
        <v>49</v>
      </c>
      <c r="M5699" s="0" t="s">
        <v>167</v>
      </c>
      <c r="N5699" s="0" t="n">
        <v>1192</v>
      </c>
      <c r="O5699" s="10" t="n">
        <v>0.42775527946651</v>
      </c>
      <c r="P5699" s="10" t="n">
        <v>0.404358610976487</v>
      </c>
      <c r="Q5699" s="0" t="str">
        <f aca="false">SUBSTITUTE(SUBSTITUTE($I5699,CHAR(61),""),CHAR(34),"")</f>
        <v>50+</v>
      </c>
      <c r="R5699" s="0" t="str">
        <f aca="false">IF($D5699&lt;&gt;"","["&amp;$E5699&amp;"]"&amp;"|"&amp;$Q5699&amp;"|"&amp;$K5699&amp;"|"&amp;$G5699&amp;"|"&amp;IF($G5699="TX_CURR_SUBNAT.R","CY2022Q4",$M5699),"")</f>
        <v>[GkIwZrXy1h2]|50+|Male|Incidence_SUBNAT.Rt.T|CY2024Q3</v>
      </c>
    </row>
    <row r="5700" customFormat="false" ht="15" hidden="false" customHeight="false" outlineLevel="0" collapsed="false">
      <c r="D5700" s="0" t="s">
        <v>53</v>
      </c>
      <c r="E5700" s="0" t="s">
        <v>54</v>
      </c>
      <c r="F5700" s="0" t="s">
        <v>55</v>
      </c>
      <c r="G5700" s="0" t="s">
        <v>169</v>
      </c>
      <c r="H5700" s="0" t="s">
        <v>169</v>
      </c>
      <c r="I5700" s="0" t="s">
        <v>28</v>
      </c>
      <c r="J5700" s="0" t="s">
        <v>29</v>
      </c>
      <c r="K5700" s="0" t="s">
        <v>30</v>
      </c>
      <c r="L5700" s="0" t="s">
        <v>31</v>
      </c>
      <c r="M5700" s="0" t="s">
        <v>167</v>
      </c>
      <c r="N5700" s="0" t="n">
        <v>1777</v>
      </c>
      <c r="O5700" s="10" t="n">
        <v>0.818789336131886</v>
      </c>
      <c r="P5700" s="10" t="n">
        <v>0.616392469964921</v>
      </c>
      <c r="Q5700" s="0" t="str">
        <f aca="false">SUBSTITUTE(SUBSTITUTE($I5700,CHAR(61),""),CHAR(34),"")</f>
        <v>&lt;01</v>
      </c>
      <c r="R5700" s="0" t="str">
        <f aca="false">IF($D5700&lt;&gt;"","["&amp;$E5700&amp;"]"&amp;"|"&amp;$Q5700&amp;"|"&amp;$K5700&amp;"|"&amp;$G5700&amp;"|"&amp;IF($G5700="TX_CURR_SUBNAT.R","CY2022Q4",$M5700),"")</f>
        <v>[zphK9WV8JB4]|&lt;01|Female|Incidence_SUBNAT.Rt.T|CY2024Q3</v>
      </c>
    </row>
    <row r="5701" customFormat="false" ht="15" hidden="false" customHeight="false" outlineLevel="0" collapsed="false">
      <c r="D5701" s="0" t="s">
        <v>53</v>
      </c>
      <c r="E5701" s="0" t="s">
        <v>54</v>
      </c>
      <c r="F5701" s="0" t="s">
        <v>55</v>
      </c>
      <c r="G5701" s="0" t="s">
        <v>169</v>
      </c>
      <c r="H5701" s="0" t="s">
        <v>169</v>
      </c>
      <c r="I5701" s="0" t="s">
        <v>33</v>
      </c>
      <c r="J5701" s="0" t="s">
        <v>34</v>
      </c>
      <c r="K5701" s="0" t="s">
        <v>30</v>
      </c>
      <c r="L5701" s="0" t="s">
        <v>31</v>
      </c>
      <c r="M5701" s="0" t="s">
        <v>167</v>
      </c>
      <c r="N5701" s="0" t="n">
        <v>1457</v>
      </c>
      <c r="O5701" s="10" t="n">
        <v>0.546145780710503</v>
      </c>
      <c r="P5701" s="10" t="n">
        <v>0.616392469964921</v>
      </c>
      <c r="Q5701" s="0" t="str">
        <f aca="false">SUBSTITUTE(SUBSTITUTE($I5701,CHAR(61),""),CHAR(34),"")</f>
        <v>01-09</v>
      </c>
      <c r="R5701" s="0" t="str">
        <f aca="false">IF($D5701&lt;&gt;"","["&amp;$E5701&amp;"]"&amp;"|"&amp;$Q5701&amp;"|"&amp;$K5701&amp;"|"&amp;$G5701&amp;"|"&amp;IF($G5701="TX_CURR_SUBNAT.R","CY2022Q4",$M5701),"")</f>
        <v>[zphK9WV8JB4]|01-09|Female|Incidence_SUBNAT.Rt.T|CY2024Q3</v>
      </c>
    </row>
    <row r="5702" customFormat="false" ht="15" hidden="false" customHeight="false" outlineLevel="0" collapsed="false">
      <c r="D5702" s="0" t="s">
        <v>53</v>
      </c>
      <c r="E5702" s="0" t="s">
        <v>54</v>
      </c>
      <c r="F5702" s="0" t="s">
        <v>55</v>
      </c>
      <c r="G5702" s="0" t="s">
        <v>169</v>
      </c>
      <c r="H5702" s="0" t="s">
        <v>169</v>
      </c>
      <c r="I5702" s="0" t="s">
        <v>36</v>
      </c>
      <c r="J5702" s="0" t="s">
        <v>37</v>
      </c>
      <c r="K5702" s="0" t="s">
        <v>30</v>
      </c>
      <c r="L5702" s="0" t="s">
        <v>31</v>
      </c>
      <c r="M5702" s="0" t="s">
        <v>167</v>
      </c>
      <c r="N5702" s="0" t="n">
        <v>1435</v>
      </c>
      <c r="O5702" s="10" t="n">
        <v>0.38552147638984</v>
      </c>
      <c r="P5702" s="10" t="n">
        <v>0.616392469964921</v>
      </c>
      <c r="Q5702" s="0" t="str">
        <f aca="false">SUBSTITUTE(SUBSTITUTE($I5702,CHAR(61),""),CHAR(34),"")</f>
        <v>10-14</v>
      </c>
      <c r="R5702" s="0" t="str">
        <f aca="false">IF($D5702&lt;&gt;"","["&amp;$E5702&amp;"]"&amp;"|"&amp;$Q5702&amp;"|"&amp;$K5702&amp;"|"&amp;$G5702&amp;"|"&amp;IF($G5702="TX_CURR_SUBNAT.R","CY2022Q4",$M5702),"")</f>
        <v>[zphK9WV8JB4]|10-14|Female|Incidence_SUBNAT.Rt.T|CY2024Q3</v>
      </c>
    </row>
    <row r="5703" customFormat="false" ht="15" hidden="false" customHeight="false" outlineLevel="0" collapsed="false">
      <c r="D5703" s="0" t="s">
        <v>53</v>
      </c>
      <c r="E5703" s="0" t="s">
        <v>54</v>
      </c>
      <c r="F5703" s="0" t="s">
        <v>55</v>
      </c>
      <c r="G5703" s="0" t="s">
        <v>169</v>
      </c>
      <c r="H5703" s="0" t="s">
        <v>169</v>
      </c>
      <c r="I5703" s="0" t="s">
        <v>38</v>
      </c>
      <c r="J5703" s="0" t="s">
        <v>39</v>
      </c>
      <c r="K5703" s="0" t="s">
        <v>30</v>
      </c>
      <c r="L5703" s="0" t="s">
        <v>31</v>
      </c>
      <c r="M5703" s="0" t="s">
        <v>167</v>
      </c>
      <c r="N5703" s="0" t="n">
        <v>1608</v>
      </c>
      <c r="O5703" s="10" t="n">
        <v>0.596125158714131</v>
      </c>
      <c r="P5703" s="10" t="n">
        <v>0.616392469964921</v>
      </c>
      <c r="Q5703" s="0" t="str">
        <f aca="false">SUBSTITUTE(SUBSTITUTE($I5703,CHAR(61),""),CHAR(34),"")</f>
        <v>15-24</v>
      </c>
      <c r="R5703" s="0" t="str">
        <f aca="false">IF($D5703&lt;&gt;"","["&amp;$E5703&amp;"]"&amp;"|"&amp;$Q5703&amp;"|"&amp;$K5703&amp;"|"&amp;$G5703&amp;"|"&amp;IF($G5703="TX_CURR_SUBNAT.R","CY2022Q4",$M5703),"")</f>
        <v>[zphK9WV8JB4]|15-24|Female|Incidence_SUBNAT.Rt.T|CY2024Q3</v>
      </c>
    </row>
    <row r="5704" customFormat="false" ht="15" hidden="false" customHeight="false" outlineLevel="0" collapsed="false">
      <c r="D5704" s="0" t="s">
        <v>53</v>
      </c>
      <c r="E5704" s="0" t="s">
        <v>54</v>
      </c>
      <c r="F5704" s="0" t="s">
        <v>55</v>
      </c>
      <c r="G5704" s="0" t="s">
        <v>169</v>
      </c>
      <c r="H5704" s="0" t="s">
        <v>169</v>
      </c>
      <c r="I5704" s="0" t="s">
        <v>41</v>
      </c>
      <c r="J5704" s="0" t="s">
        <v>42</v>
      </c>
      <c r="K5704" s="0" t="s">
        <v>30</v>
      </c>
      <c r="L5704" s="0" t="s">
        <v>31</v>
      </c>
      <c r="M5704" s="0" t="s">
        <v>167</v>
      </c>
      <c r="N5704" s="0" t="n">
        <v>829</v>
      </c>
      <c r="O5704" s="10" t="n">
        <v>0.0221308916807175</v>
      </c>
      <c r="P5704" s="10" t="n">
        <v>0.616392469964921</v>
      </c>
      <c r="Q5704" s="0" t="str">
        <f aca="false">SUBSTITUTE(SUBSTITUTE($I5704,CHAR(61),""),CHAR(34),"")</f>
        <v>25-34</v>
      </c>
      <c r="R5704" s="0" t="str">
        <f aca="false">IF($D5704&lt;&gt;"","["&amp;$E5704&amp;"]"&amp;"|"&amp;$Q5704&amp;"|"&amp;$K5704&amp;"|"&amp;$G5704&amp;"|"&amp;IF($G5704="TX_CURR_SUBNAT.R","CY2022Q4",$M5704),"")</f>
        <v>[zphK9WV8JB4]|25-34|Female|Incidence_SUBNAT.Rt.T|CY2024Q3</v>
      </c>
    </row>
    <row r="5705" customFormat="false" ht="15" hidden="false" customHeight="false" outlineLevel="0" collapsed="false">
      <c r="D5705" s="0" t="s">
        <v>53</v>
      </c>
      <c r="E5705" s="0" t="s">
        <v>54</v>
      </c>
      <c r="F5705" s="0" t="s">
        <v>55</v>
      </c>
      <c r="G5705" s="0" t="s">
        <v>169</v>
      </c>
      <c r="H5705" s="0" t="s">
        <v>169</v>
      </c>
      <c r="I5705" s="0" t="s">
        <v>43</v>
      </c>
      <c r="J5705" s="0" t="s">
        <v>44</v>
      </c>
      <c r="K5705" s="0" t="s">
        <v>30</v>
      </c>
      <c r="L5705" s="0" t="s">
        <v>31</v>
      </c>
      <c r="M5705" s="0" t="s">
        <v>167</v>
      </c>
      <c r="N5705" s="0" t="n">
        <v>1542</v>
      </c>
      <c r="O5705" s="10" t="n">
        <v>0.935033120214939</v>
      </c>
      <c r="P5705" s="10" t="n">
        <v>0.616392469964921</v>
      </c>
      <c r="Q5705" s="0" t="str">
        <f aca="false">SUBSTITUTE(SUBSTITUTE($I5705,CHAR(61),""),CHAR(34),"")</f>
        <v>35-49</v>
      </c>
      <c r="R5705" s="0" t="str">
        <f aca="false">IF($D5705&lt;&gt;"","["&amp;$E5705&amp;"]"&amp;"|"&amp;$Q5705&amp;"|"&amp;$K5705&amp;"|"&amp;$G5705&amp;"|"&amp;IF($G5705="TX_CURR_SUBNAT.R","CY2022Q4",$M5705),"")</f>
        <v>[zphK9WV8JB4]|35-49|Female|Incidence_SUBNAT.Rt.T|CY2024Q3</v>
      </c>
    </row>
    <row r="5706" customFormat="false" ht="15" hidden="false" customHeight="false" outlineLevel="0" collapsed="false">
      <c r="D5706" s="0" t="s">
        <v>53</v>
      </c>
      <c r="E5706" s="0" t="s">
        <v>54</v>
      </c>
      <c r="F5706" s="0" t="s">
        <v>55</v>
      </c>
      <c r="G5706" s="0" t="s">
        <v>169</v>
      </c>
      <c r="H5706" s="0" t="s">
        <v>169</v>
      </c>
      <c r="I5706" s="0" t="s">
        <v>45</v>
      </c>
      <c r="J5706" s="0" t="s">
        <v>46</v>
      </c>
      <c r="K5706" s="0" t="s">
        <v>30</v>
      </c>
      <c r="L5706" s="0" t="s">
        <v>31</v>
      </c>
      <c r="M5706" s="0" t="s">
        <v>167</v>
      </c>
      <c r="N5706" s="0" t="n">
        <v>782</v>
      </c>
      <c r="O5706" s="10" t="n">
        <v>0.157102728961036</v>
      </c>
      <c r="P5706" s="10" t="n">
        <v>0.616392469964921</v>
      </c>
      <c r="Q5706" s="0" t="str">
        <f aca="false">SUBSTITUTE(SUBSTITUTE($I5706,CHAR(61),""),CHAR(34),"")</f>
        <v>50+</v>
      </c>
      <c r="R5706" s="0" t="str">
        <f aca="false">IF($D5706&lt;&gt;"","["&amp;$E5706&amp;"]"&amp;"|"&amp;$Q5706&amp;"|"&amp;$K5706&amp;"|"&amp;$G5706&amp;"|"&amp;IF($G5706="TX_CURR_SUBNAT.R","CY2022Q4",$M5706),"")</f>
        <v>[zphK9WV8JB4]|50+|Female|Incidence_SUBNAT.Rt.T|CY2024Q3</v>
      </c>
    </row>
    <row r="5707" customFormat="false" ht="15" hidden="false" customHeight="false" outlineLevel="0" collapsed="false">
      <c r="D5707" s="0" t="s">
        <v>53</v>
      </c>
      <c r="E5707" s="0" t="s">
        <v>54</v>
      </c>
      <c r="F5707" s="0" t="s">
        <v>55</v>
      </c>
      <c r="G5707" s="0" t="s">
        <v>169</v>
      </c>
      <c r="H5707" s="0" t="s">
        <v>169</v>
      </c>
      <c r="I5707" s="0" t="s">
        <v>28</v>
      </c>
      <c r="J5707" s="0" t="s">
        <v>29</v>
      </c>
      <c r="K5707" s="0" t="s">
        <v>48</v>
      </c>
      <c r="L5707" s="0" t="s">
        <v>49</v>
      </c>
      <c r="M5707" s="0" t="s">
        <v>167</v>
      </c>
      <c r="N5707" s="0" t="n">
        <v>1669</v>
      </c>
      <c r="O5707" s="10" t="n">
        <v>0.297429536469281</v>
      </c>
      <c r="P5707" s="10" t="n">
        <v>0.616392469964921</v>
      </c>
      <c r="Q5707" s="0" t="str">
        <f aca="false">SUBSTITUTE(SUBSTITUTE($I5707,CHAR(61),""),CHAR(34),"")</f>
        <v>&lt;01</v>
      </c>
      <c r="R5707" s="0" t="str">
        <f aca="false">IF($D5707&lt;&gt;"","["&amp;$E5707&amp;"]"&amp;"|"&amp;$Q5707&amp;"|"&amp;$K5707&amp;"|"&amp;$G5707&amp;"|"&amp;IF($G5707="TX_CURR_SUBNAT.R","CY2022Q4",$M5707),"")</f>
        <v>[zphK9WV8JB4]|&lt;01|Male|Incidence_SUBNAT.Rt.T|CY2024Q3</v>
      </c>
    </row>
    <row r="5708" customFormat="false" ht="15" hidden="false" customHeight="false" outlineLevel="0" collapsed="false">
      <c r="D5708" s="0" t="s">
        <v>53</v>
      </c>
      <c r="E5708" s="0" t="s">
        <v>54</v>
      </c>
      <c r="F5708" s="0" t="s">
        <v>55</v>
      </c>
      <c r="G5708" s="0" t="s">
        <v>169</v>
      </c>
      <c r="H5708" s="0" t="s">
        <v>169</v>
      </c>
      <c r="I5708" s="0" t="s">
        <v>33</v>
      </c>
      <c r="J5708" s="0" t="s">
        <v>34</v>
      </c>
      <c r="K5708" s="0" t="s">
        <v>48</v>
      </c>
      <c r="L5708" s="0" t="s">
        <v>49</v>
      </c>
      <c r="M5708" s="0" t="s">
        <v>167</v>
      </c>
      <c r="N5708" s="0" t="n">
        <v>1253</v>
      </c>
      <c r="O5708" s="10" t="n">
        <v>0.589330596383661</v>
      </c>
      <c r="P5708" s="10" t="n">
        <v>0.616392469964921</v>
      </c>
      <c r="Q5708" s="0" t="str">
        <f aca="false">SUBSTITUTE(SUBSTITUTE($I5708,CHAR(61),""),CHAR(34),"")</f>
        <v>01-09</v>
      </c>
      <c r="R5708" s="0" t="str">
        <f aca="false">IF($D5708&lt;&gt;"","["&amp;$E5708&amp;"]"&amp;"|"&amp;$Q5708&amp;"|"&amp;$K5708&amp;"|"&amp;$G5708&amp;"|"&amp;IF($G5708="TX_CURR_SUBNAT.R","CY2022Q4",$M5708),"")</f>
        <v>[zphK9WV8JB4]|01-09|Male|Incidence_SUBNAT.Rt.T|CY2024Q3</v>
      </c>
    </row>
    <row r="5709" customFormat="false" ht="15" hidden="false" customHeight="false" outlineLevel="0" collapsed="false">
      <c r="D5709" s="0" t="s">
        <v>53</v>
      </c>
      <c r="E5709" s="0" t="s">
        <v>54</v>
      </c>
      <c r="F5709" s="0" t="s">
        <v>55</v>
      </c>
      <c r="G5709" s="0" t="s">
        <v>169</v>
      </c>
      <c r="H5709" s="0" t="s">
        <v>169</v>
      </c>
      <c r="I5709" s="0" t="s">
        <v>36</v>
      </c>
      <c r="J5709" s="0" t="s">
        <v>37</v>
      </c>
      <c r="K5709" s="0" t="s">
        <v>48</v>
      </c>
      <c r="L5709" s="0" t="s">
        <v>49</v>
      </c>
      <c r="M5709" s="0" t="s">
        <v>167</v>
      </c>
      <c r="N5709" s="0" t="n">
        <v>1831</v>
      </c>
      <c r="O5709" s="10" t="n">
        <v>0.703502302756533</v>
      </c>
      <c r="P5709" s="10" t="n">
        <v>0.616392469964921</v>
      </c>
      <c r="Q5709" s="0" t="str">
        <f aca="false">SUBSTITUTE(SUBSTITUTE($I5709,CHAR(61),""),CHAR(34),"")</f>
        <v>10-14</v>
      </c>
      <c r="R5709" s="0" t="str">
        <f aca="false">IF($D5709&lt;&gt;"","["&amp;$E5709&amp;"]"&amp;"|"&amp;$Q5709&amp;"|"&amp;$K5709&amp;"|"&amp;$G5709&amp;"|"&amp;IF($G5709="TX_CURR_SUBNAT.R","CY2022Q4",$M5709),"")</f>
        <v>[zphK9WV8JB4]|10-14|Male|Incidence_SUBNAT.Rt.T|CY2024Q3</v>
      </c>
    </row>
    <row r="5710" customFormat="false" ht="15" hidden="false" customHeight="false" outlineLevel="0" collapsed="false">
      <c r="D5710" s="0" t="s">
        <v>53</v>
      </c>
      <c r="E5710" s="0" t="s">
        <v>54</v>
      </c>
      <c r="F5710" s="0" t="s">
        <v>55</v>
      </c>
      <c r="G5710" s="0" t="s">
        <v>169</v>
      </c>
      <c r="H5710" s="0" t="s">
        <v>169</v>
      </c>
      <c r="I5710" s="0" t="s">
        <v>38</v>
      </c>
      <c r="J5710" s="0" t="s">
        <v>39</v>
      </c>
      <c r="K5710" s="0" t="s">
        <v>48</v>
      </c>
      <c r="L5710" s="0" t="s">
        <v>49</v>
      </c>
      <c r="M5710" s="0" t="s">
        <v>167</v>
      </c>
      <c r="N5710" s="0" t="n">
        <v>1074</v>
      </c>
      <c r="O5710" s="10" t="n">
        <v>0.640004269778728</v>
      </c>
      <c r="P5710" s="10" t="n">
        <v>0.616392469964921</v>
      </c>
      <c r="Q5710" s="0" t="str">
        <f aca="false">SUBSTITUTE(SUBSTITUTE($I5710,CHAR(61),""),CHAR(34),"")</f>
        <v>15-24</v>
      </c>
      <c r="R5710" s="0" t="str">
        <f aca="false">IF($D5710&lt;&gt;"","["&amp;$E5710&amp;"]"&amp;"|"&amp;$Q5710&amp;"|"&amp;$K5710&amp;"|"&amp;$G5710&amp;"|"&amp;IF($G5710="TX_CURR_SUBNAT.R","CY2022Q4",$M5710),"")</f>
        <v>[zphK9WV8JB4]|15-24|Male|Incidence_SUBNAT.Rt.T|CY2024Q3</v>
      </c>
    </row>
    <row r="5711" customFormat="false" ht="15" hidden="false" customHeight="false" outlineLevel="0" collapsed="false">
      <c r="D5711" s="0" t="s">
        <v>53</v>
      </c>
      <c r="E5711" s="0" t="s">
        <v>54</v>
      </c>
      <c r="F5711" s="0" t="s">
        <v>55</v>
      </c>
      <c r="G5711" s="0" t="s">
        <v>169</v>
      </c>
      <c r="H5711" s="0" t="s">
        <v>169</v>
      </c>
      <c r="I5711" s="0" t="s">
        <v>41</v>
      </c>
      <c r="J5711" s="0" t="s">
        <v>42</v>
      </c>
      <c r="K5711" s="0" t="s">
        <v>48</v>
      </c>
      <c r="L5711" s="0" t="s">
        <v>49</v>
      </c>
      <c r="M5711" s="0" t="s">
        <v>167</v>
      </c>
      <c r="N5711" s="0" t="n">
        <v>1673</v>
      </c>
      <c r="O5711" s="10" t="n">
        <v>0.860278808977455</v>
      </c>
      <c r="P5711" s="10" t="n">
        <v>0.616392469964921</v>
      </c>
      <c r="Q5711" s="0" t="str">
        <f aca="false">SUBSTITUTE(SUBSTITUTE($I5711,CHAR(61),""),CHAR(34),"")</f>
        <v>25-34</v>
      </c>
      <c r="R5711" s="0" t="str">
        <f aca="false">IF($D5711&lt;&gt;"","["&amp;$E5711&amp;"]"&amp;"|"&amp;$Q5711&amp;"|"&amp;$K5711&amp;"|"&amp;$G5711&amp;"|"&amp;IF($G5711="TX_CURR_SUBNAT.R","CY2022Q4",$M5711),"")</f>
        <v>[zphK9WV8JB4]|25-34|Male|Incidence_SUBNAT.Rt.T|CY2024Q3</v>
      </c>
    </row>
    <row r="5712" customFormat="false" ht="15" hidden="false" customHeight="false" outlineLevel="0" collapsed="false">
      <c r="D5712" s="0" t="s">
        <v>53</v>
      </c>
      <c r="E5712" s="0" t="s">
        <v>54</v>
      </c>
      <c r="F5712" s="0" t="s">
        <v>55</v>
      </c>
      <c r="G5712" s="0" t="s">
        <v>169</v>
      </c>
      <c r="H5712" s="0" t="s">
        <v>169</v>
      </c>
      <c r="I5712" s="0" t="s">
        <v>43</v>
      </c>
      <c r="J5712" s="0" t="s">
        <v>44</v>
      </c>
      <c r="K5712" s="0" t="s">
        <v>48</v>
      </c>
      <c r="L5712" s="0" t="s">
        <v>49</v>
      </c>
      <c r="M5712" s="0" t="s">
        <v>167</v>
      </c>
      <c r="N5712" s="0" t="n">
        <v>1510</v>
      </c>
      <c r="O5712" s="10" t="n">
        <v>0.432521981652826</v>
      </c>
      <c r="P5712" s="10" t="n">
        <v>0.616392469964921</v>
      </c>
      <c r="Q5712" s="0" t="str">
        <f aca="false">SUBSTITUTE(SUBSTITUTE($I5712,CHAR(61),""),CHAR(34),"")</f>
        <v>35-49</v>
      </c>
      <c r="R5712" s="0" t="str">
        <f aca="false">IF($D5712&lt;&gt;"","["&amp;$E5712&amp;"]"&amp;"|"&amp;$Q5712&amp;"|"&amp;$K5712&amp;"|"&amp;$G5712&amp;"|"&amp;IF($G5712="TX_CURR_SUBNAT.R","CY2022Q4",$M5712),"")</f>
        <v>[zphK9WV8JB4]|35-49|Male|Incidence_SUBNAT.Rt.T|CY2024Q3</v>
      </c>
    </row>
    <row r="5713" customFormat="false" ht="15" hidden="false" customHeight="false" outlineLevel="0" collapsed="false">
      <c r="D5713" s="0" t="s">
        <v>53</v>
      </c>
      <c r="E5713" s="0" t="s">
        <v>54</v>
      </c>
      <c r="F5713" s="0" t="s">
        <v>55</v>
      </c>
      <c r="G5713" s="0" t="s">
        <v>169</v>
      </c>
      <c r="H5713" s="0" t="s">
        <v>169</v>
      </c>
      <c r="I5713" s="0" t="s">
        <v>45</v>
      </c>
      <c r="J5713" s="0" t="s">
        <v>46</v>
      </c>
      <c r="K5713" s="0" t="s">
        <v>48</v>
      </c>
      <c r="L5713" s="0" t="s">
        <v>49</v>
      </c>
      <c r="M5713" s="0" t="s">
        <v>167</v>
      </c>
      <c r="N5713" s="0" t="n">
        <v>824</v>
      </c>
      <c r="O5713" s="10" t="n">
        <v>0.0207060675602406</v>
      </c>
      <c r="P5713" s="10" t="n">
        <v>0.616392469964921</v>
      </c>
      <c r="Q5713" s="0" t="str">
        <f aca="false">SUBSTITUTE(SUBSTITUTE($I5713,CHAR(61),""),CHAR(34),"")</f>
        <v>50+</v>
      </c>
      <c r="R5713" s="0" t="str">
        <f aca="false">IF($D5713&lt;&gt;"","["&amp;$E5713&amp;"]"&amp;"|"&amp;$Q5713&amp;"|"&amp;$K5713&amp;"|"&amp;$G5713&amp;"|"&amp;IF($G5713="TX_CURR_SUBNAT.R","CY2022Q4",$M5713),"")</f>
        <v>[zphK9WV8JB4]|50+|Male|Incidence_SUBNAT.Rt.T|CY2024Q3</v>
      </c>
    </row>
    <row r="5714" customFormat="false" ht="15" hidden="false" customHeight="false" outlineLevel="0" collapsed="false">
      <c r="D5714" s="0" t="s">
        <v>60</v>
      </c>
      <c r="E5714" s="0" t="s">
        <v>61</v>
      </c>
      <c r="F5714" s="0" t="s">
        <v>62</v>
      </c>
      <c r="G5714" s="0" t="s">
        <v>169</v>
      </c>
      <c r="H5714" s="0" t="s">
        <v>169</v>
      </c>
      <c r="I5714" s="0" t="s">
        <v>28</v>
      </c>
      <c r="J5714" s="0" t="s">
        <v>29</v>
      </c>
      <c r="K5714" s="0" t="s">
        <v>30</v>
      </c>
      <c r="L5714" s="0" t="s">
        <v>31</v>
      </c>
      <c r="M5714" s="0" t="s">
        <v>167</v>
      </c>
      <c r="N5714" s="0" t="n">
        <v>1051</v>
      </c>
      <c r="O5714" s="10" t="n">
        <v>0.00290564866736531</v>
      </c>
      <c r="P5714" s="10" t="n">
        <v>0.0268250561784953</v>
      </c>
      <c r="Q5714" s="0" t="str">
        <f aca="false">SUBSTITUTE(SUBSTITUTE($I5714,CHAR(61),""),CHAR(34),"")</f>
        <v>&lt;01</v>
      </c>
      <c r="R5714" s="0" t="str">
        <f aca="false">IF($D5714&lt;&gt;"","["&amp;$E5714&amp;"]"&amp;"|"&amp;$Q5714&amp;"|"&amp;$K5714&amp;"|"&amp;$G5714&amp;"|"&amp;IF($G5714="TX_CURR_SUBNAT.R","CY2022Q4",$M5714),"")</f>
        <v>[msW2zpIN7up]|&lt;01|Female|Incidence_SUBNAT.Rt.T|CY2024Q3</v>
      </c>
    </row>
    <row r="5715" customFormat="false" ht="15" hidden="false" customHeight="false" outlineLevel="0" collapsed="false">
      <c r="D5715" s="0" t="s">
        <v>60</v>
      </c>
      <c r="E5715" s="0" t="s">
        <v>61</v>
      </c>
      <c r="F5715" s="0" t="s">
        <v>62</v>
      </c>
      <c r="G5715" s="0" t="s">
        <v>169</v>
      </c>
      <c r="H5715" s="0" t="s">
        <v>169</v>
      </c>
      <c r="I5715" s="0" t="s">
        <v>33</v>
      </c>
      <c r="J5715" s="0" t="s">
        <v>34</v>
      </c>
      <c r="K5715" s="0" t="s">
        <v>30</v>
      </c>
      <c r="L5715" s="0" t="s">
        <v>31</v>
      </c>
      <c r="M5715" s="0" t="s">
        <v>167</v>
      </c>
      <c r="N5715" s="0" t="n">
        <v>525</v>
      </c>
      <c r="O5715" s="10" t="n">
        <v>0.705811470979825</v>
      </c>
      <c r="P5715" s="10" t="n">
        <v>0.0268250561784953</v>
      </c>
      <c r="Q5715" s="0" t="str">
        <f aca="false">SUBSTITUTE(SUBSTITUTE($I5715,CHAR(61),""),CHAR(34),"")</f>
        <v>01-09</v>
      </c>
      <c r="R5715" s="0" t="str">
        <f aca="false">IF($D5715&lt;&gt;"","["&amp;$E5715&amp;"]"&amp;"|"&amp;$Q5715&amp;"|"&amp;$K5715&amp;"|"&amp;$G5715&amp;"|"&amp;IF($G5715="TX_CURR_SUBNAT.R","CY2022Q4",$M5715),"")</f>
        <v>[msW2zpIN7up]|01-09|Female|Incidence_SUBNAT.Rt.T|CY2024Q3</v>
      </c>
    </row>
    <row r="5716" customFormat="false" ht="15" hidden="false" customHeight="false" outlineLevel="0" collapsed="false">
      <c r="D5716" s="0" t="s">
        <v>60</v>
      </c>
      <c r="E5716" s="0" t="s">
        <v>61</v>
      </c>
      <c r="F5716" s="0" t="s">
        <v>62</v>
      </c>
      <c r="G5716" s="0" t="s">
        <v>169</v>
      </c>
      <c r="H5716" s="0" t="s">
        <v>169</v>
      </c>
      <c r="I5716" s="0" t="s">
        <v>36</v>
      </c>
      <c r="J5716" s="0" t="s">
        <v>37</v>
      </c>
      <c r="K5716" s="0" t="s">
        <v>30</v>
      </c>
      <c r="L5716" s="0" t="s">
        <v>31</v>
      </c>
      <c r="M5716" s="0" t="s">
        <v>167</v>
      </c>
      <c r="N5716" s="0" t="n">
        <v>1344</v>
      </c>
      <c r="O5716" s="10" t="n">
        <v>0.293225101893768</v>
      </c>
      <c r="P5716" s="10" t="n">
        <v>0.0268250561784953</v>
      </c>
      <c r="Q5716" s="0" t="str">
        <f aca="false">SUBSTITUTE(SUBSTITUTE($I5716,CHAR(61),""),CHAR(34),"")</f>
        <v>10-14</v>
      </c>
      <c r="R5716" s="0" t="str">
        <f aca="false">IF($D5716&lt;&gt;"","["&amp;$E5716&amp;"]"&amp;"|"&amp;$Q5716&amp;"|"&amp;$K5716&amp;"|"&amp;$G5716&amp;"|"&amp;IF($G5716="TX_CURR_SUBNAT.R","CY2022Q4",$M5716),"")</f>
        <v>[msW2zpIN7up]|10-14|Female|Incidence_SUBNAT.Rt.T|CY2024Q3</v>
      </c>
    </row>
    <row r="5717" customFormat="false" ht="15" hidden="false" customHeight="false" outlineLevel="0" collapsed="false">
      <c r="D5717" s="0" t="s">
        <v>60</v>
      </c>
      <c r="E5717" s="0" t="s">
        <v>61</v>
      </c>
      <c r="F5717" s="0" t="s">
        <v>62</v>
      </c>
      <c r="G5717" s="0" t="s">
        <v>169</v>
      </c>
      <c r="H5717" s="0" t="s">
        <v>169</v>
      </c>
      <c r="I5717" s="0" t="s">
        <v>38</v>
      </c>
      <c r="J5717" s="0" t="s">
        <v>39</v>
      </c>
      <c r="K5717" s="0" t="s">
        <v>30</v>
      </c>
      <c r="L5717" s="0" t="s">
        <v>31</v>
      </c>
      <c r="M5717" s="0" t="s">
        <v>167</v>
      </c>
      <c r="N5717" s="0" t="n">
        <v>512</v>
      </c>
      <c r="O5717" s="10" t="n">
        <v>0.119888491230085</v>
      </c>
      <c r="P5717" s="10" t="n">
        <v>0.0268250561784953</v>
      </c>
      <c r="Q5717" s="0" t="str">
        <f aca="false">SUBSTITUTE(SUBSTITUTE($I5717,CHAR(61),""),CHAR(34),"")</f>
        <v>15-24</v>
      </c>
      <c r="R5717" s="0" t="str">
        <f aca="false">IF($D5717&lt;&gt;"","["&amp;$E5717&amp;"]"&amp;"|"&amp;$Q5717&amp;"|"&amp;$K5717&amp;"|"&amp;$G5717&amp;"|"&amp;IF($G5717="TX_CURR_SUBNAT.R","CY2022Q4",$M5717),"")</f>
        <v>[msW2zpIN7up]|15-24|Female|Incidence_SUBNAT.Rt.T|CY2024Q3</v>
      </c>
    </row>
    <row r="5718" customFormat="false" ht="15" hidden="false" customHeight="false" outlineLevel="0" collapsed="false">
      <c r="D5718" s="0" t="s">
        <v>60</v>
      </c>
      <c r="E5718" s="0" t="s">
        <v>61</v>
      </c>
      <c r="F5718" s="0" t="s">
        <v>62</v>
      </c>
      <c r="G5718" s="0" t="s">
        <v>169</v>
      </c>
      <c r="H5718" s="0" t="s">
        <v>169</v>
      </c>
      <c r="I5718" s="0" t="s">
        <v>41</v>
      </c>
      <c r="J5718" s="0" t="s">
        <v>42</v>
      </c>
      <c r="K5718" s="0" t="s">
        <v>30</v>
      </c>
      <c r="L5718" s="0" t="s">
        <v>31</v>
      </c>
      <c r="M5718" s="0" t="s">
        <v>167</v>
      </c>
      <c r="N5718" s="0" t="n">
        <v>1117</v>
      </c>
      <c r="O5718" s="10" t="n">
        <v>0.156578660244122</v>
      </c>
      <c r="P5718" s="10" t="n">
        <v>0.0268250561784953</v>
      </c>
      <c r="Q5718" s="0" t="str">
        <f aca="false">SUBSTITUTE(SUBSTITUTE($I5718,CHAR(61),""),CHAR(34),"")</f>
        <v>25-34</v>
      </c>
      <c r="R5718" s="0" t="str">
        <f aca="false">IF($D5718&lt;&gt;"","["&amp;$E5718&amp;"]"&amp;"|"&amp;$Q5718&amp;"|"&amp;$K5718&amp;"|"&amp;$G5718&amp;"|"&amp;IF($G5718="TX_CURR_SUBNAT.R","CY2022Q4",$M5718),"")</f>
        <v>[msW2zpIN7up]|25-34|Female|Incidence_SUBNAT.Rt.T|CY2024Q3</v>
      </c>
    </row>
    <row r="5719" customFormat="false" ht="15" hidden="false" customHeight="false" outlineLevel="0" collapsed="false">
      <c r="D5719" s="0" t="s">
        <v>60</v>
      </c>
      <c r="E5719" s="0" t="s">
        <v>61</v>
      </c>
      <c r="F5719" s="0" t="s">
        <v>62</v>
      </c>
      <c r="G5719" s="0" t="s">
        <v>169</v>
      </c>
      <c r="H5719" s="0" t="s">
        <v>169</v>
      </c>
      <c r="I5719" s="0" t="s">
        <v>43</v>
      </c>
      <c r="J5719" s="0" t="s">
        <v>44</v>
      </c>
      <c r="K5719" s="0" t="s">
        <v>30</v>
      </c>
      <c r="L5719" s="0" t="s">
        <v>31</v>
      </c>
      <c r="M5719" s="0" t="s">
        <v>167</v>
      </c>
      <c r="N5719" s="0" t="n">
        <v>1212</v>
      </c>
      <c r="O5719" s="10" t="n">
        <v>0.225738718640059</v>
      </c>
      <c r="P5719" s="10" t="n">
        <v>0.0268250561784953</v>
      </c>
      <c r="Q5719" s="0" t="str">
        <f aca="false">SUBSTITUTE(SUBSTITUTE($I5719,CHAR(61),""),CHAR(34),"")</f>
        <v>35-49</v>
      </c>
      <c r="R5719" s="0" t="str">
        <f aca="false">IF($D5719&lt;&gt;"","["&amp;$E5719&amp;"]"&amp;"|"&amp;$Q5719&amp;"|"&amp;$K5719&amp;"|"&amp;$G5719&amp;"|"&amp;IF($G5719="TX_CURR_SUBNAT.R","CY2022Q4",$M5719),"")</f>
        <v>[msW2zpIN7up]|35-49|Female|Incidence_SUBNAT.Rt.T|CY2024Q3</v>
      </c>
    </row>
    <row r="5720" customFormat="false" ht="15" hidden="false" customHeight="false" outlineLevel="0" collapsed="false">
      <c r="D5720" s="0" t="s">
        <v>60</v>
      </c>
      <c r="E5720" s="0" t="s">
        <v>61</v>
      </c>
      <c r="F5720" s="0" t="s">
        <v>62</v>
      </c>
      <c r="G5720" s="0" t="s">
        <v>169</v>
      </c>
      <c r="H5720" s="0" t="s">
        <v>169</v>
      </c>
      <c r="I5720" s="0" t="s">
        <v>45</v>
      </c>
      <c r="J5720" s="0" t="s">
        <v>46</v>
      </c>
      <c r="K5720" s="0" t="s">
        <v>30</v>
      </c>
      <c r="L5720" s="0" t="s">
        <v>31</v>
      </c>
      <c r="M5720" s="0" t="s">
        <v>167</v>
      </c>
      <c r="N5720" s="0" t="n">
        <v>757</v>
      </c>
      <c r="O5720" s="10" t="n">
        <v>0.348480456043035</v>
      </c>
      <c r="P5720" s="10" t="n">
        <v>0.0268250561784953</v>
      </c>
      <c r="Q5720" s="0" t="str">
        <f aca="false">SUBSTITUTE(SUBSTITUTE($I5720,CHAR(61),""),CHAR(34),"")</f>
        <v>50+</v>
      </c>
      <c r="R5720" s="0" t="str">
        <f aca="false">IF($D5720&lt;&gt;"","["&amp;$E5720&amp;"]"&amp;"|"&amp;$Q5720&amp;"|"&amp;$K5720&amp;"|"&amp;$G5720&amp;"|"&amp;IF($G5720="TX_CURR_SUBNAT.R","CY2022Q4",$M5720),"")</f>
        <v>[msW2zpIN7up]|50+|Female|Incidence_SUBNAT.Rt.T|CY2024Q3</v>
      </c>
    </row>
    <row r="5721" customFormat="false" ht="15" hidden="false" customHeight="false" outlineLevel="0" collapsed="false">
      <c r="D5721" s="0" t="s">
        <v>60</v>
      </c>
      <c r="E5721" s="0" t="s">
        <v>61</v>
      </c>
      <c r="F5721" s="0" t="s">
        <v>62</v>
      </c>
      <c r="G5721" s="0" t="s">
        <v>169</v>
      </c>
      <c r="H5721" s="0" t="s">
        <v>169</v>
      </c>
      <c r="I5721" s="0" t="s">
        <v>28</v>
      </c>
      <c r="J5721" s="0" t="s">
        <v>29</v>
      </c>
      <c r="K5721" s="0" t="s">
        <v>48</v>
      </c>
      <c r="L5721" s="0" t="s">
        <v>49</v>
      </c>
      <c r="M5721" s="0" t="s">
        <v>167</v>
      </c>
      <c r="N5721" s="0" t="n">
        <v>979</v>
      </c>
      <c r="O5721" s="10" t="n">
        <v>0.37212291941978</v>
      </c>
      <c r="P5721" s="10" t="n">
        <v>0.0268250561784953</v>
      </c>
      <c r="Q5721" s="0" t="str">
        <f aca="false">SUBSTITUTE(SUBSTITUTE($I5721,CHAR(61),""),CHAR(34),"")</f>
        <v>&lt;01</v>
      </c>
      <c r="R5721" s="0" t="str">
        <f aca="false">IF($D5721&lt;&gt;"","["&amp;$E5721&amp;"]"&amp;"|"&amp;$Q5721&amp;"|"&amp;$K5721&amp;"|"&amp;$G5721&amp;"|"&amp;IF($G5721="TX_CURR_SUBNAT.R","CY2022Q4",$M5721),"")</f>
        <v>[msW2zpIN7up]|&lt;01|Male|Incidence_SUBNAT.Rt.T|CY2024Q3</v>
      </c>
    </row>
    <row r="5722" customFormat="false" ht="15" hidden="false" customHeight="false" outlineLevel="0" collapsed="false">
      <c r="D5722" s="0" t="s">
        <v>60</v>
      </c>
      <c r="E5722" s="0" t="s">
        <v>61</v>
      </c>
      <c r="F5722" s="0" t="s">
        <v>62</v>
      </c>
      <c r="G5722" s="0" t="s">
        <v>169</v>
      </c>
      <c r="H5722" s="0" t="s">
        <v>169</v>
      </c>
      <c r="I5722" s="0" t="s">
        <v>33</v>
      </c>
      <c r="J5722" s="0" t="s">
        <v>34</v>
      </c>
      <c r="K5722" s="0" t="s">
        <v>48</v>
      </c>
      <c r="L5722" s="0" t="s">
        <v>49</v>
      </c>
      <c r="M5722" s="0" t="s">
        <v>167</v>
      </c>
      <c r="N5722" s="0" t="n">
        <v>891</v>
      </c>
      <c r="O5722" s="10" t="n">
        <v>0.0802421958651394</v>
      </c>
      <c r="P5722" s="10" t="n">
        <v>0.0268250561784953</v>
      </c>
      <c r="Q5722" s="0" t="str">
        <f aca="false">SUBSTITUTE(SUBSTITUTE($I5722,CHAR(61),""),CHAR(34),"")</f>
        <v>01-09</v>
      </c>
      <c r="R5722" s="0" t="str">
        <f aca="false">IF($D5722&lt;&gt;"","["&amp;$E5722&amp;"]"&amp;"|"&amp;$Q5722&amp;"|"&amp;$K5722&amp;"|"&amp;$G5722&amp;"|"&amp;IF($G5722="TX_CURR_SUBNAT.R","CY2022Q4",$M5722),"")</f>
        <v>[msW2zpIN7up]|01-09|Male|Incidence_SUBNAT.Rt.T|CY2024Q3</v>
      </c>
    </row>
    <row r="5723" customFormat="false" ht="15" hidden="false" customHeight="false" outlineLevel="0" collapsed="false">
      <c r="D5723" s="0" t="s">
        <v>60</v>
      </c>
      <c r="E5723" s="0" t="s">
        <v>61</v>
      </c>
      <c r="F5723" s="0" t="s">
        <v>62</v>
      </c>
      <c r="G5723" s="0" t="s">
        <v>169</v>
      </c>
      <c r="H5723" s="0" t="s">
        <v>169</v>
      </c>
      <c r="I5723" s="0" t="s">
        <v>36</v>
      </c>
      <c r="J5723" s="0" t="s">
        <v>37</v>
      </c>
      <c r="K5723" s="0" t="s">
        <v>48</v>
      </c>
      <c r="L5723" s="0" t="s">
        <v>49</v>
      </c>
      <c r="M5723" s="0" t="s">
        <v>167</v>
      </c>
      <c r="N5723" s="0" t="n">
        <v>1998</v>
      </c>
      <c r="O5723" s="10" t="n">
        <v>0.655410811770707</v>
      </c>
      <c r="P5723" s="10" t="n">
        <v>0.0268250561784953</v>
      </c>
      <c r="Q5723" s="0" t="str">
        <f aca="false">SUBSTITUTE(SUBSTITUTE($I5723,CHAR(61),""),CHAR(34),"")</f>
        <v>10-14</v>
      </c>
      <c r="R5723" s="0" t="str">
        <f aca="false">IF($D5723&lt;&gt;"","["&amp;$E5723&amp;"]"&amp;"|"&amp;$Q5723&amp;"|"&amp;$K5723&amp;"|"&amp;$G5723&amp;"|"&amp;IF($G5723="TX_CURR_SUBNAT.R","CY2022Q4",$M5723),"")</f>
        <v>[msW2zpIN7up]|10-14|Male|Incidence_SUBNAT.Rt.T|CY2024Q3</v>
      </c>
    </row>
    <row r="5724" customFormat="false" ht="15" hidden="false" customHeight="false" outlineLevel="0" collapsed="false">
      <c r="D5724" s="0" t="s">
        <v>60</v>
      </c>
      <c r="E5724" s="0" t="s">
        <v>61</v>
      </c>
      <c r="F5724" s="0" t="s">
        <v>62</v>
      </c>
      <c r="G5724" s="0" t="s">
        <v>169</v>
      </c>
      <c r="H5724" s="0" t="s">
        <v>169</v>
      </c>
      <c r="I5724" s="0" t="s">
        <v>38</v>
      </c>
      <c r="J5724" s="0" t="s">
        <v>39</v>
      </c>
      <c r="K5724" s="0" t="s">
        <v>48</v>
      </c>
      <c r="L5724" s="0" t="s">
        <v>49</v>
      </c>
      <c r="M5724" s="0" t="s">
        <v>167</v>
      </c>
      <c r="N5724" s="0" t="n">
        <v>698</v>
      </c>
      <c r="O5724" s="10" t="n">
        <v>0.94965414237231</v>
      </c>
      <c r="P5724" s="10" t="n">
        <v>0.0268250561784953</v>
      </c>
      <c r="Q5724" s="0" t="str">
        <f aca="false">SUBSTITUTE(SUBSTITUTE($I5724,CHAR(61),""),CHAR(34),"")</f>
        <v>15-24</v>
      </c>
      <c r="R5724" s="0" t="str">
        <f aca="false">IF($D5724&lt;&gt;"","["&amp;$E5724&amp;"]"&amp;"|"&amp;$Q5724&amp;"|"&amp;$K5724&amp;"|"&amp;$G5724&amp;"|"&amp;IF($G5724="TX_CURR_SUBNAT.R","CY2022Q4",$M5724),"")</f>
        <v>[msW2zpIN7up]|15-24|Male|Incidence_SUBNAT.Rt.T|CY2024Q3</v>
      </c>
    </row>
    <row r="5725" customFormat="false" ht="15" hidden="false" customHeight="false" outlineLevel="0" collapsed="false">
      <c r="D5725" s="0" t="s">
        <v>60</v>
      </c>
      <c r="E5725" s="0" t="s">
        <v>61</v>
      </c>
      <c r="F5725" s="0" t="s">
        <v>62</v>
      </c>
      <c r="G5725" s="0" t="s">
        <v>169</v>
      </c>
      <c r="H5725" s="0" t="s">
        <v>169</v>
      </c>
      <c r="I5725" s="0" t="s">
        <v>41</v>
      </c>
      <c r="J5725" s="0" t="s">
        <v>42</v>
      </c>
      <c r="K5725" s="0" t="s">
        <v>48</v>
      </c>
      <c r="L5725" s="0" t="s">
        <v>49</v>
      </c>
      <c r="M5725" s="0" t="s">
        <v>167</v>
      </c>
      <c r="N5725" s="0" t="n">
        <v>1963</v>
      </c>
      <c r="O5725" s="10" t="n">
        <v>0.694700171006843</v>
      </c>
      <c r="P5725" s="10" t="n">
        <v>0.0268250561784953</v>
      </c>
      <c r="Q5725" s="0" t="str">
        <f aca="false">SUBSTITUTE(SUBSTITUTE($I5725,CHAR(61),""),CHAR(34),"")</f>
        <v>25-34</v>
      </c>
      <c r="R5725" s="0" t="str">
        <f aca="false">IF($D5725&lt;&gt;"","["&amp;$E5725&amp;"]"&amp;"|"&amp;$Q5725&amp;"|"&amp;$K5725&amp;"|"&amp;$G5725&amp;"|"&amp;IF($G5725="TX_CURR_SUBNAT.R","CY2022Q4",$M5725),"")</f>
        <v>[msW2zpIN7up]|25-34|Male|Incidence_SUBNAT.Rt.T|CY2024Q3</v>
      </c>
    </row>
    <row r="5726" customFormat="false" ht="15" hidden="false" customHeight="false" outlineLevel="0" collapsed="false">
      <c r="D5726" s="0" t="s">
        <v>60</v>
      </c>
      <c r="E5726" s="0" t="s">
        <v>61</v>
      </c>
      <c r="F5726" s="0" t="s">
        <v>62</v>
      </c>
      <c r="G5726" s="0" t="s">
        <v>169</v>
      </c>
      <c r="H5726" s="0" t="s">
        <v>169</v>
      </c>
      <c r="I5726" s="0" t="s">
        <v>43</v>
      </c>
      <c r="J5726" s="0" t="s">
        <v>44</v>
      </c>
      <c r="K5726" s="0" t="s">
        <v>48</v>
      </c>
      <c r="L5726" s="0" t="s">
        <v>49</v>
      </c>
      <c r="M5726" s="0" t="s">
        <v>167</v>
      </c>
      <c r="N5726" s="0" t="n">
        <v>857</v>
      </c>
      <c r="O5726" s="10" t="n">
        <v>0.168039661133662</v>
      </c>
      <c r="P5726" s="10" t="n">
        <v>0.0268250561784953</v>
      </c>
      <c r="Q5726" s="0" t="str">
        <f aca="false">SUBSTITUTE(SUBSTITUTE($I5726,CHAR(61),""),CHAR(34),"")</f>
        <v>35-49</v>
      </c>
      <c r="R5726" s="0" t="str">
        <f aca="false">IF($D5726&lt;&gt;"","["&amp;$E5726&amp;"]"&amp;"|"&amp;$Q5726&amp;"|"&amp;$K5726&amp;"|"&amp;$G5726&amp;"|"&amp;IF($G5726="TX_CURR_SUBNAT.R","CY2022Q4",$M5726),"")</f>
        <v>[msW2zpIN7up]|35-49|Male|Incidence_SUBNAT.Rt.T|CY2024Q3</v>
      </c>
    </row>
    <row r="5727" customFormat="false" ht="15" hidden="false" customHeight="false" outlineLevel="0" collapsed="false">
      <c r="D5727" s="0" t="s">
        <v>60</v>
      </c>
      <c r="E5727" s="0" t="s">
        <v>61</v>
      </c>
      <c r="F5727" s="0" t="s">
        <v>62</v>
      </c>
      <c r="G5727" s="0" t="s">
        <v>169</v>
      </c>
      <c r="H5727" s="0" t="s">
        <v>169</v>
      </c>
      <c r="I5727" s="0" t="s">
        <v>45</v>
      </c>
      <c r="J5727" s="0" t="s">
        <v>46</v>
      </c>
      <c r="K5727" s="0" t="s">
        <v>48</v>
      </c>
      <c r="L5727" s="0" t="s">
        <v>49</v>
      </c>
      <c r="M5727" s="0" t="s">
        <v>167</v>
      </c>
      <c r="N5727" s="0" t="n">
        <v>1653</v>
      </c>
      <c r="O5727" s="10" t="n">
        <v>0.29788895463571</v>
      </c>
      <c r="P5727" s="10" t="n">
        <v>0.0268250561784953</v>
      </c>
      <c r="Q5727" s="0" t="str">
        <f aca="false">SUBSTITUTE(SUBSTITUTE($I5727,CHAR(61),""),CHAR(34),"")</f>
        <v>50+</v>
      </c>
      <c r="R5727" s="0" t="str">
        <f aca="false">IF($D5727&lt;&gt;"","["&amp;$E5727&amp;"]"&amp;"|"&amp;$Q5727&amp;"|"&amp;$K5727&amp;"|"&amp;$G5727&amp;"|"&amp;IF($G5727="TX_CURR_SUBNAT.R","CY2022Q4",$M5727),"")</f>
        <v>[msW2zpIN7up]|50+|Male|Incidence_SUBNAT.Rt.T|CY2024Q3</v>
      </c>
    </row>
    <row r="5728" customFormat="false" ht="15" hidden="false" customHeight="false" outlineLevel="0" collapsed="false">
      <c r="D5728" s="0" t="s">
        <v>63</v>
      </c>
      <c r="E5728" s="0" t="s">
        <v>64</v>
      </c>
      <c r="F5728" s="0" t="s">
        <v>65</v>
      </c>
      <c r="G5728" s="0" t="s">
        <v>169</v>
      </c>
      <c r="H5728" s="0" t="s">
        <v>169</v>
      </c>
      <c r="I5728" s="0" t="s">
        <v>28</v>
      </c>
      <c r="J5728" s="0" t="s">
        <v>29</v>
      </c>
      <c r="K5728" s="0" t="s">
        <v>30</v>
      </c>
      <c r="L5728" s="0" t="s">
        <v>31</v>
      </c>
      <c r="M5728" s="0" t="s">
        <v>167</v>
      </c>
      <c r="N5728" s="0" t="n">
        <v>660</v>
      </c>
      <c r="O5728" s="10" t="n">
        <v>0.230880487477407</v>
      </c>
      <c r="P5728" s="10" t="n">
        <v>0.790102193132043</v>
      </c>
      <c r="Q5728" s="0" t="str">
        <f aca="false">SUBSTITUTE(SUBSTITUTE($I5728,CHAR(61),""),CHAR(34),"")</f>
        <v>&lt;01</v>
      </c>
      <c r="R5728" s="0" t="str">
        <f aca="false">IF($D5728&lt;&gt;"","["&amp;$E5728&amp;"]"&amp;"|"&amp;$Q5728&amp;"|"&amp;$K5728&amp;"|"&amp;$G5728&amp;"|"&amp;IF($G5728="TX_CURR_SUBNAT.R","CY2022Q4",$M5728),"")</f>
        <v>[kxuuIFpOXyO]|&lt;01|Female|Incidence_SUBNAT.Rt.T|CY2024Q3</v>
      </c>
    </row>
    <row r="5729" customFormat="false" ht="15" hidden="false" customHeight="false" outlineLevel="0" collapsed="false">
      <c r="D5729" s="0" t="s">
        <v>63</v>
      </c>
      <c r="E5729" s="0" t="s">
        <v>64</v>
      </c>
      <c r="F5729" s="0" t="s">
        <v>65</v>
      </c>
      <c r="G5729" s="0" t="s">
        <v>169</v>
      </c>
      <c r="H5729" s="0" t="s">
        <v>169</v>
      </c>
      <c r="I5729" s="0" t="s">
        <v>33</v>
      </c>
      <c r="J5729" s="0" t="s">
        <v>34</v>
      </c>
      <c r="K5729" s="0" t="s">
        <v>30</v>
      </c>
      <c r="L5729" s="0" t="s">
        <v>31</v>
      </c>
      <c r="M5729" s="0" t="s">
        <v>167</v>
      </c>
      <c r="N5729" s="0" t="n">
        <v>676</v>
      </c>
      <c r="O5729" s="10" t="n">
        <v>0.804369579302147</v>
      </c>
      <c r="P5729" s="10" t="n">
        <v>0.790102193132043</v>
      </c>
      <c r="Q5729" s="0" t="str">
        <f aca="false">SUBSTITUTE(SUBSTITUTE($I5729,CHAR(61),""),CHAR(34),"")</f>
        <v>01-09</v>
      </c>
      <c r="R5729" s="0" t="str">
        <f aca="false">IF($D5729&lt;&gt;"","["&amp;$E5729&amp;"]"&amp;"|"&amp;$Q5729&amp;"|"&amp;$K5729&amp;"|"&amp;$G5729&amp;"|"&amp;IF($G5729="TX_CURR_SUBNAT.R","CY2022Q4",$M5729),"")</f>
        <v>[kxuuIFpOXyO]|01-09|Female|Incidence_SUBNAT.Rt.T|CY2024Q3</v>
      </c>
    </row>
    <row r="5730" customFormat="false" ht="15" hidden="false" customHeight="false" outlineLevel="0" collapsed="false">
      <c r="D5730" s="0" t="s">
        <v>63</v>
      </c>
      <c r="E5730" s="0" t="s">
        <v>64</v>
      </c>
      <c r="F5730" s="0" t="s">
        <v>65</v>
      </c>
      <c r="G5730" s="0" t="s">
        <v>169</v>
      </c>
      <c r="H5730" s="0" t="s">
        <v>169</v>
      </c>
      <c r="I5730" s="0" t="s">
        <v>36</v>
      </c>
      <c r="J5730" s="0" t="s">
        <v>37</v>
      </c>
      <c r="K5730" s="0" t="s">
        <v>30</v>
      </c>
      <c r="L5730" s="0" t="s">
        <v>31</v>
      </c>
      <c r="M5730" s="0" t="s">
        <v>167</v>
      </c>
      <c r="N5730" s="0" t="n">
        <v>1554</v>
      </c>
      <c r="O5730" s="10" t="n">
        <v>0.584525102749467</v>
      </c>
      <c r="P5730" s="10" t="n">
        <v>0.790102193132043</v>
      </c>
      <c r="Q5730" s="0" t="str">
        <f aca="false">SUBSTITUTE(SUBSTITUTE($I5730,CHAR(61),""),CHAR(34),"")</f>
        <v>10-14</v>
      </c>
      <c r="R5730" s="0" t="str">
        <f aca="false">IF($D5730&lt;&gt;"","["&amp;$E5730&amp;"]"&amp;"|"&amp;$Q5730&amp;"|"&amp;$K5730&amp;"|"&amp;$G5730&amp;"|"&amp;IF($G5730="TX_CURR_SUBNAT.R","CY2022Q4",$M5730),"")</f>
        <v>[kxuuIFpOXyO]|10-14|Female|Incidence_SUBNAT.Rt.T|CY2024Q3</v>
      </c>
    </row>
    <row r="5731" customFormat="false" ht="15" hidden="false" customHeight="false" outlineLevel="0" collapsed="false">
      <c r="D5731" s="0" t="s">
        <v>63</v>
      </c>
      <c r="E5731" s="0" t="s">
        <v>64</v>
      </c>
      <c r="F5731" s="0" t="s">
        <v>65</v>
      </c>
      <c r="G5731" s="0" t="s">
        <v>169</v>
      </c>
      <c r="H5731" s="0" t="s">
        <v>169</v>
      </c>
      <c r="I5731" s="0" t="s">
        <v>38</v>
      </c>
      <c r="J5731" s="0" t="s">
        <v>39</v>
      </c>
      <c r="K5731" s="0" t="s">
        <v>30</v>
      </c>
      <c r="L5731" s="0" t="s">
        <v>31</v>
      </c>
      <c r="M5731" s="0" t="s">
        <v>167</v>
      </c>
      <c r="N5731" s="0" t="n">
        <v>605</v>
      </c>
      <c r="O5731" s="10" t="n">
        <v>0.919500436168164</v>
      </c>
      <c r="P5731" s="10" t="n">
        <v>0.790102193132043</v>
      </c>
      <c r="Q5731" s="0" t="str">
        <f aca="false">SUBSTITUTE(SUBSTITUTE($I5731,CHAR(61),""),CHAR(34),"")</f>
        <v>15-24</v>
      </c>
      <c r="R5731" s="0" t="str">
        <f aca="false">IF($D5731&lt;&gt;"","["&amp;$E5731&amp;"]"&amp;"|"&amp;$Q5731&amp;"|"&amp;$K5731&amp;"|"&amp;$G5731&amp;"|"&amp;IF($G5731="TX_CURR_SUBNAT.R","CY2022Q4",$M5731),"")</f>
        <v>[kxuuIFpOXyO]|15-24|Female|Incidence_SUBNAT.Rt.T|CY2024Q3</v>
      </c>
    </row>
    <row r="5732" customFormat="false" ht="15" hidden="false" customHeight="false" outlineLevel="0" collapsed="false">
      <c r="D5732" s="0" t="s">
        <v>63</v>
      </c>
      <c r="E5732" s="0" t="s">
        <v>64</v>
      </c>
      <c r="F5732" s="0" t="s">
        <v>65</v>
      </c>
      <c r="G5732" s="0" t="s">
        <v>169</v>
      </c>
      <c r="H5732" s="0" t="s">
        <v>169</v>
      </c>
      <c r="I5732" s="0" t="s">
        <v>41</v>
      </c>
      <c r="J5732" s="0" t="s">
        <v>42</v>
      </c>
      <c r="K5732" s="0" t="s">
        <v>30</v>
      </c>
      <c r="L5732" s="0" t="s">
        <v>31</v>
      </c>
      <c r="M5732" s="0" t="s">
        <v>167</v>
      </c>
      <c r="N5732" s="0" t="n">
        <v>1280</v>
      </c>
      <c r="O5732" s="10" t="n">
        <v>0.0130850856658071</v>
      </c>
      <c r="P5732" s="10" t="n">
        <v>0.790102193132043</v>
      </c>
      <c r="Q5732" s="0" t="str">
        <f aca="false">SUBSTITUTE(SUBSTITUTE($I5732,CHAR(61),""),CHAR(34),"")</f>
        <v>25-34</v>
      </c>
      <c r="R5732" s="0" t="str">
        <f aca="false">IF($D5732&lt;&gt;"","["&amp;$E5732&amp;"]"&amp;"|"&amp;$Q5732&amp;"|"&amp;$K5732&amp;"|"&amp;$G5732&amp;"|"&amp;IF($G5732="TX_CURR_SUBNAT.R","CY2022Q4",$M5732),"")</f>
        <v>[kxuuIFpOXyO]|25-34|Female|Incidence_SUBNAT.Rt.T|CY2024Q3</v>
      </c>
    </row>
    <row r="5733" customFormat="false" ht="15" hidden="false" customHeight="false" outlineLevel="0" collapsed="false">
      <c r="D5733" s="0" t="s">
        <v>63</v>
      </c>
      <c r="E5733" s="0" t="s">
        <v>64</v>
      </c>
      <c r="F5733" s="0" t="s">
        <v>65</v>
      </c>
      <c r="G5733" s="0" t="s">
        <v>169</v>
      </c>
      <c r="H5733" s="0" t="s">
        <v>169</v>
      </c>
      <c r="I5733" s="0" t="s">
        <v>43</v>
      </c>
      <c r="J5733" s="0" t="s">
        <v>44</v>
      </c>
      <c r="K5733" s="0" t="s">
        <v>30</v>
      </c>
      <c r="L5733" s="0" t="s">
        <v>31</v>
      </c>
      <c r="M5733" s="0" t="s">
        <v>167</v>
      </c>
      <c r="N5733" s="0" t="n">
        <v>768</v>
      </c>
      <c r="O5733" s="10" t="n">
        <v>0.668769000098109</v>
      </c>
      <c r="P5733" s="10" t="n">
        <v>0.790102193132043</v>
      </c>
      <c r="Q5733" s="0" t="str">
        <f aca="false">SUBSTITUTE(SUBSTITUTE($I5733,CHAR(61),""),CHAR(34),"")</f>
        <v>35-49</v>
      </c>
      <c r="R5733" s="0" t="str">
        <f aca="false">IF($D5733&lt;&gt;"","["&amp;$E5733&amp;"]"&amp;"|"&amp;$Q5733&amp;"|"&amp;$K5733&amp;"|"&amp;$G5733&amp;"|"&amp;IF($G5733="TX_CURR_SUBNAT.R","CY2022Q4",$M5733),"")</f>
        <v>[kxuuIFpOXyO]|35-49|Female|Incidence_SUBNAT.Rt.T|CY2024Q3</v>
      </c>
    </row>
    <row r="5734" customFormat="false" ht="15" hidden="false" customHeight="false" outlineLevel="0" collapsed="false">
      <c r="D5734" s="0" t="s">
        <v>63</v>
      </c>
      <c r="E5734" s="0" t="s">
        <v>64</v>
      </c>
      <c r="F5734" s="0" t="s">
        <v>65</v>
      </c>
      <c r="G5734" s="0" t="s">
        <v>169</v>
      </c>
      <c r="H5734" s="0" t="s">
        <v>169</v>
      </c>
      <c r="I5734" s="0" t="s">
        <v>45</v>
      </c>
      <c r="J5734" s="0" t="s">
        <v>46</v>
      </c>
      <c r="K5734" s="0" t="s">
        <v>30</v>
      </c>
      <c r="L5734" s="0" t="s">
        <v>31</v>
      </c>
      <c r="M5734" s="0" t="s">
        <v>167</v>
      </c>
      <c r="N5734" s="0" t="n">
        <v>1160</v>
      </c>
      <c r="O5734" s="10" t="n">
        <v>0.82992568728514</v>
      </c>
      <c r="P5734" s="10" t="n">
        <v>0.790102193132043</v>
      </c>
      <c r="Q5734" s="0" t="str">
        <f aca="false">SUBSTITUTE(SUBSTITUTE($I5734,CHAR(61),""),CHAR(34),"")</f>
        <v>50+</v>
      </c>
      <c r="R5734" s="0" t="str">
        <f aca="false">IF($D5734&lt;&gt;"","["&amp;$E5734&amp;"]"&amp;"|"&amp;$Q5734&amp;"|"&amp;$K5734&amp;"|"&amp;$G5734&amp;"|"&amp;IF($G5734="TX_CURR_SUBNAT.R","CY2022Q4",$M5734),"")</f>
        <v>[kxuuIFpOXyO]|50+|Female|Incidence_SUBNAT.Rt.T|CY2024Q3</v>
      </c>
    </row>
    <row r="5735" customFormat="false" ht="15" hidden="false" customHeight="false" outlineLevel="0" collapsed="false">
      <c r="D5735" s="0" t="s">
        <v>63</v>
      </c>
      <c r="E5735" s="0" t="s">
        <v>64</v>
      </c>
      <c r="F5735" s="0" t="s">
        <v>65</v>
      </c>
      <c r="G5735" s="0" t="s">
        <v>169</v>
      </c>
      <c r="H5735" s="0" t="s">
        <v>169</v>
      </c>
      <c r="I5735" s="0" t="s">
        <v>28</v>
      </c>
      <c r="J5735" s="0" t="s">
        <v>29</v>
      </c>
      <c r="K5735" s="0" t="s">
        <v>48</v>
      </c>
      <c r="L5735" s="0" t="s">
        <v>49</v>
      </c>
      <c r="M5735" s="0" t="s">
        <v>167</v>
      </c>
      <c r="N5735" s="0" t="n">
        <v>1402</v>
      </c>
      <c r="O5735" s="10" t="n">
        <v>0.0550217719282955</v>
      </c>
      <c r="P5735" s="10" t="n">
        <v>0.790102193132043</v>
      </c>
      <c r="Q5735" s="0" t="str">
        <f aca="false">SUBSTITUTE(SUBSTITUTE($I5735,CHAR(61),""),CHAR(34),"")</f>
        <v>&lt;01</v>
      </c>
      <c r="R5735" s="0" t="str">
        <f aca="false">IF($D5735&lt;&gt;"","["&amp;$E5735&amp;"]"&amp;"|"&amp;$Q5735&amp;"|"&amp;$K5735&amp;"|"&amp;$G5735&amp;"|"&amp;IF($G5735="TX_CURR_SUBNAT.R","CY2022Q4",$M5735),"")</f>
        <v>[kxuuIFpOXyO]|&lt;01|Male|Incidence_SUBNAT.Rt.T|CY2024Q3</v>
      </c>
    </row>
    <row r="5736" customFormat="false" ht="15" hidden="false" customHeight="false" outlineLevel="0" collapsed="false">
      <c r="D5736" s="0" t="s">
        <v>63</v>
      </c>
      <c r="E5736" s="0" t="s">
        <v>64</v>
      </c>
      <c r="F5736" s="0" t="s">
        <v>65</v>
      </c>
      <c r="G5736" s="0" t="s">
        <v>169</v>
      </c>
      <c r="H5736" s="0" t="s">
        <v>169</v>
      </c>
      <c r="I5736" s="0" t="s">
        <v>33</v>
      </c>
      <c r="J5736" s="0" t="s">
        <v>34</v>
      </c>
      <c r="K5736" s="0" t="s">
        <v>48</v>
      </c>
      <c r="L5736" s="0" t="s">
        <v>49</v>
      </c>
      <c r="M5736" s="0" t="s">
        <v>167</v>
      </c>
      <c r="N5736" s="0" t="n">
        <v>1303</v>
      </c>
      <c r="O5736" s="10" t="n">
        <v>0.697891502873972</v>
      </c>
      <c r="P5736" s="10" t="n">
        <v>0.790102193132043</v>
      </c>
      <c r="Q5736" s="0" t="str">
        <f aca="false">SUBSTITUTE(SUBSTITUTE($I5736,CHAR(61),""),CHAR(34),"")</f>
        <v>01-09</v>
      </c>
      <c r="R5736" s="0" t="str">
        <f aca="false">IF($D5736&lt;&gt;"","["&amp;$E5736&amp;"]"&amp;"|"&amp;$Q5736&amp;"|"&amp;$K5736&amp;"|"&amp;$G5736&amp;"|"&amp;IF($G5736="TX_CURR_SUBNAT.R","CY2022Q4",$M5736),"")</f>
        <v>[kxuuIFpOXyO]|01-09|Male|Incidence_SUBNAT.Rt.T|CY2024Q3</v>
      </c>
    </row>
    <row r="5737" customFormat="false" ht="15" hidden="false" customHeight="false" outlineLevel="0" collapsed="false">
      <c r="D5737" s="0" t="s">
        <v>63</v>
      </c>
      <c r="E5737" s="0" t="s">
        <v>64</v>
      </c>
      <c r="F5737" s="0" t="s">
        <v>65</v>
      </c>
      <c r="G5737" s="0" t="s">
        <v>169</v>
      </c>
      <c r="H5737" s="0" t="s">
        <v>169</v>
      </c>
      <c r="I5737" s="0" t="s">
        <v>36</v>
      </c>
      <c r="J5737" s="0" t="s">
        <v>37</v>
      </c>
      <c r="K5737" s="0" t="s">
        <v>48</v>
      </c>
      <c r="L5737" s="0" t="s">
        <v>49</v>
      </c>
      <c r="M5737" s="0" t="s">
        <v>167</v>
      </c>
      <c r="N5737" s="0" t="n">
        <v>1193</v>
      </c>
      <c r="O5737" s="10" t="n">
        <v>0.811425213003531</v>
      </c>
      <c r="P5737" s="10" t="n">
        <v>0.790102193132043</v>
      </c>
      <c r="Q5737" s="0" t="str">
        <f aca="false">SUBSTITUTE(SUBSTITUTE($I5737,CHAR(61),""),CHAR(34),"")</f>
        <v>10-14</v>
      </c>
      <c r="R5737" s="0" t="str">
        <f aca="false">IF($D5737&lt;&gt;"","["&amp;$E5737&amp;"]"&amp;"|"&amp;$Q5737&amp;"|"&amp;$K5737&amp;"|"&amp;$G5737&amp;"|"&amp;IF($G5737="TX_CURR_SUBNAT.R","CY2022Q4",$M5737),"")</f>
        <v>[kxuuIFpOXyO]|10-14|Male|Incidence_SUBNAT.Rt.T|CY2024Q3</v>
      </c>
    </row>
    <row r="5738" customFormat="false" ht="15" hidden="false" customHeight="false" outlineLevel="0" collapsed="false">
      <c r="D5738" s="0" t="s">
        <v>63</v>
      </c>
      <c r="E5738" s="0" t="s">
        <v>64</v>
      </c>
      <c r="F5738" s="0" t="s">
        <v>65</v>
      </c>
      <c r="G5738" s="0" t="s">
        <v>169</v>
      </c>
      <c r="H5738" s="0" t="s">
        <v>169</v>
      </c>
      <c r="I5738" s="0" t="s">
        <v>38</v>
      </c>
      <c r="J5738" s="0" t="s">
        <v>39</v>
      </c>
      <c r="K5738" s="0" t="s">
        <v>48</v>
      </c>
      <c r="L5738" s="0" t="s">
        <v>49</v>
      </c>
      <c r="M5738" s="0" t="s">
        <v>167</v>
      </c>
      <c r="N5738" s="0" t="n">
        <v>1365</v>
      </c>
      <c r="O5738" s="10" t="n">
        <v>0.678789803758264</v>
      </c>
      <c r="P5738" s="10" t="n">
        <v>0.790102193132043</v>
      </c>
      <c r="Q5738" s="0" t="str">
        <f aca="false">SUBSTITUTE(SUBSTITUTE($I5738,CHAR(61),""),CHAR(34),"")</f>
        <v>15-24</v>
      </c>
      <c r="R5738" s="0" t="str">
        <f aca="false">IF($D5738&lt;&gt;"","["&amp;$E5738&amp;"]"&amp;"|"&amp;$Q5738&amp;"|"&amp;$K5738&amp;"|"&amp;$G5738&amp;"|"&amp;IF($G5738="TX_CURR_SUBNAT.R","CY2022Q4",$M5738),"")</f>
        <v>[kxuuIFpOXyO]|15-24|Male|Incidence_SUBNAT.Rt.T|CY2024Q3</v>
      </c>
    </row>
    <row r="5739" customFormat="false" ht="15" hidden="false" customHeight="false" outlineLevel="0" collapsed="false">
      <c r="D5739" s="0" t="s">
        <v>63</v>
      </c>
      <c r="E5739" s="0" t="s">
        <v>64</v>
      </c>
      <c r="F5739" s="0" t="s">
        <v>65</v>
      </c>
      <c r="G5739" s="0" t="s">
        <v>169</v>
      </c>
      <c r="H5739" s="0" t="s">
        <v>169</v>
      </c>
      <c r="I5739" s="0" t="s">
        <v>41</v>
      </c>
      <c r="J5739" s="0" t="s">
        <v>42</v>
      </c>
      <c r="K5739" s="0" t="s">
        <v>48</v>
      </c>
      <c r="L5739" s="0" t="s">
        <v>49</v>
      </c>
      <c r="M5739" s="0" t="s">
        <v>167</v>
      </c>
      <c r="N5739" s="0" t="n">
        <v>770</v>
      </c>
      <c r="O5739" s="10" t="n">
        <v>0.0724834520369768</v>
      </c>
      <c r="P5739" s="10" t="n">
        <v>0.790102193132043</v>
      </c>
      <c r="Q5739" s="0" t="str">
        <f aca="false">SUBSTITUTE(SUBSTITUTE($I5739,CHAR(61),""),CHAR(34),"")</f>
        <v>25-34</v>
      </c>
      <c r="R5739" s="0" t="str">
        <f aca="false">IF($D5739&lt;&gt;"","["&amp;$E5739&amp;"]"&amp;"|"&amp;$Q5739&amp;"|"&amp;$K5739&amp;"|"&amp;$G5739&amp;"|"&amp;IF($G5739="TX_CURR_SUBNAT.R","CY2022Q4",$M5739),"")</f>
        <v>[kxuuIFpOXyO]|25-34|Male|Incidence_SUBNAT.Rt.T|CY2024Q3</v>
      </c>
    </row>
    <row r="5740" customFormat="false" ht="15" hidden="false" customHeight="false" outlineLevel="0" collapsed="false">
      <c r="D5740" s="0" t="s">
        <v>63</v>
      </c>
      <c r="E5740" s="0" t="s">
        <v>64</v>
      </c>
      <c r="F5740" s="0" t="s">
        <v>65</v>
      </c>
      <c r="G5740" s="0" t="s">
        <v>169</v>
      </c>
      <c r="H5740" s="0" t="s">
        <v>169</v>
      </c>
      <c r="I5740" s="0" t="s">
        <v>43</v>
      </c>
      <c r="J5740" s="0" t="s">
        <v>44</v>
      </c>
      <c r="K5740" s="0" t="s">
        <v>48</v>
      </c>
      <c r="L5740" s="0" t="s">
        <v>49</v>
      </c>
      <c r="M5740" s="0" t="s">
        <v>167</v>
      </c>
      <c r="N5740" s="0" t="n">
        <v>1820</v>
      </c>
      <c r="O5740" s="10" t="n">
        <v>0.741664700908586</v>
      </c>
      <c r="P5740" s="10" t="n">
        <v>0.790102193132043</v>
      </c>
      <c r="Q5740" s="0" t="str">
        <f aca="false">SUBSTITUTE(SUBSTITUTE($I5740,CHAR(61),""),CHAR(34),"")</f>
        <v>35-49</v>
      </c>
      <c r="R5740" s="0" t="str">
        <f aca="false">IF($D5740&lt;&gt;"","["&amp;$E5740&amp;"]"&amp;"|"&amp;$Q5740&amp;"|"&amp;$K5740&amp;"|"&amp;$G5740&amp;"|"&amp;IF($G5740="TX_CURR_SUBNAT.R","CY2022Q4",$M5740),"")</f>
        <v>[kxuuIFpOXyO]|35-49|Male|Incidence_SUBNAT.Rt.T|CY2024Q3</v>
      </c>
    </row>
    <row r="5741" customFormat="false" ht="15" hidden="false" customHeight="false" outlineLevel="0" collapsed="false">
      <c r="D5741" s="0" t="s">
        <v>63</v>
      </c>
      <c r="E5741" s="0" t="s">
        <v>64</v>
      </c>
      <c r="F5741" s="0" t="s">
        <v>65</v>
      </c>
      <c r="G5741" s="0" t="s">
        <v>169</v>
      </c>
      <c r="H5741" s="0" t="s">
        <v>169</v>
      </c>
      <c r="I5741" s="0" t="s">
        <v>45</v>
      </c>
      <c r="J5741" s="0" t="s">
        <v>46</v>
      </c>
      <c r="K5741" s="0" t="s">
        <v>48</v>
      </c>
      <c r="L5741" s="0" t="s">
        <v>49</v>
      </c>
      <c r="M5741" s="0" t="s">
        <v>167</v>
      </c>
      <c r="N5741" s="0" t="n">
        <v>886</v>
      </c>
      <c r="O5741" s="10" t="n">
        <v>0.371565603418276</v>
      </c>
      <c r="P5741" s="10" t="n">
        <v>0.790102193132043</v>
      </c>
      <c r="Q5741" s="0" t="str">
        <f aca="false">SUBSTITUTE(SUBSTITUTE($I5741,CHAR(61),""),CHAR(34),"")</f>
        <v>50+</v>
      </c>
      <c r="R5741" s="0" t="str">
        <f aca="false">IF($D5741&lt;&gt;"","["&amp;$E5741&amp;"]"&amp;"|"&amp;$Q5741&amp;"|"&amp;$K5741&amp;"|"&amp;$G5741&amp;"|"&amp;IF($G5741="TX_CURR_SUBNAT.R","CY2022Q4",$M5741),"")</f>
        <v>[kxuuIFpOXyO]|50+|Male|Incidence_SUBNAT.Rt.T|CY2024Q3</v>
      </c>
    </row>
    <row r="5742" customFormat="false" ht="15" hidden="false" customHeight="false" outlineLevel="0" collapsed="false">
      <c r="D5742" s="0" t="s">
        <v>66</v>
      </c>
      <c r="E5742" s="0" t="s">
        <v>67</v>
      </c>
      <c r="F5742" s="0" t="s">
        <v>68</v>
      </c>
      <c r="G5742" s="0" t="s">
        <v>169</v>
      </c>
      <c r="H5742" s="0" t="s">
        <v>169</v>
      </c>
      <c r="I5742" s="0" t="s">
        <v>28</v>
      </c>
      <c r="J5742" s="0" t="s">
        <v>29</v>
      </c>
      <c r="K5742" s="0" t="s">
        <v>30</v>
      </c>
      <c r="L5742" s="0" t="s">
        <v>31</v>
      </c>
      <c r="M5742" s="0" t="s">
        <v>167</v>
      </c>
      <c r="N5742" s="0" t="n">
        <v>1918</v>
      </c>
      <c r="O5742" s="10" t="n">
        <v>0.864218238275498</v>
      </c>
      <c r="P5742" s="10" t="n">
        <v>0.164609884377569</v>
      </c>
      <c r="Q5742" s="0" t="str">
        <f aca="false">SUBSTITUTE(SUBSTITUTE($I5742,CHAR(61),""),CHAR(34),"")</f>
        <v>&lt;01</v>
      </c>
      <c r="R5742" s="0" t="str">
        <f aca="false">IF($D5742&lt;&gt;"","["&amp;$E5742&amp;"]"&amp;"|"&amp;$Q5742&amp;"|"&amp;$K5742&amp;"|"&amp;$G5742&amp;"|"&amp;IF($G5742="TX_CURR_SUBNAT.R","CY2022Q4",$M5742),"")</f>
        <v>[ScR9iFKAasW]|&lt;01|Female|Incidence_SUBNAT.Rt.T|CY2024Q3</v>
      </c>
    </row>
    <row r="5743" customFormat="false" ht="15" hidden="false" customHeight="false" outlineLevel="0" collapsed="false">
      <c r="D5743" s="0" t="s">
        <v>66</v>
      </c>
      <c r="E5743" s="0" t="s">
        <v>67</v>
      </c>
      <c r="F5743" s="0" t="s">
        <v>68</v>
      </c>
      <c r="G5743" s="0" t="s">
        <v>169</v>
      </c>
      <c r="H5743" s="0" t="s">
        <v>169</v>
      </c>
      <c r="I5743" s="0" t="s">
        <v>33</v>
      </c>
      <c r="J5743" s="0" t="s">
        <v>34</v>
      </c>
      <c r="K5743" s="0" t="s">
        <v>30</v>
      </c>
      <c r="L5743" s="0" t="s">
        <v>31</v>
      </c>
      <c r="M5743" s="0" t="s">
        <v>167</v>
      </c>
      <c r="N5743" s="0" t="n">
        <v>530</v>
      </c>
      <c r="O5743" s="10" t="n">
        <v>0.19694363209419</v>
      </c>
      <c r="P5743" s="10" t="n">
        <v>0.164609884377569</v>
      </c>
      <c r="Q5743" s="0" t="str">
        <f aca="false">SUBSTITUTE(SUBSTITUTE($I5743,CHAR(61),""),CHAR(34),"")</f>
        <v>01-09</v>
      </c>
      <c r="R5743" s="0" t="str">
        <f aca="false">IF($D5743&lt;&gt;"","["&amp;$E5743&amp;"]"&amp;"|"&amp;$Q5743&amp;"|"&amp;$K5743&amp;"|"&amp;$G5743&amp;"|"&amp;IF($G5743="TX_CURR_SUBNAT.R","CY2022Q4",$M5743),"")</f>
        <v>[ScR9iFKAasW]|01-09|Female|Incidence_SUBNAT.Rt.T|CY2024Q3</v>
      </c>
    </row>
    <row r="5744" customFormat="false" ht="15" hidden="false" customHeight="false" outlineLevel="0" collapsed="false">
      <c r="D5744" s="0" t="s">
        <v>66</v>
      </c>
      <c r="E5744" s="0" t="s">
        <v>67</v>
      </c>
      <c r="F5744" s="0" t="s">
        <v>68</v>
      </c>
      <c r="G5744" s="0" t="s">
        <v>169</v>
      </c>
      <c r="H5744" s="0" t="s">
        <v>169</v>
      </c>
      <c r="I5744" s="0" t="s">
        <v>36</v>
      </c>
      <c r="J5744" s="0" t="s">
        <v>37</v>
      </c>
      <c r="K5744" s="0" t="s">
        <v>30</v>
      </c>
      <c r="L5744" s="0" t="s">
        <v>31</v>
      </c>
      <c r="M5744" s="0" t="s">
        <v>167</v>
      </c>
      <c r="N5744" s="0" t="n">
        <v>1668</v>
      </c>
      <c r="O5744" s="10" t="n">
        <v>0.706576761091128</v>
      </c>
      <c r="P5744" s="10" t="n">
        <v>0.164609884377569</v>
      </c>
      <c r="Q5744" s="0" t="str">
        <f aca="false">SUBSTITUTE(SUBSTITUTE($I5744,CHAR(61),""),CHAR(34),"")</f>
        <v>10-14</v>
      </c>
      <c r="R5744" s="0" t="str">
        <f aca="false">IF($D5744&lt;&gt;"","["&amp;$E5744&amp;"]"&amp;"|"&amp;$Q5744&amp;"|"&amp;$K5744&amp;"|"&amp;$G5744&amp;"|"&amp;IF($G5744="TX_CURR_SUBNAT.R","CY2022Q4",$M5744),"")</f>
        <v>[ScR9iFKAasW]|10-14|Female|Incidence_SUBNAT.Rt.T|CY2024Q3</v>
      </c>
    </row>
    <row r="5745" customFormat="false" ht="15" hidden="false" customHeight="false" outlineLevel="0" collapsed="false">
      <c r="D5745" s="0" t="s">
        <v>66</v>
      </c>
      <c r="E5745" s="0" t="s">
        <v>67</v>
      </c>
      <c r="F5745" s="0" t="s">
        <v>68</v>
      </c>
      <c r="G5745" s="0" t="s">
        <v>169</v>
      </c>
      <c r="H5745" s="0" t="s">
        <v>169</v>
      </c>
      <c r="I5745" s="0" t="s">
        <v>38</v>
      </c>
      <c r="J5745" s="0" t="s">
        <v>39</v>
      </c>
      <c r="K5745" s="0" t="s">
        <v>30</v>
      </c>
      <c r="L5745" s="0" t="s">
        <v>31</v>
      </c>
      <c r="M5745" s="0" t="s">
        <v>167</v>
      </c>
      <c r="N5745" s="0" t="n">
        <v>953</v>
      </c>
      <c r="O5745" s="10" t="n">
        <v>0.504972149152309</v>
      </c>
      <c r="P5745" s="10" t="n">
        <v>0.164609884377569</v>
      </c>
      <c r="Q5745" s="0" t="str">
        <f aca="false">SUBSTITUTE(SUBSTITUTE($I5745,CHAR(61),""),CHAR(34),"")</f>
        <v>15-24</v>
      </c>
      <c r="R5745" s="0" t="str">
        <f aca="false">IF($D5745&lt;&gt;"","["&amp;$E5745&amp;"]"&amp;"|"&amp;$Q5745&amp;"|"&amp;$K5745&amp;"|"&amp;$G5745&amp;"|"&amp;IF($G5745="TX_CURR_SUBNAT.R","CY2022Q4",$M5745),"")</f>
        <v>[ScR9iFKAasW]|15-24|Female|Incidence_SUBNAT.Rt.T|CY2024Q3</v>
      </c>
    </row>
    <row r="5746" customFormat="false" ht="15" hidden="false" customHeight="false" outlineLevel="0" collapsed="false">
      <c r="D5746" s="0" t="s">
        <v>66</v>
      </c>
      <c r="E5746" s="0" t="s">
        <v>67</v>
      </c>
      <c r="F5746" s="0" t="s">
        <v>68</v>
      </c>
      <c r="G5746" s="0" t="s">
        <v>169</v>
      </c>
      <c r="H5746" s="0" t="s">
        <v>169</v>
      </c>
      <c r="I5746" s="0" t="s">
        <v>41</v>
      </c>
      <c r="J5746" s="0" t="s">
        <v>42</v>
      </c>
      <c r="K5746" s="0" t="s">
        <v>30</v>
      </c>
      <c r="L5746" s="0" t="s">
        <v>31</v>
      </c>
      <c r="M5746" s="0" t="s">
        <v>167</v>
      </c>
      <c r="N5746" s="0" t="n">
        <v>1706</v>
      </c>
      <c r="O5746" s="10" t="n">
        <v>0.582743326667696</v>
      </c>
      <c r="P5746" s="10" t="n">
        <v>0.164609884377569</v>
      </c>
      <c r="Q5746" s="0" t="str">
        <f aca="false">SUBSTITUTE(SUBSTITUTE($I5746,CHAR(61),""),CHAR(34),"")</f>
        <v>25-34</v>
      </c>
      <c r="R5746" s="0" t="str">
        <f aca="false">IF($D5746&lt;&gt;"","["&amp;$E5746&amp;"]"&amp;"|"&amp;$Q5746&amp;"|"&amp;$K5746&amp;"|"&amp;$G5746&amp;"|"&amp;IF($G5746="TX_CURR_SUBNAT.R","CY2022Q4",$M5746),"")</f>
        <v>[ScR9iFKAasW]|25-34|Female|Incidence_SUBNAT.Rt.T|CY2024Q3</v>
      </c>
    </row>
    <row r="5747" customFormat="false" ht="15" hidden="false" customHeight="false" outlineLevel="0" collapsed="false">
      <c r="D5747" s="0" t="s">
        <v>66</v>
      </c>
      <c r="E5747" s="0" t="s">
        <v>67</v>
      </c>
      <c r="F5747" s="0" t="s">
        <v>68</v>
      </c>
      <c r="G5747" s="0" t="s">
        <v>169</v>
      </c>
      <c r="H5747" s="0" t="s">
        <v>169</v>
      </c>
      <c r="I5747" s="0" t="s">
        <v>43</v>
      </c>
      <c r="J5747" s="0" t="s">
        <v>44</v>
      </c>
      <c r="K5747" s="0" t="s">
        <v>30</v>
      </c>
      <c r="L5747" s="0" t="s">
        <v>31</v>
      </c>
      <c r="M5747" s="0" t="s">
        <v>167</v>
      </c>
      <c r="N5747" s="0" t="n">
        <v>1947</v>
      </c>
      <c r="O5747" s="10" t="n">
        <v>0.119380962103605</v>
      </c>
      <c r="P5747" s="10" t="n">
        <v>0.164609884377569</v>
      </c>
      <c r="Q5747" s="0" t="str">
        <f aca="false">SUBSTITUTE(SUBSTITUTE($I5747,CHAR(61),""),CHAR(34),"")</f>
        <v>35-49</v>
      </c>
      <c r="R5747" s="0" t="str">
        <f aca="false">IF($D5747&lt;&gt;"","["&amp;$E5747&amp;"]"&amp;"|"&amp;$Q5747&amp;"|"&amp;$K5747&amp;"|"&amp;$G5747&amp;"|"&amp;IF($G5747="TX_CURR_SUBNAT.R","CY2022Q4",$M5747),"")</f>
        <v>[ScR9iFKAasW]|35-49|Female|Incidence_SUBNAT.Rt.T|CY2024Q3</v>
      </c>
    </row>
    <row r="5748" customFormat="false" ht="15" hidden="false" customHeight="false" outlineLevel="0" collapsed="false">
      <c r="D5748" s="0" t="s">
        <v>66</v>
      </c>
      <c r="E5748" s="0" t="s">
        <v>67</v>
      </c>
      <c r="F5748" s="0" t="s">
        <v>68</v>
      </c>
      <c r="G5748" s="0" t="s">
        <v>169</v>
      </c>
      <c r="H5748" s="0" t="s">
        <v>169</v>
      </c>
      <c r="I5748" s="0" t="s">
        <v>45</v>
      </c>
      <c r="J5748" s="0" t="s">
        <v>46</v>
      </c>
      <c r="K5748" s="0" t="s">
        <v>30</v>
      </c>
      <c r="L5748" s="0" t="s">
        <v>31</v>
      </c>
      <c r="M5748" s="0" t="s">
        <v>167</v>
      </c>
      <c r="N5748" s="0" t="n">
        <v>1043</v>
      </c>
      <c r="O5748" s="10" t="n">
        <v>0.961094324709848</v>
      </c>
      <c r="P5748" s="10" t="n">
        <v>0.164609884377569</v>
      </c>
      <c r="Q5748" s="0" t="str">
        <f aca="false">SUBSTITUTE(SUBSTITUTE($I5748,CHAR(61),""),CHAR(34),"")</f>
        <v>50+</v>
      </c>
      <c r="R5748" s="0" t="str">
        <f aca="false">IF($D5748&lt;&gt;"","["&amp;$E5748&amp;"]"&amp;"|"&amp;$Q5748&amp;"|"&amp;$K5748&amp;"|"&amp;$G5748&amp;"|"&amp;IF($G5748="TX_CURR_SUBNAT.R","CY2022Q4",$M5748),"")</f>
        <v>[ScR9iFKAasW]|50+|Female|Incidence_SUBNAT.Rt.T|CY2024Q3</v>
      </c>
    </row>
    <row r="5749" customFormat="false" ht="15" hidden="false" customHeight="false" outlineLevel="0" collapsed="false">
      <c r="D5749" s="0" t="s">
        <v>66</v>
      </c>
      <c r="E5749" s="0" t="s">
        <v>67</v>
      </c>
      <c r="F5749" s="0" t="s">
        <v>68</v>
      </c>
      <c r="G5749" s="0" t="s">
        <v>169</v>
      </c>
      <c r="H5749" s="0" t="s">
        <v>169</v>
      </c>
      <c r="I5749" s="0" t="s">
        <v>28</v>
      </c>
      <c r="J5749" s="0" t="s">
        <v>29</v>
      </c>
      <c r="K5749" s="0" t="s">
        <v>48</v>
      </c>
      <c r="L5749" s="0" t="s">
        <v>49</v>
      </c>
      <c r="M5749" s="0" t="s">
        <v>167</v>
      </c>
      <c r="N5749" s="0" t="n">
        <v>648</v>
      </c>
      <c r="O5749" s="10" t="n">
        <v>0.60261056269519</v>
      </c>
      <c r="P5749" s="10" t="n">
        <v>0.164609884377569</v>
      </c>
      <c r="Q5749" s="0" t="str">
        <f aca="false">SUBSTITUTE(SUBSTITUTE($I5749,CHAR(61),""),CHAR(34),"")</f>
        <v>&lt;01</v>
      </c>
      <c r="R5749" s="0" t="str">
        <f aca="false">IF($D5749&lt;&gt;"","["&amp;$E5749&amp;"]"&amp;"|"&amp;$Q5749&amp;"|"&amp;$K5749&amp;"|"&amp;$G5749&amp;"|"&amp;IF($G5749="TX_CURR_SUBNAT.R","CY2022Q4",$M5749),"")</f>
        <v>[ScR9iFKAasW]|&lt;01|Male|Incidence_SUBNAT.Rt.T|CY2024Q3</v>
      </c>
    </row>
    <row r="5750" customFormat="false" ht="15" hidden="false" customHeight="false" outlineLevel="0" collapsed="false">
      <c r="D5750" s="0" t="s">
        <v>66</v>
      </c>
      <c r="E5750" s="0" t="s">
        <v>67</v>
      </c>
      <c r="F5750" s="0" t="s">
        <v>68</v>
      </c>
      <c r="G5750" s="0" t="s">
        <v>169</v>
      </c>
      <c r="H5750" s="0" t="s">
        <v>169</v>
      </c>
      <c r="I5750" s="0" t="s">
        <v>33</v>
      </c>
      <c r="J5750" s="0" t="s">
        <v>34</v>
      </c>
      <c r="K5750" s="0" t="s">
        <v>48</v>
      </c>
      <c r="L5750" s="0" t="s">
        <v>49</v>
      </c>
      <c r="M5750" s="0" t="s">
        <v>167</v>
      </c>
      <c r="N5750" s="0" t="n">
        <v>811</v>
      </c>
      <c r="O5750" s="10" t="n">
        <v>0.681388025637716</v>
      </c>
      <c r="P5750" s="10" t="n">
        <v>0.164609884377569</v>
      </c>
      <c r="Q5750" s="0" t="str">
        <f aca="false">SUBSTITUTE(SUBSTITUTE($I5750,CHAR(61),""),CHAR(34),"")</f>
        <v>01-09</v>
      </c>
      <c r="R5750" s="0" t="str">
        <f aca="false">IF($D5750&lt;&gt;"","["&amp;$E5750&amp;"]"&amp;"|"&amp;$Q5750&amp;"|"&amp;$K5750&amp;"|"&amp;$G5750&amp;"|"&amp;IF($G5750="TX_CURR_SUBNAT.R","CY2022Q4",$M5750),"")</f>
        <v>[ScR9iFKAasW]|01-09|Male|Incidence_SUBNAT.Rt.T|CY2024Q3</v>
      </c>
    </row>
    <row r="5751" customFormat="false" ht="15" hidden="false" customHeight="false" outlineLevel="0" collapsed="false">
      <c r="D5751" s="0" t="s">
        <v>66</v>
      </c>
      <c r="E5751" s="0" t="s">
        <v>67</v>
      </c>
      <c r="F5751" s="0" t="s">
        <v>68</v>
      </c>
      <c r="G5751" s="0" t="s">
        <v>169</v>
      </c>
      <c r="H5751" s="0" t="s">
        <v>169</v>
      </c>
      <c r="I5751" s="0" t="s">
        <v>36</v>
      </c>
      <c r="J5751" s="0" t="s">
        <v>37</v>
      </c>
      <c r="K5751" s="0" t="s">
        <v>48</v>
      </c>
      <c r="L5751" s="0" t="s">
        <v>49</v>
      </c>
      <c r="M5751" s="0" t="s">
        <v>167</v>
      </c>
      <c r="N5751" s="0" t="n">
        <v>605</v>
      </c>
      <c r="O5751" s="10" t="n">
        <v>0.0824668481945992</v>
      </c>
      <c r="P5751" s="10" t="n">
        <v>0.164609884377569</v>
      </c>
      <c r="Q5751" s="0" t="str">
        <f aca="false">SUBSTITUTE(SUBSTITUTE($I5751,CHAR(61),""),CHAR(34),"")</f>
        <v>10-14</v>
      </c>
      <c r="R5751" s="0" t="str">
        <f aca="false">IF($D5751&lt;&gt;"","["&amp;$E5751&amp;"]"&amp;"|"&amp;$Q5751&amp;"|"&amp;$K5751&amp;"|"&amp;$G5751&amp;"|"&amp;IF($G5751="TX_CURR_SUBNAT.R","CY2022Q4",$M5751),"")</f>
        <v>[ScR9iFKAasW]|10-14|Male|Incidence_SUBNAT.Rt.T|CY2024Q3</v>
      </c>
    </row>
    <row r="5752" customFormat="false" ht="15" hidden="false" customHeight="false" outlineLevel="0" collapsed="false">
      <c r="D5752" s="0" t="s">
        <v>66</v>
      </c>
      <c r="E5752" s="0" t="s">
        <v>67</v>
      </c>
      <c r="F5752" s="0" t="s">
        <v>68</v>
      </c>
      <c r="G5752" s="0" t="s">
        <v>169</v>
      </c>
      <c r="H5752" s="0" t="s">
        <v>169</v>
      </c>
      <c r="I5752" s="0" t="s">
        <v>38</v>
      </c>
      <c r="J5752" s="0" t="s">
        <v>39</v>
      </c>
      <c r="K5752" s="0" t="s">
        <v>48</v>
      </c>
      <c r="L5752" s="0" t="s">
        <v>49</v>
      </c>
      <c r="M5752" s="0" t="s">
        <v>167</v>
      </c>
      <c r="N5752" s="0" t="n">
        <v>1229</v>
      </c>
      <c r="O5752" s="10" t="n">
        <v>0.954968972830102</v>
      </c>
      <c r="P5752" s="10" t="n">
        <v>0.164609884377569</v>
      </c>
      <c r="Q5752" s="0" t="str">
        <f aca="false">SUBSTITUTE(SUBSTITUTE($I5752,CHAR(61),""),CHAR(34),"")</f>
        <v>15-24</v>
      </c>
      <c r="R5752" s="0" t="str">
        <f aca="false">IF($D5752&lt;&gt;"","["&amp;$E5752&amp;"]"&amp;"|"&amp;$Q5752&amp;"|"&amp;$K5752&amp;"|"&amp;$G5752&amp;"|"&amp;IF($G5752="TX_CURR_SUBNAT.R","CY2022Q4",$M5752),"")</f>
        <v>[ScR9iFKAasW]|15-24|Male|Incidence_SUBNAT.Rt.T|CY2024Q3</v>
      </c>
    </row>
    <row r="5753" customFormat="false" ht="15" hidden="false" customHeight="false" outlineLevel="0" collapsed="false">
      <c r="D5753" s="0" t="s">
        <v>66</v>
      </c>
      <c r="E5753" s="0" t="s">
        <v>67</v>
      </c>
      <c r="F5753" s="0" t="s">
        <v>68</v>
      </c>
      <c r="G5753" s="0" t="s">
        <v>169</v>
      </c>
      <c r="H5753" s="0" t="s">
        <v>169</v>
      </c>
      <c r="I5753" s="0" t="s">
        <v>41</v>
      </c>
      <c r="J5753" s="0" t="s">
        <v>42</v>
      </c>
      <c r="K5753" s="0" t="s">
        <v>48</v>
      </c>
      <c r="L5753" s="0" t="s">
        <v>49</v>
      </c>
      <c r="M5753" s="0" t="s">
        <v>167</v>
      </c>
      <c r="N5753" s="0" t="n">
        <v>1627</v>
      </c>
      <c r="O5753" s="10" t="n">
        <v>0.284476106753573</v>
      </c>
      <c r="P5753" s="10" t="n">
        <v>0.164609884377569</v>
      </c>
      <c r="Q5753" s="0" t="str">
        <f aca="false">SUBSTITUTE(SUBSTITUTE($I5753,CHAR(61),""),CHAR(34),"")</f>
        <v>25-34</v>
      </c>
      <c r="R5753" s="0" t="str">
        <f aca="false">IF($D5753&lt;&gt;"","["&amp;$E5753&amp;"]"&amp;"|"&amp;$Q5753&amp;"|"&amp;$K5753&amp;"|"&amp;$G5753&amp;"|"&amp;IF($G5753="TX_CURR_SUBNAT.R","CY2022Q4",$M5753),"")</f>
        <v>[ScR9iFKAasW]|25-34|Male|Incidence_SUBNAT.Rt.T|CY2024Q3</v>
      </c>
    </row>
    <row r="5754" customFormat="false" ht="15" hidden="false" customHeight="false" outlineLevel="0" collapsed="false">
      <c r="D5754" s="0" t="s">
        <v>66</v>
      </c>
      <c r="E5754" s="0" t="s">
        <v>67</v>
      </c>
      <c r="F5754" s="0" t="s">
        <v>68</v>
      </c>
      <c r="G5754" s="0" t="s">
        <v>169</v>
      </c>
      <c r="H5754" s="0" t="s">
        <v>169</v>
      </c>
      <c r="I5754" s="0" t="s">
        <v>43</v>
      </c>
      <c r="J5754" s="0" t="s">
        <v>44</v>
      </c>
      <c r="K5754" s="0" t="s">
        <v>48</v>
      </c>
      <c r="L5754" s="0" t="s">
        <v>49</v>
      </c>
      <c r="M5754" s="0" t="s">
        <v>167</v>
      </c>
      <c r="N5754" s="0" t="n">
        <v>1287</v>
      </c>
      <c r="O5754" s="10" t="n">
        <v>0.663165092701092</v>
      </c>
      <c r="P5754" s="10" t="n">
        <v>0.164609884377569</v>
      </c>
      <c r="Q5754" s="0" t="str">
        <f aca="false">SUBSTITUTE(SUBSTITUTE($I5754,CHAR(61),""),CHAR(34),"")</f>
        <v>35-49</v>
      </c>
      <c r="R5754" s="0" t="str">
        <f aca="false">IF($D5754&lt;&gt;"","["&amp;$E5754&amp;"]"&amp;"|"&amp;$Q5754&amp;"|"&amp;$K5754&amp;"|"&amp;$G5754&amp;"|"&amp;IF($G5754="TX_CURR_SUBNAT.R","CY2022Q4",$M5754),"")</f>
        <v>[ScR9iFKAasW]|35-49|Male|Incidence_SUBNAT.Rt.T|CY2024Q3</v>
      </c>
    </row>
    <row r="5755" customFormat="false" ht="15" hidden="false" customHeight="false" outlineLevel="0" collapsed="false">
      <c r="D5755" s="0" t="s">
        <v>66</v>
      </c>
      <c r="E5755" s="0" t="s">
        <v>67</v>
      </c>
      <c r="F5755" s="0" t="s">
        <v>68</v>
      </c>
      <c r="G5755" s="0" t="s">
        <v>169</v>
      </c>
      <c r="H5755" s="0" t="s">
        <v>169</v>
      </c>
      <c r="I5755" s="0" t="s">
        <v>45</v>
      </c>
      <c r="J5755" s="0" t="s">
        <v>46</v>
      </c>
      <c r="K5755" s="0" t="s">
        <v>48</v>
      </c>
      <c r="L5755" s="0" t="s">
        <v>49</v>
      </c>
      <c r="M5755" s="0" t="s">
        <v>167</v>
      </c>
      <c r="N5755" s="0" t="n">
        <v>1461</v>
      </c>
      <c r="O5755" s="10" t="n">
        <v>0.523967644898221</v>
      </c>
      <c r="P5755" s="10" t="n">
        <v>0.164609884377569</v>
      </c>
      <c r="Q5755" s="0" t="str">
        <f aca="false">SUBSTITUTE(SUBSTITUTE($I5755,CHAR(61),""),CHAR(34),"")</f>
        <v>50+</v>
      </c>
      <c r="R5755" s="0" t="str">
        <f aca="false">IF($D5755&lt;&gt;"","["&amp;$E5755&amp;"]"&amp;"|"&amp;$Q5755&amp;"|"&amp;$K5755&amp;"|"&amp;$G5755&amp;"|"&amp;IF($G5755="TX_CURR_SUBNAT.R","CY2022Q4",$M5755),"")</f>
        <v>[ScR9iFKAasW]|50+|Male|Incidence_SUBNAT.Rt.T|CY2024Q3</v>
      </c>
    </row>
    <row r="5756" customFormat="false" ht="15" hidden="false" customHeight="false" outlineLevel="0" collapsed="false">
      <c r="D5756" s="0" t="s">
        <v>69</v>
      </c>
      <c r="E5756" s="0" t="s">
        <v>70</v>
      </c>
      <c r="F5756" s="0" t="s">
        <v>71</v>
      </c>
      <c r="G5756" s="0" t="s">
        <v>169</v>
      </c>
      <c r="H5756" s="0" t="s">
        <v>169</v>
      </c>
      <c r="I5756" s="0" t="s">
        <v>28</v>
      </c>
      <c r="J5756" s="0" t="s">
        <v>29</v>
      </c>
      <c r="K5756" s="0" t="s">
        <v>30</v>
      </c>
      <c r="L5756" s="0" t="s">
        <v>31</v>
      </c>
      <c r="M5756" s="0" t="s">
        <v>167</v>
      </c>
      <c r="N5756" s="0" t="n">
        <v>1164</v>
      </c>
      <c r="O5756" s="10" t="n">
        <v>0.139609248144552</v>
      </c>
      <c r="P5756" s="10" t="n">
        <v>0.198817263124511</v>
      </c>
      <c r="Q5756" s="0" t="str">
        <f aca="false">SUBSTITUTE(SUBSTITUTE($I5756,CHAR(61),""),CHAR(34),"")</f>
        <v>&lt;01</v>
      </c>
      <c r="R5756" s="0" t="str">
        <f aca="false">IF($D5756&lt;&gt;"","["&amp;$E5756&amp;"]"&amp;"|"&amp;$Q5756&amp;"|"&amp;$K5756&amp;"|"&amp;$G5756&amp;"|"&amp;IF($G5756="TX_CURR_SUBNAT.R","CY2022Q4",$M5756),"")</f>
        <v>[PekKUkKHAzY]|&lt;01|Female|Incidence_SUBNAT.Rt.T|CY2024Q3</v>
      </c>
    </row>
    <row r="5757" customFormat="false" ht="15" hidden="false" customHeight="false" outlineLevel="0" collapsed="false">
      <c r="D5757" s="0" t="s">
        <v>69</v>
      </c>
      <c r="E5757" s="0" t="s">
        <v>70</v>
      </c>
      <c r="F5757" s="0" t="s">
        <v>71</v>
      </c>
      <c r="G5757" s="0" t="s">
        <v>169</v>
      </c>
      <c r="H5757" s="0" t="s">
        <v>169</v>
      </c>
      <c r="I5757" s="0" t="s">
        <v>33</v>
      </c>
      <c r="J5757" s="0" t="s">
        <v>34</v>
      </c>
      <c r="K5757" s="0" t="s">
        <v>30</v>
      </c>
      <c r="L5757" s="0" t="s">
        <v>31</v>
      </c>
      <c r="M5757" s="0" t="s">
        <v>167</v>
      </c>
      <c r="N5757" s="0" t="n">
        <v>1501</v>
      </c>
      <c r="O5757" s="10" t="n">
        <v>0.258898620028049</v>
      </c>
      <c r="P5757" s="10" t="n">
        <v>0.198817263124511</v>
      </c>
      <c r="Q5757" s="0" t="str">
        <f aca="false">SUBSTITUTE(SUBSTITUTE($I5757,CHAR(61),""),CHAR(34),"")</f>
        <v>01-09</v>
      </c>
      <c r="R5757" s="0" t="str">
        <f aca="false">IF($D5757&lt;&gt;"","["&amp;$E5757&amp;"]"&amp;"|"&amp;$Q5757&amp;"|"&amp;$K5757&amp;"|"&amp;$G5757&amp;"|"&amp;IF($G5757="TX_CURR_SUBNAT.R","CY2022Q4",$M5757),"")</f>
        <v>[PekKUkKHAzY]|01-09|Female|Incidence_SUBNAT.Rt.T|CY2024Q3</v>
      </c>
    </row>
    <row r="5758" customFormat="false" ht="15" hidden="false" customHeight="false" outlineLevel="0" collapsed="false">
      <c r="D5758" s="0" t="s">
        <v>69</v>
      </c>
      <c r="E5758" s="0" t="s">
        <v>70</v>
      </c>
      <c r="F5758" s="0" t="s">
        <v>71</v>
      </c>
      <c r="G5758" s="0" t="s">
        <v>169</v>
      </c>
      <c r="H5758" s="0" t="s">
        <v>169</v>
      </c>
      <c r="I5758" s="0" t="s">
        <v>36</v>
      </c>
      <c r="J5758" s="0" t="s">
        <v>37</v>
      </c>
      <c r="K5758" s="0" t="s">
        <v>30</v>
      </c>
      <c r="L5758" s="0" t="s">
        <v>31</v>
      </c>
      <c r="M5758" s="0" t="s">
        <v>167</v>
      </c>
      <c r="N5758" s="0" t="n">
        <v>1179</v>
      </c>
      <c r="O5758" s="10" t="n">
        <v>0.806055485270917</v>
      </c>
      <c r="P5758" s="10" t="n">
        <v>0.198817263124511</v>
      </c>
      <c r="Q5758" s="0" t="str">
        <f aca="false">SUBSTITUTE(SUBSTITUTE($I5758,CHAR(61),""),CHAR(34),"")</f>
        <v>10-14</v>
      </c>
      <c r="R5758" s="0" t="str">
        <f aca="false">IF($D5758&lt;&gt;"","["&amp;$E5758&amp;"]"&amp;"|"&amp;$Q5758&amp;"|"&amp;$K5758&amp;"|"&amp;$G5758&amp;"|"&amp;IF($G5758="TX_CURR_SUBNAT.R","CY2022Q4",$M5758),"")</f>
        <v>[PekKUkKHAzY]|10-14|Female|Incidence_SUBNAT.Rt.T|CY2024Q3</v>
      </c>
    </row>
    <row r="5759" customFormat="false" ht="15" hidden="false" customHeight="false" outlineLevel="0" collapsed="false">
      <c r="D5759" s="0" t="s">
        <v>69</v>
      </c>
      <c r="E5759" s="0" t="s">
        <v>70</v>
      </c>
      <c r="F5759" s="0" t="s">
        <v>71</v>
      </c>
      <c r="G5759" s="0" t="s">
        <v>169</v>
      </c>
      <c r="H5759" s="0" t="s">
        <v>169</v>
      </c>
      <c r="I5759" s="0" t="s">
        <v>38</v>
      </c>
      <c r="J5759" s="0" t="s">
        <v>39</v>
      </c>
      <c r="K5759" s="0" t="s">
        <v>30</v>
      </c>
      <c r="L5759" s="0" t="s">
        <v>31</v>
      </c>
      <c r="M5759" s="0" t="s">
        <v>167</v>
      </c>
      <c r="N5759" s="0" t="n">
        <v>1242</v>
      </c>
      <c r="O5759" s="10" t="n">
        <v>0.349921526852995</v>
      </c>
      <c r="P5759" s="10" t="n">
        <v>0.198817263124511</v>
      </c>
      <c r="Q5759" s="0" t="str">
        <f aca="false">SUBSTITUTE(SUBSTITUTE($I5759,CHAR(61),""),CHAR(34),"")</f>
        <v>15-24</v>
      </c>
      <c r="R5759" s="0" t="str">
        <f aca="false">IF($D5759&lt;&gt;"","["&amp;$E5759&amp;"]"&amp;"|"&amp;$Q5759&amp;"|"&amp;$K5759&amp;"|"&amp;$G5759&amp;"|"&amp;IF($G5759="TX_CURR_SUBNAT.R","CY2022Q4",$M5759),"")</f>
        <v>[PekKUkKHAzY]|15-24|Female|Incidence_SUBNAT.Rt.T|CY2024Q3</v>
      </c>
    </row>
    <row r="5760" customFormat="false" ht="15" hidden="false" customHeight="false" outlineLevel="0" collapsed="false">
      <c r="D5760" s="0" t="s">
        <v>69</v>
      </c>
      <c r="E5760" s="0" t="s">
        <v>70</v>
      </c>
      <c r="F5760" s="0" t="s">
        <v>71</v>
      </c>
      <c r="G5760" s="0" t="s">
        <v>169</v>
      </c>
      <c r="H5760" s="0" t="s">
        <v>169</v>
      </c>
      <c r="I5760" s="0" t="s">
        <v>41</v>
      </c>
      <c r="J5760" s="0" t="s">
        <v>42</v>
      </c>
      <c r="K5760" s="0" t="s">
        <v>30</v>
      </c>
      <c r="L5760" s="0" t="s">
        <v>31</v>
      </c>
      <c r="M5760" s="0" t="s">
        <v>167</v>
      </c>
      <c r="N5760" s="0" t="n">
        <v>1837</v>
      </c>
      <c r="O5760" s="10" t="n">
        <v>0.664664136478677</v>
      </c>
      <c r="P5760" s="10" t="n">
        <v>0.198817263124511</v>
      </c>
      <c r="Q5760" s="0" t="str">
        <f aca="false">SUBSTITUTE(SUBSTITUTE($I5760,CHAR(61),""),CHAR(34),"")</f>
        <v>25-34</v>
      </c>
      <c r="R5760" s="0" t="str">
        <f aca="false">IF($D5760&lt;&gt;"","["&amp;$E5760&amp;"]"&amp;"|"&amp;$Q5760&amp;"|"&amp;$K5760&amp;"|"&amp;$G5760&amp;"|"&amp;IF($G5760="TX_CURR_SUBNAT.R","CY2022Q4",$M5760),"")</f>
        <v>[PekKUkKHAzY]|25-34|Female|Incidence_SUBNAT.Rt.T|CY2024Q3</v>
      </c>
    </row>
    <row r="5761" customFormat="false" ht="15" hidden="false" customHeight="false" outlineLevel="0" collapsed="false">
      <c r="D5761" s="0" t="s">
        <v>69</v>
      </c>
      <c r="E5761" s="0" t="s">
        <v>70</v>
      </c>
      <c r="F5761" s="0" t="s">
        <v>71</v>
      </c>
      <c r="G5761" s="0" t="s">
        <v>169</v>
      </c>
      <c r="H5761" s="0" t="s">
        <v>169</v>
      </c>
      <c r="I5761" s="0" t="s">
        <v>43</v>
      </c>
      <c r="J5761" s="0" t="s">
        <v>44</v>
      </c>
      <c r="K5761" s="0" t="s">
        <v>30</v>
      </c>
      <c r="L5761" s="0" t="s">
        <v>31</v>
      </c>
      <c r="M5761" s="0" t="s">
        <v>167</v>
      </c>
      <c r="N5761" s="0" t="n">
        <v>1140</v>
      </c>
      <c r="O5761" s="10" t="n">
        <v>0.665019664447755</v>
      </c>
      <c r="P5761" s="10" t="n">
        <v>0.198817263124511</v>
      </c>
      <c r="Q5761" s="0" t="str">
        <f aca="false">SUBSTITUTE(SUBSTITUTE($I5761,CHAR(61),""),CHAR(34),"")</f>
        <v>35-49</v>
      </c>
      <c r="R5761" s="0" t="str">
        <f aca="false">IF($D5761&lt;&gt;"","["&amp;$E5761&amp;"]"&amp;"|"&amp;$Q5761&amp;"|"&amp;$K5761&amp;"|"&amp;$G5761&amp;"|"&amp;IF($G5761="TX_CURR_SUBNAT.R","CY2022Q4",$M5761),"")</f>
        <v>[PekKUkKHAzY]|35-49|Female|Incidence_SUBNAT.Rt.T|CY2024Q3</v>
      </c>
    </row>
    <row r="5762" customFormat="false" ht="15" hidden="false" customHeight="false" outlineLevel="0" collapsed="false">
      <c r="D5762" s="0" t="s">
        <v>69</v>
      </c>
      <c r="E5762" s="0" t="s">
        <v>70</v>
      </c>
      <c r="F5762" s="0" t="s">
        <v>71</v>
      </c>
      <c r="G5762" s="0" t="s">
        <v>169</v>
      </c>
      <c r="H5762" s="0" t="s">
        <v>169</v>
      </c>
      <c r="I5762" s="0" t="s">
        <v>45</v>
      </c>
      <c r="J5762" s="0" t="s">
        <v>46</v>
      </c>
      <c r="K5762" s="0" t="s">
        <v>30</v>
      </c>
      <c r="L5762" s="0" t="s">
        <v>31</v>
      </c>
      <c r="M5762" s="0" t="s">
        <v>167</v>
      </c>
      <c r="N5762" s="0" t="n">
        <v>1111</v>
      </c>
      <c r="O5762" s="10" t="n">
        <v>0.866988277761266</v>
      </c>
      <c r="P5762" s="10" t="n">
        <v>0.198817263124511</v>
      </c>
      <c r="Q5762" s="0" t="str">
        <f aca="false">SUBSTITUTE(SUBSTITUTE($I5762,CHAR(61),""),CHAR(34),"")</f>
        <v>50+</v>
      </c>
      <c r="R5762" s="0" t="str">
        <f aca="false">IF($D5762&lt;&gt;"","["&amp;$E5762&amp;"]"&amp;"|"&amp;$Q5762&amp;"|"&amp;$K5762&amp;"|"&amp;$G5762&amp;"|"&amp;IF($G5762="TX_CURR_SUBNAT.R","CY2022Q4",$M5762),"")</f>
        <v>[PekKUkKHAzY]|50+|Female|Incidence_SUBNAT.Rt.T|CY2024Q3</v>
      </c>
    </row>
    <row r="5763" customFormat="false" ht="15" hidden="false" customHeight="false" outlineLevel="0" collapsed="false">
      <c r="D5763" s="0" t="s">
        <v>69</v>
      </c>
      <c r="E5763" s="0" t="s">
        <v>70</v>
      </c>
      <c r="F5763" s="0" t="s">
        <v>71</v>
      </c>
      <c r="G5763" s="0" t="s">
        <v>169</v>
      </c>
      <c r="H5763" s="0" t="s">
        <v>169</v>
      </c>
      <c r="I5763" s="0" t="s">
        <v>28</v>
      </c>
      <c r="J5763" s="0" t="s">
        <v>29</v>
      </c>
      <c r="K5763" s="0" t="s">
        <v>48</v>
      </c>
      <c r="L5763" s="0" t="s">
        <v>49</v>
      </c>
      <c r="M5763" s="0" t="s">
        <v>167</v>
      </c>
      <c r="N5763" s="0" t="n">
        <v>1330</v>
      </c>
      <c r="O5763" s="10" t="n">
        <v>0.840928611345589</v>
      </c>
      <c r="P5763" s="10" t="n">
        <v>0.198817263124511</v>
      </c>
      <c r="Q5763" s="0" t="str">
        <f aca="false">SUBSTITUTE(SUBSTITUTE($I5763,CHAR(61),""),CHAR(34),"")</f>
        <v>&lt;01</v>
      </c>
      <c r="R5763" s="0" t="str">
        <f aca="false">IF($D5763&lt;&gt;"","["&amp;$E5763&amp;"]"&amp;"|"&amp;$Q5763&amp;"|"&amp;$K5763&amp;"|"&amp;$G5763&amp;"|"&amp;IF($G5763="TX_CURR_SUBNAT.R","CY2022Q4",$M5763),"")</f>
        <v>[PekKUkKHAzY]|&lt;01|Male|Incidence_SUBNAT.Rt.T|CY2024Q3</v>
      </c>
    </row>
    <row r="5764" customFormat="false" ht="15" hidden="false" customHeight="false" outlineLevel="0" collapsed="false">
      <c r="D5764" s="0" t="s">
        <v>69</v>
      </c>
      <c r="E5764" s="0" t="s">
        <v>70</v>
      </c>
      <c r="F5764" s="0" t="s">
        <v>71</v>
      </c>
      <c r="G5764" s="0" t="s">
        <v>169</v>
      </c>
      <c r="H5764" s="0" t="s">
        <v>169</v>
      </c>
      <c r="I5764" s="0" t="s">
        <v>33</v>
      </c>
      <c r="J5764" s="0" t="s">
        <v>34</v>
      </c>
      <c r="K5764" s="0" t="s">
        <v>48</v>
      </c>
      <c r="L5764" s="0" t="s">
        <v>49</v>
      </c>
      <c r="M5764" s="0" t="s">
        <v>167</v>
      </c>
      <c r="N5764" s="0" t="n">
        <v>832</v>
      </c>
      <c r="O5764" s="10" t="n">
        <v>0.738028139108792</v>
      </c>
      <c r="P5764" s="10" t="n">
        <v>0.198817263124511</v>
      </c>
      <c r="Q5764" s="0" t="str">
        <f aca="false">SUBSTITUTE(SUBSTITUTE($I5764,CHAR(61),""),CHAR(34),"")</f>
        <v>01-09</v>
      </c>
      <c r="R5764" s="0" t="str">
        <f aca="false">IF($D5764&lt;&gt;"","["&amp;$E5764&amp;"]"&amp;"|"&amp;$Q5764&amp;"|"&amp;$K5764&amp;"|"&amp;$G5764&amp;"|"&amp;IF($G5764="TX_CURR_SUBNAT.R","CY2022Q4",$M5764),"")</f>
        <v>[PekKUkKHAzY]|01-09|Male|Incidence_SUBNAT.Rt.T|CY2024Q3</v>
      </c>
    </row>
    <row r="5765" customFormat="false" ht="15" hidden="false" customHeight="false" outlineLevel="0" collapsed="false">
      <c r="D5765" s="0" t="s">
        <v>69</v>
      </c>
      <c r="E5765" s="0" t="s">
        <v>70</v>
      </c>
      <c r="F5765" s="0" t="s">
        <v>71</v>
      </c>
      <c r="G5765" s="0" t="s">
        <v>169</v>
      </c>
      <c r="H5765" s="0" t="s">
        <v>169</v>
      </c>
      <c r="I5765" s="0" t="s">
        <v>36</v>
      </c>
      <c r="J5765" s="0" t="s">
        <v>37</v>
      </c>
      <c r="K5765" s="0" t="s">
        <v>48</v>
      </c>
      <c r="L5765" s="0" t="s">
        <v>49</v>
      </c>
      <c r="M5765" s="0" t="s">
        <v>167</v>
      </c>
      <c r="N5765" s="0" t="n">
        <v>1472</v>
      </c>
      <c r="O5765" s="10" t="n">
        <v>0.20318955834955</v>
      </c>
      <c r="P5765" s="10" t="n">
        <v>0.198817263124511</v>
      </c>
      <c r="Q5765" s="0" t="str">
        <f aca="false">SUBSTITUTE(SUBSTITUTE($I5765,CHAR(61),""),CHAR(34),"")</f>
        <v>10-14</v>
      </c>
      <c r="R5765" s="0" t="str">
        <f aca="false">IF($D5765&lt;&gt;"","["&amp;$E5765&amp;"]"&amp;"|"&amp;$Q5765&amp;"|"&amp;$K5765&amp;"|"&amp;$G5765&amp;"|"&amp;IF($G5765="TX_CURR_SUBNAT.R","CY2022Q4",$M5765),"")</f>
        <v>[PekKUkKHAzY]|10-14|Male|Incidence_SUBNAT.Rt.T|CY2024Q3</v>
      </c>
    </row>
    <row r="5766" customFormat="false" ht="15" hidden="false" customHeight="false" outlineLevel="0" collapsed="false">
      <c r="D5766" s="0" t="s">
        <v>69</v>
      </c>
      <c r="E5766" s="0" t="s">
        <v>70</v>
      </c>
      <c r="F5766" s="0" t="s">
        <v>71</v>
      </c>
      <c r="G5766" s="0" t="s">
        <v>169</v>
      </c>
      <c r="H5766" s="0" t="s">
        <v>169</v>
      </c>
      <c r="I5766" s="0" t="s">
        <v>38</v>
      </c>
      <c r="J5766" s="0" t="s">
        <v>39</v>
      </c>
      <c r="K5766" s="0" t="s">
        <v>48</v>
      </c>
      <c r="L5766" s="0" t="s">
        <v>49</v>
      </c>
      <c r="M5766" s="0" t="s">
        <v>167</v>
      </c>
      <c r="N5766" s="0" t="n">
        <v>1750</v>
      </c>
      <c r="O5766" s="10" t="n">
        <v>0.215124912792817</v>
      </c>
      <c r="P5766" s="10" t="n">
        <v>0.198817263124511</v>
      </c>
      <c r="Q5766" s="0" t="str">
        <f aca="false">SUBSTITUTE(SUBSTITUTE($I5766,CHAR(61),""),CHAR(34),"")</f>
        <v>15-24</v>
      </c>
      <c r="R5766" s="0" t="str">
        <f aca="false">IF($D5766&lt;&gt;"","["&amp;$E5766&amp;"]"&amp;"|"&amp;$Q5766&amp;"|"&amp;$K5766&amp;"|"&amp;$G5766&amp;"|"&amp;IF($G5766="TX_CURR_SUBNAT.R","CY2022Q4",$M5766),"")</f>
        <v>[PekKUkKHAzY]|15-24|Male|Incidence_SUBNAT.Rt.T|CY2024Q3</v>
      </c>
    </row>
    <row r="5767" customFormat="false" ht="15" hidden="false" customHeight="false" outlineLevel="0" collapsed="false">
      <c r="D5767" s="0" t="s">
        <v>69</v>
      </c>
      <c r="E5767" s="0" t="s">
        <v>70</v>
      </c>
      <c r="F5767" s="0" t="s">
        <v>71</v>
      </c>
      <c r="G5767" s="0" t="s">
        <v>169</v>
      </c>
      <c r="H5767" s="0" t="s">
        <v>169</v>
      </c>
      <c r="I5767" s="0" t="s">
        <v>41</v>
      </c>
      <c r="J5767" s="0" t="s">
        <v>42</v>
      </c>
      <c r="K5767" s="0" t="s">
        <v>48</v>
      </c>
      <c r="L5767" s="0" t="s">
        <v>49</v>
      </c>
      <c r="M5767" s="0" t="s">
        <v>167</v>
      </c>
      <c r="N5767" s="0" t="n">
        <v>746</v>
      </c>
      <c r="O5767" s="10" t="n">
        <v>0.671130394097418</v>
      </c>
      <c r="P5767" s="10" t="n">
        <v>0.198817263124511</v>
      </c>
      <c r="Q5767" s="0" t="str">
        <f aca="false">SUBSTITUTE(SUBSTITUTE($I5767,CHAR(61),""),CHAR(34),"")</f>
        <v>25-34</v>
      </c>
      <c r="R5767" s="0" t="str">
        <f aca="false">IF($D5767&lt;&gt;"","["&amp;$E5767&amp;"]"&amp;"|"&amp;$Q5767&amp;"|"&amp;$K5767&amp;"|"&amp;$G5767&amp;"|"&amp;IF($G5767="TX_CURR_SUBNAT.R","CY2022Q4",$M5767),"")</f>
        <v>[PekKUkKHAzY]|25-34|Male|Incidence_SUBNAT.Rt.T|CY2024Q3</v>
      </c>
    </row>
    <row r="5768" customFormat="false" ht="15" hidden="false" customHeight="false" outlineLevel="0" collapsed="false">
      <c r="D5768" s="0" t="s">
        <v>69</v>
      </c>
      <c r="E5768" s="0" t="s">
        <v>70</v>
      </c>
      <c r="F5768" s="0" t="s">
        <v>71</v>
      </c>
      <c r="G5768" s="0" t="s">
        <v>169</v>
      </c>
      <c r="H5768" s="0" t="s">
        <v>169</v>
      </c>
      <c r="I5768" s="0" t="s">
        <v>43</v>
      </c>
      <c r="J5768" s="0" t="s">
        <v>44</v>
      </c>
      <c r="K5768" s="0" t="s">
        <v>48</v>
      </c>
      <c r="L5768" s="0" t="s">
        <v>49</v>
      </c>
      <c r="M5768" s="0" t="s">
        <v>167</v>
      </c>
      <c r="N5768" s="0" t="n">
        <v>532</v>
      </c>
      <c r="O5768" s="10" t="n">
        <v>0.20204390399158</v>
      </c>
      <c r="P5768" s="10" t="n">
        <v>0.198817263124511</v>
      </c>
      <c r="Q5768" s="0" t="str">
        <f aca="false">SUBSTITUTE(SUBSTITUTE($I5768,CHAR(61),""),CHAR(34),"")</f>
        <v>35-49</v>
      </c>
      <c r="R5768" s="0" t="str">
        <f aca="false">IF($D5768&lt;&gt;"","["&amp;$E5768&amp;"]"&amp;"|"&amp;$Q5768&amp;"|"&amp;$K5768&amp;"|"&amp;$G5768&amp;"|"&amp;IF($G5768="TX_CURR_SUBNAT.R","CY2022Q4",$M5768),"")</f>
        <v>[PekKUkKHAzY]|35-49|Male|Incidence_SUBNAT.Rt.T|CY2024Q3</v>
      </c>
    </row>
    <row r="5769" customFormat="false" ht="15" hidden="false" customHeight="false" outlineLevel="0" collapsed="false">
      <c r="D5769" s="0" t="s">
        <v>69</v>
      </c>
      <c r="E5769" s="0" t="s">
        <v>70</v>
      </c>
      <c r="F5769" s="0" t="s">
        <v>71</v>
      </c>
      <c r="G5769" s="0" t="s">
        <v>169</v>
      </c>
      <c r="H5769" s="0" t="s">
        <v>169</v>
      </c>
      <c r="I5769" s="0" t="s">
        <v>45</v>
      </c>
      <c r="J5769" s="0" t="s">
        <v>46</v>
      </c>
      <c r="K5769" s="0" t="s">
        <v>48</v>
      </c>
      <c r="L5769" s="0" t="s">
        <v>49</v>
      </c>
      <c r="M5769" s="0" t="s">
        <v>167</v>
      </c>
      <c r="N5769" s="0" t="n">
        <v>1064</v>
      </c>
      <c r="O5769" s="10" t="n">
        <v>0.924414793262258</v>
      </c>
      <c r="P5769" s="10" t="n">
        <v>0.198817263124511</v>
      </c>
      <c r="Q5769" s="0" t="str">
        <f aca="false">SUBSTITUTE(SUBSTITUTE($I5769,CHAR(61),""),CHAR(34),"")</f>
        <v>50+</v>
      </c>
      <c r="R5769" s="0" t="str">
        <f aca="false">IF($D5769&lt;&gt;"","["&amp;$E5769&amp;"]"&amp;"|"&amp;$Q5769&amp;"|"&amp;$K5769&amp;"|"&amp;$G5769&amp;"|"&amp;IF($G5769="TX_CURR_SUBNAT.R","CY2022Q4",$M5769),"")</f>
        <v>[PekKUkKHAzY]|50+|Male|Incidence_SUBNAT.Rt.T|CY2024Q3</v>
      </c>
    </row>
    <row r="5770" customFormat="false" ht="15" hidden="false" customHeight="false" outlineLevel="0" collapsed="false">
      <c r="D5770" s="0" t="s">
        <v>72</v>
      </c>
      <c r="E5770" s="0" t="s">
        <v>73</v>
      </c>
      <c r="F5770" s="0" t="s">
        <v>74</v>
      </c>
      <c r="G5770" s="0" t="s">
        <v>169</v>
      </c>
      <c r="H5770" s="0" t="s">
        <v>169</v>
      </c>
      <c r="I5770" s="0" t="s">
        <v>28</v>
      </c>
      <c r="J5770" s="0" t="s">
        <v>29</v>
      </c>
      <c r="K5770" s="0" t="s">
        <v>30</v>
      </c>
      <c r="L5770" s="0" t="s">
        <v>31</v>
      </c>
      <c r="M5770" s="0" t="s">
        <v>167</v>
      </c>
      <c r="N5770" s="0" t="n">
        <v>1928</v>
      </c>
      <c r="O5770" s="10" t="n">
        <v>0.194192278198898</v>
      </c>
      <c r="P5770" s="10" t="n">
        <v>0.289728706935421</v>
      </c>
      <c r="Q5770" s="0" t="str">
        <f aca="false">SUBSTITUTE(SUBSTITUTE($I5770,CHAR(61),""),CHAR(34),"")</f>
        <v>&lt;01</v>
      </c>
      <c r="R5770" s="0" t="str">
        <f aca="false">IF($D5770&lt;&gt;"","["&amp;$E5770&amp;"]"&amp;"|"&amp;$Q5770&amp;"|"&amp;$K5770&amp;"|"&amp;$G5770&amp;"|"&amp;IF($G5770="TX_CURR_SUBNAT.R","CY2022Q4",$M5770),"")</f>
        <v>[am530wpaGvr]|&lt;01|Female|Incidence_SUBNAT.Rt.T|CY2024Q3</v>
      </c>
    </row>
    <row r="5771" customFormat="false" ht="15" hidden="false" customHeight="false" outlineLevel="0" collapsed="false">
      <c r="D5771" s="0" t="s">
        <v>72</v>
      </c>
      <c r="E5771" s="0" t="s">
        <v>73</v>
      </c>
      <c r="F5771" s="0" t="s">
        <v>74</v>
      </c>
      <c r="G5771" s="0" t="s">
        <v>169</v>
      </c>
      <c r="H5771" s="0" t="s">
        <v>169</v>
      </c>
      <c r="I5771" s="0" t="s">
        <v>33</v>
      </c>
      <c r="J5771" s="0" t="s">
        <v>34</v>
      </c>
      <c r="K5771" s="0" t="s">
        <v>30</v>
      </c>
      <c r="L5771" s="0" t="s">
        <v>31</v>
      </c>
      <c r="M5771" s="0" t="s">
        <v>167</v>
      </c>
      <c r="N5771" s="0" t="n">
        <v>1188</v>
      </c>
      <c r="O5771" s="10" t="n">
        <v>0.141876147128642</v>
      </c>
      <c r="P5771" s="10" t="n">
        <v>0.289728706935421</v>
      </c>
      <c r="Q5771" s="0" t="str">
        <f aca="false">SUBSTITUTE(SUBSTITUTE($I5771,CHAR(61),""),CHAR(34),"")</f>
        <v>01-09</v>
      </c>
      <c r="R5771" s="0" t="str">
        <f aca="false">IF($D5771&lt;&gt;"","["&amp;$E5771&amp;"]"&amp;"|"&amp;$Q5771&amp;"|"&amp;$K5771&amp;"|"&amp;$G5771&amp;"|"&amp;IF($G5771="TX_CURR_SUBNAT.R","CY2022Q4",$M5771),"")</f>
        <v>[am530wpaGvr]|01-09|Female|Incidence_SUBNAT.Rt.T|CY2024Q3</v>
      </c>
    </row>
    <row r="5772" customFormat="false" ht="15" hidden="false" customHeight="false" outlineLevel="0" collapsed="false">
      <c r="D5772" s="0" t="s">
        <v>72</v>
      </c>
      <c r="E5772" s="0" t="s">
        <v>73</v>
      </c>
      <c r="F5772" s="0" t="s">
        <v>74</v>
      </c>
      <c r="G5772" s="0" t="s">
        <v>169</v>
      </c>
      <c r="H5772" s="0" t="s">
        <v>169</v>
      </c>
      <c r="I5772" s="0" t="s">
        <v>36</v>
      </c>
      <c r="J5772" s="0" t="s">
        <v>37</v>
      </c>
      <c r="K5772" s="0" t="s">
        <v>30</v>
      </c>
      <c r="L5772" s="0" t="s">
        <v>31</v>
      </c>
      <c r="M5772" s="0" t="s">
        <v>167</v>
      </c>
      <c r="N5772" s="0" t="n">
        <v>1268</v>
      </c>
      <c r="O5772" s="10" t="n">
        <v>0.0264923248905689</v>
      </c>
      <c r="P5772" s="10" t="n">
        <v>0.289728706935421</v>
      </c>
      <c r="Q5772" s="0" t="str">
        <f aca="false">SUBSTITUTE(SUBSTITUTE($I5772,CHAR(61),""),CHAR(34),"")</f>
        <v>10-14</v>
      </c>
      <c r="R5772" s="0" t="str">
        <f aca="false">IF($D5772&lt;&gt;"","["&amp;$E5772&amp;"]"&amp;"|"&amp;$Q5772&amp;"|"&amp;$K5772&amp;"|"&amp;$G5772&amp;"|"&amp;IF($G5772="TX_CURR_SUBNAT.R","CY2022Q4",$M5772),"")</f>
        <v>[am530wpaGvr]|10-14|Female|Incidence_SUBNAT.Rt.T|CY2024Q3</v>
      </c>
    </row>
    <row r="5773" customFormat="false" ht="15" hidden="false" customHeight="false" outlineLevel="0" collapsed="false">
      <c r="D5773" s="0" t="s">
        <v>72</v>
      </c>
      <c r="E5773" s="0" t="s">
        <v>73</v>
      </c>
      <c r="F5773" s="0" t="s">
        <v>74</v>
      </c>
      <c r="G5773" s="0" t="s">
        <v>169</v>
      </c>
      <c r="H5773" s="0" t="s">
        <v>169</v>
      </c>
      <c r="I5773" s="0" t="s">
        <v>38</v>
      </c>
      <c r="J5773" s="0" t="s">
        <v>39</v>
      </c>
      <c r="K5773" s="0" t="s">
        <v>30</v>
      </c>
      <c r="L5773" s="0" t="s">
        <v>31</v>
      </c>
      <c r="M5773" s="0" t="s">
        <v>167</v>
      </c>
      <c r="N5773" s="0" t="n">
        <v>886</v>
      </c>
      <c r="O5773" s="10" t="n">
        <v>0.614492877852172</v>
      </c>
      <c r="P5773" s="10" t="n">
        <v>0.289728706935421</v>
      </c>
      <c r="Q5773" s="0" t="str">
        <f aca="false">SUBSTITUTE(SUBSTITUTE($I5773,CHAR(61),""),CHAR(34),"")</f>
        <v>15-24</v>
      </c>
      <c r="R5773" s="0" t="str">
        <f aca="false">IF($D5773&lt;&gt;"","["&amp;$E5773&amp;"]"&amp;"|"&amp;$Q5773&amp;"|"&amp;$K5773&amp;"|"&amp;$G5773&amp;"|"&amp;IF($G5773="TX_CURR_SUBNAT.R","CY2022Q4",$M5773),"")</f>
        <v>[am530wpaGvr]|15-24|Female|Incidence_SUBNAT.Rt.T|CY2024Q3</v>
      </c>
    </row>
    <row r="5774" customFormat="false" ht="15" hidden="false" customHeight="false" outlineLevel="0" collapsed="false">
      <c r="D5774" s="0" t="s">
        <v>72</v>
      </c>
      <c r="E5774" s="0" t="s">
        <v>73</v>
      </c>
      <c r="F5774" s="0" t="s">
        <v>74</v>
      </c>
      <c r="G5774" s="0" t="s">
        <v>169</v>
      </c>
      <c r="H5774" s="0" t="s">
        <v>169</v>
      </c>
      <c r="I5774" s="0" t="s">
        <v>41</v>
      </c>
      <c r="J5774" s="0" t="s">
        <v>42</v>
      </c>
      <c r="K5774" s="0" t="s">
        <v>30</v>
      </c>
      <c r="L5774" s="0" t="s">
        <v>31</v>
      </c>
      <c r="M5774" s="0" t="s">
        <v>167</v>
      </c>
      <c r="N5774" s="0" t="n">
        <v>1477</v>
      </c>
      <c r="O5774" s="10" t="n">
        <v>0.946957163279876</v>
      </c>
      <c r="P5774" s="10" t="n">
        <v>0.289728706935421</v>
      </c>
      <c r="Q5774" s="0" t="str">
        <f aca="false">SUBSTITUTE(SUBSTITUTE($I5774,CHAR(61),""),CHAR(34),"")</f>
        <v>25-34</v>
      </c>
      <c r="R5774" s="0" t="str">
        <f aca="false">IF($D5774&lt;&gt;"","["&amp;$E5774&amp;"]"&amp;"|"&amp;$Q5774&amp;"|"&amp;$K5774&amp;"|"&amp;$G5774&amp;"|"&amp;IF($G5774="TX_CURR_SUBNAT.R","CY2022Q4",$M5774),"")</f>
        <v>[am530wpaGvr]|25-34|Female|Incidence_SUBNAT.Rt.T|CY2024Q3</v>
      </c>
    </row>
    <row r="5775" customFormat="false" ht="15" hidden="false" customHeight="false" outlineLevel="0" collapsed="false">
      <c r="D5775" s="0" t="s">
        <v>72</v>
      </c>
      <c r="E5775" s="0" t="s">
        <v>73</v>
      </c>
      <c r="F5775" s="0" t="s">
        <v>74</v>
      </c>
      <c r="G5775" s="0" t="s">
        <v>169</v>
      </c>
      <c r="H5775" s="0" t="s">
        <v>169</v>
      </c>
      <c r="I5775" s="0" t="s">
        <v>43</v>
      </c>
      <c r="J5775" s="0" t="s">
        <v>44</v>
      </c>
      <c r="K5775" s="0" t="s">
        <v>30</v>
      </c>
      <c r="L5775" s="0" t="s">
        <v>31</v>
      </c>
      <c r="M5775" s="0" t="s">
        <v>167</v>
      </c>
      <c r="N5775" s="0" t="n">
        <v>1135</v>
      </c>
      <c r="O5775" s="10" t="n">
        <v>0.124563796445727</v>
      </c>
      <c r="P5775" s="10" t="n">
        <v>0.289728706935421</v>
      </c>
      <c r="Q5775" s="0" t="str">
        <f aca="false">SUBSTITUTE(SUBSTITUTE($I5775,CHAR(61),""),CHAR(34),"")</f>
        <v>35-49</v>
      </c>
      <c r="R5775" s="0" t="str">
        <f aca="false">IF($D5775&lt;&gt;"","["&amp;$E5775&amp;"]"&amp;"|"&amp;$Q5775&amp;"|"&amp;$K5775&amp;"|"&amp;$G5775&amp;"|"&amp;IF($G5775="TX_CURR_SUBNAT.R","CY2022Q4",$M5775),"")</f>
        <v>[am530wpaGvr]|35-49|Female|Incidence_SUBNAT.Rt.T|CY2024Q3</v>
      </c>
    </row>
    <row r="5776" customFormat="false" ht="15" hidden="false" customHeight="false" outlineLevel="0" collapsed="false">
      <c r="D5776" s="0" t="s">
        <v>72</v>
      </c>
      <c r="E5776" s="0" t="s">
        <v>73</v>
      </c>
      <c r="F5776" s="0" t="s">
        <v>74</v>
      </c>
      <c r="G5776" s="0" t="s">
        <v>169</v>
      </c>
      <c r="H5776" s="0" t="s">
        <v>169</v>
      </c>
      <c r="I5776" s="0" t="s">
        <v>45</v>
      </c>
      <c r="J5776" s="0" t="s">
        <v>46</v>
      </c>
      <c r="K5776" s="0" t="s">
        <v>30</v>
      </c>
      <c r="L5776" s="0" t="s">
        <v>31</v>
      </c>
      <c r="M5776" s="0" t="s">
        <v>167</v>
      </c>
      <c r="N5776" s="0" t="n">
        <v>1932</v>
      </c>
      <c r="O5776" s="10" t="n">
        <v>0.934828155208379</v>
      </c>
      <c r="P5776" s="10" t="n">
        <v>0.289728706935421</v>
      </c>
      <c r="Q5776" s="0" t="str">
        <f aca="false">SUBSTITUTE(SUBSTITUTE($I5776,CHAR(61),""),CHAR(34),"")</f>
        <v>50+</v>
      </c>
      <c r="R5776" s="0" t="str">
        <f aca="false">IF($D5776&lt;&gt;"","["&amp;$E5776&amp;"]"&amp;"|"&amp;$Q5776&amp;"|"&amp;$K5776&amp;"|"&amp;$G5776&amp;"|"&amp;IF($G5776="TX_CURR_SUBNAT.R","CY2022Q4",$M5776),"")</f>
        <v>[am530wpaGvr]|50+|Female|Incidence_SUBNAT.Rt.T|CY2024Q3</v>
      </c>
    </row>
    <row r="5777" customFormat="false" ht="15" hidden="false" customHeight="false" outlineLevel="0" collapsed="false">
      <c r="D5777" s="0" t="s">
        <v>72</v>
      </c>
      <c r="E5777" s="0" t="s">
        <v>73</v>
      </c>
      <c r="F5777" s="0" t="s">
        <v>74</v>
      </c>
      <c r="G5777" s="0" t="s">
        <v>169</v>
      </c>
      <c r="H5777" s="0" t="s">
        <v>169</v>
      </c>
      <c r="I5777" s="0" t="s">
        <v>28</v>
      </c>
      <c r="J5777" s="0" t="s">
        <v>29</v>
      </c>
      <c r="K5777" s="0" t="s">
        <v>48</v>
      </c>
      <c r="L5777" s="0" t="s">
        <v>49</v>
      </c>
      <c r="M5777" s="0" t="s">
        <v>167</v>
      </c>
      <c r="N5777" s="0" t="n">
        <v>1869</v>
      </c>
      <c r="O5777" s="10" t="n">
        <v>0.943053474416956</v>
      </c>
      <c r="P5777" s="10" t="n">
        <v>0.289728706935421</v>
      </c>
      <c r="Q5777" s="0" t="str">
        <f aca="false">SUBSTITUTE(SUBSTITUTE($I5777,CHAR(61),""),CHAR(34),"")</f>
        <v>&lt;01</v>
      </c>
      <c r="R5777" s="0" t="str">
        <f aca="false">IF($D5777&lt;&gt;"","["&amp;$E5777&amp;"]"&amp;"|"&amp;$Q5777&amp;"|"&amp;$K5777&amp;"|"&amp;$G5777&amp;"|"&amp;IF($G5777="TX_CURR_SUBNAT.R","CY2022Q4",$M5777),"")</f>
        <v>[am530wpaGvr]|&lt;01|Male|Incidence_SUBNAT.Rt.T|CY2024Q3</v>
      </c>
    </row>
    <row r="5778" customFormat="false" ht="15" hidden="false" customHeight="false" outlineLevel="0" collapsed="false">
      <c r="D5778" s="0" t="s">
        <v>72</v>
      </c>
      <c r="E5778" s="0" t="s">
        <v>73</v>
      </c>
      <c r="F5778" s="0" t="s">
        <v>74</v>
      </c>
      <c r="G5778" s="0" t="s">
        <v>169</v>
      </c>
      <c r="H5778" s="0" t="s">
        <v>169</v>
      </c>
      <c r="I5778" s="0" t="s">
        <v>33</v>
      </c>
      <c r="J5778" s="0" t="s">
        <v>34</v>
      </c>
      <c r="K5778" s="0" t="s">
        <v>48</v>
      </c>
      <c r="L5778" s="0" t="s">
        <v>49</v>
      </c>
      <c r="M5778" s="0" t="s">
        <v>167</v>
      </c>
      <c r="N5778" s="0" t="n">
        <v>1080</v>
      </c>
      <c r="O5778" s="10" t="n">
        <v>0.255826908163726</v>
      </c>
      <c r="P5778" s="10" t="n">
        <v>0.289728706935421</v>
      </c>
      <c r="Q5778" s="0" t="str">
        <f aca="false">SUBSTITUTE(SUBSTITUTE($I5778,CHAR(61),""),CHAR(34),"")</f>
        <v>01-09</v>
      </c>
      <c r="R5778" s="0" t="str">
        <f aca="false">IF($D5778&lt;&gt;"","["&amp;$E5778&amp;"]"&amp;"|"&amp;$Q5778&amp;"|"&amp;$K5778&amp;"|"&amp;$G5778&amp;"|"&amp;IF($G5778="TX_CURR_SUBNAT.R","CY2022Q4",$M5778),"")</f>
        <v>[am530wpaGvr]|01-09|Male|Incidence_SUBNAT.Rt.T|CY2024Q3</v>
      </c>
    </row>
    <row r="5779" customFormat="false" ht="15" hidden="false" customHeight="false" outlineLevel="0" collapsed="false">
      <c r="D5779" s="0" t="s">
        <v>72</v>
      </c>
      <c r="E5779" s="0" t="s">
        <v>73</v>
      </c>
      <c r="F5779" s="0" t="s">
        <v>74</v>
      </c>
      <c r="G5779" s="0" t="s">
        <v>169</v>
      </c>
      <c r="H5779" s="0" t="s">
        <v>169</v>
      </c>
      <c r="I5779" s="0" t="s">
        <v>36</v>
      </c>
      <c r="J5779" s="0" t="s">
        <v>37</v>
      </c>
      <c r="K5779" s="0" t="s">
        <v>48</v>
      </c>
      <c r="L5779" s="0" t="s">
        <v>49</v>
      </c>
      <c r="M5779" s="0" t="s">
        <v>167</v>
      </c>
      <c r="N5779" s="0" t="n">
        <v>1344</v>
      </c>
      <c r="O5779" s="10" t="n">
        <v>0.142201569629833</v>
      </c>
      <c r="P5779" s="10" t="n">
        <v>0.289728706935421</v>
      </c>
      <c r="Q5779" s="0" t="str">
        <f aca="false">SUBSTITUTE(SUBSTITUTE($I5779,CHAR(61),""),CHAR(34),"")</f>
        <v>10-14</v>
      </c>
      <c r="R5779" s="0" t="str">
        <f aca="false">IF($D5779&lt;&gt;"","["&amp;$E5779&amp;"]"&amp;"|"&amp;$Q5779&amp;"|"&amp;$K5779&amp;"|"&amp;$G5779&amp;"|"&amp;IF($G5779="TX_CURR_SUBNAT.R","CY2022Q4",$M5779),"")</f>
        <v>[am530wpaGvr]|10-14|Male|Incidence_SUBNAT.Rt.T|CY2024Q3</v>
      </c>
    </row>
    <row r="5780" customFormat="false" ht="15" hidden="false" customHeight="false" outlineLevel="0" collapsed="false">
      <c r="D5780" s="0" t="s">
        <v>72</v>
      </c>
      <c r="E5780" s="0" t="s">
        <v>73</v>
      </c>
      <c r="F5780" s="0" t="s">
        <v>74</v>
      </c>
      <c r="G5780" s="0" t="s">
        <v>169</v>
      </c>
      <c r="H5780" s="0" t="s">
        <v>169</v>
      </c>
      <c r="I5780" s="0" t="s">
        <v>38</v>
      </c>
      <c r="J5780" s="0" t="s">
        <v>39</v>
      </c>
      <c r="K5780" s="0" t="s">
        <v>48</v>
      </c>
      <c r="L5780" s="0" t="s">
        <v>49</v>
      </c>
      <c r="M5780" s="0" t="s">
        <v>167</v>
      </c>
      <c r="N5780" s="0" t="n">
        <v>1922</v>
      </c>
      <c r="O5780" s="10" t="n">
        <v>0.114577231928706</v>
      </c>
      <c r="P5780" s="10" t="n">
        <v>0.289728706935421</v>
      </c>
      <c r="Q5780" s="0" t="str">
        <f aca="false">SUBSTITUTE(SUBSTITUTE($I5780,CHAR(61),""),CHAR(34),"")</f>
        <v>15-24</v>
      </c>
      <c r="R5780" s="0" t="str">
        <f aca="false">IF($D5780&lt;&gt;"","["&amp;$E5780&amp;"]"&amp;"|"&amp;$Q5780&amp;"|"&amp;$K5780&amp;"|"&amp;$G5780&amp;"|"&amp;IF($G5780="TX_CURR_SUBNAT.R","CY2022Q4",$M5780),"")</f>
        <v>[am530wpaGvr]|15-24|Male|Incidence_SUBNAT.Rt.T|CY2024Q3</v>
      </c>
    </row>
    <row r="5781" customFormat="false" ht="15" hidden="false" customHeight="false" outlineLevel="0" collapsed="false">
      <c r="D5781" s="0" t="s">
        <v>72</v>
      </c>
      <c r="E5781" s="0" t="s">
        <v>73</v>
      </c>
      <c r="F5781" s="0" t="s">
        <v>74</v>
      </c>
      <c r="G5781" s="0" t="s">
        <v>169</v>
      </c>
      <c r="H5781" s="0" t="s">
        <v>169</v>
      </c>
      <c r="I5781" s="0" t="s">
        <v>41</v>
      </c>
      <c r="J5781" s="0" t="s">
        <v>42</v>
      </c>
      <c r="K5781" s="0" t="s">
        <v>48</v>
      </c>
      <c r="L5781" s="0" t="s">
        <v>49</v>
      </c>
      <c r="M5781" s="0" t="s">
        <v>167</v>
      </c>
      <c r="N5781" s="0" t="n">
        <v>651</v>
      </c>
      <c r="O5781" s="10" t="n">
        <v>0.00572228641249239</v>
      </c>
      <c r="P5781" s="10" t="n">
        <v>0.289728706935421</v>
      </c>
      <c r="Q5781" s="0" t="str">
        <f aca="false">SUBSTITUTE(SUBSTITUTE($I5781,CHAR(61),""),CHAR(34),"")</f>
        <v>25-34</v>
      </c>
      <c r="R5781" s="0" t="str">
        <f aca="false">IF($D5781&lt;&gt;"","["&amp;$E5781&amp;"]"&amp;"|"&amp;$Q5781&amp;"|"&amp;$K5781&amp;"|"&amp;$G5781&amp;"|"&amp;IF($G5781="TX_CURR_SUBNAT.R","CY2022Q4",$M5781),"")</f>
        <v>[am530wpaGvr]|25-34|Male|Incidence_SUBNAT.Rt.T|CY2024Q3</v>
      </c>
    </row>
    <row r="5782" customFormat="false" ht="15" hidden="false" customHeight="false" outlineLevel="0" collapsed="false">
      <c r="D5782" s="0" t="s">
        <v>72</v>
      </c>
      <c r="E5782" s="0" t="s">
        <v>73</v>
      </c>
      <c r="F5782" s="0" t="s">
        <v>74</v>
      </c>
      <c r="G5782" s="0" t="s">
        <v>169</v>
      </c>
      <c r="H5782" s="0" t="s">
        <v>169</v>
      </c>
      <c r="I5782" s="0" t="s">
        <v>43</v>
      </c>
      <c r="J5782" s="0" t="s">
        <v>44</v>
      </c>
      <c r="K5782" s="0" t="s">
        <v>48</v>
      </c>
      <c r="L5782" s="0" t="s">
        <v>49</v>
      </c>
      <c r="M5782" s="0" t="s">
        <v>167</v>
      </c>
      <c r="N5782" s="0" t="n">
        <v>1362</v>
      </c>
      <c r="O5782" s="10" t="n">
        <v>0.312873144168407</v>
      </c>
      <c r="P5782" s="10" t="n">
        <v>0.289728706935421</v>
      </c>
      <c r="Q5782" s="0" t="str">
        <f aca="false">SUBSTITUTE(SUBSTITUTE($I5782,CHAR(61),""),CHAR(34),"")</f>
        <v>35-49</v>
      </c>
      <c r="R5782" s="0" t="str">
        <f aca="false">IF($D5782&lt;&gt;"","["&amp;$E5782&amp;"]"&amp;"|"&amp;$Q5782&amp;"|"&amp;$K5782&amp;"|"&amp;$G5782&amp;"|"&amp;IF($G5782="TX_CURR_SUBNAT.R","CY2022Q4",$M5782),"")</f>
        <v>[am530wpaGvr]|35-49|Male|Incidence_SUBNAT.Rt.T|CY2024Q3</v>
      </c>
    </row>
    <row r="5783" customFormat="false" ht="15" hidden="false" customHeight="false" outlineLevel="0" collapsed="false">
      <c r="D5783" s="0" t="s">
        <v>72</v>
      </c>
      <c r="E5783" s="0" t="s">
        <v>73</v>
      </c>
      <c r="F5783" s="0" t="s">
        <v>74</v>
      </c>
      <c r="G5783" s="0" t="s">
        <v>169</v>
      </c>
      <c r="H5783" s="0" t="s">
        <v>169</v>
      </c>
      <c r="I5783" s="0" t="s">
        <v>45</v>
      </c>
      <c r="J5783" s="0" t="s">
        <v>46</v>
      </c>
      <c r="K5783" s="0" t="s">
        <v>48</v>
      </c>
      <c r="L5783" s="0" t="s">
        <v>49</v>
      </c>
      <c r="M5783" s="0" t="s">
        <v>167</v>
      </c>
      <c r="N5783" s="0" t="n">
        <v>1878</v>
      </c>
      <c r="O5783" s="10" t="n">
        <v>0.731904737651348</v>
      </c>
      <c r="P5783" s="10" t="n">
        <v>0.289728706935421</v>
      </c>
      <c r="Q5783" s="0" t="str">
        <f aca="false">SUBSTITUTE(SUBSTITUTE($I5783,CHAR(61),""),CHAR(34),"")</f>
        <v>50+</v>
      </c>
      <c r="R5783" s="0" t="str">
        <f aca="false">IF($D5783&lt;&gt;"","["&amp;$E5783&amp;"]"&amp;"|"&amp;$Q5783&amp;"|"&amp;$K5783&amp;"|"&amp;$G5783&amp;"|"&amp;IF($G5783="TX_CURR_SUBNAT.R","CY2022Q4",$M5783),"")</f>
        <v>[am530wpaGvr]|50+|Male|Incidence_SUBNAT.Rt.T|CY2024Q3</v>
      </c>
    </row>
    <row r="5784" customFormat="false" ht="15" hidden="false" customHeight="false" outlineLevel="0" collapsed="false">
      <c r="D5784" s="0" t="s">
        <v>75</v>
      </c>
      <c r="E5784" s="0" t="s">
        <v>76</v>
      </c>
      <c r="F5784" s="0" t="s">
        <v>77</v>
      </c>
      <c r="G5784" s="0" t="s">
        <v>169</v>
      </c>
      <c r="H5784" s="0" t="s">
        <v>169</v>
      </c>
      <c r="I5784" s="0" t="s">
        <v>28</v>
      </c>
      <c r="J5784" s="0" t="s">
        <v>29</v>
      </c>
      <c r="K5784" s="0" t="s">
        <v>30</v>
      </c>
      <c r="L5784" s="0" t="s">
        <v>31</v>
      </c>
      <c r="M5784" s="0" t="s">
        <v>167</v>
      </c>
      <c r="N5784" s="0" t="n">
        <v>1526</v>
      </c>
      <c r="O5784" s="10" t="n">
        <v>0.458709924248978</v>
      </c>
      <c r="P5784" s="10" t="n">
        <v>0.303055507596582</v>
      </c>
      <c r="Q5784" s="0" t="str">
        <f aca="false">SUBSTITUTE(SUBSTITUTE($I5784,CHAR(61),""),CHAR(34),"")</f>
        <v>&lt;01</v>
      </c>
      <c r="R5784" s="0" t="str">
        <f aca="false">IF($D5784&lt;&gt;"","["&amp;$E5784&amp;"]"&amp;"|"&amp;$Q5784&amp;"|"&amp;$K5784&amp;"|"&amp;$G5784&amp;"|"&amp;IF($G5784="TX_CURR_SUBNAT.R","CY2022Q4",$M5784),"")</f>
        <v>[lLDyBx5XyUi]|&lt;01|Female|Incidence_SUBNAT.Rt.T|CY2024Q3</v>
      </c>
    </row>
    <row r="5785" customFormat="false" ht="15" hidden="false" customHeight="false" outlineLevel="0" collapsed="false">
      <c r="D5785" s="0" t="s">
        <v>75</v>
      </c>
      <c r="E5785" s="0" t="s">
        <v>76</v>
      </c>
      <c r="F5785" s="0" t="s">
        <v>77</v>
      </c>
      <c r="G5785" s="0" t="s">
        <v>169</v>
      </c>
      <c r="H5785" s="0" t="s">
        <v>169</v>
      </c>
      <c r="I5785" s="0" t="s">
        <v>33</v>
      </c>
      <c r="J5785" s="0" t="s">
        <v>34</v>
      </c>
      <c r="K5785" s="0" t="s">
        <v>30</v>
      </c>
      <c r="L5785" s="0" t="s">
        <v>31</v>
      </c>
      <c r="M5785" s="0" t="s">
        <v>167</v>
      </c>
      <c r="N5785" s="0" t="n">
        <v>945</v>
      </c>
      <c r="O5785" s="10" t="n">
        <v>0.0537169103045017</v>
      </c>
      <c r="P5785" s="10" t="n">
        <v>0.303055507596582</v>
      </c>
      <c r="Q5785" s="0" t="str">
        <f aca="false">SUBSTITUTE(SUBSTITUTE($I5785,CHAR(61),""),CHAR(34),"")</f>
        <v>01-09</v>
      </c>
      <c r="R5785" s="0" t="str">
        <f aca="false">IF($D5785&lt;&gt;"","["&amp;$E5785&amp;"]"&amp;"|"&amp;$Q5785&amp;"|"&amp;$K5785&amp;"|"&amp;$G5785&amp;"|"&amp;IF($G5785="TX_CURR_SUBNAT.R","CY2022Q4",$M5785),"")</f>
        <v>[lLDyBx5XyUi]|01-09|Female|Incidence_SUBNAT.Rt.T|CY2024Q3</v>
      </c>
    </row>
    <row r="5786" customFormat="false" ht="15" hidden="false" customHeight="false" outlineLevel="0" collapsed="false">
      <c r="D5786" s="0" t="s">
        <v>75</v>
      </c>
      <c r="E5786" s="0" t="s">
        <v>76</v>
      </c>
      <c r="F5786" s="0" t="s">
        <v>77</v>
      </c>
      <c r="G5786" s="0" t="s">
        <v>169</v>
      </c>
      <c r="H5786" s="0" t="s">
        <v>169</v>
      </c>
      <c r="I5786" s="0" t="s">
        <v>36</v>
      </c>
      <c r="J5786" s="0" t="s">
        <v>37</v>
      </c>
      <c r="K5786" s="0" t="s">
        <v>30</v>
      </c>
      <c r="L5786" s="0" t="s">
        <v>31</v>
      </c>
      <c r="M5786" s="0" t="s">
        <v>167</v>
      </c>
      <c r="N5786" s="0" t="n">
        <v>790</v>
      </c>
      <c r="O5786" s="10" t="n">
        <v>0.228287626523525</v>
      </c>
      <c r="P5786" s="10" t="n">
        <v>0.303055507596582</v>
      </c>
      <c r="Q5786" s="0" t="str">
        <f aca="false">SUBSTITUTE(SUBSTITUTE($I5786,CHAR(61),""),CHAR(34),"")</f>
        <v>10-14</v>
      </c>
      <c r="R5786" s="0" t="str">
        <f aca="false">IF($D5786&lt;&gt;"","["&amp;$E5786&amp;"]"&amp;"|"&amp;$Q5786&amp;"|"&amp;$K5786&amp;"|"&amp;$G5786&amp;"|"&amp;IF($G5786="TX_CURR_SUBNAT.R","CY2022Q4",$M5786),"")</f>
        <v>[lLDyBx5XyUi]|10-14|Female|Incidence_SUBNAT.Rt.T|CY2024Q3</v>
      </c>
    </row>
    <row r="5787" customFormat="false" ht="15" hidden="false" customHeight="false" outlineLevel="0" collapsed="false">
      <c r="D5787" s="0" t="s">
        <v>75</v>
      </c>
      <c r="E5787" s="0" t="s">
        <v>76</v>
      </c>
      <c r="F5787" s="0" t="s">
        <v>77</v>
      </c>
      <c r="G5787" s="0" t="s">
        <v>169</v>
      </c>
      <c r="H5787" s="0" t="s">
        <v>169</v>
      </c>
      <c r="I5787" s="0" t="s">
        <v>38</v>
      </c>
      <c r="J5787" s="0" t="s">
        <v>39</v>
      </c>
      <c r="K5787" s="0" t="s">
        <v>30</v>
      </c>
      <c r="L5787" s="0" t="s">
        <v>31</v>
      </c>
      <c r="M5787" s="0" t="s">
        <v>167</v>
      </c>
      <c r="N5787" s="0" t="n">
        <v>724</v>
      </c>
      <c r="O5787" s="10" t="n">
        <v>0.346431287238374</v>
      </c>
      <c r="P5787" s="10" t="n">
        <v>0.303055507596582</v>
      </c>
      <c r="Q5787" s="0" t="str">
        <f aca="false">SUBSTITUTE(SUBSTITUTE($I5787,CHAR(61),""),CHAR(34),"")</f>
        <v>15-24</v>
      </c>
      <c r="R5787" s="0" t="str">
        <f aca="false">IF($D5787&lt;&gt;"","["&amp;$E5787&amp;"]"&amp;"|"&amp;$Q5787&amp;"|"&amp;$K5787&amp;"|"&amp;$G5787&amp;"|"&amp;IF($G5787="TX_CURR_SUBNAT.R","CY2022Q4",$M5787),"")</f>
        <v>[lLDyBx5XyUi]|15-24|Female|Incidence_SUBNAT.Rt.T|CY2024Q3</v>
      </c>
    </row>
    <row r="5788" customFormat="false" ht="15" hidden="false" customHeight="false" outlineLevel="0" collapsed="false">
      <c r="D5788" s="0" t="s">
        <v>75</v>
      </c>
      <c r="E5788" s="0" t="s">
        <v>76</v>
      </c>
      <c r="F5788" s="0" t="s">
        <v>77</v>
      </c>
      <c r="G5788" s="0" t="s">
        <v>169</v>
      </c>
      <c r="H5788" s="0" t="s">
        <v>169</v>
      </c>
      <c r="I5788" s="0" t="s">
        <v>41</v>
      </c>
      <c r="J5788" s="0" t="s">
        <v>42</v>
      </c>
      <c r="K5788" s="0" t="s">
        <v>30</v>
      </c>
      <c r="L5788" s="0" t="s">
        <v>31</v>
      </c>
      <c r="M5788" s="0" t="s">
        <v>167</v>
      </c>
      <c r="N5788" s="0" t="n">
        <v>1253</v>
      </c>
      <c r="O5788" s="10" t="n">
        <v>0.496225455775857</v>
      </c>
      <c r="P5788" s="10" t="n">
        <v>0.303055507596582</v>
      </c>
      <c r="Q5788" s="0" t="str">
        <f aca="false">SUBSTITUTE(SUBSTITUTE($I5788,CHAR(61),""),CHAR(34),"")</f>
        <v>25-34</v>
      </c>
      <c r="R5788" s="0" t="str">
        <f aca="false">IF($D5788&lt;&gt;"","["&amp;$E5788&amp;"]"&amp;"|"&amp;$Q5788&amp;"|"&amp;$K5788&amp;"|"&amp;$G5788&amp;"|"&amp;IF($G5788="TX_CURR_SUBNAT.R","CY2022Q4",$M5788),"")</f>
        <v>[lLDyBx5XyUi]|25-34|Female|Incidence_SUBNAT.Rt.T|CY2024Q3</v>
      </c>
    </row>
    <row r="5789" customFormat="false" ht="15" hidden="false" customHeight="false" outlineLevel="0" collapsed="false">
      <c r="D5789" s="0" t="s">
        <v>75</v>
      </c>
      <c r="E5789" s="0" t="s">
        <v>76</v>
      </c>
      <c r="F5789" s="0" t="s">
        <v>77</v>
      </c>
      <c r="G5789" s="0" t="s">
        <v>169</v>
      </c>
      <c r="H5789" s="0" t="s">
        <v>169</v>
      </c>
      <c r="I5789" s="0" t="s">
        <v>43</v>
      </c>
      <c r="J5789" s="0" t="s">
        <v>44</v>
      </c>
      <c r="K5789" s="0" t="s">
        <v>30</v>
      </c>
      <c r="L5789" s="0" t="s">
        <v>31</v>
      </c>
      <c r="M5789" s="0" t="s">
        <v>167</v>
      </c>
      <c r="N5789" s="0" t="n">
        <v>1194</v>
      </c>
      <c r="O5789" s="10" t="n">
        <v>0.724125182488933</v>
      </c>
      <c r="P5789" s="10" t="n">
        <v>0.303055507596582</v>
      </c>
      <c r="Q5789" s="0" t="str">
        <f aca="false">SUBSTITUTE(SUBSTITUTE($I5789,CHAR(61),""),CHAR(34),"")</f>
        <v>35-49</v>
      </c>
      <c r="R5789" s="0" t="str">
        <f aca="false">IF($D5789&lt;&gt;"","["&amp;$E5789&amp;"]"&amp;"|"&amp;$Q5789&amp;"|"&amp;$K5789&amp;"|"&amp;$G5789&amp;"|"&amp;IF($G5789="TX_CURR_SUBNAT.R","CY2022Q4",$M5789),"")</f>
        <v>[lLDyBx5XyUi]|35-49|Female|Incidence_SUBNAT.Rt.T|CY2024Q3</v>
      </c>
    </row>
    <row r="5790" customFormat="false" ht="15" hidden="false" customHeight="false" outlineLevel="0" collapsed="false">
      <c r="D5790" s="0" t="s">
        <v>75</v>
      </c>
      <c r="E5790" s="0" t="s">
        <v>76</v>
      </c>
      <c r="F5790" s="0" t="s">
        <v>77</v>
      </c>
      <c r="G5790" s="0" t="s">
        <v>169</v>
      </c>
      <c r="H5790" s="0" t="s">
        <v>169</v>
      </c>
      <c r="I5790" s="0" t="s">
        <v>45</v>
      </c>
      <c r="J5790" s="0" t="s">
        <v>46</v>
      </c>
      <c r="K5790" s="0" t="s">
        <v>30</v>
      </c>
      <c r="L5790" s="0" t="s">
        <v>31</v>
      </c>
      <c r="M5790" s="0" t="s">
        <v>167</v>
      </c>
      <c r="N5790" s="0" t="n">
        <v>677</v>
      </c>
      <c r="O5790" s="10" t="n">
        <v>0.248058740515262</v>
      </c>
      <c r="P5790" s="10" t="n">
        <v>0.303055507596582</v>
      </c>
      <c r="Q5790" s="0" t="str">
        <f aca="false">SUBSTITUTE(SUBSTITUTE($I5790,CHAR(61),""),CHAR(34),"")</f>
        <v>50+</v>
      </c>
      <c r="R5790" s="0" t="str">
        <f aca="false">IF($D5790&lt;&gt;"","["&amp;$E5790&amp;"]"&amp;"|"&amp;$Q5790&amp;"|"&amp;$K5790&amp;"|"&amp;$G5790&amp;"|"&amp;IF($G5790="TX_CURR_SUBNAT.R","CY2022Q4",$M5790),"")</f>
        <v>[lLDyBx5XyUi]|50+|Female|Incidence_SUBNAT.Rt.T|CY2024Q3</v>
      </c>
    </row>
    <row r="5791" customFormat="false" ht="15" hidden="false" customHeight="false" outlineLevel="0" collapsed="false">
      <c r="D5791" s="0" t="s">
        <v>75</v>
      </c>
      <c r="E5791" s="0" t="s">
        <v>76</v>
      </c>
      <c r="F5791" s="0" t="s">
        <v>77</v>
      </c>
      <c r="G5791" s="0" t="s">
        <v>169</v>
      </c>
      <c r="H5791" s="0" t="s">
        <v>169</v>
      </c>
      <c r="I5791" s="0" t="s">
        <v>28</v>
      </c>
      <c r="J5791" s="0" t="s">
        <v>29</v>
      </c>
      <c r="K5791" s="0" t="s">
        <v>48</v>
      </c>
      <c r="L5791" s="0" t="s">
        <v>49</v>
      </c>
      <c r="M5791" s="0" t="s">
        <v>167</v>
      </c>
      <c r="N5791" s="0" t="n">
        <v>1919</v>
      </c>
      <c r="O5791" s="10" t="n">
        <v>0.334936333121732</v>
      </c>
      <c r="P5791" s="10" t="n">
        <v>0.303055507596582</v>
      </c>
      <c r="Q5791" s="0" t="str">
        <f aca="false">SUBSTITUTE(SUBSTITUTE($I5791,CHAR(61),""),CHAR(34),"")</f>
        <v>&lt;01</v>
      </c>
      <c r="R5791" s="0" t="str">
        <f aca="false">IF($D5791&lt;&gt;"","["&amp;$E5791&amp;"]"&amp;"|"&amp;$Q5791&amp;"|"&amp;$K5791&amp;"|"&amp;$G5791&amp;"|"&amp;IF($G5791="TX_CURR_SUBNAT.R","CY2022Q4",$M5791),"")</f>
        <v>[lLDyBx5XyUi]|&lt;01|Male|Incidence_SUBNAT.Rt.T|CY2024Q3</v>
      </c>
    </row>
    <row r="5792" customFormat="false" ht="15" hidden="false" customHeight="false" outlineLevel="0" collapsed="false">
      <c r="D5792" s="0" t="s">
        <v>75</v>
      </c>
      <c r="E5792" s="0" t="s">
        <v>76</v>
      </c>
      <c r="F5792" s="0" t="s">
        <v>77</v>
      </c>
      <c r="G5792" s="0" t="s">
        <v>169</v>
      </c>
      <c r="H5792" s="0" t="s">
        <v>169</v>
      </c>
      <c r="I5792" s="0" t="s">
        <v>33</v>
      </c>
      <c r="J5792" s="0" t="s">
        <v>34</v>
      </c>
      <c r="K5792" s="0" t="s">
        <v>48</v>
      </c>
      <c r="L5792" s="0" t="s">
        <v>49</v>
      </c>
      <c r="M5792" s="0" t="s">
        <v>167</v>
      </c>
      <c r="N5792" s="0" t="n">
        <v>830</v>
      </c>
      <c r="O5792" s="10" t="n">
        <v>0.172897913493216</v>
      </c>
      <c r="P5792" s="10" t="n">
        <v>0.303055507596582</v>
      </c>
      <c r="Q5792" s="0" t="str">
        <f aca="false">SUBSTITUTE(SUBSTITUTE($I5792,CHAR(61),""),CHAR(34),"")</f>
        <v>01-09</v>
      </c>
      <c r="R5792" s="0" t="str">
        <f aca="false">IF($D5792&lt;&gt;"","["&amp;$E5792&amp;"]"&amp;"|"&amp;$Q5792&amp;"|"&amp;$K5792&amp;"|"&amp;$G5792&amp;"|"&amp;IF($G5792="TX_CURR_SUBNAT.R","CY2022Q4",$M5792),"")</f>
        <v>[lLDyBx5XyUi]|01-09|Male|Incidence_SUBNAT.Rt.T|CY2024Q3</v>
      </c>
    </row>
    <row r="5793" customFormat="false" ht="15" hidden="false" customHeight="false" outlineLevel="0" collapsed="false">
      <c r="D5793" s="0" t="s">
        <v>75</v>
      </c>
      <c r="E5793" s="0" t="s">
        <v>76</v>
      </c>
      <c r="F5793" s="0" t="s">
        <v>77</v>
      </c>
      <c r="G5793" s="0" t="s">
        <v>169</v>
      </c>
      <c r="H5793" s="0" t="s">
        <v>169</v>
      </c>
      <c r="I5793" s="0" t="s">
        <v>36</v>
      </c>
      <c r="J5793" s="0" t="s">
        <v>37</v>
      </c>
      <c r="K5793" s="0" t="s">
        <v>48</v>
      </c>
      <c r="L5793" s="0" t="s">
        <v>49</v>
      </c>
      <c r="M5793" s="0" t="s">
        <v>167</v>
      </c>
      <c r="N5793" s="0" t="n">
        <v>1786</v>
      </c>
      <c r="O5793" s="10" t="n">
        <v>0.574625150766224</v>
      </c>
      <c r="P5793" s="10" t="n">
        <v>0.303055507596582</v>
      </c>
      <c r="Q5793" s="0" t="str">
        <f aca="false">SUBSTITUTE(SUBSTITUTE($I5793,CHAR(61),""),CHAR(34),"")</f>
        <v>10-14</v>
      </c>
      <c r="R5793" s="0" t="str">
        <f aca="false">IF($D5793&lt;&gt;"","["&amp;$E5793&amp;"]"&amp;"|"&amp;$Q5793&amp;"|"&amp;$K5793&amp;"|"&amp;$G5793&amp;"|"&amp;IF($G5793="TX_CURR_SUBNAT.R","CY2022Q4",$M5793),"")</f>
        <v>[lLDyBx5XyUi]|10-14|Male|Incidence_SUBNAT.Rt.T|CY2024Q3</v>
      </c>
    </row>
    <row r="5794" customFormat="false" ht="15" hidden="false" customHeight="false" outlineLevel="0" collapsed="false">
      <c r="D5794" s="0" t="s">
        <v>75</v>
      </c>
      <c r="E5794" s="0" t="s">
        <v>76</v>
      </c>
      <c r="F5794" s="0" t="s">
        <v>77</v>
      </c>
      <c r="G5794" s="0" t="s">
        <v>169</v>
      </c>
      <c r="H5794" s="0" t="s">
        <v>169</v>
      </c>
      <c r="I5794" s="0" t="s">
        <v>38</v>
      </c>
      <c r="J5794" s="0" t="s">
        <v>39</v>
      </c>
      <c r="K5794" s="0" t="s">
        <v>48</v>
      </c>
      <c r="L5794" s="0" t="s">
        <v>49</v>
      </c>
      <c r="M5794" s="0" t="s">
        <v>167</v>
      </c>
      <c r="N5794" s="0" t="n">
        <v>1575</v>
      </c>
      <c r="O5794" s="10" t="n">
        <v>0.402154155308381</v>
      </c>
      <c r="P5794" s="10" t="n">
        <v>0.303055507596582</v>
      </c>
      <c r="Q5794" s="0" t="str">
        <f aca="false">SUBSTITUTE(SUBSTITUTE($I5794,CHAR(61),""),CHAR(34),"")</f>
        <v>15-24</v>
      </c>
      <c r="R5794" s="0" t="str">
        <f aca="false">IF($D5794&lt;&gt;"","["&amp;$E5794&amp;"]"&amp;"|"&amp;$Q5794&amp;"|"&amp;$K5794&amp;"|"&amp;$G5794&amp;"|"&amp;IF($G5794="TX_CURR_SUBNAT.R","CY2022Q4",$M5794),"")</f>
        <v>[lLDyBx5XyUi]|15-24|Male|Incidence_SUBNAT.Rt.T|CY2024Q3</v>
      </c>
    </row>
    <row r="5795" customFormat="false" ht="15" hidden="false" customHeight="false" outlineLevel="0" collapsed="false">
      <c r="D5795" s="0" t="s">
        <v>75</v>
      </c>
      <c r="E5795" s="0" t="s">
        <v>76</v>
      </c>
      <c r="F5795" s="0" t="s">
        <v>77</v>
      </c>
      <c r="G5795" s="0" t="s">
        <v>169</v>
      </c>
      <c r="H5795" s="0" t="s">
        <v>169</v>
      </c>
      <c r="I5795" s="0" t="s">
        <v>41</v>
      </c>
      <c r="J5795" s="0" t="s">
        <v>42</v>
      </c>
      <c r="K5795" s="0" t="s">
        <v>48</v>
      </c>
      <c r="L5795" s="0" t="s">
        <v>49</v>
      </c>
      <c r="M5795" s="0" t="s">
        <v>167</v>
      </c>
      <c r="N5795" s="0" t="n">
        <v>911</v>
      </c>
      <c r="O5795" s="10" t="n">
        <v>0.0870523091871291</v>
      </c>
      <c r="P5795" s="10" t="n">
        <v>0.303055507596582</v>
      </c>
      <c r="Q5795" s="0" t="str">
        <f aca="false">SUBSTITUTE(SUBSTITUTE($I5795,CHAR(61),""),CHAR(34),"")</f>
        <v>25-34</v>
      </c>
      <c r="R5795" s="0" t="str">
        <f aca="false">IF($D5795&lt;&gt;"","["&amp;$E5795&amp;"]"&amp;"|"&amp;$Q5795&amp;"|"&amp;$K5795&amp;"|"&amp;$G5795&amp;"|"&amp;IF($G5795="TX_CURR_SUBNAT.R","CY2022Q4",$M5795),"")</f>
        <v>[lLDyBx5XyUi]|25-34|Male|Incidence_SUBNAT.Rt.T|CY2024Q3</v>
      </c>
    </row>
    <row r="5796" customFormat="false" ht="15" hidden="false" customHeight="false" outlineLevel="0" collapsed="false">
      <c r="D5796" s="0" t="s">
        <v>75</v>
      </c>
      <c r="E5796" s="0" t="s">
        <v>76</v>
      </c>
      <c r="F5796" s="0" t="s">
        <v>77</v>
      </c>
      <c r="G5796" s="0" t="s">
        <v>169</v>
      </c>
      <c r="H5796" s="0" t="s">
        <v>169</v>
      </c>
      <c r="I5796" s="0" t="s">
        <v>43</v>
      </c>
      <c r="J5796" s="0" t="s">
        <v>44</v>
      </c>
      <c r="K5796" s="0" t="s">
        <v>48</v>
      </c>
      <c r="L5796" s="0" t="s">
        <v>49</v>
      </c>
      <c r="M5796" s="0" t="s">
        <v>167</v>
      </c>
      <c r="N5796" s="0" t="n">
        <v>1580</v>
      </c>
      <c r="O5796" s="10" t="n">
        <v>0.273700103163719</v>
      </c>
      <c r="P5796" s="10" t="n">
        <v>0.303055507596582</v>
      </c>
      <c r="Q5796" s="0" t="str">
        <f aca="false">SUBSTITUTE(SUBSTITUTE($I5796,CHAR(61),""),CHAR(34),"")</f>
        <v>35-49</v>
      </c>
      <c r="R5796" s="0" t="str">
        <f aca="false">IF($D5796&lt;&gt;"","["&amp;$E5796&amp;"]"&amp;"|"&amp;$Q5796&amp;"|"&amp;$K5796&amp;"|"&amp;$G5796&amp;"|"&amp;IF($G5796="TX_CURR_SUBNAT.R","CY2022Q4",$M5796),"")</f>
        <v>[lLDyBx5XyUi]|35-49|Male|Incidence_SUBNAT.Rt.T|CY2024Q3</v>
      </c>
    </row>
    <row r="5797" customFormat="false" ht="15" hidden="false" customHeight="false" outlineLevel="0" collapsed="false">
      <c r="D5797" s="0" t="s">
        <v>75</v>
      </c>
      <c r="E5797" s="0" t="s">
        <v>76</v>
      </c>
      <c r="F5797" s="0" t="s">
        <v>77</v>
      </c>
      <c r="G5797" s="0" t="s">
        <v>169</v>
      </c>
      <c r="H5797" s="0" t="s">
        <v>169</v>
      </c>
      <c r="I5797" s="0" t="s">
        <v>45</v>
      </c>
      <c r="J5797" s="0" t="s">
        <v>46</v>
      </c>
      <c r="K5797" s="0" t="s">
        <v>48</v>
      </c>
      <c r="L5797" s="0" t="s">
        <v>49</v>
      </c>
      <c r="M5797" s="0" t="s">
        <v>167</v>
      </c>
      <c r="N5797" s="0" t="n">
        <v>1784</v>
      </c>
      <c r="O5797" s="10" t="n">
        <v>0.957490359898657</v>
      </c>
      <c r="P5797" s="10" t="n">
        <v>0.303055507596582</v>
      </c>
      <c r="Q5797" s="0" t="str">
        <f aca="false">SUBSTITUTE(SUBSTITUTE($I5797,CHAR(61),""),CHAR(34),"")</f>
        <v>50+</v>
      </c>
      <c r="R5797" s="0" t="str">
        <f aca="false">IF($D5797&lt;&gt;"","["&amp;$E5797&amp;"]"&amp;"|"&amp;$Q5797&amp;"|"&amp;$K5797&amp;"|"&amp;$G5797&amp;"|"&amp;IF($G5797="TX_CURR_SUBNAT.R","CY2022Q4",$M5797),"")</f>
        <v>[lLDyBx5XyUi]|50+|Male|Incidence_SUBNAT.Rt.T|CY2024Q3</v>
      </c>
    </row>
    <row r="5798" customFormat="false" ht="15" hidden="false" customHeight="false" outlineLevel="0" collapsed="false">
      <c r="D5798" s="0" t="s">
        <v>78</v>
      </c>
      <c r="E5798" s="0" t="s">
        <v>79</v>
      </c>
      <c r="F5798" s="0" t="s">
        <v>80</v>
      </c>
      <c r="G5798" s="0" t="s">
        <v>169</v>
      </c>
      <c r="H5798" s="0" t="s">
        <v>169</v>
      </c>
      <c r="I5798" s="0" t="s">
        <v>28</v>
      </c>
      <c r="J5798" s="0" t="s">
        <v>29</v>
      </c>
      <c r="K5798" s="0" t="s">
        <v>30</v>
      </c>
      <c r="L5798" s="0" t="s">
        <v>31</v>
      </c>
      <c r="M5798" s="0" t="s">
        <v>167</v>
      </c>
      <c r="N5798" s="0" t="n">
        <v>1186</v>
      </c>
      <c r="O5798" s="10" t="n">
        <v>0.399698736611754</v>
      </c>
      <c r="P5798" s="10" t="n">
        <v>0.831597982207313</v>
      </c>
      <c r="Q5798" s="0" t="str">
        <f aca="false">SUBSTITUTE(SUBSTITUTE($I5798,CHAR(61),""),CHAR(34),"")</f>
        <v>&lt;01</v>
      </c>
      <c r="R5798" s="0" t="str">
        <f aca="false">IF($D5798&lt;&gt;"","["&amp;$E5798&amp;"]"&amp;"|"&amp;$Q5798&amp;"|"&amp;$K5798&amp;"|"&amp;$G5798&amp;"|"&amp;IF($G5798="TX_CURR_SUBNAT.R","CY2022Q4",$M5798),"")</f>
        <v>[TYnMSwzko3z]|&lt;01|Female|Incidence_SUBNAT.Rt.T|CY2024Q3</v>
      </c>
    </row>
    <row r="5799" customFormat="false" ht="15" hidden="false" customHeight="false" outlineLevel="0" collapsed="false">
      <c r="D5799" s="0" t="s">
        <v>78</v>
      </c>
      <c r="E5799" s="0" t="s">
        <v>79</v>
      </c>
      <c r="F5799" s="0" t="s">
        <v>80</v>
      </c>
      <c r="G5799" s="0" t="s">
        <v>169</v>
      </c>
      <c r="H5799" s="0" t="s">
        <v>169</v>
      </c>
      <c r="I5799" s="0" t="s">
        <v>33</v>
      </c>
      <c r="J5799" s="0" t="s">
        <v>34</v>
      </c>
      <c r="K5799" s="0" t="s">
        <v>30</v>
      </c>
      <c r="L5799" s="0" t="s">
        <v>31</v>
      </c>
      <c r="M5799" s="0" t="s">
        <v>167</v>
      </c>
      <c r="N5799" s="0" t="n">
        <v>1888</v>
      </c>
      <c r="O5799" s="10" t="n">
        <v>0.202829692745581</v>
      </c>
      <c r="P5799" s="10" t="n">
        <v>0.831597982207313</v>
      </c>
      <c r="Q5799" s="0" t="str">
        <f aca="false">SUBSTITUTE(SUBSTITUTE($I5799,CHAR(61),""),CHAR(34),"")</f>
        <v>01-09</v>
      </c>
      <c r="R5799" s="0" t="str">
        <f aca="false">IF($D5799&lt;&gt;"","["&amp;$E5799&amp;"]"&amp;"|"&amp;$Q5799&amp;"|"&amp;$K5799&amp;"|"&amp;$G5799&amp;"|"&amp;IF($G5799="TX_CURR_SUBNAT.R","CY2022Q4",$M5799),"")</f>
        <v>[TYnMSwzko3z]|01-09|Female|Incidence_SUBNAT.Rt.T|CY2024Q3</v>
      </c>
    </row>
    <row r="5800" customFormat="false" ht="15" hidden="false" customHeight="false" outlineLevel="0" collapsed="false">
      <c r="D5800" s="0" t="s">
        <v>78</v>
      </c>
      <c r="E5800" s="0" t="s">
        <v>79</v>
      </c>
      <c r="F5800" s="0" t="s">
        <v>80</v>
      </c>
      <c r="G5800" s="0" t="s">
        <v>169</v>
      </c>
      <c r="H5800" s="0" t="s">
        <v>169</v>
      </c>
      <c r="I5800" s="0" t="s">
        <v>36</v>
      </c>
      <c r="J5800" s="0" t="s">
        <v>37</v>
      </c>
      <c r="K5800" s="0" t="s">
        <v>30</v>
      </c>
      <c r="L5800" s="0" t="s">
        <v>31</v>
      </c>
      <c r="M5800" s="0" t="s">
        <v>167</v>
      </c>
      <c r="N5800" s="0" t="n">
        <v>579</v>
      </c>
      <c r="O5800" s="10" t="n">
        <v>0.288255212595686</v>
      </c>
      <c r="P5800" s="10" t="n">
        <v>0.831597982207313</v>
      </c>
      <c r="Q5800" s="0" t="str">
        <f aca="false">SUBSTITUTE(SUBSTITUTE($I5800,CHAR(61),""),CHAR(34),"")</f>
        <v>10-14</v>
      </c>
      <c r="R5800" s="0" t="str">
        <f aca="false">IF($D5800&lt;&gt;"","["&amp;$E5800&amp;"]"&amp;"|"&amp;$Q5800&amp;"|"&amp;$K5800&amp;"|"&amp;$G5800&amp;"|"&amp;IF($G5800="TX_CURR_SUBNAT.R","CY2022Q4",$M5800),"")</f>
        <v>[TYnMSwzko3z]|10-14|Female|Incidence_SUBNAT.Rt.T|CY2024Q3</v>
      </c>
    </row>
    <row r="5801" customFormat="false" ht="15" hidden="false" customHeight="false" outlineLevel="0" collapsed="false">
      <c r="D5801" s="0" t="s">
        <v>78</v>
      </c>
      <c r="E5801" s="0" t="s">
        <v>79</v>
      </c>
      <c r="F5801" s="0" t="s">
        <v>80</v>
      </c>
      <c r="G5801" s="0" t="s">
        <v>169</v>
      </c>
      <c r="H5801" s="0" t="s">
        <v>169</v>
      </c>
      <c r="I5801" s="0" t="s">
        <v>38</v>
      </c>
      <c r="J5801" s="0" t="s">
        <v>39</v>
      </c>
      <c r="K5801" s="0" t="s">
        <v>30</v>
      </c>
      <c r="L5801" s="0" t="s">
        <v>31</v>
      </c>
      <c r="M5801" s="0" t="s">
        <v>167</v>
      </c>
      <c r="N5801" s="0" t="n">
        <v>657</v>
      </c>
      <c r="O5801" s="10" t="n">
        <v>0.320044622058049</v>
      </c>
      <c r="P5801" s="10" t="n">
        <v>0.831597982207313</v>
      </c>
      <c r="Q5801" s="0" t="str">
        <f aca="false">SUBSTITUTE(SUBSTITUTE($I5801,CHAR(61),""),CHAR(34),"")</f>
        <v>15-24</v>
      </c>
      <c r="R5801" s="0" t="str">
        <f aca="false">IF($D5801&lt;&gt;"","["&amp;$E5801&amp;"]"&amp;"|"&amp;$Q5801&amp;"|"&amp;$K5801&amp;"|"&amp;$G5801&amp;"|"&amp;IF($G5801="TX_CURR_SUBNAT.R","CY2022Q4",$M5801),"")</f>
        <v>[TYnMSwzko3z]|15-24|Female|Incidence_SUBNAT.Rt.T|CY2024Q3</v>
      </c>
    </row>
    <row r="5802" customFormat="false" ht="15" hidden="false" customHeight="false" outlineLevel="0" collapsed="false">
      <c r="D5802" s="0" t="s">
        <v>78</v>
      </c>
      <c r="E5802" s="0" t="s">
        <v>79</v>
      </c>
      <c r="F5802" s="0" t="s">
        <v>80</v>
      </c>
      <c r="G5802" s="0" t="s">
        <v>169</v>
      </c>
      <c r="H5802" s="0" t="s">
        <v>169</v>
      </c>
      <c r="I5802" s="0" t="s">
        <v>41</v>
      </c>
      <c r="J5802" s="0" t="s">
        <v>42</v>
      </c>
      <c r="K5802" s="0" t="s">
        <v>30</v>
      </c>
      <c r="L5802" s="0" t="s">
        <v>31</v>
      </c>
      <c r="M5802" s="0" t="s">
        <v>167</v>
      </c>
      <c r="N5802" s="0" t="n">
        <v>540</v>
      </c>
      <c r="O5802" s="10" t="n">
        <v>0.871160139329731</v>
      </c>
      <c r="P5802" s="10" t="n">
        <v>0.831597982207313</v>
      </c>
      <c r="Q5802" s="0" t="str">
        <f aca="false">SUBSTITUTE(SUBSTITUTE($I5802,CHAR(61),""),CHAR(34),"")</f>
        <v>25-34</v>
      </c>
      <c r="R5802" s="0" t="str">
        <f aca="false">IF($D5802&lt;&gt;"","["&amp;$E5802&amp;"]"&amp;"|"&amp;$Q5802&amp;"|"&amp;$K5802&amp;"|"&amp;$G5802&amp;"|"&amp;IF($G5802="TX_CURR_SUBNAT.R","CY2022Q4",$M5802),"")</f>
        <v>[TYnMSwzko3z]|25-34|Female|Incidence_SUBNAT.Rt.T|CY2024Q3</v>
      </c>
    </row>
    <row r="5803" customFormat="false" ht="15" hidden="false" customHeight="false" outlineLevel="0" collapsed="false">
      <c r="D5803" s="0" t="s">
        <v>78</v>
      </c>
      <c r="E5803" s="0" t="s">
        <v>79</v>
      </c>
      <c r="F5803" s="0" t="s">
        <v>80</v>
      </c>
      <c r="G5803" s="0" t="s">
        <v>169</v>
      </c>
      <c r="H5803" s="0" t="s">
        <v>169</v>
      </c>
      <c r="I5803" s="0" t="s">
        <v>43</v>
      </c>
      <c r="J5803" s="0" t="s">
        <v>44</v>
      </c>
      <c r="K5803" s="0" t="s">
        <v>30</v>
      </c>
      <c r="L5803" s="0" t="s">
        <v>31</v>
      </c>
      <c r="M5803" s="0" t="s">
        <v>167</v>
      </c>
      <c r="N5803" s="0" t="n">
        <v>627</v>
      </c>
      <c r="O5803" s="10" t="n">
        <v>0.967714452184737</v>
      </c>
      <c r="P5803" s="10" t="n">
        <v>0.831597982207313</v>
      </c>
      <c r="Q5803" s="0" t="str">
        <f aca="false">SUBSTITUTE(SUBSTITUTE($I5803,CHAR(61),""),CHAR(34),"")</f>
        <v>35-49</v>
      </c>
      <c r="R5803" s="0" t="str">
        <f aca="false">IF($D5803&lt;&gt;"","["&amp;$E5803&amp;"]"&amp;"|"&amp;$Q5803&amp;"|"&amp;$K5803&amp;"|"&amp;$G5803&amp;"|"&amp;IF($G5803="TX_CURR_SUBNAT.R","CY2022Q4",$M5803),"")</f>
        <v>[TYnMSwzko3z]|35-49|Female|Incidence_SUBNAT.Rt.T|CY2024Q3</v>
      </c>
    </row>
    <row r="5804" customFormat="false" ht="15" hidden="false" customHeight="false" outlineLevel="0" collapsed="false">
      <c r="D5804" s="0" t="s">
        <v>78</v>
      </c>
      <c r="E5804" s="0" t="s">
        <v>79</v>
      </c>
      <c r="F5804" s="0" t="s">
        <v>80</v>
      </c>
      <c r="G5804" s="0" t="s">
        <v>169</v>
      </c>
      <c r="H5804" s="0" t="s">
        <v>169</v>
      </c>
      <c r="I5804" s="0" t="s">
        <v>45</v>
      </c>
      <c r="J5804" s="0" t="s">
        <v>46</v>
      </c>
      <c r="K5804" s="0" t="s">
        <v>30</v>
      </c>
      <c r="L5804" s="0" t="s">
        <v>31</v>
      </c>
      <c r="M5804" s="0" t="s">
        <v>167</v>
      </c>
      <c r="N5804" s="0" t="n">
        <v>1999</v>
      </c>
      <c r="O5804" s="10" t="n">
        <v>0.714306491659954</v>
      </c>
      <c r="P5804" s="10" t="n">
        <v>0.831597982207313</v>
      </c>
      <c r="Q5804" s="0" t="str">
        <f aca="false">SUBSTITUTE(SUBSTITUTE($I5804,CHAR(61),""),CHAR(34),"")</f>
        <v>50+</v>
      </c>
      <c r="R5804" s="0" t="str">
        <f aca="false">IF($D5804&lt;&gt;"","["&amp;$E5804&amp;"]"&amp;"|"&amp;$Q5804&amp;"|"&amp;$K5804&amp;"|"&amp;$G5804&amp;"|"&amp;IF($G5804="TX_CURR_SUBNAT.R","CY2022Q4",$M5804),"")</f>
        <v>[TYnMSwzko3z]|50+|Female|Incidence_SUBNAT.Rt.T|CY2024Q3</v>
      </c>
    </row>
    <row r="5805" customFormat="false" ht="15" hidden="false" customHeight="false" outlineLevel="0" collapsed="false">
      <c r="D5805" s="0" t="s">
        <v>78</v>
      </c>
      <c r="E5805" s="0" t="s">
        <v>79</v>
      </c>
      <c r="F5805" s="0" t="s">
        <v>80</v>
      </c>
      <c r="G5805" s="0" t="s">
        <v>169</v>
      </c>
      <c r="H5805" s="0" t="s">
        <v>169</v>
      </c>
      <c r="I5805" s="0" t="s">
        <v>28</v>
      </c>
      <c r="J5805" s="0" t="s">
        <v>29</v>
      </c>
      <c r="K5805" s="0" t="s">
        <v>48</v>
      </c>
      <c r="L5805" s="0" t="s">
        <v>49</v>
      </c>
      <c r="M5805" s="0" t="s">
        <v>167</v>
      </c>
      <c r="N5805" s="0" t="n">
        <v>1231</v>
      </c>
      <c r="O5805" s="10" t="n">
        <v>0.470032010227442</v>
      </c>
      <c r="P5805" s="10" t="n">
        <v>0.831597982207313</v>
      </c>
      <c r="Q5805" s="0" t="str">
        <f aca="false">SUBSTITUTE(SUBSTITUTE($I5805,CHAR(61),""),CHAR(34),"")</f>
        <v>&lt;01</v>
      </c>
      <c r="R5805" s="0" t="str">
        <f aca="false">IF($D5805&lt;&gt;"","["&amp;$E5805&amp;"]"&amp;"|"&amp;$Q5805&amp;"|"&amp;$K5805&amp;"|"&amp;$G5805&amp;"|"&amp;IF($G5805="TX_CURR_SUBNAT.R","CY2022Q4",$M5805),"")</f>
        <v>[TYnMSwzko3z]|&lt;01|Male|Incidence_SUBNAT.Rt.T|CY2024Q3</v>
      </c>
    </row>
    <row r="5806" customFormat="false" ht="15" hidden="false" customHeight="false" outlineLevel="0" collapsed="false">
      <c r="D5806" s="0" t="s">
        <v>78</v>
      </c>
      <c r="E5806" s="0" t="s">
        <v>79</v>
      </c>
      <c r="F5806" s="0" t="s">
        <v>80</v>
      </c>
      <c r="G5806" s="0" t="s">
        <v>169</v>
      </c>
      <c r="H5806" s="0" t="s">
        <v>169</v>
      </c>
      <c r="I5806" s="0" t="s">
        <v>33</v>
      </c>
      <c r="J5806" s="0" t="s">
        <v>34</v>
      </c>
      <c r="K5806" s="0" t="s">
        <v>48</v>
      </c>
      <c r="L5806" s="0" t="s">
        <v>49</v>
      </c>
      <c r="M5806" s="0" t="s">
        <v>167</v>
      </c>
      <c r="N5806" s="0" t="n">
        <v>1660</v>
      </c>
      <c r="O5806" s="10" t="n">
        <v>0.180419186362997</v>
      </c>
      <c r="P5806" s="10" t="n">
        <v>0.831597982207313</v>
      </c>
      <c r="Q5806" s="0" t="str">
        <f aca="false">SUBSTITUTE(SUBSTITUTE($I5806,CHAR(61),""),CHAR(34),"")</f>
        <v>01-09</v>
      </c>
      <c r="R5806" s="0" t="str">
        <f aca="false">IF($D5806&lt;&gt;"","["&amp;$E5806&amp;"]"&amp;"|"&amp;$Q5806&amp;"|"&amp;$K5806&amp;"|"&amp;$G5806&amp;"|"&amp;IF($G5806="TX_CURR_SUBNAT.R","CY2022Q4",$M5806),"")</f>
        <v>[TYnMSwzko3z]|01-09|Male|Incidence_SUBNAT.Rt.T|CY2024Q3</v>
      </c>
    </row>
    <row r="5807" customFormat="false" ht="15" hidden="false" customHeight="false" outlineLevel="0" collapsed="false">
      <c r="D5807" s="0" t="s">
        <v>78</v>
      </c>
      <c r="E5807" s="0" t="s">
        <v>79</v>
      </c>
      <c r="F5807" s="0" t="s">
        <v>80</v>
      </c>
      <c r="G5807" s="0" t="s">
        <v>169</v>
      </c>
      <c r="H5807" s="0" t="s">
        <v>169</v>
      </c>
      <c r="I5807" s="0" t="s">
        <v>36</v>
      </c>
      <c r="J5807" s="0" t="s">
        <v>37</v>
      </c>
      <c r="K5807" s="0" t="s">
        <v>48</v>
      </c>
      <c r="L5807" s="0" t="s">
        <v>49</v>
      </c>
      <c r="M5807" s="0" t="s">
        <v>167</v>
      </c>
      <c r="N5807" s="0" t="n">
        <v>1626</v>
      </c>
      <c r="O5807" s="10" t="n">
        <v>0.247225056635216</v>
      </c>
      <c r="P5807" s="10" t="n">
        <v>0.831597982207313</v>
      </c>
      <c r="Q5807" s="0" t="str">
        <f aca="false">SUBSTITUTE(SUBSTITUTE($I5807,CHAR(61),""),CHAR(34),"")</f>
        <v>10-14</v>
      </c>
      <c r="R5807" s="0" t="str">
        <f aca="false">IF($D5807&lt;&gt;"","["&amp;$E5807&amp;"]"&amp;"|"&amp;$Q5807&amp;"|"&amp;$K5807&amp;"|"&amp;$G5807&amp;"|"&amp;IF($G5807="TX_CURR_SUBNAT.R","CY2022Q4",$M5807),"")</f>
        <v>[TYnMSwzko3z]|10-14|Male|Incidence_SUBNAT.Rt.T|CY2024Q3</v>
      </c>
    </row>
    <row r="5808" customFormat="false" ht="15" hidden="false" customHeight="false" outlineLevel="0" collapsed="false">
      <c r="D5808" s="0" t="s">
        <v>78</v>
      </c>
      <c r="E5808" s="0" t="s">
        <v>79</v>
      </c>
      <c r="F5808" s="0" t="s">
        <v>80</v>
      </c>
      <c r="G5808" s="0" t="s">
        <v>169</v>
      </c>
      <c r="H5808" s="0" t="s">
        <v>169</v>
      </c>
      <c r="I5808" s="0" t="s">
        <v>38</v>
      </c>
      <c r="J5808" s="0" t="s">
        <v>39</v>
      </c>
      <c r="K5808" s="0" t="s">
        <v>48</v>
      </c>
      <c r="L5808" s="0" t="s">
        <v>49</v>
      </c>
      <c r="M5808" s="0" t="s">
        <v>167</v>
      </c>
      <c r="N5808" s="0" t="n">
        <v>914</v>
      </c>
      <c r="O5808" s="10" t="n">
        <v>0.09314980590716</v>
      </c>
      <c r="P5808" s="10" t="n">
        <v>0.831597982207313</v>
      </c>
      <c r="Q5808" s="0" t="str">
        <f aca="false">SUBSTITUTE(SUBSTITUTE($I5808,CHAR(61),""),CHAR(34),"")</f>
        <v>15-24</v>
      </c>
      <c r="R5808" s="0" t="str">
        <f aca="false">IF($D5808&lt;&gt;"","["&amp;$E5808&amp;"]"&amp;"|"&amp;$Q5808&amp;"|"&amp;$K5808&amp;"|"&amp;$G5808&amp;"|"&amp;IF($G5808="TX_CURR_SUBNAT.R","CY2022Q4",$M5808),"")</f>
        <v>[TYnMSwzko3z]|15-24|Male|Incidence_SUBNAT.Rt.T|CY2024Q3</v>
      </c>
    </row>
    <row r="5809" customFormat="false" ht="15" hidden="false" customHeight="false" outlineLevel="0" collapsed="false">
      <c r="D5809" s="0" t="s">
        <v>78</v>
      </c>
      <c r="E5809" s="0" t="s">
        <v>79</v>
      </c>
      <c r="F5809" s="0" t="s">
        <v>80</v>
      </c>
      <c r="G5809" s="0" t="s">
        <v>169</v>
      </c>
      <c r="H5809" s="0" t="s">
        <v>169</v>
      </c>
      <c r="I5809" s="0" t="s">
        <v>41</v>
      </c>
      <c r="J5809" s="0" t="s">
        <v>42</v>
      </c>
      <c r="K5809" s="0" t="s">
        <v>48</v>
      </c>
      <c r="L5809" s="0" t="s">
        <v>49</v>
      </c>
      <c r="M5809" s="0" t="s">
        <v>167</v>
      </c>
      <c r="N5809" s="0" t="n">
        <v>700</v>
      </c>
      <c r="O5809" s="10" t="n">
        <v>0.436949878465384</v>
      </c>
      <c r="P5809" s="10" t="n">
        <v>0.831597982207313</v>
      </c>
      <c r="Q5809" s="0" t="str">
        <f aca="false">SUBSTITUTE(SUBSTITUTE($I5809,CHAR(61),""),CHAR(34),"")</f>
        <v>25-34</v>
      </c>
      <c r="R5809" s="0" t="str">
        <f aca="false">IF($D5809&lt;&gt;"","["&amp;$E5809&amp;"]"&amp;"|"&amp;$Q5809&amp;"|"&amp;$K5809&amp;"|"&amp;$G5809&amp;"|"&amp;IF($G5809="TX_CURR_SUBNAT.R","CY2022Q4",$M5809),"")</f>
        <v>[TYnMSwzko3z]|25-34|Male|Incidence_SUBNAT.Rt.T|CY2024Q3</v>
      </c>
    </row>
    <row r="5810" customFormat="false" ht="15" hidden="false" customHeight="false" outlineLevel="0" collapsed="false">
      <c r="D5810" s="0" t="s">
        <v>78</v>
      </c>
      <c r="E5810" s="0" t="s">
        <v>79</v>
      </c>
      <c r="F5810" s="0" t="s">
        <v>80</v>
      </c>
      <c r="G5810" s="0" t="s">
        <v>169</v>
      </c>
      <c r="H5810" s="0" t="s">
        <v>169</v>
      </c>
      <c r="I5810" s="0" t="s">
        <v>43</v>
      </c>
      <c r="J5810" s="0" t="s">
        <v>44</v>
      </c>
      <c r="K5810" s="0" t="s">
        <v>48</v>
      </c>
      <c r="L5810" s="0" t="s">
        <v>49</v>
      </c>
      <c r="M5810" s="0" t="s">
        <v>167</v>
      </c>
      <c r="N5810" s="0" t="n">
        <v>943</v>
      </c>
      <c r="O5810" s="10" t="n">
        <v>0.287224557017908</v>
      </c>
      <c r="P5810" s="10" t="n">
        <v>0.831597982207313</v>
      </c>
      <c r="Q5810" s="0" t="str">
        <f aca="false">SUBSTITUTE(SUBSTITUTE($I5810,CHAR(61),""),CHAR(34),"")</f>
        <v>35-49</v>
      </c>
      <c r="R5810" s="0" t="str">
        <f aca="false">IF($D5810&lt;&gt;"","["&amp;$E5810&amp;"]"&amp;"|"&amp;$Q5810&amp;"|"&amp;$K5810&amp;"|"&amp;$G5810&amp;"|"&amp;IF($G5810="TX_CURR_SUBNAT.R","CY2022Q4",$M5810),"")</f>
        <v>[TYnMSwzko3z]|35-49|Male|Incidence_SUBNAT.Rt.T|CY2024Q3</v>
      </c>
    </row>
    <row r="5811" customFormat="false" ht="15" hidden="false" customHeight="false" outlineLevel="0" collapsed="false">
      <c r="D5811" s="0" t="s">
        <v>78</v>
      </c>
      <c r="E5811" s="0" t="s">
        <v>79</v>
      </c>
      <c r="F5811" s="0" t="s">
        <v>80</v>
      </c>
      <c r="G5811" s="0" t="s">
        <v>169</v>
      </c>
      <c r="H5811" s="0" t="s">
        <v>169</v>
      </c>
      <c r="I5811" s="0" t="s">
        <v>45</v>
      </c>
      <c r="J5811" s="0" t="s">
        <v>46</v>
      </c>
      <c r="K5811" s="0" t="s">
        <v>48</v>
      </c>
      <c r="L5811" s="0" t="s">
        <v>49</v>
      </c>
      <c r="M5811" s="0" t="s">
        <v>167</v>
      </c>
      <c r="N5811" s="0" t="n">
        <v>1684</v>
      </c>
      <c r="O5811" s="10" t="n">
        <v>0.166973137296736</v>
      </c>
      <c r="P5811" s="10" t="n">
        <v>0.831597982207313</v>
      </c>
      <c r="Q5811" s="0" t="str">
        <f aca="false">SUBSTITUTE(SUBSTITUTE($I5811,CHAR(61),""),CHAR(34),"")</f>
        <v>50+</v>
      </c>
      <c r="R5811" s="0" t="str">
        <f aca="false">IF($D5811&lt;&gt;"","["&amp;$E5811&amp;"]"&amp;"|"&amp;$Q5811&amp;"|"&amp;$K5811&amp;"|"&amp;$G5811&amp;"|"&amp;IF($G5811="TX_CURR_SUBNAT.R","CY2022Q4",$M5811),"")</f>
        <v>[TYnMSwzko3z]|50+|Male|Incidence_SUBNAT.Rt.T|CY2024Q3</v>
      </c>
    </row>
    <row r="5812" customFormat="false" ht="15" hidden="false" customHeight="false" outlineLevel="0" collapsed="false">
      <c r="D5812" s="0" t="s">
        <v>81</v>
      </c>
      <c r="E5812" s="0" t="s">
        <v>82</v>
      </c>
      <c r="F5812" s="0" t="s">
        <v>83</v>
      </c>
      <c r="G5812" s="0" t="s">
        <v>169</v>
      </c>
      <c r="H5812" s="0" t="s">
        <v>169</v>
      </c>
      <c r="I5812" s="0" t="s">
        <v>28</v>
      </c>
      <c r="J5812" s="0" t="s">
        <v>29</v>
      </c>
      <c r="K5812" s="0" t="s">
        <v>30</v>
      </c>
      <c r="L5812" s="0" t="s">
        <v>31</v>
      </c>
      <c r="M5812" s="0" t="s">
        <v>167</v>
      </c>
      <c r="N5812" s="0" t="n">
        <v>1708</v>
      </c>
      <c r="O5812" s="10" t="n">
        <v>0.352815363323316</v>
      </c>
      <c r="P5812" s="10" t="n">
        <v>0.143331421539187</v>
      </c>
      <c r="Q5812" s="0" t="str">
        <f aca="false">SUBSTITUTE(SUBSTITUTE($I5812,CHAR(61),""),CHAR(34),"")</f>
        <v>&lt;01</v>
      </c>
      <c r="R5812" s="0" t="str">
        <f aca="false">IF($D5812&lt;&gt;"","["&amp;$E5812&amp;"]"&amp;"|"&amp;$Q5812&amp;"|"&amp;$K5812&amp;"|"&amp;$G5812&amp;"|"&amp;IF($G5812="TX_CURR_SUBNAT.R","CY2022Q4",$M5812),"")</f>
        <v>[ir8wuHHzoSs]|&lt;01|Female|Incidence_SUBNAT.Rt.T|CY2024Q3</v>
      </c>
    </row>
    <row r="5813" customFormat="false" ht="15" hidden="false" customHeight="false" outlineLevel="0" collapsed="false">
      <c r="D5813" s="0" t="s">
        <v>81</v>
      </c>
      <c r="E5813" s="0" t="s">
        <v>82</v>
      </c>
      <c r="F5813" s="0" t="s">
        <v>83</v>
      </c>
      <c r="G5813" s="0" t="s">
        <v>169</v>
      </c>
      <c r="H5813" s="0" t="s">
        <v>169</v>
      </c>
      <c r="I5813" s="0" t="s">
        <v>33</v>
      </c>
      <c r="J5813" s="0" t="s">
        <v>34</v>
      </c>
      <c r="K5813" s="0" t="s">
        <v>30</v>
      </c>
      <c r="L5813" s="0" t="s">
        <v>31</v>
      </c>
      <c r="M5813" s="0" t="s">
        <v>167</v>
      </c>
      <c r="N5813" s="0" t="n">
        <v>568</v>
      </c>
      <c r="O5813" s="10" t="n">
        <v>0.473967151483521</v>
      </c>
      <c r="P5813" s="10" t="n">
        <v>0.143331421539187</v>
      </c>
      <c r="Q5813" s="0" t="str">
        <f aca="false">SUBSTITUTE(SUBSTITUTE($I5813,CHAR(61),""),CHAR(34),"")</f>
        <v>01-09</v>
      </c>
      <c r="R5813" s="0" t="str">
        <f aca="false">IF($D5813&lt;&gt;"","["&amp;$E5813&amp;"]"&amp;"|"&amp;$Q5813&amp;"|"&amp;$K5813&amp;"|"&amp;$G5813&amp;"|"&amp;IF($G5813="TX_CURR_SUBNAT.R","CY2022Q4",$M5813),"")</f>
        <v>[ir8wuHHzoSs]|01-09|Female|Incidence_SUBNAT.Rt.T|CY2024Q3</v>
      </c>
    </row>
    <row r="5814" customFormat="false" ht="15" hidden="false" customHeight="false" outlineLevel="0" collapsed="false">
      <c r="D5814" s="0" t="s">
        <v>81</v>
      </c>
      <c r="E5814" s="0" t="s">
        <v>82</v>
      </c>
      <c r="F5814" s="0" t="s">
        <v>83</v>
      </c>
      <c r="G5814" s="0" t="s">
        <v>169</v>
      </c>
      <c r="H5814" s="0" t="s">
        <v>169</v>
      </c>
      <c r="I5814" s="0" t="s">
        <v>36</v>
      </c>
      <c r="J5814" s="0" t="s">
        <v>37</v>
      </c>
      <c r="K5814" s="0" t="s">
        <v>30</v>
      </c>
      <c r="L5814" s="0" t="s">
        <v>31</v>
      </c>
      <c r="M5814" s="0" t="s">
        <v>167</v>
      </c>
      <c r="N5814" s="0" t="n">
        <v>1710</v>
      </c>
      <c r="O5814" s="10" t="n">
        <v>0.00799761340022087</v>
      </c>
      <c r="P5814" s="10" t="n">
        <v>0.143331421539187</v>
      </c>
      <c r="Q5814" s="0" t="str">
        <f aca="false">SUBSTITUTE(SUBSTITUTE($I5814,CHAR(61),""),CHAR(34),"")</f>
        <v>10-14</v>
      </c>
      <c r="R5814" s="0" t="str">
        <f aca="false">IF($D5814&lt;&gt;"","["&amp;$E5814&amp;"]"&amp;"|"&amp;$Q5814&amp;"|"&amp;$K5814&amp;"|"&amp;$G5814&amp;"|"&amp;IF($G5814="TX_CURR_SUBNAT.R","CY2022Q4",$M5814),"")</f>
        <v>[ir8wuHHzoSs]|10-14|Female|Incidence_SUBNAT.Rt.T|CY2024Q3</v>
      </c>
    </row>
    <row r="5815" customFormat="false" ht="15" hidden="false" customHeight="false" outlineLevel="0" collapsed="false">
      <c r="D5815" s="0" t="s">
        <v>81</v>
      </c>
      <c r="E5815" s="0" t="s">
        <v>82</v>
      </c>
      <c r="F5815" s="0" t="s">
        <v>83</v>
      </c>
      <c r="G5815" s="0" t="s">
        <v>169</v>
      </c>
      <c r="H5815" s="0" t="s">
        <v>169</v>
      </c>
      <c r="I5815" s="0" t="s">
        <v>38</v>
      </c>
      <c r="J5815" s="0" t="s">
        <v>39</v>
      </c>
      <c r="K5815" s="0" t="s">
        <v>30</v>
      </c>
      <c r="L5815" s="0" t="s">
        <v>31</v>
      </c>
      <c r="M5815" s="0" t="s">
        <v>167</v>
      </c>
      <c r="N5815" s="0" t="n">
        <v>694</v>
      </c>
      <c r="O5815" s="10" t="n">
        <v>0.897274043643847</v>
      </c>
      <c r="P5815" s="10" t="n">
        <v>0.143331421539187</v>
      </c>
      <c r="Q5815" s="0" t="str">
        <f aca="false">SUBSTITUTE(SUBSTITUTE($I5815,CHAR(61),""),CHAR(34),"")</f>
        <v>15-24</v>
      </c>
      <c r="R5815" s="0" t="str">
        <f aca="false">IF($D5815&lt;&gt;"","["&amp;$E5815&amp;"]"&amp;"|"&amp;$Q5815&amp;"|"&amp;$K5815&amp;"|"&amp;$G5815&amp;"|"&amp;IF($G5815="TX_CURR_SUBNAT.R","CY2022Q4",$M5815),"")</f>
        <v>[ir8wuHHzoSs]|15-24|Female|Incidence_SUBNAT.Rt.T|CY2024Q3</v>
      </c>
    </row>
    <row r="5816" customFormat="false" ht="15" hidden="false" customHeight="false" outlineLevel="0" collapsed="false">
      <c r="D5816" s="0" t="s">
        <v>81</v>
      </c>
      <c r="E5816" s="0" t="s">
        <v>82</v>
      </c>
      <c r="F5816" s="0" t="s">
        <v>83</v>
      </c>
      <c r="G5816" s="0" t="s">
        <v>169</v>
      </c>
      <c r="H5816" s="0" t="s">
        <v>169</v>
      </c>
      <c r="I5816" s="0" t="s">
        <v>41</v>
      </c>
      <c r="J5816" s="0" t="s">
        <v>42</v>
      </c>
      <c r="K5816" s="0" t="s">
        <v>30</v>
      </c>
      <c r="L5816" s="0" t="s">
        <v>31</v>
      </c>
      <c r="M5816" s="0" t="s">
        <v>167</v>
      </c>
      <c r="N5816" s="0" t="n">
        <v>813</v>
      </c>
      <c r="O5816" s="10" t="n">
        <v>0.405914084753022</v>
      </c>
      <c r="P5816" s="10" t="n">
        <v>0.143331421539187</v>
      </c>
      <c r="Q5816" s="0" t="str">
        <f aca="false">SUBSTITUTE(SUBSTITUTE($I5816,CHAR(61),""),CHAR(34),"")</f>
        <v>25-34</v>
      </c>
      <c r="R5816" s="0" t="str">
        <f aca="false">IF($D5816&lt;&gt;"","["&amp;$E5816&amp;"]"&amp;"|"&amp;$Q5816&amp;"|"&amp;$K5816&amp;"|"&amp;$G5816&amp;"|"&amp;IF($G5816="TX_CURR_SUBNAT.R","CY2022Q4",$M5816),"")</f>
        <v>[ir8wuHHzoSs]|25-34|Female|Incidence_SUBNAT.Rt.T|CY2024Q3</v>
      </c>
    </row>
    <row r="5817" customFormat="false" ht="15" hidden="false" customHeight="false" outlineLevel="0" collapsed="false">
      <c r="D5817" s="0" t="s">
        <v>81</v>
      </c>
      <c r="E5817" s="0" t="s">
        <v>82</v>
      </c>
      <c r="F5817" s="0" t="s">
        <v>83</v>
      </c>
      <c r="G5817" s="0" t="s">
        <v>169</v>
      </c>
      <c r="H5817" s="0" t="s">
        <v>169</v>
      </c>
      <c r="I5817" s="0" t="s">
        <v>43</v>
      </c>
      <c r="J5817" s="0" t="s">
        <v>44</v>
      </c>
      <c r="K5817" s="0" t="s">
        <v>30</v>
      </c>
      <c r="L5817" s="0" t="s">
        <v>31</v>
      </c>
      <c r="M5817" s="0" t="s">
        <v>167</v>
      </c>
      <c r="N5817" s="0" t="n">
        <v>1702</v>
      </c>
      <c r="O5817" s="10" t="n">
        <v>0.353997561847791</v>
      </c>
      <c r="P5817" s="10" t="n">
        <v>0.143331421539187</v>
      </c>
      <c r="Q5817" s="0" t="str">
        <f aca="false">SUBSTITUTE(SUBSTITUTE($I5817,CHAR(61),""),CHAR(34),"")</f>
        <v>35-49</v>
      </c>
      <c r="R5817" s="0" t="str">
        <f aca="false">IF($D5817&lt;&gt;"","["&amp;$E5817&amp;"]"&amp;"|"&amp;$Q5817&amp;"|"&amp;$K5817&amp;"|"&amp;$G5817&amp;"|"&amp;IF($G5817="TX_CURR_SUBNAT.R","CY2022Q4",$M5817),"")</f>
        <v>[ir8wuHHzoSs]|35-49|Female|Incidence_SUBNAT.Rt.T|CY2024Q3</v>
      </c>
    </row>
    <row r="5818" customFormat="false" ht="15" hidden="false" customHeight="false" outlineLevel="0" collapsed="false">
      <c r="D5818" s="0" t="s">
        <v>81</v>
      </c>
      <c r="E5818" s="0" t="s">
        <v>82</v>
      </c>
      <c r="F5818" s="0" t="s">
        <v>83</v>
      </c>
      <c r="G5818" s="0" t="s">
        <v>169</v>
      </c>
      <c r="H5818" s="0" t="s">
        <v>169</v>
      </c>
      <c r="I5818" s="0" t="s">
        <v>45</v>
      </c>
      <c r="J5818" s="0" t="s">
        <v>46</v>
      </c>
      <c r="K5818" s="0" t="s">
        <v>30</v>
      </c>
      <c r="L5818" s="0" t="s">
        <v>31</v>
      </c>
      <c r="M5818" s="0" t="s">
        <v>167</v>
      </c>
      <c r="N5818" s="0" t="n">
        <v>1242</v>
      </c>
      <c r="O5818" s="10" t="n">
        <v>0.115331537555903</v>
      </c>
      <c r="P5818" s="10" t="n">
        <v>0.143331421539187</v>
      </c>
      <c r="Q5818" s="0" t="str">
        <f aca="false">SUBSTITUTE(SUBSTITUTE($I5818,CHAR(61),""),CHAR(34),"")</f>
        <v>50+</v>
      </c>
      <c r="R5818" s="0" t="str">
        <f aca="false">IF($D5818&lt;&gt;"","["&amp;$E5818&amp;"]"&amp;"|"&amp;$Q5818&amp;"|"&amp;$K5818&amp;"|"&amp;$G5818&amp;"|"&amp;IF($G5818="TX_CURR_SUBNAT.R","CY2022Q4",$M5818),"")</f>
        <v>[ir8wuHHzoSs]|50+|Female|Incidence_SUBNAT.Rt.T|CY2024Q3</v>
      </c>
    </row>
    <row r="5819" customFormat="false" ht="15" hidden="false" customHeight="false" outlineLevel="0" collapsed="false">
      <c r="D5819" s="0" t="s">
        <v>81</v>
      </c>
      <c r="E5819" s="0" t="s">
        <v>82</v>
      </c>
      <c r="F5819" s="0" t="s">
        <v>83</v>
      </c>
      <c r="G5819" s="0" t="s">
        <v>169</v>
      </c>
      <c r="H5819" s="0" t="s">
        <v>169</v>
      </c>
      <c r="I5819" s="0" t="s">
        <v>28</v>
      </c>
      <c r="J5819" s="0" t="s">
        <v>29</v>
      </c>
      <c r="K5819" s="0" t="s">
        <v>48</v>
      </c>
      <c r="L5819" s="0" t="s">
        <v>49</v>
      </c>
      <c r="M5819" s="0" t="s">
        <v>167</v>
      </c>
      <c r="N5819" s="0" t="n">
        <v>1193</v>
      </c>
      <c r="O5819" s="10" t="n">
        <v>0.125982046592981</v>
      </c>
      <c r="P5819" s="10" t="n">
        <v>0.143331421539187</v>
      </c>
      <c r="Q5819" s="0" t="str">
        <f aca="false">SUBSTITUTE(SUBSTITUTE($I5819,CHAR(61),""),CHAR(34),"")</f>
        <v>&lt;01</v>
      </c>
      <c r="R5819" s="0" t="str">
        <f aca="false">IF($D5819&lt;&gt;"","["&amp;$E5819&amp;"]"&amp;"|"&amp;$Q5819&amp;"|"&amp;$K5819&amp;"|"&amp;$G5819&amp;"|"&amp;IF($G5819="TX_CURR_SUBNAT.R","CY2022Q4",$M5819),"")</f>
        <v>[ir8wuHHzoSs]|&lt;01|Male|Incidence_SUBNAT.Rt.T|CY2024Q3</v>
      </c>
    </row>
    <row r="5820" customFormat="false" ht="15" hidden="false" customHeight="false" outlineLevel="0" collapsed="false">
      <c r="D5820" s="0" t="s">
        <v>81</v>
      </c>
      <c r="E5820" s="0" t="s">
        <v>82</v>
      </c>
      <c r="F5820" s="0" t="s">
        <v>83</v>
      </c>
      <c r="G5820" s="0" t="s">
        <v>169</v>
      </c>
      <c r="H5820" s="0" t="s">
        <v>169</v>
      </c>
      <c r="I5820" s="0" t="s">
        <v>33</v>
      </c>
      <c r="J5820" s="0" t="s">
        <v>34</v>
      </c>
      <c r="K5820" s="0" t="s">
        <v>48</v>
      </c>
      <c r="L5820" s="0" t="s">
        <v>49</v>
      </c>
      <c r="M5820" s="0" t="s">
        <v>167</v>
      </c>
      <c r="N5820" s="0" t="n">
        <v>1988</v>
      </c>
      <c r="O5820" s="10" t="n">
        <v>0.0437798409257084</v>
      </c>
      <c r="P5820" s="10" t="n">
        <v>0.143331421539187</v>
      </c>
      <c r="Q5820" s="0" t="str">
        <f aca="false">SUBSTITUTE(SUBSTITUTE($I5820,CHAR(61),""),CHAR(34),"")</f>
        <v>01-09</v>
      </c>
      <c r="R5820" s="0" t="str">
        <f aca="false">IF($D5820&lt;&gt;"","["&amp;$E5820&amp;"]"&amp;"|"&amp;$Q5820&amp;"|"&amp;$K5820&amp;"|"&amp;$G5820&amp;"|"&amp;IF($G5820="TX_CURR_SUBNAT.R","CY2022Q4",$M5820),"")</f>
        <v>[ir8wuHHzoSs]|01-09|Male|Incidence_SUBNAT.Rt.T|CY2024Q3</v>
      </c>
    </row>
    <row r="5821" customFormat="false" ht="15" hidden="false" customHeight="false" outlineLevel="0" collapsed="false">
      <c r="D5821" s="0" t="s">
        <v>81</v>
      </c>
      <c r="E5821" s="0" t="s">
        <v>82</v>
      </c>
      <c r="F5821" s="0" t="s">
        <v>83</v>
      </c>
      <c r="G5821" s="0" t="s">
        <v>169</v>
      </c>
      <c r="H5821" s="0" t="s">
        <v>169</v>
      </c>
      <c r="I5821" s="0" t="s">
        <v>36</v>
      </c>
      <c r="J5821" s="0" t="s">
        <v>37</v>
      </c>
      <c r="K5821" s="0" t="s">
        <v>48</v>
      </c>
      <c r="L5821" s="0" t="s">
        <v>49</v>
      </c>
      <c r="M5821" s="0" t="s">
        <v>167</v>
      </c>
      <c r="N5821" s="0" t="n">
        <v>1670</v>
      </c>
      <c r="O5821" s="10" t="n">
        <v>0.113533200230449</v>
      </c>
      <c r="P5821" s="10" t="n">
        <v>0.143331421539187</v>
      </c>
      <c r="Q5821" s="0" t="str">
        <f aca="false">SUBSTITUTE(SUBSTITUTE($I5821,CHAR(61),""),CHAR(34),"")</f>
        <v>10-14</v>
      </c>
      <c r="R5821" s="0" t="str">
        <f aca="false">IF($D5821&lt;&gt;"","["&amp;$E5821&amp;"]"&amp;"|"&amp;$Q5821&amp;"|"&amp;$K5821&amp;"|"&amp;$G5821&amp;"|"&amp;IF($G5821="TX_CURR_SUBNAT.R","CY2022Q4",$M5821),"")</f>
        <v>[ir8wuHHzoSs]|10-14|Male|Incidence_SUBNAT.Rt.T|CY2024Q3</v>
      </c>
    </row>
    <row r="5822" customFormat="false" ht="15" hidden="false" customHeight="false" outlineLevel="0" collapsed="false">
      <c r="D5822" s="0" t="s">
        <v>81</v>
      </c>
      <c r="E5822" s="0" t="s">
        <v>82</v>
      </c>
      <c r="F5822" s="0" t="s">
        <v>83</v>
      </c>
      <c r="G5822" s="0" t="s">
        <v>169</v>
      </c>
      <c r="H5822" s="0" t="s">
        <v>169</v>
      </c>
      <c r="I5822" s="0" t="s">
        <v>38</v>
      </c>
      <c r="J5822" s="0" t="s">
        <v>39</v>
      </c>
      <c r="K5822" s="0" t="s">
        <v>48</v>
      </c>
      <c r="L5822" s="0" t="s">
        <v>49</v>
      </c>
      <c r="M5822" s="0" t="s">
        <v>167</v>
      </c>
      <c r="N5822" s="0" t="n">
        <v>1568</v>
      </c>
      <c r="O5822" s="10" t="n">
        <v>0.372166400076821</v>
      </c>
      <c r="P5822" s="10" t="n">
        <v>0.143331421539187</v>
      </c>
      <c r="Q5822" s="0" t="str">
        <f aca="false">SUBSTITUTE(SUBSTITUTE($I5822,CHAR(61),""),CHAR(34),"")</f>
        <v>15-24</v>
      </c>
      <c r="R5822" s="0" t="str">
        <f aca="false">IF($D5822&lt;&gt;"","["&amp;$E5822&amp;"]"&amp;"|"&amp;$Q5822&amp;"|"&amp;$K5822&amp;"|"&amp;$G5822&amp;"|"&amp;IF($G5822="TX_CURR_SUBNAT.R","CY2022Q4",$M5822),"")</f>
        <v>[ir8wuHHzoSs]|15-24|Male|Incidence_SUBNAT.Rt.T|CY2024Q3</v>
      </c>
    </row>
    <row r="5823" customFormat="false" ht="15" hidden="false" customHeight="false" outlineLevel="0" collapsed="false">
      <c r="D5823" s="0" t="s">
        <v>81</v>
      </c>
      <c r="E5823" s="0" t="s">
        <v>82</v>
      </c>
      <c r="F5823" s="0" t="s">
        <v>83</v>
      </c>
      <c r="G5823" s="0" t="s">
        <v>169</v>
      </c>
      <c r="H5823" s="0" t="s">
        <v>169</v>
      </c>
      <c r="I5823" s="0" t="s">
        <v>41</v>
      </c>
      <c r="J5823" s="0" t="s">
        <v>42</v>
      </c>
      <c r="K5823" s="0" t="s">
        <v>48</v>
      </c>
      <c r="L5823" s="0" t="s">
        <v>49</v>
      </c>
      <c r="M5823" s="0" t="s">
        <v>167</v>
      </c>
      <c r="N5823" s="0" t="n">
        <v>1826</v>
      </c>
      <c r="O5823" s="10" t="n">
        <v>0.796290176920593</v>
      </c>
      <c r="P5823" s="10" t="n">
        <v>0.143331421539187</v>
      </c>
      <c r="Q5823" s="0" t="str">
        <f aca="false">SUBSTITUTE(SUBSTITUTE($I5823,CHAR(61),""),CHAR(34),"")</f>
        <v>25-34</v>
      </c>
      <c r="R5823" s="0" t="str">
        <f aca="false">IF($D5823&lt;&gt;"","["&amp;$E5823&amp;"]"&amp;"|"&amp;$Q5823&amp;"|"&amp;$K5823&amp;"|"&amp;$G5823&amp;"|"&amp;IF($G5823="TX_CURR_SUBNAT.R","CY2022Q4",$M5823),"")</f>
        <v>[ir8wuHHzoSs]|25-34|Male|Incidence_SUBNAT.Rt.T|CY2024Q3</v>
      </c>
    </row>
    <row r="5824" customFormat="false" ht="15" hidden="false" customHeight="false" outlineLevel="0" collapsed="false">
      <c r="D5824" s="0" t="s">
        <v>81</v>
      </c>
      <c r="E5824" s="0" t="s">
        <v>82</v>
      </c>
      <c r="F5824" s="0" t="s">
        <v>83</v>
      </c>
      <c r="G5824" s="0" t="s">
        <v>169</v>
      </c>
      <c r="H5824" s="0" t="s">
        <v>169</v>
      </c>
      <c r="I5824" s="0" t="s">
        <v>43</v>
      </c>
      <c r="J5824" s="0" t="s">
        <v>44</v>
      </c>
      <c r="K5824" s="0" t="s">
        <v>48</v>
      </c>
      <c r="L5824" s="0" t="s">
        <v>49</v>
      </c>
      <c r="M5824" s="0" t="s">
        <v>167</v>
      </c>
      <c r="N5824" s="0" t="n">
        <v>1643</v>
      </c>
      <c r="O5824" s="10" t="n">
        <v>0.24053972447291</v>
      </c>
      <c r="P5824" s="10" t="n">
        <v>0.143331421539187</v>
      </c>
      <c r="Q5824" s="0" t="str">
        <f aca="false">SUBSTITUTE(SUBSTITUTE($I5824,CHAR(61),""),CHAR(34),"")</f>
        <v>35-49</v>
      </c>
      <c r="R5824" s="0" t="str">
        <f aca="false">IF($D5824&lt;&gt;"","["&amp;$E5824&amp;"]"&amp;"|"&amp;$Q5824&amp;"|"&amp;$K5824&amp;"|"&amp;$G5824&amp;"|"&amp;IF($G5824="TX_CURR_SUBNAT.R","CY2022Q4",$M5824),"")</f>
        <v>[ir8wuHHzoSs]|35-49|Male|Incidence_SUBNAT.Rt.T|CY2024Q3</v>
      </c>
    </row>
    <row r="5825" customFormat="false" ht="15" hidden="false" customHeight="false" outlineLevel="0" collapsed="false">
      <c r="D5825" s="0" t="s">
        <v>81</v>
      </c>
      <c r="E5825" s="0" t="s">
        <v>82</v>
      </c>
      <c r="F5825" s="0" t="s">
        <v>83</v>
      </c>
      <c r="G5825" s="0" t="s">
        <v>169</v>
      </c>
      <c r="H5825" s="0" t="s">
        <v>169</v>
      </c>
      <c r="I5825" s="0" t="s">
        <v>45</v>
      </c>
      <c r="J5825" s="0" t="s">
        <v>46</v>
      </c>
      <c r="K5825" s="0" t="s">
        <v>48</v>
      </c>
      <c r="L5825" s="0" t="s">
        <v>49</v>
      </c>
      <c r="M5825" s="0" t="s">
        <v>167</v>
      </c>
      <c r="N5825" s="0" t="n">
        <v>1678</v>
      </c>
      <c r="O5825" s="10" t="n">
        <v>0.153568101115525</v>
      </c>
      <c r="P5825" s="10" t="n">
        <v>0.143331421539187</v>
      </c>
      <c r="Q5825" s="0" t="str">
        <f aca="false">SUBSTITUTE(SUBSTITUTE($I5825,CHAR(61),""),CHAR(34),"")</f>
        <v>50+</v>
      </c>
      <c r="R5825" s="0" t="str">
        <f aca="false">IF($D5825&lt;&gt;"","["&amp;$E5825&amp;"]"&amp;"|"&amp;$Q5825&amp;"|"&amp;$K5825&amp;"|"&amp;$G5825&amp;"|"&amp;IF($G5825="TX_CURR_SUBNAT.R","CY2022Q4",$M5825),"")</f>
        <v>[ir8wuHHzoSs]|50+|Male|Incidence_SUBNAT.Rt.T|CY2024Q3</v>
      </c>
    </row>
    <row r="5826" customFormat="false" ht="15" hidden="false" customHeight="false" outlineLevel="0" collapsed="false">
      <c r="D5826" s="0" t="s">
        <v>84</v>
      </c>
      <c r="E5826" s="0" t="s">
        <v>85</v>
      </c>
      <c r="F5826" s="0" t="s">
        <v>86</v>
      </c>
      <c r="G5826" s="0" t="s">
        <v>169</v>
      </c>
      <c r="H5826" s="0" t="s">
        <v>169</v>
      </c>
      <c r="I5826" s="0" t="s">
        <v>28</v>
      </c>
      <c r="J5826" s="0" t="s">
        <v>29</v>
      </c>
      <c r="K5826" s="0" t="s">
        <v>30</v>
      </c>
      <c r="L5826" s="0" t="s">
        <v>31</v>
      </c>
      <c r="M5826" s="0" t="s">
        <v>167</v>
      </c>
      <c r="N5826" s="0" t="n">
        <v>1721</v>
      </c>
      <c r="O5826" s="10" t="n">
        <v>0.337413124507293</v>
      </c>
      <c r="P5826" s="10" t="n">
        <v>0.0297887143678963</v>
      </c>
      <c r="Q5826" s="0" t="str">
        <f aca="false">SUBSTITUTE(SUBSTITUTE($I5826,CHAR(61),""),CHAR(34),"")</f>
        <v>&lt;01</v>
      </c>
      <c r="R5826" s="0" t="str">
        <f aca="false">IF($D5826&lt;&gt;"","["&amp;$E5826&amp;"]"&amp;"|"&amp;$Q5826&amp;"|"&amp;$K5826&amp;"|"&amp;$G5826&amp;"|"&amp;IF($G5826="TX_CURR_SUBNAT.R","CY2022Q4",$M5826),"")</f>
        <v>[fyEoGEPERdI]|&lt;01|Female|Incidence_SUBNAT.Rt.T|CY2024Q3</v>
      </c>
    </row>
    <row r="5827" customFormat="false" ht="15" hidden="false" customHeight="false" outlineLevel="0" collapsed="false">
      <c r="D5827" s="0" t="s">
        <v>84</v>
      </c>
      <c r="E5827" s="0" t="s">
        <v>85</v>
      </c>
      <c r="F5827" s="0" t="s">
        <v>86</v>
      </c>
      <c r="G5827" s="0" t="s">
        <v>169</v>
      </c>
      <c r="H5827" s="0" t="s">
        <v>169</v>
      </c>
      <c r="I5827" s="0" t="s">
        <v>33</v>
      </c>
      <c r="J5827" s="0" t="s">
        <v>34</v>
      </c>
      <c r="K5827" s="0" t="s">
        <v>30</v>
      </c>
      <c r="L5827" s="0" t="s">
        <v>31</v>
      </c>
      <c r="M5827" s="0" t="s">
        <v>167</v>
      </c>
      <c r="N5827" s="0" t="n">
        <v>663</v>
      </c>
      <c r="O5827" s="10" t="n">
        <v>0.783233379013836</v>
      </c>
      <c r="P5827" s="10" t="n">
        <v>0.0297887143678963</v>
      </c>
      <c r="Q5827" s="0" t="str">
        <f aca="false">SUBSTITUTE(SUBSTITUTE($I5827,CHAR(61),""),CHAR(34),"")</f>
        <v>01-09</v>
      </c>
      <c r="R5827" s="0" t="str">
        <f aca="false">IF($D5827&lt;&gt;"","["&amp;$E5827&amp;"]"&amp;"|"&amp;$Q5827&amp;"|"&amp;$K5827&amp;"|"&amp;$G5827&amp;"|"&amp;IF($G5827="TX_CURR_SUBNAT.R","CY2022Q4",$M5827),"")</f>
        <v>[fyEoGEPERdI]|01-09|Female|Incidence_SUBNAT.Rt.T|CY2024Q3</v>
      </c>
    </row>
    <row r="5828" customFormat="false" ht="15" hidden="false" customHeight="false" outlineLevel="0" collapsed="false">
      <c r="D5828" s="0" t="s">
        <v>84</v>
      </c>
      <c r="E5828" s="0" t="s">
        <v>85</v>
      </c>
      <c r="F5828" s="0" t="s">
        <v>86</v>
      </c>
      <c r="G5828" s="0" t="s">
        <v>169</v>
      </c>
      <c r="H5828" s="0" t="s">
        <v>169</v>
      </c>
      <c r="I5828" s="0" t="s">
        <v>36</v>
      </c>
      <c r="J5828" s="0" t="s">
        <v>37</v>
      </c>
      <c r="K5828" s="0" t="s">
        <v>30</v>
      </c>
      <c r="L5828" s="0" t="s">
        <v>31</v>
      </c>
      <c r="M5828" s="0" t="s">
        <v>167</v>
      </c>
      <c r="N5828" s="0" t="n">
        <v>846</v>
      </c>
      <c r="O5828" s="10" t="n">
        <v>0.534047383582219</v>
      </c>
      <c r="P5828" s="10" t="n">
        <v>0.0297887143678963</v>
      </c>
      <c r="Q5828" s="0" t="str">
        <f aca="false">SUBSTITUTE(SUBSTITUTE($I5828,CHAR(61),""),CHAR(34),"")</f>
        <v>10-14</v>
      </c>
      <c r="R5828" s="0" t="str">
        <f aca="false">IF($D5828&lt;&gt;"","["&amp;$E5828&amp;"]"&amp;"|"&amp;$Q5828&amp;"|"&amp;$K5828&amp;"|"&amp;$G5828&amp;"|"&amp;IF($G5828="TX_CURR_SUBNAT.R","CY2022Q4",$M5828),"")</f>
        <v>[fyEoGEPERdI]|10-14|Female|Incidence_SUBNAT.Rt.T|CY2024Q3</v>
      </c>
    </row>
    <row r="5829" customFormat="false" ht="15" hidden="false" customHeight="false" outlineLevel="0" collapsed="false">
      <c r="D5829" s="0" t="s">
        <v>84</v>
      </c>
      <c r="E5829" s="0" t="s">
        <v>85</v>
      </c>
      <c r="F5829" s="0" t="s">
        <v>86</v>
      </c>
      <c r="G5829" s="0" t="s">
        <v>169</v>
      </c>
      <c r="H5829" s="0" t="s">
        <v>169</v>
      </c>
      <c r="I5829" s="0" t="s">
        <v>38</v>
      </c>
      <c r="J5829" s="0" t="s">
        <v>39</v>
      </c>
      <c r="K5829" s="0" t="s">
        <v>30</v>
      </c>
      <c r="L5829" s="0" t="s">
        <v>31</v>
      </c>
      <c r="M5829" s="0" t="s">
        <v>167</v>
      </c>
      <c r="N5829" s="0" t="n">
        <v>1453</v>
      </c>
      <c r="O5829" s="10" t="n">
        <v>0.651162025518715</v>
      </c>
      <c r="P5829" s="10" t="n">
        <v>0.0297887143678963</v>
      </c>
      <c r="Q5829" s="0" t="str">
        <f aca="false">SUBSTITUTE(SUBSTITUTE($I5829,CHAR(61),""),CHAR(34),"")</f>
        <v>15-24</v>
      </c>
      <c r="R5829" s="0" t="str">
        <f aca="false">IF($D5829&lt;&gt;"","["&amp;$E5829&amp;"]"&amp;"|"&amp;$Q5829&amp;"|"&amp;$K5829&amp;"|"&amp;$G5829&amp;"|"&amp;IF($G5829="TX_CURR_SUBNAT.R","CY2022Q4",$M5829),"")</f>
        <v>[fyEoGEPERdI]|15-24|Female|Incidence_SUBNAT.Rt.T|CY2024Q3</v>
      </c>
    </row>
    <row r="5830" customFormat="false" ht="15" hidden="false" customHeight="false" outlineLevel="0" collapsed="false">
      <c r="D5830" s="0" t="s">
        <v>84</v>
      </c>
      <c r="E5830" s="0" t="s">
        <v>85</v>
      </c>
      <c r="F5830" s="0" t="s">
        <v>86</v>
      </c>
      <c r="G5830" s="0" t="s">
        <v>169</v>
      </c>
      <c r="H5830" s="0" t="s">
        <v>169</v>
      </c>
      <c r="I5830" s="0" t="s">
        <v>41</v>
      </c>
      <c r="J5830" s="0" t="s">
        <v>42</v>
      </c>
      <c r="K5830" s="0" t="s">
        <v>30</v>
      </c>
      <c r="L5830" s="0" t="s">
        <v>31</v>
      </c>
      <c r="M5830" s="0" t="s">
        <v>167</v>
      </c>
      <c r="N5830" s="0" t="n">
        <v>1481</v>
      </c>
      <c r="O5830" s="10" t="n">
        <v>0.0861482683103532</v>
      </c>
      <c r="P5830" s="10" t="n">
        <v>0.0297887143678963</v>
      </c>
      <c r="Q5830" s="0" t="str">
        <f aca="false">SUBSTITUTE(SUBSTITUTE($I5830,CHAR(61),""),CHAR(34),"")</f>
        <v>25-34</v>
      </c>
      <c r="R5830" s="0" t="str">
        <f aca="false">IF($D5830&lt;&gt;"","["&amp;$E5830&amp;"]"&amp;"|"&amp;$Q5830&amp;"|"&amp;$K5830&amp;"|"&amp;$G5830&amp;"|"&amp;IF($G5830="TX_CURR_SUBNAT.R","CY2022Q4",$M5830),"")</f>
        <v>[fyEoGEPERdI]|25-34|Female|Incidence_SUBNAT.Rt.T|CY2024Q3</v>
      </c>
    </row>
    <row r="5831" customFormat="false" ht="15" hidden="false" customHeight="false" outlineLevel="0" collapsed="false">
      <c r="D5831" s="0" t="s">
        <v>84</v>
      </c>
      <c r="E5831" s="0" t="s">
        <v>85</v>
      </c>
      <c r="F5831" s="0" t="s">
        <v>86</v>
      </c>
      <c r="G5831" s="0" t="s">
        <v>169</v>
      </c>
      <c r="H5831" s="0" t="s">
        <v>169</v>
      </c>
      <c r="I5831" s="0" t="s">
        <v>43</v>
      </c>
      <c r="J5831" s="0" t="s">
        <v>44</v>
      </c>
      <c r="K5831" s="0" t="s">
        <v>30</v>
      </c>
      <c r="L5831" s="0" t="s">
        <v>31</v>
      </c>
      <c r="M5831" s="0" t="s">
        <v>167</v>
      </c>
      <c r="N5831" s="0" t="n">
        <v>1444</v>
      </c>
      <c r="O5831" s="10" t="n">
        <v>0.764511459041387</v>
      </c>
      <c r="P5831" s="10" t="n">
        <v>0.0297887143678963</v>
      </c>
      <c r="Q5831" s="0" t="str">
        <f aca="false">SUBSTITUTE(SUBSTITUTE($I5831,CHAR(61),""),CHAR(34),"")</f>
        <v>35-49</v>
      </c>
      <c r="R5831" s="0" t="str">
        <f aca="false">IF($D5831&lt;&gt;"","["&amp;$E5831&amp;"]"&amp;"|"&amp;$Q5831&amp;"|"&amp;$K5831&amp;"|"&amp;$G5831&amp;"|"&amp;IF($G5831="TX_CURR_SUBNAT.R","CY2022Q4",$M5831),"")</f>
        <v>[fyEoGEPERdI]|35-49|Female|Incidence_SUBNAT.Rt.T|CY2024Q3</v>
      </c>
    </row>
    <row r="5832" customFormat="false" ht="15" hidden="false" customHeight="false" outlineLevel="0" collapsed="false">
      <c r="D5832" s="0" t="s">
        <v>84</v>
      </c>
      <c r="E5832" s="0" t="s">
        <v>85</v>
      </c>
      <c r="F5832" s="0" t="s">
        <v>86</v>
      </c>
      <c r="G5832" s="0" t="s">
        <v>169</v>
      </c>
      <c r="H5832" s="0" t="s">
        <v>169</v>
      </c>
      <c r="I5832" s="0" t="s">
        <v>45</v>
      </c>
      <c r="J5832" s="0" t="s">
        <v>46</v>
      </c>
      <c r="K5832" s="0" t="s">
        <v>30</v>
      </c>
      <c r="L5832" s="0" t="s">
        <v>31</v>
      </c>
      <c r="M5832" s="0" t="s">
        <v>167</v>
      </c>
      <c r="N5832" s="0" t="n">
        <v>1479</v>
      </c>
      <c r="O5832" s="10" t="n">
        <v>0.649939755909145</v>
      </c>
      <c r="P5832" s="10" t="n">
        <v>0.0297887143678963</v>
      </c>
      <c r="Q5832" s="0" t="str">
        <f aca="false">SUBSTITUTE(SUBSTITUTE($I5832,CHAR(61),""),CHAR(34),"")</f>
        <v>50+</v>
      </c>
      <c r="R5832" s="0" t="str">
        <f aca="false">IF($D5832&lt;&gt;"","["&amp;$E5832&amp;"]"&amp;"|"&amp;$Q5832&amp;"|"&amp;$K5832&amp;"|"&amp;$G5832&amp;"|"&amp;IF($G5832="TX_CURR_SUBNAT.R","CY2022Q4",$M5832),"")</f>
        <v>[fyEoGEPERdI]|50+|Female|Incidence_SUBNAT.Rt.T|CY2024Q3</v>
      </c>
    </row>
    <row r="5833" customFormat="false" ht="15" hidden="false" customHeight="false" outlineLevel="0" collapsed="false">
      <c r="D5833" s="0" t="s">
        <v>84</v>
      </c>
      <c r="E5833" s="0" t="s">
        <v>85</v>
      </c>
      <c r="F5833" s="0" t="s">
        <v>86</v>
      </c>
      <c r="G5833" s="0" t="s">
        <v>169</v>
      </c>
      <c r="H5833" s="0" t="s">
        <v>169</v>
      </c>
      <c r="I5833" s="0" t="s">
        <v>28</v>
      </c>
      <c r="J5833" s="0" t="s">
        <v>29</v>
      </c>
      <c r="K5833" s="0" t="s">
        <v>48</v>
      </c>
      <c r="L5833" s="0" t="s">
        <v>49</v>
      </c>
      <c r="M5833" s="0" t="s">
        <v>167</v>
      </c>
      <c r="N5833" s="0" t="n">
        <v>1851</v>
      </c>
      <c r="O5833" s="10" t="n">
        <v>0.0706639648415148</v>
      </c>
      <c r="P5833" s="10" t="n">
        <v>0.0297887143678963</v>
      </c>
      <c r="Q5833" s="0" t="str">
        <f aca="false">SUBSTITUTE(SUBSTITUTE($I5833,CHAR(61),""),CHAR(34),"")</f>
        <v>&lt;01</v>
      </c>
      <c r="R5833" s="0" t="str">
        <f aca="false">IF($D5833&lt;&gt;"","["&amp;$E5833&amp;"]"&amp;"|"&amp;$Q5833&amp;"|"&amp;$K5833&amp;"|"&amp;$G5833&amp;"|"&amp;IF($G5833="TX_CURR_SUBNAT.R","CY2022Q4",$M5833),"")</f>
        <v>[fyEoGEPERdI]|&lt;01|Male|Incidence_SUBNAT.Rt.T|CY2024Q3</v>
      </c>
    </row>
    <row r="5834" customFormat="false" ht="15" hidden="false" customHeight="false" outlineLevel="0" collapsed="false">
      <c r="D5834" s="0" t="s">
        <v>84</v>
      </c>
      <c r="E5834" s="0" t="s">
        <v>85</v>
      </c>
      <c r="F5834" s="0" t="s">
        <v>86</v>
      </c>
      <c r="G5834" s="0" t="s">
        <v>169</v>
      </c>
      <c r="H5834" s="0" t="s">
        <v>169</v>
      </c>
      <c r="I5834" s="0" t="s">
        <v>33</v>
      </c>
      <c r="J5834" s="0" t="s">
        <v>34</v>
      </c>
      <c r="K5834" s="0" t="s">
        <v>48</v>
      </c>
      <c r="L5834" s="0" t="s">
        <v>49</v>
      </c>
      <c r="M5834" s="0" t="s">
        <v>167</v>
      </c>
      <c r="N5834" s="0" t="n">
        <v>1833</v>
      </c>
      <c r="O5834" s="10" t="n">
        <v>0.255856045754626</v>
      </c>
      <c r="P5834" s="10" t="n">
        <v>0.0297887143678963</v>
      </c>
      <c r="Q5834" s="0" t="str">
        <f aca="false">SUBSTITUTE(SUBSTITUTE($I5834,CHAR(61),""),CHAR(34),"")</f>
        <v>01-09</v>
      </c>
      <c r="R5834" s="0" t="str">
        <f aca="false">IF($D5834&lt;&gt;"","["&amp;$E5834&amp;"]"&amp;"|"&amp;$Q5834&amp;"|"&amp;$K5834&amp;"|"&amp;$G5834&amp;"|"&amp;IF($G5834="TX_CURR_SUBNAT.R","CY2022Q4",$M5834),"")</f>
        <v>[fyEoGEPERdI]|01-09|Male|Incidence_SUBNAT.Rt.T|CY2024Q3</v>
      </c>
    </row>
    <row r="5835" customFormat="false" ht="15" hidden="false" customHeight="false" outlineLevel="0" collapsed="false">
      <c r="D5835" s="0" t="s">
        <v>84</v>
      </c>
      <c r="E5835" s="0" t="s">
        <v>85</v>
      </c>
      <c r="F5835" s="0" t="s">
        <v>86</v>
      </c>
      <c r="G5835" s="0" t="s">
        <v>169</v>
      </c>
      <c r="H5835" s="0" t="s">
        <v>169</v>
      </c>
      <c r="I5835" s="0" t="s">
        <v>36</v>
      </c>
      <c r="J5835" s="0" t="s">
        <v>37</v>
      </c>
      <c r="K5835" s="0" t="s">
        <v>48</v>
      </c>
      <c r="L5835" s="0" t="s">
        <v>49</v>
      </c>
      <c r="M5835" s="0" t="s">
        <v>167</v>
      </c>
      <c r="N5835" s="0" t="n">
        <v>517</v>
      </c>
      <c r="O5835" s="10" t="n">
        <v>0.105232112575322</v>
      </c>
      <c r="P5835" s="10" t="n">
        <v>0.0297887143678963</v>
      </c>
      <c r="Q5835" s="0" t="str">
        <f aca="false">SUBSTITUTE(SUBSTITUTE($I5835,CHAR(61),""),CHAR(34),"")</f>
        <v>10-14</v>
      </c>
      <c r="R5835" s="0" t="str">
        <f aca="false">IF($D5835&lt;&gt;"","["&amp;$E5835&amp;"]"&amp;"|"&amp;$Q5835&amp;"|"&amp;$K5835&amp;"|"&amp;$G5835&amp;"|"&amp;IF($G5835="TX_CURR_SUBNAT.R","CY2022Q4",$M5835),"")</f>
        <v>[fyEoGEPERdI]|10-14|Male|Incidence_SUBNAT.Rt.T|CY2024Q3</v>
      </c>
    </row>
    <row r="5836" customFormat="false" ht="15" hidden="false" customHeight="false" outlineLevel="0" collapsed="false">
      <c r="D5836" s="0" t="s">
        <v>84</v>
      </c>
      <c r="E5836" s="0" t="s">
        <v>85</v>
      </c>
      <c r="F5836" s="0" t="s">
        <v>86</v>
      </c>
      <c r="G5836" s="0" t="s">
        <v>169</v>
      </c>
      <c r="H5836" s="0" t="s">
        <v>169</v>
      </c>
      <c r="I5836" s="0" t="s">
        <v>38</v>
      </c>
      <c r="J5836" s="0" t="s">
        <v>39</v>
      </c>
      <c r="K5836" s="0" t="s">
        <v>48</v>
      </c>
      <c r="L5836" s="0" t="s">
        <v>49</v>
      </c>
      <c r="M5836" s="0" t="s">
        <v>167</v>
      </c>
      <c r="N5836" s="0" t="n">
        <v>1029</v>
      </c>
      <c r="O5836" s="10" t="n">
        <v>0.868162540020421</v>
      </c>
      <c r="P5836" s="10" t="n">
        <v>0.0297887143678963</v>
      </c>
      <c r="Q5836" s="0" t="str">
        <f aca="false">SUBSTITUTE(SUBSTITUTE($I5836,CHAR(61),""),CHAR(34),"")</f>
        <v>15-24</v>
      </c>
      <c r="R5836" s="0" t="str">
        <f aca="false">IF($D5836&lt;&gt;"","["&amp;$E5836&amp;"]"&amp;"|"&amp;$Q5836&amp;"|"&amp;$K5836&amp;"|"&amp;$G5836&amp;"|"&amp;IF($G5836="TX_CURR_SUBNAT.R","CY2022Q4",$M5836),"")</f>
        <v>[fyEoGEPERdI]|15-24|Male|Incidence_SUBNAT.Rt.T|CY2024Q3</v>
      </c>
    </row>
    <row r="5837" customFormat="false" ht="15" hidden="false" customHeight="false" outlineLevel="0" collapsed="false">
      <c r="D5837" s="0" t="s">
        <v>84</v>
      </c>
      <c r="E5837" s="0" t="s">
        <v>85</v>
      </c>
      <c r="F5837" s="0" t="s">
        <v>86</v>
      </c>
      <c r="G5837" s="0" t="s">
        <v>169</v>
      </c>
      <c r="H5837" s="0" t="s">
        <v>169</v>
      </c>
      <c r="I5837" s="0" t="s">
        <v>41</v>
      </c>
      <c r="J5837" s="0" t="s">
        <v>42</v>
      </c>
      <c r="K5837" s="0" t="s">
        <v>48</v>
      </c>
      <c r="L5837" s="0" t="s">
        <v>49</v>
      </c>
      <c r="M5837" s="0" t="s">
        <v>167</v>
      </c>
      <c r="N5837" s="0" t="n">
        <v>1768</v>
      </c>
      <c r="O5837" s="10" t="n">
        <v>0.616414435207844</v>
      </c>
      <c r="P5837" s="10" t="n">
        <v>0.0297887143678963</v>
      </c>
      <c r="Q5837" s="0" t="str">
        <f aca="false">SUBSTITUTE(SUBSTITUTE($I5837,CHAR(61),""),CHAR(34),"")</f>
        <v>25-34</v>
      </c>
      <c r="R5837" s="0" t="str">
        <f aca="false">IF($D5837&lt;&gt;"","["&amp;$E5837&amp;"]"&amp;"|"&amp;$Q5837&amp;"|"&amp;$K5837&amp;"|"&amp;$G5837&amp;"|"&amp;IF($G5837="TX_CURR_SUBNAT.R","CY2022Q4",$M5837),"")</f>
        <v>[fyEoGEPERdI]|25-34|Male|Incidence_SUBNAT.Rt.T|CY2024Q3</v>
      </c>
    </row>
    <row r="5838" customFormat="false" ht="15" hidden="false" customHeight="false" outlineLevel="0" collapsed="false">
      <c r="D5838" s="0" t="s">
        <v>84</v>
      </c>
      <c r="E5838" s="0" t="s">
        <v>85</v>
      </c>
      <c r="F5838" s="0" t="s">
        <v>86</v>
      </c>
      <c r="G5838" s="0" t="s">
        <v>169</v>
      </c>
      <c r="H5838" s="0" t="s">
        <v>169</v>
      </c>
      <c r="I5838" s="0" t="s">
        <v>43</v>
      </c>
      <c r="J5838" s="0" t="s">
        <v>44</v>
      </c>
      <c r="K5838" s="0" t="s">
        <v>48</v>
      </c>
      <c r="L5838" s="0" t="s">
        <v>49</v>
      </c>
      <c r="M5838" s="0" t="s">
        <v>167</v>
      </c>
      <c r="N5838" s="0" t="n">
        <v>1450</v>
      </c>
      <c r="O5838" s="10" t="n">
        <v>0.066625745035708</v>
      </c>
      <c r="P5838" s="10" t="n">
        <v>0.0297887143678963</v>
      </c>
      <c r="Q5838" s="0" t="str">
        <f aca="false">SUBSTITUTE(SUBSTITUTE($I5838,CHAR(61),""),CHAR(34),"")</f>
        <v>35-49</v>
      </c>
      <c r="R5838" s="0" t="str">
        <f aca="false">IF($D5838&lt;&gt;"","["&amp;$E5838&amp;"]"&amp;"|"&amp;$Q5838&amp;"|"&amp;$K5838&amp;"|"&amp;$G5838&amp;"|"&amp;IF($G5838="TX_CURR_SUBNAT.R","CY2022Q4",$M5838),"")</f>
        <v>[fyEoGEPERdI]|35-49|Male|Incidence_SUBNAT.Rt.T|CY2024Q3</v>
      </c>
    </row>
    <row r="5839" customFormat="false" ht="15" hidden="false" customHeight="false" outlineLevel="0" collapsed="false">
      <c r="D5839" s="0" t="s">
        <v>84</v>
      </c>
      <c r="E5839" s="0" t="s">
        <v>85</v>
      </c>
      <c r="F5839" s="0" t="s">
        <v>86</v>
      </c>
      <c r="G5839" s="0" t="s">
        <v>169</v>
      </c>
      <c r="H5839" s="0" t="s">
        <v>169</v>
      </c>
      <c r="I5839" s="0" t="s">
        <v>45</v>
      </c>
      <c r="J5839" s="0" t="s">
        <v>46</v>
      </c>
      <c r="K5839" s="0" t="s">
        <v>48</v>
      </c>
      <c r="L5839" s="0" t="s">
        <v>49</v>
      </c>
      <c r="M5839" s="0" t="s">
        <v>167</v>
      </c>
      <c r="N5839" s="0" t="n">
        <v>705</v>
      </c>
      <c r="O5839" s="10" t="n">
        <v>0.768030981533229</v>
      </c>
      <c r="P5839" s="10" t="n">
        <v>0.0297887143678963</v>
      </c>
      <c r="Q5839" s="0" t="str">
        <f aca="false">SUBSTITUTE(SUBSTITUTE($I5839,CHAR(61),""),CHAR(34),"")</f>
        <v>50+</v>
      </c>
      <c r="R5839" s="0" t="str">
        <f aca="false">IF($D5839&lt;&gt;"","["&amp;$E5839&amp;"]"&amp;"|"&amp;$Q5839&amp;"|"&amp;$K5839&amp;"|"&amp;$G5839&amp;"|"&amp;IF($G5839="TX_CURR_SUBNAT.R","CY2022Q4",$M5839),"")</f>
        <v>[fyEoGEPERdI]|50+|Male|Incidence_SUBNAT.Rt.T|CY2024Q3</v>
      </c>
    </row>
    <row r="5840" customFormat="false" ht="15" hidden="false" customHeight="false" outlineLevel="0" collapsed="false">
      <c r="D5840" s="0" t="s">
        <v>87</v>
      </c>
      <c r="E5840" s="0" t="s">
        <v>88</v>
      </c>
      <c r="F5840" s="0" t="s">
        <v>89</v>
      </c>
      <c r="G5840" s="0" t="s">
        <v>169</v>
      </c>
      <c r="H5840" s="0" t="s">
        <v>169</v>
      </c>
      <c r="I5840" s="0" t="s">
        <v>28</v>
      </c>
      <c r="J5840" s="0" t="s">
        <v>29</v>
      </c>
      <c r="K5840" s="0" t="s">
        <v>30</v>
      </c>
      <c r="L5840" s="0" t="s">
        <v>31</v>
      </c>
      <c r="M5840" s="0" t="s">
        <v>167</v>
      </c>
      <c r="N5840" s="0" t="n">
        <v>926</v>
      </c>
      <c r="O5840" s="10" t="n">
        <v>0.781299817608669</v>
      </c>
      <c r="P5840" s="10" t="n">
        <v>0.133336380822584</v>
      </c>
      <c r="Q5840" s="0" t="str">
        <f aca="false">SUBSTITUTE(SUBSTITUTE($I5840,CHAR(61),""),CHAR(34),"")</f>
        <v>&lt;01</v>
      </c>
      <c r="R5840" s="0" t="str">
        <f aca="false">IF($D5840&lt;&gt;"","["&amp;$E5840&amp;"]"&amp;"|"&amp;$Q5840&amp;"|"&amp;$K5840&amp;"|"&amp;$G5840&amp;"|"&amp;IF($G5840="TX_CURR_SUBNAT.R","CY2022Q4",$M5840),"")</f>
        <v>[cPtvxaZqXIH]|&lt;01|Female|Incidence_SUBNAT.Rt.T|CY2024Q3</v>
      </c>
    </row>
    <row r="5841" customFormat="false" ht="15" hidden="false" customHeight="false" outlineLevel="0" collapsed="false">
      <c r="D5841" s="0" t="s">
        <v>87</v>
      </c>
      <c r="E5841" s="0" t="s">
        <v>88</v>
      </c>
      <c r="F5841" s="0" t="s">
        <v>89</v>
      </c>
      <c r="G5841" s="0" t="s">
        <v>169</v>
      </c>
      <c r="H5841" s="0" t="s">
        <v>169</v>
      </c>
      <c r="I5841" s="0" t="s">
        <v>33</v>
      </c>
      <c r="J5841" s="0" t="s">
        <v>34</v>
      </c>
      <c r="K5841" s="0" t="s">
        <v>30</v>
      </c>
      <c r="L5841" s="0" t="s">
        <v>31</v>
      </c>
      <c r="M5841" s="0" t="s">
        <v>167</v>
      </c>
      <c r="N5841" s="0" t="n">
        <v>1930</v>
      </c>
      <c r="O5841" s="10" t="n">
        <v>0.584974038647488</v>
      </c>
      <c r="P5841" s="10" t="n">
        <v>0.133336380822584</v>
      </c>
      <c r="Q5841" s="0" t="str">
        <f aca="false">SUBSTITUTE(SUBSTITUTE($I5841,CHAR(61),""),CHAR(34),"")</f>
        <v>01-09</v>
      </c>
      <c r="R5841" s="0" t="str">
        <f aca="false">IF($D5841&lt;&gt;"","["&amp;$E5841&amp;"]"&amp;"|"&amp;$Q5841&amp;"|"&amp;$K5841&amp;"|"&amp;$G5841&amp;"|"&amp;IF($G5841="TX_CURR_SUBNAT.R","CY2022Q4",$M5841),"")</f>
        <v>[cPtvxaZqXIH]|01-09|Female|Incidence_SUBNAT.Rt.T|CY2024Q3</v>
      </c>
    </row>
    <row r="5842" customFormat="false" ht="15" hidden="false" customHeight="false" outlineLevel="0" collapsed="false">
      <c r="D5842" s="0" t="s">
        <v>87</v>
      </c>
      <c r="E5842" s="0" t="s">
        <v>88</v>
      </c>
      <c r="F5842" s="0" t="s">
        <v>89</v>
      </c>
      <c r="G5842" s="0" t="s">
        <v>169</v>
      </c>
      <c r="H5842" s="0" t="s">
        <v>169</v>
      </c>
      <c r="I5842" s="0" t="s">
        <v>36</v>
      </c>
      <c r="J5842" s="0" t="s">
        <v>37</v>
      </c>
      <c r="K5842" s="0" t="s">
        <v>30</v>
      </c>
      <c r="L5842" s="0" t="s">
        <v>31</v>
      </c>
      <c r="M5842" s="0" t="s">
        <v>167</v>
      </c>
      <c r="N5842" s="0" t="n">
        <v>980</v>
      </c>
      <c r="O5842" s="10" t="n">
        <v>0.659068849170581</v>
      </c>
      <c r="P5842" s="10" t="n">
        <v>0.133336380822584</v>
      </c>
      <c r="Q5842" s="0" t="str">
        <f aca="false">SUBSTITUTE(SUBSTITUTE($I5842,CHAR(61),""),CHAR(34),"")</f>
        <v>10-14</v>
      </c>
      <c r="R5842" s="0" t="str">
        <f aca="false">IF($D5842&lt;&gt;"","["&amp;$E5842&amp;"]"&amp;"|"&amp;$Q5842&amp;"|"&amp;$K5842&amp;"|"&amp;$G5842&amp;"|"&amp;IF($G5842="TX_CURR_SUBNAT.R","CY2022Q4",$M5842),"")</f>
        <v>[cPtvxaZqXIH]|10-14|Female|Incidence_SUBNAT.Rt.T|CY2024Q3</v>
      </c>
    </row>
    <row r="5843" customFormat="false" ht="15" hidden="false" customHeight="false" outlineLevel="0" collapsed="false">
      <c r="D5843" s="0" t="s">
        <v>87</v>
      </c>
      <c r="E5843" s="0" t="s">
        <v>88</v>
      </c>
      <c r="F5843" s="0" t="s">
        <v>89</v>
      </c>
      <c r="G5843" s="0" t="s">
        <v>169</v>
      </c>
      <c r="H5843" s="0" t="s">
        <v>169</v>
      </c>
      <c r="I5843" s="0" t="s">
        <v>38</v>
      </c>
      <c r="J5843" s="0" t="s">
        <v>39</v>
      </c>
      <c r="K5843" s="0" t="s">
        <v>30</v>
      </c>
      <c r="L5843" s="0" t="s">
        <v>31</v>
      </c>
      <c r="M5843" s="0" t="s">
        <v>167</v>
      </c>
      <c r="N5843" s="0" t="n">
        <v>643</v>
      </c>
      <c r="O5843" s="10" t="n">
        <v>0.998785185394809</v>
      </c>
      <c r="P5843" s="10" t="n">
        <v>0.133336380822584</v>
      </c>
      <c r="Q5843" s="0" t="str">
        <f aca="false">SUBSTITUTE(SUBSTITUTE($I5843,CHAR(61),""),CHAR(34),"")</f>
        <v>15-24</v>
      </c>
      <c r="R5843" s="0" t="str">
        <f aca="false">IF($D5843&lt;&gt;"","["&amp;$E5843&amp;"]"&amp;"|"&amp;$Q5843&amp;"|"&amp;$K5843&amp;"|"&amp;$G5843&amp;"|"&amp;IF($G5843="TX_CURR_SUBNAT.R","CY2022Q4",$M5843),"")</f>
        <v>[cPtvxaZqXIH]|15-24|Female|Incidence_SUBNAT.Rt.T|CY2024Q3</v>
      </c>
    </row>
    <row r="5844" customFormat="false" ht="15" hidden="false" customHeight="false" outlineLevel="0" collapsed="false">
      <c r="D5844" s="0" t="s">
        <v>87</v>
      </c>
      <c r="E5844" s="0" t="s">
        <v>88</v>
      </c>
      <c r="F5844" s="0" t="s">
        <v>89</v>
      </c>
      <c r="G5844" s="0" t="s">
        <v>169</v>
      </c>
      <c r="H5844" s="0" t="s">
        <v>169</v>
      </c>
      <c r="I5844" s="0" t="s">
        <v>41</v>
      </c>
      <c r="J5844" s="0" t="s">
        <v>42</v>
      </c>
      <c r="K5844" s="0" t="s">
        <v>30</v>
      </c>
      <c r="L5844" s="0" t="s">
        <v>31</v>
      </c>
      <c r="M5844" s="0" t="s">
        <v>167</v>
      </c>
      <c r="N5844" s="0" t="n">
        <v>1621</v>
      </c>
      <c r="O5844" s="10" t="n">
        <v>0.801447580801323</v>
      </c>
      <c r="P5844" s="10" t="n">
        <v>0.133336380822584</v>
      </c>
      <c r="Q5844" s="0" t="str">
        <f aca="false">SUBSTITUTE(SUBSTITUTE($I5844,CHAR(61),""),CHAR(34),"")</f>
        <v>25-34</v>
      </c>
      <c r="R5844" s="0" t="str">
        <f aca="false">IF($D5844&lt;&gt;"","["&amp;$E5844&amp;"]"&amp;"|"&amp;$Q5844&amp;"|"&amp;$K5844&amp;"|"&amp;$G5844&amp;"|"&amp;IF($G5844="TX_CURR_SUBNAT.R","CY2022Q4",$M5844),"")</f>
        <v>[cPtvxaZqXIH]|25-34|Female|Incidence_SUBNAT.Rt.T|CY2024Q3</v>
      </c>
    </row>
    <row r="5845" customFormat="false" ht="15" hidden="false" customHeight="false" outlineLevel="0" collapsed="false">
      <c r="D5845" s="0" t="s">
        <v>87</v>
      </c>
      <c r="E5845" s="0" t="s">
        <v>88</v>
      </c>
      <c r="F5845" s="0" t="s">
        <v>89</v>
      </c>
      <c r="G5845" s="0" t="s">
        <v>169</v>
      </c>
      <c r="H5845" s="0" t="s">
        <v>169</v>
      </c>
      <c r="I5845" s="0" t="s">
        <v>43</v>
      </c>
      <c r="J5845" s="0" t="s">
        <v>44</v>
      </c>
      <c r="K5845" s="0" t="s">
        <v>30</v>
      </c>
      <c r="L5845" s="0" t="s">
        <v>31</v>
      </c>
      <c r="M5845" s="0" t="s">
        <v>167</v>
      </c>
      <c r="N5845" s="0" t="n">
        <v>904</v>
      </c>
      <c r="O5845" s="10" t="n">
        <v>0.123442888027057</v>
      </c>
      <c r="P5845" s="10" t="n">
        <v>0.133336380822584</v>
      </c>
      <c r="Q5845" s="0" t="str">
        <f aca="false">SUBSTITUTE(SUBSTITUTE($I5845,CHAR(61),""),CHAR(34),"")</f>
        <v>35-49</v>
      </c>
      <c r="R5845" s="0" t="str">
        <f aca="false">IF($D5845&lt;&gt;"","["&amp;$E5845&amp;"]"&amp;"|"&amp;$Q5845&amp;"|"&amp;$K5845&amp;"|"&amp;$G5845&amp;"|"&amp;IF($G5845="TX_CURR_SUBNAT.R","CY2022Q4",$M5845),"")</f>
        <v>[cPtvxaZqXIH]|35-49|Female|Incidence_SUBNAT.Rt.T|CY2024Q3</v>
      </c>
    </row>
    <row r="5846" customFormat="false" ht="15" hidden="false" customHeight="false" outlineLevel="0" collapsed="false">
      <c r="D5846" s="0" t="s">
        <v>87</v>
      </c>
      <c r="E5846" s="0" t="s">
        <v>88</v>
      </c>
      <c r="F5846" s="0" t="s">
        <v>89</v>
      </c>
      <c r="G5846" s="0" t="s">
        <v>169</v>
      </c>
      <c r="H5846" s="0" t="s">
        <v>169</v>
      </c>
      <c r="I5846" s="0" t="s">
        <v>45</v>
      </c>
      <c r="J5846" s="0" t="s">
        <v>46</v>
      </c>
      <c r="K5846" s="0" t="s">
        <v>30</v>
      </c>
      <c r="L5846" s="0" t="s">
        <v>31</v>
      </c>
      <c r="M5846" s="0" t="s">
        <v>167</v>
      </c>
      <c r="N5846" s="0" t="n">
        <v>1554</v>
      </c>
      <c r="O5846" s="10" t="n">
        <v>0.501755315577611</v>
      </c>
      <c r="P5846" s="10" t="n">
        <v>0.133336380822584</v>
      </c>
      <c r="Q5846" s="0" t="str">
        <f aca="false">SUBSTITUTE(SUBSTITUTE($I5846,CHAR(61),""),CHAR(34),"")</f>
        <v>50+</v>
      </c>
      <c r="R5846" s="0" t="str">
        <f aca="false">IF($D5846&lt;&gt;"","["&amp;$E5846&amp;"]"&amp;"|"&amp;$Q5846&amp;"|"&amp;$K5846&amp;"|"&amp;$G5846&amp;"|"&amp;IF($G5846="TX_CURR_SUBNAT.R","CY2022Q4",$M5846),"")</f>
        <v>[cPtvxaZqXIH]|50+|Female|Incidence_SUBNAT.Rt.T|CY2024Q3</v>
      </c>
    </row>
    <row r="5847" customFormat="false" ht="15" hidden="false" customHeight="false" outlineLevel="0" collapsed="false">
      <c r="D5847" s="0" t="s">
        <v>87</v>
      </c>
      <c r="E5847" s="0" t="s">
        <v>88</v>
      </c>
      <c r="F5847" s="0" t="s">
        <v>89</v>
      </c>
      <c r="G5847" s="0" t="s">
        <v>169</v>
      </c>
      <c r="H5847" s="0" t="s">
        <v>169</v>
      </c>
      <c r="I5847" s="0" t="s">
        <v>28</v>
      </c>
      <c r="J5847" s="0" t="s">
        <v>29</v>
      </c>
      <c r="K5847" s="0" t="s">
        <v>48</v>
      </c>
      <c r="L5847" s="0" t="s">
        <v>49</v>
      </c>
      <c r="M5847" s="0" t="s">
        <v>167</v>
      </c>
      <c r="N5847" s="0" t="n">
        <v>1052</v>
      </c>
      <c r="O5847" s="10" t="n">
        <v>0.769517173059285</v>
      </c>
      <c r="P5847" s="10" t="n">
        <v>0.133336380822584</v>
      </c>
      <c r="Q5847" s="0" t="str">
        <f aca="false">SUBSTITUTE(SUBSTITUTE($I5847,CHAR(61),""),CHAR(34),"")</f>
        <v>&lt;01</v>
      </c>
      <c r="R5847" s="0" t="str">
        <f aca="false">IF($D5847&lt;&gt;"","["&amp;$E5847&amp;"]"&amp;"|"&amp;$Q5847&amp;"|"&amp;$K5847&amp;"|"&amp;$G5847&amp;"|"&amp;IF($G5847="TX_CURR_SUBNAT.R","CY2022Q4",$M5847),"")</f>
        <v>[cPtvxaZqXIH]|&lt;01|Male|Incidence_SUBNAT.Rt.T|CY2024Q3</v>
      </c>
    </row>
    <row r="5848" customFormat="false" ht="15" hidden="false" customHeight="false" outlineLevel="0" collapsed="false">
      <c r="D5848" s="0" t="s">
        <v>87</v>
      </c>
      <c r="E5848" s="0" t="s">
        <v>88</v>
      </c>
      <c r="F5848" s="0" t="s">
        <v>89</v>
      </c>
      <c r="G5848" s="0" t="s">
        <v>169</v>
      </c>
      <c r="H5848" s="0" t="s">
        <v>169</v>
      </c>
      <c r="I5848" s="0" t="s">
        <v>33</v>
      </c>
      <c r="J5848" s="0" t="s">
        <v>34</v>
      </c>
      <c r="K5848" s="0" t="s">
        <v>48</v>
      </c>
      <c r="L5848" s="0" t="s">
        <v>49</v>
      </c>
      <c r="M5848" s="0" t="s">
        <v>167</v>
      </c>
      <c r="N5848" s="0" t="n">
        <v>1150</v>
      </c>
      <c r="O5848" s="10" t="n">
        <v>0.812597035430372</v>
      </c>
      <c r="P5848" s="10" t="n">
        <v>0.133336380822584</v>
      </c>
      <c r="Q5848" s="0" t="str">
        <f aca="false">SUBSTITUTE(SUBSTITUTE($I5848,CHAR(61),""),CHAR(34),"")</f>
        <v>01-09</v>
      </c>
      <c r="R5848" s="0" t="str">
        <f aca="false">IF($D5848&lt;&gt;"","["&amp;$E5848&amp;"]"&amp;"|"&amp;$Q5848&amp;"|"&amp;$K5848&amp;"|"&amp;$G5848&amp;"|"&amp;IF($G5848="TX_CURR_SUBNAT.R","CY2022Q4",$M5848),"")</f>
        <v>[cPtvxaZqXIH]|01-09|Male|Incidence_SUBNAT.Rt.T|CY2024Q3</v>
      </c>
    </row>
    <row r="5849" customFormat="false" ht="15" hidden="false" customHeight="false" outlineLevel="0" collapsed="false">
      <c r="D5849" s="0" t="s">
        <v>87</v>
      </c>
      <c r="E5849" s="0" t="s">
        <v>88</v>
      </c>
      <c r="F5849" s="0" t="s">
        <v>89</v>
      </c>
      <c r="G5849" s="0" t="s">
        <v>169</v>
      </c>
      <c r="H5849" s="0" t="s">
        <v>169</v>
      </c>
      <c r="I5849" s="0" t="s">
        <v>36</v>
      </c>
      <c r="J5849" s="0" t="s">
        <v>37</v>
      </c>
      <c r="K5849" s="0" t="s">
        <v>48</v>
      </c>
      <c r="L5849" s="0" t="s">
        <v>49</v>
      </c>
      <c r="M5849" s="0" t="s">
        <v>167</v>
      </c>
      <c r="N5849" s="0" t="n">
        <v>597</v>
      </c>
      <c r="O5849" s="10" t="n">
        <v>0.641259881202132</v>
      </c>
      <c r="P5849" s="10" t="n">
        <v>0.133336380822584</v>
      </c>
      <c r="Q5849" s="0" t="str">
        <f aca="false">SUBSTITUTE(SUBSTITUTE($I5849,CHAR(61),""),CHAR(34),"")</f>
        <v>10-14</v>
      </c>
      <c r="R5849" s="0" t="str">
        <f aca="false">IF($D5849&lt;&gt;"","["&amp;$E5849&amp;"]"&amp;"|"&amp;$Q5849&amp;"|"&amp;$K5849&amp;"|"&amp;$G5849&amp;"|"&amp;IF($G5849="TX_CURR_SUBNAT.R","CY2022Q4",$M5849),"")</f>
        <v>[cPtvxaZqXIH]|10-14|Male|Incidence_SUBNAT.Rt.T|CY2024Q3</v>
      </c>
    </row>
    <row r="5850" customFormat="false" ht="15" hidden="false" customHeight="false" outlineLevel="0" collapsed="false">
      <c r="D5850" s="0" t="s">
        <v>87</v>
      </c>
      <c r="E5850" s="0" t="s">
        <v>88</v>
      </c>
      <c r="F5850" s="0" t="s">
        <v>89</v>
      </c>
      <c r="G5850" s="0" t="s">
        <v>169</v>
      </c>
      <c r="H5850" s="0" t="s">
        <v>169</v>
      </c>
      <c r="I5850" s="0" t="s">
        <v>38</v>
      </c>
      <c r="J5850" s="0" t="s">
        <v>39</v>
      </c>
      <c r="K5850" s="0" t="s">
        <v>48</v>
      </c>
      <c r="L5850" s="0" t="s">
        <v>49</v>
      </c>
      <c r="M5850" s="0" t="s">
        <v>167</v>
      </c>
      <c r="N5850" s="0" t="n">
        <v>1879</v>
      </c>
      <c r="O5850" s="10" t="n">
        <v>0.930557480780408</v>
      </c>
      <c r="P5850" s="10" t="n">
        <v>0.133336380822584</v>
      </c>
      <c r="Q5850" s="0" t="str">
        <f aca="false">SUBSTITUTE(SUBSTITUTE($I5850,CHAR(61),""),CHAR(34),"")</f>
        <v>15-24</v>
      </c>
      <c r="R5850" s="0" t="str">
        <f aca="false">IF($D5850&lt;&gt;"","["&amp;$E5850&amp;"]"&amp;"|"&amp;$Q5850&amp;"|"&amp;$K5850&amp;"|"&amp;$G5850&amp;"|"&amp;IF($G5850="TX_CURR_SUBNAT.R","CY2022Q4",$M5850),"")</f>
        <v>[cPtvxaZqXIH]|15-24|Male|Incidence_SUBNAT.Rt.T|CY2024Q3</v>
      </c>
    </row>
    <row r="5851" customFormat="false" ht="15" hidden="false" customHeight="false" outlineLevel="0" collapsed="false">
      <c r="D5851" s="0" t="s">
        <v>87</v>
      </c>
      <c r="E5851" s="0" t="s">
        <v>88</v>
      </c>
      <c r="F5851" s="0" t="s">
        <v>89</v>
      </c>
      <c r="G5851" s="0" t="s">
        <v>169</v>
      </c>
      <c r="H5851" s="0" t="s">
        <v>169</v>
      </c>
      <c r="I5851" s="0" t="s">
        <v>41</v>
      </c>
      <c r="J5851" s="0" t="s">
        <v>42</v>
      </c>
      <c r="K5851" s="0" t="s">
        <v>48</v>
      </c>
      <c r="L5851" s="0" t="s">
        <v>49</v>
      </c>
      <c r="M5851" s="0" t="s">
        <v>167</v>
      </c>
      <c r="N5851" s="0" t="n">
        <v>821</v>
      </c>
      <c r="O5851" s="10" t="n">
        <v>0.137057348852977</v>
      </c>
      <c r="P5851" s="10" t="n">
        <v>0.133336380822584</v>
      </c>
      <c r="Q5851" s="0" t="str">
        <f aca="false">SUBSTITUTE(SUBSTITUTE($I5851,CHAR(61),""),CHAR(34),"")</f>
        <v>25-34</v>
      </c>
      <c r="R5851" s="0" t="str">
        <f aca="false">IF($D5851&lt;&gt;"","["&amp;$E5851&amp;"]"&amp;"|"&amp;$Q5851&amp;"|"&amp;$K5851&amp;"|"&amp;$G5851&amp;"|"&amp;IF($G5851="TX_CURR_SUBNAT.R","CY2022Q4",$M5851),"")</f>
        <v>[cPtvxaZqXIH]|25-34|Male|Incidence_SUBNAT.Rt.T|CY2024Q3</v>
      </c>
    </row>
    <row r="5852" customFormat="false" ht="15" hidden="false" customHeight="false" outlineLevel="0" collapsed="false">
      <c r="D5852" s="0" t="s">
        <v>87</v>
      </c>
      <c r="E5852" s="0" t="s">
        <v>88</v>
      </c>
      <c r="F5852" s="0" t="s">
        <v>89</v>
      </c>
      <c r="G5852" s="0" t="s">
        <v>169</v>
      </c>
      <c r="H5852" s="0" t="s">
        <v>169</v>
      </c>
      <c r="I5852" s="0" t="s">
        <v>43</v>
      </c>
      <c r="J5852" s="0" t="s">
        <v>44</v>
      </c>
      <c r="K5852" s="0" t="s">
        <v>48</v>
      </c>
      <c r="L5852" s="0" t="s">
        <v>49</v>
      </c>
      <c r="M5852" s="0" t="s">
        <v>167</v>
      </c>
      <c r="N5852" s="0" t="n">
        <v>1814</v>
      </c>
      <c r="O5852" s="10" t="n">
        <v>0.962201832327992</v>
      </c>
      <c r="P5852" s="10" t="n">
        <v>0.133336380822584</v>
      </c>
      <c r="Q5852" s="0" t="str">
        <f aca="false">SUBSTITUTE(SUBSTITUTE($I5852,CHAR(61),""),CHAR(34),"")</f>
        <v>35-49</v>
      </c>
      <c r="R5852" s="0" t="str">
        <f aca="false">IF($D5852&lt;&gt;"","["&amp;$E5852&amp;"]"&amp;"|"&amp;$Q5852&amp;"|"&amp;$K5852&amp;"|"&amp;$G5852&amp;"|"&amp;IF($G5852="TX_CURR_SUBNAT.R","CY2022Q4",$M5852),"")</f>
        <v>[cPtvxaZqXIH]|35-49|Male|Incidence_SUBNAT.Rt.T|CY2024Q3</v>
      </c>
    </row>
    <row r="5853" customFormat="false" ht="15" hidden="false" customHeight="false" outlineLevel="0" collapsed="false">
      <c r="D5853" s="0" t="s">
        <v>87</v>
      </c>
      <c r="E5853" s="0" t="s">
        <v>88</v>
      </c>
      <c r="F5853" s="0" t="s">
        <v>89</v>
      </c>
      <c r="G5853" s="0" t="s">
        <v>169</v>
      </c>
      <c r="H5853" s="0" t="s">
        <v>169</v>
      </c>
      <c r="I5853" s="0" t="s">
        <v>45</v>
      </c>
      <c r="J5853" s="0" t="s">
        <v>46</v>
      </c>
      <c r="K5853" s="0" t="s">
        <v>48</v>
      </c>
      <c r="L5853" s="0" t="s">
        <v>49</v>
      </c>
      <c r="M5853" s="0" t="s">
        <v>167</v>
      </c>
      <c r="N5853" s="0" t="n">
        <v>1885</v>
      </c>
      <c r="O5853" s="10" t="n">
        <v>0.602935350965708</v>
      </c>
      <c r="P5853" s="10" t="n">
        <v>0.133336380822584</v>
      </c>
      <c r="Q5853" s="0" t="str">
        <f aca="false">SUBSTITUTE(SUBSTITUTE($I5853,CHAR(61),""),CHAR(34),"")</f>
        <v>50+</v>
      </c>
      <c r="R5853" s="0" t="str">
        <f aca="false">IF($D5853&lt;&gt;"","["&amp;$E5853&amp;"]"&amp;"|"&amp;$Q5853&amp;"|"&amp;$K5853&amp;"|"&amp;$G5853&amp;"|"&amp;IF($G5853="TX_CURR_SUBNAT.R","CY2022Q4",$M5853),"")</f>
        <v>[cPtvxaZqXIH]|50+|Male|Incidence_SUBNAT.Rt.T|CY2024Q3</v>
      </c>
    </row>
    <row r="5854" customFormat="false" ht="15" hidden="false" customHeight="false" outlineLevel="0" collapsed="false">
      <c r="D5854" s="0" t="s">
        <v>90</v>
      </c>
      <c r="E5854" s="0" t="s">
        <v>91</v>
      </c>
      <c r="F5854" s="0" t="s">
        <v>92</v>
      </c>
      <c r="G5854" s="0" t="s">
        <v>169</v>
      </c>
      <c r="H5854" s="0" t="s">
        <v>169</v>
      </c>
      <c r="I5854" s="0" t="s">
        <v>28</v>
      </c>
      <c r="J5854" s="0" t="s">
        <v>29</v>
      </c>
      <c r="K5854" s="0" t="s">
        <v>30</v>
      </c>
      <c r="L5854" s="0" t="s">
        <v>31</v>
      </c>
      <c r="M5854" s="0" t="s">
        <v>167</v>
      </c>
      <c r="N5854" s="0" t="n">
        <v>1636</v>
      </c>
      <c r="O5854" s="10" t="n">
        <v>0.488832058850676</v>
      </c>
      <c r="P5854" s="10" t="n">
        <v>0.719914150424302</v>
      </c>
      <c r="Q5854" s="0" t="str">
        <f aca="false">SUBSTITUTE(SUBSTITUTE($I5854,CHAR(61),""),CHAR(34),"")</f>
        <v>&lt;01</v>
      </c>
      <c r="R5854" s="0" t="str">
        <f aca="false">IF($D5854&lt;&gt;"","["&amp;$E5854&amp;"]"&amp;"|"&amp;$Q5854&amp;"|"&amp;$K5854&amp;"|"&amp;$G5854&amp;"|"&amp;IF($G5854="TX_CURR_SUBNAT.R","CY2022Q4",$M5854),"")</f>
        <v>[AZyWpGzhcaA]|&lt;01|Female|Incidence_SUBNAT.Rt.T|CY2024Q3</v>
      </c>
    </row>
    <row r="5855" customFormat="false" ht="15" hidden="false" customHeight="false" outlineLevel="0" collapsed="false">
      <c r="D5855" s="0" t="s">
        <v>90</v>
      </c>
      <c r="E5855" s="0" t="s">
        <v>91</v>
      </c>
      <c r="F5855" s="0" t="s">
        <v>92</v>
      </c>
      <c r="G5855" s="0" t="s">
        <v>169</v>
      </c>
      <c r="H5855" s="0" t="s">
        <v>169</v>
      </c>
      <c r="I5855" s="0" t="s">
        <v>33</v>
      </c>
      <c r="J5855" s="0" t="s">
        <v>34</v>
      </c>
      <c r="K5855" s="0" t="s">
        <v>30</v>
      </c>
      <c r="L5855" s="0" t="s">
        <v>31</v>
      </c>
      <c r="M5855" s="0" t="s">
        <v>167</v>
      </c>
      <c r="N5855" s="0" t="n">
        <v>911</v>
      </c>
      <c r="O5855" s="10" t="n">
        <v>0.46263467730023</v>
      </c>
      <c r="P5855" s="10" t="n">
        <v>0.719914150424302</v>
      </c>
      <c r="Q5855" s="0" t="str">
        <f aca="false">SUBSTITUTE(SUBSTITUTE($I5855,CHAR(61),""),CHAR(34),"")</f>
        <v>01-09</v>
      </c>
      <c r="R5855" s="0" t="str">
        <f aca="false">IF($D5855&lt;&gt;"","["&amp;$E5855&amp;"]"&amp;"|"&amp;$Q5855&amp;"|"&amp;$K5855&amp;"|"&amp;$G5855&amp;"|"&amp;IF($G5855="TX_CURR_SUBNAT.R","CY2022Q4",$M5855),"")</f>
        <v>[AZyWpGzhcaA]|01-09|Female|Incidence_SUBNAT.Rt.T|CY2024Q3</v>
      </c>
    </row>
    <row r="5856" customFormat="false" ht="15" hidden="false" customHeight="false" outlineLevel="0" collapsed="false">
      <c r="D5856" s="0" t="s">
        <v>90</v>
      </c>
      <c r="E5856" s="0" t="s">
        <v>91</v>
      </c>
      <c r="F5856" s="0" t="s">
        <v>92</v>
      </c>
      <c r="G5856" s="0" t="s">
        <v>169</v>
      </c>
      <c r="H5856" s="0" t="s">
        <v>169</v>
      </c>
      <c r="I5856" s="0" t="s">
        <v>36</v>
      </c>
      <c r="J5856" s="0" t="s">
        <v>37</v>
      </c>
      <c r="K5856" s="0" t="s">
        <v>30</v>
      </c>
      <c r="L5856" s="0" t="s">
        <v>31</v>
      </c>
      <c r="M5856" s="0" t="s">
        <v>167</v>
      </c>
      <c r="N5856" s="0" t="n">
        <v>1149</v>
      </c>
      <c r="O5856" s="10" t="n">
        <v>0.588889068225399</v>
      </c>
      <c r="P5856" s="10" t="n">
        <v>0.719914150424302</v>
      </c>
      <c r="Q5856" s="0" t="str">
        <f aca="false">SUBSTITUTE(SUBSTITUTE($I5856,CHAR(61),""),CHAR(34),"")</f>
        <v>10-14</v>
      </c>
      <c r="R5856" s="0" t="str">
        <f aca="false">IF($D5856&lt;&gt;"","["&amp;$E5856&amp;"]"&amp;"|"&amp;$Q5856&amp;"|"&amp;$K5856&amp;"|"&amp;$G5856&amp;"|"&amp;IF($G5856="TX_CURR_SUBNAT.R","CY2022Q4",$M5856),"")</f>
        <v>[AZyWpGzhcaA]|10-14|Female|Incidence_SUBNAT.Rt.T|CY2024Q3</v>
      </c>
    </row>
    <row r="5857" customFormat="false" ht="15" hidden="false" customHeight="false" outlineLevel="0" collapsed="false">
      <c r="D5857" s="0" t="s">
        <v>90</v>
      </c>
      <c r="E5857" s="0" t="s">
        <v>91</v>
      </c>
      <c r="F5857" s="0" t="s">
        <v>92</v>
      </c>
      <c r="G5857" s="0" t="s">
        <v>169</v>
      </c>
      <c r="H5857" s="0" t="s">
        <v>169</v>
      </c>
      <c r="I5857" s="0" t="s">
        <v>38</v>
      </c>
      <c r="J5857" s="0" t="s">
        <v>39</v>
      </c>
      <c r="K5857" s="0" t="s">
        <v>30</v>
      </c>
      <c r="L5857" s="0" t="s">
        <v>31</v>
      </c>
      <c r="M5857" s="0" t="s">
        <v>167</v>
      </c>
      <c r="N5857" s="0" t="n">
        <v>559</v>
      </c>
      <c r="O5857" s="10" t="n">
        <v>0.820732407504693</v>
      </c>
      <c r="P5857" s="10" t="n">
        <v>0.719914150424302</v>
      </c>
      <c r="Q5857" s="0" t="str">
        <f aca="false">SUBSTITUTE(SUBSTITUTE($I5857,CHAR(61),""),CHAR(34),"")</f>
        <v>15-24</v>
      </c>
      <c r="R5857" s="0" t="str">
        <f aca="false">IF($D5857&lt;&gt;"","["&amp;$E5857&amp;"]"&amp;"|"&amp;$Q5857&amp;"|"&amp;$K5857&amp;"|"&amp;$G5857&amp;"|"&amp;IF($G5857="TX_CURR_SUBNAT.R","CY2022Q4",$M5857),"")</f>
        <v>[AZyWpGzhcaA]|15-24|Female|Incidence_SUBNAT.Rt.T|CY2024Q3</v>
      </c>
    </row>
    <row r="5858" customFormat="false" ht="15" hidden="false" customHeight="false" outlineLevel="0" collapsed="false">
      <c r="D5858" s="0" t="s">
        <v>90</v>
      </c>
      <c r="E5858" s="0" t="s">
        <v>91</v>
      </c>
      <c r="F5858" s="0" t="s">
        <v>92</v>
      </c>
      <c r="G5858" s="0" t="s">
        <v>169</v>
      </c>
      <c r="H5858" s="0" t="s">
        <v>169</v>
      </c>
      <c r="I5858" s="0" t="s">
        <v>41</v>
      </c>
      <c r="J5858" s="0" t="s">
        <v>42</v>
      </c>
      <c r="K5858" s="0" t="s">
        <v>30</v>
      </c>
      <c r="L5858" s="0" t="s">
        <v>31</v>
      </c>
      <c r="M5858" s="0" t="s">
        <v>167</v>
      </c>
      <c r="N5858" s="0" t="n">
        <v>1074</v>
      </c>
      <c r="O5858" s="10" t="n">
        <v>0.316185962874442</v>
      </c>
      <c r="P5858" s="10" t="n">
        <v>0.719914150424302</v>
      </c>
      <c r="Q5858" s="0" t="str">
        <f aca="false">SUBSTITUTE(SUBSTITUTE($I5858,CHAR(61),""),CHAR(34),"")</f>
        <v>25-34</v>
      </c>
      <c r="R5858" s="0" t="str">
        <f aca="false">IF($D5858&lt;&gt;"","["&amp;$E5858&amp;"]"&amp;"|"&amp;$Q5858&amp;"|"&amp;$K5858&amp;"|"&amp;$G5858&amp;"|"&amp;IF($G5858="TX_CURR_SUBNAT.R","CY2022Q4",$M5858),"")</f>
        <v>[AZyWpGzhcaA]|25-34|Female|Incidence_SUBNAT.Rt.T|CY2024Q3</v>
      </c>
    </row>
    <row r="5859" customFormat="false" ht="15" hidden="false" customHeight="false" outlineLevel="0" collapsed="false">
      <c r="D5859" s="0" t="s">
        <v>90</v>
      </c>
      <c r="E5859" s="0" t="s">
        <v>91</v>
      </c>
      <c r="F5859" s="0" t="s">
        <v>92</v>
      </c>
      <c r="G5859" s="0" t="s">
        <v>169</v>
      </c>
      <c r="H5859" s="0" t="s">
        <v>169</v>
      </c>
      <c r="I5859" s="0" t="s">
        <v>43</v>
      </c>
      <c r="J5859" s="0" t="s">
        <v>44</v>
      </c>
      <c r="K5859" s="0" t="s">
        <v>30</v>
      </c>
      <c r="L5859" s="0" t="s">
        <v>31</v>
      </c>
      <c r="M5859" s="0" t="s">
        <v>167</v>
      </c>
      <c r="N5859" s="0" t="n">
        <v>545</v>
      </c>
      <c r="O5859" s="10" t="n">
        <v>0.620591091457754</v>
      </c>
      <c r="P5859" s="10" t="n">
        <v>0.719914150424302</v>
      </c>
      <c r="Q5859" s="0" t="str">
        <f aca="false">SUBSTITUTE(SUBSTITUTE($I5859,CHAR(61),""),CHAR(34),"")</f>
        <v>35-49</v>
      </c>
      <c r="R5859" s="0" t="str">
        <f aca="false">IF($D5859&lt;&gt;"","["&amp;$E5859&amp;"]"&amp;"|"&amp;$Q5859&amp;"|"&amp;$K5859&amp;"|"&amp;$G5859&amp;"|"&amp;IF($G5859="TX_CURR_SUBNAT.R","CY2022Q4",$M5859),"")</f>
        <v>[AZyWpGzhcaA]|35-49|Female|Incidence_SUBNAT.Rt.T|CY2024Q3</v>
      </c>
    </row>
    <row r="5860" customFormat="false" ht="15" hidden="false" customHeight="false" outlineLevel="0" collapsed="false">
      <c r="D5860" s="0" t="s">
        <v>90</v>
      </c>
      <c r="E5860" s="0" t="s">
        <v>91</v>
      </c>
      <c r="F5860" s="0" t="s">
        <v>92</v>
      </c>
      <c r="G5860" s="0" t="s">
        <v>169</v>
      </c>
      <c r="H5860" s="0" t="s">
        <v>169</v>
      </c>
      <c r="I5860" s="0" t="s">
        <v>45</v>
      </c>
      <c r="J5860" s="0" t="s">
        <v>46</v>
      </c>
      <c r="K5860" s="0" t="s">
        <v>30</v>
      </c>
      <c r="L5860" s="0" t="s">
        <v>31</v>
      </c>
      <c r="M5860" s="0" t="s">
        <v>167</v>
      </c>
      <c r="N5860" s="0" t="n">
        <v>1184</v>
      </c>
      <c r="O5860" s="10" t="n">
        <v>0.364686523796991</v>
      </c>
      <c r="P5860" s="10" t="n">
        <v>0.719914150424302</v>
      </c>
      <c r="Q5860" s="0" t="str">
        <f aca="false">SUBSTITUTE(SUBSTITUTE($I5860,CHAR(61),""),CHAR(34),"")</f>
        <v>50+</v>
      </c>
      <c r="R5860" s="0" t="str">
        <f aca="false">IF($D5860&lt;&gt;"","["&amp;$E5860&amp;"]"&amp;"|"&amp;$Q5860&amp;"|"&amp;$K5860&amp;"|"&amp;$G5860&amp;"|"&amp;IF($G5860="TX_CURR_SUBNAT.R","CY2022Q4",$M5860),"")</f>
        <v>[AZyWpGzhcaA]|50+|Female|Incidence_SUBNAT.Rt.T|CY2024Q3</v>
      </c>
    </row>
    <row r="5861" customFormat="false" ht="15" hidden="false" customHeight="false" outlineLevel="0" collapsed="false">
      <c r="D5861" s="0" t="s">
        <v>90</v>
      </c>
      <c r="E5861" s="0" t="s">
        <v>91</v>
      </c>
      <c r="F5861" s="0" t="s">
        <v>92</v>
      </c>
      <c r="G5861" s="0" t="s">
        <v>169</v>
      </c>
      <c r="H5861" s="0" t="s">
        <v>169</v>
      </c>
      <c r="I5861" s="0" t="s">
        <v>28</v>
      </c>
      <c r="J5861" s="0" t="s">
        <v>29</v>
      </c>
      <c r="K5861" s="0" t="s">
        <v>48</v>
      </c>
      <c r="L5861" s="0" t="s">
        <v>49</v>
      </c>
      <c r="M5861" s="0" t="s">
        <v>167</v>
      </c>
      <c r="N5861" s="0" t="n">
        <v>1804</v>
      </c>
      <c r="O5861" s="10" t="n">
        <v>0.934291497105733</v>
      </c>
      <c r="P5861" s="10" t="n">
        <v>0.719914150424302</v>
      </c>
      <c r="Q5861" s="0" t="str">
        <f aca="false">SUBSTITUTE(SUBSTITUTE($I5861,CHAR(61),""),CHAR(34),"")</f>
        <v>&lt;01</v>
      </c>
      <c r="R5861" s="0" t="str">
        <f aca="false">IF($D5861&lt;&gt;"","["&amp;$E5861&amp;"]"&amp;"|"&amp;$Q5861&amp;"|"&amp;$K5861&amp;"|"&amp;$G5861&amp;"|"&amp;IF($G5861="TX_CURR_SUBNAT.R","CY2022Q4",$M5861),"")</f>
        <v>[AZyWpGzhcaA]|&lt;01|Male|Incidence_SUBNAT.Rt.T|CY2024Q3</v>
      </c>
    </row>
    <row r="5862" customFormat="false" ht="15" hidden="false" customHeight="false" outlineLevel="0" collapsed="false">
      <c r="D5862" s="0" t="s">
        <v>90</v>
      </c>
      <c r="E5862" s="0" t="s">
        <v>91</v>
      </c>
      <c r="F5862" s="0" t="s">
        <v>92</v>
      </c>
      <c r="G5862" s="0" t="s">
        <v>169</v>
      </c>
      <c r="H5862" s="0" t="s">
        <v>169</v>
      </c>
      <c r="I5862" s="0" t="s">
        <v>33</v>
      </c>
      <c r="J5862" s="0" t="s">
        <v>34</v>
      </c>
      <c r="K5862" s="0" t="s">
        <v>48</v>
      </c>
      <c r="L5862" s="0" t="s">
        <v>49</v>
      </c>
      <c r="M5862" s="0" t="s">
        <v>167</v>
      </c>
      <c r="N5862" s="0" t="n">
        <v>1549</v>
      </c>
      <c r="O5862" s="10" t="n">
        <v>0.507293491624296</v>
      </c>
      <c r="P5862" s="10" t="n">
        <v>0.719914150424302</v>
      </c>
      <c r="Q5862" s="0" t="str">
        <f aca="false">SUBSTITUTE(SUBSTITUTE($I5862,CHAR(61),""),CHAR(34),"")</f>
        <v>01-09</v>
      </c>
      <c r="R5862" s="0" t="str">
        <f aca="false">IF($D5862&lt;&gt;"","["&amp;$E5862&amp;"]"&amp;"|"&amp;$Q5862&amp;"|"&amp;$K5862&amp;"|"&amp;$G5862&amp;"|"&amp;IF($G5862="TX_CURR_SUBNAT.R","CY2022Q4",$M5862),"")</f>
        <v>[AZyWpGzhcaA]|01-09|Male|Incidence_SUBNAT.Rt.T|CY2024Q3</v>
      </c>
    </row>
    <row r="5863" customFormat="false" ht="15" hidden="false" customHeight="false" outlineLevel="0" collapsed="false">
      <c r="D5863" s="0" t="s">
        <v>90</v>
      </c>
      <c r="E5863" s="0" t="s">
        <v>91</v>
      </c>
      <c r="F5863" s="0" t="s">
        <v>92</v>
      </c>
      <c r="G5863" s="0" t="s">
        <v>169</v>
      </c>
      <c r="H5863" s="0" t="s">
        <v>169</v>
      </c>
      <c r="I5863" s="0" t="s">
        <v>36</v>
      </c>
      <c r="J5863" s="0" t="s">
        <v>37</v>
      </c>
      <c r="K5863" s="0" t="s">
        <v>48</v>
      </c>
      <c r="L5863" s="0" t="s">
        <v>49</v>
      </c>
      <c r="M5863" s="0" t="s">
        <v>167</v>
      </c>
      <c r="N5863" s="0" t="n">
        <v>1828</v>
      </c>
      <c r="O5863" s="10" t="n">
        <v>0.0537331828381866</v>
      </c>
      <c r="P5863" s="10" t="n">
        <v>0.719914150424302</v>
      </c>
      <c r="Q5863" s="0" t="str">
        <f aca="false">SUBSTITUTE(SUBSTITUTE($I5863,CHAR(61),""),CHAR(34),"")</f>
        <v>10-14</v>
      </c>
      <c r="R5863" s="0" t="str">
        <f aca="false">IF($D5863&lt;&gt;"","["&amp;$E5863&amp;"]"&amp;"|"&amp;$Q5863&amp;"|"&amp;$K5863&amp;"|"&amp;$G5863&amp;"|"&amp;IF($G5863="TX_CURR_SUBNAT.R","CY2022Q4",$M5863),"")</f>
        <v>[AZyWpGzhcaA]|10-14|Male|Incidence_SUBNAT.Rt.T|CY2024Q3</v>
      </c>
    </row>
    <row r="5864" customFormat="false" ht="15" hidden="false" customHeight="false" outlineLevel="0" collapsed="false">
      <c r="D5864" s="0" t="s">
        <v>90</v>
      </c>
      <c r="E5864" s="0" t="s">
        <v>91</v>
      </c>
      <c r="F5864" s="0" t="s">
        <v>92</v>
      </c>
      <c r="G5864" s="0" t="s">
        <v>169</v>
      </c>
      <c r="H5864" s="0" t="s">
        <v>169</v>
      </c>
      <c r="I5864" s="0" t="s">
        <v>38</v>
      </c>
      <c r="J5864" s="0" t="s">
        <v>39</v>
      </c>
      <c r="K5864" s="0" t="s">
        <v>48</v>
      </c>
      <c r="L5864" s="0" t="s">
        <v>49</v>
      </c>
      <c r="M5864" s="0" t="s">
        <v>167</v>
      </c>
      <c r="N5864" s="0" t="n">
        <v>1189</v>
      </c>
      <c r="O5864" s="10" t="n">
        <v>0.447766109835356</v>
      </c>
      <c r="P5864" s="10" t="n">
        <v>0.719914150424302</v>
      </c>
      <c r="Q5864" s="0" t="str">
        <f aca="false">SUBSTITUTE(SUBSTITUTE($I5864,CHAR(61),""),CHAR(34),"")</f>
        <v>15-24</v>
      </c>
      <c r="R5864" s="0" t="str">
        <f aca="false">IF($D5864&lt;&gt;"","["&amp;$E5864&amp;"]"&amp;"|"&amp;$Q5864&amp;"|"&amp;$K5864&amp;"|"&amp;$G5864&amp;"|"&amp;IF($G5864="TX_CURR_SUBNAT.R","CY2022Q4",$M5864),"")</f>
        <v>[AZyWpGzhcaA]|15-24|Male|Incidence_SUBNAT.Rt.T|CY2024Q3</v>
      </c>
    </row>
    <row r="5865" customFormat="false" ht="15" hidden="false" customHeight="false" outlineLevel="0" collapsed="false">
      <c r="D5865" s="0" t="s">
        <v>90</v>
      </c>
      <c r="E5865" s="0" t="s">
        <v>91</v>
      </c>
      <c r="F5865" s="0" t="s">
        <v>92</v>
      </c>
      <c r="G5865" s="0" t="s">
        <v>169</v>
      </c>
      <c r="H5865" s="0" t="s">
        <v>169</v>
      </c>
      <c r="I5865" s="0" t="s">
        <v>41</v>
      </c>
      <c r="J5865" s="0" t="s">
        <v>42</v>
      </c>
      <c r="K5865" s="0" t="s">
        <v>48</v>
      </c>
      <c r="L5865" s="0" t="s">
        <v>49</v>
      </c>
      <c r="M5865" s="0" t="s">
        <v>167</v>
      </c>
      <c r="N5865" s="0" t="n">
        <v>1586</v>
      </c>
      <c r="O5865" s="10" t="n">
        <v>0.427167831687257</v>
      </c>
      <c r="P5865" s="10" t="n">
        <v>0.719914150424302</v>
      </c>
      <c r="Q5865" s="0" t="str">
        <f aca="false">SUBSTITUTE(SUBSTITUTE($I5865,CHAR(61),""),CHAR(34),"")</f>
        <v>25-34</v>
      </c>
      <c r="R5865" s="0" t="str">
        <f aca="false">IF($D5865&lt;&gt;"","["&amp;$E5865&amp;"]"&amp;"|"&amp;$Q5865&amp;"|"&amp;$K5865&amp;"|"&amp;$G5865&amp;"|"&amp;IF($G5865="TX_CURR_SUBNAT.R","CY2022Q4",$M5865),"")</f>
        <v>[AZyWpGzhcaA]|25-34|Male|Incidence_SUBNAT.Rt.T|CY2024Q3</v>
      </c>
    </row>
    <row r="5866" customFormat="false" ht="15" hidden="false" customHeight="false" outlineLevel="0" collapsed="false">
      <c r="D5866" s="0" t="s">
        <v>90</v>
      </c>
      <c r="E5866" s="0" t="s">
        <v>91</v>
      </c>
      <c r="F5866" s="0" t="s">
        <v>92</v>
      </c>
      <c r="G5866" s="0" t="s">
        <v>169</v>
      </c>
      <c r="H5866" s="0" t="s">
        <v>169</v>
      </c>
      <c r="I5866" s="0" t="s">
        <v>43</v>
      </c>
      <c r="J5866" s="0" t="s">
        <v>44</v>
      </c>
      <c r="K5866" s="0" t="s">
        <v>48</v>
      </c>
      <c r="L5866" s="0" t="s">
        <v>49</v>
      </c>
      <c r="M5866" s="0" t="s">
        <v>167</v>
      </c>
      <c r="N5866" s="0" t="n">
        <v>588</v>
      </c>
      <c r="O5866" s="10" t="n">
        <v>0.26154629397206</v>
      </c>
      <c r="P5866" s="10" t="n">
        <v>0.719914150424302</v>
      </c>
      <c r="Q5866" s="0" t="str">
        <f aca="false">SUBSTITUTE(SUBSTITUTE($I5866,CHAR(61),""),CHAR(34),"")</f>
        <v>35-49</v>
      </c>
      <c r="R5866" s="0" t="str">
        <f aca="false">IF($D5866&lt;&gt;"","["&amp;$E5866&amp;"]"&amp;"|"&amp;$Q5866&amp;"|"&amp;$K5866&amp;"|"&amp;$G5866&amp;"|"&amp;IF($G5866="TX_CURR_SUBNAT.R","CY2022Q4",$M5866),"")</f>
        <v>[AZyWpGzhcaA]|35-49|Male|Incidence_SUBNAT.Rt.T|CY2024Q3</v>
      </c>
    </row>
    <row r="5867" customFormat="false" ht="15" hidden="false" customHeight="false" outlineLevel="0" collapsed="false">
      <c r="D5867" s="0" t="s">
        <v>90</v>
      </c>
      <c r="E5867" s="0" t="s">
        <v>91</v>
      </c>
      <c r="F5867" s="0" t="s">
        <v>92</v>
      </c>
      <c r="G5867" s="0" t="s">
        <v>169</v>
      </c>
      <c r="H5867" s="0" t="s">
        <v>169</v>
      </c>
      <c r="I5867" s="0" t="s">
        <v>45</v>
      </c>
      <c r="J5867" s="0" t="s">
        <v>46</v>
      </c>
      <c r="K5867" s="0" t="s">
        <v>48</v>
      </c>
      <c r="L5867" s="0" t="s">
        <v>49</v>
      </c>
      <c r="M5867" s="0" t="s">
        <v>167</v>
      </c>
      <c r="N5867" s="0" t="n">
        <v>1543</v>
      </c>
      <c r="O5867" s="10" t="n">
        <v>0.367258705664426</v>
      </c>
      <c r="P5867" s="10" t="n">
        <v>0.719914150424302</v>
      </c>
      <c r="Q5867" s="0" t="str">
        <f aca="false">SUBSTITUTE(SUBSTITUTE($I5867,CHAR(61),""),CHAR(34),"")</f>
        <v>50+</v>
      </c>
      <c r="R5867" s="0" t="str">
        <f aca="false">IF($D5867&lt;&gt;"","["&amp;$E5867&amp;"]"&amp;"|"&amp;$Q5867&amp;"|"&amp;$K5867&amp;"|"&amp;$G5867&amp;"|"&amp;IF($G5867="TX_CURR_SUBNAT.R","CY2022Q4",$M5867),"")</f>
        <v>[AZyWpGzhcaA]|50+|Male|Incidence_SUBNAT.Rt.T|CY2024Q3</v>
      </c>
    </row>
    <row r="5868" customFormat="false" ht="15" hidden="false" customHeight="false" outlineLevel="0" collapsed="false">
      <c r="D5868" s="0" t="s">
        <v>93</v>
      </c>
      <c r="E5868" s="0" t="s">
        <v>94</v>
      </c>
      <c r="F5868" s="0" t="s">
        <v>95</v>
      </c>
      <c r="G5868" s="0" t="s">
        <v>169</v>
      </c>
      <c r="H5868" s="0" t="s">
        <v>169</v>
      </c>
      <c r="I5868" s="0" t="s">
        <v>28</v>
      </c>
      <c r="J5868" s="0" t="s">
        <v>29</v>
      </c>
      <c r="K5868" s="0" t="s">
        <v>30</v>
      </c>
      <c r="L5868" s="0" t="s">
        <v>31</v>
      </c>
      <c r="M5868" s="0" t="s">
        <v>167</v>
      </c>
      <c r="N5868" s="0" t="n">
        <v>1629</v>
      </c>
      <c r="O5868" s="10" t="n">
        <v>0.273699212586507</v>
      </c>
      <c r="P5868" s="10" t="n">
        <v>0.362272296566516</v>
      </c>
      <c r="Q5868" s="0" t="str">
        <f aca="false">SUBSTITUTE(SUBSTITUTE($I5868,CHAR(61),""),CHAR(34),"")</f>
        <v>&lt;01</v>
      </c>
      <c r="R5868" s="0" t="str">
        <f aca="false">IF($D5868&lt;&gt;"","["&amp;$E5868&amp;"]"&amp;"|"&amp;$Q5868&amp;"|"&amp;$K5868&amp;"|"&amp;$G5868&amp;"|"&amp;IF($G5868="TX_CURR_SUBNAT.R","CY2022Q4",$M5868),"")</f>
        <v>[umc2n1Z4wNv]|&lt;01|Female|Incidence_SUBNAT.Rt.T|CY2024Q3</v>
      </c>
    </row>
    <row r="5869" customFormat="false" ht="15" hidden="false" customHeight="false" outlineLevel="0" collapsed="false">
      <c r="D5869" s="0" t="s">
        <v>93</v>
      </c>
      <c r="E5869" s="0" t="s">
        <v>94</v>
      </c>
      <c r="F5869" s="0" t="s">
        <v>95</v>
      </c>
      <c r="G5869" s="0" t="s">
        <v>169</v>
      </c>
      <c r="H5869" s="0" t="s">
        <v>169</v>
      </c>
      <c r="I5869" s="0" t="s">
        <v>33</v>
      </c>
      <c r="J5869" s="0" t="s">
        <v>34</v>
      </c>
      <c r="K5869" s="0" t="s">
        <v>30</v>
      </c>
      <c r="L5869" s="0" t="s">
        <v>31</v>
      </c>
      <c r="M5869" s="0" t="s">
        <v>167</v>
      </c>
      <c r="N5869" s="0" t="n">
        <v>605</v>
      </c>
      <c r="O5869" s="10" t="n">
        <v>0.340550342807546</v>
      </c>
      <c r="P5869" s="10" t="n">
        <v>0.362272296566516</v>
      </c>
      <c r="Q5869" s="0" t="str">
        <f aca="false">SUBSTITUTE(SUBSTITUTE($I5869,CHAR(61),""),CHAR(34),"")</f>
        <v>01-09</v>
      </c>
      <c r="R5869" s="0" t="str">
        <f aca="false">IF($D5869&lt;&gt;"","["&amp;$E5869&amp;"]"&amp;"|"&amp;$Q5869&amp;"|"&amp;$K5869&amp;"|"&amp;$G5869&amp;"|"&amp;IF($G5869="TX_CURR_SUBNAT.R","CY2022Q4",$M5869),"")</f>
        <v>[umc2n1Z4wNv]|01-09|Female|Incidence_SUBNAT.Rt.T|CY2024Q3</v>
      </c>
    </row>
    <row r="5870" customFormat="false" ht="15" hidden="false" customHeight="false" outlineLevel="0" collapsed="false">
      <c r="D5870" s="0" t="s">
        <v>93</v>
      </c>
      <c r="E5870" s="0" t="s">
        <v>94</v>
      </c>
      <c r="F5870" s="0" t="s">
        <v>95</v>
      </c>
      <c r="G5870" s="0" t="s">
        <v>169</v>
      </c>
      <c r="H5870" s="0" t="s">
        <v>169</v>
      </c>
      <c r="I5870" s="0" t="s">
        <v>36</v>
      </c>
      <c r="J5870" s="0" t="s">
        <v>37</v>
      </c>
      <c r="K5870" s="0" t="s">
        <v>30</v>
      </c>
      <c r="L5870" s="0" t="s">
        <v>31</v>
      </c>
      <c r="M5870" s="0" t="s">
        <v>167</v>
      </c>
      <c r="N5870" s="0" t="n">
        <v>2000</v>
      </c>
      <c r="O5870" s="10" t="n">
        <v>0.906919327564538</v>
      </c>
      <c r="P5870" s="10" t="n">
        <v>0.362272296566516</v>
      </c>
      <c r="Q5870" s="0" t="str">
        <f aca="false">SUBSTITUTE(SUBSTITUTE($I5870,CHAR(61),""),CHAR(34),"")</f>
        <v>10-14</v>
      </c>
      <c r="R5870" s="0" t="str">
        <f aca="false">IF($D5870&lt;&gt;"","["&amp;$E5870&amp;"]"&amp;"|"&amp;$Q5870&amp;"|"&amp;$K5870&amp;"|"&amp;$G5870&amp;"|"&amp;IF($G5870="TX_CURR_SUBNAT.R","CY2022Q4",$M5870),"")</f>
        <v>[umc2n1Z4wNv]|10-14|Female|Incidence_SUBNAT.Rt.T|CY2024Q3</v>
      </c>
    </row>
    <row r="5871" customFormat="false" ht="15" hidden="false" customHeight="false" outlineLevel="0" collapsed="false">
      <c r="D5871" s="0" t="s">
        <v>93</v>
      </c>
      <c r="E5871" s="0" t="s">
        <v>94</v>
      </c>
      <c r="F5871" s="0" t="s">
        <v>95</v>
      </c>
      <c r="G5871" s="0" t="s">
        <v>169</v>
      </c>
      <c r="H5871" s="0" t="s">
        <v>169</v>
      </c>
      <c r="I5871" s="0" t="s">
        <v>38</v>
      </c>
      <c r="J5871" s="0" t="s">
        <v>39</v>
      </c>
      <c r="K5871" s="0" t="s">
        <v>30</v>
      </c>
      <c r="L5871" s="0" t="s">
        <v>31</v>
      </c>
      <c r="M5871" s="0" t="s">
        <v>167</v>
      </c>
      <c r="N5871" s="0" t="n">
        <v>1484</v>
      </c>
      <c r="O5871" s="10" t="n">
        <v>0.409628930035979</v>
      </c>
      <c r="P5871" s="10" t="n">
        <v>0.362272296566516</v>
      </c>
      <c r="Q5871" s="0" t="str">
        <f aca="false">SUBSTITUTE(SUBSTITUTE($I5871,CHAR(61),""),CHAR(34),"")</f>
        <v>15-24</v>
      </c>
      <c r="R5871" s="0" t="str">
        <f aca="false">IF($D5871&lt;&gt;"","["&amp;$E5871&amp;"]"&amp;"|"&amp;$Q5871&amp;"|"&amp;$K5871&amp;"|"&amp;$G5871&amp;"|"&amp;IF($G5871="TX_CURR_SUBNAT.R","CY2022Q4",$M5871),"")</f>
        <v>[umc2n1Z4wNv]|15-24|Female|Incidence_SUBNAT.Rt.T|CY2024Q3</v>
      </c>
    </row>
    <row r="5872" customFormat="false" ht="15" hidden="false" customHeight="false" outlineLevel="0" collapsed="false">
      <c r="D5872" s="0" t="s">
        <v>93</v>
      </c>
      <c r="E5872" s="0" t="s">
        <v>94</v>
      </c>
      <c r="F5872" s="0" t="s">
        <v>95</v>
      </c>
      <c r="G5872" s="0" t="s">
        <v>169</v>
      </c>
      <c r="H5872" s="0" t="s">
        <v>169</v>
      </c>
      <c r="I5872" s="0" t="s">
        <v>41</v>
      </c>
      <c r="J5872" s="0" t="s">
        <v>42</v>
      </c>
      <c r="K5872" s="0" t="s">
        <v>30</v>
      </c>
      <c r="L5872" s="0" t="s">
        <v>31</v>
      </c>
      <c r="M5872" s="0" t="s">
        <v>167</v>
      </c>
      <c r="N5872" s="0" t="n">
        <v>541</v>
      </c>
      <c r="O5872" s="10" t="n">
        <v>0.948961742222309</v>
      </c>
      <c r="P5872" s="10" t="n">
        <v>0.362272296566516</v>
      </c>
      <c r="Q5872" s="0" t="str">
        <f aca="false">SUBSTITUTE(SUBSTITUTE($I5872,CHAR(61),""),CHAR(34),"")</f>
        <v>25-34</v>
      </c>
      <c r="R5872" s="0" t="str">
        <f aca="false">IF($D5872&lt;&gt;"","["&amp;$E5872&amp;"]"&amp;"|"&amp;$Q5872&amp;"|"&amp;$K5872&amp;"|"&amp;$G5872&amp;"|"&amp;IF($G5872="TX_CURR_SUBNAT.R","CY2022Q4",$M5872),"")</f>
        <v>[umc2n1Z4wNv]|25-34|Female|Incidence_SUBNAT.Rt.T|CY2024Q3</v>
      </c>
    </row>
    <row r="5873" customFormat="false" ht="15" hidden="false" customHeight="false" outlineLevel="0" collapsed="false">
      <c r="D5873" s="0" t="s">
        <v>93</v>
      </c>
      <c r="E5873" s="0" t="s">
        <v>94</v>
      </c>
      <c r="F5873" s="0" t="s">
        <v>95</v>
      </c>
      <c r="G5873" s="0" t="s">
        <v>169</v>
      </c>
      <c r="H5873" s="0" t="s">
        <v>169</v>
      </c>
      <c r="I5873" s="0" t="s">
        <v>43</v>
      </c>
      <c r="J5873" s="0" t="s">
        <v>44</v>
      </c>
      <c r="K5873" s="0" t="s">
        <v>30</v>
      </c>
      <c r="L5873" s="0" t="s">
        <v>31</v>
      </c>
      <c r="M5873" s="0" t="s">
        <v>167</v>
      </c>
      <c r="N5873" s="0" t="n">
        <v>1943</v>
      </c>
      <c r="O5873" s="10" t="n">
        <v>0.808266348903999</v>
      </c>
      <c r="P5873" s="10" t="n">
        <v>0.362272296566516</v>
      </c>
      <c r="Q5873" s="0" t="str">
        <f aca="false">SUBSTITUTE(SUBSTITUTE($I5873,CHAR(61),""),CHAR(34),"")</f>
        <v>35-49</v>
      </c>
      <c r="R5873" s="0" t="str">
        <f aca="false">IF($D5873&lt;&gt;"","["&amp;$E5873&amp;"]"&amp;"|"&amp;$Q5873&amp;"|"&amp;$K5873&amp;"|"&amp;$G5873&amp;"|"&amp;IF($G5873="TX_CURR_SUBNAT.R","CY2022Q4",$M5873),"")</f>
        <v>[umc2n1Z4wNv]|35-49|Female|Incidence_SUBNAT.Rt.T|CY2024Q3</v>
      </c>
    </row>
    <row r="5874" customFormat="false" ht="15" hidden="false" customHeight="false" outlineLevel="0" collapsed="false">
      <c r="D5874" s="0" t="s">
        <v>93</v>
      </c>
      <c r="E5874" s="0" t="s">
        <v>94</v>
      </c>
      <c r="F5874" s="0" t="s">
        <v>95</v>
      </c>
      <c r="G5874" s="0" t="s">
        <v>169</v>
      </c>
      <c r="H5874" s="0" t="s">
        <v>169</v>
      </c>
      <c r="I5874" s="0" t="s">
        <v>45</v>
      </c>
      <c r="J5874" s="0" t="s">
        <v>46</v>
      </c>
      <c r="K5874" s="0" t="s">
        <v>30</v>
      </c>
      <c r="L5874" s="0" t="s">
        <v>31</v>
      </c>
      <c r="M5874" s="0" t="s">
        <v>167</v>
      </c>
      <c r="N5874" s="0" t="n">
        <v>829</v>
      </c>
      <c r="O5874" s="10" t="n">
        <v>0.144326785346493</v>
      </c>
      <c r="P5874" s="10" t="n">
        <v>0.362272296566516</v>
      </c>
      <c r="Q5874" s="0" t="str">
        <f aca="false">SUBSTITUTE(SUBSTITUTE($I5874,CHAR(61),""),CHAR(34),"")</f>
        <v>50+</v>
      </c>
      <c r="R5874" s="0" t="str">
        <f aca="false">IF($D5874&lt;&gt;"","["&amp;$E5874&amp;"]"&amp;"|"&amp;$Q5874&amp;"|"&amp;$K5874&amp;"|"&amp;$G5874&amp;"|"&amp;IF($G5874="TX_CURR_SUBNAT.R","CY2022Q4",$M5874),"")</f>
        <v>[umc2n1Z4wNv]|50+|Female|Incidence_SUBNAT.Rt.T|CY2024Q3</v>
      </c>
    </row>
    <row r="5875" customFormat="false" ht="15" hidden="false" customHeight="false" outlineLevel="0" collapsed="false">
      <c r="D5875" s="0" t="s">
        <v>93</v>
      </c>
      <c r="E5875" s="0" t="s">
        <v>94</v>
      </c>
      <c r="F5875" s="0" t="s">
        <v>95</v>
      </c>
      <c r="G5875" s="0" t="s">
        <v>169</v>
      </c>
      <c r="H5875" s="0" t="s">
        <v>169</v>
      </c>
      <c r="I5875" s="0" t="s">
        <v>28</v>
      </c>
      <c r="J5875" s="0" t="s">
        <v>29</v>
      </c>
      <c r="K5875" s="0" t="s">
        <v>48</v>
      </c>
      <c r="L5875" s="0" t="s">
        <v>49</v>
      </c>
      <c r="M5875" s="0" t="s">
        <v>167</v>
      </c>
      <c r="N5875" s="0" t="n">
        <v>1805</v>
      </c>
      <c r="O5875" s="10" t="n">
        <v>0.57594033703208</v>
      </c>
      <c r="P5875" s="10" t="n">
        <v>0.362272296566516</v>
      </c>
      <c r="Q5875" s="0" t="str">
        <f aca="false">SUBSTITUTE(SUBSTITUTE($I5875,CHAR(61),""),CHAR(34),"")</f>
        <v>&lt;01</v>
      </c>
      <c r="R5875" s="0" t="str">
        <f aca="false">IF($D5875&lt;&gt;"","["&amp;$E5875&amp;"]"&amp;"|"&amp;$Q5875&amp;"|"&amp;$K5875&amp;"|"&amp;$G5875&amp;"|"&amp;IF($G5875="TX_CURR_SUBNAT.R","CY2022Q4",$M5875),"")</f>
        <v>[umc2n1Z4wNv]|&lt;01|Male|Incidence_SUBNAT.Rt.T|CY2024Q3</v>
      </c>
    </row>
    <row r="5876" customFormat="false" ht="15" hidden="false" customHeight="false" outlineLevel="0" collapsed="false">
      <c r="D5876" s="0" t="s">
        <v>93</v>
      </c>
      <c r="E5876" s="0" t="s">
        <v>94</v>
      </c>
      <c r="F5876" s="0" t="s">
        <v>95</v>
      </c>
      <c r="G5876" s="0" t="s">
        <v>169</v>
      </c>
      <c r="H5876" s="0" t="s">
        <v>169</v>
      </c>
      <c r="I5876" s="0" t="s">
        <v>33</v>
      </c>
      <c r="J5876" s="0" t="s">
        <v>34</v>
      </c>
      <c r="K5876" s="0" t="s">
        <v>48</v>
      </c>
      <c r="L5876" s="0" t="s">
        <v>49</v>
      </c>
      <c r="M5876" s="0" t="s">
        <v>167</v>
      </c>
      <c r="N5876" s="0" t="n">
        <v>1616</v>
      </c>
      <c r="O5876" s="10" t="n">
        <v>0.494793172227219</v>
      </c>
      <c r="P5876" s="10" t="n">
        <v>0.362272296566516</v>
      </c>
      <c r="Q5876" s="0" t="str">
        <f aca="false">SUBSTITUTE(SUBSTITUTE($I5876,CHAR(61),""),CHAR(34),"")</f>
        <v>01-09</v>
      </c>
      <c r="R5876" s="0" t="str">
        <f aca="false">IF($D5876&lt;&gt;"","["&amp;$E5876&amp;"]"&amp;"|"&amp;$Q5876&amp;"|"&amp;$K5876&amp;"|"&amp;$G5876&amp;"|"&amp;IF($G5876="TX_CURR_SUBNAT.R","CY2022Q4",$M5876),"")</f>
        <v>[umc2n1Z4wNv]|01-09|Male|Incidence_SUBNAT.Rt.T|CY2024Q3</v>
      </c>
    </row>
    <row r="5877" customFormat="false" ht="15" hidden="false" customHeight="false" outlineLevel="0" collapsed="false">
      <c r="D5877" s="0" t="s">
        <v>93</v>
      </c>
      <c r="E5877" s="0" t="s">
        <v>94</v>
      </c>
      <c r="F5877" s="0" t="s">
        <v>95</v>
      </c>
      <c r="G5877" s="0" t="s">
        <v>169</v>
      </c>
      <c r="H5877" s="0" t="s">
        <v>169</v>
      </c>
      <c r="I5877" s="0" t="s">
        <v>36</v>
      </c>
      <c r="J5877" s="0" t="s">
        <v>37</v>
      </c>
      <c r="K5877" s="0" t="s">
        <v>48</v>
      </c>
      <c r="L5877" s="0" t="s">
        <v>49</v>
      </c>
      <c r="M5877" s="0" t="s">
        <v>167</v>
      </c>
      <c r="N5877" s="0" t="n">
        <v>989</v>
      </c>
      <c r="O5877" s="10" t="n">
        <v>0.922728106379509</v>
      </c>
      <c r="P5877" s="10" t="n">
        <v>0.362272296566516</v>
      </c>
      <c r="Q5877" s="0" t="str">
        <f aca="false">SUBSTITUTE(SUBSTITUTE($I5877,CHAR(61),""),CHAR(34),"")</f>
        <v>10-14</v>
      </c>
      <c r="R5877" s="0" t="str">
        <f aca="false">IF($D5877&lt;&gt;"","["&amp;$E5877&amp;"]"&amp;"|"&amp;$Q5877&amp;"|"&amp;$K5877&amp;"|"&amp;$G5877&amp;"|"&amp;IF($G5877="TX_CURR_SUBNAT.R","CY2022Q4",$M5877),"")</f>
        <v>[umc2n1Z4wNv]|10-14|Male|Incidence_SUBNAT.Rt.T|CY2024Q3</v>
      </c>
    </row>
    <row r="5878" customFormat="false" ht="15" hidden="false" customHeight="false" outlineLevel="0" collapsed="false">
      <c r="D5878" s="0" t="s">
        <v>93</v>
      </c>
      <c r="E5878" s="0" t="s">
        <v>94</v>
      </c>
      <c r="F5878" s="0" t="s">
        <v>95</v>
      </c>
      <c r="G5878" s="0" t="s">
        <v>169</v>
      </c>
      <c r="H5878" s="0" t="s">
        <v>169</v>
      </c>
      <c r="I5878" s="0" t="s">
        <v>38</v>
      </c>
      <c r="J5878" s="0" t="s">
        <v>39</v>
      </c>
      <c r="K5878" s="0" t="s">
        <v>48</v>
      </c>
      <c r="L5878" s="0" t="s">
        <v>49</v>
      </c>
      <c r="M5878" s="0" t="s">
        <v>167</v>
      </c>
      <c r="N5878" s="0" t="n">
        <v>760</v>
      </c>
      <c r="O5878" s="10" t="n">
        <v>0.135833174455911</v>
      </c>
      <c r="P5878" s="10" t="n">
        <v>0.362272296566516</v>
      </c>
      <c r="Q5878" s="0" t="str">
        <f aca="false">SUBSTITUTE(SUBSTITUTE($I5878,CHAR(61),""),CHAR(34),"")</f>
        <v>15-24</v>
      </c>
      <c r="R5878" s="0" t="str">
        <f aca="false">IF($D5878&lt;&gt;"","["&amp;$E5878&amp;"]"&amp;"|"&amp;$Q5878&amp;"|"&amp;$K5878&amp;"|"&amp;$G5878&amp;"|"&amp;IF($G5878="TX_CURR_SUBNAT.R","CY2022Q4",$M5878),"")</f>
        <v>[umc2n1Z4wNv]|15-24|Male|Incidence_SUBNAT.Rt.T|CY2024Q3</v>
      </c>
    </row>
    <row r="5879" customFormat="false" ht="15" hidden="false" customHeight="false" outlineLevel="0" collapsed="false">
      <c r="D5879" s="0" t="s">
        <v>93</v>
      </c>
      <c r="E5879" s="0" t="s">
        <v>94</v>
      </c>
      <c r="F5879" s="0" t="s">
        <v>95</v>
      </c>
      <c r="G5879" s="0" t="s">
        <v>169</v>
      </c>
      <c r="H5879" s="0" t="s">
        <v>169</v>
      </c>
      <c r="I5879" s="0" t="s">
        <v>41</v>
      </c>
      <c r="J5879" s="0" t="s">
        <v>42</v>
      </c>
      <c r="K5879" s="0" t="s">
        <v>48</v>
      </c>
      <c r="L5879" s="0" t="s">
        <v>49</v>
      </c>
      <c r="M5879" s="0" t="s">
        <v>167</v>
      </c>
      <c r="N5879" s="0" t="n">
        <v>1441</v>
      </c>
      <c r="O5879" s="10" t="n">
        <v>0.608885564608499</v>
      </c>
      <c r="P5879" s="10" t="n">
        <v>0.362272296566516</v>
      </c>
      <c r="Q5879" s="0" t="str">
        <f aca="false">SUBSTITUTE(SUBSTITUTE($I5879,CHAR(61),""),CHAR(34),"")</f>
        <v>25-34</v>
      </c>
      <c r="R5879" s="0" t="str">
        <f aca="false">IF($D5879&lt;&gt;"","["&amp;$E5879&amp;"]"&amp;"|"&amp;$Q5879&amp;"|"&amp;$K5879&amp;"|"&amp;$G5879&amp;"|"&amp;IF($G5879="TX_CURR_SUBNAT.R","CY2022Q4",$M5879),"")</f>
        <v>[umc2n1Z4wNv]|25-34|Male|Incidence_SUBNAT.Rt.T|CY2024Q3</v>
      </c>
    </row>
    <row r="5880" customFormat="false" ht="15" hidden="false" customHeight="false" outlineLevel="0" collapsed="false">
      <c r="D5880" s="0" t="s">
        <v>93</v>
      </c>
      <c r="E5880" s="0" t="s">
        <v>94</v>
      </c>
      <c r="F5880" s="0" t="s">
        <v>95</v>
      </c>
      <c r="G5880" s="0" t="s">
        <v>169</v>
      </c>
      <c r="H5880" s="0" t="s">
        <v>169</v>
      </c>
      <c r="I5880" s="0" t="s">
        <v>43</v>
      </c>
      <c r="J5880" s="0" t="s">
        <v>44</v>
      </c>
      <c r="K5880" s="0" t="s">
        <v>48</v>
      </c>
      <c r="L5880" s="0" t="s">
        <v>49</v>
      </c>
      <c r="M5880" s="0" t="s">
        <v>167</v>
      </c>
      <c r="N5880" s="0" t="n">
        <v>1512</v>
      </c>
      <c r="O5880" s="10" t="n">
        <v>0.097616815706715</v>
      </c>
      <c r="P5880" s="10" t="n">
        <v>0.362272296566516</v>
      </c>
      <c r="Q5880" s="0" t="str">
        <f aca="false">SUBSTITUTE(SUBSTITUTE($I5880,CHAR(61),""),CHAR(34),"")</f>
        <v>35-49</v>
      </c>
      <c r="R5880" s="0" t="str">
        <f aca="false">IF($D5880&lt;&gt;"","["&amp;$E5880&amp;"]"&amp;"|"&amp;$Q5880&amp;"|"&amp;$K5880&amp;"|"&amp;$G5880&amp;"|"&amp;IF($G5880="TX_CURR_SUBNAT.R","CY2022Q4",$M5880),"")</f>
        <v>[umc2n1Z4wNv]|35-49|Male|Incidence_SUBNAT.Rt.T|CY2024Q3</v>
      </c>
    </row>
    <row r="5881" customFormat="false" ht="15" hidden="false" customHeight="false" outlineLevel="0" collapsed="false">
      <c r="D5881" s="0" t="s">
        <v>93</v>
      </c>
      <c r="E5881" s="0" t="s">
        <v>94</v>
      </c>
      <c r="F5881" s="0" t="s">
        <v>95</v>
      </c>
      <c r="G5881" s="0" t="s">
        <v>169</v>
      </c>
      <c r="H5881" s="0" t="s">
        <v>169</v>
      </c>
      <c r="I5881" s="0" t="s">
        <v>45</v>
      </c>
      <c r="J5881" s="0" t="s">
        <v>46</v>
      </c>
      <c r="K5881" s="0" t="s">
        <v>48</v>
      </c>
      <c r="L5881" s="0" t="s">
        <v>49</v>
      </c>
      <c r="M5881" s="0" t="s">
        <v>167</v>
      </c>
      <c r="N5881" s="0" t="n">
        <v>1064</v>
      </c>
      <c r="O5881" s="10" t="n">
        <v>0.639452695148066</v>
      </c>
      <c r="P5881" s="10" t="n">
        <v>0.362272296566516</v>
      </c>
      <c r="Q5881" s="0" t="str">
        <f aca="false">SUBSTITUTE(SUBSTITUTE($I5881,CHAR(61),""),CHAR(34),"")</f>
        <v>50+</v>
      </c>
      <c r="R5881" s="0" t="str">
        <f aca="false">IF($D5881&lt;&gt;"","["&amp;$E5881&amp;"]"&amp;"|"&amp;$Q5881&amp;"|"&amp;$K5881&amp;"|"&amp;$G5881&amp;"|"&amp;IF($G5881="TX_CURR_SUBNAT.R","CY2022Q4",$M5881),"")</f>
        <v>[umc2n1Z4wNv]|50+|Male|Incidence_SUBNAT.Rt.T|CY2024Q3</v>
      </c>
    </row>
    <row r="5882" customFormat="false" ht="15" hidden="false" customHeight="false" outlineLevel="0" collapsed="false">
      <c r="D5882" s="0" t="s">
        <v>96</v>
      </c>
      <c r="E5882" s="0" t="s">
        <v>97</v>
      </c>
      <c r="F5882" s="0" t="s">
        <v>98</v>
      </c>
      <c r="G5882" s="0" t="s">
        <v>169</v>
      </c>
      <c r="H5882" s="0" t="s">
        <v>169</v>
      </c>
      <c r="I5882" s="0" t="s">
        <v>28</v>
      </c>
      <c r="J5882" s="0" t="s">
        <v>29</v>
      </c>
      <c r="K5882" s="0" t="s">
        <v>30</v>
      </c>
      <c r="L5882" s="0" t="s">
        <v>31</v>
      </c>
      <c r="M5882" s="0" t="s">
        <v>167</v>
      </c>
      <c r="N5882" s="0" t="n">
        <v>503</v>
      </c>
      <c r="O5882" s="10" t="n">
        <v>0.364254405256361</v>
      </c>
      <c r="P5882" s="10" t="n">
        <v>0.601251717889681</v>
      </c>
      <c r="Q5882" s="0" t="str">
        <f aca="false">SUBSTITUTE(SUBSTITUTE($I5882,CHAR(61),""),CHAR(34),"")</f>
        <v>&lt;01</v>
      </c>
      <c r="R5882" s="0" t="str">
        <f aca="false">IF($D5882&lt;&gt;"","["&amp;$E5882&amp;"]"&amp;"|"&amp;$Q5882&amp;"|"&amp;$K5882&amp;"|"&amp;$G5882&amp;"|"&amp;IF($G5882="TX_CURR_SUBNAT.R","CY2022Q4",$M5882),"")</f>
        <v>[gwVYinjBAe9]|&lt;01|Female|Incidence_SUBNAT.Rt.T|CY2024Q3</v>
      </c>
    </row>
    <row r="5883" customFormat="false" ht="15" hidden="false" customHeight="false" outlineLevel="0" collapsed="false">
      <c r="D5883" s="0" t="s">
        <v>96</v>
      </c>
      <c r="E5883" s="0" t="s">
        <v>97</v>
      </c>
      <c r="F5883" s="0" t="s">
        <v>98</v>
      </c>
      <c r="G5883" s="0" t="s">
        <v>169</v>
      </c>
      <c r="H5883" s="0" t="s">
        <v>169</v>
      </c>
      <c r="I5883" s="0" t="s">
        <v>33</v>
      </c>
      <c r="J5883" s="0" t="s">
        <v>34</v>
      </c>
      <c r="K5883" s="0" t="s">
        <v>30</v>
      </c>
      <c r="L5883" s="0" t="s">
        <v>31</v>
      </c>
      <c r="M5883" s="0" t="s">
        <v>167</v>
      </c>
      <c r="N5883" s="0" t="n">
        <v>1142</v>
      </c>
      <c r="O5883" s="10" t="n">
        <v>0.700081720948219</v>
      </c>
      <c r="P5883" s="10" t="n">
        <v>0.601251717889681</v>
      </c>
      <c r="Q5883" s="0" t="str">
        <f aca="false">SUBSTITUTE(SUBSTITUTE($I5883,CHAR(61),""),CHAR(34),"")</f>
        <v>01-09</v>
      </c>
      <c r="R5883" s="0" t="str">
        <f aca="false">IF($D5883&lt;&gt;"","["&amp;$E5883&amp;"]"&amp;"|"&amp;$Q5883&amp;"|"&amp;$K5883&amp;"|"&amp;$G5883&amp;"|"&amp;IF($G5883="TX_CURR_SUBNAT.R","CY2022Q4",$M5883),"")</f>
        <v>[gwVYinjBAe9]|01-09|Female|Incidence_SUBNAT.Rt.T|CY2024Q3</v>
      </c>
    </row>
    <row r="5884" customFormat="false" ht="15" hidden="false" customHeight="false" outlineLevel="0" collapsed="false">
      <c r="D5884" s="0" t="s">
        <v>96</v>
      </c>
      <c r="E5884" s="0" t="s">
        <v>97</v>
      </c>
      <c r="F5884" s="0" t="s">
        <v>98</v>
      </c>
      <c r="G5884" s="0" t="s">
        <v>169</v>
      </c>
      <c r="H5884" s="0" t="s">
        <v>169</v>
      </c>
      <c r="I5884" s="0" t="s">
        <v>36</v>
      </c>
      <c r="J5884" s="0" t="s">
        <v>37</v>
      </c>
      <c r="K5884" s="0" t="s">
        <v>30</v>
      </c>
      <c r="L5884" s="0" t="s">
        <v>31</v>
      </c>
      <c r="M5884" s="0" t="s">
        <v>167</v>
      </c>
      <c r="N5884" s="0" t="n">
        <v>1500</v>
      </c>
      <c r="O5884" s="10" t="n">
        <v>0.0459940931759775</v>
      </c>
      <c r="P5884" s="10" t="n">
        <v>0.601251717889681</v>
      </c>
      <c r="Q5884" s="0" t="str">
        <f aca="false">SUBSTITUTE(SUBSTITUTE($I5884,CHAR(61),""),CHAR(34),"")</f>
        <v>10-14</v>
      </c>
      <c r="R5884" s="0" t="str">
        <f aca="false">IF($D5884&lt;&gt;"","["&amp;$E5884&amp;"]"&amp;"|"&amp;$Q5884&amp;"|"&amp;$K5884&amp;"|"&amp;$G5884&amp;"|"&amp;IF($G5884="TX_CURR_SUBNAT.R","CY2022Q4",$M5884),"")</f>
        <v>[gwVYinjBAe9]|10-14|Female|Incidence_SUBNAT.Rt.T|CY2024Q3</v>
      </c>
    </row>
    <row r="5885" customFormat="false" ht="15" hidden="false" customHeight="false" outlineLevel="0" collapsed="false">
      <c r="D5885" s="0" t="s">
        <v>96</v>
      </c>
      <c r="E5885" s="0" t="s">
        <v>97</v>
      </c>
      <c r="F5885" s="0" t="s">
        <v>98</v>
      </c>
      <c r="G5885" s="0" t="s">
        <v>169</v>
      </c>
      <c r="H5885" s="0" t="s">
        <v>169</v>
      </c>
      <c r="I5885" s="0" t="s">
        <v>38</v>
      </c>
      <c r="J5885" s="0" t="s">
        <v>39</v>
      </c>
      <c r="K5885" s="0" t="s">
        <v>30</v>
      </c>
      <c r="L5885" s="0" t="s">
        <v>31</v>
      </c>
      <c r="M5885" s="0" t="s">
        <v>167</v>
      </c>
      <c r="N5885" s="0" t="n">
        <v>589</v>
      </c>
      <c r="O5885" s="10" t="n">
        <v>0.613106755539775</v>
      </c>
      <c r="P5885" s="10" t="n">
        <v>0.601251717889681</v>
      </c>
      <c r="Q5885" s="0" t="str">
        <f aca="false">SUBSTITUTE(SUBSTITUTE($I5885,CHAR(61),""),CHAR(34),"")</f>
        <v>15-24</v>
      </c>
      <c r="R5885" s="0" t="str">
        <f aca="false">IF($D5885&lt;&gt;"","["&amp;$E5885&amp;"]"&amp;"|"&amp;$Q5885&amp;"|"&amp;$K5885&amp;"|"&amp;$G5885&amp;"|"&amp;IF($G5885="TX_CURR_SUBNAT.R","CY2022Q4",$M5885),"")</f>
        <v>[gwVYinjBAe9]|15-24|Female|Incidence_SUBNAT.Rt.T|CY2024Q3</v>
      </c>
    </row>
    <row r="5886" customFormat="false" ht="15" hidden="false" customHeight="false" outlineLevel="0" collapsed="false">
      <c r="D5886" s="0" t="s">
        <v>96</v>
      </c>
      <c r="E5886" s="0" t="s">
        <v>97</v>
      </c>
      <c r="F5886" s="0" t="s">
        <v>98</v>
      </c>
      <c r="G5886" s="0" t="s">
        <v>169</v>
      </c>
      <c r="H5886" s="0" t="s">
        <v>169</v>
      </c>
      <c r="I5886" s="0" t="s">
        <v>41</v>
      </c>
      <c r="J5886" s="0" t="s">
        <v>42</v>
      </c>
      <c r="K5886" s="0" t="s">
        <v>30</v>
      </c>
      <c r="L5886" s="0" t="s">
        <v>31</v>
      </c>
      <c r="M5886" s="0" t="s">
        <v>167</v>
      </c>
      <c r="N5886" s="0" t="n">
        <v>774</v>
      </c>
      <c r="O5886" s="10" t="n">
        <v>0.0685345309320837</v>
      </c>
      <c r="P5886" s="10" t="n">
        <v>0.601251717889681</v>
      </c>
      <c r="Q5886" s="0" t="str">
        <f aca="false">SUBSTITUTE(SUBSTITUTE($I5886,CHAR(61),""),CHAR(34),"")</f>
        <v>25-34</v>
      </c>
      <c r="R5886" s="0" t="str">
        <f aca="false">IF($D5886&lt;&gt;"","["&amp;$E5886&amp;"]"&amp;"|"&amp;$Q5886&amp;"|"&amp;$K5886&amp;"|"&amp;$G5886&amp;"|"&amp;IF($G5886="TX_CURR_SUBNAT.R","CY2022Q4",$M5886),"")</f>
        <v>[gwVYinjBAe9]|25-34|Female|Incidence_SUBNAT.Rt.T|CY2024Q3</v>
      </c>
    </row>
    <row r="5887" customFormat="false" ht="15" hidden="false" customHeight="false" outlineLevel="0" collapsed="false">
      <c r="D5887" s="0" t="s">
        <v>96</v>
      </c>
      <c r="E5887" s="0" t="s">
        <v>97</v>
      </c>
      <c r="F5887" s="0" t="s">
        <v>98</v>
      </c>
      <c r="G5887" s="0" t="s">
        <v>169</v>
      </c>
      <c r="H5887" s="0" t="s">
        <v>169</v>
      </c>
      <c r="I5887" s="0" t="s">
        <v>43</v>
      </c>
      <c r="J5887" s="0" t="s">
        <v>44</v>
      </c>
      <c r="K5887" s="0" t="s">
        <v>30</v>
      </c>
      <c r="L5887" s="0" t="s">
        <v>31</v>
      </c>
      <c r="M5887" s="0" t="s">
        <v>167</v>
      </c>
      <c r="N5887" s="0" t="n">
        <v>1311</v>
      </c>
      <c r="O5887" s="10" t="n">
        <v>0.605524705955759</v>
      </c>
      <c r="P5887" s="10" t="n">
        <v>0.601251717889681</v>
      </c>
      <c r="Q5887" s="0" t="str">
        <f aca="false">SUBSTITUTE(SUBSTITUTE($I5887,CHAR(61),""),CHAR(34),"")</f>
        <v>35-49</v>
      </c>
      <c r="R5887" s="0" t="str">
        <f aca="false">IF($D5887&lt;&gt;"","["&amp;$E5887&amp;"]"&amp;"|"&amp;$Q5887&amp;"|"&amp;$K5887&amp;"|"&amp;$G5887&amp;"|"&amp;IF($G5887="TX_CURR_SUBNAT.R","CY2022Q4",$M5887),"")</f>
        <v>[gwVYinjBAe9]|35-49|Female|Incidence_SUBNAT.Rt.T|CY2024Q3</v>
      </c>
    </row>
    <row r="5888" customFormat="false" ht="15" hidden="false" customHeight="false" outlineLevel="0" collapsed="false">
      <c r="D5888" s="0" t="s">
        <v>96</v>
      </c>
      <c r="E5888" s="0" t="s">
        <v>97</v>
      </c>
      <c r="F5888" s="0" t="s">
        <v>98</v>
      </c>
      <c r="G5888" s="0" t="s">
        <v>169</v>
      </c>
      <c r="H5888" s="0" t="s">
        <v>169</v>
      </c>
      <c r="I5888" s="0" t="s">
        <v>45</v>
      </c>
      <c r="J5888" s="0" t="s">
        <v>46</v>
      </c>
      <c r="K5888" s="0" t="s">
        <v>30</v>
      </c>
      <c r="L5888" s="0" t="s">
        <v>31</v>
      </c>
      <c r="M5888" s="0" t="s">
        <v>167</v>
      </c>
      <c r="N5888" s="0" t="n">
        <v>932</v>
      </c>
      <c r="O5888" s="10" t="n">
        <v>0.849055178463459</v>
      </c>
      <c r="P5888" s="10" t="n">
        <v>0.601251717889681</v>
      </c>
      <c r="Q5888" s="0" t="str">
        <f aca="false">SUBSTITUTE(SUBSTITUTE($I5888,CHAR(61),""),CHAR(34),"")</f>
        <v>50+</v>
      </c>
      <c r="R5888" s="0" t="str">
        <f aca="false">IF($D5888&lt;&gt;"","["&amp;$E5888&amp;"]"&amp;"|"&amp;$Q5888&amp;"|"&amp;$K5888&amp;"|"&amp;$G5888&amp;"|"&amp;IF($G5888="TX_CURR_SUBNAT.R","CY2022Q4",$M5888),"")</f>
        <v>[gwVYinjBAe9]|50+|Female|Incidence_SUBNAT.Rt.T|CY2024Q3</v>
      </c>
    </row>
    <row r="5889" customFormat="false" ht="15" hidden="false" customHeight="false" outlineLevel="0" collapsed="false">
      <c r="D5889" s="0" t="s">
        <v>96</v>
      </c>
      <c r="E5889" s="0" t="s">
        <v>97</v>
      </c>
      <c r="F5889" s="0" t="s">
        <v>98</v>
      </c>
      <c r="G5889" s="0" t="s">
        <v>169</v>
      </c>
      <c r="H5889" s="0" t="s">
        <v>169</v>
      </c>
      <c r="I5889" s="0" t="s">
        <v>28</v>
      </c>
      <c r="J5889" s="0" t="s">
        <v>29</v>
      </c>
      <c r="K5889" s="0" t="s">
        <v>48</v>
      </c>
      <c r="L5889" s="0" t="s">
        <v>49</v>
      </c>
      <c r="M5889" s="0" t="s">
        <v>167</v>
      </c>
      <c r="N5889" s="0" t="n">
        <v>1380</v>
      </c>
      <c r="O5889" s="10" t="n">
        <v>0.243191404035315</v>
      </c>
      <c r="P5889" s="10" t="n">
        <v>0.601251717889681</v>
      </c>
      <c r="Q5889" s="0" t="str">
        <f aca="false">SUBSTITUTE(SUBSTITUTE($I5889,CHAR(61),""),CHAR(34),"")</f>
        <v>&lt;01</v>
      </c>
      <c r="R5889" s="0" t="str">
        <f aca="false">IF($D5889&lt;&gt;"","["&amp;$E5889&amp;"]"&amp;"|"&amp;$Q5889&amp;"|"&amp;$K5889&amp;"|"&amp;$G5889&amp;"|"&amp;IF($G5889="TX_CURR_SUBNAT.R","CY2022Q4",$M5889),"")</f>
        <v>[gwVYinjBAe9]|&lt;01|Male|Incidence_SUBNAT.Rt.T|CY2024Q3</v>
      </c>
    </row>
    <row r="5890" customFormat="false" ht="15" hidden="false" customHeight="false" outlineLevel="0" collapsed="false">
      <c r="D5890" s="0" t="s">
        <v>96</v>
      </c>
      <c r="E5890" s="0" t="s">
        <v>97</v>
      </c>
      <c r="F5890" s="0" t="s">
        <v>98</v>
      </c>
      <c r="G5890" s="0" t="s">
        <v>169</v>
      </c>
      <c r="H5890" s="0" t="s">
        <v>169</v>
      </c>
      <c r="I5890" s="0" t="s">
        <v>33</v>
      </c>
      <c r="J5890" s="0" t="s">
        <v>34</v>
      </c>
      <c r="K5890" s="0" t="s">
        <v>48</v>
      </c>
      <c r="L5890" s="0" t="s">
        <v>49</v>
      </c>
      <c r="M5890" s="0" t="s">
        <v>167</v>
      </c>
      <c r="N5890" s="0" t="n">
        <v>764</v>
      </c>
      <c r="O5890" s="10" t="n">
        <v>0.958890723297372</v>
      </c>
      <c r="P5890" s="10" t="n">
        <v>0.601251717889681</v>
      </c>
      <c r="Q5890" s="0" t="str">
        <f aca="false">SUBSTITUTE(SUBSTITUTE($I5890,CHAR(61),""),CHAR(34),"")</f>
        <v>01-09</v>
      </c>
      <c r="R5890" s="0" t="str">
        <f aca="false">IF($D5890&lt;&gt;"","["&amp;$E5890&amp;"]"&amp;"|"&amp;$Q5890&amp;"|"&amp;$K5890&amp;"|"&amp;$G5890&amp;"|"&amp;IF($G5890="TX_CURR_SUBNAT.R","CY2022Q4",$M5890),"")</f>
        <v>[gwVYinjBAe9]|01-09|Male|Incidence_SUBNAT.Rt.T|CY2024Q3</v>
      </c>
    </row>
    <row r="5891" customFormat="false" ht="15" hidden="false" customHeight="false" outlineLevel="0" collapsed="false">
      <c r="D5891" s="0" t="s">
        <v>96</v>
      </c>
      <c r="E5891" s="0" t="s">
        <v>97</v>
      </c>
      <c r="F5891" s="0" t="s">
        <v>98</v>
      </c>
      <c r="G5891" s="0" t="s">
        <v>169</v>
      </c>
      <c r="H5891" s="0" t="s">
        <v>169</v>
      </c>
      <c r="I5891" s="0" t="s">
        <v>36</v>
      </c>
      <c r="J5891" s="0" t="s">
        <v>37</v>
      </c>
      <c r="K5891" s="0" t="s">
        <v>48</v>
      </c>
      <c r="L5891" s="0" t="s">
        <v>49</v>
      </c>
      <c r="M5891" s="0" t="s">
        <v>167</v>
      </c>
      <c r="N5891" s="0" t="n">
        <v>1149</v>
      </c>
      <c r="O5891" s="10" t="n">
        <v>0.589725580997765</v>
      </c>
      <c r="P5891" s="10" t="n">
        <v>0.601251717889681</v>
      </c>
      <c r="Q5891" s="0" t="str">
        <f aca="false">SUBSTITUTE(SUBSTITUTE($I5891,CHAR(61),""),CHAR(34),"")</f>
        <v>10-14</v>
      </c>
      <c r="R5891" s="0" t="str">
        <f aca="false">IF($D5891&lt;&gt;"","["&amp;$E5891&amp;"]"&amp;"|"&amp;$Q5891&amp;"|"&amp;$K5891&amp;"|"&amp;$G5891&amp;"|"&amp;IF($G5891="TX_CURR_SUBNAT.R","CY2022Q4",$M5891),"")</f>
        <v>[gwVYinjBAe9]|10-14|Male|Incidence_SUBNAT.Rt.T|CY2024Q3</v>
      </c>
    </row>
    <row r="5892" customFormat="false" ht="15" hidden="false" customHeight="false" outlineLevel="0" collapsed="false">
      <c r="D5892" s="0" t="s">
        <v>96</v>
      </c>
      <c r="E5892" s="0" t="s">
        <v>97</v>
      </c>
      <c r="F5892" s="0" t="s">
        <v>98</v>
      </c>
      <c r="G5892" s="0" t="s">
        <v>169</v>
      </c>
      <c r="H5892" s="0" t="s">
        <v>169</v>
      </c>
      <c r="I5892" s="0" t="s">
        <v>38</v>
      </c>
      <c r="J5892" s="0" t="s">
        <v>39</v>
      </c>
      <c r="K5892" s="0" t="s">
        <v>48</v>
      </c>
      <c r="L5892" s="0" t="s">
        <v>49</v>
      </c>
      <c r="M5892" s="0" t="s">
        <v>167</v>
      </c>
      <c r="N5892" s="0" t="n">
        <v>871</v>
      </c>
      <c r="O5892" s="10" t="n">
        <v>0.119951779488474</v>
      </c>
      <c r="P5892" s="10" t="n">
        <v>0.601251717889681</v>
      </c>
      <c r="Q5892" s="0" t="str">
        <f aca="false">SUBSTITUTE(SUBSTITUTE($I5892,CHAR(61),""),CHAR(34),"")</f>
        <v>15-24</v>
      </c>
      <c r="R5892" s="0" t="str">
        <f aca="false">IF($D5892&lt;&gt;"","["&amp;$E5892&amp;"]"&amp;"|"&amp;$Q5892&amp;"|"&amp;$K5892&amp;"|"&amp;$G5892&amp;"|"&amp;IF($G5892="TX_CURR_SUBNAT.R","CY2022Q4",$M5892),"")</f>
        <v>[gwVYinjBAe9]|15-24|Male|Incidence_SUBNAT.Rt.T|CY2024Q3</v>
      </c>
    </row>
    <row r="5893" customFormat="false" ht="15" hidden="false" customHeight="false" outlineLevel="0" collapsed="false">
      <c r="D5893" s="0" t="s">
        <v>96</v>
      </c>
      <c r="E5893" s="0" t="s">
        <v>97</v>
      </c>
      <c r="F5893" s="0" t="s">
        <v>98</v>
      </c>
      <c r="G5893" s="0" t="s">
        <v>169</v>
      </c>
      <c r="H5893" s="0" t="s">
        <v>169</v>
      </c>
      <c r="I5893" s="0" t="s">
        <v>41</v>
      </c>
      <c r="J5893" s="0" t="s">
        <v>42</v>
      </c>
      <c r="K5893" s="0" t="s">
        <v>48</v>
      </c>
      <c r="L5893" s="0" t="s">
        <v>49</v>
      </c>
      <c r="M5893" s="0" t="s">
        <v>167</v>
      </c>
      <c r="N5893" s="0" t="n">
        <v>810</v>
      </c>
      <c r="O5893" s="10" t="n">
        <v>0.50967291300185</v>
      </c>
      <c r="P5893" s="10" t="n">
        <v>0.601251717889681</v>
      </c>
      <c r="Q5893" s="0" t="str">
        <f aca="false">SUBSTITUTE(SUBSTITUTE($I5893,CHAR(61),""),CHAR(34),"")</f>
        <v>25-34</v>
      </c>
      <c r="R5893" s="0" t="str">
        <f aca="false">IF($D5893&lt;&gt;"","["&amp;$E5893&amp;"]"&amp;"|"&amp;$Q5893&amp;"|"&amp;$K5893&amp;"|"&amp;$G5893&amp;"|"&amp;IF($G5893="TX_CURR_SUBNAT.R","CY2022Q4",$M5893),"")</f>
        <v>[gwVYinjBAe9]|25-34|Male|Incidence_SUBNAT.Rt.T|CY2024Q3</v>
      </c>
    </row>
    <row r="5894" customFormat="false" ht="15" hidden="false" customHeight="false" outlineLevel="0" collapsed="false">
      <c r="D5894" s="0" t="s">
        <v>96</v>
      </c>
      <c r="E5894" s="0" t="s">
        <v>97</v>
      </c>
      <c r="F5894" s="0" t="s">
        <v>98</v>
      </c>
      <c r="G5894" s="0" t="s">
        <v>169</v>
      </c>
      <c r="H5894" s="0" t="s">
        <v>169</v>
      </c>
      <c r="I5894" s="0" t="s">
        <v>43</v>
      </c>
      <c r="J5894" s="0" t="s">
        <v>44</v>
      </c>
      <c r="K5894" s="0" t="s">
        <v>48</v>
      </c>
      <c r="L5894" s="0" t="s">
        <v>49</v>
      </c>
      <c r="M5894" s="0" t="s">
        <v>167</v>
      </c>
      <c r="N5894" s="0" t="n">
        <v>1340</v>
      </c>
      <c r="O5894" s="10" t="n">
        <v>0.16749129188247</v>
      </c>
      <c r="P5894" s="10" t="n">
        <v>0.601251717889681</v>
      </c>
      <c r="Q5894" s="0" t="str">
        <f aca="false">SUBSTITUTE(SUBSTITUTE($I5894,CHAR(61),""),CHAR(34),"")</f>
        <v>35-49</v>
      </c>
      <c r="R5894" s="0" t="str">
        <f aca="false">IF($D5894&lt;&gt;"","["&amp;$E5894&amp;"]"&amp;"|"&amp;$Q5894&amp;"|"&amp;$K5894&amp;"|"&amp;$G5894&amp;"|"&amp;IF($G5894="TX_CURR_SUBNAT.R","CY2022Q4",$M5894),"")</f>
        <v>[gwVYinjBAe9]|35-49|Male|Incidence_SUBNAT.Rt.T|CY2024Q3</v>
      </c>
    </row>
    <row r="5895" customFormat="false" ht="15" hidden="false" customHeight="false" outlineLevel="0" collapsed="false">
      <c r="D5895" s="0" t="s">
        <v>96</v>
      </c>
      <c r="E5895" s="0" t="s">
        <v>97</v>
      </c>
      <c r="F5895" s="0" t="s">
        <v>98</v>
      </c>
      <c r="G5895" s="0" t="s">
        <v>169</v>
      </c>
      <c r="H5895" s="0" t="s">
        <v>169</v>
      </c>
      <c r="I5895" s="0" t="s">
        <v>45</v>
      </c>
      <c r="J5895" s="0" t="s">
        <v>46</v>
      </c>
      <c r="K5895" s="0" t="s">
        <v>48</v>
      </c>
      <c r="L5895" s="0" t="s">
        <v>49</v>
      </c>
      <c r="M5895" s="0" t="s">
        <v>167</v>
      </c>
      <c r="N5895" s="0" t="n">
        <v>1741</v>
      </c>
      <c r="O5895" s="10" t="n">
        <v>0.615536046912894</v>
      </c>
      <c r="P5895" s="10" t="n">
        <v>0.601251717889681</v>
      </c>
      <c r="Q5895" s="0" t="str">
        <f aca="false">SUBSTITUTE(SUBSTITUTE($I5895,CHAR(61),""),CHAR(34),"")</f>
        <v>50+</v>
      </c>
      <c r="R5895" s="0" t="str">
        <f aca="false">IF($D5895&lt;&gt;"","["&amp;$E5895&amp;"]"&amp;"|"&amp;$Q5895&amp;"|"&amp;$K5895&amp;"|"&amp;$G5895&amp;"|"&amp;IF($G5895="TX_CURR_SUBNAT.R","CY2022Q4",$M5895),"")</f>
        <v>[gwVYinjBAe9]|50+|Male|Incidence_SUBNAT.Rt.T|CY2024Q3</v>
      </c>
    </row>
    <row r="5896" customFormat="false" ht="15" hidden="false" customHeight="false" outlineLevel="0" collapsed="false">
      <c r="D5896" s="0" t="s">
        <v>99</v>
      </c>
      <c r="E5896" s="0" t="s">
        <v>100</v>
      </c>
      <c r="F5896" s="0" t="s">
        <v>101</v>
      </c>
      <c r="G5896" s="0" t="s">
        <v>169</v>
      </c>
      <c r="H5896" s="0" t="s">
        <v>169</v>
      </c>
      <c r="I5896" s="0" t="s">
        <v>28</v>
      </c>
      <c r="J5896" s="0" t="s">
        <v>29</v>
      </c>
      <c r="K5896" s="0" t="s">
        <v>30</v>
      </c>
      <c r="L5896" s="0" t="s">
        <v>31</v>
      </c>
      <c r="M5896" s="0" t="s">
        <v>167</v>
      </c>
      <c r="N5896" s="0" t="n">
        <v>828</v>
      </c>
      <c r="O5896" s="10" t="n">
        <v>0.235227980418131</v>
      </c>
      <c r="P5896" s="10" t="n">
        <v>0.577288038097322</v>
      </c>
      <c r="Q5896" s="0" t="str">
        <f aca="false">SUBSTITUTE(SUBSTITUTE($I5896,CHAR(61),""),CHAR(34),"")</f>
        <v>&lt;01</v>
      </c>
      <c r="R5896" s="0" t="str">
        <f aca="false">IF($D5896&lt;&gt;"","["&amp;$E5896&amp;"]"&amp;"|"&amp;$Q5896&amp;"|"&amp;$K5896&amp;"|"&amp;$G5896&amp;"|"&amp;IF($G5896="TX_CURR_SUBNAT.R","CY2022Q4",$M5896),"")</f>
        <v>[mxqa3CDFmIT]|&lt;01|Female|Incidence_SUBNAT.Rt.T|CY2024Q3</v>
      </c>
    </row>
    <row r="5897" customFormat="false" ht="15" hidden="false" customHeight="false" outlineLevel="0" collapsed="false">
      <c r="D5897" s="0" t="s">
        <v>99</v>
      </c>
      <c r="E5897" s="0" t="s">
        <v>100</v>
      </c>
      <c r="F5897" s="0" t="s">
        <v>101</v>
      </c>
      <c r="G5897" s="0" t="s">
        <v>169</v>
      </c>
      <c r="H5897" s="0" t="s">
        <v>169</v>
      </c>
      <c r="I5897" s="0" t="s">
        <v>33</v>
      </c>
      <c r="J5897" s="0" t="s">
        <v>34</v>
      </c>
      <c r="K5897" s="0" t="s">
        <v>30</v>
      </c>
      <c r="L5897" s="0" t="s">
        <v>31</v>
      </c>
      <c r="M5897" s="0" t="s">
        <v>167</v>
      </c>
      <c r="N5897" s="0" t="n">
        <v>1654</v>
      </c>
      <c r="O5897" s="10" t="n">
        <v>0.268844868289307</v>
      </c>
      <c r="P5897" s="10" t="n">
        <v>0.577288038097322</v>
      </c>
      <c r="Q5897" s="0" t="str">
        <f aca="false">SUBSTITUTE(SUBSTITUTE($I5897,CHAR(61),""),CHAR(34),"")</f>
        <v>01-09</v>
      </c>
      <c r="R5897" s="0" t="str">
        <f aca="false">IF($D5897&lt;&gt;"","["&amp;$E5897&amp;"]"&amp;"|"&amp;$Q5897&amp;"|"&amp;$K5897&amp;"|"&amp;$G5897&amp;"|"&amp;IF($G5897="TX_CURR_SUBNAT.R","CY2022Q4",$M5897),"")</f>
        <v>[mxqa3CDFmIT]|01-09|Female|Incidence_SUBNAT.Rt.T|CY2024Q3</v>
      </c>
    </row>
    <row r="5898" customFormat="false" ht="15" hidden="false" customHeight="false" outlineLevel="0" collapsed="false">
      <c r="D5898" s="0" t="s">
        <v>99</v>
      </c>
      <c r="E5898" s="0" t="s">
        <v>100</v>
      </c>
      <c r="F5898" s="0" t="s">
        <v>101</v>
      </c>
      <c r="G5898" s="0" t="s">
        <v>169</v>
      </c>
      <c r="H5898" s="0" t="s">
        <v>169</v>
      </c>
      <c r="I5898" s="0" t="s">
        <v>36</v>
      </c>
      <c r="J5898" s="0" t="s">
        <v>37</v>
      </c>
      <c r="K5898" s="0" t="s">
        <v>30</v>
      </c>
      <c r="L5898" s="0" t="s">
        <v>31</v>
      </c>
      <c r="M5898" s="0" t="s">
        <v>167</v>
      </c>
      <c r="N5898" s="0" t="n">
        <v>1662</v>
      </c>
      <c r="O5898" s="10" t="n">
        <v>0.364595590392128</v>
      </c>
      <c r="P5898" s="10" t="n">
        <v>0.577288038097322</v>
      </c>
      <c r="Q5898" s="0" t="str">
        <f aca="false">SUBSTITUTE(SUBSTITUTE($I5898,CHAR(61),""),CHAR(34),"")</f>
        <v>10-14</v>
      </c>
      <c r="R5898" s="0" t="str">
        <f aca="false">IF($D5898&lt;&gt;"","["&amp;$E5898&amp;"]"&amp;"|"&amp;$Q5898&amp;"|"&amp;$K5898&amp;"|"&amp;$G5898&amp;"|"&amp;IF($G5898="TX_CURR_SUBNAT.R","CY2022Q4",$M5898),"")</f>
        <v>[mxqa3CDFmIT]|10-14|Female|Incidence_SUBNAT.Rt.T|CY2024Q3</v>
      </c>
    </row>
    <row r="5899" customFormat="false" ht="15" hidden="false" customHeight="false" outlineLevel="0" collapsed="false">
      <c r="D5899" s="0" t="s">
        <v>99</v>
      </c>
      <c r="E5899" s="0" t="s">
        <v>100</v>
      </c>
      <c r="F5899" s="0" t="s">
        <v>101</v>
      </c>
      <c r="G5899" s="0" t="s">
        <v>169</v>
      </c>
      <c r="H5899" s="0" t="s">
        <v>169</v>
      </c>
      <c r="I5899" s="0" t="s">
        <v>38</v>
      </c>
      <c r="J5899" s="0" t="s">
        <v>39</v>
      </c>
      <c r="K5899" s="0" t="s">
        <v>30</v>
      </c>
      <c r="L5899" s="0" t="s">
        <v>31</v>
      </c>
      <c r="M5899" s="0" t="s">
        <v>167</v>
      </c>
      <c r="N5899" s="0" t="n">
        <v>1017</v>
      </c>
      <c r="O5899" s="10" t="n">
        <v>0.122110435506329</v>
      </c>
      <c r="P5899" s="10" t="n">
        <v>0.577288038097322</v>
      </c>
      <c r="Q5899" s="0" t="str">
        <f aca="false">SUBSTITUTE(SUBSTITUTE($I5899,CHAR(61),""),CHAR(34),"")</f>
        <v>15-24</v>
      </c>
      <c r="R5899" s="0" t="str">
        <f aca="false">IF($D5899&lt;&gt;"","["&amp;$E5899&amp;"]"&amp;"|"&amp;$Q5899&amp;"|"&amp;$K5899&amp;"|"&amp;$G5899&amp;"|"&amp;IF($G5899="TX_CURR_SUBNAT.R","CY2022Q4",$M5899),"")</f>
        <v>[mxqa3CDFmIT]|15-24|Female|Incidence_SUBNAT.Rt.T|CY2024Q3</v>
      </c>
    </row>
    <row r="5900" customFormat="false" ht="15" hidden="false" customHeight="false" outlineLevel="0" collapsed="false">
      <c r="D5900" s="0" t="s">
        <v>99</v>
      </c>
      <c r="E5900" s="0" t="s">
        <v>100</v>
      </c>
      <c r="F5900" s="0" t="s">
        <v>101</v>
      </c>
      <c r="G5900" s="0" t="s">
        <v>169</v>
      </c>
      <c r="H5900" s="0" t="s">
        <v>169</v>
      </c>
      <c r="I5900" s="0" t="s">
        <v>41</v>
      </c>
      <c r="J5900" s="0" t="s">
        <v>42</v>
      </c>
      <c r="K5900" s="0" t="s">
        <v>30</v>
      </c>
      <c r="L5900" s="0" t="s">
        <v>31</v>
      </c>
      <c r="M5900" s="0" t="s">
        <v>167</v>
      </c>
      <c r="N5900" s="0" t="n">
        <v>793</v>
      </c>
      <c r="O5900" s="10" t="n">
        <v>0.189633019268513</v>
      </c>
      <c r="P5900" s="10" t="n">
        <v>0.577288038097322</v>
      </c>
      <c r="Q5900" s="0" t="str">
        <f aca="false">SUBSTITUTE(SUBSTITUTE($I5900,CHAR(61),""),CHAR(34),"")</f>
        <v>25-34</v>
      </c>
      <c r="R5900" s="0" t="str">
        <f aca="false">IF($D5900&lt;&gt;"","["&amp;$E5900&amp;"]"&amp;"|"&amp;$Q5900&amp;"|"&amp;$K5900&amp;"|"&amp;$G5900&amp;"|"&amp;IF($G5900="TX_CURR_SUBNAT.R","CY2022Q4",$M5900),"")</f>
        <v>[mxqa3CDFmIT]|25-34|Female|Incidence_SUBNAT.Rt.T|CY2024Q3</v>
      </c>
    </row>
    <row r="5901" customFormat="false" ht="15" hidden="false" customHeight="false" outlineLevel="0" collapsed="false">
      <c r="D5901" s="0" t="s">
        <v>99</v>
      </c>
      <c r="E5901" s="0" t="s">
        <v>100</v>
      </c>
      <c r="F5901" s="0" t="s">
        <v>101</v>
      </c>
      <c r="G5901" s="0" t="s">
        <v>169</v>
      </c>
      <c r="H5901" s="0" t="s">
        <v>169</v>
      </c>
      <c r="I5901" s="0" t="s">
        <v>43</v>
      </c>
      <c r="J5901" s="0" t="s">
        <v>44</v>
      </c>
      <c r="K5901" s="0" t="s">
        <v>30</v>
      </c>
      <c r="L5901" s="0" t="s">
        <v>31</v>
      </c>
      <c r="M5901" s="0" t="s">
        <v>167</v>
      </c>
      <c r="N5901" s="0" t="n">
        <v>1020</v>
      </c>
      <c r="O5901" s="10" t="n">
        <v>0.0505962951574475</v>
      </c>
      <c r="P5901" s="10" t="n">
        <v>0.577288038097322</v>
      </c>
      <c r="Q5901" s="0" t="str">
        <f aca="false">SUBSTITUTE(SUBSTITUTE($I5901,CHAR(61),""),CHAR(34),"")</f>
        <v>35-49</v>
      </c>
      <c r="R5901" s="0" t="str">
        <f aca="false">IF($D5901&lt;&gt;"","["&amp;$E5901&amp;"]"&amp;"|"&amp;$Q5901&amp;"|"&amp;$K5901&amp;"|"&amp;$G5901&amp;"|"&amp;IF($G5901="TX_CURR_SUBNAT.R","CY2022Q4",$M5901),"")</f>
        <v>[mxqa3CDFmIT]|35-49|Female|Incidence_SUBNAT.Rt.T|CY2024Q3</v>
      </c>
    </row>
    <row r="5902" customFormat="false" ht="15" hidden="false" customHeight="false" outlineLevel="0" collapsed="false">
      <c r="D5902" s="0" t="s">
        <v>99</v>
      </c>
      <c r="E5902" s="0" t="s">
        <v>100</v>
      </c>
      <c r="F5902" s="0" t="s">
        <v>101</v>
      </c>
      <c r="G5902" s="0" t="s">
        <v>169</v>
      </c>
      <c r="H5902" s="0" t="s">
        <v>169</v>
      </c>
      <c r="I5902" s="0" t="s">
        <v>45</v>
      </c>
      <c r="J5902" s="0" t="s">
        <v>46</v>
      </c>
      <c r="K5902" s="0" t="s">
        <v>30</v>
      </c>
      <c r="L5902" s="0" t="s">
        <v>31</v>
      </c>
      <c r="M5902" s="0" t="s">
        <v>167</v>
      </c>
      <c r="N5902" s="0" t="n">
        <v>1217</v>
      </c>
      <c r="O5902" s="10" t="n">
        <v>0.0535176964476705</v>
      </c>
      <c r="P5902" s="10" t="n">
        <v>0.577288038097322</v>
      </c>
      <c r="Q5902" s="0" t="str">
        <f aca="false">SUBSTITUTE(SUBSTITUTE($I5902,CHAR(61),""),CHAR(34),"")</f>
        <v>50+</v>
      </c>
      <c r="R5902" s="0" t="str">
        <f aca="false">IF($D5902&lt;&gt;"","["&amp;$E5902&amp;"]"&amp;"|"&amp;$Q5902&amp;"|"&amp;$K5902&amp;"|"&amp;$G5902&amp;"|"&amp;IF($G5902="TX_CURR_SUBNAT.R","CY2022Q4",$M5902),"")</f>
        <v>[mxqa3CDFmIT]|50+|Female|Incidence_SUBNAT.Rt.T|CY2024Q3</v>
      </c>
    </row>
    <row r="5903" customFormat="false" ht="15" hidden="false" customHeight="false" outlineLevel="0" collapsed="false">
      <c r="D5903" s="0" t="s">
        <v>99</v>
      </c>
      <c r="E5903" s="0" t="s">
        <v>100</v>
      </c>
      <c r="F5903" s="0" t="s">
        <v>101</v>
      </c>
      <c r="G5903" s="0" t="s">
        <v>169</v>
      </c>
      <c r="H5903" s="0" t="s">
        <v>169</v>
      </c>
      <c r="I5903" s="0" t="s">
        <v>28</v>
      </c>
      <c r="J5903" s="0" t="s">
        <v>29</v>
      </c>
      <c r="K5903" s="0" t="s">
        <v>48</v>
      </c>
      <c r="L5903" s="0" t="s">
        <v>49</v>
      </c>
      <c r="M5903" s="0" t="s">
        <v>167</v>
      </c>
      <c r="N5903" s="0" t="n">
        <v>832</v>
      </c>
      <c r="O5903" s="10" t="n">
        <v>0.91089423885569</v>
      </c>
      <c r="P5903" s="10" t="n">
        <v>0.577288038097322</v>
      </c>
      <c r="Q5903" s="0" t="str">
        <f aca="false">SUBSTITUTE(SUBSTITUTE($I5903,CHAR(61),""),CHAR(34),"")</f>
        <v>&lt;01</v>
      </c>
      <c r="R5903" s="0" t="str">
        <f aca="false">IF($D5903&lt;&gt;"","["&amp;$E5903&amp;"]"&amp;"|"&amp;$Q5903&amp;"|"&amp;$K5903&amp;"|"&amp;$G5903&amp;"|"&amp;IF($G5903="TX_CURR_SUBNAT.R","CY2022Q4",$M5903),"")</f>
        <v>[mxqa3CDFmIT]|&lt;01|Male|Incidence_SUBNAT.Rt.T|CY2024Q3</v>
      </c>
    </row>
    <row r="5904" customFormat="false" ht="15" hidden="false" customHeight="false" outlineLevel="0" collapsed="false">
      <c r="D5904" s="0" t="s">
        <v>99</v>
      </c>
      <c r="E5904" s="0" t="s">
        <v>100</v>
      </c>
      <c r="F5904" s="0" t="s">
        <v>101</v>
      </c>
      <c r="G5904" s="0" t="s">
        <v>169</v>
      </c>
      <c r="H5904" s="0" t="s">
        <v>169</v>
      </c>
      <c r="I5904" s="0" t="s">
        <v>33</v>
      </c>
      <c r="J5904" s="0" t="s">
        <v>34</v>
      </c>
      <c r="K5904" s="0" t="s">
        <v>48</v>
      </c>
      <c r="L5904" s="0" t="s">
        <v>49</v>
      </c>
      <c r="M5904" s="0" t="s">
        <v>167</v>
      </c>
      <c r="N5904" s="0" t="n">
        <v>1169</v>
      </c>
      <c r="O5904" s="10" t="n">
        <v>0.892029470764101</v>
      </c>
      <c r="P5904" s="10" t="n">
        <v>0.577288038097322</v>
      </c>
      <c r="Q5904" s="0" t="str">
        <f aca="false">SUBSTITUTE(SUBSTITUTE($I5904,CHAR(61),""),CHAR(34),"")</f>
        <v>01-09</v>
      </c>
      <c r="R5904" s="0" t="str">
        <f aca="false">IF($D5904&lt;&gt;"","["&amp;$E5904&amp;"]"&amp;"|"&amp;$Q5904&amp;"|"&amp;$K5904&amp;"|"&amp;$G5904&amp;"|"&amp;IF($G5904="TX_CURR_SUBNAT.R","CY2022Q4",$M5904),"")</f>
        <v>[mxqa3CDFmIT]|01-09|Male|Incidence_SUBNAT.Rt.T|CY2024Q3</v>
      </c>
    </row>
    <row r="5905" customFormat="false" ht="15" hidden="false" customHeight="false" outlineLevel="0" collapsed="false">
      <c r="D5905" s="0" t="s">
        <v>99</v>
      </c>
      <c r="E5905" s="0" t="s">
        <v>100</v>
      </c>
      <c r="F5905" s="0" t="s">
        <v>101</v>
      </c>
      <c r="G5905" s="0" t="s">
        <v>169</v>
      </c>
      <c r="H5905" s="0" t="s">
        <v>169</v>
      </c>
      <c r="I5905" s="0" t="s">
        <v>36</v>
      </c>
      <c r="J5905" s="0" t="s">
        <v>37</v>
      </c>
      <c r="K5905" s="0" t="s">
        <v>48</v>
      </c>
      <c r="L5905" s="0" t="s">
        <v>49</v>
      </c>
      <c r="M5905" s="0" t="s">
        <v>167</v>
      </c>
      <c r="N5905" s="0" t="n">
        <v>981</v>
      </c>
      <c r="O5905" s="10" t="n">
        <v>0.196103861555457</v>
      </c>
      <c r="P5905" s="10" t="n">
        <v>0.577288038097322</v>
      </c>
      <c r="Q5905" s="0" t="str">
        <f aca="false">SUBSTITUTE(SUBSTITUTE($I5905,CHAR(61),""),CHAR(34),"")</f>
        <v>10-14</v>
      </c>
      <c r="R5905" s="0" t="str">
        <f aca="false">IF($D5905&lt;&gt;"","["&amp;$E5905&amp;"]"&amp;"|"&amp;$Q5905&amp;"|"&amp;$K5905&amp;"|"&amp;$G5905&amp;"|"&amp;IF($G5905="TX_CURR_SUBNAT.R","CY2022Q4",$M5905),"")</f>
        <v>[mxqa3CDFmIT]|10-14|Male|Incidence_SUBNAT.Rt.T|CY2024Q3</v>
      </c>
    </row>
    <row r="5906" customFormat="false" ht="15" hidden="false" customHeight="false" outlineLevel="0" collapsed="false">
      <c r="D5906" s="0" t="s">
        <v>99</v>
      </c>
      <c r="E5906" s="0" t="s">
        <v>100</v>
      </c>
      <c r="F5906" s="0" t="s">
        <v>101</v>
      </c>
      <c r="G5906" s="0" t="s">
        <v>169</v>
      </c>
      <c r="H5906" s="0" t="s">
        <v>169</v>
      </c>
      <c r="I5906" s="0" t="s">
        <v>38</v>
      </c>
      <c r="J5906" s="0" t="s">
        <v>39</v>
      </c>
      <c r="K5906" s="0" t="s">
        <v>48</v>
      </c>
      <c r="L5906" s="0" t="s">
        <v>49</v>
      </c>
      <c r="M5906" s="0" t="s">
        <v>167</v>
      </c>
      <c r="N5906" s="0" t="n">
        <v>1287</v>
      </c>
      <c r="O5906" s="10" t="n">
        <v>0.128085430944338</v>
      </c>
      <c r="P5906" s="10" t="n">
        <v>0.577288038097322</v>
      </c>
      <c r="Q5906" s="0" t="str">
        <f aca="false">SUBSTITUTE(SUBSTITUTE($I5906,CHAR(61),""),CHAR(34),"")</f>
        <v>15-24</v>
      </c>
      <c r="R5906" s="0" t="str">
        <f aca="false">IF($D5906&lt;&gt;"","["&amp;$E5906&amp;"]"&amp;"|"&amp;$Q5906&amp;"|"&amp;$K5906&amp;"|"&amp;$G5906&amp;"|"&amp;IF($G5906="TX_CURR_SUBNAT.R","CY2022Q4",$M5906),"")</f>
        <v>[mxqa3CDFmIT]|15-24|Male|Incidence_SUBNAT.Rt.T|CY2024Q3</v>
      </c>
    </row>
    <row r="5907" customFormat="false" ht="15" hidden="false" customHeight="false" outlineLevel="0" collapsed="false">
      <c r="D5907" s="0" t="s">
        <v>99</v>
      </c>
      <c r="E5907" s="0" t="s">
        <v>100</v>
      </c>
      <c r="F5907" s="0" t="s">
        <v>101</v>
      </c>
      <c r="G5907" s="0" t="s">
        <v>169</v>
      </c>
      <c r="H5907" s="0" t="s">
        <v>169</v>
      </c>
      <c r="I5907" s="0" t="s">
        <v>41</v>
      </c>
      <c r="J5907" s="0" t="s">
        <v>42</v>
      </c>
      <c r="K5907" s="0" t="s">
        <v>48</v>
      </c>
      <c r="L5907" s="0" t="s">
        <v>49</v>
      </c>
      <c r="M5907" s="0" t="s">
        <v>167</v>
      </c>
      <c r="N5907" s="0" t="n">
        <v>719</v>
      </c>
      <c r="O5907" s="10" t="n">
        <v>0.7600703232456</v>
      </c>
      <c r="P5907" s="10" t="n">
        <v>0.577288038097322</v>
      </c>
      <c r="Q5907" s="0" t="str">
        <f aca="false">SUBSTITUTE(SUBSTITUTE($I5907,CHAR(61),""),CHAR(34),"")</f>
        <v>25-34</v>
      </c>
      <c r="R5907" s="0" t="str">
        <f aca="false">IF($D5907&lt;&gt;"","["&amp;$E5907&amp;"]"&amp;"|"&amp;$Q5907&amp;"|"&amp;$K5907&amp;"|"&amp;$G5907&amp;"|"&amp;IF($G5907="TX_CURR_SUBNAT.R","CY2022Q4",$M5907),"")</f>
        <v>[mxqa3CDFmIT]|25-34|Male|Incidence_SUBNAT.Rt.T|CY2024Q3</v>
      </c>
    </row>
    <row r="5908" customFormat="false" ht="15" hidden="false" customHeight="false" outlineLevel="0" collapsed="false">
      <c r="D5908" s="0" t="s">
        <v>99</v>
      </c>
      <c r="E5908" s="0" t="s">
        <v>100</v>
      </c>
      <c r="F5908" s="0" t="s">
        <v>101</v>
      </c>
      <c r="G5908" s="0" t="s">
        <v>169</v>
      </c>
      <c r="H5908" s="0" t="s">
        <v>169</v>
      </c>
      <c r="I5908" s="0" t="s">
        <v>43</v>
      </c>
      <c r="J5908" s="0" t="s">
        <v>44</v>
      </c>
      <c r="K5908" s="0" t="s">
        <v>48</v>
      </c>
      <c r="L5908" s="0" t="s">
        <v>49</v>
      </c>
      <c r="M5908" s="0" t="s">
        <v>167</v>
      </c>
      <c r="N5908" s="0" t="n">
        <v>1638</v>
      </c>
      <c r="O5908" s="10" t="n">
        <v>0.0124746975488961</v>
      </c>
      <c r="P5908" s="10" t="n">
        <v>0.577288038097322</v>
      </c>
      <c r="Q5908" s="0" t="str">
        <f aca="false">SUBSTITUTE(SUBSTITUTE($I5908,CHAR(61),""),CHAR(34),"")</f>
        <v>35-49</v>
      </c>
      <c r="R5908" s="0" t="str">
        <f aca="false">IF($D5908&lt;&gt;"","["&amp;$E5908&amp;"]"&amp;"|"&amp;$Q5908&amp;"|"&amp;$K5908&amp;"|"&amp;$G5908&amp;"|"&amp;IF($G5908="TX_CURR_SUBNAT.R","CY2022Q4",$M5908),"")</f>
        <v>[mxqa3CDFmIT]|35-49|Male|Incidence_SUBNAT.Rt.T|CY2024Q3</v>
      </c>
    </row>
    <row r="5909" customFormat="false" ht="15" hidden="false" customHeight="false" outlineLevel="0" collapsed="false">
      <c r="D5909" s="0" t="s">
        <v>99</v>
      </c>
      <c r="E5909" s="0" t="s">
        <v>100</v>
      </c>
      <c r="F5909" s="0" t="s">
        <v>101</v>
      </c>
      <c r="G5909" s="0" t="s">
        <v>169</v>
      </c>
      <c r="H5909" s="0" t="s">
        <v>169</v>
      </c>
      <c r="I5909" s="0" t="s">
        <v>45</v>
      </c>
      <c r="J5909" s="0" t="s">
        <v>46</v>
      </c>
      <c r="K5909" s="0" t="s">
        <v>48</v>
      </c>
      <c r="L5909" s="0" t="s">
        <v>49</v>
      </c>
      <c r="M5909" s="0" t="s">
        <v>167</v>
      </c>
      <c r="N5909" s="0" t="n">
        <v>1749</v>
      </c>
      <c r="O5909" s="10" t="n">
        <v>0.298265438526869</v>
      </c>
      <c r="P5909" s="10" t="n">
        <v>0.577288038097322</v>
      </c>
      <c r="Q5909" s="0" t="str">
        <f aca="false">SUBSTITUTE(SUBSTITUTE($I5909,CHAR(61),""),CHAR(34),"")</f>
        <v>50+</v>
      </c>
      <c r="R5909" s="0" t="str">
        <f aca="false">IF($D5909&lt;&gt;"","["&amp;$E5909&amp;"]"&amp;"|"&amp;$Q5909&amp;"|"&amp;$K5909&amp;"|"&amp;$G5909&amp;"|"&amp;IF($G5909="TX_CURR_SUBNAT.R","CY2022Q4",$M5909),"")</f>
        <v>[mxqa3CDFmIT]|50+|Male|Incidence_SUBNAT.Rt.T|CY2024Q3</v>
      </c>
    </row>
    <row r="5910" customFormat="false" ht="15" hidden="false" customHeight="false" outlineLevel="0" collapsed="false">
      <c r="D5910" s="0" t="s">
        <v>102</v>
      </c>
      <c r="E5910" s="0" t="s">
        <v>103</v>
      </c>
      <c r="F5910" s="0" t="s">
        <v>104</v>
      </c>
      <c r="G5910" s="0" t="s">
        <v>169</v>
      </c>
      <c r="H5910" s="0" t="s">
        <v>169</v>
      </c>
      <c r="I5910" s="0" t="s">
        <v>28</v>
      </c>
      <c r="J5910" s="0" t="s">
        <v>29</v>
      </c>
      <c r="K5910" s="0" t="s">
        <v>30</v>
      </c>
      <c r="L5910" s="0" t="s">
        <v>31</v>
      </c>
      <c r="M5910" s="0" t="s">
        <v>167</v>
      </c>
      <c r="N5910" s="0" t="n">
        <v>1397</v>
      </c>
      <c r="O5910" s="10" t="n">
        <v>0.570493756094947</v>
      </c>
      <c r="P5910" s="10" t="n">
        <v>0.526212359312922</v>
      </c>
      <c r="Q5910" s="0" t="str">
        <f aca="false">SUBSTITUTE(SUBSTITUTE($I5910,CHAR(61),""),CHAR(34),"")</f>
        <v>&lt;01</v>
      </c>
      <c r="R5910" s="0" t="str">
        <f aca="false">IF($D5910&lt;&gt;"","["&amp;$E5910&amp;"]"&amp;"|"&amp;$Q5910&amp;"|"&amp;$K5910&amp;"|"&amp;$G5910&amp;"|"&amp;IF($G5910="TX_CURR_SUBNAT.R","CY2022Q4",$M5910),"")</f>
        <v>[wNqJp8oRIcF]|&lt;01|Female|Incidence_SUBNAT.Rt.T|CY2024Q3</v>
      </c>
    </row>
    <row r="5911" customFormat="false" ht="15" hidden="false" customHeight="false" outlineLevel="0" collapsed="false">
      <c r="D5911" s="0" t="s">
        <v>102</v>
      </c>
      <c r="E5911" s="0" t="s">
        <v>103</v>
      </c>
      <c r="F5911" s="0" t="s">
        <v>104</v>
      </c>
      <c r="G5911" s="0" t="s">
        <v>169</v>
      </c>
      <c r="H5911" s="0" t="s">
        <v>169</v>
      </c>
      <c r="I5911" s="0" t="s">
        <v>33</v>
      </c>
      <c r="J5911" s="0" t="s">
        <v>34</v>
      </c>
      <c r="K5911" s="0" t="s">
        <v>30</v>
      </c>
      <c r="L5911" s="0" t="s">
        <v>31</v>
      </c>
      <c r="M5911" s="0" t="s">
        <v>167</v>
      </c>
      <c r="N5911" s="0" t="n">
        <v>1718</v>
      </c>
      <c r="O5911" s="10" t="n">
        <v>0.7724424675107</v>
      </c>
      <c r="P5911" s="10" t="n">
        <v>0.526212359312922</v>
      </c>
      <c r="Q5911" s="0" t="str">
        <f aca="false">SUBSTITUTE(SUBSTITUTE($I5911,CHAR(61),""),CHAR(34),"")</f>
        <v>01-09</v>
      </c>
      <c r="R5911" s="0" t="str">
        <f aca="false">IF($D5911&lt;&gt;"","["&amp;$E5911&amp;"]"&amp;"|"&amp;$Q5911&amp;"|"&amp;$K5911&amp;"|"&amp;$G5911&amp;"|"&amp;IF($G5911="TX_CURR_SUBNAT.R","CY2022Q4",$M5911),"")</f>
        <v>[wNqJp8oRIcF]|01-09|Female|Incidence_SUBNAT.Rt.T|CY2024Q3</v>
      </c>
    </row>
    <row r="5912" customFormat="false" ht="15" hidden="false" customHeight="false" outlineLevel="0" collapsed="false">
      <c r="D5912" s="0" t="s">
        <v>102</v>
      </c>
      <c r="E5912" s="0" t="s">
        <v>103</v>
      </c>
      <c r="F5912" s="0" t="s">
        <v>104</v>
      </c>
      <c r="G5912" s="0" t="s">
        <v>169</v>
      </c>
      <c r="H5912" s="0" t="s">
        <v>169</v>
      </c>
      <c r="I5912" s="0" t="s">
        <v>36</v>
      </c>
      <c r="J5912" s="0" t="s">
        <v>37</v>
      </c>
      <c r="K5912" s="0" t="s">
        <v>30</v>
      </c>
      <c r="L5912" s="0" t="s">
        <v>31</v>
      </c>
      <c r="M5912" s="0" t="s">
        <v>167</v>
      </c>
      <c r="N5912" s="0" t="n">
        <v>1018</v>
      </c>
      <c r="O5912" s="10" t="n">
        <v>0.293354547349736</v>
      </c>
      <c r="P5912" s="10" t="n">
        <v>0.526212359312922</v>
      </c>
      <c r="Q5912" s="0" t="str">
        <f aca="false">SUBSTITUTE(SUBSTITUTE($I5912,CHAR(61),""),CHAR(34),"")</f>
        <v>10-14</v>
      </c>
      <c r="R5912" s="0" t="str">
        <f aca="false">IF($D5912&lt;&gt;"","["&amp;$E5912&amp;"]"&amp;"|"&amp;$Q5912&amp;"|"&amp;$K5912&amp;"|"&amp;$G5912&amp;"|"&amp;IF($G5912="TX_CURR_SUBNAT.R","CY2022Q4",$M5912),"")</f>
        <v>[wNqJp8oRIcF]|10-14|Female|Incidence_SUBNAT.Rt.T|CY2024Q3</v>
      </c>
    </row>
    <row r="5913" customFormat="false" ht="15" hidden="false" customHeight="false" outlineLevel="0" collapsed="false">
      <c r="D5913" s="0" t="s">
        <v>102</v>
      </c>
      <c r="E5913" s="0" t="s">
        <v>103</v>
      </c>
      <c r="F5913" s="0" t="s">
        <v>104</v>
      </c>
      <c r="G5913" s="0" t="s">
        <v>169</v>
      </c>
      <c r="H5913" s="0" t="s">
        <v>169</v>
      </c>
      <c r="I5913" s="0" t="s">
        <v>38</v>
      </c>
      <c r="J5913" s="0" t="s">
        <v>39</v>
      </c>
      <c r="K5913" s="0" t="s">
        <v>30</v>
      </c>
      <c r="L5913" s="0" t="s">
        <v>31</v>
      </c>
      <c r="M5913" s="0" t="s">
        <v>167</v>
      </c>
      <c r="N5913" s="0" t="n">
        <v>1099</v>
      </c>
      <c r="O5913" s="10" t="n">
        <v>0.453259936301038</v>
      </c>
      <c r="P5913" s="10" t="n">
        <v>0.526212359312922</v>
      </c>
      <c r="Q5913" s="0" t="str">
        <f aca="false">SUBSTITUTE(SUBSTITUTE($I5913,CHAR(61),""),CHAR(34),"")</f>
        <v>15-24</v>
      </c>
      <c r="R5913" s="0" t="str">
        <f aca="false">IF($D5913&lt;&gt;"","["&amp;$E5913&amp;"]"&amp;"|"&amp;$Q5913&amp;"|"&amp;$K5913&amp;"|"&amp;$G5913&amp;"|"&amp;IF($G5913="TX_CURR_SUBNAT.R","CY2022Q4",$M5913),"")</f>
        <v>[wNqJp8oRIcF]|15-24|Female|Incidence_SUBNAT.Rt.T|CY2024Q3</v>
      </c>
    </row>
    <row r="5914" customFormat="false" ht="15" hidden="false" customHeight="false" outlineLevel="0" collapsed="false">
      <c r="D5914" s="0" t="s">
        <v>102</v>
      </c>
      <c r="E5914" s="0" t="s">
        <v>103</v>
      </c>
      <c r="F5914" s="0" t="s">
        <v>104</v>
      </c>
      <c r="G5914" s="0" t="s">
        <v>169</v>
      </c>
      <c r="H5914" s="0" t="s">
        <v>169</v>
      </c>
      <c r="I5914" s="0" t="s">
        <v>41</v>
      </c>
      <c r="J5914" s="0" t="s">
        <v>42</v>
      </c>
      <c r="K5914" s="0" t="s">
        <v>30</v>
      </c>
      <c r="L5914" s="0" t="s">
        <v>31</v>
      </c>
      <c r="M5914" s="0" t="s">
        <v>167</v>
      </c>
      <c r="N5914" s="0" t="n">
        <v>1398</v>
      </c>
      <c r="O5914" s="10" t="n">
        <v>0.867926120292395</v>
      </c>
      <c r="P5914" s="10" t="n">
        <v>0.526212359312922</v>
      </c>
      <c r="Q5914" s="0" t="str">
        <f aca="false">SUBSTITUTE(SUBSTITUTE($I5914,CHAR(61),""),CHAR(34),"")</f>
        <v>25-34</v>
      </c>
      <c r="R5914" s="0" t="str">
        <f aca="false">IF($D5914&lt;&gt;"","["&amp;$E5914&amp;"]"&amp;"|"&amp;$Q5914&amp;"|"&amp;$K5914&amp;"|"&amp;$G5914&amp;"|"&amp;IF($G5914="TX_CURR_SUBNAT.R","CY2022Q4",$M5914),"")</f>
        <v>[wNqJp8oRIcF]|25-34|Female|Incidence_SUBNAT.Rt.T|CY2024Q3</v>
      </c>
    </row>
    <row r="5915" customFormat="false" ht="15" hidden="false" customHeight="false" outlineLevel="0" collapsed="false">
      <c r="D5915" s="0" t="s">
        <v>102</v>
      </c>
      <c r="E5915" s="0" t="s">
        <v>103</v>
      </c>
      <c r="F5915" s="0" t="s">
        <v>104</v>
      </c>
      <c r="G5915" s="0" t="s">
        <v>169</v>
      </c>
      <c r="H5915" s="0" t="s">
        <v>169</v>
      </c>
      <c r="I5915" s="0" t="s">
        <v>43</v>
      </c>
      <c r="J5915" s="0" t="s">
        <v>44</v>
      </c>
      <c r="K5915" s="0" t="s">
        <v>30</v>
      </c>
      <c r="L5915" s="0" t="s">
        <v>31</v>
      </c>
      <c r="M5915" s="0" t="s">
        <v>167</v>
      </c>
      <c r="N5915" s="0" t="n">
        <v>548</v>
      </c>
      <c r="O5915" s="10" t="n">
        <v>0.341923266183585</v>
      </c>
      <c r="P5915" s="10" t="n">
        <v>0.526212359312922</v>
      </c>
      <c r="Q5915" s="0" t="str">
        <f aca="false">SUBSTITUTE(SUBSTITUTE($I5915,CHAR(61),""),CHAR(34),"")</f>
        <v>35-49</v>
      </c>
      <c r="R5915" s="0" t="str">
        <f aca="false">IF($D5915&lt;&gt;"","["&amp;$E5915&amp;"]"&amp;"|"&amp;$Q5915&amp;"|"&amp;$K5915&amp;"|"&amp;$G5915&amp;"|"&amp;IF($G5915="TX_CURR_SUBNAT.R","CY2022Q4",$M5915),"")</f>
        <v>[wNqJp8oRIcF]|35-49|Female|Incidence_SUBNAT.Rt.T|CY2024Q3</v>
      </c>
    </row>
    <row r="5916" customFormat="false" ht="15" hidden="false" customHeight="false" outlineLevel="0" collapsed="false">
      <c r="D5916" s="0" t="s">
        <v>102</v>
      </c>
      <c r="E5916" s="0" t="s">
        <v>103</v>
      </c>
      <c r="F5916" s="0" t="s">
        <v>104</v>
      </c>
      <c r="G5916" s="0" t="s">
        <v>169</v>
      </c>
      <c r="H5916" s="0" t="s">
        <v>169</v>
      </c>
      <c r="I5916" s="0" t="s">
        <v>45</v>
      </c>
      <c r="J5916" s="0" t="s">
        <v>46</v>
      </c>
      <c r="K5916" s="0" t="s">
        <v>30</v>
      </c>
      <c r="L5916" s="0" t="s">
        <v>31</v>
      </c>
      <c r="M5916" s="0" t="s">
        <v>167</v>
      </c>
      <c r="N5916" s="0" t="n">
        <v>503</v>
      </c>
      <c r="O5916" s="10" t="n">
        <v>0.781283132964745</v>
      </c>
      <c r="P5916" s="10" t="n">
        <v>0.526212359312922</v>
      </c>
      <c r="Q5916" s="0" t="str">
        <f aca="false">SUBSTITUTE(SUBSTITUTE($I5916,CHAR(61),""),CHAR(34),"")</f>
        <v>50+</v>
      </c>
      <c r="R5916" s="0" t="str">
        <f aca="false">IF($D5916&lt;&gt;"","["&amp;$E5916&amp;"]"&amp;"|"&amp;$Q5916&amp;"|"&amp;$K5916&amp;"|"&amp;$G5916&amp;"|"&amp;IF($G5916="TX_CURR_SUBNAT.R","CY2022Q4",$M5916),"")</f>
        <v>[wNqJp8oRIcF]|50+|Female|Incidence_SUBNAT.Rt.T|CY2024Q3</v>
      </c>
    </row>
    <row r="5917" customFormat="false" ht="15" hidden="false" customHeight="false" outlineLevel="0" collapsed="false">
      <c r="D5917" s="0" t="s">
        <v>102</v>
      </c>
      <c r="E5917" s="0" t="s">
        <v>103</v>
      </c>
      <c r="F5917" s="0" t="s">
        <v>104</v>
      </c>
      <c r="G5917" s="0" t="s">
        <v>169</v>
      </c>
      <c r="H5917" s="0" t="s">
        <v>169</v>
      </c>
      <c r="I5917" s="0" t="s">
        <v>28</v>
      </c>
      <c r="J5917" s="0" t="s">
        <v>29</v>
      </c>
      <c r="K5917" s="0" t="s">
        <v>48</v>
      </c>
      <c r="L5917" s="0" t="s">
        <v>49</v>
      </c>
      <c r="M5917" s="0" t="s">
        <v>167</v>
      </c>
      <c r="N5917" s="0" t="n">
        <v>1346</v>
      </c>
      <c r="O5917" s="10" t="n">
        <v>0.920688862213865</v>
      </c>
      <c r="P5917" s="10" t="n">
        <v>0.526212359312922</v>
      </c>
      <c r="Q5917" s="0" t="str">
        <f aca="false">SUBSTITUTE(SUBSTITUTE($I5917,CHAR(61),""),CHAR(34),"")</f>
        <v>&lt;01</v>
      </c>
      <c r="R5917" s="0" t="str">
        <f aca="false">IF($D5917&lt;&gt;"","["&amp;$E5917&amp;"]"&amp;"|"&amp;$Q5917&amp;"|"&amp;$K5917&amp;"|"&amp;$G5917&amp;"|"&amp;IF($G5917="TX_CURR_SUBNAT.R","CY2022Q4",$M5917),"")</f>
        <v>[wNqJp8oRIcF]|&lt;01|Male|Incidence_SUBNAT.Rt.T|CY2024Q3</v>
      </c>
    </row>
    <row r="5918" customFormat="false" ht="15" hidden="false" customHeight="false" outlineLevel="0" collapsed="false">
      <c r="D5918" s="0" t="s">
        <v>102</v>
      </c>
      <c r="E5918" s="0" t="s">
        <v>103</v>
      </c>
      <c r="F5918" s="0" t="s">
        <v>104</v>
      </c>
      <c r="G5918" s="0" t="s">
        <v>169</v>
      </c>
      <c r="H5918" s="0" t="s">
        <v>169</v>
      </c>
      <c r="I5918" s="0" t="s">
        <v>33</v>
      </c>
      <c r="J5918" s="0" t="s">
        <v>34</v>
      </c>
      <c r="K5918" s="0" t="s">
        <v>48</v>
      </c>
      <c r="L5918" s="0" t="s">
        <v>49</v>
      </c>
      <c r="M5918" s="0" t="s">
        <v>167</v>
      </c>
      <c r="N5918" s="0" t="n">
        <v>1841</v>
      </c>
      <c r="O5918" s="10" t="n">
        <v>0.637417604448274</v>
      </c>
      <c r="P5918" s="10" t="n">
        <v>0.526212359312922</v>
      </c>
      <c r="Q5918" s="0" t="str">
        <f aca="false">SUBSTITUTE(SUBSTITUTE($I5918,CHAR(61),""),CHAR(34),"")</f>
        <v>01-09</v>
      </c>
      <c r="R5918" s="0" t="str">
        <f aca="false">IF($D5918&lt;&gt;"","["&amp;$E5918&amp;"]"&amp;"|"&amp;$Q5918&amp;"|"&amp;$K5918&amp;"|"&amp;$G5918&amp;"|"&amp;IF($G5918="TX_CURR_SUBNAT.R","CY2022Q4",$M5918),"")</f>
        <v>[wNqJp8oRIcF]|01-09|Male|Incidence_SUBNAT.Rt.T|CY2024Q3</v>
      </c>
    </row>
    <row r="5919" customFormat="false" ht="15" hidden="false" customHeight="false" outlineLevel="0" collapsed="false">
      <c r="D5919" s="0" t="s">
        <v>102</v>
      </c>
      <c r="E5919" s="0" t="s">
        <v>103</v>
      </c>
      <c r="F5919" s="0" t="s">
        <v>104</v>
      </c>
      <c r="G5919" s="0" t="s">
        <v>169</v>
      </c>
      <c r="H5919" s="0" t="s">
        <v>169</v>
      </c>
      <c r="I5919" s="0" t="s">
        <v>36</v>
      </c>
      <c r="J5919" s="0" t="s">
        <v>37</v>
      </c>
      <c r="K5919" s="0" t="s">
        <v>48</v>
      </c>
      <c r="L5919" s="0" t="s">
        <v>49</v>
      </c>
      <c r="M5919" s="0" t="s">
        <v>167</v>
      </c>
      <c r="N5919" s="0" t="n">
        <v>889</v>
      </c>
      <c r="O5919" s="10" t="n">
        <v>0.605750088114291</v>
      </c>
      <c r="P5919" s="10" t="n">
        <v>0.526212359312922</v>
      </c>
      <c r="Q5919" s="0" t="str">
        <f aca="false">SUBSTITUTE(SUBSTITUTE($I5919,CHAR(61),""),CHAR(34),"")</f>
        <v>10-14</v>
      </c>
      <c r="R5919" s="0" t="str">
        <f aca="false">IF($D5919&lt;&gt;"","["&amp;$E5919&amp;"]"&amp;"|"&amp;$Q5919&amp;"|"&amp;$K5919&amp;"|"&amp;$G5919&amp;"|"&amp;IF($G5919="TX_CURR_SUBNAT.R","CY2022Q4",$M5919),"")</f>
        <v>[wNqJp8oRIcF]|10-14|Male|Incidence_SUBNAT.Rt.T|CY2024Q3</v>
      </c>
    </row>
    <row r="5920" customFormat="false" ht="15" hidden="false" customHeight="false" outlineLevel="0" collapsed="false">
      <c r="D5920" s="0" t="s">
        <v>102</v>
      </c>
      <c r="E5920" s="0" t="s">
        <v>103</v>
      </c>
      <c r="F5920" s="0" t="s">
        <v>104</v>
      </c>
      <c r="G5920" s="0" t="s">
        <v>169</v>
      </c>
      <c r="H5920" s="0" t="s">
        <v>169</v>
      </c>
      <c r="I5920" s="0" t="s">
        <v>38</v>
      </c>
      <c r="J5920" s="0" t="s">
        <v>39</v>
      </c>
      <c r="K5920" s="0" t="s">
        <v>48</v>
      </c>
      <c r="L5920" s="0" t="s">
        <v>49</v>
      </c>
      <c r="M5920" s="0" t="s">
        <v>167</v>
      </c>
      <c r="N5920" s="0" t="n">
        <v>845</v>
      </c>
      <c r="O5920" s="10" t="n">
        <v>0.177956493804231</v>
      </c>
      <c r="P5920" s="10" t="n">
        <v>0.526212359312922</v>
      </c>
      <c r="Q5920" s="0" t="str">
        <f aca="false">SUBSTITUTE(SUBSTITUTE($I5920,CHAR(61),""),CHAR(34),"")</f>
        <v>15-24</v>
      </c>
      <c r="R5920" s="0" t="str">
        <f aca="false">IF($D5920&lt;&gt;"","["&amp;$E5920&amp;"]"&amp;"|"&amp;$Q5920&amp;"|"&amp;$K5920&amp;"|"&amp;$G5920&amp;"|"&amp;IF($G5920="TX_CURR_SUBNAT.R","CY2022Q4",$M5920),"")</f>
        <v>[wNqJp8oRIcF]|15-24|Male|Incidence_SUBNAT.Rt.T|CY2024Q3</v>
      </c>
    </row>
    <row r="5921" customFormat="false" ht="15" hidden="false" customHeight="false" outlineLevel="0" collapsed="false">
      <c r="D5921" s="0" t="s">
        <v>102</v>
      </c>
      <c r="E5921" s="0" t="s">
        <v>103</v>
      </c>
      <c r="F5921" s="0" t="s">
        <v>104</v>
      </c>
      <c r="G5921" s="0" t="s">
        <v>169</v>
      </c>
      <c r="H5921" s="0" t="s">
        <v>169</v>
      </c>
      <c r="I5921" s="0" t="s">
        <v>41</v>
      </c>
      <c r="J5921" s="0" t="s">
        <v>42</v>
      </c>
      <c r="K5921" s="0" t="s">
        <v>48</v>
      </c>
      <c r="L5921" s="0" t="s">
        <v>49</v>
      </c>
      <c r="M5921" s="0" t="s">
        <v>167</v>
      </c>
      <c r="N5921" s="0" t="n">
        <v>866</v>
      </c>
      <c r="O5921" s="10" t="n">
        <v>0.353556447895244</v>
      </c>
      <c r="P5921" s="10" t="n">
        <v>0.526212359312922</v>
      </c>
      <c r="Q5921" s="0" t="str">
        <f aca="false">SUBSTITUTE(SUBSTITUTE($I5921,CHAR(61),""),CHAR(34),"")</f>
        <v>25-34</v>
      </c>
      <c r="R5921" s="0" t="str">
        <f aca="false">IF($D5921&lt;&gt;"","["&amp;$E5921&amp;"]"&amp;"|"&amp;$Q5921&amp;"|"&amp;$K5921&amp;"|"&amp;$G5921&amp;"|"&amp;IF($G5921="TX_CURR_SUBNAT.R","CY2022Q4",$M5921),"")</f>
        <v>[wNqJp8oRIcF]|25-34|Male|Incidence_SUBNAT.Rt.T|CY2024Q3</v>
      </c>
    </row>
    <row r="5922" customFormat="false" ht="15" hidden="false" customHeight="false" outlineLevel="0" collapsed="false">
      <c r="D5922" s="0" t="s">
        <v>102</v>
      </c>
      <c r="E5922" s="0" t="s">
        <v>103</v>
      </c>
      <c r="F5922" s="0" t="s">
        <v>104</v>
      </c>
      <c r="G5922" s="0" t="s">
        <v>169</v>
      </c>
      <c r="H5922" s="0" t="s">
        <v>169</v>
      </c>
      <c r="I5922" s="0" t="s">
        <v>43</v>
      </c>
      <c r="J5922" s="0" t="s">
        <v>44</v>
      </c>
      <c r="K5922" s="0" t="s">
        <v>48</v>
      </c>
      <c r="L5922" s="0" t="s">
        <v>49</v>
      </c>
      <c r="M5922" s="0" t="s">
        <v>167</v>
      </c>
      <c r="N5922" s="0" t="n">
        <v>1324</v>
      </c>
      <c r="O5922" s="10" t="n">
        <v>0.931067622732371</v>
      </c>
      <c r="P5922" s="10" t="n">
        <v>0.526212359312922</v>
      </c>
      <c r="Q5922" s="0" t="str">
        <f aca="false">SUBSTITUTE(SUBSTITUTE($I5922,CHAR(61),""),CHAR(34),"")</f>
        <v>35-49</v>
      </c>
      <c r="R5922" s="0" t="str">
        <f aca="false">IF($D5922&lt;&gt;"","["&amp;$E5922&amp;"]"&amp;"|"&amp;$Q5922&amp;"|"&amp;$K5922&amp;"|"&amp;$G5922&amp;"|"&amp;IF($G5922="TX_CURR_SUBNAT.R","CY2022Q4",$M5922),"")</f>
        <v>[wNqJp8oRIcF]|35-49|Male|Incidence_SUBNAT.Rt.T|CY2024Q3</v>
      </c>
    </row>
    <row r="5923" customFormat="false" ht="15" hidden="false" customHeight="false" outlineLevel="0" collapsed="false">
      <c r="D5923" s="0" t="s">
        <v>102</v>
      </c>
      <c r="E5923" s="0" t="s">
        <v>103</v>
      </c>
      <c r="F5923" s="0" t="s">
        <v>104</v>
      </c>
      <c r="G5923" s="0" t="s">
        <v>169</v>
      </c>
      <c r="H5923" s="0" t="s">
        <v>169</v>
      </c>
      <c r="I5923" s="0" t="s">
        <v>45</v>
      </c>
      <c r="J5923" s="0" t="s">
        <v>46</v>
      </c>
      <c r="K5923" s="0" t="s">
        <v>48</v>
      </c>
      <c r="L5923" s="0" t="s">
        <v>49</v>
      </c>
      <c r="M5923" s="0" t="s">
        <v>167</v>
      </c>
      <c r="N5923" s="0" t="n">
        <v>1875</v>
      </c>
      <c r="O5923" s="10" t="n">
        <v>0.780427252175286</v>
      </c>
      <c r="P5923" s="10" t="n">
        <v>0.526212359312922</v>
      </c>
      <c r="Q5923" s="0" t="str">
        <f aca="false">SUBSTITUTE(SUBSTITUTE($I5923,CHAR(61),""),CHAR(34),"")</f>
        <v>50+</v>
      </c>
      <c r="R5923" s="0" t="str">
        <f aca="false">IF($D5923&lt;&gt;"","["&amp;$E5923&amp;"]"&amp;"|"&amp;$Q5923&amp;"|"&amp;$K5923&amp;"|"&amp;$G5923&amp;"|"&amp;IF($G5923="TX_CURR_SUBNAT.R","CY2022Q4",$M5923),"")</f>
        <v>[wNqJp8oRIcF]|50+|Male|Incidence_SUBNAT.Rt.T|CY2024Q3</v>
      </c>
    </row>
    <row r="5924" customFormat="false" ht="15" hidden="false" customHeight="false" outlineLevel="0" collapsed="false">
      <c r="D5924" s="0" t="s">
        <v>105</v>
      </c>
      <c r="E5924" s="0" t="s">
        <v>106</v>
      </c>
      <c r="F5924" s="0" t="s">
        <v>107</v>
      </c>
      <c r="G5924" s="0" t="s">
        <v>169</v>
      </c>
      <c r="H5924" s="0" t="s">
        <v>169</v>
      </c>
      <c r="I5924" s="0" t="s">
        <v>28</v>
      </c>
      <c r="J5924" s="0" t="s">
        <v>29</v>
      </c>
      <c r="K5924" s="0" t="s">
        <v>30</v>
      </c>
      <c r="L5924" s="0" t="s">
        <v>31</v>
      </c>
      <c r="M5924" s="0" t="s">
        <v>167</v>
      </c>
      <c r="N5924" s="0" t="n">
        <v>1648</v>
      </c>
      <c r="O5924" s="10" t="n">
        <v>0.836252971552312</v>
      </c>
      <c r="P5924" s="10" t="n">
        <v>0.218249560333788</v>
      </c>
      <c r="Q5924" s="0" t="str">
        <f aca="false">SUBSTITUTE(SUBSTITUTE($I5924,CHAR(61),""),CHAR(34),"")</f>
        <v>&lt;01</v>
      </c>
      <c r="R5924" s="0" t="str">
        <f aca="false">IF($D5924&lt;&gt;"","["&amp;$E5924&amp;"]"&amp;"|"&amp;$Q5924&amp;"|"&amp;$K5924&amp;"|"&amp;$G5924&amp;"|"&amp;IF($G5924="TX_CURR_SUBNAT.R","CY2022Q4",$M5924),"")</f>
        <v>[oiPR2CiVJbf]|&lt;01|Female|Incidence_SUBNAT.Rt.T|CY2024Q3</v>
      </c>
    </row>
    <row r="5925" customFormat="false" ht="15" hidden="false" customHeight="false" outlineLevel="0" collapsed="false">
      <c r="D5925" s="0" t="s">
        <v>105</v>
      </c>
      <c r="E5925" s="0" t="s">
        <v>106</v>
      </c>
      <c r="F5925" s="0" t="s">
        <v>107</v>
      </c>
      <c r="G5925" s="0" t="s">
        <v>169</v>
      </c>
      <c r="H5925" s="0" t="s">
        <v>169</v>
      </c>
      <c r="I5925" s="0" t="s">
        <v>33</v>
      </c>
      <c r="J5925" s="0" t="s">
        <v>34</v>
      </c>
      <c r="K5925" s="0" t="s">
        <v>30</v>
      </c>
      <c r="L5925" s="0" t="s">
        <v>31</v>
      </c>
      <c r="M5925" s="0" t="s">
        <v>167</v>
      </c>
      <c r="N5925" s="0" t="n">
        <v>1824</v>
      </c>
      <c r="O5925" s="10" t="n">
        <v>0.183821237646043</v>
      </c>
      <c r="P5925" s="10" t="n">
        <v>0.218249560333788</v>
      </c>
      <c r="Q5925" s="0" t="str">
        <f aca="false">SUBSTITUTE(SUBSTITUTE($I5925,CHAR(61),""),CHAR(34),"")</f>
        <v>01-09</v>
      </c>
      <c r="R5925" s="0" t="str">
        <f aca="false">IF($D5925&lt;&gt;"","["&amp;$E5925&amp;"]"&amp;"|"&amp;$Q5925&amp;"|"&amp;$K5925&amp;"|"&amp;$G5925&amp;"|"&amp;IF($G5925="TX_CURR_SUBNAT.R","CY2022Q4",$M5925),"")</f>
        <v>[oiPR2CiVJbf]|01-09|Female|Incidence_SUBNAT.Rt.T|CY2024Q3</v>
      </c>
    </row>
    <row r="5926" customFormat="false" ht="15" hidden="false" customHeight="false" outlineLevel="0" collapsed="false">
      <c r="D5926" s="0" t="s">
        <v>105</v>
      </c>
      <c r="E5926" s="0" t="s">
        <v>106</v>
      </c>
      <c r="F5926" s="0" t="s">
        <v>107</v>
      </c>
      <c r="G5926" s="0" t="s">
        <v>169</v>
      </c>
      <c r="H5926" s="0" t="s">
        <v>169</v>
      </c>
      <c r="I5926" s="0" t="s">
        <v>36</v>
      </c>
      <c r="J5926" s="0" t="s">
        <v>37</v>
      </c>
      <c r="K5926" s="0" t="s">
        <v>30</v>
      </c>
      <c r="L5926" s="0" t="s">
        <v>31</v>
      </c>
      <c r="M5926" s="0" t="s">
        <v>167</v>
      </c>
      <c r="N5926" s="0" t="n">
        <v>1589</v>
      </c>
      <c r="O5926" s="10" t="n">
        <v>0.00441328156739473</v>
      </c>
      <c r="P5926" s="10" t="n">
        <v>0.218249560333788</v>
      </c>
      <c r="Q5926" s="0" t="str">
        <f aca="false">SUBSTITUTE(SUBSTITUTE($I5926,CHAR(61),""),CHAR(34),"")</f>
        <v>10-14</v>
      </c>
      <c r="R5926" s="0" t="str">
        <f aca="false">IF($D5926&lt;&gt;"","["&amp;$E5926&amp;"]"&amp;"|"&amp;$Q5926&amp;"|"&amp;$K5926&amp;"|"&amp;$G5926&amp;"|"&amp;IF($G5926="TX_CURR_SUBNAT.R","CY2022Q4",$M5926),"")</f>
        <v>[oiPR2CiVJbf]|10-14|Female|Incidence_SUBNAT.Rt.T|CY2024Q3</v>
      </c>
    </row>
    <row r="5927" customFormat="false" ht="15" hidden="false" customHeight="false" outlineLevel="0" collapsed="false">
      <c r="D5927" s="0" t="s">
        <v>105</v>
      </c>
      <c r="E5927" s="0" t="s">
        <v>106</v>
      </c>
      <c r="F5927" s="0" t="s">
        <v>107</v>
      </c>
      <c r="G5927" s="0" t="s">
        <v>169</v>
      </c>
      <c r="H5927" s="0" t="s">
        <v>169</v>
      </c>
      <c r="I5927" s="0" t="s">
        <v>38</v>
      </c>
      <c r="J5927" s="0" t="s">
        <v>39</v>
      </c>
      <c r="K5927" s="0" t="s">
        <v>30</v>
      </c>
      <c r="L5927" s="0" t="s">
        <v>31</v>
      </c>
      <c r="M5927" s="0" t="s">
        <v>167</v>
      </c>
      <c r="N5927" s="0" t="n">
        <v>1578</v>
      </c>
      <c r="O5927" s="10" t="n">
        <v>0.372461133869365</v>
      </c>
      <c r="P5927" s="10" t="n">
        <v>0.218249560333788</v>
      </c>
      <c r="Q5927" s="0" t="str">
        <f aca="false">SUBSTITUTE(SUBSTITUTE($I5927,CHAR(61),""),CHAR(34),"")</f>
        <v>15-24</v>
      </c>
      <c r="R5927" s="0" t="str">
        <f aca="false">IF($D5927&lt;&gt;"","["&amp;$E5927&amp;"]"&amp;"|"&amp;$Q5927&amp;"|"&amp;$K5927&amp;"|"&amp;$G5927&amp;"|"&amp;IF($G5927="TX_CURR_SUBNAT.R","CY2022Q4",$M5927),"")</f>
        <v>[oiPR2CiVJbf]|15-24|Female|Incidence_SUBNAT.Rt.T|CY2024Q3</v>
      </c>
    </row>
    <row r="5928" customFormat="false" ht="15" hidden="false" customHeight="false" outlineLevel="0" collapsed="false">
      <c r="D5928" s="0" t="s">
        <v>105</v>
      </c>
      <c r="E5928" s="0" t="s">
        <v>106</v>
      </c>
      <c r="F5928" s="0" t="s">
        <v>107</v>
      </c>
      <c r="G5928" s="0" t="s">
        <v>169</v>
      </c>
      <c r="H5928" s="0" t="s">
        <v>169</v>
      </c>
      <c r="I5928" s="0" t="s">
        <v>41</v>
      </c>
      <c r="J5928" s="0" t="s">
        <v>42</v>
      </c>
      <c r="K5928" s="0" t="s">
        <v>30</v>
      </c>
      <c r="L5928" s="0" t="s">
        <v>31</v>
      </c>
      <c r="M5928" s="0" t="s">
        <v>167</v>
      </c>
      <c r="N5928" s="0" t="n">
        <v>1564</v>
      </c>
      <c r="O5928" s="10" t="n">
        <v>0.271201744675636</v>
      </c>
      <c r="P5928" s="10" t="n">
        <v>0.218249560333788</v>
      </c>
      <c r="Q5928" s="0" t="str">
        <f aca="false">SUBSTITUTE(SUBSTITUTE($I5928,CHAR(61),""),CHAR(34),"")</f>
        <v>25-34</v>
      </c>
      <c r="R5928" s="0" t="str">
        <f aca="false">IF($D5928&lt;&gt;"","["&amp;$E5928&amp;"]"&amp;"|"&amp;$Q5928&amp;"|"&amp;$K5928&amp;"|"&amp;$G5928&amp;"|"&amp;IF($G5928="TX_CURR_SUBNAT.R","CY2022Q4",$M5928),"")</f>
        <v>[oiPR2CiVJbf]|25-34|Female|Incidence_SUBNAT.Rt.T|CY2024Q3</v>
      </c>
    </row>
    <row r="5929" customFormat="false" ht="15" hidden="false" customHeight="false" outlineLevel="0" collapsed="false">
      <c r="D5929" s="0" t="s">
        <v>105</v>
      </c>
      <c r="E5929" s="0" t="s">
        <v>106</v>
      </c>
      <c r="F5929" s="0" t="s">
        <v>107</v>
      </c>
      <c r="G5929" s="0" t="s">
        <v>169</v>
      </c>
      <c r="H5929" s="0" t="s">
        <v>169</v>
      </c>
      <c r="I5929" s="0" t="s">
        <v>43</v>
      </c>
      <c r="J5929" s="0" t="s">
        <v>44</v>
      </c>
      <c r="K5929" s="0" t="s">
        <v>30</v>
      </c>
      <c r="L5929" s="0" t="s">
        <v>31</v>
      </c>
      <c r="M5929" s="0" t="s">
        <v>167</v>
      </c>
      <c r="N5929" s="0" t="n">
        <v>1092</v>
      </c>
      <c r="O5929" s="10" t="n">
        <v>0.826821235241368</v>
      </c>
      <c r="P5929" s="10" t="n">
        <v>0.218249560333788</v>
      </c>
      <c r="Q5929" s="0" t="str">
        <f aca="false">SUBSTITUTE(SUBSTITUTE($I5929,CHAR(61),""),CHAR(34),"")</f>
        <v>35-49</v>
      </c>
      <c r="R5929" s="0" t="str">
        <f aca="false">IF($D5929&lt;&gt;"","["&amp;$E5929&amp;"]"&amp;"|"&amp;$Q5929&amp;"|"&amp;$K5929&amp;"|"&amp;$G5929&amp;"|"&amp;IF($G5929="TX_CURR_SUBNAT.R","CY2022Q4",$M5929),"")</f>
        <v>[oiPR2CiVJbf]|35-49|Female|Incidence_SUBNAT.Rt.T|CY2024Q3</v>
      </c>
    </row>
    <row r="5930" customFormat="false" ht="15" hidden="false" customHeight="false" outlineLevel="0" collapsed="false">
      <c r="D5930" s="0" t="s">
        <v>105</v>
      </c>
      <c r="E5930" s="0" t="s">
        <v>106</v>
      </c>
      <c r="F5930" s="0" t="s">
        <v>107</v>
      </c>
      <c r="G5930" s="0" t="s">
        <v>169</v>
      </c>
      <c r="H5930" s="0" t="s">
        <v>169</v>
      </c>
      <c r="I5930" s="0" t="s">
        <v>45</v>
      </c>
      <c r="J5930" s="0" t="s">
        <v>46</v>
      </c>
      <c r="K5930" s="0" t="s">
        <v>30</v>
      </c>
      <c r="L5930" s="0" t="s">
        <v>31</v>
      </c>
      <c r="M5930" s="0" t="s">
        <v>167</v>
      </c>
      <c r="N5930" s="0" t="n">
        <v>879</v>
      </c>
      <c r="O5930" s="10" t="n">
        <v>0.777416348922998</v>
      </c>
      <c r="P5930" s="10" t="n">
        <v>0.218249560333788</v>
      </c>
      <c r="Q5930" s="0" t="str">
        <f aca="false">SUBSTITUTE(SUBSTITUTE($I5930,CHAR(61),""),CHAR(34),"")</f>
        <v>50+</v>
      </c>
      <c r="R5930" s="0" t="str">
        <f aca="false">IF($D5930&lt;&gt;"","["&amp;$E5930&amp;"]"&amp;"|"&amp;$Q5930&amp;"|"&amp;$K5930&amp;"|"&amp;$G5930&amp;"|"&amp;IF($G5930="TX_CURR_SUBNAT.R","CY2022Q4",$M5930),"")</f>
        <v>[oiPR2CiVJbf]|50+|Female|Incidence_SUBNAT.Rt.T|CY2024Q3</v>
      </c>
    </row>
    <row r="5931" customFormat="false" ht="15" hidden="false" customHeight="false" outlineLevel="0" collapsed="false">
      <c r="D5931" s="0" t="s">
        <v>105</v>
      </c>
      <c r="E5931" s="0" t="s">
        <v>106</v>
      </c>
      <c r="F5931" s="0" t="s">
        <v>107</v>
      </c>
      <c r="G5931" s="0" t="s">
        <v>169</v>
      </c>
      <c r="H5931" s="0" t="s">
        <v>169</v>
      </c>
      <c r="I5931" s="0" t="s">
        <v>28</v>
      </c>
      <c r="J5931" s="0" t="s">
        <v>29</v>
      </c>
      <c r="K5931" s="0" t="s">
        <v>48</v>
      </c>
      <c r="L5931" s="0" t="s">
        <v>49</v>
      </c>
      <c r="M5931" s="0" t="s">
        <v>167</v>
      </c>
      <c r="N5931" s="0" t="n">
        <v>1407</v>
      </c>
      <c r="O5931" s="10" t="n">
        <v>0.282774219056591</v>
      </c>
      <c r="P5931" s="10" t="n">
        <v>0.218249560333788</v>
      </c>
      <c r="Q5931" s="0" t="str">
        <f aca="false">SUBSTITUTE(SUBSTITUTE($I5931,CHAR(61),""),CHAR(34),"")</f>
        <v>&lt;01</v>
      </c>
      <c r="R5931" s="0" t="str">
        <f aca="false">IF($D5931&lt;&gt;"","["&amp;$E5931&amp;"]"&amp;"|"&amp;$Q5931&amp;"|"&amp;$K5931&amp;"|"&amp;$G5931&amp;"|"&amp;IF($G5931="TX_CURR_SUBNAT.R","CY2022Q4",$M5931),"")</f>
        <v>[oiPR2CiVJbf]|&lt;01|Male|Incidence_SUBNAT.Rt.T|CY2024Q3</v>
      </c>
    </row>
    <row r="5932" customFormat="false" ht="15" hidden="false" customHeight="false" outlineLevel="0" collapsed="false">
      <c r="D5932" s="0" t="s">
        <v>105</v>
      </c>
      <c r="E5932" s="0" t="s">
        <v>106</v>
      </c>
      <c r="F5932" s="0" t="s">
        <v>107</v>
      </c>
      <c r="G5932" s="0" t="s">
        <v>169</v>
      </c>
      <c r="H5932" s="0" t="s">
        <v>169</v>
      </c>
      <c r="I5932" s="0" t="s">
        <v>33</v>
      </c>
      <c r="J5932" s="0" t="s">
        <v>34</v>
      </c>
      <c r="K5932" s="0" t="s">
        <v>48</v>
      </c>
      <c r="L5932" s="0" t="s">
        <v>49</v>
      </c>
      <c r="M5932" s="0" t="s">
        <v>167</v>
      </c>
      <c r="N5932" s="0" t="n">
        <v>1606</v>
      </c>
      <c r="O5932" s="10" t="n">
        <v>0.701566684758291</v>
      </c>
      <c r="P5932" s="10" t="n">
        <v>0.218249560333788</v>
      </c>
      <c r="Q5932" s="0" t="str">
        <f aca="false">SUBSTITUTE(SUBSTITUTE($I5932,CHAR(61),""),CHAR(34),"")</f>
        <v>01-09</v>
      </c>
      <c r="R5932" s="0" t="str">
        <f aca="false">IF($D5932&lt;&gt;"","["&amp;$E5932&amp;"]"&amp;"|"&amp;$Q5932&amp;"|"&amp;$K5932&amp;"|"&amp;$G5932&amp;"|"&amp;IF($G5932="TX_CURR_SUBNAT.R","CY2022Q4",$M5932),"")</f>
        <v>[oiPR2CiVJbf]|01-09|Male|Incidence_SUBNAT.Rt.T|CY2024Q3</v>
      </c>
    </row>
    <row r="5933" customFormat="false" ht="15" hidden="false" customHeight="false" outlineLevel="0" collapsed="false">
      <c r="D5933" s="0" t="s">
        <v>105</v>
      </c>
      <c r="E5933" s="0" t="s">
        <v>106</v>
      </c>
      <c r="F5933" s="0" t="s">
        <v>107</v>
      </c>
      <c r="G5933" s="0" t="s">
        <v>169</v>
      </c>
      <c r="H5933" s="0" t="s">
        <v>169</v>
      </c>
      <c r="I5933" s="0" t="s">
        <v>36</v>
      </c>
      <c r="J5933" s="0" t="s">
        <v>37</v>
      </c>
      <c r="K5933" s="0" t="s">
        <v>48</v>
      </c>
      <c r="L5933" s="0" t="s">
        <v>49</v>
      </c>
      <c r="M5933" s="0" t="s">
        <v>167</v>
      </c>
      <c r="N5933" s="0" t="n">
        <v>1702</v>
      </c>
      <c r="O5933" s="10" t="n">
        <v>0.644409800646827</v>
      </c>
      <c r="P5933" s="10" t="n">
        <v>0.218249560333788</v>
      </c>
      <c r="Q5933" s="0" t="str">
        <f aca="false">SUBSTITUTE(SUBSTITUTE($I5933,CHAR(61),""),CHAR(34),"")</f>
        <v>10-14</v>
      </c>
      <c r="R5933" s="0" t="str">
        <f aca="false">IF($D5933&lt;&gt;"","["&amp;$E5933&amp;"]"&amp;"|"&amp;$Q5933&amp;"|"&amp;$K5933&amp;"|"&amp;$G5933&amp;"|"&amp;IF($G5933="TX_CURR_SUBNAT.R","CY2022Q4",$M5933),"")</f>
        <v>[oiPR2CiVJbf]|10-14|Male|Incidence_SUBNAT.Rt.T|CY2024Q3</v>
      </c>
    </row>
    <row r="5934" customFormat="false" ht="15" hidden="false" customHeight="false" outlineLevel="0" collapsed="false">
      <c r="D5934" s="0" t="s">
        <v>105</v>
      </c>
      <c r="E5934" s="0" t="s">
        <v>106</v>
      </c>
      <c r="F5934" s="0" t="s">
        <v>107</v>
      </c>
      <c r="G5934" s="0" t="s">
        <v>169</v>
      </c>
      <c r="H5934" s="0" t="s">
        <v>169</v>
      </c>
      <c r="I5934" s="0" t="s">
        <v>38</v>
      </c>
      <c r="J5934" s="0" t="s">
        <v>39</v>
      </c>
      <c r="K5934" s="0" t="s">
        <v>48</v>
      </c>
      <c r="L5934" s="0" t="s">
        <v>49</v>
      </c>
      <c r="M5934" s="0" t="s">
        <v>167</v>
      </c>
      <c r="N5934" s="0" t="n">
        <v>1179</v>
      </c>
      <c r="O5934" s="10" t="n">
        <v>0.857116611208767</v>
      </c>
      <c r="P5934" s="10" t="n">
        <v>0.218249560333788</v>
      </c>
      <c r="Q5934" s="0" t="str">
        <f aca="false">SUBSTITUTE(SUBSTITUTE($I5934,CHAR(61),""),CHAR(34),"")</f>
        <v>15-24</v>
      </c>
      <c r="R5934" s="0" t="str">
        <f aca="false">IF($D5934&lt;&gt;"","["&amp;$E5934&amp;"]"&amp;"|"&amp;$Q5934&amp;"|"&amp;$K5934&amp;"|"&amp;$G5934&amp;"|"&amp;IF($G5934="TX_CURR_SUBNAT.R","CY2022Q4",$M5934),"")</f>
        <v>[oiPR2CiVJbf]|15-24|Male|Incidence_SUBNAT.Rt.T|CY2024Q3</v>
      </c>
    </row>
    <row r="5935" customFormat="false" ht="15" hidden="false" customHeight="false" outlineLevel="0" collapsed="false">
      <c r="D5935" s="0" t="s">
        <v>105</v>
      </c>
      <c r="E5935" s="0" t="s">
        <v>106</v>
      </c>
      <c r="F5935" s="0" t="s">
        <v>107</v>
      </c>
      <c r="G5935" s="0" t="s">
        <v>169</v>
      </c>
      <c r="H5935" s="0" t="s">
        <v>169</v>
      </c>
      <c r="I5935" s="0" t="s">
        <v>41</v>
      </c>
      <c r="J5935" s="0" t="s">
        <v>42</v>
      </c>
      <c r="K5935" s="0" t="s">
        <v>48</v>
      </c>
      <c r="L5935" s="0" t="s">
        <v>49</v>
      </c>
      <c r="M5935" s="0" t="s">
        <v>167</v>
      </c>
      <c r="N5935" s="0" t="n">
        <v>1453</v>
      </c>
      <c r="O5935" s="10" t="n">
        <v>0.487214037682861</v>
      </c>
      <c r="P5935" s="10" t="n">
        <v>0.218249560333788</v>
      </c>
      <c r="Q5935" s="0" t="str">
        <f aca="false">SUBSTITUTE(SUBSTITUTE($I5935,CHAR(61),""),CHAR(34),"")</f>
        <v>25-34</v>
      </c>
      <c r="R5935" s="0" t="str">
        <f aca="false">IF($D5935&lt;&gt;"","["&amp;$E5935&amp;"]"&amp;"|"&amp;$Q5935&amp;"|"&amp;$K5935&amp;"|"&amp;$G5935&amp;"|"&amp;IF($G5935="TX_CURR_SUBNAT.R","CY2022Q4",$M5935),"")</f>
        <v>[oiPR2CiVJbf]|25-34|Male|Incidence_SUBNAT.Rt.T|CY2024Q3</v>
      </c>
    </row>
    <row r="5936" customFormat="false" ht="15" hidden="false" customHeight="false" outlineLevel="0" collapsed="false">
      <c r="D5936" s="0" t="s">
        <v>105</v>
      </c>
      <c r="E5936" s="0" t="s">
        <v>106</v>
      </c>
      <c r="F5936" s="0" t="s">
        <v>107</v>
      </c>
      <c r="G5936" s="0" t="s">
        <v>169</v>
      </c>
      <c r="H5936" s="0" t="s">
        <v>169</v>
      </c>
      <c r="I5936" s="0" t="s">
        <v>43</v>
      </c>
      <c r="J5936" s="0" t="s">
        <v>44</v>
      </c>
      <c r="K5936" s="0" t="s">
        <v>48</v>
      </c>
      <c r="L5936" s="0" t="s">
        <v>49</v>
      </c>
      <c r="M5936" s="0" t="s">
        <v>167</v>
      </c>
      <c r="N5936" s="0" t="n">
        <v>1145</v>
      </c>
      <c r="O5936" s="10" t="n">
        <v>0.961598809342831</v>
      </c>
      <c r="P5936" s="10" t="n">
        <v>0.218249560333788</v>
      </c>
      <c r="Q5936" s="0" t="str">
        <f aca="false">SUBSTITUTE(SUBSTITUTE($I5936,CHAR(61),""),CHAR(34),"")</f>
        <v>35-49</v>
      </c>
      <c r="R5936" s="0" t="str">
        <f aca="false">IF($D5936&lt;&gt;"","["&amp;$E5936&amp;"]"&amp;"|"&amp;$Q5936&amp;"|"&amp;$K5936&amp;"|"&amp;$G5936&amp;"|"&amp;IF($G5936="TX_CURR_SUBNAT.R","CY2022Q4",$M5936),"")</f>
        <v>[oiPR2CiVJbf]|35-49|Male|Incidence_SUBNAT.Rt.T|CY2024Q3</v>
      </c>
    </row>
    <row r="5937" customFormat="false" ht="15" hidden="false" customHeight="false" outlineLevel="0" collapsed="false">
      <c r="D5937" s="0" t="s">
        <v>105</v>
      </c>
      <c r="E5937" s="0" t="s">
        <v>106</v>
      </c>
      <c r="F5937" s="0" t="s">
        <v>107</v>
      </c>
      <c r="G5937" s="0" t="s">
        <v>169</v>
      </c>
      <c r="H5937" s="0" t="s">
        <v>169</v>
      </c>
      <c r="I5937" s="0" t="s">
        <v>45</v>
      </c>
      <c r="J5937" s="0" t="s">
        <v>46</v>
      </c>
      <c r="K5937" s="0" t="s">
        <v>48</v>
      </c>
      <c r="L5937" s="0" t="s">
        <v>49</v>
      </c>
      <c r="M5937" s="0" t="s">
        <v>167</v>
      </c>
      <c r="N5937" s="0" t="n">
        <v>995</v>
      </c>
      <c r="O5937" s="10" t="n">
        <v>0.0305187494959682</v>
      </c>
      <c r="P5937" s="10" t="n">
        <v>0.218249560333788</v>
      </c>
      <c r="Q5937" s="0" t="str">
        <f aca="false">SUBSTITUTE(SUBSTITUTE($I5937,CHAR(61),""),CHAR(34),"")</f>
        <v>50+</v>
      </c>
      <c r="R5937" s="0" t="str">
        <f aca="false">IF($D5937&lt;&gt;"","["&amp;$E5937&amp;"]"&amp;"|"&amp;$Q5937&amp;"|"&amp;$K5937&amp;"|"&amp;$G5937&amp;"|"&amp;IF($G5937="TX_CURR_SUBNAT.R","CY2022Q4",$M5937),"")</f>
        <v>[oiPR2CiVJbf]|50+|Male|Incidence_SUBNAT.Rt.T|CY2024Q3</v>
      </c>
    </row>
    <row r="5938" customFormat="false" ht="15" hidden="false" customHeight="false" outlineLevel="0" collapsed="false">
      <c r="D5938" s="0" t="s">
        <v>108</v>
      </c>
      <c r="E5938" s="0" t="s">
        <v>109</v>
      </c>
      <c r="F5938" s="0" t="s">
        <v>110</v>
      </c>
      <c r="G5938" s="0" t="s">
        <v>169</v>
      </c>
      <c r="H5938" s="0" t="s">
        <v>169</v>
      </c>
      <c r="I5938" s="0" t="s">
        <v>28</v>
      </c>
      <c r="J5938" s="0" t="s">
        <v>29</v>
      </c>
      <c r="K5938" s="0" t="s">
        <v>30</v>
      </c>
      <c r="L5938" s="0" t="s">
        <v>31</v>
      </c>
      <c r="M5938" s="0" t="s">
        <v>167</v>
      </c>
      <c r="N5938" s="0" t="n">
        <v>1923</v>
      </c>
      <c r="O5938" s="10" t="n">
        <v>0.0567718013189733</v>
      </c>
      <c r="P5938" s="10" t="n">
        <v>0.434221804374829</v>
      </c>
      <c r="Q5938" s="0" t="str">
        <f aca="false">SUBSTITUTE(SUBSTITUTE($I5938,CHAR(61),""),CHAR(34),"")</f>
        <v>&lt;01</v>
      </c>
      <c r="R5938" s="0" t="str">
        <f aca="false">IF($D5938&lt;&gt;"","["&amp;$E5938&amp;"]"&amp;"|"&amp;$Q5938&amp;"|"&amp;$K5938&amp;"|"&amp;$G5938&amp;"|"&amp;IF($G5938="TX_CURR_SUBNAT.R","CY2022Q4",$M5938),"")</f>
        <v>[ul0y9diGujK]|&lt;01|Female|Incidence_SUBNAT.Rt.T|CY2024Q3</v>
      </c>
    </row>
    <row r="5939" customFormat="false" ht="15" hidden="false" customHeight="false" outlineLevel="0" collapsed="false">
      <c r="D5939" s="0" t="s">
        <v>108</v>
      </c>
      <c r="E5939" s="0" t="s">
        <v>109</v>
      </c>
      <c r="F5939" s="0" t="s">
        <v>110</v>
      </c>
      <c r="G5939" s="0" t="s">
        <v>169</v>
      </c>
      <c r="H5939" s="0" t="s">
        <v>169</v>
      </c>
      <c r="I5939" s="0" t="s">
        <v>33</v>
      </c>
      <c r="J5939" s="0" t="s">
        <v>34</v>
      </c>
      <c r="K5939" s="0" t="s">
        <v>30</v>
      </c>
      <c r="L5939" s="0" t="s">
        <v>31</v>
      </c>
      <c r="M5939" s="0" t="s">
        <v>167</v>
      </c>
      <c r="N5939" s="0" t="n">
        <v>1075</v>
      </c>
      <c r="O5939" s="10" t="n">
        <v>0.543213062919676</v>
      </c>
      <c r="P5939" s="10" t="n">
        <v>0.434221804374829</v>
      </c>
      <c r="Q5939" s="0" t="str">
        <f aca="false">SUBSTITUTE(SUBSTITUTE($I5939,CHAR(61),""),CHAR(34),"")</f>
        <v>01-09</v>
      </c>
      <c r="R5939" s="0" t="str">
        <f aca="false">IF($D5939&lt;&gt;"","["&amp;$E5939&amp;"]"&amp;"|"&amp;$Q5939&amp;"|"&amp;$K5939&amp;"|"&amp;$G5939&amp;"|"&amp;IF($G5939="TX_CURR_SUBNAT.R","CY2022Q4",$M5939),"")</f>
        <v>[ul0y9diGujK]|01-09|Female|Incidence_SUBNAT.Rt.T|CY2024Q3</v>
      </c>
    </row>
    <row r="5940" customFormat="false" ht="15" hidden="false" customHeight="false" outlineLevel="0" collapsed="false">
      <c r="D5940" s="0" t="s">
        <v>108</v>
      </c>
      <c r="E5940" s="0" t="s">
        <v>109</v>
      </c>
      <c r="F5940" s="0" t="s">
        <v>110</v>
      </c>
      <c r="G5940" s="0" t="s">
        <v>169</v>
      </c>
      <c r="H5940" s="0" t="s">
        <v>169</v>
      </c>
      <c r="I5940" s="0" t="s">
        <v>36</v>
      </c>
      <c r="J5940" s="0" t="s">
        <v>37</v>
      </c>
      <c r="K5940" s="0" t="s">
        <v>30</v>
      </c>
      <c r="L5940" s="0" t="s">
        <v>31</v>
      </c>
      <c r="M5940" s="0" t="s">
        <v>167</v>
      </c>
      <c r="N5940" s="0" t="n">
        <v>1611</v>
      </c>
      <c r="O5940" s="10" t="n">
        <v>0.0557934553362429</v>
      </c>
      <c r="P5940" s="10" t="n">
        <v>0.434221804374829</v>
      </c>
      <c r="Q5940" s="0" t="str">
        <f aca="false">SUBSTITUTE(SUBSTITUTE($I5940,CHAR(61),""),CHAR(34),"")</f>
        <v>10-14</v>
      </c>
      <c r="R5940" s="0" t="str">
        <f aca="false">IF($D5940&lt;&gt;"","["&amp;$E5940&amp;"]"&amp;"|"&amp;$Q5940&amp;"|"&amp;$K5940&amp;"|"&amp;$G5940&amp;"|"&amp;IF($G5940="TX_CURR_SUBNAT.R","CY2022Q4",$M5940),"")</f>
        <v>[ul0y9diGujK]|10-14|Female|Incidence_SUBNAT.Rt.T|CY2024Q3</v>
      </c>
    </row>
    <row r="5941" customFormat="false" ht="15" hidden="false" customHeight="false" outlineLevel="0" collapsed="false">
      <c r="D5941" s="0" t="s">
        <v>108</v>
      </c>
      <c r="E5941" s="0" t="s">
        <v>109</v>
      </c>
      <c r="F5941" s="0" t="s">
        <v>110</v>
      </c>
      <c r="G5941" s="0" t="s">
        <v>169</v>
      </c>
      <c r="H5941" s="0" t="s">
        <v>169</v>
      </c>
      <c r="I5941" s="0" t="s">
        <v>38</v>
      </c>
      <c r="J5941" s="0" t="s">
        <v>39</v>
      </c>
      <c r="K5941" s="0" t="s">
        <v>30</v>
      </c>
      <c r="L5941" s="0" t="s">
        <v>31</v>
      </c>
      <c r="M5941" s="0" t="s">
        <v>167</v>
      </c>
      <c r="N5941" s="0" t="n">
        <v>1805</v>
      </c>
      <c r="O5941" s="10" t="n">
        <v>0.661105406470597</v>
      </c>
      <c r="P5941" s="10" t="n">
        <v>0.434221804374829</v>
      </c>
      <c r="Q5941" s="0" t="str">
        <f aca="false">SUBSTITUTE(SUBSTITUTE($I5941,CHAR(61),""),CHAR(34),"")</f>
        <v>15-24</v>
      </c>
      <c r="R5941" s="0" t="str">
        <f aca="false">IF($D5941&lt;&gt;"","["&amp;$E5941&amp;"]"&amp;"|"&amp;$Q5941&amp;"|"&amp;$K5941&amp;"|"&amp;$G5941&amp;"|"&amp;IF($G5941="TX_CURR_SUBNAT.R","CY2022Q4",$M5941),"")</f>
        <v>[ul0y9diGujK]|15-24|Female|Incidence_SUBNAT.Rt.T|CY2024Q3</v>
      </c>
    </row>
    <row r="5942" customFormat="false" ht="15" hidden="false" customHeight="false" outlineLevel="0" collapsed="false">
      <c r="D5942" s="0" t="s">
        <v>108</v>
      </c>
      <c r="E5942" s="0" t="s">
        <v>109</v>
      </c>
      <c r="F5942" s="0" t="s">
        <v>110</v>
      </c>
      <c r="G5942" s="0" t="s">
        <v>169</v>
      </c>
      <c r="H5942" s="0" t="s">
        <v>169</v>
      </c>
      <c r="I5942" s="0" t="s">
        <v>41</v>
      </c>
      <c r="J5942" s="0" t="s">
        <v>42</v>
      </c>
      <c r="K5942" s="0" t="s">
        <v>30</v>
      </c>
      <c r="L5942" s="0" t="s">
        <v>31</v>
      </c>
      <c r="M5942" s="0" t="s">
        <v>167</v>
      </c>
      <c r="N5942" s="0" t="n">
        <v>1253</v>
      </c>
      <c r="O5942" s="10" t="n">
        <v>0.569251182256266</v>
      </c>
      <c r="P5942" s="10" t="n">
        <v>0.434221804374829</v>
      </c>
      <c r="Q5942" s="0" t="str">
        <f aca="false">SUBSTITUTE(SUBSTITUTE($I5942,CHAR(61),""),CHAR(34),"")</f>
        <v>25-34</v>
      </c>
      <c r="R5942" s="0" t="str">
        <f aca="false">IF($D5942&lt;&gt;"","["&amp;$E5942&amp;"]"&amp;"|"&amp;$Q5942&amp;"|"&amp;$K5942&amp;"|"&amp;$G5942&amp;"|"&amp;IF($G5942="TX_CURR_SUBNAT.R","CY2022Q4",$M5942),"")</f>
        <v>[ul0y9diGujK]|25-34|Female|Incidence_SUBNAT.Rt.T|CY2024Q3</v>
      </c>
    </row>
    <row r="5943" customFormat="false" ht="15" hidden="false" customHeight="false" outlineLevel="0" collapsed="false">
      <c r="D5943" s="0" t="s">
        <v>108</v>
      </c>
      <c r="E5943" s="0" t="s">
        <v>109</v>
      </c>
      <c r="F5943" s="0" t="s">
        <v>110</v>
      </c>
      <c r="G5943" s="0" t="s">
        <v>169</v>
      </c>
      <c r="H5943" s="0" t="s">
        <v>169</v>
      </c>
      <c r="I5943" s="0" t="s">
        <v>43</v>
      </c>
      <c r="J5943" s="0" t="s">
        <v>44</v>
      </c>
      <c r="K5943" s="0" t="s">
        <v>30</v>
      </c>
      <c r="L5943" s="0" t="s">
        <v>31</v>
      </c>
      <c r="M5943" s="0" t="s">
        <v>167</v>
      </c>
      <c r="N5943" s="0" t="n">
        <v>1306</v>
      </c>
      <c r="O5943" s="10" t="n">
        <v>0.4617215662729</v>
      </c>
      <c r="P5943" s="10" t="n">
        <v>0.434221804374829</v>
      </c>
      <c r="Q5943" s="0" t="str">
        <f aca="false">SUBSTITUTE(SUBSTITUTE($I5943,CHAR(61),""),CHAR(34),"")</f>
        <v>35-49</v>
      </c>
      <c r="R5943" s="0" t="str">
        <f aca="false">IF($D5943&lt;&gt;"","["&amp;$E5943&amp;"]"&amp;"|"&amp;$Q5943&amp;"|"&amp;$K5943&amp;"|"&amp;$G5943&amp;"|"&amp;IF($G5943="TX_CURR_SUBNAT.R","CY2022Q4",$M5943),"")</f>
        <v>[ul0y9diGujK]|35-49|Female|Incidence_SUBNAT.Rt.T|CY2024Q3</v>
      </c>
    </row>
    <row r="5944" customFormat="false" ht="15" hidden="false" customHeight="false" outlineLevel="0" collapsed="false">
      <c r="D5944" s="0" t="s">
        <v>108</v>
      </c>
      <c r="E5944" s="0" t="s">
        <v>109</v>
      </c>
      <c r="F5944" s="0" t="s">
        <v>110</v>
      </c>
      <c r="G5944" s="0" t="s">
        <v>169</v>
      </c>
      <c r="H5944" s="0" t="s">
        <v>169</v>
      </c>
      <c r="I5944" s="0" t="s">
        <v>45</v>
      </c>
      <c r="J5944" s="0" t="s">
        <v>46</v>
      </c>
      <c r="K5944" s="0" t="s">
        <v>30</v>
      </c>
      <c r="L5944" s="0" t="s">
        <v>31</v>
      </c>
      <c r="M5944" s="0" t="s">
        <v>167</v>
      </c>
      <c r="N5944" s="0" t="n">
        <v>1388</v>
      </c>
      <c r="O5944" s="10" t="n">
        <v>0.0862545853015035</v>
      </c>
      <c r="P5944" s="10" t="n">
        <v>0.434221804374829</v>
      </c>
      <c r="Q5944" s="0" t="str">
        <f aca="false">SUBSTITUTE(SUBSTITUTE($I5944,CHAR(61),""),CHAR(34),"")</f>
        <v>50+</v>
      </c>
      <c r="R5944" s="0" t="str">
        <f aca="false">IF($D5944&lt;&gt;"","["&amp;$E5944&amp;"]"&amp;"|"&amp;$Q5944&amp;"|"&amp;$K5944&amp;"|"&amp;$G5944&amp;"|"&amp;IF($G5944="TX_CURR_SUBNAT.R","CY2022Q4",$M5944),"")</f>
        <v>[ul0y9diGujK]|50+|Female|Incidence_SUBNAT.Rt.T|CY2024Q3</v>
      </c>
    </row>
    <row r="5945" customFormat="false" ht="15" hidden="false" customHeight="false" outlineLevel="0" collapsed="false">
      <c r="D5945" s="0" t="s">
        <v>108</v>
      </c>
      <c r="E5945" s="0" t="s">
        <v>109</v>
      </c>
      <c r="F5945" s="0" t="s">
        <v>110</v>
      </c>
      <c r="G5945" s="0" t="s">
        <v>169</v>
      </c>
      <c r="H5945" s="0" t="s">
        <v>169</v>
      </c>
      <c r="I5945" s="0" t="s">
        <v>28</v>
      </c>
      <c r="J5945" s="0" t="s">
        <v>29</v>
      </c>
      <c r="K5945" s="0" t="s">
        <v>48</v>
      </c>
      <c r="L5945" s="0" t="s">
        <v>49</v>
      </c>
      <c r="M5945" s="0" t="s">
        <v>167</v>
      </c>
      <c r="N5945" s="0" t="n">
        <v>1974</v>
      </c>
      <c r="O5945" s="10" t="n">
        <v>0.234689956298098</v>
      </c>
      <c r="P5945" s="10" t="n">
        <v>0.434221804374829</v>
      </c>
      <c r="Q5945" s="0" t="str">
        <f aca="false">SUBSTITUTE(SUBSTITUTE($I5945,CHAR(61),""),CHAR(34),"")</f>
        <v>&lt;01</v>
      </c>
      <c r="R5945" s="0" t="str">
        <f aca="false">IF($D5945&lt;&gt;"","["&amp;$E5945&amp;"]"&amp;"|"&amp;$Q5945&amp;"|"&amp;$K5945&amp;"|"&amp;$G5945&amp;"|"&amp;IF($G5945="TX_CURR_SUBNAT.R","CY2022Q4",$M5945),"")</f>
        <v>[ul0y9diGujK]|&lt;01|Male|Incidence_SUBNAT.Rt.T|CY2024Q3</v>
      </c>
    </row>
    <row r="5946" customFormat="false" ht="15" hidden="false" customHeight="false" outlineLevel="0" collapsed="false">
      <c r="D5946" s="0" t="s">
        <v>108</v>
      </c>
      <c r="E5946" s="0" t="s">
        <v>109</v>
      </c>
      <c r="F5946" s="0" t="s">
        <v>110</v>
      </c>
      <c r="G5946" s="0" t="s">
        <v>169</v>
      </c>
      <c r="H5946" s="0" t="s">
        <v>169</v>
      </c>
      <c r="I5946" s="0" t="s">
        <v>33</v>
      </c>
      <c r="J5946" s="0" t="s">
        <v>34</v>
      </c>
      <c r="K5946" s="0" t="s">
        <v>48</v>
      </c>
      <c r="L5946" s="0" t="s">
        <v>49</v>
      </c>
      <c r="M5946" s="0" t="s">
        <v>167</v>
      </c>
      <c r="N5946" s="0" t="n">
        <v>1769</v>
      </c>
      <c r="O5946" s="10" t="n">
        <v>0.847586022224277</v>
      </c>
      <c r="P5946" s="10" t="n">
        <v>0.434221804374829</v>
      </c>
      <c r="Q5946" s="0" t="str">
        <f aca="false">SUBSTITUTE(SUBSTITUTE($I5946,CHAR(61),""),CHAR(34),"")</f>
        <v>01-09</v>
      </c>
      <c r="R5946" s="0" t="str">
        <f aca="false">IF($D5946&lt;&gt;"","["&amp;$E5946&amp;"]"&amp;"|"&amp;$Q5946&amp;"|"&amp;$K5946&amp;"|"&amp;$G5946&amp;"|"&amp;IF($G5946="TX_CURR_SUBNAT.R","CY2022Q4",$M5946),"")</f>
        <v>[ul0y9diGujK]|01-09|Male|Incidence_SUBNAT.Rt.T|CY2024Q3</v>
      </c>
    </row>
    <row r="5947" customFormat="false" ht="15" hidden="false" customHeight="false" outlineLevel="0" collapsed="false">
      <c r="D5947" s="0" t="s">
        <v>108</v>
      </c>
      <c r="E5947" s="0" t="s">
        <v>109</v>
      </c>
      <c r="F5947" s="0" t="s">
        <v>110</v>
      </c>
      <c r="G5947" s="0" t="s">
        <v>169</v>
      </c>
      <c r="H5947" s="0" t="s">
        <v>169</v>
      </c>
      <c r="I5947" s="0" t="s">
        <v>36</v>
      </c>
      <c r="J5947" s="0" t="s">
        <v>37</v>
      </c>
      <c r="K5947" s="0" t="s">
        <v>48</v>
      </c>
      <c r="L5947" s="0" t="s">
        <v>49</v>
      </c>
      <c r="M5947" s="0" t="s">
        <v>167</v>
      </c>
      <c r="N5947" s="0" t="n">
        <v>1969</v>
      </c>
      <c r="O5947" s="10" t="n">
        <v>0.344585214043036</v>
      </c>
      <c r="P5947" s="10" t="n">
        <v>0.434221804374829</v>
      </c>
      <c r="Q5947" s="0" t="str">
        <f aca="false">SUBSTITUTE(SUBSTITUTE($I5947,CHAR(61),""),CHAR(34),"")</f>
        <v>10-14</v>
      </c>
      <c r="R5947" s="0" t="str">
        <f aca="false">IF($D5947&lt;&gt;"","["&amp;$E5947&amp;"]"&amp;"|"&amp;$Q5947&amp;"|"&amp;$K5947&amp;"|"&amp;$G5947&amp;"|"&amp;IF($G5947="TX_CURR_SUBNAT.R","CY2022Q4",$M5947),"")</f>
        <v>[ul0y9diGujK]|10-14|Male|Incidence_SUBNAT.Rt.T|CY2024Q3</v>
      </c>
    </row>
    <row r="5948" customFormat="false" ht="15" hidden="false" customHeight="false" outlineLevel="0" collapsed="false">
      <c r="D5948" s="0" t="s">
        <v>108</v>
      </c>
      <c r="E5948" s="0" t="s">
        <v>109</v>
      </c>
      <c r="F5948" s="0" t="s">
        <v>110</v>
      </c>
      <c r="G5948" s="0" t="s">
        <v>169</v>
      </c>
      <c r="H5948" s="0" t="s">
        <v>169</v>
      </c>
      <c r="I5948" s="0" t="s">
        <v>38</v>
      </c>
      <c r="J5948" s="0" t="s">
        <v>39</v>
      </c>
      <c r="K5948" s="0" t="s">
        <v>48</v>
      </c>
      <c r="L5948" s="0" t="s">
        <v>49</v>
      </c>
      <c r="M5948" s="0" t="s">
        <v>167</v>
      </c>
      <c r="N5948" s="0" t="n">
        <v>1074</v>
      </c>
      <c r="O5948" s="10" t="n">
        <v>0.505061778472736</v>
      </c>
      <c r="P5948" s="10" t="n">
        <v>0.434221804374829</v>
      </c>
      <c r="Q5948" s="0" t="str">
        <f aca="false">SUBSTITUTE(SUBSTITUTE($I5948,CHAR(61),""),CHAR(34),"")</f>
        <v>15-24</v>
      </c>
      <c r="R5948" s="0" t="str">
        <f aca="false">IF($D5948&lt;&gt;"","["&amp;$E5948&amp;"]"&amp;"|"&amp;$Q5948&amp;"|"&amp;$K5948&amp;"|"&amp;$G5948&amp;"|"&amp;IF($G5948="TX_CURR_SUBNAT.R","CY2022Q4",$M5948),"")</f>
        <v>[ul0y9diGujK]|15-24|Male|Incidence_SUBNAT.Rt.T|CY2024Q3</v>
      </c>
    </row>
    <row r="5949" customFormat="false" ht="15" hidden="false" customHeight="false" outlineLevel="0" collapsed="false">
      <c r="D5949" s="0" t="s">
        <v>108</v>
      </c>
      <c r="E5949" s="0" t="s">
        <v>109</v>
      </c>
      <c r="F5949" s="0" t="s">
        <v>110</v>
      </c>
      <c r="G5949" s="0" t="s">
        <v>169</v>
      </c>
      <c r="H5949" s="0" t="s">
        <v>169</v>
      </c>
      <c r="I5949" s="0" t="s">
        <v>41</v>
      </c>
      <c r="J5949" s="0" t="s">
        <v>42</v>
      </c>
      <c r="K5949" s="0" t="s">
        <v>48</v>
      </c>
      <c r="L5949" s="0" t="s">
        <v>49</v>
      </c>
      <c r="M5949" s="0" t="s">
        <v>167</v>
      </c>
      <c r="N5949" s="0" t="n">
        <v>1951</v>
      </c>
      <c r="O5949" s="10" t="n">
        <v>0.725924524478614</v>
      </c>
      <c r="P5949" s="10" t="n">
        <v>0.434221804374829</v>
      </c>
      <c r="Q5949" s="0" t="str">
        <f aca="false">SUBSTITUTE(SUBSTITUTE($I5949,CHAR(61),""),CHAR(34),"")</f>
        <v>25-34</v>
      </c>
      <c r="R5949" s="0" t="str">
        <f aca="false">IF($D5949&lt;&gt;"","["&amp;$E5949&amp;"]"&amp;"|"&amp;$Q5949&amp;"|"&amp;$K5949&amp;"|"&amp;$G5949&amp;"|"&amp;IF($G5949="TX_CURR_SUBNAT.R","CY2022Q4",$M5949),"")</f>
        <v>[ul0y9diGujK]|25-34|Male|Incidence_SUBNAT.Rt.T|CY2024Q3</v>
      </c>
    </row>
    <row r="5950" customFormat="false" ht="15" hidden="false" customHeight="false" outlineLevel="0" collapsed="false">
      <c r="D5950" s="0" t="s">
        <v>108</v>
      </c>
      <c r="E5950" s="0" t="s">
        <v>109</v>
      </c>
      <c r="F5950" s="0" t="s">
        <v>110</v>
      </c>
      <c r="G5950" s="0" t="s">
        <v>169</v>
      </c>
      <c r="H5950" s="0" t="s">
        <v>169</v>
      </c>
      <c r="I5950" s="0" t="s">
        <v>43</v>
      </c>
      <c r="J5950" s="0" t="s">
        <v>44</v>
      </c>
      <c r="K5950" s="0" t="s">
        <v>48</v>
      </c>
      <c r="L5950" s="0" t="s">
        <v>49</v>
      </c>
      <c r="M5950" s="0" t="s">
        <v>167</v>
      </c>
      <c r="N5950" s="0" t="n">
        <v>1347</v>
      </c>
      <c r="O5950" s="10" t="n">
        <v>0.433197423582897</v>
      </c>
      <c r="P5950" s="10" t="n">
        <v>0.434221804374829</v>
      </c>
      <c r="Q5950" s="0" t="str">
        <f aca="false">SUBSTITUTE(SUBSTITUTE($I5950,CHAR(61),""),CHAR(34),"")</f>
        <v>35-49</v>
      </c>
      <c r="R5950" s="0" t="str">
        <f aca="false">IF($D5950&lt;&gt;"","["&amp;$E5950&amp;"]"&amp;"|"&amp;$Q5950&amp;"|"&amp;$K5950&amp;"|"&amp;$G5950&amp;"|"&amp;IF($G5950="TX_CURR_SUBNAT.R","CY2022Q4",$M5950),"")</f>
        <v>[ul0y9diGujK]|35-49|Male|Incidence_SUBNAT.Rt.T|CY2024Q3</v>
      </c>
    </row>
    <row r="5951" customFormat="false" ht="15" hidden="false" customHeight="false" outlineLevel="0" collapsed="false">
      <c r="D5951" s="0" t="s">
        <v>108</v>
      </c>
      <c r="E5951" s="0" t="s">
        <v>109</v>
      </c>
      <c r="F5951" s="0" t="s">
        <v>110</v>
      </c>
      <c r="G5951" s="0" t="s">
        <v>169</v>
      </c>
      <c r="H5951" s="0" t="s">
        <v>169</v>
      </c>
      <c r="I5951" s="0" t="s">
        <v>45</v>
      </c>
      <c r="J5951" s="0" t="s">
        <v>46</v>
      </c>
      <c r="K5951" s="0" t="s">
        <v>48</v>
      </c>
      <c r="L5951" s="0" t="s">
        <v>49</v>
      </c>
      <c r="M5951" s="0" t="s">
        <v>167</v>
      </c>
      <c r="N5951" s="0" t="n">
        <v>1321</v>
      </c>
      <c r="O5951" s="10" t="n">
        <v>0.763958464143798</v>
      </c>
      <c r="P5951" s="10" t="n">
        <v>0.434221804374829</v>
      </c>
      <c r="Q5951" s="0" t="str">
        <f aca="false">SUBSTITUTE(SUBSTITUTE($I5951,CHAR(61),""),CHAR(34),"")</f>
        <v>50+</v>
      </c>
      <c r="R5951" s="0" t="str">
        <f aca="false">IF($D5951&lt;&gt;"","["&amp;$E5951&amp;"]"&amp;"|"&amp;$Q5951&amp;"|"&amp;$K5951&amp;"|"&amp;$G5951&amp;"|"&amp;IF($G5951="TX_CURR_SUBNAT.R","CY2022Q4",$M5951),"")</f>
        <v>[ul0y9diGujK]|50+|Male|Incidence_SUBNAT.Rt.T|CY2024Q3</v>
      </c>
    </row>
    <row r="5952" customFormat="false" ht="15" hidden="false" customHeight="false" outlineLevel="0" collapsed="false">
      <c r="D5952" s="0" t="s">
        <v>111</v>
      </c>
      <c r="E5952" s="0" t="s">
        <v>112</v>
      </c>
      <c r="F5952" s="0" t="s">
        <v>113</v>
      </c>
      <c r="G5952" s="0" t="s">
        <v>169</v>
      </c>
      <c r="H5952" s="0" t="s">
        <v>169</v>
      </c>
      <c r="I5952" s="0" t="s">
        <v>28</v>
      </c>
      <c r="J5952" s="0" t="s">
        <v>29</v>
      </c>
      <c r="K5952" s="0" t="s">
        <v>30</v>
      </c>
      <c r="L5952" s="0" t="s">
        <v>31</v>
      </c>
      <c r="M5952" s="0" t="s">
        <v>167</v>
      </c>
      <c r="N5952" s="0" t="n">
        <v>1331</v>
      </c>
      <c r="O5952" s="10" t="n">
        <v>0.408819026779383</v>
      </c>
      <c r="P5952" s="10" t="n">
        <v>0.337768794968724</v>
      </c>
      <c r="Q5952" s="0" t="str">
        <f aca="false">SUBSTITUTE(SUBSTITUTE($I5952,CHAR(61),""),CHAR(34),"")</f>
        <v>&lt;01</v>
      </c>
      <c r="R5952" s="0" t="str">
        <f aca="false">IF($D5952&lt;&gt;"","["&amp;$E5952&amp;"]"&amp;"|"&amp;$Q5952&amp;"|"&amp;$K5952&amp;"|"&amp;$G5952&amp;"|"&amp;IF($G5952="TX_CURR_SUBNAT.R","CY2022Q4",$M5952),"")</f>
        <v>[U8c0so51kT6]|&lt;01|Female|Incidence_SUBNAT.Rt.T|CY2024Q3</v>
      </c>
    </row>
    <row r="5953" customFormat="false" ht="15" hidden="false" customHeight="false" outlineLevel="0" collapsed="false">
      <c r="D5953" s="0" t="s">
        <v>111</v>
      </c>
      <c r="E5953" s="0" t="s">
        <v>112</v>
      </c>
      <c r="F5953" s="0" t="s">
        <v>113</v>
      </c>
      <c r="G5953" s="0" t="s">
        <v>169</v>
      </c>
      <c r="H5953" s="0" t="s">
        <v>169</v>
      </c>
      <c r="I5953" s="0" t="s">
        <v>33</v>
      </c>
      <c r="J5953" s="0" t="s">
        <v>34</v>
      </c>
      <c r="K5953" s="0" t="s">
        <v>30</v>
      </c>
      <c r="L5953" s="0" t="s">
        <v>31</v>
      </c>
      <c r="M5953" s="0" t="s">
        <v>167</v>
      </c>
      <c r="N5953" s="0" t="n">
        <v>864</v>
      </c>
      <c r="O5953" s="10" t="n">
        <v>0.195554780075327</v>
      </c>
      <c r="P5953" s="10" t="n">
        <v>0.337768794968724</v>
      </c>
      <c r="Q5953" s="0" t="str">
        <f aca="false">SUBSTITUTE(SUBSTITUTE($I5953,CHAR(61),""),CHAR(34),"")</f>
        <v>01-09</v>
      </c>
      <c r="R5953" s="0" t="str">
        <f aca="false">IF($D5953&lt;&gt;"","["&amp;$E5953&amp;"]"&amp;"|"&amp;$Q5953&amp;"|"&amp;$K5953&amp;"|"&amp;$G5953&amp;"|"&amp;IF($G5953="TX_CURR_SUBNAT.R","CY2022Q4",$M5953),"")</f>
        <v>[U8c0so51kT6]|01-09|Female|Incidence_SUBNAT.Rt.T|CY2024Q3</v>
      </c>
    </row>
    <row r="5954" customFormat="false" ht="15" hidden="false" customHeight="false" outlineLevel="0" collapsed="false">
      <c r="D5954" s="0" t="s">
        <v>111</v>
      </c>
      <c r="E5954" s="0" t="s">
        <v>112</v>
      </c>
      <c r="F5954" s="0" t="s">
        <v>113</v>
      </c>
      <c r="G5954" s="0" t="s">
        <v>169</v>
      </c>
      <c r="H5954" s="0" t="s">
        <v>169</v>
      </c>
      <c r="I5954" s="0" t="s">
        <v>36</v>
      </c>
      <c r="J5954" s="0" t="s">
        <v>37</v>
      </c>
      <c r="K5954" s="0" t="s">
        <v>30</v>
      </c>
      <c r="L5954" s="0" t="s">
        <v>31</v>
      </c>
      <c r="M5954" s="0" t="s">
        <v>167</v>
      </c>
      <c r="N5954" s="0" t="n">
        <v>1483</v>
      </c>
      <c r="O5954" s="10" t="n">
        <v>0.672018522862345</v>
      </c>
      <c r="P5954" s="10" t="n">
        <v>0.337768794968724</v>
      </c>
      <c r="Q5954" s="0" t="str">
        <f aca="false">SUBSTITUTE(SUBSTITUTE($I5954,CHAR(61),""),CHAR(34),"")</f>
        <v>10-14</v>
      </c>
      <c r="R5954" s="0" t="str">
        <f aca="false">IF($D5954&lt;&gt;"","["&amp;$E5954&amp;"]"&amp;"|"&amp;$Q5954&amp;"|"&amp;$K5954&amp;"|"&amp;$G5954&amp;"|"&amp;IF($G5954="TX_CURR_SUBNAT.R","CY2022Q4",$M5954),"")</f>
        <v>[U8c0so51kT6]|10-14|Female|Incidence_SUBNAT.Rt.T|CY2024Q3</v>
      </c>
    </row>
    <row r="5955" customFormat="false" ht="15" hidden="false" customHeight="false" outlineLevel="0" collapsed="false">
      <c r="D5955" s="0" t="s">
        <v>111</v>
      </c>
      <c r="E5955" s="0" t="s">
        <v>112</v>
      </c>
      <c r="F5955" s="0" t="s">
        <v>113</v>
      </c>
      <c r="G5955" s="0" t="s">
        <v>169</v>
      </c>
      <c r="H5955" s="0" t="s">
        <v>169</v>
      </c>
      <c r="I5955" s="0" t="s">
        <v>38</v>
      </c>
      <c r="J5955" s="0" t="s">
        <v>39</v>
      </c>
      <c r="K5955" s="0" t="s">
        <v>30</v>
      </c>
      <c r="L5955" s="0" t="s">
        <v>31</v>
      </c>
      <c r="M5955" s="0" t="s">
        <v>167</v>
      </c>
      <c r="N5955" s="0" t="n">
        <v>699</v>
      </c>
      <c r="O5955" s="10" t="n">
        <v>0.0167320887558162</v>
      </c>
      <c r="P5955" s="10" t="n">
        <v>0.337768794968724</v>
      </c>
      <c r="Q5955" s="0" t="str">
        <f aca="false">SUBSTITUTE(SUBSTITUTE($I5955,CHAR(61),""),CHAR(34),"")</f>
        <v>15-24</v>
      </c>
      <c r="R5955" s="0" t="str">
        <f aca="false">IF($D5955&lt;&gt;"","["&amp;$E5955&amp;"]"&amp;"|"&amp;$Q5955&amp;"|"&amp;$K5955&amp;"|"&amp;$G5955&amp;"|"&amp;IF($G5955="TX_CURR_SUBNAT.R","CY2022Q4",$M5955),"")</f>
        <v>[U8c0so51kT6]|15-24|Female|Incidence_SUBNAT.Rt.T|CY2024Q3</v>
      </c>
    </row>
    <row r="5956" customFormat="false" ht="15" hidden="false" customHeight="false" outlineLevel="0" collapsed="false">
      <c r="D5956" s="0" t="s">
        <v>111</v>
      </c>
      <c r="E5956" s="0" t="s">
        <v>112</v>
      </c>
      <c r="F5956" s="0" t="s">
        <v>113</v>
      </c>
      <c r="G5956" s="0" t="s">
        <v>169</v>
      </c>
      <c r="H5956" s="0" t="s">
        <v>169</v>
      </c>
      <c r="I5956" s="0" t="s">
        <v>41</v>
      </c>
      <c r="J5956" s="0" t="s">
        <v>42</v>
      </c>
      <c r="K5956" s="0" t="s">
        <v>30</v>
      </c>
      <c r="L5956" s="0" t="s">
        <v>31</v>
      </c>
      <c r="M5956" s="0" t="s">
        <v>167</v>
      </c>
      <c r="N5956" s="0" t="n">
        <v>1443</v>
      </c>
      <c r="O5956" s="10" t="n">
        <v>0.216139345895499</v>
      </c>
      <c r="P5956" s="10" t="n">
        <v>0.337768794968724</v>
      </c>
      <c r="Q5956" s="0" t="str">
        <f aca="false">SUBSTITUTE(SUBSTITUTE($I5956,CHAR(61),""),CHAR(34),"")</f>
        <v>25-34</v>
      </c>
      <c r="R5956" s="0" t="str">
        <f aca="false">IF($D5956&lt;&gt;"","["&amp;$E5956&amp;"]"&amp;"|"&amp;$Q5956&amp;"|"&amp;$K5956&amp;"|"&amp;$G5956&amp;"|"&amp;IF($G5956="TX_CURR_SUBNAT.R","CY2022Q4",$M5956),"")</f>
        <v>[U8c0so51kT6]|25-34|Female|Incidence_SUBNAT.Rt.T|CY2024Q3</v>
      </c>
    </row>
    <row r="5957" customFormat="false" ht="15" hidden="false" customHeight="false" outlineLevel="0" collapsed="false">
      <c r="D5957" s="0" t="s">
        <v>111</v>
      </c>
      <c r="E5957" s="0" t="s">
        <v>112</v>
      </c>
      <c r="F5957" s="0" t="s">
        <v>113</v>
      </c>
      <c r="G5957" s="0" t="s">
        <v>169</v>
      </c>
      <c r="H5957" s="0" t="s">
        <v>169</v>
      </c>
      <c r="I5957" s="0" t="s">
        <v>43</v>
      </c>
      <c r="J5957" s="0" t="s">
        <v>44</v>
      </c>
      <c r="K5957" s="0" t="s">
        <v>30</v>
      </c>
      <c r="L5957" s="0" t="s">
        <v>31</v>
      </c>
      <c r="M5957" s="0" t="s">
        <v>167</v>
      </c>
      <c r="N5957" s="0" t="n">
        <v>566</v>
      </c>
      <c r="O5957" s="10" t="n">
        <v>0.578019666485488</v>
      </c>
      <c r="P5957" s="10" t="n">
        <v>0.337768794968724</v>
      </c>
      <c r="Q5957" s="0" t="str">
        <f aca="false">SUBSTITUTE(SUBSTITUTE($I5957,CHAR(61),""),CHAR(34),"")</f>
        <v>35-49</v>
      </c>
      <c r="R5957" s="0" t="str">
        <f aca="false">IF($D5957&lt;&gt;"","["&amp;$E5957&amp;"]"&amp;"|"&amp;$Q5957&amp;"|"&amp;$K5957&amp;"|"&amp;$G5957&amp;"|"&amp;IF($G5957="TX_CURR_SUBNAT.R","CY2022Q4",$M5957),"")</f>
        <v>[U8c0so51kT6]|35-49|Female|Incidence_SUBNAT.Rt.T|CY2024Q3</v>
      </c>
    </row>
    <row r="5958" customFormat="false" ht="15" hidden="false" customHeight="false" outlineLevel="0" collapsed="false">
      <c r="D5958" s="0" t="s">
        <v>111</v>
      </c>
      <c r="E5958" s="0" t="s">
        <v>112</v>
      </c>
      <c r="F5958" s="0" t="s">
        <v>113</v>
      </c>
      <c r="G5958" s="0" t="s">
        <v>169</v>
      </c>
      <c r="H5958" s="0" t="s">
        <v>169</v>
      </c>
      <c r="I5958" s="0" t="s">
        <v>45</v>
      </c>
      <c r="J5958" s="0" t="s">
        <v>46</v>
      </c>
      <c r="K5958" s="0" t="s">
        <v>30</v>
      </c>
      <c r="L5958" s="0" t="s">
        <v>31</v>
      </c>
      <c r="M5958" s="0" t="s">
        <v>167</v>
      </c>
      <c r="N5958" s="0" t="n">
        <v>1492</v>
      </c>
      <c r="O5958" s="10" t="n">
        <v>0.479696891270578</v>
      </c>
      <c r="P5958" s="10" t="n">
        <v>0.337768794968724</v>
      </c>
      <c r="Q5958" s="0" t="str">
        <f aca="false">SUBSTITUTE(SUBSTITUTE($I5958,CHAR(61),""),CHAR(34),"")</f>
        <v>50+</v>
      </c>
      <c r="R5958" s="0" t="str">
        <f aca="false">IF($D5958&lt;&gt;"","["&amp;$E5958&amp;"]"&amp;"|"&amp;$Q5958&amp;"|"&amp;$K5958&amp;"|"&amp;$G5958&amp;"|"&amp;IF($G5958="TX_CURR_SUBNAT.R","CY2022Q4",$M5958),"")</f>
        <v>[U8c0so51kT6]|50+|Female|Incidence_SUBNAT.Rt.T|CY2024Q3</v>
      </c>
    </row>
    <row r="5959" customFormat="false" ht="15" hidden="false" customHeight="false" outlineLevel="0" collapsed="false">
      <c r="D5959" s="0" t="s">
        <v>111</v>
      </c>
      <c r="E5959" s="0" t="s">
        <v>112</v>
      </c>
      <c r="F5959" s="0" t="s">
        <v>113</v>
      </c>
      <c r="G5959" s="0" t="s">
        <v>169</v>
      </c>
      <c r="H5959" s="0" t="s">
        <v>169</v>
      </c>
      <c r="I5959" s="0" t="s">
        <v>28</v>
      </c>
      <c r="J5959" s="0" t="s">
        <v>29</v>
      </c>
      <c r="K5959" s="0" t="s">
        <v>48</v>
      </c>
      <c r="L5959" s="0" t="s">
        <v>49</v>
      </c>
      <c r="M5959" s="0" t="s">
        <v>167</v>
      </c>
      <c r="N5959" s="0" t="n">
        <v>1745</v>
      </c>
      <c r="O5959" s="10" t="n">
        <v>0.448370984988287</v>
      </c>
      <c r="P5959" s="10" t="n">
        <v>0.337768794968724</v>
      </c>
      <c r="Q5959" s="0" t="str">
        <f aca="false">SUBSTITUTE(SUBSTITUTE($I5959,CHAR(61),""),CHAR(34),"")</f>
        <v>&lt;01</v>
      </c>
      <c r="R5959" s="0" t="str">
        <f aca="false">IF($D5959&lt;&gt;"","["&amp;$E5959&amp;"]"&amp;"|"&amp;$Q5959&amp;"|"&amp;$K5959&amp;"|"&amp;$G5959&amp;"|"&amp;IF($G5959="TX_CURR_SUBNAT.R","CY2022Q4",$M5959),"")</f>
        <v>[U8c0so51kT6]|&lt;01|Male|Incidence_SUBNAT.Rt.T|CY2024Q3</v>
      </c>
    </row>
    <row r="5960" customFormat="false" ht="15" hidden="false" customHeight="false" outlineLevel="0" collapsed="false">
      <c r="D5960" s="0" t="s">
        <v>111</v>
      </c>
      <c r="E5960" s="0" t="s">
        <v>112</v>
      </c>
      <c r="F5960" s="0" t="s">
        <v>113</v>
      </c>
      <c r="G5960" s="0" t="s">
        <v>169</v>
      </c>
      <c r="H5960" s="0" t="s">
        <v>169</v>
      </c>
      <c r="I5960" s="0" t="s">
        <v>33</v>
      </c>
      <c r="J5960" s="0" t="s">
        <v>34</v>
      </c>
      <c r="K5960" s="0" t="s">
        <v>48</v>
      </c>
      <c r="L5960" s="0" t="s">
        <v>49</v>
      </c>
      <c r="M5960" s="0" t="s">
        <v>167</v>
      </c>
      <c r="N5960" s="0" t="n">
        <v>995</v>
      </c>
      <c r="O5960" s="10" t="n">
        <v>0.0893224498722702</v>
      </c>
      <c r="P5960" s="10" t="n">
        <v>0.337768794968724</v>
      </c>
      <c r="Q5960" s="0" t="str">
        <f aca="false">SUBSTITUTE(SUBSTITUTE($I5960,CHAR(61),""),CHAR(34),"")</f>
        <v>01-09</v>
      </c>
      <c r="R5960" s="0" t="str">
        <f aca="false">IF($D5960&lt;&gt;"","["&amp;$E5960&amp;"]"&amp;"|"&amp;$Q5960&amp;"|"&amp;$K5960&amp;"|"&amp;$G5960&amp;"|"&amp;IF($G5960="TX_CURR_SUBNAT.R","CY2022Q4",$M5960),"")</f>
        <v>[U8c0so51kT6]|01-09|Male|Incidence_SUBNAT.Rt.T|CY2024Q3</v>
      </c>
    </row>
    <row r="5961" customFormat="false" ht="15" hidden="false" customHeight="false" outlineLevel="0" collapsed="false">
      <c r="D5961" s="0" t="s">
        <v>111</v>
      </c>
      <c r="E5961" s="0" t="s">
        <v>112</v>
      </c>
      <c r="F5961" s="0" t="s">
        <v>113</v>
      </c>
      <c r="G5961" s="0" t="s">
        <v>169</v>
      </c>
      <c r="H5961" s="0" t="s">
        <v>169</v>
      </c>
      <c r="I5961" s="0" t="s">
        <v>36</v>
      </c>
      <c r="J5961" s="0" t="s">
        <v>37</v>
      </c>
      <c r="K5961" s="0" t="s">
        <v>48</v>
      </c>
      <c r="L5961" s="0" t="s">
        <v>49</v>
      </c>
      <c r="M5961" s="0" t="s">
        <v>167</v>
      </c>
      <c r="N5961" s="0" t="n">
        <v>1566</v>
      </c>
      <c r="O5961" s="10" t="n">
        <v>0.925287585239857</v>
      </c>
      <c r="P5961" s="10" t="n">
        <v>0.337768794968724</v>
      </c>
      <c r="Q5961" s="0" t="str">
        <f aca="false">SUBSTITUTE(SUBSTITUTE($I5961,CHAR(61),""),CHAR(34),"")</f>
        <v>10-14</v>
      </c>
      <c r="R5961" s="0" t="str">
        <f aca="false">IF($D5961&lt;&gt;"","["&amp;$E5961&amp;"]"&amp;"|"&amp;$Q5961&amp;"|"&amp;$K5961&amp;"|"&amp;$G5961&amp;"|"&amp;IF($G5961="TX_CURR_SUBNAT.R","CY2022Q4",$M5961),"")</f>
        <v>[U8c0so51kT6]|10-14|Male|Incidence_SUBNAT.Rt.T|CY2024Q3</v>
      </c>
    </row>
    <row r="5962" customFormat="false" ht="15" hidden="false" customHeight="false" outlineLevel="0" collapsed="false">
      <c r="D5962" s="0" t="s">
        <v>111</v>
      </c>
      <c r="E5962" s="0" t="s">
        <v>112</v>
      </c>
      <c r="F5962" s="0" t="s">
        <v>113</v>
      </c>
      <c r="G5962" s="0" t="s">
        <v>169</v>
      </c>
      <c r="H5962" s="0" t="s">
        <v>169</v>
      </c>
      <c r="I5962" s="0" t="s">
        <v>38</v>
      </c>
      <c r="J5962" s="0" t="s">
        <v>39</v>
      </c>
      <c r="K5962" s="0" t="s">
        <v>48</v>
      </c>
      <c r="L5962" s="0" t="s">
        <v>49</v>
      </c>
      <c r="M5962" s="0" t="s">
        <v>167</v>
      </c>
      <c r="N5962" s="0" t="n">
        <v>1561</v>
      </c>
      <c r="O5962" s="10" t="n">
        <v>0.972543444251642</v>
      </c>
      <c r="P5962" s="10" t="n">
        <v>0.337768794968724</v>
      </c>
      <c r="Q5962" s="0" t="str">
        <f aca="false">SUBSTITUTE(SUBSTITUTE($I5962,CHAR(61),""),CHAR(34),"")</f>
        <v>15-24</v>
      </c>
      <c r="R5962" s="0" t="str">
        <f aca="false">IF($D5962&lt;&gt;"","["&amp;$E5962&amp;"]"&amp;"|"&amp;$Q5962&amp;"|"&amp;$K5962&amp;"|"&amp;$G5962&amp;"|"&amp;IF($G5962="TX_CURR_SUBNAT.R","CY2022Q4",$M5962),"")</f>
        <v>[U8c0so51kT6]|15-24|Male|Incidence_SUBNAT.Rt.T|CY2024Q3</v>
      </c>
    </row>
    <row r="5963" customFormat="false" ht="15" hidden="false" customHeight="false" outlineLevel="0" collapsed="false">
      <c r="D5963" s="0" t="s">
        <v>111</v>
      </c>
      <c r="E5963" s="0" t="s">
        <v>112</v>
      </c>
      <c r="F5963" s="0" t="s">
        <v>113</v>
      </c>
      <c r="G5963" s="0" t="s">
        <v>169</v>
      </c>
      <c r="H5963" s="0" t="s">
        <v>169</v>
      </c>
      <c r="I5963" s="0" t="s">
        <v>41</v>
      </c>
      <c r="J5963" s="0" t="s">
        <v>42</v>
      </c>
      <c r="K5963" s="0" t="s">
        <v>48</v>
      </c>
      <c r="L5963" s="0" t="s">
        <v>49</v>
      </c>
      <c r="M5963" s="0" t="s">
        <v>167</v>
      </c>
      <c r="N5963" s="0" t="n">
        <v>1182</v>
      </c>
      <c r="O5963" s="10" t="n">
        <v>0.478311448823661</v>
      </c>
      <c r="P5963" s="10" t="n">
        <v>0.337768794968724</v>
      </c>
      <c r="Q5963" s="0" t="str">
        <f aca="false">SUBSTITUTE(SUBSTITUTE($I5963,CHAR(61),""),CHAR(34),"")</f>
        <v>25-34</v>
      </c>
      <c r="R5963" s="0" t="str">
        <f aca="false">IF($D5963&lt;&gt;"","["&amp;$E5963&amp;"]"&amp;"|"&amp;$Q5963&amp;"|"&amp;$K5963&amp;"|"&amp;$G5963&amp;"|"&amp;IF($G5963="TX_CURR_SUBNAT.R","CY2022Q4",$M5963),"")</f>
        <v>[U8c0so51kT6]|25-34|Male|Incidence_SUBNAT.Rt.T|CY2024Q3</v>
      </c>
    </row>
    <row r="5964" customFormat="false" ht="15" hidden="false" customHeight="false" outlineLevel="0" collapsed="false">
      <c r="D5964" s="0" t="s">
        <v>111</v>
      </c>
      <c r="E5964" s="0" t="s">
        <v>112</v>
      </c>
      <c r="F5964" s="0" t="s">
        <v>113</v>
      </c>
      <c r="G5964" s="0" t="s">
        <v>169</v>
      </c>
      <c r="H5964" s="0" t="s">
        <v>169</v>
      </c>
      <c r="I5964" s="0" t="s">
        <v>43</v>
      </c>
      <c r="J5964" s="0" t="s">
        <v>44</v>
      </c>
      <c r="K5964" s="0" t="s">
        <v>48</v>
      </c>
      <c r="L5964" s="0" t="s">
        <v>49</v>
      </c>
      <c r="M5964" s="0" t="s">
        <v>167</v>
      </c>
      <c r="N5964" s="0" t="n">
        <v>691</v>
      </c>
      <c r="O5964" s="10" t="n">
        <v>0.773514973931015</v>
      </c>
      <c r="P5964" s="10" t="n">
        <v>0.337768794968724</v>
      </c>
      <c r="Q5964" s="0" t="str">
        <f aca="false">SUBSTITUTE(SUBSTITUTE($I5964,CHAR(61),""),CHAR(34),"")</f>
        <v>35-49</v>
      </c>
      <c r="R5964" s="0" t="str">
        <f aca="false">IF($D5964&lt;&gt;"","["&amp;$E5964&amp;"]"&amp;"|"&amp;$Q5964&amp;"|"&amp;$K5964&amp;"|"&amp;$G5964&amp;"|"&amp;IF($G5964="TX_CURR_SUBNAT.R","CY2022Q4",$M5964),"")</f>
        <v>[U8c0so51kT6]|35-49|Male|Incidence_SUBNAT.Rt.T|CY2024Q3</v>
      </c>
    </row>
    <row r="5965" customFormat="false" ht="15" hidden="false" customHeight="false" outlineLevel="0" collapsed="false">
      <c r="D5965" s="0" t="s">
        <v>111</v>
      </c>
      <c r="E5965" s="0" t="s">
        <v>112</v>
      </c>
      <c r="F5965" s="0" t="s">
        <v>113</v>
      </c>
      <c r="G5965" s="0" t="s">
        <v>169</v>
      </c>
      <c r="H5965" s="0" t="s">
        <v>169</v>
      </c>
      <c r="I5965" s="0" t="s">
        <v>45</v>
      </c>
      <c r="J5965" s="0" t="s">
        <v>46</v>
      </c>
      <c r="K5965" s="0" t="s">
        <v>48</v>
      </c>
      <c r="L5965" s="0" t="s">
        <v>49</v>
      </c>
      <c r="M5965" s="0" t="s">
        <v>167</v>
      </c>
      <c r="N5965" s="0" t="n">
        <v>1518</v>
      </c>
      <c r="O5965" s="10" t="n">
        <v>0.0175749990157783</v>
      </c>
      <c r="P5965" s="10" t="n">
        <v>0.337768794968724</v>
      </c>
      <c r="Q5965" s="0" t="str">
        <f aca="false">SUBSTITUTE(SUBSTITUTE($I5965,CHAR(61),""),CHAR(34),"")</f>
        <v>50+</v>
      </c>
      <c r="R5965" s="0" t="str">
        <f aca="false">IF($D5965&lt;&gt;"","["&amp;$E5965&amp;"]"&amp;"|"&amp;$Q5965&amp;"|"&amp;$K5965&amp;"|"&amp;$G5965&amp;"|"&amp;IF($G5965="TX_CURR_SUBNAT.R","CY2022Q4",$M5965),"")</f>
        <v>[U8c0so51kT6]|50+|Male|Incidence_SUBNAT.Rt.T|CY2024Q3</v>
      </c>
    </row>
    <row r="5966" customFormat="false" ht="15" hidden="false" customHeight="false" outlineLevel="0" collapsed="false">
      <c r="D5966" s="0" t="s">
        <v>114</v>
      </c>
      <c r="E5966" s="0" t="s">
        <v>115</v>
      </c>
      <c r="F5966" s="0" t="s">
        <v>116</v>
      </c>
      <c r="G5966" s="0" t="s">
        <v>169</v>
      </c>
      <c r="H5966" s="0" t="s">
        <v>169</v>
      </c>
      <c r="I5966" s="0" t="s">
        <v>28</v>
      </c>
      <c r="J5966" s="0" t="s">
        <v>29</v>
      </c>
      <c r="K5966" s="0" t="s">
        <v>30</v>
      </c>
      <c r="L5966" s="0" t="s">
        <v>31</v>
      </c>
      <c r="M5966" s="0" t="s">
        <v>167</v>
      </c>
      <c r="N5966" s="0" t="n">
        <v>1473</v>
      </c>
      <c r="O5966" s="10" t="n">
        <v>0.0542518894653767</v>
      </c>
      <c r="P5966" s="10" t="n">
        <v>0.298559809103608</v>
      </c>
      <c r="Q5966" s="0" t="str">
        <f aca="false">SUBSTITUTE(SUBSTITUTE($I5966,CHAR(61),""),CHAR(34),"")</f>
        <v>&lt;01</v>
      </c>
      <c r="R5966" s="0" t="str">
        <f aca="false">IF($D5966&lt;&gt;"","["&amp;$E5966&amp;"]"&amp;"|"&amp;$Q5966&amp;"|"&amp;$K5966&amp;"|"&amp;$G5966&amp;"|"&amp;IF($G5966="TX_CURR_SUBNAT.R","CY2022Q4",$M5966),"")</f>
        <v>[rpw540fmNUz]|&lt;01|Female|Incidence_SUBNAT.Rt.T|CY2024Q3</v>
      </c>
    </row>
    <row r="5967" customFormat="false" ht="15" hidden="false" customHeight="false" outlineLevel="0" collapsed="false">
      <c r="D5967" s="0" t="s">
        <v>114</v>
      </c>
      <c r="E5967" s="0" t="s">
        <v>115</v>
      </c>
      <c r="F5967" s="0" t="s">
        <v>116</v>
      </c>
      <c r="G5967" s="0" t="s">
        <v>169</v>
      </c>
      <c r="H5967" s="0" t="s">
        <v>169</v>
      </c>
      <c r="I5967" s="0" t="s">
        <v>33</v>
      </c>
      <c r="J5967" s="0" t="s">
        <v>34</v>
      </c>
      <c r="K5967" s="0" t="s">
        <v>30</v>
      </c>
      <c r="L5967" s="0" t="s">
        <v>31</v>
      </c>
      <c r="M5967" s="0" t="s">
        <v>167</v>
      </c>
      <c r="N5967" s="0" t="n">
        <v>1298</v>
      </c>
      <c r="O5967" s="10" t="n">
        <v>0.636739633744583</v>
      </c>
      <c r="P5967" s="10" t="n">
        <v>0.298559809103608</v>
      </c>
      <c r="Q5967" s="0" t="str">
        <f aca="false">SUBSTITUTE(SUBSTITUTE($I5967,CHAR(61),""),CHAR(34),"")</f>
        <v>01-09</v>
      </c>
      <c r="R5967" s="0" t="str">
        <f aca="false">IF($D5967&lt;&gt;"","["&amp;$E5967&amp;"]"&amp;"|"&amp;$Q5967&amp;"|"&amp;$K5967&amp;"|"&amp;$G5967&amp;"|"&amp;IF($G5967="TX_CURR_SUBNAT.R","CY2022Q4",$M5967),"")</f>
        <v>[rpw540fmNUz]|01-09|Female|Incidence_SUBNAT.Rt.T|CY2024Q3</v>
      </c>
    </row>
    <row r="5968" customFormat="false" ht="15" hidden="false" customHeight="false" outlineLevel="0" collapsed="false">
      <c r="D5968" s="0" t="s">
        <v>114</v>
      </c>
      <c r="E5968" s="0" t="s">
        <v>115</v>
      </c>
      <c r="F5968" s="0" t="s">
        <v>116</v>
      </c>
      <c r="G5968" s="0" t="s">
        <v>169</v>
      </c>
      <c r="H5968" s="0" t="s">
        <v>169</v>
      </c>
      <c r="I5968" s="0" t="s">
        <v>36</v>
      </c>
      <c r="J5968" s="0" t="s">
        <v>37</v>
      </c>
      <c r="K5968" s="0" t="s">
        <v>30</v>
      </c>
      <c r="L5968" s="0" t="s">
        <v>31</v>
      </c>
      <c r="M5968" s="0" t="s">
        <v>167</v>
      </c>
      <c r="N5968" s="0" t="n">
        <v>1825</v>
      </c>
      <c r="O5968" s="10" t="n">
        <v>0.394346424844116</v>
      </c>
      <c r="P5968" s="10" t="n">
        <v>0.298559809103608</v>
      </c>
      <c r="Q5968" s="0" t="str">
        <f aca="false">SUBSTITUTE(SUBSTITUTE($I5968,CHAR(61),""),CHAR(34),"")</f>
        <v>10-14</v>
      </c>
      <c r="R5968" s="0" t="str">
        <f aca="false">IF($D5968&lt;&gt;"","["&amp;$E5968&amp;"]"&amp;"|"&amp;$Q5968&amp;"|"&amp;$K5968&amp;"|"&amp;$G5968&amp;"|"&amp;IF($G5968="TX_CURR_SUBNAT.R","CY2022Q4",$M5968),"")</f>
        <v>[rpw540fmNUz]|10-14|Female|Incidence_SUBNAT.Rt.T|CY2024Q3</v>
      </c>
    </row>
    <row r="5969" customFormat="false" ht="15" hidden="false" customHeight="false" outlineLevel="0" collapsed="false">
      <c r="D5969" s="0" t="s">
        <v>114</v>
      </c>
      <c r="E5969" s="0" t="s">
        <v>115</v>
      </c>
      <c r="F5969" s="0" t="s">
        <v>116</v>
      </c>
      <c r="G5969" s="0" t="s">
        <v>169</v>
      </c>
      <c r="H5969" s="0" t="s">
        <v>169</v>
      </c>
      <c r="I5969" s="0" t="s">
        <v>38</v>
      </c>
      <c r="J5969" s="0" t="s">
        <v>39</v>
      </c>
      <c r="K5969" s="0" t="s">
        <v>30</v>
      </c>
      <c r="L5969" s="0" t="s">
        <v>31</v>
      </c>
      <c r="M5969" s="0" t="s">
        <v>167</v>
      </c>
      <c r="N5969" s="0" t="n">
        <v>1392</v>
      </c>
      <c r="O5969" s="10" t="n">
        <v>0.729055518517271</v>
      </c>
      <c r="P5969" s="10" t="n">
        <v>0.298559809103608</v>
      </c>
      <c r="Q5969" s="0" t="str">
        <f aca="false">SUBSTITUTE(SUBSTITUTE($I5969,CHAR(61),""),CHAR(34),"")</f>
        <v>15-24</v>
      </c>
      <c r="R5969" s="0" t="str">
        <f aca="false">IF($D5969&lt;&gt;"","["&amp;$E5969&amp;"]"&amp;"|"&amp;$Q5969&amp;"|"&amp;$K5969&amp;"|"&amp;$G5969&amp;"|"&amp;IF($G5969="TX_CURR_SUBNAT.R","CY2022Q4",$M5969),"")</f>
        <v>[rpw540fmNUz]|15-24|Female|Incidence_SUBNAT.Rt.T|CY2024Q3</v>
      </c>
    </row>
    <row r="5970" customFormat="false" ht="15" hidden="false" customHeight="false" outlineLevel="0" collapsed="false">
      <c r="D5970" s="0" t="s">
        <v>114</v>
      </c>
      <c r="E5970" s="0" t="s">
        <v>115</v>
      </c>
      <c r="F5970" s="0" t="s">
        <v>116</v>
      </c>
      <c r="G5970" s="0" t="s">
        <v>169</v>
      </c>
      <c r="H5970" s="0" t="s">
        <v>169</v>
      </c>
      <c r="I5970" s="0" t="s">
        <v>41</v>
      </c>
      <c r="J5970" s="0" t="s">
        <v>42</v>
      </c>
      <c r="K5970" s="0" t="s">
        <v>30</v>
      </c>
      <c r="L5970" s="0" t="s">
        <v>31</v>
      </c>
      <c r="M5970" s="0" t="s">
        <v>167</v>
      </c>
      <c r="N5970" s="0" t="n">
        <v>1840</v>
      </c>
      <c r="O5970" s="10" t="n">
        <v>0.309933371841908</v>
      </c>
      <c r="P5970" s="10" t="n">
        <v>0.298559809103608</v>
      </c>
      <c r="Q5970" s="0" t="str">
        <f aca="false">SUBSTITUTE(SUBSTITUTE($I5970,CHAR(61),""),CHAR(34),"")</f>
        <v>25-34</v>
      </c>
      <c r="R5970" s="0" t="str">
        <f aca="false">IF($D5970&lt;&gt;"","["&amp;$E5970&amp;"]"&amp;"|"&amp;$Q5970&amp;"|"&amp;$K5970&amp;"|"&amp;$G5970&amp;"|"&amp;IF($G5970="TX_CURR_SUBNAT.R","CY2022Q4",$M5970),"")</f>
        <v>[rpw540fmNUz]|25-34|Female|Incidence_SUBNAT.Rt.T|CY2024Q3</v>
      </c>
    </row>
    <row r="5971" customFormat="false" ht="15" hidden="false" customHeight="false" outlineLevel="0" collapsed="false">
      <c r="D5971" s="0" t="s">
        <v>114</v>
      </c>
      <c r="E5971" s="0" t="s">
        <v>115</v>
      </c>
      <c r="F5971" s="0" t="s">
        <v>116</v>
      </c>
      <c r="G5971" s="0" t="s">
        <v>169</v>
      </c>
      <c r="H5971" s="0" t="s">
        <v>169</v>
      </c>
      <c r="I5971" s="0" t="s">
        <v>43</v>
      </c>
      <c r="J5971" s="0" t="s">
        <v>44</v>
      </c>
      <c r="K5971" s="0" t="s">
        <v>30</v>
      </c>
      <c r="L5971" s="0" t="s">
        <v>31</v>
      </c>
      <c r="M5971" s="0" t="s">
        <v>167</v>
      </c>
      <c r="N5971" s="0" t="n">
        <v>1412</v>
      </c>
      <c r="O5971" s="10" t="n">
        <v>0.493269045371562</v>
      </c>
      <c r="P5971" s="10" t="n">
        <v>0.298559809103608</v>
      </c>
      <c r="Q5971" s="0" t="str">
        <f aca="false">SUBSTITUTE(SUBSTITUTE($I5971,CHAR(61),""),CHAR(34),"")</f>
        <v>35-49</v>
      </c>
      <c r="R5971" s="0" t="str">
        <f aca="false">IF($D5971&lt;&gt;"","["&amp;$E5971&amp;"]"&amp;"|"&amp;$Q5971&amp;"|"&amp;$K5971&amp;"|"&amp;$G5971&amp;"|"&amp;IF($G5971="TX_CURR_SUBNAT.R","CY2022Q4",$M5971),"")</f>
        <v>[rpw540fmNUz]|35-49|Female|Incidence_SUBNAT.Rt.T|CY2024Q3</v>
      </c>
    </row>
    <row r="5972" customFormat="false" ht="15" hidden="false" customHeight="false" outlineLevel="0" collapsed="false">
      <c r="D5972" s="0" t="s">
        <v>114</v>
      </c>
      <c r="E5972" s="0" t="s">
        <v>115</v>
      </c>
      <c r="F5972" s="0" t="s">
        <v>116</v>
      </c>
      <c r="G5972" s="0" t="s">
        <v>169</v>
      </c>
      <c r="H5972" s="0" t="s">
        <v>169</v>
      </c>
      <c r="I5972" s="0" t="s">
        <v>45</v>
      </c>
      <c r="J5972" s="0" t="s">
        <v>46</v>
      </c>
      <c r="K5972" s="0" t="s">
        <v>30</v>
      </c>
      <c r="L5972" s="0" t="s">
        <v>31</v>
      </c>
      <c r="M5972" s="0" t="s">
        <v>167</v>
      </c>
      <c r="N5972" s="0" t="n">
        <v>1252</v>
      </c>
      <c r="O5972" s="10" t="n">
        <v>0.160689644049853</v>
      </c>
      <c r="P5972" s="10" t="n">
        <v>0.298559809103608</v>
      </c>
      <c r="Q5972" s="0" t="str">
        <f aca="false">SUBSTITUTE(SUBSTITUTE($I5972,CHAR(61),""),CHAR(34),"")</f>
        <v>50+</v>
      </c>
      <c r="R5972" s="0" t="str">
        <f aca="false">IF($D5972&lt;&gt;"","["&amp;$E5972&amp;"]"&amp;"|"&amp;$Q5972&amp;"|"&amp;$K5972&amp;"|"&amp;$G5972&amp;"|"&amp;IF($G5972="TX_CURR_SUBNAT.R","CY2022Q4",$M5972),"")</f>
        <v>[rpw540fmNUz]|50+|Female|Incidence_SUBNAT.Rt.T|CY2024Q3</v>
      </c>
    </row>
    <row r="5973" customFormat="false" ht="15" hidden="false" customHeight="false" outlineLevel="0" collapsed="false">
      <c r="D5973" s="0" t="s">
        <v>114</v>
      </c>
      <c r="E5973" s="0" t="s">
        <v>115</v>
      </c>
      <c r="F5973" s="0" t="s">
        <v>116</v>
      </c>
      <c r="G5973" s="0" t="s">
        <v>169</v>
      </c>
      <c r="H5973" s="0" t="s">
        <v>169</v>
      </c>
      <c r="I5973" s="0" t="s">
        <v>28</v>
      </c>
      <c r="J5973" s="0" t="s">
        <v>29</v>
      </c>
      <c r="K5973" s="0" t="s">
        <v>48</v>
      </c>
      <c r="L5973" s="0" t="s">
        <v>49</v>
      </c>
      <c r="M5973" s="0" t="s">
        <v>167</v>
      </c>
      <c r="N5973" s="0" t="n">
        <v>901</v>
      </c>
      <c r="O5973" s="10" t="n">
        <v>0.872654898557812</v>
      </c>
      <c r="P5973" s="10" t="n">
        <v>0.298559809103608</v>
      </c>
      <c r="Q5973" s="0" t="str">
        <f aca="false">SUBSTITUTE(SUBSTITUTE($I5973,CHAR(61),""),CHAR(34),"")</f>
        <v>&lt;01</v>
      </c>
      <c r="R5973" s="0" t="str">
        <f aca="false">IF($D5973&lt;&gt;"","["&amp;$E5973&amp;"]"&amp;"|"&amp;$Q5973&amp;"|"&amp;$K5973&amp;"|"&amp;$G5973&amp;"|"&amp;IF($G5973="TX_CURR_SUBNAT.R","CY2022Q4",$M5973),"")</f>
        <v>[rpw540fmNUz]|&lt;01|Male|Incidence_SUBNAT.Rt.T|CY2024Q3</v>
      </c>
    </row>
    <row r="5974" customFormat="false" ht="15" hidden="false" customHeight="false" outlineLevel="0" collapsed="false">
      <c r="D5974" s="0" t="s">
        <v>114</v>
      </c>
      <c r="E5974" s="0" t="s">
        <v>115</v>
      </c>
      <c r="F5974" s="0" t="s">
        <v>116</v>
      </c>
      <c r="G5974" s="0" t="s">
        <v>169</v>
      </c>
      <c r="H5974" s="0" t="s">
        <v>169</v>
      </c>
      <c r="I5974" s="0" t="s">
        <v>33</v>
      </c>
      <c r="J5974" s="0" t="s">
        <v>34</v>
      </c>
      <c r="K5974" s="0" t="s">
        <v>48</v>
      </c>
      <c r="L5974" s="0" t="s">
        <v>49</v>
      </c>
      <c r="M5974" s="0" t="s">
        <v>167</v>
      </c>
      <c r="N5974" s="0" t="n">
        <v>1201</v>
      </c>
      <c r="O5974" s="10" t="n">
        <v>0.572930959518999</v>
      </c>
      <c r="P5974" s="10" t="n">
        <v>0.298559809103608</v>
      </c>
      <c r="Q5974" s="0" t="str">
        <f aca="false">SUBSTITUTE(SUBSTITUTE($I5974,CHAR(61),""),CHAR(34),"")</f>
        <v>01-09</v>
      </c>
      <c r="R5974" s="0" t="str">
        <f aca="false">IF($D5974&lt;&gt;"","["&amp;$E5974&amp;"]"&amp;"|"&amp;$Q5974&amp;"|"&amp;$K5974&amp;"|"&amp;$G5974&amp;"|"&amp;IF($G5974="TX_CURR_SUBNAT.R","CY2022Q4",$M5974),"")</f>
        <v>[rpw540fmNUz]|01-09|Male|Incidence_SUBNAT.Rt.T|CY2024Q3</v>
      </c>
    </row>
    <row r="5975" customFormat="false" ht="15" hidden="false" customHeight="false" outlineLevel="0" collapsed="false">
      <c r="D5975" s="0" t="s">
        <v>114</v>
      </c>
      <c r="E5975" s="0" t="s">
        <v>115</v>
      </c>
      <c r="F5975" s="0" t="s">
        <v>116</v>
      </c>
      <c r="G5975" s="0" t="s">
        <v>169</v>
      </c>
      <c r="H5975" s="0" t="s">
        <v>169</v>
      </c>
      <c r="I5975" s="0" t="s">
        <v>36</v>
      </c>
      <c r="J5975" s="0" t="s">
        <v>37</v>
      </c>
      <c r="K5975" s="0" t="s">
        <v>48</v>
      </c>
      <c r="L5975" s="0" t="s">
        <v>49</v>
      </c>
      <c r="M5975" s="0" t="s">
        <v>167</v>
      </c>
      <c r="N5975" s="0" t="n">
        <v>962</v>
      </c>
      <c r="O5975" s="10" t="n">
        <v>0.253176083555445</v>
      </c>
      <c r="P5975" s="10" t="n">
        <v>0.298559809103608</v>
      </c>
      <c r="Q5975" s="0" t="str">
        <f aca="false">SUBSTITUTE(SUBSTITUTE($I5975,CHAR(61),""),CHAR(34),"")</f>
        <v>10-14</v>
      </c>
      <c r="R5975" s="0" t="str">
        <f aca="false">IF($D5975&lt;&gt;"","["&amp;$E5975&amp;"]"&amp;"|"&amp;$Q5975&amp;"|"&amp;$K5975&amp;"|"&amp;$G5975&amp;"|"&amp;IF($G5975="TX_CURR_SUBNAT.R","CY2022Q4",$M5975),"")</f>
        <v>[rpw540fmNUz]|10-14|Male|Incidence_SUBNAT.Rt.T|CY2024Q3</v>
      </c>
    </row>
    <row r="5976" customFormat="false" ht="15" hidden="false" customHeight="false" outlineLevel="0" collapsed="false">
      <c r="D5976" s="0" t="s">
        <v>114</v>
      </c>
      <c r="E5976" s="0" t="s">
        <v>115</v>
      </c>
      <c r="F5976" s="0" t="s">
        <v>116</v>
      </c>
      <c r="G5976" s="0" t="s">
        <v>169</v>
      </c>
      <c r="H5976" s="0" t="s">
        <v>169</v>
      </c>
      <c r="I5976" s="0" t="s">
        <v>38</v>
      </c>
      <c r="J5976" s="0" t="s">
        <v>39</v>
      </c>
      <c r="K5976" s="0" t="s">
        <v>48</v>
      </c>
      <c r="L5976" s="0" t="s">
        <v>49</v>
      </c>
      <c r="M5976" s="0" t="s">
        <v>167</v>
      </c>
      <c r="N5976" s="0" t="n">
        <v>1382</v>
      </c>
      <c r="O5976" s="10" t="n">
        <v>0.224729584762827</v>
      </c>
      <c r="P5976" s="10" t="n">
        <v>0.298559809103608</v>
      </c>
      <c r="Q5976" s="0" t="str">
        <f aca="false">SUBSTITUTE(SUBSTITUTE($I5976,CHAR(61),""),CHAR(34),"")</f>
        <v>15-24</v>
      </c>
      <c r="R5976" s="0" t="str">
        <f aca="false">IF($D5976&lt;&gt;"","["&amp;$E5976&amp;"]"&amp;"|"&amp;$Q5976&amp;"|"&amp;$K5976&amp;"|"&amp;$G5976&amp;"|"&amp;IF($G5976="TX_CURR_SUBNAT.R","CY2022Q4",$M5976),"")</f>
        <v>[rpw540fmNUz]|15-24|Male|Incidence_SUBNAT.Rt.T|CY2024Q3</v>
      </c>
    </row>
    <row r="5977" customFormat="false" ht="15" hidden="false" customHeight="false" outlineLevel="0" collapsed="false">
      <c r="D5977" s="0" t="s">
        <v>114</v>
      </c>
      <c r="E5977" s="0" t="s">
        <v>115</v>
      </c>
      <c r="F5977" s="0" t="s">
        <v>116</v>
      </c>
      <c r="G5977" s="0" t="s">
        <v>169</v>
      </c>
      <c r="H5977" s="0" t="s">
        <v>169</v>
      </c>
      <c r="I5977" s="0" t="s">
        <v>41</v>
      </c>
      <c r="J5977" s="0" t="s">
        <v>42</v>
      </c>
      <c r="K5977" s="0" t="s">
        <v>48</v>
      </c>
      <c r="L5977" s="0" t="s">
        <v>49</v>
      </c>
      <c r="M5977" s="0" t="s">
        <v>167</v>
      </c>
      <c r="N5977" s="0" t="n">
        <v>1769</v>
      </c>
      <c r="O5977" s="10" t="n">
        <v>0.11462973896414</v>
      </c>
      <c r="P5977" s="10" t="n">
        <v>0.298559809103608</v>
      </c>
      <c r="Q5977" s="0" t="str">
        <f aca="false">SUBSTITUTE(SUBSTITUTE($I5977,CHAR(61),""),CHAR(34),"")</f>
        <v>25-34</v>
      </c>
      <c r="R5977" s="0" t="str">
        <f aca="false">IF($D5977&lt;&gt;"","["&amp;$E5977&amp;"]"&amp;"|"&amp;$Q5977&amp;"|"&amp;$K5977&amp;"|"&amp;$G5977&amp;"|"&amp;IF($G5977="TX_CURR_SUBNAT.R","CY2022Q4",$M5977),"")</f>
        <v>[rpw540fmNUz]|25-34|Male|Incidence_SUBNAT.Rt.T|CY2024Q3</v>
      </c>
    </row>
    <row r="5978" customFormat="false" ht="15" hidden="false" customHeight="false" outlineLevel="0" collapsed="false">
      <c r="D5978" s="0" t="s">
        <v>114</v>
      </c>
      <c r="E5978" s="0" t="s">
        <v>115</v>
      </c>
      <c r="F5978" s="0" t="s">
        <v>116</v>
      </c>
      <c r="G5978" s="0" t="s">
        <v>169</v>
      </c>
      <c r="H5978" s="0" t="s">
        <v>169</v>
      </c>
      <c r="I5978" s="0" t="s">
        <v>43</v>
      </c>
      <c r="J5978" s="0" t="s">
        <v>44</v>
      </c>
      <c r="K5978" s="0" t="s">
        <v>48</v>
      </c>
      <c r="L5978" s="0" t="s">
        <v>49</v>
      </c>
      <c r="M5978" s="0" t="s">
        <v>167</v>
      </c>
      <c r="N5978" s="0" t="n">
        <v>1416</v>
      </c>
      <c r="O5978" s="10" t="n">
        <v>0.115314910188317</v>
      </c>
      <c r="P5978" s="10" t="n">
        <v>0.298559809103608</v>
      </c>
      <c r="Q5978" s="0" t="str">
        <f aca="false">SUBSTITUTE(SUBSTITUTE($I5978,CHAR(61),""),CHAR(34),"")</f>
        <v>35-49</v>
      </c>
      <c r="R5978" s="0" t="str">
        <f aca="false">IF($D5978&lt;&gt;"","["&amp;$E5978&amp;"]"&amp;"|"&amp;$Q5978&amp;"|"&amp;$K5978&amp;"|"&amp;$G5978&amp;"|"&amp;IF($G5978="TX_CURR_SUBNAT.R","CY2022Q4",$M5978),"")</f>
        <v>[rpw540fmNUz]|35-49|Male|Incidence_SUBNAT.Rt.T|CY2024Q3</v>
      </c>
    </row>
    <row r="5979" customFormat="false" ht="15" hidden="false" customHeight="false" outlineLevel="0" collapsed="false">
      <c r="D5979" s="0" t="s">
        <v>114</v>
      </c>
      <c r="E5979" s="0" t="s">
        <v>115</v>
      </c>
      <c r="F5979" s="0" t="s">
        <v>116</v>
      </c>
      <c r="G5979" s="0" t="s">
        <v>169</v>
      </c>
      <c r="H5979" s="0" t="s">
        <v>169</v>
      </c>
      <c r="I5979" s="0" t="s">
        <v>45</v>
      </c>
      <c r="J5979" s="0" t="s">
        <v>46</v>
      </c>
      <c r="K5979" s="0" t="s">
        <v>48</v>
      </c>
      <c r="L5979" s="0" t="s">
        <v>49</v>
      </c>
      <c r="M5979" s="0" t="s">
        <v>167</v>
      </c>
      <c r="N5979" s="0" t="n">
        <v>1248</v>
      </c>
      <c r="O5979" s="10" t="n">
        <v>0.469858263852075</v>
      </c>
      <c r="P5979" s="10" t="n">
        <v>0.298559809103608</v>
      </c>
      <c r="Q5979" s="0" t="str">
        <f aca="false">SUBSTITUTE(SUBSTITUTE($I5979,CHAR(61),""),CHAR(34),"")</f>
        <v>50+</v>
      </c>
      <c r="R5979" s="0" t="str">
        <f aca="false">IF($D5979&lt;&gt;"","["&amp;$E5979&amp;"]"&amp;"|"&amp;$Q5979&amp;"|"&amp;$K5979&amp;"|"&amp;$G5979&amp;"|"&amp;IF($G5979="TX_CURR_SUBNAT.R","CY2022Q4",$M5979),"")</f>
        <v>[rpw540fmNUz]|50+|Male|Incidence_SUBNAT.Rt.T|CY2024Q3</v>
      </c>
    </row>
    <row r="5980" customFormat="false" ht="15" hidden="false" customHeight="false" outlineLevel="0" collapsed="false">
      <c r="D5980" s="0" t="s">
        <v>117</v>
      </c>
      <c r="E5980" s="0" t="s">
        <v>118</v>
      </c>
      <c r="F5980" s="0" t="s">
        <v>119</v>
      </c>
      <c r="G5980" s="0" t="s">
        <v>169</v>
      </c>
      <c r="H5980" s="0" t="s">
        <v>169</v>
      </c>
      <c r="I5980" s="0" t="s">
        <v>28</v>
      </c>
      <c r="J5980" s="0" t="s">
        <v>29</v>
      </c>
      <c r="K5980" s="0" t="s">
        <v>30</v>
      </c>
      <c r="L5980" s="0" t="s">
        <v>31</v>
      </c>
      <c r="M5980" s="0" t="s">
        <v>167</v>
      </c>
      <c r="N5980" s="0" t="n">
        <v>1484</v>
      </c>
      <c r="O5980" s="10" t="n">
        <v>0.0819662737194449</v>
      </c>
      <c r="P5980" s="10" t="n">
        <v>0.206259709550068</v>
      </c>
      <c r="Q5980" s="0" t="str">
        <f aca="false">SUBSTITUTE(SUBSTITUTE($I5980,CHAR(61),""),CHAR(34),"")</f>
        <v>&lt;01</v>
      </c>
      <c r="R5980" s="0" t="str">
        <f aca="false">IF($D5980&lt;&gt;"","["&amp;$E5980&amp;"]"&amp;"|"&amp;$Q5980&amp;"|"&amp;$K5980&amp;"|"&amp;$G5980&amp;"|"&amp;IF($G5980="TX_CURR_SUBNAT.R","CY2022Q4",$M5980),"")</f>
        <v>[lPTyjLi4w3d]|&lt;01|Female|Incidence_SUBNAT.Rt.T|CY2024Q3</v>
      </c>
    </row>
    <row r="5981" customFormat="false" ht="15" hidden="false" customHeight="false" outlineLevel="0" collapsed="false">
      <c r="D5981" s="0" t="s">
        <v>117</v>
      </c>
      <c r="E5981" s="0" t="s">
        <v>118</v>
      </c>
      <c r="F5981" s="0" t="s">
        <v>119</v>
      </c>
      <c r="G5981" s="0" t="s">
        <v>169</v>
      </c>
      <c r="H5981" s="0" t="s">
        <v>169</v>
      </c>
      <c r="I5981" s="0" t="s">
        <v>33</v>
      </c>
      <c r="J5981" s="0" t="s">
        <v>34</v>
      </c>
      <c r="K5981" s="0" t="s">
        <v>30</v>
      </c>
      <c r="L5981" s="0" t="s">
        <v>31</v>
      </c>
      <c r="M5981" s="0" t="s">
        <v>167</v>
      </c>
      <c r="N5981" s="0" t="n">
        <v>1515</v>
      </c>
      <c r="O5981" s="10" t="n">
        <v>0.720279362751171</v>
      </c>
      <c r="P5981" s="10" t="n">
        <v>0.206259709550068</v>
      </c>
      <c r="Q5981" s="0" t="str">
        <f aca="false">SUBSTITUTE(SUBSTITUTE($I5981,CHAR(61),""),CHAR(34),"")</f>
        <v>01-09</v>
      </c>
      <c r="R5981" s="0" t="str">
        <f aca="false">IF($D5981&lt;&gt;"","["&amp;$E5981&amp;"]"&amp;"|"&amp;$Q5981&amp;"|"&amp;$K5981&amp;"|"&amp;$G5981&amp;"|"&amp;IF($G5981="TX_CURR_SUBNAT.R","CY2022Q4",$M5981),"")</f>
        <v>[lPTyjLi4w3d]|01-09|Female|Incidence_SUBNAT.Rt.T|CY2024Q3</v>
      </c>
    </row>
    <row r="5982" customFormat="false" ht="15" hidden="false" customHeight="false" outlineLevel="0" collapsed="false">
      <c r="D5982" s="0" t="s">
        <v>117</v>
      </c>
      <c r="E5982" s="0" t="s">
        <v>118</v>
      </c>
      <c r="F5982" s="0" t="s">
        <v>119</v>
      </c>
      <c r="G5982" s="0" t="s">
        <v>169</v>
      </c>
      <c r="H5982" s="0" t="s">
        <v>169</v>
      </c>
      <c r="I5982" s="0" t="s">
        <v>36</v>
      </c>
      <c r="J5982" s="0" t="s">
        <v>37</v>
      </c>
      <c r="K5982" s="0" t="s">
        <v>30</v>
      </c>
      <c r="L5982" s="0" t="s">
        <v>31</v>
      </c>
      <c r="M5982" s="0" t="s">
        <v>167</v>
      </c>
      <c r="N5982" s="0" t="n">
        <v>770</v>
      </c>
      <c r="O5982" s="10" t="n">
        <v>0.526916037546471</v>
      </c>
      <c r="P5982" s="10" t="n">
        <v>0.206259709550068</v>
      </c>
      <c r="Q5982" s="0" t="str">
        <f aca="false">SUBSTITUTE(SUBSTITUTE($I5982,CHAR(61),""),CHAR(34),"")</f>
        <v>10-14</v>
      </c>
      <c r="R5982" s="0" t="str">
        <f aca="false">IF($D5982&lt;&gt;"","["&amp;$E5982&amp;"]"&amp;"|"&amp;$Q5982&amp;"|"&amp;$K5982&amp;"|"&amp;$G5982&amp;"|"&amp;IF($G5982="TX_CURR_SUBNAT.R","CY2022Q4",$M5982),"")</f>
        <v>[lPTyjLi4w3d]|10-14|Female|Incidence_SUBNAT.Rt.T|CY2024Q3</v>
      </c>
    </row>
    <row r="5983" customFormat="false" ht="15" hidden="false" customHeight="false" outlineLevel="0" collapsed="false">
      <c r="D5983" s="0" t="s">
        <v>117</v>
      </c>
      <c r="E5983" s="0" t="s">
        <v>118</v>
      </c>
      <c r="F5983" s="0" t="s">
        <v>119</v>
      </c>
      <c r="G5983" s="0" t="s">
        <v>169</v>
      </c>
      <c r="H5983" s="0" t="s">
        <v>169</v>
      </c>
      <c r="I5983" s="0" t="s">
        <v>38</v>
      </c>
      <c r="J5983" s="0" t="s">
        <v>39</v>
      </c>
      <c r="K5983" s="0" t="s">
        <v>30</v>
      </c>
      <c r="L5983" s="0" t="s">
        <v>31</v>
      </c>
      <c r="M5983" s="0" t="s">
        <v>167</v>
      </c>
      <c r="N5983" s="0" t="n">
        <v>985</v>
      </c>
      <c r="O5983" s="10" t="n">
        <v>0.133972788229585</v>
      </c>
      <c r="P5983" s="10" t="n">
        <v>0.206259709550068</v>
      </c>
      <c r="Q5983" s="0" t="str">
        <f aca="false">SUBSTITUTE(SUBSTITUTE($I5983,CHAR(61),""),CHAR(34),"")</f>
        <v>15-24</v>
      </c>
      <c r="R5983" s="0" t="str">
        <f aca="false">IF($D5983&lt;&gt;"","["&amp;$E5983&amp;"]"&amp;"|"&amp;$Q5983&amp;"|"&amp;$K5983&amp;"|"&amp;$G5983&amp;"|"&amp;IF($G5983="TX_CURR_SUBNAT.R","CY2022Q4",$M5983),"")</f>
        <v>[lPTyjLi4w3d]|15-24|Female|Incidence_SUBNAT.Rt.T|CY2024Q3</v>
      </c>
    </row>
    <row r="5984" customFormat="false" ht="15" hidden="false" customHeight="false" outlineLevel="0" collapsed="false">
      <c r="D5984" s="0" t="s">
        <v>117</v>
      </c>
      <c r="E5984" s="0" t="s">
        <v>118</v>
      </c>
      <c r="F5984" s="0" t="s">
        <v>119</v>
      </c>
      <c r="G5984" s="0" t="s">
        <v>169</v>
      </c>
      <c r="H5984" s="0" t="s">
        <v>169</v>
      </c>
      <c r="I5984" s="0" t="s">
        <v>41</v>
      </c>
      <c r="J5984" s="0" t="s">
        <v>42</v>
      </c>
      <c r="K5984" s="0" t="s">
        <v>30</v>
      </c>
      <c r="L5984" s="0" t="s">
        <v>31</v>
      </c>
      <c r="M5984" s="0" t="s">
        <v>167</v>
      </c>
      <c r="N5984" s="0" t="n">
        <v>774</v>
      </c>
      <c r="O5984" s="10" t="n">
        <v>0.870849005645141</v>
      </c>
      <c r="P5984" s="10" t="n">
        <v>0.206259709550068</v>
      </c>
      <c r="Q5984" s="0" t="str">
        <f aca="false">SUBSTITUTE(SUBSTITUTE($I5984,CHAR(61),""),CHAR(34),"")</f>
        <v>25-34</v>
      </c>
      <c r="R5984" s="0" t="str">
        <f aca="false">IF($D5984&lt;&gt;"","["&amp;$E5984&amp;"]"&amp;"|"&amp;$Q5984&amp;"|"&amp;$K5984&amp;"|"&amp;$G5984&amp;"|"&amp;IF($G5984="TX_CURR_SUBNAT.R","CY2022Q4",$M5984),"")</f>
        <v>[lPTyjLi4w3d]|25-34|Female|Incidence_SUBNAT.Rt.T|CY2024Q3</v>
      </c>
    </row>
    <row r="5985" customFormat="false" ht="15" hidden="false" customHeight="false" outlineLevel="0" collapsed="false">
      <c r="D5985" s="0" t="s">
        <v>117</v>
      </c>
      <c r="E5985" s="0" t="s">
        <v>118</v>
      </c>
      <c r="F5985" s="0" t="s">
        <v>119</v>
      </c>
      <c r="G5985" s="0" t="s">
        <v>169</v>
      </c>
      <c r="H5985" s="0" t="s">
        <v>169</v>
      </c>
      <c r="I5985" s="0" t="s">
        <v>43</v>
      </c>
      <c r="J5985" s="0" t="s">
        <v>44</v>
      </c>
      <c r="K5985" s="0" t="s">
        <v>30</v>
      </c>
      <c r="L5985" s="0" t="s">
        <v>31</v>
      </c>
      <c r="M5985" s="0" t="s">
        <v>167</v>
      </c>
      <c r="N5985" s="0" t="n">
        <v>1292</v>
      </c>
      <c r="O5985" s="10" t="n">
        <v>0.505309665808454</v>
      </c>
      <c r="P5985" s="10" t="n">
        <v>0.206259709550068</v>
      </c>
      <c r="Q5985" s="0" t="str">
        <f aca="false">SUBSTITUTE(SUBSTITUTE($I5985,CHAR(61),""),CHAR(34),"")</f>
        <v>35-49</v>
      </c>
      <c r="R5985" s="0" t="str">
        <f aca="false">IF($D5985&lt;&gt;"","["&amp;$E5985&amp;"]"&amp;"|"&amp;$Q5985&amp;"|"&amp;$K5985&amp;"|"&amp;$G5985&amp;"|"&amp;IF($G5985="TX_CURR_SUBNAT.R","CY2022Q4",$M5985),"")</f>
        <v>[lPTyjLi4w3d]|35-49|Female|Incidence_SUBNAT.Rt.T|CY2024Q3</v>
      </c>
    </row>
    <row r="5986" customFormat="false" ht="15" hidden="false" customHeight="false" outlineLevel="0" collapsed="false">
      <c r="D5986" s="0" t="s">
        <v>117</v>
      </c>
      <c r="E5986" s="0" t="s">
        <v>118</v>
      </c>
      <c r="F5986" s="0" t="s">
        <v>119</v>
      </c>
      <c r="G5986" s="0" t="s">
        <v>169</v>
      </c>
      <c r="H5986" s="0" t="s">
        <v>169</v>
      </c>
      <c r="I5986" s="0" t="s">
        <v>45</v>
      </c>
      <c r="J5986" s="0" t="s">
        <v>46</v>
      </c>
      <c r="K5986" s="0" t="s">
        <v>30</v>
      </c>
      <c r="L5986" s="0" t="s">
        <v>31</v>
      </c>
      <c r="M5986" s="0" t="s">
        <v>167</v>
      </c>
      <c r="N5986" s="0" t="n">
        <v>1676</v>
      </c>
      <c r="O5986" s="10" t="n">
        <v>0.51198903657496</v>
      </c>
      <c r="P5986" s="10" t="n">
        <v>0.206259709550068</v>
      </c>
      <c r="Q5986" s="0" t="str">
        <f aca="false">SUBSTITUTE(SUBSTITUTE($I5986,CHAR(61),""),CHAR(34),"")</f>
        <v>50+</v>
      </c>
      <c r="R5986" s="0" t="str">
        <f aca="false">IF($D5986&lt;&gt;"","["&amp;$E5986&amp;"]"&amp;"|"&amp;$Q5986&amp;"|"&amp;$K5986&amp;"|"&amp;$G5986&amp;"|"&amp;IF($G5986="TX_CURR_SUBNAT.R","CY2022Q4",$M5986),"")</f>
        <v>[lPTyjLi4w3d]|50+|Female|Incidence_SUBNAT.Rt.T|CY2024Q3</v>
      </c>
    </row>
    <row r="5987" customFormat="false" ht="15" hidden="false" customHeight="false" outlineLevel="0" collapsed="false">
      <c r="D5987" s="0" t="s">
        <v>117</v>
      </c>
      <c r="E5987" s="0" t="s">
        <v>118</v>
      </c>
      <c r="F5987" s="0" t="s">
        <v>119</v>
      </c>
      <c r="G5987" s="0" t="s">
        <v>169</v>
      </c>
      <c r="H5987" s="0" t="s">
        <v>169</v>
      </c>
      <c r="I5987" s="0" t="s">
        <v>28</v>
      </c>
      <c r="J5987" s="0" t="s">
        <v>29</v>
      </c>
      <c r="K5987" s="0" t="s">
        <v>48</v>
      </c>
      <c r="L5987" s="0" t="s">
        <v>49</v>
      </c>
      <c r="M5987" s="0" t="s">
        <v>167</v>
      </c>
      <c r="N5987" s="0" t="n">
        <v>1322</v>
      </c>
      <c r="O5987" s="10" t="n">
        <v>0.662775499746203</v>
      </c>
      <c r="P5987" s="10" t="n">
        <v>0.206259709550068</v>
      </c>
      <c r="Q5987" s="0" t="str">
        <f aca="false">SUBSTITUTE(SUBSTITUTE($I5987,CHAR(61),""),CHAR(34),"")</f>
        <v>&lt;01</v>
      </c>
      <c r="R5987" s="0" t="str">
        <f aca="false">IF($D5987&lt;&gt;"","["&amp;$E5987&amp;"]"&amp;"|"&amp;$Q5987&amp;"|"&amp;$K5987&amp;"|"&amp;$G5987&amp;"|"&amp;IF($G5987="TX_CURR_SUBNAT.R","CY2022Q4",$M5987),"")</f>
        <v>[lPTyjLi4w3d]|&lt;01|Male|Incidence_SUBNAT.Rt.T|CY2024Q3</v>
      </c>
    </row>
    <row r="5988" customFormat="false" ht="15" hidden="false" customHeight="false" outlineLevel="0" collapsed="false">
      <c r="D5988" s="0" t="s">
        <v>117</v>
      </c>
      <c r="E5988" s="0" t="s">
        <v>118</v>
      </c>
      <c r="F5988" s="0" t="s">
        <v>119</v>
      </c>
      <c r="G5988" s="0" t="s">
        <v>169</v>
      </c>
      <c r="H5988" s="0" t="s">
        <v>169</v>
      </c>
      <c r="I5988" s="0" t="s">
        <v>33</v>
      </c>
      <c r="J5988" s="0" t="s">
        <v>34</v>
      </c>
      <c r="K5988" s="0" t="s">
        <v>48</v>
      </c>
      <c r="L5988" s="0" t="s">
        <v>49</v>
      </c>
      <c r="M5988" s="0" t="s">
        <v>167</v>
      </c>
      <c r="N5988" s="0" t="n">
        <v>1539</v>
      </c>
      <c r="O5988" s="10" t="n">
        <v>0.004957354394719</v>
      </c>
      <c r="P5988" s="10" t="n">
        <v>0.206259709550068</v>
      </c>
      <c r="Q5988" s="0" t="str">
        <f aca="false">SUBSTITUTE(SUBSTITUTE($I5988,CHAR(61),""),CHAR(34),"")</f>
        <v>01-09</v>
      </c>
      <c r="R5988" s="0" t="str">
        <f aca="false">IF($D5988&lt;&gt;"","["&amp;$E5988&amp;"]"&amp;"|"&amp;$Q5988&amp;"|"&amp;$K5988&amp;"|"&amp;$G5988&amp;"|"&amp;IF($G5988="TX_CURR_SUBNAT.R","CY2022Q4",$M5988),"")</f>
        <v>[lPTyjLi4w3d]|01-09|Male|Incidence_SUBNAT.Rt.T|CY2024Q3</v>
      </c>
    </row>
    <row r="5989" customFormat="false" ht="15" hidden="false" customHeight="false" outlineLevel="0" collapsed="false">
      <c r="D5989" s="0" t="s">
        <v>117</v>
      </c>
      <c r="E5989" s="0" t="s">
        <v>118</v>
      </c>
      <c r="F5989" s="0" t="s">
        <v>119</v>
      </c>
      <c r="G5989" s="0" t="s">
        <v>169</v>
      </c>
      <c r="H5989" s="0" t="s">
        <v>169</v>
      </c>
      <c r="I5989" s="0" t="s">
        <v>36</v>
      </c>
      <c r="J5989" s="0" t="s">
        <v>37</v>
      </c>
      <c r="K5989" s="0" t="s">
        <v>48</v>
      </c>
      <c r="L5989" s="0" t="s">
        <v>49</v>
      </c>
      <c r="M5989" s="0" t="s">
        <v>167</v>
      </c>
      <c r="N5989" s="0" t="n">
        <v>912</v>
      </c>
      <c r="O5989" s="10" t="n">
        <v>0.642562978900969</v>
      </c>
      <c r="P5989" s="10" t="n">
        <v>0.206259709550068</v>
      </c>
      <c r="Q5989" s="0" t="str">
        <f aca="false">SUBSTITUTE(SUBSTITUTE($I5989,CHAR(61),""),CHAR(34),"")</f>
        <v>10-14</v>
      </c>
      <c r="R5989" s="0" t="str">
        <f aca="false">IF($D5989&lt;&gt;"","["&amp;$E5989&amp;"]"&amp;"|"&amp;$Q5989&amp;"|"&amp;$K5989&amp;"|"&amp;$G5989&amp;"|"&amp;IF($G5989="TX_CURR_SUBNAT.R","CY2022Q4",$M5989),"")</f>
        <v>[lPTyjLi4w3d]|10-14|Male|Incidence_SUBNAT.Rt.T|CY2024Q3</v>
      </c>
    </row>
    <row r="5990" customFormat="false" ht="15" hidden="false" customHeight="false" outlineLevel="0" collapsed="false">
      <c r="D5990" s="0" t="s">
        <v>117</v>
      </c>
      <c r="E5990" s="0" t="s">
        <v>118</v>
      </c>
      <c r="F5990" s="0" t="s">
        <v>119</v>
      </c>
      <c r="G5990" s="0" t="s">
        <v>169</v>
      </c>
      <c r="H5990" s="0" t="s">
        <v>169</v>
      </c>
      <c r="I5990" s="0" t="s">
        <v>38</v>
      </c>
      <c r="J5990" s="0" t="s">
        <v>39</v>
      </c>
      <c r="K5990" s="0" t="s">
        <v>48</v>
      </c>
      <c r="L5990" s="0" t="s">
        <v>49</v>
      </c>
      <c r="M5990" s="0" t="s">
        <v>167</v>
      </c>
      <c r="N5990" s="0" t="n">
        <v>923</v>
      </c>
      <c r="O5990" s="10" t="n">
        <v>0.63283178745769</v>
      </c>
      <c r="P5990" s="10" t="n">
        <v>0.206259709550068</v>
      </c>
      <c r="Q5990" s="0" t="str">
        <f aca="false">SUBSTITUTE(SUBSTITUTE($I5990,CHAR(61),""),CHAR(34),"")</f>
        <v>15-24</v>
      </c>
      <c r="R5990" s="0" t="str">
        <f aca="false">IF($D5990&lt;&gt;"","["&amp;$E5990&amp;"]"&amp;"|"&amp;$Q5990&amp;"|"&amp;$K5990&amp;"|"&amp;$G5990&amp;"|"&amp;IF($G5990="TX_CURR_SUBNAT.R","CY2022Q4",$M5990),"")</f>
        <v>[lPTyjLi4w3d]|15-24|Male|Incidence_SUBNAT.Rt.T|CY2024Q3</v>
      </c>
    </row>
    <row r="5991" customFormat="false" ht="15" hidden="false" customHeight="false" outlineLevel="0" collapsed="false">
      <c r="D5991" s="0" t="s">
        <v>117</v>
      </c>
      <c r="E5991" s="0" t="s">
        <v>118</v>
      </c>
      <c r="F5991" s="0" t="s">
        <v>119</v>
      </c>
      <c r="G5991" s="0" t="s">
        <v>169</v>
      </c>
      <c r="H5991" s="0" t="s">
        <v>169</v>
      </c>
      <c r="I5991" s="0" t="s">
        <v>41</v>
      </c>
      <c r="J5991" s="0" t="s">
        <v>42</v>
      </c>
      <c r="K5991" s="0" t="s">
        <v>48</v>
      </c>
      <c r="L5991" s="0" t="s">
        <v>49</v>
      </c>
      <c r="M5991" s="0" t="s">
        <v>167</v>
      </c>
      <c r="N5991" s="0" t="n">
        <v>915</v>
      </c>
      <c r="O5991" s="10" t="n">
        <v>0.993259338196367</v>
      </c>
      <c r="P5991" s="10" t="n">
        <v>0.206259709550068</v>
      </c>
      <c r="Q5991" s="0" t="str">
        <f aca="false">SUBSTITUTE(SUBSTITUTE($I5991,CHAR(61),""),CHAR(34),"")</f>
        <v>25-34</v>
      </c>
      <c r="R5991" s="0" t="str">
        <f aca="false">IF($D5991&lt;&gt;"","["&amp;$E5991&amp;"]"&amp;"|"&amp;$Q5991&amp;"|"&amp;$K5991&amp;"|"&amp;$G5991&amp;"|"&amp;IF($G5991="TX_CURR_SUBNAT.R","CY2022Q4",$M5991),"")</f>
        <v>[lPTyjLi4w3d]|25-34|Male|Incidence_SUBNAT.Rt.T|CY2024Q3</v>
      </c>
    </row>
    <row r="5992" customFormat="false" ht="15" hidden="false" customHeight="false" outlineLevel="0" collapsed="false">
      <c r="D5992" s="0" t="s">
        <v>117</v>
      </c>
      <c r="E5992" s="0" t="s">
        <v>118</v>
      </c>
      <c r="F5992" s="0" t="s">
        <v>119</v>
      </c>
      <c r="G5992" s="0" t="s">
        <v>169</v>
      </c>
      <c r="H5992" s="0" t="s">
        <v>169</v>
      </c>
      <c r="I5992" s="0" t="s">
        <v>43</v>
      </c>
      <c r="J5992" s="0" t="s">
        <v>44</v>
      </c>
      <c r="K5992" s="0" t="s">
        <v>48</v>
      </c>
      <c r="L5992" s="0" t="s">
        <v>49</v>
      </c>
      <c r="M5992" s="0" t="s">
        <v>167</v>
      </c>
      <c r="N5992" s="0" t="n">
        <v>1156</v>
      </c>
      <c r="O5992" s="10" t="n">
        <v>0.494023488368839</v>
      </c>
      <c r="P5992" s="10" t="n">
        <v>0.206259709550068</v>
      </c>
      <c r="Q5992" s="0" t="str">
        <f aca="false">SUBSTITUTE(SUBSTITUTE($I5992,CHAR(61),""),CHAR(34),"")</f>
        <v>35-49</v>
      </c>
      <c r="R5992" s="0" t="str">
        <f aca="false">IF($D5992&lt;&gt;"","["&amp;$E5992&amp;"]"&amp;"|"&amp;$Q5992&amp;"|"&amp;$K5992&amp;"|"&amp;$G5992&amp;"|"&amp;IF($G5992="TX_CURR_SUBNAT.R","CY2022Q4",$M5992),"")</f>
        <v>[lPTyjLi4w3d]|35-49|Male|Incidence_SUBNAT.Rt.T|CY2024Q3</v>
      </c>
    </row>
    <row r="5993" customFormat="false" ht="15" hidden="false" customHeight="false" outlineLevel="0" collapsed="false">
      <c r="D5993" s="0" t="s">
        <v>117</v>
      </c>
      <c r="E5993" s="0" t="s">
        <v>118</v>
      </c>
      <c r="F5993" s="0" t="s">
        <v>119</v>
      </c>
      <c r="G5993" s="0" t="s">
        <v>169</v>
      </c>
      <c r="H5993" s="0" t="s">
        <v>169</v>
      </c>
      <c r="I5993" s="0" t="s">
        <v>45</v>
      </c>
      <c r="J5993" s="0" t="s">
        <v>46</v>
      </c>
      <c r="K5993" s="0" t="s">
        <v>48</v>
      </c>
      <c r="L5993" s="0" t="s">
        <v>49</v>
      </c>
      <c r="M5993" s="0" t="s">
        <v>167</v>
      </c>
      <c r="N5993" s="0" t="n">
        <v>1084</v>
      </c>
      <c r="O5993" s="10" t="n">
        <v>0.260654274607077</v>
      </c>
      <c r="P5993" s="10" t="n">
        <v>0.206259709550068</v>
      </c>
      <c r="Q5993" s="0" t="str">
        <f aca="false">SUBSTITUTE(SUBSTITUTE($I5993,CHAR(61),""),CHAR(34),"")</f>
        <v>50+</v>
      </c>
      <c r="R5993" s="0" t="str">
        <f aca="false">IF($D5993&lt;&gt;"","["&amp;$E5993&amp;"]"&amp;"|"&amp;$Q5993&amp;"|"&amp;$K5993&amp;"|"&amp;$G5993&amp;"|"&amp;IF($G5993="TX_CURR_SUBNAT.R","CY2022Q4",$M5993),"")</f>
        <v>[lPTyjLi4w3d]|50+|Male|Incidence_SUBNAT.Rt.T|CY2024Q3</v>
      </c>
    </row>
    <row r="5994" customFormat="false" ht="15" hidden="false" customHeight="false" outlineLevel="0" collapsed="false">
      <c r="D5994" s="0" t="s">
        <v>120</v>
      </c>
      <c r="E5994" s="0" t="s">
        <v>121</v>
      </c>
      <c r="F5994" s="0" t="s">
        <v>122</v>
      </c>
      <c r="G5994" s="0" t="s">
        <v>169</v>
      </c>
      <c r="H5994" s="0" t="s">
        <v>169</v>
      </c>
      <c r="I5994" s="0" t="s">
        <v>28</v>
      </c>
      <c r="J5994" s="0" t="s">
        <v>29</v>
      </c>
      <c r="K5994" s="0" t="s">
        <v>30</v>
      </c>
      <c r="L5994" s="0" t="s">
        <v>31</v>
      </c>
      <c r="M5994" s="0" t="s">
        <v>167</v>
      </c>
      <c r="N5994" s="0" t="n">
        <v>1138</v>
      </c>
      <c r="O5994" s="10" t="n">
        <v>0.307412489317358</v>
      </c>
      <c r="P5994" s="10" t="n">
        <v>0.430103979306296</v>
      </c>
      <c r="Q5994" s="0" t="str">
        <f aca="false">SUBSTITUTE(SUBSTITUTE($I5994,CHAR(61),""),CHAR(34),"")</f>
        <v>&lt;01</v>
      </c>
      <c r="R5994" s="0" t="str">
        <f aca="false">IF($D5994&lt;&gt;"","["&amp;$E5994&amp;"]"&amp;"|"&amp;$Q5994&amp;"|"&amp;$K5994&amp;"|"&amp;$G5994&amp;"|"&amp;IF($G5994="TX_CURR_SUBNAT.R","CY2022Q4",$M5994),"")</f>
        <v>[vA4NcHxfMBq]|&lt;01|Female|Incidence_SUBNAT.Rt.T|CY2024Q3</v>
      </c>
    </row>
    <row r="5995" customFormat="false" ht="15" hidden="false" customHeight="false" outlineLevel="0" collapsed="false">
      <c r="D5995" s="0" t="s">
        <v>120</v>
      </c>
      <c r="E5995" s="0" t="s">
        <v>121</v>
      </c>
      <c r="F5995" s="0" t="s">
        <v>122</v>
      </c>
      <c r="G5995" s="0" t="s">
        <v>169</v>
      </c>
      <c r="H5995" s="0" t="s">
        <v>169</v>
      </c>
      <c r="I5995" s="0" t="s">
        <v>33</v>
      </c>
      <c r="J5995" s="0" t="s">
        <v>34</v>
      </c>
      <c r="K5995" s="0" t="s">
        <v>30</v>
      </c>
      <c r="L5995" s="0" t="s">
        <v>31</v>
      </c>
      <c r="M5995" s="0" t="s">
        <v>167</v>
      </c>
      <c r="N5995" s="0" t="n">
        <v>544</v>
      </c>
      <c r="O5995" s="10" t="n">
        <v>0.444393950980157</v>
      </c>
      <c r="P5995" s="10" t="n">
        <v>0.430103979306296</v>
      </c>
      <c r="Q5995" s="0" t="str">
        <f aca="false">SUBSTITUTE(SUBSTITUTE($I5995,CHAR(61),""),CHAR(34),"")</f>
        <v>01-09</v>
      </c>
      <c r="R5995" s="0" t="str">
        <f aca="false">IF($D5995&lt;&gt;"","["&amp;$E5995&amp;"]"&amp;"|"&amp;$Q5995&amp;"|"&amp;$K5995&amp;"|"&amp;$G5995&amp;"|"&amp;IF($G5995="TX_CURR_SUBNAT.R","CY2022Q4",$M5995),"")</f>
        <v>[vA4NcHxfMBq]|01-09|Female|Incidence_SUBNAT.Rt.T|CY2024Q3</v>
      </c>
    </row>
    <row r="5996" customFormat="false" ht="15" hidden="false" customHeight="false" outlineLevel="0" collapsed="false">
      <c r="D5996" s="0" t="s">
        <v>120</v>
      </c>
      <c r="E5996" s="0" t="s">
        <v>121</v>
      </c>
      <c r="F5996" s="0" t="s">
        <v>122</v>
      </c>
      <c r="G5996" s="0" t="s">
        <v>169</v>
      </c>
      <c r="H5996" s="0" t="s">
        <v>169</v>
      </c>
      <c r="I5996" s="0" t="s">
        <v>36</v>
      </c>
      <c r="J5996" s="0" t="s">
        <v>37</v>
      </c>
      <c r="K5996" s="0" t="s">
        <v>30</v>
      </c>
      <c r="L5996" s="0" t="s">
        <v>31</v>
      </c>
      <c r="M5996" s="0" t="s">
        <v>167</v>
      </c>
      <c r="N5996" s="0" t="n">
        <v>947</v>
      </c>
      <c r="O5996" s="10" t="n">
        <v>0.922121549025178</v>
      </c>
      <c r="P5996" s="10" t="n">
        <v>0.430103979306296</v>
      </c>
      <c r="Q5996" s="0" t="str">
        <f aca="false">SUBSTITUTE(SUBSTITUTE($I5996,CHAR(61),""),CHAR(34),"")</f>
        <v>10-14</v>
      </c>
      <c r="R5996" s="0" t="str">
        <f aca="false">IF($D5996&lt;&gt;"","["&amp;$E5996&amp;"]"&amp;"|"&amp;$Q5996&amp;"|"&amp;$K5996&amp;"|"&amp;$G5996&amp;"|"&amp;IF($G5996="TX_CURR_SUBNAT.R","CY2022Q4",$M5996),"")</f>
        <v>[vA4NcHxfMBq]|10-14|Female|Incidence_SUBNAT.Rt.T|CY2024Q3</v>
      </c>
    </row>
    <row r="5997" customFormat="false" ht="15" hidden="false" customHeight="false" outlineLevel="0" collapsed="false">
      <c r="D5997" s="0" t="s">
        <v>120</v>
      </c>
      <c r="E5997" s="0" t="s">
        <v>121</v>
      </c>
      <c r="F5997" s="0" t="s">
        <v>122</v>
      </c>
      <c r="G5997" s="0" t="s">
        <v>169</v>
      </c>
      <c r="H5997" s="0" t="s">
        <v>169</v>
      </c>
      <c r="I5997" s="0" t="s">
        <v>38</v>
      </c>
      <c r="J5997" s="0" t="s">
        <v>39</v>
      </c>
      <c r="K5997" s="0" t="s">
        <v>30</v>
      </c>
      <c r="L5997" s="0" t="s">
        <v>31</v>
      </c>
      <c r="M5997" s="0" t="s">
        <v>167</v>
      </c>
      <c r="N5997" s="0" t="n">
        <v>798</v>
      </c>
      <c r="O5997" s="10" t="n">
        <v>0.494016099721193</v>
      </c>
      <c r="P5997" s="10" t="n">
        <v>0.430103979306296</v>
      </c>
      <c r="Q5997" s="0" t="str">
        <f aca="false">SUBSTITUTE(SUBSTITUTE($I5997,CHAR(61),""),CHAR(34),"")</f>
        <v>15-24</v>
      </c>
      <c r="R5997" s="0" t="str">
        <f aca="false">IF($D5997&lt;&gt;"","["&amp;$E5997&amp;"]"&amp;"|"&amp;$Q5997&amp;"|"&amp;$K5997&amp;"|"&amp;$G5997&amp;"|"&amp;IF($G5997="TX_CURR_SUBNAT.R","CY2022Q4",$M5997),"")</f>
        <v>[vA4NcHxfMBq]|15-24|Female|Incidence_SUBNAT.Rt.T|CY2024Q3</v>
      </c>
    </row>
    <row r="5998" customFormat="false" ht="15" hidden="false" customHeight="false" outlineLevel="0" collapsed="false">
      <c r="D5998" s="0" t="s">
        <v>120</v>
      </c>
      <c r="E5998" s="0" t="s">
        <v>121</v>
      </c>
      <c r="F5998" s="0" t="s">
        <v>122</v>
      </c>
      <c r="G5998" s="0" t="s">
        <v>169</v>
      </c>
      <c r="H5998" s="0" t="s">
        <v>169</v>
      </c>
      <c r="I5998" s="0" t="s">
        <v>41</v>
      </c>
      <c r="J5998" s="0" t="s">
        <v>42</v>
      </c>
      <c r="K5998" s="0" t="s">
        <v>30</v>
      </c>
      <c r="L5998" s="0" t="s">
        <v>31</v>
      </c>
      <c r="M5998" s="0" t="s">
        <v>167</v>
      </c>
      <c r="N5998" s="0" t="n">
        <v>900</v>
      </c>
      <c r="O5998" s="10" t="n">
        <v>0.654540243325755</v>
      </c>
      <c r="P5998" s="10" t="n">
        <v>0.430103979306296</v>
      </c>
      <c r="Q5998" s="0" t="str">
        <f aca="false">SUBSTITUTE(SUBSTITUTE($I5998,CHAR(61),""),CHAR(34),"")</f>
        <v>25-34</v>
      </c>
      <c r="R5998" s="0" t="str">
        <f aca="false">IF($D5998&lt;&gt;"","["&amp;$E5998&amp;"]"&amp;"|"&amp;$Q5998&amp;"|"&amp;$K5998&amp;"|"&amp;$G5998&amp;"|"&amp;IF($G5998="TX_CURR_SUBNAT.R","CY2022Q4",$M5998),"")</f>
        <v>[vA4NcHxfMBq]|25-34|Female|Incidence_SUBNAT.Rt.T|CY2024Q3</v>
      </c>
    </row>
    <row r="5999" customFormat="false" ht="15" hidden="false" customHeight="false" outlineLevel="0" collapsed="false">
      <c r="D5999" s="0" t="s">
        <v>120</v>
      </c>
      <c r="E5999" s="0" t="s">
        <v>121</v>
      </c>
      <c r="F5999" s="0" t="s">
        <v>122</v>
      </c>
      <c r="G5999" s="0" t="s">
        <v>169</v>
      </c>
      <c r="H5999" s="0" t="s">
        <v>169</v>
      </c>
      <c r="I5999" s="0" t="s">
        <v>43</v>
      </c>
      <c r="J5999" s="0" t="s">
        <v>44</v>
      </c>
      <c r="K5999" s="0" t="s">
        <v>30</v>
      </c>
      <c r="L5999" s="0" t="s">
        <v>31</v>
      </c>
      <c r="M5999" s="0" t="s">
        <v>167</v>
      </c>
      <c r="N5999" s="0" t="n">
        <v>795</v>
      </c>
      <c r="O5999" s="10" t="n">
        <v>0.406035819323733</v>
      </c>
      <c r="P5999" s="10" t="n">
        <v>0.430103979306296</v>
      </c>
      <c r="Q5999" s="0" t="str">
        <f aca="false">SUBSTITUTE(SUBSTITUTE($I5999,CHAR(61),""),CHAR(34),"")</f>
        <v>35-49</v>
      </c>
      <c r="R5999" s="0" t="str">
        <f aca="false">IF($D5999&lt;&gt;"","["&amp;$E5999&amp;"]"&amp;"|"&amp;$Q5999&amp;"|"&amp;$K5999&amp;"|"&amp;$G5999&amp;"|"&amp;IF($G5999="TX_CURR_SUBNAT.R","CY2022Q4",$M5999),"")</f>
        <v>[vA4NcHxfMBq]|35-49|Female|Incidence_SUBNAT.Rt.T|CY2024Q3</v>
      </c>
    </row>
    <row r="6000" customFormat="false" ht="15" hidden="false" customHeight="false" outlineLevel="0" collapsed="false">
      <c r="D6000" s="0" t="s">
        <v>120</v>
      </c>
      <c r="E6000" s="0" t="s">
        <v>121</v>
      </c>
      <c r="F6000" s="0" t="s">
        <v>122</v>
      </c>
      <c r="G6000" s="0" t="s">
        <v>169</v>
      </c>
      <c r="H6000" s="0" t="s">
        <v>169</v>
      </c>
      <c r="I6000" s="0" t="s">
        <v>45</v>
      </c>
      <c r="J6000" s="0" t="s">
        <v>46</v>
      </c>
      <c r="K6000" s="0" t="s">
        <v>30</v>
      </c>
      <c r="L6000" s="0" t="s">
        <v>31</v>
      </c>
      <c r="M6000" s="0" t="s">
        <v>167</v>
      </c>
      <c r="N6000" s="0" t="n">
        <v>1001</v>
      </c>
      <c r="O6000" s="10" t="n">
        <v>0.693994018016383</v>
      </c>
      <c r="P6000" s="10" t="n">
        <v>0.430103979306296</v>
      </c>
      <c r="Q6000" s="0" t="str">
        <f aca="false">SUBSTITUTE(SUBSTITUTE($I6000,CHAR(61),""),CHAR(34),"")</f>
        <v>50+</v>
      </c>
      <c r="R6000" s="0" t="str">
        <f aca="false">IF($D6000&lt;&gt;"","["&amp;$E6000&amp;"]"&amp;"|"&amp;$Q6000&amp;"|"&amp;$K6000&amp;"|"&amp;$G6000&amp;"|"&amp;IF($G6000="TX_CURR_SUBNAT.R","CY2022Q4",$M6000),"")</f>
        <v>[vA4NcHxfMBq]|50+|Female|Incidence_SUBNAT.Rt.T|CY2024Q3</v>
      </c>
    </row>
    <row r="6001" customFormat="false" ht="15" hidden="false" customHeight="false" outlineLevel="0" collapsed="false">
      <c r="D6001" s="0" t="s">
        <v>120</v>
      </c>
      <c r="E6001" s="0" t="s">
        <v>121</v>
      </c>
      <c r="F6001" s="0" t="s">
        <v>122</v>
      </c>
      <c r="G6001" s="0" t="s">
        <v>169</v>
      </c>
      <c r="H6001" s="0" t="s">
        <v>169</v>
      </c>
      <c r="I6001" s="0" t="s">
        <v>28</v>
      </c>
      <c r="J6001" s="0" t="s">
        <v>29</v>
      </c>
      <c r="K6001" s="0" t="s">
        <v>48</v>
      </c>
      <c r="L6001" s="0" t="s">
        <v>49</v>
      </c>
      <c r="M6001" s="0" t="s">
        <v>167</v>
      </c>
      <c r="N6001" s="0" t="n">
        <v>1385</v>
      </c>
      <c r="O6001" s="10" t="n">
        <v>0.980107910465449</v>
      </c>
      <c r="P6001" s="10" t="n">
        <v>0.430103979306296</v>
      </c>
      <c r="Q6001" s="0" t="str">
        <f aca="false">SUBSTITUTE(SUBSTITUTE($I6001,CHAR(61),""),CHAR(34),"")</f>
        <v>&lt;01</v>
      </c>
      <c r="R6001" s="0" t="str">
        <f aca="false">IF($D6001&lt;&gt;"","["&amp;$E6001&amp;"]"&amp;"|"&amp;$Q6001&amp;"|"&amp;$K6001&amp;"|"&amp;$G6001&amp;"|"&amp;IF($G6001="TX_CURR_SUBNAT.R","CY2022Q4",$M6001),"")</f>
        <v>[vA4NcHxfMBq]|&lt;01|Male|Incidence_SUBNAT.Rt.T|CY2024Q3</v>
      </c>
    </row>
    <row r="6002" customFormat="false" ht="15" hidden="false" customHeight="false" outlineLevel="0" collapsed="false">
      <c r="D6002" s="0" t="s">
        <v>120</v>
      </c>
      <c r="E6002" s="0" t="s">
        <v>121</v>
      </c>
      <c r="F6002" s="0" t="s">
        <v>122</v>
      </c>
      <c r="G6002" s="0" t="s">
        <v>169</v>
      </c>
      <c r="H6002" s="0" t="s">
        <v>169</v>
      </c>
      <c r="I6002" s="0" t="s">
        <v>33</v>
      </c>
      <c r="J6002" s="0" t="s">
        <v>34</v>
      </c>
      <c r="K6002" s="0" t="s">
        <v>48</v>
      </c>
      <c r="L6002" s="0" t="s">
        <v>49</v>
      </c>
      <c r="M6002" s="0" t="s">
        <v>167</v>
      </c>
      <c r="N6002" s="0" t="n">
        <v>1584</v>
      </c>
      <c r="O6002" s="10" t="n">
        <v>0.0511958971619606</v>
      </c>
      <c r="P6002" s="10" t="n">
        <v>0.430103979306296</v>
      </c>
      <c r="Q6002" s="0" t="str">
        <f aca="false">SUBSTITUTE(SUBSTITUTE($I6002,CHAR(61),""),CHAR(34),"")</f>
        <v>01-09</v>
      </c>
      <c r="R6002" s="0" t="str">
        <f aca="false">IF($D6002&lt;&gt;"","["&amp;$E6002&amp;"]"&amp;"|"&amp;$Q6002&amp;"|"&amp;$K6002&amp;"|"&amp;$G6002&amp;"|"&amp;IF($G6002="TX_CURR_SUBNAT.R","CY2022Q4",$M6002),"")</f>
        <v>[vA4NcHxfMBq]|01-09|Male|Incidence_SUBNAT.Rt.T|CY2024Q3</v>
      </c>
    </row>
    <row r="6003" customFormat="false" ht="15" hidden="false" customHeight="false" outlineLevel="0" collapsed="false">
      <c r="D6003" s="0" t="s">
        <v>120</v>
      </c>
      <c r="E6003" s="0" t="s">
        <v>121</v>
      </c>
      <c r="F6003" s="0" t="s">
        <v>122</v>
      </c>
      <c r="G6003" s="0" t="s">
        <v>169</v>
      </c>
      <c r="H6003" s="0" t="s">
        <v>169</v>
      </c>
      <c r="I6003" s="0" t="s">
        <v>36</v>
      </c>
      <c r="J6003" s="0" t="s">
        <v>37</v>
      </c>
      <c r="K6003" s="0" t="s">
        <v>48</v>
      </c>
      <c r="L6003" s="0" t="s">
        <v>49</v>
      </c>
      <c r="M6003" s="0" t="s">
        <v>167</v>
      </c>
      <c r="N6003" s="0" t="n">
        <v>1021</v>
      </c>
      <c r="O6003" s="10" t="n">
        <v>0.0131927421316504</v>
      </c>
      <c r="P6003" s="10" t="n">
        <v>0.430103979306296</v>
      </c>
      <c r="Q6003" s="0" t="str">
        <f aca="false">SUBSTITUTE(SUBSTITUTE($I6003,CHAR(61),""),CHAR(34),"")</f>
        <v>10-14</v>
      </c>
      <c r="R6003" s="0" t="str">
        <f aca="false">IF($D6003&lt;&gt;"","["&amp;$E6003&amp;"]"&amp;"|"&amp;$Q6003&amp;"|"&amp;$K6003&amp;"|"&amp;$G6003&amp;"|"&amp;IF($G6003="TX_CURR_SUBNAT.R","CY2022Q4",$M6003),"")</f>
        <v>[vA4NcHxfMBq]|10-14|Male|Incidence_SUBNAT.Rt.T|CY2024Q3</v>
      </c>
    </row>
    <row r="6004" customFormat="false" ht="15" hidden="false" customHeight="false" outlineLevel="0" collapsed="false">
      <c r="D6004" s="0" t="s">
        <v>120</v>
      </c>
      <c r="E6004" s="0" t="s">
        <v>121</v>
      </c>
      <c r="F6004" s="0" t="s">
        <v>122</v>
      </c>
      <c r="G6004" s="0" t="s">
        <v>169</v>
      </c>
      <c r="H6004" s="0" t="s">
        <v>169</v>
      </c>
      <c r="I6004" s="0" t="s">
        <v>38</v>
      </c>
      <c r="J6004" s="0" t="s">
        <v>39</v>
      </c>
      <c r="K6004" s="0" t="s">
        <v>48</v>
      </c>
      <c r="L6004" s="0" t="s">
        <v>49</v>
      </c>
      <c r="M6004" s="0" t="s">
        <v>167</v>
      </c>
      <c r="N6004" s="0" t="n">
        <v>1986</v>
      </c>
      <c r="O6004" s="10" t="n">
        <v>0.686950162053108</v>
      </c>
      <c r="P6004" s="10" t="n">
        <v>0.430103979306296</v>
      </c>
      <c r="Q6004" s="0" t="str">
        <f aca="false">SUBSTITUTE(SUBSTITUTE($I6004,CHAR(61),""),CHAR(34),"")</f>
        <v>15-24</v>
      </c>
      <c r="R6004" s="0" t="str">
        <f aca="false">IF($D6004&lt;&gt;"","["&amp;$E6004&amp;"]"&amp;"|"&amp;$Q6004&amp;"|"&amp;$K6004&amp;"|"&amp;$G6004&amp;"|"&amp;IF($G6004="TX_CURR_SUBNAT.R","CY2022Q4",$M6004),"")</f>
        <v>[vA4NcHxfMBq]|15-24|Male|Incidence_SUBNAT.Rt.T|CY2024Q3</v>
      </c>
    </row>
    <row r="6005" customFormat="false" ht="15" hidden="false" customHeight="false" outlineLevel="0" collapsed="false">
      <c r="D6005" s="0" t="s">
        <v>120</v>
      </c>
      <c r="E6005" s="0" t="s">
        <v>121</v>
      </c>
      <c r="F6005" s="0" t="s">
        <v>122</v>
      </c>
      <c r="G6005" s="0" t="s">
        <v>169</v>
      </c>
      <c r="H6005" s="0" t="s">
        <v>169</v>
      </c>
      <c r="I6005" s="0" t="s">
        <v>41</v>
      </c>
      <c r="J6005" s="0" t="s">
        <v>42</v>
      </c>
      <c r="K6005" s="0" t="s">
        <v>48</v>
      </c>
      <c r="L6005" s="0" t="s">
        <v>49</v>
      </c>
      <c r="M6005" s="0" t="s">
        <v>167</v>
      </c>
      <c r="N6005" s="0" t="n">
        <v>1261</v>
      </c>
      <c r="O6005" s="10" t="n">
        <v>0.712000554194674</v>
      </c>
      <c r="P6005" s="10" t="n">
        <v>0.430103979306296</v>
      </c>
      <c r="Q6005" s="0" t="str">
        <f aca="false">SUBSTITUTE(SUBSTITUTE($I6005,CHAR(61),""),CHAR(34),"")</f>
        <v>25-34</v>
      </c>
      <c r="R6005" s="0" t="str">
        <f aca="false">IF($D6005&lt;&gt;"","["&amp;$E6005&amp;"]"&amp;"|"&amp;$Q6005&amp;"|"&amp;$K6005&amp;"|"&amp;$G6005&amp;"|"&amp;IF($G6005="TX_CURR_SUBNAT.R","CY2022Q4",$M6005),"")</f>
        <v>[vA4NcHxfMBq]|25-34|Male|Incidence_SUBNAT.Rt.T|CY2024Q3</v>
      </c>
    </row>
    <row r="6006" customFormat="false" ht="15" hidden="false" customHeight="false" outlineLevel="0" collapsed="false">
      <c r="D6006" s="0" t="s">
        <v>120</v>
      </c>
      <c r="E6006" s="0" t="s">
        <v>121</v>
      </c>
      <c r="F6006" s="0" t="s">
        <v>122</v>
      </c>
      <c r="G6006" s="0" t="s">
        <v>169</v>
      </c>
      <c r="H6006" s="0" t="s">
        <v>169</v>
      </c>
      <c r="I6006" s="0" t="s">
        <v>43</v>
      </c>
      <c r="J6006" s="0" t="s">
        <v>44</v>
      </c>
      <c r="K6006" s="0" t="s">
        <v>48</v>
      </c>
      <c r="L6006" s="0" t="s">
        <v>49</v>
      </c>
      <c r="M6006" s="0" t="s">
        <v>167</v>
      </c>
      <c r="N6006" s="0" t="n">
        <v>1433</v>
      </c>
      <c r="O6006" s="10" t="n">
        <v>0.127233229810372</v>
      </c>
      <c r="P6006" s="10" t="n">
        <v>0.430103979306296</v>
      </c>
      <c r="Q6006" s="0" t="str">
        <f aca="false">SUBSTITUTE(SUBSTITUTE($I6006,CHAR(61),""),CHAR(34),"")</f>
        <v>35-49</v>
      </c>
      <c r="R6006" s="0" t="str">
        <f aca="false">IF($D6006&lt;&gt;"","["&amp;$E6006&amp;"]"&amp;"|"&amp;$Q6006&amp;"|"&amp;$K6006&amp;"|"&amp;$G6006&amp;"|"&amp;IF($G6006="TX_CURR_SUBNAT.R","CY2022Q4",$M6006),"")</f>
        <v>[vA4NcHxfMBq]|35-49|Male|Incidence_SUBNAT.Rt.T|CY2024Q3</v>
      </c>
    </row>
    <row r="6007" customFormat="false" ht="15" hidden="false" customHeight="false" outlineLevel="0" collapsed="false">
      <c r="D6007" s="0" t="s">
        <v>120</v>
      </c>
      <c r="E6007" s="0" t="s">
        <v>121</v>
      </c>
      <c r="F6007" s="0" t="s">
        <v>122</v>
      </c>
      <c r="G6007" s="0" t="s">
        <v>169</v>
      </c>
      <c r="H6007" s="0" t="s">
        <v>169</v>
      </c>
      <c r="I6007" s="0" t="s">
        <v>45</v>
      </c>
      <c r="J6007" s="0" t="s">
        <v>46</v>
      </c>
      <c r="K6007" s="0" t="s">
        <v>48</v>
      </c>
      <c r="L6007" s="0" t="s">
        <v>49</v>
      </c>
      <c r="M6007" s="0" t="s">
        <v>167</v>
      </c>
      <c r="N6007" s="0" t="n">
        <v>871</v>
      </c>
      <c r="O6007" s="10" t="n">
        <v>0.240819124272093</v>
      </c>
      <c r="P6007" s="10" t="n">
        <v>0.430103979306296</v>
      </c>
      <c r="Q6007" s="0" t="str">
        <f aca="false">SUBSTITUTE(SUBSTITUTE($I6007,CHAR(61),""),CHAR(34),"")</f>
        <v>50+</v>
      </c>
      <c r="R6007" s="0" t="str">
        <f aca="false">IF($D6007&lt;&gt;"","["&amp;$E6007&amp;"]"&amp;"|"&amp;$Q6007&amp;"|"&amp;$K6007&amp;"|"&amp;$G6007&amp;"|"&amp;IF($G6007="TX_CURR_SUBNAT.R","CY2022Q4",$M6007),"")</f>
        <v>[vA4NcHxfMBq]|50+|Male|Incidence_SUBNAT.Rt.T|CY2024Q3</v>
      </c>
    </row>
    <row r="6008" customFormat="false" ht="15" hidden="false" customHeight="false" outlineLevel="0" collapsed="false">
      <c r="D6008" s="0" t="s">
        <v>123</v>
      </c>
      <c r="E6008" s="0" t="s">
        <v>124</v>
      </c>
      <c r="F6008" s="0" t="s">
        <v>125</v>
      </c>
      <c r="G6008" s="0" t="s">
        <v>169</v>
      </c>
      <c r="H6008" s="0" t="s">
        <v>169</v>
      </c>
      <c r="I6008" s="0" t="s">
        <v>28</v>
      </c>
      <c r="J6008" s="0" t="s">
        <v>29</v>
      </c>
      <c r="K6008" s="0" t="s">
        <v>30</v>
      </c>
      <c r="L6008" s="0" t="s">
        <v>31</v>
      </c>
      <c r="M6008" s="0" t="s">
        <v>167</v>
      </c>
      <c r="N6008" s="0" t="n">
        <v>924</v>
      </c>
      <c r="O6008" s="10" t="n">
        <v>0.334726520814002</v>
      </c>
      <c r="P6008" s="10" t="n">
        <v>0.419500603340566</v>
      </c>
      <c r="Q6008" s="0" t="str">
        <f aca="false">SUBSTITUTE(SUBSTITUTE($I6008,CHAR(61),""),CHAR(34),"")</f>
        <v>&lt;01</v>
      </c>
      <c r="R6008" s="0" t="str">
        <f aca="false">IF($D6008&lt;&gt;"","["&amp;$E6008&amp;"]"&amp;"|"&amp;$Q6008&amp;"|"&amp;$K6008&amp;"|"&amp;$G6008&amp;"|"&amp;IF($G6008="TX_CURR_SUBNAT.R","CY2022Q4",$M6008),"")</f>
        <v>[E7zpfyBt7Tw]|&lt;01|Female|Incidence_SUBNAT.Rt.T|CY2024Q3</v>
      </c>
    </row>
    <row r="6009" customFormat="false" ht="15" hidden="false" customHeight="false" outlineLevel="0" collapsed="false">
      <c r="D6009" s="0" t="s">
        <v>123</v>
      </c>
      <c r="E6009" s="0" t="s">
        <v>124</v>
      </c>
      <c r="F6009" s="0" t="s">
        <v>125</v>
      </c>
      <c r="G6009" s="0" t="s">
        <v>169</v>
      </c>
      <c r="H6009" s="0" t="s">
        <v>169</v>
      </c>
      <c r="I6009" s="0" t="s">
        <v>33</v>
      </c>
      <c r="J6009" s="0" t="s">
        <v>34</v>
      </c>
      <c r="K6009" s="0" t="s">
        <v>30</v>
      </c>
      <c r="L6009" s="0" t="s">
        <v>31</v>
      </c>
      <c r="M6009" s="0" t="s">
        <v>167</v>
      </c>
      <c r="N6009" s="0" t="n">
        <v>636</v>
      </c>
      <c r="O6009" s="10" t="n">
        <v>0.00484039541333914</v>
      </c>
      <c r="P6009" s="10" t="n">
        <v>0.419500603340566</v>
      </c>
      <c r="Q6009" s="0" t="str">
        <f aca="false">SUBSTITUTE(SUBSTITUTE($I6009,CHAR(61),""),CHAR(34),"")</f>
        <v>01-09</v>
      </c>
      <c r="R6009" s="0" t="str">
        <f aca="false">IF($D6009&lt;&gt;"","["&amp;$E6009&amp;"]"&amp;"|"&amp;$Q6009&amp;"|"&amp;$K6009&amp;"|"&amp;$G6009&amp;"|"&amp;IF($G6009="TX_CURR_SUBNAT.R","CY2022Q4",$M6009),"")</f>
        <v>[E7zpfyBt7Tw]|01-09|Female|Incidence_SUBNAT.Rt.T|CY2024Q3</v>
      </c>
    </row>
    <row r="6010" customFormat="false" ht="15" hidden="false" customHeight="false" outlineLevel="0" collapsed="false">
      <c r="D6010" s="0" t="s">
        <v>123</v>
      </c>
      <c r="E6010" s="0" t="s">
        <v>124</v>
      </c>
      <c r="F6010" s="0" t="s">
        <v>125</v>
      </c>
      <c r="G6010" s="0" t="s">
        <v>169</v>
      </c>
      <c r="H6010" s="0" t="s">
        <v>169</v>
      </c>
      <c r="I6010" s="0" t="s">
        <v>36</v>
      </c>
      <c r="J6010" s="0" t="s">
        <v>37</v>
      </c>
      <c r="K6010" s="0" t="s">
        <v>30</v>
      </c>
      <c r="L6010" s="0" t="s">
        <v>31</v>
      </c>
      <c r="M6010" s="0" t="s">
        <v>167</v>
      </c>
      <c r="N6010" s="0" t="n">
        <v>1722</v>
      </c>
      <c r="O6010" s="10" t="n">
        <v>0.669855173677206</v>
      </c>
      <c r="P6010" s="10" t="n">
        <v>0.419500603340566</v>
      </c>
      <c r="Q6010" s="0" t="str">
        <f aca="false">SUBSTITUTE(SUBSTITUTE($I6010,CHAR(61),""),CHAR(34),"")</f>
        <v>10-14</v>
      </c>
      <c r="R6010" s="0" t="str">
        <f aca="false">IF($D6010&lt;&gt;"","["&amp;$E6010&amp;"]"&amp;"|"&amp;$Q6010&amp;"|"&amp;$K6010&amp;"|"&amp;$G6010&amp;"|"&amp;IF($G6010="TX_CURR_SUBNAT.R","CY2022Q4",$M6010),"")</f>
        <v>[E7zpfyBt7Tw]|10-14|Female|Incidence_SUBNAT.Rt.T|CY2024Q3</v>
      </c>
    </row>
    <row r="6011" customFormat="false" ht="15" hidden="false" customHeight="false" outlineLevel="0" collapsed="false">
      <c r="D6011" s="0" t="s">
        <v>123</v>
      </c>
      <c r="E6011" s="0" t="s">
        <v>124</v>
      </c>
      <c r="F6011" s="0" t="s">
        <v>125</v>
      </c>
      <c r="G6011" s="0" t="s">
        <v>169</v>
      </c>
      <c r="H6011" s="0" t="s">
        <v>169</v>
      </c>
      <c r="I6011" s="0" t="s">
        <v>38</v>
      </c>
      <c r="J6011" s="0" t="s">
        <v>39</v>
      </c>
      <c r="K6011" s="0" t="s">
        <v>30</v>
      </c>
      <c r="L6011" s="0" t="s">
        <v>31</v>
      </c>
      <c r="M6011" s="0" t="s">
        <v>167</v>
      </c>
      <c r="N6011" s="0" t="n">
        <v>1776</v>
      </c>
      <c r="O6011" s="10" t="n">
        <v>0.394020857987925</v>
      </c>
      <c r="P6011" s="10" t="n">
        <v>0.419500603340566</v>
      </c>
      <c r="Q6011" s="0" t="str">
        <f aca="false">SUBSTITUTE(SUBSTITUTE($I6011,CHAR(61),""),CHAR(34),"")</f>
        <v>15-24</v>
      </c>
      <c r="R6011" s="0" t="str">
        <f aca="false">IF($D6011&lt;&gt;"","["&amp;$E6011&amp;"]"&amp;"|"&amp;$Q6011&amp;"|"&amp;$K6011&amp;"|"&amp;$G6011&amp;"|"&amp;IF($G6011="TX_CURR_SUBNAT.R","CY2022Q4",$M6011),"")</f>
        <v>[E7zpfyBt7Tw]|15-24|Female|Incidence_SUBNAT.Rt.T|CY2024Q3</v>
      </c>
    </row>
    <row r="6012" customFormat="false" ht="15" hidden="false" customHeight="false" outlineLevel="0" collapsed="false">
      <c r="D6012" s="0" t="s">
        <v>123</v>
      </c>
      <c r="E6012" s="0" t="s">
        <v>124</v>
      </c>
      <c r="F6012" s="0" t="s">
        <v>125</v>
      </c>
      <c r="G6012" s="0" t="s">
        <v>169</v>
      </c>
      <c r="H6012" s="0" t="s">
        <v>169</v>
      </c>
      <c r="I6012" s="0" t="s">
        <v>41</v>
      </c>
      <c r="J6012" s="0" t="s">
        <v>42</v>
      </c>
      <c r="K6012" s="0" t="s">
        <v>30</v>
      </c>
      <c r="L6012" s="0" t="s">
        <v>31</v>
      </c>
      <c r="M6012" s="0" t="s">
        <v>167</v>
      </c>
      <c r="N6012" s="0" t="n">
        <v>611</v>
      </c>
      <c r="O6012" s="10" t="n">
        <v>0.557932735886425</v>
      </c>
      <c r="P6012" s="10" t="n">
        <v>0.419500603340566</v>
      </c>
      <c r="Q6012" s="0" t="str">
        <f aca="false">SUBSTITUTE(SUBSTITUTE($I6012,CHAR(61),""),CHAR(34),"")</f>
        <v>25-34</v>
      </c>
      <c r="R6012" s="0" t="str">
        <f aca="false">IF($D6012&lt;&gt;"","["&amp;$E6012&amp;"]"&amp;"|"&amp;$Q6012&amp;"|"&amp;$K6012&amp;"|"&amp;$G6012&amp;"|"&amp;IF($G6012="TX_CURR_SUBNAT.R","CY2022Q4",$M6012),"")</f>
        <v>[E7zpfyBt7Tw]|25-34|Female|Incidence_SUBNAT.Rt.T|CY2024Q3</v>
      </c>
    </row>
    <row r="6013" customFormat="false" ht="15" hidden="false" customHeight="false" outlineLevel="0" collapsed="false">
      <c r="D6013" s="0" t="s">
        <v>123</v>
      </c>
      <c r="E6013" s="0" t="s">
        <v>124</v>
      </c>
      <c r="F6013" s="0" t="s">
        <v>125</v>
      </c>
      <c r="G6013" s="0" t="s">
        <v>169</v>
      </c>
      <c r="H6013" s="0" t="s">
        <v>169</v>
      </c>
      <c r="I6013" s="0" t="s">
        <v>43</v>
      </c>
      <c r="J6013" s="0" t="s">
        <v>44</v>
      </c>
      <c r="K6013" s="0" t="s">
        <v>30</v>
      </c>
      <c r="L6013" s="0" t="s">
        <v>31</v>
      </c>
      <c r="M6013" s="0" t="s">
        <v>167</v>
      </c>
      <c r="N6013" s="0" t="n">
        <v>1156</v>
      </c>
      <c r="O6013" s="10" t="n">
        <v>0.104917941614985</v>
      </c>
      <c r="P6013" s="10" t="n">
        <v>0.419500603340566</v>
      </c>
      <c r="Q6013" s="0" t="str">
        <f aca="false">SUBSTITUTE(SUBSTITUTE($I6013,CHAR(61),""),CHAR(34),"")</f>
        <v>35-49</v>
      </c>
      <c r="R6013" s="0" t="str">
        <f aca="false">IF($D6013&lt;&gt;"","["&amp;$E6013&amp;"]"&amp;"|"&amp;$Q6013&amp;"|"&amp;$K6013&amp;"|"&amp;$G6013&amp;"|"&amp;IF($G6013="TX_CURR_SUBNAT.R","CY2022Q4",$M6013),"")</f>
        <v>[E7zpfyBt7Tw]|35-49|Female|Incidence_SUBNAT.Rt.T|CY2024Q3</v>
      </c>
    </row>
    <row r="6014" customFormat="false" ht="15" hidden="false" customHeight="false" outlineLevel="0" collapsed="false">
      <c r="D6014" s="0" t="s">
        <v>123</v>
      </c>
      <c r="E6014" s="0" t="s">
        <v>124</v>
      </c>
      <c r="F6014" s="0" t="s">
        <v>125</v>
      </c>
      <c r="G6014" s="0" t="s">
        <v>169</v>
      </c>
      <c r="H6014" s="0" t="s">
        <v>169</v>
      </c>
      <c r="I6014" s="0" t="s">
        <v>45</v>
      </c>
      <c r="J6014" s="0" t="s">
        <v>46</v>
      </c>
      <c r="K6014" s="0" t="s">
        <v>30</v>
      </c>
      <c r="L6014" s="0" t="s">
        <v>31</v>
      </c>
      <c r="M6014" s="0" t="s">
        <v>167</v>
      </c>
      <c r="N6014" s="0" t="n">
        <v>534</v>
      </c>
      <c r="O6014" s="10" t="n">
        <v>0.240773576078936</v>
      </c>
      <c r="P6014" s="10" t="n">
        <v>0.419500603340566</v>
      </c>
      <c r="Q6014" s="0" t="str">
        <f aca="false">SUBSTITUTE(SUBSTITUTE($I6014,CHAR(61),""),CHAR(34),"")</f>
        <v>50+</v>
      </c>
      <c r="R6014" s="0" t="str">
        <f aca="false">IF($D6014&lt;&gt;"","["&amp;$E6014&amp;"]"&amp;"|"&amp;$Q6014&amp;"|"&amp;$K6014&amp;"|"&amp;$G6014&amp;"|"&amp;IF($G6014="TX_CURR_SUBNAT.R","CY2022Q4",$M6014),"")</f>
        <v>[E7zpfyBt7Tw]|50+|Female|Incidence_SUBNAT.Rt.T|CY2024Q3</v>
      </c>
    </row>
    <row r="6015" customFormat="false" ht="15" hidden="false" customHeight="false" outlineLevel="0" collapsed="false">
      <c r="D6015" s="0" t="s">
        <v>123</v>
      </c>
      <c r="E6015" s="0" t="s">
        <v>124</v>
      </c>
      <c r="F6015" s="0" t="s">
        <v>125</v>
      </c>
      <c r="G6015" s="0" t="s">
        <v>169</v>
      </c>
      <c r="H6015" s="0" t="s">
        <v>169</v>
      </c>
      <c r="I6015" s="0" t="s">
        <v>28</v>
      </c>
      <c r="J6015" s="0" t="s">
        <v>29</v>
      </c>
      <c r="K6015" s="0" t="s">
        <v>48</v>
      </c>
      <c r="L6015" s="0" t="s">
        <v>49</v>
      </c>
      <c r="M6015" s="0" t="s">
        <v>167</v>
      </c>
      <c r="N6015" s="0" t="n">
        <v>1288</v>
      </c>
      <c r="O6015" s="10" t="n">
        <v>0.465978650609031</v>
      </c>
      <c r="P6015" s="10" t="n">
        <v>0.419500603340566</v>
      </c>
      <c r="Q6015" s="0" t="str">
        <f aca="false">SUBSTITUTE(SUBSTITUTE($I6015,CHAR(61),""),CHAR(34),"")</f>
        <v>&lt;01</v>
      </c>
      <c r="R6015" s="0" t="str">
        <f aca="false">IF($D6015&lt;&gt;"","["&amp;$E6015&amp;"]"&amp;"|"&amp;$Q6015&amp;"|"&amp;$K6015&amp;"|"&amp;$G6015&amp;"|"&amp;IF($G6015="TX_CURR_SUBNAT.R","CY2022Q4",$M6015),"")</f>
        <v>[E7zpfyBt7Tw]|&lt;01|Male|Incidence_SUBNAT.Rt.T|CY2024Q3</v>
      </c>
    </row>
    <row r="6016" customFormat="false" ht="15" hidden="false" customHeight="false" outlineLevel="0" collapsed="false">
      <c r="D6016" s="0" t="s">
        <v>123</v>
      </c>
      <c r="E6016" s="0" t="s">
        <v>124</v>
      </c>
      <c r="F6016" s="0" t="s">
        <v>125</v>
      </c>
      <c r="G6016" s="0" t="s">
        <v>169</v>
      </c>
      <c r="H6016" s="0" t="s">
        <v>169</v>
      </c>
      <c r="I6016" s="0" t="s">
        <v>33</v>
      </c>
      <c r="J6016" s="0" t="s">
        <v>34</v>
      </c>
      <c r="K6016" s="0" t="s">
        <v>48</v>
      </c>
      <c r="L6016" s="0" t="s">
        <v>49</v>
      </c>
      <c r="M6016" s="0" t="s">
        <v>167</v>
      </c>
      <c r="N6016" s="0" t="n">
        <v>1242</v>
      </c>
      <c r="O6016" s="10" t="n">
        <v>0.718311274889857</v>
      </c>
      <c r="P6016" s="10" t="n">
        <v>0.419500603340566</v>
      </c>
      <c r="Q6016" s="0" t="str">
        <f aca="false">SUBSTITUTE(SUBSTITUTE($I6016,CHAR(61),""),CHAR(34),"")</f>
        <v>01-09</v>
      </c>
      <c r="R6016" s="0" t="str">
        <f aca="false">IF($D6016&lt;&gt;"","["&amp;$E6016&amp;"]"&amp;"|"&amp;$Q6016&amp;"|"&amp;$K6016&amp;"|"&amp;$G6016&amp;"|"&amp;IF($G6016="TX_CURR_SUBNAT.R","CY2022Q4",$M6016),"")</f>
        <v>[E7zpfyBt7Tw]|01-09|Male|Incidence_SUBNAT.Rt.T|CY2024Q3</v>
      </c>
    </row>
    <row r="6017" customFormat="false" ht="15" hidden="false" customHeight="false" outlineLevel="0" collapsed="false">
      <c r="D6017" s="0" t="s">
        <v>123</v>
      </c>
      <c r="E6017" s="0" t="s">
        <v>124</v>
      </c>
      <c r="F6017" s="0" t="s">
        <v>125</v>
      </c>
      <c r="G6017" s="0" t="s">
        <v>169</v>
      </c>
      <c r="H6017" s="0" t="s">
        <v>169</v>
      </c>
      <c r="I6017" s="0" t="s">
        <v>36</v>
      </c>
      <c r="J6017" s="0" t="s">
        <v>37</v>
      </c>
      <c r="K6017" s="0" t="s">
        <v>48</v>
      </c>
      <c r="L6017" s="0" t="s">
        <v>49</v>
      </c>
      <c r="M6017" s="0" t="s">
        <v>167</v>
      </c>
      <c r="N6017" s="0" t="n">
        <v>1754</v>
      </c>
      <c r="O6017" s="10" t="n">
        <v>0.629508263431489</v>
      </c>
      <c r="P6017" s="10" t="n">
        <v>0.419500603340566</v>
      </c>
      <c r="Q6017" s="0" t="str">
        <f aca="false">SUBSTITUTE(SUBSTITUTE($I6017,CHAR(61),""),CHAR(34),"")</f>
        <v>10-14</v>
      </c>
      <c r="R6017" s="0" t="str">
        <f aca="false">IF($D6017&lt;&gt;"","["&amp;$E6017&amp;"]"&amp;"|"&amp;$Q6017&amp;"|"&amp;$K6017&amp;"|"&amp;$G6017&amp;"|"&amp;IF($G6017="TX_CURR_SUBNAT.R","CY2022Q4",$M6017),"")</f>
        <v>[E7zpfyBt7Tw]|10-14|Male|Incidence_SUBNAT.Rt.T|CY2024Q3</v>
      </c>
    </row>
    <row r="6018" customFormat="false" ht="15" hidden="false" customHeight="false" outlineLevel="0" collapsed="false">
      <c r="D6018" s="0" t="s">
        <v>123</v>
      </c>
      <c r="E6018" s="0" t="s">
        <v>124</v>
      </c>
      <c r="F6018" s="0" t="s">
        <v>125</v>
      </c>
      <c r="G6018" s="0" t="s">
        <v>169</v>
      </c>
      <c r="H6018" s="0" t="s">
        <v>169</v>
      </c>
      <c r="I6018" s="0" t="s">
        <v>38</v>
      </c>
      <c r="J6018" s="0" t="s">
        <v>39</v>
      </c>
      <c r="K6018" s="0" t="s">
        <v>48</v>
      </c>
      <c r="L6018" s="0" t="s">
        <v>49</v>
      </c>
      <c r="M6018" s="0" t="s">
        <v>167</v>
      </c>
      <c r="N6018" s="0" t="n">
        <v>1301</v>
      </c>
      <c r="O6018" s="10" t="n">
        <v>0.997149039059877</v>
      </c>
      <c r="P6018" s="10" t="n">
        <v>0.419500603340566</v>
      </c>
      <c r="Q6018" s="0" t="str">
        <f aca="false">SUBSTITUTE(SUBSTITUTE($I6018,CHAR(61),""),CHAR(34),"")</f>
        <v>15-24</v>
      </c>
      <c r="R6018" s="0" t="str">
        <f aca="false">IF($D6018&lt;&gt;"","["&amp;$E6018&amp;"]"&amp;"|"&amp;$Q6018&amp;"|"&amp;$K6018&amp;"|"&amp;$G6018&amp;"|"&amp;IF($G6018="TX_CURR_SUBNAT.R","CY2022Q4",$M6018),"")</f>
        <v>[E7zpfyBt7Tw]|15-24|Male|Incidence_SUBNAT.Rt.T|CY2024Q3</v>
      </c>
    </row>
    <row r="6019" customFormat="false" ht="15" hidden="false" customHeight="false" outlineLevel="0" collapsed="false">
      <c r="D6019" s="0" t="s">
        <v>123</v>
      </c>
      <c r="E6019" s="0" t="s">
        <v>124</v>
      </c>
      <c r="F6019" s="0" t="s">
        <v>125</v>
      </c>
      <c r="G6019" s="0" t="s">
        <v>169</v>
      </c>
      <c r="H6019" s="0" t="s">
        <v>169</v>
      </c>
      <c r="I6019" s="0" t="s">
        <v>41</v>
      </c>
      <c r="J6019" s="0" t="s">
        <v>42</v>
      </c>
      <c r="K6019" s="0" t="s">
        <v>48</v>
      </c>
      <c r="L6019" s="0" t="s">
        <v>49</v>
      </c>
      <c r="M6019" s="0" t="s">
        <v>167</v>
      </c>
      <c r="N6019" s="0" t="n">
        <v>1357</v>
      </c>
      <c r="O6019" s="10" t="n">
        <v>0.0596563713625073</v>
      </c>
      <c r="P6019" s="10" t="n">
        <v>0.419500603340566</v>
      </c>
      <c r="Q6019" s="0" t="str">
        <f aca="false">SUBSTITUTE(SUBSTITUTE($I6019,CHAR(61),""),CHAR(34),"")</f>
        <v>25-34</v>
      </c>
      <c r="R6019" s="0" t="str">
        <f aca="false">IF($D6019&lt;&gt;"","["&amp;$E6019&amp;"]"&amp;"|"&amp;$Q6019&amp;"|"&amp;$K6019&amp;"|"&amp;$G6019&amp;"|"&amp;IF($G6019="TX_CURR_SUBNAT.R","CY2022Q4",$M6019),"")</f>
        <v>[E7zpfyBt7Tw]|25-34|Male|Incidence_SUBNAT.Rt.T|CY2024Q3</v>
      </c>
    </row>
    <row r="6020" customFormat="false" ht="15" hidden="false" customHeight="false" outlineLevel="0" collapsed="false">
      <c r="D6020" s="0" t="s">
        <v>123</v>
      </c>
      <c r="E6020" s="0" t="s">
        <v>124</v>
      </c>
      <c r="F6020" s="0" t="s">
        <v>125</v>
      </c>
      <c r="G6020" s="0" t="s">
        <v>169</v>
      </c>
      <c r="H6020" s="0" t="s">
        <v>169</v>
      </c>
      <c r="I6020" s="0" t="s">
        <v>43</v>
      </c>
      <c r="J6020" s="0" t="s">
        <v>44</v>
      </c>
      <c r="K6020" s="0" t="s">
        <v>48</v>
      </c>
      <c r="L6020" s="0" t="s">
        <v>49</v>
      </c>
      <c r="M6020" s="0" t="s">
        <v>167</v>
      </c>
      <c r="N6020" s="0" t="n">
        <v>1736</v>
      </c>
      <c r="O6020" s="10" t="n">
        <v>0.221096802502871</v>
      </c>
      <c r="P6020" s="10" t="n">
        <v>0.419500603340566</v>
      </c>
      <c r="Q6020" s="0" t="str">
        <f aca="false">SUBSTITUTE(SUBSTITUTE($I6020,CHAR(61),""),CHAR(34),"")</f>
        <v>35-49</v>
      </c>
      <c r="R6020" s="0" t="str">
        <f aca="false">IF($D6020&lt;&gt;"","["&amp;$E6020&amp;"]"&amp;"|"&amp;$Q6020&amp;"|"&amp;$K6020&amp;"|"&amp;$G6020&amp;"|"&amp;IF($G6020="TX_CURR_SUBNAT.R","CY2022Q4",$M6020),"")</f>
        <v>[E7zpfyBt7Tw]|35-49|Male|Incidence_SUBNAT.Rt.T|CY2024Q3</v>
      </c>
    </row>
    <row r="6021" customFormat="false" ht="15" hidden="false" customHeight="false" outlineLevel="0" collapsed="false">
      <c r="D6021" s="0" t="s">
        <v>123</v>
      </c>
      <c r="E6021" s="0" t="s">
        <v>124</v>
      </c>
      <c r="F6021" s="0" t="s">
        <v>125</v>
      </c>
      <c r="G6021" s="0" t="s">
        <v>169</v>
      </c>
      <c r="H6021" s="0" t="s">
        <v>169</v>
      </c>
      <c r="I6021" s="0" t="s">
        <v>45</v>
      </c>
      <c r="J6021" s="0" t="s">
        <v>46</v>
      </c>
      <c r="K6021" s="0" t="s">
        <v>48</v>
      </c>
      <c r="L6021" s="0" t="s">
        <v>49</v>
      </c>
      <c r="M6021" s="0" t="s">
        <v>167</v>
      </c>
      <c r="N6021" s="0" t="n">
        <v>1233</v>
      </c>
      <c r="O6021" s="10" t="n">
        <v>0.122774068266153</v>
      </c>
      <c r="P6021" s="10" t="n">
        <v>0.419500603340566</v>
      </c>
      <c r="Q6021" s="0" t="str">
        <f aca="false">SUBSTITUTE(SUBSTITUTE($I6021,CHAR(61),""),CHAR(34),"")</f>
        <v>50+</v>
      </c>
      <c r="R6021" s="0" t="str">
        <f aca="false">IF($D6021&lt;&gt;"","["&amp;$E6021&amp;"]"&amp;"|"&amp;$Q6021&amp;"|"&amp;$K6021&amp;"|"&amp;$G6021&amp;"|"&amp;IF($G6021="TX_CURR_SUBNAT.R","CY2022Q4",$M6021),"")</f>
        <v>[E7zpfyBt7Tw]|50+|Male|Incidence_SUBNAT.Rt.T|CY2024Q3</v>
      </c>
    </row>
    <row r="6022" customFormat="false" ht="15" hidden="false" customHeight="false" outlineLevel="0" collapsed="false">
      <c r="D6022" s="0" t="s">
        <v>126</v>
      </c>
      <c r="E6022" s="0" t="s">
        <v>127</v>
      </c>
      <c r="F6022" s="0" t="s">
        <v>128</v>
      </c>
      <c r="G6022" s="0" t="s">
        <v>169</v>
      </c>
      <c r="H6022" s="0" t="s">
        <v>169</v>
      </c>
      <c r="I6022" s="0" t="s">
        <v>28</v>
      </c>
      <c r="J6022" s="0" t="s">
        <v>29</v>
      </c>
      <c r="K6022" s="0" t="s">
        <v>30</v>
      </c>
      <c r="L6022" s="0" t="s">
        <v>31</v>
      </c>
      <c r="M6022" s="0" t="s">
        <v>167</v>
      </c>
      <c r="N6022" s="0" t="n">
        <v>1813</v>
      </c>
      <c r="O6022" s="10" t="n">
        <v>0.447571888566017</v>
      </c>
      <c r="P6022" s="10" t="n">
        <v>0.252706390339881</v>
      </c>
      <c r="Q6022" s="0" t="str">
        <f aca="false">SUBSTITUTE(SUBSTITUTE($I6022,CHAR(61),""),CHAR(34),"")</f>
        <v>&lt;01</v>
      </c>
      <c r="R6022" s="0" t="str">
        <f aca="false">IF($D6022&lt;&gt;"","["&amp;$E6022&amp;"]"&amp;"|"&amp;$Q6022&amp;"|"&amp;$K6022&amp;"|"&amp;$G6022&amp;"|"&amp;IF($G6022="TX_CURR_SUBNAT.R","CY2022Q4",$M6022),"")</f>
        <v>[ZCjuwgaMB9u]|&lt;01|Female|Incidence_SUBNAT.Rt.T|CY2024Q3</v>
      </c>
    </row>
    <row r="6023" customFormat="false" ht="15" hidden="false" customHeight="false" outlineLevel="0" collapsed="false">
      <c r="D6023" s="0" t="s">
        <v>126</v>
      </c>
      <c r="E6023" s="0" t="s">
        <v>127</v>
      </c>
      <c r="F6023" s="0" t="s">
        <v>128</v>
      </c>
      <c r="G6023" s="0" t="s">
        <v>169</v>
      </c>
      <c r="H6023" s="0" t="s">
        <v>169</v>
      </c>
      <c r="I6023" s="0" t="s">
        <v>33</v>
      </c>
      <c r="J6023" s="0" t="s">
        <v>34</v>
      </c>
      <c r="K6023" s="0" t="s">
        <v>30</v>
      </c>
      <c r="L6023" s="0" t="s">
        <v>31</v>
      </c>
      <c r="M6023" s="0" t="s">
        <v>167</v>
      </c>
      <c r="N6023" s="0" t="n">
        <v>927</v>
      </c>
      <c r="O6023" s="10" t="n">
        <v>0.872732280055061</v>
      </c>
      <c r="P6023" s="10" t="n">
        <v>0.252706390339881</v>
      </c>
      <c r="Q6023" s="0" t="str">
        <f aca="false">SUBSTITUTE(SUBSTITUTE($I6023,CHAR(61),""),CHAR(34),"")</f>
        <v>01-09</v>
      </c>
      <c r="R6023" s="0" t="str">
        <f aca="false">IF($D6023&lt;&gt;"","["&amp;$E6023&amp;"]"&amp;"|"&amp;$Q6023&amp;"|"&amp;$K6023&amp;"|"&amp;$G6023&amp;"|"&amp;IF($G6023="TX_CURR_SUBNAT.R","CY2022Q4",$M6023),"")</f>
        <v>[ZCjuwgaMB9u]|01-09|Female|Incidence_SUBNAT.Rt.T|CY2024Q3</v>
      </c>
    </row>
    <row r="6024" customFormat="false" ht="15" hidden="false" customHeight="false" outlineLevel="0" collapsed="false">
      <c r="D6024" s="0" t="s">
        <v>126</v>
      </c>
      <c r="E6024" s="0" t="s">
        <v>127</v>
      </c>
      <c r="F6024" s="0" t="s">
        <v>128</v>
      </c>
      <c r="G6024" s="0" t="s">
        <v>169</v>
      </c>
      <c r="H6024" s="0" t="s">
        <v>169</v>
      </c>
      <c r="I6024" s="0" t="s">
        <v>36</v>
      </c>
      <c r="J6024" s="0" t="s">
        <v>37</v>
      </c>
      <c r="K6024" s="0" t="s">
        <v>30</v>
      </c>
      <c r="L6024" s="0" t="s">
        <v>31</v>
      </c>
      <c r="M6024" s="0" t="s">
        <v>167</v>
      </c>
      <c r="N6024" s="0" t="n">
        <v>1310</v>
      </c>
      <c r="O6024" s="10" t="n">
        <v>0.27705188957043</v>
      </c>
      <c r="P6024" s="10" t="n">
        <v>0.252706390339881</v>
      </c>
      <c r="Q6024" s="0" t="str">
        <f aca="false">SUBSTITUTE(SUBSTITUTE($I6024,CHAR(61),""),CHAR(34),"")</f>
        <v>10-14</v>
      </c>
      <c r="R6024" s="0" t="str">
        <f aca="false">IF($D6024&lt;&gt;"","["&amp;$E6024&amp;"]"&amp;"|"&amp;$Q6024&amp;"|"&amp;$K6024&amp;"|"&amp;$G6024&amp;"|"&amp;IF($G6024="TX_CURR_SUBNAT.R","CY2022Q4",$M6024),"")</f>
        <v>[ZCjuwgaMB9u]|10-14|Female|Incidence_SUBNAT.Rt.T|CY2024Q3</v>
      </c>
    </row>
    <row r="6025" customFormat="false" ht="15" hidden="false" customHeight="false" outlineLevel="0" collapsed="false">
      <c r="D6025" s="0" t="s">
        <v>126</v>
      </c>
      <c r="E6025" s="0" t="s">
        <v>127</v>
      </c>
      <c r="F6025" s="0" t="s">
        <v>128</v>
      </c>
      <c r="G6025" s="0" t="s">
        <v>169</v>
      </c>
      <c r="H6025" s="0" t="s">
        <v>169</v>
      </c>
      <c r="I6025" s="0" t="s">
        <v>38</v>
      </c>
      <c r="J6025" s="0" t="s">
        <v>39</v>
      </c>
      <c r="K6025" s="0" t="s">
        <v>30</v>
      </c>
      <c r="L6025" s="0" t="s">
        <v>31</v>
      </c>
      <c r="M6025" s="0" t="s">
        <v>167</v>
      </c>
      <c r="N6025" s="0" t="n">
        <v>1782</v>
      </c>
      <c r="O6025" s="10" t="n">
        <v>0.537872474640608</v>
      </c>
      <c r="P6025" s="10" t="n">
        <v>0.252706390339881</v>
      </c>
      <c r="Q6025" s="0" t="str">
        <f aca="false">SUBSTITUTE(SUBSTITUTE($I6025,CHAR(61),""),CHAR(34),"")</f>
        <v>15-24</v>
      </c>
      <c r="R6025" s="0" t="str">
        <f aca="false">IF($D6025&lt;&gt;"","["&amp;$E6025&amp;"]"&amp;"|"&amp;$Q6025&amp;"|"&amp;$K6025&amp;"|"&amp;$G6025&amp;"|"&amp;IF($G6025="TX_CURR_SUBNAT.R","CY2022Q4",$M6025),"")</f>
        <v>[ZCjuwgaMB9u]|15-24|Female|Incidence_SUBNAT.Rt.T|CY2024Q3</v>
      </c>
    </row>
    <row r="6026" customFormat="false" ht="15" hidden="false" customHeight="false" outlineLevel="0" collapsed="false">
      <c r="D6026" s="0" t="s">
        <v>126</v>
      </c>
      <c r="E6026" s="0" t="s">
        <v>127</v>
      </c>
      <c r="F6026" s="0" t="s">
        <v>128</v>
      </c>
      <c r="G6026" s="0" t="s">
        <v>169</v>
      </c>
      <c r="H6026" s="0" t="s">
        <v>169</v>
      </c>
      <c r="I6026" s="0" t="s">
        <v>41</v>
      </c>
      <c r="J6026" s="0" t="s">
        <v>42</v>
      </c>
      <c r="K6026" s="0" t="s">
        <v>30</v>
      </c>
      <c r="L6026" s="0" t="s">
        <v>31</v>
      </c>
      <c r="M6026" s="0" t="s">
        <v>167</v>
      </c>
      <c r="N6026" s="0" t="n">
        <v>1941</v>
      </c>
      <c r="O6026" s="10" t="n">
        <v>0.181718314997852</v>
      </c>
      <c r="P6026" s="10" t="n">
        <v>0.252706390339881</v>
      </c>
      <c r="Q6026" s="0" t="str">
        <f aca="false">SUBSTITUTE(SUBSTITUTE($I6026,CHAR(61),""),CHAR(34),"")</f>
        <v>25-34</v>
      </c>
      <c r="R6026" s="0" t="str">
        <f aca="false">IF($D6026&lt;&gt;"","["&amp;$E6026&amp;"]"&amp;"|"&amp;$Q6026&amp;"|"&amp;$K6026&amp;"|"&amp;$G6026&amp;"|"&amp;IF($G6026="TX_CURR_SUBNAT.R","CY2022Q4",$M6026),"")</f>
        <v>[ZCjuwgaMB9u]|25-34|Female|Incidence_SUBNAT.Rt.T|CY2024Q3</v>
      </c>
    </row>
    <row r="6027" customFormat="false" ht="15" hidden="false" customHeight="false" outlineLevel="0" collapsed="false">
      <c r="D6027" s="0" t="s">
        <v>126</v>
      </c>
      <c r="E6027" s="0" t="s">
        <v>127</v>
      </c>
      <c r="F6027" s="0" t="s">
        <v>128</v>
      </c>
      <c r="G6027" s="0" t="s">
        <v>169</v>
      </c>
      <c r="H6027" s="0" t="s">
        <v>169</v>
      </c>
      <c r="I6027" s="0" t="s">
        <v>43</v>
      </c>
      <c r="J6027" s="0" t="s">
        <v>44</v>
      </c>
      <c r="K6027" s="0" t="s">
        <v>30</v>
      </c>
      <c r="L6027" s="0" t="s">
        <v>31</v>
      </c>
      <c r="M6027" s="0" t="s">
        <v>167</v>
      </c>
      <c r="N6027" s="0" t="n">
        <v>1696</v>
      </c>
      <c r="O6027" s="10" t="n">
        <v>0.838951203739271</v>
      </c>
      <c r="P6027" s="10" t="n">
        <v>0.252706390339881</v>
      </c>
      <c r="Q6027" s="0" t="str">
        <f aca="false">SUBSTITUTE(SUBSTITUTE($I6027,CHAR(61),""),CHAR(34),"")</f>
        <v>35-49</v>
      </c>
      <c r="R6027" s="0" t="str">
        <f aca="false">IF($D6027&lt;&gt;"","["&amp;$E6027&amp;"]"&amp;"|"&amp;$Q6027&amp;"|"&amp;$K6027&amp;"|"&amp;$G6027&amp;"|"&amp;IF($G6027="TX_CURR_SUBNAT.R","CY2022Q4",$M6027),"")</f>
        <v>[ZCjuwgaMB9u]|35-49|Female|Incidence_SUBNAT.Rt.T|CY2024Q3</v>
      </c>
    </row>
    <row r="6028" customFormat="false" ht="15" hidden="false" customHeight="false" outlineLevel="0" collapsed="false">
      <c r="D6028" s="0" t="s">
        <v>126</v>
      </c>
      <c r="E6028" s="0" t="s">
        <v>127</v>
      </c>
      <c r="F6028" s="0" t="s">
        <v>128</v>
      </c>
      <c r="G6028" s="0" t="s">
        <v>169</v>
      </c>
      <c r="H6028" s="0" t="s">
        <v>169</v>
      </c>
      <c r="I6028" s="0" t="s">
        <v>45</v>
      </c>
      <c r="J6028" s="0" t="s">
        <v>46</v>
      </c>
      <c r="K6028" s="0" t="s">
        <v>30</v>
      </c>
      <c r="L6028" s="0" t="s">
        <v>31</v>
      </c>
      <c r="M6028" s="0" t="s">
        <v>167</v>
      </c>
      <c r="N6028" s="0" t="n">
        <v>1993</v>
      </c>
      <c r="O6028" s="10" t="n">
        <v>0.84979374636896</v>
      </c>
      <c r="P6028" s="10" t="n">
        <v>0.252706390339881</v>
      </c>
      <c r="Q6028" s="0" t="str">
        <f aca="false">SUBSTITUTE(SUBSTITUTE($I6028,CHAR(61),""),CHAR(34),"")</f>
        <v>50+</v>
      </c>
      <c r="R6028" s="0" t="str">
        <f aca="false">IF($D6028&lt;&gt;"","["&amp;$E6028&amp;"]"&amp;"|"&amp;$Q6028&amp;"|"&amp;$K6028&amp;"|"&amp;$G6028&amp;"|"&amp;IF($G6028="TX_CURR_SUBNAT.R","CY2022Q4",$M6028),"")</f>
        <v>[ZCjuwgaMB9u]|50+|Female|Incidence_SUBNAT.Rt.T|CY2024Q3</v>
      </c>
    </row>
    <row r="6029" customFormat="false" ht="15" hidden="false" customHeight="false" outlineLevel="0" collapsed="false">
      <c r="D6029" s="0" t="s">
        <v>126</v>
      </c>
      <c r="E6029" s="0" t="s">
        <v>127</v>
      </c>
      <c r="F6029" s="0" t="s">
        <v>128</v>
      </c>
      <c r="G6029" s="0" t="s">
        <v>169</v>
      </c>
      <c r="H6029" s="0" t="s">
        <v>169</v>
      </c>
      <c r="I6029" s="0" t="s">
        <v>28</v>
      </c>
      <c r="J6029" s="0" t="s">
        <v>29</v>
      </c>
      <c r="K6029" s="0" t="s">
        <v>48</v>
      </c>
      <c r="L6029" s="0" t="s">
        <v>49</v>
      </c>
      <c r="M6029" s="0" t="s">
        <v>167</v>
      </c>
      <c r="N6029" s="0" t="n">
        <v>1500</v>
      </c>
      <c r="O6029" s="10" t="n">
        <v>0.376349867787212</v>
      </c>
      <c r="P6029" s="10" t="n">
        <v>0.252706390339881</v>
      </c>
      <c r="Q6029" s="0" t="str">
        <f aca="false">SUBSTITUTE(SUBSTITUTE($I6029,CHAR(61),""),CHAR(34),"")</f>
        <v>&lt;01</v>
      </c>
      <c r="R6029" s="0" t="str">
        <f aca="false">IF($D6029&lt;&gt;"","["&amp;$E6029&amp;"]"&amp;"|"&amp;$Q6029&amp;"|"&amp;$K6029&amp;"|"&amp;$G6029&amp;"|"&amp;IF($G6029="TX_CURR_SUBNAT.R","CY2022Q4",$M6029),"")</f>
        <v>[ZCjuwgaMB9u]|&lt;01|Male|Incidence_SUBNAT.Rt.T|CY2024Q3</v>
      </c>
    </row>
    <row r="6030" customFormat="false" ht="15" hidden="false" customHeight="false" outlineLevel="0" collapsed="false">
      <c r="D6030" s="0" t="s">
        <v>126</v>
      </c>
      <c r="E6030" s="0" t="s">
        <v>127</v>
      </c>
      <c r="F6030" s="0" t="s">
        <v>128</v>
      </c>
      <c r="G6030" s="0" t="s">
        <v>169</v>
      </c>
      <c r="H6030" s="0" t="s">
        <v>169</v>
      </c>
      <c r="I6030" s="0" t="s">
        <v>33</v>
      </c>
      <c r="J6030" s="0" t="s">
        <v>34</v>
      </c>
      <c r="K6030" s="0" t="s">
        <v>48</v>
      </c>
      <c r="L6030" s="0" t="s">
        <v>49</v>
      </c>
      <c r="M6030" s="0" t="s">
        <v>167</v>
      </c>
      <c r="N6030" s="0" t="n">
        <v>1955</v>
      </c>
      <c r="O6030" s="10" t="n">
        <v>0.0156745461281389</v>
      </c>
      <c r="P6030" s="10" t="n">
        <v>0.252706390339881</v>
      </c>
      <c r="Q6030" s="0" t="str">
        <f aca="false">SUBSTITUTE(SUBSTITUTE($I6030,CHAR(61),""),CHAR(34),"")</f>
        <v>01-09</v>
      </c>
      <c r="R6030" s="0" t="str">
        <f aca="false">IF($D6030&lt;&gt;"","["&amp;$E6030&amp;"]"&amp;"|"&amp;$Q6030&amp;"|"&amp;$K6030&amp;"|"&amp;$G6030&amp;"|"&amp;IF($G6030="TX_CURR_SUBNAT.R","CY2022Q4",$M6030),"")</f>
        <v>[ZCjuwgaMB9u]|01-09|Male|Incidence_SUBNAT.Rt.T|CY2024Q3</v>
      </c>
    </row>
    <row r="6031" customFormat="false" ht="15" hidden="false" customHeight="false" outlineLevel="0" collapsed="false">
      <c r="D6031" s="0" t="s">
        <v>126</v>
      </c>
      <c r="E6031" s="0" t="s">
        <v>127</v>
      </c>
      <c r="F6031" s="0" t="s">
        <v>128</v>
      </c>
      <c r="G6031" s="0" t="s">
        <v>169</v>
      </c>
      <c r="H6031" s="0" t="s">
        <v>169</v>
      </c>
      <c r="I6031" s="0" t="s">
        <v>36</v>
      </c>
      <c r="J6031" s="0" t="s">
        <v>37</v>
      </c>
      <c r="K6031" s="0" t="s">
        <v>48</v>
      </c>
      <c r="L6031" s="0" t="s">
        <v>49</v>
      </c>
      <c r="M6031" s="0" t="s">
        <v>167</v>
      </c>
      <c r="N6031" s="0" t="n">
        <v>631</v>
      </c>
      <c r="O6031" s="10" t="n">
        <v>0.468021181412041</v>
      </c>
      <c r="P6031" s="10" t="n">
        <v>0.252706390339881</v>
      </c>
      <c r="Q6031" s="0" t="str">
        <f aca="false">SUBSTITUTE(SUBSTITUTE($I6031,CHAR(61),""),CHAR(34),"")</f>
        <v>10-14</v>
      </c>
      <c r="R6031" s="0" t="str">
        <f aca="false">IF($D6031&lt;&gt;"","["&amp;$E6031&amp;"]"&amp;"|"&amp;$Q6031&amp;"|"&amp;$K6031&amp;"|"&amp;$G6031&amp;"|"&amp;IF($G6031="TX_CURR_SUBNAT.R","CY2022Q4",$M6031),"")</f>
        <v>[ZCjuwgaMB9u]|10-14|Male|Incidence_SUBNAT.Rt.T|CY2024Q3</v>
      </c>
    </row>
    <row r="6032" customFormat="false" ht="15" hidden="false" customHeight="false" outlineLevel="0" collapsed="false">
      <c r="D6032" s="0" t="s">
        <v>126</v>
      </c>
      <c r="E6032" s="0" t="s">
        <v>127</v>
      </c>
      <c r="F6032" s="0" t="s">
        <v>128</v>
      </c>
      <c r="G6032" s="0" t="s">
        <v>169</v>
      </c>
      <c r="H6032" s="0" t="s">
        <v>169</v>
      </c>
      <c r="I6032" s="0" t="s">
        <v>38</v>
      </c>
      <c r="J6032" s="0" t="s">
        <v>39</v>
      </c>
      <c r="K6032" s="0" t="s">
        <v>48</v>
      </c>
      <c r="L6032" s="0" t="s">
        <v>49</v>
      </c>
      <c r="M6032" s="0" t="s">
        <v>167</v>
      </c>
      <c r="N6032" s="0" t="n">
        <v>1604</v>
      </c>
      <c r="O6032" s="10" t="n">
        <v>0.686833857325837</v>
      </c>
      <c r="P6032" s="10" t="n">
        <v>0.252706390339881</v>
      </c>
      <c r="Q6032" s="0" t="str">
        <f aca="false">SUBSTITUTE(SUBSTITUTE($I6032,CHAR(61),""),CHAR(34),"")</f>
        <v>15-24</v>
      </c>
      <c r="R6032" s="0" t="str">
        <f aca="false">IF($D6032&lt;&gt;"","["&amp;$E6032&amp;"]"&amp;"|"&amp;$Q6032&amp;"|"&amp;$K6032&amp;"|"&amp;$G6032&amp;"|"&amp;IF($G6032="TX_CURR_SUBNAT.R","CY2022Q4",$M6032),"")</f>
        <v>[ZCjuwgaMB9u]|15-24|Male|Incidence_SUBNAT.Rt.T|CY2024Q3</v>
      </c>
    </row>
    <row r="6033" customFormat="false" ht="15" hidden="false" customHeight="false" outlineLevel="0" collapsed="false">
      <c r="D6033" s="0" t="s">
        <v>126</v>
      </c>
      <c r="E6033" s="0" t="s">
        <v>127</v>
      </c>
      <c r="F6033" s="0" t="s">
        <v>128</v>
      </c>
      <c r="G6033" s="0" t="s">
        <v>169</v>
      </c>
      <c r="H6033" s="0" t="s">
        <v>169</v>
      </c>
      <c r="I6033" s="0" t="s">
        <v>41</v>
      </c>
      <c r="J6033" s="0" t="s">
        <v>42</v>
      </c>
      <c r="K6033" s="0" t="s">
        <v>48</v>
      </c>
      <c r="L6033" s="0" t="s">
        <v>49</v>
      </c>
      <c r="M6033" s="0" t="s">
        <v>167</v>
      </c>
      <c r="N6033" s="0" t="n">
        <v>968</v>
      </c>
      <c r="O6033" s="10" t="n">
        <v>0.717338683083653</v>
      </c>
      <c r="P6033" s="10" t="n">
        <v>0.252706390339881</v>
      </c>
      <c r="Q6033" s="0" t="str">
        <f aca="false">SUBSTITUTE(SUBSTITUTE($I6033,CHAR(61),""),CHAR(34),"")</f>
        <v>25-34</v>
      </c>
      <c r="R6033" s="0" t="str">
        <f aca="false">IF($D6033&lt;&gt;"","["&amp;$E6033&amp;"]"&amp;"|"&amp;$Q6033&amp;"|"&amp;$K6033&amp;"|"&amp;$G6033&amp;"|"&amp;IF($G6033="TX_CURR_SUBNAT.R","CY2022Q4",$M6033),"")</f>
        <v>[ZCjuwgaMB9u]|25-34|Male|Incidence_SUBNAT.Rt.T|CY2024Q3</v>
      </c>
    </row>
    <row r="6034" customFormat="false" ht="15" hidden="false" customHeight="false" outlineLevel="0" collapsed="false">
      <c r="D6034" s="0" t="s">
        <v>126</v>
      </c>
      <c r="E6034" s="0" t="s">
        <v>127</v>
      </c>
      <c r="F6034" s="0" t="s">
        <v>128</v>
      </c>
      <c r="G6034" s="0" t="s">
        <v>169</v>
      </c>
      <c r="H6034" s="0" t="s">
        <v>169</v>
      </c>
      <c r="I6034" s="0" t="s">
        <v>43</v>
      </c>
      <c r="J6034" s="0" t="s">
        <v>44</v>
      </c>
      <c r="K6034" s="0" t="s">
        <v>48</v>
      </c>
      <c r="L6034" s="0" t="s">
        <v>49</v>
      </c>
      <c r="M6034" s="0" t="s">
        <v>167</v>
      </c>
      <c r="N6034" s="0" t="n">
        <v>800</v>
      </c>
      <c r="O6034" s="10" t="n">
        <v>0.864567504031584</v>
      </c>
      <c r="P6034" s="10" t="n">
        <v>0.252706390339881</v>
      </c>
      <c r="Q6034" s="0" t="str">
        <f aca="false">SUBSTITUTE(SUBSTITUTE($I6034,CHAR(61),""),CHAR(34),"")</f>
        <v>35-49</v>
      </c>
      <c r="R6034" s="0" t="str">
        <f aca="false">IF($D6034&lt;&gt;"","["&amp;$E6034&amp;"]"&amp;"|"&amp;$Q6034&amp;"|"&amp;$K6034&amp;"|"&amp;$G6034&amp;"|"&amp;IF($G6034="TX_CURR_SUBNAT.R","CY2022Q4",$M6034),"")</f>
        <v>[ZCjuwgaMB9u]|35-49|Male|Incidence_SUBNAT.Rt.T|CY2024Q3</v>
      </c>
    </row>
    <row r="6035" customFormat="false" ht="15" hidden="false" customHeight="false" outlineLevel="0" collapsed="false">
      <c r="D6035" s="0" t="s">
        <v>126</v>
      </c>
      <c r="E6035" s="0" t="s">
        <v>127</v>
      </c>
      <c r="F6035" s="0" t="s">
        <v>128</v>
      </c>
      <c r="G6035" s="0" t="s">
        <v>169</v>
      </c>
      <c r="H6035" s="0" t="s">
        <v>169</v>
      </c>
      <c r="I6035" s="0" t="s">
        <v>45</v>
      </c>
      <c r="J6035" s="0" t="s">
        <v>46</v>
      </c>
      <c r="K6035" s="0" t="s">
        <v>48</v>
      </c>
      <c r="L6035" s="0" t="s">
        <v>49</v>
      </c>
      <c r="M6035" s="0" t="s">
        <v>167</v>
      </c>
      <c r="N6035" s="0" t="n">
        <v>1767</v>
      </c>
      <c r="O6035" s="10" t="n">
        <v>0.796762064099312</v>
      </c>
      <c r="P6035" s="10" t="n">
        <v>0.252706390339881</v>
      </c>
      <c r="Q6035" s="0" t="str">
        <f aca="false">SUBSTITUTE(SUBSTITUTE($I6035,CHAR(61),""),CHAR(34),"")</f>
        <v>50+</v>
      </c>
      <c r="R6035" s="0" t="str">
        <f aca="false">IF($D6035&lt;&gt;"","["&amp;$E6035&amp;"]"&amp;"|"&amp;$Q6035&amp;"|"&amp;$K6035&amp;"|"&amp;$G6035&amp;"|"&amp;IF($G6035="TX_CURR_SUBNAT.R","CY2022Q4",$M6035),"")</f>
        <v>[ZCjuwgaMB9u]|50+|Male|Incidence_SUBNAT.Rt.T|CY2024Q3</v>
      </c>
    </row>
    <row r="6036" customFormat="false" ht="15" hidden="false" customHeight="false" outlineLevel="0" collapsed="false">
      <c r="D6036" s="0" t="s">
        <v>129</v>
      </c>
      <c r="E6036" s="0" t="s">
        <v>130</v>
      </c>
      <c r="F6036" s="0" t="s">
        <v>131</v>
      </c>
      <c r="G6036" s="0" t="s">
        <v>169</v>
      </c>
      <c r="H6036" s="0" t="s">
        <v>169</v>
      </c>
      <c r="I6036" s="0" t="s">
        <v>28</v>
      </c>
      <c r="J6036" s="0" t="s">
        <v>29</v>
      </c>
      <c r="K6036" s="0" t="s">
        <v>30</v>
      </c>
      <c r="L6036" s="0" t="s">
        <v>31</v>
      </c>
      <c r="M6036" s="0" t="s">
        <v>167</v>
      </c>
      <c r="N6036" s="0" t="n">
        <v>565</v>
      </c>
      <c r="O6036" s="10" t="n">
        <v>0.404666763730347</v>
      </c>
      <c r="P6036" s="10" t="n">
        <v>0.556908084778115</v>
      </c>
      <c r="Q6036" s="0" t="str">
        <f aca="false">SUBSTITUTE(SUBSTITUTE($I6036,CHAR(61),""),CHAR(34),"")</f>
        <v>&lt;01</v>
      </c>
      <c r="R6036" s="0" t="str">
        <f aca="false">IF($D6036&lt;&gt;"","["&amp;$E6036&amp;"]"&amp;"|"&amp;$Q6036&amp;"|"&amp;$K6036&amp;"|"&amp;$G6036&amp;"|"&amp;IF($G6036="TX_CURR_SUBNAT.R","CY2022Q4",$M6036),"")</f>
        <v>[YCKiBAp8QAg]|&lt;01|Female|Incidence_SUBNAT.Rt.T|CY2024Q3</v>
      </c>
    </row>
    <row r="6037" customFormat="false" ht="15" hidden="false" customHeight="false" outlineLevel="0" collapsed="false">
      <c r="D6037" s="0" t="s">
        <v>129</v>
      </c>
      <c r="E6037" s="0" t="s">
        <v>130</v>
      </c>
      <c r="F6037" s="0" t="s">
        <v>131</v>
      </c>
      <c r="G6037" s="0" t="s">
        <v>169</v>
      </c>
      <c r="H6037" s="0" t="s">
        <v>169</v>
      </c>
      <c r="I6037" s="0" t="s">
        <v>33</v>
      </c>
      <c r="J6037" s="0" t="s">
        <v>34</v>
      </c>
      <c r="K6037" s="0" t="s">
        <v>30</v>
      </c>
      <c r="L6037" s="0" t="s">
        <v>31</v>
      </c>
      <c r="M6037" s="0" t="s">
        <v>167</v>
      </c>
      <c r="N6037" s="0" t="n">
        <v>1845</v>
      </c>
      <c r="O6037" s="10" t="n">
        <v>0.937644640915096</v>
      </c>
      <c r="P6037" s="10" t="n">
        <v>0.556908084778115</v>
      </c>
      <c r="Q6037" s="0" t="str">
        <f aca="false">SUBSTITUTE(SUBSTITUTE($I6037,CHAR(61),""),CHAR(34),"")</f>
        <v>01-09</v>
      </c>
      <c r="R6037" s="0" t="str">
        <f aca="false">IF($D6037&lt;&gt;"","["&amp;$E6037&amp;"]"&amp;"|"&amp;$Q6037&amp;"|"&amp;$K6037&amp;"|"&amp;$G6037&amp;"|"&amp;IF($G6037="TX_CURR_SUBNAT.R","CY2022Q4",$M6037),"")</f>
        <v>[YCKiBAp8QAg]|01-09|Female|Incidence_SUBNAT.Rt.T|CY2024Q3</v>
      </c>
    </row>
    <row r="6038" customFormat="false" ht="15" hidden="false" customHeight="false" outlineLevel="0" collapsed="false">
      <c r="D6038" s="0" t="s">
        <v>129</v>
      </c>
      <c r="E6038" s="0" t="s">
        <v>130</v>
      </c>
      <c r="F6038" s="0" t="s">
        <v>131</v>
      </c>
      <c r="G6038" s="0" t="s">
        <v>169</v>
      </c>
      <c r="H6038" s="0" t="s">
        <v>169</v>
      </c>
      <c r="I6038" s="0" t="s">
        <v>36</v>
      </c>
      <c r="J6038" s="0" t="s">
        <v>37</v>
      </c>
      <c r="K6038" s="0" t="s">
        <v>30</v>
      </c>
      <c r="L6038" s="0" t="s">
        <v>31</v>
      </c>
      <c r="M6038" s="0" t="s">
        <v>167</v>
      </c>
      <c r="N6038" s="0" t="n">
        <v>1838</v>
      </c>
      <c r="O6038" s="10" t="n">
        <v>0.502787947887555</v>
      </c>
      <c r="P6038" s="10" t="n">
        <v>0.556908084778115</v>
      </c>
      <c r="Q6038" s="0" t="str">
        <f aca="false">SUBSTITUTE(SUBSTITUTE($I6038,CHAR(61),""),CHAR(34),"")</f>
        <v>10-14</v>
      </c>
      <c r="R6038" s="0" t="str">
        <f aca="false">IF($D6038&lt;&gt;"","["&amp;$E6038&amp;"]"&amp;"|"&amp;$Q6038&amp;"|"&amp;$K6038&amp;"|"&amp;$G6038&amp;"|"&amp;IF($G6038="TX_CURR_SUBNAT.R","CY2022Q4",$M6038),"")</f>
        <v>[YCKiBAp8QAg]|10-14|Female|Incidence_SUBNAT.Rt.T|CY2024Q3</v>
      </c>
    </row>
    <row r="6039" customFormat="false" ht="15" hidden="false" customHeight="false" outlineLevel="0" collapsed="false">
      <c r="D6039" s="0" t="s">
        <v>129</v>
      </c>
      <c r="E6039" s="0" t="s">
        <v>130</v>
      </c>
      <c r="F6039" s="0" t="s">
        <v>131</v>
      </c>
      <c r="G6039" s="0" t="s">
        <v>169</v>
      </c>
      <c r="H6039" s="0" t="s">
        <v>169</v>
      </c>
      <c r="I6039" s="0" t="s">
        <v>38</v>
      </c>
      <c r="J6039" s="0" t="s">
        <v>39</v>
      </c>
      <c r="K6039" s="0" t="s">
        <v>30</v>
      </c>
      <c r="L6039" s="0" t="s">
        <v>31</v>
      </c>
      <c r="M6039" s="0" t="s">
        <v>167</v>
      </c>
      <c r="N6039" s="0" t="n">
        <v>553</v>
      </c>
      <c r="O6039" s="10" t="n">
        <v>0.681931918952614</v>
      </c>
      <c r="P6039" s="10" t="n">
        <v>0.556908084778115</v>
      </c>
      <c r="Q6039" s="0" t="str">
        <f aca="false">SUBSTITUTE(SUBSTITUTE($I6039,CHAR(61),""),CHAR(34),"")</f>
        <v>15-24</v>
      </c>
      <c r="R6039" s="0" t="str">
        <f aca="false">IF($D6039&lt;&gt;"","["&amp;$E6039&amp;"]"&amp;"|"&amp;$Q6039&amp;"|"&amp;$K6039&amp;"|"&amp;$G6039&amp;"|"&amp;IF($G6039="TX_CURR_SUBNAT.R","CY2022Q4",$M6039),"")</f>
        <v>[YCKiBAp8QAg]|15-24|Female|Incidence_SUBNAT.Rt.T|CY2024Q3</v>
      </c>
    </row>
    <row r="6040" customFormat="false" ht="15" hidden="false" customHeight="false" outlineLevel="0" collapsed="false">
      <c r="D6040" s="0" t="s">
        <v>129</v>
      </c>
      <c r="E6040" s="0" t="s">
        <v>130</v>
      </c>
      <c r="F6040" s="0" t="s">
        <v>131</v>
      </c>
      <c r="G6040" s="0" t="s">
        <v>169</v>
      </c>
      <c r="H6040" s="0" t="s">
        <v>169</v>
      </c>
      <c r="I6040" s="0" t="s">
        <v>41</v>
      </c>
      <c r="J6040" s="0" t="s">
        <v>42</v>
      </c>
      <c r="K6040" s="0" t="s">
        <v>30</v>
      </c>
      <c r="L6040" s="0" t="s">
        <v>31</v>
      </c>
      <c r="M6040" s="0" t="s">
        <v>167</v>
      </c>
      <c r="N6040" s="0" t="n">
        <v>758</v>
      </c>
      <c r="O6040" s="10" t="n">
        <v>0.747442840132862</v>
      </c>
      <c r="P6040" s="10" t="n">
        <v>0.556908084778115</v>
      </c>
      <c r="Q6040" s="0" t="str">
        <f aca="false">SUBSTITUTE(SUBSTITUTE($I6040,CHAR(61),""),CHAR(34),"")</f>
        <v>25-34</v>
      </c>
      <c r="R6040" s="0" t="str">
        <f aca="false">IF($D6040&lt;&gt;"","["&amp;$E6040&amp;"]"&amp;"|"&amp;$Q6040&amp;"|"&amp;$K6040&amp;"|"&amp;$G6040&amp;"|"&amp;IF($G6040="TX_CURR_SUBNAT.R","CY2022Q4",$M6040),"")</f>
        <v>[YCKiBAp8QAg]|25-34|Female|Incidence_SUBNAT.Rt.T|CY2024Q3</v>
      </c>
    </row>
    <row r="6041" customFormat="false" ht="15" hidden="false" customHeight="false" outlineLevel="0" collapsed="false">
      <c r="D6041" s="0" t="s">
        <v>129</v>
      </c>
      <c r="E6041" s="0" t="s">
        <v>130</v>
      </c>
      <c r="F6041" s="0" t="s">
        <v>131</v>
      </c>
      <c r="G6041" s="0" t="s">
        <v>169</v>
      </c>
      <c r="H6041" s="0" t="s">
        <v>169</v>
      </c>
      <c r="I6041" s="0" t="s">
        <v>43</v>
      </c>
      <c r="J6041" s="0" t="s">
        <v>44</v>
      </c>
      <c r="K6041" s="0" t="s">
        <v>30</v>
      </c>
      <c r="L6041" s="0" t="s">
        <v>31</v>
      </c>
      <c r="M6041" s="0" t="s">
        <v>167</v>
      </c>
      <c r="N6041" s="0" t="n">
        <v>676</v>
      </c>
      <c r="O6041" s="10" t="n">
        <v>0.439778682775795</v>
      </c>
      <c r="P6041" s="10" t="n">
        <v>0.556908084778115</v>
      </c>
      <c r="Q6041" s="0" t="str">
        <f aca="false">SUBSTITUTE(SUBSTITUTE($I6041,CHAR(61),""),CHAR(34),"")</f>
        <v>35-49</v>
      </c>
      <c r="R6041" s="0" t="str">
        <f aca="false">IF($D6041&lt;&gt;"","["&amp;$E6041&amp;"]"&amp;"|"&amp;$Q6041&amp;"|"&amp;$K6041&amp;"|"&amp;$G6041&amp;"|"&amp;IF($G6041="TX_CURR_SUBNAT.R","CY2022Q4",$M6041),"")</f>
        <v>[YCKiBAp8QAg]|35-49|Female|Incidence_SUBNAT.Rt.T|CY2024Q3</v>
      </c>
    </row>
    <row r="6042" customFormat="false" ht="15" hidden="false" customHeight="false" outlineLevel="0" collapsed="false">
      <c r="D6042" s="0" t="s">
        <v>129</v>
      </c>
      <c r="E6042" s="0" t="s">
        <v>130</v>
      </c>
      <c r="F6042" s="0" t="s">
        <v>131</v>
      </c>
      <c r="G6042" s="0" t="s">
        <v>169</v>
      </c>
      <c r="H6042" s="0" t="s">
        <v>169</v>
      </c>
      <c r="I6042" s="0" t="s">
        <v>45</v>
      </c>
      <c r="J6042" s="0" t="s">
        <v>46</v>
      </c>
      <c r="K6042" s="0" t="s">
        <v>30</v>
      </c>
      <c r="L6042" s="0" t="s">
        <v>31</v>
      </c>
      <c r="M6042" s="0" t="s">
        <v>167</v>
      </c>
      <c r="N6042" s="0" t="n">
        <v>552</v>
      </c>
      <c r="O6042" s="10" t="n">
        <v>0.399913134751841</v>
      </c>
      <c r="P6042" s="10" t="n">
        <v>0.556908084778115</v>
      </c>
      <c r="Q6042" s="0" t="str">
        <f aca="false">SUBSTITUTE(SUBSTITUTE($I6042,CHAR(61),""),CHAR(34),"")</f>
        <v>50+</v>
      </c>
      <c r="R6042" s="0" t="str">
        <f aca="false">IF($D6042&lt;&gt;"","["&amp;$E6042&amp;"]"&amp;"|"&amp;$Q6042&amp;"|"&amp;$K6042&amp;"|"&amp;$G6042&amp;"|"&amp;IF($G6042="TX_CURR_SUBNAT.R","CY2022Q4",$M6042),"")</f>
        <v>[YCKiBAp8QAg]|50+|Female|Incidence_SUBNAT.Rt.T|CY2024Q3</v>
      </c>
    </row>
    <row r="6043" customFormat="false" ht="15" hidden="false" customHeight="false" outlineLevel="0" collapsed="false">
      <c r="D6043" s="0" t="s">
        <v>129</v>
      </c>
      <c r="E6043" s="0" t="s">
        <v>130</v>
      </c>
      <c r="F6043" s="0" t="s">
        <v>131</v>
      </c>
      <c r="G6043" s="0" t="s">
        <v>169</v>
      </c>
      <c r="H6043" s="0" t="s">
        <v>169</v>
      </c>
      <c r="I6043" s="0" t="s">
        <v>28</v>
      </c>
      <c r="J6043" s="0" t="s">
        <v>29</v>
      </c>
      <c r="K6043" s="0" t="s">
        <v>48</v>
      </c>
      <c r="L6043" s="0" t="s">
        <v>49</v>
      </c>
      <c r="M6043" s="0" t="s">
        <v>167</v>
      </c>
      <c r="N6043" s="0" t="n">
        <v>1504</v>
      </c>
      <c r="O6043" s="10" t="n">
        <v>0.583220576634631</v>
      </c>
      <c r="P6043" s="10" t="n">
        <v>0.556908084778115</v>
      </c>
      <c r="Q6043" s="0" t="str">
        <f aca="false">SUBSTITUTE(SUBSTITUTE($I6043,CHAR(61),""),CHAR(34),"")</f>
        <v>&lt;01</v>
      </c>
      <c r="R6043" s="0" t="str">
        <f aca="false">IF($D6043&lt;&gt;"","["&amp;$E6043&amp;"]"&amp;"|"&amp;$Q6043&amp;"|"&amp;$K6043&amp;"|"&amp;$G6043&amp;"|"&amp;IF($G6043="TX_CURR_SUBNAT.R","CY2022Q4",$M6043),"")</f>
        <v>[YCKiBAp8QAg]|&lt;01|Male|Incidence_SUBNAT.Rt.T|CY2024Q3</v>
      </c>
    </row>
    <row r="6044" customFormat="false" ht="15" hidden="false" customHeight="false" outlineLevel="0" collapsed="false">
      <c r="D6044" s="0" t="s">
        <v>129</v>
      </c>
      <c r="E6044" s="0" t="s">
        <v>130</v>
      </c>
      <c r="F6044" s="0" t="s">
        <v>131</v>
      </c>
      <c r="G6044" s="0" t="s">
        <v>169</v>
      </c>
      <c r="H6044" s="0" t="s">
        <v>169</v>
      </c>
      <c r="I6044" s="0" t="s">
        <v>33</v>
      </c>
      <c r="J6044" s="0" t="s">
        <v>34</v>
      </c>
      <c r="K6044" s="0" t="s">
        <v>48</v>
      </c>
      <c r="L6044" s="0" t="s">
        <v>49</v>
      </c>
      <c r="M6044" s="0" t="s">
        <v>167</v>
      </c>
      <c r="N6044" s="0" t="n">
        <v>1960</v>
      </c>
      <c r="O6044" s="10" t="n">
        <v>0.721171463606879</v>
      </c>
      <c r="P6044" s="10" t="n">
        <v>0.556908084778115</v>
      </c>
      <c r="Q6044" s="0" t="str">
        <f aca="false">SUBSTITUTE(SUBSTITUTE($I6044,CHAR(61),""),CHAR(34),"")</f>
        <v>01-09</v>
      </c>
      <c r="R6044" s="0" t="str">
        <f aca="false">IF($D6044&lt;&gt;"","["&amp;$E6044&amp;"]"&amp;"|"&amp;$Q6044&amp;"|"&amp;$K6044&amp;"|"&amp;$G6044&amp;"|"&amp;IF($G6044="TX_CURR_SUBNAT.R","CY2022Q4",$M6044),"")</f>
        <v>[YCKiBAp8QAg]|01-09|Male|Incidence_SUBNAT.Rt.T|CY2024Q3</v>
      </c>
    </row>
    <row r="6045" customFormat="false" ht="15" hidden="false" customHeight="false" outlineLevel="0" collapsed="false">
      <c r="D6045" s="0" t="s">
        <v>129</v>
      </c>
      <c r="E6045" s="0" t="s">
        <v>130</v>
      </c>
      <c r="F6045" s="0" t="s">
        <v>131</v>
      </c>
      <c r="G6045" s="0" t="s">
        <v>169</v>
      </c>
      <c r="H6045" s="0" t="s">
        <v>169</v>
      </c>
      <c r="I6045" s="0" t="s">
        <v>36</v>
      </c>
      <c r="J6045" s="0" t="s">
        <v>37</v>
      </c>
      <c r="K6045" s="0" t="s">
        <v>48</v>
      </c>
      <c r="L6045" s="0" t="s">
        <v>49</v>
      </c>
      <c r="M6045" s="0" t="s">
        <v>167</v>
      </c>
      <c r="N6045" s="0" t="n">
        <v>1094</v>
      </c>
      <c r="O6045" s="10" t="n">
        <v>0.0239058355800807</v>
      </c>
      <c r="P6045" s="10" t="n">
        <v>0.556908084778115</v>
      </c>
      <c r="Q6045" s="0" t="str">
        <f aca="false">SUBSTITUTE(SUBSTITUTE($I6045,CHAR(61),""),CHAR(34),"")</f>
        <v>10-14</v>
      </c>
      <c r="R6045" s="0" t="str">
        <f aca="false">IF($D6045&lt;&gt;"","["&amp;$E6045&amp;"]"&amp;"|"&amp;$Q6045&amp;"|"&amp;$K6045&amp;"|"&amp;$G6045&amp;"|"&amp;IF($G6045="TX_CURR_SUBNAT.R","CY2022Q4",$M6045),"")</f>
        <v>[YCKiBAp8QAg]|10-14|Male|Incidence_SUBNAT.Rt.T|CY2024Q3</v>
      </c>
    </row>
    <row r="6046" customFormat="false" ht="15" hidden="false" customHeight="false" outlineLevel="0" collapsed="false">
      <c r="D6046" s="0" t="s">
        <v>129</v>
      </c>
      <c r="E6046" s="0" t="s">
        <v>130</v>
      </c>
      <c r="F6046" s="0" t="s">
        <v>131</v>
      </c>
      <c r="G6046" s="0" t="s">
        <v>169</v>
      </c>
      <c r="H6046" s="0" t="s">
        <v>169</v>
      </c>
      <c r="I6046" s="0" t="s">
        <v>38</v>
      </c>
      <c r="J6046" s="0" t="s">
        <v>39</v>
      </c>
      <c r="K6046" s="0" t="s">
        <v>48</v>
      </c>
      <c r="L6046" s="0" t="s">
        <v>49</v>
      </c>
      <c r="M6046" s="0" t="s">
        <v>167</v>
      </c>
      <c r="N6046" s="0" t="n">
        <v>1191</v>
      </c>
      <c r="O6046" s="10" t="n">
        <v>0.553300437051803</v>
      </c>
      <c r="P6046" s="10" t="n">
        <v>0.556908084778115</v>
      </c>
      <c r="Q6046" s="0" t="str">
        <f aca="false">SUBSTITUTE(SUBSTITUTE($I6046,CHAR(61),""),CHAR(34),"")</f>
        <v>15-24</v>
      </c>
      <c r="R6046" s="0" t="str">
        <f aca="false">IF($D6046&lt;&gt;"","["&amp;$E6046&amp;"]"&amp;"|"&amp;$Q6046&amp;"|"&amp;$K6046&amp;"|"&amp;$G6046&amp;"|"&amp;IF($G6046="TX_CURR_SUBNAT.R","CY2022Q4",$M6046),"")</f>
        <v>[YCKiBAp8QAg]|15-24|Male|Incidence_SUBNAT.Rt.T|CY2024Q3</v>
      </c>
    </row>
    <row r="6047" customFormat="false" ht="15" hidden="false" customHeight="false" outlineLevel="0" collapsed="false">
      <c r="D6047" s="0" t="s">
        <v>129</v>
      </c>
      <c r="E6047" s="0" t="s">
        <v>130</v>
      </c>
      <c r="F6047" s="0" t="s">
        <v>131</v>
      </c>
      <c r="G6047" s="0" t="s">
        <v>169</v>
      </c>
      <c r="H6047" s="0" t="s">
        <v>169</v>
      </c>
      <c r="I6047" s="0" t="s">
        <v>41</v>
      </c>
      <c r="J6047" s="0" t="s">
        <v>42</v>
      </c>
      <c r="K6047" s="0" t="s">
        <v>48</v>
      </c>
      <c r="L6047" s="0" t="s">
        <v>49</v>
      </c>
      <c r="M6047" s="0" t="s">
        <v>167</v>
      </c>
      <c r="N6047" s="0" t="n">
        <v>1698</v>
      </c>
      <c r="O6047" s="10" t="n">
        <v>0.577683222247288</v>
      </c>
      <c r="P6047" s="10" t="n">
        <v>0.556908084778115</v>
      </c>
      <c r="Q6047" s="0" t="str">
        <f aca="false">SUBSTITUTE(SUBSTITUTE($I6047,CHAR(61),""),CHAR(34),"")</f>
        <v>25-34</v>
      </c>
      <c r="R6047" s="0" t="str">
        <f aca="false">IF($D6047&lt;&gt;"","["&amp;$E6047&amp;"]"&amp;"|"&amp;$Q6047&amp;"|"&amp;$K6047&amp;"|"&amp;$G6047&amp;"|"&amp;IF($G6047="TX_CURR_SUBNAT.R","CY2022Q4",$M6047),"")</f>
        <v>[YCKiBAp8QAg]|25-34|Male|Incidence_SUBNAT.Rt.T|CY2024Q3</v>
      </c>
    </row>
    <row r="6048" customFormat="false" ht="15" hidden="false" customHeight="false" outlineLevel="0" collapsed="false">
      <c r="D6048" s="0" t="s">
        <v>129</v>
      </c>
      <c r="E6048" s="0" t="s">
        <v>130</v>
      </c>
      <c r="F6048" s="0" t="s">
        <v>131</v>
      </c>
      <c r="G6048" s="0" t="s">
        <v>169</v>
      </c>
      <c r="H6048" s="0" t="s">
        <v>169</v>
      </c>
      <c r="I6048" s="0" t="s">
        <v>43</v>
      </c>
      <c r="J6048" s="0" t="s">
        <v>44</v>
      </c>
      <c r="K6048" s="0" t="s">
        <v>48</v>
      </c>
      <c r="L6048" s="0" t="s">
        <v>49</v>
      </c>
      <c r="M6048" s="0" t="s">
        <v>167</v>
      </c>
      <c r="N6048" s="0" t="n">
        <v>1862</v>
      </c>
      <c r="O6048" s="10" t="n">
        <v>0.813949146773666</v>
      </c>
      <c r="P6048" s="10" t="n">
        <v>0.556908084778115</v>
      </c>
      <c r="Q6048" s="0" t="str">
        <f aca="false">SUBSTITUTE(SUBSTITUTE($I6048,CHAR(61),""),CHAR(34),"")</f>
        <v>35-49</v>
      </c>
      <c r="R6048" s="0" t="str">
        <f aca="false">IF($D6048&lt;&gt;"","["&amp;$E6048&amp;"]"&amp;"|"&amp;$Q6048&amp;"|"&amp;$K6048&amp;"|"&amp;$G6048&amp;"|"&amp;IF($G6048="TX_CURR_SUBNAT.R","CY2022Q4",$M6048),"")</f>
        <v>[YCKiBAp8QAg]|35-49|Male|Incidence_SUBNAT.Rt.T|CY2024Q3</v>
      </c>
    </row>
    <row r="6049" customFormat="false" ht="15" hidden="false" customHeight="false" outlineLevel="0" collapsed="false">
      <c r="D6049" s="0" t="s">
        <v>129</v>
      </c>
      <c r="E6049" s="0" t="s">
        <v>130</v>
      </c>
      <c r="F6049" s="0" t="s">
        <v>131</v>
      </c>
      <c r="G6049" s="0" t="s">
        <v>169</v>
      </c>
      <c r="H6049" s="0" t="s">
        <v>169</v>
      </c>
      <c r="I6049" s="0" t="s">
        <v>45</v>
      </c>
      <c r="J6049" s="0" t="s">
        <v>46</v>
      </c>
      <c r="K6049" s="0" t="s">
        <v>48</v>
      </c>
      <c r="L6049" s="0" t="s">
        <v>49</v>
      </c>
      <c r="M6049" s="0" t="s">
        <v>167</v>
      </c>
      <c r="N6049" s="0" t="n">
        <v>693</v>
      </c>
      <c r="O6049" s="10" t="n">
        <v>0.473848793422803</v>
      </c>
      <c r="P6049" s="10" t="n">
        <v>0.556908084778115</v>
      </c>
      <c r="Q6049" s="0" t="str">
        <f aca="false">SUBSTITUTE(SUBSTITUTE($I6049,CHAR(61),""),CHAR(34),"")</f>
        <v>50+</v>
      </c>
      <c r="R6049" s="0" t="str">
        <f aca="false">IF($D6049&lt;&gt;"","["&amp;$E6049&amp;"]"&amp;"|"&amp;$Q6049&amp;"|"&amp;$K6049&amp;"|"&amp;$G6049&amp;"|"&amp;IF($G6049="TX_CURR_SUBNAT.R","CY2022Q4",$M6049),"")</f>
        <v>[YCKiBAp8QAg]|50+|Male|Incidence_SUBNAT.Rt.T|CY2024Q3</v>
      </c>
    </row>
    <row r="6050" customFormat="false" ht="15" hidden="false" customHeight="false" outlineLevel="0" collapsed="false">
      <c r="D6050" s="0" t="s">
        <v>132</v>
      </c>
      <c r="E6050" s="0" t="s">
        <v>133</v>
      </c>
      <c r="F6050" s="0" t="s">
        <v>134</v>
      </c>
      <c r="G6050" s="0" t="s">
        <v>169</v>
      </c>
      <c r="H6050" s="0" t="s">
        <v>169</v>
      </c>
      <c r="I6050" s="0" t="s">
        <v>28</v>
      </c>
      <c r="J6050" s="0" t="s">
        <v>29</v>
      </c>
      <c r="K6050" s="0" t="s">
        <v>30</v>
      </c>
      <c r="L6050" s="0" t="s">
        <v>31</v>
      </c>
      <c r="M6050" s="0" t="s">
        <v>167</v>
      </c>
      <c r="N6050" s="0" t="n">
        <v>1690</v>
      </c>
      <c r="O6050" s="10" t="n">
        <v>0.31906512985006</v>
      </c>
      <c r="P6050" s="10" t="n">
        <v>0.162863194011152</v>
      </c>
      <c r="Q6050" s="0" t="str">
        <f aca="false">SUBSTITUTE(SUBSTITUTE($I6050,CHAR(61),""),CHAR(34),"")</f>
        <v>&lt;01</v>
      </c>
      <c r="R6050" s="0" t="str">
        <f aca="false">IF($D6050&lt;&gt;"","["&amp;$E6050&amp;"]"&amp;"|"&amp;$Q6050&amp;"|"&amp;$K6050&amp;"|"&amp;$G6050&amp;"|"&amp;IF($G6050="TX_CURR_SUBNAT.R","CY2022Q4",$M6050),"")</f>
        <v>[JQKLKuVuY61]|&lt;01|Female|Incidence_SUBNAT.Rt.T|CY2024Q3</v>
      </c>
    </row>
    <row r="6051" customFormat="false" ht="15" hidden="false" customHeight="false" outlineLevel="0" collapsed="false">
      <c r="D6051" s="0" t="s">
        <v>132</v>
      </c>
      <c r="E6051" s="0" t="s">
        <v>133</v>
      </c>
      <c r="F6051" s="0" t="s">
        <v>134</v>
      </c>
      <c r="G6051" s="0" t="s">
        <v>169</v>
      </c>
      <c r="H6051" s="0" t="s">
        <v>169</v>
      </c>
      <c r="I6051" s="0" t="s">
        <v>33</v>
      </c>
      <c r="J6051" s="0" t="s">
        <v>34</v>
      </c>
      <c r="K6051" s="0" t="s">
        <v>30</v>
      </c>
      <c r="L6051" s="0" t="s">
        <v>31</v>
      </c>
      <c r="M6051" s="0" t="s">
        <v>167</v>
      </c>
      <c r="N6051" s="0" t="n">
        <v>1411</v>
      </c>
      <c r="O6051" s="10" t="n">
        <v>0.193015741184354</v>
      </c>
      <c r="P6051" s="10" t="n">
        <v>0.162863194011152</v>
      </c>
      <c r="Q6051" s="0" t="str">
        <f aca="false">SUBSTITUTE(SUBSTITUTE($I6051,CHAR(61),""),CHAR(34),"")</f>
        <v>01-09</v>
      </c>
      <c r="R6051" s="0" t="str">
        <f aca="false">IF($D6051&lt;&gt;"","["&amp;$E6051&amp;"]"&amp;"|"&amp;$Q6051&amp;"|"&amp;$K6051&amp;"|"&amp;$G6051&amp;"|"&amp;IF($G6051="TX_CURR_SUBNAT.R","CY2022Q4",$M6051),"")</f>
        <v>[JQKLKuVuY61]|01-09|Female|Incidence_SUBNAT.Rt.T|CY2024Q3</v>
      </c>
    </row>
    <row r="6052" customFormat="false" ht="15" hidden="false" customHeight="false" outlineLevel="0" collapsed="false">
      <c r="D6052" s="0" t="s">
        <v>132</v>
      </c>
      <c r="E6052" s="0" t="s">
        <v>133</v>
      </c>
      <c r="F6052" s="0" t="s">
        <v>134</v>
      </c>
      <c r="G6052" s="0" t="s">
        <v>169</v>
      </c>
      <c r="H6052" s="0" t="s">
        <v>169</v>
      </c>
      <c r="I6052" s="0" t="s">
        <v>36</v>
      </c>
      <c r="J6052" s="0" t="s">
        <v>37</v>
      </c>
      <c r="K6052" s="0" t="s">
        <v>30</v>
      </c>
      <c r="L6052" s="0" t="s">
        <v>31</v>
      </c>
      <c r="M6052" s="0" t="s">
        <v>167</v>
      </c>
      <c r="N6052" s="0" t="n">
        <v>1132</v>
      </c>
      <c r="O6052" s="10" t="n">
        <v>0.084899649489671</v>
      </c>
      <c r="P6052" s="10" t="n">
        <v>0.162863194011152</v>
      </c>
      <c r="Q6052" s="0" t="str">
        <f aca="false">SUBSTITUTE(SUBSTITUTE($I6052,CHAR(61),""),CHAR(34),"")</f>
        <v>10-14</v>
      </c>
      <c r="R6052" s="0" t="str">
        <f aca="false">IF($D6052&lt;&gt;"","["&amp;$E6052&amp;"]"&amp;"|"&amp;$Q6052&amp;"|"&amp;$K6052&amp;"|"&amp;$G6052&amp;"|"&amp;IF($G6052="TX_CURR_SUBNAT.R","CY2022Q4",$M6052),"")</f>
        <v>[JQKLKuVuY61]|10-14|Female|Incidence_SUBNAT.Rt.T|CY2024Q3</v>
      </c>
    </row>
    <row r="6053" customFormat="false" ht="15" hidden="false" customHeight="false" outlineLevel="0" collapsed="false">
      <c r="D6053" s="0" t="s">
        <v>132</v>
      </c>
      <c r="E6053" s="0" t="s">
        <v>133</v>
      </c>
      <c r="F6053" s="0" t="s">
        <v>134</v>
      </c>
      <c r="G6053" s="0" t="s">
        <v>169</v>
      </c>
      <c r="H6053" s="0" t="s">
        <v>169</v>
      </c>
      <c r="I6053" s="0" t="s">
        <v>38</v>
      </c>
      <c r="J6053" s="0" t="s">
        <v>39</v>
      </c>
      <c r="K6053" s="0" t="s">
        <v>30</v>
      </c>
      <c r="L6053" s="0" t="s">
        <v>31</v>
      </c>
      <c r="M6053" s="0" t="s">
        <v>167</v>
      </c>
      <c r="N6053" s="0" t="n">
        <v>1584</v>
      </c>
      <c r="O6053" s="10" t="n">
        <v>0.585362351033837</v>
      </c>
      <c r="P6053" s="10" t="n">
        <v>0.162863194011152</v>
      </c>
      <c r="Q6053" s="0" t="str">
        <f aca="false">SUBSTITUTE(SUBSTITUTE($I6053,CHAR(61),""),CHAR(34),"")</f>
        <v>15-24</v>
      </c>
      <c r="R6053" s="0" t="str">
        <f aca="false">IF($D6053&lt;&gt;"","["&amp;$E6053&amp;"]"&amp;"|"&amp;$Q6053&amp;"|"&amp;$K6053&amp;"|"&amp;$G6053&amp;"|"&amp;IF($G6053="TX_CURR_SUBNAT.R","CY2022Q4",$M6053),"")</f>
        <v>[JQKLKuVuY61]|15-24|Female|Incidence_SUBNAT.Rt.T|CY2024Q3</v>
      </c>
    </row>
    <row r="6054" customFormat="false" ht="15" hidden="false" customHeight="false" outlineLevel="0" collapsed="false">
      <c r="D6054" s="0" t="s">
        <v>132</v>
      </c>
      <c r="E6054" s="0" t="s">
        <v>133</v>
      </c>
      <c r="F6054" s="0" t="s">
        <v>134</v>
      </c>
      <c r="G6054" s="0" t="s">
        <v>169</v>
      </c>
      <c r="H6054" s="0" t="s">
        <v>169</v>
      </c>
      <c r="I6054" s="0" t="s">
        <v>41</v>
      </c>
      <c r="J6054" s="0" t="s">
        <v>42</v>
      </c>
      <c r="K6054" s="0" t="s">
        <v>30</v>
      </c>
      <c r="L6054" s="0" t="s">
        <v>31</v>
      </c>
      <c r="M6054" s="0" t="s">
        <v>167</v>
      </c>
      <c r="N6054" s="0" t="n">
        <v>697</v>
      </c>
      <c r="O6054" s="10" t="n">
        <v>0.098410758189857</v>
      </c>
      <c r="P6054" s="10" t="n">
        <v>0.162863194011152</v>
      </c>
      <c r="Q6054" s="0" t="str">
        <f aca="false">SUBSTITUTE(SUBSTITUTE($I6054,CHAR(61),""),CHAR(34),"")</f>
        <v>25-34</v>
      </c>
      <c r="R6054" s="0" t="str">
        <f aca="false">IF($D6054&lt;&gt;"","["&amp;$E6054&amp;"]"&amp;"|"&amp;$Q6054&amp;"|"&amp;$K6054&amp;"|"&amp;$G6054&amp;"|"&amp;IF($G6054="TX_CURR_SUBNAT.R","CY2022Q4",$M6054),"")</f>
        <v>[JQKLKuVuY61]|25-34|Female|Incidence_SUBNAT.Rt.T|CY2024Q3</v>
      </c>
    </row>
    <row r="6055" customFormat="false" ht="15" hidden="false" customHeight="false" outlineLevel="0" collapsed="false">
      <c r="D6055" s="0" t="s">
        <v>132</v>
      </c>
      <c r="E6055" s="0" t="s">
        <v>133</v>
      </c>
      <c r="F6055" s="0" t="s">
        <v>134</v>
      </c>
      <c r="G6055" s="0" t="s">
        <v>169</v>
      </c>
      <c r="H6055" s="0" t="s">
        <v>169</v>
      </c>
      <c r="I6055" s="0" t="s">
        <v>43</v>
      </c>
      <c r="J6055" s="0" t="s">
        <v>44</v>
      </c>
      <c r="K6055" s="0" t="s">
        <v>30</v>
      </c>
      <c r="L6055" s="0" t="s">
        <v>31</v>
      </c>
      <c r="M6055" s="0" t="s">
        <v>167</v>
      </c>
      <c r="N6055" s="0" t="n">
        <v>1914</v>
      </c>
      <c r="O6055" s="10" t="n">
        <v>0.446898570982739</v>
      </c>
      <c r="P6055" s="10" t="n">
        <v>0.162863194011152</v>
      </c>
      <c r="Q6055" s="0" t="str">
        <f aca="false">SUBSTITUTE(SUBSTITUTE($I6055,CHAR(61),""),CHAR(34),"")</f>
        <v>35-49</v>
      </c>
      <c r="R6055" s="0" t="str">
        <f aca="false">IF($D6055&lt;&gt;"","["&amp;$E6055&amp;"]"&amp;"|"&amp;$Q6055&amp;"|"&amp;$K6055&amp;"|"&amp;$G6055&amp;"|"&amp;IF($G6055="TX_CURR_SUBNAT.R","CY2022Q4",$M6055),"")</f>
        <v>[JQKLKuVuY61]|35-49|Female|Incidence_SUBNAT.Rt.T|CY2024Q3</v>
      </c>
    </row>
    <row r="6056" customFormat="false" ht="15" hidden="false" customHeight="false" outlineLevel="0" collapsed="false">
      <c r="D6056" s="0" t="s">
        <v>132</v>
      </c>
      <c r="E6056" s="0" t="s">
        <v>133</v>
      </c>
      <c r="F6056" s="0" t="s">
        <v>134</v>
      </c>
      <c r="G6056" s="0" t="s">
        <v>169</v>
      </c>
      <c r="H6056" s="0" t="s">
        <v>169</v>
      </c>
      <c r="I6056" s="0" t="s">
        <v>45</v>
      </c>
      <c r="J6056" s="0" t="s">
        <v>46</v>
      </c>
      <c r="K6056" s="0" t="s">
        <v>30</v>
      </c>
      <c r="L6056" s="0" t="s">
        <v>31</v>
      </c>
      <c r="M6056" s="0" t="s">
        <v>167</v>
      </c>
      <c r="N6056" s="0" t="n">
        <v>789</v>
      </c>
      <c r="O6056" s="10" t="n">
        <v>0.966629903996363</v>
      </c>
      <c r="P6056" s="10" t="n">
        <v>0.162863194011152</v>
      </c>
      <c r="Q6056" s="0" t="str">
        <f aca="false">SUBSTITUTE(SUBSTITUTE($I6056,CHAR(61),""),CHAR(34),"")</f>
        <v>50+</v>
      </c>
      <c r="R6056" s="0" t="str">
        <f aca="false">IF($D6056&lt;&gt;"","["&amp;$E6056&amp;"]"&amp;"|"&amp;$Q6056&amp;"|"&amp;$K6056&amp;"|"&amp;$G6056&amp;"|"&amp;IF($G6056="TX_CURR_SUBNAT.R","CY2022Q4",$M6056),"")</f>
        <v>[JQKLKuVuY61]|50+|Female|Incidence_SUBNAT.Rt.T|CY2024Q3</v>
      </c>
    </row>
    <row r="6057" customFormat="false" ht="15" hidden="false" customHeight="false" outlineLevel="0" collapsed="false">
      <c r="D6057" s="0" t="s">
        <v>132</v>
      </c>
      <c r="E6057" s="0" t="s">
        <v>133</v>
      </c>
      <c r="F6057" s="0" t="s">
        <v>134</v>
      </c>
      <c r="G6057" s="0" t="s">
        <v>169</v>
      </c>
      <c r="H6057" s="0" t="s">
        <v>169</v>
      </c>
      <c r="I6057" s="0" t="s">
        <v>28</v>
      </c>
      <c r="J6057" s="0" t="s">
        <v>29</v>
      </c>
      <c r="K6057" s="0" t="s">
        <v>48</v>
      </c>
      <c r="L6057" s="0" t="s">
        <v>49</v>
      </c>
      <c r="M6057" s="0" t="s">
        <v>167</v>
      </c>
      <c r="N6057" s="0" t="n">
        <v>1210</v>
      </c>
      <c r="O6057" s="10" t="n">
        <v>0.515991270309314</v>
      </c>
      <c r="P6057" s="10" t="n">
        <v>0.162863194011152</v>
      </c>
      <c r="Q6057" s="0" t="str">
        <f aca="false">SUBSTITUTE(SUBSTITUTE($I6057,CHAR(61),""),CHAR(34),"")</f>
        <v>&lt;01</v>
      </c>
      <c r="R6057" s="0" t="str">
        <f aca="false">IF($D6057&lt;&gt;"","["&amp;$E6057&amp;"]"&amp;"|"&amp;$Q6057&amp;"|"&amp;$K6057&amp;"|"&amp;$G6057&amp;"|"&amp;IF($G6057="TX_CURR_SUBNAT.R","CY2022Q4",$M6057),"")</f>
        <v>[JQKLKuVuY61]|&lt;01|Male|Incidence_SUBNAT.Rt.T|CY2024Q3</v>
      </c>
    </row>
    <row r="6058" customFormat="false" ht="15" hidden="false" customHeight="false" outlineLevel="0" collapsed="false">
      <c r="D6058" s="0" t="s">
        <v>132</v>
      </c>
      <c r="E6058" s="0" t="s">
        <v>133</v>
      </c>
      <c r="F6058" s="0" t="s">
        <v>134</v>
      </c>
      <c r="G6058" s="0" t="s">
        <v>169</v>
      </c>
      <c r="H6058" s="0" t="s">
        <v>169</v>
      </c>
      <c r="I6058" s="0" t="s">
        <v>33</v>
      </c>
      <c r="J6058" s="0" t="s">
        <v>34</v>
      </c>
      <c r="K6058" s="0" t="s">
        <v>48</v>
      </c>
      <c r="L6058" s="0" t="s">
        <v>49</v>
      </c>
      <c r="M6058" s="0" t="s">
        <v>167</v>
      </c>
      <c r="N6058" s="0" t="n">
        <v>1416</v>
      </c>
      <c r="O6058" s="10" t="n">
        <v>0.0618785757105798</v>
      </c>
      <c r="P6058" s="10" t="n">
        <v>0.162863194011152</v>
      </c>
      <c r="Q6058" s="0" t="str">
        <f aca="false">SUBSTITUTE(SUBSTITUTE($I6058,CHAR(61),""),CHAR(34),"")</f>
        <v>01-09</v>
      </c>
      <c r="R6058" s="0" t="str">
        <f aca="false">IF($D6058&lt;&gt;"","["&amp;$E6058&amp;"]"&amp;"|"&amp;$Q6058&amp;"|"&amp;$K6058&amp;"|"&amp;$G6058&amp;"|"&amp;IF($G6058="TX_CURR_SUBNAT.R","CY2022Q4",$M6058),"")</f>
        <v>[JQKLKuVuY61]|01-09|Male|Incidence_SUBNAT.Rt.T|CY2024Q3</v>
      </c>
    </row>
    <row r="6059" customFormat="false" ht="15" hidden="false" customHeight="false" outlineLevel="0" collapsed="false">
      <c r="D6059" s="0" t="s">
        <v>132</v>
      </c>
      <c r="E6059" s="0" t="s">
        <v>133</v>
      </c>
      <c r="F6059" s="0" t="s">
        <v>134</v>
      </c>
      <c r="G6059" s="0" t="s">
        <v>169</v>
      </c>
      <c r="H6059" s="0" t="s">
        <v>169</v>
      </c>
      <c r="I6059" s="0" t="s">
        <v>36</v>
      </c>
      <c r="J6059" s="0" t="s">
        <v>37</v>
      </c>
      <c r="K6059" s="0" t="s">
        <v>48</v>
      </c>
      <c r="L6059" s="0" t="s">
        <v>49</v>
      </c>
      <c r="M6059" s="0" t="s">
        <v>167</v>
      </c>
      <c r="N6059" s="0" t="n">
        <v>928</v>
      </c>
      <c r="O6059" s="10" t="n">
        <v>0.990798812825233</v>
      </c>
      <c r="P6059" s="10" t="n">
        <v>0.162863194011152</v>
      </c>
      <c r="Q6059" s="0" t="str">
        <f aca="false">SUBSTITUTE(SUBSTITUTE($I6059,CHAR(61),""),CHAR(34),"")</f>
        <v>10-14</v>
      </c>
      <c r="R6059" s="0" t="str">
        <f aca="false">IF($D6059&lt;&gt;"","["&amp;$E6059&amp;"]"&amp;"|"&amp;$Q6059&amp;"|"&amp;$K6059&amp;"|"&amp;$G6059&amp;"|"&amp;IF($G6059="TX_CURR_SUBNAT.R","CY2022Q4",$M6059),"")</f>
        <v>[JQKLKuVuY61]|10-14|Male|Incidence_SUBNAT.Rt.T|CY2024Q3</v>
      </c>
    </row>
    <row r="6060" customFormat="false" ht="15" hidden="false" customHeight="false" outlineLevel="0" collapsed="false">
      <c r="D6060" s="0" t="s">
        <v>132</v>
      </c>
      <c r="E6060" s="0" t="s">
        <v>133</v>
      </c>
      <c r="F6060" s="0" t="s">
        <v>134</v>
      </c>
      <c r="G6060" s="0" t="s">
        <v>169</v>
      </c>
      <c r="H6060" s="0" t="s">
        <v>169</v>
      </c>
      <c r="I6060" s="0" t="s">
        <v>38</v>
      </c>
      <c r="J6060" s="0" t="s">
        <v>39</v>
      </c>
      <c r="K6060" s="0" t="s">
        <v>48</v>
      </c>
      <c r="L6060" s="0" t="s">
        <v>49</v>
      </c>
      <c r="M6060" s="0" t="s">
        <v>167</v>
      </c>
      <c r="N6060" s="0" t="n">
        <v>1780</v>
      </c>
      <c r="O6060" s="10" t="n">
        <v>0.527189681306481</v>
      </c>
      <c r="P6060" s="10" t="n">
        <v>0.162863194011152</v>
      </c>
      <c r="Q6060" s="0" t="str">
        <f aca="false">SUBSTITUTE(SUBSTITUTE($I6060,CHAR(61),""),CHAR(34),"")</f>
        <v>15-24</v>
      </c>
      <c r="R6060" s="0" t="str">
        <f aca="false">IF($D6060&lt;&gt;"","["&amp;$E6060&amp;"]"&amp;"|"&amp;$Q6060&amp;"|"&amp;$K6060&amp;"|"&amp;$G6060&amp;"|"&amp;IF($G6060="TX_CURR_SUBNAT.R","CY2022Q4",$M6060),"")</f>
        <v>[JQKLKuVuY61]|15-24|Male|Incidence_SUBNAT.Rt.T|CY2024Q3</v>
      </c>
    </row>
    <row r="6061" customFormat="false" ht="15" hidden="false" customHeight="false" outlineLevel="0" collapsed="false">
      <c r="D6061" s="0" t="s">
        <v>132</v>
      </c>
      <c r="E6061" s="0" t="s">
        <v>133</v>
      </c>
      <c r="F6061" s="0" t="s">
        <v>134</v>
      </c>
      <c r="G6061" s="0" t="s">
        <v>169</v>
      </c>
      <c r="H6061" s="0" t="s">
        <v>169</v>
      </c>
      <c r="I6061" s="0" t="s">
        <v>41</v>
      </c>
      <c r="J6061" s="0" t="s">
        <v>42</v>
      </c>
      <c r="K6061" s="0" t="s">
        <v>48</v>
      </c>
      <c r="L6061" s="0" t="s">
        <v>49</v>
      </c>
      <c r="M6061" s="0" t="s">
        <v>167</v>
      </c>
      <c r="N6061" s="0" t="n">
        <v>727</v>
      </c>
      <c r="O6061" s="10" t="n">
        <v>0.40264391945675</v>
      </c>
      <c r="P6061" s="10" t="n">
        <v>0.162863194011152</v>
      </c>
      <c r="Q6061" s="0" t="str">
        <f aca="false">SUBSTITUTE(SUBSTITUTE($I6061,CHAR(61),""),CHAR(34),"")</f>
        <v>25-34</v>
      </c>
      <c r="R6061" s="0" t="str">
        <f aca="false">IF($D6061&lt;&gt;"","["&amp;$E6061&amp;"]"&amp;"|"&amp;$Q6061&amp;"|"&amp;$K6061&amp;"|"&amp;$G6061&amp;"|"&amp;IF($G6061="TX_CURR_SUBNAT.R","CY2022Q4",$M6061),"")</f>
        <v>[JQKLKuVuY61]|25-34|Male|Incidence_SUBNAT.Rt.T|CY2024Q3</v>
      </c>
    </row>
    <row r="6062" customFormat="false" ht="15" hidden="false" customHeight="false" outlineLevel="0" collapsed="false">
      <c r="D6062" s="0" t="s">
        <v>132</v>
      </c>
      <c r="E6062" s="0" t="s">
        <v>133</v>
      </c>
      <c r="F6062" s="0" t="s">
        <v>134</v>
      </c>
      <c r="G6062" s="0" t="s">
        <v>169</v>
      </c>
      <c r="H6062" s="0" t="s">
        <v>169</v>
      </c>
      <c r="I6062" s="0" t="s">
        <v>43</v>
      </c>
      <c r="J6062" s="0" t="s">
        <v>44</v>
      </c>
      <c r="K6062" s="0" t="s">
        <v>48</v>
      </c>
      <c r="L6062" s="0" t="s">
        <v>49</v>
      </c>
      <c r="M6062" s="0" t="s">
        <v>167</v>
      </c>
      <c r="N6062" s="0" t="n">
        <v>1281</v>
      </c>
      <c r="O6062" s="10" t="n">
        <v>0.0381933241151273</v>
      </c>
      <c r="P6062" s="10" t="n">
        <v>0.162863194011152</v>
      </c>
      <c r="Q6062" s="0" t="str">
        <f aca="false">SUBSTITUTE(SUBSTITUTE($I6062,CHAR(61),""),CHAR(34),"")</f>
        <v>35-49</v>
      </c>
      <c r="R6062" s="0" t="str">
        <f aca="false">IF($D6062&lt;&gt;"","["&amp;$E6062&amp;"]"&amp;"|"&amp;$Q6062&amp;"|"&amp;$K6062&amp;"|"&amp;$G6062&amp;"|"&amp;IF($G6062="TX_CURR_SUBNAT.R","CY2022Q4",$M6062),"")</f>
        <v>[JQKLKuVuY61]|35-49|Male|Incidence_SUBNAT.Rt.T|CY2024Q3</v>
      </c>
    </row>
    <row r="6063" customFormat="false" ht="15" hidden="false" customHeight="false" outlineLevel="0" collapsed="false">
      <c r="D6063" s="0" t="s">
        <v>132</v>
      </c>
      <c r="E6063" s="0" t="s">
        <v>133</v>
      </c>
      <c r="F6063" s="0" t="s">
        <v>134</v>
      </c>
      <c r="G6063" s="0" t="s">
        <v>169</v>
      </c>
      <c r="H6063" s="0" t="s">
        <v>169</v>
      </c>
      <c r="I6063" s="0" t="s">
        <v>45</v>
      </c>
      <c r="J6063" s="0" t="s">
        <v>46</v>
      </c>
      <c r="K6063" s="0" t="s">
        <v>48</v>
      </c>
      <c r="L6063" s="0" t="s">
        <v>49</v>
      </c>
      <c r="M6063" s="0" t="s">
        <v>167</v>
      </c>
      <c r="N6063" s="0" t="n">
        <v>1466</v>
      </c>
      <c r="O6063" s="10" t="n">
        <v>0.903711391380057</v>
      </c>
      <c r="P6063" s="10" t="n">
        <v>0.162863194011152</v>
      </c>
      <c r="Q6063" s="0" t="str">
        <f aca="false">SUBSTITUTE(SUBSTITUTE($I6063,CHAR(61),""),CHAR(34),"")</f>
        <v>50+</v>
      </c>
      <c r="R6063" s="0" t="str">
        <f aca="false">IF($D6063&lt;&gt;"","["&amp;$E6063&amp;"]"&amp;"|"&amp;$Q6063&amp;"|"&amp;$K6063&amp;"|"&amp;$G6063&amp;"|"&amp;IF($G6063="TX_CURR_SUBNAT.R","CY2022Q4",$M6063),"")</f>
        <v>[JQKLKuVuY61]|50+|Male|Incidence_SUBNAT.Rt.T|CY2024Q3</v>
      </c>
    </row>
    <row r="6064" customFormat="false" ht="15" hidden="false" customHeight="false" outlineLevel="0" collapsed="false">
      <c r="D6064" s="0" t="s">
        <v>135</v>
      </c>
      <c r="E6064" s="0" t="s">
        <v>136</v>
      </c>
      <c r="F6064" s="0" t="s">
        <v>137</v>
      </c>
      <c r="G6064" s="0" t="s">
        <v>169</v>
      </c>
      <c r="H6064" s="0" t="s">
        <v>169</v>
      </c>
      <c r="I6064" s="0" t="s">
        <v>28</v>
      </c>
      <c r="J6064" s="0" t="s">
        <v>29</v>
      </c>
      <c r="K6064" s="0" t="s">
        <v>30</v>
      </c>
      <c r="L6064" s="0" t="s">
        <v>31</v>
      </c>
      <c r="M6064" s="0" t="s">
        <v>167</v>
      </c>
      <c r="N6064" s="0" t="n">
        <v>1306</v>
      </c>
      <c r="O6064" s="10" t="n">
        <v>0.634407276054844</v>
      </c>
      <c r="P6064" s="10" t="n">
        <v>0.955300528323278</v>
      </c>
      <c r="Q6064" s="0" t="str">
        <f aca="false">SUBSTITUTE(SUBSTITUTE($I6064,CHAR(61),""),CHAR(34),"")</f>
        <v>&lt;01</v>
      </c>
      <c r="R6064" s="0" t="str">
        <f aca="false">IF($D6064&lt;&gt;"","["&amp;$E6064&amp;"]"&amp;"|"&amp;$Q6064&amp;"|"&amp;$K6064&amp;"|"&amp;$G6064&amp;"|"&amp;IF($G6064="TX_CURR_SUBNAT.R","CY2022Q4",$M6064),"")</f>
        <v>[fiRkU6gEjLz]|&lt;01|Female|Incidence_SUBNAT.Rt.T|CY2024Q3</v>
      </c>
    </row>
    <row r="6065" customFormat="false" ht="15" hidden="false" customHeight="false" outlineLevel="0" collapsed="false">
      <c r="D6065" s="0" t="s">
        <v>135</v>
      </c>
      <c r="E6065" s="0" t="s">
        <v>136</v>
      </c>
      <c r="F6065" s="0" t="s">
        <v>137</v>
      </c>
      <c r="G6065" s="0" t="s">
        <v>169</v>
      </c>
      <c r="H6065" s="0" t="s">
        <v>169</v>
      </c>
      <c r="I6065" s="0" t="s">
        <v>33</v>
      </c>
      <c r="J6065" s="0" t="s">
        <v>34</v>
      </c>
      <c r="K6065" s="0" t="s">
        <v>30</v>
      </c>
      <c r="L6065" s="0" t="s">
        <v>31</v>
      </c>
      <c r="M6065" s="0" t="s">
        <v>167</v>
      </c>
      <c r="N6065" s="0" t="n">
        <v>1941</v>
      </c>
      <c r="O6065" s="10" t="n">
        <v>0.884672112530097</v>
      </c>
      <c r="P6065" s="10" t="n">
        <v>0.955300528323278</v>
      </c>
      <c r="Q6065" s="0" t="str">
        <f aca="false">SUBSTITUTE(SUBSTITUTE($I6065,CHAR(61),""),CHAR(34),"")</f>
        <v>01-09</v>
      </c>
      <c r="R6065" s="0" t="str">
        <f aca="false">IF($D6065&lt;&gt;"","["&amp;$E6065&amp;"]"&amp;"|"&amp;$Q6065&amp;"|"&amp;$K6065&amp;"|"&amp;$G6065&amp;"|"&amp;IF($G6065="TX_CURR_SUBNAT.R","CY2022Q4",$M6065),"")</f>
        <v>[fiRkU6gEjLz]|01-09|Female|Incidence_SUBNAT.Rt.T|CY2024Q3</v>
      </c>
    </row>
    <row r="6066" customFormat="false" ht="15" hidden="false" customHeight="false" outlineLevel="0" collapsed="false">
      <c r="D6066" s="0" t="s">
        <v>135</v>
      </c>
      <c r="E6066" s="0" t="s">
        <v>136</v>
      </c>
      <c r="F6066" s="0" t="s">
        <v>137</v>
      </c>
      <c r="G6066" s="0" t="s">
        <v>169</v>
      </c>
      <c r="H6066" s="0" t="s">
        <v>169</v>
      </c>
      <c r="I6066" s="0" t="s">
        <v>36</v>
      </c>
      <c r="J6066" s="0" t="s">
        <v>37</v>
      </c>
      <c r="K6066" s="0" t="s">
        <v>30</v>
      </c>
      <c r="L6066" s="0" t="s">
        <v>31</v>
      </c>
      <c r="M6066" s="0" t="s">
        <v>167</v>
      </c>
      <c r="N6066" s="0" t="n">
        <v>1172</v>
      </c>
      <c r="O6066" s="10" t="n">
        <v>0.424572680145502</v>
      </c>
      <c r="P6066" s="10" t="n">
        <v>0.955300528323278</v>
      </c>
      <c r="Q6066" s="0" t="str">
        <f aca="false">SUBSTITUTE(SUBSTITUTE($I6066,CHAR(61),""),CHAR(34),"")</f>
        <v>10-14</v>
      </c>
      <c r="R6066" s="0" t="str">
        <f aca="false">IF($D6066&lt;&gt;"","["&amp;$E6066&amp;"]"&amp;"|"&amp;$Q6066&amp;"|"&amp;$K6066&amp;"|"&amp;$G6066&amp;"|"&amp;IF($G6066="TX_CURR_SUBNAT.R","CY2022Q4",$M6066),"")</f>
        <v>[fiRkU6gEjLz]|10-14|Female|Incidence_SUBNAT.Rt.T|CY2024Q3</v>
      </c>
    </row>
    <row r="6067" customFormat="false" ht="15" hidden="false" customHeight="false" outlineLevel="0" collapsed="false">
      <c r="D6067" s="0" t="s">
        <v>135</v>
      </c>
      <c r="E6067" s="0" t="s">
        <v>136</v>
      </c>
      <c r="F6067" s="0" t="s">
        <v>137</v>
      </c>
      <c r="G6067" s="0" t="s">
        <v>169</v>
      </c>
      <c r="H6067" s="0" t="s">
        <v>169</v>
      </c>
      <c r="I6067" s="0" t="s">
        <v>38</v>
      </c>
      <c r="J6067" s="0" t="s">
        <v>39</v>
      </c>
      <c r="K6067" s="0" t="s">
        <v>30</v>
      </c>
      <c r="L6067" s="0" t="s">
        <v>31</v>
      </c>
      <c r="M6067" s="0" t="s">
        <v>167</v>
      </c>
      <c r="N6067" s="0" t="n">
        <v>1575</v>
      </c>
      <c r="O6067" s="10" t="n">
        <v>0.174431948456913</v>
      </c>
      <c r="P6067" s="10" t="n">
        <v>0.955300528323278</v>
      </c>
      <c r="Q6067" s="0" t="str">
        <f aca="false">SUBSTITUTE(SUBSTITUTE($I6067,CHAR(61),""),CHAR(34),"")</f>
        <v>15-24</v>
      </c>
      <c r="R6067" s="0" t="str">
        <f aca="false">IF($D6067&lt;&gt;"","["&amp;$E6067&amp;"]"&amp;"|"&amp;$Q6067&amp;"|"&amp;$K6067&amp;"|"&amp;$G6067&amp;"|"&amp;IF($G6067="TX_CURR_SUBNAT.R","CY2022Q4",$M6067),"")</f>
        <v>[fiRkU6gEjLz]|15-24|Female|Incidence_SUBNAT.Rt.T|CY2024Q3</v>
      </c>
    </row>
    <row r="6068" customFormat="false" ht="15" hidden="false" customHeight="false" outlineLevel="0" collapsed="false">
      <c r="D6068" s="0" t="s">
        <v>135</v>
      </c>
      <c r="E6068" s="0" t="s">
        <v>136</v>
      </c>
      <c r="F6068" s="0" t="s">
        <v>137</v>
      </c>
      <c r="G6068" s="0" t="s">
        <v>169</v>
      </c>
      <c r="H6068" s="0" t="s">
        <v>169</v>
      </c>
      <c r="I6068" s="0" t="s">
        <v>41</v>
      </c>
      <c r="J6068" s="0" t="s">
        <v>42</v>
      </c>
      <c r="K6068" s="0" t="s">
        <v>30</v>
      </c>
      <c r="L6068" s="0" t="s">
        <v>31</v>
      </c>
      <c r="M6068" s="0" t="s">
        <v>167</v>
      </c>
      <c r="N6068" s="0" t="n">
        <v>733</v>
      </c>
      <c r="O6068" s="10" t="n">
        <v>0.304889074992388</v>
      </c>
      <c r="P6068" s="10" t="n">
        <v>0.955300528323278</v>
      </c>
      <c r="Q6068" s="0" t="str">
        <f aca="false">SUBSTITUTE(SUBSTITUTE($I6068,CHAR(61),""),CHAR(34),"")</f>
        <v>25-34</v>
      </c>
      <c r="R6068" s="0" t="str">
        <f aca="false">IF($D6068&lt;&gt;"","["&amp;$E6068&amp;"]"&amp;"|"&amp;$Q6068&amp;"|"&amp;$K6068&amp;"|"&amp;$G6068&amp;"|"&amp;IF($G6068="TX_CURR_SUBNAT.R","CY2022Q4",$M6068),"")</f>
        <v>[fiRkU6gEjLz]|25-34|Female|Incidence_SUBNAT.Rt.T|CY2024Q3</v>
      </c>
    </row>
    <row r="6069" customFormat="false" ht="15" hidden="false" customHeight="false" outlineLevel="0" collapsed="false">
      <c r="D6069" s="0" t="s">
        <v>135</v>
      </c>
      <c r="E6069" s="0" t="s">
        <v>136</v>
      </c>
      <c r="F6069" s="0" t="s">
        <v>137</v>
      </c>
      <c r="G6069" s="0" t="s">
        <v>169</v>
      </c>
      <c r="H6069" s="0" t="s">
        <v>169</v>
      </c>
      <c r="I6069" s="0" t="s">
        <v>43</v>
      </c>
      <c r="J6069" s="0" t="s">
        <v>44</v>
      </c>
      <c r="K6069" s="0" t="s">
        <v>30</v>
      </c>
      <c r="L6069" s="0" t="s">
        <v>31</v>
      </c>
      <c r="M6069" s="0" t="s">
        <v>167</v>
      </c>
      <c r="N6069" s="0" t="n">
        <v>1673</v>
      </c>
      <c r="O6069" s="10" t="n">
        <v>0.834912538528442</v>
      </c>
      <c r="P6069" s="10" t="n">
        <v>0.955300528323278</v>
      </c>
      <c r="Q6069" s="0" t="str">
        <f aca="false">SUBSTITUTE(SUBSTITUTE($I6069,CHAR(61),""),CHAR(34),"")</f>
        <v>35-49</v>
      </c>
      <c r="R6069" s="0" t="str">
        <f aca="false">IF($D6069&lt;&gt;"","["&amp;$E6069&amp;"]"&amp;"|"&amp;$Q6069&amp;"|"&amp;$K6069&amp;"|"&amp;$G6069&amp;"|"&amp;IF($G6069="TX_CURR_SUBNAT.R","CY2022Q4",$M6069),"")</f>
        <v>[fiRkU6gEjLz]|35-49|Female|Incidence_SUBNAT.Rt.T|CY2024Q3</v>
      </c>
    </row>
    <row r="6070" customFormat="false" ht="15" hidden="false" customHeight="false" outlineLevel="0" collapsed="false">
      <c r="D6070" s="0" t="s">
        <v>135</v>
      </c>
      <c r="E6070" s="0" t="s">
        <v>136</v>
      </c>
      <c r="F6070" s="0" t="s">
        <v>137</v>
      </c>
      <c r="G6070" s="0" t="s">
        <v>169</v>
      </c>
      <c r="H6070" s="0" t="s">
        <v>169</v>
      </c>
      <c r="I6070" s="0" t="s">
        <v>45</v>
      </c>
      <c r="J6070" s="0" t="s">
        <v>46</v>
      </c>
      <c r="K6070" s="0" t="s">
        <v>30</v>
      </c>
      <c r="L6070" s="0" t="s">
        <v>31</v>
      </c>
      <c r="M6070" s="0" t="s">
        <v>167</v>
      </c>
      <c r="N6070" s="0" t="n">
        <v>1759</v>
      </c>
      <c r="O6070" s="10" t="n">
        <v>0.748785335570574</v>
      </c>
      <c r="P6070" s="10" t="n">
        <v>0.955300528323278</v>
      </c>
      <c r="Q6070" s="0" t="str">
        <f aca="false">SUBSTITUTE(SUBSTITUTE($I6070,CHAR(61),""),CHAR(34),"")</f>
        <v>50+</v>
      </c>
      <c r="R6070" s="0" t="str">
        <f aca="false">IF($D6070&lt;&gt;"","["&amp;$E6070&amp;"]"&amp;"|"&amp;$Q6070&amp;"|"&amp;$K6070&amp;"|"&amp;$G6070&amp;"|"&amp;IF($G6070="TX_CURR_SUBNAT.R","CY2022Q4",$M6070),"")</f>
        <v>[fiRkU6gEjLz]|50+|Female|Incidence_SUBNAT.Rt.T|CY2024Q3</v>
      </c>
    </row>
    <row r="6071" customFormat="false" ht="15" hidden="false" customHeight="false" outlineLevel="0" collapsed="false">
      <c r="D6071" s="0" t="s">
        <v>135</v>
      </c>
      <c r="E6071" s="0" t="s">
        <v>136</v>
      </c>
      <c r="F6071" s="0" t="s">
        <v>137</v>
      </c>
      <c r="G6071" s="0" t="s">
        <v>169</v>
      </c>
      <c r="H6071" s="0" t="s">
        <v>169</v>
      </c>
      <c r="I6071" s="0" t="s">
        <v>28</v>
      </c>
      <c r="J6071" s="0" t="s">
        <v>29</v>
      </c>
      <c r="K6071" s="0" t="s">
        <v>48</v>
      </c>
      <c r="L6071" s="0" t="s">
        <v>49</v>
      </c>
      <c r="M6071" s="0" t="s">
        <v>167</v>
      </c>
      <c r="N6071" s="0" t="n">
        <v>1137</v>
      </c>
      <c r="O6071" s="10" t="n">
        <v>0.00711955712176859</v>
      </c>
      <c r="P6071" s="10" t="n">
        <v>0.955300528323278</v>
      </c>
      <c r="Q6071" s="0" t="str">
        <f aca="false">SUBSTITUTE(SUBSTITUTE($I6071,CHAR(61),""),CHAR(34),"")</f>
        <v>&lt;01</v>
      </c>
      <c r="R6071" s="0" t="str">
        <f aca="false">IF($D6071&lt;&gt;"","["&amp;$E6071&amp;"]"&amp;"|"&amp;$Q6071&amp;"|"&amp;$K6071&amp;"|"&amp;$G6071&amp;"|"&amp;IF($G6071="TX_CURR_SUBNAT.R","CY2022Q4",$M6071),"")</f>
        <v>[fiRkU6gEjLz]|&lt;01|Male|Incidence_SUBNAT.Rt.T|CY2024Q3</v>
      </c>
    </row>
    <row r="6072" customFormat="false" ht="15" hidden="false" customHeight="false" outlineLevel="0" collapsed="false">
      <c r="D6072" s="0" t="s">
        <v>135</v>
      </c>
      <c r="E6072" s="0" t="s">
        <v>136</v>
      </c>
      <c r="F6072" s="0" t="s">
        <v>137</v>
      </c>
      <c r="G6072" s="0" t="s">
        <v>169</v>
      </c>
      <c r="H6072" s="0" t="s">
        <v>169</v>
      </c>
      <c r="I6072" s="0" t="s">
        <v>33</v>
      </c>
      <c r="J6072" s="0" t="s">
        <v>34</v>
      </c>
      <c r="K6072" s="0" t="s">
        <v>48</v>
      </c>
      <c r="L6072" s="0" t="s">
        <v>49</v>
      </c>
      <c r="M6072" s="0" t="s">
        <v>167</v>
      </c>
      <c r="N6072" s="0" t="n">
        <v>1264</v>
      </c>
      <c r="O6072" s="10" t="n">
        <v>0.962250970071182</v>
      </c>
      <c r="P6072" s="10" t="n">
        <v>0.955300528323278</v>
      </c>
      <c r="Q6072" s="0" t="str">
        <f aca="false">SUBSTITUTE(SUBSTITUTE($I6072,CHAR(61),""),CHAR(34),"")</f>
        <v>01-09</v>
      </c>
      <c r="R6072" s="0" t="str">
        <f aca="false">IF($D6072&lt;&gt;"","["&amp;$E6072&amp;"]"&amp;"|"&amp;$Q6072&amp;"|"&amp;$K6072&amp;"|"&amp;$G6072&amp;"|"&amp;IF($G6072="TX_CURR_SUBNAT.R","CY2022Q4",$M6072),"")</f>
        <v>[fiRkU6gEjLz]|01-09|Male|Incidence_SUBNAT.Rt.T|CY2024Q3</v>
      </c>
    </row>
    <row r="6073" customFormat="false" ht="15" hidden="false" customHeight="false" outlineLevel="0" collapsed="false">
      <c r="D6073" s="0" t="s">
        <v>135</v>
      </c>
      <c r="E6073" s="0" t="s">
        <v>136</v>
      </c>
      <c r="F6073" s="0" t="s">
        <v>137</v>
      </c>
      <c r="G6073" s="0" t="s">
        <v>169</v>
      </c>
      <c r="H6073" s="0" t="s">
        <v>169</v>
      </c>
      <c r="I6073" s="0" t="s">
        <v>36</v>
      </c>
      <c r="J6073" s="0" t="s">
        <v>37</v>
      </c>
      <c r="K6073" s="0" t="s">
        <v>48</v>
      </c>
      <c r="L6073" s="0" t="s">
        <v>49</v>
      </c>
      <c r="M6073" s="0" t="s">
        <v>167</v>
      </c>
      <c r="N6073" s="0" t="n">
        <v>1339</v>
      </c>
      <c r="O6073" s="10" t="n">
        <v>0.488910361891612</v>
      </c>
      <c r="P6073" s="10" t="n">
        <v>0.955300528323278</v>
      </c>
      <c r="Q6073" s="0" t="str">
        <f aca="false">SUBSTITUTE(SUBSTITUTE($I6073,CHAR(61),""),CHAR(34),"")</f>
        <v>10-14</v>
      </c>
      <c r="R6073" s="0" t="str">
        <f aca="false">IF($D6073&lt;&gt;"","["&amp;$E6073&amp;"]"&amp;"|"&amp;$Q6073&amp;"|"&amp;$K6073&amp;"|"&amp;$G6073&amp;"|"&amp;IF($G6073="TX_CURR_SUBNAT.R","CY2022Q4",$M6073),"")</f>
        <v>[fiRkU6gEjLz]|10-14|Male|Incidence_SUBNAT.Rt.T|CY2024Q3</v>
      </c>
    </row>
    <row r="6074" customFormat="false" ht="15" hidden="false" customHeight="false" outlineLevel="0" collapsed="false">
      <c r="D6074" s="0" t="s">
        <v>135</v>
      </c>
      <c r="E6074" s="0" t="s">
        <v>136</v>
      </c>
      <c r="F6074" s="0" t="s">
        <v>137</v>
      </c>
      <c r="G6074" s="0" t="s">
        <v>169</v>
      </c>
      <c r="H6074" s="0" t="s">
        <v>169</v>
      </c>
      <c r="I6074" s="0" t="s">
        <v>38</v>
      </c>
      <c r="J6074" s="0" t="s">
        <v>39</v>
      </c>
      <c r="K6074" s="0" t="s">
        <v>48</v>
      </c>
      <c r="L6074" s="0" t="s">
        <v>49</v>
      </c>
      <c r="M6074" s="0" t="s">
        <v>167</v>
      </c>
      <c r="N6074" s="0" t="n">
        <v>1372</v>
      </c>
      <c r="O6074" s="10" t="n">
        <v>0.747075777733698</v>
      </c>
      <c r="P6074" s="10" t="n">
        <v>0.955300528323278</v>
      </c>
      <c r="Q6074" s="0" t="str">
        <f aca="false">SUBSTITUTE(SUBSTITUTE($I6074,CHAR(61),""),CHAR(34),"")</f>
        <v>15-24</v>
      </c>
      <c r="R6074" s="0" t="str">
        <f aca="false">IF($D6074&lt;&gt;"","["&amp;$E6074&amp;"]"&amp;"|"&amp;$Q6074&amp;"|"&amp;$K6074&amp;"|"&amp;$G6074&amp;"|"&amp;IF($G6074="TX_CURR_SUBNAT.R","CY2022Q4",$M6074),"")</f>
        <v>[fiRkU6gEjLz]|15-24|Male|Incidence_SUBNAT.Rt.T|CY2024Q3</v>
      </c>
    </row>
    <row r="6075" customFormat="false" ht="15" hidden="false" customHeight="false" outlineLevel="0" collapsed="false">
      <c r="D6075" s="0" t="s">
        <v>135</v>
      </c>
      <c r="E6075" s="0" t="s">
        <v>136</v>
      </c>
      <c r="F6075" s="0" t="s">
        <v>137</v>
      </c>
      <c r="G6075" s="0" t="s">
        <v>169</v>
      </c>
      <c r="H6075" s="0" t="s">
        <v>169</v>
      </c>
      <c r="I6075" s="0" t="s">
        <v>41</v>
      </c>
      <c r="J6075" s="0" t="s">
        <v>42</v>
      </c>
      <c r="K6075" s="0" t="s">
        <v>48</v>
      </c>
      <c r="L6075" s="0" t="s">
        <v>49</v>
      </c>
      <c r="M6075" s="0" t="s">
        <v>167</v>
      </c>
      <c r="N6075" s="0" t="n">
        <v>1244</v>
      </c>
      <c r="O6075" s="10" t="n">
        <v>0.183973210398108</v>
      </c>
      <c r="P6075" s="10" t="n">
        <v>0.955300528323278</v>
      </c>
      <c r="Q6075" s="0" t="str">
        <f aca="false">SUBSTITUTE(SUBSTITUTE($I6075,CHAR(61),""),CHAR(34),"")</f>
        <v>25-34</v>
      </c>
      <c r="R6075" s="0" t="str">
        <f aca="false">IF($D6075&lt;&gt;"","["&amp;$E6075&amp;"]"&amp;"|"&amp;$Q6075&amp;"|"&amp;$K6075&amp;"|"&amp;$G6075&amp;"|"&amp;IF($G6075="TX_CURR_SUBNAT.R","CY2022Q4",$M6075),"")</f>
        <v>[fiRkU6gEjLz]|25-34|Male|Incidence_SUBNAT.Rt.T|CY2024Q3</v>
      </c>
    </row>
    <row r="6076" customFormat="false" ht="15" hidden="false" customHeight="false" outlineLevel="0" collapsed="false">
      <c r="D6076" s="0" t="s">
        <v>135</v>
      </c>
      <c r="E6076" s="0" t="s">
        <v>136</v>
      </c>
      <c r="F6076" s="0" t="s">
        <v>137</v>
      </c>
      <c r="G6076" s="0" t="s">
        <v>169</v>
      </c>
      <c r="H6076" s="0" t="s">
        <v>169</v>
      </c>
      <c r="I6076" s="0" t="s">
        <v>43</v>
      </c>
      <c r="J6076" s="0" t="s">
        <v>44</v>
      </c>
      <c r="K6076" s="0" t="s">
        <v>48</v>
      </c>
      <c r="L6076" s="0" t="s">
        <v>49</v>
      </c>
      <c r="M6076" s="0" t="s">
        <v>167</v>
      </c>
      <c r="N6076" s="0" t="n">
        <v>1073</v>
      </c>
      <c r="O6076" s="10" t="n">
        <v>0.684203288517892</v>
      </c>
      <c r="P6076" s="10" t="n">
        <v>0.955300528323278</v>
      </c>
      <c r="Q6076" s="0" t="str">
        <f aca="false">SUBSTITUTE(SUBSTITUTE($I6076,CHAR(61),""),CHAR(34),"")</f>
        <v>35-49</v>
      </c>
      <c r="R6076" s="0" t="str">
        <f aca="false">IF($D6076&lt;&gt;"","["&amp;$E6076&amp;"]"&amp;"|"&amp;$Q6076&amp;"|"&amp;$K6076&amp;"|"&amp;$G6076&amp;"|"&amp;IF($G6076="TX_CURR_SUBNAT.R","CY2022Q4",$M6076),"")</f>
        <v>[fiRkU6gEjLz]|35-49|Male|Incidence_SUBNAT.Rt.T|CY2024Q3</v>
      </c>
    </row>
    <row r="6077" customFormat="false" ht="15" hidden="false" customHeight="false" outlineLevel="0" collapsed="false">
      <c r="D6077" s="0" t="s">
        <v>135</v>
      </c>
      <c r="E6077" s="0" t="s">
        <v>136</v>
      </c>
      <c r="F6077" s="0" t="s">
        <v>137</v>
      </c>
      <c r="G6077" s="0" t="s">
        <v>169</v>
      </c>
      <c r="H6077" s="0" t="s">
        <v>169</v>
      </c>
      <c r="I6077" s="0" t="s">
        <v>45</v>
      </c>
      <c r="J6077" s="0" t="s">
        <v>46</v>
      </c>
      <c r="K6077" s="0" t="s">
        <v>48</v>
      </c>
      <c r="L6077" s="0" t="s">
        <v>49</v>
      </c>
      <c r="M6077" s="0" t="s">
        <v>167</v>
      </c>
      <c r="N6077" s="0" t="n">
        <v>864</v>
      </c>
      <c r="O6077" s="10" t="n">
        <v>0.531351514393464</v>
      </c>
      <c r="P6077" s="10" t="n">
        <v>0.955300528323278</v>
      </c>
      <c r="Q6077" s="0" t="str">
        <f aca="false">SUBSTITUTE(SUBSTITUTE($I6077,CHAR(61),""),CHAR(34),"")</f>
        <v>50+</v>
      </c>
      <c r="R6077" s="0" t="str">
        <f aca="false">IF($D6077&lt;&gt;"","["&amp;$E6077&amp;"]"&amp;"|"&amp;$Q6077&amp;"|"&amp;$K6077&amp;"|"&amp;$G6077&amp;"|"&amp;IF($G6077="TX_CURR_SUBNAT.R","CY2022Q4",$M6077),"")</f>
        <v>[fiRkU6gEjLz]|50+|Male|Incidence_SUBNAT.Rt.T|CY2024Q3</v>
      </c>
    </row>
    <row r="6078" customFormat="false" ht="15" hidden="false" customHeight="false" outlineLevel="0" collapsed="false">
      <c r="D6078" s="0" t="s">
        <v>23</v>
      </c>
      <c r="E6078" s="0" t="s">
        <v>24</v>
      </c>
      <c r="F6078" s="0" t="s">
        <v>25</v>
      </c>
      <c r="G6078" s="0" t="s">
        <v>170</v>
      </c>
      <c r="H6078" s="0" t="s">
        <v>170</v>
      </c>
      <c r="I6078" s="0" t="s">
        <v>28</v>
      </c>
      <c r="J6078" s="0" t="s">
        <v>29</v>
      </c>
      <c r="K6078" s="0" t="s">
        <v>30</v>
      </c>
      <c r="L6078" s="0" t="s">
        <v>31</v>
      </c>
      <c r="M6078" s="0" t="s">
        <v>167</v>
      </c>
      <c r="N6078" s="0" t="n">
        <v>1742</v>
      </c>
      <c r="O6078" s="10" t="n">
        <v>0.816313260002062</v>
      </c>
      <c r="P6078" s="10" t="n">
        <v>0.404358610976487</v>
      </c>
      <c r="Q6078" s="0" t="str">
        <f aca="false">SUBSTITUTE(SUBSTITUTE($I6078,CHAR(61),""),CHAR(34),"")</f>
        <v>&lt;01</v>
      </c>
      <c r="R6078" s="0" t="str">
        <f aca="false">IF($D6078&lt;&gt;"","["&amp;$E6078&amp;"]"&amp;"|"&amp;$Q6078&amp;"|"&amp;$K6078&amp;"|"&amp;$G6078&amp;"|"&amp;IF($G6078="TX_CURR_SUBNAT.R","CY2022Q4",$M6078),"")</f>
        <v>[GkIwZrXy1h2]|&lt;01|Female|NEW_INFECTIONS_SUBNAT.T|CY2024Q3</v>
      </c>
    </row>
    <row r="6079" customFormat="false" ht="15" hidden="false" customHeight="false" outlineLevel="0" collapsed="false">
      <c r="D6079" s="0" t="s">
        <v>23</v>
      </c>
      <c r="E6079" s="0" t="s">
        <v>24</v>
      </c>
      <c r="F6079" s="0" t="s">
        <v>25</v>
      </c>
      <c r="G6079" s="0" t="s">
        <v>170</v>
      </c>
      <c r="H6079" s="0" t="s">
        <v>170</v>
      </c>
      <c r="I6079" s="0" t="s">
        <v>33</v>
      </c>
      <c r="J6079" s="0" t="s">
        <v>34</v>
      </c>
      <c r="K6079" s="0" t="s">
        <v>30</v>
      </c>
      <c r="L6079" s="0" t="s">
        <v>31</v>
      </c>
      <c r="M6079" s="0" t="s">
        <v>167</v>
      </c>
      <c r="N6079" s="0" t="n">
        <v>1948</v>
      </c>
      <c r="O6079" s="10" t="n">
        <v>0.854757962748408</v>
      </c>
      <c r="P6079" s="10" t="n">
        <v>0.404358610976487</v>
      </c>
      <c r="Q6079" s="0" t="str">
        <f aca="false">SUBSTITUTE(SUBSTITUTE($I6079,CHAR(61),""),CHAR(34),"")</f>
        <v>01-09</v>
      </c>
      <c r="R6079" s="0" t="str">
        <f aca="false">IF($D6079&lt;&gt;"","["&amp;$E6079&amp;"]"&amp;"|"&amp;$Q6079&amp;"|"&amp;$K6079&amp;"|"&amp;$G6079&amp;"|"&amp;IF($G6079="TX_CURR_SUBNAT.R","CY2022Q4",$M6079),"")</f>
        <v>[GkIwZrXy1h2]|01-09|Female|NEW_INFECTIONS_SUBNAT.T|CY2024Q3</v>
      </c>
    </row>
    <row r="6080" customFormat="false" ht="15" hidden="false" customHeight="false" outlineLevel="0" collapsed="false">
      <c r="D6080" s="0" t="s">
        <v>23</v>
      </c>
      <c r="E6080" s="0" t="s">
        <v>24</v>
      </c>
      <c r="F6080" s="0" t="s">
        <v>25</v>
      </c>
      <c r="G6080" s="0" t="s">
        <v>170</v>
      </c>
      <c r="H6080" s="0" t="s">
        <v>170</v>
      </c>
      <c r="I6080" s="0" t="s">
        <v>36</v>
      </c>
      <c r="J6080" s="0" t="s">
        <v>37</v>
      </c>
      <c r="K6080" s="0" t="s">
        <v>30</v>
      </c>
      <c r="L6080" s="0" t="s">
        <v>31</v>
      </c>
      <c r="M6080" s="0" t="s">
        <v>167</v>
      </c>
      <c r="N6080" s="0" t="n">
        <v>751</v>
      </c>
      <c r="O6080" s="10" t="n">
        <v>0.237624031491578</v>
      </c>
      <c r="P6080" s="10" t="n">
        <v>0.404358610976487</v>
      </c>
      <c r="Q6080" s="0" t="str">
        <f aca="false">SUBSTITUTE(SUBSTITUTE($I6080,CHAR(61),""),CHAR(34),"")</f>
        <v>10-14</v>
      </c>
      <c r="R6080" s="0" t="str">
        <f aca="false">IF($D6080&lt;&gt;"","["&amp;$E6080&amp;"]"&amp;"|"&amp;$Q6080&amp;"|"&amp;$K6080&amp;"|"&amp;$G6080&amp;"|"&amp;IF($G6080="TX_CURR_SUBNAT.R","CY2022Q4",$M6080),"")</f>
        <v>[GkIwZrXy1h2]|10-14|Female|NEW_INFECTIONS_SUBNAT.T|CY2024Q3</v>
      </c>
    </row>
    <row r="6081" customFormat="false" ht="15" hidden="false" customHeight="false" outlineLevel="0" collapsed="false">
      <c r="D6081" s="0" t="s">
        <v>23</v>
      </c>
      <c r="E6081" s="0" t="s">
        <v>24</v>
      </c>
      <c r="F6081" s="0" t="s">
        <v>25</v>
      </c>
      <c r="G6081" s="0" t="s">
        <v>170</v>
      </c>
      <c r="H6081" s="0" t="s">
        <v>170</v>
      </c>
      <c r="I6081" s="0" t="s">
        <v>38</v>
      </c>
      <c r="J6081" s="0" t="s">
        <v>39</v>
      </c>
      <c r="K6081" s="0" t="s">
        <v>30</v>
      </c>
      <c r="L6081" s="0" t="s">
        <v>31</v>
      </c>
      <c r="M6081" s="0" t="s">
        <v>167</v>
      </c>
      <c r="N6081" s="0" t="n">
        <v>1001</v>
      </c>
      <c r="O6081" s="10" t="n">
        <v>0.553109016502276</v>
      </c>
      <c r="P6081" s="10" t="n">
        <v>0.404358610976487</v>
      </c>
      <c r="Q6081" s="0" t="str">
        <f aca="false">SUBSTITUTE(SUBSTITUTE($I6081,CHAR(61),""),CHAR(34),"")</f>
        <v>15-24</v>
      </c>
      <c r="R6081" s="0" t="str">
        <f aca="false">IF($D6081&lt;&gt;"","["&amp;$E6081&amp;"]"&amp;"|"&amp;$Q6081&amp;"|"&amp;$K6081&amp;"|"&amp;$G6081&amp;"|"&amp;IF($G6081="TX_CURR_SUBNAT.R","CY2022Q4",$M6081),"")</f>
        <v>[GkIwZrXy1h2]|15-24|Female|NEW_INFECTIONS_SUBNAT.T|CY2024Q3</v>
      </c>
    </row>
    <row r="6082" customFormat="false" ht="15" hidden="false" customHeight="false" outlineLevel="0" collapsed="false">
      <c r="D6082" s="0" t="s">
        <v>23</v>
      </c>
      <c r="E6082" s="0" t="s">
        <v>24</v>
      </c>
      <c r="F6082" s="0" t="s">
        <v>25</v>
      </c>
      <c r="G6082" s="0" t="s">
        <v>170</v>
      </c>
      <c r="H6082" s="0" t="s">
        <v>170</v>
      </c>
      <c r="I6082" s="0" t="s">
        <v>41</v>
      </c>
      <c r="J6082" s="0" t="s">
        <v>42</v>
      </c>
      <c r="K6082" s="0" t="s">
        <v>30</v>
      </c>
      <c r="L6082" s="0" t="s">
        <v>31</v>
      </c>
      <c r="M6082" s="0" t="s">
        <v>167</v>
      </c>
      <c r="N6082" s="0" t="n">
        <v>1650</v>
      </c>
      <c r="O6082" s="10" t="n">
        <v>0.946495532989502</v>
      </c>
      <c r="P6082" s="10" t="n">
        <v>0.404358610976487</v>
      </c>
      <c r="Q6082" s="0" t="str">
        <f aca="false">SUBSTITUTE(SUBSTITUTE($I6082,CHAR(61),""),CHAR(34),"")</f>
        <v>25-34</v>
      </c>
      <c r="R6082" s="0" t="str">
        <f aca="false">IF($D6082&lt;&gt;"","["&amp;$E6082&amp;"]"&amp;"|"&amp;$Q6082&amp;"|"&amp;$K6082&amp;"|"&amp;$G6082&amp;"|"&amp;IF($G6082="TX_CURR_SUBNAT.R","CY2022Q4",$M6082),"")</f>
        <v>[GkIwZrXy1h2]|25-34|Female|NEW_INFECTIONS_SUBNAT.T|CY2024Q3</v>
      </c>
    </row>
    <row r="6083" customFormat="false" ht="15" hidden="false" customHeight="false" outlineLevel="0" collapsed="false">
      <c r="D6083" s="0" t="s">
        <v>23</v>
      </c>
      <c r="E6083" s="0" t="s">
        <v>24</v>
      </c>
      <c r="F6083" s="0" t="s">
        <v>25</v>
      </c>
      <c r="G6083" s="0" t="s">
        <v>170</v>
      </c>
      <c r="H6083" s="0" t="s">
        <v>170</v>
      </c>
      <c r="I6083" s="0" t="s">
        <v>43</v>
      </c>
      <c r="J6083" s="0" t="s">
        <v>44</v>
      </c>
      <c r="K6083" s="0" t="s">
        <v>30</v>
      </c>
      <c r="L6083" s="0" t="s">
        <v>31</v>
      </c>
      <c r="M6083" s="0" t="s">
        <v>167</v>
      </c>
      <c r="N6083" s="0" t="n">
        <v>601</v>
      </c>
      <c r="O6083" s="10" t="n">
        <v>0.810615372145548</v>
      </c>
      <c r="P6083" s="10" t="n">
        <v>0.404358610976487</v>
      </c>
      <c r="Q6083" s="0" t="str">
        <f aca="false">SUBSTITUTE(SUBSTITUTE($I6083,CHAR(61),""),CHAR(34),"")</f>
        <v>35-49</v>
      </c>
      <c r="R6083" s="0" t="str">
        <f aca="false">IF($D6083&lt;&gt;"","["&amp;$E6083&amp;"]"&amp;"|"&amp;$Q6083&amp;"|"&amp;$K6083&amp;"|"&amp;$G6083&amp;"|"&amp;IF($G6083="TX_CURR_SUBNAT.R","CY2022Q4",$M6083),"")</f>
        <v>[GkIwZrXy1h2]|35-49|Female|NEW_INFECTIONS_SUBNAT.T|CY2024Q3</v>
      </c>
    </row>
    <row r="6084" customFormat="false" ht="15" hidden="false" customHeight="false" outlineLevel="0" collapsed="false">
      <c r="D6084" s="0" t="s">
        <v>23</v>
      </c>
      <c r="E6084" s="0" t="s">
        <v>24</v>
      </c>
      <c r="F6084" s="0" t="s">
        <v>25</v>
      </c>
      <c r="G6084" s="0" t="s">
        <v>170</v>
      </c>
      <c r="H6084" s="0" t="s">
        <v>170</v>
      </c>
      <c r="I6084" s="0" t="s">
        <v>45</v>
      </c>
      <c r="J6084" s="0" t="s">
        <v>46</v>
      </c>
      <c r="K6084" s="0" t="s">
        <v>30</v>
      </c>
      <c r="L6084" s="0" t="s">
        <v>31</v>
      </c>
      <c r="M6084" s="0" t="s">
        <v>167</v>
      </c>
      <c r="N6084" s="0" t="n">
        <v>1049</v>
      </c>
      <c r="O6084" s="10" t="n">
        <v>0.929360214387998</v>
      </c>
      <c r="P6084" s="10" t="n">
        <v>0.404358610976487</v>
      </c>
      <c r="Q6084" s="0" t="str">
        <f aca="false">SUBSTITUTE(SUBSTITUTE($I6084,CHAR(61),""),CHAR(34),"")</f>
        <v>50+</v>
      </c>
      <c r="R6084" s="0" t="str">
        <f aca="false">IF($D6084&lt;&gt;"","["&amp;$E6084&amp;"]"&amp;"|"&amp;$Q6084&amp;"|"&amp;$K6084&amp;"|"&amp;$G6084&amp;"|"&amp;IF($G6084="TX_CURR_SUBNAT.R","CY2022Q4",$M6084),"")</f>
        <v>[GkIwZrXy1h2]|50+|Female|NEW_INFECTIONS_SUBNAT.T|CY2024Q3</v>
      </c>
    </row>
    <row r="6085" customFormat="false" ht="15" hidden="false" customHeight="false" outlineLevel="0" collapsed="false">
      <c r="D6085" s="0" t="s">
        <v>23</v>
      </c>
      <c r="E6085" s="0" t="s">
        <v>24</v>
      </c>
      <c r="F6085" s="0" t="s">
        <v>25</v>
      </c>
      <c r="G6085" s="0" t="s">
        <v>170</v>
      </c>
      <c r="H6085" s="0" t="s">
        <v>170</v>
      </c>
      <c r="I6085" s="0" t="s">
        <v>28</v>
      </c>
      <c r="J6085" s="0" t="s">
        <v>29</v>
      </c>
      <c r="K6085" s="0" t="s">
        <v>48</v>
      </c>
      <c r="L6085" s="0" t="s">
        <v>49</v>
      </c>
      <c r="M6085" s="0" t="s">
        <v>167</v>
      </c>
      <c r="N6085" s="0" t="n">
        <v>985</v>
      </c>
      <c r="O6085" s="10" t="n">
        <v>0.290470493258908</v>
      </c>
      <c r="P6085" s="10" t="n">
        <v>0.404358610976487</v>
      </c>
      <c r="Q6085" s="0" t="str">
        <f aca="false">SUBSTITUTE(SUBSTITUTE($I6085,CHAR(61),""),CHAR(34),"")</f>
        <v>&lt;01</v>
      </c>
      <c r="R6085" s="0" t="str">
        <f aca="false">IF($D6085&lt;&gt;"","["&amp;$E6085&amp;"]"&amp;"|"&amp;$Q6085&amp;"|"&amp;$K6085&amp;"|"&amp;$G6085&amp;"|"&amp;IF($G6085="TX_CURR_SUBNAT.R","CY2022Q4",$M6085),"")</f>
        <v>[GkIwZrXy1h2]|&lt;01|Male|NEW_INFECTIONS_SUBNAT.T|CY2024Q3</v>
      </c>
    </row>
    <row r="6086" customFormat="false" ht="15" hidden="false" customHeight="false" outlineLevel="0" collapsed="false">
      <c r="D6086" s="0" t="s">
        <v>23</v>
      </c>
      <c r="E6086" s="0" t="s">
        <v>24</v>
      </c>
      <c r="F6086" s="0" t="s">
        <v>25</v>
      </c>
      <c r="G6086" s="0" t="s">
        <v>170</v>
      </c>
      <c r="H6086" s="0" t="s">
        <v>170</v>
      </c>
      <c r="I6086" s="0" t="s">
        <v>33</v>
      </c>
      <c r="J6086" s="0" t="s">
        <v>34</v>
      </c>
      <c r="K6086" s="0" t="s">
        <v>48</v>
      </c>
      <c r="L6086" s="0" t="s">
        <v>49</v>
      </c>
      <c r="M6086" s="0" t="s">
        <v>167</v>
      </c>
      <c r="N6086" s="0" t="n">
        <v>909</v>
      </c>
      <c r="O6086" s="10" t="n">
        <v>0.285333388019353</v>
      </c>
      <c r="P6086" s="10" t="n">
        <v>0.404358610976487</v>
      </c>
      <c r="Q6086" s="0" t="str">
        <f aca="false">SUBSTITUTE(SUBSTITUTE($I6086,CHAR(61),""),CHAR(34),"")</f>
        <v>01-09</v>
      </c>
      <c r="R6086" s="0" t="str">
        <f aca="false">IF($D6086&lt;&gt;"","["&amp;$E6086&amp;"]"&amp;"|"&amp;$Q6086&amp;"|"&amp;$K6086&amp;"|"&amp;$G6086&amp;"|"&amp;IF($G6086="TX_CURR_SUBNAT.R","CY2022Q4",$M6086),"")</f>
        <v>[GkIwZrXy1h2]|01-09|Male|NEW_INFECTIONS_SUBNAT.T|CY2024Q3</v>
      </c>
    </row>
    <row r="6087" customFormat="false" ht="15" hidden="false" customHeight="false" outlineLevel="0" collapsed="false">
      <c r="D6087" s="0" t="s">
        <v>23</v>
      </c>
      <c r="E6087" s="0" t="s">
        <v>24</v>
      </c>
      <c r="F6087" s="0" t="s">
        <v>25</v>
      </c>
      <c r="G6087" s="0" t="s">
        <v>170</v>
      </c>
      <c r="H6087" s="0" t="s">
        <v>170</v>
      </c>
      <c r="I6087" s="0" t="s">
        <v>36</v>
      </c>
      <c r="J6087" s="0" t="s">
        <v>37</v>
      </c>
      <c r="K6087" s="0" t="s">
        <v>48</v>
      </c>
      <c r="L6087" s="0" t="s">
        <v>49</v>
      </c>
      <c r="M6087" s="0" t="s">
        <v>167</v>
      </c>
      <c r="N6087" s="0" t="n">
        <v>1829</v>
      </c>
      <c r="O6087" s="10" t="n">
        <v>0.763847987633198</v>
      </c>
      <c r="P6087" s="10" t="n">
        <v>0.404358610976487</v>
      </c>
      <c r="Q6087" s="0" t="str">
        <f aca="false">SUBSTITUTE(SUBSTITUTE($I6087,CHAR(61),""),CHAR(34),"")</f>
        <v>10-14</v>
      </c>
      <c r="R6087" s="0" t="str">
        <f aca="false">IF($D6087&lt;&gt;"","["&amp;$E6087&amp;"]"&amp;"|"&amp;$Q6087&amp;"|"&amp;$K6087&amp;"|"&amp;$G6087&amp;"|"&amp;IF($G6087="TX_CURR_SUBNAT.R","CY2022Q4",$M6087),"")</f>
        <v>[GkIwZrXy1h2]|10-14|Male|NEW_INFECTIONS_SUBNAT.T|CY2024Q3</v>
      </c>
    </row>
    <row r="6088" customFormat="false" ht="15" hidden="false" customHeight="false" outlineLevel="0" collapsed="false">
      <c r="D6088" s="0" t="s">
        <v>23</v>
      </c>
      <c r="E6088" s="0" t="s">
        <v>24</v>
      </c>
      <c r="F6088" s="0" t="s">
        <v>25</v>
      </c>
      <c r="G6088" s="0" t="s">
        <v>170</v>
      </c>
      <c r="H6088" s="0" t="s">
        <v>170</v>
      </c>
      <c r="I6088" s="0" t="s">
        <v>38</v>
      </c>
      <c r="J6088" s="0" t="s">
        <v>39</v>
      </c>
      <c r="K6088" s="0" t="s">
        <v>48</v>
      </c>
      <c r="L6088" s="0" t="s">
        <v>49</v>
      </c>
      <c r="M6088" s="0" t="s">
        <v>167</v>
      </c>
      <c r="N6088" s="0" t="n">
        <v>1700</v>
      </c>
      <c r="O6088" s="10" t="n">
        <v>0.139216093346477</v>
      </c>
      <c r="P6088" s="10" t="n">
        <v>0.404358610976487</v>
      </c>
      <c r="Q6088" s="0" t="str">
        <f aca="false">SUBSTITUTE(SUBSTITUTE($I6088,CHAR(61),""),CHAR(34),"")</f>
        <v>15-24</v>
      </c>
      <c r="R6088" s="0" t="str">
        <f aca="false">IF($D6088&lt;&gt;"","["&amp;$E6088&amp;"]"&amp;"|"&amp;$Q6088&amp;"|"&amp;$K6088&amp;"|"&amp;$G6088&amp;"|"&amp;IF($G6088="TX_CURR_SUBNAT.R","CY2022Q4",$M6088),"")</f>
        <v>[GkIwZrXy1h2]|15-24|Male|NEW_INFECTIONS_SUBNAT.T|CY2024Q3</v>
      </c>
    </row>
    <row r="6089" customFormat="false" ht="15" hidden="false" customHeight="false" outlineLevel="0" collapsed="false">
      <c r="D6089" s="0" t="s">
        <v>23</v>
      </c>
      <c r="E6089" s="0" t="s">
        <v>24</v>
      </c>
      <c r="F6089" s="0" t="s">
        <v>25</v>
      </c>
      <c r="G6089" s="0" t="s">
        <v>170</v>
      </c>
      <c r="H6089" s="0" t="s">
        <v>170</v>
      </c>
      <c r="I6089" s="0" t="s">
        <v>41</v>
      </c>
      <c r="J6089" s="0" t="s">
        <v>42</v>
      </c>
      <c r="K6089" s="0" t="s">
        <v>48</v>
      </c>
      <c r="L6089" s="0" t="s">
        <v>49</v>
      </c>
      <c r="M6089" s="0" t="s">
        <v>167</v>
      </c>
      <c r="N6089" s="0" t="n">
        <v>552</v>
      </c>
      <c r="O6089" s="10" t="n">
        <v>0.0163325411267579</v>
      </c>
      <c r="P6089" s="10" t="n">
        <v>0.404358610976487</v>
      </c>
      <c r="Q6089" s="0" t="str">
        <f aca="false">SUBSTITUTE(SUBSTITUTE($I6089,CHAR(61),""),CHAR(34),"")</f>
        <v>25-34</v>
      </c>
      <c r="R6089" s="0" t="str">
        <f aca="false">IF($D6089&lt;&gt;"","["&amp;$E6089&amp;"]"&amp;"|"&amp;$Q6089&amp;"|"&amp;$K6089&amp;"|"&amp;$G6089&amp;"|"&amp;IF($G6089="TX_CURR_SUBNAT.R","CY2022Q4",$M6089),"")</f>
        <v>[GkIwZrXy1h2]|25-34|Male|NEW_INFECTIONS_SUBNAT.T|CY2024Q3</v>
      </c>
    </row>
    <row r="6090" customFormat="false" ht="15" hidden="false" customHeight="false" outlineLevel="0" collapsed="false">
      <c r="D6090" s="0" t="s">
        <v>23</v>
      </c>
      <c r="E6090" s="0" t="s">
        <v>24</v>
      </c>
      <c r="F6090" s="0" t="s">
        <v>25</v>
      </c>
      <c r="G6090" s="0" t="s">
        <v>170</v>
      </c>
      <c r="H6090" s="0" t="s">
        <v>170</v>
      </c>
      <c r="I6090" s="0" t="s">
        <v>43</v>
      </c>
      <c r="J6090" s="0" t="s">
        <v>44</v>
      </c>
      <c r="K6090" s="0" t="s">
        <v>48</v>
      </c>
      <c r="L6090" s="0" t="s">
        <v>49</v>
      </c>
      <c r="M6090" s="0" t="s">
        <v>167</v>
      </c>
      <c r="N6090" s="0" t="n">
        <v>1098</v>
      </c>
      <c r="O6090" s="10" t="n">
        <v>0.730696459999308</v>
      </c>
      <c r="P6090" s="10" t="n">
        <v>0.404358610976487</v>
      </c>
      <c r="Q6090" s="0" t="str">
        <f aca="false">SUBSTITUTE(SUBSTITUTE($I6090,CHAR(61),""),CHAR(34),"")</f>
        <v>35-49</v>
      </c>
      <c r="R6090" s="0" t="str">
        <f aca="false">IF($D6090&lt;&gt;"","["&amp;$E6090&amp;"]"&amp;"|"&amp;$Q6090&amp;"|"&amp;$K6090&amp;"|"&amp;$G6090&amp;"|"&amp;IF($G6090="TX_CURR_SUBNAT.R","CY2022Q4",$M6090),"")</f>
        <v>[GkIwZrXy1h2]|35-49|Male|NEW_INFECTIONS_SUBNAT.T|CY2024Q3</v>
      </c>
    </row>
    <row r="6091" customFormat="false" ht="15" hidden="false" customHeight="false" outlineLevel="0" collapsed="false">
      <c r="D6091" s="0" t="s">
        <v>23</v>
      </c>
      <c r="E6091" s="0" t="s">
        <v>24</v>
      </c>
      <c r="F6091" s="0" t="s">
        <v>25</v>
      </c>
      <c r="G6091" s="0" t="s">
        <v>170</v>
      </c>
      <c r="H6091" s="0" t="s">
        <v>170</v>
      </c>
      <c r="I6091" s="0" t="s">
        <v>45</v>
      </c>
      <c r="J6091" s="0" t="s">
        <v>46</v>
      </c>
      <c r="K6091" s="0" t="s">
        <v>48</v>
      </c>
      <c r="L6091" s="0" t="s">
        <v>49</v>
      </c>
      <c r="M6091" s="0" t="s">
        <v>167</v>
      </c>
      <c r="N6091" s="0" t="n">
        <v>850</v>
      </c>
      <c r="O6091" s="10" t="n">
        <v>0.931721049360931</v>
      </c>
      <c r="P6091" s="10" t="n">
        <v>0.404358610976487</v>
      </c>
      <c r="Q6091" s="0" t="str">
        <f aca="false">SUBSTITUTE(SUBSTITUTE($I6091,CHAR(61),""),CHAR(34),"")</f>
        <v>50+</v>
      </c>
      <c r="R6091" s="0" t="str">
        <f aca="false">IF($D6091&lt;&gt;"","["&amp;$E6091&amp;"]"&amp;"|"&amp;$Q6091&amp;"|"&amp;$K6091&amp;"|"&amp;$G6091&amp;"|"&amp;IF($G6091="TX_CURR_SUBNAT.R","CY2022Q4",$M6091),"")</f>
        <v>[GkIwZrXy1h2]|50+|Male|NEW_INFECTIONS_SUBNAT.T|CY2024Q3</v>
      </c>
    </row>
    <row r="6092" customFormat="false" ht="15" hidden="false" customHeight="false" outlineLevel="0" collapsed="false">
      <c r="D6092" s="0" t="s">
        <v>53</v>
      </c>
      <c r="E6092" s="0" t="s">
        <v>54</v>
      </c>
      <c r="F6092" s="0" t="s">
        <v>55</v>
      </c>
      <c r="G6092" s="0" t="s">
        <v>170</v>
      </c>
      <c r="H6092" s="0" t="s">
        <v>170</v>
      </c>
      <c r="I6092" s="0" t="s">
        <v>28</v>
      </c>
      <c r="J6092" s="0" t="s">
        <v>29</v>
      </c>
      <c r="K6092" s="0" t="s">
        <v>30</v>
      </c>
      <c r="L6092" s="0" t="s">
        <v>31</v>
      </c>
      <c r="M6092" s="0" t="s">
        <v>167</v>
      </c>
      <c r="N6092" s="0" t="n">
        <v>1590</v>
      </c>
      <c r="O6092" s="10" t="n">
        <v>0.572637515375391</v>
      </c>
      <c r="P6092" s="10" t="n">
        <v>0.616392469964921</v>
      </c>
      <c r="Q6092" s="0" t="str">
        <f aca="false">SUBSTITUTE(SUBSTITUTE($I6092,CHAR(61),""),CHAR(34),"")</f>
        <v>&lt;01</v>
      </c>
      <c r="R6092" s="0" t="str">
        <f aca="false">IF($D6092&lt;&gt;"","["&amp;$E6092&amp;"]"&amp;"|"&amp;$Q6092&amp;"|"&amp;$K6092&amp;"|"&amp;$G6092&amp;"|"&amp;IF($G6092="TX_CURR_SUBNAT.R","CY2022Q4",$M6092),"")</f>
        <v>[zphK9WV8JB4]|&lt;01|Female|NEW_INFECTIONS_SUBNAT.T|CY2024Q3</v>
      </c>
    </row>
    <row r="6093" customFormat="false" ht="15" hidden="false" customHeight="false" outlineLevel="0" collapsed="false">
      <c r="D6093" s="0" t="s">
        <v>53</v>
      </c>
      <c r="E6093" s="0" t="s">
        <v>54</v>
      </c>
      <c r="F6093" s="0" t="s">
        <v>55</v>
      </c>
      <c r="G6093" s="0" t="s">
        <v>170</v>
      </c>
      <c r="H6093" s="0" t="s">
        <v>170</v>
      </c>
      <c r="I6093" s="0" t="s">
        <v>33</v>
      </c>
      <c r="J6093" s="0" t="s">
        <v>34</v>
      </c>
      <c r="K6093" s="0" t="s">
        <v>30</v>
      </c>
      <c r="L6093" s="0" t="s">
        <v>31</v>
      </c>
      <c r="M6093" s="0" t="s">
        <v>167</v>
      </c>
      <c r="N6093" s="0" t="n">
        <v>773</v>
      </c>
      <c r="O6093" s="10" t="n">
        <v>0.315210897708312</v>
      </c>
      <c r="P6093" s="10" t="n">
        <v>0.616392469964921</v>
      </c>
      <c r="Q6093" s="0" t="str">
        <f aca="false">SUBSTITUTE(SUBSTITUTE($I6093,CHAR(61),""),CHAR(34),"")</f>
        <v>01-09</v>
      </c>
      <c r="R6093" s="0" t="str">
        <f aca="false">IF($D6093&lt;&gt;"","["&amp;$E6093&amp;"]"&amp;"|"&amp;$Q6093&amp;"|"&amp;$K6093&amp;"|"&amp;$G6093&amp;"|"&amp;IF($G6093="TX_CURR_SUBNAT.R","CY2022Q4",$M6093),"")</f>
        <v>[zphK9WV8JB4]|01-09|Female|NEW_INFECTIONS_SUBNAT.T|CY2024Q3</v>
      </c>
    </row>
    <row r="6094" customFormat="false" ht="15" hidden="false" customHeight="false" outlineLevel="0" collapsed="false">
      <c r="D6094" s="0" t="s">
        <v>53</v>
      </c>
      <c r="E6094" s="0" t="s">
        <v>54</v>
      </c>
      <c r="F6094" s="0" t="s">
        <v>55</v>
      </c>
      <c r="G6094" s="0" t="s">
        <v>170</v>
      </c>
      <c r="H6094" s="0" t="s">
        <v>170</v>
      </c>
      <c r="I6094" s="0" t="s">
        <v>36</v>
      </c>
      <c r="J6094" s="0" t="s">
        <v>37</v>
      </c>
      <c r="K6094" s="0" t="s">
        <v>30</v>
      </c>
      <c r="L6094" s="0" t="s">
        <v>31</v>
      </c>
      <c r="M6094" s="0" t="s">
        <v>167</v>
      </c>
      <c r="N6094" s="0" t="n">
        <v>712</v>
      </c>
      <c r="O6094" s="10" t="n">
        <v>0.362796967150643</v>
      </c>
      <c r="P6094" s="10" t="n">
        <v>0.616392469964921</v>
      </c>
      <c r="Q6094" s="0" t="str">
        <f aca="false">SUBSTITUTE(SUBSTITUTE($I6094,CHAR(61),""),CHAR(34),"")</f>
        <v>10-14</v>
      </c>
      <c r="R6094" s="0" t="str">
        <f aca="false">IF($D6094&lt;&gt;"","["&amp;$E6094&amp;"]"&amp;"|"&amp;$Q6094&amp;"|"&amp;$K6094&amp;"|"&amp;$G6094&amp;"|"&amp;IF($G6094="TX_CURR_SUBNAT.R","CY2022Q4",$M6094),"")</f>
        <v>[zphK9WV8JB4]|10-14|Female|NEW_INFECTIONS_SUBNAT.T|CY2024Q3</v>
      </c>
    </row>
    <row r="6095" customFormat="false" ht="15" hidden="false" customHeight="false" outlineLevel="0" collapsed="false">
      <c r="D6095" s="0" t="s">
        <v>53</v>
      </c>
      <c r="E6095" s="0" t="s">
        <v>54</v>
      </c>
      <c r="F6095" s="0" t="s">
        <v>55</v>
      </c>
      <c r="G6095" s="0" t="s">
        <v>170</v>
      </c>
      <c r="H6095" s="0" t="s">
        <v>170</v>
      </c>
      <c r="I6095" s="0" t="s">
        <v>38</v>
      </c>
      <c r="J6095" s="0" t="s">
        <v>39</v>
      </c>
      <c r="K6095" s="0" t="s">
        <v>30</v>
      </c>
      <c r="L6095" s="0" t="s">
        <v>31</v>
      </c>
      <c r="M6095" s="0" t="s">
        <v>167</v>
      </c>
      <c r="N6095" s="0" t="n">
        <v>1427</v>
      </c>
      <c r="O6095" s="10" t="n">
        <v>0.439674564870074</v>
      </c>
      <c r="P6095" s="10" t="n">
        <v>0.616392469964921</v>
      </c>
      <c r="Q6095" s="0" t="str">
        <f aca="false">SUBSTITUTE(SUBSTITUTE($I6095,CHAR(61),""),CHAR(34),"")</f>
        <v>15-24</v>
      </c>
      <c r="R6095" s="0" t="str">
        <f aca="false">IF($D6095&lt;&gt;"","["&amp;$E6095&amp;"]"&amp;"|"&amp;$Q6095&amp;"|"&amp;$K6095&amp;"|"&amp;$G6095&amp;"|"&amp;IF($G6095="TX_CURR_SUBNAT.R","CY2022Q4",$M6095),"")</f>
        <v>[zphK9WV8JB4]|15-24|Female|NEW_INFECTIONS_SUBNAT.T|CY2024Q3</v>
      </c>
    </row>
    <row r="6096" customFormat="false" ht="15" hidden="false" customHeight="false" outlineLevel="0" collapsed="false">
      <c r="D6096" s="0" t="s">
        <v>53</v>
      </c>
      <c r="E6096" s="0" t="s">
        <v>54</v>
      </c>
      <c r="F6096" s="0" t="s">
        <v>55</v>
      </c>
      <c r="G6096" s="0" t="s">
        <v>170</v>
      </c>
      <c r="H6096" s="0" t="s">
        <v>170</v>
      </c>
      <c r="I6096" s="0" t="s">
        <v>41</v>
      </c>
      <c r="J6096" s="0" t="s">
        <v>42</v>
      </c>
      <c r="K6096" s="0" t="s">
        <v>30</v>
      </c>
      <c r="L6096" s="0" t="s">
        <v>31</v>
      </c>
      <c r="M6096" s="0" t="s">
        <v>167</v>
      </c>
      <c r="N6096" s="0" t="n">
        <v>1713</v>
      </c>
      <c r="O6096" s="10" t="n">
        <v>0.488171115051955</v>
      </c>
      <c r="P6096" s="10" t="n">
        <v>0.616392469964921</v>
      </c>
      <c r="Q6096" s="0" t="str">
        <f aca="false">SUBSTITUTE(SUBSTITUTE($I6096,CHAR(61),""),CHAR(34),"")</f>
        <v>25-34</v>
      </c>
      <c r="R6096" s="0" t="str">
        <f aca="false">IF($D6096&lt;&gt;"","["&amp;$E6096&amp;"]"&amp;"|"&amp;$Q6096&amp;"|"&amp;$K6096&amp;"|"&amp;$G6096&amp;"|"&amp;IF($G6096="TX_CURR_SUBNAT.R","CY2022Q4",$M6096),"")</f>
        <v>[zphK9WV8JB4]|25-34|Female|NEW_INFECTIONS_SUBNAT.T|CY2024Q3</v>
      </c>
    </row>
    <row r="6097" customFormat="false" ht="15" hidden="false" customHeight="false" outlineLevel="0" collapsed="false">
      <c r="D6097" s="0" t="s">
        <v>53</v>
      </c>
      <c r="E6097" s="0" t="s">
        <v>54</v>
      </c>
      <c r="F6097" s="0" t="s">
        <v>55</v>
      </c>
      <c r="G6097" s="0" t="s">
        <v>170</v>
      </c>
      <c r="H6097" s="0" t="s">
        <v>170</v>
      </c>
      <c r="I6097" s="0" t="s">
        <v>43</v>
      </c>
      <c r="J6097" s="0" t="s">
        <v>44</v>
      </c>
      <c r="K6097" s="0" t="s">
        <v>30</v>
      </c>
      <c r="L6097" s="0" t="s">
        <v>31</v>
      </c>
      <c r="M6097" s="0" t="s">
        <v>167</v>
      </c>
      <c r="N6097" s="0" t="n">
        <v>600</v>
      </c>
      <c r="O6097" s="10" t="n">
        <v>0.47682821797207</v>
      </c>
      <c r="P6097" s="10" t="n">
        <v>0.616392469964921</v>
      </c>
      <c r="Q6097" s="0" t="str">
        <f aca="false">SUBSTITUTE(SUBSTITUTE($I6097,CHAR(61),""),CHAR(34),"")</f>
        <v>35-49</v>
      </c>
      <c r="R6097" s="0" t="str">
        <f aca="false">IF($D6097&lt;&gt;"","["&amp;$E6097&amp;"]"&amp;"|"&amp;$Q6097&amp;"|"&amp;$K6097&amp;"|"&amp;$G6097&amp;"|"&amp;IF($G6097="TX_CURR_SUBNAT.R","CY2022Q4",$M6097),"")</f>
        <v>[zphK9WV8JB4]|35-49|Female|NEW_INFECTIONS_SUBNAT.T|CY2024Q3</v>
      </c>
    </row>
    <row r="6098" customFormat="false" ht="15" hidden="false" customHeight="false" outlineLevel="0" collapsed="false">
      <c r="D6098" s="0" t="s">
        <v>53</v>
      </c>
      <c r="E6098" s="0" t="s">
        <v>54</v>
      </c>
      <c r="F6098" s="0" t="s">
        <v>55</v>
      </c>
      <c r="G6098" s="0" t="s">
        <v>170</v>
      </c>
      <c r="H6098" s="0" t="s">
        <v>170</v>
      </c>
      <c r="I6098" s="0" t="s">
        <v>45</v>
      </c>
      <c r="J6098" s="0" t="s">
        <v>46</v>
      </c>
      <c r="K6098" s="0" t="s">
        <v>30</v>
      </c>
      <c r="L6098" s="0" t="s">
        <v>31</v>
      </c>
      <c r="M6098" s="0" t="s">
        <v>167</v>
      </c>
      <c r="N6098" s="0" t="n">
        <v>1765</v>
      </c>
      <c r="O6098" s="10" t="n">
        <v>0.446234580129385</v>
      </c>
      <c r="P6098" s="10" t="n">
        <v>0.616392469964921</v>
      </c>
      <c r="Q6098" s="0" t="str">
        <f aca="false">SUBSTITUTE(SUBSTITUTE($I6098,CHAR(61),""),CHAR(34),"")</f>
        <v>50+</v>
      </c>
      <c r="R6098" s="0" t="str">
        <f aca="false">IF($D6098&lt;&gt;"","["&amp;$E6098&amp;"]"&amp;"|"&amp;$Q6098&amp;"|"&amp;$K6098&amp;"|"&amp;$G6098&amp;"|"&amp;IF($G6098="TX_CURR_SUBNAT.R","CY2022Q4",$M6098),"")</f>
        <v>[zphK9WV8JB4]|50+|Female|NEW_INFECTIONS_SUBNAT.T|CY2024Q3</v>
      </c>
    </row>
    <row r="6099" customFormat="false" ht="15" hidden="false" customHeight="false" outlineLevel="0" collapsed="false">
      <c r="D6099" s="0" t="s">
        <v>53</v>
      </c>
      <c r="E6099" s="0" t="s">
        <v>54</v>
      </c>
      <c r="F6099" s="0" t="s">
        <v>55</v>
      </c>
      <c r="G6099" s="0" t="s">
        <v>170</v>
      </c>
      <c r="H6099" s="0" t="s">
        <v>170</v>
      </c>
      <c r="I6099" s="0" t="s">
        <v>28</v>
      </c>
      <c r="J6099" s="0" t="s">
        <v>29</v>
      </c>
      <c r="K6099" s="0" t="s">
        <v>48</v>
      </c>
      <c r="L6099" s="0" t="s">
        <v>49</v>
      </c>
      <c r="M6099" s="0" t="s">
        <v>167</v>
      </c>
      <c r="N6099" s="0" t="n">
        <v>1288</v>
      </c>
      <c r="O6099" s="10" t="n">
        <v>0.117147389566526</v>
      </c>
      <c r="P6099" s="10" t="n">
        <v>0.616392469964921</v>
      </c>
      <c r="Q6099" s="0" t="str">
        <f aca="false">SUBSTITUTE(SUBSTITUTE($I6099,CHAR(61),""),CHAR(34),"")</f>
        <v>&lt;01</v>
      </c>
      <c r="R6099" s="0" t="str">
        <f aca="false">IF($D6099&lt;&gt;"","["&amp;$E6099&amp;"]"&amp;"|"&amp;$Q6099&amp;"|"&amp;$K6099&amp;"|"&amp;$G6099&amp;"|"&amp;IF($G6099="TX_CURR_SUBNAT.R","CY2022Q4",$M6099),"")</f>
        <v>[zphK9WV8JB4]|&lt;01|Male|NEW_INFECTIONS_SUBNAT.T|CY2024Q3</v>
      </c>
    </row>
    <row r="6100" customFormat="false" ht="15" hidden="false" customHeight="false" outlineLevel="0" collapsed="false">
      <c r="D6100" s="0" t="s">
        <v>53</v>
      </c>
      <c r="E6100" s="0" t="s">
        <v>54</v>
      </c>
      <c r="F6100" s="0" t="s">
        <v>55</v>
      </c>
      <c r="G6100" s="0" t="s">
        <v>170</v>
      </c>
      <c r="H6100" s="0" t="s">
        <v>170</v>
      </c>
      <c r="I6100" s="0" t="s">
        <v>33</v>
      </c>
      <c r="J6100" s="0" t="s">
        <v>34</v>
      </c>
      <c r="K6100" s="0" t="s">
        <v>48</v>
      </c>
      <c r="L6100" s="0" t="s">
        <v>49</v>
      </c>
      <c r="M6100" s="0" t="s">
        <v>167</v>
      </c>
      <c r="N6100" s="0" t="n">
        <v>659</v>
      </c>
      <c r="O6100" s="10" t="n">
        <v>0.0739358423743397</v>
      </c>
      <c r="P6100" s="10" t="n">
        <v>0.616392469964921</v>
      </c>
      <c r="Q6100" s="0" t="str">
        <f aca="false">SUBSTITUTE(SUBSTITUTE($I6100,CHAR(61),""),CHAR(34),"")</f>
        <v>01-09</v>
      </c>
      <c r="R6100" s="0" t="str">
        <f aca="false">IF($D6100&lt;&gt;"","["&amp;$E6100&amp;"]"&amp;"|"&amp;$Q6100&amp;"|"&amp;$K6100&amp;"|"&amp;$G6100&amp;"|"&amp;IF($G6100="TX_CURR_SUBNAT.R","CY2022Q4",$M6100),"")</f>
        <v>[zphK9WV8JB4]|01-09|Male|NEW_INFECTIONS_SUBNAT.T|CY2024Q3</v>
      </c>
    </row>
    <row r="6101" customFormat="false" ht="15" hidden="false" customHeight="false" outlineLevel="0" collapsed="false">
      <c r="D6101" s="0" t="s">
        <v>53</v>
      </c>
      <c r="E6101" s="0" t="s">
        <v>54</v>
      </c>
      <c r="F6101" s="0" t="s">
        <v>55</v>
      </c>
      <c r="G6101" s="0" t="s">
        <v>170</v>
      </c>
      <c r="H6101" s="0" t="s">
        <v>170</v>
      </c>
      <c r="I6101" s="0" t="s">
        <v>36</v>
      </c>
      <c r="J6101" s="0" t="s">
        <v>37</v>
      </c>
      <c r="K6101" s="0" t="s">
        <v>48</v>
      </c>
      <c r="L6101" s="0" t="s">
        <v>49</v>
      </c>
      <c r="M6101" s="0" t="s">
        <v>167</v>
      </c>
      <c r="N6101" s="0" t="n">
        <v>558</v>
      </c>
      <c r="O6101" s="10" t="n">
        <v>0.319759249687195</v>
      </c>
      <c r="P6101" s="10" t="n">
        <v>0.616392469964921</v>
      </c>
      <c r="Q6101" s="0" t="str">
        <f aca="false">SUBSTITUTE(SUBSTITUTE($I6101,CHAR(61),""),CHAR(34),"")</f>
        <v>10-14</v>
      </c>
      <c r="R6101" s="0" t="str">
        <f aca="false">IF($D6101&lt;&gt;"","["&amp;$E6101&amp;"]"&amp;"|"&amp;$Q6101&amp;"|"&amp;$K6101&amp;"|"&amp;$G6101&amp;"|"&amp;IF($G6101="TX_CURR_SUBNAT.R","CY2022Q4",$M6101),"")</f>
        <v>[zphK9WV8JB4]|10-14|Male|NEW_INFECTIONS_SUBNAT.T|CY2024Q3</v>
      </c>
    </row>
    <row r="6102" customFormat="false" ht="15" hidden="false" customHeight="false" outlineLevel="0" collapsed="false">
      <c r="D6102" s="0" t="s">
        <v>53</v>
      </c>
      <c r="E6102" s="0" t="s">
        <v>54</v>
      </c>
      <c r="F6102" s="0" t="s">
        <v>55</v>
      </c>
      <c r="G6102" s="0" t="s">
        <v>170</v>
      </c>
      <c r="H6102" s="0" t="s">
        <v>170</v>
      </c>
      <c r="I6102" s="0" t="s">
        <v>38</v>
      </c>
      <c r="J6102" s="0" t="s">
        <v>39</v>
      </c>
      <c r="K6102" s="0" t="s">
        <v>48</v>
      </c>
      <c r="L6102" s="0" t="s">
        <v>49</v>
      </c>
      <c r="M6102" s="0" t="s">
        <v>167</v>
      </c>
      <c r="N6102" s="0" t="n">
        <v>1869</v>
      </c>
      <c r="O6102" s="10" t="n">
        <v>0.676882731495425</v>
      </c>
      <c r="P6102" s="10" t="n">
        <v>0.616392469964921</v>
      </c>
      <c r="Q6102" s="0" t="str">
        <f aca="false">SUBSTITUTE(SUBSTITUTE($I6102,CHAR(61),""),CHAR(34),"")</f>
        <v>15-24</v>
      </c>
      <c r="R6102" s="0" t="str">
        <f aca="false">IF($D6102&lt;&gt;"","["&amp;$E6102&amp;"]"&amp;"|"&amp;$Q6102&amp;"|"&amp;$K6102&amp;"|"&amp;$G6102&amp;"|"&amp;IF($G6102="TX_CURR_SUBNAT.R","CY2022Q4",$M6102),"")</f>
        <v>[zphK9WV8JB4]|15-24|Male|NEW_INFECTIONS_SUBNAT.T|CY2024Q3</v>
      </c>
    </row>
    <row r="6103" customFormat="false" ht="15" hidden="false" customHeight="false" outlineLevel="0" collapsed="false">
      <c r="D6103" s="0" t="s">
        <v>53</v>
      </c>
      <c r="E6103" s="0" t="s">
        <v>54</v>
      </c>
      <c r="F6103" s="0" t="s">
        <v>55</v>
      </c>
      <c r="G6103" s="0" t="s">
        <v>170</v>
      </c>
      <c r="H6103" s="0" t="s">
        <v>170</v>
      </c>
      <c r="I6103" s="0" t="s">
        <v>41</v>
      </c>
      <c r="J6103" s="0" t="s">
        <v>42</v>
      </c>
      <c r="K6103" s="0" t="s">
        <v>48</v>
      </c>
      <c r="L6103" s="0" t="s">
        <v>49</v>
      </c>
      <c r="M6103" s="0" t="s">
        <v>167</v>
      </c>
      <c r="N6103" s="0" t="n">
        <v>1306</v>
      </c>
      <c r="O6103" s="10" t="n">
        <v>0.747273040702567</v>
      </c>
      <c r="P6103" s="10" t="n">
        <v>0.616392469964921</v>
      </c>
      <c r="Q6103" s="0" t="str">
        <f aca="false">SUBSTITUTE(SUBSTITUTE($I6103,CHAR(61),""),CHAR(34),"")</f>
        <v>25-34</v>
      </c>
      <c r="R6103" s="0" t="str">
        <f aca="false">IF($D6103&lt;&gt;"","["&amp;$E6103&amp;"]"&amp;"|"&amp;$Q6103&amp;"|"&amp;$K6103&amp;"|"&amp;$G6103&amp;"|"&amp;IF($G6103="TX_CURR_SUBNAT.R","CY2022Q4",$M6103),"")</f>
        <v>[zphK9WV8JB4]|25-34|Male|NEW_INFECTIONS_SUBNAT.T|CY2024Q3</v>
      </c>
    </row>
    <row r="6104" customFormat="false" ht="15" hidden="false" customHeight="false" outlineLevel="0" collapsed="false">
      <c r="D6104" s="0" t="s">
        <v>53</v>
      </c>
      <c r="E6104" s="0" t="s">
        <v>54</v>
      </c>
      <c r="F6104" s="0" t="s">
        <v>55</v>
      </c>
      <c r="G6104" s="0" t="s">
        <v>170</v>
      </c>
      <c r="H6104" s="0" t="s">
        <v>170</v>
      </c>
      <c r="I6104" s="0" t="s">
        <v>43</v>
      </c>
      <c r="J6104" s="0" t="s">
        <v>44</v>
      </c>
      <c r="K6104" s="0" t="s">
        <v>48</v>
      </c>
      <c r="L6104" s="0" t="s">
        <v>49</v>
      </c>
      <c r="M6104" s="0" t="s">
        <v>167</v>
      </c>
      <c r="N6104" s="0" t="n">
        <v>1216</v>
      </c>
      <c r="O6104" s="10" t="n">
        <v>0.713007971877232</v>
      </c>
      <c r="P6104" s="10" t="n">
        <v>0.616392469964921</v>
      </c>
      <c r="Q6104" s="0" t="str">
        <f aca="false">SUBSTITUTE(SUBSTITUTE($I6104,CHAR(61),""),CHAR(34),"")</f>
        <v>35-49</v>
      </c>
      <c r="R6104" s="0" t="str">
        <f aca="false">IF($D6104&lt;&gt;"","["&amp;$E6104&amp;"]"&amp;"|"&amp;$Q6104&amp;"|"&amp;$K6104&amp;"|"&amp;$G6104&amp;"|"&amp;IF($G6104="TX_CURR_SUBNAT.R","CY2022Q4",$M6104),"")</f>
        <v>[zphK9WV8JB4]|35-49|Male|NEW_INFECTIONS_SUBNAT.T|CY2024Q3</v>
      </c>
    </row>
    <row r="6105" customFormat="false" ht="15" hidden="false" customHeight="false" outlineLevel="0" collapsed="false">
      <c r="D6105" s="0" t="s">
        <v>53</v>
      </c>
      <c r="E6105" s="0" t="s">
        <v>54</v>
      </c>
      <c r="F6105" s="0" t="s">
        <v>55</v>
      </c>
      <c r="G6105" s="0" t="s">
        <v>170</v>
      </c>
      <c r="H6105" s="0" t="s">
        <v>170</v>
      </c>
      <c r="I6105" s="0" t="s">
        <v>45</v>
      </c>
      <c r="J6105" s="0" t="s">
        <v>46</v>
      </c>
      <c r="K6105" s="0" t="s">
        <v>48</v>
      </c>
      <c r="L6105" s="0" t="s">
        <v>49</v>
      </c>
      <c r="M6105" s="0" t="s">
        <v>167</v>
      </c>
      <c r="N6105" s="0" t="n">
        <v>1248</v>
      </c>
      <c r="O6105" s="10" t="n">
        <v>0.778738382039592</v>
      </c>
      <c r="P6105" s="10" t="n">
        <v>0.616392469964921</v>
      </c>
      <c r="Q6105" s="0" t="str">
        <f aca="false">SUBSTITUTE(SUBSTITUTE($I6105,CHAR(61),""),CHAR(34),"")</f>
        <v>50+</v>
      </c>
      <c r="R6105" s="0" t="str">
        <f aca="false">IF($D6105&lt;&gt;"","["&amp;$E6105&amp;"]"&amp;"|"&amp;$Q6105&amp;"|"&amp;$K6105&amp;"|"&amp;$G6105&amp;"|"&amp;IF($G6105="TX_CURR_SUBNAT.R","CY2022Q4",$M6105),"")</f>
        <v>[zphK9WV8JB4]|50+|Male|NEW_INFECTIONS_SUBNAT.T|CY2024Q3</v>
      </c>
    </row>
    <row r="6106" customFormat="false" ht="15" hidden="false" customHeight="false" outlineLevel="0" collapsed="false">
      <c r="D6106" s="0" t="s">
        <v>60</v>
      </c>
      <c r="E6106" s="0" t="s">
        <v>61</v>
      </c>
      <c r="F6106" s="0" t="s">
        <v>62</v>
      </c>
      <c r="G6106" s="0" t="s">
        <v>170</v>
      </c>
      <c r="H6106" s="0" t="s">
        <v>170</v>
      </c>
      <c r="I6106" s="0" t="s">
        <v>28</v>
      </c>
      <c r="J6106" s="0" t="s">
        <v>29</v>
      </c>
      <c r="K6106" s="0" t="s">
        <v>30</v>
      </c>
      <c r="L6106" s="0" t="s">
        <v>31</v>
      </c>
      <c r="M6106" s="0" t="s">
        <v>167</v>
      </c>
      <c r="N6106" s="0" t="n">
        <v>783</v>
      </c>
      <c r="O6106" s="10" t="n">
        <v>0.770029573235661</v>
      </c>
      <c r="P6106" s="10" t="n">
        <v>0.0268250561784953</v>
      </c>
      <c r="Q6106" s="0" t="str">
        <f aca="false">SUBSTITUTE(SUBSTITUTE($I6106,CHAR(61),""),CHAR(34),"")</f>
        <v>&lt;01</v>
      </c>
      <c r="R6106" s="0" t="str">
        <f aca="false">IF($D6106&lt;&gt;"","["&amp;$E6106&amp;"]"&amp;"|"&amp;$Q6106&amp;"|"&amp;$K6106&amp;"|"&amp;$G6106&amp;"|"&amp;IF($G6106="TX_CURR_SUBNAT.R","CY2022Q4",$M6106),"")</f>
        <v>[msW2zpIN7up]|&lt;01|Female|NEW_INFECTIONS_SUBNAT.T|CY2024Q3</v>
      </c>
    </row>
    <row r="6107" customFormat="false" ht="15" hidden="false" customHeight="false" outlineLevel="0" collapsed="false">
      <c r="D6107" s="0" t="s">
        <v>60</v>
      </c>
      <c r="E6107" s="0" t="s">
        <v>61</v>
      </c>
      <c r="F6107" s="0" t="s">
        <v>62</v>
      </c>
      <c r="G6107" s="0" t="s">
        <v>170</v>
      </c>
      <c r="H6107" s="0" t="s">
        <v>170</v>
      </c>
      <c r="I6107" s="0" t="s">
        <v>33</v>
      </c>
      <c r="J6107" s="0" t="s">
        <v>34</v>
      </c>
      <c r="K6107" s="0" t="s">
        <v>30</v>
      </c>
      <c r="L6107" s="0" t="s">
        <v>31</v>
      </c>
      <c r="M6107" s="0" t="s">
        <v>167</v>
      </c>
      <c r="N6107" s="0" t="n">
        <v>1890</v>
      </c>
      <c r="O6107" s="10" t="n">
        <v>0.350199966225773</v>
      </c>
      <c r="P6107" s="10" t="n">
        <v>0.0268250561784953</v>
      </c>
      <c r="Q6107" s="0" t="str">
        <f aca="false">SUBSTITUTE(SUBSTITUTE($I6107,CHAR(61),""),CHAR(34),"")</f>
        <v>01-09</v>
      </c>
      <c r="R6107" s="0" t="str">
        <f aca="false">IF($D6107&lt;&gt;"","["&amp;$E6107&amp;"]"&amp;"|"&amp;$Q6107&amp;"|"&amp;$K6107&amp;"|"&amp;$G6107&amp;"|"&amp;IF($G6107="TX_CURR_SUBNAT.R","CY2022Q4",$M6107),"")</f>
        <v>[msW2zpIN7up]|01-09|Female|NEW_INFECTIONS_SUBNAT.T|CY2024Q3</v>
      </c>
    </row>
    <row r="6108" customFormat="false" ht="15" hidden="false" customHeight="false" outlineLevel="0" collapsed="false">
      <c r="D6108" s="0" t="s">
        <v>60</v>
      </c>
      <c r="E6108" s="0" t="s">
        <v>61</v>
      </c>
      <c r="F6108" s="0" t="s">
        <v>62</v>
      </c>
      <c r="G6108" s="0" t="s">
        <v>170</v>
      </c>
      <c r="H6108" s="0" t="s">
        <v>170</v>
      </c>
      <c r="I6108" s="0" t="s">
        <v>36</v>
      </c>
      <c r="J6108" s="0" t="s">
        <v>37</v>
      </c>
      <c r="K6108" s="0" t="s">
        <v>30</v>
      </c>
      <c r="L6108" s="0" t="s">
        <v>31</v>
      </c>
      <c r="M6108" s="0" t="s">
        <v>167</v>
      </c>
      <c r="N6108" s="0" t="n">
        <v>1580</v>
      </c>
      <c r="O6108" s="10" t="n">
        <v>0.0182071079034358</v>
      </c>
      <c r="P6108" s="10" t="n">
        <v>0.0268250561784953</v>
      </c>
      <c r="Q6108" s="0" t="str">
        <f aca="false">SUBSTITUTE(SUBSTITUTE($I6108,CHAR(61),""),CHAR(34),"")</f>
        <v>10-14</v>
      </c>
      <c r="R6108" s="0" t="str">
        <f aca="false">IF($D6108&lt;&gt;"","["&amp;$E6108&amp;"]"&amp;"|"&amp;$Q6108&amp;"|"&amp;$K6108&amp;"|"&amp;$G6108&amp;"|"&amp;IF($G6108="TX_CURR_SUBNAT.R","CY2022Q4",$M6108),"")</f>
        <v>[msW2zpIN7up]|10-14|Female|NEW_INFECTIONS_SUBNAT.T|CY2024Q3</v>
      </c>
    </row>
    <row r="6109" customFormat="false" ht="15" hidden="false" customHeight="false" outlineLevel="0" collapsed="false">
      <c r="D6109" s="0" t="s">
        <v>60</v>
      </c>
      <c r="E6109" s="0" t="s">
        <v>61</v>
      </c>
      <c r="F6109" s="0" t="s">
        <v>62</v>
      </c>
      <c r="G6109" s="0" t="s">
        <v>170</v>
      </c>
      <c r="H6109" s="0" t="s">
        <v>170</v>
      </c>
      <c r="I6109" s="0" t="s">
        <v>38</v>
      </c>
      <c r="J6109" s="0" t="s">
        <v>39</v>
      </c>
      <c r="K6109" s="0" t="s">
        <v>30</v>
      </c>
      <c r="L6109" s="0" t="s">
        <v>31</v>
      </c>
      <c r="M6109" s="0" t="s">
        <v>167</v>
      </c>
      <c r="N6109" s="0" t="n">
        <v>587</v>
      </c>
      <c r="O6109" s="10" t="n">
        <v>0.0694271973334253</v>
      </c>
      <c r="P6109" s="10" t="n">
        <v>0.0268250561784953</v>
      </c>
      <c r="Q6109" s="0" t="str">
        <f aca="false">SUBSTITUTE(SUBSTITUTE($I6109,CHAR(61),""),CHAR(34),"")</f>
        <v>15-24</v>
      </c>
      <c r="R6109" s="0" t="str">
        <f aca="false">IF($D6109&lt;&gt;"","["&amp;$E6109&amp;"]"&amp;"|"&amp;$Q6109&amp;"|"&amp;$K6109&amp;"|"&amp;$G6109&amp;"|"&amp;IF($G6109="TX_CURR_SUBNAT.R","CY2022Q4",$M6109),"")</f>
        <v>[msW2zpIN7up]|15-24|Female|NEW_INFECTIONS_SUBNAT.T|CY2024Q3</v>
      </c>
    </row>
    <row r="6110" customFormat="false" ht="15" hidden="false" customHeight="false" outlineLevel="0" collapsed="false">
      <c r="D6110" s="0" t="s">
        <v>60</v>
      </c>
      <c r="E6110" s="0" t="s">
        <v>61</v>
      </c>
      <c r="F6110" s="0" t="s">
        <v>62</v>
      </c>
      <c r="G6110" s="0" t="s">
        <v>170</v>
      </c>
      <c r="H6110" s="0" t="s">
        <v>170</v>
      </c>
      <c r="I6110" s="0" t="s">
        <v>41</v>
      </c>
      <c r="J6110" s="0" t="s">
        <v>42</v>
      </c>
      <c r="K6110" s="0" t="s">
        <v>30</v>
      </c>
      <c r="L6110" s="0" t="s">
        <v>31</v>
      </c>
      <c r="M6110" s="0" t="s">
        <v>167</v>
      </c>
      <c r="N6110" s="0" t="n">
        <v>674</v>
      </c>
      <c r="O6110" s="10" t="n">
        <v>0.82322992850095</v>
      </c>
      <c r="P6110" s="10" t="n">
        <v>0.0268250561784953</v>
      </c>
      <c r="Q6110" s="0" t="str">
        <f aca="false">SUBSTITUTE(SUBSTITUTE($I6110,CHAR(61),""),CHAR(34),"")</f>
        <v>25-34</v>
      </c>
      <c r="R6110" s="0" t="str">
        <f aca="false">IF($D6110&lt;&gt;"","["&amp;$E6110&amp;"]"&amp;"|"&amp;$Q6110&amp;"|"&amp;$K6110&amp;"|"&amp;$G6110&amp;"|"&amp;IF($G6110="TX_CURR_SUBNAT.R","CY2022Q4",$M6110),"")</f>
        <v>[msW2zpIN7up]|25-34|Female|NEW_INFECTIONS_SUBNAT.T|CY2024Q3</v>
      </c>
    </row>
    <row r="6111" customFormat="false" ht="15" hidden="false" customHeight="false" outlineLevel="0" collapsed="false">
      <c r="D6111" s="0" t="s">
        <v>60</v>
      </c>
      <c r="E6111" s="0" t="s">
        <v>61</v>
      </c>
      <c r="F6111" s="0" t="s">
        <v>62</v>
      </c>
      <c r="G6111" s="0" t="s">
        <v>170</v>
      </c>
      <c r="H6111" s="0" t="s">
        <v>170</v>
      </c>
      <c r="I6111" s="0" t="s">
        <v>43</v>
      </c>
      <c r="J6111" s="0" t="s">
        <v>44</v>
      </c>
      <c r="K6111" s="0" t="s">
        <v>30</v>
      </c>
      <c r="L6111" s="0" t="s">
        <v>31</v>
      </c>
      <c r="M6111" s="0" t="s">
        <v>167</v>
      </c>
      <c r="N6111" s="0" t="n">
        <v>569</v>
      </c>
      <c r="O6111" s="10" t="n">
        <v>0.816151455976069</v>
      </c>
      <c r="P6111" s="10" t="n">
        <v>0.0268250561784953</v>
      </c>
      <c r="Q6111" s="0" t="str">
        <f aca="false">SUBSTITUTE(SUBSTITUTE($I6111,CHAR(61),""),CHAR(34),"")</f>
        <v>35-49</v>
      </c>
      <c r="R6111" s="0" t="str">
        <f aca="false">IF($D6111&lt;&gt;"","["&amp;$E6111&amp;"]"&amp;"|"&amp;$Q6111&amp;"|"&amp;$K6111&amp;"|"&amp;$G6111&amp;"|"&amp;IF($G6111="TX_CURR_SUBNAT.R","CY2022Q4",$M6111),"")</f>
        <v>[msW2zpIN7up]|35-49|Female|NEW_INFECTIONS_SUBNAT.T|CY2024Q3</v>
      </c>
    </row>
    <row r="6112" customFormat="false" ht="15" hidden="false" customHeight="false" outlineLevel="0" collapsed="false">
      <c r="D6112" s="0" t="s">
        <v>60</v>
      </c>
      <c r="E6112" s="0" t="s">
        <v>61</v>
      </c>
      <c r="F6112" s="0" t="s">
        <v>62</v>
      </c>
      <c r="G6112" s="0" t="s">
        <v>170</v>
      </c>
      <c r="H6112" s="0" t="s">
        <v>170</v>
      </c>
      <c r="I6112" s="0" t="s">
        <v>45</v>
      </c>
      <c r="J6112" s="0" t="s">
        <v>46</v>
      </c>
      <c r="K6112" s="0" t="s">
        <v>30</v>
      </c>
      <c r="L6112" s="0" t="s">
        <v>31</v>
      </c>
      <c r="M6112" s="0" t="s">
        <v>167</v>
      </c>
      <c r="N6112" s="0" t="n">
        <v>1154</v>
      </c>
      <c r="O6112" s="10" t="n">
        <v>0.425634350627661</v>
      </c>
      <c r="P6112" s="10" t="n">
        <v>0.0268250561784953</v>
      </c>
      <c r="Q6112" s="0" t="str">
        <f aca="false">SUBSTITUTE(SUBSTITUTE($I6112,CHAR(61),""),CHAR(34),"")</f>
        <v>50+</v>
      </c>
      <c r="R6112" s="0" t="str">
        <f aca="false">IF($D6112&lt;&gt;"","["&amp;$E6112&amp;"]"&amp;"|"&amp;$Q6112&amp;"|"&amp;$K6112&amp;"|"&amp;$G6112&amp;"|"&amp;IF($G6112="TX_CURR_SUBNAT.R","CY2022Q4",$M6112),"")</f>
        <v>[msW2zpIN7up]|50+|Female|NEW_INFECTIONS_SUBNAT.T|CY2024Q3</v>
      </c>
    </row>
    <row r="6113" customFormat="false" ht="15" hidden="false" customHeight="false" outlineLevel="0" collapsed="false">
      <c r="D6113" s="0" t="s">
        <v>60</v>
      </c>
      <c r="E6113" s="0" t="s">
        <v>61</v>
      </c>
      <c r="F6113" s="0" t="s">
        <v>62</v>
      </c>
      <c r="G6113" s="0" t="s">
        <v>170</v>
      </c>
      <c r="H6113" s="0" t="s">
        <v>170</v>
      </c>
      <c r="I6113" s="0" t="s">
        <v>28</v>
      </c>
      <c r="J6113" s="0" t="s">
        <v>29</v>
      </c>
      <c r="K6113" s="0" t="s">
        <v>48</v>
      </c>
      <c r="L6113" s="0" t="s">
        <v>49</v>
      </c>
      <c r="M6113" s="0" t="s">
        <v>167</v>
      </c>
      <c r="N6113" s="0" t="n">
        <v>1608</v>
      </c>
      <c r="O6113" s="10" t="n">
        <v>0.263620267855003</v>
      </c>
      <c r="P6113" s="10" t="n">
        <v>0.0268250561784953</v>
      </c>
      <c r="Q6113" s="0" t="str">
        <f aca="false">SUBSTITUTE(SUBSTITUTE($I6113,CHAR(61),""),CHAR(34),"")</f>
        <v>&lt;01</v>
      </c>
      <c r="R6113" s="0" t="str">
        <f aca="false">IF($D6113&lt;&gt;"","["&amp;$E6113&amp;"]"&amp;"|"&amp;$Q6113&amp;"|"&amp;$K6113&amp;"|"&amp;$G6113&amp;"|"&amp;IF($G6113="TX_CURR_SUBNAT.R","CY2022Q4",$M6113),"")</f>
        <v>[msW2zpIN7up]|&lt;01|Male|NEW_INFECTIONS_SUBNAT.T|CY2024Q3</v>
      </c>
    </row>
    <row r="6114" customFormat="false" ht="15" hidden="false" customHeight="false" outlineLevel="0" collapsed="false">
      <c r="D6114" s="0" t="s">
        <v>60</v>
      </c>
      <c r="E6114" s="0" t="s">
        <v>61</v>
      </c>
      <c r="F6114" s="0" t="s">
        <v>62</v>
      </c>
      <c r="G6114" s="0" t="s">
        <v>170</v>
      </c>
      <c r="H6114" s="0" t="s">
        <v>170</v>
      </c>
      <c r="I6114" s="0" t="s">
        <v>33</v>
      </c>
      <c r="J6114" s="0" t="s">
        <v>34</v>
      </c>
      <c r="K6114" s="0" t="s">
        <v>48</v>
      </c>
      <c r="L6114" s="0" t="s">
        <v>49</v>
      </c>
      <c r="M6114" s="0" t="s">
        <v>167</v>
      </c>
      <c r="N6114" s="0" t="n">
        <v>1748</v>
      </c>
      <c r="O6114" s="10" t="n">
        <v>0.376855014590546</v>
      </c>
      <c r="P6114" s="10" t="n">
        <v>0.0268250561784953</v>
      </c>
      <c r="Q6114" s="0" t="str">
        <f aca="false">SUBSTITUTE(SUBSTITUTE($I6114,CHAR(61),""),CHAR(34),"")</f>
        <v>01-09</v>
      </c>
      <c r="R6114" s="0" t="str">
        <f aca="false">IF($D6114&lt;&gt;"","["&amp;$E6114&amp;"]"&amp;"|"&amp;$Q6114&amp;"|"&amp;$K6114&amp;"|"&amp;$G6114&amp;"|"&amp;IF($G6114="TX_CURR_SUBNAT.R","CY2022Q4",$M6114),"")</f>
        <v>[msW2zpIN7up]|01-09|Male|NEW_INFECTIONS_SUBNAT.T|CY2024Q3</v>
      </c>
    </row>
    <row r="6115" customFormat="false" ht="15" hidden="false" customHeight="false" outlineLevel="0" collapsed="false">
      <c r="D6115" s="0" t="s">
        <v>60</v>
      </c>
      <c r="E6115" s="0" t="s">
        <v>61</v>
      </c>
      <c r="F6115" s="0" t="s">
        <v>62</v>
      </c>
      <c r="G6115" s="0" t="s">
        <v>170</v>
      </c>
      <c r="H6115" s="0" t="s">
        <v>170</v>
      </c>
      <c r="I6115" s="0" t="s">
        <v>36</v>
      </c>
      <c r="J6115" s="0" t="s">
        <v>37</v>
      </c>
      <c r="K6115" s="0" t="s">
        <v>48</v>
      </c>
      <c r="L6115" s="0" t="s">
        <v>49</v>
      </c>
      <c r="M6115" s="0" t="s">
        <v>167</v>
      </c>
      <c r="N6115" s="0" t="n">
        <v>1544</v>
      </c>
      <c r="O6115" s="10" t="n">
        <v>0.807916528778151</v>
      </c>
      <c r="P6115" s="10" t="n">
        <v>0.0268250561784953</v>
      </c>
      <c r="Q6115" s="0" t="str">
        <f aca="false">SUBSTITUTE(SUBSTITUTE($I6115,CHAR(61),""),CHAR(34),"")</f>
        <v>10-14</v>
      </c>
      <c r="R6115" s="0" t="str">
        <f aca="false">IF($D6115&lt;&gt;"","["&amp;$E6115&amp;"]"&amp;"|"&amp;$Q6115&amp;"|"&amp;$K6115&amp;"|"&amp;$G6115&amp;"|"&amp;IF($G6115="TX_CURR_SUBNAT.R","CY2022Q4",$M6115),"")</f>
        <v>[msW2zpIN7up]|10-14|Male|NEW_INFECTIONS_SUBNAT.T|CY2024Q3</v>
      </c>
    </row>
    <row r="6116" customFormat="false" ht="15" hidden="false" customHeight="false" outlineLevel="0" collapsed="false">
      <c r="D6116" s="0" t="s">
        <v>60</v>
      </c>
      <c r="E6116" s="0" t="s">
        <v>61</v>
      </c>
      <c r="F6116" s="0" t="s">
        <v>62</v>
      </c>
      <c r="G6116" s="0" t="s">
        <v>170</v>
      </c>
      <c r="H6116" s="0" t="s">
        <v>170</v>
      </c>
      <c r="I6116" s="0" t="s">
        <v>38</v>
      </c>
      <c r="J6116" s="0" t="s">
        <v>39</v>
      </c>
      <c r="K6116" s="0" t="s">
        <v>48</v>
      </c>
      <c r="L6116" s="0" t="s">
        <v>49</v>
      </c>
      <c r="M6116" s="0" t="s">
        <v>167</v>
      </c>
      <c r="N6116" s="0" t="n">
        <v>1104</v>
      </c>
      <c r="O6116" s="10" t="n">
        <v>0.929129024734721</v>
      </c>
      <c r="P6116" s="10" t="n">
        <v>0.0268250561784953</v>
      </c>
      <c r="Q6116" s="0" t="str">
        <f aca="false">SUBSTITUTE(SUBSTITUTE($I6116,CHAR(61),""),CHAR(34),"")</f>
        <v>15-24</v>
      </c>
      <c r="R6116" s="0" t="str">
        <f aca="false">IF($D6116&lt;&gt;"","["&amp;$E6116&amp;"]"&amp;"|"&amp;$Q6116&amp;"|"&amp;$K6116&amp;"|"&amp;$G6116&amp;"|"&amp;IF($G6116="TX_CURR_SUBNAT.R","CY2022Q4",$M6116),"")</f>
        <v>[msW2zpIN7up]|15-24|Male|NEW_INFECTIONS_SUBNAT.T|CY2024Q3</v>
      </c>
    </row>
    <row r="6117" customFormat="false" ht="15" hidden="false" customHeight="false" outlineLevel="0" collapsed="false">
      <c r="D6117" s="0" t="s">
        <v>60</v>
      </c>
      <c r="E6117" s="0" t="s">
        <v>61</v>
      </c>
      <c r="F6117" s="0" t="s">
        <v>62</v>
      </c>
      <c r="G6117" s="0" t="s">
        <v>170</v>
      </c>
      <c r="H6117" s="0" t="s">
        <v>170</v>
      </c>
      <c r="I6117" s="0" t="s">
        <v>41</v>
      </c>
      <c r="J6117" s="0" t="s">
        <v>42</v>
      </c>
      <c r="K6117" s="0" t="s">
        <v>48</v>
      </c>
      <c r="L6117" s="0" t="s">
        <v>49</v>
      </c>
      <c r="M6117" s="0" t="s">
        <v>167</v>
      </c>
      <c r="N6117" s="0" t="n">
        <v>1556</v>
      </c>
      <c r="O6117" s="10" t="n">
        <v>0.146444054087624</v>
      </c>
      <c r="P6117" s="10" t="n">
        <v>0.0268250561784953</v>
      </c>
      <c r="Q6117" s="0" t="str">
        <f aca="false">SUBSTITUTE(SUBSTITUTE($I6117,CHAR(61),""),CHAR(34),"")</f>
        <v>25-34</v>
      </c>
      <c r="R6117" s="0" t="str">
        <f aca="false">IF($D6117&lt;&gt;"","["&amp;$E6117&amp;"]"&amp;"|"&amp;$Q6117&amp;"|"&amp;$K6117&amp;"|"&amp;$G6117&amp;"|"&amp;IF($G6117="TX_CURR_SUBNAT.R","CY2022Q4",$M6117),"")</f>
        <v>[msW2zpIN7up]|25-34|Male|NEW_INFECTIONS_SUBNAT.T|CY2024Q3</v>
      </c>
    </row>
    <row r="6118" customFormat="false" ht="15" hidden="false" customHeight="false" outlineLevel="0" collapsed="false">
      <c r="D6118" s="0" t="s">
        <v>60</v>
      </c>
      <c r="E6118" s="0" t="s">
        <v>61</v>
      </c>
      <c r="F6118" s="0" t="s">
        <v>62</v>
      </c>
      <c r="G6118" s="0" t="s">
        <v>170</v>
      </c>
      <c r="H6118" s="0" t="s">
        <v>170</v>
      </c>
      <c r="I6118" s="0" t="s">
        <v>43</v>
      </c>
      <c r="J6118" s="0" t="s">
        <v>44</v>
      </c>
      <c r="K6118" s="0" t="s">
        <v>48</v>
      </c>
      <c r="L6118" s="0" t="s">
        <v>49</v>
      </c>
      <c r="M6118" s="0" t="s">
        <v>167</v>
      </c>
      <c r="N6118" s="0" t="n">
        <v>1486</v>
      </c>
      <c r="O6118" s="10" t="n">
        <v>0.178274177480489</v>
      </c>
      <c r="P6118" s="10" t="n">
        <v>0.0268250561784953</v>
      </c>
      <c r="Q6118" s="0" t="str">
        <f aca="false">SUBSTITUTE(SUBSTITUTE($I6118,CHAR(61),""),CHAR(34),"")</f>
        <v>35-49</v>
      </c>
      <c r="R6118" s="0" t="str">
        <f aca="false">IF($D6118&lt;&gt;"","["&amp;$E6118&amp;"]"&amp;"|"&amp;$Q6118&amp;"|"&amp;$K6118&amp;"|"&amp;$G6118&amp;"|"&amp;IF($G6118="TX_CURR_SUBNAT.R","CY2022Q4",$M6118),"")</f>
        <v>[msW2zpIN7up]|35-49|Male|NEW_INFECTIONS_SUBNAT.T|CY2024Q3</v>
      </c>
    </row>
    <row r="6119" customFormat="false" ht="15" hidden="false" customHeight="false" outlineLevel="0" collapsed="false">
      <c r="D6119" s="0" t="s">
        <v>60</v>
      </c>
      <c r="E6119" s="0" t="s">
        <v>61</v>
      </c>
      <c r="F6119" s="0" t="s">
        <v>62</v>
      </c>
      <c r="G6119" s="0" t="s">
        <v>170</v>
      </c>
      <c r="H6119" s="0" t="s">
        <v>170</v>
      </c>
      <c r="I6119" s="0" t="s">
        <v>45</v>
      </c>
      <c r="J6119" s="0" t="s">
        <v>46</v>
      </c>
      <c r="K6119" s="0" t="s">
        <v>48</v>
      </c>
      <c r="L6119" s="0" t="s">
        <v>49</v>
      </c>
      <c r="M6119" s="0" t="s">
        <v>167</v>
      </c>
      <c r="N6119" s="0" t="n">
        <v>1945</v>
      </c>
      <c r="O6119" s="10" t="n">
        <v>0.130244590574875</v>
      </c>
      <c r="P6119" s="10" t="n">
        <v>0.0268250561784953</v>
      </c>
      <c r="Q6119" s="0" t="str">
        <f aca="false">SUBSTITUTE(SUBSTITUTE($I6119,CHAR(61),""),CHAR(34),"")</f>
        <v>50+</v>
      </c>
      <c r="R6119" s="0" t="str">
        <f aca="false">IF($D6119&lt;&gt;"","["&amp;$E6119&amp;"]"&amp;"|"&amp;$Q6119&amp;"|"&amp;$K6119&amp;"|"&amp;$G6119&amp;"|"&amp;IF($G6119="TX_CURR_SUBNAT.R","CY2022Q4",$M6119),"")</f>
        <v>[msW2zpIN7up]|50+|Male|NEW_INFECTIONS_SUBNAT.T|CY2024Q3</v>
      </c>
    </row>
    <row r="6120" customFormat="false" ht="15" hidden="false" customHeight="false" outlineLevel="0" collapsed="false">
      <c r="D6120" s="0" t="s">
        <v>63</v>
      </c>
      <c r="E6120" s="0" t="s">
        <v>64</v>
      </c>
      <c r="F6120" s="0" t="s">
        <v>65</v>
      </c>
      <c r="G6120" s="0" t="s">
        <v>170</v>
      </c>
      <c r="H6120" s="0" t="s">
        <v>170</v>
      </c>
      <c r="I6120" s="0" t="s">
        <v>28</v>
      </c>
      <c r="J6120" s="0" t="s">
        <v>29</v>
      </c>
      <c r="K6120" s="0" t="s">
        <v>30</v>
      </c>
      <c r="L6120" s="0" t="s">
        <v>31</v>
      </c>
      <c r="M6120" s="0" t="s">
        <v>167</v>
      </c>
      <c r="N6120" s="0" t="n">
        <v>1088</v>
      </c>
      <c r="O6120" s="10" t="n">
        <v>0.50440204096958</v>
      </c>
      <c r="P6120" s="10" t="n">
        <v>0.790102193132043</v>
      </c>
      <c r="Q6120" s="0" t="str">
        <f aca="false">SUBSTITUTE(SUBSTITUTE($I6120,CHAR(61),""),CHAR(34),"")</f>
        <v>&lt;01</v>
      </c>
      <c r="R6120" s="0" t="str">
        <f aca="false">IF($D6120&lt;&gt;"","["&amp;$E6120&amp;"]"&amp;"|"&amp;$Q6120&amp;"|"&amp;$K6120&amp;"|"&amp;$G6120&amp;"|"&amp;IF($G6120="TX_CURR_SUBNAT.R","CY2022Q4",$M6120),"")</f>
        <v>[kxuuIFpOXyO]|&lt;01|Female|NEW_INFECTIONS_SUBNAT.T|CY2024Q3</v>
      </c>
    </row>
    <row r="6121" customFormat="false" ht="15" hidden="false" customHeight="false" outlineLevel="0" collapsed="false">
      <c r="D6121" s="0" t="s">
        <v>63</v>
      </c>
      <c r="E6121" s="0" t="s">
        <v>64</v>
      </c>
      <c r="F6121" s="0" t="s">
        <v>65</v>
      </c>
      <c r="G6121" s="0" t="s">
        <v>170</v>
      </c>
      <c r="H6121" s="0" t="s">
        <v>170</v>
      </c>
      <c r="I6121" s="0" t="s">
        <v>33</v>
      </c>
      <c r="J6121" s="0" t="s">
        <v>34</v>
      </c>
      <c r="K6121" s="0" t="s">
        <v>30</v>
      </c>
      <c r="L6121" s="0" t="s">
        <v>31</v>
      </c>
      <c r="M6121" s="0" t="s">
        <v>167</v>
      </c>
      <c r="N6121" s="0" t="n">
        <v>1404</v>
      </c>
      <c r="O6121" s="10" t="n">
        <v>0.912623914191499</v>
      </c>
      <c r="P6121" s="10" t="n">
        <v>0.790102193132043</v>
      </c>
      <c r="Q6121" s="0" t="str">
        <f aca="false">SUBSTITUTE(SUBSTITUTE($I6121,CHAR(61),""),CHAR(34),"")</f>
        <v>01-09</v>
      </c>
      <c r="R6121" s="0" t="str">
        <f aca="false">IF($D6121&lt;&gt;"","["&amp;$E6121&amp;"]"&amp;"|"&amp;$Q6121&amp;"|"&amp;$K6121&amp;"|"&amp;$G6121&amp;"|"&amp;IF($G6121="TX_CURR_SUBNAT.R","CY2022Q4",$M6121),"")</f>
        <v>[kxuuIFpOXyO]|01-09|Female|NEW_INFECTIONS_SUBNAT.T|CY2024Q3</v>
      </c>
    </row>
    <row r="6122" customFormat="false" ht="15" hidden="false" customHeight="false" outlineLevel="0" collapsed="false">
      <c r="D6122" s="0" t="s">
        <v>63</v>
      </c>
      <c r="E6122" s="0" t="s">
        <v>64</v>
      </c>
      <c r="F6122" s="0" t="s">
        <v>65</v>
      </c>
      <c r="G6122" s="0" t="s">
        <v>170</v>
      </c>
      <c r="H6122" s="0" t="s">
        <v>170</v>
      </c>
      <c r="I6122" s="0" t="s">
        <v>36</v>
      </c>
      <c r="J6122" s="0" t="s">
        <v>37</v>
      </c>
      <c r="K6122" s="0" t="s">
        <v>30</v>
      </c>
      <c r="L6122" s="0" t="s">
        <v>31</v>
      </c>
      <c r="M6122" s="0" t="s">
        <v>167</v>
      </c>
      <c r="N6122" s="0" t="n">
        <v>1499</v>
      </c>
      <c r="O6122" s="10" t="n">
        <v>0.19149477686733</v>
      </c>
      <c r="P6122" s="10" t="n">
        <v>0.790102193132043</v>
      </c>
      <c r="Q6122" s="0" t="str">
        <f aca="false">SUBSTITUTE(SUBSTITUTE($I6122,CHAR(61),""),CHAR(34),"")</f>
        <v>10-14</v>
      </c>
      <c r="R6122" s="0" t="str">
        <f aca="false">IF($D6122&lt;&gt;"","["&amp;$E6122&amp;"]"&amp;"|"&amp;$Q6122&amp;"|"&amp;$K6122&amp;"|"&amp;$G6122&amp;"|"&amp;IF($G6122="TX_CURR_SUBNAT.R","CY2022Q4",$M6122),"")</f>
        <v>[kxuuIFpOXyO]|10-14|Female|NEW_INFECTIONS_SUBNAT.T|CY2024Q3</v>
      </c>
    </row>
    <row r="6123" customFormat="false" ht="15" hidden="false" customHeight="false" outlineLevel="0" collapsed="false">
      <c r="D6123" s="0" t="s">
        <v>63</v>
      </c>
      <c r="E6123" s="0" t="s">
        <v>64</v>
      </c>
      <c r="F6123" s="0" t="s">
        <v>65</v>
      </c>
      <c r="G6123" s="0" t="s">
        <v>170</v>
      </c>
      <c r="H6123" s="0" t="s">
        <v>170</v>
      </c>
      <c r="I6123" s="0" t="s">
        <v>38</v>
      </c>
      <c r="J6123" s="0" t="s">
        <v>39</v>
      </c>
      <c r="K6123" s="0" t="s">
        <v>30</v>
      </c>
      <c r="L6123" s="0" t="s">
        <v>31</v>
      </c>
      <c r="M6123" s="0" t="s">
        <v>167</v>
      </c>
      <c r="N6123" s="0" t="n">
        <v>809</v>
      </c>
      <c r="O6123" s="10" t="n">
        <v>0.214056973345578</v>
      </c>
      <c r="P6123" s="10" t="n">
        <v>0.790102193132043</v>
      </c>
      <c r="Q6123" s="0" t="str">
        <f aca="false">SUBSTITUTE(SUBSTITUTE($I6123,CHAR(61),""),CHAR(34),"")</f>
        <v>15-24</v>
      </c>
      <c r="R6123" s="0" t="str">
        <f aca="false">IF($D6123&lt;&gt;"","["&amp;$E6123&amp;"]"&amp;"|"&amp;$Q6123&amp;"|"&amp;$K6123&amp;"|"&amp;$G6123&amp;"|"&amp;IF($G6123="TX_CURR_SUBNAT.R","CY2022Q4",$M6123),"")</f>
        <v>[kxuuIFpOXyO]|15-24|Female|NEW_INFECTIONS_SUBNAT.T|CY2024Q3</v>
      </c>
    </row>
    <row r="6124" customFormat="false" ht="15" hidden="false" customHeight="false" outlineLevel="0" collapsed="false">
      <c r="D6124" s="0" t="s">
        <v>63</v>
      </c>
      <c r="E6124" s="0" t="s">
        <v>64</v>
      </c>
      <c r="F6124" s="0" t="s">
        <v>65</v>
      </c>
      <c r="G6124" s="0" t="s">
        <v>170</v>
      </c>
      <c r="H6124" s="0" t="s">
        <v>170</v>
      </c>
      <c r="I6124" s="0" t="s">
        <v>41</v>
      </c>
      <c r="J6124" s="0" t="s">
        <v>42</v>
      </c>
      <c r="K6124" s="0" t="s">
        <v>30</v>
      </c>
      <c r="L6124" s="0" t="s">
        <v>31</v>
      </c>
      <c r="M6124" s="0" t="s">
        <v>167</v>
      </c>
      <c r="N6124" s="0" t="n">
        <v>1596</v>
      </c>
      <c r="O6124" s="10" t="n">
        <v>0.523480778327212</v>
      </c>
      <c r="P6124" s="10" t="n">
        <v>0.790102193132043</v>
      </c>
      <c r="Q6124" s="0" t="str">
        <f aca="false">SUBSTITUTE(SUBSTITUTE($I6124,CHAR(61),""),CHAR(34),"")</f>
        <v>25-34</v>
      </c>
      <c r="R6124" s="0" t="str">
        <f aca="false">IF($D6124&lt;&gt;"","["&amp;$E6124&amp;"]"&amp;"|"&amp;$Q6124&amp;"|"&amp;$K6124&amp;"|"&amp;$G6124&amp;"|"&amp;IF($G6124="TX_CURR_SUBNAT.R","CY2022Q4",$M6124),"")</f>
        <v>[kxuuIFpOXyO]|25-34|Female|NEW_INFECTIONS_SUBNAT.T|CY2024Q3</v>
      </c>
    </row>
    <row r="6125" customFormat="false" ht="15" hidden="false" customHeight="false" outlineLevel="0" collapsed="false">
      <c r="D6125" s="0" t="s">
        <v>63</v>
      </c>
      <c r="E6125" s="0" t="s">
        <v>64</v>
      </c>
      <c r="F6125" s="0" t="s">
        <v>65</v>
      </c>
      <c r="G6125" s="0" t="s">
        <v>170</v>
      </c>
      <c r="H6125" s="0" t="s">
        <v>170</v>
      </c>
      <c r="I6125" s="0" t="s">
        <v>43</v>
      </c>
      <c r="J6125" s="0" t="s">
        <v>44</v>
      </c>
      <c r="K6125" s="0" t="s">
        <v>30</v>
      </c>
      <c r="L6125" s="0" t="s">
        <v>31</v>
      </c>
      <c r="M6125" s="0" t="s">
        <v>167</v>
      </c>
      <c r="N6125" s="0" t="n">
        <v>656</v>
      </c>
      <c r="O6125" s="10" t="n">
        <v>0.506256805500016</v>
      </c>
      <c r="P6125" s="10" t="n">
        <v>0.790102193132043</v>
      </c>
      <c r="Q6125" s="0" t="str">
        <f aca="false">SUBSTITUTE(SUBSTITUTE($I6125,CHAR(61),""),CHAR(34),"")</f>
        <v>35-49</v>
      </c>
      <c r="R6125" s="0" t="str">
        <f aca="false">IF($D6125&lt;&gt;"","["&amp;$E6125&amp;"]"&amp;"|"&amp;$Q6125&amp;"|"&amp;$K6125&amp;"|"&amp;$G6125&amp;"|"&amp;IF($G6125="TX_CURR_SUBNAT.R","CY2022Q4",$M6125),"")</f>
        <v>[kxuuIFpOXyO]|35-49|Female|NEW_INFECTIONS_SUBNAT.T|CY2024Q3</v>
      </c>
    </row>
    <row r="6126" customFormat="false" ht="15" hidden="false" customHeight="false" outlineLevel="0" collapsed="false">
      <c r="D6126" s="0" t="s">
        <v>63</v>
      </c>
      <c r="E6126" s="0" t="s">
        <v>64</v>
      </c>
      <c r="F6126" s="0" t="s">
        <v>65</v>
      </c>
      <c r="G6126" s="0" t="s">
        <v>170</v>
      </c>
      <c r="H6126" s="0" t="s">
        <v>170</v>
      </c>
      <c r="I6126" s="0" t="s">
        <v>45</v>
      </c>
      <c r="J6126" s="0" t="s">
        <v>46</v>
      </c>
      <c r="K6126" s="0" t="s">
        <v>30</v>
      </c>
      <c r="L6126" s="0" t="s">
        <v>31</v>
      </c>
      <c r="M6126" s="0" t="s">
        <v>167</v>
      </c>
      <c r="N6126" s="0" t="n">
        <v>1610</v>
      </c>
      <c r="O6126" s="10" t="n">
        <v>0.427894988562912</v>
      </c>
      <c r="P6126" s="10" t="n">
        <v>0.790102193132043</v>
      </c>
      <c r="Q6126" s="0" t="str">
        <f aca="false">SUBSTITUTE(SUBSTITUTE($I6126,CHAR(61),""),CHAR(34),"")</f>
        <v>50+</v>
      </c>
      <c r="R6126" s="0" t="str">
        <f aca="false">IF($D6126&lt;&gt;"","["&amp;$E6126&amp;"]"&amp;"|"&amp;$Q6126&amp;"|"&amp;$K6126&amp;"|"&amp;$G6126&amp;"|"&amp;IF($G6126="TX_CURR_SUBNAT.R","CY2022Q4",$M6126),"")</f>
        <v>[kxuuIFpOXyO]|50+|Female|NEW_INFECTIONS_SUBNAT.T|CY2024Q3</v>
      </c>
    </row>
    <row r="6127" customFormat="false" ht="15" hidden="false" customHeight="false" outlineLevel="0" collapsed="false">
      <c r="D6127" s="0" t="s">
        <v>63</v>
      </c>
      <c r="E6127" s="0" t="s">
        <v>64</v>
      </c>
      <c r="F6127" s="0" t="s">
        <v>65</v>
      </c>
      <c r="G6127" s="0" t="s">
        <v>170</v>
      </c>
      <c r="H6127" s="0" t="s">
        <v>170</v>
      </c>
      <c r="I6127" s="0" t="s">
        <v>28</v>
      </c>
      <c r="J6127" s="0" t="s">
        <v>29</v>
      </c>
      <c r="K6127" s="0" t="s">
        <v>48</v>
      </c>
      <c r="L6127" s="0" t="s">
        <v>49</v>
      </c>
      <c r="M6127" s="0" t="s">
        <v>167</v>
      </c>
      <c r="N6127" s="0" t="n">
        <v>1651</v>
      </c>
      <c r="O6127" s="10" t="n">
        <v>0.47704844083637</v>
      </c>
      <c r="P6127" s="10" t="n">
        <v>0.790102193132043</v>
      </c>
      <c r="Q6127" s="0" t="str">
        <f aca="false">SUBSTITUTE(SUBSTITUTE($I6127,CHAR(61),""),CHAR(34),"")</f>
        <v>&lt;01</v>
      </c>
      <c r="R6127" s="0" t="str">
        <f aca="false">IF($D6127&lt;&gt;"","["&amp;$E6127&amp;"]"&amp;"|"&amp;$Q6127&amp;"|"&amp;$K6127&amp;"|"&amp;$G6127&amp;"|"&amp;IF($G6127="TX_CURR_SUBNAT.R","CY2022Q4",$M6127),"")</f>
        <v>[kxuuIFpOXyO]|&lt;01|Male|NEW_INFECTIONS_SUBNAT.T|CY2024Q3</v>
      </c>
    </row>
    <row r="6128" customFormat="false" ht="15" hidden="false" customHeight="false" outlineLevel="0" collapsed="false">
      <c r="D6128" s="0" t="s">
        <v>63</v>
      </c>
      <c r="E6128" s="0" t="s">
        <v>64</v>
      </c>
      <c r="F6128" s="0" t="s">
        <v>65</v>
      </c>
      <c r="G6128" s="0" t="s">
        <v>170</v>
      </c>
      <c r="H6128" s="0" t="s">
        <v>170</v>
      </c>
      <c r="I6128" s="0" t="s">
        <v>33</v>
      </c>
      <c r="J6128" s="0" t="s">
        <v>34</v>
      </c>
      <c r="K6128" s="0" t="s">
        <v>48</v>
      </c>
      <c r="L6128" s="0" t="s">
        <v>49</v>
      </c>
      <c r="M6128" s="0" t="s">
        <v>167</v>
      </c>
      <c r="N6128" s="0" t="n">
        <v>1667</v>
      </c>
      <c r="O6128" s="10" t="n">
        <v>0.248425103956833</v>
      </c>
      <c r="P6128" s="10" t="n">
        <v>0.790102193132043</v>
      </c>
      <c r="Q6128" s="0" t="str">
        <f aca="false">SUBSTITUTE(SUBSTITUTE($I6128,CHAR(61),""),CHAR(34),"")</f>
        <v>01-09</v>
      </c>
      <c r="R6128" s="0" t="str">
        <f aca="false">IF($D6128&lt;&gt;"","["&amp;$E6128&amp;"]"&amp;"|"&amp;$Q6128&amp;"|"&amp;$K6128&amp;"|"&amp;$G6128&amp;"|"&amp;IF($G6128="TX_CURR_SUBNAT.R","CY2022Q4",$M6128),"")</f>
        <v>[kxuuIFpOXyO]|01-09|Male|NEW_INFECTIONS_SUBNAT.T|CY2024Q3</v>
      </c>
    </row>
    <row r="6129" customFormat="false" ht="15" hidden="false" customHeight="false" outlineLevel="0" collapsed="false">
      <c r="D6129" s="0" t="s">
        <v>63</v>
      </c>
      <c r="E6129" s="0" t="s">
        <v>64</v>
      </c>
      <c r="F6129" s="0" t="s">
        <v>65</v>
      </c>
      <c r="G6129" s="0" t="s">
        <v>170</v>
      </c>
      <c r="H6129" s="0" t="s">
        <v>170</v>
      </c>
      <c r="I6129" s="0" t="s">
        <v>36</v>
      </c>
      <c r="J6129" s="0" t="s">
        <v>37</v>
      </c>
      <c r="K6129" s="0" t="s">
        <v>48</v>
      </c>
      <c r="L6129" s="0" t="s">
        <v>49</v>
      </c>
      <c r="M6129" s="0" t="s">
        <v>167</v>
      </c>
      <c r="N6129" s="0" t="n">
        <v>549</v>
      </c>
      <c r="O6129" s="10" t="n">
        <v>0.545447709504515</v>
      </c>
      <c r="P6129" s="10" t="n">
        <v>0.790102193132043</v>
      </c>
      <c r="Q6129" s="0" t="str">
        <f aca="false">SUBSTITUTE(SUBSTITUTE($I6129,CHAR(61),""),CHAR(34),"")</f>
        <v>10-14</v>
      </c>
      <c r="R6129" s="0" t="str">
        <f aca="false">IF($D6129&lt;&gt;"","["&amp;$E6129&amp;"]"&amp;"|"&amp;$Q6129&amp;"|"&amp;$K6129&amp;"|"&amp;$G6129&amp;"|"&amp;IF($G6129="TX_CURR_SUBNAT.R","CY2022Q4",$M6129),"")</f>
        <v>[kxuuIFpOXyO]|10-14|Male|NEW_INFECTIONS_SUBNAT.T|CY2024Q3</v>
      </c>
    </row>
    <row r="6130" customFormat="false" ht="15" hidden="false" customHeight="false" outlineLevel="0" collapsed="false">
      <c r="D6130" s="0" t="s">
        <v>63</v>
      </c>
      <c r="E6130" s="0" t="s">
        <v>64</v>
      </c>
      <c r="F6130" s="0" t="s">
        <v>65</v>
      </c>
      <c r="G6130" s="0" t="s">
        <v>170</v>
      </c>
      <c r="H6130" s="0" t="s">
        <v>170</v>
      </c>
      <c r="I6130" s="0" t="s">
        <v>38</v>
      </c>
      <c r="J6130" s="0" t="s">
        <v>39</v>
      </c>
      <c r="K6130" s="0" t="s">
        <v>48</v>
      </c>
      <c r="L6130" s="0" t="s">
        <v>49</v>
      </c>
      <c r="M6130" s="0" t="s">
        <v>167</v>
      </c>
      <c r="N6130" s="0" t="n">
        <v>1768</v>
      </c>
      <c r="O6130" s="10" t="n">
        <v>0.0568889868445694</v>
      </c>
      <c r="P6130" s="10" t="n">
        <v>0.790102193132043</v>
      </c>
      <c r="Q6130" s="0" t="str">
        <f aca="false">SUBSTITUTE(SUBSTITUTE($I6130,CHAR(61),""),CHAR(34),"")</f>
        <v>15-24</v>
      </c>
      <c r="R6130" s="0" t="str">
        <f aca="false">IF($D6130&lt;&gt;"","["&amp;$E6130&amp;"]"&amp;"|"&amp;$Q6130&amp;"|"&amp;$K6130&amp;"|"&amp;$G6130&amp;"|"&amp;IF($G6130="TX_CURR_SUBNAT.R","CY2022Q4",$M6130),"")</f>
        <v>[kxuuIFpOXyO]|15-24|Male|NEW_INFECTIONS_SUBNAT.T|CY2024Q3</v>
      </c>
    </row>
    <row r="6131" customFormat="false" ht="15" hidden="false" customHeight="false" outlineLevel="0" collapsed="false">
      <c r="D6131" s="0" t="s">
        <v>63</v>
      </c>
      <c r="E6131" s="0" t="s">
        <v>64</v>
      </c>
      <c r="F6131" s="0" t="s">
        <v>65</v>
      </c>
      <c r="G6131" s="0" t="s">
        <v>170</v>
      </c>
      <c r="H6131" s="0" t="s">
        <v>170</v>
      </c>
      <c r="I6131" s="0" t="s">
        <v>41</v>
      </c>
      <c r="J6131" s="0" t="s">
        <v>42</v>
      </c>
      <c r="K6131" s="0" t="s">
        <v>48</v>
      </c>
      <c r="L6131" s="0" t="s">
        <v>49</v>
      </c>
      <c r="M6131" s="0" t="s">
        <v>167</v>
      </c>
      <c r="N6131" s="0" t="n">
        <v>523</v>
      </c>
      <c r="O6131" s="10" t="n">
        <v>0.137675855308771</v>
      </c>
      <c r="P6131" s="10" t="n">
        <v>0.790102193132043</v>
      </c>
      <c r="Q6131" s="0" t="str">
        <f aca="false">SUBSTITUTE(SUBSTITUTE($I6131,CHAR(61),""),CHAR(34),"")</f>
        <v>25-34</v>
      </c>
      <c r="R6131" s="0" t="str">
        <f aca="false">IF($D6131&lt;&gt;"","["&amp;$E6131&amp;"]"&amp;"|"&amp;$Q6131&amp;"|"&amp;$K6131&amp;"|"&amp;$G6131&amp;"|"&amp;IF($G6131="TX_CURR_SUBNAT.R","CY2022Q4",$M6131),"")</f>
        <v>[kxuuIFpOXyO]|25-34|Male|NEW_INFECTIONS_SUBNAT.T|CY2024Q3</v>
      </c>
    </row>
    <row r="6132" customFormat="false" ht="15" hidden="false" customHeight="false" outlineLevel="0" collapsed="false">
      <c r="D6132" s="0" t="s">
        <v>63</v>
      </c>
      <c r="E6132" s="0" t="s">
        <v>64</v>
      </c>
      <c r="F6132" s="0" t="s">
        <v>65</v>
      </c>
      <c r="G6132" s="0" t="s">
        <v>170</v>
      </c>
      <c r="H6132" s="0" t="s">
        <v>170</v>
      </c>
      <c r="I6132" s="0" t="s">
        <v>43</v>
      </c>
      <c r="J6132" s="0" t="s">
        <v>44</v>
      </c>
      <c r="K6132" s="0" t="s">
        <v>48</v>
      </c>
      <c r="L6132" s="0" t="s">
        <v>49</v>
      </c>
      <c r="M6132" s="0" t="s">
        <v>167</v>
      </c>
      <c r="N6132" s="0" t="n">
        <v>1027</v>
      </c>
      <c r="O6132" s="10" t="n">
        <v>0.817361561581492</v>
      </c>
      <c r="P6132" s="10" t="n">
        <v>0.790102193132043</v>
      </c>
      <c r="Q6132" s="0" t="str">
        <f aca="false">SUBSTITUTE(SUBSTITUTE($I6132,CHAR(61),""),CHAR(34),"")</f>
        <v>35-49</v>
      </c>
      <c r="R6132" s="0" t="str">
        <f aca="false">IF($D6132&lt;&gt;"","["&amp;$E6132&amp;"]"&amp;"|"&amp;$Q6132&amp;"|"&amp;$K6132&amp;"|"&amp;$G6132&amp;"|"&amp;IF($G6132="TX_CURR_SUBNAT.R","CY2022Q4",$M6132),"")</f>
        <v>[kxuuIFpOXyO]|35-49|Male|NEW_INFECTIONS_SUBNAT.T|CY2024Q3</v>
      </c>
    </row>
    <row r="6133" customFormat="false" ht="15" hidden="false" customHeight="false" outlineLevel="0" collapsed="false">
      <c r="D6133" s="0" t="s">
        <v>63</v>
      </c>
      <c r="E6133" s="0" t="s">
        <v>64</v>
      </c>
      <c r="F6133" s="0" t="s">
        <v>65</v>
      </c>
      <c r="G6133" s="0" t="s">
        <v>170</v>
      </c>
      <c r="H6133" s="0" t="s">
        <v>170</v>
      </c>
      <c r="I6133" s="0" t="s">
        <v>45</v>
      </c>
      <c r="J6133" s="0" t="s">
        <v>46</v>
      </c>
      <c r="K6133" s="0" t="s">
        <v>48</v>
      </c>
      <c r="L6133" s="0" t="s">
        <v>49</v>
      </c>
      <c r="M6133" s="0" t="s">
        <v>167</v>
      </c>
      <c r="N6133" s="0" t="n">
        <v>730</v>
      </c>
      <c r="O6133" s="10" t="n">
        <v>0.026782451197505</v>
      </c>
      <c r="P6133" s="10" t="n">
        <v>0.790102193132043</v>
      </c>
      <c r="Q6133" s="0" t="str">
        <f aca="false">SUBSTITUTE(SUBSTITUTE($I6133,CHAR(61),""),CHAR(34),"")</f>
        <v>50+</v>
      </c>
      <c r="R6133" s="0" t="str">
        <f aca="false">IF($D6133&lt;&gt;"","["&amp;$E6133&amp;"]"&amp;"|"&amp;$Q6133&amp;"|"&amp;$K6133&amp;"|"&amp;$G6133&amp;"|"&amp;IF($G6133="TX_CURR_SUBNAT.R","CY2022Q4",$M6133),"")</f>
        <v>[kxuuIFpOXyO]|50+|Male|NEW_INFECTIONS_SUBNAT.T|CY2024Q3</v>
      </c>
    </row>
    <row r="6134" customFormat="false" ht="15" hidden="false" customHeight="false" outlineLevel="0" collapsed="false">
      <c r="D6134" s="0" t="s">
        <v>66</v>
      </c>
      <c r="E6134" s="0" t="s">
        <v>67</v>
      </c>
      <c r="F6134" s="0" t="s">
        <v>68</v>
      </c>
      <c r="G6134" s="0" t="s">
        <v>170</v>
      </c>
      <c r="H6134" s="0" t="s">
        <v>170</v>
      </c>
      <c r="I6134" s="0" t="s">
        <v>28</v>
      </c>
      <c r="J6134" s="0" t="s">
        <v>29</v>
      </c>
      <c r="K6134" s="0" t="s">
        <v>30</v>
      </c>
      <c r="L6134" s="0" t="s">
        <v>31</v>
      </c>
      <c r="M6134" s="0" t="s">
        <v>167</v>
      </c>
      <c r="N6134" s="0" t="n">
        <v>1496</v>
      </c>
      <c r="O6134" s="10" t="n">
        <v>0.849007670069113</v>
      </c>
      <c r="P6134" s="10" t="n">
        <v>0.164609884377569</v>
      </c>
      <c r="Q6134" s="0" t="str">
        <f aca="false">SUBSTITUTE(SUBSTITUTE($I6134,CHAR(61),""),CHAR(34),"")</f>
        <v>&lt;01</v>
      </c>
      <c r="R6134" s="0" t="str">
        <f aca="false">IF($D6134&lt;&gt;"","["&amp;$E6134&amp;"]"&amp;"|"&amp;$Q6134&amp;"|"&amp;$K6134&amp;"|"&amp;$G6134&amp;"|"&amp;IF($G6134="TX_CURR_SUBNAT.R","CY2022Q4",$M6134),"")</f>
        <v>[ScR9iFKAasW]|&lt;01|Female|NEW_INFECTIONS_SUBNAT.T|CY2024Q3</v>
      </c>
    </row>
    <row r="6135" customFormat="false" ht="15" hidden="false" customHeight="false" outlineLevel="0" collapsed="false">
      <c r="D6135" s="0" t="s">
        <v>66</v>
      </c>
      <c r="E6135" s="0" t="s">
        <v>67</v>
      </c>
      <c r="F6135" s="0" t="s">
        <v>68</v>
      </c>
      <c r="G6135" s="0" t="s">
        <v>170</v>
      </c>
      <c r="H6135" s="0" t="s">
        <v>170</v>
      </c>
      <c r="I6135" s="0" t="s">
        <v>33</v>
      </c>
      <c r="J6135" s="0" t="s">
        <v>34</v>
      </c>
      <c r="K6135" s="0" t="s">
        <v>30</v>
      </c>
      <c r="L6135" s="0" t="s">
        <v>31</v>
      </c>
      <c r="M6135" s="0" t="s">
        <v>167</v>
      </c>
      <c r="N6135" s="0" t="n">
        <v>1250</v>
      </c>
      <c r="O6135" s="10" t="n">
        <v>0.926080074161291</v>
      </c>
      <c r="P6135" s="10" t="n">
        <v>0.164609884377569</v>
      </c>
      <c r="Q6135" s="0" t="str">
        <f aca="false">SUBSTITUTE(SUBSTITUTE($I6135,CHAR(61),""),CHAR(34),"")</f>
        <v>01-09</v>
      </c>
      <c r="R6135" s="0" t="str">
        <f aca="false">IF($D6135&lt;&gt;"","["&amp;$E6135&amp;"]"&amp;"|"&amp;$Q6135&amp;"|"&amp;$K6135&amp;"|"&amp;$G6135&amp;"|"&amp;IF($G6135="TX_CURR_SUBNAT.R","CY2022Q4",$M6135),"")</f>
        <v>[ScR9iFKAasW]|01-09|Female|NEW_INFECTIONS_SUBNAT.T|CY2024Q3</v>
      </c>
    </row>
    <row r="6136" customFormat="false" ht="15" hidden="false" customHeight="false" outlineLevel="0" collapsed="false">
      <c r="D6136" s="0" t="s">
        <v>66</v>
      </c>
      <c r="E6136" s="0" t="s">
        <v>67</v>
      </c>
      <c r="F6136" s="0" t="s">
        <v>68</v>
      </c>
      <c r="G6136" s="0" t="s">
        <v>170</v>
      </c>
      <c r="H6136" s="0" t="s">
        <v>170</v>
      </c>
      <c r="I6136" s="0" t="s">
        <v>36</v>
      </c>
      <c r="J6136" s="0" t="s">
        <v>37</v>
      </c>
      <c r="K6136" s="0" t="s">
        <v>30</v>
      </c>
      <c r="L6136" s="0" t="s">
        <v>31</v>
      </c>
      <c r="M6136" s="0" t="s">
        <v>167</v>
      </c>
      <c r="N6136" s="0" t="n">
        <v>963</v>
      </c>
      <c r="O6136" s="10" t="n">
        <v>0.295744323171675</v>
      </c>
      <c r="P6136" s="10" t="n">
        <v>0.164609884377569</v>
      </c>
      <c r="Q6136" s="0" t="str">
        <f aca="false">SUBSTITUTE(SUBSTITUTE($I6136,CHAR(61),""),CHAR(34),"")</f>
        <v>10-14</v>
      </c>
      <c r="R6136" s="0" t="str">
        <f aca="false">IF($D6136&lt;&gt;"","["&amp;$E6136&amp;"]"&amp;"|"&amp;$Q6136&amp;"|"&amp;$K6136&amp;"|"&amp;$G6136&amp;"|"&amp;IF($G6136="TX_CURR_SUBNAT.R","CY2022Q4",$M6136),"")</f>
        <v>[ScR9iFKAasW]|10-14|Female|NEW_INFECTIONS_SUBNAT.T|CY2024Q3</v>
      </c>
    </row>
    <row r="6137" customFormat="false" ht="15" hidden="false" customHeight="false" outlineLevel="0" collapsed="false">
      <c r="D6137" s="0" t="s">
        <v>66</v>
      </c>
      <c r="E6137" s="0" t="s">
        <v>67</v>
      </c>
      <c r="F6137" s="0" t="s">
        <v>68</v>
      </c>
      <c r="G6137" s="0" t="s">
        <v>170</v>
      </c>
      <c r="H6137" s="0" t="s">
        <v>170</v>
      </c>
      <c r="I6137" s="0" t="s">
        <v>38</v>
      </c>
      <c r="J6137" s="0" t="s">
        <v>39</v>
      </c>
      <c r="K6137" s="0" t="s">
        <v>30</v>
      </c>
      <c r="L6137" s="0" t="s">
        <v>31</v>
      </c>
      <c r="M6137" s="0" t="s">
        <v>167</v>
      </c>
      <c r="N6137" s="0" t="n">
        <v>756</v>
      </c>
      <c r="O6137" s="10" t="n">
        <v>0.236538849538192</v>
      </c>
      <c r="P6137" s="10" t="n">
        <v>0.164609884377569</v>
      </c>
      <c r="Q6137" s="0" t="str">
        <f aca="false">SUBSTITUTE(SUBSTITUTE($I6137,CHAR(61),""),CHAR(34),"")</f>
        <v>15-24</v>
      </c>
      <c r="R6137" s="0" t="str">
        <f aca="false">IF($D6137&lt;&gt;"","["&amp;$E6137&amp;"]"&amp;"|"&amp;$Q6137&amp;"|"&amp;$K6137&amp;"|"&amp;$G6137&amp;"|"&amp;IF($G6137="TX_CURR_SUBNAT.R","CY2022Q4",$M6137),"")</f>
        <v>[ScR9iFKAasW]|15-24|Female|NEW_INFECTIONS_SUBNAT.T|CY2024Q3</v>
      </c>
    </row>
    <row r="6138" customFormat="false" ht="15" hidden="false" customHeight="false" outlineLevel="0" collapsed="false">
      <c r="D6138" s="0" t="s">
        <v>66</v>
      </c>
      <c r="E6138" s="0" t="s">
        <v>67</v>
      </c>
      <c r="F6138" s="0" t="s">
        <v>68</v>
      </c>
      <c r="G6138" s="0" t="s">
        <v>170</v>
      </c>
      <c r="H6138" s="0" t="s">
        <v>170</v>
      </c>
      <c r="I6138" s="0" t="s">
        <v>41</v>
      </c>
      <c r="J6138" s="0" t="s">
        <v>42</v>
      </c>
      <c r="K6138" s="0" t="s">
        <v>30</v>
      </c>
      <c r="L6138" s="0" t="s">
        <v>31</v>
      </c>
      <c r="M6138" s="0" t="s">
        <v>167</v>
      </c>
      <c r="N6138" s="0" t="n">
        <v>893</v>
      </c>
      <c r="O6138" s="10" t="n">
        <v>0.519557126797736</v>
      </c>
      <c r="P6138" s="10" t="n">
        <v>0.164609884377569</v>
      </c>
      <c r="Q6138" s="0" t="str">
        <f aca="false">SUBSTITUTE(SUBSTITUTE($I6138,CHAR(61),""),CHAR(34),"")</f>
        <v>25-34</v>
      </c>
      <c r="R6138" s="0" t="str">
        <f aca="false">IF($D6138&lt;&gt;"","["&amp;$E6138&amp;"]"&amp;"|"&amp;$Q6138&amp;"|"&amp;$K6138&amp;"|"&amp;$G6138&amp;"|"&amp;IF($G6138="TX_CURR_SUBNAT.R","CY2022Q4",$M6138),"")</f>
        <v>[ScR9iFKAasW]|25-34|Female|NEW_INFECTIONS_SUBNAT.T|CY2024Q3</v>
      </c>
    </row>
    <row r="6139" customFormat="false" ht="15" hidden="false" customHeight="false" outlineLevel="0" collapsed="false">
      <c r="D6139" s="0" t="s">
        <v>66</v>
      </c>
      <c r="E6139" s="0" t="s">
        <v>67</v>
      </c>
      <c r="F6139" s="0" t="s">
        <v>68</v>
      </c>
      <c r="G6139" s="0" t="s">
        <v>170</v>
      </c>
      <c r="H6139" s="0" t="s">
        <v>170</v>
      </c>
      <c r="I6139" s="0" t="s">
        <v>43</v>
      </c>
      <c r="J6139" s="0" t="s">
        <v>44</v>
      </c>
      <c r="K6139" s="0" t="s">
        <v>30</v>
      </c>
      <c r="L6139" s="0" t="s">
        <v>31</v>
      </c>
      <c r="M6139" s="0" t="s">
        <v>167</v>
      </c>
      <c r="N6139" s="0" t="n">
        <v>1902</v>
      </c>
      <c r="O6139" s="10" t="n">
        <v>0.563797415234149</v>
      </c>
      <c r="P6139" s="10" t="n">
        <v>0.164609884377569</v>
      </c>
      <c r="Q6139" s="0" t="str">
        <f aca="false">SUBSTITUTE(SUBSTITUTE($I6139,CHAR(61),""),CHAR(34),"")</f>
        <v>35-49</v>
      </c>
      <c r="R6139" s="0" t="str">
        <f aca="false">IF($D6139&lt;&gt;"","["&amp;$E6139&amp;"]"&amp;"|"&amp;$Q6139&amp;"|"&amp;$K6139&amp;"|"&amp;$G6139&amp;"|"&amp;IF($G6139="TX_CURR_SUBNAT.R","CY2022Q4",$M6139),"")</f>
        <v>[ScR9iFKAasW]|35-49|Female|NEW_INFECTIONS_SUBNAT.T|CY2024Q3</v>
      </c>
    </row>
    <row r="6140" customFormat="false" ht="15" hidden="false" customHeight="false" outlineLevel="0" collapsed="false">
      <c r="D6140" s="0" t="s">
        <v>66</v>
      </c>
      <c r="E6140" s="0" t="s">
        <v>67</v>
      </c>
      <c r="F6140" s="0" t="s">
        <v>68</v>
      </c>
      <c r="G6140" s="0" t="s">
        <v>170</v>
      </c>
      <c r="H6140" s="0" t="s">
        <v>170</v>
      </c>
      <c r="I6140" s="0" t="s">
        <v>45</v>
      </c>
      <c r="J6140" s="0" t="s">
        <v>46</v>
      </c>
      <c r="K6140" s="0" t="s">
        <v>30</v>
      </c>
      <c r="L6140" s="0" t="s">
        <v>31</v>
      </c>
      <c r="M6140" s="0" t="s">
        <v>167</v>
      </c>
      <c r="N6140" s="0" t="n">
        <v>1651</v>
      </c>
      <c r="O6140" s="10" t="n">
        <v>0.458532972028479</v>
      </c>
      <c r="P6140" s="10" t="n">
        <v>0.164609884377569</v>
      </c>
      <c r="Q6140" s="0" t="str">
        <f aca="false">SUBSTITUTE(SUBSTITUTE($I6140,CHAR(61),""),CHAR(34),"")</f>
        <v>50+</v>
      </c>
      <c r="R6140" s="0" t="str">
        <f aca="false">IF($D6140&lt;&gt;"","["&amp;$E6140&amp;"]"&amp;"|"&amp;$Q6140&amp;"|"&amp;$K6140&amp;"|"&amp;$G6140&amp;"|"&amp;IF($G6140="TX_CURR_SUBNAT.R","CY2022Q4",$M6140),"")</f>
        <v>[ScR9iFKAasW]|50+|Female|NEW_INFECTIONS_SUBNAT.T|CY2024Q3</v>
      </c>
    </row>
    <row r="6141" customFormat="false" ht="15" hidden="false" customHeight="false" outlineLevel="0" collapsed="false">
      <c r="D6141" s="0" t="s">
        <v>66</v>
      </c>
      <c r="E6141" s="0" t="s">
        <v>67</v>
      </c>
      <c r="F6141" s="0" t="s">
        <v>68</v>
      </c>
      <c r="G6141" s="0" t="s">
        <v>170</v>
      </c>
      <c r="H6141" s="0" t="s">
        <v>170</v>
      </c>
      <c r="I6141" s="0" t="s">
        <v>28</v>
      </c>
      <c r="J6141" s="0" t="s">
        <v>29</v>
      </c>
      <c r="K6141" s="0" t="s">
        <v>48</v>
      </c>
      <c r="L6141" s="0" t="s">
        <v>49</v>
      </c>
      <c r="M6141" s="0" t="s">
        <v>167</v>
      </c>
      <c r="N6141" s="0" t="n">
        <v>1728</v>
      </c>
      <c r="O6141" s="10" t="n">
        <v>0.511441257083789</v>
      </c>
      <c r="P6141" s="10" t="n">
        <v>0.164609884377569</v>
      </c>
      <c r="Q6141" s="0" t="str">
        <f aca="false">SUBSTITUTE(SUBSTITUTE($I6141,CHAR(61),""),CHAR(34),"")</f>
        <v>&lt;01</v>
      </c>
      <c r="R6141" s="0" t="str">
        <f aca="false">IF($D6141&lt;&gt;"","["&amp;$E6141&amp;"]"&amp;"|"&amp;$Q6141&amp;"|"&amp;$K6141&amp;"|"&amp;$G6141&amp;"|"&amp;IF($G6141="TX_CURR_SUBNAT.R","CY2022Q4",$M6141),"")</f>
        <v>[ScR9iFKAasW]|&lt;01|Male|NEW_INFECTIONS_SUBNAT.T|CY2024Q3</v>
      </c>
    </row>
    <row r="6142" customFormat="false" ht="15" hidden="false" customHeight="false" outlineLevel="0" collapsed="false">
      <c r="D6142" s="0" t="s">
        <v>66</v>
      </c>
      <c r="E6142" s="0" t="s">
        <v>67</v>
      </c>
      <c r="F6142" s="0" t="s">
        <v>68</v>
      </c>
      <c r="G6142" s="0" t="s">
        <v>170</v>
      </c>
      <c r="H6142" s="0" t="s">
        <v>170</v>
      </c>
      <c r="I6142" s="0" t="s">
        <v>33</v>
      </c>
      <c r="J6142" s="0" t="s">
        <v>34</v>
      </c>
      <c r="K6142" s="0" t="s">
        <v>48</v>
      </c>
      <c r="L6142" s="0" t="s">
        <v>49</v>
      </c>
      <c r="M6142" s="0" t="s">
        <v>167</v>
      </c>
      <c r="N6142" s="0" t="n">
        <v>1412</v>
      </c>
      <c r="O6142" s="10" t="n">
        <v>0.793603308498859</v>
      </c>
      <c r="P6142" s="10" t="n">
        <v>0.164609884377569</v>
      </c>
      <c r="Q6142" s="0" t="str">
        <f aca="false">SUBSTITUTE(SUBSTITUTE($I6142,CHAR(61),""),CHAR(34),"")</f>
        <v>01-09</v>
      </c>
      <c r="R6142" s="0" t="str">
        <f aca="false">IF($D6142&lt;&gt;"","["&amp;$E6142&amp;"]"&amp;"|"&amp;$Q6142&amp;"|"&amp;$K6142&amp;"|"&amp;$G6142&amp;"|"&amp;IF($G6142="TX_CURR_SUBNAT.R","CY2022Q4",$M6142),"")</f>
        <v>[ScR9iFKAasW]|01-09|Male|NEW_INFECTIONS_SUBNAT.T|CY2024Q3</v>
      </c>
    </row>
    <row r="6143" customFormat="false" ht="15" hidden="false" customHeight="false" outlineLevel="0" collapsed="false">
      <c r="D6143" s="0" t="s">
        <v>66</v>
      </c>
      <c r="E6143" s="0" t="s">
        <v>67</v>
      </c>
      <c r="F6143" s="0" t="s">
        <v>68</v>
      </c>
      <c r="G6143" s="0" t="s">
        <v>170</v>
      </c>
      <c r="H6143" s="0" t="s">
        <v>170</v>
      </c>
      <c r="I6143" s="0" t="s">
        <v>36</v>
      </c>
      <c r="J6143" s="0" t="s">
        <v>37</v>
      </c>
      <c r="K6143" s="0" t="s">
        <v>48</v>
      </c>
      <c r="L6143" s="0" t="s">
        <v>49</v>
      </c>
      <c r="M6143" s="0" t="s">
        <v>167</v>
      </c>
      <c r="N6143" s="0" t="n">
        <v>727</v>
      </c>
      <c r="O6143" s="10" t="n">
        <v>0.627838708460331</v>
      </c>
      <c r="P6143" s="10" t="n">
        <v>0.164609884377569</v>
      </c>
      <c r="Q6143" s="0" t="str">
        <f aca="false">SUBSTITUTE(SUBSTITUTE($I6143,CHAR(61),""),CHAR(34),"")</f>
        <v>10-14</v>
      </c>
      <c r="R6143" s="0" t="str">
        <f aca="false">IF($D6143&lt;&gt;"","["&amp;$E6143&amp;"]"&amp;"|"&amp;$Q6143&amp;"|"&amp;$K6143&amp;"|"&amp;$G6143&amp;"|"&amp;IF($G6143="TX_CURR_SUBNAT.R","CY2022Q4",$M6143),"")</f>
        <v>[ScR9iFKAasW]|10-14|Male|NEW_INFECTIONS_SUBNAT.T|CY2024Q3</v>
      </c>
    </row>
    <row r="6144" customFormat="false" ht="15" hidden="false" customHeight="false" outlineLevel="0" collapsed="false">
      <c r="D6144" s="0" t="s">
        <v>66</v>
      </c>
      <c r="E6144" s="0" t="s">
        <v>67</v>
      </c>
      <c r="F6144" s="0" t="s">
        <v>68</v>
      </c>
      <c r="G6144" s="0" t="s">
        <v>170</v>
      </c>
      <c r="H6144" s="0" t="s">
        <v>170</v>
      </c>
      <c r="I6144" s="0" t="s">
        <v>38</v>
      </c>
      <c r="J6144" s="0" t="s">
        <v>39</v>
      </c>
      <c r="K6144" s="0" t="s">
        <v>48</v>
      </c>
      <c r="L6144" s="0" t="s">
        <v>49</v>
      </c>
      <c r="M6144" s="0" t="s">
        <v>167</v>
      </c>
      <c r="N6144" s="0" t="n">
        <v>1136</v>
      </c>
      <c r="O6144" s="10" t="n">
        <v>0.369217863306403</v>
      </c>
      <c r="P6144" s="10" t="n">
        <v>0.164609884377569</v>
      </c>
      <c r="Q6144" s="0" t="str">
        <f aca="false">SUBSTITUTE(SUBSTITUTE($I6144,CHAR(61),""),CHAR(34),"")</f>
        <v>15-24</v>
      </c>
      <c r="R6144" s="0" t="str">
        <f aca="false">IF($D6144&lt;&gt;"","["&amp;$E6144&amp;"]"&amp;"|"&amp;$Q6144&amp;"|"&amp;$K6144&amp;"|"&amp;$G6144&amp;"|"&amp;IF($G6144="TX_CURR_SUBNAT.R","CY2022Q4",$M6144),"")</f>
        <v>[ScR9iFKAasW]|15-24|Male|NEW_INFECTIONS_SUBNAT.T|CY2024Q3</v>
      </c>
    </row>
    <row r="6145" customFormat="false" ht="15" hidden="false" customHeight="false" outlineLevel="0" collapsed="false">
      <c r="D6145" s="0" t="s">
        <v>66</v>
      </c>
      <c r="E6145" s="0" t="s">
        <v>67</v>
      </c>
      <c r="F6145" s="0" t="s">
        <v>68</v>
      </c>
      <c r="G6145" s="0" t="s">
        <v>170</v>
      </c>
      <c r="H6145" s="0" t="s">
        <v>170</v>
      </c>
      <c r="I6145" s="0" t="s">
        <v>41</v>
      </c>
      <c r="J6145" s="0" t="s">
        <v>42</v>
      </c>
      <c r="K6145" s="0" t="s">
        <v>48</v>
      </c>
      <c r="L6145" s="0" t="s">
        <v>49</v>
      </c>
      <c r="M6145" s="0" t="s">
        <v>167</v>
      </c>
      <c r="N6145" s="0" t="n">
        <v>1272</v>
      </c>
      <c r="O6145" s="10" t="n">
        <v>0.178578410530463</v>
      </c>
      <c r="P6145" s="10" t="n">
        <v>0.164609884377569</v>
      </c>
      <c r="Q6145" s="0" t="str">
        <f aca="false">SUBSTITUTE(SUBSTITUTE($I6145,CHAR(61),""),CHAR(34),"")</f>
        <v>25-34</v>
      </c>
      <c r="R6145" s="0" t="str">
        <f aca="false">IF($D6145&lt;&gt;"","["&amp;$E6145&amp;"]"&amp;"|"&amp;$Q6145&amp;"|"&amp;$K6145&amp;"|"&amp;$G6145&amp;"|"&amp;IF($G6145="TX_CURR_SUBNAT.R","CY2022Q4",$M6145),"")</f>
        <v>[ScR9iFKAasW]|25-34|Male|NEW_INFECTIONS_SUBNAT.T|CY2024Q3</v>
      </c>
    </row>
    <row r="6146" customFormat="false" ht="15" hidden="false" customHeight="false" outlineLevel="0" collapsed="false">
      <c r="D6146" s="0" t="s">
        <v>66</v>
      </c>
      <c r="E6146" s="0" t="s">
        <v>67</v>
      </c>
      <c r="F6146" s="0" t="s">
        <v>68</v>
      </c>
      <c r="G6146" s="0" t="s">
        <v>170</v>
      </c>
      <c r="H6146" s="0" t="s">
        <v>170</v>
      </c>
      <c r="I6146" s="0" t="s">
        <v>43</v>
      </c>
      <c r="J6146" s="0" t="s">
        <v>44</v>
      </c>
      <c r="K6146" s="0" t="s">
        <v>48</v>
      </c>
      <c r="L6146" s="0" t="s">
        <v>49</v>
      </c>
      <c r="M6146" s="0" t="s">
        <v>167</v>
      </c>
      <c r="N6146" s="0" t="n">
        <v>1170</v>
      </c>
      <c r="O6146" s="10" t="n">
        <v>0.523577787680551</v>
      </c>
      <c r="P6146" s="10" t="n">
        <v>0.164609884377569</v>
      </c>
      <c r="Q6146" s="0" t="str">
        <f aca="false">SUBSTITUTE(SUBSTITUTE($I6146,CHAR(61),""),CHAR(34),"")</f>
        <v>35-49</v>
      </c>
      <c r="R6146" s="0" t="str">
        <f aca="false">IF($D6146&lt;&gt;"","["&amp;$E6146&amp;"]"&amp;"|"&amp;$Q6146&amp;"|"&amp;$K6146&amp;"|"&amp;$G6146&amp;"|"&amp;IF($G6146="TX_CURR_SUBNAT.R","CY2022Q4",$M6146),"")</f>
        <v>[ScR9iFKAasW]|35-49|Male|NEW_INFECTIONS_SUBNAT.T|CY2024Q3</v>
      </c>
    </row>
    <row r="6147" customFormat="false" ht="15" hidden="false" customHeight="false" outlineLevel="0" collapsed="false">
      <c r="D6147" s="0" t="s">
        <v>66</v>
      </c>
      <c r="E6147" s="0" t="s">
        <v>67</v>
      </c>
      <c r="F6147" s="0" t="s">
        <v>68</v>
      </c>
      <c r="G6147" s="0" t="s">
        <v>170</v>
      </c>
      <c r="H6147" s="0" t="s">
        <v>170</v>
      </c>
      <c r="I6147" s="0" t="s">
        <v>45</v>
      </c>
      <c r="J6147" s="0" t="s">
        <v>46</v>
      </c>
      <c r="K6147" s="0" t="s">
        <v>48</v>
      </c>
      <c r="L6147" s="0" t="s">
        <v>49</v>
      </c>
      <c r="M6147" s="0" t="s">
        <v>167</v>
      </c>
      <c r="N6147" s="0" t="n">
        <v>1188</v>
      </c>
      <c r="O6147" s="10" t="n">
        <v>0.783388266107067</v>
      </c>
      <c r="P6147" s="10" t="n">
        <v>0.164609884377569</v>
      </c>
      <c r="Q6147" s="0" t="str">
        <f aca="false">SUBSTITUTE(SUBSTITUTE($I6147,CHAR(61),""),CHAR(34),"")</f>
        <v>50+</v>
      </c>
      <c r="R6147" s="0" t="str">
        <f aca="false">IF($D6147&lt;&gt;"","["&amp;$E6147&amp;"]"&amp;"|"&amp;$Q6147&amp;"|"&amp;$K6147&amp;"|"&amp;$G6147&amp;"|"&amp;IF($G6147="TX_CURR_SUBNAT.R","CY2022Q4",$M6147),"")</f>
        <v>[ScR9iFKAasW]|50+|Male|NEW_INFECTIONS_SUBNAT.T|CY2024Q3</v>
      </c>
    </row>
    <row r="6148" customFormat="false" ht="15" hidden="false" customHeight="false" outlineLevel="0" collapsed="false">
      <c r="D6148" s="0" t="s">
        <v>69</v>
      </c>
      <c r="E6148" s="0" t="s">
        <v>70</v>
      </c>
      <c r="F6148" s="0" t="s">
        <v>71</v>
      </c>
      <c r="G6148" s="0" t="s">
        <v>170</v>
      </c>
      <c r="H6148" s="0" t="s">
        <v>170</v>
      </c>
      <c r="I6148" s="0" t="s">
        <v>28</v>
      </c>
      <c r="J6148" s="0" t="s">
        <v>29</v>
      </c>
      <c r="K6148" s="0" t="s">
        <v>30</v>
      </c>
      <c r="L6148" s="0" t="s">
        <v>31</v>
      </c>
      <c r="M6148" s="0" t="s">
        <v>167</v>
      </c>
      <c r="N6148" s="0" t="n">
        <v>1953</v>
      </c>
      <c r="O6148" s="10" t="n">
        <v>0.75952389347367</v>
      </c>
      <c r="P6148" s="10" t="n">
        <v>0.198817263124511</v>
      </c>
      <c r="Q6148" s="0" t="str">
        <f aca="false">SUBSTITUTE(SUBSTITUTE($I6148,CHAR(61),""),CHAR(34),"")</f>
        <v>&lt;01</v>
      </c>
      <c r="R6148" s="0" t="str">
        <f aca="false">IF($D6148&lt;&gt;"","["&amp;$E6148&amp;"]"&amp;"|"&amp;$Q6148&amp;"|"&amp;$K6148&amp;"|"&amp;$G6148&amp;"|"&amp;IF($G6148="TX_CURR_SUBNAT.R","CY2022Q4",$M6148),"")</f>
        <v>[PekKUkKHAzY]|&lt;01|Female|NEW_INFECTIONS_SUBNAT.T|CY2024Q3</v>
      </c>
    </row>
    <row r="6149" customFormat="false" ht="15" hidden="false" customHeight="false" outlineLevel="0" collapsed="false">
      <c r="D6149" s="0" t="s">
        <v>69</v>
      </c>
      <c r="E6149" s="0" t="s">
        <v>70</v>
      </c>
      <c r="F6149" s="0" t="s">
        <v>71</v>
      </c>
      <c r="G6149" s="0" t="s">
        <v>170</v>
      </c>
      <c r="H6149" s="0" t="s">
        <v>170</v>
      </c>
      <c r="I6149" s="0" t="s">
        <v>33</v>
      </c>
      <c r="J6149" s="0" t="s">
        <v>34</v>
      </c>
      <c r="K6149" s="0" t="s">
        <v>30</v>
      </c>
      <c r="L6149" s="0" t="s">
        <v>31</v>
      </c>
      <c r="M6149" s="0" t="s">
        <v>167</v>
      </c>
      <c r="N6149" s="0" t="n">
        <v>594</v>
      </c>
      <c r="O6149" s="10" t="n">
        <v>0.786925601540133</v>
      </c>
      <c r="P6149" s="10" t="n">
        <v>0.198817263124511</v>
      </c>
      <c r="Q6149" s="0" t="str">
        <f aca="false">SUBSTITUTE(SUBSTITUTE($I6149,CHAR(61),""),CHAR(34),"")</f>
        <v>01-09</v>
      </c>
      <c r="R6149" s="0" t="str">
        <f aca="false">IF($D6149&lt;&gt;"","["&amp;$E6149&amp;"]"&amp;"|"&amp;$Q6149&amp;"|"&amp;$K6149&amp;"|"&amp;$G6149&amp;"|"&amp;IF($G6149="TX_CURR_SUBNAT.R","CY2022Q4",$M6149),"")</f>
        <v>[PekKUkKHAzY]|01-09|Female|NEW_INFECTIONS_SUBNAT.T|CY2024Q3</v>
      </c>
    </row>
    <row r="6150" customFormat="false" ht="15" hidden="false" customHeight="false" outlineLevel="0" collapsed="false">
      <c r="D6150" s="0" t="s">
        <v>69</v>
      </c>
      <c r="E6150" s="0" t="s">
        <v>70</v>
      </c>
      <c r="F6150" s="0" t="s">
        <v>71</v>
      </c>
      <c r="G6150" s="0" t="s">
        <v>170</v>
      </c>
      <c r="H6150" s="0" t="s">
        <v>170</v>
      </c>
      <c r="I6150" s="0" t="s">
        <v>36</v>
      </c>
      <c r="J6150" s="0" t="s">
        <v>37</v>
      </c>
      <c r="K6150" s="0" t="s">
        <v>30</v>
      </c>
      <c r="L6150" s="0" t="s">
        <v>31</v>
      </c>
      <c r="M6150" s="0" t="s">
        <v>167</v>
      </c>
      <c r="N6150" s="0" t="n">
        <v>1215</v>
      </c>
      <c r="O6150" s="10" t="n">
        <v>0.201551175676286</v>
      </c>
      <c r="P6150" s="10" t="n">
        <v>0.198817263124511</v>
      </c>
      <c r="Q6150" s="0" t="str">
        <f aca="false">SUBSTITUTE(SUBSTITUTE($I6150,CHAR(61),""),CHAR(34),"")</f>
        <v>10-14</v>
      </c>
      <c r="R6150" s="0" t="str">
        <f aca="false">IF($D6150&lt;&gt;"","["&amp;$E6150&amp;"]"&amp;"|"&amp;$Q6150&amp;"|"&amp;$K6150&amp;"|"&amp;$G6150&amp;"|"&amp;IF($G6150="TX_CURR_SUBNAT.R","CY2022Q4",$M6150),"")</f>
        <v>[PekKUkKHAzY]|10-14|Female|NEW_INFECTIONS_SUBNAT.T|CY2024Q3</v>
      </c>
    </row>
    <row r="6151" customFormat="false" ht="15" hidden="false" customHeight="false" outlineLevel="0" collapsed="false">
      <c r="D6151" s="0" t="s">
        <v>69</v>
      </c>
      <c r="E6151" s="0" t="s">
        <v>70</v>
      </c>
      <c r="F6151" s="0" t="s">
        <v>71</v>
      </c>
      <c r="G6151" s="0" t="s">
        <v>170</v>
      </c>
      <c r="H6151" s="0" t="s">
        <v>170</v>
      </c>
      <c r="I6151" s="0" t="s">
        <v>38</v>
      </c>
      <c r="J6151" s="0" t="s">
        <v>39</v>
      </c>
      <c r="K6151" s="0" t="s">
        <v>30</v>
      </c>
      <c r="L6151" s="0" t="s">
        <v>31</v>
      </c>
      <c r="M6151" s="0" t="s">
        <v>167</v>
      </c>
      <c r="N6151" s="0" t="n">
        <v>1002</v>
      </c>
      <c r="O6151" s="10" t="n">
        <v>0.462847186718136</v>
      </c>
      <c r="P6151" s="10" t="n">
        <v>0.198817263124511</v>
      </c>
      <c r="Q6151" s="0" t="str">
        <f aca="false">SUBSTITUTE(SUBSTITUTE($I6151,CHAR(61),""),CHAR(34),"")</f>
        <v>15-24</v>
      </c>
      <c r="R6151" s="0" t="str">
        <f aca="false">IF($D6151&lt;&gt;"","["&amp;$E6151&amp;"]"&amp;"|"&amp;$Q6151&amp;"|"&amp;$K6151&amp;"|"&amp;$G6151&amp;"|"&amp;IF($G6151="TX_CURR_SUBNAT.R","CY2022Q4",$M6151),"")</f>
        <v>[PekKUkKHAzY]|15-24|Female|NEW_INFECTIONS_SUBNAT.T|CY2024Q3</v>
      </c>
    </row>
    <row r="6152" customFormat="false" ht="15" hidden="false" customHeight="false" outlineLevel="0" collapsed="false">
      <c r="D6152" s="0" t="s">
        <v>69</v>
      </c>
      <c r="E6152" s="0" t="s">
        <v>70</v>
      </c>
      <c r="F6152" s="0" t="s">
        <v>71</v>
      </c>
      <c r="G6152" s="0" t="s">
        <v>170</v>
      </c>
      <c r="H6152" s="0" t="s">
        <v>170</v>
      </c>
      <c r="I6152" s="0" t="s">
        <v>41</v>
      </c>
      <c r="J6152" s="0" t="s">
        <v>42</v>
      </c>
      <c r="K6152" s="0" t="s">
        <v>30</v>
      </c>
      <c r="L6152" s="0" t="s">
        <v>31</v>
      </c>
      <c r="M6152" s="0" t="s">
        <v>167</v>
      </c>
      <c r="N6152" s="0" t="n">
        <v>1679</v>
      </c>
      <c r="O6152" s="10" t="n">
        <v>0.496989310951903</v>
      </c>
      <c r="P6152" s="10" t="n">
        <v>0.198817263124511</v>
      </c>
      <c r="Q6152" s="0" t="str">
        <f aca="false">SUBSTITUTE(SUBSTITUTE($I6152,CHAR(61),""),CHAR(34),"")</f>
        <v>25-34</v>
      </c>
      <c r="R6152" s="0" t="str">
        <f aca="false">IF($D6152&lt;&gt;"","["&amp;$E6152&amp;"]"&amp;"|"&amp;$Q6152&amp;"|"&amp;$K6152&amp;"|"&amp;$G6152&amp;"|"&amp;IF($G6152="TX_CURR_SUBNAT.R","CY2022Q4",$M6152),"")</f>
        <v>[PekKUkKHAzY]|25-34|Female|NEW_INFECTIONS_SUBNAT.T|CY2024Q3</v>
      </c>
    </row>
    <row r="6153" customFormat="false" ht="15" hidden="false" customHeight="false" outlineLevel="0" collapsed="false">
      <c r="D6153" s="0" t="s">
        <v>69</v>
      </c>
      <c r="E6153" s="0" t="s">
        <v>70</v>
      </c>
      <c r="F6153" s="0" t="s">
        <v>71</v>
      </c>
      <c r="G6153" s="0" t="s">
        <v>170</v>
      </c>
      <c r="H6153" s="0" t="s">
        <v>170</v>
      </c>
      <c r="I6153" s="0" t="s">
        <v>43</v>
      </c>
      <c r="J6153" s="0" t="s">
        <v>44</v>
      </c>
      <c r="K6153" s="0" t="s">
        <v>30</v>
      </c>
      <c r="L6153" s="0" t="s">
        <v>31</v>
      </c>
      <c r="M6153" s="0" t="s">
        <v>167</v>
      </c>
      <c r="N6153" s="0" t="n">
        <v>1268</v>
      </c>
      <c r="O6153" s="10" t="n">
        <v>0.790665786713362</v>
      </c>
      <c r="P6153" s="10" t="n">
        <v>0.198817263124511</v>
      </c>
      <c r="Q6153" s="0" t="str">
        <f aca="false">SUBSTITUTE(SUBSTITUTE($I6153,CHAR(61),""),CHAR(34),"")</f>
        <v>35-49</v>
      </c>
      <c r="R6153" s="0" t="str">
        <f aca="false">IF($D6153&lt;&gt;"","["&amp;$E6153&amp;"]"&amp;"|"&amp;$Q6153&amp;"|"&amp;$K6153&amp;"|"&amp;$G6153&amp;"|"&amp;IF($G6153="TX_CURR_SUBNAT.R","CY2022Q4",$M6153),"")</f>
        <v>[PekKUkKHAzY]|35-49|Female|NEW_INFECTIONS_SUBNAT.T|CY2024Q3</v>
      </c>
    </row>
    <row r="6154" customFormat="false" ht="15" hidden="false" customHeight="false" outlineLevel="0" collapsed="false">
      <c r="D6154" s="0" t="s">
        <v>69</v>
      </c>
      <c r="E6154" s="0" t="s">
        <v>70</v>
      </c>
      <c r="F6154" s="0" t="s">
        <v>71</v>
      </c>
      <c r="G6154" s="0" t="s">
        <v>170</v>
      </c>
      <c r="H6154" s="0" t="s">
        <v>170</v>
      </c>
      <c r="I6154" s="0" t="s">
        <v>45</v>
      </c>
      <c r="J6154" s="0" t="s">
        <v>46</v>
      </c>
      <c r="K6154" s="0" t="s">
        <v>30</v>
      </c>
      <c r="L6154" s="0" t="s">
        <v>31</v>
      </c>
      <c r="M6154" s="0" t="s">
        <v>167</v>
      </c>
      <c r="N6154" s="0" t="n">
        <v>1453</v>
      </c>
      <c r="O6154" s="10" t="n">
        <v>0.515468161553144</v>
      </c>
      <c r="P6154" s="10" t="n">
        <v>0.198817263124511</v>
      </c>
      <c r="Q6154" s="0" t="str">
        <f aca="false">SUBSTITUTE(SUBSTITUTE($I6154,CHAR(61),""),CHAR(34),"")</f>
        <v>50+</v>
      </c>
      <c r="R6154" s="0" t="str">
        <f aca="false">IF($D6154&lt;&gt;"","["&amp;$E6154&amp;"]"&amp;"|"&amp;$Q6154&amp;"|"&amp;$K6154&amp;"|"&amp;$G6154&amp;"|"&amp;IF($G6154="TX_CURR_SUBNAT.R","CY2022Q4",$M6154),"")</f>
        <v>[PekKUkKHAzY]|50+|Female|NEW_INFECTIONS_SUBNAT.T|CY2024Q3</v>
      </c>
    </row>
    <row r="6155" customFormat="false" ht="15" hidden="false" customHeight="false" outlineLevel="0" collapsed="false">
      <c r="D6155" s="0" t="s">
        <v>69</v>
      </c>
      <c r="E6155" s="0" t="s">
        <v>70</v>
      </c>
      <c r="F6155" s="0" t="s">
        <v>71</v>
      </c>
      <c r="G6155" s="0" t="s">
        <v>170</v>
      </c>
      <c r="H6155" s="0" t="s">
        <v>170</v>
      </c>
      <c r="I6155" s="0" t="s">
        <v>28</v>
      </c>
      <c r="J6155" s="0" t="s">
        <v>29</v>
      </c>
      <c r="K6155" s="0" t="s">
        <v>48</v>
      </c>
      <c r="L6155" s="0" t="s">
        <v>49</v>
      </c>
      <c r="M6155" s="0" t="s">
        <v>167</v>
      </c>
      <c r="N6155" s="0" t="n">
        <v>932</v>
      </c>
      <c r="O6155" s="10" t="n">
        <v>0.281843365170062</v>
      </c>
      <c r="P6155" s="10" t="n">
        <v>0.198817263124511</v>
      </c>
      <c r="Q6155" s="0" t="str">
        <f aca="false">SUBSTITUTE(SUBSTITUTE($I6155,CHAR(61),""),CHAR(34),"")</f>
        <v>&lt;01</v>
      </c>
      <c r="R6155" s="0" t="str">
        <f aca="false">IF($D6155&lt;&gt;"","["&amp;$E6155&amp;"]"&amp;"|"&amp;$Q6155&amp;"|"&amp;$K6155&amp;"|"&amp;$G6155&amp;"|"&amp;IF($G6155="TX_CURR_SUBNAT.R","CY2022Q4",$M6155),"")</f>
        <v>[PekKUkKHAzY]|&lt;01|Male|NEW_INFECTIONS_SUBNAT.T|CY2024Q3</v>
      </c>
    </row>
    <row r="6156" customFormat="false" ht="15" hidden="false" customHeight="false" outlineLevel="0" collapsed="false">
      <c r="D6156" s="0" t="s">
        <v>69</v>
      </c>
      <c r="E6156" s="0" t="s">
        <v>70</v>
      </c>
      <c r="F6156" s="0" t="s">
        <v>71</v>
      </c>
      <c r="G6156" s="0" t="s">
        <v>170</v>
      </c>
      <c r="H6156" s="0" t="s">
        <v>170</v>
      </c>
      <c r="I6156" s="0" t="s">
        <v>33</v>
      </c>
      <c r="J6156" s="0" t="s">
        <v>34</v>
      </c>
      <c r="K6156" s="0" t="s">
        <v>48</v>
      </c>
      <c r="L6156" s="0" t="s">
        <v>49</v>
      </c>
      <c r="M6156" s="0" t="s">
        <v>167</v>
      </c>
      <c r="N6156" s="0" t="n">
        <v>1754</v>
      </c>
      <c r="O6156" s="10" t="n">
        <v>0.340365805197507</v>
      </c>
      <c r="P6156" s="10" t="n">
        <v>0.198817263124511</v>
      </c>
      <c r="Q6156" s="0" t="str">
        <f aca="false">SUBSTITUTE(SUBSTITUTE($I6156,CHAR(61),""),CHAR(34),"")</f>
        <v>01-09</v>
      </c>
      <c r="R6156" s="0" t="str">
        <f aca="false">IF($D6156&lt;&gt;"","["&amp;$E6156&amp;"]"&amp;"|"&amp;$Q6156&amp;"|"&amp;$K6156&amp;"|"&amp;$G6156&amp;"|"&amp;IF($G6156="TX_CURR_SUBNAT.R","CY2022Q4",$M6156),"")</f>
        <v>[PekKUkKHAzY]|01-09|Male|NEW_INFECTIONS_SUBNAT.T|CY2024Q3</v>
      </c>
    </row>
    <row r="6157" customFormat="false" ht="15" hidden="false" customHeight="false" outlineLevel="0" collapsed="false">
      <c r="D6157" s="0" t="s">
        <v>69</v>
      </c>
      <c r="E6157" s="0" t="s">
        <v>70</v>
      </c>
      <c r="F6157" s="0" t="s">
        <v>71</v>
      </c>
      <c r="G6157" s="0" t="s">
        <v>170</v>
      </c>
      <c r="H6157" s="0" t="s">
        <v>170</v>
      </c>
      <c r="I6157" s="0" t="s">
        <v>36</v>
      </c>
      <c r="J6157" s="0" t="s">
        <v>37</v>
      </c>
      <c r="K6157" s="0" t="s">
        <v>48</v>
      </c>
      <c r="L6157" s="0" t="s">
        <v>49</v>
      </c>
      <c r="M6157" s="0" t="s">
        <v>167</v>
      </c>
      <c r="N6157" s="0" t="n">
        <v>1961</v>
      </c>
      <c r="O6157" s="10" t="n">
        <v>0.716173396445811</v>
      </c>
      <c r="P6157" s="10" t="n">
        <v>0.198817263124511</v>
      </c>
      <c r="Q6157" s="0" t="str">
        <f aca="false">SUBSTITUTE(SUBSTITUTE($I6157,CHAR(61),""),CHAR(34),"")</f>
        <v>10-14</v>
      </c>
      <c r="R6157" s="0" t="str">
        <f aca="false">IF($D6157&lt;&gt;"","["&amp;$E6157&amp;"]"&amp;"|"&amp;$Q6157&amp;"|"&amp;$K6157&amp;"|"&amp;$G6157&amp;"|"&amp;IF($G6157="TX_CURR_SUBNAT.R","CY2022Q4",$M6157),"")</f>
        <v>[PekKUkKHAzY]|10-14|Male|NEW_INFECTIONS_SUBNAT.T|CY2024Q3</v>
      </c>
    </row>
    <row r="6158" customFormat="false" ht="15" hidden="false" customHeight="false" outlineLevel="0" collapsed="false">
      <c r="D6158" s="0" t="s">
        <v>69</v>
      </c>
      <c r="E6158" s="0" t="s">
        <v>70</v>
      </c>
      <c r="F6158" s="0" t="s">
        <v>71</v>
      </c>
      <c r="G6158" s="0" t="s">
        <v>170</v>
      </c>
      <c r="H6158" s="0" t="s">
        <v>170</v>
      </c>
      <c r="I6158" s="0" t="s">
        <v>38</v>
      </c>
      <c r="J6158" s="0" t="s">
        <v>39</v>
      </c>
      <c r="K6158" s="0" t="s">
        <v>48</v>
      </c>
      <c r="L6158" s="0" t="s">
        <v>49</v>
      </c>
      <c r="M6158" s="0" t="s">
        <v>167</v>
      </c>
      <c r="N6158" s="0" t="n">
        <v>1720</v>
      </c>
      <c r="O6158" s="10" t="n">
        <v>0.775822775438428</v>
      </c>
      <c r="P6158" s="10" t="n">
        <v>0.198817263124511</v>
      </c>
      <c r="Q6158" s="0" t="str">
        <f aca="false">SUBSTITUTE(SUBSTITUTE($I6158,CHAR(61),""),CHAR(34),"")</f>
        <v>15-24</v>
      </c>
      <c r="R6158" s="0" t="str">
        <f aca="false">IF($D6158&lt;&gt;"","["&amp;$E6158&amp;"]"&amp;"|"&amp;$Q6158&amp;"|"&amp;$K6158&amp;"|"&amp;$G6158&amp;"|"&amp;IF($G6158="TX_CURR_SUBNAT.R","CY2022Q4",$M6158),"")</f>
        <v>[PekKUkKHAzY]|15-24|Male|NEW_INFECTIONS_SUBNAT.T|CY2024Q3</v>
      </c>
    </row>
    <row r="6159" customFormat="false" ht="15" hidden="false" customHeight="false" outlineLevel="0" collapsed="false">
      <c r="D6159" s="0" t="s">
        <v>69</v>
      </c>
      <c r="E6159" s="0" t="s">
        <v>70</v>
      </c>
      <c r="F6159" s="0" t="s">
        <v>71</v>
      </c>
      <c r="G6159" s="0" t="s">
        <v>170</v>
      </c>
      <c r="H6159" s="0" t="s">
        <v>170</v>
      </c>
      <c r="I6159" s="0" t="s">
        <v>41</v>
      </c>
      <c r="J6159" s="0" t="s">
        <v>42</v>
      </c>
      <c r="K6159" s="0" t="s">
        <v>48</v>
      </c>
      <c r="L6159" s="0" t="s">
        <v>49</v>
      </c>
      <c r="M6159" s="0" t="s">
        <v>167</v>
      </c>
      <c r="N6159" s="0" t="n">
        <v>1377</v>
      </c>
      <c r="O6159" s="10" t="n">
        <v>0.0483107615727931</v>
      </c>
      <c r="P6159" s="10" t="n">
        <v>0.198817263124511</v>
      </c>
      <c r="Q6159" s="0" t="str">
        <f aca="false">SUBSTITUTE(SUBSTITUTE($I6159,CHAR(61),""),CHAR(34),"")</f>
        <v>25-34</v>
      </c>
      <c r="R6159" s="0" t="str">
        <f aca="false">IF($D6159&lt;&gt;"","["&amp;$E6159&amp;"]"&amp;"|"&amp;$Q6159&amp;"|"&amp;$K6159&amp;"|"&amp;$G6159&amp;"|"&amp;IF($G6159="TX_CURR_SUBNAT.R","CY2022Q4",$M6159),"")</f>
        <v>[PekKUkKHAzY]|25-34|Male|NEW_INFECTIONS_SUBNAT.T|CY2024Q3</v>
      </c>
    </row>
    <row r="6160" customFormat="false" ht="15" hidden="false" customHeight="false" outlineLevel="0" collapsed="false">
      <c r="D6160" s="0" t="s">
        <v>69</v>
      </c>
      <c r="E6160" s="0" t="s">
        <v>70</v>
      </c>
      <c r="F6160" s="0" t="s">
        <v>71</v>
      </c>
      <c r="G6160" s="0" t="s">
        <v>170</v>
      </c>
      <c r="H6160" s="0" t="s">
        <v>170</v>
      </c>
      <c r="I6160" s="0" t="s">
        <v>43</v>
      </c>
      <c r="J6160" s="0" t="s">
        <v>44</v>
      </c>
      <c r="K6160" s="0" t="s">
        <v>48</v>
      </c>
      <c r="L6160" s="0" t="s">
        <v>49</v>
      </c>
      <c r="M6160" s="0" t="s">
        <v>167</v>
      </c>
      <c r="N6160" s="0" t="n">
        <v>1732</v>
      </c>
      <c r="O6160" s="10" t="n">
        <v>0.0650423811748624</v>
      </c>
      <c r="P6160" s="10" t="n">
        <v>0.198817263124511</v>
      </c>
      <c r="Q6160" s="0" t="str">
        <f aca="false">SUBSTITUTE(SUBSTITUTE($I6160,CHAR(61),""),CHAR(34),"")</f>
        <v>35-49</v>
      </c>
      <c r="R6160" s="0" t="str">
        <f aca="false">IF($D6160&lt;&gt;"","["&amp;$E6160&amp;"]"&amp;"|"&amp;$Q6160&amp;"|"&amp;$K6160&amp;"|"&amp;$G6160&amp;"|"&amp;IF($G6160="TX_CURR_SUBNAT.R","CY2022Q4",$M6160),"")</f>
        <v>[PekKUkKHAzY]|35-49|Male|NEW_INFECTIONS_SUBNAT.T|CY2024Q3</v>
      </c>
    </row>
    <row r="6161" customFormat="false" ht="15" hidden="false" customHeight="false" outlineLevel="0" collapsed="false">
      <c r="D6161" s="0" t="s">
        <v>69</v>
      </c>
      <c r="E6161" s="0" t="s">
        <v>70</v>
      </c>
      <c r="F6161" s="0" t="s">
        <v>71</v>
      </c>
      <c r="G6161" s="0" t="s">
        <v>170</v>
      </c>
      <c r="H6161" s="0" t="s">
        <v>170</v>
      </c>
      <c r="I6161" s="0" t="s">
        <v>45</v>
      </c>
      <c r="J6161" s="0" t="s">
        <v>46</v>
      </c>
      <c r="K6161" s="0" t="s">
        <v>48</v>
      </c>
      <c r="L6161" s="0" t="s">
        <v>49</v>
      </c>
      <c r="M6161" s="0" t="s">
        <v>167</v>
      </c>
      <c r="N6161" s="0" t="n">
        <v>701</v>
      </c>
      <c r="O6161" s="10" t="n">
        <v>0.0355969083029777</v>
      </c>
      <c r="P6161" s="10" t="n">
        <v>0.198817263124511</v>
      </c>
      <c r="Q6161" s="0" t="str">
        <f aca="false">SUBSTITUTE(SUBSTITUTE($I6161,CHAR(61),""),CHAR(34),"")</f>
        <v>50+</v>
      </c>
      <c r="R6161" s="0" t="str">
        <f aca="false">IF($D6161&lt;&gt;"","["&amp;$E6161&amp;"]"&amp;"|"&amp;$Q6161&amp;"|"&amp;$K6161&amp;"|"&amp;$G6161&amp;"|"&amp;IF($G6161="TX_CURR_SUBNAT.R","CY2022Q4",$M6161),"")</f>
        <v>[PekKUkKHAzY]|50+|Male|NEW_INFECTIONS_SUBNAT.T|CY2024Q3</v>
      </c>
    </row>
    <row r="6162" customFormat="false" ht="15" hidden="false" customHeight="false" outlineLevel="0" collapsed="false">
      <c r="D6162" s="0" t="s">
        <v>72</v>
      </c>
      <c r="E6162" s="0" t="s">
        <v>73</v>
      </c>
      <c r="F6162" s="0" t="s">
        <v>74</v>
      </c>
      <c r="G6162" s="0" t="s">
        <v>170</v>
      </c>
      <c r="H6162" s="0" t="s">
        <v>170</v>
      </c>
      <c r="I6162" s="0" t="s">
        <v>28</v>
      </c>
      <c r="J6162" s="0" t="s">
        <v>29</v>
      </c>
      <c r="K6162" s="0" t="s">
        <v>30</v>
      </c>
      <c r="L6162" s="0" t="s">
        <v>31</v>
      </c>
      <c r="M6162" s="0" t="s">
        <v>167</v>
      </c>
      <c r="N6162" s="0" t="n">
        <v>797</v>
      </c>
      <c r="O6162" s="10" t="n">
        <v>0.719279268523678</v>
      </c>
      <c r="P6162" s="10" t="n">
        <v>0.289728706935421</v>
      </c>
      <c r="Q6162" s="0" t="str">
        <f aca="false">SUBSTITUTE(SUBSTITUTE($I6162,CHAR(61),""),CHAR(34),"")</f>
        <v>&lt;01</v>
      </c>
      <c r="R6162" s="0" t="str">
        <f aca="false">IF($D6162&lt;&gt;"","["&amp;$E6162&amp;"]"&amp;"|"&amp;$Q6162&amp;"|"&amp;$K6162&amp;"|"&amp;$G6162&amp;"|"&amp;IF($G6162="TX_CURR_SUBNAT.R","CY2022Q4",$M6162),"")</f>
        <v>[am530wpaGvr]|&lt;01|Female|NEW_INFECTIONS_SUBNAT.T|CY2024Q3</v>
      </c>
    </row>
    <row r="6163" customFormat="false" ht="15" hidden="false" customHeight="false" outlineLevel="0" collapsed="false">
      <c r="D6163" s="0" t="s">
        <v>72</v>
      </c>
      <c r="E6163" s="0" t="s">
        <v>73</v>
      </c>
      <c r="F6163" s="0" t="s">
        <v>74</v>
      </c>
      <c r="G6163" s="0" t="s">
        <v>170</v>
      </c>
      <c r="H6163" s="0" t="s">
        <v>170</v>
      </c>
      <c r="I6163" s="0" t="s">
        <v>33</v>
      </c>
      <c r="J6163" s="0" t="s">
        <v>34</v>
      </c>
      <c r="K6163" s="0" t="s">
        <v>30</v>
      </c>
      <c r="L6163" s="0" t="s">
        <v>31</v>
      </c>
      <c r="M6163" s="0" t="s">
        <v>167</v>
      </c>
      <c r="N6163" s="0" t="n">
        <v>1113</v>
      </c>
      <c r="O6163" s="10" t="n">
        <v>0.587122401222587</v>
      </c>
      <c r="P6163" s="10" t="n">
        <v>0.289728706935421</v>
      </c>
      <c r="Q6163" s="0" t="str">
        <f aca="false">SUBSTITUTE(SUBSTITUTE($I6163,CHAR(61),""),CHAR(34),"")</f>
        <v>01-09</v>
      </c>
      <c r="R6163" s="0" t="str">
        <f aca="false">IF($D6163&lt;&gt;"","["&amp;$E6163&amp;"]"&amp;"|"&amp;$Q6163&amp;"|"&amp;$K6163&amp;"|"&amp;$G6163&amp;"|"&amp;IF($G6163="TX_CURR_SUBNAT.R","CY2022Q4",$M6163),"")</f>
        <v>[am530wpaGvr]|01-09|Female|NEW_INFECTIONS_SUBNAT.T|CY2024Q3</v>
      </c>
    </row>
    <row r="6164" customFormat="false" ht="15" hidden="false" customHeight="false" outlineLevel="0" collapsed="false">
      <c r="D6164" s="0" t="s">
        <v>72</v>
      </c>
      <c r="E6164" s="0" t="s">
        <v>73</v>
      </c>
      <c r="F6164" s="0" t="s">
        <v>74</v>
      </c>
      <c r="G6164" s="0" t="s">
        <v>170</v>
      </c>
      <c r="H6164" s="0" t="s">
        <v>170</v>
      </c>
      <c r="I6164" s="0" t="s">
        <v>36</v>
      </c>
      <c r="J6164" s="0" t="s">
        <v>37</v>
      </c>
      <c r="K6164" s="0" t="s">
        <v>30</v>
      </c>
      <c r="L6164" s="0" t="s">
        <v>31</v>
      </c>
      <c r="M6164" s="0" t="s">
        <v>167</v>
      </c>
      <c r="N6164" s="0" t="n">
        <v>1189</v>
      </c>
      <c r="O6164" s="10" t="n">
        <v>0.448898076545447</v>
      </c>
      <c r="P6164" s="10" t="n">
        <v>0.289728706935421</v>
      </c>
      <c r="Q6164" s="0" t="str">
        <f aca="false">SUBSTITUTE(SUBSTITUTE($I6164,CHAR(61),""),CHAR(34),"")</f>
        <v>10-14</v>
      </c>
      <c r="R6164" s="0" t="str">
        <f aca="false">IF($D6164&lt;&gt;"","["&amp;$E6164&amp;"]"&amp;"|"&amp;$Q6164&amp;"|"&amp;$K6164&amp;"|"&amp;$G6164&amp;"|"&amp;IF($G6164="TX_CURR_SUBNAT.R","CY2022Q4",$M6164),"")</f>
        <v>[am530wpaGvr]|10-14|Female|NEW_INFECTIONS_SUBNAT.T|CY2024Q3</v>
      </c>
    </row>
    <row r="6165" customFormat="false" ht="15" hidden="false" customHeight="false" outlineLevel="0" collapsed="false">
      <c r="D6165" s="0" t="s">
        <v>72</v>
      </c>
      <c r="E6165" s="0" t="s">
        <v>73</v>
      </c>
      <c r="F6165" s="0" t="s">
        <v>74</v>
      </c>
      <c r="G6165" s="0" t="s">
        <v>170</v>
      </c>
      <c r="H6165" s="0" t="s">
        <v>170</v>
      </c>
      <c r="I6165" s="0" t="s">
        <v>38</v>
      </c>
      <c r="J6165" s="0" t="s">
        <v>39</v>
      </c>
      <c r="K6165" s="0" t="s">
        <v>30</v>
      </c>
      <c r="L6165" s="0" t="s">
        <v>31</v>
      </c>
      <c r="M6165" s="0" t="s">
        <v>167</v>
      </c>
      <c r="N6165" s="0" t="n">
        <v>1326</v>
      </c>
      <c r="O6165" s="10" t="n">
        <v>0.536404295591637</v>
      </c>
      <c r="P6165" s="10" t="n">
        <v>0.289728706935421</v>
      </c>
      <c r="Q6165" s="0" t="str">
        <f aca="false">SUBSTITUTE(SUBSTITUTE($I6165,CHAR(61),""),CHAR(34),"")</f>
        <v>15-24</v>
      </c>
      <c r="R6165" s="0" t="str">
        <f aca="false">IF($D6165&lt;&gt;"","["&amp;$E6165&amp;"]"&amp;"|"&amp;$Q6165&amp;"|"&amp;$K6165&amp;"|"&amp;$G6165&amp;"|"&amp;IF($G6165="TX_CURR_SUBNAT.R","CY2022Q4",$M6165),"")</f>
        <v>[am530wpaGvr]|15-24|Female|NEW_INFECTIONS_SUBNAT.T|CY2024Q3</v>
      </c>
    </row>
    <row r="6166" customFormat="false" ht="15" hidden="false" customHeight="false" outlineLevel="0" collapsed="false">
      <c r="D6166" s="0" t="s">
        <v>72</v>
      </c>
      <c r="E6166" s="0" t="s">
        <v>73</v>
      </c>
      <c r="F6166" s="0" t="s">
        <v>74</v>
      </c>
      <c r="G6166" s="0" t="s">
        <v>170</v>
      </c>
      <c r="H6166" s="0" t="s">
        <v>170</v>
      </c>
      <c r="I6166" s="0" t="s">
        <v>41</v>
      </c>
      <c r="J6166" s="0" t="s">
        <v>42</v>
      </c>
      <c r="K6166" s="0" t="s">
        <v>30</v>
      </c>
      <c r="L6166" s="0" t="s">
        <v>31</v>
      </c>
      <c r="M6166" s="0" t="s">
        <v>167</v>
      </c>
      <c r="N6166" s="0" t="n">
        <v>604</v>
      </c>
      <c r="O6166" s="10" t="n">
        <v>0.212487590266392</v>
      </c>
      <c r="P6166" s="10" t="n">
        <v>0.289728706935421</v>
      </c>
      <c r="Q6166" s="0" t="str">
        <f aca="false">SUBSTITUTE(SUBSTITUTE($I6166,CHAR(61),""),CHAR(34),"")</f>
        <v>25-34</v>
      </c>
      <c r="R6166" s="0" t="str">
        <f aca="false">IF($D6166&lt;&gt;"","["&amp;$E6166&amp;"]"&amp;"|"&amp;$Q6166&amp;"|"&amp;$K6166&amp;"|"&amp;$G6166&amp;"|"&amp;IF($G6166="TX_CURR_SUBNAT.R","CY2022Q4",$M6166),"")</f>
        <v>[am530wpaGvr]|25-34|Female|NEW_INFECTIONS_SUBNAT.T|CY2024Q3</v>
      </c>
    </row>
    <row r="6167" customFormat="false" ht="15" hidden="false" customHeight="false" outlineLevel="0" collapsed="false">
      <c r="D6167" s="0" t="s">
        <v>72</v>
      </c>
      <c r="E6167" s="0" t="s">
        <v>73</v>
      </c>
      <c r="F6167" s="0" t="s">
        <v>74</v>
      </c>
      <c r="G6167" s="0" t="s">
        <v>170</v>
      </c>
      <c r="H6167" s="0" t="s">
        <v>170</v>
      </c>
      <c r="I6167" s="0" t="s">
        <v>43</v>
      </c>
      <c r="J6167" s="0" t="s">
        <v>44</v>
      </c>
      <c r="K6167" s="0" t="s">
        <v>30</v>
      </c>
      <c r="L6167" s="0" t="s">
        <v>31</v>
      </c>
      <c r="M6167" s="0" t="s">
        <v>167</v>
      </c>
      <c r="N6167" s="0" t="n">
        <v>1445</v>
      </c>
      <c r="O6167" s="10" t="n">
        <v>0.736312389140949</v>
      </c>
      <c r="P6167" s="10" t="n">
        <v>0.289728706935421</v>
      </c>
      <c r="Q6167" s="0" t="str">
        <f aca="false">SUBSTITUTE(SUBSTITUTE($I6167,CHAR(61),""),CHAR(34),"")</f>
        <v>35-49</v>
      </c>
      <c r="R6167" s="0" t="str">
        <f aca="false">IF($D6167&lt;&gt;"","["&amp;$E6167&amp;"]"&amp;"|"&amp;$Q6167&amp;"|"&amp;$K6167&amp;"|"&amp;$G6167&amp;"|"&amp;IF($G6167="TX_CURR_SUBNAT.R","CY2022Q4",$M6167),"")</f>
        <v>[am530wpaGvr]|35-49|Female|NEW_INFECTIONS_SUBNAT.T|CY2024Q3</v>
      </c>
    </row>
    <row r="6168" customFormat="false" ht="15" hidden="false" customHeight="false" outlineLevel="0" collapsed="false">
      <c r="D6168" s="0" t="s">
        <v>72</v>
      </c>
      <c r="E6168" s="0" t="s">
        <v>73</v>
      </c>
      <c r="F6168" s="0" t="s">
        <v>74</v>
      </c>
      <c r="G6168" s="0" t="s">
        <v>170</v>
      </c>
      <c r="H6168" s="0" t="s">
        <v>170</v>
      </c>
      <c r="I6168" s="0" t="s">
        <v>45</v>
      </c>
      <c r="J6168" s="0" t="s">
        <v>46</v>
      </c>
      <c r="K6168" s="0" t="s">
        <v>30</v>
      </c>
      <c r="L6168" s="0" t="s">
        <v>31</v>
      </c>
      <c r="M6168" s="0" t="s">
        <v>167</v>
      </c>
      <c r="N6168" s="0" t="n">
        <v>1878</v>
      </c>
      <c r="O6168" s="10" t="n">
        <v>0.435314281610772</v>
      </c>
      <c r="P6168" s="10" t="n">
        <v>0.289728706935421</v>
      </c>
      <c r="Q6168" s="0" t="str">
        <f aca="false">SUBSTITUTE(SUBSTITUTE($I6168,CHAR(61),""),CHAR(34),"")</f>
        <v>50+</v>
      </c>
      <c r="R6168" s="0" t="str">
        <f aca="false">IF($D6168&lt;&gt;"","["&amp;$E6168&amp;"]"&amp;"|"&amp;$Q6168&amp;"|"&amp;$K6168&amp;"|"&amp;$G6168&amp;"|"&amp;IF($G6168="TX_CURR_SUBNAT.R","CY2022Q4",$M6168),"")</f>
        <v>[am530wpaGvr]|50+|Female|NEW_INFECTIONS_SUBNAT.T|CY2024Q3</v>
      </c>
    </row>
    <row r="6169" customFormat="false" ht="15" hidden="false" customHeight="false" outlineLevel="0" collapsed="false">
      <c r="D6169" s="0" t="s">
        <v>72</v>
      </c>
      <c r="E6169" s="0" t="s">
        <v>73</v>
      </c>
      <c r="F6169" s="0" t="s">
        <v>74</v>
      </c>
      <c r="G6169" s="0" t="s">
        <v>170</v>
      </c>
      <c r="H6169" s="0" t="s">
        <v>170</v>
      </c>
      <c r="I6169" s="0" t="s">
        <v>28</v>
      </c>
      <c r="J6169" s="0" t="s">
        <v>29</v>
      </c>
      <c r="K6169" s="0" t="s">
        <v>48</v>
      </c>
      <c r="L6169" s="0" t="s">
        <v>49</v>
      </c>
      <c r="M6169" s="0" t="s">
        <v>167</v>
      </c>
      <c r="N6169" s="0" t="n">
        <v>1080</v>
      </c>
      <c r="O6169" s="10" t="n">
        <v>0.506689464207739</v>
      </c>
      <c r="P6169" s="10" t="n">
        <v>0.289728706935421</v>
      </c>
      <c r="Q6169" s="0" t="str">
        <f aca="false">SUBSTITUTE(SUBSTITUTE($I6169,CHAR(61),""),CHAR(34),"")</f>
        <v>&lt;01</v>
      </c>
      <c r="R6169" s="0" t="str">
        <f aca="false">IF($D6169&lt;&gt;"","["&amp;$E6169&amp;"]"&amp;"|"&amp;$Q6169&amp;"|"&amp;$K6169&amp;"|"&amp;$G6169&amp;"|"&amp;IF($G6169="TX_CURR_SUBNAT.R","CY2022Q4",$M6169),"")</f>
        <v>[am530wpaGvr]|&lt;01|Male|NEW_INFECTIONS_SUBNAT.T|CY2024Q3</v>
      </c>
    </row>
    <row r="6170" customFormat="false" ht="15" hidden="false" customHeight="false" outlineLevel="0" collapsed="false">
      <c r="D6170" s="0" t="s">
        <v>72</v>
      </c>
      <c r="E6170" s="0" t="s">
        <v>73</v>
      </c>
      <c r="F6170" s="0" t="s">
        <v>74</v>
      </c>
      <c r="G6170" s="0" t="s">
        <v>170</v>
      </c>
      <c r="H6170" s="0" t="s">
        <v>170</v>
      </c>
      <c r="I6170" s="0" t="s">
        <v>33</v>
      </c>
      <c r="J6170" s="0" t="s">
        <v>34</v>
      </c>
      <c r="K6170" s="0" t="s">
        <v>48</v>
      </c>
      <c r="L6170" s="0" t="s">
        <v>49</v>
      </c>
      <c r="M6170" s="0" t="s">
        <v>167</v>
      </c>
      <c r="N6170" s="0" t="n">
        <v>1496</v>
      </c>
      <c r="O6170" s="10" t="n">
        <v>0.0192015608772635</v>
      </c>
      <c r="P6170" s="10" t="n">
        <v>0.289728706935421</v>
      </c>
      <c r="Q6170" s="0" t="str">
        <f aca="false">SUBSTITUTE(SUBSTITUTE($I6170,CHAR(61),""),CHAR(34),"")</f>
        <v>01-09</v>
      </c>
      <c r="R6170" s="0" t="str">
        <f aca="false">IF($D6170&lt;&gt;"","["&amp;$E6170&amp;"]"&amp;"|"&amp;$Q6170&amp;"|"&amp;$K6170&amp;"|"&amp;$G6170&amp;"|"&amp;IF($G6170="TX_CURR_SUBNAT.R","CY2022Q4",$M6170),"")</f>
        <v>[am530wpaGvr]|01-09|Male|NEW_INFECTIONS_SUBNAT.T|CY2024Q3</v>
      </c>
    </row>
    <row r="6171" customFormat="false" ht="15" hidden="false" customHeight="false" outlineLevel="0" collapsed="false">
      <c r="D6171" s="0" t="s">
        <v>72</v>
      </c>
      <c r="E6171" s="0" t="s">
        <v>73</v>
      </c>
      <c r="F6171" s="0" t="s">
        <v>74</v>
      </c>
      <c r="G6171" s="0" t="s">
        <v>170</v>
      </c>
      <c r="H6171" s="0" t="s">
        <v>170</v>
      </c>
      <c r="I6171" s="0" t="s">
        <v>36</v>
      </c>
      <c r="J6171" s="0" t="s">
        <v>37</v>
      </c>
      <c r="K6171" s="0" t="s">
        <v>48</v>
      </c>
      <c r="L6171" s="0" t="s">
        <v>49</v>
      </c>
      <c r="M6171" s="0" t="s">
        <v>167</v>
      </c>
      <c r="N6171" s="0" t="n">
        <v>1191</v>
      </c>
      <c r="O6171" s="10" t="n">
        <v>0.73459005728364</v>
      </c>
      <c r="P6171" s="10" t="n">
        <v>0.289728706935421</v>
      </c>
      <c r="Q6171" s="0" t="str">
        <f aca="false">SUBSTITUTE(SUBSTITUTE($I6171,CHAR(61),""),CHAR(34),"")</f>
        <v>10-14</v>
      </c>
      <c r="R6171" s="0" t="str">
        <f aca="false">IF($D6171&lt;&gt;"","["&amp;$E6171&amp;"]"&amp;"|"&amp;$Q6171&amp;"|"&amp;$K6171&amp;"|"&amp;$G6171&amp;"|"&amp;IF($G6171="TX_CURR_SUBNAT.R","CY2022Q4",$M6171),"")</f>
        <v>[am530wpaGvr]|10-14|Male|NEW_INFECTIONS_SUBNAT.T|CY2024Q3</v>
      </c>
    </row>
    <row r="6172" customFormat="false" ht="15" hidden="false" customHeight="false" outlineLevel="0" collapsed="false">
      <c r="D6172" s="0" t="s">
        <v>72</v>
      </c>
      <c r="E6172" s="0" t="s">
        <v>73</v>
      </c>
      <c r="F6172" s="0" t="s">
        <v>74</v>
      </c>
      <c r="G6172" s="0" t="s">
        <v>170</v>
      </c>
      <c r="H6172" s="0" t="s">
        <v>170</v>
      </c>
      <c r="I6172" s="0" t="s">
        <v>38</v>
      </c>
      <c r="J6172" s="0" t="s">
        <v>39</v>
      </c>
      <c r="K6172" s="0" t="s">
        <v>48</v>
      </c>
      <c r="L6172" s="0" t="s">
        <v>49</v>
      </c>
      <c r="M6172" s="0" t="s">
        <v>167</v>
      </c>
      <c r="N6172" s="0" t="n">
        <v>1792</v>
      </c>
      <c r="O6172" s="10" t="n">
        <v>0.288096799282357</v>
      </c>
      <c r="P6172" s="10" t="n">
        <v>0.289728706935421</v>
      </c>
      <c r="Q6172" s="0" t="str">
        <f aca="false">SUBSTITUTE(SUBSTITUTE($I6172,CHAR(61),""),CHAR(34),"")</f>
        <v>15-24</v>
      </c>
      <c r="R6172" s="0" t="str">
        <f aca="false">IF($D6172&lt;&gt;"","["&amp;$E6172&amp;"]"&amp;"|"&amp;$Q6172&amp;"|"&amp;$K6172&amp;"|"&amp;$G6172&amp;"|"&amp;IF($G6172="TX_CURR_SUBNAT.R","CY2022Q4",$M6172),"")</f>
        <v>[am530wpaGvr]|15-24|Male|NEW_INFECTIONS_SUBNAT.T|CY2024Q3</v>
      </c>
    </row>
    <row r="6173" customFormat="false" ht="15" hidden="false" customHeight="false" outlineLevel="0" collapsed="false">
      <c r="D6173" s="0" t="s">
        <v>72</v>
      </c>
      <c r="E6173" s="0" t="s">
        <v>73</v>
      </c>
      <c r="F6173" s="0" t="s">
        <v>74</v>
      </c>
      <c r="G6173" s="0" t="s">
        <v>170</v>
      </c>
      <c r="H6173" s="0" t="s">
        <v>170</v>
      </c>
      <c r="I6173" s="0" t="s">
        <v>41</v>
      </c>
      <c r="J6173" s="0" t="s">
        <v>42</v>
      </c>
      <c r="K6173" s="0" t="s">
        <v>48</v>
      </c>
      <c r="L6173" s="0" t="s">
        <v>49</v>
      </c>
      <c r="M6173" s="0" t="s">
        <v>167</v>
      </c>
      <c r="N6173" s="0" t="n">
        <v>1398</v>
      </c>
      <c r="O6173" s="10" t="n">
        <v>0.927471169969067</v>
      </c>
      <c r="P6173" s="10" t="n">
        <v>0.289728706935421</v>
      </c>
      <c r="Q6173" s="0" t="str">
        <f aca="false">SUBSTITUTE(SUBSTITUTE($I6173,CHAR(61),""),CHAR(34),"")</f>
        <v>25-34</v>
      </c>
      <c r="R6173" s="0" t="str">
        <f aca="false">IF($D6173&lt;&gt;"","["&amp;$E6173&amp;"]"&amp;"|"&amp;$Q6173&amp;"|"&amp;$K6173&amp;"|"&amp;$G6173&amp;"|"&amp;IF($G6173="TX_CURR_SUBNAT.R","CY2022Q4",$M6173),"")</f>
        <v>[am530wpaGvr]|25-34|Male|NEW_INFECTIONS_SUBNAT.T|CY2024Q3</v>
      </c>
    </row>
    <row r="6174" customFormat="false" ht="15" hidden="false" customHeight="false" outlineLevel="0" collapsed="false">
      <c r="D6174" s="0" t="s">
        <v>72</v>
      </c>
      <c r="E6174" s="0" t="s">
        <v>73</v>
      </c>
      <c r="F6174" s="0" t="s">
        <v>74</v>
      </c>
      <c r="G6174" s="0" t="s">
        <v>170</v>
      </c>
      <c r="H6174" s="0" t="s">
        <v>170</v>
      </c>
      <c r="I6174" s="0" t="s">
        <v>43</v>
      </c>
      <c r="J6174" s="0" t="s">
        <v>44</v>
      </c>
      <c r="K6174" s="0" t="s">
        <v>48</v>
      </c>
      <c r="L6174" s="0" t="s">
        <v>49</v>
      </c>
      <c r="M6174" s="0" t="s">
        <v>167</v>
      </c>
      <c r="N6174" s="0" t="n">
        <v>969</v>
      </c>
      <c r="O6174" s="10" t="n">
        <v>0.779646818293259</v>
      </c>
      <c r="P6174" s="10" t="n">
        <v>0.289728706935421</v>
      </c>
      <c r="Q6174" s="0" t="str">
        <f aca="false">SUBSTITUTE(SUBSTITUTE($I6174,CHAR(61),""),CHAR(34),"")</f>
        <v>35-49</v>
      </c>
      <c r="R6174" s="0" t="str">
        <f aca="false">IF($D6174&lt;&gt;"","["&amp;$E6174&amp;"]"&amp;"|"&amp;$Q6174&amp;"|"&amp;$K6174&amp;"|"&amp;$G6174&amp;"|"&amp;IF($G6174="TX_CURR_SUBNAT.R","CY2022Q4",$M6174),"")</f>
        <v>[am530wpaGvr]|35-49|Male|NEW_INFECTIONS_SUBNAT.T|CY2024Q3</v>
      </c>
    </row>
    <row r="6175" customFormat="false" ht="15" hidden="false" customHeight="false" outlineLevel="0" collapsed="false">
      <c r="D6175" s="0" t="s">
        <v>72</v>
      </c>
      <c r="E6175" s="0" t="s">
        <v>73</v>
      </c>
      <c r="F6175" s="0" t="s">
        <v>74</v>
      </c>
      <c r="G6175" s="0" t="s">
        <v>170</v>
      </c>
      <c r="H6175" s="0" t="s">
        <v>170</v>
      </c>
      <c r="I6175" s="0" t="s">
        <v>45</v>
      </c>
      <c r="J6175" s="0" t="s">
        <v>46</v>
      </c>
      <c r="K6175" s="0" t="s">
        <v>48</v>
      </c>
      <c r="L6175" s="0" t="s">
        <v>49</v>
      </c>
      <c r="M6175" s="0" t="s">
        <v>167</v>
      </c>
      <c r="N6175" s="0" t="n">
        <v>1711</v>
      </c>
      <c r="O6175" s="10" t="n">
        <v>0.637455863878131</v>
      </c>
      <c r="P6175" s="10" t="n">
        <v>0.289728706935421</v>
      </c>
      <c r="Q6175" s="0" t="str">
        <f aca="false">SUBSTITUTE(SUBSTITUTE($I6175,CHAR(61),""),CHAR(34),"")</f>
        <v>50+</v>
      </c>
      <c r="R6175" s="0" t="str">
        <f aca="false">IF($D6175&lt;&gt;"","["&amp;$E6175&amp;"]"&amp;"|"&amp;$Q6175&amp;"|"&amp;$K6175&amp;"|"&amp;$G6175&amp;"|"&amp;IF($G6175="TX_CURR_SUBNAT.R","CY2022Q4",$M6175),"")</f>
        <v>[am530wpaGvr]|50+|Male|NEW_INFECTIONS_SUBNAT.T|CY2024Q3</v>
      </c>
    </row>
    <row r="6176" customFormat="false" ht="15" hidden="false" customHeight="false" outlineLevel="0" collapsed="false">
      <c r="D6176" s="0" t="s">
        <v>75</v>
      </c>
      <c r="E6176" s="0" t="s">
        <v>76</v>
      </c>
      <c r="F6176" s="0" t="s">
        <v>77</v>
      </c>
      <c r="G6176" s="0" t="s">
        <v>170</v>
      </c>
      <c r="H6176" s="0" t="s">
        <v>170</v>
      </c>
      <c r="I6176" s="0" t="s">
        <v>28</v>
      </c>
      <c r="J6176" s="0" t="s">
        <v>29</v>
      </c>
      <c r="K6176" s="0" t="s">
        <v>30</v>
      </c>
      <c r="L6176" s="0" t="s">
        <v>31</v>
      </c>
      <c r="M6176" s="0" t="s">
        <v>167</v>
      </c>
      <c r="N6176" s="0" t="n">
        <v>1263</v>
      </c>
      <c r="O6176" s="10" t="n">
        <v>0.762134789256379</v>
      </c>
      <c r="P6176" s="10" t="n">
        <v>0.303055507596582</v>
      </c>
      <c r="Q6176" s="0" t="str">
        <f aca="false">SUBSTITUTE(SUBSTITUTE($I6176,CHAR(61),""),CHAR(34),"")</f>
        <v>&lt;01</v>
      </c>
      <c r="R6176" s="0" t="str">
        <f aca="false">IF($D6176&lt;&gt;"","["&amp;$E6176&amp;"]"&amp;"|"&amp;$Q6176&amp;"|"&amp;$K6176&amp;"|"&amp;$G6176&amp;"|"&amp;IF($G6176="TX_CURR_SUBNAT.R","CY2022Q4",$M6176),"")</f>
        <v>[lLDyBx5XyUi]|&lt;01|Female|NEW_INFECTIONS_SUBNAT.T|CY2024Q3</v>
      </c>
    </row>
    <row r="6177" customFormat="false" ht="15" hidden="false" customHeight="false" outlineLevel="0" collapsed="false">
      <c r="D6177" s="0" t="s">
        <v>75</v>
      </c>
      <c r="E6177" s="0" t="s">
        <v>76</v>
      </c>
      <c r="F6177" s="0" t="s">
        <v>77</v>
      </c>
      <c r="G6177" s="0" t="s">
        <v>170</v>
      </c>
      <c r="H6177" s="0" t="s">
        <v>170</v>
      </c>
      <c r="I6177" s="0" t="s">
        <v>33</v>
      </c>
      <c r="J6177" s="0" t="s">
        <v>34</v>
      </c>
      <c r="K6177" s="0" t="s">
        <v>30</v>
      </c>
      <c r="L6177" s="0" t="s">
        <v>31</v>
      </c>
      <c r="M6177" s="0" t="s">
        <v>167</v>
      </c>
      <c r="N6177" s="0" t="n">
        <v>1823</v>
      </c>
      <c r="O6177" s="10" t="n">
        <v>0.848066629609093</v>
      </c>
      <c r="P6177" s="10" t="n">
        <v>0.303055507596582</v>
      </c>
      <c r="Q6177" s="0" t="str">
        <f aca="false">SUBSTITUTE(SUBSTITUTE($I6177,CHAR(61),""),CHAR(34),"")</f>
        <v>01-09</v>
      </c>
      <c r="R6177" s="0" t="str">
        <f aca="false">IF($D6177&lt;&gt;"","["&amp;$E6177&amp;"]"&amp;"|"&amp;$Q6177&amp;"|"&amp;$K6177&amp;"|"&amp;$G6177&amp;"|"&amp;IF($G6177="TX_CURR_SUBNAT.R","CY2022Q4",$M6177),"")</f>
        <v>[lLDyBx5XyUi]|01-09|Female|NEW_INFECTIONS_SUBNAT.T|CY2024Q3</v>
      </c>
    </row>
    <row r="6178" customFormat="false" ht="15" hidden="false" customHeight="false" outlineLevel="0" collapsed="false">
      <c r="D6178" s="0" t="s">
        <v>75</v>
      </c>
      <c r="E6178" s="0" t="s">
        <v>76</v>
      </c>
      <c r="F6178" s="0" t="s">
        <v>77</v>
      </c>
      <c r="G6178" s="0" t="s">
        <v>170</v>
      </c>
      <c r="H6178" s="0" t="s">
        <v>170</v>
      </c>
      <c r="I6178" s="0" t="s">
        <v>36</v>
      </c>
      <c r="J6178" s="0" t="s">
        <v>37</v>
      </c>
      <c r="K6178" s="0" t="s">
        <v>30</v>
      </c>
      <c r="L6178" s="0" t="s">
        <v>31</v>
      </c>
      <c r="M6178" s="0" t="s">
        <v>167</v>
      </c>
      <c r="N6178" s="0" t="n">
        <v>576</v>
      </c>
      <c r="O6178" s="10" t="n">
        <v>0.111088336212561</v>
      </c>
      <c r="P6178" s="10" t="n">
        <v>0.303055507596582</v>
      </c>
      <c r="Q6178" s="0" t="str">
        <f aca="false">SUBSTITUTE(SUBSTITUTE($I6178,CHAR(61),""),CHAR(34),"")</f>
        <v>10-14</v>
      </c>
      <c r="R6178" s="0" t="str">
        <f aca="false">IF($D6178&lt;&gt;"","["&amp;$E6178&amp;"]"&amp;"|"&amp;$Q6178&amp;"|"&amp;$K6178&amp;"|"&amp;$G6178&amp;"|"&amp;IF($G6178="TX_CURR_SUBNAT.R","CY2022Q4",$M6178),"")</f>
        <v>[lLDyBx5XyUi]|10-14|Female|NEW_INFECTIONS_SUBNAT.T|CY2024Q3</v>
      </c>
    </row>
    <row r="6179" customFormat="false" ht="15" hidden="false" customHeight="false" outlineLevel="0" collapsed="false">
      <c r="D6179" s="0" t="s">
        <v>75</v>
      </c>
      <c r="E6179" s="0" t="s">
        <v>76</v>
      </c>
      <c r="F6179" s="0" t="s">
        <v>77</v>
      </c>
      <c r="G6179" s="0" t="s">
        <v>170</v>
      </c>
      <c r="H6179" s="0" t="s">
        <v>170</v>
      </c>
      <c r="I6179" s="0" t="s">
        <v>38</v>
      </c>
      <c r="J6179" s="0" t="s">
        <v>39</v>
      </c>
      <c r="K6179" s="0" t="s">
        <v>30</v>
      </c>
      <c r="L6179" s="0" t="s">
        <v>31</v>
      </c>
      <c r="M6179" s="0" t="s">
        <v>167</v>
      </c>
      <c r="N6179" s="0" t="n">
        <v>1104</v>
      </c>
      <c r="O6179" s="10" t="n">
        <v>0.57975476118736</v>
      </c>
      <c r="P6179" s="10" t="n">
        <v>0.303055507596582</v>
      </c>
      <c r="Q6179" s="0" t="str">
        <f aca="false">SUBSTITUTE(SUBSTITUTE($I6179,CHAR(61),""),CHAR(34),"")</f>
        <v>15-24</v>
      </c>
      <c r="R6179" s="0" t="str">
        <f aca="false">IF($D6179&lt;&gt;"","["&amp;$E6179&amp;"]"&amp;"|"&amp;$Q6179&amp;"|"&amp;$K6179&amp;"|"&amp;$G6179&amp;"|"&amp;IF($G6179="TX_CURR_SUBNAT.R","CY2022Q4",$M6179),"")</f>
        <v>[lLDyBx5XyUi]|15-24|Female|NEW_INFECTIONS_SUBNAT.T|CY2024Q3</v>
      </c>
    </row>
    <row r="6180" customFormat="false" ht="15" hidden="false" customHeight="false" outlineLevel="0" collapsed="false">
      <c r="D6180" s="0" t="s">
        <v>75</v>
      </c>
      <c r="E6180" s="0" t="s">
        <v>76</v>
      </c>
      <c r="F6180" s="0" t="s">
        <v>77</v>
      </c>
      <c r="G6180" s="0" t="s">
        <v>170</v>
      </c>
      <c r="H6180" s="0" t="s">
        <v>170</v>
      </c>
      <c r="I6180" s="0" t="s">
        <v>41</v>
      </c>
      <c r="J6180" s="0" t="s">
        <v>42</v>
      </c>
      <c r="K6180" s="0" t="s">
        <v>30</v>
      </c>
      <c r="L6180" s="0" t="s">
        <v>31</v>
      </c>
      <c r="M6180" s="0" t="s">
        <v>167</v>
      </c>
      <c r="N6180" s="0" t="n">
        <v>1684</v>
      </c>
      <c r="O6180" s="10" t="n">
        <v>0.711257032584399</v>
      </c>
      <c r="P6180" s="10" t="n">
        <v>0.303055507596582</v>
      </c>
      <c r="Q6180" s="0" t="str">
        <f aca="false">SUBSTITUTE(SUBSTITUTE($I6180,CHAR(61),""),CHAR(34),"")</f>
        <v>25-34</v>
      </c>
      <c r="R6180" s="0" t="str">
        <f aca="false">IF($D6180&lt;&gt;"","["&amp;$E6180&amp;"]"&amp;"|"&amp;$Q6180&amp;"|"&amp;$K6180&amp;"|"&amp;$G6180&amp;"|"&amp;IF($G6180="TX_CURR_SUBNAT.R","CY2022Q4",$M6180),"")</f>
        <v>[lLDyBx5XyUi]|25-34|Female|NEW_INFECTIONS_SUBNAT.T|CY2024Q3</v>
      </c>
    </row>
    <row r="6181" customFormat="false" ht="15" hidden="false" customHeight="false" outlineLevel="0" collapsed="false">
      <c r="D6181" s="0" t="s">
        <v>75</v>
      </c>
      <c r="E6181" s="0" t="s">
        <v>76</v>
      </c>
      <c r="F6181" s="0" t="s">
        <v>77</v>
      </c>
      <c r="G6181" s="0" t="s">
        <v>170</v>
      </c>
      <c r="H6181" s="0" t="s">
        <v>170</v>
      </c>
      <c r="I6181" s="0" t="s">
        <v>43</v>
      </c>
      <c r="J6181" s="0" t="s">
        <v>44</v>
      </c>
      <c r="K6181" s="0" t="s">
        <v>30</v>
      </c>
      <c r="L6181" s="0" t="s">
        <v>31</v>
      </c>
      <c r="M6181" s="0" t="s">
        <v>167</v>
      </c>
      <c r="N6181" s="0" t="n">
        <v>1475</v>
      </c>
      <c r="O6181" s="10" t="n">
        <v>0.672230266267434</v>
      </c>
      <c r="P6181" s="10" t="n">
        <v>0.303055507596582</v>
      </c>
      <c r="Q6181" s="0" t="str">
        <f aca="false">SUBSTITUTE(SUBSTITUTE($I6181,CHAR(61),""),CHAR(34),"")</f>
        <v>35-49</v>
      </c>
      <c r="R6181" s="0" t="str">
        <f aca="false">IF($D6181&lt;&gt;"","["&amp;$E6181&amp;"]"&amp;"|"&amp;$Q6181&amp;"|"&amp;$K6181&amp;"|"&amp;$G6181&amp;"|"&amp;IF($G6181="TX_CURR_SUBNAT.R","CY2022Q4",$M6181),"")</f>
        <v>[lLDyBx5XyUi]|35-49|Female|NEW_INFECTIONS_SUBNAT.T|CY2024Q3</v>
      </c>
    </row>
    <row r="6182" customFormat="false" ht="15" hidden="false" customHeight="false" outlineLevel="0" collapsed="false">
      <c r="D6182" s="0" t="s">
        <v>75</v>
      </c>
      <c r="E6182" s="0" t="s">
        <v>76</v>
      </c>
      <c r="F6182" s="0" t="s">
        <v>77</v>
      </c>
      <c r="G6182" s="0" t="s">
        <v>170</v>
      </c>
      <c r="H6182" s="0" t="s">
        <v>170</v>
      </c>
      <c r="I6182" s="0" t="s">
        <v>45</v>
      </c>
      <c r="J6182" s="0" t="s">
        <v>46</v>
      </c>
      <c r="K6182" s="0" t="s">
        <v>30</v>
      </c>
      <c r="L6182" s="0" t="s">
        <v>31</v>
      </c>
      <c r="M6182" s="0" t="s">
        <v>167</v>
      </c>
      <c r="N6182" s="0" t="n">
        <v>889</v>
      </c>
      <c r="O6182" s="10" t="n">
        <v>0.548509217565879</v>
      </c>
      <c r="P6182" s="10" t="n">
        <v>0.303055507596582</v>
      </c>
      <c r="Q6182" s="0" t="str">
        <f aca="false">SUBSTITUTE(SUBSTITUTE($I6182,CHAR(61),""),CHAR(34),"")</f>
        <v>50+</v>
      </c>
      <c r="R6182" s="0" t="str">
        <f aca="false">IF($D6182&lt;&gt;"","["&amp;$E6182&amp;"]"&amp;"|"&amp;$Q6182&amp;"|"&amp;$K6182&amp;"|"&amp;$G6182&amp;"|"&amp;IF($G6182="TX_CURR_SUBNAT.R","CY2022Q4",$M6182),"")</f>
        <v>[lLDyBx5XyUi]|50+|Female|NEW_INFECTIONS_SUBNAT.T|CY2024Q3</v>
      </c>
    </row>
    <row r="6183" customFormat="false" ht="15" hidden="false" customHeight="false" outlineLevel="0" collapsed="false">
      <c r="D6183" s="0" t="s">
        <v>75</v>
      </c>
      <c r="E6183" s="0" t="s">
        <v>76</v>
      </c>
      <c r="F6183" s="0" t="s">
        <v>77</v>
      </c>
      <c r="G6183" s="0" t="s">
        <v>170</v>
      </c>
      <c r="H6183" s="0" t="s">
        <v>170</v>
      </c>
      <c r="I6183" s="0" t="s">
        <v>28</v>
      </c>
      <c r="J6183" s="0" t="s">
        <v>29</v>
      </c>
      <c r="K6183" s="0" t="s">
        <v>48</v>
      </c>
      <c r="L6183" s="0" t="s">
        <v>49</v>
      </c>
      <c r="M6183" s="0" t="s">
        <v>167</v>
      </c>
      <c r="N6183" s="0" t="n">
        <v>624</v>
      </c>
      <c r="O6183" s="10" t="n">
        <v>0.984260212862864</v>
      </c>
      <c r="P6183" s="10" t="n">
        <v>0.303055507596582</v>
      </c>
      <c r="Q6183" s="0" t="str">
        <f aca="false">SUBSTITUTE(SUBSTITUTE($I6183,CHAR(61),""),CHAR(34),"")</f>
        <v>&lt;01</v>
      </c>
      <c r="R6183" s="0" t="str">
        <f aca="false">IF($D6183&lt;&gt;"","["&amp;$E6183&amp;"]"&amp;"|"&amp;$Q6183&amp;"|"&amp;$K6183&amp;"|"&amp;$G6183&amp;"|"&amp;IF($G6183="TX_CURR_SUBNAT.R","CY2022Q4",$M6183),"")</f>
        <v>[lLDyBx5XyUi]|&lt;01|Male|NEW_INFECTIONS_SUBNAT.T|CY2024Q3</v>
      </c>
    </row>
    <row r="6184" customFormat="false" ht="15" hidden="false" customHeight="false" outlineLevel="0" collapsed="false">
      <c r="D6184" s="0" t="s">
        <v>75</v>
      </c>
      <c r="E6184" s="0" t="s">
        <v>76</v>
      </c>
      <c r="F6184" s="0" t="s">
        <v>77</v>
      </c>
      <c r="G6184" s="0" t="s">
        <v>170</v>
      </c>
      <c r="H6184" s="0" t="s">
        <v>170</v>
      </c>
      <c r="I6184" s="0" t="s">
        <v>33</v>
      </c>
      <c r="J6184" s="0" t="s">
        <v>34</v>
      </c>
      <c r="K6184" s="0" t="s">
        <v>48</v>
      </c>
      <c r="L6184" s="0" t="s">
        <v>49</v>
      </c>
      <c r="M6184" s="0" t="s">
        <v>167</v>
      </c>
      <c r="N6184" s="0" t="n">
        <v>1882</v>
      </c>
      <c r="O6184" s="10" t="n">
        <v>0.561657878104597</v>
      </c>
      <c r="P6184" s="10" t="n">
        <v>0.303055507596582</v>
      </c>
      <c r="Q6184" s="0" t="str">
        <f aca="false">SUBSTITUTE(SUBSTITUTE($I6184,CHAR(61),""),CHAR(34),"")</f>
        <v>01-09</v>
      </c>
      <c r="R6184" s="0" t="str">
        <f aca="false">IF($D6184&lt;&gt;"","["&amp;$E6184&amp;"]"&amp;"|"&amp;$Q6184&amp;"|"&amp;$K6184&amp;"|"&amp;$G6184&amp;"|"&amp;IF($G6184="TX_CURR_SUBNAT.R","CY2022Q4",$M6184),"")</f>
        <v>[lLDyBx5XyUi]|01-09|Male|NEW_INFECTIONS_SUBNAT.T|CY2024Q3</v>
      </c>
    </row>
    <row r="6185" customFormat="false" ht="15" hidden="false" customHeight="false" outlineLevel="0" collapsed="false">
      <c r="D6185" s="0" t="s">
        <v>75</v>
      </c>
      <c r="E6185" s="0" t="s">
        <v>76</v>
      </c>
      <c r="F6185" s="0" t="s">
        <v>77</v>
      </c>
      <c r="G6185" s="0" t="s">
        <v>170</v>
      </c>
      <c r="H6185" s="0" t="s">
        <v>170</v>
      </c>
      <c r="I6185" s="0" t="s">
        <v>36</v>
      </c>
      <c r="J6185" s="0" t="s">
        <v>37</v>
      </c>
      <c r="K6185" s="0" t="s">
        <v>48</v>
      </c>
      <c r="L6185" s="0" t="s">
        <v>49</v>
      </c>
      <c r="M6185" s="0" t="s">
        <v>167</v>
      </c>
      <c r="N6185" s="0" t="n">
        <v>1064</v>
      </c>
      <c r="O6185" s="10" t="n">
        <v>0.149147943826392</v>
      </c>
      <c r="P6185" s="10" t="n">
        <v>0.303055507596582</v>
      </c>
      <c r="Q6185" s="0" t="str">
        <f aca="false">SUBSTITUTE(SUBSTITUTE($I6185,CHAR(61),""),CHAR(34),"")</f>
        <v>10-14</v>
      </c>
      <c r="R6185" s="0" t="str">
        <f aca="false">IF($D6185&lt;&gt;"","["&amp;$E6185&amp;"]"&amp;"|"&amp;$Q6185&amp;"|"&amp;$K6185&amp;"|"&amp;$G6185&amp;"|"&amp;IF($G6185="TX_CURR_SUBNAT.R","CY2022Q4",$M6185),"")</f>
        <v>[lLDyBx5XyUi]|10-14|Male|NEW_INFECTIONS_SUBNAT.T|CY2024Q3</v>
      </c>
    </row>
    <row r="6186" customFormat="false" ht="15" hidden="false" customHeight="false" outlineLevel="0" collapsed="false">
      <c r="D6186" s="0" t="s">
        <v>75</v>
      </c>
      <c r="E6186" s="0" t="s">
        <v>76</v>
      </c>
      <c r="F6186" s="0" t="s">
        <v>77</v>
      </c>
      <c r="G6186" s="0" t="s">
        <v>170</v>
      </c>
      <c r="H6186" s="0" t="s">
        <v>170</v>
      </c>
      <c r="I6186" s="0" t="s">
        <v>38</v>
      </c>
      <c r="J6186" s="0" t="s">
        <v>39</v>
      </c>
      <c r="K6186" s="0" t="s">
        <v>48</v>
      </c>
      <c r="L6186" s="0" t="s">
        <v>49</v>
      </c>
      <c r="M6186" s="0" t="s">
        <v>167</v>
      </c>
      <c r="N6186" s="0" t="n">
        <v>674</v>
      </c>
      <c r="O6186" s="10" t="n">
        <v>0.205286819254979</v>
      </c>
      <c r="P6186" s="10" t="n">
        <v>0.303055507596582</v>
      </c>
      <c r="Q6186" s="0" t="str">
        <f aca="false">SUBSTITUTE(SUBSTITUTE($I6186,CHAR(61),""),CHAR(34),"")</f>
        <v>15-24</v>
      </c>
      <c r="R6186" s="0" t="str">
        <f aca="false">IF($D6186&lt;&gt;"","["&amp;$E6186&amp;"]"&amp;"|"&amp;$Q6186&amp;"|"&amp;$K6186&amp;"|"&amp;$G6186&amp;"|"&amp;IF($G6186="TX_CURR_SUBNAT.R","CY2022Q4",$M6186),"")</f>
        <v>[lLDyBx5XyUi]|15-24|Male|NEW_INFECTIONS_SUBNAT.T|CY2024Q3</v>
      </c>
    </row>
    <row r="6187" customFormat="false" ht="15" hidden="false" customHeight="false" outlineLevel="0" collapsed="false">
      <c r="D6187" s="0" t="s">
        <v>75</v>
      </c>
      <c r="E6187" s="0" t="s">
        <v>76</v>
      </c>
      <c r="F6187" s="0" t="s">
        <v>77</v>
      </c>
      <c r="G6187" s="0" t="s">
        <v>170</v>
      </c>
      <c r="H6187" s="0" t="s">
        <v>170</v>
      </c>
      <c r="I6187" s="0" t="s">
        <v>41</v>
      </c>
      <c r="J6187" s="0" t="s">
        <v>42</v>
      </c>
      <c r="K6187" s="0" t="s">
        <v>48</v>
      </c>
      <c r="L6187" s="0" t="s">
        <v>49</v>
      </c>
      <c r="M6187" s="0" t="s">
        <v>167</v>
      </c>
      <c r="N6187" s="0" t="n">
        <v>1899</v>
      </c>
      <c r="O6187" s="10" t="n">
        <v>0.789247968001291</v>
      </c>
      <c r="P6187" s="10" t="n">
        <v>0.303055507596582</v>
      </c>
      <c r="Q6187" s="0" t="str">
        <f aca="false">SUBSTITUTE(SUBSTITUTE($I6187,CHAR(61),""),CHAR(34),"")</f>
        <v>25-34</v>
      </c>
      <c r="R6187" s="0" t="str">
        <f aca="false">IF($D6187&lt;&gt;"","["&amp;$E6187&amp;"]"&amp;"|"&amp;$Q6187&amp;"|"&amp;$K6187&amp;"|"&amp;$G6187&amp;"|"&amp;IF($G6187="TX_CURR_SUBNAT.R","CY2022Q4",$M6187),"")</f>
        <v>[lLDyBx5XyUi]|25-34|Male|NEW_INFECTIONS_SUBNAT.T|CY2024Q3</v>
      </c>
    </row>
    <row r="6188" customFormat="false" ht="15" hidden="false" customHeight="false" outlineLevel="0" collapsed="false">
      <c r="D6188" s="0" t="s">
        <v>75</v>
      </c>
      <c r="E6188" s="0" t="s">
        <v>76</v>
      </c>
      <c r="F6188" s="0" t="s">
        <v>77</v>
      </c>
      <c r="G6188" s="0" t="s">
        <v>170</v>
      </c>
      <c r="H6188" s="0" t="s">
        <v>170</v>
      </c>
      <c r="I6188" s="0" t="s">
        <v>43</v>
      </c>
      <c r="J6188" s="0" t="s">
        <v>44</v>
      </c>
      <c r="K6188" s="0" t="s">
        <v>48</v>
      </c>
      <c r="L6188" s="0" t="s">
        <v>49</v>
      </c>
      <c r="M6188" s="0" t="s">
        <v>167</v>
      </c>
      <c r="N6188" s="0" t="n">
        <v>1773</v>
      </c>
      <c r="O6188" s="10" t="n">
        <v>0.692174274241552</v>
      </c>
      <c r="P6188" s="10" t="n">
        <v>0.303055507596582</v>
      </c>
      <c r="Q6188" s="0" t="str">
        <f aca="false">SUBSTITUTE(SUBSTITUTE($I6188,CHAR(61),""),CHAR(34),"")</f>
        <v>35-49</v>
      </c>
      <c r="R6188" s="0" t="str">
        <f aca="false">IF($D6188&lt;&gt;"","["&amp;$E6188&amp;"]"&amp;"|"&amp;$Q6188&amp;"|"&amp;$K6188&amp;"|"&amp;$G6188&amp;"|"&amp;IF($G6188="TX_CURR_SUBNAT.R","CY2022Q4",$M6188),"")</f>
        <v>[lLDyBx5XyUi]|35-49|Male|NEW_INFECTIONS_SUBNAT.T|CY2024Q3</v>
      </c>
    </row>
    <row r="6189" customFormat="false" ht="15" hidden="false" customHeight="false" outlineLevel="0" collapsed="false">
      <c r="D6189" s="0" t="s">
        <v>75</v>
      </c>
      <c r="E6189" s="0" t="s">
        <v>76</v>
      </c>
      <c r="F6189" s="0" t="s">
        <v>77</v>
      </c>
      <c r="G6189" s="0" t="s">
        <v>170</v>
      </c>
      <c r="H6189" s="0" t="s">
        <v>170</v>
      </c>
      <c r="I6189" s="0" t="s">
        <v>45</v>
      </c>
      <c r="J6189" s="0" t="s">
        <v>46</v>
      </c>
      <c r="K6189" s="0" t="s">
        <v>48</v>
      </c>
      <c r="L6189" s="0" t="s">
        <v>49</v>
      </c>
      <c r="M6189" s="0" t="s">
        <v>167</v>
      </c>
      <c r="N6189" s="0" t="n">
        <v>1114</v>
      </c>
      <c r="O6189" s="10" t="n">
        <v>0.71899455669336</v>
      </c>
      <c r="P6189" s="10" t="n">
        <v>0.303055507596582</v>
      </c>
      <c r="Q6189" s="0" t="str">
        <f aca="false">SUBSTITUTE(SUBSTITUTE($I6189,CHAR(61),""),CHAR(34),"")</f>
        <v>50+</v>
      </c>
      <c r="R6189" s="0" t="str">
        <f aca="false">IF($D6189&lt;&gt;"","["&amp;$E6189&amp;"]"&amp;"|"&amp;$Q6189&amp;"|"&amp;$K6189&amp;"|"&amp;$G6189&amp;"|"&amp;IF($G6189="TX_CURR_SUBNAT.R","CY2022Q4",$M6189),"")</f>
        <v>[lLDyBx5XyUi]|50+|Male|NEW_INFECTIONS_SUBNAT.T|CY2024Q3</v>
      </c>
    </row>
    <row r="6190" customFormat="false" ht="15" hidden="false" customHeight="false" outlineLevel="0" collapsed="false">
      <c r="D6190" s="0" t="s">
        <v>78</v>
      </c>
      <c r="E6190" s="0" t="s">
        <v>79</v>
      </c>
      <c r="F6190" s="0" t="s">
        <v>80</v>
      </c>
      <c r="G6190" s="0" t="s">
        <v>170</v>
      </c>
      <c r="H6190" s="0" t="s">
        <v>170</v>
      </c>
      <c r="I6190" s="0" t="s">
        <v>28</v>
      </c>
      <c r="J6190" s="0" t="s">
        <v>29</v>
      </c>
      <c r="K6190" s="0" t="s">
        <v>30</v>
      </c>
      <c r="L6190" s="0" t="s">
        <v>31</v>
      </c>
      <c r="M6190" s="0" t="s">
        <v>167</v>
      </c>
      <c r="N6190" s="0" t="n">
        <v>512</v>
      </c>
      <c r="O6190" s="10" t="n">
        <v>0.105294120963663</v>
      </c>
      <c r="P6190" s="10" t="n">
        <v>0.831597982207313</v>
      </c>
      <c r="Q6190" s="0" t="str">
        <f aca="false">SUBSTITUTE(SUBSTITUTE($I6190,CHAR(61),""),CHAR(34),"")</f>
        <v>&lt;01</v>
      </c>
      <c r="R6190" s="0" t="str">
        <f aca="false">IF($D6190&lt;&gt;"","["&amp;$E6190&amp;"]"&amp;"|"&amp;$Q6190&amp;"|"&amp;$K6190&amp;"|"&amp;$G6190&amp;"|"&amp;IF($G6190="TX_CURR_SUBNAT.R","CY2022Q4",$M6190),"")</f>
        <v>[TYnMSwzko3z]|&lt;01|Female|NEW_INFECTIONS_SUBNAT.T|CY2024Q3</v>
      </c>
    </row>
    <row r="6191" customFormat="false" ht="15" hidden="false" customHeight="false" outlineLevel="0" collapsed="false">
      <c r="D6191" s="0" t="s">
        <v>78</v>
      </c>
      <c r="E6191" s="0" t="s">
        <v>79</v>
      </c>
      <c r="F6191" s="0" t="s">
        <v>80</v>
      </c>
      <c r="G6191" s="0" t="s">
        <v>170</v>
      </c>
      <c r="H6191" s="0" t="s">
        <v>170</v>
      </c>
      <c r="I6191" s="0" t="s">
        <v>33</v>
      </c>
      <c r="J6191" s="0" t="s">
        <v>34</v>
      </c>
      <c r="K6191" s="0" t="s">
        <v>30</v>
      </c>
      <c r="L6191" s="0" t="s">
        <v>31</v>
      </c>
      <c r="M6191" s="0" t="s">
        <v>167</v>
      </c>
      <c r="N6191" s="0" t="n">
        <v>887</v>
      </c>
      <c r="O6191" s="10" t="n">
        <v>0.942663404159248</v>
      </c>
      <c r="P6191" s="10" t="n">
        <v>0.831597982207313</v>
      </c>
      <c r="Q6191" s="0" t="str">
        <f aca="false">SUBSTITUTE(SUBSTITUTE($I6191,CHAR(61),""),CHAR(34),"")</f>
        <v>01-09</v>
      </c>
      <c r="R6191" s="0" t="str">
        <f aca="false">IF($D6191&lt;&gt;"","["&amp;$E6191&amp;"]"&amp;"|"&amp;$Q6191&amp;"|"&amp;$K6191&amp;"|"&amp;$G6191&amp;"|"&amp;IF($G6191="TX_CURR_SUBNAT.R","CY2022Q4",$M6191),"")</f>
        <v>[TYnMSwzko3z]|01-09|Female|NEW_INFECTIONS_SUBNAT.T|CY2024Q3</v>
      </c>
    </row>
    <row r="6192" customFormat="false" ht="15" hidden="false" customHeight="false" outlineLevel="0" collapsed="false">
      <c r="D6192" s="0" t="s">
        <v>78</v>
      </c>
      <c r="E6192" s="0" t="s">
        <v>79</v>
      </c>
      <c r="F6192" s="0" t="s">
        <v>80</v>
      </c>
      <c r="G6192" s="0" t="s">
        <v>170</v>
      </c>
      <c r="H6192" s="0" t="s">
        <v>170</v>
      </c>
      <c r="I6192" s="0" t="s">
        <v>36</v>
      </c>
      <c r="J6192" s="0" t="s">
        <v>37</v>
      </c>
      <c r="K6192" s="0" t="s">
        <v>30</v>
      </c>
      <c r="L6192" s="0" t="s">
        <v>31</v>
      </c>
      <c r="M6192" s="0" t="s">
        <v>167</v>
      </c>
      <c r="N6192" s="0" t="n">
        <v>1480</v>
      </c>
      <c r="O6192" s="10" t="n">
        <v>0.47943180706352</v>
      </c>
      <c r="P6192" s="10" t="n">
        <v>0.831597982207313</v>
      </c>
      <c r="Q6192" s="0" t="str">
        <f aca="false">SUBSTITUTE(SUBSTITUTE($I6192,CHAR(61),""),CHAR(34),"")</f>
        <v>10-14</v>
      </c>
      <c r="R6192" s="0" t="str">
        <f aca="false">IF($D6192&lt;&gt;"","["&amp;$E6192&amp;"]"&amp;"|"&amp;$Q6192&amp;"|"&amp;$K6192&amp;"|"&amp;$G6192&amp;"|"&amp;IF($G6192="TX_CURR_SUBNAT.R","CY2022Q4",$M6192),"")</f>
        <v>[TYnMSwzko3z]|10-14|Female|NEW_INFECTIONS_SUBNAT.T|CY2024Q3</v>
      </c>
    </row>
    <row r="6193" customFormat="false" ht="15" hidden="false" customHeight="false" outlineLevel="0" collapsed="false">
      <c r="D6193" s="0" t="s">
        <v>78</v>
      </c>
      <c r="E6193" s="0" t="s">
        <v>79</v>
      </c>
      <c r="F6193" s="0" t="s">
        <v>80</v>
      </c>
      <c r="G6193" s="0" t="s">
        <v>170</v>
      </c>
      <c r="H6193" s="0" t="s">
        <v>170</v>
      </c>
      <c r="I6193" s="0" t="s">
        <v>38</v>
      </c>
      <c r="J6193" s="0" t="s">
        <v>39</v>
      </c>
      <c r="K6193" s="0" t="s">
        <v>30</v>
      </c>
      <c r="L6193" s="0" t="s">
        <v>31</v>
      </c>
      <c r="M6193" s="0" t="s">
        <v>167</v>
      </c>
      <c r="N6193" s="0" t="n">
        <v>1290</v>
      </c>
      <c r="O6193" s="10" t="n">
        <v>0.879514769650996</v>
      </c>
      <c r="P6193" s="10" t="n">
        <v>0.831597982207313</v>
      </c>
      <c r="Q6193" s="0" t="str">
        <f aca="false">SUBSTITUTE(SUBSTITUTE($I6193,CHAR(61),""),CHAR(34),"")</f>
        <v>15-24</v>
      </c>
      <c r="R6193" s="0" t="str">
        <f aca="false">IF($D6193&lt;&gt;"","["&amp;$E6193&amp;"]"&amp;"|"&amp;$Q6193&amp;"|"&amp;$K6193&amp;"|"&amp;$G6193&amp;"|"&amp;IF($G6193="TX_CURR_SUBNAT.R","CY2022Q4",$M6193),"")</f>
        <v>[TYnMSwzko3z]|15-24|Female|NEW_INFECTIONS_SUBNAT.T|CY2024Q3</v>
      </c>
    </row>
    <row r="6194" customFormat="false" ht="15" hidden="false" customHeight="false" outlineLevel="0" collapsed="false">
      <c r="D6194" s="0" t="s">
        <v>78</v>
      </c>
      <c r="E6194" s="0" t="s">
        <v>79</v>
      </c>
      <c r="F6194" s="0" t="s">
        <v>80</v>
      </c>
      <c r="G6194" s="0" t="s">
        <v>170</v>
      </c>
      <c r="H6194" s="0" t="s">
        <v>170</v>
      </c>
      <c r="I6194" s="0" t="s">
        <v>41</v>
      </c>
      <c r="J6194" s="0" t="s">
        <v>42</v>
      </c>
      <c r="K6194" s="0" t="s">
        <v>30</v>
      </c>
      <c r="L6194" s="0" t="s">
        <v>31</v>
      </c>
      <c r="M6194" s="0" t="s">
        <v>167</v>
      </c>
      <c r="N6194" s="0" t="n">
        <v>567</v>
      </c>
      <c r="O6194" s="10" t="n">
        <v>0.818298442987725</v>
      </c>
      <c r="P6194" s="10" t="n">
        <v>0.831597982207313</v>
      </c>
      <c r="Q6194" s="0" t="str">
        <f aca="false">SUBSTITUTE(SUBSTITUTE($I6194,CHAR(61),""),CHAR(34),"")</f>
        <v>25-34</v>
      </c>
      <c r="R6194" s="0" t="str">
        <f aca="false">IF($D6194&lt;&gt;"","["&amp;$E6194&amp;"]"&amp;"|"&amp;$Q6194&amp;"|"&amp;$K6194&amp;"|"&amp;$G6194&amp;"|"&amp;IF($G6194="TX_CURR_SUBNAT.R","CY2022Q4",$M6194),"")</f>
        <v>[TYnMSwzko3z]|25-34|Female|NEW_INFECTIONS_SUBNAT.T|CY2024Q3</v>
      </c>
    </row>
    <row r="6195" customFormat="false" ht="15" hidden="false" customHeight="false" outlineLevel="0" collapsed="false">
      <c r="D6195" s="0" t="s">
        <v>78</v>
      </c>
      <c r="E6195" s="0" t="s">
        <v>79</v>
      </c>
      <c r="F6195" s="0" t="s">
        <v>80</v>
      </c>
      <c r="G6195" s="0" t="s">
        <v>170</v>
      </c>
      <c r="H6195" s="0" t="s">
        <v>170</v>
      </c>
      <c r="I6195" s="0" t="s">
        <v>43</v>
      </c>
      <c r="J6195" s="0" t="s">
        <v>44</v>
      </c>
      <c r="K6195" s="0" t="s">
        <v>30</v>
      </c>
      <c r="L6195" s="0" t="s">
        <v>31</v>
      </c>
      <c r="M6195" s="0" t="s">
        <v>167</v>
      </c>
      <c r="N6195" s="0" t="n">
        <v>1891</v>
      </c>
      <c r="O6195" s="10" t="n">
        <v>0.643263733712956</v>
      </c>
      <c r="P6195" s="10" t="n">
        <v>0.831597982207313</v>
      </c>
      <c r="Q6195" s="0" t="str">
        <f aca="false">SUBSTITUTE(SUBSTITUTE($I6195,CHAR(61),""),CHAR(34),"")</f>
        <v>35-49</v>
      </c>
      <c r="R6195" s="0" t="str">
        <f aca="false">IF($D6195&lt;&gt;"","["&amp;$E6195&amp;"]"&amp;"|"&amp;$Q6195&amp;"|"&amp;$K6195&amp;"|"&amp;$G6195&amp;"|"&amp;IF($G6195="TX_CURR_SUBNAT.R","CY2022Q4",$M6195),"")</f>
        <v>[TYnMSwzko3z]|35-49|Female|NEW_INFECTIONS_SUBNAT.T|CY2024Q3</v>
      </c>
    </row>
    <row r="6196" customFormat="false" ht="15" hidden="false" customHeight="false" outlineLevel="0" collapsed="false">
      <c r="D6196" s="0" t="s">
        <v>78</v>
      </c>
      <c r="E6196" s="0" t="s">
        <v>79</v>
      </c>
      <c r="F6196" s="0" t="s">
        <v>80</v>
      </c>
      <c r="G6196" s="0" t="s">
        <v>170</v>
      </c>
      <c r="H6196" s="0" t="s">
        <v>170</v>
      </c>
      <c r="I6196" s="0" t="s">
        <v>45</v>
      </c>
      <c r="J6196" s="0" t="s">
        <v>46</v>
      </c>
      <c r="K6196" s="0" t="s">
        <v>30</v>
      </c>
      <c r="L6196" s="0" t="s">
        <v>31</v>
      </c>
      <c r="M6196" s="0" t="s">
        <v>167</v>
      </c>
      <c r="N6196" s="0" t="n">
        <v>1975</v>
      </c>
      <c r="O6196" s="10" t="n">
        <v>0.724357131868601</v>
      </c>
      <c r="P6196" s="10" t="n">
        <v>0.831597982207313</v>
      </c>
      <c r="Q6196" s="0" t="str">
        <f aca="false">SUBSTITUTE(SUBSTITUTE($I6196,CHAR(61),""),CHAR(34),"")</f>
        <v>50+</v>
      </c>
      <c r="R6196" s="0" t="str">
        <f aca="false">IF($D6196&lt;&gt;"","["&amp;$E6196&amp;"]"&amp;"|"&amp;$Q6196&amp;"|"&amp;$K6196&amp;"|"&amp;$G6196&amp;"|"&amp;IF($G6196="TX_CURR_SUBNAT.R","CY2022Q4",$M6196),"")</f>
        <v>[TYnMSwzko3z]|50+|Female|NEW_INFECTIONS_SUBNAT.T|CY2024Q3</v>
      </c>
    </row>
    <row r="6197" customFormat="false" ht="15" hidden="false" customHeight="false" outlineLevel="0" collapsed="false">
      <c r="D6197" s="0" t="s">
        <v>78</v>
      </c>
      <c r="E6197" s="0" t="s">
        <v>79</v>
      </c>
      <c r="F6197" s="0" t="s">
        <v>80</v>
      </c>
      <c r="G6197" s="0" t="s">
        <v>170</v>
      </c>
      <c r="H6197" s="0" t="s">
        <v>170</v>
      </c>
      <c r="I6197" s="0" t="s">
        <v>28</v>
      </c>
      <c r="J6197" s="0" t="s">
        <v>29</v>
      </c>
      <c r="K6197" s="0" t="s">
        <v>48</v>
      </c>
      <c r="L6197" s="0" t="s">
        <v>49</v>
      </c>
      <c r="M6197" s="0" t="s">
        <v>167</v>
      </c>
      <c r="N6197" s="0" t="n">
        <v>1916</v>
      </c>
      <c r="O6197" s="10" t="n">
        <v>0.5665243412368</v>
      </c>
      <c r="P6197" s="10" t="n">
        <v>0.831597982207313</v>
      </c>
      <c r="Q6197" s="0" t="str">
        <f aca="false">SUBSTITUTE(SUBSTITUTE($I6197,CHAR(61),""),CHAR(34),"")</f>
        <v>&lt;01</v>
      </c>
      <c r="R6197" s="0" t="str">
        <f aca="false">IF($D6197&lt;&gt;"","["&amp;$E6197&amp;"]"&amp;"|"&amp;$Q6197&amp;"|"&amp;$K6197&amp;"|"&amp;$G6197&amp;"|"&amp;IF($G6197="TX_CURR_SUBNAT.R","CY2022Q4",$M6197),"")</f>
        <v>[TYnMSwzko3z]|&lt;01|Male|NEW_INFECTIONS_SUBNAT.T|CY2024Q3</v>
      </c>
    </row>
    <row r="6198" customFormat="false" ht="15" hidden="false" customHeight="false" outlineLevel="0" collapsed="false">
      <c r="D6198" s="0" t="s">
        <v>78</v>
      </c>
      <c r="E6198" s="0" t="s">
        <v>79</v>
      </c>
      <c r="F6198" s="0" t="s">
        <v>80</v>
      </c>
      <c r="G6198" s="0" t="s">
        <v>170</v>
      </c>
      <c r="H6198" s="0" t="s">
        <v>170</v>
      </c>
      <c r="I6198" s="0" t="s">
        <v>33</v>
      </c>
      <c r="J6198" s="0" t="s">
        <v>34</v>
      </c>
      <c r="K6198" s="0" t="s">
        <v>48</v>
      </c>
      <c r="L6198" s="0" t="s">
        <v>49</v>
      </c>
      <c r="M6198" s="0" t="s">
        <v>167</v>
      </c>
      <c r="N6198" s="0" t="n">
        <v>1525</v>
      </c>
      <c r="O6198" s="10" t="n">
        <v>0.2222117385827</v>
      </c>
      <c r="P6198" s="10" t="n">
        <v>0.831597982207313</v>
      </c>
      <c r="Q6198" s="0" t="str">
        <f aca="false">SUBSTITUTE(SUBSTITUTE($I6198,CHAR(61),""),CHAR(34),"")</f>
        <v>01-09</v>
      </c>
      <c r="R6198" s="0" t="str">
        <f aca="false">IF($D6198&lt;&gt;"","["&amp;$E6198&amp;"]"&amp;"|"&amp;$Q6198&amp;"|"&amp;$K6198&amp;"|"&amp;$G6198&amp;"|"&amp;IF($G6198="TX_CURR_SUBNAT.R","CY2022Q4",$M6198),"")</f>
        <v>[TYnMSwzko3z]|01-09|Male|NEW_INFECTIONS_SUBNAT.T|CY2024Q3</v>
      </c>
    </row>
    <row r="6199" customFormat="false" ht="15" hidden="false" customHeight="false" outlineLevel="0" collapsed="false">
      <c r="D6199" s="0" t="s">
        <v>78</v>
      </c>
      <c r="E6199" s="0" t="s">
        <v>79</v>
      </c>
      <c r="F6199" s="0" t="s">
        <v>80</v>
      </c>
      <c r="G6199" s="0" t="s">
        <v>170</v>
      </c>
      <c r="H6199" s="0" t="s">
        <v>170</v>
      </c>
      <c r="I6199" s="0" t="s">
        <v>36</v>
      </c>
      <c r="J6199" s="0" t="s">
        <v>37</v>
      </c>
      <c r="K6199" s="0" t="s">
        <v>48</v>
      </c>
      <c r="L6199" s="0" t="s">
        <v>49</v>
      </c>
      <c r="M6199" s="0" t="s">
        <v>167</v>
      </c>
      <c r="N6199" s="0" t="n">
        <v>1180</v>
      </c>
      <c r="O6199" s="10" t="n">
        <v>0.552164756692946</v>
      </c>
      <c r="P6199" s="10" t="n">
        <v>0.831597982207313</v>
      </c>
      <c r="Q6199" s="0" t="str">
        <f aca="false">SUBSTITUTE(SUBSTITUTE($I6199,CHAR(61),""),CHAR(34),"")</f>
        <v>10-14</v>
      </c>
      <c r="R6199" s="0" t="str">
        <f aca="false">IF($D6199&lt;&gt;"","["&amp;$E6199&amp;"]"&amp;"|"&amp;$Q6199&amp;"|"&amp;$K6199&amp;"|"&amp;$G6199&amp;"|"&amp;IF($G6199="TX_CURR_SUBNAT.R","CY2022Q4",$M6199),"")</f>
        <v>[TYnMSwzko3z]|10-14|Male|NEW_INFECTIONS_SUBNAT.T|CY2024Q3</v>
      </c>
    </row>
    <row r="6200" customFormat="false" ht="15" hidden="false" customHeight="false" outlineLevel="0" collapsed="false">
      <c r="D6200" s="0" t="s">
        <v>78</v>
      </c>
      <c r="E6200" s="0" t="s">
        <v>79</v>
      </c>
      <c r="F6200" s="0" t="s">
        <v>80</v>
      </c>
      <c r="G6200" s="0" t="s">
        <v>170</v>
      </c>
      <c r="H6200" s="0" t="s">
        <v>170</v>
      </c>
      <c r="I6200" s="0" t="s">
        <v>38</v>
      </c>
      <c r="J6200" s="0" t="s">
        <v>39</v>
      </c>
      <c r="K6200" s="0" t="s">
        <v>48</v>
      </c>
      <c r="L6200" s="0" t="s">
        <v>49</v>
      </c>
      <c r="M6200" s="0" t="s">
        <v>167</v>
      </c>
      <c r="N6200" s="0" t="n">
        <v>910</v>
      </c>
      <c r="O6200" s="10" t="n">
        <v>0.95274082524702</v>
      </c>
      <c r="P6200" s="10" t="n">
        <v>0.831597982207313</v>
      </c>
      <c r="Q6200" s="0" t="str">
        <f aca="false">SUBSTITUTE(SUBSTITUTE($I6200,CHAR(61),""),CHAR(34),"")</f>
        <v>15-24</v>
      </c>
      <c r="R6200" s="0" t="str">
        <f aca="false">IF($D6200&lt;&gt;"","["&amp;$E6200&amp;"]"&amp;"|"&amp;$Q6200&amp;"|"&amp;$K6200&amp;"|"&amp;$G6200&amp;"|"&amp;IF($G6200="TX_CURR_SUBNAT.R","CY2022Q4",$M6200),"")</f>
        <v>[TYnMSwzko3z]|15-24|Male|NEW_INFECTIONS_SUBNAT.T|CY2024Q3</v>
      </c>
    </row>
    <row r="6201" customFormat="false" ht="15" hidden="false" customHeight="false" outlineLevel="0" collapsed="false">
      <c r="D6201" s="0" t="s">
        <v>78</v>
      </c>
      <c r="E6201" s="0" t="s">
        <v>79</v>
      </c>
      <c r="F6201" s="0" t="s">
        <v>80</v>
      </c>
      <c r="G6201" s="0" t="s">
        <v>170</v>
      </c>
      <c r="H6201" s="0" t="s">
        <v>170</v>
      </c>
      <c r="I6201" s="0" t="s">
        <v>41</v>
      </c>
      <c r="J6201" s="0" t="s">
        <v>42</v>
      </c>
      <c r="K6201" s="0" t="s">
        <v>48</v>
      </c>
      <c r="L6201" s="0" t="s">
        <v>49</v>
      </c>
      <c r="M6201" s="0" t="s">
        <v>167</v>
      </c>
      <c r="N6201" s="0" t="n">
        <v>1435</v>
      </c>
      <c r="O6201" s="10" t="n">
        <v>0.286065792664886</v>
      </c>
      <c r="P6201" s="10" t="n">
        <v>0.831597982207313</v>
      </c>
      <c r="Q6201" s="0" t="str">
        <f aca="false">SUBSTITUTE(SUBSTITUTE($I6201,CHAR(61),""),CHAR(34),"")</f>
        <v>25-34</v>
      </c>
      <c r="R6201" s="0" t="str">
        <f aca="false">IF($D6201&lt;&gt;"","["&amp;$E6201&amp;"]"&amp;"|"&amp;$Q6201&amp;"|"&amp;$K6201&amp;"|"&amp;$G6201&amp;"|"&amp;IF($G6201="TX_CURR_SUBNAT.R","CY2022Q4",$M6201),"")</f>
        <v>[TYnMSwzko3z]|25-34|Male|NEW_INFECTIONS_SUBNAT.T|CY2024Q3</v>
      </c>
    </row>
    <row r="6202" customFormat="false" ht="15" hidden="false" customHeight="false" outlineLevel="0" collapsed="false">
      <c r="D6202" s="0" t="s">
        <v>78</v>
      </c>
      <c r="E6202" s="0" t="s">
        <v>79</v>
      </c>
      <c r="F6202" s="0" t="s">
        <v>80</v>
      </c>
      <c r="G6202" s="0" t="s">
        <v>170</v>
      </c>
      <c r="H6202" s="0" t="s">
        <v>170</v>
      </c>
      <c r="I6202" s="0" t="s">
        <v>43</v>
      </c>
      <c r="J6202" s="0" t="s">
        <v>44</v>
      </c>
      <c r="K6202" s="0" t="s">
        <v>48</v>
      </c>
      <c r="L6202" s="0" t="s">
        <v>49</v>
      </c>
      <c r="M6202" s="0" t="s">
        <v>167</v>
      </c>
      <c r="N6202" s="0" t="n">
        <v>1570</v>
      </c>
      <c r="O6202" s="10" t="n">
        <v>0.925408555194736</v>
      </c>
      <c r="P6202" s="10" t="n">
        <v>0.831597982207313</v>
      </c>
      <c r="Q6202" s="0" t="str">
        <f aca="false">SUBSTITUTE(SUBSTITUTE($I6202,CHAR(61),""),CHAR(34),"")</f>
        <v>35-49</v>
      </c>
      <c r="R6202" s="0" t="str">
        <f aca="false">IF($D6202&lt;&gt;"","["&amp;$E6202&amp;"]"&amp;"|"&amp;$Q6202&amp;"|"&amp;$K6202&amp;"|"&amp;$G6202&amp;"|"&amp;IF($G6202="TX_CURR_SUBNAT.R","CY2022Q4",$M6202),"")</f>
        <v>[TYnMSwzko3z]|35-49|Male|NEW_INFECTIONS_SUBNAT.T|CY2024Q3</v>
      </c>
    </row>
    <row r="6203" customFormat="false" ht="15" hidden="false" customHeight="false" outlineLevel="0" collapsed="false">
      <c r="D6203" s="0" t="s">
        <v>78</v>
      </c>
      <c r="E6203" s="0" t="s">
        <v>79</v>
      </c>
      <c r="F6203" s="0" t="s">
        <v>80</v>
      </c>
      <c r="G6203" s="0" t="s">
        <v>170</v>
      </c>
      <c r="H6203" s="0" t="s">
        <v>170</v>
      </c>
      <c r="I6203" s="0" t="s">
        <v>45</v>
      </c>
      <c r="J6203" s="0" t="s">
        <v>46</v>
      </c>
      <c r="K6203" s="0" t="s">
        <v>48</v>
      </c>
      <c r="L6203" s="0" t="s">
        <v>49</v>
      </c>
      <c r="M6203" s="0" t="s">
        <v>167</v>
      </c>
      <c r="N6203" s="0" t="n">
        <v>1161</v>
      </c>
      <c r="O6203" s="10" t="n">
        <v>0.823696018196642</v>
      </c>
      <c r="P6203" s="10" t="n">
        <v>0.831597982207313</v>
      </c>
      <c r="Q6203" s="0" t="str">
        <f aca="false">SUBSTITUTE(SUBSTITUTE($I6203,CHAR(61),""),CHAR(34),"")</f>
        <v>50+</v>
      </c>
      <c r="R6203" s="0" t="str">
        <f aca="false">IF($D6203&lt;&gt;"","["&amp;$E6203&amp;"]"&amp;"|"&amp;$Q6203&amp;"|"&amp;$K6203&amp;"|"&amp;$G6203&amp;"|"&amp;IF($G6203="TX_CURR_SUBNAT.R","CY2022Q4",$M6203),"")</f>
        <v>[TYnMSwzko3z]|50+|Male|NEW_INFECTIONS_SUBNAT.T|CY2024Q3</v>
      </c>
    </row>
    <row r="6204" customFormat="false" ht="15" hidden="false" customHeight="false" outlineLevel="0" collapsed="false">
      <c r="D6204" s="0" t="s">
        <v>81</v>
      </c>
      <c r="E6204" s="0" t="s">
        <v>82</v>
      </c>
      <c r="F6204" s="0" t="s">
        <v>83</v>
      </c>
      <c r="G6204" s="0" t="s">
        <v>170</v>
      </c>
      <c r="H6204" s="0" t="s">
        <v>170</v>
      </c>
      <c r="I6204" s="0" t="s">
        <v>28</v>
      </c>
      <c r="J6204" s="0" t="s">
        <v>29</v>
      </c>
      <c r="K6204" s="0" t="s">
        <v>30</v>
      </c>
      <c r="L6204" s="0" t="s">
        <v>31</v>
      </c>
      <c r="M6204" s="0" t="s">
        <v>167</v>
      </c>
      <c r="N6204" s="0" t="n">
        <v>1231</v>
      </c>
      <c r="O6204" s="10" t="n">
        <v>0.363969605416059</v>
      </c>
      <c r="P6204" s="10" t="n">
        <v>0.143331421539187</v>
      </c>
      <c r="Q6204" s="0" t="str">
        <f aca="false">SUBSTITUTE(SUBSTITUTE($I6204,CHAR(61),""),CHAR(34),"")</f>
        <v>&lt;01</v>
      </c>
      <c r="R6204" s="0" t="str">
        <f aca="false">IF($D6204&lt;&gt;"","["&amp;$E6204&amp;"]"&amp;"|"&amp;$Q6204&amp;"|"&amp;$K6204&amp;"|"&amp;$G6204&amp;"|"&amp;IF($G6204="TX_CURR_SUBNAT.R","CY2022Q4",$M6204),"")</f>
        <v>[ir8wuHHzoSs]|&lt;01|Female|NEW_INFECTIONS_SUBNAT.T|CY2024Q3</v>
      </c>
    </row>
    <row r="6205" customFormat="false" ht="15" hidden="false" customHeight="false" outlineLevel="0" collapsed="false">
      <c r="D6205" s="0" t="s">
        <v>81</v>
      </c>
      <c r="E6205" s="0" t="s">
        <v>82</v>
      </c>
      <c r="F6205" s="0" t="s">
        <v>83</v>
      </c>
      <c r="G6205" s="0" t="s">
        <v>170</v>
      </c>
      <c r="H6205" s="0" t="s">
        <v>170</v>
      </c>
      <c r="I6205" s="0" t="s">
        <v>33</v>
      </c>
      <c r="J6205" s="0" t="s">
        <v>34</v>
      </c>
      <c r="K6205" s="0" t="s">
        <v>30</v>
      </c>
      <c r="L6205" s="0" t="s">
        <v>31</v>
      </c>
      <c r="M6205" s="0" t="s">
        <v>167</v>
      </c>
      <c r="N6205" s="0" t="n">
        <v>1363</v>
      </c>
      <c r="O6205" s="10" t="n">
        <v>0.437753995414823</v>
      </c>
      <c r="P6205" s="10" t="n">
        <v>0.143331421539187</v>
      </c>
      <c r="Q6205" s="0" t="str">
        <f aca="false">SUBSTITUTE(SUBSTITUTE($I6205,CHAR(61),""),CHAR(34),"")</f>
        <v>01-09</v>
      </c>
      <c r="R6205" s="0" t="str">
        <f aca="false">IF($D6205&lt;&gt;"","["&amp;$E6205&amp;"]"&amp;"|"&amp;$Q6205&amp;"|"&amp;$K6205&amp;"|"&amp;$G6205&amp;"|"&amp;IF($G6205="TX_CURR_SUBNAT.R","CY2022Q4",$M6205),"")</f>
        <v>[ir8wuHHzoSs]|01-09|Female|NEW_INFECTIONS_SUBNAT.T|CY2024Q3</v>
      </c>
    </row>
    <row r="6206" customFormat="false" ht="15" hidden="false" customHeight="false" outlineLevel="0" collapsed="false">
      <c r="D6206" s="0" t="s">
        <v>81</v>
      </c>
      <c r="E6206" s="0" t="s">
        <v>82</v>
      </c>
      <c r="F6206" s="0" t="s">
        <v>83</v>
      </c>
      <c r="G6206" s="0" t="s">
        <v>170</v>
      </c>
      <c r="H6206" s="0" t="s">
        <v>170</v>
      </c>
      <c r="I6206" s="0" t="s">
        <v>36</v>
      </c>
      <c r="J6206" s="0" t="s">
        <v>37</v>
      </c>
      <c r="K6206" s="0" t="s">
        <v>30</v>
      </c>
      <c r="L6206" s="0" t="s">
        <v>31</v>
      </c>
      <c r="M6206" s="0" t="s">
        <v>167</v>
      </c>
      <c r="N6206" s="0" t="n">
        <v>743</v>
      </c>
      <c r="O6206" s="10" t="n">
        <v>0.34665554529056</v>
      </c>
      <c r="P6206" s="10" t="n">
        <v>0.143331421539187</v>
      </c>
      <c r="Q6206" s="0" t="str">
        <f aca="false">SUBSTITUTE(SUBSTITUTE($I6206,CHAR(61),""),CHAR(34),"")</f>
        <v>10-14</v>
      </c>
      <c r="R6206" s="0" t="str">
        <f aca="false">IF($D6206&lt;&gt;"","["&amp;$E6206&amp;"]"&amp;"|"&amp;$Q6206&amp;"|"&amp;$K6206&amp;"|"&amp;$G6206&amp;"|"&amp;IF($G6206="TX_CURR_SUBNAT.R","CY2022Q4",$M6206),"")</f>
        <v>[ir8wuHHzoSs]|10-14|Female|NEW_INFECTIONS_SUBNAT.T|CY2024Q3</v>
      </c>
    </row>
    <row r="6207" customFormat="false" ht="15" hidden="false" customHeight="false" outlineLevel="0" collapsed="false">
      <c r="D6207" s="0" t="s">
        <v>81</v>
      </c>
      <c r="E6207" s="0" t="s">
        <v>82</v>
      </c>
      <c r="F6207" s="0" t="s">
        <v>83</v>
      </c>
      <c r="G6207" s="0" t="s">
        <v>170</v>
      </c>
      <c r="H6207" s="0" t="s">
        <v>170</v>
      </c>
      <c r="I6207" s="0" t="s">
        <v>38</v>
      </c>
      <c r="J6207" s="0" t="s">
        <v>39</v>
      </c>
      <c r="K6207" s="0" t="s">
        <v>30</v>
      </c>
      <c r="L6207" s="0" t="s">
        <v>31</v>
      </c>
      <c r="M6207" s="0" t="s">
        <v>167</v>
      </c>
      <c r="N6207" s="0" t="n">
        <v>594</v>
      </c>
      <c r="O6207" s="10" t="n">
        <v>0.757968958001584</v>
      </c>
      <c r="P6207" s="10" t="n">
        <v>0.143331421539187</v>
      </c>
      <c r="Q6207" s="0" t="str">
        <f aca="false">SUBSTITUTE(SUBSTITUTE($I6207,CHAR(61),""),CHAR(34),"")</f>
        <v>15-24</v>
      </c>
      <c r="R6207" s="0" t="str">
        <f aca="false">IF($D6207&lt;&gt;"","["&amp;$E6207&amp;"]"&amp;"|"&amp;$Q6207&amp;"|"&amp;$K6207&amp;"|"&amp;$G6207&amp;"|"&amp;IF($G6207="TX_CURR_SUBNAT.R","CY2022Q4",$M6207),"")</f>
        <v>[ir8wuHHzoSs]|15-24|Female|NEW_INFECTIONS_SUBNAT.T|CY2024Q3</v>
      </c>
    </row>
    <row r="6208" customFormat="false" ht="15" hidden="false" customHeight="false" outlineLevel="0" collapsed="false">
      <c r="D6208" s="0" t="s">
        <v>81</v>
      </c>
      <c r="E6208" s="0" t="s">
        <v>82</v>
      </c>
      <c r="F6208" s="0" t="s">
        <v>83</v>
      </c>
      <c r="G6208" s="0" t="s">
        <v>170</v>
      </c>
      <c r="H6208" s="0" t="s">
        <v>170</v>
      </c>
      <c r="I6208" s="0" t="s">
        <v>41</v>
      </c>
      <c r="J6208" s="0" t="s">
        <v>42</v>
      </c>
      <c r="K6208" s="0" t="s">
        <v>30</v>
      </c>
      <c r="L6208" s="0" t="s">
        <v>31</v>
      </c>
      <c r="M6208" s="0" t="s">
        <v>167</v>
      </c>
      <c r="N6208" s="0" t="n">
        <v>1879</v>
      </c>
      <c r="O6208" s="10" t="n">
        <v>0.200269596884027</v>
      </c>
      <c r="P6208" s="10" t="n">
        <v>0.143331421539187</v>
      </c>
      <c r="Q6208" s="0" t="str">
        <f aca="false">SUBSTITUTE(SUBSTITUTE($I6208,CHAR(61),""),CHAR(34),"")</f>
        <v>25-34</v>
      </c>
      <c r="R6208" s="0" t="str">
        <f aca="false">IF($D6208&lt;&gt;"","["&amp;$E6208&amp;"]"&amp;"|"&amp;$Q6208&amp;"|"&amp;$K6208&amp;"|"&amp;$G6208&amp;"|"&amp;IF($G6208="TX_CURR_SUBNAT.R","CY2022Q4",$M6208),"")</f>
        <v>[ir8wuHHzoSs]|25-34|Female|NEW_INFECTIONS_SUBNAT.T|CY2024Q3</v>
      </c>
    </row>
    <row r="6209" customFormat="false" ht="15" hidden="false" customHeight="false" outlineLevel="0" collapsed="false">
      <c r="D6209" s="0" t="s">
        <v>81</v>
      </c>
      <c r="E6209" s="0" t="s">
        <v>82</v>
      </c>
      <c r="F6209" s="0" t="s">
        <v>83</v>
      </c>
      <c r="G6209" s="0" t="s">
        <v>170</v>
      </c>
      <c r="H6209" s="0" t="s">
        <v>170</v>
      </c>
      <c r="I6209" s="0" t="s">
        <v>43</v>
      </c>
      <c r="J6209" s="0" t="s">
        <v>44</v>
      </c>
      <c r="K6209" s="0" t="s">
        <v>30</v>
      </c>
      <c r="L6209" s="0" t="s">
        <v>31</v>
      </c>
      <c r="M6209" s="0" t="s">
        <v>167</v>
      </c>
      <c r="N6209" s="0" t="n">
        <v>644</v>
      </c>
      <c r="O6209" s="10" t="n">
        <v>0.220150879118592</v>
      </c>
      <c r="P6209" s="10" t="n">
        <v>0.143331421539187</v>
      </c>
      <c r="Q6209" s="0" t="str">
        <f aca="false">SUBSTITUTE(SUBSTITUTE($I6209,CHAR(61),""),CHAR(34),"")</f>
        <v>35-49</v>
      </c>
      <c r="R6209" s="0" t="str">
        <f aca="false">IF($D6209&lt;&gt;"","["&amp;$E6209&amp;"]"&amp;"|"&amp;$Q6209&amp;"|"&amp;$K6209&amp;"|"&amp;$G6209&amp;"|"&amp;IF($G6209="TX_CURR_SUBNAT.R","CY2022Q4",$M6209),"")</f>
        <v>[ir8wuHHzoSs]|35-49|Female|NEW_INFECTIONS_SUBNAT.T|CY2024Q3</v>
      </c>
    </row>
    <row r="6210" customFormat="false" ht="15" hidden="false" customHeight="false" outlineLevel="0" collapsed="false">
      <c r="D6210" s="0" t="s">
        <v>81</v>
      </c>
      <c r="E6210" s="0" t="s">
        <v>82</v>
      </c>
      <c r="F6210" s="0" t="s">
        <v>83</v>
      </c>
      <c r="G6210" s="0" t="s">
        <v>170</v>
      </c>
      <c r="H6210" s="0" t="s">
        <v>170</v>
      </c>
      <c r="I6210" s="0" t="s">
        <v>45</v>
      </c>
      <c r="J6210" s="0" t="s">
        <v>46</v>
      </c>
      <c r="K6210" s="0" t="s">
        <v>30</v>
      </c>
      <c r="L6210" s="0" t="s">
        <v>31</v>
      </c>
      <c r="M6210" s="0" t="s">
        <v>167</v>
      </c>
      <c r="N6210" s="0" t="n">
        <v>1239</v>
      </c>
      <c r="O6210" s="10" t="n">
        <v>0.403001571539789</v>
      </c>
      <c r="P6210" s="10" t="n">
        <v>0.143331421539187</v>
      </c>
      <c r="Q6210" s="0" t="str">
        <f aca="false">SUBSTITUTE(SUBSTITUTE($I6210,CHAR(61),""),CHAR(34),"")</f>
        <v>50+</v>
      </c>
      <c r="R6210" s="0" t="str">
        <f aca="false">IF($D6210&lt;&gt;"","["&amp;$E6210&amp;"]"&amp;"|"&amp;$Q6210&amp;"|"&amp;$K6210&amp;"|"&amp;$G6210&amp;"|"&amp;IF($G6210="TX_CURR_SUBNAT.R","CY2022Q4",$M6210),"")</f>
        <v>[ir8wuHHzoSs]|50+|Female|NEW_INFECTIONS_SUBNAT.T|CY2024Q3</v>
      </c>
    </row>
    <row r="6211" customFormat="false" ht="15" hidden="false" customHeight="false" outlineLevel="0" collapsed="false">
      <c r="D6211" s="0" t="s">
        <v>81</v>
      </c>
      <c r="E6211" s="0" t="s">
        <v>82</v>
      </c>
      <c r="F6211" s="0" t="s">
        <v>83</v>
      </c>
      <c r="G6211" s="0" t="s">
        <v>170</v>
      </c>
      <c r="H6211" s="0" t="s">
        <v>170</v>
      </c>
      <c r="I6211" s="0" t="s">
        <v>28</v>
      </c>
      <c r="J6211" s="0" t="s">
        <v>29</v>
      </c>
      <c r="K6211" s="0" t="s">
        <v>48</v>
      </c>
      <c r="L6211" s="0" t="s">
        <v>49</v>
      </c>
      <c r="M6211" s="0" t="s">
        <v>167</v>
      </c>
      <c r="N6211" s="0" t="n">
        <v>1301</v>
      </c>
      <c r="O6211" s="10" t="n">
        <v>0.313223298406228</v>
      </c>
      <c r="P6211" s="10" t="n">
        <v>0.143331421539187</v>
      </c>
      <c r="Q6211" s="0" t="str">
        <f aca="false">SUBSTITUTE(SUBSTITUTE($I6211,CHAR(61),""),CHAR(34),"")</f>
        <v>&lt;01</v>
      </c>
      <c r="R6211" s="0" t="str">
        <f aca="false">IF($D6211&lt;&gt;"","["&amp;$E6211&amp;"]"&amp;"|"&amp;$Q6211&amp;"|"&amp;$K6211&amp;"|"&amp;$G6211&amp;"|"&amp;IF($G6211="TX_CURR_SUBNAT.R","CY2022Q4",$M6211),"")</f>
        <v>[ir8wuHHzoSs]|&lt;01|Male|NEW_INFECTIONS_SUBNAT.T|CY2024Q3</v>
      </c>
    </row>
    <row r="6212" customFormat="false" ht="15" hidden="false" customHeight="false" outlineLevel="0" collapsed="false">
      <c r="D6212" s="0" t="s">
        <v>81</v>
      </c>
      <c r="E6212" s="0" t="s">
        <v>82</v>
      </c>
      <c r="F6212" s="0" t="s">
        <v>83</v>
      </c>
      <c r="G6212" s="0" t="s">
        <v>170</v>
      </c>
      <c r="H6212" s="0" t="s">
        <v>170</v>
      </c>
      <c r="I6212" s="0" t="s">
        <v>33</v>
      </c>
      <c r="J6212" s="0" t="s">
        <v>34</v>
      </c>
      <c r="K6212" s="0" t="s">
        <v>48</v>
      </c>
      <c r="L6212" s="0" t="s">
        <v>49</v>
      </c>
      <c r="M6212" s="0" t="s">
        <v>167</v>
      </c>
      <c r="N6212" s="0" t="n">
        <v>1334</v>
      </c>
      <c r="O6212" s="10" t="n">
        <v>0.473095683148131</v>
      </c>
      <c r="P6212" s="10" t="n">
        <v>0.143331421539187</v>
      </c>
      <c r="Q6212" s="0" t="str">
        <f aca="false">SUBSTITUTE(SUBSTITUTE($I6212,CHAR(61),""),CHAR(34),"")</f>
        <v>01-09</v>
      </c>
      <c r="R6212" s="0" t="str">
        <f aca="false">IF($D6212&lt;&gt;"","["&amp;$E6212&amp;"]"&amp;"|"&amp;$Q6212&amp;"|"&amp;$K6212&amp;"|"&amp;$G6212&amp;"|"&amp;IF($G6212="TX_CURR_SUBNAT.R","CY2022Q4",$M6212),"")</f>
        <v>[ir8wuHHzoSs]|01-09|Male|NEW_INFECTIONS_SUBNAT.T|CY2024Q3</v>
      </c>
    </row>
    <row r="6213" customFormat="false" ht="15" hidden="false" customHeight="false" outlineLevel="0" collapsed="false">
      <c r="D6213" s="0" t="s">
        <v>81</v>
      </c>
      <c r="E6213" s="0" t="s">
        <v>82</v>
      </c>
      <c r="F6213" s="0" t="s">
        <v>83</v>
      </c>
      <c r="G6213" s="0" t="s">
        <v>170</v>
      </c>
      <c r="H6213" s="0" t="s">
        <v>170</v>
      </c>
      <c r="I6213" s="0" t="s">
        <v>36</v>
      </c>
      <c r="J6213" s="0" t="s">
        <v>37</v>
      </c>
      <c r="K6213" s="0" t="s">
        <v>48</v>
      </c>
      <c r="L6213" s="0" t="s">
        <v>49</v>
      </c>
      <c r="M6213" s="0" t="s">
        <v>167</v>
      </c>
      <c r="N6213" s="0" t="n">
        <v>503</v>
      </c>
      <c r="O6213" s="10" t="n">
        <v>0.565246771322563</v>
      </c>
      <c r="P6213" s="10" t="n">
        <v>0.143331421539187</v>
      </c>
      <c r="Q6213" s="0" t="str">
        <f aca="false">SUBSTITUTE(SUBSTITUTE($I6213,CHAR(61),""),CHAR(34),"")</f>
        <v>10-14</v>
      </c>
      <c r="R6213" s="0" t="str">
        <f aca="false">IF($D6213&lt;&gt;"","["&amp;$E6213&amp;"]"&amp;"|"&amp;$Q6213&amp;"|"&amp;$K6213&amp;"|"&amp;$G6213&amp;"|"&amp;IF($G6213="TX_CURR_SUBNAT.R","CY2022Q4",$M6213),"")</f>
        <v>[ir8wuHHzoSs]|10-14|Male|NEW_INFECTIONS_SUBNAT.T|CY2024Q3</v>
      </c>
    </row>
    <row r="6214" customFormat="false" ht="15" hidden="false" customHeight="false" outlineLevel="0" collapsed="false">
      <c r="D6214" s="0" t="s">
        <v>81</v>
      </c>
      <c r="E6214" s="0" t="s">
        <v>82</v>
      </c>
      <c r="F6214" s="0" t="s">
        <v>83</v>
      </c>
      <c r="G6214" s="0" t="s">
        <v>170</v>
      </c>
      <c r="H6214" s="0" t="s">
        <v>170</v>
      </c>
      <c r="I6214" s="0" t="s">
        <v>38</v>
      </c>
      <c r="J6214" s="0" t="s">
        <v>39</v>
      </c>
      <c r="K6214" s="0" t="s">
        <v>48</v>
      </c>
      <c r="L6214" s="0" t="s">
        <v>49</v>
      </c>
      <c r="M6214" s="0" t="s">
        <v>167</v>
      </c>
      <c r="N6214" s="0" t="n">
        <v>826</v>
      </c>
      <c r="O6214" s="10" t="n">
        <v>0.223131105536595</v>
      </c>
      <c r="P6214" s="10" t="n">
        <v>0.143331421539187</v>
      </c>
      <c r="Q6214" s="0" t="str">
        <f aca="false">SUBSTITUTE(SUBSTITUTE($I6214,CHAR(61),""),CHAR(34),"")</f>
        <v>15-24</v>
      </c>
      <c r="R6214" s="0" t="str">
        <f aca="false">IF($D6214&lt;&gt;"","["&amp;$E6214&amp;"]"&amp;"|"&amp;$Q6214&amp;"|"&amp;$K6214&amp;"|"&amp;$G6214&amp;"|"&amp;IF($G6214="TX_CURR_SUBNAT.R","CY2022Q4",$M6214),"")</f>
        <v>[ir8wuHHzoSs]|15-24|Male|NEW_INFECTIONS_SUBNAT.T|CY2024Q3</v>
      </c>
    </row>
    <row r="6215" customFormat="false" ht="15" hidden="false" customHeight="false" outlineLevel="0" collapsed="false">
      <c r="D6215" s="0" t="s">
        <v>81</v>
      </c>
      <c r="E6215" s="0" t="s">
        <v>82</v>
      </c>
      <c r="F6215" s="0" t="s">
        <v>83</v>
      </c>
      <c r="G6215" s="0" t="s">
        <v>170</v>
      </c>
      <c r="H6215" s="0" t="s">
        <v>170</v>
      </c>
      <c r="I6215" s="0" t="s">
        <v>41</v>
      </c>
      <c r="J6215" s="0" t="s">
        <v>42</v>
      </c>
      <c r="K6215" s="0" t="s">
        <v>48</v>
      </c>
      <c r="L6215" s="0" t="s">
        <v>49</v>
      </c>
      <c r="M6215" s="0" t="s">
        <v>167</v>
      </c>
      <c r="N6215" s="0" t="n">
        <v>876</v>
      </c>
      <c r="O6215" s="10" t="n">
        <v>0.773656906094402</v>
      </c>
      <c r="P6215" s="10" t="n">
        <v>0.143331421539187</v>
      </c>
      <c r="Q6215" s="0" t="str">
        <f aca="false">SUBSTITUTE(SUBSTITUTE($I6215,CHAR(61),""),CHAR(34),"")</f>
        <v>25-34</v>
      </c>
      <c r="R6215" s="0" t="str">
        <f aca="false">IF($D6215&lt;&gt;"","["&amp;$E6215&amp;"]"&amp;"|"&amp;$Q6215&amp;"|"&amp;$K6215&amp;"|"&amp;$G6215&amp;"|"&amp;IF($G6215="TX_CURR_SUBNAT.R","CY2022Q4",$M6215),"")</f>
        <v>[ir8wuHHzoSs]|25-34|Male|NEW_INFECTIONS_SUBNAT.T|CY2024Q3</v>
      </c>
    </row>
    <row r="6216" customFormat="false" ht="15" hidden="false" customHeight="false" outlineLevel="0" collapsed="false">
      <c r="D6216" s="0" t="s">
        <v>81</v>
      </c>
      <c r="E6216" s="0" t="s">
        <v>82</v>
      </c>
      <c r="F6216" s="0" t="s">
        <v>83</v>
      </c>
      <c r="G6216" s="0" t="s">
        <v>170</v>
      </c>
      <c r="H6216" s="0" t="s">
        <v>170</v>
      </c>
      <c r="I6216" s="0" t="s">
        <v>43</v>
      </c>
      <c r="J6216" s="0" t="s">
        <v>44</v>
      </c>
      <c r="K6216" s="0" t="s">
        <v>48</v>
      </c>
      <c r="L6216" s="0" t="s">
        <v>49</v>
      </c>
      <c r="M6216" s="0" t="s">
        <v>167</v>
      </c>
      <c r="N6216" s="0" t="n">
        <v>1827</v>
      </c>
      <c r="O6216" s="10" t="n">
        <v>0.648136122850701</v>
      </c>
      <c r="P6216" s="10" t="n">
        <v>0.143331421539187</v>
      </c>
      <c r="Q6216" s="0" t="str">
        <f aca="false">SUBSTITUTE(SUBSTITUTE($I6216,CHAR(61),""),CHAR(34),"")</f>
        <v>35-49</v>
      </c>
      <c r="R6216" s="0" t="str">
        <f aca="false">IF($D6216&lt;&gt;"","["&amp;$E6216&amp;"]"&amp;"|"&amp;$Q6216&amp;"|"&amp;$K6216&amp;"|"&amp;$G6216&amp;"|"&amp;IF($G6216="TX_CURR_SUBNAT.R","CY2022Q4",$M6216),"")</f>
        <v>[ir8wuHHzoSs]|35-49|Male|NEW_INFECTIONS_SUBNAT.T|CY2024Q3</v>
      </c>
    </row>
    <row r="6217" customFormat="false" ht="15" hidden="false" customHeight="false" outlineLevel="0" collapsed="false">
      <c r="D6217" s="0" t="s">
        <v>81</v>
      </c>
      <c r="E6217" s="0" t="s">
        <v>82</v>
      </c>
      <c r="F6217" s="0" t="s">
        <v>83</v>
      </c>
      <c r="G6217" s="0" t="s">
        <v>170</v>
      </c>
      <c r="H6217" s="0" t="s">
        <v>170</v>
      </c>
      <c r="I6217" s="0" t="s">
        <v>45</v>
      </c>
      <c r="J6217" s="0" t="s">
        <v>46</v>
      </c>
      <c r="K6217" s="0" t="s">
        <v>48</v>
      </c>
      <c r="L6217" s="0" t="s">
        <v>49</v>
      </c>
      <c r="M6217" s="0" t="s">
        <v>167</v>
      </c>
      <c r="N6217" s="0" t="n">
        <v>703</v>
      </c>
      <c r="O6217" s="10" t="n">
        <v>0.031750004272908</v>
      </c>
      <c r="P6217" s="10" t="n">
        <v>0.143331421539187</v>
      </c>
      <c r="Q6217" s="0" t="str">
        <f aca="false">SUBSTITUTE(SUBSTITUTE($I6217,CHAR(61),""),CHAR(34),"")</f>
        <v>50+</v>
      </c>
      <c r="R6217" s="0" t="str">
        <f aca="false">IF($D6217&lt;&gt;"","["&amp;$E6217&amp;"]"&amp;"|"&amp;$Q6217&amp;"|"&amp;$K6217&amp;"|"&amp;$G6217&amp;"|"&amp;IF($G6217="TX_CURR_SUBNAT.R","CY2022Q4",$M6217),"")</f>
        <v>[ir8wuHHzoSs]|50+|Male|NEW_INFECTIONS_SUBNAT.T|CY2024Q3</v>
      </c>
    </row>
    <row r="6218" customFormat="false" ht="15" hidden="false" customHeight="false" outlineLevel="0" collapsed="false">
      <c r="D6218" s="0" t="s">
        <v>84</v>
      </c>
      <c r="E6218" s="0" t="s">
        <v>85</v>
      </c>
      <c r="F6218" s="0" t="s">
        <v>86</v>
      </c>
      <c r="G6218" s="0" t="s">
        <v>170</v>
      </c>
      <c r="H6218" s="0" t="s">
        <v>170</v>
      </c>
      <c r="I6218" s="0" t="s">
        <v>28</v>
      </c>
      <c r="J6218" s="0" t="s">
        <v>29</v>
      </c>
      <c r="K6218" s="0" t="s">
        <v>30</v>
      </c>
      <c r="L6218" s="0" t="s">
        <v>31</v>
      </c>
      <c r="M6218" s="0" t="s">
        <v>167</v>
      </c>
      <c r="N6218" s="0" t="n">
        <v>1979</v>
      </c>
      <c r="O6218" s="10" t="n">
        <v>0.570848129456863</v>
      </c>
      <c r="P6218" s="10" t="n">
        <v>0.0297887143678963</v>
      </c>
      <c r="Q6218" s="0" t="str">
        <f aca="false">SUBSTITUTE(SUBSTITUTE($I6218,CHAR(61),""),CHAR(34),"")</f>
        <v>&lt;01</v>
      </c>
      <c r="R6218" s="0" t="str">
        <f aca="false">IF($D6218&lt;&gt;"","["&amp;$E6218&amp;"]"&amp;"|"&amp;$Q6218&amp;"|"&amp;$K6218&amp;"|"&amp;$G6218&amp;"|"&amp;IF($G6218="TX_CURR_SUBNAT.R","CY2022Q4",$M6218),"")</f>
        <v>[fyEoGEPERdI]|&lt;01|Female|NEW_INFECTIONS_SUBNAT.T|CY2024Q3</v>
      </c>
    </row>
    <row r="6219" customFormat="false" ht="15" hidden="false" customHeight="false" outlineLevel="0" collapsed="false">
      <c r="D6219" s="0" t="s">
        <v>84</v>
      </c>
      <c r="E6219" s="0" t="s">
        <v>85</v>
      </c>
      <c r="F6219" s="0" t="s">
        <v>86</v>
      </c>
      <c r="G6219" s="0" t="s">
        <v>170</v>
      </c>
      <c r="H6219" s="0" t="s">
        <v>170</v>
      </c>
      <c r="I6219" s="0" t="s">
        <v>33</v>
      </c>
      <c r="J6219" s="0" t="s">
        <v>34</v>
      </c>
      <c r="K6219" s="0" t="s">
        <v>30</v>
      </c>
      <c r="L6219" s="0" t="s">
        <v>31</v>
      </c>
      <c r="M6219" s="0" t="s">
        <v>167</v>
      </c>
      <c r="N6219" s="0" t="n">
        <v>1479</v>
      </c>
      <c r="O6219" s="10" t="n">
        <v>0.69777619605884</v>
      </c>
      <c r="P6219" s="10" t="n">
        <v>0.0297887143678963</v>
      </c>
      <c r="Q6219" s="0" t="str">
        <f aca="false">SUBSTITUTE(SUBSTITUTE($I6219,CHAR(61),""),CHAR(34),"")</f>
        <v>01-09</v>
      </c>
      <c r="R6219" s="0" t="str">
        <f aca="false">IF($D6219&lt;&gt;"","["&amp;$E6219&amp;"]"&amp;"|"&amp;$Q6219&amp;"|"&amp;$K6219&amp;"|"&amp;$G6219&amp;"|"&amp;IF($G6219="TX_CURR_SUBNAT.R","CY2022Q4",$M6219),"")</f>
        <v>[fyEoGEPERdI]|01-09|Female|NEW_INFECTIONS_SUBNAT.T|CY2024Q3</v>
      </c>
    </row>
    <row r="6220" customFormat="false" ht="15" hidden="false" customHeight="false" outlineLevel="0" collapsed="false">
      <c r="D6220" s="0" t="s">
        <v>84</v>
      </c>
      <c r="E6220" s="0" t="s">
        <v>85</v>
      </c>
      <c r="F6220" s="0" t="s">
        <v>86</v>
      </c>
      <c r="G6220" s="0" t="s">
        <v>170</v>
      </c>
      <c r="H6220" s="0" t="s">
        <v>170</v>
      </c>
      <c r="I6220" s="0" t="s">
        <v>36</v>
      </c>
      <c r="J6220" s="0" t="s">
        <v>37</v>
      </c>
      <c r="K6220" s="0" t="s">
        <v>30</v>
      </c>
      <c r="L6220" s="0" t="s">
        <v>31</v>
      </c>
      <c r="M6220" s="0" t="s">
        <v>167</v>
      </c>
      <c r="N6220" s="0" t="n">
        <v>1420</v>
      </c>
      <c r="O6220" s="10" t="n">
        <v>0.454684098018333</v>
      </c>
      <c r="P6220" s="10" t="n">
        <v>0.0297887143678963</v>
      </c>
      <c r="Q6220" s="0" t="str">
        <f aca="false">SUBSTITUTE(SUBSTITUTE($I6220,CHAR(61),""),CHAR(34),"")</f>
        <v>10-14</v>
      </c>
      <c r="R6220" s="0" t="str">
        <f aca="false">IF($D6220&lt;&gt;"","["&amp;$E6220&amp;"]"&amp;"|"&amp;$Q6220&amp;"|"&amp;$K6220&amp;"|"&amp;$G6220&amp;"|"&amp;IF($G6220="TX_CURR_SUBNAT.R","CY2022Q4",$M6220),"")</f>
        <v>[fyEoGEPERdI]|10-14|Female|NEW_INFECTIONS_SUBNAT.T|CY2024Q3</v>
      </c>
    </row>
    <row r="6221" customFormat="false" ht="15" hidden="false" customHeight="false" outlineLevel="0" collapsed="false">
      <c r="D6221" s="0" t="s">
        <v>84</v>
      </c>
      <c r="E6221" s="0" t="s">
        <v>85</v>
      </c>
      <c r="F6221" s="0" t="s">
        <v>86</v>
      </c>
      <c r="G6221" s="0" t="s">
        <v>170</v>
      </c>
      <c r="H6221" s="0" t="s">
        <v>170</v>
      </c>
      <c r="I6221" s="0" t="s">
        <v>38</v>
      </c>
      <c r="J6221" s="0" t="s">
        <v>39</v>
      </c>
      <c r="K6221" s="0" t="s">
        <v>30</v>
      </c>
      <c r="L6221" s="0" t="s">
        <v>31</v>
      </c>
      <c r="M6221" s="0" t="s">
        <v>167</v>
      </c>
      <c r="N6221" s="0" t="n">
        <v>1441</v>
      </c>
      <c r="O6221" s="10" t="n">
        <v>0.0797743687871844</v>
      </c>
      <c r="P6221" s="10" t="n">
        <v>0.0297887143678963</v>
      </c>
      <c r="Q6221" s="0" t="str">
        <f aca="false">SUBSTITUTE(SUBSTITUTE($I6221,CHAR(61),""),CHAR(34),"")</f>
        <v>15-24</v>
      </c>
      <c r="R6221" s="0" t="str">
        <f aca="false">IF($D6221&lt;&gt;"","["&amp;$E6221&amp;"]"&amp;"|"&amp;$Q6221&amp;"|"&amp;$K6221&amp;"|"&amp;$G6221&amp;"|"&amp;IF($G6221="TX_CURR_SUBNAT.R","CY2022Q4",$M6221),"")</f>
        <v>[fyEoGEPERdI]|15-24|Female|NEW_INFECTIONS_SUBNAT.T|CY2024Q3</v>
      </c>
    </row>
    <row r="6222" customFormat="false" ht="15" hidden="false" customHeight="false" outlineLevel="0" collapsed="false">
      <c r="D6222" s="0" t="s">
        <v>84</v>
      </c>
      <c r="E6222" s="0" t="s">
        <v>85</v>
      </c>
      <c r="F6222" s="0" t="s">
        <v>86</v>
      </c>
      <c r="G6222" s="0" t="s">
        <v>170</v>
      </c>
      <c r="H6222" s="0" t="s">
        <v>170</v>
      </c>
      <c r="I6222" s="0" t="s">
        <v>41</v>
      </c>
      <c r="J6222" s="0" t="s">
        <v>42</v>
      </c>
      <c r="K6222" s="0" t="s">
        <v>30</v>
      </c>
      <c r="L6222" s="0" t="s">
        <v>31</v>
      </c>
      <c r="M6222" s="0" t="s">
        <v>167</v>
      </c>
      <c r="N6222" s="0" t="n">
        <v>1761</v>
      </c>
      <c r="O6222" s="10" t="n">
        <v>0.624341554474086</v>
      </c>
      <c r="P6222" s="10" t="n">
        <v>0.0297887143678963</v>
      </c>
      <c r="Q6222" s="0" t="str">
        <f aca="false">SUBSTITUTE(SUBSTITUTE($I6222,CHAR(61),""),CHAR(34),"")</f>
        <v>25-34</v>
      </c>
      <c r="R6222" s="0" t="str">
        <f aca="false">IF($D6222&lt;&gt;"","["&amp;$E6222&amp;"]"&amp;"|"&amp;$Q6222&amp;"|"&amp;$K6222&amp;"|"&amp;$G6222&amp;"|"&amp;IF($G6222="TX_CURR_SUBNAT.R","CY2022Q4",$M6222),"")</f>
        <v>[fyEoGEPERdI]|25-34|Female|NEW_INFECTIONS_SUBNAT.T|CY2024Q3</v>
      </c>
    </row>
    <row r="6223" customFormat="false" ht="15" hidden="false" customHeight="false" outlineLevel="0" collapsed="false">
      <c r="D6223" s="0" t="s">
        <v>84</v>
      </c>
      <c r="E6223" s="0" t="s">
        <v>85</v>
      </c>
      <c r="F6223" s="0" t="s">
        <v>86</v>
      </c>
      <c r="G6223" s="0" t="s">
        <v>170</v>
      </c>
      <c r="H6223" s="0" t="s">
        <v>170</v>
      </c>
      <c r="I6223" s="0" t="s">
        <v>43</v>
      </c>
      <c r="J6223" s="0" t="s">
        <v>44</v>
      </c>
      <c r="K6223" s="0" t="s">
        <v>30</v>
      </c>
      <c r="L6223" s="0" t="s">
        <v>31</v>
      </c>
      <c r="M6223" s="0" t="s">
        <v>167</v>
      </c>
      <c r="N6223" s="0" t="n">
        <v>651</v>
      </c>
      <c r="O6223" s="10" t="n">
        <v>0.700364120071754</v>
      </c>
      <c r="P6223" s="10" t="n">
        <v>0.0297887143678963</v>
      </c>
      <c r="Q6223" s="0" t="str">
        <f aca="false">SUBSTITUTE(SUBSTITUTE($I6223,CHAR(61),""),CHAR(34),"")</f>
        <v>35-49</v>
      </c>
      <c r="R6223" s="0" t="str">
        <f aca="false">IF($D6223&lt;&gt;"","["&amp;$E6223&amp;"]"&amp;"|"&amp;$Q6223&amp;"|"&amp;$K6223&amp;"|"&amp;$G6223&amp;"|"&amp;IF($G6223="TX_CURR_SUBNAT.R","CY2022Q4",$M6223),"")</f>
        <v>[fyEoGEPERdI]|35-49|Female|NEW_INFECTIONS_SUBNAT.T|CY2024Q3</v>
      </c>
    </row>
    <row r="6224" customFormat="false" ht="15" hidden="false" customHeight="false" outlineLevel="0" collapsed="false">
      <c r="D6224" s="0" t="s">
        <v>84</v>
      </c>
      <c r="E6224" s="0" t="s">
        <v>85</v>
      </c>
      <c r="F6224" s="0" t="s">
        <v>86</v>
      </c>
      <c r="G6224" s="0" t="s">
        <v>170</v>
      </c>
      <c r="H6224" s="0" t="s">
        <v>170</v>
      </c>
      <c r="I6224" s="0" t="s">
        <v>45</v>
      </c>
      <c r="J6224" s="0" t="s">
        <v>46</v>
      </c>
      <c r="K6224" s="0" t="s">
        <v>30</v>
      </c>
      <c r="L6224" s="0" t="s">
        <v>31</v>
      </c>
      <c r="M6224" s="0" t="s">
        <v>167</v>
      </c>
      <c r="N6224" s="0" t="n">
        <v>1023</v>
      </c>
      <c r="O6224" s="10" t="n">
        <v>0.762162385741249</v>
      </c>
      <c r="P6224" s="10" t="n">
        <v>0.0297887143678963</v>
      </c>
      <c r="Q6224" s="0" t="str">
        <f aca="false">SUBSTITUTE(SUBSTITUTE($I6224,CHAR(61),""),CHAR(34),"")</f>
        <v>50+</v>
      </c>
      <c r="R6224" s="0" t="str">
        <f aca="false">IF($D6224&lt;&gt;"","["&amp;$E6224&amp;"]"&amp;"|"&amp;$Q6224&amp;"|"&amp;$K6224&amp;"|"&amp;$G6224&amp;"|"&amp;IF($G6224="TX_CURR_SUBNAT.R","CY2022Q4",$M6224),"")</f>
        <v>[fyEoGEPERdI]|50+|Female|NEW_INFECTIONS_SUBNAT.T|CY2024Q3</v>
      </c>
    </row>
    <row r="6225" customFormat="false" ht="15" hidden="false" customHeight="false" outlineLevel="0" collapsed="false">
      <c r="D6225" s="0" t="s">
        <v>84</v>
      </c>
      <c r="E6225" s="0" t="s">
        <v>85</v>
      </c>
      <c r="F6225" s="0" t="s">
        <v>86</v>
      </c>
      <c r="G6225" s="0" t="s">
        <v>170</v>
      </c>
      <c r="H6225" s="0" t="s">
        <v>170</v>
      </c>
      <c r="I6225" s="0" t="s">
        <v>28</v>
      </c>
      <c r="J6225" s="0" t="s">
        <v>29</v>
      </c>
      <c r="K6225" s="0" t="s">
        <v>48</v>
      </c>
      <c r="L6225" s="0" t="s">
        <v>49</v>
      </c>
      <c r="M6225" s="0" t="s">
        <v>167</v>
      </c>
      <c r="N6225" s="0" t="n">
        <v>955</v>
      </c>
      <c r="O6225" s="10" t="n">
        <v>0.617417441215366</v>
      </c>
      <c r="P6225" s="10" t="n">
        <v>0.0297887143678963</v>
      </c>
      <c r="Q6225" s="0" t="str">
        <f aca="false">SUBSTITUTE(SUBSTITUTE($I6225,CHAR(61),""),CHAR(34),"")</f>
        <v>&lt;01</v>
      </c>
      <c r="R6225" s="0" t="str">
        <f aca="false">IF($D6225&lt;&gt;"","["&amp;$E6225&amp;"]"&amp;"|"&amp;$Q6225&amp;"|"&amp;$K6225&amp;"|"&amp;$G6225&amp;"|"&amp;IF($G6225="TX_CURR_SUBNAT.R","CY2022Q4",$M6225),"")</f>
        <v>[fyEoGEPERdI]|&lt;01|Male|NEW_INFECTIONS_SUBNAT.T|CY2024Q3</v>
      </c>
    </row>
    <row r="6226" customFormat="false" ht="15" hidden="false" customHeight="false" outlineLevel="0" collapsed="false">
      <c r="D6226" s="0" t="s">
        <v>84</v>
      </c>
      <c r="E6226" s="0" t="s">
        <v>85</v>
      </c>
      <c r="F6226" s="0" t="s">
        <v>86</v>
      </c>
      <c r="G6226" s="0" t="s">
        <v>170</v>
      </c>
      <c r="H6226" s="0" t="s">
        <v>170</v>
      </c>
      <c r="I6226" s="0" t="s">
        <v>33</v>
      </c>
      <c r="J6226" s="0" t="s">
        <v>34</v>
      </c>
      <c r="K6226" s="0" t="s">
        <v>48</v>
      </c>
      <c r="L6226" s="0" t="s">
        <v>49</v>
      </c>
      <c r="M6226" s="0" t="s">
        <v>167</v>
      </c>
      <c r="N6226" s="0" t="n">
        <v>1195</v>
      </c>
      <c r="O6226" s="10" t="n">
        <v>0.244359130971134</v>
      </c>
      <c r="P6226" s="10" t="n">
        <v>0.0297887143678963</v>
      </c>
      <c r="Q6226" s="0" t="str">
        <f aca="false">SUBSTITUTE(SUBSTITUTE($I6226,CHAR(61),""),CHAR(34),"")</f>
        <v>01-09</v>
      </c>
      <c r="R6226" s="0" t="str">
        <f aca="false">IF($D6226&lt;&gt;"","["&amp;$E6226&amp;"]"&amp;"|"&amp;$Q6226&amp;"|"&amp;$K6226&amp;"|"&amp;$G6226&amp;"|"&amp;IF($G6226="TX_CURR_SUBNAT.R","CY2022Q4",$M6226),"")</f>
        <v>[fyEoGEPERdI]|01-09|Male|NEW_INFECTIONS_SUBNAT.T|CY2024Q3</v>
      </c>
    </row>
    <row r="6227" customFormat="false" ht="15" hidden="false" customHeight="false" outlineLevel="0" collapsed="false">
      <c r="D6227" s="0" t="s">
        <v>84</v>
      </c>
      <c r="E6227" s="0" t="s">
        <v>85</v>
      </c>
      <c r="F6227" s="0" t="s">
        <v>86</v>
      </c>
      <c r="G6227" s="0" t="s">
        <v>170</v>
      </c>
      <c r="H6227" s="0" t="s">
        <v>170</v>
      </c>
      <c r="I6227" s="0" t="s">
        <v>36</v>
      </c>
      <c r="J6227" s="0" t="s">
        <v>37</v>
      </c>
      <c r="K6227" s="0" t="s">
        <v>48</v>
      </c>
      <c r="L6227" s="0" t="s">
        <v>49</v>
      </c>
      <c r="M6227" s="0" t="s">
        <v>167</v>
      </c>
      <c r="N6227" s="0" t="n">
        <v>1028</v>
      </c>
      <c r="O6227" s="10" t="n">
        <v>0.198225722648203</v>
      </c>
      <c r="P6227" s="10" t="n">
        <v>0.0297887143678963</v>
      </c>
      <c r="Q6227" s="0" t="str">
        <f aca="false">SUBSTITUTE(SUBSTITUTE($I6227,CHAR(61),""),CHAR(34),"")</f>
        <v>10-14</v>
      </c>
      <c r="R6227" s="0" t="str">
        <f aca="false">IF($D6227&lt;&gt;"","["&amp;$E6227&amp;"]"&amp;"|"&amp;$Q6227&amp;"|"&amp;$K6227&amp;"|"&amp;$G6227&amp;"|"&amp;IF($G6227="TX_CURR_SUBNAT.R","CY2022Q4",$M6227),"")</f>
        <v>[fyEoGEPERdI]|10-14|Male|NEW_INFECTIONS_SUBNAT.T|CY2024Q3</v>
      </c>
    </row>
    <row r="6228" customFormat="false" ht="15" hidden="false" customHeight="false" outlineLevel="0" collapsed="false">
      <c r="D6228" s="0" t="s">
        <v>84</v>
      </c>
      <c r="E6228" s="0" t="s">
        <v>85</v>
      </c>
      <c r="F6228" s="0" t="s">
        <v>86</v>
      </c>
      <c r="G6228" s="0" t="s">
        <v>170</v>
      </c>
      <c r="H6228" s="0" t="s">
        <v>170</v>
      </c>
      <c r="I6228" s="0" t="s">
        <v>38</v>
      </c>
      <c r="J6228" s="0" t="s">
        <v>39</v>
      </c>
      <c r="K6228" s="0" t="s">
        <v>48</v>
      </c>
      <c r="L6228" s="0" t="s">
        <v>49</v>
      </c>
      <c r="M6228" s="0" t="s">
        <v>167</v>
      </c>
      <c r="N6228" s="0" t="n">
        <v>967</v>
      </c>
      <c r="O6228" s="10" t="n">
        <v>0.805410324130207</v>
      </c>
      <c r="P6228" s="10" t="n">
        <v>0.0297887143678963</v>
      </c>
      <c r="Q6228" s="0" t="str">
        <f aca="false">SUBSTITUTE(SUBSTITUTE($I6228,CHAR(61),""),CHAR(34),"")</f>
        <v>15-24</v>
      </c>
      <c r="R6228" s="0" t="str">
        <f aca="false">IF($D6228&lt;&gt;"","["&amp;$E6228&amp;"]"&amp;"|"&amp;$Q6228&amp;"|"&amp;$K6228&amp;"|"&amp;$G6228&amp;"|"&amp;IF($G6228="TX_CURR_SUBNAT.R","CY2022Q4",$M6228),"")</f>
        <v>[fyEoGEPERdI]|15-24|Male|NEW_INFECTIONS_SUBNAT.T|CY2024Q3</v>
      </c>
    </row>
    <row r="6229" customFormat="false" ht="15" hidden="false" customHeight="false" outlineLevel="0" collapsed="false">
      <c r="D6229" s="0" t="s">
        <v>84</v>
      </c>
      <c r="E6229" s="0" t="s">
        <v>85</v>
      </c>
      <c r="F6229" s="0" t="s">
        <v>86</v>
      </c>
      <c r="G6229" s="0" t="s">
        <v>170</v>
      </c>
      <c r="H6229" s="0" t="s">
        <v>170</v>
      </c>
      <c r="I6229" s="0" t="s">
        <v>41</v>
      </c>
      <c r="J6229" s="0" t="s">
        <v>42</v>
      </c>
      <c r="K6229" s="0" t="s">
        <v>48</v>
      </c>
      <c r="L6229" s="0" t="s">
        <v>49</v>
      </c>
      <c r="M6229" s="0" t="s">
        <v>167</v>
      </c>
      <c r="N6229" s="0" t="n">
        <v>1594</v>
      </c>
      <c r="O6229" s="10" t="n">
        <v>0.70138490293175</v>
      </c>
      <c r="P6229" s="10" t="n">
        <v>0.0297887143678963</v>
      </c>
      <c r="Q6229" s="0" t="str">
        <f aca="false">SUBSTITUTE(SUBSTITUTE($I6229,CHAR(61),""),CHAR(34),"")</f>
        <v>25-34</v>
      </c>
      <c r="R6229" s="0" t="str">
        <f aca="false">IF($D6229&lt;&gt;"","["&amp;$E6229&amp;"]"&amp;"|"&amp;$Q6229&amp;"|"&amp;$K6229&amp;"|"&amp;$G6229&amp;"|"&amp;IF($G6229="TX_CURR_SUBNAT.R","CY2022Q4",$M6229),"")</f>
        <v>[fyEoGEPERdI]|25-34|Male|NEW_INFECTIONS_SUBNAT.T|CY2024Q3</v>
      </c>
    </row>
    <row r="6230" customFormat="false" ht="15" hidden="false" customHeight="false" outlineLevel="0" collapsed="false">
      <c r="D6230" s="0" t="s">
        <v>84</v>
      </c>
      <c r="E6230" s="0" t="s">
        <v>85</v>
      </c>
      <c r="F6230" s="0" t="s">
        <v>86</v>
      </c>
      <c r="G6230" s="0" t="s">
        <v>170</v>
      </c>
      <c r="H6230" s="0" t="s">
        <v>170</v>
      </c>
      <c r="I6230" s="0" t="s">
        <v>43</v>
      </c>
      <c r="J6230" s="0" t="s">
        <v>44</v>
      </c>
      <c r="K6230" s="0" t="s">
        <v>48</v>
      </c>
      <c r="L6230" s="0" t="s">
        <v>49</v>
      </c>
      <c r="M6230" s="0" t="s">
        <v>167</v>
      </c>
      <c r="N6230" s="0" t="n">
        <v>1509</v>
      </c>
      <c r="O6230" s="10" t="n">
        <v>0.385485277976841</v>
      </c>
      <c r="P6230" s="10" t="n">
        <v>0.0297887143678963</v>
      </c>
      <c r="Q6230" s="0" t="str">
        <f aca="false">SUBSTITUTE(SUBSTITUTE($I6230,CHAR(61),""),CHAR(34),"")</f>
        <v>35-49</v>
      </c>
      <c r="R6230" s="0" t="str">
        <f aca="false">IF($D6230&lt;&gt;"","["&amp;$E6230&amp;"]"&amp;"|"&amp;$Q6230&amp;"|"&amp;$K6230&amp;"|"&amp;$G6230&amp;"|"&amp;IF($G6230="TX_CURR_SUBNAT.R","CY2022Q4",$M6230),"")</f>
        <v>[fyEoGEPERdI]|35-49|Male|NEW_INFECTIONS_SUBNAT.T|CY2024Q3</v>
      </c>
    </row>
    <row r="6231" customFormat="false" ht="15" hidden="false" customHeight="false" outlineLevel="0" collapsed="false">
      <c r="D6231" s="0" t="s">
        <v>84</v>
      </c>
      <c r="E6231" s="0" t="s">
        <v>85</v>
      </c>
      <c r="F6231" s="0" t="s">
        <v>86</v>
      </c>
      <c r="G6231" s="0" t="s">
        <v>170</v>
      </c>
      <c r="H6231" s="0" t="s">
        <v>170</v>
      </c>
      <c r="I6231" s="0" t="s">
        <v>45</v>
      </c>
      <c r="J6231" s="0" t="s">
        <v>46</v>
      </c>
      <c r="K6231" s="0" t="s">
        <v>48</v>
      </c>
      <c r="L6231" s="0" t="s">
        <v>49</v>
      </c>
      <c r="M6231" s="0" t="s">
        <v>167</v>
      </c>
      <c r="N6231" s="0" t="n">
        <v>1023</v>
      </c>
      <c r="O6231" s="10" t="n">
        <v>0.221981764305383</v>
      </c>
      <c r="P6231" s="10" t="n">
        <v>0.0297887143678963</v>
      </c>
      <c r="Q6231" s="0" t="str">
        <f aca="false">SUBSTITUTE(SUBSTITUTE($I6231,CHAR(61),""),CHAR(34),"")</f>
        <v>50+</v>
      </c>
      <c r="R6231" s="0" t="str">
        <f aca="false">IF($D6231&lt;&gt;"","["&amp;$E6231&amp;"]"&amp;"|"&amp;$Q6231&amp;"|"&amp;$K6231&amp;"|"&amp;$G6231&amp;"|"&amp;IF($G6231="TX_CURR_SUBNAT.R","CY2022Q4",$M6231),"")</f>
        <v>[fyEoGEPERdI]|50+|Male|NEW_INFECTIONS_SUBNAT.T|CY2024Q3</v>
      </c>
    </row>
    <row r="6232" customFormat="false" ht="15" hidden="false" customHeight="false" outlineLevel="0" collapsed="false">
      <c r="D6232" s="0" t="s">
        <v>87</v>
      </c>
      <c r="E6232" s="0" t="s">
        <v>88</v>
      </c>
      <c r="F6232" s="0" t="s">
        <v>89</v>
      </c>
      <c r="G6232" s="0" t="s">
        <v>170</v>
      </c>
      <c r="H6232" s="0" t="s">
        <v>170</v>
      </c>
      <c r="I6232" s="0" t="s">
        <v>28</v>
      </c>
      <c r="J6232" s="0" t="s">
        <v>29</v>
      </c>
      <c r="K6232" s="0" t="s">
        <v>30</v>
      </c>
      <c r="L6232" s="0" t="s">
        <v>31</v>
      </c>
      <c r="M6232" s="0" t="s">
        <v>167</v>
      </c>
      <c r="N6232" s="0" t="n">
        <v>1810</v>
      </c>
      <c r="O6232" s="10" t="n">
        <v>0.792425063438714</v>
      </c>
      <c r="P6232" s="10" t="n">
        <v>0.133336380822584</v>
      </c>
      <c r="Q6232" s="0" t="str">
        <f aca="false">SUBSTITUTE(SUBSTITUTE($I6232,CHAR(61),""),CHAR(34),"")</f>
        <v>&lt;01</v>
      </c>
      <c r="R6232" s="0" t="str">
        <f aca="false">IF($D6232&lt;&gt;"","["&amp;$E6232&amp;"]"&amp;"|"&amp;$Q6232&amp;"|"&amp;$K6232&amp;"|"&amp;$G6232&amp;"|"&amp;IF($G6232="TX_CURR_SUBNAT.R","CY2022Q4",$M6232),"")</f>
        <v>[cPtvxaZqXIH]|&lt;01|Female|NEW_INFECTIONS_SUBNAT.T|CY2024Q3</v>
      </c>
    </row>
    <row r="6233" customFormat="false" ht="15" hidden="false" customHeight="false" outlineLevel="0" collapsed="false">
      <c r="D6233" s="0" t="s">
        <v>87</v>
      </c>
      <c r="E6233" s="0" t="s">
        <v>88</v>
      </c>
      <c r="F6233" s="0" t="s">
        <v>89</v>
      </c>
      <c r="G6233" s="0" t="s">
        <v>170</v>
      </c>
      <c r="H6233" s="0" t="s">
        <v>170</v>
      </c>
      <c r="I6233" s="0" t="s">
        <v>33</v>
      </c>
      <c r="J6233" s="0" t="s">
        <v>34</v>
      </c>
      <c r="K6233" s="0" t="s">
        <v>30</v>
      </c>
      <c r="L6233" s="0" t="s">
        <v>31</v>
      </c>
      <c r="M6233" s="0" t="s">
        <v>167</v>
      </c>
      <c r="N6233" s="0" t="n">
        <v>1274</v>
      </c>
      <c r="O6233" s="10" t="n">
        <v>0.958790176780894</v>
      </c>
      <c r="P6233" s="10" t="n">
        <v>0.133336380822584</v>
      </c>
      <c r="Q6233" s="0" t="str">
        <f aca="false">SUBSTITUTE(SUBSTITUTE($I6233,CHAR(61),""),CHAR(34),"")</f>
        <v>01-09</v>
      </c>
      <c r="R6233" s="0" t="str">
        <f aca="false">IF($D6233&lt;&gt;"","["&amp;$E6233&amp;"]"&amp;"|"&amp;$Q6233&amp;"|"&amp;$K6233&amp;"|"&amp;$G6233&amp;"|"&amp;IF($G6233="TX_CURR_SUBNAT.R","CY2022Q4",$M6233),"")</f>
        <v>[cPtvxaZqXIH]|01-09|Female|NEW_INFECTIONS_SUBNAT.T|CY2024Q3</v>
      </c>
    </row>
    <row r="6234" customFormat="false" ht="15" hidden="false" customHeight="false" outlineLevel="0" collapsed="false">
      <c r="D6234" s="0" t="s">
        <v>87</v>
      </c>
      <c r="E6234" s="0" t="s">
        <v>88</v>
      </c>
      <c r="F6234" s="0" t="s">
        <v>89</v>
      </c>
      <c r="G6234" s="0" t="s">
        <v>170</v>
      </c>
      <c r="H6234" s="0" t="s">
        <v>170</v>
      </c>
      <c r="I6234" s="0" t="s">
        <v>36</v>
      </c>
      <c r="J6234" s="0" t="s">
        <v>37</v>
      </c>
      <c r="K6234" s="0" t="s">
        <v>30</v>
      </c>
      <c r="L6234" s="0" t="s">
        <v>31</v>
      </c>
      <c r="M6234" s="0" t="s">
        <v>167</v>
      </c>
      <c r="N6234" s="0" t="n">
        <v>1540</v>
      </c>
      <c r="O6234" s="10" t="n">
        <v>0.523856214247644</v>
      </c>
      <c r="P6234" s="10" t="n">
        <v>0.133336380822584</v>
      </c>
      <c r="Q6234" s="0" t="str">
        <f aca="false">SUBSTITUTE(SUBSTITUTE($I6234,CHAR(61),""),CHAR(34),"")</f>
        <v>10-14</v>
      </c>
      <c r="R6234" s="0" t="str">
        <f aca="false">IF($D6234&lt;&gt;"","["&amp;$E6234&amp;"]"&amp;"|"&amp;$Q6234&amp;"|"&amp;$K6234&amp;"|"&amp;$G6234&amp;"|"&amp;IF($G6234="TX_CURR_SUBNAT.R","CY2022Q4",$M6234),"")</f>
        <v>[cPtvxaZqXIH]|10-14|Female|NEW_INFECTIONS_SUBNAT.T|CY2024Q3</v>
      </c>
    </row>
    <row r="6235" customFormat="false" ht="15" hidden="false" customHeight="false" outlineLevel="0" collapsed="false">
      <c r="D6235" s="0" t="s">
        <v>87</v>
      </c>
      <c r="E6235" s="0" t="s">
        <v>88</v>
      </c>
      <c r="F6235" s="0" t="s">
        <v>89</v>
      </c>
      <c r="G6235" s="0" t="s">
        <v>170</v>
      </c>
      <c r="H6235" s="0" t="s">
        <v>170</v>
      </c>
      <c r="I6235" s="0" t="s">
        <v>38</v>
      </c>
      <c r="J6235" s="0" t="s">
        <v>39</v>
      </c>
      <c r="K6235" s="0" t="s">
        <v>30</v>
      </c>
      <c r="L6235" s="0" t="s">
        <v>31</v>
      </c>
      <c r="M6235" s="0" t="s">
        <v>167</v>
      </c>
      <c r="N6235" s="0" t="n">
        <v>947</v>
      </c>
      <c r="O6235" s="10" t="n">
        <v>0.591924799606204</v>
      </c>
      <c r="P6235" s="10" t="n">
        <v>0.133336380822584</v>
      </c>
      <c r="Q6235" s="0" t="str">
        <f aca="false">SUBSTITUTE(SUBSTITUTE($I6235,CHAR(61),""),CHAR(34),"")</f>
        <v>15-24</v>
      </c>
      <c r="R6235" s="0" t="str">
        <f aca="false">IF($D6235&lt;&gt;"","["&amp;$E6235&amp;"]"&amp;"|"&amp;$Q6235&amp;"|"&amp;$K6235&amp;"|"&amp;$G6235&amp;"|"&amp;IF($G6235="TX_CURR_SUBNAT.R","CY2022Q4",$M6235),"")</f>
        <v>[cPtvxaZqXIH]|15-24|Female|NEW_INFECTIONS_SUBNAT.T|CY2024Q3</v>
      </c>
    </row>
    <row r="6236" customFormat="false" ht="15" hidden="false" customHeight="false" outlineLevel="0" collapsed="false">
      <c r="D6236" s="0" t="s">
        <v>87</v>
      </c>
      <c r="E6236" s="0" t="s">
        <v>88</v>
      </c>
      <c r="F6236" s="0" t="s">
        <v>89</v>
      </c>
      <c r="G6236" s="0" t="s">
        <v>170</v>
      </c>
      <c r="H6236" s="0" t="s">
        <v>170</v>
      </c>
      <c r="I6236" s="0" t="s">
        <v>41</v>
      </c>
      <c r="J6236" s="0" t="s">
        <v>42</v>
      </c>
      <c r="K6236" s="0" t="s">
        <v>30</v>
      </c>
      <c r="L6236" s="0" t="s">
        <v>31</v>
      </c>
      <c r="M6236" s="0" t="s">
        <v>167</v>
      </c>
      <c r="N6236" s="0" t="n">
        <v>1737</v>
      </c>
      <c r="O6236" s="10" t="n">
        <v>0.787755385972559</v>
      </c>
      <c r="P6236" s="10" t="n">
        <v>0.133336380822584</v>
      </c>
      <c r="Q6236" s="0" t="str">
        <f aca="false">SUBSTITUTE(SUBSTITUTE($I6236,CHAR(61),""),CHAR(34),"")</f>
        <v>25-34</v>
      </c>
      <c r="R6236" s="0" t="str">
        <f aca="false">IF($D6236&lt;&gt;"","["&amp;$E6236&amp;"]"&amp;"|"&amp;$Q6236&amp;"|"&amp;$K6236&amp;"|"&amp;$G6236&amp;"|"&amp;IF($G6236="TX_CURR_SUBNAT.R","CY2022Q4",$M6236),"")</f>
        <v>[cPtvxaZqXIH]|25-34|Female|NEW_INFECTIONS_SUBNAT.T|CY2024Q3</v>
      </c>
    </row>
    <row r="6237" customFormat="false" ht="15" hidden="false" customHeight="false" outlineLevel="0" collapsed="false">
      <c r="D6237" s="0" t="s">
        <v>87</v>
      </c>
      <c r="E6237" s="0" t="s">
        <v>88</v>
      </c>
      <c r="F6237" s="0" t="s">
        <v>89</v>
      </c>
      <c r="G6237" s="0" t="s">
        <v>170</v>
      </c>
      <c r="H6237" s="0" t="s">
        <v>170</v>
      </c>
      <c r="I6237" s="0" t="s">
        <v>43</v>
      </c>
      <c r="J6237" s="0" t="s">
        <v>44</v>
      </c>
      <c r="K6237" s="0" t="s">
        <v>30</v>
      </c>
      <c r="L6237" s="0" t="s">
        <v>31</v>
      </c>
      <c r="M6237" s="0" t="s">
        <v>167</v>
      </c>
      <c r="N6237" s="0" t="n">
        <v>875</v>
      </c>
      <c r="O6237" s="10" t="n">
        <v>0.842361906776205</v>
      </c>
      <c r="P6237" s="10" t="n">
        <v>0.133336380822584</v>
      </c>
      <c r="Q6237" s="0" t="str">
        <f aca="false">SUBSTITUTE(SUBSTITUTE($I6237,CHAR(61),""),CHAR(34),"")</f>
        <v>35-49</v>
      </c>
      <c r="R6237" s="0" t="str">
        <f aca="false">IF($D6237&lt;&gt;"","["&amp;$E6237&amp;"]"&amp;"|"&amp;$Q6237&amp;"|"&amp;$K6237&amp;"|"&amp;$G6237&amp;"|"&amp;IF($G6237="TX_CURR_SUBNAT.R","CY2022Q4",$M6237),"")</f>
        <v>[cPtvxaZqXIH]|35-49|Female|NEW_INFECTIONS_SUBNAT.T|CY2024Q3</v>
      </c>
    </row>
    <row r="6238" customFormat="false" ht="15" hidden="false" customHeight="false" outlineLevel="0" collapsed="false">
      <c r="D6238" s="0" t="s">
        <v>87</v>
      </c>
      <c r="E6238" s="0" t="s">
        <v>88</v>
      </c>
      <c r="F6238" s="0" t="s">
        <v>89</v>
      </c>
      <c r="G6238" s="0" t="s">
        <v>170</v>
      </c>
      <c r="H6238" s="0" t="s">
        <v>170</v>
      </c>
      <c r="I6238" s="0" t="s">
        <v>45</v>
      </c>
      <c r="J6238" s="0" t="s">
        <v>46</v>
      </c>
      <c r="K6238" s="0" t="s">
        <v>30</v>
      </c>
      <c r="L6238" s="0" t="s">
        <v>31</v>
      </c>
      <c r="M6238" s="0" t="s">
        <v>167</v>
      </c>
      <c r="N6238" s="0" t="n">
        <v>1108</v>
      </c>
      <c r="O6238" s="10" t="n">
        <v>0.158570015337318</v>
      </c>
      <c r="P6238" s="10" t="n">
        <v>0.133336380822584</v>
      </c>
      <c r="Q6238" s="0" t="str">
        <f aca="false">SUBSTITUTE(SUBSTITUTE($I6238,CHAR(61),""),CHAR(34),"")</f>
        <v>50+</v>
      </c>
      <c r="R6238" s="0" t="str">
        <f aca="false">IF($D6238&lt;&gt;"","["&amp;$E6238&amp;"]"&amp;"|"&amp;$Q6238&amp;"|"&amp;$K6238&amp;"|"&amp;$G6238&amp;"|"&amp;IF($G6238="TX_CURR_SUBNAT.R","CY2022Q4",$M6238),"")</f>
        <v>[cPtvxaZqXIH]|50+|Female|NEW_INFECTIONS_SUBNAT.T|CY2024Q3</v>
      </c>
    </row>
    <row r="6239" customFormat="false" ht="15" hidden="false" customHeight="false" outlineLevel="0" collapsed="false">
      <c r="D6239" s="0" t="s">
        <v>87</v>
      </c>
      <c r="E6239" s="0" t="s">
        <v>88</v>
      </c>
      <c r="F6239" s="0" t="s">
        <v>89</v>
      </c>
      <c r="G6239" s="0" t="s">
        <v>170</v>
      </c>
      <c r="H6239" s="0" t="s">
        <v>170</v>
      </c>
      <c r="I6239" s="0" t="s">
        <v>28</v>
      </c>
      <c r="J6239" s="0" t="s">
        <v>29</v>
      </c>
      <c r="K6239" s="0" t="s">
        <v>48</v>
      </c>
      <c r="L6239" s="0" t="s">
        <v>49</v>
      </c>
      <c r="M6239" s="0" t="s">
        <v>167</v>
      </c>
      <c r="N6239" s="0" t="n">
        <v>1065</v>
      </c>
      <c r="O6239" s="10" t="n">
        <v>0.292511623585597</v>
      </c>
      <c r="P6239" s="10" t="n">
        <v>0.133336380822584</v>
      </c>
      <c r="Q6239" s="0" t="str">
        <f aca="false">SUBSTITUTE(SUBSTITUTE($I6239,CHAR(61),""),CHAR(34),"")</f>
        <v>&lt;01</v>
      </c>
      <c r="R6239" s="0" t="str">
        <f aca="false">IF($D6239&lt;&gt;"","["&amp;$E6239&amp;"]"&amp;"|"&amp;$Q6239&amp;"|"&amp;$K6239&amp;"|"&amp;$G6239&amp;"|"&amp;IF($G6239="TX_CURR_SUBNAT.R","CY2022Q4",$M6239),"")</f>
        <v>[cPtvxaZqXIH]|&lt;01|Male|NEW_INFECTIONS_SUBNAT.T|CY2024Q3</v>
      </c>
    </row>
    <row r="6240" customFormat="false" ht="15" hidden="false" customHeight="false" outlineLevel="0" collapsed="false">
      <c r="D6240" s="0" t="s">
        <v>87</v>
      </c>
      <c r="E6240" s="0" t="s">
        <v>88</v>
      </c>
      <c r="F6240" s="0" t="s">
        <v>89</v>
      </c>
      <c r="G6240" s="0" t="s">
        <v>170</v>
      </c>
      <c r="H6240" s="0" t="s">
        <v>170</v>
      </c>
      <c r="I6240" s="0" t="s">
        <v>33</v>
      </c>
      <c r="J6240" s="0" t="s">
        <v>34</v>
      </c>
      <c r="K6240" s="0" t="s">
        <v>48</v>
      </c>
      <c r="L6240" s="0" t="s">
        <v>49</v>
      </c>
      <c r="M6240" s="0" t="s">
        <v>167</v>
      </c>
      <c r="N6240" s="0" t="n">
        <v>927</v>
      </c>
      <c r="O6240" s="10" t="n">
        <v>0.8252182751894</v>
      </c>
      <c r="P6240" s="10" t="n">
        <v>0.133336380822584</v>
      </c>
      <c r="Q6240" s="0" t="str">
        <f aca="false">SUBSTITUTE(SUBSTITUTE($I6240,CHAR(61),""),CHAR(34),"")</f>
        <v>01-09</v>
      </c>
      <c r="R6240" s="0" t="str">
        <f aca="false">IF($D6240&lt;&gt;"","["&amp;$E6240&amp;"]"&amp;"|"&amp;$Q6240&amp;"|"&amp;$K6240&amp;"|"&amp;$G6240&amp;"|"&amp;IF($G6240="TX_CURR_SUBNAT.R","CY2022Q4",$M6240),"")</f>
        <v>[cPtvxaZqXIH]|01-09|Male|NEW_INFECTIONS_SUBNAT.T|CY2024Q3</v>
      </c>
    </row>
    <row r="6241" customFormat="false" ht="15" hidden="false" customHeight="false" outlineLevel="0" collapsed="false">
      <c r="D6241" s="0" t="s">
        <v>87</v>
      </c>
      <c r="E6241" s="0" t="s">
        <v>88</v>
      </c>
      <c r="F6241" s="0" t="s">
        <v>89</v>
      </c>
      <c r="G6241" s="0" t="s">
        <v>170</v>
      </c>
      <c r="H6241" s="0" t="s">
        <v>170</v>
      </c>
      <c r="I6241" s="0" t="s">
        <v>36</v>
      </c>
      <c r="J6241" s="0" t="s">
        <v>37</v>
      </c>
      <c r="K6241" s="0" t="s">
        <v>48</v>
      </c>
      <c r="L6241" s="0" t="s">
        <v>49</v>
      </c>
      <c r="M6241" s="0" t="s">
        <v>167</v>
      </c>
      <c r="N6241" s="0" t="n">
        <v>1409</v>
      </c>
      <c r="O6241" s="10" t="n">
        <v>0.120167198590934</v>
      </c>
      <c r="P6241" s="10" t="n">
        <v>0.133336380822584</v>
      </c>
      <c r="Q6241" s="0" t="str">
        <f aca="false">SUBSTITUTE(SUBSTITUTE($I6241,CHAR(61),""),CHAR(34),"")</f>
        <v>10-14</v>
      </c>
      <c r="R6241" s="0" t="str">
        <f aca="false">IF($D6241&lt;&gt;"","["&amp;$E6241&amp;"]"&amp;"|"&amp;$Q6241&amp;"|"&amp;$K6241&amp;"|"&amp;$G6241&amp;"|"&amp;IF($G6241="TX_CURR_SUBNAT.R","CY2022Q4",$M6241),"")</f>
        <v>[cPtvxaZqXIH]|10-14|Male|NEW_INFECTIONS_SUBNAT.T|CY2024Q3</v>
      </c>
    </row>
    <row r="6242" customFormat="false" ht="15" hidden="false" customHeight="false" outlineLevel="0" collapsed="false">
      <c r="D6242" s="0" t="s">
        <v>87</v>
      </c>
      <c r="E6242" s="0" t="s">
        <v>88</v>
      </c>
      <c r="F6242" s="0" t="s">
        <v>89</v>
      </c>
      <c r="G6242" s="0" t="s">
        <v>170</v>
      </c>
      <c r="H6242" s="0" t="s">
        <v>170</v>
      </c>
      <c r="I6242" s="0" t="s">
        <v>38</v>
      </c>
      <c r="J6242" s="0" t="s">
        <v>39</v>
      </c>
      <c r="K6242" s="0" t="s">
        <v>48</v>
      </c>
      <c r="L6242" s="0" t="s">
        <v>49</v>
      </c>
      <c r="M6242" s="0" t="s">
        <v>167</v>
      </c>
      <c r="N6242" s="0" t="n">
        <v>1609</v>
      </c>
      <c r="O6242" s="10" t="n">
        <v>0.00158051657490432</v>
      </c>
      <c r="P6242" s="10" t="n">
        <v>0.133336380822584</v>
      </c>
      <c r="Q6242" s="0" t="str">
        <f aca="false">SUBSTITUTE(SUBSTITUTE($I6242,CHAR(61),""),CHAR(34),"")</f>
        <v>15-24</v>
      </c>
      <c r="R6242" s="0" t="str">
        <f aca="false">IF($D6242&lt;&gt;"","["&amp;$E6242&amp;"]"&amp;"|"&amp;$Q6242&amp;"|"&amp;$K6242&amp;"|"&amp;$G6242&amp;"|"&amp;IF($G6242="TX_CURR_SUBNAT.R","CY2022Q4",$M6242),"")</f>
        <v>[cPtvxaZqXIH]|15-24|Male|NEW_INFECTIONS_SUBNAT.T|CY2024Q3</v>
      </c>
    </row>
    <row r="6243" customFormat="false" ht="15" hidden="false" customHeight="false" outlineLevel="0" collapsed="false">
      <c r="D6243" s="0" t="s">
        <v>87</v>
      </c>
      <c r="E6243" s="0" t="s">
        <v>88</v>
      </c>
      <c r="F6243" s="0" t="s">
        <v>89</v>
      </c>
      <c r="G6243" s="0" t="s">
        <v>170</v>
      </c>
      <c r="H6243" s="0" t="s">
        <v>170</v>
      </c>
      <c r="I6243" s="0" t="s">
        <v>41</v>
      </c>
      <c r="J6243" s="0" t="s">
        <v>42</v>
      </c>
      <c r="K6243" s="0" t="s">
        <v>48</v>
      </c>
      <c r="L6243" s="0" t="s">
        <v>49</v>
      </c>
      <c r="M6243" s="0" t="s">
        <v>167</v>
      </c>
      <c r="N6243" s="0" t="n">
        <v>1985</v>
      </c>
      <c r="O6243" s="10" t="n">
        <v>0.698388435179368</v>
      </c>
      <c r="P6243" s="10" t="n">
        <v>0.133336380822584</v>
      </c>
      <c r="Q6243" s="0" t="str">
        <f aca="false">SUBSTITUTE(SUBSTITUTE($I6243,CHAR(61),""),CHAR(34),"")</f>
        <v>25-34</v>
      </c>
      <c r="R6243" s="0" t="str">
        <f aca="false">IF($D6243&lt;&gt;"","["&amp;$E6243&amp;"]"&amp;"|"&amp;$Q6243&amp;"|"&amp;$K6243&amp;"|"&amp;$G6243&amp;"|"&amp;IF($G6243="TX_CURR_SUBNAT.R","CY2022Q4",$M6243),"")</f>
        <v>[cPtvxaZqXIH]|25-34|Male|NEW_INFECTIONS_SUBNAT.T|CY2024Q3</v>
      </c>
    </row>
    <row r="6244" customFormat="false" ht="15" hidden="false" customHeight="false" outlineLevel="0" collapsed="false">
      <c r="D6244" s="0" t="s">
        <v>87</v>
      </c>
      <c r="E6244" s="0" t="s">
        <v>88</v>
      </c>
      <c r="F6244" s="0" t="s">
        <v>89</v>
      </c>
      <c r="G6244" s="0" t="s">
        <v>170</v>
      </c>
      <c r="H6244" s="0" t="s">
        <v>170</v>
      </c>
      <c r="I6244" s="0" t="s">
        <v>43</v>
      </c>
      <c r="J6244" s="0" t="s">
        <v>44</v>
      </c>
      <c r="K6244" s="0" t="s">
        <v>48</v>
      </c>
      <c r="L6244" s="0" t="s">
        <v>49</v>
      </c>
      <c r="M6244" s="0" t="s">
        <v>167</v>
      </c>
      <c r="N6244" s="0" t="n">
        <v>1854</v>
      </c>
      <c r="O6244" s="10" t="n">
        <v>0.383646371308714</v>
      </c>
      <c r="P6244" s="10" t="n">
        <v>0.133336380822584</v>
      </c>
      <c r="Q6244" s="0" t="str">
        <f aca="false">SUBSTITUTE(SUBSTITUTE($I6244,CHAR(61),""),CHAR(34),"")</f>
        <v>35-49</v>
      </c>
      <c r="R6244" s="0" t="str">
        <f aca="false">IF($D6244&lt;&gt;"","["&amp;$E6244&amp;"]"&amp;"|"&amp;$Q6244&amp;"|"&amp;$K6244&amp;"|"&amp;$G6244&amp;"|"&amp;IF($G6244="TX_CURR_SUBNAT.R","CY2022Q4",$M6244),"")</f>
        <v>[cPtvxaZqXIH]|35-49|Male|NEW_INFECTIONS_SUBNAT.T|CY2024Q3</v>
      </c>
    </row>
    <row r="6245" customFormat="false" ht="15" hidden="false" customHeight="false" outlineLevel="0" collapsed="false">
      <c r="D6245" s="0" t="s">
        <v>87</v>
      </c>
      <c r="E6245" s="0" t="s">
        <v>88</v>
      </c>
      <c r="F6245" s="0" t="s">
        <v>89</v>
      </c>
      <c r="G6245" s="0" t="s">
        <v>170</v>
      </c>
      <c r="H6245" s="0" t="s">
        <v>170</v>
      </c>
      <c r="I6245" s="0" t="s">
        <v>45</v>
      </c>
      <c r="J6245" s="0" t="s">
        <v>46</v>
      </c>
      <c r="K6245" s="0" t="s">
        <v>48</v>
      </c>
      <c r="L6245" s="0" t="s">
        <v>49</v>
      </c>
      <c r="M6245" s="0" t="s">
        <v>167</v>
      </c>
      <c r="N6245" s="0" t="n">
        <v>914</v>
      </c>
      <c r="O6245" s="10" t="n">
        <v>0.421442057006061</v>
      </c>
      <c r="P6245" s="10" t="n">
        <v>0.133336380822584</v>
      </c>
      <c r="Q6245" s="0" t="str">
        <f aca="false">SUBSTITUTE(SUBSTITUTE($I6245,CHAR(61),""),CHAR(34),"")</f>
        <v>50+</v>
      </c>
      <c r="R6245" s="0" t="str">
        <f aca="false">IF($D6245&lt;&gt;"","["&amp;$E6245&amp;"]"&amp;"|"&amp;$Q6245&amp;"|"&amp;$K6245&amp;"|"&amp;$G6245&amp;"|"&amp;IF($G6245="TX_CURR_SUBNAT.R","CY2022Q4",$M6245),"")</f>
        <v>[cPtvxaZqXIH]|50+|Male|NEW_INFECTIONS_SUBNAT.T|CY2024Q3</v>
      </c>
    </row>
    <row r="6246" customFormat="false" ht="15" hidden="false" customHeight="false" outlineLevel="0" collapsed="false">
      <c r="D6246" s="0" t="s">
        <v>90</v>
      </c>
      <c r="E6246" s="0" t="s">
        <v>91</v>
      </c>
      <c r="F6246" s="0" t="s">
        <v>92</v>
      </c>
      <c r="G6246" s="0" t="s">
        <v>170</v>
      </c>
      <c r="H6246" s="0" t="s">
        <v>170</v>
      </c>
      <c r="I6246" s="0" t="s">
        <v>28</v>
      </c>
      <c r="J6246" s="0" t="s">
        <v>29</v>
      </c>
      <c r="K6246" s="0" t="s">
        <v>30</v>
      </c>
      <c r="L6246" s="0" t="s">
        <v>31</v>
      </c>
      <c r="M6246" s="0" t="s">
        <v>167</v>
      </c>
      <c r="N6246" s="0" t="n">
        <v>1953</v>
      </c>
      <c r="O6246" s="10" t="n">
        <v>0.928488013800234</v>
      </c>
      <c r="P6246" s="10" t="n">
        <v>0.719914150424302</v>
      </c>
      <c r="Q6246" s="0" t="str">
        <f aca="false">SUBSTITUTE(SUBSTITUTE($I6246,CHAR(61),""),CHAR(34),"")</f>
        <v>&lt;01</v>
      </c>
      <c r="R6246" s="0" t="str">
        <f aca="false">IF($D6246&lt;&gt;"","["&amp;$E6246&amp;"]"&amp;"|"&amp;$Q6246&amp;"|"&amp;$K6246&amp;"|"&amp;$G6246&amp;"|"&amp;IF($G6246="TX_CURR_SUBNAT.R","CY2022Q4",$M6246),"")</f>
        <v>[AZyWpGzhcaA]|&lt;01|Female|NEW_INFECTIONS_SUBNAT.T|CY2024Q3</v>
      </c>
    </row>
    <row r="6247" customFormat="false" ht="15" hidden="false" customHeight="false" outlineLevel="0" collapsed="false">
      <c r="D6247" s="0" t="s">
        <v>90</v>
      </c>
      <c r="E6247" s="0" t="s">
        <v>91</v>
      </c>
      <c r="F6247" s="0" t="s">
        <v>92</v>
      </c>
      <c r="G6247" s="0" t="s">
        <v>170</v>
      </c>
      <c r="H6247" s="0" t="s">
        <v>170</v>
      </c>
      <c r="I6247" s="0" t="s">
        <v>33</v>
      </c>
      <c r="J6247" s="0" t="s">
        <v>34</v>
      </c>
      <c r="K6247" s="0" t="s">
        <v>30</v>
      </c>
      <c r="L6247" s="0" t="s">
        <v>31</v>
      </c>
      <c r="M6247" s="0" t="s">
        <v>167</v>
      </c>
      <c r="N6247" s="0" t="n">
        <v>1975</v>
      </c>
      <c r="O6247" s="10" t="n">
        <v>0.300102848326787</v>
      </c>
      <c r="P6247" s="10" t="n">
        <v>0.719914150424302</v>
      </c>
      <c r="Q6247" s="0" t="str">
        <f aca="false">SUBSTITUTE(SUBSTITUTE($I6247,CHAR(61),""),CHAR(34),"")</f>
        <v>01-09</v>
      </c>
      <c r="R6247" s="0" t="str">
        <f aca="false">IF($D6247&lt;&gt;"","["&amp;$E6247&amp;"]"&amp;"|"&amp;$Q6247&amp;"|"&amp;$K6247&amp;"|"&amp;$G6247&amp;"|"&amp;IF($G6247="TX_CURR_SUBNAT.R","CY2022Q4",$M6247),"")</f>
        <v>[AZyWpGzhcaA]|01-09|Female|NEW_INFECTIONS_SUBNAT.T|CY2024Q3</v>
      </c>
    </row>
    <row r="6248" customFormat="false" ht="15" hidden="false" customHeight="false" outlineLevel="0" collapsed="false">
      <c r="D6248" s="0" t="s">
        <v>90</v>
      </c>
      <c r="E6248" s="0" t="s">
        <v>91</v>
      </c>
      <c r="F6248" s="0" t="s">
        <v>92</v>
      </c>
      <c r="G6248" s="0" t="s">
        <v>170</v>
      </c>
      <c r="H6248" s="0" t="s">
        <v>170</v>
      </c>
      <c r="I6248" s="0" t="s">
        <v>36</v>
      </c>
      <c r="J6248" s="0" t="s">
        <v>37</v>
      </c>
      <c r="K6248" s="0" t="s">
        <v>30</v>
      </c>
      <c r="L6248" s="0" t="s">
        <v>31</v>
      </c>
      <c r="M6248" s="0" t="s">
        <v>167</v>
      </c>
      <c r="N6248" s="0" t="n">
        <v>1119</v>
      </c>
      <c r="O6248" s="10" t="n">
        <v>0.305317834950984</v>
      </c>
      <c r="P6248" s="10" t="n">
        <v>0.719914150424302</v>
      </c>
      <c r="Q6248" s="0" t="str">
        <f aca="false">SUBSTITUTE(SUBSTITUTE($I6248,CHAR(61),""),CHAR(34),"")</f>
        <v>10-14</v>
      </c>
      <c r="R6248" s="0" t="str">
        <f aca="false">IF($D6248&lt;&gt;"","["&amp;$E6248&amp;"]"&amp;"|"&amp;$Q6248&amp;"|"&amp;$K6248&amp;"|"&amp;$G6248&amp;"|"&amp;IF($G6248="TX_CURR_SUBNAT.R","CY2022Q4",$M6248),"")</f>
        <v>[AZyWpGzhcaA]|10-14|Female|NEW_INFECTIONS_SUBNAT.T|CY2024Q3</v>
      </c>
    </row>
    <row r="6249" customFormat="false" ht="15" hidden="false" customHeight="false" outlineLevel="0" collapsed="false">
      <c r="D6249" s="0" t="s">
        <v>90</v>
      </c>
      <c r="E6249" s="0" t="s">
        <v>91</v>
      </c>
      <c r="F6249" s="0" t="s">
        <v>92</v>
      </c>
      <c r="G6249" s="0" t="s">
        <v>170</v>
      </c>
      <c r="H6249" s="0" t="s">
        <v>170</v>
      </c>
      <c r="I6249" s="0" t="s">
        <v>38</v>
      </c>
      <c r="J6249" s="0" t="s">
        <v>39</v>
      </c>
      <c r="K6249" s="0" t="s">
        <v>30</v>
      </c>
      <c r="L6249" s="0" t="s">
        <v>31</v>
      </c>
      <c r="M6249" s="0" t="s">
        <v>167</v>
      </c>
      <c r="N6249" s="0" t="n">
        <v>1167</v>
      </c>
      <c r="O6249" s="10" t="n">
        <v>0.446659836918116</v>
      </c>
      <c r="P6249" s="10" t="n">
        <v>0.719914150424302</v>
      </c>
      <c r="Q6249" s="0" t="str">
        <f aca="false">SUBSTITUTE(SUBSTITUTE($I6249,CHAR(61),""),CHAR(34),"")</f>
        <v>15-24</v>
      </c>
      <c r="R6249" s="0" t="str">
        <f aca="false">IF($D6249&lt;&gt;"","["&amp;$E6249&amp;"]"&amp;"|"&amp;$Q6249&amp;"|"&amp;$K6249&amp;"|"&amp;$G6249&amp;"|"&amp;IF($G6249="TX_CURR_SUBNAT.R","CY2022Q4",$M6249),"")</f>
        <v>[AZyWpGzhcaA]|15-24|Female|NEW_INFECTIONS_SUBNAT.T|CY2024Q3</v>
      </c>
    </row>
    <row r="6250" customFormat="false" ht="15" hidden="false" customHeight="false" outlineLevel="0" collapsed="false">
      <c r="D6250" s="0" t="s">
        <v>90</v>
      </c>
      <c r="E6250" s="0" t="s">
        <v>91</v>
      </c>
      <c r="F6250" s="0" t="s">
        <v>92</v>
      </c>
      <c r="G6250" s="0" t="s">
        <v>170</v>
      </c>
      <c r="H6250" s="0" t="s">
        <v>170</v>
      </c>
      <c r="I6250" s="0" t="s">
        <v>41</v>
      </c>
      <c r="J6250" s="0" t="s">
        <v>42</v>
      </c>
      <c r="K6250" s="0" t="s">
        <v>30</v>
      </c>
      <c r="L6250" s="0" t="s">
        <v>31</v>
      </c>
      <c r="M6250" s="0" t="s">
        <v>167</v>
      </c>
      <c r="N6250" s="0" t="n">
        <v>1945</v>
      </c>
      <c r="O6250" s="10" t="n">
        <v>0.461337943328544</v>
      </c>
      <c r="P6250" s="10" t="n">
        <v>0.719914150424302</v>
      </c>
      <c r="Q6250" s="0" t="str">
        <f aca="false">SUBSTITUTE(SUBSTITUTE($I6250,CHAR(61),""),CHAR(34),"")</f>
        <v>25-34</v>
      </c>
      <c r="R6250" s="0" t="str">
        <f aca="false">IF($D6250&lt;&gt;"","["&amp;$E6250&amp;"]"&amp;"|"&amp;$Q6250&amp;"|"&amp;$K6250&amp;"|"&amp;$G6250&amp;"|"&amp;IF($G6250="TX_CURR_SUBNAT.R","CY2022Q4",$M6250),"")</f>
        <v>[AZyWpGzhcaA]|25-34|Female|NEW_INFECTIONS_SUBNAT.T|CY2024Q3</v>
      </c>
    </row>
    <row r="6251" customFormat="false" ht="15" hidden="false" customHeight="false" outlineLevel="0" collapsed="false">
      <c r="D6251" s="0" t="s">
        <v>90</v>
      </c>
      <c r="E6251" s="0" t="s">
        <v>91</v>
      </c>
      <c r="F6251" s="0" t="s">
        <v>92</v>
      </c>
      <c r="G6251" s="0" t="s">
        <v>170</v>
      </c>
      <c r="H6251" s="0" t="s">
        <v>170</v>
      </c>
      <c r="I6251" s="0" t="s">
        <v>43</v>
      </c>
      <c r="J6251" s="0" t="s">
        <v>44</v>
      </c>
      <c r="K6251" s="0" t="s">
        <v>30</v>
      </c>
      <c r="L6251" s="0" t="s">
        <v>31</v>
      </c>
      <c r="M6251" s="0" t="s">
        <v>167</v>
      </c>
      <c r="N6251" s="0" t="n">
        <v>610</v>
      </c>
      <c r="O6251" s="10" t="n">
        <v>0.732069152640179</v>
      </c>
      <c r="P6251" s="10" t="n">
        <v>0.719914150424302</v>
      </c>
      <c r="Q6251" s="0" t="str">
        <f aca="false">SUBSTITUTE(SUBSTITUTE($I6251,CHAR(61),""),CHAR(34),"")</f>
        <v>35-49</v>
      </c>
      <c r="R6251" s="0" t="str">
        <f aca="false">IF($D6251&lt;&gt;"","["&amp;$E6251&amp;"]"&amp;"|"&amp;$Q6251&amp;"|"&amp;$K6251&amp;"|"&amp;$G6251&amp;"|"&amp;IF($G6251="TX_CURR_SUBNAT.R","CY2022Q4",$M6251),"")</f>
        <v>[AZyWpGzhcaA]|35-49|Female|NEW_INFECTIONS_SUBNAT.T|CY2024Q3</v>
      </c>
    </row>
    <row r="6252" customFormat="false" ht="15" hidden="false" customHeight="false" outlineLevel="0" collapsed="false">
      <c r="D6252" s="0" t="s">
        <v>90</v>
      </c>
      <c r="E6252" s="0" t="s">
        <v>91</v>
      </c>
      <c r="F6252" s="0" t="s">
        <v>92</v>
      </c>
      <c r="G6252" s="0" t="s">
        <v>170</v>
      </c>
      <c r="H6252" s="0" t="s">
        <v>170</v>
      </c>
      <c r="I6252" s="0" t="s">
        <v>45</v>
      </c>
      <c r="J6252" s="0" t="s">
        <v>46</v>
      </c>
      <c r="K6252" s="0" t="s">
        <v>30</v>
      </c>
      <c r="L6252" s="0" t="s">
        <v>31</v>
      </c>
      <c r="M6252" s="0" t="s">
        <v>167</v>
      </c>
      <c r="N6252" s="0" t="n">
        <v>1070</v>
      </c>
      <c r="O6252" s="10" t="n">
        <v>0.449867198942229</v>
      </c>
      <c r="P6252" s="10" t="n">
        <v>0.719914150424302</v>
      </c>
      <c r="Q6252" s="0" t="str">
        <f aca="false">SUBSTITUTE(SUBSTITUTE($I6252,CHAR(61),""),CHAR(34),"")</f>
        <v>50+</v>
      </c>
      <c r="R6252" s="0" t="str">
        <f aca="false">IF($D6252&lt;&gt;"","["&amp;$E6252&amp;"]"&amp;"|"&amp;$Q6252&amp;"|"&amp;$K6252&amp;"|"&amp;$G6252&amp;"|"&amp;IF($G6252="TX_CURR_SUBNAT.R","CY2022Q4",$M6252),"")</f>
        <v>[AZyWpGzhcaA]|50+|Female|NEW_INFECTIONS_SUBNAT.T|CY2024Q3</v>
      </c>
    </row>
    <row r="6253" customFormat="false" ht="15" hidden="false" customHeight="false" outlineLevel="0" collapsed="false">
      <c r="D6253" s="0" t="s">
        <v>90</v>
      </c>
      <c r="E6253" s="0" t="s">
        <v>91</v>
      </c>
      <c r="F6253" s="0" t="s">
        <v>92</v>
      </c>
      <c r="G6253" s="0" t="s">
        <v>170</v>
      </c>
      <c r="H6253" s="0" t="s">
        <v>170</v>
      </c>
      <c r="I6253" s="0" t="s">
        <v>28</v>
      </c>
      <c r="J6253" s="0" t="s">
        <v>29</v>
      </c>
      <c r="K6253" s="0" t="s">
        <v>48</v>
      </c>
      <c r="L6253" s="0" t="s">
        <v>49</v>
      </c>
      <c r="M6253" s="0" t="s">
        <v>167</v>
      </c>
      <c r="N6253" s="0" t="n">
        <v>1917</v>
      </c>
      <c r="O6253" s="10" t="n">
        <v>0.672271243063733</v>
      </c>
      <c r="P6253" s="10" t="n">
        <v>0.719914150424302</v>
      </c>
      <c r="Q6253" s="0" t="str">
        <f aca="false">SUBSTITUTE(SUBSTITUTE($I6253,CHAR(61),""),CHAR(34),"")</f>
        <v>&lt;01</v>
      </c>
      <c r="R6253" s="0" t="str">
        <f aca="false">IF($D6253&lt;&gt;"","["&amp;$E6253&amp;"]"&amp;"|"&amp;$Q6253&amp;"|"&amp;$K6253&amp;"|"&amp;$G6253&amp;"|"&amp;IF($G6253="TX_CURR_SUBNAT.R","CY2022Q4",$M6253),"")</f>
        <v>[AZyWpGzhcaA]|&lt;01|Male|NEW_INFECTIONS_SUBNAT.T|CY2024Q3</v>
      </c>
    </row>
    <row r="6254" customFormat="false" ht="15" hidden="false" customHeight="false" outlineLevel="0" collapsed="false">
      <c r="D6254" s="0" t="s">
        <v>90</v>
      </c>
      <c r="E6254" s="0" t="s">
        <v>91</v>
      </c>
      <c r="F6254" s="0" t="s">
        <v>92</v>
      </c>
      <c r="G6254" s="0" t="s">
        <v>170</v>
      </c>
      <c r="H6254" s="0" t="s">
        <v>170</v>
      </c>
      <c r="I6254" s="0" t="s">
        <v>33</v>
      </c>
      <c r="J6254" s="0" t="s">
        <v>34</v>
      </c>
      <c r="K6254" s="0" t="s">
        <v>48</v>
      </c>
      <c r="L6254" s="0" t="s">
        <v>49</v>
      </c>
      <c r="M6254" s="0" t="s">
        <v>167</v>
      </c>
      <c r="N6254" s="0" t="n">
        <v>983</v>
      </c>
      <c r="O6254" s="10" t="n">
        <v>0.39744328847155</v>
      </c>
      <c r="P6254" s="10" t="n">
        <v>0.719914150424302</v>
      </c>
      <c r="Q6254" s="0" t="str">
        <f aca="false">SUBSTITUTE(SUBSTITUTE($I6254,CHAR(61),""),CHAR(34),"")</f>
        <v>01-09</v>
      </c>
      <c r="R6254" s="0" t="str">
        <f aca="false">IF($D6254&lt;&gt;"","["&amp;$E6254&amp;"]"&amp;"|"&amp;$Q6254&amp;"|"&amp;$K6254&amp;"|"&amp;$G6254&amp;"|"&amp;IF($G6254="TX_CURR_SUBNAT.R","CY2022Q4",$M6254),"")</f>
        <v>[AZyWpGzhcaA]|01-09|Male|NEW_INFECTIONS_SUBNAT.T|CY2024Q3</v>
      </c>
    </row>
    <row r="6255" customFormat="false" ht="15" hidden="false" customHeight="false" outlineLevel="0" collapsed="false">
      <c r="D6255" s="0" t="s">
        <v>90</v>
      </c>
      <c r="E6255" s="0" t="s">
        <v>91</v>
      </c>
      <c r="F6255" s="0" t="s">
        <v>92</v>
      </c>
      <c r="G6255" s="0" t="s">
        <v>170</v>
      </c>
      <c r="H6255" s="0" t="s">
        <v>170</v>
      </c>
      <c r="I6255" s="0" t="s">
        <v>36</v>
      </c>
      <c r="J6255" s="0" t="s">
        <v>37</v>
      </c>
      <c r="K6255" s="0" t="s">
        <v>48</v>
      </c>
      <c r="L6255" s="0" t="s">
        <v>49</v>
      </c>
      <c r="M6255" s="0" t="s">
        <v>167</v>
      </c>
      <c r="N6255" s="0" t="n">
        <v>1160</v>
      </c>
      <c r="O6255" s="10" t="n">
        <v>0.288375298026949</v>
      </c>
      <c r="P6255" s="10" t="n">
        <v>0.719914150424302</v>
      </c>
      <c r="Q6255" s="0" t="str">
        <f aca="false">SUBSTITUTE(SUBSTITUTE($I6255,CHAR(61),""),CHAR(34),"")</f>
        <v>10-14</v>
      </c>
      <c r="R6255" s="0" t="str">
        <f aca="false">IF($D6255&lt;&gt;"","["&amp;$E6255&amp;"]"&amp;"|"&amp;$Q6255&amp;"|"&amp;$K6255&amp;"|"&amp;$G6255&amp;"|"&amp;IF($G6255="TX_CURR_SUBNAT.R","CY2022Q4",$M6255),"")</f>
        <v>[AZyWpGzhcaA]|10-14|Male|NEW_INFECTIONS_SUBNAT.T|CY2024Q3</v>
      </c>
    </row>
    <row r="6256" customFormat="false" ht="15" hidden="false" customHeight="false" outlineLevel="0" collapsed="false">
      <c r="D6256" s="0" t="s">
        <v>90</v>
      </c>
      <c r="E6256" s="0" t="s">
        <v>91</v>
      </c>
      <c r="F6256" s="0" t="s">
        <v>92</v>
      </c>
      <c r="G6256" s="0" t="s">
        <v>170</v>
      </c>
      <c r="H6256" s="0" t="s">
        <v>170</v>
      </c>
      <c r="I6256" s="0" t="s">
        <v>38</v>
      </c>
      <c r="J6256" s="0" t="s">
        <v>39</v>
      </c>
      <c r="K6256" s="0" t="s">
        <v>48</v>
      </c>
      <c r="L6256" s="0" t="s">
        <v>49</v>
      </c>
      <c r="M6256" s="0" t="s">
        <v>167</v>
      </c>
      <c r="N6256" s="0" t="n">
        <v>1182</v>
      </c>
      <c r="O6256" s="10" t="n">
        <v>0.394291189499199</v>
      </c>
      <c r="P6256" s="10" t="n">
        <v>0.719914150424302</v>
      </c>
      <c r="Q6256" s="0" t="str">
        <f aca="false">SUBSTITUTE(SUBSTITUTE($I6256,CHAR(61),""),CHAR(34),"")</f>
        <v>15-24</v>
      </c>
      <c r="R6256" s="0" t="str">
        <f aca="false">IF($D6256&lt;&gt;"","["&amp;$E6256&amp;"]"&amp;"|"&amp;$Q6256&amp;"|"&amp;$K6256&amp;"|"&amp;$G6256&amp;"|"&amp;IF($G6256="TX_CURR_SUBNAT.R","CY2022Q4",$M6256),"")</f>
        <v>[AZyWpGzhcaA]|15-24|Male|NEW_INFECTIONS_SUBNAT.T|CY2024Q3</v>
      </c>
    </row>
    <row r="6257" customFormat="false" ht="15" hidden="false" customHeight="false" outlineLevel="0" collapsed="false">
      <c r="D6257" s="0" t="s">
        <v>90</v>
      </c>
      <c r="E6257" s="0" t="s">
        <v>91</v>
      </c>
      <c r="F6257" s="0" t="s">
        <v>92</v>
      </c>
      <c r="G6257" s="0" t="s">
        <v>170</v>
      </c>
      <c r="H6257" s="0" t="s">
        <v>170</v>
      </c>
      <c r="I6257" s="0" t="s">
        <v>41</v>
      </c>
      <c r="J6257" s="0" t="s">
        <v>42</v>
      </c>
      <c r="K6257" s="0" t="s">
        <v>48</v>
      </c>
      <c r="L6257" s="0" t="s">
        <v>49</v>
      </c>
      <c r="M6257" s="0" t="s">
        <v>167</v>
      </c>
      <c r="N6257" s="0" t="n">
        <v>1582</v>
      </c>
      <c r="O6257" s="10" t="n">
        <v>0.59475564933382</v>
      </c>
      <c r="P6257" s="10" t="n">
        <v>0.719914150424302</v>
      </c>
      <c r="Q6257" s="0" t="str">
        <f aca="false">SUBSTITUTE(SUBSTITUTE($I6257,CHAR(61),""),CHAR(34),"")</f>
        <v>25-34</v>
      </c>
      <c r="R6257" s="0" t="str">
        <f aca="false">IF($D6257&lt;&gt;"","["&amp;$E6257&amp;"]"&amp;"|"&amp;$Q6257&amp;"|"&amp;$K6257&amp;"|"&amp;$G6257&amp;"|"&amp;IF($G6257="TX_CURR_SUBNAT.R","CY2022Q4",$M6257),"")</f>
        <v>[AZyWpGzhcaA]|25-34|Male|NEW_INFECTIONS_SUBNAT.T|CY2024Q3</v>
      </c>
    </row>
    <row r="6258" customFormat="false" ht="15" hidden="false" customHeight="false" outlineLevel="0" collapsed="false">
      <c r="D6258" s="0" t="s">
        <v>90</v>
      </c>
      <c r="E6258" s="0" t="s">
        <v>91</v>
      </c>
      <c r="F6258" s="0" t="s">
        <v>92</v>
      </c>
      <c r="G6258" s="0" t="s">
        <v>170</v>
      </c>
      <c r="H6258" s="0" t="s">
        <v>170</v>
      </c>
      <c r="I6258" s="0" t="s">
        <v>43</v>
      </c>
      <c r="J6258" s="0" t="s">
        <v>44</v>
      </c>
      <c r="K6258" s="0" t="s">
        <v>48</v>
      </c>
      <c r="L6258" s="0" t="s">
        <v>49</v>
      </c>
      <c r="M6258" s="0" t="s">
        <v>167</v>
      </c>
      <c r="N6258" s="0" t="n">
        <v>1059</v>
      </c>
      <c r="O6258" s="10" t="n">
        <v>0.697771450737491</v>
      </c>
      <c r="P6258" s="10" t="n">
        <v>0.719914150424302</v>
      </c>
      <c r="Q6258" s="0" t="str">
        <f aca="false">SUBSTITUTE(SUBSTITUTE($I6258,CHAR(61),""),CHAR(34),"")</f>
        <v>35-49</v>
      </c>
      <c r="R6258" s="0" t="str">
        <f aca="false">IF($D6258&lt;&gt;"","["&amp;$E6258&amp;"]"&amp;"|"&amp;$Q6258&amp;"|"&amp;$K6258&amp;"|"&amp;$G6258&amp;"|"&amp;IF($G6258="TX_CURR_SUBNAT.R","CY2022Q4",$M6258),"")</f>
        <v>[AZyWpGzhcaA]|35-49|Male|NEW_INFECTIONS_SUBNAT.T|CY2024Q3</v>
      </c>
    </row>
    <row r="6259" customFormat="false" ht="15" hidden="false" customHeight="false" outlineLevel="0" collapsed="false">
      <c r="D6259" s="0" t="s">
        <v>90</v>
      </c>
      <c r="E6259" s="0" t="s">
        <v>91</v>
      </c>
      <c r="F6259" s="0" t="s">
        <v>92</v>
      </c>
      <c r="G6259" s="0" t="s">
        <v>170</v>
      </c>
      <c r="H6259" s="0" t="s">
        <v>170</v>
      </c>
      <c r="I6259" s="0" t="s">
        <v>45</v>
      </c>
      <c r="J6259" s="0" t="s">
        <v>46</v>
      </c>
      <c r="K6259" s="0" t="s">
        <v>48</v>
      </c>
      <c r="L6259" s="0" t="s">
        <v>49</v>
      </c>
      <c r="M6259" s="0" t="s">
        <v>167</v>
      </c>
      <c r="N6259" s="0" t="n">
        <v>830</v>
      </c>
      <c r="O6259" s="10" t="n">
        <v>0.701989963185042</v>
      </c>
      <c r="P6259" s="10" t="n">
        <v>0.719914150424302</v>
      </c>
      <c r="Q6259" s="0" t="str">
        <f aca="false">SUBSTITUTE(SUBSTITUTE($I6259,CHAR(61),""),CHAR(34),"")</f>
        <v>50+</v>
      </c>
      <c r="R6259" s="0" t="str">
        <f aca="false">IF($D6259&lt;&gt;"","["&amp;$E6259&amp;"]"&amp;"|"&amp;$Q6259&amp;"|"&amp;$K6259&amp;"|"&amp;$G6259&amp;"|"&amp;IF($G6259="TX_CURR_SUBNAT.R","CY2022Q4",$M6259),"")</f>
        <v>[AZyWpGzhcaA]|50+|Male|NEW_INFECTIONS_SUBNAT.T|CY2024Q3</v>
      </c>
    </row>
    <row r="6260" customFormat="false" ht="15" hidden="false" customHeight="false" outlineLevel="0" collapsed="false">
      <c r="D6260" s="0" t="s">
        <v>93</v>
      </c>
      <c r="E6260" s="0" t="s">
        <v>94</v>
      </c>
      <c r="F6260" s="0" t="s">
        <v>95</v>
      </c>
      <c r="G6260" s="0" t="s">
        <v>170</v>
      </c>
      <c r="H6260" s="0" t="s">
        <v>170</v>
      </c>
      <c r="I6260" s="0" t="s">
        <v>28</v>
      </c>
      <c r="J6260" s="0" t="s">
        <v>29</v>
      </c>
      <c r="K6260" s="0" t="s">
        <v>30</v>
      </c>
      <c r="L6260" s="0" t="s">
        <v>31</v>
      </c>
      <c r="M6260" s="0" t="s">
        <v>167</v>
      </c>
      <c r="N6260" s="0" t="n">
        <v>1614</v>
      </c>
      <c r="O6260" s="10" t="n">
        <v>0.201907411683351</v>
      </c>
      <c r="P6260" s="10" t="n">
        <v>0.362272296566516</v>
      </c>
      <c r="Q6260" s="0" t="str">
        <f aca="false">SUBSTITUTE(SUBSTITUTE($I6260,CHAR(61),""),CHAR(34),"")</f>
        <v>&lt;01</v>
      </c>
      <c r="R6260" s="0" t="str">
        <f aca="false">IF($D6260&lt;&gt;"","["&amp;$E6260&amp;"]"&amp;"|"&amp;$Q6260&amp;"|"&amp;$K6260&amp;"|"&amp;$G6260&amp;"|"&amp;IF($G6260="TX_CURR_SUBNAT.R","CY2022Q4",$M6260),"")</f>
        <v>[umc2n1Z4wNv]|&lt;01|Female|NEW_INFECTIONS_SUBNAT.T|CY2024Q3</v>
      </c>
    </row>
    <row r="6261" customFormat="false" ht="15" hidden="false" customHeight="false" outlineLevel="0" collapsed="false">
      <c r="D6261" s="0" t="s">
        <v>93</v>
      </c>
      <c r="E6261" s="0" t="s">
        <v>94</v>
      </c>
      <c r="F6261" s="0" t="s">
        <v>95</v>
      </c>
      <c r="G6261" s="0" t="s">
        <v>170</v>
      </c>
      <c r="H6261" s="0" t="s">
        <v>170</v>
      </c>
      <c r="I6261" s="0" t="s">
        <v>33</v>
      </c>
      <c r="J6261" s="0" t="s">
        <v>34</v>
      </c>
      <c r="K6261" s="0" t="s">
        <v>30</v>
      </c>
      <c r="L6261" s="0" t="s">
        <v>31</v>
      </c>
      <c r="M6261" s="0" t="s">
        <v>167</v>
      </c>
      <c r="N6261" s="0" t="n">
        <v>975</v>
      </c>
      <c r="O6261" s="10" t="n">
        <v>0.883653599768877</v>
      </c>
      <c r="P6261" s="10" t="n">
        <v>0.362272296566516</v>
      </c>
      <c r="Q6261" s="0" t="str">
        <f aca="false">SUBSTITUTE(SUBSTITUTE($I6261,CHAR(61),""),CHAR(34),"")</f>
        <v>01-09</v>
      </c>
      <c r="R6261" s="0" t="str">
        <f aca="false">IF($D6261&lt;&gt;"","["&amp;$E6261&amp;"]"&amp;"|"&amp;$Q6261&amp;"|"&amp;$K6261&amp;"|"&amp;$G6261&amp;"|"&amp;IF($G6261="TX_CURR_SUBNAT.R","CY2022Q4",$M6261),"")</f>
        <v>[umc2n1Z4wNv]|01-09|Female|NEW_INFECTIONS_SUBNAT.T|CY2024Q3</v>
      </c>
    </row>
    <row r="6262" customFormat="false" ht="15" hidden="false" customHeight="false" outlineLevel="0" collapsed="false">
      <c r="D6262" s="0" t="s">
        <v>93</v>
      </c>
      <c r="E6262" s="0" t="s">
        <v>94</v>
      </c>
      <c r="F6262" s="0" t="s">
        <v>95</v>
      </c>
      <c r="G6262" s="0" t="s">
        <v>170</v>
      </c>
      <c r="H6262" s="0" t="s">
        <v>170</v>
      </c>
      <c r="I6262" s="0" t="s">
        <v>36</v>
      </c>
      <c r="J6262" s="0" t="s">
        <v>37</v>
      </c>
      <c r="K6262" s="0" t="s">
        <v>30</v>
      </c>
      <c r="L6262" s="0" t="s">
        <v>31</v>
      </c>
      <c r="M6262" s="0" t="s">
        <v>167</v>
      </c>
      <c r="N6262" s="0" t="n">
        <v>1003</v>
      </c>
      <c r="O6262" s="10" t="n">
        <v>0.858947561588138</v>
      </c>
      <c r="P6262" s="10" t="n">
        <v>0.362272296566516</v>
      </c>
      <c r="Q6262" s="0" t="str">
        <f aca="false">SUBSTITUTE(SUBSTITUTE($I6262,CHAR(61),""),CHAR(34),"")</f>
        <v>10-14</v>
      </c>
      <c r="R6262" s="0" t="str">
        <f aca="false">IF($D6262&lt;&gt;"","["&amp;$E6262&amp;"]"&amp;"|"&amp;$Q6262&amp;"|"&amp;$K6262&amp;"|"&amp;$G6262&amp;"|"&amp;IF($G6262="TX_CURR_SUBNAT.R","CY2022Q4",$M6262),"")</f>
        <v>[umc2n1Z4wNv]|10-14|Female|NEW_INFECTIONS_SUBNAT.T|CY2024Q3</v>
      </c>
    </row>
    <row r="6263" customFormat="false" ht="15" hidden="false" customHeight="false" outlineLevel="0" collapsed="false">
      <c r="D6263" s="0" t="s">
        <v>93</v>
      </c>
      <c r="E6263" s="0" t="s">
        <v>94</v>
      </c>
      <c r="F6263" s="0" t="s">
        <v>95</v>
      </c>
      <c r="G6263" s="0" t="s">
        <v>170</v>
      </c>
      <c r="H6263" s="0" t="s">
        <v>170</v>
      </c>
      <c r="I6263" s="0" t="s">
        <v>38</v>
      </c>
      <c r="J6263" s="0" t="s">
        <v>39</v>
      </c>
      <c r="K6263" s="0" t="s">
        <v>30</v>
      </c>
      <c r="L6263" s="0" t="s">
        <v>31</v>
      </c>
      <c r="M6263" s="0" t="s">
        <v>167</v>
      </c>
      <c r="N6263" s="0" t="n">
        <v>609</v>
      </c>
      <c r="O6263" s="10" t="n">
        <v>0.892331384122372</v>
      </c>
      <c r="P6263" s="10" t="n">
        <v>0.362272296566516</v>
      </c>
      <c r="Q6263" s="0" t="str">
        <f aca="false">SUBSTITUTE(SUBSTITUTE($I6263,CHAR(61),""),CHAR(34),"")</f>
        <v>15-24</v>
      </c>
      <c r="R6263" s="0" t="str">
        <f aca="false">IF($D6263&lt;&gt;"","["&amp;$E6263&amp;"]"&amp;"|"&amp;$Q6263&amp;"|"&amp;$K6263&amp;"|"&amp;$G6263&amp;"|"&amp;IF($G6263="TX_CURR_SUBNAT.R","CY2022Q4",$M6263),"")</f>
        <v>[umc2n1Z4wNv]|15-24|Female|NEW_INFECTIONS_SUBNAT.T|CY2024Q3</v>
      </c>
    </row>
    <row r="6264" customFormat="false" ht="15" hidden="false" customHeight="false" outlineLevel="0" collapsed="false">
      <c r="D6264" s="0" t="s">
        <v>93</v>
      </c>
      <c r="E6264" s="0" t="s">
        <v>94</v>
      </c>
      <c r="F6264" s="0" t="s">
        <v>95</v>
      </c>
      <c r="G6264" s="0" t="s">
        <v>170</v>
      </c>
      <c r="H6264" s="0" t="s">
        <v>170</v>
      </c>
      <c r="I6264" s="0" t="s">
        <v>41</v>
      </c>
      <c r="J6264" s="0" t="s">
        <v>42</v>
      </c>
      <c r="K6264" s="0" t="s">
        <v>30</v>
      </c>
      <c r="L6264" s="0" t="s">
        <v>31</v>
      </c>
      <c r="M6264" s="0" t="s">
        <v>167</v>
      </c>
      <c r="N6264" s="0" t="n">
        <v>1232</v>
      </c>
      <c r="O6264" s="10" t="n">
        <v>0.399991137674078</v>
      </c>
      <c r="P6264" s="10" t="n">
        <v>0.362272296566516</v>
      </c>
      <c r="Q6264" s="0" t="str">
        <f aca="false">SUBSTITUTE(SUBSTITUTE($I6264,CHAR(61),""),CHAR(34),"")</f>
        <v>25-34</v>
      </c>
      <c r="R6264" s="0" t="str">
        <f aca="false">IF($D6264&lt;&gt;"","["&amp;$E6264&amp;"]"&amp;"|"&amp;$Q6264&amp;"|"&amp;$K6264&amp;"|"&amp;$G6264&amp;"|"&amp;IF($G6264="TX_CURR_SUBNAT.R","CY2022Q4",$M6264),"")</f>
        <v>[umc2n1Z4wNv]|25-34|Female|NEW_INFECTIONS_SUBNAT.T|CY2024Q3</v>
      </c>
    </row>
    <row r="6265" customFormat="false" ht="15" hidden="false" customHeight="false" outlineLevel="0" collapsed="false">
      <c r="D6265" s="0" t="s">
        <v>93</v>
      </c>
      <c r="E6265" s="0" t="s">
        <v>94</v>
      </c>
      <c r="F6265" s="0" t="s">
        <v>95</v>
      </c>
      <c r="G6265" s="0" t="s">
        <v>170</v>
      </c>
      <c r="H6265" s="0" t="s">
        <v>170</v>
      </c>
      <c r="I6265" s="0" t="s">
        <v>43</v>
      </c>
      <c r="J6265" s="0" t="s">
        <v>44</v>
      </c>
      <c r="K6265" s="0" t="s">
        <v>30</v>
      </c>
      <c r="L6265" s="0" t="s">
        <v>31</v>
      </c>
      <c r="M6265" s="0" t="s">
        <v>167</v>
      </c>
      <c r="N6265" s="0" t="n">
        <v>562</v>
      </c>
      <c r="O6265" s="10" t="n">
        <v>0.248106193961576</v>
      </c>
      <c r="P6265" s="10" t="n">
        <v>0.362272296566516</v>
      </c>
      <c r="Q6265" s="0" t="str">
        <f aca="false">SUBSTITUTE(SUBSTITUTE($I6265,CHAR(61),""),CHAR(34),"")</f>
        <v>35-49</v>
      </c>
      <c r="R6265" s="0" t="str">
        <f aca="false">IF($D6265&lt;&gt;"","["&amp;$E6265&amp;"]"&amp;"|"&amp;$Q6265&amp;"|"&amp;$K6265&amp;"|"&amp;$G6265&amp;"|"&amp;IF($G6265="TX_CURR_SUBNAT.R","CY2022Q4",$M6265),"")</f>
        <v>[umc2n1Z4wNv]|35-49|Female|NEW_INFECTIONS_SUBNAT.T|CY2024Q3</v>
      </c>
    </row>
    <row r="6266" customFormat="false" ht="15" hidden="false" customHeight="false" outlineLevel="0" collapsed="false">
      <c r="D6266" s="0" t="s">
        <v>93</v>
      </c>
      <c r="E6266" s="0" t="s">
        <v>94</v>
      </c>
      <c r="F6266" s="0" t="s">
        <v>95</v>
      </c>
      <c r="G6266" s="0" t="s">
        <v>170</v>
      </c>
      <c r="H6266" s="0" t="s">
        <v>170</v>
      </c>
      <c r="I6266" s="0" t="s">
        <v>45</v>
      </c>
      <c r="J6266" s="0" t="s">
        <v>46</v>
      </c>
      <c r="K6266" s="0" t="s">
        <v>30</v>
      </c>
      <c r="L6266" s="0" t="s">
        <v>31</v>
      </c>
      <c r="M6266" s="0" t="s">
        <v>167</v>
      </c>
      <c r="N6266" s="0" t="n">
        <v>1288</v>
      </c>
      <c r="O6266" s="10" t="n">
        <v>0.473557773279026</v>
      </c>
      <c r="P6266" s="10" t="n">
        <v>0.362272296566516</v>
      </c>
      <c r="Q6266" s="0" t="str">
        <f aca="false">SUBSTITUTE(SUBSTITUTE($I6266,CHAR(61),""),CHAR(34),"")</f>
        <v>50+</v>
      </c>
      <c r="R6266" s="0" t="str">
        <f aca="false">IF($D6266&lt;&gt;"","["&amp;$E6266&amp;"]"&amp;"|"&amp;$Q6266&amp;"|"&amp;$K6266&amp;"|"&amp;$G6266&amp;"|"&amp;IF($G6266="TX_CURR_SUBNAT.R","CY2022Q4",$M6266),"")</f>
        <v>[umc2n1Z4wNv]|50+|Female|NEW_INFECTIONS_SUBNAT.T|CY2024Q3</v>
      </c>
    </row>
    <row r="6267" customFormat="false" ht="15" hidden="false" customHeight="false" outlineLevel="0" collapsed="false">
      <c r="D6267" s="0" t="s">
        <v>93</v>
      </c>
      <c r="E6267" s="0" t="s">
        <v>94</v>
      </c>
      <c r="F6267" s="0" t="s">
        <v>95</v>
      </c>
      <c r="G6267" s="0" t="s">
        <v>170</v>
      </c>
      <c r="H6267" s="0" t="s">
        <v>170</v>
      </c>
      <c r="I6267" s="0" t="s">
        <v>28</v>
      </c>
      <c r="J6267" s="0" t="s">
        <v>29</v>
      </c>
      <c r="K6267" s="0" t="s">
        <v>48</v>
      </c>
      <c r="L6267" s="0" t="s">
        <v>49</v>
      </c>
      <c r="M6267" s="0" t="s">
        <v>167</v>
      </c>
      <c r="N6267" s="0" t="n">
        <v>1148</v>
      </c>
      <c r="O6267" s="10" t="n">
        <v>0.464237170061097</v>
      </c>
      <c r="P6267" s="10" t="n">
        <v>0.362272296566516</v>
      </c>
      <c r="Q6267" s="0" t="str">
        <f aca="false">SUBSTITUTE(SUBSTITUTE($I6267,CHAR(61),""),CHAR(34),"")</f>
        <v>&lt;01</v>
      </c>
      <c r="R6267" s="0" t="str">
        <f aca="false">IF($D6267&lt;&gt;"","["&amp;$E6267&amp;"]"&amp;"|"&amp;$Q6267&amp;"|"&amp;$K6267&amp;"|"&amp;$G6267&amp;"|"&amp;IF($G6267="TX_CURR_SUBNAT.R","CY2022Q4",$M6267),"")</f>
        <v>[umc2n1Z4wNv]|&lt;01|Male|NEW_INFECTIONS_SUBNAT.T|CY2024Q3</v>
      </c>
    </row>
    <row r="6268" customFormat="false" ht="15" hidden="false" customHeight="false" outlineLevel="0" collapsed="false">
      <c r="D6268" s="0" t="s">
        <v>93</v>
      </c>
      <c r="E6268" s="0" t="s">
        <v>94</v>
      </c>
      <c r="F6268" s="0" t="s">
        <v>95</v>
      </c>
      <c r="G6268" s="0" t="s">
        <v>170</v>
      </c>
      <c r="H6268" s="0" t="s">
        <v>170</v>
      </c>
      <c r="I6268" s="0" t="s">
        <v>33</v>
      </c>
      <c r="J6268" s="0" t="s">
        <v>34</v>
      </c>
      <c r="K6268" s="0" t="s">
        <v>48</v>
      </c>
      <c r="L6268" s="0" t="s">
        <v>49</v>
      </c>
      <c r="M6268" s="0" t="s">
        <v>167</v>
      </c>
      <c r="N6268" s="0" t="n">
        <v>1348</v>
      </c>
      <c r="O6268" s="10" t="n">
        <v>0.145502287661657</v>
      </c>
      <c r="P6268" s="10" t="n">
        <v>0.362272296566516</v>
      </c>
      <c r="Q6268" s="0" t="str">
        <f aca="false">SUBSTITUTE(SUBSTITUTE($I6268,CHAR(61),""),CHAR(34),"")</f>
        <v>01-09</v>
      </c>
      <c r="R6268" s="0" t="str">
        <f aca="false">IF($D6268&lt;&gt;"","["&amp;$E6268&amp;"]"&amp;"|"&amp;$Q6268&amp;"|"&amp;$K6268&amp;"|"&amp;$G6268&amp;"|"&amp;IF($G6268="TX_CURR_SUBNAT.R","CY2022Q4",$M6268),"")</f>
        <v>[umc2n1Z4wNv]|01-09|Male|NEW_INFECTIONS_SUBNAT.T|CY2024Q3</v>
      </c>
    </row>
    <row r="6269" customFormat="false" ht="15" hidden="false" customHeight="false" outlineLevel="0" collapsed="false">
      <c r="D6269" s="0" t="s">
        <v>93</v>
      </c>
      <c r="E6269" s="0" t="s">
        <v>94</v>
      </c>
      <c r="F6269" s="0" t="s">
        <v>95</v>
      </c>
      <c r="G6269" s="0" t="s">
        <v>170</v>
      </c>
      <c r="H6269" s="0" t="s">
        <v>170</v>
      </c>
      <c r="I6269" s="0" t="s">
        <v>36</v>
      </c>
      <c r="J6269" s="0" t="s">
        <v>37</v>
      </c>
      <c r="K6269" s="0" t="s">
        <v>48</v>
      </c>
      <c r="L6269" s="0" t="s">
        <v>49</v>
      </c>
      <c r="M6269" s="0" t="s">
        <v>167</v>
      </c>
      <c r="N6269" s="0" t="n">
        <v>819</v>
      </c>
      <c r="O6269" s="10" t="n">
        <v>0.954967158380896</v>
      </c>
      <c r="P6269" s="10" t="n">
        <v>0.362272296566516</v>
      </c>
      <c r="Q6269" s="0" t="str">
        <f aca="false">SUBSTITUTE(SUBSTITUTE($I6269,CHAR(61),""),CHAR(34),"")</f>
        <v>10-14</v>
      </c>
      <c r="R6269" s="0" t="str">
        <f aca="false">IF($D6269&lt;&gt;"","["&amp;$E6269&amp;"]"&amp;"|"&amp;$Q6269&amp;"|"&amp;$K6269&amp;"|"&amp;$G6269&amp;"|"&amp;IF($G6269="TX_CURR_SUBNAT.R","CY2022Q4",$M6269),"")</f>
        <v>[umc2n1Z4wNv]|10-14|Male|NEW_INFECTIONS_SUBNAT.T|CY2024Q3</v>
      </c>
    </row>
    <row r="6270" customFormat="false" ht="15" hidden="false" customHeight="false" outlineLevel="0" collapsed="false">
      <c r="D6270" s="0" t="s">
        <v>93</v>
      </c>
      <c r="E6270" s="0" t="s">
        <v>94</v>
      </c>
      <c r="F6270" s="0" t="s">
        <v>95</v>
      </c>
      <c r="G6270" s="0" t="s">
        <v>170</v>
      </c>
      <c r="H6270" s="0" t="s">
        <v>170</v>
      </c>
      <c r="I6270" s="0" t="s">
        <v>38</v>
      </c>
      <c r="J6270" s="0" t="s">
        <v>39</v>
      </c>
      <c r="K6270" s="0" t="s">
        <v>48</v>
      </c>
      <c r="L6270" s="0" t="s">
        <v>49</v>
      </c>
      <c r="M6270" s="0" t="s">
        <v>167</v>
      </c>
      <c r="N6270" s="0" t="n">
        <v>1773</v>
      </c>
      <c r="O6270" s="10" t="n">
        <v>0.45552391000092</v>
      </c>
      <c r="P6270" s="10" t="n">
        <v>0.362272296566516</v>
      </c>
      <c r="Q6270" s="0" t="str">
        <f aca="false">SUBSTITUTE(SUBSTITUTE($I6270,CHAR(61),""),CHAR(34),"")</f>
        <v>15-24</v>
      </c>
      <c r="R6270" s="0" t="str">
        <f aca="false">IF($D6270&lt;&gt;"","["&amp;$E6270&amp;"]"&amp;"|"&amp;$Q6270&amp;"|"&amp;$K6270&amp;"|"&amp;$G6270&amp;"|"&amp;IF($G6270="TX_CURR_SUBNAT.R","CY2022Q4",$M6270),"")</f>
        <v>[umc2n1Z4wNv]|15-24|Male|NEW_INFECTIONS_SUBNAT.T|CY2024Q3</v>
      </c>
    </row>
    <row r="6271" customFormat="false" ht="15" hidden="false" customHeight="false" outlineLevel="0" collapsed="false">
      <c r="D6271" s="0" t="s">
        <v>93</v>
      </c>
      <c r="E6271" s="0" t="s">
        <v>94</v>
      </c>
      <c r="F6271" s="0" t="s">
        <v>95</v>
      </c>
      <c r="G6271" s="0" t="s">
        <v>170</v>
      </c>
      <c r="H6271" s="0" t="s">
        <v>170</v>
      </c>
      <c r="I6271" s="0" t="s">
        <v>41</v>
      </c>
      <c r="J6271" s="0" t="s">
        <v>42</v>
      </c>
      <c r="K6271" s="0" t="s">
        <v>48</v>
      </c>
      <c r="L6271" s="0" t="s">
        <v>49</v>
      </c>
      <c r="M6271" s="0" t="s">
        <v>167</v>
      </c>
      <c r="N6271" s="0" t="n">
        <v>1635</v>
      </c>
      <c r="O6271" s="10" t="n">
        <v>0.0689570656977594</v>
      </c>
      <c r="P6271" s="10" t="n">
        <v>0.362272296566516</v>
      </c>
      <c r="Q6271" s="0" t="str">
        <f aca="false">SUBSTITUTE(SUBSTITUTE($I6271,CHAR(61),""),CHAR(34),"")</f>
        <v>25-34</v>
      </c>
      <c r="R6271" s="0" t="str">
        <f aca="false">IF($D6271&lt;&gt;"","["&amp;$E6271&amp;"]"&amp;"|"&amp;$Q6271&amp;"|"&amp;$K6271&amp;"|"&amp;$G6271&amp;"|"&amp;IF($G6271="TX_CURR_SUBNAT.R","CY2022Q4",$M6271),"")</f>
        <v>[umc2n1Z4wNv]|25-34|Male|NEW_INFECTIONS_SUBNAT.T|CY2024Q3</v>
      </c>
    </row>
    <row r="6272" customFormat="false" ht="15" hidden="false" customHeight="false" outlineLevel="0" collapsed="false">
      <c r="D6272" s="0" t="s">
        <v>93</v>
      </c>
      <c r="E6272" s="0" t="s">
        <v>94</v>
      </c>
      <c r="F6272" s="0" t="s">
        <v>95</v>
      </c>
      <c r="G6272" s="0" t="s">
        <v>170</v>
      </c>
      <c r="H6272" s="0" t="s">
        <v>170</v>
      </c>
      <c r="I6272" s="0" t="s">
        <v>43</v>
      </c>
      <c r="J6272" s="0" t="s">
        <v>44</v>
      </c>
      <c r="K6272" s="0" t="s">
        <v>48</v>
      </c>
      <c r="L6272" s="0" t="s">
        <v>49</v>
      </c>
      <c r="M6272" s="0" t="s">
        <v>167</v>
      </c>
      <c r="N6272" s="0" t="n">
        <v>1476</v>
      </c>
      <c r="O6272" s="10" t="n">
        <v>0.0388704945798963</v>
      </c>
      <c r="P6272" s="10" t="n">
        <v>0.362272296566516</v>
      </c>
      <c r="Q6272" s="0" t="str">
        <f aca="false">SUBSTITUTE(SUBSTITUTE($I6272,CHAR(61),""),CHAR(34),"")</f>
        <v>35-49</v>
      </c>
      <c r="R6272" s="0" t="str">
        <f aca="false">IF($D6272&lt;&gt;"","["&amp;$E6272&amp;"]"&amp;"|"&amp;$Q6272&amp;"|"&amp;$K6272&amp;"|"&amp;$G6272&amp;"|"&amp;IF($G6272="TX_CURR_SUBNAT.R","CY2022Q4",$M6272),"")</f>
        <v>[umc2n1Z4wNv]|35-49|Male|NEW_INFECTIONS_SUBNAT.T|CY2024Q3</v>
      </c>
    </row>
    <row r="6273" customFormat="false" ht="15" hidden="false" customHeight="false" outlineLevel="0" collapsed="false">
      <c r="D6273" s="0" t="s">
        <v>93</v>
      </c>
      <c r="E6273" s="0" t="s">
        <v>94</v>
      </c>
      <c r="F6273" s="0" t="s">
        <v>95</v>
      </c>
      <c r="G6273" s="0" t="s">
        <v>170</v>
      </c>
      <c r="H6273" s="0" t="s">
        <v>170</v>
      </c>
      <c r="I6273" s="0" t="s">
        <v>45</v>
      </c>
      <c r="J6273" s="0" t="s">
        <v>46</v>
      </c>
      <c r="K6273" s="0" t="s">
        <v>48</v>
      </c>
      <c r="L6273" s="0" t="s">
        <v>49</v>
      </c>
      <c r="M6273" s="0" t="s">
        <v>167</v>
      </c>
      <c r="N6273" s="0" t="n">
        <v>1349</v>
      </c>
      <c r="O6273" s="10" t="n">
        <v>0.401983203366399</v>
      </c>
      <c r="P6273" s="10" t="n">
        <v>0.362272296566516</v>
      </c>
      <c r="Q6273" s="0" t="str">
        <f aca="false">SUBSTITUTE(SUBSTITUTE($I6273,CHAR(61),""),CHAR(34),"")</f>
        <v>50+</v>
      </c>
      <c r="R6273" s="0" t="str">
        <f aca="false">IF($D6273&lt;&gt;"","["&amp;$E6273&amp;"]"&amp;"|"&amp;$Q6273&amp;"|"&amp;$K6273&amp;"|"&amp;$G6273&amp;"|"&amp;IF($G6273="TX_CURR_SUBNAT.R","CY2022Q4",$M6273),"")</f>
        <v>[umc2n1Z4wNv]|50+|Male|NEW_INFECTIONS_SUBNAT.T|CY2024Q3</v>
      </c>
    </row>
    <row r="6274" customFormat="false" ht="15" hidden="false" customHeight="false" outlineLevel="0" collapsed="false">
      <c r="D6274" s="0" t="s">
        <v>96</v>
      </c>
      <c r="E6274" s="0" t="s">
        <v>97</v>
      </c>
      <c r="F6274" s="0" t="s">
        <v>98</v>
      </c>
      <c r="G6274" s="0" t="s">
        <v>170</v>
      </c>
      <c r="H6274" s="0" t="s">
        <v>170</v>
      </c>
      <c r="I6274" s="0" t="s">
        <v>28</v>
      </c>
      <c r="J6274" s="0" t="s">
        <v>29</v>
      </c>
      <c r="K6274" s="0" t="s">
        <v>30</v>
      </c>
      <c r="L6274" s="0" t="s">
        <v>31</v>
      </c>
      <c r="M6274" s="0" t="s">
        <v>167</v>
      </c>
      <c r="N6274" s="0" t="n">
        <v>577</v>
      </c>
      <c r="O6274" s="10" t="n">
        <v>0.576592393219471</v>
      </c>
      <c r="P6274" s="10" t="n">
        <v>0.601251717889681</v>
      </c>
      <c r="Q6274" s="0" t="str">
        <f aca="false">SUBSTITUTE(SUBSTITUTE($I6274,CHAR(61),""),CHAR(34),"")</f>
        <v>&lt;01</v>
      </c>
      <c r="R6274" s="0" t="str">
        <f aca="false">IF($D6274&lt;&gt;"","["&amp;$E6274&amp;"]"&amp;"|"&amp;$Q6274&amp;"|"&amp;$K6274&amp;"|"&amp;$G6274&amp;"|"&amp;IF($G6274="TX_CURR_SUBNAT.R","CY2022Q4",$M6274),"")</f>
        <v>[gwVYinjBAe9]|&lt;01|Female|NEW_INFECTIONS_SUBNAT.T|CY2024Q3</v>
      </c>
    </row>
    <row r="6275" customFormat="false" ht="15" hidden="false" customHeight="false" outlineLevel="0" collapsed="false">
      <c r="D6275" s="0" t="s">
        <v>96</v>
      </c>
      <c r="E6275" s="0" t="s">
        <v>97</v>
      </c>
      <c r="F6275" s="0" t="s">
        <v>98</v>
      </c>
      <c r="G6275" s="0" t="s">
        <v>170</v>
      </c>
      <c r="H6275" s="0" t="s">
        <v>170</v>
      </c>
      <c r="I6275" s="0" t="s">
        <v>33</v>
      </c>
      <c r="J6275" s="0" t="s">
        <v>34</v>
      </c>
      <c r="K6275" s="0" t="s">
        <v>30</v>
      </c>
      <c r="L6275" s="0" t="s">
        <v>31</v>
      </c>
      <c r="M6275" s="0" t="s">
        <v>167</v>
      </c>
      <c r="N6275" s="0" t="n">
        <v>597</v>
      </c>
      <c r="O6275" s="10" t="n">
        <v>0.399333252804354</v>
      </c>
      <c r="P6275" s="10" t="n">
        <v>0.601251717889681</v>
      </c>
      <c r="Q6275" s="0" t="str">
        <f aca="false">SUBSTITUTE(SUBSTITUTE($I6275,CHAR(61),""),CHAR(34),"")</f>
        <v>01-09</v>
      </c>
      <c r="R6275" s="0" t="str">
        <f aca="false">IF($D6275&lt;&gt;"","["&amp;$E6275&amp;"]"&amp;"|"&amp;$Q6275&amp;"|"&amp;$K6275&amp;"|"&amp;$G6275&amp;"|"&amp;IF($G6275="TX_CURR_SUBNAT.R","CY2022Q4",$M6275),"")</f>
        <v>[gwVYinjBAe9]|01-09|Female|NEW_INFECTIONS_SUBNAT.T|CY2024Q3</v>
      </c>
    </row>
    <row r="6276" customFormat="false" ht="15" hidden="false" customHeight="false" outlineLevel="0" collapsed="false">
      <c r="D6276" s="0" t="s">
        <v>96</v>
      </c>
      <c r="E6276" s="0" t="s">
        <v>97</v>
      </c>
      <c r="F6276" s="0" t="s">
        <v>98</v>
      </c>
      <c r="G6276" s="0" t="s">
        <v>170</v>
      </c>
      <c r="H6276" s="0" t="s">
        <v>170</v>
      </c>
      <c r="I6276" s="0" t="s">
        <v>36</v>
      </c>
      <c r="J6276" s="0" t="s">
        <v>37</v>
      </c>
      <c r="K6276" s="0" t="s">
        <v>30</v>
      </c>
      <c r="L6276" s="0" t="s">
        <v>31</v>
      </c>
      <c r="M6276" s="0" t="s">
        <v>167</v>
      </c>
      <c r="N6276" s="0" t="n">
        <v>957</v>
      </c>
      <c r="O6276" s="10" t="n">
        <v>0.228515452472493</v>
      </c>
      <c r="P6276" s="10" t="n">
        <v>0.601251717889681</v>
      </c>
      <c r="Q6276" s="0" t="str">
        <f aca="false">SUBSTITUTE(SUBSTITUTE($I6276,CHAR(61),""),CHAR(34),"")</f>
        <v>10-14</v>
      </c>
      <c r="R6276" s="0" t="str">
        <f aca="false">IF($D6276&lt;&gt;"","["&amp;$E6276&amp;"]"&amp;"|"&amp;$Q6276&amp;"|"&amp;$K6276&amp;"|"&amp;$G6276&amp;"|"&amp;IF($G6276="TX_CURR_SUBNAT.R","CY2022Q4",$M6276),"")</f>
        <v>[gwVYinjBAe9]|10-14|Female|NEW_INFECTIONS_SUBNAT.T|CY2024Q3</v>
      </c>
    </row>
    <row r="6277" customFormat="false" ht="15" hidden="false" customHeight="false" outlineLevel="0" collapsed="false">
      <c r="D6277" s="0" t="s">
        <v>96</v>
      </c>
      <c r="E6277" s="0" t="s">
        <v>97</v>
      </c>
      <c r="F6277" s="0" t="s">
        <v>98</v>
      </c>
      <c r="G6277" s="0" t="s">
        <v>170</v>
      </c>
      <c r="H6277" s="0" t="s">
        <v>170</v>
      </c>
      <c r="I6277" s="0" t="s">
        <v>38</v>
      </c>
      <c r="J6277" s="0" t="s">
        <v>39</v>
      </c>
      <c r="K6277" s="0" t="s">
        <v>30</v>
      </c>
      <c r="L6277" s="0" t="s">
        <v>31</v>
      </c>
      <c r="M6277" s="0" t="s">
        <v>167</v>
      </c>
      <c r="N6277" s="0" t="n">
        <v>917</v>
      </c>
      <c r="O6277" s="10" t="n">
        <v>0.151983443880454</v>
      </c>
      <c r="P6277" s="10" t="n">
        <v>0.601251717889681</v>
      </c>
      <c r="Q6277" s="0" t="str">
        <f aca="false">SUBSTITUTE(SUBSTITUTE($I6277,CHAR(61),""),CHAR(34),"")</f>
        <v>15-24</v>
      </c>
      <c r="R6277" s="0" t="str">
        <f aca="false">IF($D6277&lt;&gt;"","["&amp;$E6277&amp;"]"&amp;"|"&amp;$Q6277&amp;"|"&amp;$K6277&amp;"|"&amp;$G6277&amp;"|"&amp;IF($G6277="TX_CURR_SUBNAT.R","CY2022Q4",$M6277),"")</f>
        <v>[gwVYinjBAe9]|15-24|Female|NEW_INFECTIONS_SUBNAT.T|CY2024Q3</v>
      </c>
    </row>
    <row r="6278" customFormat="false" ht="15" hidden="false" customHeight="false" outlineLevel="0" collapsed="false">
      <c r="D6278" s="0" t="s">
        <v>96</v>
      </c>
      <c r="E6278" s="0" t="s">
        <v>97</v>
      </c>
      <c r="F6278" s="0" t="s">
        <v>98</v>
      </c>
      <c r="G6278" s="0" t="s">
        <v>170</v>
      </c>
      <c r="H6278" s="0" t="s">
        <v>170</v>
      </c>
      <c r="I6278" s="0" t="s">
        <v>41</v>
      </c>
      <c r="J6278" s="0" t="s">
        <v>42</v>
      </c>
      <c r="K6278" s="0" t="s">
        <v>30</v>
      </c>
      <c r="L6278" s="0" t="s">
        <v>31</v>
      </c>
      <c r="M6278" s="0" t="s">
        <v>167</v>
      </c>
      <c r="N6278" s="0" t="n">
        <v>1301</v>
      </c>
      <c r="O6278" s="10" t="n">
        <v>0.569767293520272</v>
      </c>
      <c r="P6278" s="10" t="n">
        <v>0.601251717889681</v>
      </c>
      <c r="Q6278" s="0" t="str">
        <f aca="false">SUBSTITUTE(SUBSTITUTE($I6278,CHAR(61),""),CHAR(34),"")</f>
        <v>25-34</v>
      </c>
      <c r="R6278" s="0" t="str">
        <f aca="false">IF($D6278&lt;&gt;"","["&amp;$E6278&amp;"]"&amp;"|"&amp;$Q6278&amp;"|"&amp;$K6278&amp;"|"&amp;$G6278&amp;"|"&amp;IF($G6278="TX_CURR_SUBNAT.R","CY2022Q4",$M6278),"")</f>
        <v>[gwVYinjBAe9]|25-34|Female|NEW_INFECTIONS_SUBNAT.T|CY2024Q3</v>
      </c>
    </row>
    <row r="6279" customFormat="false" ht="15" hidden="false" customHeight="false" outlineLevel="0" collapsed="false">
      <c r="D6279" s="0" t="s">
        <v>96</v>
      </c>
      <c r="E6279" s="0" t="s">
        <v>97</v>
      </c>
      <c r="F6279" s="0" t="s">
        <v>98</v>
      </c>
      <c r="G6279" s="0" t="s">
        <v>170</v>
      </c>
      <c r="H6279" s="0" t="s">
        <v>170</v>
      </c>
      <c r="I6279" s="0" t="s">
        <v>43</v>
      </c>
      <c r="J6279" s="0" t="s">
        <v>44</v>
      </c>
      <c r="K6279" s="0" t="s">
        <v>30</v>
      </c>
      <c r="L6279" s="0" t="s">
        <v>31</v>
      </c>
      <c r="M6279" s="0" t="s">
        <v>167</v>
      </c>
      <c r="N6279" s="0" t="n">
        <v>1352</v>
      </c>
      <c r="O6279" s="10" t="n">
        <v>0.819207305554301</v>
      </c>
      <c r="P6279" s="10" t="n">
        <v>0.601251717889681</v>
      </c>
      <c r="Q6279" s="0" t="str">
        <f aca="false">SUBSTITUTE(SUBSTITUTE($I6279,CHAR(61),""),CHAR(34),"")</f>
        <v>35-49</v>
      </c>
      <c r="R6279" s="0" t="str">
        <f aca="false">IF($D6279&lt;&gt;"","["&amp;$E6279&amp;"]"&amp;"|"&amp;$Q6279&amp;"|"&amp;$K6279&amp;"|"&amp;$G6279&amp;"|"&amp;IF($G6279="TX_CURR_SUBNAT.R","CY2022Q4",$M6279),"")</f>
        <v>[gwVYinjBAe9]|35-49|Female|NEW_INFECTIONS_SUBNAT.T|CY2024Q3</v>
      </c>
    </row>
    <row r="6280" customFormat="false" ht="15" hidden="false" customHeight="false" outlineLevel="0" collapsed="false">
      <c r="D6280" s="0" t="s">
        <v>96</v>
      </c>
      <c r="E6280" s="0" t="s">
        <v>97</v>
      </c>
      <c r="F6280" s="0" t="s">
        <v>98</v>
      </c>
      <c r="G6280" s="0" t="s">
        <v>170</v>
      </c>
      <c r="H6280" s="0" t="s">
        <v>170</v>
      </c>
      <c r="I6280" s="0" t="s">
        <v>45</v>
      </c>
      <c r="J6280" s="0" t="s">
        <v>46</v>
      </c>
      <c r="K6280" s="0" t="s">
        <v>30</v>
      </c>
      <c r="L6280" s="0" t="s">
        <v>31</v>
      </c>
      <c r="M6280" s="0" t="s">
        <v>167</v>
      </c>
      <c r="N6280" s="0" t="n">
        <v>1145</v>
      </c>
      <c r="O6280" s="10" t="n">
        <v>0.778795923339203</v>
      </c>
      <c r="P6280" s="10" t="n">
        <v>0.601251717889681</v>
      </c>
      <c r="Q6280" s="0" t="str">
        <f aca="false">SUBSTITUTE(SUBSTITUTE($I6280,CHAR(61),""),CHAR(34),"")</f>
        <v>50+</v>
      </c>
      <c r="R6280" s="0" t="str">
        <f aca="false">IF($D6280&lt;&gt;"","["&amp;$E6280&amp;"]"&amp;"|"&amp;$Q6280&amp;"|"&amp;$K6280&amp;"|"&amp;$G6280&amp;"|"&amp;IF($G6280="TX_CURR_SUBNAT.R","CY2022Q4",$M6280),"")</f>
        <v>[gwVYinjBAe9]|50+|Female|NEW_INFECTIONS_SUBNAT.T|CY2024Q3</v>
      </c>
    </row>
    <row r="6281" customFormat="false" ht="15" hidden="false" customHeight="false" outlineLevel="0" collapsed="false">
      <c r="D6281" s="0" t="s">
        <v>96</v>
      </c>
      <c r="E6281" s="0" t="s">
        <v>97</v>
      </c>
      <c r="F6281" s="0" t="s">
        <v>98</v>
      </c>
      <c r="G6281" s="0" t="s">
        <v>170</v>
      </c>
      <c r="H6281" s="0" t="s">
        <v>170</v>
      </c>
      <c r="I6281" s="0" t="s">
        <v>28</v>
      </c>
      <c r="J6281" s="0" t="s">
        <v>29</v>
      </c>
      <c r="K6281" s="0" t="s">
        <v>48</v>
      </c>
      <c r="L6281" s="0" t="s">
        <v>49</v>
      </c>
      <c r="M6281" s="0" t="s">
        <v>167</v>
      </c>
      <c r="N6281" s="0" t="n">
        <v>1492</v>
      </c>
      <c r="O6281" s="10" t="n">
        <v>0.263369699707255</v>
      </c>
      <c r="P6281" s="10" t="n">
        <v>0.601251717889681</v>
      </c>
      <c r="Q6281" s="0" t="str">
        <f aca="false">SUBSTITUTE(SUBSTITUTE($I6281,CHAR(61),""),CHAR(34),"")</f>
        <v>&lt;01</v>
      </c>
      <c r="R6281" s="0" t="str">
        <f aca="false">IF($D6281&lt;&gt;"","["&amp;$E6281&amp;"]"&amp;"|"&amp;$Q6281&amp;"|"&amp;$K6281&amp;"|"&amp;$G6281&amp;"|"&amp;IF($G6281="TX_CURR_SUBNAT.R","CY2022Q4",$M6281),"")</f>
        <v>[gwVYinjBAe9]|&lt;01|Male|NEW_INFECTIONS_SUBNAT.T|CY2024Q3</v>
      </c>
    </row>
    <row r="6282" customFormat="false" ht="15" hidden="false" customHeight="false" outlineLevel="0" collapsed="false">
      <c r="D6282" s="0" t="s">
        <v>96</v>
      </c>
      <c r="E6282" s="0" t="s">
        <v>97</v>
      </c>
      <c r="F6282" s="0" t="s">
        <v>98</v>
      </c>
      <c r="G6282" s="0" t="s">
        <v>170</v>
      </c>
      <c r="H6282" s="0" t="s">
        <v>170</v>
      </c>
      <c r="I6282" s="0" t="s">
        <v>33</v>
      </c>
      <c r="J6282" s="0" t="s">
        <v>34</v>
      </c>
      <c r="K6282" s="0" t="s">
        <v>48</v>
      </c>
      <c r="L6282" s="0" t="s">
        <v>49</v>
      </c>
      <c r="M6282" s="0" t="s">
        <v>167</v>
      </c>
      <c r="N6282" s="0" t="n">
        <v>1299</v>
      </c>
      <c r="O6282" s="10" t="n">
        <v>0.831020263722166</v>
      </c>
      <c r="P6282" s="10" t="n">
        <v>0.601251717889681</v>
      </c>
      <c r="Q6282" s="0" t="str">
        <f aca="false">SUBSTITUTE(SUBSTITUTE($I6282,CHAR(61),""),CHAR(34),"")</f>
        <v>01-09</v>
      </c>
      <c r="R6282" s="0" t="str">
        <f aca="false">IF($D6282&lt;&gt;"","["&amp;$E6282&amp;"]"&amp;"|"&amp;$Q6282&amp;"|"&amp;$K6282&amp;"|"&amp;$G6282&amp;"|"&amp;IF($G6282="TX_CURR_SUBNAT.R","CY2022Q4",$M6282),"")</f>
        <v>[gwVYinjBAe9]|01-09|Male|NEW_INFECTIONS_SUBNAT.T|CY2024Q3</v>
      </c>
    </row>
    <row r="6283" customFormat="false" ht="15" hidden="false" customHeight="false" outlineLevel="0" collapsed="false">
      <c r="D6283" s="0" t="s">
        <v>96</v>
      </c>
      <c r="E6283" s="0" t="s">
        <v>97</v>
      </c>
      <c r="F6283" s="0" t="s">
        <v>98</v>
      </c>
      <c r="G6283" s="0" t="s">
        <v>170</v>
      </c>
      <c r="H6283" s="0" t="s">
        <v>170</v>
      </c>
      <c r="I6283" s="0" t="s">
        <v>36</v>
      </c>
      <c r="J6283" s="0" t="s">
        <v>37</v>
      </c>
      <c r="K6283" s="0" t="s">
        <v>48</v>
      </c>
      <c r="L6283" s="0" t="s">
        <v>49</v>
      </c>
      <c r="M6283" s="0" t="s">
        <v>167</v>
      </c>
      <c r="N6283" s="0" t="n">
        <v>814</v>
      </c>
      <c r="O6283" s="10" t="n">
        <v>0.0913097308948636</v>
      </c>
      <c r="P6283" s="10" t="n">
        <v>0.601251717889681</v>
      </c>
      <c r="Q6283" s="0" t="str">
        <f aca="false">SUBSTITUTE(SUBSTITUTE($I6283,CHAR(61),""),CHAR(34),"")</f>
        <v>10-14</v>
      </c>
      <c r="R6283" s="0" t="str">
        <f aca="false">IF($D6283&lt;&gt;"","["&amp;$E6283&amp;"]"&amp;"|"&amp;$Q6283&amp;"|"&amp;$K6283&amp;"|"&amp;$G6283&amp;"|"&amp;IF($G6283="TX_CURR_SUBNAT.R","CY2022Q4",$M6283),"")</f>
        <v>[gwVYinjBAe9]|10-14|Male|NEW_INFECTIONS_SUBNAT.T|CY2024Q3</v>
      </c>
    </row>
    <row r="6284" customFormat="false" ht="15" hidden="false" customHeight="false" outlineLevel="0" collapsed="false">
      <c r="D6284" s="0" t="s">
        <v>96</v>
      </c>
      <c r="E6284" s="0" t="s">
        <v>97</v>
      </c>
      <c r="F6284" s="0" t="s">
        <v>98</v>
      </c>
      <c r="G6284" s="0" t="s">
        <v>170</v>
      </c>
      <c r="H6284" s="0" t="s">
        <v>170</v>
      </c>
      <c r="I6284" s="0" t="s">
        <v>38</v>
      </c>
      <c r="J6284" s="0" t="s">
        <v>39</v>
      </c>
      <c r="K6284" s="0" t="s">
        <v>48</v>
      </c>
      <c r="L6284" s="0" t="s">
        <v>49</v>
      </c>
      <c r="M6284" s="0" t="s">
        <v>167</v>
      </c>
      <c r="N6284" s="0" t="n">
        <v>1530</v>
      </c>
      <c r="O6284" s="10" t="n">
        <v>0.389646322466433</v>
      </c>
      <c r="P6284" s="10" t="n">
        <v>0.601251717889681</v>
      </c>
      <c r="Q6284" s="0" t="str">
        <f aca="false">SUBSTITUTE(SUBSTITUTE($I6284,CHAR(61),""),CHAR(34),"")</f>
        <v>15-24</v>
      </c>
      <c r="R6284" s="0" t="str">
        <f aca="false">IF($D6284&lt;&gt;"","["&amp;$E6284&amp;"]"&amp;"|"&amp;$Q6284&amp;"|"&amp;$K6284&amp;"|"&amp;$G6284&amp;"|"&amp;IF($G6284="TX_CURR_SUBNAT.R","CY2022Q4",$M6284),"")</f>
        <v>[gwVYinjBAe9]|15-24|Male|NEW_INFECTIONS_SUBNAT.T|CY2024Q3</v>
      </c>
    </row>
    <row r="6285" customFormat="false" ht="15" hidden="false" customHeight="false" outlineLevel="0" collapsed="false">
      <c r="D6285" s="0" t="s">
        <v>96</v>
      </c>
      <c r="E6285" s="0" t="s">
        <v>97</v>
      </c>
      <c r="F6285" s="0" t="s">
        <v>98</v>
      </c>
      <c r="G6285" s="0" t="s">
        <v>170</v>
      </c>
      <c r="H6285" s="0" t="s">
        <v>170</v>
      </c>
      <c r="I6285" s="0" t="s">
        <v>41</v>
      </c>
      <c r="J6285" s="0" t="s">
        <v>42</v>
      </c>
      <c r="K6285" s="0" t="s">
        <v>48</v>
      </c>
      <c r="L6285" s="0" t="s">
        <v>49</v>
      </c>
      <c r="M6285" s="0" t="s">
        <v>167</v>
      </c>
      <c r="N6285" s="0" t="n">
        <v>627</v>
      </c>
      <c r="O6285" s="10" t="n">
        <v>0.0711621604859829</v>
      </c>
      <c r="P6285" s="10" t="n">
        <v>0.601251717889681</v>
      </c>
      <c r="Q6285" s="0" t="str">
        <f aca="false">SUBSTITUTE(SUBSTITUTE($I6285,CHAR(61),""),CHAR(34),"")</f>
        <v>25-34</v>
      </c>
      <c r="R6285" s="0" t="str">
        <f aca="false">IF($D6285&lt;&gt;"","["&amp;$E6285&amp;"]"&amp;"|"&amp;$Q6285&amp;"|"&amp;$K6285&amp;"|"&amp;$G6285&amp;"|"&amp;IF($G6285="TX_CURR_SUBNAT.R","CY2022Q4",$M6285),"")</f>
        <v>[gwVYinjBAe9]|25-34|Male|NEW_INFECTIONS_SUBNAT.T|CY2024Q3</v>
      </c>
    </row>
    <row r="6286" customFormat="false" ht="15" hidden="false" customHeight="false" outlineLevel="0" collapsed="false">
      <c r="D6286" s="0" t="s">
        <v>96</v>
      </c>
      <c r="E6286" s="0" t="s">
        <v>97</v>
      </c>
      <c r="F6286" s="0" t="s">
        <v>98</v>
      </c>
      <c r="G6286" s="0" t="s">
        <v>170</v>
      </c>
      <c r="H6286" s="0" t="s">
        <v>170</v>
      </c>
      <c r="I6286" s="0" t="s">
        <v>43</v>
      </c>
      <c r="J6286" s="0" t="s">
        <v>44</v>
      </c>
      <c r="K6286" s="0" t="s">
        <v>48</v>
      </c>
      <c r="L6286" s="0" t="s">
        <v>49</v>
      </c>
      <c r="M6286" s="0" t="s">
        <v>167</v>
      </c>
      <c r="N6286" s="0" t="n">
        <v>860</v>
      </c>
      <c r="O6286" s="10" t="n">
        <v>0.595759753603488</v>
      </c>
      <c r="P6286" s="10" t="n">
        <v>0.601251717889681</v>
      </c>
      <c r="Q6286" s="0" t="str">
        <f aca="false">SUBSTITUTE(SUBSTITUTE($I6286,CHAR(61),""),CHAR(34),"")</f>
        <v>35-49</v>
      </c>
      <c r="R6286" s="0" t="str">
        <f aca="false">IF($D6286&lt;&gt;"","["&amp;$E6286&amp;"]"&amp;"|"&amp;$Q6286&amp;"|"&amp;$K6286&amp;"|"&amp;$G6286&amp;"|"&amp;IF($G6286="TX_CURR_SUBNAT.R","CY2022Q4",$M6286),"")</f>
        <v>[gwVYinjBAe9]|35-49|Male|NEW_INFECTIONS_SUBNAT.T|CY2024Q3</v>
      </c>
    </row>
    <row r="6287" customFormat="false" ht="15" hidden="false" customHeight="false" outlineLevel="0" collapsed="false">
      <c r="D6287" s="0" t="s">
        <v>96</v>
      </c>
      <c r="E6287" s="0" t="s">
        <v>97</v>
      </c>
      <c r="F6287" s="0" t="s">
        <v>98</v>
      </c>
      <c r="G6287" s="0" t="s">
        <v>170</v>
      </c>
      <c r="H6287" s="0" t="s">
        <v>170</v>
      </c>
      <c r="I6287" s="0" t="s">
        <v>45</v>
      </c>
      <c r="J6287" s="0" t="s">
        <v>46</v>
      </c>
      <c r="K6287" s="0" t="s">
        <v>48</v>
      </c>
      <c r="L6287" s="0" t="s">
        <v>49</v>
      </c>
      <c r="M6287" s="0" t="s">
        <v>167</v>
      </c>
      <c r="N6287" s="0" t="n">
        <v>641</v>
      </c>
      <c r="O6287" s="10" t="n">
        <v>0.538023732835427</v>
      </c>
      <c r="P6287" s="10" t="n">
        <v>0.601251717889681</v>
      </c>
      <c r="Q6287" s="0" t="str">
        <f aca="false">SUBSTITUTE(SUBSTITUTE($I6287,CHAR(61),""),CHAR(34),"")</f>
        <v>50+</v>
      </c>
      <c r="R6287" s="0" t="str">
        <f aca="false">IF($D6287&lt;&gt;"","["&amp;$E6287&amp;"]"&amp;"|"&amp;$Q6287&amp;"|"&amp;$K6287&amp;"|"&amp;$G6287&amp;"|"&amp;IF($G6287="TX_CURR_SUBNAT.R","CY2022Q4",$M6287),"")</f>
        <v>[gwVYinjBAe9]|50+|Male|NEW_INFECTIONS_SUBNAT.T|CY2024Q3</v>
      </c>
    </row>
    <row r="6288" customFormat="false" ht="15" hidden="false" customHeight="false" outlineLevel="0" collapsed="false">
      <c r="D6288" s="0" t="s">
        <v>99</v>
      </c>
      <c r="E6288" s="0" t="s">
        <v>100</v>
      </c>
      <c r="F6288" s="0" t="s">
        <v>101</v>
      </c>
      <c r="G6288" s="0" t="s">
        <v>170</v>
      </c>
      <c r="H6288" s="0" t="s">
        <v>170</v>
      </c>
      <c r="I6288" s="0" t="s">
        <v>28</v>
      </c>
      <c r="J6288" s="0" t="s">
        <v>29</v>
      </c>
      <c r="K6288" s="0" t="s">
        <v>30</v>
      </c>
      <c r="L6288" s="0" t="s">
        <v>31</v>
      </c>
      <c r="M6288" s="0" t="s">
        <v>167</v>
      </c>
      <c r="N6288" s="0" t="n">
        <v>952</v>
      </c>
      <c r="O6288" s="10" t="n">
        <v>0.72324092593044</v>
      </c>
      <c r="P6288" s="10" t="n">
        <v>0.577288038097322</v>
      </c>
      <c r="Q6288" s="0" t="str">
        <f aca="false">SUBSTITUTE(SUBSTITUTE($I6288,CHAR(61),""),CHAR(34),"")</f>
        <v>&lt;01</v>
      </c>
      <c r="R6288" s="0" t="str">
        <f aca="false">IF($D6288&lt;&gt;"","["&amp;$E6288&amp;"]"&amp;"|"&amp;$Q6288&amp;"|"&amp;$K6288&amp;"|"&amp;$G6288&amp;"|"&amp;IF($G6288="TX_CURR_SUBNAT.R","CY2022Q4",$M6288),"")</f>
        <v>[mxqa3CDFmIT]|&lt;01|Female|NEW_INFECTIONS_SUBNAT.T|CY2024Q3</v>
      </c>
    </row>
    <row r="6289" customFormat="false" ht="15" hidden="false" customHeight="false" outlineLevel="0" collapsed="false">
      <c r="D6289" s="0" t="s">
        <v>99</v>
      </c>
      <c r="E6289" s="0" t="s">
        <v>100</v>
      </c>
      <c r="F6289" s="0" t="s">
        <v>101</v>
      </c>
      <c r="G6289" s="0" t="s">
        <v>170</v>
      </c>
      <c r="H6289" s="0" t="s">
        <v>170</v>
      </c>
      <c r="I6289" s="0" t="s">
        <v>33</v>
      </c>
      <c r="J6289" s="0" t="s">
        <v>34</v>
      </c>
      <c r="K6289" s="0" t="s">
        <v>30</v>
      </c>
      <c r="L6289" s="0" t="s">
        <v>31</v>
      </c>
      <c r="M6289" s="0" t="s">
        <v>167</v>
      </c>
      <c r="N6289" s="0" t="n">
        <v>537</v>
      </c>
      <c r="O6289" s="10" t="n">
        <v>0.282324463827536</v>
      </c>
      <c r="P6289" s="10" t="n">
        <v>0.577288038097322</v>
      </c>
      <c r="Q6289" s="0" t="str">
        <f aca="false">SUBSTITUTE(SUBSTITUTE($I6289,CHAR(61),""),CHAR(34),"")</f>
        <v>01-09</v>
      </c>
      <c r="R6289" s="0" t="str">
        <f aca="false">IF($D6289&lt;&gt;"","["&amp;$E6289&amp;"]"&amp;"|"&amp;$Q6289&amp;"|"&amp;$K6289&amp;"|"&amp;$G6289&amp;"|"&amp;IF($G6289="TX_CURR_SUBNAT.R","CY2022Q4",$M6289),"")</f>
        <v>[mxqa3CDFmIT]|01-09|Female|NEW_INFECTIONS_SUBNAT.T|CY2024Q3</v>
      </c>
    </row>
    <row r="6290" customFormat="false" ht="15" hidden="false" customHeight="false" outlineLevel="0" collapsed="false">
      <c r="D6290" s="0" t="s">
        <v>99</v>
      </c>
      <c r="E6290" s="0" t="s">
        <v>100</v>
      </c>
      <c r="F6290" s="0" t="s">
        <v>101</v>
      </c>
      <c r="G6290" s="0" t="s">
        <v>170</v>
      </c>
      <c r="H6290" s="0" t="s">
        <v>170</v>
      </c>
      <c r="I6290" s="0" t="s">
        <v>36</v>
      </c>
      <c r="J6290" s="0" t="s">
        <v>37</v>
      </c>
      <c r="K6290" s="0" t="s">
        <v>30</v>
      </c>
      <c r="L6290" s="0" t="s">
        <v>31</v>
      </c>
      <c r="M6290" s="0" t="s">
        <v>167</v>
      </c>
      <c r="N6290" s="0" t="n">
        <v>1291</v>
      </c>
      <c r="O6290" s="10" t="n">
        <v>0.596334480447695</v>
      </c>
      <c r="P6290" s="10" t="n">
        <v>0.577288038097322</v>
      </c>
      <c r="Q6290" s="0" t="str">
        <f aca="false">SUBSTITUTE(SUBSTITUTE($I6290,CHAR(61),""),CHAR(34),"")</f>
        <v>10-14</v>
      </c>
      <c r="R6290" s="0" t="str">
        <f aca="false">IF($D6290&lt;&gt;"","["&amp;$E6290&amp;"]"&amp;"|"&amp;$Q6290&amp;"|"&amp;$K6290&amp;"|"&amp;$G6290&amp;"|"&amp;IF($G6290="TX_CURR_SUBNAT.R","CY2022Q4",$M6290),"")</f>
        <v>[mxqa3CDFmIT]|10-14|Female|NEW_INFECTIONS_SUBNAT.T|CY2024Q3</v>
      </c>
    </row>
    <row r="6291" customFormat="false" ht="15" hidden="false" customHeight="false" outlineLevel="0" collapsed="false">
      <c r="D6291" s="0" t="s">
        <v>99</v>
      </c>
      <c r="E6291" s="0" t="s">
        <v>100</v>
      </c>
      <c r="F6291" s="0" t="s">
        <v>101</v>
      </c>
      <c r="G6291" s="0" t="s">
        <v>170</v>
      </c>
      <c r="H6291" s="0" t="s">
        <v>170</v>
      </c>
      <c r="I6291" s="0" t="s">
        <v>38</v>
      </c>
      <c r="J6291" s="0" t="s">
        <v>39</v>
      </c>
      <c r="K6291" s="0" t="s">
        <v>30</v>
      </c>
      <c r="L6291" s="0" t="s">
        <v>31</v>
      </c>
      <c r="M6291" s="0" t="s">
        <v>167</v>
      </c>
      <c r="N6291" s="0" t="n">
        <v>743</v>
      </c>
      <c r="O6291" s="10" t="n">
        <v>0.0823842636309564</v>
      </c>
      <c r="P6291" s="10" t="n">
        <v>0.577288038097322</v>
      </c>
      <c r="Q6291" s="0" t="str">
        <f aca="false">SUBSTITUTE(SUBSTITUTE($I6291,CHAR(61),""),CHAR(34),"")</f>
        <v>15-24</v>
      </c>
      <c r="R6291" s="0" t="str">
        <f aca="false">IF($D6291&lt;&gt;"","["&amp;$E6291&amp;"]"&amp;"|"&amp;$Q6291&amp;"|"&amp;$K6291&amp;"|"&amp;$G6291&amp;"|"&amp;IF($G6291="TX_CURR_SUBNAT.R","CY2022Q4",$M6291),"")</f>
        <v>[mxqa3CDFmIT]|15-24|Female|NEW_INFECTIONS_SUBNAT.T|CY2024Q3</v>
      </c>
    </row>
    <row r="6292" customFormat="false" ht="15" hidden="false" customHeight="false" outlineLevel="0" collapsed="false">
      <c r="D6292" s="0" t="s">
        <v>99</v>
      </c>
      <c r="E6292" s="0" t="s">
        <v>100</v>
      </c>
      <c r="F6292" s="0" t="s">
        <v>101</v>
      </c>
      <c r="G6292" s="0" t="s">
        <v>170</v>
      </c>
      <c r="H6292" s="0" t="s">
        <v>170</v>
      </c>
      <c r="I6292" s="0" t="s">
        <v>41</v>
      </c>
      <c r="J6292" s="0" t="s">
        <v>42</v>
      </c>
      <c r="K6292" s="0" t="s">
        <v>30</v>
      </c>
      <c r="L6292" s="0" t="s">
        <v>31</v>
      </c>
      <c r="M6292" s="0" t="s">
        <v>167</v>
      </c>
      <c r="N6292" s="0" t="n">
        <v>1193</v>
      </c>
      <c r="O6292" s="10" t="n">
        <v>0.972271073609591</v>
      </c>
      <c r="P6292" s="10" t="n">
        <v>0.577288038097322</v>
      </c>
      <c r="Q6292" s="0" t="str">
        <f aca="false">SUBSTITUTE(SUBSTITUTE($I6292,CHAR(61),""),CHAR(34),"")</f>
        <v>25-34</v>
      </c>
      <c r="R6292" s="0" t="str">
        <f aca="false">IF($D6292&lt;&gt;"","["&amp;$E6292&amp;"]"&amp;"|"&amp;$Q6292&amp;"|"&amp;$K6292&amp;"|"&amp;$G6292&amp;"|"&amp;IF($G6292="TX_CURR_SUBNAT.R","CY2022Q4",$M6292),"")</f>
        <v>[mxqa3CDFmIT]|25-34|Female|NEW_INFECTIONS_SUBNAT.T|CY2024Q3</v>
      </c>
    </row>
    <row r="6293" customFormat="false" ht="15" hidden="false" customHeight="false" outlineLevel="0" collapsed="false">
      <c r="D6293" s="0" t="s">
        <v>99</v>
      </c>
      <c r="E6293" s="0" t="s">
        <v>100</v>
      </c>
      <c r="F6293" s="0" t="s">
        <v>101</v>
      </c>
      <c r="G6293" s="0" t="s">
        <v>170</v>
      </c>
      <c r="H6293" s="0" t="s">
        <v>170</v>
      </c>
      <c r="I6293" s="0" t="s">
        <v>43</v>
      </c>
      <c r="J6293" s="0" t="s">
        <v>44</v>
      </c>
      <c r="K6293" s="0" t="s">
        <v>30</v>
      </c>
      <c r="L6293" s="0" t="s">
        <v>31</v>
      </c>
      <c r="M6293" s="0" t="s">
        <v>167</v>
      </c>
      <c r="N6293" s="0" t="n">
        <v>619</v>
      </c>
      <c r="O6293" s="10" t="n">
        <v>0.393270530970767</v>
      </c>
      <c r="P6293" s="10" t="n">
        <v>0.577288038097322</v>
      </c>
      <c r="Q6293" s="0" t="str">
        <f aca="false">SUBSTITUTE(SUBSTITUTE($I6293,CHAR(61),""),CHAR(34),"")</f>
        <v>35-49</v>
      </c>
      <c r="R6293" s="0" t="str">
        <f aca="false">IF($D6293&lt;&gt;"","["&amp;$E6293&amp;"]"&amp;"|"&amp;$Q6293&amp;"|"&amp;$K6293&amp;"|"&amp;$G6293&amp;"|"&amp;IF($G6293="TX_CURR_SUBNAT.R","CY2022Q4",$M6293),"")</f>
        <v>[mxqa3CDFmIT]|35-49|Female|NEW_INFECTIONS_SUBNAT.T|CY2024Q3</v>
      </c>
    </row>
    <row r="6294" customFormat="false" ht="15" hidden="false" customHeight="false" outlineLevel="0" collapsed="false">
      <c r="D6294" s="0" t="s">
        <v>99</v>
      </c>
      <c r="E6294" s="0" t="s">
        <v>100</v>
      </c>
      <c r="F6294" s="0" t="s">
        <v>101</v>
      </c>
      <c r="G6294" s="0" t="s">
        <v>170</v>
      </c>
      <c r="H6294" s="0" t="s">
        <v>170</v>
      </c>
      <c r="I6294" s="0" t="s">
        <v>45</v>
      </c>
      <c r="J6294" s="0" t="s">
        <v>46</v>
      </c>
      <c r="K6294" s="0" t="s">
        <v>30</v>
      </c>
      <c r="L6294" s="0" t="s">
        <v>31</v>
      </c>
      <c r="M6294" s="0" t="s">
        <v>167</v>
      </c>
      <c r="N6294" s="0" t="n">
        <v>1410</v>
      </c>
      <c r="O6294" s="10" t="n">
        <v>0.575060121482238</v>
      </c>
      <c r="P6294" s="10" t="n">
        <v>0.577288038097322</v>
      </c>
      <c r="Q6294" s="0" t="str">
        <f aca="false">SUBSTITUTE(SUBSTITUTE($I6294,CHAR(61),""),CHAR(34),"")</f>
        <v>50+</v>
      </c>
      <c r="R6294" s="0" t="str">
        <f aca="false">IF($D6294&lt;&gt;"","["&amp;$E6294&amp;"]"&amp;"|"&amp;$Q6294&amp;"|"&amp;$K6294&amp;"|"&amp;$G6294&amp;"|"&amp;IF($G6294="TX_CURR_SUBNAT.R","CY2022Q4",$M6294),"")</f>
        <v>[mxqa3CDFmIT]|50+|Female|NEW_INFECTIONS_SUBNAT.T|CY2024Q3</v>
      </c>
    </row>
    <row r="6295" customFormat="false" ht="15" hidden="false" customHeight="false" outlineLevel="0" collapsed="false">
      <c r="D6295" s="0" t="s">
        <v>99</v>
      </c>
      <c r="E6295" s="0" t="s">
        <v>100</v>
      </c>
      <c r="F6295" s="0" t="s">
        <v>101</v>
      </c>
      <c r="G6295" s="0" t="s">
        <v>170</v>
      </c>
      <c r="H6295" s="0" t="s">
        <v>170</v>
      </c>
      <c r="I6295" s="0" t="s">
        <v>28</v>
      </c>
      <c r="J6295" s="0" t="s">
        <v>29</v>
      </c>
      <c r="K6295" s="0" t="s">
        <v>48</v>
      </c>
      <c r="L6295" s="0" t="s">
        <v>49</v>
      </c>
      <c r="M6295" s="0" t="s">
        <v>167</v>
      </c>
      <c r="N6295" s="0" t="n">
        <v>1195</v>
      </c>
      <c r="O6295" s="10" t="n">
        <v>0.585788125172257</v>
      </c>
      <c r="P6295" s="10" t="n">
        <v>0.577288038097322</v>
      </c>
      <c r="Q6295" s="0" t="str">
        <f aca="false">SUBSTITUTE(SUBSTITUTE($I6295,CHAR(61),""),CHAR(34),"")</f>
        <v>&lt;01</v>
      </c>
      <c r="R6295" s="0" t="str">
        <f aca="false">IF($D6295&lt;&gt;"","["&amp;$E6295&amp;"]"&amp;"|"&amp;$Q6295&amp;"|"&amp;$K6295&amp;"|"&amp;$G6295&amp;"|"&amp;IF($G6295="TX_CURR_SUBNAT.R","CY2022Q4",$M6295),"")</f>
        <v>[mxqa3CDFmIT]|&lt;01|Male|NEW_INFECTIONS_SUBNAT.T|CY2024Q3</v>
      </c>
    </row>
    <row r="6296" customFormat="false" ht="15" hidden="false" customHeight="false" outlineLevel="0" collapsed="false">
      <c r="D6296" s="0" t="s">
        <v>99</v>
      </c>
      <c r="E6296" s="0" t="s">
        <v>100</v>
      </c>
      <c r="F6296" s="0" t="s">
        <v>101</v>
      </c>
      <c r="G6296" s="0" t="s">
        <v>170</v>
      </c>
      <c r="H6296" s="0" t="s">
        <v>170</v>
      </c>
      <c r="I6296" s="0" t="s">
        <v>33</v>
      </c>
      <c r="J6296" s="0" t="s">
        <v>34</v>
      </c>
      <c r="K6296" s="0" t="s">
        <v>48</v>
      </c>
      <c r="L6296" s="0" t="s">
        <v>49</v>
      </c>
      <c r="M6296" s="0" t="s">
        <v>167</v>
      </c>
      <c r="N6296" s="0" t="n">
        <v>909</v>
      </c>
      <c r="O6296" s="10" t="n">
        <v>0.718385648913682</v>
      </c>
      <c r="P6296" s="10" t="n">
        <v>0.577288038097322</v>
      </c>
      <c r="Q6296" s="0" t="str">
        <f aca="false">SUBSTITUTE(SUBSTITUTE($I6296,CHAR(61),""),CHAR(34),"")</f>
        <v>01-09</v>
      </c>
      <c r="R6296" s="0" t="str">
        <f aca="false">IF($D6296&lt;&gt;"","["&amp;$E6296&amp;"]"&amp;"|"&amp;$Q6296&amp;"|"&amp;$K6296&amp;"|"&amp;$G6296&amp;"|"&amp;IF($G6296="TX_CURR_SUBNAT.R","CY2022Q4",$M6296),"")</f>
        <v>[mxqa3CDFmIT]|01-09|Male|NEW_INFECTIONS_SUBNAT.T|CY2024Q3</v>
      </c>
    </row>
    <row r="6297" customFormat="false" ht="15" hidden="false" customHeight="false" outlineLevel="0" collapsed="false">
      <c r="D6297" s="0" t="s">
        <v>99</v>
      </c>
      <c r="E6297" s="0" t="s">
        <v>100</v>
      </c>
      <c r="F6297" s="0" t="s">
        <v>101</v>
      </c>
      <c r="G6297" s="0" t="s">
        <v>170</v>
      </c>
      <c r="H6297" s="0" t="s">
        <v>170</v>
      </c>
      <c r="I6297" s="0" t="s">
        <v>36</v>
      </c>
      <c r="J6297" s="0" t="s">
        <v>37</v>
      </c>
      <c r="K6297" s="0" t="s">
        <v>48</v>
      </c>
      <c r="L6297" s="0" t="s">
        <v>49</v>
      </c>
      <c r="M6297" s="0" t="s">
        <v>167</v>
      </c>
      <c r="N6297" s="0" t="n">
        <v>1751</v>
      </c>
      <c r="O6297" s="10" t="n">
        <v>0.342153667472303</v>
      </c>
      <c r="P6297" s="10" t="n">
        <v>0.577288038097322</v>
      </c>
      <c r="Q6297" s="0" t="str">
        <f aca="false">SUBSTITUTE(SUBSTITUTE($I6297,CHAR(61),""),CHAR(34),"")</f>
        <v>10-14</v>
      </c>
      <c r="R6297" s="0" t="str">
        <f aca="false">IF($D6297&lt;&gt;"","["&amp;$E6297&amp;"]"&amp;"|"&amp;$Q6297&amp;"|"&amp;$K6297&amp;"|"&amp;$G6297&amp;"|"&amp;IF($G6297="TX_CURR_SUBNAT.R","CY2022Q4",$M6297),"")</f>
        <v>[mxqa3CDFmIT]|10-14|Male|NEW_INFECTIONS_SUBNAT.T|CY2024Q3</v>
      </c>
    </row>
    <row r="6298" customFormat="false" ht="15" hidden="false" customHeight="false" outlineLevel="0" collapsed="false">
      <c r="D6298" s="0" t="s">
        <v>99</v>
      </c>
      <c r="E6298" s="0" t="s">
        <v>100</v>
      </c>
      <c r="F6298" s="0" t="s">
        <v>101</v>
      </c>
      <c r="G6298" s="0" t="s">
        <v>170</v>
      </c>
      <c r="H6298" s="0" t="s">
        <v>170</v>
      </c>
      <c r="I6298" s="0" t="s">
        <v>38</v>
      </c>
      <c r="J6298" s="0" t="s">
        <v>39</v>
      </c>
      <c r="K6298" s="0" t="s">
        <v>48</v>
      </c>
      <c r="L6298" s="0" t="s">
        <v>49</v>
      </c>
      <c r="M6298" s="0" t="s">
        <v>167</v>
      </c>
      <c r="N6298" s="0" t="n">
        <v>1239</v>
      </c>
      <c r="O6298" s="10" t="n">
        <v>0.0856099422089756</v>
      </c>
      <c r="P6298" s="10" t="n">
        <v>0.577288038097322</v>
      </c>
      <c r="Q6298" s="0" t="str">
        <f aca="false">SUBSTITUTE(SUBSTITUTE($I6298,CHAR(61),""),CHAR(34),"")</f>
        <v>15-24</v>
      </c>
      <c r="R6298" s="0" t="str">
        <f aca="false">IF($D6298&lt;&gt;"","["&amp;$E6298&amp;"]"&amp;"|"&amp;$Q6298&amp;"|"&amp;$K6298&amp;"|"&amp;$G6298&amp;"|"&amp;IF($G6298="TX_CURR_SUBNAT.R","CY2022Q4",$M6298),"")</f>
        <v>[mxqa3CDFmIT]|15-24|Male|NEW_INFECTIONS_SUBNAT.T|CY2024Q3</v>
      </c>
    </row>
    <row r="6299" customFormat="false" ht="15" hidden="false" customHeight="false" outlineLevel="0" collapsed="false">
      <c r="D6299" s="0" t="s">
        <v>99</v>
      </c>
      <c r="E6299" s="0" t="s">
        <v>100</v>
      </c>
      <c r="F6299" s="0" t="s">
        <v>101</v>
      </c>
      <c r="G6299" s="0" t="s">
        <v>170</v>
      </c>
      <c r="H6299" s="0" t="s">
        <v>170</v>
      </c>
      <c r="I6299" s="0" t="s">
        <v>41</v>
      </c>
      <c r="J6299" s="0" t="s">
        <v>42</v>
      </c>
      <c r="K6299" s="0" t="s">
        <v>48</v>
      </c>
      <c r="L6299" s="0" t="s">
        <v>49</v>
      </c>
      <c r="M6299" s="0" t="s">
        <v>167</v>
      </c>
      <c r="N6299" s="0" t="n">
        <v>1218</v>
      </c>
      <c r="O6299" s="10" t="n">
        <v>0.0662059220485389</v>
      </c>
      <c r="P6299" s="10" t="n">
        <v>0.577288038097322</v>
      </c>
      <c r="Q6299" s="0" t="str">
        <f aca="false">SUBSTITUTE(SUBSTITUTE($I6299,CHAR(61),""),CHAR(34),"")</f>
        <v>25-34</v>
      </c>
      <c r="R6299" s="0" t="str">
        <f aca="false">IF($D6299&lt;&gt;"","["&amp;$E6299&amp;"]"&amp;"|"&amp;$Q6299&amp;"|"&amp;$K6299&amp;"|"&amp;$G6299&amp;"|"&amp;IF($G6299="TX_CURR_SUBNAT.R","CY2022Q4",$M6299),"")</f>
        <v>[mxqa3CDFmIT]|25-34|Male|NEW_INFECTIONS_SUBNAT.T|CY2024Q3</v>
      </c>
    </row>
    <row r="6300" customFormat="false" ht="15" hidden="false" customHeight="false" outlineLevel="0" collapsed="false">
      <c r="D6300" s="0" t="s">
        <v>99</v>
      </c>
      <c r="E6300" s="0" t="s">
        <v>100</v>
      </c>
      <c r="F6300" s="0" t="s">
        <v>101</v>
      </c>
      <c r="G6300" s="0" t="s">
        <v>170</v>
      </c>
      <c r="H6300" s="0" t="s">
        <v>170</v>
      </c>
      <c r="I6300" s="0" t="s">
        <v>43</v>
      </c>
      <c r="J6300" s="0" t="s">
        <v>44</v>
      </c>
      <c r="K6300" s="0" t="s">
        <v>48</v>
      </c>
      <c r="L6300" s="0" t="s">
        <v>49</v>
      </c>
      <c r="M6300" s="0" t="s">
        <v>167</v>
      </c>
      <c r="N6300" s="0" t="n">
        <v>1456</v>
      </c>
      <c r="O6300" s="10" t="n">
        <v>0.93646582425572</v>
      </c>
      <c r="P6300" s="10" t="n">
        <v>0.577288038097322</v>
      </c>
      <c r="Q6300" s="0" t="str">
        <f aca="false">SUBSTITUTE(SUBSTITUTE($I6300,CHAR(61),""),CHAR(34),"")</f>
        <v>35-49</v>
      </c>
      <c r="R6300" s="0" t="str">
        <f aca="false">IF($D6300&lt;&gt;"","["&amp;$E6300&amp;"]"&amp;"|"&amp;$Q6300&amp;"|"&amp;$K6300&amp;"|"&amp;$G6300&amp;"|"&amp;IF($G6300="TX_CURR_SUBNAT.R","CY2022Q4",$M6300),"")</f>
        <v>[mxqa3CDFmIT]|35-49|Male|NEW_INFECTIONS_SUBNAT.T|CY2024Q3</v>
      </c>
    </row>
    <row r="6301" customFormat="false" ht="15" hidden="false" customHeight="false" outlineLevel="0" collapsed="false">
      <c r="D6301" s="0" t="s">
        <v>99</v>
      </c>
      <c r="E6301" s="0" t="s">
        <v>100</v>
      </c>
      <c r="F6301" s="0" t="s">
        <v>101</v>
      </c>
      <c r="G6301" s="0" t="s">
        <v>170</v>
      </c>
      <c r="H6301" s="0" t="s">
        <v>170</v>
      </c>
      <c r="I6301" s="0" t="s">
        <v>45</v>
      </c>
      <c r="J6301" s="0" t="s">
        <v>46</v>
      </c>
      <c r="K6301" s="0" t="s">
        <v>48</v>
      </c>
      <c r="L6301" s="0" t="s">
        <v>49</v>
      </c>
      <c r="M6301" s="0" t="s">
        <v>167</v>
      </c>
      <c r="N6301" s="0" t="n">
        <v>1740</v>
      </c>
      <c r="O6301" s="10" t="n">
        <v>0.961590100312606</v>
      </c>
      <c r="P6301" s="10" t="n">
        <v>0.577288038097322</v>
      </c>
      <c r="Q6301" s="0" t="str">
        <f aca="false">SUBSTITUTE(SUBSTITUTE($I6301,CHAR(61),""),CHAR(34),"")</f>
        <v>50+</v>
      </c>
      <c r="R6301" s="0" t="str">
        <f aca="false">IF($D6301&lt;&gt;"","["&amp;$E6301&amp;"]"&amp;"|"&amp;$Q6301&amp;"|"&amp;$K6301&amp;"|"&amp;$G6301&amp;"|"&amp;IF($G6301="TX_CURR_SUBNAT.R","CY2022Q4",$M6301),"")</f>
        <v>[mxqa3CDFmIT]|50+|Male|NEW_INFECTIONS_SUBNAT.T|CY2024Q3</v>
      </c>
    </row>
    <row r="6302" customFormat="false" ht="15" hidden="false" customHeight="false" outlineLevel="0" collapsed="false">
      <c r="D6302" s="0" t="s">
        <v>102</v>
      </c>
      <c r="E6302" s="0" t="s">
        <v>103</v>
      </c>
      <c r="F6302" s="0" t="s">
        <v>104</v>
      </c>
      <c r="G6302" s="0" t="s">
        <v>170</v>
      </c>
      <c r="H6302" s="0" t="s">
        <v>170</v>
      </c>
      <c r="I6302" s="0" t="s">
        <v>28</v>
      </c>
      <c r="J6302" s="0" t="s">
        <v>29</v>
      </c>
      <c r="K6302" s="0" t="s">
        <v>30</v>
      </c>
      <c r="L6302" s="0" t="s">
        <v>31</v>
      </c>
      <c r="M6302" s="0" t="s">
        <v>167</v>
      </c>
      <c r="N6302" s="0" t="n">
        <v>1308</v>
      </c>
      <c r="O6302" s="10" t="n">
        <v>0.641816327814013</v>
      </c>
      <c r="P6302" s="10" t="n">
        <v>0.526212359312922</v>
      </c>
      <c r="Q6302" s="0" t="str">
        <f aca="false">SUBSTITUTE(SUBSTITUTE($I6302,CHAR(61),""),CHAR(34),"")</f>
        <v>&lt;01</v>
      </c>
      <c r="R6302" s="0" t="str">
        <f aca="false">IF($D6302&lt;&gt;"","["&amp;$E6302&amp;"]"&amp;"|"&amp;$Q6302&amp;"|"&amp;$K6302&amp;"|"&amp;$G6302&amp;"|"&amp;IF($G6302="TX_CURR_SUBNAT.R","CY2022Q4",$M6302),"")</f>
        <v>[wNqJp8oRIcF]|&lt;01|Female|NEW_INFECTIONS_SUBNAT.T|CY2024Q3</v>
      </c>
    </row>
    <row r="6303" customFormat="false" ht="15" hidden="false" customHeight="false" outlineLevel="0" collapsed="false">
      <c r="D6303" s="0" t="s">
        <v>102</v>
      </c>
      <c r="E6303" s="0" t="s">
        <v>103</v>
      </c>
      <c r="F6303" s="0" t="s">
        <v>104</v>
      </c>
      <c r="G6303" s="0" t="s">
        <v>170</v>
      </c>
      <c r="H6303" s="0" t="s">
        <v>170</v>
      </c>
      <c r="I6303" s="0" t="s">
        <v>33</v>
      </c>
      <c r="J6303" s="0" t="s">
        <v>34</v>
      </c>
      <c r="K6303" s="0" t="s">
        <v>30</v>
      </c>
      <c r="L6303" s="0" t="s">
        <v>31</v>
      </c>
      <c r="M6303" s="0" t="s">
        <v>167</v>
      </c>
      <c r="N6303" s="0" t="n">
        <v>749</v>
      </c>
      <c r="O6303" s="10" t="n">
        <v>0.176248052390292</v>
      </c>
      <c r="P6303" s="10" t="n">
        <v>0.526212359312922</v>
      </c>
      <c r="Q6303" s="0" t="str">
        <f aca="false">SUBSTITUTE(SUBSTITUTE($I6303,CHAR(61),""),CHAR(34),"")</f>
        <v>01-09</v>
      </c>
      <c r="R6303" s="0" t="str">
        <f aca="false">IF($D6303&lt;&gt;"","["&amp;$E6303&amp;"]"&amp;"|"&amp;$Q6303&amp;"|"&amp;$K6303&amp;"|"&amp;$G6303&amp;"|"&amp;IF($G6303="TX_CURR_SUBNAT.R","CY2022Q4",$M6303),"")</f>
        <v>[wNqJp8oRIcF]|01-09|Female|NEW_INFECTIONS_SUBNAT.T|CY2024Q3</v>
      </c>
    </row>
    <row r="6304" customFormat="false" ht="15" hidden="false" customHeight="false" outlineLevel="0" collapsed="false">
      <c r="D6304" s="0" t="s">
        <v>102</v>
      </c>
      <c r="E6304" s="0" t="s">
        <v>103</v>
      </c>
      <c r="F6304" s="0" t="s">
        <v>104</v>
      </c>
      <c r="G6304" s="0" t="s">
        <v>170</v>
      </c>
      <c r="H6304" s="0" t="s">
        <v>170</v>
      </c>
      <c r="I6304" s="0" t="s">
        <v>36</v>
      </c>
      <c r="J6304" s="0" t="s">
        <v>37</v>
      </c>
      <c r="K6304" s="0" t="s">
        <v>30</v>
      </c>
      <c r="L6304" s="0" t="s">
        <v>31</v>
      </c>
      <c r="M6304" s="0" t="s">
        <v>167</v>
      </c>
      <c r="N6304" s="0" t="n">
        <v>1642</v>
      </c>
      <c r="O6304" s="10" t="n">
        <v>0.553844804409891</v>
      </c>
      <c r="P6304" s="10" t="n">
        <v>0.526212359312922</v>
      </c>
      <c r="Q6304" s="0" t="str">
        <f aca="false">SUBSTITUTE(SUBSTITUTE($I6304,CHAR(61),""),CHAR(34),"")</f>
        <v>10-14</v>
      </c>
      <c r="R6304" s="0" t="str">
        <f aca="false">IF($D6304&lt;&gt;"","["&amp;$E6304&amp;"]"&amp;"|"&amp;$Q6304&amp;"|"&amp;$K6304&amp;"|"&amp;$G6304&amp;"|"&amp;IF($G6304="TX_CURR_SUBNAT.R","CY2022Q4",$M6304),"")</f>
        <v>[wNqJp8oRIcF]|10-14|Female|NEW_INFECTIONS_SUBNAT.T|CY2024Q3</v>
      </c>
    </row>
    <row r="6305" customFormat="false" ht="15" hidden="false" customHeight="false" outlineLevel="0" collapsed="false">
      <c r="D6305" s="0" t="s">
        <v>102</v>
      </c>
      <c r="E6305" s="0" t="s">
        <v>103</v>
      </c>
      <c r="F6305" s="0" t="s">
        <v>104</v>
      </c>
      <c r="G6305" s="0" t="s">
        <v>170</v>
      </c>
      <c r="H6305" s="0" t="s">
        <v>170</v>
      </c>
      <c r="I6305" s="0" t="s">
        <v>38</v>
      </c>
      <c r="J6305" s="0" t="s">
        <v>39</v>
      </c>
      <c r="K6305" s="0" t="s">
        <v>30</v>
      </c>
      <c r="L6305" s="0" t="s">
        <v>31</v>
      </c>
      <c r="M6305" s="0" t="s">
        <v>167</v>
      </c>
      <c r="N6305" s="0" t="n">
        <v>664</v>
      </c>
      <c r="O6305" s="10" t="n">
        <v>0.351916437968612</v>
      </c>
      <c r="P6305" s="10" t="n">
        <v>0.526212359312922</v>
      </c>
      <c r="Q6305" s="0" t="str">
        <f aca="false">SUBSTITUTE(SUBSTITUTE($I6305,CHAR(61),""),CHAR(34),"")</f>
        <v>15-24</v>
      </c>
      <c r="R6305" s="0" t="str">
        <f aca="false">IF($D6305&lt;&gt;"","["&amp;$E6305&amp;"]"&amp;"|"&amp;$Q6305&amp;"|"&amp;$K6305&amp;"|"&amp;$G6305&amp;"|"&amp;IF($G6305="TX_CURR_SUBNAT.R","CY2022Q4",$M6305),"")</f>
        <v>[wNqJp8oRIcF]|15-24|Female|NEW_INFECTIONS_SUBNAT.T|CY2024Q3</v>
      </c>
    </row>
    <row r="6306" customFormat="false" ht="15" hidden="false" customHeight="false" outlineLevel="0" collapsed="false">
      <c r="D6306" s="0" t="s">
        <v>102</v>
      </c>
      <c r="E6306" s="0" t="s">
        <v>103</v>
      </c>
      <c r="F6306" s="0" t="s">
        <v>104</v>
      </c>
      <c r="G6306" s="0" t="s">
        <v>170</v>
      </c>
      <c r="H6306" s="0" t="s">
        <v>170</v>
      </c>
      <c r="I6306" s="0" t="s">
        <v>41</v>
      </c>
      <c r="J6306" s="0" t="s">
        <v>42</v>
      </c>
      <c r="K6306" s="0" t="s">
        <v>30</v>
      </c>
      <c r="L6306" s="0" t="s">
        <v>31</v>
      </c>
      <c r="M6306" s="0" t="s">
        <v>167</v>
      </c>
      <c r="N6306" s="0" t="n">
        <v>1627</v>
      </c>
      <c r="O6306" s="10" t="n">
        <v>0.474444353487343</v>
      </c>
      <c r="P6306" s="10" t="n">
        <v>0.526212359312922</v>
      </c>
      <c r="Q6306" s="0" t="str">
        <f aca="false">SUBSTITUTE(SUBSTITUTE($I6306,CHAR(61),""),CHAR(34),"")</f>
        <v>25-34</v>
      </c>
      <c r="R6306" s="0" t="str">
        <f aca="false">IF($D6306&lt;&gt;"","["&amp;$E6306&amp;"]"&amp;"|"&amp;$Q6306&amp;"|"&amp;$K6306&amp;"|"&amp;$G6306&amp;"|"&amp;IF($G6306="TX_CURR_SUBNAT.R","CY2022Q4",$M6306),"")</f>
        <v>[wNqJp8oRIcF]|25-34|Female|NEW_INFECTIONS_SUBNAT.T|CY2024Q3</v>
      </c>
    </row>
    <row r="6307" customFormat="false" ht="15" hidden="false" customHeight="false" outlineLevel="0" collapsed="false">
      <c r="D6307" s="0" t="s">
        <v>102</v>
      </c>
      <c r="E6307" s="0" t="s">
        <v>103</v>
      </c>
      <c r="F6307" s="0" t="s">
        <v>104</v>
      </c>
      <c r="G6307" s="0" t="s">
        <v>170</v>
      </c>
      <c r="H6307" s="0" t="s">
        <v>170</v>
      </c>
      <c r="I6307" s="0" t="s">
        <v>43</v>
      </c>
      <c r="J6307" s="0" t="s">
        <v>44</v>
      </c>
      <c r="K6307" s="0" t="s">
        <v>30</v>
      </c>
      <c r="L6307" s="0" t="s">
        <v>31</v>
      </c>
      <c r="M6307" s="0" t="s">
        <v>167</v>
      </c>
      <c r="N6307" s="0" t="n">
        <v>841</v>
      </c>
      <c r="O6307" s="10" t="n">
        <v>0.660161087987944</v>
      </c>
      <c r="P6307" s="10" t="n">
        <v>0.526212359312922</v>
      </c>
      <c r="Q6307" s="0" t="str">
        <f aca="false">SUBSTITUTE(SUBSTITUTE($I6307,CHAR(61),""),CHAR(34),"")</f>
        <v>35-49</v>
      </c>
      <c r="R6307" s="0" t="str">
        <f aca="false">IF($D6307&lt;&gt;"","["&amp;$E6307&amp;"]"&amp;"|"&amp;$Q6307&amp;"|"&amp;$K6307&amp;"|"&amp;$G6307&amp;"|"&amp;IF($G6307="TX_CURR_SUBNAT.R","CY2022Q4",$M6307),"")</f>
        <v>[wNqJp8oRIcF]|35-49|Female|NEW_INFECTIONS_SUBNAT.T|CY2024Q3</v>
      </c>
    </row>
    <row r="6308" customFormat="false" ht="15" hidden="false" customHeight="false" outlineLevel="0" collapsed="false">
      <c r="D6308" s="0" t="s">
        <v>102</v>
      </c>
      <c r="E6308" s="0" t="s">
        <v>103</v>
      </c>
      <c r="F6308" s="0" t="s">
        <v>104</v>
      </c>
      <c r="G6308" s="0" t="s">
        <v>170</v>
      </c>
      <c r="H6308" s="0" t="s">
        <v>170</v>
      </c>
      <c r="I6308" s="0" t="s">
        <v>45</v>
      </c>
      <c r="J6308" s="0" t="s">
        <v>46</v>
      </c>
      <c r="K6308" s="0" t="s">
        <v>30</v>
      </c>
      <c r="L6308" s="0" t="s">
        <v>31</v>
      </c>
      <c r="M6308" s="0" t="s">
        <v>167</v>
      </c>
      <c r="N6308" s="0" t="n">
        <v>1115</v>
      </c>
      <c r="O6308" s="10" t="n">
        <v>0.553404843667522</v>
      </c>
      <c r="P6308" s="10" t="n">
        <v>0.526212359312922</v>
      </c>
      <c r="Q6308" s="0" t="str">
        <f aca="false">SUBSTITUTE(SUBSTITUTE($I6308,CHAR(61),""),CHAR(34),"")</f>
        <v>50+</v>
      </c>
      <c r="R6308" s="0" t="str">
        <f aca="false">IF($D6308&lt;&gt;"","["&amp;$E6308&amp;"]"&amp;"|"&amp;$Q6308&amp;"|"&amp;$K6308&amp;"|"&amp;$G6308&amp;"|"&amp;IF($G6308="TX_CURR_SUBNAT.R","CY2022Q4",$M6308),"")</f>
        <v>[wNqJp8oRIcF]|50+|Female|NEW_INFECTIONS_SUBNAT.T|CY2024Q3</v>
      </c>
    </row>
    <row r="6309" customFormat="false" ht="15" hidden="false" customHeight="false" outlineLevel="0" collapsed="false">
      <c r="D6309" s="0" t="s">
        <v>102</v>
      </c>
      <c r="E6309" s="0" t="s">
        <v>103</v>
      </c>
      <c r="F6309" s="0" t="s">
        <v>104</v>
      </c>
      <c r="G6309" s="0" t="s">
        <v>170</v>
      </c>
      <c r="H6309" s="0" t="s">
        <v>170</v>
      </c>
      <c r="I6309" s="0" t="s">
        <v>28</v>
      </c>
      <c r="J6309" s="0" t="s">
        <v>29</v>
      </c>
      <c r="K6309" s="0" t="s">
        <v>48</v>
      </c>
      <c r="L6309" s="0" t="s">
        <v>49</v>
      </c>
      <c r="M6309" s="0" t="s">
        <v>167</v>
      </c>
      <c r="N6309" s="0" t="n">
        <v>1933</v>
      </c>
      <c r="O6309" s="10" t="n">
        <v>0.642108624335378</v>
      </c>
      <c r="P6309" s="10" t="n">
        <v>0.526212359312922</v>
      </c>
      <c r="Q6309" s="0" t="str">
        <f aca="false">SUBSTITUTE(SUBSTITUTE($I6309,CHAR(61),""),CHAR(34),"")</f>
        <v>&lt;01</v>
      </c>
      <c r="R6309" s="0" t="str">
        <f aca="false">IF($D6309&lt;&gt;"","["&amp;$E6309&amp;"]"&amp;"|"&amp;$Q6309&amp;"|"&amp;$K6309&amp;"|"&amp;$G6309&amp;"|"&amp;IF($G6309="TX_CURR_SUBNAT.R","CY2022Q4",$M6309),"")</f>
        <v>[wNqJp8oRIcF]|&lt;01|Male|NEW_INFECTIONS_SUBNAT.T|CY2024Q3</v>
      </c>
    </row>
    <row r="6310" customFormat="false" ht="15" hidden="false" customHeight="false" outlineLevel="0" collapsed="false">
      <c r="D6310" s="0" t="s">
        <v>102</v>
      </c>
      <c r="E6310" s="0" t="s">
        <v>103</v>
      </c>
      <c r="F6310" s="0" t="s">
        <v>104</v>
      </c>
      <c r="G6310" s="0" t="s">
        <v>170</v>
      </c>
      <c r="H6310" s="0" t="s">
        <v>170</v>
      </c>
      <c r="I6310" s="0" t="s">
        <v>33</v>
      </c>
      <c r="J6310" s="0" t="s">
        <v>34</v>
      </c>
      <c r="K6310" s="0" t="s">
        <v>48</v>
      </c>
      <c r="L6310" s="0" t="s">
        <v>49</v>
      </c>
      <c r="M6310" s="0" t="s">
        <v>167</v>
      </c>
      <c r="N6310" s="0" t="n">
        <v>1198</v>
      </c>
      <c r="O6310" s="10" t="n">
        <v>0.864214153494686</v>
      </c>
      <c r="P6310" s="10" t="n">
        <v>0.526212359312922</v>
      </c>
      <c r="Q6310" s="0" t="str">
        <f aca="false">SUBSTITUTE(SUBSTITUTE($I6310,CHAR(61),""),CHAR(34),"")</f>
        <v>01-09</v>
      </c>
      <c r="R6310" s="0" t="str">
        <f aca="false">IF($D6310&lt;&gt;"","["&amp;$E6310&amp;"]"&amp;"|"&amp;$Q6310&amp;"|"&amp;$K6310&amp;"|"&amp;$G6310&amp;"|"&amp;IF($G6310="TX_CURR_SUBNAT.R","CY2022Q4",$M6310),"")</f>
        <v>[wNqJp8oRIcF]|01-09|Male|NEW_INFECTIONS_SUBNAT.T|CY2024Q3</v>
      </c>
    </row>
    <row r="6311" customFormat="false" ht="15" hidden="false" customHeight="false" outlineLevel="0" collapsed="false">
      <c r="D6311" s="0" t="s">
        <v>102</v>
      </c>
      <c r="E6311" s="0" t="s">
        <v>103</v>
      </c>
      <c r="F6311" s="0" t="s">
        <v>104</v>
      </c>
      <c r="G6311" s="0" t="s">
        <v>170</v>
      </c>
      <c r="H6311" s="0" t="s">
        <v>170</v>
      </c>
      <c r="I6311" s="0" t="s">
        <v>36</v>
      </c>
      <c r="J6311" s="0" t="s">
        <v>37</v>
      </c>
      <c r="K6311" s="0" t="s">
        <v>48</v>
      </c>
      <c r="L6311" s="0" t="s">
        <v>49</v>
      </c>
      <c r="M6311" s="0" t="s">
        <v>167</v>
      </c>
      <c r="N6311" s="0" t="n">
        <v>1535</v>
      </c>
      <c r="O6311" s="10" t="n">
        <v>0.469801806146279</v>
      </c>
      <c r="P6311" s="10" t="n">
        <v>0.526212359312922</v>
      </c>
      <c r="Q6311" s="0" t="str">
        <f aca="false">SUBSTITUTE(SUBSTITUTE($I6311,CHAR(61),""),CHAR(34),"")</f>
        <v>10-14</v>
      </c>
      <c r="R6311" s="0" t="str">
        <f aca="false">IF($D6311&lt;&gt;"","["&amp;$E6311&amp;"]"&amp;"|"&amp;$Q6311&amp;"|"&amp;$K6311&amp;"|"&amp;$G6311&amp;"|"&amp;IF($G6311="TX_CURR_SUBNAT.R","CY2022Q4",$M6311),"")</f>
        <v>[wNqJp8oRIcF]|10-14|Male|NEW_INFECTIONS_SUBNAT.T|CY2024Q3</v>
      </c>
    </row>
    <row r="6312" customFormat="false" ht="15" hidden="false" customHeight="false" outlineLevel="0" collapsed="false">
      <c r="D6312" s="0" t="s">
        <v>102</v>
      </c>
      <c r="E6312" s="0" t="s">
        <v>103</v>
      </c>
      <c r="F6312" s="0" t="s">
        <v>104</v>
      </c>
      <c r="G6312" s="0" t="s">
        <v>170</v>
      </c>
      <c r="H6312" s="0" t="s">
        <v>170</v>
      </c>
      <c r="I6312" s="0" t="s">
        <v>38</v>
      </c>
      <c r="J6312" s="0" t="s">
        <v>39</v>
      </c>
      <c r="K6312" s="0" t="s">
        <v>48</v>
      </c>
      <c r="L6312" s="0" t="s">
        <v>49</v>
      </c>
      <c r="M6312" s="0" t="s">
        <v>167</v>
      </c>
      <c r="N6312" s="0" t="n">
        <v>1634</v>
      </c>
      <c r="O6312" s="10" t="n">
        <v>0.557984612882137</v>
      </c>
      <c r="P6312" s="10" t="n">
        <v>0.526212359312922</v>
      </c>
      <c r="Q6312" s="0" t="str">
        <f aca="false">SUBSTITUTE(SUBSTITUTE($I6312,CHAR(61),""),CHAR(34),"")</f>
        <v>15-24</v>
      </c>
      <c r="R6312" s="0" t="str">
        <f aca="false">IF($D6312&lt;&gt;"","["&amp;$E6312&amp;"]"&amp;"|"&amp;$Q6312&amp;"|"&amp;$K6312&amp;"|"&amp;$G6312&amp;"|"&amp;IF($G6312="TX_CURR_SUBNAT.R","CY2022Q4",$M6312),"")</f>
        <v>[wNqJp8oRIcF]|15-24|Male|NEW_INFECTIONS_SUBNAT.T|CY2024Q3</v>
      </c>
    </row>
    <row r="6313" customFormat="false" ht="15" hidden="false" customHeight="false" outlineLevel="0" collapsed="false">
      <c r="D6313" s="0" t="s">
        <v>102</v>
      </c>
      <c r="E6313" s="0" t="s">
        <v>103</v>
      </c>
      <c r="F6313" s="0" t="s">
        <v>104</v>
      </c>
      <c r="G6313" s="0" t="s">
        <v>170</v>
      </c>
      <c r="H6313" s="0" t="s">
        <v>170</v>
      </c>
      <c r="I6313" s="0" t="s">
        <v>41</v>
      </c>
      <c r="J6313" s="0" t="s">
        <v>42</v>
      </c>
      <c r="K6313" s="0" t="s">
        <v>48</v>
      </c>
      <c r="L6313" s="0" t="s">
        <v>49</v>
      </c>
      <c r="M6313" s="0" t="s">
        <v>167</v>
      </c>
      <c r="N6313" s="0" t="n">
        <v>637</v>
      </c>
      <c r="O6313" s="10" t="n">
        <v>0.562046373728663</v>
      </c>
      <c r="P6313" s="10" t="n">
        <v>0.526212359312922</v>
      </c>
      <c r="Q6313" s="0" t="str">
        <f aca="false">SUBSTITUTE(SUBSTITUTE($I6313,CHAR(61),""),CHAR(34),"")</f>
        <v>25-34</v>
      </c>
      <c r="R6313" s="0" t="str">
        <f aca="false">IF($D6313&lt;&gt;"","["&amp;$E6313&amp;"]"&amp;"|"&amp;$Q6313&amp;"|"&amp;$K6313&amp;"|"&amp;$G6313&amp;"|"&amp;IF($G6313="TX_CURR_SUBNAT.R","CY2022Q4",$M6313),"")</f>
        <v>[wNqJp8oRIcF]|25-34|Male|NEW_INFECTIONS_SUBNAT.T|CY2024Q3</v>
      </c>
    </row>
    <row r="6314" customFormat="false" ht="15" hidden="false" customHeight="false" outlineLevel="0" collapsed="false">
      <c r="D6314" s="0" t="s">
        <v>102</v>
      </c>
      <c r="E6314" s="0" t="s">
        <v>103</v>
      </c>
      <c r="F6314" s="0" t="s">
        <v>104</v>
      </c>
      <c r="G6314" s="0" t="s">
        <v>170</v>
      </c>
      <c r="H6314" s="0" t="s">
        <v>170</v>
      </c>
      <c r="I6314" s="0" t="s">
        <v>43</v>
      </c>
      <c r="J6314" s="0" t="s">
        <v>44</v>
      </c>
      <c r="K6314" s="0" t="s">
        <v>48</v>
      </c>
      <c r="L6314" s="0" t="s">
        <v>49</v>
      </c>
      <c r="M6314" s="0" t="s">
        <v>167</v>
      </c>
      <c r="N6314" s="0" t="n">
        <v>1747</v>
      </c>
      <c r="O6314" s="10" t="n">
        <v>0.756439312361181</v>
      </c>
      <c r="P6314" s="10" t="n">
        <v>0.526212359312922</v>
      </c>
      <c r="Q6314" s="0" t="str">
        <f aca="false">SUBSTITUTE(SUBSTITUTE($I6314,CHAR(61),""),CHAR(34),"")</f>
        <v>35-49</v>
      </c>
      <c r="R6314" s="0" t="str">
        <f aca="false">IF($D6314&lt;&gt;"","["&amp;$E6314&amp;"]"&amp;"|"&amp;$Q6314&amp;"|"&amp;$K6314&amp;"|"&amp;$G6314&amp;"|"&amp;IF($G6314="TX_CURR_SUBNAT.R","CY2022Q4",$M6314),"")</f>
        <v>[wNqJp8oRIcF]|35-49|Male|NEW_INFECTIONS_SUBNAT.T|CY2024Q3</v>
      </c>
    </row>
    <row r="6315" customFormat="false" ht="15" hidden="false" customHeight="false" outlineLevel="0" collapsed="false">
      <c r="D6315" s="0" t="s">
        <v>102</v>
      </c>
      <c r="E6315" s="0" t="s">
        <v>103</v>
      </c>
      <c r="F6315" s="0" t="s">
        <v>104</v>
      </c>
      <c r="G6315" s="0" t="s">
        <v>170</v>
      </c>
      <c r="H6315" s="0" t="s">
        <v>170</v>
      </c>
      <c r="I6315" s="0" t="s">
        <v>45</v>
      </c>
      <c r="J6315" s="0" t="s">
        <v>46</v>
      </c>
      <c r="K6315" s="0" t="s">
        <v>48</v>
      </c>
      <c r="L6315" s="0" t="s">
        <v>49</v>
      </c>
      <c r="M6315" s="0" t="s">
        <v>167</v>
      </c>
      <c r="N6315" s="0" t="n">
        <v>1728</v>
      </c>
      <c r="O6315" s="10" t="n">
        <v>0.27427892270498</v>
      </c>
      <c r="P6315" s="10" t="n">
        <v>0.526212359312922</v>
      </c>
      <c r="Q6315" s="0" t="str">
        <f aca="false">SUBSTITUTE(SUBSTITUTE($I6315,CHAR(61),""),CHAR(34),"")</f>
        <v>50+</v>
      </c>
      <c r="R6315" s="0" t="str">
        <f aca="false">IF($D6315&lt;&gt;"","["&amp;$E6315&amp;"]"&amp;"|"&amp;$Q6315&amp;"|"&amp;$K6315&amp;"|"&amp;$G6315&amp;"|"&amp;IF($G6315="TX_CURR_SUBNAT.R","CY2022Q4",$M6315),"")</f>
        <v>[wNqJp8oRIcF]|50+|Male|NEW_INFECTIONS_SUBNAT.T|CY2024Q3</v>
      </c>
    </row>
    <row r="6316" customFormat="false" ht="15" hidden="false" customHeight="false" outlineLevel="0" collapsed="false">
      <c r="D6316" s="0" t="s">
        <v>105</v>
      </c>
      <c r="E6316" s="0" t="s">
        <v>106</v>
      </c>
      <c r="F6316" s="0" t="s">
        <v>107</v>
      </c>
      <c r="G6316" s="0" t="s">
        <v>170</v>
      </c>
      <c r="H6316" s="0" t="s">
        <v>170</v>
      </c>
      <c r="I6316" s="0" t="s">
        <v>28</v>
      </c>
      <c r="J6316" s="0" t="s">
        <v>29</v>
      </c>
      <c r="K6316" s="0" t="s">
        <v>30</v>
      </c>
      <c r="L6316" s="0" t="s">
        <v>31</v>
      </c>
      <c r="M6316" s="0" t="s">
        <v>167</v>
      </c>
      <c r="N6316" s="0" t="n">
        <v>1397</v>
      </c>
      <c r="O6316" s="10" t="n">
        <v>0.927428457187489</v>
      </c>
      <c r="P6316" s="10" t="n">
        <v>0.218249560333788</v>
      </c>
      <c r="Q6316" s="0" t="str">
        <f aca="false">SUBSTITUTE(SUBSTITUTE($I6316,CHAR(61),""),CHAR(34),"")</f>
        <v>&lt;01</v>
      </c>
      <c r="R6316" s="0" t="str">
        <f aca="false">IF($D6316&lt;&gt;"","["&amp;$E6316&amp;"]"&amp;"|"&amp;$Q6316&amp;"|"&amp;$K6316&amp;"|"&amp;$G6316&amp;"|"&amp;IF($G6316="TX_CURR_SUBNAT.R","CY2022Q4",$M6316),"")</f>
        <v>[oiPR2CiVJbf]|&lt;01|Female|NEW_INFECTIONS_SUBNAT.T|CY2024Q3</v>
      </c>
    </row>
    <row r="6317" customFormat="false" ht="15" hidden="false" customHeight="false" outlineLevel="0" collapsed="false">
      <c r="D6317" s="0" t="s">
        <v>105</v>
      </c>
      <c r="E6317" s="0" t="s">
        <v>106</v>
      </c>
      <c r="F6317" s="0" t="s">
        <v>107</v>
      </c>
      <c r="G6317" s="0" t="s">
        <v>170</v>
      </c>
      <c r="H6317" s="0" t="s">
        <v>170</v>
      </c>
      <c r="I6317" s="0" t="s">
        <v>33</v>
      </c>
      <c r="J6317" s="0" t="s">
        <v>34</v>
      </c>
      <c r="K6317" s="0" t="s">
        <v>30</v>
      </c>
      <c r="L6317" s="0" t="s">
        <v>31</v>
      </c>
      <c r="M6317" s="0" t="s">
        <v>167</v>
      </c>
      <c r="N6317" s="0" t="n">
        <v>882</v>
      </c>
      <c r="O6317" s="10" t="n">
        <v>0.391495255287737</v>
      </c>
      <c r="P6317" s="10" t="n">
        <v>0.218249560333788</v>
      </c>
      <c r="Q6317" s="0" t="str">
        <f aca="false">SUBSTITUTE(SUBSTITUTE($I6317,CHAR(61),""),CHAR(34),"")</f>
        <v>01-09</v>
      </c>
      <c r="R6317" s="0" t="str">
        <f aca="false">IF($D6317&lt;&gt;"","["&amp;$E6317&amp;"]"&amp;"|"&amp;$Q6317&amp;"|"&amp;$K6317&amp;"|"&amp;$G6317&amp;"|"&amp;IF($G6317="TX_CURR_SUBNAT.R","CY2022Q4",$M6317),"")</f>
        <v>[oiPR2CiVJbf]|01-09|Female|NEW_INFECTIONS_SUBNAT.T|CY2024Q3</v>
      </c>
    </row>
    <row r="6318" customFormat="false" ht="15" hidden="false" customHeight="false" outlineLevel="0" collapsed="false">
      <c r="D6318" s="0" t="s">
        <v>105</v>
      </c>
      <c r="E6318" s="0" t="s">
        <v>106</v>
      </c>
      <c r="F6318" s="0" t="s">
        <v>107</v>
      </c>
      <c r="G6318" s="0" t="s">
        <v>170</v>
      </c>
      <c r="H6318" s="0" t="s">
        <v>170</v>
      </c>
      <c r="I6318" s="0" t="s">
        <v>36</v>
      </c>
      <c r="J6318" s="0" t="s">
        <v>37</v>
      </c>
      <c r="K6318" s="0" t="s">
        <v>30</v>
      </c>
      <c r="L6318" s="0" t="s">
        <v>31</v>
      </c>
      <c r="M6318" s="0" t="s">
        <v>167</v>
      </c>
      <c r="N6318" s="0" t="n">
        <v>873</v>
      </c>
      <c r="O6318" s="10" t="n">
        <v>0.354358273791149</v>
      </c>
      <c r="P6318" s="10" t="n">
        <v>0.218249560333788</v>
      </c>
      <c r="Q6318" s="0" t="str">
        <f aca="false">SUBSTITUTE(SUBSTITUTE($I6318,CHAR(61),""),CHAR(34),"")</f>
        <v>10-14</v>
      </c>
      <c r="R6318" s="0" t="str">
        <f aca="false">IF($D6318&lt;&gt;"","["&amp;$E6318&amp;"]"&amp;"|"&amp;$Q6318&amp;"|"&amp;$K6318&amp;"|"&amp;$G6318&amp;"|"&amp;IF($G6318="TX_CURR_SUBNAT.R","CY2022Q4",$M6318),"")</f>
        <v>[oiPR2CiVJbf]|10-14|Female|NEW_INFECTIONS_SUBNAT.T|CY2024Q3</v>
      </c>
    </row>
    <row r="6319" customFormat="false" ht="15" hidden="false" customHeight="false" outlineLevel="0" collapsed="false">
      <c r="D6319" s="0" t="s">
        <v>105</v>
      </c>
      <c r="E6319" s="0" t="s">
        <v>106</v>
      </c>
      <c r="F6319" s="0" t="s">
        <v>107</v>
      </c>
      <c r="G6319" s="0" t="s">
        <v>170</v>
      </c>
      <c r="H6319" s="0" t="s">
        <v>170</v>
      </c>
      <c r="I6319" s="0" t="s">
        <v>38</v>
      </c>
      <c r="J6319" s="0" t="s">
        <v>39</v>
      </c>
      <c r="K6319" s="0" t="s">
        <v>30</v>
      </c>
      <c r="L6319" s="0" t="s">
        <v>31</v>
      </c>
      <c r="M6319" s="0" t="s">
        <v>167</v>
      </c>
      <c r="N6319" s="0" t="n">
        <v>1624</v>
      </c>
      <c r="O6319" s="10" t="n">
        <v>0.0930464142002165</v>
      </c>
      <c r="P6319" s="10" t="n">
        <v>0.218249560333788</v>
      </c>
      <c r="Q6319" s="0" t="str">
        <f aca="false">SUBSTITUTE(SUBSTITUTE($I6319,CHAR(61),""),CHAR(34),"")</f>
        <v>15-24</v>
      </c>
      <c r="R6319" s="0" t="str">
        <f aca="false">IF($D6319&lt;&gt;"","["&amp;$E6319&amp;"]"&amp;"|"&amp;$Q6319&amp;"|"&amp;$K6319&amp;"|"&amp;$G6319&amp;"|"&amp;IF($G6319="TX_CURR_SUBNAT.R","CY2022Q4",$M6319),"")</f>
        <v>[oiPR2CiVJbf]|15-24|Female|NEW_INFECTIONS_SUBNAT.T|CY2024Q3</v>
      </c>
    </row>
    <row r="6320" customFormat="false" ht="15" hidden="false" customHeight="false" outlineLevel="0" collapsed="false">
      <c r="D6320" s="0" t="s">
        <v>105</v>
      </c>
      <c r="E6320" s="0" t="s">
        <v>106</v>
      </c>
      <c r="F6320" s="0" t="s">
        <v>107</v>
      </c>
      <c r="G6320" s="0" t="s">
        <v>170</v>
      </c>
      <c r="H6320" s="0" t="s">
        <v>170</v>
      </c>
      <c r="I6320" s="0" t="s">
        <v>41</v>
      </c>
      <c r="J6320" s="0" t="s">
        <v>42</v>
      </c>
      <c r="K6320" s="0" t="s">
        <v>30</v>
      </c>
      <c r="L6320" s="0" t="s">
        <v>31</v>
      </c>
      <c r="M6320" s="0" t="s">
        <v>167</v>
      </c>
      <c r="N6320" s="0" t="n">
        <v>1416</v>
      </c>
      <c r="O6320" s="10" t="n">
        <v>0.0199239945504814</v>
      </c>
      <c r="P6320" s="10" t="n">
        <v>0.218249560333788</v>
      </c>
      <c r="Q6320" s="0" t="str">
        <f aca="false">SUBSTITUTE(SUBSTITUTE($I6320,CHAR(61),""),CHAR(34),"")</f>
        <v>25-34</v>
      </c>
      <c r="R6320" s="0" t="str">
        <f aca="false">IF($D6320&lt;&gt;"","["&amp;$E6320&amp;"]"&amp;"|"&amp;$Q6320&amp;"|"&amp;$K6320&amp;"|"&amp;$G6320&amp;"|"&amp;IF($G6320="TX_CURR_SUBNAT.R","CY2022Q4",$M6320),"")</f>
        <v>[oiPR2CiVJbf]|25-34|Female|NEW_INFECTIONS_SUBNAT.T|CY2024Q3</v>
      </c>
    </row>
    <row r="6321" customFormat="false" ht="15" hidden="false" customHeight="false" outlineLevel="0" collapsed="false">
      <c r="D6321" s="0" t="s">
        <v>105</v>
      </c>
      <c r="E6321" s="0" t="s">
        <v>106</v>
      </c>
      <c r="F6321" s="0" t="s">
        <v>107</v>
      </c>
      <c r="G6321" s="0" t="s">
        <v>170</v>
      </c>
      <c r="H6321" s="0" t="s">
        <v>170</v>
      </c>
      <c r="I6321" s="0" t="s">
        <v>43</v>
      </c>
      <c r="J6321" s="0" t="s">
        <v>44</v>
      </c>
      <c r="K6321" s="0" t="s">
        <v>30</v>
      </c>
      <c r="L6321" s="0" t="s">
        <v>31</v>
      </c>
      <c r="M6321" s="0" t="s">
        <v>167</v>
      </c>
      <c r="N6321" s="0" t="n">
        <v>686</v>
      </c>
      <c r="O6321" s="10" t="n">
        <v>0.669137666467577</v>
      </c>
      <c r="P6321" s="10" t="n">
        <v>0.218249560333788</v>
      </c>
      <c r="Q6321" s="0" t="str">
        <f aca="false">SUBSTITUTE(SUBSTITUTE($I6321,CHAR(61),""),CHAR(34),"")</f>
        <v>35-49</v>
      </c>
      <c r="R6321" s="0" t="str">
        <f aca="false">IF($D6321&lt;&gt;"","["&amp;$E6321&amp;"]"&amp;"|"&amp;$Q6321&amp;"|"&amp;$K6321&amp;"|"&amp;$G6321&amp;"|"&amp;IF($G6321="TX_CURR_SUBNAT.R","CY2022Q4",$M6321),"")</f>
        <v>[oiPR2CiVJbf]|35-49|Female|NEW_INFECTIONS_SUBNAT.T|CY2024Q3</v>
      </c>
    </row>
    <row r="6322" customFormat="false" ht="15" hidden="false" customHeight="false" outlineLevel="0" collapsed="false">
      <c r="D6322" s="0" t="s">
        <v>105</v>
      </c>
      <c r="E6322" s="0" t="s">
        <v>106</v>
      </c>
      <c r="F6322" s="0" t="s">
        <v>107</v>
      </c>
      <c r="G6322" s="0" t="s">
        <v>170</v>
      </c>
      <c r="H6322" s="0" t="s">
        <v>170</v>
      </c>
      <c r="I6322" s="0" t="s">
        <v>45</v>
      </c>
      <c r="J6322" s="0" t="s">
        <v>46</v>
      </c>
      <c r="K6322" s="0" t="s">
        <v>30</v>
      </c>
      <c r="L6322" s="0" t="s">
        <v>31</v>
      </c>
      <c r="M6322" s="0" t="s">
        <v>167</v>
      </c>
      <c r="N6322" s="0" t="n">
        <v>1662</v>
      </c>
      <c r="O6322" s="10" t="n">
        <v>0.582386896712705</v>
      </c>
      <c r="P6322" s="10" t="n">
        <v>0.218249560333788</v>
      </c>
      <c r="Q6322" s="0" t="str">
        <f aca="false">SUBSTITUTE(SUBSTITUTE($I6322,CHAR(61),""),CHAR(34),"")</f>
        <v>50+</v>
      </c>
      <c r="R6322" s="0" t="str">
        <f aca="false">IF($D6322&lt;&gt;"","["&amp;$E6322&amp;"]"&amp;"|"&amp;$Q6322&amp;"|"&amp;$K6322&amp;"|"&amp;$G6322&amp;"|"&amp;IF($G6322="TX_CURR_SUBNAT.R","CY2022Q4",$M6322),"")</f>
        <v>[oiPR2CiVJbf]|50+|Female|NEW_INFECTIONS_SUBNAT.T|CY2024Q3</v>
      </c>
    </row>
    <row r="6323" customFormat="false" ht="15" hidden="false" customHeight="false" outlineLevel="0" collapsed="false">
      <c r="D6323" s="0" t="s">
        <v>105</v>
      </c>
      <c r="E6323" s="0" t="s">
        <v>106</v>
      </c>
      <c r="F6323" s="0" t="s">
        <v>107</v>
      </c>
      <c r="G6323" s="0" t="s">
        <v>170</v>
      </c>
      <c r="H6323" s="0" t="s">
        <v>170</v>
      </c>
      <c r="I6323" s="0" t="s">
        <v>28</v>
      </c>
      <c r="J6323" s="0" t="s">
        <v>29</v>
      </c>
      <c r="K6323" s="0" t="s">
        <v>48</v>
      </c>
      <c r="L6323" s="0" t="s">
        <v>49</v>
      </c>
      <c r="M6323" s="0" t="s">
        <v>167</v>
      </c>
      <c r="N6323" s="0" t="n">
        <v>702</v>
      </c>
      <c r="O6323" s="10" t="n">
        <v>0.171333632664755</v>
      </c>
      <c r="P6323" s="10" t="n">
        <v>0.218249560333788</v>
      </c>
      <c r="Q6323" s="0" t="str">
        <f aca="false">SUBSTITUTE(SUBSTITUTE($I6323,CHAR(61),""),CHAR(34),"")</f>
        <v>&lt;01</v>
      </c>
      <c r="R6323" s="0" t="str">
        <f aca="false">IF($D6323&lt;&gt;"","["&amp;$E6323&amp;"]"&amp;"|"&amp;$Q6323&amp;"|"&amp;$K6323&amp;"|"&amp;$G6323&amp;"|"&amp;IF($G6323="TX_CURR_SUBNAT.R","CY2022Q4",$M6323),"")</f>
        <v>[oiPR2CiVJbf]|&lt;01|Male|NEW_INFECTIONS_SUBNAT.T|CY2024Q3</v>
      </c>
    </row>
    <row r="6324" customFormat="false" ht="15" hidden="false" customHeight="false" outlineLevel="0" collapsed="false">
      <c r="D6324" s="0" t="s">
        <v>105</v>
      </c>
      <c r="E6324" s="0" t="s">
        <v>106</v>
      </c>
      <c r="F6324" s="0" t="s">
        <v>107</v>
      </c>
      <c r="G6324" s="0" t="s">
        <v>170</v>
      </c>
      <c r="H6324" s="0" t="s">
        <v>170</v>
      </c>
      <c r="I6324" s="0" t="s">
        <v>33</v>
      </c>
      <c r="J6324" s="0" t="s">
        <v>34</v>
      </c>
      <c r="K6324" s="0" t="s">
        <v>48</v>
      </c>
      <c r="L6324" s="0" t="s">
        <v>49</v>
      </c>
      <c r="M6324" s="0" t="s">
        <v>167</v>
      </c>
      <c r="N6324" s="0" t="n">
        <v>1602</v>
      </c>
      <c r="O6324" s="10" t="n">
        <v>0.74939642730169</v>
      </c>
      <c r="P6324" s="10" t="n">
        <v>0.218249560333788</v>
      </c>
      <c r="Q6324" s="0" t="str">
        <f aca="false">SUBSTITUTE(SUBSTITUTE($I6324,CHAR(61),""),CHAR(34),"")</f>
        <v>01-09</v>
      </c>
      <c r="R6324" s="0" t="str">
        <f aca="false">IF($D6324&lt;&gt;"","["&amp;$E6324&amp;"]"&amp;"|"&amp;$Q6324&amp;"|"&amp;$K6324&amp;"|"&amp;$G6324&amp;"|"&amp;IF($G6324="TX_CURR_SUBNAT.R","CY2022Q4",$M6324),"")</f>
        <v>[oiPR2CiVJbf]|01-09|Male|NEW_INFECTIONS_SUBNAT.T|CY2024Q3</v>
      </c>
    </row>
    <row r="6325" customFormat="false" ht="15" hidden="false" customHeight="false" outlineLevel="0" collapsed="false">
      <c r="D6325" s="0" t="s">
        <v>105</v>
      </c>
      <c r="E6325" s="0" t="s">
        <v>106</v>
      </c>
      <c r="F6325" s="0" t="s">
        <v>107</v>
      </c>
      <c r="G6325" s="0" t="s">
        <v>170</v>
      </c>
      <c r="H6325" s="0" t="s">
        <v>170</v>
      </c>
      <c r="I6325" s="0" t="s">
        <v>36</v>
      </c>
      <c r="J6325" s="0" t="s">
        <v>37</v>
      </c>
      <c r="K6325" s="0" t="s">
        <v>48</v>
      </c>
      <c r="L6325" s="0" t="s">
        <v>49</v>
      </c>
      <c r="M6325" s="0" t="s">
        <v>167</v>
      </c>
      <c r="N6325" s="0" t="n">
        <v>761</v>
      </c>
      <c r="O6325" s="10" t="n">
        <v>0.109944188501686</v>
      </c>
      <c r="P6325" s="10" t="n">
        <v>0.218249560333788</v>
      </c>
      <c r="Q6325" s="0" t="str">
        <f aca="false">SUBSTITUTE(SUBSTITUTE($I6325,CHAR(61),""),CHAR(34),"")</f>
        <v>10-14</v>
      </c>
      <c r="R6325" s="0" t="str">
        <f aca="false">IF($D6325&lt;&gt;"","["&amp;$E6325&amp;"]"&amp;"|"&amp;$Q6325&amp;"|"&amp;$K6325&amp;"|"&amp;$G6325&amp;"|"&amp;IF($G6325="TX_CURR_SUBNAT.R","CY2022Q4",$M6325),"")</f>
        <v>[oiPR2CiVJbf]|10-14|Male|NEW_INFECTIONS_SUBNAT.T|CY2024Q3</v>
      </c>
    </row>
    <row r="6326" customFormat="false" ht="15" hidden="false" customHeight="false" outlineLevel="0" collapsed="false">
      <c r="D6326" s="0" t="s">
        <v>105</v>
      </c>
      <c r="E6326" s="0" t="s">
        <v>106</v>
      </c>
      <c r="F6326" s="0" t="s">
        <v>107</v>
      </c>
      <c r="G6326" s="0" t="s">
        <v>170</v>
      </c>
      <c r="H6326" s="0" t="s">
        <v>170</v>
      </c>
      <c r="I6326" s="0" t="s">
        <v>38</v>
      </c>
      <c r="J6326" s="0" t="s">
        <v>39</v>
      </c>
      <c r="K6326" s="0" t="s">
        <v>48</v>
      </c>
      <c r="L6326" s="0" t="s">
        <v>49</v>
      </c>
      <c r="M6326" s="0" t="s">
        <v>167</v>
      </c>
      <c r="N6326" s="0" t="n">
        <v>1870</v>
      </c>
      <c r="O6326" s="10" t="n">
        <v>0.944660194450989</v>
      </c>
      <c r="P6326" s="10" t="n">
        <v>0.218249560333788</v>
      </c>
      <c r="Q6326" s="0" t="str">
        <f aca="false">SUBSTITUTE(SUBSTITUTE($I6326,CHAR(61),""),CHAR(34),"")</f>
        <v>15-24</v>
      </c>
      <c r="R6326" s="0" t="str">
        <f aca="false">IF($D6326&lt;&gt;"","["&amp;$E6326&amp;"]"&amp;"|"&amp;$Q6326&amp;"|"&amp;$K6326&amp;"|"&amp;$G6326&amp;"|"&amp;IF($G6326="TX_CURR_SUBNAT.R","CY2022Q4",$M6326),"")</f>
        <v>[oiPR2CiVJbf]|15-24|Male|NEW_INFECTIONS_SUBNAT.T|CY2024Q3</v>
      </c>
    </row>
    <row r="6327" customFormat="false" ht="15" hidden="false" customHeight="false" outlineLevel="0" collapsed="false">
      <c r="D6327" s="0" t="s">
        <v>105</v>
      </c>
      <c r="E6327" s="0" t="s">
        <v>106</v>
      </c>
      <c r="F6327" s="0" t="s">
        <v>107</v>
      </c>
      <c r="G6327" s="0" t="s">
        <v>170</v>
      </c>
      <c r="H6327" s="0" t="s">
        <v>170</v>
      </c>
      <c r="I6327" s="0" t="s">
        <v>41</v>
      </c>
      <c r="J6327" s="0" t="s">
        <v>42</v>
      </c>
      <c r="K6327" s="0" t="s">
        <v>48</v>
      </c>
      <c r="L6327" s="0" t="s">
        <v>49</v>
      </c>
      <c r="M6327" s="0" t="s">
        <v>167</v>
      </c>
      <c r="N6327" s="0" t="n">
        <v>1901</v>
      </c>
      <c r="O6327" s="10" t="n">
        <v>0.707983396248892</v>
      </c>
      <c r="P6327" s="10" t="n">
        <v>0.218249560333788</v>
      </c>
      <c r="Q6327" s="0" t="str">
        <f aca="false">SUBSTITUTE(SUBSTITUTE($I6327,CHAR(61),""),CHAR(34),"")</f>
        <v>25-34</v>
      </c>
      <c r="R6327" s="0" t="str">
        <f aca="false">IF($D6327&lt;&gt;"","["&amp;$E6327&amp;"]"&amp;"|"&amp;$Q6327&amp;"|"&amp;$K6327&amp;"|"&amp;$G6327&amp;"|"&amp;IF($G6327="TX_CURR_SUBNAT.R","CY2022Q4",$M6327),"")</f>
        <v>[oiPR2CiVJbf]|25-34|Male|NEW_INFECTIONS_SUBNAT.T|CY2024Q3</v>
      </c>
    </row>
    <row r="6328" customFormat="false" ht="15" hidden="false" customHeight="false" outlineLevel="0" collapsed="false">
      <c r="D6328" s="0" t="s">
        <v>105</v>
      </c>
      <c r="E6328" s="0" t="s">
        <v>106</v>
      </c>
      <c r="F6328" s="0" t="s">
        <v>107</v>
      </c>
      <c r="G6328" s="0" t="s">
        <v>170</v>
      </c>
      <c r="H6328" s="0" t="s">
        <v>170</v>
      </c>
      <c r="I6328" s="0" t="s">
        <v>43</v>
      </c>
      <c r="J6328" s="0" t="s">
        <v>44</v>
      </c>
      <c r="K6328" s="0" t="s">
        <v>48</v>
      </c>
      <c r="L6328" s="0" t="s">
        <v>49</v>
      </c>
      <c r="M6328" s="0" t="s">
        <v>167</v>
      </c>
      <c r="N6328" s="0" t="n">
        <v>1385</v>
      </c>
      <c r="O6328" s="10" t="n">
        <v>0.270090048667043</v>
      </c>
      <c r="P6328" s="10" t="n">
        <v>0.218249560333788</v>
      </c>
      <c r="Q6328" s="0" t="str">
        <f aca="false">SUBSTITUTE(SUBSTITUTE($I6328,CHAR(61),""),CHAR(34),"")</f>
        <v>35-49</v>
      </c>
      <c r="R6328" s="0" t="str">
        <f aca="false">IF($D6328&lt;&gt;"","["&amp;$E6328&amp;"]"&amp;"|"&amp;$Q6328&amp;"|"&amp;$K6328&amp;"|"&amp;$G6328&amp;"|"&amp;IF($G6328="TX_CURR_SUBNAT.R","CY2022Q4",$M6328),"")</f>
        <v>[oiPR2CiVJbf]|35-49|Male|NEW_INFECTIONS_SUBNAT.T|CY2024Q3</v>
      </c>
    </row>
    <row r="6329" customFormat="false" ht="15" hidden="false" customHeight="false" outlineLevel="0" collapsed="false">
      <c r="D6329" s="0" t="s">
        <v>105</v>
      </c>
      <c r="E6329" s="0" t="s">
        <v>106</v>
      </c>
      <c r="F6329" s="0" t="s">
        <v>107</v>
      </c>
      <c r="G6329" s="0" t="s">
        <v>170</v>
      </c>
      <c r="H6329" s="0" t="s">
        <v>170</v>
      </c>
      <c r="I6329" s="0" t="s">
        <v>45</v>
      </c>
      <c r="J6329" s="0" t="s">
        <v>46</v>
      </c>
      <c r="K6329" s="0" t="s">
        <v>48</v>
      </c>
      <c r="L6329" s="0" t="s">
        <v>49</v>
      </c>
      <c r="M6329" s="0" t="s">
        <v>167</v>
      </c>
      <c r="N6329" s="0" t="n">
        <v>1277</v>
      </c>
      <c r="O6329" s="10" t="n">
        <v>0.347123237559572</v>
      </c>
      <c r="P6329" s="10" t="n">
        <v>0.218249560333788</v>
      </c>
      <c r="Q6329" s="0" t="str">
        <f aca="false">SUBSTITUTE(SUBSTITUTE($I6329,CHAR(61),""),CHAR(34),"")</f>
        <v>50+</v>
      </c>
      <c r="R6329" s="0" t="str">
        <f aca="false">IF($D6329&lt;&gt;"","["&amp;$E6329&amp;"]"&amp;"|"&amp;$Q6329&amp;"|"&amp;$K6329&amp;"|"&amp;$G6329&amp;"|"&amp;IF($G6329="TX_CURR_SUBNAT.R","CY2022Q4",$M6329),"")</f>
        <v>[oiPR2CiVJbf]|50+|Male|NEW_INFECTIONS_SUBNAT.T|CY2024Q3</v>
      </c>
    </row>
    <row r="6330" customFormat="false" ht="15" hidden="false" customHeight="false" outlineLevel="0" collapsed="false">
      <c r="D6330" s="0" t="s">
        <v>108</v>
      </c>
      <c r="E6330" s="0" t="s">
        <v>109</v>
      </c>
      <c r="F6330" s="0" t="s">
        <v>110</v>
      </c>
      <c r="G6330" s="0" t="s">
        <v>170</v>
      </c>
      <c r="H6330" s="0" t="s">
        <v>170</v>
      </c>
      <c r="I6330" s="0" t="s">
        <v>28</v>
      </c>
      <c r="J6330" s="0" t="s">
        <v>29</v>
      </c>
      <c r="K6330" s="0" t="s">
        <v>30</v>
      </c>
      <c r="L6330" s="0" t="s">
        <v>31</v>
      </c>
      <c r="M6330" s="0" t="s">
        <v>167</v>
      </c>
      <c r="N6330" s="0" t="n">
        <v>514</v>
      </c>
      <c r="O6330" s="10" t="n">
        <v>0.516339764697477</v>
      </c>
      <c r="P6330" s="10" t="n">
        <v>0.434221804374829</v>
      </c>
      <c r="Q6330" s="0" t="str">
        <f aca="false">SUBSTITUTE(SUBSTITUTE($I6330,CHAR(61),""),CHAR(34),"")</f>
        <v>&lt;01</v>
      </c>
      <c r="R6330" s="0" t="str">
        <f aca="false">IF($D6330&lt;&gt;"","["&amp;$E6330&amp;"]"&amp;"|"&amp;$Q6330&amp;"|"&amp;$K6330&amp;"|"&amp;$G6330&amp;"|"&amp;IF($G6330="TX_CURR_SUBNAT.R","CY2022Q4",$M6330),"")</f>
        <v>[ul0y9diGujK]|&lt;01|Female|NEW_INFECTIONS_SUBNAT.T|CY2024Q3</v>
      </c>
    </row>
    <row r="6331" customFormat="false" ht="15" hidden="false" customHeight="false" outlineLevel="0" collapsed="false">
      <c r="D6331" s="0" t="s">
        <v>108</v>
      </c>
      <c r="E6331" s="0" t="s">
        <v>109</v>
      </c>
      <c r="F6331" s="0" t="s">
        <v>110</v>
      </c>
      <c r="G6331" s="0" t="s">
        <v>170</v>
      </c>
      <c r="H6331" s="0" t="s">
        <v>170</v>
      </c>
      <c r="I6331" s="0" t="s">
        <v>33</v>
      </c>
      <c r="J6331" s="0" t="s">
        <v>34</v>
      </c>
      <c r="K6331" s="0" t="s">
        <v>30</v>
      </c>
      <c r="L6331" s="0" t="s">
        <v>31</v>
      </c>
      <c r="M6331" s="0" t="s">
        <v>167</v>
      </c>
      <c r="N6331" s="0" t="n">
        <v>822</v>
      </c>
      <c r="O6331" s="10" t="n">
        <v>0.195484091760591</v>
      </c>
      <c r="P6331" s="10" t="n">
        <v>0.434221804374829</v>
      </c>
      <c r="Q6331" s="0" t="str">
        <f aca="false">SUBSTITUTE(SUBSTITUTE($I6331,CHAR(61),""),CHAR(34),"")</f>
        <v>01-09</v>
      </c>
      <c r="R6331" s="0" t="str">
        <f aca="false">IF($D6331&lt;&gt;"","["&amp;$E6331&amp;"]"&amp;"|"&amp;$Q6331&amp;"|"&amp;$K6331&amp;"|"&amp;$G6331&amp;"|"&amp;IF($G6331="TX_CURR_SUBNAT.R","CY2022Q4",$M6331),"")</f>
        <v>[ul0y9diGujK]|01-09|Female|NEW_INFECTIONS_SUBNAT.T|CY2024Q3</v>
      </c>
    </row>
    <row r="6332" customFormat="false" ht="15" hidden="false" customHeight="false" outlineLevel="0" collapsed="false">
      <c r="D6332" s="0" t="s">
        <v>108</v>
      </c>
      <c r="E6332" s="0" t="s">
        <v>109</v>
      </c>
      <c r="F6332" s="0" t="s">
        <v>110</v>
      </c>
      <c r="G6332" s="0" t="s">
        <v>170</v>
      </c>
      <c r="H6332" s="0" t="s">
        <v>170</v>
      </c>
      <c r="I6332" s="0" t="s">
        <v>36</v>
      </c>
      <c r="J6332" s="0" t="s">
        <v>37</v>
      </c>
      <c r="K6332" s="0" t="s">
        <v>30</v>
      </c>
      <c r="L6332" s="0" t="s">
        <v>31</v>
      </c>
      <c r="M6332" s="0" t="s">
        <v>167</v>
      </c>
      <c r="N6332" s="0" t="n">
        <v>1018</v>
      </c>
      <c r="O6332" s="10" t="n">
        <v>0.858577290782705</v>
      </c>
      <c r="P6332" s="10" t="n">
        <v>0.434221804374829</v>
      </c>
      <c r="Q6332" s="0" t="str">
        <f aca="false">SUBSTITUTE(SUBSTITUTE($I6332,CHAR(61),""),CHAR(34),"")</f>
        <v>10-14</v>
      </c>
      <c r="R6332" s="0" t="str">
        <f aca="false">IF($D6332&lt;&gt;"","["&amp;$E6332&amp;"]"&amp;"|"&amp;$Q6332&amp;"|"&amp;$K6332&amp;"|"&amp;$G6332&amp;"|"&amp;IF($G6332="TX_CURR_SUBNAT.R","CY2022Q4",$M6332),"")</f>
        <v>[ul0y9diGujK]|10-14|Female|NEW_INFECTIONS_SUBNAT.T|CY2024Q3</v>
      </c>
    </row>
    <row r="6333" customFormat="false" ht="15" hidden="false" customHeight="false" outlineLevel="0" collapsed="false">
      <c r="D6333" s="0" t="s">
        <v>108</v>
      </c>
      <c r="E6333" s="0" t="s">
        <v>109</v>
      </c>
      <c r="F6333" s="0" t="s">
        <v>110</v>
      </c>
      <c r="G6333" s="0" t="s">
        <v>170</v>
      </c>
      <c r="H6333" s="0" t="s">
        <v>170</v>
      </c>
      <c r="I6333" s="0" t="s">
        <v>38</v>
      </c>
      <c r="J6333" s="0" t="s">
        <v>39</v>
      </c>
      <c r="K6333" s="0" t="s">
        <v>30</v>
      </c>
      <c r="L6333" s="0" t="s">
        <v>31</v>
      </c>
      <c r="M6333" s="0" t="s">
        <v>167</v>
      </c>
      <c r="N6333" s="0" t="n">
        <v>1369</v>
      </c>
      <c r="O6333" s="10" t="n">
        <v>0.712150256149471</v>
      </c>
      <c r="P6333" s="10" t="n">
        <v>0.434221804374829</v>
      </c>
      <c r="Q6333" s="0" t="str">
        <f aca="false">SUBSTITUTE(SUBSTITUTE($I6333,CHAR(61),""),CHAR(34),"")</f>
        <v>15-24</v>
      </c>
      <c r="R6333" s="0" t="str">
        <f aca="false">IF($D6333&lt;&gt;"","["&amp;$E6333&amp;"]"&amp;"|"&amp;$Q6333&amp;"|"&amp;$K6333&amp;"|"&amp;$G6333&amp;"|"&amp;IF($G6333="TX_CURR_SUBNAT.R","CY2022Q4",$M6333),"")</f>
        <v>[ul0y9diGujK]|15-24|Female|NEW_INFECTIONS_SUBNAT.T|CY2024Q3</v>
      </c>
    </row>
    <row r="6334" customFormat="false" ht="15" hidden="false" customHeight="false" outlineLevel="0" collapsed="false">
      <c r="D6334" s="0" t="s">
        <v>108</v>
      </c>
      <c r="E6334" s="0" t="s">
        <v>109</v>
      </c>
      <c r="F6334" s="0" t="s">
        <v>110</v>
      </c>
      <c r="G6334" s="0" t="s">
        <v>170</v>
      </c>
      <c r="H6334" s="0" t="s">
        <v>170</v>
      </c>
      <c r="I6334" s="0" t="s">
        <v>41</v>
      </c>
      <c r="J6334" s="0" t="s">
        <v>42</v>
      </c>
      <c r="K6334" s="0" t="s">
        <v>30</v>
      </c>
      <c r="L6334" s="0" t="s">
        <v>31</v>
      </c>
      <c r="M6334" s="0" t="s">
        <v>167</v>
      </c>
      <c r="N6334" s="0" t="n">
        <v>1941</v>
      </c>
      <c r="O6334" s="10" t="n">
        <v>0.161772039951757</v>
      </c>
      <c r="P6334" s="10" t="n">
        <v>0.434221804374829</v>
      </c>
      <c r="Q6334" s="0" t="str">
        <f aca="false">SUBSTITUTE(SUBSTITUTE($I6334,CHAR(61),""),CHAR(34),"")</f>
        <v>25-34</v>
      </c>
      <c r="R6334" s="0" t="str">
        <f aca="false">IF($D6334&lt;&gt;"","["&amp;$E6334&amp;"]"&amp;"|"&amp;$Q6334&amp;"|"&amp;$K6334&amp;"|"&amp;$G6334&amp;"|"&amp;IF($G6334="TX_CURR_SUBNAT.R","CY2022Q4",$M6334),"")</f>
        <v>[ul0y9diGujK]|25-34|Female|NEW_INFECTIONS_SUBNAT.T|CY2024Q3</v>
      </c>
    </row>
    <row r="6335" customFormat="false" ht="15" hidden="false" customHeight="false" outlineLevel="0" collapsed="false">
      <c r="D6335" s="0" t="s">
        <v>108</v>
      </c>
      <c r="E6335" s="0" t="s">
        <v>109</v>
      </c>
      <c r="F6335" s="0" t="s">
        <v>110</v>
      </c>
      <c r="G6335" s="0" t="s">
        <v>170</v>
      </c>
      <c r="H6335" s="0" t="s">
        <v>170</v>
      </c>
      <c r="I6335" s="0" t="s">
        <v>43</v>
      </c>
      <c r="J6335" s="0" t="s">
        <v>44</v>
      </c>
      <c r="K6335" s="0" t="s">
        <v>30</v>
      </c>
      <c r="L6335" s="0" t="s">
        <v>31</v>
      </c>
      <c r="M6335" s="0" t="s">
        <v>167</v>
      </c>
      <c r="N6335" s="0" t="n">
        <v>842</v>
      </c>
      <c r="O6335" s="10" t="n">
        <v>0.254607144277543</v>
      </c>
      <c r="P6335" s="10" t="n">
        <v>0.434221804374829</v>
      </c>
      <c r="Q6335" s="0" t="str">
        <f aca="false">SUBSTITUTE(SUBSTITUTE($I6335,CHAR(61),""),CHAR(34),"")</f>
        <v>35-49</v>
      </c>
      <c r="R6335" s="0" t="str">
        <f aca="false">IF($D6335&lt;&gt;"","["&amp;$E6335&amp;"]"&amp;"|"&amp;$Q6335&amp;"|"&amp;$K6335&amp;"|"&amp;$G6335&amp;"|"&amp;IF($G6335="TX_CURR_SUBNAT.R","CY2022Q4",$M6335),"")</f>
        <v>[ul0y9diGujK]|35-49|Female|NEW_INFECTIONS_SUBNAT.T|CY2024Q3</v>
      </c>
    </row>
    <row r="6336" customFormat="false" ht="15" hidden="false" customHeight="false" outlineLevel="0" collapsed="false">
      <c r="D6336" s="0" t="s">
        <v>108</v>
      </c>
      <c r="E6336" s="0" t="s">
        <v>109</v>
      </c>
      <c r="F6336" s="0" t="s">
        <v>110</v>
      </c>
      <c r="G6336" s="0" t="s">
        <v>170</v>
      </c>
      <c r="H6336" s="0" t="s">
        <v>170</v>
      </c>
      <c r="I6336" s="0" t="s">
        <v>45</v>
      </c>
      <c r="J6336" s="0" t="s">
        <v>46</v>
      </c>
      <c r="K6336" s="0" t="s">
        <v>30</v>
      </c>
      <c r="L6336" s="0" t="s">
        <v>31</v>
      </c>
      <c r="M6336" s="0" t="s">
        <v>167</v>
      </c>
      <c r="N6336" s="0" t="n">
        <v>738</v>
      </c>
      <c r="O6336" s="10" t="n">
        <v>0.522399203851819</v>
      </c>
      <c r="P6336" s="10" t="n">
        <v>0.434221804374829</v>
      </c>
      <c r="Q6336" s="0" t="str">
        <f aca="false">SUBSTITUTE(SUBSTITUTE($I6336,CHAR(61),""),CHAR(34),"")</f>
        <v>50+</v>
      </c>
      <c r="R6336" s="0" t="str">
        <f aca="false">IF($D6336&lt;&gt;"","["&amp;$E6336&amp;"]"&amp;"|"&amp;$Q6336&amp;"|"&amp;$K6336&amp;"|"&amp;$G6336&amp;"|"&amp;IF($G6336="TX_CURR_SUBNAT.R","CY2022Q4",$M6336),"")</f>
        <v>[ul0y9diGujK]|50+|Female|NEW_INFECTIONS_SUBNAT.T|CY2024Q3</v>
      </c>
    </row>
    <row r="6337" customFormat="false" ht="15" hidden="false" customHeight="false" outlineLevel="0" collapsed="false">
      <c r="D6337" s="0" t="s">
        <v>108</v>
      </c>
      <c r="E6337" s="0" t="s">
        <v>109</v>
      </c>
      <c r="F6337" s="0" t="s">
        <v>110</v>
      </c>
      <c r="G6337" s="0" t="s">
        <v>170</v>
      </c>
      <c r="H6337" s="0" t="s">
        <v>170</v>
      </c>
      <c r="I6337" s="0" t="s">
        <v>28</v>
      </c>
      <c r="J6337" s="0" t="s">
        <v>29</v>
      </c>
      <c r="K6337" s="0" t="s">
        <v>48</v>
      </c>
      <c r="L6337" s="0" t="s">
        <v>49</v>
      </c>
      <c r="M6337" s="0" t="s">
        <v>167</v>
      </c>
      <c r="N6337" s="0" t="n">
        <v>1324</v>
      </c>
      <c r="O6337" s="10" t="n">
        <v>0.25115697318688</v>
      </c>
      <c r="P6337" s="10" t="n">
        <v>0.434221804374829</v>
      </c>
      <c r="Q6337" s="0" t="str">
        <f aca="false">SUBSTITUTE(SUBSTITUTE($I6337,CHAR(61),""),CHAR(34),"")</f>
        <v>&lt;01</v>
      </c>
      <c r="R6337" s="0" t="str">
        <f aca="false">IF($D6337&lt;&gt;"","["&amp;$E6337&amp;"]"&amp;"|"&amp;$Q6337&amp;"|"&amp;$K6337&amp;"|"&amp;$G6337&amp;"|"&amp;IF($G6337="TX_CURR_SUBNAT.R","CY2022Q4",$M6337),"")</f>
        <v>[ul0y9diGujK]|&lt;01|Male|NEW_INFECTIONS_SUBNAT.T|CY2024Q3</v>
      </c>
    </row>
    <row r="6338" customFormat="false" ht="15" hidden="false" customHeight="false" outlineLevel="0" collapsed="false">
      <c r="D6338" s="0" t="s">
        <v>108</v>
      </c>
      <c r="E6338" s="0" t="s">
        <v>109</v>
      </c>
      <c r="F6338" s="0" t="s">
        <v>110</v>
      </c>
      <c r="G6338" s="0" t="s">
        <v>170</v>
      </c>
      <c r="H6338" s="0" t="s">
        <v>170</v>
      </c>
      <c r="I6338" s="0" t="s">
        <v>33</v>
      </c>
      <c r="J6338" s="0" t="s">
        <v>34</v>
      </c>
      <c r="K6338" s="0" t="s">
        <v>48</v>
      </c>
      <c r="L6338" s="0" t="s">
        <v>49</v>
      </c>
      <c r="M6338" s="0" t="s">
        <v>167</v>
      </c>
      <c r="N6338" s="0" t="n">
        <v>1104</v>
      </c>
      <c r="O6338" s="10" t="n">
        <v>0.983965534018353</v>
      </c>
      <c r="P6338" s="10" t="n">
        <v>0.434221804374829</v>
      </c>
      <c r="Q6338" s="0" t="str">
        <f aca="false">SUBSTITUTE(SUBSTITUTE($I6338,CHAR(61),""),CHAR(34),"")</f>
        <v>01-09</v>
      </c>
      <c r="R6338" s="0" t="str">
        <f aca="false">IF($D6338&lt;&gt;"","["&amp;$E6338&amp;"]"&amp;"|"&amp;$Q6338&amp;"|"&amp;$K6338&amp;"|"&amp;$G6338&amp;"|"&amp;IF($G6338="TX_CURR_SUBNAT.R","CY2022Q4",$M6338),"")</f>
        <v>[ul0y9diGujK]|01-09|Male|NEW_INFECTIONS_SUBNAT.T|CY2024Q3</v>
      </c>
    </row>
    <row r="6339" customFormat="false" ht="15" hidden="false" customHeight="false" outlineLevel="0" collapsed="false">
      <c r="D6339" s="0" t="s">
        <v>108</v>
      </c>
      <c r="E6339" s="0" t="s">
        <v>109</v>
      </c>
      <c r="F6339" s="0" t="s">
        <v>110</v>
      </c>
      <c r="G6339" s="0" t="s">
        <v>170</v>
      </c>
      <c r="H6339" s="0" t="s">
        <v>170</v>
      </c>
      <c r="I6339" s="0" t="s">
        <v>36</v>
      </c>
      <c r="J6339" s="0" t="s">
        <v>37</v>
      </c>
      <c r="K6339" s="0" t="s">
        <v>48</v>
      </c>
      <c r="L6339" s="0" t="s">
        <v>49</v>
      </c>
      <c r="M6339" s="0" t="s">
        <v>167</v>
      </c>
      <c r="N6339" s="0" t="n">
        <v>1511</v>
      </c>
      <c r="O6339" s="10" t="n">
        <v>0.10219280095771</v>
      </c>
      <c r="P6339" s="10" t="n">
        <v>0.434221804374829</v>
      </c>
      <c r="Q6339" s="0" t="str">
        <f aca="false">SUBSTITUTE(SUBSTITUTE($I6339,CHAR(61),""),CHAR(34),"")</f>
        <v>10-14</v>
      </c>
      <c r="R6339" s="0" t="str">
        <f aca="false">IF($D6339&lt;&gt;"","["&amp;$E6339&amp;"]"&amp;"|"&amp;$Q6339&amp;"|"&amp;$K6339&amp;"|"&amp;$G6339&amp;"|"&amp;IF($G6339="TX_CURR_SUBNAT.R","CY2022Q4",$M6339),"")</f>
        <v>[ul0y9diGujK]|10-14|Male|NEW_INFECTIONS_SUBNAT.T|CY2024Q3</v>
      </c>
    </row>
    <row r="6340" customFormat="false" ht="15" hidden="false" customHeight="false" outlineLevel="0" collapsed="false">
      <c r="D6340" s="0" t="s">
        <v>108</v>
      </c>
      <c r="E6340" s="0" t="s">
        <v>109</v>
      </c>
      <c r="F6340" s="0" t="s">
        <v>110</v>
      </c>
      <c r="G6340" s="0" t="s">
        <v>170</v>
      </c>
      <c r="H6340" s="0" t="s">
        <v>170</v>
      </c>
      <c r="I6340" s="0" t="s">
        <v>38</v>
      </c>
      <c r="J6340" s="0" t="s">
        <v>39</v>
      </c>
      <c r="K6340" s="0" t="s">
        <v>48</v>
      </c>
      <c r="L6340" s="0" t="s">
        <v>49</v>
      </c>
      <c r="M6340" s="0" t="s">
        <v>167</v>
      </c>
      <c r="N6340" s="0" t="n">
        <v>1842</v>
      </c>
      <c r="O6340" s="10" t="n">
        <v>0.916146601550281</v>
      </c>
      <c r="P6340" s="10" t="n">
        <v>0.434221804374829</v>
      </c>
      <c r="Q6340" s="0" t="str">
        <f aca="false">SUBSTITUTE(SUBSTITUTE($I6340,CHAR(61),""),CHAR(34),"")</f>
        <v>15-24</v>
      </c>
      <c r="R6340" s="0" t="str">
        <f aca="false">IF($D6340&lt;&gt;"","["&amp;$E6340&amp;"]"&amp;"|"&amp;$Q6340&amp;"|"&amp;$K6340&amp;"|"&amp;$G6340&amp;"|"&amp;IF($G6340="TX_CURR_SUBNAT.R","CY2022Q4",$M6340),"")</f>
        <v>[ul0y9diGujK]|15-24|Male|NEW_INFECTIONS_SUBNAT.T|CY2024Q3</v>
      </c>
    </row>
    <row r="6341" customFormat="false" ht="15" hidden="false" customHeight="false" outlineLevel="0" collapsed="false">
      <c r="D6341" s="0" t="s">
        <v>108</v>
      </c>
      <c r="E6341" s="0" t="s">
        <v>109</v>
      </c>
      <c r="F6341" s="0" t="s">
        <v>110</v>
      </c>
      <c r="G6341" s="0" t="s">
        <v>170</v>
      </c>
      <c r="H6341" s="0" t="s">
        <v>170</v>
      </c>
      <c r="I6341" s="0" t="s">
        <v>41</v>
      </c>
      <c r="J6341" s="0" t="s">
        <v>42</v>
      </c>
      <c r="K6341" s="0" t="s">
        <v>48</v>
      </c>
      <c r="L6341" s="0" t="s">
        <v>49</v>
      </c>
      <c r="M6341" s="0" t="s">
        <v>167</v>
      </c>
      <c r="N6341" s="0" t="n">
        <v>691</v>
      </c>
      <c r="O6341" s="10" t="n">
        <v>0.669875687919557</v>
      </c>
      <c r="P6341" s="10" t="n">
        <v>0.434221804374829</v>
      </c>
      <c r="Q6341" s="0" t="str">
        <f aca="false">SUBSTITUTE(SUBSTITUTE($I6341,CHAR(61),""),CHAR(34),"")</f>
        <v>25-34</v>
      </c>
      <c r="R6341" s="0" t="str">
        <f aca="false">IF($D6341&lt;&gt;"","["&amp;$E6341&amp;"]"&amp;"|"&amp;$Q6341&amp;"|"&amp;$K6341&amp;"|"&amp;$G6341&amp;"|"&amp;IF($G6341="TX_CURR_SUBNAT.R","CY2022Q4",$M6341),"")</f>
        <v>[ul0y9diGujK]|25-34|Male|NEW_INFECTIONS_SUBNAT.T|CY2024Q3</v>
      </c>
    </row>
    <row r="6342" customFormat="false" ht="15" hidden="false" customHeight="false" outlineLevel="0" collapsed="false">
      <c r="D6342" s="0" t="s">
        <v>108</v>
      </c>
      <c r="E6342" s="0" t="s">
        <v>109</v>
      </c>
      <c r="F6342" s="0" t="s">
        <v>110</v>
      </c>
      <c r="G6342" s="0" t="s">
        <v>170</v>
      </c>
      <c r="H6342" s="0" t="s">
        <v>170</v>
      </c>
      <c r="I6342" s="0" t="s">
        <v>43</v>
      </c>
      <c r="J6342" s="0" t="s">
        <v>44</v>
      </c>
      <c r="K6342" s="0" t="s">
        <v>48</v>
      </c>
      <c r="L6342" s="0" t="s">
        <v>49</v>
      </c>
      <c r="M6342" s="0" t="s">
        <v>167</v>
      </c>
      <c r="N6342" s="0" t="n">
        <v>833</v>
      </c>
      <c r="O6342" s="10" t="n">
        <v>0.644096160074696</v>
      </c>
      <c r="P6342" s="10" t="n">
        <v>0.434221804374829</v>
      </c>
      <c r="Q6342" s="0" t="str">
        <f aca="false">SUBSTITUTE(SUBSTITUTE($I6342,CHAR(61),""),CHAR(34),"")</f>
        <v>35-49</v>
      </c>
      <c r="R6342" s="0" t="str">
        <f aca="false">IF($D6342&lt;&gt;"","["&amp;$E6342&amp;"]"&amp;"|"&amp;$Q6342&amp;"|"&amp;$K6342&amp;"|"&amp;$G6342&amp;"|"&amp;IF($G6342="TX_CURR_SUBNAT.R","CY2022Q4",$M6342),"")</f>
        <v>[ul0y9diGujK]|35-49|Male|NEW_INFECTIONS_SUBNAT.T|CY2024Q3</v>
      </c>
    </row>
    <row r="6343" customFormat="false" ht="15" hidden="false" customHeight="false" outlineLevel="0" collapsed="false">
      <c r="D6343" s="0" t="s">
        <v>108</v>
      </c>
      <c r="E6343" s="0" t="s">
        <v>109</v>
      </c>
      <c r="F6343" s="0" t="s">
        <v>110</v>
      </c>
      <c r="G6343" s="0" t="s">
        <v>170</v>
      </c>
      <c r="H6343" s="0" t="s">
        <v>170</v>
      </c>
      <c r="I6343" s="0" t="s">
        <v>45</v>
      </c>
      <c r="J6343" s="0" t="s">
        <v>46</v>
      </c>
      <c r="K6343" s="0" t="s">
        <v>48</v>
      </c>
      <c r="L6343" s="0" t="s">
        <v>49</v>
      </c>
      <c r="M6343" s="0" t="s">
        <v>167</v>
      </c>
      <c r="N6343" s="0" t="n">
        <v>521</v>
      </c>
      <c r="O6343" s="10" t="n">
        <v>0.182956981705502</v>
      </c>
      <c r="P6343" s="10" t="n">
        <v>0.434221804374829</v>
      </c>
      <c r="Q6343" s="0" t="str">
        <f aca="false">SUBSTITUTE(SUBSTITUTE($I6343,CHAR(61),""),CHAR(34),"")</f>
        <v>50+</v>
      </c>
      <c r="R6343" s="0" t="str">
        <f aca="false">IF($D6343&lt;&gt;"","["&amp;$E6343&amp;"]"&amp;"|"&amp;$Q6343&amp;"|"&amp;$K6343&amp;"|"&amp;$G6343&amp;"|"&amp;IF($G6343="TX_CURR_SUBNAT.R","CY2022Q4",$M6343),"")</f>
        <v>[ul0y9diGujK]|50+|Male|NEW_INFECTIONS_SUBNAT.T|CY2024Q3</v>
      </c>
    </row>
    <row r="6344" customFormat="false" ht="15" hidden="false" customHeight="false" outlineLevel="0" collapsed="false">
      <c r="D6344" s="0" t="s">
        <v>111</v>
      </c>
      <c r="E6344" s="0" t="s">
        <v>112</v>
      </c>
      <c r="F6344" s="0" t="s">
        <v>113</v>
      </c>
      <c r="G6344" s="0" t="s">
        <v>170</v>
      </c>
      <c r="H6344" s="0" t="s">
        <v>170</v>
      </c>
      <c r="I6344" s="0" t="s">
        <v>28</v>
      </c>
      <c r="J6344" s="0" t="s">
        <v>29</v>
      </c>
      <c r="K6344" s="0" t="s">
        <v>30</v>
      </c>
      <c r="L6344" s="0" t="s">
        <v>31</v>
      </c>
      <c r="M6344" s="0" t="s">
        <v>167</v>
      </c>
      <c r="N6344" s="0" t="n">
        <v>1130</v>
      </c>
      <c r="O6344" s="10" t="n">
        <v>0.629918579943478</v>
      </c>
      <c r="P6344" s="10" t="n">
        <v>0.337768794968724</v>
      </c>
      <c r="Q6344" s="0" t="str">
        <f aca="false">SUBSTITUTE(SUBSTITUTE($I6344,CHAR(61),""),CHAR(34),"")</f>
        <v>&lt;01</v>
      </c>
      <c r="R6344" s="0" t="str">
        <f aca="false">IF($D6344&lt;&gt;"","["&amp;$E6344&amp;"]"&amp;"|"&amp;$Q6344&amp;"|"&amp;$K6344&amp;"|"&amp;$G6344&amp;"|"&amp;IF($G6344="TX_CURR_SUBNAT.R","CY2022Q4",$M6344),"")</f>
        <v>[U8c0so51kT6]|&lt;01|Female|NEW_INFECTIONS_SUBNAT.T|CY2024Q3</v>
      </c>
    </row>
    <row r="6345" customFormat="false" ht="15" hidden="false" customHeight="false" outlineLevel="0" collapsed="false">
      <c r="D6345" s="0" t="s">
        <v>111</v>
      </c>
      <c r="E6345" s="0" t="s">
        <v>112</v>
      </c>
      <c r="F6345" s="0" t="s">
        <v>113</v>
      </c>
      <c r="G6345" s="0" t="s">
        <v>170</v>
      </c>
      <c r="H6345" s="0" t="s">
        <v>170</v>
      </c>
      <c r="I6345" s="0" t="s">
        <v>33</v>
      </c>
      <c r="J6345" s="0" t="s">
        <v>34</v>
      </c>
      <c r="K6345" s="0" t="s">
        <v>30</v>
      </c>
      <c r="L6345" s="0" t="s">
        <v>31</v>
      </c>
      <c r="M6345" s="0" t="s">
        <v>167</v>
      </c>
      <c r="N6345" s="0" t="n">
        <v>1994</v>
      </c>
      <c r="O6345" s="10" t="n">
        <v>0.775547542842105</v>
      </c>
      <c r="P6345" s="10" t="n">
        <v>0.337768794968724</v>
      </c>
      <c r="Q6345" s="0" t="str">
        <f aca="false">SUBSTITUTE(SUBSTITUTE($I6345,CHAR(61),""),CHAR(34),"")</f>
        <v>01-09</v>
      </c>
      <c r="R6345" s="0" t="str">
        <f aca="false">IF($D6345&lt;&gt;"","["&amp;$E6345&amp;"]"&amp;"|"&amp;$Q6345&amp;"|"&amp;$K6345&amp;"|"&amp;$G6345&amp;"|"&amp;IF($G6345="TX_CURR_SUBNAT.R","CY2022Q4",$M6345),"")</f>
        <v>[U8c0so51kT6]|01-09|Female|NEW_INFECTIONS_SUBNAT.T|CY2024Q3</v>
      </c>
    </row>
    <row r="6346" customFormat="false" ht="15" hidden="false" customHeight="false" outlineLevel="0" collapsed="false">
      <c r="D6346" s="0" t="s">
        <v>111</v>
      </c>
      <c r="E6346" s="0" t="s">
        <v>112</v>
      </c>
      <c r="F6346" s="0" t="s">
        <v>113</v>
      </c>
      <c r="G6346" s="0" t="s">
        <v>170</v>
      </c>
      <c r="H6346" s="0" t="s">
        <v>170</v>
      </c>
      <c r="I6346" s="0" t="s">
        <v>36</v>
      </c>
      <c r="J6346" s="0" t="s">
        <v>37</v>
      </c>
      <c r="K6346" s="0" t="s">
        <v>30</v>
      </c>
      <c r="L6346" s="0" t="s">
        <v>31</v>
      </c>
      <c r="M6346" s="0" t="s">
        <v>167</v>
      </c>
      <c r="N6346" s="0" t="n">
        <v>1199</v>
      </c>
      <c r="O6346" s="10" t="n">
        <v>0.164505709894001</v>
      </c>
      <c r="P6346" s="10" t="n">
        <v>0.337768794968724</v>
      </c>
      <c r="Q6346" s="0" t="str">
        <f aca="false">SUBSTITUTE(SUBSTITUTE($I6346,CHAR(61),""),CHAR(34),"")</f>
        <v>10-14</v>
      </c>
      <c r="R6346" s="0" t="str">
        <f aca="false">IF($D6346&lt;&gt;"","["&amp;$E6346&amp;"]"&amp;"|"&amp;$Q6346&amp;"|"&amp;$K6346&amp;"|"&amp;$G6346&amp;"|"&amp;IF($G6346="TX_CURR_SUBNAT.R","CY2022Q4",$M6346),"")</f>
        <v>[U8c0so51kT6]|10-14|Female|NEW_INFECTIONS_SUBNAT.T|CY2024Q3</v>
      </c>
    </row>
    <row r="6347" customFormat="false" ht="15" hidden="false" customHeight="false" outlineLevel="0" collapsed="false">
      <c r="D6347" s="0" t="s">
        <v>111</v>
      </c>
      <c r="E6347" s="0" t="s">
        <v>112</v>
      </c>
      <c r="F6347" s="0" t="s">
        <v>113</v>
      </c>
      <c r="G6347" s="0" t="s">
        <v>170</v>
      </c>
      <c r="H6347" s="0" t="s">
        <v>170</v>
      </c>
      <c r="I6347" s="0" t="s">
        <v>38</v>
      </c>
      <c r="J6347" s="0" t="s">
        <v>39</v>
      </c>
      <c r="K6347" s="0" t="s">
        <v>30</v>
      </c>
      <c r="L6347" s="0" t="s">
        <v>31</v>
      </c>
      <c r="M6347" s="0" t="s">
        <v>167</v>
      </c>
      <c r="N6347" s="0" t="n">
        <v>502</v>
      </c>
      <c r="O6347" s="10" t="n">
        <v>0.324130756547675</v>
      </c>
      <c r="P6347" s="10" t="n">
        <v>0.337768794968724</v>
      </c>
      <c r="Q6347" s="0" t="str">
        <f aca="false">SUBSTITUTE(SUBSTITUTE($I6347,CHAR(61),""),CHAR(34),"")</f>
        <v>15-24</v>
      </c>
      <c r="R6347" s="0" t="str">
        <f aca="false">IF($D6347&lt;&gt;"","["&amp;$E6347&amp;"]"&amp;"|"&amp;$Q6347&amp;"|"&amp;$K6347&amp;"|"&amp;$G6347&amp;"|"&amp;IF($G6347="TX_CURR_SUBNAT.R","CY2022Q4",$M6347),"")</f>
        <v>[U8c0so51kT6]|15-24|Female|NEW_INFECTIONS_SUBNAT.T|CY2024Q3</v>
      </c>
    </row>
    <row r="6348" customFormat="false" ht="15" hidden="false" customHeight="false" outlineLevel="0" collapsed="false">
      <c r="D6348" s="0" t="s">
        <v>111</v>
      </c>
      <c r="E6348" s="0" t="s">
        <v>112</v>
      </c>
      <c r="F6348" s="0" t="s">
        <v>113</v>
      </c>
      <c r="G6348" s="0" t="s">
        <v>170</v>
      </c>
      <c r="H6348" s="0" t="s">
        <v>170</v>
      </c>
      <c r="I6348" s="0" t="s">
        <v>41</v>
      </c>
      <c r="J6348" s="0" t="s">
        <v>42</v>
      </c>
      <c r="K6348" s="0" t="s">
        <v>30</v>
      </c>
      <c r="L6348" s="0" t="s">
        <v>31</v>
      </c>
      <c r="M6348" s="0" t="s">
        <v>167</v>
      </c>
      <c r="N6348" s="0" t="n">
        <v>889</v>
      </c>
      <c r="O6348" s="10" t="n">
        <v>0.838482381543145</v>
      </c>
      <c r="P6348" s="10" t="n">
        <v>0.337768794968724</v>
      </c>
      <c r="Q6348" s="0" t="str">
        <f aca="false">SUBSTITUTE(SUBSTITUTE($I6348,CHAR(61),""),CHAR(34),"")</f>
        <v>25-34</v>
      </c>
      <c r="R6348" s="0" t="str">
        <f aca="false">IF($D6348&lt;&gt;"","["&amp;$E6348&amp;"]"&amp;"|"&amp;$Q6348&amp;"|"&amp;$K6348&amp;"|"&amp;$G6348&amp;"|"&amp;IF($G6348="TX_CURR_SUBNAT.R","CY2022Q4",$M6348),"")</f>
        <v>[U8c0so51kT6]|25-34|Female|NEW_INFECTIONS_SUBNAT.T|CY2024Q3</v>
      </c>
    </row>
    <row r="6349" customFormat="false" ht="15" hidden="false" customHeight="false" outlineLevel="0" collapsed="false">
      <c r="D6349" s="0" t="s">
        <v>111</v>
      </c>
      <c r="E6349" s="0" t="s">
        <v>112</v>
      </c>
      <c r="F6349" s="0" t="s">
        <v>113</v>
      </c>
      <c r="G6349" s="0" t="s">
        <v>170</v>
      </c>
      <c r="H6349" s="0" t="s">
        <v>170</v>
      </c>
      <c r="I6349" s="0" t="s">
        <v>43</v>
      </c>
      <c r="J6349" s="0" t="s">
        <v>44</v>
      </c>
      <c r="K6349" s="0" t="s">
        <v>30</v>
      </c>
      <c r="L6349" s="0" t="s">
        <v>31</v>
      </c>
      <c r="M6349" s="0" t="s">
        <v>167</v>
      </c>
      <c r="N6349" s="0" t="n">
        <v>1485</v>
      </c>
      <c r="O6349" s="10" t="n">
        <v>0.912611915031448</v>
      </c>
      <c r="P6349" s="10" t="n">
        <v>0.337768794968724</v>
      </c>
      <c r="Q6349" s="0" t="str">
        <f aca="false">SUBSTITUTE(SUBSTITUTE($I6349,CHAR(61),""),CHAR(34),"")</f>
        <v>35-49</v>
      </c>
      <c r="R6349" s="0" t="str">
        <f aca="false">IF($D6349&lt;&gt;"","["&amp;$E6349&amp;"]"&amp;"|"&amp;$Q6349&amp;"|"&amp;$K6349&amp;"|"&amp;$G6349&amp;"|"&amp;IF($G6349="TX_CURR_SUBNAT.R","CY2022Q4",$M6349),"")</f>
        <v>[U8c0so51kT6]|35-49|Female|NEW_INFECTIONS_SUBNAT.T|CY2024Q3</v>
      </c>
    </row>
    <row r="6350" customFormat="false" ht="15" hidden="false" customHeight="false" outlineLevel="0" collapsed="false">
      <c r="D6350" s="0" t="s">
        <v>111</v>
      </c>
      <c r="E6350" s="0" t="s">
        <v>112</v>
      </c>
      <c r="F6350" s="0" t="s">
        <v>113</v>
      </c>
      <c r="G6350" s="0" t="s">
        <v>170</v>
      </c>
      <c r="H6350" s="0" t="s">
        <v>170</v>
      </c>
      <c r="I6350" s="0" t="s">
        <v>45</v>
      </c>
      <c r="J6350" s="0" t="s">
        <v>46</v>
      </c>
      <c r="K6350" s="0" t="s">
        <v>30</v>
      </c>
      <c r="L6350" s="0" t="s">
        <v>31</v>
      </c>
      <c r="M6350" s="0" t="s">
        <v>167</v>
      </c>
      <c r="N6350" s="0" t="n">
        <v>1472</v>
      </c>
      <c r="O6350" s="10" t="n">
        <v>0.306658586254343</v>
      </c>
      <c r="P6350" s="10" t="n">
        <v>0.337768794968724</v>
      </c>
      <c r="Q6350" s="0" t="str">
        <f aca="false">SUBSTITUTE(SUBSTITUTE($I6350,CHAR(61),""),CHAR(34),"")</f>
        <v>50+</v>
      </c>
      <c r="R6350" s="0" t="str">
        <f aca="false">IF($D6350&lt;&gt;"","["&amp;$E6350&amp;"]"&amp;"|"&amp;$Q6350&amp;"|"&amp;$K6350&amp;"|"&amp;$G6350&amp;"|"&amp;IF($G6350="TX_CURR_SUBNAT.R","CY2022Q4",$M6350),"")</f>
        <v>[U8c0so51kT6]|50+|Female|NEW_INFECTIONS_SUBNAT.T|CY2024Q3</v>
      </c>
    </row>
    <row r="6351" customFormat="false" ht="15" hidden="false" customHeight="false" outlineLevel="0" collapsed="false">
      <c r="D6351" s="0" t="s">
        <v>111</v>
      </c>
      <c r="E6351" s="0" t="s">
        <v>112</v>
      </c>
      <c r="F6351" s="0" t="s">
        <v>113</v>
      </c>
      <c r="G6351" s="0" t="s">
        <v>170</v>
      </c>
      <c r="H6351" s="0" t="s">
        <v>170</v>
      </c>
      <c r="I6351" s="0" t="s">
        <v>28</v>
      </c>
      <c r="J6351" s="0" t="s">
        <v>29</v>
      </c>
      <c r="K6351" s="0" t="s">
        <v>48</v>
      </c>
      <c r="L6351" s="0" t="s">
        <v>49</v>
      </c>
      <c r="M6351" s="0" t="s">
        <v>167</v>
      </c>
      <c r="N6351" s="0" t="n">
        <v>1948</v>
      </c>
      <c r="O6351" s="10" t="n">
        <v>0.654666375368834</v>
      </c>
      <c r="P6351" s="10" t="n">
        <v>0.337768794968724</v>
      </c>
      <c r="Q6351" s="0" t="str">
        <f aca="false">SUBSTITUTE(SUBSTITUTE($I6351,CHAR(61),""),CHAR(34),"")</f>
        <v>&lt;01</v>
      </c>
      <c r="R6351" s="0" t="str">
        <f aca="false">IF($D6351&lt;&gt;"","["&amp;$E6351&amp;"]"&amp;"|"&amp;$Q6351&amp;"|"&amp;$K6351&amp;"|"&amp;$G6351&amp;"|"&amp;IF($G6351="TX_CURR_SUBNAT.R","CY2022Q4",$M6351),"")</f>
        <v>[U8c0so51kT6]|&lt;01|Male|NEW_INFECTIONS_SUBNAT.T|CY2024Q3</v>
      </c>
    </row>
    <row r="6352" customFormat="false" ht="15" hidden="false" customHeight="false" outlineLevel="0" collapsed="false">
      <c r="D6352" s="0" t="s">
        <v>111</v>
      </c>
      <c r="E6352" s="0" t="s">
        <v>112</v>
      </c>
      <c r="F6352" s="0" t="s">
        <v>113</v>
      </c>
      <c r="G6352" s="0" t="s">
        <v>170</v>
      </c>
      <c r="H6352" s="0" t="s">
        <v>170</v>
      </c>
      <c r="I6352" s="0" t="s">
        <v>33</v>
      </c>
      <c r="J6352" s="0" t="s">
        <v>34</v>
      </c>
      <c r="K6352" s="0" t="s">
        <v>48</v>
      </c>
      <c r="L6352" s="0" t="s">
        <v>49</v>
      </c>
      <c r="M6352" s="0" t="s">
        <v>167</v>
      </c>
      <c r="N6352" s="0" t="n">
        <v>1056</v>
      </c>
      <c r="O6352" s="10" t="n">
        <v>0.512734684394673</v>
      </c>
      <c r="P6352" s="10" t="n">
        <v>0.337768794968724</v>
      </c>
      <c r="Q6352" s="0" t="str">
        <f aca="false">SUBSTITUTE(SUBSTITUTE($I6352,CHAR(61),""),CHAR(34),"")</f>
        <v>01-09</v>
      </c>
      <c r="R6352" s="0" t="str">
        <f aca="false">IF($D6352&lt;&gt;"","["&amp;$E6352&amp;"]"&amp;"|"&amp;$Q6352&amp;"|"&amp;$K6352&amp;"|"&amp;$G6352&amp;"|"&amp;IF($G6352="TX_CURR_SUBNAT.R","CY2022Q4",$M6352),"")</f>
        <v>[U8c0so51kT6]|01-09|Male|NEW_INFECTIONS_SUBNAT.T|CY2024Q3</v>
      </c>
    </row>
    <row r="6353" customFormat="false" ht="15" hidden="false" customHeight="false" outlineLevel="0" collapsed="false">
      <c r="D6353" s="0" t="s">
        <v>111</v>
      </c>
      <c r="E6353" s="0" t="s">
        <v>112</v>
      </c>
      <c r="F6353" s="0" t="s">
        <v>113</v>
      </c>
      <c r="G6353" s="0" t="s">
        <v>170</v>
      </c>
      <c r="H6353" s="0" t="s">
        <v>170</v>
      </c>
      <c r="I6353" s="0" t="s">
        <v>36</v>
      </c>
      <c r="J6353" s="0" t="s">
        <v>37</v>
      </c>
      <c r="K6353" s="0" t="s">
        <v>48</v>
      </c>
      <c r="L6353" s="0" t="s">
        <v>49</v>
      </c>
      <c r="M6353" s="0" t="s">
        <v>167</v>
      </c>
      <c r="N6353" s="0" t="n">
        <v>1262</v>
      </c>
      <c r="O6353" s="10" t="n">
        <v>0.526462109992281</v>
      </c>
      <c r="P6353" s="10" t="n">
        <v>0.337768794968724</v>
      </c>
      <c r="Q6353" s="0" t="str">
        <f aca="false">SUBSTITUTE(SUBSTITUTE($I6353,CHAR(61),""),CHAR(34),"")</f>
        <v>10-14</v>
      </c>
      <c r="R6353" s="0" t="str">
        <f aca="false">IF($D6353&lt;&gt;"","["&amp;$E6353&amp;"]"&amp;"|"&amp;$Q6353&amp;"|"&amp;$K6353&amp;"|"&amp;$G6353&amp;"|"&amp;IF($G6353="TX_CURR_SUBNAT.R","CY2022Q4",$M6353),"")</f>
        <v>[U8c0so51kT6]|10-14|Male|NEW_INFECTIONS_SUBNAT.T|CY2024Q3</v>
      </c>
    </row>
    <row r="6354" customFormat="false" ht="15" hidden="false" customHeight="false" outlineLevel="0" collapsed="false">
      <c r="D6354" s="0" t="s">
        <v>111</v>
      </c>
      <c r="E6354" s="0" t="s">
        <v>112</v>
      </c>
      <c r="F6354" s="0" t="s">
        <v>113</v>
      </c>
      <c r="G6354" s="0" t="s">
        <v>170</v>
      </c>
      <c r="H6354" s="0" t="s">
        <v>170</v>
      </c>
      <c r="I6354" s="0" t="s">
        <v>38</v>
      </c>
      <c r="J6354" s="0" t="s">
        <v>39</v>
      </c>
      <c r="K6354" s="0" t="s">
        <v>48</v>
      </c>
      <c r="L6354" s="0" t="s">
        <v>49</v>
      </c>
      <c r="M6354" s="0" t="s">
        <v>167</v>
      </c>
      <c r="N6354" s="0" t="n">
        <v>1685</v>
      </c>
      <c r="O6354" s="10" t="n">
        <v>0.614273177459836</v>
      </c>
      <c r="P6354" s="10" t="n">
        <v>0.337768794968724</v>
      </c>
      <c r="Q6354" s="0" t="str">
        <f aca="false">SUBSTITUTE(SUBSTITUTE($I6354,CHAR(61),""),CHAR(34),"")</f>
        <v>15-24</v>
      </c>
      <c r="R6354" s="0" t="str">
        <f aca="false">IF($D6354&lt;&gt;"","["&amp;$E6354&amp;"]"&amp;"|"&amp;$Q6354&amp;"|"&amp;$K6354&amp;"|"&amp;$G6354&amp;"|"&amp;IF($G6354="TX_CURR_SUBNAT.R","CY2022Q4",$M6354),"")</f>
        <v>[U8c0so51kT6]|15-24|Male|NEW_INFECTIONS_SUBNAT.T|CY2024Q3</v>
      </c>
    </row>
    <row r="6355" customFormat="false" ht="15" hidden="false" customHeight="false" outlineLevel="0" collapsed="false">
      <c r="D6355" s="0" t="s">
        <v>111</v>
      </c>
      <c r="E6355" s="0" t="s">
        <v>112</v>
      </c>
      <c r="F6355" s="0" t="s">
        <v>113</v>
      </c>
      <c r="G6355" s="0" t="s">
        <v>170</v>
      </c>
      <c r="H6355" s="0" t="s">
        <v>170</v>
      </c>
      <c r="I6355" s="0" t="s">
        <v>41</v>
      </c>
      <c r="J6355" s="0" t="s">
        <v>42</v>
      </c>
      <c r="K6355" s="0" t="s">
        <v>48</v>
      </c>
      <c r="L6355" s="0" t="s">
        <v>49</v>
      </c>
      <c r="M6355" s="0" t="s">
        <v>167</v>
      </c>
      <c r="N6355" s="0" t="n">
        <v>1659</v>
      </c>
      <c r="O6355" s="10" t="n">
        <v>0.41767739225179</v>
      </c>
      <c r="P6355" s="10" t="n">
        <v>0.337768794968724</v>
      </c>
      <c r="Q6355" s="0" t="str">
        <f aca="false">SUBSTITUTE(SUBSTITUTE($I6355,CHAR(61),""),CHAR(34),"")</f>
        <v>25-34</v>
      </c>
      <c r="R6355" s="0" t="str">
        <f aca="false">IF($D6355&lt;&gt;"","["&amp;$E6355&amp;"]"&amp;"|"&amp;$Q6355&amp;"|"&amp;$K6355&amp;"|"&amp;$G6355&amp;"|"&amp;IF($G6355="TX_CURR_SUBNAT.R","CY2022Q4",$M6355),"")</f>
        <v>[U8c0so51kT6]|25-34|Male|NEW_INFECTIONS_SUBNAT.T|CY2024Q3</v>
      </c>
    </row>
    <row r="6356" customFormat="false" ht="15" hidden="false" customHeight="false" outlineLevel="0" collapsed="false">
      <c r="D6356" s="0" t="s">
        <v>111</v>
      </c>
      <c r="E6356" s="0" t="s">
        <v>112</v>
      </c>
      <c r="F6356" s="0" t="s">
        <v>113</v>
      </c>
      <c r="G6356" s="0" t="s">
        <v>170</v>
      </c>
      <c r="H6356" s="0" t="s">
        <v>170</v>
      </c>
      <c r="I6356" s="0" t="s">
        <v>43</v>
      </c>
      <c r="J6356" s="0" t="s">
        <v>44</v>
      </c>
      <c r="K6356" s="0" t="s">
        <v>48</v>
      </c>
      <c r="L6356" s="0" t="s">
        <v>49</v>
      </c>
      <c r="M6356" s="0" t="s">
        <v>167</v>
      </c>
      <c r="N6356" s="0" t="n">
        <v>775</v>
      </c>
      <c r="O6356" s="10" t="n">
        <v>0.016786273336038</v>
      </c>
      <c r="P6356" s="10" t="n">
        <v>0.337768794968724</v>
      </c>
      <c r="Q6356" s="0" t="str">
        <f aca="false">SUBSTITUTE(SUBSTITUTE($I6356,CHAR(61),""),CHAR(34),"")</f>
        <v>35-49</v>
      </c>
      <c r="R6356" s="0" t="str">
        <f aca="false">IF($D6356&lt;&gt;"","["&amp;$E6356&amp;"]"&amp;"|"&amp;$Q6356&amp;"|"&amp;$K6356&amp;"|"&amp;$G6356&amp;"|"&amp;IF($G6356="TX_CURR_SUBNAT.R","CY2022Q4",$M6356),"")</f>
        <v>[U8c0so51kT6]|35-49|Male|NEW_INFECTIONS_SUBNAT.T|CY2024Q3</v>
      </c>
    </row>
    <row r="6357" customFormat="false" ht="15" hidden="false" customHeight="false" outlineLevel="0" collapsed="false">
      <c r="D6357" s="0" t="s">
        <v>111</v>
      </c>
      <c r="E6357" s="0" t="s">
        <v>112</v>
      </c>
      <c r="F6357" s="0" t="s">
        <v>113</v>
      </c>
      <c r="G6357" s="0" t="s">
        <v>170</v>
      </c>
      <c r="H6357" s="0" t="s">
        <v>170</v>
      </c>
      <c r="I6357" s="0" t="s">
        <v>45</v>
      </c>
      <c r="J6357" s="0" t="s">
        <v>46</v>
      </c>
      <c r="K6357" s="0" t="s">
        <v>48</v>
      </c>
      <c r="L6357" s="0" t="s">
        <v>49</v>
      </c>
      <c r="M6357" s="0" t="s">
        <v>167</v>
      </c>
      <c r="N6357" s="0" t="n">
        <v>1529</v>
      </c>
      <c r="O6357" s="10" t="n">
        <v>0.805250286124647</v>
      </c>
      <c r="P6357" s="10" t="n">
        <v>0.337768794968724</v>
      </c>
      <c r="Q6357" s="0" t="str">
        <f aca="false">SUBSTITUTE(SUBSTITUTE($I6357,CHAR(61),""),CHAR(34),"")</f>
        <v>50+</v>
      </c>
      <c r="R6357" s="0" t="str">
        <f aca="false">IF($D6357&lt;&gt;"","["&amp;$E6357&amp;"]"&amp;"|"&amp;$Q6357&amp;"|"&amp;$K6357&amp;"|"&amp;$G6357&amp;"|"&amp;IF($G6357="TX_CURR_SUBNAT.R","CY2022Q4",$M6357),"")</f>
        <v>[U8c0so51kT6]|50+|Male|NEW_INFECTIONS_SUBNAT.T|CY2024Q3</v>
      </c>
    </row>
    <row r="6358" customFormat="false" ht="15" hidden="false" customHeight="false" outlineLevel="0" collapsed="false">
      <c r="D6358" s="0" t="s">
        <v>114</v>
      </c>
      <c r="E6358" s="0" t="s">
        <v>115</v>
      </c>
      <c r="F6358" s="0" t="s">
        <v>116</v>
      </c>
      <c r="G6358" s="0" t="s">
        <v>170</v>
      </c>
      <c r="H6358" s="0" t="s">
        <v>170</v>
      </c>
      <c r="I6358" s="0" t="s">
        <v>28</v>
      </c>
      <c r="J6358" s="0" t="s">
        <v>29</v>
      </c>
      <c r="K6358" s="0" t="s">
        <v>30</v>
      </c>
      <c r="L6358" s="0" t="s">
        <v>31</v>
      </c>
      <c r="M6358" s="0" t="s">
        <v>167</v>
      </c>
      <c r="N6358" s="0" t="n">
        <v>816</v>
      </c>
      <c r="O6358" s="10" t="n">
        <v>0.593087255721912</v>
      </c>
      <c r="P6358" s="10" t="n">
        <v>0.298559809103608</v>
      </c>
      <c r="Q6358" s="0" t="str">
        <f aca="false">SUBSTITUTE(SUBSTITUTE($I6358,CHAR(61),""),CHAR(34),"")</f>
        <v>&lt;01</v>
      </c>
      <c r="R6358" s="0" t="str">
        <f aca="false">IF($D6358&lt;&gt;"","["&amp;$E6358&amp;"]"&amp;"|"&amp;$Q6358&amp;"|"&amp;$K6358&amp;"|"&amp;$G6358&amp;"|"&amp;IF($G6358="TX_CURR_SUBNAT.R","CY2022Q4",$M6358),"")</f>
        <v>[rpw540fmNUz]|&lt;01|Female|NEW_INFECTIONS_SUBNAT.T|CY2024Q3</v>
      </c>
    </row>
    <row r="6359" customFormat="false" ht="15" hidden="false" customHeight="false" outlineLevel="0" collapsed="false">
      <c r="D6359" s="0" t="s">
        <v>114</v>
      </c>
      <c r="E6359" s="0" t="s">
        <v>115</v>
      </c>
      <c r="F6359" s="0" t="s">
        <v>116</v>
      </c>
      <c r="G6359" s="0" t="s">
        <v>170</v>
      </c>
      <c r="H6359" s="0" t="s">
        <v>170</v>
      </c>
      <c r="I6359" s="0" t="s">
        <v>33</v>
      </c>
      <c r="J6359" s="0" t="s">
        <v>34</v>
      </c>
      <c r="K6359" s="0" t="s">
        <v>30</v>
      </c>
      <c r="L6359" s="0" t="s">
        <v>31</v>
      </c>
      <c r="M6359" s="0" t="s">
        <v>167</v>
      </c>
      <c r="N6359" s="0" t="n">
        <v>1815</v>
      </c>
      <c r="O6359" s="10" t="n">
        <v>0.622598902788013</v>
      </c>
      <c r="P6359" s="10" t="n">
        <v>0.298559809103608</v>
      </c>
      <c r="Q6359" s="0" t="str">
        <f aca="false">SUBSTITUTE(SUBSTITUTE($I6359,CHAR(61),""),CHAR(34),"")</f>
        <v>01-09</v>
      </c>
      <c r="R6359" s="0" t="str">
        <f aca="false">IF($D6359&lt;&gt;"","["&amp;$E6359&amp;"]"&amp;"|"&amp;$Q6359&amp;"|"&amp;$K6359&amp;"|"&amp;$G6359&amp;"|"&amp;IF($G6359="TX_CURR_SUBNAT.R","CY2022Q4",$M6359),"")</f>
        <v>[rpw540fmNUz]|01-09|Female|NEW_INFECTIONS_SUBNAT.T|CY2024Q3</v>
      </c>
    </row>
    <row r="6360" customFormat="false" ht="15" hidden="false" customHeight="false" outlineLevel="0" collapsed="false">
      <c r="D6360" s="0" t="s">
        <v>114</v>
      </c>
      <c r="E6360" s="0" t="s">
        <v>115</v>
      </c>
      <c r="F6360" s="0" t="s">
        <v>116</v>
      </c>
      <c r="G6360" s="0" t="s">
        <v>170</v>
      </c>
      <c r="H6360" s="0" t="s">
        <v>170</v>
      </c>
      <c r="I6360" s="0" t="s">
        <v>36</v>
      </c>
      <c r="J6360" s="0" t="s">
        <v>37</v>
      </c>
      <c r="K6360" s="0" t="s">
        <v>30</v>
      </c>
      <c r="L6360" s="0" t="s">
        <v>31</v>
      </c>
      <c r="M6360" s="0" t="s">
        <v>167</v>
      </c>
      <c r="N6360" s="0" t="n">
        <v>1345</v>
      </c>
      <c r="O6360" s="10" t="n">
        <v>0.921550729544833</v>
      </c>
      <c r="P6360" s="10" t="n">
        <v>0.298559809103608</v>
      </c>
      <c r="Q6360" s="0" t="str">
        <f aca="false">SUBSTITUTE(SUBSTITUTE($I6360,CHAR(61),""),CHAR(34),"")</f>
        <v>10-14</v>
      </c>
      <c r="R6360" s="0" t="str">
        <f aca="false">IF($D6360&lt;&gt;"","["&amp;$E6360&amp;"]"&amp;"|"&amp;$Q6360&amp;"|"&amp;$K6360&amp;"|"&amp;$G6360&amp;"|"&amp;IF($G6360="TX_CURR_SUBNAT.R","CY2022Q4",$M6360),"")</f>
        <v>[rpw540fmNUz]|10-14|Female|NEW_INFECTIONS_SUBNAT.T|CY2024Q3</v>
      </c>
    </row>
    <row r="6361" customFormat="false" ht="15" hidden="false" customHeight="false" outlineLevel="0" collapsed="false">
      <c r="D6361" s="0" t="s">
        <v>114</v>
      </c>
      <c r="E6361" s="0" t="s">
        <v>115</v>
      </c>
      <c r="F6361" s="0" t="s">
        <v>116</v>
      </c>
      <c r="G6361" s="0" t="s">
        <v>170</v>
      </c>
      <c r="H6361" s="0" t="s">
        <v>170</v>
      </c>
      <c r="I6361" s="0" t="s">
        <v>38</v>
      </c>
      <c r="J6361" s="0" t="s">
        <v>39</v>
      </c>
      <c r="K6361" s="0" t="s">
        <v>30</v>
      </c>
      <c r="L6361" s="0" t="s">
        <v>31</v>
      </c>
      <c r="M6361" s="0" t="s">
        <v>167</v>
      </c>
      <c r="N6361" s="0" t="n">
        <v>523</v>
      </c>
      <c r="O6361" s="10" t="n">
        <v>0.116123169660568</v>
      </c>
      <c r="P6361" s="10" t="n">
        <v>0.298559809103608</v>
      </c>
      <c r="Q6361" s="0" t="str">
        <f aca="false">SUBSTITUTE(SUBSTITUTE($I6361,CHAR(61),""),CHAR(34),"")</f>
        <v>15-24</v>
      </c>
      <c r="R6361" s="0" t="str">
        <f aca="false">IF($D6361&lt;&gt;"","["&amp;$E6361&amp;"]"&amp;"|"&amp;$Q6361&amp;"|"&amp;$K6361&amp;"|"&amp;$G6361&amp;"|"&amp;IF($G6361="TX_CURR_SUBNAT.R","CY2022Q4",$M6361),"")</f>
        <v>[rpw540fmNUz]|15-24|Female|NEW_INFECTIONS_SUBNAT.T|CY2024Q3</v>
      </c>
    </row>
    <row r="6362" customFormat="false" ht="15" hidden="false" customHeight="false" outlineLevel="0" collapsed="false">
      <c r="D6362" s="0" t="s">
        <v>114</v>
      </c>
      <c r="E6362" s="0" t="s">
        <v>115</v>
      </c>
      <c r="F6362" s="0" t="s">
        <v>116</v>
      </c>
      <c r="G6362" s="0" t="s">
        <v>170</v>
      </c>
      <c r="H6362" s="0" t="s">
        <v>170</v>
      </c>
      <c r="I6362" s="0" t="s">
        <v>41</v>
      </c>
      <c r="J6362" s="0" t="s">
        <v>42</v>
      </c>
      <c r="K6362" s="0" t="s">
        <v>30</v>
      </c>
      <c r="L6362" s="0" t="s">
        <v>31</v>
      </c>
      <c r="M6362" s="0" t="s">
        <v>167</v>
      </c>
      <c r="N6362" s="0" t="n">
        <v>1124</v>
      </c>
      <c r="O6362" s="10" t="n">
        <v>0.536324145970866</v>
      </c>
      <c r="P6362" s="10" t="n">
        <v>0.298559809103608</v>
      </c>
      <c r="Q6362" s="0" t="str">
        <f aca="false">SUBSTITUTE(SUBSTITUTE($I6362,CHAR(61),""),CHAR(34),"")</f>
        <v>25-34</v>
      </c>
      <c r="R6362" s="0" t="str">
        <f aca="false">IF($D6362&lt;&gt;"","["&amp;$E6362&amp;"]"&amp;"|"&amp;$Q6362&amp;"|"&amp;$K6362&amp;"|"&amp;$G6362&amp;"|"&amp;IF($G6362="TX_CURR_SUBNAT.R","CY2022Q4",$M6362),"")</f>
        <v>[rpw540fmNUz]|25-34|Female|NEW_INFECTIONS_SUBNAT.T|CY2024Q3</v>
      </c>
    </row>
    <row r="6363" customFormat="false" ht="15" hidden="false" customHeight="false" outlineLevel="0" collapsed="false">
      <c r="D6363" s="0" t="s">
        <v>114</v>
      </c>
      <c r="E6363" s="0" t="s">
        <v>115</v>
      </c>
      <c r="F6363" s="0" t="s">
        <v>116</v>
      </c>
      <c r="G6363" s="0" t="s">
        <v>170</v>
      </c>
      <c r="H6363" s="0" t="s">
        <v>170</v>
      </c>
      <c r="I6363" s="0" t="s">
        <v>43</v>
      </c>
      <c r="J6363" s="0" t="s">
        <v>44</v>
      </c>
      <c r="K6363" s="0" t="s">
        <v>30</v>
      </c>
      <c r="L6363" s="0" t="s">
        <v>31</v>
      </c>
      <c r="M6363" s="0" t="s">
        <v>167</v>
      </c>
      <c r="N6363" s="0" t="n">
        <v>866</v>
      </c>
      <c r="O6363" s="10" t="n">
        <v>0.0209348618518561</v>
      </c>
      <c r="P6363" s="10" t="n">
        <v>0.298559809103608</v>
      </c>
      <c r="Q6363" s="0" t="str">
        <f aca="false">SUBSTITUTE(SUBSTITUTE($I6363,CHAR(61),""),CHAR(34),"")</f>
        <v>35-49</v>
      </c>
      <c r="R6363" s="0" t="str">
        <f aca="false">IF($D6363&lt;&gt;"","["&amp;$E6363&amp;"]"&amp;"|"&amp;$Q6363&amp;"|"&amp;$K6363&amp;"|"&amp;$G6363&amp;"|"&amp;IF($G6363="TX_CURR_SUBNAT.R","CY2022Q4",$M6363),"")</f>
        <v>[rpw540fmNUz]|35-49|Female|NEW_INFECTIONS_SUBNAT.T|CY2024Q3</v>
      </c>
    </row>
    <row r="6364" customFormat="false" ht="15" hidden="false" customHeight="false" outlineLevel="0" collapsed="false">
      <c r="D6364" s="0" t="s">
        <v>114</v>
      </c>
      <c r="E6364" s="0" t="s">
        <v>115</v>
      </c>
      <c r="F6364" s="0" t="s">
        <v>116</v>
      </c>
      <c r="G6364" s="0" t="s">
        <v>170</v>
      </c>
      <c r="H6364" s="0" t="s">
        <v>170</v>
      </c>
      <c r="I6364" s="0" t="s">
        <v>45</v>
      </c>
      <c r="J6364" s="0" t="s">
        <v>46</v>
      </c>
      <c r="K6364" s="0" t="s">
        <v>30</v>
      </c>
      <c r="L6364" s="0" t="s">
        <v>31</v>
      </c>
      <c r="M6364" s="0" t="s">
        <v>167</v>
      </c>
      <c r="N6364" s="0" t="n">
        <v>1270</v>
      </c>
      <c r="O6364" s="10" t="n">
        <v>0.151260640472174</v>
      </c>
      <c r="P6364" s="10" t="n">
        <v>0.298559809103608</v>
      </c>
      <c r="Q6364" s="0" t="str">
        <f aca="false">SUBSTITUTE(SUBSTITUTE($I6364,CHAR(61),""),CHAR(34),"")</f>
        <v>50+</v>
      </c>
      <c r="R6364" s="0" t="str">
        <f aca="false">IF($D6364&lt;&gt;"","["&amp;$E6364&amp;"]"&amp;"|"&amp;$Q6364&amp;"|"&amp;$K6364&amp;"|"&amp;$G6364&amp;"|"&amp;IF($G6364="TX_CURR_SUBNAT.R","CY2022Q4",$M6364),"")</f>
        <v>[rpw540fmNUz]|50+|Female|NEW_INFECTIONS_SUBNAT.T|CY2024Q3</v>
      </c>
    </row>
    <row r="6365" customFormat="false" ht="15" hidden="false" customHeight="false" outlineLevel="0" collapsed="false">
      <c r="D6365" s="0" t="s">
        <v>114</v>
      </c>
      <c r="E6365" s="0" t="s">
        <v>115</v>
      </c>
      <c r="F6365" s="0" t="s">
        <v>116</v>
      </c>
      <c r="G6365" s="0" t="s">
        <v>170</v>
      </c>
      <c r="H6365" s="0" t="s">
        <v>170</v>
      </c>
      <c r="I6365" s="0" t="s">
        <v>28</v>
      </c>
      <c r="J6365" s="0" t="s">
        <v>29</v>
      </c>
      <c r="K6365" s="0" t="s">
        <v>48</v>
      </c>
      <c r="L6365" s="0" t="s">
        <v>49</v>
      </c>
      <c r="M6365" s="0" t="s">
        <v>167</v>
      </c>
      <c r="N6365" s="0" t="n">
        <v>1096</v>
      </c>
      <c r="O6365" s="10" t="n">
        <v>0.311125768814236</v>
      </c>
      <c r="P6365" s="10" t="n">
        <v>0.298559809103608</v>
      </c>
      <c r="Q6365" s="0" t="str">
        <f aca="false">SUBSTITUTE(SUBSTITUTE($I6365,CHAR(61),""),CHAR(34),"")</f>
        <v>&lt;01</v>
      </c>
      <c r="R6365" s="0" t="str">
        <f aca="false">IF($D6365&lt;&gt;"","["&amp;$E6365&amp;"]"&amp;"|"&amp;$Q6365&amp;"|"&amp;$K6365&amp;"|"&amp;$G6365&amp;"|"&amp;IF($G6365="TX_CURR_SUBNAT.R","CY2022Q4",$M6365),"")</f>
        <v>[rpw540fmNUz]|&lt;01|Male|NEW_INFECTIONS_SUBNAT.T|CY2024Q3</v>
      </c>
    </row>
    <row r="6366" customFormat="false" ht="15" hidden="false" customHeight="false" outlineLevel="0" collapsed="false">
      <c r="D6366" s="0" t="s">
        <v>114</v>
      </c>
      <c r="E6366" s="0" t="s">
        <v>115</v>
      </c>
      <c r="F6366" s="0" t="s">
        <v>116</v>
      </c>
      <c r="G6366" s="0" t="s">
        <v>170</v>
      </c>
      <c r="H6366" s="0" t="s">
        <v>170</v>
      </c>
      <c r="I6366" s="0" t="s">
        <v>33</v>
      </c>
      <c r="J6366" s="0" t="s">
        <v>34</v>
      </c>
      <c r="K6366" s="0" t="s">
        <v>48</v>
      </c>
      <c r="L6366" s="0" t="s">
        <v>49</v>
      </c>
      <c r="M6366" s="0" t="s">
        <v>167</v>
      </c>
      <c r="N6366" s="0" t="n">
        <v>995</v>
      </c>
      <c r="O6366" s="10" t="n">
        <v>0.794423445127904</v>
      </c>
      <c r="P6366" s="10" t="n">
        <v>0.298559809103608</v>
      </c>
      <c r="Q6366" s="0" t="str">
        <f aca="false">SUBSTITUTE(SUBSTITUTE($I6366,CHAR(61),""),CHAR(34),"")</f>
        <v>01-09</v>
      </c>
      <c r="R6366" s="0" t="str">
        <f aca="false">IF($D6366&lt;&gt;"","["&amp;$E6366&amp;"]"&amp;"|"&amp;$Q6366&amp;"|"&amp;$K6366&amp;"|"&amp;$G6366&amp;"|"&amp;IF($G6366="TX_CURR_SUBNAT.R","CY2022Q4",$M6366),"")</f>
        <v>[rpw540fmNUz]|01-09|Male|NEW_INFECTIONS_SUBNAT.T|CY2024Q3</v>
      </c>
    </row>
    <row r="6367" customFormat="false" ht="15" hidden="false" customHeight="false" outlineLevel="0" collapsed="false">
      <c r="D6367" s="0" t="s">
        <v>114</v>
      </c>
      <c r="E6367" s="0" t="s">
        <v>115</v>
      </c>
      <c r="F6367" s="0" t="s">
        <v>116</v>
      </c>
      <c r="G6367" s="0" t="s">
        <v>170</v>
      </c>
      <c r="H6367" s="0" t="s">
        <v>170</v>
      </c>
      <c r="I6367" s="0" t="s">
        <v>36</v>
      </c>
      <c r="J6367" s="0" t="s">
        <v>37</v>
      </c>
      <c r="K6367" s="0" t="s">
        <v>48</v>
      </c>
      <c r="L6367" s="0" t="s">
        <v>49</v>
      </c>
      <c r="M6367" s="0" t="s">
        <v>167</v>
      </c>
      <c r="N6367" s="0" t="n">
        <v>588</v>
      </c>
      <c r="O6367" s="10" t="n">
        <v>0.997268882812932</v>
      </c>
      <c r="P6367" s="10" t="n">
        <v>0.298559809103608</v>
      </c>
      <c r="Q6367" s="0" t="str">
        <f aca="false">SUBSTITUTE(SUBSTITUTE($I6367,CHAR(61),""),CHAR(34),"")</f>
        <v>10-14</v>
      </c>
      <c r="R6367" s="0" t="str">
        <f aca="false">IF($D6367&lt;&gt;"","["&amp;$E6367&amp;"]"&amp;"|"&amp;$Q6367&amp;"|"&amp;$K6367&amp;"|"&amp;$G6367&amp;"|"&amp;IF($G6367="TX_CURR_SUBNAT.R","CY2022Q4",$M6367),"")</f>
        <v>[rpw540fmNUz]|10-14|Male|NEW_INFECTIONS_SUBNAT.T|CY2024Q3</v>
      </c>
    </row>
    <row r="6368" customFormat="false" ht="15" hidden="false" customHeight="false" outlineLevel="0" collapsed="false">
      <c r="D6368" s="0" t="s">
        <v>114</v>
      </c>
      <c r="E6368" s="0" t="s">
        <v>115</v>
      </c>
      <c r="F6368" s="0" t="s">
        <v>116</v>
      </c>
      <c r="G6368" s="0" t="s">
        <v>170</v>
      </c>
      <c r="H6368" s="0" t="s">
        <v>170</v>
      </c>
      <c r="I6368" s="0" t="s">
        <v>38</v>
      </c>
      <c r="J6368" s="0" t="s">
        <v>39</v>
      </c>
      <c r="K6368" s="0" t="s">
        <v>48</v>
      </c>
      <c r="L6368" s="0" t="s">
        <v>49</v>
      </c>
      <c r="M6368" s="0" t="s">
        <v>167</v>
      </c>
      <c r="N6368" s="0" t="n">
        <v>1913</v>
      </c>
      <c r="O6368" s="10" t="n">
        <v>0.149977426510304</v>
      </c>
      <c r="P6368" s="10" t="n">
        <v>0.298559809103608</v>
      </c>
      <c r="Q6368" s="0" t="str">
        <f aca="false">SUBSTITUTE(SUBSTITUTE($I6368,CHAR(61),""),CHAR(34),"")</f>
        <v>15-24</v>
      </c>
      <c r="R6368" s="0" t="str">
        <f aca="false">IF($D6368&lt;&gt;"","["&amp;$E6368&amp;"]"&amp;"|"&amp;$Q6368&amp;"|"&amp;$K6368&amp;"|"&amp;$G6368&amp;"|"&amp;IF($G6368="TX_CURR_SUBNAT.R","CY2022Q4",$M6368),"")</f>
        <v>[rpw540fmNUz]|15-24|Male|NEW_INFECTIONS_SUBNAT.T|CY2024Q3</v>
      </c>
    </row>
    <row r="6369" customFormat="false" ht="15" hidden="false" customHeight="false" outlineLevel="0" collapsed="false">
      <c r="D6369" s="0" t="s">
        <v>114</v>
      </c>
      <c r="E6369" s="0" t="s">
        <v>115</v>
      </c>
      <c r="F6369" s="0" t="s">
        <v>116</v>
      </c>
      <c r="G6369" s="0" t="s">
        <v>170</v>
      </c>
      <c r="H6369" s="0" t="s">
        <v>170</v>
      </c>
      <c r="I6369" s="0" t="s">
        <v>41</v>
      </c>
      <c r="J6369" s="0" t="s">
        <v>42</v>
      </c>
      <c r="K6369" s="0" t="s">
        <v>48</v>
      </c>
      <c r="L6369" s="0" t="s">
        <v>49</v>
      </c>
      <c r="M6369" s="0" t="s">
        <v>167</v>
      </c>
      <c r="N6369" s="0" t="n">
        <v>1278</v>
      </c>
      <c r="O6369" s="10" t="n">
        <v>0.218084298307076</v>
      </c>
      <c r="P6369" s="10" t="n">
        <v>0.298559809103608</v>
      </c>
      <c r="Q6369" s="0" t="str">
        <f aca="false">SUBSTITUTE(SUBSTITUTE($I6369,CHAR(61),""),CHAR(34),"")</f>
        <v>25-34</v>
      </c>
      <c r="R6369" s="0" t="str">
        <f aca="false">IF($D6369&lt;&gt;"","["&amp;$E6369&amp;"]"&amp;"|"&amp;$Q6369&amp;"|"&amp;$K6369&amp;"|"&amp;$G6369&amp;"|"&amp;IF($G6369="TX_CURR_SUBNAT.R","CY2022Q4",$M6369),"")</f>
        <v>[rpw540fmNUz]|25-34|Male|NEW_INFECTIONS_SUBNAT.T|CY2024Q3</v>
      </c>
    </row>
    <row r="6370" customFormat="false" ht="15" hidden="false" customHeight="false" outlineLevel="0" collapsed="false">
      <c r="D6370" s="0" t="s">
        <v>114</v>
      </c>
      <c r="E6370" s="0" t="s">
        <v>115</v>
      </c>
      <c r="F6370" s="0" t="s">
        <v>116</v>
      </c>
      <c r="G6370" s="0" t="s">
        <v>170</v>
      </c>
      <c r="H6370" s="0" t="s">
        <v>170</v>
      </c>
      <c r="I6370" s="0" t="s">
        <v>43</v>
      </c>
      <c r="J6370" s="0" t="s">
        <v>44</v>
      </c>
      <c r="K6370" s="0" t="s">
        <v>48</v>
      </c>
      <c r="L6370" s="0" t="s">
        <v>49</v>
      </c>
      <c r="M6370" s="0" t="s">
        <v>167</v>
      </c>
      <c r="N6370" s="0" t="n">
        <v>705</v>
      </c>
      <c r="O6370" s="10" t="n">
        <v>0.0595954686868936</v>
      </c>
      <c r="P6370" s="10" t="n">
        <v>0.298559809103608</v>
      </c>
      <c r="Q6370" s="0" t="str">
        <f aca="false">SUBSTITUTE(SUBSTITUTE($I6370,CHAR(61),""),CHAR(34),"")</f>
        <v>35-49</v>
      </c>
      <c r="R6370" s="0" t="str">
        <f aca="false">IF($D6370&lt;&gt;"","["&amp;$E6370&amp;"]"&amp;"|"&amp;$Q6370&amp;"|"&amp;$K6370&amp;"|"&amp;$G6370&amp;"|"&amp;IF($G6370="TX_CURR_SUBNAT.R","CY2022Q4",$M6370),"")</f>
        <v>[rpw540fmNUz]|35-49|Male|NEW_INFECTIONS_SUBNAT.T|CY2024Q3</v>
      </c>
    </row>
    <row r="6371" customFormat="false" ht="15" hidden="false" customHeight="false" outlineLevel="0" collapsed="false">
      <c r="D6371" s="0" t="s">
        <v>114</v>
      </c>
      <c r="E6371" s="0" t="s">
        <v>115</v>
      </c>
      <c r="F6371" s="0" t="s">
        <v>116</v>
      </c>
      <c r="G6371" s="0" t="s">
        <v>170</v>
      </c>
      <c r="H6371" s="0" t="s">
        <v>170</v>
      </c>
      <c r="I6371" s="0" t="s">
        <v>45</v>
      </c>
      <c r="J6371" s="0" t="s">
        <v>46</v>
      </c>
      <c r="K6371" s="0" t="s">
        <v>48</v>
      </c>
      <c r="L6371" s="0" t="s">
        <v>49</v>
      </c>
      <c r="M6371" s="0" t="s">
        <v>167</v>
      </c>
      <c r="N6371" s="0" t="n">
        <v>1168</v>
      </c>
      <c r="O6371" s="10" t="n">
        <v>0.95345883932896</v>
      </c>
      <c r="P6371" s="10" t="n">
        <v>0.298559809103608</v>
      </c>
      <c r="Q6371" s="0" t="str">
        <f aca="false">SUBSTITUTE(SUBSTITUTE($I6371,CHAR(61),""),CHAR(34),"")</f>
        <v>50+</v>
      </c>
      <c r="R6371" s="0" t="str">
        <f aca="false">IF($D6371&lt;&gt;"","["&amp;$E6371&amp;"]"&amp;"|"&amp;$Q6371&amp;"|"&amp;$K6371&amp;"|"&amp;$G6371&amp;"|"&amp;IF($G6371="TX_CURR_SUBNAT.R","CY2022Q4",$M6371),"")</f>
        <v>[rpw540fmNUz]|50+|Male|NEW_INFECTIONS_SUBNAT.T|CY2024Q3</v>
      </c>
    </row>
    <row r="6372" customFormat="false" ht="15" hidden="false" customHeight="false" outlineLevel="0" collapsed="false">
      <c r="D6372" s="0" t="s">
        <v>117</v>
      </c>
      <c r="E6372" s="0" t="s">
        <v>118</v>
      </c>
      <c r="F6372" s="0" t="s">
        <v>119</v>
      </c>
      <c r="G6372" s="0" t="s">
        <v>170</v>
      </c>
      <c r="H6372" s="0" t="s">
        <v>170</v>
      </c>
      <c r="I6372" s="0" t="s">
        <v>28</v>
      </c>
      <c r="J6372" s="0" t="s">
        <v>29</v>
      </c>
      <c r="K6372" s="0" t="s">
        <v>30</v>
      </c>
      <c r="L6372" s="0" t="s">
        <v>31</v>
      </c>
      <c r="M6372" s="0" t="s">
        <v>167</v>
      </c>
      <c r="N6372" s="0" t="n">
        <v>1699</v>
      </c>
      <c r="O6372" s="10" t="n">
        <v>0.193634019233286</v>
      </c>
      <c r="P6372" s="10" t="n">
        <v>0.206259709550068</v>
      </c>
      <c r="Q6372" s="0" t="str">
        <f aca="false">SUBSTITUTE(SUBSTITUTE($I6372,CHAR(61),""),CHAR(34),"")</f>
        <v>&lt;01</v>
      </c>
      <c r="R6372" s="0" t="str">
        <f aca="false">IF($D6372&lt;&gt;"","["&amp;$E6372&amp;"]"&amp;"|"&amp;$Q6372&amp;"|"&amp;$K6372&amp;"|"&amp;$G6372&amp;"|"&amp;IF($G6372="TX_CURR_SUBNAT.R","CY2022Q4",$M6372),"")</f>
        <v>[lPTyjLi4w3d]|&lt;01|Female|NEW_INFECTIONS_SUBNAT.T|CY2024Q3</v>
      </c>
    </row>
    <row r="6373" customFormat="false" ht="15" hidden="false" customHeight="false" outlineLevel="0" collapsed="false">
      <c r="D6373" s="0" t="s">
        <v>117</v>
      </c>
      <c r="E6373" s="0" t="s">
        <v>118</v>
      </c>
      <c r="F6373" s="0" t="s">
        <v>119</v>
      </c>
      <c r="G6373" s="0" t="s">
        <v>170</v>
      </c>
      <c r="H6373" s="0" t="s">
        <v>170</v>
      </c>
      <c r="I6373" s="0" t="s">
        <v>33</v>
      </c>
      <c r="J6373" s="0" t="s">
        <v>34</v>
      </c>
      <c r="K6373" s="0" t="s">
        <v>30</v>
      </c>
      <c r="L6373" s="0" t="s">
        <v>31</v>
      </c>
      <c r="M6373" s="0" t="s">
        <v>167</v>
      </c>
      <c r="N6373" s="0" t="n">
        <v>612</v>
      </c>
      <c r="O6373" s="10" t="n">
        <v>0.691708497935906</v>
      </c>
      <c r="P6373" s="10" t="n">
        <v>0.206259709550068</v>
      </c>
      <c r="Q6373" s="0" t="str">
        <f aca="false">SUBSTITUTE(SUBSTITUTE($I6373,CHAR(61),""),CHAR(34),"")</f>
        <v>01-09</v>
      </c>
      <c r="R6373" s="0" t="str">
        <f aca="false">IF($D6373&lt;&gt;"","["&amp;$E6373&amp;"]"&amp;"|"&amp;$Q6373&amp;"|"&amp;$K6373&amp;"|"&amp;$G6373&amp;"|"&amp;IF($G6373="TX_CURR_SUBNAT.R","CY2022Q4",$M6373),"")</f>
        <v>[lPTyjLi4w3d]|01-09|Female|NEW_INFECTIONS_SUBNAT.T|CY2024Q3</v>
      </c>
    </row>
    <row r="6374" customFormat="false" ht="15" hidden="false" customHeight="false" outlineLevel="0" collapsed="false">
      <c r="D6374" s="0" t="s">
        <v>117</v>
      </c>
      <c r="E6374" s="0" t="s">
        <v>118</v>
      </c>
      <c r="F6374" s="0" t="s">
        <v>119</v>
      </c>
      <c r="G6374" s="0" t="s">
        <v>170</v>
      </c>
      <c r="H6374" s="0" t="s">
        <v>170</v>
      </c>
      <c r="I6374" s="0" t="s">
        <v>36</v>
      </c>
      <c r="J6374" s="0" t="s">
        <v>37</v>
      </c>
      <c r="K6374" s="0" t="s">
        <v>30</v>
      </c>
      <c r="L6374" s="0" t="s">
        <v>31</v>
      </c>
      <c r="M6374" s="0" t="s">
        <v>167</v>
      </c>
      <c r="N6374" s="0" t="n">
        <v>501</v>
      </c>
      <c r="O6374" s="10" t="n">
        <v>0.553074334049597</v>
      </c>
      <c r="P6374" s="10" t="n">
        <v>0.206259709550068</v>
      </c>
      <c r="Q6374" s="0" t="str">
        <f aca="false">SUBSTITUTE(SUBSTITUTE($I6374,CHAR(61),""),CHAR(34),"")</f>
        <v>10-14</v>
      </c>
      <c r="R6374" s="0" t="str">
        <f aca="false">IF($D6374&lt;&gt;"","["&amp;$E6374&amp;"]"&amp;"|"&amp;$Q6374&amp;"|"&amp;$K6374&amp;"|"&amp;$G6374&amp;"|"&amp;IF($G6374="TX_CURR_SUBNAT.R","CY2022Q4",$M6374),"")</f>
        <v>[lPTyjLi4w3d]|10-14|Female|NEW_INFECTIONS_SUBNAT.T|CY2024Q3</v>
      </c>
    </row>
    <row r="6375" customFormat="false" ht="15" hidden="false" customHeight="false" outlineLevel="0" collapsed="false">
      <c r="D6375" s="0" t="s">
        <v>117</v>
      </c>
      <c r="E6375" s="0" t="s">
        <v>118</v>
      </c>
      <c r="F6375" s="0" t="s">
        <v>119</v>
      </c>
      <c r="G6375" s="0" t="s">
        <v>170</v>
      </c>
      <c r="H6375" s="0" t="s">
        <v>170</v>
      </c>
      <c r="I6375" s="0" t="s">
        <v>38</v>
      </c>
      <c r="J6375" s="0" t="s">
        <v>39</v>
      </c>
      <c r="K6375" s="0" t="s">
        <v>30</v>
      </c>
      <c r="L6375" s="0" t="s">
        <v>31</v>
      </c>
      <c r="M6375" s="0" t="s">
        <v>167</v>
      </c>
      <c r="N6375" s="0" t="n">
        <v>732</v>
      </c>
      <c r="O6375" s="10" t="n">
        <v>0.818025160813704</v>
      </c>
      <c r="P6375" s="10" t="n">
        <v>0.206259709550068</v>
      </c>
      <c r="Q6375" s="0" t="str">
        <f aca="false">SUBSTITUTE(SUBSTITUTE($I6375,CHAR(61),""),CHAR(34),"")</f>
        <v>15-24</v>
      </c>
      <c r="R6375" s="0" t="str">
        <f aca="false">IF($D6375&lt;&gt;"","["&amp;$E6375&amp;"]"&amp;"|"&amp;$Q6375&amp;"|"&amp;$K6375&amp;"|"&amp;$G6375&amp;"|"&amp;IF($G6375="TX_CURR_SUBNAT.R","CY2022Q4",$M6375),"")</f>
        <v>[lPTyjLi4w3d]|15-24|Female|NEW_INFECTIONS_SUBNAT.T|CY2024Q3</v>
      </c>
    </row>
    <row r="6376" customFormat="false" ht="15" hidden="false" customHeight="false" outlineLevel="0" collapsed="false">
      <c r="D6376" s="0" t="s">
        <v>117</v>
      </c>
      <c r="E6376" s="0" t="s">
        <v>118</v>
      </c>
      <c r="F6376" s="0" t="s">
        <v>119</v>
      </c>
      <c r="G6376" s="0" t="s">
        <v>170</v>
      </c>
      <c r="H6376" s="0" t="s">
        <v>170</v>
      </c>
      <c r="I6376" s="0" t="s">
        <v>41</v>
      </c>
      <c r="J6376" s="0" t="s">
        <v>42</v>
      </c>
      <c r="K6376" s="0" t="s">
        <v>30</v>
      </c>
      <c r="L6376" s="0" t="s">
        <v>31</v>
      </c>
      <c r="M6376" s="0" t="s">
        <v>167</v>
      </c>
      <c r="N6376" s="0" t="n">
        <v>627</v>
      </c>
      <c r="O6376" s="10" t="n">
        <v>0.245382564375177</v>
      </c>
      <c r="P6376" s="10" t="n">
        <v>0.206259709550068</v>
      </c>
      <c r="Q6376" s="0" t="str">
        <f aca="false">SUBSTITUTE(SUBSTITUTE($I6376,CHAR(61),""),CHAR(34),"")</f>
        <v>25-34</v>
      </c>
      <c r="R6376" s="0" t="str">
        <f aca="false">IF($D6376&lt;&gt;"","["&amp;$E6376&amp;"]"&amp;"|"&amp;$Q6376&amp;"|"&amp;$K6376&amp;"|"&amp;$G6376&amp;"|"&amp;IF($G6376="TX_CURR_SUBNAT.R","CY2022Q4",$M6376),"")</f>
        <v>[lPTyjLi4w3d]|25-34|Female|NEW_INFECTIONS_SUBNAT.T|CY2024Q3</v>
      </c>
    </row>
    <row r="6377" customFormat="false" ht="15" hidden="false" customHeight="false" outlineLevel="0" collapsed="false">
      <c r="D6377" s="0" t="s">
        <v>117</v>
      </c>
      <c r="E6377" s="0" t="s">
        <v>118</v>
      </c>
      <c r="F6377" s="0" t="s">
        <v>119</v>
      </c>
      <c r="G6377" s="0" t="s">
        <v>170</v>
      </c>
      <c r="H6377" s="0" t="s">
        <v>170</v>
      </c>
      <c r="I6377" s="0" t="s">
        <v>43</v>
      </c>
      <c r="J6377" s="0" t="s">
        <v>44</v>
      </c>
      <c r="K6377" s="0" t="s">
        <v>30</v>
      </c>
      <c r="L6377" s="0" t="s">
        <v>31</v>
      </c>
      <c r="M6377" s="0" t="s">
        <v>167</v>
      </c>
      <c r="N6377" s="0" t="n">
        <v>1950</v>
      </c>
      <c r="O6377" s="10" t="n">
        <v>0.293212223332375</v>
      </c>
      <c r="P6377" s="10" t="n">
        <v>0.206259709550068</v>
      </c>
      <c r="Q6377" s="0" t="str">
        <f aca="false">SUBSTITUTE(SUBSTITUTE($I6377,CHAR(61),""),CHAR(34),"")</f>
        <v>35-49</v>
      </c>
      <c r="R6377" s="0" t="str">
        <f aca="false">IF($D6377&lt;&gt;"","["&amp;$E6377&amp;"]"&amp;"|"&amp;$Q6377&amp;"|"&amp;$K6377&amp;"|"&amp;$G6377&amp;"|"&amp;IF($G6377="TX_CURR_SUBNAT.R","CY2022Q4",$M6377),"")</f>
        <v>[lPTyjLi4w3d]|35-49|Female|NEW_INFECTIONS_SUBNAT.T|CY2024Q3</v>
      </c>
    </row>
    <row r="6378" customFormat="false" ht="15" hidden="false" customHeight="false" outlineLevel="0" collapsed="false">
      <c r="D6378" s="0" t="s">
        <v>117</v>
      </c>
      <c r="E6378" s="0" t="s">
        <v>118</v>
      </c>
      <c r="F6378" s="0" t="s">
        <v>119</v>
      </c>
      <c r="G6378" s="0" t="s">
        <v>170</v>
      </c>
      <c r="H6378" s="0" t="s">
        <v>170</v>
      </c>
      <c r="I6378" s="0" t="s">
        <v>45</v>
      </c>
      <c r="J6378" s="0" t="s">
        <v>46</v>
      </c>
      <c r="K6378" s="0" t="s">
        <v>30</v>
      </c>
      <c r="L6378" s="0" t="s">
        <v>31</v>
      </c>
      <c r="M6378" s="0" t="s">
        <v>167</v>
      </c>
      <c r="N6378" s="0" t="n">
        <v>834</v>
      </c>
      <c r="O6378" s="10" t="n">
        <v>0.128361836774275</v>
      </c>
      <c r="P6378" s="10" t="n">
        <v>0.206259709550068</v>
      </c>
      <c r="Q6378" s="0" t="str">
        <f aca="false">SUBSTITUTE(SUBSTITUTE($I6378,CHAR(61),""),CHAR(34),"")</f>
        <v>50+</v>
      </c>
      <c r="R6378" s="0" t="str">
        <f aca="false">IF($D6378&lt;&gt;"","["&amp;$E6378&amp;"]"&amp;"|"&amp;$Q6378&amp;"|"&amp;$K6378&amp;"|"&amp;$G6378&amp;"|"&amp;IF($G6378="TX_CURR_SUBNAT.R","CY2022Q4",$M6378),"")</f>
        <v>[lPTyjLi4w3d]|50+|Female|NEW_INFECTIONS_SUBNAT.T|CY2024Q3</v>
      </c>
    </row>
    <row r="6379" customFormat="false" ht="15" hidden="false" customHeight="false" outlineLevel="0" collapsed="false">
      <c r="D6379" s="0" t="s">
        <v>117</v>
      </c>
      <c r="E6379" s="0" t="s">
        <v>118</v>
      </c>
      <c r="F6379" s="0" t="s">
        <v>119</v>
      </c>
      <c r="G6379" s="0" t="s">
        <v>170</v>
      </c>
      <c r="H6379" s="0" t="s">
        <v>170</v>
      </c>
      <c r="I6379" s="0" t="s">
        <v>28</v>
      </c>
      <c r="J6379" s="0" t="s">
        <v>29</v>
      </c>
      <c r="K6379" s="0" t="s">
        <v>48</v>
      </c>
      <c r="L6379" s="0" t="s">
        <v>49</v>
      </c>
      <c r="M6379" s="0" t="s">
        <v>167</v>
      </c>
      <c r="N6379" s="0" t="n">
        <v>1298</v>
      </c>
      <c r="O6379" s="10" t="n">
        <v>0.544362942920998</v>
      </c>
      <c r="P6379" s="10" t="n">
        <v>0.206259709550068</v>
      </c>
      <c r="Q6379" s="0" t="str">
        <f aca="false">SUBSTITUTE(SUBSTITUTE($I6379,CHAR(61),""),CHAR(34),"")</f>
        <v>&lt;01</v>
      </c>
      <c r="R6379" s="0" t="str">
        <f aca="false">IF($D6379&lt;&gt;"","["&amp;$E6379&amp;"]"&amp;"|"&amp;$Q6379&amp;"|"&amp;$K6379&amp;"|"&amp;$G6379&amp;"|"&amp;IF($G6379="TX_CURR_SUBNAT.R","CY2022Q4",$M6379),"")</f>
        <v>[lPTyjLi4w3d]|&lt;01|Male|NEW_INFECTIONS_SUBNAT.T|CY2024Q3</v>
      </c>
    </row>
    <row r="6380" customFormat="false" ht="15" hidden="false" customHeight="false" outlineLevel="0" collapsed="false">
      <c r="D6380" s="0" t="s">
        <v>117</v>
      </c>
      <c r="E6380" s="0" t="s">
        <v>118</v>
      </c>
      <c r="F6380" s="0" t="s">
        <v>119</v>
      </c>
      <c r="G6380" s="0" t="s">
        <v>170</v>
      </c>
      <c r="H6380" s="0" t="s">
        <v>170</v>
      </c>
      <c r="I6380" s="0" t="s">
        <v>33</v>
      </c>
      <c r="J6380" s="0" t="s">
        <v>34</v>
      </c>
      <c r="K6380" s="0" t="s">
        <v>48</v>
      </c>
      <c r="L6380" s="0" t="s">
        <v>49</v>
      </c>
      <c r="M6380" s="0" t="s">
        <v>167</v>
      </c>
      <c r="N6380" s="0" t="n">
        <v>1898</v>
      </c>
      <c r="O6380" s="10" t="n">
        <v>0.00742974667809904</v>
      </c>
      <c r="P6380" s="10" t="n">
        <v>0.206259709550068</v>
      </c>
      <c r="Q6380" s="0" t="str">
        <f aca="false">SUBSTITUTE(SUBSTITUTE($I6380,CHAR(61),""),CHAR(34),"")</f>
        <v>01-09</v>
      </c>
      <c r="R6380" s="0" t="str">
        <f aca="false">IF($D6380&lt;&gt;"","["&amp;$E6380&amp;"]"&amp;"|"&amp;$Q6380&amp;"|"&amp;$K6380&amp;"|"&amp;$G6380&amp;"|"&amp;IF($G6380="TX_CURR_SUBNAT.R","CY2022Q4",$M6380),"")</f>
        <v>[lPTyjLi4w3d]|01-09|Male|NEW_INFECTIONS_SUBNAT.T|CY2024Q3</v>
      </c>
    </row>
    <row r="6381" customFormat="false" ht="15" hidden="false" customHeight="false" outlineLevel="0" collapsed="false">
      <c r="D6381" s="0" t="s">
        <v>117</v>
      </c>
      <c r="E6381" s="0" t="s">
        <v>118</v>
      </c>
      <c r="F6381" s="0" t="s">
        <v>119</v>
      </c>
      <c r="G6381" s="0" t="s">
        <v>170</v>
      </c>
      <c r="H6381" s="0" t="s">
        <v>170</v>
      </c>
      <c r="I6381" s="0" t="s">
        <v>36</v>
      </c>
      <c r="J6381" s="0" t="s">
        <v>37</v>
      </c>
      <c r="K6381" s="0" t="s">
        <v>48</v>
      </c>
      <c r="L6381" s="0" t="s">
        <v>49</v>
      </c>
      <c r="M6381" s="0" t="s">
        <v>167</v>
      </c>
      <c r="N6381" s="0" t="n">
        <v>1562</v>
      </c>
      <c r="O6381" s="10" t="n">
        <v>0.659912052098662</v>
      </c>
      <c r="P6381" s="10" t="n">
        <v>0.206259709550068</v>
      </c>
      <c r="Q6381" s="0" t="str">
        <f aca="false">SUBSTITUTE(SUBSTITUTE($I6381,CHAR(61),""),CHAR(34),"")</f>
        <v>10-14</v>
      </c>
      <c r="R6381" s="0" t="str">
        <f aca="false">IF($D6381&lt;&gt;"","["&amp;$E6381&amp;"]"&amp;"|"&amp;$Q6381&amp;"|"&amp;$K6381&amp;"|"&amp;$G6381&amp;"|"&amp;IF($G6381="TX_CURR_SUBNAT.R","CY2022Q4",$M6381),"")</f>
        <v>[lPTyjLi4w3d]|10-14|Male|NEW_INFECTIONS_SUBNAT.T|CY2024Q3</v>
      </c>
    </row>
    <row r="6382" customFormat="false" ht="15" hidden="false" customHeight="false" outlineLevel="0" collapsed="false">
      <c r="D6382" s="0" t="s">
        <v>117</v>
      </c>
      <c r="E6382" s="0" t="s">
        <v>118</v>
      </c>
      <c r="F6382" s="0" t="s">
        <v>119</v>
      </c>
      <c r="G6382" s="0" t="s">
        <v>170</v>
      </c>
      <c r="H6382" s="0" t="s">
        <v>170</v>
      </c>
      <c r="I6382" s="0" t="s">
        <v>38</v>
      </c>
      <c r="J6382" s="0" t="s">
        <v>39</v>
      </c>
      <c r="K6382" s="0" t="s">
        <v>48</v>
      </c>
      <c r="L6382" s="0" t="s">
        <v>49</v>
      </c>
      <c r="M6382" s="0" t="s">
        <v>167</v>
      </c>
      <c r="N6382" s="0" t="n">
        <v>742</v>
      </c>
      <c r="O6382" s="10" t="n">
        <v>0.716744471807033</v>
      </c>
      <c r="P6382" s="10" t="n">
        <v>0.206259709550068</v>
      </c>
      <c r="Q6382" s="0" t="str">
        <f aca="false">SUBSTITUTE(SUBSTITUTE($I6382,CHAR(61),""),CHAR(34),"")</f>
        <v>15-24</v>
      </c>
      <c r="R6382" s="0" t="str">
        <f aca="false">IF($D6382&lt;&gt;"","["&amp;$E6382&amp;"]"&amp;"|"&amp;$Q6382&amp;"|"&amp;$K6382&amp;"|"&amp;$G6382&amp;"|"&amp;IF($G6382="TX_CURR_SUBNAT.R","CY2022Q4",$M6382),"")</f>
        <v>[lPTyjLi4w3d]|15-24|Male|NEW_INFECTIONS_SUBNAT.T|CY2024Q3</v>
      </c>
    </row>
    <row r="6383" customFormat="false" ht="15" hidden="false" customHeight="false" outlineLevel="0" collapsed="false">
      <c r="D6383" s="0" t="s">
        <v>117</v>
      </c>
      <c r="E6383" s="0" t="s">
        <v>118</v>
      </c>
      <c r="F6383" s="0" t="s">
        <v>119</v>
      </c>
      <c r="G6383" s="0" t="s">
        <v>170</v>
      </c>
      <c r="H6383" s="0" t="s">
        <v>170</v>
      </c>
      <c r="I6383" s="0" t="s">
        <v>41</v>
      </c>
      <c r="J6383" s="0" t="s">
        <v>42</v>
      </c>
      <c r="K6383" s="0" t="s">
        <v>48</v>
      </c>
      <c r="L6383" s="0" t="s">
        <v>49</v>
      </c>
      <c r="M6383" s="0" t="s">
        <v>167</v>
      </c>
      <c r="N6383" s="0" t="n">
        <v>1092</v>
      </c>
      <c r="O6383" s="10" t="n">
        <v>0.574576180893928</v>
      </c>
      <c r="P6383" s="10" t="n">
        <v>0.206259709550068</v>
      </c>
      <c r="Q6383" s="0" t="str">
        <f aca="false">SUBSTITUTE(SUBSTITUTE($I6383,CHAR(61),""),CHAR(34),"")</f>
        <v>25-34</v>
      </c>
      <c r="R6383" s="0" t="str">
        <f aca="false">IF($D6383&lt;&gt;"","["&amp;$E6383&amp;"]"&amp;"|"&amp;$Q6383&amp;"|"&amp;$K6383&amp;"|"&amp;$G6383&amp;"|"&amp;IF($G6383="TX_CURR_SUBNAT.R","CY2022Q4",$M6383),"")</f>
        <v>[lPTyjLi4w3d]|25-34|Male|NEW_INFECTIONS_SUBNAT.T|CY2024Q3</v>
      </c>
    </row>
    <row r="6384" customFormat="false" ht="15" hidden="false" customHeight="false" outlineLevel="0" collapsed="false">
      <c r="D6384" s="0" t="s">
        <v>117</v>
      </c>
      <c r="E6384" s="0" t="s">
        <v>118</v>
      </c>
      <c r="F6384" s="0" t="s">
        <v>119</v>
      </c>
      <c r="G6384" s="0" t="s">
        <v>170</v>
      </c>
      <c r="H6384" s="0" t="s">
        <v>170</v>
      </c>
      <c r="I6384" s="0" t="s">
        <v>43</v>
      </c>
      <c r="J6384" s="0" t="s">
        <v>44</v>
      </c>
      <c r="K6384" s="0" t="s">
        <v>48</v>
      </c>
      <c r="L6384" s="0" t="s">
        <v>49</v>
      </c>
      <c r="M6384" s="0" t="s">
        <v>167</v>
      </c>
      <c r="N6384" s="0" t="n">
        <v>951</v>
      </c>
      <c r="O6384" s="10" t="n">
        <v>0.778986845165491</v>
      </c>
      <c r="P6384" s="10" t="n">
        <v>0.206259709550068</v>
      </c>
      <c r="Q6384" s="0" t="str">
        <f aca="false">SUBSTITUTE(SUBSTITUTE($I6384,CHAR(61),""),CHAR(34),"")</f>
        <v>35-49</v>
      </c>
      <c r="R6384" s="0" t="str">
        <f aca="false">IF($D6384&lt;&gt;"","["&amp;$E6384&amp;"]"&amp;"|"&amp;$Q6384&amp;"|"&amp;$K6384&amp;"|"&amp;$G6384&amp;"|"&amp;IF($G6384="TX_CURR_SUBNAT.R","CY2022Q4",$M6384),"")</f>
        <v>[lPTyjLi4w3d]|35-49|Male|NEW_INFECTIONS_SUBNAT.T|CY2024Q3</v>
      </c>
    </row>
    <row r="6385" customFormat="false" ht="15" hidden="false" customHeight="false" outlineLevel="0" collapsed="false">
      <c r="D6385" s="0" t="s">
        <v>117</v>
      </c>
      <c r="E6385" s="0" t="s">
        <v>118</v>
      </c>
      <c r="F6385" s="0" t="s">
        <v>119</v>
      </c>
      <c r="G6385" s="0" t="s">
        <v>170</v>
      </c>
      <c r="H6385" s="0" t="s">
        <v>170</v>
      </c>
      <c r="I6385" s="0" t="s">
        <v>45</v>
      </c>
      <c r="J6385" s="0" t="s">
        <v>46</v>
      </c>
      <c r="K6385" s="0" t="s">
        <v>48</v>
      </c>
      <c r="L6385" s="0" t="s">
        <v>49</v>
      </c>
      <c r="M6385" s="0" t="s">
        <v>167</v>
      </c>
      <c r="N6385" s="0" t="n">
        <v>1946</v>
      </c>
      <c r="O6385" s="10" t="n">
        <v>0.770849811378866</v>
      </c>
      <c r="P6385" s="10" t="n">
        <v>0.206259709550068</v>
      </c>
      <c r="Q6385" s="0" t="str">
        <f aca="false">SUBSTITUTE(SUBSTITUTE($I6385,CHAR(61),""),CHAR(34),"")</f>
        <v>50+</v>
      </c>
      <c r="R6385" s="0" t="str">
        <f aca="false">IF($D6385&lt;&gt;"","["&amp;$E6385&amp;"]"&amp;"|"&amp;$Q6385&amp;"|"&amp;$K6385&amp;"|"&amp;$G6385&amp;"|"&amp;IF($G6385="TX_CURR_SUBNAT.R","CY2022Q4",$M6385),"")</f>
        <v>[lPTyjLi4w3d]|50+|Male|NEW_INFECTIONS_SUBNAT.T|CY2024Q3</v>
      </c>
    </row>
    <row r="6386" customFormat="false" ht="15" hidden="false" customHeight="false" outlineLevel="0" collapsed="false">
      <c r="D6386" s="0" t="s">
        <v>120</v>
      </c>
      <c r="E6386" s="0" t="s">
        <v>121</v>
      </c>
      <c r="F6386" s="0" t="s">
        <v>122</v>
      </c>
      <c r="G6386" s="0" t="s">
        <v>170</v>
      </c>
      <c r="H6386" s="0" t="s">
        <v>170</v>
      </c>
      <c r="I6386" s="0" t="s">
        <v>28</v>
      </c>
      <c r="J6386" s="0" t="s">
        <v>29</v>
      </c>
      <c r="K6386" s="0" t="s">
        <v>30</v>
      </c>
      <c r="L6386" s="0" t="s">
        <v>31</v>
      </c>
      <c r="M6386" s="0" t="s">
        <v>167</v>
      </c>
      <c r="N6386" s="0" t="n">
        <v>1240</v>
      </c>
      <c r="O6386" s="10" t="n">
        <v>0.0911382839549333</v>
      </c>
      <c r="P6386" s="10" t="n">
        <v>0.430103979306296</v>
      </c>
      <c r="Q6386" s="0" t="str">
        <f aca="false">SUBSTITUTE(SUBSTITUTE($I6386,CHAR(61),""),CHAR(34),"")</f>
        <v>&lt;01</v>
      </c>
      <c r="R6386" s="0" t="str">
        <f aca="false">IF($D6386&lt;&gt;"","["&amp;$E6386&amp;"]"&amp;"|"&amp;$Q6386&amp;"|"&amp;$K6386&amp;"|"&amp;$G6386&amp;"|"&amp;IF($G6386="TX_CURR_SUBNAT.R","CY2022Q4",$M6386),"")</f>
        <v>[vA4NcHxfMBq]|&lt;01|Female|NEW_INFECTIONS_SUBNAT.T|CY2024Q3</v>
      </c>
    </row>
    <row r="6387" customFormat="false" ht="15" hidden="false" customHeight="false" outlineLevel="0" collapsed="false">
      <c r="D6387" s="0" t="s">
        <v>120</v>
      </c>
      <c r="E6387" s="0" t="s">
        <v>121</v>
      </c>
      <c r="F6387" s="0" t="s">
        <v>122</v>
      </c>
      <c r="G6387" s="0" t="s">
        <v>170</v>
      </c>
      <c r="H6387" s="0" t="s">
        <v>170</v>
      </c>
      <c r="I6387" s="0" t="s">
        <v>33</v>
      </c>
      <c r="J6387" s="0" t="s">
        <v>34</v>
      </c>
      <c r="K6387" s="0" t="s">
        <v>30</v>
      </c>
      <c r="L6387" s="0" t="s">
        <v>31</v>
      </c>
      <c r="M6387" s="0" t="s">
        <v>167</v>
      </c>
      <c r="N6387" s="0" t="n">
        <v>545</v>
      </c>
      <c r="O6387" s="10" t="n">
        <v>0.711799046723172</v>
      </c>
      <c r="P6387" s="10" t="n">
        <v>0.430103979306296</v>
      </c>
      <c r="Q6387" s="0" t="str">
        <f aca="false">SUBSTITUTE(SUBSTITUTE($I6387,CHAR(61),""),CHAR(34),"")</f>
        <v>01-09</v>
      </c>
      <c r="R6387" s="0" t="str">
        <f aca="false">IF($D6387&lt;&gt;"","["&amp;$E6387&amp;"]"&amp;"|"&amp;$Q6387&amp;"|"&amp;$K6387&amp;"|"&amp;$G6387&amp;"|"&amp;IF($G6387="TX_CURR_SUBNAT.R","CY2022Q4",$M6387),"")</f>
        <v>[vA4NcHxfMBq]|01-09|Female|NEW_INFECTIONS_SUBNAT.T|CY2024Q3</v>
      </c>
    </row>
    <row r="6388" customFormat="false" ht="15" hidden="false" customHeight="false" outlineLevel="0" collapsed="false">
      <c r="D6388" s="0" t="s">
        <v>120</v>
      </c>
      <c r="E6388" s="0" t="s">
        <v>121</v>
      </c>
      <c r="F6388" s="0" t="s">
        <v>122</v>
      </c>
      <c r="G6388" s="0" t="s">
        <v>170</v>
      </c>
      <c r="H6388" s="0" t="s">
        <v>170</v>
      </c>
      <c r="I6388" s="0" t="s">
        <v>36</v>
      </c>
      <c r="J6388" s="0" t="s">
        <v>37</v>
      </c>
      <c r="K6388" s="0" t="s">
        <v>30</v>
      </c>
      <c r="L6388" s="0" t="s">
        <v>31</v>
      </c>
      <c r="M6388" s="0" t="s">
        <v>167</v>
      </c>
      <c r="N6388" s="0" t="n">
        <v>1138</v>
      </c>
      <c r="O6388" s="10" t="n">
        <v>0.573419633787125</v>
      </c>
      <c r="P6388" s="10" t="n">
        <v>0.430103979306296</v>
      </c>
      <c r="Q6388" s="0" t="str">
        <f aca="false">SUBSTITUTE(SUBSTITUTE($I6388,CHAR(61),""),CHAR(34),"")</f>
        <v>10-14</v>
      </c>
      <c r="R6388" s="0" t="str">
        <f aca="false">IF($D6388&lt;&gt;"","["&amp;$E6388&amp;"]"&amp;"|"&amp;$Q6388&amp;"|"&amp;$K6388&amp;"|"&amp;$G6388&amp;"|"&amp;IF($G6388="TX_CURR_SUBNAT.R","CY2022Q4",$M6388),"")</f>
        <v>[vA4NcHxfMBq]|10-14|Female|NEW_INFECTIONS_SUBNAT.T|CY2024Q3</v>
      </c>
    </row>
    <row r="6389" customFormat="false" ht="15" hidden="false" customHeight="false" outlineLevel="0" collapsed="false">
      <c r="D6389" s="0" t="s">
        <v>120</v>
      </c>
      <c r="E6389" s="0" t="s">
        <v>121</v>
      </c>
      <c r="F6389" s="0" t="s">
        <v>122</v>
      </c>
      <c r="G6389" s="0" t="s">
        <v>170</v>
      </c>
      <c r="H6389" s="0" t="s">
        <v>170</v>
      </c>
      <c r="I6389" s="0" t="s">
        <v>38</v>
      </c>
      <c r="J6389" s="0" t="s">
        <v>39</v>
      </c>
      <c r="K6389" s="0" t="s">
        <v>30</v>
      </c>
      <c r="L6389" s="0" t="s">
        <v>31</v>
      </c>
      <c r="M6389" s="0" t="s">
        <v>167</v>
      </c>
      <c r="N6389" s="0" t="n">
        <v>1122</v>
      </c>
      <c r="O6389" s="10" t="n">
        <v>0.656262701842934</v>
      </c>
      <c r="P6389" s="10" t="n">
        <v>0.430103979306296</v>
      </c>
      <c r="Q6389" s="0" t="str">
        <f aca="false">SUBSTITUTE(SUBSTITUTE($I6389,CHAR(61),""),CHAR(34),"")</f>
        <v>15-24</v>
      </c>
      <c r="R6389" s="0" t="str">
        <f aca="false">IF($D6389&lt;&gt;"","["&amp;$E6389&amp;"]"&amp;"|"&amp;$Q6389&amp;"|"&amp;$K6389&amp;"|"&amp;$G6389&amp;"|"&amp;IF($G6389="TX_CURR_SUBNAT.R","CY2022Q4",$M6389),"")</f>
        <v>[vA4NcHxfMBq]|15-24|Female|NEW_INFECTIONS_SUBNAT.T|CY2024Q3</v>
      </c>
    </row>
    <row r="6390" customFormat="false" ht="15" hidden="false" customHeight="false" outlineLevel="0" collapsed="false">
      <c r="D6390" s="0" t="s">
        <v>120</v>
      </c>
      <c r="E6390" s="0" t="s">
        <v>121</v>
      </c>
      <c r="F6390" s="0" t="s">
        <v>122</v>
      </c>
      <c r="G6390" s="0" t="s">
        <v>170</v>
      </c>
      <c r="H6390" s="0" t="s">
        <v>170</v>
      </c>
      <c r="I6390" s="0" t="s">
        <v>41</v>
      </c>
      <c r="J6390" s="0" t="s">
        <v>42</v>
      </c>
      <c r="K6390" s="0" t="s">
        <v>30</v>
      </c>
      <c r="L6390" s="0" t="s">
        <v>31</v>
      </c>
      <c r="M6390" s="0" t="s">
        <v>167</v>
      </c>
      <c r="N6390" s="0" t="n">
        <v>564</v>
      </c>
      <c r="O6390" s="10" t="n">
        <v>0.167592590209097</v>
      </c>
      <c r="P6390" s="10" t="n">
        <v>0.430103979306296</v>
      </c>
      <c r="Q6390" s="0" t="str">
        <f aca="false">SUBSTITUTE(SUBSTITUTE($I6390,CHAR(61),""),CHAR(34),"")</f>
        <v>25-34</v>
      </c>
      <c r="R6390" s="0" t="str">
        <f aca="false">IF($D6390&lt;&gt;"","["&amp;$E6390&amp;"]"&amp;"|"&amp;$Q6390&amp;"|"&amp;$K6390&amp;"|"&amp;$G6390&amp;"|"&amp;IF($G6390="TX_CURR_SUBNAT.R","CY2022Q4",$M6390),"")</f>
        <v>[vA4NcHxfMBq]|25-34|Female|NEW_INFECTIONS_SUBNAT.T|CY2024Q3</v>
      </c>
    </row>
    <row r="6391" customFormat="false" ht="15" hidden="false" customHeight="false" outlineLevel="0" collapsed="false">
      <c r="D6391" s="0" t="s">
        <v>120</v>
      </c>
      <c r="E6391" s="0" t="s">
        <v>121</v>
      </c>
      <c r="F6391" s="0" t="s">
        <v>122</v>
      </c>
      <c r="G6391" s="0" t="s">
        <v>170</v>
      </c>
      <c r="H6391" s="0" t="s">
        <v>170</v>
      </c>
      <c r="I6391" s="0" t="s">
        <v>43</v>
      </c>
      <c r="J6391" s="0" t="s">
        <v>44</v>
      </c>
      <c r="K6391" s="0" t="s">
        <v>30</v>
      </c>
      <c r="L6391" s="0" t="s">
        <v>31</v>
      </c>
      <c r="M6391" s="0" t="s">
        <v>167</v>
      </c>
      <c r="N6391" s="0" t="n">
        <v>1446</v>
      </c>
      <c r="O6391" s="10" t="n">
        <v>0.995130836963654</v>
      </c>
      <c r="P6391" s="10" t="n">
        <v>0.430103979306296</v>
      </c>
      <c r="Q6391" s="0" t="str">
        <f aca="false">SUBSTITUTE(SUBSTITUTE($I6391,CHAR(61),""),CHAR(34),"")</f>
        <v>35-49</v>
      </c>
      <c r="R6391" s="0" t="str">
        <f aca="false">IF($D6391&lt;&gt;"","["&amp;$E6391&amp;"]"&amp;"|"&amp;$Q6391&amp;"|"&amp;$K6391&amp;"|"&amp;$G6391&amp;"|"&amp;IF($G6391="TX_CURR_SUBNAT.R","CY2022Q4",$M6391),"")</f>
        <v>[vA4NcHxfMBq]|35-49|Female|NEW_INFECTIONS_SUBNAT.T|CY2024Q3</v>
      </c>
    </row>
    <row r="6392" customFormat="false" ht="15" hidden="false" customHeight="false" outlineLevel="0" collapsed="false">
      <c r="D6392" s="0" t="s">
        <v>120</v>
      </c>
      <c r="E6392" s="0" t="s">
        <v>121</v>
      </c>
      <c r="F6392" s="0" t="s">
        <v>122</v>
      </c>
      <c r="G6392" s="0" t="s">
        <v>170</v>
      </c>
      <c r="H6392" s="0" t="s">
        <v>170</v>
      </c>
      <c r="I6392" s="0" t="s">
        <v>45</v>
      </c>
      <c r="J6392" s="0" t="s">
        <v>46</v>
      </c>
      <c r="K6392" s="0" t="s">
        <v>30</v>
      </c>
      <c r="L6392" s="0" t="s">
        <v>31</v>
      </c>
      <c r="M6392" s="0" t="s">
        <v>167</v>
      </c>
      <c r="N6392" s="0" t="n">
        <v>960</v>
      </c>
      <c r="O6392" s="10" t="n">
        <v>0.631458626827225</v>
      </c>
      <c r="P6392" s="10" t="n">
        <v>0.430103979306296</v>
      </c>
      <c r="Q6392" s="0" t="str">
        <f aca="false">SUBSTITUTE(SUBSTITUTE($I6392,CHAR(61),""),CHAR(34),"")</f>
        <v>50+</v>
      </c>
      <c r="R6392" s="0" t="str">
        <f aca="false">IF($D6392&lt;&gt;"","["&amp;$E6392&amp;"]"&amp;"|"&amp;$Q6392&amp;"|"&amp;$K6392&amp;"|"&amp;$G6392&amp;"|"&amp;IF($G6392="TX_CURR_SUBNAT.R","CY2022Q4",$M6392),"")</f>
        <v>[vA4NcHxfMBq]|50+|Female|NEW_INFECTIONS_SUBNAT.T|CY2024Q3</v>
      </c>
    </row>
    <row r="6393" customFormat="false" ht="15" hidden="false" customHeight="false" outlineLevel="0" collapsed="false">
      <c r="D6393" s="0" t="s">
        <v>120</v>
      </c>
      <c r="E6393" s="0" t="s">
        <v>121</v>
      </c>
      <c r="F6393" s="0" t="s">
        <v>122</v>
      </c>
      <c r="G6393" s="0" t="s">
        <v>170</v>
      </c>
      <c r="H6393" s="0" t="s">
        <v>170</v>
      </c>
      <c r="I6393" s="0" t="s">
        <v>28</v>
      </c>
      <c r="J6393" s="0" t="s">
        <v>29</v>
      </c>
      <c r="K6393" s="0" t="s">
        <v>48</v>
      </c>
      <c r="L6393" s="0" t="s">
        <v>49</v>
      </c>
      <c r="M6393" s="0" t="s">
        <v>167</v>
      </c>
      <c r="N6393" s="0" t="n">
        <v>1281</v>
      </c>
      <c r="O6393" s="10" t="n">
        <v>0.896964739309624</v>
      </c>
      <c r="P6393" s="10" t="n">
        <v>0.430103979306296</v>
      </c>
      <c r="Q6393" s="0" t="str">
        <f aca="false">SUBSTITUTE(SUBSTITUTE($I6393,CHAR(61),""),CHAR(34),"")</f>
        <v>&lt;01</v>
      </c>
      <c r="R6393" s="0" t="str">
        <f aca="false">IF($D6393&lt;&gt;"","["&amp;$E6393&amp;"]"&amp;"|"&amp;$Q6393&amp;"|"&amp;$K6393&amp;"|"&amp;$G6393&amp;"|"&amp;IF($G6393="TX_CURR_SUBNAT.R","CY2022Q4",$M6393),"")</f>
        <v>[vA4NcHxfMBq]|&lt;01|Male|NEW_INFECTIONS_SUBNAT.T|CY2024Q3</v>
      </c>
    </row>
    <row r="6394" customFormat="false" ht="15" hidden="false" customHeight="false" outlineLevel="0" collapsed="false">
      <c r="D6394" s="0" t="s">
        <v>120</v>
      </c>
      <c r="E6394" s="0" t="s">
        <v>121</v>
      </c>
      <c r="F6394" s="0" t="s">
        <v>122</v>
      </c>
      <c r="G6394" s="0" t="s">
        <v>170</v>
      </c>
      <c r="H6394" s="0" t="s">
        <v>170</v>
      </c>
      <c r="I6394" s="0" t="s">
        <v>33</v>
      </c>
      <c r="J6394" s="0" t="s">
        <v>34</v>
      </c>
      <c r="K6394" s="0" t="s">
        <v>48</v>
      </c>
      <c r="L6394" s="0" t="s">
        <v>49</v>
      </c>
      <c r="M6394" s="0" t="s">
        <v>167</v>
      </c>
      <c r="N6394" s="0" t="n">
        <v>929</v>
      </c>
      <c r="O6394" s="10" t="n">
        <v>0.585703727323562</v>
      </c>
      <c r="P6394" s="10" t="n">
        <v>0.430103979306296</v>
      </c>
      <c r="Q6394" s="0" t="str">
        <f aca="false">SUBSTITUTE(SUBSTITUTE($I6394,CHAR(61),""),CHAR(34),"")</f>
        <v>01-09</v>
      </c>
      <c r="R6394" s="0" t="str">
        <f aca="false">IF($D6394&lt;&gt;"","["&amp;$E6394&amp;"]"&amp;"|"&amp;$Q6394&amp;"|"&amp;$K6394&amp;"|"&amp;$G6394&amp;"|"&amp;IF($G6394="TX_CURR_SUBNAT.R","CY2022Q4",$M6394),"")</f>
        <v>[vA4NcHxfMBq]|01-09|Male|NEW_INFECTIONS_SUBNAT.T|CY2024Q3</v>
      </c>
    </row>
    <row r="6395" customFormat="false" ht="15" hidden="false" customHeight="false" outlineLevel="0" collapsed="false">
      <c r="D6395" s="0" t="s">
        <v>120</v>
      </c>
      <c r="E6395" s="0" t="s">
        <v>121</v>
      </c>
      <c r="F6395" s="0" t="s">
        <v>122</v>
      </c>
      <c r="G6395" s="0" t="s">
        <v>170</v>
      </c>
      <c r="H6395" s="0" t="s">
        <v>170</v>
      </c>
      <c r="I6395" s="0" t="s">
        <v>36</v>
      </c>
      <c r="J6395" s="0" t="s">
        <v>37</v>
      </c>
      <c r="K6395" s="0" t="s">
        <v>48</v>
      </c>
      <c r="L6395" s="0" t="s">
        <v>49</v>
      </c>
      <c r="M6395" s="0" t="s">
        <v>167</v>
      </c>
      <c r="N6395" s="0" t="n">
        <v>1021</v>
      </c>
      <c r="O6395" s="10" t="n">
        <v>0.398273831000552</v>
      </c>
      <c r="P6395" s="10" t="n">
        <v>0.430103979306296</v>
      </c>
      <c r="Q6395" s="0" t="str">
        <f aca="false">SUBSTITUTE(SUBSTITUTE($I6395,CHAR(61),""),CHAR(34),"")</f>
        <v>10-14</v>
      </c>
      <c r="R6395" s="0" t="str">
        <f aca="false">IF($D6395&lt;&gt;"","["&amp;$E6395&amp;"]"&amp;"|"&amp;$Q6395&amp;"|"&amp;$K6395&amp;"|"&amp;$G6395&amp;"|"&amp;IF($G6395="TX_CURR_SUBNAT.R","CY2022Q4",$M6395),"")</f>
        <v>[vA4NcHxfMBq]|10-14|Male|NEW_INFECTIONS_SUBNAT.T|CY2024Q3</v>
      </c>
    </row>
    <row r="6396" customFormat="false" ht="15" hidden="false" customHeight="false" outlineLevel="0" collapsed="false">
      <c r="D6396" s="0" t="s">
        <v>120</v>
      </c>
      <c r="E6396" s="0" t="s">
        <v>121</v>
      </c>
      <c r="F6396" s="0" t="s">
        <v>122</v>
      </c>
      <c r="G6396" s="0" t="s">
        <v>170</v>
      </c>
      <c r="H6396" s="0" t="s">
        <v>170</v>
      </c>
      <c r="I6396" s="0" t="s">
        <v>38</v>
      </c>
      <c r="J6396" s="0" t="s">
        <v>39</v>
      </c>
      <c r="K6396" s="0" t="s">
        <v>48</v>
      </c>
      <c r="L6396" s="0" t="s">
        <v>49</v>
      </c>
      <c r="M6396" s="0" t="s">
        <v>167</v>
      </c>
      <c r="N6396" s="0" t="n">
        <v>1749</v>
      </c>
      <c r="O6396" s="10" t="n">
        <v>0.113632537657395</v>
      </c>
      <c r="P6396" s="10" t="n">
        <v>0.430103979306296</v>
      </c>
      <c r="Q6396" s="0" t="str">
        <f aca="false">SUBSTITUTE(SUBSTITUTE($I6396,CHAR(61),""),CHAR(34),"")</f>
        <v>15-24</v>
      </c>
      <c r="R6396" s="0" t="str">
        <f aca="false">IF($D6396&lt;&gt;"","["&amp;$E6396&amp;"]"&amp;"|"&amp;$Q6396&amp;"|"&amp;$K6396&amp;"|"&amp;$G6396&amp;"|"&amp;IF($G6396="TX_CURR_SUBNAT.R","CY2022Q4",$M6396),"")</f>
        <v>[vA4NcHxfMBq]|15-24|Male|NEW_INFECTIONS_SUBNAT.T|CY2024Q3</v>
      </c>
    </row>
    <row r="6397" customFormat="false" ht="15" hidden="false" customHeight="false" outlineLevel="0" collapsed="false">
      <c r="D6397" s="0" t="s">
        <v>120</v>
      </c>
      <c r="E6397" s="0" t="s">
        <v>121</v>
      </c>
      <c r="F6397" s="0" t="s">
        <v>122</v>
      </c>
      <c r="G6397" s="0" t="s">
        <v>170</v>
      </c>
      <c r="H6397" s="0" t="s">
        <v>170</v>
      </c>
      <c r="I6397" s="0" t="s">
        <v>41</v>
      </c>
      <c r="J6397" s="0" t="s">
        <v>42</v>
      </c>
      <c r="K6397" s="0" t="s">
        <v>48</v>
      </c>
      <c r="L6397" s="0" t="s">
        <v>49</v>
      </c>
      <c r="M6397" s="0" t="s">
        <v>167</v>
      </c>
      <c r="N6397" s="0" t="n">
        <v>1977</v>
      </c>
      <c r="O6397" s="10" t="n">
        <v>0.289874304318801</v>
      </c>
      <c r="P6397" s="10" t="n">
        <v>0.430103979306296</v>
      </c>
      <c r="Q6397" s="0" t="str">
        <f aca="false">SUBSTITUTE(SUBSTITUTE($I6397,CHAR(61),""),CHAR(34),"")</f>
        <v>25-34</v>
      </c>
      <c r="R6397" s="0" t="str">
        <f aca="false">IF($D6397&lt;&gt;"","["&amp;$E6397&amp;"]"&amp;"|"&amp;$Q6397&amp;"|"&amp;$K6397&amp;"|"&amp;$G6397&amp;"|"&amp;IF($G6397="TX_CURR_SUBNAT.R","CY2022Q4",$M6397),"")</f>
        <v>[vA4NcHxfMBq]|25-34|Male|NEW_INFECTIONS_SUBNAT.T|CY2024Q3</v>
      </c>
    </row>
    <row r="6398" customFormat="false" ht="15" hidden="false" customHeight="false" outlineLevel="0" collapsed="false">
      <c r="D6398" s="0" t="s">
        <v>120</v>
      </c>
      <c r="E6398" s="0" t="s">
        <v>121</v>
      </c>
      <c r="F6398" s="0" t="s">
        <v>122</v>
      </c>
      <c r="G6398" s="0" t="s">
        <v>170</v>
      </c>
      <c r="H6398" s="0" t="s">
        <v>170</v>
      </c>
      <c r="I6398" s="0" t="s">
        <v>43</v>
      </c>
      <c r="J6398" s="0" t="s">
        <v>44</v>
      </c>
      <c r="K6398" s="0" t="s">
        <v>48</v>
      </c>
      <c r="L6398" s="0" t="s">
        <v>49</v>
      </c>
      <c r="M6398" s="0" t="s">
        <v>167</v>
      </c>
      <c r="N6398" s="0" t="n">
        <v>1991</v>
      </c>
      <c r="O6398" s="10" t="n">
        <v>0.175157954450697</v>
      </c>
      <c r="P6398" s="10" t="n">
        <v>0.430103979306296</v>
      </c>
      <c r="Q6398" s="0" t="str">
        <f aca="false">SUBSTITUTE(SUBSTITUTE($I6398,CHAR(61),""),CHAR(34),"")</f>
        <v>35-49</v>
      </c>
      <c r="R6398" s="0" t="str">
        <f aca="false">IF($D6398&lt;&gt;"","["&amp;$E6398&amp;"]"&amp;"|"&amp;$Q6398&amp;"|"&amp;$K6398&amp;"|"&amp;$G6398&amp;"|"&amp;IF($G6398="TX_CURR_SUBNAT.R","CY2022Q4",$M6398),"")</f>
        <v>[vA4NcHxfMBq]|35-49|Male|NEW_INFECTIONS_SUBNAT.T|CY2024Q3</v>
      </c>
    </row>
    <row r="6399" customFormat="false" ht="15" hidden="false" customHeight="false" outlineLevel="0" collapsed="false">
      <c r="D6399" s="0" t="s">
        <v>120</v>
      </c>
      <c r="E6399" s="0" t="s">
        <v>121</v>
      </c>
      <c r="F6399" s="0" t="s">
        <v>122</v>
      </c>
      <c r="G6399" s="0" t="s">
        <v>170</v>
      </c>
      <c r="H6399" s="0" t="s">
        <v>170</v>
      </c>
      <c r="I6399" s="0" t="s">
        <v>45</v>
      </c>
      <c r="J6399" s="0" t="s">
        <v>46</v>
      </c>
      <c r="K6399" s="0" t="s">
        <v>48</v>
      </c>
      <c r="L6399" s="0" t="s">
        <v>49</v>
      </c>
      <c r="M6399" s="0" t="s">
        <v>167</v>
      </c>
      <c r="N6399" s="0" t="n">
        <v>1157</v>
      </c>
      <c r="O6399" s="10" t="n">
        <v>0.0724300474394113</v>
      </c>
      <c r="P6399" s="10" t="n">
        <v>0.430103979306296</v>
      </c>
      <c r="Q6399" s="0" t="str">
        <f aca="false">SUBSTITUTE(SUBSTITUTE($I6399,CHAR(61),""),CHAR(34),"")</f>
        <v>50+</v>
      </c>
      <c r="R6399" s="0" t="str">
        <f aca="false">IF($D6399&lt;&gt;"","["&amp;$E6399&amp;"]"&amp;"|"&amp;$Q6399&amp;"|"&amp;$K6399&amp;"|"&amp;$G6399&amp;"|"&amp;IF($G6399="TX_CURR_SUBNAT.R","CY2022Q4",$M6399),"")</f>
        <v>[vA4NcHxfMBq]|50+|Male|NEW_INFECTIONS_SUBNAT.T|CY2024Q3</v>
      </c>
    </row>
    <row r="6400" customFormat="false" ht="15" hidden="false" customHeight="false" outlineLevel="0" collapsed="false">
      <c r="D6400" s="0" t="s">
        <v>123</v>
      </c>
      <c r="E6400" s="0" t="s">
        <v>124</v>
      </c>
      <c r="F6400" s="0" t="s">
        <v>125</v>
      </c>
      <c r="G6400" s="0" t="s">
        <v>170</v>
      </c>
      <c r="H6400" s="0" t="s">
        <v>170</v>
      </c>
      <c r="I6400" s="0" t="s">
        <v>28</v>
      </c>
      <c r="J6400" s="0" t="s">
        <v>29</v>
      </c>
      <c r="K6400" s="0" t="s">
        <v>30</v>
      </c>
      <c r="L6400" s="0" t="s">
        <v>31</v>
      </c>
      <c r="M6400" s="0" t="s">
        <v>167</v>
      </c>
      <c r="N6400" s="0" t="n">
        <v>621</v>
      </c>
      <c r="O6400" s="10" t="n">
        <v>0.766749138943851</v>
      </c>
      <c r="P6400" s="10" t="n">
        <v>0.419500603340566</v>
      </c>
      <c r="Q6400" s="0" t="str">
        <f aca="false">SUBSTITUTE(SUBSTITUTE($I6400,CHAR(61),""),CHAR(34),"")</f>
        <v>&lt;01</v>
      </c>
      <c r="R6400" s="0" t="str">
        <f aca="false">IF($D6400&lt;&gt;"","["&amp;$E6400&amp;"]"&amp;"|"&amp;$Q6400&amp;"|"&amp;$K6400&amp;"|"&amp;$G6400&amp;"|"&amp;IF($G6400="TX_CURR_SUBNAT.R","CY2022Q4",$M6400),"")</f>
        <v>[E7zpfyBt7Tw]|&lt;01|Female|NEW_INFECTIONS_SUBNAT.T|CY2024Q3</v>
      </c>
    </row>
    <row r="6401" customFormat="false" ht="15" hidden="false" customHeight="false" outlineLevel="0" collapsed="false">
      <c r="D6401" s="0" t="s">
        <v>123</v>
      </c>
      <c r="E6401" s="0" t="s">
        <v>124</v>
      </c>
      <c r="F6401" s="0" t="s">
        <v>125</v>
      </c>
      <c r="G6401" s="0" t="s">
        <v>170</v>
      </c>
      <c r="H6401" s="0" t="s">
        <v>170</v>
      </c>
      <c r="I6401" s="0" t="s">
        <v>33</v>
      </c>
      <c r="J6401" s="0" t="s">
        <v>34</v>
      </c>
      <c r="K6401" s="0" t="s">
        <v>30</v>
      </c>
      <c r="L6401" s="0" t="s">
        <v>31</v>
      </c>
      <c r="M6401" s="0" t="s">
        <v>167</v>
      </c>
      <c r="N6401" s="0" t="n">
        <v>761</v>
      </c>
      <c r="O6401" s="10" t="n">
        <v>0.700305485865101</v>
      </c>
      <c r="P6401" s="10" t="n">
        <v>0.419500603340566</v>
      </c>
      <c r="Q6401" s="0" t="str">
        <f aca="false">SUBSTITUTE(SUBSTITUTE($I6401,CHAR(61),""),CHAR(34),"")</f>
        <v>01-09</v>
      </c>
      <c r="R6401" s="0" t="str">
        <f aca="false">IF($D6401&lt;&gt;"","["&amp;$E6401&amp;"]"&amp;"|"&amp;$Q6401&amp;"|"&amp;$K6401&amp;"|"&amp;$G6401&amp;"|"&amp;IF($G6401="TX_CURR_SUBNAT.R","CY2022Q4",$M6401),"")</f>
        <v>[E7zpfyBt7Tw]|01-09|Female|NEW_INFECTIONS_SUBNAT.T|CY2024Q3</v>
      </c>
    </row>
    <row r="6402" customFormat="false" ht="15" hidden="false" customHeight="false" outlineLevel="0" collapsed="false">
      <c r="D6402" s="0" t="s">
        <v>123</v>
      </c>
      <c r="E6402" s="0" t="s">
        <v>124</v>
      </c>
      <c r="F6402" s="0" t="s">
        <v>125</v>
      </c>
      <c r="G6402" s="0" t="s">
        <v>170</v>
      </c>
      <c r="H6402" s="0" t="s">
        <v>170</v>
      </c>
      <c r="I6402" s="0" t="s">
        <v>36</v>
      </c>
      <c r="J6402" s="0" t="s">
        <v>37</v>
      </c>
      <c r="K6402" s="0" t="s">
        <v>30</v>
      </c>
      <c r="L6402" s="0" t="s">
        <v>31</v>
      </c>
      <c r="M6402" s="0" t="s">
        <v>167</v>
      </c>
      <c r="N6402" s="0" t="n">
        <v>1930</v>
      </c>
      <c r="O6402" s="10" t="n">
        <v>0.776655033696443</v>
      </c>
      <c r="P6402" s="10" t="n">
        <v>0.419500603340566</v>
      </c>
      <c r="Q6402" s="0" t="str">
        <f aca="false">SUBSTITUTE(SUBSTITUTE($I6402,CHAR(61),""),CHAR(34),"")</f>
        <v>10-14</v>
      </c>
      <c r="R6402" s="0" t="str">
        <f aca="false">IF($D6402&lt;&gt;"","["&amp;$E6402&amp;"]"&amp;"|"&amp;$Q6402&amp;"|"&amp;$K6402&amp;"|"&amp;$G6402&amp;"|"&amp;IF($G6402="TX_CURR_SUBNAT.R","CY2022Q4",$M6402),"")</f>
        <v>[E7zpfyBt7Tw]|10-14|Female|NEW_INFECTIONS_SUBNAT.T|CY2024Q3</v>
      </c>
    </row>
    <row r="6403" customFormat="false" ht="15" hidden="false" customHeight="false" outlineLevel="0" collapsed="false">
      <c r="D6403" s="0" t="s">
        <v>123</v>
      </c>
      <c r="E6403" s="0" t="s">
        <v>124</v>
      </c>
      <c r="F6403" s="0" t="s">
        <v>125</v>
      </c>
      <c r="G6403" s="0" t="s">
        <v>170</v>
      </c>
      <c r="H6403" s="0" t="s">
        <v>170</v>
      </c>
      <c r="I6403" s="0" t="s">
        <v>38</v>
      </c>
      <c r="J6403" s="0" t="s">
        <v>39</v>
      </c>
      <c r="K6403" s="0" t="s">
        <v>30</v>
      </c>
      <c r="L6403" s="0" t="s">
        <v>31</v>
      </c>
      <c r="M6403" s="0" t="s">
        <v>167</v>
      </c>
      <c r="N6403" s="0" t="n">
        <v>1341</v>
      </c>
      <c r="O6403" s="10" t="n">
        <v>0.713552209781483</v>
      </c>
      <c r="P6403" s="10" t="n">
        <v>0.419500603340566</v>
      </c>
      <c r="Q6403" s="0" t="str">
        <f aca="false">SUBSTITUTE(SUBSTITUTE($I6403,CHAR(61),""),CHAR(34),"")</f>
        <v>15-24</v>
      </c>
      <c r="R6403" s="0" t="str">
        <f aca="false">IF($D6403&lt;&gt;"","["&amp;$E6403&amp;"]"&amp;"|"&amp;$Q6403&amp;"|"&amp;$K6403&amp;"|"&amp;$G6403&amp;"|"&amp;IF($G6403="TX_CURR_SUBNAT.R","CY2022Q4",$M6403),"")</f>
        <v>[E7zpfyBt7Tw]|15-24|Female|NEW_INFECTIONS_SUBNAT.T|CY2024Q3</v>
      </c>
    </row>
    <row r="6404" customFormat="false" ht="15" hidden="false" customHeight="false" outlineLevel="0" collapsed="false">
      <c r="D6404" s="0" t="s">
        <v>123</v>
      </c>
      <c r="E6404" s="0" t="s">
        <v>124</v>
      </c>
      <c r="F6404" s="0" t="s">
        <v>125</v>
      </c>
      <c r="G6404" s="0" t="s">
        <v>170</v>
      </c>
      <c r="H6404" s="0" t="s">
        <v>170</v>
      </c>
      <c r="I6404" s="0" t="s">
        <v>41</v>
      </c>
      <c r="J6404" s="0" t="s">
        <v>42</v>
      </c>
      <c r="K6404" s="0" t="s">
        <v>30</v>
      </c>
      <c r="L6404" s="0" t="s">
        <v>31</v>
      </c>
      <c r="M6404" s="0" t="s">
        <v>167</v>
      </c>
      <c r="N6404" s="0" t="n">
        <v>1330</v>
      </c>
      <c r="O6404" s="10" t="n">
        <v>0.650437133386731</v>
      </c>
      <c r="P6404" s="10" t="n">
        <v>0.419500603340566</v>
      </c>
      <c r="Q6404" s="0" t="str">
        <f aca="false">SUBSTITUTE(SUBSTITUTE($I6404,CHAR(61),""),CHAR(34),"")</f>
        <v>25-34</v>
      </c>
      <c r="R6404" s="0" t="str">
        <f aca="false">IF($D6404&lt;&gt;"","["&amp;$E6404&amp;"]"&amp;"|"&amp;$Q6404&amp;"|"&amp;$K6404&amp;"|"&amp;$G6404&amp;"|"&amp;IF($G6404="TX_CURR_SUBNAT.R","CY2022Q4",$M6404),"")</f>
        <v>[E7zpfyBt7Tw]|25-34|Female|NEW_INFECTIONS_SUBNAT.T|CY2024Q3</v>
      </c>
    </row>
    <row r="6405" customFormat="false" ht="15" hidden="false" customHeight="false" outlineLevel="0" collapsed="false">
      <c r="D6405" s="0" t="s">
        <v>123</v>
      </c>
      <c r="E6405" s="0" t="s">
        <v>124</v>
      </c>
      <c r="F6405" s="0" t="s">
        <v>125</v>
      </c>
      <c r="G6405" s="0" t="s">
        <v>170</v>
      </c>
      <c r="H6405" s="0" t="s">
        <v>170</v>
      </c>
      <c r="I6405" s="0" t="s">
        <v>43</v>
      </c>
      <c r="J6405" s="0" t="s">
        <v>44</v>
      </c>
      <c r="K6405" s="0" t="s">
        <v>30</v>
      </c>
      <c r="L6405" s="0" t="s">
        <v>31</v>
      </c>
      <c r="M6405" s="0" t="s">
        <v>167</v>
      </c>
      <c r="N6405" s="0" t="n">
        <v>945</v>
      </c>
      <c r="O6405" s="10" t="n">
        <v>0.871306744404137</v>
      </c>
      <c r="P6405" s="10" t="n">
        <v>0.419500603340566</v>
      </c>
      <c r="Q6405" s="0" t="str">
        <f aca="false">SUBSTITUTE(SUBSTITUTE($I6405,CHAR(61),""),CHAR(34),"")</f>
        <v>35-49</v>
      </c>
      <c r="R6405" s="0" t="str">
        <f aca="false">IF($D6405&lt;&gt;"","["&amp;$E6405&amp;"]"&amp;"|"&amp;$Q6405&amp;"|"&amp;$K6405&amp;"|"&amp;$G6405&amp;"|"&amp;IF($G6405="TX_CURR_SUBNAT.R","CY2022Q4",$M6405),"")</f>
        <v>[E7zpfyBt7Tw]|35-49|Female|NEW_INFECTIONS_SUBNAT.T|CY2024Q3</v>
      </c>
    </row>
    <row r="6406" customFormat="false" ht="15" hidden="false" customHeight="false" outlineLevel="0" collapsed="false">
      <c r="D6406" s="0" t="s">
        <v>123</v>
      </c>
      <c r="E6406" s="0" t="s">
        <v>124</v>
      </c>
      <c r="F6406" s="0" t="s">
        <v>125</v>
      </c>
      <c r="G6406" s="0" t="s">
        <v>170</v>
      </c>
      <c r="H6406" s="0" t="s">
        <v>170</v>
      </c>
      <c r="I6406" s="0" t="s">
        <v>45</v>
      </c>
      <c r="J6406" s="0" t="s">
        <v>46</v>
      </c>
      <c r="K6406" s="0" t="s">
        <v>30</v>
      </c>
      <c r="L6406" s="0" t="s">
        <v>31</v>
      </c>
      <c r="M6406" s="0" t="s">
        <v>167</v>
      </c>
      <c r="N6406" s="0" t="n">
        <v>1375</v>
      </c>
      <c r="O6406" s="10" t="n">
        <v>0.963815823430195</v>
      </c>
      <c r="P6406" s="10" t="n">
        <v>0.419500603340566</v>
      </c>
      <c r="Q6406" s="0" t="str">
        <f aca="false">SUBSTITUTE(SUBSTITUTE($I6406,CHAR(61),""),CHAR(34),"")</f>
        <v>50+</v>
      </c>
      <c r="R6406" s="0" t="str">
        <f aca="false">IF($D6406&lt;&gt;"","["&amp;$E6406&amp;"]"&amp;"|"&amp;$Q6406&amp;"|"&amp;$K6406&amp;"|"&amp;$G6406&amp;"|"&amp;IF($G6406="TX_CURR_SUBNAT.R","CY2022Q4",$M6406),"")</f>
        <v>[E7zpfyBt7Tw]|50+|Female|NEW_INFECTIONS_SUBNAT.T|CY2024Q3</v>
      </c>
    </row>
    <row r="6407" customFormat="false" ht="15" hidden="false" customHeight="false" outlineLevel="0" collapsed="false">
      <c r="D6407" s="0" t="s">
        <v>123</v>
      </c>
      <c r="E6407" s="0" t="s">
        <v>124</v>
      </c>
      <c r="F6407" s="0" t="s">
        <v>125</v>
      </c>
      <c r="G6407" s="0" t="s">
        <v>170</v>
      </c>
      <c r="H6407" s="0" t="s">
        <v>170</v>
      </c>
      <c r="I6407" s="0" t="s">
        <v>28</v>
      </c>
      <c r="J6407" s="0" t="s">
        <v>29</v>
      </c>
      <c r="K6407" s="0" t="s">
        <v>48</v>
      </c>
      <c r="L6407" s="0" t="s">
        <v>49</v>
      </c>
      <c r="M6407" s="0" t="s">
        <v>167</v>
      </c>
      <c r="N6407" s="0" t="n">
        <v>633</v>
      </c>
      <c r="O6407" s="10" t="n">
        <v>0.0860958516132087</v>
      </c>
      <c r="P6407" s="10" t="n">
        <v>0.419500603340566</v>
      </c>
      <c r="Q6407" s="0" t="str">
        <f aca="false">SUBSTITUTE(SUBSTITUTE($I6407,CHAR(61),""),CHAR(34),"")</f>
        <v>&lt;01</v>
      </c>
      <c r="R6407" s="0" t="str">
        <f aca="false">IF($D6407&lt;&gt;"","["&amp;$E6407&amp;"]"&amp;"|"&amp;$Q6407&amp;"|"&amp;$K6407&amp;"|"&amp;$G6407&amp;"|"&amp;IF($G6407="TX_CURR_SUBNAT.R","CY2022Q4",$M6407),"")</f>
        <v>[E7zpfyBt7Tw]|&lt;01|Male|NEW_INFECTIONS_SUBNAT.T|CY2024Q3</v>
      </c>
    </row>
    <row r="6408" customFormat="false" ht="15" hidden="false" customHeight="false" outlineLevel="0" collapsed="false">
      <c r="D6408" s="0" t="s">
        <v>123</v>
      </c>
      <c r="E6408" s="0" t="s">
        <v>124</v>
      </c>
      <c r="F6408" s="0" t="s">
        <v>125</v>
      </c>
      <c r="G6408" s="0" t="s">
        <v>170</v>
      </c>
      <c r="H6408" s="0" t="s">
        <v>170</v>
      </c>
      <c r="I6408" s="0" t="s">
        <v>33</v>
      </c>
      <c r="J6408" s="0" t="s">
        <v>34</v>
      </c>
      <c r="K6408" s="0" t="s">
        <v>48</v>
      </c>
      <c r="L6408" s="0" t="s">
        <v>49</v>
      </c>
      <c r="M6408" s="0" t="s">
        <v>167</v>
      </c>
      <c r="N6408" s="0" t="n">
        <v>1612</v>
      </c>
      <c r="O6408" s="10" t="n">
        <v>0.17249525221996</v>
      </c>
      <c r="P6408" s="10" t="n">
        <v>0.419500603340566</v>
      </c>
      <c r="Q6408" s="0" t="str">
        <f aca="false">SUBSTITUTE(SUBSTITUTE($I6408,CHAR(61),""),CHAR(34),"")</f>
        <v>01-09</v>
      </c>
      <c r="R6408" s="0" t="str">
        <f aca="false">IF($D6408&lt;&gt;"","["&amp;$E6408&amp;"]"&amp;"|"&amp;$Q6408&amp;"|"&amp;$K6408&amp;"|"&amp;$G6408&amp;"|"&amp;IF($G6408="TX_CURR_SUBNAT.R","CY2022Q4",$M6408),"")</f>
        <v>[E7zpfyBt7Tw]|01-09|Male|NEW_INFECTIONS_SUBNAT.T|CY2024Q3</v>
      </c>
    </row>
    <row r="6409" customFormat="false" ht="15" hidden="false" customHeight="false" outlineLevel="0" collapsed="false">
      <c r="D6409" s="0" t="s">
        <v>123</v>
      </c>
      <c r="E6409" s="0" t="s">
        <v>124</v>
      </c>
      <c r="F6409" s="0" t="s">
        <v>125</v>
      </c>
      <c r="G6409" s="0" t="s">
        <v>170</v>
      </c>
      <c r="H6409" s="0" t="s">
        <v>170</v>
      </c>
      <c r="I6409" s="0" t="s">
        <v>36</v>
      </c>
      <c r="J6409" s="0" t="s">
        <v>37</v>
      </c>
      <c r="K6409" s="0" t="s">
        <v>48</v>
      </c>
      <c r="L6409" s="0" t="s">
        <v>49</v>
      </c>
      <c r="M6409" s="0" t="s">
        <v>167</v>
      </c>
      <c r="N6409" s="0" t="n">
        <v>1621</v>
      </c>
      <c r="O6409" s="10" t="n">
        <v>0.35771257802844</v>
      </c>
      <c r="P6409" s="10" t="n">
        <v>0.419500603340566</v>
      </c>
      <c r="Q6409" s="0" t="str">
        <f aca="false">SUBSTITUTE(SUBSTITUTE($I6409,CHAR(61),""),CHAR(34),"")</f>
        <v>10-14</v>
      </c>
      <c r="R6409" s="0" t="str">
        <f aca="false">IF($D6409&lt;&gt;"","["&amp;$E6409&amp;"]"&amp;"|"&amp;$Q6409&amp;"|"&amp;$K6409&amp;"|"&amp;$G6409&amp;"|"&amp;IF($G6409="TX_CURR_SUBNAT.R","CY2022Q4",$M6409),"")</f>
        <v>[E7zpfyBt7Tw]|10-14|Male|NEW_INFECTIONS_SUBNAT.T|CY2024Q3</v>
      </c>
    </row>
    <row r="6410" customFormat="false" ht="15" hidden="false" customHeight="false" outlineLevel="0" collapsed="false">
      <c r="D6410" s="0" t="s">
        <v>123</v>
      </c>
      <c r="E6410" s="0" t="s">
        <v>124</v>
      </c>
      <c r="F6410" s="0" t="s">
        <v>125</v>
      </c>
      <c r="G6410" s="0" t="s">
        <v>170</v>
      </c>
      <c r="H6410" s="0" t="s">
        <v>170</v>
      </c>
      <c r="I6410" s="0" t="s">
        <v>38</v>
      </c>
      <c r="J6410" s="0" t="s">
        <v>39</v>
      </c>
      <c r="K6410" s="0" t="s">
        <v>48</v>
      </c>
      <c r="L6410" s="0" t="s">
        <v>49</v>
      </c>
      <c r="M6410" s="0" t="s">
        <v>167</v>
      </c>
      <c r="N6410" s="0" t="n">
        <v>902</v>
      </c>
      <c r="O6410" s="10" t="n">
        <v>0.83217227854766</v>
      </c>
      <c r="P6410" s="10" t="n">
        <v>0.419500603340566</v>
      </c>
      <c r="Q6410" s="0" t="str">
        <f aca="false">SUBSTITUTE(SUBSTITUTE($I6410,CHAR(61),""),CHAR(34),"")</f>
        <v>15-24</v>
      </c>
      <c r="R6410" s="0" t="str">
        <f aca="false">IF($D6410&lt;&gt;"","["&amp;$E6410&amp;"]"&amp;"|"&amp;$Q6410&amp;"|"&amp;$K6410&amp;"|"&amp;$G6410&amp;"|"&amp;IF($G6410="TX_CURR_SUBNAT.R","CY2022Q4",$M6410),"")</f>
        <v>[E7zpfyBt7Tw]|15-24|Male|NEW_INFECTIONS_SUBNAT.T|CY2024Q3</v>
      </c>
    </row>
    <row r="6411" customFormat="false" ht="15" hidden="false" customHeight="false" outlineLevel="0" collapsed="false">
      <c r="D6411" s="0" t="s">
        <v>123</v>
      </c>
      <c r="E6411" s="0" t="s">
        <v>124</v>
      </c>
      <c r="F6411" s="0" t="s">
        <v>125</v>
      </c>
      <c r="G6411" s="0" t="s">
        <v>170</v>
      </c>
      <c r="H6411" s="0" t="s">
        <v>170</v>
      </c>
      <c r="I6411" s="0" t="s">
        <v>41</v>
      </c>
      <c r="J6411" s="0" t="s">
        <v>42</v>
      </c>
      <c r="K6411" s="0" t="s">
        <v>48</v>
      </c>
      <c r="L6411" s="0" t="s">
        <v>49</v>
      </c>
      <c r="M6411" s="0" t="s">
        <v>167</v>
      </c>
      <c r="N6411" s="0" t="n">
        <v>806</v>
      </c>
      <c r="O6411" s="10" t="n">
        <v>0.236656394088641</v>
      </c>
      <c r="P6411" s="10" t="n">
        <v>0.419500603340566</v>
      </c>
      <c r="Q6411" s="0" t="str">
        <f aca="false">SUBSTITUTE(SUBSTITUTE($I6411,CHAR(61),""),CHAR(34),"")</f>
        <v>25-34</v>
      </c>
      <c r="R6411" s="0" t="str">
        <f aca="false">IF($D6411&lt;&gt;"","["&amp;$E6411&amp;"]"&amp;"|"&amp;$Q6411&amp;"|"&amp;$K6411&amp;"|"&amp;$G6411&amp;"|"&amp;IF($G6411="TX_CURR_SUBNAT.R","CY2022Q4",$M6411),"")</f>
        <v>[E7zpfyBt7Tw]|25-34|Male|NEW_INFECTIONS_SUBNAT.T|CY2024Q3</v>
      </c>
    </row>
    <row r="6412" customFormat="false" ht="15" hidden="false" customHeight="false" outlineLevel="0" collapsed="false">
      <c r="D6412" s="0" t="s">
        <v>123</v>
      </c>
      <c r="E6412" s="0" t="s">
        <v>124</v>
      </c>
      <c r="F6412" s="0" t="s">
        <v>125</v>
      </c>
      <c r="G6412" s="0" t="s">
        <v>170</v>
      </c>
      <c r="H6412" s="0" t="s">
        <v>170</v>
      </c>
      <c r="I6412" s="0" t="s">
        <v>43</v>
      </c>
      <c r="J6412" s="0" t="s">
        <v>44</v>
      </c>
      <c r="K6412" s="0" t="s">
        <v>48</v>
      </c>
      <c r="L6412" s="0" t="s">
        <v>49</v>
      </c>
      <c r="M6412" s="0" t="s">
        <v>167</v>
      </c>
      <c r="N6412" s="0" t="n">
        <v>1439</v>
      </c>
      <c r="O6412" s="10" t="n">
        <v>0.86998476088047</v>
      </c>
      <c r="P6412" s="10" t="n">
        <v>0.419500603340566</v>
      </c>
      <c r="Q6412" s="0" t="str">
        <f aca="false">SUBSTITUTE(SUBSTITUTE($I6412,CHAR(61),""),CHAR(34),"")</f>
        <v>35-49</v>
      </c>
      <c r="R6412" s="0" t="str">
        <f aca="false">IF($D6412&lt;&gt;"","["&amp;$E6412&amp;"]"&amp;"|"&amp;$Q6412&amp;"|"&amp;$K6412&amp;"|"&amp;$G6412&amp;"|"&amp;IF($G6412="TX_CURR_SUBNAT.R","CY2022Q4",$M6412),"")</f>
        <v>[E7zpfyBt7Tw]|35-49|Male|NEW_INFECTIONS_SUBNAT.T|CY2024Q3</v>
      </c>
    </row>
    <row r="6413" customFormat="false" ht="15" hidden="false" customHeight="false" outlineLevel="0" collapsed="false">
      <c r="D6413" s="0" t="s">
        <v>123</v>
      </c>
      <c r="E6413" s="0" t="s">
        <v>124</v>
      </c>
      <c r="F6413" s="0" t="s">
        <v>125</v>
      </c>
      <c r="G6413" s="0" t="s">
        <v>170</v>
      </c>
      <c r="H6413" s="0" t="s">
        <v>170</v>
      </c>
      <c r="I6413" s="0" t="s">
        <v>45</v>
      </c>
      <c r="J6413" s="0" t="s">
        <v>46</v>
      </c>
      <c r="K6413" s="0" t="s">
        <v>48</v>
      </c>
      <c r="L6413" s="0" t="s">
        <v>49</v>
      </c>
      <c r="M6413" s="0" t="s">
        <v>167</v>
      </c>
      <c r="N6413" s="0" t="n">
        <v>922</v>
      </c>
      <c r="O6413" s="10" t="n">
        <v>0.19648107746616</v>
      </c>
      <c r="P6413" s="10" t="n">
        <v>0.419500603340566</v>
      </c>
      <c r="Q6413" s="0" t="str">
        <f aca="false">SUBSTITUTE(SUBSTITUTE($I6413,CHAR(61),""),CHAR(34),"")</f>
        <v>50+</v>
      </c>
      <c r="R6413" s="0" t="str">
        <f aca="false">IF($D6413&lt;&gt;"","["&amp;$E6413&amp;"]"&amp;"|"&amp;$Q6413&amp;"|"&amp;$K6413&amp;"|"&amp;$G6413&amp;"|"&amp;IF($G6413="TX_CURR_SUBNAT.R","CY2022Q4",$M6413),"")</f>
        <v>[E7zpfyBt7Tw]|50+|Male|NEW_INFECTIONS_SUBNAT.T|CY2024Q3</v>
      </c>
    </row>
    <row r="6414" customFormat="false" ht="15" hidden="false" customHeight="false" outlineLevel="0" collapsed="false">
      <c r="D6414" s="0" t="s">
        <v>126</v>
      </c>
      <c r="E6414" s="0" t="s">
        <v>127</v>
      </c>
      <c r="F6414" s="0" t="s">
        <v>128</v>
      </c>
      <c r="G6414" s="0" t="s">
        <v>170</v>
      </c>
      <c r="H6414" s="0" t="s">
        <v>170</v>
      </c>
      <c r="I6414" s="0" t="s">
        <v>28</v>
      </c>
      <c r="J6414" s="0" t="s">
        <v>29</v>
      </c>
      <c r="K6414" s="0" t="s">
        <v>30</v>
      </c>
      <c r="L6414" s="0" t="s">
        <v>31</v>
      </c>
      <c r="M6414" s="0" t="s">
        <v>167</v>
      </c>
      <c r="N6414" s="0" t="n">
        <v>1836</v>
      </c>
      <c r="O6414" s="10" t="n">
        <v>0.947628046153113</v>
      </c>
      <c r="P6414" s="10" t="n">
        <v>0.252706390339881</v>
      </c>
      <c r="Q6414" s="0" t="str">
        <f aca="false">SUBSTITUTE(SUBSTITUTE($I6414,CHAR(61),""),CHAR(34),"")</f>
        <v>&lt;01</v>
      </c>
      <c r="R6414" s="0" t="str">
        <f aca="false">IF($D6414&lt;&gt;"","["&amp;$E6414&amp;"]"&amp;"|"&amp;$Q6414&amp;"|"&amp;$K6414&amp;"|"&amp;$G6414&amp;"|"&amp;IF($G6414="TX_CURR_SUBNAT.R","CY2022Q4",$M6414),"")</f>
        <v>[ZCjuwgaMB9u]|&lt;01|Female|NEW_INFECTIONS_SUBNAT.T|CY2024Q3</v>
      </c>
    </row>
    <row r="6415" customFormat="false" ht="15" hidden="false" customHeight="false" outlineLevel="0" collapsed="false">
      <c r="D6415" s="0" t="s">
        <v>126</v>
      </c>
      <c r="E6415" s="0" t="s">
        <v>127</v>
      </c>
      <c r="F6415" s="0" t="s">
        <v>128</v>
      </c>
      <c r="G6415" s="0" t="s">
        <v>170</v>
      </c>
      <c r="H6415" s="0" t="s">
        <v>170</v>
      </c>
      <c r="I6415" s="0" t="s">
        <v>33</v>
      </c>
      <c r="J6415" s="0" t="s">
        <v>34</v>
      </c>
      <c r="K6415" s="0" t="s">
        <v>30</v>
      </c>
      <c r="L6415" s="0" t="s">
        <v>31</v>
      </c>
      <c r="M6415" s="0" t="s">
        <v>167</v>
      </c>
      <c r="N6415" s="0" t="n">
        <v>1344</v>
      </c>
      <c r="O6415" s="10" t="n">
        <v>0.413505457341671</v>
      </c>
      <c r="P6415" s="10" t="n">
        <v>0.252706390339881</v>
      </c>
      <c r="Q6415" s="0" t="str">
        <f aca="false">SUBSTITUTE(SUBSTITUTE($I6415,CHAR(61),""),CHAR(34),"")</f>
        <v>01-09</v>
      </c>
      <c r="R6415" s="0" t="str">
        <f aca="false">IF($D6415&lt;&gt;"","["&amp;$E6415&amp;"]"&amp;"|"&amp;$Q6415&amp;"|"&amp;$K6415&amp;"|"&amp;$G6415&amp;"|"&amp;IF($G6415="TX_CURR_SUBNAT.R","CY2022Q4",$M6415),"")</f>
        <v>[ZCjuwgaMB9u]|01-09|Female|NEW_INFECTIONS_SUBNAT.T|CY2024Q3</v>
      </c>
    </row>
    <row r="6416" customFormat="false" ht="15" hidden="false" customHeight="false" outlineLevel="0" collapsed="false">
      <c r="D6416" s="0" t="s">
        <v>126</v>
      </c>
      <c r="E6416" s="0" t="s">
        <v>127</v>
      </c>
      <c r="F6416" s="0" t="s">
        <v>128</v>
      </c>
      <c r="G6416" s="0" t="s">
        <v>170</v>
      </c>
      <c r="H6416" s="0" t="s">
        <v>170</v>
      </c>
      <c r="I6416" s="0" t="s">
        <v>36</v>
      </c>
      <c r="J6416" s="0" t="s">
        <v>37</v>
      </c>
      <c r="K6416" s="0" t="s">
        <v>30</v>
      </c>
      <c r="L6416" s="0" t="s">
        <v>31</v>
      </c>
      <c r="M6416" s="0" t="s">
        <v>167</v>
      </c>
      <c r="N6416" s="0" t="n">
        <v>837</v>
      </c>
      <c r="O6416" s="10" t="n">
        <v>0.395500543992966</v>
      </c>
      <c r="P6416" s="10" t="n">
        <v>0.252706390339881</v>
      </c>
      <c r="Q6416" s="0" t="str">
        <f aca="false">SUBSTITUTE(SUBSTITUTE($I6416,CHAR(61),""),CHAR(34),"")</f>
        <v>10-14</v>
      </c>
      <c r="R6416" s="0" t="str">
        <f aca="false">IF($D6416&lt;&gt;"","["&amp;$E6416&amp;"]"&amp;"|"&amp;$Q6416&amp;"|"&amp;$K6416&amp;"|"&amp;$G6416&amp;"|"&amp;IF($G6416="TX_CURR_SUBNAT.R","CY2022Q4",$M6416),"")</f>
        <v>[ZCjuwgaMB9u]|10-14|Female|NEW_INFECTIONS_SUBNAT.T|CY2024Q3</v>
      </c>
    </row>
    <row r="6417" customFormat="false" ht="15" hidden="false" customHeight="false" outlineLevel="0" collapsed="false">
      <c r="D6417" s="0" t="s">
        <v>126</v>
      </c>
      <c r="E6417" s="0" t="s">
        <v>127</v>
      </c>
      <c r="F6417" s="0" t="s">
        <v>128</v>
      </c>
      <c r="G6417" s="0" t="s">
        <v>170</v>
      </c>
      <c r="H6417" s="0" t="s">
        <v>170</v>
      </c>
      <c r="I6417" s="0" t="s">
        <v>38</v>
      </c>
      <c r="J6417" s="0" t="s">
        <v>39</v>
      </c>
      <c r="K6417" s="0" t="s">
        <v>30</v>
      </c>
      <c r="L6417" s="0" t="s">
        <v>31</v>
      </c>
      <c r="M6417" s="0" t="s">
        <v>167</v>
      </c>
      <c r="N6417" s="0" t="n">
        <v>1325</v>
      </c>
      <c r="O6417" s="10" t="n">
        <v>0.133043508743867</v>
      </c>
      <c r="P6417" s="10" t="n">
        <v>0.252706390339881</v>
      </c>
      <c r="Q6417" s="0" t="str">
        <f aca="false">SUBSTITUTE(SUBSTITUTE($I6417,CHAR(61),""),CHAR(34),"")</f>
        <v>15-24</v>
      </c>
      <c r="R6417" s="0" t="str">
        <f aca="false">IF($D6417&lt;&gt;"","["&amp;$E6417&amp;"]"&amp;"|"&amp;$Q6417&amp;"|"&amp;$K6417&amp;"|"&amp;$G6417&amp;"|"&amp;IF($G6417="TX_CURR_SUBNAT.R","CY2022Q4",$M6417),"")</f>
        <v>[ZCjuwgaMB9u]|15-24|Female|NEW_INFECTIONS_SUBNAT.T|CY2024Q3</v>
      </c>
    </row>
    <row r="6418" customFormat="false" ht="15" hidden="false" customHeight="false" outlineLevel="0" collapsed="false">
      <c r="D6418" s="0" t="s">
        <v>126</v>
      </c>
      <c r="E6418" s="0" t="s">
        <v>127</v>
      </c>
      <c r="F6418" s="0" t="s">
        <v>128</v>
      </c>
      <c r="G6418" s="0" t="s">
        <v>170</v>
      </c>
      <c r="H6418" s="0" t="s">
        <v>170</v>
      </c>
      <c r="I6418" s="0" t="s">
        <v>41</v>
      </c>
      <c r="J6418" s="0" t="s">
        <v>42</v>
      </c>
      <c r="K6418" s="0" t="s">
        <v>30</v>
      </c>
      <c r="L6418" s="0" t="s">
        <v>31</v>
      </c>
      <c r="M6418" s="0" t="s">
        <v>167</v>
      </c>
      <c r="N6418" s="0" t="n">
        <v>530</v>
      </c>
      <c r="O6418" s="10" t="n">
        <v>0.544682041741908</v>
      </c>
      <c r="P6418" s="10" t="n">
        <v>0.252706390339881</v>
      </c>
      <c r="Q6418" s="0" t="str">
        <f aca="false">SUBSTITUTE(SUBSTITUTE($I6418,CHAR(61),""),CHAR(34),"")</f>
        <v>25-34</v>
      </c>
      <c r="R6418" s="0" t="str">
        <f aca="false">IF($D6418&lt;&gt;"","["&amp;$E6418&amp;"]"&amp;"|"&amp;$Q6418&amp;"|"&amp;$K6418&amp;"|"&amp;$G6418&amp;"|"&amp;IF($G6418="TX_CURR_SUBNAT.R","CY2022Q4",$M6418),"")</f>
        <v>[ZCjuwgaMB9u]|25-34|Female|NEW_INFECTIONS_SUBNAT.T|CY2024Q3</v>
      </c>
    </row>
    <row r="6419" customFormat="false" ht="15" hidden="false" customHeight="false" outlineLevel="0" collapsed="false">
      <c r="D6419" s="0" t="s">
        <v>126</v>
      </c>
      <c r="E6419" s="0" t="s">
        <v>127</v>
      </c>
      <c r="F6419" s="0" t="s">
        <v>128</v>
      </c>
      <c r="G6419" s="0" t="s">
        <v>170</v>
      </c>
      <c r="H6419" s="0" t="s">
        <v>170</v>
      </c>
      <c r="I6419" s="0" t="s">
        <v>43</v>
      </c>
      <c r="J6419" s="0" t="s">
        <v>44</v>
      </c>
      <c r="K6419" s="0" t="s">
        <v>30</v>
      </c>
      <c r="L6419" s="0" t="s">
        <v>31</v>
      </c>
      <c r="M6419" s="0" t="s">
        <v>167</v>
      </c>
      <c r="N6419" s="0" t="n">
        <v>628</v>
      </c>
      <c r="O6419" s="10" t="n">
        <v>0.429355379426852</v>
      </c>
      <c r="P6419" s="10" t="n">
        <v>0.252706390339881</v>
      </c>
      <c r="Q6419" s="0" t="str">
        <f aca="false">SUBSTITUTE(SUBSTITUTE($I6419,CHAR(61),""),CHAR(34),"")</f>
        <v>35-49</v>
      </c>
      <c r="R6419" s="0" t="str">
        <f aca="false">IF($D6419&lt;&gt;"","["&amp;$E6419&amp;"]"&amp;"|"&amp;$Q6419&amp;"|"&amp;$K6419&amp;"|"&amp;$G6419&amp;"|"&amp;IF($G6419="TX_CURR_SUBNAT.R","CY2022Q4",$M6419),"")</f>
        <v>[ZCjuwgaMB9u]|35-49|Female|NEW_INFECTIONS_SUBNAT.T|CY2024Q3</v>
      </c>
    </row>
    <row r="6420" customFormat="false" ht="15" hidden="false" customHeight="false" outlineLevel="0" collapsed="false">
      <c r="D6420" s="0" t="s">
        <v>126</v>
      </c>
      <c r="E6420" s="0" t="s">
        <v>127</v>
      </c>
      <c r="F6420" s="0" t="s">
        <v>128</v>
      </c>
      <c r="G6420" s="0" t="s">
        <v>170</v>
      </c>
      <c r="H6420" s="0" t="s">
        <v>170</v>
      </c>
      <c r="I6420" s="0" t="s">
        <v>45</v>
      </c>
      <c r="J6420" s="0" t="s">
        <v>46</v>
      </c>
      <c r="K6420" s="0" t="s">
        <v>30</v>
      </c>
      <c r="L6420" s="0" t="s">
        <v>31</v>
      </c>
      <c r="M6420" s="0" t="s">
        <v>167</v>
      </c>
      <c r="N6420" s="0" t="n">
        <v>1079</v>
      </c>
      <c r="O6420" s="10" t="n">
        <v>0.0643288064748049</v>
      </c>
      <c r="P6420" s="10" t="n">
        <v>0.252706390339881</v>
      </c>
      <c r="Q6420" s="0" t="str">
        <f aca="false">SUBSTITUTE(SUBSTITUTE($I6420,CHAR(61),""),CHAR(34),"")</f>
        <v>50+</v>
      </c>
      <c r="R6420" s="0" t="str">
        <f aca="false">IF($D6420&lt;&gt;"","["&amp;$E6420&amp;"]"&amp;"|"&amp;$Q6420&amp;"|"&amp;$K6420&amp;"|"&amp;$G6420&amp;"|"&amp;IF($G6420="TX_CURR_SUBNAT.R","CY2022Q4",$M6420),"")</f>
        <v>[ZCjuwgaMB9u]|50+|Female|NEW_INFECTIONS_SUBNAT.T|CY2024Q3</v>
      </c>
    </row>
    <row r="6421" customFormat="false" ht="15" hidden="false" customHeight="false" outlineLevel="0" collapsed="false">
      <c r="D6421" s="0" t="s">
        <v>126</v>
      </c>
      <c r="E6421" s="0" t="s">
        <v>127</v>
      </c>
      <c r="F6421" s="0" t="s">
        <v>128</v>
      </c>
      <c r="G6421" s="0" t="s">
        <v>170</v>
      </c>
      <c r="H6421" s="0" t="s">
        <v>170</v>
      </c>
      <c r="I6421" s="0" t="s">
        <v>28</v>
      </c>
      <c r="J6421" s="0" t="s">
        <v>29</v>
      </c>
      <c r="K6421" s="0" t="s">
        <v>48</v>
      </c>
      <c r="L6421" s="0" t="s">
        <v>49</v>
      </c>
      <c r="M6421" s="0" t="s">
        <v>167</v>
      </c>
      <c r="N6421" s="0" t="n">
        <v>717</v>
      </c>
      <c r="O6421" s="10" t="n">
        <v>0.710441624512896</v>
      </c>
      <c r="P6421" s="10" t="n">
        <v>0.252706390339881</v>
      </c>
      <c r="Q6421" s="0" t="str">
        <f aca="false">SUBSTITUTE(SUBSTITUTE($I6421,CHAR(61),""),CHAR(34),"")</f>
        <v>&lt;01</v>
      </c>
      <c r="R6421" s="0" t="str">
        <f aca="false">IF($D6421&lt;&gt;"","["&amp;$E6421&amp;"]"&amp;"|"&amp;$Q6421&amp;"|"&amp;$K6421&amp;"|"&amp;$G6421&amp;"|"&amp;IF($G6421="TX_CURR_SUBNAT.R","CY2022Q4",$M6421),"")</f>
        <v>[ZCjuwgaMB9u]|&lt;01|Male|NEW_INFECTIONS_SUBNAT.T|CY2024Q3</v>
      </c>
    </row>
    <row r="6422" customFormat="false" ht="15" hidden="false" customHeight="false" outlineLevel="0" collapsed="false">
      <c r="D6422" s="0" t="s">
        <v>126</v>
      </c>
      <c r="E6422" s="0" t="s">
        <v>127</v>
      </c>
      <c r="F6422" s="0" t="s">
        <v>128</v>
      </c>
      <c r="G6422" s="0" t="s">
        <v>170</v>
      </c>
      <c r="H6422" s="0" t="s">
        <v>170</v>
      </c>
      <c r="I6422" s="0" t="s">
        <v>33</v>
      </c>
      <c r="J6422" s="0" t="s">
        <v>34</v>
      </c>
      <c r="K6422" s="0" t="s">
        <v>48</v>
      </c>
      <c r="L6422" s="0" t="s">
        <v>49</v>
      </c>
      <c r="M6422" s="0" t="s">
        <v>167</v>
      </c>
      <c r="N6422" s="0" t="n">
        <v>1164</v>
      </c>
      <c r="O6422" s="10" t="n">
        <v>0.185603645863011</v>
      </c>
      <c r="P6422" s="10" t="n">
        <v>0.252706390339881</v>
      </c>
      <c r="Q6422" s="0" t="str">
        <f aca="false">SUBSTITUTE(SUBSTITUTE($I6422,CHAR(61),""),CHAR(34),"")</f>
        <v>01-09</v>
      </c>
      <c r="R6422" s="0" t="str">
        <f aca="false">IF($D6422&lt;&gt;"","["&amp;$E6422&amp;"]"&amp;"|"&amp;$Q6422&amp;"|"&amp;$K6422&amp;"|"&amp;$G6422&amp;"|"&amp;IF($G6422="TX_CURR_SUBNAT.R","CY2022Q4",$M6422),"")</f>
        <v>[ZCjuwgaMB9u]|01-09|Male|NEW_INFECTIONS_SUBNAT.T|CY2024Q3</v>
      </c>
    </row>
    <row r="6423" customFormat="false" ht="15" hidden="false" customHeight="false" outlineLevel="0" collapsed="false">
      <c r="D6423" s="0" t="s">
        <v>126</v>
      </c>
      <c r="E6423" s="0" t="s">
        <v>127</v>
      </c>
      <c r="F6423" s="0" t="s">
        <v>128</v>
      </c>
      <c r="G6423" s="0" t="s">
        <v>170</v>
      </c>
      <c r="H6423" s="0" t="s">
        <v>170</v>
      </c>
      <c r="I6423" s="0" t="s">
        <v>36</v>
      </c>
      <c r="J6423" s="0" t="s">
        <v>37</v>
      </c>
      <c r="K6423" s="0" t="s">
        <v>48</v>
      </c>
      <c r="L6423" s="0" t="s">
        <v>49</v>
      </c>
      <c r="M6423" s="0" t="s">
        <v>167</v>
      </c>
      <c r="N6423" s="0" t="n">
        <v>1799</v>
      </c>
      <c r="O6423" s="10" t="n">
        <v>0.610012892633677</v>
      </c>
      <c r="P6423" s="10" t="n">
        <v>0.252706390339881</v>
      </c>
      <c r="Q6423" s="0" t="str">
        <f aca="false">SUBSTITUTE(SUBSTITUTE($I6423,CHAR(61),""),CHAR(34),"")</f>
        <v>10-14</v>
      </c>
      <c r="R6423" s="0" t="str">
        <f aca="false">IF($D6423&lt;&gt;"","["&amp;$E6423&amp;"]"&amp;"|"&amp;$Q6423&amp;"|"&amp;$K6423&amp;"|"&amp;$G6423&amp;"|"&amp;IF($G6423="TX_CURR_SUBNAT.R","CY2022Q4",$M6423),"")</f>
        <v>[ZCjuwgaMB9u]|10-14|Male|NEW_INFECTIONS_SUBNAT.T|CY2024Q3</v>
      </c>
    </row>
    <row r="6424" customFormat="false" ht="15" hidden="false" customHeight="false" outlineLevel="0" collapsed="false">
      <c r="D6424" s="0" t="s">
        <v>126</v>
      </c>
      <c r="E6424" s="0" t="s">
        <v>127</v>
      </c>
      <c r="F6424" s="0" t="s">
        <v>128</v>
      </c>
      <c r="G6424" s="0" t="s">
        <v>170</v>
      </c>
      <c r="H6424" s="0" t="s">
        <v>170</v>
      </c>
      <c r="I6424" s="0" t="s">
        <v>38</v>
      </c>
      <c r="J6424" s="0" t="s">
        <v>39</v>
      </c>
      <c r="K6424" s="0" t="s">
        <v>48</v>
      </c>
      <c r="L6424" s="0" t="s">
        <v>49</v>
      </c>
      <c r="M6424" s="0" t="s">
        <v>167</v>
      </c>
      <c r="N6424" s="0" t="n">
        <v>1214</v>
      </c>
      <c r="O6424" s="10" t="n">
        <v>0.97814906318672</v>
      </c>
      <c r="P6424" s="10" t="n">
        <v>0.252706390339881</v>
      </c>
      <c r="Q6424" s="0" t="str">
        <f aca="false">SUBSTITUTE(SUBSTITUTE($I6424,CHAR(61),""),CHAR(34),"")</f>
        <v>15-24</v>
      </c>
      <c r="R6424" s="0" t="str">
        <f aca="false">IF($D6424&lt;&gt;"","["&amp;$E6424&amp;"]"&amp;"|"&amp;$Q6424&amp;"|"&amp;$K6424&amp;"|"&amp;$G6424&amp;"|"&amp;IF($G6424="TX_CURR_SUBNAT.R","CY2022Q4",$M6424),"")</f>
        <v>[ZCjuwgaMB9u]|15-24|Male|NEW_INFECTIONS_SUBNAT.T|CY2024Q3</v>
      </c>
    </row>
    <row r="6425" customFormat="false" ht="15" hidden="false" customHeight="false" outlineLevel="0" collapsed="false">
      <c r="D6425" s="0" t="s">
        <v>126</v>
      </c>
      <c r="E6425" s="0" t="s">
        <v>127</v>
      </c>
      <c r="F6425" s="0" t="s">
        <v>128</v>
      </c>
      <c r="G6425" s="0" t="s">
        <v>170</v>
      </c>
      <c r="H6425" s="0" t="s">
        <v>170</v>
      </c>
      <c r="I6425" s="0" t="s">
        <v>41</v>
      </c>
      <c r="J6425" s="0" t="s">
        <v>42</v>
      </c>
      <c r="K6425" s="0" t="s">
        <v>48</v>
      </c>
      <c r="L6425" s="0" t="s">
        <v>49</v>
      </c>
      <c r="M6425" s="0" t="s">
        <v>167</v>
      </c>
      <c r="N6425" s="0" t="n">
        <v>521</v>
      </c>
      <c r="O6425" s="10" t="n">
        <v>0.0554960267618299</v>
      </c>
      <c r="P6425" s="10" t="n">
        <v>0.252706390339881</v>
      </c>
      <c r="Q6425" s="0" t="str">
        <f aca="false">SUBSTITUTE(SUBSTITUTE($I6425,CHAR(61),""),CHAR(34),"")</f>
        <v>25-34</v>
      </c>
      <c r="R6425" s="0" t="str">
        <f aca="false">IF($D6425&lt;&gt;"","["&amp;$E6425&amp;"]"&amp;"|"&amp;$Q6425&amp;"|"&amp;$K6425&amp;"|"&amp;$G6425&amp;"|"&amp;IF($G6425="TX_CURR_SUBNAT.R","CY2022Q4",$M6425),"")</f>
        <v>[ZCjuwgaMB9u]|25-34|Male|NEW_INFECTIONS_SUBNAT.T|CY2024Q3</v>
      </c>
    </row>
    <row r="6426" customFormat="false" ht="15" hidden="false" customHeight="false" outlineLevel="0" collapsed="false">
      <c r="D6426" s="0" t="s">
        <v>126</v>
      </c>
      <c r="E6426" s="0" t="s">
        <v>127</v>
      </c>
      <c r="F6426" s="0" t="s">
        <v>128</v>
      </c>
      <c r="G6426" s="0" t="s">
        <v>170</v>
      </c>
      <c r="H6426" s="0" t="s">
        <v>170</v>
      </c>
      <c r="I6426" s="0" t="s">
        <v>43</v>
      </c>
      <c r="J6426" s="0" t="s">
        <v>44</v>
      </c>
      <c r="K6426" s="0" t="s">
        <v>48</v>
      </c>
      <c r="L6426" s="0" t="s">
        <v>49</v>
      </c>
      <c r="M6426" s="0" t="s">
        <v>167</v>
      </c>
      <c r="N6426" s="0" t="n">
        <v>1219</v>
      </c>
      <c r="O6426" s="10" t="n">
        <v>0.0232165264897048</v>
      </c>
      <c r="P6426" s="10" t="n">
        <v>0.252706390339881</v>
      </c>
      <c r="Q6426" s="0" t="str">
        <f aca="false">SUBSTITUTE(SUBSTITUTE($I6426,CHAR(61),""),CHAR(34),"")</f>
        <v>35-49</v>
      </c>
      <c r="R6426" s="0" t="str">
        <f aca="false">IF($D6426&lt;&gt;"","["&amp;$E6426&amp;"]"&amp;"|"&amp;$Q6426&amp;"|"&amp;$K6426&amp;"|"&amp;$G6426&amp;"|"&amp;IF($G6426="TX_CURR_SUBNAT.R","CY2022Q4",$M6426),"")</f>
        <v>[ZCjuwgaMB9u]|35-49|Male|NEW_INFECTIONS_SUBNAT.T|CY2024Q3</v>
      </c>
    </row>
    <row r="6427" customFormat="false" ht="15" hidden="false" customHeight="false" outlineLevel="0" collapsed="false">
      <c r="D6427" s="0" t="s">
        <v>126</v>
      </c>
      <c r="E6427" s="0" t="s">
        <v>127</v>
      </c>
      <c r="F6427" s="0" t="s">
        <v>128</v>
      </c>
      <c r="G6427" s="0" t="s">
        <v>170</v>
      </c>
      <c r="H6427" s="0" t="s">
        <v>170</v>
      </c>
      <c r="I6427" s="0" t="s">
        <v>45</v>
      </c>
      <c r="J6427" s="0" t="s">
        <v>46</v>
      </c>
      <c r="K6427" s="0" t="s">
        <v>48</v>
      </c>
      <c r="L6427" s="0" t="s">
        <v>49</v>
      </c>
      <c r="M6427" s="0" t="s">
        <v>167</v>
      </c>
      <c r="N6427" s="0" t="n">
        <v>1632</v>
      </c>
      <c r="O6427" s="10" t="n">
        <v>0.0910091614350677</v>
      </c>
      <c r="P6427" s="10" t="n">
        <v>0.252706390339881</v>
      </c>
      <c r="Q6427" s="0" t="str">
        <f aca="false">SUBSTITUTE(SUBSTITUTE($I6427,CHAR(61),""),CHAR(34),"")</f>
        <v>50+</v>
      </c>
      <c r="R6427" s="0" t="str">
        <f aca="false">IF($D6427&lt;&gt;"","["&amp;$E6427&amp;"]"&amp;"|"&amp;$Q6427&amp;"|"&amp;$K6427&amp;"|"&amp;$G6427&amp;"|"&amp;IF($G6427="TX_CURR_SUBNAT.R","CY2022Q4",$M6427),"")</f>
        <v>[ZCjuwgaMB9u]|50+|Male|NEW_INFECTIONS_SUBNAT.T|CY2024Q3</v>
      </c>
    </row>
    <row r="6428" customFormat="false" ht="15" hidden="false" customHeight="false" outlineLevel="0" collapsed="false">
      <c r="D6428" s="0" t="s">
        <v>129</v>
      </c>
      <c r="E6428" s="0" t="s">
        <v>130</v>
      </c>
      <c r="F6428" s="0" t="s">
        <v>131</v>
      </c>
      <c r="G6428" s="0" t="s">
        <v>170</v>
      </c>
      <c r="H6428" s="0" t="s">
        <v>170</v>
      </c>
      <c r="I6428" s="0" t="s">
        <v>28</v>
      </c>
      <c r="J6428" s="0" t="s">
        <v>29</v>
      </c>
      <c r="K6428" s="0" t="s">
        <v>30</v>
      </c>
      <c r="L6428" s="0" t="s">
        <v>31</v>
      </c>
      <c r="M6428" s="0" t="s">
        <v>167</v>
      </c>
      <c r="N6428" s="0" t="n">
        <v>1735</v>
      </c>
      <c r="O6428" s="10" t="n">
        <v>0.684909909730777</v>
      </c>
      <c r="P6428" s="10" t="n">
        <v>0.556908084778115</v>
      </c>
      <c r="Q6428" s="0" t="str">
        <f aca="false">SUBSTITUTE(SUBSTITUTE($I6428,CHAR(61),""),CHAR(34),"")</f>
        <v>&lt;01</v>
      </c>
      <c r="R6428" s="0" t="str">
        <f aca="false">IF($D6428&lt;&gt;"","["&amp;$E6428&amp;"]"&amp;"|"&amp;$Q6428&amp;"|"&amp;$K6428&amp;"|"&amp;$G6428&amp;"|"&amp;IF($G6428="TX_CURR_SUBNAT.R","CY2022Q4",$M6428),"")</f>
        <v>[YCKiBAp8QAg]|&lt;01|Female|NEW_INFECTIONS_SUBNAT.T|CY2024Q3</v>
      </c>
    </row>
    <row r="6429" customFormat="false" ht="15" hidden="false" customHeight="false" outlineLevel="0" collapsed="false">
      <c r="D6429" s="0" t="s">
        <v>129</v>
      </c>
      <c r="E6429" s="0" t="s">
        <v>130</v>
      </c>
      <c r="F6429" s="0" t="s">
        <v>131</v>
      </c>
      <c r="G6429" s="0" t="s">
        <v>170</v>
      </c>
      <c r="H6429" s="0" t="s">
        <v>170</v>
      </c>
      <c r="I6429" s="0" t="s">
        <v>33</v>
      </c>
      <c r="J6429" s="0" t="s">
        <v>34</v>
      </c>
      <c r="K6429" s="0" t="s">
        <v>30</v>
      </c>
      <c r="L6429" s="0" t="s">
        <v>31</v>
      </c>
      <c r="M6429" s="0" t="s">
        <v>167</v>
      </c>
      <c r="N6429" s="0" t="n">
        <v>623</v>
      </c>
      <c r="O6429" s="10" t="n">
        <v>0.61667229514569</v>
      </c>
      <c r="P6429" s="10" t="n">
        <v>0.556908084778115</v>
      </c>
      <c r="Q6429" s="0" t="str">
        <f aca="false">SUBSTITUTE(SUBSTITUTE($I6429,CHAR(61),""),CHAR(34),"")</f>
        <v>01-09</v>
      </c>
      <c r="R6429" s="0" t="str">
        <f aca="false">IF($D6429&lt;&gt;"","["&amp;$E6429&amp;"]"&amp;"|"&amp;$Q6429&amp;"|"&amp;$K6429&amp;"|"&amp;$G6429&amp;"|"&amp;IF($G6429="TX_CURR_SUBNAT.R","CY2022Q4",$M6429),"")</f>
        <v>[YCKiBAp8QAg]|01-09|Female|NEW_INFECTIONS_SUBNAT.T|CY2024Q3</v>
      </c>
    </row>
    <row r="6430" customFormat="false" ht="15" hidden="false" customHeight="false" outlineLevel="0" collapsed="false">
      <c r="D6430" s="0" t="s">
        <v>129</v>
      </c>
      <c r="E6430" s="0" t="s">
        <v>130</v>
      </c>
      <c r="F6430" s="0" t="s">
        <v>131</v>
      </c>
      <c r="G6430" s="0" t="s">
        <v>170</v>
      </c>
      <c r="H6430" s="0" t="s">
        <v>170</v>
      </c>
      <c r="I6430" s="0" t="s">
        <v>36</v>
      </c>
      <c r="J6430" s="0" t="s">
        <v>37</v>
      </c>
      <c r="K6430" s="0" t="s">
        <v>30</v>
      </c>
      <c r="L6430" s="0" t="s">
        <v>31</v>
      </c>
      <c r="M6430" s="0" t="s">
        <v>167</v>
      </c>
      <c r="N6430" s="0" t="n">
        <v>584</v>
      </c>
      <c r="O6430" s="10" t="n">
        <v>0.188140206504613</v>
      </c>
      <c r="P6430" s="10" t="n">
        <v>0.556908084778115</v>
      </c>
      <c r="Q6430" s="0" t="str">
        <f aca="false">SUBSTITUTE(SUBSTITUTE($I6430,CHAR(61),""),CHAR(34),"")</f>
        <v>10-14</v>
      </c>
      <c r="R6430" s="0" t="str">
        <f aca="false">IF($D6430&lt;&gt;"","["&amp;$E6430&amp;"]"&amp;"|"&amp;$Q6430&amp;"|"&amp;$K6430&amp;"|"&amp;$G6430&amp;"|"&amp;IF($G6430="TX_CURR_SUBNAT.R","CY2022Q4",$M6430),"")</f>
        <v>[YCKiBAp8QAg]|10-14|Female|NEW_INFECTIONS_SUBNAT.T|CY2024Q3</v>
      </c>
    </row>
    <row r="6431" customFormat="false" ht="15" hidden="false" customHeight="false" outlineLevel="0" collapsed="false">
      <c r="D6431" s="0" t="s">
        <v>129</v>
      </c>
      <c r="E6431" s="0" t="s">
        <v>130</v>
      </c>
      <c r="F6431" s="0" t="s">
        <v>131</v>
      </c>
      <c r="G6431" s="0" t="s">
        <v>170</v>
      </c>
      <c r="H6431" s="0" t="s">
        <v>170</v>
      </c>
      <c r="I6431" s="0" t="s">
        <v>38</v>
      </c>
      <c r="J6431" s="0" t="s">
        <v>39</v>
      </c>
      <c r="K6431" s="0" t="s">
        <v>30</v>
      </c>
      <c r="L6431" s="0" t="s">
        <v>31</v>
      </c>
      <c r="M6431" s="0" t="s">
        <v>167</v>
      </c>
      <c r="N6431" s="0" t="n">
        <v>1166</v>
      </c>
      <c r="O6431" s="10" t="n">
        <v>0.591912245145068</v>
      </c>
      <c r="P6431" s="10" t="n">
        <v>0.556908084778115</v>
      </c>
      <c r="Q6431" s="0" t="str">
        <f aca="false">SUBSTITUTE(SUBSTITUTE($I6431,CHAR(61),""),CHAR(34),"")</f>
        <v>15-24</v>
      </c>
      <c r="R6431" s="0" t="str">
        <f aca="false">IF($D6431&lt;&gt;"","["&amp;$E6431&amp;"]"&amp;"|"&amp;$Q6431&amp;"|"&amp;$K6431&amp;"|"&amp;$G6431&amp;"|"&amp;IF($G6431="TX_CURR_SUBNAT.R","CY2022Q4",$M6431),"")</f>
        <v>[YCKiBAp8QAg]|15-24|Female|NEW_INFECTIONS_SUBNAT.T|CY2024Q3</v>
      </c>
    </row>
    <row r="6432" customFormat="false" ht="15" hidden="false" customHeight="false" outlineLevel="0" collapsed="false">
      <c r="D6432" s="0" t="s">
        <v>129</v>
      </c>
      <c r="E6432" s="0" t="s">
        <v>130</v>
      </c>
      <c r="F6432" s="0" t="s">
        <v>131</v>
      </c>
      <c r="G6432" s="0" t="s">
        <v>170</v>
      </c>
      <c r="H6432" s="0" t="s">
        <v>170</v>
      </c>
      <c r="I6432" s="0" t="s">
        <v>41</v>
      </c>
      <c r="J6432" s="0" t="s">
        <v>42</v>
      </c>
      <c r="K6432" s="0" t="s">
        <v>30</v>
      </c>
      <c r="L6432" s="0" t="s">
        <v>31</v>
      </c>
      <c r="M6432" s="0" t="s">
        <v>167</v>
      </c>
      <c r="N6432" s="0" t="n">
        <v>1436</v>
      </c>
      <c r="O6432" s="10" t="n">
        <v>0.0300326994620264</v>
      </c>
      <c r="P6432" s="10" t="n">
        <v>0.556908084778115</v>
      </c>
      <c r="Q6432" s="0" t="str">
        <f aca="false">SUBSTITUTE(SUBSTITUTE($I6432,CHAR(61),""),CHAR(34),"")</f>
        <v>25-34</v>
      </c>
      <c r="R6432" s="0" t="str">
        <f aca="false">IF($D6432&lt;&gt;"","["&amp;$E6432&amp;"]"&amp;"|"&amp;$Q6432&amp;"|"&amp;$K6432&amp;"|"&amp;$G6432&amp;"|"&amp;IF($G6432="TX_CURR_SUBNAT.R","CY2022Q4",$M6432),"")</f>
        <v>[YCKiBAp8QAg]|25-34|Female|NEW_INFECTIONS_SUBNAT.T|CY2024Q3</v>
      </c>
    </row>
    <row r="6433" customFormat="false" ht="15" hidden="false" customHeight="false" outlineLevel="0" collapsed="false">
      <c r="D6433" s="0" t="s">
        <v>129</v>
      </c>
      <c r="E6433" s="0" t="s">
        <v>130</v>
      </c>
      <c r="F6433" s="0" t="s">
        <v>131</v>
      </c>
      <c r="G6433" s="0" t="s">
        <v>170</v>
      </c>
      <c r="H6433" s="0" t="s">
        <v>170</v>
      </c>
      <c r="I6433" s="0" t="s">
        <v>43</v>
      </c>
      <c r="J6433" s="0" t="s">
        <v>44</v>
      </c>
      <c r="K6433" s="0" t="s">
        <v>30</v>
      </c>
      <c r="L6433" s="0" t="s">
        <v>31</v>
      </c>
      <c r="M6433" s="0" t="s">
        <v>167</v>
      </c>
      <c r="N6433" s="0" t="n">
        <v>1380</v>
      </c>
      <c r="O6433" s="10" t="n">
        <v>0.413175072753802</v>
      </c>
      <c r="P6433" s="10" t="n">
        <v>0.556908084778115</v>
      </c>
      <c r="Q6433" s="0" t="str">
        <f aca="false">SUBSTITUTE(SUBSTITUTE($I6433,CHAR(61),""),CHAR(34),"")</f>
        <v>35-49</v>
      </c>
      <c r="R6433" s="0" t="str">
        <f aca="false">IF($D6433&lt;&gt;"","["&amp;$E6433&amp;"]"&amp;"|"&amp;$Q6433&amp;"|"&amp;$K6433&amp;"|"&amp;$G6433&amp;"|"&amp;IF($G6433="TX_CURR_SUBNAT.R","CY2022Q4",$M6433),"")</f>
        <v>[YCKiBAp8QAg]|35-49|Female|NEW_INFECTIONS_SUBNAT.T|CY2024Q3</v>
      </c>
    </row>
    <row r="6434" customFormat="false" ht="15" hidden="false" customHeight="false" outlineLevel="0" collapsed="false">
      <c r="D6434" s="0" t="s">
        <v>129</v>
      </c>
      <c r="E6434" s="0" t="s">
        <v>130</v>
      </c>
      <c r="F6434" s="0" t="s">
        <v>131</v>
      </c>
      <c r="G6434" s="0" t="s">
        <v>170</v>
      </c>
      <c r="H6434" s="0" t="s">
        <v>170</v>
      </c>
      <c r="I6434" s="0" t="s">
        <v>45</v>
      </c>
      <c r="J6434" s="0" t="s">
        <v>46</v>
      </c>
      <c r="K6434" s="0" t="s">
        <v>30</v>
      </c>
      <c r="L6434" s="0" t="s">
        <v>31</v>
      </c>
      <c r="M6434" s="0" t="s">
        <v>167</v>
      </c>
      <c r="N6434" s="0" t="n">
        <v>1766</v>
      </c>
      <c r="O6434" s="10" t="n">
        <v>0.86478899535723</v>
      </c>
      <c r="P6434" s="10" t="n">
        <v>0.556908084778115</v>
      </c>
      <c r="Q6434" s="0" t="str">
        <f aca="false">SUBSTITUTE(SUBSTITUTE($I6434,CHAR(61),""),CHAR(34),"")</f>
        <v>50+</v>
      </c>
      <c r="R6434" s="0" t="str">
        <f aca="false">IF($D6434&lt;&gt;"","["&amp;$E6434&amp;"]"&amp;"|"&amp;$Q6434&amp;"|"&amp;$K6434&amp;"|"&amp;$G6434&amp;"|"&amp;IF($G6434="TX_CURR_SUBNAT.R","CY2022Q4",$M6434),"")</f>
        <v>[YCKiBAp8QAg]|50+|Female|NEW_INFECTIONS_SUBNAT.T|CY2024Q3</v>
      </c>
    </row>
    <row r="6435" customFormat="false" ht="15" hidden="false" customHeight="false" outlineLevel="0" collapsed="false">
      <c r="D6435" s="0" t="s">
        <v>129</v>
      </c>
      <c r="E6435" s="0" t="s">
        <v>130</v>
      </c>
      <c r="F6435" s="0" t="s">
        <v>131</v>
      </c>
      <c r="G6435" s="0" t="s">
        <v>170</v>
      </c>
      <c r="H6435" s="0" t="s">
        <v>170</v>
      </c>
      <c r="I6435" s="0" t="s">
        <v>28</v>
      </c>
      <c r="J6435" s="0" t="s">
        <v>29</v>
      </c>
      <c r="K6435" s="0" t="s">
        <v>48</v>
      </c>
      <c r="L6435" s="0" t="s">
        <v>49</v>
      </c>
      <c r="M6435" s="0" t="s">
        <v>167</v>
      </c>
      <c r="N6435" s="0" t="n">
        <v>845</v>
      </c>
      <c r="O6435" s="10" t="n">
        <v>0.512577884364873</v>
      </c>
      <c r="P6435" s="10" t="n">
        <v>0.556908084778115</v>
      </c>
      <c r="Q6435" s="0" t="str">
        <f aca="false">SUBSTITUTE(SUBSTITUTE($I6435,CHAR(61),""),CHAR(34),"")</f>
        <v>&lt;01</v>
      </c>
      <c r="R6435" s="0" t="str">
        <f aca="false">IF($D6435&lt;&gt;"","["&amp;$E6435&amp;"]"&amp;"|"&amp;$Q6435&amp;"|"&amp;$K6435&amp;"|"&amp;$G6435&amp;"|"&amp;IF($G6435="TX_CURR_SUBNAT.R","CY2022Q4",$M6435),"")</f>
        <v>[YCKiBAp8QAg]|&lt;01|Male|NEW_INFECTIONS_SUBNAT.T|CY2024Q3</v>
      </c>
    </row>
    <row r="6436" customFormat="false" ht="15" hidden="false" customHeight="false" outlineLevel="0" collapsed="false">
      <c r="D6436" s="0" t="s">
        <v>129</v>
      </c>
      <c r="E6436" s="0" t="s">
        <v>130</v>
      </c>
      <c r="F6436" s="0" t="s">
        <v>131</v>
      </c>
      <c r="G6436" s="0" t="s">
        <v>170</v>
      </c>
      <c r="H6436" s="0" t="s">
        <v>170</v>
      </c>
      <c r="I6436" s="0" t="s">
        <v>33</v>
      </c>
      <c r="J6436" s="0" t="s">
        <v>34</v>
      </c>
      <c r="K6436" s="0" t="s">
        <v>48</v>
      </c>
      <c r="L6436" s="0" t="s">
        <v>49</v>
      </c>
      <c r="M6436" s="0" t="s">
        <v>167</v>
      </c>
      <c r="N6436" s="0" t="n">
        <v>1283</v>
      </c>
      <c r="O6436" s="10" t="n">
        <v>0.502319846302271</v>
      </c>
      <c r="P6436" s="10" t="n">
        <v>0.556908084778115</v>
      </c>
      <c r="Q6436" s="0" t="str">
        <f aca="false">SUBSTITUTE(SUBSTITUTE($I6436,CHAR(61),""),CHAR(34),"")</f>
        <v>01-09</v>
      </c>
      <c r="R6436" s="0" t="str">
        <f aca="false">IF($D6436&lt;&gt;"","["&amp;$E6436&amp;"]"&amp;"|"&amp;$Q6436&amp;"|"&amp;$K6436&amp;"|"&amp;$G6436&amp;"|"&amp;IF($G6436="TX_CURR_SUBNAT.R","CY2022Q4",$M6436),"")</f>
        <v>[YCKiBAp8QAg]|01-09|Male|NEW_INFECTIONS_SUBNAT.T|CY2024Q3</v>
      </c>
    </row>
    <row r="6437" customFormat="false" ht="15" hidden="false" customHeight="false" outlineLevel="0" collapsed="false">
      <c r="D6437" s="0" t="s">
        <v>129</v>
      </c>
      <c r="E6437" s="0" t="s">
        <v>130</v>
      </c>
      <c r="F6437" s="0" t="s">
        <v>131</v>
      </c>
      <c r="G6437" s="0" t="s">
        <v>170</v>
      </c>
      <c r="H6437" s="0" t="s">
        <v>170</v>
      </c>
      <c r="I6437" s="0" t="s">
        <v>36</v>
      </c>
      <c r="J6437" s="0" t="s">
        <v>37</v>
      </c>
      <c r="K6437" s="0" t="s">
        <v>48</v>
      </c>
      <c r="L6437" s="0" t="s">
        <v>49</v>
      </c>
      <c r="M6437" s="0" t="s">
        <v>167</v>
      </c>
      <c r="N6437" s="0" t="n">
        <v>1266</v>
      </c>
      <c r="O6437" s="10" t="n">
        <v>0.315417304402217</v>
      </c>
      <c r="P6437" s="10" t="n">
        <v>0.556908084778115</v>
      </c>
      <c r="Q6437" s="0" t="str">
        <f aca="false">SUBSTITUTE(SUBSTITUTE($I6437,CHAR(61),""),CHAR(34),"")</f>
        <v>10-14</v>
      </c>
      <c r="R6437" s="0" t="str">
        <f aca="false">IF($D6437&lt;&gt;"","["&amp;$E6437&amp;"]"&amp;"|"&amp;$Q6437&amp;"|"&amp;$K6437&amp;"|"&amp;$G6437&amp;"|"&amp;IF($G6437="TX_CURR_SUBNAT.R","CY2022Q4",$M6437),"")</f>
        <v>[YCKiBAp8QAg]|10-14|Male|NEW_INFECTIONS_SUBNAT.T|CY2024Q3</v>
      </c>
    </row>
    <row r="6438" customFormat="false" ht="15" hidden="false" customHeight="false" outlineLevel="0" collapsed="false">
      <c r="D6438" s="0" t="s">
        <v>129</v>
      </c>
      <c r="E6438" s="0" t="s">
        <v>130</v>
      </c>
      <c r="F6438" s="0" t="s">
        <v>131</v>
      </c>
      <c r="G6438" s="0" t="s">
        <v>170</v>
      </c>
      <c r="H6438" s="0" t="s">
        <v>170</v>
      </c>
      <c r="I6438" s="0" t="s">
        <v>38</v>
      </c>
      <c r="J6438" s="0" t="s">
        <v>39</v>
      </c>
      <c r="K6438" s="0" t="s">
        <v>48</v>
      </c>
      <c r="L6438" s="0" t="s">
        <v>49</v>
      </c>
      <c r="M6438" s="0" t="s">
        <v>167</v>
      </c>
      <c r="N6438" s="0" t="n">
        <v>861</v>
      </c>
      <c r="O6438" s="10" t="n">
        <v>0.537673245882615</v>
      </c>
      <c r="P6438" s="10" t="n">
        <v>0.556908084778115</v>
      </c>
      <c r="Q6438" s="0" t="str">
        <f aca="false">SUBSTITUTE(SUBSTITUTE($I6438,CHAR(61),""),CHAR(34),"")</f>
        <v>15-24</v>
      </c>
      <c r="R6438" s="0" t="str">
        <f aca="false">IF($D6438&lt;&gt;"","["&amp;$E6438&amp;"]"&amp;"|"&amp;$Q6438&amp;"|"&amp;$K6438&amp;"|"&amp;$G6438&amp;"|"&amp;IF($G6438="TX_CURR_SUBNAT.R","CY2022Q4",$M6438),"")</f>
        <v>[YCKiBAp8QAg]|15-24|Male|NEW_INFECTIONS_SUBNAT.T|CY2024Q3</v>
      </c>
    </row>
    <row r="6439" customFormat="false" ht="15" hidden="false" customHeight="false" outlineLevel="0" collapsed="false">
      <c r="D6439" s="0" t="s">
        <v>129</v>
      </c>
      <c r="E6439" s="0" t="s">
        <v>130</v>
      </c>
      <c r="F6439" s="0" t="s">
        <v>131</v>
      </c>
      <c r="G6439" s="0" t="s">
        <v>170</v>
      </c>
      <c r="H6439" s="0" t="s">
        <v>170</v>
      </c>
      <c r="I6439" s="0" t="s">
        <v>41</v>
      </c>
      <c r="J6439" s="0" t="s">
        <v>42</v>
      </c>
      <c r="K6439" s="0" t="s">
        <v>48</v>
      </c>
      <c r="L6439" s="0" t="s">
        <v>49</v>
      </c>
      <c r="M6439" s="0" t="s">
        <v>167</v>
      </c>
      <c r="N6439" s="0" t="n">
        <v>1489</v>
      </c>
      <c r="O6439" s="10" t="n">
        <v>0.968249639263377</v>
      </c>
      <c r="P6439" s="10" t="n">
        <v>0.556908084778115</v>
      </c>
      <c r="Q6439" s="0" t="str">
        <f aca="false">SUBSTITUTE(SUBSTITUTE($I6439,CHAR(61),""),CHAR(34),"")</f>
        <v>25-34</v>
      </c>
      <c r="R6439" s="0" t="str">
        <f aca="false">IF($D6439&lt;&gt;"","["&amp;$E6439&amp;"]"&amp;"|"&amp;$Q6439&amp;"|"&amp;$K6439&amp;"|"&amp;$G6439&amp;"|"&amp;IF($G6439="TX_CURR_SUBNAT.R","CY2022Q4",$M6439),"")</f>
        <v>[YCKiBAp8QAg]|25-34|Male|NEW_INFECTIONS_SUBNAT.T|CY2024Q3</v>
      </c>
    </row>
    <row r="6440" customFormat="false" ht="15" hidden="false" customHeight="false" outlineLevel="0" collapsed="false">
      <c r="D6440" s="0" t="s">
        <v>129</v>
      </c>
      <c r="E6440" s="0" t="s">
        <v>130</v>
      </c>
      <c r="F6440" s="0" t="s">
        <v>131</v>
      </c>
      <c r="G6440" s="0" t="s">
        <v>170</v>
      </c>
      <c r="H6440" s="0" t="s">
        <v>170</v>
      </c>
      <c r="I6440" s="0" t="s">
        <v>43</v>
      </c>
      <c r="J6440" s="0" t="s">
        <v>44</v>
      </c>
      <c r="K6440" s="0" t="s">
        <v>48</v>
      </c>
      <c r="L6440" s="0" t="s">
        <v>49</v>
      </c>
      <c r="M6440" s="0" t="s">
        <v>167</v>
      </c>
      <c r="N6440" s="0" t="n">
        <v>1832</v>
      </c>
      <c r="O6440" s="10" t="n">
        <v>0.943707392783836</v>
      </c>
      <c r="P6440" s="10" t="n">
        <v>0.556908084778115</v>
      </c>
      <c r="Q6440" s="0" t="str">
        <f aca="false">SUBSTITUTE(SUBSTITUTE($I6440,CHAR(61),""),CHAR(34),"")</f>
        <v>35-49</v>
      </c>
      <c r="R6440" s="0" t="str">
        <f aca="false">IF($D6440&lt;&gt;"","["&amp;$E6440&amp;"]"&amp;"|"&amp;$Q6440&amp;"|"&amp;$K6440&amp;"|"&amp;$G6440&amp;"|"&amp;IF($G6440="TX_CURR_SUBNAT.R","CY2022Q4",$M6440),"")</f>
        <v>[YCKiBAp8QAg]|35-49|Male|NEW_INFECTIONS_SUBNAT.T|CY2024Q3</v>
      </c>
    </row>
    <row r="6441" customFormat="false" ht="15" hidden="false" customHeight="false" outlineLevel="0" collapsed="false">
      <c r="D6441" s="0" t="s">
        <v>129</v>
      </c>
      <c r="E6441" s="0" t="s">
        <v>130</v>
      </c>
      <c r="F6441" s="0" t="s">
        <v>131</v>
      </c>
      <c r="G6441" s="0" t="s">
        <v>170</v>
      </c>
      <c r="H6441" s="0" t="s">
        <v>170</v>
      </c>
      <c r="I6441" s="0" t="s">
        <v>45</v>
      </c>
      <c r="J6441" s="0" t="s">
        <v>46</v>
      </c>
      <c r="K6441" s="0" t="s">
        <v>48</v>
      </c>
      <c r="L6441" s="0" t="s">
        <v>49</v>
      </c>
      <c r="M6441" s="0" t="s">
        <v>167</v>
      </c>
      <c r="N6441" s="0" t="n">
        <v>1957</v>
      </c>
      <c r="O6441" s="10" t="n">
        <v>0.0129526020027697</v>
      </c>
      <c r="P6441" s="10" t="n">
        <v>0.556908084778115</v>
      </c>
      <c r="Q6441" s="0" t="str">
        <f aca="false">SUBSTITUTE(SUBSTITUTE($I6441,CHAR(61),""),CHAR(34),"")</f>
        <v>50+</v>
      </c>
      <c r="R6441" s="0" t="str">
        <f aca="false">IF($D6441&lt;&gt;"","["&amp;$E6441&amp;"]"&amp;"|"&amp;$Q6441&amp;"|"&amp;$K6441&amp;"|"&amp;$G6441&amp;"|"&amp;IF($G6441="TX_CURR_SUBNAT.R","CY2022Q4",$M6441),"")</f>
        <v>[YCKiBAp8QAg]|50+|Male|NEW_INFECTIONS_SUBNAT.T|CY2024Q3</v>
      </c>
    </row>
    <row r="6442" customFormat="false" ht="15" hidden="false" customHeight="false" outlineLevel="0" collapsed="false">
      <c r="D6442" s="0" t="s">
        <v>132</v>
      </c>
      <c r="E6442" s="0" t="s">
        <v>133</v>
      </c>
      <c r="F6442" s="0" t="s">
        <v>134</v>
      </c>
      <c r="G6442" s="0" t="s">
        <v>170</v>
      </c>
      <c r="H6442" s="0" t="s">
        <v>170</v>
      </c>
      <c r="I6442" s="0" t="s">
        <v>28</v>
      </c>
      <c r="J6442" s="0" t="s">
        <v>29</v>
      </c>
      <c r="K6442" s="0" t="s">
        <v>30</v>
      </c>
      <c r="L6442" s="0" t="s">
        <v>31</v>
      </c>
      <c r="M6442" s="0" t="s">
        <v>167</v>
      </c>
      <c r="N6442" s="0" t="n">
        <v>1332</v>
      </c>
      <c r="O6442" s="10" t="n">
        <v>0.373026332817972</v>
      </c>
      <c r="P6442" s="10" t="n">
        <v>0.162863194011152</v>
      </c>
      <c r="Q6442" s="0" t="str">
        <f aca="false">SUBSTITUTE(SUBSTITUTE($I6442,CHAR(61),""),CHAR(34),"")</f>
        <v>&lt;01</v>
      </c>
      <c r="R6442" s="0" t="str">
        <f aca="false">IF($D6442&lt;&gt;"","["&amp;$E6442&amp;"]"&amp;"|"&amp;$Q6442&amp;"|"&amp;$K6442&amp;"|"&amp;$G6442&amp;"|"&amp;IF($G6442="TX_CURR_SUBNAT.R","CY2022Q4",$M6442),"")</f>
        <v>[JQKLKuVuY61]|&lt;01|Female|NEW_INFECTIONS_SUBNAT.T|CY2024Q3</v>
      </c>
    </row>
    <row r="6443" customFormat="false" ht="15" hidden="false" customHeight="false" outlineLevel="0" collapsed="false">
      <c r="D6443" s="0" t="s">
        <v>132</v>
      </c>
      <c r="E6443" s="0" t="s">
        <v>133</v>
      </c>
      <c r="F6443" s="0" t="s">
        <v>134</v>
      </c>
      <c r="G6443" s="0" t="s">
        <v>170</v>
      </c>
      <c r="H6443" s="0" t="s">
        <v>170</v>
      </c>
      <c r="I6443" s="0" t="s">
        <v>33</v>
      </c>
      <c r="J6443" s="0" t="s">
        <v>34</v>
      </c>
      <c r="K6443" s="0" t="s">
        <v>30</v>
      </c>
      <c r="L6443" s="0" t="s">
        <v>31</v>
      </c>
      <c r="M6443" s="0" t="s">
        <v>167</v>
      </c>
      <c r="N6443" s="0" t="n">
        <v>1849</v>
      </c>
      <c r="O6443" s="10" t="n">
        <v>0.109288935549557</v>
      </c>
      <c r="P6443" s="10" t="n">
        <v>0.162863194011152</v>
      </c>
      <c r="Q6443" s="0" t="str">
        <f aca="false">SUBSTITUTE(SUBSTITUTE($I6443,CHAR(61),""),CHAR(34),"")</f>
        <v>01-09</v>
      </c>
      <c r="R6443" s="0" t="str">
        <f aca="false">IF($D6443&lt;&gt;"","["&amp;$E6443&amp;"]"&amp;"|"&amp;$Q6443&amp;"|"&amp;$K6443&amp;"|"&amp;$G6443&amp;"|"&amp;IF($G6443="TX_CURR_SUBNAT.R","CY2022Q4",$M6443),"")</f>
        <v>[JQKLKuVuY61]|01-09|Female|NEW_INFECTIONS_SUBNAT.T|CY2024Q3</v>
      </c>
    </row>
    <row r="6444" customFormat="false" ht="15" hidden="false" customHeight="false" outlineLevel="0" collapsed="false">
      <c r="D6444" s="0" t="s">
        <v>132</v>
      </c>
      <c r="E6444" s="0" t="s">
        <v>133</v>
      </c>
      <c r="F6444" s="0" t="s">
        <v>134</v>
      </c>
      <c r="G6444" s="0" t="s">
        <v>170</v>
      </c>
      <c r="H6444" s="0" t="s">
        <v>170</v>
      </c>
      <c r="I6444" s="0" t="s">
        <v>36</v>
      </c>
      <c r="J6444" s="0" t="s">
        <v>37</v>
      </c>
      <c r="K6444" s="0" t="s">
        <v>30</v>
      </c>
      <c r="L6444" s="0" t="s">
        <v>31</v>
      </c>
      <c r="M6444" s="0" t="s">
        <v>167</v>
      </c>
      <c r="N6444" s="0" t="n">
        <v>1161</v>
      </c>
      <c r="O6444" s="10" t="n">
        <v>0.95715110306628</v>
      </c>
      <c r="P6444" s="10" t="n">
        <v>0.162863194011152</v>
      </c>
      <c r="Q6444" s="0" t="str">
        <f aca="false">SUBSTITUTE(SUBSTITUTE($I6444,CHAR(61),""),CHAR(34),"")</f>
        <v>10-14</v>
      </c>
      <c r="R6444" s="0" t="str">
        <f aca="false">IF($D6444&lt;&gt;"","["&amp;$E6444&amp;"]"&amp;"|"&amp;$Q6444&amp;"|"&amp;$K6444&amp;"|"&amp;$G6444&amp;"|"&amp;IF($G6444="TX_CURR_SUBNAT.R","CY2022Q4",$M6444),"")</f>
        <v>[JQKLKuVuY61]|10-14|Female|NEW_INFECTIONS_SUBNAT.T|CY2024Q3</v>
      </c>
    </row>
    <row r="6445" customFormat="false" ht="15" hidden="false" customHeight="false" outlineLevel="0" collapsed="false">
      <c r="D6445" s="0" t="s">
        <v>132</v>
      </c>
      <c r="E6445" s="0" t="s">
        <v>133</v>
      </c>
      <c r="F6445" s="0" t="s">
        <v>134</v>
      </c>
      <c r="G6445" s="0" t="s">
        <v>170</v>
      </c>
      <c r="H6445" s="0" t="s">
        <v>170</v>
      </c>
      <c r="I6445" s="0" t="s">
        <v>38</v>
      </c>
      <c r="J6445" s="0" t="s">
        <v>39</v>
      </c>
      <c r="K6445" s="0" t="s">
        <v>30</v>
      </c>
      <c r="L6445" s="0" t="s">
        <v>31</v>
      </c>
      <c r="M6445" s="0" t="s">
        <v>167</v>
      </c>
      <c r="N6445" s="0" t="n">
        <v>1185</v>
      </c>
      <c r="O6445" s="10" t="n">
        <v>0.431575581431389</v>
      </c>
      <c r="P6445" s="10" t="n">
        <v>0.162863194011152</v>
      </c>
      <c r="Q6445" s="0" t="str">
        <f aca="false">SUBSTITUTE(SUBSTITUTE($I6445,CHAR(61),""),CHAR(34),"")</f>
        <v>15-24</v>
      </c>
      <c r="R6445" s="0" t="str">
        <f aca="false">IF($D6445&lt;&gt;"","["&amp;$E6445&amp;"]"&amp;"|"&amp;$Q6445&amp;"|"&amp;$K6445&amp;"|"&amp;$G6445&amp;"|"&amp;IF($G6445="TX_CURR_SUBNAT.R","CY2022Q4",$M6445),"")</f>
        <v>[JQKLKuVuY61]|15-24|Female|NEW_INFECTIONS_SUBNAT.T|CY2024Q3</v>
      </c>
    </row>
    <row r="6446" customFormat="false" ht="15" hidden="false" customHeight="false" outlineLevel="0" collapsed="false">
      <c r="D6446" s="0" t="s">
        <v>132</v>
      </c>
      <c r="E6446" s="0" t="s">
        <v>133</v>
      </c>
      <c r="F6446" s="0" t="s">
        <v>134</v>
      </c>
      <c r="G6446" s="0" t="s">
        <v>170</v>
      </c>
      <c r="H6446" s="0" t="s">
        <v>170</v>
      </c>
      <c r="I6446" s="0" t="s">
        <v>41</v>
      </c>
      <c r="J6446" s="0" t="s">
        <v>42</v>
      </c>
      <c r="K6446" s="0" t="s">
        <v>30</v>
      </c>
      <c r="L6446" s="0" t="s">
        <v>31</v>
      </c>
      <c r="M6446" s="0" t="s">
        <v>167</v>
      </c>
      <c r="N6446" s="0" t="n">
        <v>1800</v>
      </c>
      <c r="O6446" s="10" t="n">
        <v>0.564813384320587</v>
      </c>
      <c r="P6446" s="10" t="n">
        <v>0.162863194011152</v>
      </c>
      <c r="Q6446" s="0" t="str">
        <f aca="false">SUBSTITUTE(SUBSTITUTE($I6446,CHAR(61),""),CHAR(34),"")</f>
        <v>25-34</v>
      </c>
      <c r="R6446" s="0" t="str">
        <f aca="false">IF($D6446&lt;&gt;"","["&amp;$E6446&amp;"]"&amp;"|"&amp;$Q6446&amp;"|"&amp;$K6446&amp;"|"&amp;$G6446&amp;"|"&amp;IF($G6446="TX_CURR_SUBNAT.R","CY2022Q4",$M6446),"")</f>
        <v>[JQKLKuVuY61]|25-34|Female|NEW_INFECTIONS_SUBNAT.T|CY2024Q3</v>
      </c>
    </row>
    <row r="6447" customFormat="false" ht="15" hidden="false" customHeight="false" outlineLevel="0" collapsed="false">
      <c r="D6447" s="0" t="s">
        <v>132</v>
      </c>
      <c r="E6447" s="0" t="s">
        <v>133</v>
      </c>
      <c r="F6447" s="0" t="s">
        <v>134</v>
      </c>
      <c r="G6447" s="0" t="s">
        <v>170</v>
      </c>
      <c r="H6447" s="0" t="s">
        <v>170</v>
      </c>
      <c r="I6447" s="0" t="s">
        <v>43</v>
      </c>
      <c r="J6447" s="0" t="s">
        <v>44</v>
      </c>
      <c r="K6447" s="0" t="s">
        <v>30</v>
      </c>
      <c r="L6447" s="0" t="s">
        <v>31</v>
      </c>
      <c r="M6447" s="0" t="s">
        <v>167</v>
      </c>
      <c r="N6447" s="0" t="n">
        <v>554</v>
      </c>
      <c r="O6447" s="10" t="n">
        <v>0.63769544288516</v>
      </c>
      <c r="P6447" s="10" t="n">
        <v>0.162863194011152</v>
      </c>
      <c r="Q6447" s="0" t="str">
        <f aca="false">SUBSTITUTE(SUBSTITUTE($I6447,CHAR(61),""),CHAR(34),"")</f>
        <v>35-49</v>
      </c>
      <c r="R6447" s="0" t="str">
        <f aca="false">IF($D6447&lt;&gt;"","["&amp;$E6447&amp;"]"&amp;"|"&amp;$Q6447&amp;"|"&amp;$K6447&amp;"|"&amp;$G6447&amp;"|"&amp;IF($G6447="TX_CURR_SUBNAT.R","CY2022Q4",$M6447),"")</f>
        <v>[JQKLKuVuY61]|35-49|Female|NEW_INFECTIONS_SUBNAT.T|CY2024Q3</v>
      </c>
    </row>
    <row r="6448" customFormat="false" ht="15" hidden="false" customHeight="false" outlineLevel="0" collapsed="false">
      <c r="D6448" s="0" t="s">
        <v>132</v>
      </c>
      <c r="E6448" s="0" t="s">
        <v>133</v>
      </c>
      <c r="F6448" s="0" t="s">
        <v>134</v>
      </c>
      <c r="G6448" s="0" t="s">
        <v>170</v>
      </c>
      <c r="H6448" s="0" t="s">
        <v>170</v>
      </c>
      <c r="I6448" s="0" t="s">
        <v>45</v>
      </c>
      <c r="J6448" s="0" t="s">
        <v>46</v>
      </c>
      <c r="K6448" s="0" t="s">
        <v>30</v>
      </c>
      <c r="L6448" s="0" t="s">
        <v>31</v>
      </c>
      <c r="M6448" s="0" t="s">
        <v>167</v>
      </c>
      <c r="N6448" s="0" t="n">
        <v>1336</v>
      </c>
      <c r="O6448" s="10" t="n">
        <v>0.00865292269736528</v>
      </c>
      <c r="P6448" s="10" t="n">
        <v>0.162863194011152</v>
      </c>
      <c r="Q6448" s="0" t="str">
        <f aca="false">SUBSTITUTE(SUBSTITUTE($I6448,CHAR(61),""),CHAR(34),"")</f>
        <v>50+</v>
      </c>
      <c r="R6448" s="0" t="str">
        <f aca="false">IF($D6448&lt;&gt;"","["&amp;$E6448&amp;"]"&amp;"|"&amp;$Q6448&amp;"|"&amp;$K6448&amp;"|"&amp;$G6448&amp;"|"&amp;IF($G6448="TX_CURR_SUBNAT.R","CY2022Q4",$M6448),"")</f>
        <v>[JQKLKuVuY61]|50+|Female|NEW_INFECTIONS_SUBNAT.T|CY2024Q3</v>
      </c>
    </row>
    <row r="6449" customFormat="false" ht="15" hidden="false" customHeight="false" outlineLevel="0" collapsed="false">
      <c r="D6449" s="0" t="s">
        <v>132</v>
      </c>
      <c r="E6449" s="0" t="s">
        <v>133</v>
      </c>
      <c r="F6449" s="0" t="s">
        <v>134</v>
      </c>
      <c r="G6449" s="0" t="s">
        <v>170</v>
      </c>
      <c r="H6449" s="0" t="s">
        <v>170</v>
      </c>
      <c r="I6449" s="0" t="s">
        <v>28</v>
      </c>
      <c r="J6449" s="0" t="s">
        <v>29</v>
      </c>
      <c r="K6449" s="0" t="s">
        <v>48</v>
      </c>
      <c r="L6449" s="0" t="s">
        <v>49</v>
      </c>
      <c r="M6449" s="0" t="s">
        <v>167</v>
      </c>
      <c r="N6449" s="0" t="n">
        <v>657</v>
      </c>
      <c r="O6449" s="10" t="n">
        <v>0.372095092199743</v>
      </c>
      <c r="P6449" s="10" t="n">
        <v>0.162863194011152</v>
      </c>
      <c r="Q6449" s="0" t="str">
        <f aca="false">SUBSTITUTE(SUBSTITUTE($I6449,CHAR(61),""),CHAR(34),"")</f>
        <v>&lt;01</v>
      </c>
      <c r="R6449" s="0" t="str">
        <f aca="false">IF($D6449&lt;&gt;"","["&amp;$E6449&amp;"]"&amp;"|"&amp;$Q6449&amp;"|"&amp;$K6449&amp;"|"&amp;$G6449&amp;"|"&amp;IF($G6449="TX_CURR_SUBNAT.R","CY2022Q4",$M6449),"")</f>
        <v>[JQKLKuVuY61]|&lt;01|Male|NEW_INFECTIONS_SUBNAT.T|CY2024Q3</v>
      </c>
    </row>
    <row r="6450" customFormat="false" ht="15" hidden="false" customHeight="false" outlineLevel="0" collapsed="false">
      <c r="D6450" s="0" t="s">
        <v>132</v>
      </c>
      <c r="E6450" s="0" t="s">
        <v>133</v>
      </c>
      <c r="F6450" s="0" t="s">
        <v>134</v>
      </c>
      <c r="G6450" s="0" t="s">
        <v>170</v>
      </c>
      <c r="H6450" s="0" t="s">
        <v>170</v>
      </c>
      <c r="I6450" s="0" t="s">
        <v>33</v>
      </c>
      <c r="J6450" s="0" t="s">
        <v>34</v>
      </c>
      <c r="K6450" s="0" t="s">
        <v>48</v>
      </c>
      <c r="L6450" s="0" t="s">
        <v>49</v>
      </c>
      <c r="M6450" s="0" t="s">
        <v>167</v>
      </c>
      <c r="N6450" s="0" t="n">
        <v>802</v>
      </c>
      <c r="O6450" s="10" t="n">
        <v>0.928863875567913</v>
      </c>
      <c r="P6450" s="10" t="n">
        <v>0.162863194011152</v>
      </c>
      <c r="Q6450" s="0" t="str">
        <f aca="false">SUBSTITUTE(SUBSTITUTE($I6450,CHAR(61),""),CHAR(34),"")</f>
        <v>01-09</v>
      </c>
      <c r="R6450" s="0" t="str">
        <f aca="false">IF($D6450&lt;&gt;"","["&amp;$E6450&amp;"]"&amp;"|"&amp;$Q6450&amp;"|"&amp;$K6450&amp;"|"&amp;$G6450&amp;"|"&amp;IF($G6450="TX_CURR_SUBNAT.R","CY2022Q4",$M6450),"")</f>
        <v>[JQKLKuVuY61]|01-09|Male|NEW_INFECTIONS_SUBNAT.T|CY2024Q3</v>
      </c>
    </row>
    <row r="6451" customFormat="false" ht="15" hidden="false" customHeight="false" outlineLevel="0" collapsed="false">
      <c r="D6451" s="0" t="s">
        <v>132</v>
      </c>
      <c r="E6451" s="0" t="s">
        <v>133</v>
      </c>
      <c r="F6451" s="0" t="s">
        <v>134</v>
      </c>
      <c r="G6451" s="0" t="s">
        <v>170</v>
      </c>
      <c r="H6451" s="0" t="s">
        <v>170</v>
      </c>
      <c r="I6451" s="0" t="s">
        <v>36</v>
      </c>
      <c r="J6451" s="0" t="s">
        <v>37</v>
      </c>
      <c r="K6451" s="0" t="s">
        <v>48</v>
      </c>
      <c r="L6451" s="0" t="s">
        <v>49</v>
      </c>
      <c r="M6451" s="0" t="s">
        <v>167</v>
      </c>
      <c r="N6451" s="0" t="n">
        <v>1572</v>
      </c>
      <c r="O6451" s="10" t="n">
        <v>0.205437454162166</v>
      </c>
      <c r="P6451" s="10" t="n">
        <v>0.162863194011152</v>
      </c>
      <c r="Q6451" s="0" t="str">
        <f aca="false">SUBSTITUTE(SUBSTITUTE($I6451,CHAR(61),""),CHAR(34),"")</f>
        <v>10-14</v>
      </c>
      <c r="R6451" s="0" t="str">
        <f aca="false">IF($D6451&lt;&gt;"","["&amp;$E6451&amp;"]"&amp;"|"&amp;$Q6451&amp;"|"&amp;$K6451&amp;"|"&amp;$G6451&amp;"|"&amp;IF($G6451="TX_CURR_SUBNAT.R","CY2022Q4",$M6451),"")</f>
        <v>[JQKLKuVuY61]|10-14|Male|NEW_INFECTIONS_SUBNAT.T|CY2024Q3</v>
      </c>
    </row>
    <row r="6452" customFormat="false" ht="15" hidden="false" customHeight="false" outlineLevel="0" collapsed="false">
      <c r="D6452" s="0" t="s">
        <v>132</v>
      </c>
      <c r="E6452" s="0" t="s">
        <v>133</v>
      </c>
      <c r="F6452" s="0" t="s">
        <v>134</v>
      </c>
      <c r="G6452" s="0" t="s">
        <v>170</v>
      </c>
      <c r="H6452" s="0" t="s">
        <v>170</v>
      </c>
      <c r="I6452" s="0" t="s">
        <v>38</v>
      </c>
      <c r="J6452" s="0" t="s">
        <v>39</v>
      </c>
      <c r="K6452" s="0" t="s">
        <v>48</v>
      </c>
      <c r="L6452" s="0" t="s">
        <v>49</v>
      </c>
      <c r="M6452" s="0" t="s">
        <v>167</v>
      </c>
      <c r="N6452" s="0" t="n">
        <v>1273</v>
      </c>
      <c r="O6452" s="10" t="n">
        <v>0.0985845192335546</v>
      </c>
      <c r="P6452" s="10" t="n">
        <v>0.162863194011152</v>
      </c>
      <c r="Q6452" s="0" t="str">
        <f aca="false">SUBSTITUTE(SUBSTITUTE($I6452,CHAR(61),""),CHAR(34),"")</f>
        <v>15-24</v>
      </c>
      <c r="R6452" s="0" t="str">
        <f aca="false">IF($D6452&lt;&gt;"","["&amp;$E6452&amp;"]"&amp;"|"&amp;$Q6452&amp;"|"&amp;$K6452&amp;"|"&amp;$G6452&amp;"|"&amp;IF($G6452="TX_CURR_SUBNAT.R","CY2022Q4",$M6452),"")</f>
        <v>[JQKLKuVuY61]|15-24|Male|NEW_INFECTIONS_SUBNAT.T|CY2024Q3</v>
      </c>
    </row>
    <row r="6453" customFormat="false" ht="15" hidden="false" customHeight="false" outlineLevel="0" collapsed="false">
      <c r="D6453" s="0" t="s">
        <v>132</v>
      </c>
      <c r="E6453" s="0" t="s">
        <v>133</v>
      </c>
      <c r="F6453" s="0" t="s">
        <v>134</v>
      </c>
      <c r="G6453" s="0" t="s">
        <v>170</v>
      </c>
      <c r="H6453" s="0" t="s">
        <v>170</v>
      </c>
      <c r="I6453" s="0" t="s">
        <v>41</v>
      </c>
      <c r="J6453" s="0" t="s">
        <v>42</v>
      </c>
      <c r="K6453" s="0" t="s">
        <v>48</v>
      </c>
      <c r="L6453" s="0" t="s">
        <v>49</v>
      </c>
      <c r="M6453" s="0" t="s">
        <v>167</v>
      </c>
      <c r="N6453" s="0" t="n">
        <v>1884</v>
      </c>
      <c r="O6453" s="10" t="n">
        <v>0.639791378751397</v>
      </c>
      <c r="P6453" s="10" t="n">
        <v>0.162863194011152</v>
      </c>
      <c r="Q6453" s="0" t="str">
        <f aca="false">SUBSTITUTE(SUBSTITUTE($I6453,CHAR(61),""),CHAR(34),"")</f>
        <v>25-34</v>
      </c>
      <c r="R6453" s="0" t="str">
        <f aca="false">IF($D6453&lt;&gt;"","["&amp;$E6453&amp;"]"&amp;"|"&amp;$Q6453&amp;"|"&amp;$K6453&amp;"|"&amp;$G6453&amp;"|"&amp;IF($G6453="TX_CURR_SUBNAT.R","CY2022Q4",$M6453),"")</f>
        <v>[JQKLKuVuY61]|25-34|Male|NEW_INFECTIONS_SUBNAT.T|CY2024Q3</v>
      </c>
    </row>
    <row r="6454" customFormat="false" ht="15" hidden="false" customHeight="false" outlineLevel="0" collapsed="false">
      <c r="D6454" s="0" t="s">
        <v>132</v>
      </c>
      <c r="E6454" s="0" t="s">
        <v>133</v>
      </c>
      <c r="F6454" s="0" t="s">
        <v>134</v>
      </c>
      <c r="G6454" s="0" t="s">
        <v>170</v>
      </c>
      <c r="H6454" s="0" t="s">
        <v>170</v>
      </c>
      <c r="I6454" s="0" t="s">
        <v>43</v>
      </c>
      <c r="J6454" s="0" t="s">
        <v>44</v>
      </c>
      <c r="K6454" s="0" t="s">
        <v>48</v>
      </c>
      <c r="L6454" s="0" t="s">
        <v>49</v>
      </c>
      <c r="M6454" s="0" t="s">
        <v>167</v>
      </c>
      <c r="N6454" s="0" t="n">
        <v>914</v>
      </c>
      <c r="O6454" s="10" t="n">
        <v>0.104629736859351</v>
      </c>
      <c r="P6454" s="10" t="n">
        <v>0.162863194011152</v>
      </c>
      <c r="Q6454" s="0" t="str">
        <f aca="false">SUBSTITUTE(SUBSTITUTE($I6454,CHAR(61),""),CHAR(34),"")</f>
        <v>35-49</v>
      </c>
      <c r="R6454" s="0" t="str">
        <f aca="false">IF($D6454&lt;&gt;"","["&amp;$E6454&amp;"]"&amp;"|"&amp;$Q6454&amp;"|"&amp;$K6454&amp;"|"&amp;$G6454&amp;"|"&amp;IF($G6454="TX_CURR_SUBNAT.R","CY2022Q4",$M6454),"")</f>
        <v>[JQKLKuVuY61]|35-49|Male|NEW_INFECTIONS_SUBNAT.T|CY2024Q3</v>
      </c>
    </row>
    <row r="6455" customFormat="false" ht="15" hidden="false" customHeight="false" outlineLevel="0" collapsed="false">
      <c r="D6455" s="0" t="s">
        <v>132</v>
      </c>
      <c r="E6455" s="0" t="s">
        <v>133</v>
      </c>
      <c r="F6455" s="0" t="s">
        <v>134</v>
      </c>
      <c r="G6455" s="0" t="s">
        <v>170</v>
      </c>
      <c r="H6455" s="0" t="s">
        <v>170</v>
      </c>
      <c r="I6455" s="0" t="s">
        <v>45</v>
      </c>
      <c r="J6455" s="0" t="s">
        <v>46</v>
      </c>
      <c r="K6455" s="0" t="s">
        <v>48</v>
      </c>
      <c r="L6455" s="0" t="s">
        <v>49</v>
      </c>
      <c r="M6455" s="0" t="s">
        <v>167</v>
      </c>
      <c r="N6455" s="0" t="n">
        <v>1987</v>
      </c>
      <c r="O6455" s="10" t="n">
        <v>0.437201046384871</v>
      </c>
      <c r="P6455" s="10" t="n">
        <v>0.162863194011152</v>
      </c>
      <c r="Q6455" s="0" t="str">
        <f aca="false">SUBSTITUTE(SUBSTITUTE($I6455,CHAR(61),""),CHAR(34),"")</f>
        <v>50+</v>
      </c>
      <c r="R6455" s="0" t="str">
        <f aca="false">IF($D6455&lt;&gt;"","["&amp;$E6455&amp;"]"&amp;"|"&amp;$Q6455&amp;"|"&amp;$K6455&amp;"|"&amp;$G6455&amp;"|"&amp;IF($G6455="TX_CURR_SUBNAT.R","CY2022Q4",$M6455),"")</f>
        <v>[JQKLKuVuY61]|50+|Male|NEW_INFECTIONS_SUBNAT.T|CY2024Q3</v>
      </c>
    </row>
    <row r="6456" customFormat="false" ht="15" hidden="false" customHeight="false" outlineLevel="0" collapsed="false">
      <c r="D6456" s="0" t="s">
        <v>135</v>
      </c>
      <c r="E6456" s="0" t="s">
        <v>136</v>
      </c>
      <c r="F6456" s="0" t="s">
        <v>137</v>
      </c>
      <c r="G6456" s="0" t="s">
        <v>170</v>
      </c>
      <c r="H6456" s="0" t="s">
        <v>170</v>
      </c>
      <c r="I6456" s="0" t="s">
        <v>28</v>
      </c>
      <c r="J6456" s="0" t="s">
        <v>29</v>
      </c>
      <c r="K6456" s="0" t="s">
        <v>30</v>
      </c>
      <c r="L6456" s="0" t="s">
        <v>31</v>
      </c>
      <c r="M6456" s="0" t="s">
        <v>167</v>
      </c>
      <c r="N6456" s="0" t="n">
        <v>1971</v>
      </c>
      <c r="O6456" s="10" t="n">
        <v>0.262294425396249</v>
      </c>
      <c r="P6456" s="10" t="n">
        <v>0.955300528323278</v>
      </c>
      <c r="Q6456" s="0" t="str">
        <f aca="false">SUBSTITUTE(SUBSTITUTE($I6456,CHAR(61),""),CHAR(34),"")</f>
        <v>&lt;01</v>
      </c>
      <c r="R6456" s="0" t="str">
        <f aca="false">IF($D6456&lt;&gt;"","["&amp;$E6456&amp;"]"&amp;"|"&amp;$Q6456&amp;"|"&amp;$K6456&amp;"|"&amp;$G6456&amp;"|"&amp;IF($G6456="TX_CURR_SUBNAT.R","CY2022Q4",$M6456),"")</f>
        <v>[fiRkU6gEjLz]|&lt;01|Female|NEW_INFECTIONS_SUBNAT.T|CY2024Q3</v>
      </c>
    </row>
    <row r="6457" customFormat="false" ht="15" hidden="false" customHeight="false" outlineLevel="0" collapsed="false">
      <c r="D6457" s="0" t="s">
        <v>135</v>
      </c>
      <c r="E6457" s="0" t="s">
        <v>136</v>
      </c>
      <c r="F6457" s="0" t="s">
        <v>137</v>
      </c>
      <c r="G6457" s="0" t="s">
        <v>170</v>
      </c>
      <c r="H6457" s="0" t="s">
        <v>170</v>
      </c>
      <c r="I6457" s="0" t="s">
        <v>33</v>
      </c>
      <c r="J6457" s="0" t="s">
        <v>34</v>
      </c>
      <c r="K6457" s="0" t="s">
        <v>30</v>
      </c>
      <c r="L6457" s="0" t="s">
        <v>31</v>
      </c>
      <c r="M6457" s="0" t="s">
        <v>167</v>
      </c>
      <c r="N6457" s="0" t="n">
        <v>852</v>
      </c>
      <c r="O6457" s="10" t="n">
        <v>0.980431128991768</v>
      </c>
      <c r="P6457" s="10" t="n">
        <v>0.955300528323278</v>
      </c>
      <c r="Q6457" s="0" t="str">
        <f aca="false">SUBSTITUTE(SUBSTITUTE($I6457,CHAR(61),""),CHAR(34),"")</f>
        <v>01-09</v>
      </c>
      <c r="R6457" s="0" t="str">
        <f aca="false">IF($D6457&lt;&gt;"","["&amp;$E6457&amp;"]"&amp;"|"&amp;$Q6457&amp;"|"&amp;$K6457&amp;"|"&amp;$G6457&amp;"|"&amp;IF($G6457="TX_CURR_SUBNAT.R","CY2022Q4",$M6457),"")</f>
        <v>[fiRkU6gEjLz]|01-09|Female|NEW_INFECTIONS_SUBNAT.T|CY2024Q3</v>
      </c>
    </row>
    <row r="6458" customFormat="false" ht="15" hidden="false" customHeight="false" outlineLevel="0" collapsed="false">
      <c r="D6458" s="0" t="s">
        <v>135</v>
      </c>
      <c r="E6458" s="0" t="s">
        <v>136</v>
      </c>
      <c r="F6458" s="0" t="s">
        <v>137</v>
      </c>
      <c r="G6458" s="0" t="s">
        <v>170</v>
      </c>
      <c r="H6458" s="0" t="s">
        <v>170</v>
      </c>
      <c r="I6458" s="0" t="s">
        <v>36</v>
      </c>
      <c r="J6458" s="0" t="s">
        <v>37</v>
      </c>
      <c r="K6458" s="0" t="s">
        <v>30</v>
      </c>
      <c r="L6458" s="0" t="s">
        <v>31</v>
      </c>
      <c r="M6458" s="0" t="s">
        <v>167</v>
      </c>
      <c r="N6458" s="0" t="n">
        <v>1346</v>
      </c>
      <c r="O6458" s="10" t="n">
        <v>0.462087658466771</v>
      </c>
      <c r="P6458" s="10" t="n">
        <v>0.955300528323278</v>
      </c>
      <c r="Q6458" s="0" t="str">
        <f aca="false">SUBSTITUTE(SUBSTITUTE($I6458,CHAR(61),""),CHAR(34),"")</f>
        <v>10-14</v>
      </c>
      <c r="R6458" s="0" t="str">
        <f aca="false">IF($D6458&lt;&gt;"","["&amp;$E6458&amp;"]"&amp;"|"&amp;$Q6458&amp;"|"&amp;$K6458&amp;"|"&amp;$G6458&amp;"|"&amp;IF($G6458="TX_CURR_SUBNAT.R","CY2022Q4",$M6458),"")</f>
        <v>[fiRkU6gEjLz]|10-14|Female|NEW_INFECTIONS_SUBNAT.T|CY2024Q3</v>
      </c>
    </row>
    <row r="6459" customFormat="false" ht="15" hidden="false" customHeight="false" outlineLevel="0" collapsed="false">
      <c r="D6459" s="0" t="s">
        <v>135</v>
      </c>
      <c r="E6459" s="0" t="s">
        <v>136</v>
      </c>
      <c r="F6459" s="0" t="s">
        <v>137</v>
      </c>
      <c r="G6459" s="0" t="s">
        <v>170</v>
      </c>
      <c r="H6459" s="0" t="s">
        <v>170</v>
      </c>
      <c r="I6459" s="0" t="s">
        <v>38</v>
      </c>
      <c r="J6459" s="0" t="s">
        <v>39</v>
      </c>
      <c r="K6459" s="0" t="s">
        <v>30</v>
      </c>
      <c r="L6459" s="0" t="s">
        <v>31</v>
      </c>
      <c r="M6459" s="0" t="s">
        <v>167</v>
      </c>
      <c r="N6459" s="0" t="n">
        <v>1917</v>
      </c>
      <c r="O6459" s="10" t="n">
        <v>0.723759079119191</v>
      </c>
      <c r="P6459" s="10" t="n">
        <v>0.955300528323278</v>
      </c>
      <c r="Q6459" s="0" t="str">
        <f aca="false">SUBSTITUTE(SUBSTITUTE($I6459,CHAR(61),""),CHAR(34),"")</f>
        <v>15-24</v>
      </c>
      <c r="R6459" s="0" t="str">
        <f aca="false">IF($D6459&lt;&gt;"","["&amp;$E6459&amp;"]"&amp;"|"&amp;$Q6459&amp;"|"&amp;$K6459&amp;"|"&amp;$G6459&amp;"|"&amp;IF($G6459="TX_CURR_SUBNAT.R","CY2022Q4",$M6459),"")</f>
        <v>[fiRkU6gEjLz]|15-24|Female|NEW_INFECTIONS_SUBNAT.T|CY2024Q3</v>
      </c>
    </row>
    <row r="6460" customFormat="false" ht="15" hidden="false" customHeight="false" outlineLevel="0" collapsed="false">
      <c r="D6460" s="0" t="s">
        <v>135</v>
      </c>
      <c r="E6460" s="0" t="s">
        <v>136</v>
      </c>
      <c r="F6460" s="0" t="s">
        <v>137</v>
      </c>
      <c r="G6460" s="0" t="s">
        <v>170</v>
      </c>
      <c r="H6460" s="0" t="s">
        <v>170</v>
      </c>
      <c r="I6460" s="0" t="s">
        <v>41</v>
      </c>
      <c r="J6460" s="0" t="s">
        <v>42</v>
      </c>
      <c r="K6460" s="0" t="s">
        <v>30</v>
      </c>
      <c r="L6460" s="0" t="s">
        <v>31</v>
      </c>
      <c r="M6460" s="0" t="s">
        <v>167</v>
      </c>
      <c r="N6460" s="0" t="n">
        <v>997</v>
      </c>
      <c r="O6460" s="10" t="n">
        <v>0.581649109954014</v>
      </c>
      <c r="P6460" s="10" t="n">
        <v>0.955300528323278</v>
      </c>
      <c r="Q6460" s="0" t="str">
        <f aca="false">SUBSTITUTE(SUBSTITUTE($I6460,CHAR(61),""),CHAR(34),"")</f>
        <v>25-34</v>
      </c>
      <c r="R6460" s="0" t="str">
        <f aca="false">IF($D6460&lt;&gt;"","["&amp;$E6460&amp;"]"&amp;"|"&amp;$Q6460&amp;"|"&amp;$K6460&amp;"|"&amp;$G6460&amp;"|"&amp;IF($G6460="TX_CURR_SUBNAT.R","CY2022Q4",$M6460),"")</f>
        <v>[fiRkU6gEjLz]|25-34|Female|NEW_INFECTIONS_SUBNAT.T|CY2024Q3</v>
      </c>
    </row>
    <row r="6461" customFormat="false" ht="15" hidden="false" customHeight="false" outlineLevel="0" collapsed="false">
      <c r="D6461" s="0" t="s">
        <v>135</v>
      </c>
      <c r="E6461" s="0" t="s">
        <v>136</v>
      </c>
      <c r="F6461" s="0" t="s">
        <v>137</v>
      </c>
      <c r="G6461" s="0" t="s">
        <v>170</v>
      </c>
      <c r="H6461" s="0" t="s">
        <v>170</v>
      </c>
      <c r="I6461" s="0" t="s">
        <v>43</v>
      </c>
      <c r="J6461" s="0" t="s">
        <v>44</v>
      </c>
      <c r="K6461" s="0" t="s">
        <v>30</v>
      </c>
      <c r="L6461" s="0" t="s">
        <v>31</v>
      </c>
      <c r="M6461" s="0" t="s">
        <v>167</v>
      </c>
      <c r="N6461" s="0" t="n">
        <v>1438</v>
      </c>
      <c r="O6461" s="10" t="n">
        <v>0.738974248757586</v>
      </c>
      <c r="P6461" s="10" t="n">
        <v>0.955300528323278</v>
      </c>
      <c r="Q6461" s="0" t="str">
        <f aca="false">SUBSTITUTE(SUBSTITUTE($I6461,CHAR(61),""),CHAR(34),"")</f>
        <v>35-49</v>
      </c>
      <c r="R6461" s="0" t="str">
        <f aca="false">IF($D6461&lt;&gt;"","["&amp;$E6461&amp;"]"&amp;"|"&amp;$Q6461&amp;"|"&amp;$K6461&amp;"|"&amp;$G6461&amp;"|"&amp;IF($G6461="TX_CURR_SUBNAT.R","CY2022Q4",$M6461),"")</f>
        <v>[fiRkU6gEjLz]|35-49|Female|NEW_INFECTIONS_SUBNAT.T|CY2024Q3</v>
      </c>
    </row>
    <row r="6462" customFormat="false" ht="15" hidden="false" customHeight="false" outlineLevel="0" collapsed="false">
      <c r="D6462" s="0" t="s">
        <v>135</v>
      </c>
      <c r="E6462" s="0" t="s">
        <v>136</v>
      </c>
      <c r="F6462" s="0" t="s">
        <v>137</v>
      </c>
      <c r="G6462" s="0" t="s">
        <v>170</v>
      </c>
      <c r="H6462" s="0" t="s">
        <v>170</v>
      </c>
      <c r="I6462" s="0" t="s">
        <v>45</v>
      </c>
      <c r="J6462" s="0" t="s">
        <v>46</v>
      </c>
      <c r="K6462" s="0" t="s">
        <v>30</v>
      </c>
      <c r="L6462" s="0" t="s">
        <v>31</v>
      </c>
      <c r="M6462" s="0" t="s">
        <v>167</v>
      </c>
      <c r="N6462" s="0" t="n">
        <v>653</v>
      </c>
      <c r="O6462" s="10" t="n">
        <v>0.195299779297784</v>
      </c>
      <c r="P6462" s="10" t="n">
        <v>0.955300528323278</v>
      </c>
      <c r="Q6462" s="0" t="str">
        <f aca="false">SUBSTITUTE(SUBSTITUTE($I6462,CHAR(61),""),CHAR(34),"")</f>
        <v>50+</v>
      </c>
      <c r="R6462" s="0" t="str">
        <f aca="false">IF($D6462&lt;&gt;"","["&amp;$E6462&amp;"]"&amp;"|"&amp;$Q6462&amp;"|"&amp;$K6462&amp;"|"&amp;$G6462&amp;"|"&amp;IF($G6462="TX_CURR_SUBNAT.R","CY2022Q4",$M6462),"")</f>
        <v>[fiRkU6gEjLz]|50+|Female|NEW_INFECTIONS_SUBNAT.T|CY2024Q3</v>
      </c>
    </row>
    <row r="6463" customFormat="false" ht="15" hidden="false" customHeight="false" outlineLevel="0" collapsed="false">
      <c r="D6463" s="0" t="s">
        <v>135</v>
      </c>
      <c r="E6463" s="0" t="s">
        <v>136</v>
      </c>
      <c r="F6463" s="0" t="s">
        <v>137</v>
      </c>
      <c r="G6463" s="0" t="s">
        <v>170</v>
      </c>
      <c r="H6463" s="0" t="s">
        <v>170</v>
      </c>
      <c r="I6463" s="0" t="s">
        <v>28</v>
      </c>
      <c r="J6463" s="0" t="s">
        <v>29</v>
      </c>
      <c r="K6463" s="0" t="s">
        <v>48</v>
      </c>
      <c r="L6463" s="0" t="s">
        <v>49</v>
      </c>
      <c r="M6463" s="0" t="s">
        <v>167</v>
      </c>
      <c r="N6463" s="0" t="n">
        <v>1828</v>
      </c>
      <c r="O6463" s="10" t="n">
        <v>0.765832273755223</v>
      </c>
      <c r="P6463" s="10" t="n">
        <v>0.955300528323278</v>
      </c>
      <c r="Q6463" s="0" t="str">
        <f aca="false">SUBSTITUTE(SUBSTITUTE($I6463,CHAR(61),""),CHAR(34),"")</f>
        <v>&lt;01</v>
      </c>
      <c r="R6463" s="0" t="str">
        <f aca="false">IF($D6463&lt;&gt;"","["&amp;$E6463&amp;"]"&amp;"|"&amp;$Q6463&amp;"|"&amp;$K6463&amp;"|"&amp;$G6463&amp;"|"&amp;IF($G6463="TX_CURR_SUBNAT.R","CY2022Q4",$M6463),"")</f>
        <v>[fiRkU6gEjLz]|&lt;01|Male|NEW_INFECTIONS_SUBNAT.T|CY2024Q3</v>
      </c>
    </row>
    <row r="6464" customFormat="false" ht="15" hidden="false" customHeight="false" outlineLevel="0" collapsed="false">
      <c r="D6464" s="0" t="s">
        <v>135</v>
      </c>
      <c r="E6464" s="0" t="s">
        <v>136</v>
      </c>
      <c r="F6464" s="0" t="s">
        <v>137</v>
      </c>
      <c r="G6464" s="0" t="s">
        <v>170</v>
      </c>
      <c r="H6464" s="0" t="s">
        <v>170</v>
      </c>
      <c r="I6464" s="0" t="s">
        <v>33</v>
      </c>
      <c r="J6464" s="0" t="s">
        <v>34</v>
      </c>
      <c r="K6464" s="0" t="s">
        <v>48</v>
      </c>
      <c r="L6464" s="0" t="s">
        <v>49</v>
      </c>
      <c r="M6464" s="0" t="s">
        <v>167</v>
      </c>
      <c r="N6464" s="0" t="n">
        <v>1462</v>
      </c>
      <c r="O6464" s="10" t="n">
        <v>0.628601216943935</v>
      </c>
      <c r="P6464" s="10" t="n">
        <v>0.955300528323278</v>
      </c>
      <c r="Q6464" s="0" t="str">
        <f aca="false">SUBSTITUTE(SUBSTITUTE($I6464,CHAR(61),""),CHAR(34),"")</f>
        <v>01-09</v>
      </c>
      <c r="R6464" s="0" t="str">
        <f aca="false">IF($D6464&lt;&gt;"","["&amp;$E6464&amp;"]"&amp;"|"&amp;$Q6464&amp;"|"&amp;$K6464&amp;"|"&amp;$G6464&amp;"|"&amp;IF($G6464="TX_CURR_SUBNAT.R","CY2022Q4",$M6464),"")</f>
        <v>[fiRkU6gEjLz]|01-09|Male|NEW_INFECTIONS_SUBNAT.T|CY2024Q3</v>
      </c>
    </row>
    <row r="6465" customFormat="false" ht="15" hidden="false" customHeight="false" outlineLevel="0" collapsed="false">
      <c r="D6465" s="0" t="s">
        <v>135</v>
      </c>
      <c r="E6465" s="0" t="s">
        <v>136</v>
      </c>
      <c r="F6465" s="0" t="s">
        <v>137</v>
      </c>
      <c r="G6465" s="0" t="s">
        <v>170</v>
      </c>
      <c r="H6465" s="0" t="s">
        <v>170</v>
      </c>
      <c r="I6465" s="0" t="s">
        <v>36</v>
      </c>
      <c r="J6465" s="0" t="s">
        <v>37</v>
      </c>
      <c r="K6465" s="0" t="s">
        <v>48</v>
      </c>
      <c r="L6465" s="0" t="s">
        <v>49</v>
      </c>
      <c r="M6465" s="0" t="s">
        <v>167</v>
      </c>
      <c r="N6465" s="0" t="n">
        <v>1818</v>
      </c>
      <c r="O6465" s="10" t="n">
        <v>0.868197552626953</v>
      </c>
      <c r="P6465" s="10" t="n">
        <v>0.955300528323278</v>
      </c>
      <c r="Q6465" s="0" t="str">
        <f aca="false">SUBSTITUTE(SUBSTITUTE($I6465,CHAR(61),""),CHAR(34),"")</f>
        <v>10-14</v>
      </c>
      <c r="R6465" s="0" t="str">
        <f aca="false">IF($D6465&lt;&gt;"","["&amp;$E6465&amp;"]"&amp;"|"&amp;$Q6465&amp;"|"&amp;$K6465&amp;"|"&amp;$G6465&amp;"|"&amp;IF($G6465="TX_CURR_SUBNAT.R","CY2022Q4",$M6465),"")</f>
        <v>[fiRkU6gEjLz]|10-14|Male|NEW_INFECTIONS_SUBNAT.T|CY2024Q3</v>
      </c>
    </row>
    <row r="6466" customFormat="false" ht="15" hidden="false" customHeight="false" outlineLevel="0" collapsed="false">
      <c r="D6466" s="0" t="s">
        <v>135</v>
      </c>
      <c r="E6466" s="0" t="s">
        <v>136</v>
      </c>
      <c r="F6466" s="0" t="s">
        <v>137</v>
      </c>
      <c r="G6466" s="0" t="s">
        <v>170</v>
      </c>
      <c r="H6466" s="0" t="s">
        <v>170</v>
      </c>
      <c r="I6466" s="0" t="s">
        <v>38</v>
      </c>
      <c r="J6466" s="0" t="s">
        <v>39</v>
      </c>
      <c r="K6466" s="0" t="s">
        <v>48</v>
      </c>
      <c r="L6466" s="0" t="s">
        <v>49</v>
      </c>
      <c r="M6466" s="0" t="s">
        <v>167</v>
      </c>
      <c r="N6466" s="0" t="n">
        <v>592</v>
      </c>
      <c r="O6466" s="10" t="n">
        <v>0.0552647137083113</v>
      </c>
      <c r="P6466" s="10" t="n">
        <v>0.955300528323278</v>
      </c>
      <c r="Q6466" s="0" t="str">
        <f aca="false">SUBSTITUTE(SUBSTITUTE($I6466,CHAR(61),""),CHAR(34),"")</f>
        <v>15-24</v>
      </c>
      <c r="R6466" s="0" t="str">
        <f aca="false">IF($D6466&lt;&gt;"","["&amp;$E6466&amp;"]"&amp;"|"&amp;$Q6466&amp;"|"&amp;$K6466&amp;"|"&amp;$G6466&amp;"|"&amp;IF($G6466="TX_CURR_SUBNAT.R","CY2022Q4",$M6466),"")</f>
        <v>[fiRkU6gEjLz]|15-24|Male|NEW_INFECTIONS_SUBNAT.T|CY2024Q3</v>
      </c>
    </row>
    <row r="6467" customFormat="false" ht="15" hidden="false" customHeight="false" outlineLevel="0" collapsed="false">
      <c r="D6467" s="0" t="s">
        <v>135</v>
      </c>
      <c r="E6467" s="0" t="s">
        <v>136</v>
      </c>
      <c r="F6467" s="0" t="s">
        <v>137</v>
      </c>
      <c r="G6467" s="0" t="s">
        <v>170</v>
      </c>
      <c r="H6467" s="0" t="s">
        <v>170</v>
      </c>
      <c r="I6467" s="0" t="s">
        <v>41</v>
      </c>
      <c r="J6467" s="0" t="s">
        <v>42</v>
      </c>
      <c r="K6467" s="0" t="s">
        <v>48</v>
      </c>
      <c r="L6467" s="0" t="s">
        <v>49</v>
      </c>
      <c r="M6467" s="0" t="s">
        <v>167</v>
      </c>
      <c r="N6467" s="0" t="n">
        <v>944</v>
      </c>
      <c r="O6467" s="10" t="n">
        <v>0.155577630037442</v>
      </c>
      <c r="P6467" s="10" t="n">
        <v>0.955300528323278</v>
      </c>
      <c r="Q6467" s="0" t="str">
        <f aca="false">SUBSTITUTE(SUBSTITUTE($I6467,CHAR(61),""),CHAR(34),"")</f>
        <v>25-34</v>
      </c>
      <c r="R6467" s="0" t="str">
        <f aca="false">IF($D6467&lt;&gt;"","["&amp;$E6467&amp;"]"&amp;"|"&amp;$Q6467&amp;"|"&amp;$K6467&amp;"|"&amp;$G6467&amp;"|"&amp;IF($G6467="TX_CURR_SUBNAT.R","CY2022Q4",$M6467),"")</f>
        <v>[fiRkU6gEjLz]|25-34|Male|NEW_INFECTIONS_SUBNAT.T|CY2024Q3</v>
      </c>
    </row>
    <row r="6468" customFormat="false" ht="15" hidden="false" customHeight="false" outlineLevel="0" collapsed="false">
      <c r="D6468" s="0" t="s">
        <v>135</v>
      </c>
      <c r="E6468" s="0" t="s">
        <v>136</v>
      </c>
      <c r="F6468" s="0" t="s">
        <v>137</v>
      </c>
      <c r="G6468" s="0" t="s">
        <v>170</v>
      </c>
      <c r="H6468" s="0" t="s">
        <v>170</v>
      </c>
      <c r="I6468" s="0" t="s">
        <v>43</v>
      </c>
      <c r="J6468" s="0" t="s">
        <v>44</v>
      </c>
      <c r="K6468" s="0" t="s">
        <v>48</v>
      </c>
      <c r="L6468" s="0" t="s">
        <v>49</v>
      </c>
      <c r="M6468" s="0" t="s">
        <v>167</v>
      </c>
      <c r="N6468" s="0" t="n">
        <v>1453</v>
      </c>
      <c r="O6468" s="10" t="n">
        <v>0.626211666269228</v>
      </c>
      <c r="P6468" s="10" t="n">
        <v>0.955300528323278</v>
      </c>
      <c r="Q6468" s="0" t="str">
        <f aca="false">SUBSTITUTE(SUBSTITUTE($I6468,CHAR(61),""),CHAR(34),"")</f>
        <v>35-49</v>
      </c>
      <c r="R6468" s="0" t="str">
        <f aca="false">IF($D6468&lt;&gt;"","["&amp;$E6468&amp;"]"&amp;"|"&amp;$Q6468&amp;"|"&amp;$K6468&amp;"|"&amp;$G6468&amp;"|"&amp;IF($G6468="TX_CURR_SUBNAT.R","CY2022Q4",$M6468),"")</f>
        <v>[fiRkU6gEjLz]|35-49|Male|NEW_INFECTIONS_SUBNAT.T|CY2024Q3</v>
      </c>
    </row>
    <row r="6469" customFormat="false" ht="15" hidden="false" customHeight="false" outlineLevel="0" collapsed="false">
      <c r="D6469" s="0" t="s">
        <v>135</v>
      </c>
      <c r="E6469" s="0" t="s">
        <v>136</v>
      </c>
      <c r="F6469" s="0" t="s">
        <v>137</v>
      </c>
      <c r="G6469" s="0" t="s">
        <v>170</v>
      </c>
      <c r="H6469" s="0" t="s">
        <v>170</v>
      </c>
      <c r="I6469" s="0" t="s">
        <v>45</v>
      </c>
      <c r="J6469" s="0" t="s">
        <v>46</v>
      </c>
      <c r="K6469" s="0" t="s">
        <v>48</v>
      </c>
      <c r="L6469" s="0" t="s">
        <v>49</v>
      </c>
      <c r="M6469" s="0" t="s">
        <v>167</v>
      </c>
      <c r="N6469" s="0" t="n">
        <v>1041</v>
      </c>
      <c r="O6469" s="10" t="n">
        <v>0.76420711260289</v>
      </c>
      <c r="P6469" s="10" t="n">
        <v>0.955300528323278</v>
      </c>
      <c r="Q6469" s="0" t="str">
        <f aca="false">SUBSTITUTE(SUBSTITUTE($I6469,CHAR(61),""),CHAR(34),"")</f>
        <v>50+</v>
      </c>
      <c r="R6469" s="0" t="str">
        <f aca="false">IF($D6469&lt;&gt;"","["&amp;$E6469&amp;"]"&amp;"|"&amp;$Q6469&amp;"|"&amp;$K6469&amp;"|"&amp;$G6469&amp;"|"&amp;IF($G6469="TX_CURR_SUBNAT.R","CY2022Q4",$M6469),"")</f>
        <v>[fiRkU6gEjLz]|50+|Male|NEW_INFECTIONS_SUBNAT.T|CY2024Q3</v>
      </c>
    </row>
    <row r="6470" customFormat="false" ht="15" hidden="false" customHeight="false" outlineLevel="0" collapsed="false">
      <c r="D6470" s="0" t="s">
        <v>23</v>
      </c>
      <c r="E6470" s="0" t="s">
        <v>24</v>
      </c>
      <c r="F6470" s="0" t="s">
        <v>25</v>
      </c>
      <c r="G6470" s="0" t="s">
        <v>171</v>
      </c>
      <c r="H6470" s="0" t="s">
        <v>172</v>
      </c>
      <c r="I6470" s="0" t="s">
        <v>28</v>
      </c>
      <c r="J6470" s="0" t="s">
        <v>29</v>
      </c>
      <c r="K6470" s="0" t="s">
        <v>30</v>
      </c>
      <c r="L6470" s="0" t="s">
        <v>31</v>
      </c>
      <c r="M6470" s="0" t="s">
        <v>173</v>
      </c>
      <c r="N6470" s="0" t="n">
        <v>1093</v>
      </c>
      <c r="O6470" s="10" t="n">
        <v>0.804260868346319</v>
      </c>
      <c r="P6470" s="10" t="n">
        <v>0.404358610976487</v>
      </c>
      <c r="Q6470" s="0" t="str">
        <f aca="false">SUBSTITUTE(SUBSTITUTE($I6470,CHAR(61),""),CHAR(34),"")</f>
        <v>&lt;01</v>
      </c>
      <c r="R6470" s="0" t="str">
        <f aca="false">IF($D6470&lt;&gt;"","["&amp;$E6470&amp;"]"&amp;"|"&amp;$Q6470&amp;"|"&amp;$K6470&amp;"|"&amp;$G6470&amp;"|"&amp;IF($G6470="TX_CURR_SUBNAT.R","CY2022Q4",$M6470),"")</f>
        <v>[GkIwZrXy1h2]|&lt;01|Female|PLHIV_Residents.T2|CY2025Q3</v>
      </c>
    </row>
    <row r="6471" customFormat="false" ht="15" hidden="false" customHeight="false" outlineLevel="0" collapsed="false">
      <c r="D6471" s="0" t="s">
        <v>23</v>
      </c>
      <c r="E6471" s="0" t="s">
        <v>24</v>
      </c>
      <c r="F6471" s="0" t="s">
        <v>25</v>
      </c>
      <c r="G6471" s="0" t="s">
        <v>171</v>
      </c>
      <c r="H6471" s="0" t="s">
        <v>172</v>
      </c>
      <c r="I6471" s="0" t="s">
        <v>33</v>
      </c>
      <c r="J6471" s="0" t="s">
        <v>34</v>
      </c>
      <c r="K6471" s="0" t="s">
        <v>30</v>
      </c>
      <c r="L6471" s="0" t="s">
        <v>31</v>
      </c>
      <c r="M6471" s="0" t="s">
        <v>173</v>
      </c>
      <c r="N6471" s="0" t="n">
        <v>536</v>
      </c>
      <c r="O6471" s="10" t="n">
        <v>0.35869185696356</v>
      </c>
      <c r="P6471" s="10" t="n">
        <v>0.404358610976487</v>
      </c>
      <c r="Q6471" s="0" t="str">
        <f aca="false">SUBSTITUTE(SUBSTITUTE($I6471,CHAR(61),""),CHAR(34),"")</f>
        <v>01-09</v>
      </c>
      <c r="R6471" s="0" t="str">
        <f aca="false">IF($D6471&lt;&gt;"","["&amp;$E6471&amp;"]"&amp;"|"&amp;$Q6471&amp;"|"&amp;$K6471&amp;"|"&amp;$G6471&amp;"|"&amp;IF($G6471="TX_CURR_SUBNAT.R","CY2022Q4",$M6471),"")</f>
        <v>[GkIwZrXy1h2]|01-09|Female|PLHIV_Residents.T2|CY2025Q3</v>
      </c>
    </row>
    <row r="6472" customFormat="false" ht="15" hidden="false" customHeight="false" outlineLevel="0" collapsed="false">
      <c r="D6472" s="0" t="s">
        <v>23</v>
      </c>
      <c r="E6472" s="0" t="s">
        <v>24</v>
      </c>
      <c r="F6472" s="0" t="s">
        <v>25</v>
      </c>
      <c r="G6472" s="0" t="s">
        <v>171</v>
      </c>
      <c r="H6472" s="0" t="s">
        <v>172</v>
      </c>
      <c r="I6472" s="0" t="s">
        <v>36</v>
      </c>
      <c r="J6472" s="0" t="s">
        <v>37</v>
      </c>
      <c r="K6472" s="0" t="s">
        <v>30</v>
      </c>
      <c r="L6472" s="0" t="s">
        <v>31</v>
      </c>
      <c r="M6472" s="0" t="s">
        <v>173</v>
      </c>
      <c r="N6472" s="0" t="n">
        <v>621</v>
      </c>
      <c r="O6472" s="10" t="n">
        <v>0.351351212244481</v>
      </c>
      <c r="P6472" s="10" t="n">
        <v>0.404358610976487</v>
      </c>
      <c r="Q6472" s="0" t="str">
        <f aca="false">SUBSTITUTE(SUBSTITUTE($I6472,CHAR(61),""),CHAR(34),"")</f>
        <v>10-14</v>
      </c>
      <c r="R6472" s="0" t="str">
        <f aca="false">IF($D6472&lt;&gt;"","["&amp;$E6472&amp;"]"&amp;"|"&amp;$Q6472&amp;"|"&amp;$K6472&amp;"|"&amp;$G6472&amp;"|"&amp;IF($G6472="TX_CURR_SUBNAT.R","CY2022Q4",$M6472),"")</f>
        <v>[GkIwZrXy1h2]|10-14|Female|PLHIV_Residents.T2|CY2025Q3</v>
      </c>
    </row>
    <row r="6473" customFormat="false" ht="15" hidden="false" customHeight="false" outlineLevel="0" collapsed="false">
      <c r="D6473" s="0" t="s">
        <v>23</v>
      </c>
      <c r="E6473" s="0" t="s">
        <v>24</v>
      </c>
      <c r="F6473" s="0" t="s">
        <v>25</v>
      </c>
      <c r="G6473" s="0" t="s">
        <v>171</v>
      </c>
      <c r="H6473" s="0" t="s">
        <v>172</v>
      </c>
      <c r="I6473" s="0" t="s">
        <v>38</v>
      </c>
      <c r="J6473" s="0" t="s">
        <v>39</v>
      </c>
      <c r="K6473" s="0" t="s">
        <v>30</v>
      </c>
      <c r="L6473" s="0" t="s">
        <v>31</v>
      </c>
      <c r="M6473" s="0" t="s">
        <v>173</v>
      </c>
      <c r="N6473" s="0" t="n">
        <v>1212</v>
      </c>
      <c r="O6473" s="10" t="n">
        <v>0.935938429785892</v>
      </c>
      <c r="P6473" s="10" t="n">
        <v>0.404358610976487</v>
      </c>
      <c r="Q6473" s="0" t="str">
        <f aca="false">SUBSTITUTE(SUBSTITUTE($I6473,CHAR(61),""),CHAR(34),"")</f>
        <v>15-24</v>
      </c>
      <c r="R6473" s="0" t="str">
        <f aca="false">IF($D6473&lt;&gt;"","["&amp;$E6473&amp;"]"&amp;"|"&amp;$Q6473&amp;"|"&amp;$K6473&amp;"|"&amp;$G6473&amp;"|"&amp;IF($G6473="TX_CURR_SUBNAT.R","CY2022Q4",$M6473),"")</f>
        <v>[GkIwZrXy1h2]|15-24|Female|PLHIV_Residents.T2|CY2025Q3</v>
      </c>
    </row>
    <row r="6474" customFormat="false" ht="15" hidden="false" customHeight="false" outlineLevel="0" collapsed="false">
      <c r="D6474" s="0" t="s">
        <v>23</v>
      </c>
      <c r="E6474" s="0" t="s">
        <v>24</v>
      </c>
      <c r="F6474" s="0" t="s">
        <v>25</v>
      </c>
      <c r="G6474" s="0" t="s">
        <v>171</v>
      </c>
      <c r="H6474" s="0" t="s">
        <v>172</v>
      </c>
      <c r="I6474" s="0" t="s">
        <v>41</v>
      </c>
      <c r="J6474" s="0" t="s">
        <v>42</v>
      </c>
      <c r="K6474" s="0" t="s">
        <v>30</v>
      </c>
      <c r="L6474" s="0" t="s">
        <v>31</v>
      </c>
      <c r="M6474" s="0" t="s">
        <v>173</v>
      </c>
      <c r="N6474" s="0" t="n">
        <v>967</v>
      </c>
      <c r="O6474" s="10" t="n">
        <v>0.378153218189254</v>
      </c>
      <c r="P6474" s="10" t="n">
        <v>0.404358610976487</v>
      </c>
      <c r="Q6474" s="0" t="str">
        <f aca="false">SUBSTITUTE(SUBSTITUTE($I6474,CHAR(61),""),CHAR(34),"")</f>
        <v>25-34</v>
      </c>
      <c r="R6474" s="0" t="str">
        <f aca="false">IF($D6474&lt;&gt;"","["&amp;$E6474&amp;"]"&amp;"|"&amp;$Q6474&amp;"|"&amp;$K6474&amp;"|"&amp;$G6474&amp;"|"&amp;IF($G6474="TX_CURR_SUBNAT.R","CY2022Q4",$M6474),"")</f>
        <v>[GkIwZrXy1h2]|25-34|Female|PLHIV_Residents.T2|CY2025Q3</v>
      </c>
    </row>
    <row r="6475" customFormat="false" ht="15" hidden="false" customHeight="false" outlineLevel="0" collapsed="false">
      <c r="D6475" s="0" t="s">
        <v>23</v>
      </c>
      <c r="E6475" s="0" t="s">
        <v>24</v>
      </c>
      <c r="F6475" s="0" t="s">
        <v>25</v>
      </c>
      <c r="G6475" s="0" t="s">
        <v>171</v>
      </c>
      <c r="H6475" s="0" t="s">
        <v>172</v>
      </c>
      <c r="I6475" s="0" t="s">
        <v>43</v>
      </c>
      <c r="J6475" s="0" t="s">
        <v>44</v>
      </c>
      <c r="K6475" s="0" t="s">
        <v>30</v>
      </c>
      <c r="L6475" s="0" t="s">
        <v>31</v>
      </c>
      <c r="M6475" s="0" t="s">
        <v>173</v>
      </c>
      <c r="N6475" s="0" t="n">
        <v>1172</v>
      </c>
      <c r="O6475" s="10" t="n">
        <v>0.862870062701404</v>
      </c>
      <c r="P6475" s="10" t="n">
        <v>0.404358610976487</v>
      </c>
      <c r="Q6475" s="0" t="str">
        <f aca="false">SUBSTITUTE(SUBSTITUTE($I6475,CHAR(61),""),CHAR(34),"")</f>
        <v>35-49</v>
      </c>
      <c r="R6475" s="0" t="str">
        <f aca="false">IF($D6475&lt;&gt;"","["&amp;$E6475&amp;"]"&amp;"|"&amp;$Q6475&amp;"|"&amp;$K6475&amp;"|"&amp;$G6475&amp;"|"&amp;IF($G6475="TX_CURR_SUBNAT.R","CY2022Q4",$M6475),"")</f>
        <v>[GkIwZrXy1h2]|35-49|Female|PLHIV_Residents.T2|CY2025Q3</v>
      </c>
    </row>
    <row r="6476" customFormat="false" ht="15" hidden="false" customHeight="false" outlineLevel="0" collapsed="false">
      <c r="D6476" s="0" t="s">
        <v>23</v>
      </c>
      <c r="E6476" s="0" t="s">
        <v>24</v>
      </c>
      <c r="F6476" s="0" t="s">
        <v>25</v>
      </c>
      <c r="G6476" s="0" t="s">
        <v>171</v>
      </c>
      <c r="H6476" s="0" t="s">
        <v>172</v>
      </c>
      <c r="I6476" s="0" t="s">
        <v>45</v>
      </c>
      <c r="J6476" s="0" t="s">
        <v>46</v>
      </c>
      <c r="K6476" s="0" t="s">
        <v>30</v>
      </c>
      <c r="L6476" s="0" t="s">
        <v>31</v>
      </c>
      <c r="M6476" s="0" t="s">
        <v>173</v>
      </c>
      <c r="N6476" s="0" t="n">
        <v>584</v>
      </c>
      <c r="O6476" s="10" t="n">
        <v>0.559751305263489</v>
      </c>
      <c r="P6476" s="10" t="n">
        <v>0.404358610976487</v>
      </c>
      <c r="Q6476" s="0" t="str">
        <f aca="false">SUBSTITUTE(SUBSTITUTE($I6476,CHAR(61),""),CHAR(34),"")</f>
        <v>50+</v>
      </c>
      <c r="R6476" s="0" t="str">
        <f aca="false">IF($D6476&lt;&gt;"","["&amp;$E6476&amp;"]"&amp;"|"&amp;$Q6476&amp;"|"&amp;$K6476&amp;"|"&amp;$G6476&amp;"|"&amp;IF($G6476="TX_CURR_SUBNAT.R","CY2022Q4",$M6476),"")</f>
        <v>[GkIwZrXy1h2]|50+|Female|PLHIV_Residents.T2|CY2025Q3</v>
      </c>
    </row>
    <row r="6477" customFormat="false" ht="15" hidden="false" customHeight="false" outlineLevel="0" collapsed="false">
      <c r="D6477" s="0" t="s">
        <v>23</v>
      </c>
      <c r="E6477" s="0" t="s">
        <v>24</v>
      </c>
      <c r="F6477" s="0" t="s">
        <v>25</v>
      </c>
      <c r="G6477" s="0" t="s">
        <v>171</v>
      </c>
      <c r="H6477" s="0" t="s">
        <v>172</v>
      </c>
      <c r="I6477" s="0" t="s">
        <v>28</v>
      </c>
      <c r="J6477" s="0" t="s">
        <v>29</v>
      </c>
      <c r="K6477" s="0" t="s">
        <v>48</v>
      </c>
      <c r="L6477" s="0" t="s">
        <v>49</v>
      </c>
      <c r="M6477" s="0" t="s">
        <v>173</v>
      </c>
      <c r="N6477" s="0" t="n">
        <v>1933</v>
      </c>
      <c r="O6477" s="10" t="n">
        <v>0.375229832250625</v>
      </c>
      <c r="P6477" s="10" t="n">
        <v>0.404358610976487</v>
      </c>
      <c r="Q6477" s="0" t="str">
        <f aca="false">SUBSTITUTE(SUBSTITUTE($I6477,CHAR(61),""),CHAR(34),"")</f>
        <v>&lt;01</v>
      </c>
      <c r="R6477" s="0" t="str">
        <f aca="false">IF($D6477&lt;&gt;"","["&amp;$E6477&amp;"]"&amp;"|"&amp;$Q6477&amp;"|"&amp;$K6477&amp;"|"&amp;$G6477&amp;"|"&amp;IF($G6477="TX_CURR_SUBNAT.R","CY2022Q4",$M6477),"")</f>
        <v>[GkIwZrXy1h2]|&lt;01|Male|PLHIV_Residents.T2|CY2025Q3</v>
      </c>
    </row>
    <row r="6478" customFormat="false" ht="15" hidden="false" customHeight="false" outlineLevel="0" collapsed="false">
      <c r="D6478" s="0" t="s">
        <v>23</v>
      </c>
      <c r="E6478" s="0" t="s">
        <v>24</v>
      </c>
      <c r="F6478" s="0" t="s">
        <v>25</v>
      </c>
      <c r="G6478" s="0" t="s">
        <v>171</v>
      </c>
      <c r="H6478" s="0" t="s">
        <v>172</v>
      </c>
      <c r="I6478" s="0" t="s">
        <v>33</v>
      </c>
      <c r="J6478" s="0" t="s">
        <v>34</v>
      </c>
      <c r="K6478" s="0" t="s">
        <v>48</v>
      </c>
      <c r="L6478" s="0" t="s">
        <v>49</v>
      </c>
      <c r="M6478" s="0" t="s">
        <v>173</v>
      </c>
      <c r="N6478" s="0" t="n">
        <v>1902</v>
      </c>
      <c r="O6478" s="10" t="n">
        <v>0.570244084810838</v>
      </c>
      <c r="P6478" s="10" t="n">
        <v>0.404358610976487</v>
      </c>
      <c r="Q6478" s="0" t="str">
        <f aca="false">SUBSTITUTE(SUBSTITUTE($I6478,CHAR(61),""),CHAR(34),"")</f>
        <v>01-09</v>
      </c>
      <c r="R6478" s="0" t="str">
        <f aca="false">IF($D6478&lt;&gt;"","["&amp;$E6478&amp;"]"&amp;"|"&amp;$Q6478&amp;"|"&amp;$K6478&amp;"|"&amp;$G6478&amp;"|"&amp;IF($G6478="TX_CURR_SUBNAT.R","CY2022Q4",$M6478),"")</f>
        <v>[GkIwZrXy1h2]|01-09|Male|PLHIV_Residents.T2|CY2025Q3</v>
      </c>
    </row>
    <row r="6479" customFormat="false" ht="15" hidden="false" customHeight="false" outlineLevel="0" collapsed="false">
      <c r="D6479" s="0" t="s">
        <v>23</v>
      </c>
      <c r="E6479" s="0" t="s">
        <v>24</v>
      </c>
      <c r="F6479" s="0" t="s">
        <v>25</v>
      </c>
      <c r="G6479" s="0" t="s">
        <v>171</v>
      </c>
      <c r="H6479" s="0" t="s">
        <v>172</v>
      </c>
      <c r="I6479" s="0" t="s">
        <v>36</v>
      </c>
      <c r="J6479" s="0" t="s">
        <v>37</v>
      </c>
      <c r="K6479" s="0" t="s">
        <v>48</v>
      </c>
      <c r="L6479" s="0" t="s">
        <v>49</v>
      </c>
      <c r="M6479" s="0" t="s">
        <v>173</v>
      </c>
      <c r="N6479" s="0" t="n">
        <v>1146</v>
      </c>
      <c r="O6479" s="10" t="n">
        <v>0.886016588425264</v>
      </c>
      <c r="P6479" s="10" t="n">
        <v>0.404358610976487</v>
      </c>
      <c r="Q6479" s="0" t="str">
        <f aca="false">SUBSTITUTE(SUBSTITUTE($I6479,CHAR(61),""),CHAR(34),"")</f>
        <v>10-14</v>
      </c>
      <c r="R6479" s="0" t="str">
        <f aca="false">IF($D6479&lt;&gt;"","["&amp;$E6479&amp;"]"&amp;"|"&amp;$Q6479&amp;"|"&amp;$K6479&amp;"|"&amp;$G6479&amp;"|"&amp;IF($G6479="TX_CURR_SUBNAT.R","CY2022Q4",$M6479),"")</f>
        <v>[GkIwZrXy1h2]|10-14|Male|PLHIV_Residents.T2|CY2025Q3</v>
      </c>
    </row>
    <row r="6480" customFormat="false" ht="15" hidden="false" customHeight="false" outlineLevel="0" collapsed="false">
      <c r="D6480" s="0" t="s">
        <v>23</v>
      </c>
      <c r="E6480" s="0" t="s">
        <v>24</v>
      </c>
      <c r="F6480" s="0" t="s">
        <v>25</v>
      </c>
      <c r="G6480" s="0" t="s">
        <v>171</v>
      </c>
      <c r="H6480" s="0" t="s">
        <v>172</v>
      </c>
      <c r="I6480" s="0" t="s">
        <v>38</v>
      </c>
      <c r="J6480" s="0" t="s">
        <v>39</v>
      </c>
      <c r="K6480" s="0" t="s">
        <v>48</v>
      </c>
      <c r="L6480" s="0" t="s">
        <v>49</v>
      </c>
      <c r="M6480" s="0" t="s">
        <v>173</v>
      </c>
      <c r="N6480" s="0" t="n">
        <v>586</v>
      </c>
      <c r="O6480" s="10" t="n">
        <v>0.562076940666884</v>
      </c>
      <c r="P6480" s="10" t="n">
        <v>0.404358610976487</v>
      </c>
      <c r="Q6480" s="0" t="str">
        <f aca="false">SUBSTITUTE(SUBSTITUTE($I6480,CHAR(61),""),CHAR(34),"")</f>
        <v>15-24</v>
      </c>
      <c r="R6480" s="0" t="str">
        <f aca="false">IF($D6480&lt;&gt;"","["&amp;$E6480&amp;"]"&amp;"|"&amp;$Q6480&amp;"|"&amp;$K6480&amp;"|"&amp;$G6480&amp;"|"&amp;IF($G6480="TX_CURR_SUBNAT.R","CY2022Q4",$M6480),"")</f>
        <v>[GkIwZrXy1h2]|15-24|Male|PLHIV_Residents.T2|CY2025Q3</v>
      </c>
    </row>
    <row r="6481" customFormat="false" ht="15" hidden="false" customHeight="false" outlineLevel="0" collapsed="false">
      <c r="D6481" s="0" t="s">
        <v>23</v>
      </c>
      <c r="E6481" s="0" t="s">
        <v>24</v>
      </c>
      <c r="F6481" s="0" t="s">
        <v>25</v>
      </c>
      <c r="G6481" s="0" t="s">
        <v>171</v>
      </c>
      <c r="H6481" s="0" t="s">
        <v>172</v>
      </c>
      <c r="I6481" s="0" t="s">
        <v>41</v>
      </c>
      <c r="J6481" s="0" t="s">
        <v>42</v>
      </c>
      <c r="K6481" s="0" t="s">
        <v>48</v>
      </c>
      <c r="L6481" s="0" t="s">
        <v>49</v>
      </c>
      <c r="M6481" s="0" t="s">
        <v>173</v>
      </c>
      <c r="N6481" s="0" t="n">
        <v>536</v>
      </c>
      <c r="O6481" s="10" t="n">
        <v>0.505260667996481</v>
      </c>
      <c r="P6481" s="10" t="n">
        <v>0.404358610976487</v>
      </c>
      <c r="Q6481" s="0" t="str">
        <f aca="false">SUBSTITUTE(SUBSTITUTE($I6481,CHAR(61),""),CHAR(34),"")</f>
        <v>25-34</v>
      </c>
      <c r="R6481" s="0" t="str">
        <f aca="false">IF($D6481&lt;&gt;"","["&amp;$E6481&amp;"]"&amp;"|"&amp;$Q6481&amp;"|"&amp;$K6481&amp;"|"&amp;$G6481&amp;"|"&amp;IF($G6481="TX_CURR_SUBNAT.R","CY2022Q4",$M6481),"")</f>
        <v>[GkIwZrXy1h2]|25-34|Male|PLHIV_Residents.T2|CY2025Q3</v>
      </c>
    </row>
    <row r="6482" customFormat="false" ht="15" hidden="false" customHeight="false" outlineLevel="0" collapsed="false">
      <c r="D6482" s="0" t="s">
        <v>23</v>
      </c>
      <c r="E6482" s="0" t="s">
        <v>24</v>
      </c>
      <c r="F6482" s="0" t="s">
        <v>25</v>
      </c>
      <c r="G6482" s="0" t="s">
        <v>171</v>
      </c>
      <c r="H6482" s="0" t="s">
        <v>172</v>
      </c>
      <c r="I6482" s="0" t="s">
        <v>43</v>
      </c>
      <c r="J6482" s="0" t="s">
        <v>44</v>
      </c>
      <c r="K6482" s="0" t="s">
        <v>48</v>
      </c>
      <c r="L6482" s="0" t="s">
        <v>49</v>
      </c>
      <c r="M6482" s="0" t="s">
        <v>173</v>
      </c>
      <c r="N6482" s="0" t="n">
        <v>1125</v>
      </c>
      <c r="O6482" s="10" t="n">
        <v>0.0205441599246114</v>
      </c>
      <c r="P6482" s="10" t="n">
        <v>0.404358610976487</v>
      </c>
      <c r="Q6482" s="0" t="str">
        <f aca="false">SUBSTITUTE(SUBSTITUTE($I6482,CHAR(61),""),CHAR(34),"")</f>
        <v>35-49</v>
      </c>
      <c r="R6482" s="0" t="str">
        <f aca="false">IF($D6482&lt;&gt;"","["&amp;$E6482&amp;"]"&amp;"|"&amp;$Q6482&amp;"|"&amp;$K6482&amp;"|"&amp;$G6482&amp;"|"&amp;IF($G6482="TX_CURR_SUBNAT.R","CY2022Q4",$M6482),"")</f>
        <v>[GkIwZrXy1h2]|35-49|Male|PLHIV_Residents.T2|CY2025Q3</v>
      </c>
    </row>
    <row r="6483" customFormat="false" ht="15" hidden="false" customHeight="false" outlineLevel="0" collapsed="false">
      <c r="D6483" s="0" t="s">
        <v>23</v>
      </c>
      <c r="E6483" s="0" t="s">
        <v>24</v>
      </c>
      <c r="F6483" s="0" t="s">
        <v>25</v>
      </c>
      <c r="G6483" s="0" t="s">
        <v>171</v>
      </c>
      <c r="H6483" s="0" t="s">
        <v>172</v>
      </c>
      <c r="I6483" s="0" t="s">
        <v>45</v>
      </c>
      <c r="J6483" s="0" t="s">
        <v>46</v>
      </c>
      <c r="K6483" s="0" t="s">
        <v>48</v>
      </c>
      <c r="L6483" s="0" t="s">
        <v>49</v>
      </c>
      <c r="M6483" s="0" t="s">
        <v>173</v>
      </c>
      <c r="N6483" s="0" t="n">
        <v>1680</v>
      </c>
      <c r="O6483" s="10" t="n">
        <v>0.905907786916941</v>
      </c>
      <c r="P6483" s="10" t="n">
        <v>0.404358610976487</v>
      </c>
      <c r="Q6483" s="0" t="str">
        <f aca="false">SUBSTITUTE(SUBSTITUTE($I6483,CHAR(61),""),CHAR(34),"")</f>
        <v>50+</v>
      </c>
      <c r="R6483" s="0" t="str">
        <f aca="false">IF($D6483&lt;&gt;"","["&amp;$E6483&amp;"]"&amp;"|"&amp;$Q6483&amp;"|"&amp;$K6483&amp;"|"&amp;$G6483&amp;"|"&amp;IF($G6483="TX_CURR_SUBNAT.R","CY2022Q4",$M6483),"")</f>
        <v>[GkIwZrXy1h2]|50+|Male|PLHIV_Residents.T2|CY2025Q3</v>
      </c>
    </row>
    <row r="6484" customFormat="false" ht="15" hidden="false" customHeight="false" outlineLevel="0" collapsed="false">
      <c r="D6484" s="0" t="s">
        <v>53</v>
      </c>
      <c r="E6484" s="0" t="s">
        <v>54</v>
      </c>
      <c r="F6484" s="0" t="s">
        <v>55</v>
      </c>
      <c r="G6484" s="0" t="s">
        <v>171</v>
      </c>
      <c r="H6484" s="0" t="s">
        <v>172</v>
      </c>
      <c r="I6484" s="0" t="s">
        <v>28</v>
      </c>
      <c r="J6484" s="0" t="s">
        <v>29</v>
      </c>
      <c r="K6484" s="0" t="s">
        <v>30</v>
      </c>
      <c r="L6484" s="0" t="s">
        <v>31</v>
      </c>
      <c r="M6484" s="0" t="s">
        <v>173</v>
      </c>
      <c r="N6484" s="0" t="n">
        <v>1241</v>
      </c>
      <c r="O6484" s="10" t="n">
        <v>0.411791525315493</v>
      </c>
      <c r="P6484" s="10" t="n">
        <v>0.616392469964921</v>
      </c>
      <c r="Q6484" s="0" t="str">
        <f aca="false">SUBSTITUTE(SUBSTITUTE($I6484,CHAR(61),""),CHAR(34),"")</f>
        <v>&lt;01</v>
      </c>
      <c r="R6484" s="0" t="str">
        <f aca="false">IF($D6484&lt;&gt;"","["&amp;$E6484&amp;"]"&amp;"|"&amp;$Q6484&amp;"|"&amp;$K6484&amp;"|"&amp;$G6484&amp;"|"&amp;IF($G6484="TX_CURR_SUBNAT.R","CY2022Q4",$M6484),"")</f>
        <v>[zphK9WV8JB4]|&lt;01|Female|PLHIV_Residents.T2|CY2025Q3</v>
      </c>
    </row>
    <row r="6485" customFormat="false" ht="15" hidden="false" customHeight="false" outlineLevel="0" collapsed="false">
      <c r="D6485" s="0" t="s">
        <v>53</v>
      </c>
      <c r="E6485" s="0" t="s">
        <v>54</v>
      </c>
      <c r="F6485" s="0" t="s">
        <v>55</v>
      </c>
      <c r="G6485" s="0" t="s">
        <v>171</v>
      </c>
      <c r="H6485" s="0" t="s">
        <v>172</v>
      </c>
      <c r="I6485" s="0" t="s">
        <v>33</v>
      </c>
      <c r="J6485" s="0" t="s">
        <v>34</v>
      </c>
      <c r="K6485" s="0" t="s">
        <v>30</v>
      </c>
      <c r="L6485" s="0" t="s">
        <v>31</v>
      </c>
      <c r="M6485" s="0" t="s">
        <v>173</v>
      </c>
      <c r="N6485" s="0" t="n">
        <v>1598</v>
      </c>
      <c r="O6485" s="10" t="n">
        <v>0.686725972918794</v>
      </c>
      <c r="P6485" s="10" t="n">
        <v>0.616392469964921</v>
      </c>
      <c r="Q6485" s="0" t="str">
        <f aca="false">SUBSTITUTE(SUBSTITUTE($I6485,CHAR(61),""),CHAR(34),"")</f>
        <v>01-09</v>
      </c>
      <c r="R6485" s="0" t="str">
        <f aca="false">IF($D6485&lt;&gt;"","["&amp;$E6485&amp;"]"&amp;"|"&amp;$Q6485&amp;"|"&amp;$K6485&amp;"|"&amp;$G6485&amp;"|"&amp;IF($G6485="TX_CURR_SUBNAT.R","CY2022Q4",$M6485),"")</f>
        <v>[zphK9WV8JB4]|01-09|Female|PLHIV_Residents.T2|CY2025Q3</v>
      </c>
    </row>
    <row r="6486" customFormat="false" ht="15" hidden="false" customHeight="false" outlineLevel="0" collapsed="false">
      <c r="D6486" s="0" t="s">
        <v>53</v>
      </c>
      <c r="E6486" s="0" t="s">
        <v>54</v>
      </c>
      <c r="F6486" s="0" t="s">
        <v>55</v>
      </c>
      <c r="G6486" s="0" t="s">
        <v>171</v>
      </c>
      <c r="H6486" s="0" t="s">
        <v>172</v>
      </c>
      <c r="I6486" s="0" t="s">
        <v>36</v>
      </c>
      <c r="J6486" s="0" t="s">
        <v>37</v>
      </c>
      <c r="K6486" s="0" t="s">
        <v>30</v>
      </c>
      <c r="L6486" s="0" t="s">
        <v>31</v>
      </c>
      <c r="M6486" s="0" t="s">
        <v>173</v>
      </c>
      <c r="N6486" s="0" t="n">
        <v>1171</v>
      </c>
      <c r="O6486" s="10" t="n">
        <v>0.68929816246964</v>
      </c>
      <c r="P6486" s="10" t="n">
        <v>0.616392469964921</v>
      </c>
      <c r="Q6486" s="0" t="str">
        <f aca="false">SUBSTITUTE(SUBSTITUTE($I6486,CHAR(61),""),CHAR(34),"")</f>
        <v>10-14</v>
      </c>
      <c r="R6486" s="0" t="str">
        <f aca="false">IF($D6486&lt;&gt;"","["&amp;$E6486&amp;"]"&amp;"|"&amp;$Q6486&amp;"|"&amp;$K6486&amp;"|"&amp;$G6486&amp;"|"&amp;IF($G6486="TX_CURR_SUBNAT.R","CY2022Q4",$M6486),"")</f>
        <v>[zphK9WV8JB4]|10-14|Female|PLHIV_Residents.T2|CY2025Q3</v>
      </c>
    </row>
    <row r="6487" customFormat="false" ht="15" hidden="false" customHeight="false" outlineLevel="0" collapsed="false">
      <c r="D6487" s="0" t="s">
        <v>53</v>
      </c>
      <c r="E6487" s="0" t="s">
        <v>54</v>
      </c>
      <c r="F6487" s="0" t="s">
        <v>55</v>
      </c>
      <c r="G6487" s="0" t="s">
        <v>171</v>
      </c>
      <c r="H6487" s="0" t="s">
        <v>172</v>
      </c>
      <c r="I6487" s="0" t="s">
        <v>38</v>
      </c>
      <c r="J6487" s="0" t="s">
        <v>39</v>
      </c>
      <c r="K6487" s="0" t="s">
        <v>30</v>
      </c>
      <c r="L6487" s="0" t="s">
        <v>31</v>
      </c>
      <c r="M6487" s="0" t="s">
        <v>173</v>
      </c>
      <c r="N6487" s="0" t="n">
        <v>1796</v>
      </c>
      <c r="O6487" s="10" t="n">
        <v>0.557283061090857</v>
      </c>
      <c r="P6487" s="10" t="n">
        <v>0.616392469964921</v>
      </c>
      <c r="Q6487" s="0" t="str">
        <f aca="false">SUBSTITUTE(SUBSTITUTE($I6487,CHAR(61),""),CHAR(34),"")</f>
        <v>15-24</v>
      </c>
      <c r="R6487" s="0" t="str">
        <f aca="false">IF($D6487&lt;&gt;"","["&amp;$E6487&amp;"]"&amp;"|"&amp;$Q6487&amp;"|"&amp;$K6487&amp;"|"&amp;$G6487&amp;"|"&amp;IF($G6487="TX_CURR_SUBNAT.R","CY2022Q4",$M6487),"")</f>
        <v>[zphK9WV8JB4]|15-24|Female|PLHIV_Residents.T2|CY2025Q3</v>
      </c>
    </row>
    <row r="6488" customFormat="false" ht="15" hidden="false" customHeight="false" outlineLevel="0" collapsed="false">
      <c r="D6488" s="0" t="s">
        <v>53</v>
      </c>
      <c r="E6488" s="0" t="s">
        <v>54</v>
      </c>
      <c r="F6488" s="0" t="s">
        <v>55</v>
      </c>
      <c r="G6488" s="0" t="s">
        <v>171</v>
      </c>
      <c r="H6488" s="0" t="s">
        <v>172</v>
      </c>
      <c r="I6488" s="0" t="s">
        <v>41</v>
      </c>
      <c r="J6488" s="0" t="s">
        <v>42</v>
      </c>
      <c r="K6488" s="0" t="s">
        <v>30</v>
      </c>
      <c r="L6488" s="0" t="s">
        <v>31</v>
      </c>
      <c r="M6488" s="0" t="s">
        <v>173</v>
      </c>
      <c r="N6488" s="0" t="n">
        <v>1456</v>
      </c>
      <c r="O6488" s="10" t="n">
        <v>0.995808844687417</v>
      </c>
      <c r="P6488" s="10" t="n">
        <v>0.616392469964921</v>
      </c>
      <c r="Q6488" s="0" t="str">
        <f aca="false">SUBSTITUTE(SUBSTITUTE($I6488,CHAR(61),""),CHAR(34),"")</f>
        <v>25-34</v>
      </c>
      <c r="R6488" s="0" t="str">
        <f aca="false">IF($D6488&lt;&gt;"","["&amp;$E6488&amp;"]"&amp;"|"&amp;$Q6488&amp;"|"&amp;$K6488&amp;"|"&amp;$G6488&amp;"|"&amp;IF($G6488="TX_CURR_SUBNAT.R","CY2022Q4",$M6488),"")</f>
        <v>[zphK9WV8JB4]|25-34|Female|PLHIV_Residents.T2|CY2025Q3</v>
      </c>
    </row>
    <row r="6489" customFormat="false" ht="15" hidden="false" customHeight="false" outlineLevel="0" collapsed="false">
      <c r="D6489" s="0" t="s">
        <v>53</v>
      </c>
      <c r="E6489" s="0" t="s">
        <v>54</v>
      </c>
      <c r="F6489" s="0" t="s">
        <v>55</v>
      </c>
      <c r="G6489" s="0" t="s">
        <v>171</v>
      </c>
      <c r="H6489" s="0" t="s">
        <v>172</v>
      </c>
      <c r="I6489" s="0" t="s">
        <v>43</v>
      </c>
      <c r="J6489" s="0" t="s">
        <v>44</v>
      </c>
      <c r="K6489" s="0" t="s">
        <v>30</v>
      </c>
      <c r="L6489" s="0" t="s">
        <v>31</v>
      </c>
      <c r="M6489" s="0" t="s">
        <v>173</v>
      </c>
      <c r="N6489" s="0" t="n">
        <v>996</v>
      </c>
      <c r="O6489" s="10" t="n">
        <v>0.0108444464858621</v>
      </c>
      <c r="P6489" s="10" t="n">
        <v>0.616392469964921</v>
      </c>
      <c r="Q6489" s="0" t="str">
        <f aca="false">SUBSTITUTE(SUBSTITUTE($I6489,CHAR(61),""),CHAR(34),"")</f>
        <v>35-49</v>
      </c>
      <c r="R6489" s="0" t="str">
        <f aca="false">IF($D6489&lt;&gt;"","["&amp;$E6489&amp;"]"&amp;"|"&amp;$Q6489&amp;"|"&amp;$K6489&amp;"|"&amp;$G6489&amp;"|"&amp;IF($G6489="TX_CURR_SUBNAT.R","CY2022Q4",$M6489),"")</f>
        <v>[zphK9WV8JB4]|35-49|Female|PLHIV_Residents.T2|CY2025Q3</v>
      </c>
    </row>
    <row r="6490" customFormat="false" ht="15" hidden="false" customHeight="false" outlineLevel="0" collapsed="false">
      <c r="D6490" s="0" t="s">
        <v>53</v>
      </c>
      <c r="E6490" s="0" t="s">
        <v>54</v>
      </c>
      <c r="F6490" s="0" t="s">
        <v>55</v>
      </c>
      <c r="G6490" s="0" t="s">
        <v>171</v>
      </c>
      <c r="H6490" s="0" t="s">
        <v>172</v>
      </c>
      <c r="I6490" s="0" t="s">
        <v>45</v>
      </c>
      <c r="J6490" s="0" t="s">
        <v>46</v>
      </c>
      <c r="K6490" s="0" t="s">
        <v>30</v>
      </c>
      <c r="L6490" s="0" t="s">
        <v>31</v>
      </c>
      <c r="M6490" s="0" t="s">
        <v>173</v>
      </c>
      <c r="N6490" s="0" t="n">
        <v>1275</v>
      </c>
      <c r="O6490" s="10" t="n">
        <v>0.882424669340253</v>
      </c>
      <c r="P6490" s="10" t="n">
        <v>0.616392469964921</v>
      </c>
      <c r="Q6490" s="0" t="str">
        <f aca="false">SUBSTITUTE(SUBSTITUTE($I6490,CHAR(61),""),CHAR(34),"")</f>
        <v>50+</v>
      </c>
      <c r="R6490" s="0" t="str">
        <f aca="false">IF($D6490&lt;&gt;"","["&amp;$E6490&amp;"]"&amp;"|"&amp;$Q6490&amp;"|"&amp;$K6490&amp;"|"&amp;$G6490&amp;"|"&amp;IF($G6490="TX_CURR_SUBNAT.R","CY2022Q4",$M6490),"")</f>
        <v>[zphK9WV8JB4]|50+|Female|PLHIV_Residents.T2|CY2025Q3</v>
      </c>
    </row>
    <row r="6491" customFormat="false" ht="15" hidden="false" customHeight="false" outlineLevel="0" collapsed="false">
      <c r="D6491" s="0" t="s">
        <v>53</v>
      </c>
      <c r="E6491" s="0" t="s">
        <v>54</v>
      </c>
      <c r="F6491" s="0" t="s">
        <v>55</v>
      </c>
      <c r="G6491" s="0" t="s">
        <v>171</v>
      </c>
      <c r="H6491" s="0" t="s">
        <v>172</v>
      </c>
      <c r="I6491" s="0" t="s">
        <v>28</v>
      </c>
      <c r="J6491" s="0" t="s">
        <v>29</v>
      </c>
      <c r="K6491" s="0" t="s">
        <v>48</v>
      </c>
      <c r="L6491" s="0" t="s">
        <v>49</v>
      </c>
      <c r="M6491" s="0" t="s">
        <v>173</v>
      </c>
      <c r="N6491" s="0" t="n">
        <v>1527</v>
      </c>
      <c r="O6491" s="10" t="n">
        <v>0.752291260752827</v>
      </c>
      <c r="P6491" s="10" t="n">
        <v>0.616392469964921</v>
      </c>
      <c r="Q6491" s="0" t="str">
        <f aca="false">SUBSTITUTE(SUBSTITUTE($I6491,CHAR(61),""),CHAR(34),"")</f>
        <v>&lt;01</v>
      </c>
      <c r="R6491" s="0" t="str">
        <f aca="false">IF($D6491&lt;&gt;"","["&amp;$E6491&amp;"]"&amp;"|"&amp;$Q6491&amp;"|"&amp;$K6491&amp;"|"&amp;$G6491&amp;"|"&amp;IF($G6491="TX_CURR_SUBNAT.R","CY2022Q4",$M6491),"")</f>
        <v>[zphK9WV8JB4]|&lt;01|Male|PLHIV_Residents.T2|CY2025Q3</v>
      </c>
    </row>
    <row r="6492" customFormat="false" ht="15" hidden="false" customHeight="false" outlineLevel="0" collapsed="false">
      <c r="D6492" s="0" t="s">
        <v>53</v>
      </c>
      <c r="E6492" s="0" t="s">
        <v>54</v>
      </c>
      <c r="F6492" s="0" t="s">
        <v>55</v>
      </c>
      <c r="G6492" s="0" t="s">
        <v>171</v>
      </c>
      <c r="H6492" s="0" t="s">
        <v>172</v>
      </c>
      <c r="I6492" s="0" t="s">
        <v>33</v>
      </c>
      <c r="J6492" s="0" t="s">
        <v>34</v>
      </c>
      <c r="K6492" s="0" t="s">
        <v>48</v>
      </c>
      <c r="L6492" s="0" t="s">
        <v>49</v>
      </c>
      <c r="M6492" s="0" t="s">
        <v>173</v>
      </c>
      <c r="N6492" s="0" t="n">
        <v>1873</v>
      </c>
      <c r="O6492" s="10" t="n">
        <v>0.833558727521449</v>
      </c>
      <c r="P6492" s="10" t="n">
        <v>0.616392469964921</v>
      </c>
      <c r="Q6492" s="0" t="str">
        <f aca="false">SUBSTITUTE(SUBSTITUTE($I6492,CHAR(61),""),CHAR(34),"")</f>
        <v>01-09</v>
      </c>
      <c r="R6492" s="0" t="str">
        <f aca="false">IF($D6492&lt;&gt;"","["&amp;$E6492&amp;"]"&amp;"|"&amp;$Q6492&amp;"|"&amp;$K6492&amp;"|"&amp;$G6492&amp;"|"&amp;IF($G6492="TX_CURR_SUBNAT.R","CY2022Q4",$M6492),"")</f>
        <v>[zphK9WV8JB4]|01-09|Male|PLHIV_Residents.T2|CY2025Q3</v>
      </c>
    </row>
    <row r="6493" customFormat="false" ht="15" hidden="false" customHeight="false" outlineLevel="0" collapsed="false">
      <c r="D6493" s="0" t="s">
        <v>53</v>
      </c>
      <c r="E6493" s="0" t="s">
        <v>54</v>
      </c>
      <c r="F6493" s="0" t="s">
        <v>55</v>
      </c>
      <c r="G6493" s="0" t="s">
        <v>171</v>
      </c>
      <c r="H6493" s="0" t="s">
        <v>172</v>
      </c>
      <c r="I6493" s="0" t="s">
        <v>36</v>
      </c>
      <c r="J6493" s="0" t="s">
        <v>37</v>
      </c>
      <c r="K6493" s="0" t="s">
        <v>48</v>
      </c>
      <c r="L6493" s="0" t="s">
        <v>49</v>
      </c>
      <c r="M6493" s="0" t="s">
        <v>173</v>
      </c>
      <c r="N6493" s="0" t="n">
        <v>538</v>
      </c>
      <c r="O6493" s="10" t="n">
        <v>0.0494808731600642</v>
      </c>
      <c r="P6493" s="10" t="n">
        <v>0.616392469964921</v>
      </c>
      <c r="Q6493" s="0" t="str">
        <f aca="false">SUBSTITUTE(SUBSTITUTE($I6493,CHAR(61),""),CHAR(34),"")</f>
        <v>10-14</v>
      </c>
      <c r="R6493" s="0" t="str">
        <f aca="false">IF($D6493&lt;&gt;"","["&amp;$E6493&amp;"]"&amp;"|"&amp;$Q6493&amp;"|"&amp;$K6493&amp;"|"&amp;$G6493&amp;"|"&amp;IF($G6493="TX_CURR_SUBNAT.R","CY2022Q4",$M6493),"")</f>
        <v>[zphK9WV8JB4]|10-14|Male|PLHIV_Residents.T2|CY2025Q3</v>
      </c>
    </row>
    <row r="6494" customFormat="false" ht="15" hidden="false" customHeight="false" outlineLevel="0" collapsed="false">
      <c r="D6494" s="0" t="s">
        <v>53</v>
      </c>
      <c r="E6494" s="0" t="s">
        <v>54</v>
      </c>
      <c r="F6494" s="0" t="s">
        <v>55</v>
      </c>
      <c r="G6494" s="0" t="s">
        <v>171</v>
      </c>
      <c r="H6494" s="0" t="s">
        <v>172</v>
      </c>
      <c r="I6494" s="0" t="s">
        <v>38</v>
      </c>
      <c r="J6494" s="0" t="s">
        <v>39</v>
      </c>
      <c r="K6494" s="0" t="s">
        <v>48</v>
      </c>
      <c r="L6494" s="0" t="s">
        <v>49</v>
      </c>
      <c r="M6494" s="0" t="s">
        <v>173</v>
      </c>
      <c r="N6494" s="0" t="n">
        <v>1957</v>
      </c>
      <c r="O6494" s="10" t="n">
        <v>0.410941345850006</v>
      </c>
      <c r="P6494" s="10" t="n">
        <v>0.616392469964921</v>
      </c>
      <c r="Q6494" s="0" t="str">
        <f aca="false">SUBSTITUTE(SUBSTITUTE($I6494,CHAR(61),""),CHAR(34),"")</f>
        <v>15-24</v>
      </c>
      <c r="R6494" s="0" t="str">
        <f aca="false">IF($D6494&lt;&gt;"","["&amp;$E6494&amp;"]"&amp;"|"&amp;$Q6494&amp;"|"&amp;$K6494&amp;"|"&amp;$G6494&amp;"|"&amp;IF($G6494="TX_CURR_SUBNAT.R","CY2022Q4",$M6494),"")</f>
        <v>[zphK9WV8JB4]|15-24|Male|PLHIV_Residents.T2|CY2025Q3</v>
      </c>
    </row>
    <row r="6495" customFormat="false" ht="15" hidden="false" customHeight="false" outlineLevel="0" collapsed="false">
      <c r="D6495" s="0" t="s">
        <v>53</v>
      </c>
      <c r="E6495" s="0" t="s">
        <v>54</v>
      </c>
      <c r="F6495" s="0" t="s">
        <v>55</v>
      </c>
      <c r="G6495" s="0" t="s">
        <v>171</v>
      </c>
      <c r="H6495" s="0" t="s">
        <v>172</v>
      </c>
      <c r="I6495" s="0" t="s">
        <v>41</v>
      </c>
      <c r="J6495" s="0" t="s">
        <v>42</v>
      </c>
      <c r="K6495" s="0" t="s">
        <v>48</v>
      </c>
      <c r="L6495" s="0" t="s">
        <v>49</v>
      </c>
      <c r="M6495" s="0" t="s">
        <v>173</v>
      </c>
      <c r="N6495" s="0" t="n">
        <v>1680</v>
      </c>
      <c r="O6495" s="10" t="n">
        <v>0.711925491923466</v>
      </c>
      <c r="P6495" s="10" t="n">
        <v>0.616392469964921</v>
      </c>
      <c r="Q6495" s="0" t="str">
        <f aca="false">SUBSTITUTE(SUBSTITUTE($I6495,CHAR(61),""),CHAR(34),"")</f>
        <v>25-34</v>
      </c>
      <c r="R6495" s="0" t="str">
        <f aca="false">IF($D6495&lt;&gt;"","["&amp;$E6495&amp;"]"&amp;"|"&amp;$Q6495&amp;"|"&amp;$K6495&amp;"|"&amp;$G6495&amp;"|"&amp;IF($G6495="TX_CURR_SUBNAT.R","CY2022Q4",$M6495),"")</f>
        <v>[zphK9WV8JB4]|25-34|Male|PLHIV_Residents.T2|CY2025Q3</v>
      </c>
    </row>
    <row r="6496" customFormat="false" ht="15" hidden="false" customHeight="false" outlineLevel="0" collapsed="false">
      <c r="D6496" s="0" t="s">
        <v>53</v>
      </c>
      <c r="E6496" s="0" t="s">
        <v>54</v>
      </c>
      <c r="F6496" s="0" t="s">
        <v>55</v>
      </c>
      <c r="G6496" s="0" t="s">
        <v>171</v>
      </c>
      <c r="H6496" s="0" t="s">
        <v>172</v>
      </c>
      <c r="I6496" s="0" t="s">
        <v>43</v>
      </c>
      <c r="J6496" s="0" t="s">
        <v>44</v>
      </c>
      <c r="K6496" s="0" t="s">
        <v>48</v>
      </c>
      <c r="L6496" s="0" t="s">
        <v>49</v>
      </c>
      <c r="M6496" s="0" t="s">
        <v>173</v>
      </c>
      <c r="N6496" s="0" t="n">
        <v>1170</v>
      </c>
      <c r="O6496" s="10" t="n">
        <v>0.602908470667899</v>
      </c>
      <c r="P6496" s="10" t="n">
        <v>0.616392469964921</v>
      </c>
      <c r="Q6496" s="0" t="str">
        <f aca="false">SUBSTITUTE(SUBSTITUTE($I6496,CHAR(61),""),CHAR(34),"")</f>
        <v>35-49</v>
      </c>
      <c r="R6496" s="0" t="str">
        <f aca="false">IF($D6496&lt;&gt;"","["&amp;$E6496&amp;"]"&amp;"|"&amp;$Q6496&amp;"|"&amp;$K6496&amp;"|"&amp;$G6496&amp;"|"&amp;IF($G6496="TX_CURR_SUBNAT.R","CY2022Q4",$M6496),"")</f>
        <v>[zphK9WV8JB4]|35-49|Male|PLHIV_Residents.T2|CY2025Q3</v>
      </c>
    </row>
    <row r="6497" customFormat="false" ht="15" hidden="false" customHeight="false" outlineLevel="0" collapsed="false">
      <c r="D6497" s="0" t="s">
        <v>53</v>
      </c>
      <c r="E6497" s="0" t="s">
        <v>54</v>
      </c>
      <c r="F6497" s="0" t="s">
        <v>55</v>
      </c>
      <c r="G6497" s="0" t="s">
        <v>171</v>
      </c>
      <c r="H6497" s="0" t="s">
        <v>172</v>
      </c>
      <c r="I6497" s="0" t="s">
        <v>45</v>
      </c>
      <c r="J6497" s="0" t="s">
        <v>46</v>
      </c>
      <c r="K6497" s="0" t="s">
        <v>48</v>
      </c>
      <c r="L6497" s="0" t="s">
        <v>49</v>
      </c>
      <c r="M6497" s="0" t="s">
        <v>173</v>
      </c>
      <c r="N6497" s="0" t="n">
        <v>1082</v>
      </c>
      <c r="O6497" s="10" t="n">
        <v>0.788387368200347</v>
      </c>
      <c r="P6497" s="10" t="n">
        <v>0.616392469964921</v>
      </c>
      <c r="Q6497" s="0" t="str">
        <f aca="false">SUBSTITUTE(SUBSTITUTE($I6497,CHAR(61),""),CHAR(34),"")</f>
        <v>50+</v>
      </c>
      <c r="R6497" s="0" t="str">
        <f aca="false">IF($D6497&lt;&gt;"","["&amp;$E6497&amp;"]"&amp;"|"&amp;$Q6497&amp;"|"&amp;$K6497&amp;"|"&amp;$G6497&amp;"|"&amp;IF($G6497="TX_CURR_SUBNAT.R","CY2022Q4",$M6497),"")</f>
        <v>[zphK9WV8JB4]|50+|Male|PLHIV_Residents.T2|CY2025Q3</v>
      </c>
    </row>
    <row r="6498" customFormat="false" ht="15" hidden="false" customHeight="false" outlineLevel="0" collapsed="false">
      <c r="D6498" s="0" t="s">
        <v>60</v>
      </c>
      <c r="E6498" s="0" t="s">
        <v>61</v>
      </c>
      <c r="F6498" s="0" t="s">
        <v>62</v>
      </c>
      <c r="G6498" s="0" t="s">
        <v>171</v>
      </c>
      <c r="H6498" s="0" t="s">
        <v>172</v>
      </c>
      <c r="I6498" s="0" t="s">
        <v>28</v>
      </c>
      <c r="J6498" s="0" t="s">
        <v>29</v>
      </c>
      <c r="K6498" s="0" t="s">
        <v>30</v>
      </c>
      <c r="L6498" s="0" t="s">
        <v>31</v>
      </c>
      <c r="M6498" s="0" t="s">
        <v>173</v>
      </c>
      <c r="N6498" s="0" t="n">
        <v>935</v>
      </c>
      <c r="O6498" s="10" t="n">
        <v>0.565290672471747</v>
      </c>
      <c r="P6498" s="10" t="n">
        <v>0.0268250561784953</v>
      </c>
      <c r="Q6498" s="0" t="str">
        <f aca="false">SUBSTITUTE(SUBSTITUTE($I6498,CHAR(61),""),CHAR(34),"")</f>
        <v>&lt;01</v>
      </c>
      <c r="R6498" s="0" t="str">
        <f aca="false">IF($D6498&lt;&gt;"","["&amp;$E6498&amp;"]"&amp;"|"&amp;$Q6498&amp;"|"&amp;$K6498&amp;"|"&amp;$G6498&amp;"|"&amp;IF($G6498="TX_CURR_SUBNAT.R","CY2022Q4",$M6498),"")</f>
        <v>[msW2zpIN7up]|&lt;01|Female|PLHIV_Residents.T2|CY2025Q3</v>
      </c>
    </row>
    <row r="6499" customFormat="false" ht="15" hidden="false" customHeight="false" outlineLevel="0" collapsed="false">
      <c r="D6499" s="0" t="s">
        <v>60</v>
      </c>
      <c r="E6499" s="0" t="s">
        <v>61</v>
      </c>
      <c r="F6499" s="0" t="s">
        <v>62</v>
      </c>
      <c r="G6499" s="0" t="s">
        <v>171</v>
      </c>
      <c r="H6499" s="0" t="s">
        <v>172</v>
      </c>
      <c r="I6499" s="0" t="s">
        <v>33</v>
      </c>
      <c r="J6499" s="0" t="s">
        <v>34</v>
      </c>
      <c r="K6499" s="0" t="s">
        <v>30</v>
      </c>
      <c r="L6499" s="0" t="s">
        <v>31</v>
      </c>
      <c r="M6499" s="0" t="s">
        <v>173</v>
      </c>
      <c r="N6499" s="0" t="n">
        <v>806</v>
      </c>
      <c r="O6499" s="10" t="n">
        <v>0.212682445300743</v>
      </c>
      <c r="P6499" s="10" t="n">
        <v>0.0268250561784953</v>
      </c>
      <c r="Q6499" s="0" t="str">
        <f aca="false">SUBSTITUTE(SUBSTITUTE($I6499,CHAR(61),""),CHAR(34),"")</f>
        <v>01-09</v>
      </c>
      <c r="R6499" s="0" t="str">
        <f aca="false">IF($D6499&lt;&gt;"","["&amp;$E6499&amp;"]"&amp;"|"&amp;$Q6499&amp;"|"&amp;$K6499&amp;"|"&amp;$G6499&amp;"|"&amp;IF($G6499="TX_CURR_SUBNAT.R","CY2022Q4",$M6499),"")</f>
        <v>[msW2zpIN7up]|01-09|Female|PLHIV_Residents.T2|CY2025Q3</v>
      </c>
    </row>
    <row r="6500" customFormat="false" ht="15" hidden="false" customHeight="false" outlineLevel="0" collapsed="false">
      <c r="D6500" s="0" t="s">
        <v>60</v>
      </c>
      <c r="E6500" s="0" t="s">
        <v>61</v>
      </c>
      <c r="F6500" s="0" t="s">
        <v>62</v>
      </c>
      <c r="G6500" s="0" t="s">
        <v>171</v>
      </c>
      <c r="H6500" s="0" t="s">
        <v>172</v>
      </c>
      <c r="I6500" s="0" t="s">
        <v>36</v>
      </c>
      <c r="J6500" s="0" t="s">
        <v>37</v>
      </c>
      <c r="K6500" s="0" t="s">
        <v>30</v>
      </c>
      <c r="L6500" s="0" t="s">
        <v>31</v>
      </c>
      <c r="M6500" s="0" t="s">
        <v>173</v>
      </c>
      <c r="N6500" s="0" t="n">
        <v>666</v>
      </c>
      <c r="O6500" s="10" t="n">
        <v>0.32323718490079</v>
      </c>
      <c r="P6500" s="10" t="n">
        <v>0.0268250561784953</v>
      </c>
      <c r="Q6500" s="0" t="str">
        <f aca="false">SUBSTITUTE(SUBSTITUTE($I6500,CHAR(61),""),CHAR(34),"")</f>
        <v>10-14</v>
      </c>
      <c r="R6500" s="0" t="str">
        <f aca="false">IF($D6500&lt;&gt;"","["&amp;$E6500&amp;"]"&amp;"|"&amp;$Q6500&amp;"|"&amp;$K6500&amp;"|"&amp;$G6500&amp;"|"&amp;IF($G6500="TX_CURR_SUBNAT.R","CY2022Q4",$M6500),"")</f>
        <v>[msW2zpIN7up]|10-14|Female|PLHIV_Residents.T2|CY2025Q3</v>
      </c>
    </row>
    <row r="6501" customFormat="false" ht="15" hidden="false" customHeight="false" outlineLevel="0" collapsed="false">
      <c r="D6501" s="0" t="s">
        <v>60</v>
      </c>
      <c r="E6501" s="0" t="s">
        <v>61</v>
      </c>
      <c r="F6501" s="0" t="s">
        <v>62</v>
      </c>
      <c r="G6501" s="0" t="s">
        <v>171</v>
      </c>
      <c r="H6501" s="0" t="s">
        <v>172</v>
      </c>
      <c r="I6501" s="0" t="s">
        <v>38</v>
      </c>
      <c r="J6501" s="0" t="s">
        <v>39</v>
      </c>
      <c r="K6501" s="0" t="s">
        <v>30</v>
      </c>
      <c r="L6501" s="0" t="s">
        <v>31</v>
      </c>
      <c r="M6501" s="0" t="s">
        <v>173</v>
      </c>
      <c r="N6501" s="0" t="n">
        <v>1297</v>
      </c>
      <c r="O6501" s="10" t="n">
        <v>0.216683585196733</v>
      </c>
      <c r="P6501" s="10" t="n">
        <v>0.0268250561784953</v>
      </c>
      <c r="Q6501" s="0" t="str">
        <f aca="false">SUBSTITUTE(SUBSTITUTE($I6501,CHAR(61),""),CHAR(34),"")</f>
        <v>15-24</v>
      </c>
      <c r="R6501" s="0" t="str">
        <f aca="false">IF($D6501&lt;&gt;"","["&amp;$E6501&amp;"]"&amp;"|"&amp;$Q6501&amp;"|"&amp;$K6501&amp;"|"&amp;$G6501&amp;"|"&amp;IF($G6501="TX_CURR_SUBNAT.R","CY2022Q4",$M6501),"")</f>
        <v>[msW2zpIN7up]|15-24|Female|PLHIV_Residents.T2|CY2025Q3</v>
      </c>
    </row>
    <row r="6502" customFormat="false" ht="15" hidden="false" customHeight="false" outlineLevel="0" collapsed="false">
      <c r="D6502" s="0" t="s">
        <v>60</v>
      </c>
      <c r="E6502" s="0" t="s">
        <v>61</v>
      </c>
      <c r="F6502" s="0" t="s">
        <v>62</v>
      </c>
      <c r="G6502" s="0" t="s">
        <v>171</v>
      </c>
      <c r="H6502" s="0" t="s">
        <v>172</v>
      </c>
      <c r="I6502" s="0" t="s">
        <v>41</v>
      </c>
      <c r="J6502" s="0" t="s">
        <v>42</v>
      </c>
      <c r="K6502" s="0" t="s">
        <v>30</v>
      </c>
      <c r="L6502" s="0" t="s">
        <v>31</v>
      </c>
      <c r="M6502" s="0" t="s">
        <v>173</v>
      </c>
      <c r="N6502" s="0" t="n">
        <v>1975</v>
      </c>
      <c r="O6502" s="10" t="n">
        <v>0.482609700411558</v>
      </c>
      <c r="P6502" s="10" t="n">
        <v>0.0268250561784953</v>
      </c>
      <c r="Q6502" s="0" t="str">
        <f aca="false">SUBSTITUTE(SUBSTITUTE($I6502,CHAR(61),""),CHAR(34),"")</f>
        <v>25-34</v>
      </c>
      <c r="R6502" s="0" t="str">
        <f aca="false">IF($D6502&lt;&gt;"","["&amp;$E6502&amp;"]"&amp;"|"&amp;$Q6502&amp;"|"&amp;$K6502&amp;"|"&amp;$G6502&amp;"|"&amp;IF($G6502="TX_CURR_SUBNAT.R","CY2022Q4",$M6502),"")</f>
        <v>[msW2zpIN7up]|25-34|Female|PLHIV_Residents.T2|CY2025Q3</v>
      </c>
    </row>
    <row r="6503" customFormat="false" ht="15" hidden="false" customHeight="false" outlineLevel="0" collapsed="false">
      <c r="D6503" s="0" t="s">
        <v>60</v>
      </c>
      <c r="E6503" s="0" t="s">
        <v>61</v>
      </c>
      <c r="F6503" s="0" t="s">
        <v>62</v>
      </c>
      <c r="G6503" s="0" t="s">
        <v>171</v>
      </c>
      <c r="H6503" s="0" t="s">
        <v>172</v>
      </c>
      <c r="I6503" s="0" t="s">
        <v>43</v>
      </c>
      <c r="J6503" s="0" t="s">
        <v>44</v>
      </c>
      <c r="K6503" s="0" t="s">
        <v>30</v>
      </c>
      <c r="L6503" s="0" t="s">
        <v>31</v>
      </c>
      <c r="M6503" s="0" t="s">
        <v>173</v>
      </c>
      <c r="N6503" s="0" t="n">
        <v>1196</v>
      </c>
      <c r="O6503" s="10" t="n">
        <v>0.557945183478296</v>
      </c>
      <c r="P6503" s="10" t="n">
        <v>0.0268250561784953</v>
      </c>
      <c r="Q6503" s="0" t="str">
        <f aca="false">SUBSTITUTE(SUBSTITUTE($I6503,CHAR(61),""),CHAR(34),"")</f>
        <v>35-49</v>
      </c>
      <c r="R6503" s="0" t="str">
        <f aca="false">IF($D6503&lt;&gt;"","["&amp;$E6503&amp;"]"&amp;"|"&amp;$Q6503&amp;"|"&amp;$K6503&amp;"|"&amp;$G6503&amp;"|"&amp;IF($G6503="TX_CURR_SUBNAT.R","CY2022Q4",$M6503),"")</f>
        <v>[msW2zpIN7up]|35-49|Female|PLHIV_Residents.T2|CY2025Q3</v>
      </c>
    </row>
    <row r="6504" customFormat="false" ht="15" hidden="false" customHeight="false" outlineLevel="0" collapsed="false">
      <c r="D6504" s="0" t="s">
        <v>60</v>
      </c>
      <c r="E6504" s="0" t="s">
        <v>61</v>
      </c>
      <c r="F6504" s="0" t="s">
        <v>62</v>
      </c>
      <c r="G6504" s="0" t="s">
        <v>171</v>
      </c>
      <c r="H6504" s="0" t="s">
        <v>172</v>
      </c>
      <c r="I6504" s="0" t="s">
        <v>45</v>
      </c>
      <c r="J6504" s="0" t="s">
        <v>46</v>
      </c>
      <c r="K6504" s="0" t="s">
        <v>30</v>
      </c>
      <c r="L6504" s="0" t="s">
        <v>31</v>
      </c>
      <c r="M6504" s="0" t="s">
        <v>173</v>
      </c>
      <c r="N6504" s="0" t="n">
        <v>1557</v>
      </c>
      <c r="O6504" s="10" t="n">
        <v>0.396569542586803</v>
      </c>
      <c r="P6504" s="10" t="n">
        <v>0.0268250561784953</v>
      </c>
      <c r="Q6504" s="0" t="str">
        <f aca="false">SUBSTITUTE(SUBSTITUTE($I6504,CHAR(61),""),CHAR(34),"")</f>
        <v>50+</v>
      </c>
      <c r="R6504" s="0" t="str">
        <f aca="false">IF($D6504&lt;&gt;"","["&amp;$E6504&amp;"]"&amp;"|"&amp;$Q6504&amp;"|"&amp;$K6504&amp;"|"&amp;$G6504&amp;"|"&amp;IF($G6504="TX_CURR_SUBNAT.R","CY2022Q4",$M6504),"")</f>
        <v>[msW2zpIN7up]|50+|Female|PLHIV_Residents.T2|CY2025Q3</v>
      </c>
    </row>
    <row r="6505" customFormat="false" ht="15" hidden="false" customHeight="false" outlineLevel="0" collapsed="false">
      <c r="D6505" s="0" t="s">
        <v>60</v>
      </c>
      <c r="E6505" s="0" t="s">
        <v>61</v>
      </c>
      <c r="F6505" s="0" t="s">
        <v>62</v>
      </c>
      <c r="G6505" s="0" t="s">
        <v>171</v>
      </c>
      <c r="H6505" s="0" t="s">
        <v>172</v>
      </c>
      <c r="I6505" s="0" t="s">
        <v>28</v>
      </c>
      <c r="J6505" s="0" t="s">
        <v>29</v>
      </c>
      <c r="K6505" s="0" t="s">
        <v>48</v>
      </c>
      <c r="L6505" s="0" t="s">
        <v>49</v>
      </c>
      <c r="M6505" s="0" t="s">
        <v>173</v>
      </c>
      <c r="N6505" s="0" t="n">
        <v>1553</v>
      </c>
      <c r="O6505" s="10" t="n">
        <v>0.866387681104243</v>
      </c>
      <c r="P6505" s="10" t="n">
        <v>0.0268250561784953</v>
      </c>
      <c r="Q6505" s="0" t="str">
        <f aca="false">SUBSTITUTE(SUBSTITUTE($I6505,CHAR(61),""),CHAR(34),"")</f>
        <v>&lt;01</v>
      </c>
      <c r="R6505" s="0" t="str">
        <f aca="false">IF($D6505&lt;&gt;"","["&amp;$E6505&amp;"]"&amp;"|"&amp;$Q6505&amp;"|"&amp;$K6505&amp;"|"&amp;$G6505&amp;"|"&amp;IF($G6505="TX_CURR_SUBNAT.R","CY2022Q4",$M6505),"")</f>
        <v>[msW2zpIN7up]|&lt;01|Male|PLHIV_Residents.T2|CY2025Q3</v>
      </c>
    </row>
    <row r="6506" customFormat="false" ht="15" hidden="false" customHeight="false" outlineLevel="0" collapsed="false">
      <c r="D6506" s="0" t="s">
        <v>60</v>
      </c>
      <c r="E6506" s="0" t="s">
        <v>61</v>
      </c>
      <c r="F6506" s="0" t="s">
        <v>62</v>
      </c>
      <c r="G6506" s="0" t="s">
        <v>171</v>
      </c>
      <c r="H6506" s="0" t="s">
        <v>172</v>
      </c>
      <c r="I6506" s="0" t="s">
        <v>33</v>
      </c>
      <c r="J6506" s="0" t="s">
        <v>34</v>
      </c>
      <c r="K6506" s="0" t="s">
        <v>48</v>
      </c>
      <c r="L6506" s="0" t="s">
        <v>49</v>
      </c>
      <c r="M6506" s="0" t="s">
        <v>173</v>
      </c>
      <c r="N6506" s="0" t="n">
        <v>1022</v>
      </c>
      <c r="O6506" s="10" t="n">
        <v>0.395359905436635</v>
      </c>
      <c r="P6506" s="10" t="n">
        <v>0.0268250561784953</v>
      </c>
      <c r="Q6506" s="0" t="str">
        <f aca="false">SUBSTITUTE(SUBSTITUTE($I6506,CHAR(61),""),CHAR(34),"")</f>
        <v>01-09</v>
      </c>
      <c r="R6506" s="0" t="str">
        <f aca="false">IF($D6506&lt;&gt;"","["&amp;$E6506&amp;"]"&amp;"|"&amp;$Q6506&amp;"|"&amp;$K6506&amp;"|"&amp;$G6506&amp;"|"&amp;IF($G6506="TX_CURR_SUBNAT.R","CY2022Q4",$M6506),"")</f>
        <v>[msW2zpIN7up]|01-09|Male|PLHIV_Residents.T2|CY2025Q3</v>
      </c>
    </row>
    <row r="6507" customFormat="false" ht="15" hidden="false" customHeight="false" outlineLevel="0" collapsed="false">
      <c r="D6507" s="0" t="s">
        <v>60</v>
      </c>
      <c r="E6507" s="0" t="s">
        <v>61</v>
      </c>
      <c r="F6507" s="0" t="s">
        <v>62</v>
      </c>
      <c r="G6507" s="0" t="s">
        <v>171</v>
      </c>
      <c r="H6507" s="0" t="s">
        <v>172</v>
      </c>
      <c r="I6507" s="0" t="s">
        <v>36</v>
      </c>
      <c r="J6507" s="0" t="s">
        <v>37</v>
      </c>
      <c r="K6507" s="0" t="s">
        <v>48</v>
      </c>
      <c r="L6507" s="0" t="s">
        <v>49</v>
      </c>
      <c r="M6507" s="0" t="s">
        <v>173</v>
      </c>
      <c r="N6507" s="0" t="n">
        <v>707</v>
      </c>
      <c r="O6507" s="10" t="n">
        <v>0.693120226264</v>
      </c>
      <c r="P6507" s="10" t="n">
        <v>0.0268250561784953</v>
      </c>
      <c r="Q6507" s="0" t="str">
        <f aca="false">SUBSTITUTE(SUBSTITUTE($I6507,CHAR(61),""),CHAR(34),"")</f>
        <v>10-14</v>
      </c>
      <c r="R6507" s="0" t="str">
        <f aca="false">IF($D6507&lt;&gt;"","["&amp;$E6507&amp;"]"&amp;"|"&amp;$Q6507&amp;"|"&amp;$K6507&amp;"|"&amp;$G6507&amp;"|"&amp;IF($G6507="TX_CURR_SUBNAT.R","CY2022Q4",$M6507),"")</f>
        <v>[msW2zpIN7up]|10-14|Male|PLHIV_Residents.T2|CY2025Q3</v>
      </c>
    </row>
    <row r="6508" customFormat="false" ht="15" hidden="false" customHeight="false" outlineLevel="0" collapsed="false">
      <c r="D6508" s="0" t="s">
        <v>60</v>
      </c>
      <c r="E6508" s="0" t="s">
        <v>61</v>
      </c>
      <c r="F6508" s="0" t="s">
        <v>62</v>
      </c>
      <c r="G6508" s="0" t="s">
        <v>171</v>
      </c>
      <c r="H6508" s="0" t="s">
        <v>172</v>
      </c>
      <c r="I6508" s="0" t="s">
        <v>38</v>
      </c>
      <c r="J6508" s="0" t="s">
        <v>39</v>
      </c>
      <c r="K6508" s="0" t="s">
        <v>48</v>
      </c>
      <c r="L6508" s="0" t="s">
        <v>49</v>
      </c>
      <c r="M6508" s="0" t="s">
        <v>173</v>
      </c>
      <c r="N6508" s="0" t="n">
        <v>1689</v>
      </c>
      <c r="O6508" s="10" t="n">
        <v>0.505447193048894</v>
      </c>
      <c r="P6508" s="10" t="n">
        <v>0.0268250561784953</v>
      </c>
      <c r="Q6508" s="0" t="str">
        <f aca="false">SUBSTITUTE(SUBSTITUTE($I6508,CHAR(61),""),CHAR(34),"")</f>
        <v>15-24</v>
      </c>
      <c r="R6508" s="0" t="str">
        <f aca="false">IF($D6508&lt;&gt;"","["&amp;$E6508&amp;"]"&amp;"|"&amp;$Q6508&amp;"|"&amp;$K6508&amp;"|"&amp;$G6508&amp;"|"&amp;IF($G6508="TX_CURR_SUBNAT.R","CY2022Q4",$M6508),"")</f>
        <v>[msW2zpIN7up]|15-24|Male|PLHIV_Residents.T2|CY2025Q3</v>
      </c>
    </row>
    <row r="6509" customFormat="false" ht="15" hidden="false" customHeight="false" outlineLevel="0" collapsed="false">
      <c r="D6509" s="0" t="s">
        <v>60</v>
      </c>
      <c r="E6509" s="0" t="s">
        <v>61</v>
      </c>
      <c r="F6509" s="0" t="s">
        <v>62</v>
      </c>
      <c r="G6509" s="0" t="s">
        <v>171</v>
      </c>
      <c r="H6509" s="0" t="s">
        <v>172</v>
      </c>
      <c r="I6509" s="0" t="s">
        <v>41</v>
      </c>
      <c r="J6509" s="0" t="s">
        <v>42</v>
      </c>
      <c r="K6509" s="0" t="s">
        <v>48</v>
      </c>
      <c r="L6509" s="0" t="s">
        <v>49</v>
      </c>
      <c r="M6509" s="0" t="s">
        <v>173</v>
      </c>
      <c r="N6509" s="0" t="n">
        <v>1917</v>
      </c>
      <c r="O6509" s="10" t="n">
        <v>0.829384257318452</v>
      </c>
      <c r="P6509" s="10" t="n">
        <v>0.0268250561784953</v>
      </c>
      <c r="Q6509" s="0" t="str">
        <f aca="false">SUBSTITUTE(SUBSTITUTE($I6509,CHAR(61),""),CHAR(34),"")</f>
        <v>25-34</v>
      </c>
      <c r="R6509" s="0" t="str">
        <f aca="false">IF($D6509&lt;&gt;"","["&amp;$E6509&amp;"]"&amp;"|"&amp;$Q6509&amp;"|"&amp;$K6509&amp;"|"&amp;$G6509&amp;"|"&amp;IF($G6509="TX_CURR_SUBNAT.R","CY2022Q4",$M6509),"")</f>
        <v>[msW2zpIN7up]|25-34|Male|PLHIV_Residents.T2|CY2025Q3</v>
      </c>
    </row>
    <row r="6510" customFormat="false" ht="15" hidden="false" customHeight="false" outlineLevel="0" collapsed="false">
      <c r="D6510" s="0" t="s">
        <v>60</v>
      </c>
      <c r="E6510" s="0" t="s">
        <v>61</v>
      </c>
      <c r="F6510" s="0" t="s">
        <v>62</v>
      </c>
      <c r="G6510" s="0" t="s">
        <v>171</v>
      </c>
      <c r="H6510" s="0" t="s">
        <v>172</v>
      </c>
      <c r="I6510" s="0" t="s">
        <v>43</v>
      </c>
      <c r="J6510" s="0" t="s">
        <v>44</v>
      </c>
      <c r="K6510" s="0" t="s">
        <v>48</v>
      </c>
      <c r="L6510" s="0" t="s">
        <v>49</v>
      </c>
      <c r="M6510" s="0" t="s">
        <v>173</v>
      </c>
      <c r="N6510" s="0" t="n">
        <v>1554</v>
      </c>
      <c r="O6510" s="10" t="n">
        <v>0.134819806087762</v>
      </c>
      <c r="P6510" s="10" t="n">
        <v>0.0268250561784953</v>
      </c>
      <c r="Q6510" s="0" t="str">
        <f aca="false">SUBSTITUTE(SUBSTITUTE($I6510,CHAR(61),""),CHAR(34),"")</f>
        <v>35-49</v>
      </c>
      <c r="R6510" s="0" t="str">
        <f aca="false">IF($D6510&lt;&gt;"","["&amp;$E6510&amp;"]"&amp;"|"&amp;$Q6510&amp;"|"&amp;$K6510&amp;"|"&amp;$G6510&amp;"|"&amp;IF($G6510="TX_CURR_SUBNAT.R","CY2022Q4",$M6510),"")</f>
        <v>[msW2zpIN7up]|35-49|Male|PLHIV_Residents.T2|CY2025Q3</v>
      </c>
    </row>
    <row r="6511" customFormat="false" ht="15" hidden="false" customHeight="false" outlineLevel="0" collapsed="false">
      <c r="D6511" s="0" t="s">
        <v>60</v>
      </c>
      <c r="E6511" s="0" t="s">
        <v>61</v>
      </c>
      <c r="F6511" s="0" t="s">
        <v>62</v>
      </c>
      <c r="G6511" s="0" t="s">
        <v>171</v>
      </c>
      <c r="H6511" s="0" t="s">
        <v>172</v>
      </c>
      <c r="I6511" s="0" t="s">
        <v>45</v>
      </c>
      <c r="J6511" s="0" t="s">
        <v>46</v>
      </c>
      <c r="K6511" s="0" t="s">
        <v>48</v>
      </c>
      <c r="L6511" s="0" t="s">
        <v>49</v>
      </c>
      <c r="M6511" s="0" t="s">
        <v>173</v>
      </c>
      <c r="N6511" s="0" t="n">
        <v>1045</v>
      </c>
      <c r="O6511" s="10" t="n">
        <v>0.129753079731017</v>
      </c>
      <c r="P6511" s="10" t="n">
        <v>0.0268250561784953</v>
      </c>
      <c r="Q6511" s="0" t="str">
        <f aca="false">SUBSTITUTE(SUBSTITUTE($I6511,CHAR(61),""),CHAR(34),"")</f>
        <v>50+</v>
      </c>
      <c r="R6511" s="0" t="str">
        <f aca="false">IF($D6511&lt;&gt;"","["&amp;$E6511&amp;"]"&amp;"|"&amp;$Q6511&amp;"|"&amp;$K6511&amp;"|"&amp;$G6511&amp;"|"&amp;IF($G6511="TX_CURR_SUBNAT.R","CY2022Q4",$M6511),"")</f>
        <v>[msW2zpIN7up]|50+|Male|PLHIV_Residents.T2|CY2025Q3</v>
      </c>
    </row>
    <row r="6512" customFormat="false" ht="15" hidden="false" customHeight="false" outlineLevel="0" collapsed="false">
      <c r="D6512" s="0" t="s">
        <v>63</v>
      </c>
      <c r="E6512" s="0" t="s">
        <v>64</v>
      </c>
      <c r="F6512" s="0" t="s">
        <v>65</v>
      </c>
      <c r="G6512" s="0" t="s">
        <v>171</v>
      </c>
      <c r="H6512" s="0" t="s">
        <v>172</v>
      </c>
      <c r="I6512" s="0" t="s">
        <v>28</v>
      </c>
      <c r="J6512" s="0" t="s">
        <v>29</v>
      </c>
      <c r="K6512" s="0" t="s">
        <v>30</v>
      </c>
      <c r="L6512" s="0" t="s">
        <v>31</v>
      </c>
      <c r="M6512" s="0" t="s">
        <v>173</v>
      </c>
      <c r="N6512" s="0" t="n">
        <v>1586</v>
      </c>
      <c r="O6512" s="10" t="n">
        <v>0.769256515661255</v>
      </c>
      <c r="P6512" s="10" t="n">
        <v>0.790102193132043</v>
      </c>
      <c r="Q6512" s="0" t="str">
        <f aca="false">SUBSTITUTE(SUBSTITUTE($I6512,CHAR(61),""),CHAR(34),"")</f>
        <v>&lt;01</v>
      </c>
      <c r="R6512" s="0" t="str">
        <f aca="false">IF($D6512&lt;&gt;"","["&amp;$E6512&amp;"]"&amp;"|"&amp;$Q6512&amp;"|"&amp;$K6512&amp;"|"&amp;$G6512&amp;"|"&amp;IF($G6512="TX_CURR_SUBNAT.R","CY2022Q4",$M6512),"")</f>
        <v>[kxuuIFpOXyO]|&lt;01|Female|PLHIV_Residents.T2|CY2025Q3</v>
      </c>
    </row>
    <row r="6513" customFormat="false" ht="15" hidden="false" customHeight="false" outlineLevel="0" collapsed="false">
      <c r="D6513" s="0" t="s">
        <v>63</v>
      </c>
      <c r="E6513" s="0" t="s">
        <v>64</v>
      </c>
      <c r="F6513" s="0" t="s">
        <v>65</v>
      </c>
      <c r="G6513" s="0" t="s">
        <v>171</v>
      </c>
      <c r="H6513" s="0" t="s">
        <v>172</v>
      </c>
      <c r="I6513" s="0" t="s">
        <v>33</v>
      </c>
      <c r="J6513" s="0" t="s">
        <v>34</v>
      </c>
      <c r="K6513" s="0" t="s">
        <v>30</v>
      </c>
      <c r="L6513" s="0" t="s">
        <v>31</v>
      </c>
      <c r="M6513" s="0" t="s">
        <v>173</v>
      </c>
      <c r="N6513" s="0" t="n">
        <v>1843</v>
      </c>
      <c r="O6513" s="10" t="n">
        <v>0.474535086890683</v>
      </c>
      <c r="P6513" s="10" t="n">
        <v>0.790102193132043</v>
      </c>
      <c r="Q6513" s="0" t="str">
        <f aca="false">SUBSTITUTE(SUBSTITUTE($I6513,CHAR(61),""),CHAR(34),"")</f>
        <v>01-09</v>
      </c>
      <c r="R6513" s="0" t="str">
        <f aca="false">IF($D6513&lt;&gt;"","["&amp;$E6513&amp;"]"&amp;"|"&amp;$Q6513&amp;"|"&amp;$K6513&amp;"|"&amp;$G6513&amp;"|"&amp;IF($G6513="TX_CURR_SUBNAT.R","CY2022Q4",$M6513),"")</f>
        <v>[kxuuIFpOXyO]|01-09|Female|PLHIV_Residents.T2|CY2025Q3</v>
      </c>
    </row>
    <row r="6514" customFormat="false" ht="15" hidden="false" customHeight="false" outlineLevel="0" collapsed="false">
      <c r="D6514" s="0" t="s">
        <v>63</v>
      </c>
      <c r="E6514" s="0" t="s">
        <v>64</v>
      </c>
      <c r="F6514" s="0" t="s">
        <v>65</v>
      </c>
      <c r="G6514" s="0" t="s">
        <v>171</v>
      </c>
      <c r="H6514" s="0" t="s">
        <v>172</v>
      </c>
      <c r="I6514" s="0" t="s">
        <v>36</v>
      </c>
      <c r="J6514" s="0" t="s">
        <v>37</v>
      </c>
      <c r="K6514" s="0" t="s">
        <v>30</v>
      </c>
      <c r="L6514" s="0" t="s">
        <v>31</v>
      </c>
      <c r="M6514" s="0" t="s">
        <v>173</v>
      </c>
      <c r="N6514" s="0" t="n">
        <v>1873</v>
      </c>
      <c r="O6514" s="10" t="n">
        <v>0.670256943209097</v>
      </c>
      <c r="P6514" s="10" t="n">
        <v>0.790102193132043</v>
      </c>
      <c r="Q6514" s="0" t="str">
        <f aca="false">SUBSTITUTE(SUBSTITUTE($I6514,CHAR(61),""),CHAR(34),"")</f>
        <v>10-14</v>
      </c>
      <c r="R6514" s="0" t="str">
        <f aca="false">IF($D6514&lt;&gt;"","["&amp;$E6514&amp;"]"&amp;"|"&amp;$Q6514&amp;"|"&amp;$K6514&amp;"|"&amp;$G6514&amp;"|"&amp;IF($G6514="TX_CURR_SUBNAT.R","CY2022Q4",$M6514),"")</f>
        <v>[kxuuIFpOXyO]|10-14|Female|PLHIV_Residents.T2|CY2025Q3</v>
      </c>
    </row>
    <row r="6515" customFormat="false" ht="15" hidden="false" customHeight="false" outlineLevel="0" collapsed="false">
      <c r="D6515" s="0" t="s">
        <v>63</v>
      </c>
      <c r="E6515" s="0" t="s">
        <v>64</v>
      </c>
      <c r="F6515" s="0" t="s">
        <v>65</v>
      </c>
      <c r="G6515" s="0" t="s">
        <v>171</v>
      </c>
      <c r="H6515" s="0" t="s">
        <v>172</v>
      </c>
      <c r="I6515" s="0" t="s">
        <v>38</v>
      </c>
      <c r="J6515" s="0" t="s">
        <v>39</v>
      </c>
      <c r="K6515" s="0" t="s">
        <v>30</v>
      </c>
      <c r="L6515" s="0" t="s">
        <v>31</v>
      </c>
      <c r="M6515" s="0" t="s">
        <v>173</v>
      </c>
      <c r="N6515" s="0" t="n">
        <v>1104</v>
      </c>
      <c r="O6515" s="10" t="n">
        <v>0.196473569609225</v>
      </c>
      <c r="P6515" s="10" t="n">
        <v>0.790102193132043</v>
      </c>
      <c r="Q6515" s="0" t="str">
        <f aca="false">SUBSTITUTE(SUBSTITUTE($I6515,CHAR(61),""),CHAR(34),"")</f>
        <v>15-24</v>
      </c>
      <c r="R6515" s="0" t="str">
        <f aca="false">IF($D6515&lt;&gt;"","["&amp;$E6515&amp;"]"&amp;"|"&amp;$Q6515&amp;"|"&amp;$K6515&amp;"|"&amp;$G6515&amp;"|"&amp;IF($G6515="TX_CURR_SUBNAT.R","CY2022Q4",$M6515),"")</f>
        <v>[kxuuIFpOXyO]|15-24|Female|PLHIV_Residents.T2|CY2025Q3</v>
      </c>
    </row>
    <row r="6516" customFormat="false" ht="15" hidden="false" customHeight="false" outlineLevel="0" collapsed="false">
      <c r="D6516" s="0" t="s">
        <v>63</v>
      </c>
      <c r="E6516" s="0" t="s">
        <v>64</v>
      </c>
      <c r="F6516" s="0" t="s">
        <v>65</v>
      </c>
      <c r="G6516" s="0" t="s">
        <v>171</v>
      </c>
      <c r="H6516" s="0" t="s">
        <v>172</v>
      </c>
      <c r="I6516" s="0" t="s">
        <v>41</v>
      </c>
      <c r="J6516" s="0" t="s">
        <v>42</v>
      </c>
      <c r="K6516" s="0" t="s">
        <v>30</v>
      </c>
      <c r="L6516" s="0" t="s">
        <v>31</v>
      </c>
      <c r="M6516" s="0" t="s">
        <v>173</v>
      </c>
      <c r="N6516" s="0" t="n">
        <v>1095</v>
      </c>
      <c r="O6516" s="10" t="n">
        <v>0.654848772333935</v>
      </c>
      <c r="P6516" s="10" t="n">
        <v>0.790102193132043</v>
      </c>
      <c r="Q6516" s="0" t="str">
        <f aca="false">SUBSTITUTE(SUBSTITUTE($I6516,CHAR(61),""),CHAR(34),"")</f>
        <v>25-34</v>
      </c>
      <c r="R6516" s="0" t="str">
        <f aca="false">IF($D6516&lt;&gt;"","["&amp;$E6516&amp;"]"&amp;"|"&amp;$Q6516&amp;"|"&amp;$K6516&amp;"|"&amp;$G6516&amp;"|"&amp;IF($G6516="TX_CURR_SUBNAT.R","CY2022Q4",$M6516),"")</f>
        <v>[kxuuIFpOXyO]|25-34|Female|PLHIV_Residents.T2|CY2025Q3</v>
      </c>
    </row>
    <row r="6517" customFormat="false" ht="15" hidden="false" customHeight="false" outlineLevel="0" collapsed="false">
      <c r="D6517" s="0" t="s">
        <v>63</v>
      </c>
      <c r="E6517" s="0" t="s">
        <v>64</v>
      </c>
      <c r="F6517" s="0" t="s">
        <v>65</v>
      </c>
      <c r="G6517" s="0" t="s">
        <v>171</v>
      </c>
      <c r="H6517" s="0" t="s">
        <v>172</v>
      </c>
      <c r="I6517" s="0" t="s">
        <v>43</v>
      </c>
      <c r="J6517" s="0" t="s">
        <v>44</v>
      </c>
      <c r="K6517" s="0" t="s">
        <v>30</v>
      </c>
      <c r="L6517" s="0" t="s">
        <v>31</v>
      </c>
      <c r="M6517" s="0" t="s">
        <v>173</v>
      </c>
      <c r="N6517" s="0" t="n">
        <v>1074</v>
      </c>
      <c r="O6517" s="10" t="n">
        <v>0.624522938858718</v>
      </c>
      <c r="P6517" s="10" t="n">
        <v>0.790102193132043</v>
      </c>
      <c r="Q6517" s="0" t="str">
        <f aca="false">SUBSTITUTE(SUBSTITUTE($I6517,CHAR(61),""),CHAR(34),"")</f>
        <v>35-49</v>
      </c>
      <c r="R6517" s="0" t="str">
        <f aca="false">IF($D6517&lt;&gt;"","["&amp;$E6517&amp;"]"&amp;"|"&amp;$Q6517&amp;"|"&amp;$K6517&amp;"|"&amp;$G6517&amp;"|"&amp;IF($G6517="TX_CURR_SUBNAT.R","CY2022Q4",$M6517),"")</f>
        <v>[kxuuIFpOXyO]|35-49|Female|PLHIV_Residents.T2|CY2025Q3</v>
      </c>
    </row>
    <row r="6518" customFormat="false" ht="15" hidden="false" customHeight="false" outlineLevel="0" collapsed="false">
      <c r="D6518" s="0" t="s">
        <v>63</v>
      </c>
      <c r="E6518" s="0" t="s">
        <v>64</v>
      </c>
      <c r="F6518" s="0" t="s">
        <v>65</v>
      </c>
      <c r="G6518" s="0" t="s">
        <v>171</v>
      </c>
      <c r="H6518" s="0" t="s">
        <v>172</v>
      </c>
      <c r="I6518" s="0" t="s">
        <v>45</v>
      </c>
      <c r="J6518" s="0" t="s">
        <v>46</v>
      </c>
      <c r="K6518" s="0" t="s">
        <v>30</v>
      </c>
      <c r="L6518" s="0" t="s">
        <v>31</v>
      </c>
      <c r="M6518" s="0" t="s">
        <v>173</v>
      </c>
      <c r="N6518" s="0" t="n">
        <v>1870</v>
      </c>
      <c r="O6518" s="10" t="n">
        <v>0.83106232737191</v>
      </c>
      <c r="P6518" s="10" t="n">
        <v>0.790102193132043</v>
      </c>
      <c r="Q6518" s="0" t="str">
        <f aca="false">SUBSTITUTE(SUBSTITUTE($I6518,CHAR(61),""),CHAR(34),"")</f>
        <v>50+</v>
      </c>
      <c r="R6518" s="0" t="str">
        <f aca="false">IF($D6518&lt;&gt;"","["&amp;$E6518&amp;"]"&amp;"|"&amp;$Q6518&amp;"|"&amp;$K6518&amp;"|"&amp;$G6518&amp;"|"&amp;IF($G6518="TX_CURR_SUBNAT.R","CY2022Q4",$M6518),"")</f>
        <v>[kxuuIFpOXyO]|50+|Female|PLHIV_Residents.T2|CY2025Q3</v>
      </c>
    </row>
    <row r="6519" customFormat="false" ht="15" hidden="false" customHeight="false" outlineLevel="0" collapsed="false">
      <c r="D6519" s="0" t="s">
        <v>63</v>
      </c>
      <c r="E6519" s="0" t="s">
        <v>64</v>
      </c>
      <c r="F6519" s="0" t="s">
        <v>65</v>
      </c>
      <c r="G6519" s="0" t="s">
        <v>171</v>
      </c>
      <c r="H6519" s="0" t="s">
        <v>172</v>
      </c>
      <c r="I6519" s="0" t="s">
        <v>28</v>
      </c>
      <c r="J6519" s="0" t="s">
        <v>29</v>
      </c>
      <c r="K6519" s="0" t="s">
        <v>48</v>
      </c>
      <c r="L6519" s="0" t="s">
        <v>49</v>
      </c>
      <c r="M6519" s="0" t="s">
        <v>173</v>
      </c>
      <c r="N6519" s="0" t="n">
        <v>1399</v>
      </c>
      <c r="O6519" s="10" t="n">
        <v>0.325345501536503</v>
      </c>
      <c r="P6519" s="10" t="n">
        <v>0.790102193132043</v>
      </c>
      <c r="Q6519" s="0" t="str">
        <f aca="false">SUBSTITUTE(SUBSTITUTE($I6519,CHAR(61),""),CHAR(34),"")</f>
        <v>&lt;01</v>
      </c>
      <c r="R6519" s="0" t="str">
        <f aca="false">IF($D6519&lt;&gt;"","["&amp;$E6519&amp;"]"&amp;"|"&amp;$Q6519&amp;"|"&amp;$K6519&amp;"|"&amp;$G6519&amp;"|"&amp;IF($G6519="TX_CURR_SUBNAT.R","CY2022Q4",$M6519),"")</f>
        <v>[kxuuIFpOXyO]|&lt;01|Male|PLHIV_Residents.T2|CY2025Q3</v>
      </c>
    </row>
    <row r="6520" customFormat="false" ht="15" hidden="false" customHeight="false" outlineLevel="0" collapsed="false">
      <c r="D6520" s="0" t="s">
        <v>63</v>
      </c>
      <c r="E6520" s="0" t="s">
        <v>64</v>
      </c>
      <c r="F6520" s="0" t="s">
        <v>65</v>
      </c>
      <c r="G6520" s="0" t="s">
        <v>171</v>
      </c>
      <c r="H6520" s="0" t="s">
        <v>172</v>
      </c>
      <c r="I6520" s="0" t="s">
        <v>33</v>
      </c>
      <c r="J6520" s="0" t="s">
        <v>34</v>
      </c>
      <c r="K6520" s="0" t="s">
        <v>48</v>
      </c>
      <c r="L6520" s="0" t="s">
        <v>49</v>
      </c>
      <c r="M6520" s="0" t="s">
        <v>173</v>
      </c>
      <c r="N6520" s="0" t="n">
        <v>655</v>
      </c>
      <c r="O6520" s="10" t="n">
        <v>0.116305627161637</v>
      </c>
      <c r="P6520" s="10" t="n">
        <v>0.790102193132043</v>
      </c>
      <c r="Q6520" s="0" t="str">
        <f aca="false">SUBSTITUTE(SUBSTITUTE($I6520,CHAR(61),""),CHAR(34),"")</f>
        <v>01-09</v>
      </c>
      <c r="R6520" s="0" t="str">
        <f aca="false">IF($D6520&lt;&gt;"","["&amp;$E6520&amp;"]"&amp;"|"&amp;$Q6520&amp;"|"&amp;$K6520&amp;"|"&amp;$G6520&amp;"|"&amp;IF($G6520="TX_CURR_SUBNAT.R","CY2022Q4",$M6520),"")</f>
        <v>[kxuuIFpOXyO]|01-09|Male|PLHIV_Residents.T2|CY2025Q3</v>
      </c>
    </row>
    <row r="6521" customFormat="false" ht="15" hidden="false" customHeight="false" outlineLevel="0" collapsed="false">
      <c r="D6521" s="0" t="s">
        <v>63</v>
      </c>
      <c r="E6521" s="0" t="s">
        <v>64</v>
      </c>
      <c r="F6521" s="0" t="s">
        <v>65</v>
      </c>
      <c r="G6521" s="0" t="s">
        <v>171</v>
      </c>
      <c r="H6521" s="0" t="s">
        <v>172</v>
      </c>
      <c r="I6521" s="0" t="s">
        <v>36</v>
      </c>
      <c r="J6521" s="0" t="s">
        <v>37</v>
      </c>
      <c r="K6521" s="0" t="s">
        <v>48</v>
      </c>
      <c r="L6521" s="0" t="s">
        <v>49</v>
      </c>
      <c r="M6521" s="0" t="s">
        <v>173</v>
      </c>
      <c r="N6521" s="0" t="n">
        <v>770</v>
      </c>
      <c r="O6521" s="10" t="n">
        <v>0.332937263417989</v>
      </c>
      <c r="P6521" s="10" t="n">
        <v>0.790102193132043</v>
      </c>
      <c r="Q6521" s="0" t="str">
        <f aca="false">SUBSTITUTE(SUBSTITUTE($I6521,CHAR(61),""),CHAR(34),"")</f>
        <v>10-14</v>
      </c>
      <c r="R6521" s="0" t="str">
        <f aca="false">IF($D6521&lt;&gt;"","["&amp;$E6521&amp;"]"&amp;"|"&amp;$Q6521&amp;"|"&amp;$K6521&amp;"|"&amp;$G6521&amp;"|"&amp;IF($G6521="TX_CURR_SUBNAT.R","CY2022Q4",$M6521),"")</f>
        <v>[kxuuIFpOXyO]|10-14|Male|PLHIV_Residents.T2|CY2025Q3</v>
      </c>
    </row>
    <row r="6522" customFormat="false" ht="15" hidden="false" customHeight="false" outlineLevel="0" collapsed="false">
      <c r="D6522" s="0" t="s">
        <v>63</v>
      </c>
      <c r="E6522" s="0" t="s">
        <v>64</v>
      </c>
      <c r="F6522" s="0" t="s">
        <v>65</v>
      </c>
      <c r="G6522" s="0" t="s">
        <v>171</v>
      </c>
      <c r="H6522" s="0" t="s">
        <v>172</v>
      </c>
      <c r="I6522" s="0" t="s">
        <v>38</v>
      </c>
      <c r="J6522" s="0" t="s">
        <v>39</v>
      </c>
      <c r="K6522" s="0" t="s">
        <v>48</v>
      </c>
      <c r="L6522" s="0" t="s">
        <v>49</v>
      </c>
      <c r="M6522" s="0" t="s">
        <v>173</v>
      </c>
      <c r="N6522" s="0" t="n">
        <v>1429</v>
      </c>
      <c r="O6522" s="10" t="n">
        <v>0.0130657027475536</v>
      </c>
      <c r="P6522" s="10" t="n">
        <v>0.790102193132043</v>
      </c>
      <c r="Q6522" s="0" t="str">
        <f aca="false">SUBSTITUTE(SUBSTITUTE($I6522,CHAR(61),""),CHAR(34),"")</f>
        <v>15-24</v>
      </c>
      <c r="R6522" s="0" t="str">
        <f aca="false">IF($D6522&lt;&gt;"","["&amp;$E6522&amp;"]"&amp;"|"&amp;$Q6522&amp;"|"&amp;$K6522&amp;"|"&amp;$G6522&amp;"|"&amp;IF($G6522="TX_CURR_SUBNAT.R","CY2022Q4",$M6522),"")</f>
        <v>[kxuuIFpOXyO]|15-24|Male|PLHIV_Residents.T2|CY2025Q3</v>
      </c>
    </row>
    <row r="6523" customFormat="false" ht="15" hidden="false" customHeight="false" outlineLevel="0" collapsed="false">
      <c r="D6523" s="0" t="s">
        <v>63</v>
      </c>
      <c r="E6523" s="0" t="s">
        <v>64</v>
      </c>
      <c r="F6523" s="0" t="s">
        <v>65</v>
      </c>
      <c r="G6523" s="0" t="s">
        <v>171</v>
      </c>
      <c r="H6523" s="0" t="s">
        <v>172</v>
      </c>
      <c r="I6523" s="0" t="s">
        <v>41</v>
      </c>
      <c r="J6523" s="0" t="s">
        <v>42</v>
      </c>
      <c r="K6523" s="0" t="s">
        <v>48</v>
      </c>
      <c r="L6523" s="0" t="s">
        <v>49</v>
      </c>
      <c r="M6523" s="0" t="s">
        <v>173</v>
      </c>
      <c r="N6523" s="0" t="n">
        <v>1867</v>
      </c>
      <c r="O6523" s="10" t="n">
        <v>0.45059370668605</v>
      </c>
      <c r="P6523" s="10" t="n">
        <v>0.790102193132043</v>
      </c>
      <c r="Q6523" s="0" t="str">
        <f aca="false">SUBSTITUTE(SUBSTITUTE($I6523,CHAR(61),""),CHAR(34),"")</f>
        <v>25-34</v>
      </c>
      <c r="R6523" s="0" t="str">
        <f aca="false">IF($D6523&lt;&gt;"","["&amp;$E6523&amp;"]"&amp;"|"&amp;$Q6523&amp;"|"&amp;$K6523&amp;"|"&amp;$G6523&amp;"|"&amp;IF($G6523="TX_CURR_SUBNAT.R","CY2022Q4",$M6523),"")</f>
        <v>[kxuuIFpOXyO]|25-34|Male|PLHIV_Residents.T2|CY2025Q3</v>
      </c>
    </row>
    <row r="6524" customFormat="false" ht="15" hidden="false" customHeight="false" outlineLevel="0" collapsed="false">
      <c r="D6524" s="0" t="s">
        <v>63</v>
      </c>
      <c r="E6524" s="0" t="s">
        <v>64</v>
      </c>
      <c r="F6524" s="0" t="s">
        <v>65</v>
      </c>
      <c r="G6524" s="0" t="s">
        <v>171</v>
      </c>
      <c r="H6524" s="0" t="s">
        <v>172</v>
      </c>
      <c r="I6524" s="0" t="s">
        <v>43</v>
      </c>
      <c r="J6524" s="0" t="s">
        <v>44</v>
      </c>
      <c r="K6524" s="0" t="s">
        <v>48</v>
      </c>
      <c r="L6524" s="0" t="s">
        <v>49</v>
      </c>
      <c r="M6524" s="0" t="s">
        <v>173</v>
      </c>
      <c r="N6524" s="0" t="n">
        <v>1259</v>
      </c>
      <c r="O6524" s="10" t="n">
        <v>0.844128441996872</v>
      </c>
      <c r="P6524" s="10" t="n">
        <v>0.790102193132043</v>
      </c>
      <c r="Q6524" s="0" t="str">
        <f aca="false">SUBSTITUTE(SUBSTITUTE($I6524,CHAR(61),""),CHAR(34),"")</f>
        <v>35-49</v>
      </c>
      <c r="R6524" s="0" t="str">
        <f aca="false">IF($D6524&lt;&gt;"","["&amp;$E6524&amp;"]"&amp;"|"&amp;$Q6524&amp;"|"&amp;$K6524&amp;"|"&amp;$G6524&amp;"|"&amp;IF($G6524="TX_CURR_SUBNAT.R","CY2022Q4",$M6524),"")</f>
        <v>[kxuuIFpOXyO]|35-49|Male|PLHIV_Residents.T2|CY2025Q3</v>
      </c>
    </row>
    <row r="6525" customFormat="false" ht="15" hidden="false" customHeight="false" outlineLevel="0" collapsed="false">
      <c r="D6525" s="0" t="s">
        <v>63</v>
      </c>
      <c r="E6525" s="0" t="s">
        <v>64</v>
      </c>
      <c r="F6525" s="0" t="s">
        <v>65</v>
      </c>
      <c r="G6525" s="0" t="s">
        <v>171</v>
      </c>
      <c r="H6525" s="0" t="s">
        <v>172</v>
      </c>
      <c r="I6525" s="0" t="s">
        <v>45</v>
      </c>
      <c r="J6525" s="0" t="s">
        <v>46</v>
      </c>
      <c r="K6525" s="0" t="s">
        <v>48</v>
      </c>
      <c r="L6525" s="0" t="s">
        <v>49</v>
      </c>
      <c r="M6525" s="0" t="s">
        <v>173</v>
      </c>
      <c r="N6525" s="0" t="n">
        <v>1108</v>
      </c>
      <c r="O6525" s="10" t="n">
        <v>0.634267379995435</v>
      </c>
      <c r="P6525" s="10" t="n">
        <v>0.790102193132043</v>
      </c>
      <c r="Q6525" s="0" t="str">
        <f aca="false">SUBSTITUTE(SUBSTITUTE($I6525,CHAR(61),""),CHAR(34),"")</f>
        <v>50+</v>
      </c>
      <c r="R6525" s="0" t="str">
        <f aca="false">IF($D6525&lt;&gt;"","["&amp;$E6525&amp;"]"&amp;"|"&amp;$Q6525&amp;"|"&amp;$K6525&amp;"|"&amp;$G6525&amp;"|"&amp;IF($G6525="TX_CURR_SUBNAT.R","CY2022Q4",$M6525),"")</f>
        <v>[kxuuIFpOXyO]|50+|Male|PLHIV_Residents.T2|CY2025Q3</v>
      </c>
    </row>
    <row r="6526" customFormat="false" ht="15" hidden="false" customHeight="false" outlineLevel="0" collapsed="false">
      <c r="D6526" s="0" t="s">
        <v>66</v>
      </c>
      <c r="E6526" s="0" t="s">
        <v>67</v>
      </c>
      <c r="F6526" s="0" t="s">
        <v>68</v>
      </c>
      <c r="G6526" s="0" t="s">
        <v>171</v>
      </c>
      <c r="H6526" s="0" t="s">
        <v>172</v>
      </c>
      <c r="I6526" s="0" t="s">
        <v>28</v>
      </c>
      <c r="J6526" s="0" t="s">
        <v>29</v>
      </c>
      <c r="K6526" s="0" t="s">
        <v>30</v>
      </c>
      <c r="L6526" s="0" t="s">
        <v>31</v>
      </c>
      <c r="M6526" s="0" t="s">
        <v>173</v>
      </c>
      <c r="N6526" s="0" t="n">
        <v>1226</v>
      </c>
      <c r="O6526" s="10" t="n">
        <v>0.148321942891926</v>
      </c>
      <c r="P6526" s="10" t="n">
        <v>0.164609884377569</v>
      </c>
      <c r="Q6526" s="0" t="str">
        <f aca="false">SUBSTITUTE(SUBSTITUTE($I6526,CHAR(61),""),CHAR(34),"")</f>
        <v>&lt;01</v>
      </c>
      <c r="R6526" s="0" t="str">
        <f aca="false">IF($D6526&lt;&gt;"","["&amp;$E6526&amp;"]"&amp;"|"&amp;$Q6526&amp;"|"&amp;$K6526&amp;"|"&amp;$G6526&amp;"|"&amp;IF($G6526="TX_CURR_SUBNAT.R","CY2022Q4",$M6526),"")</f>
        <v>[ScR9iFKAasW]|&lt;01|Female|PLHIV_Residents.T2|CY2025Q3</v>
      </c>
    </row>
    <row r="6527" customFormat="false" ht="15" hidden="false" customHeight="false" outlineLevel="0" collapsed="false">
      <c r="D6527" s="0" t="s">
        <v>66</v>
      </c>
      <c r="E6527" s="0" t="s">
        <v>67</v>
      </c>
      <c r="F6527" s="0" t="s">
        <v>68</v>
      </c>
      <c r="G6527" s="0" t="s">
        <v>171</v>
      </c>
      <c r="H6527" s="0" t="s">
        <v>172</v>
      </c>
      <c r="I6527" s="0" t="s">
        <v>33</v>
      </c>
      <c r="J6527" s="0" t="s">
        <v>34</v>
      </c>
      <c r="K6527" s="0" t="s">
        <v>30</v>
      </c>
      <c r="L6527" s="0" t="s">
        <v>31</v>
      </c>
      <c r="M6527" s="0" t="s">
        <v>173</v>
      </c>
      <c r="N6527" s="0" t="n">
        <v>1679</v>
      </c>
      <c r="O6527" s="10" t="n">
        <v>0.572507198434323</v>
      </c>
      <c r="P6527" s="10" t="n">
        <v>0.164609884377569</v>
      </c>
      <c r="Q6527" s="0" t="str">
        <f aca="false">SUBSTITUTE(SUBSTITUTE($I6527,CHAR(61),""),CHAR(34),"")</f>
        <v>01-09</v>
      </c>
      <c r="R6527" s="0" t="str">
        <f aca="false">IF($D6527&lt;&gt;"","["&amp;$E6527&amp;"]"&amp;"|"&amp;$Q6527&amp;"|"&amp;$K6527&amp;"|"&amp;$G6527&amp;"|"&amp;IF($G6527="TX_CURR_SUBNAT.R","CY2022Q4",$M6527),"")</f>
        <v>[ScR9iFKAasW]|01-09|Female|PLHIV_Residents.T2|CY2025Q3</v>
      </c>
    </row>
    <row r="6528" customFormat="false" ht="15" hidden="false" customHeight="false" outlineLevel="0" collapsed="false">
      <c r="D6528" s="0" t="s">
        <v>66</v>
      </c>
      <c r="E6528" s="0" t="s">
        <v>67</v>
      </c>
      <c r="F6528" s="0" t="s">
        <v>68</v>
      </c>
      <c r="G6528" s="0" t="s">
        <v>171</v>
      </c>
      <c r="H6528" s="0" t="s">
        <v>172</v>
      </c>
      <c r="I6528" s="0" t="s">
        <v>36</v>
      </c>
      <c r="J6528" s="0" t="s">
        <v>37</v>
      </c>
      <c r="K6528" s="0" t="s">
        <v>30</v>
      </c>
      <c r="L6528" s="0" t="s">
        <v>31</v>
      </c>
      <c r="M6528" s="0" t="s">
        <v>173</v>
      </c>
      <c r="N6528" s="0" t="n">
        <v>1560</v>
      </c>
      <c r="O6528" s="10" t="n">
        <v>0.0122859503608197</v>
      </c>
      <c r="P6528" s="10" t="n">
        <v>0.164609884377569</v>
      </c>
      <c r="Q6528" s="0" t="str">
        <f aca="false">SUBSTITUTE(SUBSTITUTE($I6528,CHAR(61),""),CHAR(34),"")</f>
        <v>10-14</v>
      </c>
      <c r="R6528" s="0" t="str">
        <f aca="false">IF($D6528&lt;&gt;"","["&amp;$E6528&amp;"]"&amp;"|"&amp;$Q6528&amp;"|"&amp;$K6528&amp;"|"&amp;$G6528&amp;"|"&amp;IF($G6528="TX_CURR_SUBNAT.R","CY2022Q4",$M6528),"")</f>
        <v>[ScR9iFKAasW]|10-14|Female|PLHIV_Residents.T2|CY2025Q3</v>
      </c>
    </row>
    <row r="6529" customFormat="false" ht="15" hidden="false" customHeight="false" outlineLevel="0" collapsed="false">
      <c r="D6529" s="0" t="s">
        <v>66</v>
      </c>
      <c r="E6529" s="0" t="s">
        <v>67</v>
      </c>
      <c r="F6529" s="0" t="s">
        <v>68</v>
      </c>
      <c r="G6529" s="0" t="s">
        <v>171</v>
      </c>
      <c r="H6529" s="0" t="s">
        <v>172</v>
      </c>
      <c r="I6529" s="0" t="s">
        <v>38</v>
      </c>
      <c r="J6529" s="0" t="s">
        <v>39</v>
      </c>
      <c r="K6529" s="0" t="s">
        <v>30</v>
      </c>
      <c r="L6529" s="0" t="s">
        <v>31</v>
      </c>
      <c r="M6529" s="0" t="s">
        <v>173</v>
      </c>
      <c r="N6529" s="0" t="n">
        <v>1345</v>
      </c>
      <c r="O6529" s="10" t="n">
        <v>0.943701114272699</v>
      </c>
      <c r="P6529" s="10" t="n">
        <v>0.164609884377569</v>
      </c>
      <c r="Q6529" s="0" t="str">
        <f aca="false">SUBSTITUTE(SUBSTITUTE($I6529,CHAR(61),""),CHAR(34),"")</f>
        <v>15-24</v>
      </c>
      <c r="R6529" s="0" t="str">
        <f aca="false">IF($D6529&lt;&gt;"","["&amp;$E6529&amp;"]"&amp;"|"&amp;$Q6529&amp;"|"&amp;$K6529&amp;"|"&amp;$G6529&amp;"|"&amp;IF($G6529="TX_CURR_SUBNAT.R","CY2022Q4",$M6529),"")</f>
        <v>[ScR9iFKAasW]|15-24|Female|PLHIV_Residents.T2|CY2025Q3</v>
      </c>
    </row>
    <row r="6530" customFormat="false" ht="15" hidden="false" customHeight="false" outlineLevel="0" collapsed="false">
      <c r="D6530" s="0" t="s">
        <v>66</v>
      </c>
      <c r="E6530" s="0" t="s">
        <v>67</v>
      </c>
      <c r="F6530" s="0" t="s">
        <v>68</v>
      </c>
      <c r="G6530" s="0" t="s">
        <v>171</v>
      </c>
      <c r="H6530" s="0" t="s">
        <v>172</v>
      </c>
      <c r="I6530" s="0" t="s">
        <v>41</v>
      </c>
      <c r="J6530" s="0" t="s">
        <v>42</v>
      </c>
      <c r="K6530" s="0" t="s">
        <v>30</v>
      </c>
      <c r="L6530" s="0" t="s">
        <v>31</v>
      </c>
      <c r="M6530" s="0" t="s">
        <v>173</v>
      </c>
      <c r="N6530" s="0" t="n">
        <v>1005</v>
      </c>
      <c r="O6530" s="10" t="n">
        <v>0.257235211553052</v>
      </c>
      <c r="P6530" s="10" t="n">
        <v>0.164609884377569</v>
      </c>
      <c r="Q6530" s="0" t="str">
        <f aca="false">SUBSTITUTE(SUBSTITUTE($I6530,CHAR(61),""),CHAR(34),"")</f>
        <v>25-34</v>
      </c>
      <c r="R6530" s="0" t="str">
        <f aca="false">IF($D6530&lt;&gt;"","["&amp;$E6530&amp;"]"&amp;"|"&amp;$Q6530&amp;"|"&amp;$K6530&amp;"|"&amp;$G6530&amp;"|"&amp;IF($G6530="TX_CURR_SUBNAT.R","CY2022Q4",$M6530),"")</f>
        <v>[ScR9iFKAasW]|25-34|Female|PLHIV_Residents.T2|CY2025Q3</v>
      </c>
    </row>
    <row r="6531" customFormat="false" ht="15" hidden="false" customHeight="false" outlineLevel="0" collapsed="false">
      <c r="D6531" s="0" t="s">
        <v>66</v>
      </c>
      <c r="E6531" s="0" t="s">
        <v>67</v>
      </c>
      <c r="F6531" s="0" t="s">
        <v>68</v>
      </c>
      <c r="G6531" s="0" t="s">
        <v>171</v>
      </c>
      <c r="H6531" s="0" t="s">
        <v>172</v>
      </c>
      <c r="I6531" s="0" t="s">
        <v>43</v>
      </c>
      <c r="J6531" s="0" t="s">
        <v>44</v>
      </c>
      <c r="K6531" s="0" t="s">
        <v>30</v>
      </c>
      <c r="L6531" s="0" t="s">
        <v>31</v>
      </c>
      <c r="M6531" s="0" t="s">
        <v>173</v>
      </c>
      <c r="N6531" s="0" t="n">
        <v>1379</v>
      </c>
      <c r="O6531" s="10" t="n">
        <v>0.205182458274066</v>
      </c>
      <c r="P6531" s="10" t="n">
        <v>0.164609884377569</v>
      </c>
      <c r="Q6531" s="0" t="str">
        <f aca="false">SUBSTITUTE(SUBSTITUTE($I6531,CHAR(61),""),CHAR(34),"")</f>
        <v>35-49</v>
      </c>
      <c r="R6531" s="0" t="str">
        <f aca="false">IF($D6531&lt;&gt;"","["&amp;$E6531&amp;"]"&amp;"|"&amp;$Q6531&amp;"|"&amp;$K6531&amp;"|"&amp;$G6531&amp;"|"&amp;IF($G6531="TX_CURR_SUBNAT.R","CY2022Q4",$M6531),"")</f>
        <v>[ScR9iFKAasW]|35-49|Female|PLHIV_Residents.T2|CY2025Q3</v>
      </c>
    </row>
    <row r="6532" customFormat="false" ht="15" hidden="false" customHeight="false" outlineLevel="0" collapsed="false">
      <c r="D6532" s="0" t="s">
        <v>66</v>
      </c>
      <c r="E6532" s="0" t="s">
        <v>67</v>
      </c>
      <c r="F6532" s="0" t="s">
        <v>68</v>
      </c>
      <c r="G6532" s="0" t="s">
        <v>171</v>
      </c>
      <c r="H6532" s="0" t="s">
        <v>172</v>
      </c>
      <c r="I6532" s="0" t="s">
        <v>45</v>
      </c>
      <c r="J6532" s="0" t="s">
        <v>46</v>
      </c>
      <c r="K6532" s="0" t="s">
        <v>30</v>
      </c>
      <c r="L6532" s="0" t="s">
        <v>31</v>
      </c>
      <c r="M6532" s="0" t="s">
        <v>173</v>
      </c>
      <c r="N6532" s="0" t="n">
        <v>1227</v>
      </c>
      <c r="O6532" s="10" t="n">
        <v>0.273451132234186</v>
      </c>
      <c r="P6532" s="10" t="n">
        <v>0.164609884377569</v>
      </c>
      <c r="Q6532" s="0" t="str">
        <f aca="false">SUBSTITUTE(SUBSTITUTE($I6532,CHAR(61),""),CHAR(34),"")</f>
        <v>50+</v>
      </c>
      <c r="R6532" s="0" t="str">
        <f aca="false">IF($D6532&lt;&gt;"","["&amp;$E6532&amp;"]"&amp;"|"&amp;$Q6532&amp;"|"&amp;$K6532&amp;"|"&amp;$G6532&amp;"|"&amp;IF($G6532="TX_CURR_SUBNAT.R","CY2022Q4",$M6532),"")</f>
        <v>[ScR9iFKAasW]|50+|Female|PLHIV_Residents.T2|CY2025Q3</v>
      </c>
    </row>
    <row r="6533" customFormat="false" ht="15" hidden="false" customHeight="false" outlineLevel="0" collapsed="false">
      <c r="D6533" s="0" t="s">
        <v>66</v>
      </c>
      <c r="E6533" s="0" t="s">
        <v>67</v>
      </c>
      <c r="F6533" s="0" t="s">
        <v>68</v>
      </c>
      <c r="G6533" s="0" t="s">
        <v>171</v>
      </c>
      <c r="H6533" s="0" t="s">
        <v>172</v>
      </c>
      <c r="I6533" s="0" t="s">
        <v>28</v>
      </c>
      <c r="J6533" s="0" t="s">
        <v>29</v>
      </c>
      <c r="K6533" s="0" t="s">
        <v>48</v>
      </c>
      <c r="L6533" s="0" t="s">
        <v>49</v>
      </c>
      <c r="M6533" s="0" t="s">
        <v>173</v>
      </c>
      <c r="N6533" s="0" t="n">
        <v>1778</v>
      </c>
      <c r="O6533" s="10" t="n">
        <v>0.443516476778314</v>
      </c>
      <c r="P6533" s="10" t="n">
        <v>0.164609884377569</v>
      </c>
      <c r="Q6533" s="0" t="str">
        <f aca="false">SUBSTITUTE(SUBSTITUTE($I6533,CHAR(61),""),CHAR(34),"")</f>
        <v>&lt;01</v>
      </c>
      <c r="R6533" s="0" t="str">
        <f aca="false">IF($D6533&lt;&gt;"","["&amp;$E6533&amp;"]"&amp;"|"&amp;$Q6533&amp;"|"&amp;$K6533&amp;"|"&amp;$G6533&amp;"|"&amp;IF($G6533="TX_CURR_SUBNAT.R","CY2022Q4",$M6533),"")</f>
        <v>[ScR9iFKAasW]|&lt;01|Male|PLHIV_Residents.T2|CY2025Q3</v>
      </c>
    </row>
    <row r="6534" customFormat="false" ht="15" hidden="false" customHeight="false" outlineLevel="0" collapsed="false">
      <c r="D6534" s="0" t="s">
        <v>66</v>
      </c>
      <c r="E6534" s="0" t="s">
        <v>67</v>
      </c>
      <c r="F6534" s="0" t="s">
        <v>68</v>
      </c>
      <c r="G6534" s="0" t="s">
        <v>171</v>
      </c>
      <c r="H6534" s="0" t="s">
        <v>172</v>
      </c>
      <c r="I6534" s="0" t="s">
        <v>33</v>
      </c>
      <c r="J6534" s="0" t="s">
        <v>34</v>
      </c>
      <c r="K6534" s="0" t="s">
        <v>48</v>
      </c>
      <c r="L6534" s="0" t="s">
        <v>49</v>
      </c>
      <c r="M6534" s="0" t="s">
        <v>173</v>
      </c>
      <c r="N6534" s="0" t="n">
        <v>1970</v>
      </c>
      <c r="O6534" s="10" t="n">
        <v>0.726694597164169</v>
      </c>
      <c r="P6534" s="10" t="n">
        <v>0.164609884377569</v>
      </c>
      <c r="Q6534" s="0" t="str">
        <f aca="false">SUBSTITUTE(SUBSTITUTE($I6534,CHAR(61),""),CHAR(34),"")</f>
        <v>01-09</v>
      </c>
      <c r="R6534" s="0" t="str">
        <f aca="false">IF($D6534&lt;&gt;"","["&amp;$E6534&amp;"]"&amp;"|"&amp;$Q6534&amp;"|"&amp;$K6534&amp;"|"&amp;$G6534&amp;"|"&amp;IF($G6534="TX_CURR_SUBNAT.R","CY2022Q4",$M6534),"")</f>
        <v>[ScR9iFKAasW]|01-09|Male|PLHIV_Residents.T2|CY2025Q3</v>
      </c>
    </row>
    <row r="6535" customFormat="false" ht="15" hidden="false" customHeight="false" outlineLevel="0" collapsed="false">
      <c r="D6535" s="0" t="s">
        <v>66</v>
      </c>
      <c r="E6535" s="0" t="s">
        <v>67</v>
      </c>
      <c r="F6535" s="0" t="s">
        <v>68</v>
      </c>
      <c r="G6535" s="0" t="s">
        <v>171</v>
      </c>
      <c r="H6535" s="0" t="s">
        <v>172</v>
      </c>
      <c r="I6535" s="0" t="s">
        <v>36</v>
      </c>
      <c r="J6535" s="0" t="s">
        <v>37</v>
      </c>
      <c r="K6535" s="0" t="s">
        <v>48</v>
      </c>
      <c r="L6535" s="0" t="s">
        <v>49</v>
      </c>
      <c r="M6535" s="0" t="s">
        <v>173</v>
      </c>
      <c r="N6535" s="0" t="n">
        <v>1778</v>
      </c>
      <c r="O6535" s="10" t="n">
        <v>0.804436975391582</v>
      </c>
      <c r="P6535" s="10" t="n">
        <v>0.164609884377569</v>
      </c>
      <c r="Q6535" s="0" t="str">
        <f aca="false">SUBSTITUTE(SUBSTITUTE($I6535,CHAR(61),""),CHAR(34),"")</f>
        <v>10-14</v>
      </c>
      <c r="R6535" s="0" t="str">
        <f aca="false">IF($D6535&lt;&gt;"","["&amp;$E6535&amp;"]"&amp;"|"&amp;$Q6535&amp;"|"&amp;$K6535&amp;"|"&amp;$G6535&amp;"|"&amp;IF($G6535="TX_CURR_SUBNAT.R","CY2022Q4",$M6535),"")</f>
        <v>[ScR9iFKAasW]|10-14|Male|PLHIV_Residents.T2|CY2025Q3</v>
      </c>
    </row>
    <row r="6536" customFormat="false" ht="15" hidden="false" customHeight="false" outlineLevel="0" collapsed="false">
      <c r="D6536" s="0" t="s">
        <v>66</v>
      </c>
      <c r="E6536" s="0" t="s">
        <v>67</v>
      </c>
      <c r="F6536" s="0" t="s">
        <v>68</v>
      </c>
      <c r="G6536" s="0" t="s">
        <v>171</v>
      </c>
      <c r="H6536" s="0" t="s">
        <v>172</v>
      </c>
      <c r="I6536" s="0" t="s">
        <v>38</v>
      </c>
      <c r="J6536" s="0" t="s">
        <v>39</v>
      </c>
      <c r="K6536" s="0" t="s">
        <v>48</v>
      </c>
      <c r="L6536" s="0" t="s">
        <v>49</v>
      </c>
      <c r="M6536" s="0" t="s">
        <v>173</v>
      </c>
      <c r="N6536" s="0" t="n">
        <v>662</v>
      </c>
      <c r="O6536" s="10" t="n">
        <v>0.143066043034196</v>
      </c>
      <c r="P6536" s="10" t="n">
        <v>0.164609884377569</v>
      </c>
      <c r="Q6536" s="0" t="str">
        <f aca="false">SUBSTITUTE(SUBSTITUTE($I6536,CHAR(61),""),CHAR(34),"")</f>
        <v>15-24</v>
      </c>
      <c r="R6536" s="0" t="str">
        <f aca="false">IF($D6536&lt;&gt;"","["&amp;$E6536&amp;"]"&amp;"|"&amp;$Q6536&amp;"|"&amp;$K6536&amp;"|"&amp;$G6536&amp;"|"&amp;IF($G6536="TX_CURR_SUBNAT.R","CY2022Q4",$M6536),"")</f>
        <v>[ScR9iFKAasW]|15-24|Male|PLHIV_Residents.T2|CY2025Q3</v>
      </c>
    </row>
    <row r="6537" customFormat="false" ht="15" hidden="false" customHeight="false" outlineLevel="0" collapsed="false">
      <c r="D6537" s="0" t="s">
        <v>66</v>
      </c>
      <c r="E6537" s="0" t="s">
        <v>67</v>
      </c>
      <c r="F6537" s="0" t="s">
        <v>68</v>
      </c>
      <c r="G6537" s="0" t="s">
        <v>171</v>
      </c>
      <c r="H6537" s="0" t="s">
        <v>172</v>
      </c>
      <c r="I6537" s="0" t="s">
        <v>41</v>
      </c>
      <c r="J6537" s="0" t="s">
        <v>42</v>
      </c>
      <c r="K6537" s="0" t="s">
        <v>48</v>
      </c>
      <c r="L6537" s="0" t="s">
        <v>49</v>
      </c>
      <c r="M6537" s="0" t="s">
        <v>173</v>
      </c>
      <c r="N6537" s="0" t="n">
        <v>1458</v>
      </c>
      <c r="O6537" s="10" t="n">
        <v>0.16012414637953</v>
      </c>
      <c r="P6537" s="10" t="n">
        <v>0.164609884377569</v>
      </c>
      <c r="Q6537" s="0" t="str">
        <f aca="false">SUBSTITUTE(SUBSTITUTE($I6537,CHAR(61),""),CHAR(34),"")</f>
        <v>25-34</v>
      </c>
      <c r="R6537" s="0" t="str">
        <f aca="false">IF($D6537&lt;&gt;"","["&amp;$E6537&amp;"]"&amp;"|"&amp;$Q6537&amp;"|"&amp;$K6537&amp;"|"&amp;$G6537&amp;"|"&amp;IF($G6537="TX_CURR_SUBNAT.R","CY2022Q4",$M6537),"")</f>
        <v>[ScR9iFKAasW]|25-34|Male|PLHIV_Residents.T2|CY2025Q3</v>
      </c>
    </row>
    <row r="6538" customFormat="false" ht="15" hidden="false" customHeight="false" outlineLevel="0" collapsed="false">
      <c r="D6538" s="0" t="s">
        <v>66</v>
      </c>
      <c r="E6538" s="0" t="s">
        <v>67</v>
      </c>
      <c r="F6538" s="0" t="s">
        <v>68</v>
      </c>
      <c r="G6538" s="0" t="s">
        <v>171</v>
      </c>
      <c r="H6538" s="0" t="s">
        <v>172</v>
      </c>
      <c r="I6538" s="0" t="s">
        <v>43</v>
      </c>
      <c r="J6538" s="0" t="s">
        <v>44</v>
      </c>
      <c r="K6538" s="0" t="s">
        <v>48</v>
      </c>
      <c r="L6538" s="0" t="s">
        <v>49</v>
      </c>
      <c r="M6538" s="0" t="s">
        <v>173</v>
      </c>
      <c r="N6538" s="0" t="n">
        <v>1354</v>
      </c>
      <c r="O6538" s="10" t="n">
        <v>0.50062450254336</v>
      </c>
      <c r="P6538" s="10" t="n">
        <v>0.164609884377569</v>
      </c>
      <c r="Q6538" s="0" t="str">
        <f aca="false">SUBSTITUTE(SUBSTITUTE($I6538,CHAR(61),""),CHAR(34),"")</f>
        <v>35-49</v>
      </c>
      <c r="R6538" s="0" t="str">
        <f aca="false">IF($D6538&lt;&gt;"","["&amp;$E6538&amp;"]"&amp;"|"&amp;$Q6538&amp;"|"&amp;$K6538&amp;"|"&amp;$G6538&amp;"|"&amp;IF($G6538="TX_CURR_SUBNAT.R","CY2022Q4",$M6538),"")</f>
        <v>[ScR9iFKAasW]|35-49|Male|PLHIV_Residents.T2|CY2025Q3</v>
      </c>
    </row>
    <row r="6539" customFormat="false" ht="15" hidden="false" customHeight="false" outlineLevel="0" collapsed="false">
      <c r="D6539" s="0" t="s">
        <v>66</v>
      </c>
      <c r="E6539" s="0" t="s">
        <v>67</v>
      </c>
      <c r="F6539" s="0" t="s">
        <v>68</v>
      </c>
      <c r="G6539" s="0" t="s">
        <v>171</v>
      </c>
      <c r="H6539" s="0" t="s">
        <v>172</v>
      </c>
      <c r="I6539" s="0" t="s">
        <v>45</v>
      </c>
      <c r="J6539" s="0" t="s">
        <v>46</v>
      </c>
      <c r="K6539" s="0" t="s">
        <v>48</v>
      </c>
      <c r="L6539" s="0" t="s">
        <v>49</v>
      </c>
      <c r="M6539" s="0" t="s">
        <v>173</v>
      </c>
      <c r="N6539" s="0" t="n">
        <v>973</v>
      </c>
      <c r="O6539" s="10" t="n">
        <v>0.90317455586046</v>
      </c>
      <c r="P6539" s="10" t="n">
        <v>0.164609884377569</v>
      </c>
      <c r="Q6539" s="0" t="str">
        <f aca="false">SUBSTITUTE(SUBSTITUTE($I6539,CHAR(61),""),CHAR(34),"")</f>
        <v>50+</v>
      </c>
      <c r="R6539" s="0" t="str">
        <f aca="false">IF($D6539&lt;&gt;"","["&amp;$E6539&amp;"]"&amp;"|"&amp;$Q6539&amp;"|"&amp;$K6539&amp;"|"&amp;$G6539&amp;"|"&amp;IF($G6539="TX_CURR_SUBNAT.R","CY2022Q4",$M6539),"")</f>
        <v>[ScR9iFKAasW]|50+|Male|PLHIV_Residents.T2|CY2025Q3</v>
      </c>
    </row>
    <row r="6540" customFormat="false" ht="15" hidden="false" customHeight="false" outlineLevel="0" collapsed="false">
      <c r="D6540" s="0" t="s">
        <v>69</v>
      </c>
      <c r="E6540" s="0" t="s">
        <v>70</v>
      </c>
      <c r="F6540" s="0" t="s">
        <v>71</v>
      </c>
      <c r="G6540" s="0" t="s">
        <v>171</v>
      </c>
      <c r="H6540" s="0" t="s">
        <v>172</v>
      </c>
      <c r="I6540" s="0" t="s">
        <v>28</v>
      </c>
      <c r="J6540" s="0" t="s">
        <v>29</v>
      </c>
      <c r="K6540" s="0" t="s">
        <v>30</v>
      </c>
      <c r="L6540" s="0" t="s">
        <v>31</v>
      </c>
      <c r="M6540" s="0" t="s">
        <v>173</v>
      </c>
      <c r="N6540" s="0" t="n">
        <v>1426</v>
      </c>
      <c r="O6540" s="10" t="n">
        <v>0.791397752473131</v>
      </c>
      <c r="P6540" s="10" t="n">
        <v>0.198817263124511</v>
      </c>
      <c r="Q6540" s="0" t="str">
        <f aca="false">SUBSTITUTE(SUBSTITUTE($I6540,CHAR(61),""),CHAR(34),"")</f>
        <v>&lt;01</v>
      </c>
      <c r="R6540" s="0" t="str">
        <f aca="false">IF($D6540&lt;&gt;"","["&amp;$E6540&amp;"]"&amp;"|"&amp;$Q6540&amp;"|"&amp;$K6540&amp;"|"&amp;$G6540&amp;"|"&amp;IF($G6540="TX_CURR_SUBNAT.R","CY2022Q4",$M6540),"")</f>
        <v>[PekKUkKHAzY]|&lt;01|Female|PLHIV_Residents.T2|CY2025Q3</v>
      </c>
    </row>
    <row r="6541" customFormat="false" ht="15" hidden="false" customHeight="false" outlineLevel="0" collapsed="false">
      <c r="D6541" s="0" t="s">
        <v>69</v>
      </c>
      <c r="E6541" s="0" t="s">
        <v>70</v>
      </c>
      <c r="F6541" s="0" t="s">
        <v>71</v>
      </c>
      <c r="G6541" s="0" t="s">
        <v>171</v>
      </c>
      <c r="H6541" s="0" t="s">
        <v>172</v>
      </c>
      <c r="I6541" s="0" t="s">
        <v>33</v>
      </c>
      <c r="J6541" s="0" t="s">
        <v>34</v>
      </c>
      <c r="K6541" s="0" t="s">
        <v>30</v>
      </c>
      <c r="L6541" s="0" t="s">
        <v>31</v>
      </c>
      <c r="M6541" s="0" t="s">
        <v>173</v>
      </c>
      <c r="N6541" s="0" t="n">
        <v>553</v>
      </c>
      <c r="O6541" s="10" t="n">
        <v>0.980668514035642</v>
      </c>
      <c r="P6541" s="10" t="n">
        <v>0.198817263124511</v>
      </c>
      <c r="Q6541" s="0" t="str">
        <f aca="false">SUBSTITUTE(SUBSTITUTE($I6541,CHAR(61),""),CHAR(34),"")</f>
        <v>01-09</v>
      </c>
      <c r="R6541" s="0" t="str">
        <f aca="false">IF($D6541&lt;&gt;"","["&amp;$E6541&amp;"]"&amp;"|"&amp;$Q6541&amp;"|"&amp;$K6541&amp;"|"&amp;$G6541&amp;"|"&amp;IF($G6541="TX_CURR_SUBNAT.R","CY2022Q4",$M6541),"")</f>
        <v>[PekKUkKHAzY]|01-09|Female|PLHIV_Residents.T2|CY2025Q3</v>
      </c>
    </row>
    <row r="6542" customFormat="false" ht="15" hidden="false" customHeight="false" outlineLevel="0" collapsed="false">
      <c r="D6542" s="0" t="s">
        <v>69</v>
      </c>
      <c r="E6542" s="0" t="s">
        <v>70</v>
      </c>
      <c r="F6542" s="0" t="s">
        <v>71</v>
      </c>
      <c r="G6542" s="0" t="s">
        <v>171</v>
      </c>
      <c r="H6542" s="0" t="s">
        <v>172</v>
      </c>
      <c r="I6542" s="0" t="s">
        <v>36</v>
      </c>
      <c r="J6542" s="0" t="s">
        <v>37</v>
      </c>
      <c r="K6542" s="0" t="s">
        <v>30</v>
      </c>
      <c r="L6542" s="0" t="s">
        <v>31</v>
      </c>
      <c r="M6542" s="0" t="s">
        <v>173</v>
      </c>
      <c r="N6542" s="0" t="n">
        <v>1426</v>
      </c>
      <c r="O6542" s="10" t="n">
        <v>0.431815793504938</v>
      </c>
      <c r="P6542" s="10" t="n">
        <v>0.198817263124511</v>
      </c>
      <c r="Q6542" s="0" t="str">
        <f aca="false">SUBSTITUTE(SUBSTITUTE($I6542,CHAR(61),""),CHAR(34),"")</f>
        <v>10-14</v>
      </c>
      <c r="R6542" s="0" t="str">
        <f aca="false">IF($D6542&lt;&gt;"","["&amp;$E6542&amp;"]"&amp;"|"&amp;$Q6542&amp;"|"&amp;$K6542&amp;"|"&amp;$G6542&amp;"|"&amp;IF($G6542="TX_CURR_SUBNAT.R","CY2022Q4",$M6542),"")</f>
        <v>[PekKUkKHAzY]|10-14|Female|PLHIV_Residents.T2|CY2025Q3</v>
      </c>
    </row>
    <row r="6543" customFormat="false" ht="15" hidden="false" customHeight="false" outlineLevel="0" collapsed="false">
      <c r="D6543" s="0" t="s">
        <v>69</v>
      </c>
      <c r="E6543" s="0" t="s">
        <v>70</v>
      </c>
      <c r="F6543" s="0" t="s">
        <v>71</v>
      </c>
      <c r="G6543" s="0" t="s">
        <v>171</v>
      </c>
      <c r="H6543" s="0" t="s">
        <v>172</v>
      </c>
      <c r="I6543" s="0" t="s">
        <v>38</v>
      </c>
      <c r="J6543" s="0" t="s">
        <v>39</v>
      </c>
      <c r="K6543" s="0" t="s">
        <v>30</v>
      </c>
      <c r="L6543" s="0" t="s">
        <v>31</v>
      </c>
      <c r="M6543" s="0" t="s">
        <v>173</v>
      </c>
      <c r="N6543" s="0" t="n">
        <v>1653</v>
      </c>
      <c r="O6543" s="10" t="n">
        <v>0.964965512044728</v>
      </c>
      <c r="P6543" s="10" t="n">
        <v>0.198817263124511</v>
      </c>
      <c r="Q6543" s="0" t="str">
        <f aca="false">SUBSTITUTE(SUBSTITUTE($I6543,CHAR(61),""),CHAR(34),"")</f>
        <v>15-24</v>
      </c>
      <c r="R6543" s="0" t="str">
        <f aca="false">IF($D6543&lt;&gt;"","["&amp;$E6543&amp;"]"&amp;"|"&amp;$Q6543&amp;"|"&amp;$K6543&amp;"|"&amp;$G6543&amp;"|"&amp;IF($G6543="TX_CURR_SUBNAT.R","CY2022Q4",$M6543),"")</f>
        <v>[PekKUkKHAzY]|15-24|Female|PLHIV_Residents.T2|CY2025Q3</v>
      </c>
    </row>
    <row r="6544" customFormat="false" ht="15" hidden="false" customHeight="false" outlineLevel="0" collapsed="false">
      <c r="D6544" s="0" t="s">
        <v>69</v>
      </c>
      <c r="E6544" s="0" t="s">
        <v>70</v>
      </c>
      <c r="F6544" s="0" t="s">
        <v>71</v>
      </c>
      <c r="G6544" s="0" t="s">
        <v>171</v>
      </c>
      <c r="H6544" s="0" t="s">
        <v>172</v>
      </c>
      <c r="I6544" s="0" t="s">
        <v>41</v>
      </c>
      <c r="J6544" s="0" t="s">
        <v>42</v>
      </c>
      <c r="K6544" s="0" t="s">
        <v>30</v>
      </c>
      <c r="L6544" s="0" t="s">
        <v>31</v>
      </c>
      <c r="M6544" s="0" t="s">
        <v>173</v>
      </c>
      <c r="N6544" s="0" t="n">
        <v>1259</v>
      </c>
      <c r="O6544" s="10" t="n">
        <v>0.530965096550062</v>
      </c>
      <c r="P6544" s="10" t="n">
        <v>0.198817263124511</v>
      </c>
      <c r="Q6544" s="0" t="str">
        <f aca="false">SUBSTITUTE(SUBSTITUTE($I6544,CHAR(61),""),CHAR(34),"")</f>
        <v>25-34</v>
      </c>
      <c r="R6544" s="0" t="str">
        <f aca="false">IF($D6544&lt;&gt;"","["&amp;$E6544&amp;"]"&amp;"|"&amp;$Q6544&amp;"|"&amp;$K6544&amp;"|"&amp;$G6544&amp;"|"&amp;IF($G6544="TX_CURR_SUBNAT.R","CY2022Q4",$M6544),"")</f>
        <v>[PekKUkKHAzY]|25-34|Female|PLHIV_Residents.T2|CY2025Q3</v>
      </c>
    </row>
    <row r="6545" customFormat="false" ht="15" hidden="false" customHeight="false" outlineLevel="0" collapsed="false">
      <c r="D6545" s="0" t="s">
        <v>69</v>
      </c>
      <c r="E6545" s="0" t="s">
        <v>70</v>
      </c>
      <c r="F6545" s="0" t="s">
        <v>71</v>
      </c>
      <c r="G6545" s="0" t="s">
        <v>171</v>
      </c>
      <c r="H6545" s="0" t="s">
        <v>172</v>
      </c>
      <c r="I6545" s="0" t="s">
        <v>43</v>
      </c>
      <c r="J6545" s="0" t="s">
        <v>44</v>
      </c>
      <c r="K6545" s="0" t="s">
        <v>30</v>
      </c>
      <c r="L6545" s="0" t="s">
        <v>31</v>
      </c>
      <c r="M6545" s="0" t="s">
        <v>173</v>
      </c>
      <c r="N6545" s="0" t="n">
        <v>1200</v>
      </c>
      <c r="O6545" s="10" t="n">
        <v>0.0555181915406138</v>
      </c>
      <c r="P6545" s="10" t="n">
        <v>0.198817263124511</v>
      </c>
      <c r="Q6545" s="0" t="str">
        <f aca="false">SUBSTITUTE(SUBSTITUTE($I6545,CHAR(61),""),CHAR(34),"")</f>
        <v>35-49</v>
      </c>
      <c r="R6545" s="0" t="str">
        <f aca="false">IF($D6545&lt;&gt;"","["&amp;$E6545&amp;"]"&amp;"|"&amp;$Q6545&amp;"|"&amp;$K6545&amp;"|"&amp;$G6545&amp;"|"&amp;IF($G6545="TX_CURR_SUBNAT.R","CY2022Q4",$M6545),"")</f>
        <v>[PekKUkKHAzY]|35-49|Female|PLHIV_Residents.T2|CY2025Q3</v>
      </c>
    </row>
    <row r="6546" customFormat="false" ht="15" hidden="false" customHeight="false" outlineLevel="0" collapsed="false">
      <c r="D6546" s="0" t="s">
        <v>69</v>
      </c>
      <c r="E6546" s="0" t="s">
        <v>70</v>
      </c>
      <c r="F6546" s="0" t="s">
        <v>71</v>
      </c>
      <c r="G6546" s="0" t="s">
        <v>171</v>
      </c>
      <c r="H6546" s="0" t="s">
        <v>172</v>
      </c>
      <c r="I6546" s="0" t="s">
        <v>45</v>
      </c>
      <c r="J6546" s="0" t="s">
        <v>46</v>
      </c>
      <c r="K6546" s="0" t="s">
        <v>30</v>
      </c>
      <c r="L6546" s="0" t="s">
        <v>31</v>
      </c>
      <c r="M6546" s="0" t="s">
        <v>173</v>
      </c>
      <c r="N6546" s="0" t="n">
        <v>1494</v>
      </c>
      <c r="O6546" s="10" t="n">
        <v>0.428897562902421</v>
      </c>
      <c r="P6546" s="10" t="n">
        <v>0.198817263124511</v>
      </c>
      <c r="Q6546" s="0" t="str">
        <f aca="false">SUBSTITUTE(SUBSTITUTE($I6546,CHAR(61),""),CHAR(34),"")</f>
        <v>50+</v>
      </c>
      <c r="R6546" s="0" t="str">
        <f aca="false">IF($D6546&lt;&gt;"","["&amp;$E6546&amp;"]"&amp;"|"&amp;$Q6546&amp;"|"&amp;$K6546&amp;"|"&amp;$G6546&amp;"|"&amp;IF($G6546="TX_CURR_SUBNAT.R","CY2022Q4",$M6546),"")</f>
        <v>[PekKUkKHAzY]|50+|Female|PLHIV_Residents.T2|CY2025Q3</v>
      </c>
    </row>
    <row r="6547" customFormat="false" ht="15" hidden="false" customHeight="false" outlineLevel="0" collapsed="false">
      <c r="D6547" s="0" t="s">
        <v>69</v>
      </c>
      <c r="E6547" s="0" t="s">
        <v>70</v>
      </c>
      <c r="F6547" s="0" t="s">
        <v>71</v>
      </c>
      <c r="G6547" s="0" t="s">
        <v>171</v>
      </c>
      <c r="H6547" s="0" t="s">
        <v>172</v>
      </c>
      <c r="I6547" s="0" t="s">
        <v>28</v>
      </c>
      <c r="J6547" s="0" t="s">
        <v>29</v>
      </c>
      <c r="K6547" s="0" t="s">
        <v>48</v>
      </c>
      <c r="L6547" s="0" t="s">
        <v>49</v>
      </c>
      <c r="M6547" s="0" t="s">
        <v>173</v>
      </c>
      <c r="N6547" s="0" t="n">
        <v>1432</v>
      </c>
      <c r="O6547" s="10" t="n">
        <v>0.108392238151282</v>
      </c>
      <c r="P6547" s="10" t="n">
        <v>0.198817263124511</v>
      </c>
      <c r="Q6547" s="0" t="str">
        <f aca="false">SUBSTITUTE(SUBSTITUTE($I6547,CHAR(61),""),CHAR(34),"")</f>
        <v>&lt;01</v>
      </c>
      <c r="R6547" s="0" t="str">
        <f aca="false">IF($D6547&lt;&gt;"","["&amp;$E6547&amp;"]"&amp;"|"&amp;$Q6547&amp;"|"&amp;$K6547&amp;"|"&amp;$G6547&amp;"|"&amp;IF($G6547="TX_CURR_SUBNAT.R","CY2022Q4",$M6547),"")</f>
        <v>[PekKUkKHAzY]|&lt;01|Male|PLHIV_Residents.T2|CY2025Q3</v>
      </c>
    </row>
    <row r="6548" customFormat="false" ht="15" hidden="false" customHeight="false" outlineLevel="0" collapsed="false">
      <c r="D6548" s="0" t="s">
        <v>69</v>
      </c>
      <c r="E6548" s="0" t="s">
        <v>70</v>
      </c>
      <c r="F6548" s="0" t="s">
        <v>71</v>
      </c>
      <c r="G6548" s="0" t="s">
        <v>171</v>
      </c>
      <c r="H6548" s="0" t="s">
        <v>172</v>
      </c>
      <c r="I6548" s="0" t="s">
        <v>33</v>
      </c>
      <c r="J6548" s="0" t="s">
        <v>34</v>
      </c>
      <c r="K6548" s="0" t="s">
        <v>48</v>
      </c>
      <c r="L6548" s="0" t="s">
        <v>49</v>
      </c>
      <c r="M6548" s="0" t="s">
        <v>173</v>
      </c>
      <c r="N6548" s="0" t="n">
        <v>1204</v>
      </c>
      <c r="O6548" s="10" t="n">
        <v>0.815211476990953</v>
      </c>
      <c r="P6548" s="10" t="n">
        <v>0.198817263124511</v>
      </c>
      <c r="Q6548" s="0" t="str">
        <f aca="false">SUBSTITUTE(SUBSTITUTE($I6548,CHAR(61),""),CHAR(34),"")</f>
        <v>01-09</v>
      </c>
      <c r="R6548" s="0" t="str">
        <f aca="false">IF($D6548&lt;&gt;"","["&amp;$E6548&amp;"]"&amp;"|"&amp;$Q6548&amp;"|"&amp;$K6548&amp;"|"&amp;$G6548&amp;"|"&amp;IF($G6548="TX_CURR_SUBNAT.R","CY2022Q4",$M6548),"")</f>
        <v>[PekKUkKHAzY]|01-09|Male|PLHIV_Residents.T2|CY2025Q3</v>
      </c>
    </row>
    <row r="6549" customFormat="false" ht="15" hidden="false" customHeight="false" outlineLevel="0" collapsed="false">
      <c r="D6549" s="0" t="s">
        <v>69</v>
      </c>
      <c r="E6549" s="0" t="s">
        <v>70</v>
      </c>
      <c r="F6549" s="0" t="s">
        <v>71</v>
      </c>
      <c r="G6549" s="0" t="s">
        <v>171</v>
      </c>
      <c r="H6549" s="0" t="s">
        <v>172</v>
      </c>
      <c r="I6549" s="0" t="s">
        <v>36</v>
      </c>
      <c r="J6549" s="0" t="s">
        <v>37</v>
      </c>
      <c r="K6549" s="0" t="s">
        <v>48</v>
      </c>
      <c r="L6549" s="0" t="s">
        <v>49</v>
      </c>
      <c r="M6549" s="0" t="s">
        <v>173</v>
      </c>
      <c r="N6549" s="0" t="n">
        <v>1736</v>
      </c>
      <c r="O6549" s="10" t="n">
        <v>0.126822874415666</v>
      </c>
      <c r="P6549" s="10" t="n">
        <v>0.198817263124511</v>
      </c>
      <c r="Q6549" s="0" t="str">
        <f aca="false">SUBSTITUTE(SUBSTITUTE($I6549,CHAR(61),""),CHAR(34),"")</f>
        <v>10-14</v>
      </c>
      <c r="R6549" s="0" t="str">
        <f aca="false">IF($D6549&lt;&gt;"","["&amp;$E6549&amp;"]"&amp;"|"&amp;$Q6549&amp;"|"&amp;$K6549&amp;"|"&amp;$G6549&amp;"|"&amp;IF($G6549="TX_CURR_SUBNAT.R","CY2022Q4",$M6549),"")</f>
        <v>[PekKUkKHAzY]|10-14|Male|PLHIV_Residents.T2|CY2025Q3</v>
      </c>
    </row>
    <row r="6550" customFormat="false" ht="15" hidden="false" customHeight="false" outlineLevel="0" collapsed="false">
      <c r="D6550" s="0" t="s">
        <v>69</v>
      </c>
      <c r="E6550" s="0" t="s">
        <v>70</v>
      </c>
      <c r="F6550" s="0" t="s">
        <v>71</v>
      </c>
      <c r="G6550" s="0" t="s">
        <v>171</v>
      </c>
      <c r="H6550" s="0" t="s">
        <v>172</v>
      </c>
      <c r="I6550" s="0" t="s">
        <v>38</v>
      </c>
      <c r="J6550" s="0" t="s">
        <v>39</v>
      </c>
      <c r="K6550" s="0" t="s">
        <v>48</v>
      </c>
      <c r="L6550" s="0" t="s">
        <v>49</v>
      </c>
      <c r="M6550" s="0" t="s">
        <v>173</v>
      </c>
      <c r="N6550" s="0" t="n">
        <v>1946</v>
      </c>
      <c r="O6550" s="10" t="n">
        <v>0.553975036367774</v>
      </c>
      <c r="P6550" s="10" t="n">
        <v>0.198817263124511</v>
      </c>
      <c r="Q6550" s="0" t="str">
        <f aca="false">SUBSTITUTE(SUBSTITUTE($I6550,CHAR(61),""),CHAR(34),"")</f>
        <v>15-24</v>
      </c>
      <c r="R6550" s="0" t="str">
        <f aca="false">IF($D6550&lt;&gt;"","["&amp;$E6550&amp;"]"&amp;"|"&amp;$Q6550&amp;"|"&amp;$K6550&amp;"|"&amp;$G6550&amp;"|"&amp;IF($G6550="TX_CURR_SUBNAT.R","CY2022Q4",$M6550),"")</f>
        <v>[PekKUkKHAzY]|15-24|Male|PLHIV_Residents.T2|CY2025Q3</v>
      </c>
    </row>
    <row r="6551" customFormat="false" ht="15" hidden="false" customHeight="false" outlineLevel="0" collapsed="false">
      <c r="D6551" s="0" t="s">
        <v>69</v>
      </c>
      <c r="E6551" s="0" t="s">
        <v>70</v>
      </c>
      <c r="F6551" s="0" t="s">
        <v>71</v>
      </c>
      <c r="G6551" s="0" t="s">
        <v>171</v>
      </c>
      <c r="H6551" s="0" t="s">
        <v>172</v>
      </c>
      <c r="I6551" s="0" t="s">
        <v>41</v>
      </c>
      <c r="J6551" s="0" t="s">
        <v>42</v>
      </c>
      <c r="K6551" s="0" t="s">
        <v>48</v>
      </c>
      <c r="L6551" s="0" t="s">
        <v>49</v>
      </c>
      <c r="M6551" s="0" t="s">
        <v>173</v>
      </c>
      <c r="N6551" s="0" t="n">
        <v>924</v>
      </c>
      <c r="O6551" s="10" t="n">
        <v>0.754401060054079</v>
      </c>
      <c r="P6551" s="10" t="n">
        <v>0.198817263124511</v>
      </c>
      <c r="Q6551" s="0" t="str">
        <f aca="false">SUBSTITUTE(SUBSTITUTE($I6551,CHAR(61),""),CHAR(34),"")</f>
        <v>25-34</v>
      </c>
      <c r="R6551" s="0" t="str">
        <f aca="false">IF($D6551&lt;&gt;"","["&amp;$E6551&amp;"]"&amp;"|"&amp;$Q6551&amp;"|"&amp;$K6551&amp;"|"&amp;$G6551&amp;"|"&amp;IF($G6551="TX_CURR_SUBNAT.R","CY2022Q4",$M6551),"")</f>
        <v>[PekKUkKHAzY]|25-34|Male|PLHIV_Residents.T2|CY2025Q3</v>
      </c>
    </row>
    <row r="6552" customFormat="false" ht="15" hidden="false" customHeight="false" outlineLevel="0" collapsed="false">
      <c r="D6552" s="0" t="s">
        <v>69</v>
      </c>
      <c r="E6552" s="0" t="s">
        <v>70</v>
      </c>
      <c r="F6552" s="0" t="s">
        <v>71</v>
      </c>
      <c r="G6552" s="0" t="s">
        <v>171</v>
      </c>
      <c r="H6552" s="0" t="s">
        <v>172</v>
      </c>
      <c r="I6552" s="0" t="s">
        <v>43</v>
      </c>
      <c r="J6552" s="0" t="s">
        <v>44</v>
      </c>
      <c r="K6552" s="0" t="s">
        <v>48</v>
      </c>
      <c r="L6552" s="0" t="s">
        <v>49</v>
      </c>
      <c r="M6552" s="0" t="s">
        <v>173</v>
      </c>
      <c r="N6552" s="0" t="n">
        <v>773</v>
      </c>
      <c r="O6552" s="10" t="n">
        <v>0.741128074005246</v>
      </c>
      <c r="P6552" s="10" t="n">
        <v>0.198817263124511</v>
      </c>
      <c r="Q6552" s="0" t="str">
        <f aca="false">SUBSTITUTE(SUBSTITUTE($I6552,CHAR(61),""),CHAR(34),"")</f>
        <v>35-49</v>
      </c>
      <c r="R6552" s="0" t="str">
        <f aca="false">IF($D6552&lt;&gt;"","["&amp;$E6552&amp;"]"&amp;"|"&amp;$Q6552&amp;"|"&amp;$K6552&amp;"|"&amp;$G6552&amp;"|"&amp;IF($G6552="TX_CURR_SUBNAT.R","CY2022Q4",$M6552),"")</f>
        <v>[PekKUkKHAzY]|35-49|Male|PLHIV_Residents.T2|CY2025Q3</v>
      </c>
    </row>
    <row r="6553" customFormat="false" ht="15" hidden="false" customHeight="false" outlineLevel="0" collapsed="false">
      <c r="D6553" s="0" t="s">
        <v>69</v>
      </c>
      <c r="E6553" s="0" t="s">
        <v>70</v>
      </c>
      <c r="F6553" s="0" t="s">
        <v>71</v>
      </c>
      <c r="G6553" s="0" t="s">
        <v>171</v>
      </c>
      <c r="H6553" s="0" t="s">
        <v>172</v>
      </c>
      <c r="I6553" s="0" t="s">
        <v>45</v>
      </c>
      <c r="J6553" s="0" t="s">
        <v>46</v>
      </c>
      <c r="K6553" s="0" t="s">
        <v>48</v>
      </c>
      <c r="L6553" s="0" t="s">
        <v>49</v>
      </c>
      <c r="M6553" s="0" t="s">
        <v>173</v>
      </c>
      <c r="N6553" s="0" t="n">
        <v>522</v>
      </c>
      <c r="O6553" s="10" t="n">
        <v>0.415030978387222</v>
      </c>
      <c r="P6553" s="10" t="n">
        <v>0.198817263124511</v>
      </c>
      <c r="Q6553" s="0" t="str">
        <f aca="false">SUBSTITUTE(SUBSTITUTE($I6553,CHAR(61),""),CHAR(34),"")</f>
        <v>50+</v>
      </c>
      <c r="R6553" s="0" t="str">
        <f aca="false">IF($D6553&lt;&gt;"","["&amp;$E6553&amp;"]"&amp;"|"&amp;$Q6553&amp;"|"&amp;$K6553&amp;"|"&amp;$G6553&amp;"|"&amp;IF($G6553="TX_CURR_SUBNAT.R","CY2022Q4",$M6553),"")</f>
        <v>[PekKUkKHAzY]|50+|Male|PLHIV_Residents.T2|CY2025Q3</v>
      </c>
    </row>
    <row r="6554" customFormat="false" ht="15" hidden="false" customHeight="false" outlineLevel="0" collapsed="false">
      <c r="D6554" s="0" t="s">
        <v>72</v>
      </c>
      <c r="E6554" s="0" t="s">
        <v>73</v>
      </c>
      <c r="F6554" s="0" t="s">
        <v>74</v>
      </c>
      <c r="G6554" s="0" t="s">
        <v>171</v>
      </c>
      <c r="H6554" s="0" t="s">
        <v>172</v>
      </c>
      <c r="I6554" s="0" t="s">
        <v>28</v>
      </c>
      <c r="J6554" s="0" t="s">
        <v>29</v>
      </c>
      <c r="K6554" s="0" t="s">
        <v>30</v>
      </c>
      <c r="L6554" s="0" t="s">
        <v>31</v>
      </c>
      <c r="M6554" s="0" t="s">
        <v>173</v>
      </c>
      <c r="N6554" s="0" t="n">
        <v>1636</v>
      </c>
      <c r="O6554" s="10" t="n">
        <v>0.379425387596712</v>
      </c>
      <c r="P6554" s="10" t="n">
        <v>0.289728706935421</v>
      </c>
      <c r="Q6554" s="0" t="str">
        <f aca="false">SUBSTITUTE(SUBSTITUTE($I6554,CHAR(61),""),CHAR(34),"")</f>
        <v>&lt;01</v>
      </c>
      <c r="R6554" s="0" t="str">
        <f aca="false">IF($D6554&lt;&gt;"","["&amp;$E6554&amp;"]"&amp;"|"&amp;$Q6554&amp;"|"&amp;$K6554&amp;"|"&amp;$G6554&amp;"|"&amp;IF($G6554="TX_CURR_SUBNAT.R","CY2022Q4",$M6554),"")</f>
        <v>[am530wpaGvr]|&lt;01|Female|PLHIV_Residents.T2|CY2025Q3</v>
      </c>
    </row>
    <row r="6555" customFormat="false" ht="15" hidden="false" customHeight="false" outlineLevel="0" collapsed="false">
      <c r="D6555" s="0" t="s">
        <v>72</v>
      </c>
      <c r="E6555" s="0" t="s">
        <v>73</v>
      </c>
      <c r="F6555" s="0" t="s">
        <v>74</v>
      </c>
      <c r="G6555" s="0" t="s">
        <v>171</v>
      </c>
      <c r="H6555" s="0" t="s">
        <v>172</v>
      </c>
      <c r="I6555" s="0" t="s">
        <v>33</v>
      </c>
      <c r="J6555" s="0" t="s">
        <v>34</v>
      </c>
      <c r="K6555" s="0" t="s">
        <v>30</v>
      </c>
      <c r="L6555" s="0" t="s">
        <v>31</v>
      </c>
      <c r="M6555" s="0" t="s">
        <v>173</v>
      </c>
      <c r="N6555" s="0" t="n">
        <v>1793</v>
      </c>
      <c r="O6555" s="10" t="n">
        <v>0.0572355787735432</v>
      </c>
      <c r="P6555" s="10" t="n">
        <v>0.289728706935421</v>
      </c>
      <c r="Q6555" s="0" t="str">
        <f aca="false">SUBSTITUTE(SUBSTITUTE($I6555,CHAR(61),""),CHAR(34),"")</f>
        <v>01-09</v>
      </c>
      <c r="R6555" s="0" t="str">
        <f aca="false">IF($D6555&lt;&gt;"","["&amp;$E6555&amp;"]"&amp;"|"&amp;$Q6555&amp;"|"&amp;$K6555&amp;"|"&amp;$G6555&amp;"|"&amp;IF($G6555="TX_CURR_SUBNAT.R","CY2022Q4",$M6555),"")</f>
        <v>[am530wpaGvr]|01-09|Female|PLHIV_Residents.T2|CY2025Q3</v>
      </c>
    </row>
    <row r="6556" customFormat="false" ht="15" hidden="false" customHeight="false" outlineLevel="0" collapsed="false">
      <c r="D6556" s="0" t="s">
        <v>72</v>
      </c>
      <c r="E6556" s="0" t="s">
        <v>73</v>
      </c>
      <c r="F6556" s="0" t="s">
        <v>74</v>
      </c>
      <c r="G6556" s="0" t="s">
        <v>171</v>
      </c>
      <c r="H6556" s="0" t="s">
        <v>172</v>
      </c>
      <c r="I6556" s="0" t="s">
        <v>36</v>
      </c>
      <c r="J6556" s="0" t="s">
        <v>37</v>
      </c>
      <c r="K6556" s="0" t="s">
        <v>30</v>
      </c>
      <c r="L6556" s="0" t="s">
        <v>31</v>
      </c>
      <c r="M6556" s="0" t="s">
        <v>173</v>
      </c>
      <c r="N6556" s="0" t="n">
        <v>1587</v>
      </c>
      <c r="O6556" s="10" t="n">
        <v>0.590138993691653</v>
      </c>
      <c r="P6556" s="10" t="n">
        <v>0.289728706935421</v>
      </c>
      <c r="Q6556" s="0" t="str">
        <f aca="false">SUBSTITUTE(SUBSTITUTE($I6556,CHAR(61),""),CHAR(34),"")</f>
        <v>10-14</v>
      </c>
      <c r="R6556" s="0" t="str">
        <f aca="false">IF($D6556&lt;&gt;"","["&amp;$E6556&amp;"]"&amp;"|"&amp;$Q6556&amp;"|"&amp;$K6556&amp;"|"&amp;$G6556&amp;"|"&amp;IF($G6556="TX_CURR_SUBNAT.R","CY2022Q4",$M6556),"")</f>
        <v>[am530wpaGvr]|10-14|Female|PLHIV_Residents.T2|CY2025Q3</v>
      </c>
    </row>
    <row r="6557" customFormat="false" ht="15" hidden="false" customHeight="false" outlineLevel="0" collapsed="false">
      <c r="D6557" s="0" t="s">
        <v>72</v>
      </c>
      <c r="E6557" s="0" t="s">
        <v>73</v>
      </c>
      <c r="F6557" s="0" t="s">
        <v>74</v>
      </c>
      <c r="G6557" s="0" t="s">
        <v>171</v>
      </c>
      <c r="H6557" s="0" t="s">
        <v>172</v>
      </c>
      <c r="I6557" s="0" t="s">
        <v>38</v>
      </c>
      <c r="J6557" s="0" t="s">
        <v>39</v>
      </c>
      <c r="K6557" s="0" t="s">
        <v>30</v>
      </c>
      <c r="L6557" s="0" t="s">
        <v>31</v>
      </c>
      <c r="M6557" s="0" t="s">
        <v>173</v>
      </c>
      <c r="N6557" s="0" t="n">
        <v>1573</v>
      </c>
      <c r="O6557" s="10" t="n">
        <v>0.068673598812893</v>
      </c>
      <c r="P6557" s="10" t="n">
        <v>0.289728706935421</v>
      </c>
      <c r="Q6557" s="0" t="str">
        <f aca="false">SUBSTITUTE(SUBSTITUTE($I6557,CHAR(61),""),CHAR(34),"")</f>
        <v>15-24</v>
      </c>
      <c r="R6557" s="0" t="str">
        <f aca="false">IF($D6557&lt;&gt;"","["&amp;$E6557&amp;"]"&amp;"|"&amp;$Q6557&amp;"|"&amp;$K6557&amp;"|"&amp;$G6557&amp;"|"&amp;IF($G6557="TX_CURR_SUBNAT.R","CY2022Q4",$M6557),"")</f>
        <v>[am530wpaGvr]|15-24|Female|PLHIV_Residents.T2|CY2025Q3</v>
      </c>
    </row>
    <row r="6558" customFormat="false" ht="15" hidden="false" customHeight="false" outlineLevel="0" collapsed="false">
      <c r="D6558" s="0" t="s">
        <v>72</v>
      </c>
      <c r="E6558" s="0" t="s">
        <v>73</v>
      </c>
      <c r="F6558" s="0" t="s">
        <v>74</v>
      </c>
      <c r="G6558" s="0" t="s">
        <v>171</v>
      </c>
      <c r="H6558" s="0" t="s">
        <v>172</v>
      </c>
      <c r="I6558" s="0" t="s">
        <v>41</v>
      </c>
      <c r="J6558" s="0" t="s">
        <v>42</v>
      </c>
      <c r="K6558" s="0" t="s">
        <v>30</v>
      </c>
      <c r="L6558" s="0" t="s">
        <v>31</v>
      </c>
      <c r="M6558" s="0" t="s">
        <v>173</v>
      </c>
      <c r="N6558" s="0" t="n">
        <v>1457</v>
      </c>
      <c r="O6558" s="10" t="n">
        <v>0.975474254693836</v>
      </c>
      <c r="P6558" s="10" t="n">
        <v>0.289728706935421</v>
      </c>
      <c r="Q6558" s="0" t="str">
        <f aca="false">SUBSTITUTE(SUBSTITUTE($I6558,CHAR(61),""),CHAR(34),"")</f>
        <v>25-34</v>
      </c>
      <c r="R6558" s="0" t="str">
        <f aca="false">IF($D6558&lt;&gt;"","["&amp;$E6558&amp;"]"&amp;"|"&amp;$Q6558&amp;"|"&amp;$K6558&amp;"|"&amp;$G6558&amp;"|"&amp;IF($G6558="TX_CURR_SUBNAT.R","CY2022Q4",$M6558),"")</f>
        <v>[am530wpaGvr]|25-34|Female|PLHIV_Residents.T2|CY2025Q3</v>
      </c>
    </row>
    <row r="6559" customFormat="false" ht="15" hidden="false" customHeight="false" outlineLevel="0" collapsed="false">
      <c r="D6559" s="0" t="s">
        <v>72</v>
      </c>
      <c r="E6559" s="0" t="s">
        <v>73</v>
      </c>
      <c r="F6559" s="0" t="s">
        <v>74</v>
      </c>
      <c r="G6559" s="0" t="s">
        <v>171</v>
      </c>
      <c r="H6559" s="0" t="s">
        <v>172</v>
      </c>
      <c r="I6559" s="0" t="s">
        <v>43</v>
      </c>
      <c r="J6559" s="0" t="s">
        <v>44</v>
      </c>
      <c r="K6559" s="0" t="s">
        <v>30</v>
      </c>
      <c r="L6559" s="0" t="s">
        <v>31</v>
      </c>
      <c r="M6559" s="0" t="s">
        <v>173</v>
      </c>
      <c r="N6559" s="0" t="n">
        <v>1958</v>
      </c>
      <c r="O6559" s="10" t="n">
        <v>0.296547923702747</v>
      </c>
      <c r="P6559" s="10" t="n">
        <v>0.289728706935421</v>
      </c>
      <c r="Q6559" s="0" t="str">
        <f aca="false">SUBSTITUTE(SUBSTITUTE($I6559,CHAR(61),""),CHAR(34),"")</f>
        <v>35-49</v>
      </c>
      <c r="R6559" s="0" t="str">
        <f aca="false">IF($D6559&lt;&gt;"","["&amp;$E6559&amp;"]"&amp;"|"&amp;$Q6559&amp;"|"&amp;$K6559&amp;"|"&amp;$G6559&amp;"|"&amp;IF($G6559="TX_CURR_SUBNAT.R","CY2022Q4",$M6559),"")</f>
        <v>[am530wpaGvr]|35-49|Female|PLHIV_Residents.T2|CY2025Q3</v>
      </c>
    </row>
    <row r="6560" customFormat="false" ht="15" hidden="false" customHeight="false" outlineLevel="0" collapsed="false">
      <c r="D6560" s="0" t="s">
        <v>72</v>
      </c>
      <c r="E6560" s="0" t="s">
        <v>73</v>
      </c>
      <c r="F6560" s="0" t="s">
        <v>74</v>
      </c>
      <c r="G6560" s="0" t="s">
        <v>171</v>
      </c>
      <c r="H6560" s="0" t="s">
        <v>172</v>
      </c>
      <c r="I6560" s="0" t="s">
        <v>45</v>
      </c>
      <c r="J6560" s="0" t="s">
        <v>46</v>
      </c>
      <c r="K6560" s="0" t="s">
        <v>30</v>
      </c>
      <c r="L6560" s="0" t="s">
        <v>31</v>
      </c>
      <c r="M6560" s="0" t="s">
        <v>173</v>
      </c>
      <c r="N6560" s="0" t="n">
        <v>1131</v>
      </c>
      <c r="O6560" s="10" t="n">
        <v>0.264547413447872</v>
      </c>
      <c r="P6560" s="10" t="n">
        <v>0.289728706935421</v>
      </c>
      <c r="Q6560" s="0" t="str">
        <f aca="false">SUBSTITUTE(SUBSTITUTE($I6560,CHAR(61),""),CHAR(34),"")</f>
        <v>50+</v>
      </c>
      <c r="R6560" s="0" t="str">
        <f aca="false">IF($D6560&lt;&gt;"","["&amp;$E6560&amp;"]"&amp;"|"&amp;$Q6560&amp;"|"&amp;$K6560&amp;"|"&amp;$G6560&amp;"|"&amp;IF($G6560="TX_CURR_SUBNAT.R","CY2022Q4",$M6560),"")</f>
        <v>[am530wpaGvr]|50+|Female|PLHIV_Residents.T2|CY2025Q3</v>
      </c>
    </row>
    <row r="6561" customFormat="false" ht="15" hidden="false" customHeight="false" outlineLevel="0" collapsed="false">
      <c r="D6561" s="0" t="s">
        <v>72</v>
      </c>
      <c r="E6561" s="0" t="s">
        <v>73</v>
      </c>
      <c r="F6561" s="0" t="s">
        <v>74</v>
      </c>
      <c r="G6561" s="0" t="s">
        <v>171</v>
      </c>
      <c r="H6561" s="0" t="s">
        <v>172</v>
      </c>
      <c r="I6561" s="0" t="s">
        <v>28</v>
      </c>
      <c r="J6561" s="0" t="s">
        <v>29</v>
      </c>
      <c r="K6561" s="0" t="s">
        <v>48</v>
      </c>
      <c r="L6561" s="0" t="s">
        <v>49</v>
      </c>
      <c r="M6561" s="0" t="s">
        <v>173</v>
      </c>
      <c r="N6561" s="0" t="n">
        <v>1481</v>
      </c>
      <c r="O6561" s="10" t="n">
        <v>0.848602762212977</v>
      </c>
      <c r="P6561" s="10" t="n">
        <v>0.289728706935421</v>
      </c>
      <c r="Q6561" s="0" t="str">
        <f aca="false">SUBSTITUTE(SUBSTITUTE($I6561,CHAR(61),""),CHAR(34),"")</f>
        <v>&lt;01</v>
      </c>
      <c r="R6561" s="0" t="str">
        <f aca="false">IF($D6561&lt;&gt;"","["&amp;$E6561&amp;"]"&amp;"|"&amp;$Q6561&amp;"|"&amp;$K6561&amp;"|"&amp;$G6561&amp;"|"&amp;IF($G6561="TX_CURR_SUBNAT.R","CY2022Q4",$M6561),"")</f>
        <v>[am530wpaGvr]|&lt;01|Male|PLHIV_Residents.T2|CY2025Q3</v>
      </c>
    </row>
    <row r="6562" customFormat="false" ht="15" hidden="false" customHeight="false" outlineLevel="0" collapsed="false">
      <c r="D6562" s="0" t="s">
        <v>72</v>
      </c>
      <c r="E6562" s="0" t="s">
        <v>73</v>
      </c>
      <c r="F6562" s="0" t="s">
        <v>74</v>
      </c>
      <c r="G6562" s="0" t="s">
        <v>171</v>
      </c>
      <c r="H6562" s="0" t="s">
        <v>172</v>
      </c>
      <c r="I6562" s="0" t="s">
        <v>33</v>
      </c>
      <c r="J6562" s="0" t="s">
        <v>34</v>
      </c>
      <c r="K6562" s="0" t="s">
        <v>48</v>
      </c>
      <c r="L6562" s="0" t="s">
        <v>49</v>
      </c>
      <c r="M6562" s="0" t="s">
        <v>173</v>
      </c>
      <c r="N6562" s="0" t="n">
        <v>565</v>
      </c>
      <c r="O6562" s="10" t="n">
        <v>0.653219640254974</v>
      </c>
      <c r="P6562" s="10" t="n">
        <v>0.289728706935421</v>
      </c>
      <c r="Q6562" s="0" t="str">
        <f aca="false">SUBSTITUTE(SUBSTITUTE($I6562,CHAR(61),""),CHAR(34),"")</f>
        <v>01-09</v>
      </c>
      <c r="R6562" s="0" t="str">
        <f aca="false">IF($D6562&lt;&gt;"","["&amp;$E6562&amp;"]"&amp;"|"&amp;$Q6562&amp;"|"&amp;$K6562&amp;"|"&amp;$G6562&amp;"|"&amp;IF($G6562="TX_CURR_SUBNAT.R","CY2022Q4",$M6562),"")</f>
        <v>[am530wpaGvr]|01-09|Male|PLHIV_Residents.T2|CY2025Q3</v>
      </c>
    </row>
    <row r="6563" customFormat="false" ht="15" hidden="false" customHeight="false" outlineLevel="0" collapsed="false">
      <c r="D6563" s="0" t="s">
        <v>72</v>
      </c>
      <c r="E6563" s="0" t="s">
        <v>73</v>
      </c>
      <c r="F6563" s="0" t="s">
        <v>74</v>
      </c>
      <c r="G6563" s="0" t="s">
        <v>171</v>
      </c>
      <c r="H6563" s="0" t="s">
        <v>172</v>
      </c>
      <c r="I6563" s="0" t="s">
        <v>36</v>
      </c>
      <c r="J6563" s="0" t="s">
        <v>37</v>
      </c>
      <c r="K6563" s="0" t="s">
        <v>48</v>
      </c>
      <c r="L6563" s="0" t="s">
        <v>49</v>
      </c>
      <c r="M6563" s="0" t="s">
        <v>173</v>
      </c>
      <c r="N6563" s="0" t="n">
        <v>737</v>
      </c>
      <c r="O6563" s="10" t="n">
        <v>0.0153326066210866</v>
      </c>
      <c r="P6563" s="10" t="n">
        <v>0.289728706935421</v>
      </c>
      <c r="Q6563" s="0" t="str">
        <f aca="false">SUBSTITUTE(SUBSTITUTE($I6563,CHAR(61),""),CHAR(34),"")</f>
        <v>10-14</v>
      </c>
      <c r="R6563" s="0" t="str">
        <f aca="false">IF($D6563&lt;&gt;"","["&amp;$E6563&amp;"]"&amp;"|"&amp;$Q6563&amp;"|"&amp;$K6563&amp;"|"&amp;$G6563&amp;"|"&amp;IF($G6563="TX_CURR_SUBNAT.R","CY2022Q4",$M6563),"")</f>
        <v>[am530wpaGvr]|10-14|Male|PLHIV_Residents.T2|CY2025Q3</v>
      </c>
    </row>
    <row r="6564" customFormat="false" ht="15" hidden="false" customHeight="false" outlineLevel="0" collapsed="false">
      <c r="D6564" s="0" t="s">
        <v>72</v>
      </c>
      <c r="E6564" s="0" t="s">
        <v>73</v>
      </c>
      <c r="F6564" s="0" t="s">
        <v>74</v>
      </c>
      <c r="G6564" s="0" t="s">
        <v>171</v>
      </c>
      <c r="H6564" s="0" t="s">
        <v>172</v>
      </c>
      <c r="I6564" s="0" t="s">
        <v>38</v>
      </c>
      <c r="J6564" s="0" t="s">
        <v>39</v>
      </c>
      <c r="K6564" s="0" t="s">
        <v>48</v>
      </c>
      <c r="L6564" s="0" t="s">
        <v>49</v>
      </c>
      <c r="M6564" s="0" t="s">
        <v>173</v>
      </c>
      <c r="N6564" s="0" t="n">
        <v>944</v>
      </c>
      <c r="O6564" s="10" t="n">
        <v>0.589256364386529</v>
      </c>
      <c r="P6564" s="10" t="n">
        <v>0.289728706935421</v>
      </c>
      <c r="Q6564" s="0" t="str">
        <f aca="false">SUBSTITUTE(SUBSTITUTE($I6564,CHAR(61),""),CHAR(34),"")</f>
        <v>15-24</v>
      </c>
      <c r="R6564" s="0" t="str">
        <f aca="false">IF($D6564&lt;&gt;"","["&amp;$E6564&amp;"]"&amp;"|"&amp;$Q6564&amp;"|"&amp;$K6564&amp;"|"&amp;$G6564&amp;"|"&amp;IF($G6564="TX_CURR_SUBNAT.R","CY2022Q4",$M6564),"")</f>
        <v>[am530wpaGvr]|15-24|Male|PLHIV_Residents.T2|CY2025Q3</v>
      </c>
    </row>
    <row r="6565" customFormat="false" ht="15" hidden="false" customHeight="false" outlineLevel="0" collapsed="false">
      <c r="D6565" s="0" t="s">
        <v>72</v>
      </c>
      <c r="E6565" s="0" t="s">
        <v>73</v>
      </c>
      <c r="F6565" s="0" t="s">
        <v>74</v>
      </c>
      <c r="G6565" s="0" t="s">
        <v>171</v>
      </c>
      <c r="H6565" s="0" t="s">
        <v>172</v>
      </c>
      <c r="I6565" s="0" t="s">
        <v>41</v>
      </c>
      <c r="J6565" s="0" t="s">
        <v>42</v>
      </c>
      <c r="K6565" s="0" t="s">
        <v>48</v>
      </c>
      <c r="L6565" s="0" t="s">
        <v>49</v>
      </c>
      <c r="M6565" s="0" t="s">
        <v>173</v>
      </c>
      <c r="N6565" s="0" t="n">
        <v>846</v>
      </c>
      <c r="O6565" s="10" t="n">
        <v>0.697378354147077</v>
      </c>
      <c r="P6565" s="10" t="n">
        <v>0.289728706935421</v>
      </c>
      <c r="Q6565" s="0" t="str">
        <f aca="false">SUBSTITUTE(SUBSTITUTE($I6565,CHAR(61),""),CHAR(34),"")</f>
        <v>25-34</v>
      </c>
      <c r="R6565" s="0" t="str">
        <f aca="false">IF($D6565&lt;&gt;"","["&amp;$E6565&amp;"]"&amp;"|"&amp;$Q6565&amp;"|"&amp;$K6565&amp;"|"&amp;$G6565&amp;"|"&amp;IF($G6565="TX_CURR_SUBNAT.R","CY2022Q4",$M6565),"")</f>
        <v>[am530wpaGvr]|25-34|Male|PLHIV_Residents.T2|CY2025Q3</v>
      </c>
    </row>
    <row r="6566" customFormat="false" ht="15" hidden="false" customHeight="false" outlineLevel="0" collapsed="false">
      <c r="D6566" s="0" t="s">
        <v>72</v>
      </c>
      <c r="E6566" s="0" t="s">
        <v>73</v>
      </c>
      <c r="F6566" s="0" t="s">
        <v>74</v>
      </c>
      <c r="G6566" s="0" t="s">
        <v>171</v>
      </c>
      <c r="H6566" s="0" t="s">
        <v>172</v>
      </c>
      <c r="I6566" s="0" t="s">
        <v>43</v>
      </c>
      <c r="J6566" s="0" t="s">
        <v>44</v>
      </c>
      <c r="K6566" s="0" t="s">
        <v>48</v>
      </c>
      <c r="L6566" s="0" t="s">
        <v>49</v>
      </c>
      <c r="M6566" s="0" t="s">
        <v>173</v>
      </c>
      <c r="N6566" s="0" t="n">
        <v>1518</v>
      </c>
      <c r="O6566" s="10" t="n">
        <v>0.223218065686524</v>
      </c>
      <c r="P6566" s="10" t="n">
        <v>0.289728706935421</v>
      </c>
      <c r="Q6566" s="0" t="str">
        <f aca="false">SUBSTITUTE(SUBSTITUTE($I6566,CHAR(61),""),CHAR(34),"")</f>
        <v>35-49</v>
      </c>
      <c r="R6566" s="0" t="str">
        <f aca="false">IF($D6566&lt;&gt;"","["&amp;$E6566&amp;"]"&amp;"|"&amp;$Q6566&amp;"|"&amp;$K6566&amp;"|"&amp;$G6566&amp;"|"&amp;IF($G6566="TX_CURR_SUBNAT.R","CY2022Q4",$M6566),"")</f>
        <v>[am530wpaGvr]|35-49|Male|PLHIV_Residents.T2|CY2025Q3</v>
      </c>
    </row>
    <row r="6567" customFormat="false" ht="15" hidden="false" customHeight="false" outlineLevel="0" collapsed="false">
      <c r="D6567" s="0" t="s">
        <v>72</v>
      </c>
      <c r="E6567" s="0" t="s">
        <v>73</v>
      </c>
      <c r="F6567" s="0" t="s">
        <v>74</v>
      </c>
      <c r="G6567" s="0" t="s">
        <v>171</v>
      </c>
      <c r="H6567" s="0" t="s">
        <v>172</v>
      </c>
      <c r="I6567" s="0" t="s">
        <v>45</v>
      </c>
      <c r="J6567" s="0" t="s">
        <v>46</v>
      </c>
      <c r="K6567" s="0" t="s">
        <v>48</v>
      </c>
      <c r="L6567" s="0" t="s">
        <v>49</v>
      </c>
      <c r="M6567" s="0" t="s">
        <v>173</v>
      </c>
      <c r="N6567" s="0" t="n">
        <v>1606</v>
      </c>
      <c r="O6567" s="10" t="n">
        <v>0.716132990084589</v>
      </c>
      <c r="P6567" s="10" t="n">
        <v>0.289728706935421</v>
      </c>
      <c r="Q6567" s="0" t="str">
        <f aca="false">SUBSTITUTE(SUBSTITUTE($I6567,CHAR(61),""),CHAR(34),"")</f>
        <v>50+</v>
      </c>
      <c r="R6567" s="0" t="str">
        <f aca="false">IF($D6567&lt;&gt;"","["&amp;$E6567&amp;"]"&amp;"|"&amp;$Q6567&amp;"|"&amp;$K6567&amp;"|"&amp;$G6567&amp;"|"&amp;IF($G6567="TX_CURR_SUBNAT.R","CY2022Q4",$M6567),"")</f>
        <v>[am530wpaGvr]|50+|Male|PLHIV_Residents.T2|CY2025Q3</v>
      </c>
    </row>
    <row r="6568" customFormat="false" ht="15" hidden="false" customHeight="false" outlineLevel="0" collapsed="false">
      <c r="D6568" s="0" t="s">
        <v>75</v>
      </c>
      <c r="E6568" s="0" t="s">
        <v>76</v>
      </c>
      <c r="F6568" s="0" t="s">
        <v>77</v>
      </c>
      <c r="G6568" s="0" t="s">
        <v>171</v>
      </c>
      <c r="H6568" s="0" t="s">
        <v>172</v>
      </c>
      <c r="I6568" s="0" t="s">
        <v>28</v>
      </c>
      <c r="J6568" s="0" t="s">
        <v>29</v>
      </c>
      <c r="K6568" s="0" t="s">
        <v>30</v>
      </c>
      <c r="L6568" s="0" t="s">
        <v>31</v>
      </c>
      <c r="M6568" s="0" t="s">
        <v>173</v>
      </c>
      <c r="N6568" s="0" t="n">
        <v>1151</v>
      </c>
      <c r="O6568" s="10" t="n">
        <v>0.621998857706785</v>
      </c>
      <c r="P6568" s="10" t="n">
        <v>0.303055507596582</v>
      </c>
      <c r="Q6568" s="0" t="str">
        <f aca="false">SUBSTITUTE(SUBSTITUTE($I6568,CHAR(61),""),CHAR(34),"")</f>
        <v>&lt;01</v>
      </c>
      <c r="R6568" s="0" t="str">
        <f aca="false">IF($D6568&lt;&gt;"","["&amp;$E6568&amp;"]"&amp;"|"&amp;$Q6568&amp;"|"&amp;$K6568&amp;"|"&amp;$G6568&amp;"|"&amp;IF($G6568="TX_CURR_SUBNAT.R","CY2022Q4",$M6568),"")</f>
        <v>[lLDyBx5XyUi]|&lt;01|Female|PLHIV_Residents.T2|CY2025Q3</v>
      </c>
    </row>
    <row r="6569" customFormat="false" ht="15" hidden="false" customHeight="false" outlineLevel="0" collapsed="false">
      <c r="D6569" s="0" t="s">
        <v>75</v>
      </c>
      <c r="E6569" s="0" t="s">
        <v>76</v>
      </c>
      <c r="F6569" s="0" t="s">
        <v>77</v>
      </c>
      <c r="G6569" s="0" t="s">
        <v>171</v>
      </c>
      <c r="H6569" s="0" t="s">
        <v>172</v>
      </c>
      <c r="I6569" s="0" t="s">
        <v>33</v>
      </c>
      <c r="J6569" s="0" t="s">
        <v>34</v>
      </c>
      <c r="K6569" s="0" t="s">
        <v>30</v>
      </c>
      <c r="L6569" s="0" t="s">
        <v>31</v>
      </c>
      <c r="M6569" s="0" t="s">
        <v>173</v>
      </c>
      <c r="N6569" s="0" t="n">
        <v>1609</v>
      </c>
      <c r="O6569" s="10" t="n">
        <v>0.548202248988673</v>
      </c>
      <c r="P6569" s="10" t="n">
        <v>0.303055507596582</v>
      </c>
      <c r="Q6569" s="0" t="str">
        <f aca="false">SUBSTITUTE(SUBSTITUTE($I6569,CHAR(61),""),CHAR(34),"")</f>
        <v>01-09</v>
      </c>
      <c r="R6569" s="0" t="str">
        <f aca="false">IF($D6569&lt;&gt;"","["&amp;$E6569&amp;"]"&amp;"|"&amp;$Q6569&amp;"|"&amp;$K6569&amp;"|"&amp;$G6569&amp;"|"&amp;IF($G6569="TX_CURR_SUBNAT.R","CY2022Q4",$M6569),"")</f>
        <v>[lLDyBx5XyUi]|01-09|Female|PLHIV_Residents.T2|CY2025Q3</v>
      </c>
    </row>
    <row r="6570" customFormat="false" ht="15" hidden="false" customHeight="false" outlineLevel="0" collapsed="false">
      <c r="D6570" s="0" t="s">
        <v>75</v>
      </c>
      <c r="E6570" s="0" t="s">
        <v>76</v>
      </c>
      <c r="F6570" s="0" t="s">
        <v>77</v>
      </c>
      <c r="G6570" s="0" t="s">
        <v>171</v>
      </c>
      <c r="H6570" s="0" t="s">
        <v>172</v>
      </c>
      <c r="I6570" s="0" t="s">
        <v>36</v>
      </c>
      <c r="J6570" s="0" t="s">
        <v>37</v>
      </c>
      <c r="K6570" s="0" t="s">
        <v>30</v>
      </c>
      <c r="L6570" s="0" t="s">
        <v>31</v>
      </c>
      <c r="M6570" s="0" t="s">
        <v>173</v>
      </c>
      <c r="N6570" s="0" t="n">
        <v>1330</v>
      </c>
      <c r="O6570" s="10" t="n">
        <v>0.515168925048783</v>
      </c>
      <c r="P6570" s="10" t="n">
        <v>0.303055507596582</v>
      </c>
      <c r="Q6570" s="0" t="str">
        <f aca="false">SUBSTITUTE(SUBSTITUTE($I6570,CHAR(61),""),CHAR(34),"")</f>
        <v>10-14</v>
      </c>
      <c r="R6570" s="0" t="str">
        <f aca="false">IF($D6570&lt;&gt;"","["&amp;$E6570&amp;"]"&amp;"|"&amp;$Q6570&amp;"|"&amp;$K6570&amp;"|"&amp;$G6570&amp;"|"&amp;IF($G6570="TX_CURR_SUBNAT.R","CY2022Q4",$M6570),"")</f>
        <v>[lLDyBx5XyUi]|10-14|Female|PLHIV_Residents.T2|CY2025Q3</v>
      </c>
    </row>
    <row r="6571" customFormat="false" ht="15" hidden="false" customHeight="false" outlineLevel="0" collapsed="false">
      <c r="D6571" s="0" t="s">
        <v>75</v>
      </c>
      <c r="E6571" s="0" t="s">
        <v>76</v>
      </c>
      <c r="F6571" s="0" t="s">
        <v>77</v>
      </c>
      <c r="G6571" s="0" t="s">
        <v>171</v>
      </c>
      <c r="H6571" s="0" t="s">
        <v>172</v>
      </c>
      <c r="I6571" s="0" t="s">
        <v>38</v>
      </c>
      <c r="J6571" s="0" t="s">
        <v>39</v>
      </c>
      <c r="K6571" s="0" t="s">
        <v>30</v>
      </c>
      <c r="L6571" s="0" t="s">
        <v>31</v>
      </c>
      <c r="M6571" s="0" t="s">
        <v>173</v>
      </c>
      <c r="N6571" s="0" t="n">
        <v>663</v>
      </c>
      <c r="O6571" s="10" t="n">
        <v>0.130375393666327</v>
      </c>
      <c r="P6571" s="10" t="n">
        <v>0.303055507596582</v>
      </c>
      <c r="Q6571" s="0" t="str">
        <f aca="false">SUBSTITUTE(SUBSTITUTE($I6571,CHAR(61),""),CHAR(34),"")</f>
        <v>15-24</v>
      </c>
      <c r="R6571" s="0" t="str">
        <f aca="false">IF($D6571&lt;&gt;"","["&amp;$E6571&amp;"]"&amp;"|"&amp;$Q6571&amp;"|"&amp;$K6571&amp;"|"&amp;$G6571&amp;"|"&amp;IF($G6571="TX_CURR_SUBNAT.R","CY2022Q4",$M6571),"")</f>
        <v>[lLDyBx5XyUi]|15-24|Female|PLHIV_Residents.T2|CY2025Q3</v>
      </c>
    </row>
    <row r="6572" customFormat="false" ht="15" hidden="false" customHeight="false" outlineLevel="0" collapsed="false">
      <c r="D6572" s="0" t="s">
        <v>75</v>
      </c>
      <c r="E6572" s="0" t="s">
        <v>76</v>
      </c>
      <c r="F6572" s="0" t="s">
        <v>77</v>
      </c>
      <c r="G6572" s="0" t="s">
        <v>171</v>
      </c>
      <c r="H6572" s="0" t="s">
        <v>172</v>
      </c>
      <c r="I6572" s="0" t="s">
        <v>41</v>
      </c>
      <c r="J6572" s="0" t="s">
        <v>42</v>
      </c>
      <c r="K6572" s="0" t="s">
        <v>30</v>
      </c>
      <c r="L6572" s="0" t="s">
        <v>31</v>
      </c>
      <c r="M6572" s="0" t="s">
        <v>173</v>
      </c>
      <c r="N6572" s="0" t="n">
        <v>1988</v>
      </c>
      <c r="O6572" s="10" t="n">
        <v>0.42016400094144</v>
      </c>
      <c r="P6572" s="10" t="n">
        <v>0.303055507596582</v>
      </c>
      <c r="Q6572" s="0" t="str">
        <f aca="false">SUBSTITUTE(SUBSTITUTE($I6572,CHAR(61),""),CHAR(34),"")</f>
        <v>25-34</v>
      </c>
      <c r="R6572" s="0" t="str">
        <f aca="false">IF($D6572&lt;&gt;"","["&amp;$E6572&amp;"]"&amp;"|"&amp;$Q6572&amp;"|"&amp;$K6572&amp;"|"&amp;$G6572&amp;"|"&amp;IF($G6572="TX_CURR_SUBNAT.R","CY2022Q4",$M6572),"")</f>
        <v>[lLDyBx5XyUi]|25-34|Female|PLHIV_Residents.T2|CY2025Q3</v>
      </c>
    </row>
    <row r="6573" customFormat="false" ht="15" hidden="false" customHeight="false" outlineLevel="0" collapsed="false">
      <c r="D6573" s="0" t="s">
        <v>75</v>
      </c>
      <c r="E6573" s="0" t="s">
        <v>76</v>
      </c>
      <c r="F6573" s="0" t="s">
        <v>77</v>
      </c>
      <c r="G6573" s="0" t="s">
        <v>171</v>
      </c>
      <c r="H6573" s="0" t="s">
        <v>172</v>
      </c>
      <c r="I6573" s="0" t="s">
        <v>43</v>
      </c>
      <c r="J6573" s="0" t="s">
        <v>44</v>
      </c>
      <c r="K6573" s="0" t="s">
        <v>30</v>
      </c>
      <c r="L6573" s="0" t="s">
        <v>31</v>
      </c>
      <c r="M6573" s="0" t="s">
        <v>173</v>
      </c>
      <c r="N6573" s="0" t="n">
        <v>1277</v>
      </c>
      <c r="O6573" s="10" t="n">
        <v>0.570256381295621</v>
      </c>
      <c r="P6573" s="10" t="n">
        <v>0.303055507596582</v>
      </c>
      <c r="Q6573" s="0" t="str">
        <f aca="false">SUBSTITUTE(SUBSTITUTE($I6573,CHAR(61),""),CHAR(34),"")</f>
        <v>35-49</v>
      </c>
      <c r="R6573" s="0" t="str">
        <f aca="false">IF($D6573&lt;&gt;"","["&amp;$E6573&amp;"]"&amp;"|"&amp;$Q6573&amp;"|"&amp;$K6573&amp;"|"&amp;$G6573&amp;"|"&amp;IF($G6573="TX_CURR_SUBNAT.R","CY2022Q4",$M6573),"")</f>
        <v>[lLDyBx5XyUi]|35-49|Female|PLHIV_Residents.T2|CY2025Q3</v>
      </c>
    </row>
    <row r="6574" customFormat="false" ht="15" hidden="false" customHeight="false" outlineLevel="0" collapsed="false">
      <c r="D6574" s="0" t="s">
        <v>75</v>
      </c>
      <c r="E6574" s="0" t="s">
        <v>76</v>
      </c>
      <c r="F6574" s="0" t="s">
        <v>77</v>
      </c>
      <c r="G6574" s="0" t="s">
        <v>171</v>
      </c>
      <c r="H6574" s="0" t="s">
        <v>172</v>
      </c>
      <c r="I6574" s="0" t="s">
        <v>45</v>
      </c>
      <c r="J6574" s="0" t="s">
        <v>46</v>
      </c>
      <c r="K6574" s="0" t="s">
        <v>30</v>
      </c>
      <c r="L6574" s="0" t="s">
        <v>31</v>
      </c>
      <c r="M6574" s="0" t="s">
        <v>173</v>
      </c>
      <c r="N6574" s="0" t="n">
        <v>1924</v>
      </c>
      <c r="O6574" s="10" t="n">
        <v>0.55416918755509</v>
      </c>
      <c r="P6574" s="10" t="n">
        <v>0.303055507596582</v>
      </c>
      <c r="Q6574" s="0" t="str">
        <f aca="false">SUBSTITUTE(SUBSTITUTE($I6574,CHAR(61),""),CHAR(34),"")</f>
        <v>50+</v>
      </c>
      <c r="R6574" s="0" t="str">
        <f aca="false">IF($D6574&lt;&gt;"","["&amp;$E6574&amp;"]"&amp;"|"&amp;$Q6574&amp;"|"&amp;$K6574&amp;"|"&amp;$G6574&amp;"|"&amp;IF($G6574="TX_CURR_SUBNAT.R","CY2022Q4",$M6574),"")</f>
        <v>[lLDyBx5XyUi]|50+|Female|PLHIV_Residents.T2|CY2025Q3</v>
      </c>
    </row>
    <row r="6575" customFormat="false" ht="15" hidden="false" customHeight="false" outlineLevel="0" collapsed="false">
      <c r="D6575" s="0" t="s">
        <v>75</v>
      </c>
      <c r="E6575" s="0" t="s">
        <v>76</v>
      </c>
      <c r="F6575" s="0" t="s">
        <v>77</v>
      </c>
      <c r="G6575" s="0" t="s">
        <v>171</v>
      </c>
      <c r="H6575" s="0" t="s">
        <v>172</v>
      </c>
      <c r="I6575" s="0" t="s">
        <v>28</v>
      </c>
      <c r="J6575" s="0" t="s">
        <v>29</v>
      </c>
      <c r="K6575" s="0" t="s">
        <v>48</v>
      </c>
      <c r="L6575" s="0" t="s">
        <v>49</v>
      </c>
      <c r="M6575" s="0" t="s">
        <v>173</v>
      </c>
      <c r="N6575" s="0" t="n">
        <v>1400</v>
      </c>
      <c r="O6575" s="10" t="n">
        <v>0.815090799937025</v>
      </c>
      <c r="P6575" s="10" t="n">
        <v>0.303055507596582</v>
      </c>
      <c r="Q6575" s="0" t="str">
        <f aca="false">SUBSTITUTE(SUBSTITUTE($I6575,CHAR(61),""),CHAR(34),"")</f>
        <v>&lt;01</v>
      </c>
      <c r="R6575" s="0" t="str">
        <f aca="false">IF($D6575&lt;&gt;"","["&amp;$E6575&amp;"]"&amp;"|"&amp;$Q6575&amp;"|"&amp;$K6575&amp;"|"&amp;$G6575&amp;"|"&amp;IF($G6575="TX_CURR_SUBNAT.R","CY2022Q4",$M6575),"")</f>
        <v>[lLDyBx5XyUi]|&lt;01|Male|PLHIV_Residents.T2|CY2025Q3</v>
      </c>
    </row>
    <row r="6576" customFormat="false" ht="15" hidden="false" customHeight="false" outlineLevel="0" collapsed="false">
      <c r="D6576" s="0" t="s">
        <v>75</v>
      </c>
      <c r="E6576" s="0" t="s">
        <v>76</v>
      </c>
      <c r="F6576" s="0" t="s">
        <v>77</v>
      </c>
      <c r="G6576" s="0" t="s">
        <v>171</v>
      </c>
      <c r="H6576" s="0" t="s">
        <v>172</v>
      </c>
      <c r="I6576" s="0" t="s">
        <v>33</v>
      </c>
      <c r="J6576" s="0" t="s">
        <v>34</v>
      </c>
      <c r="K6576" s="0" t="s">
        <v>48</v>
      </c>
      <c r="L6576" s="0" t="s">
        <v>49</v>
      </c>
      <c r="M6576" s="0" t="s">
        <v>173</v>
      </c>
      <c r="N6576" s="0" t="n">
        <v>1315</v>
      </c>
      <c r="O6576" s="10" t="n">
        <v>0.126913944259286</v>
      </c>
      <c r="P6576" s="10" t="n">
        <v>0.303055507596582</v>
      </c>
      <c r="Q6576" s="0" t="str">
        <f aca="false">SUBSTITUTE(SUBSTITUTE($I6576,CHAR(61),""),CHAR(34),"")</f>
        <v>01-09</v>
      </c>
      <c r="R6576" s="0" t="str">
        <f aca="false">IF($D6576&lt;&gt;"","["&amp;$E6576&amp;"]"&amp;"|"&amp;$Q6576&amp;"|"&amp;$K6576&amp;"|"&amp;$G6576&amp;"|"&amp;IF($G6576="TX_CURR_SUBNAT.R","CY2022Q4",$M6576),"")</f>
        <v>[lLDyBx5XyUi]|01-09|Male|PLHIV_Residents.T2|CY2025Q3</v>
      </c>
    </row>
    <row r="6577" customFormat="false" ht="15" hidden="false" customHeight="false" outlineLevel="0" collapsed="false">
      <c r="D6577" s="0" t="s">
        <v>75</v>
      </c>
      <c r="E6577" s="0" t="s">
        <v>76</v>
      </c>
      <c r="F6577" s="0" t="s">
        <v>77</v>
      </c>
      <c r="G6577" s="0" t="s">
        <v>171</v>
      </c>
      <c r="H6577" s="0" t="s">
        <v>172</v>
      </c>
      <c r="I6577" s="0" t="s">
        <v>36</v>
      </c>
      <c r="J6577" s="0" t="s">
        <v>37</v>
      </c>
      <c r="K6577" s="0" t="s">
        <v>48</v>
      </c>
      <c r="L6577" s="0" t="s">
        <v>49</v>
      </c>
      <c r="M6577" s="0" t="s">
        <v>173</v>
      </c>
      <c r="N6577" s="0" t="n">
        <v>1665</v>
      </c>
      <c r="O6577" s="10" t="n">
        <v>0.706839105812833</v>
      </c>
      <c r="P6577" s="10" t="n">
        <v>0.303055507596582</v>
      </c>
      <c r="Q6577" s="0" t="str">
        <f aca="false">SUBSTITUTE(SUBSTITUTE($I6577,CHAR(61),""),CHAR(34),"")</f>
        <v>10-14</v>
      </c>
      <c r="R6577" s="0" t="str">
        <f aca="false">IF($D6577&lt;&gt;"","["&amp;$E6577&amp;"]"&amp;"|"&amp;$Q6577&amp;"|"&amp;$K6577&amp;"|"&amp;$G6577&amp;"|"&amp;IF($G6577="TX_CURR_SUBNAT.R","CY2022Q4",$M6577),"")</f>
        <v>[lLDyBx5XyUi]|10-14|Male|PLHIV_Residents.T2|CY2025Q3</v>
      </c>
    </row>
    <row r="6578" customFormat="false" ht="15" hidden="false" customHeight="false" outlineLevel="0" collapsed="false">
      <c r="D6578" s="0" t="s">
        <v>75</v>
      </c>
      <c r="E6578" s="0" t="s">
        <v>76</v>
      </c>
      <c r="F6578" s="0" t="s">
        <v>77</v>
      </c>
      <c r="G6578" s="0" t="s">
        <v>171</v>
      </c>
      <c r="H6578" s="0" t="s">
        <v>172</v>
      </c>
      <c r="I6578" s="0" t="s">
        <v>38</v>
      </c>
      <c r="J6578" s="0" t="s">
        <v>39</v>
      </c>
      <c r="K6578" s="0" t="s">
        <v>48</v>
      </c>
      <c r="L6578" s="0" t="s">
        <v>49</v>
      </c>
      <c r="M6578" s="0" t="s">
        <v>173</v>
      </c>
      <c r="N6578" s="0" t="n">
        <v>1205</v>
      </c>
      <c r="O6578" s="10" t="n">
        <v>0.0692889494821429</v>
      </c>
      <c r="P6578" s="10" t="n">
        <v>0.303055507596582</v>
      </c>
      <c r="Q6578" s="0" t="str">
        <f aca="false">SUBSTITUTE(SUBSTITUTE($I6578,CHAR(61),""),CHAR(34),"")</f>
        <v>15-24</v>
      </c>
      <c r="R6578" s="0" t="str">
        <f aca="false">IF($D6578&lt;&gt;"","["&amp;$E6578&amp;"]"&amp;"|"&amp;$Q6578&amp;"|"&amp;$K6578&amp;"|"&amp;$G6578&amp;"|"&amp;IF($G6578="TX_CURR_SUBNAT.R","CY2022Q4",$M6578),"")</f>
        <v>[lLDyBx5XyUi]|15-24|Male|PLHIV_Residents.T2|CY2025Q3</v>
      </c>
    </row>
    <row r="6579" customFormat="false" ht="15" hidden="false" customHeight="false" outlineLevel="0" collapsed="false">
      <c r="D6579" s="0" t="s">
        <v>75</v>
      </c>
      <c r="E6579" s="0" t="s">
        <v>76</v>
      </c>
      <c r="F6579" s="0" t="s">
        <v>77</v>
      </c>
      <c r="G6579" s="0" t="s">
        <v>171</v>
      </c>
      <c r="H6579" s="0" t="s">
        <v>172</v>
      </c>
      <c r="I6579" s="0" t="s">
        <v>41</v>
      </c>
      <c r="J6579" s="0" t="s">
        <v>42</v>
      </c>
      <c r="K6579" s="0" t="s">
        <v>48</v>
      </c>
      <c r="L6579" s="0" t="s">
        <v>49</v>
      </c>
      <c r="M6579" s="0" t="s">
        <v>173</v>
      </c>
      <c r="N6579" s="0" t="n">
        <v>1970</v>
      </c>
      <c r="O6579" s="10" t="n">
        <v>0.659552924800664</v>
      </c>
      <c r="P6579" s="10" t="n">
        <v>0.303055507596582</v>
      </c>
      <c r="Q6579" s="0" t="str">
        <f aca="false">SUBSTITUTE(SUBSTITUTE($I6579,CHAR(61),""),CHAR(34),"")</f>
        <v>25-34</v>
      </c>
      <c r="R6579" s="0" t="str">
        <f aca="false">IF($D6579&lt;&gt;"","["&amp;$E6579&amp;"]"&amp;"|"&amp;$Q6579&amp;"|"&amp;$K6579&amp;"|"&amp;$G6579&amp;"|"&amp;IF($G6579="TX_CURR_SUBNAT.R","CY2022Q4",$M6579),"")</f>
        <v>[lLDyBx5XyUi]|25-34|Male|PLHIV_Residents.T2|CY2025Q3</v>
      </c>
    </row>
    <row r="6580" customFormat="false" ht="15" hidden="false" customHeight="false" outlineLevel="0" collapsed="false">
      <c r="D6580" s="0" t="s">
        <v>75</v>
      </c>
      <c r="E6580" s="0" t="s">
        <v>76</v>
      </c>
      <c r="F6580" s="0" t="s">
        <v>77</v>
      </c>
      <c r="G6580" s="0" t="s">
        <v>171</v>
      </c>
      <c r="H6580" s="0" t="s">
        <v>172</v>
      </c>
      <c r="I6580" s="0" t="s">
        <v>43</v>
      </c>
      <c r="J6580" s="0" t="s">
        <v>44</v>
      </c>
      <c r="K6580" s="0" t="s">
        <v>48</v>
      </c>
      <c r="L6580" s="0" t="s">
        <v>49</v>
      </c>
      <c r="M6580" s="0" t="s">
        <v>173</v>
      </c>
      <c r="N6580" s="0" t="n">
        <v>1602</v>
      </c>
      <c r="O6580" s="10" t="n">
        <v>0.437448876909912</v>
      </c>
      <c r="P6580" s="10" t="n">
        <v>0.303055507596582</v>
      </c>
      <c r="Q6580" s="0" t="str">
        <f aca="false">SUBSTITUTE(SUBSTITUTE($I6580,CHAR(61),""),CHAR(34),"")</f>
        <v>35-49</v>
      </c>
      <c r="R6580" s="0" t="str">
        <f aca="false">IF($D6580&lt;&gt;"","["&amp;$E6580&amp;"]"&amp;"|"&amp;$Q6580&amp;"|"&amp;$K6580&amp;"|"&amp;$G6580&amp;"|"&amp;IF($G6580="TX_CURR_SUBNAT.R","CY2022Q4",$M6580),"")</f>
        <v>[lLDyBx5XyUi]|35-49|Male|PLHIV_Residents.T2|CY2025Q3</v>
      </c>
    </row>
    <row r="6581" customFormat="false" ht="15" hidden="false" customHeight="false" outlineLevel="0" collapsed="false">
      <c r="D6581" s="0" t="s">
        <v>75</v>
      </c>
      <c r="E6581" s="0" t="s">
        <v>76</v>
      </c>
      <c r="F6581" s="0" t="s">
        <v>77</v>
      </c>
      <c r="G6581" s="0" t="s">
        <v>171</v>
      </c>
      <c r="H6581" s="0" t="s">
        <v>172</v>
      </c>
      <c r="I6581" s="0" t="s">
        <v>45</v>
      </c>
      <c r="J6581" s="0" t="s">
        <v>46</v>
      </c>
      <c r="K6581" s="0" t="s">
        <v>48</v>
      </c>
      <c r="L6581" s="0" t="s">
        <v>49</v>
      </c>
      <c r="M6581" s="0" t="s">
        <v>173</v>
      </c>
      <c r="N6581" s="0" t="n">
        <v>1917</v>
      </c>
      <c r="O6581" s="10" t="n">
        <v>0.958934060530737</v>
      </c>
      <c r="P6581" s="10" t="n">
        <v>0.303055507596582</v>
      </c>
      <c r="Q6581" s="0" t="str">
        <f aca="false">SUBSTITUTE(SUBSTITUTE($I6581,CHAR(61),""),CHAR(34),"")</f>
        <v>50+</v>
      </c>
      <c r="R6581" s="0" t="str">
        <f aca="false">IF($D6581&lt;&gt;"","["&amp;$E6581&amp;"]"&amp;"|"&amp;$Q6581&amp;"|"&amp;$K6581&amp;"|"&amp;$G6581&amp;"|"&amp;IF($G6581="TX_CURR_SUBNAT.R","CY2022Q4",$M6581),"")</f>
        <v>[lLDyBx5XyUi]|50+|Male|PLHIV_Residents.T2|CY2025Q3</v>
      </c>
    </row>
    <row r="6582" customFormat="false" ht="15" hidden="false" customHeight="false" outlineLevel="0" collapsed="false">
      <c r="D6582" s="0" t="s">
        <v>78</v>
      </c>
      <c r="E6582" s="0" t="s">
        <v>79</v>
      </c>
      <c r="F6582" s="0" t="s">
        <v>80</v>
      </c>
      <c r="G6582" s="0" t="s">
        <v>171</v>
      </c>
      <c r="H6582" s="0" t="s">
        <v>172</v>
      </c>
      <c r="I6582" s="0" t="s">
        <v>28</v>
      </c>
      <c r="J6582" s="0" t="s">
        <v>29</v>
      </c>
      <c r="K6582" s="0" t="s">
        <v>30</v>
      </c>
      <c r="L6582" s="0" t="s">
        <v>31</v>
      </c>
      <c r="M6582" s="0" t="s">
        <v>173</v>
      </c>
      <c r="N6582" s="0" t="n">
        <v>1907</v>
      </c>
      <c r="O6582" s="10" t="n">
        <v>0.920229007257149</v>
      </c>
      <c r="P6582" s="10" t="n">
        <v>0.831597982207313</v>
      </c>
      <c r="Q6582" s="0" t="str">
        <f aca="false">SUBSTITUTE(SUBSTITUTE($I6582,CHAR(61),""),CHAR(34),"")</f>
        <v>&lt;01</v>
      </c>
      <c r="R6582" s="0" t="str">
        <f aca="false">IF($D6582&lt;&gt;"","["&amp;$E6582&amp;"]"&amp;"|"&amp;$Q6582&amp;"|"&amp;$K6582&amp;"|"&amp;$G6582&amp;"|"&amp;IF($G6582="TX_CURR_SUBNAT.R","CY2022Q4",$M6582),"")</f>
        <v>[TYnMSwzko3z]|&lt;01|Female|PLHIV_Residents.T2|CY2025Q3</v>
      </c>
    </row>
    <row r="6583" customFormat="false" ht="15" hidden="false" customHeight="false" outlineLevel="0" collapsed="false">
      <c r="D6583" s="0" t="s">
        <v>78</v>
      </c>
      <c r="E6583" s="0" t="s">
        <v>79</v>
      </c>
      <c r="F6583" s="0" t="s">
        <v>80</v>
      </c>
      <c r="G6583" s="0" t="s">
        <v>171</v>
      </c>
      <c r="H6583" s="0" t="s">
        <v>172</v>
      </c>
      <c r="I6583" s="0" t="s">
        <v>33</v>
      </c>
      <c r="J6583" s="0" t="s">
        <v>34</v>
      </c>
      <c r="K6583" s="0" t="s">
        <v>30</v>
      </c>
      <c r="L6583" s="0" t="s">
        <v>31</v>
      </c>
      <c r="M6583" s="0" t="s">
        <v>173</v>
      </c>
      <c r="N6583" s="0" t="n">
        <v>724</v>
      </c>
      <c r="O6583" s="10" t="n">
        <v>0.720534202177078</v>
      </c>
      <c r="P6583" s="10" t="n">
        <v>0.831597982207313</v>
      </c>
      <c r="Q6583" s="0" t="str">
        <f aca="false">SUBSTITUTE(SUBSTITUTE($I6583,CHAR(61),""),CHAR(34),"")</f>
        <v>01-09</v>
      </c>
      <c r="R6583" s="0" t="str">
        <f aca="false">IF($D6583&lt;&gt;"","["&amp;$E6583&amp;"]"&amp;"|"&amp;$Q6583&amp;"|"&amp;$K6583&amp;"|"&amp;$G6583&amp;"|"&amp;IF($G6583="TX_CURR_SUBNAT.R","CY2022Q4",$M6583),"")</f>
        <v>[TYnMSwzko3z]|01-09|Female|PLHIV_Residents.T2|CY2025Q3</v>
      </c>
    </row>
    <row r="6584" customFormat="false" ht="15" hidden="false" customHeight="false" outlineLevel="0" collapsed="false">
      <c r="D6584" s="0" t="s">
        <v>78</v>
      </c>
      <c r="E6584" s="0" t="s">
        <v>79</v>
      </c>
      <c r="F6584" s="0" t="s">
        <v>80</v>
      </c>
      <c r="G6584" s="0" t="s">
        <v>171</v>
      </c>
      <c r="H6584" s="0" t="s">
        <v>172</v>
      </c>
      <c r="I6584" s="0" t="s">
        <v>36</v>
      </c>
      <c r="J6584" s="0" t="s">
        <v>37</v>
      </c>
      <c r="K6584" s="0" t="s">
        <v>30</v>
      </c>
      <c r="L6584" s="0" t="s">
        <v>31</v>
      </c>
      <c r="M6584" s="0" t="s">
        <v>173</v>
      </c>
      <c r="N6584" s="0" t="n">
        <v>1039</v>
      </c>
      <c r="O6584" s="10" t="n">
        <v>0.116421210113913</v>
      </c>
      <c r="P6584" s="10" t="n">
        <v>0.831597982207313</v>
      </c>
      <c r="Q6584" s="0" t="str">
        <f aca="false">SUBSTITUTE(SUBSTITUTE($I6584,CHAR(61),""),CHAR(34),"")</f>
        <v>10-14</v>
      </c>
      <c r="R6584" s="0" t="str">
        <f aca="false">IF($D6584&lt;&gt;"","["&amp;$E6584&amp;"]"&amp;"|"&amp;$Q6584&amp;"|"&amp;$K6584&amp;"|"&amp;$G6584&amp;"|"&amp;IF($G6584="TX_CURR_SUBNAT.R","CY2022Q4",$M6584),"")</f>
        <v>[TYnMSwzko3z]|10-14|Female|PLHIV_Residents.T2|CY2025Q3</v>
      </c>
    </row>
    <row r="6585" customFormat="false" ht="15" hidden="false" customHeight="false" outlineLevel="0" collapsed="false">
      <c r="D6585" s="0" t="s">
        <v>78</v>
      </c>
      <c r="E6585" s="0" t="s">
        <v>79</v>
      </c>
      <c r="F6585" s="0" t="s">
        <v>80</v>
      </c>
      <c r="G6585" s="0" t="s">
        <v>171</v>
      </c>
      <c r="H6585" s="0" t="s">
        <v>172</v>
      </c>
      <c r="I6585" s="0" t="s">
        <v>38</v>
      </c>
      <c r="J6585" s="0" t="s">
        <v>39</v>
      </c>
      <c r="K6585" s="0" t="s">
        <v>30</v>
      </c>
      <c r="L6585" s="0" t="s">
        <v>31</v>
      </c>
      <c r="M6585" s="0" t="s">
        <v>173</v>
      </c>
      <c r="N6585" s="0" t="n">
        <v>1801</v>
      </c>
      <c r="O6585" s="10" t="n">
        <v>0.287648392142728</v>
      </c>
      <c r="P6585" s="10" t="n">
        <v>0.831597982207313</v>
      </c>
      <c r="Q6585" s="0" t="str">
        <f aca="false">SUBSTITUTE(SUBSTITUTE($I6585,CHAR(61),""),CHAR(34),"")</f>
        <v>15-24</v>
      </c>
      <c r="R6585" s="0" t="str">
        <f aca="false">IF($D6585&lt;&gt;"","["&amp;$E6585&amp;"]"&amp;"|"&amp;$Q6585&amp;"|"&amp;$K6585&amp;"|"&amp;$G6585&amp;"|"&amp;IF($G6585="TX_CURR_SUBNAT.R","CY2022Q4",$M6585),"")</f>
        <v>[TYnMSwzko3z]|15-24|Female|PLHIV_Residents.T2|CY2025Q3</v>
      </c>
    </row>
    <row r="6586" customFormat="false" ht="15" hidden="false" customHeight="false" outlineLevel="0" collapsed="false">
      <c r="D6586" s="0" t="s">
        <v>78</v>
      </c>
      <c r="E6586" s="0" t="s">
        <v>79</v>
      </c>
      <c r="F6586" s="0" t="s">
        <v>80</v>
      </c>
      <c r="G6586" s="0" t="s">
        <v>171</v>
      </c>
      <c r="H6586" s="0" t="s">
        <v>172</v>
      </c>
      <c r="I6586" s="0" t="s">
        <v>41</v>
      </c>
      <c r="J6586" s="0" t="s">
        <v>42</v>
      </c>
      <c r="K6586" s="0" t="s">
        <v>30</v>
      </c>
      <c r="L6586" s="0" t="s">
        <v>31</v>
      </c>
      <c r="M6586" s="0" t="s">
        <v>173</v>
      </c>
      <c r="N6586" s="0" t="n">
        <v>684</v>
      </c>
      <c r="O6586" s="10" t="n">
        <v>0.833900468889624</v>
      </c>
      <c r="P6586" s="10" t="n">
        <v>0.831597982207313</v>
      </c>
      <c r="Q6586" s="0" t="str">
        <f aca="false">SUBSTITUTE(SUBSTITUTE($I6586,CHAR(61),""),CHAR(34),"")</f>
        <v>25-34</v>
      </c>
      <c r="R6586" s="0" t="str">
        <f aca="false">IF($D6586&lt;&gt;"","["&amp;$E6586&amp;"]"&amp;"|"&amp;$Q6586&amp;"|"&amp;$K6586&amp;"|"&amp;$G6586&amp;"|"&amp;IF($G6586="TX_CURR_SUBNAT.R","CY2022Q4",$M6586),"")</f>
        <v>[TYnMSwzko3z]|25-34|Female|PLHIV_Residents.T2|CY2025Q3</v>
      </c>
    </row>
    <row r="6587" customFormat="false" ht="15" hidden="false" customHeight="false" outlineLevel="0" collapsed="false">
      <c r="D6587" s="0" t="s">
        <v>78</v>
      </c>
      <c r="E6587" s="0" t="s">
        <v>79</v>
      </c>
      <c r="F6587" s="0" t="s">
        <v>80</v>
      </c>
      <c r="G6587" s="0" t="s">
        <v>171</v>
      </c>
      <c r="H6587" s="0" t="s">
        <v>172</v>
      </c>
      <c r="I6587" s="0" t="s">
        <v>43</v>
      </c>
      <c r="J6587" s="0" t="s">
        <v>44</v>
      </c>
      <c r="K6587" s="0" t="s">
        <v>30</v>
      </c>
      <c r="L6587" s="0" t="s">
        <v>31</v>
      </c>
      <c r="M6587" s="0" t="s">
        <v>173</v>
      </c>
      <c r="N6587" s="0" t="n">
        <v>1951</v>
      </c>
      <c r="O6587" s="10" t="n">
        <v>0.737493271939456</v>
      </c>
      <c r="P6587" s="10" t="n">
        <v>0.831597982207313</v>
      </c>
      <c r="Q6587" s="0" t="str">
        <f aca="false">SUBSTITUTE(SUBSTITUTE($I6587,CHAR(61),""),CHAR(34),"")</f>
        <v>35-49</v>
      </c>
      <c r="R6587" s="0" t="str">
        <f aca="false">IF($D6587&lt;&gt;"","["&amp;$E6587&amp;"]"&amp;"|"&amp;$Q6587&amp;"|"&amp;$K6587&amp;"|"&amp;$G6587&amp;"|"&amp;IF($G6587="TX_CURR_SUBNAT.R","CY2022Q4",$M6587),"")</f>
        <v>[TYnMSwzko3z]|35-49|Female|PLHIV_Residents.T2|CY2025Q3</v>
      </c>
    </row>
    <row r="6588" customFormat="false" ht="15" hidden="false" customHeight="false" outlineLevel="0" collapsed="false">
      <c r="D6588" s="0" t="s">
        <v>78</v>
      </c>
      <c r="E6588" s="0" t="s">
        <v>79</v>
      </c>
      <c r="F6588" s="0" t="s">
        <v>80</v>
      </c>
      <c r="G6588" s="0" t="s">
        <v>171</v>
      </c>
      <c r="H6588" s="0" t="s">
        <v>172</v>
      </c>
      <c r="I6588" s="0" t="s">
        <v>45</v>
      </c>
      <c r="J6588" s="0" t="s">
        <v>46</v>
      </c>
      <c r="K6588" s="0" t="s">
        <v>30</v>
      </c>
      <c r="L6588" s="0" t="s">
        <v>31</v>
      </c>
      <c r="M6588" s="0" t="s">
        <v>173</v>
      </c>
      <c r="N6588" s="0" t="n">
        <v>709</v>
      </c>
      <c r="O6588" s="10" t="n">
        <v>0.249854821478948</v>
      </c>
      <c r="P6588" s="10" t="n">
        <v>0.831597982207313</v>
      </c>
      <c r="Q6588" s="0" t="str">
        <f aca="false">SUBSTITUTE(SUBSTITUTE($I6588,CHAR(61),""),CHAR(34),"")</f>
        <v>50+</v>
      </c>
      <c r="R6588" s="0" t="str">
        <f aca="false">IF($D6588&lt;&gt;"","["&amp;$E6588&amp;"]"&amp;"|"&amp;$Q6588&amp;"|"&amp;$K6588&amp;"|"&amp;$G6588&amp;"|"&amp;IF($G6588="TX_CURR_SUBNAT.R","CY2022Q4",$M6588),"")</f>
        <v>[TYnMSwzko3z]|50+|Female|PLHIV_Residents.T2|CY2025Q3</v>
      </c>
    </row>
    <row r="6589" customFormat="false" ht="15" hidden="false" customHeight="false" outlineLevel="0" collapsed="false">
      <c r="D6589" s="0" t="s">
        <v>78</v>
      </c>
      <c r="E6589" s="0" t="s">
        <v>79</v>
      </c>
      <c r="F6589" s="0" t="s">
        <v>80</v>
      </c>
      <c r="G6589" s="0" t="s">
        <v>171</v>
      </c>
      <c r="H6589" s="0" t="s">
        <v>172</v>
      </c>
      <c r="I6589" s="0" t="s">
        <v>28</v>
      </c>
      <c r="J6589" s="0" t="s">
        <v>29</v>
      </c>
      <c r="K6589" s="0" t="s">
        <v>48</v>
      </c>
      <c r="L6589" s="0" t="s">
        <v>49</v>
      </c>
      <c r="M6589" s="0" t="s">
        <v>173</v>
      </c>
      <c r="N6589" s="0" t="n">
        <v>910</v>
      </c>
      <c r="O6589" s="10" t="n">
        <v>0.671355582773685</v>
      </c>
      <c r="P6589" s="10" t="n">
        <v>0.831597982207313</v>
      </c>
      <c r="Q6589" s="0" t="str">
        <f aca="false">SUBSTITUTE(SUBSTITUTE($I6589,CHAR(61),""),CHAR(34),"")</f>
        <v>&lt;01</v>
      </c>
      <c r="R6589" s="0" t="str">
        <f aca="false">IF($D6589&lt;&gt;"","["&amp;$E6589&amp;"]"&amp;"|"&amp;$Q6589&amp;"|"&amp;$K6589&amp;"|"&amp;$G6589&amp;"|"&amp;IF($G6589="TX_CURR_SUBNAT.R","CY2022Q4",$M6589),"")</f>
        <v>[TYnMSwzko3z]|&lt;01|Male|PLHIV_Residents.T2|CY2025Q3</v>
      </c>
    </row>
    <row r="6590" customFormat="false" ht="15" hidden="false" customHeight="false" outlineLevel="0" collapsed="false">
      <c r="D6590" s="0" t="s">
        <v>78</v>
      </c>
      <c r="E6590" s="0" t="s">
        <v>79</v>
      </c>
      <c r="F6590" s="0" t="s">
        <v>80</v>
      </c>
      <c r="G6590" s="0" t="s">
        <v>171</v>
      </c>
      <c r="H6590" s="0" t="s">
        <v>172</v>
      </c>
      <c r="I6590" s="0" t="s">
        <v>33</v>
      </c>
      <c r="J6590" s="0" t="s">
        <v>34</v>
      </c>
      <c r="K6590" s="0" t="s">
        <v>48</v>
      </c>
      <c r="L6590" s="0" t="s">
        <v>49</v>
      </c>
      <c r="M6590" s="0" t="s">
        <v>173</v>
      </c>
      <c r="N6590" s="0" t="n">
        <v>628</v>
      </c>
      <c r="O6590" s="10" t="n">
        <v>0.00634963763877749</v>
      </c>
      <c r="P6590" s="10" t="n">
        <v>0.831597982207313</v>
      </c>
      <c r="Q6590" s="0" t="str">
        <f aca="false">SUBSTITUTE(SUBSTITUTE($I6590,CHAR(61),""),CHAR(34),"")</f>
        <v>01-09</v>
      </c>
      <c r="R6590" s="0" t="str">
        <f aca="false">IF($D6590&lt;&gt;"","["&amp;$E6590&amp;"]"&amp;"|"&amp;$Q6590&amp;"|"&amp;$K6590&amp;"|"&amp;$G6590&amp;"|"&amp;IF($G6590="TX_CURR_SUBNAT.R","CY2022Q4",$M6590),"")</f>
        <v>[TYnMSwzko3z]|01-09|Male|PLHIV_Residents.T2|CY2025Q3</v>
      </c>
    </row>
    <row r="6591" customFormat="false" ht="15" hidden="false" customHeight="false" outlineLevel="0" collapsed="false">
      <c r="D6591" s="0" t="s">
        <v>78</v>
      </c>
      <c r="E6591" s="0" t="s">
        <v>79</v>
      </c>
      <c r="F6591" s="0" t="s">
        <v>80</v>
      </c>
      <c r="G6591" s="0" t="s">
        <v>171</v>
      </c>
      <c r="H6591" s="0" t="s">
        <v>172</v>
      </c>
      <c r="I6591" s="0" t="s">
        <v>36</v>
      </c>
      <c r="J6591" s="0" t="s">
        <v>37</v>
      </c>
      <c r="K6591" s="0" t="s">
        <v>48</v>
      </c>
      <c r="L6591" s="0" t="s">
        <v>49</v>
      </c>
      <c r="M6591" s="0" t="s">
        <v>173</v>
      </c>
      <c r="N6591" s="0" t="n">
        <v>1844</v>
      </c>
      <c r="O6591" s="10" t="n">
        <v>0.770942500559613</v>
      </c>
      <c r="P6591" s="10" t="n">
        <v>0.831597982207313</v>
      </c>
      <c r="Q6591" s="0" t="str">
        <f aca="false">SUBSTITUTE(SUBSTITUTE($I6591,CHAR(61),""),CHAR(34),"")</f>
        <v>10-14</v>
      </c>
      <c r="R6591" s="0" t="str">
        <f aca="false">IF($D6591&lt;&gt;"","["&amp;$E6591&amp;"]"&amp;"|"&amp;$Q6591&amp;"|"&amp;$K6591&amp;"|"&amp;$G6591&amp;"|"&amp;IF($G6591="TX_CURR_SUBNAT.R","CY2022Q4",$M6591),"")</f>
        <v>[TYnMSwzko3z]|10-14|Male|PLHIV_Residents.T2|CY2025Q3</v>
      </c>
    </row>
    <row r="6592" customFormat="false" ht="15" hidden="false" customHeight="false" outlineLevel="0" collapsed="false">
      <c r="D6592" s="0" t="s">
        <v>78</v>
      </c>
      <c r="E6592" s="0" t="s">
        <v>79</v>
      </c>
      <c r="F6592" s="0" t="s">
        <v>80</v>
      </c>
      <c r="G6592" s="0" t="s">
        <v>171</v>
      </c>
      <c r="H6592" s="0" t="s">
        <v>172</v>
      </c>
      <c r="I6592" s="0" t="s">
        <v>38</v>
      </c>
      <c r="J6592" s="0" t="s">
        <v>39</v>
      </c>
      <c r="K6592" s="0" t="s">
        <v>48</v>
      </c>
      <c r="L6592" s="0" t="s">
        <v>49</v>
      </c>
      <c r="M6592" s="0" t="s">
        <v>173</v>
      </c>
      <c r="N6592" s="0" t="n">
        <v>1660</v>
      </c>
      <c r="O6592" s="10" t="n">
        <v>0.0816035219468176</v>
      </c>
      <c r="P6592" s="10" t="n">
        <v>0.831597982207313</v>
      </c>
      <c r="Q6592" s="0" t="str">
        <f aca="false">SUBSTITUTE(SUBSTITUTE($I6592,CHAR(61),""),CHAR(34),"")</f>
        <v>15-24</v>
      </c>
      <c r="R6592" s="0" t="str">
        <f aca="false">IF($D6592&lt;&gt;"","["&amp;$E6592&amp;"]"&amp;"|"&amp;$Q6592&amp;"|"&amp;$K6592&amp;"|"&amp;$G6592&amp;"|"&amp;IF($G6592="TX_CURR_SUBNAT.R","CY2022Q4",$M6592),"")</f>
        <v>[TYnMSwzko3z]|15-24|Male|PLHIV_Residents.T2|CY2025Q3</v>
      </c>
    </row>
    <row r="6593" customFormat="false" ht="15" hidden="false" customHeight="false" outlineLevel="0" collapsed="false">
      <c r="D6593" s="0" t="s">
        <v>78</v>
      </c>
      <c r="E6593" s="0" t="s">
        <v>79</v>
      </c>
      <c r="F6593" s="0" t="s">
        <v>80</v>
      </c>
      <c r="G6593" s="0" t="s">
        <v>171</v>
      </c>
      <c r="H6593" s="0" t="s">
        <v>172</v>
      </c>
      <c r="I6593" s="0" t="s">
        <v>41</v>
      </c>
      <c r="J6593" s="0" t="s">
        <v>42</v>
      </c>
      <c r="K6593" s="0" t="s">
        <v>48</v>
      </c>
      <c r="L6593" s="0" t="s">
        <v>49</v>
      </c>
      <c r="M6593" s="0" t="s">
        <v>173</v>
      </c>
      <c r="N6593" s="0" t="n">
        <v>582</v>
      </c>
      <c r="O6593" s="10" t="n">
        <v>0.859915010398254</v>
      </c>
      <c r="P6593" s="10" t="n">
        <v>0.831597982207313</v>
      </c>
      <c r="Q6593" s="0" t="str">
        <f aca="false">SUBSTITUTE(SUBSTITUTE($I6593,CHAR(61),""),CHAR(34),"")</f>
        <v>25-34</v>
      </c>
      <c r="R6593" s="0" t="str">
        <f aca="false">IF($D6593&lt;&gt;"","["&amp;$E6593&amp;"]"&amp;"|"&amp;$Q6593&amp;"|"&amp;$K6593&amp;"|"&amp;$G6593&amp;"|"&amp;IF($G6593="TX_CURR_SUBNAT.R","CY2022Q4",$M6593),"")</f>
        <v>[TYnMSwzko3z]|25-34|Male|PLHIV_Residents.T2|CY2025Q3</v>
      </c>
    </row>
    <row r="6594" customFormat="false" ht="15" hidden="false" customHeight="false" outlineLevel="0" collapsed="false">
      <c r="D6594" s="0" t="s">
        <v>78</v>
      </c>
      <c r="E6594" s="0" t="s">
        <v>79</v>
      </c>
      <c r="F6594" s="0" t="s">
        <v>80</v>
      </c>
      <c r="G6594" s="0" t="s">
        <v>171</v>
      </c>
      <c r="H6594" s="0" t="s">
        <v>172</v>
      </c>
      <c r="I6594" s="0" t="s">
        <v>43</v>
      </c>
      <c r="J6594" s="0" t="s">
        <v>44</v>
      </c>
      <c r="K6594" s="0" t="s">
        <v>48</v>
      </c>
      <c r="L6594" s="0" t="s">
        <v>49</v>
      </c>
      <c r="M6594" s="0" t="s">
        <v>173</v>
      </c>
      <c r="N6594" s="0" t="n">
        <v>1702</v>
      </c>
      <c r="O6594" s="10" t="n">
        <v>0.829988518264145</v>
      </c>
      <c r="P6594" s="10" t="n">
        <v>0.831597982207313</v>
      </c>
      <c r="Q6594" s="0" t="str">
        <f aca="false">SUBSTITUTE(SUBSTITUTE($I6594,CHAR(61),""),CHAR(34),"")</f>
        <v>35-49</v>
      </c>
      <c r="R6594" s="0" t="str">
        <f aca="false">IF($D6594&lt;&gt;"","["&amp;$E6594&amp;"]"&amp;"|"&amp;$Q6594&amp;"|"&amp;$K6594&amp;"|"&amp;$G6594&amp;"|"&amp;IF($G6594="TX_CURR_SUBNAT.R","CY2022Q4",$M6594),"")</f>
        <v>[TYnMSwzko3z]|35-49|Male|PLHIV_Residents.T2|CY2025Q3</v>
      </c>
    </row>
    <row r="6595" customFormat="false" ht="15" hidden="false" customHeight="false" outlineLevel="0" collapsed="false">
      <c r="D6595" s="0" t="s">
        <v>78</v>
      </c>
      <c r="E6595" s="0" t="s">
        <v>79</v>
      </c>
      <c r="F6595" s="0" t="s">
        <v>80</v>
      </c>
      <c r="G6595" s="0" t="s">
        <v>171</v>
      </c>
      <c r="H6595" s="0" t="s">
        <v>172</v>
      </c>
      <c r="I6595" s="0" t="s">
        <v>45</v>
      </c>
      <c r="J6595" s="0" t="s">
        <v>46</v>
      </c>
      <c r="K6595" s="0" t="s">
        <v>48</v>
      </c>
      <c r="L6595" s="0" t="s">
        <v>49</v>
      </c>
      <c r="M6595" s="0" t="s">
        <v>173</v>
      </c>
      <c r="N6595" s="0" t="n">
        <v>1283</v>
      </c>
      <c r="O6595" s="10" t="n">
        <v>0.953239053720608</v>
      </c>
      <c r="P6595" s="10" t="n">
        <v>0.831597982207313</v>
      </c>
      <c r="Q6595" s="0" t="str">
        <f aca="false">SUBSTITUTE(SUBSTITUTE($I6595,CHAR(61),""),CHAR(34),"")</f>
        <v>50+</v>
      </c>
      <c r="R6595" s="0" t="str">
        <f aca="false">IF($D6595&lt;&gt;"","["&amp;$E6595&amp;"]"&amp;"|"&amp;$Q6595&amp;"|"&amp;$K6595&amp;"|"&amp;$G6595&amp;"|"&amp;IF($G6595="TX_CURR_SUBNAT.R","CY2022Q4",$M6595),"")</f>
        <v>[TYnMSwzko3z]|50+|Male|PLHIV_Residents.T2|CY2025Q3</v>
      </c>
    </row>
    <row r="6596" customFormat="false" ht="15" hidden="false" customHeight="false" outlineLevel="0" collapsed="false">
      <c r="D6596" s="0" t="s">
        <v>81</v>
      </c>
      <c r="E6596" s="0" t="s">
        <v>82</v>
      </c>
      <c r="F6596" s="0" t="s">
        <v>83</v>
      </c>
      <c r="G6596" s="0" t="s">
        <v>171</v>
      </c>
      <c r="H6596" s="0" t="s">
        <v>172</v>
      </c>
      <c r="I6596" s="0" t="s">
        <v>28</v>
      </c>
      <c r="J6596" s="0" t="s">
        <v>29</v>
      </c>
      <c r="K6596" s="0" t="s">
        <v>30</v>
      </c>
      <c r="L6596" s="0" t="s">
        <v>31</v>
      </c>
      <c r="M6596" s="0" t="s">
        <v>173</v>
      </c>
      <c r="N6596" s="0" t="n">
        <v>886</v>
      </c>
      <c r="O6596" s="10" t="n">
        <v>0.62491789017804</v>
      </c>
      <c r="P6596" s="10" t="n">
        <v>0.143331421539187</v>
      </c>
      <c r="Q6596" s="0" t="str">
        <f aca="false">SUBSTITUTE(SUBSTITUTE($I6596,CHAR(61),""),CHAR(34),"")</f>
        <v>&lt;01</v>
      </c>
      <c r="R6596" s="0" t="str">
        <f aca="false">IF($D6596&lt;&gt;"","["&amp;$E6596&amp;"]"&amp;"|"&amp;$Q6596&amp;"|"&amp;$K6596&amp;"|"&amp;$G6596&amp;"|"&amp;IF($G6596="TX_CURR_SUBNAT.R","CY2022Q4",$M6596),"")</f>
        <v>[ir8wuHHzoSs]|&lt;01|Female|PLHIV_Residents.T2|CY2025Q3</v>
      </c>
    </row>
    <row r="6597" customFormat="false" ht="15" hidden="false" customHeight="false" outlineLevel="0" collapsed="false">
      <c r="D6597" s="0" t="s">
        <v>81</v>
      </c>
      <c r="E6597" s="0" t="s">
        <v>82</v>
      </c>
      <c r="F6597" s="0" t="s">
        <v>83</v>
      </c>
      <c r="G6597" s="0" t="s">
        <v>171</v>
      </c>
      <c r="H6597" s="0" t="s">
        <v>172</v>
      </c>
      <c r="I6597" s="0" t="s">
        <v>33</v>
      </c>
      <c r="J6597" s="0" t="s">
        <v>34</v>
      </c>
      <c r="K6597" s="0" t="s">
        <v>30</v>
      </c>
      <c r="L6597" s="0" t="s">
        <v>31</v>
      </c>
      <c r="M6597" s="0" t="s">
        <v>173</v>
      </c>
      <c r="N6597" s="0" t="n">
        <v>1142</v>
      </c>
      <c r="O6597" s="10" t="n">
        <v>0.892411651322618</v>
      </c>
      <c r="P6597" s="10" t="n">
        <v>0.143331421539187</v>
      </c>
      <c r="Q6597" s="0" t="str">
        <f aca="false">SUBSTITUTE(SUBSTITUTE($I6597,CHAR(61),""),CHAR(34),"")</f>
        <v>01-09</v>
      </c>
      <c r="R6597" s="0" t="str">
        <f aca="false">IF($D6597&lt;&gt;"","["&amp;$E6597&amp;"]"&amp;"|"&amp;$Q6597&amp;"|"&amp;$K6597&amp;"|"&amp;$G6597&amp;"|"&amp;IF($G6597="TX_CURR_SUBNAT.R","CY2022Q4",$M6597),"")</f>
        <v>[ir8wuHHzoSs]|01-09|Female|PLHIV_Residents.T2|CY2025Q3</v>
      </c>
    </row>
    <row r="6598" customFormat="false" ht="15" hidden="false" customHeight="false" outlineLevel="0" collapsed="false">
      <c r="D6598" s="0" t="s">
        <v>81</v>
      </c>
      <c r="E6598" s="0" t="s">
        <v>82</v>
      </c>
      <c r="F6598" s="0" t="s">
        <v>83</v>
      </c>
      <c r="G6598" s="0" t="s">
        <v>171</v>
      </c>
      <c r="H6598" s="0" t="s">
        <v>172</v>
      </c>
      <c r="I6598" s="0" t="s">
        <v>36</v>
      </c>
      <c r="J6598" s="0" t="s">
        <v>37</v>
      </c>
      <c r="K6598" s="0" t="s">
        <v>30</v>
      </c>
      <c r="L6598" s="0" t="s">
        <v>31</v>
      </c>
      <c r="M6598" s="0" t="s">
        <v>173</v>
      </c>
      <c r="N6598" s="0" t="n">
        <v>962</v>
      </c>
      <c r="O6598" s="10" t="n">
        <v>0.361097426852211</v>
      </c>
      <c r="P6598" s="10" t="n">
        <v>0.143331421539187</v>
      </c>
      <c r="Q6598" s="0" t="str">
        <f aca="false">SUBSTITUTE(SUBSTITUTE($I6598,CHAR(61),""),CHAR(34),"")</f>
        <v>10-14</v>
      </c>
      <c r="R6598" s="0" t="str">
        <f aca="false">IF($D6598&lt;&gt;"","["&amp;$E6598&amp;"]"&amp;"|"&amp;$Q6598&amp;"|"&amp;$K6598&amp;"|"&amp;$G6598&amp;"|"&amp;IF($G6598="TX_CURR_SUBNAT.R","CY2022Q4",$M6598),"")</f>
        <v>[ir8wuHHzoSs]|10-14|Female|PLHIV_Residents.T2|CY2025Q3</v>
      </c>
    </row>
    <row r="6599" customFormat="false" ht="15" hidden="false" customHeight="false" outlineLevel="0" collapsed="false">
      <c r="D6599" s="0" t="s">
        <v>81</v>
      </c>
      <c r="E6599" s="0" t="s">
        <v>82</v>
      </c>
      <c r="F6599" s="0" t="s">
        <v>83</v>
      </c>
      <c r="G6599" s="0" t="s">
        <v>171</v>
      </c>
      <c r="H6599" s="0" t="s">
        <v>172</v>
      </c>
      <c r="I6599" s="0" t="s">
        <v>38</v>
      </c>
      <c r="J6599" s="0" t="s">
        <v>39</v>
      </c>
      <c r="K6599" s="0" t="s">
        <v>30</v>
      </c>
      <c r="L6599" s="0" t="s">
        <v>31</v>
      </c>
      <c r="M6599" s="0" t="s">
        <v>173</v>
      </c>
      <c r="N6599" s="0" t="n">
        <v>1270</v>
      </c>
      <c r="O6599" s="10" t="n">
        <v>0.394669781671837</v>
      </c>
      <c r="P6599" s="10" t="n">
        <v>0.143331421539187</v>
      </c>
      <c r="Q6599" s="0" t="str">
        <f aca="false">SUBSTITUTE(SUBSTITUTE($I6599,CHAR(61),""),CHAR(34),"")</f>
        <v>15-24</v>
      </c>
      <c r="R6599" s="0" t="str">
        <f aca="false">IF($D6599&lt;&gt;"","["&amp;$E6599&amp;"]"&amp;"|"&amp;$Q6599&amp;"|"&amp;$K6599&amp;"|"&amp;$G6599&amp;"|"&amp;IF($G6599="TX_CURR_SUBNAT.R","CY2022Q4",$M6599),"")</f>
        <v>[ir8wuHHzoSs]|15-24|Female|PLHIV_Residents.T2|CY2025Q3</v>
      </c>
    </row>
    <row r="6600" customFormat="false" ht="15" hidden="false" customHeight="false" outlineLevel="0" collapsed="false">
      <c r="D6600" s="0" t="s">
        <v>81</v>
      </c>
      <c r="E6600" s="0" t="s">
        <v>82</v>
      </c>
      <c r="F6600" s="0" t="s">
        <v>83</v>
      </c>
      <c r="G6600" s="0" t="s">
        <v>171</v>
      </c>
      <c r="H6600" s="0" t="s">
        <v>172</v>
      </c>
      <c r="I6600" s="0" t="s">
        <v>41</v>
      </c>
      <c r="J6600" s="0" t="s">
        <v>42</v>
      </c>
      <c r="K6600" s="0" t="s">
        <v>30</v>
      </c>
      <c r="L6600" s="0" t="s">
        <v>31</v>
      </c>
      <c r="M6600" s="0" t="s">
        <v>173</v>
      </c>
      <c r="N6600" s="0" t="n">
        <v>929</v>
      </c>
      <c r="O6600" s="10" t="n">
        <v>0.071009584935382</v>
      </c>
      <c r="P6600" s="10" t="n">
        <v>0.143331421539187</v>
      </c>
      <c r="Q6600" s="0" t="str">
        <f aca="false">SUBSTITUTE(SUBSTITUTE($I6600,CHAR(61),""),CHAR(34),"")</f>
        <v>25-34</v>
      </c>
      <c r="R6600" s="0" t="str">
        <f aca="false">IF($D6600&lt;&gt;"","["&amp;$E6600&amp;"]"&amp;"|"&amp;$Q6600&amp;"|"&amp;$K6600&amp;"|"&amp;$G6600&amp;"|"&amp;IF($G6600="TX_CURR_SUBNAT.R","CY2022Q4",$M6600),"")</f>
        <v>[ir8wuHHzoSs]|25-34|Female|PLHIV_Residents.T2|CY2025Q3</v>
      </c>
    </row>
    <row r="6601" customFormat="false" ht="15" hidden="false" customHeight="false" outlineLevel="0" collapsed="false">
      <c r="D6601" s="0" t="s">
        <v>81</v>
      </c>
      <c r="E6601" s="0" t="s">
        <v>82</v>
      </c>
      <c r="F6601" s="0" t="s">
        <v>83</v>
      </c>
      <c r="G6601" s="0" t="s">
        <v>171</v>
      </c>
      <c r="H6601" s="0" t="s">
        <v>172</v>
      </c>
      <c r="I6601" s="0" t="s">
        <v>43</v>
      </c>
      <c r="J6601" s="0" t="s">
        <v>44</v>
      </c>
      <c r="K6601" s="0" t="s">
        <v>30</v>
      </c>
      <c r="L6601" s="0" t="s">
        <v>31</v>
      </c>
      <c r="M6601" s="0" t="s">
        <v>173</v>
      </c>
      <c r="N6601" s="0" t="n">
        <v>1343</v>
      </c>
      <c r="O6601" s="10" t="n">
        <v>0.605959810316563</v>
      </c>
      <c r="P6601" s="10" t="n">
        <v>0.143331421539187</v>
      </c>
      <c r="Q6601" s="0" t="str">
        <f aca="false">SUBSTITUTE(SUBSTITUTE($I6601,CHAR(61),""),CHAR(34),"")</f>
        <v>35-49</v>
      </c>
      <c r="R6601" s="0" t="str">
        <f aca="false">IF($D6601&lt;&gt;"","["&amp;$E6601&amp;"]"&amp;"|"&amp;$Q6601&amp;"|"&amp;$K6601&amp;"|"&amp;$G6601&amp;"|"&amp;IF($G6601="TX_CURR_SUBNAT.R","CY2022Q4",$M6601),"")</f>
        <v>[ir8wuHHzoSs]|35-49|Female|PLHIV_Residents.T2|CY2025Q3</v>
      </c>
    </row>
    <row r="6602" customFormat="false" ht="15" hidden="false" customHeight="false" outlineLevel="0" collapsed="false">
      <c r="D6602" s="0" t="s">
        <v>81</v>
      </c>
      <c r="E6602" s="0" t="s">
        <v>82</v>
      </c>
      <c r="F6602" s="0" t="s">
        <v>83</v>
      </c>
      <c r="G6602" s="0" t="s">
        <v>171</v>
      </c>
      <c r="H6602" s="0" t="s">
        <v>172</v>
      </c>
      <c r="I6602" s="0" t="s">
        <v>45</v>
      </c>
      <c r="J6602" s="0" t="s">
        <v>46</v>
      </c>
      <c r="K6602" s="0" t="s">
        <v>30</v>
      </c>
      <c r="L6602" s="0" t="s">
        <v>31</v>
      </c>
      <c r="M6602" s="0" t="s">
        <v>173</v>
      </c>
      <c r="N6602" s="0" t="n">
        <v>1191</v>
      </c>
      <c r="O6602" s="10" t="n">
        <v>0.590790920658037</v>
      </c>
      <c r="P6602" s="10" t="n">
        <v>0.143331421539187</v>
      </c>
      <c r="Q6602" s="0" t="str">
        <f aca="false">SUBSTITUTE(SUBSTITUTE($I6602,CHAR(61),""),CHAR(34),"")</f>
        <v>50+</v>
      </c>
      <c r="R6602" s="0" t="str">
        <f aca="false">IF($D6602&lt;&gt;"","["&amp;$E6602&amp;"]"&amp;"|"&amp;$Q6602&amp;"|"&amp;$K6602&amp;"|"&amp;$G6602&amp;"|"&amp;IF($G6602="TX_CURR_SUBNAT.R","CY2022Q4",$M6602),"")</f>
        <v>[ir8wuHHzoSs]|50+|Female|PLHIV_Residents.T2|CY2025Q3</v>
      </c>
    </row>
    <row r="6603" customFormat="false" ht="15" hidden="false" customHeight="false" outlineLevel="0" collapsed="false">
      <c r="D6603" s="0" t="s">
        <v>81</v>
      </c>
      <c r="E6603" s="0" t="s">
        <v>82</v>
      </c>
      <c r="F6603" s="0" t="s">
        <v>83</v>
      </c>
      <c r="G6603" s="0" t="s">
        <v>171</v>
      </c>
      <c r="H6603" s="0" t="s">
        <v>172</v>
      </c>
      <c r="I6603" s="0" t="s">
        <v>28</v>
      </c>
      <c r="J6603" s="0" t="s">
        <v>29</v>
      </c>
      <c r="K6603" s="0" t="s">
        <v>48</v>
      </c>
      <c r="L6603" s="0" t="s">
        <v>49</v>
      </c>
      <c r="M6603" s="0" t="s">
        <v>173</v>
      </c>
      <c r="N6603" s="0" t="n">
        <v>602</v>
      </c>
      <c r="O6603" s="10" t="n">
        <v>0.600183881819248</v>
      </c>
      <c r="P6603" s="10" t="n">
        <v>0.143331421539187</v>
      </c>
      <c r="Q6603" s="0" t="str">
        <f aca="false">SUBSTITUTE(SUBSTITUTE($I6603,CHAR(61),""),CHAR(34),"")</f>
        <v>&lt;01</v>
      </c>
      <c r="R6603" s="0" t="str">
        <f aca="false">IF($D6603&lt;&gt;"","["&amp;$E6603&amp;"]"&amp;"|"&amp;$Q6603&amp;"|"&amp;$K6603&amp;"|"&amp;$G6603&amp;"|"&amp;IF($G6603="TX_CURR_SUBNAT.R","CY2022Q4",$M6603),"")</f>
        <v>[ir8wuHHzoSs]|&lt;01|Male|PLHIV_Residents.T2|CY2025Q3</v>
      </c>
    </row>
    <row r="6604" customFormat="false" ht="15" hidden="false" customHeight="false" outlineLevel="0" collapsed="false">
      <c r="D6604" s="0" t="s">
        <v>81</v>
      </c>
      <c r="E6604" s="0" t="s">
        <v>82</v>
      </c>
      <c r="F6604" s="0" t="s">
        <v>83</v>
      </c>
      <c r="G6604" s="0" t="s">
        <v>171</v>
      </c>
      <c r="H6604" s="0" t="s">
        <v>172</v>
      </c>
      <c r="I6604" s="0" t="s">
        <v>33</v>
      </c>
      <c r="J6604" s="0" t="s">
        <v>34</v>
      </c>
      <c r="K6604" s="0" t="s">
        <v>48</v>
      </c>
      <c r="L6604" s="0" t="s">
        <v>49</v>
      </c>
      <c r="M6604" s="0" t="s">
        <v>173</v>
      </c>
      <c r="N6604" s="0" t="n">
        <v>1027</v>
      </c>
      <c r="O6604" s="10" t="n">
        <v>0.467398249078542</v>
      </c>
      <c r="P6604" s="10" t="n">
        <v>0.143331421539187</v>
      </c>
      <c r="Q6604" s="0" t="str">
        <f aca="false">SUBSTITUTE(SUBSTITUTE($I6604,CHAR(61),""),CHAR(34),"")</f>
        <v>01-09</v>
      </c>
      <c r="R6604" s="0" t="str">
        <f aca="false">IF($D6604&lt;&gt;"","["&amp;$E6604&amp;"]"&amp;"|"&amp;$Q6604&amp;"|"&amp;$K6604&amp;"|"&amp;$G6604&amp;"|"&amp;IF($G6604="TX_CURR_SUBNAT.R","CY2022Q4",$M6604),"")</f>
        <v>[ir8wuHHzoSs]|01-09|Male|PLHIV_Residents.T2|CY2025Q3</v>
      </c>
    </row>
    <row r="6605" customFormat="false" ht="15" hidden="false" customHeight="false" outlineLevel="0" collapsed="false">
      <c r="D6605" s="0" t="s">
        <v>81</v>
      </c>
      <c r="E6605" s="0" t="s">
        <v>82</v>
      </c>
      <c r="F6605" s="0" t="s">
        <v>83</v>
      </c>
      <c r="G6605" s="0" t="s">
        <v>171</v>
      </c>
      <c r="H6605" s="0" t="s">
        <v>172</v>
      </c>
      <c r="I6605" s="0" t="s">
        <v>36</v>
      </c>
      <c r="J6605" s="0" t="s">
        <v>37</v>
      </c>
      <c r="K6605" s="0" t="s">
        <v>48</v>
      </c>
      <c r="L6605" s="0" t="s">
        <v>49</v>
      </c>
      <c r="M6605" s="0" t="s">
        <v>173</v>
      </c>
      <c r="N6605" s="0" t="n">
        <v>1815</v>
      </c>
      <c r="O6605" s="10" t="n">
        <v>0.158782739192247</v>
      </c>
      <c r="P6605" s="10" t="n">
        <v>0.143331421539187</v>
      </c>
      <c r="Q6605" s="0" t="str">
        <f aca="false">SUBSTITUTE(SUBSTITUTE($I6605,CHAR(61),""),CHAR(34),"")</f>
        <v>10-14</v>
      </c>
      <c r="R6605" s="0" t="str">
        <f aca="false">IF($D6605&lt;&gt;"","["&amp;$E6605&amp;"]"&amp;"|"&amp;$Q6605&amp;"|"&amp;$K6605&amp;"|"&amp;$G6605&amp;"|"&amp;IF($G6605="TX_CURR_SUBNAT.R","CY2022Q4",$M6605),"")</f>
        <v>[ir8wuHHzoSs]|10-14|Male|PLHIV_Residents.T2|CY2025Q3</v>
      </c>
    </row>
    <row r="6606" customFormat="false" ht="15" hidden="false" customHeight="false" outlineLevel="0" collapsed="false">
      <c r="D6606" s="0" t="s">
        <v>81</v>
      </c>
      <c r="E6606" s="0" t="s">
        <v>82</v>
      </c>
      <c r="F6606" s="0" t="s">
        <v>83</v>
      </c>
      <c r="G6606" s="0" t="s">
        <v>171</v>
      </c>
      <c r="H6606" s="0" t="s">
        <v>172</v>
      </c>
      <c r="I6606" s="0" t="s">
        <v>38</v>
      </c>
      <c r="J6606" s="0" t="s">
        <v>39</v>
      </c>
      <c r="K6606" s="0" t="s">
        <v>48</v>
      </c>
      <c r="L6606" s="0" t="s">
        <v>49</v>
      </c>
      <c r="M6606" s="0" t="s">
        <v>173</v>
      </c>
      <c r="N6606" s="0" t="n">
        <v>1511</v>
      </c>
      <c r="O6606" s="10" t="n">
        <v>0.160537460818887</v>
      </c>
      <c r="P6606" s="10" t="n">
        <v>0.143331421539187</v>
      </c>
      <c r="Q6606" s="0" t="str">
        <f aca="false">SUBSTITUTE(SUBSTITUTE($I6606,CHAR(61),""),CHAR(34),"")</f>
        <v>15-24</v>
      </c>
      <c r="R6606" s="0" t="str">
        <f aca="false">IF($D6606&lt;&gt;"","["&amp;$E6606&amp;"]"&amp;"|"&amp;$Q6606&amp;"|"&amp;$K6606&amp;"|"&amp;$G6606&amp;"|"&amp;IF($G6606="TX_CURR_SUBNAT.R","CY2022Q4",$M6606),"")</f>
        <v>[ir8wuHHzoSs]|15-24|Male|PLHIV_Residents.T2|CY2025Q3</v>
      </c>
    </row>
    <row r="6607" customFormat="false" ht="15" hidden="false" customHeight="false" outlineLevel="0" collapsed="false">
      <c r="D6607" s="0" t="s">
        <v>81</v>
      </c>
      <c r="E6607" s="0" t="s">
        <v>82</v>
      </c>
      <c r="F6607" s="0" t="s">
        <v>83</v>
      </c>
      <c r="G6607" s="0" t="s">
        <v>171</v>
      </c>
      <c r="H6607" s="0" t="s">
        <v>172</v>
      </c>
      <c r="I6607" s="0" t="s">
        <v>41</v>
      </c>
      <c r="J6607" s="0" t="s">
        <v>42</v>
      </c>
      <c r="K6607" s="0" t="s">
        <v>48</v>
      </c>
      <c r="L6607" s="0" t="s">
        <v>49</v>
      </c>
      <c r="M6607" s="0" t="s">
        <v>173</v>
      </c>
      <c r="N6607" s="0" t="n">
        <v>1157</v>
      </c>
      <c r="O6607" s="10" t="n">
        <v>0.27644450776279</v>
      </c>
      <c r="P6607" s="10" t="n">
        <v>0.143331421539187</v>
      </c>
      <c r="Q6607" s="0" t="str">
        <f aca="false">SUBSTITUTE(SUBSTITUTE($I6607,CHAR(61),""),CHAR(34),"")</f>
        <v>25-34</v>
      </c>
      <c r="R6607" s="0" t="str">
        <f aca="false">IF($D6607&lt;&gt;"","["&amp;$E6607&amp;"]"&amp;"|"&amp;$Q6607&amp;"|"&amp;$K6607&amp;"|"&amp;$G6607&amp;"|"&amp;IF($G6607="TX_CURR_SUBNAT.R","CY2022Q4",$M6607),"")</f>
        <v>[ir8wuHHzoSs]|25-34|Male|PLHIV_Residents.T2|CY2025Q3</v>
      </c>
    </row>
    <row r="6608" customFormat="false" ht="15" hidden="false" customHeight="false" outlineLevel="0" collapsed="false">
      <c r="D6608" s="0" t="s">
        <v>81</v>
      </c>
      <c r="E6608" s="0" t="s">
        <v>82</v>
      </c>
      <c r="F6608" s="0" t="s">
        <v>83</v>
      </c>
      <c r="G6608" s="0" t="s">
        <v>171</v>
      </c>
      <c r="H6608" s="0" t="s">
        <v>172</v>
      </c>
      <c r="I6608" s="0" t="s">
        <v>43</v>
      </c>
      <c r="J6608" s="0" t="s">
        <v>44</v>
      </c>
      <c r="K6608" s="0" t="s">
        <v>48</v>
      </c>
      <c r="L6608" s="0" t="s">
        <v>49</v>
      </c>
      <c r="M6608" s="0" t="s">
        <v>173</v>
      </c>
      <c r="N6608" s="0" t="n">
        <v>591</v>
      </c>
      <c r="O6608" s="10" t="n">
        <v>0.638515385100618</v>
      </c>
      <c r="P6608" s="10" t="n">
        <v>0.143331421539187</v>
      </c>
      <c r="Q6608" s="0" t="str">
        <f aca="false">SUBSTITUTE(SUBSTITUTE($I6608,CHAR(61),""),CHAR(34),"")</f>
        <v>35-49</v>
      </c>
      <c r="R6608" s="0" t="str">
        <f aca="false">IF($D6608&lt;&gt;"","["&amp;$E6608&amp;"]"&amp;"|"&amp;$Q6608&amp;"|"&amp;$K6608&amp;"|"&amp;$G6608&amp;"|"&amp;IF($G6608="TX_CURR_SUBNAT.R","CY2022Q4",$M6608),"")</f>
        <v>[ir8wuHHzoSs]|35-49|Male|PLHIV_Residents.T2|CY2025Q3</v>
      </c>
    </row>
    <row r="6609" customFormat="false" ht="15" hidden="false" customHeight="false" outlineLevel="0" collapsed="false">
      <c r="D6609" s="0" t="s">
        <v>81</v>
      </c>
      <c r="E6609" s="0" t="s">
        <v>82</v>
      </c>
      <c r="F6609" s="0" t="s">
        <v>83</v>
      </c>
      <c r="G6609" s="0" t="s">
        <v>171</v>
      </c>
      <c r="H6609" s="0" t="s">
        <v>172</v>
      </c>
      <c r="I6609" s="0" t="s">
        <v>45</v>
      </c>
      <c r="J6609" s="0" t="s">
        <v>46</v>
      </c>
      <c r="K6609" s="0" t="s">
        <v>48</v>
      </c>
      <c r="L6609" s="0" t="s">
        <v>49</v>
      </c>
      <c r="M6609" s="0" t="s">
        <v>173</v>
      </c>
      <c r="N6609" s="0" t="n">
        <v>1988</v>
      </c>
      <c r="O6609" s="10" t="n">
        <v>0.144716735463589</v>
      </c>
      <c r="P6609" s="10" t="n">
        <v>0.143331421539187</v>
      </c>
      <c r="Q6609" s="0" t="str">
        <f aca="false">SUBSTITUTE(SUBSTITUTE($I6609,CHAR(61),""),CHAR(34),"")</f>
        <v>50+</v>
      </c>
      <c r="R6609" s="0" t="str">
        <f aca="false">IF($D6609&lt;&gt;"","["&amp;$E6609&amp;"]"&amp;"|"&amp;$Q6609&amp;"|"&amp;$K6609&amp;"|"&amp;$G6609&amp;"|"&amp;IF($G6609="TX_CURR_SUBNAT.R","CY2022Q4",$M6609),"")</f>
        <v>[ir8wuHHzoSs]|50+|Male|PLHIV_Residents.T2|CY2025Q3</v>
      </c>
    </row>
    <row r="6610" customFormat="false" ht="15" hidden="false" customHeight="false" outlineLevel="0" collapsed="false">
      <c r="D6610" s="0" t="s">
        <v>84</v>
      </c>
      <c r="E6610" s="0" t="s">
        <v>85</v>
      </c>
      <c r="F6610" s="0" t="s">
        <v>86</v>
      </c>
      <c r="G6610" s="0" t="s">
        <v>171</v>
      </c>
      <c r="H6610" s="0" t="s">
        <v>172</v>
      </c>
      <c r="I6610" s="0" t="s">
        <v>28</v>
      </c>
      <c r="J6610" s="0" t="s">
        <v>29</v>
      </c>
      <c r="K6610" s="0" t="s">
        <v>30</v>
      </c>
      <c r="L6610" s="0" t="s">
        <v>31</v>
      </c>
      <c r="M6610" s="0" t="s">
        <v>173</v>
      </c>
      <c r="N6610" s="0" t="n">
        <v>1717</v>
      </c>
      <c r="O6610" s="10" t="n">
        <v>0.122631048317999</v>
      </c>
      <c r="P6610" s="10" t="n">
        <v>0.0297887143678963</v>
      </c>
      <c r="Q6610" s="0" t="str">
        <f aca="false">SUBSTITUTE(SUBSTITUTE($I6610,CHAR(61),""),CHAR(34),"")</f>
        <v>&lt;01</v>
      </c>
      <c r="R6610" s="0" t="str">
        <f aca="false">IF($D6610&lt;&gt;"","["&amp;$E6610&amp;"]"&amp;"|"&amp;$Q6610&amp;"|"&amp;$K6610&amp;"|"&amp;$G6610&amp;"|"&amp;IF($G6610="TX_CURR_SUBNAT.R","CY2022Q4",$M6610),"")</f>
        <v>[fyEoGEPERdI]|&lt;01|Female|PLHIV_Residents.T2|CY2025Q3</v>
      </c>
    </row>
    <row r="6611" customFormat="false" ht="15" hidden="false" customHeight="false" outlineLevel="0" collapsed="false">
      <c r="D6611" s="0" t="s">
        <v>84</v>
      </c>
      <c r="E6611" s="0" t="s">
        <v>85</v>
      </c>
      <c r="F6611" s="0" t="s">
        <v>86</v>
      </c>
      <c r="G6611" s="0" t="s">
        <v>171</v>
      </c>
      <c r="H6611" s="0" t="s">
        <v>172</v>
      </c>
      <c r="I6611" s="0" t="s">
        <v>33</v>
      </c>
      <c r="J6611" s="0" t="s">
        <v>34</v>
      </c>
      <c r="K6611" s="0" t="s">
        <v>30</v>
      </c>
      <c r="L6611" s="0" t="s">
        <v>31</v>
      </c>
      <c r="M6611" s="0" t="s">
        <v>173</v>
      </c>
      <c r="N6611" s="0" t="n">
        <v>1927</v>
      </c>
      <c r="O6611" s="10" t="n">
        <v>0.31076438492164</v>
      </c>
      <c r="P6611" s="10" t="n">
        <v>0.0297887143678963</v>
      </c>
      <c r="Q6611" s="0" t="str">
        <f aca="false">SUBSTITUTE(SUBSTITUTE($I6611,CHAR(61),""),CHAR(34),"")</f>
        <v>01-09</v>
      </c>
      <c r="R6611" s="0" t="str">
        <f aca="false">IF($D6611&lt;&gt;"","["&amp;$E6611&amp;"]"&amp;"|"&amp;$Q6611&amp;"|"&amp;$K6611&amp;"|"&amp;$G6611&amp;"|"&amp;IF($G6611="TX_CURR_SUBNAT.R","CY2022Q4",$M6611),"")</f>
        <v>[fyEoGEPERdI]|01-09|Female|PLHIV_Residents.T2|CY2025Q3</v>
      </c>
    </row>
    <row r="6612" customFormat="false" ht="15" hidden="false" customHeight="false" outlineLevel="0" collapsed="false">
      <c r="D6612" s="0" t="s">
        <v>84</v>
      </c>
      <c r="E6612" s="0" t="s">
        <v>85</v>
      </c>
      <c r="F6612" s="0" t="s">
        <v>86</v>
      </c>
      <c r="G6612" s="0" t="s">
        <v>171</v>
      </c>
      <c r="H6612" s="0" t="s">
        <v>172</v>
      </c>
      <c r="I6612" s="0" t="s">
        <v>36</v>
      </c>
      <c r="J6612" s="0" t="s">
        <v>37</v>
      </c>
      <c r="K6612" s="0" t="s">
        <v>30</v>
      </c>
      <c r="L6612" s="0" t="s">
        <v>31</v>
      </c>
      <c r="M6612" s="0" t="s">
        <v>173</v>
      </c>
      <c r="N6612" s="0" t="n">
        <v>885</v>
      </c>
      <c r="O6612" s="10" t="n">
        <v>0.562806809786707</v>
      </c>
      <c r="P6612" s="10" t="n">
        <v>0.0297887143678963</v>
      </c>
      <c r="Q6612" s="0" t="str">
        <f aca="false">SUBSTITUTE(SUBSTITUTE($I6612,CHAR(61),""),CHAR(34),"")</f>
        <v>10-14</v>
      </c>
      <c r="R6612" s="0" t="str">
        <f aca="false">IF($D6612&lt;&gt;"","["&amp;$E6612&amp;"]"&amp;"|"&amp;$Q6612&amp;"|"&amp;$K6612&amp;"|"&amp;$G6612&amp;"|"&amp;IF($G6612="TX_CURR_SUBNAT.R","CY2022Q4",$M6612),"")</f>
        <v>[fyEoGEPERdI]|10-14|Female|PLHIV_Residents.T2|CY2025Q3</v>
      </c>
    </row>
    <row r="6613" customFormat="false" ht="15" hidden="false" customHeight="false" outlineLevel="0" collapsed="false">
      <c r="D6613" s="0" t="s">
        <v>84</v>
      </c>
      <c r="E6613" s="0" t="s">
        <v>85</v>
      </c>
      <c r="F6613" s="0" t="s">
        <v>86</v>
      </c>
      <c r="G6613" s="0" t="s">
        <v>171</v>
      </c>
      <c r="H6613" s="0" t="s">
        <v>172</v>
      </c>
      <c r="I6613" s="0" t="s">
        <v>38</v>
      </c>
      <c r="J6613" s="0" t="s">
        <v>39</v>
      </c>
      <c r="K6613" s="0" t="s">
        <v>30</v>
      </c>
      <c r="L6613" s="0" t="s">
        <v>31</v>
      </c>
      <c r="M6613" s="0" t="s">
        <v>173</v>
      </c>
      <c r="N6613" s="0" t="n">
        <v>707</v>
      </c>
      <c r="O6613" s="10" t="n">
        <v>0.981017945334315</v>
      </c>
      <c r="P6613" s="10" t="n">
        <v>0.0297887143678963</v>
      </c>
      <c r="Q6613" s="0" t="str">
        <f aca="false">SUBSTITUTE(SUBSTITUTE($I6613,CHAR(61),""),CHAR(34),"")</f>
        <v>15-24</v>
      </c>
      <c r="R6613" s="0" t="str">
        <f aca="false">IF($D6613&lt;&gt;"","["&amp;$E6613&amp;"]"&amp;"|"&amp;$Q6613&amp;"|"&amp;$K6613&amp;"|"&amp;$G6613&amp;"|"&amp;IF($G6613="TX_CURR_SUBNAT.R","CY2022Q4",$M6613),"")</f>
        <v>[fyEoGEPERdI]|15-24|Female|PLHIV_Residents.T2|CY2025Q3</v>
      </c>
    </row>
    <row r="6614" customFormat="false" ht="15" hidden="false" customHeight="false" outlineLevel="0" collapsed="false">
      <c r="D6614" s="0" t="s">
        <v>84</v>
      </c>
      <c r="E6614" s="0" t="s">
        <v>85</v>
      </c>
      <c r="F6614" s="0" t="s">
        <v>86</v>
      </c>
      <c r="G6614" s="0" t="s">
        <v>171</v>
      </c>
      <c r="H6614" s="0" t="s">
        <v>172</v>
      </c>
      <c r="I6614" s="0" t="s">
        <v>41</v>
      </c>
      <c r="J6614" s="0" t="s">
        <v>42</v>
      </c>
      <c r="K6614" s="0" t="s">
        <v>30</v>
      </c>
      <c r="L6614" s="0" t="s">
        <v>31</v>
      </c>
      <c r="M6614" s="0" t="s">
        <v>173</v>
      </c>
      <c r="N6614" s="0" t="n">
        <v>962</v>
      </c>
      <c r="O6614" s="10" t="n">
        <v>0.00418578111566603</v>
      </c>
      <c r="P6614" s="10" t="n">
        <v>0.0297887143678963</v>
      </c>
      <c r="Q6614" s="0" t="str">
        <f aca="false">SUBSTITUTE(SUBSTITUTE($I6614,CHAR(61),""),CHAR(34),"")</f>
        <v>25-34</v>
      </c>
      <c r="R6614" s="0" t="str">
        <f aca="false">IF($D6614&lt;&gt;"","["&amp;$E6614&amp;"]"&amp;"|"&amp;$Q6614&amp;"|"&amp;$K6614&amp;"|"&amp;$G6614&amp;"|"&amp;IF($G6614="TX_CURR_SUBNAT.R","CY2022Q4",$M6614),"")</f>
        <v>[fyEoGEPERdI]|25-34|Female|PLHIV_Residents.T2|CY2025Q3</v>
      </c>
    </row>
    <row r="6615" customFormat="false" ht="15" hidden="false" customHeight="false" outlineLevel="0" collapsed="false">
      <c r="D6615" s="0" t="s">
        <v>84</v>
      </c>
      <c r="E6615" s="0" t="s">
        <v>85</v>
      </c>
      <c r="F6615" s="0" t="s">
        <v>86</v>
      </c>
      <c r="G6615" s="0" t="s">
        <v>171</v>
      </c>
      <c r="H6615" s="0" t="s">
        <v>172</v>
      </c>
      <c r="I6615" s="0" t="s">
        <v>43</v>
      </c>
      <c r="J6615" s="0" t="s">
        <v>44</v>
      </c>
      <c r="K6615" s="0" t="s">
        <v>30</v>
      </c>
      <c r="L6615" s="0" t="s">
        <v>31</v>
      </c>
      <c r="M6615" s="0" t="s">
        <v>173</v>
      </c>
      <c r="N6615" s="0" t="n">
        <v>1838</v>
      </c>
      <c r="O6615" s="10" t="n">
        <v>0.507963066920638</v>
      </c>
      <c r="P6615" s="10" t="n">
        <v>0.0297887143678963</v>
      </c>
      <c r="Q6615" s="0" t="str">
        <f aca="false">SUBSTITUTE(SUBSTITUTE($I6615,CHAR(61),""),CHAR(34),"")</f>
        <v>35-49</v>
      </c>
      <c r="R6615" s="0" t="str">
        <f aca="false">IF($D6615&lt;&gt;"","["&amp;$E6615&amp;"]"&amp;"|"&amp;$Q6615&amp;"|"&amp;$K6615&amp;"|"&amp;$G6615&amp;"|"&amp;IF($G6615="TX_CURR_SUBNAT.R","CY2022Q4",$M6615),"")</f>
        <v>[fyEoGEPERdI]|35-49|Female|PLHIV_Residents.T2|CY2025Q3</v>
      </c>
    </row>
    <row r="6616" customFormat="false" ht="15" hidden="false" customHeight="false" outlineLevel="0" collapsed="false">
      <c r="D6616" s="0" t="s">
        <v>84</v>
      </c>
      <c r="E6616" s="0" t="s">
        <v>85</v>
      </c>
      <c r="F6616" s="0" t="s">
        <v>86</v>
      </c>
      <c r="G6616" s="0" t="s">
        <v>171</v>
      </c>
      <c r="H6616" s="0" t="s">
        <v>172</v>
      </c>
      <c r="I6616" s="0" t="s">
        <v>45</v>
      </c>
      <c r="J6616" s="0" t="s">
        <v>46</v>
      </c>
      <c r="K6616" s="0" t="s">
        <v>30</v>
      </c>
      <c r="L6616" s="0" t="s">
        <v>31</v>
      </c>
      <c r="M6616" s="0" t="s">
        <v>173</v>
      </c>
      <c r="N6616" s="0" t="n">
        <v>1660</v>
      </c>
      <c r="O6616" s="10" t="n">
        <v>0.799548479029909</v>
      </c>
      <c r="P6616" s="10" t="n">
        <v>0.0297887143678963</v>
      </c>
      <c r="Q6616" s="0" t="str">
        <f aca="false">SUBSTITUTE(SUBSTITUTE($I6616,CHAR(61),""),CHAR(34),"")</f>
        <v>50+</v>
      </c>
      <c r="R6616" s="0" t="str">
        <f aca="false">IF($D6616&lt;&gt;"","["&amp;$E6616&amp;"]"&amp;"|"&amp;$Q6616&amp;"|"&amp;$K6616&amp;"|"&amp;$G6616&amp;"|"&amp;IF($G6616="TX_CURR_SUBNAT.R","CY2022Q4",$M6616),"")</f>
        <v>[fyEoGEPERdI]|50+|Female|PLHIV_Residents.T2|CY2025Q3</v>
      </c>
    </row>
    <row r="6617" customFormat="false" ht="15" hidden="false" customHeight="false" outlineLevel="0" collapsed="false">
      <c r="D6617" s="0" t="s">
        <v>84</v>
      </c>
      <c r="E6617" s="0" t="s">
        <v>85</v>
      </c>
      <c r="F6617" s="0" t="s">
        <v>86</v>
      </c>
      <c r="G6617" s="0" t="s">
        <v>171</v>
      </c>
      <c r="H6617" s="0" t="s">
        <v>172</v>
      </c>
      <c r="I6617" s="0" t="s">
        <v>28</v>
      </c>
      <c r="J6617" s="0" t="s">
        <v>29</v>
      </c>
      <c r="K6617" s="0" t="s">
        <v>48</v>
      </c>
      <c r="L6617" s="0" t="s">
        <v>49</v>
      </c>
      <c r="M6617" s="0" t="s">
        <v>173</v>
      </c>
      <c r="N6617" s="0" t="n">
        <v>569</v>
      </c>
      <c r="O6617" s="10" t="n">
        <v>0.720588258467615</v>
      </c>
      <c r="P6617" s="10" t="n">
        <v>0.0297887143678963</v>
      </c>
      <c r="Q6617" s="0" t="str">
        <f aca="false">SUBSTITUTE(SUBSTITUTE($I6617,CHAR(61),""),CHAR(34),"")</f>
        <v>&lt;01</v>
      </c>
      <c r="R6617" s="0" t="str">
        <f aca="false">IF($D6617&lt;&gt;"","["&amp;$E6617&amp;"]"&amp;"|"&amp;$Q6617&amp;"|"&amp;$K6617&amp;"|"&amp;$G6617&amp;"|"&amp;IF($G6617="TX_CURR_SUBNAT.R","CY2022Q4",$M6617),"")</f>
        <v>[fyEoGEPERdI]|&lt;01|Male|PLHIV_Residents.T2|CY2025Q3</v>
      </c>
    </row>
    <row r="6618" customFormat="false" ht="15" hidden="false" customHeight="false" outlineLevel="0" collapsed="false">
      <c r="D6618" s="0" t="s">
        <v>84</v>
      </c>
      <c r="E6618" s="0" t="s">
        <v>85</v>
      </c>
      <c r="F6618" s="0" t="s">
        <v>86</v>
      </c>
      <c r="G6618" s="0" t="s">
        <v>171</v>
      </c>
      <c r="H6618" s="0" t="s">
        <v>172</v>
      </c>
      <c r="I6618" s="0" t="s">
        <v>33</v>
      </c>
      <c r="J6618" s="0" t="s">
        <v>34</v>
      </c>
      <c r="K6618" s="0" t="s">
        <v>48</v>
      </c>
      <c r="L6618" s="0" t="s">
        <v>49</v>
      </c>
      <c r="M6618" s="0" t="s">
        <v>173</v>
      </c>
      <c r="N6618" s="0" t="n">
        <v>820</v>
      </c>
      <c r="O6618" s="10" t="n">
        <v>0.764593984000385</v>
      </c>
      <c r="P6618" s="10" t="n">
        <v>0.0297887143678963</v>
      </c>
      <c r="Q6618" s="0" t="str">
        <f aca="false">SUBSTITUTE(SUBSTITUTE($I6618,CHAR(61),""),CHAR(34),"")</f>
        <v>01-09</v>
      </c>
      <c r="R6618" s="0" t="str">
        <f aca="false">IF($D6618&lt;&gt;"","["&amp;$E6618&amp;"]"&amp;"|"&amp;$Q6618&amp;"|"&amp;$K6618&amp;"|"&amp;$G6618&amp;"|"&amp;IF($G6618="TX_CURR_SUBNAT.R","CY2022Q4",$M6618),"")</f>
        <v>[fyEoGEPERdI]|01-09|Male|PLHIV_Residents.T2|CY2025Q3</v>
      </c>
    </row>
    <row r="6619" customFormat="false" ht="15" hidden="false" customHeight="false" outlineLevel="0" collapsed="false">
      <c r="D6619" s="0" t="s">
        <v>84</v>
      </c>
      <c r="E6619" s="0" t="s">
        <v>85</v>
      </c>
      <c r="F6619" s="0" t="s">
        <v>86</v>
      </c>
      <c r="G6619" s="0" t="s">
        <v>171</v>
      </c>
      <c r="H6619" s="0" t="s">
        <v>172</v>
      </c>
      <c r="I6619" s="0" t="s">
        <v>36</v>
      </c>
      <c r="J6619" s="0" t="s">
        <v>37</v>
      </c>
      <c r="K6619" s="0" t="s">
        <v>48</v>
      </c>
      <c r="L6619" s="0" t="s">
        <v>49</v>
      </c>
      <c r="M6619" s="0" t="s">
        <v>173</v>
      </c>
      <c r="N6619" s="0" t="n">
        <v>828</v>
      </c>
      <c r="O6619" s="10" t="n">
        <v>0.229750800179318</v>
      </c>
      <c r="P6619" s="10" t="n">
        <v>0.0297887143678963</v>
      </c>
      <c r="Q6619" s="0" t="str">
        <f aca="false">SUBSTITUTE(SUBSTITUTE($I6619,CHAR(61),""),CHAR(34),"")</f>
        <v>10-14</v>
      </c>
      <c r="R6619" s="0" t="str">
        <f aca="false">IF($D6619&lt;&gt;"","["&amp;$E6619&amp;"]"&amp;"|"&amp;$Q6619&amp;"|"&amp;$K6619&amp;"|"&amp;$G6619&amp;"|"&amp;IF($G6619="TX_CURR_SUBNAT.R","CY2022Q4",$M6619),"")</f>
        <v>[fyEoGEPERdI]|10-14|Male|PLHIV_Residents.T2|CY2025Q3</v>
      </c>
    </row>
    <row r="6620" customFormat="false" ht="15" hidden="false" customHeight="false" outlineLevel="0" collapsed="false">
      <c r="D6620" s="0" t="s">
        <v>84</v>
      </c>
      <c r="E6620" s="0" t="s">
        <v>85</v>
      </c>
      <c r="F6620" s="0" t="s">
        <v>86</v>
      </c>
      <c r="G6620" s="0" t="s">
        <v>171</v>
      </c>
      <c r="H6620" s="0" t="s">
        <v>172</v>
      </c>
      <c r="I6620" s="0" t="s">
        <v>38</v>
      </c>
      <c r="J6620" s="0" t="s">
        <v>39</v>
      </c>
      <c r="K6620" s="0" t="s">
        <v>48</v>
      </c>
      <c r="L6620" s="0" t="s">
        <v>49</v>
      </c>
      <c r="M6620" s="0" t="s">
        <v>173</v>
      </c>
      <c r="N6620" s="0" t="n">
        <v>647</v>
      </c>
      <c r="O6620" s="10" t="n">
        <v>0.623077620286494</v>
      </c>
      <c r="P6620" s="10" t="n">
        <v>0.0297887143678963</v>
      </c>
      <c r="Q6620" s="0" t="str">
        <f aca="false">SUBSTITUTE(SUBSTITUTE($I6620,CHAR(61),""),CHAR(34),"")</f>
        <v>15-24</v>
      </c>
      <c r="R6620" s="0" t="str">
        <f aca="false">IF($D6620&lt;&gt;"","["&amp;$E6620&amp;"]"&amp;"|"&amp;$Q6620&amp;"|"&amp;$K6620&amp;"|"&amp;$G6620&amp;"|"&amp;IF($G6620="TX_CURR_SUBNAT.R","CY2022Q4",$M6620),"")</f>
        <v>[fyEoGEPERdI]|15-24|Male|PLHIV_Residents.T2|CY2025Q3</v>
      </c>
    </row>
    <row r="6621" customFormat="false" ht="15" hidden="false" customHeight="false" outlineLevel="0" collapsed="false">
      <c r="D6621" s="0" t="s">
        <v>84</v>
      </c>
      <c r="E6621" s="0" t="s">
        <v>85</v>
      </c>
      <c r="F6621" s="0" t="s">
        <v>86</v>
      </c>
      <c r="G6621" s="0" t="s">
        <v>171</v>
      </c>
      <c r="H6621" s="0" t="s">
        <v>172</v>
      </c>
      <c r="I6621" s="0" t="s">
        <v>41</v>
      </c>
      <c r="J6621" s="0" t="s">
        <v>42</v>
      </c>
      <c r="K6621" s="0" t="s">
        <v>48</v>
      </c>
      <c r="L6621" s="0" t="s">
        <v>49</v>
      </c>
      <c r="M6621" s="0" t="s">
        <v>173</v>
      </c>
      <c r="N6621" s="0" t="n">
        <v>657</v>
      </c>
      <c r="O6621" s="10" t="n">
        <v>0.947788974503055</v>
      </c>
      <c r="P6621" s="10" t="n">
        <v>0.0297887143678963</v>
      </c>
      <c r="Q6621" s="0" t="str">
        <f aca="false">SUBSTITUTE(SUBSTITUTE($I6621,CHAR(61),""),CHAR(34),"")</f>
        <v>25-34</v>
      </c>
      <c r="R6621" s="0" t="str">
        <f aca="false">IF($D6621&lt;&gt;"","["&amp;$E6621&amp;"]"&amp;"|"&amp;$Q6621&amp;"|"&amp;$K6621&amp;"|"&amp;$G6621&amp;"|"&amp;IF($G6621="TX_CURR_SUBNAT.R","CY2022Q4",$M6621),"")</f>
        <v>[fyEoGEPERdI]|25-34|Male|PLHIV_Residents.T2|CY2025Q3</v>
      </c>
    </row>
    <row r="6622" customFormat="false" ht="15" hidden="false" customHeight="false" outlineLevel="0" collapsed="false">
      <c r="D6622" s="0" t="s">
        <v>84</v>
      </c>
      <c r="E6622" s="0" t="s">
        <v>85</v>
      </c>
      <c r="F6622" s="0" t="s">
        <v>86</v>
      </c>
      <c r="G6622" s="0" t="s">
        <v>171</v>
      </c>
      <c r="H6622" s="0" t="s">
        <v>172</v>
      </c>
      <c r="I6622" s="0" t="s">
        <v>43</v>
      </c>
      <c r="J6622" s="0" t="s">
        <v>44</v>
      </c>
      <c r="K6622" s="0" t="s">
        <v>48</v>
      </c>
      <c r="L6622" s="0" t="s">
        <v>49</v>
      </c>
      <c r="M6622" s="0" t="s">
        <v>173</v>
      </c>
      <c r="N6622" s="0" t="n">
        <v>1153</v>
      </c>
      <c r="O6622" s="10" t="n">
        <v>0.626733876066282</v>
      </c>
      <c r="P6622" s="10" t="n">
        <v>0.0297887143678963</v>
      </c>
      <c r="Q6622" s="0" t="str">
        <f aca="false">SUBSTITUTE(SUBSTITUTE($I6622,CHAR(61),""),CHAR(34),"")</f>
        <v>35-49</v>
      </c>
      <c r="R6622" s="0" t="str">
        <f aca="false">IF($D6622&lt;&gt;"","["&amp;$E6622&amp;"]"&amp;"|"&amp;$Q6622&amp;"|"&amp;$K6622&amp;"|"&amp;$G6622&amp;"|"&amp;IF($G6622="TX_CURR_SUBNAT.R","CY2022Q4",$M6622),"")</f>
        <v>[fyEoGEPERdI]|35-49|Male|PLHIV_Residents.T2|CY2025Q3</v>
      </c>
    </row>
    <row r="6623" customFormat="false" ht="15" hidden="false" customHeight="false" outlineLevel="0" collapsed="false">
      <c r="D6623" s="0" t="s">
        <v>84</v>
      </c>
      <c r="E6623" s="0" t="s">
        <v>85</v>
      </c>
      <c r="F6623" s="0" t="s">
        <v>86</v>
      </c>
      <c r="G6623" s="0" t="s">
        <v>171</v>
      </c>
      <c r="H6623" s="0" t="s">
        <v>172</v>
      </c>
      <c r="I6623" s="0" t="s">
        <v>45</v>
      </c>
      <c r="J6623" s="0" t="s">
        <v>46</v>
      </c>
      <c r="K6623" s="0" t="s">
        <v>48</v>
      </c>
      <c r="L6623" s="0" t="s">
        <v>49</v>
      </c>
      <c r="M6623" s="0" t="s">
        <v>173</v>
      </c>
      <c r="N6623" s="0" t="n">
        <v>1301</v>
      </c>
      <c r="O6623" s="10" t="n">
        <v>0.886714744847268</v>
      </c>
      <c r="P6623" s="10" t="n">
        <v>0.0297887143678963</v>
      </c>
      <c r="Q6623" s="0" t="str">
        <f aca="false">SUBSTITUTE(SUBSTITUTE($I6623,CHAR(61),""),CHAR(34),"")</f>
        <v>50+</v>
      </c>
      <c r="R6623" s="0" t="str">
        <f aca="false">IF($D6623&lt;&gt;"","["&amp;$E6623&amp;"]"&amp;"|"&amp;$Q6623&amp;"|"&amp;$K6623&amp;"|"&amp;$G6623&amp;"|"&amp;IF($G6623="TX_CURR_SUBNAT.R","CY2022Q4",$M6623),"")</f>
        <v>[fyEoGEPERdI]|50+|Male|PLHIV_Residents.T2|CY2025Q3</v>
      </c>
    </row>
    <row r="6624" customFormat="false" ht="15" hidden="false" customHeight="false" outlineLevel="0" collapsed="false">
      <c r="D6624" s="0" t="s">
        <v>87</v>
      </c>
      <c r="E6624" s="0" t="s">
        <v>88</v>
      </c>
      <c r="F6624" s="0" t="s">
        <v>89</v>
      </c>
      <c r="G6624" s="0" t="s">
        <v>171</v>
      </c>
      <c r="H6624" s="0" t="s">
        <v>172</v>
      </c>
      <c r="I6624" s="0" t="s">
        <v>28</v>
      </c>
      <c r="J6624" s="0" t="s">
        <v>29</v>
      </c>
      <c r="K6624" s="0" t="s">
        <v>30</v>
      </c>
      <c r="L6624" s="0" t="s">
        <v>31</v>
      </c>
      <c r="M6624" s="0" t="s">
        <v>173</v>
      </c>
      <c r="N6624" s="0" t="n">
        <v>1528</v>
      </c>
      <c r="O6624" s="10" t="n">
        <v>0.377620862796903</v>
      </c>
      <c r="P6624" s="10" t="n">
        <v>0.133336380822584</v>
      </c>
      <c r="Q6624" s="0" t="str">
        <f aca="false">SUBSTITUTE(SUBSTITUTE($I6624,CHAR(61),""),CHAR(34),"")</f>
        <v>&lt;01</v>
      </c>
      <c r="R6624" s="0" t="str">
        <f aca="false">IF($D6624&lt;&gt;"","["&amp;$E6624&amp;"]"&amp;"|"&amp;$Q6624&amp;"|"&amp;$K6624&amp;"|"&amp;$G6624&amp;"|"&amp;IF($G6624="TX_CURR_SUBNAT.R","CY2022Q4",$M6624),"")</f>
        <v>[cPtvxaZqXIH]|&lt;01|Female|PLHIV_Residents.T2|CY2025Q3</v>
      </c>
    </row>
    <row r="6625" customFormat="false" ht="15" hidden="false" customHeight="false" outlineLevel="0" collapsed="false">
      <c r="D6625" s="0" t="s">
        <v>87</v>
      </c>
      <c r="E6625" s="0" t="s">
        <v>88</v>
      </c>
      <c r="F6625" s="0" t="s">
        <v>89</v>
      </c>
      <c r="G6625" s="0" t="s">
        <v>171</v>
      </c>
      <c r="H6625" s="0" t="s">
        <v>172</v>
      </c>
      <c r="I6625" s="0" t="s">
        <v>33</v>
      </c>
      <c r="J6625" s="0" t="s">
        <v>34</v>
      </c>
      <c r="K6625" s="0" t="s">
        <v>30</v>
      </c>
      <c r="L6625" s="0" t="s">
        <v>31</v>
      </c>
      <c r="M6625" s="0" t="s">
        <v>173</v>
      </c>
      <c r="N6625" s="0" t="n">
        <v>1208</v>
      </c>
      <c r="O6625" s="10" t="n">
        <v>0.680537199834362</v>
      </c>
      <c r="P6625" s="10" t="n">
        <v>0.133336380822584</v>
      </c>
      <c r="Q6625" s="0" t="str">
        <f aca="false">SUBSTITUTE(SUBSTITUTE($I6625,CHAR(61),""),CHAR(34),"")</f>
        <v>01-09</v>
      </c>
      <c r="R6625" s="0" t="str">
        <f aca="false">IF($D6625&lt;&gt;"","["&amp;$E6625&amp;"]"&amp;"|"&amp;$Q6625&amp;"|"&amp;$K6625&amp;"|"&amp;$G6625&amp;"|"&amp;IF($G6625="TX_CURR_SUBNAT.R","CY2022Q4",$M6625),"")</f>
        <v>[cPtvxaZqXIH]|01-09|Female|PLHIV_Residents.T2|CY2025Q3</v>
      </c>
    </row>
    <row r="6626" customFormat="false" ht="15" hidden="false" customHeight="false" outlineLevel="0" collapsed="false">
      <c r="D6626" s="0" t="s">
        <v>87</v>
      </c>
      <c r="E6626" s="0" t="s">
        <v>88</v>
      </c>
      <c r="F6626" s="0" t="s">
        <v>89</v>
      </c>
      <c r="G6626" s="0" t="s">
        <v>171</v>
      </c>
      <c r="H6626" s="0" t="s">
        <v>172</v>
      </c>
      <c r="I6626" s="0" t="s">
        <v>36</v>
      </c>
      <c r="J6626" s="0" t="s">
        <v>37</v>
      </c>
      <c r="K6626" s="0" t="s">
        <v>30</v>
      </c>
      <c r="L6626" s="0" t="s">
        <v>31</v>
      </c>
      <c r="M6626" s="0" t="s">
        <v>173</v>
      </c>
      <c r="N6626" s="0" t="n">
        <v>1555</v>
      </c>
      <c r="O6626" s="10" t="n">
        <v>0.137840641895309</v>
      </c>
      <c r="P6626" s="10" t="n">
        <v>0.133336380822584</v>
      </c>
      <c r="Q6626" s="0" t="str">
        <f aca="false">SUBSTITUTE(SUBSTITUTE($I6626,CHAR(61),""),CHAR(34),"")</f>
        <v>10-14</v>
      </c>
      <c r="R6626" s="0" t="str">
        <f aca="false">IF($D6626&lt;&gt;"","["&amp;$E6626&amp;"]"&amp;"|"&amp;$Q6626&amp;"|"&amp;$K6626&amp;"|"&amp;$G6626&amp;"|"&amp;IF($G6626="TX_CURR_SUBNAT.R","CY2022Q4",$M6626),"")</f>
        <v>[cPtvxaZqXIH]|10-14|Female|PLHIV_Residents.T2|CY2025Q3</v>
      </c>
    </row>
    <row r="6627" customFormat="false" ht="15" hidden="false" customHeight="false" outlineLevel="0" collapsed="false">
      <c r="D6627" s="0" t="s">
        <v>87</v>
      </c>
      <c r="E6627" s="0" t="s">
        <v>88</v>
      </c>
      <c r="F6627" s="0" t="s">
        <v>89</v>
      </c>
      <c r="G6627" s="0" t="s">
        <v>171</v>
      </c>
      <c r="H6627" s="0" t="s">
        <v>172</v>
      </c>
      <c r="I6627" s="0" t="s">
        <v>38</v>
      </c>
      <c r="J6627" s="0" t="s">
        <v>39</v>
      </c>
      <c r="K6627" s="0" t="s">
        <v>30</v>
      </c>
      <c r="L6627" s="0" t="s">
        <v>31</v>
      </c>
      <c r="M6627" s="0" t="s">
        <v>173</v>
      </c>
      <c r="N6627" s="0" t="n">
        <v>920</v>
      </c>
      <c r="O6627" s="10" t="n">
        <v>0.805772413965315</v>
      </c>
      <c r="P6627" s="10" t="n">
        <v>0.133336380822584</v>
      </c>
      <c r="Q6627" s="0" t="str">
        <f aca="false">SUBSTITUTE(SUBSTITUTE($I6627,CHAR(61),""),CHAR(34),"")</f>
        <v>15-24</v>
      </c>
      <c r="R6627" s="0" t="str">
        <f aca="false">IF($D6627&lt;&gt;"","["&amp;$E6627&amp;"]"&amp;"|"&amp;$Q6627&amp;"|"&amp;$K6627&amp;"|"&amp;$G6627&amp;"|"&amp;IF($G6627="TX_CURR_SUBNAT.R","CY2022Q4",$M6627),"")</f>
        <v>[cPtvxaZqXIH]|15-24|Female|PLHIV_Residents.T2|CY2025Q3</v>
      </c>
    </row>
    <row r="6628" customFormat="false" ht="15" hidden="false" customHeight="false" outlineLevel="0" collapsed="false">
      <c r="D6628" s="0" t="s">
        <v>87</v>
      </c>
      <c r="E6628" s="0" t="s">
        <v>88</v>
      </c>
      <c r="F6628" s="0" t="s">
        <v>89</v>
      </c>
      <c r="G6628" s="0" t="s">
        <v>171</v>
      </c>
      <c r="H6628" s="0" t="s">
        <v>172</v>
      </c>
      <c r="I6628" s="0" t="s">
        <v>41</v>
      </c>
      <c r="J6628" s="0" t="s">
        <v>42</v>
      </c>
      <c r="K6628" s="0" t="s">
        <v>30</v>
      </c>
      <c r="L6628" s="0" t="s">
        <v>31</v>
      </c>
      <c r="M6628" s="0" t="s">
        <v>173</v>
      </c>
      <c r="N6628" s="0" t="n">
        <v>1498</v>
      </c>
      <c r="O6628" s="10" t="n">
        <v>0.816488188691437</v>
      </c>
      <c r="P6628" s="10" t="n">
        <v>0.133336380822584</v>
      </c>
      <c r="Q6628" s="0" t="str">
        <f aca="false">SUBSTITUTE(SUBSTITUTE($I6628,CHAR(61),""),CHAR(34),"")</f>
        <v>25-34</v>
      </c>
      <c r="R6628" s="0" t="str">
        <f aca="false">IF($D6628&lt;&gt;"","["&amp;$E6628&amp;"]"&amp;"|"&amp;$Q6628&amp;"|"&amp;$K6628&amp;"|"&amp;$G6628&amp;"|"&amp;IF($G6628="TX_CURR_SUBNAT.R","CY2022Q4",$M6628),"")</f>
        <v>[cPtvxaZqXIH]|25-34|Female|PLHIV_Residents.T2|CY2025Q3</v>
      </c>
    </row>
    <row r="6629" customFormat="false" ht="15" hidden="false" customHeight="false" outlineLevel="0" collapsed="false">
      <c r="D6629" s="0" t="s">
        <v>87</v>
      </c>
      <c r="E6629" s="0" t="s">
        <v>88</v>
      </c>
      <c r="F6629" s="0" t="s">
        <v>89</v>
      </c>
      <c r="G6629" s="0" t="s">
        <v>171</v>
      </c>
      <c r="H6629" s="0" t="s">
        <v>172</v>
      </c>
      <c r="I6629" s="0" t="s">
        <v>43</v>
      </c>
      <c r="J6629" s="0" t="s">
        <v>44</v>
      </c>
      <c r="K6629" s="0" t="s">
        <v>30</v>
      </c>
      <c r="L6629" s="0" t="s">
        <v>31</v>
      </c>
      <c r="M6629" s="0" t="s">
        <v>173</v>
      </c>
      <c r="N6629" s="0" t="n">
        <v>1495</v>
      </c>
      <c r="O6629" s="10" t="n">
        <v>0.458958347095177</v>
      </c>
      <c r="P6629" s="10" t="n">
        <v>0.133336380822584</v>
      </c>
      <c r="Q6629" s="0" t="str">
        <f aca="false">SUBSTITUTE(SUBSTITUTE($I6629,CHAR(61),""),CHAR(34),"")</f>
        <v>35-49</v>
      </c>
      <c r="R6629" s="0" t="str">
        <f aca="false">IF($D6629&lt;&gt;"","["&amp;$E6629&amp;"]"&amp;"|"&amp;$Q6629&amp;"|"&amp;$K6629&amp;"|"&amp;$G6629&amp;"|"&amp;IF($G6629="TX_CURR_SUBNAT.R","CY2022Q4",$M6629),"")</f>
        <v>[cPtvxaZqXIH]|35-49|Female|PLHIV_Residents.T2|CY2025Q3</v>
      </c>
    </row>
    <row r="6630" customFormat="false" ht="15" hidden="false" customHeight="false" outlineLevel="0" collapsed="false">
      <c r="D6630" s="0" t="s">
        <v>87</v>
      </c>
      <c r="E6630" s="0" t="s">
        <v>88</v>
      </c>
      <c r="F6630" s="0" t="s">
        <v>89</v>
      </c>
      <c r="G6630" s="0" t="s">
        <v>171</v>
      </c>
      <c r="H6630" s="0" t="s">
        <v>172</v>
      </c>
      <c r="I6630" s="0" t="s">
        <v>45</v>
      </c>
      <c r="J6630" s="0" t="s">
        <v>46</v>
      </c>
      <c r="K6630" s="0" t="s">
        <v>30</v>
      </c>
      <c r="L6630" s="0" t="s">
        <v>31</v>
      </c>
      <c r="M6630" s="0" t="s">
        <v>173</v>
      </c>
      <c r="N6630" s="0" t="n">
        <v>730</v>
      </c>
      <c r="O6630" s="10" t="n">
        <v>0.803564363857731</v>
      </c>
      <c r="P6630" s="10" t="n">
        <v>0.133336380822584</v>
      </c>
      <c r="Q6630" s="0" t="str">
        <f aca="false">SUBSTITUTE(SUBSTITUTE($I6630,CHAR(61),""),CHAR(34),"")</f>
        <v>50+</v>
      </c>
      <c r="R6630" s="0" t="str">
        <f aca="false">IF($D6630&lt;&gt;"","["&amp;$E6630&amp;"]"&amp;"|"&amp;$Q6630&amp;"|"&amp;$K6630&amp;"|"&amp;$G6630&amp;"|"&amp;IF($G6630="TX_CURR_SUBNAT.R","CY2022Q4",$M6630),"")</f>
        <v>[cPtvxaZqXIH]|50+|Female|PLHIV_Residents.T2|CY2025Q3</v>
      </c>
    </row>
    <row r="6631" customFormat="false" ht="15" hidden="false" customHeight="false" outlineLevel="0" collapsed="false">
      <c r="D6631" s="0" t="s">
        <v>87</v>
      </c>
      <c r="E6631" s="0" t="s">
        <v>88</v>
      </c>
      <c r="F6631" s="0" t="s">
        <v>89</v>
      </c>
      <c r="G6631" s="0" t="s">
        <v>171</v>
      </c>
      <c r="H6631" s="0" t="s">
        <v>172</v>
      </c>
      <c r="I6631" s="0" t="s">
        <v>28</v>
      </c>
      <c r="J6631" s="0" t="s">
        <v>29</v>
      </c>
      <c r="K6631" s="0" t="s">
        <v>48</v>
      </c>
      <c r="L6631" s="0" t="s">
        <v>49</v>
      </c>
      <c r="M6631" s="0" t="s">
        <v>173</v>
      </c>
      <c r="N6631" s="0" t="n">
        <v>511</v>
      </c>
      <c r="O6631" s="10" t="n">
        <v>0.253673341358081</v>
      </c>
      <c r="P6631" s="10" t="n">
        <v>0.133336380822584</v>
      </c>
      <c r="Q6631" s="0" t="str">
        <f aca="false">SUBSTITUTE(SUBSTITUTE($I6631,CHAR(61),""),CHAR(34),"")</f>
        <v>&lt;01</v>
      </c>
      <c r="R6631" s="0" t="str">
        <f aca="false">IF($D6631&lt;&gt;"","["&amp;$E6631&amp;"]"&amp;"|"&amp;$Q6631&amp;"|"&amp;$K6631&amp;"|"&amp;$G6631&amp;"|"&amp;IF($G6631="TX_CURR_SUBNAT.R","CY2022Q4",$M6631),"")</f>
        <v>[cPtvxaZqXIH]|&lt;01|Male|PLHIV_Residents.T2|CY2025Q3</v>
      </c>
    </row>
    <row r="6632" customFormat="false" ht="15" hidden="false" customHeight="false" outlineLevel="0" collapsed="false">
      <c r="D6632" s="0" t="s">
        <v>87</v>
      </c>
      <c r="E6632" s="0" t="s">
        <v>88</v>
      </c>
      <c r="F6632" s="0" t="s">
        <v>89</v>
      </c>
      <c r="G6632" s="0" t="s">
        <v>171</v>
      </c>
      <c r="H6632" s="0" t="s">
        <v>172</v>
      </c>
      <c r="I6632" s="0" t="s">
        <v>33</v>
      </c>
      <c r="J6632" s="0" t="s">
        <v>34</v>
      </c>
      <c r="K6632" s="0" t="s">
        <v>48</v>
      </c>
      <c r="L6632" s="0" t="s">
        <v>49</v>
      </c>
      <c r="M6632" s="0" t="s">
        <v>173</v>
      </c>
      <c r="N6632" s="0" t="n">
        <v>1890</v>
      </c>
      <c r="O6632" s="10" t="n">
        <v>0.205345653230324</v>
      </c>
      <c r="P6632" s="10" t="n">
        <v>0.133336380822584</v>
      </c>
      <c r="Q6632" s="0" t="str">
        <f aca="false">SUBSTITUTE(SUBSTITUTE($I6632,CHAR(61),""),CHAR(34),"")</f>
        <v>01-09</v>
      </c>
      <c r="R6632" s="0" t="str">
        <f aca="false">IF($D6632&lt;&gt;"","["&amp;$E6632&amp;"]"&amp;"|"&amp;$Q6632&amp;"|"&amp;$K6632&amp;"|"&amp;$G6632&amp;"|"&amp;IF($G6632="TX_CURR_SUBNAT.R","CY2022Q4",$M6632),"")</f>
        <v>[cPtvxaZqXIH]|01-09|Male|PLHIV_Residents.T2|CY2025Q3</v>
      </c>
    </row>
    <row r="6633" customFormat="false" ht="15" hidden="false" customHeight="false" outlineLevel="0" collapsed="false">
      <c r="D6633" s="0" t="s">
        <v>87</v>
      </c>
      <c r="E6633" s="0" t="s">
        <v>88</v>
      </c>
      <c r="F6633" s="0" t="s">
        <v>89</v>
      </c>
      <c r="G6633" s="0" t="s">
        <v>171</v>
      </c>
      <c r="H6633" s="0" t="s">
        <v>172</v>
      </c>
      <c r="I6633" s="0" t="s">
        <v>36</v>
      </c>
      <c r="J6633" s="0" t="s">
        <v>37</v>
      </c>
      <c r="K6633" s="0" t="s">
        <v>48</v>
      </c>
      <c r="L6633" s="0" t="s">
        <v>49</v>
      </c>
      <c r="M6633" s="0" t="s">
        <v>173</v>
      </c>
      <c r="N6633" s="0" t="n">
        <v>658</v>
      </c>
      <c r="O6633" s="10" t="n">
        <v>0.773539376910776</v>
      </c>
      <c r="P6633" s="10" t="n">
        <v>0.133336380822584</v>
      </c>
      <c r="Q6633" s="0" t="str">
        <f aca="false">SUBSTITUTE(SUBSTITUTE($I6633,CHAR(61),""),CHAR(34),"")</f>
        <v>10-14</v>
      </c>
      <c r="R6633" s="0" t="str">
        <f aca="false">IF($D6633&lt;&gt;"","["&amp;$E6633&amp;"]"&amp;"|"&amp;$Q6633&amp;"|"&amp;$K6633&amp;"|"&amp;$G6633&amp;"|"&amp;IF($G6633="TX_CURR_SUBNAT.R","CY2022Q4",$M6633),"")</f>
        <v>[cPtvxaZqXIH]|10-14|Male|PLHIV_Residents.T2|CY2025Q3</v>
      </c>
    </row>
    <row r="6634" customFormat="false" ht="15" hidden="false" customHeight="false" outlineLevel="0" collapsed="false">
      <c r="D6634" s="0" t="s">
        <v>87</v>
      </c>
      <c r="E6634" s="0" t="s">
        <v>88</v>
      </c>
      <c r="F6634" s="0" t="s">
        <v>89</v>
      </c>
      <c r="G6634" s="0" t="s">
        <v>171</v>
      </c>
      <c r="H6634" s="0" t="s">
        <v>172</v>
      </c>
      <c r="I6634" s="0" t="s">
        <v>38</v>
      </c>
      <c r="J6634" s="0" t="s">
        <v>39</v>
      </c>
      <c r="K6634" s="0" t="s">
        <v>48</v>
      </c>
      <c r="L6634" s="0" t="s">
        <v>49</v>
      </c>
      <c r="M6634" s="0" t="s">
        <v>173</v>
      </c>
      <c r="N6634" s="0" t="n">
        <v>1382</v>
      </c>
      <c r="O6634" s="10" t="n">
        <v>0.291418614564463</v>
      </c>
      <c r="P6634" s="10" t="n">
        <v>0.133336380822584</v>
      </c>
      <c r="Q6634" s="0" t="str">
        <f aca="false">SUBSTITUTE(SUBSTITUTE($I6634,CHAR(61),""),CHAR(34),"")</f>
        <v>15-24</v>
      </c>
      <c r="R6634" s="0" t="str">
        <f aca="false">IF($D6634&lt;&gt;"","["&amp;$E6634&amp;"]"&amp;"|"&amp;$Q6634&amp;"|"&amp;$K6634&amp;"|"&amp;$G6634&amp;"|"&amp;IF($G6634="TX_CURR_SUBNAT.R","CY2022Q4",$M6634),"")</f>
        <v>[cPtvxaZqXIH]|15-24|Male|PLHIV_Residents.T2|CY2025Q3</v>
      </c>
    </row>
    <row r="6635" customFormat="false" ht="15" hidden="false" customHeight="false" outlineLevel="0" collapsed="false">
      <c r="D6635" s="0" t="s">
        <v>87</v>
      </c>
      <c r="E6635" s="0" t="s">
        <v>88</v>
      </c>
      <c r="F6635" s="0" t="s">
        <v>89</v>
      </c>
      <c r="G6635" s="0" t="s">
        <v>171</v>
      </c>
      <c r="H6635" s="0" t="s">
        <v>172</v>
      </c>
      <c r="I6635" s="0" t="s">
        <v>41</v>
      </c>
      <c r="J6635" s="0" t="s">
        <v>42</v>
      </c>
      <c r="K6635" s="0" t="s">
        <v>48</v>
      </c>
      <c r="L6635" s="0" t="s">
        <v>49</v>
      </c>
      <c r="M6635" s="0" t="s">
        <v>173</v>
      </c>
      <c r="N6635" s="0" t="n">
        <v>1085</v>
      </c>
      <c r="O6635" s="10" t="n">
        <v>0.636959339492023</v>
      </c>
      <c r="P6635" s="10" t="n">
        <v>0.133336380822584</v>
      </c>
      <c r="Q6635" s="0" t="str">
        <f aca="false">SUBSTITUTE(SUBSTITUTE($I6635,CHAR(61),""),CHAR(34),"")</f>
        <v>25-34</v>
      </c>
      <c r="R6635" s="0" t="str">
        <f aca="false">IF($D6635&lt;&gt;"","["&amp;$E6635&amp;"]"&amp;"|"&amp;$Q6635&amp;"|"&amp;$K6635&amp;"|"&amp;$G6635&amp;"|"&amp;IF($G6635="TX_CURR_SUBNAT.R","CY2022Q4",$M6635),"")</f>
        <v>[cPtvxaZqXIH]|25-34|Male|PLHIV_Residents.T2|CY2025Q3</v>
      </c>
    </row>
    <row r="6636" customFormat="false" ht="15" hidden="false" customHeight="false" outlineLevel="0" collapsed="false">
      <c r="D6636" s="0" t="s">
        <v>87</v>
      </c>
      <c r="E6636" s="0" t="s">
        <v>88</v>
      </c>
      <c r="F6636" s="0" t="s">
        <v>89</v>
      </c>
      <c r="G6636" s="0" t="s">
        <v>171</v>
      </c>
      <c r="H6636" s="0" t="s">
        <v>172</v>
      </c>
      <c r="I6636" s="0" t="s">
        <v>43</v>
      </c>
      <c r="J6636" s="0" t="s">
        <v>44</v>
      </c>
      <c r="K6636" s="0" t="s">
        <v>48</v>
      </c>
      <c r="L6636" s="0" t="s">
        <v>49</v>
      </c>
      <c r="M6636" s="0" t="s">
        <v>173</v>
      </c>
      <c r="N6636" s="0" t="n">
        <v>755</v>
      </c>
      <c r="O6636" s="10" t="n">
        <v>0.329504798632115</v>
      </c>
      <c r="P6636" s="10" t="n">
        <v>0.133336380822584</v>
      </c>
      <c r="Q6636" s="0" t="str">
        <f aca="false">SUBSTITUTE(SUBSTITUTE($I6636,CHAR(61),""),CHAR(34),"")</f>
        <v>35-49</v>
      </c>
      <c r="R6636" s="0" t="str">
        <f aca="false">IF($D6636&lt;&gt;"","["&amp;$E6636&amp;"]"&amp;"|"&amp;$Q6636&amp;"|"&amp;$K6636&amp;"|"&amp;$G6636&amp;"|"&amp;IF($G6636="TX_CURR_SUBNAT.R","CY2022Q4",$M6636),"")</f>
        <v>[cPtvxaZqXIH]|35-49|Male|PLHIV_Residents.T2|CY2025Q3</v>
      </c>
    </row>
    <row r="6637" customFormat="false" ht="15" hidden="false" customHeight="false" outlineLevel="0" collapsed="false">
      <c r="D6637" s="0" t="s">
        <v>87</v>
      </c>
      <c r="E6637" s="0" t="s">
        <v>88</v>
      </c>
      <c r="F6637" s="0" t="s">
        <v>89</v>
      </c>
      <c r="G6637" s="0" t="s">
        <v>171</v>
      </c>
      <c r="H6637" s="0" t="s">
        <v>172</v>
      </c>
      <c r="I6637" s="0" t="s">
        <v>45</v>
      </c>
      <c r="J6637" s="0" t="s">
        <v>46</v>
      </c>
      <c r="K6637" s="0" t="s">
        <v>48</v>
      </c>
      <c r="L6637" s="0" t="s">
        <v>49</v>
      </c>
      <c r="M6637" s="0" t="s">
        <v>173</v>
      </c>
      <c r="N6637" s="0" t="n">
        <v>1532</v>
      </c>
      <c r="O6637" s="10" t="n">
        <v>0.462464782875031</v>
      </c>
      <c r="P6637" s="10" t="n">
        <v>0.133336380822584</v>
      </c>
      <c r="Q6637" s="0" t="str">
        <f aca="false">SUBSTITUTE(SUBSTITUTE($I6637,CHAR(61),""),CHAR(34),"")</f>
        <v>50+</v>
      </c>
      <c r="R6637" s="0" t="str">
        <f aca="false">IF($D6637&lt;&gt;"","["&amp;$E6637&amp;"]"&amp;"|"&amp;$Q6637&amp;"|"&amp;$K6637&amp;"|"&amp;$G6637&amp;"|"&amp;IF($G6637="TX_CURR_SUBNAT.R","CY2022Q4",$M6637),"")</f>
        <v>[cPtvxaZqXIH]|50+|Male|PLHIV_Residents.T2|CY2025Q3</v>
      </c>
    </row>
    <row r="6638" customFormat="false" ht="15" hidden="false" customHeight="false" outlineLevel="0" collapsed="false">
      <c r="D6638" s="0" t="s">
        <v>90</v>
      </c>
      <c r="E6638" s="0" t="s">
        <v>91</v>
      </c>
      <c r="F6638" s="0" t="s">
        <v>92</v>
      </c>
      <c r="G6638" s="0" t="s">
        <v>171</v>
      </c>
      <c r="H6638" s="0" t="s">
        <v>172</v>
      </c>
      <c r="I6638" s="0" t="s">
        <v>28</v>
      </c>
      <c r="J6638" s="0" t="s">
        <v>29</v>
      </c>
      <c r="K6638" s="0" t="s">
        <v>30</v>
      </c>
      <c r="L6638" s="0" t="s">
        <v>31</v>
      </c>
      <c r="M6638" s="0" t="s">
        <v>173</v>
      </c>
      <c r="N6638" s="0" t="n">
        <v>836</v>
      </c>
      <c r="O6638" s="10" t="n">
        <v>0.985052285948768</v>
      </c>
      <c r="P6638" s="10" t="n">
        <v>0.719914150424302</v>
      </c>
      <c r="Q6638" s="0" t="str">
        <f aca="false">SUBSTITUTE(SUBSTITUTE($I6638,CHAR(61),""),CHAR(34),"")</f>
        <v>&lt;01</v>
      </c>
      <c r="R6638" s="0" t="str">
        <f aca="false">IF($D6638&lt;&gt;"","["&amp;$E6638&amp;"]"&amp;"|"&amp;$Q6638&amp;"|"&amp;$K6638&amp;"|"&amp;$G6638&amp;"|"&amp;IF($G6638="TX_CURR_SUBNAT.R","CY2022Q4",$M6638),"")</f>
        <v>[AZyWpGzhcaA]|&lt;01|Female|PLHIV_Residents.T2|CY2025Q3</v>
      </c>
    </row>
    <row r="6639" customFormat="false" ht="15" hidden="false" customHeight="false" outlineLevel="0" collapsed="false">
      <c r="D6639" s="0" t="s">
        <v>90</v>
      </c>
      <c r="E6639" s="0" t="s">
        <v>91</v>
      </c>
      <c r="F6639" s="0" t="s">
        <v>92</v>
      </c>
      <c r="G6639" s="0" t="s">
        <v>171</v>
      </c>
      <c r="H6639" s="0" t="s">
        <v>172</v>
      </c>
      <c r="I6639" s="0" t="s">
        <v>33</v>
      </c>
      <c r="J6639" s="0" t="s">
        <v>34</v>
      </c>
      <c r="K6639" s="0" t="s">
        <v>30</v>
      </c>
      <c r="L6639" s="0" t="s">
        <v>31</v>
      </c>
      <c r="M6639" s="0" t="s">
        <v>173</v>
      </c>
      <c r="N6639" s="0" t="n">
        <v>855</v>
      </c>
      <c r="O6639" s="10" t="n">
        <v>0.423014429630712</v>
      </c>
      <c r="P6639" s="10" t="n">
        <v>0.719914150424302</v>
      </c>
      <c r="Q6639" s="0" t="str">
        <f aca="false">SUBSTITUTE(SUBSTITUTE($I6639,CHAR(61),""),CHAR(34),"")</f>
        <v>01-09</v>
      </c>
      <c r="R6639" s="0" t="str">
        <f aca="false">IF($D6639&lt;&gt;"","["&amp;$E6639&amp;"]"&amp;"|"&amp;$Q6639&amp;"|"&amp;$K6639&amp;"|"&amp;$G6639&amp;"|"&amp;IF($G6639="TX_CURR_SUBNAT.R","CY2022Q4",$M6639),"")</f>
        <v>[AZyWpGzhcaA]|01-09|Female|PLHIV_Residents.T2|CY2025Q3</v>
      </c>
    </row>
    <row r="6640" customFormat="false" ht="15" hidden="false" customHeight="false" outlineLevel="0" collapsed="false">
      <c r="D6640" s="0" t="s">
        <v>90</v>
      </c>
      <c r="E6640" s="0" t="s">
        <v>91</v>
      </c>
      <c r="F6640" s="0" t="s">
        <v>92</v>
      </c>
      <c r="G6640" s="0" t="s">
        <v>171</v>
      </c>
      <c r="H6640" s="0" t="s">
        <v>172</v>
      </c>
      <c r="I6640" s="0" t="s">
        <v>36</v>
      </c>
      <c r="J6640" s="0" t="s">
        <v>37</v>
      </c>
      <c r="K6640" s="0" t="s">
        <v>30</v>
      </c>
      <c r="L6640" s="0" t="s">
        <v>31</v>
      </c>
      <c r="M6640" s="0" t="s">
        <v>173</v>
      </c>
      <c r="N6640" s="0" t="n">
        <v>1369</v>
      </c>
      <c r="O6640" s="10" t="n">
        <v>0.728129490977153</v>
      </c>
      <c r="P6640" s="10" t="n">
        <v>0.719914150424302</v>
      </c>
      <c r="Q6640" s="0" t="str">
        <f aca="false">SUBSTITUTE(SUBSTITUTE($I6640,CHAR(61),""),CHAR(34),"")</f>
        <v>10-14</v>
      </c>
      <c r="R6640" s="0" t="str">
        <f aca="false">IF($D6640&lt;&gt;"","["&amp;$E6640&amp;"]"&amp;"|"&amp;$Q6640&amp;"|"&amp;$K6640&amp;"|"&amp;$G6640&amp;"|"&amp;IF($G6640="TX_CURR_SUBNAT.R","CY2022Q4",$M6640),"")</f>
        <v>[AZyWpGzhcaA]|10-14|Female|PLHIV_Residents.T2|CY2025Q3</v>
      </c>
    </row>
    <row r="6641" customFormat="false" ht="15" hidden="false" customHeight="false" outlineLevel="0" collapsed="false">
      <c r="D6641" s="0" t="s">
        <v>90</v>
      </c>
      <c r="E6641" s="0" t="s">
        <v>91</v>
      </c>
      <c r="F6641" s="0" t="s">
        <v>92</v>
      </c>
      <c r="G6641" s="0" t="s">
        <v>171</v>
      </c>
      <c r="H6641" s="0" t="s">
        <v>172</v>
      </c>
      <c r="I6641" s="0" t="s">
        <v>38</v>
      </c>
      <c r="J6641" s="0" t="s">
        <v>39</v>
      </c>
      <c r="K6641" s="0" t="s">
        <v>30</v>
      </c>
      <c r="L6641" s="0" t="s">
        <v>31</v>
      </c>
      <c r="M6641" s="0" t="s">
        <v>173</v>
      </c>
      <c r="N6641" s="0" t="n">
        <v>1150</v>
      </c>
      <c r="O6641" s="10" t="n">
        <v>0.270774108124897</v>
      </c>
      <c r="P6641" s="10" t="n">
        <v>0.719914150424302</v>
      </c>
      <c r="Q6641" s="0" t="str">
        <f aca="false">SUBSTITUTE(SUBSTITUTE($I6641,CHAR(61),""),CHAR(34),"")</f>
        <v>15-24</v>
      </c>
      <c r="R6641" s="0" t="str">
        <f aca="false">IF($D6641&lt;&gt;"","["&amp;$E6641&amp;"]"&amp;"|"&amp;$Q6641&amp;"|"&amp;$K6641&amp;"|"&amp;$G6641&amp;"|"&amp;IF($G6641="TX_CURR_SUBNAT.R","CY2022Q4",$M6641),"")</f>
        <v>[AZyWpGzhcaA]|15-24|Female|PLHIV_Residents.T2|CY2025Q3</v>
      </c>
    </row>
    <row r="6642" customFormat="false" ht="15" hidden="false" customHeight="false" outlineLevel="0" collapsed="false">
      <c r="D6642" s="0" t="s">
        <v>90</v>
      </c>
      <c r="E6642" s="0" t="s">
        <v>91</v>
      </c>
      <c r="F6642" s="0" t="s">
        <v>92</v>
      </c>
      <c r="G6642" s="0" t="s">
        <v>171</v>
      </c>
      <c r="H6642" s="0" t="s">
        <v>172</v>
      </c>
      <c r="I6642" s="0" t="s">
        <v>41</v>
      </c>
      <c r="J6642" s="0" t="s">
        <v>42</v>
      </c>
      <c r="K6642" s="0" t="s">
        <v>30</v>
      </c>
      <c r="L6642" s="0" t="s">
        <v>31</v>
      </c>
      <c r="M6642" s="0" t="s">
        <v>173</v>
      </c>
      <c r="N6642" s="0" t="n">
        <v>1009</v>
      </c>
      <c r="O6642" s="10" t="n">
        <v>0.764238539850339</v>
      </c>
      <c r="P6642" s="10" t="n">
        <v>0.719914150424302</v>
      </c>
      <c r="Q6642" s="0" t="str">
        <f aca="false">SUBSTITUTE(SUBSTITUTE($I6642,CHAR(61),""),CHAR(34),"")</f>
        <v>25-34</v>
      </c>
      <c r="R6642" s="0" t="str">
        <f aca="false">IF($D6642&lt;&gt;"","["&amp;$E6642&amp;"]"&amp;"|"&amp;$Q6642&amp;"|"&amp;$K6642&amp;"|"&amp;$G6642&amp;"|"&amp;IF($G6642="TX_CURR_SUBNAT.R","CY2022Q4",$M6642),"")</f>
        <v>[AZyWpGzhcaA]|25-34|Female|PLHIV_Residents.T2|CY2025Q3</v>
      </c>
    </row>
    <row r="6643" customFormat="false" ht="15" hidden="false" customHeight="false" outlineLevel="0" collapsed="false">
      <c r="D6643" s="0" t="s">
        <v>90</v>
      </c>
      <c r="E6643" s="0" t="s">
        <v>91</v>
      </c>
      <c r="F6643" s="0" t="s">
        <v>92</v>
      </c>
      <c r="G6643" s="0" t="s">
        <v>171</v>
      </c>
      <c r="H6643" s="0" t="s">
        <v>172</v>
      </c>
      <c r="I6643" s="0" t="s">
        <v>43</v>
      </c>
      <c r="J6643" s="0" t="s">
        <v>44</v>
      </c>
      <c r="K6643" s="0" t="s">
        <v>30</v>
      </c>
      <c r="L6643" s="0" t="s">
        <v>31</v>
      </c>
      <c r="M6643" s="0" t="s">
        <v>173</v>
      </c>
      <c r="N6643" s="0" t="n">
        <v>638</v>
      </c>
      <c r="O6643" s="10" t="n">
        <v>0.336241973564029</v>
      </c>
      <c r="P6643" s="10" t="n">
        <v>0.719914150424302</v>
      </c>
      <c r="Q6643" s="0" t="str">
        <f aca="false">SUBSTITUTE(SUBSTITUTE($I6643,CHAR(61),""),CHAR(34),"")</f>
        <v>35-49</v>
      </c>
      <c r="R6643" s="0" t="str">
        <f aca="false">IF($D6643&lt;&gt;"","["&amp;$E6643&amp;"]"&amp;"|"&amp;$Q6643&amp;"|"&amp;$K6643&amp;"|"&amp;$G6643&amp;"|"&amp;IF($G6643="TX_CURR_SUBNAT.R","CY2022Q4",$M6643),"")</f>
        <v>[AZyWpGzhcaA]|35-49|Female|PLHIV_Residents.T2|CY2025Q3</v>
      </c>
    </row>
    <row r="6644" customFormat="false" ht="15" hidden="false" customHeight="false" outlineLevel="0" collapsed="false">
      <c r="D6644" s="0" t="s">
        <v>90</v>
      </c>
      <c r="E6644" s="0" t="s">
        <v>91</v>
      </c>
      <c r="F6644" s="0" t="s">
        <v>92</v>
      </c>
      <c r="G6644" s="0" t="s">
        <v>171</v>
      </c>
      <c r="H6644" s="0" t="s">
        <v>172</v>
      </c>
      <c r="I6644" s="0" t="s">
        <v>45</v>
      </c>
      <c r="J6644" s="0" t="s">
        <v>46</v>
      </c>
      <c r="K6644" s="0" t="s">
        <v>30</v>
      </c>
      <c r="L6644" s="0" t="s">
        <v>31</v>
      </c>
      <c r="M6644" s="0" t="s">
        <v>173</v>
      </c>
      <c r="N6644" s="0" t="n">
        <v>1002</v>
      </c>
      <c r="O6644" s="10" t="n">
        <v>0.0864090260583907</v>
      </c>
      <c r="P6644" s="10" t="n">
        <v>0.719914150424302</v>
      </c>
      <c r="Q6644" s="0" t="str">
        <f aca="false">SUBSTITUTE(SUBSTITUTE($I6644,CHAR(61),""),CHAR(34),"")</f>
        <v>50+</v>
      </c>
      <c r="R6644" s="0" t="str">
        <f aca="false">IF($D6644&lt;&gt;"","["&amp;$E6644&amp;"]"&amp;"|"&amp;$Q6644&amp;"|"&amp;$K6644&amp;"|"&amp;$G6644&amp;"|"&amp;IF($G6644="TX_CURR_SUBNAT.R","CY2022Q4",$M6644),"")</f>
        <v>[AZyWpGzhcaA]|50+|Female|PLHIV_Residents.T2|CY2025Q3</v>
      </c>
    </row>
    <row r="6645" customFormat="false" ht="15" hidden="false" customHeight="false" outlineLevel="0" collapsed="false">
      <c r="D6645" s="0" t="s">
        <v>90</v>
      </c>
      <c r="E6645" s="0" t="s">
        <v>91</v>
      </c>
      <c r="F6645" s="0" t="s">
        <v>92</v>
      </c>
      <c r="G6645" s="0" t="s">
        <v>171</v>
      </c>
      <c r="H6645" s="0" t="s">
        <v>172</v>
      </c>
      <c r="I6645" s="0" t="s">
        <v>28</v>
      </c>
      <c r="J6645" s="0" t="s">
        <v>29</v>
      </c>
      <c r="K6645" s="0" t="s">
        <v>48</v>
      </c>
      <c r="L6645" s="0" t="s">
        <v>49</v>
      </c>
      <c r="M6645" s="0" t="s">
        <v>173</v>
      </c>
      <c r="N6645" s="0" t="n">
        <v>1500</v>
      </c>
      <c r="O6645" s="10" t="n">
        <v>0.46440703002736</v>
      </c>
      <c r="P6645" s="10" t="n">
        <v>0.719914150424302</v>
      </c>
      <c r="Q6645" s="0" t="str">
        <f aca="false">SUBSTITUTE(SUBSTITUTE($I6645,CHAR(61),""),CHAR(34),"")</f>
        <v>&lt;01</v>
      </c>
      <c r="R6645" s="0" t="str">
        <f aca="false">IF($D6645&lt;&gt;"","["&amp;$E6645&amp;"]"&amp;"|"&amp;$Q6645&amp;"|"&amp;$K6645&amp;"|"&amp;$G6645&amp;"|"&amp;IF($G6645="TX_CURR_SUBNAT.R","CY2022Q4",$M6645),"")</f>
        <v>[AZyWpGzhcaA]|&lt;01|Male|PLHIV_Residents.T2|CY2025Q3</v>
      </c>
    </row>
    <row r="6646" customFormat="false" ht="15" hidden="false" customHeight="false" outlineLevel="0" collapsed="false">
      <c r="D6646" s="0" t="s">
        <v>90</v>
      </c>
      <c r="E6646" s="0" t="s">
        <v>91</v>
      </c>
      <c r="F6646" s="0" t="s">
        <v>92</v>
      </c>
      <c r="G6646" s="0" t="s">
        <v>171</v>
      </c>
      <c r="H6646" s="0" t="s">
        <v>172</v>
      </c>
      <c r="I6646" s="0" t="s">
        <v>33</v>
      </c>
      <c r="J6646" s="0" t="s">
        <v>34</v>
      </c>
      <c r="K6646" s="0" t="s">
        <v>48</v>
      </c>
      <c r="L6646" s="0" t="s">
        <v>49</v>
      </c>
      <c r="M6646" s="0" t="s">
        <v>173</v>
      </c>
      <c r="N6646" s="0" t="n">
        <v>1468</v>
      </c>
      <c r="O6646" s="10" t="n">
        <v>0.833641330711544</v>
      </c>
      <c r="P6646" s="10" t="n">
        <v>0.719914150424302</v>
      </c>
      <c r="Q6646" s="0" t="str">
        <f aca="false">SUBSTITUTE(SUBSTITUTE($I6646,CHAR(61),""),CHAR(34),"")</f>
        <v>01-09</v>
      </c>
      <c r="R6646" s="0" t="str">
        <f aca="false">IF($D6646&lt;&gt;"","["&amp;$E6646&amp;"]"&amp;"|"&amp;$Q6646&amp;"|"&amp;$K6646&amp;"|"&amp;$G6646&amp;"|"&amp;IF($G6646="TX_CURR_SUBNAT.R","CY2022Q4",$M6646),"")</f>
        <v>[AZyWpGzhcaA]|01-09|Male|PLHIV_Residents.T2|CY2025Q3</v>
      </c>
    </row>
    <row r="6647" customFormat="false" ht="15" hidden="false" customHeight="false" outlineLevel="0" collapsed="false">
      <c r="D6647" s="0" t="s">
        <v>90</v>
      </c>
      <c r="E6647" s="0" t="s">
        <v>91</v>
      </c>
      <c r="F6647" s="0" t="s">
        <v>92</v>
      </c>
      <c r="G6647" s="0" t="s">
        <v>171</v>
      </c>
      <c r="H6647" s="0" t="s">
        <v>172</v>
      </c>
      <c r="I6647" s="0" t="s">
        <v>36</v>
      </c>
      <c r="J6647" s="0" t="s">
        <v>37</v>
      </c>
      <c r="K6647" s="0" t="s">
        <v>48</v>
      </c>
      <c r="L6647" s="0" t="s">
        <v>49</v>
      </c>
      <c r="M6647" s="0" t="s">
        <v>173</v>
      </c>
      <c r="N6647" s="0" t="n">
        <v>1777</v>
      </c>
      <c r="O6647" s="10" t="n">
        <v>0.548374688718468</v>
      </c>
      <c r="P6647" s="10" t="n">
        <v>0.719914150424302</v>
      </c>
      <c r="Q6647" s="0" t="str">
        <f aca="false">SUBSTITUTE(SUBSTITUTE($I6647,CHAR(61),""),CHAR(34),"")</f>
        <v>10-14</v>
      </c>
      <c r="R6647" s="0" t="str">
        <f aca="false">IF($D6647&lt;&gt;"","["&amp;$E6647&amp;"]"&amp;"|"&amp;$Q6647&amp;"|"&amp;$K6647&amp;"|"&amp;$G6647&amp;"|"&amp;IF($G6647="TX_CURR_SUBNAT.R","CY2022Q4",$M6647),"")</f>
        <v>[AZyWpGzhcaA]|10-14|Male|PLHIV_Residents.T2|CY2025Q3</v>
      </c>
    </row>
    <row r="6648" customFormat="false" ht="15" hidden="false" customHeight="false" outlineLevel="0" collapsed="false">
      <c r="D6648" s="0" t="s">
        <v>90</v>
      </c>
      <c r="E6648" s="0" t="s">
        <v>91</v>
      </c>
      <c r="F6648" s="0" t="s">
        <v>92</v>
      </c>
      <c r="G6648" s="0" t="s">
        <v>171</v>
      </c>
      <c r="H6648" s="0" t="s">
        <v>172</v>
      </c>
      <c r="I6648" s="0" t="s">
        <v>38</v>
      </c>
      <c r="J6648" s="0" t="s">
        <v>39</v>
      </c>
      <c r="K6648" s="0" t="s">
        <v>48</v>
      </c>
      <c r="L6648" s="0" t="s">
        <v>49</v>
      </c>
      <c r="M6648" s="0" t="s">
        <v>173</v>
      </c>
      <c r="N6648" s="0" t="n">
        <v>1731</v>
      </c>
      <c r="O6648" s="10" t="n">
        <v>0.165853167884052</v>
      </c>
      <c r="P6648" s="10" t="n">
        <v>0.719914150424302</v>
      </c>
      <c r="Q6648" s="0" t="str">
        <f aca="false">SUBSTITUTE(SUBSTITUTE($I6648,CHAR(61),""),CHAR(34),"")</f>
        <v>15-24</v>
      </c>
      <c r="R6648" s="0" t="str">
        <f aca="false">IF($D6648&lt;&gt;"","["&amp;$E6648&amp;"]"&amp;"|"&amp;$Q6648&amp;"|"&amp;$K6648&amp;"|"&amp;$G6648&amp;"|"&amp;IF($G6648="TX_CURR_SUBNAT.R","CY2022Q4",$M6648),"")</f>
        <v>[AZyWpGzhcaA]|15-24|Male|PLHIV_Residents.T2|CY2025Q3</v>
      </c>
    </row>
    <row r="6649" customFormat="false" ht="15" hidden="false" customHeight="false" outlineLevel="0" collapsed="false">
      <c r="D6649" s="0" t="s">
        <v>90</v>
      </c>
      <c r="E6649" s="0" t="s">
        <v>91</v>
      </c>
      <c r="F6649" s="0" t="s">
        <v>92</v>
      </c>
      <c r="G6649" s="0" t="s">
        <v>171</v>
      </c>
      <c r="H6649" s="0" t="s">
        <v>172</v>
      </c>
      <c r="I6649" s="0" t="s">
        <v>41</v>
      </c>
      <c r="J6649" s="0" t="s">
        <v>42</v>
      </c>
      <c r="K6649" s="0" t="s">
        <v>48</v>
      </c>
      <c r="L6649" s="0" t="s">
        <v>49</v>
      </c>
      <c r="M6649" s="0" t="s">
        <v>173</v>
      </c>
      <c r="N6649" s="0" t="n">
        <v>1701</v>
      </c>
      <c r="O6649" s="10" t="n">
        <v>0.236678459681571</v>
      </c>
      <c r="P6649" s="10" t="n">
        <v>0.719914150424302</v>
      </c>
      <c r="Q6649" s="0" t="str">
        <f aca="false">SUBSTITUTE(SUBSTITUTE($I6649,CHAR(61),""),CHAR(34),"")</f>
        <v>25-34</v>
      </c>
      <c r="R6649" s="0" t="str">
        <f aca="false">IF($D6649&lt;&gt;"","["&amp;$E6649&amp;"]"&amp;"|"&amp;$Q6649&amp;"|"&amp;$K6649&amp;"|"&amp;$G6649&amp;"|"&amp;IF($G6649="TX_CURR_SUBNAT.R","CY2022Q4",$M6649),"")</f>
        <v>[AZyWpGzhcaA]|25-34|Male|PLHIV_Residents.T2|CY2025Q3</v>
      </c>
    </row>
    <row r="6650" customFormat="false" ht="15" hidden="false" customHeight="false" outlineLevel="0" collapsed="false">
      <c r="D6650" s="0" t="s">
        <v>90</v>
      </c>
      <c r="E6650" s="0" t="s">
        <v>91</v>
      </c>
      <c r="F6650" s="0" t="s">
        <v>92</v>
      </c>
      <c r="G6650" s="0" t="s">
        <v>171</v>
      </c>
      <c r="H6650" s="0" t="s">
        <v>172</v>
      </c>
      <c r="I6650" s="0" t="s">
        <v>43</v>
      </c>
      <c r="J6650" s="0" t="s">
        <v>44</v>
      </c>
      <c r="K6650" s="0" t="s">
        <v>48</v>
      </c>
      <c r="L6650" s="0" t="s">
        <v>49</v>
      </c>
      <c r="M6650" s="0" t="s">
        <v>173</v>
      </c>
      <c r="N6650" s="0" t="n">
        <v>855</v>
      </c>
      <c r="O6650" s="10" t="n">
        <v>0.652557893190533</v>
      </c>
      <c r="P6650" s="10" t="n">
        <v>0.719914150424302</v>
      </c>
      <c r="Q6650" s="0" t="str">
        <f aca="false">SUBSTITUTE(SUBSTITUTE($I6650,CHAR(61),""),CHAR(34),"")</f>
        <v>35-49</v>
      </c>
      <c r="R6650" s="0" t="str">
        <f aca="false">IF($D6650&lt;&gt;"","["&amp;$E6650&amp;"]"&amp;"|"&amp;$Q6650&amp;"|"&amp;$K6650&amp;"|"&amp;$G6650&amp;"|"&amp;IF($G6650="TX_CURR_SUBNAT.R","CY2022Q4",$M6650),"")</f>
        <v>[AZyWpGzhcaA]|35-49|Male|PLHIV_Residents.T2|CY2025Q3</v>
      </c>
    </row>
    <row r="6651" customFormat="false" ht="15" hidden="false" customHeight="false" outlineLevel="0" collapsed="false">
      <c r="D6651" s="0" t="s">
        <v>90</v>
      </c>
      <c r="E6651" s="0" t="s">
        <v>91</v>
      </c>
      <c r="F6651" s="0" t="s">
        <v>92</v>
      </c>
      <c r="G6651" s="0" t="s">
        <v>171</v>
      </c>
      <c r="H6651" s="0" t="s">
        <v>172</v>
      </c>
      <c r="I6651" s="0" t="s">
        <v>45</v>
      </c>
      <c r="J6651" s="0" t="s">
        <v>46</v>
      </c>
      <c r="K6651" s="0" t="s">
        <v>48</v>
      </c>
      <c r="L6651" s="0" t="s">
        <v>49</v>
      </c>
      <c r="M6651" s="0" t="s">
        <v>173</v>
      </c>
      <c r="N6651" s="0" t="n">
        <v>1743</v>
      </c>
      <c r="O6651" s="10" t="n">
        <v>0.265927274245769</v>
      </c>
      <c r="P6651" s="10" t="n">
        <v>0.719914150424302</v>
      </c>
      <c r="Q6651" s="0" t="str">
        <f aca="false">SUBSTITUTE(SUBSTITUTE($I6651,CHAR(61),""),CHAR(34),"")</f>
        <v>50+</v>
      </c>
      <c r="R6651" s="0" t="str">
        <f aca="false">IF($D6651&lt;&gt;"","["&amp;$E6651&amp;"]"&amp;"|"&amp;$Q6651&amp;"|"&amp;$K6651&amp;"|"&amp;$G6651&amp;"|"&amp;IF($G6651="TX_CURR_SUBNAT.R","CY2022Q4",$M6651),"")</f>
        <v>[AZyWpGzhcaA]|50+|Male|PLHIV_Residents.T2|CY2025Q3</v>
      </c>
    </row>
    <row r="6652" customFormat="false" ht="15" hidden="false" customHeight="false" outlineLevel="0" collapsed="false">
      <c r="D6652" s="0" t="s">
        <v>93</v>
      </c>
      <c r="E6652" s="0" t="s">
        <v>94</v>
      </c>
      <c r="F6652" s="0" t="s">
        <v>95</v>
      </c>
      <c r="G6652" s="0" t="s">
        <v>171</v>
      </c>
      <c r="H6652" s="0" t="s">
        <v>172</v>
      </c>
      <c r="I6652" s="0" t="s">
        <v>28</v>
      </c>
      <c r="J6652" s="0" t="s">
        <v>29</v>
      </c>
      <c r="K6652" s="0" t="s">
        <v>30</v>
      </c>
      <c r="L6652" s="0" t="s">
        <v>31</v>
      </c>
      <c r="M6652" s="0" t="s">
        <v>173</v>
      </c>
      <c r="N6652" s="0" t="n">
        <v>719</v>
      </c>
      <c r="O6652" s="10" t="n">
        <v>0.504496912937611</v>
      </c>
      <c r="P6652" s="10" t="n">
        <v>0.362272296566516</v>
      </c>
      <c r="Q6652" s="0" t="str">
        <f aca="false">SUBSTITUTE(SUBSTITUTE($I6652,CHAR(61),""),CHAR(34),"")</f>
        <v>&lt;01</v>
      </c>
      <c r="R6652" s="0" t="str">
        <f aca="false">IF($D6652&lt;&gt;"","["&amp;$E6652&amp;"]"&amp;"|"&amp;$Q6652&amp;"|"&amp;$K6652&amp;"|"&amp;$G6652&amp;"|"&amp;IF($G6652="TX_CURR_SUBNAT.R","CY2022Q4",$M6652),"")</f>
        <v>[umc2n1Z4wNv]|&lt;01|Female|PLHIV_Residents.T2|CY2025Q3</v>
      </c>
    </row>
    <row r="6653" customFormat="false" ht="15" hidden="false" customHeight="false" outlineLevel="0" collapsed="false">
      <c r="D6653" s="0" t="s">
        <v>93</v>
      </c>
      <c r="E6653" s="0" t="s">
        <v>94</v>
      </c>
      <c r="F6653" s="0" t="s">
        <v>95</v>
      </c>
      <c r="G6653" s="0" t="s">
        <v>171</v>
      </c>
      <c r="H6653" s="0" t="s">
        <v>172</v>
      </c>
      <c r="I6653" s="0" t="s">
        <v>33</v>
      </c>
      <c r="J6653" s="0" t="s">
        <v>34</v>
      </c>
      <c r="K6653" s="0" t="s">
        <v>30</v>
      </c>
      <c r="L6653" s="0" t="s">
        <v>31</v>
      </c>
      <c r="M6653" s="0" t="s">
        <v>173</v>
      </c>
      <c r="N6653" s="0" t="n">
        <v>1079</v>
      </c>
      <c r="O6653" s="10" t="n">
        <v>0.279451526002958</v>
      </c>
      <c r="P6653" s="10" t="n">
        <v>0.362272296566516</v>
      </c>
      <c r="Q6653" s="0" t="str">
        <f aca="false">SUBSTITUTE(SUBSTITUTE($I6653,CHAR(61),""),CHAR(34),"")</f>
        <v>01-09</v>
      </c>
      <c r="R6653" s="0" t="str">
        <f aca="false">IF($D6653&lt;&gt;"","["&amp;$E6653&amp;"]"&amp;"|"&amp;$Q6653&amp;"|"&amp;$K6653&amp;"|"&amp;$G6653&amp;"|"&amp;IF($G6653="TX_CURR_SUBNAT.R","CY2022Q4",$M6653),"")</f>
        <v>[umc2n1Z4wNv]|01-09|Female|PLHIV_Residents.T2|CY2025Q3</v>
      </c>
    </row>
    <row r="6654" customFormat="false" ht="15" hidden="false" customHeight="false" outlineLevel="0" collapsed="false">
      <c r="D6654" s="0" t="s">
        <v>93</v>
      </c>
      <c r="E6654" s="0" t="s">
        <v>94</v>
      </c>
      <c r="F6654" s="0" t="s">
        <v>95</v>
      </c>
      <c r="G6654" s="0" t="s">
        <v>171</v>
      </c>
      <c r="H6654" s="0" t="s">
        <v>172</v>
      </c>
      <c r="I6654" s="0" t="s">
        <v>36</v>
      </c>
      <c r="J6654" s="0" t="s">
        <v>37</v>
      </c>
      <c r="K6654" s="0" t="s">
        <v>30</v>
      </c>
      <c r="L6654" s="0" t="s">
        <v>31</v>
      </c>
      <c r="M6654" s="0" t="s">
        <v>173</v>
      </c>
      <c r="N6654" s="0" t="n">
        <v>878</v>
      </c>
      <c r="O6654" s="10" t="n">
        <v>0.424601712264121</v>
      </c>
      <c r="P6654" s="10" t="n">
        <v>0.362272296566516</v>
      </c>
      <c r="Q6654" s="0" t="str">
        <f aca="false">SUBSTITUTE(SUBSTITUTE($I6654,CHAR(61),""),CHAR(34),"")</f>
        <v>10-14</v>
      </c>
      <c r="R6654" s="0" t="str">
        <f aca="false">IF($D6654&lt;&gt;"","["&amp;$E6654&amp;"]"&amp;"|"&amp;$Q6654&amp;"|"&amp;$K6654&amp;"|"&amp;$G6654&amp;"|"&amp;IF($G6654="TX_CURR_SUBNAT.R","CY2022Q4",$M6654),"")</f>
        <v>[umc2n1Z4wNv]|10-14|Female|PLHIV_Residents.T2|CY2025Q3</v>
      </c>
    </row>
    <row r="6655" customFormat="false" ht="15" hidden="false" customHeight="false" outlineLevel="0" collapsed="false">
      <c r="D6655" s="0" t="s">
        <v>93</v>
      </c>
      <c r="E6655" s="0" t="s">
        <v>94</v>
      </c>
      <c r="F6655" s="0" t="s">
        <v>95</v>
      </c>
      <c r="G6655" s="0" t="s">
        <v>171</v>
      </c>
      <c r="H6655" s="0" t="s">
        <v>172</v>
      </c>
      <c r="I6655" s="0" t="s">
        <v>38</v>
      </c>
      <c r="J6655" s="0" t="s">
        <v>39</v>
      </c>
      <c r="K6655" s="0" t="s">
        <v>30</v>
      </c>
      <c r="L6655" s="0" t="s">
        <v>31</v>
      </c>
      <c r="M6655" s="0" t="s">
        <v>173</v>
      </c>
      <c r="N6655" s="0" t="n">
        <v>1019</v>
      </c>
      <c r="O6655" s="10" t="n">
        <v>0.70114380819723</v>
      </c>
      <c r="P6655" s="10" t="n">
        <v>0.362272296566516</v>
      </c>
      <c r="Q6655" s="0" t="str">
        <f aca="false">SUBSTITUTE(SUBSTITUTE($I6655,CHAR(61),""),CHAR(34),"")</f>
        <v>15-24</v>
      </c>
      <c r="R6655" s="0" t="str">
        <f aca="false">IF($D6655&lt;&gt;"","["&amp;$E6655&amp;"]"&amp;"|"&amp;$Q6655&amp;"|"&amp;$K6655&amp;"|"&amp;$G6655&amp;"|"&amp;IF($G6655="TX_CURR_SUBNAT.R","CY2022Q4",$M6655),"")</f>
        <v>[umc2n1Z4wNv]|15-24|Female|PLHIV_Residents.T2|CY2025Q3</v>
      </c>
    </row>
    <row r="6656" customFormat="false" ht="15" hidden="false" customHeight="false" outlineLevel="0" collapsed="false">
      <c r="D6656" s="0" t="s">
        <v>93</v>
      </c>
      <c r="E6656" s="0" t="s">
        <v>94</v>
      </c>
      <c r="F6656" s="0" t="s">
        <v>95</v>
      </c>
      <c r="G6656" s="0" t="s">
        <v>171</v>
      </c>
      <c r="H6656" s="0" t="s">
        <v>172</v>
      </c>
      <c r="I6656" s="0" t="s">
        <v>41</v>
      </c>
      <c r="J6656" s="0" t="s">
        <v>42</v>
      </c>
      <c r="K6656" s="0" t="s">
        <v>30</v>
      </c>
      <c r="L6656" s="0" t="s">
        <v>31</v>
      </c>
      <c r="M6656" s="0" t="s">
        <v>173</v>
      </c>
      <c r="N6656" s="0" t="n">
        <v>1617</v>
      </c>
      <c r="O6656" s="10" t="n">
        <v>0.715491089504212</v>
      </c>
      <c r="P6656" s="10" t="n">
        <v>0.362272296566516</v>
      </c>
      <c r="Q6656" s="0" t="str">
        <f aca="false">SUBSTITUTE(SUBSTITUTE($I6656,CHAR(61),""),CHAR(34),"")</f>
        <v>25-34</v>
      </c>
      <c r="R6656" s="0" t="str">
        <f aca="false">IF($D6656&lt;&gt;"","["&amp;$E6656&amp;"]"&amp;"|"&amp;$Q6656&amp;"|"&amp;$K6656&amp;"|"&amp;$G6656&amp;"|"&amp;IF($G6656="TX_CURR_SUBNAT.R","CY2022Q4",$M6656),"")</f>
        <v>[umc2n1Z4wNv]|25-34|Female|PLHIV_Residents.T2|CY2025Q3</v>
      </c>
    </row>
    <row r="6657" customFormat="false" ht="15" hidden="false" customHeight="false" outlineLevel="0" collapsed="false">
      <c r="D6657" s="0" t="s">
        <v>93</v>
      </c>
      <c r="E6657" s="0" t="s">
        <v>94</v>
      </c>
      <c r="F6657" s="0" t="s">
        <v>95</v>
      </c>
      <c r="G6657" s="0" t="s">
        <v>171</v>
      </c>
      <c r="H6657" s="0" t="s">
        <v>172</v>
      </c>
      <c r="I6657" s="0" t="s">
        <v>43</v>
      </c>
      <c r="J6657" s="0" t="s">
        <v>44</v>
      </c>
      <c r="K6657" s="0" t="s">
        <v>30</v>
      </c>
      <c r="L6657" s="0" t="s">
        <v>31</v>
      </c>
      <c r="M6657" s="0" t="s">
        <v>173</v>
      </c>
      <c r="N6657" s="0" t="n">
        <v>886</v>
      </c>
      <c r="O6657" s="10" t="n">
        <v>0.654779415344819</v>
      </c>
      <c r="P6657" s="10" t="n">
        <v>0.362272296566516</v>
      </c>
      <c r="Q6657" s="0" t="str">
        <f aca="false">SUBSTITUTE(SUBSTITUTE($I6657,CHAR(61),""),CHAR(34),"")</f>
        <v>35-49</v>
      </c>
      <c r="R6657" s="0" t="str">
        <f aca="false">IF($D6657&lt;&gt;"","["&amp;$E6657&amp;"]"&amp;"|"&amp;$Q6657&amp;"|"&amp;$K6657&amp;"|"&amp;$G6657&amp;"|"&amp;IF($G6657="TX_CURR_SUBNAT.R","CY2022Q4",$M6657),"")</f>
        <v>[umc2n1Z4wNv]|35-49|Female|PLHIV_Residents.T2|CY2025Q3</v>
      </c>
    </row>
    <row r="6658" customFormat="false" ht="15" hidden="false" customHeight="false" outlineLevel="0" collapsed="false">
      <c r="D6658" s="0" t="s">
        <v>93</v>
      </c>
      <c r="E6658" s="0" t="s">
        <v>94</v>
      </c>
      <c r="F6658" s="0" t="s">
        <v>95</v>
      </c>
      <c r="G6658" s="0" t="s">
        <v>171</v>
      </c>
      <c r="H6658" s="0" t="s">
        <v>172</v>
      </c>
      <c r="I6658" s="0" t="s">
        <v>45</v>
      </c>
      <c r="J6658" s="0" t="s">
        <v>46</v>
      </c>
      <c r="K6658" s="0" t="s">
        <v>30</v>
      </c>
      <c r="L6658" s="0" t="s">
        <v>31</v>
      </c>
      <c r="M6658" s="0" t="s">
        <v>173</v>
      </c>
      <c r="N6658" s="0" t="n">
        <v>1113</v>
      </c>
      <c r="O6658" s="10" t="n">
        <v>0.549806183669716</v>
      </c>
      <c r="P6658" s="10" t="n">
        <v>0.362272296566516</v>
      </c>
      <c r="Q6658" s="0" t="str">
        <f aca="false">SUBSTITUTE(SUBSTITUTE($I6658,CHAR(61),""),CHAR(34),"")</f>
        <v>50+</v>
      </c>
      <c r="R6658" s="0" t="str">
        <f aca="false">IF($D6658&lt;&gt;"","["&amp;$E6658&amp;"]"&amp;"|"&amp;$Q6658&amp;"|"&amp;$K6658&amp;"|"&amp;$G6658&amp;"|"&amp;IF($G6658="TX_CURR_SUBNAT.R","CY2022Q4",$M6658),"")</f>
        <v>[umc2n1Z4wNv]|50+|Female|PLHIV_Residents.T2|CY2025Q3</v>
      </c>
    </row>
    <row r="6659" customFormat="false" ht="15" hidden="false" customHeight="false" outlineLevel="0" collapsed="false">
      <c r="D6659" s="0" t="s">
        <v>93</v>
      </c>
      <c r="E6659" s="0" t="s">
        <v>94</v>
      </c>
      <c r="F6659" s="0" t="s">
        <v>95</v>
      </c>
      <c r="G6659" s="0" t="s">
        <v>171</v>
      </c>
      <c r="H6659" s="0" t="s">
        <v>172</v>
      </c>
      <c r="I6659" s="0" t="s">
        <v>28</v>
      </c>
      <c r="J6659" s="0" t="s">
        <v>29</v>
      </c>
      <c r="K6659" s="0" t="s">
        <v>48</v>
      </c>
      <c r="L6659" s="0" t="s">
        <v>49</v>
      </c>
      <c r="M6659" s="0" t="s">
        <v>173</v>
      </c>
      <c r="N6659" s="0" t="n">
        <v>927</v>
      </c>
      <c r="O6659" s="10" t="n">
        <v>0.568146516103297</v>
      </c>
      <c r="P6659" s="10" t="n">
        <v>0.362272296566516</v>
      </c>
      <c r="Q6659" s="0" t="str">
        <f aca="false">SUBSTITUTE(SUBSTITUTE($I6659,CHAR(61),""),CHAR(34),"")</f>
        <v>&lt;01</v>
      </c>
      <c r="R6659" s="0" t="str">
        <f aca="false">IF($D6659&lt;&gt;"","["&amp;$E6659&amp;"]"&amp;"|"&amp;$Q6659&amp;"|"&amp;$K6659&amp;"|"&amp;$G6659&amp;"|"&amp;IF($G6659="TX_CURR_SUBNAT.R","CY2022Q4",$M6659),"")</f>
        <v>[umc2n1Z4wNv]|&lt;01|Male|PLHIV_Residents.T2|CY2025Q3</v>
      </c>
    </row>
    <row r="6660" customFormat="false" ht="15" hidden="false" customHeight="false" outlineLevel="0" collapsed="false">
      <c r="D6660" s="0" t="s">
        <v>93</v>
      </c>
      <c r="E6660" s="0" t="s">
        <v>94</v>
      </c>
      <c r="F6660" s="0" t="s">
        <v>95</v>
      </c>
      <c r="G6660" s="0" t="s">
        <v>171</v>
      </c>
      <c r="H6660" s="0" t="s">
        <v>172</v>
      </c>
      <c r="I6660" s="0" t="s">
        <v>33</v>
      </c>
      <c r="J6660" s="0" t="s">
        <v>34</v>
      </c>
      <c r="K6660" s="0" t="s">
        <v>48</v>
      </c>
      <c r="L6660" s="0" t="s">
        <v>49</v>
      </c>
      <c r="M6660" s="0" t="s">
        <v>173</v>
      </c>
      <c r="N6660" s="0" t="n">
        <v>1282</v>
      </c>
      <c r="O6660" s="10" t="n">
        <v>0.397859205724671</v>
      </c>
      <c r="P6660" s="10" t="n">
        <v>0.362272296566516</v>
      </c>
      <c r="Q6660" s="0" t="str">
        <f aca="false">SUBSTITUTE(SUBSTITUTE($I6660,CHAR(61),""),CHAR(34),"")</f>
        <v>01-09</v>
      </c>
      <c r="R6660" s="0" t="str">
        <f aca="false">IF($D6660&lt;&gt;"","["&amp;$E6660&amp;"]"&amp;"|"&amp;$Q6660&amp;"|"&amp;$K6660&amp;"|"&amp;$G6660&amp;"|"&amp;IF($G6660="TX_CURR_SUBNAT.R","CY2022Q4",$M6660),"")</f>
        <v>[umc2n1Z4wNv]|01-09|Male|PLHIV_Residents.T2|CY2025Q3</v>
      </c>
    </row>
    <row r="6661" customFormat="false" ht="15" hidden="false" customHeight="false" outlineLevel="0" collapsed="false">
      <c r="D6661" s="0" t="s">
        <v>93</v>
      </c>
      <c r="E6661" s="0" t="s">
        <v>94</v>
      </c>
      <c r="F6661" s="0" t="s">
        <v>95</v>
      </c>
      <c r="G6661" s="0" t="s">
        <v>171</v>
      </c>
      <c r="H6661" s="0" t="s">
        <v>172</v>
      </c>
      <c r="I6661" s="0" t="s">
        <v>36</v>
      </c>
      <c r="J6661" s="0" t="s">
        <v>37</v>
      </c>
      <c r="K6661" s="0" t="s">
        <v>48</v>
      </c>
      <c r="L6661" s="0" t="s">
        <v>49</v>
      </c>
      <c r="M6661" s="0" t="s">
        <v>173</v>
      </c>
      <c r="N6661" s="0" t="n">
        <v>754</v>
      </c>
      <c r="O6661" s="10" t="n">
        <v>0.243334953440353</v>
      </c>
      <c r="P6661" s="10" t="n">
        <v>0.362272296566516</v>
      </c>
      <c r="Q6661" s="0" t="str">
        <f aca="false">SUBSTITUTE(SUBSTITUTE($I6661,CHAR(61),""),CHAR(34),"")</f>
        <v>10-14</v>
      </c>
      <c r="R6661" s="0" t="str">
        <f aca="false">IF($D6661&lt;&gt;"","["&amp;$E6661&amp;"]"&amp;"|"&amp;$Q6661&amp;"|"&amp;$K6661&amp;"|"&amp;$G6661&amp;"|"&amp;IF($G6661="TX_CURR_SUBNAT.R","CY2022Q4",$M6661),"")</f>
        <v>[umc2n1Z4wNv]|10-14|Male|PLHIV_Residents.T2|CY2025Q3</v>
      </c>
    </row>
    <row r="6662" customFormat="false" ht="15" hidden="false" customHeight="false" outlineLevel="0" collapsed="false">
      <c r="D6662" s="0" t="s">
        <v>93</v>
      </c>
      <c r="E6662" s="0" t="s">
        <v>94</v>
      </c>
      <c r="F6662" s="0" t="s">
        <v>95</v>
      </c>
      <c r="G6662" s="0" t="s">
        <v>171</v>
      </c>
      <c r="H6662" s="0" t="s">
        <v>172</v>
      </c>
      <c r="I6662" s="0" t="s">
        <v>38</v>
      </c>
      <c r="J6662" s="0" t="s">
        <v>39</v>
      </c>
      <c r="K6662" s="0" t="s">
        <v>48</v>
      </c>
      <c r="L6662" s="0" t="s">
        <v>49</v>
      </c>
      <c r="M6662" s="0" t="s">
        <v>173</v>
      </c>
      <c r="N6662" s="0" t="n">
        <v>675</v>
      </c>
      <c r="O6662" s="10" t="n">
        <v>0.267333498224616</v>
      </c>
      <c r="P6662" s="10" t="n">
        <v>0.362272296566516</v>
      </c>
      <c r="Q6662" s="0" t="str">
        <f aca="false">SUBSTITUTE(SUBSTITUTE($I6662,CHAR(61),""),CHAR(34),"")</f>
        <v>15-24</v>
      </c>
      <c r="R6662" s="0" t="str">
        <f aca="false">IF($D6662&lt;&gt;"","["&amp;$E6662&amp;"]"&amp;"|"&amp;$Q6662&amp;"|"&amp;$K6662&amp;"|"&amp;$G6662&amp;"|"&amp;IF($G6662="TX_CURR_SUBNAT.R","CY2022Q4",$M6662),"")</f>
        <v>[umc2n1Z4wNv]|15-24|Male|PLHIV_Residents.T2|CY2025Q3</v>
      </c>
    </row>
    <row r="6663" customFormat="false" ht="15" hidden="false" customHeight="false" outlineLevel="0" collapsed="false">
      <c r="D6663" s="0" t="s">
        <v>93</v>
      </c>
      <c r="E6663" s="0" t="s">
        <v>94</v>
      </c>
      <c r="F6663" s="0" t="s">
        <v>95</v>
      </c>
      <c r="G6663" s="0" t="s">
        <v>171</v>
      </c>
      <c r="H6663" s="0" t="s">
        <v>172</v>
      </c>
      <c r="I6663" s="0" t="s">
        <v>41</v>
      </c>
      <c r="J6663" s="0" t="s">
        <v>42</v>
      </c>
      <c r="K6663" s="0" t="s">
        <v>48</v>
      </c>
      <c r="L6663" s="0" t="s">
        <v>49</v>
      </c>
      <c r="M6663" s="0" t="s">
        <v>173</v>
      </c>
      <c r="N6663" s="0" t="n">
        <v>779</v>
      </c>
      <c r="O6663" s="10" t="n">
        <v>0.0132380237337202</v>
      </c>
      <c r="P6663" s="10" t="n">
        <v>0.362272296566516</v>
      </c>
      <c r="Q6663" s="0" t="str">
        <f aca="false">SUBSTITUTE(SUBSTITUTE($I6663,CHAR(61),""),CHAR(34),"")</f>
        <v>25-34</v>
      </c>
      <c r="R6663" s="0" t="str">
        <f aca="false">IF($D6663&lt;&gt;"","["&amp;$E6663&amp;"]"&amp;"|"&amp;$Q6663&amp;"|"&amp;$K6663&amp;"|"&amp;$G6663&amp;"|"&amp;IF($G6663="TX_CURR_SUBNAT.R","CY2022Q4",$M6663),"")</f>
        <v>[umc2n1Z4wNv]|25-34|Male|PLHIV_Residents.T2|CY2025Q3</v>
      </c>
    </row>
    <row r="6664" customFormat="false" ht="15" hidden="false" customHeight="false" outlineLevel="0" collapsed="false">
      <c r="D6664" s="0" t="s">
        <v>93</v>
      </c>
      <c r="E6664" s="0" t="s">
        <v>94</v>
      </c>
      <c r="F6664" s="0" t="s">
        <v>95</v>
      </c>
      <c r="G6664" s="0" t="s">
        <v>171</v>
      </c>
      <c r="H6664" s="0" t="s">
        <v>172</v>
      </c>
      <c r="I6664" s="0" t="s">
        <v>43</v>
      </c>
      <c r="J6664" s="0" t="s">
        <v>44</v>
      </c>
      <c r="K6664" s="0" t="s">
        <v>48</v>
      </c>
      <c r="L6664" s="0" t="s">
        <v>49</v>
      </c>
      <c r="M6664" s="0" t="s">
        <v>173</v>
      </c>
      <c r="N6664" s="0" t="n">
        <v>1097</v>
      </c>
      <c r="O6664" s="10" t="n">
        <v>0.768116426188499</v>
      </c>
      <c r="P6664" s="10" t="n">
        <v>0.362272296566516</v>
      </c>
      <c r="Q6664" s="0" t="str">
        <f aca="false">SUBSTITUTE(SUBSTITUTE($I6664,CHAR(61),""),CHAR(34),"")</f>
        <v>35-49</v>
      </c>
      <c r="R6664" s="0" t="str">
        <f aca="false">IF($D6664&lt;&gt;"","["&amp;$E6664&amp;"]"&amp;"|"&amp;$Q6664&amp;"|"&amp;$K6664&amp;"|"&amp;$G6664&amp;"|"&amp;IF($G6664="TX_CURR_SUBNAT.R","CY2022Q4",$M6664),"")</f>
        <v>[umc2n1Z4wNv]|35-49|Male|PLHIV_Residents.T2|CY2025Q3</v>
      </c>
    </row>
    <row r="6665" customFormat="false" ht="15" hidden="false" customHeight="false" outlineLevel="0" collapsed="false">
      <c r="D6665" s="0" t="s">
        <v>93</v>
      </c>
      <c r="E6665" s="0" t="s">
        <v>94</v>
      </c>
      <c r="F6665" s="0" t="s">
        <v>95</v>
      </c>
      <c r="G6665" s="0" t="s">
        <v>171</v>
      </c>
      <c r="H6665" s="0" t="s">
        <v>172</v>
      </c>
      <c r="I6665" s="0" t="s">
        <v>45</v>
      </c>
      <c r="J6665" s="0" t="s">
        <v>46</v>
      </c>
      <c r="K6665" s="0" t="s">
        <v>48</v>
      </c>
      <c r="L6665" s="0" t="s">
        <v>49</v>
      </c>
      <c r="M6665" s="0" t="s">
        <v>173</v>
      </c>
      <c r="N6665" s="0" t="n">
        <v>1196</v>
      </c>
      <c r="O6665" s="10" t="n">
        <v>0.0977449812926352</v>
      </c>
      <c r="P6665" s="10" t="n">
        <v>0.362272296566516</v>
      </c>
      <c r="Q6665" s="0" t="str">
        <f aca="false">SUBSTITUTE(SUBSTITUTE($I6665,CHAR(61),""),CHAR(34),"")</f>
        <v>50+</v>
      </c>
      <c r="R6665" s="0" t="str">
        <f aca="false">IF($D6665&lt;&gt;"","["&amp;$E6665&amp;"]"&amp;"|"&amp;$Q6665&amp;"|"&amp;$K6665&amp;"|"&amp;$G6665&amp;"|"&amp;IF($G6665="TX_CURR_SUBNAT.R","CY2022Q4",$M6665),"")</f>
        <v>[umc2n1Z4wNv]|50+|Male|PLHIV_Residents.T2|CY2025Q3</v>
      </c>
    </row>
    <row r="6666" customFormat="false" ht="15" hidden="false" customHeight="false" outlineLevel="0" collapsed="false">
      <c r="D6666" s="0" t="s">
        <v>96</v>
      </c>
      <c r="E6666" s="0" t="s">
        <v>97</v>
      </c>
      <c r="F6666" s="0" t="s">
        <v>98</v>
      </c>
      <c r="G6666" s="0" t="s">
        <v>171</v>
      </c>
      <c r="H6666" s="0" t="s">
        <v>172</v>
      </c>
      <c r="I6666" s="0" t="s">
        <v>28</v>
      </c>
      <c r="J6666" s="0" t="s">
        <v>29</v>
      </c>
      <c r="K6666" s="0" t="s">
        <v>30</v>
      </c>
      <c r="L6666" s="0" t="s">
        <v>31</v>
      </c>
      <c r="M6666" s="0" t="s">
        <v>173</v>
      </c>
      <c r="N6666" s="0" t="n">
        <v>1108</v>
      </c>
      <c r="O6666" s="10" t="n">
        <v>0.252432703739032</v>
      </c>
      <c r="P6666" s="10" t="n">
        <v>0.601251717889681</v>
      </c>
      <c r="Q6666" s="0" t="str">
        <f aca="false">SUBSTITUTE(SUBSTITUTE($I6666,CHAR(61),""),CHAR(34),"")</f>
        <v>&lt;01</v>
      </c>
      <c r="R6666" s="0" t="str">
        <f aca="false">IF($D6666&lt;&gt;"","["&amp;$E6666&amp;"]"&amp;"|"&amp;$Q6666&amp;"|"&amp;$K6666&amp;"|"&amp;$G6666&amp;"|"&amp;IF($G6666="TX_CURR_SUBNAT.R","CY2022Q4",$M6666),"")</f>
        <v>[gwVYinjBAe9]|&lt;01|Female|PLHIV_Residents.T2|CY2025Q3</v>
      </c>
    </row>
    <row r="6667" customFormat="false" ht="15" hidden="false" customHeight="false" outlineLevel="0" collapsed="false">
      <c r="D6667" s="0" t="s">
        <v>96</v>
      </c>
      <c r="E6667" s="0" t="s">
        <v>97</v>
      </c>
      <c r="F6667" s="0" t="s">
        <v>98</v>
      </c>
      <c r="G6667" s="0" t="s">
        <v>171</v>
      </c>
      <c r="H6667" s="0" t="s">
        <v>172</v>
      </c>
      <c r="I6667" s="0" t="s">
        <v>33</v>
      </c>
      <c r="J6667" s="0" t="s">
        <v>34</v>
      </c>
      <c r="K6667" s="0" t="s">
        <v>30</v>
      </c>
      <c r="L6667" s="0" t="s">
        <v>31</v>
      </c>
      <c r="M6667" s="0" t="s">
        <v>173</v>
      </c>
      <c r="N6667" s="0" t="n">
        <v>1070</v>
      </c>
      <c r="O6667" s="10" t="n">
        <v>0.4842355302535</v>
      </c>
      <c r="P6667" s="10" t="n">
        <v>0.601251717889681</v>
      </c>
      <c r="Q6667" s="0" t="str">
        <f aca="false">SUBSTITUTE(SUBSTITUTE($I6667,CHAR(61),""),CHAR(34),"")</f>
        <v>01-09</v>
      </c>
      <c r="R6667" s="0" t="str">
        <f aca="false">IF($D6667&lt;&gt;"","["&amp;$E6667&amp;"]"&amp;"|"&amp;$Q6667&amp;"|"&amp;$K6667&amp;"|"&amp;$G6667&amp;"|"&amp;IF($G6667="TX_CURR_SUBNAT.R","CY2022Q4",$M6667),"")</f>
        <v>[gwVYinjBAe9]|01-09|Female|PLHIV_Residents.T2|CY2025Q3</v>
      </c>
    </row>
    <row r="6668" customFormat="false" ht="15" hidden="false" customHeight="false" outlineLevel="0" collapsed="false">
      <c r="D6668" s="0" t="s">
        <v>96</v>
      </c>
      <c r="E6668" s="0" t="s">
        <v>97</v>
      </c>
      <c r="F6668" s="0" t="s">
        <v>98</v>
      </c>
      <c r="G6668" s="0" t="s">
        <v>171</v>
      </c>
      <c r="H6668" s="0" t="s">
        <v>172</v>
      </c>
      <c r="I6668" s="0" t="s">
        <v>36</v>
      </c>
      <c r="J6668" s="0" t="s">
        <v>37</v>
      </c>
      <c r="K6668" s="0" t="s">
        <v>30</v>
      </c>
      <c r="L6668" s="0" t="s">
        <v>31</v>
      </c>
      <c r="M6668" s="0" t="s">
        <v>173</v>
      </c>
      <c r="N6668" s="0" t="n">
        <v>1541</v>
      </c>
      <c r="O6668" s="10" t="n">
        <v>0.767461790470406</v>
      </c>
      <c r="P6668" s="10" t="n">
        <v>0.601251717889681</v>
      </c>
      <c r="Q6668" s="0" t="str">
        <f aca="false">SUBSTITUTE(SUBSTITUTE($I6668,CHAR(61),""),CHAR(34),"")</f>
        <v>10-14</v>
      </c>
      <c r="R6668" s="0" t="str">
        <f aca="false">IF($D6668&lt;&gt;"","["&amp;$E6668&amp;"]"&amp;"|"&amp;$Q6668&amp;"|"&amp;$K6668&amp;"|"&amp;$G6668&amp;"|"&amp;IF($G6668="TX_CURR_SUBNAT.R","CY2022Q4",$M6668),"")</f>
        <v>[gwVYinjBAe9]|10-14|Female|PLHIV_Residents.T2|CY2025Q3</v>
      </c>
    </row>
    <row r="6669" customFormat="false" ht="15" hidden="false" customHeight="false" outlineLevel="0" collapsed="false">
      <c r="D6669" s="0" t="s">
        <v>96</v>
      </c>
      <c r="E6669" s="0" t="s">
        <v>97</v>
      </c>
      <c r="F6669" s="0" t="s">
        <v>98</v>
      </c>
      <c r="G6669" s="0" t="s">
        <v>171</v>
      </c>
      <c r="H6669" s="0" t="s">
        <v>172</v>
      </c>
      <c r="I6669" s="0" t="s">
        <v>38</v>
      </c>
      <c r="J6669" s="0" t="s">
        <v>39</v>
      </c>
      <c r="K6669" s="0" t="s">
        <v>30</v>
      </c>
      <c r="L6669" s="0" t="s">
        <v>31</v>
      </c>
      <c r="M6669" s="0" t="s">
        <v>173</v>
      </c>
      <c r="N6669" s="0" t="n">
        <v>757</v>
      </c>
      <c r="O6669" s="10" t="n">
        <v>0.270401833811775</v>
      </c>
      <c r="P6669" s="10" t="n">
        <v>0.601251717889681</v>
      </c>
      <c r="Q6669" s="0" t="str">
        <f aca="false">SUBSTITUTE(SUBSTITUTE($I6669,CHAR(61),""),CHAR(34),"")</f>
        <v>15-24</v>
      </c>
      <c r="R6669" s="0" t="str">
        <f aca="false">IF($D6669&lt;&gt;"","["&amp;$E6669&amp;"]"&amp;"|"&amp;$Q6669&amp;"|"&amp;$K6669&amp;"|"&amp;$G6669&amp;"|"&amp;IF($G6669="TX_CURR_SUBNAT.R","CY2022Q4",$M6669),"")</f>
        <v>[gwVYinjBAe9]|15-24|Female|PLHIV_Residents.T2|CY2025Q3</v>
      </c>
    </row>
    <row r="6670" customFormat="false" ht="15" hidden="false" customHeight="false" outlineLevel="0" collapsed="false">
      <c r="D6670" s="0" t="s">
        <v>96</v>
      </c>
      <c r="E6670" s="0" t="s">
        <v>97</v>
      </c>
      <c r="F6670" s="0" t="s">
        <v>98</v>
      </c>
      <c r="G6670" s="0" t="s">
        <v>171</v>
      </c>
      <c r="H6670" s="0" t="s">
        <v>172</v>
      </c>
      <c r="I6670" s="0" t="s">
        <v>41</v>
      </c>
      <c r="J6670" s="0" t="s">
        <v>42</v>
      </c>
      <c r="K6670" s="0" t="s">
        <v>30</v>
      </c>
      <c r="L6670" s="0" t="s">
        <v>31</v>
      </c>
      <c r="M6670" s="0" t="s">
        <v>173</v>
      </c>
      <c r="N6670" s="0" t="n">
        <v>1341</v>
      </c>
      <c r="O6670" s="10" t="n">
        <v>0.198514775140211</v>
      </c>
      <c r="P6670" s="10" t="n">
        <v>0.601251717889681</v>
      </c>
      <c r="Q6670" s="0" t="str">
        <f aca="false">SUBSTITUTE(SUBSTITUTE($I6670,CHAR(61),""),CHAR(34),"")</f>
        <v>25-34</v>
      </c>
      <c r="R6670" s="0" t="str">
        <f aca="false">IF($D6670&lt;&gt;"","["&amp;$E6670&amp;"]"&amp;"|"&amp;$Q6670&amp;"|"&amp;$K6670&amp;"|"&amp;$G6670&amp;"|"&amp;IF($G6670="TX_CURR_SUBNAT.R","CY2022Q4",$M6670),"")</f>
        <v>[gwVYinjBAe9]|25-34|Female|PLHIV_Residents.T2|CY2025Q3</v>
      </c>
    </row>
    <row r="6671" customFormat="false" ht="15" hidden="false" customHeight="false" outlineLevel="0" collapsed="false">
      <c r="D6671" s="0" t="s">
        <v>96</v>
      </c>
      <c r="E6671" s="0" t="s">
        <v>97</v>
      </c>
      <c r="F6671" s="0" t="s">
        <v>98</v>
      </c>
      <c r="G6671" s="0" t="s">
        <v>171</v>
      </c>
      <c r="H6671" s="0" t="s">
        <v>172</v>
      </c>
      <c r="I6671" s="0" t="s">
        <v>43</v>
      </c>
      <c r="J6671" s="0" t="s">
        <v>44</v>
      </c>
      <c r="K6671" s="0" t="s">
        <v>30</v>
      </c>
      <c r="L6671" s="0" t="s">
        <v>31</v>
      </c>
      <c r="M6671" s="0" t="s">
        <v>173</v>
      </c>
      <c r="N6671" s="0" t="n">
        <v>981</v>
      </c>
      <c r="O6671" s="10" t="n">
        <v>0.497391497250646</v>
      </c>
      <c r="P6671" s="10" t="n">
        <v>0.601251717889681</v>
      </c>
      <c r="Q6671" s="0" t="str">
        <f aca="false">SUBSTITUTE(SUBSTITUTE($I6671,CHAR(61),""),CHAR(34),"")</f>
        <v>35-49</v>
      </c>
      <c r="R6671" s="0" t="str">
        <f aca="false">IF($D6671&lt;&gt;"","["&amp;$E6671&amp;"]"&amp;"|"&amp;$Q6671&amp;"|"&amp;$K6671&amp;"|"&amp;$G6671&amp;"|"&amp;IF($G6671="TX_CURR_SUBNAT.R","CY2022Q4",$M6671),"")</f>
        <v>[gwVYinjBAe9]|35-49|Female|PLHIV_Residents.T2|CY2025Q3</v>
      </c>
    </row>
    <row r="6672" customFormat="false" ht="15" hidden="false" customHeight="false" outlineLevel="0" collapsed="false">
      <c r="D6672" s="0" t="s">
        <v>96</v>
      </c>
      <c r="E6672" s="0" t="s">
        <v>97</v>
      </c>
      <c r="F6672" s="0" t="s">
        <v>98</v>
      </c>
      <c r="G6672" s="0" t="s">
        <v>171</v>
      </c>
      <c r="H6672" s="0" t="s">
        <v>172</v>
      </c>
      <c r="I6672" s="0" t="s">
        <v>45</v>
      </c>
      <c r="J6672" s="0" t="s">
        <v>46</v>
      </c>
      <c r="K6672" s="0" t="s">
        <v>30</v>
      </c>
      <c r="L6672" s="0" t="s">
        <v>31</v>
      </c>
      <c r="M6672" s="0" t="s">
        <v>173</v>
      </c>
      <c r="N6672" s="0" t="n">
        <v>750</v>
      </c>
      <c r="O6672" s="10" t="n">
        <v>0.599057831335813</v>
      </c>
      <c r="P6672" s="10" t="n">
        <v>0.601251717889681</v>
      </c>
      <c r="Q6672" s="0" t="str">
        <f aca="false">SUBSTITUTE(SUBSTITUTE($I6672,CHAR(61),""),CHAR(34),"")</f>
        <v>50+</v>
      </c>
      <c r="R6672" s="0" t="str">
        <f aca="false">IF($D6672&lt;&gt;"","["&amp;$E6672&amp;"]"&amp;"|"&amp;$Q6672&amp;"|"&amp;$K6672&amp;"|"&amp;$G6672&amp;"|"&amp;IF($G6672="TX_CURR_SUBNAT.R","CY2022Q4",$M6672),"")</f>
        <v>[gwVYinjBAe9]|50+|Female|PLHIV_Residents.T2|CY2025Q3</v>
      </c>
    </row>
    <row r="6673" customFormat="false" ht="15" hidden="false" customHeight="false" outlineLevel="0" collapsed="false">
      <c r="D6673" s="0" t="s">
        <v>96</v>
      </c>
      <c r="E6673" s="0" t="s">
        <v>97</v>
      </c>
      <c r="F6673" s="0" t="s">
        <v>98</v>
      </c>
      <c r="G6673" s="0" t="s">
        <v>171</v>
      </c>
      <c r="H6673" s="0" t="s">
        <v>172</v>
      </c>
      <c r="I6673" s="0" t="s">
        <v>28</v>
      </c>
      <c r="J6673" s="0" t="s">
        <v>29</v>
      </c>
      <c r="K6673" s="0" t="s">
        <v>48</v>
      </c>
      <c r="L6673" s="0" t="s">
        <v>49</v>
      </c>
      <c r="M6673" s="0" t="s">
        <v>173</v>
      </c>
      <c r="N6673" s="0" t="n">
        <v>630</v>
      </c>
      <c r="O6673" s="10" t="n">
        <v>0.7294012948405</v>
      </c>
      <c r="P6673" s="10" t="n">
        <v>0.601251717889681</v>
      </c>
      <c r="Q6673" s="0" t="str">
        <f aca="false">SUBSTITUTE(SUBSTITUTE($I6673,CHAR(61),""),CHAR(34),"")</f>
        <v>&lt;01</v>
      </c>
      <c r="R6673" s="0" t="str">
        <f aca="false">IF($D6673&lt;&gt;"","["&amp;$E6673&amp;"]"&amp;"|"&amp;$Q6673&amp;"|"&amp;$K6673&amp;"|"&amp;$G6673&amp;"|"&amp;IF($G6673="TX_CURR_SUBNAT.R","CY2022Q4",$M6673),"")</f>
        <v>[gwVYinjBAe9]|&lt;01|Male|PLHIV_Residents.T2|CY2025Q3</v>
      </c>
    </row>
    <row r="6674" customFormat="false" ht="15" hidden="false" customHeight="false" outlineLevel="0" collapsed="false">
      <c r="D6674" s="0" t="s">
        <v>96</v>
      </c>
      <c r="E6674" s="0" t="s">
        <v>97</v>
      </c>
      <c r="F6674" s="0" t="s">
        <v>98</v>
      </c>
      <c r="G6674" s="0" t="s">
        <v>171</v>
      </c>
      <c r="H6674" s="0" t="s">
        <v>172</v>
      </c>
      <c r="I6674" s="0" t="s">
        <v>33</v>
      </c>
      <c r="J6674" s="0" t="s">
        <v>34</v>
      </c>
      <c r="K6674" s="0" t="s">
        <v>48</v>
      </c>
      <c r="L6674" s="0" t="s">
        <v>49</v>
      </c>
      <c r="M6674" s="0" t="s">
        <v>173</v>
      </c>
      <c r="N6674" s="0" t="n">
        <v>1224</v>
      </c>
      <c r="O6674" s="10" t="n">
        <v>0.600164050236344</v>
      </c>
      <c r="P6674" s="10" t="n">
        <v>0.601251717889681</v>
      </c>
      <c r="Q6674" s="0" t="str">
        <f aca="false">SUBSTITUTE(SUBSTITUTE($I6674,CHAR(61),""),CHAR(34),"")</f>
        <v>01-09</v>
      </c>
      <c r="R6674" s="0" t="str">
        <f aca="false">IF($D6674&lt;&gt;"","["&amp;$E6674&amp;"]"&amp;"|"&amp;$Q6674&amp;"|"&amp;$K6674&amp;"|"&amp;$G6674&amp;"|"&amp;IF($G6674="TX_CURR_SUBNAT.R","CY2022Q4",$M6674),"")</f>
        <v>[gwVYinjBAe9]|01-09|Male|PLHIV_Residents.T2|CY2025Q3</v>
      </c>
    </row>
    <row r="6675" customFormat="false" ht="15" hidden="false" customHeight="false" outlineLevel="0" collapsed="false">
      <c r="D6675" s="0" t="s">
        <v>96</v>
      </c>
      <c r="E6675" s="0" t="s">
        <v>97</v>
      </c>
      <c r="F6675" s="0" t="s">
        <v>98</v>
      </c>
      <c r="G6675" s="0" t="s">
        <v>171</v>
      </c>
      <c r="H6675" s="0" t="s">
        <v>172</v>
      </c>
      <c r="I6675" s="0" t="s">
        <v>36</v>
      </c>
      <c r="J6675" s="0" t="s">
        <v>37</v>
      </c>
      <c r="K6675" s="0" t="s">
        <v>48</v>
      </c>
      <c r="L6675" s="0" t="s">
        <v>49</v>
      </c>
      <c r="M6675" s="0" t="s">
        <v>173</v>
      </c>
      <c r="N6675" s="0" t="n">
        <v>1951</v>
      </c>
      <c r="O6675" s="10" t="n">
        <v>0.556433101417497</v>
      </c>
      <c r="P6675" s="10" t="n">
        <v>0.601251717889681</v>
      </c>
      <c r="Q6675" s="0" t="str">
        <f aca="false">SUBSTITUTE(SUBSTITUTE($I6675,CHAR(61),""),CHAR(34),"")</f>
        <v>10-14</v>
      </c>
      <c r="R6675" s="0" t="str">
        <f aca="false">IF($D6675&lt;&gt;"","["&amp;$E6675&amp;"]"&amp;"|"&amp;$Q6675&amp;"|"&amp;$K6675&amp;"|"&amp;$G6675&amp;"|"&amp;IF($G6675="TX_CURR_SUBNAT.R","CY2022Q4",$M6675),"")</f>
        <v>[gwVYinjBAe9]|10-14|Male|PLHIV_Residents.T2|CY2025Q3</v>
      </c>
    </row>
    <row r="6676" customFormat="false" ht="15" hidden="false" customHeight="false" outlineLevel="0" collapsed="false">
      <c r="D6676" s="0" t="s">
        <v>96</v>
      </c>
      <c r="E6676" s="0" t="s">
        <v>97</v>
      </c>
      <c r="F6676" s="0" t="s">
        <v>98</v>
      </c>
      <c r="G6676" s="0" t="s">
        <v>171</v>
      </c>
      <c r="H6676" s="0" t="s">
        <v>172</v>
      </c>
      <c r="I6676" s="0" t="s">
        <v>38</v>
      </c>
      <c r="J6676" s="0" t="s">
        <v>39</v>
      </c>
      <c r="K6676" s="0" t="s">
        <v>48</v>
      </c>
      <c r="L6676" s="0" t="s">
        <v>49</v>
      </c>
      <c r="M6676" s="0" t="s">
        <v>173</v>
      </c>
      <c r="N6676" s="0" t="n">
        <v>558</v>
      </c>
      <c r="O6676" s="10" t="n">
        <v>0.2115824369248</v>
      </c>
      <c r="P6676" s="10" t="n">
        <v>0.601251717889681</v>
      </c>
      <c r="Q6676" s="0" t="str">
        <f aca="false">SUBSTITUTE(SUBSTITUTE($I6676,CHAR(61),""),CHAR(34),"")</f>
        <v>15-24</v>
      </c>
      <c r="R6676" s="0" t="str">
        <f aca="false">IF($D6676&lt;&gt;"","["&amp;$E6676&amp;"]"&amp;"|"&amp;$Q6676&amp;"|"&amp;$K6676&amp;"|"&amp;$G6676&amp;"|"&amp;IF($G6676="TX_CURR_SUBNAT.R","CY2022Q4",$M6676),"")</f>
        <v>[gwVYinjBAe9]|15-24|Male|PLHIV_Residents.T2|CY2025Q3</v>
      </c>
    </row>
    <row r="6677" customFormat="false" ht="15" hidden="false" customHeight="false" outlineLevel="0" collapsed="false">
      <c r="D6677" s="0" t="s">
        <v>96</v>
      </c>
      <c r="E6677" s="0" t="s">
        <v>97</v>
      </c>
      <c r="F6677" s="0" t="s">
        <v>98</v>
      </c>
      <c r="G6677" s="0" t="s">
        <v>171</v>
      </c>
      <c r="H6677" s="0" t="s">
        <v>172</v>
      </c>
      <c r="I6677" s="0" t="s">
        <v>41</v>
      </c>
      <c r="J6677" s="0" t="s">
        <v>42</v>
      </c>
      <c r="K6677" s="0" t="s">
        <v>48</v>
      </c>
      <c r="L6677" s="0" t="s">
        <v>49</v>
      </c>
      <c r="M6677" s="0" t="s">
        <v>173</v>
      </c>
      <c r="N6677" s="0" t="n">
        <v>1664</v>
      </c>
      <c r="O6677" s="10" t="n">
        <v>0.6537594597321</v>
      </c>
      <c r="P6677" s="10" t="n">
        <v>0.601251717889681</v>
      </c>
      <c r="Q6677" s="0" t="str">
        <f aca="false">SUBSTITUTE(SUBSTITUTE($I6677,CHAR(61),""),CHAR(34),"")</f>
        <v>25-34</v>
      </c>
      <c r="R6677" s="0" t="str">
        <f aca="false">IF($D6677&lt;&gt;"","["&amp;$E6677&amp;"]"&amp;"|"&amp;$Q6677&amp;"|"&amp;$K6677&amp;"|"&amp;$G6677&amp;"|"&amp;IF($G6677="TX_CURR_SUBNAT.R","CY2022Q4",$M6677),"")</f>
        <v>[gwVYinjBAe9]|25-34|Male|PLHIV_Residents.T2|CY2025Q3</v>
      </c>
    </row>
    <row r="6678" customFormat="false" ht="15" hidden="false" customHeight="false" outlineLevel="0" collapsed="false">
      <c r="D6678" s="0" t="s">
        <v>96</v>
      </c>
      <c r="E6678" s="0" t="s">
        <v>97</v>
      </c>
      <c r="F6678" s="0" t="s">
        <v>98</v>
      </c>
      <c r="G6678" s="0" t="s">
        <v>171</v>
      </c>
      <c r="H6678" s="0" t="s">
        <v>172</v>
      </c>
      <c r="I6678" s="0" t="s">
        <v>43</v>
      </c>
      <c r="J6678" s="0" t="s">
        <v>44</v>
      </c>
      <c r="K6678" s="0" t="s">
        <v>48</v>
      </c>
      <c r="L6678" s="0" t="s">
        <v>49</v>
      </c>
      <c r="M6678" s="0" t="s">
        <v>173</v>
      </c>
      <c r="N6678" s="0" t="n">
        <v>1083</v>
      </c>
      <c r="O6678" s="10" t="n">
        <v>0.786946537671611</v>
      </c>
      <c r="P6678" s="10" t="n">
        <v>0.601251717889681</v>
      </c>
      <c r="Q6678" s="0" t="str">
        <f aca="false">SUBSTITUTE(SUBSTITUTE($I6678,CHAR(61),""),CHAR(34),"")</f>
        <v>35-49</v>
      </c>
      <c r="R6678" s="0" t="str">
        <f aca="false">IF($D6678&lt;&gt;"","["&amp;$E6678&amp;"]"&amp;"|"&amp;$Q6678&amp;"|"&amp;$K6678&amp;"|"&amp;$G6678&amp;"|"&amp;IF($G6678="TX_CURR_SUBNAT.R","CY2022Q4",$M6678),"")</f>
        <v>[gwVYinjBAe9]|35-49|Male|PLHIV_Residents.T2|CY2025Q3</v>
      </c>
    </row>
    <row r="6679" customFormat="false" ht="15" hidden="false" customHeight="false" outlineLevel="0" collapsed="false">
      <c r="D6679" s="0" t="s">
        <v>96</v>
      </c>
      <c r="E6679" s="0" t="s">
        <v>97</v>
      </c>
      <c r="F6679" s="0" t="s">
        <v>98</v>
      </c>
      <c r="G6679" s="0" t="s">
        <v>171</v>
      </c>
      <c r="H6679" s="0" t="s">
        <v>172</v>
      </c>
      <c r="I6679" s="0" t="s">
        <v>45</v>
      </c>
      <c r="J6679" s="0" t="s">
        <v>46</v>
      </c>
      <c r="K6679" s="0" t="s">
        <v>48</v>
      </c>
      <c r="L6679" s="0" t="s">
        <v>49</v>
      </c>
      <c r="M6679" s="0" t="s">
        <v>173</v>
      </c>
      <c r="N6679" s="0" t="n">
        <v>1526</v>
      </c>
      <c r="O6679" s="10" t="n">
        <v>0.0880488269031048</v>
      </c>
      <c r="P6679" s="10" t="n">
        <v>0.601251717889681</v>
      </c>
      <c r="Q6679" s="0" t="str">
        <f aca="false">SUBSTITUTE(SUBSTITUTE($I6679,CHAR(61),""),CHAR(34),"")</f>
        <v>50+</v>
      </c>
      <c r="R6679" s="0" t="str">
        <f aca="false">IF($D6679&lt;&gt;"","["&amp;$E6679&amp;"]"&amp;"|"&amp;$Q6679&amp;"|"&amp;$K6679&amp;"|"&amp;$G6679&amp;"|"&amp;IF($G6679="TX_CURR_SUBNAT.R","CY2022Q4",$M6679),"")</f>
        <v>[gwVYinjBAe9]|50+|Male|PLHIV_Residents.T2|CY2025Q3</v>
      </c>
    </row>
    <row r="6680" customFormat="false" ht="15" hidden="false" customHeight="false" outlineLevel="0" collapsed="false">
      <c r="D6680" s="0" t="s">
        <v>99</v>
      </c>
      <c r="E6680" s="0" t="s">
        <v>100</v>
      </c>
      <c r="F6680" s="0" t="s">
        <v>101</v>
      </c>
      <c r="G6680" s="0" t="s">
        <v>171</v>
      </c>
      <c r="H6680" s="0" t="s">
        <v>172</v>
      </c>
      <c r="I6680" s="0" t="s">
        <v>28</v>
      </c>
      <c r="J6680" s="0" t="s">
        <v>29</v>
      </c>
      <c r="K6680" s="0" t="s">
        <v>30</v>
      </c>
      <c r="L6680" s="0" t="s">
        <v>31</v>
      </c>
      <c r="M6680" s="0" t="s">
        <v>173</v>
      </c>
      <c r="N6680" s="0" t="n">
        <v>1208</v>
      </c>
      <c r="O6680" s="10" t="n">
        <v>0.718127366621047</v>
      </c>
      <c r="P6680" s="10" t="n">
        <v>0.577288038097322</v>
      </c>
      <c r="Q6680" s="0" t="str">
        <f aca="false">SUBSTITUTE(SUBSTITUTE($I6680,CHAR(61),""),CHAR(34),"")</f>
        <v>&lt;01</v>
      </c>
      <c r="R6680" s="0" t="str">
        <f aca="false">IF($D6680&lt;&gt;"","["&amp;$E6680&amp;"]"&amp;"|"&amp;$Q6680&amp;"|"&amp;$K6680&amp;"|"&amp;$G6680&amp;"|"&amp;IF($G6680="TX_CURR_SUBNAT.R","CY2022Q4",$M6680),"")</f>
        <v>[mxqa3CDFmIT]|&lt;01|Female|PLHIV_Residents.T2|CY2025Q3</v>
      </c>
    </row>
    <row r="6681" customFormat="false" ht="15" hidden="false" customHeight="false" outlineLevel="0" collapsed="false">
      <c r="D6681" s="0" t="s">
        <v>99</v>
      </c>
      <c r="E6681" s="0" t="s">
        <v>100</v>
      </c>
      <c r="F6681" s="0" t="s">
        <v>101</v>
      </c>
      <c r="G6681" s="0" t="s">
        <v>171</v>
      </c>
      <c r="H6681" s="0" t="s">
        <v>172</v>
      </c>
      <c r="I6681" s="0" t="s">
        <v>33</v>
      </c>
      <c r="J6681" s="0" t="s">
        <v>34</v>
      </c>
      <c r="K6681" s="0" t="s">
        <v>30</v>
      </c>
      <c r="L6681" s="0" t="s">
        <v>31</v>
      </c>
      <c r="M6681" s="0" t="s">
        <v>173</v>
      </c>
      <c r="N6681" s="0" t="n">
        <v>1030</v>
      </c>
      <c r="O6681" s="10" t="n">
        <v>0.598517019068822</v>
      </c>
      <c r="P6681" s="10" t="n">
        <v>0.577288038097322</v>
      </c>
      <c r="Q6681" s="0" t="str">
        <f aca="false">SUBSTITUTE(SUBSTITUTE($I6681,CHAR(61),""),CHAR(34),"")</f>
        <v>01-09</v>
      </c>
      <c r="R6681" s="0" t="str">
        <f aca="false">IF($D6681&lt;&gt;"","["&amp;$E6681&amp;"]"&amp;"|"&amp;$Q6681&amp;"|"&amp;$K6681&amp;"|"&amp;$G6681&amp;"|"&amp;IF($G6681="TX_CURR_SUBNAT.R","CY2022Q4",$M6681),"")</f>
        <v>[mxqa3CDFmIT]|01-09|Female|PLHIV_Residents.T2|CY2025Q3</v>
      </c>
    </row>
    <row r="6682" customFormat="false" ht="15" hidden="false" customHeight="false" outlineLevel="0" collapsed="false">
      <c r="D6682" s="0" t="s">
        <v>99</v>
      </c>
      <c r="E6682" s="0" t="s">
        <v>100</v>
      </c>
      <c r="F6682" s="0" t="s">
        <v>101</v>
      </c>
      <c r="G6682" s="0" t="s">
        <v>171</v>
      </c>
      <c r="H6682" s="0" t="s">
        <v>172</v>
      </c>
      <c r="I6682" s="0" t="s">
        <v>36</v>
      </c>
      <c r="J6682" s="0" t="s">
        <v>37</v>
      </c>
      <c r="K6682" s="0" t="s">
        <v>30</v>
      </c>
      <c r="L6682" s="0" t="s">
        <v>31</v>
      </c>
      <c r="M6682" s="0" t="s">
        <v>173</v>
      </c>
      <c r="N6682" s="0" t="n">
        <v>905</v>
      </c>
      <c r="O6682" s="10" t="n">
        <v>0.141924646915868</v>
      </c>
      <c r="P6682" s="10" t="n">
        <v>0.577288038097322</v>
      </c>
      <c r="Q6682" s="0" t="str">
        <f aca="false">SUBSTITUTE(SUBSTITUTE($I6682,CHAR(61),""),CHAR(34),"")</f>
        <v>10-14</v>
      </c>
      <c r="R6682" s="0" t="str">
        <f aca="false">IF($D6682&lt;&gt;"","["&amp;$E6682&amp;"]"&amp;"|"&amp;$Q6682&amp;"|"&amp;$K6682&amp;"|"&amp;$G6682&amp;"|"&amp;IF($G6682="TX_CURR_SUBNAT.R","CY2022Q4",$M6682),"")</f>
        <v>[mxqa3CDFmIT]|10-14|Female|PLHIV_Residents.T2|CY2025Q3</v>
      </c>
    </row>
    <row r="6683" customFormat="false" ht="15" hidden="false" customHeight="false" outlineLevel="0" collapsed="false">
      <c r="D6683" s="0" t="s">
        <v>99</v>
      </c>
      <c r="E6683" s="0" t="s">
        <v>100</v>
      </c>
      <c r="F6683" s="0" t="s">
        <v>101</v>
      </c>
      <c r="G6683" s="0" t="s">
        <v>171</v>
      </c>
      <c r="H6683" s="0" t="s">
        <v>172</v>
      </c>
      <c r="I6683" s="0" t="s">
        <v>38</v>
      </c>
      <c r="J6683" s="0" t="s">
        <v>39</v>
      </c>
      <c r="K6683" s="0" t="s">
        <v>30</v>
      </c>
      <c r="L6683" s="0" t="s">
        <v>31</v>
      </c>
      <c r="M6683" s="0" t="s">
        <v>173</v>
      </c>
      <c r="N6683" s="0" t="n">
        <v>1910</v>
      </c>
      <c r="O6683" s="10" t="n">
        <v>0.543246718123555</v>
      </c>
      <c r="P6683" s="10" t="n">
        <v>0.577288038097322</v>
      </c>
      <c r="Q6683" s="0" t="str">
        <f aca="false">SUBSTITUTE(SUBSTITUTE($I6683,CHAR(61),""),CHAR(34),"")</f>
        <v>15-24</v>
      </c>
      <c r="R6683" s="0" t="str">
        <f aca="false">IF($D6683&lt;&gt;"","["&amp;$E6683&amp;"]"&amp;"|"&amp;$Q6683&amp;"|"&amp;$K6683&amp;"|"&amp;$G6683&amp;"|"&amp;IF($G6683="TX_CURR_SUBNAT.R","CY2022Q4",$M6683),"")</f>
        <v>[mxqa3CDFmIT]|15-24|Female|PLHIV_Residents.T2|CY2025Q3</v>
      </c>
    </row>
    <row r="6684" customFormat="false" ht="15" hidden="false" customHeight="false" outlineLevel="0" collapsed="false">
      <c r="D6684" s="0" t="s">
        <v>99</v>
      </c>
      <c r="E6684" s="0" t="s">
        <v>100</v>
      </c>
      <c r="F6684" s="0" t="s">
        <v>101</v>
      </c>
      <c r="G6684" s="0" t="s">
        <v>171</v>
      </c>
      <c r="H6684" s="0" t="s">
        <v>172</v>
      </c>
      <c r="I6684" s="0" t="s">
        <v>41</v>
      </c>
      <c r="J6684" s="0" t="s">
        <v>42</v>
      </c>
      <c r="K6684" s="0" t="s">
        <v>30</v>
      </c>
      <c r="L6684" s="0" t="s">
        <v>31</v>
      </c>
      <c r="M6684" s="0" t="s">
        <v>173</v>
      </c>
      <c r="N6684" s="0" t="n">
        <v>1872</v>
      </c>
      <c r="O6684" s="10" t="n">
        <v>0.288758528418839</v>
      </c>
      <c r="P6684" s="10" t="n">
        <v>0.577288038097322</v>
      </c>
      <c r="Q6684" s="0" t="str">
        <f aca="false">SUBSTITUTE(SUBSTITUTE($I6684,CHAR(61),""),CHAR(34),"")</f>
        <v>25-34</v>
      </c>
      <c r="R6684" s="0" t="str">
        <f aca="false">IF($D6684&lt;&gt;"","["&amp;$E6684&amp;"]"&amp;"|"&amp;$Q6684&amp;"|"&amp;$K6684&amp;"|"&amp;$G6684&amp;"|"&amp;IF($G6684="TX_CURR_SUBNAT.R","CY2022Q4",$M6684),"")</f>
        <v>[mxqa3CDFmIT]|25-34|Female|PLHIV_Residents.T2|CY2025Q3</v>
      </c>
    </row>
    <row r="6685" customFormat="false" ht="15" hidden="false" customHeight="false" outlineLevel="0" collapsed="false">
      <c r="D6685" s="0" t="s">
        <v>99</v>
      </c>
      <c r="E6685" s="0" t="s">
        <v>100</v>
      </c>
      <c r="F6685" s="0" t="s">
        <v>101</v>
      </c>
      <c r="G6685" s="0" t="s">
        <v>171</v>
      </c>
      <c r="H6685" s="0" t="s">
        <v>172</v>
      </c>
      <c r="I6685" s="0" t="s">
        <v>43</v>
      </c>
      <c r="J6685" s="0" t="s">
        <v>44</v>
      </c>
      <c r="K6685" s="0" t="s">
        <v>30</v>
      </c>
      <c r="L6685" s="0" t="s">
        <v>31</v>
      </c>
      <c r="M6685" s="0" t="s">
        <v>173</v>
      </c>
      <c r="N6685" s="0" t="n">
        <v>1419</v>
      </c>
      <c r="O6685" s="10" t="n">
        <v>0.787110891193151</v>
      </c>
      <c r="P6685" s="10" t="n">
        <v>0.577288038097322</v>
      </c>
      <c r="Q6685" s="0" t="str">
        <f aca="false">SUBSTITUTE(SUBSTITUTE($I6685,CHAR(61),""),CHAR(34),"")</f>
        <v>35-49</v>
      </c>
      <c r="R6685" s="0" t="str">
        <f aca="false">IF($D6685&lt;&gt;"","["&amp;$E6685&amp;"]"&amp;"|"&amp;$Q6685&amp;"|"&amp;$K6685&amp;"|"&amp;$G6685&amp;"|"&amp;IF($G6685="TX_CURR_SUBNAT.R","CY2022Q4",$M6685),"")</f>
        <v>[mxqa3CDFmIT]|35-49|Female|PLHIV_Residents.T2|CY2025Q3</v>
      </c>
    </row>
    <row r="6686" customFormat="false" ht="15" hidden="false" customHeight="false" outlineLevel="0" collapsed="false">
      <c r="D6686" s="0" t="s">
        <v>99</v>
      </c>
      <c r="E6686" s="0" t="s">
        <v>100</v>
      </c>
      <c r="F6686" s="0" t="s">
        <v>101</v>
      </c>
      <c r="G6686" s="0" t="s">
        <v>171</v>
      </c>
      <c r="H6686" s="0" t="s">
        <v>172</v>
      </c>
      <c r="I6686" s="0" t="s">
        <v>45</v>
      </c>
      <c r="J6686" s="0" t="s">
        <v>46</v>
      </c>
      <c r="K6686" s="0" t="s">
        <v>30</v>
      </c>
      <c r="L6686" s="0" t="s">
        <v>31</v>
      </c>
      <c r="M6686" s="0" t="s">
        <v>173</v>
      </c>
      <c r="N6686" s="0" t="n">
        <v>1287</v>
      </c>
      <c r="O6686" s="10" t="n">
        <v>0.731056226883084</v>
      </c>
      <c r="P6686" s="10" t="n">
        <v>0.577288038097322</v>
      </c>
      <c r="Q6686" s="0" t="str">
        <f aca="false">SUBSTITUTE(SUBSTITUTE($I6686,CHAR(61),""),CHAR(34),"")</f>
        <v>50+</v>
      </c>
      <c r="R6686" s="0" t="str">
        <f aca="false">IF($D6686&lt;&gt;"","["&amp;$E6686&amp;"]"&amp;"|"&amp;$Q6686&amp;"|"&amp;$K6686&amp;"|"&amp;$G6686&amp;"|"&amp;IF($G6686="TX_CURR_SUBNAT.R","CY2022Q4",$M6686),"")</f>
        <v>[mxqa3CDFmIT]|50+|Female|PLHIV_Residents.T2|CY2025Q3</v>
      </c>
    </row>
    <row r="6687" customFormat="false" ht="15" hidden="false" customHeight="false" outlineLevel="0" collapsed="false">
      <c r="D6687" s="0" t="s">
        <v>99</v>
      </c>
      <c r="E6687" s="0" t="s">
        <v>100</v>
      </c>
      <c r="F6687" s="0" t="s">
        <v>101</v>
      </c>
      <c r="G6687" s="0" t="s">
        <v>171</v>
      </c>
      <c r="H6687" s="0" t="s">
        <v>172</v>
      </c>
      <c r="I6687" s="0" t="s">
        <v>28</v>
      </c>
      <c r="J6687" s="0" t="s">
        <v>29</v>
      </c>
      <c r="K6687" s="0" t="s">
        <v>48</v>
      </c>
      <c r="L6687" s="0" t="s">
        <v>49</v>
      </c>
      <c r="M6687" s="0" t="s">
        <v>173</v>
      </c>
      <c r="N6687" s="0" t="n">
        <v>1484</v>
      </c>
      <c r="O6687" s="10" t="n">
        <v>0.133611315395683</v>
      </c>
      <c r="P6687" s="10" t="n">
        <v>0.577288038097322</v>
      </c>
      <c r="Q6687" s="0" t="str">
        <f aca="false">SUBSTITUTE(SUBSTITUTE($I6687,CHAR(61),""),CHAR(34),"")</f>
        <v>&lt;01</v>
      </c>
      <c r="R6687" s="0" t="str">
        <f aca="false">IF($D6687&lt;&gt;"","["&amp;$E6687&amp;"]"&amp;"|"&amp;$Q6687&amp;"|"&amp;$K6687&amp;"|"&amp;$G6687&amp;"|"&amp;IF($G6687="TX_CURR_SUBNAT.R","CY2022Q4",$M6687),"")</f>
        <v>[mxqa3CDFmIT]|&lt;01|Male|PLHIV_Residents.T2|CY2025Q3</v>
      </c>
    </row>
    <row r="6688" customFormat="false" ht="15" hidden="false" customHeight="false" outlineLevel="0" collapsed="false">
      <c r="D6688" s="0" t="s">
        <v>99</v>
      </c>
      <c r="E6688" s="0" t="s">
        <v>100</v>
      </c>
      <c r="F6688" s="0" t="s">
        <v>101</v>
      </c>
      <c r="G6688" s="0" t="s">
        <v>171</v>
      </c>
      <c r="H6688" s="0" t="s">
        <v>172</v>
      </c>
      <c r="I6688" s="0" t="s">
        <v>33</v>
      </c>
      <c r="J6688" s="0" t="s">
        <v>34</v>
      </c>
      <c r="K6688" s="0" t="s">
        <v>48</v>
      </c>
      <c r="L6688" s="0" t="s">
        <v>49</v>
      </c>
      <c r="M6688" s="0" t="s">
        <v>173</v>
      </c>
      <c r="N6688" s="0" t="n">
        <v>1479</v>
      </c>
      <c r="O6688" s="10" t="n">
        <v>0.233017824823037</v>
      </c>
      <c r="P6688" s="10" t="n">
        <v>0.577288038097322</v>
      </c>
      <c r="Q6688" s="0" t="str">
        <f aca="false">SUBSTITUTE(SUBSTITUTE($I6688,CHAR(61),""),CHAR(34),"")</f>
        <v>01-09</v>
      </c>
      <c r="R6688" s="0" t="str">
        <f aca="false">IF($D6688&lt;&gt;"","["&amp;$E6688&amp;"]"&amp;"|"&amp;$Q6688&amp;"|"&amp;$K6688&amp;"|"&amp;$G6688&amp;"|"&amp;IF($G6688="TX_CURR_SUBNAT.R","CY2022Q4",$M6688),"")</f>
        <v>[mxqa3CDFmIT]|01-09|Male|PLHIV_Residents.T2|CY2025Q3</v>
      </c>
    </row>
    <row r="6689" customFormat="false" ht="15" hidden="false" customHeight="false" outlineLevel="0" collapsed="false">
      <c r="D6689" s="0" t="s">
        <v>99</v>
      </c>
      <c r="E6689" s="0" t="s">
        <v>100</v>
      </c>
      <c r="F6689" s="0" t="s">
        <v>101</v>
      </c>
      <c r="G6689" s="0" t="s">
        <v>171</v>
      </c>
      <c r="H6689" s="0" t="s">
        <v>172</v>
      </c>
      <c r="I6689" s="0" t="s">
        <v>36</v>
      </c>
      <c r="J6689" s="0" t="s">
        <v>37</v>
      </c>
      <c r="K6689" s="0" t="s">
        <v>48</v>
      </c>
      <c r="L6689" s="0" t="s">
        <v>49</v>
      </c>
      <c r="M6689" s="0" t="s">
        <v>173</v>
      </c>
      <c r="N6689" s="0" t="n">
        <v>1544</v>
      </c>
      <c r="O6689" s="10" t="n">
        <v>0.162095153471455</v>
      </c>
      <c r="P6689" s="10" t="n">
        <v>0.577288038097322</v>
      </c>
      <c r="Q6689" s="0" t="str">
        <f aca="false">SUBSTITUTE(SUBSTITUTE($I6689,CHAR(61),""),CHAR(34),"")</f>
        <v>10-14</v>
      </c>
      <c r="R6689" s="0" t="str">
        <f aca="false">IF($D6689&lt;&gt;"","["&amp;$E6689&amp;"]"&amp;"|"&amp;$Q6689&amp;"|"&amp;$K6689&amp;"|"&amp;$G6689&amp;"|"&amp;IF($G6689="TX_CURR_SUBNAT.R","CY2022Q4",$M6689),"")</f>
        <v>[mxqa3CDFmIT]|10-14|Male|PLHIV_Residents.T2|CY2025Q3</v>
      </c>
    </row>
    <row r="6690" customFormat="false" ht="15" hidden="false" customHeight="false" outlineLevel="0" collapsed="false">
      <c r="D6690" s="0" t="s">
        <v>99</v>
      </c>
      <c r="E6690" s="0" t="s">
        <v>100</v>
      </c>
      <c r="F6690" s="0" t="s">
        <v>101</v>
      </c>
      <c r="G6690" s="0" t="s">
        <v>171</v>
      </c>
      <c r="H6690" s="0" t="s">
        <v>172</v>
      </c>
      <c r="I6690" s="0" t="s">
        <v>38</v>
      </c>
      <c r="J6690" s="0" t="s">
        <v>39</v>
      </c>
      <c r="K6690" s="0" t="s">
        <v>48</v>
      </c>
      <c r="L6690" s="0" t="s">
        <v>49</v>
      </c>
      <c r="M6690" s="0" t="s">
        <v>173</v>
      </c>
      <c r="N6690" s="0" t="n">
        <v>1979</v>
      </c>
      <c r="O6690" s="10" t="n">
        <v>0.128152143443003</v>
      </c>
      <c r="P6690" s="10" t="n">
        <v>0.577288038097322</v>
      </c>
      <c r="Q6690" s="0" t="str">
        <f aca="false">SUBSTITUTE(SUBSTITUTE($I6690,CHAR(61),""),CHAR(34),"")</f>
        <v>15-24</v>
      </c>
      <c r="R6690" s="0" t="str">
        <f aca="false">IF($D6690&lt;&gt;"","["&amp;$E6690&amp;"]"&amp;"|"&amp;$Q6690&amp;"|"&amp;$K6690&amp;"|"&amp;$G6690&amp;"|"&amp;IF($G6690="TX_CURR_SUBNAT.R","CY2022Q4",$M6690),"")</f>
        <v>[mxqa3CDFmIT]|15-24|Male|PLHIV_Residents.T2|CY2025Q3</v>
      </c>
    </row>
    <row r="6691" customFormat="false" ht="15" hidden="false" customHeight="false" outlineLevel="0" collapsed="false">
      <c r="D6691" s="0" t="s">
        <v>99</v>
      </c>
      <c r="E6691" s="0" t="s">
        <v>100</v>
      </c>
      <c r="F6691" s="0" t="s">
        <v>101</v>
      </c>
      <c r="G6691" s="0" t="s">
        <v>171</v>
      </c>
      <c r="H6691" s="0" t="s">
        <v>172</v>
      </c>
      <c r="I6691" s="0" t="s">
        <v>41</v>
      </c>
      <c r="J6691" s="0" t="s">
        <v>42</v>
      </c>
      <c r="K6691" s="0" t="s">
        <v>48</v>
      </c>
      <c r="L6691" s="0" t="s">
        <v>49</v>
      </c>
      <c r="M6691" s="0" t="s">
        <v>173</v>
      </c>
      <c r="N6691" s="0" t="n">
        <v>1073</v>
      </c>
      <c r="O6691" s="10" t="n">
        <v>0.835725304204971</v>
      </c>
      <c r="P6691" s="10" t="n">
        <v>0.577288038097322</v>
      </c>
      <c r="Q6691" s="0" t="str">
        <f aca="false">SUBSTITUTE(SUBSTITUTE($I6691,CHAR(61),""),CHAR(34),"")</f>
        <v>25-34</v>
      </c>
      <c r="R6691" s="0" t="str">
        <f aca="false">IF($D6691&lt;&gt;"","["&amp;$E6691&amp;"]"&amp;"|"&amp;$Q6691&amp;"|"&amp;$K6691&amp;"|"&amp;$G6691&amp;"|"&amp;IF($G6691="TX_CURR_SUBNAT.R","CY2022Q4",$M6691),"")</f>
        <v>[mxqa3CDFmIT]|25-34|Male|PLHIV_Residents.T2|CY2025Q3</v>
      </c>
    </row>
    <row r="6692" customFormat="false" ht="15" hidden="false" customHeight="false" outlineLevel="0" collapsed="false">
      <c r="D6692" s="0" t="s">
        <v>99</v>
      </c>
      <c r="E6692" s="0" t="s">
        <v>100</v>
      </c>
      <c r="F6692" s="0" t="s">
        <v>101</v>
      </c>
      <c r="G6692" s="0" t="s">
        <v>171</v>
      </c>
      <c r="H6692" s="0" t="s">
        <v>172</v>
      </c>
      <c r="I6692" s="0" t="s">
        <v>43</v>
      </c>
      <c r="J6692" s="0" t="s">
        <v>44</v>
      </c>
      <c r="K6692" s="0" t="s">
        <v>48</v>
      </c>
      <c r="L6692" s="0" t="s">
        <v>49</v>
      </c>
      <c r="M6692" s="0" t="s">
        <v>173</v>
      </c>
      <c r="N6692" s="0" t="n">
        <v>738</v>
      </c>
      <c r="O6692" s="10" t="n">
        <v>0.214290529023856</v>
      </c>
      <c r="P6692" s="10" t="n">
        <v>0.577288038097322</v>
      </c>
      <c r="Q6692" s="0" t="str">
        <f aca="false">SUBSTITUTE(SUBSTITUTE($I6692,CHAR(61),""),CHAR(34),"")</f>
        <v>35-49</v>
      </c>
      <c r="R6692" s="0" t="str">
        <f aca="false">IF($D6692&lt;&gt;"","["&amp;$E6692&amp;"]"&amp;"|"&amp;$Q6692&amp;"|"&amp;$K6692&amp;"|"&amp;$G6692&amp;"|"&amp;IF($G6692="TX_CURR_SUBNAT.R","CY2022Q4",$M6692),"")</f>
        <v>[mxqa3CDFmIT]|35-49|Male|PLHIV_Residents.T2|CY2025Q3</v>
      </c>
    </row>
    <row r="6693" customFormat="false" ht="15" hidden="false" customHeight="false" outlineLevel="0" collapsed="false">
      <c r="D6693" s="0" t="s">
        <v>99</v>
      </c>
      <c r="E6693" s="0" t="s">
        <v>100</v>
      </c>
      <c r="F6693" s="0" t="s">
        <v>101</v>
      </c>
      <c r="G6693" s="0" t="s">
        <v>171</v>
      </c>
      <c r="H6693" s="0" t="s">
        <v>172</v>
      </c>
      <c r="I6693" s="0" t="s">
        <v>45</v>
      </c>
      <c r="J6693" s="0" t="s">
        <v>46</v>
      </c>
      <c r="K6693" s="0" t="s">
        <v>48</v>
      </c>
      <c r="L6693" s="0" t="s">
        <v>49</v>
      </c>
      <c r="M6693" s="0" t="s">
        <v>173</v>
      </c>
      <c r="N6693" s="0" t="n">
        <v>1280</v>
      </c>
      <c r="O6693" s="10" t="n">
        <v>0.0502870611380786</v>
      </c>
      <c r="P6693" s="10" t="n">
        <v>0.577288038097322</v>
      </c>
      <c r="Q6693" s="0" t="str">
        <f aca="false">SUBSTITUTE(SUBSTITUTE($I6693,CHAR(61),""),CHAR(34),"")</f>
        <v>50+</v>
      </c>
      <c r="R6693" s="0" t="str">
        <f aca="false">IF($D6693&lt;&gt;"","["&amp;$E6693&amp;"]"&amp;"|"&amp;$Q6693&amp;"|"&amp;$K6693&amp;"|"&amp;$G6693&amp;"|"&amp;IF($G6693="TX_CURR_SUBNAT.R","CY2022Q4",$M6693),"")</f>
        <v>[mxqa3CDFmIT]|50+|Male|PLHIV_Residents.T2|CY2025Q3</v>
      </c>
    </row>
    <row r="6694" customFormat="false" ht="15" hidden="false" customHeight="false" outlineLevel="0" collapsed="false">
      <c r="D6694" s="0" t="s">
        <v>102</v>
      </c>
      <c r="E6694" s="0" t="s">
        <v>103</v>
      </c>
      <c r="F6694" s="0" t="s">
        <v>104</v>
      </c>
      <c r="G6694" s="0" t="s">
        <v>171</v>
      </c>
      <c r="H6694" s="0" t="s">
        <v>172</v>
      </c>
      <c r="I6694" s="0" t="s">
        <v>28</v>
      </c>
      <c r="J6694" s="0" t="s">
        <v>29</v>
      </c>
      <c r="K6694" s="0" t="s">
        <v>30</v>
      </c>
      <c r="L6694" s="0" t="s">
        <v>31</v>
      </c>
      <c r="M6694" s="0" t="s">
        <v>173</v>
      </c>
      <c r="N6694" s="0" t="n">
        <v>580</v>
      </c>
      <c r="O6694" s="10" t="n">
        <v>0.966752314241603</v>
      </c>
      <c r="P6694" s="10" t="n">
        <v>0.526212359312922</v>
      </c>
      <c r="Q6694" s="0" t="str">
        <f aca="false">SUBSTITUTE(SUBSTITUTE($I6694,CHAR(61),""),CHAR(34),"")</f>
        <v>&lt;01</v>
      </c>
      <c r="R6694" s="0" t="str">
        <f aca="false">IF($D6694&lt;&gt;"","["&amp;$E6694&amp;"]"&amp;"|"&amp;$Q6694&amp;"|"&amp;$K6694&amp;"|"&amp;$G6694&amp;"|"&amp;IF($G6694="TX_CURR_SUBNAT.R","CY2022Q4",$M6694),"")</f>
        <v>[wNqJp8oRIcF]|&lt;01|Female|PLHIV_Residents.T2|CY2025Q3</v>
      </c>
    </row>
    <row r="6695" customFormat="false" ht="15" hidden="false" customHeight="false" outlineLevel="0" collapsed="false">
      <c r="D6695" s="0" t="s">
        <v>102</v>
      </c>
      <c r="E6695" s="0" t="s">
        <v>103</v>
      </c>
      <c r="F6695" s="0" t="s">
        <v>104</v>
      </c>
      <c r="G6695" s="0" t="s">
        <v>171</v>
      </c>
      <c r="H6695" s="0" t="s">
        <v>172</v>
      </c>
      <c r="I6695" s="0" t="s">
        <v>33</v>
      </c>
      <c r="J6695" s="0" t="s">
        <v>34</v>
      </c>
      <c r="K6695" s="0" t="s">
        <v>30</v>
      </c>
      <c r="L6695" s="0" t="s">
        <v>31</v>
      </c>
      <c r="M6695" s="0" t="s">
        <v>173</v>
      </c>
      <c r="N6695" s="0" t="n">
        <v>1395</v>
      </c>
      <c r="O6695" s="10" t="n">
        <v>0.688796607311815</v>
      </c>
      <c r="P6695" s="10" t="n">
        <v>0.526212359312922</v>
      </c>
      <c r="Q6695" s="0" t="str">
        <f aca="false">SUBSTITUTE(SUBSTITUTE($I6695,CHAR(61),""),CHAR(34),"")</f>
        <v>01-09</v>
      </c>
      <c r="R6695" s="0" t="str">
        <f aca="false">IF($D6695&lt;&gt;"","["&amp;$E6695&amp;"]"&amp;"|"&amp;$Q6695&amp;"|"&amp;$K6695&amp;"|"&amp;$G6695&amp;"|"&amp;IF($G6695="TX_CURR_SUBNAT.R","CY2022Q4",$M6695),"")</f>
        <v>[wNqJp8oRIcF]|01-09|Female|PLHIV_Residents.T2|CY2025Q3</v>
      </c>
    </row>
    <row r="6696" customFormat="false" ht="15" hidden="false" customHeight="false" outlineLevel="0" collapsed="false">
      <c r="D6696" s="0" t="s">
        <v>102</v>
      </c>
      <c r="E6696" s="0" t="s">
        <v>103</v>
      </c>
      <c r="F6696" s="0" t="s">
        <v>104</v>
      </c>
      <c r="G6696" s="0" t="s">
        <v>171</v>
      </c>
      <c r="H6696" s="0" t="s">
        <v>172</v>
      </c>
      <c r="I6696" s="0" t="s">
        <v>36</v>
      </c>
      <c r="J6696" s="0" t="s">
        <v>37</v>
      </c>
      <c r="K6696" s="0" t="s">
        <v>30</v>
      </c>
      <c r="L6696" s="0" t="s">
        <v>31</v>
      </c>
      <c r="M6696" s="0" t="s">
        <v>173</v>
      </c>
      <c r="N6696" s="0" t="n">
        <v>1055</v>
      </c>
      <c r="O6696" s="10" t="n">
        <v>0.298549288650975</v>
      </c>
      <c r="P6696" s="10" t="n">
        <v>0.526212359312922</v>
      </c>
      <c r="Q6696" s="0" t="str">
        <f aca="false">SUBSTITUTE(SUBSTITUTE($I6696,CHAR(61),""),CHAR(34),"")</f>
        <v>10-14</v>
      </c>
      <c r="R6696" s="0" t="str">
        <f aca="false">IF($D6696&lt;&gt;"","["&amp;$E6696&amp;"]"&amp;"|"&amp;$Q6696&amp;"|"&amp;$K6696&amp;"|"&amp;$G6696&amp;"|"&amp;IF($G6696="TX_CURR_SUBNAT.R","CY2022Q4",$M6696),"")</f>
        <v>[wNqJp8oRIcF]|10-14|Female|PLHIV_Residents.T2|CY2025Q3</v>
      </c>
    </row>
    <row r="6697" customFormat="false" ht="15" hidden="false" customHeight="false" outlineLevel="0" collapsed="false">
      <c r="D6697" s="0" t="s">
        <v>102</v>
      </c>
      <c r="E6697" s="0" t="s">
        <v>103</v>
      </c>
      <c r="F6697" s="0" t="s">
        <v>104</v>
      </c>
      <c r="G6697" s="0" t="s">
        <v>171</v>
      </c>
      <c r="H6697" s="0" t="s">
        <v>172</v>
      </c>
      <c r="I6697" s="0" t="s">
        <v>38</v>
      </c>
      <c r="J6697" s="0" t="s">
        <v>39</v>
      </c>
      <c r="K6697" s="0" t="s">
        <v>30</v>
      </c>
      <c r="L6697" s="0" t="s">
        <v>31</v>
      </c>
      <c r="M6697" s="0" t="s">
        <v>173</v>
      </c>
      <c r="N6697" s="0" t="n">
        <v>1307</v>
      </c>
      <c r="O6697" s="10" t="n">
        <v>0.519129110500216</v>
      </c>
      <c r="P6697" s="10" t="n">
        <v>0.526212359312922</v>
      </c>
      <c r="Q6697" s="0" t="str">
        <f aca="false">SUBSTITUTE(SUBSTITUTE($I6697,CHAR(61),""),CHAR(34),"")</f>
        <v>15-24</v>
      </c>
      <c r="R6697" s="0" t="str">
        <f aca="false">IF($D6697&lt;&gt;"","["&amp;$E6697&amp;"]"&amp;"|"&amp;$Q6697&amp;"|"&amp;$K6697&amp;"|"&amp;$G6697&amp;"|"&amp;IF($G6697="TX_CURR_SUBNAT.R","CY2022Q4",$M6697),"")</f>
        <v>[wNqJp8oRIcF]|15-24|Female|PLHIV_Residents.T2|CY2025Q3</v>
      </c>
    </row>
    <row r="6698" customFormat="false" ht="15" hidden="false" customHeight="false" outlineLevel="0" collapsed="false">
      <c r="D6698" s="0" t="s">
        <v>102</v>
      </c>
      <c r="E6698" s="0" t="s">
        <v>103</v>
      </c>
      <c r="F6698" s="0" t="s">
        <v>104</v>
      </c>
      <c r="G6698" s="0" t="s">
        <v>171</v>
      </c>
      <c r="H6698" s="0" t="s">
        <v>172</v>
      </c>
      <c r="I6698" s="0" t="s">
        <v>41</v>
      </c>
      <c r="J6698" s="0" t="s">
        <v>42</v>
      </c>
      <c r="K6698" s="0" t="s">
        <v>30</v>
      </c>
      <c r="L6698" s="0" t="s">
        <v>31</v>
      </c>
      <c r="M6698" s="0" t="s">
        <v>173</v>
      </c>
      <c r="N6698" s="0" t="n">
        <v>683</v>
      </c>
      <c r="O6698" s="10" t="n">
        <v>0.744715567445382</v>
      </c>
      <c r="P6698" s="10" t="n">
        <v>0.526212359312922</v>
      </c>
      <c r="Q6698" s="0" t="str">
        <f aca="false">SUBSTITUTE(SUBSTITUTE($I6698,CHAR(61),""),CHAR(34),"")</f>
        <v>25-34</v>
      </c>
      <c r="R6698" s="0" t="str">
        <f aca="false">IF($D6698&lt;&gt;"","["&amp;$E6698&amp;"]"&amp;"|"&amp;$Q6698&amp;"|"&amp;$K6698&amp;"|"&amp;$G6698&amp;"|"&amp;IF($G6698="TX_CURR_SUBNAT.R","CY2022Q4",$M6698),"")</f>
        <v>[wNqJp8oRIcF]|25-34|Female|PLHIV_Residents.T2|CY2025Q3</v>
      </c>
    </row>
    <row r="6699" customFormat="false" ht="15" hidden="false" customHeight="false" outlineLevel="0" collapsed="false">
      <c r="D6699" s="0" t="s">
        <v>102</v>
      </c>
      <c r="E6699" s="0" t="s">
        <v>103</v>
      </c>
      <c r="F6699" s="0" t="s">
        <v>104</v>
      </c>
      <c r="G6699" s="0" t="s">
        <v>171</v>
      </c>
      <c r="H6699" s="0" t="s">
        <v>172</v>
      </c>
      <c r="I6699" s="0" t="s">
        <v>43</v>
      </c>
      <c r="J6699" s="0" t="s">
        <v>44</v>
      </c>
      <c r="K6699" s="0" t="s">
        <v>30</v>
      </c>
      <c r="L6699" s="0" t="s">
        <v>31</v>
      </c>
      <c r="M6699" s="0" t="s">
        <v>173</v>
      </c>
      <c r="N6699" s="0" t="n">
        <v>1821</v>
      </c>
      <c r="O6699" s="10" t="n">
        <v>0.326462560798973</v>
      </c>
      <c r="P6699" s="10" t="n">
        <v>0.526212359312922</v>
      </c>
      <c r="Q6699" s="0" t="str">
        <f aca="false">SUBSTITUTE(SUBSTITUTE($I6699,CHAR(61),""),CHAR(34),"")</f>
        <v>35-49</v>
      </c>
      <c r="R6699" s="0" t="str">
        <f aca="false">IF($D6699&lt;&gt;"","["&amp;$E6699&amp;"]"&amp;"|"&amp;$Q6699&amp;"|"&amp;$K6699&amp;"|"&amp;$G6699&amp;"|"&amp;IF($G6699="TX_CURR_SUBNAT.R","CY2022Q4",$M6699),"")</f>
        <v>[wNqJp8oRIcF]|35-49|Female|PLHIV_Residents.T2|CY2025Q3</v>
      </c>
    </row>
    <row r="6700" customFormat="false" ht="15" hidden="false" customHeight="false" outlineLevel="0" collapsed="false">
      <c r="D6700" s="0" t="s">
        <v>102</v>
      </c>
      <c r="E6700" s="0" t="s">
        <v>103</v>
      </c>
      <c r="F6700" s="0" t="s">
        <v>104</v>
      </c>
      <c r="G6700" s="0" t="s">
        <v>171</v>
      </c>
      <c r="H6700" s="0" t="s">
        <v>172</v>
      </c>
      <c r="I6700" s="0" t="s">
        <v>45</v>
      </c>
      <c r="J6700" s="0" t="s">
        <v>46</v>
      </c>
      <c r="K6700" s="0" t="s">
        <v>30</v>
      </c>
      <c r="L6700" s="0" t="s">
        <v>31</v>
      </c>
      <c r="M6700" s="0" t="s">
        <v>173</v>
      </c>
      <c r="N6700" s="0" t="n">
        <v>772</v>
      </c>
      <c r="O6700" s="10" t="n">
        <v>0.745092078344896</v>
      </c>
      <c r="P6700" s="10" t="n">
        <v>0.526212359312922</v>
      </c>
      <c r="Q6700" s="0" t="str">
        <f aca="false">SUBSTITUTE(SUBSTITUTE($I6700,CHAR(61),""),CHAR(34),"")</f>
        <v>50+</v>
      </c>
      <c r="R6700" s="0" t="str">
        <f aca="false">IF($D6700&lt;&gt;"","["&amp;$E6700&amp;"]"&amp;"|"&amp;$Q6700&amp;"|"&amp;$K6700&amp;"|"&amp;$G6700&amp;"|"&amp;IF($G6700="TX_CURR_SUBNAT.R","CY2022Q4",$M6700),"")</f>
        <v>[wNqJp8oRIcF]|50+|Female|PLHIV_Residents.T2|CY2025Q3</v>
      </c>
    </row>
    <row r="6701" customFormat="false" ht="15" hidden="false" customHeight="false" outlineLevel="0" collapsed="false">
      <c r="D6701" s="0" t="s">
        <v>102</v>
      </c>
      <c r="E6701" s="0" t="s">
        <v>103</v>
      </c>
      <c r="F6701" s="0" t="s">
        <v>104</v>
      </c>
      <c r="G6701" s="0" t="s">
        <v>171</v>
      </c>
      <c r="H6701" s="0" t="s">
        <v>172</v>
      </c>
      <c r="I6701" s="0" t="s">
        <v>28</v>
      </c>
      <c r="J6701" s="0" t="s">
        <v>29</v>
      </c>
      <c r="K6701" s="0" t="s">
        <v>48</v>
      </c>
      <c r="L6701" s="0" t="s">
        <v>49</v>
      </c>
      <c r="M6701" s="0" t="s">
        <v>173</v>
      </c>
      <c r="N6701" s="0" t="n">
        <v>840</v>
      </c>
      <c r="O6701" s="10" t="n">
        <v>0.839595407247543</v>
      </c>
      <c r="P6701" s="10" t="n">
        <v>0.526212359312922</v>
      </c>
      <c r="Q6701" s="0" t="str">
        <f aca="false">SUBSTITUTE(SUBSTITUTE($I6701,CHAR(61),""),CHAR(34),"")</f>
        <v>&lt;01</v>
      </c>
      <c r="R6701" s="0" t="str">
        <f aca="false">IF($D6701&lt;&gt;"","["&amp;$E6701&amp;"]"&amp;"|"&amp;$Q6701&amp;"|"&amp;$K6701&amp;"|"&amp;$G6701&amp;"|"&amp;IF($G6701="TX_CURR_SUBNAT.R","CY2022Q4",$M6701),"")</f>
        <v>[wNqJp8oRIcF]|&lt;01|Male|PLHIV_Residents.T2|CY2025Q3</v>
      </c>
    </row>
    <row r="6702" customFormat="false" ht="15" hidden="false" customHeight="false" outlineLevel="0" collapsed="false">
      <c r="D6702" s="0" t="s">
        <v>102</v>
      </c>
      <c r="E6702" s="0" t="s">
        <v>103</v>
      </c>
      <c r="F6702" s="0" t="s">
        <v>104</v>
      </c>
      <c r="G6702" s="0" t="s">
        <v>171</v>
      </c>
      <c r="H6702" s="0" t="s">
        <v>172</v>
      </c>
      <c r="I6702" s="0" t="s">
        <v>33</v>
      </c>
      <c r="J6702" s="0" t="s">
        <v>34</v>
      </c>
      <c r="K6702" s="0" t="s">
        <v>48</v>
      </c>
      <c r="L6702" s="0" t="s">
        <v>49</v>
      </c>
      <c r="M6702" s="0" t="s">
        <v>173</v>
      </c>
      <c r="N6702" s="0" t="n">
        <v>826</v>
      </c>
      <c r="O6702" s="10" t="n">
        <v>0.189241173444316</v>
      </c>
      <c r="P6702" s="10" t="n">
        <v>0.526212359312922</v>
      </c>
      <c r="Q6702" s="0" t="str">
        <f aca="false">SUBSTITUTE(SUBSTITUTE($I6702,CHAR(61),""),CHAR(34),"")</f>
        <v>01-09</v>
      </c>
      <c r="R6702" s="0" t="str">
        <f aca="false">IF($D6702&lt;&gt;"","["&amp;$E6702&amp;"]"&amp;"|"&amp;$Q6702&amp;"|"&amp;$K6702&amp;"|"&amp;$G6702&amp;"|"&amp;IF($G6702="TX_CURR_SUBNAT.R","CY2022Q4",$M6702),"")</f>
        <v>[wNqJp8oRIcF]|01-09|Male|PLHIV_Residents.T2|CY2025Q3</v>
      </c>
    </row>
    <row r="6703" customFormat="false" ht="15" hidden="false" customHeight="false" outlineLevel="0" collapsed="false">
      <c r="D6703" s="0" t="s">
        <v>102</v>
      </c>
      <c r="E6703" s="0" t="s">
        <v>103</v>
      </c>
      <c r="F6703" s="0" t="s">
        <v>104</v>
      </c>
      <c r="G6703" s="0" t="s">
        <v>171</v>
      </c>
      <c r="H6703" s="0" t="s">
        <v>172</v>
      </c>
      <c r="I6703" s="0" t="s">
        <v>36</v>
      </c>
      <c r="J6703" s="0" t="s">
        <v>37</v>
      </c>
      <c r="K6703" s="0" t="s">
        <v>48</v>
      </c>
      <c r="L6703" s="0" t="s">
        <v>49</v>
      </c>
      <c r="M6703" s="0" t="s">
        <v>173</v>
      </c>
      <c r="N6703" s="0" t="n">
        <v>1025</v>
      </c>
      <c r="O6703" s="10" t="n">
        <v>0.426900028251112</v>
      </c>
      <c r="P6703" s="10" t="n">
        <v>0.526212359312922</v>
      </c>
      <c r="Q6703" s="0" t="str">
        <f aca="false">SUBSTITUTE(SUBSTITUTE($I6703,CHAR(61),""),CHAR(34),"")</f>
        <v>10-14</v>
      </c>
      <c r="R6703" s="0" t="str">
        <f aca="false">IF($D6703&lt;&gt;"","["&amp;$E6703&amp;"]"&amp;"|"&amp;$Q6703&amp;"|"&amp;$K6703&amp;"|"&amp;$G6703&amp;"|"&amp;IF($G6703="TX_CURR_SUBNAT.R","CY2022Q4",$M6703),"")</f>
        <v>[wNqJp8oRIcF]|10-14|Male|PLHIV_Residents.T2|CY2025Q3</v>
      </c>
    </row>
    <row r="6704" customFormat="false" ht="15" hidden="false" customHeight="false" outlineLevel="0" collapsed="false">
      <c r="D6704" s="0" t="s">
        <v>102</v>
      </c>
      <c r="E6704" s="0" t="s">
        <v>103</v>
      </c>
      <c r="F6704" s="0" t="s">
        <v>104</v>
      </c>
      <c r="G6704" s="0" t="s">
        <v>171</v>
      </c>
      <c r="H6704" s="0" t="s">
        <v>172</v>
      </c>
      <c r="I6704" s="0" t="s">
        <v>38</v>
      </c>
      <c r="J6704" s="0" t="s">
        <v>39</v>
      </c>
      <c r="K6704" s="0" t="s">
        <v>48</v>
      </c>
      <c r="L6704" s="0" t="s">
        <v>49</v>
      </c>
      <c r="M6704" s="0" t="s">
        <v>173</v>
      </c>
      <c r="N6704" s="0" t="n">
        <v>1536</v>
      </c>
      <c r="O6704" s="10" t="n">
        <v>0.617953625740483</v>
      </c>
      <c r="P6704" s="10" t="n">
        <v>0.526212359312922</v>
      </c>
      <c r="Q6704" s="0" t="str">
        <f aca="false">SUBSTITUTE(SUBSTITUTE($I6704,CHAR(61),""),CHAR(34),"")</f>
        <v>15-24</v>
      </c>
      <c r="R6704" s="0" t="str">
        <f aca="false">IF($D6704&lt;&gt;"","["&amp;$E6704&amp;"]"&amp;"|"&amp;$Q6704&amp;"|"&amp;$K6704&amp;"|"&amp;$G6704&amp;"|"&amp;IF($G6704="TX_CURR_SUBNAT.R","CY2022Q4",$M6704),"")</f>
        <v>[wNqJp8oRIcF]|15-24|Male|PLHIV_Residents.T2|CY2025Q3</v>
      </c>
    </row>
    <row r="6705" customFormat="false" ht="15" hidden="false" customHeight="false" outlineLevel="0" collapsed="false">
      <c r="D6705" s="0" t="s">
        <v>102</v>
      </c>
      <c r="E6705" s="0" t="s">
        <v>103</v>
      </c>
      <c r="F6705" s="0" t="s">
        <v>104</v>
      </c>
      <c r="G6705" s="0" t="s">
        <v>171</v>
      </c>
      <c r="H6705" s="0" t="s">
        <v>172</v>
      </c>
      <c r="I6705" s="0" t="s">
        <v>41</v>
      </c>
      <c r="J6705" s="0" t="s">
        <v>42</v>
      </c>
      <c r="K6705" s="0" t="s">
        <v>48</v>
      </c>
      <c r="L6705" s="0" t="s">
        <v>49</v>
      </c>
      <c r="M6705" s="0" t="s">
        <v>173</v>
      </c>
      <c r="N6705" s="0" t="n">
        <v>783</v>
      </c>
      <c r="O6705" s="10" t="n">
        <v>0.961180051555857</v>
      </c>
      <c r="P6705" s="10" t="n">
        <v>0.526212359312922</v>
      </c>
      <c r="Q6705" s="0" t="str">
        <f aca="false">SUBSTITUTE(SUBSTITUTE($I6705,CHAR(61),""),CHAR(34),"")</f>
        <v>25-34</v>
      </c>
      <c r="R6705" s="0" t="str">
        <f aca="false">IF($D6705&lt;&gt;"","["&amp;$E6705&amp;"]"&amp;"|"&amp;$Q6705&amp;"|"&amp;$K6705&amp;"|"&amp;$G6705&amp;"|"&amp;IF($G6705="TX_CURR_SUBNAT.R","CY2022Q4",$M6705),"")</f>
        <v>[wNqJp8oRIcF]|25-34|Male|PLHIV_Residents.T2|CY2025Q3</v>
      </c>
    </row>
    <row r="6706" customFormat="false" ht="15" hidden="false" customHeight="false" outlineLevel="0" collapsed="false">
      <c r="D6706" s="0" t="s">
        <v>102</v>
      </c>
      <c r="E6706" s="0" t="s">
        <v>103</v>
      </c>
      <c r="F6706" s="0" t="s">
        <v>104</v>
      </c>
      <c r="G6706" s="0" t="s">
        <v>171</v>
      </c>
      <c r="H6706" s="0" t="s">
        <v>172</v>
      </c>
      <c r="I6706" s="0" t="s">
        <v>43</v>
      </c>
      <c r="J6706" s="0" t="s">
        <v>44</v>
      </c>
      <c r="K6706" s="0" t="s">
        <v>48</v>
      </c>
      <c r="L6706" s="0" t="s">
        <v>49</v>
      </c>
      <c r="M6706" s="0" t="s">
        <v>173</v>
      </c>
      <c r="N6706" s="0" t="n">
        <v>1754</v>
      </c>
      <c r="O6706" s="10" t="n">
        <v>0.564421497751027</v>
      </c>
      <c r="P6706" s="10" t="n">
        <v>0.526212359312922</v>
      </c>
      <c r="Q6706" s="0" t="str">
        <f aca="false">SUBSTITUTE(SUBSTITUTE($I6706,CHAR(61),""),CHAR(34),"")</f>
        <v>35-49</v>
      </c>
      <c r="R6706" s="0" t="str">
        <f aca="false">IF($D6706&lt;&gt;"","["&amp;$E6706&amp;"]"&amp;"|"&amp;$Q6706&amp;"|"&amp;$K6706&amp;"|"&amp;$G6706&amp;"|"&amp;IF($G6706="TX_CURR_SUBNAT.R","CY2022Q4",$M6706),"")</f>
        <v>[wNqJp8oRIcF]|35-49|Male|PLHIV_Residents.T2|CY2025Q3</v>
      </c>
    </row>
    <row r="6707" customFormat="false" ht="15" hidden="false" customHeight="false" outlineLevel="0" collapsed="false">
      <c r="D6707" s="0" t="s">
        <v>102</v>
      </c>
      <c r="E6707" s="0" t="s">
        <v>103</v>
      </c>
      <c r="F6707" s="0" t="s">
        <v>104</v>
      </c>
      <c r="G6707" s="0" t="s">
        <v>171</v>
      </c>
      <c r="H6707" s="0" t="s">
        <v>172</v>
      </c>
      <c r="I6707" s="0" t="s">
        <v>45</v>
      </c>
      <c r="J6707" s="0" t="s">
        <v>46</v>
      </c>
      <c r="K6707" s="0" t="s">
        <v>48</v>
      </c>
      <c r="L6707" s="0" t="s">
        <v>49</v>
      </c>
      <c r="M6707" s="0" t="s">
        <v>173</v>
      </c>
      <c r="N6707" s="0" t="n">
        <v>1166</v>
      </c>
      <c r="O6707" s="10" t="n">
        <v>0.509081342024729</v>
      </c>
      <c r="P6707" s="10" t="n">
        <v>0.526212359312922</v>
      </c>
      <c r="Q6707" s="0" t="str">
        <f aca="false">SUBSTITUTE(SUBSTITUTE($I6707,CHAR(61),""),CHAR(34),"")</f>
        <v>50+</v>
      </c>
      <c r="R6707" s="0" t="str">
        <f aca="false">IF($D6707&lt;&gt;"","["&amp;$E6707&amp;"]"&amp;"|"&amp;$Q6707&amp;"|"&amp;$K6707&amp;"|"&amp;$G6707&amp;"|"&amp;IF($G6707="TX_CURR_SUBNAT.R","CY2022Q4",$M6707),"")</f>
        <v>[wNqJp8oRIcF]|50+|Male|PLHIV_Residents.T2|CY2025Q3</v>
      </c>
    </row>
    <row r="6708" customFormat="false" ht="15" hidden="false" customHeight="false" outlineLevel="0" collapsed="false">
      <c r="D6708" s="0" t="s">
        <v>105</v>
      </c>
      <c r="E6708" s="0" t="s">
        <v>106</v>
      </c>
      <c r="F6708" s="0" t="s">
        <v>107</v>
      </c>
      <c r="G6708" s="0" t="s">
        <v>171</v>
      </c>
      <c r="H6708" s="0" t="s">
        <v>172</v>
      </c>
      <c r="I6708" s="0" t="s">
        <v>28</v>
      </c>
      <c r="J6708" s="0" t="s">
        <v>29</v>
      </c>
      <c r="K6708" s="0" t="s">
        <v>30</v>
      </c>
      <c r="L6708" s="0" t="s">
        <v>31</v>
      </c>
      <c r="M6708" s="0" t="s">
        <v>173</v>
      </c>
      <c r="N6708" s="0" t="n">
        <v>657</v>
      </c>
      <c r="O6708" s="10" t="n">
        <v>0.785414506914094</v>
      </c>
      <c r="P6708" s="10" t="n">
        <v>0.218249560333788</v>
      </c>
      <c r="Q6708" s="0" t="str">
        <f aca="false">SUBSTITUTE(SUBSTITUTE($I6708,CHAR(61),""),CHAR(34),"")</f>
        <v>&lt;01</v>
      </c>
      <c r="R6708" s="0" t="str">
        <f aca="false">IF($D6708&lt;&gt;"","["&amp;$E6708&amp;"]"&amp;"|"&amp;$Q6708&amp;"|"&amp;$K6708&amp;"|"&amp;$G6708&amp;"|"&amp;IF($G6708="TX_CURR_SUBNAT.R","CY2022Q4",$M6708),"")</f>
        <v>[oiPR2CiVJbf]|&lt;01|Female|PLHIV_Residents.T2|CY2025Q3</v>
      </c>
    </row>
    <row r="6709" customFormat="false" ht="15" hidden="false" customHeight="false" outlineLevel="0" collapsed="false">
      <c r="D6709" s="0" t="s">
        <v>105</v>
      </c>
      <c r="E6709" s="0" t="s">
        <v>106</v>
      </c>
      <c r="F6709" s="0" t="s">
        <v>107</v>
      </c>
      <c r="G6709" s="0" t="s">
        <v>171</v>
      </c>
      <c r="H6709" s="0" t="s">
        <v>172</v>
      </c>
      <c r="I6709" s="0" t="s">
        <v>33</v>
      </c>
      <c r="J6709" s="0" t="s">
        <v>34</v>
      </c>
      <c r="K6709" s="0" t="s">
        <v>30</v>
      </c>
      <c r="L6709" s="0" t="s">
        <v>31</v>
      </c>
      <c r="M6709" s="0" t="s">
        <v>173</v>
      </c>
      <c r="N6709" s="0" t="n">
        <v>1057</v>
      </c>
      <c r="O6709" s="10" t="n">
        <v>0.843049257062376</v>
      </c>
      <c r="P6709" s="10" t="n">
        <v>0.218249560333788</v>
      </c>
      <c r="Q6709" s="0" t="str">
        <f aca="false">SUBSTITUTE(SUBSTITUTE($I6709,CHAR(61),""),CHAR(34),"")</f>
        <v>01-09</v>
      </c>
      <c r="R6709" s="0" t="str">
        <f aca="false">IF($D6709&lt;&gt;"","["&amp;$E6709&amp;"]"&amp;"|"&amp;$Q6709&amp;"|"&amp;$K6709&amp;"|"&amp;$G6709&amp;"|"&amp;IF($G6709="TX_CURR_SUBNAT.R","CY2022Q4",$M6709),"")</f>
        <v>[oiPR2CiVJbf]|01-09|Female|PLHIV_Residents.T2|CY2025Q3</v>
      </c>
    </row>
    <row r="6710" customFormat="false" ht="15" hidden="false" customHeight="false" outlineLevel="0" collapsed="false">
      <c r="D6710" s="0" t="s">
        <v>105</v>
      </c>
      <c r="E6710" s="0" t="s">
        <v>106</v>
      </c>
      <c r="F6710" s="0" t="s">
        <v>107</v>
      </c>
      <c r="G6710" s="0" t="s">
        <v>171</v>
      </c>
      <c r="H6710" s="0" t="s">
        <v>172</v>
      </c>
      <c r="I6710" s="0" t="s">
        <v>36</v>
      </c>
      <c r="J6710" s="0" t="s">
        <v>37</v>
      </c>
      <c r="K6710" s="0" t="s">
        <v>30</v>
      </c>
      <c r="L6710" s="0" t="s">
        <v>31</v>
      </c>
      <c r="M6710" s="0" t="s">
        <v>173</v>
      </c>
      <c r="N6710" s="0" t="n">
        <v>695</v>
      </c>
      <c r="O6710" s="10" t="n">
        <v>0.249709230381995</v>
      </c>
      <c r="P6710" s="10" t="n">
        <v>0.218249560333788</v>
      </c>
      <c r="Q6710" s="0" t="str">
        <f aca="false">SUBSTITUTE(SUBSTITUTE($I6710,CHAR(61),""),CHAR(34),"")</f>
        <v>10-14</v>
      </c>
      <c r="R6710" s="0" t="str">
        <f aca="false">IF($D6710&lt;&gt;"","["&amp;$E6710&amp;"]"&amp;"|"&amp;$Q6710&amp;"|"&amp;$K6710&amp;"|"&amp;$G6710&amp;"|"&amp;IF($G6710="TX_CURR_SUBNAT.R","CY2022Q4",$M6710),"")</f>
        <v>[oiPR2CiVJbf]|10-14|Female|PLHIV_Residents.T2|CY2025Q3</v>
      </c>
    </row>
    <row r="6711" customFormat="false" ht="15" hidden="false" customHeight="false" outlineLevel="0" collapsed="false">
      <c r="D6711" s="0" t="s">
        <v>105</v>
      </c>
      <c r="E6711" s="0" t="s">
        <v>106</v>
      </c>
      <c r="F6711" s="0" t="s">
        <v>107</v>
      </c>
      <c r="G6711" s="0" t="s">
        <v>171</v>
      </c>
      <c r="H6711" s="0" t="s">
        <v>172</v>
      </c>
      <c r="I6711" s="0" t="s">
        <v>38</v>
      </c>
      <c r="J6711" s="0" t="s">
        <v>39</v>
      </c>
      <c r="K6711" s="0" t="s">
        <v>30</v>
      </c>
      <c r="L6711" s="0" t="s">
        <v>31</v>
      </c>
      <c r="M6711" s="0" t="s">
        <v>173</v>
      </c>
      <c r="N6711" s="0" t="n">
        <v>921</v>
      </c>
      <c r="O6711" s="10" t="n">
        <v>0.797051557106897</v>
      </c>
      <c r="P6711" s="10" t="n">
        <v>0.218249560333788</v>
      </c>
      <c r="Q6711" s="0" t="str">
        <f aca="false">SUBSTITUTE(SUBSTITUTE($I6711,CHAR(61),""),CHAR(34),"")</f>
        <v>15-24</v>
      </c>
      <c r="R6711" s="0" t="str">
        <f aca="false">IF($D6711&lt;&gt;"","["&amp;$E6711&amp;"]"&amp;"|"&amp;$Q6711&amp;"|"&amp;$K6711&amp;"|"&amp;$G6711&amp;"|"&amp;IF($G6711="TX_CURR_SUBNAT.R","CY2022Q4",$M6711),"")</f>
        <v>[oiPR2CiVJbf]|15-24|Female|PLHIV_Residents.T2|CY2025Q3</v>
      </c>
    </row>
    <row r="6712" customFormat="false" ht="15" hidden="false" customHeight="false" outlineLevel="0" collapsed="false">
      <c r="D6712" s="0" t="s">
        <v>105</v>
      </c>
      <c r="E6712" s="0" t="s">
        <v>106</v>
      </c>
      <c r="F6712" s="0" t="s">
        <v>107</v>
      </c>
      <c r="G6712" s="0" t="s">
        <v>171</v>
      </c>
      <c r="H6712" s="0" t="s">
        <v>172</v>
      </c>
      <c r="I6712" s="0" t="s">
        <v>41</v>
      </c>
      <c r="J6712" s="0" t="s">
        <v>42</v>
      </c>
      <c r="K6712" s="0" t="s">
        <v>30</v>
      </c>
      <c r="L6712" s="0" t="s">
        <v>31</v>
      </c>
      <c r="M6712" s="0" t="s">
        <v>173</v>
      </c>
      <c r="N6712" s="0" t="n">
        <v>1115</v>
      </c>
      <c r="O6712" s="10" t="n">
        <v>0.606266289949417</v>
      </c>
      <c r="P6712" s="10" t="n">
        <v>0.218249560333788</v>
      </c>
      <c r="Q6712" s="0" t="str">
        <f aca="false">SUBSTITUTE(SUBSTITUTE($I6712,CHAR(61),""),CHAR(34),"")</f>
        <v>25-34</v>
      </c>
      <c r="R6712" s="0" t="str">
        <f aca="false">IF($D6712&lt;&gt;"","["&amp;$E6712&amp;"]"&amp;"|"&amp;$Q6712&amp;"|"&amp;$K6712&amp;"|"&amp;$G6712&amp;"|"&amp;IF($G6712="TX_CURR_SUBNAT.R","CY2022Q4",$M6712),"")</f>
        <v>[oiPR2CiVJbf]|25-34|Female|PLHIV_Residents.T2|CY2025Q3</v>
      </c>
    </row>
    <row r="6713" customFormat="false" ht="15" hidden="false" customHeight="false" outlineLevel="0" collapsed="false">
      <c r="D6713" s="0" t="s">
        <v>105</v>
      </c>
      <c r="E6713" s="0" t="s">
        <v>106</v>
      </c>
      <c r="F6713" s="0" t="s">
        <v>107</v>
      </c>
      <c r="G6713" s="0" t="s">
        <v>171</v>
      </c>
      <c r="H6713" s="0" t="s">
        <v>172</v>
      </c>
      <c r="I6713" s="0" t="s">
        <v>43</v>
      </c>
      <c r="J6713" s="0" t="s">
        <v>44</v>
      </c>
      <c r="K6713" s="0" t="s">
        <v>30</v>
      </c>
      <c r="L6713" s="0" t="s">
        <v>31</v>
      </c>
      <c r="M6713" s="0" t="s">
        <v>173</v>
      </c>
      <c r="N6713" s="0" t="n">
        <v>886</v>
      </c>
      <c r="O6713" s="10" t="n">
        <v>0.469767143251374</v>
      </c>
      <c r="P6713" s="10" t="n">
        <v>0.218249560333788</v>
      </c>
      <c r="Q6713" s="0" t="str">
        <f aca="false">SUBSTITUTE(SUBSTITUTE($I6713,CHAR(61),""),CHAR(34),"")</f>
        <v>35-49</v>
      </c>
      <c r="R6713" s="0" t="str">
        <f aca="false">IF($D6713&lt;&gt;"","["&amp;$E6713&amp;"]"&amp;"|"&amp;$Q6713&amp;"|"&amp;$K6713&amp;"|"&amp;$G6713&amp;"|"&amp;IF($G6713="TX_CURR_SUBNAT.R","CY2022Q4",$M6713),"")</f>
        <v>[oiPR2CiVJbf]|35-49|Female|PLHIV_Residents.T2|CY2025Q3</v>
      </c>
    </row>
    <row r="6714" customFormat="false" ht="15" hidden="false" customHeight="false" outlineLevel="0" collapsed="false">
      <c r="D6714" s="0" t="s">
        <v>105</v>
      </c>
      <c r="E6714" s="0" t="s">
        <v>106</v>
      </c>
      <c r="F6714" s="0" t="s">
        <v>107</v>
      </c>
      <c r="G6714" s="0" t="s">
        <v>171</v>
      </c>
      <c r="H6714" s="0" t="s">
        <v>172</v>
      </c>
      <c r="I6714" s="0" t="s">
        <v>45</v>
      </c>
      <c r="J6714" s="0" t="s">
        <v>46</v>
      </c>
      <c r="K6714" s="0" t="s">
        <v>30</v>
      </c>
      <c r="L6714" s="0" t="s">
        <v>31</v>
      </c>
      <c r="M6714" s="0" t="s">
        <v>173</v>
      </c>
      <c r="N6714" s="0" t="n">
        <v>1045</v>
      </c>
      <c r="O6714" s="10" t="n">
        <v>0.740889606531709</v>
      </c>
      <c r="P6714" s="10" t="n">
        <v>0.218249560333788</v>
      </c>
      <c r="Q6714" s="0" t="str">
        <f aca="false">SUBSTITUTE(SUBSTITUTE($I6714,CHAR(61),""),CHAR(34),"")</f>
        <v>50+</v>
      </c>
      <c r="R6714" s="0" t="str">
        <f aca="false">IF($D6714&lt;&gt;"","["&amp;$E6714&amp;"]"&amp;"|"&amp;$Q6714&amp;"|"&amp;$K6714&amp;"|"&amp;$G6714&amp;"|"&amp;IF($G6714="TX_CURR_SUBNAT.R","CY2022Q4",$M6714),"")</f>
        <v>[oiPR2CiVJbf]|50+|Female|PLHIV_Residents.T2|CY2025Q3</v>
      </c>
    </row>
    <row r="6715" customFormat="false" ht="15" hidden="false" customHeight="false" outlineLevel="0" collapsed="false">
      <c r="D6715" s="0" t="s">
        <v>105</v>
      </c>
      <c r="E6715" s="0" t="s">
        <v>106</v>
      </c>
      <c r="F6715" s="0" t="s">
        <v>107</v>
      </c>
      <c r="G6715" s="0" t="s">
        <v>171</v>
      </c>
      <c r="H6715" s="0" t="s">
        <v>172</v>
      </c>
      <c r="I6715" s="0" t="s">
        <v>28</v>
      </c>
      <c r="J6715" s="0" t="s">
        <v>29</v>
      </c>
      <c r="K6715" s="0" t="s">
        <v>48</v>
      </c>
      <c r="L6715" s="0" t="s">
        <v>49</v>
      </c>
      <c r="M6715" s="0" t="s">
        <v>173</v>
      </c>
      <c r="N6715" s="0" t="n">
        <v>1747</v>
      </c>
      <c r="O6715" s="10" t="n">
        <v>0.626748057780787</v>
      </c>
      <c r="P6715" s="10" t="n">
        <v>0.218249560333788</v>
      </c>
      <c r="Q6715" s="0" t="str">
        <f aca="false">SUBSTITUTE(SUBSTITUTE($I6715,CHAR(61),""),CHAR(34),"")</f>
        <v>&lt;01</v>
      </c>
      <c r="R6715" s="0" t="str">
        <f aca="false">IF($D6715&lt;&gt;"","["&amp;$E6715&amp;"]"&amp;"|"&amp;$Q6715&amp;"|"&amp;$K6715&amp;"|"&amp;$G6715&amp;"|"&amp;IF($G6715="TX_CURR_SUBNAT.R","CY2022Q4",$M6715),"")</f>
        <v>[oiPR2CiVJbf]|&lt;01|Male|PLHIV_Residents.T2|CY2025Q3</v>
      </c>
    </row>
    <row r="6716" customFormat="false" ht="15" hidden="false" customHeight="false" outlineLevel="0" collapsed="false">
      <c r="D6716" s="0" t="s">
        <v>105</v>
      </c>
      <c r="E6716" s="0" t="s">
        <v>106</v>
      </c>
      <c r="F6716" s="0" t="s">
        <v>107</v>
      </c>
      <c r="G6716" s="0" t="s">
        <v>171</v>
      </c>
      <c r="H6716" s="0" t="s">
        <v>172</v>
      </c>
      <c r="I6716" s="0" t="s">
        <v>33</v>
      </c>
      <c r="J6716" s="0" t="s">
        <v>34</v>
      </c>
      <c r="K6716" s="0" t="s">
        <v>48</v>
      </c>
      <c r="L6716" s="0" t="s">
        <v>49</v>
      </c>
      <c r="M6716" s="0" t="s">
        <v>173</v>
      </c>
      <c r="N6716" s="0" t="n">
        <v>1573</v>
      </c>
      <c r="O6716" s="10" t="n">
        <v>0.433467088732868</v>
      </c>
      <c r="P6716" s="10" t="n">
        <v>0.218249560333788</v>
      </c>
      <c r="Q6716" s="0" t="str">
        <f aca="false">SUBSTITUTE(SUBSTITUTE($I6716,CHAR(61),""),CHAR(34),"")</f>
        <v>01-09</v>
      </c>
      <c r="R6716" s="0" t="str">
        <f aca="false">IF($D6716&lt;&gt;"","["&amp;$E6716&amp;"]"&amp;"|"&amp;$Q6716&amp;"|"&amp;$K6716&amp;"|"&amp;$G6716&amp;"|"&amp;IF($G6716="TX_CURR_SUBNAT.R","CY2022Q4",$M6716),"")</f>
        <v>[oiPR2CiVJbf]|01-09|Male|PLHIV_Residents.T2|CY2025Q3</v>
      </c>
    </row>
    <row r="6717" customFormat="false" ht="15" hidden="false" customHeight="false" outlineLevel="0" collapsed="false">
      <c r="D6717" s="0" t="s">
        <v>105</v>
      </c>
      <c r="E6717" s="0" t="s">
        <v>106</v>
      </c>
      <c r="F6717" s="0" t="s">
        <v>107</v>
      </c>
      <c r="G6717" s="0" t="s">
        <v>171</v>
      </c>
      <c r="H6717" s="0" t="s">
        <v>172</v>
      </c>
      <c r="I6717" s="0" t="s">
        <v>36</v>
      </c>
      <c r="J6717" s="0" t="s">
        <v>37</v>
      </c>
      <c r="K6717" s="0" t="s">
        <v>48</v>
      </c>
      <c r="L6717" s="0" t="s">
        <v>49</v>
      </c>
      <c r="M6717" s="0" t="s">
        <v>173</v>
      </c>
      <c r="N6717" s="0" t="n">
        <v>1968</v>
      </c>
      <c r="O6717" s="10" t="n">
        <v>0.23238333221525</v>
      </c>
      <c r="P6717" s="10" t="n">
        <v>0.218249560333788</v>
      </c>
      <c r="Q6717" s="0" t="str">
        <f aca="false">SUBSTITUTE(SUBSTITUTE($I6717,CHAR(61),""),CHAR(34),"")</f>
        <v>10-14</v>
      </c>
      <c r="R6717" s="0" t="str">
        <f aca="false">IF($D6717&lt;&gt;"","["&amp;$E6717&amp;"]"&amp;"|"&amp;$Q6717&amp;"|"&amp;$K6717&amp;"|"&amp;$G6717&amp;"|"&amp;IF($G6717="TX_CURR_SUBNAT.R","CY2022Q4",$M6717),"")</f>
        <v>[oiPR2CiVJbf]|10-14|Male|PLHIV_Residents.T2|CY2025Q3</v>
      </c>
    </row>
    <row r="6718" customFormat="false" ht="15" hidden="false" customHeight="false" outlineLevel="0" collapsed="false">
      <c r="D6718" s="0" t="s">
        <v>105</v>
      </c>
      <c r="E6718" s="0" t="s">
        <v>106</v>
      </c>
      <c r="F6718" s="0" t="s">
        <v>107</v>
      </c>
      <c r="G6718" s="0" t="s">
        <v>171</v>
      </c>
      <c r="H6718" s="0" t="s">
        <v>172</v>
      </c>
      <c r="I6718" s="0" t="s">
        <v>38</v>
      </c>
      <c r="J6718" s="0" t="s">
        <v>39</v>
      </c>
      <c r="K6718" s="0" t="s">
        <v>48</v>
      </c>
      <c r="L6718" s="0" t="s">
        <v>49</v>
      </c>
      <c r="M6718" s="0" t="s">
        <v>173</v>
      </c>
      <c r="N6718" s="0" t="n">
        <v>1497</v>
      </c>
      <c r="O6718" s="10" t="n">
        <v>0.313120418926701</v>
      </c>
      <c r="P6718" s="10" t="n">
        <v>0.218249560333788</v>
      </c>
      <c r="Q6718" s="0" t="str">
        <f aca="false">SUBSTITUTE(SUBSTITUTE($I6718,CHAR(61),""),CHAR(34),"")</f>
        <v>15-24</v>
      </c>
      <c r="R6718" s="0" t="str">
        <f aca="false">IF($D6718&lt;&gt;"","["&amp;$E6718&amp;"]"&amp;"|"&amp;$Q6718&amp;"|"&amp;$K6718&amp;"|"&amp;$G6718&amp;"|"&amp;IF($G6718="TX_CURR_SUBNAT.R","CY2022Q4",$M6718),"")</f>
        <v>[oiPR2CiVJbf]|15-24|Male|PLHIV_Residents.T2|CY2025Q3</v>
      </c>
    </row>
    <row r="6719" customFormat="false" ht="15" hidden="false" customHeight="false" outlineLevel="0" collapsed="false">
      <c r="D6719" s="0" t="s">
        <v>105</v>
      </c>
      <c r="E6719" s="0" t="s">
        <v>106</v>
      </c>
      <c r="F6719" s="0" t="s">
        <v>107</v>
      </c>
      <c r="G6719" s="0" t="s">
        <v>171</v>
      </c>
      <c r="H6719" s="0" t="s">
        <v>172</v>
      </c>
      <c r="I6719" s="0" t="s">
        <v>41</v>
      </c>
      <c r="J6719" s="0" t="s">
        <v>42</v>
      </c>
      <c r="K6719" s="0" t="s">
        <v>48</v>
      </c>
      <c r="L6719" s="0" t="s">
        <v>49</v>
      </c>
      <c r="M6719" s="0" t="s">
        <v>173</v>
      </c>
      <c r="N6719" s="0" t="n">
        <v>1217</v>
      </c>
      <c r="O6719" s="10" t="n">
        <v>0.951829995261505</v>
      </c>
      <c r="P6719" s="10" t="n">
        <v>0.218249560333788</v>
      </c>
      <c r="Q6719" s="0" t="str">
        <f aca="false">SUBSTITUTE(SUBSTITUTE($I6719,CHAR(61),""),CHAR(34),"")</f>
        <v>25-34</v>
      </c>
      <c r="R6719" s="0" t="str">
        <f aca="false">IF($D6719&lt;&gt;"","["&amp;$E6719&amp;"]"&amp;"|"&amp;$Q6719&amp;"|"&amp;$K6719&amp;"|"&amp;$G6719&amp;"|"&amp;IF($G6719="TX_CURR_SUBNAT.R","CY2022Q4",$M6719),"")</f>
        <v>[oiPR2CiVJbf]|25-34|Male|PLHIV_Residents.T2|CY2025Q3</v>
      </c>
    </row>
    <row r="6720" customFormat="false" ht="15" hidden="false" customHeight="false" outlineLevel="0" collapsed="false">
      <c r="D6720" s="0" t="s">
        <v>105</v>
      </c>
      <c r="E6720" s="0" t="s">
        <v>106</v>
      </c>
      <c r="F6720" s="0" t="s">
        <v>107</v>
      </c>
      <c r="G6720" s="0" t="s">
        <v>171</v>
      </c>
      <c r="H6720" s="0" t="s">
        <v>172</v>
      </c>
      <c r="I6720" s="0" t="s">
        <v>43</v>
      </c>
      <c r="J6720" s="0" t="s">
        <v>44</v>
      </c>
      <c r="K6720" s="0" t="s">
        <v>48</v>
      </c>
      <c r="L6720" s="0" t="s">
        <v>49</v>
      </c>
      <c r="M6720" s="0" t="s">
        <v>173</v>
      </c>
      <c r="N6720" s="0" t="n">
        <v>1454</v>
      </c>
      <c r="O6720" s="10" t="n">
        <v>0.434719796059653</v>
      </c>
      <c r="P6720" s="10" t="n">
        <v>0.218249560333788</v>
      </c>
      <c r="Q6720" s="0" t="str">
        <f aca="false">SUBSTITUTE(SUBSTITUTE($I6720,CHAR(61),""),CHAR(34),"")</f>
        <v>35-49</v>
      </c>
      <c r="R6720" s="0" t="str">
        <f aca="false">IF($D6720&lt;&gt;"","["&amp;$E6720&amp;"]"&amp;"|"&amp;$Q6720&amp;"|"&amp;$K6720&amp;"|"&amp;$G6720&amp;"|"&amp;IF($G6720="TX_CURR_SUBNAT.R","CY2022Q4",$M6720),"")</f>
        <v>[oiPR2CiVJbf]|35-49|Male|PLHIV_Residents.T2|CY2025Q3</v>
      </c>
    </row>
    <row r="6721" customFormat="false" ht="15" hidden="false" customHeight="false" outlineLevel="0" collapsed="false">
      <c r="D6721" s="0" t="s">
        <v>105</v>
      </c>
      <c r="E6721" s="0" t="s">
        <v>106</v>
      </c>
      <c r="F6721" s="0" t="s">
        <v>107</v>
      </c>
      <c r="G6721" s="0" t="s">
        <v>171</v>
      </c>
      <c r="H6721" s="0" t="s">
        <v>172</v>
      </c>
      <c r="I6721" s="0" t="s">
        <v>45</v>
      </c>
      <c r="J6721" s="0" t="s">
        <v>46</v>
      </c>
      <c r="K6721" s="0" t="s">
        <v>48</v>
      </c>
      <c r="L6721" s="0" t="s">
        <v>49</v>
      </c>
      <c r="M6721" s="0" t="s">
        <v>173</v>
      </c>
      <c r="N6721" s="0" t="n">
        <v>705</v>
      </c>
      <c r="O6721" s="10" t="n">
        <v>0.321456597885117</v>
      </c>
      <c r="P6721" s="10" t="n">
        <v>0.218249560333788</v>
      </c>
      <c r="Q6721" s="0" t="str">
        <f aca="false">SUBSTITUTE(SUBSTITUTE($I6721,CHAR(61),""),CHAR(34),"")</f>
        <v>50+</v>
      </c>
      <c r="R6721" s="0" t="str">
        <f aca="false">IF($D6721&lt;&gt;"","["&amp;$E6721&amp;"]"&amp;"|"&amp;$Q6721&amp;"|"&amp;$K6721&amp;"|"&amp;$G6721&amp;"|"&amp;IF($G6721="TX_CURR_SUBNAT.R","CY2022Q4",$M6721),"")</f>
        <v>[oiPR2CiVJbf]|50+|Male|PLHIV_Residents.T2|CY2025Q3</v>
      </c>
    </row>
    <row r="6722" customFormat="false" ht="15" hidden="false" customHeight="false" outlineLevel="0" collapsed="false">
      <c r="D6722" s="0" t="s">
        <v>108</v>
      </c>
      <c r="E6722" s="0" t="s">
        <v>109</v>
      </c>
      <c r="F6722" s="0" t="s">
        <v>110</v>
      </c>
      <c r="G6722" s="0" t="s">
        <v>171</v>
      </c>
      <c r="H6722" s="0" t="s">
        <v>172</v>
      </c>
      <c r="I6722" s="0" t="s">
        <v>28</v>
      </c>
      <c r="J6722" s="0" t="s">
        <v>29</v>
      </c>
      <c r="K6722" s="0" t="s">
        <v>30</v>
      </c>
      <c r="L6722" s="0" t="s">
        <v>31</v>
      </c>
      <c r="M6722" s="0" t="s">
        <v>173</v>
      </c>
      <c r="N6722" s="0" t="n">
        <v>1342</v>
      </c>
      <c r="O6722" s="10" t="n">
        <v>0.433621225878596</v>
      </c>
      <c r="P6722" s="10" t="n">
        <v>0.434221804374829</v>
      </c>
      <c r="Q6722" s="0" t="str">
        <f aca="false">SUBSTITUTE(SUBSTITUTE($I6722,CHAR(61),""),CHAR(34),"")</f>
        <v>&lt;01</v>
      </c>
      <c r="R6722" s="0" t="str">
        <f aca="false">IF($D6722&lt;&gt;"","["&amp;$E6722&amp;"]"&amp;"|"&amp;$Q6722&amp;"|"&amp;$K6722&amp;"|"&amp;$G6722&amp;"|"&amp;IF($G6722="TX_CURR_SUBNAT.R","CY2022Q4",$M6722),"")</f>
        <v>[ul0y9diGujK]|&lt;01|Female|PLHIV_Residents.T2|CY2025Q3</v>
      </c>
    </row>
    <row r="6723" customFormat="false" ht="15" hidden="false" customHeight="false" outlineLevel="0" collapsed="false">
      <c r="D6723" s="0" t="s">
        <v>108</v>
      </c>
      <c r="E6723" s="0" t="s">
        <v>109</v>
      </c>
      <c r="F6723" s="0" t="s">
        <v>110</v>
      </c>
      <c r="G6723" s="0" t="s">
        <v>171</v>
      </c>
      <c r="H6723" s="0" t="s">
        <v>172</v>
      </c>
      <c r="I6723" s="0" t="s">
        <v>33</v>
      </c>
      <c r="J6723" s="0" t="s">
        <v>34</v>
      </c>
      <c r="K6723" s="0" t="s">
        <v>30</v>
      </c>
      <c r="L6723" s="0" t="s">
        <v>31</v>
      </c>
      <c r="M6723" s="0" t="s">
        <v>173</v>
      </c>
      <c r="N6723" s="0" t="n">
        <v>1063</v>
      </c>
      <c r="O6723" s="10" t="n">
        <v>0.388092465465888</v>
      </c>
      <c r="P6723" s="10" t="n">
        <v>0.434221804374829</v>
      </c>
      <c r="Q6723" s="0" t="str">
        <f aca="false">SUBSTITUTE(SUBSTITUTE($I6723,CHAR(61),""),CHAR(34),"")</f>
        <v>01-09</v>
      </c>
      <c r="R6723" s="0" t="str">
        <f aca="false">IF($D6723&lt;&gt;"","["&amp;$E6723&amp;"]"&amp;"|"&amp;$Q6723&amp;"|"&amp;$K6723&amp;"|"&amp;$G6723&amp;"|"&amp;IF($G6723="TX_CURR_SUBNAT.R","CY2022Q4",$M6723),"")</f>
        <v>[ul0y9diGujK]|01-09|Female|PLHIV_Residents.T2|CY2025Q3</v>
      </c>
    </row>
    <row r="6724" customFormat="false" ht="15" hidden="false" customHeight="false" outlineLevel="0" collapsed="false">
      <c r="D6724" s="0" t="s">
        <v>108</v>
      </c>
      <c r="E6724" s="0" t="s">
        <v>109</v>
      </c>
      <c r="F6724" s="0" t="s">
        <v>110</v>
      </c>
      <c r="G6724" s="0" t="s">
        <v>171</v>
      </c>
      <c r="H6724" s="0" t="s">
        <v>172</v>
      </c>
      <c r="I6724" s="0" t="s">
        <v>36</v>
      </c>
      <c r="J6724" s="0" t="s">
        <v>37</v>
      </c>
      <c r="K6724" s="0" t="s">
        <v>30</v>
      </c>
      <c r="L6724" s="0" t="s">
        <v>31</v>
      </c>
      <c r="M6724" s="0" t="s">
        <v>173</v>
      </c>
      <c r="N6724" s="0" t="n">
        <v>946</v>
      </c>
      <c r="O6724" s="10" t="n">
        <v>0.907232154160738</v>
      </c>
      <c r="P6724" s="10" t="n">
        <v>0.434221804374829</v>
      </c>
      <c r="Q6724" s="0" t="str">
        <f aca="false">SUBSTITUTE(SUBSTITUTE($I6724,CHAR(61),""),CHAR(34),"")</f>
        <v>10-14</v>
      </c>
      <c r="R6724" s="0" t="str">
        <f aca="false">IF($D6724&lt;&gt;"","["&amp;$E6724&amp;"]"&amp;"|"&amp;$Q6724&amp;"|"&amp;$K6724&amp;"|"&amp;$G6724&amp;"|"&amp;IF($G6724="TX_CURR_SUBNAT.R","CY2022Q4",$M6724),"")</f>
        <v>[ul0y9diGujK]|10-14|Female|PLHIV_Residents.T2|CY2025Q3</v>
      </c>
    </row>
    <row r="6725" customFormat="false" ht="15" hidden="false" customHeight="false" outlineLevel="0" collapsed="false">
      <c r="D6725" s="0" t="s">
        <v>108</v>
      </c>
      <c r="E6725" s="0" t="s">
        <v>109</v>
      </c>
      <c r="F6725" s="0" t="s">
        <v>110</v>
      </c>
      <c r="G6725" s="0" t="s">
        <v>171</v>
      </c>
      <c r="H6725" s="0" t="s">
        <v>172</v>
      </c>
      <c r="I6725" s="0" t="s">
        <v>38</v>
      </c>
      <c r="J6725" s="0" t="s">
        <v>39</v>
      </c>
      <c r="K6725" s="0" t="s">
        <v>30</v>
      </c>
      <c r="L6725" s="0" t="s">
        <v>31</v>
      </c>
      <c r="M6725" s="0" t="s">
        <v>173</v>
      </c>
      <c r="N6725" s="0" t="n">
        <v>1874</v>
      </c>
      <c r="O6725" s="10" t="n">
        <v>0.307172852568328</v>
      </c>
      <c r="P6725" s="10" t="n">
        <v>0.434221804374829</v>
      </c>
      <c r="Q6725" s="0" t="str">
        <f aca="false">SUBSTITUTE(SUBSTITUTE($I6725,CHAR(61),""),CHAR(34),"")</f>
        <v>15-24</v>
      </c>
      <c r="R6725" s="0" t="str">
        <f aca="false">IF($D6725&lt;&gt;"","["&amp;$E6725&amp;"]"&amp;"|"&amp;$Q6725&amp;"|"&amp;$K6725&amp;"|"&amp;$G6725&amp;"|"&amp;IF($G6725="TX_CURR_SUBNAT.R","CY2022Q4",$M6725),"")</f>
        <v>[ul0y9diGujK]|15-24|Female|PLHIV_Residents.T2|CY2025Q3</v>
      </c>
    </row>
    <row r="6726" customFormat="false" ht="15" hidden="false" customHeight="false" outlineLevel="0" collapsed="false">
      <c r="D6726" s="0" t="s">
        <v>108</v>
      </c>
      <c r="E6726" s="0" t="s">
        <v>109</v>
      </c>
      <c r="F6726" s="0" t="s">
        <v>110</v>
      </c>
      <c r="G6726" s="0" t="s">
        <v>171</v>
      </c>
      <c r="H6726" s="0" t="s">
        <v>172</v>
      </c>
      <c r="I6726" s="0" t="s">
        <v>41</v>
      </c>
      <c r="J6726" s="0" t="s">
        <v>42</v>
      </c>
      <c r="K6726" s="0" t="s">
        <v>30</v>
      </c>
      <c r="L6726" s="0" t="s">
        <v>31</v>
      </c>
      <c r="M6726" s="0" t="s">
        <v>173</v>
      </c>
      <c r="N6726" s="0" t="n">
        <v>1401</v>
      </c>
      <c r="O6726" s="10" t="n">
        <v>0.319798838812858</v>
      </c>
      <c r="P6726" s="10" t="n">
        <v>0.434221804374829</v>
      </c>
      <c r="Q6726" s="0" t="str">
        <f aca="false">SUBSTITUTE(SUBSTITUTE($I6726,CHAR(61),""),CHAR(34),"")</f>
        <v>25-34</v>
      </c>
      <c r="R6726" s="0" t="str">
        <f aca="false">IF($D6726&lt;&gt;"","["&amp;$E6726&amp;"]"&amp;"|"&amp;$Q6726&amp;"|"&amp;$K6726&amp;"|"&amp;$G6726&amp;"|"&amp;IF($G6726="TX_CURR_SUBNAT.R","CY2022Q4",$M6726),"")</f>
        <v>[ul0y9diGujK]|25-34|Female|PLHIV_Residents.T2|CY2025Q3</v>
      </c>
    </row>
    <row r="6727" customFormat="false" ht="15" hidden="false" customHeight="false" outlineLevel="0" collapsed="false">
      <c r="D6727" s="0" t="s">
        <v>108</v>
      </c>
      <c r="E6727" s="0" t="s">
        <v>109</v>
      </c>
      <c r="F6727" s="0" t="s">
        <v>110</v>
      </c>
      <c r="G6727" s="0" t="s">
        <v>171</v>
      </c>
      <c r="H6727" s="0" t="s">
        <v>172</v>
      </c>
      <c r="I6727" s="0" t="s">
        <v>43</v>
      </c>
      <c r="J6727" s="0" t="s">
        <v>44</v>
      </c>
      <c r="K6727" s="0" t="s">
        <v>30</v>
      </c>
      <c r="L6727" s="0" t="s">
        <v>31</v>
      </c>
      <c r="M6727" s="0" t="s">
        <v>173</v>
      </c>
      <c r="N6727" s="0" t="n">
        <v>1007</v>
      </c>
      <c r="O6727" s="10" t="n">
        <v>0.983043576357886</v>
      </c>
      <c r="P6727" s="10" t="n">
        <v>0.434221804374829</v>
      </c>
      <c r="Q6727" s="0" t="str">
        <f aca="false">SUBSTITUTE(SUBSTITUTE($I6727,CHAR(61),""),CHAR(34),"")</f>
        <v>35-49</v>
      </c>
      <c r="R6727" s="0" t="str">
        <f aca="false">IF($D6727&lt;&gt;"","["&amp;$E6727&amp;"]"&amp;"|"&amp;$Q6727&amp;"|"&amp;$K6727&amp;"|"&amp;$G6727&amp;"|"&amp;IF($G6727="TX_CURR_SUBNAT.R","CY2022Q4",$M6727),"")</f>
        <v>[ul0y9diGujK]|35-49|Female|PLHIV_Residents.T2|CY2025Q3</v>
      </c>
    </row>
    <row r="6728" customFormat="false" ht="15" hidden="false" customHeight="false" outlineLevel="0" collapsed="false">
      <c r="D6728" s="0" t="s">
        <v>108</v>
      </c>
      <c r="E6728" s="0" t="s">
        <v>109</v>
      </c>
      <c r="F6728" s="0" t="s">
        <v>110</v>
      </c>
      <c r="G6728" s="0" t="s">
        <v>171</v>
      </c>
      <c r="H6728" s="0" t="s">
        <v>172</v>
      </c>
      <c r="I6728" s="0" t="s">
        <v>45</v>
      </c>
      <c r="J6728" s="0" t="s">
        <v>46</v>
      </c>
      <c r="K6728" s="0" t="s">
        <v>30</v>
      </c>
      <c r="L6728" s="0" t="s">
        <v>31</v>
      </c>
      <c r="M6728" s="0" t="s">
        <v>173</v>
      </c>
      <c r="N6728" s="0" t="n">
        <v>1548</v>
      </c>
      <c r="O6728" s="10" t="n">
        <v>0.745290488936007</v>
      </c>
      <c r="P6728" s="10" t="n">
        <v>0.434221804374829</v>
      </c>
      <c r="Q6728" s="0" t="str">
        <f aca="false">SUBSTITUTE(SUBSTITUTE($I6728,CHAR(61),""),CHAR(34),"")</f>
        <v>50+</v>
      </c>
      <c r="R6728" s="0" t="str">
        <f aca="false">IF($D6728&lt;&gt;"","["&amp;$E6728&amp;"]"&amp;"|"&amp;$Q6728&amp;"|"&amp;$K6728&amp;"|"&amp;$G6728&amp;"|"&amp;IF($G6728="TX_CURR_SUBNAT.R","CY2022Q4",$M6728),"")</f>
        <v>[ul0y9diGujK]|50+|Female|PLHIV_Residents.T2|CY2025Q3</v>
      </c>
    </row>
    <row r="6729" customFormat="false" ht="15" hidden="false" customHeight="false" outlineLevel="0" collapsed="false">
      <c r="D6729" s="0" t="s">
        <v>108</v>
      </c>
      <c r="E6729" s="0" t="s">
        <v>109</v>
      </c>
      <c r="F6729" s="0" t="s">
        <v>110</v>
      </c>
      <c r="G6729" s="0" t="s">
        <v>171</v>
      </c>
      <c r="H6729" s="0" t="s">
        <v>172</v>
      </c>
      <c r="I6729" s="0" t="s">
        <v>28</v>
      </c>
      <c r="J6729" s="0" t="s">
        <v>29</v>
      </c>
      <c r="K6729" s="0" t="s">
        <v>48</v>
      </c>
      <c r="L6729" s="0" t="s">
        <v>49</v>
      </c>
      <c r="M6729" s="0" t="s">
        <v>173</v>
      </c>
      <c r="N6729" s="0" t="n">
        <v>521</v>
      </c>
      <c r="O6729" s="10" t="n">
        <v>0.93663917761296</v>
      </c>
      <c r="P6729" s="10" t="n">
        <v>0.434221804374829</v>
      </c>
      <c r="Q6729" s="0" t="str">
        <f aca="false">SUBSTITUTE(SUBSTITUTE($I6729,CHAR(61),""),CHAR(34),"")</f>
        <v>&lt;01</v>
      </c>
      <c r="R6729" s="0" t="str">
        <f aca="false">IF($D6729&lt;&gt;"","["&amp;$E6729&amp;"]"&amp;"|"&amp;$Q6729&amp;"|"&amp;$K6729&amp;"|"&amp;$G6729&amp;"|"&amp;IF($G6729="TX_CURR_SUBNAT.R","CY2022Q4",$M6729),"")</f>
        <v>[ul0y9diGujK]|&lt;01|Male|PLHIV_Residents.T2|CY2025Q3</v>
      </c>
    </row>
    <row r="6730" customFormat="false" ht="15" hidden="false" customHeight="false" outlineLevel="0" collapsed="false">
      <c r="D6730" s="0" t="s">
        <v>108</v>
      </c>
      <c r="E6730" s="0" t="s">
        <v>109</v>
      </c>
      <c r="F6730" s="0" t="s">
        <v>110</v>
      </c>
      <c r="G6730" s="0" t="s">
        <v>171</v>
      </c>
      <c r="H6730" s="0" t="s">
        <v>172</v>
      </c>
      <c r="I6730" s="0" t="s">
        <v>33</v>
      </c>
      <c r="J6730" s="0" t="s">
        <v>34</v>
      </c>
      <c r="K6730" s="0" t="s">
        <v>48</v>
      </c>
      <c r="L6730" s="0" t="s">
        <v>49</v>
      </c>
      <c r="M6730" s="0" t="s">
        <v>173</v>
      </c>
      <c r="N6730" s="0" t="n">
        <v>1523</v>
      </c>
      <c r="O6730" s="10" t="n">
        <v>0.55181791796349</v>
      </c>
      <c r="P6730" s="10" t="n">
        <v>0.434221804374829</v>
      </c>
      <c r="Q6730" s="0" t="str">
        <f aca="false">SUBSTITUTE(SUBSTITUTE($I6730,CHAR(61),""),CHAR(34),"")</f>
        <v>01-09</v>
      </c>
      <c r="R6730" s="0" t="str">
        <f aca="false">IF($D6730&lt;&gt;"","["&amp;$E6730&amp;"]"&amp;"|"&amp;$Q6730&amp;"|"&amp;$K6730&amp;"|"&amp;$G6730&amp;"|"&amp;IF($G6730="TX_CURR_SUBNAT.R","CY2022Q4",$M6730),"")</f>
        <v>[ul0y9diGujK]|01-09|Male|PLHIV_Residents.T2|CY2025Q3</v>
      </c>
    </row>
    <row r="6731" customFormat="false" ht="15" hidden="false" customHeight="false" outlineLevel="0" collapsed="false">
      <c r="D6731" s="0" t="s">
        <v>108</v>
      </c>
      <c r="E6731" s="0" t="s">
        <v>109</v>
      </c>
      <c r="F6731" s="0" t="s">
        <v>110</v>
      </c>
      <c r="G6731" s="0" t="s">
        <v>171</v>
      </c>
      <c r="H6731" s="0" t="s">
        <v>172</v>
      </c>
      <c r="I6731" s="0" t="s">
        <v>36</v>
      </c>
      <c r="J6731" s="0" t="s">
        <v>37</v>
      </c>
      <c r="K6731" s="0" t="s">
        <v>48</v>
      </c>
      <c r="L6731" s="0" t="s">
        <v>49</v>
      </c>
      <c r="M6731" s="0" t="s">
        <v>173</v>
      </c>
      <c r="N6731" s="0" t="n">
        <v>1332</v>
      </c>
      <c r="O6731" s="10" t="n">
        <v>0.0960081887897104</v>
      </c>
      <c r="P6731" s="10" t="n">
        <v>0.434221804374829</v>
      </c>
      <c r="Q6731" s="0" t="str">
        <f aca="false">SUBSTITUTE(SUBSTITUTE($I6731,CHAR(61),""),CHAR(34),"")</f>
        <v>10-14</v>
      </c>
      <c r="R6731" s="0" t="str">
        <f aca="false">IF($D6731&lt;&gt;"","["&amp;$E6731&amp;"]"&amp;"|"&amp;$Q6731&amp;"|"&amp;$K6731&amp;"|"&amp;$G6731&amp;"|"&amp;IF($G6731="TX_CURR_SUBNAT.R","CY2022Q4",$M6731),"")</f>
        <v>[ul0y9diGujK]|10-14|Male|PLHIV_Residents.T2|CY2025Q3</v>
      </c>
    </row>
    <row r="6732" customFormat="false" ht="15" hidden="false" customHeight="false" outlineLevel="0" collapsed="false">
      <c r="D6732" s="0" t="s">
        <v>108</v>
      </c>
      <c r="E6732" s="0" t="s">
        <v>109</v>
      </c>
      <c r="F6732" s="0" t="s">
        <v>110</v>
      </c>
      <c r="G6732" s="0" t="s">
        <v>171</v>
      </c>
      <c r="H6732" s="0" t="s">
        <v>172</v>
      </c>
      <c r="I6732" s="0" t="s">
        <v>38</v>
      </c>
      <c r="J6732" s="0" t="s">
        <v>39</v>
      </c>
      <c r="K6732" s="0" t="s">
        <v>48</v>
      </c>
      <c r="L6732" s="0" t="s">
        <v>49</v>
      </c>
      <c r="M6732" s="0" t="s">
        <v>173</v>
      </c>
      <c r="N6732" s="0" t="n">
        <v>1516</v>
      </c>
      <c r="O6732" s="10" t="n">
        <v>0.864016657928005</v>
      </c>
      <c r="P6732" s="10" t="n">
        <v>0.434221804374829</v>
      </c>
      <c r="Q6732" s="0" t="str">
        <f aca="false">SUBSTITUTE(SUBSTITUTE($I6732,CHAR(61),""),CHAR(34),"")</f>
        <v>15-24</v>
      </c>
      <c r="R6732" s="0" t="str">
        <f aca="false">IF($D6732&lt;&gt;"","["&amp;$E6732&amp;"]"&amp;"|"&amp;$Q6732&amp;"|"&amp;$K6732&amp;"|"&amp;$G6732&amp;"|"&amp;IF($G6732="TX_CURR_SUBNAT.R","CY2022Q4",$M6732),"")</f>
        <v>[ul0y9diGujK]|15-24|Male|PLHIV_Residents.T2|CY2025Q3</v>
      </c>
    </row>
    <row r="6733" customFormat="false" ht="15" hidden="false" customHeight="false" outlineLevel="0" collapsed="false">
      <c r="D6733" s="0" t="s">
        <v>108</v>
      </c>
      <c r="E6733" s="0" t="s">
        <v>109</v>
      </c>
      <c r="F6733" s="0" t="s">
        <v>110</v>
      </c>
      <c r="G6733" s="0" t="s">
        <v>171</v>
      </c>
      <c r="H6733" s="0" t="s">
        <v>172</v>
      </c>
      <c r="I6733" s="0" t="s">
        <v>41</v>
      </c>
      <c r="J6733" s="0" t="s">
        <v>42</v>
      </c>
      <c r="K6733" s="0" t="s">
        <v>48</v>
      </c>
      <c r="L6733" s="0" t="s">
        <v>49</v>
      </c>
      <c r="M6733" s="0" t="s">
        <v>173</v>
      </c>
      <c r="N6733" s="0" t="n">
        <v>1668</v>
      </c>
      <c r="O6733" s="10" t="n">
        <v>0.678848379524425</v>
      </c>
      <c r="P6733" s="10" t="n">
        <v>0.434221804374829</v>
      </c>
      <c r="Q6733" s="0" t="str">
        <f aca="false">SUBSTITUTE(SUBSTITUTE($I6733,CHAR(61),""),CHAR(34),"")</f>
        <v>25-34</v>
      </c>
      <c r="R6733" s="0" t="str">
        <f aca="false">IF($D6733&lt;&gt;"","["&amp;$E6733&amp;"]"&amp;"|"&amp;$Q6733&amp;"|"&amp;$K6733&amp;"|"&amp;$G6733&amp;"|"&amp;IF($G6733="TX_CURR_SUBNAT.R","CY2022Q4",$M6733),"")</f>
        <v>[ul0y9diGujK]|25-34|Male|PLHIV_Residents.T2|CY2025Q3</v>
      </c>
    </row>
    <row r="6734" customFormat="false" ht="15" hidden="false" customHeight="false" outlineLevel="0" collapsed="false">
      <c r="D6734" s="0" t="s">
        <v>108</v>
      </c>
      <c r="E6734" s="0" t="s">
        <v>109</v>
      </c>
      <c r="F6734" s="0" t="s">
        <v>110</v>
      </c>
      <c r="G6734" s="0" t="s">
        <v>171</v>
      </c>
      <c r="H6734" s="0" t="s">
        <v>172</v>
      </c>
      <c r="I6734" s="0" t="s">
        <v>43</v>
      </c>
      <c r="J6734" s="0" t="s">
        <v>44</v>
      </c>
      <c r="K6734" s="0" t="s">
        <v>48</v>
      </c>
      <c r="L6734" s="0" t="s">
        <v>49</v>
      </c>
      <c r="M6734" s="0" t="s">
        <v>173</v>
      </c>
      <c r="N6734" s="0" t="n">
        <v>1282</v>
      </c>
      <c r="O6734" s="10" t="n">
        <v>0.717077034991235</v>
      </c>
      <c r="P6734" s="10" t="n">
        <v>0.434221804374829</v>
      </c>
      <c r="Q6734" s="0" t="str">
        <f aca="false">SUBSTITUTE(SUBSTITUTE($I6734,CHAR(61),""),CHAR(34),"")</f>
        <v>35-49</v>
      </c>
      <c r="R6734" s="0" t="str">
        <f aca="false">IF($D6734&lt;&gt;"","["&amp;$E6734&amp;"]"&amp;"|"&amp;$Q6734&amp;"|"&amp;$K6734&amp;"|"&amp;$G6734&amp;"|"&amp;IF($G6734="TX_CURR_SUBNAT.R","CY2022Q4",$M6734),"")</f>
        <v>[ul0y9diGujK]|35-49|Male|PLHIV_Residents.T2|CY2025Q3</v>
      </c>
    </row>
    <row r="6735" customFormat="false" ht="15" hidden="false" customHeight="false" outlineLevel="0" collapsed="false">
      <c r="D6735" s="0" t="s">
        <v>108</v>
      </c>
      <c r="E6735" s="0" t="s">
        <v>109</v>
      </c>
      <c r="F6735" s="0" t="s">
        <v>110</v>
      </c>
      <c r="G6735" s="0" t="s">
        <v>171</v>
      </c>
      <c r="H6735" s="0" t="s">
        <v>172</v>
      </c>
      <c r="I6735" s="0" t="s">
        <v>45</v>
      </c>
      <c r="J6735" s="0" t="s">
        <v>46</v>
      </c>
      <c r="K6735" s="0" t="s">
        <v>48</v>
      </c>
      <c r="L6735" s="0" t="s">
        <v>49</v>
      </c>
      <c r="M6735" s="0" t="s">
        <v>173</v>
      </c>
      <c r="N6735" s="0" t="n">
        <v>639</v>
      </c>
      <c r="O6735" s="10" t="n">
        <v>0.337081669829786</v>
      </c>
      <c r="P6735" s="10" t="n">
        <v>0.434221804374829</v>
      </c>
      <c r="Q6735" s="0" t="str">
        <f aca="false">SUBSTITUTE(SUBSTITUTE($I6735,CHAR(61),""),CHAR(34),"")</f>
        <v>50+</v>
      </c>
      <c r="R6735" s="0" t="str">
        <f aca="false">IF($D6735&lt;&gt;"","["&amp;$E6735&amp;"]"&amp;"|"&amp;$Q6735&amp;"|"&amp;$K6735&amp;"|"&amp;$G6735&amp;"|"&amp;IF($G6735="TX_CURR_SUBNAT.R","CY2022Q4",$M6735),"")</f>
        <v>[ul0y9diGujK]|50+|Male|PLHIV_Residents.T2|CY2025Q3</v>
      </c>
    </row>
    <row r="6736" customFormat="false" ht="15" hidden="false" customHeight="false" outlineLevel="0" collapsed="false">
      <c r="D6736" s="0" t="s">
        <v>111</v>
      </c>
      <c r="E6736" s="0" t="s">
        <v>112</v>
      </c>
      <c r="F6736" s="0" t="s">
        <v>113</v>
      </c>
      <c r="G6736" s="0" t="s">
        <v>171</v>
      </c>
      <c r="H6736" s="0" t="s">
        <v>172</v>
      </c>
      <c r="I6736" s="0" t="s">
        <v>28</v>
      </c>
      <c r="J6736" s="0" t="s">
        <v>29</v>
      </c>
      <c r="K6736" s="0" t="s">
        <v>30</v>
      </c>
      <c r="L6736" s="0" t="s">
        <v>31</v>
      </c>
      <c r="M6736" s="0" t="s">
        <v>173</v>
      </c>
      <c r="N6736" s="0" t="n">
        <v>1092</v>
      </c>
      <c r="O6736" s="10" t="n">
        <v>0.625492632389069</v>
      </c>
      <c r="P6736" s="10" t="n">
        <v>0.337768794968724</v>
      </c>
      <c r="Q6736" s="0" t="str">
        <f aca="false">SUBSTITUTE(SUBSTITUTE($I6736,CHAR(61),""),CHAR(34),"")</f>
        <v>&lt;01</v>
      </c>
      <c r="R6736" s="0" t="str">
        <f aca="false">IF($D6736&lt;&gt;"","["&amp;$E6736&amp;"]"&amp;"|"&amp;$Q6736&amp;"|"&amp;$K6736&amp;"|"&amp;$G6736&amp;"|"&amp;IF($G6736="TX_CURR_SUBNAT.R","CY2022Q4",$M6736),"")</f>
        <v>[U8c0so51kT6]|&lt;01|Female|PLHIV_Residents.T2|CY2025Q3</v>
      </c>
    </row>
    <row r="6737" customFormat="false" ht="15" hidden="false" customHeight="false" outlineLevel="0" collapsed="false">
      <c r="D6737" s="0" t="s">
        <v>111</v>
      </c>
      <c r="E6737" s="0" t="s">
        <v>112</v>
      </c>
      <c r="F6737" s="0" t="s">
        <v>113</v>
      </c>
      <c r="G6737" s="0" t="s">
        <v>171</v>
      </c>
      <c r="H6737" s="0" t="s">
        <v>172</v>
      </c>
      <c r="I6737" s="0" t="s">
        <v>33</v>
      </c>
      <c r="J6737" s="0" t="s">
        <v>34</v>
      </c>
      <c r="K6737" s="0" t="s">
        <v>30</v>
      </c>
      <c r="L6737" s="0" t="s">
        <v>31</v>
      </c>
      <c r="M6737" s="0" t="s">
        <v>173</v>
      </c>
      <c r="N6737" s="0" t="n">
        <v>1737</v>
      </c>
      <c r="O6737" s="10" t="n">
        <v>0.764254963491112</v>
      </c>
      <c r="P6737" s="10" t="n">
        <v>0.337768794968724</v>
      </c>
      <c r="Q6737" s="0" t="str">
        <f aca="false">SUBSTITUTE(SUBSTITUTE($I6737,CHAR(61),""),CHAR(34),"")</f>
        <v>01-09</v>
      </c>
      <c r="R6737" s="0" t="str">
        <f aca="false">IF($D6737&lt;&gt;"","["&amp;$E6737&amp;"]"&amp;"|"&amp;$Q6737&amp;"|"&amp;$K6737&amp;"|"&amp;$G6737&amp;"|"&amp;IF($G6737="TX_CURR_SUBNAT.R","CY2022Q4",$M6737),"")</f>
        <v>[U8c0so51kT6]|01-09|Female|PLHIV_Residents.T2|CY2025Q3</v>
      </c>
    </row>
    <row r="6738" customFormat="false" ht="15" hidden="false" customHeight="false" outlineLevel="0" collapsed="false">
      <c r="D6738" s="0" t="s">
        <v>111</v>
      </c>
      <c r="E6738" s="0" t="s">
        <v>112</v>
      </c>
      <c r="F6738" s="0" t="s">
        <v>113</v>
      </c>
      <c r="G6738" s="0" t="s">
        <v>171</v>
      </c>
      <c r="H6738" s="0" t="s">
        <v>172</v>
      </c>
      <c r="I6738" s="0" t="s">
        <v>36</v>
      </c>
      <c r="J6738" s="0" t="s">
        <v>37</v>
      </c>
      <c r="K6738" s="0" t="s">
        <v>30</v>
      </c>
      <c r="L6738" s="0" t="s">
        <v>31</v>
      </c>
      <c r="M6738" s="0" t="s">
        <v>173</v>
      </c>
      <c r="N6738" s="0" t="n">
        <v>972</v>
      </c>
      <c r="O6738" s="10" t="n">
        <v>0.945069728419185</v>
      </c>
      <c r="P6738" s="10" t="n">
        <v>0.337768794968724</v>
      </c>
      <c r="Q6738" s="0" t="str">
        <f aca="false">SUBSTITUTE(SUBSTITUTE($I6738,CHAR(61),""),CHAR(34),"")</f>
        <v>10-14</v>
      </c>
      <c r="R6738" s="0" t="str">
        <f aca="false">IF($D6738&lt;&gt;"","["&amp;$E6738&amp;"]"&amp;"|"&amp;$Q6738&amp;"|"&amp;$K6738&amp;"|"&amp;$G6738&amp;"|"&amp;IF($G6738="TX_CURR_SUBNAT.R","CY2022Q4",$M6738),"")</f>
        <v>[U8c0so51kT6]|10-14|Female|PLHIV_Residents.T2|CY2025Q3</v>
      </c>
    </row>
    <row r="6739" customFormat="false" ht="15" hidden="false" customHeight="false" outlineLevel="0" collapsed="false">
      <c r="D6739" s="0" t="s">
        <v>111</v>
      </c>
      <c r="E6739" s="0" t="s">
        <v>112</v>
      </c>
      <c r="F6739" s="0" t="s">
        <v>113</v>
      </c>
      <c r="G6739" s="0" t="s">
        <v>171</v>
      </c>
      <c r="H6739" s="0" t="s">
        <v>172</v>
      </c>
      <c r="I6739" s="0" t="s">
        <v>38</v>
      </c>
      <c r="J6739" s="0" t="s">
        <v>39</v>
      </c>
      <c r="K6739" s="0" t="s">
        <v>30</v>
      </c>
      <c r="L6739" s="0" t="s">
        <v>31</v>
      </c>
      <c r="M6739" s="0" t="s">
        <v>173</v>
      </c>
      <c r="N6739" s="0" t="n">
        <v>1186</v>
      </c>
      <c r="O6739" s="10" t="n">
        <v>0.812449329299852</v>
      </c>
      <c r="P6739" s="10" t="n">
        <v>0.337768794968724</v>
      </c>
      <c r="Q6739" s="0" t="str">
        <f aca="false">SUBSTITUTE(SUBSTITUTE($I6739,CHAR(61),""),CHAR(34),"")</f>
        <v>15-24</v>
      </c>
      <c r="R6739" s="0" t="str">
        <f aca="false">IF($D6739&lt;&gt;"","["&amp;$E6739&amp;"]"&amp;"|"&amp;$Q6739&amp;"|"&amp;$K6739&amp;"|"&amp;$G6739&amp;"|"&amp;IF($G6739="TX_CURR_SUBNAT.R","CY2022Q4",$M6739),"")</f>
        <v>[U8c0so51kT6]|15-24|Female|PLHIV_Residents.T2|CY2025Q3</v>
      </c>
    </row>
    <row r="6740" customFormat="false" ht="15" hidden="false" customHeight="false" outlineLevel="0" collapsed="false">
      <c r="D6740" s="0" t="s">
        <v>111</v>
      </c>
      <c r="E6740" s="0" t="s">
        <v>112</v>
      </c>
      <c r="F6740" s="0" t="s">
        <v>113</v>
      </c>
      <c r="G6740" s="0" t="s">
        <v>171</v>
      </c>
      <c r="H6740" s="0" t="s">
        <v>172</v>
      </c>
      <c r="I6740" s="0" t="s">
        <v>41</v>
      </c>
      <c r="J6740" s="0" t="s">
        <v>42</v>
      </c>
      <c r="K6740" s="0" t="s">
        <v>30</v>
      </c>
      <c r="L6740" s="0" t="s">
        <v>31</v>
      </c>
      <c r="M6740" s="0" t="s">
        <v>173</v>
      </c>
      <c r="N6740" s="0" t="n">
        <v>1816</v>
      </c>
      <c r="O6740" s="10" t="n">
        <v>0.907677894225344</v>
      </c>
      <c r="P6740" s="10" t="n">
        <v>0.337768794968724</v>
      </c>
      <c r="Q6740" s="0" t="str">
        <f aca="false">SUBSTITUTE(SUBSTITUTE($I6740,CHAR(61),""),CHAR(34),"")</f>
        <v>25-34</v>
      </c>
      <c r="R6740" s="0" t="str">
        <f aca="false">IF($D6740&lt;&gt;"","["&amp;$E6740&amp;"]"&amp;"|"&amp;$Q6740&amp;"|"&amp;$K6740&amp;"|"&amp;$G6740&amp;"|"&amp;IF($G6740="TX_CURR_SUBNAT.R","CY2022Q4",$M6740),"")</f>
        <v>[U8c0so51kT6]|25-34|Female|PLHIV_Residents.T2|CY2025Q3</v>
      </c>
    </row>
    <row r="6741" customFormat="false" ht="15" hidden="false" customHeight="false" outlineLevel="0" collapsed="false">
      <c r="D6741" s="0" t="s">
        <v>111</v>
      </c>
      <c r="E6741" s="0" t="s">
        <v>112</v>
      </c>
      <c r="F6741" s="0" t="s">
        <v>113</v>
      </c>
      <c r="G6741" s="0" t="s">
        <v>171</v>
      </c>
      <c r="H6741" s="0" t="s">
        <v>172</v>
      </c>
      <c r="I6741" s="0" t="s">
        <v>43</v>
      </c>
      <c r="J6741" s="0" t="s">
        <v>44</v>
      </c>
      <c r="K6741" s="0" t="s">
        <v>30</v>
      </c>
      <c r="L6741" s="0" t="s">
        <v>31</v>
      </c>
      <c r="M6741" s="0" t="s">
        <v>173</v>
      </c>
      <c r="N6741" s="0" t="n">
        <v>568</v>
      </c>
      <c r="O6741" s="10" t="n">
        <v>0.618283827556297</v>
      </c>
      <c r="P6741" s="10" t="n">
        <v>0.337768794968724</v>
      </c>
      <c r="Q6741" s="0" t="str">
        <f aca="false">SUBSTITUTE(SUBSTITUTE($I6741,CHAR(61),""),CHAR(34),"")</f>
        <v>35-49</v>
      </c>
      <c r="R6741" s="0" t="str">
        <f aca="false">IF($D6741&lt;&gt;"","["&amp;$E6741&amp;"]"&amp;"|"&amp;$Q6741&amp;"|"&amp;$K6741&amp;"|"&amp;$G6741&amp;"|"&amp;IF($G6741="TX_CURR_SUBNAT.R","CY2022Q4",$M6741),"")</f>
        <v>[U8c0so51kT6]|35-49|Female|PLHIV_Residents.T2|CY2025Q3</v>
      </c>
    </row>
    <row r="6742" customFormat="false" ht="15" hidden="false" customHeight="false" outlineLevel="0" collapsed="false">
      <c r="D6742" s="0" t="s">
        <v>111</v>
      </c>
      <c r="E6742" s="0" t="s">
        <v>112</v>
      </c>
      <c r="F6742" s="0" t="s">
        <v>113</v>
      </c>
      <c r="G6742" s="0" t="s">
        <v>171</v>
      </c>
      <c r="H6742" s="0" t="s">
        <v>172</v>
      </c>
      <c r="I6742" s="0" t="s">
        <v>45</v>
      </c>
      <c r="J6742" s="0" t="s">
        <v>46</v>
      </c>
      <c r="K6742" s="0" t="s">
        <v>30</v>
      </c>
      <c r="L6742" s="0" t="s">
        <v>31</v>
      </c>
      <c r="M6742" s="0" t="s">
        <v>173</v>
      </c>
      <c r="N6742" s="0" t="n">
        <v>1862</v>
      </c>
      <c r="O6742" s="10" t="n">
        <v>0.468755661975592</v>
      </c>
      <c r="P6742" s="10" t="n">
        <v>0.337768794968724</v>
      </c>
      <c r="Q6742" s="0" t="str">
        <f aca="false">SUBSTITUTE(SUBSTITUTE($I6742,CHAR(61),""),CHAR(34),"")</f>
        <v>50+</v>
      </c>
      <c r="R6742" s="0" t="str">
        <f aca="false">IF($D6742&lt;&gt;"","["&amp;$E6742&amp;"]"&amp;"|"&amp;$Q6742&amp;"|"&amp;$K6742&amp;"|"&amp;$G6742&amp;"|"&amp;IF($G6742="TX_CURR_SUBNAT.R","CY2022Q4",$M6742),"")</f>
        <v>[U8c0so51kT6]|50+|Female|PLHIV_Residents.T2|CY2025Q3</v>
      </c>
    </row>
    <row r="6743" customFormat="false" ht="15" hidden="false" customHeight="false" outlineLevel="0" collapsed="false">
      <c r="D6743" s="0" t="s">
        <v>111</v>
      </c>
      <c r="E6743" s="0" t="s">
        <v>112</v>
      </c>
      <c r="F6743" s="0" t="s">
        <v>113</v>
      </c>
      <c r="G6743" s="0" t="s">
        <v>171</v>
      </c>
      <c r="H6743" s="0" t="s">
        <v>172</v>
      </c>
      <c r="I6743" s="0" t="s">
        <v>28</v>
      </c>
      <c r="J6743" s="0" t="s">
        <v>29</v>
      </c>
      <c r="K6743" s="0" t="s">
        <v>48</v>
      </c>
      <c r="L6743" s="0" t="s">
        <v>49</v>
      </c>
      <c r="M6743" s="0" t="s">
        <v>173</v>
      </c>
      <c r="N6743" s="0" t="n">
        <v>1283</v>
      </c>
      <c r="O6743" s="10" t="n">
        <v>0.807939736172557</v>
      </c>
      <c r="P6743" s="10" t="n">
        <v>0.337768794968724</v>
      </c>
      <c r="Q6743" s="0" t="str">
        <f aca="false">SUBSTITUTE(SUBSTITUTE($I6743,CHAR(61),""),CHAR(34),"")</f>
        <v>&lt;01</v>
      </c>
      <c r="R6743" s="0" t="str">
        <f aca="false">IF($D6743&lt;&gt;"","["&amp;$E6743&amp;"]"&amp;"|"&amp;$Q6743&amp;"|"&amp;$K6743&amp;"|"&amp;$G6743&amp;"|"&amp;IF($G6743="TX_CURR_SUBNAT.R","CY2022Q4",$M6743),"")</f>
        <v>[U8c0so51kT6]|&lt;01|Male|PLHIV_Residents.T2|CY2025Q3</v>
      </c>
    </row>
    <row r="6744" customFormat="false" ht="15" hidden="false" customHeight="false" outlineLevel="0" collapsed="false">
      <c r="D6744" s="0" t="s">
        <v>111</v>
      </c>
      <c r="E6744" s="0" t="s">
        <v>112</v>
      </c>
      <c r="F6744" s="0" t="s">
        <v>113</v>
      </c>
      <c r="G6744" s="0" t="s">
        <v>171</v>
      </c>
      <c r="H6744" s="0" t="s">
        <v>172</v>
      </c>
      <c r="I6744" s="0" t="s">
        <v>33</v>
      </c>
      <c r="J6744" s="0" t="s">
        <v>34</v>
      </c>
      <c r="K6744" s="0" t="s">
        <v>48</v>
      </c>
      <c r="L6744" s="0" t="s">
        <v>49</v>
      </c>
      <c r="M6744" s="0" t="s">
        <v>173</v>
      </c>
      <c r="N6744" s="0" t="n">
        <v>1611</v>
      </c>
      <c r="O6744" s="10" t="n">
        <v>0.743138314690441</v>
      </c>
      <c r="P6744" s="10" t="n">
        <v>0.337768794968724</v>
      </c>
      <c r="Q6744" s="0" t="str">
        <f aca="false">SUBSTITUTE(SUBSTITUTE($I6744,CHAR(61),""),CHAR(34),"")</f>
        <v>01-09</v>
      </c>
      <c r="R6744" s="0" t="str">
        <f aca="false">IF($D6744&lt;&gt;"","["&amp;$E6744&amp;"]"&amp;"|"&amp;$Q6744&amp;"|"&amp;$K6744&amp;"|"&amp;$G6744&amp;"|"&amp;IF($G6744="TX_CURR_SUBNAT.R","CY2022Q4",$M6744),"")</f>
        <v>[U8c0so51kT6]|01-09|Male|PLHIV_Residents.T2|CY2025Q3</v>
      </c>
    </row>
    <row r="6745" customFormat="false" ht="15" hidden="false" customHeight="false" outlineLevel="0" collapsed="false">
      <c r="D6745" s="0" t="s">
        <v>111</v>
      </c>
      <c r="E6745" s="0" t="s">
        <v>112</v>
      </c>
      <c r="F6745" s="0" t="s">
        <v>113</v>
      </c>
      <c r="G6745" s="0" t="s">
        <v>171</v>
      </c>
      <c r="H6745" s="0" t="s">
        <v>172</v>
      </c>
      <c r="I6745" s="0" t="s">
        <v>36</v>
      </c>
      <c r="J6745" s="0" t="s">
        <v>37</v>
      </c>
      <c r="K6745" s="0" t="s">
        <v>48</v>
      </c>
      <c r="L6745" s="0" t="s">
        <v>49</v>
      </c>
      <c r="M6745" s="0" t="s">
        <v>173</v>
      </c>
      <c r="N6745" s="0" t="n">
        <v>607</v>
      </c>
      <c r="O6745" s="10" t="n">
        <v>0.999470155453309</v>
      </c>
      <c r="P6745" s="10" t="n">
        <v>0.337768794968724</v>
      </c>
      <c r="Q6745" s="0" t="str">
        <f aca="false">SUBSTITUTE(SUBSTITUTE($I6745,CHAR(61),""),CHAR(34),"")</f>
        <v>10-14</v>
      </c>
      <c r="R6745" s="0" t="str">
        <f aca="false">IF($D6745&lt;&gt;"","["&amp;$E6745&amp;"]"&amp;"|"&amp;$Q6745&amp;"|"&amp;$K6745&amp;"|"&amp;$G6745&amp;"|"&amp;IF($G6745="TX_CURR_SUBNAT.R","CY2022Q4",$M6745),"")</f>
        <v>[U8c0so51kT6]|10-14|Male|PLHIV_Residents.T2|CY2025Q3</v>
      </c>
    </row>
    <row r="6746" customFormat="false" ht="15" hidden="false" customHeight="false" outlineLevel="0" collapsed="false">
      <c r="D6746" s="0" t="s">
        <v>111</v>
      </c>
      <c r="E6746" s="0" t="s">
        <v>112</v>
      </c>
      <c r="F6746" s="0" t="s">
        <v>113</v>
      </c>
      <c r="G6746" s="0" t="s">
        <v>171</v>
      </c>
      <c r="H6746" s="0" t="s">
        <v>172</v>
      </c>
      <c r="I6746" s="0" t="s">
        <v>38</v>
      </c>
      <c r="J6746" s="0" t="s">
        <v>39</v>
      </c>
      <c r="K6746" s="0" t="s">
        <v>48</v>
      </c>
      <c r="L6746" s="0" t="s">
        <v>49</v>
      </c>
      <c r="M6746" s="0" t="s">
        <v>173</v>
      </c>
      <c r="N6746" s="0" t="n">
        <v>1465</v>
      </c>
      <c r="O6746" s="10" t="n">
        <v>0.219349033897743</v>
      </c>
      <c r="P6746" s="10" t="n">
        <v>0.337768794968724</v>
      </c>
      <c r="Q6746" s="0" t="str">
        <f aca="false">SUBSTITUTE(SUBSTITUTE($I6746,CHAR(61),""),CHAR(34),"")</f>
        <v>15-24</v>
      </c>
      <c r="R6746" s="0" t="str">
        <f aca="false">IF($D6746&lt;&gt;"","["&amp;$E6746&amp;"]"&amp;"|"&amp;$Q6746&amp;"|"&amp;$K6746&amp;"|"&amp;$G6746&amp;"|"&amp;IF($G6746="TX_CURR_SUBNAT.R","CY2022Q4",$M6746),"")</f>
        <v>[U8c0so51kT6]|15-24|Male|PLHIV_Residents.T2|CY2025Q3</v>
      </c>
    </row>
    <row r="6747" customFormat="false" ht="15" hidden="false" customHeight="false" outlineLevel="0" collapsed="false">
      <c r="D6747" s="0" t="s">
        <v>111</v>
      </c>
      <c r="E6747" s="0" t="s">
        <v>112</v>
      </c>
      <c r="F6747" s="0" t="s">
        <v>113</v>
      </c>
      <c r="G6747" s="0" t="s">
        <v>171</v>
      </c>
      <c r="H6747" s="0" t="s">
        <v>172</v>
      </c>
      <c r="I6747" s="0" t="s">
        <v>41</v>
      </c>
      <c r="J6747" s="0" t="s">
        <v>42</v>
      </c>
      <c r="K6747" s="0" t="s">
        <v>48</v>
      </c>
      <c r="L6747" s="0" t="s">
        <v>49</v>
      </c>
      <c r="M6747" s="0" t="s">
        <v>173</v>
      </c>
      <c r="N6747" s="0" t="n">
        <v>1240</v>
      </c>
      <c r="O6747" s="10" t="n">
        <v>0.645316090201959</v>
      </c>
      <c r="P6747" s="10" t="n">
        <v>0.337768794968724</v>
      </c>
      <c r="Q6747" s="0" t="str">
        <f aca="false">SUBSTITUTE(SUBSTITUTE($I6747,CHAR(61),""),CHAR(34),"")</f>
        <v>25-34</v>
      </c>
      <c r="R6747" s="0" t="str">
        <f aca="false">IF($D6747&lt;&gt;"","["&amp;$E6747&amp;"]"&amp;"|"&amp;$Q6747&amp;"|"&amp;$K6747&amp;"|"&amp;$G6747&amp;"|"&amp;IF($G6747="TX_CURR_SUBNAT.R","CY2022Q4",$M6747),"")</f>
        <v>[U8c0so51kT6]|25-34|Male|PLHIV_Residents.T2|CY2025Q3</v>
      </c>
    </row>
    <row r="6748" customFormat="false" ht="15" hidden="false" customHeight="false" outlineLevel="0" collapsed="false">
      <c r="D6748" s="0" t="s">
        <v>111</v>
      </c>
      <c r="E6748" s="0" t="s">
        <v>112</v>
      </c>
      <c r="F6748" s="0" t="s">
        <v>113</v>
      </c>
      <c r="G6748" s="0" t="s">
        <v>171</v>
      </c>
      <c r="H6748" s="0" t="s">
        <v>172</v>
      </c>
      <c r="I6748" s="0" t="s">
        <v>43</v>
      </c>
      <c r="J6748" s="0" t="s">
        <v>44</v>
      </c>
      <c r="K6748" s="0" t="s">
        <v>48</v>
      </c>
      <c r="L6748" s="0" t="s">
        <v>49</v>
      </c>
      <c r="M6748" s="0" t="s">
        <v>173</v>
      </c>
      <c r="N6748" s="0" t="n">
        <v>1692</v>
      </c>
      <c r="O6748" s="10" t="n">
        <v>0.983026177855209</v>
      </c>
      <c r="P6748" s="10" t="n">
        <v>0.337768794968724</v>
      </c>
      <c r="Q6748" s="0" t="str">
        <f aca="false">SUBSTITUTE(SUBSTITUTE($I6748,CHAR(61),""),CHAR(34),"")</f>
        <v>35-49</v>
      </c>
      <c r="R6748" s="0" t="str">
        <f aca="false">IF($D6748&lt;&gt;"","["&amp;$E6748&amp;"]"&amp;"|"&amp;$Q6748&amp;"|"&amp;$K6748&amp;"|"&amp;$G6748&amp;"|"&amp;IF($G6748="TX_CURR_SUBNAT.R","CY2022Q4",$M6748),"")</f>
        <v>[U8c0so51kT6]|35-49|Male|PLHIV_Residents.T2|CY2025Q3</v>
      </c>
    </row>
    <row r="6749" customFormat="false" ht="15" hidden="false" customHeight="false" outlineLevel="0" collapsed="false">
      <c r="D6749" s="0" t="s">
        <v>111</v>
      </c>
      <c r="E6749" s="0" t="s">
        <v>112</v>
      </c>
      <c r="F6749" s="0" t="s">
        <v>113</v>
      </c>
      <c r="G6749" s="0" t="s">
        <v>171</v>
      </c>
      <c r="H6749" s="0" t="s">
        <v>172</v>
      </c>
      <c r="I6749" s="0" t="s">
        <v>45</v>
      </c>
      <c r="J6749" s="0" t="s">
        <v>46</v>
      </c>
      <c r="K6749" s="0" t="s">
        <v>48</v>
      </c>
      <c r="L6749" s="0" t="s">
        <v>49</v>
      </c>
      <c r="M6749" s="0" t="s">
        <v>173</v>
      </c>
      <c r="N6749" s="0" t="n">
        <v>1632</v>
      </c>
      <c r="O6749" s="10" t="n">
        <v>0.630308005027473</v>
      </c>
      <c r="P6749" s="10" t="n">
        <v>0.337768794968724</v>
      </c>
      <c r="Q6749" s="0" t="str">
        <f aca="false">SUBSTITUTE(SUBSTITUTE($I6749,CHAR(61),""),CHAR(34),"")</f>
        <v>50+</v>
      </c>
      <c r="R6749" s="0" t="str">
        <f aca="false">IF($D6749&lt;&gt;"","["&amp;$E6749&amp;"]"&amp;"|"&amp;$Q6749&amp;"|"&amp;$K6749&amp;"|"&amp;$G6749&amp;"|"&amp;IF($G6749="TX_CURR_SUBNAT.R","CY2022Q4",$M6749),"")</f>
        <v>[U8c0so51kT6]|50+|Male|PLHIV_Residents.T2|CY2025Q3</v>
      </c>
    </row>
    <row r="6750" customFormat="false" ht="15" hidden="false" customHeight="false" outlineLevel="0" collapsed="false">
      <c r="D6750" s="0" t="s">
        <v>114</v>
      </c>
      <c r="E6750" s="0" t="s">
        <v>115</v>
      </c>
      <c r="F6750" s="0" t="s">
        <v>116</v>
      </c>
      <c r="G6750" s="0" t="s">
        <v>171</v>
      </c>
      <c r="H6750" s="0" t="s">
        <v>172</v>
      </c>
      <c r="I6750" s="0" t="s">
        <v>28</v>
      </c>
      <c r="J6750" s="0" t="s">
        <v>29</v>
      </c>
      <c r="K6750" s="0" t="s">
        <v>30</v>
      </c>
      <c r="L6750" s="0" t="s">
        <v>31</v>
      </c>
      <c r="M6750" s="0" t="s">
        <v>173</v>
      </c>
      <c r="N6750" s="0" t="n">
        <v>1355</v>
      </c>
      <c r="O6750" s="10" t="n">
        <v>0.106194728054106</v>
      </c>
      <c r="P6750" s="10" t="n">
        <v>0.298559809103608</v>
      </c>
      <c r="Q6750" s="0" t="str">
        <f aca="false">SUBSTITUTE(SUBSTITUTE($I6750,CHAR(61),""),CHAR(34),"")</f>
        <v>&lt;01</v>
      </c>
      <c r="R6750" s="0" t="str">
        <f aca="false">IF($D6750&lt;&gt;"","["&amp;$E6750&amp;"]"&amp;"|"&amp;$Q6750&amp;"|"&amp;$K6750&amp;"|"&amp;$G6750&amp;"|"&amp;IF($G6750="TX_CURR_SUBNAT.R","CY2022Q4",$M6750),"")</f>
        <v>[rpw540fmNUz]|&lt;01|Female|PLHIV_Residents.T2|CY2025Q3</v>
      </c>
    </row>
    <row r="6751" customFormat="false" ht="15" hidden="false" customHeight="false" outlineLevel="0" collapsed="false">
      <c r="D6751" s="0" t="s">
        <v>114</v>
      </c>
      <c r="E6751" s="0" t="s">
        <v>115</v>
      </c>
      <c r="F6751" s="0" t="s">
        <v>116</v>
      </c>
      <c r="G6751" s="0" t="s">
        <v>171</v>
      </c>
      <c r="H6751" s="0" t="s">
        <v>172</v>
      </c>
      <c r="I6751" s="0" t="s">
        <v>33</v>
      </c>
      <c r="J6751" s="0" t="s">
        <v>34</v>
      </c>
      <c r="K6751" s="0" t="s">
        <v>30</v>
      </c>
      <c r="L6751" s="0" t="s">
        <v>31</v>
      </c>
      <c r="M6751" s="0" t="s">
        <v>173</v>
      </c>
      <c r="N6751" s="0" t="n">
        <v>1913</v>
      </c>
      <c r="O6751" s="10" t="n">
        <v>0.622610239312053</v>
      </c>
      <c r="P6751" s="10" t="n">
        <v>0.298559809103608</v>
      </c>
      <c r="Q6751" s="0" t="str">
        <f aca="false">SUBSTITUTE(SUBSTITUTE($I6751,CHAR(61),""),CHAR(34),"")</f>
        <v>01-09</v>
      </c>
      <c r="R6751" s="0" t="str">
        <f aca="false">IF($D6751&lt;&gt;"","["&amp;$E6751&amp;"]"&amp;"|"&amp;$Q6751&amp;"|"&amp;$K6751&amp;"|"&amp;$G6751&amp;"|"&amp;IF($G6751="TX_CURR_SUBNAT.R","CY2022Q4",$M6751),"")</f>
        <v>[rpw540fmNUz]|01-09|Female|PLHIV_Residents.T2|CY2025Q3</v>
      </c>
    </row>
    <row r="6752" customFormat="false" ht="15" hidden="false" customHeight="false" outlineLevel="0" collapsed="false">
      <c r="D6752" s="0" t="s">
        <v>114</v>
      </c>
      <c r="E6752" s="0" t="s">
        <v>115</v>
      </c>
      <c r="F6752" s="0" t="s">
        <v>116</v>
      </c>
      <c r="G6752" s="0" t="s">
        <v>171</v>
      </c>
      <c r="H6752" s="0" t="s">
        <v>172</v>
      </c>
      <c r="I6752" s="0" t="s">
        <v>36</v>
      </c>
      <c r="J6752" s="0" t="s">
        <v>37</v>
      </c>
      <c r="K6752" s="0" t="s">
        <v>30</v>
      </c>
      <c r="L6752" s="0" t="s">
        <v>31</v>
      </c>
      <c r="M6752" s="0" t="s">
        <v>173</v>
      </c>
      <c r="N6752" s="0" t="n">
        <v>1844</v>
      </c>
      <c r="O6752" s="10" t="n">
        <v>0.707326323026791</v>
      </c>
      <c r="P6752" s="10" t="n">
        <v>0.298559809103608</v>
      </c>
      <c r="Q6752" s="0" t="str">
        <f aca="false">SUBSTITUTE(SUBSTITUTE($I6752,CHAR(61),""),CHAR(34),"")</f>
        <v>10-14</v>
      </c>
      <c r="R6752" s="0" t="str">
        <f aca="false">IF($D6752&lt;&gt;"","["&amp;$E6752&amp;"]"&amp;"|"&amp;$Q6752&amp;"|"&amp;$K6752&amp;"|"&amp;$G6752&amp;"|"&amp;IF($G6752="TX_CURR_SUBNAT.R","CY2022Q4",$M6752),"")</f>
        <v>[rpw540fmNUz]|10-14|Female|PLHIV_Residents.T2|CY2025Q3</v>
      </c>
    </row>
    <row r="6753" customFormat="false" ht="15" hidden="false" customHeight="false" outlineLevel="0" collapsed="false">
      <c r="D6753" s="0" t="s">
        <v>114</v>
      </c>
      <c r="E6753" s="0" t="s">
        <v>115</v>
      </c>
      <c r="F6753" s="0" t="s">
        <v>116</v>
      </c>
      <c r="G6753" s="0" t="s">
        <v>171</v>
      </c>
      <c r="H6753" s="0" t="s">
        <v>172</v>
      </c>
      <c r="I6753" s="0" t="s">
        <v>38</v>
      </c>
      <c r="J6753" s="0" t="s">
        <v>39</v>
      </c>
      <c r="K6753" s="0" t="s">
        <v>30</v>
      </c>
      <c r="L6753" s="0" t="s">
        <v>31</v>
      </c>
      <c r="M6753" s="0" t="s">
        <v>173</v>
      </c>
      <c r="N6753" s="0" t="n">
        <v>860</v>
      </c>
      <c r="O6753" s="10" t="n">
        <v>0.43855243246071</v>
      </c>
      <c r="P6753" s="10" t="n">
        <v>0.298559809103608</v>
      </c>
      <c r="Q6753" s="0" t="str">
        <f aca="false">SUBSTITUTE(SUBSTITUTE($I6753,CHAR(61),""),CHAR(34),"")</f>
        <v>15-24</v>
      </c>
      <c r="R6753" s="0" t="str">
        <f aca="false">IF($D6753&lt;&gt;"","["&amp;$E6753&amp;"]"&amp;"|"&amp;$Q6753&amp;"|"&amp;$K6753&amp;"|"&amp;$G6753&amp;"|"&amp;IF($G6753="TX_CURR_SUBNAT.R","CY2022Q4",$M6753),"")</f>
        <v>[rpw540fmNUz]|15-24|Female|PLHIV_Residents.T2|CY2025Q3</v>
      </c>
    </row>
    <row r="6754" customFormat="false" ht="15" hidden="false" customHeight="false" outlineLevel="0" collapsed="false">
      <c r="D6754" s="0" t="s">
        <v>114</v>
      </c>
      <c r="E6754" s="0" t="s">
        <v>115</v>
      </c>
      <c r="F6754" s="0" t="s">
        <v>116</v>
      </c>
      <c r="G6754" s="0" t="s">
        <v>171</v>
      </c>
      <c r="H6754" s="0" t="s">
        <v>172</v>
      </c>
      <c r="I6754" s="0" t="s">
        <v>41</v>
      </c>
      <c r="J6754" s="0" t="s">
        <v>42</v>
      </c>
      <c r="K6754" s="0" t="s">
        <v>30</v>
      </c>
      <c r="L6754" s="0" t="s">
        <v>31</v>
      </c>
      <c r="M6754" s="0" t="s">
        <v>173</v>
      </c>
      <c r="N6754" s="0" t="n">
        <v>964</v>
      </c>
      <c r="O6754" s="10" t="n">
        <v>0.255976985674351</v>
      </c>
      <c r="P6754" s="10" t="n">
        <v>0.298559809103608</v>
      </c>
      <c r="Q6754" s="0" t="str">
        <f aca="false">SUBSTITUTE(SUBSTITUTE($I6754,CHAR(61),""),CHAR(34),"")</f>
        <v>25-34</v>
      </c>
      <c r="R6754" s="0" t="str">
        <f aca="false">IF($D6754&lt;&gt;"","["&amp;$E6754&amp;"]"&amp;"|"&amp;$Q6754&amp;"|"&amp;$K6754&amp;"|"&amp;$G6754&amp;"|"&amp;IF($G6754="TX_CURR_SUBNAT.R","CY2022Q4",$M6754),"")</f>
        <v>[rpw540fmNUz]|25-34|Female|PLHIV_Residents.T2|CY2025Q3</v>
      </c>
    </row>
    <row r="6755" customFormat="false" ht="15" hidden="false" customHeight="false" outlineLevel="0" collapsed="false">
      <c r="D6755" s="0" t="s">
        <v>114</v>
      </c>
      <c r="E6755" s="0" t="s">
        <v>115</v>
      </c>
      <c r="F6755" s="0" t="s">
        <v>116</v>
      </c>
      <c r="G6755" s="0" t="s">
        <v>171</v>
      </c>
      <c r="H6755" s="0" t="s">
        <v>172</v>
      </c>
      <c r="I6755" s="0" t="s">
        <v>43</v>
      </c>
      <c r="J6755" s="0" t="s">
        <v>44</v>
      </c>
      <c r="K6755" s="0" t="s">
        <v>30</v>
      </c>
      <c r="L6755" s="0" t="s">
        <v>31</v>
      </c>
      <c r="M6755" s="0" t="s">
        <v>173</v>
      </c>
      <c r="N6755" s="0" t="n">
        <v>1429</v>
      </c>
      <c r="O6755" s="10" t="n">
        <v>0.498692146968096</v>
      </c>
      <c r="P6755" s="10" t="n">
        <v>0.298559809103608</v>
      </c>
      <c r="Q6755" s="0" t="str">
        <f aca="false">SUBSTITUTE(SUBSTITUTE($I6755,CHAR(61),""),CHAR(34),"")</f>
        <v>35-49</v>
      </c>
      <c r="R6755" s="0" t="str">
        <f aca="false">IF($D6755&lt;&gt;"","["&amp;$E6755&amp;"]"&amp;"|"&amp;$Q6755&amp;"|"&amp;$K6755&amp;"|"&amp;$G6755&amp;"|"&amp;IF($G6755="TX_CURR_SUBNAT.R","CY2022Q4",$M6755),"")</f>
        <v>[rpw540fmNUz]|35-49|Female|PLHIV_Residents.T2|CY2025Q3</v>
      </c>
    </row>
    <row r="6756" customFormat="false" ht="15" hidden="false" customHeight="false" outlineLevel="0" collapsed="false">
      <c r="D6756" s="0" t="s">
        <v>114</v>
      </c>
      <c r="E6756" s="0" t="s">
        <v>115</v>
      </c>
      <c r="F6756" s="0" t="s">
        <v>116</v>
      </c>
      <c r="G6756" s="0" t="s">
        <v>171</v>
      </c>
      <c r="H6756" s="0" t="s">
        <v>172</v>
      </c>
      <c r="I6756" s="0" t="s">
        <v>45</v>
      </c>
      <c r="J6756" s="0" t="s">
        <v>46</v>
      </c>
      <c r="K6756" s="0" t="s">
        <v>30</v>
      </c>
      <c r="L6756" s="0" t="s">
        <v>31</v>
      </c>
      <c r="M6756" s="0" t="s">
        <v>173</v>
      </c>
      <c r="N6756" s="0" t="n">
        <v>1291</v>
      </c>
      <c r="O6756" s="10" t="n">
        <v>0.71655497723259</v>
      </c>
      <c r="P6756" s="10" t="n">
        <v>0.298559809103608</v>
      </c>
      <c r="Q6756" s="0" t="str">
        <f aca="false">SUBSTITUTE(SUBSTITUTE($I6756,CHAR(61),""),CHAR(34),"")</f>
        <v>50+</v>
      </c>
      <c r="R6756" s="0" t="str">
        <f aca="false">IF($D6756&lt;&gt;"","["&amp;$E6756&amp;"]"&amp;"|"&amp;$Q6756&amp;"|"&amp;$K6756&amp;"|"&amp;$G6756&amp;"|"&amp;IF($G6756="TX_CURR_SUBNAT.R","CY2022Q4",$M6756),"")</f>
        <v>[rpw540fmNUz]|50+|Female|PLHIV_Residents.T2|CY2025Q3</v>
      </c>
    </row>
    <row r="6757" customFormat="false" ht="15" hidden="false" customHeight="false" outlineLevel="0" collapsed="false">
      <c r="D6757" s="0" t="s">
        <v>114</v>
      </c>
      <c r="E6757" s="0" t="s">
        <v>115</v>
      </c>
      <c r="F6757" s="0" t="s">
        <v>116</v>
      </c>
      <c r="G6757" s="0" t="s">
        <v>171</v>
      </c>
      <c r="H6757" s="0" t="s">
        <v>172</v>
      </c>
      <c r="I6757" s="0" t="s">
        <v>28</v>
      </c>
      <c r="J6757" s="0" t="s">
        <v>29</v>
      </c>
      <c r="K6757" s="0" t="s">
        <v>48</v>
      </c>
      <c r="L6757" s="0" t="s">
        <v>49</v>
      </c>
      <c r="M6757" s="0" t="s">
        <v>173</v>
      </c>
      <c r="N6757" s="0" t="n">
        <v>1504</v>
      </c>
      <c r="O6757" s="10" t="n">
        <v>0.18591224658303</v>
      </c>
      <c r="P6757" s="10" t="n">
        <v>0.298559809103608</v>
      </c>
      <c r="Q6757" s="0" t="str">
        <f aca="false">SUBSTITUTE(SUBSTITUTE($I6757,CHAR(61),""),CHAR(34),"")</f>
        <v>&lt;01</v>
      </c>
      <c r="R6757" s="0" t="str">
        <f aca="false">IF($D6757&lt;&gt;"","["&amp;$E6757&amp;"]"&amp;"|"&amp;$Q6757&amp;"|"&amp;$K6757&amp;"|"&amp;$G6757&amp;"|"&amp;IF($G6757="TX_CURR_SUBNAT.R","CY2022Q4",$M6757),"")</f>
        <v>[rpw540fmNUz]|&lt;01|Male|PLHIV_Residents.T2|CY2025Q3</v>
      </c>
    </row>
    <row r="6758" customFormat="false" ht="15" hidden="false" customHeight="false" outlineLevel="0" collapsed="false">
      <c r="D6758" s="0" t="s">
        <v>114</v>
      </c>
      <c r="E6758" s="0" t="s">
        <v>115</v>
      </c>
      <c r="F6758" s="0" t="s">
        <v>116</v>
      </c>
      <c r="G6758" s="0" t="s">
        <v>171</v>
      </c>
      <c r="H6758" s="0" t="s">
        <v>172</v>
      </c>
      <c r="I6758" s="0" t="s">
        <v>33</v>
      </c>
      <c r="J6758" s="0" t="s">
        <v>34</v>
      </c>
      <c r="K6758" s="0" t="s">
        <v>48</v>
      </c>
      <c r="L6758" s="0" t="s">
        <v>49</v>
      </c>
      <c r="M6758" s="0" t="s">
        <v>173</v>
      </c>
      <c r="N6758" s="0" t="n">
        <v>1990</v>
      </c>
      <c r="O6758" s="10" t="n">
        <v>0.968881173990667</v>
      </c>
      <c r="P6758" s="10" t="n">
        <v>0.298559809103608</v>
      </c>
      <c r="Q6758" s="0" t="str">
        <f aca="false">SUBSTITUTE(SUBSTITUTE($I6758,CHAR(61),""),CHAR(34),"")</f>
        <v>01-09</v>
      </c>
      <c r="R6758" s="0" t="str">
        <f aca="false">IF($D6758&lt;&gt;"","["&amp;$E6758&amp;"]"&amp;"|"&amp;$Q6758&amp;"|"&amp;$K6758&amp;"|"&amp;$G6758&amp;"|"&amp;IF($G6758="TX_CURR_SUBNAT.R","CY2022Q4",$M6758),"")</f>
        <v>[rpw540fmNUz]|01-09|Male|PLHIV_Residents.T2|CY2025Q3</v>
      </c>
    </row>
    <row r="6759" customFormat="false" ht="15" hidden="false" customHeight="false" outlineLevel="0" collapsed="false">
      <c r="D6759" s="0" t="s">
        <v>114</v>
      </c>
      <c r="E6759" s="0" t="s">
        <v>115</v>
      </c>
      <c r="F6759" s="0" t="s">
        <v>116</v>
      </c>
      <c r="G6759" s="0" t="s">
        <v>171</v>
      </c>
      <c r="H6759" s="0" t="s">
        <v>172</v>
      </c>
      <c r="I6759" s="0" t="s">
        <v>36</v>
      </c>
      <c r="J6759" s="0" t="s">
        <v>37</v>
      </c>
      <c r="K6759" s="0" t="s">
        <v>48</v>
      </c>
      <c r="L6759" s="0" t="s">
        <v>49</v>
      </c>
      <c r="M6759" s="0" t="s">
        <v>173</v>
      </c>
      <c r="N6759" s="0" t="n">
        <v>509</v>
      </c>
      <c r="O6759" s="10" t="n">
        <v>0.390244510024786</v>
      </c>
      <c r="P6759" s="10" t="n">
        <v>0.298559809103608</v>
      </c>
      <c r="Q6759" s="0" t="str">
        <f aca="false">SUBSTITUTE(SUBSTITUTE($I6759,CHAR(61),""),CHAR(34),"")</f>
        <v>10-14</v>
      </c>
      <c r="R6759" s="0" t="str">
        <f aca="false">IF($D6759&lt;&gt;"","["&amp;$E6759&amp;"]"&amp;"|"&amp;$Q6759&amp;"|"&amp;$K6759&amp;"|"&amp;$G6759&amp;"|"&amp;IF($G6759="TX_CURR_SUBNAT.R","CY2022Q4",$M6759),"")</f>
        <v>[rpw540fmNUz]|10-14|Male|PLHIV_Residents.T2|CY2025Q3</v>
      </c>
    </row>
    <row r="6760" customFormat="false" ht="15" hidden="false" customHeight="false" outlineLevel="0" collapsed="false">
      <c r="D6760" s="0" t="s">
        <v>114</v>
      </c>
      <c r="E6760" s="0" t="s">
        <v>115</v>
      </c>
      <c r="F6760" s="0" t="s">
        <v>116</v>
      </c>
      <c r="G6760" s="0" t="s">
        <v>171</v>
      </c>
      <c r="H6760" s="0" t="s">
        <v>172</v>
      </c>
      <c r="I6760" s="0" t="s">
        <v>38</v>
      </c>
      <c r="J6760" s="0" t="s">
        <v>39</v>
      </c>
      <c r="K6760" s="0" t="s">
        <v>48</v>
      </c>
      <c r="L6760" s="0" t="s">
        <v>49</v>
      </c>
      <c r="M6760" s="0" t="s">
        <v>173</v>
      </c>
      <c r="N6760" s="0" t="n">
        <v>1489</v>
      </c>
      <c r="O6760" s="10" t="n">
        <v>0.614969677524641</v>
      </c>
      <c r="P6760" s="10" t="n">
        <v>0.298559809103608</v>
      </c>
      <c r="Q6760" s="0" t="str">
        <f aca="false">SUBSTITUTE(SUBSTITUTE($I6760,CHAR(61),""),CHAR(34),"")</f>
        <v>15-24</v>
      </c>
      <c r="R6760" s="0" t="str">
        <f aca="false">IF($D6760&lt;&gt;"","["&amp;$E6760&amp;"]"&amp;"|"&amp;$Q6760&amp;"|"&amp;$K6760&amp;"|"&amp;$G6760&amp;"|"&amp;IF($G6760="TX_CURR_SUBNAT.R","CY2022Q4",$M6760),"")</f>
        <v>[rpw540fmNUz]|15-24|Male|PLHIV_Residents.T2|CY2025Q3</v>
      </c>
    </row>
    <row r="6761" customFormat="false" ht="15" hidden="false" customHeight="false" outlineLevel="0" collapsed="false">
      <c r="D6761" s="0" t="s">
        <v>114</v>
      </c>
      <c r="E6761" s="0" t="s">
        <v>115</v>
      </c>
      <c r="F6761" s="0" t="s">
        <v>116</v>
      </c>
      <c r="G6761" s="0" t="s">
        <v>171</v>
      </c>
      <c r="H6761" s="0" t="s">
        <v>172</v>
      </c>
      <c r="I6761" s="0" t="s">
        <v>41</v>
      </c>
      <c r="J6761" s="0" t="s">
        <v>42</v>
      </c>
      <c r="K6761" s="0" t="s">
        <v>48</v>
      </c>
      <c r="L6761" s="0" t="s">
        <v>49</v>
      </c>
      <c r="M6761" s="0" t="s">
        <v>173</v>
      </c>
      <c r="N6761" s="0" t="n">
        <v>1730</v>
      </c>
      <c r="O6761" s="10" t="n">
        <v>0.3563299162779</v>
      </c>
      <c r="P6761" s="10" t="n">
        <v>0.298559809103608</v>
      </c>
      <c r="Q6761" s="0" t="str">
        <f aca="false">SUBSTITUTE(SUBSTITUTE($I6761,CHAR(61),""),CHAR(34),"")</f>
        <v>25-34</v>
      </c>
      <c r="R6761" s="0" t="str">
        <f aca="false">IF($D6761&lt;&gt;"","["&amp;$E6761&amp;"]"&amp;"|"&amp;$Q6761&amp;"|"&amp;$K6761&amp;"|"&amp;$G6761&amp;"|"&amp;IF($G6761="TX_CURR_SUBNAT.R","CY2022Q4",$M6761),"")</f>
        <v>[rpw540fmNUz]|25-34|Male|PLHIV_Residents.T2|CY2025Q3</v>
      </c>
    </row>
    <row r="6762" customFormat="false" ht="15" hidden="false" customHeight="false" outlineLevel="0" collapsed="false">
      <c r="D6762" s="0" t="s">
        <v>114</v>
      </c>
      <c r="E6762" s="0" t="s">
        <v>115</v>
      </c>
      <c r="F6762" s="0" t="s">
        <v>116</v>
      </c>
      <c r="G6762" s="0" t="s">
        <v>171</v>
      </c>
      <c r="H6762" s="0" t="s">
        <v>172</v>
      </c>
      <c r="I6762" s="0" t="s">
        <v>43</v>
      </c>
      <c r="J6762" s="0" t="s">
        <v>44</v>
      </c>
      <c r="K6762" s="0" t="s">
        <v>48</v>
      </c>
      <c r="L6762" s="0" t="s">
        <v>49</v>
      </c>
      <c r="M6762" s="0" t="s">
        <v>173</v>
      </c>
      <c r="N6762" s="0" t="n">
        <v>1109</v>
      </c>
      <c r="O6762" s="10" t="n">
        <v>0.200017888797447</v>
      </c>
      <c r="P6762" s="10" t="n">
        <v>0.298559809103608</v>
      </c>
      <c r="Q6762" s="0" t="str">
        <f aca="false">SUBSTITUTE(SUBSTITUTE($I6762,CHAR(61),""),CHAR(34),"")</f>
        <v>35-49</v>
      </c>
      <c r="R6762" s="0" t="str">
        <f aca="false">IF($D6762&lt;&gt;"","["&amp;$E6762&amp;"]"&amp;"|"&amp;$Q6762&amp;"|"&amp;$K6762&amp;"|"&amp;$G6762&amp;"|"&amp;IF($G6762="TX_CURR_SUBNAT.R","CY2022Q4",$M6762),"")</f>
        <v>[rpw540fmNUz]|35-49|Male|PLHIV_Residents.T2|CY2025Q3</v>
      </c>
    </row>
    <row r="6763" customFormat="false" ht="15" hidden="false" customHeight="false" outlineLevel="0" collapsed="false">
      <c r="D6763" s="0" t="s">
        <v>114</v>
      </c>
      <c r="E6763" s="0" t="s">
        <v>115</v>
      </c>
      <c r="F6763" s="0" t="s">
        <v>116</v>
      </c>
      <c r="G6763" s="0" t="s">
        <v>171</v>
      </c>
      <c r="H6763" s="0" t="s">
        <v>172</v>
      </c>
      <c r="I6763" s="0" t="s">
        <v>45</v>
      </c>
      <c r="J6763" s="0" t="s">
        <v>46</v>
      </c>
      <c r="K6763" s="0" t="s">
        <v>48</v>
      </c>
      <c r="L6763" s="0" t="s">
        <v>49</v>
      </c>
      <c r="M6763" s="0" t="s">
        <v>173</v>
      </c>
      <c r="N6763" s="0" t="n">
        <v>1666</v>
      </c>
      <c r="O6763" s="10" t="n">
        <v>0.349757105112076</v>
      </c>
      <c r="P6763" s="10" t="n">
        <v>0.298559809103608</v>
      </c>
      <c r="Q6763" s="0" t="str">
        <f aca="false">SUBSTITUTE(SUBSTITUTE($I6763,CHAR(61),""),CHAR(34),"")</f>
        <v>50+</v>
      </c>
      <c r="R6763" s="0" t="str">
        <f aca="false">IF($D6763&lt;&gt;"","["&amp;$E6763&amp;"]"&amp;"|"&amp;$Q6763&amp;"|"&amp;$K6763&amp;"|"&amp;$G6763&amp;"|"&amp;IF($G6763="TX_CURR_SUBNAT.R","CY2022Q4",$M6763),"")</f>
        <v>[rpw540fmNUz]|50+|Male|PLHIV_Residents.T2|CY2025Q3</v>
      </c>
    </row>
    <row r="6764" customFormat="false" ht="15" hidden="false" customHeight="false" outlineLevel="0" collapsed="false">
      <c r="D6764" s="0" t="s">
        <v>117</v>
      </c>
      <c r="E6764" s="0" t="s">
        <v>118</v>
      </c>
      <c r="F6764" s="0" t="s">
        <v>119</v>
      </c>
      <c r="G6764" s="0" t="s">
        <v>171</v>
      </c>
      <c r="H6764" s="0" t="s">
        <v>172</v>
      </c>
      <c r="I6764" s="0" t="s">
        <v>28</v>
      </c>
      <c r="J6764" s="0" t="s">
        <v>29</v>
      </c>
      <c r="K6764" s="0" t="s">
        <v>30</v>
      </c>
      <c r="L6764" s="0" t="s">
        <v>31</v>
      </c>
      <c r="M6764" s="0" t="s">
        <v>173</v>
      </c>
      <c r="N6764" s="0" t="n">
        <v>1267</v>
      </c>
      <c r="O6764" s="10" t="n">
        <v>0.217650854028761</v>
      </c>
      <c r="P6764" s="10" t="n">
        <v>0.206259709550068</v>
      </c>
      <c r="Q6764" s="0" t="str">
        <f aca="false">SUBSTITUTE(SUBSTITUTE($I6764,CHAR(61),""),CHAR(34),"")</f>
        <v>&lt;01</v>
      </c>
      <c r="R6764" s="0" t="str">
        <f aca="false">IF($D6764&lt;&gt;"","["&amp;$E6764&amp;"]"&amp;"|"&amp;$Q6764&amp;"|"&amp;$K6764&amp;"|"&amp;$G6764&amp;"|"&amp;IF($G6764="TX_CURR_SUBNAT.R","CY2022Q4",$M6764),"")</f>
        <v>[lPTyjLi4w3d]|&lt;01|Female|PLHIV_Residents.T2|CY2025Q3</v>
      </c>
    </row>
    <row r="6765" customFormat="false" ht="15" hidden="false" customHeight="false" outlineLevel="0" collapsed="false">
      <c r="D6765" s="0" t="s">
        <v>117</v>
      </c>
      <c r="E6765" s="0" t="s">
        <v>118</v>
      </c>
      <c r="F6765" s="0" t="s">
        <v>119</v>
      </c>
      <c r="G6765" s="0" t="s">
        <v>171</v>
      </c>
      <c r="H6765" s="0" t="s">
        <v>172</v>
      </c>
      <c r="I6765" s="0" t="s">
        <v>33</v>
      </c>
      <c r="J6765" s="0" t="s">
        <v>34</v>
      </c>
      <c r="K6765" s="0" t="s">
        <v>30</v>
      </c>
      <c r="L6765" s="0" t="s">
        <v>31</v>
      </c>
      <c r="M6765" s="0" t="s">
        <v>173</v>
      </c>
      <c r="N6765" s="0" t="n">
        <v>1451</v>
      </c>
      <c r="O6765" s="10" t="n">
        <v>0.0335624625440687</v>
      </c>
      <c r="P6765" s="10" t="n">
        <v>0.206259709550068</v>
      </c>
      <c r="Q6765" s="0" t="str">
        <f aca="false">SUBSTITUTE(SUBSTITUTE($I6765,CHAR(61),""),CHAR(34),"")</f>
        <v>01-09</v>
      </c>
      <c r="R6765" s="0" t="str">
        <f aca="false">IF($D6765&lt;&gt;"","["&amp;$E6765&amp;"]"&amp;"|"&amp;$Q6765&amp;"|"&amp;$K6765&amp;"|"&amp;$G6765&amp;"|"&amp;IF($G6765="TX_CURR_SUBNAT.R","CY2022Q4",$M6765),"")</f>
        <v>[lPTyjLi4w3d]|01-09|Female|PLHIV_Residents.T2|CY2025Q3</v>
      </c>
    </row>
    <row r="6766" customFormat="false" ht="15" hidden="false" customHeight="false" outlineLevel="0" collapsed="false">
      <c r="D6766" s="0" t="s">
        <v>117</v>
      </c>
      <c r="E6766" s="0" t="s">
        <v>118</v>
      </c>
      <c r="F6766" s="0" t="s">
        <v>119</v>
      </c>
      <c r="G6766" s="0" t="s">
        <v>171</v>
      </c>
      <c r="H6766" s="0" t="s">
        <v>172</v>
      </c>
      <c r="I6766" s="0" t="s">
        <v>36</v>
      </c>
      <c r="J6766" s="0" t="s">
        <v>37</v>
      </c>
      <c r="K6766" s="0" t="s">
        <v>30</v>
      </c>
      <c r="L6766" s="0" t="s">
        <v>31</v>
      </c>
      <c r="M6766" s="0" t="s">
        <v>173</v>
      </c>
      <c r="N6766" s="0" t="n">
        <v>1382</v>
      </c>
      <c r="O6766" s="10" t="n">
        <v>0.0453010522760451</v>
      </c>
      <c r="P6766" s="10" t="n">
        <v>0.206259709550068</v>
      </c>
      <c r="Q6766" s="0" t="str">
        <f aca="false">SUBSTITUTE(SUBSTITUTE($I6766,CHAR(61),""),CHAR(34),"")</f>
        <v>10-14</v>
      </c>
      <c r="R6766" s="0" t="str">
        <f aca="false">IF($D6766&lt;&gt;"","["&amp;$E6766&amp;"]"&amp;"|"&amp;$Q6766&amp;"|"&amp;$K6766&amp;"|"&amp;$G6766&amp;"|"&amp;IF($G6766="TX_CURR_SUBNAT.R","CY2022Q4",$M6766),"")</f>
        <v>[lPTyjLi4w3d]|10-14|Female|PLHIV_Residents.T2|CY2025Q3</v>
      </c>
    </row>
    <row r="6767" customFormat="false" ht="15" hidden="false" customHeight="false" outlineLevel="0" collapsed="false">
      <c r="D6767" s="0" t="s">
        <v>117</v>
      </c>
      <c r="E6767" s="0" t="s">
        <v>118</v>
      </c>
      <c r="F6767" s="0" t="s">
        <v>119</v>
      </c>
      <c r="G6767" s="0" t="s">
        <v>171</v>
      </c>
      <c r="H6767" s="0" t="s">
        <v>172</v>
      </c>
      <c r="I6767" s="0" t="s">
        <v>38</v>
      </c>
      <c r="J6767" s="0" t="s">
        <v>39</v>
      </c>
      <c r="K6767" s="0" t="s">
        <v>30</v>
      </c>
      <c r="L6767" s="0" t="s">
        <v>31</v>
      </c>
      <c r="M6767" s="0" t="s">
        <v>173</v>
      </c>
      <c r="N6767" s="0" t="n">
        <v>1529</v>
      </c>
      <c r="O6767" s="10" t="n">
        <v>0.702959089539945</v>
      </c>
      <c r="P6767" s="10" t="n">
        <v>0.206259709550068</v>
      </c>
      <c r="Q6767" s="0" t="str">
        <f aca="false">SUBSTITUTE(SUBSTITUTE($I6767,CHAR(61),""),CHAR(34),"")</f>
        <v>15-24</v>
      </c>
      <c r="R6767" s="0" t="str">
        <f aca="false">IF($D6767&lt;&gt;"","["&amp;$E6767&amp;"]"&amp;"|"&amp;$Q6767&amp;"|"&amp;$K6767&amp;"|"&amp;$G6767&amp;"|"&amp;IF($G6767="TX_CURR_SUBNAT.R","CY2022Q4",$M6767),"")</f>
        <v>[lPTyjLi4w3d]|15-24|Female|PLHIV_Residents.T2|CY2025Q3</v>
      </c>
    </row>
    <row r="6768" customFormat="false" ht="15" hidden="false" customHeight="false" outlineLevel="0" collapsed="false">
      <c r="D6768" s="0" t="s">
        <v>117</v>
      </c>
      <c r="E6768" s="0" t="s">
        <v>118</v>
      </c>
      <c r="F6768" s="0" t="s">
        <v>119</v>
      </c>
      <c r="G6768" s="0" t="s">
        <v>171</v>
      </c>
      <c r="H6768" s="0" t="s">
        <v>172</v>
      </c>
      <c r="I6768" s="0" t="s">
        <v>41</v>
      </c>
      <c r="J6768" s="0" t="s">
        <v>42</v>
      </c>
      <c r="K6768" s="0" t="s">
        <v>30</v>
      </c>
      <c r="L6768" s="0" t="s">
        <v>31</v>
      </c>
      <c r="M6768" s="0" t="s">
        <v>173</v>
      </c>
      <c r="N6768" s="0" t="n">
        <v>985</v>
      </c>
      <c r="O6768" s="10" t="n">
        <v>0.430828855372965</v>
      </c>
      <c r="P6768" s="10" t="n">
        <v>0.206259709550068</v>
      </c>
      <c r="Q6768" s="0" t="str">
        <f aca="false">SUBSTITUTE(SUBSTITUTE($I6768,CHAR(61),""),CHAR(34),"")</f>
        <v>25-34</v>
      </c>
      <c r="R6768" s="0" t="str">
        <f aca="false">IF($D6768&lt;&gt;"","["&amp;$E6768&amp;"]"&amp;"|"&amp;$Q6768&amp;"|"&amp;$K6768&amp;"|"&amp;$G6768&amp;"|"&amp;IF($G6768="TX_CURR_SUBNAT.R","CY2022Q4",$M6768),"")</f>
        <v>[lPTyjLi4w3d]|25-34|Female|PLHIV_Residents.T2|CY2025Q3</v>
      </c>
    </row>
    <row r="6769" customFormat="false" ht="15" hidden="false" customHeight="false" outlineLevel="0" collapsed="false">
      <c r="D6769" s="0" t="s">
        <v>117</v>
      </c>
      <c r="E6769" s="0" t="s">
        <v>118</v>
      </c>
      <c r="F6769" s="0" t="s">
        <v>119</v>
      </c>
      <c r="G6769" s="0" t="s">
        <v>171</v>
      </c>
      <c r="H6769" s="0" t="s">
        <v>172</v>
      </c>
      <c r="I6769" s="0" t="s">
        <v>43</v>
      </c>
      <c r="J6769" s="0" t="s">
        <v>44</v>
      </c>
      <c r="K6769" s="0" t="s">
        <v>30</v>
      </c>
      <c r="L6769" s="0" t="s">
        <v>31</v>
      </c>
      <c r="M6769" s="0" t="s">
        <v>173</v>
      </c>
      <c r="N6769" s="0" t="n">
        <v>1722</v>
      </c>
      <c r="O6769" s="10" t="n">
        <v>0.0107502450700849</v>
      </c>
      <c r="P6769" s="10" t="n">
        <v>0.206259709550068</v>
      </c>
      <c r="Q6769" s="0" t="str">
        <f aca="false">SUBSTITUTE(SUBSTITUTE($I6769,CHAR(61),""),CHAR(34),"")</f>
        <v>35-49</v>
      </c>
      <c r="R6769" s="0" t="str">
        <f aca="false">IF($D6769&lt;&gt;"","["&amp;$E6769&amp;"]"&amp;"|"&amp;$Q6769&amp;"|"&amp;$K6769&amp;"|"&amp;$G6769&amp;"|"&amp;IF($G6769="TX_CURR_SUBNAT.R","CY2022Q4",$M6769),"")</f>
        <v>[lPTyjLi4w3d]|35-49|Female|PLHIV_Residents.T2|CY2025Q3</v>
      </c>
    </row>
    <row r="6770" customFormat="false" ht="15" hidden="false" customHeight="false" outlineLevel="0" collapsed="false">
      <c r="D6770" s="0" t="s">
        <v>117</v>
      </c>
      <c r="E6770" s="0" t="s">
        <v>118</v>
      </c>
      <c r="F6770" s="0" t="s">
        <v>119</v>
      </c>
      <c r="G6770" s="0" t="s">
        <v>171</v>
      </c>
      <c r="H6770" s="0" t="s">
        <v>172</v>
      </c>
      <c r="I6770" s="0" t="s">
        <v>45</v>
      </c>
      <c r="J6770" s="0" t="s">
        <v>46</v>
      </c>
      <c r="K6770" s="0" t="s">
        <v>30</v>
      </c>
      <c r="L6770" s="0" t="s">
        <v>31</v>
      </c>
      <c r="M6770" s="0" t="s">
        <v>173</v>
      </c>
      <c r="N6770" s="0" t="n">
        <v>1865</v>
      </c>
      <c r="O6770" s="10" t="n">
        <v>0.465997622814029</v>
      </c>
      <c r="P6770" s="10" t="n">
        <v>0.206259709550068</v>
      </c>
      <c r="Q6770" s="0" t="str">
        <f aca="false">SUBSTITUTE(SUBSTITUTE($I6770,CHAR(61),""),CHAR(34),"")</f>
        <v>50+</v>
      </c>
      <c r="R6770" s="0" t="str">
        <f aca="false">IF($D6770&lt;&gt;"","["&amp;$E6770&amp;"]"&amp;"|"&amp;$Q6770&amp;"|"&amp;$K6770&amp;"|"&amp;$G6770&amp;"|"&amp;IF($G6770="TX_CURR_SUBNAT.R","CY2022Q4",$M6770),"")</f>
        <v>[lPTyjLi4w3d]|50+|Female|PLHIV_Residents.T2|CY2025Q3</v>
      </c>
    </row>
    <row r="6771" customFormat="false" ht="15" hidden="false" customHeight="false" outlineLevel="0" collapsed="false">
      <c r="D6771" s="0" t="s">
        <v>117</v>
      </c>
      <c r="E6771" s="0" t="s">
        <v>118</v>
      </c>
      <c r="F6771" s="0" t="s">
        <v>119</v>
      </c>
      <c r="G6771" s="0" t="s">
        <v>171</v>
      </c>
      <c r="H6771" s="0" t="s">
        <v>172</v>
      </c>
      <c r="I6771" s="0" t="s">
        <v>28</v>
      </c>
      <c r="J6771" s="0" t="s">
        <v>29</v>
      </c>
      <c r="K6771" s="0" t="s">
        <v>48</v>
      </c>
      <c r="L6771" s="0" t="s">
        <v>49</v>
      </c>
      <c r="M6771" s="0" t="s">
        <v>173</v>
      </c>
      <c r="N6771" s="0" t="n">
        <v>1247</v>
      </c>
      <c r="O6771" s="10" t="n">
        <v>0.68485873285681</v>
      </c>
      <c r="P6771" s="10" t="n">
        <v>0.206259709550068</v>
      </c>
      <c r="Q6771" s="0" t="str">
        <f aca="false">SUBSTITUTE(SUBSTITUTE($I6771,CHAR(61),""),CHAR(34),"")</f>
        <v>&lt;01</v>
      </c>
      <c r="R6771" s="0" t="str">
        <f aca="false">IF($D6771&lt;&gt;"","["&amp;$E6771&amp;"]"&amp;"|"&amp;$Q6771&amp;"|"&amp;$K6771&amp;"|"&amp;$G6771&amp;"|"&amp;IF($G6771="TX_CURR_SUBNAT.R","CY2022Q4",$M6771),"")</f>
        <v>[lPTyjLi4w3d]|&lt;01|Male|PLHIV_Residents.T2|CY2025Q3</v>
      </c>
    </row>
    <row r="6772" customFormat="false" ht="15" hidden="false" customHeight="false" outlineLevel="0" collapsed="false">
      <c r="D6772" s="0" t="s">
        <v>117</v>
      </c>
      <c r="E6772" s="0" t="s">
        <v>118</v>
      </c>
      <c r="F6772" s="0" t="s">
        <v>119</v>
      </c>
      <c r="G6772" s="0" t="s">
        <v>171</v>
      </c>
      <c r="H6772" s="0" t="s">
        <v>172</v>
      </c>
      <c r="I6772" s="0" t="s">
        <v>33</v>
      </c>
      <c r="J6772" s="0" t="s">
        <v>34</v>
      </c>
      <c r="K6772" s="0" t="s">
        <v>48</v>
      </c>
      <c r="L6772" s="0" t="s">
        <v>49</v>
      </c>
      <c r="M6772" s="0" t="s">
        <v>173</v>
      </c>
      <c r="N6772" s="0" t="n">
        <v>1218</v>
      </c>
      <c r="O6772" s="10" t="n">
        <v>0.321743016596884</v>
      </c>
      <c r="P6772" s="10" t="n">
        <v>0.206259709550068</v>
      </c>
      <c r="Q6772" s="0" t="str">
        <f aca="false">SUBSTITUTE(SUBSTITUTE($I6772,CHAR(61),""),CHAR(34),"")</f>
        <v>01-09</v>
      </c>
      <c r="R6772" s="0" t="str">
        <f aca="false">IF($D6772&lt;&gt;"","["&amp;$E6772&amp;"]"&amp;"|"&amp;$Q6772&amp;"|"&amp;$K6772&amp;"|"&amp;$G6772&amp;"|"&amp;IF($G6772="TX_CURR_SUBNAT.R","CY2022Q4",$M6772),"")</f>
        <v>[lPTyjLi4w3d]|01-09|Male|PLHIV_Residents.T2|CY2025Q3</v>
      </c>
    </row>
    <row r="6773" customFormat="false" ht="15" hidden="false" customHeight="false" outlineLevel="0" collapsed="false">
      <c r="D6773" s="0" t="s">
        <v>117</v>
      </c>
      <c r="E6773" s="0" t="s">
        <v>118</v>
      </c>
      <c r="F6773" s="0" t="s">
        <v>119</v>
      </c>
      <c r="G6773" s="0" t="s">
        <v>171</v>
      </c>
      <c r="H6773" s="0" t="s">
        <v>172</v>
      </c>
      <c r="I6773" s="0" t="s">
        <v>36</v>
      </c>
      <c r="J6773" s="0" t="s">
        <v>37</v>
      </c>
      <c r="K6773" s="0" t="s">
        <v>48</v>
      </c>
      <c r="L6773" s="0" t="s">
        <v>49</v>
      </c>
      <c r="M6773" s="0" t="s">
        <v>173</v>
      </c>
      <c r="N6773" s="0" t="n">
        <v>1959</v>
      </c>
      <c r="O6773" s="10" t="n">
        <v>0.752770195249468</v>
      </c>
      <c r="P6773" s="10" t="n">
        <v>0.206259709550068</v>
      </c>
      <c r="Q6773" s="0" t="str">
        <f aca="false">SUBSTITUTE(SUBSTITUTE($I6773,CHAR(61),""),CHAR(34),"")</f>
        <v>10-14</v>
      </c>
      <c r="R6773" s="0" t="str">
        <f aca="false">IF($D6773&lt;&gt;"","["&amp;$E6773&amp;"]"&amp;"|"&amp;$Q6773&amp;"|"&amp;$K6773&amp;"|"&amp;$G6773&amp;"|"&amp;IF($G6773="TX_CURR_SUBNAT.R","CY2022Q4",$M6773),"")</f>
        <v>[lPTyjLi4w3d]|10-14|Male|PLHIV_Residents.T2|CY2025Q3</v>
      </c>
    </row>
    <row r="6774" customFormat="false" ht="15" hidden="false" customHeight="false" outlineLevel="0" collapsed="false">
      <c r="D6774" s="0" t="s">
        <v>117</v>
      </c>
      <c r="E6774" s="0" t="s">
        <v>118</v>
      </c>
      <c r="F6774" s="0" t="s">
        <v>119</v>
      </c>
      <c r="G6774" s="0" t="s">
        <v>171</v>
      </c>
      <c r="H6774" s="0" t="s">
        <v>172</v>
      </c>
      <c r="I6774" s="0" t="s">
        <v>38</v>
      </c>
      <c r="J6774" s="0" t="s">
        <v>39</v>
      </c>
      <c r="K6774" s="0" t="s">
        <v>48</v>
      </c>
      <c r="L6774" s="0" t="s">
        <v>49</v>
      </c>
      <c r="M6774" s="0" t="s">
        <v>173</v>
      </c>
      <c r="N6774" s="0" t="n">
        <v>1028</v>
      </c>
      <c r="O6774" s="10" t="n">
        <v>0.799998054513708</v>
      </c>
      <c r="P6774" s="10" t="n">
        <v>0.206259709550068</v>
      </c>
      <c r="Q6774" s="0" t="str">
        <f aca="false">SUBSTITUTE(SUBSTITUTE($I6774,CHAR(61),""),CHAR(34),"")</f>
        <v>15-24</v>
      </c>
      <c r="R6774" s="0" t="str">
        <f aca="false">IF($D6774&lt;&gt;"","["&amp;$E6774&amp;"]"&amp;"|"&amp;$Q6774&amp;"|"&amp;$K6774&amp;"|"&amp;$G6774&amp;"|"&amp;IF($G6774="TX_CURR_SUBNAT.R","CY2022Q4",$M6774),"")</f>
        <v>[lPTyjLi4w3d]|15-24|Male|PLHIV_Residents.T2|CY2025Q3</v>
      </c>
    </row>
    <row r="6775" customFormat="false" ht="15" hidden="false" customHeight="false" outlineLevel="0" collapsed="false">
      <c r="D6775" s="0" t="s">
        <v>117</v>
      </c>
      <c r="E6775" s="0" t="s">
        <v>118</v>
      </c>
      <c r="F6775" s="0" t="s">
        <v>119</v>
      </c>
      <c r="G6775" s="0" t="s">
        <v>171</v>
      </c>
      <c r="H6775" s="0" t="s">
        <v>172</v>
      </c>
      <c r="I6775" s="0" t="s">
        <v>41</v>
      </c>
      <c r="J6775" s="0" t="s">
        <v>42</v>
      </c>
      <c r="K6775" s="0" t="s">
        <v>48</v>
      </c>
      <c r="L6775" s="0" t="s">
        <v>49</v>
      </c>
      <c r="M6775" s="0" t="s">
        <v>173</v>
      </c>
      <c r="N6775" s="0" t="n">
        <v>919</v>
      </c>
      <c r="O6775" s="10" t="n">
        <v>0.528892856556922</v>
      </c>
      <c r="P6775" s="10" t="n">
        <v>0.206259709550068</v>
      </c>
      <c r="Q6775" s="0" t="str">
        <f aca="false">SUBSTITUTE(SUBSTITUTE($I6775,CHAR(61),""),CHAR(34),"")</f>
        <v>25-34</v>
      </c>
      <c r="R6775" s="0" t="str">
        <f aca="false">IF($D6775&lt;&gt;"","["&amp;$E6775&amp;"]"&amp;"|"&amp;$Q6775&amp;"|"&amp;$K6775&amp;"|"&amp;$G6775&amp;"|"&amp;IF($G6775="TX_CURR_SUBNAT.R","CY2022Q4",$M6775),"")</f>
        <v>[lPTyjLi4w3d]|25-34|Male|PLHIV_Residents.T2|CY2025Q3</v>
      </c>
    </row>
    <row r="6776" customFormat="false" ht="15" hidden="false" customHeight="false" outlineLevel="0" collapsed="false">
      <c r="D6776" s="0" t="s">
        <v>117</v>
      </c>
      <c r="E6776" s="0" t="s">
        <v>118</v>
      </c>
      <c r="F6776" s="0" t="s">
        <v>119</v>
      </c>
      <c r="G6776" s="0" t="s">
        <v>171</v>
      </c>
      <c r="H6776" s="0" t="s">
        <v>172</v>
      </c>
      <c r="I6776" s="0" t="s">
        <v>43</v>
      </c>
      <c r="J6776" s="0" t="s">
        <v>44</v>
      </c>
      <c r="K6776" s="0" t="s">
        <v>48</v>
      </c>
      <c r="L6776" s="0" t="s">
        <v>49</v>
      </c>
      <c r="M6776" s="0" t="s">
        <v>173</v>
      </c>
      <c r="N6776" s="0" t="n">
        <v>576</v>
      </c>
      <c r="O6776" s="10" t="n">
        <v>0.935427293647081</v>
      </c>
      <c r="P6776" s="10" t="n">
        <v>0.206259709550068</v>
      </c>
      <c r="Q6776" s="0" t="str">
        <f aca="false">SUBSTITUTE(SUBSTITUTE($I6776,CHAR(61),""),CHAR(34),"")</f>
        <v>35-49</v>
      </c>
      <c r="R6776" s="0" t="str">
        <f aca="false">IF($D6776&lt;&gt;"","["&amp;$E6776&amp;"]"&amp;"|"&amp;$Q6776&amp;"|"&amp;$K6776&amp;"|"&amp;$G6776&amp;"|"&amp;IF($G6776="TX_CURR_SUBNAT.R","CY2022Q4",$M6776),"")</f>
        <v>[lPTyjLi4w3d]|35-49|Male|PLHIV_Residents.T2|CY2025Q3</v>
      </c>
    </row>
    <row r="6777" customFormat="false" ht="15" hidden="false" customHeight="false" outlineLevel="0" collapsed="false">
      <c r="D6777" s="0" t="s">
        <v>117</v>
      </c>
      <c r="E6777" s="0" t="s">
        <v>118</v>
      </c>
      <c r="F6777" s="0" t="s">
        <v>119</v>
      </c>
      <c r="G6777" s="0" t="s">
        <v>171</v>
      </c>
      <c r="H6777" s="0" t="s">
        <v>172</v>
      </c>
      <c r="I6777" s="0" t="s">
        <v>45</v>
      </c>
      <c r="J6777" s="0" t="s">
        <v>46</v>
      </c>
      <c r="K6777" s="0" t="s">
        <v>48</v>
      </c>
      <c r="L6777" s="0" t="s">
        <v>49</v>
      </c>
      <c r="M6777" s="0" t="s">
        <v>173</v>
      </c>
      <c r="N6777" s="0" t="n">
        <v>1140</v>
      </c>
      <c r="O6777" s="10" t="n">
        <v>0.0201324347872287</v>
      </c>
      <c r="P6777" s="10" t="n">
        <v>0.206259709550068</v>
      </c>
      <c r="Q6777" s="0" t="str">
        <f aca="false">SUBSTITUTE(SUBSTITUTE($I6777,CHAR(61),""),CHAR(34),"")</f>
        <v>50+</v>
      </c>
      <c r="R6777" s="0" t="str">
        <f aca="false">IF($D6777&lt;&gt;"","["&amp;$E6777&amp;"]"&amp;"|"&amp;$Q6777&amp;"|"&amp;$K6777&amp;"|"&amp;$G6777&amp;"|"&amp;IF($G6777="TX_CURR_SUBNAT.R","CY2022Q4",$M6777),"")</f>
        <v>[lPTyjLi4w3d]|50+|Male|PLHIV_Residents.T2|CY2025Q3</v>
      </c>
    </row>
    <row r="6778" customFormat="false" ht="15" hidden="false" customHeight="false" outlineLevel="0" collapsed="false">
      <c r="D6778" s="0" t="s">
        <v>120</v>
      </c>
      <c r="E6778" s="0" t="s">
        <v>121</v>
      </c>
      <c r="F6778" s="0" t="s">
        <v>122</v>
      </c>
      <c r="G6778" s="0" t="s">
        <v>171</v>
      </c>
      <c r="H6778" s="0" t="s">
        <v>172</v>
      </c>
      <c r="I6778" s="0" t="s">
        <v>28</v>
      </c>
      <c r="J6778" s="0" t="s">
        <v>29</v>
      </c>
      <c r="K6778" s="0" t="s">
        <v>30</v>
      </c>
      <c r="L6778" s="0" t="s">
        <v>31</v>
      </c>
      <c r="M6778" s="0" t="s">
        <v>173</v>
      </c>
      <c r="N6778" s="0" t="n">
        <v>785</v>
      </c>
      <c r="O6778" s="10" t="n">
        <v>0.277312559774145</v>
      </c>
      <c r="P6778" s="10" t="n">
        <v>0.430103979306296</v>
      </c>
      <c r="Q6778" s="0" t="str">
        <f aca="false">SUBSTITUTE(SUBSTITUTE($I6778,CHAR(61),""),CHAR(34),"")</f>
        <v>&lt;01</v>
      </c>
      <c r="R6778" s="0" t="str">
        <f aca="false">IF($D6778&lt;&gt;"","["&amp;$E6778&amp;"]"&amp;"|"&amp;$Q6778&amp;"|"&amp;$K6778&amp;"|"&amp;$G6778&amp;"|"&amp;IF($G6778="TX_CURR_SUBNAT.R","CY2022Q4",$M6778),"")</f>
        <v>[vA4NcHxfMBq]|&lt;01|Female|PLHIV_Residents.T2|CY2025Q3</v>
      </c>
    </row>
    <row r="6779" customFormat="false" ht="15" hidden="false" customHeight="false" outlineLevel="0" collapsed="false">
      <c r="D6779" s="0" t="s">
        <v>120</v>
      </c>
      <c r="E6779" s="0" t="s">
        <v>121</v>
      </c>
      <c r="F6779" s="0" t="s">
        <v>122</v>
      </c>
      <c r="G6779" s="0" t="s">
        <v>171</v>
      </c>
      <c r="H6779" s="0" t="s">
        <v>172</v>
      </c>
      <c r="I6779" s="0" t="s">
        <v>33</v>
      </c>
      <c r="J6779" s="0" t="s">
        <v>34</v>
      </c>
      <c r="K6779" s="0" t="s">
        <v>30</v>
      </c>
      <c r="L6779" s="0" t="s">
        <v>31</v>
      </c>
      <c r="M6779" s="0" t="s">
        <v>173</v>
      </c>
      <c r="N6779" s="0" t="n">
        <v>1894</v>
      </c>
      <c r="O6779" s="10" t="n">
        <v>0.509489717194811</v>
      </c>
      <c r="P6779" s="10" t="n">
        <v>0.430103979306296</v>
      </c>
      <c r="Q6779" s="0" t="str">
        <f aca="false">SUBSTITUTE(SUBSTITUTE($I6779,CHAR(61),""),CHAR(34),"")</f>
        <v>01-09</v>
      </c>
      <c r="R6779" s="0" t="str">
        <f aca="false">IF($D6779&lt;&gt;"","["&amp;$E6779&amp;"]"&amp;"|"&amp;$Q6779&amp;"|"&amp;$K6779&amp;"|"&amp;$G6779&amp;"|"&amp;IF($G6779="TX_CURR_SUBNAT.R","CY2022Q4",$M6779),"")</f>
        <v>[vA4NcHxfMBq]|01-09|Female|PLHIV_Residents.T2|CY2025Q3</v>
      </c>
    </row>
    <row r="6780" customFormat="false" ht="15" hidden="false" customHeight="false" outlineLevel="0" collapsed="false">
      <c r="D6780" s="0" t="s">
        <v>120</v>
      </c>
      <c r="E6780" s="0" t="s">
        <v>121</v>
      </c>
      <c r="F6780" s="0" t="s">
        <v>122</v>
      </c>
      <c r="G6780" s="0" t="s">
        <v>171</v>
      </c>
      <c r="H6780" s="0" t="s">
        <v>172</v>
      </c>
      <c r="I6780" s="0" t="s">
        <v>36</v>
      </c>
      <c r="J6780" s="0" t="s">
        <v>37</v>
      </c>
      <c r="K6780" s="0" t="s">
        <v>30</v>
      </c>
      <c r="L6780" s="0" t="s">
        <v>31</v>
      </c>
      <c r="M6780" s="0" t="s">
        <v>173</v>
      </c>
      <c r="N6780" s="0" t="n">
        <v>1973</v>
      </c>
      <c r="O6780" s="10" t="n">
        <v>0.918140577850863</v>
      </c>
      <c r="P6780" s="10" t="n">
        <v>0.430103979306296</v>
      </c>
      <c r="Q6780" s="0" t="str">
        <f aca="false">SUBSTITUTE(SUBSTITUTE($I6780,CHAR(61),""),CHAR(34),"")</f>
        <v>10-14</v>
      </c>
      <c r="R6780" s="0" t="str">
        <f aca="false">IF($D6780&lt;&gt;"","["&amp;$E6780&amp;"]"&amp;"|"&amp;$Q6780&amp;"|"&amp;$K6780&amp;"|"&amp;$G6780&amp;"|"&amp;IF($G6780="TX_CURR_SUBNAT.R","CY2022Q4",$M6780),"")</f>
        <v>[vA4NcHxfMBq]|10-14|Female|PLHIV_Residents.T2|CY2025Q3</v>
      </c>
    </row>
    <row r="6781" customFormat="false" ht="15" hidden="false" customHeight="false" outlineLevel="0" collapsed="false">
      <c r="D6781" s="0" t="s">
        <v>120</v>
      </c>
      <c r="E6781" s="0" t="s">
        <v>121</v>
      </c>
      <c r="F6781" s="0" t="s">
        <v>122</v>
      </c>
      <c r="G6781" s="0" t="s">
        <v>171</v>
      </c>
      <c r="H6781" s="0" t="s">
        <v>172</v>
      </c>
      <c r="I6781" s="0" t="s">
        <v>38</v>
      </c>
      <c r="J6781" s="0" t="s">
        <v>39</v>
      </c>
      <c r="K6781" s="0" t="s">
        <v>30</v>
      </c>
      <c r="L6781" s="0" t="s">
        <v>31</v>
      </c>
      <c r="M6781" s="0" t="s">
        <v>173</v>
      </c>
      <c r="N6781" s="0" t="n">
        <v>576</v>
      </c>
      <c r="O6781" s="10" t="n">
        <v>0.22781404806301</v>
      </c>
      <c r="P6781" s="10" t="n">
        <v>0.430103979306296</v>
      </c>
      <c r="Q6781" s="0" t="str">
        <f aca="false">SUBSTITUTE(SUBSTITUTE($I6781,CHAR(61),""),CHAR(34),"")</f>
        <v>15-24</v>
      </c>
      <c r="R6781" s="0" t="str">
        <f aca="false">IF($D6781&lt;&gt;"","["&amp;$E6781&amp;"]"&amp;"|"&amp;$Q6781&amp;"|"&amp;$K6781&amp;"|"&amp;$G6781&amp;"|"&amp;IF($G6781="TX_CURR_SUBNAT.R","CY2022Q4",$M6781),"")</f>
        <v>[vA4NcHxfMBq]|15-24|Female|PLHIV_Residents.T2|CY2025Q3</v>
      </c>
    </row>
    <row r="6782" customFormat="false" ht="15" hidden="false" customHeight="false" outlineLevel="0" collapsed="false">
      <c r="D6782" s="0" t="s">
        <v>120</v>
      </c>
      <c r="E6782" s="0" t="s">
        <v>121</v>
      </c>
      <c r="F6782" s="0" t="s">
        <v>122</v>
      </c>
      <c r="G6782" s="0" t="s">
        <v>171</v>
      </c>
      <c r="H6782" s="0" t="s">
        <v>172</v>
      </c>
      <c r="I6782" s="0" t="s">
        <v>41</v>
      </c>
      <c r="J6782" s="0" t="s">
        <v>42</v>
      </c>
      <c r="K6782" s="0" t="s">
        <v>30</v>
      </c>
      <c r="L6782" s="0" t="s">
        <v>31</v>
      </c>
      <c r="M6782" s="0" t="s">
        <v>173</v>
      </c>
      <c r="N6782" s="0" t="n">
        <v>1469</v>
      </c>
      <c r="O6782" s="10" t="n">
        <v>0.86548190517351</v>
      </c>
      <c r="P6782" s="10" t="n">
        <v>0.430103979306296</v>
      </c>
      <c r="Q6782" s="0" t="str">
        <f aca="false">SUBSTITUTE(SUBSTITUTE($I6782,CHAR(61),""),CHAR(34),"")</f>
        <v>25-34</v>
      </c>
      <c r="R6782" s="0" t="str">
        <f aca="false">IF($D6782&lt;&gt;"","["&amp;$E6782&amp;"]"&amp;"|"&amp;$Q6782&amp;"|"&amp;$K6782&amp;"|"&amp;$G6782&amp;"|"&amp;IF($G6782="TX_CURR_SUBNAT.R","CY2022Q4",$M6782),"")</f>
        <v>[vA4NcHxfMBq]|25-34|Female|PLHIV_Residents.T2|CY2025Q3</v>
      </c>
    </row>
    <row r="6783" customFormat="false" ht="15" hidden="false" customHeight="false" outlineLevel="0" collapsed="false">
      <c r="D6783" s="0" t="s">
        <v>120</v>
      </c>
      <c r="E6783" s="0" t="s">
        <v>121</v>
      </c>
      <c r="F6783" s="0" t="s">
        <v>122</v>
      </c>
      <c r="G6783" s="0" t="s">
        <v>171</v>
      </c>
      <c r="H6783" s="0" t="s">
        <v>172</v>
      </c>
      <c r="I6783" s="0" t="s">
        <v>43</v>
      </c>
      <c r="J6783" s="0" t="s">
        <v>44</v>
      </c>
      <c r="K6783" s="0" t="s">
        <v>30</v>
      </c>
      <c r="L6783" s="0" t="s">
        <v>31</v>
      </c>
      <c r="M6783" s="0" t="s">
        <v>173</v>
      </c>
      <c r="N6783" s="0" t="n">
        <v>1158</v>
      </c>
      <c r="O6783" s="10" t="n">
        <v>0.615029017440975</v>
      </c>
      <c r="P6783" s="10" t="n">
        <v>0.430103979306296</v>
      </c>
      <c r="Q6783" s="0" t="str">
        <f aca="false">SUBSTITUTE(SUBSTITUTE($I6783,CHAR(61),""),CHAR(34),"")</f>
        <v>35-49</v>
      </c>
      <c r="R6783" s="0" t="str">
        <f aca="false">IF($D6783&lt;&gt;"","["&amp;$E6783&amp;"]"&amp;"|"&amp;$Q6783&amp;"|"&amp;$K6783&amp;"|"&amp;$G6783&amp;"|"&amp;IF($G6783="TX_CURR_SUBNAT.R","CY2022Q4",$M6783),"")</f>
        <v>[vA4NcHxfMBq]|35-49|Female|PLHIV_Residents.T2|CY2025Q3</v>
      </c>
    </row>
    <row r="6784" customFormat="false" ht="15" hidden="false" customHeight="false" outlineLevel="0" collapsed="false">
      <c r="D6784" s="0" t="s">
        <v>120</v>
      </c>
      <c r="E6784" s="0" t="s">
        <v>121</v>
      </c>
      <c r="F6784" s="0" t="s">
        <v>122</v>
      </c>
      <c r="G6784" s="0" t="s">
        <v>171</v>
      </c>
      <c r="H6784" s="0" t="s">
        <v>172</v>
      </c>
      <c r="I6784" s="0" t="s">
        <v>45</v>
      </c>
      <c r="J6784" s="0" t="s">
        <v>46</v>
      </c>
      <c r="K6784" s="0" t="s">
        <v>30</v>
      </c>
      <c r="L6784" s="0" t="s">
        <v>31</v>
      </c>
      <c r="M6784" s="0" t="s">
        <v>173</v>
      </c>
      <c r="N6784" s="0" t="n">
        <v>1246</v>
      </c>
      <c r="O6784" s="10" t="n">
        <v>0.976758401142433</v>
      </c>
      <c r="P6784" s="10" t="n">
        <v>0.430103979306296</v>
      </c>
      <c r="Q6784" s="0" t="str">
        <f aca="false">SUBSTITUTE(SUBSTITUTE($I6784,CHAR(61),""),CHAR(34),"")</f>
        <v>50+</v>
      </c>
      <c r="R6784" s="0" t="str">
        <f aca="false">IF($D6784&lt;&gt;"","["&amp;$E6784&amp;"]"&amp;"|"&amp;$Q6784&amp;"|"&amp;$K6784&amp;"|"&amp;$G6784&amp;"|"&amp;IF($G6784="TX_CURR_SUBNAT.R","CY2022Q4",$M6784),"")</f>
        <v>[vA4NcHxfMBq]|50+|Female|PLHIV_Residents.T2|CY2025Q3</v>
      </c>
    </row>
    <row r="6785" customFormat="false" ht="15" hidden="false" customHeight="false" outlineLevel="0" collapsed="false">
      <c r="D6785" s="0" t="s">
        <v>120</v>
      </c>
      <c r="E6785" s="0" t="s">
        <v>121</v>
      </c>
      <c r="F6785" s="0" t="s">
        <v>122</v>
      </c>
      <c r="G6785" s="0" t="s">
        <v>171</v>
      </c>
      <c r="H6785" s="0" t="s">
        <v>172</v>
      </c>
      <c r="I6785" s="0" t="s">
        <v>28</v>
      </c>
      <c r="J6785" s="0" t="s">
        <v>29</v>
      </c>
      <c r="K6785" s="0" t="s">
        <v>48</v>
      </c>
      <c r="L6785" s="0" t="s">
        <v>49</v>
      </c>
      <c r="M6785" s="0" t="s">
        <v>173</v>
      </c>
      <c r="N6785" s="0" t="n">
        <v>1497</v>
      </c>
      <c r="O6785" s="10" t="n">
        <v>0.201292515965179</v>
      </c>
      <c r="P6785" s="10" t="n">
        <v>0.430103979306296</v>
      </c>
      <c r="Q6785" s="0" t="str">
        <f aca="false">SUBSTITUTE(SUBSTITUTE($I6785,CHAR(61),""),CHAR(34),"")</f>
        <v>&lt;01</v>
      </c>
      <c r="R6785" s="0" t="str">
        <f aca="false">IF($D6785&lt;&gt;"","["&amp;$E6785&amp;"]"&amp;"|"&amp;$Q6785&amp;"|"&amp;$K6785&amp;"|"&amp;$G6785&amp;"|"&amp;IF($G6785="TX_CURR_SUBNAT.R","CY2022Q4",$M6785),"")</f>
        <v>[vA4NcHxfMBq]|&lt;01|Male|PLHIV_Residents.T2|CY2025Q3</v>
      </c>
    </row>
    <row r="6786" customFormat="false" ht="15" hidden="false" customHeight="false" outlineLevel="0" collapsed="false">
      <c r="D6786" s="0" t="s">
        <v>120</v>
      </c>
      <c r="E6786" s="0" t="s">
        <v>121</v>
      </c>
      <c r="F6786" s="0" t="s">
        <v>122</v>
      </c>
      <c r="G6786" s="0" t="s">
        <v>171</v>
      </c>
      <c r="H6786" s="0" t="s">
        <v>172</v>
      </c>
      <c r="I6786" s="0" t="s">
        <v>33</v>
      </c>
      <c r="J6786" s="0" t="s">
        <v>34</v>
      </c>
      <c r="K6786" s="0" t="s">
        <v>48</v>
      </c>
      <c r="L6786" s="0" t="s">
        <v>49</v>
      </c>
      <c r="M6786" s="0" t="s">
        <v>173</v>
      </c>
      <c r="N6786" s="0" t="n">
        <v>610</v>
      </c>
      <c r="O6786" s="10" t="n">
        <v>0.711329766083509</v>
      </c>
      <c r="P6786" s="10" t="n">
        <v>0.430103979306296</v>
      </c>
      <c r="Q6786" s="0" t="str">
        <f aca="false">SUBSTITUTE(SUBSTITUTE($I6786,CHAR(61),""),CHAR(34),"")</f>
        <v>01-09</v>
      </c>
      <c r="R6786" s="0" t="str">
        <f aca="false">IF($D6786&lt;&gt;"","["&amp;$E6786&amp;"]"&amp;"|"&amp;$Q6786&amp;"|"&amp;$K6786&amp;"|"&amp;$G6786&amp;"|"&amp;IF($G6786="TX_CURR_SUBNAT.R","CY2022Q4",$M6786),"")</f>
        <v>[vA4NcHxfMBq]|01-09|Male|PLHIV_Residents.T2|CY2025Q3</v>
      </c>
    </row>
    <row r="6787" customFormat="false" ht="15" hidden="false" customHeight="false" outlineLevel="0" collapsed="false">
      <c r="D6787" s="0" t="s">
        <v>120</v>
      </c>
      <c r="E6787" s="0" t="s">
        <v>121</v>
      </c>
      <c r="F6787" s="0" t="s">
        <v>122</v>
      </c>
      <c r="G6787" s="0" t="s">
        <v>171</v>
      </c>
      <c r="H6787" s="0" t="s">
        <v>172</v>
      </c>
      <c r="I6787" s="0" t="s">
        <v>36</v>
      </c>
      <c r="J6787" s="0" t="s">
        <v>37</v>
      </c>
      <c r="K6787" s="0" t="s">
        <v>48</v>
      </c>
      <c r="L6787" s="0" t="s">
        <v>49</v>
      </c>
      <c r="M6787" s="0" t="s">
        <v>173</v>
      </c>
      <c r="N6787" s="0" t="n">
        <v>905</v>
      </c>
      <c r="O6787" s="10" t="n">
        <v>0.760881465626881</v>
      </c>
      <c r="P6787" s="10" t="n">
        <v>0.430103979306296</v>
      </c>
      <c r="Q6787" s="0" t="str">
        <f aca="false">SUBSTITUTE(SUBSTITUTE($I6787,CHAR(61),""),CHAR(34),"")</f>
        <v>10-14</v>
      </c>
      <c r="R6787" s="0" t="str">
        <f aca="false">IF($D6787&lt;&gt;"","["&amp;$E6787&amp;"]"&amp;"|"&amp;$Q6787&amp;"|"&amp;$K6787&amp;"|"&amp;$G6787&amp;"|"&amp;IF($G6787="TX_CURR_SUBNAT.R","CY2022Q4",$M6787),"")</f>
        <v>[vA4NcHxfMBq]|10-14|Male|PLHIV_Residents.T2|CY2025Q3</v>
      </c>
    </row>
    <row r="6788" customFormat="false" ht="15" hidden="false" customHeight="false" outlineLevel="0" collapsed="false">
      <c r="D6788" s="0" t="s">
        <v>120</v>
      </c>
      <c r="E6788" s="0" t="s">
        <v>121</v>
      </c>
      <c r="F6788" s="0" t="s">
        <v>122</v>
      </c>
      <c r="G6788" s="0" t="s">
        <v>171</v>
      </c>
      <c r="H6788" s="0" t="s">
        <v>172</v>
      </c>
      <c r="I6788" s="0" t="s">
        <v>38</v>
      </c>
      <c r="J6788" s="0" t="s">
        <v>39</v>
      </c>
      <c r="K6788" s="0" t="s">
        <v>48</v>
      </c>
      <c r="L6788" s="0" t="s">
        <v>49</v>
      </c>
      <c r="M6788" s="0" t="s">
        <v>173</v>
      </c>
      <c r="N6788" s="0" t="n">
        <v>1698</v>
      </c>
      <c r="O6788" s="10" t="n">
        <v>0.784483615309</v>
      </c>
      <c r="P6788" s="10" t="n">
        <v>0.430103979306296</v>
      </c>
      <c r="Q6788" s="0" t="str">
        <f aca="false">SUBSTITUTE(SUBSTITUTE($I6788,CHAR(61),""),CHAR(34),"")</f>
        <v>15-24</v>
      </c>
      <c r="R6788" s="0" t="str">
        <f aca="false">IF($D6788&lt;&gt;"","["&amp;$E6788&amp;"]"&amp;"|"&amp;$Q6788&amp;"|"&amp;$K6788&amp;"|"&amp;$G6788&amp;"|"&amp;IF($G6788="TX_CURR_SUBNAT.R","CY2022Q4",$M6788),"")</f>
        <v>[vA4NcHxfMBq]|15-24|Male|PLHIV_Residents.T2|CY2025Q3</v>
      </c>
    </row>
    <row r="6789" customFormat="false" ht="15" hidden="false" customHeight="false" outlineLevel="0" collapsed="false">
      <c r="D6789" s="0" t="s">
        <v>120</v>
      </c>
      <c r="E6789" s="0" t="s">
        <v>121</v>
      </c>
      <c r="F6789" s="0" t="s">
        <v>122</v>
      </c>
      <c r="G6789" s="0" t="s">
        <v>171</v>
      </c>
      <c r="H6789" s="0" t="s">
        <v>172</v>
      </c>
      <c r="I6789" s="0" t="s">
        <v>41</v>
      </c>
      <c r="J6789" s="0" t="s">
        <v>42</v>
      </c>
      <c r="K6789" s="0" t="s">
        <v>48</v>
      </c>
      <c r="L6789" s="0" t="s">
        <v>49</v>
      </c>
      <c r="M6789" s="0" t="s">
        <v>173</v>
      </c>
      <c r="N6789" s="0" t="n">
        <v>1276</v>
      </c>
      <c r="O6789" s="10" t="n">
        <v>0.14895900990814</v>
      </c>
      <c r="P6789" s="10" t="n">
        <v>0.430103979306296</v>
      </c>
      <c r="Q6789" s="0" t="str">
        <f aca="false">SUBSTITUTE(SUBSTITUTE($I6789,CHAR(61),""),CHAR(34),"")</f>
        <v>25-34</v>
      </c>
      <c r="R6789" s="0" t="str">
        <f aca="false">IF($D6789&lt;&gt;"","["&amp;$E6789&amp;"]"&amp;"|"&amp;$Q6789&amp;"|"&amp;$K6789&amp;"|"&amp;$G6789&amp;"|"&amp;IF($G6789="TX_CURR_SUBNAT.R","CY2022Q4",$M6789),"")</f>
        <v>[vA4NcHxfMBq]|25-34|Male|PLHIV_Residents.T2|CY2025Q3</v>
      </c>
    </row>
    <row r="6790" customFormat="false" ht="15" hidden="false" customHeight="false" outlineLevel="0" collapsed="false">
      <c r="D6790" s="0" t="s">
        <v>120</v>
      </c>
      <c r="E6790" s="0" t="s">
        <v>121</v>
      </c>
      <c r="F6790" s="0" t="s">
        <v>122</v>
      </c>
      <c r="G6790" s="0" t="s">
        <v>171</v>
      </c>
      <c r="H6790" s="0" t="s">
        <v>172</v>
      </c>
      <c r="I6790" s="0" t="s">
        <v>43</v>
      </c>
      <c r="J6790" s="0" t="s">
        <v>44</v>
      </c>
      <c r="K6790" s="0" t="s">
        <v>48</v>
      </c>
      <c r="L6790" s="0" t="s">
        <v>49</v>
      </c>
      <c r="M6790" s="0" t="s">
        <v>173</v>
      </c>
      <c r="N6790" s="0" t="n">
        <v>1474</v>
      </c>
      <c r="O6790" s="10" t="n">
        <v>0.943532470148057</v>
      </c>
      <c r="P6790" s="10" t="n">
        <v>0.430103979306296</v>
      </c>
      <c r="Q6790" s="0" t="str">
        <f aca="false">SUBSTITUTE(SUBSTITUTE($I6790,CHAR(61),""),CHAR(34),"")</f>
        <v>35-49</v>
      </c>
      <c r="R6790" s="0" t="str">
        <f aca="false">IF($D6790&lt;&gt;"","["&amp;$E6790&amp;"]"&amp;"|"&amp;$Q6790&amp;"|"&amp;$K6790&amp;"|"&amp;$G6790&amp;"|"&amp;IF($G6790="TX_CURR_SUBNAT.R","CY2022Q4",$M6790),"")</f>
        <v>[vA4NcHxfMBq]|35-49|Male|PLHIV_Residents.T2|CY2025Q3</v>
      </c>
    </row>
    <row r="6791" customFormat="false" ht="15" hidden="false" customHeight="false" outlineLevel="0" collapsed="false">
      <c r="D6791" s="0" t="s">
        <v>120</v>
      </c>
      <c r="E6791" s="0" t="s">
        <v>121</v>
      </c>
      <c r="F6791" s="0" t="s">
        <v>122</v>
      </c>
      <c r="G6791" s="0" t="s">
        <v>171</v>
      </c>
      <c r="H6791" s="0" t="s">
        <v>172</v>
      </c>
      <c r="I6791" s="0" t="s">
        <v>45</v>
      </c>
      <c r="J6791" s="0" t="s">
        <v>46</v>
      </c>
      <c r="K6791" s="0" t="s">
        <v>48</v>
      </c>
      <c r="L6791" s="0" t="s">
        <v>49</v>
      </c>
      <c r="M6791" s="0" t="s">
        <v>173</v>
      </c>
      <c r="N6791" s="0" t="n">
        <v>1356</v>
      </c>
      <c r="O6791" s="10" t="n">
        <v>0.183260440826416</v>
      </c>
      <c r="P6791" s="10" t="n">
        <v>0.430103979306296</v>
      </c>
      <c r="Q6791" s="0" t="str">
        <f aca="false">SUBSTITUTE(SUBSTITUTE($I6791,CHAR(61),""),CHAR(34),"")</f>
        <v>50+</v>
      </c>
      <c r="R6791" s="0" t="str">
        <f aca="false">IF($D6791&lt;&gt;"","["&amp;$E6791&amp;"]"&amp;"|"&amp;$Q6791&amp;"|"&amp;$K6791&amp;"|"&amp;$G6791&amp;"|"&amp;IF($G6791="TX_CURR_SUBNAT.R","CY2022Q4",$M6791),"")</f>
        <v>[vA4NcHxfMBq]|50+|Male|PLHIV_Residents.T2|CY2025Q3</v>
      </c>
    </row>
    <row r="6792" customFormat="false" ht="15" hidden="false" customHeight="false" outlineLevel="0" collapsed="false">
      <c r="D6792" s="0" t="s">
        <v>123</v>
      </c>
      <c r="E6792" s="0" t="s">
        <v>124</v>
      </c>
      <c r="F6792" s="0" t="s">
        <v>125</v>
      </c>
      <c r="G6792" s="0" t="s">
        <v>171</v>
      </c>
      <c r="H6792" s="0" t="s">
        <v>172</v>
      </c>
      <c r="I6792" s="0" t="s">
        <v>28</v>
      </c>
      <c r="J6792" s="0" t="s">
        <v>29</v>
      </c>
      <c r="K6792" s="0" t="s">
        <v>30</v>
      </c>
      <c r="L6792" s="0" t="s">
        <v>31</v>
      </c>
      <c r="M6792" s="0" t="s">
        <v>173</v>
      </c>
      <c r="N6792" s="0" t="n">
        <v>779</v>
      </c>
      <c r="O6792" s="10" t="n">
        <v>0.356458028545603</v>
      </c>
      <c r="P6792" s="10" t="n">
        <v>0.419500603340566</v>
      </c>
      <c r="Q6792" s="0" t="str">
        <f aca="false">SUBSTITUTE(SUBSTITUTE($I6792,CHAR(61),""),CHAR(34),"")</f>
        <v>&lt;01</v>
      </c>
      <c r="R6792" s="0" t="str">
        <f aca="false">IF($D6792&lt;&gt;"","["&amp;$E6792&amp;"]"&amp;"|"&amp;$Q6792&amp;"|"&amp;$K6792&amp;"|"&amp;$G6792&amp;"|"&amp;IF($G6792="TX_CURR_SUBNAT.R","CY2022Q4",$M6792),"")</f>
        <v>[E7zpfyBt7Tw]|&lt;01|Female|PLHIV_Residents.T2|CY2025Q3</v>
      </c>
    </row>
    <row r="6793" customFormat="false" ht="15" hidden="false" customHeight="false" outlineLevel="0" collapsed="false">
      <c r="D6793" s="0" t="s">
        <v>123</v>
      </c>
      <c r="E6793" s="0" t="s">
        <v>124</v>
      </c>
      <c r="F6793" s="0" t="s">
        <v>125</v>
      </c>
      <c r="G6793" s="0" t="s">
        <v>171</v>
      </c>
      <c r="H6793" s="0" t="s">
        <v>172</v>
      </c>
      <c r="I6793" s="0" t="s">
        <v>33</v>
      </c>
      <c r="J6793" s="0" t="s">
        <v>34</v>
      </c>
      <c r="K6793" s="0" t="s">
        <v>30</v>
      </c>
      <c r="L6793" s="0" t="s">
        <v>31</v>
      </c>
      <c r="M6793" s="0" t="s">
        <v>173</v>
      </c>
      <c r="N6793" s="0" t="n">
        <v>908</v>
      </c>
      <c r="O6793" s="10" t="n">
        <v>0.733973992988467</v>
      </c>
      <c r="P6793" s="10" t="n">
        <v>0.419500603340566</v>
      </c>
      <c r="Q6793" s="0" t="str">
        <f aca="false">SUBSTITUTE(SUBSTITUTE($I6793,CHAR(61),""),CHAR(34),"")</f>
        <v>01-09</v>
      </c>
      <c r="R6793" s="0" t="str">
        <f aca="false">IF($D6793&lt;&gt;"","["&amp;$E6793&amp;"]"&amp;"|"&amp;$Q6793&amp;"|"&amp;$K6793&amp;"|"&amp;$G6793&amp;"|"&amp;IF($G6793="TX_CURR_SUBNAT.R","CY2022Q4",$M6793),"")</f>
        <v>[E7zpfyBt7Tw]|01-09|Female|PLHIV_Residents.T2|CY2025Q3</v>
      </c>
    </row>
    <row r="6794" customFormat="false" ht="15" hidden="false" customHeight="false" outlineLevel="0" collapsed="false">
      <c r="D6794" s="0" t="s">
        <v>123</v>
      </c>
      <c r="E6794" s="0" t="s">
        <v>124</v>
      </c>
      <c r="F6794" s="0" t="s">
        <v>125</v>
      </c>
      <c r="G6794" s="0" t="s">
        <v>171</v>
      </c>
      <c r="H6794" s="0" t="s">
        <v>172</v>
      </c>
      <c r="I6794" s="0" t="s">
        <v>36</v>
      </c>
      <c r="J6794" s="0" t="s">
        <v>37</v>
      </c>
      <c r="K6794" s="0" t="s">
        <v>30</v>
      </c>
      <c r="L6794" s="0" t="s">
        <v>31</v>
      </c>
      <c r="M6794" s="0" t="s">
        <v>173</v>
      </c>
      <c r="N6794" s="0" t="n">
        <v>1345</v>
      </c>
      <c r="O6794" s="10" t="n">
        <v>0.282469756668434</v>
      </c>
      <c r="P6794" s="10" t="n">
        <v>0.419500603340566</v>
      </c>
      <c r="Q6794" s="0" t="str">
        <f aca="false">SUBSTITUTE(SUBSTITUTE($I6794,CHAR(61),""),CHAR(34),"")</f>
        <v>10-14</v>
      </c>
      <c r="R6794" s="0" t="str">
        <f aca="false">IF($D6794&lt;&gt;"","["&amp;$E6794&amp;"]"&amp;"|"&amp;$Q6794&amp;"|"&amp;$K6794&amp;"|"&amp;$G6794&amp;"|"&amp;IF($G6794="TX_CURR_SUBNAT.R","CY2022Q4",$M6794),"")</f>
        <v>[E7zpfyBt7Tw]|10-14|Female|PLHIV_Residents.T2|CY2025Q3</v>
      </c>
    </row>
    <row r="6795" customFormat="false" ht="15" hidden="false" customHeight="false" outlineLevel="0" collapsed="false">
      <c r="D6795" s="0" t="s">
        <v>123</v>
      </c>
      <c r="E6795" s="0" t="s">
        <v>124</v>
      </c>
      <c r="F6795" s="0" t="s">
        <v>125</v>
      </c>
      <c r="G6795" s="0" t="s">
        <v>171</v>
      </c>
      <c r="H6795" s="0" t="s">
        <v>172</v>
      </c>
      <c r="I6795" s="0" t="s">
        <v>38</v>
      </c>
      <c r="J6795" s="0" t="s">
        <v>39</v>
      </c>
      <c r="K6795" s="0" t="s">
        <v>30</v>
      </c>
      <c r="L6795" s="0" t="s">
        <v>31</v>
      </c>
      <c r="M6795" s="0" t="s">
        <v>173</v>
      </c>
      <c r="N6795" s="0" t="n">
        <v>1152</v>
      </c>
      <c r="O6795" s="10" t="n">
        <v>0.59158247243613</v>
      </c>
      <c r="P6795" s="10" t="n">
        <v>0.419500603340566</v>
      </c>
      <c r="Q6795" s="0" t="str">
        <f aca="false">SUBSTITUTE(SUBSTITUTE($I6795,CHAR(61),""),CHAR(34),"")</f>
        <v>15-24</v>
      </c>
      <c r="R6795" s="0" t="str">
        <f aca="false">IF($D6795&lt;&gt;"","["&amp;$E6795&amp;"]"&amp;"|"&amp;$Q6795&amp;"|"&amp;$K6795&amp;"|"&amp;$G6795&amp;"|"&amp;IF($G6795="TX_CURR_SUBNAT.R","CY2022Q4",$M6795),"")</f>
        <v>[E7zpfyBt7Tw]|15-24|Female|PLHIV_Residents.T2|CY2025Q3</v>
      </c>
    </row>
    <row r="6796" customFormat="false" ht="15" hidden="false" customHeight="false" outlineLevel="0" collapsed="false">
      <c r="D6796" s="0" t="s">
        <v>123</v>
      </c>
      <c r="E6796" s="0" t="s">
        <v>124</v>
      </c>
      <c r="F6796" s="0" t="s">
        <v>125</v>
      </c>
      <c r="G6796" s="0" t="s">
        <v>171</v>
      </c>
      <c r="H6796" s="0" t="s">
        <v>172</v>
      </c>
      <c r="I6796" s="0" t="s">
        <v>41</v>
      </c>
      <c r="J6796" s="0" t="s">
        <v>42</v>
      </c>
      <c r="K6796" s="0" t="s">
        <v>30</v>
      </c>
      <c r="L6796" s="0" t="s">
        <v>31</v>
      </c>
      <c r="M6796" s="0" t="s">
        <v>173</v>
      </c>
      <c r="N6796" s="0" t="n">
        <v>1149</v>
      </c>
      <c r="O6796" s="10" t="n">
        <v>0.0200053339358419</v>
      </c>
      <c r="P6796" s="10" t="n">
        <v>0.419500603340566</v>
      </c>
      <c r="Q6796" s="0" t="str">
        <f aca="false">SUBSTITUTE(SUBSTITUTE($I6796,CHAR(61),""),CHAR(34),"")</f>
        <v>25-34</v>
      </c>
      <c r="R6796" s="0" t="str">
        <f aca="false">IF($D6796&lt;&gt;"","["&amp;$E6796&amp;"]"&amp;"|"&amp;$Q6796&amp;"|"&amp;$K6796&amp;"|"&amp;$G6796&amp;"|"&amp;IF($G6796="TX_CURR_SUBNAT.R","CY2022Q4",$M6796),"")</f>
        <v>[E7zpfyBt7Tw]|25-34|Female|PLHIV_Residents.T2|CY2025Q3</v>
      </c>
    </row>
    <row r="6797" customFormat="false" ht="15" hidden="false" customHeight="false" outlineLevel="0" collapsed="false">
      <c r="D6797" s="0" t="s">
        <v>123</v>
      </c>
      <c r="E6797" s="0" t="s">
        <v>124</v>
      </c>
      <c r="F6797" s="0" t="s">
        <v>125</v>
      </c>
      <c r="G6797" s="0" t="s">
        <v>171</v>
      </c>
      <c r="H6797" s="0" t="s">
        <v>172</v>
      </c>
      <c r="I6797" s="0" t="s">
        <v>43</v>
      </c>
      <c r="J6797" s="0" t="s">
        <v>44</v>
      </c>
      <c r="K6797" s="0" t="s">
        <v>30</v>
      </c>
      <c r="L6797" s="0" t="s">
        <v>31</v>
      </c>
      <c r="M6797" s="0" t="s">
        <v>173</v>
      </c>
      <c r="N6797" s="0" t="n">
        <v>1051</v>
      </c>
      <c r="O6797" s="10" t="n">
        <v>0.781382529065013</v>
      </c>
      <c r="P6797" s="10" t="n">
        <v>0.419500603340566</v>
      </c>
      <c r="Q6797" s="0" t="str">
        <f aca="false">SUBSTITUTE(SUBSTITUTE($I6797,CHAR(61),""),CHAR(34),"")</f>
        <v>35-49</v>
      </c>
      <c r="R6797" s="0" t="str">
        <f aca="false">IF($D6797&lt;&gt;"","["&amp;$E6797&amp;"]"&amp;"|"&amp;$Q6797&amp;"|"&amp;$K6797&amp;"|"&amp;$G6797&amp;"|"&amp;IF($G6797="TX_CURR_SUBNAT.R","CY2022Q4",$M6797),"")</f>
        <v>[E7zpfyBt7Tw]|35-49|Female|PLHIV_Residents.T2|CY2025Q3</v>
      </c>
    </row>
    <row r="6798" customFormat="false" ht="15" hidden="false" customHeight="false" outlineLevel="0" collapsed="false">
      <c r="D6798" s="0" t="s">
        <v>123</v>
      </c>
      <c r="E6798" s="0" t="s">
        <v>124</v>
      </c>
      <c r="F6798" s="0" t="s">
        <v>125</v>
      </c>
      <c r="G6798" s="0" t="s">
        <v>171</v>
      </c>
      <c r="H6798" s="0" t="s">
        <v>172</v>
      </c>
      <c r="I6798" s="0" t="s">
        <v>45</v>
      </c>
      <c r="J6798" s="0" t="s">
        <v>46</v>
      </c>
      <c r="K6798" s="0" t="s">
        <v>30</v>
      </c>
      <c r="L6798" s="0" t="s">
        <v>31</v>
      </c>
      <c r="M6798" s="0" t="s">
        <v>173</v>
      </c>
      <c r="N6798" s="0" t="n">
        <v>1512</v>
      </c>
      <c r="O6798" s="10" t="n">
        <v>0.165327286813408</v>
      </c>
      <c r="P6798" s="10" t="n">
        <v>0.419500603340566</v>
      </c>
      <c r="Q6798" s="0" t="str">
        <f aca="false">SUBSTITUTE(SUBSTITUTE($I6798,CHAR(61),""),CHAR(34),"")</f>
        <v>50+</v>
      </c>
      <c r="R6798" s="0" t="str">
        <f aca="false">IF($D6798&lt;&gt;"","["&amp;$E6798&amp;"]"&amp;"|"&amp;$Q6798&amp;"|"&amp;$K6798&amp;"|"&amp;$G6798&amp;"|"&amp;IF($G6798="TX_CURR_SUBNAT.R","CY2022Q4",$M6798),"")</f>
        <v>[E7zpfyBt7Tw]|50+|Female|PLHIV_Residents.T2|CY2025Q3</v>
      </c>
    </row>
    <row r="6799" customFormat="false" ht="15" hidden="false" customHeight="false" outlineLevel="0" collapsed="false">
      <c r="D6799" s="0" t="s">
        <v>123</v>
      </c>
      <c r="E6799" s="0" t="s">
        <v>124</v>
      </c>
      <c r="F6799" s="0" t="s">
        <v>125</v>
      </c>
      <c r="G6799" s="0" t="s">
        <v>171</v>
      </c>
      <c r="H6799" s="0" t="s">
        <v>172</v>
      </c>
      <c r="I6799" s="0" t="s">
        <v>28</v>
      </c>
      <c r="J6799" s="0" t="s">
        <v>29</v>
      </c>
      <c r="K6799" s="0" t="s">
        <v>48</v>
      </c>
      <c r="L6799" s="0" t="s">
        <v>49</v>
      </c>
      <c r="M6799" s="0" t="s">
        <v>173</v>
      </c>
      <c r="N6799" s="0" t="n">
        <v>986</v>
      </c>
      <c r="O6799" s="10" t="n">
        <v>0.304570951964706</v>
      </c>
      <c r="P6799" s="10" t="n">
        <v>0.419500603340566</v>
      </c>
      <c r="Q6799" s="0" t="str">
        <f aca="false">SUBSTITUTE(SUBSTITUTE($I6799,CHAR(61),""),CHAR(34),"")</f>
        <v>&lt;01</v>
      </c>
      <c r="R6799" s="0" t="str">
        <f aca="false">IF($D6799&lt;&gt;"","["&amp;$E6799&amp;"]"&amp;"|"&amp;$Q6799&amp;"|"&amp;$K6799&amp;"|"&amp;$G6799&amp;"|"&amp;IF($G6799="TX_CURR_SUBNAT.R","CY2022Q4",$M6799),"")</f>
        <v>[E7zpfyBt7Tw]|&lt;01|Male|PLHIV_Residents.T2|CY2025Q3</v>
      </c>
    </row>
    <row r="6800" customFormat="false" ht="15" hidden="false" customHeight="false" outlineLevel="0" collapsed="false">
      <c r="D6800" s="0" t="s">
        <v>123</v>
      </c>
      <c r="E6800" s="0" t="s">
        <v>124</v>
      </c>
      <c r="F6800" s="0" t="s">
        <v>125</v>
      </c>
      <c r="G6800" s="0" t="s">
        <v>171</v>
      </c>
      <c r="H6800" s="0" t="s">
        <v>172</v>
      </c>
      <c r="I6800" s="0" t="s">
        <v>33</v>
      </c>
      <c r="J6800" s="0" t="s">
        <v>34</v>
      </c>
      <c r="K6800" s="0" t="s">
        <v>48</v>
      </c>
      <c r="L6800" s="0" t="s">
        <v>49</v>
      </c>
      <c r="M6800" s="0" t="s">
        <v>173</v>
      </c>
      <c r="N6800" s="0" t="n">
        <v>1845</v>
      </c>
      <c r="O6800" s="10" t="n">
        <v>0.810133200138807</v>
      </c>
      <c r="P6800" s="10" t="n">
        <v>0.419500603340566</v>
      </c>
      <c r="Q6800" s="0" t="str">
        <f aca="false">SUBSTITUTE(SUBSTITUTE($I6800,CHAR(61),""),CHAR(34),"")</f>
        <v>01-09</v>
      </c>
      <c r="R6800" s="0" t="str">
        <f aca="false">IF($D6800&lt;&gt;"","["&amp;$E6800&amp;"]"&amp;"|"&amp;$Q6800&amp;"|"&amp;$K6800&amp;"|"&amp;$G6800&amp;"|"&amp;IF($G6800="TX_CURR_SUBNAT.R","CY2022Q4",$M6800),"")</f>
        <v>[E7zpfyBt7Tw]|01-09|Male|PLHIV_Residents.T2|CY2025Q3</v>
      </c>
    </row>
    <row r="6801" customFormat="false" ht="15" hidden="false" customHeight="false" outlineLevel="0" collapsed="false">
      <c r="D6801" s="0" t="s">
        <v>123</v>
      </c>
      <c r="E6801" s="0" t="s">
        <v>124</v>
      </c>
      <c r="F6801" s="0" t="s">
        <v>125</v>
      </c>
      <c r="G6801" s="0" t="s">
        <v>171</v>
      </c>
      <c r="H6801" s="0" t="s">
        <v>172</v>
      </c>
      <c r="I6801" s="0" t="s">
        <v>36</v>
      </c>
      <c r="J6801" s="0" t="s">
        <v>37</v>
      </c>
      <c r="K6801" s="0" t="s">
        <v>48</v>
      </c>
      <c r="L6801" s="0" t="s">
        <v>49</v>
      </c>
      <c r="M6801" s="0" t="s">
        <v>173</v>
      </c>
      <c r="N6801" s="0" t="n">
        <v>1839</v>
      </c>
      <c r="O6801" s="10" t="n">
        <v>0.691945740953088</v>
      </c>
      <c r="P6801" s="10" t="n">
        <v>0.419500603340566</v>
      </c>
      <c r="Q6801" s="0" t="str">
        <f aca="false">SUBSTITUTE(SUBSTITUTE($I6801,CHAR(61),""),CHAR(34),"")</f>
        <v>10-14</v>
      </c>
      <c r="R6801" s="0" t="str">
        <f aca="false">IF($D6801&lt;&gt;"","["&amp;$E6801&amp;"]"&amp;"|"&amp;$Q6801&amp;"|"&amp;$K6801&amp;"|"&amp;$G6801&amp;"|"&amp;IF($G6801="TX_CURR_SUBNAT.R","CY2022Q4",$M6801),"")</f>
        <v>[E7zpfyBt7Tw]|10-14|Male|PLHIV_Residents.T2|CY2025Q3</v>
      </c>
    </row>
    <row r="6802" customFormat="false" ht="15" hidden="false" customHeight="false" outlineLevel="0" collapsed="false">
      <c r="D6802" s="0" t="s">
        <v>123</v>
      </c>
      <c r="E6802" s="0" t="s">
        <v>124</v>
      </c>
      <c r="F6802" s="0" t="s">
        <v>125</v>
      </c>
      <c r="G6802" s="0" t="s">
        <v>171</v>
      </c>
      <c r="H6802" s="0" t="s">
        <v>172</v>
      </c>
      <c r="I6802" s="0" t="s">
        <v>38</v>
      </c>
      <c r="J6802" s="0" t="s">
        <v>39</v>
      </c>
      <c r="K6802" s="0" t="s">
        <v>48</v>
      </c>
      <c r="L6802" s="0" t="s">
        <v>49</v>
      </c>
      <c r="M6802" s="0" t="s">
        <v>173</v>
      </c>
      <c r="N6802" s="0" t="n">
        <v>1512</v>
      </c>
      <c r="O6802" s="10" t="n">
        <v>0.434753124602139</v>
      </c>
      <c r="P6802" s="10" t="n">
        <v>0.419500603340566</v>
      </c>
      <c r="Q6802" s="0" t="str">
        <f aca="false">SUBSTITUTE(SUBSTITUTE($I6802,CHAR(61),""),CHAR(34),"")</f>
        <v>15-24</v>
      </c>
      <c r="R6802" s="0" t="str">
        <f aca="false">IF($D6802&lt;&gt;"","["&amp;$E6802&amp;"]"&amp;"|"&amp;$Q6802&amp;"|"&amp;$K6802&amp;"|"&amp;$G6802&amp;"|"&amp;IF($G6802="TX_CURR_SUBNAT.R","CY2022Q4",$M6802),"")</f>
        <v>[E7zpfyBt7Tw]|15-24|Male|PLHIV_Residents.T2|CY2025Q3</v>
      </c>
    </row>
    <row r="6803" customFormat="false" ht="15" hidden="false" customHeight="false" outlineLevel="0" collapsed="false">
      <c r="D6803" s="0" t="s">
        <v>123</v>
      </c>
      <c r="E6803" s="0" t="s">
        <v>124</v>
      </c>
      <c r="F6803" s="0" t="s">
        <v>125</v>
      </c>
      <c r="G6803" s="0" t="s">
        <v>171</v>
      </c>
      <c r="H6803" s="0" t="s">
        <v>172</v>
      </c>
      <c r="I6803" s="0" t="s">
        <v>41</v>
      </c>
      <c r="J6803" s="0" t="s">
        <v>42</v>
      </c>
      <c r="K6803" s="0" t="s">
        <v>48</v>
      </c>
      <c r="L6803" s="0" t="s">
        <v>49</v>
      </c>
      <c r="M6803" s="0" t="s">
        <v>173</v>
      </c>
      <c r="N6803" s="0" t="n">
        <v>615</v>
      </c>
      <c r="O6803" s="10" t="n">
        <v>0.965178665937856</v>
      </c>
      <c r="P6803" s="10" t="n">
        <v>0.419500603340566</v>
      </c>
      <c r="Q6803" s="0" t="str">
        <f aca="false">SUBSTITUTE(SUBSTITUTE($I6803,CHAR(61),""),CHAR(34),"")</f>
        <v>25-34</v>
      </c>
      <c r="R6803" s="0" t="str">
        <f aca="false">IF($D6803&lt;&gt;"","["&amp;$E6803&amp;"]"&amp;"|"&amp;$Q6803&amp;"|"&amp;$K6803&amp;"|"&amp;$G6803&amp;"|"&amp;IF($G6803="TX_CURR_SUBNAT.R","CY2022Q4",$M6803),"")</f>
        <v>[E7zpfyBt7Tw]|25-34|Male|PLHIV_Residents.T2|CY2025Q3</v>
      </c>
    </row>
    <row r="6804" customFormat="false" ht="15" hidden="false" customHeight="false" outlineLevel="0" collapsed="false">
      <c r="D6804" s="0" t="s">
        <v>123</v>
      </c>
      <c r="E6804" s="0" t="s">
        <v>124</v>
      </c>
      <c r="F6804" s="0" t="s">
        <v>125</v>
      </c>
      <c r="G6804" s="0" t="s">
        <v>171</v>
      </c>
      <c r="H6804" s="0" t="s">
        <v>172</v>
      </c>
      <c r="I6804" s="0" t="s">
        <v>43</v>
      </c>
      <c r="J6804" s="0" t="s">
        <v>44</v>
      </c>
      <c r="K6804" s="0" t="s">
        <v>48</v>
      </c>
      <c r="L6804" s="0" t="s">
        <v>49</v>
      </c>
      <c r="M6804" s="0" t="s">
        <v>173</v>
      </c>
      <c r="N6804" s="0" t="n">
        <v>1678</v>
      </c>
      <c r="O6804" s="10" t="n">
        <v>0.419489157851785</v>
      </c>
      <c r="P6804" s="10" t="n">
        <v>0.419500603340566</v>
      </c>
      <c r="Q6804" s="0" t="str">
        <f aca="false">SUBSTITUTE(SUBSTITUTE($I6804,CHAR(61),""),CHAR(34),"")</f>
        <v>35-49</v>
      </c>
      <c r="R6804" s="0" t="str">
        <f aca="false">IF($D6804&lt;&gt;"","["&amp;$E6804&amp;"]"&amp;"|"&amp;$Q6804&amp;"|"&amp;$K6804&amp;"|"&amp;$G6804&amp;"|"&amp;IF($G6804="TX_CURR_SUBNAT.R","CY2022Q4",$M6804),"")</f>
        <v>[E7zpfyBt7Tw]|35-49|Male|PLHIV_Residents.T2|CY2025Q3</v>
      </c>
    </row>
    <row r="6805" customFormat="false" ht="15" hidden="false" customHeight="false" outlineLevel="0" collapsed="false">
      <c r="D6805" s="0" t="s">
        <v>123</v>
      </c>
      <c r="E6805" s="0" t="s">
        <v>124</v>
      </c>
      <c r="F6805" s="0" t="s">
        <v>125</v>
      </c>
      <c r="G6805" s="0" t="s">
        <v>171</v>
      </c>
      <c r="H6805" s="0" t="s">
        <v>172</v>
      </c>
      <c r="I6805" s="0" t="s">
        <v>45</v>
      </c>
      <c r="J6805" s="0" t="s">
        <v>46</v>
      </c>
      <c r="K6805" s="0" t="s">
        <v>48</v>
      </c>
      <c r="L6805" s="0" t="s">
        <v>49</v>
      </c>
      <c r="M6805" s="0" t="s">
        <v>173</v>
      </c>
      <c r="N6805" s="0" t="n">
        <v>783</v>
      </c>
      <c r="O6805" s="10" t="n">
        <v>0.926282603060827</v>
      </c>
      <c r="P6805" s="10" t="n">
        <v>0.419500603340566</v>
      </c>
      <c r="Q6805" s="0" t="str">
        <f aca="false">SUBSTITUTE(SUBSTITUTE($I6805,CHAR(61),""),CHAR(34),"")</f>
        <v>50+</v>
      </c>
      <c r="R6805" s="0" t="str">
        <f aca="false">IF($D6805&lt;&gt;"","["&amp;$E6805&amp;"]"&amp;"|"&amp;$Q6805&amp;"|"&amp;$K6805&amp;"|"&amp;$G6805&amp;"|"&amp;IF($G6805="TX_CURR_SUBNAT.R","CY2022Q4",$M6805),"")</f>
        <v>[E7zpfyBt7Tw]|50+|Male|PLHIV_Residents.T2|CY2025Q3</v>
      </c>
    </row>
    <row r="6806" customFormat="false" ht="15" hidden="false" customHeight="false" outlineLevel="0" collapsed="false">
      <c r="D6806" s="0" t="s">
        <v>126</v>
      </c>
      <c r="E6806" s="0" t="s">
        <v>127</v>
      </c>
      <c r="F6806" s="0" t="s">
        <v>128</v>
      </c>
      <c r="G6806" s="0" t="s">
        <v>171</v>
      </c>
      <c r="H6806" s="0" t="s">
        <v>172</v>
      </c>
      <c r="I6806" s="0" t="s">
        <v>28</v>
      </c>
      <c r="J6806" s="0" t="s">
        <v>29</v>
      </c>
      <c r="K6806" s="0" t="s">
        <v>30</v>
      </c>
      <c r="L6806" s="0" t="s">
        <v>31</v>
      </c>
      <c r="M6806" s="0" t="s">
        <v>173</v>
      </c>
      <c r="N6806" s="0" t="n">
        <v>1208</v>
      </c>
      <c r="O6806" s="10" t="n">
        <v>0.238453153287992</v>
      </c>
      <c r="P6806" s="10" t="n">
        <v>0.252706390339881</v>
      </c>
      <c r="Q6806" s="0" t="str">
        <f aca="false">SUBSTITUTE(SUBSTITUTE($I6806,CHAR(61),""),CHAR(34),"")</f>
        <v>&lt;01</v>
      </c>
      <c r="R6806" s="0" t="str">
        <f aca="false">IF($D6806&lt;&gt;"","["&amp;$E6806&amp;"]"&amp;"|"&amp;$Q6806&amp;"|"&amp;$K6806&amp;"|"&amp;$G6806&amp;"|"&amp;IF($G6806="TX_CURR_SUBNAT.R","CY2022Q4",$M6806),"")</f>
        <v>[ZCjuwgaMB9u]|&lt;01|Female|PLHIV_Residents.T2|CY2025Q3</v>
      </c>
    </row>
    <row r="6807" customFormat="false" ht="15" hidden="false" customHeight="false" outlineLevel="0" collapsed="false">
      <c r="D6807" s="0" t="s">
        <v>126</v>
      </c>
      <c r="E6807" s="0" t="s">
        <v>127</v>
      </c>
      <c r="F6807" s="0" t="s">
        <v>128</v>
      </c>
      <c r="G6807" s="0" t="s">
        <v>171</v>
      </c>
      <c r="H6807" s="0" t="s">
        <v>172</v>
      </c>
      <c r="I6807" s="0" t="s">
        <v>33</v>
      </c>
      <c r="J6807" s="0" t="s">
        <v>34</v>
      </c>
      <c r="K6807" s="0" t="s">
        <v>30</v>
      </c>
      <c r="L6807" s="0" t="s">
        <v>31</v>
      </c>
      <c r="M6807" s="0" t="s">
        <v>173</v>
      </c>
      <c r="N6807" s="0" t="n">
        <v>1712</v>
      </c>
      <c r="O6807" s="10" t="n">
        <v>0.493766569765285</v>
      </c>
      <c r="P6807" s="10" t="n">
        <v>0.252706390339881</v>
      </c>
      <c r="Q6807" s="0" t="str">
        <f aca="false">SUBSTITUTE(SUBSTITUTE($I6807,CHAR(61),""),CHAR(34),"")</f>
        <v>01-09</v>
      </c>
      <c r="R6807" s="0" t="str">
        <f aca="false">IF($D6807&lt;&gt;"","["&amp;$E6807&amp;"]"&amp;"|"&amp;$Q6807&amp;"|"&amp;$K6807&amp;"|"&amp;$G6807&amp;"|"&amp;IF($G6807="TX_CURR_SUBNAT.R","CY2022Q4",$M6807),"")</f>
        <v>[ZCjuwgaMB9u]|01-09|Female|PLHIV_Residents.T2|CY2025Q3</v>
      </c>
    </row>
    <row r="6808" customFormat="false" ht="15" hidden="false" customHeight="false" outlineLevel="0" collapsed="false">
      <c r="D6808" s="0" t="s">
        <v>126</v>
      </c>
      <c r="E6808" s="0" t="s">
        <v>127</v>
      </c>
      <c r="F6808" s="0" t="s">
        <v>128</v>
      </c>
      <c r="G6808" s="0" t="s">
        <v>171</v>
      </c>
      <c r="H6808" s="0" t="s">
        <v>172</v>
      </c>
      <c r="I6808" s="0" t="s">
        <v>36</v>
      </c>
      <c r="J6808" s="0" t="s">
        <v>37</v>
      </c>
      <c r="K6808" s="0" t="s">
        <v>30</v>
      </c>
      <c r="L6808" s="0" t="s">
        <v>31</v>
      </c>
      <c r="M6808" s="0" t="s">
        <v>173</v>
      </c>
      <c r="N6808" s="0" t="n">
        <v>1592</v>
      </c>
      <c r="O6808" s="10" t="n">
        <v>0.291335718007758</v>
      </c>
      <c r="P6808" s="10" t="n">
        <v>0.252706390339881</v>
      </c>
      <c r="Q6808" s="0" t="str">
        <f aca="false">SUBSTITUTE(SUBSTITUTE($I6808,CHAR(61),""),CHAR(34),"")</f>
        <v>10-14</v>
      </c>
      <c r="R6808" s="0" t="str">
        <f aca="false">IF($D6808&lt;&gt;"","["&amp;$E6808&amp;"]"&amp;"|"&amp;$Q6808&amp;"|"&amp;$K6808&amp;"|"&amp;$G6808&amp;"|"&amp;IF($G6808="TX_CURR_SUBNAT.R","CY2022Q4",$M6808),"")</f>
        <v>[ZCjuwgaMB9u]|10-14|Female|PLHIV_Residents.T2|CY2025Q3</v>
      </c>
    </row>
    <row r="6809" customFormat="false" ht="15" hidden="false" customHeight="false" outlineLevel="0" collapsed="false">
      <c r="D6809" s="0" t="s">
        <v>126</v>
      </c>
      <c r="E6809" s="0" t="s">
        <v>127</v>
      </c>
      <c r="F6809" s="0" t="s">
        <v>128</v>
      </c>
      <c r="G6809" s="0" t="s">
        <v>171</v>
      </c>
      <c r="H6809" s="0" t="s">
        <v>172</v>
      </c>
      <c r="I6809" s="0" t="s">
        <v>38</v>
      </c>
      <c r="J6809" s="0" t="s">
        <v>39</v>
      </c>
      <c r="K6809" s="0" t="s">
        <v>30</v>
      </c>
      <c r="L6809" s="0" t="s">
        <v>31</v>
      </c>
      <c r="M6809" s="0" t="s">
        <v>173</v>
      </c>
      <c r="N6809" s="0" t="n">
        <v>1423</v>
      </c>
      <c r="O6809" s="10" t="n">
        <v>0.590494383126497</v>
      </c>
      <c r="P6809" s="10" t="n">
        <v>0.252706390339881</v>
      </c>
      <c r="Q6809" s="0" t="str">
        <f aca="false">SUBSTITUTE(SUBSTITUTE($I6809,CHAR(61),""),CHAR(34),"")</f>
        <v>15-24</v>
      </c>
      <c r="R6809" s="0" t="str">
        <f aca="false">IF($D6809&lt;&gt;"","["&amp;$E6809&amp;"]"&amp;"|"&amp;$Q6809&amp;"|"&amp;$K6809&amp;"|"&amp;$G6809&amp;"|"&amp;IF($G6809="TX_CURR_SUBNAT.R","CY2022Q4",$M6809),"")</f>
        <v>[ZCjuwgaMB9u]|15-24|Female|PLHIV_Residents.T2|CY2025Q3</v>
      </c>
    </row>
    <row r="6810" customFormat="false" ht="15" hidden="false" customHeight="false" outlineLevel="0" collapsed="false">
      <c r="D6810" s="0" t="s">
        <v>126</v>
      </c>
      <c r="E6810" s="0" t="s">
        <v>127</v>
      </c>
      <c r="F6810" s="0" t="s">
        <v>128</v>
      </c>
      <c r="G6810" s="0" t="s">
        <v>171</v>
      </c>
      <c r="H6810" s="0" t="s">
        <v>172</v>
      </c>
      <c r="I6810" s="0" t="s">
        <v>41</v>
      </c>
      <c r="J6810" s="0" t="s">
        <v>42</v>
      </c>
      <c r="K6810" s="0" t="s">
        <v>30</v>
      </c>
      <c r="L6810" s="0" t="s">
        <v>31</v>
      </c>
      <c r="M6810" s="0" t="s">
        <v>173</v>
      </c>
      <c r="N6810" s="0" t="n">
        <v>1060</v>
      </c>
      <c r="O6810" s="10" t="n">
        <v>0.311144752660766</v>
      </c>
      <c r="P6810" s="10" t="n">
        <v>0.252706390339881</v>
      </c>
      <c r="Q6810" s="0" t="str">
        <f aca="false">SUBSTITUTE(SUBSTITUTE($I6810,CHAR(61),""),CHAR(34),"")</f>
        <v>25-34</v>
      </c>
      <c r="R6810" s="0" t="str">
        <f aca="false">IF($D6810&lt;&gt;"","["&amp;$E6810&amp;"]"&amp;"|"&amp;$Q6810&amp;"|"&amp;$K6810&amp;"|"&amp;$G6810&amp;"|"&amp;IF($G6810="TX_CURR_SUBNAT.R","CY2022Q4",$M6810),"")</f>
        <v>[ZCjuwgaMB9u]|25-34|Female|PLHIV_Residents.T2|CY2025Q3</v>
      </c>
    </row>
    <row r="6811" customFormat="false" ht="15" hidden="false" customHeight="false" outlineLevel="0" collapsed="false">
      <c r="D6811" s="0" t="s">
        <v>126</v>
      </c>
      <c r="E6811" s="0" t="s">
        <v>127</v>
      </c>
      <c r="F6811" s="0" t="s">
        <v>128</v>
      </c>
      <c r="G6811" s="0" t="s">
        <v>171</v>
      </c>
      <c r="H6811" s="0" t="s">
        <v>172</v>
      </c>
      <c r="I6811" s="0" t="s">
        <v>43</v>
      </c>
      <c r="J6811" s="0" t="s">
        <v>44</v>
      </c>
      <c r="K6811" s="0" t="s">
        <v>30</v>
      </c>
      <c r="L6811" s="0" t="s">
        <v>31</v>
      </c>
      <c r="M6811" s="0" t="s">
        <v>173</v>
      </c>
      <c r="N6811" s="0" t="n">
        <v>1454</v>
      </c>
      <c r="O6811" s="10" t="n">
        <v>0.302854157285765</v>
      </c>
      <c r="P6811" s="10" t="n">
        <v>0.252706390339881</v>
      </c>
      <c r="Q6811" s="0" t="str">
        <f aca="false">SUBSTITUTE(SUBSTITUTE($I6811,CHAR(61),""),CHAR(34),"")</f>
        <v>35-49</v>
      </c>
      <c r="R6811" s="0" t="str">
        <f aca="false">IF($D6811&lt;&gt;"","["&amp;$E6811&amp;"]"&amp;"|"&amp;$Q6811&amp;"|"&amp;$K6811&amp;"|"&amp;$G6811&amp;"|"&amp;IF($G6811="TX_CURR_SUBNAT.R","CY2022Q4",$M6811),"")</f>
        <v>[ZCjuwgaMB9u]|35-49|Female|PLHIV_Residents.T2|CY2025Q3</v>
      </c>
    </row>
    <row r="6812" customFormat="false" ht="15" hidden="false" customHeight="false" outlineLevel="0" collapsed="false">
      <c r="D6812" s="0" t="s">
        <v>126</v>
      </c>
      <c r="E6812" s="0" t="s">
        <v>127</v>
      </c>
      <c r="F6812" s="0" t="s">
        <v>128</v>
      </c>
      <c r="G6812" s="0" t="s">
        <v>171</v>
      </c>
      <c r="H6812" s="0" t="s">
        <v>172</v>
      </c>
      <c r="I6812" s="0" t="s">
        <v>45</v>
      </c>
      <c r="J6812" s="0" t="s">
        <v>46</v>
      </c>
      <c r="K6812" s="0" t="s">
        <v>30</v>
      </c>
      <c r="L6812" s="0" t="s">
        <v>31</v>
      </c>
      <c r="M6812" s="0" t="s">
        <v>173</v>
      </c>
      <c r="N6812" s="0" t="n">
        <v>971</v>
      </c>
      <c r="O6812" s="10" t="n">
        <v>0.892873262986541</v>
      </c>
      <c r="P6812" s="10" t="n">
        <v>0.252706390339881</v>
      </c>
      <c r="Q6812" s="0" t="str">
        <f aca="false">SUBSTITUTE(SUBSTITUTE($I6812,CHAR(61),""),CHAR(34),"")</f>
        <v>50+</v>
      </c>
      <c r="R6812" s="0" t="str">
        <f aca="false">IF($D6812&lt;&gt;"","["&amp;$E6812&amp;"]"&amp;"|"&amp;$Q6812&amp;"|"&amp;$K6812&amp;"|"&amp;$G6812&amp;"|"&amp;IF($G6812="TX_CURR_SUBNAT.R","CY2022Q4",$M6812),"")</f>
        <v>[ZCjuwgaMB9u]|50+|Female|PLHIV_Residents.T2|CY2025Q3</v>
      </c>
    </row>
    <row r="6813" customFormat="false" ht="15" hidden="false" customHeight="false" outlineLevel="0" collapsed="false">
      <c r="D6813" s="0" t="s">
        <v>126</v>
      </c>
      <c r="E6813" s="0" t="s">
        <v>127</v>
      </c>
      <c r="F6813" s="0" t="s">
        <v>128</v>
      </c>
      <c r="G6813" s="0" t="s">
        <v>171</v>
      </c>
      <c r="H6813" s="0" t="s">
        <v>172</v>
      </c>
      <c r="I6813" s="0" t="s">
        <v>28</v>
      </c>
      <c r="J6813" s="0" t="s">
        <v>29</v>
      </c>
      <c r="K6813" s="0" t="s">
        <v>48</v>
      </c>
      <c r="L6813" s="0" t="s">
        <v>49</v>
      </c>
      <c r="M6813" s="0" t="s">
        <v>173</v>
      </c>
      <c r="N6813" s="0" t="n">
        <v>715</v>
      </c>
      <c r="O6813" s="10" t="n">
        <v>0.888471369165927</v>
      </c>
      <c r="P6813" s="10" t="n">
        <v>0.252706390339881</v>
      </c>
      <c r="Q6813" s="0" t="str">
        <f aca="false">SUBSTITUTE(SUBSTITUTE($I6813,CHAR(61),""),CHAR(34),"")</f>
        <v>&lt;01</v>
      </c>
      <c r="R6813" s="0" t="str">
        <f aca="false">IF($D6813&lt;&gt;"","["&amp;$E6813&amp;"]"&amp;"|"&amp;$Q6813&amp;"|"&amp;$K6813&amp;"|"&amp;$G6813&amp;"|"&amp;IF($G6813="TX_CURR_SUBNAT.R","CY2022Q4",$M6813),"")</f>
        <v>[ZCjuwgaMB9u]|&lt;01|Male|PLHIV_Residents.T2|CY2025Q3</v>
      </c>
    </row>
    <row r="6814" customFormat="false" ht="15" hidden="false" customHeight="false" outlineLevel="0" collapsed="false">
      <c r="D6814" s="0" t="s">
        <v>126</v>
      </c>
      <c r="E6814" s="0" t="s">
        <v>127</v>
      </c>
      <c r="F6814" s="0" t="s">
        <v>128</v>
      </c>
      <c r="G6814" s="0" t="s">
        <v>171</v>
      </c>
      <c r="H6814" s="0" t="s">
        <v>172</v>
      </c>
      <c r="I6814" s="0" t="s">
        <v>33</v>
      </c>
      <c r="J6814" s="0" t="s">
        <v>34</v>
      </c>
      <c r="K6814" s="0" t="s">
        <v>48</v>
      </c>
      <c r="L6814" s="0" t="s">
        <v>49</v>
      </c>
      <c r="M6814" s="0" t="s">
        <v>173</v>
      </c>
      <c r="N6814" s="0" t="n">
        <v>813</v>
      </c>
      <c r="O6814" s="10" t="n">
        <v>0.0033672540448606</v>
      </c>
      <c r="P6814" s="10" t="n">
        <v>0.252706390339881</v>
      </c>
      <c r="Q6814" s="0" t="str">
        <f aca="false">SUBSTITUTE(SUBSTITUTE($I6814,CHAR(61),""),CHAR(34),"")</f>
        <v>01-09</v>
      </c>
      <c r="R6814" s="0" t="str">
        <f aca="false">IF($D6814&lt;&gt;"","["&amp;$E6814&amp;"]"&amp;"|"&amp;$Q6814&amp;"|"&amp;$K6814&amp;"|"&amp;$G6814&amp;"|"&amp;IF($G6814="TX_CURR_SUBNAT.R","CY2022Q4",$M6814),"")</f>
        <v>[ZCjuwgaMB9u]|01-09|Male|PLHIV_Residents.T2|CY2025Q3</v>
      </c>
    </row>
    <row r="6815" customFormat="false" ht="15" hidden="false" customHeight="false" outlineLevel="0" collapsed="false">
      <c r="D6815" s="0" t="s">
        <v>126</v>
      </c>
      <c r="E6815" s="0" t="s">
        <v>127</v>
      </c>
      <c r="F6815" s="0" t="s">
        <v>128</v>
      </c>
      <c r="G6815" s="0" t="s">
        <v>171</v>
      </c>
      <c r="H6815" s="0" t="s">
        <v>172</v>
      </c>
      <c r="I6815" s="0" t="s">
        <v>36</v>
      </c>
      <c r="J6815" s="0" t="s">
        <v>37</v>
      </c>
      <c r="K6815" s="0" t="s">
        <v>48</v>
      </c>
      <c r="L6815" s="0" t="s">
        <v>49</v>
      </c>
      <c r="M6815" s="0" t="s">
        <v>173</v>
      </c>
      <c r="N6815" s="0" t="n">
        <v>848</v>
      </c>
      <c r="O6815" s="10" t="n">
        <v>0.333531577838585</v>
      </c>
      <c r="P6815" s="10" t="n">
        <v>0.252706390339881</v>
      </c>
      <c r="Q6815" s="0" t="str">
        <f aca="false">SUBSTITUTE(SUBSTITUTE($I6815,CHAR(61),""),CHAR(34),"")</f>
        <v>10-14</v>
      </c>
      <c r="R6815" s="0" t="str">
        <f aca="false">IF($D6815&lt;&gt;"","["&amp;$E6815&amp;"]"&amp;"|"&amp;$Q6815&amp;"|"&amp;$K6815&amp;"|"&amp;$G6815&amp;"|"&amp;IF($G6815="TX_CURR_SUBNAT.R","CY2022Q4",$M6815),"")</f>
        <v>[ZCjuwgaMB9u]|10-14|Male|PLHIV_Residents.T2|CY2025Q3</v>
      </c>
    </row>
    <row r="6816" customFormat="false" ht="15" hidden="false" customHeight="false" outlineLevel="0" collapsed="false">
      <c r="D6816" s="0" t="s">
        <v>126</v>
      </c>
      <c r="E6816" s="0" t="s">
        <v>127</v>
      </c>
      <c r="F6816" s="0" t="s">
        <v>128</v>
      </c>
      <c r="G6816" s="0" t="s">
        <v>171</v>
      </c>
      <c r="H6816" s="0" t="s">
        <v>172</v>
      </c>
      <c r="I6816" s="0" t="s">
        <v>38</v>
      </c>
      <c r="J6816" s="0" t="s">
        <v>39</v>
      </c>
      <c r="K6816" s="0" t="s">
        <v>48</v>
      </c>
      <c r="L6816" s="0" t="s">
        <v>49</v>
      </c>
      <c r="M6816" s="0" t="s">
        <v>173</v>
      </c>
      <c r="N6816" s="0" t="n">
        <v>1912</v>
      </c>
      <c r="O6816" s="10" t="n">
        <v>0.773411207832396</v>
      </c>
      <c r="P6816" s="10" t="n">
        <v>0.252706390339881</v>
      </c>
      <c r="Q6816" s="0" t="str">
        <f aca="false">SUBSTITUTE(SUBSTITUTE($I6816,CHAR(61),""),CHAR(34),"")</f>
        <v>15-24</v>
      </c>
      <c r="R6816" s="0" t="str">
        <f aca="false">IF($D6816&lt;&gt;"","["&amp;$E6816&amp;"]"&amp;"|"&amp;$Q6816&amp;"|"&amp;$K6816&amp;"|"&amp;$G6816&amp;"|"&amp;IF($G6816="TX_CURR_SUBNAT.R","CY2022Q4",$M6816),"")</f>
        <v>[ZCjuwgaMB9u]|15-24|Male|PLHIV_Residents.T2|CY2025Q3</v>
      </c>
    </row>
    <row r="6817" customFormat="false" ht="15" hidden="false" customHeight="false" outlineLevel="0" collapsed="false">
      <c r="D6817" s="0" t="s">
        <v>126</v>
      </c>
      <c r="E6817" s="0" t="s">
        <v>127</v>
      </c>
      <c r="F6817" s="0" t="s">
        <v>128</v>
      </c>
      <c r="G6817" s="0" t="s">
        <v>171</v>
      </c>
      <c r="H6817" s="0" t="s">
        <v>172</v>
      </c>
      <c r="I6817" s="0" t="s">
        <v>41</v>
      </c>
      <c r="J6817" s="0" t="s">
        <v>42</v>
      </c>
      <c r="K6817" s="0" t="s">
        <v>48</v>
      </c>
      <c r="L6817" s="0" t="s">
        <v>49</v>
      </c>
      <c r="M6817" s="0" t="s">
        <v>173</v>
      </c>
      <c r="N6817" s="0" t="n">
        <v>664</v>
      </c>
      <c r="O6817" s="10" t="n">
        <v>0.512382712913677</v>
      </c>
      <c r="P6817" s="10" t="n">
        <v>0.252706390339881</v>
      </c>
      <c r="Q6817" s="0" t="str">
        <f aca="false">SUBSTITUTE(SUBSTITUTE($I6817,CHAR(61),""),CHAR(34),"")</f>
        <v>25-34</v>
      </c>
      <c r="R6817" s="0" t="str">
        <f aca="false">IF($D6817&lt;&gt;"","["&amp;$E6817&amp;"]"&amp;"|"&amp;$Q6817&amp;"|"&amp;$K6817&amp;"|"&amp;$G6817&amp;"|"&amp;IF($G6817="TX_CURR_SUBNAT.R","CY2022Q4",$M6817),"")</f>
        <v>[ZCjuwgaMB9u]|25-34|Male|PLHIV_Residents.T2|CY2025Q3</v>
      </c>
    </row>
    <row r="6818" customFormat="false" ht="15" hidden="false" customHeight="false" outlineLevel="0" collapsed="false">
      <c r="D6818" s="0" t="s">
        <v>126</v>
      </c>
      <c r="E6818" s="0" t="s">
        <v>127</v>
      </c>
      <c r="F6818" s="0" t="s">
        <v>128</v>
      </c>
      <c r="G6818" s="0" t="s">
        <v>171</v>
      </c>
      <c r="H6818" s="0" t="s">
        <v>172</v>
      </c>
      <c r="I6818" s="0" t="s">
        <v>43</v>
      </c>
      <c r="J6818" s="0" t="s">
        <v>44</v>
      </c>
      <c r="K6818" s="0" t="s">
        <v>48</v>
      </c>
      <c r="L6818" s="0" t="s">
        <v>49</v>
      </c>
      <c r="M6818" s="0" t="s">
        <v>173</v>
      </c>
      <c r="N6818" s="0" t="n">
        <v>971</v>
      </c>
      <c r="O6818" s="10" t="n">
        <v>0.159690954256803</v>
      </c>
      <c r="P6818" s="10" t="n">
        <v>0.252706390339881</v>
      </c>
      <c r="Q6818" s="0" t="str">
        <f aca="false">SUBSTITUTE(SUBSTITUTE($I6818,CHAR(61),""),CHAR(34),"")</f>
        <v>35-49</v>
      </c>
      <c r="R6818" s="0" t="str">
        <f aca="false">IF($D6818&lt;&gt;"","["&amp;$E6818&amp;"]"&amp;"|"&amp;$Q6818&amp;"|"&amp;$K6818&amp;"|"&amp;$G6818&amp;"|"&amp;IF($G6818="TX_CURR_SUBNAT.R","CY2022Q4",$M6818),"")</f>
        <v>[ZCjuwgaMB9u]|35-49|Male|PLHIV_Residents.T2|CY2025Q3</v>
      </c>
    </row>
    <row r="6819" customFormat="false" ht="15" hidden="false" customHeight="false" outlineLevel="0" collapsed="false">
      <c r="D6819" s="0" t="s">
        <v>126</v>
      </c>
      <c r="E6819" s="0" t="s">
        <v>127</v>
      </c>
      <c r="F6819" s="0" t="s">
        <v>128</v>
      </c>
      <c r="G6819" s="0" t="s">
        <v>171</v>
      </c>
      <c r="H6819" s="0" t="s">
        <v>172</v>
      </c>
      <c r="I6819" s="0" t="s">
        <v>45</v>
      </c>
      <c r="J6819" s="0" t="s">
        <v>46</v>
      </c>
      <c r="K6819" s="0" t="s">
        <v>48</v>
      </c>
      <c r="L6819" s="0" t="s">
        <v>49</v>
      </c>
      <c r="M6819" s="0" t="s">
        <v>173</v>
      </c>
      <c r="N6819" s="0" t="n">
        <v>694</v>
      </c>
      <c r="O6819" s="10" t="n">
        <v>0.0137510092463344</v>
      </c>
      <c r="P6819" s="10" t="n">
        <v>0.252706390339881</v>
      </c>
      <c r="Q6819" s="0" t="str">
        <f aca="false">SUBSTITUTE(SUBSTITUTE($I6819,CHAR(61),""),CHAR(34),"")</f>
        <v>50+</v>
      </c>
      <c r="R6819" s="0" t="str">
        <f aca="false">IF($D6819&lt;&gt;"","["&amp;$E6819&amp;"]"&amp;"|"&amp;$Q6819&amp;"|"&amp;$K6819&amp;"|"&amp;$G6819&amp;"|"&amp;IF($G6819="TX_CURR_SUBNAT.R","CY2022Q4",$M6819),"")</f>
        <v>[ZCjuwgaMB9u]|50+|Male|PLHIV_Residents.T2|CY2025Q3</v>
      </c>
    </row>
    <row r="6820" customFormat="false" ht="15" hidden="false" customHeight="false" outlineLevel="0" collapsed="false">
      <c r="D6820" s="0" t="s">
        <v>129</v>
      </c>
      <c r="E6820" s="0" t="s">
        <v>130</v>
      </c>
      <c r="F6820" s="0" t="s">
        <v>131</v>
      </c>
      <c r="G6820" s="0" t="s">
        <v>171</v>
      </c>
      <c r="H6820" s="0" t="s">
        <v>172</v>
      </c>
      <c r="I6820" s="0" t="s">
        <v>28</v>
      </c>
      <c r="J6820" s="0" t="s">
        <v>29</v>
      </c>
      <c r="K6820" s="0" t="s">
        <v>30</v>
      </c>
      <c r="L6820" s="0" t="s">
        <v>31</v>
      </c>
      <c r="M6820" s="0" t="s">
        <v>173</v>
      </c>
      <c r="N6820" s="0" t="n">
        <v>1022</v>
      </c>
      <c r="O6820" s="10" t="n">
        <v>0.857316844630986</v>
      </c>
      <c r="P6820" s="10" t="n">
        <v>0.556908084778115</v>
      </c>
      <c r="Q6820" s="0" t="str">
        <f aca="false">SUBSTITUTE(SUBSTITUTE($I6820,CHAR(61),""),CHAR(34),"")</f>
        <v>&lt;01</v>
      </c>
      <c r="R6820" s="0" t="str">
        <f aca="false">IF($D6820&lt;&gt;"","["&amp;$E6820&amp;"]"&amp;"|"&amp;$Q6820&amp;"|"&amp;$K6820&amp;"|"&amp;$G6820&amp;"|"&amp;IF($G6820="TX_CURR_SUBNAT.R","CY2022Q4",$M6820),"")</f>
        <v>[YCKiBAp8QAg]|&lt;01|Female|PLHIV_Residents.T2|CY2025Q3</v>
      </c>
    </row>
    <row r="6821" customFormat="false" ht="15" hidden="false" customHeight="false" outlineLevel="0" collapsed="false">
      <c r="D6821" s="0" t="s">
        <v>129</v>
      </c>
      <c r="E6821" s="0" t="s">
        <v>130</v>
      </c>
      <c r="F6821" s="0" t="s">
        <v>131</v>
      </c>
      <c r="G6821" s="0" t="s">
        <v>171</v>
      </c>
      <c r="H6821" s="0" t="s">
        <v>172</v>
      </c>
      <c r="I6821" s="0" t="s">
        <v>33</v>
      </c>
      <c r="J6821" s="0" t="s">
        <v>34</v>
      </c>
      <c r="K6821" s="0" t="s">
        <v>30</v>
      </c>
      <c r="L6821" s="0" t="s">
        <v>31</v>
      </c>
      <c r="M6821" s="0" t="s">
        <v>173</v>
      </c>
      <c r="N6821" s="0" t="n">
        <v>1016</v>
      </c>
      <c r="O6821" s="10" t="n">
        <v>0.581252395873889</v>
      </c>
      <c r="P6821" s="10" t="n">
        <v>0.556908084778115</v>
      </c>
      <c r="Q6821" s="0" t="str">
        <f aca="false">SUBSTITUTE(SUBSTITUTE($I6821,CHAR(61),""),CHAR(34),"")</f>
        <v>01-09</v>
      </c>
      <c r="R6821" s="0" t="str">
        <f aca="false">IF($D6821&lt;&gt;"","["&amp;$E6821&amp;"]"&amp;"|"&amp;$Q6821&amp;"|"&amp;$K6821&amp;"|"&amp;$G6821&amp;"|"&amp;IF($G6821="TX_CURR_SUBNAT.R","CY2022Q4",$M6821),"")</f>
        <v>[YCKiBAp8QAg]|01-09|Female|PLHIV_Residents.T2|CY2025Q3</v>
      </c>
    </row>
    <row r="6822" customFormat="false" ht="15" hidden="false" customHeight="false" outlineLevel="0" collapsed="false">
      <c r="D6822" s="0" t="s">
        <v>129</v>
      </c>
      <c r="E6822" s="0" t="s">
        <v>130</v>
      </c>
      <c r="F6822" s="0" t="s">
        <v>131</v>
      </c>
      <c r="G6822" s="0" t="s">
        <v>171</v>
      </c>
      <c r="H6822" s="0" t="s">
        <v>172</v>
      </c>
      <c r="I6822" s="0" t="s">
        <v>36</v>
      </c>
      <c r="J6822" s="0" t="s">
        <v>37</v>
      </c>
      <c r="K6822" s="0" t="s">
        <v>30</v>
      </c>
      <c r="L6822" s="0" t="s">
        <v>31</v>
      </c>
      <c r="M6822" s="0" t="s">
        <v>173</v>
      </c>
      <c r="N6822" s="0" t="n">
        <v>1234</v>
      </c>
      <c r="O6822" s="10" t="n">
        <v>0.416850212262943</v>
      </c>
      <c r="P6822" s="10" t="n">
        <v>0.556908084778115</v>
      </c>
      <c r="Q6822" s="0" t="str">
        <f aca="false">SUBSTITUTE(SUBSTITUTE($I6822,CHAR(61),""),CHAR(34),"")</f>
        <v>10-14</v>
      </c>
      <c r="R6822" s="0" t="str">
        <f aca="false">IF($D6822&lt;&gt;"","["&amp;$E6822&amp;"]"&amp;"|"&amp;$Q6822&amp;"|"&amp;$K6822&amp;"|"&amp;$G6822&amp;"|"&amp;IF($G6822="TX_CURR_SUBNAT.R","CY2022Q4",$M6822),"")</f>
        <v>[YCKiBAp8QAg]|10-14|Female|PLHIV_Residents.T2|CY2025Q3</v>
      </c>
    </row>
    <row r="6823" customFormat="false" ht="15" hidden="false" customHeight="false" outlineLevel="0" collapsed="false">
      <c r="D6823" s="0" t="s">
        <v>129</v>
      </c>
      <c r="E6823" s="0" t="s">
        <v>130</v>
      </c>
      <c r="F6823" s="0" t="s">
        <v>131</v>
      </c>
      <c r="G6823" s="0" t="s">
        <v>171</v>
      </c>
      <c r="H6823" s="0" t="s">
        <v>172</v>
      </c>
      <c r="I6823" s="0" t="s">
        <v>38</v>
      </c>
      <c r="J6823" s="0" t="s">
        <v>39</v>
      </c>
      <c r="K6823" s="0" t="s">
        <v>30</v>
      </c>
      <c r="L6823" s="0" t="s">
        <v>31</v>
      </c>
      <c r="M6823" s="0" t="s">
        <v>173</v>
      </c>
      <c r="N6823" s="0" t="n">
        <v>1348</v>
      </c>
      <c r="O6823" s="10" t="n">
        <v>0.657603105995804</v>
      </c>
      <c r="P6823" s="10" t="n">
        <v>0.556908084778115</v>
      </c>
      <c r="Q6823" s="0" t="str">
        <f aca="false">SUBSTITUTE(SUBSTITUTE($I6823,CHAR(61),""),CHAR(34),"")</f>
        <v>15-24</v>
      </c>
      <c r="R6823" s="0" t="str">
        <f aca="false">IF($D6823&lt;&gt;"","["&amp;$E6823&amp;"]"&amp;"|"&amp;$Q6823&amp;"|"&amp;$K6823&amp;"|"&amp;$G6823&amp;"|"&amp;IF($G6823="TX_CURR_SUBNAT.R","CY2022Q4",$M6823),"")</f>
        <v>[YCKiBAp8QAg]|15-24|Female|PLHIV_Residents.T2|CY2025Q3</v>
      </c>
    </row>
    <row r="6824" customFormat="false" ht="15" hidden="false" customHeight="false" outlineLevel="0" collapsed="false">
      <c r="D6824" s="0" t="s">
        <v>129</v>
      </c>
      <c r="E6824" s="0" t="s">
        <v>130</v>
      </c>
      <c r="F6824" s="0" t="s">
        <v>131</v>
      </c>
      <c r="G6824" s="0" t="s">
        <v>171</v>
      </c>
      <c r="H6824" s="0" t="s">
        <v>172</v>
      </c>
      <c r="I6824" s="0" t="s">
        <v>41</v>
      </c>
      <c r="J6824" s="0" t="s">
        <v>42</v>
      </c>
      <c r="K6824" s="0" t="s">
        <v>30</v>
      </c>
      <c r="L6824" s="0" t="s">
        <v>31</v>
      </c>
      <c r="M6824" s="0" t="s">
        <v>173</v>
      </c>
      <c r="N6824" s="0" t="n">
        <v>1792</v>
      </c>
      <c r="O6824" s="10" t="n">
        <v>0.90162625326775</v>
      </c>
      <c r="P6824" s="10" t="n">
        <v>0.556908084778115</v>
      </c>
      <c r="Q6824" s="0" t="str">
        <f aca="false">SUBSTITUTE(SUBSTITUTE($I6824,CHAR(61),""),CHAR(34),"")</f>
        <v>25-34</v>
      </c>
      <c r="R6824" s="0" t="str">
        <f aca="false">IF($D6824&lt;&gt;"","["&amp;$E6824&amp;"]"&amp;"|"&amp;$Q6824&amp;"|"&amp;$K6824&amp;"|"&amp;$G6824&amp;"|"&amp;IF($G6824="TX_CURR_SUBNAT.R","CY2022Q4",$M6824),"")</f>
        <v>[YCKiBAp8QAg]|25-34|Female|PLHIV_Residents.T2|CY2025Q3</v>
      </c>
    </row>
    <row r="6825" customFormat="false" ht="15" hidden="false" customHeight="false" outlineLevel="0" collapsed="false">
      <c r="D6825" s="0" t="s">
        <v>129</v>
      </c>
      <c r="E6825" s="0" t="s">
        <v>130</v>
      </c>
      <c r="F6825" s="0" t="s">
        <v>131</v>
      </c>
      <c r="G6825" s="0" t="s">
        <v>171</v>
      </c>
      <c r="H6825" s="0" t="s">
        <v>172</v>
      </c>
      <c r="I6825" s="0" t="s">
        <v>43</v>
      </c>
      <c r="J6825" s="0" t="s">
        <v>44</v>
      </c>
      <c r="K6825" s="0" t="s">
        <v>30</v>
      </c>
      <c r="L6825" s="0" t="s">
        <v>31</v>
      </c>
      <c r="M6825" s="0" t="s">
        <v>173</v>
      </c>
      <c r="N6825" s="0" t="n">
        <v>1042</v>
      </c>
      <c r="O6825" s="10" t="n">
        <v>0.216264852555469</v>
      </c>
      <c r="P6825" s="10" t="n">
        <v>0.556908084778115</v>
      </c>
      <c r="Q6825" s="0" t="str">
        <f aca="false">SUBSTITUTE(SUBSTITUTE($I6825,CHAR(61),""),CHAR(34),"")</f>
        <v>35-49</v>
      </c>
      <c r="R6825" s="0" t="str">
        <f aca="false">IF($D6825&lt;&gt;"","["&amp;$E6825&amp;"]"&amp;"|"&amp;$Q6825&amp;"|"&amp;$K6825&amp;"|"&amp;$G6825&amp;"|"&amp;IF($G6825="TX_CURR_SUBNAT.R","CY2022Q4",$M6825),"")</f>
        <v>[YCKiBAp8QAg]|35-49|Female|PLHIV_Residents.T2|CY2025Q3</v>
      </c>
    </row>
    <row r="6826" customFormat="false" ht="15" hidden="false" customHeight="false" outlineLevel="0" collapsed="false">
      <c r="D6826" s="0" t="s">
        <v>129</v>
      </c>
      <c r="E6826" s="0" t="s">
        <v>130</v>
      </c>
      <c r="F6826" s="0" t="s">
        <v>131</v>
      </c>
      <c r="G6826" s="0" t="s">
        <v>171</v>
      </c>
      <c r="H6826" s="0" t="s">
        <v>172</v>
      </c>
      <c r="I6826" s="0" t="s">
        <v>45</v>
      </c>
      <c r="J6826" s="0" t="s">
        <v>46</v>
      </c>
      <c r="K6826" s="0" t="s">
        <v>30</v>
      </c>
      <c r="L6826" s="0" t="s">
        <v>31</v>
      </c>
      <c r="M6826" s="0" t="s">
        <v>173</v>
      </c>
      <c r="N6826" s="0" t="n">
        <v>917</v>
      </c>
      <c r="O6826" s="10" t="n">
        <v>0.802905305288732</v>
      </c>
      <c r="P6826" s="10" t="n">
        <v>0.556908084778115</v>
      </c>
      <c r="Q6826" s="0" t="str">
        <f aca="false">SUBSTITUTE(SUBSTITUTE($I6826,CHAR(61),""),CHAR(34),"")</f>
        <v>50+</v>
      </c>
      <c r="R6826" s="0" t="str">
        <f aca="false">IF($D6826&lt;&gt;"","["&amp;$E6826&amp;"]"&amp;"|"&amp;$Q6826&amp;"|"&amp;$K6826&amp;"|"&amp;$G6826&amp;"|"&amp;IF($G6826="TX_CURR_SUBNAT.R","CY2022Q4",$M6826),"")</f>
        <v>[YCKiBAp8QAg]|50+|Female|PLHIV_Residents.T2|CY2025Q3</v>
      </c>
    </row>
    <row r="6827" customFormat="false" ht="15" hidden="false" customHeight="false" outlineLevel="0" collapsed="false">
      <c r="D6827" s="0" t="s">
        <v>129</v>
      </c>
      <c r="E6827" s="0" t="s">
        <v>130</v>
      </c>
      <c r="F6827" s="0" t="s">
        <v>131</v>
      </c>
      <c r="G6827" s="0" t="s">
        <v>171</v>
      </c>
      <c r="H6827" s="0" t="s">
        <v>172</v>
      </c>
      <c r="I6827" s="0" t="s">
        <v>28</v>
      </c>
      <c r="J6827" s="0" t="s">
        <v>29</v>
      </c>
      <c r="K6827" s="0" t="s">
        <v>48</v>
      </c>
      <c r="L6827" s="0" t="s">
        <v>49</v>
      </c>
      <c r="M6827" s="0" t="s">
        <v>173</v>
      </c>
      <c r="N6827" s="0" t="n">
        <v>1721</v>
      </c>
      <c r="O6827" s="10" t="n">
        <v>0.391457207966596</v>
      </c>
      <c r="P6827" s="10" t="n">
        <v>0.556908084778115</v>
      </c>
      <c r="Q6827" s="0" t="str">
        <f aca="false">SUBSTITUTE(SUBSTITUTE($I6827,CHAR(61),""),CHAR(34),"")</f>
        <v>&lt;01</v>
      </c>
      <c r="R6827" s="0" t="str">
        <f aca="false">IF($D6827&lt;&gt;"","["&amp;$E6827&amp;"]"&amp;"|"&amp;$Q6827&amp;"|"&amp;$K6827&amp;"|"&amp;$G6827&amp;"|"&amp;IF($G6827="TX_CURR_SUBNAT.R","CY2022Q4",$M6827),"")</f>
        <v>[YCKiBAp8QAg]|&lt;01|Male|PLHIV_Residents.T2|CY2025Q3</v>
      </c>
    </row>
    <row r="6828" customFormat="false" ht="15" hidden="false" customHeight="false" outlineLevel="0" collapsed="false">
      <c r="D6828" s="0" t="s">
        <v>129</v>
      </c>
      <c r="E6828" s="0" t="s">
        <v>130</v>
      </c>
      <c r="F6828" s="0" t="s">
        <v>131</v>
      </c>
      <c r="G6828" s="0" t="s">
        <v>171</v>
      </c>
      <c r="H6828" s="0" t="s">
        <v>172</v>
      </c>
      <c r="I6828" s="0" t="s">
        <v>33</v>
      </c>
      <c r="J6828" s="0" t="s">
        <v>34</v>
      </c>
      <c r="K6828" s="0" t="s">
        <v>48</v>
      </c>
      <c r="L6828" s="0" t="s">
        <v>49</v>
      </c>
      <c r="M6828" s="0" t="s">
        <v>173</v>
      </c>
      <c r="N6828" s="0" t="n">
        <v>707</v>
      </c>
      <c r="O6828" s="10" t="n">
        <v>0.63344967761077</v>
      </c>
      <c r="P6828" s="10" t="n">
        <v>0.556908084778115</v>
      </c>
      <c r="Q6828" s="0" t="str">
        <f aca="false">SUBSTITUTE(SUBSTITUTE($I6828,CHAR(61),""),CHAR(34),"")</f>
        <v>01-09</v>
      </c>
      <c r="R6828" s="0" t="str">
        <f aca="false">IF($D6828&lt;&gt;"","["&amp;$E6828&amp;"]"&amp;"|"&amp;$Q6828&amp;"|"&amp;$K6828&amp;"|"&amp;$G6828&amp;"|"&amp;IF($G6828="TX_CURR_SUBNAT.R","CY2022Q4",$M6828),"")</f>
        <v>[YCKiBAp8QAg]|01-09|Male|PLHIV_Residents.T2|CY2025Q3</v>
      </c>
    </row>
    <row r="6829" customFormat="false" ht="15" hidden="false" customHeight="false" outlineLevel="0" collapsed="false">
      <c r="D6829" s="0" t="s">
        <v>129</v>
      </c>
      <c r="E6829" s="0" t="s">
        <v>130</v>
      </c>
      <c r="F6829" s="0" t="s">
        <v>131</v>
      </c>
      <c r="G6829" s="0" t="s">
        <v>171</v>
      </c>
      <c r="H6829" s="0" t="s">
        <v>172</v>
      </c>
      <c r="I6829" s="0" t="s">
        <v>36</v>
      </c>
      <c r="J6829" s="0" t="s">
        <v>37</v>
      </c>
      <c r="K6829" s="0" t="s">
        <v>48</v>
      </c>
      <c r="L6829" s="0" t="s">
        <v>49</v>
      </c>
      <c r="M6829" s="0" t="s">
        <v>173</v>
      </c>
      <c r="N6829" s="0" t="n">
        <v>577</v>
      </c>
      <c r="O6829" s="10" t="n">
        <v>0.130127802724019</v>
      </c>
      <c r="P6829" s="10" t="n">
        <v>0.556908084778115</v>
      </c>
      <c r="Q6829" s="0" t="str">
        <f aca="false">SUBSTITUTE(SUBSTITUTE($I6829,CHAR(61),""),CHAR(34),"")</f>
        <v>10-14</v>
      </c>
      <c r="R6829" s="0" t="str">
        <f aca="false">IF($D6829&lt;&gt;"","["&amp;$E6829&amp;"]"&amp;"|"&amp;$Q6829&amp;"|"&amp;$K6829&amp;"|"&amp;$G6829&amp;"|"&amp;IF($G6829="TX_CURR_SUBNAT.R","CY2022Q4",$M6829),"")</f>
        <v>[YCKiBAp8QAg]|10-14|Male|PLHIV_Residents.T2|CY2025Q3</v>
      </c>
    </row>
    <row r="6830" customFormat="false" ht="15" hidden="false" customHeight="false" outlineLevel="0" collapsed="false">
      <c r="D6830" s="0" t="s">
        <v>129</v>
      </c>
      <c r="E6830" s="0" t="s">
        <v>130</v>
      </c>
      <c r="F6830" s="0" t="s">
        <v>131</v>
      </c>
      <c r="G6830" s="0" t="s">
        <v>171</v>
      </c>
      <c r="H6830" s="0" t="s">
        <v>172</v>
      </c>
      <c r="I6830" s="0" t="s">
        <v>38</v>
      </c>
      <c r="J6830" s="0" t="s">
        <v>39</v>
      </c>
      <c r="K6830" s="0" t="s">
        <v>48</v>
      </c>
      <c r="L6830" s="0" t="s">
        <v>49</v>
      </c>
      <c r="M6830" s="0" t="s">
        <v>173</v>
      </c>
      <c r="N6830" s="0" t="n">
        <v>1819</v>
      </c>
      <c r="O6830" s="10" t="n">
        <v>0.944745588582009</v>
      </c>
      <c r="P6830" s="10" t="n">
        <v>0.556908084778115</v>
      </c>
      <c r="Q6830" s="0" t="str">
        <f aca="false">SUBSTITUTE(SUBSTITUTE($I6830,CHAR(61),""),CHAR(34),"")</f>
        <v>15-24</v>
      </c>
      <c r="R6830" s="0" t="str">
        <f aca="false">IF($D6830&lt;&gt;"","["&amp;$E6830&amp;"]"&amp;"|"&amp;$Q6830&amp;"|"&amp;$K6830&amp;"|"&amp;$G6830&amp;"|"&amp;IF($G6830="TX_CURR_SUBNAT.R","CY2022Q4",$M6830),"")</f>
        <v>[YCKiBAp8QAg]|15-24|Male|PLHIV_Residents.T2|CY2025Q3</v>
      </c>
    </row>
    <row r="6831" customFormat="false" ht="15" hidden="false" customHeight="false" outlineLevel="0" collapsed="false">
      <c r="D6831" s="0" t="s">
        <v>129</v>
      </c>
      <c r="E6831" s="0" t="s">
        <v>130</v>
      </c>
      <c r="F6831" s="0" t="s">
        <v>131</v>
      </c>
      <c r="G6831" s="0" t="s">
        <v>171</v>
      </c>
      <c r="H6831" s="0" t="s">
        <v>172</v>
      </c>
      <c r="I6831" s="0" t="s">
        <v>41</v>
      </c>
      <c r="J6831" s="0" t="s">
        <v>42</v>
      </c>
      <c r="K6831" s="0" t="s">
        <v>48</v>
      </c>
      <c r="L6831" s="0" t="s">
        <v>49</v>
      </c>
      <c r="M6831" s="0" t="s">
        <v>173</v>
      </c>
      <c r="N6831" s="0" t="n">
        <v>1146</v>
      </c>
      <c r="O6831" s="10" t="n">
        <v>0.896323298336938</v>
      </c>
      <c r="P6831" s="10" t="n">
        <v>0.556908084778115</v>
      </c>
      <c r="Q6831" s="0" t="str">
        <f aca="false">SUBSTITUTE(SUBSTITUTE($I6831,CHAR(61),""),CHAR(34),"")</f>
        <v>25-34</v>
      </c>
      <c r="R6831" s="0" t="str">
        <f aca="false">IF($D6831&lt;&gt;"","["&amp;$E6831&amp;"]"&amp;"|"&amp;$Q6831&amp;"|"&amp;$K6831&amp;"|"&amp;$G6831&amp;"|"&amp;IF($G6831="TX_CURR_SUBNAT.R","CY2022Q4",$M6831),"")</f>
        <v>[YCKiBAp8QAg]|25-34|Male|PLHIV_Residents.T2|CY2025Q3</v>
      </c>
    </row>
    <row r="6832" customFormat="false" ht="15" hidden="false" customHeight="false" outlineLevel="0" collapsed="false">
      <c r="D6832" s="0" t="s">
        <v>129</v>
      </c>
      <c r="E6832" s="0" t="s">
        <v>130</v>
      </c>
      <c r="F6832" s="0" t="s">
        <v>131</v>
      </c>
      <c r="G6832" s="0" t="s">
        <v>171</v>
      </c>
      <c r="H6832" s="0" t="s">
        <v>172</v>
      </c>
      <c r="I6832" s="0" t="s">
        <v>43</v>
      </c>
      <c r="J6832" s="0" t="s">
        <v>44</v>
      </c>
      <c r="K6832" s="0" t="s">
        <v>48</v>
      </c>
      <c r="L6832" s="0" t="s">
        <v>49</v>
      </c>
      <c r="M6832" s="0" t="s">
        <v>173</v>
      </c>
      <c r="N6832" s="0" t="n">
        <v>840</v>
      </c>
      <c r="O6832" s="10" t="n">
        <v>0.197940223384649</v>
      </c>
      <c r="P6832" s="10" t="n">
        <v>0.556908084778115</v>
      </c>
      <c r="Q6832" s="0" t="str">
        <f aca="false">SUBSTITUTE(SUBSTITUTE($I6832,CHAR(61),""),CHAR(34),"")</f>
        <v>35-49</v>
      </c>
      <c r="R6832" s="0" t="str">
        <f aca="false">IF($D6832&lt;&gt;"","["&amp;$E6832&amp;"]"&amp;"|"&amp;$Q6832&amp;"|"&amp;$K6832&amp;"|"&amp;$G6832&amp;"|"&amp;IF($G6832="TX_CURR_SUBNAT.R","CY2022Q4",$M6832),"")</f>
        <v>[YCKiBAp8QAg]|35-49|Male|PLHIV_Residents.T2|CY2025Q3</v>
      </c>
    </row>
    <row r="6833" customFormat="false" ht="15" hidden="false" customHeight="false" outlineLevel="0" collapsed="false">
      <c r="D6833" s="0" t="s">
        <v>129</v>
      </c>
      <c r="E6833" s="0" t="s">
        <v>130</v>
      </c>
      <c r="F6833" s="0" t="s">
        <v>131</v>
      </c>
      <c r="G6833" s="0" t="s">
        <v>171</v>
      </c>
      <c r="H6833" s="0" t="s">
        <v>172</v>
      </c>
      <c r="I6833" s="0" t="s">
        <v>45</v>
      </c>
      <c r="J6833" s="0" t="s">
        <v>46</v>
      </c>
      <c r="K6833" s="0" t="s">
        <v>48</v>
      </c>
      <c r="L6833" s="0" t="s">
        <v>49</v>
      </c>
      <c r="M6833" s="0" t="s">
        <v>173</v>
      </c>
      <c r="N6833" s="0" t="n">
        <v>1063</v>
      </c>
      <c r="O6833" s="10" t="n">
        <v>0.593946770764887</v>
      </c>
      <c r="P6833" s="10" t="n">
        <v>0.556908084778115</v>
      </c>
      <c r="Q6833" s="0" t="str">
        <f aca="false">SUBSTITUTE(SUBSTITUTE($I6833,CHAR(61),""),CHAR(34),"")</f>
        <v>50+</v>
      </c>
      <c r="R6833" s="0" t="str">
        <f aca="false">IF($D6833&lt;&gt;"","["&amp;$E6833&amp;"]"&amp;"|"&amp;$Q6833&amp;"|"&amp;$K6833&amp;"|"&amp;$G6833&amp;"|"&amp;IF($G6833="TX_CURR_SUBNAT.R","CY2022Q4",$M6833),"")</f>
        <v>[YCKiBAp8QAg]|50+|Male|PLHIV_Residents.T2|CY2025Q3</v>
      </c>
    </row>
    <row r="6834" customFormat="false" ht="15" hidden="false" customHeight="false" outlineLevel="0" collapsed="false">
      <c r="D6834" s="0" t="s">
        <v>132</v>
      </c>
      <c r="E6834" s="0" t="s">
        <v>133</v>
      </c>
      <c r="F6834" s="0" t="s">
        <v>134</v>
      </c>
      <c r="G6834" s="0" t="s">
        <v>171</v>
      </c>
      <c r="H6834" s="0" t="s">
        <v>172</v>
      </c>
      <c r="I6834" s="0" t="s">
        <v>28</v>
      </c>
      <c r="J6834" s="0" t="s">
        <v>29</v>
      </c>
      <c r="K6834" s="0" t="s">
        <v>30</v>
      </c>
      <c r="L6834" s="0" t="s">
        <v>31</v>
      </c>
      <c r="M6834" s="0" t="s">
        <v>173</v>
      </c>
      <c r="N6834" s="0" t="n">
        <v>1353</v>
      </c>
      <c r="O6834" s="10" t="n">
        <v>0.731426920741796</v>
      </c>
      <c r="P6834" s="10" t="n">
        <v>0.162863194011152</v>
      </c>
      <c r="Q6834" s="0" t="str">
        <f aca="false">SUBSTITUTE(SUBSTITUTE($I6834,CHAR(61),""),CHAR(34),"")</f>
        <v>&lt;01</v>
      </c>
      <c r="R6834" s="0" t="str">
        <f aca="false">IF($D6834&lt;&gt;"","["&amp;$E6834&amp;"]"&amp;"|"&amp;$Q6834&amp;"|"&amp;$K6834&amp;"|"&amp;$G6834&amp;"|"&amp;IF($G6834="TX_CURR_SUBNAT.R","CY2022Q4",$M6834),"")</f>
        <v>[JQKLKuVuY61]|&lt;01|Female|PLHIV_Residents.T2|CY2025Q3</v>
      </c>
    </row>
    <row r="6835" customFormat="false" ht="15" hidden="false" customHeight="false" outlineLevel="0" collapsed="false">
      <c r="D6835" s="0" t="s">
        <v>132</v>
      </c>
      <c r="E6835" s="0" t="s">
        <v>133</v>
      </c>
      <c r="F6835" s="0" t="s">
        <v>134</v>
      </c>
      <c r="G6835" s="0" t="s">
        <v>171</v>
      </c>
      <c r="H6835" s="0" t="s">
        <v>172</v>
      </c>
      <c r="I6835" s="0" t="s">
        <v>33</v>
      </c>
      <c r="J6835" s="0" t="s">
        <v>34</v>
      </c>
      <c r="K6835" s="0" t="s">
        <v>30</v>
      </c>
      <c r="L6835" s="0" t="s">
        <v>31</v>
      </c>
      <c r="M6835" s="0" t="s">
        <v>173</v>
      </c>
      <c r="N6835" s="0" t="n">
        <v>1266</v>
      </c>
      <c r="O6835" s="10" t="n">
        <v>0.10349499178119</v>
      </c>
      <c r="P6835" s="10" t="n">
        <v>0.162863194011152</v>
      </c>
      <c r="Q6835" s="0" t="str">
        <f aca="false">SUBSTITUTE(SUBSTITUTE($I6835,CHAR(61),""),CHAR(34),"")</f>
        <v>01-09</v>
      </c>
      <c r="R6835" s="0" t="str">
        <f aca="false">IF($D6835&lt;&gt;"","["&amp;$E6835&amp;"]"&amp;"|"&amp;$Q6835&amp;"|"&amp;$K6835&amp;"|"&amp;$G6835&amp;"|"&amp;IF($G6835="TX_CURR_SUBNAT.R","CY2022Q4",$M6835),"")</f>
        <v>[JQKLKuVuY61]|01-09|Female|PLHIV_Residents.T2|CY2025Q3</v>
      </c>
    </row>
    <row r="6836" customFormat="false" ht="15" hidden="false" customHeight="false" outlineLevel="0" collapsed="false">
      <c r="D6836" s="0" t="s">
        <v>132</v>
      </c>
      <c r="E6836" s="0" t="s">
        <v>133</v>
      </c>
      <c r="F6836" s="0" t="s">
        <v>134</v>
      </c>
      <c r="G6836" s="0" t="s">
        <v>171</v>
      </c>
      <c r="H6836" s="0" t="s">
        <v>172</v>
      </c>
      <c r="I6836" s="0" t="s">
        <v>36</v>
      </c>
      <c r="J6836" s="0" t="s">
        <v>37</v>
      </c>
      <c r="K6836" s="0" t="s">
        <v>30</v>
      </c>
      <c r="L6836" s="0" t="s">
        <v>31</v>
      </c>
      <c r="M6836" s="0" t="s">
        <v>173</v>
      </c>
      <c r="N6836" s="0" t="n">
        <v>513</v>
      </c>
      <c r="O6836" s="10" t="n">
        <v>0.38710210332647</v>
      </c>
      <c r="P6836" s="10" t="n">
        <v>0.162863194011152</v>
      </c>
      <c r="Q6836" s="0" t="str">
        <f aca="false">SUBSTITUTE(SUBSTITUTE($I6836,CHAR(61),""),CHAR(34),"")</f>
        <v>10-14</v>
      </c>
      <c r="R6836" s="0" t="str">
        <f aca="false">IF($D6836&lt;&gt;"","["&amp;$E6836&amp;"]"&amp;"|"&amp;$Q6836&amp;"|"&amp;$K6836&amp;"|"&amp;$G6836&amp;"|"&amp;IF($G6836="TX_CURR_SUBNAT.R","CY2022Q4",$M6836),"")</f>
        <v>[JQKLKuVuY61]|10-14|Female|PLHIV_Residents.T2|CY2025Q3</v>
      </c>
    </row>
    <row r="6837" customFormat="false" ht="15" hidden="false" customHeight="false" outlineLevel="0" collapsed="false">
      <c r="D6837" s="0" t="s">
        <v>132</v>
      </c>
      <c r="E6837" s="0" t="s">
        <v>133</v>
      </c>
      <c r="F6837" s="0" t="s">
        <v>134</v>
      </c>
      <c r="G6837" s="0" t="s">
        <v>171</v>
      </c>
      <c r="H6837" s="0" t="s">
        <v>172</v>
      </c>
      <c r="I6837" s="0" t="s">
        <v>38</v>
      </c>
      <c r="J6837" s="0" t="s">
        <v>39</v>
      </c>
      <c r="K6837" s="0" t="s">
        <v>30</v>
      </c>
      <c r="L6837" s="0" t="s">
        <v>31</v>
      </c>
      <c r="M6837" s="0" t="s">
        <v>173</v>
      </c>
      <c r="N6837" s="0" t="n">
        <v>1957</v>
      </c>
      <c r="O6837" s="10" t="n">
        <v>0.88574683200568</v>
      </c>
      <c r="P6837" s="10" t="n">
        <v>0.162863194011152</v>
      </c>
      <c r="Q6837" s="0" t="str">
        <f aca="false">SUBSTITUTE(SUBSTITUTE($I6837,CHAR(61),""),CHAR(34),"")</f>
        <v>15-24</v>
      </c>
      <c r="R6837" s="0" t="str">
        <f aca="false">IF($D6837&lt;&gt;"","["&amp;$E6837&amp;"]"&amp;"|"&amp;$Q6837&amp;"|"&amp;$K6837&amp;"|"&amp;$G6837&amp;"|"&amp;IF($G6837="TX_CURR_SUBNAT.R","CY2022Q4",$M6837),"")</f>
        <v>[JQKLKuVuY61]|15-24|Female|PLHIV_Residents.T2|CY2025Q3</v>
      </c>
    </row>
    <row r="6838" customFormat="false" ht="15" hidden="false" customHeight="false" outlineLevel="0" collapsed="false">
      <c r="D6838" s="0" t="s">
        <v>132</v>
      </c>
      <c r="E6838" s="0" t="s">
        <v>133</v>
      </c>
      <c r="F6838" s="0" t="s">
        <v>134</v>
      </c>
      <c r="G6838" s="0" t="s">
        <v>171</v>
      </c>
      <c r="H6838" s="0" t="s">
        <v>172</v>
      </c>
      <c r="I6838" s="0" t="s">
        <v>41</v>
      </c>
      <c r="J6838" s="0" t="s">
        <v>42</v>
      </c>
      <c r="K6838" s="0" t="s">
        <v>30</v>
      </c>
      <c r="L6838" s="0" t="s">
        <v>31</v>
      </c>
      <c r="M6838" s="0" t="s">
        <v>173</v>
      </c>
      <c r="N6838" s="0" t="n">
        <v>897</v>
      </c>
      <c r="O6838" s="10" t="n">
        <v>0.287338256370276</v>
      </c>
      <c r="P6838" s="10" t="n">
        <v>0.162863194011152</v>
      </c>
      <c r="Q6838" s="0" t="str">
        <f aca="false">SUBSTITUTE(SUBSTITUTE($I6838,CHAR(61),""),CHAR(34),"")</f>
        <v>25-34</v>
      </c>
      <c r="R6838" s="0" t="str">
        <f aca="false">IF($D6838&lt;&gt;"","["&amp;$E6838&amp;"]"&amp;"|"&amp;$Q6838&amp;"|"&amp;$K6838&amp;"|"&amp;$G6838&amp;"|"&amp;IF($G6838="TX_CURR_SUBNAT.R","CY2022Q4",$M6838),"")</f>
        <v>[JQKLKuVuY61]|25-34|Female|PLHIV_Residents.T2|CY2025Q3</v>
      </c>
    </row>
    <row r="6839" customFormat="false" ht="15" hidden="false" customHeight="false" outlineLevel="0" collapsed="false">
      <c r="D6839" s="0" t="s">
        <v>132</v>
      </c>
      <c r="E6839" s="0" t="s">
        <v>133</v>
      </c>
      <c r="F6839" s="0" t="s">
        <v>134</v>
      </c>
      <c r="G6839" s="0" t="s">
        <v>171</v>
      </c>
      <c r="H6839" s="0" t="s">
        <v>172</v>
      </c>
      <c r="I6839" s="0" t="s">
        <v>43</v>
      </c>
      <c r="J6839" s="0" t="s">
        <v>44</v>
      </c>
      <c r="K6839" s="0" t="s">
        <v>30</v>
      </c>
      <c r="L6839" s="0" t="s">
        <v>31</v>
      </c>
      <c r="M6839" s="0" t="s">
        <v>173</v>
      </c>
      <c r="N6839" s="0" t="n">
        <v>1550</v>
      </c>
      <c r="O6839" s="10" t="n">
        <v>0.536342717939988</v>
      </c>
      <c r="P6839" s="10" t="n">
        <v>0.162863194011152</v>
      </c>
      <c r="Q6839" s="0" t="str">
        <f aca="false">SUBSTITUTE(SUBSTITUTE($I6839,CHAR(61),""),CHAR(34),"")</f>
        <v>35-49</v>
      </c>
      <c r="R6839" s="0" t="str">
        <f aca="false">IF($D6839&lt;&gt;"","["&amp;$E6839&amp;"]"&amp;"|"&amp;$Q6839&amp;"|"&amp;$K6839&amp;"|"&amp;$G6839&amp;"|"&amp;IF($G6839="TX_CURR_SUBNAT.R","CY2022Q4",$M6839),"")</f>
        <v>[JQKLKuVuY61]|35-49|Female|PLHIV_Residents.T2|CY2025Q3</v>
      </c>
    </row>
    <row r="6840" customFormat="false" ht="15" hidden="false" customHeight="false" outlineLevel="0" collapsed="false">
      <c r="D6840" s="0" t="s">
        <v>132</v>
      </c>
      <c r="E6840" s="0" t="s">
        <v>133</v>
      </c>
      <c r="F6840" s="0" t="s">
        <v>134</v>
      </c>
      <c r="G6840" s="0" t="s">
        <v>171</v>
      </c>
      <c r="H6840" s="0" t="s">
        <v>172</v>
      </c>
      <c r="I6840" s="0" t="s">
        <v>45</v>
      </c>
      <c r="J6840" s="0" t="s">
        <v>46</v>
      </c>
      <c r="K6840" s="0" t="s">
        <v>30</v>
      </c>
      <c r="L6840" s="0" t="s">
        <v>31</v>
      </c>
      <c r="M6840" s="0" t="s">
        <v>173</v>
      </c>
      <c r="N6840" s="0" t="n">
        <v>1039</v>
      </c>
      <c r="O6840" s="10" t="n">
        <v>0.17891416256316</v>
      </c>
      <c r="P6840" s="10" t="n">
        <v>0.162863194011152</v>
      </c>
      <c r="Q6840" s="0" t="str">
        <f aca="false">SUBSTITUTE(SUBSTITUTE($I6840,CHAR(61),""),CHAR(34),"")</f>
        <v>50+</v>
      </c>
      <c r="R6840" s="0" t="str">
        <f aca="false">IF($D6840&lt;&gt;"","["&amp;$E6840&amp;"]"&amp;"|"&amp;$Q6840&amp;"|"&amp;$K6840&amp;"|"&amp;$G6840&amp;"|"&amp;IF($G6840="TX_CURR_SUBNAT.R","CY2022Q4",$M6840),"")</f>
        <v>[JQKLKuVuY61]|50+|Female|PLHIV_Residents.T2|CY2025Q3</v>
      </c>
    </row>
    <row r="6841" customFormat="false" ht="15" hidden="false" customHeight="false" outlineLevel="0" collapsed="false">
      <c r="D6841" s="0" t="s">
        <v>132</v>
      </c>
      <c r="E6841" s="0" t="s">
        <v>133</v>
      </c>
      <c r="F6841" s="0" t="s">
        <v>134</v>
      </c>
      <c r="G6841" s="0" t="s">
        <v>171</v>
      </c>
      <c r="H6841" s="0" t="s">
        <v>172</v>
      </c>
      <c r="I6841" s="0" t="s">
        <v>28</v>
      </c>
      <c r="J6841" s="0" t="s">
        <v>29</v>
      </c>
      <c r="K6841" s="0" t="s">
        <v>48</v>
      </c>
      <c r="L6841" s="0" t="s">
        <v>49</v>
      </c>
      <c r="M6841" s="0" t="s">
        <v>173</v>
      </c>
      <c r="N6841" s="0" t="n">
        <v>1564</v>
      </c>
      <c r="O6841" s="10" t="n">
        <v>0.786849116208032</v>
      </c>
      <c r="P6841" s="10" t="n">
        <v>0.162863194011152</v>
      </c>
      <c r="Q6841" s="0" t="str">
        <f aca="false">SUBSTITUTE(SUBSTITUTE($I6841,CHAR(61),""),CHAR(34),"")</f>
        <v>&lt;01</v>
      </c>
      <c r="R6841" s="0" t="str">
        <f aca="false">IF($D6841&lt;&gt;"","["&amp;$E6841&amp;"]"&amp;"|"&amp;$Q6841&amp;"|"&amp;$K6841&amp;"|"&amp;$G6841&amp;"|"&amp;IF($G6841="TX_CURR_SUBNAT.R","CY2022Q4",$M6841),"")</f>
        <v>[JQKLKuVuY61]|&lt;01|Male|PLHIV_Residents.T2|CY2025Q3</v>
      </c>
    </row>
    <row r="6842" customFormat="false" ht="15" hidden="false" customHeight="false" outlineLevel="0" collapsed="false">
      <c r="D6842" s="0" t="s">
        <v>132</v>
      </c>
      <c r="E6842" s="0" t="s">
        <v>133</v>
      </c>
      <c r="F6842" s="0" t="s">
        <v>134</v>
      </c>
      <c r="G6842" s="0" t="s">
        <v>171</v>
      </c>
      <c r="H6842" s="0" t="s">
        <v>172</v>
      </c>
      <c r="I6842" s="0" t="s">
        <v>33</v>
      </c>
      <c r="J6842" s="0" t="s">
        <v>34</v>
      </c>
      <c r="K6842" s="0" t="s">
        <v>48</v>
      </c>
      <c r="L6842" s="0" t="s">
        <v>49</v>
      </c>
      <c r="M6842" s="0" t="s">
        <v>173</v>
      </c>
      <c r="N6842" s="0" t="n">
        <v>1165</v>
      </c>
      <c r="O6842" s="10" t="n">
        <v>0.557620775187388</v>
      </c>
      <c r="P6842" s="10" t="n">
        <v>0.162863194011152</v>
      </c>
      <c r="Q6842" s="0" t="str">
        <f aca="false">SUBSTITUTE(SUBSTITUTE($I6842,CHAR(61),""),CHAR(34),"")</f>
        <v>01-09</v>
      </c>
      <c r="R6842" s="0" t="str">
        <f aca="false">IF($D6842&lt;&gt;"","["&amp;$E6842&amp;"]"&amp;"|"&amp;$Q6842&amp;"|"&amp;$K6842&amp;"|"&amp;$G6842&amp;"|"&amp;IF($G6842="TX_CURR_SUBNAT.R","CY2022Q4",$M6842),"")</f>
        <v>[JQKLKuVuY61]|01-09|Male|PLHIV_Residents.T2|CY2025Q3</v>
      </c>
    </row>
    <row r="6843" customFormat="false" ht="15" hidden="false" customHeight="false" outlineLevel="0" collapsed="false">
      <c r="D6843" s="0" t="s">
        <v>132</v>
      </c>
      <c r="E6843" s="0" t="s">
        <v>133</v>
      </c>
      <c r="F6843" s="0" t="s">
        <v>134</v>
      </c>
      <c r="G6843" s="0" t="s">
        <v>171</v>
      </c>
      <c r="H6843" s="0" t="s">
        <v>172</v>
      </c>
      <c r="I6843" s="0" t="s">
        <v>36</v>
      </c>
      <c r="J6843" s="0" t="s">
        <v>37</v>
      </c>
      <c r="K6843" s="0" t="s">
        <v>48</v>
      </c>
      <c r="L6843" s="0" t="s">
        <v>49</v>
      </c>
      <c r="M6843" s="0" t="s">
        <v>173</v>
      </c>
      <c r="N6843" s="0" t="n">
        <v>663</v>
      </c>
      <c r="O6843" s="10" t="n">
        <v>0.544586024479941</v>
      </c>
      <c r="P6843" s="10" t="n">
        <v>0.162863194011152</v>
      </c>
      <c r="Q6843" s="0" t="str">
        <f aca="false">SUBSTITUTE(SUBSTITUTE($I6843,CHAR(61),""),CHAR(34),"")</f>
        <v>10-14</v>
      </c>
      <c r="R6843" s="0" t="str">
        <f aca="false">IF($D6843&lt;&gt;"","["&amp;$E6843&amp;"]"&amp;"|"&amp;$Q6843&amp;"|"&amp;$K6843&amp;"|"&amp;$G6843&amp;"|"&amp;IF($G6843="TX_CURR_SUBNAT.R","CY2022Q4",$M6843),"")</f>
        <v>[JQKLKuVuY61]|10-14|Male|PLHIV_Residents.T2|CY2025Q3</v>
      </c>
    </row>
    <row r="6844" customFormat="false" ht="15" hidden="false" customHeight="false" outlineLevel="0" collapsed="false">
      <c r="D6844" s="0" t="s">
        <v>132</v>
      </c>
      <c r="E6844" s="0" t="s">
        <v>133</v>
      </c>
      <c r="F6844" s="0" t="s">
        <v>134</v>
      </c>
      <c r="G6844" s="0" t="s">
        <v>171</v>
      </c>
      <c r="H6844" s="0" t="s">
        <v>172</v>
      </c>
      <c r="I6844" s="0" t="s">
        <v>38</v>
      </c>
      <c r="J6844" s="0" t="s">
        <v>39</v>
      </c>
      <c r="K6844" s="0" t="s">
        <v>48</v>
      </c>
      <c r="L6844" s="0" t="s">
        <v>49</v>
      </c>
      <c r="M6844" s="0" t="s">
        <v>173</v>
      </c>
      <c r="N6844" s="0" t="n">
        <v>1540</v>
      </c>
      <c r="O6844" s="10" t="n">
        <v>0.775797329843044</v>
      </c>
      <c r="P6844" s="10" t="n">
        <v>0.162863194011152</v>
      </c>
      <c r="Q6844" s="0" t="str">
        <f aca="false">SUBSTITUTE(SUBSTITUTE($I6844,CHAR(61),""),CHAR(34),"")</f>
        <v>15-24</v>
      </c>
      <c r="R6844" s="0" t="str">
        <f aca="false">IF($D6844&lt;&gt;"","["&amp;$E6844&amp;"]"&amp;"|"&amp;$Q6844&amp;"|"&amp;$K6844&amp;"|"&amp;$G6844&amp;"|"&amp;IF($G6844="TX_CURR_SUBNAT.R","CY2022Q4",$M6844),"")</f>
        <v>[JQKLKuVuY61]|15-24|Male|PLHIV_Residents.T2|CY2025Q3</v>
      </c>
    </row>
    <row r="6845" customFormat="false" ht="15" hidden="false" customHeight="false" outlineLevel="0" collapsed="false">
      <c r="D6845" s="0" t="s">
        <v>132</v>
      </c>
      <c r="E6845" s="0" t="s">
        <v>133</v>
      </c>
      <c r="F6845" s="0" t="s">
        <v>134</v>
      </c>
      <c r="G6845" s="0" t="s">
        <v>171</v>
      </c>
      <c r="H6845" s="0" t="s">
        <v>172</v>
      </c>
      <c r="I6845" s="0" t="s">
        <v>41</v>
      </c>
      <c r="J6845" s="0" t="s">
        <v>42</v>
      </c>
      <c r="K6845" s="0" t="s">
        <v>48</v>
      </c>
      <c r="L6845" s="0" t="s">
        <v>49</v>
      </c>
      <c r="M6845" s="0" t="s">
        <v>173</v>
      </c>
      <c r="N6845" s="0" t="n">
        <v>1691</v>
      </c>
      <c r="O6845" s="10" t="n">
        <v>0.424123058561236</v>
      </c>
      <c r="P6845" s="10" t="n">
        <v>0.162863194011152</v>
      </c>
      <c r="Q6845" s="0" t="str">
        <f aca="false">SUBSTITUTE(SUBSTITUTE($I6845,CHAR(61),""),CHAR(34),"")</f>
        <v>25-34</v>
      </c>
      <c r="R6845" s="0" t="str">
        <f aca="false">IF($D6845&lt;&gt;"","["&amp;$E6845&amp;"]"&amp;"|"&amp;$Q6845&amp;"|"&amp;$K6845&amp;"|"&amp;$G6845&amp;"|"&amp;IF($G6845="TX_CURR_SUBNAT.R","CY2022Q4",$M6845),"")</f>
        <v>[JQKLKuVuY61]|25-34|Male|PLHIV_Residents.T2|CY2025Q3</v>
      </c>
    </row>
    <row r="6846" customFormat="false" ht="15" hidden="false" customHeight="false" outlineLevel="0" collapsed="false">
      <c r="D6846" s="0" t="s">
        <v>132</v>
      </c>
      <c r="E6846" s="0" t="s">
        <v>133</v>
      </c>
      <c r="F6846" s="0" t="s">
        <v>134</v>
      </c>
      <c r="G6846" s="0" t="s">
        <v>171</v>
      </c>
      <c r="H6846" s="0" t="s">
        <v>172</v>
      </c>
      <c r="I6846" s="0" t="s">
        <v>43</v>
      </c>
      <c r="J6846" s="0" t="s">
        <v>44</v>
      </c>
      <c r="K6846" s="0" t="s">
        <v>48</v>
      </c>
      <c r="L6846" s="0" t="s">
        <v>49</v>
      </c>
      <c r="M6846" s="0" t="s">
        <v>173</v>
      </c>
      <c r="N6846" s="0" t="n">
        <v>1817</v>
      </c>
      <c r="O6846" s="10" t="n">
        <v>0.721633916720748</v>
      </c>
      <c r="P6846" s="10" t="n">
        <v>0.162863194011152</v>
      </c>
      <c r="Q6846" s="0" t="str">
        <f aca="false">SUBSTITUTE(SUBSTITUTE($I6846,CHAR(61),""),CHAR(34),"")</f>
        <v>35-49</v>
      </c>
      <c r="R6846" s="0" t="str">
        <f aca="false">IF($D6846&lt;&gt;"","["&amp;$E6846&amp;"]"&amp;"|"&amp;$Q6846&amp;"|"&amp;$K6846&amp;"|"&amp;$G6846&amp;"|"&amp;IF($G6846="TX_CURR_SUBNAT.R","CY2022Q4",$M6846),"")</f>
        <v>[JQKLKuVuY61]|35-49|Male|PLHIV_Residents.T2|CY2025Q3</v>
      </c>
    </row>
    <row r="6847" customFormat="false" ht="15" hidden="false" customHeight="false" outlineLevel="0" collapsed="false">
      <c r="D6847" s="0" t="s">
        <v>132</v>
      </c>
      <c r="E6847" s="0" t="s">
        <v>133</v>
      </c>
      <c r="F6847" s="0" t="s">
        <v>134</v>
      </c>
      <c r="G6847" s="0" t="s">
        <v>171</v>
      </c>
      <c r="H6847" s="0" t="s">
        <v>172</v>
      </c>
      <c r="I6847" s="0" t="s">
        <v>45</v>
      </c>
      <c r="J6847" s="0" t="s">
        <v>46</v>
      </c>
      <c r="K6847" s="0" t="s">
        <v>48</v>
      </c>
      <c r="L6847" s="0" t="s">
        <v>49</v>
      </c>
      <c r="M6847" s="0" t="s">
        <v>173</v>
      </c>
      <c r="N6847" s="0" t="n">
        <v>1801</v>
      </c>
      <c r="O6847" s="10" t="n">
        <v>0.431809911038727</v>
      </c>
      <c r="P6847" s="10" t="n">
        <v>0.162863194011152</v>
      </c>
      <c r="Q6847" s="0" t="str">
        <f aca="false">SUBSTITUTE(SUBSTITUTE($I6847,CHAR(61),""),CHAR(34),"")</f>
        <v>50+</v>
      </c>
      <c r="R6847" s="0" t="str">
        <f aca="false">IF($D6847&lt;&gt;"","["&amp;$E6847&amp;"]"&amp;"|"&amp;$Q6847&amp;"|"&amp;$K6847&amp;"|"&amp;$G6847&amp;"|"&amp;IF($G6847="TX_CURR_SUBNAT.R","CY2022Q4",$M6847),"")</f>
        <v>[JQKLKuVuY61]|50+|Male|PLHIV_Residents.T2|CY2025Q3</v>
      </c>
    </row>
    <row r="6848" customFormat="false" ht="15" hidden="false" customHeight="false" outlineLevel="0" collapsed="false">
      <c r="D6848" s="0" t="s">
        <v>135</v>
      </c>
      <c r="E6848" s="0" t="s">
        <v>136</v>
      </c>
      <c r="F6848" s="0" t="s">
        <v>137</v>
      </c>
      <c r="G6848" s="0" t="s">
        <v>171</v>
      </c>
      <c r="H6848" s="0" t="s">
        <v>172</v>
      </c>
      <c r="I6848" s="0" t="s">
        <v>28</v>
      </c>
      <c r="J6848" s="0" t="s">
        <v>29</v>
      </c>
      <c r="K6848" s="0" t="s">
        <v>30</v>
      </c>
      <c r="L6848" s="0" t="s">
        <v>31</v>
      </c>
      <c r="M6848" s="0" t="s">
        <v>173</v>
      </c>
      <c r="N6848" s="0" t="n">
        <v>1836</v>
      </c>
      <c r="O6848" s="10" t="n">
        <v>0.158645421033725</v>
      </c>
      <c r="P6848" s="10" t="n">
        <v>0.955300528323278</v>
      </c>
      <c r="Q6848" s="0" t="str">
        <f aca="false">SUBSTITUTE(SUBSTITUTE($I6848,CHAR(61),""),CHAR(34),"")</f>
        <v>&lt;01</v>
      </c>
      <c r="R6848" s="0" t="str">
        <f aca="false">IF($D6848&lt;&gt;"","["&amp;$E6848&amp;"]"&amp;"|"&amp;$Q6848&amp;"|"&amp;$K6848&amp;"|"&amp;$G6848&amp;"|"&amp;IF($G6848="TX_CURR_SUBNAT.R","CY2022Q4",$M6848),"")</f>
        <v>[fiRkU6gEjLz]|&lt;01|Female|PLHIV_Residents.T2|CY2025Q3</v>
      </c>
    </row>
    <row r="6849" customFormat="false" ht="15" hidden="false" customHeight="false" outlineLevel="0" collapsed="false">
      <c r="D6849" s="0" t="s">
        <v>135</v>
      </c>
      <c r="E6849" s="0" t="s">
        <v>136</v>
      </c>
      <c r="F6849" s="0" t="s">
        <v>137</v>
      </c>
      <c r="G6849" s="0" t="s">
        <v>171</v>
      </c>
      <c r="H6849" s="0" t="s">
        <v>172</v>
      </c>
      <c r="I6849" s="0" t="s">
        <v>33</v>
      </c>
      <c r="J6849" s="0" t="s">
        <v>34</v>
      </c>
      <c r="K6849" s="0" t="s">
        <v>30</v>
      </c>
      <c r="L6849" s="0" t="s">
        <v>31</v>
      </c>
      <c r="M6849" s="0" t="s">
        <v>173</v>
      </c>
      <c r="N6849" s="0" t="n">
        <v>921</v>
      </c>
      <c r="O6849" s="10" t="n">
        <v>0.581237261882052</v>
      </c>
      <c r="P6849" s="10" t="n">
        <v>0.955300528323278</v>
      </c>
      <c r="Q6849" s="0" t="str">
        <f aca="false">SUBSTITUTE(SUBSTITUTE($I6849,CHAR(61),""),CHAR(34),"")</f>
        <v>01-09</v>
      </c>
      <c r="R6849" s="0" t="str">
        <f aca="false">IF($D6849&lt;&gt;"","["&amp;$E6849&amp;"]"&amp;"|"&amp;$Q6849&amp;"|"&amp;$K6849&amp;"|"&amp;$G6849&amp;"|"&amp;IF($G6849="TX_CURR_SUBNAT.R","CY2022Q4",$M6849),"")</f>
        <v>[fiRkU6gEjLz]|01-09|Female|PLHIV_Residents.T2|CY2025Q3</v>
      </c>
    </row>
    <row r="6850" customFormat="false" ht="15" hidden="false" customHeight="false" outlineLevel="0" collapsed="false">
      <c r="D6850" s="0" t="s">
        <v>135</v>
      </c>
      <c r="E6850" s="0" t="s">
        <v>136</v>
      </c>
      <c r="F6850" s="0" t="s">
        <v>137</v>
      </c>
      <c r="G6850" s="0" t="s">
        <v>171</v>
      </c>
      <c r="H6850" s="0" t="s">
        <v>172</v>
      </c>
      <c r="I6850" s="0" t="s">
        <v>36</v>
      </c>
      <c r="J6850" s="0" t="s">
        <v>37</v>
      </c>
      <c r="K6850" s="0" t="s">
        <v>30</v>
      </c>
      <c r="L6850" s="0" t="s">
        <v>31</v>
      </c>
      <c r="M6850" s="0" t="s">
        <v>173</v>
      </c>
      <c r="N6850" s="0" t="n">
        <v>1125</v>
      </c>
      <c r="O6850" s="10" t="n">
        <v>0.698187720729038</v>
      </c>
      <c r="P6850" s="10" t="n">
        <v>0.955300528323278</v>
      </c>
      <c r="Q6850" s="0" t="str">
        <f aca="false">SUBSTITUTE(SUBSTITUTE($I6850,CHAR(61),""),CHAR(34),"")</f>
        <v>10-14</v>
      </c>
      <c r="R6850" s="0" t="str">
        <f aca="false">IF($D6850&lt;&gt;"","["&amp;$E6850&amp;"]"&amp;"|"&amp;$Q6850&amp;"|"&amp;$K6850&amp;"|"&amp;$G6850&amp;"|"&amp;IF($G6850="TX_CURR_SUBNAT.R","CY2022Q4",$M6850),"")</f>
        <v>[fiRkU6gEjLz]|10-14|Female|PLHIV_Residents.T2|CY2025Q3</v>
      </c>
    </row>
    <row r="6851" customFormat="false" ht="15" hidden="false" customHeight="false" outlineLevel="0" collapsed="false">
      <c r="D6851" s="0" t="s">
        <v>135</v>
      </c>
      <c r="E6851" s="0" t="s">
        <v>136</v>
      </c>
      <c r="F6851" s="0" t="s">
        <v>137</v>
      </c>
      <c r="G6851" s="0" t="s">
        <v>171</v>
      </c>
      <c r="H6851" s="0" t="s">
        <v>172</v>
      </c>
      <c r="I6851" s="0" t="s">
        <v>38</v>
      </c>
      <c r="J6851" s="0" t="s">
        <v>39</v>
      </c>
      <c r="K6851" s="0" t="s">
        <v>30</v>
      </c>
      <c r="L6851" s="0" t="s">
        <v>31</v>
      </c>
      <c r="M6851" s="0" t="s">
        <v>173</v>
      </c>
      <c r="N6851" s="0" t="n">
        <v>678</v>
      </c>
      <c r="O6851" s="10" t="n">
        <v>0.831731816055253</v>
      </c>
      <c r="P6851" s="10" t="n">
        <v>0.955300528323278</v>
      </c>
      <c r="Q6851" s="0" t="str">
        <f aca="false">SUBSTITUTE(SUBSTITUTE($I6851,CHAR(61),""),CHAR(34),"")</f>
        <v>15-24</v>
      </c>
      <c r="R6851" s="0" t="str">
        <f aca="false">IF($D6851&lt;&gt;"","["&amp;$E6851&amp;"]"&amp;"|"&amp;$Q6851&amp;"|"&amp;$K6851&amp;"|"&amp;$G6851&amp;"|"&amp;IF($G6851="TX_CURR_SUBNAT.R","CY2022Q4",$M6851),"")</f>
        <v>[fiRkU6gEjLz]|15-24|Female|PLHIV_Residents.T2|CY2025Q3</v>
      </c>
    </row>
    <row r="6852" customFormat="false" ht="15" hidden="false" customHeight="false" outlineLevel="0" collapsed="false">
      <c r="D6852" s="0" t="s">
        <v>135</v>
      </c>
      <c r="E6852" s="0" t="s">
        <v>136</v>
      </c>
      <c r="F6852" s="0" t="s">
        <v>137</v>
      </c>
      <c r="G6852" s="0" t="s">
        <v>171</v>
      </c>
      <c r="H6852" s="0" t="s">
        <v>172</v>
      </c>
      <c r="I6852" s="0" t="s">
        <v>41</v>
      </c>
      <c r="J6852" s="0" t="s">
        <v>42</v>
      </c>
      <c r="K6852" s="0" t="s">
        <v>30</v>
      </c>
      <c r="L6852" s="0" t="s">
        <v>31</v>
      </c>
      <c r="M6852" s="0" t="s">
        <v>173</v>
      </c>
      <c r="N6852" s="0" t="n">
        <v>836</v>
      </c>
      <c r="O6852" s="10" t="n">
        <v>0.55860816501081</v>
      </c>
      <c r="P6852" s="10" t="n">
        <v>0.955300528323278</v>
      </c>
      <c r="Q6852" s="0" t="str">
        <f aca="false">SUBSTITUTE(SUBSTITUTE($I6852,CHAR(61),""),CHAR(34),"")</f>
        <v>25-34</v>
      </c>
      <c r="R6852" s="0" t="str">
        <f aca="false">IF($D6852&lt;&gt;"","["&amp;$E6852&amp;"]"&amp;"|"&amp;$Q6852&amp;"|"&amp;$K6852&amp;"|"&amp;$G6852&amp;"|"&amp;IF($G6852="TX_CURR_SUBNAT.R","CY2022Q4",$M6852),"")</f>
        <v>[fiRkU6gEjLz]|25-34|Female|PLHIV_Residents.T2|CY2025Q3</v>
      </c>
    </row>
    <row r="6853" customFormat="false" ht="15" hidden="false" customHeight="false" outlineLevel="0" collapsed="false">
      <c r="D6853" s="0" t="s">
        <v>135</v>
      </c>
      <c r="E6853" s="0" t="s">
        <v>136</v>
      </c>
      <c r="F6853" s="0" t="s">
        <v>137</v>
      </c>
      <c r="G6853" s="0" t="s">
        <v>171</v>
      </c>
      <c r="H6853" s="0" t="s">
        <v>172</v>
      </c>
      <c r="I6853" s="0" t="s">
        <v>43</v>
      </c>
      <c r="J6853" s="0" t="s">
        <v>44</v>
      </c>
      <c r="K6853" s="0" t="s">
        <v>30</v>
      </c>
      <c r="L6853" s="0" t="s">
        <v>31</v>
      </c>
      <c r="M6853" s="0" t="s">
        <v>173</v>
      </c>
      <c r="N6853" s="0" t="n">
        <v>1131</v>
      </c>
      <c r="O6853" s="10" t="n">
        <v>0.889124644454569</v>
      </c>
      <c r="P6853" s="10" t="n">
        <v>0.955300528323278</v>
      </c>
      <c r="Q6853" s="0" t="str">
        <f aca="false">SUBSTITUTE(SUBSTITUTE($I6853,CHAR(61),""),CHAR(34),"")</f>
        <v>35-49</v>
      </c>
      <c r="R6853" s="0" t="str">
        <f aca="false">IF($D6853&lt;&gt;"","["&amp;$E6853&amp;"]"&amp;"|"&amp;$Q6853&amp;"|"&amp;$K6853&amp;"|"&amp;$G6853&amp;"|"&amp;IF($G6853="TX_CURR_SUBNAT.R","CY2022Q4",$M6853),"")</f>
        <v>[fiRkU6gEjLz]|35-49|Female|PLHIV_Residents.T2|CY2025Q3</v>
      </c>
    </row>
    <row r="6854" customFormat="false" ht="15" hidden="false" customHeight="false" outlineLevel="0" collapsed="false">
      <c r="D6854" s="0" t="s">
        <v>135</v>
      </c>
      <c r="E6854" s="0" t="s">
        <v>136</v>
      </c>
      <c r="F6854" s="0" t="s">
        <v>137</v>
      </c>
      <c r="G6854" s="0" t="s">
        <v>171</v>
      </c>
      <c r="H6854" s="0" t="s">
        <v>172</v>
      </c>
      <c r="I6854" s="0" t="s">
        <v>45</v>
      </c>
      <c r="J6854" s="0" t="s">
        <v>46</v>
      </c>
      <c r="K6854" s="0" t="s">
        <v>30</v>
      </c>
      <c r="L6854" s="0" t="s">
        <v>31</v>
      </c>
      <c r="M6854" s="0" t="s">
        <v>173</v>
      </c>
      <c r="N6854" s="0" t="n">
        <v>575</v>
      </c>
      <c r="O6854" s="10" t="n">
        <v>0.04721495276317</v>
      </c>
      <c r="P6854" s="10" t="n">
        <v>0.955300528323278</v>
      </c>
      <c r="Q6854" s="0" t="str">
        <f aca="false">SUBSTITUTE(SUBSTITUTE($I6854,CHAR(61),""),CHAR(34),"")</f>
        <v>50+</v>
      </c>
      <c r="R6854" s="0" t="str">
        <f aca="false">IF($D6854&lt;&gt;"","["&amp;$E6854&amp;"]"&amp;"|"&amp;$Q6854&amp;"|"&amp;$K6854&amp;"|"&amp;$G6854&amp;"|"&amp;IF($G6854="TX_CURR_SUBNAT.R","CY2022Q4",$M6854),"")</f>
        <v>[fiRkU6gEjLz]|50+|Female|PLHIV_Residents.T2|CY2025Q3</v>
      </c>
    </row>
    <row r="6855" customFormat="false" ht="15" hidden="false" customHeight="false" outlineLevel="0" collapsed="false">
      <c r="D6855" s="0" t="s">
        <v>135</v>
      </c>
      <c r="E6855" s="0" t="s">
        <v>136</v>
      </c>
      <c r="F6855" s="0" t="s">
        <v>137</v>
      </c>
      <c r="G6855" s="0" t="s">
        <v>171</v>
      </c>
      <c r="H6855" s="0" t="s">
        <v>172</v>
      </c>
      <c r="I6855" s="0" t="s">
        <v>28</v>
      </c>
      <c r="J6855" s="0" t="s">
        <v>29</v>
      </c>
      <c r="K6855" s="0" t="s">
        <v>48</v>
      </c>
      <c r="L6855" s="0" t="s">
        <v>49</v>
      </c>
      <c r="M6855" s="0" t="s">
        <v>173</v>
      </c>
      <c r="N6855" s="0" t="n">
        <v>1872</v>
      </c>
      <c r="O6855" s="10" t="n">
        <v>0.775451107416302</v>
      </c>
      <c r="P6855" s="10" t="n">
        <v>0.955300528323278</v>
      </c>
      <c r="Q6855" s="0" t="str">
        <f aca="false">SUBSTITUTE(SUBSTITUTE($I6855,CHAR(61),""),CHAR(34),"")</f>
        <v>&lt;01</v>
      </c>
      <c r="R6855" s="0" t="str">
        <f aca="false">IF($D6855&lt;&gt;"","["&amp;$E6855&amp;"]"&amp;"|"&amp;$Q6855&amp;"|"&amp;$K6855&amp;"|"&amp;$G6855&amp;"|"&amp;IF($G6855="TX_CURR_SUBNAT.R","CY2022Q4",$M6855),"")</f>
        <v>[fiRkU6gEjLz]|&lt;01|Male|PLHIV_Residents.T2|CY2025Q3</v>
      </c>
    </row>
    <row r="6856" customFormat="false" ht="15" hidden="false" customHeight="false" outlineLevel="0" collapsed="false">
      <c r="D6856" s="0" t="s">
        <v>135</v>
      </c>
      <c r="E6856" s="0" t="s">
        <v>136</v>
      </c>
      <c r="F6856" s="0" t="s">
        <v>137</v>
      </c>
      <c r="G6856" s="0" t="s">
        <v>171</v>
      </c>
      <c r="H6856" s="0" t="s">
        <v>172</v>
      </c>
      <c r="I6856" s="0" t="s">
        <v>33</v>
      </c>
      <c r="J6856" s="0" t="s">
        <v>34</v>
      </c>
      <c r="K6856" s="0" t="s">
        <v>48</v>
      </c>
      <c r="L6856" s="0" t="s">
        <v>49</v>
      </c>
      <c r="M6856" s="0" t="s">
        <v>173</v>
      </c>
      <c r="N6856" s="0" t="n">
        <v>1309</v>
      </c>
      <c r="O6856" s="10" t="n">
        <v>0.145033178385347</v>
      </c>
      <c r="P6856" s="10" t="n">
        <v>0.955300528323278</v>
      </c>
      <c r="Q6856" s="0" t="str">
        <f aca="false">SUBSTITUTE(SUBSTITUTE($I6856,CHAR(61),""),CHAR(34),"")</f>
        <v>01-09</v>
      </c>
      <c r="R6856" s="0" t="str">
        <f aca="false">IF($D6856&lt;&gt;"","["&amp;$E6856&amp;"]"&amp;"|"&amp;$Q6856&amp;"|"&amp;$K6856&amp;"|"&amp;$G6856&amp;"|"&amp;IF($G6856="TX_CURR_SUBNAT.R","CY2022Q4",$M6856),"")</f>
        <v>[fiRkU6gEjLz]|01-09|Male|PLHIV_Residents.T2|CY2025Q3</v>
      </c>
    </row>
    <row r="6857" customFormat="false" ht="15" hidden="false" customHeight="false" outlineLevel="0" collapsed="false">
      <c r="D6857" s="0" t="s">
        <v>135</v>
      </c>
      <c r="E6857" s="0" t="s">
        <v>136</v>
      </c>
      <c r="F6857" s="0" t="s">
        <v>137</v>
      </c>
      <c r="G6857" s="0" t="s">
        <v>171</v>
      </c>
      <c r="H6857" s="0" t="s">
        <v>172</v>
      </c>
      <c r="I6857" s="0" t="s">
        <v>36</v>
      </c>
      <c r="J6857" s="0" t="s">
        <v>37</v>
      </c>
      <c r="K6857" s="0" t="s">
        <v>48</v>
      </c>
      <c r="L6857" s="0" t="s">
        <v>49</v>
      </c>
      <c r="M6857" s="0" t="s">
        <v>173</v>
      </c>
      <c r="N6857" s="0" t="n">
        <v>1021</v>
      </c>
      <c r="O6857" s="10" t="n">
        <v>0.00307364668697119</v>
      </c>
      <c r="P6857" s="10" t="n">
        <v>0.955300528323278</v>
      </c>
      <c r="Q6857" s="0" t="str">
        <f aca="false">SUBSTITUTE(SUBSTITUTE($I6857,CHAR(61),""),CHAR(34),"")</f>
        <v>10-14</v>
      </c>
      <c r="R6857" s="0" t="str">
        <f aca="false">IF($D6857&lt;&gt;"","["&amp;$E6857&amp;"]"&amp;"|"&amp;$Q6857&amp;"|"&amp;$K6857&amp;"|"&amp;$G6857&amp;"|"&amp;IF($G6857="TX_CURR_SUBNAT.R","CY2022Q4",$M6857),"")</f>
        <v>[fiRkU6gEjLz]|10-14|Male|PLHIV_Residents.T2|CY2025Q3</v>
      </c>
    </row>
    <row r="6858" customFormat="false" ht="15" hidden="false" customHeight="false" outlineLevel="0" collapsed="false">
      <c r="D6858" s="0" t="s">
        <v>135</v>
      </c>
      <c r="E6858" s="0" t="s">
        <v>136</v>
      </c>
      <c r="F6858" s="0" t="s">
        <v>137</v>
      </c>
      <c r="G6858" s="0" t="s">
        <v>171</v>
      </c>
      <c r="H6858" s="0" t="s">
        <v>172</v>
      </c>
      <c r="I6858" s="0" t="s">
        <v>38</v>
      </c>
      <c r="J6858" s="0" t="s">
        <v>39</v>
      </c>
      <c r="K6858" s="0" t="s">
        <v>48</v>
      </c>
      <c r="L6858" s="0" t="s">
        <v>49</v>
      </c>
      <c r="M6858" s="0" t="s">
        <v>173</v>
      </c>
      <c r="N6858" s="0" t="n">
        <v>1041</v>
      </c>
      <c r="O6858" s="10" t="n">
        <v>0.332880154019222</v>
      </c>
      <c r="P6858" s="10" t="n">
        <v>0.955300528323278</v>
      </c>
      <c r="Q6858" s="0" t="str">
        <f aca="false">SUBSTITUTE(SUBSTITUTE($I6858,CHAR(61),""),CHAR(34),"")</f>
        <v>15-24</v>
      </c>
      <c r="R6858" s="0" t="str">
        <f aca="false">IF($D6858&lt;&gt;"","["&amp;$E6858&amp;"]"&amp;"|"&amp;$Q6858&amp;"|"&amp;$K6858&amp;"|"&amp;$G6858&amp;"|"&amp;IF($G6858="TX_CURR_SUBNAT.R","CY2022Q4",$M6858),"")</f>
        <v>[fiRkU6gEjLz]|15-24|Male|PLHIV_Residents.T2|CY2025Q3</v>
      </c>
    </row>
    <row r="6859" customFormat="false" ht="15" hidden="false" customHeight="false" outlineLevel="0" collapsed="false">
      <c r="D6859" s="0" t="s">
        <v>135</v>
      </c>
      <c r="E6859" s="0" t="s">
        <v>136</v>
      </c>
      <c r="F6859" s="0" t="s">
        <v>137</v>
      </c>
      <c r="G6859" s="0" t="s">
        <v>171</v>
      </c>
      <c r="H6859" s="0" t="s">
        <v>172</v>
      </c>
      <c r="I6859" s="0" t="s">
        <v>41</v>
      </c>
      <c r="J6859" s="0" t="s">
        <v>42</v>
      </c>
      <c r="K6859" s="0" t="s">
        <v>48</v>
      </c>
      <c r="L6859" s="0" t="s">
        <v>49</v>
      </c>
      <c r="M6859" s="0" t="s">
        <v>173</v>
      </c>
      <c r="N6859" s="0" t="n">
        <v>979</v>
      </c>
      <c r="O6859" s="10" t="n">
        <v>0.95298710744828</v>
      </c>
      <c r="P6859" s="10" t="n">
        <v>0.955300528323278</v>
      </c>
      <c r="Q6859" s="0" t="str">
        <f aca="false">SUBSTITUTE(SUBSTITUTE($I6859,CHAR(61),""),CHAR(34),"")</f>
        <v>25-34</v>
      </c>
      <c r="R6859" s="0" t="str">
        <f aca="false">IF($D6859&lt;&gt;"","["&amp;$E6859&amp;"]"&amp;"|"&amp;$Q6859&amp;"|"&amp;$K6859&amp;"|"&amp;$G6859&amp;"|"&amp;IF($G6859="TX_CURR_SUBNAT.R","CY2022Q4",$M6859),"")</f>
        <v>[fiRkU6gEjLz]|25-34|Male|PLHIV_Residents.T2|CY2025Q3</v>
      </c>
    </row>
    <row r="6860" customFormat="false" ht="15" hidden="false" customHeight="false" outlineLevel="0" collapsed="false">
      <c r="D6860" s="0" t="s">
        <v>135</v>
      </c>
      <c r="E6860" s="0" t="s">
        <v>136</v>
      </c>
      <c r="F6860" s="0" t="s">
        <v>137</v>
      </c>
      <c r="G6860" s="0" t="s">
        <v>171</v>
      </c>
      <c r="H6860" s="0" t="s">
        <v>172</v>
      </c>
      <c r="I6860" s="0" t="s">
        <v>43</v>
      </c>
      <c r="J6860" s="0" t="s">
        <v>44</v>
      </c>
      <c r="K6860" s="0" t="s">
        <v>48</v>
      </c>
      <c r="L6860" s="0" t="s">
        <v>49</v>
      </c>
      <c r="M6860" s="0" t="s">
        <v>173</v>
      </c>
      <c r="N6860" s="0" t="n">
        <v>1449</v>
      </c>
      <c r="O6860" s="10" t="n">
        <v>0.609492403455079</v>
      </c>
      <c r="P6860" s="10" t="n">
        <v>0.955300528323278</v>
      </c>
      <c r="Q6860" s="0" t="str">
        <f aca="false">SUBSTITUTE(SUBSTITUTE($I6860,CHAR(61),""),CHAR(34),"")</f>
        <v>35-49</v>
      </c>
      <c r="R6860" s="0" t="str">
        <f aca="false">IF($D6860&lt;&gt;"","["&amp;$E6860&amp;"]"&amp;"|"&amp;$Q6860&amp;"|"&amp;$K6860&amp;"|"&amp;$G6860&amp;"|"&amp;IF($G6860="TX_CURR_SUBNAT.R","CY2022Q4",$M6860),"")</f>
        <v>[fiRkU6gEjLz]|35-49|Male|PLHIV_Residents.T2|CY2025Q3</v>
      </c>
    </row>
    <row r="6861" customFormat="false" ht="15" hidden="false" customHeight="false" outlineLevel="0" collapsed="false">
      <c r="D6861" s="0" t="s">
        <v>135</v>
      </c>
      <c r="E6861" s="0" t="s">
        <v>136</v>
      </c>
      <c r="F6861" s="0" t="s">
        <v>137</v>
      </c>
      <c r="G6861" s="0" t="s">
        <v>171</v>
      </c>
      <c r="H6861" s="0" t="s">
        <v>172</v>
      </c>
      <c r="I6861" s="0" t="s">
        <v>45</v>
      </c>
      <c r="J6861" s="0" t="s">
        <v>46</v>
      </c>
      <c r="K6861" s="0" t="s">
        <v>48</v>
      </c>
      <c r="L6861" s="0" t="s">
        <v>49</v>
      </c>
      <c r="M6861" s="0" t="s">
        <v>173</v>
      </c>
      <c r="N6861" s="0" t="n">
        <v>1358</v>
      </c>
      <c r="O6861" s="10" t="n">
        <v>0.996547722490504</v>
      </c>
      <c r="P6861" s="10" t="n">
        <v>0.955300528323278</v>
      </c>
      <c r="Q6861" s="0" t="str">
        <f aca="false">SUBSTITUTE(SUBSTITUTE($I6861,CHAR(61),""),CHAR(34),"")</f>
        <v>50+</v>
      </c>
      <c r="R6861" s="0" t="str">
        <f aca="false">IF($D6861&lt;&gt;"","["&amp;$E6861&amp;"]"&amp;"|"&amp;$Q6861&amp;"|"&amp;$K6861&amp;"|"&amp;$G6861&amp;"|"&amp;IF($G6861="TX_CURR_SUBNAT.R","CY2022Q4",$M6861),"")</f>
        <v>[fiRkU6gEjLz]|50+|Male|PLHIV_Residents.T2|CY2025Q3</v>
      </c>
    </row>
    <row r="6862" customFormat="false" ht="15" hidden="false" customHeight="false" outlineLevel="0" collapsed="false">
      <c r="D6862" s="0" t="s">
        <v>23</v>
      </c>
      <c r="E6862" s="0" t="s">
        <v>24</v>
      </c>
      <c r="F6862" s="0" t="s">
        <v>25</v>
      </c>
      <c r="G6862" s="0" t="s">
        <v>174</v>
      </c>
      <c r="H6862" s="0" t="s">
        <v>174</v>
      </c>
      <c r="I6862" s="0" t="s">
        <v>28</v>
      </c>
      <c r="J6862" s="0" t="s">
        <v>29</v>
      </c>
      <c r="K6862" s="0" t="s">
        <v>30</v>
      </c>
      <c r="L6862" s="0" t="s">
        <v>31</v>
      </c>
      <c r="M6862" s="0" t="s">
        <v>173</v>
      </c>
      <c r="N6862" s="0" t="n">
        <v>1481</v>
      </c>
      <c r="O6862" s="10" t="n">
        <v>0.748052718350664</v>
      </c>
      <c r="P6862" s="10" t="n">
        <v>0.404358610976487</v>
      </c>
      <c r="Q6862" s="0" t="str">
        <f aca="false">SUBSTITUTE(SUBSTITUTE($I6862,CHAR(61),""),CHAR(34),"")</f>
        <v>&lt;01</v>
      </c>
      <c r="R6862" s="0" t="str">
        <f aca="false">IF($D6862&lt;&gt;"","["&amp;$E6862&amp;"]"&amp;"|"&amp;$Q6862&amp;"|"&amp;$K6862&amp;"|"&amp;$G6862&amp;"|"&amp;IF($G6862="TX_CURR_SUBNAT.R","CY2022Q4",$M6862),"")</f>
        <v>[GkIwZrXy1h2]|&lt;01|Female|PLHIV_Attend.T2|CY2025Q3</v>
      </c>
    </row>
    <row r="6863" customFormat="false" ht="15" hidden="false" customHeight="false" outlineLevel="0" collapsed="false">
      <c r="D6863" s="0" t="s">
        <v>23</v>
      </c>
      <c r="E6863" s="0" t="s">
        <v>24</v>
      </c>
      <c r="F6863" s="0" t="s">
        <v>25</v>
      </c>
      <c r="G6863" s="0" t="s">
        <v>174</v>
      </c>
      <c r="H6863" s="0" t="s">
        <v>174</v>
      </c>
      <c r="I6863" s="0" t="s">
        <v>33</v>
      </c>
      <c r="J6863" s="0" t="s">
        <v>34</v>
      </c>
      <c r="K6863" s="0" t="s">
        <v>30</v>
      </c>
      <c r="L6863" s="0" t="s">
        <v>31</v>
      </c>
      <c r="M6863" s="0" t="s">
        <v>173</v>
      </c>
      <c r="N6863" s="0" t="n">
        <v>560</v>
      </c>
      <c r="O6863" s="10" t="n">
        <v>0.106758311158046</v>
      </c>
      <c r="P6863" s="10" t="n">
        <v>0.404358610976487</v>
      </c>
      <c r="Q6863" s="0" t="str">
        <f aca="false">SUBSTITUTE(SUBSTITUTE($I6863,CHAR(61),""),CHAR(34),"")</f>
        <v>01-09</v>
      </c>
      <c r="R6863" s="0" t="str">
        <f aca="false">IF($D6863&lt;&gt;"","["&amp;$E6863&amp;"]"&amp;"|"&amp;$Q6863&amp;"|"&amp;$K6863&amp;"|"&amp;$G6863&amp;"|"&amp;IF($G6863="TX_CURR_SUBNAT.R","CY2022Q4",$M6863),"")</f>
        <v>[GkIwZrXy1h2]|01-09|Female|PLHIV_Attend.T2|CY2025Q3</v>
      </c>
    </row>
    <row r="6864" customFormat="false" ht="15" hidden="false" customHeight="false" outlineLevel="0" collapsed="false">
      <c r="D6864" s="0" t="s">
        <v>23</v>
      </c>
      <c r="E6864" s="0" t="s">
        <v>24</v>
      </c>
      <c r="F6864" s="0" t="s">
        <v>25</v>
      </c>
      <c r="G6864" s="0" t="s">
        <v>174</v>
      </c>
      <c r="H6864" s="0" t="s">
        <v>174</v>
      </c>
      <c r="I6864" s="0" t="s">
        <v>36</v>
      </c>
      <c r="J6864" s="0" t="s">
        <v>37</v>
      </c>
      <c r="K6864" s="0" t="s">
        <v>30</v>
      </c>
      <c r="L6864" s="0" t="s">
        <v>31</v>
      </c>
      <c r="M6864" s="0" t="s">
        <v>173</v>
      </c>
      <c r="N6864" s="0" t="n">
        <v>1148</v>
      </c>
      <c r="O6864" s="10" t="n">
        <v>0.487487083766609</v>
      </c>
      <c r="P6864" s="10" t="n">
        <v>0.404358610976487</v>
      </c>
      <c r="Q6864" s="0" t="str">
        <f aca="false">SUBSTITUTE(SUBSTITUTE($I6864,CHAR(61),""),CHAR(34),"")</f>
        <v>10-14</v>
      </c>
      <c r="R6864" s="0" t="str">
        <f aca="false">IF($D6864&lt;&gt;"","["&amp;$E6864&amp;"]"&amp;"|"&amp;$Q6864&amp;"|"&amp;$K6864&amp;"|"&amp;$G6864&amp;"|"&amp;IF($G6864="TX_CURR_SUBNAT.R","CY2022Q4",$M6864),"")</f>
        <v>[GkIwZrXy1h2]|10-14|Female|PLHIV_Attend.T2|CY2025Q3</v>
      </c>
    </row>
    <row r="6865" customFormat="false" ht="15" hidden="false" customHeight="false" outlineLevel="0" collapsed="false">
      <c r="D6865" s="0" t="s">
        <v>23</v>
      </c>
      <c r="E6865" s="0" t="s">
        <v>24</v>
      </c>
      <c r="F6865" s="0" t="s">
        <v>25</v>
      </c>
      <c r="G6865" s="0" t="s">
        <v>174</v>
      </c>
      <c r="H6865" s="0" t="s">
        <v>174</v>
      </c>
      <c r="I6865" s="0" t="s">
        <v>38</v>
      </c>
      <c r="J6865" s="0" t="s">
        <v>39</v>
      </c>
      <c r="K6865" s="0" t="s">
        <v>30</v>
      </c>
      <c r="L6865" s="0" t="s">
        <v>31</v>
      </c>
      <c r="M6865" s="0" t="s">
        <v>173</v>
      </c>
      <c r="N6865" s="0" t="n">
        <v>1362</v>
      </c>
      <c r="O6865" s="10" t="n">
        <v>0.882925658486784</v>
      </c>
      <c r="P6865" s="10" t="n">
        <v>0.404358610976487</v>
      </c>
      <c r="Q6865" s="0" t="str">
        <f aca="false">SUBSTITUTE(SUBSTITUTE($I6865,CHAR(61),""),CHAR(34),"")</f>
        <v>15-24</v>
      </c>
      <c r="R6865" s="0" t="str">
        <f aca="false">IF($D6865&lt;&gt;"","["&amp;$E6865&amp;"]"&amp;"|"&amp;$Q6865&amp;"|"&amp;$K6865&amp;"|"&amp;$G6865&amp;"|"&amp;IF($G6865="TX_CURR_SUBNAT.R","CY2022Q4",$M6865),"")</f>
        <v>[GkIwZrXy1h2]|15-24|Female|PLHIV_Attend.T2|CY2025Q3</v>
      </c>
    </row>
    <row r="6866" customFormat="false" ht="15" hidden="false" customHeight="false" outlineLevel="0" collapsed="false">
      <c r="D6866" s="0" t="s">
        <v>23</v>
      </c>
      <c r="E6866" s="0" t="s">
        <v>24</v>
      </c>
      <c r="F6866" s="0" t="s">
        <v>25</v>
      </c>
      <c r="G6866" s="0" t="s">
        <v>174</v>
      </c>
      <c r="H6866" s="0" t="s">
        <v>174</v>
      </c>
      <c r="I6866" s="0" t="s">
        <v>41</v>
      </c>
      <c r="J6866" s="0" t="s">
        <v>42</v>
      </c>
      <c r="K6866" s="0" t="s">
        <v>30</v>
      </c>
      <c r="L6866" s="0" t="s">
        <v>31</v>
      </c>
      <c r="M6866" s="0" t="s">
        <v>173</v>
      </c>
      <c r="N6866" s="0" t="n">
        <v>903</v>
      </c>
      <c r="O6866" s="10" t="n">
        <v>0.110328598180786</v>
      </c>
      <c r="P6866" s="10" t="n">
        <v>0.404358610976487</v>
      </c>
      <c r="Q6866" s="0" t="str">
        <f aca="false">SUBSTITUTE(SUBSTITUTE($I6866,CHAR(61),""),CHAR(34),"")</f>
        <v>25-34</v>
      </c>
      <c r="R6866" s="0" t="str">
        <f aca="false">IF($D6866&lt;&gt;"","["&amp;$E6866&amp;"]"&amp;"|"&amp;$Q6866&amp;"|"&amp;$K6866&amp;"|"&amp;$G6866&amp;"|"&amp;IF($G6866="TX_CURR_SUBNAT.R","CY2022Q4",$M6866),"")</f>
        <v>[GkIwZrXy1h2]|25-34|Female|PLHIV_Attend.T2|CY2025Q3</v>
      </c>
    </row>
    <row r="6867" customFormat="false" ht="15" hidden="false" customHeight="false" outlineLevel="0" collapsed="false">
      <c r="D6867" s="0" t="s">
        <v>23</v>
      </c>
      <c r="E6867" s="0" t="s">
        <v>24</v>
      </c>
      <c r="F6867" s="0" t="s">
        <v>25</v>
      </c>
      <c r="G6867" s="0" t="s">
        <v>174</v>
      </c>
      <c r="H6867" s="0" t="s">
        <v>174</v>
      </c>
      <c r="I6867" s="0" t="s">
        <v>43</v>
      </c>
      <c r="J6867" s="0" t="s">
        <v>44</v>
      </c>
      <c r="K6867" s="0" t="s">
        <v>30</v>
      </c>
      <c r="L6867" s="0" t="s">
        <v>31</v>
      </c>
      <c r="M6867" s="0" t="s">
        <v>173</v>
      </c>
      <c r="N6867" s="0" t="n">
        <v>1877</v>
      </c>
      <c r="O6867" s="10" t="n">
        <v>0.129601711872965</v>
      </c>
      <c r="P6867" s="10" t="n">
        <v>0.404358610976487</v>
      </c>
      <c r="Q6867" s="0" t="str">
        <f aca="false">SUBSTITUTE(SUBSTITUTE($I6867,CHAR(61),""),CHAR(34),"")</f>
        <v>35-49</v>
      </c>
      <c r="R6867" s="0" t="str">
        <f aca="false">IF($D6867&lt;&gt;"","["&amp;$E6867&amp;"]"&amp;"|"&amp;$Q6867&amp;"|"&amp;$K6867&amp;"|"&amp;$G6867&amp;"|"&amp;IF($G6867="TX_CURR_SUBNAT.R","CY2022Q4",$M6867),"")</f>
        <v>[GkIwZrXy1h2]|35-49|Female|PLHIV_Attend.T2|CY2025Q3</v>
      </c>
    </row>
    <row r="6868" customFormat="false" ht="15" hidden="false" customHeight="false" outlineLevel="0" collapsed="false">
      <c r="D6868" s="0" t="s">
        <v>23</v>
      </c>
      <c r="E6868" s="0" t="s">
        <v>24</v>
      </c>
      <c r="F6868" s="0" t="s">
        <v>25</v>
      </c>
      <c r="G6868" s="0" t="s">
        <v>174</v>
      </c>
      <c r="H6868" s="0" t="s">
        <v>174</v>
      </c>
      <c r="I6868" s="0" t="s">
        <v>45</v>
      </c>
      <c r="J6868" s="0" t="s">
        <v>46</v>
      </c>
      <c r="K6868" s="0" t="s">
        <v>30</v>
      </c>
      <c r="L6868" s="0" t="s">
        <v>31</v>
      </c>
      <c r="M6868" s="0" t="s">
        <v>173</v>
      </c>
      <c r="N6868" s="0" t="n">
        <v>1465</v>
      </c>
      <c r="O6868" s="10" t="n">
        <v>0.220720499753952</v>
      </c>
      <c r="P6868" s="10" t="n">
        <v>0.404358610976487</v>
      </c>
      <c r="Q6868" s="0" t="str">
        <f aca="false">SUBSTITUTE(SUBSTITUTE($I6868,CHAR(61),""),CHAR(34),"")</f>
        <v>50+</v>
      </c>
      <c r="R6868" s="0" t="str">
        <f aca="false">IF($D6868&lt;&gt;"","["&amp;$E6868&amp;"]"&amp;"|"&amp;$Q6868&amp;"|"&amp;$K6868&amp;"|"&amp;$G6868&amp;"|"&amp;IF($G6868="TX_CURR_SUBNAT.R","CY2022Q4",$M6868),"")</f>
        <v>[GkIwZrXy1h2]|50+|Female|PLHIV_Attend.T2|CY2025Q3</v>
      </c>
    </row>
    <row r="6869" customFormat="false" ht="15" hidden="false" customHeight="false" outlineLevel="0" collapsed="false">
      <c r="D6869" s="0" t="s">
        <v>23</v>
      </c>
      <c r="E6869" s="0" t="s">
        <v>24</v>
      </c>
      <c r="F6869" s="0" t="s">
        <v>25</v>
      </c>
      <c r="G6869" s="0" t="s">
        <v>174</v>
      </c>
      <c r="H6869" s="0" t="s">
        <v>174</v>
      </c>
      <c r="I6869" s="0" t="s">
        <v>28</v>
      </c>
      <c r="J6869" s="0" t="s">
        <v>29</v>
      </c>
      <c r="K6869" s="0" t="s">
        <v>48</v>
      </c>
      <c r="L6869" s="0" t="s">
        <v>49</v>
      </c>
      <c r="M6869" s="0" t="s">
        <v>173</v>
      </c>
      <c r="N6869" s="0" t="n">
        <v>1057</v>
      </c>
      <c r="O6869" s="10" t="n">
        <v>0.712591559393331</v>
      </c>
      <c r="P6869" s="10" t="n">
        <v>0.404358610976487</v>
      </c>
      <c r="Q6869" s="0" t="str">
        <f aca="false">SUBSTITUTE(SUBSTITUTE($I6869,CHAR(61),""),CHAR(34),"")</f>
        <v>&lt;01</v>
      </c>
      <c r="R6869" s="0" t="str">
        <f aca="false">IF($D6869&lt;&gt;"","["&amp;$E6869&amp;"]"&amp;"|"&amp;$Q6869&amp;"|"&amp;$K6869&amp;"|"&amp;$G6869&amp;"|"&amp;IF($G6869="TX_CURR_SUBNAT.R","CY2022Q4",$M6869),"")</f>
        <v>[GkIwZrXy1h2]|&lt;01|Male|PLHIV_Attend.T2|CY2025Q3</v>
      </c>
    </row>
    <row r="6870" customFormat="false" ht="15" hidden="false" customHeight="false" outlineLevel="0" collapsed="false">
      <c r="D6870" s="0" t="s">
        <v>23</v>
      </c>
      <c r="E6870" s="0" t="s">
        <v>24</v>
      </c>
      <c r="F6870" s="0" t="s">
        <v>25</v>
      </c>
      <c r="G6870" s="0" t="s">
        <v>174</v>
      </c>
      <c r="H6870" s="0" t="s">
        <v>174</v>
      </c>
      <c r="I6870" s="0" t="s">
        <v>33</v>
      </c>
      <c r="J6870" s="0" t="s">
        <v>34</v>
      </c>
      <c r="K6870" s="0" t="s">
        <v>48</v>
      </c>
      <c r="L6870" s="0" t="s">
        <v>49</v>
      </c>
      <c r="M6870" s="0" t="s">
        <v>173</v>
      </c>
      <c r="N6870" s="0" t="n">
        <v>1481</v>
      </c>
      <c r="O6870" s="10" t="n">
        <v>0.934668964007869</v>
      </c>
      <c r="P6870" s="10" t="n">
        <v>0.404358610976487</v>
      </c>
      <c r="Q6870" s="0" t="str">
        <f aca="false">SUBSTITUTE(SUBSTITUTE($I6870,CHAR(61),""),CHAR(34),"")</f>
        <v>01-09</v>
      </c>
      <c r="R6870" s="0" t="str">
        <f aca="false">IF($D6870&lt;&gt;"","["&amp;$E6870&amp;"]"&amp;"|"&amp;$Q6870&amp;"|"&amp;$K6870&amp;"|"&amp;$G6870&amp;"|"&amp;IF($G6870="TX_CURR_SUBNAT.R","CY2022Q4",$M6870),"")</f>
        <v>[GkIwZrXy1h2]|01-09|Male|PLHIV_Attend.T2|CY2025Q3</v>
      </c>
    </row>
    <row r="6871" customFormat="false" ht="15" hidden="false" customHeight="false" outlineLevel="0" collapsed="false">
      <c r="D6871" s="0" t="s">
        <v>23</v>
      </c>
      <c r="E6871" s="0" t="s">
        <v>24</v>
      </c>
      <c r="F6871" s="0" t="s">
        <v>25</v>
      </c>
      <c r="G6871" s="0" t="s">
        <v>174</v>
      </c>
      <c r="H6871" s="0" t="s">
        <v>174</v>
      </c>
      <c r="I6871" s="0" t="s">
        <v>36</v>
      </c>
      <c r="J6871" s="0" t="s">
        <v>37</v>
      </c>
      <c r="K6871" s="0" t="s">
        <v>48</v>
      </c>
      <c r="L6871" s="0" t="s">
        <v>49</v>
      </c>
      <c r="M6871" s="0" t="s">
        <v>173</v>
      </c>
      <c r="N6871" s="0" t="n">
        <v>855</v>
      </c>
      <c r="O6871" s="10" t="n">
        <v>0.757060267496854</v>
      </c>
      <c r="P6871" s="10" t="n">
        <v>0.404358610976487</v>
      </c>
      <c r="Q6871" s="0" t="str">
        <f aca="false">SUBSTITUTE(SUBSTITUTE($I6871,CHAR(61),""),CHAR(34),"")</f>
        <v>10-14</v>
      </c>
      <c r="R6871" s="0" t="str">
        <f aca="false">IF($D6871&lt;&gt;"","["&amp;$E6871&amp;"]"&amp;"|"&amp;$Q6871&amp;"|"&amp;$K6871&amp;"|"&amp;$G6871&amp;"|"&amp;IF($G6871="TX_CURR_SUBNAT.R","CY2022Q4",$M6871),"")</f>
        <v>[GkIwZrXy1h2]|10-14|Male|PLHIV_Attend.T2|CY2025Q3</v>
      </c>
    </row>
    <row r="6872" customFormat="false" ht="15" hidden="false" customHeight="false" outlineLevel="0" collapsed="false">
      <c r="D6872" s="0" t="s">
        <v>23</v>
      </c>
      <c r="E6872" s="0" t="s">
        <v>24</v>
      </c>
      <c r="F6872" s="0" t="s">
        <v>25</v>
      </c>
      <c r="G6872" s="0" t="s">
        <v>174</v>
      </c>
      <c r="H6872" s="0" t="s">
        <v>174</v>
      </c>
      <c r="I6872" s="0" t="s">
        <v>38</v>
      </c>
      <c r="J6872" s="0" t="s">
        <v>39</v>
      </c>
      <c r="K6872" s="0" t="s">
        <v>48</v>
      </c>
      <c r="L6872" s="0" t="s">
        <v>49</v>
      </c>
      <c r="M6872" s="0" t="s">
        <v>173</v>
      </c>
      <c r="N6872" s="0" t="n">
        <v>1529</v>
      </c>
      <c r="O6872" s="10" t="n">
        <v>0.899827568791807</v>
      </c>
      <c r="P6872" s="10" t="n">
        <v>0.404358610976487</v>
      </c>
      <c r="Q6872" s="0" t="str">
        <f aca="false">SUBSTITUTE(SUBSTITUTE($I6872,CHAR(61),""),CHAR(34),"")</f>
        <v>15-24</v>
      </c>
      <c r="R6872" s="0" t="str">
        <f aca="false">IF($D6872&lt;&gt;"","["&amp;$E6872&amp;"]"&amp;"|"&amp;$Q6872&amp;"|"&amp;$K6872&amp;"|"&amp;$G6872&amp;"|"&amp;IF($G6872="TX_CURR_SUBNAT.R","CY2022Q4",$M6872),"")</f>
        <v>[GkIwZrXy1h2]|15-24|Male|PLHIV_Attend.T2|CY2025Q3</v>
      </c>
    </row>
    <row r="6873" customFormat="false" ht="15" hidden="false" customHeight="false" outlineLevel="0" collapsed="false">
      <c r="D6873" s="0" t="s">
        <v>23</v>
      </c>
      <c r="E6873" s="0" t="s">
        <v>24</v>
      </c>
      <c r="F6873" s="0" t="s">
        <v>25</v>
      </c>
      <c r="G6873" s="0" t="s">
        <v>174</v>
      </c>
      <c r="H6873" s="0" t="s">
        <v>174</v>
      </c>
      <c r="I6873" s="0" t="s">
        <v>41</v>
      </c>
      <c r="J6873" s="0" t="s">
        <v>42</v>
      </c>
      <c r="K6873" s="0" t="s">
        <v>48</v>
      </c>
      <c r="L6873" s="0" t="s">
        <v>49</v>
      </c>
      <c r="M6873" s="0" t="s">
        <v>173</v>
      </c>
      <c r="N6873" s="0" t="n">
        <v>1859</v>
      </c>
      <c r="O6873" s="10" t="n">
        <v>0.122975568519905</v>
      </c>
      <c r="P6873" s="10" t="n">
        <v>0.404358610976487</v>
      </c>
      <c r="Q6873" s="0" t="str">
        <f aca="false">SUBSTITUTE(SUBSTITUTE($I6873,CHAR(61),""),CHAR(34),"")</f>
        <v>25-34</v>
      </c>
      <c r="R6873" s="0" t="str">
        <f aca="false">IF($D6873&lt;&gt;"","["&amp;$E6873&amp;"]"&amp;"|"&amp;$Q6873&amp;"|"&amp;$K6873&amp;"|"&amp;$G6873&amp;"|"&amp;IF($G6873="TX_CURR_SUBNAT.R","CY2022Q4",$M6873),"")</f>
        <v>[GkIwZrXy1h2]|25-34|Male|PLHIV_Attend.T2|CY2025Q3</v>
      </c>
    </row>
    <row r="6874" customFormat="false" ht="15" hidden="false" customHeight="false" outlineLevel="0" collapsed="false">
      <c r="D6874" s="0" t="s">
        <v>23</v>
      </c>
      <c r="E6874" s="0" t="s">
        <v>24</v>
      </c>
      <c r="F6874" s="0" t="s">
        <v>25</v>
      </c>
      <c r="G6874" s="0" t="s">
        <v>174</v>
      </c>
      <c r="H6874" s="0" t="s">
        <v>174</v>
      </c>
      <c r="I6874" s="0" t="s">
        <v>43</v>
      </c>
      <c r="J6874" s="0" t="s">
        <v>44</v>
      </c>
      <c r="K6874" s="0" t="s">
        <v>48</v>
      </c>
      <c r="L6874" s="0" t="s">
        <v>49</v>
      </c>
      <c r="M6874" s="0" t="s">
        <v>173</v>
      </c>
      <c r="N6874" s="0" t="n">
        <v>1486</v>
      </c>
      <c r="O6874" s="10" t="n">
        <v>0.193824126152322</v>
      </c>
      <c r="P6874" s="10" t="n">
        <v>0.404358610976487</v>
      </c>
      <c r="Q6874" s="0" t="str">
        <f aca="false">SUBSTITUTE(SUBSTITUTE($I6874,CHAR(61),""),CHAR(34),"")</f>
        <v>35-49</v>
      </c>
      <c r="R6874" s="0" t="str">
        <f aca="false">IF($D6874&lt;&gt;"","["&amp;$E6874&amp;"]"&amp;"|"&amp;$Q6874&amp;"|"&amp;$K6874&amp;"|"&amp;$G6874&amp;"|"&amp;IF($G6874="TX_CURR_SUBNAT.R","CY2022Q4",$M6874),"")</f>
        <v>[GkIwZrXy1h2]|35-49|Male|PLHIV_Attend.T2|CY2025Q3</v>
      </c>
    </row>
    <row r="6875" customFormat="false" ht="15" hidden="false" customHeight="false" outlineLevel="0" collapsed="false">
      <c r="D6875" s="0" t="s">
        <v>23</v>
      </c>
      <c r="E6875" s="0" t="s">
        <v>24</v>
      </c>
      <c r="F6875" s="0" t="s">
        <v>25</v>
      </c>
      <c r="G6875" s="0" t="s">
        <v>174</v>
      </c>
      <c r="H6875" s="0" t="s">
        <v>174</v>
      </c>
      <c r="I6875" s="0" t="s">
        <v>45</v>
      </c>
      <c r="J6875" s="0" t="s">
        <v>46</v>
      </c>
      <c r="K6875" s="0" t="s">
        <v>48</v>
      </c>
      <c r="L6875" s="0" t="s">
        <v>49</v>
      </c>
      <c r="M6875" s="0" t="s">
        <v>173</v>
      </c>
      <c r="N6875" s="0" t="n">
        <v>1359</v>
      </c>
      <c r="O6875" s="10" t="n">
        <v>0.461857738671824</v>
      </c>
      <c r="P6875" s="10" t="n">
        <v>0.404358610976487</v>
      </c>
      <c r="Q6875" s="0" t="str">
        <f aca="false">SUBSTITUTE(SUBSTITUTE($I6875,CHAR(61),""),CHAR(34),"")</f>
        <v>50+</v>
      </c>
      <c r="R6875" s="0" t="str">
        <f aca="false">IF($D6875&lt;&gt;"","["&amp;$E6875&amp;"]"&amp;"|"&amp;$Q6875&amp;"|"&amp;$K6875&amp;"|"&amp;$G6875&amp;"|"&amp;IF($G6875="TX_CURR_SUBNAT.R","CY2022Q4",$M6875),"")</f>
        <v>[GkIwZrXy1h2]|50+|Male|PLHIV_Attend.T2|CY2025Q3</v>
      </c>
    </row>
    <row r="6876" customFormat="false" ht="15" hidden="false" customHeight="false" outlineLevel="0" collapsed="false">
      <c r="D6876" s="0" t="s">
        <v>53</v>
      </c>
      <c r="E6876" s="0" t="s">
        <v>54</v>
      </c>
      <c r="F6876" s="0" t="s">
        <v>55</v>
      </c>
      <c r="G6876" s="0" t="s">
        <v>174</v>
      </c>
      <c r="H6876" s="0" t="s">
        <v>174</v>
      </c>
      <c r="I6876" s="0" t="s">
        <v>28</v>
      </c>
      <c r="J6876" s="0" t="s">
        <v>29</v>
      </c>
      <c r="K6876" s="0" t="s">
        <v>30</v>
      </c>
      <c r="L6876" s="0" t="s">
        <v>31</v>
      </c>
      <c r="M6876" s="0" t="s">
        <v>173</v>
      </c>
      <c r="N6876" s="0" t="n">
        <v>508</v>
      </c>
      <c r="O6876" s="10" t="n">
        <v>0.44200704805553</v>
      </c>
      <c r="P6876" s="10" t="n">
        <v>0.616392469964921</v>
      </c>
      <c r="Q6876" s="0" t="str">
        <f aca="false">SUBSTITUTE(SUBSTITUTE($I6876,CHAR(61),""),CHAR(34),"")</f>
        <v>&lt;01</v>
      </c>
      <c r="R6876" s="0" t="str">
        <f aca="false">IF($D6876&lt;&gt;"","["&amp;$E6876&amp;"]"&amp;"|"&amp;$Q6876&amp;"|"&amp;$K6876&amp;"|"&amp;$G6876&amp;"|"&amp;IF($G6876="TX_CURR_SUBNAT.R","CY2022Q4",$M6876),"")</f>
        <v>[zphK9WV8JB4]|&lt;01|Female|PLHIV_Attend.T2|CY2025Q3</v>
      </c>
    </row>
    <row r="6877" customFormat="false" ht="15" hidden="false" customHeight="false" outlineLevel="0" collapsed="false">
      <c r="D6877" s="0" t="s">
        <v>53</v>
      </c>
      <c r="E6877" s="0" t="s">
        <v>54</v>
      </c>
      <c r="F6877" s="0" t="s">
        <v>55</v>
      </c>
      <c r="G6877" s="0" t="s">
        <v>174</v>
      </c>
      <c r="H6877" s="0" t="s">
        <v>174</v>
      </c>
      <c r="I6877" s="0" t="s">
        <v>33</v>
      </c>
      <c r="J6877" s="0" t="s">
        <v>34</v>
      </c>
      <c r="K6877" s="0" t="s">
        <v>30</v>
      </c>
      <c r="L6877" s="0" t="s">
        <v>31</v>
      </c>
      <c r="M6877" s="0" t="s">
        <v>173</v>
      </c>
      <c r="N6877" s="0" t="n">
        <v>1679</v>
      </c>
      <c r="O6877" s="10" t="n">
        <v>0.616629603551701</v>
      </c>
      <c r="P6877" s="10" t="n">
        <v>0.616392469964921</v>
      </c>
      <c r="Q6877" s="0" t="str">
        <f aca="false">SUBSTITUTE(SUBSTITUTE($I6877,CHAR(61),""),CHAR(34),"")</f>
        <v>01-09</v>
      </c>
      <c r="R6877" s="0" t="str">
        <f aca="false">IF($D6877&lt;&gt;"","["&amp;$E6877&amp;"]"&amp;"|"&amp;$Q6877&amp;"|"&amp;$K6877&amp;"|"&amp;$G6877&amp;"|"&amp;IF($G6877="TX_CURR_SUBNAT.R","CY2022Q4",$M6877),"")</f>
        <v>[zphK9WV8JB4]|01-09|Female|PLHIV_Attend.T2|CY2025Q3</v>
      </c>
    </row>
    <row r="6878" customFormat="false" ht="15" hidden="false" customHeight="false" outlineLevel="0" collapsed="false">
      <c r="D6878" s="0" t="s">
        <v>53</v>
      </c>
      <c r="E6878" s="0" t="s">
        <v>54</v>
      </c>
      <c r="F6878" s="0" t="s">
        <v>55</v>
      </c>
      <c r="G6878" s="0" t="s">
        <v>174</v>
      </c>
      <c r="H6878" s="0" t="s">
        <v>174</v>
      </c>
      <c r="I6878" s="0" t="s">
        <v>36</v>
      </c>
      <c r="J6878" s="0" t="s">
        <v>37</v>
      </c>
      <c r="K6878" s="0" t="s">
        <v>30</v>
      </c>
      <c r="L6878" s="0" t="s">
        <v>31</v>
      </c>
      <c r="M6878" s="0" t="s">
        <v>173</v>
      </c>
      <c r="N6878" s="0" t="n">
        <v>987</v>
      </c>
      <c r="O6878" s="10" t="n">
        <v>0.180635873693973</v>
      </c>
      <c r="P6878" s="10" t="n">
        <v>0.616392469964921</v>
      </c>
      <c r="Q6878" s="0" t="str">
        <f aca="false">SUBSTITUTE(SUBSTITUTE($I6878,CHAR(61),""),CHAR(34),"")</f>
        <v>10-14</v>
      </c>
      <c r="R6878" s="0" t="str">
        <f aca="false">IF($D6878&lt;&gt;"","["&amp;$E6878&amp;"]"&amp;"|"&amp;$Q6878&amp;"|"&amp;$K6878&amp;"|"&amp;$G6878&amp;"|"&amp;IF($G6878="TX_CURR_SUBNAT.R","CY2022Q4",$M6878),"")</f>
        <v>[zphK9WV8JB4]|10-14|Female|PLHIV_Attend.T2|CY2025Q3</v>
      </c>
    </row>
    <row r="6879" customFormat="false" ht="15" hidden="false" customHeight="false" outlineLevel="0" collapsed="false">
      <c r="D6879" s="0" t="s">
        <v>53</v>
      </c>
      <c r="E6879" s="0" t="s">
        <v>54</v>
      </c>
      <c r="F6879" s="0" t="s">
        <v>55</v>
      </c>
      <c r="G6879" s="0" t="s">
        <v>174</v>
      </c>
      <c r="H6879" s="0" t="s">
        <v>174</v>
      </c>
      <c r="I6879" s="0" t="s">
        <v>38</v>
      </c>
      <c r="J6879" s="0" t="s">
        <v>39</v>
      </c>
      <c r="K6879" s="0" t="s">
        <v>30</v>
      </c>
      <c r="L6879" s="0" t="s">
        <v>31</v>
      </c>
      <c r="M6879" s="0" t="s">
        <v>173</v>
      </c>
      <c r="N6879" s="0" t="n">
        <v>746</v>
      </c>
      <c r="O6879" s="10" t="n">
        <v>0.397666203789413</v>
      </c>
      <c r="P6879" s="10" t="n">
        <v>0.616392469964921</v>
      </c>
      <c r="Q6879" s="0" t="str">
        <f aca="false">SUBSTITUTE(SUBSTITUTE($I6879,CHAR(61),""),CHAR(34),"")</f>
        <v>15-24</v>
      </c>
      <c r="R6879" s="0" t="str">
        <f aca="false">IF($D6879&lt;&gt;"","["&amp;$E6879&amp;"]"&amp;"|"&amp;$Q6879&amp;"|"&amp;$K6879&amp;"|"&amp;$G6879&amp;"|"&amp;IF($G6879="TX_CURR_SUBNAT.R","CY2022Q4",$M6879),"")</f>
        <v>[zphK9WV8JB4]|15-24|Female|PLHIV_Attend.T2|CY2025Q3</v>
      </c>
    </row>
    <row r="6880" customFormat="false" ht="15" hidden="false" customHeight="false" outlineLevel="0" collapsed="false">
      <c r="D6880" s="0" t="s">
        <v>53</v>
      </c>
      <c r="E6880" s="0" t="s">
        <v>54</v>
      </c>
      <c r="F6880" s="0" t="s">
        <v>55</v>
      </c>
      <c r="G6880" s="0" t="s">
        <v>174</v>
      </c>
      <c r="H6880" s="0" t="s">
        <v>174</v>
      </c>
      <c r="I6880" s="0" t="s">
        <v>41</v>
      </c>
      <c r="J6880" s="0" t="s">
        <v>42</v>
      </c>
      <c r="K6880" s="0" t="s">
        <v>30</v>
      </c>
      <c r="L6880" s="0" t="s">
        <v>31</v>
      </c>
      <c r="M6880" s="0" t="s">
        <v>173</v>
      </c>
      <c r="N6880" s="0" t="n">
        <v>1389</v>
      </c>
      <c r="O6880" s="10" t="n">
        <v>0.933096233289689</v>
      </c>
      <c r="P6880" s="10" t="n">
        <v>0.616392469964921</v>
      </c>
      <c r="Q6880" s="0" t="str">
        <f aca="false">SUBSTITUTE(SUBSTITUTE($I6880,CHAR(61),""),CHAR(34),"")</f>
        <v>25-34</v>
      </c>
      <c r="R6880" s="0" t="str">
        <f aca="false">IF($D6880&lt;&gt;"","["&amp;$E6880&amp;"]"&amp;"|"&amp;$Q6880&amp;"|"&amp;$K6880&amp;"|"&amp;$G6880&amp;"|"&amp;IF($G6880="TX_CURR_SUBNAT.R","CY2022Q4",$M6880),"")</f>
        <v>[zphK9WV8JB4]|25-34|Female|PLHIV_Attend.T2|CY2025Q3</v>
      </c>
    </row>
    <row r="6881" customFormat="false" ht="15" hidden="false" customHeight="false" outlineLevel="0" collapsed="false">
      <c r="D6881" s="0" t="s">
        <v>53</v>
      </c>
      <c r="E6881" s="0" t="s">
        <v>54</v>
      </c>
      <c r="F6881" s="0" t="s">
        <v>55</v>
      </c>
      <c r="G6881" s="0" t="s">
        <v>174</v>
      </c>
      <c r="H6881" s="0" t="s">
        <v>174</v>
      </c>
      <c r="I6881" s="0" t="s">
        <v>43</v>
      </c>
      <c r="J6881" s="0" t="s">
        <v>44</v>
      </c>
      <c r="K6881" s="0" t="s">
        <v>30</v>
      </c>
      <c r="L6881" s="0" t="s">
        <v>31</v>
      </c>
      <c r="M6881" s="0" t="s">
        <v>173</v>
      </c>
      <c r="N6881" s="0" t="n">
        <v>1916</v>
      </c>
      <c r="O6881" s="10" t="n">
        <v>0.452048318460584</v>
      </c>
      <c r="P6881" s="10" t="n">
        <v>0.616392469964921</v>
      </c>
      <c r="Q6881" s="0" t="str">
        <f aca="false">SUBSTITUTE(SUBSTITUTE($I6881,CHAR(61),""),CHAR(34),"")</f>
        <v>35-49</v>
      </c>
      <c r="R6881" s="0" t="str">
        <f aca="false">IF($D6881&lt;&gt;"","["&amp;$E6881&amp;"]"&amp;"|"&amp;$Q6881&amp;"|"&amp;$K6881&amp;"|"&amp;$G6881&amp;"|"&amp;IF($G6881="TX_CURR_SUBNAT.R","CY2022Q4",$M6881),"")</f>
        <v>[zphK9WV8JB4]|35-49|Female|PLHIV_Attend.T2|CY2025Q3</v>
      </c>
    </row>
    <row r="6882" customFormat="false" ht="15" hidden="false" customHeight="false" outlineLevel="0" collapsed="false">
      <c r="D6882" s="0" t="s">
        <v>53</v>
      </c>
      <c r="E6882" s="0" t="s">
        <v>54</v>
      </c>
      <c r="F6882" s="0" t="s">
        <v>55</v>
      </c>
      <c r="G6882" s="0" t="s">
        <v>174</v>
      </c>
      <c r="H6882" s="0" t="s">
        <v>174</v>
      </c>
      <c r="I6882" s="0" t="s">
        <v>45</v>
      </c>
      <c r="J6882" s="0" t="s">
        <v>46</v>
      </c>
      <c r="K6882" s="0" t="s">
        <v>30</v>
      </c>
      <c r="L6882" s="0" t="s">
        <v>31</v>
      </c>
      <c r="M6882" s="0" t="s">
        <v>173</v>
      </c>
      <c r="N6882" s="0" t="n">
        <v>1173</v>
      </c>
      <c r="O6882" s="10" t="n">
        <v>0.408498619450256</v>
      </c>
      <c r="P6882" s="10" t="n">
        <v>0.616392469964921</v>
      </c>
      <c r="Q6882" s="0" t="str">
        <f aca="false">SUBSTITUTE(SUBSTITUTE($I6882,CHAR(61),""),CHAR(34),"")</f>
        <v>50+</v>
      </c>
      <c r="R6882" s="0" t="str">
        <f aca="false">IF($D6882&lt;&gt;"","["&amp;$E6882&amp;"]"&amp;"|"&amp;$Q6882&amp;"|"&amp;$K6882&amp;"|"&amp;$G6882&amp;"|"&amp;IF($G6882="TX_CURR_SUBNAT.R","CY2022Q4",$M6882),"")</f>
        <v>[zphK9WV8JB4]|50+|Female|PLHIV_Attend.T2|CY2025Q3</v>
      </c>
    </row>
    <row r="6883" customFormat="false" ht="15" hidden="false" customHeight="false" outlineLevel="0" collapsed="false">
      <c r="D6883" s="0" t="s">
        <v>53</v>
      </c>
      <c r="E6883" s="0" t="s">
        <v>54</v>
      </c>
      <c r="F6883" s="0" t="s">
        <v>55</v>
      </c>
      <c r="G6883" s="0" t="s">
        <v>174</v>
      </c>
      <c r="H6883" s="0" t="s">
        <v>174</v>
      </c>
      <c r="I6883" s="0" t="s">
        <v>28</v>
      </c>
      <c r="J6883" s="0" t="s">
        <v>29</v>
      </c>
      <c r="K6883" s="0" t="s">
        <v>48</v>
      </c>
      <c r="L6883" s="0" t="s">
        <v>49</v>
      </c>
      <c r="M6883" s="0" t="s">
        <v>173</v>
      </c>
      <c r="N6883" s="0" t="n">
        <v>1827</v>
      </c>
      <c r="O6883" s="10" t="n">
        <v>0.137041247682646</v>
      </c>
      <c r="P6883" s="10" t="n">
        <v>0.616392469964921</v>
      </c>
      <c r="Q6883" s="0" t="str">
        <f aca="false">SUBSTITUTE(SUBSTITUTE($I6883,CHAR(61),""),CHAR(34),"")</f>
        <v>&lt;01</v>
      </c>
      <c r="R6883" s="0" t="str">
        <f aca="false">IF($D6883&lt;&gt;"","["&amp;$E6883&amp;"]"&amp;"|"&amp;$Q6883&amp;"|"&amp;$K6883&amp;"|"&amp;$G6883&amp;"|"&amp;IF($G6883="TX_CURR_SUBNAT.R","CY2022Q4",$M6883),"")</f>
        <v>[zphK9WV8JB4]|&lt;01|Male|PLHIV_Attend.T2|CY2025Q3</v>
      </c>
    </row>
    <row r="6884" customFormat="false" ht="15" hidden="false" customHeight="false" outlineLevel="0" collapsed="false">
      <c r="D6884" s="0" t="s">
        <v>53</v>
      </c>
      <c r="E6884" s="0" t="s">
        <v>54</v>
      </c>
      <c r="F6884" s="0" t="s">
        <v>55</v>
      </c>
      <c r="G6884" s="0" t="s">
        <v>174</v>
      </c>
      <c r="H6884" s="0" t="s">
        <v>174</v>
      </c>
      <c r="I6884" s="0" t="s">
        <v>33</v>
      </c>
      <c r="J6884" s="0" t="s">
        <v>34</v>
      </c>
      <c r="K6884" s="0" t="s">
        <v>48</v>
      </c>
      <c r="L6884" s="0" t="s">
        <v>49</v>
      </c>
      <c r="M6884" s="0" t="s">
        <v>173</v>
      </c>
      <c r="N6884" s="0" t="n">
        <v>709</v>
      </c>
      <c r="O6884" s="10" t="n">
        <v>0.471472040982917</v>
      </c>
      <c r="P6884" s="10" t="n">
        <v>0.616392469964921</v>
      </c>
      <c r="Q6884" s="0" t="str">
        <f aca="false">SUBSTITUTE(SUBSTITUTE($I6884,CHAR(61),""),CHAR(34),"")</f>
        <v>01-09</v>
      </c>
      <c r="R6884" s="0" t="str">
        <f aca="false">IF($D6884&lt;&gt;"","["&amp;$E6884&amp;"]"&amp;"|"&amp;$Q6884&amp;"|"&amp;$K6884&amp;"|"&amp;$G6884&amp;"|"&amp;IF($G6884="TX_CURR_SUBNAT.R","CY2022Q4",$M6884),"")</f>
        <v>[zphK9WV8JB4]|01-09|Male|PLHIV_Attend.T2|CY2025Q3</v>
      </c>
    </row>
    <row r="6885" customFormat="false" ht="15" hidden="false" customHeight="false" outlineLevel="0" collapsed="false">
      <c r="D6885" s="0" t="s">
        <v>53</v>
      </c>
      <c r="E6885" s="0" t="s">
        <v>54</v>
      </c>
      <c r="F6885" s="0" t="s">
        <v>55</v>
      </c>
      <c r="G6885" s="0" t="s">
        <v>174</v>
      </c>
      <c r="H6885" s="0" t="s">
        <v>174</v>
      </c>
      <c r="I6885" s="0" t="s">
        <v>36</v>
      </c>
      <c r="J6885" s="0" t="s">
        <v>37</v>
      </c>
      <c r="K6885" s="0" t="s">
        <v>48</v>
      </c>
      <c r="L6885" s="0" t="s">
        <v>49</v>
      </c>
      <c r="M6885" s="0" t="s">
        <v>173</v>
      </c>
      <c r="N6885" s="0" t="n">
        <v>689</v>
      </c>
      <c r="O6885" s="10" t="n">
        <v>0.0826436684001237</v>
      </c>
      <c r="P6885" s="10" t="n">
        <v>0.616392469964921</v>
      </c>
      <c r="Q6885" s="0" t="str">
        <f aca="false">SUBSTITUTE(SUBSTITUTE($I6885,CHAR(61),""),CHAR(34),"")</f>
        <v>10-14</v>
      </c>
      <c r="R6885" s="0" t="str">
        <f aca="false">IF($D6885&lt;&gt;"","["&amp;$E6885&amp;"]"&amp;"|"&amp;$Q6885&amp;"|"&amp;$K6885&amp;"|"&amp;$G6885&amp;"|"&amp;IF($G6885="TX_CURR_SUBNAT.R","CY2022Q4",$M6885),"")</f>
        <v>[zphK9WV8JB4]|10-14|Male|PLHIV_Attend.T2|CY2025Q3</v>
      </c>
    </row>
    <row r="6886" customFormat="false" ht="15" hidden="false" customHeight="false" outlineLevel="0" collapsed="false">
      <c r="D6886" s="0" t="s">
        <v>53</v>
      </c>
      <c r="E6886" s="0" t="s">
        <v>54</v>
      </c>
      <c r="F6886" s="0" t="s">
        <v>55</v>
      </c>
      <c r="G6886" s="0" t="s">
        <v>174</v>
      </c>
      <c r="H6886" s="0" t="s">
        <v>174</v>
      </c>
      <c r="I6886" s="0" t="s">
        <v>38</v>
      </c>
      <c r="J6886" s="0" t="s">
        <v>39</v>
      </c>
      <c r="K6886" s="0" t="s">
        <v>48</v>
      </c>
      <c r="L6886" s="0" t="s">
        <v>49</v>
      </c>
      <c r="M6886" s="0" t="s">
        <v>173</v>
      </c>
      <c r="N6886" s="0" t="n">
        <v>1027</v>
      </c>
      <c r="O6886" s="10" t="n">
        <v>0.92361013777554</v>
      </c>
      <c r="P6886" s="10" t="n">
        <v>0.616392469964921</v>
      </c>
      <c r="Q6886" s="0" t="str">
        <f aca="false">SUBSTITUTE(SUBSTITUTE($I6886,CHAR(61),""),CHAR(34),"")</f>
        <v>15-24</v>
      </c>
      <c r="R6886" s="0" t="str">
        <f aca="false">IF($D6886&lt;&gt;"","["&amp;$E6886&amp;"]"&amp;"|"&amp;$Q6886&amp;"|"&amp;$K6886&amp;"|"&amp;$G6886&amp;"|"&amp;IF($G6886="TX_CURR_SUBNAT.R","CY2022Q4",$M6886),"")</f>
        <v>[zphK9WV8JB4]|15-24|Male|PLHIV_Attend.T2|CY2025Q3</v>
      </c>
    </row>
    <row r="6887" customFormat="false" ht="15" hidden="false" customHeight="false" outlineLevel="0" collapsed="false">
      <c r="D6887" s="0" t="s">
        <v>53</v>
      </c>
      <c r="E6887" s="0" t="s">
        <v>54</v>
      </c>
      <c r="F6887" s="0" t="s">
        <v>55</v>
      </c>
      <c r="G6887" s="0" t="s">
        <v>174</v>
      </c>
      <c r="H6887" s="0" t="s">
        <v>174</v>
      </c>
      <c r="I6887" s="0" t="s">
        <v>41</v>
      </c>
      <c r="J6887" s="0" t="s">
        <v>42</v>
      </c>
      <c r="K6887" s="0" t="s">
        <v>48</v>
      </c>
      <c r="L6887" s="0" t="s">
        <v>49</v>
      </c>
      <c r="M6887" s="0" t="s">
        <v>173</v>
      </c>
      <c r="N6887" s="0" t="n">
        <v>966</v>
      </c>
      <c r="O6887" s="10" t="n">
        <v>0.614524736069143</v>
      </c>
      <c r="P6887" s="10" t="n">
        <v>0.616392469964921</v>
      </c>
      <c r="Q6887" s="0" t="str">
        <f aca="false">SUBSTITUTE(SUBSTITUTE($I6887,CHAR(61),""),CHAR(34),"")</f>
        <v>25-34</v>
      </c>
      <c r="R6887" s="0" t="str">
        <f aca="false">IF($D6887&lt;&gt;"","["&amp;$E6887&amp;"]"&amp;"|"&amp;$Q6887&amp;"|"&amp;$K6887&amp;"|"&amp;$G6887&amp;"|"&amp;IF($G6887="TX_CURR_SUBNAT.R","CY2022Q4",$M6887),"")</f>
        <v>[zphK9WV8JB4]|25-34|Male|PLHIV_Attend.T2|CY2025Q3</v>
      </c>
    </row>
    <row r="6888" customFormat="false" ht="15" hidden="false" customHeight="false" outlineLevel="0" collapsed="false">
      <c r="D6888" s="0" t="s">
        <v>53</v>
      </c>
      <c r="E6888" s="0" t="s">
        <v>54</v>
      </c>
      <c r="F6888" s="0" t="s">
        <v>55</v>
      </c>
      <c r="G6888" s="0" t="s">
        <v>174</v>
      </c>
      <c r="H6888" s="0" t="s">
        <v>174</v>
      </c>
      <c r="I6888" s="0" t="s">
        <v>43</v>
      </c>
      <c r="J6888" s="0" t="s">
        <v>44</v>
      </c>
      <c r="K6888" s="0" t="s">
        <v>48</v>
      </c>
      <c r="L6888" s="0" t="s">
        <v>49</v>
      </c>
      <c r="M6888" s="0" t="s">
        <v>173</v>
      </c>
      <c r="N6888" s="0" t="n">
        <v>1674</v>
      </c>
      <c r="O6888" s="10" t="n">
        <v>0.70648108352907</v>
      </c>
      <c r="P6888" s="10" t="n">
        <v>0.616392469964921</v>
      </c>
      <c r="Q6888" s="0" t="str">
        <f aca="false">SUBSTITUTE(SUBSTITUTE($I6888,CHAR(61),""),CHAR(34),"")</f>
        <v>35-49</v>
      </c>
      <c r="R6888" s="0" t="str">
        <f aca="false">IF($D6888&lt;&gt;"","["&amp;$E6888&amp;"]"&amp;"|"&amp;$Q6888&amp;"|"&amp;$K6888&amp;"|"&amp;$G6888&amp;"|"&amp;IF($G6888="TX_CURR_SUBNAT.R","CY2022Q4",$M6888),"")</f>
        <v>[zphK9WV8JB4]|35-49|Male|PLHIV_Attend.T2|CY2025Q3</v>
      </c>
    </row>
    <row r="6889" customFormat="false" ht="15" hidden="false" customHeight="false" outlineLevel="0" collapsed="false">
      <c r="D6889" s="0" t="s">
        <v>53</v>
      </c>
      <c r="E6889" s="0" t="s">
        <v>54</v>
      </c>
      <c r="F6889" s="0" t="s">
        <v>55</v>
      </c>
      <c r="G6889" s="0" t="s">
        <v>174</v>
      </c>
      <c r="H6889" s="0" t="s">
        <v>174</v>
      </c>
      <c r="I6889" s="0" t="s">
        <v>45</v>
      </c>
      <c r="J6889" s="0" t="s">
        <v>46</v>
      </c>
      <c r="K6889" s="0" t="s">
        <v>48</v>
      </c>
      <c r="L6889" s="0" t="s">
        <v>49</v>
      </c>
      <c r="M6889" s="0" t="s">
        <v>173</v>
      </c>
      <c r="N6889" s="0" t="n">
        <v>1122</v>
      </c>
      <c r="O6889" s="10" t="n">
        <v>0.253560313722119</v>
      </c>
      <c r="P6889" s="10" t="n">
        <v>0.616392469964921</v>
      </c>
      <c r="Q6889" s="0" t="str">
        <f aca="false">SUBSTITUTE(SUBSTITUTE($I6889,CHAR(61),""),CHAR(34),"")</f>
        <v>50+</v>
      </c>
      <c r="R6889" s="0" t="str">
        <f aca="false">IF($D6889&lt;&gt;"","["&amp;$E6889&amp;"]"&amp;"|"&amp;$Q6889&amp;"|"&amp;$K6889&amp;"|"&amp;$G6889&amp;"|"&amp;IF($G6889="TX_CURR_SUBNAT.R","CY2022Q4",$M6889),"")</f>
        <v>[zphK9WV8JB4]|50+|Male|PLHIV_Attend.T2|CY2025Q3</v>
      </c>
    </row>
    <row r="6890" customFormat="false" ht="15" hidden="false" customHeight="false" outlineLevel="0" collapsed="false">
      <c r="D6890" s="0" t="s">
        <v>60</v>
      </c>
      <c r="E6890" s="0" t="s">
        <v>61</v>
      </c>
      <c r="F6890" s="0" t="s">
        <v>62</v>
      </c>
      <c r="G6890" s="0" t="s">
        <v>174</v>
      </c>
      <c r="H6890" s="0" t="s">
        <v>174</v>
      </c>
      <c r="I6890" s="0" t="s">
        <v>28</v>
      </c>
      <c r="J6890" s="0" t="s">
        <v>29</v>
      </c>
      <c r="K6890" s="0" t="s">
        <v>30</v>
      </c>
      <c r="L6890" s="0" t="s">
        <v>31</v>
      </c>
      <c r="M6890" s="0" t="s">
        <v>173</v>
      </c>
      <c r="N6890" s="0" t="n">
        <v>628</v>
      </c>
      <c r="O6890" s="10" t="n">
        <v>0.937231800751761</v>
      </c>
      <c r="P6890" s="10" t="n">
        <v>0.0268250561784953</v>
      </c>
      <c r="Q6890" s="0" t="str">
        <f aca="false">SUBSTITUTE(SUBSTITUTE($I6890,CHAR(61),""),CHAR(34),"")</f>
        <v>&lt;01</v>
      </c>
      <c r="R6890" s="0" t="str">
        <f aca="false">IF($D6890&lt;&gt;"","["&amp;$E6890&amp;"]"&amp;"|"&amp;$Q6890&amp;"|"&amp;$K6890&amp;"|"&amp;$G6890&amp;"|"&amp;IF($G6890="TX_CURR_SUBNAT.R","CY2022Q4",$M6890),"")</f>
        <v>[msW2zpIN7up]|&lt;01|Female|PLHIV_Attend.T2|CY2025Q3</v>
      </c>
    </row>
    <row r="6891" customFormat="false" ht="15" hidden="false" customHeight="false" outlineLevel="0" collapsed="false">
      <c r="D6891" s="0" t="s">
        <v>60</v>
      </c>
      <c r="E6891" s="0" t="s">
        <v>61</v>
      </c>
      <c r="F6891" s="0" t="s">
        <v>62</v>
      </c>
      <c r="G6891" s="0" t="s">
        <v>174</v>
      </c>
      <c r="H6891" s="0" t="s">
        <v>174</v>
      </c>
      <c r="I6891" s="0" t="s">
        <v>33</v>
      </c>
      <c r="J6891" s="0" t="s">
        <v>34</v>
      </c>
      <c r="K6891" s="0" t="s">
        <v>30</v>
      </c>
      <c r="L6891" s="0" t="s">
        <v>31</v>
      </c>
      <c r="M6891" s="0" t="s">
        <v>173</v>
      </c>
      <c r="N6891" s="0" t="n">
        <v>1301</v>
      </c>
      <c r="O6891" s="10" t="n">
        <v>0.0211169552057981</v>
      </c>
      <c r="P6891" s="10" t="n">
        <v>0.0268250561784953</v>
      </c>
      <c r="Q6891" s="0" t="str">
        <f aca="false">SUBSTITUTE(SUBSTITUTE($I6891,CHAR(61),""),CHAR(34),"")</f>
        <v>01-09</v>
      </c>
      <c r="R6891" s="0" t="str">
        <f aca="false">IF($D6891&lt;&gt;"","["&amp;$E6891&amp;"]"&amp;"|"&amp;$Q6891&amp;"|"&amp;$K6891&amp;"|"&amp;$G6891&amp;"|"&amp;IF($G6891="TX_CURR_SUBNAT.R","CY2022Q4",$M6891),"")</f>
        <v>[msW2zpIN7up]|01-09|Female|PLHIV_Attend.T2|CY2025Q3</v>
      </c>
    </row>
    <row r="6892" customFormat="false" ht="15" hidden="false" customHeight="false" outlineLevel="0" collapsed="false">
      <c r="D6892" s="0" t="s">
        <v>60</v>
      </c>
      <c r="E6892" s="0" t="s">
        <v>61</v>
      </c>
      <c r="F6892" s="0" t="s">
        <v>62</v>
      </c>
      <c r="G6892" s="0" t="s">
        <v>174</v>
      </c>
      <c r="H6892" s="0" t="s">
        <v>174</v>
      </c>
      <c r="I6892" s="0" t="s">
        <v>36</v>
      </c>
      <c r="J6892" s="0" t="s">
        <v>37</v>
      </c>
      <c r="K6892" s="0" t="s">
        <v>30</v>
      </c>
      <c r="L6892" s="0" t="s">
        <v>31</v>
      </c>
      <c r="M6892" s="0" t="s">
        <v>173</v>
      </c>
      <c r="N6892" s="0" t="n">
        <v>1594</v>
      </c>
      <c r="O6892" s="10" t="n">
        <v>0.80383059498854</v>
      </c>
      <c r="P6892" s="10" t="n">
        <v>0.0268250561784953</v>
      </c>
      <c r="Q6892" s="0" t="str">
        <f aca="false">SUBSTITUTE(SUBSTITUTE($I6892,CHAR(61),""),CHAR(34),"")</f>
        <v>10-14</v>
      </c>
      <c r="R6892" s="0" t="str">
        <f aca="false">IF($D6892&lt;&gt;"","["&amp;$E6892&amp;"]"&amp;"|"&amp;$Q6892&amp;"|"&amp;$K6892&amp;"|"&amp;$G6892&amp;"|"&amp;IF($G6892="TX_CURR_SUBNAT.R","CY2022Q4",$M6892),"")</f>
        <v>[msW2zpIN7up]|10-14|Female|PLHIV_Attend.T2|CY2025Q3</v>
      </c>
    </row>
    <row r="6893" customFormat="false" ht="15" hidden="false" customHeight="false" outlineLevel="0" collapsed="false">
      <c r="D6893" s="0" t="s">
        <v>60</v>
      </c>
      <c r="E6893" s="0" t="s">
        <v>61</v>
      </c>
      <c r="F6893" s="0" t="s">
        <v>62</v>
      </c>
      <c r="G6893" s="0" t="s">
        <v>174</v>
      </c>
      <c r="H6893" s="0" t="s">
        <v>174</v>
      </c>
      <c r="I6893" s="0" t="s">
        <v>38</v>
      </c>
      <c r="J6893" s="0" t="s">
        <v>39</v>
      </c>
      <c r="K6893" s="0" t="s">
        <v>30</v>
      </c>
      <c r="L6893" s="0" t="s">
        <v>31</v>
      </c>
      <c r="M6893" s="0" t="s">
        <v>173</v>
      </c>
      <c r="N6893" s="0" t="n">
        <v>635</v>
      </c>
      <c r="O6893" s="10" t="n">
        <v>0.138143244665116</v>
      </c>
      <c r="P6893" s="10" t="n">
        <v>0.0268250561784953</v>
      </c>
      <c r="Q6893" s="0" t="str">
        <f aca="false">SUBSTITUTE(SUBSTITUTE($I6893,CHAR(61),""),CHAR(34),"")</f>
        <v>15-24</v>
      </c>
      <c r="R6893" s="0" t="str">
        <f aca="false">IF($D6893&lt;&gt;"","["&amp;$E6893&amp;"]"&amp;"|"&amp;$Q6893&amp;"|"&amp;$K6893&amp;"|"&amp;$G6893&amp;"|"&amp;IF($G6893="TX_CURR_SUBNAT.R","CY2022Q4",$M6893),"")</f>
        <v>[msW2zpIN7up]|15-24|Female|PLHIV_Attend.T2|CY2025Q3</v>
      </c>
    </row>
    <row r="6894" customFormat="false" ht="15" hidden="false" customHeight="false" outlineLevel="0" collapsed="false">
      <c r="D6894" s="0" t="s">
        <v>60</v>
      </c>
      <c r="E6894" s="0" t="s">
        <v>61</v>
      </c>
      <c r="F6894" s="0" t="s">
        <v>62</v>
      </c>
      <c r="G6894" s="0" t="s">
        <v>174</v>
      </c>
      <c r="H6894" s="0" t="s">
        <v>174</v>
      </c>
      <c r="I6894" s="0" t="s">
        <v>41</v>
      </c>
      <c r="J6894" s="0" t="s">
        <v>42</v>
      </c>
      <c r="K6894" s="0" t="s">
        <v>30</v>
      </c>
      <c r="L6894" s="0" t="s">
        <v>31</v>
      </c>
      <c r="M6894" s="0" t="s">
        <v>173</v>
      </c>
      <c r="N6894" s="0" t="n">
        <v>1509</v>
      </c>
      <c r="O6894" s="10" t="n">
        <v>0.719912034692243</v>
      </c>
      <c r="P6894" s="10" t="n">
        <v>0.0268250561784953</v>
      </c>
      <c r="Q6894" s="0" t="str">
        <f aca="false">SUBSTITUTE(SUBSTITUTE($I6894,CHAR(61),""),CHAR(34),"")</f>
        <v>25-34</v>
      </c>
      <c r="R6894" s="0" t="str">
        <f aca="false">IF($D6894&lt;&gt;"","["&amp;$E6894&amp;"]"&amp;"|"&amp;$Q6894&amp;"|"&amp;$K6894&amp;"|"&amp;$G6894&amp;"|"&amp;IF($G6894="TX_CURR_SUBNAT.R","CY2022Q4",$M6894),"")</f>
        <v>[msW2zpIN7up]|25-34|Female|PLHIV_Attend.T2|CY2025Q3</v>
      </c>
    </row>
    <row r="6895" customFormat="false" ht="15" hidden="false" customHeight="false" outlineLevel="0" collapsed="false">
      <c r="D6895" s="0" t="s">
        <v>60</v>
      </c>
      <c r="E6895" s="0" t="s">
        <v>61</v>
      </c>
      <c r="F6895" s="0" t="s">
        <v>62</v>
      </c>
      <c r="G6895" s="0" t="s">
        <v>174</v>
      </c>
      <c r="H6895" s="0" t="s">
        <v>174</v>
      </c>
      <c r="I6895" s="0" t="s">
        <v>43</v>
      </c>
      <c r="J6895" s="0" t="s">
        <v>44</v>
      </c>
      <c r="K6895" s="0" t="s">
        <v>30</v>
      </c>
      <c r="L6895" s="0" t="s">
        <v>31</v>
      </c>
      <c r="M6895" s="0" t="s">
        <v>173</v>
      </c>
      <c r="N6895" s="0" t="n">
        <v>915</v>
      </c>
      <c r="O6895" s="10" t="n">
        <v>0.581241896143183</v>
      </c>
      <c r="P6895" s="10" t="n">
        <v>0.0268250561784953</v>
      </c>
      <c r="Q6895" s="0" t="str">
        <f aca="false">SUBSTITUTE(SUBSTITUTE($I6895,CHAR(61),""),CHAR(34),"")</f>
        <v>35-49</v>
      </c>
      <c r="R6895" s="0" t="str">
        <f aca="false">IF($D6895&lt;&gt;"","["&amp;$E6895&amp;"]"&amp;"|"&amp;$Q6895&amp;"|"&amp;$K6895&amp;"|"&amp;$G6895&amp;"|"&amp;IF($G6895="TX_CURR_SUBNAT.R","CY2022Q4",$M6895),"")</f>
        <v>[msW2zpIN7up]|35-49|Female|PLHIV_Attend.T2|CY2025Q3</v>
      </c>
    </row>
    <row r="6896" customFormat="false" ht="15" hidden="false" customHeight="false" outlineLevel="0" collapsed="false">
      <c r="D6896" s="0" t="s">
        <v>60</v>
      </c>
      <c r="E6896" s="0" t="s">
        <v>61</v>
      </c>
      <c r="F6896" s="0" t="s">
        <v>62</v>
      </c>
      <c r="G6896" s="0" t="s">
        <v>174</v>
      </c>
      <c r="H6896" s="0" t="s">
        <v>174</v>
      </c>
      <c r="I6896" s="0" t="s">
        <v>45</v>
      </c>
      <c r="J6896" s="0" t="s">
        <v>46</v>
      </c>
      <c r="K6896" s="0" t="s">
        <v>30</v>
      </c>
      <c r="L6896" s="0" t="s">
        <v>31</v>
      </c>
      <c r="M6896" s="0" t="s">
        <v>173</v>
      </c>
      <c r="N6896" s="0" t="n">
        <v>1757</v>
      </c>
      <c r="O6896" s="10" t="n">
        <v>0.216723571997136</v>
      </c>
      <c r="P6896" s="10" t="n">
        <v>0.0268250561784953</v>
      </c>
      <c r="Q6896" s="0" t="str">
        <f aca="false">SUBSTITUTE(SUBSTITUTE($I6896,CHAR(61),""),CHAR(34),"")</f>
        <v>50+</v>
      </c>
      <c r="R6896" s="0" t="str">
        <f aca="false">IF($D6896&lt;&gt;"","["&amp;$E6896&amp;"]"&amp;"|"&amp;$Q6896&amp;"|"&amp;$K6896&amp;"|"&amp;$G6896&amp;"|"&amp;IF($G6896="TX_CURR_SUBNAT.R","CY2022Q4",$M6896),"")</f>
        <v>[msW2zpIN7up]|50+|Female|PLHIV_Attend.T2|CY2025Q3</v>
      </c>
    </row>
    <row r="6897" customFormat="false" ht="15" hidden="false" customHeight="false" outlineLevel="0" collapsed="false">
      <c r="D6897" s="0" t="s">
        <v>60</v>
      </c>
      <c r="E6897" s="0" t="s">
        <v>61</v>
      </c>
      <c r="F6897" s="0" t="s">
        <v>62</v>
      </c>
      <c r="G6897" s="0" t="s">
        <v>174</v>
      </c>
      <c r="H6897" s="0" t="s">
        <v>174</v>
      </c>
      <c r="I6897" s="0" t="s">
        <v>28</v>
      </c>
      <c r="J6897" s="0" t="s">
        <v>29</v>
      </c>
      <c r="K6897" s="0" t="s">
        <v>48</v>
      </c>
      <c r="L6897" s="0" t="s">
        <v>49</v>
      </c>
      <c r="M6897" s="0" t="s">
        <v>173</v>
      </c>
      <c r="N6897" s="0" t="n">
        <v>1602</v>
      </c>
      <c r="O6897" s="10" t="n">
        <v>0.214539791690186</v>
      </c>
      <c r="P6897" s="10" t="n">
        <v>0.0268250561784953</v>
      </c>
      <c r="Q6897" s="0" t="str">
        <f aca="false">SUBSTITUTE(SUBSTITUTE($I6897,CHAR(61),""),CHAR(34),"")</f>
        <v>&lt;01</v>
      </c>
      <c r="R6897" s="0" t="str">
        <f aca="false">IF($D6897&lt;&gt;"","["&amp;$E6897&amp;"]"&amp;"|"&amp;$Q6897&amp;"|"&amp;$K6897&amp;"|"&amp;$G6897&amp;"|"&amp;IF($G6897="TX_CURR_SUBNAT.R","CY2022Q4",$M6897),"")</f>
        <v>[msW2zpIN7up]|&lt;01|Male|PLHIV_Attend.T2|CY2025Q3</v>
      </c>
    </row>
    <row r="6898" customFormat="false" ht="15" hidden="false" customHeight="false" outlineLevel="0" collapsed="false">
      <c r="D6898" s="0" t="s">
        <v>60</v>
      </c>
      <c r="E6898" s="0" t="s">
        <v>61</v>
      </c>
      <c r="F6898" s="0" t="s">
        <v>62</v>
      </c>
      <c r="G6898" s="0" t="s">
        <v>174</v>
      </c>
      <c r="H6898" s="0" t="s">
        <v>174</v>
      </c>
      <c r="I6898" s="0" t="s">
        <v>33</v>
      </c>
      <c r="J6898" s="0" t="s">
        <v>34</v>
      </c>
      <c r="K6898" s="0" t="s">
        <v>48</v>
      </c>
      <c r="L6898" s="0" t="s">
        <v>49</v>
      </c>
      <c r="M6898" s="0" t="s">
        <v>173</v>
      </c>
      <c r="N6898" s="0" t="n">
        <v>923</v>
      </c>
      <c r="O6898" s="10" t="n">
        <v>0.440945806214586</v>
      </c>
      <c r="P6898" s="10" t="n">
        <v>0.0268250561784953</v>
      </c>
      <c r="Q6898" s="0" t="str">
        <f aca="false">SUBSTITUTE(SUBSTITUTE($I6898,CHAR(61),""),CHAR(34),"")</f>
        <v>01-09</v>
      </c>
      <c r="R6898" s="0" t="str">
        <f aca="false">IF($D6898&lt;&gt;"","["&amp;$E6898&amp;"]"&amp;"|"&amp;$Q6898&amp;"|"&amp;$K6898&amp;"|"&amp;$G6898&amp;"|"&amp;IF($G6898="TX_CURR_SUBNAT.R","CY2022Q4",$M6898),"")</f>
        <v>[msW2zpIN7up]|01-09|Male|PLHIV_Attend.T2|CY2025Q3</v>
      </c>
    </row>
    <row r="6899" customFormat="false" ht="15" hidden="false" customHeight="false" outlineLevel="0" collapsed="false">
      <c r="D6899" s="0" t="s">
        <v>60</v>
      </c>
      <c r="E6899" s="0" t="s">
        <v>61</v>
      </c>
      <c r="F6899" s="0" t="s">
        <v>62</v>
      </c>
      <c r="G6899" s="0" t="s">
        <v>174</v>
      </c>
      <c r="H6899" s="0" t="s">
        <v>174</v>
      </c>
      <c r="I6899" s="0" t="s">
        <v>36</v>
      </c>
      <c r="J6899" s="0" t="s">
        <v>37</v>
      </c>
      <c r="K6899" s="0" t="s">
        <v>48</v>
      </c>
      <c r="L6899" s="0" t="s">
        <v>49</v>
      </c>
      <c r="M6899" s="0" t="s">
        <v>173</v>
      </c>
      <c r="N6899" s="0" t="n">
        <v>1686</v>
      </c>
      <c r="O6899" s="10" t="n">
        <v>0.449169908417389</v>
      </c>
      <c r="P6899" s="10" t="n">
        <v>0.0268250561784953</v>
      </c>
      <c r="Q6899" s="0" t="str">
        <f aca="false">SUBSTITUTE(SUBSTITUTE($I6899,CHAR(61),""),CHAR(34),"")</f>
        <v>10-14</v>
      </c>
      <c r="R6899" s="0" t="str">
        <f aca="false">IF($D6899&lt;&gt;"","["&amp;$E6899&amp;"]"&amp;"|"&amp;$Q6899&amp;"|"&amp;$K6899&amp;"|"&amp;$G6899&amp;"|"&amp;IF($G6899="TX_CURR_SUBNAT.R","CY2022Q4",$M6899),"")</f>
        <v>[msW2zpIN7up]|10-14|Male|PLHIV_Attend.T2|CY2025Q3</v>
      </c>
    </row>
    <row r="6900" customFormat="false" ht="15" hidden="false" customHeight="false" outlineLevel="0" collapsed="false">
      <c r="D6900" s="0" t="s">
        <v>60</v>
      </c>
      <c r="E6900" s="0" t="s">
        <v>61</v>
      </c>
      <c r="F6900" s="0" t="s">
        <v>62</v>
      </c>
      <c r="G6900" s="0" t="s">
        <v>174</v>
      </c>
      <c r="H6900" s="0" t="s">
        <v>174</v>
      </c>
      <c r="I6900" s="0" t="s">
        <v>38</v>
      </c>
      <c r="J6900" s="0" t="s">
        <v>39</v>
      </c>
      <c r="K6900" s="0" t="s">
        <v>48</v>
      </c>
      <c r="L6900" s="0" t="s">
        <v>49</v>
      </c>
      <c r="M6900" s="0" t="s">
        <v>173</v>
      </c>
      <c r="N6900" s="0" t="n">
        <v>1911</v>
      </c>
      <c r="O6900" s="10" t="n">
        <v>0.713939511682838</v>
      </c>
      <c r="P6900" s="10" t="n">
        <v>0.0268250561784953</v>
      </c>
      <c r="Q6900" s="0" t="str">
        <f aca="false">SUBSTITUTE(SUBSTITUTE($I6900,CHAR(61),""),CHAR(34),"")</f>
        <v>15-24</v>
      </c>
      <c r="R6900" s="0" t="str">
        <f aca="false">IF($D6900&lt;&gt;"","["&amp;$E6900&amp;"]"&amp;"|"&amp;$Q6900&amp;"|"&amp;$K6900&amp;"|"&amp;$G6900&amp;"|"&amp;IF($G6900="TX_CURR_SUBNAT.R","CY2022Q4",$M6900),"")</f>
        <v>[msW2zpIN7up]|15-24|Male|PLHIV_Attend.T2|CY2025Q3</v>
      </c>
    </row>
    <row r="6901" customFormat="false" ht="15" hidden="false" customHeight="false" outlineLevel="0" collapsed="false">
      <c r="D6901" s="0" t="s">
        <v>60</v>
      </c>
      <c r="E6901" s="0" t="s">
        <v>61</v>
      </c>
      <c r="F6901" s="0" t="s">
        <v>62</v>
      </c>
      <c r="G6901" s="0" t="s">
        <v>174</v>
      </c>
      <c r="H6901" s="0" t="s">
        <v>174</v>
      </c>
      <c r="I6901" s="0" t="s">
        <v>41</v>
      </c>
      <c r="J6901" s="0" t="s">
        <v>42</v>
      </c>
      <c r="K6901" s="0" t="s">
        <v>48</v>
      </c>
      <c r="L6901" s="0" t="s">
        <v>49</v>
      </c>
      <c r="M6901" s="0" t="s">
        <v>173</v>
      </c>
      <c r="N6901" s="0" t="n">
        <v>1325</v>
      </c>
      <c r="O6901" s="10" t="n">
        <v>0.241179590811953</v>
      </c>
      <c r="P6901" s="10" t="n">
        <v>0.0268250561784953</v>
      </c>
      <c r="Q6901" s="0" t="str">
        <f aca="false">SUBSTITUTE(SUBSTITUTE($I6901,CHAR(61),""),CHAR(34),"")</f>
        <v>25-34</v>
      </c>
      <c r="R6901" s="0" t="str">
        <f aca="false">IF($D6901&lt;&gt;"","["&amp;$E6901&amp;"]"&amp;"|"&amp;$Q6901&amp;"|"&amp;$K6901&amp;"|"&amp;$G6901&amp;"|"&amp;IF($G6901="TX_CURR_SUBNAT.R","CY2022Q4",$M6901),"")</f>
        <v>[msW2zpIN7up]|25-34|Male|PLHIV_Attend.T2|CY2025Q3</v>
      </c>
    </row>
    <row r="6902" customFormat="false" ht="15" hidden="false" customHeight="false" outlineLevel="0" collapsed="false">
      <c r="D6902" s="0" t="s">
        <v>60</v>
      </c>
      <c r="E6902" s="0" t="s">
        <v>61</v>
      </c>
      <c r="F6902" s="0" t="s">
        <v>62</v>
      </c>
      <c r="G6902" s="0" t="s">
        <v>174</v>
      </c>
      <c r="H6902" s="0" t="s">
        <v>174</v>
      </c>
      <c r="I6902" s="0" t="s">
        <v>43</v>
      </c>
      <c r="J6902" s="0" t="s">
        <v>44</v>
      </c>
      <c r="K6902" s="0" t="s">
        <v>48</v>
      </c>
      <c r="L6902" s="0" t="s">
        <v>49</v>
      </c>
      <c r="M6902" s="0" t="s">
        <v>173</v>
      </c>
      <c r="N6902" s="0" t="n">
        <v>1955</v>
      </c>
      <c r="O6902" s="10" t="n">
        <v>0.134795438498259</v>
      </c>
      <c r="P6902" s="10" t="n">
        <v>0.0268250561784953</v>
      </c>
      <c r="Q6902" s="0" t="str">
        <f aca="false">SUBSTITUTE(SUBSTITUTE($I6902,CHAR(61),""),CHAR(34),"")</f>
        <v>35-49</v>
      </c>
      <c r="R6902" s="0" t="str">
        <f aca="false">IF($D6902&lt;&gt;"","["&amp;$E6902&amp;"]"&amp;"|"&amp;$Q6902&amp;"|"&amp;$K6902&amp;"|"&amp;$G6902&amp;"|"&amp;IF($G6902="TX_CURR_SUBNAT.R","CY2022Q4",$M6902),"")</f>
        <v>[msW2zpIN7up]|35-49|Male|PLHIV_Attend.T2|CY2025Q3</v>
      </c>
    </row>
    <row r="6903" customFormat="false" ht="15" hidden="false" customHeight="false" outlineLevel="0" collapsed="false">
      <c r="D6903" s="0" t="s">
        <v>60</v>
      </c>
      <c r="E6903" s="0" t="s">
        <v>61</v>
      </c>
      <c r="F6903" s="0" t="s">
        <v>62</v>
      </c>
      <c r="G6903" s="0" t="s">
        <v>174</v>
      </c>
      <c r="H6903" s="0" t="s">
        <v>174</v>
      </c>
      <c r="I6903" s="0" t="s">
        <v>45</v>
      </c>
      <c r="J6903" s="0" t="s">
        <v>46</v>
      </c>
      <c r="K6903" s="0" t="s">
        <v>48</v>
      </c>
      <c r="L6903" s="0" t="s">
        <v>49</v>
      </c>
      <c r="M6903" s="0" t="s">
        <v>173</v>
      </c>
      <c r="N6903" s="0" t="n">
        <v>1004</v>
      </c>
      <c r="O6903" s="10" t="n">
        <v>0.81819595512934</v>
      </c>
      <c r="P6903" s="10" t="n">
        <v>0.0268250561784953</v>
      </c>
      <c r="Q6903" s="0" t="str">
        <f aca="false">SUBSTITUTE(SUBSTITUTE($I6903,CHAR(61),""),CHAR(34),"")</f>
        <v>50+</v>
      </c>
      <c r="R6903" s="0" t="str">
        <f aca="false">IF($D6903&lt;&gt;"","["&amp;$E6903&amp;"]"&amp;"|"&amp;$Q6903&amp;"|"&amp;$K6903&amp;"|"&amp;$G6903&amp;"|"&amp;IF($G6903="TX_CURR_SUBNAT.R","CY2022Q4",$M6903),"")</f>
        <v>[msW2zpIN7up]|50+|Male|PLHIV_Attend.T2|CY2025Q3</v>
      </c>
    </row>
    <row r="6904" customFormat="false" ht="15" hidden="false" customHeight="false" outlineLevel="0" collapsed="false">
      <c r="D6904" s="0" t="s">
        <v>63</v>
      </c>
      <c r="E6904" s="0" t="s">
        <v>64</v>
      </c>
      <c r="F6904" s="0" t="s">
        <v>65</v>
      </c>
      <c r="G6904" s="0" t="s">
        <v>174</v>
      </c>
      <c r="H6904" s="0" t="s">
        <v>174</v>
      </c>
      <c r="I6904" s="0" t="s">
        <v>28</v>
      </c>
      <c r="J6904" s="0" t="s">
        <v>29</v>
      </c>
      <c r="K6904" s="0" t="s">
        <v>30</v>
      </c>
      <c r="L6904" s="0" t="s">
        <v>31</v>
      </c>
      <c r="M6904" s="0" t="s">
        <v>173</v>
      </c>
      <c r="N6904" s="0" t="n">
        <v>1702</v>
      </c>
      <c r="O6904" s="10" t="n">
        <v>0.565321537898853</v>
      </c>
      <c r="P6904" s="10" t="n">
        <v>0.790102193132043</v>
      </c>
      <c r="Q6904" s="0" t="str">
        <f aca="false">SUBSTITUTE(SUBSTITUTE($I6904,CHAR(61),""),CHAR(34),"")</f>
        <v>&lt;01</v>
      </c>
      <c r="R6904" s="0" t="str">
        <f aca="false">IF($D6904&lt;&gt;"","["&amp;$E6904&amp;"]"&amp;"|"&amp;$Q6904&amp;"|"&amp;$K6904&amp;"|"&amp;$G6904&amp;"|"&amp;IF($G6904="TX_CURR_SUBNAT.R","CY2022Q4",$M6904),"")</f>
        <v>[kxuuIFpOXyO]|&lt;01|Female|PLHIV_Attend.T2|CY2025Q3</v>
      </c>
    </row>
    <row r="6905" customFormat="false" ht="15" hidden="false" customHeight="false" outlineLevel="0" collapsed="false">
      <c r="D6905" s="0" t="s">
        <v>63</v>
      </c>
      <c r="E6905" s="0" t="s">
        <v>64</v>
      </c>
      <c r="F6905" s="0" t="s">
        <v>65</v>
      </c>
      <c r="G6905" s="0" t="s">
        <v>174</v>
      </c>
      <c r="H6905" s="0" t="s">
        <v>174</v>
      </c>
      <c r="I6905" s="0" t="s">
        <v>33</v>
      </c>
      <c r="J6905" s="0" t="s">
        <v>34</v>
      </c>
      <c r="K6905" s="0" t="s">
        <v>30</v>
      </c>
      <c r="L6905" s="0" t="s">
        <v>31</v>
      </c>
      <c r="M6905" s="0" t="s">
        <v>173</v>
      </c>
      <c r="N6905" s="0" t="n">
        <v>1791</v>
      </c>
      <c r="O6905" s="10" t="n">
        <v>0.327508675632998</v>
      </c>
      <c r="P6905" s="10" t="n">
        <v>0.790102193132043</v>
      </c>
      <c r="Q6905" s="0" t="str">
        <f aca="false">SUBSTITUTE(SUBSTITUTE($I6905,CHAR(61),""),CHAR(34),"")</f>
        <v>01-09</v>
      </c>
      <c r="R6905" s="0" t="str">
        <f aca="false">IF($D6905&lt;&gt;"","["&amp;$E6905&amp;"]"&amp;"|"&amp;$Q6905&amp;"|"&amp;$K6905&amp;"|"&amp;$G6905&amp;"|"&amp;IF($G6905="TX_CURR_SUBNAT.R","CY2022Q4",$M6905),"")</f>
        <v>[kxuuIFpOXyO]|01-09|Female|PLHIV_Attend.T2|CY2025Q3</v>
      </c>
    </row>
    <row r="6906" customFormat="false" ht="15" hidden="false" customHeight="false" outlineLevel="0" collapsed="false">
      <c r="D6906" s="0" t="s">
        <v>63</v>
      </c>
      <c r="E6906" s="0" t="s">
        <v>64</v>
      </c>
      <c r="F6906" s="0" t="s">
        <v>65</v>
      </c>
      <c r="G6906" s="0" t="s">
        <v>174</v>
      </c>
      <c r="H6906" s="0" t="s">
        <v>174</v>
      </c>
      <c r="I6906" s="0" t="s">
        <v>36</v>
      </c>
      <c r="J6906" s="0" t="s">
        <v>37</v>
      </c>
      <c r="K6906" s="0" t="s">
        <v>30</v>
      </c>
      <c r="L6906" s="0" t="s">
        <v>31</v>
      </c>
      <c r="M6906" s="0" t="s">
        <v>173</v>
      </c>
      <c r="N6906" s="0" t="n">
        <v>1204</v>
      </c>
      <c r="O6906" s="10" t="n">
        <v>0.276897142408416</v>
      </c>
      <c r="P6906" s="10" t="n">
        <v>0.790102193132043</v>
      </c>
      <c r="Q6906" s="0" t="str">
        <f aca="false">SUBSTITUTE(SUBSTITUTE($I6906,CHAR(61),""),CHAR(34),"")</f>
        <v>10-14</v>
      </c>
      <c r="R6906" s="0" t="str">
        <f aca="false">IF($D6906&lt;&gt;"","["&amp;$E6906&amp;"]"&amp;"|"&amp;$Q6906&amp;"|"&amp;$K6906&amp;"|"&amp;$G6906&amp;"|"&amp;IF($G6906="TX_CURR_SUBNAT.R","CY2022Q4",$M6906),"")</f>
        <v>[kxuuIFpOXyO]|10-14|Female|PLHIV_Attend.T2|CY2025Q3</v>
      </c>
    </row>
    <row r="6907" customFormat="false" ht="15" hidden="false" customHeight="false" outlineLevel="0" collapsed="false">
      <c r="D6907" s="0" t="s">
        <v>63</v>
      </c>
      <c r="E6907" s="0" t="s">
        <v>64</v>
      </c>
      <c r="F6907" s="0" t="s">
        <v>65</v>
      </c>
      <c r="G6907" s="0" t="s">
        <v>174</v>
      </c>
      <c r="H6907" s="0" t="s">
        <v>174</v>
      </c>
      <c r="I6907" s="0" t="s">
        <v>38</v>
      </c>
      <c r="J6907" s="0" t="s">
        <v>39</v>
      </c>
      <c r="K6907" s="0" t="s">
        <v>30</v>
      </c>
      <c r="L6907" s="0" t="s">
        <v>31</v>
      </c>
      <c r="M6907" s="0" t="s">
        <v>173</v>
      </c>
      <c r="N6907" s="0" t="n">
        <v>1736</v>
      </c>
      <c r="O6907" s="10" t="n">
        <v>0.330433645518497</v>
      </c>
      <c r="P6907" s="10" t="n">
        <v>0.790102193132043</v>
      </c>
      <c r="Q6907" s="0" t="str">
        <f aca="false">SUBSTITUTE(SUBSTITUTE($I6907,CHAR(61),""),CHAR(34),"")</f>
        <v>15-24</v>
      </c>
      <c r="R6907" s="0" t="str">
        <f aca="false">IF($D6907&lt;&gt;"","["&amp;$E6907&amp;"]"&amp;"|"&amp;$Q6907&amp;"|"&amp;$K6907&amp;"|"&amp;$G6907&amp;"|"&amp;IF($G6907="TX_CURR_SUBNAT.R","CY2022Q4",$M6907),"")</f>
        <v>[kxuuIFpOXyO]|15-24|Female|PLHIV_Attend.T2|CY2025Q3</v>
      </c>
    </row>
    <row r="6908" customFormat="false" ht="15" hidden="false" customHeight="false" outlineLevel="0" collapsed="false">
      <c r="D6908" s="0" t="s">
        <v>63</v>
      </c>
      <c r="E6908" s="0" t="s">
        <v>64</v>
      </c>
      <c r="F6908" s="0" t="s">
        <v>65</v>
      </c>
      <c r="G6908" s="0" t="s">
        <v>174</v>
      </c>
      <c r="H6908" s="0" t="s">
        <v>174</v>
      </c>
      <c r="I6908" s="0" t="s">
        <v>41</v>
      </c>
      <c r="J6908" s="0" t="s">
        <v>42</v>
      </c>
      <c r="K6908" s="0" t="s">
        <v>30</v>
      </c>
      <c r="L6908" s="0" t="s">
        <v>31</v>
      </c>
      <c r="M6908" s="0" t="s">
        <v>173</v>
      </c>
      <c r="N6908" s="0" t="n">
        <v>562</v>
      </c>
      <c r="O6908" s="10" t="n">
        <v>0.577715983847156</v>
      </c>
      <c r="P6908" s="10" t="n">
        <v>0.790102193132043</v>
      </c>
      <c r="Q6908" s="0" t="str">
        <f aca="false">SUBSTITUTE(SUBSTITUTE($I6908,CHAR(61),""),CHAR(34),"")</f>
        <v>25-34</v>
      </c>
      <c r="R6908" s="0" t="str">
        <f aca="false">IF($D6908&lt;&gt;"","["&amp;$E6908&amp;"]"&amp;"|"&amp;$Q6908&amp;"|"&amp;$K6908&amp;"|"&amp;$G6908&amp;"|"&amp;IF($G6908="TX_CURR_SUBNAT.R","CY2022Q4",$M6908),"")</f>
        <v>[kxuuIFpOXyO]|25-34|Female|PLHIV_Attend.T2|CY2025Q3</v>
      </c>
    </row>
    <row r="6909" customFormat="false" ht="15" hidden="false" customHeight="false" outlineLevel="0" collapsed="false">
      <c r="D6909" s="0" t="s">
        <v>63</v>
      </c>
      <c r="E6909" s="0" t="s">
        <v>64</v>
      </c>
      <c r="F6909" s="0" t="s">
        <v>65</v>
      </c>
      <c r="G6909" s="0" t="s">
        <v>174</v>
      </c>
      <c r="H6909" s="0" t="s">
        <v>174</v>
      </c>
      <c r="I6909" s="0" t="s">
        <v>43</v>
      </c>
      <c r="J6909" s="0" t="s">
        <v>44</v>
      </c>
      <c r="K6909" s="0" t="s">
        <v>30</v>
      </c>
      <c r="L6909" s="0" t="s">
        <v>31</v>
      </c>
      <c r="M6909" s="0" t="s">
        <v>173</v>
      </c>
      <c r="N6909" s="0" t="n">
        <v>1730</v>
      </c>
      <c r="O6909" s="10" t="n">
        <v>0.685931307729334</v>
      </c>
      <c r="P6909" s="10" t="n">
        <v>0.790102193132043</v>
      </c>
      <c r="Q6909" s="0" t="str">
        <f aca="false">SUBSTITUTE(SUBSTITUTE($I6909,CHAR(61),""),CHAR(34),"")</f>
        <v>35-49</v>
      </c>
      <c r="R6909" s="0" t="str">
        <f aca="false">IF($D6909&lt;&gt;"","["&amp;$E6909&amp;"]"&amp;"|"&amp;$Q6909&amp;"|"&amp;$K6909&amp;"|"&amp;$G6909&amp;"|"&amp;IF($G6909="TX_CURR_SUBNAT.R","CY2022Q4",$M6909),"")</f>
        <v>[kxuuIFpOXyO]|35-49|Female|PLHIV_Attend.T2|CY2025Q3</v>
      </c>
    </row>
    <row r="6910" customFormat="false" ht="15" hidden="false" customHeight="false" outlineLevel="0" collapsed="false">
      <c r="D6910" s="0" t="s">
        <v>63</v>
      </c>
      <c r="E6910" s="0" t="s">
        <v>64</v>
      </c>
      <c r="F6910" s="0" t="s">
        <v>65</v>
      </c>
      <c r="G6910" s="0" t="s">
        <v>174</v>
      </c>
      <c r="H6910" s="0" t="s">
        <v>174</v>
      </c>
      <c r="I6910" s="0" t="s">
        <v>45</v>
      </c>
      <c r="J6910" s="0" t="s">
        <v>46</v>
      </c>
      <c r="K6910" s="0" t="s">
        <v>30</v>
      </c>
      <c r="L6910" s="0" t="s">
        <v>31</v>
      </c>
      <c r="M6910" s="0" t="s">
        <v>173</v>
      </c>
      <c r="N6910" s="0" t="n">
        <v>1795</v>
      </c>
      <c r="O6910" s="10" t="n">
        <v>0.485653531737626</v>
      </c>
      <c r="P6910" s="10" t="n">
        <v>0.790102193132043</v>
      </c>
      <c r="Q6910" s="0" t="str">
        <f aca="false">SUBSTITUTE(SUBSTITUTE($I6910,CHAR(61),""),CHAR(34),"")</f>
        <v>50+</v>
      </c>
      <c r="R6910" s="0" t="str">
        <f aca="false">IF($D6910&lt;&gt;"","["&amp;$E6910&amp;"]"&amp;"|"&amp;$Q6910&amp;"|"&amp;$K6910&amp;"|"&amp;$G6910&amp;"|"&amp;IF($G6910="TX_CURR_SUBNAT.R","CY2022Q4",$M6910),"")</f>
        <v>[kxuuIFpOXyO]|50+|Female|PLHIV_Attend.T2|CY2025Q3</v>
      </c>
    </row>
    <row r="6911" customFormat="false" ht="15" hidden="false" customHeight="false" outlineLevel="0" collapsed="false">
      <c r="D6911" s="0" t="s">
        <v>63</v>
      </c>
      <c r="E6911" s="0" t="s">
        <v>64</v>
      </c>
      <c r="F6911" s="0" t="s">
        <v>65</v>
      </c>
      <c r="G6911" s="0" t="s">
        <v>174</v>
      </c>
      <c r="H6911" s="0" t="s">
        <v>174</v>
      </c>
      <c r="I6911" s="0" t="s">
        <v>28</v>
      </c>
      <c r="J6911" s="0" t="s">
        <v>29</v>
      </c>
      <c r="K6911" s="0" t="s">
        <v>48</v>
      </c>
      <c r="L6911" s="0" t="s">
        <v>49</v>
      </c>
      <c r="M6911" s="0" t="s">
        <v>173</v>
      </c>
      <c r="N6911" s="0" t="n">
        <v>1520</v>
      </c>
      <c r="O6911" s="10" t="n">
        <v>0.604019349440932</v>
      </c>
      <c r="P6911" s="10" t="n">
        <v>0.790102193132043</v>
      </c>
      <c r="Q6911" s="0" t="str">
        <f aca="false">SUBSTITUTE(SUBSTITUTE($I6911,CHAR(61),""),CHAR(34),"")</f>
        <v>&lt;01</v>
      </c>
      <c r="R6911" s="0" t="str">
        <f aca="false">IF($D6911&lt;&gt;"","["&amp;$E6911&amp;"]"&amp;"|"&amp;$Q6911&amp;"|"&amp;$K6911&amp;"|"&amp;$G6911&amp;"|"&amp;IF($G6911="TX_CURR_SUBNAT.R","CY2022Q4",$M6911),"")</f>
        <v>[kxuuIFpOXyO]|&lt;01|Male|PLHIV_Attend.T2|CY2025Q3</v>
      </c>
    </row>
    <row r="6912" customFormat="false" ht="15" hidden="false" customHeight="false" outlineLevel="0" collapsed="false">
      <c r="D6912" s="0" t="s">
        <v>63</v>
      </c>
      <c r="E6912" s="0" t="s">
        <v>64</v>
      </c>
      <c r="F6912" s="0" t="s">
        <v>65</v>
      </c>
      <c r="G6912" s="0" t="s">
        <v>174</v>
      </c>
      <c r="H6912" s="0" t="s">
        <v>174</v>
      </c>
      <c r="I6912" s="0" t="s">
        <v>33</v>
      </c>
      <c r="J6912" s="0" t="s">
        <v>34</v>
      </c>
      <c r="K6912" s="0" t="s">
        <v>48</v>
      </c>
      <c r="L6912" s="0" t="s">
        <v>49</v>
      </c>
      <c r="M6912" s="0" t="s">
        <v>173</v>
      </c>
      <c r="N6912" s="0" t="n">
        <v>1177</v>
      </c>
      <c r="O6912" s="10" t="n">
        <v>0.744265345856547</v>
      </c>
      <c r="P6912" s="10" t="n">
        <v>0.790102193132043</v>
      </c>
      <c r="Q6912" s="0" t="str">
        <f aca="false">SUBSTITUTE(SUBSTITUTE($I6912,CHAR(61),""),CHAR(34),"")</f>
        <v>01-09</v>
      </c>
      <c r="R6912" s="0" t="str">
        <f aca="false">IF($D6912&lt;&gt;"","["&amp;$E6912&amp;"]"&amp;"|"&amp;$Q6912&amp;"|"&amp;$K6912&amp;"|"&amp;$G6912&amp;"|"&amp;IF($G6912="TX_CURR_SUBNAT.R","CY2022Q4",$M6912),"")</f>
        <v>[kxuuIFpOXyO]|01-09|Male|PLHIV_Attend.T2|CY2025Q3</v>
      </c>
    </row>
    <row r="6913" customFormat="false" ht="15" hidden="false" customHeight="false" outlineLevel="0" collapsed="false">
      <c r="D6913" s="0" t="s">
        <v>63</v>
      </c>
      <c r="E6913" s="0" t="s">
        <v>64</v>
      </c>
      <c r="F6913" s="0" t="s">
        <v>65</v>
      </c>
      <c r="G6913" s="0" t="s">
        <v>174</v>
      </c>
      <c r="H6913" s="0" t="s">
        <v>174</v>
      </c>
      <c r="I6913" s="0" t="s">
        <v>36</v>
      </c>
      <c r="J6913" s="0" t="s">
        <v>37</v>
      </c>
      <c r="K6913" s="0" t="s">
        <v>48</v>
      </c>
      <c r="L6913" s="0" t="s">
        <v>49</v>
      </c>
      <c r="M6913" s="0" t="s">
        <v>173</v>
      </c>
      <c r="N6913" s="0" t="n">
        <v>833</v>
      </c>
      <c r="O6913" s="10" t="n">
        <v>0.943882938474417</v>
      </c>
      <c r="P6913" s="10" t="n">
        <v>0.790102193132043</v>
      </c>
      <c r="Q6913" s="0" t="str">
        <f aca="false">SUBSTITUTE(SUBSTITUTE($I6913,CHAR(61),""),CHAR(34),"")</f>
        <v>10-14</v>
      </c>
      <c r="R6913" s="0" t="str">
        <f aca="false">IF($D6913&lt;&gt;"","["&amp;$E6913&amp;"]"&amp;"|"&amp;$Q6913&amp;"|"&amp;$K6913&amp;"|"&amp;$G6913&amp;"|"&amp;IF($G6913="TX_CURR_SUBNAT.R","CY2022Q4",$M6913),"")</f>
        <v>[kxuuIFpOXyO]|10-14|Male|PLHIV_Attend.T2|CY2025Q3</v>
      </c>
    </row>
    <row r="6914" customFormat="false" ht="15" hidden="false" customHeight="false" outlineLevel="0" collapsed="false">
      <c r="D6914" s="0" t="s">
        <v>63</v>
      </c>
      <c r="E6914" s="0" t="s">
        <v>64</v>
      </c>
      <c r="F6914" s="0" t="s">
        <v>65</v>
      </c>
      <c r="G6914" s="0" t="s">
        <v>174</v>
      </c>
      <c r="H6914" s="0" t="s">
        <v>174</v>
      </c>
      <c r="I6914" s="0" t="s">
        <v>38</v>
      </c>
      <c r="J6914" s="0" t="s">
        <v>39</v>
      </c>
      <c r="K6914" s="0" t="s">
        <v>48</v>
      </c>
      <c r="L6914" s="0" t="s">
        <v>49</v>
      </c>
      <c r="M6914" s="0" t="s">
        <v>173</v>
      </c>
      <c r="N6914" s="0" t="n">
        <v>1603</v>
      </c>
      <c r="O6914" s="10" t="n">
        <v>0.242413647007197</v>
      </c>
      <c r="P6914" s="10" t="n">
        <v>0.790102193132043</v>
      </c>
      <c r="Q6914" s="0" t="str">
        <f aca="false">SUBSTITUTE(SUBSTITUTE($I6914,CHAR(61),""),CHAR(34),"")</f>
        <v>15-24</v>
      </c>
      <c r="R6914" s="0" t="str">
        <f aca="false">IF($D6914&lt;&gt;"","["&amp;$E6914&amp;"]"&amp;"|"&amp;$Q6914&amp;"|"&amp;$K6914&amp;"|"&amp;$G6914&amp;"|"&amp;IF($G6914="TX_CURR_SUBNAT.R","CY2022Q4",$M6914),"")</f>
        <v>[kxuuIFpOXyO]|15-24|Male|PLHIV_Attend.T2|CY2025Q3</v>
      </c>
    </row>
    <row r="6915" customFormat="false" ht="15" hidden="false" customHeight="false" outlineLevel="0" collapsed="false">
      <c r="D6915" s="0" t="s">
        <v>63</v>
      </c>
      <c r="E6915" s="0" t="s">
        <v>64</v>
      </c>
      <c r="F6915" s="0" t="s">
        <v>65</v>
      </c>
      <c r="G6915" s="0" t="s">
        <v>174</v>
      </c>
      <c r="H6915" s="0" t="s">
        <v>174</v>
      </c>
      <c r="I6915" s="0" t="s">
        <v>41</v>
      </c>
      <c r="J6915" s="0" t="s">
        <v>42</v>
      </c>
      <c r="K6915" s="0" t="s">
        <v>48</v>
      </c>
      <c r="L6915" s="0" t="s">
        <v>49</v>
      </c>
      <c r="M6915" s="0" t="s">
        <v>173</v>
      </c>
      <c r="N6915" s="0" t="n">
        <v>1891</v>
      </c>
      <c r="O6915" s="10" t="n">
        <v>0.300723907304928</v>
      </c>
      <c r="P6915" s="10" t="n">
        <v>0.790102193132043</v>
      </c>
      <c r="Q6915" s="0" t="str">
        <f aca="false">SUBSTITUTE(SUBSTITUTE($I6915,CHAR(61),""),CHAR(34),"")</f>
        <v>25-34</v>
      </c>
      <c r="R6915" s="0" t="str">
        <f aca="false">IF($D6915&lt;&gt;"","["&amp;$E6915&amp;"]"&amp;"|"&amp;$Q6915&amp;"|"&amp;$K6915&amp;"|"&amp;$G6915&amp;"|"&amp;IF($G6915="TX_CURR_SUBNAT.R","CY2022Q4",$M6915),"")</f>
        <v>[kxuuIFpOXyO]|25-34|Male|PLHIV_Attend.T2|CY2025Q3</v>
      </c>
    </row>
    <row r="6916" customFormat="false" ht="15" hidden="false" customHeight="false" outlineLevel="0" collapsed="false">
      <c r="D6916" s="0" t="s">
        <v>63</v>
      </c>
      <c r="E6916" s="0" t="s">
        <v>64</v>
      </c>
      <c r="F6916" s="0" t="s">
        <v>65</v>
      </c>
      <c r="G6916" s="0" t="s">
        <v>174</v>
      </c>
      <c r="H6916" s="0" t="s">
        <v>174</v>
      </c>
      <c r="I6916" s="0" t="s">
        <v>43</v>
      </c>
      <c r="J6916" s="0" t="s">
        <v>44</v>
      </c>
      <c r="K6916" s="0" t="s">
        <v>48</v>
      </c>
      <c r="L6916" s="0" t="s">
        <v>49</v>
      </c>
      <c r="M6916" s="0" t="s">
        <v>173</v>
      </c>
      <c r="N6916" s="0" t="n">
        <v>521</v>
      </c>
      <c r="O6916" s="10" t="n">
        <v>0.414368751924485</v>
      </c>
      <c r="P6916" s="10" t="n">
        <v>0.790102193132043</v>
      </c>
      <c r="Q6916" s="0" t="str">
        <f aca="false">SUBSTITUTE(SUBSTITUTE($I6916,CHAR(61),""),CHAR(34),"")</f>
        <v>35-49</v>
      </c>
      <c r="R6916" s="0" t="str">
        <f aca="false">IF($D6916&lt;&gt;"","["&amp;$E6916&amp;"]"&amp;"|"&amp;$Q6916&amp;"|"&amp;$K6916&amp;"|"&amp;$G6916&amp;"|"&amp;IF($G6916="TX_CURR_SUBNAT.R","CY2022Q4",$M6916),"")</f>
        <v>[kxuuIFpOXyO]|35-49|Male|PLHIV_Attend.T2|CY2025Q3</v>
      </c>
    </row>
    <row r="6917" customFormat="false" ht="15" hidden="false" customHeight="false" outlineLevel="0" collapsed="false">
      <c r="D6917" s="0" t="s">
        <v>63</v>
      </c>
      <c r="E6917" s="0" t="s">
        <v>64</v>
      </c>
      <c r="F6917" s="0" t="s">
        <v>65</v>
      </c>
      <c r="G6917" s="0" t="s">
        <v>174</v>
      </c>
      <c r="H6917" s="0" t="s">
        <v>174</v>
      </c>
      <c r="I6917" s="0" t="s">
        <v>45</v>
      </c>
      <c r="J6917" s="0" t="s">
        <v>46</v>
      </c>
      <c r="K6917" s="0" t="s">
        <v>48</v>
      </c>
      <c r="L6917" s="0" t="s">
        <v>49</v>
      </c>
      <c r="M6917" s="0" t="s">
        <v>173</v>
      </c>
      <c r="N6917" s="0" t="n">
        <v>1411</v>
      </c>
      <c r="O6917" s="10" t="n">
        <v>0.256152603076771</v>
      </c>
      <c r="P6917" s="10" t="n">
        <v>0.790102193132043</v>
      </c>
      <c r="Q6917" s="0" t="str">
        <f aca="false">SUBSTITUTE(SUBSTITUTE($I6917,CHAR(61),""),CHAR(34),"")</f>
        <v>50+</v>
      </c>
      <c r="R6917" s="0" t="str">
        <f aca="false">IF($D6917&lt;&gt;"","["&amp;$E6917&amp;"]"&amp;"|"&amp;$Q6917&amp;"|"&amp;$K6917&amp;"|"&amp;$G6917&amp;"|"&amp;IF($G6917="TX_CURR_SUBNAT.R","CY2022Q4",$M6917),"")</f>
        <v>[kxuuIFpOXyO]|50+|Male|PLHIV_Attend.T2|CY2025Q3</v>
      </c>
    </row>
    <row r="6918" customFormat="false" ht="15" hidden="false" customHeight="false" outlineLevel="0" collapsed="false">
      <c r="D6918" s="0" t="s">
        <v>66</v>
      </c>
      <c r="E6918" s="0" t="s">
        <v>67</v>
      </c>
      <c r="F6918" s="0" t="s">
        <v>68</v>
      </c>
      <c r="G6918" s="0" t="s">
        <v>174</v>
      </c>
      <c r="H6918" s="0" t="s">
        <v>174</v>
      </c>
      <c r="I6918" s="0" t="s">
        <v>28</v>
      </c>
      <c r="J6918" s="0" t="s">
        <v>29</v>
      </c>
      <c r="K6918" s="0" t="s">
        <v>30</v>
      </c>
      <c r="L6918" s="0" t="s">
        <v>31</v>
      </c>
      <c r="M6918" s="0" t="s">
        <v>173</v>
      </c>
      <c r="N6918" s="0" t="n">
        <v>613</v>
      </c>
      <c r="O6918" s="10" t="n">
        <v>0.0706586195155978</v>
      </c>
      <c r="P6918" s="10" t="n">
        <v>0.164609884377569</v>
      </c>
      <c r="Q6918" s="0" t="str">
        <f aca="false">SUBSTITUTE(SUBSTITUTE($I6918,CHAR(61),""),CHAR(34),"")</f>
        <v>&lt;01</v>
      </c>
      <c r="R6918" s="0" t="str">
        <f aca="false">IF($D6918&lt;&gt;"","["&amp;$E6918&amp;"]"&amp;"|"&amp;$Q6918&amp;"|"&amp;$K6918&amp;"|"&amp;$G6918&amp;"|"&amp;IF($G6918="TX_CURR_SUBNAT.R","CY2022Q4",$M6918),"")</f>
        <v>[ScR9iFKAasW]|&lt;01|Female|PLHIV_Attend.T2|CY2025Q3</v>
      </c>
    </row>
    <row r="6919" customFormat="false" ht="15" hidden="false" customHeight="false" outlineLevel="0" collapsed="false">
      <c r="D6919" s="0" t="s">
        <v>66</v>
      </c>
      <c r="E6919" s="0" t="s">
        <v>67</v>
      </c>
      <c r="F6919" s="0" t="s">
        <v>68</v>
      </c>
      <c r="G6919" s="0" t="s">
        <v>174</v>
      </c>
      <c r="H6919" s="0" t="s">
        <v>174</v>
      </c>
      <c r="I6919" s="0" t="s">
        <v>33</v>
      </c>
      <c r="J6919" s="0" t="s">
        <v>34</v>
      </c>
      <c r="K6919" s="0" t="s">
        <v>30</v>
      </c>
      <c r="L6919" s="0" t="s">
        <v>31</v>
      </c>
      <c r="M6919" s="0" t="s">
        <v>173</v>
      </c>
      <c r="N6919" s="0" t="n">
        <v>618</v>
      </c>
      <c r="O6919" s="10" t="n">
        <v>0.140737497713417</v>
      </c>
      <c r="P6919" s="10" t="n">
        <v>0.164609884377569</v>
      </c>
      <c r="Q6919" s="0" t="str">
        <f aca="false">SUBSTITUTE(SUBSTITUTE($I6919,CHAR(61),""),CHAR(34),"")</f>
        <v>01-09</v>
      </c>
      <c r="R6919" s="0" t="str">
        <f aca="false">IF($D6919&lt;&gt;"","["&amp;$E6919&amp;"]"&amp;"|"&amp;$Q6919&amp;"|"&amp;$K6919&amp;"|"&amp;$G6919&amp;"|"&amp;IF($G6919="TX_CURR_SUBNAT.R","CY2022Q4",$M6919),"")</f>
        <v>[ScR9iFKAasW]|01-09|Female|PLHIV_Attend.T2|CY2025Q3</v>
      </c>
    </row>
    <row r="6920" customFormat="false" ht="15" hidden="false" customHeight="false" outlineLevel="0" collapsed="false">
      <c r="D6920" s="0" t="s">
        <v>66</v>
      </c>
      <c r="E6920" s="0" t="s">
        <v>67</v>
      </c>
      <c r="F6920" s="0" t="s">
        <v>68</v>
      </c>
      <c r="G6920" s="0" t="s">
        <v>174</v>
      </c>
      <c r="H6920" s="0" t="s">
        <v>174</v>
      </c>
      <c r="I6920" s="0" t="s">
        <v>36</v>
      </c>
      <c r="J6920" s="0" t="s">
        <v>37</v>
      </c>
      <c r="K6920" s="0" t="s">
        <v>30</v>
      </c>
      <c r="L6920" s="0" t="s">
        <v>31</v>
      </c>
      <c r="M6920" s="0" t="s">
        <v>173</v>
      </c>
      <c r="N6920" s="0" t="n">
        <v>746</v>
      </c>
      <c r="O6920" s="10" t="n">
        <v>0.654575577005744</v>
      </c>
      <c r="P6920" s="10" t="n">
        <v>0.164609884377569</v>
      </c>
      <c r="Q6920" s="0" t="str">
        <f aca="false">SUBSTITUTE(SUBSTITUTE($I6920,CHAR(61),""),CHAR(34),"")</f>
        <v>10-14</v>
      </c>
      <c r="R6920" s="0" t="str">
        <f aca="false">IF($D6920&lt;&gt;"","["&amp;$E6920&amp;"]"&amp;"|"&amp;$Q6920&amp;"|"&amp;$K6920&amp;"|"&amp;$G6920&amp;"|"&amp;IF($G6920="TX_CURR_SUBNAT.R","CY2022Q4",$M6920),"")</f>
        <v>[ScR9iFKAasW]|10-14|Female|PLHIV_Attend.T2|CY2025Q3</v>
      </c>
    </row>
    <row r="6921" customFormat="false" ht="15" hidden="false" customHeight="false" outlineLevel="0" collapsed="false">
      <c r="D6921" s="0" t="s">
        <v>66</v>
      </c>
      <c r="E6921" s="0" t="s">
        <v>67</v>
      </c>
      <c r="F6921" s="0" t="s">
        <v>68</v>
      </c>
      <c r="G6921" s="0" t="s">
        <v>174</v>
      </c>
      <c r="H6921" s="0" t="s">
        <v>174</v>
      </c>
      <c r="I6921" s="0" t="s">
        <v>38</v>
      </c>
      <c r="J6921" s="0" t="s">
        <v>39</v>
      </c>
      <c r="K6921" s="0" t="s">
        <v>30</v>
      </c>
      <c r="L6921" s="0" t="s">
        <v>31</v>
      </c>
      <c r="M6921" s="0" t="s">
        <v>173</v>
      </c>
      <c r="N6921" s="0" t="n">
        <v>1868</v>
      </c>
      <c r="O6921" s="10" t="n">
        <v>0.765768046258017</v>
      </c>
      <c r="P6921" s="10" t="n">
        <v>0.164609884377569</v>
      </c>
      <c r="Q6921" s="0" t="str">
        <f aca="false">SUBSTITUTE(SUBSTITUTE($I6921,CHAR(61),""),CHAR(34),"")</f>
        <v>15-24</v>
      </c>
      <c r="R6921" s="0" t="str">
        <f aca="false">IF($D6921&lt;&gt;"","["&amp;$E6921&amp;"]"&amp;"|"&amp;$Q6921&amp;"|"&amp;$K6921&amp;"|"&amp;$G6921&amp;"|"&amp;IF($G6921="TX_CURR_SUBNAT.R","CY2022Q4",$M6921),"")</f>
        <v>[ScR9iFKAasW]|15-24|Female|PLHIV_Attend.T2|CY2025Q3</v>
      </c>
    </row>
    <row r="6922" customFormat="false" ht="15" hidden="false" customHeight="false" outlineLevel="0" collapsed="false">
      <c r="D6922" s="0" t="s">
        <v>66</v>
      </c>
      <c r="E6922" s="0" t="s">
        <v>67</v>
      </c>
      <c r="F6922" s="0" t="s">
        <v>68</v>
      </c>
      <c r="G6922" s="0" t="s">
        <v>174</v>
      </c>
      <c r="H6922" s="0" t="s">
        <v>174</v>
      </c>
      <c r="I6922" s="0" t="s">
        <v>41</v>
      </c>
      <c r="J6922" s="0" t="s">
        <v>42</v>
      </c>
      <c r="K6922" s="0" t="s">
        <v>30</v>
      </c>
      <c r="L6922" s="0" t="s">
        <v>31</v>
      </c>
      <c r="M6922" s="0" t="s">
        <v>173</v>
      </c>
      <c r="N6922" s="0" t="n">
        <v>963</v>
      </c>
      <c r="O6922" s="10" t="n">
        <v>0.529551026877016</v>
      </c>
      <c r="P6922" s="10" t="n">
        <v>0.164609884377569</v>
      </c>
      <c r="Q6922" s="0" t="str">
        <f aca="false">SUBSTITUTE(SUBSTITUTE($I6922,CHAR(61),""),CHAR(34),"")</f>
        <v>25-34</v>
      </c>
      <c r="R6922" s="0" t="str">
        <f aca="false">IF($D6922&lt;&gt;"","["&amp;$E6922&amp;"]"&amp;"|"&amp;$Q6922&amp;"|"&amp;$K6922&amp;"|"&amp;$G6922&amp;"|"&amp;IF($G6922="TX_CURR_SUBNAT.R","CY2022Q4",$M6922),"")</f>
        <v>[ScR9iFKAasW]|25-34|Female|PLHIV_Attend.T2|CY2025Q3</v>
      </c>
    </row>
    <row r="6923" customFormat="false" ht="15" hidden="false" customHeight="false" outlineLevel="0" collapsed="false">
      <c r="D6923" s="0" t="s">
        <v>66</v>
      </c>
      <c r="E6923" s="0" t="s">
        <v>67</v>
      </c>
      <c r="F6923" s="0" t="s">
        <v>68</v>
      </c>
      <c r="G6923" s="0" t="s">
        <v>174</v>
      </c>
      <c r="H6923" s="0" t="s">
        <v>174</v>
      </c>
      <c r="I6923" s="0" t="s">
        <v>43</v>
      </c>
      <c r="J6923" s="0" t="s">
        <v>44</v>
      </c>
      <c r="K6923" s="0" t="s">
        <v>30</v>
      </c>
      <c r="L6923" s="0" t="s">
        <v>31</v>
      </c>
      <c r="M6923" s="0" t="s">
        <v>173</v>
      </c>
      <c r="N6923" s="0" t="n">
        <v>1606</v>
      </c>
      <c r="O6923" s="10" t="n">
        <v>0.923576476052403</v>
      </c>
      <c r="P6923" s="10" t="n">
        <v>0.164609884377569</v>
      </c>
      <c r="Q6923" s="0" t="str">
        <f aca="false">SUBSTITUTE(SUBSTITUTE($I6923,CHAR(61),""),CHAR(34),"")</f>
        <v>35-49</v>
      </c>
      <c r="R6923" s="0" t="str">
        <f aca="false">IF($D6923&lt;&gt;"","["&amp;$E6923&amp;"]"&amp;"|"&amp;$Q6923&amp;"|"&amp;$K6923&amp;"|"&amp;$G6923&amp;"|"&amp;IF($G6923="TX_CURR_SUBNAT.R","CY2022Q4",$M6923),"")</f>
        <v>[ScR9iFKAasW]|35-49|Female|PLHIV_Attend.T2|CY2025Q3</v>
      </c>
    </row>
    <row r="6924" customFormat="false" ht="15" hidden="false" customHeight="false" outlineLevel="0" collapsed="false">
      <c r="D6924" s="0" t="s">
        <v>66</v>
      </c>
      <c r="E6924" s="0" t="s">
        <v>67</v>
      </c>
      <c r="F6924" s="0" t="s">
        <v>68</v>
      </c>
      <c r="G6924" s="0" t="s">
        <v>174</v>
      </c>
      <c r="H6924" s="0" t="s">
        <v>174</v>
      </c>
      <c r="I6924" s="0" t="s">
        <v>45</v>
      </c>
      <c r="J6924" s="0" t="s">
        <v>46</v>
      </c>
      <c r="K6924" s="0" t="s">
        <v>30</v>
      </c>
      <c r="L6924" s="0" t="s">
        <v>31</v>
      </c>
      <c r="M6924" s="0" t="s">
        <v>173</v>
      </c>
      <c r="N6924" s="0" t="n">
        <v>1345</v>
      </c>
      <c r="O6924" s="10" t="n">
        <v>0.190481787314638</v>
      </c>
      <c r="P6924" s="10" t="n">
        <v>0.164609884377569</v>
      </c>
      <c r="Q6924" s="0" t="str">
        <f aca="false">SUBSTITUTE(SUBSTITUTE($I6924,CHAR(61),""),CHAR(34),"")</f>
        <v>50+</v>
      </c>
      <c r="R6924" s="0" t="str">
        <f aca="false">IF($D6924&lt;&gt;"","["&amp;$E6924&amp;"]"&amp;"|"&amp;$Q6924&amp;"|"&amp;$K6924&amp;"|"&amp;$G6924&amp;"|"&amp;IF($G6924="TX_CURR_SUBNAT.R","CY2022Q4",$M6924),"")</f>
        <v>[ScR9iFKAasW]|50+|Female|PLHIV_Attend.T2|CY2025Q3</v>
      </c>
    </row>
    <row r="6925" customFormat="false" ht="15" hidden="false" customHeight="false" outlineLevel="0" collapsed="false">
      <c r="D6925" s="0" t="s">
        <v>66</v>
      </c>
      <c r="E6925" s="0" t="s">
        <v>67</v>
      </c>
      <c r="F6925" s="0" t="s">
        <v>68</v>
      </c>
      <c r="G6925" s="0" t="s">
        <v>174</v>
      </c>
      <c r="H6925" s="0" t="s">
        <v>174</v>
      </c>
      <c r="I6925" s="0" t="s">
        <v>28</v>
      </c>
      <c r="J6925" s="0" t="s">
        <v>29</v>
      </c>
      <c r="K6925" s="0" t="s">
        <v>48</v>
      </c>
      <c r="L6925" s="0" t="s">
        <v>49</v>
      </c>
      <c r="M6925" s="0" t="s">
        <v>173</v>
      </c>
      <c r="N6925" s="0" t="n">
        <v>877</v>
      </c>
      <c r="O6925" s="10" t="n">
        <v>0.586950668133795</v>
      </c>
      <c r="P6925" s="10" t="n">
        <v>0.164609884377569</v>
      </c>
      <c r="Q6925" s="0" t="str">
        <f aca="false">SUBSTITUTE(SUBSTITUTE($I6925,CHAR(61),""),CHAR(34),"")</f>
        <v>&lt;01</v>
      </c>
      <c r="R6925" s="0" t="str">
        <f aca="false">IF($D6925&lt;&gt;"","["&amp;$E6925&amp;"]"&amp;"|"&amp;$Q6925&amp;"|"&amp;$K6925&amp;"|"&amp;$G6925&amp;"|"&amp;IF($G6925="TX_CURR_SUBNAT.R","CY2022Q4",$M6925),"")</f>
        <v>[ScR9iFKAasW]|&lt;01|Male|PLHIV_Attend.T2|CY2025Q3</v>
      </c>
    </row>
    <row r="6926" customFormat="false" ht="15" hidden="false" customHeight="false" outlineLevel="0" collapsed="false">
      <c r="D6926" s="0" t="s">
        <v>66</v>
      </c>
      <c r="E6926" s="0" t="s">
        <v>67</v>
      </c>
      <c r="F6926" s="0" t="s">
        <v>68</v>
      </c>
      <c r="G6926" s="0" t="s">
        <v>174</v>
      </c>
      <c r="H6926" s="0" t="s">
        <v>174</v>
      </c>
      <c r="I6926" s="0" t="s">
        <v>33</v>
      </c>
      <c r="J6926" s="0" t="s">
        <v>34</v>
      </c>
      <c r="K6926" s="0" t="s">
        <v>48</v>
      </c>
      <c r="L6926" s="0" t="s">
        <v>49</v>
      </c>
      <c r="M6926" s="0" t="s">
        <v>173</v>
      </c>
      <c r="N6926" s="0" t="n">
        <v>624</v>
      </c>
      <c r="O6926" s="10" t="n">
        <v>0.86391788488254</v>
      </c>
      <c r="P6926" s="10" t="n">
        <v>0.164609884377569</v>
      </c>
      <c r="Q6926" s="0" t="str">
        <f aca="false">SUBSTITUTE(SUBSTITUTE($I6926,CHAR(61),""),CHAR(34),"")</f>
        <v>01-09</v>
      </c>
      <c r="R6926" s="0" t="str">
        <f aca="false">IF($D6926&lt;&gt;"","["&amp;$E6926&amp;"]"&amp;"|"&amp;$Q6926&amp;"|"&amp;$K6926&amp;"|"&amp;$G6926&amp;"|"&amp;IF($G6926="TX_CURR_SUBNAT.R","CY2022Q4",$M6926),"")</f>
        <v>[ScR9iFKAasW]|01-09|Male|PLHIV_Attend.T2|CY2025Q3</v>
      </c>
    </row>
    <row r="6927" customFormat="false" ht="15" hidden="false" customHeight="false" outlineLevel="0" collapsed="false">
      <c r="D6927" s="0" t="s">
        <v>66</v>
      </c>
      <c r="E6927" s="0" t="s">
        <v>67</v>
      </c>
      <c r="F6927" s="0" t="s">
        <v>68</v>
      </c>
      <c r="G6927" s="0" t="s">
        <v>174</v>
      </c>
      <c r="H6927" s="0" t="s">
        <v>174</v>
      </c>
      <c r="I6927" s="0" t="s">
        <v>36</v>
      </c>
      <c r="J6927" s="0" t="s">
        <v>37</v>
      </c>
      <c r="K6927" s="0" t="s">
        <v>48</v>
      </c>
      <c r="L6927" s="0" t="s">
        <v>49</v>
      </c>
      <c r="M6927" s="0" t="s">
        <v>173</v>
      </c>
      <c r="N6927" s="0" t="n">
        <v>1437</v>
      </c>
      <c r="O6927" s="10" t="n">
        <v>0.360543563961983</v>
      </c>
      <c r="P6927" s="10" t="n">
        <v>0.164609884377569</v>
      </c>
      <c r="Q6927" s="0" t="str">
        <f aca="false">SUBSTITUTE(SUBSTITUTE($I6927,CHAR(61),""),CHAR(34),"")</f>
        <v>10-14</v>
      </c>
      <c r="R6927" s="0" t="str">
        <f aca="false">IF($D6927&lt;&gt;"","["&amp;$E6927&amp;"]"&amp;"|"&amp;$Q6927&amp;"|"&amp;$K6927&amp;"|"&amp;$G6927&amp;"|"&amp;IF($G6927="TX_CURR_SUBNAT.R","CY2022Q4",$M6927),"")</f>
        <v>[ScR9iFKAasW]|10-14|Male|PLHIV_Attend.T2|CY2025Q3</v>
      </c>
    </row>
    <row r="6928" customFormat="false" ht="15" hidden="false" customHeight="false" outlineLevel="0" collapsed="false">
      <c r="D6928" s="0" t="s">
        <v>66</v>
      </c>
      <c r="E6928" s="0" t="s">
        <v>67</v>
      </c>
      <c r="F6928" s="0" t="s">
        <v>68</v>
      </c>
      <c r="G6928" s="0" t="s">
        <v>174</v>
      </c>
      <c r="H6928" s="0" t="s">
        <v>174</v>
      </c>
      <c r="I6928" s="0" t="s">
        <v>38</v>
      </c>
      <c r="J6928" s="0" t="s">
        <v>39</v>
      </c>
      <c r="K6928" s="0" t="s">
        <v>48</v>
      </c>
      <c r="L6928" s="0" t="s">
        <v>49</v>
      </c>
      <c r="M6928" s="0" t="s">
        <v>173</v>
      </c>
      <c r="N6928" s="0" t="n">
        <v>591</v>
      </c>
      <c r="O6928" s="10" t="n">
        <v>0.201766751939431</v>
      </c>
      <c r="P6928" s="10" t="n">
        <v>0.164609884377569</v>
      </c>
      <c r="Q6928" s="0" t="str">
        <f aca="false">SUBSTITUTE(SUBSTITUTE($I6928,CHAR(61),""),CHAR(34),"")</f>
        <v>15-24</v>
      </c>
      <c r="R6928" s="0" t="str">
        <f aca="false">IF($D6928&lt;&gt;"","["&amp;$E6928&amp;"]"&amp;"|"&amp;$Q6928&amp;"|"&amp;$K6928&amp;"|"&amp;$G6928&amp;"|"&amp;IF($G6928="TX_CURR_SUBNAT.R","CY2022Q4",$M6928),"")</f>
        <v>[ScR9iFKAasW]|15-24|Male|PLHIV_Attend.T2|CY2025Q3</v>
      </c>
    </row>
    <row r="6929" customFormat="false" ht="15" hidden="false" customHeight="false" outlineLevel="0" collapsed="false">
      <c r="D6929" s="0" t="s">
        <v>66</v>
      </c>
      <c r="E6929" s="0" t="s">
        <v>67</v>
      </c>
      <c r="F6929" s="0" t="s">
        <v>68</v>
      </c>
      <c r="G6929" s="0" t="s">
        <v>174</v>
      </c>
      <c r="H6929" s="0" t="s">
        <v>174</v>
      </c>
      <c r="I6929" s="0" t="s">
        <v>41</v>
      </c>
      <c r="J6929" s="0" t="s">
        <v>42</v>
      </c>
      <c r="K6929" s="0" t="s">
        <v>48</v>
      </c>
      <c r="L6929" s="0" t="s">
        <v>49</v>
      </c>
      <c r="M6929" s="0" t="s">
        <v>173</v>
      </c>
      <c r="N6929" s="0" t="n">
        <v>1080</v>
      </c>
      <c r="O6929" s="10" t="n">
        <v>0.347495945636183</v>
      </c>
      <c r="P6929" s="10" t="n">
        <v>0.164609884377569</v>
      </c>
      <c r="Q6929" s="0" t="str">
        <f aca="false">SUBSTITUTE(SUBSTITUTE($I6929,CHAR(61),""),CHAR(34),"")</f>
        <v>25-34</v>
      </c>
      <c r="R6929" s="0" t="str">
        <f aca="false">IF($D6929&lt;&gt;"","["&amp;$E6929&amp;"]"&amp;"|"&amp;$Q6929&amp;"|"&amp;$K6929&amp;"|"&amp;$G6929&amp;"|"&amp;IF($G6929="TX_CURR_SUBNAT.R","CY2022Q4",$M6929),"")</f>
        <v>[ScR9iFKAasW]|25-34|Male|PLHIV_Attend.T2|CY2025Q3</v>
      </c>
    </row>
    <row r="6930" customFormat="false" ht="15" hidden="false" customHeight="false" outlineLevel="0" collapsed="false">
      <c r="D6930" s="0" t="s">
        <v>66</v>
      </c>
      <c r="E6930" s="0" t="s">
        <v>67</v>
      </c>
      <c r="F6930" s="0" t="s">
        <v>68</v>
      </c>
      <c r="G6930" s="0" t="s">
        <v>174</v>
      </c>
      <c r="H6930" s="0" t="s">
        <v>174</v>
      </c>
      <c r="I6930" s="0" t="s">
        <v>43</v>
      </c>
      <c r="J6930" s="0" t="s">
        <v>44</v>
      </c>
      <c r="K6930" s="0" t="s">
        <v>48</v>
      </c>
      <c r="L6930" s="0" t="s">
        <v>49</v>
      </c>
      <c r="M6930" s="0" t="s">
        <v>173</v>
      </c>
      <c r="N6930" s="0" t="n">
        <v>955</v>
      </c>
      <c r="O6930" s="10" t="n">
        <v>0.939199479529634</v>
      </c>
      <c r="P6930" s="10" t="n">
        <v>0.164609884377569</v>
      </c>
      <c r="Q6930" s="0" t="str">
        <f aca="false">SUBSTITUTE(SUBSTITUTE($I6930,CHAR(61),""),CHAR(34),"")</f>
        <v>35-49</v>
      </c>
      <c r="R6930" s="0" t="str">
        <f aca="false">IF($D6930&lt;&gt;"","["&amp;$E6930&amp;"]"&amp;"|"&amp;$Q6930&amp;"|"&amp;$K6930&amp;"|"&amp;$G6930&amp;"|"&amp;IF($G6930="TX_CURR_SUBNAT.R","CY2022Q4",$M6930),"")</f>
        <v>[ScR9iFKAasW]|35-49|Male|PLHIV_Attend.T2|CY2025Q3</v>
      </c>
    </row>
    <row r="6931" customFormat="false" ht="15" hidden="false" customHeight="false" outlineLevel="0" collapsed="false">
      <c r="D6931" s="0" t="s">
        <v>66</v>
      </c>
      <c r="E6931" s="0" t="s">
        <v>67</v>
      </c>
      <c r="F6931" s="0" t="s">
        <v>68</v>
      </c>
      <c r="G6931" s="0" t="s">
        <v>174</v>
      </c>
      <c r="H6931" s="0" t="s">
        <v>174</v>
      </c>
      <c r="I6931" s="0" t="s">
        <v>45</v>
      </c>
      <c r="J6931" s="0" t="s">
        <v>46</v>
      </c>
      <c r="K6931" s="0" t="s">
        <v>48</v>
      </c>
      <c r="L6931" s="0" t="s">
        <v>49</v>
      </c>
      <c r="M6931" s="0" t="s">
        <v>173</v>
      </c>
      <c r="N6931" s="0" t="n">
        <v>1434</v>
      </c>
      <c r="O6931" s="10" t="n">
        <v>0.462037086719647</v>
      </c>
      <c r="P6931" s="10" t="n">
        <v>0.164609884377569</v>
      </c>
      <c r="Q6931" s="0" t="str">
        <f aca="false">SUBSTITUTE(SUBSTITUTE($I6931,CHAR(61),""),CHAR(34),"")</f>
        <v>50+</v>
      </c>
      <c r="R6931" s="0" t="str">
        <f aca="false">IF($D6931&lt;&gt;"","["&amp;$E6931&amp;"]"&amp;"|"&amp;$Q6931&amp;"|"&amp;$K6931&amp;"|"&amp;$G6931&amp;"|"&amp;IF($G6931="TX_CURR_SUBNAT.R","CY2022Q4",$M6931),"")</f>
        <v>[ScR9iFKAasW]|50+|Male|PLHIV_Attend.T2|CY2025Q3</v>
      </c>
    </row>
    <row r="6932" customFormat="false" ht="15" hidden="false" customHeight="false" outlineLevel="0" collapsed="false">
      <c r="D6932" s="0" t="s">
        <v>69</v>
      </c>
      <c r="E6932" s="0" t="s">
        <v>70</v>
      </c>
      <c r="F6932" s="0" t="s">
        <v>71</v>
      </c>
      <c r="G6932" s="0" t="s">
        <v>174</v>
      </c>
      <c r="H6932" s="0" t="s">
        <v>174</v>
      </c>
      <c r="I6932" s="0" t="s">
        <v>28</v>
      </c>
      <c r="J6932" s="0" t="s">
        <v>29</v>
      </c>
      <c r="K6932" s="0" t="s">
        <v>30</v>
      </c>
      <c r="L6932" s="0" t="s">
        <v>31</v>
      </c>
      <c r="M6932" s="0" t="s">
        <v>173</v>
      </c>
      <c r="N6932" s="0" t="n">
        <v>1834</v>
      </c>
      <c r="O6932" s="10" t="n">
        <v>0.982971542980522</v>
      </c>
      <c r="P6932" s="10" t="n">
        <v>0.198817263124511</v>
      </c>
      <c r="Q6932" s="0" t="str">
        <f aca="false">SUBSTITUTE(SUBSTITUTE($I6932,CHAR(61),""),CHAR(34),"")</f>
        <v>&lt;01</v>
      </c>
      <c r="R6932" s="0" t="str">
        <f aca="false">IF($D6932&lt;&gt;"","["&amp;$E6932&amp;"]"&amp;"|"&amp;$Q6932&amp;"|"&amp;$K6932&amp;"|"&amp;$G6932&amp;"|"&amp;IF($G6932="TX_CURR_SUBNAT.R","CY2022Q4",$M6932),"")</f>
        <v>[PekKUkKHAzY]|&lt;01|Female|PLHIV_Attend.T2|CY2025Q3</v>
      </c>
    </row>
    <row r="6933" customFormat="false" ht="15" hidden="false" customHeight="false" outlineLevel="0" collapsed="false">
      <c r="D6933" s="0" t="s">
        <v>69</v>
      </c>
      <c r="E6933" s="0" t="s">
        <v>70</v>
      </c>
      <c r="F6933" s="0" t="s">
        <v>71</v>
      </c>
      <c r="G6933" s="0" t="s">
        <v>174</v>
      </c>
      <c r="H6933" s="0" t="s">
        <v>174</v>
      </c>
      <c r="I6933" s="0" t="s">
        <v>33</v>
      </c>
      <c r="J6933" s="0" t="s">
        <v>34</v>
      </c>
      <c r="K6933" s="0" t="s">
        <v>30</v>
      </c>
      <c r="L6933" s="0" t="s">
        <v>31</v>
      </c>
      <c r="M6933" s="0" t="s">
        <v>173</v>
      </c>
      <c r="N6933" s="0" t="n">
        <v>615</v>
      </c>
      <c r="O6933" s="10" t="n">
        <v>0.488708903314546</v>
      </c>
      <c r="P6933" s="10" t="n">
        <v>0.198817263124511</v>
      </c>
      <c r="Q6933" s="0" t="str">
        <f aca="false">SUBSTITUTE(SUBSTITUTE($I6933,CHAR(61),""),CHAR(34),"")</f>
        <v>01-09</v>
      </c>
      <c r="R6933" s="0" t="str">
        <f aca="false">IF($D6933&lt;&gt;"","["&amp;$E6933&amp;"]"&amp;"|"&amp;$Q6933&amp;"|"&amp;$K6933&amp;"|"&amp;$G6933&amp;"|"&amp;IF($G6933="TX_CURR_SUBNAT.R","CY2022Q4",$M6933),"")</f>
        <v>[PekKUkKHAzY]|01-09|Female|PLHIV_Attend.T2|CY2025Q3</v>
      </c>
    </row>
    <row r="6934" customFormat="false" ht="15" hidden="false" customHeight="false" outlineLevel="0" collapsed="false">
      <c r="D6934" s="0" t="s">
        <v>69</v>
      </c>
      <c r="E6934" s="0" t="s">
        <v>70</v>
      </c>
      <c r="F6934" s="0" t="s">
        <v>71</v>
      </c>
      <c r="G6934" s="0" t="s">
        <v>174</v>
      </c>
      <c r="H6934" s="0" t="s">
        <v>174</v>
      </c>
      <c r="I6934" s="0" t="s">
        <v>36</v>
      </c>
      <c r="J6934" s="0" t="s">
        <v>37</v>
      </c>
      <c r="K6934" s="0" t="s">
        <v>30</v>
      </c>
      <c r="L6934" s="0" t="s">
        <v>31</v>
      </c>
      <c r="M6934" s="0" t="s">
        <v>173</v>
      </c>
      <c r="N6934" s="0" t="n">
        <v>666</v>
      </c>
      <c r="O6934" s="10" t="n">
        <v>0.878262870945036</v>
      </c>
      <c r="P6934" s="10" t="n">
        <v>0.198817263124511</v>
      </c>
      <c r="Q6934" s="0" t="str">
        <f aca="false">SUBSTITUTE(SUBSTITUTE($I6934,CHAR(61),""),CHAR(34),"")</f>
        <v>10-14</v>
      </c>
      <c r="R6934" s="0" t="str">
        <f aca="false">IF($D6934&lt;&gt;"","["&amp;$E6934&amp;"]"&amp;"|"&amp;$Q6934&amp;"|"&amp;$K6934&amp;"|"&amp;$G6934&amp;"|"&amp;IF($G6934="TX_CURR_SUBNAT.R","CY2022Q4",$M6934),"")</f>
        <v>[PekKUkKHAzY]|10-14|Female|PLHIV_Attend.T2|CY2025Q3</v>
      </c>
    </row>
    <row r="6935" customFormat="false" ht="15" hidden="false" customHeight="false" outlineLevel="0" collapsed="false">
      <c r="D6935" s="0" t="s">
        <v>69</v>
      </c>
      <c r="E6935" s="0" t="s">
        <v>70</v>
      </c>
      <c r="F6935" s="0" t="s">
        <v>71</v>
      </c>
      <c r="G6935" s="0" t="s">
        <v>174</v>
      </c>
      <c r="H6935" s="0" t="s">
        <v>174</v>
      </c>
      <c r="I6935" s="0" t="s">
        <v>38</v>
      </c>
      <c r="J6935" s="0" t="s">
        <v>39</v>
      </c>
      <c r="K6935" s="0" t="s">
        <v>30</v>
      </c>
      <c r="L6935" s="0" t="s">
        <v>31</v>
      </c>
      <c r="M6935" s="0" t="s">
        <v>173</v>
      </c>
      <c r="N6935" s="0" t="n">
        <v>1637</v>
      </c>
      <c r="O6935" s="10" t="n">
        <v>0.928265298949555</v>
      </c>
      <c r="P6935" s="10" t="n">
        <v>0.198817263124511</v>
      </c>
      <c r="Q6935" s="0" t="str">
        <f aca="false">SUBSTITUTE(SUBSTITUTE($I6935,CHAR(61),""),CHAR(34),"")</f>
        <v>15-24</v>
      </c>
      <c r="R6935" s="0" t="str">
        <f aca="false">IF($D6935&lt;&gt;"","["&amp;$E6935&amp;"]"&amp;"|"&amp;$Q6935&amp;"|"&amp;$K6935&amp;"|"&amp;$G6935&amp;"|"&amp;IF($G6935="TX_CURR_SUBNAT.R","CY2022Q4",$M6935),"")</f>
        <v>[PekKUkKHAzY]|15-24|Female|PLHIV_Attend.T2|CY2025Q3</v>
      </c>
    </row>
    <row r="6936" customFormat="false" ht="15" hidden="false" customHeight="false" outlineLevel="0" collapsed="false">
      <c r="D6936" s="0" t="s">
        <v>69</v>
      </c>
      <c r="E6936" s="0" t="s">
        <v>70</v>
      </c>
      <c r="F6936" s="0" t="s">
        <v>71</v>
      </c>
      <c r="G6936" s="0" t="s">
        <v>174</v>
      </c>
      <c r="H6936" s="0" t="s">
        <v>174</v>
      </c>
      <c r="I6936" s="0" t="s">
        <v>41</v>
      </c>
      <c r="J6936" s="0" t="s">
        <v>42</v>
      </c>
      <c r="K6936" s="0" t="s">
        <v>30</v>
      </c>
      <c r="L6936" s="0" t="s">
        <v>31</v>
      </c>
      <c r="M6936" s="0" t="s">
        <v>173</v>
      </c>
      <c r="N6936" s="0" t="n">
        <v>674</v>
      </c>
      <c r="O6936" s="10" t="n">
        <v>0.468971278285608</v>
      </c>
      <c r="P6936" s="10" t="n">
        <v>0.198817263124511</v>
      </c>
      <c r="Q6936" s="0" t="str">
        <f aca="false">SUBSTITUTE(SUBSTITUTE($I6936,CHAR(61),""),CHAR(34),"")</f>
        <v>25-34</v>
      </c>
      <c r="R6936" s="0" t="str">
        <f aca="false">IF($D6936&lt;&gt;"","["&amp;$E6936&amp;"]"&amp;"|"&amp;$Q6936&amp;"|"&amp;$K6936&amp;"|"&amp;$G6936&amp;"|"&amp;IF($G6936="TX_CURR_SUBNAT.R","CY2022Q4",$M6936),"")</f>
        <v>[PekKUkKHAzY]|25-34|Female|PLHIV_Attend.T2|CY2025Q3</v>
      </c>
    </row>
    <row r="6937" customFormat="false" ht="15" hidden="false" customHeight="false" outlineLevel="0" collapsed="false">
      <c r="D6937" s="0" t="s">
        <v>69</v>
      </c>
      <c r="E6937" s="0" t="s">
        <v>70</v>
      </c>
      <c r="F6937" s="0" t="s">
        <v>71</v>
      </c>
      <c r="G6937" s="0" t="s">
        <v>174</v>
      </c>
      <c r="H6937" s="0" t="s">
        <v>174</v>
      </c>
      <c r="I6937" s="0" t="s">
        <v>43</v>
      </c>
      <c r="J6937" s="0" t="s">
        <v>44</v>
      </c>
      <c r="K6937" s="0" t="s">
        <v>30</v>
      </c>
      <c r="L6937" s="0" t="s">
        <v>31</v>
      </c>
      <c r="M6937" s="0" t="s">
        <v>173</v>
      </c>
      <c r="N6937" s="0" t="n">
        <v>751</v>
      </c>
      <c r="O6937" s="10" t="n">
        <v>0.778892894275486</v>
      </c>
      <c r="P6937" s="10" t="n">
        <v>0.198817263124511</v>
      </c>
      <c r="Q6937" s="0" t="str">
        <f aca="false">SUBSTITUTE(SUBSTITUTE($I6937,CHAR(61),""),CHAR(34),"")</f>
        <v>35-49</v>
      </c>
      <c r="R6937" s="0" t="str">
        <f aca="false">IF($D6937&lt;&gt;"","["&amp;$E6937&amp;"]"&amp;"|"&amp;$Q6937&amp;"|"&amp;$K6937&amp;"|"&amp;$G6937&amp;"|"&amp;IF($G6937="TX_CURR_SUBNAT.R","CY2022Q4",$M6937),"")</f>
        <v>[PekKUkKHAzY]|35-49|Female|PLHIV_Attend.T2|CY2025Q3</v>
      </c>
    </row>
    <row r="6938" customFormat="false" ht="15" hidden="false" customHeight="false" outlineLevel="0" collapsed="false">
      <c r="D6938" s="0" t="s">
        <v>69</v>
      </c>
      <c r="E6938" s="0" t="s">
        <v>70</v>
      </c>
      <c r="F6938" s="0" t="s">
        <v>71</v>
      </c>
      <c r="G6938" s="0" t="s">
        <v>174</v>
      </c>
      <c r="H6938" s="0" t="s">
        <v>174</v>
      </c>
      <c r="I6938" s="0" t="s">
        <v>45</v>
      </c>
      <c r="J6938" s="0" t="s">
        <v>46</v>
      </c>
      <c r="K6938" s="0" t="s">
        <v>30</v>
      </c>
      <c r="L6938" s="0" t="s">
        <v>31</v>
      </c>
      <c r="M6938" s="0" t="s">
        <v>173</v>
      </c>
      <c r="N6938" s="0" t="n">
        <v>676</v>
      </c>
      <c r="O6938" s="10" t="n">
        <v>0.672474375227466</v>
      </c>
      <c r="P6938" s="10" t="n">
        <v>0.198817263124511</v>
      </c>
      <c r="Q6938" s="0" t="str">
        <f aca="false">SUBSTITUTE(SUBSTITUTE($I6938,CHAR(61),""),CHAR(34),"")</f>
        <v>50+</v>
      </c>
      <c r="R6938" s="0" t="str">
        <f aca="false">IF($D6938&lt;&gt;"","["&amp;$E6938&amp;"]"&amp;"|"&amp;$Q6938&amp;"|"&amp;$K6938&amp;"|"&amp;$G6938&amp;"|"&amp;IF($G6938="TX_CURR_SUBNAT.R","CY2022Q4",$M6938),"")</f>
        <v>[PekKUkKHAzY]|50+|Female|PLHIV_Attend.T2|CY2025Q3</v>
      </c>
    </row>
    <row r="6939" customFormat="false" ht="15" hidden="false" customHeight="false" outlineLevel="0" collapsed="false">
      <c r="D6939" s="0" t="s">
        <v>69</v>
      </c>
      <c r="E6939" s="0" t="s">
        <v>70</v>
      </c>
      <c r="F6939" s="0" t="s">
        <v>71</v>
      </c>
      <c r="G6939" s="0" t="s">
        <v>174</v>
      </c>
      <c r="H6939" s="0" t="s">
        <v>174</v>
      </c>
      <c r="I6939" s="0" t="s">
        <v>28</v>
      </c>
      <c r="J6939" s="0" t="s">
        <v>29</v>
      </c>
      <c r="K6939" s="0" t="s">
        <v>48</v>
      </c>
      <c r="L6939" s="0" t="s">
        <v>49</v>
      </c>
      <c r="M6939" s="0" t="s">
        <v>173</v>
      </c>
      <c r="N6939" s="0" t="n">
        <v>1763</v>
      </c>
      <c r="O6939" s="10" t="n">
        <v>0.72670090966858</v>
      </c>
      <c r="P6939" s="10" t="n">
        <v>0.198817263124511</v>
      </c>
      <c r="Q6939" s="0" t="str">
        <f aca="false">SUBSTITUTE(SUBSTITUTE($I6939,CHAR(61),""),CHAR(34),"")</f>
        <v>&lt;01</v>
      </c>
      <c r="R6939" s="0" t="str">
        <f aca="false">IF($D6939&lt;&gt;"","["&amp;$E6939&amp;"]"&amp;"|"&amp;$Q6939&amp;"|"&amp;$K6939&amp;"|"&amp;$G6939&amp;"|"&amp;IF($G6939="TX_CURR_SUBNAT.R","CY2022Q4",$M6939),"")</f>
        <v>[PekKUkKHAzY]|&lt;01|Male|PLHIV_Attend.T2|CY2025Q3</v>
      </c>
    </row>
    <row r="6940" customFormat="false" ht="15" hidden="false" customHeight="false" outlineLevel="0" collapsed="false">
      <c r="D6940" s="0" t="s">
        <v>69</v>
      </c>
      <c r="E6940" s="0" t="s">
        <v>70</v>
      </c>
      <c r="F6940" s="0" t="s">
        <v>71</v>
      </c>
      <c r="G6940" s="0" t="s">
        <v>174</v>
      </c>
      <c r="H6940" s="0" t="s">
        <v>174</v>
      </c>
      <c r="I6940" s="0" t="s">
        <v>33</v>
      </c>
      <c r="J6940" s="0" t="s">
        <v>34</v>
      </c>
      <c r="K6940" s="0" t="s">
        <v>48</v>
      </c>
      <c r="L6940" s="0" t="s">
        <v>49</v>
      </c>
      <c r="M6940" s="0" t="s">
        <v>173</v>
      </c>
      <c r="N6940" s="0" t="n">
        <v>658</v>
      </c>
      <c r="O6940" s="10" t="n">
        <v>0.636817774968222</v>
      </c>
      <c r="P6940" s="10" t="n">
        <v>0.198817263124511</v>
      </c>
      <c r="Q6940" s="0" t="str">
        <f aca="false">SUBSTITUTE(SUBSTITUTE($I6940,CHAR(61),""),CHAR(34),"")</f>
        <v>01-09</v>
      </c>
      <c r="R6940" s="0" t="str">
        <f aca="false">IF($D6940&lt;&gt;"","["&amp;$E6940&amp;"]"&amp;"|"&amp;$Q6940&amp;"|"&amp;$K6940&amp;"|"&amp;$G6940&amp;"|"&amp;IF($G6940="TX_CURR_SUBNAT.R","CY2022Q4",$M6940),"")</f>
        <v>[PekKUkKHAzY]|01-09|Male|PLHIV_Attend.T2|CY2025Q3</v>
      </c>
    </row>
    <row r="6941" customFormat="false" ht="15" hidden="false" customHeight="false" outlineLevel="0" collapsed="false">
      <c r="D6941" s="0" t="s">
        <v>69</v>
      </c>
      <c r="E6941" s="0" t="s">
        <v>70</v>
      </c>
      <c r="F6941" s="0" t="s">
        <v>71</v>
      </c>
      <c r="G6941" s="0" t="s">
        <v>174</v>
      </c>
      <c r="H6941" s="0" t="s">
        <v>174</v>
      </c>
      <c r="I6941" s="0" t="s">
        <v>36</v>
      </c>
      <c r="J6941" s="0" t="s">
        <v>37</v>
      </c>
      <c r="K6941" s="0" t="s">
        <v>48</v>
      </c>
      <c r="L6941" s="0" t="s">
        <v>49</v>
      </c>
      <c r="M6941" s="0" t="s">
        <v>173</v>
      </c>
      <c r="N6941" s="0" t="n">
        <v>1404</v>
      </c>
      <c r="O6941" s="10" t="n">
        <v>0.388425403507426</v>
      </c>
      <c r="P6941" s="10" t="n">
        <v>0.198817263124511</v>
      </c>
      <c r="Q6941" s="0" t="str">
        <f aca="false">SUBSTITUTE(SUBSTITUTE($I6941,CHAR(61),""),CHAR(34),"")</f>
        <v>10-14</v>
      </c>
      <c r="R6941" s="0" t="str">
        <f aca="false">IF($D6941&lt;&gt;"","["&amp;$E6941&amp;"]"&amp;"|"&amp;$Q6941&amp;"|"&amp;$K6941&amp;"|"&amp;$G6941&amp;"|"&amp;IF($G6941="TX_CURR_SUBNAT.R","CY2022Q4",$M6941),"")</f>
        <v>[PekKUkKHAzY]|10-14|Male|PLHIV_Attend.T2|CY2025Q3</v>
      </c>
    </row>
    <row r="6942" customFormat="false" ht="15" hidden="false" customHeight="false" outlineLevel="0" collapsed="false">
      <c r="D6942" s="0" t="s">
        <v>69</v>
      </c>
      <c r="E6942" s="0" t="s">
        <v>70</v>
      </c>
      <c r="F6942" s="0" t="s">
        <v>71</v>
      </c>
      <c r="G6942" s="0" t="s">
        <v>174</v>
      </c>
      <c r="H6942" s="0" t="s">
        <v>174</v>
      </c>
      <c r="I6942" s="0" t="s">
        <v>38</v>
      </c>
      <c r="J6942" s="0" t="s">
        <v>39</v>
      </c>
      <c r="K6942" s="0" t="s">
        <v>48</v>
      </c>
      <c r="L6942" s="0" t="s">
        <v>49</v>
      </c>
      <c r="M6942" s="0" t="s">
        <v>173</v>
      </c>
      <c r="N6942" s="0" t="n">
        <v>1832</v>
      </c>
      <c r="O6942" s="10" t="n">
        <v>0.777892500394955</v>
      </c>
      <c r="P6942" s="10" t="n">
        <v>0.198817263124511</v>
      </c>
      <c r="Q6942" s="0" t="str">
        <f aca="false">SUBSTITUTE(SUBSTITUTE($I6942,CHAR(61),""),CHAR(34),"")</f>
        <v>15-24</v>
      </c>
      <c r="R6942" s="0" t="str">
        <f aca="false">IF($D6942&lt;&gt;"","["&amp;$E6942&amp;"]"&amp;"|"&amp;$Q6942&amp;"|"&amp;$K6942&amp;"|"&amp;$G6942&amp;"|"&amp;IF($G6942="TX_CURR_SUBNAT.R","CY2022Q4",$M6942),"")</f>
        <v>[PekKUkKHAzY]|15-24|Male|PLHIV_Attend.T2|CY2025Q3</v>
      </c>
    </row>
    <row r="6943" customFormat="false" ht="15" hidden="false" customHeight="false" outlineLevel="0" collapsed="false">
      <c r="D6943" s="0" t="s">
        <v>69</v>
      </c>
      <c r="E6943" s="0" t="s">
        <v>70</v>
      </c>
      <c r="F6943" s="0" t="s">
        <v>71</v>
      </c>
      <c r="G6943" s="0" t="s">
        <v>174</v>
      </c>
      <c r="H6943" s="0" t="s">
        <v>174</v>
      </c>
      <c r="I6943" s="0" t="s">
        <v>41</v>
      </c>
      <c r="J6943" s="0" t="s">
        <v>42</v>
      </c>
      <c r="K6943" s="0" t="s">
        <v>48</v>
      </c>
      <c r="L6943" s="0" t="s">
        <v>49</v>
      </c>
      <c r="M6943" s="0" t="s">
        <v>173</v>
      </c>
      <c r="N6943" s="0" t="n">
        <v>1834</v>
      </c>
      <c r="O6943" s="10" t="n">
        <v>0.992361039854586</v>
      </c>
      <c r="P6943" s="10" t="n">
        <v>0.198817263124511</v>
      </c>
      <c r="Q6943" s="0" t="str">
        <f aca="false">SUBSTITUTE(SUBSTITUTE($I6943,CHAR(61),""),CHAR(34),"")</f>
        <v>25-34</v>
      </c>
      <c r="R6943" s="0" t="str">
        <f aca="false">IF($D6943&lt;&gt;"","["&amp;$E6943&amp;"]"&amp;"|"&amp;$Q6943&amp;"|"&amp;$K6943&amp;"|"&amp;$G6943&amp;"|"&amp;IF($G6943="TX_CURR_SUBNAT.R","CY2022Q4",$M6943),"")</f>
        <v>[PekKUkKHAzY]|25-34|Male|PLHIV_Attend.T2|CY2025Q3</v>
      </c>
    </row>
    <row r="6944" customFormat="false" ht="15" hidden="false" customHeight="false" outlineLevel="0" collapsed="false">
      <c r="D6944" s="0" t="s">
        <v>69</v>
      </c>
      <c r="E6944" s="0" t="s">
        <v>70</v>
      </c>
      <c r="F6944" s="0" t="s">
        <v>71</v>
      </c>
      <c r="G6944" s="0" t="s">
        <v>174</v>
      </c>
      <c r="H6944" s="0" t="s">
        <v>174</v>
      </c>
      <c r="I6944" s="0" t="s">
        <v>43</v>
      </c>
      <c r="J6944" s="0" t="s">
        <v>44</v>
      </c>
      <c r="K6944" s="0" t="s">
        <v>48</v>
      </c>
      <c r="L6944" s="0" t="s">
        <v>49</v>
      </c>
      <c r="M6944" s="0" t="s">
        <v>173</v>
      </c>
      <c r="N6944" s="0" t="n">
        <v>525</v>
      </c>
      <c r="O6944" s="10" t="n">
        <v>0.419420249061659</v>
      </c>
      <c r="P6944" s="10" t="n">
        <v>0.198817263124511</v>
      </c>
      <c r="Q6944" s="0" t="str">
        <f aca="false">SUBSTITUTE(SUBSTITUTE($I6944,CHAR(61),""),CHAR(34),"")</f>
        <v>35-49</v>
      </c>
      <c r="R6944" s="0" t="str">
        <f aca="false">IF($D6944&lt;&gt;"","["&amp;$E6944&amp;"]"&amp;"|"&amp;$Q6944&amp;"|"&amp;$K6944&amp;"|"&amp;$G6944&amp;"|"&amp;IF($G6944="TX_CURR_SUBNAT.R","CY2022Q4",$M6944),"")</f>
        <v>[PekKUkKHAzY]|35-49|Male|PLHIV_Attend.T2|CY2025Q3</v>
      </c>
    </row>
    <row r="6945" customFormat="false" ht="15" hidden="false" customHeight="false" outlineLevel="0" collapsed="false">
      <c r="D6945" s="0" t="s">
        <v>69</v>
      </c>
      <c r="E6945" s="0" t="s">
        <v>70</v>
      </c>
      <c r="F6945" s="0" t="s">
        <v>71</v>
      </c>
      <c r="G6945" s="0" t="s">
        <v>174</v>
      </c>
      <c r="H6945" s="0" t="s">
        <v>174</v>
      </c>
      <c r="I6945" s="0" t="s">
        <v>45</v>
      </c>
      <c r="J6945" s="0" t="s">
        <v>46</v>
      </c>
      <c r="K6945" s="0" t="s">
        <v>48</v>
      </c>
      <c r="L6945" s="0" t="s">
        <v>49</v>
      </c>
      <c r="M6945" s="0" t="s">
        <v>173</v>
      </c>
      <c r="N6945" s="0" t="n">
        <v>1835</v>
      </c>
      <c r="O6945" s="10" t="n">
        <v>0.889748278306797</v>
      </c>
      <c r="P6945" s="10" t="n">
        <v>0.198817263124511</v>
      </c>
      <c r="Q6945" s="0" t="str">
        <f aca="false">SUBSTITUTE(SUBSTITUTE($I6945,CHAR(61),""),CHAR(34),"")</f>
        <v>50+</v>
      </c>
      <c r="R6945" s="0" t="str">
        <f aca="false">IF($D6945&lt;&gt;"","["&amp;$E6945&amp;"]"&amp;"|"&amp;$Q6945&amp;"|"&amp;$K6945&amp;"|"&amp;$G6945&amp;"|"&amp;IF($G6945="TX_CURR_SUBNAT.R","CY2022Q4",$M6945),"")</f>
        <v>[PekKUkKHAzY]|50+|Male|PLHIV_Attend.T2|CY2025Q3</v>
      </c>
    </row>
    <row r="6946" customFormat="false" ht="15" hidden="false" customHeight="false" outlineLevel="0" collapsed="false">
      <c r="D6946" s="0" t="s">
        <v>72</v>
      </c>
      <c r="E6946" s="0" t="s">
        <v>73</v>
      </c>
      <c r="F6946" s="0" t="s">
        <v>74</v>
      </c>
      <c r="G6946" s="0" t="s">
        <v>174</v>
      </c>
      <c r="H6946" s="0" t="s">
        <v>174</v>
      </c>
      <c r="I6946" s="0" t="s">
        <v>28</v>
      </c>
      <c r="J6946" s="0" t="s">
        <v>29</v>
      </c>
      <c r="K6946" s="0" t="s">
        <v>30</v>
      </c>
      <c r="L6946" s="0" t="s">
        <v>31</v>
      </c>
      <c r="M6946" s="0" t="s">
        <v>173</v>
      </c>
      <c r="N6946" s="0" t="n">
        <v>1206</v>
      </c>
      <c r="O6946" s="10" t="n">
        <v>0.64567568548955</v>
      </c>
      <c r="P6946" s="10" t="n">
        <v>0.289728706935421</v>
      </c>
      <c r="Q6946" s="0" t="str">
        <f aca="false">SUBSTITUTE(SUBSTITUTE($I6946,CHAR(61),""),CHAR(34),"")</f>
        <v>&lt;01</v>
      </c>
      <c r="R6946" s="0" t="str">
        <f aca="false">IF($D6946&lt;&gt;"","["&amp;$E6946&amp;"]"&amp;"|"&amp;$Q6946&amp;"|"&amp;$K6946&amp;"|"&amp;$G6946&amp;"|"&amp;IF($G6946="TX_CURR_SUBNAT.R","CY2022Q4",$M6946),"")</f>
        <v>[am530wpaGvr]|&lt;01|Female|PLHIV_Attend.T2|CY2025Q3</v>
      </c>
    </row>
    <row r="6947" customFormat="false" ht="15" hidden="false" customHeight="false" outlineLevel="0" collapsed="false">
      <c r="D6947" s="0" t="s">
        <v>72</v>
      </c>
      <c r="E6947" s="0" t="s">
        <v>73</v>
      </c>
      <c r="F6947" s="0" t="s">
        <v>74</v>
      </c>
      <c r="G6947" s="0" t="s">
        <v>174</v>
      </c>
      <c r="H6947" s="0" t="s">
        <v>174</v>
      </c>
      <c r="I6947" s="0" t="s">
        <v>33</v>
      </c>
      <c r="J6947" s="0" t="s">
        <v>34</v>
      </c>
      <c r="K6947" s="0" t="s">
        <v>30</v>
      </c>
      <c r="L6947" s="0" t="s">
        <v>31</v>
      </c>
      <c r="M6947" s="0" t="s">
        <v>173</v>
      </c>
      <c r="N6947" s="0" t="n">
        <v>1920</v>
      </c>
      <c r="O6947" s="10" t="n">
        <v>0.394748925697058</v>
      </c>
      <c r="P6947" s="10" t="n">
        <v>0.289728706935421</v>
      </c>
      <c r="Q6947" s="0" t="str">
        <f aca="false">SUBSTITUTE(SUBSTITUTE($I6947,CHAR(61),""),CHAR(34),"")</f>
        <v>01-09</v>
      </c>
      <c r="R6947" s="0" t="str">
        <f aca="false">IF($D6947&lt;&gt;"","["&amp;$E6947&amp;"]"&amp;"|"&amp;$Q6947&amp;"|"&amp;$K6947&amp;"|"&amp;$G6947&amp;"|"&amp;IF($G6947="TX_CURR_SUBNAT.R","CY2022Q4",$M6947),"")</f>
        <v>[am530wpaGvr]|01-09|Female|PLHIV_Attend.T2|CY2025Q3</v>
      </c>
    </row>
    <row r="6948" customFormat="false" ht="15" hidden="false" customHeight="false" outlineLevel="0" collapsed="false">
      <c r="D6948" s="0" t="s">
        <v>72</v>
      </c>
      <c r="E6948" s="0" t="s">
        <v>73</v>
      </c>
      <c r="F6948" s="0" t="s">
        <v>74</v>
      </c>
      <c r="G6948" s="0" t="s">
        <v>174</v>
      </c>
      <c r="H6948" s="0" t="s">
        <v>174</v>
      </c>
      <c r="I6948" s="0" t="s">
        <v>36</v>
      </c>
      <c r="J6948" s="0" t="s">
        <v>37</v>
      </c>
      <c r="K6948" s="0" t="s">
        <v>30</v>
      </c>
      <c r="L6948" s="0" t="s">
        <v>31</v>
      </c>
      <c r="M6948" s="0" t="s">
        <v>173</v>
      </c>
      <c r="N6948" s="0" t="n">
        <v>503</v>
      </c>
      <c r="O6948" s="10" t="n">
        <v>0.0865072233136743</v>
      </c>
      <c r="P6948" s="10" t="n">
        <v>0.289728706935421</v>
      </c>
      <c r="Q6948" s="0" t="str">
        <f aca="false">SUBSTITUTE(SUBSTITUTE($I6948,CHAR(61),""),CHAR(34),"")</f>
        <v>10-14</v>
      </c>
      <c r="R6948" s="0" t="str">
        <f aca="false">IF($D6948&lt;&gt;"","["&amp;$E6948&amp;"]"&amp;"|"&amp;$Q6948&amp;"|"&amp;$K6948&amp;"|"&amp;$G6948&amp;"|"&amp;IF($G6948="TX_CURR_SUBNAT.R","CY2022Q4",$M6948),"")</f>
        <v>[am530wpaGvr]|10-14|Female|PLHIV_Attend.T2|CY2025Q3</v>
      </c>
    </row>
    <row r="6949" customFormat="false" ht="15" hidden="false" customHeight="false" outlineLevel="0" collapsed="false">
      <c r="D6949" s="0" t="s">
        <v>72</v>
      </c>
      <c r="E6949" s="0" t="s">
        <v>73</v>
      </c>
      <c r="F6949" s="0" t="s">
        <v>74</v>
      </c>
      <c r="G6949" s="0" t="s">
        <v>174</v>
      </c>
      <c r="H6949" s="0" t="s">
        <v>174</v>
      </c>
      <c r="I6949" s="0" t="s">
        <v>38</v>
      </c>
      <c r="J6949" s="0" t="s">
        <v>39</v>
      </c>
      <c r="K6949" s="0" t="s">
        <v>30</v>
      </c>
      <c r="L6949" s="0" t="s">
        <v>31</v>
      </c>
      <c r="M6949" s="0" t="s">
        <v>173</v>
      </c>
      <c r="N6949" s="0" t="n">
        <v>1259</v>
      </c>
      <c r="O6949" s="10" t="n">
        <v>0.839551664888859</v>
      </c>
      <c r="P6949" s="10" t="n">
        <v>0.289728706935421</v>
      </c>
      <c r="Q6949" s="0" t="str">
        <f aca="false">SUBSTITUTE(SUBSTITUTE($I6949,CHAR(61),""),CHAR(34),"")</f>
        <v>15-24</v>
      </c>
      <c r="R6949" s="0" t="str">
        <f aca="false">IF($D6949&lt;&gt;"","["&amp;$E6949&amp;"]"&amp;"|"&amp;$Q6949&amp;"|"&amp;$K6949&amp;"|"&amp;$G6949&amp;"|"&amp;IF($G6949="TX_CURR_SUBNAT.R","CY2022Q4",$M6949),"")</f>
        <v>[am530wpaGvr]|15-24|Female|PLHIV_Attend.T2|CY2025Q3</v>
      </c>
    </row>
    <row r="6950" customFormat="false" ht="15" hidden="false" customHeight="false" outlineLevel="0" collapsed="false">
      <c r="D6950" s="0" t="s">
        <v>72</v>
      </c>
      <c r="E6950" s="0" t="s">
        <v>73</v>
      </c>
      <c r="F6950" s="0" t="s">
        <v>74</v>
      </c>
      <c r="G6950" s="0" t="s">
        <v>174</v>
      </c>
      <c r="H6950" s="0" t="s">
        <v>174</v>
      </c>
      <c r="I6950" s="0" t="s">
        <v>41</v>
      </c>
      <c r="J6950" s="0" t="s">
        <v>42</v>
      </c>
      <c r="K6950" s="0" t="s">
        <v>30</v>
      </c>
      <c r="L6950" s="0" t="s">
        <v>31</v>
      </c>
      <c r="M6950" s="0" t="s">
        <v>173</v>
      </c>
      <c r="N6950" s="0" t="n">
        <v>1197</v>
      </c>
      <c r="O6950" s="10" t="n">
        <v>0.304918489418924</v>
      </c>
      <c r="P6950" s="10" t="n">
        <v>0.289728706935421</v>
      </c>
      <c r="Q6950" s="0" t="str">
        <f aca="false">SUBSTITUTE(SUBSTITUTE($I6950,CHAR(61),""),CHAR(34),"")</f>
        <v>25-34</v>
      </c>
      <c r="R6950" s="0" t="str">
        <f aca="false">IF($D6950&lt;&gt;"","["&amp;$E6950&amp;"]"&amp;"|"&amp;$Q6950&amp;"|"&amp;$K6950&amp;"|"&amp;$G6950&amp;"|"&amp;IF($G6950="TX_CURR_SUBNAT.R","CY2022Q4",$M6950),"")</f>
        <v>[am530wpaGvr]|25-34|Female|PLHIV_Attend.T2|CY2025Q3</v>
      </c>
    </row>
    <row r="6951" customFormat="false" ht="15" hidden="false" customHeight="false" outlineLevel="0" collapsed="false">
      <c r="D6951" s="0" t="s">
        <v>72</v>
      </c>
      <c r="E6951" s="0" t="s">
        <v>73</v>
      </c>
      <c r="F6951" s="0" t="s">
        <v>74</v>
      </c>
      <c r="G6951" s="0" t="s">
        <v>174</v>
      </c>
      <c r="H6951" s="0" t="s">
        <v>174</v>
      </c>
      <c r="I6951" s="0" t="s">
        <v>43</v>
      </c>
      <c r="J6951" s="0" t="s">
        <v>44</v>
      </c>
      <c r="K6951" s="0" t="s">
        <v>30</v>
      </c>
      <c r="L6951" s="0" t="s">
        <v>31</v>
      </c>
      <c r="M6951" s="0" t="s">
        <v>173</v>
      </c>
      <c r="N6951" s="0" t="n">
        <v>1199</v>
      </c>
      <c r="O6951" s="10" t="n">
        <v>0.406132135307416</v>
      </c>
      <c r="P6951" s="10" t="n">
        <v>0.289728706935421</v>
      </c>
      <c r="Q6951" s="0" t="str">
        <f aca="false">SUBSTITUTE(SUBSTITUTE($I6951,CHAR(61),""),CHAR(34),"")</f>
        <v>35-49</v>
      </c>
      <c r="R6951" s="0" t="str">
        <f aca="false">IF($D6951&lt;&gt;"","["&amp;$E6951&amp;"]"&amp;"|"&amp;$Q6951&amp;"|"&amp;$K6951&amp;"|"&amp;$G6951&amp;"|"&amp;IF($G6951="TX_CURR_SUBNAT.R","CY2022Q4",$M6951),"")</f>
        <v>[am530wpaGvr]|35-49|Female|PLHIV_Attend.T2|CY2025Q3</v>
      </c>
    </row>
    <row r="6952" customFormat="false" ht="15" hidden="false" customHeight="false" outlineLevel="0" collapsed="false">
      <c r="D6952" s="0" t="s">
        <v>72</v>
      </c>
      <c r="E6952" s="0" t="s">
        <v>73</v>
      </c>
      <c r="F6952" s="0" t="s">
        <v>74</v>
      </c>
      <c r="G6952" s="0" t="s">
        <v>174</v>
      </c>
      <c r="H6952" s="0" t="s">
        <v>174</v>
      </c>
      <c r="I6952" s="0" t="s">
        <v>45</v>
      </c>
      <c r="J6952" s="0" t="s">
        <v>46</v>
      </c>
      <c r="K6952" s="0" t="s">
        <v>30</v>
      </c>
      <c r="L6952" s="0" t="s">
        <v>31</v>
      </c>
      <c r="M6952" s="0" t="s">
        <v>173</v>
      </c>
      <c r="N6952" s="0" t="n">
        <v>1810</v>
      </c>
      <c r="O6952" s="10" t="n">
        <v>0.518373022088781</v>
      </c>
      <c r="P6952" s="10" t="n">
        <v>0.289728706935421</v>
      </c>
      <c r="Q6952" s="0" t="str">
        <f aca="false">SUBSTITUTE(SUBSTITUTE($I6952,CHAR(61),""),CHAR(34),"")</f>
        <v>50+</v>
      </c>
      <c r="R6952" s="0" t="str">
        <f aca="false">IF($D6952&lt;&gt;"","["&amp;$E6952&amp;"]"&amp;"|"&amp;$Q6952&amp;"|"&amp;$K6952&amp;"|"&amp;$G6952&amp;"|"&amp;IF($G6952="TX_CURR_SUBNAT.R","CY2022Q4",$M6952),"")</f>
        <v>[am530wpaGvr]|50+|Female|PLHIV_Attend.T2|CY2025Q3</v>
      </c>
    </row>
    <row r="6953" customFormat="false" ht="15" hidden="false" customHeight="false" outlineLevel="0" collapsed="false">
      <c r="D6953" s="0" t="s">
        <v>72</v>
      </c>
      <c r="E6953" s="0" t="s">
        <v>73</v>
      </c>
      <c r="F6953" s="0" t="s">
        <v>74</v>
      </c>
      <c r="G6953" s="0" t="s">
        <v>174</v>
      </c>
      <c r="H6953" s="0" t="s">
        <v>174</v>
      </c>
      <c r="I6953" s="0" t="s">
        <v>28</v>
      </c>
      <c r="J6953" s="0" t="s">
        <v>29</v>
      </c>
      <c r="K6953" s="0" t="s">
        <v>48</v>
      </c>
      <c r="L6953" s="0" t="s">
        <v>49</v>
      </c>
      <c r="M6953" s="0" t="s">
        <v>173</v>
      </c>
      <c r="N6953" s="0" t="n">
        <v>1364</v>
      </c>
      <c r="O6953" s="10" t="n">
        <v>0.313542107585818</v>
      </c>
      <c r="P6953" s="10" t="n">
        <v>0.289728706935421</v>
      </c>
      <c r="Q6953" s="0" t="str">
        <f aca="false">SUBSTITUTE(SUBSTITUTE($I6953,CHAR(61),""),CHAR(34),"")</f>
        <v>&lt;01</v>
      </c>
      <c r="R6953" s="0" t="str">
        <f aca="false">IF($D6953&lt;&gt;"","["&amp;$E6953&amp;"]"&amp;"|"&amp;$Q6953&amp;"|"&amp;$K6953&amp;"|"&amp;$G6953&amp;"|"&amp;IF($G6953="TX_CURR_SUBNAT.R","CY2022Q4",$M6953),"")</f>
        <v>[am530wpaGvr]|&lt;01|Male|PLHIV_Attend.T2|CY2025Q3</v>
      </c>
    </row>
    <row r="6954" customFormat="false" ht="15" hidden="false" customHeight="false" outlineLevel="0" collapsed="false">
      <c r="D6954" s="0" t="s">
        <v>72</v>
      </c>
      <c r="E6954" s="0" t="s">
        <v>73</v>
      </c>
      <c r="F6954" s="0" t="s">
        <v>74</v>
      </c>
      <c r="G6954" s="0" t="s">
        <v>174</v>
      </c>
      <c r="H6954" s="0" t="s">
        <v>174</v>
      </c>
      <c r="I6954" s="0" t="s">
        <v>33</v>
      </c>
      <c r="J6954" s="0" t="s">
        <v>34</v>
      </c>
      <c r="K6954" s="0" t="s">
        <v>48</v>
      </c>
      <c r="L6954" s="0" t="s">
        <v>49</v>
      </c>
      <c r="M6954" s="0" t="s">
        <v>173</v>
      </c>
      <c r="N6954" s="0" t="n">
        <v>1240</v>
      </c>
      <c r="O6954" s="10" t="n">
        <v>0.570802630623803</v>
      </c>
      <c r="P6954" s="10" t="n">
        <v>0.289728706935421</v>
      </c>
      <c r="Q6954" s="0" t="str">
        <f aca="false">SUBSTITUTE(SUBSTITUTE($I6954,CHAR(61),""),CHAR(34),"")</f>
        <v>01-09</v>
      </c>
      <c r="R6954" s="0" t="str">
        <f aca="false">IF($D6954&lt;&gt;"","["&amp;$E6954&amp;"]"&amp;"|"&amp;$Q6954&amp;"|"&amp;$K6954&amp;"|"&amp;$G6954&amp;"|"&amp;IF($G6954="TX_CURR_SUBNAT.R","CY2022Q4",$M6954),"")</f>
        <v>[am530wpaGvr]|01-09|Male|PLHIV_Attend.T2|CY2025Q3</v>
      </c>
    </row>
    <row r="6955" customFormat="false" ht="15" hidden="false" customHeight="false" outlineLevel="0" collapsed="false">
      <c r="D6955" s="0" t="s">
        <v>72</v>
      </c>
      <c r="E6955" s="0" t="s">
        <v>73</v>
      </c>
      <c r="F6955" s="0" t="s">
        <v>74</v>
      </c>
      <c r="G6955" s="0" t="s">
        <v>174</v>
      </c>
      <c r="H6955" s="0" t="s">
        <v>174</v>
      </c>
      <c r="I6955" s="0" t="s">
        <v>36</v>
      </c>
      <c r="J6955" s="0" t="s">
        <v>37</v>
      </c>
      <c r="K6955" s="0" t="s">
        <v>48</v>
      </c>
      <c r="L6955" s="0" t="s">
        <v>49</v>
      </c>
      <c r="M6955" s="0" t="s">
        <v>173</v>
      </c>
      <c r="N6955" s="0" t="n">
        <v>1340</v>
      </c>
      <c r="O6955" s="10" t="n">
        <v>0.392548163421452</v>
      </c>
      <c r="P6955" s="10" t="n">
        <v>0.289728706935421</v>
      </c>
      <c r="Q6955" s="0" t="str">
        <f aca="false">SUBSTITUTE(SUBSTITUTE($I6955,CHAR(61),""),CHAR(34),"")</f>
        <v>10-14</v>
      </c>
      <c r="R6955" s="0" t="str">
        <f aca="false">IF($D6955&lt;&gt;"","["&amp;$E6955&amp;"]"&amp;"|"&amp;$Q6955&amp;"|"&amp;$K6955&amp;"|"&amp;$G6955&amp;"|"&amp;IF($G6955="TX_CURR_SUBNAT.R","CY2022Q4",$M6955),"")</f>
        <v>[am530wpaGvr]|10-14|Male|PLHIV_Attend.T2|CY2025Q3</v>
      </c>
    </row>
    <row r="6956" customFormat="false" ht="15" hidden="false" customHeight="false" outlineLevel="0" collapsed="false">
      <c r="D6956" s="0" t="s">
        <v>72</v>
      </c>
      <c r="E6956" s="0" t="s">
        <v>73</v>
      </c>
      <c r="F6956" s="0" t="s">
        <v>74</v>
      </c>
      <c r="G6956" s="0" t="s">
        <v>174</v>
      </c>
      <c r="H6956" s="0" t="s">
        <v>174</v>
      </c>
      <c r="I6956" s="0" t="s">
        <v>38</v>
      </c>
      <c r="J6956" s="0" t="s">
        <v>39</v>
      </c>
      <c r="K6956" s="0" t="s">
        <v>48</v>
      </c>
      <c r="L6956" s="0" t="s">
        <v>49</v>
      </c>
      <c r="M6956" s="0" t="s">
        <v>173</v>
      </c>
      <c r="N6956" s="0" t="n">
        <v>1239</v>
      </c>
      <c r="O6956" s="10" t="n">
        <v>0.342072584666312</v>
      </c>
      <c r="P6956" s="10" t="n">
        <v>0.289728706935421</v>
      </c>
      <c r="Q6956" s="0" t="str">
        <f aca="false">SUBSTITUTE(SUBSTITUTE($I6956,CHAR(61),""),CHAR(34),"")</f>
        <v>15-24</v>
      </c>
      <c r="R6956" s="0" t="str">
        <f aca="false">IF($D6956&lt;&gt;"","["&amp;$E6956&amp;"]"&amp;"|"&amp;$Q6956&amp;"|"&amp;$K6956&amp;"|"&amp;$G6956&amp;"|"&amp;IF($G6956="TX_CURR_SUBNAT.R","CY2022Q4",$M6956),"")</f>
        <v>[am530wpaGvr]|15-24|Male|PLHIV_Attend.T2|CY2025Q3</v>
      </c>
    </row>
    <row r="6957" customFormat="false" ht="15" hidden="false" customHeight="false" outlineLevel="0" collapsed="false">
      <c r="D6957" s="0" t="s">
        <v>72</v>
      </c>
      <c r="E6957" s="0" t="s">
        <v>73</v>
      </c>
      <c r="F6957" s="0" t="s">
        <v>74</v>
      </c>
      <c r="G6957" s="0" t="s">
        <v>174</v>
      </c>
      <c r="H6957" s="0" t="s">
        <v>174</v>
      </c>
      <c r="I6957" s="0" t="s">
        <v>41</v>
      </c>
      <c r="J6957" s="0" t="s">
        <v>42</v>
      </c>
      <c r="K6957" s="0" t="s">
        <v>48</v>
      </c>
      <c r="L6957" s="0" t="s">
        <v>49</v>
      </c>
      <c r="M6957" s="0" t="s">
        <v>173</v>
      </c>
      <c r="N6957" s="0" t="n">
        <v>774</v>
      </c>
      <c r="O6957" s="10" t="n">
        <v>0.153561226092279</v>
      </c>
      <c r="P6957" s="10" t="n">
        <v>0.289728706935421</v>
      </c>
      <c r="Q6957" s="0" t="str">
        <f aca="false">SUBSTITUTE(SUBSTITUTE($I6957,CHAR(61),""),CHAR(34),"")</f>
        <v>25-34</v>
      </c>
      <c r="R6957" s="0" t="str">
        <f aca="false">IF($D6957&lt;&gt;"","["&amp;$E6957&amp;"]"&amp;"|"&amp;$Q6957&amp;"|"&amp;$K6957&amp;"|"&amp;$G6957&amp;"|"&amp;IF($G6957="TX_CURR_SUBNAT.R","CY2022Q4",$M6957),"")</f>
        <v>[am530wpaGvr]|25-34|Male|PLHIV_Attend.T2|CY2025Q3</v>
      </c>
    </row>
    <row r="6958" customFormat="false" ht="15" hidden="false" customHeight="false" outlineLevel="0" collapsed="false">
      <c r="D6958" s="0" t="s">
        <v>72</v>
      </c>
      <c r="E6958" s="0" t="s">
        <v>73</v>
      </c>
      <c r="F6958" s="0" t="s">
        <v>74</v>
      </c>
      <c r="G6958" s="0" t="s">
        <v>174</v>
      </c>
      <c r="H6958" s="0" t="s">
        <v>174</v>
      </c>
      <c r="I6958" s="0" t="s">
        <v>43</v>
      </c>
      <c r="J6958" s="0" t="s">
        <v>44</v>
      </c>
      <c r="K6958" s="0" t="s">
        <v>48</v>
      </c>
      <c r="L6958" s="0" t="s">
        <v>49</v>
      </c>
      <c r="M6958" s="0" t="s">
        <v>173</v>
      </c>
      <c r="N6958" s="0" t="n">
        <v>1456</v>
      </c>
      <c r="O6958" s="10" t="n">
        <v>0.44705664832145</v>
      </c>
      <c r="P6958" s="10" t="n">
        <v>0.289728706935421</v>
      </c>
      <c r="Q6958" s="0" t="str">
        <f aca="false">SUBSTITUTE(SUBSTITUTE($I6958,CHAR(61),""),CHAR(34),"")</f>
        <v>35-49</v>
      </c>
      <c r="R6958" s="0" t="str">
        <f aca="false">IF($D6958&lt;&gt;"","["&amp;$E6958&amp;"]"&amp;"|"&amp;$Q6958&amp;"|"&amp;$K6958&amp;"|"&amp;$G6958&amp;"|"&amp;IF($G6958="TX_CURR_SUBNAT.R","CY2022Q4",$M6958),"")</f>
        <v>[am530wpaGvr]|35-49|Male|PLHIV_Attend.T2|CY2025Q3</v>
      </c>
    </row>
    <row r="6959" customFormat="false" ht="15" hidden="false" customHeight="false" outlineLevel="0" collapsed="false">
      <c r="D6959" s="0" t="s">
        <v>72</v>
      </c>
      <c r="E6959" s="0" t="s">
        <v>73</v>
      </c>
      <c r="F6959" s="0" t="s">
        <v>74</v>
      </c>
      <c r="G6959" s="0" t="s">
        <v>174</v>
      </c>
      <c r="H6959" s="0" t="s">
        <v>174</v>
      </c>
      <c r="I6959" s="0" t="s">
        <v>45</v>
      </c>
      <c r="J6959" s="0" t="s">
        <v>46</v>
      </c>
      <c r="K6959" s="0" t="s">
        <v>48</v>
      </c>
      <c r="L6959" s="0" t="s">
        <v>49</v>
      </c>
      <c r="M6959" s="0" t="s">
        <v>173</v>
      </c>
      <c r="N6959" s="0" t="n">
        <v>1447</v>
      </c>
      <c r="O6959" s="10" t="n">
        <v>0.66469058021903</v>
      </c>
      <c r="P6959" s="10" t="n">
        <v>0.289728706935421</v>
      </c>
      <c r="Q6959" s="0" t="str">
        <f aca="false">SUBSTITUTE(SUBSTITUTE($I6959,CHAR(61),""),CHAR(34),"")</f>
        <v>50+</v>
      </c>
      <c r="R6959" s="0" t="str">
        <f aca="false">IF($D6959&lt;&gt;"","["&amp;$E6959&amp;"]"&amp;"|"&amp;$Q6959&amp;"|"&amp;$K6959&amp;"|"&amp;$G6959&amp;"|"&amp;IF($G6959="TX_CURR_SUBNAT.R","CY2022Q4",$M6959),"")</f>
        <v>[am530wpaGvr]|50+|Male|PLHIV_Attend.T2|CY2025Q3</v>
      </c>
    </row>
    <row r="6960" customFormat="false" ht="15" hidden="false" customHeight="false" outlineLevel="0" collapsed="false">
      <c r="D6960" s="0" t="s">
        <v>75</v>
      </c>
      <c r="E6960" s="0" t="s">
        <v>76</v>
      </c>
      <c r="F6960" s="0" t="s">
        <v>77</v>
      </c>
      <c r="G6960" s="0" t="s">
        <v>174</v>
      </c>
      <c r="H6960" s="0" t="s">
        <v>174</v>
      </c>
      <c r="I6960" s="0" t="s">
        <v>28</v>
      </c>
      <c r="J6960" s="0" t="s">
        <v>29</v>
      </c>
      <c r="K6960" s="0" t="s">
        <v>30</v>
      </c>
      <c r="L6960" s="0" t="s">
        <v>31</v>
      </c>
      <c r="M6960" s="0" t="s">
        <v>173</v>
      </c>
      <c r="N6960" s="0" t="n">
        <v>1700</v>
      </c>
      <c r="O6960" s="10" t="n">
        <v>0.905289221089333</v>
      </c>
      <c r="P6960" s="10" t="n">
        <v>0.303055507596582</v>
      </c>
      <c r="Q6960" s="0" t="str">
        <f aca="false">SUBSTITUTE(SUBSTITUTE($I6960,CHAR(61),""),CHAR(34),"")</f>
        <v>&lt;01</v>
      </c>
      <c r="R6960" s="0" t="str">
        <f aca="false">IF($D6960&lt;&gt;"","["&amp;$E6960&amp;"]"&amp;"|"&amp;$Q6960&amp;"|"&amp;$K6960&amp;"|"&amp;$G6960&amp;"|"&amp;IF($G6960="TX_CURR_SUBNAT.R","CY2022Q4",$M6960),"")</f>
        <v>[lLDyBx5XyUi]|&lt;01|Female|PLHIV_Attend.T2|CY2025Q3</v>
      </c>
    </row>
    <row r="6961" customFormat="false" ht="15" hidden="false" customHeight="false" outlineLevel="0" collapsed="false">
      <c r="D6961" s="0" t="s">
        <v>75</v>
      </c>
      <c r="E6961" s="0" t="s">
        <v>76</v>
      </c>
      <c r="F6961" s="0" t="s">
        <v>77</v>
      </c>
      <c r="G6961" s="0" t="s">
        <v>174</v>
      </c>
      <c r="H6961" s="0" t="s">
        <v>174</v>
      </c>
      <c r="I6961" s="0" t="s">
        <v>33</v>
      </c>
      <c r="J6961" s="0" t="s">
        <v>34</v>
      </c>
      <c r="K6961" s="0" t="s">
        <v>30</v>
      </c>
      <c r="L6961" s="0" t="s">
        <v>31</v>
      </c>
      <c r="M6961" s="0" t="s">
        <v>173</v>
      </c>
      <c r="N6961" s="0" t="n">
        <v>1392</v>
      </c>
      <c r="O6961" s="10" t="n">
        <v>0.374156980309635</v>
      </c>
      <c r="P6961" s="10" t="n">
        <v>0.303055507596582</v>
      </c>
      <c r="Q6961" s="0" t="str">
        <f aca="false">SUBSTITUTE(SUBSTITUTE($I6961,CHAR(61),""),CHAR(34),"")</f>
        <v>01-09</v>
      </c>
      <c r="R6961" s="0" t="str">
        <f aca="false">IF($D6961&lt;&gt;"","["&amp;$E6961&amp;"]"&amp;"|"&amp;$Q6961&amp;"|"&amp;$K6961&amp;"|"&amp;$G6961&amp;"|"&amp;IF($G6961="TX_CURR_SUBNAT.R","CY2022Q4",$M6961),"")</f>
        <v>[lLDyBx5XyUi]|01-09|Female|PLHIV_Attend.T2|CY2025Q3</v>
      </c>
    </row>
    <row r="6962" customFormat="false" ht="15" hidden="false" customHeight="false" outlineLevel="0" collapsed="false">
      <c r="D6962" s="0" t="s">
        <v>75</v>
      </c>
      <c r="E6962" s="0" t="s">
        <v>76</v>
      </c>
      <c r="F6962" s="0" t="s">
        <v>77</v>
      </c>
      <c r="G6962" s="0" t="s">
        <v>174</v>
      </c>
      <c r="H6962" s="0" t="s">
        <v>174</v>
      </c>
      <c r="I6962" s="0" t="s">
        <v>36</v>
      </c>
      <c r="J6962" s="0" t="s">
        <v>37</v>
      </c>
      <c r="K6962" s="0" t="s">
        <v>30</v>
      </c>
      <c r="L6962" s="0" t="s">
        <v>31</v>
      </c>
      <c r="M6962" s="0" t="s">
        <v>173</v>
      </c>
      <c r="N6962" s="0" t="n">
        <v>844</v>
      </c>
      <c r="O6962" s="10" t="n">
        <v>0.960475956322625</v>
      </c>
      <c r="P6962" s="10" t="n">
        <v>0.303055507596582</v>
      </c>
      <c r="Q6962" s="0" t="str">
        <f aca="false">SUBSTITUTE(SUBSTITUTE($I6962,CHAR(61),""),CHAR(34),"")</f>
        <v>10-14</v>
      </c>
      <c r="R6962" s="0" t="str">
        <f aca="false">IF($D6962&lt;&gt;"","["&amp;$E6962&amp;"]"&amp;"|"&amp;$Q6962&amp;"|"&amp;$K6962&amp;"|"&amp;$G6962&amp;"|"&amp;IF($G6962="TX_CURR_SUBNAT.R","CY2022Q4",$M6962),"")</f>
        <v>[lLDyBx5XyUi]|10-14|Female|PLHIV_Attend.T2|CY2025Q3</v>
      </c>
    </row>
    <row r="6963" customFormat="false" ht="15" hidden="false" customHeight="false" outlineLevel="0" collapsed="false">
      <c r="D6963" s="0" t="s">
        <v>75</v>
      </c>
      <c r="E6963" s="0" t="s">
        <v>76</v>
      </c>
      <c r="F6963" s="0" t="s">
        <v>77</v>
      </c>
      <c r="G6963" s="0" t="s">
        <v>174</v>
      </c>
      <c r="H6963" s="0" t="s">
        <v>174</v>
      </c>
      <c r="I6963" s="0" t="s">
        <v>38</v>
      </c>
      <c r="J6963" s="0" t="s">
        <v>39</v>
      </c>
      <c r="K6963" s="0" t="s">
        <v>30</v>
      </c>
      <c r="L6963" s="0" t="s">
        <v>31</v>
      </c>
      <c r="M6963" s="0" t="s">
        <v>173</v>
      </c>
      <c r="N6963" s="0" t="n">
        <v>1994</v>
      </c>
      <c r="O6963" s="10" t="n">
        <v>0.209609041921794</v>
      </c>
      <c r="P6963" s="10" t="n">
        <v>0.303055507596582</v>
      </c>
      <c r="Q6963" s="0" t="str">
        <f aca="false">SUBSTITUTE(SUBSTITUTE($I6963,CHAR(61),""),CHAR(34),"")</f>
        <v>15-24</v>
      </c>
      <c r="R6963" s="0" t="str">
        <f aca="false">IF($D6963&lt;&gt;"","["&amp;$E6963&amp;"]"&amp;"|"&amp;$Q6963&amp;"|"&amp;$K6963&amp;"|"&amp;$G6963&amp;"|"&amp;IF($G6963="TX_CURR_SUBNAT.R","CY2022Q4",$M6963),"")</f>
        <v>[lLDyBx5XyUi]|15-24|Female|PLHIV_Attend.T2|CY2025Q3</v>
      </c>
    </row>
    <row r="6964" customFormat="false" ht="15" hidden="false" customHeight="false" outlineLevel="0" collapsed="false">
      <c r="D6964" s="0" t="s">
        <v>75</v>
      </c>
      <c r="E6964" s="0" t="s">
        <v>76</v>
      </c>
      <c r="F6964" s="0" t="s">
        <v>77</v>
      </c>
      <c r="G6964" s="0" t="s">
        <v>174</v>
      </c>
      <c r="H6964" s="0" t="s">
        <v>174</v>
      </c>
      <c r="I6964" s="0" t="s">
        <v>41</v>
      </c>
      <c r="J6964" s="0" t="s">
        <v>42</v>
      </c>
      <c r="K6964" s="0" t="s">
        <v>30</v>
      </c>
      <c r="L6964" s="0" t="s">
        <v>31</v>
      </c>
      <c r="M6964" s="0" t="s">
        <v>173</v>
      </c>
      <c r="N6964" s="0" t="n">
        <v>1931</v>
      </c>
      <c r="O6964" s="10" t="n">
        <v>0.179365376243368</v>
      </c>
      <c r="P6964" s="10" t="n">
        <v>0.303055507596582</v>
      </c>
      <c r="Q6964" s="0" t="str">
        <f aca="false">SUBSTITUTE(SUBSTITUTE($I6964,CHAR(61),""),CHAR(34),"")</f>
        <v>25-34</v>
      </c>
      <c r="R6964" s="0" t="str">
        <f aca="false">IF($D6964&lt;&gt;"","["&amp;$E6964&amp;"]"&amp;"|"&amp;$Q6964&amp;"|"&amp;$K6964&amp;"|"&amp;$G6964&amp;"|"&amp;IF($G6964="TX_CURR_SUBNAT.R","CY2022Q4",$M6964),"")</f>
        <v>[lLDyBx5XyUi]|25-34|Female|PLHIV_Attend.T2|CY2025Q3</v>
      </c>
    </row>
    <row r="6965" customFormat="false" ht="15" hidden="false" customHeight="false" outlineLevel="0" collapsed="false">
      <c r="D6965" s="0" t="s">
        <v>75</v>
      </c>
      <c r="E6965" s="0" t="s">
        <v>76</v>
      </c>
      <c r="F6965" s="0" t="s">
        <v>77</v>
      </c>
      <c r="G6965" s="0" t="s">
        <v>174</v>
      </c>
      <c r="H6965" s="0" t="s">
        <v>174</v>
      </c>
      <c r="I6965" s="0" t="s">
        <v>43</v>
      </c>
      <c r="J6965" s="0" t="s">
        <v>44</v>
      </c>
      <c r="K6965" s="0" t="s">
        <v>30</v>
      </c>
      <c r="L6965" s="0" t="s">
        <v>31</v>
      </c>
      <c r="M6965" s="0" t="s">
        <v>173</v>
      </c>
      <c r="N6965" s="0" t="n">
        <v>1611</v>
      </c>
      <c r="O6965" s="10" t="n">
        <v>0.199845541035756</v>
      </c>
      <c r="P6965" s="10" t="n">
        <v>0.303055507596582</v>
      </c>
      <c r="Q6965" s="0" t="str">
        <f aca="false">SUBSTITUTE(SUBSTITUTE($I6965,CHAR(61),""),CHAR(34),"")</f>
        <v>35-49</v>
      </c>
      <c r="R6965" s="0" t="str">
        <f aca="false">IF($D6965&lt;&gt;"","["&amp;$E6965&amp;"]"&amp;"|"&amp;$Q6965&amp;"|"&amp;$K6965&amp;"|"&amp;$G6965&amp;"|"&amp;IF($G6965="TX_CURR_SUBNAT.R","CY2022Q4",$M6965),"")</f>
        <v>[lLDyBx5XyUi]|35-49|Female|PLHIV_Attend.T2|CY2025Q3</v>
      </c>
    </row>
    <row r="6966" customFormat="false" ht="15" hidden="false" customHeight="false" outlineLevel="0" collapsed="false">
      <c r="D6966" s="0" t="s">
        <v>75</v>
      </c>
      <c r="E6966" s="0" t="s">
        <v>76</v>
      </c>
      <c r="F6966" s="0" t="s">
        <v>77</v>
      </c>
      <c r="G6966" s="0" t="s">
        <v>174</v>
      </c>
      <c r="H6966" s="0" t="s">
        <v>174</v>
      </c>
      <c r="I6966" s="0" t="s">
        <v>45</v>
      </c>
      <c r="J6966" s="0" t="s">
        <v>46</v>
      </c>
      <c r="K6966" s="0" t="s">
        <v>30</v>
      </c>
      <c r="L6966" s="0" t="s">
        <v>31</v>
      </c>
      <c r="M6966" s="0" t="s">
        <v>173</v>
      </c>
      <c r="N6966" s="0" t="n">
        <v>540</v>
      </c>
      <c r="O6966" s="10" t="n">
        <v>0.850786493159831</v>
      </c>
      <c r="P6966" s="10" t="n">
        <v>0.303055507596582</v>
      </c>
      <c r="Q6966" s="0" t="str">
        <f aca="false">SUBSTITUTE(SUBSTITUTE($I6966,CHAR(61),""),CHAR(34),"")</f>
        <v>50+</v>
      </c>
      <c r="R6966" s="0" t="str">
        <f aca="false">IF($D6966&lt;&gt;"","["&amp;$E6966&amp;"]"&amp;"|"&amp;$Q6966&amp;"|"&amp;$K6966&amp;"|"&amp;$G6966&amp;"|"&amp;IF($G6966="TX_CURR_SUBNAT.R","CY2022Q4",$M6966),"")</f>
        <v>[lLDyBx5XyUi]|50+|Female|PLHIV_Attend.T2|CY2025Q3</v>
      </c>
    </row>
    <row r="6967" customFormat="false" ht="15" hidden="false" customHeight="false" outlineLevel="0" collapsed="false">
      <c r="D6967" s="0" t="s">
        <v>75</v>
      </c>
      <c r="E6967" s="0" t="s">
        <v>76</v>
      </c>
      <c r="F6967" s="0" t="s">
        <v>77</v>
      </c>
      <c r="G6967" s="0" t="s">
        <v>174</v>
      </c>
      <c r="H6967" s="0" t="s">
        <v>174</v>
      </c>
      <c r="I6967" s="0" t="s">
        <v>28</v>
      </c>
      <c r="J6967" s="0" t="s">
        <v>29</v>
      </c>
      <c r="K6967" s="0" t="s">
        <v>48</v>
      </c>
      <c r="L6967" s="0" t="s">
        <v>49</v>
      </c>
      <c r="M6967" s="0" t="s">
        <v>173</v>
      </c>
      <c r="N6967" s="0" t="n">
        <v>972</v>
      </c>
      <c r="O6967" s="10" t="n">
        <v>0.441215025493875</v>
      </c>
      <c r="P6967" s="10" t="n">
        <v>0.303055507596582</v>
      </c>
      <c r="Q6967" s="0" t="str">
        <f aca="false">SUBSTITUTE(SUBSTITUTE($I6967,CHAR(61),""),CHAR(34),"")</f>
        <v>&lt;01</v>
      </c>
      <c r="R6967" s="0" t="str">
        <f aca="false">IF($D6967&lt;&gt;"","["&amp;$E6967&amp;"]"&amp;"|"&amp;$Q6967&amp;"|"&amp;$K6967&amp;"|"&amp;$G6967&amp;"|"&amp;IF($G6967="TX_CURR_SUBNAT.R","CY2022Q4",$M6967),"")</f>
        <v>[lLDyBx5XyUi]|&lt;01|Male|PLHIV_Attend.T2|CY2025Q3</v>
      </c>
    </row>
    <row r="6968" customFormat="false" ht="15" hidden="false" customHeight="false" outlineLevel="0" collapsed="false">
      <c r="D6968" s="0" t="s">
        <v>75</v>
      </c>
      <c r="E6968" s="0" t="s">
        <v>76</v>
      </c>
      <c r="F6968" s="0" t="s">
        <v>77</v>
      </c>
      <c r="G6968" s="0" t="s">
        <v>174</v>
      </c>
      <c r="H6968" s="0" t="s">
        <v>174</v>
      </c>
      <c r="I6968" s="0" t="s">
        <v>33</v>
      </c>
      <c r="J6968" s="0" t="s">
        <v>34</v>
      </c>
      <c r="K6968" s="0" t="s">
        <v>48</v>
      </c>
      <c r="L6968" s="0" t="s">
        <v>49</v>
      </c>
      <c r="M6968" s="0" t="s">
        <v>173</v>
      </c>
      <c r="N6968" s="0" t="n">
        <v>1975</v>
      </c>
      <c r="O6968" s="10" t="n">
        <v>0.792923629982397</v>
      </c>
      <c r="P6968" s="10" t="n">
        <v>0.303055507596582</v>
      </c>
      <c r="Q6968" s="0" t="str">
        <f aca="false">SUBSTITUTE(SUBSTITUTE($I6968,CHAR(61),""),CHAR(34),"")</f>
        <v>01-09</v>
      </c>
      <c r="R6968" s="0" t="str">
        <f aca="false">IF($D6968&lt;&gt;"","["&amp;$E6968&amp;"]"&amp;"|"&amp;$Q6968&amp;"|"&amp;$K6968&amp;"|"&amp;$G6968&amp;"|"&amp;IF($G6968="TX_CURR_SUBNAT.R","CY2022Q4",$M6968),"")</f>
        <v>[lLDyBx5XyUi]|01-09|Male|PLHIV_Attend.T2|CY2025Q3</v>
      </c>
    </row>
    <row r="6969" customFormat="false" ht="15" hidden="false" customHeight="false" outlineLevel="0" collapsed="false">
      <c r="D6969" s="0" t="s">
        <v>75</v>
      </c>
      <c r="E6969" s="0" t="s">
        <v>76</v>
      </c>
      <c r="F6969" s="0" t="s">
        <v>77</v>
      </c>
      <c r="G6969" s="0" t="s">
        <v>174</v>
      </c>
      <c r="H6969" s="0" t="s">
        <v>174</v>
      </c>
      <c r="I6969" s="0" t="s">
        <v>36</v>
      </c>
      <c r="J6969" s="0" t="s">
        <v>37</v>
      </c>
      <c r="K6969" s="0" t="s">
        <v>48</v>
      </c>
      <c r="L6969" s="0" t="s">
        <v>49</v>
      </c>
      <c r="M6969" s="0" t="s">
        <v>173</v>
      </c>
      <c r="N6969" s="0" t="n">
        <v>1147</v>
      </c>
      <c r="O6969" s="10" t="n">
        <v>0.336311533348635</v>
      </c>
      <c r="P6969" s="10" t="n">
        <v>0.303055507596582</v>
      </c>
      <c r="Q6969" s="0" t="str">
        <f aca="false">SUBSTITUTE(SUBSTITUTE($I6969,CHAR(61),""),CHAR(34),"")</f>
        <v>10-14</v>
      </c>
      <c r="R6969" s="0" t="str">
        <f aca="false">IF($D6969&lt;&gt;"","["&amp;$E6969&amp;"]"&amp;"|"&amp;$Q6969&amp;"|"&amp;$K6969&amp;"|"&amp;$G6969&amp;"|"&amp;IF($G6969="TX_CURR_SUBNAT.R","CY2022Q4",$M6969),"")</f>
        <v>[lLDyBx5XyUi]|10-14|Male|PLHIV_Attend.T2|CY2025Q3</v>
      </c>
    </row>
    <row r="6970" customFormat="false" ht="15" hidden="false" customHeight="false" outlineLevel="0" collapsed="false">
      <c r="D6970" s="0" t="s">
        <v>75</v>
      </c>
      <c r="E6970" s="0" t="s">
        <v>76</v>
      </c>
      <c r="F6970" s="0" t="s">
        <v>77</v>
      </c>
      <c r="G6970" s="0" t="s">
        <v>174</v>
      </c>
      <c r="H6970" s="0" t="s">
        <v>174</v>
      </c>
      <c r="I6970" s="0" t="s">
        <v>38</v>
      </c>
      <c r="J6970" s="0" t="s">
        <v>39</v>
      </c>
      <c r="K6970" s="0" t="s">
        <v>48</v>
      </c>
      <c r="L6970" s="0" t="s">
        <v>49</v>
      </c>
      <c r="M6970" s="0" t="s">
        <v>173</v>
      </c>
      <c r="N6970" s="0" t="n">
        <v>580</v>
      </c>
      <c r="O6970" s="10" t="n">
        <v>0.156098979525268</v>
      </c>
      <c r="P6970" s="10" t="n">
        <v>0.303055507596582</v>
      </c>
      <c r="Q6970" s="0" t="str">
        <f aca="false">SUBSTITUTE(SUBSTITUTE($I6970,CHAR(61),""),CHAR(34),"")</f>
        <v>15-24</v>
      </c>
      <c r="R6970" s="0" t="str">
        <f aca="false">IF($D6970&lt;&gt;"","["&amp;$E6970&amp;"]"&amp;"|"&amp;$Q6970&amp;"|"&amp;$K6970&amp;"|"&amp;$G6970&amp;"|"&amp;IF($G6970="TX_CURR_SUBNAT.R","CY2022Q4",$M6970),"")</f>
        <v>[lLDyBx5XyUi]|15-24|Male|PLHIV_Attend.T2|CY2025Q3</v>
      </c>
    </row>
    <row r="6971" customFormat="false" ht="15" hidden="false" customHeight="false" outlineLevel="0" collapsed="false">
      <c r="D6971" s="0" t="s">
        <v>75</v>
      </c>
      <c r="E6971" s="0" t="s">
        <v>76</v>
      </c>
      <c r="F6971" s="0" t="s">
        <v>77</v>
      </c>
      <c r="G6971" s="0" t="s">
        <v>174</v>
      </c>
      <c r="H6971" s="0" t="s">
        <v>174</v>
      </c>
      <c r="I6971" s="0" t="s">
        <v>41</v>
      </c>
      <c r="J6971" s="0" t="s">
        <v>42</v>
      </c>
      <c r="K6971" s="0" t="s">
        <v>48</v>
      </c>
      <c r="L6971" s="0" t="s">
        <v>49</v>
      </c>
      <c r="M6971" s="0" t="s">
        <v>173</v>
      </c>
      <c r="N6971" s="0" t="n">
        <v>1025</v>
      </c>
      <c r="O6971" s="10" t="n">
        <v>0.321168584749103</v>
      </c>
      <c r="P6971" s="10" t="n">
        <v>0.303055507596582</v>
      </c>
      <c r="Q6971" s="0" t="str">
        <f aca="false">SUBSTITUTE(SUBSTITUTE($I6971,CHAR(61),""),CHAR(34),"")</f>
        <v>25-34</v>
      </c>
      <c r="R6971" s="0" t="str">
        <f aca="false">IF($D6971&lt;&gt;"","["&amp;$E6971&amp;"]"&amp;"|"&amp;$Q6971&amp;"|"&amp;$K6971&amp;"|"&amp;$G6971&amp;"|"&amp;IF($G6971="TX_CURR_SUBNAT.R","CY2022Q4",$M6971),"")</f>
        <v>[lLDyBx5XyUi]|25-34|Male|PLHIV_Attend.T2|CY2025Q3</v>
      </c>
    </row>
    <row r="6972" customFormat="false" ht="15" hidden="false" customHeight="false" outlineLevel="0" collapsed="false">
      <c r="D6972" s="0" t="s">
        <v>75</v>
      </c>
      <c r="E6972" s="0" t="s">
        <v>76</v>
      </c>
      <c r="F6972" s="0" t="s">
        <v>77</v>
      </c>
      <c r="G6972" s="0" t="s">
        <v>174</v>
      </c>
      <c r="H6972" s="0" t="s">
        <v>174</v>
      </c>
      <c r="I6972" s="0" t="s">
        <v>43</v>
      </c>
      <c r="J6972" s="0" t="s">
        <v>44</v>
      </c>
      <c r="K6972" s="0" t="s">
        <v>48</v>
      </c>
      <c r="L6972" s="0" t="s">
        <v>49</v>
      </c>
      <c r="M6972" s="0" t="s">
        <v>173</v>
      </c>
      <c r="N6972" s="0" t="n">
        <v>1606</v>
      </c>
      <c r="O6972" s="10" t="n">
        <v>0.689284037332982</v>
      </c>
      <c r="P6972" s="10" t="n">
        <v>0.303055507596582</v>
      </c>
      <c r="Q6972" s="0" t="str">
        <f aca="false">SUBSTITUTE(SUBSTITUTE($I6972,CHAR(61),""),CHAR(34),"")</f>
        <v>35-49</v>
      </c>
      <c r="R6972" s="0" t="str">
        <f aca="false">IF($D6972&lt;&gt;"","["&amp;$E6972&amp;"]"&amp;"|"&amp;$Q6972&amp;"|"&amp;$K6972&amp;"|"&amp;$G6972&amp;"|"&amp;IF($G6972="TX_CURR_SUBNAT.R","CY2022Q4",$M6972),"")</f>
        <v>[lLDyBx5XyUi]|35-49|Male|PLHIV_Attend.T2|CY2025Q3</v>
      </c>
    </row>
    <row r="6973" customFormat="false" ht="15" hidden="false" customHeight="false" outlineLevel="0" collapsed="false">
      <c r="D6973" s="0" t="s">
        <v>75</v>
      </c>
      <c r="E6973" s="0" t="s">
        <v>76</v>
      </c>
      <c r="F6973" s="0" t="s">
        <v>77</v>
      </c>
      <c r="G6973" s="0" t="s">
        <v>174</v>
      </c>
      <c r="H6973" s="0" t="s">
        <v>174</v>
      </c>
      <c r="I6973" s="0" t="s">
        <v>45</v>
      </c>
      <c r="J6973" s="0" t="s">
        <v>46</v>
      </c>
      <c r="K6973" s="0" t="s">
        <v>48</v>
      </c>
      <c r="L6973" s="0" t="s">
        <v>49</v>
      </c>
      <c r="M6973" s="0" t="s">
        <v>173</v>
      </c>
      <c r="N6973" s="0" t="n">
        <v>897</v>
      </c>
      <c r="O6973" s="10" t="n">
        <v>0.630951745202765</v>
      </c>
      <c r="P6973" s="10" t="n">
        <v>0.303055507596582</v>
      </c>
      <c r="Q6973" s="0" t="str">
        <f aca="false">SUBSTITUTE(SUBSTITUTE($I6973,CHAR(61),""),CHAR(34),"")</f>
        <v>50+</v>
      </c>
      <c r="R6973" s="0" t="str">
        <f aca="false">IF($D6973&lt;&gt;"","["&amp;$E6973&amp;"]"&amp;"|"&amp;$Q6973&amp;"|"&amp;$K6973&amp;"|"&amp;$G6973&amp;"|"&amp;IF($G6973="TX_CURR_SUBNAT.R","CY2022Q4",$M6973),"")</f>
        <v>[lLDyBx5XyUi]|50+|Male|PLHIV_Attend.T2|CY2025Q3</v>
      </c>
    </row>
    <row r="6974" customFormat="false" ht="15" hidden="false" customHeight="false" outlineLevel="0" collapsed="false">
      <c r="D6974" s="0" t="s">
        <v>78</v>
      </c>
      <c r="E6974" s="0" t="s">
        <v>79</v>
      </c>
      <c r="F6974" s="0" t="s">
        <v>80</v>
      </c>
      <c r="G6974" s="0" t="s">
        <v>174</v>
      </c>
      <c r="H6974" s="0" t="s">
        <v>174</v>
      </c>
      <c r="I6974" s="0" t="s">
        <v>28</v>
      </c>
      <c r="J6974" s="0" t="s">
        <v>29</v>
      </c>
      <c r="K6974" s="0" t="s">
        <v>30</v>
      </c>
      <c r="L6974" s="0" t="s">
        <v>31</v>
      </c>
      <c r="M6974" s="0" t="s">
        <v>173</v>
      </c>
      <c r="N6974" s="0" t="n">
        <v>1568</v>
      </c>
      <c r="O6974" s="10" t="n">
        <v>0.921940075466409</v>
      </c>
      <c r="P6974" s="10" t="n">
        <v>0.831597982207313</v>
      </c>
      <c r="Q6974" s="0" t="str">
        <f aca="false">SUBSTITUTE(SUBSTITUTE($I6974,CHAR(61),""),CHAR(34),"")</f>
        <v>&lt;01</v>
      </c>
      <c r="R6974" s="0" t="str">
        <f aca="false">IF($D6974&lt;&gt;"","["&amp;$E6974&amp;"]"&amp;"|"&amp;$Q6974&amp;"|"&amp;$K6974&amp;"|"&amp;$G6974&amp;"|"&amp;IF($G6974="TX_CURR_SUBNAT.R","CY2022Q4",$M6974),"")</f>
        <v>[TYnMSwzko3z]|&lt;01|Female|PLHIV_Attend.T2|CY2025Q3</v>
      </c>
    </row>
    <row r="6975" customFormat="false" ht="15" hidden="false" customHeight="false" outlineLevel="0" collapsed="false">
      <c r="D6975" s="0" t="s">
        <v>78</v>
      </c>
      <c r="E6975" s="0" t="s">
        <v>79</v>
      </c>
      <c r="F6975" s="0" t="s">
        <v>80</v>
      </c>
      <c r="G6975" s="0" t="s">
        <v>174</v>
      </c>
      <c r="H6975" s="0" t="s">
        <v>174</v>
      </c>
      <c r="I6975" s="0" t="s">
        <v>33</v>
      </c>
      <c r="J6975" s="0" t="s">
        <v>34</v>
      </c>
      <c r="K6975" s="0" t="s">
        <v>30</v>
      </c>
      <c r="L6975" s="0" t="s">
        <v>31</v>
      </c>
      <c r="M6975" s="0" t="s">
        <v>173</v>
      </c>
      <c r="N6975" s="0" t="n">
        <v>674</v>
      </c>
      <c r="O6975" s="10" t="n">
        <v>0.2234602405224</v>
      </c>
      <c r="P6975" s="10" t="n">
        <v>0.831597982207313</v>
      </c>
      <c r="Q6975" s="0" t="str">
        <f aca="false">SUBSTITUTE(SUBSTITUTE($I6975,CHAR(61),""),CHAR(34),"")</f>
        <v>01-09</v>
      </c>
      <c r="R6975" s="0" t="str">
        <f aca="false">IF($D6975&lt;&gt;"","["&amp;$E6975&amp;"]"&amp;"|"&amp;$Q6975&amp;"|"&amp;$K6975&amp;"|"&amp;$G6975&amp;"|"&amp;IF($G6975="TX_CURR_SUBNAT.R","CY2022Q4",$M6975),"")</f>
        <v>[TYnMSwzko3z]|01-09|Female|PLHIV_Attend.T2|CY2025Q3</v>
      </c>
    </row>
    <row r="6976" customFormat="false" ht="15" hidden="false" customHeight="false" outlineLevel="0" collapsed="false">
      <c r="D6976" s="0" t="s">
        <v>78</v>
      </c>
      <c r="E6976" s="0" t="s">
        <v>79</v>
      </c>
      <c r="F6976" s="0" t="s">
        <v>80</v>
      </c>
      <c r="G6976" s="0" t="s">
        <v>174</v>
      </c>
      <c r="H6976" s="0" t="s">
        <v>174</v>
      </c>
      <c r="I6976" s="0" t="s">
        <v>36</v>
      </c>
      <c r="J6976" s="0" t="s">
        <v>37</v>
      </c>
      <c r="K6976" s="0" t="s">
        <v>30</v>
      </c>
      <c r="L6976" s="0" t="s">
        <v>31</v>
      </c>
      <c r="M6976" s="0" t="s">
        <v>173</v>
      </c>
      <c r="N6976" s="0" t="n">
        <v>904</v>
      </c>
      <c r="O6976" s="10" t="n">
        <v>0.939093261025846</v>
      </c>
      <c r="P6976" s="10" t="n">
        <v>0.831597982207313</v>
      </c>
      <c r="Q6976" s="0" t="str">
        <f aca="false">SUBSTITUTE(SUBSTITUTE($I6976,CHAR(61),""),CHAR(34),"")</f>
        <v>10-14</v>
      </c>
      <c r="R6976" s="0" t="str">
        <f aca="false">IF($D6976&lt;&gt;"","["&amp;$E6976&amp;"]"&amp;"|"&amp;$Q6976&amp;"|"&amp;$K6976&amp;"|"&amp;$G6976&amp;"|"&amp;IF($G6976="TX_CURR_SUBNAT.R","CY2022Q4",$M6976),"")</f>
        <v>[TYnMSwzko3z]|10-14|Female|PLHIV_Attend.T2|CY2025Q3</v>
      </c>
    </row>
    <row r="6977" customFormat="false" ht="15" hidden="false" customHeight="false" outlineLevel="0" collapsed="false">
      <c r="D6977" s="0" t="s">
        <v>78</v>
      </c>
      <c r="E6977" s="0" t="s">
        <v>79</v>
      </c>
      <c r="F6977" s="0" t="s">
        <v>80</v>
      </c>
      <c r="G6977" s="0" t="s">
        <v>174</v>
      </c>
      <c r="H6977" s="0" t="s">
        <v>174</v>
      </c>
      <c r="I6977" s="0" t="s">
        <v>38</v>
      </c>
      <c r="J6977" s="0" t="s">
        <v>39</v>
      </c>
      <c r="K6977" s="0" t="s">
        <v>30</v>
      </c>
      <c r="L6977" s="0" t="s">
        <v>31</v>
      </c>
      <c r="M6977" s="0" t="s">
        <v>173</v>
      </c>
      <c r="N6977" s="0" t="n">
        <v>1791</v>
      </c>
      <c r="O6977" s="10" t="n">
        <v>0.613842955324799</v>
      </c>
      <c r="P6977" s="10" t="n">
        <v>0.831597982207313</v>
      </c>
      <c r="Q6977" s="0" t="str">
        <f aca="false">SUBSTITUTE(SUBSTITUTE($I6977,CHAR(61),""),CHAR(34),"")</f>
        <v>15-24</v>
      </c>
      <c r="R6977" s="0" t="str">
        <f aca="false">IF($D6977&lt;&gt;"","["&amp;$E6977&amp;"]"&amp;"|"&amp;$Q6977&amp;"|"&amp;$K6977&amp;"|"&amp;$G6977&amp;"|"&amp;IF($G6977="TX_CURR_SUBNAT.R","CY2022Q4",$M6977),"")</f>
        <v>[TYnMSwzko3z]|15-24|Female|PLHIV_Attend.T2|CY2025Q3</v>
      </c>
    </row>
    <row r="6978" customFormat="false" ht="15" hidden="false" customHeight="false" outlineLevel="0" collapsed="false">
      <c r="D6978" s="0" t="s">
        <v>78</v>
      </c>
      <c r="E6978" s="0" t="s">
        <v>79</v>
      </c>
      <c r="F6978" s="0" t="s">
        <v>80</v>
      </c>
      <c r="G6978" s="0" t="s">
        <v>174</v>
      </c>
      <c r="H6978" s="0" t="s">
        <v>174</v>
      </c>
      <c r="I6978" s="0" t="s">
        <v>41</v>
      </c>
      <c r="J6978" s="0" t="s">
        <v>42</v>
      </c>
      <c r="K6978" s="0" t="s">
        <v>30</v>
      </c>
      <c r="L6978" s="0" t="s">
        <v>31</v>
      </c>
      <c r="M6978" s="0" t="s">
        <v>173</v>
      </c>
      <c r="N6978" s="0" t="n">
        <v>1057</v>
      </c>
      <c r="O6978" s="10" t="n">
        <v>0.0557275449391454</v>
      </c>
      <c r="P6978" s="10" t="n">
        <v>0.831597982207313</v>
      </c>
      <c r="Q6978" s="0" t="str">
        <f aca="false">SUBSTITUTE(SUBSTITUTE($I6978,CHAR(61),""),CHAR(34),"")</f>
        <v>25-34</v>
      </c>
      <c r="R6978" s="0" t="str">
        <f aca="false">IF($D6978&lt;&gt;"","["&amp;$E6978&amp;"]"&amp;"|"&amp;$Q6978&amp;"|"&amp;$K6978&amp;"|"&amp;$G6978&amp;"|"&amp;IF($G6978="TX_CURR_SUBNAT.R","CY2022Q4",$M6978),"")</f>
        <v>[TYnMSwzko3z]|25-34|Female|PLHIV_Attend.T2|CY2025Q3</v>
      </c>
    </row>
    <row r="6979" customFormat="false" ht="15" hidden="false" customHeight="false" outlineLevel="0" collapsed="false">
      <c r="D6979" s="0" t="s">
        <v>78</v>
      </c>
      <c r="E6979" s="0" t="s">
        <v>79</v>
      </c>
      <c r="F6979" s="0" t="s">
        <v>80</v>
      </c>
      <c r="G6979" s="0" t="s">
        <v>174</v>
      </c>
      <c r="H6979" s="0" t="s">
        <v>174</v>
      </c>
      <c r="I6979" s="0" t="s">
        <v>43</v>
      </c>
      <c r="J6979" s="0" t="s">
        <v>44</v>
      </c>
      <c r="K6979" s="0" t="s">
        <v>30</v>
      </c>
      <c r="L6979" s="0" t="s">
        <v>31</v>
      </c>
      <c r="M6979" s="0" t="s">
        <v>173</v>
      </c>
      <c r="N6979" s="0" t="n">
        <v>1310</v>
      </c>
      <c r="O6979" s="10" t="n">
        <v>0.402680639410391</v>
      </c>
      <c r="P6979" s="10" t="n">
        <v>0.831597982207313</v>
      </c>
      <c r="Q6979" s="0" t="str">
        <f aca="false">SUBSTITUTE(SUBSTITUTE($I6979,CHAR(61),""),CHAR(34),"")</f>
        <v>35-49</v>
      </c>
      <c r="R6979" s="0" t="str">
        <f aca="false">IF($D6979&lt;&gt;"","["&amp;$E6979&amp;"]"&amp;"|"&amp;$Q6979&amp;"|"&amp;$K6979&amp;"|"&amp;$G6979&amp;"|"&amp;IF($G6979="TX_CURR_SUBNAT.R","CY2022Q4",$M6979),"")</f>
        <v>[TYnMSwzko3z]|35-49|Female|PLHIV_Attend.T2|CY2025Q3</v>
      </c>
    </row>
    <row r="6980" customFormat="false" ht="15" hidden="false" customHeight="false" outlineLevel="0" collapsed="false">
      <c r="D6980" s="0" t="s">
        <v>78</v>
      </c>
      <c r="E6980" s="0" t="s">
        <v>79</v>
      </c>
      <c r="F6980" s="0" t="s">
        <v>80</v>
      </c>
      <c r="G6980" s="0" t="s">
        <v>174</v>
      </c>
      <c r="H6980" s="0" t="s">
        <v>174</v>
      </c>
      <c r="I6980" s="0" t="s">
        <v>45</v>
      </c>
      <c r="J6980" s="0" t="s">
        <v>46</v>
      </c>
      <c r="K6980" s="0" t="s">
        <v>30</v>
      </c>
      <c r="L6980" s="0" t="s">
        <v>31</v>
      </c>
      <c r="M6980" s="0" t="s">
        <v>173</v>
      </c>
      <c r="N6980" s="0" t="n">
        <v>909</v>
      </c>
      <c r="O6980" s="10" t="n">
        <v>0.562984092859551</v>
      </c>
      <c r="P6980" s="10" t="n">
        <v>0.831597982207313</v>
      </c>
      <c r="Q6980" s="0" t="str">
        <f aca="false">SUBSTITUTE(SUBSTITUTE($I6980,CHAR(61),""),CHAR(34),"")</f>
        <v>50+</v>
      </c>
      <c r="R6980" s="0" t="str">
        <f aca="false">IF($D6980&lt;&gt;"","["&amp;$E6980&amp;"]"&amp;"|"&amp;$Q6980&amp;"|"&amp;$K6980&amp;"|"&amp;$G6980&amp;"|"&amp;IF($G6980="TX_CURR_SUBNAT.R","CY2022Q4",$M6980),"")</f>
        <v>[TYnMSwzko3z]|50+|Female|PLHIV_Attend.T2|CY2025Q3</v>
      </c>
    </row>
    <row r="6981" customFormat="false" ht="15" hidden="false" customHeight="false" outlineLevel="0" collapsed="false">
      <c r="D6981" s="0" t="s">
        <v>78</v>
      </c>
      <c r="E6981" s="0" t="s">
        <v>79</v>
      </c>
      <c r="F6981" s="0" t="s">
        <v>80</v>
      </c>
      <c r="G6981" s="0" t="s">
        <v>174</v>
      </c>
      <c r="H6981" s="0" t="s">
        <v>174</v>
      </c>
      <c r="I6981" s="0" t="s">
        <v>28</v>
      </c>
      <c r="J6981" s="0" t="s">
        <v>29</v>
      </c>
      <c r="K6981" s="0" t="s">
        <v>48</v>
      </c>
      <c r="L6981" s="0" t="s">
        <v>49</v>
      </c>
      <c r="M6981" s="0" t="s">
        <v>173</v>
      </c>
      <c r="N6981" s="0" t="n">
        <v>663</v>
      </c>
      <c r="O6981" s="10" t="n">
        <v>0.54507054714486</v>
      </c>
      <c r="P6981" s="10" t="n">
        <v>0.831597982207313</v>
      </c>
      <c r="Q6981" s="0" t="str">
        <f aca="false">SUBSTITUTE(SUBSTITUTE($I6981,CHAR(61),""),CHAR(34),"")</f>
        <v>&lt;01</v>
      </c>
      <c r="R6981" s="0" t="str">
        <f aca="false">IF($D6981&lt;&gt;"","["&amp;$E6981&amp;"]"&amp;"|"&amp;$Q6981&amp;"|"&amp;$K6981&amp;"|"&amp;$G6981&amp;"|"&amp;IF($G6981="TX_CURR_SUBNAT.R","CY2022Q4",$M6981),"")</f>
        <v>[TYnMSwzko3z]|&lt;01|Male|PLHIV_Attend.T2|CY2025Q3</v>
      </c>
    </row>
    <row r="6982" customFormat="false" ht="15" hidden="false" customHeight="false" outlineLevel="0" collapsed="false">
      <c r="D6982" s="0" t="s">
        <v>78</v>
      </c>
      <c r="E6982" s="0" t="s">
        <v>79</v>
      </c>
      <c r="F6982" s="0" t="s">
        <v>80</v>
      </c>
      <c r="G6982" s="0" t="s">
        <v>174</v>
      </c>
      <c r="H6982" s="0" t="s">
        <v>174</v>
      </c>
      <c r="I6982" s="0" t="s">
        <v>33</v>
      </c>
      <c r="J6982" s="0" t="s">
        <v>34</v>
      </c>
      <c r="K6982" s="0" t="s">
        <v>48</v>
      </c>
      <c r="L6982" s="0" t="s">
        <v>49</v>
      </c>
      <c r="M6982" s="0" t="s">
        <v>173</v>
      </c>
      <c r="N6982" s="0" t="n">
        <v>1694</v>
      </c>
      <c r="O6982" s="10" t="n">
        <v>0.43920274800621</v>
      </c>
      <c r="P6982" s="10" t="n">
        <v>0.831597982207313</v>
      </c>
      <c r="Q6982" s="0" t="str">
        <f aca="false">SUBSTITUTE(SUBSTITUTE($I6982,CHAR(61),""),CHAR(34),"")</f>
        <v>01-09</v>
      </c>
      <c r="R6982" s="0" t="str">
        <f aca="false">IF($D6982&lt;&gt;"","["&amp;$E6982&amp;"]"&amp;"|"&amp;$Q6982&amp;"|"&amp;$K6982&amp;"|"&amp;$G6982&amp;"|"&amp;IF($G6982="TX_CURR_SUBNAT.R","CY2022Q4",$M6982),"")</f>
        <v>[TYnMSwzko3z]|01-09|Male|PLHIV_Attend.T2|CY2025Q3</v>
      </c>
    </row>
    <row r="6983" customFormat="false" ht="15" hidden="false" customHeight="false" outlineLevel="0" collapsed="false">
      <c r="D6983" s="0" t="s">
        <v>78</v>
      </c>
      <c r="E6983" s="0" t="s">
        <v>79</v>
      </c>
      <c r="F6983" s="0" t="s">
        <v>80</v>
      </c>
      <c r="G6983" s="0" t="s">
        <v>174</v>
      </c>
      <c r="H6983" s="0" t="s">
        <v>174</v>
      </c>
      <c r="I6983" s="0" t="s">
        <v>36</v>
      </c>
      <c r="J6983" s="0" t="s">
        <v>37</v>
      </c>
      <c r="K6983" s="0" t="s">
        <v>48</v>
      </c>
      <c r="L6983" s="0" t="s">
        <v>49</v>
      </c>
      <c r="M6983" s="0" t="s">
        <v>173</v>
      </c>
      <c r="N6983" s="0" t="n">
        <v>1223</v>
      </c>
      <c r="O6983" s="10" t="n">
        <v>0.492957915412262</v>
      </c>
      <c r="P6983" s="10" t="n">
        <v>0.831597982207313</v>
      </c>
      <c r="Q6983" s="0" t="str">
        <f aca="false">SUBSTITUTE(SUBSTITUTE($I6983,CHAR(61),""),CHAR(34),"")</f>
        <v>10-14</v>
      </c>
      <c r="R6983" s="0" t="str">
        <f aca="false">IF($D6983&lt;&gt;"","["&amp;$E6983&amp;"]"&amp;"|"&amp;$Q6983&amp;"|"&amp;$K6983&amp;"|"&amp;$G6983&amp;"|"&amp;IF($G6983="TX_CURR_SUBNAT.R","CY2022Q4",$M6983),"")</f>
        <v>[TYnMSwzko3z]|10-14|Male|PLHIV_Attend.T2|CY2025Q3</v>
      </c>
    </row>
    <row r="6984" customFormat="false" ht="15" hidden="false" customHeight="false" outlineLevel="0" collapsed="false">
      <c r="D6984" s="0" t="s">
        <v>78</v>
      </c>
      <c r="E6984" s="0" t="s">
        <v>79</v>
      </c>
      <c r="F6984" s="0" t="s">
        <v>80</v>
      </c>
      <c r="G6984" s="0" t="s">
        <v>174</v>
      </c>
      <c r="H6984" s="0" t="s">
        <v>174</v>
      </c>
      <c r="I6984" s="0" t="s">
        <v>38</v>
      </c>
      <c r="J6984" s="0" t="s">
        <v>39</v>
      </c>
      <c r="K6984" s="0" t="s">
        <v>48</v>
      </c>
      <c r="L6984" s="0" t="s">
        <v>49</v>
      </c>
      <c r="M6984" s="0" t="s">
        <v>173</v>
      </c>
      <c r="N6984" s="0" t="n">
        <v>1324</v>
      </c>
      <c r="O6984" s="10" t="n">
        <v>0.989833799889311</v>
      </c>
      <c r="P6984" s="10" t="n">
        <v>0.831597982207313</v>
      </c>
      <c r="Q6984" s="0" t="str">
        <f aca="false">SUBSTITUTE(SUBSTITUTE($I6984,CHAR(61),""),CHAR(34),"")</f>
        <v>15-24</v>
      </c>
      <c r="R6984" s="0" t="str">
        <f aca="false">IF($D6984&lt;&gt;"","["&amp;$E6984&amp;"]"&amp;"|"&amp;$Q6984&amp;"|"&amp;$K6984&amp;"|"&amp;$G6984&amp;"|"&amp;IF($G6984="TX_CURR_SUBNAT.R","CY2022Q4",$M6984),"")</f>
        <v>[TYnMSwzko3z]|15-24|Male|PLHIV_Attend.T2|CY2025Q3</v>
      </c>
    </row>
    <row r="6985" customFormat="false" ht="15" hidden="false" customHeight="false" outlineLevel="0" collapsed="false">
      <c r="D6985" s="0" t="s">
        <v>78</v>
      </c>
      <c r="E6985" s="0" t="s">
        <v>79</v>
      </c>
      <c r="F6985" s="0" t="s">
        <v>80</v>
      </c>
      <c r="G6985" s="0" t="s">
        <v>174</v>
      </c>
      <c r="H6985" s="0" t="s">
        <v>174</v>
      </c>
      <c r="I6985" s="0" t="s">
        <v>41</v>
      </c>
      <c r="J6985" s="0" t="s">
        <v>42</v>
      </c>
      <c r="K6985" s="0" t="s">
        <v>48</v>
      </c>
      <c r="L6985" s="0" t="s">
        <v>49</v>
      </c>
      <c r="M6985" s="0" t="s">
        <v>173</v>
      </c>
      <c r="N6985" s="0" t="n">
        <v>1008</v>
      </c>
      <c r="O6985" s="10" t="n">
        <v>0.902315156068653</v>
      </c>
      <c r="P6985" s="10" t="n">
        <v>0.831597982207313</v>
      </c>
      <c r="Q6985" s="0" t="str">
        <f aca="false">SUBSTITUTE(SUBSTITUTE($I6985,CHAR(61),""),CHAR(34),"")</f>
        <v>25-34</v>
      </c>
      <c r="R6985" s="0" t="str">
        <f aca="false">IF($D6985&lt;&gt;"","["&amp;$E6985&amp;"]"&amp;"|"&amp;$Q6985&amp;"|"&amp;$K6985&amp;"|"&amp;$G6985&amp;"|"&amp;IF($G6985="TX_CURR_SUBNAT.R","CY2022Q4",$M6985),"")</f>
        <v>[TYnMSwzko3z]|25-34|Male|PLHIV_Attend.T2|CY2025Q3</v>
      </c>
    </row>
    <row r="6986" customFormat="false" ht="15" hidden="false" customHeight="false" outlineLevel="0" collapsed="false">
      <c r="D6986" s="0" t="s">
        <v>78</v>
      </c>
      <c r="E6986" s="0" t="s">
        <v>79</v>
      </c>
      <c r="F6986" s="0" t="s">
        <v>80</v>
      </c>
      <c r="G6986" s="0" t="s">
        <v>174</v>
      </c>
      <c r="H6986" s="0" t="s">
        <v>174</v>
      </c>
      <c r="I6986" s="0" t="s">
        <v>43</v>
      </c>
      <c r="J6986" s="0" t="s">
        <v>44</v>
      </c>
      <c r="K6986" s="0" t="s">
        <v>48</v>
      </c>
      <c r="L6986" s="0" t="s">
        <v>49</v>
      </c>
      <c r="M6986" s="0" t="s">
        <v>173</v>
      </c>
      <c r="N6986" s="0" t="n">
        <v>1887</v>
      </c>
      <c r="O6986" s="10" t="n">
        <v>0.337209870573133</v>
      </c>
      <c r="P6986" s="10" t="n">
        <v>0.831597982207313</v>
      </c>
      <c r="Q6986" s="0" t="str">
        <f aca="false">SUBSTITUTE(SUBSTITUTE($I6986,CHAR(61),""),CHAR(34),"")</f>
        <v>35-49</v>
      </c>
      <c r="R6986" s="0" t="str">
        <f aca="false">IF($D6986&lt;&gt;"","["&amp;$E6986&amp;"]"&amp;"|"&amp;$Q6986&amp;"|"&amp;$K6986&amp;"|"&amp;$G6986&amp;"|"&amp;IF($G6986="TX_CURR_SUBNAT.R","CY2022Q4",$M6986),"")</f>
        <v>[TYnMSwzko3z]|35-49|Male|PLHIV_Attend.T2|CY2025Q3</v>
      </c>
    </row>
    <row r="6987" customFormat="false" ht="15" hidden="false" customHeight="false" outlineLevel="0" collapsed="false">
      <c r="D6987" s="0" t="s">
        <v>78</v>
      </c>
      <c r="E6987" s="0" t="s">
        <v>79</v>
      </c>
      <c r="F6987" s="0" t="s">
        <v>80</v>
      </c>
      <c r="G6987" s="0" t="s">
        <v>174</v>
      </c>
      <c r="H6987" s="0" t="s">
        <v>174</v>
      </c>
      <c r="I6987" s="0" t="s">
        <v>45</v>
      </c>
      <c r="J6987" s="0" t="s">
        <v>46</v>
      </c>
      <c r="K6987" s="0" t="s">
        <v>48</v>
      </c>
      <c r="L6987" s="0" t="s">
        <v>49</v>
      </c>
      <c r="M6987" s="0" t="s">
        <v>173</v>
      </c>
      <c r="N6987" s="0" t="n">
        <v>1508</v>
      </c>
      <c r="O6987" s="10" t="n">
        <v>0.677232072222978</v>
      </c>
      <c r="P6987" s="10" t="n">
        <v>0.831597982207313</v>
      </c>
      <c r="Q6987" s="0" t="str">
        <f aca="false">SUBSTITUTE(SUBSTITUTE($I6987,CHAR(61),""),CHAR(34),"")</f>
        <v>50+</v>
      </c>
      <c r="R6987" s="0" t="str">
        <f aca="false">IF($D6987&lt;&gt;"","["&amp;$E6987&amp;"]"&amp;"|"&amp;$Q6987&amp;"|"&amp;$K6987&amp;"|"&amp;$G6987&amp;"|"&amp;IF($G6987="TX_CURR_SUBNAT.R","CY2022Q4",$M6987),"")</f>
        <v>[TYnMSwzko3z]|50+|Male|PLHIV_Attend.T2|CY2025Q3</v>
      </c>
    </row>
    <row r="6988" customFormat="false" ht="15" hidden="false" customHeight="false" outlineLevel="0" collapsed="false">
      <c r="D6988" s="0" t="s">
        <v>81</v>
      </c>
      <c r="E6988" s="0" t="s">
        <v>82</v>
      </c>
      <c r="F6988" s="0" t="s">
        <v>83</v>
      </c>
      <c r="G6988" s="0" t="s">
        <v>174</v>
      </c>
      <c r="H6988" s="0" t="s">
        <v>174</v>
      </c>
      <c r="I6988" s="0" t="s">
        <v>28</v>
      </c>
      <c r="J6988" s="0" t="s">
        <v>29</v>
      </c>
      <c r="K6988" s="0" t="s">
        <v>30</v>
      </c>
      <c r="L6988" s="0" t="s">
        <v>31</v>
      </c>
      <c r="M6988" s="0" t="s">
        <v>173</v>
      </c>
      <c r="N6988" s="0" t="n">
        <v>1475</v>
      </c>
      <c r="O6988" s="10" t="n">
        <v>0.759501497261226</v>
      </c>
      <c r="P6988" s="10" t="n">
        <v>0.143331421539187</v>
      </c>
      <c r="Q6988" s="0" t="str">
        <f aca="false">SUBSTITUTE(SUBSTITUTE($I6988,CHAR(61),""),CHAR(34),"")</f>
        <v>&lt;01</v>
      </c>
      <c r="R6988" s="0" t="str">
        <f aca="false">IF($D6988&lt;&gt;"","["&amp;$E6988&amp;"]"&amp;"|"&amp;$Q6988&amp;"|"&amp;$K6988&amp;"|"&amp;$G6988&amp;"|"&amp;IF($G6988="TX_CURR_SUBNAT.R","CY2022Q4",$M6988),"")</f>
        <v>[ir8wuHHzoSs]|&lt;01|Female|PLHIV_Attend.T2|CY2025Q3</v>
      </c>
    </row>
    <row r="6989" customFormat="false" ht="15" hidden="false" customHeight="false" outlineLevel="0" collapsed="false">
      <c r="D6989" s="0" t="s">
        <v>81</v>
      </c>
      <c r="E6989" s="0" t="s">
        <v>82</v>
      </c>
      <c r="F6989" s="0" t="s">
        <v>83</v>
      </c>
      <c r="G6989" s="0" t="s">
        <v>174</v>
      </c>
      <c r="H6989" s="0" t="s">
        <v>174</v>
      </c>
      <c r="I6989" s="0" t="s">
        <v>33</v>
      </c>
      <c r="J6989" s="0" t="s">
        <v>34</v>
      </c>
      <c r="K6989" s="0" t="s">
        <v>30</v>
      </c>
      <c r="L6989" s="0" t="s">
        <v>31</v>
      </c>
      <c r="M6989" s="0" t="s">
        <v>173</v>
      </c>
      <c r="N6989" s="0" t="n">
        <v>1776</v>
      </c>
      <c r="O6989" s="10" t="n">
        <v>0.0430351076647639</v>
      </c>
      <c r="P6989" s="10" t="n">
        <v>0.143331421539187</v>
      </c>
      <c r="Q6989" s="0" t="str">
        <f aca="false">SUBSTITUTE(SUBSTITUTE($I6989,CHAR(61),""),CHAR(34),"")</f>
        <v>01-09</v>
      </c>
      <c r="R6989" s="0" t="str">
        <f aca="false">IF($D6989&lt;&gt;"","["&amp;$E6989&amp;"]"&amp;"|"&amp;$Q6989&amp;"|"&amp;$K6989&amp;"|"&amp;$G6989&amp;"|"&amp;IF($G6989="TX_CURR_SUBNAT.R","CY2022Q4",$M6989),"")</f>
        <v>[ir8wuHHzoSs]|01-09|Female|PLHIV_Attend.T2|CY2025Q3</v>
      </c>
    </row>
    <row r="6990" customFormat="false" ht="15" hidden="false" customHeight="false" outlineLevel="0" collapsed="false">
      <c r="D6990" s="0" t="s">
        <v>81</v>
      </c>
      <c r="E6990" s="0" t="s">
        <v>82</v>
      </c>
      <c r="F6990" s="0" t="s">
        <v>83</v>
      </c>
      <c r="G6990" s="0" t="s">
        <v>174</v>
      </c>
      <c r="H6990" s="0" t="s">
        <v>174</v>
      </c>
      <c r="I6990" s="0" t="s">
        <v>36</v>
      </c>
      <c r="J6990" s="0" t="s">
        <v>37</v>
      </c>
      <c r="K6990" s="0" t="s">
        <v>30</v>
      </c>
      <c r="L6990" s="0" t="s">
        <v>31</v>
      </c>
      <c r="M6990" s="0" t="s">
        <v>173</v>
      </c>
      <c r="N6990" s="0" t="n">
        <v>1981</v>
      </c>
      <c r="O6990" s="10" t="n">
        <v>0.919314276659861</v>
      </c>
      <c r="P6990" s="10" t="n">
        <v>0.143331421539187</v>
      </c>
      <c r="Q6990" s="0" t="str">
        <f aca="false">SUBSTITUTE(SUBSTITUTE($I6990,CHAR(61),""),CHAR(34),"")</f>
        <v>10-14</v>
      </c>
      <c r="R6990" s="0" t="str">
        <f aca="false">IF($D6990&lt;&gt;"","["&amp;$E6990&amp;"]"&amp;"|"&amp;$Q6990&amp;"|"&amp;$K6990&amp;"|"&amp;$G6990&amp;"|"&amp;IF($G6990="TX_CURR_SUBNAT.R","CY2022Q4",$M6990),"")</f>
        <v>[ir8wuHHzoSs]|10-14|Female|PLHIV_Attend.T2|CY2025Q3</v>
      </c>
    </row>
    <row r="6991" customFormat="false" ht="15" hidden="false" customHeight="false" outlineLevel="0" collapsed="false">
      <c r="D6991" s="0" t="s">
        <v>81</v>
      </c>
      <c r="E6991" s="0" t="s">
        <v>82</v>
      </c>
      <c r="F6991" s="0" t="s">
        <v>83</v>
      </c>
      <c r="G6991" s="0" t="s">
        <v>174</v>
      </c>
      <c r="H6991" s="0" t="s">
        <v>174</v>
      </c>
      <c r="I6991" s="0" t="s">
        <v>38</v>
      </c>
      <c r="J6991" s="0" t="s">
        <v>39</v>
      </c>
      <c r="K6991" s="0" t="s">
        <v>30</v>
      </c>
      <c r="L6991" s="0" t="s">
        <v>31</v>
      </c>
      <c r="M6991" s="0" t="s">
        <v>173</v>
      </c>
      <c r="N6991" s="0" t="n">
        <v>975</v>
      </c>
      <c r="O6991" s="10" t="n">
        <v>0.833563783904538</v>
      </c>
      <c r="P6991" s="10" t="n">
        <v>0.143331421539187</v>
      </c>
      <c r="Q6991" s="0" t="str">
        <f aca="false">SUBSTITUTE(SUBSTITUTE($I6991,CHAR(61),""),CHAR(34),"")</f>
        <v>15-24</v>
      </c>
      <c r="R6991" s="0" t="str">
        <f aca="false">IF($D6991&lt;&gt;"","["&amp;$E6991&amp;"]"&amp;"|"&amp;$Q6991&amp;"|"&amp;$K6991&amp;"|"&amp;$G6991&amp;"|"&amp;IF($G6991="TX_CURR_SUBNAT.R","CY2022Q4",$M6991),"")</f>
        <v>[ir8wuHHzoSs]|15-24|Female|PLHIV_Attend.T2|CY2025Q3</v>
      </c>
    </row>
    <row r="6992" customFormat="false" ht="15" hidden="false" customHeight="false" outlineLevel="0" collapsed="false">
      <c r="D6992" s="0" t="s">
        <v>81</v>
      </c>
      <c r="E6992" s="0" t="s">
        <v>82</v>
      </c>
      <c r="F6992" s="0" t="s">
        <v>83</v>
      </c>
      <c r="G6992" s="0" t="s">
        <v>174</v>
      </c>
      <c r="H6992" s="0" t="s">
        <v>174</v>
      </c>
      <c r="I6992" s="0" t="s">
        <v>41</v>
      </c>
      <c r="J6992" s="0" t="s">
        <v>42</v>
      </c>
      <c r="K6992" s="0" t="s">
        <v>30</v>
      </c>
      <c r="L6992" s="0" t="s">
        <v>31</v>
      </c>
      <c r="M6992" s="0" t="s">
        <v>173</v>
      </c>
      <c r="N6992" s="0" t="n">
        <v>1727</v>
      </c>
      <c r="O6992" s="10" t="n">
        <v>0.581066972343251</v>
      </c>
      <c r="P6992" s="10" t="n">
        <v>0.143331421539187</v>
      </c>
      <c r="Q6992" s="0" t="str">
        <f aca="false">SUBSTITUTE(SUBSTITUTE($I6992,CHAR(61),""),CHAR(34),"")</f>
        <v>25-34</v>
      </c>
      <c r="R6992" s="0" t="str">
        <f aca="false">IF($D6992&lt;&gt;"","["&amp;$E6992&amp;"]"&amp;"|"&amp;$Q6992&amp;"|"&amp;$K6992&amp;"|"&amp;$G6992&amp;"|"&amp;IF($G6992="TX_CURR_SUBNAT.R","CY2022Q4",$M6992),"")</f>
        <v>[ir8wuHHzoSs]|25-34|Female|PLHIV_Attend.T2|CY2025Q3</v>
      </c>
    </row>
    <row r="6993" customFormat="false" ht="15" hidden="false" customHeight="false" outlineLevel="0" collapsed="false">
      <c r="D6993" s="0" t="s">
        <v>81</v>
      </c>
      <c r="E6993" s="0" t="s">
        <v>82</v>
      </c>
      <c r="F6993" s="0" t="s">
        <v>83</v>
      </c>
      <c r="G6993" s="0" t="s">
        <v>174</v>
      </c>
      <c r="H6993" s="0" t="s">
        <v>174</v>
      </c>
      <c r="I6993" s="0" t="s">
        <v>43</v>
      </c>
      <c r="J6993" s="0" t="s">
        <v>44</v>
      </c>
      <c r="K6993" s="0" t="s">
        <v>30</v>
      </c>
      <c r="L6993" s="0" t="s">
        <v>31</v>
      </c>
      <c r="M6993" s="0" t="s">
        <v>173</v>
      </c>
      <c r="N6993" s="0" t="n">
        <v>1464</v>
      </c>
      <c r="O6993" s="10" t="n">
        <v>0.564765681978315</v>
      </c>
      <c r="P6993" s="10" t="n">
        <v>0.143331421539187</v>
      </c>
      <c r="Q6993" s="0" t="str">
        <f aca="false">SUBSTITUTE(SUBSTITUTE($I6993,CHAR(61),""),CHAR(34),"")</f>
        <v>35-49</v>
      </c>
      <c r="R6993" s="0" t="str">
        <f aca="false">IF($D6993&lt;&gt;"","["&amp;$E6993&amp;"]"&amp;"|"&amp;$Q6993&amp;"|"&amp;$K6993&amp;"|"&amp;$G6993&amp;"|"&amp;IF($G6993="TX_CURR_SUBNAT.R","CY2022Q4",$M6993),"")</f>
        <v>[ir8wuHHzoSs]|35-49|Female|PLHIV_Attend.T2|CY2025Q3</v>
      </c>
    </row>
    <row r="6994" customFormat="false" ht="15" hidden="false" customHeight="false" outlineLevel="0" collapsed="false">
      <c r="D6994" s="0" t="s">
        <v>81</v>
      </c>
      <c r="E6994" s="0" t="s">
        <v>82</v>
      </c>
      <c r="F6994" s="0" t="s">
        <v>83</v>
      </c>
      <c r="G6994" s="0" t="s">
        <v>174</v>
      </c>
      <c r="H6994" s="0" t="s">
        <v>174</v>
      </c>
      <c r="I6994" s="0" t="s">
        <v>45</v>
      </c>
      <c r="J6994" s="0" t="s">
        <v>46</v>
      </c>
      <c r="K6994" s="0" t="s">
        <v>30</v>
      </c>
      <c r="L6994" s="0" t="s">
        <v>31</v>
      </c>
      <c r="M6994" s="0" t="s">
        <v>173</v>
      </c>
      <c r="N6994" s="0" t="n">
        <v>1474</v>
      </c>
      <c r="O6994" s="10" t="n">
        <v>0.56874044239521</v>
      </c>
      <c r="P6994" s="10" t="n">
        <v>0.143331421539187</v>
      </c>
      <c r="Q6994" s="0" t="str">
        <f aca="false">SUBSTITUTE(SUBSTITUTE($I6994,CHAR(61),""),CHAR(34),"")</f>
        <v>50+</v>
      </c>
      <c r="R6994" s="0" t="str">
        <f aca="false">IF($D6994&lt;&gt;"","["&amp;$E6994&amp;"]"&amp;"|"&amp;$Q6994&amp;"|"&amp;$K6994&amp;"|"&amp;$G6994&amp;"|"&amp;IF($G6994="TX_CURR_SUBNAT.R","CY2022Q4",$M6994),"")</f>
        <v>[ir8wuHHzoSs]|50+|Female|PLHIV_Attend.T2|CY2025Q3</v>
      </c>
    </row>
    <row r="6995" customFormat="false" ht="15" hidden="false" customHeight="false" outlineLevel="0" collapsed="false">
      <c r="D6995" s="0" t="s">
        <v>81</v>
      </c>
      <c r="E6995" s="0" t="s">
        <v>82</v>
      </c>
      <c r="F6995" s="0" t="s">
        <v>83</v>
      </c>
      <c r="G6995" s="0" t="s">
        <v>174</v>
      </c>
      <c r="H6995" s="0" t="s">
        <v>174</v>
      </c>
      <c r="I6995" s="0" t="s">
        <v>28</v>
      </c>
      <c r="J6995" s="0" t="s">
        <v>29</v>
      </c>
      <c r="K6995" s="0" t="s">
        <v>48</v>
      </c>
      <c r="L6995" s="0" t="s">
        <v>49</v>
      </c>
      <c r="M6995" s="0" t="s">
        <v>173</v>
      </c>
      <c r="N6995" s="0" t="n">
        <v>1778</v>
      </c>
      <c r="O6995" s="10" t="n">
        <v>0.413710028398782</v>
      </c>
      <c r="P6995" s="10" t="n">
        <v>0.143331421539187</v>
      </c>
      <c r="Q6995" s="0" t="str">
        <f aca="false">SUBSTITUTE(SUBSTITUTE($I6995,CHAR(61),""),CHAR(34),"")</f>
        <v>&lt;01</v>
      </c>
      <c r="R6995" s="0" t="str">
        <f aca="false">IF($D6995&lt;&gt;"","["&amp;$E6995&amp;"]"&amp;"|"&amp;$Q6995&amp;"|"&amp;$K6995&amp;"|"&amp;$G6995&amp;"|"&amp;IF($G6995="TX_CURR_SUBNAT.R","CY2022Q4",$M6995),"")</f>
        <v>[ir8wuHHzoSs]|&lt;01|Male|PLHIV_Attend.T2|CY2025Q3</v>
      </c>
    </row>
    <row r="6996" customFormat="false" ht="15" hidden="false" customHeight="false" outlineLevel="0" collapsed="false">
      <c r="D6996" s="0" t="s">
        <v>81</v>
      </c>
      <c r="E6996" s="0" t="s">
        <v>82</v>
      </c>
      <c r="F6996" s="0" t="s">
        <v>83</v>
      </c>
      <c r="G6996" s="0" t="s">
        <v>174</v>
      </c>
      <c r="H6996" s="0" t="s">
        <v>174</v>
      </c>
      <c r="I6996" s="0" t="s">
        <v>33</v>
      </c>
      <c r="J6996" s="0" t="s">
        <v>34</v>
      </c>
      <c r="K6996" s="0" t="s">
        <v>48</v>
      </c>
      <c r="L6996" s="0" t="s">
        <v>49</v>
      </c>
      <c r="M6996" s="0" t="s">
        <v>173</v>
      </c>
      <c r="N6996" s="0" t="n">
        <v>1640</v>
      </c>
      <c r="O6996" s="10" t="n">
        <v>0.73442783835344</v>
      </c>
      <c r="P6996" s="10" t="n">
        <v>0.143331421539187</v>
      </c>
      <c r="Q6996" s="0" t="str">
        <f aca="false">SUBSTITUTE(SUBSTITUTE($I6996,CHAR(61),""),CHAR(34),"")</f>
        <v>01-09</v>
      </c>
      <c r="R6996" s="0" t="str">
        <f aca="false">IF($D6996&lt;&gt;"","["&amp;$E6996&amp;"]"&amp;"|"&amp;$Q6996&amp;"|"&amp;$K6996&amp;"|"&amp;$G6996&amp;"|"&amp;IF($G6996="TX_CURR_SUBNAT.R","CY2022Q4",$M6996),"")</f>
        <v>[ir8wuHHzoSs]|01-09|Male|PLHIV_Attend.T2|CY2025Q3</v>
      </c>
    </row>
    <row r="6997" customFormat="false" ht="15" hidden="false" customHeight="false" outlineLevel="0" collapsed="false">
      <c r="D6997" s="0" t="s">
        <v>81</v>
      </c>
      <c r="E6997" s="0" t="s">
        <v>82</v>
      </c>
      <c r="F6997" s="0" t="s">
        <v>83</v>
      </c>
      <c r="G6997" s="0" t="s">
        <v>174</v>
      </c>
      <c r="H6997" s="0" t="s">
        <v>174</v>
      </c>
      <c r="I6997" s="0" t="s">
        <v>36</v>
      </c>
      <c r="J6997" s="0" t="s">
        <v>37</v>
      </c>
      <c r="K6997" s="0" t="s">
        <v>48</v>
      </c>
      <c r="L6997" s="0" t="s">
        <v>49</v>
      </c>
      <c r="M6997" s="0" t="s">
        <v>173</v>
      </c>
      <c r="N6997" s="0" t="n">
        <v>1326</v>
      </c>
      <c r="O6997" s="10" t="n">
        <v>0.710839275969192</v>
      </c>
      <c r="P6997" s="10" t="n">
        <v>0.143331421539187</v>
      </c>
      <c r="Q6997" s="0" t="str">
        <f aca="false">SUBSTITUTE(SUBSTITUTE($I6997,CHAR(61),""),CHAR(34),"")</f>
        <v>10-14</v>
      </c>
      <c r="R6997" s="0" t="str">
        <f aca="false">IF($D6997&lt;&gt;"","["&amp;$E6997&amp;"]"&amp;"|"&amp;$Q6997&amp;"|"&amp;$K6997&amp;"|"&amp;$G6997&amp;"|"&amp;IF($G6997="TX_CURR_SUBNAT.R","CY2022Q4",$M6997),"")</f>
        <v>[ir8wuHHzoSs]|10-14|Male|PLHIV_Attend.T2|CY2025Q3</v>
      </c>
    </row>
    <row r="6998" customFormat="false" ht="15" hidden="false" customHeight="false" outlineLevel="0" collapsed="false">
      <c r="D6998" s="0" t="s">
        <v>81</v>
      </c>
      <c r="E6998" s="0" t="s">
        <v>82</v>
      </c>
      <c r="F6998" s="0" t="s">
        <v>83</v>
      </c>
      <c r="G6998" s="0" t="s">
        <v>174</v>
      </c>
      <c r="H6998" s="0" t="s">
        <v>174</v>
      </c>
      <c r="I6998" s="0" t="s">
        <v>38</v>
      </c>
      <c r="J6998" s="0" t="s">
        <v>39</v>
      </c>
      <c r="K6998" s="0" t="s">
        <v>48</v>
      </c>
      <c r="L6998" s="0" t="s">
        <v>49</v>
      </c>
      <c r="M6998" s="0" t="s">
        <v>173</v>
      </c>
      <c r="N6998" s="0" t="n">
        <v>1383</v>
      </c>
      <c r="O6998" s="10" t="n">
        <v>0.935491477837786</v>
      </c>
      <c r="P6998" s="10" t="n">
        <v>0.143331421539187</v>
      </c>
      <c r="Q6998" s="0" t="str">
        <f aca="false">SUBSTITUTE(SUBSTITUTE($I6998,CHAR(61),""),CHAR(34),"")</f>
        <v>15-24</v>
      </c>
      <c r="R6998" s="0" t="str">
        <f aca="false">IF($D6998&lt;&gt;"","["&amp;$E6998&amp;"]"&amp;"|"&amp;$Q6998&amp;"|"&amp;$K6998&amp;"|"&amp;$G6998&amp;"|"&amp;IF($G6998="TX_CURR_SUBNAT.R","CY2022Q4",$M6998),"")</f>
        <v>[ir8wuHHzoSs]|15-24|Male|PLHIV_Attend.T2|CY2025Q3</v>
      </c>
    </row>
    <row r="6999" customFormat="false" ht="15" hidden="false" customHeight="false" outlineLevel="0" collapsed="false">
      <c r="D6999" s="0" t="s">
        <v>81</v>
      </c>
      <c r="E6999" s="0" t="s">
        <v>82</v>
      </c>
      <c r="F6999" s="0" t="s">
        <v>83</v>
      </c>
      <c r="G6999" s="0" t="s">
        <v>174</v>
      </c>
      <c r="H6999" s="0" t="s">
        <v>174</v>
      </c>
      <c r="I6999" s="0" t="s">
        <v>41</v>
      </c>
      <c r="J6999" s="0" t="s">
        <v>42</v>
      </c>
      <c r="K6999" s="0" t="s">
        <v>48</v>
      </c>
      <c r="L6999" s="0" t="s">
        <v>49</v>
      </c>
      <c r="M6999" s="0" t="s">
        <v>173</v>
      </c>
      <c r="N6999" s="0" t="n">
        <v>1720</v>
      </c>
      <c r="O6999" s="10" t="n">
        <v>0.0158223977778107</v>
      </c>
      <c r="P6999" s="10" t="n">
        <v>0.143331421539187</v>
      </c>
      <c r="Q6999" s="0" t="str">
        <f aca="false">SUBSTITUTE(SUBSTITUTE($I6999,CHAR(61),""),CHAR(34),"")</f>
        <v>25-34</v>
      </c>
      <c r="R6999" s="0" t="str">
        <f aca="false">IF($D6999&lt;&gt;"","["&amp;$E6999&amp;"]"&amp;"|"&amp;$Q6999&amp;"|"&amp;$K6999&amp;"|"&amp;$G6999&amp;"|"&amp;IF($G6999="TX_CURR_SUBNAT.R","CY2022Q4",$M6999),"")</f>
        <v>[ir8wuHHzoSs]|25-34|Male|PLHIV_Attend.T2|CY2025Q3</v>
      </c>
    </row>
    <row r="7000" customFormat="false" ht="15" hidden="false" customHeight="false" outlineLevel="0" collapsed="false">
      <c r="D7000" s="0" t="s">
        <v>81</v>
      </c>
      <c r="E7000" s="0" t="s">
        <v>82</v>
      </c>
      <c r="F7000" s="0" t="s">
        <v>83</v>
      </c>
      <c r="G7000" s="0" t="s">
        <v>174</v>
      </c>
      <c r="H7000" s="0" t="s">
        <v>174</v>
      </c>
      <c r="I7000" s="0" t="s">
        <v>43</v>
      </c>
      <c r="J7000" s="0" t="s">
        <v>44</v>
      </c>
      <c r="K7000" s="0" t="s">
        <v>48</v>
      </c>
      <c r="L7000" s="0" t="s">
        <v>49</v>
      </c>
      <c r="M7000" s="0" t="s">
        <v>173</v>
      </c>
      <c r="N7000" s="0" t="n">
        <v>1931</v>
      </c>
      <c r="O7000" s="10" t="n">
        <v>0.11926120868884</v>
      </c>
      <c r="P7000" s="10" t="n">
        <v>0.143331421539187</v>
      </c>
      <c r="Q7000" s="0" t="str">
        <f aca="false">SUBSTITUTE(SUBSTITUTE($I7000,CHAR(61),""),CHAR(34),"")</f>
        <v>35-49</v>
      </c>
      <c r="R7000" s="0" t="str">
        <f aca="false">IF($D7000&lt;&gt;"","["&amp;$E7000&amp;"]"&amp;"|"&amp;$Q7000&amp;"|"&amp;$K7000&amp;"|"&amp;$G7000&amp;"|"&amp;IF($G7000="TX_CURR_SUBNAT.R","CY2022Q4",$M7000),"")</f>
        <v>[ir8wuHHzoSs]|35-49|Male|PLHIV_Attend.T2|CY2025Q3</v>
      </c>
    </row>
    <row r="7001" customFormat="false" ht="15" hidden="false" customHeight="false" outlineLevel="0" collapsed="false">
      <c r="D7001" s="0" t="s">
        <v>81</v>
      </c>
      <c r="E7001" s="0" t="s">
        <v>82</v>
      </c>
      <c r="F7001" s="0" t="s">
        <v>83</v>
      </c>
      <c r="G7001" s="0" t="s">
        <v>174</v>
      </c>
      <c r="H7001" s="0" t="s">
        <v>174</v>
      </c>
      <c r="I7001" s="0" t="s">
        <v>45</v>
      </c>
      <c r="J7001" s="0" t="s">
        <v>46</v>
      </c>
      <c r="K7001" s="0" t="s">
        <v>48</v>
      </c>
      <c r="L7001" s="0" t="s">
        <v>49</v>
      </c>
      <c r="M7001" s="0" t="s">
        <v>173</v>
      </c>
      <c r="N7001" s="0" t="n">
        <v>1852</v>
      </c>
      <c r="O7001" s="10" t="n">
        <v>0.425306945340708</v>
      </c>
      <c r="P7001" s="10" t="n">
        <v>0.143331421539187</v>
      </c>
      <c r="Q7001" s="0" t="str">
        <f aca="false">SUBSTITUTE(SUBSTITUTE($I7001,CHAR(61),""),CHAR(34),"")</f>
        <v>50+</v>
      </c>
      <c r="R7001" s="0" t="str">
        <f aca="false">IF($D7001&lt;&gt;"","["&amp;$E7001&amp;"]"&amp;"|"&amp;$Q7001&amp;"|"&amp;$K7001&amp;"|"&amp;$G7001&amp;"|"&amp;IF($G7001="TX_CURR_SUBNAT.R","CY2022Q4",$M7001),"")</f>
        <v>[ir8wuHHzoSs]|50+|Male|PLHIV_Attend.T2|CY2025Q3</v>
      </c>
    </row>
    <row r="7002" customFormat="false" ht="15" hidden="false" customHeight="false" outlineLevel="0" collapsed="false">
      <c r="D7002" s="0" t="s">
        <v>84</v>
      </c>
      <c r="E7002" s="0" t="s">
        <v>85</v>
      </c>
      <c r="F7002" s="0" t="s">
        <v>86</v>
      </c>
      <c r="G7002" s="0" t="s">
        <v>174</v>
      </c>
      <c r="H7002" s="0" t="s">
        <v>174</v>
      </c>
      <c r="I7002" s="0" t="s">
        <v>28</v>
      </c>
      <c r="J7002" s="0" t="s">
        <v>29</v>
      </c>
      <c r="K7002" s="0" t="s">
        <v>30</v>
      </c>
      <c r="L7002" s="0" t="s">
        <v>31</v>
      </c>
      <c r="M7002" s="0" t="s">
        <v>173</v>
      </c>
      <c r="N7002" s="0" t="n">
        <v>961</v>
      </c>
      <c r="O7002" s="10" t="n">
        <v>0.998669584281743</v>
      </c>
      <c r="P7002" s="10" t="n">
        <v>0.0297887143678963</v>
      </c>
      <c r="Q7002" s="0" t="str">
        <f aca="false">SUBSTITUTE(SUBSTITUTE($I7002,CHAR(61),""),CHAR(34),"")</f>
        <v>&lt;01</v>
      </c>
      <c r="R7002" s="0" t="str">
        <f aca="false">IF($D7002&lt;&gt;"","["&amp;$E7002&amp;"]"&amp;"|"&amp;$Q7002&amp;"|"&amp;$K7002&amp;"|"&amp;$G7002&amp;"|"&amp;IF($G7002="TX_CURR_SUBNAT.R","CY2022Q4",$M7002),"")</f>
        <v>[fyEoGEPERdI]|&lt;01|Female|PLHIV_Attend.T2|CY2025Q3</v>
      </c>
    </row>
    <row r="7003" customFormat="false" ht="15" hidden="false" customHeight="false" outlineLevel="0" collapsed="false">
      <c r="D7003" s="0" t="s">
        <v>84</v>
      </c>
      <c r="E7003" s="0" t="s">
        <v>85</v>
      </c>
      <c r="F7003" s="0" t="s">
        <v>86</v>
      </c>
      <c r="G7003" s="0" t="s">
        <v>174</v>
      </c>
      <c r="H7003" s="0" t="s">
        <v>174</v>
      </c>
      <c r="I7003" s="0" t="s">
        <v>33</v>
      </c>
      <c r="J7003" s="0" t="s">
        <v>34</v>
      </c>
      <c r="K7003" s="0" t="s">
        <v>30</v>
      </c>
      <c r="L7003" s="0" t="s">
        <v>31</v>
      </c>
      <c r="M7003" s="0" t="s">
        <v>173</v>
      </c>
      <c r="N7003" s="0" t="n">
        <v>1600</v>
      </c>
      <c r="O7003" s="10" t="n">
        <v>0.333236250095069</v>
      </c>
      <c r="P7003" s="10" t="n">
        <v>0.0297887143678963</v>
      </c>
      <c r="Q7003" s="0" t="str">
        <f aca="false">SUBSTITUTE(SUBSTITUTE($I7003,CHAR(61),""),CHAR(34),"")</f>
        <v>01-09</v>
      </c>
      <c r="R7003" s="0" t="str">
        <f aca="false">IF($D7003&lt;&gt;"","["&amp;$E7003&amp;"]"&amp;"|"&amp;$Q7003&amp;"|"&amp;$K7003&amp;"|"&amp;$G7003&amp;"|"&amp;IF($G7003="TX_CURR_SUBNAT.R","CY2022Q4",$M7003),"")</f>
        <v>[fyEoGEPERdI]|01-09|Female|PLHIV_Attend.T2|CY2025Q3</v>
      </c>
    </row>
    <row r="7004" customFormat="false" ht="15" hidden="false" customHeight="false" outlineLevel="0" collapsed="false">
      <c r="D7004" s="0" t="s">
        <v>84</v>
      </c>
      <c r="E7004" s="0" t="s">
        <v>85</v>
      </c>
      <c r="F7004" s="0" t="s">
        <v>86</v>
      </c>
      <c r="G7004" s="0" t="s">
        <v>174</v>
      </c>
      <c r="H7004" s="0" t="s">
        <v>174</v>
      </c>
      <c r="I7004" s="0" t="s">
        <v>36</v>
      </c>
      <c r="J7004" s="0" t="s">
        <v>37</v>
      </c>
      <c r="K7004" s="0" t="s">
        <v>30</v>
      </c>
      <c r="L7004" s="0" t="s">
        <v>31</v>
      </c>
      <c r="M7004" s="0" t="s">
        <v>173</v>
      </c>
      <c r="N7004" s="0" t="n">
        <v>1761</v>
      </c>
      <c r="O7004" s="10" t="n">
        <v>0.36422802391462</v>
      </c>
      <c r="P7004" s="10" t="n">
        <v>0.0297887143678963</v>
      </c>
      <c r="Q7004" s="0" t="str">
        <f aca="false">SUBSTITUTE(SUBSTITUTE($I7004,CHAR(61),""),CHAR(34),"")</f>
        <v>10-14</v>
      </c>
      <c r="R7004" s="0" t="str">
        <f aca="false">IF($D7004&lt;&gt;"","["&amp;$E7004&amp;"]"&amp;"|"&amp;$Q7004&amp;"|"&amp;$K7004&amp;"|"&amp;$G7004&amp;"|"&amp;IF($G7004="TX_CURR_SUBNAT.R","CY2022Q4",$M7004),"")</f>
        <v>[fyEoGEPERdI]|10-14|Female|PLHIV_Attend.T2|CY2025Q3</v>
      </c>
    </row>
    <row r="7005" customFormat="false" ht="15" hidden="false" customHeight="false" outlineLevel="0" collapsed="false">
      <c r="D7005" s="0" t="s">
        <v>84</v>
      </c>
      <c r="E7005" s="0" t="s">
        <v>85</v>
      </c>
      <c r="F7005" s="0" t="s">
        <v>86</v>
      </c>
      <c r="G7005" s="0" t="s">
        <v>174</v>
      </c>
      <c r="H7005" s="0" t="s">
        <v>174</v>
      </c>
      <c r="I7005" s="0" t="s">
        <v>38</v>
      </c>
      <c r="J7005" s="0" t="s">
        <v>39</v>
      </c>
      <c r="K7005" s="0" t="s">
        <v>30</v>
      </c>
      <c r="L7005" s="0" t="s">
        <v>31</v>
      </c>
      <c r="M7005" s="0" t="s">
        <v>173</v>
      </c>
      <c r="N7005" s="0" t="n">
        <v>680</v>
      </c>
      <c r="O7005" s="10" t="n">
        <v>0.254281148780137</v>
      </c>
      <c r="P7005" s="10" t="n">
        <v>0.0297887143678963</v>
      </c>
      <c r="Q7005" s="0" t="str">
        <f aca="false">SUBSTITUTE(SUBSTITUTE($I7005,CHAR(61),""),CHAR(34),"")</f>
        <v>15-24</v>
      </c>
      <c r="R7005" s="0" t="str">
        <f aca="false">IF($D7005&lt;&gt;"","["&amp;$E7005&amp;"]"&amp;"|"&amp;$Q7005&amp;"|"&amp;$K7005&amp;"|"&amp;$G7005&amp;"|"&amp;IF($G7005="TX_CURR_SUBNAT.R","CY2022Q4",$M7005),"")</f>
        <v>[fyEoGEPERdI]|15-24|Female|PLHIV_Attend.T2|CY2025Q3</v>
      </c>
    </row>
    <row r="7006" customFormat="false" ht="15" hidden="false" customHeight="false" outlineLevel="0" collapsed="false">
      <c r="D7006" s="0" t="s">
        <v>84</v>
      </c>
      <c r="E7006" s="0" t="s">
        <v>85</v>
      </c>
      <c r="F7006" s="0" t="s">
        <v>86</v>
      </c>
      <c r="G7006" s="0" t="s">
        <v>174</v>
      </c>
      <c r="H7006" s="0" t="s">
        <v>174</v>
      </c>
      <c r="I7006" s="0" t="s">
        <v>41</v>
      </c>
      <c r="J7006" s="0" t="s">
        <v>42</v>
      </c>
      <c r="K7006" s="0" t="s">
        <v>30</v>
      </c>
      <c r="L7006" s="0" t="s">
        <v>31</v>
      </c>
      <c r="M7006" s="0" t="s">
        <v>173</v>
      </c>
      <c r="N7006" s="0" t="n">
        <v>1375</v>
      </c>
      <c r="O7006" s="10" t="n">
        <v>0.25991895981133</v>
      </c>
      <c r="P7006" s="10" t="n">
        <v>0.0297887143678963</v>
      </c>
      <c r="Q7006" s="0" t="str">
        <f aca="false">SUBSTITUTE(SUBSTITUTE($I7006,CHAR(61),""),CHAR(34),"")</f>
        <v>25-34</v>
      </c>
      <c r="R7006" s="0" t="str">
        <f aca="false">IF($D7006&lt;&gt;"","["&amp;$E7006&amp;"]"&amp;"|"&amp;$Q7006&amp;"|"&amp;$K7006&amp;"|"&amp;$G7006&amp;"|"&amp;IF($G7006="TX_CURR_SUBNAT.R","CY2022Q4",$M7006),"")</f>
        <v>[fyEoGEPERdI]|25-34|Female|PLHIV_Attend.T2|CY2025Q3</v>
      </c>
    </row>
    <row r="7007" customFormat="false" ht="15" hidden="false" customHeight="false" outlineLevel="0" collapsed="false">
      <c r="D7007" s="0" t="s">
        <v>84</v>
      </c>
      <c r="E7007" s="0" t="s">
        <v>85</v>
      </c>
      <c r="F7007" s="0" t="s">
        <v>86</v>
      </c>
      <c r="G7007" s="0" t="s">
        <v>174</v>
      </c>
      <c r="H7007" s="0" t="s">
        <v>174</v>
      </c>
      <c r="I7007" s="0" t="s">
        <v>43</v>
      </c>
      <c r="J7007" s="0" t="s">
        <v>44</v>
      </c>
      <c r="K7007" s="0" t="s">
        <v>30</v>
      </c>
      <c r="L7007" s="0" t="s">
        <v>31</v>
      </c>
      <c r="M7007" s="0" t="s">
        <v>173</v>
      </c>
      <c r="N7007" s="0" t="n">
        <v>955</v>
      </c>
      <c r="O7007" s="10" t="n">
        <v>0.0171448953915387</v>
      </c>
      <c r="P7007" s="10" t="n">
        <v>0.0297887143678963</v>
      </c>
      <c r="Q7007" s="0" t="str">
        <f aca="false">SUBSTITUTE(SUBSTITUTE($I7007,CHAR(61),""),CHAR(34),"")</f>
        <v>35-49</v>
      </c>
      <c r="R7007" s="0" t="str">
        <f aca="false">IF($D7007&lt;&gt;"","["&amp;$E7007&amp;"]"&amp;"|"&amp;$Q7007&amp;"|"&amp;$K7007&amp;"|"&amp;$G7007&amp;"|"&amp;IF($G7007="TX_CURR_SUBNAT.R","CY2022Q4",$M7007),"")</f>
        <v>[fyEoGEPERdI]|35-49|Female|PLHIV_Attend.T2|CY2025Q3</v>
      </c>
    </row>
    <row r="7008" customFormat="false" ht="15" hidden="false" customHeight="false" outlineLevel="0" collapsed="false">
      <c r="D7008" s="0" t="s">
        <v>84</v>
      </c>
      <c r="E7008" s="0" t="s">
        <v>85</v>
      </c>
      <c r="F7008" s="0" t="s">
        <v>86</v>
      </c>
      <c r="G7008" s="0" t="s">
        <v>174</v>
      </c>
      <c r="H7008" s="0" t="s">
        <v>174</v>
      </c>
      <c r="I7008" s="0" t="s">
        <v>45</v>
      </c>
      <c r="J7008" s="0" t="s">
        <v>46</v>
      </c>
      <c r="K7008" s="0" t="s">
        <v>30</v>
      </c>
      <c r="L7008" s="0" t="s">
        <v>31</v>
      </c>
      <c r="M7008" s="0" t="s">
        <v>173</v>
      </c>
      <c r="N7008" s="0" t="n">
        <v>995</v>
      </c>
      <c r="O7008" s="10" t="n">
        <v>0.630597055191174</v>
      </c>
      <c r="P7008" s="10" t="n">
        <v>0.0297887143678963</v>
      </c>
      <c r="Q7008" s="0" t="str">
        <f aca="false">SUBSTITUTE(SUBSTITUTE($I7008,CHAR(61),""),CHAR(34),"")</f>
        <v>50+</v>
      </c>
      <c r="R7008" s="0" t="str">
        <f aca="false">IF($D7008&lt;&gt;"","["&amp;$E7008&amp;"]"&amp;"|"&amp;$Q7008&amp;"|"&amp;$K7008&amp;"|"&amp;$G7008&amp;"|"&amp;IF($G7008="TX_CURR_SUBNAT.R","CY2022Q4",$M7008),"")</f>
        <v>[fyEoGEPERdI]|50+|Female|PLHIV_Attend.T2|CY2025Q3</v>
      </c>
    </row>
    <row r="7009" customFormat="false" ht="15" hidden="false" customHeight="false" outlineLevel="0" collapsed="false">
      <c r="D7009" s="0" t="s">
        <v>84</v>
      </c>
      <c r="E7009" s="0" t="s">
        <v>85</v>
      </c>
      <c r="F7009" s="0" t="s">
        <v>86</v>
      </c>
      <c r="G7009" s="0" t="s">
        <v>174</v>
      </c>
      <c r="H7009" s="0" t="s">
        <v>174</v>
      </c>
      <c r="I7009" s="0" t="s">
        <v>28</v>
      </c>
      <c r="J7009" s="0" t="s">
        <v>29</v>
      </c>
      <c r="K7009" s="0" t="s">
        <v>48</v>
      </c>
      <c r="L7009" s="0" t="s">
        <v>49</v>
      </c>
      <c r="M7009" s="0" t="s">
        <v>173</v>
      </c>
      <c r="N7009" s="0" t="n">
        <v>1127</v>
      </c>
      <c r="O7009" s="10" t="n">
        <v>0.434827599907294</v>
      </c>
      <c r="P7009" s="10" t="n">
        <v>0.0297887143678963</v>
      </c>
      <c r="Q7009" s="0" t="str">
        <f aca="false">SUBSTITUTE(SUBSTITUTE($I7009,CHAR(61),""),CHAR(34),"")</f>
        <v>&lt;01</v>
      </c>
      <c r="R7009" s="0" t="str">
        <f aca="false">IF($D7009&lt;&gt;"","["&amp;$E7009&amp;"]"&amp;"|"&amp;$Q7009&amp;"|"&amp;$K7009&amp;"|"&amp;$G7009&amp;"|"&amp;IF($G7009="TX_CURR_SUBNAT.R","CY2022Q4",$M7009),"")</f>
        <v>[fyEoGEPERdI]|&lt;01|Male|PLHIV_Attend.T2|CY2025Q3</v>
      </c>
    </row>
    <row r="7010" customFormat="false" ht="15" hidden="false" customHeight="false" outlineLevel="0" collapsed="false">
      <c r="D7010" s="0" t="s">
        <v>84</v>
      </c>
      <c r="E7010" s="0" t="s">
        <v>85</v>
      </c>
      <c r="F7010" s="0" t="s">
        <v>86</v>
      </c>
      <c r="G7010" s="0" t="s">
        <v>174</v>
      </c>
      <c r="H7010" s="0" t="s">
        <v>174</v>
      </c>
      <c r="I7010" s="0" t="s">
        <v>33</v>
      </c>
      <c r="J7010" s="0" t="s">
        <v>34</v>
      </c>
      <c r="K7010" s="0" t="s">
        <v>48</v>
      </c>
      <c r="L7010" s="0" t="s">
        <v>49</v>
      </c>
      <c r="M7010" s="0" t="s">
        <v>173</v>
      </c>
      <c r="N7010" s="0" t="n">
        <v>1218</v>
      </c>
      <c r="O7010" s="10" t="n">
        <v>0.484368603210896</v>
      </c>
      <c r="P7010" s="10" t="n">
        <v>0.0297887143678963</v>
      </c>
      <c r="Q7010" s="0" t="str">
        <f aca="false">SUBSTITUTE(SUBSTITUTE($I7010,CHAR(61),""),CHAR(34),"")</f>
        <v>01-09</v>
      </c>
      <c r="R7010" s="0" t="str">
        <f aca="false">IF($D7010&lt;&gt;"","["&amp;$E7010&amp;"]"&amp;"|"&amp;$Q7010&amp;"|"&amp;$K7010&amp;"|"&amp;$G7010&amp;"|"&amp;IF($G7010="TX_CURR_SUBNAT.R","CY2022Q4",$M7010),"")</f>
        <v>[fyEoGEPERdI]|01-09|Male|PLHIV_Attend.T2|CY2025Q3</v>
      </c>
    </row>
    <row r="7011" customFormat="false" ht="15" hidden="false" customHeight="false" outlineLevel="0" collapsed="false">
      <c r="D7011" s="0" t="s">
        <v>84</v>
      </c>
      <c r="E7011" s="0" t="s">
        <v>85</v>
      </c>
      <c r="F7011" s="0" t="s">
        <v>86</v>
      </c>
      <c r="G7011" s="0" t="s">
        <v>174</v>
      </c>
      <c r="H7011" s="0" t="s">
        <v>174</v>
      </c>
      <c r="I7011" s="0" t="s">
        <v>36</v>
      </c>
      <c r="J7011" s="0" t="s">
        <v>37</v>
      </c>
      <c r="K7011" s="0" t="s">
        <v>48</v>
      </c>
      <c r="L7011" s="0" t="s">
        <v>49</v>
      </c>
      <c r="M7011" s="0" t="s">
        <v>173</v>
      </c>
      <c r="N7011" s="0" t="n">
        <v>860</v>
      </c>
      <c r="O7011" s="10" t="n">
        <v>0.68832400906831</v>
      </c>
      <c r="P7011" s="10" t="n">
        <v>0.0297887143678963</v>
      </c>
      <c r="Q7011" s="0" t="str">
        <f aca="false">SUBSTITUTE(SUBSTITUTE($I7011,CHAR(61),""),CHAR(34),"")</f>
        <v>10-14</v>
      </c>
      <c r="R7011" s="0" t="str">
        <f aca="false">IF($D7011&lt;&gt;"","["&amp;$E7011&amp;"]"&amp;"|"&amp;$Q7011&amp;"|"&amp;$K7011&amp;"|"&amp;$G7011&amp;"|"&amp;IF($G7011="TX_CURR_SUBNAT.R","CY2022Q4",$M7011),"")</f>
        <v>[fyEoGEPERdI]|10-14|Male|PLHIV_Attend.T2|CY2025Q3</v>
      </c>
    </row>
    <row r="7012" customFormat="false" ht="15" hidden="false" customHeight="false" outlineLevel="0" collapsed="false">
      <c r="D7012" s="0" t="s">
        <v>84</v>
      </c>
      <c r="E7012" s="0" t="s">
        <v>85</v>
      </c>
      <c r="F7012" s="0" t="s">
        <v>86</v>
      </c>
      <c r="G7012" s="0" t="s">
        <v>174</v>
      </c>
      <c r="H7012" s="0" t="s">
        <v>174</v>
      </c>
      <c r="I7012" s="0" t="s">
        <v>38</v>
      </c>
      <c r="J7012" s="0" t="s">
        <v>39</v>
      </c>
      <c r="K7012" s="0" t="s">
        <v>48</v>
      </c>
      <c r="L7012" s="0" t="s">
        <v>49</v>
      </c>
      <c r="M7012" s="0" t="s">
        <v>173</v>
      </c>
      <c r="N7012" s="0" t="n">
        <v>1531</v>
      </c>
      <c r="O7012" s="10" t="n">
        <v>0.843607327435166</v>
      </c>
      <c r="P7012" s="10" t="n">
        <v>0.0297887143678963</v>
      </c>
      <c r="Q7012" s="0" t="str">
        <f aca="false">SUBSTITUTE(SUBSTITUTE($I7012,CHAR(61),""),CHAR(34),"")</f>
        <v>15-24</v>
      </c>
      <c r="R7012" s="0" t="str">
        <f aca="false">IF($D7012&lt;&gt;"","["&amp;$E7012&amp;"]"&amp;"|"&amp;$Q7012&amp;"|"&amp;$K7012&amp;"|"&amp;$G7012&amp;"|"&amp;IF($G7012="TX_CURR_SUBNAT.R","CY2022Q4",$M7012),"")</f>
        <v>[fyEoGEPERdI]|15-24|Male|PLHIV_Attend.T2|CY2025Q3</v>
      </c>
    </row>
    <row r="7013" customFormat="false" ht="15" hidden="false" customHeight="false" outlineLevel="0" collapsed="false">
      <c r="D7013" s="0" t="s">
        <v>84</v>
      </c>
      <c r="E7013" s="0" t="s">
        <v>85</v>
      </c>
      <c r="F7013" s="0" t="s">
        <v>86</v>
      </c>
      <c r="G7013" s="0" t="s">
        <v>174</v>
      </c>
      <c r="H7013" s="0" t="s">
        <v>174</v>
      </c>
      <c r="I7013" s="0" t="s">
        <v>41</v>
      </c>
      <c r="J7013" s="0" t="s">
        <v>42</v>
      </c>
      <c r="K7013" s="0" t="s">
        <v>48</v>
      </c>
      <c r="L7013" s="0" t="s">
        <v>49</v>
      </c>
      <c r="M7013" s="0" t="s">
        <v>173</v>
      </c>
      <c r="N7013" s="0" t="n">
        <v>1868</v>
      </c>
      <c r="O7013" s="10" t="n">
        <v>0.40602825419046</v>
      </c>
      <c r="P7013" s="10" t="n">
        <v>0.0297887143678963</v>
      </c>
      <c r="Q7013" s="0" t="str">
        <f aca="false">SUBSTITUTE(SUBSTITUTE($I7013,CHAR(61),""),CHAR(34),"")</f>
        <v>25-34</v>
      </c>
      <c r="R7013" s="0" t="str">
        <f aca="false">IF($D7013&lt;&gt;"","["&amp;$E7013&amp;"]"&amp;"|"&amp;$Q7013&amp;"|"&amp;$K7013&amp;"|"&amp;$G7013&amp;"|"&amp;IF($G7013="TX_CURR_SUBNAT.R","CY2022Q4",$M7013),"")</f>
        <v>[fyEoGEPERdI]|25-34|Male|PLHIV_Attend.T2|CY2025Q3</v>
      </c>
    </row>
    <row r="7014" customFormat="false" ht="15" hidden="false" customHeight="false" outlineLevel="0" collapsed="false">
      <c r="D7014" s="0" t="s">
        <v>84</v>
      </c>
      <c r="E7014" s="0" t="s">
        <v>85</v>
      </c>
      <c r="F7014" s="0" t="s">
        <v>86</v>
      </c>
      <c r="G7014" s="0" t="s">
        <v>174</v>
      </c>
      <c r="H7014" s="0" t="s">
        <v>174</v>
      </c>
      <c r="I7014" s="0" t="s">
        <v>43</v>
      </c>
      <c r="J7014" s="0" t="s">
        <v>44</v>
      </c>
      <c r="K7014" s="0" t="s">
        <v>48</v>
      </c>
      <c r="L7014" s="0" t="s">
        <v>49</v>
      </c>
      <c r="M7014" s="0" t="s">
        <v>173</v>
      </c>
      <c r="N7014" s="0" t="n">
        <v>1475</v>
      </c>
      <c r="O7014" s="10" t="n">
        <v>0.852372622583061</v>
      </c>
      <c r="P7014" s="10" t="n">
        <v>0.0297887143678963</v>
      </c>
      <c r="Q7014" s="0" t="str">
        <f aca="false">SUBSTITUTE(SUBSTITUTE($I7014,CHAR(61),""),CHAR(34),"")</f>
        <v>35-49</v>
      </c>
      <c r="R7014" s="0" t="str">
        <f aca="false">IF($D7014&lt;&gt;"","["&amp;$E7014&amp;"]"&amp;"|"&amp;$Q7014&amp;"|"&amp;$K7014&amp;"|"&amp;$G7014&amp;"|"&amp;IF($G7014="TX_CURR_SUBNAT.R","CY2022Q4",$M7014),"")</f>
        <v>[fyEoGEPERdI]|35-49|Male|PLHIV_Attend.T2|CY2025Q3</v>
      </c>
    </row>
    <row r="7015" customFormat="false" ht="15" hidden="false" customHeight="false" outlineLevel="0" collapsed="false">
      <c r="D7015" s="0" t="s">
        <v>84</v>
      </c>
      <c r="E7015" s="0" t="s">
        <v>85</v>
      </c>
      <c r="F7015" s="0" t="s">
        <v>86</v>
      </c>
      <c r="G7015" s="0" t="s">
        <v>174</v>
      </c>
      <c r="H7015" s="0" t="s">
        <v>174</v>
      </c>
      <c r="I7015" s="0" t="s">
        <v>45</v>
      </c>
      <c r="J7015" s="0" t="s">
        <v>46</v>
      </c>
      <c r="K7015" s="0" t="s">
        <v>48</v>
      </c>
      <c r="L7015" s="0" t="s">
        <v>49</v>
      </c>
      <c r="M7015" s="0" t="s">
        <v>173</v>
      </c>
      <c r="N7015" s="0" t="n">
        <v>1053</v>
      </c>
      <c r="O7015" s="10" t="n">
        <v>0.112098515499383</v>
      </c>
      <c r="P7015" s="10" t="n">
        <v>0.0297887143678963</v>
      </c>
      <c r="Q7015" s="0" t="str">
        <f aca="false">SUBSTITUTE(SUBSTITUTE($I7015,CHAR(61),""),CHAR(34),"")</f>
        <v>50+</v>
      </c>
      <c r="R7015" s="0" t="str">
        <f aca="false">IF($D7015&lt;&gt;"","["&amp;$E7015&amp;"]"&amp;"|"&amp;$Q7015&amp;"|"&amp;$K7015&amp;"|"&amp;$G7015&amp;"|"&amp;IF($G7015="TX_CURR_SUBNAT.R","CY2022Q4",$M7015),"")</f>
        <v>[fyEoGEPERdI]|50+|Male|PLHIV_Attend.T2|CY2025Q3</v>
      </c>
    </row>
    <row r="7016" customFormat="false" ht="15" hidden="false" customHeight="false" outlineLevel="0" collapsed="false">
      <c r="D7016" s="0" t="s">
        <v>87</v>
      </c>
      <c r="E7016" s="0" t="s">
        <v>88</v>
      </c>
      <c r="F7016" s="0" t="s">
        <v>89</v>
      </c>
      <c r="G7016" s="0" t="s">
        <v>174</v>
      </c>
      <c r="H7016" s="0" t="s">
        <v>174</v>
      </c>
      <c r="I7016" s="0" t="s">
        <v>28</v>
      </c>
      <c r="J7016" s="0" t="s">
        <v>29</v>
      </c>
      <c r="K7016" s="0" t="s">
        <v>30</v>
      </c>
      <c r="L7016" s="0" t="s">
        <v>31</v>
      </c>
      <c r="M7016" s="0" t="s">
        <v>173</v>
      </c>
      <c r="N7016" s="0" t="n">
        <v>567</v>
      </c>
      <c r="O7016" s="10" t="n">
        <v>0.656361759174615</v>
      </c>
      <c r="P7016" s="10" t="n">
        <v>0.133336380822584</v>
      </c>
      <c r="Q7016" s="0" t="str">
        <f aca="false">SUBSTITUTE(SUBSTITUTE($I7016,CHAR(61),""),CHAR(34),"")</f>
        <v>&lt;01</v>
      </c>
      <c r="R7016" s="0" t="str">
        <f aca="false">IF($D7016&lt;&gt;"","["&amp;$E7016&amp;"]"&amp;"|"&amp;$Q7016&amp;"|"&amp;$K7016&amp;"|"&amp;$G7016&amp;"|"&amp;IF($G7016="TX_CURR_SUBNAT.R","CY2022Q4",$M7016),"")</f>
        <v>[cPtvxaZqXIH]|&lt;01|Female|PLHIV_Attend.T2|CY2025Q3</v>
      </c>
    </row>
    <row r="7017" customFormat="false" ht="15" hidden="false" customHeight="false" outlineLevel="0" collapsed="false">
      <c r="D7017" s="0" t="s">
        <v>87</v>
      </c>
      <c r="E7017" s="0" t="s">
        <v>88</v>
      </c>
      <c r="F7017" s="0" t="s">
        <v>89</v>
      </c>
      <c r="G7017" s="0" t="s">
        <v>174</v>
      </c>
      <c r="H7017" s="0" t="s">
        <v>174</v>
      </c>
      <c r="I7017" s="0" t="s">
        <v>33</v>
      </c>
      <c r="J7017" s="0" t="s">
        <v>34</v>
      </c>
      <c r="K7017" s="0" t="s">
        <v>30</v>
      </c>
      <c r="L7017" s="0" t="s">
        <v>31</v>
      </c>
      <c r="M7017" s="0" t="s">
        <v>173</v>
      </c>
      <c r="N7017" s="0" t="n">
        <v>1033</v>
      </c>
      <c r="O7017" s="10" t="n">
        <v>0.95214492501691</v>
      </c>
      <c r="P7017" s="10" t="n">
        <v>0.133336380822584</v>
      </c>
      <c r="Q7017" s="0" t="str">
        <f aca="false">SUBSTITUTE(SUBSTITUTE($I7017,CHAR(61),""),CHAR(34),"")</f>
        <v>01-09</v>
      </c>
      <c r="R7017" s="0" t="str">
        <f aca="false">IF($D7017&lt;&gt;"","["&amp;$E7017&amp;"]"&amp;"|"&amp;$Q7017&amp;"|"&amp;$K7017&amp;"|"&amp;$G7017&amp;"|"&amp;IF($G7017="TX_CURR_SUBNAT.R","CY2022Q4",$M7017),"")</f>
        <v>[cPtvxaZqXIH]|01-09|Female|PLHIV_Attend.T2|CY2025Q3</v>
      </c>
    </row>
    <row r="7018" customFormat="false" ht="15" hidden="false" customHeight="false" outlineLevel="0" collapsed="false">
      <c r="D7018" s="0" t="s">
        <v>87</v>
      </c>
      <c r="E7018" s="0" t="s">
        <v>88</v>
      </c>
      <c r="F7018" s="0" t="s">
        <v>89</v>
      </c>
      <c r="G7018" s="0" t="s">
        <v>174</v>
      </c>
      <c r="H7018" s="0" t="s">
        <v>174</v>
      </c>
      <c r="I7018" s="0" t="s">
        <v>36</v>
      </c>
      <c r="J7018" s="0" t="s">
        <v>37</v>
      </c>
      <c r="K7018" s="0" t="s">
        <v>30</v>
      </c>
      <c r="L7018" s="0" t="s">
        <v>31</v>
      </c>
      <c r="M7018" s="0" t="s">
        <v>173</v>
      </c>
      <c r="N7018" s="0" t="n">
        <v>1282</v>
      </c>
      <c r="O7018" s="10" t="n">
        <v>0.739120700396597</v>
      </c>
      <c r="P7018" s="10" t="n">
        <v>0.133336380822584</v>
      </c>
      <c r="Q7018" s="0" t="str">
        <f aca="false">SUBSTITUTE(SUBSTITUTE($I7018,CHAR(61),""),CHAR(34),"")</f>
        <v>10-14</v>
      </c>
      <c r="R7018" s="0" t="str">
        <f aca="false">IF($D7018&lt;&gt;"","["&amp;$E7018&amp;"]"&amp;"|"&amp;$Q7018&amp;"|"&amp;$K7018&amp;"|"&amp;$G7018&amp;"|"&amp;IF($G7018="TX_CURR_SUBNAT.R","CY2022Q4",$M7018),"")</f>
        <v>[cPtvxaZqXIH]|10-14|Female|PLHIV_Attend.T2|CY2025Q3</v>
      </c>
    </row>
    <row r="7019" customFormat="false" ht="15" hidden="false" customHeight="false" outlineLevel="0" collapsed="false">
      <c r="D7019" s="0" t="s">
        <v>87</v>
      </c>
      <c r="E7019" s="0" t="s">
        <v>88</v>
      </c>
      <c r="F7019" s="0" t="s">
        <v>89</v>
      </c>
      <c r="G7019" s="0" t="s">
        <v>174</v>
      </c>
      <c r="H7019" s="0" t="s">
        <v>174</v>
      </c>
      <c r="I7019" s="0" t="s">
        <v>38</v>
      </c>
      <c r="J7019" s="0" t="s">
        <v>39</v>
      </c>
      <c r="K7019" s="0" t="s">
        <v>30</v>
      </c>
      <c r="L7019" s="0" t="s">
        <v>31</v>
      </c>
      <c r="M7019" s="0" t="s">
        <v>173</v>
      </c>
      <c r="N7019" s="0" t="n">
        <v>1089</v>
      </c>
      <c r="O7019" s="10" t="n">
        <v>0.676516951760277</v>
      </c>
      <c r="P7019" s="10" t="n">
        <v>0.133336380822584</v>
      </c>
      <c r="Q7019" s="0" t="str">
        <f aca="false">SUBSTITUTE(SUBSTITUTE($I7019,CHAR(61),""),CHAR(34),"")</f>
        <v>15-24</v>
      </c>
      <c r="R7019" s="0" t="str">
        <f aca="false">IF($D7019&lt;&gt;"","["&amp;$E7019&amp;"]"&amp;"|"&amp;$Q7019&amp;"|"&amp;$K7019&amp;"|"&amp;$G7019&amp;"|"&amp;IF($G7019="TX_CURR_SUBNAT.R","CY2022Q4",$M7019),"")</f>
        <v>[cPtvxaZqXIH]|15-24|Female|PLHIV_Attend.T2|CY2025Q3</v>
      </c>
    </row>
    <row r="7020" customFormat="false" ht="15" hidden="false" customHeight="false" outlineLevel="0" collapsed="false">
      <c r="D7020" s="0" t="s">
        <v>87</v>
      </c>
      <c r="E7020" s="0" t="s">
        <v>88</v>
      </c>
      <c r="F7020" s="0" t="s">
        <v>89</v>
      </c>
      <c r="G7020" s="0" t="s">
        <v>174</v>
      </c>
      <c r="H7020" s="0" t="s">
        <v>174</v>
      </c>
      <c r="I7020" s="0" t="s">
        <v>41</v>
      </c>
      <c r="J7020" s="0" t="s">
        <v>42</v>
      </c>
      <c r="K7020" s="0" t="s">
        <v>30</v>
      </c>
      <c r="L7020" s="0" t="s">
        <v>31</v>
      </c>
      <c r="M7020" s="0" t="s">
        <v>173</v>
      </c>
      <c r="N7020" s="0" t="n">
        <v>1493</v>
      </c>
      <c r="O7020" s="10" t="n">
        <v>0.372023637406528</v>
      </c>
      <c r="P7020" s="10" t="n">
        <v>0.133336380822584</v>
      </c>
      <c r="Q7020" s="0" t="str">
        <f aca="false">SUBSTITUTE(SUBSTITUTE($I7020,CHAR(61),""),CHAR(34),"")</f>
        <v>25-34</v>
      </c>
      <c r="R7020" s="0" t="str">
        <f aca="false">IF($D7020&lt;&gt;"","["&amp;$E7020&amp;"]"&amp;"|"&amp;$Q7020&amp;"|"&amp;$K7020&amp;"|"&amp;$G7020&amp;"|"&amp;IF($G7020="TX_CURR_SUBNAT.R","CY2022Q4",$M7020),"")</f>
        <v>[cPtvxaZqXIH]|25-34|Female|PLHIV_Attend.T2|CY2025Q3</v>
      </c>
    </row>
    <row r="7021" customFormat="false" ht="15" hidden="false" customHeight="false" outlineLevel="0" collapsed="false">
      <c r="D7021" s="0" t="s">
        <v>87</v>
      </c>
      <c r="E7021" s="0" t="s">
        <v>88</v>
      </c>
      <c r="F7021" s="0" t="s">
        <v>89</v>
      </c>
      <c r="G7021" s="0" t="s">
        <v>174</v>
      </c>
      <c r="H7021" s="0" t="s">
        <v>174</v>
      </c>
      <c r="I7021" s="0" t="s">
        <v>43</v>
      </c>
      <c r="J7021" s="0" t="s">
        <v>44</v>
      </c>
      <c r="K7021" s="0" t="s">
        <v>30</v>
      </c>
      <c r="L7021" s="0" t="s">
        <v>31</v>
      </c>
      <c r="M7021" s="0" t="s">
        <v>173</v>
      </c>
      <c r="N7021" s="0" t="n">
        <v>1454</v>
      </c>
      <c r="O7021" s="10" t="n">
        <v>0.913201044779271</v>
      </c>
      <c r="P7021" s="10" t="n">
        <v>0.133336380822584</v>
      </c>
      <c r="Q7021" s="0" t="str">
        <f aca="false">SUBSTITUTE(SUBSTITUTE($I7021,CHAR(61),""),CHAR(34),"")</f>
        <v>35-49</v>
      </c>
      <c r="R7021" s="0" t="str">
        <f aca="false">IF($D7021&lt;&gt;"","["&amp;$E7021&amp;"]"&amp;"|"&amp;$Q7021&amp;"|"&amp;$K7021&amp;"|"&amp;$G7021&amp;"|"&amp;IF($G7021="TX_CURR_SUBNAT.R","CY2022Q4",$M7021),"")</f>
        <v>[cPtvxaZqXIH]|35-49|Female|PLHIV_Attend.T2|CY2025Q3</v>
      </c>
    </row>
    <row r="7022" customFormat="false" ht="15" hidden="false" customHeight="false" outlineLevel="0" collapsed="false">
      <c r="D7022" s="0" t="s">
        <v>87</v>
      </c>
      <c r="E7022" s="0" t="s">
        <v>88</v>
      </c>
      <c r="F7022" s="0" t="s">
        <v>89</v>
      </c>
      <c r="G7022" s="0" t="s">
        <v>174</v>
      </c>
      <c r="H7022" s="0" t="s">
        <v>174</v>
      </c>
      <c r="I7022" s="0" t="s">
        <v>45</v>
      </c>
      <c r="J7022" s="0" t="s">
        <v>46</v>
      </c>
      <c r="K7022" s="0" t="s">
        <v>30</v>
      </c>
      <c r="L7022" s="0" t="s">
        <v>31</v>
      </c>
      <c r="M7022" s="0" t="s">
        <v>173</v>
      </c>
      <c r="N7022" s="0" t="n">
        <v>1165</v>
      </c>
      <c r="O7022" s="10" t="n">
        <v>0.287273372290656</v>
      </c>
      <c r="P7022" s="10" t="n">
        <v>0.133336380822584</v>
      </c>
      <c r="Q7022" s="0" t="str">
        <f aca="false">SUBSTITUTE(SUBSTITUTE($I7022,CHAR(61),""),CHAR(34),"")</f>
        <v>50+</v>
      </c>
      <c r="R7022" s="0" t="str">
        <f aca="false">IF($D7022&lt;&gt;"","["&amp;$E7022&amp;"]"&amp;"|"&amp;$Q7022&amp;"|"&amp;$K7022&amp;"|"&amp;$G7022&amp;"|"&amp;IF($G7022="TX_CURR_SUBNAT.R","CY2022Q4",$M7022),"")</f>
        <v>[cPtvxaZqXIH]|50+|Female|PLHIV_Attend.T2|CY2025Q3</v>
      </c>
    </row>
    <row r="7023" customFormat="false" ht="15" hidden="false" customHeight="false" outlineLevel="0" collapsed="false">
      <c r="D7023" s="0" t="s">
        <v>87</v>
      </c>
      <c r="E7023" s="0" t="s">
        <v>88</v>
      </c>
      <c r="F7023" s="0" t="s">
        <v>89</v>
      </c>
      <c r="G7023" s="0" t="s">
        <v>174</v>
      </c>
      <c r="H7023" s="0" t="s">
        <v>174</v>
      </c>
      <c r="I7023" s="0" t="s">
        <v>28</v>
      </c>
      <c r="J7023" s="0" t="s">
        <v>29</v>
      </c>
      <c r="K7023" s="0" t="s">
        <v>48</v>
      </c>
      <c r="L7023" s="0" t="s">
        <v>49</v>
      </c>
      <c r="M7023" s="0" t="s">
        <v>173</v>
      </c>
      <c r="N7023" s="0" t="n">
        <v>1761</v>
      </c>
      <c r="O7023" s="10" t="n">
        <v>0.474725136300549</v>
      </c>
      <c r="P7023" s="10" t="n">
        <v>0.133336380822584</v>
      </c>
      <c r="Q7023" s="0" t="str">
        <f aca="false">SUBSTITUTE(SUBSTITUTE($I7023,CHAR(61),""),CHAR(34),"")</f>
        <v>&lt;01</v>
      </c>
      <c r="R7023" s="0" t="str">
        <f aca="false">IF($D7023&lt;&gt;"","["&amp;$E7023&amp;"]"&amp;"|"&amp;$Q7023&amp;"|"&amp;$K7023&amp;"|"&amp;$G7023&amp;"|"&amp;IF($G7023="TX_CURR_SUBNAT.R","CY2022Q4",$M7023),"")</f>
        <v>[cPtvxaZqXIH]|&lt;01|Male|PLHIV_Attend.T2|CY2025Q3</v>
      </c>
    </row>
    <row r="7024" customFormat="false" ht="15" hidden="false" customHeight="false" outlineLevel="0" collapsed="false">
      <c r="D7024" s="0" t="s">
        <v>87</v>
      </c>
      <c r="E7024" s="0" t="s">
        <v>88</v>
      </c>
      <c r="F7024" s="0" t="s">
        <v>89</v>
      </c>
      <c r="G7024" s="0" t="s">
        <v>174</v>
      </c>
      <c r="H7024" s="0" t="s">
        <v>174</v>
      </c>
      <c r="I7024" s="0" t="s">
        <v>33</v>
      </c>
      <c r="J7024" s="0" t="s">
        <v>34</v>
      </c>
      <c r="K7024" s="0" t="s">
        <v>48</v>
      </c>
      <c r="L7024" s="0" t="s">
        <v>49</v>
      </c>
      <c r="M7024" s="0" t="s">
        <v>173</v>
      </c>
      <c r="N7024" s="0" t="n">
        <v>1700</v>
      </c>
      <c r="O7024" s="10" t="n">
        <v>0.527527328114957</v>
      </c>
      <c r="P7024" s="10" t="n">
        <v>0.133336380822584</v>
      </c>
      <c r="Q7024" s="0" t="str">
        <f aca="false">SUBSTITUTE(SUBSTITUTE($I7024,CHAR(61),""),CHAR(34),"")</f>
        <v>01-09</v>
      </c>
      <c r="R7024" s="0" t="str">
        <f aca="false">IF($D7024&lt;&gt;"","["&amp;$E7024&amp;"]"&amp;"|"&amp;$Q7024&amp;"|"&amp;$K7024&amp;"|"&amp;$G7024&amp;"|"&amp;IF($G7024="TX_CURR_SUBNAT.R","CY2022Q4",$M7024),"")</f>
        <v>[cPtvxaZqXIH]|01-09|Male|PLHIV_Attend.T2|CY2025Q3</v>
      </c>
    </row>
    <row r="7025" customFormat="false" ht="15" hidden="false" customHeight="false" outlineLevel="0" collapsed="false">
      <c r="D7025" s="0" t="s">
        <v>87</v>
      </c>
      <c r="E7025" s="0" t="s">
        <v>88</v>
      </c>
      <c r="F7025" s="0" t="s">
        <v>89</v>
      </c>
      <c r="G7025" s="0" t="s">
        <v>174</v>
      </c>
      <c r="H7025" s="0" t="s">
        <v>174</v>
      </c>
      <c r="I7025" s="0" t="s">
        <v>36</v>
      </c>
      <c r="J7025" s="0" t="s">
        <v>37</v>
      </c>
      <c r="K7025" s="0" t="s">
        <v>48</v>
      </c>
      <c r="L7025" s="0" t="s">
        <v>49</v>
      </c>
      <c r="M7025" s="0" t="s">
        <v>173</v>
      </c>
      <c r="N7025" s="0" t="n">
        <v>922</v>
      </c>
      <c r="O7025" s="10" t="n">
        <v>0.743556960951537</v>
      </c>
      <c r="P7025" s="10" t="n">
        <v>0.133336380822584</v>
      </c>
      <c r="Q7025" s="0" t="str">
        <f aca="false">SUBSTITUTE(SUBSTITUTE($I7025,CHAR(61),""),CHAR(34),"")</f>
        <v>10-14</v>
      </c>
      <c r="R7025" s="0" t="str">
        <f aca="false">IF($D7025&lt;&gt;"","["&amp;$E7025&amp;"]"&amp;"|"&amp;$Q7025&amp;"|"&amp;$K7025&amp;"|"&amp;$G7025&amp;"|"&amp;IF($G7025="TX_CURR_SUBNAT.R","CY2022Q4",$M7025),"")</f>
        <v>[cPtvxaZqXIH]|10-14|Male|PLHIV_Attend.T2|CY2025Q3</v>
      </c>
    </row>
    <row r="7026" customFormat="false" ht="15" hidden="false" customHeight="false" outlineLevel="0" collapsed="false">
      <c r="D7026" s="0" t="s">
        <v>87</v>
      </c>
      <c r="E7026" s="0" t="s">
        <v>88</v>
      </c>
      <c r="F7026" s="0" t="s">
        <v>89</v>
      </c>
      <c r="G7026" s="0" t="s">
        <v>174</v>
      </c>
      <c r="H7026" s="0" t="s">
        <v>174</v>
      </c>
      <c r="I7026" s="0" t="s">
        <v>38</v>
      </c>
      <c r="J7026" s="0" t="s">
        <v>39</v>
      </c>
      <c r="K7026" s="0" t="s">
        <v>48</v>
      </c>
      <c r="L7026" s="0" t="s">
        <v>49</v>
      </c>
      <c r="M7026" s="0" t="s">
        <v>173</v>
      </c>
      <c r="N7026" s="0" t="n">
        <v>1631</v>
      </c>
      <c r="O7026" s="10" t="n">
        <v>0.704550157766789</v>
      </c>
      <c r="P7026" s="10" t="n">
        <v>0.133336380822584</v>
      </c>
      <c r="Q7026" s="0" t="str">
        <f aca="false">SUBSTITUTE(SUBSTITUTE($I7026,CHAR(61),""),CHAR(34),"")</f>
        <v>15-24</v>
      </c>
      <c r="R7026" s="0" t="str">
        <f aca="false">IF($D7026&lt;&gt;"","["&amp;$E7026&amp;"]"&amp;"|"&amp;$Q7026&amp;"|"&amp;$K7026&amp;"|"&amp;$G7026&amp;"|"&amp;IF($G7026="TX_CURR_SUBNAT.R","CY2022Q4",$M7026),"")</f>
        <v>[cPtvxaZqXIH]|15-24|Male|PLHIV_Attend.T2|CY2025Q3</v>
      </c>
    </row>
    <row r="7027" customFormat="false" ht="15" hidden="false" customHeight="false" outlineLevel="0" collapsed="false">
      <c r="D7027" s="0" t="s">
        <v>87</v>
      </c>
      <c r="E7027" s="0" t="s">
        <v>88</v>
      </c>
      <c r="F7027" s="0" t="s">
        <v>89</v>
      </c>
      <c r="G7027" s="0" t="s">
        <v>174</v>
      </c>
      <c r="H7027" s="0" t="s">
        <v>174</v>
      </c>
      <c r="I7027" s="0" t="s">
        <v>41</v>
      </c>
      <c r="J7027" s="0" t="s">
        <v>42</v>
      </c>
      <c r="K7027" s="0" t="s">
        <v>48</v>
      </c>
      <c r="L7027" s="0" t="s">
        <v>49</v>
      </c>
      <c r="M7027" s="0" t="s">
        <v>173</v>
      </c>
      <c r="N7027" s="0" t="n">
        <v>1664</v>
      </c>
      <c r="O7027" s="10" t="n">
        <v>0.546259071445093</v>
      </c>
      <c r="P7027" s="10" t="n">
        <v>0.133336380822584</v>
      </c>
      <c r="Q7027" s="0" t="str">
        <f aca="false">SUBSTITUTE(SUBSTITUTE($I7027,CHAR(61),""),CHAR(34),"")</f>
        <v>25-34</v>
      </c>
      <c r="R7027" s="0" t="str">
        <f aca="false">IF($D7027&lt;&gt;"","["&amp;$E7027&amp;"]"&amp;"|"&amp;$Q7027&amp;"|"&amp;$K7027&amp;"|"&amp;$G7027&amp;"|"&amp;IF($G7027="TX_CURR_SUBNAT.R","CY2022Q4",$M7027),"")</f>
        <v>[cPtvxaZqXIH]|25-34|Male|PLHIV_Attend.T2|CY2025Q3</v>
      </c>
    </row>
    <row r="7028" customFormat="false" ht="15" hidden="false" customHeight="false" outlineLevel="0" collapsed="false">
      <c r="D7028" s="0" t="s">
        <v>87</v>
      </c>
      <c r="E7028" s="0" t="s">
        <v>88</v>
      </c>
      <c r="F7028" s="0" t="s">
        <v>89</v>
      </c>
      <c r="G7028" s="0" t="s">
        <v>174</v>
      </c>
      <c r="H7028" s="0" t="s">
        <v>174</v>
      </c>
      <c r="I7028" s="0" t="s">
        <v>43</v>
      </c>
      <c r="J7028" s="0" t="s">
        <v>44</v>
      </c>
      <c r="K7028" s="0" t="s">
        <v>48</v>
      </c>
      <c r="L7028" s="0" t="s">
        <v>49</v>
      </c>
      <c r="M7028" s="0" t="s">
        <v>173</v>
      </c>
      <c r="N7028" s="0" t="n">
        <v>1301</v>
      </c>
      <c r="O7028" s="10" t="n">
        <v>0.0761491088196635</v>
      </c>
      <c r="P7028" s="10" t="n">
        <v>0.133336380822584</v>
      </c>
      <c r="Q7028" s="0" t="str">
        <f aca="false">SUBSTITUTE(SUBSTITUTE($I7028,CHAR(61),""),CHAR(34),"")</f>
        <v>35-49</v>
      </c>
      <c r="R7028" s="0" t="str">
        <f aca="false">IF($D7028&lt;&gt;"","["&amp;$E7028&amp;"]"&amp;"|"&amp;$Q7028&amp;"|"&amp;$K7028&amp;"|"&amp;$G7028&amp;"|"&amp;IF($G7028="TX_CURR_SUBNAT.R","CY2022Q4",$M7028),"")</f>
        <v>[cPtvxaZqXIH]|35-49|Male|PLHIV_Attend.T2|CY2025Q3</v>
      </c>
    </row>
    <row r="7029" customFormat="false" ht="15" hidden="false" customHeight="false" outlineLevel="0" collapsed="false">
      <c r="D7029" s="0" t="s">
        <v>87</v>
      </c>
      <c r="E7029" s="0" t="s">
        <v>88</v>
      </c>
      <c r="F7029" s="0" t="s">
        <v>89</v>
      </c>
      <c r="G7029" s="0" t="s">
        <v>174</v>
      </c>
      <c r="H7029" s="0" t="s">
        <v>174</v>
      </c>
      <c r="I7029" s="0" t="s">
        <v>45</v>
      </c>
      <c r="J7029" s="0" t="s">
        <v>46</v>
      </c>
      <c r="K7029" s="0" t="s">
        <v>48</v>
      </c>
      <c r="L7029" s="0" t="s">
        <v>49</v>
      </c>
      <c r="M7029" s="0" t="s">
        <v>173</v>
      </c>
      <c r="N7029" s="0" t="n">
        <v>1986</v>
      </c>
      <c r="O7029" s="10" t="n">
        <v>0.186922274529934</v>
      </c>
      <c r="P7029" s="10" t="n">
        <v>0.133336380822584</v>
      </c>
      <c r="Q7029" s="0" t="str">
        <f aca="false">SUBSTITUTE(SUBSTITUTE($I7029,CHAR(61),""),CHAR(34),"")</f>
        <v>50+</v>
      </c>
      <c r="R7029" s="0" t="str">
        <f aca="false">IF($D7029&lt;&gt;"","["&amp;$E7029&amp;"]"&amp;"|"&amp;$Q7029&amp;"|"&amp;$K7029&amp;"|"&amp;$G7029&amp;"|"&amp;IF($G7029="TX_CURR_SUBNAT.R","CY2022Q4",$M7029),"")</f>
        <v>[cPtvxaZqXIH]|50+|Male|PLHIV_Attend.T2|CY2025Q3</v>
      </c>
    </row>
    <row r="7030" customFormat="false" ht="15" hidden="false" customHeight="false" outlineLevel="0" collapsed="false">
      <c r="D7030" s="0" t="s">
        <v>90</v>
      </c>
      <c r="E7030" s="0" t="s">
        <v>91</v>
      </c>
      <c r="F7030" s="0" t="s">
        <v>92</v>
      </c>
      <c r="G7030" s="0" t="s">
        <v>174</v>
      </c>
      <c r="H7030" s="0" t="s">
        <v>174</v>
      </c>
      <c r="I7030" s="0" t="s">
        <v>28</v>
      </c>
      <c r="J7030" s="0" t="s">
        <v>29</v>
      </c>
      <c r="K7030" s="0" t="s">
        <v>30</v>
      </c>
      <c r="L7030" s="0" t="s">
        <v>31</v>
      </c>
      <c r="M7030" s="0" t="s">
        <v>173</v>
      </c>
      <c r="N7030" s="0" t="n">
        <v>1105</v>
      </c>
      <c r="O7030" s="10" t="n">
        <v>0.659378654090688</v>
      </c>
      <c r="P7030" s="10" t="n">
        <v>0.719914150424302</v>
      </c>
      <c r="Q7030" s="0" t="str">
        <f aca="false">SUBSTITUTE(SUBSTITUTE($I7030,CHAR(61),""),CHAR(34),"")</f>
        <v>&lt;01</v>
      </c>
      <c r="R7030" s="0" t="str">
        <f aca="false">IF($D7030&lt;&gt;"","["&amp;$E7030&amp;"]"&amp;"|"&amp;$Q7030&amp;"|"&amp;$K7030&amp;"|"&amp;$G7030&amp;"|"&amp;IF($G7030="TX_CURR_SUBNAT.R","CY2022Q4",$M7030),"")</f>
        <v>[AZyWpGzhcaA]|&lt;01|Female|PLHIV_Attend.T2|CY2025Q3</v>
      </c>
    </row>
    <row r="7031" customFormat="false" ht="15" hidden="false" customHeight="false" outlineLevel="0" collapsed="false">
      <c r="D7031" s="0" t="s">
        <v>90</v>
      </c>
      <c r="E7031" s="0" t="s">
        <v>91</v>
      </c>
      <c r="F7031" s="0" t="s">
        <v>92</v>
      </c>
      <c r="G7031" s="0" t="s">
        <v>174</v>
      </c>
      <c r="H7031" s="0" t="s">
        <v>174</v>
      </c>
      <c r="I7031" s="0" t="s">
        <v>33</v>
      </c>
      <c r="J7031" s="0" t="s">
        <v>34</v>
      </c>
      <c r="K7031" s="0" t="s">
        <v>30</v>
      </c>
      <c r="L7031" s="0" t="s">
        <v>31</v>
      </c>
      <c r="M7031" s="0" t="s">
        <v>173</v>
      </c>
      <c r="N7031" s="0" t="n">
        <v>1075</v>
      </c>
      <c r="O7031" s="10" t="n">
        <v>0.941157368943095</v>
      </c>
      <c r="P7031" s="10" t="n">
        <v>0.719914150424302</v>
      </c>
      <c r="Q7031" s="0" t="str">
        <f aca="false">SUBSTITUTE(SUBSTITUTE($I7031,CHAR(61),""),CHAR(34),"")</f>
        <v>01-09</v>
      </c>
      <c r="R7031" s="0" t="str">
        <f aca="false">IF($D7031&lt;&gt;"","["&amp;$E7031&amp;"]"&amp;"|"&amp;$Q7031&amp;"|"&amp;$K7031&amp;"|"&amp;$G7031&amp;"|"&amp;IF($G7031="TX_CURR_SUBNAT.R","CY2022Q4",$M7031),"")</f>
        <v>[AZyWpGzhcaA]|01-09|Female|PLHIV_Attend.T2|CY2025Q3</v>
      </c>
    </row>
    <row r="7032" customFormat="false" ht="15" hidden="false" customHeight="false" outlineLevel="0" collapsed="false">
      <c r="D7032" s="0" t="s">
        <v>90</v>
      </c>
      <c r="E7032" s="0" t="s">
        <v>91</v>
      </c>
      <c r="F7032" s="0" t="s">
        <v>92</v>
      </c>
      <c r="G7032" s="0" t="s">
        <v>174</v>
      </c>
      <c r="H7032" s="0" t="s">
        <v>174</v>
      </c>
      <c r="I7032" s="0" t="s">
        <v>36</v>
      </c>
      <c r="J7032" s="0" t="s">
        <v>37</v>
      </c>
      <c r="K7032" s="0" t="s">
        <v>30</v>
      </c>
      <c r="L7032" s="0" t="s">
        <v>31</v>
      </c>
      <c r="M7032" s="0" t="s">
        <v>173</v>
      </c>
      <c r="N7032" s="0" t="n">
        <v>1944</v>
      </c>
      <c r="O7032" s="10" t="n">
        <v>0.853539281757548</v>
      </c>
      <c r="P7032" s="10" t="n">
        <v>0.719914150424302</v>
      </c>
      <c r="Q7032" s="0" t="str">
        <f aca="false">SUBSTITUTE(SUBSTITUTE($I7032,CHAR(61),""),CHAR(34),"")</f>
        <v>10-14</v>
      </c>
      <c r="R7032" s="0" t="str">
        <f aca="false">IF($D7032&lt;&gt;"","["&amp;$E7032&amp;"]"&amp;"|"&amp;$Q7032&amp;"|"&amp;$K7032&amp;"|"&amp;$G7032&amp;"|"&amp;IF($G7032="TX_CURR_SUBNAT.R","CY2022Q4",$M7032),"")</f>
        <v>[AZyWpGzhcaA]|10-14|Female|PLHIV_Attend.T2|CY2025Q3</v>
      </c>
    </row>
    <row r="7033" customFormat="false" ht="15" hidden="false" customHeight="false" outlineLevel="0" collapsed="false">
      <c r="D7033" s="0" t="s">
        <v>90</v>
      </c>
      <c r="E7033" s="0" t="s">
        <v>91</v>
      </c>
      <c r="F7033" s="0" t="s">
        <v>92</v>
      </c>
      <c r="G7033" s="0" t="s">
        <v>174</v>
      </c>
      <c r="H7033" s="0" t="s">
        <v>174</v>
      </c>
      <c r="I7033" s="0" t="s">
        <v>38</v>
      </c>
      <c r="J7033" s="0" t="s">
        <v>39</v>
      </c>
      <c r="K7033" s="0" t="s">
        <v>30</v>
      </c>
      <c r="L7033" s="0" t="s">
        <v>31</v>
      </c>
      <c r="M7033" s="0" t="s">
        <v>173</v>
      </c>
      <c r="N7033" s="0" t="n">
        <v>1265</v>
      </c>
      <c r="O7033" s="10" t="n">
        <v>0.895622737240046</v>
      </c>
      <c r="P7033" s="10" t="n">
        <v>0.719914150424302</v>
      </c>
      <c r="Q7033" s="0" t="str">
        <f aca="false">SUBSTITUTE(SUBSTITUTE($I7033,CHAR(61),""),CHAR(34),"")</f>
        <v>15-24</v>
      </c>
      <c r="R7033" s="0" t="str">
        <f aca="false">IF($D7033&lt;&gt;"","["&amp;$E7033&amp;"]"&amp;"|"&amp;$Q7033&amp;"|"&amp;$K7033&amp;"|"&amp;$G7033&amp;"|"&amp;IF($G7033="TX_CURR_SUBNAT.R","CY2022Q4",$M7033),"")</f>
        <v>[AZyWpGzhcaA]|15-24|Female|PLHIV_Attend.T2|CY2025Q3</v>
      </c>
    </row>
    <row r="7034" customFormat="false" ht="15" hidden="false" customHeight="false" outlineLevel="0" collapsed="false">
      <c r="D7034" s="0" t="s">
        <v>90</v>
      </c>
      <c r="E7034" s="0" t="s">
        <v>91</v>
      </c>
      <c r="F7034" s="0" t="s">
        <v>92</v>
      </c>
      <c r="G7034" s="0" t="s">
        <v>174</v>
      </c>
      <c r="H7034" s="0" t="s">
        <v>174</v>
      </c>
      <c r="I7034" s="0" t="s">
        <v>41</v>
      </c>
      <c r="J7034" s="0" t="s">
        <v>42</v>
      </c>
      <c r="K7034" s="0" t="s">
        <v>30</v>
      </c>
      <c r="L7034" s="0" t="s">
        <v>31</v>
      </c>
      <c r="M7034" s="0" t="s">
        <v>173</v>
      </c>
      <c r="N7034" s="0" t="n">
        <v>1674</v>
      </c>
      <c r="O7034" s="10" t="n">
        <v>0.338068654993549</v>
      </c>
      <c r="P7034" s="10" t="n">
        <v>0.719914150424302</v>
      </c>
      <c r="Q7034" s="0" t="str">
        <f aca="false">SUBSTITUTE(SUBSTITUTE($I7034,CHAR(61),""),CHAR(34),"")</f>
        <v>25-34</v>
      </c>
      <c r="R7034" s="0" t="str">
        <f aca="false">IF($D7034&lt;&gt;"","["&amp;$E7034&amp;"]"&amp;"|"&amp;$Q7034&amp;"|"&amp;$K7034&amp;"|"&amp;$G7034&amp;"|"&amp;IF($G7034="TX_CURR_SUBNAT.R","CY2022Q4",$M7034),"")</f>
        <v>[AZyWpGzhcaA]|25-34|Female|PLHIV_Attend.T2|CY2025Q3</v>
      </c>
    </row>
    <row r="7035" customFormat="false" ht="15" hidden="false" customHeight="false" outlineLevel="0" collapsed="false">
      <c r="D7035" s="0" t="s">
        <v>90</v>
      </c>
      <c r="E7035" s="0" t="s">
        <v>91</v>
      </c>
      <c r="F7035" s="0" t="s">
        <v>92</v>
      </c>
      <c r="G7035" s="0" t="s">
        <v>174</v>
      </c>
      <c r="H7035" s="0" t="s">
        <v>174</v>
      </c>
      <c r="I7035" s="0" t="s">
        <v>43</v>
      </c>
      <c r="J7035" s="0" t="s">
        <v>44</v>
      </c>
      <c r="K7035" s="0" t="s">
        <v>30</v>
      </c>
      <c r="L7035" s="0" t="s">
        <v>31</v>
      </c>
      <c r="M7035" s="0" t="s">
        <v>173</v>
      </c>
      <c r="N7035" s="0" t="n">
        <v>953</v>
      </c>
      <c r="O7035" s="10" t="n">
        <v>0.143875734414905</v>
      </c>
      <c r="P7035" s="10" t="n">
        <v>0.719914150424302</v>
      </c>
      <c r="Q7035" s="0" t="str">
        <f aca="false">SUBSTITUTE(SUBSTITUTE($I7035,CHAR(61),""),CHAR(34),"")</f>
        <v>35-49</v>
      </c>
      <c r="R7035" s="0" t="str">
        <f aca="false">IF($D7035&lt;&gt;"","["&amp;$E7035&amp;"]"&amp;"|"&amp;$Q7035&amp;"|"&amp;$K7035&amp;"|"&amp;$G7035&amp;"|"&amp;IF($G7035="TX_CURR_SUBNAT.R","CY2022Q4",$M7035),"")</f>
        <v>[AZyWpGzhcaA]|35-49|Female|PLHIV_Attend.T2|CY2025Q3</v>
      </c>
    </row>
    <row r="7036" customFormat="false" ht="15" hidden="false" customHeight="false" outlineLevel="0" collapsed="false">
      <c r="D7036" s="0" t="s">
        <v>90</v>
      </c>
      <c r="E7036" s="0" t="s">
        <v>91</v>
      </c>
      <c r="F7036" s="0" t="s">
        <v>92</v>
      </c>
      <c r="G7036" s="0" t="s">
        <v>174</v>
      </c>
      <c r="H7036" s="0" t="s">
        <v>174</v>
      </c>
      <c r="I7036" s="0" t="s">
        <v>45</v>
      </c>
      <c r="J7036" s="0" t="s">
        <v>46</v>
      </c>
      <c r="K7036" s="0" t="s">
        <v>30</v>
      </c>
      <c r="L7036" s="0" t="s">
        <v>31</v>
      </c>
      <c r="M7036" s="0" t="s">
        <v>173</v>
      </c>
      <c r="N7036" s="0" t="n">
        <v>559</v>
      </c>
      <c r="O7036" s="10" t="n">
        <v>0.579575393814594</v>
      </c>
      <c r="P7036" s="10" t="n">
        <v>0.719914150424302</v>
      </c>
      <c r="Q7036" s="0" t="str">
        <f aca="false">SUBSTITUTE(SUBSTITUTE($I7036,CHAR(61),""),CHAR(34),"")</f>
        <v>50+</v>
      </c>
      <c r="R7036" s="0" t="str">
        <f aca="false">IF($D7036&lt;&gt;"","["&amp;$E7036&amp;"]"&amp;"|"&amp;$Q7036&amp;"|"&amp;$K7036&amp;"|"&amp;$G7036&amp;"|"&amp;IF($G7036="TX_CURR_SUBNAT.R","CY2022Q4",$M7036),"")</f>
        <v>[AZyWpGzhcaA]|50+|Female|PLHIV_Attend.T2|CY2025Q3</v>
      </c>
    </row>
    <row r="7037" customFormat="false" ht="15" hidden="false" customHeight="false" outlineLevel="0" collapsed="false">
      <c r="D7037" s="0" t="s">
        <v>90</v>
      </c>
      <c r="E7037" s="0" t="s">
        <v>91</v>
      </c>
      <c r="F7037" s="0" t="s">
        <v>92</v>
      </c>
      <c r="G7037" s="0" t="s">
        <v>174</v>
      </c>
      <c r="H7037" s="0" t="s">
        <v>174</v>
      </c>
      <c r="I7037" s="0" t="s">
        <v>28</v>
      </c>
      <c r="J7037" s="0" t="s">
        <v>29</v>
      </c>
      <c r="K7037" s="0" t="s">
        <v>48</v>
      </c>
      <c r="L7037" s="0" t="s">
        <v>49</v>
      </c>
      <c r="M7037" s="0" t="s">
        <v>173</v>
      </c>
      <c r="N7037" s="0" t="n">
        <v>1168</v>
      </c>
      <c r="O7037" s="10" t="n">
        <v>0.391381177818403</v>
      </c>
      <c r="P7037" s="10" t="n">
        <v>0.719914150424302</v>
      </c>
      <c r="Q7037" s="0" t="str">
        <f aca="false">SUBSTITUTE(SUBSTITUTE($I7037,CHAR(61),""),CHAR(34),"")</f>
        <v>&lt;01</v>
      </c>
      <c r="R7037" s="0" t="str">
        <f aca="false">IF($D7037&lt;&gt;"","["&amp;$E7037&amp;"]"&amp;"|"&amp;$Q7037&amp;"|"&amp;$K7037&amp;"|"&amp;$G7037&amp;"|"&amp;IF($G7037="TX_CURR_SUBNAT.R","CY2022Q4",$M7037),"")</f>
        <v>[AZyWpGzhcaA]|&lt;01|Male|PLHIV_Attend.T2|CY2025Q3</v>
      </c>
    </row>
    <row r="7038" customFormat="false" ht="15" hidden="false" customHeight="false" outlineLevel="0" collapsed="false">
      <c r="D7038" s="0" t="s">
        <v>90</v>
      </c>
      <c r="E7038" s="0" t="s">
        <v>91</v>
      </c>
      <c r="F7038" s="0" t="s">
        <v>92</v>
      </c>
      <c r="G7038" s="0" t="s">
        <v>174</v>
      </c>
      <c r="H7038" s="0" t="s">
        <v>174</v>
      </c>
      <c r="I7038" s="0" t="s">
        <v>33</v>
      </c>
      <c r="J7038" s="0" t="s">
        <v>34</v>
      </c>
      <c r="K7038" s="0" t="s">
        <v>48</v>
      </c>
      <c r="L7038" s="0" t="s">
        <v>49</v>
      </c>
      <c r="M7038" s="0" t="s">
        <v>173</v>
      </c>
      <c r="N7038" s="0" t="n">
        <v>1296</v>
      </c>
      <c r="O7038" s="10" t="n">
        <v>0.590555829927325</v>
      </c>
      <c r="P7038" s="10" t="n">
        <v>0.719914150424302</v>
      </c>
      <c r="Q7038" s="0" t="str">
        <f aca="false">SUBSTITUTE(SUBSTITUTE($I7038,CHAR(61),""),CHAR(34),"")</f>
        <v>01-09</v>
      </c>
      <c r="R7038" s="0" t="str">
        <f aca="false">IF($D7038&lt;&gt;"","["&amp;$E7038&amp;"]"&amp;"|"&amp;$Q7038&amp;"|"&amp;$K7038&amp;"|"&amp;$G7038&amp;"|"&amp;IF($G7038="TX_CURR_SUBNAT.R","CY2022Q4",$M7038),"")</f>
        <v>[AZyWpGzhcaA]|01-09|Male|PLHIV_Attend.T2|CY2025Q3</v>
      </c>
    </row>
    <row r="7039" customFormat="false" ht="15" hidden="false" customHeight="false" outlineLevel="0" collapsed="false">
      <c r="D7039" s="0" t="s">
        <v>90</v>
      </c>
      <c r="E7039" s="0" t="s">
        <v>91</v>
      </c>
      <c r="F7039" s="0" t="s">
        <v>92</v>
      </c>
      <c r="G7039" s="0" t="s">
        <v>174</v>
      </c>
      <c r="H7039" s="0" t="s">
        <v>174</v>
      </c>
      <c r="I7039" s="0" t="s">
        <v>36</v>
      </c>
      <c r="J7039" s="0" t="s">
        <v>37</v>
      </c>
      <c r="K7039" s="0" t="s">
        <v>48</v>
      </c>
      <c r="L7039" s="0" t="s">
        <v>49</v>
      </c>
      <c r="M7039" s="0" t="s">
        <v>173</v>
      </c>
      <c r="N7039" s="0" t="n">
        <v>558</v>
      </c>
      <c r="O7039" s="10" t="n">
        <v>0.936011913465336</v>
      </c>
      <c r="P7039" s="10" t="n">
        <v>0.719914150424302</v>
      </c>
      <c r="Q7039" s="0" t="str">
        <f aca="false">SUBSTITUTE(SUBSTITUTE($I7039,CHAR(61),""),CHAR(34),"")</f>
        <v>10-14</v>
      </c>
      <c r="R7039" s="0" t="str">
        <f aca="false">IF($D7039&lt;&gt;"","["&amp;$E7039&amp;"]"&amp;"|"&amp;$Q7039&amp;"|"&amp;$K7039&amp;"|"&amp;$G7039&amp;"|"&amp;IF($G7039="TX_CURR_SUBNAT.R","CY2022Q4",$M7039),"")</f>
        <v>[AZyWpGzhcaA]|10-14|Male|PLHIV_Attend.T2|CY2025Q3</v>
      </c>
    </row>
    <row r="7040" customFormat="false" ht="15" hidden="false" customHeight="false" outlineLevel="0" collapsed="false">
      <c r="D7040" s="0" t="s">
        <v>90</v>
      </c>
      <c r="E7040" s="0" t="s">
        <v>91</v>
      </c>
      <c r="F7040" s="0" t="s">
        <v>92</v>
      </c>
      <c r="G7040" s="0" t="s">
        <v>174</v>
      </c>
      <c r="H7040" s="0" t="s">
        <v>174</v>
      </c>
      <c r="I7040" s="0" t="s">
        <v>38</v>
      </c>
      <c r="J7040" s="0" t="s">
        <v>39</v>
      </c>
      <c r="K7040" s="0" t="s">
        <v>48</v>
      </c>
      <c r="L7040" s="0" t="s">
        <v>49</v>
      </c>
      <c r="M7040" s="0" t="s">
        <v>173</v>
      </c>
      <c r="N7040" s="0" t="n">
        <v>1562</v>
      </c>
      <c r="O7040" s="10" t="n">
        <v>0.0780197288841009</v>
      </c>
      <c r="P7040" s="10" t="n">
        <v>0.719914150424302</v>
      </c>
      <c r="Q7040" s="0" t="str">
        <f aca="false">SUBSTITUTE(SUBSTITUTE($I7040,CHAR(61),""),CHAR(34),"")</f>
        <v>15-24</v>
      </c>
      <c r="R7040" s="0" t="str">
        <f aca="false">IF($D7040&lt;&gt;"","["&amp;$E7040&amp;"]"&amp;"|"&amp;$Q7040&amp;"|"&amp;$K7040&amp;"|"&amp;$G7040&amp;"|"&amp;IF($G7040="TX_CURR_SUBNAT.R","CY2022Q4",$M7040),"")</f>
        <v>[AZyWpGzhcaA]|15-24|Male|PLHIV_Attend.T2|CY2025Q3</v>
      </c>
    </row>
    <row r="7041" customFormat="false" ht="15" hidden="false" customHeight="false" outlineLevel="0" collapsed="false">
      <c r="D7041" s="0" t="s">
        <v>90</v>
      </c>
      <c r="E7041" s="0" t="s">
        <v>91</v>
      </c>
      <c r="F7041" s="0" t="s">
        <v>92</v>
      </c>
      <c r="G7041" s="0" t="s">
        <v>174</v>
      </c>
      <c r="H7041" s="0" t="s">
        <v>174</v>
      </c>
      <c r="I7041" s="0" t="s">
        <v>41</v>
      </c>
      <c r="J7041" s="0" t="s">
        <v>42</v>
      </c>
      <c r="K7041" s="0" t="s">
        <v>48</v>
      </c>
      <c r="L7041" s="0" t="s">
        <v>49</v>
      </c>
      <c r="M7041" s="0" t="s">
        <v>173</v>
      </c>
      <c r="N7041" s="0" t="n">
        <v>927</v>
      </c>
      <c r="O7041" s="10" t="n">
        <v>0.433729761280119</v>
      </c>
      <c r="P7041" s="10" t="n">
        <v>0.719914150424302</v>
      </c>
      <c r="Q7041" s="0" t="str">
        <f aca="false">SUBSTITUTE(SUBSTITUTE($I7041,CHAR(61),""),CHAR(34),"")</f>
        <v>25-34</v>
      </c>
      <c r="R7041" s="0" t="str">
        <f aca="false">IF($D7041&lt;&gt;"","["&amp;$E7041&amp;"]"&amp;"|"&amp;$Q7041&amp;"|"&amp;$K7041&amp;"|"&amp;$G7041&amp;"|"&amp;IF($G7041="TX_CURR_SUBNAT.R","CY2022Q4",$M7041),"")</f>
        <v>[AZyWpGzhcaA]|25-34|Male|PLHIV_Attend.T2|CY2025Q3</v>
      </c>
    </row>
    <row r="7042" customFormat="false" ht="15" hidden="false" customHeight="false" outlineLevel="0" collapsed="false">
      <c r="D7042" s="0" t="s">
        <v>90</v>
      </c>
      <c r="E7042" s="0" t="s">
        <v>91</v>
      </c>
      <c r="F7042" s="0" t="s">
        <v>92</v>
      </c>
      <c r="G7042" s="0" t="s">
        <v>174</v>
      </c>
      <c r="H7042" s="0" t="s">
        <v>174</v>
      </c>
      <c r="I7042" s="0" t="s">
        <v>43</v>
      </c>
      <c r="J7042" s="0" t="s">
        <v>44</v>
      </c>
      <c r="K7042" s="0" t="s">
        <v>48</v>
      </c>
      <c r="L7042" s="0" t="s">
        <v>49</v>
      </c>
      <c r="M7042" s="0" t="s">
        <v>173</v>
      </c>
      <c r="N7042" s="0" t="n">
        <v>582</v>
      </c>
      <c r="O7042" s="10" t="n">
        <v>0.712819902924821</v>
      </c>
      <c r="P7042" s="10" t="n">
        <v>0.719914150424302</v>
      </c>
      <c r="Q7042" s="0" t="str">
        <f aca="false">SUBSTITUTE(SUBSTITUTE($I7042,CHAR(61),""),CHAR(34),"")</f>
        <v>35-49</v>
      </c>
      <c r="R7042" s="0" t="str">
        <f aca="false">IF($D7042&lt;&gt;"","["&amp;$E7042&amp;"]"&amp;"|"&amp;$Q7042&amp;"|"&amp;$K7042&amp;"|"&amp;$G7042&amp;"|"&amp;IF($G7042="TX_CURR_SUBNAT.R","CY2022Q4",$M7042),"")</f>
        <v>[AZyWpGzhcaA]|35-49|Male|PLHIV_Attend.T2|CY2025Q3</v>
      </c>
    </row>
    <row r="7043" customFormat="false" ht="15" hidden="false" customHeight="false" outlineLevel="0" collapsed="false">
      <c r="D7043" s="0" t="s">
        <v>90</v>
      </c>
      <c r="E7043" s="0" t="s">
        <v>91</v>
      </c>
      <c r="F7043" s="0" t="s">
        <v>92</v>
      </c>
      <c r="G7043" s="0" t="s">
        <v>174</v>
      </c>
      <c r="H7043" s="0" t="s">
        <v>174</v>
      </c>
      <c r="I7043" s="0" t="s">
        <v>45</v>
      </c>
      <c r="J7043" s="0" t="s">
        <v>46</v>
      </c>
      <c r="K7043" s="0" t="s">
        <v>48</v>
      </c>
      <c r="L7043" s="0" t="s">
        <v>49</v>
      </c>
      <c r="M7043" s="0" t="s">
        <v>173</v>
      </c>
      <c r="N7043" s="0" t="n">
        <v>1184</v>
      </c>
      <c r="O7043" s="10" t="n">
        <v>0.369499244960025</v>
      </c>
      <c r="P7043" s="10" t="n">
        <v>0.719914150424302</v>
      </c>
      <c r="Q7043" s="0" t="str">
        <f aca="false">SUBSTITUTE(SUBSTITUTE($I7043,CHAR(61),""),CHAR(34),"")</f>
        <v>50+</v>
      </c>
      <c r="R7043" s="0" t="str">
        <f aca="false">IF($D7043&lt;&gt;"","["&amp;$E7043&amp;"]"&amp;"|"&amp;$Q7043&amp;"|"&amp;$K7043&amp;"|"&amp;$G7043&amp;"|"&amp;IF($G7043="TX_CURR_SUBNAT.R","CY2022Q4",$M7043),"")</f>
        <v>[AZyWpGzhcaA]|50+|Male|PLHIV_Attend.T2|CY2025Q3</v>
      </c>
    </row>
    <row r="7044" customFormat="false" ht="15" hidden="false" customHeight="false" outlineLevel="0" collapsed="false">
      <c r="D7044" s="0" t="s">
        <v>93</v>
      </c>
      <c r="E7044" s="0" t="s">
        <v>94</v>
      </c>
      <c r="F7044" s="0" t="s">
        <v>95</v>
      </c>
      <c r="G7044" s="0" t="s">
        <v>174</v>
      </c>
      <c r="H7044" s="0" t="s">
        <v>174</v>
      </c>
      <c r="I7044" s="0" t="s">
        <v>28</v>
      </c>
      <c r="J7044" s="0" t="s">
        <v>29</v>
      </c>
      <c r="K7044" s="0" t="s">
        <v>30</v>
      </c>
      <c r="L7044" s="0" t="s">
        <v>31</v>
      </c>
      <c r="M7044" s="0" t="s">
        <v>173</v>
      </c>
      <c r="N7044" s="0" t="n">
        <v>961</v>
      </c>
      <c r="O7044" s="10" t="n">
        <v>0.403253823518753</v>
      </c>
      <c r="P7044" s="10" t="n">
        <v>0.362272296566516</v>
      </c>
      <c r="Q7044" s="0" t="str">
        <f aca="false">SUBSTITUTE(SUBSTITUTE($I7044,CHAR(61),""),CHAR(34),"")</f>
        <v>&lt;01</v>
      </c>
      <c r="R7044" s="0" t="str">
        <f aca="false">IF($D7044&lt;&gt;"","["&amp;$E7044&amp;"]"&amp;"|"&amp;$Q7044&amp;"|"&amp;$K7044&amp;"|"&amp;$G7044&amp;"|"&amp;IF($G7044="TX_CURR_SUBNAT.R","CY2022Q4",$M7044),"")</f>
        <v>[umc2n1Z4wNv]|&lt;01|Female|PLHIV_Attend.T2|CY2025Q3</v>
      </c>
    </row>
    <row r="7045" customFormat="false" ht="15" hidden="false" customHeight="false" outlineLevel="0" collapsed="false">
      <c r="D7045" s="0" t="s">
        <v>93</v>
      </c>
      <c r="E7045" s="0" t="s">
        <v>94</v>
      </c>
      <c r="F7045" s="0" t="s">
        <v>95</v>
      </c>
      <c r="G7045" s="0" t="s">
        <v>174</v>
      </c>
      <c r="H7045" s="0" t="s">
        <v>174</v>
      </c>
      <c r="I7045" s="0" t="s">
        <v>33</v>
      </c>
      <c r="J7045" s="0" t="s">
        <v>34</v>
      </c>
      <c r="K7045" s="0" t="s">
        <v>30</v>
      </c>
      <c r="L7045" s="0" t="s">
        <v>31</v>
      </c>
      <c r="M7045" s="0" t="s">
        <v>173</v>
      </c>
      <c r="N7045" s="0" t="n">
        <v>1265</v>
      </c>
      <c r="O7045" s="10" t="n">
        <v>0.700802913866937</v>
      </c>
      <c r="P7045" s="10" t="n">
        <v>0.362272296566516</v>
      </c>
      <c r="Q7045" s="0" t="str">
        <f aca="false">SUBSTITUTE(SUBSTITUTE($I7045,CHAR(61),""),CHAR(34),"")</f>
        <v>01-09</v>
      </c>
      <c r="R7045" s="0" t="str">
        <f aca="false">IF($D7045&lt;&gt;"","["&amp;$E7045&amp;"]"&amp;"|"&amp;$Q7045&amp;"|"&amp;$K7045&amp;"|"&amp;$G7045&amp;"|"&amp;IF($G7045="TX_CURR_SUBNAT.R","CY2022Q4",$M7045),"")</f>
        <v>[umc2n1Z4wNv]|01-09|Female|PLHIV_Attend.T2|CY2025Q3</v>
      </c>
    </row>
    <row r="7046" customFormat="false" ht="15" hidden="false" customHeight="false" outlineLevel="0" collapsed="false">
      <c r="D7046" s="0" t="s">
        <v>93</v>
      </c>
      <c r="E7046" s="0" t="s">
        <v>94</v>
      </c>
      <c r="F7046" s="0" t="s">
        <v>95</v>
      </c>
      <c r="G7046" s="0" t="s">
        <v>174</v>
      </c>
      <c r="H7046" s="0" t="s">
        <v>174</v>
      </c>
      <c r="I7046" s="0" t="s">
        <v>36</v>
      </c>
      <c r="J7046" s="0" t="s">
        <v>37</v>
      </c>
      <c r="K7046" s="0" t="s">
        <v>30</v>
      </c>
      <c r="L7046" s="0" t="s">
        <v>31</v>
      </c>
      <c r="M7046" s="0" t="s">
        <v>173</v>
      </c>
      <c r="N7046" s="0" t="n">
        <v>1717</v>
      </c>
      <c r="O7046" s="10" t="n">
        <v>0.834955837344751</v>
      </c>
      <c r="P7046" s="10" t="n">
        <v>0.362272296566516</v>
      </c>
      <c r="Q7046" s="0" t="str">
        <f aca="false">SUBSTITUTE(SUBSTITUTE($I7046,CHAR(61),""),CHAR(34),"")</f>
        <v>10-14</v>
      </c>
      <c r="R7046" s="0" t="str">
        <f aca="false">IF($D7046&lt;&gt;"","["&amp;$E7046&amp;"]"&amp;"|"&amp;$Q7046&amp;"|"&amp;$K7046&amp;"|"&amp;$G7046&amp;"|"&amp;IF($G7046="TX_CURR_SUBNAT.R","CY2022Q4",$M7046),"")</f>
        <v>[umc2n1Z4wNv]|10-14|Female|PLHIV_Attend.T2|CY2025Q3</v>
      </c>
    </row>
    <row r="7047" customFormat="false" ht="15" hidden="false" customHeight="false" outlineLevel="0" collapsed="false">
      <c r="D7047" s="0" t="s">
        <v>93</v>
      </c>
      <c r="E7047" s="0" t="s">
        <v>94</v>
      </c>
      <c r="F7047" s="0" t="s">
        <v>95</v>
      </c>
      <c r="G7047" s="0" t="s">
        <v>174</v>
      </c>
      <c r="H7047" s="0" t="s">
        <v>174</v>
      </c>
      <c r="I7047" s="0" t="s">
        <v>38</v>
      </c>
      <c r="J7047" s="0" t="s">
        <v>39</v>
      </c>
      <c r="K7047" s="0" t="s">
        <v>30</v>
      </c>
      <c r="L7047" s="0" t="s">
        <v>31</v>
      </c>
      <c r="M7047" s="0" t="s">
        <v>173</v>
      </c>
      <c r="N7047" s="0" t="n">
        <v>1914</v>
      </c>
      <c r="O7047" s="10" t="n">
        <v>0.0156532186083496</v>
      </c>
      <c r="P7047" s="10" t="n">
        <v>0.362272296566516</v>
      </c>
      <c r="Q7047" s="0" t="str">
        <f aca="false">SUBSTITUTE(SUBSTITUTE($I7047,CHAR(61),""),CHAR(34),"")</f>
        <v>15-24</v>
      </c>
      <c r="R7047" s="0" t="str">
        <f aca="false">IF($D7047&lt;&gt;"","["&amp;$E7047&amp;"]"&amp;"|"&amp;$Q7047&amp;"|"&amp;$K7047&amp;"|"&amp;$G7047&amp;"|"&amp;IF($G7047="TX_CURR_SUBNAT.R","CY2022Q4",$M7047),"")</f>
        <v>[umc2n1Z4wNv]|15-24|Female|PLHIV_Attend.T2|CY2025Q3</v>
      </c>
    </row>
    <row r="7048" customFormat="false" ht="15" hidden="false" customHeight="false" outlineLevel="0" collapsed="false">
      <c r="D7048" s="0" t="s">
        <v>93</v>
      </c>
      <c r="E7048" s="0" t="s">
        <v>94</v>
      </c>
      <c r="F7048" s="0" t="s">
        <v>95</v>
      </c>
      <c r="G7048" s="0" t="s">
        <v>174</v>
      </c>
      <c r="H7048" s="0" t="s">
        <v>174</v>
      </c>
      <c r="I7048" s="0" t="s">
        <v>41</v>
      </c>
      <c r="J7048" s="0" t="s">
        <v>42</v>
      </c>
      <c r="K7048" s="0" t="s">
        <v>30</v>
      </c>
      <c r="L7048" s="0" t="s">
        <v>31</v>
      </c>
      <c r="M7048" s="0" t="s">
        <v>173</v>
      </c>
      <c r="N7048" s="0" t="n">
        <v>1158</v>
      </c>
      <c r="O7048" s="10" t="n">
        <v>0.651316128438339</v>
      </c>
      <c r="P7048" s="10" t="n">
        <v>0.362272296566516</v>
      </c>
      <c r="Q7048" s="0" t="str">
        <f aca="false">SUBSTITUTE(SUBSTITUTE($I7048,CHAR(61),""),CHAR(34),"")</f>
        <v>25-34</v>
      </c>
      <c r="R7048" s="0" t="str">
        <f aca="false">IF($D7048&lt;&gt;"","["&amp;$E7048&amp;"]"&amp;"|"&amp;$Q7048&amp;"|"&amp;$K7048&amp;"|"&amp;$G7048&amp;"|"&amp;IF($G7048="TX_CURR_SUBNAT.R","CY2022Q4",$M7048),"")</f>
        <v>[umc2n1Z4wNv]|25-34|Female|PLHIV_Attend.T2|CY2025Q3</v>
      </c>
    </row>
    <row r="7049" customFormat="false" ht="15" hidden="false" customHeight="false" outlineLevel="0" collapsed="false">
      <c r="D7049" s="0" t="s">
        <v>93</v>
      </c>
      <c r="E7049" s="0" t="s">
        <v>94</v>
      </c>
      <c r="F7049" s="0" t="s">
        <v>95</v>
      </c>
      <c r="G7049" s="0" t="s">
        <v>174</v>
      </c>
      <c r="H7049" s="0" t="s">
        <v>174</v>
      </c>
      <c r="I7049" s="0" t="s">
        <v>43</v>
      </c>
      <c r="J7049" s="0" t="s">
        <v>44</v>
      </c>
      <c r="K7049" s="0" t="s">
        <v>30</v>
      </c>
      <c r="L7049" s="0" t="s">
        <v>31</v>
      </c>
      <c r="M7049" s="0" t="s">
        <v>173</v>
      </c>
      <c r="N7049" s="0" t="n">
        <v>1198</v>
      </c>
      <c r="O7049" s="10" t="n">
        <v>0.0993739305995405</v>
      </c>
      <c r="P7049" s="10" t="n">
        <v>0.362272296566516</v>
      </c>
      <c r="Q7049" s="0" t="str">
        <f aca="false">SUBSTITUTE(SUBSTITUTE($I7049,CHAR(61),""),CHAR(34),"")</f>
        <v>35-49</v>
      </c>
      <c r="R7049" s="0" t="str">
        <f aca="false">IF($D7049&lt;&gt;"","["&amp;$E7049&amp;"]"&amp;"|"&amp;$Q7049&amp;"|"&amp;$K7049&amp;"|"&amp;$G7049&amp;"|"&amp;IF($G7049="TX_CURR_SUBNAT.R","CY2022Q4",$M7049),"")</f>
        <v>[umc2n1Z4wNv]|35-49|Female|PLHIV_Attend.T2|CY2025Q3</v>
      </c>
    </row>
    <row r="7050" customFormat="false" ht="15" hidden="false" customHeight="false" outlineLevel="0" collapsed="false">
      <c r="D7050" s="0" t="s">
        <v>93</v>
      </c>
      <c r="E7050" s="0" t="s">
        <v>94</v>
      </c>
      <c r="F7050" s="0" t="s">
        <v>95</v>
      </c>
      <c r="G7050" s="0" t="s">
        <v>174</v>
      </c>
      <c r="H7050" s="0" t="s">
        <v>174</v>
      </c>
      <c r="I7050" s="0" t="s">
        <v>45</v>
      </c>
      <c r="J7050" s="0" t="s">
        <v>46</v>
      </c>
      <c r="K7050" s="0" t="s">
        <v>30</v>
      </c>
      <c r="L7050" s="0" t="s">
        <v>31</v>
      </c>
      <c r="M7050" s="0" t="s">
        <v>173</v>
      </c>
      <c r="N7050" s="0" t="n">
        <v>1784</v>
      </c>
      <c r="O7050" s="10" t="n">
        <v>0.697845865041018</v>
      </c>
      <c r="P7050" s="10" t="n">
        <v>0.362272296566516</v>
      </c>
      <c r="Q7050" s="0" t="str">
        <f aca="false">SUBSTITUTE(SUBSTITUTE($I7050,CHAR(61),""),CHAR(34),"")</f>
        <v>50+</v>
      </c>
      <c r="R7050" s="0" t="str">
        <f aca="false">IF($D7050&lt;&gt;"","["&amp;$E7050&amp;"]"&amp;"|"&amp;$Q7050&amp;"|"&amp;$K7050&amp;"|"&amp;$G7050&amp;"|"&amp;IF($G7050="TX_CURR_SUBNAT.R","CY2022Q4",$M7050),"")</f>
        <v>[umc2n1Z4wNv]|50+|Female|PLHIV_Attend.T2|CY2025Q3</v>
      </c>
    </row>
    <row r="7051" customFormat="false" ht="15" hidden="false" customHeight="false" outlineLevel="0" collapsed="false">
      <c r="D7051" s="0" t="s">
        <v>93</v>
      </c>
      <c r="E7051" s="0" t="s">
        <v>94</v>
      </c>
      <c r="F7051" s="0" t="s">
        <v>95</v>
      </c>
      <c r="G7051" s="0" t="s">
        <v>174</v>
      </c>
      <c r="H7051" s="0" t="s">
        <v>174</v>
      </c>
      <c r="I7051" s="0" t="s">
        <v>28</v>
      </c>
      <c r="J7051" s="0" t="s">
        <v>29</v>
      </c>
      <c r="K7051" s="0" t="s">
        <v>48</v>
      </c>
      <c r="L7051" s="0" t="s">
        <v>49</v>
      </c>
      <c r="M7051" s="0" t="s">
        <v>173</v>
      </c>
      <c r="N7051" s="0" t="n">
        <v>584</v>
      </c>
      <c r="O7051" s="10" t="n">
        <v>0.7872417292092</v>
      </c>
      <c r="P7051" s="10" t="n">
        <v>0.362272296566516</v>
      </c>
      <c r="Q7051" s="0" t="str">
        <f aca="false">SUBSTITUTE(SUBSTITUTE($I7051,CHAR(61),""),CHAR(34),"")</f>
        <v>&lt;01</v>
      </c>
      <c r="R7051" s="0" t="str">
        <f aca="false">IF($D7051&lt;&gt;"","["&amp;$E7051&amp;"]"&amp;"|"&amp;$Q7051&amp;"|"&amp;$K7051&amp;"|"&amp;$G7051&amp;"|"&amp;IF($G7051="TX_CURR_SUBNAT.R","CY2022Q4",$M7051),"")</f>
        <v>[umc2n1Z4wNv]|&lt;01|Male|PLHIV_Attend.T2|CY2025Q3</v>
      </c>
    </row>
    <row r="7052" customFormat="false" ht="15" hidden="false" customHeight="false" outlineLevel="0" collapsed="false">
      <c r="D7052" s="0" t="s">
        <v>93</v>
      </c>
      <c r="E7052" s="0" t="s">
        <v>94</v>
      </c>
      <c r="F7052" s="0" t="s">
        <v>95</v>
      </c>
      <c r="G7052" s="0" t="s">
        <v>174</v>
      </c>
      <c r="H7052" s="0" t="s">
        <v>174</v>
      </c>
      <c r="I7052" s="0" t="s">
        <v>33</v>
      </c>
      <c r="J7052" s="0" t="s">
        <v>34</v>
      </c>
      <c r="K7052" s="0" t="s">
        <v>48</v>
      </c>
      <c r="L7052" s="0" t="s">
        <v>49</v>
      </c>
      <c r="M7052" s="0" t="s">
        <v>173</v>
      </c>
      <c r="N7052" s="0" t="n">
        <v>724</v>
      </c>
      <c r="O7052" s="10" t="n">
        <v>0.952101811766624</v>
      </c>
      <c r="P7052" s="10" t="n">
        <v>0.362272296566516</v>
      </c>
      <c r="Q7052" s="0" t="str">
        <f aca="false">SUBSTITUTE(SUBSTITUTE($I7052,CHAR(61),""),CHAR(34),"")</f>
        <v>01-09</v>
      </c>
      <c r="R7052" s="0" t="str">
        <f aca="false">IF($D7052&lt;&gt;"","["&amp;$E7052&amp;"]"&amp;"|"&amp;$Q7052&amp;"|"&amp;$K7052&amp;"|"&amp;$G7052&amp;"|"&amp;IF($G7052="TX_CURR_SUBNAT.R","CY2022Q4",$M7052),"")</f>
        <v>[umc2n1Z4wNv]|01-09|Male|PLHIV_Attend.T2|CY2025Q3</v>
      </c>
    </row>
    <row r="7053" customFormat="false" ht="15" hidden="false" customHeight="false" outlineLevel="0" collapsed="false">
      <c r="D7053" s="0" t="s">
        <v>93</v>
      </c>
      <c r="E7053" s="0" t="s">
        <v>94</v>
      </c>
      <c r="F7053" s="0" t="s">
        <v>95</v>
      </c>
      <c r="G7053" s="0" t="s">
        <v>174</v>
      </c>
      <c r="H7053" s="0" t="s">
        <v>174</v>
      </c>
      <c r="I7053" s="0" t="s">
        <v>36</v>
      </c>
      <c r="J7053" s="0" t="s">
        <v>37</v>
      </c>
      <c r="K7053" s="0" t="s">
        <v>48</v>
      </c>
      <c r="L7053" s="0" t="s">
        <v>49</v>
      </c>
      <c r="M7053" s="0" t="s">
        <v>173</v>
      </c>
      <c r="N7053" s="0" t="n">
        <v>912</v>
      </c>
      <c r="O7053" s="10" t="n">
        <v>0.723666781093925</v>
      </c>
      <c r="P7053" s="10" t="n">
        <v>0.362272296566516</v>
      </c>
      <c r="Q7053" s="0" t="str">
        <f aca="false">SUBSTITUTE(SUBSTITUTE($I7053,CHAR(61),""),CHAR(34),"")</f>
        <v>10-14</v>
      </c>
      <c r="R7053" s="0" t="str">
        <f aca="false">IF($D7053&lt;&gt;"","["&amp;$E7053&amp;"]"&amp;"|"&amp;$Q7053&amp;"|"&amp;$K7053&amp;"|"&amp;$G7053&amp;"|"&amp;IF($G7053="TX_CURR_SUBNAT.R","CY2022Q4",$M7053),"")</f>
        <v>[umc2n1Z4wNv]|10-14|Male|PLHIV_Attend.T2|CY2025Q3</v>
      </c>
    </row>
    <row r="7054" customFormat="false" ht="15" hidden="false" customHeight="false" outlineLevel="0" collapsed="false">
      <c r="D7054" s="0" t="s">
        <v>93</v>
      </c>
      <c r="E7054" s="0" t="s">
        <v>94</v>
      </c>
      <c r="F7054" s="0" t="s">
        <v>95</v>
      </c>
      <c r="G7054" s="0" t="s">
        <v>174</v>
      </c>
      <c r="H7054" s="0" t="s">
        <v>174</v>
      </c>
      <c r="I7054" s="0" t="s">
        <v>38</v>
      </c>
      <c r="J7054" s="0" t="s">
        <v>39</v>
      </c>
      <c r="K7054" s="0" t="s">
        <v>48</v>
      </c>
      <c r="L7054" s="0" t="s">
        <v>49</v>
      </c>
      <c r="M7054" s="0" t="s">
        <v>173</v>
      </c>
      <c r="N7054" s="0" t="n">
        <v>1651</v>
      </c>
      <c r="O7054" s="10" t="n">
        <v>0.0689778188243508</v>
      </c>
      <c r="P7054" s="10" t="n">
        <v>0.362272296566516</v>
      </c>
      <c r="Q7054" s="0" t="str">
        <f aca="false">SUBSTITUTE(SUBSTITUTE($I7054,CHAR(61),""),CHAR(34),"")</f>
        <v>15-24</v>
      </c>
      <c r="R7054" s="0" t="str">
        <f aca="false">IF($D7054&lt;&gt;"","["&amp;$E7054&amp;"]"&amp;"|"&amp;$Q7054&amp;"|"&amp;$K7054&amp;"|"&amp;$G7054&amp;"|"&amp;IF($G7054="TX_CURR_SUBNAT.R","CY2022Q4",$M7054),"")</f>
        <v>[umc2n1Z4wNv]|15-24|Male|PLHIV_Attend.T2|CY2025Q3</v>
      </c>
    </row>
    <row r="7055" customFormat="false" ht="15" hidden="false" customHeight="false" outlineLevel="0" collapsed="false">
      <c r="D7055" s="0" t="s">
        <v>93</v>
      </c>
      <c r="E7055" s="0" t="s">
        <v>94</v>
      </c>
      <c r="F7055" s="0" t="s">
        <v>95</v>
      </c>
      <c r="G7055" s="0" t="s">
        <v>174</v>
      </c>
      <c r="H7055" s="0" t="s">
        <v>174</v>
      </c>
      <c r="I7055" s="0" t="s">
        <v>41</v>
      </c>
      <c r="J7055" s="0" t="s">
        <v>42</v>
      </c>
      <c r="K7055" s="0" t="s">
        <v>48</v>
      </c>
      <c r="L7055" s="0" t="s">
        <v>49</v>
      </c>
      <c r="M7055" s="0" t="s">
        <v>173</v>
      </c>
      <c r="N7055" s="0" t="n">
        <v>569</v>
      </c>
      <c r="O7055" s="10" t="n">
        <v>0.949460679898039</v>
      </c>
      <c r="P7055" s="10" t="n">
        <v>0.362272296566516</v>
      </c>
      <c r="Q7055" s="0" t="str">
        <f aca="false">SUBSTITUTE(SUBSTITUTE($I7055,CHAR(61),""),CHAR(34),"")</f>
        <v>25-34</v>
      </c>
      <c r="R7055" s="0" t="str">
        <f aca="false">IF($D7055&lt;&gt;"","["&amp;$E7055&amp;"]"&amp;"|"&amp;$Q7055&amp;"|"&amp;$K7055&amp;"|"&amp;$G7055&amp;"|"&amp;IF($G7055="TX_CURR_SUBNAT.R","CY2022Q4",$M7055),"")</f>
        <v>[umc2n1Z4wNv]|25-34|Male|PLHIV_Attend.T2|CY2025Q3</v>
      </c>
    </row>
    <row r="7056" customFormat="false" ht="15" hidden="false" customHeight="false" outlineLevel="0" collapsed="false">
      <c r="D7056" s="0" t="s">
        <v>93</v>
      </c>
      <c r="E7056" s="0" t="s">
        <v>94</v>
      </c>
      <c r="F7056" s="0" t="s">
        <v>95</v>
      </c>
      <c r="G7056" s="0" t="s">
        <v>174</v>
      </c>
      <c r="H7056" s="0" t="s">
        <v>174</v>
      </c>
      <c r="I7056" s="0" t="s">
        <v>43</v>
      </c>
      <c r="J7056" s="0" t="s">
        <v>44</v>
      </c>
      <c r="K7056" s="0" t="s">
        <v>48</v>
      </c>
      <c r="L7056" s="0" t="s">
        <v>49</v>
      </c>
      <c r="M7056" s="0" t="s">
        <v>173</v>
      </c>
      <c r="N7056" s="0" t="n">
        <v>1847</v>
      </c>
      <c r="O7056" s="10" t="n">
        <v>0.235390820540488</v>
      </c>
      <c r="P7056" s="10" t="n">
        <v>0.362272296566516</v>
      </c>
      <c r="Q7056" s="0" t="str">
        <f aca="false">SUBSTITUTE(SUBSTITUTE($I7056,CHAR(61),""),CHAR(34),"")</f>
        <v>35-49</v>
      </c>
      <c r="R7056" s="0" t="str">
        <f aca="false">IF($D7056&lt;&gt;"","["&amp;$E7056&amp;"]"&amp;"|"&amp;$Q7056&amp;"|"&amp;$K7056&amp;"|"&amp;$G7056&amp;"|"&amp;IF($G7056="TX_CURR_SUBNAT.R","CY2022Q4",$M7056),"")</f>
        <v>[umc2n1Z4wNv]|35-49|Male|PLHIV_Attend.T2|CY2025Q3</v>
      </c>
    </row>
    <row r="7057" customFormat="false" ht="15" hidden="false" customHeight="false" outlineLevel="0" collapsed="false">
      <c r="D7057" s="0" t="s">
        <v>93</v>
      </c>
      <c r="E7057" s="0" t="s">
        <v>94</v>
      </c>
      <c r="F7057" s="0" t="s">
        <v>95</v>
      </c>
      <c r="G7057" s="0" t="s">
        <v>174</v>
      </c>
      <c r="H7057" s="0" t="s">
        <v>174</v>
      </c>
      <c r="I7057" s="0" t="s">
        <v>45</v>
      </c>
      <c r="J7057" s="0" t="s">
        <v>46</v>
      </c>
      <c r="K7057" s="0" t="s">
        <v>48</v>
      </c>
      <c r="L7057" s="0" t="s">
        <v>49</v>
      </c>
      <c r="M7057" s="0" t="s">
        <v>173</v>
      </c>
      <c r="N7057" s="0" t="n">
        <v>1690</v>
      </c>
      <c r="O7057" s="10" t="n">
        <v>0.728468851186335</v>
      </c>
      <c r="P7057" s="10" t="n">
        <v>0.362272296566516</v>
      </c>
      <c r="Q7057" s="0" t="str">
        <f aca="false">SUBSTITUTE(SUBSTITUTE($I7057,CHAR(61),""),CHAR(34),"")</f>
        <v>50+</v>
      </c>
      <c r="R7057" s="0" t="str">
        <f aca="false">IF($D7057&lt;&gt;"","["&amp;$E7057&amp;"]"&amp;"|"&amp;$Q7057&amp;"|"&amp;$K7057&amp;"|"&amp;$G7057&amp;"|"&amp;IF($G7057="TX_CURR_SUBNAT.R","CY2022Q4",$M7057),"")</f>
        <v>[umc2n1Z4wNv]|50+|Male|PLHIV_Attend.T2|CY2025Q3</v>
      </c>
    </row>
    <row r="7058" customFormat="false" ht="15" hidden="false" customHeight="false" outlineLevel="0" collapsed="false">
      <c r="D7058" s="0" t="s">
        <v>96</v>
      </c>
      <c r="E7058" s="0" t="s">
        <v>97</v>
      </c>
      <c r="F7058" s="0" t="s">
        <v>98</v>
      </c>
      <c r="G7058" s="0" t="s">
        <v>174</v>
      </c>
      <c r="H7058" s="0" t="s">
        <v>174</v>
      </c>
      <c r="I7058" s="0" t="s">
        <v>28</v>
      </c>
      <c r="J7058" s="0" t="s">
        <v>29</v>
      </c>
      <c r="K7058" s="0" t="s">
        <v>30</v>
      </c>
      <c r="L7058" s="0" t="s">
        <v>31</v>
      </c>
      <c r="M7058" s="0" t="s">
        <v>173</v>
      </c>
      <c r="N7058" s="0" t="n">
        <v>996</v>
      </c>
      <c r="O7058" s="10" t="n">
        <v>0.751896884059533</v>
      </c>
      <c r="P7058" s="10" t="n">
        <v>0.601251717889681</v>
      </c>
      <c r="Q7058" s="0" t="str">
        <f aca="false">SUBSTITUTE(SUBSTITUTE($I7058,CHAR(61),""),CHAR(34),"")</f>
        <v>&lt;01</v>
      </c>
      <c r="R7058" s="0" t="str">
        <f aca="false">IF($D7058&lt;&gt;"","["&amp;$E7058&amp;"]"&amp;"|"&amp;$Q7058&amp;"|"&amp;$K7058&amp;"|"&amp;$G7058&amp;"|"&amp;IF($G7058="TX_CURR_SUBNAT.R","CY2022Q4",$M7058),"")</f>
        <v>[gwVYinjBAe9]|&lt;01|Female|PLHIV_Attend.T2|CY2025Q3</v>
      </c>
    </row>
    <row r="7059" customFormat="false" ht="15" hidden="false" customHeight="false" outlineLevel="0" collapsed="false">
      <c r="D7059" s="0" t="s">
        <v>96</v>
      </c>
      <c r="E7059" s="0" t="s">
        <v>97</v>
      </c>
      <c r="F7059" s="0" t="s">
        <v>98</v>
      </c>
      <c r="G7059" s="0" t="s">
        <v>174</v>
      </c>
      <c r="H7059" s="0" t="s">
        <v>174</v>
      </c>
      <c r="I7059" s="0" t="s">
        <v>33</v>
      </c>
      <c r="J7059" s="0" t="s">
        <v>34</v>
      </c>
      <c r="K7059" s="0" t="s">
        <v>30</v>
      </c>
      <c r="L7059" s="0" t="s">
        <v>31</v>
      </c>
      <c r="M7059" s="0" t="s">
        <v>173</v>
      </c>
      <c r="N7059" s="0" t="n">
        <v>1381</v>
      </c>
      <c r="O7059" s="10" t="n">
        <v>0.379324741428718</v>
      </c>
      <c r="P7059" s="10" t="n">
        <v>0.601251717889681</v>
      </c>
      <c r="Q7059" s="0" t="str">
        <f aca="false">SUBSTITUTE(SUBSTITUTE($I7059,CHAR(61),""),CHAR(34),"")</f>
        <v>01-09</v>
      </c>
      <c r="R7059" s="0" t="str">
        <f aca="false">IF($D7059&lt;&gt;"","["&amp;$E7059&amp;"]"&amp;"|"&amp;$Q7059&amp;"|"&amp;$K7059&amp;"|"&amp;$G7059&amp;"|"&amp;IF($G7059="TX_CURR_SUBNAT.R","CY2022Q4",$M7059),"")</f>
        <v>[gwVYinjBAe9]|01-09|Female|PLHIV_Attend.T2|CY2025Q3</v>
      </c>
    </row>
    <row r="7060" customFormat="false" ht="15" hidden="false" customHeight="false" outlineLevel="0" collapsed="false">
      <c r="D7060" s="0" t="s">
        <v>96</v>
      </c>
      <c r="E7060" s="0" t="s">
        <v>97</v>
      </c>
      <c r="F7060" s="0" t="s">
        <v>98</v>
      </c>
      <c r="G7060" s="0" t="s">
        <v>174</v>
      </c>
      <c r="H7060" s="0" t="s">
        <v>174</v>
      </c>
      <c r="I7060" s="0" t="s">
        <v>36</v>
      </c>
      <c r="J7060" s="0" t="s">
        <v>37</v>
      </c>
      <c r="K7060" s="0" t="s">
        <v>30</v>
      </c>
      <c r="L7060" s="0" t="s">
        <v>31</v>
      </c>
      <c r="M7060" s="0" t="s">
        <v>173</v>
      </c>
      <c r="N7060" s="0" t="n">
        <v>1676</v>
      </c>
      <c r="O7060" s="10" t="n">
        <v>0.609244493534788</v>
      </c>
      <c r="P7060" s="10" t="n">
        <v>0.601251717889681</v>
      </c>
      <c r="Q7060" s="0" t="str">
        <f aca="false">SUBSTITUTE(SUBSTITUTE($I7060,CHAR(61),""),CHAR(34),"")</f>
        <v>10-14</v>
      </c>
      <c r="R7060" s="0" t="str">
        <f aca="false">IF($D7060&lt;&gt;"","["&amp;$E7060&amp;"]"&amp;"|"&amp;$Q7060&amp;"|"&amp;$K7060&amp;"|"&amp;$G7060&amp;"|"&amp;IF($G7060="TX_CURR_SUBNAT.R","CY2022Q4",$M7060),"")</f>
        <v>[gwVYinjBAe9]|10-14|Female|PLHIV_Attend.T2|CY2025Q3</v>
      </c>
    </row>
    <row r="7061" customFormat="false" ht="15" hidden="false" customHeight="false" outlineLevel="0" collapsed="false">
      <c r="D7061" s="0" t="s">
        <v>96</v>
      </c>
      <c r="E7061" s="0" t="s">
        <v>97</v>
      </c>
      <c r="F7061" s="0" t="s">
        <v>98</v>
      </c>
      <c r="G7061" s="0" t="s">
        <v>174</v>
      </c>
      <c r="H7061" s="0" t="s">
        <v>174</v>
      </c>
      <c r="I7061" s="0" t="s">
        <v>38</v>
      </c>
      <c r="J7061" s="0" t="s">
        <v>39</v>
      </c>
      <c r="K7061" s="0" t="s">
        <v>30</v>
      </c>
      <c r="L7061" s="0" t="s">
        <v>31</v>
      </c>
      <c r="M7061" s="0" t="s">
        <v>173</v>
      </c>
      <c r="N7061" s="0" t="n">
        <v>1989</v>
      </c>
      <c r="O7061" s="10" t="n">
        <v>0.967477888567373</v>
      </c>
      <c r="P7061" s="10" t="n">
        <v>0.601251717889681</v>
      </c>
      <c r="Q7061" s="0" t="str">
        <f aca="false">SUBSTITUTE(SUBSTITUTE($I7061,CHAR(61),""),CHAR(34),"")</f>
        <v>15-24</v>
      </c>
      <c r="R7061" s="0" t="str">
        <f aca="false">IF($D7061&lt;&gt;"","["&amp;$E7061&amp;"]"&amp;"|"&amp;$Q7061&amp;"|"&amp;$K7061&amp;"|"&amp;$G7061&amp;"|"&amp;IF($G7061="TX_CURR_SUBNAT.R","CY2022Q4",$M7061),"")</f>
        <v>[gwVYinjBAe9]|15-24|Female|PLHIV_Attend.T2|CY2025Q3</v>
      </c>
    </row>
    <row r="7062" customFormat="false" ht="15" hidden="false" customHeight="false" outlineLevel="0" collapsed="false">
      <c r="D7062" s="0" t="s">
        <v>96</v>
      </c>
      <c r="E7062" s="0" t="s">
        <v>97</v>
      </c>
      <c r="F7062" s="0" t="s">
        <v>98</v>
      </c>
      <c r="G7062" s="0" t="s">
        <v>174</v>
      </c>
      <c r="H7062" s="0" t="s">
        <v>174</v>
      </c>
      <c r="I7062" s="0" t="s">
        <v>41</v>
      </c>
      <c r="J7062" s="0" t="s">
        <v>42</v>
      </c>
      <c r="K7062" s="0" t="s">
        <v>30</v>
      </c>
      <c r="L7062" s="0" t="s">
        <v>31</v>
      </c>
      <c r="M7062" s="0" t="s">
        <v>173</v>
      </c>
      <c r="N7062" s="0" t="n">
        <v>1482</v>
      </c>
      <c r="O7062" s="10" t="n">
        <v>0.315757527016103</v>
      </c>
      <c r="P7062" s="10" t="n">
        <v>0.601251717889681</v>
      </c>
      <c r="Q7062" s="0" t="str">
        <f aca="false">SUBSTITUTE(SUBSTITUTE($I7062,CHAR(61),""),CHAR(34),"")</f>
        <v>25-34</v>
      </c>
      <c r="R7062" s="0" t="str">
        <f aca="false">IF($D7062&lt;&gt;"","["&amp;$E7062&amp;"]"&amp;"|"&amp;$Q7062&amp;"|"&amp;$K7062&amp;"|"&amp;$G7062&amp;"|"&amp;IF($G7062="TX_CURR_SUBNAT.R","CY2022Q4",$M7062),"")</f>
        <v>[gwVYinjBAe9]|25-34|Female|PLHIV_Attend.T2|CY2025Q3</v>
      </c>
    </row>
    <row r="7063" customFormat="false" ht="15" hidden="false" customHeight="false" outlineLevel="0" collapsed="false">
      <c r="D7063" s="0" t="s">
        <v>96</v>
      </c>
      <c r="E7063" s="0" t="s">
        <v>97</v>
      </c>
      <c r="F7063" s="0" t="s">
        <v>98</v>
      </c>
      <c r="G7063" s="0" t="s">
        <v>174</v>
      </c>
      <c r="H7063" s="0" t="s">
        <v>174</v>
      </c>
      <c r="I7063" s="0" t="s">
        <v>43</v>
      </c>
      <c r="J7063" s="0" t="s">
        <v>44</v>
      </c>
      <c r="K7063" s="0" t="s">
        <v>30</v>
      </c>
      <c r="L7063" s="0" t="s">
        <v>31</v>
      </c>
      <c r="M7063" s="0" t="s">
        <v>173</v>
      </c>
      <c r="N7063" s="0" t="n">
        <v>1814</v>
      </c>
      <c r="O7063" s="10" t="n">
        <v>0.0895452196709812</v>
      </c>
      <c r="P7063" s="10" t="n">
        <v>0.601251717889681</v>
      </c>
      <c r="Q7063" s="0" t="str">
        <f aca="false">SUBSTITUTE(SUBSTITUTE($I7063,CHAR(61),""),CHAR(34),"")</f>
        <v>35-49</v>
      </c>
      <c r="R7063" s="0" t="str">
        <f aca="false">IF($D7063&lt;&gt;"","["&amp;$E7063&amp;"]"&amp;"|"&amp;$Q7063&amp;"|"&amp;$K7063&amp;"|"&amp;$G7063&amp;"|"&amp;IF($G7063="TX_CURR_SUBNAT.R","CY2022Q4",$M7063),"")</f>
        <v>[gwVYinjBAe9]|35-49|Female|PLHIV_Attend.T2|CY2025Q3</v>
      </c>
    </row>
    <row r="7064" customFormat="false" ht="15" hidden="false" customHeight="false" outlineLevel="0" collapsed="false">
      <c r="D7064" s="0" t="s">
        <v>96</v>
      </c>
      <c r="E7064" s="0" t="s">
        <v>97</v>
      </c>
      <c r="F7064" s="0" t="s">
        <v>98</v>
      </c>
      <c r="G7064" s="0" t="s">
        <v>174</v>
      </c>
      <c r="H7064" s="0" t="s">
        <v>174</v>
      </c>
      <c r="I7064" s="0" t="s">
        <v>45</v>
      </c>
      <c r="J7064" s="0" t="s">
        <v>46</v>
      </c>
      <c r="K7064" s="0" t="s">
        <v>30</v>
      </c>
      <c r="L7064" s="0" t="s">
        <v>31</v>
      </c>
      <c r="M7064" s="0" t="s">
        <v>173</v>
      </c>
      <c r="N7064" s="0" t="n">
        <v>1489</v>
      </c>
      <c r="O7064" s="10" t="n">
        <v>0.626695348415524</v>
      </c>
      <c r="P7064" s="10" t="n">
        <v>0.601251717889681</v>
      </c>
      <c r="Q7064" s="0" t="str">
        <f aca="false">SUBSTITUTE(SUBSTITUTE($I7064,CHAR(61),""),CHAR(34),"")</f>
        <v>50+</v>
      </c>
      <c r="R7064" s="0" t="str">
        <f aca="false">IF($D7064&lt;&gt;"","["&amp;$E7064&amp;"]"&amp;"|"&amp;$Q7064&amp;"|"&amp;$K7064&amp;"|"&amp;$G7064&amp;"|"&amp;IF($G7064="TX_CURR_SUBNAT.R","CY2022Q4",$M7064),"")</f>
        <v>[gwVYinjBAe9]|50+|Female|PLHIV_Attend.T2|CY2025Q3</v>
      </c>
    </row>
    <row r="7065" customFormat="false" ht="15" hidden="false" customHeight="false" outlineLevel="0" collapsed="false">
      <c r="D7065" s="0" t="s">
        <v>96</v>
      </c>
      <c r="E7065" s="0" t="s">
        <v>97</v>
      </c>
      <c r="F7065" s="0" t="s">
        <v>98</v>
      </c>
      <c r="G7065" s="0" t="s">
        <v>174</v>
      </c>
      <c r="H7065" s="0" t="s">
        <v>174</v>
      </c>
      <c r="I7065" s="0" t="s">
        <v>28</v>
      </c>
      <c r="J7065" s="0" t="s">
        <v>29</v>
      </c>
      <c r="K7065" s="0" t="s">
        <v>48</v>
      </c>
      <c r="L7065" s="0" t="s">
        <v>49</v>
      </c>
      <c r="M7065" s="0" t="s">
        <v>173</v>
      </c>
      <c r="N7065" s="0" t="n">
        <v>1528</v>
      </c>
      <c r="O7065" s="10" t="n">
        <v>0.273355560610071</v>
      </c>
      <c r="P7065" s="10" t="n">
        <v>0.601251717889681</v>
      </c>
      <c r="Q7065" s="0" t="str">
        <f aca="false">SUBSTITUTE(SUBSTITUTE($I7065,CHAR(61),""),CHAR(34),"")</f>
        <v>&lt;01</v>
      </c>
      <c r="R7065" s="0" t="str">
        <f aca="false">IF($D7065&lt;&gt;"","["&amp;$E7065&amp;"]"&amp;"|"&amp;$Q7065&amp;"|"&amp;$K7065&amp;"|"&amp;$G7065&amp;"|"&amp;IF($G7065="TX_CURR_SUBNAT.R","CY2022Q4",$M7065),"")</f>
        <v>[gwVYinjBAe9]|&lt;01|Male|PLHIV_Attend.T2|CY2025Q3</v>
      </c>
    </row>
    <row r="7066" customFormat="false" ht="15" hidden="false" customHeight="false" outlineLevel="0" collapsed="false">
      <c r="D7066" s="0" t="s">
        <v>96</v>
      </c>
      <c r="E7066" s="0" t="s">
        <v>97</v>
      </c>
      <c r="F7066" s="0" t="s">
        <v>98</v>
      </c>
      <c r="G7066" s="0" t="s">
        <v>174</v>
      </c>
      <c r="H7066" s="0" t="s">
        <v>174</v>
      </c>
      <c r="I7066" s="0" t="s">
        <v>33</v>
      </c>
      <c r="J7066" s="0" t="s">
        <v>34</v>
      </c>
      <c r="K7066" s="0" t="s">
        <v>48</v>
      </c>
      <c r="L7066" s="0" t="s">
        <v>49</v>
      </c>
      <c r="M7066" s="0" t="s">
        <v>173</v>
      </c>
      <c r="N7066" s="0" t="n">
        <v>1045</v>
      </c>
      <c r="O7066" s="10" t="n">
        <v>0.670682747382671</v>
      </c>
      <c r="P7066" s="10" t="n">
        <v>0.601251717889681</v>
      </c>
      <c r="Q7066" s="0" t="str">
        <f aca="false">SUBSTITUTE(SUBSTITUTE($I7066,CHAR(61),""),CHAR(34),"")</f>
        <v>01-09</v>
      </c>
      <c r="R7066" s="0" t="str">
        <f aca="false">IF($D7066&lt;&gt;"","["&amp;$E7066&amp;"]"&amp;"|"&amp;$Q7066&amp;"|"&amp;$K7066&amp;"|"&amp;$G7066&amp;"|"&amp;IF($G7066="TX_CURR_SUBNAT.R","CY2022Q4",$M7066),"")</f>
        <v>[gwVYinjBAe9]|01-09|Male|PLHIV_Attend.T2|CY2025Q3</v>
      </c>
    </row>
    <row r="7067" customFormat="false" ht="15" hidden="false" customHeight="false" outlineLevel="0" collapsed="false">
      <c r="D7067" s="0" t="s">
        <v>96</v>
      </c>
      <c r="E7067" s="0" t="s">
        <v>97</v>
      </c>
      <c r="F7067" s="0" t="s">
        <v>98</v>
      </c>
      <c r="G7067" s="0" t="s">
        <v>174</v>
      </c>
      <c r="H7067" s="0" t="s">
        <v>174</v>
      </c>
      <c r="I7067" s="0" t="s">
        <v>36</v>
      </c>
      <c r="J7067" s="0" t="s">
        <v>37</v>
      </c>
      <c r="K7067" s="0" t="s">
        <v>48</v>
      </c>
      <c r="L7067" s="0" t="s">
        <v>49</v>
      </c>
      <c r="M7067" s="0" t="s">
        <v>173</v>
      </c>
      <c r="N7067" s="0" t="n">
        <v>1486</v>
      </c>
      <c r="O7067" s="10" t="n">
        <v>0.576081277336925</v>
      </c>
      <c r="P7067" s="10" t="n">
        <v>0.601251717889681</v>
      </c>
      <c r="Q7067" s="0" t="str">
        <f aca="false">SUBSTITUTE(SUBSTITUTE($I7067,CHAR(61),""),CHAR(34),"")</f>
        <v>10-14</v>
      </c>
      <c r="R7067" s="0" t="str">
        <f aca="false">IF($D7067&lt;&gt;"","["&amp;$E7067&amp;"]"&amp;"|"&amp;$Q7067&amp;"|"&amp;$K7067&amp;"|"&amp;$G7067&amp;"|"&amp;IF($G7067="TX_CURR_SUBNAT.R","CY2022Q4",$M7067),"")</f>
        <v>[gwVYinjBAe9]|10-14|Male|PLHIV_Attend.T2|CY2025Q3</v>
      </c>
    </row>
    <row r="7068" customFormat="false" ht="15" hidden="false" customHeight="false" outlineLevel="0" collapsed="false">
      <c r="D7068" s="0" t="s">
        <v>96</v>
      </c>
      <c r="E7068" s="0" t="s">
        <v>97</v>
      </c>
      <c r="F7068" s="0" t="s">
        <v>98</v>
      </c>
      <c r="G7068" s="0" t="s">
        <v>174</v>
      </c>
      <c r="H7068" s="0" t="s">
        <v>174</v>
      </c>
      <c r="I7068" s="0" t="s">
        <v>38</v>
      </c>
      <c r="J7068" s="0" t="s">
        <v>39</v>
      </c>
      <c r="K7068" s="0" t="s">
        <v>48</v>
      </c>
      <c r="L7068" s="0" t="s">
        <v>49</v>
      </c>
      <c r="M7068" s="0" t="s">
        <v>173</v>
      </c>
      <c r="N7068" s="0" t="n">
        <v>1491</v>
      </c>
      <c r="O7068" s="10" t="n">
        <v>0.0262391797732562</v>
      </c>
      <c r="P7068" s="10" t="n">
        <v>0.601251717889681</v>
      </c>
      <c r="Q7068" s="0" t="str">
        <f aca="false">SUBSTITUTE(SUBSTITUTE($I7068,CHAR(61),""),CHAR(34),"")</f>
        <v>15-24</v>
      </c>
      <c r="R7068" s="0" t="str">
        <f aca="false">IF($D7068&lt;&gt;"","["&amp;$E7068&amp;"]"&amp;"|"&amp;$Q7068&amp;"|"&amp;$K7068&amp;"|"&amp;$G7068&amp;"|"&amp;IF($G7068="TX_CURR_SUBNAT.R","CY2022Q4",$M7068),"")</f>
        <v>[gwVYinjBAe9]|15-24|Male|PLHIV_Attend.T2|CY2025Q3</v>
      </c>
    </row>
    <row r="7069" customFormat="false" ht="15" hidden="false" customHeight="false" outlineLevel="0" collapsed="false">
      <c r="D7069" s="0" t="s">
        <v>96</v>
      </c>
      <c r="E7069" s="0" t="s">
        <v>97</v>
      </c>
      <c r="F7069" s="0" t="s">
        <v>98</v>
      </c>
      <c r="G7069" s="0" t="s">
        <v>174</v>
      </c>
      <c r="H7069" s="0" t="s">
        <v>174</v>
      </c>
      <c r="I7069" s="0" t="s">
        <v>41</v>
      </c>
      <c r="J7069" s="0" t="s">
        <v>42</v>
      </c>
      <c r="K7069" s="0" t="s">
        <v>48</v>
      </c>
      <c r="L7069" s="0" t="s">
        <v>49</v>
      </c>
      <c r="M7069" s="0" t="s">
        <v>173</v>
      </c>
      <c r="N7069" s="0" t="n">
        <v>1411</v>
      </c>
      <c r="O7069" s="10" t="n">
        <v>0.641441209707409</v>
      </c>
      <c r="P7069" s="10" t="n">
        <v>0.601251717889681</v>
      </c>
      <c r="Q7069" s="0" t="str">
        <f aca="false">SUBSTITUTE(SUBSTITUTE($I7069,CHAR(61),""),CHAR(34),"")</f>
        <v>25-34</v>
      </c>
      <c r="R7069" s="0" t="str">
        <f aca="false">IF($D7069&lt;&gt;"","["&amp;$E7069&amp;"]"&amp;"|"&amp;$Q7069&amp;"|"&amp;$K7069&amp;"|"&amp;$G7069&amp;"|"&amp;IF($G7069="TX_CURR_SUBNAT.R","CY2022Q4",$M7069),"")</f>
        <v>[gwVYinjBAe9]|25-34|Male|PLHIV_Attend.T2|CY2025Q3</v>
      </c>
    </row>
    <row r="7070" customFormat="false" ht="15" hidden="false" customHeight="false" outlineLevel="0" collapsed="false">
      <c r="D7070" s="0" t="s">
        <v>96</v>
      </c>
      <c r="E7070" s="0" t="s">
        <v>97</v>
      </c>
      <c r="F7070" s="0" t="s">
        <v>98</v>
      </c>
      <c r="G7070" s="0" t="s">
        <v>174</v>
      </c>
      <c r="H7070" s="0" t="s">
        <v>174</v>
      </c>
      <c r="I7070" s="0" t="s">
        <v>43</v>
      </c>
      <c r="J7070" s="0" t="s">
        <v>44</v>
      </c>
      <c r="K7070" s="0" t="s">
        <v>48</v>
      </c>
      <c r="L7070" s="0" t="s">
        <v>49</v>
      </c>
      <c r="M7070" s="0" t="s">
        <v>173</v>
      </c>
      <c r="N7070" s="0" t="n">
        <v>563</v>
      </c>
      <c r="O7070" s="10" t="n">
        <v>0.613120312104002</v>
      </c>
      <c r="P7070" s="10" t="n">
        <v>0.601251717889681</v>
      </c>
      <c r="Q7070" s="0" t="str">
        <f aca="false">SUBSTITUTE(SUBSTITUTE($I7070,CHAR(61),""),CHAR(34),"")</f>
        <v>35-49</v>
      </c>
      <c r="R7070" s="0" t="str">
        <f aca="false">IF($D7070&lt;&gt;"","["&amp;$E7070&amp;"]"&amp;"|"&amp;$Q7070&amp;"|"&amp;$K7070&amp;"|"&amp;$G7070&amp;"|"&amp;IF($G7070="TX_CURR_SUBNAT.R","CY2022Q4",$M7070),"")</f>
        <v>[gwVYinjBAe9]|35-49|Male|PLHIV_Attend.T2|CY2025Q3</v>
      </c>
    </row>
    <row r="7071" customFormat="false" ht="15" hidden="false" customHeight="false" outlineLevel="0" collapsed="false">
      <c r="D7071" s="0" t="s">
        <v>96</v>
      </c>
      <c r="E7071" s="0" t="s">
        <v>97</v>
      </c>
      <c r="F7071" s="0" t="s">
        <v>98</v>
      </c>
      <c r="G7071" s="0" t="s">
        <v>174</v>
      </c>
      <c r="H7071" s="0" t="s">
        <v>174</v>
      </c>
      <c r="I7071" s="0" t="s">
        <v>45</v>
      </c>
      <c r="J7071" s="0" t="s">
        <v>46</v>
      </c>
      <c r="K7071" s="0" t="s">
        <v>48</v>
      </c>
      <c r="L7071" s="0" t="s">
        <v>49</v>
      </c>
      <c r="M7071" s="0" t="s">
        <v>173</v>
      </c>
      <c r="N7071" s="0" t="n">
        <v>1839</v>
      </c>
      <c r="O7071" s="10" t="n">
        <v>0.880801400635391</v>
      </c>
      <c r="P7071" s="10" t="n">
        <v>0.601251717889681</v>
      </c>
      <c r="Q7071" s="0" t="str">
        <f aca="false">SUBSTITUTE(SUBSTITUTE($I7071,CHAR(61),""),CHAR(34),"")</f>
        <v>50+</v>
      </c>
      <c r="R7071" s="0" t="str">
        <f aca="false">IF($D7071&lt;&gt;"","["&amp;$E7071&amp;"]"&amp;"|"&amp;$Q7071&amp;"|"&amp;$K7071&amp;"|"&amp;$G7071&amp;"|"&amp;IF($G7071="TX_CURR_SUBNAT.R","CY2022Q4",$M7071),"")</f>
        <v>[gwVYinjBAe9]|50+|Male|PLHIV_Attend.T2|CY2025Q3</v>
      </c>
    </row>
    <row r="7072" customFormat="false" ht="15" hidden="false" customHeight="false" outlineLevel="0" collapsed="false">
      <c r="D7072" s="0" t="s">
        <v>99</v>
      </c>
      <c r="E7072" s="0" t="s">
        <v>100</v>
      </c>
      <c r="F7072" s="0" t="s">
        <v>101</v>
      </c>
      <c r="G7072" s="0" t="s">
        <v>174</v>
      </c>
      <c r="H7072" s="0" t="s">
        <v>174</v>
      </c>
      <c r="I7072" s="0" t="s">
        <v>28</v>
      </c>
      <c r="J7072" s="0" t="s">
        <v>29</v>
      </c>
      <c r="K7072" s="0" t="s">
        <v>30</v>
      </c>
      <c r="L7072" s="0" t="s">
        <v>31</v>
      </c>
      <c r="M7072" s="0" t="s">
        <v>173</v>
      </c>
      <c r="N7072" s="0" t="n">
        <v>1672</v>
      </c>
      <c r="O7072" s="10" t="n">
        <v>0.906118429498747</v>
      </c>
      <c r="P7072" s="10" t="n">
        <v>0.577288038097322</v>
      </c>
      <c r="Q7072" s="0" t="str">
        <f aca="false">SUBSTITUTE(SUBSTITUTE($I7072,CHAR(61),""),CHAR(34),"")</f>
        <v>&lt;01</v>
      </c>
      <c r="R7072" s="0" t="str">
        <f aca="false">IF($D7072&lt;&gt;"","["&amp;$E7072&amp;"]"&amp;"|"&amp;$Q7072&amp;"|"&amp;$K7072&amp;"|"&amp;$G7072&amp;"|"&amp;IF($G7072="TX_CURR_SUBNAT.R","CY2022Q4",$M7072),"")</f>
        <v>[mxqa3CDFmIT]|&lt;01|Female|PLHIV_Attend.T2|CY2025Q3</v>
      </c>
    </row>
    <row r="7073" customFormat="false" ht="15" hidden="false" customHeight="false" outlineLevel="0" collapsed="false">
      <c r="D7073" s="0" t="s">
        <v>99</v>
      </c>
      <c r="E7073" s="0" t="s">
        <v>100</v>
      </c>
      <c r="F7073" s="0" t="s">
        <v>101</v>
      </c>
      <c r="G7073" s="0" t="s">
        <v>174</v>
      </c>
      <c r="H7073" s="0" t="s">
        <v>174</v>
      </c>
      <c r="I7073" s="0" t="s">
        <v>33</v>
      </c>
      <c r="J7073" s="0" t="s">
        <v>34</v>
      </c>
      <c r="K7073" s="0" t="s">
        <v>30</v>
      </c>
      <c r="L7073" s="0" t="s">
        <v>31</v>
      </c>
      <c r="M7073" s="0" t="s">
        <v>173</v>
      </c>
      <c r="N7073" s="0" t="n">
        <v>1274</v>
      </c>
      <c r="O7073" s="10" t="n">
        <v>0.16841306281276</v>
      </c>
      <c r="P7073" s="10" t="n">
        <v>0.577288038097322</v>
      </c>
      <c r="Q7073" s="0" t="str">
        <f aca="false">SUBSTITUTE(SUBSTITUTE($I7073,CHAR(61),""),CHAR(34),"")</f>
        <v>01-09</v>
      </c>
      <c r="R7073" s="0" t="str">
        <f aca="false">IF($D7073&lt;&gt;"","["&amp;$E7073&amp;"]"&amp;"|"&amp;$Q7073&amp;"|"&amp;$K7073&amp;"|"&amp;$G7073&amp;"|"&amp;IF($G7073="TX_CURR_SUBNAT.R","CY2022Q4",$M7073),"")</f>
        <v>[mxqa3CDFmIT]|01-09|Female|PLHIV_Attend.T2|CY2025Q3</v>
      </c>
    </row>
    <row r="7074" customFormat="false" ht="15" hidden="false" customHeight="false" outlineLevel="0" collapsed="false">
      <c r="D7074" s="0" t="s">
        <v>99</v>
      </c>
      <c r="E7074" s="0" t="s">
        <v>100</v>
      </c>
      <c r="F7074" s="0" t="s">
        <v>101</v>
      </c>
      <c r="G7074" s="0" t="s">
        <v>174</v>
      </c>
      <c r="H7074" s="0" t="s">
        <v>174</v>
      </c>
      <c r="I7074" s="0" t="s">
        <v>36</v>
      </c>
      <c r="J7074" s="0" t="s">
        <v>37</v>
      </c>
      <c r="K7074" s="0" t="s">
        <v>30</v>
      </c>
      <c r="L7074" s="0" t="s">
        <v>31</v>
      </c>
      <c r="M7074" s="0" t="s">
        <v>173</v>
      </c>
      <c r="N7074" s="0" t="n">
        <v>1701</v>
      </c>
      <c r="O7074" s="10" t="n">
        <v>0.519239227753133</v>
      </c>
      <c r="P7074" s="10" t="n">
        <v>0.577288038097322</v>
      </c>
      <c r="Q7074" s="0" t="str">
        <f aca="false">SUBSTITUTE(SUBSTITUTE($I7074,CHAR(61),""),CHAR(34),"")</f>
        <v>10-14</v>
      </c>
      <c r="R7074" s="0" t="str">
        <f aca="false">IF($D7074&lt;&gt;"","["&amp;$E7074&amp;"]"&amp;"|"&amp;$Q7074&amp;"|"&amp;$K7074&amp;"|"&amp;$G7074&amp;"|"&amp;IF($G7074="TX_CURR_SUBNAT.R","CY2022Q4",$M7074),"")</f>
        <v>[mxqa3CDFmIT]|10-14|Female|PLHIV_Attend.T2|CY2025Q3</v>
      </c>
    </row>
    <row r="7075" customFormat="false" ht="15" hidden="false" customHeight="false" outlineLevel="0" collapsed="false">
      <c r="D7075" s="0" t="s">
        <v>99</v>
      </c>
      <c r="E7075" s="0" t="s">
        <v>100</v>
      </c>
      <c r="F7075" s="0" t="s">
        <v>101</v>
      </c>
      <c r="G7075" s="0" t="s">
        <v>174</v>
      </c>
      <c r="H7075" s="0" t="s">
        <v>174</v>
      </c>
      <c r="I7075" s="0" t="s">
        <v>38</v>
      </c>
      <c r="J7075" s="0" t="s">
        <v>39</v>
      </c>
      <c r="K7075" s="0" t="s">
        <v>30</v>
      </c>
      <c r="L7075" s="0" t="s">
        <v>31</v>
      </c>
      <c r="M7075" s="0" t="s">
        <v>173</v>
      </c>
      <c r="N7075" s="0" t="n">
        <v>841</v>
      </c>
      <c r="O7075" s="10" t="n">
        <v>0.683516520308331</v>
      </c>
      <c r="P7075" s="10" t="n">
        <v>0.577288038097322</v>
      </c>
      <c r="Q7075" s="0" t="str">
        <f aca="false">SUBSTITUTE(SUBSTITUTE($I7075,CHAR(61),""),CHAR(34),"")</f>
        <v>15-24</v>
      </c>
      <c r="R7075" s="0" t="str">
        <f aca="false">IF($D7075&lt;&gt;"","["&amp;$E7075&amp;"]"&amp;"|"&amp;$Q7075&amp;"|"&amp;$K7075&amp;"|"&amp;$G7075&amp;"|"&amp;IF($G7075="TX_CURR_SUBNAT.R","CY2022Q4",$M7075),"")</f>
        <v>[mxqa3CDFmIT]|15-24|Female|PLHIV_Attend.T2|CY2025Q3</v>
      </c>
    </row>
    <row r="7076" customFormat="false" ht="15" hidden="false" customHeight="false" outlineLevel="0" collapsed="false">
      <c r="D7076" s="0" t="s">
        <v>99</v>
      </c>
      <c r="E7076" s="0" t="s">
        <v>100</v>
      </c>
      <c r="F7076" s="0" t="s">
        <v>101</v>
      </c>
      <c r="G7076" s="0" t="s">
        <v>174</v>
      </c>
      <c r="H7076" s="0" t="s">
        <v>174</v>
      </c>
      <c r="I7076" s="0" t="s">
        <v>41</v>
      </c>
      <c r="J7076" s="0" t="s">
        <v>42</v>
      </c>
      <c r="K7076" s="0" t="s">
        <v>30</v>
      </c>
      <c r="L7076" s="0" t="s">
        <v>31</v>
      </c>
      <c r="M7076" s="0" t="s">
        <v>173</v>
      </c>
      <c r="N7076" s="0" t="n">
        <v>1931</v>
      </c>
      <c r="O7076" s="10" t="n">
        <v>0.619714973727241</v>
      </c>
      <c r="P7076" s="10" t="n">
        <v>0.577288038097322</v>
      </c>
      <c r="Q7076" s="0" t="str">
        <f aca="false">SUBSTITUTE(SUBSTITUTE($I7076,CHAR(61),""),CHAR(34),"")</f>
        <v>25-34</v>
      </c>
      <c r="R7076" s="0" t="str">
        <f aca="false">IF($D7076&lt;&gt;"","["&amp;$E7076&amp;"]"&amp;"|"&amp;$Q7076&amp;"|"&amp;$K7076&amp;"|"&amp;$G7076&amp;"|"&amp;IF($G7076="TX_CURR_SUBNAT.R","CY2022Q4",$M7076),"")</f>
        <v>[mxqa3CDFmIT]|25-34|Female|PLHIV_Attend.T2|CY2025Q3</v>
      </c>
    </row>
    <row r="7077" customFormat="false" ht="15" hidden="false" customHeight="false" outlineLevel="0" collapsed="false">
      <c r="D7077" s="0" t="s">
        <v>99</v>
      </c>
      <c r="E7077" s="0" t="s">
        <v>100</v>
      </c>
      <c r="F7077" s="0" t="s">
        <v>101</v>
      </c>
      <c r="G7077" s="0" t="s">
        <v>174</v>
      </c>
      <c r="H7077" s="0" t="s">
        <v>174</v>
      </c>
      <c r="I7077" s="0" t="s">
        <v>43</v>
      </c>
      <c r="J7077" s="0" t="s">
        <v>44</v>
      </c>
      <c r="K7077" s="0" t="s">
        <v>30</v>
      </c>
      <c r="L7077" s="0" t="s">
        <v>31</v>
      </c>
      <c r="M7077" s="0" t="s">
        <v>173</v>
      </c>
      <c r="N7077" s="0" t="n">
        <v>549</v>
      </c>
      <c r="O7077" s="10" t="n">
        <v>0.963215648662299</v>
      </c>
      <c r="P7077" s="10" t="n">
        <v>0.577288038097322</v>
      </c>
      <c r="Q7077" s="0" t="str">
        <f aca="false">SUBSTITUTE(SUBSTITUTE($I7077,CHAR(61),""),CHAR(34),"")</f>
        <v>35-49</v>
      </c>
      <c r="R7077" s="0" t="str">
        <f aca="false">IF($D7077&lt;&gt;"","["&amp;$E7077&amp;"]"&amp;"|"&amp;$Q7077&amp;"|"&amp;$K7077&amp;"|"&amp;$G7077&amp;"|"&amp;IF($G7077="TX_CURR_SUBNAT.R","CY2022Q4",$M7077),"")</f>
        <v>[mxqa3CDFmIT]|35-49|Female|PLHIV_Attend.T2|CY2025Q3</v>
      </c>
    </row>
    <row r="7078" customFormat="false" ht="15" hidden="false" customHeight="false" outlineLevel="0" collapsed="false">
      <c r="D7078" s="0" t="s">
        <v>99</v>
      </c>
      <c r="E7078" s="0" t="s">
        <v>100</v>
      </c>
      <c r="F7078" s="0" t="s">
        <v>101</v>
      </c>
      <c r="G7078" s="0" t="s">
        <v>174</v>
      </c>
      <c r="H7078" s="0" t="s">
        <v>174</v>
      </c>
      <c r="I7078" s="0" t="s">
        <v>45</v>
      </c>
      <c r="J7078" s="0" t="s">
        <v>46</v>
      </c>
      <c r="K7078" s="0" t="s">
        <v>30</v>
      </c>
      <c r="L7078" s="0" t="s">
        <v>31</v>
      </c>
      <c r="M7078" s="0" t="s">
        <v>173</v>
      </c>
      <c r="N7078" s="0" t="n">
        <v>806</v>
      </c>
      <c r="O7078" s="10" t="n">
        <v>0.46315073990263</v>
      </c>
      <c r="P7078" s="10" t="n">
        <v>0.577288038097322</v>
      </c>
      <c r="Q7078" s="0" t="str">
        <f aca="false">SUBSTITUTE(SUBSTITUTE($I7078,CHAR(61),""),CHAR(34),"")</f>
        <v>50+</v>
      </c>
      <c r="R7078" s="0" t="str">
        <f aca="false">IF($D7078&lt;&gt;"","["&amp;$E7078&amp;"]"&amp;"|"&amp;$Q7078&amp;"|"&amp;$K7078&amp;"|"&amp;$G7078&amp;"|"&amp;IF($G7078="TX_CURR_SUBNAT.R","CY2022Q4",$M7078),"")</f>
        <v>[mxqa3CDFmIT]|50+|Female|PLHIV_Attend.T2|CY2025Q3</v>
      </c>
    </row>
    <row r="7079" customFormat="false" ht="15" hidden="false" customHeight="false" outlineLevel="0" collapsed="false">
      <c r="D7079" s="0" t="s">
        <v>99</v>
      </c>
      <c r="E7079" s="0" t="s">
        <v>100</v>
      </c>
      <c r="F7079" s="0" t="s">
        <v>101</v>
      </c>
      <c r="G7079" s="0" t="s">
        <v>174</v>
      </c>
      <c r="H7079" s="0" t="s">
        <v>174</v>
      </c>
      <c r="I7079" s="0" t="s">
        <v>28</v>
      </c>
      <c r="J7079" s="0" t="s">
        <v>29</v>
      </c>
      <c r="K7079" s="0" t="s">
        <v>48</v>
      </c>
      <c r="L7079" s="0" t="s">
        <v>49</v>
      </c>
      <c r="M7079" s="0" t="s">
        <v>173</v>
      </c>
      <c r="N7079" s="0" t="n">
        <v>1598</v>
      </c>
      <c r="O7079" s="10" t="n">
        <v>0.708685122197494</v>
      </c>
      <c r="P7079" s="10" t="n">
        <v>0.577288038097322</v>
      </c>
      <c r="Q7079" s="0" t="str">
        <f aca="false">SUBSTITUTE(SUBSTITUTE($I7079,CHAR(61),""),CHAR(34),"")</f>
        <v>&lt;01</v>
      </c>
      <c r="R7079" s="0" t="str">
        <f aca="false">IF($D7079&lt;&gt;"","["&amp;$E7079&amp;"]"&amp;"|"&amp;$Q7079&amp;"|"&amp;$K7079&amp;"|"&amp;$G7079&amp;"|"&amp;IF($G7079="TX_CURR_SUBNAT.R","CY2022Q4",$M7079),"")</f>
        <v>[mxqa3CDFmIT]|&lt;01|Male|PLHIV_Attend.T2|CY2025Q3</v>
      </c>
    </row>
    <row r="7080" customFormat="false" ht="15" hidden="false" customHeight="false" outlineLevel="0" collapsed="false">
      <c r="D7080" s="0" t="s">
        <v>99</v>
      </c>
      <c r="E7080" s="0" t="s">
        <v>100</v>
      </c>
      <c r="F7080" s="0" t="s">
        <v>101</v>
      </c>
      <c r="G7080" s="0" t="s">
        <v>174</v>
      </c>
      <c r="H7080" s="0" t="s">
        <v>174</v>
      </c>
      <c r="I7080" s="0" t="s">
        <v>33</v>
      </c>
      <c r="J7080" s="0" t="s">
        <v>34</v>
      </c>
      <c r="K7080" s="0" t="s">
        <v>48</v>
      </c>
      <c r="L7080" s="0" t="s">
        <v>49</v>
      </c>
      <c r="M7080" s="0" t="s">
        <v>173</v>
      </c>
      <c r="N7080" s="0" t="n">
        <v>539</v>
      </c>
      <c r="O7080" s="10" t="n">
        <v>0.968999337637797</v>
      </c>
      <c r="P7080" s="10" t="n">
        <v>0.577288038097322</v>
      </c>
      <c r="Q7080" s="0" t="str">
        <f aca="false">SUBSTITUTE(SUBSTITUTE($I7080,CHAR(61),""),CHAR(34),"")</f>
        <v>01-09</v>
      </c>
      <c r="R7080" s="0" t="str">
        <f aca="false">IF($D7080&lt;&gt;"","["&amp;$E7080&amp;"]"&amp;"|"&amp;$Q7080&amp;"|"&amp;$K7080&amp;"|"&amp;$G7080&amp;"|"&amp;IF($G7080="TX_CURR_SUBNAT.R","CY2022Q4",$M7080),"")</f>
        <v>[mxqa3CDFmIT]|01-09|Male|PLHIV_Attend.T2|CY2025Q3</v>
      </c>
    </row>
    <row r="7081" customFormat="false" ht="15" hidden="false" customHeight="false" outlineLevel="0" collapsed="false">
      <c r="D7081" s="0" t="s">
        <v>99</v>
      </c>
      <c r="E7081" s="0" t="s">
        <v>100</v>
      </c>
      <c r="F7081" s="0" t="s">
        <v>101</v>
      </c>
      <c r="G7081" s="0" t="s">
        <v>174</v>
      </c>
      <c r="H7081" s="0" t="s">
        <v>174</v>
      </c>
      <c r="I7081" s="0" t="s">
        <v>36</v>
      </c>
      <c r="J7081" s="0" t="s">
        <v>37</v>
      </c>
      <c r="K7081" s="0" t="s">
        <v>48</v>
      </c>
      <c r="L7081" s="0" t="s">
        <v>49</v>
      </c>
      <c r="M7081" s="0" t="s">
        <v>173</v>
      </c>
      <c r="N7081" s="0" t="n">
        <v>801</v>
      </c>
      <c r="O7081" s="10" t="n">
        <v>0.197804193710908</v>
      </c>
      <c r="P7081" s="10" t="n">
        <v>0.577288038097322</v>
      </c>
      <c r="Q7081" s="0" t="str">
        <f aca="false">SUBSTITUTE(SUBSTITUTE($I7081,CHAR(61),""),CHAR(34),"")</f>
        <v>10-14</v>
      </c>
      <c r="R7081" s="0" t="str">
        <f aca="false">IF($D7081&lt;&gt;"","["&amp;$E7081&amp;"]"&amp;"|"&amp;$Q7081&amp;"|"&amp;$K7081&amp;"|"&amp;$G7081&amp;"|"&amp;IF($G7081="TX_CURR_SUBNAT.R","CY2022Q4",$M7081),"")</f>
        <v>[mxqa3CDFmIT]|10-14|Male|PLHIV_Attend.T2|CY2025Q3</v>
      </c>
    </row>
    <row r="7082" customFormat="false" ht="15" hidden="false" customHeight="false" outlineLevel="0" collapsed="false">
      <c r="D7082" s="0" t="s">
        <v>99</v>
      </c>
      <c r="E7082" s="0" t="s">
        <v>100</v>
      </c>
      <c r="F7082" s="0" t="s">
        <v>101</v>
      </c>
      <c r="G7082" s="0" t="s">
        <v>174</v>
      </c>
      <c r="H7082" s="0" t="s">
        <v>174</v>
      </c>
      <c r="I7082" s="0" t="s">
        <v>38</v>
      </c>
      <c r="J7082" s="0" t="s">
        <v>39</v>
      </c>
      <c r="K7082" s="0" t="s">
        <v>48</v>
      </c>
      <c r="L7082" s="0" t="s">
        <v>49</v>
      </c>
      <c r="M7082" s="0" t="s">
        <v>173</v>
      </c>
      <c r="N7082" s="0" t="n">
        <v>1209</v>
      </c>
      <c r="O7082" s="10" t="n">
        <v>0.618934286758304</v>
      </c>
      <c r="P7082" s="10" t="n">
        <v>0.577288038097322</v>
      </c>
      <c r="Q7082" s="0" t="str">
        <f aca="false">SUBSTITUTE(SUBSTITUTE($I7082,CHAR(61),""),CHAR(34),"")</f>
        <v>15-24</v>
      </c>
      <c r="R7082" s="0" t="str">
        <f aca="false">IF($D7082&lt;&gt;"","["&amp;$E7082&amp;"]"&amp;"|"&amp;$Q7082&amp;"|"&amp;$K7082&amp;"|"&amp;$G7082&amp;"|"&amp;IF($G7082="TX_CURR_SUBNAT.R","CY2022Q4",$M7082),"")</f>
        <v>[mxqa3CDFmIT]|15-24|Male|PLHIV_Attend.T2|CY2025Q3</v>
      </c>
    </row>
    <row r="7083" customFormat="false" ht="15" hidden="false" customHeight="false" outlineLevel="0" collapsed="false">
      <c r="D7083" s="0" t="s">
        <v>99</v>
      </c>
      <c r="E7083" s="0" t="s">
        <v>100</v>
      </c>
      <c r="F7083" s="0" t="s">
        <v>101</v>
      </c>
      <c r="G7083" s="0" t="s">
        <v>174</v>
      </c>
      <c r="H7083" s="0" t="s">
        <v>174</v>
      </c>
      <c r="I7083" s="0" t="s">
        <v>41</v>
      </c>
      <c r="J7083" s="0" t="s">
        <v>42</v>
      </c>
      <c r="K7083" s="0" t="s">
        <v>48</v>
      </c>
      <c r="L7083" s="0" t="s">
        <v>49</v>
      </c>
      <c r="M7083" s="0" t="s">
        <v>173</v>
      </c>
      <c r="N7083" s="0" t="n">
        <v>1438</v>
      </c>
      <c r="O7083" s="10" t="n">
        <v>0.498471066122875</v>
      </c>
      <c r="P7083" s="10" t="n">
        <v>0.577288038097322</v>
      </c>
      <c r="Q7083" s="0" t="str">
        <f aca="false">SUBSTITUTE(SUBSTITUTE($I7083,CHAR(61),""),CHAR(34),"")</f>
        <v>25-34</v>
      </c>
      <c r="R7083" s="0" t="str">
        <f aca="false">IF($D7083&lt;&gt;"","["&amp;$E7083&amp;"]"&amp;"|"&amp;$Q7083&amp;"|"&amp;$K7083&amp;"|"&amp;$G7083&amp;"|"&amp;IF($G7083="TX_CURR_SUBNAT.R","CY2022Q4",$M7083),"")</f>
        <v>[mxqa3CDFmIT]|25-34|Male|PLHIV_Attend.T2|CY2025Q3</v>
      </c>
    </row>
    <row r="7084" customFormat="false" ht="15" hidden="false" customHeight="false" outlineLevel="0" collapsed="false">
      <c r="D7084" s="0" t="s">
        <v>99</v>
      </c>
      <c r="E7084" s="0" t="s">
        <v>100</v>
      </c>
      <c r="F7084" s="0" t="s">
        <v>101</v>
      </c>
      <c r="G7084" s="0" t="s">
        <v>174</v>
      </c>
      <c r="H7084" s="0" t="s">
        <v>174</v>
      </c>
      <c r="I7084" s="0" t="s">
        <v>43</v>
      </c>
      <c r="J7084" s="0" t="s">
        <v>44</v>
      </c>
      <c r="K7084" s="0" t="s">
        <v>48</v>
      </c>
      <c r="L7084" s="0" t="s">
        <v>49</v>
      </c>
      <c r="M7084" s="0" t="s">
        <v>173</v>
      </c>
      <c r="N7084" s="0" t="n">
        <v>1557</v>
      </c>
      <c r="O7084" s="10" t="n">
        <v>0.981732791522518</v>
      </c>
      <c r="P7084" s="10" t="n">
        <v>0.577288038097322</v>
      </c>
      <c r="Q7084" s="0" t="str">
        <f aca="false">SUBSTITUTE(SUBSTITUTE($I7084,CHAR(61),""),CHAR(34),"")</f>
        <v>35-49</v>
      </c>
      <c r="R7084" s="0" t="str">
        <f aca="false">IF($D7084&lt;&gt;"","["&amp;$E7084&amp;"]"&amp;"|"&amp;$Q7084&amp;"|"&amp;$K7084&amp;"|"&amp;$G7084&amp;"|"&amp;IF($G7084="TX_CURR_SUBNAT.R","CY2022Q4",$M7084),"")</f>
        <v>[mxqa3CDFmIT]|35-49|Male|PLHIV_Attend.T2|CY2025Q3</v>
      </c>
    </row>
    <row r="7085" customFormat="false" ht="15" hidden="false" customHeight="false" outlineLevel="0" collapsed="false">
      <c r="D7085" s="0" t="s">
        <v>99</v>
      </c>
      <c r="E7085" s="0" t="s">
        <v>100</v>
      </c>
      <c r="F7085" s="0" t="s">
        <v>101</v>
      </c>
      <c r="G7085" s="0" t="s">
        <v>174</v>
      </c>
      <c r="H7085" s="0" t="s">
        <v>174</v>
      </c>
      <c r="I7085" s="0" t="s">
        <v>45</v>
      </c>
      <c r="J7085" s="0" t="s">
        <v>46</v>
      </c>
      <c r="K7085" s="0" t="s">
        <v>48</v>
      </c>
      <c r="L7085" s="0" t="s">
        <v>49</v>
      </c>
      <c r="M7085" s="0" t="s">
        <v>173</v>
      </c>
      <c r="N7085" s="0" t="n">
        <v>1030</v>
      </c>
      <c r="O7085" s="10" t="n">
        <v>0.995344774797559</v>
      </c>
      <c r="P7085" s="10" t="n">
        <v>0.577288038097322</v>
      </c>
      <c r="Q7085" s="0" t="str">
        <f aca="false">SUBSTITUTE(SUBSTITUTE($I7085,CHAR(61),""),CHAR(34),"")</f>
        <v>50+</v>
      </c>
      <c r="R7085" s="0" t="str">
        <f aca="false">IF($D7085&lt;&gt;"","["&amp;$E7085&amp;"]"&amp;"|"&amp;$Q7085&amp;"|"&amp;$K7085&amp;"|"&amp;$G7085&amp;"|"&amp;IF($G7085="TX_CURR_SUBNAT.R","CY2022Q4",$M7085),"")</f>
        <v>[mxqa3CDFmIT]|50+|Male|PLHIV_Attend.T2|CY2025Q3</v>
      </c>
    </row>
    <row r="7086" customFormat="false" ht="15" hidden="false" customHeight="false" outlineLevel="0" collapsed="false">
      <c r="D7086" s="0" t="s">
        <v>102</v>
      </c>
      <c r="E7086" s="0" t="s">
        <v>103</v>
      </c>
      <c r="F7086" s="0" t="s">
        <v>104</v>
      </c>
      <c r="G7086" s="0" t="s">
        <v>174</v>
      </c>
      <c r="H7086" s="0" t="s">
        <v>174</v>
      </c>
      <c r="I7086" s="0" t="s">
        <v>28</v>
      </c>
      <c r="J7086" s="0" t="s">
        <v>29</v>
      </c>
      <c r="K7086" s="0" t="s">
        <v>30</v>
      </c>
      <c r="L7086" s="0" t="s">
        <v>31</v>
      </c>
      <c r="M7086" s="0" t="s">
        <v>173</v>
      </c>
      <c r="N7086" s="0" t="n">
        <v>597</v>
      </c>
      <c r="O7086" s="10" t="n">
        <v>0.447616772726178</v>
      </c>
      <c r="P7086" s="10" t="n">
        <v>0.526212359312922</v>
      </c>
      <c r="Q7086" s="0" t="str">
        <f aca="false">SUBSTITUTE(SUBSTITUTE($I7086,CHAR(61),""),CHAR(34),"")</f>
        <v>&lt;01</v>
      </c>
      <c r="R7086" s="0" t="str">
        <f aca="false">IF($D7086&lt;&gt;"","["&amp;$E7086&amp;"]"&amp;"|"&amp;$Q7086&amp;"|"&amp;$K7086&amp;"|"&amp;$G7086&amp;"|"&amp;IF($G7086="TX_CURR_SUBNAT.R","CY2022Q4",$M7086),"")</f>
        <v>[wNqJp8oRIcF]|&lt;01|Female|PLHIV_Attend.T2|CY2025Q3</v>
      </c>
    </row>
    <row r="7087" customFormat="false" ht="15" hidden="false" customHeight="false" outlineLevel="0" collapsed="false">
      <c r="D7087" s="0" t="s">
        <v>102</v>
      </c>
      <c r="E7087" s="0" t="s">
        <v>103</v>
      </c>
      <c r="F7087" s="0" t="s">
        <v>104</v>
      </c>
      <c r="G7087" s="0" t="s">
        <v>174</v>
      </c>
      <c r="H7087" s="0" t="s">
        <v>174</v>
      </c>
      <c r="I7087" s="0" t="s">
        <v>33</v>
      </c>
      <c r="J7087" s="0" t="s">
        <v>34</v>
      </c>
      <c r="K7087" s="0" t="s">
        <v>30</v>
      </c>
      <c r="L7087" s="0" t="s">
        <v>31</v>
      </c>
      <c r="M7087" s="0" t="s">
        <v>173</v>
      </c>
      <c r="N7087" s="0" t="n">
        <v>1847</v>
      </c>
      <c r="O7087" s="10" t="n">
        <v>0.293903562705964</v>
      </c>
      <c r="P7087" s="10" t="n">
        <v>0.526212359312922</v>
      </c>
      <c r="Q7087" s="0" t="str">
        <f aca="false">SUBSTITUTE(SUBSTITUTE($I7087,CHAR(61),""),CHAR(34),"")</f>
        <v>01-09</v>
      </c>
      <c r="R7087" s="0" t="str">
        <f aca="false">IF($D7087&lt;&gt;"","["&amp;$E7087&amp;"]"&amp;"|"&amp;$Q7087&amp;"|"&amp;$K7087&amp;"|"&amp;$G7087&amp;"|"&amp;IF($G7087="TX_CURR_SUBNAT.R","CY2022Q4",$M7087),"")</f>
        <v>[wNqJp8oRIcF]|01-09|Female|PLHIV_Attend.T2|CY2025Q3</v>
      </c>
    </row>
    <row r="7088" customFormat="false" ht="15" hidden="false" customHeight="false" outlineLevel="0" collapsed="false">
      <c r="D7088" s="0" t="s">
        <v>102</v>
      </c>
      <c r="E7088" s="0" t="s">
        <v>103</v>
      </c>
      <c r="F7088" s="0" t="s">
        <v>104</v>
      </c>
      <c r="G7088" s="0" t="s">
        <v>174</v>
      </c>
      <c r="H7088" s="0" t="s">
        <v>174</v>
      </c>
      <c r="I7088" s="0" t="s">
        <v>36</v>
      </c>
      <c r="J7088" s="0" t="s">
        <v>37</v>
      </c>
      <c r="K7088" s="0" t="s">
        <v>30</v>
      </c>
      <c r="L7088" s="0" t="s">
        <v>31</v>
      </c>
      <c r="M7088" s="0" t="s">
        <v>173</v>
      </c>
      <c r="N7088" s="0" t="n">
        <v>1699</v>
      </c>
      <c r="O7088" s="10" t="n">
        <v>0.327685099327937</v>
      </c>
      <c r="P7088" s="10" t="n">
        <v>0.526212359312922</v>
      </c>
      <c r="Q7088" s="0" t="str">
        <f aca="false">SUBSTITUTE(SUBSTITUTE($I7088,CHAR(61),""),CHAR(34),"")</f>
        <v>10-14</v>
      </c>
      <c r="R7088" s="0" t="str">
        <f aca="false">IF($D7088&lt;&gt;"","["&amp;$E7088&amp;"]"&amp;"|"&amp;$Q7088&amp;"|"&amp;$K7088&amp;"|"&amp;$G7088&amp;"|"&amp;IF($G7088="TX_CURR_SUBNAT.R","CY2022Q4",$M7088),"")</f>
        <v>[wNqJp8oRIcF]|10-14|Female|PLHIV_Attend.T2|CY2025Q3</v>
      </c>
    </row>
    <row r="7089" customFormat="false" ht="15" hidden="false" customHeight="false" outlineLevel="0" collapsed="false">
      <c r="D7089" s="0" t="s">
        <v>102</v>
      </c>
      <c r="E7089" s="0" t="s">
        <v>103</v>
      </c>
      <c r="F7089" s="0" t="s">
        <v>104</v>
      </c>
      <c r="G7089" s="0" t="s">
        <v>174</v>
      </c>
      <c r="H7089" s="0" t="s">
        <v>174</v>
      </c>
      <c r="I7089" s="0" t="s">
        <v>38</v>
      </c>
      <c r="J7089" s="0" t="s">
        <v>39</v>
      </c>
      <c r="K7089" s="0" t="s">
        <v>30</v>
      </c>
      <c r="L7089" s="0" t="s">
        <v>31</v>
      </c>
      <c r="M7089" s="0" t="s">
        <v>173</v>
      </c>
      <c r="N7089" s="0" t="n">
        <v>1104</v>
      </c>
      <c r="O7089" s="10" t="n">
        <v>0.948561677709222</v>
      </c>
      <c r="P7089" s="10" t="n">
        <v>0.526212359312922</v>
      </c>
      <c r="Q7089" s="0" t="str">
        <f aca="false">SUBSTITUTE(SUBSTITUTE($I7089,CHAR(61),""),CHAR(34),"")</f>
        <v>15-24</v>
      </c>
      <c r="R7089" s="0" t="str">
        <f aca="false">IF($D7089&lt;&gt;"","["&amp;$E7089&amp;"]"&amp;"|"&amp;$Q7089&amp;"|"&amp;$K7089&amp;"|"&amp;$G7089&amp;"|"&amp;IF($G7089="TX_CURR_SUBNAT.R","CY2022Q4",$M7089),"")</f>
        <v>[wNqJp8oRIcF]|15-24|Female|PLHIV_Attend.T2|CY2025Q3</v>
      </c>
    </row>
    <row r="7090" customFormat="false" ht="15" hidden="false" customHeight="false" outlineLevel="0" collapsed="false">
      <c r="D7090" s="0" t="s">
        <v>102</v>
      </c>
      <c r="E7090" s="0" t="s">
        <v>103</v>
      </c>
      <c r="F7090" s="0" t="s">
        <v>104</v>
      </c>
      <c r="G7090" s="0" t="s">
        <v>174</v>
      </c>
      <c r="H7090" s="0" t="s">
        <v>174</v>
      </c>
      <c r="I7090" s="0" t="s">
        <v>41</v>
      </c>
      <c r="J7090" s="0" t="s">
        <v>42</v>
      </c>
      <c r="K7090" s="0" t="s">
        <v>30</v>
      </c>
      <c r="L7090" s="0" t="s">
        <v>31</v>
      </c>
      <c r="M7090" s="0" t="s">
        <v>173</v>
      </c>
      <c r="N7090" s="0" t="n">
        <v>709</v>
      </c>
      <c r="O7090" s="10" t="n">
        <v>0.554828866384923</v>
      </c>
      <c r="P7090" s="10" t="n">
        <v>0.526212359312922</v>
      </c>
      <c r="Q7090" s="0" t="str">
        <f aca="false">SUBSTITUTE(SUBSTITUTE($I7090,CHAR(61),""),CHAR(34),"")</f>
        <v>25-34</v>
      </c>
      <c r="R7090" s="0" t="str">
        <f aca="false">IF($D7090&lt;&gt;"","["&amp;$E7090&amp;"]"&amp;"|"&amp;$Q7090&amp;"|"&amp;$K7090&amp;"|"&amp;$G7090&amp;"|"&amp;IF($G7090="TX_CURR_SUBNAT.R","CY2022Q4",$M7090),"")</f>
        <v>[wNqJp8oRIcF]|25-34|Female|PLHIV_Attend.T2|CY2025Q3</v>
      </c>
    </row>
    <row r="7091" customFormat="false" ht="15" hidden="false" customHeight="false" outlineLevel="0" collapsed="false">
      <c r="D7091" s="0" t="s">
        <v>102</v>
      </c>
      <c r="E7091" s="0" t="s">
        <v>103</v>
      </c>
      <c r="F7091" s="0" t="s">
        <v>104</v>
      </c>
      <c r="G7091" s="0" t="s">
        <v>174</v>
      </c>
      <c r="H7091" s="0" t="s">
        <v>174</v>
      </c>
      <c r="I7091" s="0" t="s">
        <v>43</v>
      </c>
      <c r="J7091" s="0" t="s">
        <v>44</v>
      </c>
      <c r="K7091" s="0" t="s">
        <v>30</v>
      </c>
      <c r="L7091" s="0" t="s">
        <v>31</v>
      </c>
      <c r="M7091" s="0" t="s">
        <v>173</v>
      </c>
      <c r="N7091" s="0" t="n">
        <v>881</v>
      </c>
      <c r="O7091" s="10" t="n">
        <v>0.522093441803008</v>
      </c>
      <c r="P7091" s="10" t="n">
        <v>0.526212359312922</v>
      </c>
      <c r="Q7091" s="0" t="str">
        <f aca="false">SUBSTITUTE(SUBSTITUTE($I7091,CHAR(61),""),CHAR(34),"")</f>
        <v>35-49</v>
      </c>
      <c r="R7091" s="0" t="str">
        <f aca="false">IF($D7091&lt;&gt;"","["&amp;$E7091&amp;"]"&amp;"|"&amp;$Q7091&amp;"|"&amp;$K7091&amp;"|"&amp;$G7091&amp;"|"&amp;IF($G7091="TX_CURR_SUBNAT.R","CY2022Q4",$M7091),"")</f>
        <v>[wNqJp8oRIcF]|35-49|Female|PLHIV_Attend.T2|CY2025Q3</v>
      </c>
    </row>
    <row r="7092" customFormat="false" ht="15" hidden="false" customHeight="false" outlineLevel="0" collapsed="false">
      <c r="D7092" s="0" t="s">
        <v>102</v>
      </c>
      <c r="E7092" s="0" t="s">
        <v>103</v>
      </c>
      <c r="F7092" s="0" t="s">
        <v>104</v>
      </c>
      <c r="G7092" s="0" t="s">
        <v>174</v>
      </c>
      <c r="H7092" s="0" t="s">
        <v>174</v>
      </c>
      <c r="I7092" s="0" t="s">
        <v>45</v>
      </c>
      <c r="J7092" s="0" t="s">
        <v>46</v>
      </c>
      <c r="K7092" s="0" t="s">
        <v>30</v>
      </c>
      <c r="L7092" s="0" t="s">
        <v>31</v>
      </c>
      <c r="M7092" s="0" t="s">
        <v>173</v>
      </c>
      <c r="N7092" s="0" t="n">
        <v>1410</v>
      </c>
      <c r="O7092" s="10" t="n">
        <v>0.835485143354163</v>
      </c>
      <c r="P7092" s="10" t="n">
        <v>0.526212359312922</v>
      </c>
      <c r="Q7092" s="0" t="str">
        <f aca="false">SUBSTITUTE(SUBSTITUTE($I7092,CHAR(61),""),CHAR(34),"")</f>
        <v>50+</v>
      </c>
      <c r="R7092" s="0" t="str">
        <f aca="false">IF($D7092&lt;&gt;"","["&amp;$E7092&amp;"]"&amp;"|"&amp;$Q7092&amp;"|"&amp;$K7092&amp;"|"&amp;$G7092&amp;"|"&amp;IF($G7092="TX_CURR_SUBNAT.R","CY2022Q4",$M7092),"")</f>
        <v>[wNqJp8oRIcF]|50+|Female|PLHIV_Attend.T2|CY2025Q3</v>
      </c>
    </row>
    <row r="7093" customFormat="false" ht="15" hidden="false" customHeight="false" outlineLevel="0" collapsed="false">
      <c r="D7093" s="0" t="s">
        <v>102</v>
      </c>
      <c r="E7093" s="0" t="s">
        <v>103</v>
      </c>
      <c r="F7093" s="0" t="s">
        <v>104</v>
      </c>
      <c r="G7093" s="0" t="s">
        <v>174</v>
      </c>
      <c r="H7093" s="0" t="s">
        <v>174</v>
      </c>
      <c r="I7093" s="0" t="s">
        <v>28</v>
      </c>
      <c r="J7093" s="0" t="s">
        <v>29</v>
      </c>
      <c r="K7093" s="0" t="s">
        <v>48</v>
      </c>
      <c r="L7093" s="0" t="s">
        <v>49</v>
      </c>
      <c r="M7093" s="0" t="s">
        <v>173</v>
      </c>
      <c r="N7093" s="0" t="n">
        <v>1751</v>
      </c>
      <c r="O7093" s="10" t="n">
        <v>0.709642170462757</v>
      </c>
      <c r="P7093" s="10" t="n">
        <v>0.526212359312922</v>
      </c>
      <c r="Q7093" s="0" t="str">
        <f aca="false">SUBSTITUTE(SUBSTITUTE($I7093,CHAR(61),""),CHAR(34),"")</f>
        <v>&lt;01</v>
      </c>
      <c r="R7093" s="0" t="str">
        <f aca="false">IF($D7093&lt;&gt;"","["&amp;$E7093&amp;"]"&amp;"|"&amp;$Q7093&amp;"|"&amp;$K7093&amp;"|"&amp;$G7093&amp;"|"&amp;IF($G7093="TX_CURR_SUBNAT.R","CY2022Q4",$M7093),"")</f>
        <v>[wNqJp8oRIcF]|&lt;01|Male|PLHIV_Attend.T2|CY2025Q3</v>
      </c>
    </row>
    <row r="7094" customFormat="false" ht="15" hidden="false" customHeight="false" outlineLevel="0" collapsed="false">
      <c r="D7094" s="0" t="s">
        <v>102</v>
      </c>
      <c r="E7094" s="0" t="s">
        <v>103</v>
      </c>
      <c r="F7094" s="0" t="s">
        <v>104</v>
      </c>
      <c r="G7094" s="0" t="s">
        <v>174</v>
      </c>
      <c r="H7094" s="0" t="s">
        <v>174</v>
      </c>
      <c r="I7094" s="0" t="s">
        <v>33</v>
      </c>
      <c r="J7094" s="0" t="s">
        <v>34</v>
      </c>
      <c r="K7094" s="0" t="s">
        <v>48</v>
      </c>
      <c r="L7094" s="0" t="s">
        <v>49</v>
      </c>
      <c r="M7094" s="0" t="s">
        <v>173</v>
      </c>
      <c r="N7094" s="0" t="n">
        <v>1780</v>
      </c>
      <c r="O7094" s="10" t="n">
        <v>0.229182443814352</v>
      </c>
      <c r="P7094" s="10" t="n">
        <v>0.526212359312922</v>
      </c>
      <c r="Q7094" s="0" t="str">
        <f aca="false">SUBSTITUTE(SUBSTITUTE($I7094,CHAR(61),""),CHAR(34),"")</f>
        <v>01-09</v>
      </c>
      <c r="R7094" s="0" t="str">
        <f aca="false">IF($D7094&lt;&gt;"","["&amp;$E7094&amp;"]"&amp;"|"&amp;$Q7094&amp;"|"&amp;$K7094&amp;"|"&amp;$G7094&amp;"|"&amp;IF($G7094="TX_CURR_SUBNAT.R","CY2022Q4",$M7094),"")</f>
        <v>[wNqJp8oRIcF]|01-09|Male|PLHIV_Attend.T2|CY2025Q3</v>
      </c>
    </row>
    <row r="7095" customFormat="false" ht="15" hidden="false" customHeight="false" outlineLevel="0" collapsed="false">
      <c r="D7095" s="0" t="s">
        <v>102</v>
      </c>
      <c r="E7095" s="0" t="s">
        <v>103</v>
      </c>
      <c r="F7095" s="0" t="s">
        <v>104</v>
      </c>
      <c r="G7095" s="0" t="s">
        <v>174</v>
      </c>
      <c r="H7095" s="0" t="s">
        <v>174</v>
      </c>
      <c r="I7095" s="0" t="s">
        <v>36</v>
      </c>
      <c r="J7095" s="0" t="s">
        <v>37</v>
      </c>
      <c r="K7095" s="0" t="s">
        <v>48</v>
      </c>
      <c r="L7095" s="0" t="s">
        <v>49</v>
      </c>
      <c r="M7095" s="0" t="s">
        <v>173</v>
      </c>
      <c r="N7095" s="0" t="n">
        <v>1577</v>
      </c>
      <c r="O7095" s="10" t="n">
        <v>0.369110023602843</v>
      </c>
      <c r="P7095" s="10" t="n">
        <v>0.526212359312922</v>
      </c>
      <c r="Q7095" s="0" t="str">
        <f aca="false">SUBSTITUTE(SUBSTITUTE($I7095,CHAR(61),""),CHAR(34),"")</f>
        <v>10-14</v>
      </c>
      <c r="R7095" s="0" t="str">
        <f aca="false">IF($D7095&lt;&gt;"","["&amp;$E7095&amp;"]"&amp;"|"&amp;$Q7095&amp;"|"&amp;$K7095&amp;"|"&amp;$G7095&amp;"|"&amp;IF($G7095="TX_CURR_SUBNAT.R","CY2022Q4",$M7095),"")</f>
        <v>[wNqJp8oRIcF]|10-14|Male|PLHIV_Attend.T2|CY2025Q3</v>
      </c>
    </row>
    <row r="7096" customFormat="false" ht="15" hidden="false" customHeight="false" outlineLevel="0" collapsed="false">
      <c r="D7096" s="0" t="s">
        <v>102</v>
      </c>
      <c r="E7096" s="0" t="s">
        <v>103</v>
      </c>
      <c r="F7096" s="0" t="s">
        <v>104</v>
      </c>
      <c r="G7096" s="0" t="s">
        <v>174</v>
      </c>
      <c r="H7096" s="0" t="s">
        <v>174</v>
      </c>
      <c r="I7096" s="0" t="s">
        <v>38</v>
      </c>
      <c r="J7096" s="0" t="s">
        <v>39</v>
      </c>
      <c r="K7096" s="0" t="s">
        <v>48</v>
      </c>
      <c r="L7096" s="0" t="s">
        <v>49</v>
      </c>
      <c r="M7096" s="0" t="s">
        <v>173</v>
      </c>
      <c r="N7096" s="0" t="n">
        <v>629</v>
      </c>
      <c r="O7096" s="10" t="n">
        <v>0.00373994605615735</v>
      </c>
      <c r="P7096" s="10" t="n">
        <v>0.526212359312922</v>
      </c>
      <c r="Q7096" s="0" t="str">
        <f aca="false">SUBSTITUTE(SUBSTITUTE($I7096,CHAR(61),""),CHAR(34),"")</f>
        <v>15-24</v>
      </c>
      <c r="R7096" s="0" t="str">
        <f aca="false">IF($D7096&lt;&gt;"","["&amp;$E7096&amp;"]"&amp;"|"&amp;$Q7096&amp;"|"&amp;$K7096&amp;"|"&amp;$G7096&amp;"|"&amp;IF($G7096="TX_CURR_SUBNAT.R","CY2022Q4",$M7096),"")</f>
        <v>[wNqJp8oRIcF]|15-24|Male|PLHIV_Attend.T2|CY2025Q3</v>
      </c>
    </row>
    <row r="7097" customFormat="false" ht="15" hidden="false" customHeight="false" outlineLevel="0" collapsed="false">
      <c r="D7097" s="0" t="s">
        <v>102</v>
      </c>
      <c r="E7097" s="0" t="s">
        <v>103</v>
      </c>
      <c r="F7097" s="0" t="s">
        <v>104</v>
      </c>
      <c r="G7097" s="0" t="s">
        <v>174</v>
      </c>
      <c r="H7097" s="0" t="s">
        <v>174</v>
      </c>
      <c r="I7097" s="0" t="s">
        <v>41</v>
      </c>
      <c r="J7097" s="0" t="s">
        <v>42</v>
      </c>
      <c r="K7097" s="0" t="s">
        <v>48</v>
      </c>
      <c r="L7097" s="0" t="s">
        <v>49</v>
      </c>
      <c r="M7097" s="0" t="s">
        <v>173</v>
      </c>
      <c r="N7097" s="0" t="n">
        <v>1307</v>
      </c>
      <c r="O7097" s="10" t="n">
        <v>0.340419407235458</v>
      </c>
      <c r="P7097" s="10" t="n">
        <v>0.526212359312922</v>
      </c>
      <c r="Q7097" s="0" t="str">
        <f aca="false">SUBSTITUTE(SUBSTITUTE($I7097,CHAR(61),""),CHAR(34),"")</f>
        <v>25-34</v>
      </c>
      <c r="R7097" s="0" t="str">
        <f aca="false">IF($D7097&lt;&gt;"","["&amp;$E7097&amp;"]"&amp;"|"&amp;$Q7097&amp;"|"&amp;$K7097&amp;"|"&amp;$G7097&amp;"|"&amp;IF($G7097="TX_CURR_SUBNAT.R","CY2022Q4",$M7097),"")</f>
        <v>[wNqJp8oRIcF]|25-34|Male|PLHIV_Attend.T2|CY2025Q3</v>
      </c>
    </row>
    <row r="7098" customFormat="false" ht="15" hidden="false" customHeight="false" outlineLevel="0" collapsed="false">
      <c r="D7098" s="0" t="s">
        <v>102</v>
      </c>
      <c r="E7098" s="0" t="s">
        <v>103</v>
      </c>
      <c r="F7098" s="0" t="s">
        <v>104</v>
      </c>
      <c r="G7098" s="0" t="s">
        <v>174</v>
      </c>
      <c r="H7098" s="0" t="s">
        <v>174</v>
      </c>
      <c r="I7098" s="0" t="s">
        <v>43</v>
      </c>
      <c r="J7098" s="0" t="s">
        <v>44</v>
      </c>
      <c r="K7098" s="0" t="s">
        <v>48</v>
      </c>
      <c r="L7098" s="0" t="s">
        <v>49</v>
      </c>
      <c r="M7098" s="0" t="s">
        <v>173</v>
      </c>
      <c r="N7098" s="0" t="n">
        <v>1016</v>
      </c>
      <c r="O7098" s="10" t="n">
        <v>0.582199494121596</v>
      </c>
      <c r="P7098" s="10" t="n">
        <v>0.526212359312922</v>
      </c>
      <c r="Q7098" s="0" t="str">
        <f aca="false">SUBSTITUTE(SUBSTITUTE($I7098,CHAR(61),""),CHAR(34),"")</f>
        <v>35-49</v>
      </c>
      <c r="R7098" s="0" t="str">
        <f aca="false">IF($D7098&lt;&gt;"","["&amp;$E7098&amp;"]"&amp;"|"&amp;$Q7098&amp;"|"&amp;$K7098&amp;"|"&amp;$G7098&amp;"|"&amp;IF($G7098="TX_CURR_SUBNAT.R","CY2022Q4",$M7098),"")</f>
        <v>[wNqJp8oRIcF]|35-49|Male|PLHIV_Attend.T2|CY2025Q3</v>
      </c>
    </row>
    <row r="7099" customFormat="false" ht="15" hidden="false" customHeight="false" outlineLevel="0" collapsed="false">
      <c r="D7099" s="0" t="s">
        <v>102</v>
      </c>
      <c r="E7099" s="0" t="s">
        <v>103</v>
      </c>
      <c r="F7099" s="0" t="s">
        <v>104</v>
      </c>
      <c r="G7099" s="0" t="s">
        <v>174</v>
      </c>
      <c r="H7099" s="0" t="s">
        <v>174</v>
      </c>
      <c r="I7099" s="0" t="s">
        <v>45</v>
      </c>
      <c r="J7099" s="0" t="s">
        <v>46</v>
      </c>
      <c r="K7099" s="0" t="s">
        <v>48</v>
      </c>
      <c r="L7099" s="0" t="s">
        <v>49</v>
      </c>
      <c r="M7099" s="0" t="s">
        <v>173</v>
      </c>
      <c r="N7099" s="0" t="n">
        <v>1116</v>
      </c>
      <c r="O7099" s="10" t="n">
        <v>0.783195386640728</v>
      </c>
      <c r="P7099" s="10" t="n">
        <v>0.526212359312922</v>
      </c>
      <c r="Q7099" s="0" t="str">
        <f aca="false">SUBSTITUTE(SUBSTITUTE($I7099,CHAR(61),""),CHAR(34),"")</f>
        <v>50+</v>
      </c>
      <c r="R7099" s="0" t="str">
        <f aca="false">IF($D7099&lt;&gt;"","["&amp;$E7099&amp;"]"&amp;"|"&amp;$Q7099&amp;"|"&amp;$K7099&amp;"|"&amp;$G7099&amp;"|"&amp;IF($G7099="TX_CURR_SUBNAT.R","CY2022Q4",$M7099),"")</f>
        <v>[wNqJp8oRIcF]|50+|Male|PLHIV_Attend.T2|CY2025Q3</v>
      </c>
    </row>
    <row r="7100" customFormat="false" ht="15" hidden="false" customHeight="false" outlineLevel="0" collapsed="false">
      <c r="D7100" s="0" t="s">
        <v>105</v>
      </c>
      <c r="E7100" s="0" t="s">
        <v>106</v>
      </c>
      <c r="F7100" s="0" t="s">
        <v>107</v>
      </c>
      <c r="G7100" s="0" t="s">
        <v>174</v>
      </c>
      <c r="H7100" s="0" t="s">
        <v>174</v>
      </c>
      <c r="I7100" s="0" t="s">
        <v>28</v>
      </c>
      <c r="J7100" s="0" t="s">
        <v>29</v>
      </c>
      <c r="K7100" s="0" t="s">
        <v>30</v>
      </c>
      <c r="L7100" s="0" t="s">
        <v>31</v>
      </c>
      <c r="M7100" s="0" t="s">
        <v>173</v>
      </c>
      <c r="N7100" s="0" t="n">
        <v>1972</v>
      </c>
      <c r="O7100" s="10" t="n">
        <v>0.794694022508338</v>
      </c>
      <c r="P7100" s="10" t="n">
        <v>0.218249560333788</v>
      </c>
      <c r="Q7100" s="0" t="str">
        <f aca="false">SUBSTITUTE(SUBSTITUTE($I7100,CHAR(61),""),CHAR(34),"")</f>
        <v>&lt;01</v>
      </c>
      <c r="R7100" s="0" t="str">
        <f aca="false">IF($D7100&lt;&gt;"","["&amp;$E7100&amp;"]"&amp;"|"&amp;$Q7100&amp;"|"&amp;$K7100&amp;"|"&amp;$G7100&amp;"|"&amp;IF($G7100="TX_CURR_SUBNAT.R","CY2022Q4",$M7100),"")</f>
        <v>[oiPR2CiVJbf]|&lt;01|Female|PLHIV_Attend.T2|CY2025Q3</v>
      </c>
    </row>
    <row r="7101" customFormat="false" ht="15" hidden="false" customHeight="false" outlineLevel="0" collapsed="false">
      <c r="D7101" s="0" t="s">
        <v>105</v>
      </c>
      <c r="E7101" s="0" t="s">
        <v>106</v>
      </c>
      <c r="F7101" s="0" t="s">
        <v>107</v>
      </c>
      <c r="G7101" s="0" t="s">
        <v>174</v>
      </c>
      <c r="H7101" s="0" t="s">
        <v>174</v>
      </c>
      <c r="I7101" s="0" t="s">
        <v>33</v>
      </c>
      <c r="J7101" s="0" t="s">
        <v>34</v>
      </c>
      <c r="K7101" s="0" t="s">
        <v>30</v>
      </c>
      <c r="L7101" s="0" t="s">
        <v>31</v>
      </c>
      <c r="M7101" s="0" t="s">
        <v>173</v>
      </c>
      <c r="N7101" s="0" t="n">
        <v>888</v>
      </c>
      <c r="O7101" s="10" t="n">
        <v>0.283541658893228</v>
      </c>
      <c r="P7101" s="10" t="n">
        <v>0.218249560333788</v>
      </c>
      <c r="Q7101" s="0" t="str">
        <f aca="false">SUBSTITUTE(SUBSTITUTE($I7101,CHAR(61),""),CHAR(34),"")</f>
        <v>01-09</v>
      </c>
      <c r="R7101" s="0" t="str">
        <f aca="false">IF($D7101&lt;&gt;"","["&amp;$E7101&amp;"]"&amp;"|"&amp;$Q7101&amp;"|"&amp;$K7101&amp;"|"&amp;$G7101&amp;"|"&amp;IF($G7101="TX_CURR_SUBNAT.R","CY2022Q4",$M7101),"")</f>
        <v>[oiPR2CiVJbf]|01-09|Female|PLHIV_Attend.T2|CY2025Q3</v>
      </c>
    </row>
    <row r="7102" customFormat="false" ht="15" hidden="false" customHeight="false" outlineLevel="0" collapsed="false">
      <c r="D7102" s="0" t="s">
        <v>105</v>
      </c>
      <c r="E7102" s="0" t="s">
        <v>106</v>
      </c>
      <c r="F7102" s="0" t="s">
        <v>107</v>
      </c>
      <c r="G7102" s="0" t="s">
        <v>174</v>
      </c>
      <c r="H7102" s="0" t="s">
        <v>174</v>
      </c>
      <c r="I7102" s="0" t="s">
        <v>36</v>
      </c>
      <c r="J7102" s="0" t="s">
        <v>37</v>
      </c>
      <c r="K7102" s="0" t="s">
        <v>30</v>
      </c>
      <c r="L7102" s="0" t="s">
        <v>31</v>
      </c>
      <c r="M7102" s="0" t="s">
        <v>173</v>
      </c>
      <c r="N7102" s="0" t="n">
        <v>764</v>
      </c>
      <c r="O7102" s="10" t="n">
        <v>0.541869208216667</v>
      </c>
      <c r="P7102" s="10" t="n">
        <v>0.218249560333788</v>
      </c>
      <c r="Q7102" s="0" t="str">
        <f aca="false">SUBSTITUTE(SUBSTITUTE($I7102,CHAR(61),""),CHAR(34),"")</f>
        <v>10-14</v>
      </c>
      <c r="R7102" s="0" t="str">
        <f aca="false">IF($D7102&lt;&gt;"","["&amp;$E7102&amp;"]"&amp;"|"&amp;$Q7102&amp;"|"&amp;$K7102&amp;"|"&amp;$G7102&amp;"|"&amp;IF($G7102="TX_CURR_SUBNAT.R","CY2022Q4",$M7102),"")</f>
        <v>[oiPR2CiVJbf]|10-14|Female|PLHIV_Attend.T2|CY2025Q3</v>
      </c>
    </row>
    <row r="7103" customFormat="false" ht="15" hidden="false" customHeight="false" outlineLevel="0" collapsed="false">
      <c r="D7103" s="0" t="s">
        <v>105</v>
      </c>
      <c r="E7103" s="0" t="s">
        <v>106</v>
      </c>
      <c r="F7103" s="0" t="s">
        <v>107</v>
      </c>
      <c r="G7103" s="0" t="s">
        <v>174</v>
      </c>
      <c r="H7103" s="0" t="s">
        <v>174</v>
      </c>
      <c r="I7103" s="0" t="s">
        <v>38</v>
      </c>
      <c r="J7103" s="0" t="s">
        <v>39</v>
      </c>
      <c r="K7103" s="0" t="s">
        <v>30</v>
      </c>
      <c r="L7103" s="0" t="s">
        <v>31</v>
      </c>
      <c r="M7103" s="0" t="s">
        <v>173</v>
      </c>
      <c r="N7103" s="0" t="n">
        <v>1398</v>
      </c>
      <c r="O7103" s="10" t="n">
        <v>0.22674844134599</v>
      </c>
      <c r="P7103" s="10" t="n">
        <v>0.218249560333788</v>
      </c>
      <c r="Q7103" s="0" t="str">
        <f aca="false">SUBSTITUTE(SUBSTITUTE($I7103,CHAR(61),""),CHAR(34),"")</f>
        <v>15-24</v>
      </c>
      <c r="R7103" s="0" t="str">
        <f aca="false">IF($D7103&lt;&gt;"","["&amp;$E7103&amp;"]"&amp;"|"&amp;$Q7103&amp;"|"&amp;$K7103&amp;"|"&amp;$G7103&amp;"|"&amp;IF($G7103="TX_CURR_SUBNAT.R","CY2022Q4",$M7103),"")</f>
        <v>[oiPR2CiVJbf]|15-24|Female|PLHIV_Attend.T2|CY2025Q3</v>
      </c>
    </row>
    <row r="7104" customFormat="false" ht="15" hidden="false" customHeight="false" outlineLevel="0" collapsed="false">
      <c r="D7104" s="0" t="s">
        <v>105</v>
      </c>
      <c r="E7104" s="0" t="s">
        <v>106</v>
      </c>
      <c r="F7104" s="0" t="s">
        <v>107</v>
      </c>
      <c r="G7104" s="0" t="s">
        <v>174</v>
      </c>
      <c r="H7104" s="0" t="s">
        <v>174</v>
      </c>
      <c r="I7104" s="0" t="s">
        <v>41</v>
      </c>
      <c r="J7104" s="0" t="s">
        <v>42</v>
      </c>
      <c r="K7104" s="0" t="s">
        <v>30</v>
      </c>
      <c r="L7104" s="0" t="s">
        <v>31</v>
      </c>
      <c r="M7104" s="0" t="s">
        <v>173</v>
      </c>
      <c r="N7104" s="0" t="n">
        <v>1148</v>
      </c>
      <c r="O7104" s="10" t="n">
        <v>0.742212999146432</v>
      </c>
      <c r="P7104" s="10" t="n">
        <v>0.218249560333788</v>
      </c>
      <c r="Q7104" s="0" t="str">
        <f aca="false">SUBSTITUTE(SUBSTITUTE($I7104,CHAR(61),""),CHAR(34),"")</f>
        <v>25-34</v>
      </c>
      <c r="R7104" s="0" t="str">
        <f aca="false">IF($D7104&lt;&gt;"","["&amp;$E7104&amp;"]"&amp;"|"&amp;$Q7104&amp;"|"&amp;$K7104&amp;"|"&amp;$G7104&amp;"|"&amp;IF($G7104="TX_CURR_SUBNAT.R","CY2022Q4",$M7104),"")</f>
        <v>[oiPR2CiVJbf]|25-34|Female|PLHIV_Attend.T2|CY2025Q3</v>
      </c>
    </row>
    <row r="7105" customFormat="false" ht="15" hidden="false" customHeight="false" outlineLevel="0" collapsed="false">
      <c r="D7105" s="0" t="s">
        <v>105</v>
      </c>
      <c r="E7105" s="0" t="s">
        <v>106</v>
      </c>
      <c r="F7105" s="0" t="s">
        <v>107</v>
      </c>
      <c r="G7105" s="0" t="s">
        <v>174</v>
      </c>
      <c r="H7105" s="0" t="s">
        <v>174</v>
      </c>
      <c r="I7105" s="0" t="s">
        <v>43</v>
      </c>
      <c r="J7105" s="0" t="s">
        <v>44</v>
      </c>
      <c r="K7105" s="0" t="s">
        <v>30</v>
      </c>
      <c r="L7105" s="0" t="s">
        <v>31</v>
      </c>
      <c r="M7105" s="0" t="s">
        <v>173</v>
      </c>
      <c r="N7105" s="0" t="n">
        <v>1830</v>
      </c>
      <c r="O7105" s="10" t="n">
        <v>0.998396125854924</v>
      </c>
      <c r="P7105" s="10" t="n">
        <v>0.218249560333788</v>
      </c>
      <c r="Q7105" s="0" t="str">
        <f aca="false">SUBSTITUTE(SUBSTITUTE($I7105,CHAR(61),""),CHAR(34),"")</f>
        <v>35-49</v>
      </c>
      <c r="R7105" s="0" t="str">
        <f aca="false">IF($D7105&lt;&gt;"","["&amp;$E7105&amp;"]"&amp;"|"&amp;$Q7105&amp;"|"&amp;$K7105&amp;"|"&amp;$G7105&amp;"|"&amp;IF($G7105="TX_CURR_SUBNAT.R","CY2022Q4",$M7105),"")</f>
        <v>[oiPR2CiVJbf]|35-49|Female|PLHIV_Attend.T2|CY2025Q3</v>
      </c>
    </row>
    <row r="7106" customFormat="false" ht="15" hidden="false" customHeight="false" outlineLevel="0" collapsed="false">
      <c r="D7106" s="0" t="s">
        <v>105</v>
      </c>
      <c r="E7106" s="0" t="s">
        <v>106</v>
      </c>
      <c r="F7106" s="0" t="s">
        <v>107</v>
      </c>
      <c r="G7106" s="0" t="s">
        <v>174</v>
      </c>
      <c r="H7106" s="0" t="s">
        <v>174</v>
      </c>
      <c r="I7106" s="0" t="s">
        <v>45</v>
      </c>
      <c r="J7106" s="0" t="s">
        <v>46</v>
      </c>
      <c r="K7106" s="0" t="s">
        <v>30</v>
      </c>
      <c r="L7106" s="0" t="s">
        <v>31</v>
      </c>
      <c r="M7106" s="0" t="s">
        <v>173</v>
      </c>
      <c r="N7106" s="0" t="n">
        <v>888</v>
      </c>
      <c r="O7106" s="10" t="n">
        <v>0.655277802376077</v>
      </c>
      <c r="P7106" s="10" t="n">
        <v>0.218249560333788</v>
      </c>
      <c r="Q7106" s="0" t="str">
        <f aca="false">SUBSTITUTE(SUBSTITUTE($I7106,CHAR(61),""),CHAR(34),"")</f>
        <v>50+</v>
      </c>
      <c r="R7106" s="0" t="str">
        <f aca="false">IF($D7106&lt;&gt;"","["&amp;$E7106&amp;"]"&amp;"|"&amp;$Q7106&amp;"|"&amp;$K7106&amp;"|"&amp;$G7106&amp;"|"&amp;IF($G7106="TX_CURR_SUBNAT.R","CY2022Q4",$M7106),"")</f>
        <v>[oiPR2CiVJbf]|50+|Female|PLHIV_Attend.T2|CY2025Q3</v>
      </c>
    </row>
    <row r="7107" customFormat="false" ht="15" hidden="false" customHeight="false" outlineLevel="0" collapsed="false">
      <c r="D7107" s="0" t="s">
        <v>105</v>
      </c>
      <c r="E7107" s="0" t="s">
        <v>106</v>
      </c>
      <c r="F7107" s="0" t="s">
        <v>107</v>
      </c>
      <c r="G7107" s="0" t="s">
        <v>174</v>
      </c>
      <c r="H7107" s="0" t="s">
        <v>174</v>
      </c>
      <c r="I7107" s="0" t="s">
        <v>28</v>
      </c>
      <c r="J7107" s="0" t="s">
        <v>29</v>
      </c>
      <c r="K7107" s="0" t="s">
        <v>48</v>
      </c>
      <c r="L7107" s="0" t="s">
        <v>49</v>
      </c>
      <c r="M7107" s="0" t="s">
        <v>173</v>
      </c>
      <c r="N7107" s="0" t="n">
        <v>1392</v>
      </c>
      <c r="O7107" s="10" t="n">
        <v>0.151953044347465</v>
      </c>
      <c r="P7107" s="10" t="n">
        <v>0.218249560333788</v>
      </c>
      <c r="Q7107" s="0" t="str">
        <f aca="false">SUBSTITUTE(SUBSTITUTE($I7107,CHAR(61),""),CHAR(34),"")</f>
        <v>&lt;01</v>
      </c>
      <c r="R7107" s="0" t="str">
        <f aca="false">IF($D7107&lt;&gt;"","["&amp;$E7107&amp;"]"&amp;"|"&amp;$Q7107&amp;"|"&amp;$K7107&amp;"|"&amp;$G7107&amp;"|"&amp;IF($G7107="TX_CURR_SUBNAT.R","CY2022Q4",$M7107),"")</f>
        <v>[oiPR2CiVJbf]|&lt;01|Male|PLHIV_Attend.T2|CY2025Q3</v>
      </c>
    </row>
    <row r="7108" customFormat="false" ht="15" hidden="false" customHeight="false" outlineLevel="0" collapsed="false">
      <c r="D7108" s="0" t="s">
        <v>105</v>
      </c>
      <c r="E7108" s="0" t="s">
        <v>106</v>
      </c>
      <c r="F7108" s="0" t="s">
        <v>107</v>
      </c>
      <c r="G7108" s="0" t="s">
        <v>174</v>
      </c>
      <c r="H7108" s="0" t="s">
        <v>174</v>
      </c>
      <c r="I7108" s="0" t="s">
        <v>33</v>
      </c>
      <c r="J7108" s="0" t="s">
        <v>34</v>
      </c>
      <c r="K7108" s="0" t="s">
        <v>48</v>
      </c>
      <c r="L7108" s="0" t="s">
        <v>49</v>
      </c>
      <c r="M7108" s="0" t="s">
        <v>173</v>
      </c>
      <c r="N7108" s="0" t="n">
        <v>1475</v>
      </c>
      <c r="O7108" s="10" t="n">
        <v>0.00102587742730975</v>
      </c>
      <c r="P7108" s="10" t="n">
        <v>0.218249560333788</v>
      </c>
      <c r="Q7108" s="0" t="str">
        <f aca="false">SUBSTITUTE(SUBSTITUTE($I7108,CHAR(61),""),CHAR(34),"")</f>
        <v>01-09</v>
      </c>
      <c r="R7108" s="0" t="str">
        <f aca="false">IF($D7108&lt;&gt;"","["&amp;$E7108&amp;"]"&amp;"|"&amp;$Q7108&amp;"|"&amp;$K7108&amp;"|"&amp;$G7108&amp;"|"&amp;IF($G7108="TX_CURR_SUBNAT.R","CY2022Q4",$M7108),"")</f>
        <v>[oiPR2CiVJbf]|01-09|Male|PLHIV_Attend.T2|CY2025Q3</v>
      </c>
    </row>
    <row r="7109" customFormat="false" ht="15" hidden="false" customHeight="false" outlineLevel="0" collapsed="false">
      <c r="D7109" s="0" t="s">
        <v>105</v>
      </c>
      <c r="E7109" s="0" t="s">
        <v>106</v>
      </c>
      <c r="F7109" s="0" t="s">
        <v>107</v>
      </c>
      <c r="G7109" s="0" t="s">
        <v>174</v>
      </c>
      <c r="H7109" s="0" t="s">
        <v>174</v>
      </c>
      <c r="I7109" s="0" t="s">
        <v>36</v>
      </c>
      <c r="J7109" s="0" t="s">
        <v>37</v>
      </c>
      <c r="K7109" s="0" t="s">
        <v>48</v>
      </c>
      <c r="L7109" s="0" t="s">
        <v>49</v>
      </c>
      <c r="M7109" s="0" t="s">
        <v>173</v>
      </c>
      <c r="N7109" s="0" t="n">
        <v>708</v>
      </c>
      <c r="O7109" s="10" t="n">
        <v>0.377299952087924</v>
      </c>
      <c r="P7109" s="10" t="n">
        <v>0.218249560333788</v>
      </c>
      <c r="Q7109" s="0" t="str">
        <f aca="false">SUBSTITUTE(SUBSTITUTE($I7109,CHAR(61),""),CHAR(34),"")</f>
        <v>10-14</v>
      </c>
      <c r="R7109" s="0" t="str">
        <f aca="false">IF($D7109&lt;&gt;"","["&amp;$E7109&amp;"]"&amp;"|"&amp;$Q7109&amp;"|"&amp;$K7109&amp;"|"&amp;$G7109&amp;"|"&amp;IF($G7109="TX_CURR_SUBNAT.R","CY2022Q4",$M7109),"")</f>
        <v>[oiPR2CiVJbf]|10-14|Male|PLHIV_Attend.T2|CY2025Q3</v>
      </c>
    </row>
    <row r="7110" customFormat="false" ht="15" hidden="false" customHeight="false" outlineLevel="0" collapsed="false">
      <c r="D7110" s="0" t="s">
        <v>105</v>
      </c>
      <c r="E7110" s="0" t="s">
        <v>106</v>
      </c>
      <c r="F7110" s="0" t="s">
        <v>107</v>
      </c>
      <c r="G7110" s="0" t="s">
        <v>174</v>
      </c>
      <c r="H7110" s="0" t="s">
        <v>174</v>
      </c>
      <c r="I7110" s="0" t="s">
        <v>38</v>
      </c>
      <c r="J7110" s="0" t="s">
        <v>39</v>
      </c>
      <c r="K7110" s="0" t="s">
        <v>48</v>
      </c>
      <c r="L7110" s="0" t="s">
        <v>49</v>
      </c>
      <c r="M7110" s="0" t="s">
        <v>173</v>
      </c>
      <c r="N7110" s="0" t="n">
        <v>1084</v>
      </c>
      <c r="O7110" s="10" t="n">
        <v>0.607110884273425</v>
      </c>
      <c r="P7110" s="10" t="n">
        <v>0.218249560333788</v>
      </c>
      <c r="Q7110" s="0" t="str">
        <f aca="false">SUBSTITUTE(SUBSTITUTE($I7110,CHAR(61),""),CHAR(34),"")</f>
        <v>15-24</v>
      </c>
      <c r="R7110" s="0" t="str">
        <f aca="false">IF($D7110&lt;&gt;"","["&amp;$E7110&amp;"]"&amp;"|"&amp;$Q7110&amp;"|"&amp;$K7110&amp;"|"&amp;$G7110&amp;"|"&amp;IF($G7110="TX_CURR_SUBNAT.R","CY2022Q4",$M7110),"")</f>
        <v>[oiPR2CiVJbf]|15-24|Male|PLHIV_Attend.T2|CY2025Q3</v>
      </c>
    </row>
    <row r="7111" customFormat="false" ht="15" hidden="false" customHeight="false" outlineLevel="0" collapsed="false">
      <c r="D7111" s="0" t="s">
        <v>105</v>
      </c>
      <c r="E7111" s="0" t="s">
        <v>106</v>
      </c>
      <c r="F7111" s="0" t="s">
        <v>107</v>
      </c>
      <c r="G7111" s="0" t="s">
        <v>174</v>
      </c>
      <c r="H7111" s="0" t="s">
        <v>174</v>
      </c>
      <c r="I7111" s="0" t="s">
        <v>41</v>
      </c>
      <c r="J7111" s="0" t="s">
        <v>42</v>
      </c>
      <c r="K7111" s="0" t="s">
        <v>48</v>
      </c>
      <c r="L7111" s="0" t="s">
        <v>49</v>
      </c>
      <c r="M7111" s="0" t="s">
        <v>173</v>
      </c>
      <c r="N7111" s="0" t="n">
        <v>1366</v>
      </c>
      <c r="O7111" s="10" t="n">
        <v>0.641179790254682</v>
      </c>
      <c r="P7111" s="10" t="n">
        <v>0.218249560333788</v>
      </c>
      <c r="Q7111" s="0" t="str">
        <f aca="false">SUBSTITUTE(SUBSTITUTE($I7111,CHAR(61),""),CHAR(34),"")</f>
        <v>25-34</v>
      </c>
      <c r="R7111" s="0" t="str">
        <f aca="false">IF($D7111&lt;&gt;"","["&amp;$E7111&amp;"]"&amp;"|"&amp;$Q7111&amp;"|"&amp;$K7111&amp;"|"&amp;$G7111&amp;"|"&amp;IF($G7111="TX_CURR_SUBNAT.R","CY2022Q4",$M7111),"")</f>
        <v>[oiPR2CiVJbf]|25-34|Male|PLHIV_Attend.T2|CY2025Q3</v>
      </c>
    </row>
    <row r="7112" customFormat="false" ht="15" hidden="false" customHeight="false" outlineLevel="0" collapsed="false">
      <c r="D7112" s="0" t="s">
        <v>105</v>
      </c>
      <c r="E7112" s="0" t="s">
        <v>106</v>
      </c>
      <c r="F7112" s="0" t="s">
        <v>107</v>
      </c>
      <c r="G7112" s="0" t="s">
        <v>174</v>
      </c>
      <c r="H7112" s="0" t="s">
        <v>174</v>
      </c>
      <c r="I7112" s="0" t="s">
        <v>43</v>
      </c>
      <c r="J7112" s="0" t="s">
        <v>44</v>
      </c>
      <c r="K7112" s="0" t="s">
        <v>48</v>
      </c>
      <c r="L7112" s="0" t="s">
        <v>49</v>
      </c>
      <c r="M7112" s="0" t="s">
        <v>173</v>
      </c>
      <c r="N7112" s="0" t="n">
        <v>718</v>
      </c>
      <c r="O7112" s="10" t="n">
        <v>0.601182504557073</v>
      </c>
      <c r="P7112" s="10" t="n">
        <v>0.218249560333788</v>
      </c>
      <c r="Q7112" s="0" t="str">
        <f aca="false">SUBSTITUTE(SUBSTITUTE($I7112,CHAR(61),""),CHAR(34),"")</f>
        <v>35-49</v>
      </c>
      <c r="R7112" s="0" t="str">
        <f aca="false">IF($D7112&lt;&gt;"","["&amp;$E7112&amp;"]"&amp;"|"&amp;$Q7112&amp;"|"&amp;$K7112&amp;"|"&amp;$G7112&amp;"|"&amp;IF($G7112="TX_CURR_SUBNAT.R","CY2022Q4",$M7112),"")</f>
        <v>[oiPR2CiVJbf]|35-49|Male|PLHIV_Attend.T2|CY2025Q3</v>
      </c>
    </row>
    <row r="7113" customFormat="false" ht="15" hidden="false" customHeight="false" outlineLevel="0" collapsed="false">
      <c r="D7113" s="0" t="s">
        <v>105</v>
      </c>
      <c r="E7113" s="0" t="s">
        <v>106</v>
      </c>
      <c r="F7113" s="0" t="s">
        <v>107</v>
      </c>
      <c r="G7113" s="0" t="s">
        <v>174</v>
      </c>
      <c r="H7113" s="0" t="s">
        <v>174</v>
      </c>
      <c r="I7113" s="0" t="s">
        <v>45</v>
      </c>
      <c r="J7113" s="0" t="s">
        <v>46</v>
      </c>
      <c r="K7113" s="0" t="s">
        <v>48</v>
      </c>
      <c r="L7113" s="0" t="s">
        <v>49</v>
      </c>
      <c r="M7113" s="0" t="s">
        <v>173</v>
      </c>
      <c r="N7113" s="0" t="n">
        <v>582</v>
      </c>
      <c r="O7113" s="10" t="n">
        <v>0.574426982086152</v>
      </c>
      <c r="P7113" s="10" t="n">
        <v>0.218249560333788</v>
      </c>
      <c r="Q7113" s="0" t="str">
        <f aca="false">SUBSTITUTE(SUBSTITUTE($I7113,CHAR(61),""),CHAR(34),"")</f>
        <v>50+</v>
      </c>
      <c r="R7113" s="0" t="str">
        <f aca="false">IF($D7113&lt;&gt;"","["&amp;$E7113&amp;"]"&amp;"|"&amp;$Q7113&amp;"|"&amp;$K7113&amp;"|"&amp;$G7113&amp;"|"&amp;IF($G7113="TX_CURR_SUBNAT.R","CY2022Q4",$M7113),"")</f>
        <v>[oiPR2CiVJbf]|50+|Male|PLHIV_Attend.T2|CY2025Q3</v>
      </c>
    </row>
    <row r="7114" customFormat="false" ht="15" hidden="false" customHeight="false" outlineLevel="0" collapsed="false">
      <c r="D7114" s="0" t="s">
        <v>108</v>
      </c>
      <c r="E7114" s="0" t="s">
        <v>109</v>
      </c>
      <c r="F7114" s="0" t="s">
        <v>110</v>
      </c>
      <c r="G7114" s="0" t="s">
        <v>174</v>
      </c>
      <c r="H7114" s="0" t="s">
        <v>174</v>
      </c>
      <c r="I7114" s="0" t="s">
        <v>28</v>
      </c>
      <c r="J7114" s="0" t="s">
        <v>29</v>
      </c>
      <c r="K7114" s="0" t="s">
        <v>30</v>
      </c>
      <c r="L7114" s="0" t="s">
        <v>31</v>
      </c>
      <c r="M7114" s="0" t="s">
        <v>173</v>
      </c>
      <c r="N7114" s="0" t="n">
        <v>1088</v>
      </c>
      <c r="O7114" s="10" t="n">
        <v>0.066641956102103</v>
      </c>
      <c r="P7114" s="10" t="n">
        <v>0.434221804374829</v>
      </c>
      <c r="Q7114" s="0" t="str">
        <f aca="false">SUBSTITUTE(SUBSTITUTE($I7114,CHAR(61),""),CHAR(34),"")</f>
        <v>&lt;01</v>
      </c>
      <c r="R7114" s="0" t="str">
        <f aca="false">IF($D7114&lt;&gt;"","["&amp;$E7114&amp;"]"&amp;"|"&amp;$Q7114&amp;"|"&amp;$K7114&amp;"|"&amp;$G7114&amp;"|"&amp;IF($G7114="TX_CURR_SUBNAT.R","CY2022Q4",$M7114),"")</f>
        <v>[ul0y9diGujK]|&lt;01|Female|PLHIV_Attend.T2|CY2025Q3</v>
      </c>
    </row>
    <row r="7115" customFormat="false" ht="15" hidden="false" customHeight="false" outlineLevel="0" collapsed="false">
      <c r="D7115" s="0" t="s">
        <v>108</v>
      </c>
      <c r="E7115" s="0" t="s">
        <v>109</v>
      </c>
      <c r="F7115" s="0" t="s">
        <v>110</v>
      </c>
      <c r="G7115" s="0" t="s">
        <v>174</v>
      </c>
      <c r="H7115" s="0" t="s">
        <v>174</v>
      </c>
      <c r="I7115" s="0" t="s">
        <v>33</v>
      </c>
      <c r="J7115" s="0" t="s">
        <v>34</v>
      </c>
      <c r="K7115" s="0" t="s">
        <v>30</v>
      </c>
      <c r="L7115" s="0" t="s">
        <v>31</v>
      </c>
      <c r="M7115" s="0" t="s">
        <v>173</v>
      </c>
      <c r="N7115" s="0" t="n">
        <v>1215</v>
      </c>
      <c r="O7115" s="10" t="n">
        <v>0.380031997105107</v>
      </c>
      <c r="P7115" s="10" t="n">
        <v>0.434221804374829</v>
      </c>
      <c r="Q7115" s="0" t="str">
        <f aca="false">SUBSTITUTE(SUBSTITUTE($I7115,CHAR(61),""),CHAR(34),"")</f>
        <v>01-09</v>
      </c>
      <c r="R7115" s="0" t="str">
        <f aca="false">IF($D7115&lt;&gt;"","["&amp;$E7115&amp;"]"&amp;"|"&amp;$Q7115&amp;"|"&amp;$K7115&amp;"|"&amp;$G7115&amp;"|"&amp;IF($G7115="TX_CURR_SUBNAT.R","CY2022Q4",$M7115),"")</f>
        <v>[ul0y9diGujK]|01-09|Female|PLHIV_Attend.T2|CY2025Q3</v>
      </c>
    </row>
    <row r="7116" customFormat="false" ht="15" hidden="false" customHeight="false" outlineLevel="0" collapsed="false">
      <c r="D7116" s="0" t="s">
        <v>108</v>
      </c>
      <c r="E7116" s="0" t="s">
        <v>109</v>
      </c>
      <c r="F7116" s="0" t="s">
        <v>110</v>
      </c>
      <c r="G7116" s="0" t="s">
        <v>174</v>
      </c>
      <c r="H7116" s="0" t="s">
        <v>174</v>
      </c>
      <c r="I7116" s="0" t="s">
        <v>36</v>
      </c>
      <c r="J7116" s="0" t="s">
        <v>37</v>
      </c>
      <c r="K7116" s="0" t="s">
        <v>30</v>
      </c>
      <c r="L7116" s="0" t="s">
        <v>31</v>
      </c>
      <c r="M7116" s="0" t="s">
        <v>173</v>
      </c>
      <c r="N7116" s="0" t="n">
        <v>1827</v>
      </c>
      <c r="O7116" s="10" t="n">
        <v>0.489928850671276</v>
      </c>
      <c r="P7116" s="10" t="n">
        <v>0.434221804374829</v>
      </c>
      <c r="Q7116" s="0" t="str">
        <f aca="false">SUBSTITUTE(SUBSTITUTE($I7116,CHAR(61),""),CHAR(34),"")</f>
        <v>10-14</v>
      </c>
      <c r="R7116" s="0" t="str">
        <f aca="false">IF($D7116&lt;&gt;"","["&amp;$E7116&amp;"]"&amp;"|"&amp;$Q7116&amp;"|"&amp;$K7116&amp;"|"&amp;$G7116&amp;"|"&amp;IF($G7116="TX_CURR_SUBNAT.R","CY2022Q4",$M7116),"")</f>
        <v>[ul0y9diGujK]|10-14|Female|PLHIV_Attend.T2|CY2025Q3</v>
      </c>
    </row>
    <row r="7117" customFormat="false" ht="15" hidden="false" customHeight="false" outlineLevel="0" collapsed="false">
      <c r="D7117" s="0" t="s">
        <v>108</v>
      </c>
      <c r="E7117" s="0" t="s">
        <v>109</v>
      </c>
      <c r="F7117" s="0" t="s">
        <v>110</v>
      </c>
      <c r="G7117" s="0" t="s">
        <v>174</v>
      </c>
      <c r="H7117" s="0" t="s">
        <v>174</v>
      </c>
      <c r="I7117" s="0" t="s">
        <v>38</v>
      </c>
      <c r="J7117" s="0" t="s">
        <v>39</v>
      </c>
      <c r="K7117" s="0" t="s">
        <v>30</v>
      </c>
      <c r="L7117" s="0" t="s">
        <v>31</v>
      </c>
      <c r="M7117" s="0" t="s">
        <v>173</v>
      </c>
      <c r="N7117" s="0" t="n">
        <v>852</v>
      </c>
      <c r="O7117" s="10" t="n">
        <v>0.991311610909179</v>
      </c>
      <c r="P7117" s="10" t="n">
        <v>0.434221804374829</v>
      </c>
      <c r="Q7117" s="0" t="str">
        <f aca="false">SUBSTITUTE(SUBSTITUTE($I7117,CHAR(61),""),CHAR(34),"")</f>
        <v>15-24</v>
      </c>
      <c r="R7117" s="0" t="str">
        <f aca="false">IF($D7117&lt;&gt;"","["&amp;$E7117&amp;"]"&amp;"|"&amp;$Q7117&amp;"|"&amp;$K7117&amp;"|"&amp;$G7117&amp;"|"&amp;IF($G7117="TX_CURR_SUBNAT.R","CY2022Q4",$M7117),"")</f>
        <v>[ul0y9diGujK]|15-24|Female|PLHIV_Attend.T2|CY2025Q3</v>
      </c>
    </row>
    <row r="7118" customFormat="false" ht="15" hidden="false" customHeight="false" outlineLevel="0" collapsed="false">
      <c r="D7118" s="0" t="s">
        <v>108</v>
      </c>
      <c r="E7118" s="0" t="s">
        <v>109</v>
      </c>
      <c r="F7118" s="0" t="s">
        <v>110</v>
      </c>
      <c r="G7118" s="0" t="s">
        <v>174</v>
      </c>
      <c r="H7118" s="0" t="s">
        <v>174</v>
      </c>
      <c r="I7118" s="0" t="s">
        <v>41</v>
      </c>
      <c r="J7118" s="0" t="s">
        <v>42</v>
      </c>
      <c r="K7118" s="0" t="s">
        <v>30</v>
      </c>
      <c r="L7118" s="0" t="s">
        <v>31</v>
      </c>
      <c r="M7118" s="0" t="s">
        <v>173</v>
      </c>
      <c r="N7118" s="0" t="n">
        <v>500</v>
      </c>
      <c r="O7118" s="10" t="n">
        <v>0.663145791040733</v>
      </c>
      <c r="P7118" s="10" t="n">
        <v>0.434221804374829</v>
      </c>
      <c r="Q7118" s="0" t="str">
        <f aca="false">SUBSTITUTE(SUBSTITUTE($I7118,CHAR(61),""),CHAR(34),"")</f>
        <v>25-34</v>
      </c>
      <c r="R7118" s="0" t="str">
        <f aca="false">IF($D7118&lt;&gt;"","["&amp;$E7118&amp;"]"&amp;"|"&amp;$Q7118&amp;"|"&amp;$K7118&amp;"|"&amp;$G7118&amp;"|"&amp;IF($G7118="TX_CURR_SUBNAT.R","CY2022Q4",$M7118),"")</f>
        <v>[ul0y9diGujK]|25-34|Female|PLHIV_Attend.T2|CY2025Q3</v>
      </c>
    </row>
    <row r="7119" customFormat="false" ht="15" hidden="false" customHeight="false" outlineLevel="0" collapsed="false">
      <c r="D7119" s="0" t="s">
        <v>108</v>
      </c>
      <c r="E7119" s="0" t="s">
        <v>109</v>
      </c>
      <c r="F7119" s="0" t="s">
        <v>110</v>
      </c>
      <c r="G7119" s="0" t="s">
        <v>174</v>
      </c>
      <c r="H7119" s="0" t="s">
        <v>174</v>
      </c>
      <c r="I7119" s="0" t="s">
        <v>43</v>
      </c>
      <c r="J7119" s="0" t="s">
        <v>44</v>
      </c>
      <c r="K7119" s="0" t="s">
        <v>30</v>
      </c>
      <c r="L7119" s="0" t="s">
        <v>31</v>
      </c>
      <c r="M7119" s="0" t="s">
        <v>173</v>
      </c>
      <c r="N7119" s="0" t="n">
        <v>859</v>
      </c>
      <c r="O7119" s="10" t="n">
        <v>0.0825394517742097</v>
      </c>
      <c r="P7119" s="10" t="n">
        <v>0.434221804374829</v>
      </c>
      <c r="Q7119" s="0" t="str">
        <f aca="false">SUBSTITUTE(SUBSTITUTE($I7119,CHAR(61),""),CHAR(34),"")</f>
        <v>35-49</v>
      </c>
      <c r="R7119" s="0" t="str">
        <f aca="false">IF($D7119&lt;&gt;"","["&amp;$E7119&amp;"]"&amp;"|"&amp;$Q7119&amp;"|"&amp;$K7119&amp;"|"&amp;$G7119&amp;"|"&amp;IF($G7119="TX_CURR_SUBNAT.R","CY2022Q4",$M7119),"")</f>
        <v>[ul0y9diGujK]|35-49|Female|PLHIV_Attend.T2|CY2025Q3</v>
      </c>
    </row>
    <row r="7120" customFormat="false" ht="15" hidden="false" customHeight="false" outlineLevel="0" collapsed="false">
      <c r="D7120" s="0" t="s">
        <v>108</v>
      </c>
      <c r="E7120" s="0" t="s">
        <v>109</v>
      </c>
      <c r="F7120" s="0" t="s">
        <v>110</v>
      </c>
      <c r="G7120" s="0" t="s">
        <v>174</v>
      </c>
      <c r="H7120" s="0" t="s">
        <v>174</v>
      </c>
      <c r="I7120" s="0" t="s">
        <v>45</v>
      </c>
      <c r="J7120" s="0" t="s">
        <v>46</v>
      </c>
      <c r="K7120" s="0" t="s">
        <v>30</v>
      </c>
      <c r="L7120" s="0" t="s">
        <v>31</v>
      </c>
      <c r="M7120" s="0" t="s">
        <v>173</v>
      </c>
      <c r="N7120" s="0" t="n">
        <v>550</v>
      </c>
      <c r="O7120" s="10" t="n">
        <v>0.196048979181796</v>
      </c>
      <c r="P7120" s="10" t="n">
        <v>0.434221804374829</v>
      </c>
      <c r="Q7120" s="0" t="str">
        <f aca="false">SUBSTITUTE(SUBSTITUTE($I7120,CHAR(61),""),CHAR(34),"")</f>
        <v>50+</v>
      </c>
      <c r="R7120" s="0" t="str">
        <f aca="false">IF($D7120&lt;&gt;"","["&amp;$E7120&amp;"]"&amp;"|"&amp;$Q7120&amp;"|"&amp;$K7120&amp;"|"&amp;$G7120&amp;"|"&amp;IF($G7120="TX_CURR_SUBNAT.R","CY2022Q4",$M7120),"")</f>
        <v>[ul0y9diGujK]|50+|Female|PLHIV_Attend.T2|CY2025Q3</v>
      </c>
    </row>
    <row r="7121" customFormat="false" ht="15" hidden="false" customHeight="false" outlineLevel="0" collapsed="false">
      <c r="D7121" s="0" t="s">
        <v>108</v>
      </c>
      <c r="E7121" s="0" t="s">
        <v>109</v>
      </c>
      <c r="F7121" s="0" t="s">
        <v>110</v>
      </c>
      <c r="G7121" s="0" t="s">
        <v>174</v>
      </c>
      <c r="H7121" s="0" t="s">
        <v>174</v>
      </c>
      <c r="I7121" s="0" t="s">
        <v>28</v>
      </c>
      <c r="J7121" s="0" t="s">
        <v>29</v>
      </c>
      <c r="K7121" s="0" t="s">
        <v>48</v>
      </c>
      <c r="L7121" s="0" t="s">
        <v>49</v>
      </c>
      <c r="M7121" s="0" t="s">
        <v>173</v>
      </c>
      <c r="N7121" s="0" t="n">
        <v>1106</v>
      </c>
      <c r="O7121" s="10" t="n">
        <v>0.235729323932901</v>
      </c>
      <c r="P7121" s="10" t="n">
        <v>0.434221804374829</v>
      </c>
      <c r="Q7121" s="0" t="str">
        <f aca="false">SUBSTITUTE(SUBSTITUTE($I7121,CHAR(61),""),CHAR(34),"")</f>
        <v>&lt;01</v>
      </c>
      <c r="R7121" s="0" t="str">
        <f aca="false">IF($D7121&lt;&gt;"","["&amp;$E7121&amp;"]"&amp;"|"&amp;$Q7121&amp;"|"&amp;$K7121&amp;"|"&amp;$G7121&amp;"|"&amp;IF($G7121="TX_CURR_SUBNAT.R","CY2022Q4",$M7121),"")</f>
        <v>[ul0y9diGujK]|&lt;01|Male|PLHIV_Attend.T2|CY2025Q3</v>
      </c>
    </row>
    <row r="7122" customFormat="false" ht="15" hidden="false" customHeight="false" outlineLevel="0" collapsed="false">
      <c r="D7122" s="0" t="s">
        <v>108</v>
      </c>
      <c r="E7122" s="0" t="s">
        <v>109</v>
      </c>
      <c r="F7122" s="0" t="s">
        <v>110</v>
      </c>
      <c r="G7122" s="0" t="s">
        <v>174</v>
      </c>
      <c r="H7122" s="0" t="s">
        <v>174</v>
      </c>
      <c r="I7122" s="0" t="s">
        <v>33</v>
      </c>
      <c r="J7122" s="0" t="s">
        <v>34</v>
      </c>
      <c r="K7122" s="0" t="s">
        <v>48</v>
      </c>
      <c r="L7122" s="0" t="s">
        <v>49</v>
      </c>
      <c r="M7122" s="0" t="s">
        <v>173</v>
      </c>
      <c r="N7122" s="0" t="n">
        <v>1097</v>
      </c>
      <c r="O7122" s="10" t="n">
        <v>0.250914905685931</v>
      </c>
      <c r="P7122" s="10" t="n">
        <v>0.434221804374829</v>
      </c>
      <c r="Q7122" s="0" t="str">
        <f aca="false">SUBSTITUTE(SUBSTITUTE($I7122,CHAR(61),""),CHAR(34),"")</f>
        <v>01-09</v>
      </c>
      <c r="R7122" s="0" t="str">
        <f aca="false">IF($D7122&lt;&gt;"","["&amp;$E7122&amp;"]"&amp;"|"&amp;$Q7122&amp;"|"&amp;$K7122&amp;"|"&amp;$G7122&amp;"|"&amp;IF($G7122="TX_CURR_SUBNAT.R","CY2022Q4",$M7122),"")</f>
        <v>[ul0y9diGujK]|01-09|Male|PLHIV_Attend.T2|CY2025Q3</v>
      </c>
    </row>
    <row r="7123" customFormat="false" ht="15" hidden="false" customHeight="false" outlineLevel="0" collapsed="false">
      <c r="D7123" s="0" t="s">
        <v>108</v>
      </c>
      <c r="E7123" s="0" t="s">
        <v>109</v>
      </c>
      <c r="F7123" s="0" t="s">
        <v>110</v>
      </c>
      <c r="G7123" s="0" t="s">
        <v>174</v>
      </c>
      <c r="H7123" s="0" t="s">
        <v>174</v>
      </c>
      <c r="I7123" s="0" t="s">
        <v>36</v>
      </c>
      <c r="J7123" s="0" t="s">
        <v>37</v>
      </c>
      <c r="K7123" s="0" t="s">
        <v>48</v>
      </c>
      <c r="L7123" s="0" t="s">
        <v>49</v>
      </c>
      <c r="M7123" s="0" t="s">
        <v>173</v>
      </c>
      <c r="N7123" s="0" t="n">
        <v>1526</v>
      </c>
      <c r="O7123" s="10" t="n">
        <v>0.897397506283596</v>
      </c>
      <c r="P7123" s="10" t="n">
        <v>0.434221804374829</v>
      </c>
      <c r="Q7123" s="0" t="str">
        <f aca="false">SUBSTITUTE(SUBSTITUTE($I7123,CHAR(61),""),CHAR(34),"")</f>
        <v>10-14</v>
      </c>
      <c r="R7123" s="0" t="str">
        <f aca="false">IF($D7123&lt;&gt;"","["&amp;$E7123&amp;"]"&amp;"|"&amp;$Q7123&amp;"|"&amp;$K7123&amp;"|"&amp;$G7123&amp;"|"&amp;IF($G7123="TX_CURR_SUBNAT.R","CY2022Q4",$M7123),"")</f>
        <v>[ul0y9diGujK]|10-14|Male|PLHIV_Attend.T2|CY2025Q3</v>
      </c>
    </row>
    <row r="7124" customFormat="false" ht="15" hidden="false" customHeight="false" outlineLevel="0" collapsed="false">
      <c r="D7124" s="0" t="s">
        <v>108</v>
      </c>
      <c r="E7124" s="0" t="s">
        <v>109</v>
      </c>
      <c r="F7124" s="0" t="s">
        <v>110</v>
      </c>
      <c r="G7124" s="0" t="s">
        <v>174</v>
      </c>
      <c r="H7124" s="0" t="s">
        <v>174</v>
      </c>
      <c r="I7124" s="0" t="s">
        <v>38</v>
      </c>
      <c r="J7124" s="0" t="s">
        <v>39</v>
      </c>
      <c r="K7124" s="0" t="s">
        <v>48</v>
      </c>
      <c r="L7124" s="0" t="s">
        <v>49</v>
      </c>
      <c r="M7124" s="0" t="s">
        <v>173</v>
      </c>
      <c r="N7124" s="0" t="n">
        <v>1613</v>
      </c>
      <c r="O7124" s="10" t="n">
        <v>0.0854028137400746</v>
      </c>
      <c r="P7124" s="10" t="n">
        <v>0.434221804374829</v>
      </c>
      <c r="Q7124" s="0" t="str">
        <f aca="false">SUBSTITUTE(SUBSTITUTE($I7124,CHAR(61),""),CHAR(34),"")</f>
        <v>15-24</v>
      </c>
      <c r="R7124" s="0" t="str">
        <f aca="false">IF($D7124&lt;&gt;"","["&amp;$E7124&amp;"]"&amp;"|"&amp;$Q7124&amp;"|"&amp;$K7124&amp;"|"&amp;$G7124&amp;"|"&amp;IF($G7124="TX_CURR_SUBNAT.R","CY2022Q4",$M7124),"")</f>
        <v>[ul0y9diGujK]|15-24|Male|PLHIV_Attend.T2|CY2025Q3</v>
      </c>
    </row>
    <row r="7125" customFormat="false" ht="15" hidden="false" customHeight="false" outlineLevel="0" collapsed="false">
      <c r="D7125" s="0" t="s">
        <v>108</v>
      </c>
      <c r="E7125" s="0" t="s">
        <v>109</v>
      </c>
      <c r="F7125" s="0" t="s">
        <v>110</v>
      </c>
      <c r="G7125" s="0" t="s">
        <v>174</v>
      </c>
      <c r="H7125" s="0" t="s">
        <v>174</v>
      </c>
      <c r="I7125" s="0" t="s">
        <v>41</v>
      </c>
      <c r="J7125" s="0" t="s">
        <v>42</v>
      </c>
      <c r="K7125" s="0" t="s">
        <v>48</v>
      </c>
      <c r="L7125" s="0" t="s">
        <v>49</v>
      </c>
      <c r="M7125" s="0" t="s">
        <v>173</v>
      </c>
      <c r="N7125" s="0" t="n">
        <v>913</v>
      </c>
      <c r="O7125" s="10" t="n">
        <v>0.263730452163145</v>
      </c>
      <c r="P7125" s="10" t="n">
        <v>0.434221804374829</v>
      </c>
      <c r="Q7125" s="0" t="str">
        <f aca="false">SUBSTITUTE(SUBSTITUTE($I7125,CHAR(61),""),CHAR(34),"")</f>
        <v>25-34</v>
      </c>
      <c r="R7125" s="0" t="str">
        <f aca="false">IF($D7125&lt;&gt;"","["&amp;$E7125&amp;"]"&amp;"|"&amp;$Q7125&amp;"|"&amp;$K7125&amp;"|"&amp;$G7125&amp;"|"&amp;IF($G7125="TX_CURR_SUBNAT.R","CY2022Q4",$M7125),"")</f>
        <v>[ul0y9diGujK]|25-34|Male|PLHIV_Attend.T2|CY2025Q3</v>
      </c>
    </row>
    <row r="7126" customFormat="false" ht="15" hidden="false" customHeight="false" outlineLevel="0" collapsed="false">
      <c r="D7126" s="0" t="s">
        <v>108</v>
      </c>
      <c r="E7126" s="0" t="s">
        <v>109</v>
      </c>
      <c r="F7126" s="0" t="s">
        <v>110</v>
      </c>
      <c r="G7126" s="0" t="s">
        <v>174</v>
      </c>
      <c r="H7126" s="0" t="s">
        <v>174</v>
      </c>
      <c r="I7126" s="0" t="s">
        <v>43</v>
      </c>
      <c r="J7126" s="0" t="s">
        <v>44</v>
      </c>
      <c r="K7126" s="0" t="s">
        <v>48</v>
      </c>
      <c r="L7126" s="0" t="s">
        <v>49</v>
      </c>
      <c r="M7126" s="0" t="s">
        <v>173</v>
      </c>
      <c r="N7126" s="0" t="n">
        <v>823</v>
      </c>
      <c r="O7126" s="10" t="n">
        <v>0.882455591345206</v>
      </c>
      <c r="P7126" s="10" t="n">
        <v>0.434221804374829</v>
      </c>
      <c r="Q7126" s="0" t="str">
        <f aca="false">SUBSTITUTE(SUBSTITUTE($I7126,CHAR(61),""),CHAR(34),"")</f>
        <v>35-49</v>
      </c>
      <c r="R7126" s="0" t="str">
        <f aca="false">IF($D7126&lt;&gt;"","["&amp;$E7126&amp;"]"&amp;"|"&amp;$Q7126&amp;"|"&amp;$K7126&amp;"|"&amp;$G7126&amp;"|"&amp;IF($G7126="TX_CURR_SUBNAT.R","CY2022Q4",$M7126),"")</f>
        <v>[ul0y9diGujK]|35-49|Male|PLHIV_Attend.T2|CY2025Q3</v>
      </c>
    </row>
    <row r="7127" customFormat="false" ht="15" hidden="false" customHeight="false" outlineLevel="0" collapsed="false">
      <c r="D7127" s="0" t="s">
        <v>108</v>
      </c>
      <c r="E7127" s="0" t="s">
        <v>109</v>
      </c>
      <c r="F7127" s="0" t="s">
        <v>110</v>
      </c>
      <c r="G7127" s="0" t="s">
        <v>174</v>
      </c>
      <c r="H7127" s="0" t="s">
        <v>174</v>
      </c>
      <c r="I7127" s="0" t="s">
        <v>45</v>
      </c>
      <c r="J7127" s="0" t="s">
        <v>46</v>
      </c>
      <c r="K7127" s="0" t="s">
        <v>48</v>
      </c>
      <c r="L7127" s="0" t="s">
        <v>49</v>
      </c>
      <c r="M7127" s="0" t="s">
        <v>173</v>
      </c>
      <c r="N7127" s="0" t="n">
        <v>1806</v>
      </c>
      <c r="O7127" s="10" t="n">
        <v>0.117158186156303</v>
      </c>
      <c r="P7127" s="10" t="n">
        <v>0.434221804374829</v>
      </c>
      <c r="Q7127" s="0" t="str">
        <f aca="false">SUBSTITUTE(SUBSTITUTE($I7127,CHAR(61),""),CHAR(34),"")</f>
        <v>50+</v>
      </c>
      <c r="R7127" s="0" t="str">
        <f aca="false">IF($D7127&lt;&gt;"","["&amp;$E7127&amp;"]"&amp;"|"&amp;$Q7127&amp;"|"&amp;$K7127&amp;"|"&amp;$G7127&amp;"|"&amp;IF($G7127="TX_CURR_SUBNAT.R","CY2022Q4",$M7127),"")</f>
        <v>[ul0y9diGujK]|50+|Male|PLHIV_Attend.T2|CY2025Q3</v>
      </c>
    </row>
    <row r="7128" customFormat="false" ht="15" hidden="false" customHeight="false" outlineLevel="0" collapsed="false">
      <c r="D7128" s="0" t="s">
        <v>111</v>
      </c>
      <c r="E7128" s="0" t="s">
        <v>112</v>
      </c>
      <c r="F7128" s="0" t="s">
        <v>113</v>
      </c>
      <c r="G7128" s="0" t="s">
        <v>174</v>
      </c>
      <c r="H7128" s="0" t="s">
        <v>174</v>
      </c>
      <c r="I7128" s="0" t="s">
        <v>28</v>
      </c>
      <c r="J7128" s="0" t="s">
        <v>29</v>
      </c>
      <c r="K7128" s="0" t="s">
        <v>30</v>
      </c>
      <c r="L7128" s="0" t="s">
        <v>31</v>
      </c>
      <c r="M7128" s="0" t="s">
        <v>173</v>
      </c>
      <c r="N7128" s="0" t="n">
        <v>522</v>
      </c>
      <c r="O7128" s="10" t="n">
        <v>0.978301844326779</v>
      </c>
      <c r="P7128" s="10" t="n">
        <v>0.337768794968724</v>
      </c>
      <c r="Q7128" s="0" t="str">
        <f aca="false">SUBSTITUTE(SUBSTITUTE($I7128,CHAR(61),""),CHAR(34),"")</f>
        <v>&lt;01</v>
      </c>
      <c r="R7128" s="0" t="str">
        <f aca="false">IF($D7128&lt;&gt;"","["&amp;$E7128&amp;"]"&amp;"|"&amp;$Q7128&amp;"|"&amp;$K7128&amp;"|"&amp;$G7128&amp;"|"&amp;IF($G7128="TX_CURR_SUBNAT.R","CY2022Q4",$M7128),"")</f>
        <v>[U8c0so51kT6]|&lt;01|Female|PLHIV_Attend.T2|CY2025Q3</v>
      </c>
    </row>
    <row r="7129" customFormat="false" ht="15" hidden="false" customHeight="false" outlineLevel="0" collapsed="false">
      <c r="D7129" s="0" t="s">
        <v>111</v>
      </c>
      <c r="E7129" s="0" t="s">
        <v>112</v>
      </c>
      <c r="F7129" s="0" t="s">
        <v>113</v>
      </c>
      <c r="G7129" s="0" t="s">
        <v>174</v>
      </c>
      <c r="H7129" s="0" t="s">
        <v>174</v>
      </c>
      <c r="I7129" s="0" t="s">
        <v>33</v>
      </c>
      <c r="J7129" s="0" t="s">
        <v>34</v>
      </c>
      <c r="K7129" s="0" t="s">
        <v>30</v>
      </c>
      <c r="L7129" s="0" t="s">
        <v>31</v>
      </c>
      <c r="M7129" s="0" t="s">
        <v>173</v>
      </c>
      <c r="N7129" s="0" t="n">
        <v>939</v>
      </c>
      <c r="O7129" s="10" t="n">
        <v>0.742270505055785</v>
      </c>
      <c r="P7129" s="10" t="n">
        <v>0.337768794968724</v>
      </c>
      <c r="Q7129" s="0" t="str">
        <f aca="false">SUBSTITUTE(SUBSTITUTE($I7129,CHAR(61),""),CHAR(34),"")</f>
        <v>01-09</v>
      </c>
      <c r="R7129" s="0" t="str">
        <f aca="false">IF($D7129&lt;&gt;"","["&amp;$E7129&amp;"]"&amp;"|"&amp;$Q7129&amp;"|"&amp;$K7129&amp;"|"&amp;$G7129&amp;"|"&amp;IF($G7129="TX_CURR_SUBNAT.R","CY2022Q4",$M7129),"")</f>
        <v>[U8c0so51kT6]|01-09|Female|PLHIV_Attend.T2|CY2025Q3</v>
      </c>
    </row>
    <row r="7130" customFormat="false" ht="15" hidden="false" customHeight="false" outlineLevel="0" collapsed="false">
      <c r="D7130" s="0" t="s">
        <v>111</v>
      </c>
      <c r="E7130" s="0" t="s">
        <v>112</v>
      </c>
      <c r="F7130" s="0" t="s">
        <v>113</v>
      </c>
      <c r="G7130" s="0" t="s">
        <v>174</v>
      </c>
      <c r="H7130" s="0" t="s">
        <v>174</v>
      </c>
      <c r="I7130" s="0" t="s">
        <v>36</v>
      </c>
      <c r="J7130" s="0" t="s">
        <v>37</v>
      </c>
      <c r="K7130" s="0" t="s">
        <v>30</v>
      </c>
      <c r="L7130" s="0" t="s">
        <v>31</v>
      </c>
      <c r="M7130" s="0" t="s">
        <v>173</v>
      </c>
      <c r="N7130" s="0" t="n">
        <v>955</v>
      </c>
      <c r="O7130" s="10" t="n">
        <v>0.505926341284066</v>
      </c>
      <c r="P7130" s="10" t="n">
        <v>0.337768794968724</v>
      </c>
      <c r="Q7130" s="0" t="str">
        <f aca="false">SUBSTITUTE(SUBSTITUTE($I7130,CHAR(61),""),CHAR(34),"")</f>
        <v>10-14</v>
      </c>
      <c r="R7130" s="0" t="str">
        <f aca="false">IF($D7130&lt;&gt;"","["&amp;$E7130&amp;"]"&amp;"|"&amp;$Q7130&amp;"|"&amp;$K7130&amp;"|"&amp;$G7130&amp;"|"&amp;IF($G7130="TX_CURR_SUBNAT.R","CY2022Q4",$M7130),"")</f>
        <v>[U8c0so51kT6]|10-14|Female|PLHIV_Attend.T2|CY2025Q3</v>
      </c>
    </row>
    <row r="7131" customFormat="false" ht="15" hidden="false" customHeight="false" outlineLevel="0" collapsed="false">
      <c r="D7131" s="0" t="s">
        <v>111</v>
      </c>
      <c r="E7131" s="0" t="s">
        <v>112</v>
      </c>
      <c r="F7131" s="0" t="s">
        <v>113</v>
      </c>
      <c r="G7131" s="0" t="s">
        <v>174</v>
      </c>
      <c r="H7131" s="0" t="s">
        <v>174</v>
      </c>
      <c r="I7131" s="0" t="s">
        <v>38</v>
      </c>
      <c r="J7131" s="0" t="s">
        <v>39</v>
      </c>
      <c r="K7131" s="0" t="s">
        <v>30</v>
      </c>
      <c r="L7131" s="0" t="s">
        <v>31</v>
      </c>
      <c r="M7131" s="0" t="s">
        <v>173</v>
      </c>
      <c r="N7131" s="0" t="n">
        <v>1764</v>
      </c>
      <c r="O7131" s="10" t="n">
        <v>0.471773878438398</v>
      </c>
      <c r="P7131" s="10" t="n">
        <v>0.337768794968724</v>
      </c>
      <c r="Q7131" s="0" t="str">
        <f aca="false">SUBSTITUTE(SUBSTITUTE($I7131,CHAR(61),""),CHAR(34),"")</f>
        <v>15-24</v>
      </c>
      <c r="R7131" s="0" t="str">
        <f aca="false">IF($D7131&lt;&gt;"","["&amp;$E7131&amp;"]"&amp;"|"&amp;$Q7131&amp;"|"&amp;$K7131&amp;"|"&amp;$G7131&amp;"|"&amp;IF($G7131="TX_CURR_SUBNAT.R","CY2022Q4",$M7131),"")</f>
        <v>[U8c0so51kT6]|15-24|Female|PLHIV_Attend.T2|CY2025Q3</v>
      </c>
    </row>
    <row r="7132" customFormat="false" ht="15" hidden="false" customHeight="false" outlineLevel="0" collapsed="false">
      <c r="D7132" s="0" t="s">
        <v>111</v>
      </c>
      <c r="E7132" s="0" t="s">
        <v>112</v>
      </c>
      <c r="F7132" s="0" t="s">
        <v>113</v>
      </c>
      <c r="G7132" s="0" t="s">
        <v>174</v>
      </c>
      <c r="H7132" s="0" t="s">
        <v>174</v>
      </c>
      <c r="I7132" s="0" t="s">
        <v>41</v>
      </c>
      <c r="J7132" s="0" t="s">
        <v>42</v>
      </c>
      <c r="K7132" s="0" t="s">
        <v>30</v>
      </c>
      <c r="L7132" s="0" t="s">
        <v>31</v>
      </c>
      <c r="M7132" s="0" t="s">
        <v>173</v>
      </c>
      <c r="N7132" s="0" t="n">
        <v>1058</v>
      </c>
      <c r="O7132" s="10" t="n">
        <v>0.0663941013626754</v>
      </c>
      <c r="P7132" s="10" t="n">
        <v>0.337768794968724</v>
      </c>
      <c r="Q7132" s="0" t="str">
        <f aca="false">SUBSTITUTE(SUBSTITUTE($I7132,CHAR(61),""),CHAR(34),"")</f>
        <v>25-34</v>
      </c>
      <c r="R7132" s="0" t="str">
        <f aca="false">IF($D7132&lt;&gt;"","["&amp;$E7132&amp;"]"&amp;"|"&amp;$Q7132&amp;"|"&amp;$K7132&amp;"|"&amp;$G7132&amp;"|"&amp;IF($G7132="TX_CURR_SUBNAT.R","CY2022Q4",$M7132),"")</f>
        <v>[U8c0so51kT6]|25-34|Female|PLHIV_Attend.T2|CY2025Q3</v>
      </c>
    </row>
    <row r="7133" customFormat="false" ht="15" hidden="false" customHeight="false" outlineLevel="0" collapsed="false">
      <c r="D7133" s="0" t="s">
        <v>111</v>
      </c>
      <c r="E7133" s="0" t="s">
        <v>112</v>
      </c>
      <c r="F7133" s="0" t="s">
        <v>113</v>
      </c>
      <c r="G7133" s="0" t="s">
        <v>174</v>
      </c>
      <c r="H7133" s="0" t="s">
        <v>174</v>
      </c>
      <c r="I7133" s="0" t="s">
        <v>43</v>
      </c>
      <c r="J7133" s="0" t="s">
        <v>44</v>
      </c>
      <c r="K7133" s="0" t="s">
        <v>30</v>
      </c>
      <c r="L7133" s="0" t="s">
        <v>31</v>
      </c>
      <c r="M7133" s="0" t="s">
        <v>173</v>
      </c>
      <c r="N7133" s="0" t="n">
        <v>1804</v>
      </c>
      <c r="O7133" s="10" t="n">
        <v>0.779011636506766</v>
      </c>
      <c r="P7133" s="10" t="n">
        <v>0.337768794968724</v>
      </c>
      <c r="Q7133" s="0" t="str">
        <f aca="false">SUBSTITUTE(SUBSTITUTE($I7133,CHAR(61),""),CHAR(34),"")</f>
        <v>35-49</v>
      </c>
      <c r="R7133" s="0" t="str">
        <f aca="false">IF($D7133&lt;&gt;"","["&amp;$E7133&amp;"]"&amp;"|"&amp;$Q7133&amp;"|"&amp;$K7133&amp;"|"&amp;$G7133&amp;"|"&amp;IF($G7133="TX_CURR_SUBNAT.R","CY2022Q4",$M7133),"")</f>
        <v>[U8c0so51kT6]|35-49|Female|PLHIV_Attend.T2|CY2025Q3</v>
      </c>
    </row>
    <row r="7134" customFormat="false" ht="15" hidden="false" customHeight="false" outlineLevel="0" collapsed="false">
      <c r="D7134" s="0" t="s">
        <v>111</v>
      </c>
      <c r="E7134" s="0" t="s">
        <v>112</v>
      </c>
      <c r="F7134" s="0" t="s">
        <v>113</v>
      </c>
      <c r="G7134" s="0" t="s">
        <v>174</v>
      </c>
      <c r="H7134" s="0" t="s">
        <v>174</v>
      </c>
      <c r="I7134" s="0" t="s">
        <v>45</v>
      </c>
      <c r="J7134" s="0" t="s">
        <v>46</v>
      </c>
      <c r="K7134" s="0" t="s">
        <v>30</v>
      </c>
      <c r="L7134" s="0" t="s">
        <v>31</v>
      </c>
      <c r="M7134" s="0" t="s">
        <v>173</v>
      </c>
      <c r="N7134" s="0" t="n">
        <v>1350</v>
      </c>
      <c r="O7134" s="10" t="n">
        <v>0.1192095966544</v>
      </c>
      <c r="P7134" s="10" t="n">
        <v>0.337768794968724</v>
      </c>
      <c r="Q7134" s="0" t="str">
        <f aca="false">SUBSTITUTE(SUBSTITUTE($I7134,CHAR(61),""),CHAR(34),"")</f>
        <v>50+</v>
      </c>
      <c r="R7134" s="0" t="str">
        <f aca="false">IF($D7134&lt;&gt;"","["&amp;$E7134&amp;"]"&amp;"|"&amp;$Q7134&amp;"|"&amp;$K7134&amp;"|"&amp;$G7134&amp;"|"&amp;IF($G7134="TX_CURR_SUBNAT.R","CY2022Q4",$M7134),"")</f>
        <v>[U8c0so51kT6]|50+|Female|PLHIV_Attend.T2|CY2025Q3</v>
      </c>
    </row>
    <row r="7135" customFormat="false" ht="15" hidden="false" customHeight="false" outlineLevel="0" collapsed="false">
      <c r="D7135" s="0" t="s">
        <v>111</v>
      </c>
      <c r="E7135" s="0" t="s">
        <v>112</v>
      </c>
      <c r="F7135" s="0" t="s">
        <v>113</v>
      </c>
      <c r="G7135" s="0" t="s">
        <v>174</v>
      </c>
      <c r="H7135" s="0" t="s">
        <v>174</v>
      </c>
      <c r="I7135" s="0" t="s">
        <v>28</v>
      </c>
      <c r="J7135" s="0" t="s">
        <v>29</v>
      </c>
      <c r="K7135" s="0" t="s">
        <v>48</v>
      </c>
      <c r="L7135" s="0" t="s">
        <v>49</v>
      </c>
      <c r="M7135" s="0" t="s">
        <v>173</v>
      </c>
      <c r="N7135" s="0" t="n">
        <v>845</v>
      </c>
      <c r="O7135" s="10" t="n">
        <v>0.881934877950698</v>
      </c>
      <c r="P7135" s="10" t="n">
        <v>0.337768794968724</v>
      </c>
      <c r="Q7135" s="0" t="str">
        <f aca="false">SUBSTITUTE(SUBSTITUTE($I7135,CHAR(61),""),CHAR(34),"")</f>
        <v>&lt;01</v>
      </c>
      <c r="R7135" s="0" t="str">
        <f aca="false">IF($D7135&lt;&gt;"","["&amp;$E7135&amp;"]"&amp;"|"&amp;$Q7135&amp;"|"&amp;$K7135&amp;"|"&amp;$G7135&amp;"|"&amp;IF($G7135="TX_CURR_SUBNAT.R","CY2022Q4",$M7135),"")</f>
        <v>[U8c0so51kT6]|&lt;01|Male|PLHIV_Attend.T2|CY2025Q3</v>
      </c>
    </row>
    <row r="7136" customFormat="false" ht="15" hidden="false" customHeight="false" outlineLevel="0" collapsed="false">
      <c r="D7136" s="0" t="s">
        <v>111</v>
      </c>
      <c r="E7136" s="0" t="s">
        <v>112</v>
      </c>
      <c r="F7136" s="0" t="s">
        <v>113</v>
      </c>
      <c r="G7136" s="0" t="s">
        <v>174</v>
      </c>
      <c r="H7136" s="0" t="s">
        <v>174</v>
      </c>
      <c r="I7136" s="0" t="s">
        <v>33</v>
      </c>
      <c r="J7136" s="0" t="s">
        <v>34</v>
      </c>
      <c r="K7136" s="0" t="s">
        <v>48</v>
      </c>
      <c r="L7136" s="0" t="s">
        <v>49</v>
      </c>
      <c r="M7136" s="0" t="s">
        <v>173</v>
      </c>
      <c r="N7136" s="0" t="n">
        <v>1691</v>
      </c>
      <c r="O7136" s="10" t="n">
        <v>0.0436206622980535</v>
      </c>
      <c r="P7136" s="10" t="n">
        <v>0.337768794968724</v>
      </c>
      <c r="Q7136" s="0" t="str">
        <f aca="false">SUBSTITUTE(SUBSTITUTE($I7136,CHAR(61),""),CHAR(34),"")</f>
        <v>01-09</v>
      </c>
      <c r="R7136" s="0" t="str">
        <f aca="false">IF($D7136&lt;&gt;"","["&amp;$E7136&amp;"]"&amp;"|"&amp;$Q7136&amp;"|"&amp;$K7136&amp;"|"&amp;$G7136&amp;"|"&amp;IF($G7136="TX_CURR_SUBNAT.R","CY2022Q4",$M7136),"")</f>
        <v>[U8c0so51kT6]|01-09|Male|PLHIV_Attend.T2|CY2025Q3</v>
      </c>
    </row>
    <row r="7137" customFormat="false" ht="15" hidden="false" customHeight="false" outlineLevel="0" collapsed="false">
      <c r="D7137" s="0" t="s">
        <v>111</v>
      </c>
      <c r="E7137" s="0" t="s">
        <v>112</v>
      </c>
      <c r="F7137" s="0" t="s">
        <v>113</v>
      </c>
      <c r="G7137" s="0" t="s">
        <v>174</v>
      </c>
      <c r="H7137" s="0" t="s">
        <v>174</v>
      </c>
      <c r="I7137" s="0" t="s">
        <v>36</v>
      </c>
      <c r="J7137" s="0" t="s">
        <v>37</v>
      </c>
      <c r="K7137" s="0" t="s">
        <v>48</v>
      </c>
      <c r="L7137" s="0" t="s">
        <v>49</v>
      </c>
      <c r="M7137" s="0" t="s">
        <v>173</v>
      </c>
      <c r="N7137" s="0" t="n">
        <v>1030</v>
      </c>
      <c r="O7137" s="10" t="n">
        <v>0.132702873554081</v>
      </c>
      <c r="P7137" s="10" t="n">
        <v>0.337768794968724</v>
      </c>
      <c r="Q7137" s="0" t="str">
        <f aca="false">SUBSTITUTE(SUBSTITUTE($I7137,CHAR(61),""),CHAR(34),"")</f>
        <v>10-14</v>
      </c>
      <c r="R7137" s="0" t="str">
        <f aca="false">IF($D7137&lt;&gt;"","["&amp;$E7137&amp;"]"&amp;"|"&amp;$Q7137&amp;"|"&amp;$K7137&amp;"|"&amp;$G7137&amp;"|"&amp;IF($G7137="TX_CURR_SUBNAT.R","CY2022Q4",$M7137),"")</f>
        <v>[U8c0so51kT6]|10-14|Male|PLHIV_Attend.T2|CY2025Q3</v>
      </c>
    </row>
    <row r="7138" customFormat="false" ht="15" hidden="false" customHeight="false" outlineLevel="0" collapsed="false">
      <c r="D7138" s="0" t="s">
        <v>111</v>
      </c>
      <c r="E7138" s="0" t="s">
        <v>112</v>
      </c>
      <c r="F7138" s="0" t="s">
        <v>113</v>
      </c>
      <c r="G7138" s="0" t="s">
        <v>174</v>
      </c>
      <c r="H7138" s="0" t="s">
        <v>174</v>
      </c>
      <c r="I7138" s="0" t="s">
        <v>38</v>
      </c>
      <c r="J7138" s="0" t="s">
        <v>39</v>
      </c>
      <c r="K7138" s="0" t="s">
        <v>48</v>
      </c>
      <c r="L7138" s="0" t="s">
        <v>49</v>
      </c>
      <c r="M7138" s="0" t="s">
        <v>173</v>
      </c>
      <c r="N7138" s="0" t="n">
        <v>1178</v>
      </c>
      <c r="O7138" s="10" t="n">
        <v>0.749515159055591</v>
      </c>
      <c r="P7138" s="10" t="n">
        <v>0.337768794968724</v>
      </c>
      <c r="Q7138" s="0" t="str">
        <f aca="false">SUBSTITUTE(SUBSTITUTE($I7138,CHAR(61),""),CHAR(34),"")</f>
        <v>15-24</v>
      </c>
      <c r="R7138" s="0" t="str">
        <f aca="false">IF($D7138&lt;&gt;"","["&amp;$E7138&amp;"]"&amp;"|"&amp;$Q7138&amp;"|"&amp;$K7138&amp;"|"&amp;$G7138&amp;"|"&amp;IF($G7138="TX_CURR_SUBNAT.R","CY2022Q4",$M7138),"")</f>
        <v>[U8c0so51kT6]|15-24|Male|PLHIV_Attend.T2|CY2025Q3</v>
      </c>
    </row>
    <row r="7139" customFormat="false" ht="15" hidden="false" customHeight="false" outlineLevel="0" collapsed="false">
      <c r="D7139" s="0" t="s">
        <v>111</v>
      </c>
      <c r="E7139" s="0" t="s">
        <v>112</v>
      </c>
      <c r="F7139" s="0" t="s">
        <v>113</v>
      </c>
      <c r="G7139" s="0" t="s">
        <v>174</v>
      </c>
      <c r="H7139" s="0" t="s">
        <v>174</v>
      </c>
      <c r="I7139" s="0" t="s">
        <v>41</v>
      </c>
      <c r="J7139" s="0" t="s">
        <v>42</v>
      </c>
      <c r="K7139" s="0" t="s">
        <v>48</v>
      </c>
      <c r="L7139" s="0" t="s">
        <v>49</v>
      </c>
      <c r="M7139" s="0" t="s">
        <v>173</v>
      </c>
      <c r="N7139" s="0" t="n">
        <v>984</v>
      </c>
      <c r="O7139" s="10" t="n">
        <v>0.53962703817524</v>
      </c>
      <c r="P7139" s="10" t="n">
        <v>0.337768794968724</v>
      </c>
      <c r="Q7139" s="0" t="str">
        <f aca="false">SUBSTITUTE(SUBSTITUTE($I7139,CHAR(61),""),CHAR(34),"")</f>
        <v>25-34</v>
      </c>
      <c r="R7139" s="0" t="str">
        <f aca="false">IF($D7139&lt;&gt;"","["&amp;$E7139&amp;"]"&amp;"|"&amp;$Q7139&amp;"|"&amp;$K7139&amp;"|"&amp;$G7139&amp;"|"&amp;IF($G7139="TX_CURR_SUBNAT.R","CY2022Q4",$M7139),"")</f>
        <v>[U8c0so51kT6]|25-34|Male|PLHIV_Attend.T2|CY2025Q3</v>
      </c>
    </row>
    <row r="7140" customFormat="false" ht="15" hidden="false" customHeight="false" outlineLevel="0" collapsed="false">
      <c r="D7140" s="0" t="s">
        <v>111</v>
      </c>
      <c r="E7140" s="0" t="s">
        <v>112</v>
      </c>
      <c r="F7140" s="0" t="s">
        <v>113</v>
      </c>
      <c r="G7140" s="0" t="s">
        <v>174</v>
      </c>
      <c r="H7140" s="0" t="s">
        <v>174</v>
      </c>
      <c r="I7140" s="0" t="s">
        <v>43</v>
      </c>
      <c r="J7140" s="0" t="s">
        <v>44</v>
      </c>
      <c r="K7140" s="0" t="s">
        <v>48</v>
      </c>
      <c r="L7140" s="0" t="s">
        <v>49</v>
      </c>
      <c r="M7140" s="0" t="s">
        <v>173</v>
      </c>
      <c r="N7140" s="0" t="n">
        <v>1340</v>
      </c>
      <c r="O7140" s="10" t="n">
        <v>0.979930345667526</v>
      </c>
      <c r="P7140" s="10" t="n">
        <v>0.337768794968724</v>
      </c>
      <c r="Q7140" s="0" t="str">
        <f aca="false">SUBSTITUTE(SUBSTITUTE($I7140,CHAR(61),""),CHAR(34),"")</f>
        <v>35-49</v>
      </c>
      <c r="R7140" s="0" t="str">
        <f aca="false">IF($D7140&lt;&gt;"","["&amp;$E7140&amp;"]"&amp;"|"&amp;$Q7140&amp;"|"&amp;$K7140&amp;"|"&amp;$G7140&amp;"|"&amp;IF($G7140="TX_CURR_SUBNAT.R","CY2022Q4",$M7140),"")</f>
        <v>[U8c0so51kT6]|35-49|Male|PLHIV_Attend.T2|CY2025Q3</v>
      </c>
    </row>
    <row r="7141" customFormat="false" ht="15" hidden="false" customHeight="false" outlineLevel="0" collapsed="false">
      <c r="D7141" s="0" t="s">
        <v>111</v>
      </c>
      <c r="E7141" s="0" t="s">
        <v>112</v>
      </c>
      <c r="F7141" s="0" t="s">
        <v>113</v>
      </c>
      <c r="G7141" s="0" t="s">
        <v>174</v>
      </c>
      <c r="H7141" s="0" t="s">
        <v>174</v>
      </c>
      <c r="I7141" s="0" t="s">
        <v>45</v>
      </c>
      <c r="J7141" s="0" t="s">
        <v>46</v>
      </c>
      <c r="K7141" s="0" t="s">
        <v>48</v>
      </c>
      <c r="L7141" s="0" t="s">
        <v>49</v>
      </c>
      <c r="M7141" s="0" t="s">
        <v>173</v>
      </c>
      <c r="N7141" s="0" t="n">
        <v>1385</v>
      </c>
      <c r="O7141" s="10" t="n">
        <v>0.146669859997928</v>
      </c>
      <c r="P7141" s="10" t="n">
        <v>0.337768794968724</v>
      </c>
      <c r="Q7141" s="0" t="str">
        <f aca="false">SUBSTITUTE(SUBSTITUTE($I7141,CHAR(61),""),CHAR(34),"")</f>
        <v>50+</v>
      </c>
      <c r="R7141" s="0" t="str">
        <f aca="false">IF($D7141&lt;&gt;"","["&amp;$E7141&amp;"]"&amp;"|"&amp;$Q7141&amp;"|"&amp;$K7141&amp;"|"&amp;$G7141&amp;"|"&amp;IF($G7141="TX_CURR_SUBNAT.R","CY2022Q4",$M7141),"")</f>
        <v>[U8c0so51kT6]|50+|Male|PLHIV_Attend.T2|CY2025Q3</v>
      </c>
    </row>
    <row r="7142" customFormat="false" ht="15" hidden="false" customHeight="false" outlineLevel="0" collapsed="false">
      <c r="D7142" s="0" t="s">
        <v>114</v>
      </c>
      <c r="E7142" s="0" t="s">
        <v>115</v>
      </c>
      <c r="F7142" s="0" t="s">
        <v>116</v>
      </c>
      <c r="G7142" s="0" t="s">
        <v>174</v>
      </c>
      <c r="H7142" s="0" t="s">
        <v>174</v>
      </c>
      <c r="I7142" s="0" t="s">
        <v>28</v>
      </c>
      <c r="J7142" s="0" t="s">
        <v>29</v>
      </c>
      <c r="K7142" s="0" t="s">
        <v>30</v>
      </c>
      <c r="L7142" s="0" t="s">
        <v>31</v>
      </c>
      <c r="M7142" s="0" t="s">
        <v>173</v>
      </c>
      <c r="N7142" s="0" t="n">
        <v>760</v>
      </c>
      <c r="O7142" s="10" t="n">
        <v>0.45662143593654</v>
      </c>
      <c r="P7142" s="10" t="n">
        <v>0.298559809103608</v>
      </c>
      <c r="Q7142" s="0" t="str">
        <f aca="false">SUBSTITUTE(SUBSTITUTE($I7142,CHAR(61),""),CHAR(34),"")</f>
        <v>&lt;01</v>
      </c>
      <c r="R7142" s="0" t="str">
        <f aca="false">IF($D7142&lt;&gt;"","["&amp;$E7142&amp;"]"&amp;"|"&amp;$Q7142&amp;"|"&amp;$K7142&amp;"|"&amp;$G7142&amp;"|"&amp;IF($G7142="TX_CURR_SUBNAT.R","CY2022Q4",$M7142),"")</f>
        <v>[rpw540fmNUz]|&lt;01|Female|PLHIV_Attend.T2|CY2025Q3</v>
      </c>
    </row>
    <row r="7143" customFormat="false" ht="15" hidden="false" customHeight="false" outlineLevel="0" collapsed="false">
      <c r="D7143" s="0" t="s">
        <v>114</v>
      </c>
      <c r="E7143" s="0" t="s">
        <v>115</v>
      </c>
      <c r="F7143" s="0" t="s">
        <v>116</v>
      </c>
      <c r="G7143" s="0" t="s">
        <v>174</v>
      </c>
      <c r="H7143" s="0" t="s">
        <v>174</v>
      </c>
      <c r="I7143" s="0" t="s">
        <v>33</v>
      </c>
      <c r="J7143" s="0" t="s">
        <v>34</v>
      </c>
      <c r="K7143" s="0" t="s">
        <v>30</v>
      </c>
      <c r="L7143" s="0" t="s">
        <v>31</v>
      </c>
      <c r="M7143" s="0" t="s">
        <v>173</v>
      </c>
      <c r="N7143" s="0" t="n">
        <v>1304</v>
      </c>
      <c r="O7143" s="10" t="n">
        <v>0.872877857415006</v>
      </c>
      <c r="P7143" s="10" t="n">
        <v>0.298559809103608</v>
      </c>
      <c r="Q7143" s="0" t="str">
        <f aca="false">SUBSTITUTE(SUBSTITUTE($I7143,CHAR(61),""),CHAR(34),"")</f>
        <v>01-09</v>
      </c>
      <c r="R7143" s="0" t="str">
        <f aca="false">IF($D7143&lt;&gt;"","["&amp;$E7143&amp;"]"&amp;"|"&amp;$Q7143&amp;"|"&amp;$K7143&amp;"|"&amp;$G7143&amp;"|"&amp;IF($G7143="TX_CURR_SUBNAT.R","CY2022Q4",$M7143),"")</f>
        <v>[rpw540fmNUz]|01-09|Female|PLHIV_Attend.T2|CY2025Q3</v>
      </c>
    </row>
    <row r="7144" customFormat="false" ht="15" hidden="false" customHeight="false" outlineLevel="0" collapsed="false">
      <c r="D7144" s="0" t="s">
        <v>114</v>
      </c>
      <c r="E7144" s="0" t="s">
        <v>115</v>
      </c>
      <c r="F7144" s="0" t="s">
        <v>116</v>
      </c>
      <c r="G7144" s="0" t="s">
        <v>174</v>
      </c>
      <c r="H7144" s="0" t="s">
        <v>174</v>
      </c>
      <c r="I7144" s="0" t="s">
        <v>36</v>
      </c>
      <c r="J7144" s="0" t="s">
        <v>37</v>
      </c>
      <c r="K7144" s="0" t="s">
        <v>30</v>
      </c>
      <c r="L7144" s="0" t="s">
        <v>31</v>
      </c>
      <c r="M7144" s="0" t="s">
        <v>173</v>
      </c>
      <c r="N7144" s="0" t="n">
        <v>1969</v>
      </c>
      <c r="O7144" s="10" t="n">
        <v>0.384254923090339</v>
      </c>
      <c r="P7144" s="10" t="n">
        <v>0.298559809103608</v>
      </c>
      <c r="Q7144" s="0" t="str">
        <f aca="false">SUBSTITUTE(SUBSTITUTE($I7144,CHAR(61),""),CHAR(34),"")</f>
        <v>10-14</v>
      </c>
      <c r="R7144" s="0" t="str">
        <f aca="false">IF($D7144&lt;&gt;"","["&amp;$E7144&amp;"]"&amp;"|"&amp;$Q7144&amp;"|"&amp;$K7144&amp;"|"&amp;$G7144&amp;"|"&amp;IF($G7144="TX_CURR_SUBNAT.R","CY2022Q4",$M7144),"")</f>
        <v>[rpw540fmNUz]|10-14|Female|PLHIV_Attend.T2|CY2025Q3</v>
      </c>
    </row>
    <row r="7145" customFormat="false" ht="15" hidden="false" customHeight="false" outlineLevel="0" collapsed="false">
      <c r="D7145" s="0" t="s">
        <v>114</v>
      </c>
      <c r="E7145" s="0" t="s">
        <v>115</v>
      </c>
      <c r="F7145" s="0" t="s">
        <v>116</v>
      </c>
      <c r="G7145" s="0" t="s">
        <v>174</v>
      </c>
      <c r="H7145" s="0" t="s">
        <v>174</v>
      </c>
      <c r="I7145" s="0" t="s">
        <v>38</v>
      </c>
      <c r="J7145" s="0" t="s">
        <v>39</v>
      </c>
      <c r="K7145" s="0" t="s">
        <v>30</v>
      </c>
      <c r="L7145" s="0" t="s">
        <v>31</v>
      </c>
      <c r="M7145" s="0" t="s">
        <v>173</v>
      </c>
      <c r="N7145" s="0" t="n">
        <v>1022</v>
      </c>
      <c r="O7145" s="10" t="n">
        <v>0.155288228299469</v>
      </c>
      <c r="P7145" s="10" t="n">
        <v>0.298559809103608</v>
      </c>
      <c r="Q7145" s="0" t="str">
        <f aca="false">SUBSTITUTE(SUBSTITUTE($I7145,CHAR(61),""),CHAR(34),"")</f>
        <v>15-24</v>
      </c>
      <c r="R7145" s="0" t="str">
        <f aca="false">IF($D7145&lt;&gt;"","["&amp;$E7145&amp;"]"&amp;"|"&amp;$Q7145&amp;"|"&amp;$K7145&amp;"|"&amp;$G7145&amp;"|"&amp;IF($G7145="TX_CURR_SUBNAT.R","CY2022Q4",$M7145),"")</f>
        <v>[rpw540fmNUz]|15-24|Female|PLHIV_Attend.T2|CY2025Q3</v>
      </c>
    </row>
    <row r="7146" customFormat="false" ht="15" hidden="false" customHeight="false" outlineLevel="0" collapsed="false">
      <c r="D7146" s="0" t="s">
        <v>114</v>
      </c>
      <c r="E7146" s="0" t="s">
        <v>115</v>
      </c>
      <c r="F7146" s="0" t="s">
        <v>116</v>
      </c>
      <c r="G7146" s="0" t="s">
        <v>174</v>
      </c>
      <c r="H7146" s="0" t="s">
        <v>174</v>
      </c>
      <c r="I7146" s="0" t="s">
        <v>41</v>
      </c>
      <c r="J7146" s="0" t="s">
        <v>42</v>
      </c>
      <c r="K7146" s="0" t="s">
        <v>30</v>
      </c>
      <c r="L7146" s="0" t="s">
        <v>31</v>
      </c>
      <c r="M7146" s="0" t="s">
        <v>173</v>
      </c>
      <c r="N7146" s="0" t="n">
        <v>1294</v>
      </c>
      <c r="O7146" s="10" t="n">
        <v>0.14562187413685</v>
      </c>
      <c r="P7146" s="10" t="n">
        <v>0.298559809103608</v>
      </c>
      <c r="Q7146" s="0" t="str">
        <f aca="false">SUBSTITUTE(SUBSTITUTE($I7146,CHAR(61),""),CHAR(34),"")</f>
        <v>25-34</v>
      </c>
      <c r="R7146" s="0" t="str">
        <f aca="false">IF($D7146&lt;&gt;"","["&amp;$E7146&amp;"]"&amp;"|"&amp;$Q7146&amp;"|"&amp;$K7146&amp;"|"&amp;$G7146&amp;"|"&amp;IF($G7146="TX_CURR_SUBNAT.R","CY2022Q4",$M7146),"")</f>
        <v>[rpw540fmNUz]|25-34|Female|PLHIV_Attend.T2|CY2025Q3</v>
      </c>
    </row>
    <row r="7147" customFormat="false" ht="15" hidden="false" customHeight="false" outlineLevel="0" collapsed="false">
      <c r="D7147" s="0" t="s">
        <v>114</v>
      </c>
      <c r="E7147" s="0" t="s">
        <v>115</v>
      </c>
      <c r="F7147" s="0" t="s">
        <v>116</v>
      </c>
      <c r="G7147" s="0" t="s">
        <v>174</v>
      </c>
      <c r="H7147" s="0" t="s">
        <v>174</v>
      </c>
      <c r="I7147" s="0" t="s">
        <v>43</v>
      </c>
      <c r="J7147" s="0" t="s">
        <v>44</v>
      </c>
      <c r="K7147" s="0" t="s">
        <v>30</v>
      </c>
      <c r="L7147" s="0" t="s">
        <v>31</v>
      </c>
      <c r="M7147" s="0" t="s">
        <v>173</v>
      </c>
      <c r="N7147" s="0" t="n">
        <v>1895</v>
      </c>
      <c r="O7147" s="10" t="n">
        <v>0.701178511837497</v>
      </c>
      <c r="P7147" s="10" t="n">
        <v>0.298559809103608</v>
      </c>
      <c r="Q7147" s="0" t="str">
        <f aca="false">SUBSTITUTE(SUBSTITUTE($I7147,CHAR(61),""),CHAR(34),"")</f>
        <v>35-49</v>
      </c>
      <c r="R7147" s="0" t="str">
        <f aca="false">IF($D7147&lt;&gt;"","["&amp;$E7147&amp;"]"&amp;"|"&amp;$Q7147&amp;"|"&amp;$K7147&amp;"|"&amp;$G7147&amp;"|"&amp;IF($G7147="TX_CURR_SUBNAT.R","CY2022Q4",$M7147),"")</f>
        <v>[rpw540fmNUz]|35-49|Female|PLHIV_Attend.T2|CY2025Q3</v>
      </c>
    </row>
    <row r="7148" customFormat="false" ht="15" hidden="false" customHeight="false" outlineLevel="0" collapsed="false">
      <c r="D7148" s="0" t="s">
        <v>114</v>
      </c>
      <c r="E7148" s="0" t="s">
        <v>115</v>
      </c>
      <c r="F7148" s="0" t="s">
        <v>116</v>
      </c>
      <c r="G7148" s="0" t="s">
        <v>174</v>
      </c>
      <c r="H7148" s="0" t="s">
        <v>174</v>
      </c>
      <c r="I7148" s="0" t="s">
        <v>45</v>
      </c>
      <c r="J7148" s="0" t="s">
        <v>46</v>
      </c>
      <c r="K7148" s="0" t="s">
        <v>30</v>
      </c>
      <c r="L7148" s="0" t="s">
        <v>31</v>
      </c>
      <c r="M7148" s="0" t="s">
        <v>173</v>
      </c>
      <c r="N7148" s="0" t="n">
        <v>1890</v>
      </c>
      <c r="O7148" s="10" t="n">
        <v>0.479389252373949</v>
      </c>
      <c r="P7148" s="10" t="n">
        <v>0.298559809103608</v>
      </c>
      <c r="Q7148" s="0" t="str">
        <f aca="false">SUBSTITUTE(SUBSTITUTE($I7148,CHAR(61),""),CHAR(34),"")</f>
        <v>50+</v>
      </c>
      <c r="R7148" s="0" t="str">
        <f aca="false">IF($D7148&lt;&gt;"","["&amp;$E7148&amp;"]"&amp;"|"&amp;$Q7148&amp;"|"&amp;$K7148&amp;"|"&amp;$G7148&amp;"|"&amp;IF($G7148="TX_CURR_SUBNAT.R","CY2022Q4",$M7148),"")</f>
        <v>[rpw540fmNUz]|50+|Female|PLHIV_Attend.T2|CY2025Q3</v>
      </c>
    </row>
    <row r="7149" customFormat="false" ht="15" hidden="false" customHeight="false" outlineLevel="0" collapsed="false">
      <c r="D7149" s="0" t="s">
        <v>114</v>
      </c>
      <c r="E7149" s="0" t="s">
        <v>115</v>
      </c>
      <c r="F7149" s="0" t="s">
        <v>116</v>
      </c>
      <c r="G7149" s="0" t="s">
        <v>174</v>
      </c>
      <c r="H7149" s="0" t="s">
        <v>174</v>
      </c>
      <c r="I7149" s="0" t="s">
        <v>28</v>
      </c>
      <c r="J7149" s="0" t="s">
        <v>29</v>
      </c>
      <c r="K7149" s="0" t="s">
        <v>48</v>
      </c>
      <c r="L7149" s="0" t="s">
        <v>49</v>
      </c>
      <c r="M7149" s="0" t="s">
        <v>173</v>
      </c>
      <c r="N7149" s="0" t="n">
        <v>1110</v>
      </c>
      <c r="O7149" s="10" t="n">
        <v>0.946401229361072</v>
      </c>
      <c r="P7149" s="10" t="n">
        <v>0.298559809103608</v>
      </c>
      <c r="Q7149" s="0" t="str">
        <f aca="false">SUBSTITUTE(SUBSTITUTE($I7149,CHAR(61),""),CHAR(34),"")</f>
        <v>&lt;01</v>
      </c>
      <c r="R7149" s="0" t="str">
        <f aca="false">IF($D7149&lt;&gt;"","["&amp;$E7149&amp;"]"&amp;"|"&amp;$Q7149&amp;"|"&amp;$K7149&amp;"|"&amp;$G7149&amp;"|"&amp;IF($G7149="TX_CURR_SUBNAT.R","CY2022Q4",$M7149),"")</f>
        <v>[rpw540fmNUz]|&lt;01|Male|PLHIV_Attend.T2|CY2025Q3</v>
      </c>
    </row>
    <row r="7150" customFormat="false" ht="15" hidden="false" customHeight="false" outlineLevel="0" collapsed="false">
      <c r="D7150" s="0" t="s">
        <v>114</v>
      </c>
      <c r="E7150" s="0" t="s">
        <v>115</v>
      </c>
      <c r="F7150" s="0" t="s">
        <v>116</v>
      </c>
      <c r="G7150" s="0" t="s">
        <v>174</v>
      </c>
      <c r="H7150" s="0" t="s">
        <v>174</v>
      </c>
      <c r="I7150" s="0" t="s">
        <v>33</v>
      </c>
      <c r="J7150" s="0" t="s">
        <v>34</v>
      </c>
      <c r="K7150" s="0" t="s">
        <v>48</v>
      </c>
      <c r="L7150" s="0" t="s">
        <v>49</v>
      </c>
      <c r="M7150" s="0" t="s">
        <v>173</v>
      </c>
      <c r="N7150" s="0" t="n">
        <v>752</v>
      </c>
      <c r="O7150" s="10" t="n">
        <v>0.150570307159796</v>
      </c>
      <c r="P7150" s="10" t="n">
        <v>0.298559809103608</v>
      </c>
      <c r="Q7150" s="0" t="str">
        <f aca="false">SUBSTITUTE(SUBSTITUTE($I7150,CHAR(61),""),CHAR(34),"")</f>
        <v>01-09</v>
      </c>
      <c r="R7150" s="0" t="str">
        <f aca="false">IF($D7150&lt;&gt;"","["&amp;$E7150&amp;"]"&amp;"|"&amp;$Q7150&amp;"|"&amp;$K7150&amp;"|"&amp;$G7150&amp;"|"&amp;IF($G7150="TX_CURR_SUBNAT.R","CY2022Q4",$M7150),"")</f>
        <v>[rpw540fmNUz]|01-09|Male|PLHIV_Attend.T2|CY2025Q3</v>
      </c>
    </row>
    <row r="7151" customFormat="false" ht="15" hidden="false" customHeight="false" outlineLevel="0" collapsed="false">
      <c r="D7151" s="0" t="s">
        <v>114</v>
      </c>
      <c r="E7151" s="0" t="s">
        <v>115</v>
      </c>
      <c r="F7151" s="0" t="s">
        <v>116</v>
      </c>
      <c r="G7151" s="0" t="s">
        <v>174</v>
      </c>
      <c r="H7151" s="0" t="s">
        <v>174</v>
      </c>
      <c r="I7151" s="0" t="s">
        <v>36</v>
      </c>
      <c r="J7151" s="0" t="s">
        <v>37</v>
      </c>
      <c r="K7151" s="0" t="s">
        <v>48</v>
      </c>
      <c r="L7151" s="0" t="s">
        <v>49</v>
      </c>
      <c r="M7151" s="0" t="s">
        <v>173</v>
      </c>
      <c r="N7151" s="0" t="n">
        <v>1860</v>
      </c>
      <c r="O7151" s="10" t="n">
        <v>0.217020141659304</v>
      </c>
      <c r="P7151" s="10" t="n">
        <v>0.298559809103608</v>
      </c>
      <c r="Q7151" s="0" t="str">
        <f aca="false">SUBSTITUTE(SUBSTITUTE($I7151,CHAR(61),""),CHAR(34),"")</f>
        <v>10-14</v>
      </c>
      <c r="R7151" s="0" t="str">
        <f aca="false">IF($D7151&lt;&gt;"","["&amp;$E7151&amp;"]"&amp;"|"&amp;$Q7151&amp;"|"&amp;$K7151&amp;"|"&amp;$G7151&amp;"|"&amp;IF($G7151="TX_CURR_SUBNAT.R","CY2022Q4",$M7151),"")</f>
        <v>[rpw540fmNUz]|10-14|Male|PLHIV_Attend.T2|CY2025Q3</v>
      </c>
    </row>
    <row r="7152" customFormat="false" ht="15" hidden="false" customHeight="false" outlineLevel="0" collapsed="false">
      <c r="D7152" s="0" t="s">
        <v>114</v>
      </c>
      <c r="E7152" s="0" t="s">
        <v>115</v>
      </c>
      <c r="F7152" s="0" t="s">
        <v>116</v>
      </c>
      <c r="G7152" s="0" t="s">
        <v>174</v>
      </c>
      <c r="H7152" s="0" t="s">
        <v>174</v>
      </c>
      <c r="I7152" s="0" t="s">
        <v>38</v>
      </c>
      <c r="J7152" s="0" t="s">
        <v>39</v>
      </c>
      <c r="K7152" s="0" t="s">
        <v>48</v>
      </c>
      <c r="L7152" s="0" t="s">
        <v>49</v>
      </c>
      <c r="M7152" s="0" t="s">
        <v>173</v>
      </c>
      <c r="N7152" s="0" t="n">
        <v>1116</v>
      </c>
      <c r="O7152" s="10" t="n">
        <v>0.699981097830459</v>
      </c>
      <c r="P7152" s="10" t="n">
        <v>0.298559809103608</v>
      </c>
      <c r="Q7152" s="0" t="str">
        <f aca="false">SUBSTITUTE(SUBSTITUTE($I7152,CHAR(61),""),CHAR(34),"")</f>
        <v>15-24</v>
      </c>
      <c r="R7152" s="0" t="str">
        <f aca="false">IF($D7152&lt;&gt;"","["&amp;$E7152&amp;"]"&amp;"|"&amp;$Q7152&amp;"|"&amp;$K7152&amp;"|"&amp;$G7152&amp;"|"&amp;IF($G7152="TX_CURR_SUBNAT.R","CY2022Q4",$M7152),"")</f>
        <v>[rpw540fmNUz]|15-24|Male|PLHIV_Attend.T2|CY2025Q3</v>
      </c>
    </row>
    <row r="7153" customFormat="false" ht="15" hidden="false" customHeight="false" outlineLevel="0" collapsed="false">
      <c r="D7153" s="0" t="s">
        <v>114</v>
      </c>
      <c r="E7153" s="0" t="s">
        <v>115</v>
      </c>
      <c r="F7153" s="0" t="s">
        <v>116</v>
      </c>
      <c r="G7153" s="0" t="s">
        <v>174</v>
      </c>
      <c r="H7153" s="0" t="s">
        <v>174</v>
      </c>
      <c r="I7153" s="0" t="s">
        <v>41</v>
      </c>
      <c r="J7153" s="0" t="s">
        <v>42</v>
      </c>
      <c r="K7153" s="0" t="s">
        <v>48</v>
      </c>
      <c r="L7153" s="0" t="s">
        <v>49</v>
      </c>
      <c r="M7153" s="0" t="s">
        <v>173</v>
      </c>
      <c r="N7153" s="0" t="n">
        <v>951</v>
      </c>
      <c r="O7153" s="10" t="n">
        <v>0.352893674047664</v>
      </c>
      <c r="P7153" s="10" t="n">
        <v>0.298559809103608</v>
      </c>
      <c r="Q7153" s="0" t="str">
        <f aca="false">SUBSTITUTE(SUBSTITUTE($I7153,CHAR(61),""),CHAR(34),"")</f>
        <v>25-34</v>
      </c>
      <c r="R7153" s="0" t="str">
        <f aca="false">IF($D7153&lt;&gt;"","["&amp;$E7153&amp;"]"&amp;"|"&amp;$Q7153&amp;"|"&amp;$K7153&amp;"|"&amp;$G7153&amp;"|"&amp;IF($G7153="TX_CURR_SUBNAT.R","CY2022Q4",$M7153),"")</f>
        <v>[rpw540fmNUz]|25-34|Male|PLHIV_Attend.T2|CY2025Q3</v>
      </c>
    </row>
    <row r="7154" customFormat="false" ht="15" hidden="false" customHeight="false" outlineLevel="0" collapsed="false">
      <c r="D7154" s="0" t="s">
        <v>114</v>
      </c>
      <c r="E7154" s="0" t="s">
        <v>115</v>
      </c>
      <c r="F7154" s="0" t="s">
        <v>116</v>
      </c>
      <c r="G7154" s="0" t="s">
        <v>174</v>
      </c>
      <c r="H7154" s="0" t="s">
        <v>174</v>
      </c>
      <c r="I7154" s="0" t="s">
        <v>43</v>
      </c>
      <c r="J7154" s="0" t="s">
        <v>44</v>
      </c>
      <c r="K7154" s="0" t="s">
        <v>48</v>
      </c>
      <c r="L7154" s="0" t="s">
        <v>49</v>
      </c>
      <c r="M7154" s="0" t="s">
        <v>173</v>
      </c>
      <c r="N7154" s="0" t="n">
        <v>1917</v>
      </c>
      <c r="O7154" s="10" t="n">
        <v>0.0324910972267389</v>
      </c>
      <c r="P7154" s="10" t="n">
        <v>0.298559809103608</v>
      </c>
      <c r="Q7154" s="0" t="str">
        <f aca="false">SUBSTITUTE(SUBSTITUTE($I7154,CHAR(61),""),CHAR(34),"")</f>
        <v>35-49</v>
      </c>
      <c r="R7154" s="0" t="str">
        <f aca="false">IF($D7154&lt;&gt;"","["&amp;$E7154&amp;"]"&amp;"|"&amp;$Q7154&amp;"|"&amp;$K7154&amp;"|"&amp;$G7154&amp;"|"&amp;IF($G7154="TX_CURR_SUBNAT.R","CY2022Q4",$M7154),"")</f>
        <v>[rpw540fmNUz]|35-49|Male|PLHIV_Attend.T2|CY2025Q3</v>
      </c>
    </row>
    <row r="7155" customFormat="false" ht="15" hidden="false" customHeight="false" outlineLevel="0" collapsed="false">
      <c r="D7155" s="0" t="s">
        <v>114</v>
      </c>
      <c r="E7155" s="0" t="s">
        <v>115</v>
      </c>
      <c r="F7155" s="0" t="s">
        <v>116</v>
      </c>
      <c r="G7155" s="0" t="s">
        <v>174</v>
      </c>
      <c r="H7155" s="0" t="s">
        <v>174</v>
      </c>
      <c r="I7155" s="0" t="s">
        <v>45</v>
      </c>
      <c r="J7155" s="0" t="s">
        <v>46</v>
      </c>
      <c r="K7155" s="0" t="s">
        <v>48</v>
      </c>
      <c r="L7155" s="0" t="s">
        <v>49</v>
      </c>
      <c r="M7155" s="0" t="s">
        <v>173</v>
      </c>
      <c r="N7155" s="0" t="n">
        <v>538</v>
      </c>
      <c r="O7155" s="10" t="n">
        <v>0.747889494523406</v>
      </c>
      <c r="P7155" s="10" t="n">
        <v>0.298559809103608</v>
      </c>
      <c r="Q7155" s="0" t="str">
        <f aca="false">SUBSTITUTE(SUBSTITUTE($I7155,CHAR(61),""),CHAR(34),"")</f>
        <v>50+</v>
      </c>
      <c r="R7155" s="0" t="str">
        <f aca="false">IF($D7155&lt;&gt;"","["&amp;$E7155&amp;"]"&amp;"|"&amp;$Q7155&amp;"|"&amp;$K7155&amp;"|"&amp;$G7155&amp;"|"&amp;IF($G7155="TX_CURR_SUBNAT.R","CY2022Q4",$M7155),"")</f>
        <v>[rpw540fmNUz]|50+|Male|PLHIV_Attend.T2|CY2025Q3</v>
      </c>
    </row>
    <row r="7156" customFormat="false" ht="15" hidden="false" customHeight="false" outlineLevel="0" collapsed="false">
      <c r="D7156" s="0" t="s">
        <v>117</v>
      </c>
      <c r="E7156" s="0" t="s">
        <v>118</v>
      </c>
      <c r="F7156" s="0" t="s">
        <v>119</v>
      </c>
      <c r="G7156" s="0" t="s">
        <v>174</v>
      </c>
      <c r="H7156" s="0" t="s">
        <v>174</v>
      </c>
      <c r="I7156" s="0" t="s">
        <v>28</v>
      </c>
      <c r="J7156" s="0" t="s">
        <v>29</v>
      </c>
      <c r="K7156" s="0" t="s">
        <v>30</v>
      </c>
      <c r="L7156" s="0" t="s">
        <v>31</v>
      </c>
      <c r="M7156" s="0" t="s">
        <v>173</v>
      </c>
      <c r="N7156" s="0" t="n">
        <v>1995</v>
      </c>
      <c r="O7156" s="10" t="n">
        <v>0.76380426553078</v>
      </c>
      <c r="P7156" s="10" t="n">
        <v>0.206259709550068</v>
      </c>
      <c r="Q7156" s="0" t="str">
        <f aca="false">SUBSTITUTE(SUBSTITUTE($I7156,CHAR(61),""),CHAR(34),"")</f>
        <v>&lt;01</v>
      </c>
      <c r="R7156" s="0" t="str">
        <f aca="false">IF($D7156&lt;&gt;"","["&amp;$E7156&amp;"]"&amp;"|"&amp;$Q7156&amp;"|"&amp;$K7156&amp;"|"&amp;$G7156&amp;"|"&amp;IF($G7156="TX_CURR_SUBNAT.R","CY2022Q4",$M7156),"")</f>
        <v>[lPTyjLi4w3d]|&lt;01|Female|PLHIV_Attend.T2|CY2025Q3</v>
      </c>
    </row>
    <row r="7157" customFormat="false" ht="15" hidden="false" customHeight="false" outlineLevel="0" collapsed="false">
      <c r="D7157" s="0" t="s">
        <v>117</v>
      </c>
      <c r="E7157" s="0" t="s">
        <v>118</v>
      </c>
      <c r="F7157" s="0" t="s">
        <v>119</v>
      </c>
      <c r="G7157" s="0" t="s">
        <v>174</v>
      </c>
      <c r="H7157" s="0" t="s">
        <v>174</v>
      </c>
      <c r="I7157" s="0" t="s">
        <v>33</v>
      </c>
      <c r="J7157" s="0" t="s">
        <v>34</v>
      </c>
      <c r="K7157" s="0" t="s">
        <v>30</v>
      </c>
      <c r="L7157" s="0" t="s">
        <v>31</v>
      </c>
      <c r="M7157" s="0" t="s">
        <v>173</v>
      </c>
      <c r="N7157" s="0" t="n">
        <v>1550</v>
      </c>
      <c r="O7157" s="10" t="n">
        <v>0.214969882043079</v>
      </c>
      <c r="P7157" s="10" t="n">
        <v>0.206259709550068</v>
      </c>
      <c r="Q7157" s="0" t="str">
        <f aca="false">SUBSTITUTE(SUBSTITUTE($I7157,CHAR(61),""),CHAR(34),"")</f>
        <v>01-09</v>
      </c>
      <c r="R7157" s="0" t="str">
        <f aca="false">IF($D7157&lt;&gt;"","["&amp;$E7157&amp;"]"&amp;"|"&amp;$Q7157&amp;"|"&amp;$K7157&amp;"|"&amp;$G7157&amp;"|"&amp;IF($G7157="TX_CURR_SUBNAT.R","CY2022Q4",$M7157),"")</f>
        <v>[lPTyjLi4w3d]|01-09|Female|PLHIV_Attend.T2|CY2025Q3</v>
      </c>
    </row>
    <row r="7158" customFormat="false" ht="15" hidden="false" customHeight="false" outlineLevel="0" collapsed="false">
      <c r="D7158" s="0" t="s">
        <v>117</v>
      </c>
      <c r="E7158" s="0" t="s">
        <v>118</v>
      </c>
      <c r="F7158" s="0" t="s">
        <v>119</v>
      </c>
      <c r="G7158" s="0" t="s">
        <v>174</v>
      </c>
      <c r="H7158" s="0" t="s">
        <v>174</v>
      </c>
      <c r="I7158" s="0" t="s">
        <v>36</v>
      </c>
      <c r="J7158" s="0" t="s">
        <v>37</v>
      </c>
      <c r="K7158" s="0" t="s">
        <v>30</v>
      </c>
      <c r="L7158" s="0" t="s">
        <v>31</v>
      </c>
      <c r="M7158" s="0" t="s">
        <v>173</v>
      </c>
      <c r="N7158" s="0" t="n">
        <v>1970</v>
      </c>
      <c r="O7158" s="10" t="n">
        <v>0.74241967080161</v>
      </c>
      <c r="P7158" s="10" t="n">
        <v>0.206259709550068</v>
      </c>
      <c r="Q7158" s="0" t="str">
        <f aca="false">SUBSTITUTE(SUBSTITUTE($I7158,CHAR(61),""),CHAR(34),"")</f>
        <v>10-14</v>
      </c>
      <c r="R7158" s="0" t="str">
        <f aca="false">IF($D7158&lt;&gt;"","["&amp;$E7158&amp;"]"&amp;"|"&amp;$Q7158&amp;"|"&amp;$K7158&amp;"|"&amp;$G7158&amp;"|"&amp;IF($G7158="TX_CURR_SUBNAT.R","CY2022Q4",$M7158),"")</f>
        <v>[lPTyjLi4w3d]|10-14|Female|PLHIV_Attend.T2|CY2025Q3</v>
      </c>
    </row>
    <row r="7159" customFormat="false" ht="15" hidden="false" customHeight="false" outlineLevel="0" collapsed="false">
      <c r="D7159" s="0" t="s">
        <v>117</v>
      </c>
      <c r="E7159" s="0" t="s">
        <v>118</v>
      </c>
      <c r="F7159" s="0" t="s">
        <v>119</v>
      </c>
      <c r="G7159" s="0" t="s">
        <v>174</v>
      </c>
      <c r="H7159" s="0" t="s">
        <v>174</v>
      </c>
      <c r="I7159" s="0" t="s">
        <v>38</v>
      </c>
      <c r="J7159" s="0" t="s">
        <v>39</v>
      </c>
      <c r="K7159" s="0" t="s">
        <v>30</v>
      </c>
      <c r="L7159" s="0" t="s">
        <v>31</v>
      </c>
      <c r="M7159" s="0" t="s">
        <v>173</v>
      </c>
      <c r="N7159" s="0" t="n">
        <v>912</v>
      </c>
      <c r="O7159" s="10" t="n">
        <v>0.0614738748408854</v>
      </c>
      <c r="P7159" s="10" t="n">
        <v>0.206259709550068</v>
      </c>
      <c r="Q7159" s="0" t="str">
        <f aca="false">SUBSTITUTE(SUBSTITUTE($I7159,CHAR(61),""),CHAR(34),"")</f>
        <v>15-24</v>
      </c>
      <c r="R7159" s="0" t="str">
        <f aca="false">IF($D7159&lt;&gt;"","["&amp;$E7159&amp;"]"&amp;"|"&amp;$Q7159&amp;"|"&amp;$K7159&amp;"|"&amp;$G7159&amp;"|"&amp;IF($G7159="TX_CURR_SUBNAT.R","CY2022Q4",$M7159),"")</f>
        <v>[lPTyjLi4w3d]|15-24|Female|PLHIV_Attend.T2|CY2025Q3</v>
      </c>
    </row>
    <row r="7160" customFormat="false" ht="15" hidden="false" customHeight="false" outlineLevel="0" collapsed="false">
      <c r="D7160" s="0" t="s">
        <v>117</v>
      </c>
      <c r="E7160" s="0" t="s">
        <v>118</v>
      </c>
      <c r="F7160" s="0" t="s">
        <v>119</v>
      </c>
      <c r="G7160" s="0" t="s">
        <v>174</v>
      </c>
      <c r="H7160" s="0" t="s">
        <v>174</v>
      </c>
      <c r="I7160" s="0" t="s">
        <v>41</v>
      </c>
      <c r="J7160" s="0" t="s">
        <v>42</v>
      </c>
      <c r="K7160" s="0" t="s">
        <v>30</v>
      </c>
      <c r="L7160" s="0" t="s">
        <v>31</v>
      </c>
      <c r="M7160" s="0" t="s">
        <v>173</v>
      </c>
      <c r="N7160" s="0" t="n">
        <v>1059</v>
      </c>
      <c r="O7160" s="10" t="n">
        <v>0.350616679061204</v>
      </c>
      <c r="P7160" s="10" t="n">
        <v>0.206259709550068</v>
      </c>
      <c r="Q7160" s="0" t="str">
        <f aca="false">SUBSTITUTE(SUBSTITUTE($I7160,CHAR(61),""),CHAR(34),"")</f>
        <v>25-34</v>
      </c>
      <c r="R7160" s="0" t="str">
        <f aca="false">IF($D7160&lt;&gt;"","["&amp;$E7160&amp;"]"&amp;"|"&amp;$Q7160&amp;"|"&amp;$K7160&amp;"|"&amp;$G7160&amp;"|"&amp;IF($G7160="TX_CURR_SUBNAT.R","CY2022Q4",$M7160),"")</f>
        <v>[lPTyjLi4w3d]|25-34|Female|PLHIV_Attend.T2|CY2025Q3</v>
      </c>
    </row>
    <row r="7161" customFormat="false" ht="15" hidden="false" customHeight="false" outlineLevel="0" collapsed="false">
      <c r="D7161" s="0" t="s">
        <v>117</v>
      </c>
      <c r="E7161" s="0" t="s">
        <v>118</v>
      </c>
      <c r="F7161" s="0" t="s">
        <v>119</v>
      </c>
      <c r="G7161" s="0" t="s">
        <v>174</v>
      </c>
      <c r="H7161" s="0" t="s">
        <v>174</v>
      </c>
      <c r="I7161" s="0" t="s">
        <v>43</v>
      </c>
      <c r="J7161" s="0" t="s">
        <v>44</v>
      </c>
      <c r="K7161" s="0" t="s">
        <v>30</v>
      </c>
      <c r="L7161" s="0" t="s">
        <v>31</v>
      </c>
      <c r="M7161" s="0" t="s">
        <v>173</v>
      </c>
      <c r="N7161" s="0" t="n">
        <v>1448</v>
      </c>
      <c r="O7161" s="10" t="n">
        <v>0.977891280781478</v>
      </c>
      <c r="P7161" s="10" t="n">
        <v>0.206259709550068</v>
      </c>
      <c r="Q7161" s="0" t="str">
        <f aca="false">SUBSTITUTE(SUBSTITUTE($I7161,CHAR(61),""),CHAR(34),"")</f>
        <v>35-49</v>
      </c>
      <c r="R7161" s="0" t="str">
        <f aca="false">IF($D7161&lt;&gt;"","["&amp;$E7161&amp;"]"&amp;"|"&amp;$Q7161&amp;"|"&amp;$K7161&amp;"|"&amp;$G7161&amp;"|"&amp;IF($G7161="TX_CURR_SUBNAT.R","CY2022Q4",$M7161),"")</f>
        <v>[lPTyjLi4w3d]|35-49|Female|PLHIV_Attend.T2|CY2025Q3</v>
      </c>
    </row>
    <row r="7162" customFormat="false" ht="15" hidden="false" customHeight="false" outlineLevel="0" collapsed="false">
      <c r="D7162" s="0" t="s">
        <v>117</v>
      </c>
      <c r="E7162" s="0" t="s">
        <v>118</v>
      </c>
      <c r="F7162" s="0" t="s">
        <v>119</v>
      </c>
      <c r="G7162" s="0" t="s">
        <v>174</v>
      </c>
      <c r="H7162" s="0" t="s">
        <v>174</v>
      </c>
      <c r="I7162" s="0" t="s">
        <v>45</v>
      </c>
      <c r="J7162" s="0" t="s">
        <v>46</v>
      </c>
      <c r="K7162" s="0" t="s">
        <v>30</v>
      </c>
      <c r="L7162" s="0" t="s">
        <v>31</v>
      </c>
      <c r="M7162" s="0" t="s">
        <v>173</v>
      </c>
      <c r="N7162" s="0" t="n">
        <v>1275</v>
      </c>
      <c r="O7162" s="10" t="n">
        <v>0.318580867024139</v>
      </c>
      <c r="P7162" s="10" t="n">
        <v>0.206259709550068</v>
      </c>
      <c r="Q7162" s="0" t="str">
        <f aca="false">SUBSTITUTE(SUBSTITUTE($I7162,CHAR(61),""),CHAR(34),"")</f>
        <v>50+</v>
      </c>
      <c r="R7162" s="0" t="str">
        <f aca="false">IF($D7162&lt;&gt;"","["&amp;$E7162&amp;"]"&amp;"|"&amp;$Q7162&amp;"|"&amp;$K7162&amp;"|"&amp;$G7162&amp;"|"&amp;IF($G7162="TX_CURR_SUBNAT.R","CY2022Q4",$M7162),"")</f>
        <v>[lPTyjLi4w3d]|50+|Female|PLHIV_Attend.T2|CY2025Q3</v>
      </c>
    </row>
    <row r="7163" customFormat="false" ht="15" hidden="false" customHeight="false" outlineLevel="0" collapsed="false">
      <c r="D7163" s="0" t="s">
        <v>117</v>
      </c>
      <c r="E7163" s="0" t="s">
        <v>118</v>
      </c>
      <c r="F7163" s="0" t="s">
        <v>119</v>
      </c>
      <c r="G7163" s="0" t="s">
        <v>174</v>
      </c>
      <c r="H7163" s="0" t="s">
        <v>174</v>
      </c>
      <c r="I7163" s="0" t="s">
        <v>28</v>
      </c>
      <c r="J7163" s="0" t="s">
        <v>29</v>
      </c>
      <c r="K7163" s="0" t="s">
        <v>48</v>
      </c>
      <c r="L7163" s="0" t="s">
        <v>49</v>
      </c>
      <c r="M7163" s="0" t="s">
        <v>173</v>
      </c>
      <c r="N7163" s="0" t="n">
        <v>1758</v>
      </c>
      <c r="O7163" s="10" t="n">
        <v>0.896397540811449</v>
      </c>
      <c r="P7163" s="10" t="n">
        <v>0.206259709550068</v>
      </c>
      <c r="Q7163" s="0" t="str">
        <f aca="false">SUBSTITUTE(SUBSTITUTE($I7163,CHAR(61),""),CHAR(34),"")</f>
        <v>&lt;01</v>
      </c>
      <c r="R7163" s="0" t="str">
        <f aca="false">IF($D7163&lt;&gt;"","["&amp;$E7163&amp;"]"&amp;"|"&amp;$Q7163&amp;"|"&amp;$K7163&amp;"|"&amp;$G7163&amp;"|"&amp;IF($G7163="TX_CURR_SUBNAT.R","CY2022Q4",$M7163),"")</f>
        <v>[lPTyjLi4w3d]|&lt;01|Male|PLHIV_Attend.T2|CY2025Q3</v>
      </c>
    </row>
    <row r="7164" customFormat="false" ht="15" hidden="false" customHeight="false" outlineLevel="0" collapsed="false">
      <c r="D7164" s="0" t="s">
        <v>117</v>
      </c>
      <c r="E7164" s="0" t="s">
        <v>118</v>
      </c>
      <c r="F7164" s="0" t="s">
        <v>119</v>
      </c>
      <c r="G7164" s="0" t="s">
        <v>174</v>
      </c>
      <c r="H7164" s="0" t="s">
        <v>174</v>
      </c>
      <c r="I7164" s="0" t="s">
        <v>33</v>
      </c>
      <c r="J7164" s="0" t="s">
        <v>34</v>
      </c>
      <c r="K7164" s="0" t="s">
        <v>48</v>
      </c>
      <c r="L7164" s="0" t="s">
        <v>49</v>
      </c>
      <c r="M7164" s="0" t="s">
        <v>173</v>
      </c>
      <c r="N7164" s="0" t="n">
        <v>1355</v>
      </c>
      <c r="O7164" s="10" t="n">
        <v>0.852999469265342</v>
      </c>
      <c r="P7164" s="10" t="n">
        <v>0.206259709550068</v>
      </c>
      <c r="Q7164" s="0" t="str">
        <f aca="false">SUBSTITUTE(SUBSTITUTE($I7164,CHAR(61),""),CHAR(34),"")</f>
        <v>01-09</v>
      </c>
      <c r="R7164" s="0" t="str">
        <f aca="false">IF($D7164&lt;&gt;"","["&amp;$E7164&amp;"]"&amp;"|"&amp;$Q7164&amp;"|"&amp;$K7164&amp;"|"&amp;$G7164&amp;"|"&amp;IF($G7164="TX_CURR_SUBNAT.R","CY2022Q4",$M7164),"")</f>
        <v>[lPTyjLi4w3d]|01-09|Male|PLHIV_Attend.T2|CY2025Q3</v>
      </c>
    </row>
    <row r="7165" customFormat="false" ht="15" hidden="false" customHeight="false" outlineLevel="0" collapsed="false">
      <c r="D7165" s="0" t="s">
        <v>117</v>
      </c>
      <c r="E7165" s="0" t="s">
        <v>118</v>
      </c>
      <c r="F7165" s="0" t="s">
        <v>119</v>
      </c>
      <c r="G7165" s="0" t="s">
        <v>174</v>
      </c>
      <c r="H7165" s="0" t="s">
        <v>174</v>
      </c>
      <c r="I7165" s="0" t="s">
        <v>36</v>
      </c>
      <c r="J7165" s="0" t="s">
        <v>37</v>
      </c>
      <c r="K7165" s="0" t="s">
        <v>48</v>
      </c>
      <c r="L7165" s="0" t="s">
        <v>49</v>
      </c>
      <c r="M7165" s="0" t="s">
        <v>173</v>
      </c>
      <c r="N7165" s="0" t="n">
        <v>1183</v>
      </c>
      <c r="O7165" s="10" t="n">
        <v>0.198491986375302</v>
      </c>
      <c r="P7165" s="10" t="n">
        <v>0.206259709550068</v>
      </c>
      <c r="Q7165" s="0" t="str">
        <f aca="false">SUBSTITUTE(SUBSTITUTE($I7165,CHAR(61),""),CHAR(34),"")</f>
        <v>10-14</v>
      </c>
      <c r="R7165" s="0" t="str">
        <f aca="false">IF($D7165&lt;&gt;"","["&amp;$E7165&amp;"]"&amp;"|"&amp;$Q7165&amp;"|"&amp;$K7165&amp;"|"&amp;$G7165&amp;"|"&amp;IF($G7165="TX_CURR_SUBNAT.R","CY2022Q4",$M7165),"")</f>
        <v>[lPTyjLi4w3d]|10-14|Male|PLHIV_Attend.T2|CY2025Q3</v>
      </c>
    </row>
    <row r="7166" customFormat="false" ht="15" hidden="false" customHeight="false" outlineLevel="0" collapsed="false">
      <c r="D7166" s="0" t="s">
        <v>117</v>
      </c>
      <c r="E7166" s="0" t="s">
        <v>118</v>
      </c>
      <c r="F7166" s="0" t="s">
        <v>119</v>
      </c>
      <c r="G7166" s="0" t="s">
        <v>174</v>
      </c>
      <c r="H7166" s="0" t="s">
        <v>174</v>
      </c>
      <c r="I7166" s="0" t="s">
        <v>38</v>
      </c>
      <c r="J7166" s="0" t="s">
        <v>39</v>
      </c>
      <c r="K7166" s="0" t="s">
        <v>48</v>
      </c>
      <c r="L7166" s="0" t="s">
        <v>49</v>
      </c>
      <c r="M7166" s="0" t="s">
        <v>173</v>
      </c>
      <c r="N7166" s="0" t="n">
        <v>997</v>
      </c>
      <c r="O7166" s="10" t="n">
        <v>0.634626814862713</v>
      </c>
      <c r="P7166" s="10" t="n">
        <v>0.206259709550068</v>
      </c>
      <c r="Q7166" s="0" t="str">
        <f aca="false">SUBSTITUTE(SUBSTITUTE($I7166,CHAR(61),""),CHAR(34),"")</f>
        <v>15-24</v>
      </c>
      <c r="R7166" s="0" t="str">
        <f aca="false">IF($D7166&lt;&gt;"","["&amp;$E7166&amp;"]"&amp;"|"&amp;$Q7166&amp;"|"&amp;$K7166&amp;"|"&amp;$G7166&amp;"|"&amp;IF($G7166="TX_CURR_SUBNAT.R","CY2022Q4",$M7166),"")</f>
        <v>[lPTyjLi4w3d]|15-24|Male|PLHIV_Attend.T2|CY2025Q3</v>
      </c>
    </row>
    <row r="7167" customFormat="false" ht="15" hidden="false" customHeight="false" outlineLevel="0" collapsed="false">
      <c r="D7167" s="0" t="s">
        <v>117</v>
      </c>
      <c r="E7167" s="0" t="s">
        <v>118</v>
      </c>
      <c r="F7167" s="0" t="s">
        <v>119</v>
      </c>
      <c r="G7167" s="0" t="s">
        <v>174</v>
      </c>
      <c r="H7167" s="0" t="s">
        <v>174</v>
      </c>
      <c r="I7167" s="0" t="s">
        <v>41</v>
      </c>
      <c r="J7167" s="0" t="s">
        <v>42</v>
      </c>
      <c r="K7167" s="0" t="s">
        <v>48</v>
      </c>
      <c r="L7167" s="0" t="s">
        <v>49</v>
      </c>
      <c r="M7167" s="0" t="s">
        <v>173</v>
      </c>
      <c r="N7167" s="0" t="n">
        <v>660</v>
      </c>
      <c r="O7167" s="10" t="n">
        <v>0.225182404275984</v>
      </c>
      <c r="P7167" s="10" t="n">
        <v>0.206259709550068</v>
      </c>
      <c r="Q7167" s="0" t="str">
        <f aca="false">SUBSTITUTE(SUBSTITUTE($I7167,CHAR(61),""),CHAR(34),"")</f>
        <v>25-34</v>
      </c>
      <c r="R7167" s="0" t="str">
        <f aca="false">IF($D7167&lt;&gt;"","["&amp;$E7167&amp;"]"&amp;"|"&amp;$Q7167&amp;"|"&amp;$K7167&amp;"|"&amp;$G7167&amp;"|"&amp;IF($G7167="TX_CURR_SUBNAT.R","CY2022Q4",$M7167),"")</f>
        <v>[lPTyjLi4w3d]|25-34|Male|PLHIV_Attend.T2|CY2025Q3</v>
      </c>
    </row>
    <row r="7168" customFormat="false" ht="15" hidden="false" customHeight="false" outlineLevel="0" collapsed="false">
      <c r="D7168" s="0" t="s">
        <v>117</v>
      </c>
      <c r="E7168" s="0" t="s">
        <v>118</v>
      </c>
      <c r="F7168" s="0" t="s">
        <v>119</v>
      </c>
      <c r="G7168" s="0" t="s">
        <v>174</v>
      </c>
      <c r="H7168" s="0" t="s">
        <v>174</v>
      </c>
      <c r="I7168" s="0" t="s">
        <v>43</v>
      </c>
      <c r="J7168" s="0" t="s">
        <v>44</v>
      </c>
      <c r="K7168" s="0" t="s">
        <v>48</v>
      </c>
      <c r="L7168" s="0" t="s">
        <v>49</v>
      </c>
      <c r="M7168" s="0" t="s">
        <v>173</v>
      </c>
      <c r="N7168" s="0" t="n">
        <v>1949</v>
      </c>
      <c r="O7168" s="10" t="n">
        <v>0.0508048580959439</v>
      </c>
      <c r="P7168" s="10" t="n">
        <v>0.206259709550068</v>
      </c>
      <c r="Q7168" s="0" t="str">
        <f aca="false">SUBSTITUTE(SUBSTITUTE($I7168,CHAR(61),""),CHAR(34),"")</f>
        <v>35-49</v>
      </c>
      <c r="R7168" s="0" t="str">
        <f aca="false">IF($D7168&lt;&gt;"","["&amp;$E7168&amp;"]"&amp;"|"&amp;$Q7168&amp;"|"&amp;$K7168&amp;"|"&amp;$G7168&amp;"|"&amp;IF($G7168="TX_CURR_SUBNAT.R","CY2022Q4",$M7168),"")</f>
        <v>[lPTyjLi4w3d]|35-49|Male|PLHIV_Attend.T2|CY2025Q3</v>
      </c>
    </row>
    <row r="7169" customFormat="false" ht="15" hidden="false" customHeight="false" outlineLevel="0" collapsed="false">
      <c r="D7169" s="0" t="s">
        <v>117</v>
      </c>
      <c r="E7169" s="0" t="s">
        <v>118</v>
      </c>
      <c r="F7169" s="0" t="s">
        <v>119</v>
      </c>
      <c r="G7169" s="0" t="s">
        <v>174</v>
      </c>
      <c r="H7169" s="0" t="s">
        <v>174</v>
      </c>
      <c r="I7169" s="0" t="s">
        <v>45</v>
      </c>
      <c r="J7169" s="0" t="s">
        <v>46</v>
      </c>
      <c r="K7169" s="0" t="s">
        <v>48</v>
      </c>
      <c r="L7169" s="0" t="s">
        <v>49</v>
      </c>
      <c r="M7169" s="0" t="s">
        <v>173</v>
      </c>
      <c r="N7169" s="0" t="n">
        <v>971</v>
      </c>
      <c r="O7169" s="10" t="n">
        <v>0.522490193834528</v>
      </c>
      <c r="P7169" s="10" t="n">
        <v>0.206259709550068</v>
      </c>
      <c r="Q7169" s="0" t="str">
        <f aca="false">SUBSTITUTE(SUBSTITUTE($I7169,CHAR(61),""),CHAR(34),"")</f>
        <v>50+</v>
      </c>
      <c r="R7169" s="0" t="str">
        <f aca="false">IF($D7169&lt;&gt;"","["&amp;$E7169&amp;"]"&amp;"|"&amp;$Q7169&amp;"|"&amp;$K7169&amp;"|"&amp;$G7169&amp;"|"&amp;IF($G7169="TX_CURR_SUBNAT.R","CY2022Q4",$M7169),"")</f>
        <v>[lPTyjLi4w3d]|50+|Male|PLHIV_Attend.T2|CY2025Q3</v>
      </c>
    </row>
    <row r="7170" customFormat="false" ht="15" hidden="false" customHeight="false" outlineLevel="0" collapsed="false">
      <c r="D7170" s="0" t="s">
        <v>120</v>
      </c>
      <c r="E7170" s="0" t="s">
        <v>121</v>
      </c>
      <c r="F7170" s="0" t="s">
        <v>122</v>
      </c>
      <c r="G7170" s="0" t="s">
        <v>174</v>
      </c>
      <c r="H7170" s="0" t="s">
        <v>174</v>
      </c>
      <c r="I7170" s="0" t="s">
        <v>28</v>
      </c>
      <c r="J7170" s="0" t="s">
        <v>29</v>
      </c>
      <c r="K7170" s="0" t="s">
        <v>30</v>
      </c>
      <c r="L7170" s="0" t="s">
        <v>31</v>
      </c>
      <c r="M7170" s="0" t="s">
        <v>173</v>
      </c>
      <c r="N7170" s="0" t="n">
        <v>813</v>
      </c>
      <c r="O7170" s="10" t="n">
        <v>0.355468480149284</v>
      </c>
      <c r="P7170" s="10" t="n">
        <v>0.430103979306296</v>
      </c>
      <c r="Q7170" s="0" t="str">
        <f aca="false">SUBSTITUTE(SUBSTITUTE($I7170,CHAR(61),""),CHAR(34),"")</f>
        <v>&lt;01</v>
      </c>
      <c r="R7170" s="0" t="str">
        <f aca="false">IF($D7170&lt;&gt;"","["&amp;$E7170&amp;"]"&amp;"|"&amp;$Q7170&amp;"|"&amp;$K7170&amp;"|"&amp;$G7170&amp;"|"&amp;IF($G7170="TX_CURR_SUBNAT.R","CY2022Q4",$M7170),"")</f>
        <v>[vA4NcHxfMBq]|&lt;01|Female|PLHIV_Attend.T2|CY2025Q3</v>
      </c>
    </row>
    <row r="7171" customFormat="false" ht="15" hidden="false" customHeight="false" outlineLevel="0" collapsed="false">
      <c r="D7171" s="0" t="s">
        <v>120</v>
      </c>
      <c r="E7171" s="0" t="s">
        <v>121</v>
      </c>
      <c r="F7171" s="0" t="s">
        <v>122</v>
      </c>
      <c r="G7171" s="0" t="s">
        <v>174</v>
      </c>
      <c r="H7171" s="0" t="s">
        <v>174</v>
      </c>
      <c r="I7171" s="0" t="s">
        <v>33</v>
      </c>
      <c r="J7171" s="0" t="s">
        <v>34</v>
      </c>
      <c r="K7171" s="0" t="s">
        <v>30</v>
      </c>
      <c r="L7171" s="0" t="s">
        <v>31</v>
      </c>
      <c r="M7171" s="0" t="s">
        <v>173</v>
      </c>
      <c r="N7171" s="0" t="n">
        <v>1787</v>
      </c>
      <c r="O7171" s="10" t="n">
        <v>0.171277078101411</v>
      </c>
      <c r="P7171" s="10" t="n">
        <v>0.430103979306296</v>
      </c>
      <c r="Q7171" s="0" t="str">
        <f aca="false">SUBSTITUTE(SUBSTITUTE($I7171,CHAR(61),""),CHAR(34),"")</f>
        <v>01-09</v>
      </c>
      <c r="R7171" s="0" t="str">
        <f aca="false">IF($D7171&lt;&gt;"","["&amp;$E7171&amp;"]"&amp;"|"&amp;$Q7171&amp;"|"&amp;$K7171&amp;"|"&amp;$G7171&amp;"|"&amp;IF($G7171="TX_CURR_SUBNAT.R","CY2022Q4",$M7171),"")</f>
        <v>[vA4NcHxfMBq]|01-09|Female|PLHIV_Attend.T2|CY2025Q3</v>
      </c>
    </row>
    <row r="7172" customFormat="false" ht="15" hidden="false" customHeight="false" outlineLevel="0" collapsed="false">
      <c r="D7172" s="0" t="s">
        <v>120</v>
      </c>
      <c r="E7172" s="0" t="s">
        <v>121</v>
      </c>
      <c r="F7172" s="0" t="s">
        <v>122</v>
      </c>
      <c r="G7172" s="0" t="s">
        <v>174</v>
      </c>
      <c r="H7172" s="0" t="s">
        <v>174</v>
      </c>
      <c r="I7172" s="0" t="s">
        <v>36</v>
      </c>
      <c r="J7172" s="0" t="s">
        <v>37</v>
      </c>
      <c r="K7172" s="0" t="s">
        <v>30</v>
      </c>
      <c r="L7172" s="0" t="s">
        <v>31</v>
      </c>
      <c r="M7172" s="0" t="s">
        <v>173</v>
      </c>
      <c r="N7172" s="0" t="n">
        <v>1319</v>
      </c>
      <c r="O7172" s="10" t="n">
        <v>0.898030153941363</v>
      </c>
      <c r="P7172" s="10" t="n">
        <v>0.430103979306296</v>
      </c>
      <c r="Q7172" s="0" t="str">
        <f aca="false">SUBSTITUTE(SUBSTITUTE($I7172,CHAR(61),""),CHAR(34),"")</f>
        <v>10-14</v>
      </c>
      <c r="R7172" s="0" t="str">
        <f aca="false">IF($D7172&lt;&gt;"","["&amp;$E7172&amp;"]"&amp;"|"&amp;$Q7172&amp;"|"&amp;$K7172&amp;"|"&amp;$G7172&amp;"|"&amp;IF($G7172="TX_CURR_SUBNAT.R","CY2022Q4",$M7172),"")</f>
        <v>[vA4NcHxfMBq]|10-14|Female|PLHIV_Attend.T2|CY2025Q3</v>
      </c>
    </row>
    <row r="7173" customFormat="false" ht="15" hidden="false" customHeight="false" outlineLevel="0" collapsed="false">
      <c r="D7173" s="0" t="s">
        <v>120</v>
      </c>
      <c r="E7173" s="0" t="s">
        <v>121</v>
      </c>
      <c r="F7173" s="0" t="s">
        <v>122</v>
      </c>
      <c r="G7173" s="0" t="s">
        <v>174</v>
      </c>
      <c r="H7173" s="0" t="s">
        <v>174</v>
      </c>
      <c r="I7173" s="0" t="s">
        <v>38</v>
      </c>
      <c r="J7173" s="0" t="s">
        <v>39</v>
      </c>
      <c r="K7173" s="0" t="s">
        <v>30</v>
      </c>
      <c r="L7173" s="0" t="s">
        <v>31</v>
      </c>
      <c r="M7173" s="0" t="s">
        <v>173</v>
      </c>
      <c r="N7173" s="0" t="n">
        <v>584</v>
      </c>
      <c r="O7173" s="10" t="n">
        <v>0.523250719066709</v>
      </c>
      <c r="P7173" s="10" t="n">
        <v>0.430103979306296</v>
      </c>
      <c r="Q7173" s="0" t="str">
        <f aca="false">SUBSTITUTE(SUBSTITUTE($I7173,CHAR(61),""),CHAR(34),"")</f>
        <v>15-24</v>
      </c>
      <c r="R7173" s="0" t="str">
        <f aca="false">IF($D7173&lt;&gt;"","["&amp;$E7173&amp;"]"&amp;"|"&amp;$Q7173&amp;"|"&amp;$K7173&amp;"|"&amp;$G7173&amp;"|"&amp;IF($G7173="TX_CURR_SUBNAT.R","CY2022Q4",$M7173),"")</f>
        <v>[vA4NcHxfMBq]|15-24|Female|PLHIV_Attend.T2|CY2025Q3</v>
      </c>
    </row>
    <row r="7174" customFormat="false" ht="15" hidden="false" customHeight="false" outlineLevel="0" collapsed="false">
      <c r="D7174" s="0" t="s">
        <v>120</v>
      </c>
      <c r="E7174" s="0" t="s">
        <v>121</v>
      </c>
      <c r="F7174" s="0" t="s">
        <v>122</v>
      </c>
      <c r="G7174" s="0" t="s">
        <v>174</v>
      </c>
      <c r="H7174" s="0" t="s">
        <v>174</v>
      </c>
      <c r="I7174" s="0" t="s">
        <v>41</v>
      </c>
      <c r="J7174" s="0" t="s">
        <v>42</v>
      </c>
      <c r="K7174" s="0" t="s">
        <v>30</v>
      </c>
      <c r="L7174" s="0" t="s">
        <v>31</v>
      </c>
      <c r="M7174" s="0" t="s">
        <v>173</v>
      </c>
      <c r="N7174" s="0" t="n">
        <v>568</v>
      </c>
      <c r="O7174" s="10" t="n">
        <v>0.13145600957796</v>
      </c>
      <c r="P7174" s="10" t="n">
        <v>0.430103979306296</v>
      </c>
      <c r="Q7174" s="0" t="str">
        <f aca="false">SUBSTITUTE(SUBSTITUTE($I7174,CHAR(61),""),CHAR(34),"")</f>
        <v>25-34</v>
      </c>
      <c r="R7174" s="0" t="str">
        <f aca="false">IF($D7174&lt;&gt;"","["&amp;$E7174&amp;"]"&amp;"|"&amp;$Q7174&amp;"|"&amp;$K7174&amp;"|"&amp;$G7174&amp;"|"&amp;IF($G7174="TX_CURR_SUBNAT.R","CY2022Q4",$M7174),"")</f>
        <v>[vA4NcHxfMBq]|25-34|Female|PLHIV_Attend.T2|CY2025Q3</v>
      </c>
    </row>
    <row r="7175" customFormat="false" ht="15" hidden="false" customHeight="false" outlineLevel="0" collapsed="false">
      <c r="D7175" s="0" t="s">
        <v>120</v>
      </c>
      <c r="E7175" s="0" t="s">
        <v>121</v>
      </c>
      <c r="F7175" s="0" t="s">
        <v>122</v>
      </c>
      <c r="G7175" s="0" t="s">
        <v>174</v>
      </c>
      <c r="H7175" s="0" t="s">
        <v>174</v>
      </c>
      <c r="I7175" s="0" t="s">
        <v>43</v>
      </c>
      <c r="J7175" s="0" t="s">
        <v>44</v>
      </c>
      <c r="K7175" s="0" t="s">
        <v>30</v>
      </c>
      <c r="L7175" s="0" t="s">
        <v>31</v>
      </c>
      <c r="M7175" s="0" t="s">
        <v>173</v>
      </c>
      <c r="N7175" s="0" t="n">
        <v>870</v>
      </c>
      <c r="O7175" s="10" t="n">
        <v>0.396711526671425</v>
      </c>
      <c r="P7175" s="10" t="n">
        <v>0.430103979306296</v>
      </c>
      <c r="Q7175" s="0" t="str">
        <f aca="false">SUBSTITUTE(SUBSTITUTE($I7175,CHAR(61),""),CHAR(34),"")</f>
        <v>35-49</v>
      </c>
      <c r="R7175" s="0" t="str">
        <f aca="false">IF($D7175&lt;&gt;"","["&amp;$E7175&amp;"]"&amp;"|"&amp;$Q7175&amp;"|"&amp;$K7175&amp;"|"&amp;$G7175&amp;"|"&amp;IF($G7175="TX_CURR_SUBNAT.R","CY2022Q4",$M7175),"")</f>
        <v>[vA4NcHxfMBq]|35-49|Female|PLHIV_Attend.T2|CY2025Q3</v>
      </c>
    </row>
    <row r="7176" customFormat="false" ht="15" hidden="false" customHeight="false" outlineLevel="0" collapsed="false">
      <c r="D7176" s="0" t="s">
        <v>120</v>
      </c>
      <c r="E7176" s="0" t="s">
        <v>121</v>
      </c>
      <c r="F7176" s="0" t="s">
        <v>122</v>
      </c>
      <c r="G7176" s="0" t="s">
        <v>174</v>
      </c>
      <c r="H7176" s="0" t="s">
        <v>174</v>
      </c>
      <c r="I7176" s="0" t="s">
        <v>45</v>
      </c>
      <c r="J7176" s="0" t="s">
        <v>46</v>
      </c>
      <c r="K7176" s="0" t="s">
        <v>30</v>
      </c>
      <c r="L7176" s="0" t="s">
        <v>31</v>
      </c>
      <c r="M7176" s="0" t="s">
        <v>173</v>
      </c>
      <c r="N7176" s="0" t="n">
        <v>1288</v>
      </c>
      <c r="O7176" s="10" t="n">
        <v>0.267314169323072</v>
      </c>
      <c r="P7176" s="10" t="n">
        <v>0.430103979306296</v>
      </c>
      <c r="Q7176" s="0" t="str">
        <f aca="false">SUBSTITUTE(SUBSTITUTE($I7176,CHAR(61),""),CHAR(34),"")</f>
        <v>50+</v>
      </c>
      <c r="R7176" s="0" t="str">
        <f aca="false">IF($D7176&lt;&gt;"","["&amp;$E7176&amp;"]"&amp;"|"&amp;$Q7176&amp;"|"&amp;$K7176&amp;"|"&amp;$G7176&amp;"|"&amp;IF($G7176="TX_CURR_SUBNAT.R","CY2022Q4",$M7176),"")</f>
        <v>[vA4NcHxfMBq]|50+|Female|PLHIV_Attend.T2|CY2025Q3</v>
      </c>
    </row>
    <row r="7177" customFormat="false" ht="15" hidden="false" customHeight="false" outlineLevel="0" collapsed="false">
      <c r="D7177" s="0" t="s">
        <v>120</v>
      </c>
      <c r="E7177" s="0" t="s">
        <v>121</v>
      </c>
      <c r="F7177" s="0" t="s">
        <v>122</v>
      </c>
      <c r="G7177" s="0" t="s">
        <v>174</v>
      </c>
      <c r="H7177" s="0" t="s">
        <v>174</v>
      </c>
      <c r="I7177" s="0" t="s">
        <v>28</v>
      </c>
      <c r="J7177" s="0" t="s">
        <v>29</v>
      </c>
      <c r="K7177" s="0" t="s">
        <v>48</v>
      </c>
      <c r="L7177" s="0" t="s">
        <v>49</v>
      </c>
      <c r="M7177" s="0" t="s">
        <v>173</v>
      </c>
      <c r="N7177" s="0" t="n">
        <v>1374</v>
      </c>
      <c r="O7177" s="10" t="n">
        <v>0.834301712922752</v>
      </c>
      <c r="P7177" s="10" t="n">
        <v>0.430103979306296</v>
      </c>
      <c r="Q7177" s="0" t="str">
        <f aca="false">SUBSTITUTE(SUBSTITUTE($I7177,CHAR(61),""),CHAR(34),"")</f>
        <v>&lt;01</v>
      </c>
      <c r="R7177" s="0" t="str">
        <f aca="false">IF($D7177&lt;&gt;"","["&amp;$E7177&amp;"]"&amp;"|"&amp;$Q7177&amp;"|"&amp;$K7177&amp;"|"&amp;$G7177&amp;"|"&amp;IF($G7177="TX_CURR_SUBNAT.R","CY2022Q4",$M7177),"")</f>
        <v>[vA4NcHxfMBq]|&lt;01|Male|PLHIV_Attend.T2|CY2025Q3</v>
      </c>
    </row>
    <row r="7178" customFormat="false" ht="15" hidden="false" customHeight="false" outlineLevel="0" collapsed="false">
      <c r="D7178" s="0" t="s">
        <v>120</v>
      </c>
      <c r="E7178" s="0" t="s">
        <v>121</v>
      </c>
      <c r="F7178" s="0" t="s">
        <v>122</v>
      </c>
      <c r="G7178" s="0" t="s">
        <v>174</v>
      </c>
      <c r="H7178" s="0" t="s">
        <v>174</v>
      </c>
      <c r="I7178" s="0" t="s">
        <v>33</v>
      </c>
      <c r="J7178" s="0" t="s">
        <v>34</v>
      </c>
      <c r="K7178" s="0" t="s">
        <v>48</v>
      </c>
      <c r="L7178" s="0" t="s">
        <v>49</v>
      </c>
      <c r="M7178" s="0" t="s">
        <v>173</v>
      </c>
      <c r="N7178" s="0" t="n">
        <v>970</v>
      </c>
      <c r="O7178" s="10" t="n">
        <v>0.95717244874686</v>
      </c>
      <c r="P7178" s="10" t="n">
        <v>0.430103979306296</v>
      </c>
      <c r="Q7178" s="0" t="str">
        <f aca="false">SUBSTITUTE(SUBSTITUTE($I7178,CHAR(61),""),CHAR(34),"")</f>
        <v>01-09</v>
      </c>
      <c r="R7178" s="0" t="str">
        <f aca="false">IF($D7178&lt;&gt;"","["&amp;$E7178&amp;"]"&amp;"|"&amp;$Q7178&amp;"|"&amp;$K7178&amp;"|"&amp;$G7178&amp;"|"&amp;IF($G7178="TX_CURR_SUBNAT.R","CY2022Q4",$M7178),"")</f>
        <v>[vA4NcHxfMBq]|01-09|Male|PLHIV_Attend.T2|CY2025Q3</v>
      </c>
    </row>
    <row r="7179" customFormat="false" ht="15" hidden="false" customHeight="false" outlineLevel="0" collapsed="false">
      <c r="D7179" s="0" t="s">
        <v>120</v>
      </c>
      <c r="E7179" s="0" t="s">
        <v>121</v>
      </c>
      <c r="F7179" s="0" t="s">
        <v>122</v>
      </c>
      <c r="G7179" s="0" t="s">
        <v>174</v>
      </c>
      <c r="H7179" s="0" t="s">
        <v>174</v>
      </c>
      <c r="I7179" s="0" t="s">
        <v>36</v>
      </c>
      <c r="J7179" s="0" t="s">
        <v>37</v>
      </c>
      <c r="K7179" s="0" t="s">
        <v>48</v>
      </c>
      <c r="L7179" s="0" t="s">
        <v>49</v>
      </c>
      <c r="M7179" s="0" t="s">
        <v>173</v>
      </c>
      <c r="N7179" s="0" t="n">
        <v>1695</v>
      </c>
      <c r="O7179" s="10" t="n">
        <v>0.544627660419792</v>
      </c>
      <c r="P7179" s="10" t="n">
        <v>0.430103979306296</v>
      </c>
      <c r="Q7179" s="0" t="str">
        <f aca="false">SUBSTITUTE(SUBSTITUTE($I7179,CHAR(61),""),CHAR(34),"")</f>
        <v>10-14</v>
      </c>
      <c r="R7179" s="0" t="str">
        <f aca="false">IF($D7179&lt;&gt;"","["&amp;$E7179&amp;"]"&amp;"|"&amp;$Q7179&amp;"|"&amp;$K7179&amp;"|"&amp;$G7179&amp;"|"&amp;IF($G7179="TX_CURR_SUBNAT.R","CY2022Q4",$M7179),"")</f>
        <v>[vA4NcHxfMBq]|10-14|Male|PLHIV_Attend.T2|CY2025Q3</v>
      </c>
    </row>
    <row r="7180" customFormat="false" ht="15" hidden="false" customHeight="false" outlineLevel="0" collapsed="false">
      <c r="D7180" s="0" t="s">
        <v>120</v>
      </c>
      <c r="E7180" s="0" t="s">
        <v>121</v>
      </c>
      <c r="F7180" s="0" t="s">
        <v>122</v>
      </c>
      <c r="G7180" s="0" t="s">
        <v>174</v>
      </c>
      <c r="H7180" s="0" t="s">
        <v>174</v>
      </c>
      <c r="I7180" s="0" t="s">
        <v>38</v>
      </c>
      <c r="J7180" s="0" t="s">
        <v>39</v>
      </c>
      <c r="K7180" s="0" t="s">
        <v>48</v>
      </c>
      <c r="L7180" s="0" t="s">
        <v>49</v>
      </c>
      <c r="M7180" s="0" t="s">
        <v>173</v>
      </c>
      <c r="N7180" s="0" t="n">
        <v>1598</v>
      </c>
      <c r="O7180" s="10" t="n">
        <v>0.0405248929746449</v>
      </c>
      <c r="P7180" s="10" t="n">
        <v>0.430103979306296</v>
      </c>
      <c r="Q7180" s="0" t="str">
        <f aca="false">SUBSTITUTE(SUBSTITUTE($I7180,CHAR(61),""),CHAR(34),"")</f>
        <v>15-24</v>
      </c>
      <c r="R7180" s="0" t="str">
        <f aca="false">IF($D7180&lt;&gt;"","["&amp;$E7180&amp;"]"&amp;"|"&amp;$Q7180&amp;"|"&amp;$K7180&amp;"|"&amp;$G7180&amp;"|"&amp;IF($G7180="TX_CURR_SUBNAT.R","CY2022Q4",$M7180),"")</f>
        <v>[vA4NcHxfMBq]|15-24|Male|PLHIV_Attend.T2|CY2025Q3</v>
      </c>
    </row>
    <row r="7181" customFormat="false" ht="15" hidden="false" customHeight="false" outlineLevel="0" collapsed="false">
      <c r="D7181" s="0" t="s">
        <v>120</v>
      </c>
      <c r="E7181" s="0" t="s">
        <v>121</v>
      </c>
      <c r="F7181" s="0" t="s">
        <v>122</v>
      </c>
      <c r="G7181" s="0" t="s">
        <v>174</v>
      </c>
      <c r="H7181" s="0" t="s">
        <v>174</v>
      </c>
      <c r="I7181" s="0" t="s">
        <v>41</v>
      </c>
      <c r="J7181" s="0" t="s">
        <v>42</v>
      </c>
      <c r="K7181" s="0" t="s">
        <v>48</v>
      </c>
      <c r="L7181" s="0" t="s">
        <v>49</v>
      </c>
      <c r="M7181" s="0" t="s">
        <v>173</v>
      </c>
      <c r="N7181" s="0" t="n">
        <v>1943</v>
      </c>
      <c r="O7181" s="10" t="n">
        <v>0.467739933636039</v>
      </c>
      <c r="P7181" s="10" t="n">
        <v>0.430103979306296</v>
      </c>
      <c r="Q7181" s="0" t="str">
        <f aca="false">SUBSTITUTE(SUBSTITUTE($I7181,CHAR(61),""),CHAR(34),"")</f>
        <v>25-34</v>
      </c>
      <c r="R7181" s="0" t="str">
        <f aca="false">IF($D7181&lt;&gt;"","["&amp;$E7181&amp;"]"&amp;"|"&amp;$Q7181&amp;"|"&amp;$K7181&amp;"|"&amp;$G7181&amp;"|"&amp;IF($G7181="TX_CURR_SUBNAT.R","CY2022Q4",$M7181),"")</f>
        <v>[vA4NcHxfMBq]|25-34|Male|PLHIV_Attend.T2|CY2025Q3</v>
      </c>
    </row>
    <row r="7182" customFormat="false" ht="15" hidden="false" customHeight="false" outlineLevel="0" collapsed="false">
      <c r="D7182" s="0" t="s">
        <v>120</v>
      </c>
      <c r="E7182" s="0" t="s">
        <v>121</v>
      </c>
      <c r="F7182" s="0" t="s">
        <v>122</v>
      </c>
      <c r="G7182" s="0" t="s">
        <v>174</v>
      </c>
      <c r="H7182" s="0" t="s">
        <v>174</v>
      </c>
      <c r="I7182" s="0" t="s">
        <v>43</v>
      </c>
      <c r="J7182" s="0" t="s">
        <v>44</v>
      </c>
      <c r="K7182" s="0" t="s">
        <v>48</v>
      </c>
      <c r="L7182" s="0" t="s">
        <v>49</v>
      </c>
      <c r="M7182" s="0" t="s">
        <v>173</v>
      </c>
      <c r="N7182" s="0" t="n">
        <v>955</v>
      </c>
      <c r="O7182" s="10" t="n">
        <v>0.9946921588853</v>
      </c>
      <c r="P7182" s="10" t="n">
        <v>0.430103979306296</v>
      </c>
      <c r="Q7182" s="0" t="str">
        <f aca="false">SUBSTITUTE(SUBSTITUTE($I7182,CHAR(61),""),CHAR(34),"")</f>
        <v>35-49</v>
      </c>
      <c r="R7182" s="0" t="str">
        <f aca="false">IF($D7182&lt;&gt;"","["&amp;$E7182&amp;"]"&amp;"|"&amp;$Q7182&amp;"|"&amp;$K7182&amp;"|"&amp;$G7182&amp;"|"&amp;IF($G7182="TX_CURR_SUBNAT.R","CY2022Q4",$M7182),"")</f>
        <v>[vA4NcHxfMBq]|35-49|Male|PLHIV_Attend.T2|CY2025Q3</v>
      </c>
    </row>
    <row r="7183" customFormat="false" ht="15" hidden="false" customHeight="false" outlineLevel="0" collapsed="false">
      <c r="D7183" s="0" t="s">
        <v>120</v>
      </c>
      <c r="E7183" s="0" t="s">
        <v>121</v>
      </c>
      <c r="F7183" s="0" t="s">
        <v>122</v>
      </c>
      <c r="G7183" s="0" t="s">
        <v>174</v>
      </c>
      <c r="H7183" s="0" t="s">
        <v>174</v>
      </c>
      <c r="I7183" s="0" t="s">
        <v>45</v>
      </c>
      <c r="J7183" s="0" t="s">
        <v>46</v>
      </c>
      <c r="K7183" s="0" t="s">
        <v>48</v>
      </c>
      <c r="L7183" s="0" t="s">
        <v>49</v>
      </c>
      <c r="M7183" s="0" t="s">
        <v>173</v>
      </c>
      <c r="N7183" s="0" t="n">
        <v>649</v>
      </c>
      <c r="O7183" s="10" t="n">
        <v>0.752905733883381</v>
      </c>
      <c r="P7183" s="10" t="n">
        <v>0.430103979306296</v>
      </c>
      <c r="Q7183" s="0" t="str">
        <f aca="false">SUBSTITUTE(SUBSTITUTE($I7183,CHAR(61),""),CHAR(34),"")</f>
        <v>50+</v>
      </c>
      <c r="R7183" s="0" t="str">
        <f aca="false">IF($D7183&lt;&gt;"","["&amp;$E7183&amp;"]"&amp;"|"&amp;$Q7183&amp;"|"&amp;$K7183&amp;"|"&amp;$G7183&amp;"|"&amp;IF($G7183="TX_CURR_SUBNAT.R","CY2022Q4",$M7183),"")</f>
        <v>[vA4NcHxfMBq]|50+|Male|PLHIV_Attend.T2|CY2025Q3</v>
      </c>
    </row>
    <row r="7184" customFormat="false" ht="15" hidden="false" customHeight="false" outlineLevel="0" collapsed="false">
      <c r="D7184" s="0" t="s">
        <v>123</v>
      </c>
      <c r="E7184" s="0" t="s">
        <v>124</v>
      </c>
      <c r="F7184" s="0" t="s">
        <v>125</v>
      </c>
      <c r="G7184" s="0" t="s">
        <v>174</v>
      </c>
      <c r="H7184" s="0" t="s">
        <v>174</v>
      </c>
      <c r="I7184" s="0" t="s">
        <v>28</v>
      </c>
      <c r="J7184" s="0" t="s">
        <v>29</v>
      </c>
      <c r="K7184" s="0" t="s">
        <v>30</v>
      </c>
      <c r="L7184" s="0" t="s">
        <v>31</v>
      </c>
      <c r="M7184" s="0" t="s">
        <v>173</v>
      </c>
      <c r="N7184" s="0" t="n">
        <v>1954</v>
      </c>
      <c r="O7184" s="10" t="n">
        <v>0.282118336530402</v>
      </c>
      <c r="P7184" s="10" t="n">
        <v>0.419500603340566</v>
      </c>
      <c r="Q7184" s="0" t="str">
        <f aca="false">SUBSTITUTE(SUBSTITUTE($I7184,CHAR(61),""),CHAR(34),"")</f>
        <v>&lt;01</v>
      </c>
      <c r="R7184" s="0" t="str">
        <f aca="false">IF($D7184&lt;&gt;"","["&amp;$E7184&amp;"]"&amp;"|"&amp;$Q7184&amp;"|"&amp;$K7184&amp;"|"&amp;$G7184&amp;"|"&amp;IF($G7184="TX_CURR_SUBNAT.R","CY2022Q4",$M7184),"")</f>
        <v>[E7zpfyBt7Tw]|&lt;01|Female|PLHIV_Attend.T2|CY2025Q3</v>
      </c>
    </row>
    <row r="7185" customFormat="false" ht="15" hidden="false" customHeight="false" outlineLevel="0" collapsed="false">
      <c r="D7185" s="0" t="s">
        <v>123</v>
      </c>
      <c r="E7185" s="0" t="s">
        <v>124</v>
      </c>
      <c r="F7185" s="0" t="s">
        <v>125</v>
      </c>
      <c r="G7185" s="0" t="s">
        <v>174</v>
      </c>
      <c r="H7185" s="0" t="s">
        <v>174</v>
      </c>
      <c r="I7185" s="0" t="s">
        <v>33</v>
      </c>
      <c r="J7185" s="0" t="s">
        <v>34</v>
      </c>
      <c r="K7185" s="0" t="s">
        <v>30</v>
      </c>
      <c r="L7185" s="0" t="s">
        <v>31</v>
      </c>
      <c r="M7185" s="0" t="s">
        <v>173</v>
      </c>
      <c r="N7185" s="0" t="n">
        <v>1000</v>
      </c>
      <c r="O7185" s="10" t="n">
        <v>0.098965538199991</v>
      </c>
      <c r="P7185" s="10" t="n">
        <v>0.419500603340566</v>
      </c>
      <c r="Q7185" s="0" t="str">
        <f aca="false">SUBSTITUTE(SUBSTITUTE($I7185,CHAR(61),""),CHAR(34),"")</f>
        <v>01-09</v>
      </c>
      <c r="R7185" s="0" t="str">
        <f aca="false">IF($D7185&lt;&gt;"","["&amp;$E7185&amp;"]"&amp;"|"&amp;$Q7185&amp;"|"&amp;$K7185&amp;"|"&amp;$G7185&amp;"|"&amp;IF($G7185="TX_CURR_SUBNAT.R","CY2022Q4",$M7185),"")</f>
        <v>[E7zpfyBt7Tw]|01-09|Female|PLHIV_Attend.T2|CY2025Q3</v>
      </c>
    </row>
    <row r="7186" customFormat="false" ht="15" hidden="false" customHeight="false" outlineLevel="0" collapsed="false">
      <c r="D7186" s="0" t="s">
        <v>123</v>
      </c>
      <c r="E7186" s="0" t="s">
        <v>124</v>
      </c>
      <c r="F7186" s="0" t="s">
        <v>125</v>
      </c>
      <c r="G7186" s="0" t="s">
        <v>174</v>
      </c>
      <c r="H7186" s="0" t="s">
        <v>174</v>
      </c>
      <c r="I7186" s="0" t="s">
        <v>36</v>
      </c>
      <c r="J7186" s="0" t="s">
        <v>37</v>
      </c>
      <c r="K7186" s="0" t="s">
        <v>30</v>
      </c>
      <c r="L7186" s="0" t="s">
        <v>31</v>
      </c>
      <c r="M7186" s="0" t="s">
        <v>173</v>
      </c>
      <c r="N7186" s="0" t="n">
        <v>1974</v>
      </c>
      <c r="O7186" s="10" t="n">
        <v>0.0201301747001708</v>
      </c>
      <c r="P7186" s="10" t="n">
        <v>0.419500603340566</v>
      </c>
      <c r="Q7186" s="0" t="str">
        <f aca="false">SUBSTITUTE(SUBSTITUTE($I7186,CHAR(61),""),CHAR(34),"")</f>
        <v>10-14</v>
      </c>
      <c r="R7186" s="0" t="str">
        <f aca="false">IF($D7186&lt;&gt;"","["&amp;$E7186&amp;"]"&amp;"|"&amp;$Q7186&amp;"|"&amp;$K7186&amp;"|"&amp;$G7186&amp;"|"&amp;IF($G7186="TX_CURR_SUBNAT.R","CY2022Q4",$M7186),"")</f>
        <v>[E7zpfyBt7Tw]|10-14|Female|PLHIV_Attend.T2|CY2025Q3</v>
      </c>
    </row>
    <row r="7187" customFormat="false" ht="15" hidden="false" customHeight="false" outlineLevel="0" collapsed="false">
      <c r="D7187" s="0" t="s">
        <v>123</v>
      </c>
      <c r="E7187" s="0" t="s">
        <v>124</v>
      </c>
      <c r="F7187" s="0" t="s">
        <v>125</v>
      </c>
      <c r="G7187" s="0" t="s">
        <v>174</v>
      </c>
      <c r="H7187" s="0" t="s">
        <v>174</v>
      </c>
      <c r="I7187" s="0" t="s">
        <v>38</v>
      </c>
      <c r="J7187" s="0" t="s">
        <v>39</v>
      </c>
      <c r="K7187" s="0" t="s">
        <v>30</v>
      </c>
      <c r="L7187" s="0" t="s">
        <v>31</v>
      </c>
      <c r="M7187" s="0" t="s">
        <v>173</v>
      </c>
      <c r="N7187" s="0" t="n">
        <v>1675</v>
      </c>
      <c r="O7187" s="10" t="n">
        <v>0.16755120572634</v>
      </c>
      <c r="P7187" s="10" t="n">
        <v>0.419500603340566</v>
      </c>
      <c r="Q7187" s="0" t="str">
        <f aca="false">SUBSTITUTE(SUBSTITUTE($I7187,CHAR(61),""),CHAR(34),"")</f>
        <v>15-24</v>
      </c>
      <c r="R7187" s="0" t="str">
        <f aca="false">IF($D7187&lt;&gt;"","["&amp;$E7187&amp;"]"&amp;"|"&amp;$Q7187&amp;"|"&amp;$K7187&amp;"|"&amp;$G7187&amp;"|"&amp;IF($G7187="TX_CURR_SUBNAT.R","CY2022Q4",$M7187),"")</f>
        <v>[E7zpfyBt7Tw]|15-24|Female|PLHIV_Attend.T2|CY2025Q3</v>
      </c>
    </row>
    <row r="7188" customFormat="false" ht="15" hidden="false" customHeight="false" outlineLevel="0" collapsed="false">
      <c r="D7188" s="0" t="s">
        <v>123</v>
      </c>
      <c r="E7188" s="0" t="s">
        <v>124</v>
      </c>
      <c r="F7188" s="0" t="s">
        <v>125</v>
      </c>
      <c r="G7188" s="0" t="s">
        <v>174</v>
      </c>
      <c r="H7188" s="0" t="s">
        <v>174</v>
      </c>
      <c r="I7188" s="0" t="s">
        <v>41</v>
      </c>
      <c r="J7188" s="0" t="s">
        <v>42</v>
      </c>
      <c r="K7188" s="0" t="s">
        <v>30</v>
      </c>
      <c r="L7188" s="0" t="s">
        <v>31</v>
      </c>
      <c r="M7188" s="0" t="s">
        <v>173</v>
      </c>
      <c r="N7188" s="0" t="n">
        <v>1400</v>
      </c>
      <c r="O7188" s="10" t="n">
        <v>0.183669733349234</v>
      </c>
      <c r="P7188" s="10" t="n">
        <v>0.419500603340566</v>
      </c>
      <c r="Q7188" s="0" t="str">
        <f aca="false">SUBSTITUTE(SUBSTITUTE($I7188,CHAR(61),""),CHAR(34),"")</f>
        <v>25-34</v>
      </c>
      <c r="R7188" s="0" t="str">
        <f aca="false">IF($D7188&lt;&gt;"","["&amp;$E7188&amp;"]"&amp;"|"&amp;$Q7188&amp;"|"&amp;$K7188&amp;"|"&amp;$G7188&amp;"|"&amp;IF($G7188="TX_CURR_SUBNAT.R","CY2022Q4",$M7188),"")</f>
        <v>[E7zpfyBt7Tw]|25-34|Female|PLHIV_Attend.T2|CY2025Q3</v>
      </c>
    </row>
    <row r="7189" customFormat="false" ht="15" hidden="false" customHeight="false" outlineLevel="0" collapsed="false">
      <c r="D7189" s="0" t="s">
        <v>123</v>
      </c>
      <c r="E7189" s="0" t="s">
        <v>124</v>
      </c>
      <c r="F7189" s="0" t="s">
        <v>125</v>
      </c>
      <c r="G7189" s="0" t="s">
        <v>174</v>
      </c>
      <c r="H7189" s="0" t="s">
        <v>174</v>
      </c>
      <c r="I7189" s="0" t="s">
        <v>43</v>
      </c>
      <c r="J7189" s="0" t="s">
        <v>44</v>
      </c>
      <c r="K7189" s="0" t="s">
        <v>30</v>
      </c>
      <c r="L7189" s="0" t="s">
        <v>31</v>
      </c>
      <c r="M7189" s="0" t="s">
        <v>173</v>
      </c>
      <c r="N7189" s="0" t="n">
        <v>1199</v>
      </c>
      <c r="O7189" s="10" t="n">
        <v>0.67309083067812</v>
      </c>
      <c r="P7189" s="10" t="n">
        <v>0.419500603340566</v>
      </c>
      <c r="Q7189" s="0" t="str">
        <f aca="false">SUBSTITUTE(SUBSTITUTE($I7189,CHAR(61),""),CHAR(34),"")</f>
        <v>35-49</v>
      </c>
      <c r="R7189" s="0" t="str">
        <f aca="false">IF($D7189&lt;&gt;"","["&amp;$E7189&amp;"]"&amp;"|"&amp;$Q7189&amp;"|"&amp;$K7189&amp;"|"&amp;$G7189&amp;"|"&amp;IF($G7189="TX_CURR_SUBNAT.R","CY2022Q4",$M7189),"")</f>
        <v>[E7zpfyBt7Tw]|35-49|Female|PLHIV_Attend.T2|CY2025Q3</v>
      </c>
    </row>
    <row r="7190" customFormat="false" ht="15" hidden="false" customHeight="false" outlineLevel="0" collapsed="false">
      <c r="D7190" s="0" t="s">
        <v>123</v>
      </c>
      <c r="E7190" s="0" t="s">
        <v>124</v>
      </c>
      <c r="F7190" s="0" t="s">
        <v>125</v>
      </c>
      <c r="G7190" s="0" t="s">
        <v>174</v>
      </c>
      <c r="H7190" s="0" t="s">
        <v>174</v>
      </c>
      <c r="I7190" s="0" t="s">
        <v>45</v>
      </c>
      <c r="J7190" s="0" t="s">
        <v>46</v>
      </c>
      <c r="K7190" s="0" t="s">
        <v>30</v>
      </c>
      <c r="L7190" s="0" t="s">
        <v>31</v>
      </c>
      <c r="M7190" s="0" t="s">
        <v>173</v>
      </c>
      <c r="N7190" s="0" t="n">
        <v>617</v>
      </c>
      <c r="O7190" s="10" t="n">
        <v>0.414087204728276</v>
      </c>
      <c r="P7190" s="10" t="n">
        <v>0.419500603340566</v>
      </c>
      <c r="Q7190" s="0" t="str">
        <f aca="false">SUBSTITUTE(SUBSTITUTE($I7190,CHAR(61),""),CHAR(34),"")</f>
        <v>50+</v>
      </c>
      <c r="R7190" s="0" t="str">
        <f aca="false">IF($D7190&lt;&gt;"","["&amp;$E7190&amp;"]"&amp;"|"&amp;$Q7190&amp;"|"&amp;$K7190&amp;"|"&amp;$G7190&amp;"|"&amp;IF($G7190="TX_CURR_SUBNAT.R","CY2022Q4",$M7190),"")</f>
        <v>[E7zpfyBt7Tw]|50+|Female|PLHIV_Attend.T2|CY2025Q3</v>
      </c>
    </row>
    <row r="7191" customFormat="false" ht="15" hidden="false" customHeight="false" outlineLevel="0" collapsed="false">
      <c r="D7191" s="0" t="s">
        <v>123</v>
      </c>
      <c r="E7191" s="0" t="s">
        <v>124</v>
      </c>
      <c r="F7191" s="0" t="s">
        <v>125</v>
      </c>
      <c r="G7191" s="0" t="s">
        <v>174</v>
      </c>
      <c r="H7191" s="0" t="s">
        <v>174</v>
      </c>
      <c r="I7191" s="0" t="s">
        <v>28</v>
      </c>
      <c r="J7191" s="0" t="s">
        <v>29</v>
      </c>
      <c r="K7191" s="0" t="s">
        <v>48</v>
      </c>
      <c r="L7191" s="0" t="s">
        <v>49</v>
      </c>
      <c r="M7191" s="0" t="s">
        <v>173</v>
      </c>
      <c r="N7191" s="0" t="n">
        <v>532</v>
      </c>
      <c r="O7191" s="10" t="n">
        <v>0.18340424168855</v>
      </c>
      <c r="P7191" s="10" t="n">
        <v>0.419500603340566</v>
      </c>
      <c r="Q7191" s="0" t="str">
        <f aca="false">SUBSTITUTE(SUBSTITUTE($I7191,CHAR(61),""),CHAR(34),"")</f>
        <v>&lt;01</v>
      </c>
      <c r="R7191" s="0" t="str">
        <f aca="false">IF($D7191&lt;&gt;"","["&amp;$E7191&amp;"]"&amp;"|"&amp;$Q7191&amp;"|"&amp;$K7191&amp;"|"&amp;$G7191&amp;"|"&amp;IF($G7191="TX_CURR_SUBNAT.R","CY2022Q4",$M7191),"")</f>
        <v>[E7zpfyBt7Tw]|&lt;01|Male|PLHIV_Attend.T2|CY2025Q3</v>
      </c>
    </row>
    <row r="7192" customFormat="false" ht="15" hidden="false" customHeight="false" outlineLevel="0" collapsed="false">
      <c r="D7192" s="0" t="s">
        <v>123</v>
      </c>
      <c r="E7192" s="0" t="s">
        <v>124</v>
      </c>
      <c r="F7192" s="0" t="s">
        <v>125</v>
      </c>
      <c r="G7192" s="0" t="s">
        <v>174</v>
      </c>
      <c r="H7192" s="0" t="s">
        <v>174</v>
      </c>
      <c r="I7192" s="0" t="s">
        <v>33</v>
      </c>
      <c r="J7192" s="0" t="s">
        <v>34</v>
      </c>
      <c r="K7192" s="0" t="s">
        <v>48</v>
      </c>
      <c r="L7192" s="0" t="s">
        <v>49</v>
      </c>
      <c r="M7192" s="0" t="s">
        <v>173</v>
      </c>
      <c r="N7192" s="0" t="n">
        <v>1158</v>
      </c>
      <c r="O7192" s="10" t="n">
        <v>0.984749108552933</v>
      </c>
      <c r="P7192" s="10" t="n">
        <v>0.419500603340566</v>
      </c>
      <c r="Q7192" s="0" t="str">
        <f aca="false">SUBSTITUTE(SUBSTITUTE($I7192,CHAR(61),""),CHAR(34),"")</f>
        <v>01-09</v>
      </c>
      <c r="R7192" s="0" t="str">
        <f aca="false">IF($D7192&lt;&gt;"","["&amp;$E7192&amp;"]"&amp;"|"&amp;$Q7192&amp;"|"&amp;$K7192&amp;"|"&amp;$G7192&amp;"|"&amp;IF($G7192="TX_CURR_SUBNAT.R","CY2022Q4",$M7192),"")</f>
        <v>[E7zpfyBt7Tw]|01-09|Male|PLHIV_Attend.T2|CY2025Q3</v>
      </c>
    </row>
    <row r="7193" customFormat="false" ht="15" hidden="false" customHeight="false" outlineLevel="0" collapsed="false">
      <c r="D7193" s="0" t="s">
        <v>123</v>
      </c>
      <c r="E7193" s="0" t="s">
        <v>124</v>
      </c>
      <c r="F7193" s="0" t="s">
        <v>125</v>
      </c>
      <c r="G7193" s="0" t="s">
        <v>174</v>
      </c>
      <c r="H7193" s="0" t="s">
        <v>174</v>
      </c>
      <c r="I7193" s="0" t="s">
        <v>36</v>
      </c>
      <c r="J7193" s="0" t="s">
        <v>37</v>
      </c>
      <c r="K7193" s="0" t="s">
        <v>48</v>
      </c>
      <c r="L7193" s="0" t="s">
        <v>49</v>
      </c>
      <c r="M7193" s="0" t="s">
        <v>173</v>
      </c>
      <c r="N7193" s="0" t="n">
        <v>1484</v>
      </c>
      <c r="O7193" s="10" t="n">
        <v>0.233320211293176</v>
      </c>
      <c r="P7193" s="10" t="n">
        <v>0.419500603340566</v>
      </c>
      <c r="Q7193" s="0" t="str">
        <f aca="false">SUBSTITUTE(SUBSTITUTE($I7193,CHAR(61),""),CHAR(34),"")</f>
        <v>10-14</v>
      </c>
      <c r="R7193" s="0" t="str">
        <f aca="false">IF($D7193&lt;&gt;"","["&amp;$E7193&amp;"]"&amp;"|"&amp;$Q7193&amp;"|"&amp;$K7193&amp;"|"&amp;$G7193&amp;"|"&amp;IF($G7193="TX_CURR_SUBNAT.R","CY2022Q4",$M7193),"")</f>
        <v>[E7zpfyBt7Tw]|10-14|Male|PLHIV_Attend.T2|CY2025Q3</v>
      </c>
    </row>
    <row r="7194" customFormat="false" ht="15" hidden="false" customHeight="false" outlineLevel="0" collapsed="false">
      <c r="D7194" s="0" t="s">
        <v>123</v>
      </c>
      <c r="E7194" s="0" t="s">
        <v>124</v>
      </c>
      <c r="F7194" s="0" t="s">
        <v>125</v>
      </c>
      <c r="G7194" s="0" t="s">
        <v>174</v>
      </c>
      <c r="H7194" s="0" t="s">
        <v>174</v>
      </c>
      <c r="I7194" s="0" t="s">
        <v>38</v>
      </c>
      <c r="J7194" s="0" t="s">
        <v>39</v>
      </c>
      <c r="K7194" s="0" t="s">
        <v>48</v>
      </c>
      <c r="L7194" s="0" t="s">
        <v>49</v>
      </c>
      <c r="M7194" s="0" t="s">
        <v>173</v>
      </c>
      <c r="N7194" s="0" t="n">
        <v>700</v>
      </c>
      <c r="O7194" s="10" t="n">
        <v>0.416886439546943</v>
      </c>
      <c r="P7194" s="10" t="n">
        <v>0.419500603340566</v>
      </c>
      <c r="Q7194" s="0" t="str">
        <f aca="false">SUBSTITUTE(SUBSTITUTE($I7194,CHAR(61),""),CHAR(34),"")</f>
        <v>15-24</v>
      </c>
      <c r="R7194" s="0" t="str">
        <f aca="false">IF($D7194&lt;&gt;"","["&amp;$E7194&amp;"]"&amp;"|"&amp;$Q7194&amp;"|"&amp;$K7194&amp;"|"&amp;$G7194&amp;"|"&amp;IF($G7194="TX_CURR_SUBNAT.R","CY2022Q4",$M7194),"")</f>
        <v>[E7zpfyBt7Tw]|15-24|Male|PLHIV_Attend.T2|CY2025Q3</v>
      </c>
    </row>
    <row r="7195" customFormat="false" ht="15" hidden="false" customHeight="false" outlineLevel="0" collapsed="false">
      <c r="D7195" s="0" t="s">
        <v>123</v>
      </c>
      <c r="E7195" s="0" t="s">
        <v>124</v>
      </c>
      <c r="F7195" s="0" t="s">
        <v>125</v>
      </c>
      <c r="G7195" s="0" t="s">
        <v>174</v>
      </c>
      <c r="H7195" s="0" t="s">
        <v>174</v>
      </c>
      <c r="I7195" s="0" t="s">
        <v>41</v>
      </c>
      <c r="J7195" s="0" t="s">
        <v>42</v>
      </c>
      <c r="K7195" s="0" t="s">
        <v>48</v>
      </c>
      <c r="L7195" s="0" t="s">
        <v>49</v>
      </c>
      <c r="M7195" s="0" t="s">
        <v>173</v>
      </c>
      <c r="N7195" s="0" t="n">
        <v>1075</v>
      </c>
      <c r="O7195" s="10" t="n">
        <v>0.421580945141613</v>
      </c>
      <c r="P7195" s="10" t="n">
        <v>0.419500603340566</v>
      </c>
      <c r="Q7195" s="0" t="str">
        <f aca="false">SUBSTITUTE(SUBSTITUTE($I7195,CHAR(61),""),CHAR(34),"")</f>
        <v>25-34</v>
      </c>
      <c r="R7195" s="0" t="str">
        <f aca="false">IF($D7195&lt;&gt;"","["&amp;$E7195&amp;"]"&amp;"|"&amp;$Q7195&amp;"|"&amp;$K7195&amp;"|"&amp;$G7195&amp;"|"&amp;IF($G7195="TX_CURR_SUBNAT.R","CY2022Q4",$M7195),"")</f>
        <v>[E7zpfyBt7Tw]|25-34|Male|PLHIV_Attend.T2|CY2025Q3</v>
      </c>
    </row>
    <row r="7196" customFormat="false" ht="15" hidden="false" customHeight="false" outlineLevel="0" collapsed="false">
      <c r="D7196" s="0" t="s">
        <v>123</v>
      </c>
      <c r="E7196" s="0" t="s">
        <v>124</v>
      </c>
      <c r="F7196" s="0" t="s">
        <v>125</v>
      </c>
      <c r="G7196" s="0" t="s">
        <v>174</v>
      </c>
      <c r="H7196" s="0" t="s">
        <v>174</v>
      </c>
      <c r="I7196" s="0" t="s">
        <v>43</v>
      </c>
      <c r="J7196" s="0" t="s">
        <v>44</v>
      </c>
      <c r="K7196" s="0" t="s">
        <v>48</v>
      </c>
      <c r="L7196" s="0" t="s">
        <v>49</v>
      </c>
      <c r="M7196" s="0" t="s">
        <v>173</v>
      </c>
      <c r="N7196" s="0" t="n">
        <v>860</v>
      </c>
      <c r="O7196" s="10" t="n">
        <v>0.0198543723672628</v>
      </c>
      <c r="P7196" s="10" t="n">
        <v>0.419500603340566</v>
      </c>
      <c r="Q7196" s="0" t="str">
        <f aca="false">SUBSTITUTE(SUBSTITUTE($I7196,CHAR(61),""),CHAR(34),"")</f>
        <v>35-49</v>
      </c>
      <c r="R7196" s="0" t="str">
        <f aca="false">IF($D7196&lt;&gt;"","["&amp;$E7196&amp;"]"&amp;"|"&amp;$Q7196&amp;"|"&amp;$K7196&amp;"|"&amp;$G7196&amp;"|"&amp;IF($G7196="TX_CURR_SUBNAT.R","CY2022Q4",$M7196),"")</f>
        <v>[E7zpfyBt7Tw]|35-49|Male|PLHIV_Attend.T2|CY2025Q3</v>
      </c>
    </row>
    <row r="7197" customFormat="false" ht="15" hidden="false" customHeight="false" outlineLevel="0" collapsed="false">
      <c r="D7197" s="0" t="s">
        <v>123</v>
      </c>
      <c r="E7197" s="0" t="s">
        <v>124</v>
      </c>
      <c r="F7197" s="0" t="s">
        <v>125</v>
      </c>
      <c r="G7197" s="0" t="s">
        <v>174</v>
      </c>
      <c r="H7197" s="0" t="s">
        <v>174</v>
      </c>
      <c r="I7197" s="0" t="s">
        <v>45</v>
      </c>
      <c r="J7197" s="0" t="s">
        <v>46</v>
      </c>
      <c r="K7197" s="0" t="s">
        <v>48</v>
      </c>
      <c r="L7197" s="0" t="s">
        <v>49</v>
      </c>
      <c r="M7197" s="0" t="s">
        <v>173</v>
      </c>
      <c r="N7197" s="0" t="n">
        <v>609</v>
      </c>
      <c r="O7197" s="10" t="n">
        <v>0.607827505096793</v>
      </c>
      <c r="P7197" s="10" t="n">
        <v>0.419500603340566</v>
      </c>
      <c r="Q7197" s="0" t="str">
        <f aca="false">SUBSTITUTE(SUBSTITUTE($I7197,CHAR(61),""),CHAR(34),"")</f>
        <v>50+</v>
      </c>
      <c r="R7197" s="0" t="str">
        <f aca="false">IF($D7197&lt;&gt;"","["&amp;$E7197&amp;"]"&amp;"|"&amp;$Q7197&amp;"|"&amp;$K7197&amp;"|"&amp;$G7197&amp;"|"&amp;IF($G7197="TX_CURR_SUBNAT.R","CY2022Q4",$M7197),"")</f>
        <v>[E7zpfyBt7Tw]|50+|Male|PLHIV_Attend.T2|CY2025Q3</v>
      </c>
    </row>
    <row r="7198" customFormat="false" ht="15" hidden="false" customHeight="false" outlineLevel="0" collapsed="false">
      <c r="D7198" s="0" t="s">
        <v>126</v>
      </c>
      <c r="E7198" s="0" t="s">
        <v>127</v>
      </c>
      <c r="F7198" s="0" t="s">
        <v>128</v>
      </c>
      <c r="G7198" s="0" t="s">
        <v>174</v>
      </c>
      <c r="H7198" s="0" t="s">
        <v>174</v>
      </c>
      <c r="I7198" s="0" t="s">
        <v>28</v>
      </c>
      <c r="J7198" s="0" t="s">
        <v>29</v>
      </c>
      <c r="K7198" s="0" t="s">
        <v>30</v>
      </c>
      <c r="L7198" s="0" t="s">
        <v>31</v>
      </c>
      <c r="M7198" s="0" t="s">
        <v>173</v>
      </c>
      <c r="N7198" s="0" t="n">
        <v>649</v>
      </c>
      <c r="O7198" s="10" t="n">
        <v>0.743795320857316</v>
      </c>
      <c r="P7198" s="10" t="n">
        <v>0.252706390339881</v>
      </c>
      <c r="Q7198" s="0" t="str">
        <f aca="false">SUBSTITUTE(SUBSTITUTE($I7198,CHAR(61),""),CHAR(34),"")</f>
        <v>&lt;01</v>
      </c>
      <c r="R7198" s="0" t="str">
        <f aca="false">IF($D7198&lt;&gt;"","["&amp;$E7198&amp;"]"&amp;"|"&amp;$Q7198&amp;"|"&amp;$K7198&amp;"|"&amp;$G7198&amp;"|"&amp;IF($G7198="TX_CURR_SUBNAT.R","CY2022Q4",$M7198),"")</f>
        <v>[ZCjuwgaMB9u]|&lt;01|Female|PLHIV_Attend.T2|CY2025Q3</v>
      </c>
    </row>
    <row r="7199" customFormat="false" ht="15" hidden="false" customHeight="false" outlineLevel="0" collapsed="false">
      <c r="D7199" s="0" t="s">
        <v>126</v>
      </c>
      <c r="E7199" s="0" t="s">
        <v>127</v>
      </c>
      <c r="F7199" s="0" t="s">
        <v>128</v>
      </c>
      <c r="G7199" s="0" t="s">
        <v>174</v>
      </c>
      <c r="H7199" s="0" t="s">
        <v>174</v>
      </c>
      <c r="I7199" s="0" t="s">
        <v>33</v>
      </c>
      <c r="J7199" s="0" t="s">
        <v>34</v>
      </c>
      <c r="K7199" s="0" t="s">
        <v>30</v>
      </c>
      <c r="L7199" s="0" t="s">
        <v>31</v>
      </c>
      <c r="M7199" s="0" t="s">
        <v>173</v>
      </c>
      <c r="N7199" s="0" t="n">
        <v>1328</v>
      </c>
      <c r="O7199" s="10" t="n">
        <v>0.450600486481562</v>
      </c>
      <c r="P7199" s="10" t="n">
        <v>0.252706390339881</v>
      </c>
      <c r="Q7199" s="0" t="str">
        <f aca="false">SUBSTITUTE(SUBSTITUTE($I7199,CHAR(61),""),CHAR(34),"")</f>
        <v>01-09</v>
      </c>
      <c r="R7199" s="0" t="str">
        <f aca="false">IF($D7199&lt;&gt;"","["&amp;$E7199&amp;"]"&amp;"|"&amp;$Q7199&amp;"|"&amp;$K7199&amp;"|"&amp;$G7199&amp;"|"&amp;IF($G7199="TX_CURR_SUBNAT.R","CY2022Q4",$M7199),"")</f>
        <v>[ZCjuwgaMB9u]|01-09|Female|PLHIV_Attend.T2|CY2025Q3</v>
      </c>
    </row>
    <row r="7200" customFormat="false" ht="15" hidden="false" customHeight="false" outlineLevel="0" collapsed="false">
      <c r="D7200" s="0" t="s">
        <v>126</v>
      </c>
      <c r="E7200" s="0" t="s">
        <v>127</v>
      </c>
      <c r="F7200" s="0" t="s">
        <v>128</v>
      </c>
      <c r="G7200" s="0" t="s">
        <v>174</v>
      </c>
      <c r="H7200" s="0" t="s">
        <v>174</v>
      </c>
      <c r="I7200" s="0" t="s">
        <v>36</v>
      </c>
      <c r="J7200" s="0" t="s">
        <v>37</v>
      </c>
      <c r="K7200" s="0" t="s">
        <v>30</v>
      </c>
      <c r="L7200" s="0" t="s">
        <v>31</v>
      </c>
      <c r="M7200" s="0" t="s">
        <v>173</v>
      </c>
      <c r="N7200" s="0" t="n">
        <v>1232</v>
      </c>
      <c r="O7200" s="10" t="n">
        <v>0.379986208863556</v>
      </c>
      <c r="P7200" s="10" t="n">
        <v>0.252706390339881</v>
      </c>
      <c r="Q7200" s="0" t="str">
        <f aca="false">SUBSTITUTE(SUBSTITUTE($I7200,CHAR(61),""),CHAR(34),"")</f>
        <v>10-14</v>
      </c>
      <c r="R7200" s="0" t="str">
        <f aca="false">IF($D7200&lt;&gt;"","["&amp;$E7200&amp;"]"&amp;"|"&amp;$Q7200&amp;"|"&amp;$K7200&amp;"|"&amp;$G7200&amp;"|"&amp;IF($G7200="TX_CURR_SUBNAT.R","CY2022Q4",$M7200),"")</f>
        <v>[ZCjuwgaMB9u]|10-14|Female|PLHIV_Attend.T2|CY2025Q3</v>
      </c>
    </row>
    <row r="7201" customFormat="false" ht="15" hidden="false" customHeight="false" outlineLevel="0" collapsed="false">
      <c r="D7201" s="0" t="s">
        <v>126</v>
      </c>
      <c r="E7201" s="0" t="s">
        <v>127</v>
      </c>
      <c r="F7201" s="0" t="s">
        <v>128</v>
      </c>
      <c r="G7201" s="0" t="s">
        <v>174</v>
      </c>
      <c r="H7201" s="0" t="s">
        <v>174</v>
      </c>
      <c r="I7201" s="0" t="s">
        <v>38</v>
      </c>
      <c r="J7201" s="0" t="s">
        <v>39</v>
      </c>
      <c r="K7201" s="0" t="s">
        <v>30</v>
      </c>
      <c r="L7201" s="0" t="s">
        <v>31</v>
      </c>
      <c r="M7201" s="0" t="s">
        <v>173</v>
      </c>
      <c r="N7201" s="0" t="n">
        <v>750</v>
      </c>
      <c r="O7201" s="10" t="n">
        <v>0.99076541303657</v>
      </c>
      <c r="P7201" s="10" t="n">
        <v>0.252706390339881</v>
      </c>
      <c r="Q7201" s="0" t="str">
        <f aca="false">SUBSTITUTE(SUBSTITUTE($I7201,CHAR(61),""),CHAR(34),"")</f>
        <v>15-24</v>
      </c>
      <c r="R7201" s="0" t="str">
        <f aca="false">IF($D7201&lt;&gt;"","["&amp;$E7201&amp;"]"&amp;"|"&amp;$Q7201&amp;"|"&amp;$K7201&amp;"|"&amp;$G7201&amp;"|"&amp;IF($G7201="TX_CURR_SUBNAT.R","CY2022Q4",$M7201),"")</f>
        <v>[ZCjuwgaMB9u]|15-24|Female|PLHIV_Attend.T2|CY2025Q3</v>
      </c>
    </row>
    <row r="7202" customFormat="false" ht="15" hidden="false" customHeight="false" outlineLevel="0" collapsed="false">
      <c r="D7202" s="0" t="s">
        <v>126</v>
      </c>
      <c r="E7202" s="0" t="s">
        <v>127</v>
      </c>
      <c r="F7202" s="0" t="s">
        <v>128</v>
      </c>
      <c r="G7202" s="0" t="s">
        <v>174</v>
      </c>
      <c r="H7202" s="0" t="s">
        <v>174</v>
      </c>
      <c r="I7202" s="0" t="s">
        <v>41</v>
      </c>
      <c r="J7202" s="0" t="s">
        <v>42</v>
      </c>
      <c r="K7202" s="0" t="s">
        <v>30</v>
      </c>
      <c r="L7202" s="0" t="s">
        <v>31</v>
      </c>
      <c r="M7202" s="0" t="s">
        <v>173</v>
      </c>
      <c r="N7202" s="0" t="n">
        <v>1134</v>
      </c>
      <c r="O7202" s="10" t="n">
        <v>0.446581542026252</v>
      </c>
      <c r="P7202" s="10" t="n">
        <v>0.252706390339881</v>
      </c>
      <c r="Q7202" s="0" t="str">
        <f aca="false">SUBSTITUTE(SUBSTITUTE($I7202,CHAR(61),""),CHAR(34),"")</f>
        <v>25-34</v>
      </c>
      <c r="R7202" s="0" t="str">
        <f aca="false">IF($D7202&lt;&gt;"","["&amp;$E7202&amp;"]"&amp;"|"&amp;$Q7202&amp;"|"&amp;$K7202&amp;"|"&amp;$G7202&amp;"|"&amp;IF($G7202="TX_CURR_SUBNAT.R","CY2022Q4",$M7202),"")</f>
        <v>[ZCjuwgaMB9u]|25-34|Female|PLHIV_Attend.T2|CY2025Q3</v>
      </c>
    </row>
    <row r="7203" customFormat="false" ht="15" hidden="false" customHeight="false" outlineLevel="0" collapsed="false">
      <c r="D7203" s="0" t="s">
        <v>126</v>
      </c>
      <c r="E7203" s="0" t="s">
        <v>127</v>
      </c>
      <c r="F7203" s="0" t="s">
        <v>128</v>
      </c>
      <c r="G7203" s="0" t="s">
        <v>174</v>
      </c>
      <c r="H7203" s="0" t="s">
        <v>174</v>
      </c>
      <c r="I7203" s="0" t="s">
        <v>43</v>
      </c>
      <c r="J7203" s="0" t="s">
        <v>44</v>
      </c>
      <c r="K7203" s="0" t="s">
        <v>30</v>
      </c>
      <c r="L7203" s="0" t="s">
        <v>31</v>
      </c>
      <c r="M7203" s="0" t="s">
        <v>173</v>
      </c>
      <c r="N7203" s="0" t="n">
        <v>1276</v>
      </c>
      <c r="O7203" s="10" t="n">
        <v>0.572630062000826</v>
      </c>
      <c r="P7203" s="10" t="n">
        <v>0.252706390339881</v>
      </c>
      <c r="Q7203" s="0" t="str">
        <f aca="false">SUBSTITUTE(SUBSTITUTE($I7203,CHAR(61),""),CHAR(34),"")</f>
        <v>35-49</v>
      </c>
      <c r="R7203" s="0" t="str">
        <f aca="false">IF($D7203&lt;&gt;"","["&amp;$E7203&amp;"]"&amp;"|"&amp;$Q7203&amp;"|"&amp;$K7203&amp;"|"&amp;$G7203&amp;"|"&amp;IF($G7203="TX_CURR_SUBNAT.R","CY2022Q4",$M7203),"")</f>
        <v>[ZCjuwgaMB9u]|35-49|Female|PLHIV_Attend.T2|CY2025Q3</v>
      </c>
    </row>
    <row r="7204" customFormat="false" ht="15" hidden="false" customHeight="false" outlineLevel="0" collapsed="false">
      <c r="D7204" s="0" t="s">
        <v>126</v>
      </c>
      <c r="E7204" s="0" t="s">
        <v>127</v>
      </c>
      <c r="F7204" s="0" t="s">
        <v>128</v>
      </c>
      <c r="G7204" s="0" t="s">
        <v>174</v>
      </c>
      <c r="H7204" s="0" t="s">
        <v>174</v>
      </c>
      <c r="I7204" s="0" t="s">
        <v>45</v>
      </c>
      <c r="J7204" s="0" t="s">
        <v>46</v>
      </c>
      <c r="K7204" s="0" t="s">
        <v>30</v>
      </c>
      <c r="L7204" s="0" t="s">
        <v>31</v>
      </c>
      <c r="M7204" s="0" t="s">
        <v>173</v>
      </c>
      <c r="N7204" s="0" t="n">
        <v>597</v>
      </c>
      <c r="O7204" s="10" t="n">
        <v>0.484734787140042</v>
      </c>
      <c r="P7204" s="10" t="n">
        <v>0.252706390339881</v>
      </c>
      <c r="Q7204" s="0" t="str">
        <f aca="false">SUBSTITUTE(SUBSTITUTE($I7204,CHAR(61),""),CHAR(34),"")</f>
        <v>50+</v>
      </c>
      <c r="R7204" s="0" t="str">
        <f aca="false">IF($D7204&lt;&gt;"","["&amp;$E7204&amp;"]"&amp;"|"&amp;$Q7204&amp;"|"&amp;$K7204&amp;"|"&amp;$G7204&amp;"|"&amp;IF($G7204="TX_CURR_SUBNAT.R","CY2022Q4",$M7204),"")</f>
        <v>[ZCjuwgaMB9u]|50+|Female|PLHIV_Attend.T2|CY2025Q3</v>
      </c>
    </row>
    <row r="7205" customFormat="false" ht="15" hidden="false" customHeight="false" outlineLevel="0" collapsed="false">
      <c r="D7205" s="0" t="s">
        <v>126</v>
      </c>
      <c r="E7205" s="0" t="s">
        <v>127</v>
      </c>
      <c r="F7205" s="0" t="s">
        <v>128</v>
      </c>
      <c r="G7205" s="0" t="s">
        <v>174</v>
      </c>
      <c r="H7205" s="0" t="s">
        <v>174</v>
      </c>
      <c r="I7205" s="0" t="s">
        <v>28</v>
      </c>
      <c r="J7205" s="0" t="s">
        <v>29</v>
      </c>
      <c r="K7205" s="0" t="s">
        <v>48</v>
      </c>
      <c r="L7205" s="0" t="s">
        <v>49</v>
      </c>
      <c r="M7205" s="0" t="s">
        <v>173</v>
      </c>
      <c r="N7205" s="0" t="n">
        <v>1530</v>
      </c>
      <c r="O7205" s="10" t="n">
        <v>0.45240600942634</v>
      </c>
      <c r="P7205" s="10" t="n">
        <v>0.252706390339881</v>
      </c>
      <c r="Q7205" s="0" t="str">
        <f aca="false">SUBSTITUTE(SUBSTITUTE($I7205,CHAR(61),""),CHAR(34),"")</f>
        <v>&lt;01</v>
      </c>
      <c r="R7205" s="0" t="str">
        <f aca="false">IF($D7205&lt;&gt;"","["&amp;$E7205&amp;"]"&amp;"|"&amp;$Q7205&amp;"|"&amp;$K7205&amp;"|"&amp;$G7205&amp;"|"&amp;IF($G7205="TX_CURR_SUBNAT.R","CY2022Q4",$M7205),"")</f>
        <v>[ZCjuwgaMB9u]|&lt;01|Male|PLHIV_Attend.T2|CY2025Q3</v>
      </c>
    </row>
    <row r="7206" customFormat="false" ht="15" hidden="false" customHeight="false" outlineLevel="0" collapsed="false">
      <c r="D7206" s="0" t="s">
        <v>126</v>
      </c>
      <c r="E7206" s="0" t="s">
        <v>127</v>
      </c>
      <c r="F7206" s="0" t="s">
        <v>128</v>
      </c>
      <c r="G7206" s="0" t="s">
        <v>174</v>
      </c>
      <c r="H7206" s="0" t="s">
        <v>174</v>
      </c>
      <c r="I7206" s="0" t="s">
        <v>33</v>
      </c>
      <c r="J7206" s="0" t="s">
        <v>34</v>
      </c>
      <c r="K7206" s="0" t="s">
        <v>48</v>
      </c>
      <c r="L7206" s="0" t="s">
        <v>49</v>
      </c>
      <c r="M7206" s="0" t="s">
        <v>173</v>
      </c>
      <c r="N7206" s="0" t="n">
        <v>1337</v>
      </c>
      <c r="O7206" s="10" t="n">
        <v>0.352307298220694</v>
      </c>
      <c r="P7206" s="10" t="n">
        <v>0.252706390339881</v>
      </c>
      <c r="Q7206" s="0" t="str">
        <f aca="false">SUBSTITUTE(SUBSTITUTE($I7206,CHAR(61),""),CHAR(34),"")</f>
        <v>01-09</v>
      </c>
      <c r="R7206" s="0" t="str">
        <f aca="false">IF($D7206&lt;&gt;"","["&amp;$E7206&amp;"]"&amp;"|"&amp;$Q7206&amp;"|"&amp;$K7206&amp;"|"&amp;$G7206&amp;"|"&amp;IF($G7206="TX_CURR_SUBNAT.R","CY2022Q4",$M7206),"")</f>
        <v>[ZCjuwgaMB9u]|01-09|Male|PLHIV_Attend.T2|CY2025Q3</v>
      </c>
    </row>
    <row r="7207" customFormat="false" ht="15" hidden="false" customHeight="false" outlineLevel="0" collapsed="false">
      <c r="D7207" s="0" t="s">
        <v>126</v>
      </c>
      <c r="E7207" s="0" t="s">
        <v>127</v>
      </c>
      <c r="F7207" s="0" t="s">
        <v>128</v>
      </c>
      <c r="G7207" s="0" t="s">
        <v>174</v>
      </c>
      <c r="H7207" s="0" t="s">
        <v>174</v>
      </c>
      <c r="I7207" s="0" t="s">
        <v>36</v>
      </c>
      <c r="J7207" s="0" t="s">
        <v>37</v>
      </c>
      <c r="K7207" s="0" t="s">
        <v>48</v>
      </c>
      <c r="L7207" s="0" t="s">
        <v>49</v>
      </c>
      <c r="M7207" s="0" t="s">
        <v>173</v>
      </c>
      <c r="N7207" s="0" t="n">
        <v>1962</v>
      </c>
      <c r="O7207" s="10" t="n">
        <v>0.344314809655771</v>
      </c>
      <c r="P7207" s="10" t="n">
        <v>0.252706390339881</v>
      </c>
      <c r="Q7207" s="0" t="str">
        <f aca="false">SUBSTITUTE(SUBSTITUTE($I7207,CHAR(61),""),CHAR(34),"")</f>
        <v>10-14</v>
      </c>
      <c r="R7207" s="0" t="str">
        <f aca="false">IF($D7207&lt;&gt;"","["&amp;$E7207&amp;"]"&amp;"|"&amp;$Q7207&amp;"|"&amp;$K7207&amp;"|"&amp;$G7207&amp;"|"&amp;IF($G7207="TX_CURR_SUBNAT.R","CY2022Q4",$M7207),"")</f>
        <v>[ZCjuwgaMB9u]|10-14|Male|PLHIV_Attend.T2|CY2025Q3</v>
      </c>
    </row>
    <row r="7208" customFormat="false" ht="15" hidden="false" customHeight="false" outlineLevel="0" collapsed="false">
      <c r="D7208" s="0" t="s">
        <v>126</v>
      </c>
      <c r="E7208" s="0" t="s">
        <v>127</v>
      </c>
      <c r="F7208" s="0" t="s">
        <v>128</v>
      </c>
      <c r="G7208" s="0" t="s">
        <v>174</v>
      </c>
      <c r="H7208" s="0" t="s">
        <v>174</v>
      </c>
      <c r="I7208" s="0" t="s">
        <v>38</v>
      </c>
      <c r="J7208" s="0" t="s">
        <v>39</v>
      </c>
      <c r="K7208" s="0" t="s">
        <v>48</v>
      </c>
      <c r="L7208" s="0" t="s">
        <v>49</v>
      </c>
      <c r="M7208" s="0" t="s">
        <v>173</v>
      </c>
      <c r="N7208" s="0" t="n">
        <v>1629</v>
      </c>
      <c r="O7208" s="10" t="n">
        <v>0.563561372924596</v>
      </c>
      <c r="P7208" s="10" t="n">
        <v>0.252706390339881</v>
      </c>
      <c r="Q7208" s="0" t="str">
        <f aca="false">SUBSTITUTE(SUBSTITUTE($I7208,CHAR(61),""),CHAR(34),"")</f>
        <v>15-24</v>
      </c>
      <c r="R7208" s="0" t="str">
        <f aca="false">IF($D7208&lt;&gt;"","["&amp;$E7208&amp;"]"&amp;"|"&amp;$Q7208&amp;"|"&amp;$K7208&amp;"|"&amp;$G7208&amp;"|"&amp;IF($G7208="TX_CURR_SUBNAT.R","CY2022Q4",$M7208),"")</f>
        <v>[ZCjuwgaMB9u]|15-24|Male|PLHIV_Attend.T2|CY2025Q3</v>
      </c>
    </row>
    <row r="7209" customFormat="false" ht="15" hidden="false" customHeight="false" outlineLevel="0" collapsed="false">
      <c r="D7209" s="0" t="s">
        <v>126</v>
      </c>
      <c r="E7209" s="0" t="s">
        <v>127</v>
      </c>
      <c r="F7209" s="0" t="s">
        <v>128</v>
      </c>
      <c r="G7209" s="0" t="s">
        <v>174</v>
      </c>
      <c r="H7209" s="0" t="s">
        <v>174</v>
      </c>
      <c r="I7209" s="0" t="s">
        <v>41</v>
      </c>
      <c r="J7209" s="0" t="s">
        <v>42</v>
      </c>
      <c r="K7209" s="0" t="s">
        <v>48</v>
      </c>
      <c r="L7209" s="0" t="s">
        <v>49</v>
      </c>
      <c r="M7209" s="0" t="s">
        <v>173</v>
      </c>
      <c r="N7209" s="0" t="n">
        <v>1341</v>
      </c>
      <c r="O7209" s="10" t="n">
        <v>0.965873298700899</v>
      </c>
      <c r="P7209" s="10" t="n">
        <v>0.252706390339881</v>
      </c>
      <c r="Q7209" s="0" t="str">
        <f aca="false">SUBSTITUTE(SUBSTITUTE($I7209,CHAR(61),""),CHAR(34),"")</f>
        <v>25-34</v>
      </c>
      <c r="R7209" s="0" t="str">
        <f aca="false">IF($D7209&lt;&gt;"","["&amp;$E7209&amp;"]"&amp;"|"&amp;$Q7209&amp;"|"&amp;$K7209&amp;"|"&amp;$G7209&amp;"|"&amp;IF($G7209="TX_CURR_SUBNAT.R","CY2022Q4",$M7209),"")</f>
        <v>[ZCjuwgaMB9u]|25-34|Male|PLHIV_Attend.T2|CY2025Q3</v>
      </c>
    </row>
    <row r="7210" customFormat="false" ht="15" hidden="false" customHeight="false" outlineLevel="0" collapsed="false">
      <c r="D7210" s="0" t="s">
        <v>126</v>
      </c>
      <c r="E7210" s="0" t="s">
        <v>127</v>
      </c>
      <c r="F7210" s="0" t="s">
        <v>128</v>
      </c>
      <c r="G7210" s="0" t="s">
        <v>174</v>
      </c>
      <c r="H7210" s="0" t="s">
        <v>174</v>
      </c>
      <c r="I7210" s="0" t="s">
        <v>43</v>
      </c>
      <c r="J7210" s="0" t="s">
        <v>44</v>
      </c>
      <c r="K7210" s="0" t="s">
        <v>48</v>
      </c>
      <c r="L7210" s="0" t="s">
        <v>49</v>
      </c>
      <c r="M7210" s="0" t="s">
        <v>173</v>
      </c>
      <c r="N7210" s="0" t="n">
        <v>1123</v>
      </c>
      <c r="O7210" s="10" t="n">
        <v>0.7787510023918</v>
      </c>
      <c r="P7210" s="10" t="n">
        <v>0.252706390339881</v>
      </c>
      <c r="Q7210" s="0" t="str">
        <f aca="false">SUBSTITUTE(SUBSTITUTE($I7210,CHAR(61),""),CHAR(34),"")</f>
        <v>35-49</v>
      </c>
      <c r="R7210" s="0" t="str">
        <f aca="false">IF($D7210&lt;&gt;"","["&amp;$E7210&amp;"]"&amp;"|"&amp;$Q7210&amp;"|"&amp;$K7210&amp;"|"&amp;$G7210&amp;"|"&amp;IF($G7210="TX_CURR_SUBNAT.R","CY2022Q4",$M7210),"")</f>
        <v>[ZCjuwgaMB9u]|35-49|Male|PLHIV_Attend.T2|CY2025Q3</v>
      </c>
    </row>
    <row r="7211" customFormat="false" ht="15" hidden="false" customHeight="false" outlineLevel="0" collapsed="false">
      <c r="D7211" s="0" t="s">
        <v>126</v>
      </c>
      <c r="E7211" s="0" t="s">
        <v>127</v>
      </c>
      <c r="F7211" s="0" t="s">
        <v>128</v>
      </c>
      <c r="G7211" s="0" t="s">
        <v>174</v>
      </c>
      <c r="H7211" s="0" t="s">
        <v>174</v>
      </c>
      <c r="I7211" s="0" t="s">
        <v>45</v>
      </c>
      <c r="J7211" s="0" t="s">
        <v>46</v>
      </c>
      <c r="K7211" s="0" t="s">
        <v>48</v>
      </c>
      <c r="L7211" s="0" t="s">
        <v>49</v>
      </c>
      <c r="M7211" s="0" t="s">
        <v>173</v>
      </c>
      <c r="N7211" s="0" t="n">
        <v>1820</v>
      </c>
      <c r="O7211" s="10" t="n">
        <v>0.733809876255691</v>
      </c>
      <c r="P7211" s="10" t="n">
        <v>0.252706390339881</v>
      </c>
      <c r="Q7211" s="0" t="str">
        <f aca="false">SUBSTITUTE(SUBSTITUTE($I7211,CHAR(61),""),CHAR(34),"")</f>
        <v>50+</v>
      </c>
      <c r="R7211" s="0" t="str">
        <f aca="false">IF($D7211&lt;&gt;"","["&amp;$E7211&amp;"]"&amp;"|"&amp;$Q7211&amp;"|"&amp;$K7211&amp;"|"&amp;$G7211&amp;"|"&amp;IF($G7211="TX_CURR_SUBNAT.R","CY2022Q4",$M7211),"")</f>
        <v>[ZCjuwgaMB9u]|50+|Male|PLHIV_Attend.T2|CY2025Q3</v>
      </c>
    </row>
    <row r="7212" customFormat="false" ht="15" hidden="false" customHeight="false" outlineLevel="0" collapsed="false">
      <c r="D7212" s="0" t="s">
        <v>129</v>
      </c>
      <c r="E7212" s="0" t="s">
        <v>130</v>
      </c>
      <c r="F7212" s="0" t="s">
        <v>131</v>
      </c>
      <c r="G7212" s="0" t="s">
        <v>174</v>
      </c>
      <c r="H7212" s="0" t="s">
        <v>174</v>
      </c>
      <c r="I7212" s="0" t="s">
        <v>28</v>
      </c>
      <c r="J7212" s="0" t="s">
        <v>29</v>
      </c>
      <c r="K7212" s="0" t="s">
        <v>30</v>
      </c>
      <c r="L7212" s="0" t="s">
        <v>31</v>
      </c>
      <c r="M7212" s="0" t="s">
        <v>173</v>
      </c>
      <c r="N7212" s="0" t="n">
        <v>1817</v>
      </c>
      <c r="O7212" s="10" t="n">
        <v>0.712744490476325</v>
      </c>
      <c r="P7212" s="10" t="n">
        <v>0.556908084778115</v>
      </c>
      <c r="Q7212" s="0" t="str">
        <f aca="false">SUBSTITUTE(SUBSTITUTE($I7212,CHAR(61),""),CHAR(34),"")</f>
        <v>&lt;01</v>
      </c>
      <c r="R7212" s="0" t="str">
        <f aca="false">IF($D7212&lt;&gt;"","["&amp;$E7212&amp;"]"&amp;"|"&amp;$Q7212&amp;"|"&amp;$K7212&amp;"|"&amp;$G7212&amp;"|"&amp;IF($G7212="TX_CURR_SUBNAT.R","CY2022Q4",$M7212),"")</f>
        <v>[YCKiBAp8QAg]|&lt;01|Female|PLHIV_Attend.T2|CY2025Q3</v>
      </c>
    </row>
    <row r="7213" customFormat="false" ht="15" hidden="false" customHeight="false" outlineLevel="0" collapsed="false">
      <c r="D7213" s="0" t="s">
        <v>129</v>
      </c>
      <c r="E7213" s="0" t="s">
        <v>130</v>
      </c>
      <c r="F7213" s="0" t="s">
        <v>131</v>
      </c>
      <c r="G7213" s="0" t="s">
        <v>174</v>
      </c>
      <c r="H7213" s="0" t="s">
        <v>174</v>
      </c>
      <c r="I7213" s="0" t="s">
        <v>33</v>
      </c>
      <c r="J7213" s="0" t="s">
        <v>34</v>
      </c>
      <c r="K7213" s="0" t="s">
        <v>30</v>
      </c>
      <c r="L7213" s="0" t="s">
        <v>31</v>
      </c>
      <c r="M7213" s="0" t="s">
        <v>173</v>
      </c>
      <c r="N7213" s="0" t="n">
        <v>606</v>
      </c>
      <c r="O7213" s="10" t="n">
        <v>0.803565967129543</v>
      </c>
      <c r="P7213" s="10" t="n">
        <v>0.556908084778115</v>
      </c>
      <c r="Q7213" s="0" t="str">
        <f aca="false">SUBSTITUTE(SUBSTITUTE($I7213,CHAR(61),""),CHAR(34),"")</f>
        <v>01-09</v>
      </c>
      <c r="R7213" s="0" t="str">
        <f aca="false">IF($D7213&lt;&gt;"","["&amp;$E7213&amp;"]"&amp;"|"&amp;$Q7213&amp;"|"&amp;$K7213&amp;"|"&amp;$G7213&amp;"|"&amp;IF($G7213="TX_CURR_SUBNAT.R","CY2022Q4",$M7213),"")</f>
        <v>[YCKiBAp8QAg]|01-09|Female|PLHIV_Attend.T2|CY2025Q3</v>
      </c>
    </row>
    <row r="7214" customFormat="false" ht="15" hidden="false" customHeight="false" outlineLevel="0" collapsed="false">
      <c r="D7214" s="0" t="s">
        <v>129</v>
      </c>
      <c r="E7214" s="0" t="s">
        <v>130</v>
      </c>
      <c r="F7214" s="0" t="s">
        <v>131</v>
      </c>
      <c r="G7214" s="0" t="s">
        <v>174</v>
      </c>
      <c r="H7214" s="0" t="s">
        <v>174</v>
      </c>
      <c r="I7214" s="0" t="s">
        <v>36</v>
      </c>
      <c r="J7214" s="0" t="s">
        <v>37</v>
      </c>
      <c r="K7214" s="0" t="s">
        <v>30</v>
      </c>
      <c r="L7214" s="0" t="s">
        <v>31</v>
      </c>
      <c r="M7214" s="0" t="s">
        <v>173</v>
      </c>
      <c r="N7214" s="0" t="n">
        <v>918</v>
      </c>
      <c r="O7214" s="10" t="n">
        <v>0.636952775064856</v>
      </c>
      <c r="P7214" s="10" t="n">
        <v>0.556908084778115</v>
      </c>
      <c r="Q7214" s="0" t="str">
        <f aca="false">SUBSTITUTE(SUBSTITUTE($I7214,CHAR(61),""),CHAR(34),"")</f>
        <v>10-14</v>
      </c>
      <c r="R7214" s="0" t="str">
        <f aca="false">IF($D7214&lt;&gt;"","["&amp;$E7214&amp;"]"&amp;"|"&amp;$Q7214&amp;"|"&amp;$K7214&amp;"|"&amp;$G7214&amp;"|"&amp;IF($G7214="TX_CURR_SUBNAT.R","CY2022Q4",$M7214),"")</f>
        <v>[YCKiBAp8QAg]|10-14|Female|PLHIV_Attend.T2|CY2025Q3</v>
      </c>
    </row>
    <row r="7215" customFormat="false" ht="15" hidden="false" customHeight="false" outlineLevel="0" collapsed="false">
      <c r="D7215" s="0" t="s">
        <v>129</v>
      </c>
      <c r="E7215" s="0" t="s">
        <v>130</v>
      </c>
      <c r="F7215" s="0" t="s">
        <v>131</v>
      </c>
      <c r="G7215" s="0" t="s">
        <v>174</v>
      </c>
      <c r="H7215" s="0" t="s">
        <v>174</v>
      </c>
      <c r="I7215" s="0" t="s">
        <v>38</v>
      </c>
      <c r="J7215" s="0" t="s">
        <v>39</v>
      </c>
      <c r="K7215" s="0" t="s">
        <v>30</v>
      </c>
      <c r="L7215" s="0" t="s">
        <v>31</v>
      </c>
      <c r="M7215" s="0" t="s">
        <v>173</v>
      </c>
      <c r="N7215" s="0" t="n">
        <v>1268</v>
      </c>
      <c r="O7215" s="10" t="n">
        <v>0.593821616843343</v>
      </c>
      <c r="P7215" s="10" t="n">
        <v>0.556908084778115</v>
      </c>
      <c r="Q7215" s="0" t="str">
        <f aca="false">SUBSTITUTE(SUBSTITUTE($I7215,CHAR(61),""),CHAR(34),"")</f>
        <v>15-24</v>
      </c>
      <c r="R7215" s="0" t="str">
        <f aca="false">IF($D7215&lt;&gt;"","["&amp;$E7215&amp;"]"&amp;"|"&amp;$Q7215&amp;"|"&amp;$K7215&amp;"|"&amp;$G7215&amp;"|"&amp;IF($G7215="TX_CURR_SUBNAT.R","CY2022Q4",$M7215),"")</f>
        <v>[YCKiBAp8QAg]|15-24|Female|PLHIV_Attend.T2|CY2025Q3</v>
      </c>
    </row>
    <row r="7216" customFormat="false" ht="15" hidden="false" customHeight="false" outlineLevel="0" collapsed="false">
      <c r="D7216" s="0" t="s">
        <v>129</v>
      </c>
      <c r="E7216" s="0" t="s">
        <v>130</v>
      </c>
      <c r="F7216" s="0" t="s">
        <v>131</v>
      </c>
      <c r="G7216" s="0" t="s">
        <v>174</v>
      </c>
      <c r="H7216" s="0" t="s">
        <v>174</v>
      </c>
      <c r="I7216" s="0" t="s">
        <v>41</v>
      </c>
      <c r="J7216" s="0" t="s">
        <v>42</v>
      </c>
      <c r="K7216" s="0" t="s">
        <v>30</v>
      </c>
      <c r="L7216" s="0" t="s">
        <v>31</v>
      </c>
      <c r="M7216" s="0" t="s">
        <v>173</v>
      </c>
      <c r="N7216" s="0" t="n">
        <v>1051</v>
      </c>
      <c r="O7216" s="10" t="n">
        <v>0.928305773995817</v>
      </c>
      <c r="P7216" s="10" t="n">
        <v>0.556908084778115</v>
      </c>
      <c r="Q7216" s="0" t="str">
        <f aca="false">SUBSTITUTE(SUBSTITUTE($I7216,CHAR(61),""),CHAR(34),"")</f>
        <v>25-34</v>
      </c>
      <c r="R7216" s="0" t="str">
        <f aca="false">IF($D7216&lt;&gt;"","["&amp;$E7216&amp;"]"&amp;"|"&amp;$Q7216&amp;"|"&amp;$K7216&amp;"|"&amp;$G7216&amp;"|"&amp;IF($G7216="TX_CURR_SUBNAT.R","CY2022Q4",$M7216),"")</f>
        <v>[YCKiBAp8QAg]|25-34|Female|PLHIV_Attend.T2|CY2025Q3</v>
      </c>
    </row>
    <row r="7217" customFormat="false" ht="15" hidden="false" customHeight="false" outlineLevel="0" collapsed="false">
      <c r="D7217" s="0" t="s">
        <v>129</v>
      </c>
      <c r="E7217" s="0" t="s">
        <v>130</v>
      </c>
      <c r="F7217" s="0" t="s">
        <v>131</v>
      </c>
      <c r="G7217" s="0" t="s">
        <v>174</v>
      </c>
      <c r="H7217" s="0" t="s">
        <v>174</v>
      </c>
      <c r="I7217" s="0" t="s">
        <v>43</v>
      </c>
      <c r="J7217" s="0" t="s">
        <v>44</v>
      </c>
      <c r="K7217" s="0" t="s">
        <v>30</v>
      </c>
      <c r="L7217" s="0" t="s">
        <v>31</v>
      </c>
      <c r="M7217" s="0" t="s">
        <v>173</v>
      </c>
      <c r="N7217" s="0" t="n">
        <v>1077</v>
      </c>
      <c r="O7217" s="10" t="n">
        <v>0.638448117766529</v>
      </c>
      <c r="P7217" s="10" t="n">
        <v>0.556908084778115</v>
      </c>
      <c r="Q7217" s="0" t="str">
        <f aca="false">SUBSTITUTE(SUBSTITUTE($I7217,CHAR(61),""),CHAR(34),"")</f>
        <v>35-49</v>
      </c>
      <c r="R7217" s="0" t="str">
        <f aca="false">IF($D7217&lt;&gt;"","["&amp;$E7217&amp;"]"&amp;"|"&amp;$Q7217&amp;"|"&amp;$K7217&amp;"|"&amp;$G7217&amp;"|"&amp;IF($G7217="TX_CURR_SUBNAT.R","CY2022Q4",$M7217),"")</f>
        <v>[YCKiBAp8QAg]|35-49|Female|PLHIV_Attend.T2|CY2025Q3</v>
      </c>
    </row>
    <row r="7218" customFormat="false" ht="15" hidden="false" customHeight="false" outlineLevel="0" collapsed="false">
      <c r="D7218" s="0" t="s">
        <v>129</v>
      </c>
      <c r="E7218" s="0" t="s">
        <v>130</v>
      </c>
      <c r="F7218" s="0" t="s">
        <v>131</v>
      </c>
      <c r="G7218" s="0" t="s">
        <v>174</v>
      </c>
      <c r="H7218" s="0" t="s">
        <v>174</v>
      </c>
      <c r="I7218" s="0" t="s">
        <v>45</v>
      </c>
      <c r="J7218" s="0" t="s">
        <v>46</v>
      </c>
      <c r="K7218" s="0" t="s">
        <v>30</v>
      </c>
      <c r="L7218" s="0" t="s">
        <v>31</v>
      </c>
      <c r="M7218" s="0" t="s">
        <v>173</v>
      </c>
      <c r="N7218" s="0" t="n">
        <v>1543</v>
      </c>
      <c r="O7218" s="10" t="n">
        <v>0.412804754450917</v>
      </c>
      <c r="P7218" s="10" t="n">
        <v>0.556908084778115</v>
      </c>
      <c r="Q7218" s="0" t="str">
        <f aca="false">SUBSTITUTE(SUBSTITUTE($I7218,CHAR(61),""),CHAR(34),"")</f>
        <v>50+</v>
      </c>
      <c r="R7218" s="0" t="str">
        <f aca="false">IF($D7218&lt;&gt;"","["&amp;$E7218&amp;"]"&amp;"|"&amp;$Q7218&amp;"|"&amp;$K7218&amp;"|"&amp;$G7218&amp;"|"&amp;IF($G7218="TX_CURR_SUBNAT.R","CY2022Q4",$M7218),"")</f>
        <v>[YCKiBAp8QAg]|50+|Female|PLHIV_Attend.T2|CY2025Q3</v>
      </c>
    </row>
    <row r="7219" customFormat="false" ht="15" hidden="false" customHeight="false" outlineLevel="0" collapsed="false">
      <c r="D7219" s="0" t="s">
        <v>129</v>
      </c>
      <c r="E7219" s="0" t="s">
        <v>130</v>
      </c>
      <c r="F7219" s="0" t="s">
        <v>131</v>
      </c>
      <c r="G7219" s="0" t="s">
        <v>174</v>
      </c>
      <c r="H7219" s="0" t="s">
        <v>174</v>
      </c>
      <c r="I7219" s="0" t="s">
        <v>28</v>
      </c>
      <c r="J7219" s="0" t="s">
        <v>29</v>
      </c>
      <c r="K7219" s="0" t="s">
        <v>48</v>
      </c>
      <c r="L7219" s="0" t="s">
        <v>49</v>
      </c>
      <c r="M7219" s="0" t="s">
        <v>173</v>
      </c>
      <c r="N7219" s="0" t="n">
        <v>1085</v>
      </c>
      <c r="O7219" s="10" t="n">
        <v>0.736965253716335</v>
      </c>
      <c r="P7219" s="10" t="n">
        <v>0.556908084778115</v>
      </c>
      <c r="Q7219" s="0" t="str">
        <f aca="false">SUBSTITUTE(SUBSTITUTE($I7219,CHAR(61),""),CHAR(34),"")</f>
        <v>&lt;01</v>
      </c>
      <c r="R7219" s="0" t="str">
        <f aca="false">IF($D7219&lt;&gt;"","["&amp;$E7219&amp;"]"&amp;"|"&amp;$Q7219&amp;"|"&amp;$K7219&amp;"|"&amp;$G7219&amp;"|"&amp;IF($G7219="TX_CURR_SUBNAT.R","CY2022Q4",$M7219),"")</f>
        <v>[YCKiBAp8QAg]|&lt;01|Male|PLHIV_Attend.T2|CY2025Q3</v>
      </c>
    </row>
    <row r="7220" customFormat="false" ht="15" hidden="false" customHeight="false" outlineLevel="0" collapsed="false">
      <c r="D7220" s="0" t="s">
        <v>129</v>
      </c>
      <c r="E7220" s="0" t="s">
        <v>130</v>
      </c>
      <c r="F7220" s="0" t="s">
        <v>131</v>
      </c>
      <c r="G7220" s="0" t="s">
        <v>174</v>
      </c>
      <c r="H7220" s="0" t="s">
        <v>174</v>
      </c>
      <c r="I7220" s="0" t="s">
        <v>33</v>
      </c>
      <c r="J7220" s="0" t="s">
        <v>34</v>
      </c>
      <c r="K7220" s="0" t="s">
        <v>48</v>
      </c>
      <c r="L7220" s="0" t="s">
        <v>49</v>
      </c>
      <c r="M7220" s="0" t="s">
        <v>173</v>
      </c>
      <c r="N7220" s="0" t="n">
        <v>1578</v>
      </c>
      <c r="O7220" s="10" t="n">
        <v>0.264446636429057</v>
      </c>
      <c r="P7220" s="10" t="n">
        <v>0.556908084778115</v>
      </c>
      <c r="Q7220" s="0" t="str">
        <f aca="false">SUBSTITUTE(SUBSTITUTE($I7220,CHAR(61),""),CHAR(34),"")</f>
        <v>01-09</v>
      </c>
      <c r="R7220" s="0" t="str">
        <f aca="false">IF($D7220&lt;&gt;"","["&amp;$E7220&amp;"]"&amp;"|"&amp;$Q7220&amp;"|"&amp;$K7220&amp;"|"&amp;$G7220&amp;"|"&amp;IF($G7220="TX_CURR_SUBNAT.R","CY2022Q4",$M7220),"")</f>
        <v>[YCKiBAp8QAg]|01-09|Male|PLHIV_Attend.T2|CY2025Q3</v>
      </c>
    </row>
    <row r="7221" customFormat="false" ht="15" hidden="false" customHeight="false" outlineLevel="0" collapsed="false">
      <c r="D7221" s="0" t="s">
        <v>129</v>
      </c>
      <c r="E7221" s="0" t="s">
        <v>130</v>
      </c>
      <c r="F7221" s="0" t="s">
        <v>131</v>
      </c>
      <c r="G7221" s="0" t="s">
        <v>174</v>
      </c>
      <c r="H7221" s="0" t="s">
        <v>174</v>
      </c>
      <c r="I7221" s="0" t="s">
        <v>36</v>
      </c>
      <c r="J7221" s="0" t="s">
        <v>37</v>
      </c>
      <c r="K7221" s="0" t="s">
        <v>48</v>
      </c>
      <c r="L7221" s="0" t="s">
        <v>49</v>
      </c>
      <c r="M7221" s="0" t="s">
        <v>173</v>
      </c>
      <c r="N7221" s="0" t="n">
        <v>1815</v>
      </c>
      <c r="O7221" s="10" t="n">
        <v>0.948806466301903</v>
      </c>
      <c r="P7221" s="10" t="n">
        <v>0.556908084778115</v>
      </c>
      <c r="Q7221" s="0" t="str">
        <f aca="false">SUBSTITUTE(SUBSTITUTE($I7221,CHAR(61),""),CHAR(34),"")</f>
        <v>10-14</v>
      </c>
      <c r="R7221" s="0" t="str">
        <f aca="false">IF($D7221&lt;&gt;"","["&amp;$E7221&amp;"]"&amp;"|"&amp;$Q7221&amp;"|"&amp;$K7221&amp;"|"&amp;$G7221&amp;"|"&amp;IF($G7221="TX_CURR_SUBNAT.R","CY2022Q4",$M7221),"")</f>
        <v>[YCKiBAp8QAg]|10-14|Male|PLHIV_Attend.T2|CY2025Q3</v>
      </c>
    </row>
    <row r="7222" customFormat="false" ht="15" hidden="false" customHeight="false" outlineLevel="0" collapsed="false">
      <c r="D7222" s="0" t="s">
        <v>129</v>
      </c>
      <c r="E7222" s="0" t="s">
        <v>130</v>
      </c>
      <c r="F7222" s="0" t="s">
        <v>131</v>
      </c>
      <c r="G7222" s="0" t="s">
        <v>174</v>
      </c>
      <c r="H7222" s="0" t="s">
        <v>174</v>
      </c>
      <c r="I7222" s="0" t="s">
        <v>38</v>
      </c>
      <c r="J7222" s="0" t="s">
        <v>39</v>
      </c>
      <c r="K7222" s="0" t="s">
        <v>48</v>
      </c>
      <c r="L7222" s="0" t="s">
        <v>49</v>
      </c>
      <c r="M7222" s="0" t="s">
        <v>173</v>
      </c>
      <c r="N7222" s="0" t="n">
        <v>1607</v>
      </c>
      <c r="O7222" s="10" t="n">
        <v>0.591074901632965</v>
      </c>
      <c r="P7222" s="10" t="n">
        <v>0.556908084778115</v>
      </c>
      <c r="Q7222" s="0" t="str">
        <f aca="false">SUBSTITUTE(SUBSTITUTE($I7222,CHAR(61),""),CHAR(34),"")</f>
        <v>15-24</v>
      </c>
      <c r="R7222" s="0" t="str">
        <f aca="false">IF($D7222&lt;&gt;"","["&amp;$E7222&amp;"]"&amp;"|"&amp;$Q7222&amp;"|"&amp;$K7222&amp;"|"&amp;$G7222&amp;"|"&amp;IF($G7222="TX_CURR_SUBNAT.R","CY2022Q4",$M7222),"")</f>
        <v>[YCKiBAp8QAg]|15-24|Male|PLHIV_Attend.T2|CY2025Q3</v>
      </c>
    </row>
    <row r="7223" customFormat="false" ht="15" hidden="false" customHeight="false" outlineLevel="0" collapsed="false">
      <c r="D7223" s="0" t="s">
        <v>129</v>
      </c>
      <c r="E7223" s="0" t="s">
        <v>130</v>
      </c>
      <c r="F7223" s="0" t="s">
        <v>131</v>
      </c>
      <c r="G7223" s="0" t="s">
        <v>174</v>
      </c>
      <c r="H7223" s="0" t="s">
        <v>174</v>
      </c>
      <c r="I7223" s="0" t="s">
        <v>41</v>
      </c>
      <c r="J7223" s="0" t="s">
        <v>42</v>
      </c>
      <c r="K7223" s="0" t="s">
        <v>48</v>
      </c>
      <c r="L7223" s="0" t="s">
        <v>49</v>
      </c>
      <c r="M7223" s="0" t="s">
        <v>173</v>
      </c>
      <c r="N7223" s="0" t="n">
        <v>1107</v>
      </c>
      <c r="O7223" s="10" t="n">
        <v>0.139707932947204</v>
      </c>
      <c r="P7223" s="10" t="n">
        <v>0.556908084778115</v>
      </c>
      <c r="Q7223" s="0" t="str">
        <f aca="false">SUBSTITUTE(SUBSTITUTE($I7223,CHAR(61),""),CHAR(34),"")</f>
        <v>25-34</v>
      </c>
      <c r="R7223" s="0" t="str">
        <f aca="false">IF($D7223&lt;&gt;"","["&amp;$E7223&amp;"]"&amp;"|"&amp;$Q7223&amp;"|"&amp;$K7223&amp;"|"&amp;$G7223&amp;"|"&amp;IF($G7223="TX_CURR_SUBNAT.R","CY2022Q4",$M7223),"")</f>
        <v>[YCKiBAp8QAg]|25-34|Male|PLHIV_Attend.T2|CY2025Q3</v>
      </c>
    </row>
    <row r="7224" customFormat="false" ht="15" hidden="false" customHeight="false" outlineLevel="0" collapsed="false">
      <c r="D7224" s="0" t="s">
        <v>129</v>
      </c>
      <c r="E7224" s="0" t="s">
        <v>130</v>
      </c>
      <c r="F7224" s="0" t="s">
        <v>131</v>
      </c>
      <c r="G7224" s="0" t="s">
        <v>174</v>
      </c>
      <c r="H7224" s="0" t="s">
        <v>174</v>
      </c>
      <c r="I7224" s="0" t="s">
        <v>43</v>
      </c>
      <c r="J7224" s="0" t="s">
        <v>44</v>
      </c>
      <c r="K7224" s="0" t="s">
        <v>48</v>
      </c>
      <c r="L7224" s="0" t="s">
        <v>49</v>
      </c>
      <c r="M7224" s="0" t="s">
        <v>173</v>
      </c>
      <c r="N7224" s="0" t="n">
        <v>1318</v>
      </c>
      <c r="O7224" s="10" t="n">
        <v>0.272820577723905</v>
      </c>
      <c r="P7224" s="10" t="n">
        <v>0.556908084778115</v>
      </c>
      <c r="Q7224" s="0" t="str">
        <f aca="false">SUBSTITUTE(SUBSTITUTE($I7224,CHAR(61),""),CHAR(34),"")</f>
        <v>35-49</v>
      </c>
      <c r="R7224" s="0" t="str">
        <f aca="false">IF($D7224&lt;&gt;"","["&amp;$E7224&amp;"]"&amp;"|"&amp;$Q7224&amp;"|"&amp;$K7224&amp;"|"&amp;$G7224&amp;"|"&amp;IF($G7224="TX_CURR_SUBNAT.R","CY2022Q4",$M7224),"")</f>
        <v>[YCKiBAp8QAg]|35-49|Male|PLHIV_Attend.T2|CY2025Q3</v>
      </c>
    </row>
    <row r="7225" customFormat="false" ht="15" hidden="false" customHeight="false" outlineLevel="0" collapsed="false">
      <c r="D7225" s="0" t="s">
        <v>129</v>
      </c>
      <c r="E7225" s="0" t="s">
        <v>130</v>
      </c>
      <c r="F7225" s="0" t="s">
        <v>131</v>
      </c>
      <c r="G7225" s="0" t="s">
        <v>174</v>
      </c>
      <c r="H7225" s="0" t="s">
        <v>174</v>
      </c>
      <c r="I7225" s="0" t="s">
        <v>45</v>
      </c>
      <c r="J7225" s="0" t="s">
        <v>46</v>
      </c>
      <c r="K7225" s="0" t="s">
        <v>48</v>
      </c>
      <c r="L7225" s="0" t="s">
        <v>49</v>
      </c>
      <c r="M7225" s="0" t="s">
        <v>173</v>
      </c>
      <c r="N7225" s="0" t="n">
        <v>1264</v>
      </c>
      <c r="O7225" s="10" t="n">
        <v>0.952714466722682</v>
      </c>
      <c r="P7225" s="10" t="n">
        <v>0.556908084778115</v>
      </c>
      <c r="Q7225" s="0" t="str">
        <f aca="false">SUBSTITUTE(SUBSTITUTE($I7225,CHAR(61),""),CHAR(34),"")</f>
        <v>50+</v>
      </c>
      <c r="R7225" s="0" t="str">
        <f aca="false">IF($D7225&lt;&gt;"","["&amp;$E7225&amp;"]"&amp;"|"&amp;$Q7225&amp;"|"&amp;$K7225&amp;"|"&amp;$G7225&amp;"|"&amp;IF($G7225="TX_CURR_SUBNAT.R","CY2022Q4",$M7225),"")</f>
        <v>[YCKiBAp8QAg]|50+|Male|PLHIV_Attend.T2|CY2025Q3</v>
      </c>
    </row>
    <row r="7226" customFormat="false" ht="15" hidden="false" customHeight="false" outlineLevel="0" collapsed="false">
      <c r="D7226" s="0" t="s">
        <v>132</v>
      </c>
      <c r="E7226" s="0" t="s">
        <v>133</v>
      </c>
      <c r="F7226" s="0" t="s">
        <v>134</v>
      </c>
      <c r="G7226" s="0" t="s">
        <v>174</v>
      </c>
      <c r="H7226" s="0" t="s">
        <v>174</v>
      </c>
      <c r="I7226" s="0" t="s">
        <v>28</v>
      </c>
      <c r="J7226" s="0" t="s">
        <v>29</v>
      </c>
      <c r="K7226" s="0" t="s">
        <v>30</v>
      </c>
      <c r="L7226" s="0" t="s">
        <v>31</v>
      </c>
      <c r="M7226" s="0" t="s">
        <v>173</v>
      </c>
      <c r="N7226" s="0" t="n">
        <v>1585</v>
      </c>
      <c r="O7226" s="10" t="n">
        <v>0.683507746784016</v>
      </c>
      <c r="P7226" s="10" t="n">
        <v>0.162863194011152</v>
      </c>
      <c r="Q7226" s="0" t="str">
        <f aca="false">SUBSTITUTE(SUBSTITUTE($I7226,CHAR(61),""),CHAR(34),"")</f>
        <v>&lt;01</v>
      </c>
      <c r="R7226" s="0" t="str">
        <f aca="false">IF($D7226&lt;&gt;"","["&amp;$E7226&amp;"]"&amp;"|"&amp;$Q7226&amp;"|"&amp;$K7226&amp;"|"&amp;$G7226&amp;"|"&amp;IF($G7226="TX_CURR_SUBNAT.R","CY2022Q4",$M7226),"")</f>
        <v>[JQKLKuVuY61]|&lt;01|Female|PLHIV_Attend.T2|CY2025Q3</v>
      </c>
    </row>
    <row r="7227" customFormat="false" ht="15" hidden="false" customHeight="false" outlineLevel="0" collapsed="false">
      <c r="D7227" s="0" t="s">
        <v>132</v>
      </c>
      <c r="E7227" s="0" t="s">
        <v>133</v>
      </c>
      <c r="F7227" s="0" t="s">
        <v>134</v>
      </c>
      <c r="G7227" s="0" t="s">
        <v>174</v>
      </c>
      <c r="H7227" s="0" t="s">
        <v>174</v>
      </c>
      <c r="I7227" s="0" t="s">
        <v>33</v>
      </c>
      <c r="J7227" s="0" t="s">
        <v>34</v>
      </c>
      <c r="K7227" s="0" t="s">
        <v>30</v>
      </c>
      <c r="L7227" s="0" t="s">
        <v>31</v>
      </c>
      <c r="M7227" s="0" t="s">
        <v>173</v>
      </c>
      <c r="N7227" s="0" t="n">
        <v>985</v>
      </c>
      <c r="O7227" s="10" t="n">
        <v>0.446935926331207</v>
      </c>
      <c r="P7227" s="10" t="n">
        <v>0.162863194011152</v>
      </c>
      <c r="Q7227" s="0" t="str">
        <f aca="false">SUBSTITUTE(SUBSTITUTE($I7227,CHAR(61),""),CHAR(34),"")</f>
        <v>01-09</v>
      </c>
      <c r="R7227" s="0" t="str">
        <f aca="false">IF($D7227&lt;&gt;"","["&amp;$E7227&amp;"]"&amp;"|"&amp;$Q7227&amp;"|"&amp;$K7227&amp;"|"&amp;$G7227&amp;"|"&amp;IF($G7227="TX_CURR_SUBNAT.R","CY2022Q4",$M7227),"")</f>
        <v>[JQKLKuVuY61]|01-09|Female|PLHIV_Attend.T2|CY2025Q3</v>
      </c>
    </row>
    <row r="7228" customFormat="false" ht="15" hidden="false" customHeight="false" outlineLevel="0" collapsed="false">
      <c r="D7228" s="0" t="s">
        <v>132</v>
      </c>
      <c r="E7228" s="0" t="s">
        <v>133</v>
      </c>
      <c r="F7228" s="0" t="s">
        <v>134</v>
      </c>
      <c r="G7228" s="0" t="s">
        <v>174</v>
      </c>
      <c r="H7228" s="0" t="s">
        <v>174</v>
      </c>
      <c r="I7228" s="0" t="s">
        <v>36</v>
      </c>
      <c r="J7228" s="0" t="s">
        <v>37</v>
      </c>
      <c r="K7228" s="0" t="s">
        <v>30</v>
      </c>
      <c r="L7228" s="0" t="s">
        <v>31</v>
      </c>
      <c r="M7228" s="0" t="s">
        <v>173</v>
      </c>
      <c r="N7228" s="0" t="n">
        <v>1063</v>
      </c>
      <c r="O7228" s="10" t="n">
        <v>0.47566750459373</v>
      </c>
      <c r="P7228" s="10" t="n">
        <v>0.162863194011152</v>
      </c>
      <c r="Q7228" s="0" t="str">
        <f aca="false">SUBSTITUTE(SUBSTITUTE($I7228,CHAR(61),""),CHAR(34),"")</f>
        <v>10-14</v>
      </c>
      <c r="R7228" s="0" t="str">
        <f aca="false">IF($D7228&lt;&gt;"","["&amp;$E7228&amp;"]"&amp;"|"&amp;$Q7228&amp;"|"&amp;$K7228&amp;"|"&amp;$G7228&amp;"|"&amp;IF($G7228="TX_CURR_SUBNAT.R","CY2022Q4",$M7228),"")</f>
        <v>[JQKLKuVuY61]|10-14|Female|PLHIV_Attend.T2|CY2025Q3</v>
      </c>
    </row>
    <row r="7229" customFormat="false" ht="15" hidden="false" customHeight="false" outlineLevel="0" collapsed="false">
      <c r="D7229" s="0" t="s">
        <v>132</v>
      </c>
      <c r="E7229" s="0" t="s">
        <v>133</v>
      </c>
      <c r="F7229" s="0" t="s">
        <v>134</v>
      </c>
      <c r="G7229" s="0" t="s">
        <v>174</v>
      </c>
      <c r="H7229" s="0" t="s">
        <v>174</v>
      </c>
      <c r="I7229" s="0" t="s">
        <v>38</v>
      </c>
      <c r="J7229" s="0" t="s">
        <v>39</v>
      </c>
      <c r="K7229" s="0" t="s">
        <v>30</v>
      </c>
      <c r="L7229" s="0" t="s">
        <v>31</v>
      </c>
      <c r="M7229" s="0" t="s">
        <v>173</v>
      </c>
      <c r="N7229" s="0" t="n">
        <v>1922</v>
      </c>
      <c r="O7229" s="10" t="n">
        <v>0.0212898694444448</v>
      </c>
      <c r="P7229" s="10" t="n">
        <v>0.162863194011152</v>
      </c>
      <c r="Q7229" s="0" t="str">
        <f aca="false">SUBSTITUTE(SUBSTITUTE($I7229,CHAR(61),""),CHAR(34),"")</f>
        <v>15-24</v>
      </c>
      <c r="R7229" s="0" t="str">
        <f aca="false">IF($D7229&lt;&gt;"","["&amp;$E7229&amp;"]"&amp;"|"&amp;$Q7229&amp;"|"&amp;$K7229&amp;"|"&amp;$G7229&amp;"|"&amp;IF($G7229="TX_CURR_SUBNAT.R","CY2022Q4",$M7229),"")</f>
        <v>[JQKLKuVuY61]|15-24|Female|PLHIV_Attend.T2|CY2025Q3</v>
      </c>
    </row>
    <row r="7230" customFormat="false" ht="15" hidden="false" customHeight="false" outlineLevel="0" collapsed="false">
      <c r="D7230" s="0" t="s">
        <v>132</v>
      </c>
      <c r="E7230" s="0" t="s">
        <v>133</v>
      </c>
      <c r="F7230" s="0" t="s">
        <v>134</v>
      </c>
      <c r="G7230" s="0" t="s">
        <v>174</v>
      </c>
      <c r="H7230" s="0" t="s">
        <v>174</v>
      </c>
      <c r="I7230" s="0" t="s">
        <v>41</v>
      </c>
      <c r="J7230" s="0" t="s">
        <v>42</v>
      </c>
      <c r="K7230" s="0" t="s">
        <v>30</v>
      </c>
      <c r="L7230" s="0" t="s">
        <v>31</v>
      </c>
      <c r="M7230" s="0" t="s">
        <v>173</v>
      </c>
      <c r="N7230" s="0" t="n">
        <v>1117</v>
      </c>
      <c r="O7230" s="10" t="n">
        <v>0.965568167157471</v>
      </c>
      <c r="P7230" s="10" t="n">
        <v>0.162863194011152</v>
      </c>
      <c r="Q7230" s="0" t="str">
        <f aca="false">SUBSTITUTE(SUBSTITUTE($I7230,CHAR(61),""),CHAR(34),"")</f>
        <v>25-34</v>
      </c>
      <c r="R7230" s="0" t="str">
        <f aca="false">IF($D7230&lt;&gt;"","["&amp;$E7230&amp;"]"&amp;"|"&amp;$Q7230&amp;"|"&amp;$K7230&amp;"|"&amp;$G7230&amp;"|"&amp;IF($G7230="TX_CURR_SUBNAT.R","CY2022Q4",$M7230),"")</f>
        <v>[JQKLKuVuY61]|25-34|Female|PLHIV_Attend.T2|CY2025Q3</v>
      </c>
    </row>
    <row r="7231" customFormat="false" ht="15" hidden="false" customHeight="false" outlineLevel="0" collapsed="false">
      <c r="D7231" s="0" t="s">
        <v>132</v>
      </c>
      <c r="E7231" s="0" t="s">
        <v>133</v>
      </c>
      <c r="F7231" s="0" t="s">
        <v>134</v>
      </c>
      <c r="G7231" s="0" t="s">
        <v>174</v>
      </c>
      <c r="H7231" s="0" t="s">
        <v>174</v>
      </c>
      <c r="I7231" s="0" t="s">
        <v>43</v>
      </c>
      <c r="J7231" s="0" t="s">
        <v>44</v>
      </c>
      <c r="K7231" s="0" t="s">
        <v>30</v>
      </c>
      <c r="L7231" s="0" t="s">
        <v>31</v>
      </c>
      <c r="M7231" s="0" t="s">
        <v>173</v>
      </c>
      <c r="N7231" s="0" t="n">
        <v>845</v>
      </c>
      <c r="O7231" s="10" t="n">
        <v>0.538739826995879</v>
      </c>
      <c r="P7231" s="10" t="n">
        <v>0.162863194011152</v>
      </c>
      <c r="Q7231" s="0" t="str">
        <f aca="false">SUBSTITUTE(SUBSTITUTE($I7231,CHAR(61),""),CHAR(34),"")</f>
        <v>35-49</v>
      </c>
      <c r="R7231" s="0" t="str">
        <f aca="false">IF($D7231&lt;&gt;"","["&amp;$E7231&amp;"]"&amp;"|"&amp;$Q7231&amp;"|"&amp;$K7231&amp;"|"&amp;$G7231&amp;"|"&amp;IF($G7231="TX_CURR_SUBNAT.R","CY2022Q4",$M7231),"")</f>
        <v>[JQKLKuVuY61]|35-49|Female|PLHIV_Attend.T2|CY2025Q3</v>
      </c>
    </row>
    <row r="7232" customFormat="false" ht="15" hidden="false" customHeight="false" outlineLevel="0" collapsed="false">
      <c r="D7232" s="0" t="s">
        <v>132</v>
      </c>
      <c r="E7232" s="0" t="s">
        <v>133</v>
      </c>
      <c r="F7232" s="0" t="s">
        <v>134</v>
      </c>
      <c r="G7232" s="0" t="s">
        <v>174</v>
      </c>
      <c r="H7232" s="0" t="s">
        <v>174</v>
      </c>
      <c r="I7232" s="0" t="s">
        <v>45</v>
      </c>
      <c r="J7232" s="0" t="s">
        <v>46</v>
      </c>
      <c r="K7232" s="0" t="s">
        <v>30</v>
      </c>
      <c r="L7232" s="0" t="s">
        <v>31</v>
      </c>
      <c r="M7232" s="0" t="s">
        <v>173</v>
      </c>
      <c r="N7232" s="0" t="n">
        <v>1826</v>
      </c>
      <c r="O7232" s="10" t="n">
        <v>0.0570443859323859</v>
      </c>
      <c r="P7232" s="10" t="n">
        <v>0.162863194011152</v>
      </c>
      <c r="Q7232" s="0" t="str">
        <f aca="false">SUBSTITUTE(SUBSTITUTE($I7232,CHAR(61),""),CHAR(34),"")</f>
        <v>50+</v>
      </c>
      <c r="R7232" s="0" t="str">
        <f aca="false">IF($D7232&lt;&gt;"","["&amp;$E7232&amp;"]"&amp;"|"&amp;$Q7232&amp;"|"&amp;$K7232&amp;"|"&amp;$G7232&amp;"|"&amp;IF($G7232="TX_CURR_SUBNAT.R","CY2022Q4",$M7232),"")</f>
        <v>[JQKLKuVuY61]|50+|Female|PLHIV_Attend.T2|CY2025Q3</v>
      </c>
    </row>
    <row r="7233" customFormat="false" ht="15" hidden="false" customHeight="false" outlineLevel="0" collapsed="false">
      <c r="D7233" s="0" t="s">
        <v>132</v>
      </c>
      <c r="E7233" s="0" t="s">
        <v>133</v>
      </c>
      <c r="F7233" s="0" t="s">
        <v>134</v>
      </c>
      <c r="G7233" s="0" t="s">
        <v>174</v>
      </c>
      <c r="H7233" s="0" t="s">
        <v>174</v>
      </c>
      <c r="I7233" s="0" t="s">
        <v>28</v>
      </c>
      <c r="J7233" s="0" t="s">
        <v>29</v>
      </c>
      <c r="K7233" s="0" t="s">
        <v>48</v>
      </c>
      <c r="L7233" s="0" t="s">
        <v>49</v>
      </c>
      <c r="M7233" s="0" t="s">
        <v>173</v>
      </c>
      <c r="N7233" s="0" t="n">
        <v>1486</v>
      </c>
      <c r="O7233" s="10" t="n">
        <v>0.635385333793238</v>
      </c>
      <c r="P7233" s="10" t="n">
        <v>0.162863194011152</v>
      </c>
      <c r="Q7233" s="0" t="str">
        <f aca="false">SUBSTITUTE(SUBSTITUTE($I7233,CHAR(61),""),CHAR(34),"")</f>
        <v>&lt;01</v>
      </c>
      <c r="R7233" s="0" t="str">
        <f aca="false">IF($D7233&lt;&gt;"","["&amp;$E7233&amp;"]"&amp;"|"&amp;$Q7233&amp;"|"&amp;$K7233&amp;"|"&amp;$G7233&amp;"|"&amp;IF($G7233="TX_CURR_SUBNAT.R","CY2022Q4",$M7233),"")</f>
        <v>[JQKLKuVuY61]|&lt;01|Male|PLHIV_Attend.T2|CY2025Q3</v>
      </c>
    </row>
    <row r="7234" customFormat="false" ht="15" hidden="false" customHeight="false" outlineLevel="0" collapsed="false">
      <c r="D7234" s="0" t="s">
        <v>132</v>
      </c>
      <c r="E7234" s="0" t="s">
        <v>133</v>
      </c>
      <c r="F7234" s="0" t="s">
        <v>134</v>
      </c>
      <c r="G7234" s="0" t="s">
        <v>174</v>
      </c>
      <c r="H7234" s="0" t="s">
        <v>174</v>
      </c>
      <c r="I7234" s="0" t="s">
        <v>33</v>
      </c>
      <c r="J7234" s="0" t="s">
        <v>34</v>
      </c>
      <c r="K7234" s="0" t="s">
        <v>48</v>
      </c>
      <c r="L7234" s="0" t="s">
        <v>49</v>
      </c>
      <c r="M7234" s="0" t="s">
        <v>173</v>
      </c>
      <c r="N7234" s="0" t="n">
        <v>1891</v>
      </c>
      <c r="O7234" s="10" t="n">
        <v>0.718229935038835</v>
      </c>
      <c r="P7234" s="10" t="n">
        <v>0.162863194011152</v>
      </c>
      <c r="Q7234" s="0" t="str">
        <f aca="false">SUBSTITUTE(SUBSTITUTE($I7234,CHAR(61),""),CHAR(34),"")</f>
        <v>01-09</v>
      </c>
      <c r="R7234" s="0" t="str">
        <f aca="false">IF($D7234&lt;&gt;"","["&amp;$E7234&amp;"]"&amp;"|"&amp;$Q7234&amp;"|"&amp;$K7234&amp;"|"&amp;$G7234&amp;"|"&amp;IF($G7234="TX_CURR_SUBNAT.R","CY2022Q4",$M7234),"")</f>
        <v>[JQKLKuVuY61]|01-09|Male|PLHIV_Attend.T2|CY2025Q3</v>
      </c>
    </row>
    <row r="7235" customFormat="false" ht="15" hidden="false" customHeight="false" outlineLevel="0" collapsed="false">
      <c r="D7235" s="0" t="s">
        <v>132</v>
      </c>
      <c r="E7235" s="0" t="s">
        <v>133</v>
      </c>
      <c r="F7235" s="0" t="s">
        <v>134</v>
      </c>
      <c r="G7235" s="0" t="s">
        <v>174</v>
      </c>
      <c r="H7235" s="0" t="s">
        <v>174</v>
      </c>
      <c r="I7235" s="0" t="s">
        <v>36</v>
      </c>
      <c r="J7235" s="0" t="s">
        <v>37</v>
      </c>
      <c r="K7235" s="0" t="s">
        <v>48</v>
      </c>
      <c r="L7235" s="0" t="s">
        <v>49</v>
      </c>
      <c r="M7235" s="0" t="s">
        <v>173</v>
      </c>
      <c r="N7235" s="0" t="n">
        <v>1173</v>
      </c>
      <c r="O7235" s="10" t="n">
        <v>0.70498126745224</v>
      </c>
      <c r="P7235" s="10" t="n">
        <v>0.162863194011152</v>
      </c>
      <c r="Q7235" s="0" t="str">
        <f aca="false">SUBSTITUTE(SUBSTITUTE($I7235,CHAR(61),""),CHAR(34),"")</f>
        <v>10-14</v>
      </c>
      <c r="R7235" s="0" t="str">
        <f aca="false">IF($D7235&lt;&gt;"","["&amp;$E7235&amp;"]"&amp;"|"&amp;$Q7235&amp;"|"&amp;$K7235&amp;"|"&amp;$G7235&amp;"|"&amp;IF($G7235="TX_CURR_SUBNAT.R","CY2022Q4",$M7235),"")</f>
        <v>[JQKLKuVuY61]|10-14|Male|PLHIV_Attend.T2|CY2025Q3</v>
      </c>
    </row>
    <row r="7236" customFormat="false" ht="15" hidden="false" customHeight="false" outlineLevel="0" collapsed="false">
      <c r="D7236" s="0" t="s">
        <v>132</v>
      </c>
      <c r="E7236" s="0" t="s">
        <v>133</v>
      </c>
      <c r="F7236" s="0" t="s">
        <v>134</v>
      </c>
      <c r="G7236" s="0" t="s">
        <v>174</v>
      </c>
      <c r="H7236" s="0" t="s">
        <v>174</v>
      </c>
      <c r="I7236" s="0" t="s">
        <v>38</v>
      </c>
      <c r="J7236" s="0" t="s">
        <v>39</v>
      </c>
      <c r="K7236" s="0" t="s">
        <v>48</v>
      </c>
      <c r="L7236" s="0" t="s">
        <v>49</v>
      </c>
      <c r="M7236" s="0" t="s">
        <v>173</v>
      </c>
      <c r="N7236" s="0" t="n">
        <v>1476</v>
      </c>
      <c r="O7236" s="10" t="n">
        <v>0.350035827839747</v>
      </c>
      <c r="P7236" s="10" t="n">
        <v>0.162863194011152</v>
      </c>
      <c r="Q7236" s="0" t="str">
        <f aca="false">SUBSTITUTE(SUBSTITUTE($I7236,CHAR(61),""),CHAR(34),"")</f>
        <v>15-24</v>
      </c>
      <c r="R7236" s="0" t="str">
        <f aca="false">IF($D7236&lt;&gt;"","["&amp;$E7236&amp;"]"&amp;"|"&amp;$Q7236&amp;"|"&amp;$K7236&amp;"|"&amp;$G7236&amp;"|"&amp;IF($G7236="TX_CURR_SUBNAT.R","CY2022Q4",$M7236),"")</f>
        <v>[JQKLKuVuY61]|15-24|Male|PLHIV_Attend.T2|CY2025Q3</v>
      </c>
    </row>
    <row r="7237" customFormat="false" ht="15" hidden="false" customHeight="false" outlineLevel="0" collapsed="false">
      <c r="D7237" s="0" t="s">
        <v>132</v>
      </c>
      <c r="E7237" s="0" t="s">
        <v>133</v>
      </c>
      <c r="F7237" s="0" t="s">
        <v>134</v>
      </c>
      <c r="G7237" s="0" t="s">
        <v>174</v>
      </c>
      <c r="H7237" s="0" t="s">
        <v>174</v>
      </c>
      <c r="I7237" s="0" t="s">
        <v>41</v>
      </c>
      <c r="J7237" s="0" t="s">
        <v>42</v>
      </c>
      <c r="K7237" s="0" t="s">
        <v>48</v>
      </c>
      <c r="L7237" s="0" t="s">
        <v>49</v>
      </c>
      <c r="M7237" s="0" t="s">
        <v>173</v>
      </c>
      <c r="N7237" s="0" t="n">
        <v>1282</v>
      </c>
      <c r="O7237" s="10" t="n">
        <v>0.479970920365304</v>
      </c>
      <c r="P7237" s="10" t="n">
        <v>0.162863194011152</v>
      </c>
      <c r="Q7237" s="0" t="str">
        <f aca="false">SUBSTITUTE(SUBSTITUTE($I7237,CHAR(61),""),CHAR(34),"")</f>
        <v>25-34</v>
      </c>
      <c r="R7237" s="0" t="str">
        <f aca="false">IF($D7237&lt;&gt;"","["&amp;$E7237&amp;"]"&amp;"|"&amp;$Q7237&amp;"|"&amp;$K7237&amp;"|"&amp;$G7237&amp;"|"&amp;IF($G7237="TX_CURR_SUBNAT.R","CY2022Q4",$M7237),"")</f>
        <v>[JQKLKuVuY61]|25-34|Male|PLHIV_Attend.T2|CY2025Q3</v>
      </c>
    </row>
    <row r="7238" customFormat="false" ht="15" hidden="false" customHeight="false" outlineLevel="0" collapsed="false">
      <c r="D7238" s="0" t="s">
        <v>132</v>
      </c>
      <c r="E7238" s="0" t="s">
        <v>133</v>
      </c>
      <c r="F7238" s="0" t="s">
        <v>134</v>
      </c>
      <c r="G7238" s="0" t="s">
        <v>174</v>
      </c>
      <c r="H7238" s="0" t="s">
        <v>174</v>
      </c>
      <c r="I7238" s="0" t="s">
        <v>43</v>
      </c>
      <c r="J7238" s="0" t="s">
        <v>44</v>
      </c>
      <c r="K7238" s="0" t="s">
        <v>48</v>
      </c>
      <c r="L7238" s="0" t="s">
        <v>49</v>
      </c>
      <c r="M7238" s="0" t="s">
        <v>173</v>
      </c>
      <c r="N7238" s="0" t="n">
        <v>742</v>
      </c>
      <c r="O7238" s="10" t="n">
        <v>0.771211494458839</v>
      </c>
      <c r="P7238" s="10" t="n">
        <v>0.162863194011152</v>
      </c>
      <c r="Q7238" s="0" t="str">
        <f aca="false">SUBSTITUTE(SUBSTITUTE($I7238,CHAR(61),""),CHAR(34),"")</f>
        <v>35-49</v>
      </c>
      <c r="R7238" s="0" t="str">
        <f aca="false">IF($D7238&lt;&gt;"","["&amp;$E7238&amp;"]"&amp;"|"&amp;$Q7238&amp;"|"&amp;$K7238&amp;"|"&amp;$G7238&amp;"|"&amp;IF($G7238="TX_CURR_SUBNAT.R","CY2022Q4",$M7238),"")</f>
        <v>[JQKLKuVuY61]|35-49|Male|PLHIV_Attend.T2|CY2025Q3</v>
      </c>
    </row>
    <row r="7239" customFormat="false" ht="15" hidden="false" customHeight="false" outlineLevel="0" collapsed="false">
      <c r="D7239" s="0" t="s">
        <v>132</v>
      </c>
      <c r="E7239" s="0" t="s">
        <v>133</v>
      </c>
      <c r="F7239" s="0" t="s">
        <v>134</v>
      </c>
      <c r="G7239" s="0" t="s">
        <v>174</v>
      </c>
      <c r="H7239" s="0" t="s">
        <v>174</v>
      </c>
      <c r="I7239" s="0" t="s">
        <v>45</v>
      </c>
      <c r="J7239" s="0" t="s">
        <v>46</v>
      </c>
      <c r="K7239" s="0" t="s">
        <v>48</v>
      </c>
      <c r="L7239" s="0" t="s">
        <v>49</v>
      </c>
      <c r="M7239" s="0" t="s">
        <v>173</v>
      </c>
      <c r="N7239" s="0" t="n">
        <v>1578</v>
      </c>
      <c r="O7239" s="10" t="n">
        <v>0.18181787757203</v>
      </c>
      <c r="P7239" s="10" t="n">
        <v>0.162863194011152</v>
      </c>
      <c r="Q7239" s="0" t="str">
        <f aca="false">SUBSTITUTE(SUBSTITUTE($I7239,CHAR(61),""),CHAR(34),"")</f>
        <v>50+</v>
      </c>
      <c r="R7239" s="0" t="str">
        <f aca="false">IF($D7239&lt;&gt;"","["&amp;$E7239&amp;"]"&amp;"|"&amp;$Q7239&amp;"|"&amp;$K7239&amp;"|"&amp;$G7239&amp;"|"&amp;IF($G7239="TX_CURR_SUBNAT.R","CY2022Q4",$M7239),"")</f>
        <v>[JQKLKuVuY61]|50+|Male|PLHIV_Attend.T2|CY2025Q3</v>
      </c>
    </row>
    <row r="7240" customFormat="false" ht="15" hidden="false" customHeight="false" outlineLevel="0" collapsed="false">
      <c r="D7240" s="0" t="s">
        <v>135</v>
      </c>
      <c r="E7240" s="0" t="s">
        <v>136</v>
      </c>
      <c r="F7240" s="0" t="s">
        <v>137</v>
      </c>
      <c r="G7240" s="0" t="s">
        <v>174</v>
      </c>
      <c r="H7240" s="0" t="s">
        <v>174</v>
      </c>
      <c r="I7240" s="0" t="s">
        <v>28</v>
      </c>
      <c r="J7240" s="0" t="s">
        <v>29</v>
      </c>
      <c r="K7240" s="0" t="s">
        <v>30</v>
      </c>
      <c r="L7240" s="0" t="s">
        <v>31</v>
      </c>
      <c r="M7240" s="0" t="s">
        <v>173</v>
      </c>
      <c r="N7240" s="0" t="n">
        <v>1492</v>
      </c>
      <c r="O7240" s="10" t="n">
        <v>0.0409061664249748</v>
      </c>
      <c r="P7240" s="10" t="n">
        <v>0.955300528323278</v>
      </c>
      <c r="Q7240" s="0" t="str">
        <f aca="false">SUBSTITUTE(SUBSTITUTE($I7240,CHAR(61),""),CHAR(34),"")</f>
        <v>&lt;01</v>
      </c>
      <c r="R7240" s="0" t="str">
        <f aca="false">IF($D7240&lt;&gt;"","["&amp;$E7240&amp;"]"&amp;"|"&amp;$Q7240&amp;"|"&amp;$K7240&amp;"|"&amp;$G7240&amp;"|"&amp;IF($G7240="TX_CURR_SUBNAT.R","CY2022Q4",$M7240),"")</f>
        <v>[fiRkU6gEjLz]|&lt;01|Female|PLHIV_Attend.T2|CY2025Q3</v>
      </c>
    </row>
    <row r="7241" customFormat="false" ht="15" hidden="false" customHeight="false" outlineLevel="0" collapsed="false">
      <c r="D7241" s="0" t="s">
        <v>135</v>
      </c>
      <c r="E7241" s="0" t="s">
        <v>136</v>
      </c>
      <c r="F7241" s="0" t="s">
        <v>137</v>
      </c>
      <c r="G7241" s="0" t="s">
        <v>174</v>
      </c>
      <c r="H7241" s="0" t="s">
        <v>174</v>
      </c>
      <c r="I7241" s="0" t="s">
        <v>33</v>
      </c>
      <c r="J7241" s="0" t="s">
        <v>34</v>
      </c>
      <c r="K7241" s="0" t="s">
        <v>30</v>
      </c>
      <c r="L7241" s="0" t="s">
        <v>31</v>
      </c>
      <c r="M7241" s="0" t="s">
        <v>173</v>
      </c>
      <c r="N7241" s="0" t="n">
        <v>1056</v>
      </c>
      <c r="O7241" s="10" t="n">
        <v>0.946651441277936</v>
      </c>
      <c r="P7241" s="10" t="n">
        <v>0.955300528323278</v>
      </c>
      <c r="Q7241" s="0" t="str">
        <f aca="false">SUBSTITUTE(SUBSTITUTE($I7241,CHAR(61),""),CHAR(34),"")</f>
        <v>01-09</v>
      </c>
      <c r="R7241" s="0" t="str">
        <f aca="false">IF($D7241&lt;&gt;"","["&amp;$E7241&amp;"]"&amp;"|"&amp;$Q7241&amp;"|"&amp;$K7241&amp;"|"&amp;$G7241&amp;"|"&amp;IF($G7241="TX_CURR_SUBNAT.R","CY2022Q4",$M7241),"")</f>
        <v>[fiRkU6gEjLz]|01-09|Female|PLHIV_Attend.T2|CY2025Q3</v>
      </c>
    </row>
    <row r="7242" customFormat="false" ht="15" hidden="false" customHeight="false" outlineLevel="0" collapsed="false">
      <c r="D7242" s="0" t="s">
        <v>135</v>
      </c>
      <c r="E7242" s="0" t="s">
        <v>136</v>
      </c>
      <c r="F7242" s="0" t="s">
        <v>137</v>
      </c>
      <c r="G7242" s="0" t="s">
        <v>174</v>
      </c>
      <c r="H7242" s="0" t="s">
        <v>174</v>
      </c>
      <c r="I7242" s="0" t="s">
        <v>36</v>
      </c>
      <c r="J7242" s="0" t="s">
        <v>37</v>
      </c>
      <c r="K7242" s="0" t="s">
        <v>30</v>
      </c>
      <c r="L7242" s="0" t="s">
        <v>31</v>
      </c>
      <c r="M7242" s="0" t="s">
        <v>173</v>
      </c>
      <c r="N7242" s="0" t="n">
        <v>1831</v>
      </c>
      <c r="O7242" s="10" t="n">
        <v>0.744258125545457</v>
      </c>
      <c r="P7242" s="10" t="n">
        <v>0.955300528323278</v>
      </c>
      <c r="Q7242" s="0" t="str">
        <f aca="false">SUBSTITUTE(SUBSTITUTE($I7242,CHAR(61),""),CHAR(34),"")</f>
        <v>10-14</v>
      </c>
      <c r="R7242" s="0" t="str">
        <f aca="false">IF($D7242&lt;&gt;"","["&amp;$E7242&amp;"]"&amp;"|"&amp;$Q7242&amp;"|"&amp;$K7242&amp;"|"&amp;$G7242&amp;"|"&amp;IF($G7242="TX_CURR_SUBNAT.R","CY2022Q4",$M7242),"")</f>
        <v>[fiRkU6gEjLz]|10-14|Female|PLHIV_Attend.T2|CY2025Q3</v>
      </c>
    </row>
    <row r="7243" customFormat="false" ht="15" hidden="false" customHeight="false" outlineLevel="0" collapsed="false">
      <c r="D7243" s="0" t="s">
        <v>135</v>
      </c>
      <c r="E7243" s="0" t="s">
        <v>136</v>
      </c>
      <c r="F7243" s="0" t="s">
        <v>137</v>
      </c>
      <c r="G7243" s="0" t="s">
        <v>174</v>
      </c>
      <c r="H7243" s="0" t="s">
        <v>174</v>
      </c>
      <c r="I7243" s="0" t="s">
        <v>38</v>
      </c>
      <c r="J7243" s="0" t="s">
        <v>39</v>
      </c>
      <c r="K7243" s="0" t="s">
        <v>30</v>
      </c>
      <c r="L7243" s="0" t="s">
        <v>31</v>
      </c>
      <c r="M7243" s="0" t="s">
        <v>173</v>
      </c>
      <c r="N7243" s="0" t="n">
        <v>1303</v>
      </c>
      <c r="O7243" s="10" t="n">
        <v>0.294584963470697</v>
      </c>
      <c r="P7243" s="10" t="n">
        <v>0.955300528323278</v>
      </c>
      <c r="Q7243" s="0" t="str">
        <f aca="false">SUBSTITUTE(SUBSTITUTE($I7243,CHAR(61),""),CHAR(34),"")</f>
        <v>15-24</v>
      </c>
      <c r="R7243" s="0" t="str">
        <f aca="false">IF($D7243&lt;&gt;"","["&amp;$E7243&amp;"]"&amp;"|"&amp;$Q7243&amp;"|"&amp;$K7243&amp;"|"&amp;$G7243&amp;"|"&amp;IF($G7243="TX_CURR_SUBNAT.R","CY2022Q4",$M7243),"")</f>
        <v>[fiRkU6gEjLz]|15-24|Female|PLHIV_Attend.T2|CY2025Q3</v>
      </c>
    </row>
    <row r="7244" customFormat="false" ht="15" hidden="false" customHeight="false" outlineLevel="0" collapsed="false">
      <c r="D7244" s="0" t="s">
        <v>135</v>
      </c>
      <c r="E7244" s="0" t="s">
        <v>136</v>
      </c>
      <c r="F7244" s="0" t="s">
        <v>137</v>
      </c>
      <c r="G7244" s="0" t="s">
        <v>174</v>
      </c>
      <c r="H7244" s="0" t="s">
        <v>174</v>
      </c>
      <c r="I7244" s="0" t="s">
        <v>41</v>
      </c>
      <c r="J7244" s="0" t="s">
        <v>42</v>
      </c>
      <c r="K7244" s="0" t="s">
        <v>30</v>
      </c>
      <c r="L7244" s="0" t="s">
        <v>31</v>
      </c>
      <c r="M7244" s="0" t="s">
        <v>173</v>
      </c>
      <c r="N7244" s="0" t="n">
        <v>812</v>
      </c>
      <c r="O7244" s="10" t="n">
        <v>0.536098643904552</v>
      </c>
      <c r="P7244" s="10" t="n">
        <v>0.955300528323278</v>
      </c>
      <c r="Q7244" s="0" t="str">
        <f aca="false">SUBSTITUTE(SUBSTITUTE($I7244,CHAR(61),""),CHAR(34),"")</f>
        <v>25-34</v>
      </c>
      <c r="R7244" s="0" t="str">
        <f aca="false">IF($D7244&lt;&gt;"","["&amp;$E7244&amp;"]"&amp;"|"&amp;$Q7244&amp;"|"&amp;$K7244&amp;"|"&amp;$G7244&amp;"|"&amp;IF($G7244="TX_CURR_SUBNAT.R","CY2022Q4",$M7244),"")</f>
        <v>[fiRkU6gEjLz]|25-34|Female|PLHIV_Attend.T2|CY2025Q3</v>
      </c>
    </row>
    <row r="7245" customFormat="false" ht="15" hidden="false" customHeight="false" outlineLevel="0" collapsed="false">
      <c r="D7245" s="0" t="s">
        <v>135</v>
      </c>
      <c r="E7245" s="0" t="s">
        <v>136</v>
      </c>
      <c r="F7245" s="0" t="s">
        <v>137</v>
      </c>
      <c r="G7245" s="0" t="s">
        <v>174</v>
      </c>
      <c r="H7245" s="0" t="s">
        <v>174</v>
      </c>
      <c r="I7245" s="0" t="s">
        <v>43</v>
      </c>
      <c r="J7245" s="0" t="s">
        <v>44</v>
      </c>
      <c r="K7245" s="0" t="s">
        <v>30</v>
      </c>
      <c r="L7245" s="0" t="s">
        <v>31</v>
      </c>
      <c r="M7245" s="0" t="s">
        <v>173</v>
      </c>
      <c r="N7245" s="0" t="n">
        <v>823</v>
      </c>
      <c r="O7245" s="10" t="n">
        <v>0.0816533649340272</v>
      </c>
      <c r="P7245" s="10" t="n">
        <v>0.955300528323278</v>
      </c>
      <c r="Q7245" s="0" t="str">
        <f aca="false">SUBSTITUTE(SUBSTITUTE($I7245,CHAR(61),""),CHAR(34),"")</f>
        <v>35-49</v>
      </c>
      <c r="R7245" s="0" t="str">
        <f aca="false">IF($D7245&lt;&gt;"","["&amp;$E7245&amp;"]"&amp;"|"&amp;$Q7245&amp;"|"&amp;$K7245&amp;"|"&amp;$G7245&amp;"|"&amp;IF($G7245="TX_CURR_SUBNAT.R","CY2022Q4",$M7245),"")</f>
        <v>[fiRkU6gEjLz]|35-49|Female|PLHIV_Attend.T2|CY2025Q3</v>
      </c>
    </row>
    <row r="7246" customFormat="false" ht="15" hidden="false" customHeight="false" outlineLevel="0" collapsed="false">
      <c r="D7246" s="0" t="s">
        <v>135</v>
      </c>
      <c r="E7246" s="0" t="s">
        <v>136</v>
      </c>
      <c r="F7246" s="0" t="s">
        <v>137</v>
      </c>
      <c r="G7246" s="0" t="s">
        <v>174</v>
      </c>
      <c r="H7246" s="0" t="s">
        <v>174</v>
      </c>
      <c r="I7246" s="0" t="s">
        <v>45</v>
      </c>
      <c r="J7246" s="0" t="s">
        <v>46</v>
      </c>
      <c r="K7246" s="0" t="s">
        <v>30</v>
      </c>
      <c r="L7246" s="0" t="s">
        <v>31</v>
      </c>
      <c r="M7246" s="0" t="s">
        <v>173</v>
      </c>
      <c r="N7246" s="0" t="n">
        <v>994</v>
      </c>
      <c r="O7246" s="10" t="n">
        <v>0.029668791918084</v>
      </c>
      <c r="P7246" s="10" t="n">
        <v>0.955300528323278</v>
      </c>
      <c r="Q7246" s="0" t="str">
        <f aca="false">SUBSTITUTE(SUBSTITUTE($I7246,CHAR(61),""),CHAR(34),"")</f>
        <v>50+</v>
      </c>
      <c r="R7246" s="0" t="str">
        <f aca="false">IF($D7246&lt;&gt;"","["&amp;$E7246&amp;"]"&amp;"|"&amp;$Q7246&amp;"|"&amp;$K7246&amp;"|"&amp;$G7246&amp;"|"&amp;IF($G7246="TX_CURR_SUBNAT.R","CY2022Q4",$M7246),"")</f>
        <v>[fiRkU6gEjLz]|50+|Female|PLHIV_Attend.T2|CY2025Q3</v>
      </c>
    </row>
    <row r="7247" customFormat="false" ht="15" hidden="false" customHeight="false" outlineLevel="0" collapsed="false">
      <c r="D7247" s="0" t="s">
        <v>135</v>
      </c>
      <c r="E7247" s="0" t="s">
        <v>136</v>
      </c>
      <c r="F7247" s="0" t="s">
        <v>137</v>
      </c>
      <c r="G7247" s="0" t="s">
        <v>174</v>
      </c>
      <c r="H7247" s="0" t="s">
        <v>174</v>
      </c>
      <c r="I7247" s="0" t="s">
        <v>28</v>
      </c>
      <c r="J7247" s="0" t="s">
        <v>29</v>
      </c>
      <c r="K7247" s="0" t="s">
        <v>48</v>
      </c>
      <c r="L7247" s="0" t="s">
        <v>49</v>
      </c>
      <c r="M7247" s="0" t="s">
        <v>173</v>
      </c>
      <c r="N7247" s="0" t="n">
        <v>1374</v>
      </c>
      <c r="O7247" s="10" t="n">
        <v>0.225741555215791</v>
      </c>
      <c r="P7247" s="10" t="n">
        <v>0.955300528323278</v>
      </c>
      <c r="Q7247" s="0" t="str">
        <f aca="false">SUBSTITUTE(SUBSTITUTE($I7247,CHAR(61),""),CHAR(34),"")</f>
        <v>&lt;01</v>
      </c>
      <c r="R7247" s="0" t="str">
        <f aca="false">IF($D7247&lt;&gt;"","["&amp;$E7247&amp;"]"&amp;"|"&amp;$Q7247&amp;"|"&amp;$K7247&amp;"|"&amp;$G7247&amp;"|"&amp;IF($G7247="TX_CURR_SUBNAT.R","CY2022Q4",$M7247),"")</f>
        <v>[fiRkU6gEjLz]|&lt;01|Male|PLHIV_Attend.T2|CY2025Q3</v>
      </c>
    </row>
    <row r="7248" customFormat="false" ht="15" hidden="false" customHeight="false" outlineLevel="0" collapsed="false">
      <c r="D7248" s="0" t="s">
        <v>135</v>
      </c>
      <c r="E7248" s="0" t="s">
        <v>136</v>
      </c>
      <c r="F7248" s="0" t="s">
        <v>137</v>
      </c>
      <c r="G7248" s="0" t="s">
        <v>174</v>
      </c>
      <c r="H7248" s="0" t="s">
        <v>174</v>
      </c>
      <c r="I7248" s="0" t="s">
        <v>33</v>
      </c>
      <c r="J7248" s="0" t="s">
        <v>34</v>
      </c>
      <c r="K7248" s="0" t="s">
        <v>48</v>
      </c>
      <c r="L7248" s="0" t="s">
        <v>49</v>
      </c>
      <c r="M7248" s="0" t="s">
        <v>173</v>
      </c>
      <c r="N7248" s="0" t="n">
        <v>765</v>
      </c>
      <c r="O7248" s="10" t="n">
        <v>0.948869330342859</v>
      </c>
      <c r="P7248" s="10" t="n">
        <v>0.955300528323278</v>
      </c>
      <c r="Q7248" s="0" t="str">
        <f aca="false">SUBSTITUTE(SUBSTITUTE($I7248,CHAR(61),""),CHAR(34),"")</f>
        <v>01-09</v>
      </c>
      <c r="R7248" s="0" t="str">
        <f aca="false">IF($D7248&lt;&gt;"","["&amp;$E7248&amp;"]"&amp;"|"&amp;$Q7248&amp;"|"&amp;$K7248&amp;"|"&amp;$G7248&amp;"|"&amp;IF($G7248="TX_CURR_SUBNAT.R","CY2022Q4",$M7248),"")</f>
        <v>[fiRkU6gEjLz]|01-09|Male|PLHIV_Attend.T2|CY2025Q3</v>
      </c>
    </row>
    <row r="7249" customFormat="false" ht="15" hidden="false" customHeight="false" outlineLevel="0" collapsed="false">
      <c r="D7249" s="0" t="s">
        <v>135</v>
      </c>
      <c r="E7249" s="0" t="s">
        <v>136</v>
      </c>
      <c r="F7249" s="0" t="s">
        <v>137</v>
      </c>
      <c r="G7249" s="0" t="s">
        <v>174</v>
      </c>
      <c r="H7249" s="0" t="s">
        <v>174</v>
      </c>
      <c r="I7249" s="0" t="s">
        <v>36</v>
      </c>
      <c r="J7249" s="0" t="s">
        <v>37</v>
      </c>
      <c r="K7249" s="0" t="s">
        <v>48</v>
      </c>
      <c r="L7249" s="0" t="s">
        <v>49</v>
      </c>
      <c r="M7249" s="0" t="s">
        <v>173</v>
      </c>
      <c r="N7249" s="0" t="n">
        <v>1267</v>
      </c>
      <c r="O7249" s="10" t="n">
        <v>0.328728452324867</v>
      </c>
      <c r="P7249" s="10" t="n">
        <v>0.955300528323278</v>
      </c>
      <c r="Q7249" s="0" t="str">
        <f aca="false">SUBSTITUTE(SUBSTITUTE($I7249,CHAR(61),""),CHAR(34),"")</f>
        <v>10-14</v>
      </c>
      <c r="R7249" s="0" t="str">
        <f aca="false">IF($D7249&lt;&gt;"","["&amp;$E7249&amp;"]"&amp;"|"&amp;$Q7249&amp;"|"&amp;$K7249&amp;"|"&amp;$G7249&amp;"|"&amp;IF($G7249="TX_CURR_SUBNAT.R","CY2022Q4",$M7249),"")</f>
        <v>[fiRkU6gEjLz]|10-14|Male|PLHIV_Attend.T2|CY2025Q3</v>
      </c>
    </row>
    <row r="7250" customFormat="false" ht="15" hidden="false" customHeight="false" outlineLevel="0" collapsed="false">
      <c r="D7250" s="0" t="s">
        <v>135</v>
      </c>
      <c r="E7250" s="0" t="s">
        <v>136</v>
      </c>
      <c r="F7250" s="0" t="s">
        <v>137</v>
      </c>
      <c r="G7250" s="0" t="s">
        <v>174</v>
      </c>
      <c r="H7250" s="0" t="s">
        <v>174</v>
      </c>
      <c r="I7250" s="0" t="s">
        <v>38</v>
      </c>
      <c r="J7250" s="0" t="s">
        <v>39</v>
      </c>
      <c r="K7250" s="0" t="s">
        <v>48</v>
      </c>
      <c r="L7250" s="0" t="s">
        <v>49</v>
      </c>
      <c r="M7250" s="0" t="s">
        <v>173</v>
      </c>
      <c r="N7250" s="0" t="n">
        <v>1482</v>
      </c>
      <c r="O7250" s="10" t="n">
        <v>0.344938626978546</v>
      </c>
      <c r="P7250" s="10" t="n">
        <v>0.955300528323278</v>
      </c>
      <c r="Q7250" s="0" t="str">
        <f aca="false">SUBSTITUTE(SUBSTITUTE($I7250,CHAR(61),""),CHAR(34),"")</f>
        <v>15-24</v>
      </c>
      <c r="R7250" s="0" t="str">
        <f aca="false">IF($D7250&lt;&gt;"","["&amp;$E7250&amp;"]"&amp;"|"&amp;$Q7250&amp;"|"&amp;$K7250&amp;"|"&amp;$G7250&amp;"|"&amp;IF($G7250="TX_CURR_SUBNAT.R","CY2022Q4",$M7250),"")</f>
        <v>[fiRkU6gEjLz]|15-24|Male|PLHIV_Attend.T2|CY2025Q3</v>
      </c>
    </row>
    <row r="7251" customFormat="false" ht="15" hidden="false" customHeight="false" outlineLevel="0" collapsed="false">
      <c r="D7251" s="0" t="s">
        <v>135</v>
      </c>
      <c r="E7251" s="0" t="s">
        <v>136</v>
      </c>
      <c r="F7251" s="0" t="s">
        <v>137</v>
      </c>
      <c r="G7251" s="0" t="s">
        <v>174</v>
      </c>
      <c r="H7251" s="0" t="s">
        <v>174</v>
      </c>
      <c r="I7251" s="0" t="s">
        <v>41</v>
      </c>
      <c r="J7251" s="0" t="s">
        <v>42</v>
      </c>
      <c r="K7251" s="0" t="s">
        <v>48</v>
      </c>
      <c r="L7251" s="0" t="s">
        <v>49</v>
      </c>
      <c r="M7251" s="0" t="s">
        <v>173</v>
      </c>
      <c r="N7251" s="0" t="n">
        <v>1990</v>
      </c>
      <c r="O7251" s="10" t="n">
        <v>0.988857791759074</v>
      </c>
      <c r="P7251" s="10" t="n">
        <v>0.955300528323278</v>
      </c>
      <c r="Q7251" s="0" t="str">
        <f aca="false">SUBSTITUTE(SUBSTITUTE($I7251,CHAR(61),""),CHAR(34),"")</f>
        <v>25-34</v>
      </c>
      <c r="R7251" s="0" t="str">
        <f aca="false">IF($D7251&lt;&gt;"","["&amp;$E7251&amp;"]"&amp;"|"&amp;$Q7251&amp;"|"&amp;$K7251&amp;"|"&amp;$G7251&amp;"|"&amp;IF($G7251="TX_CURR_SUBNAT.R","CY2022Q4",$M7251),"")</f>
        <v>[fiRkU6gEjLz]|25-34|Male|PLHIV_Attend.T2|CY2025Q3</v>
      </c>
    </row>
    <row r="7252" customFormat="false" ht="15" hidden="false" customHeight="false" outlineLevel="0" collapsed="false">
      <c r="D7252" s="0" t="s">
        <v>135</v>
      </c>
      <c r="E7252" s="0" t="s">
        <v>136</v>
      </c>
      <c r="F7252" s="0" t="s">
        <v>137</v>
      </c>
      <c r="G7252" s="0" t="s">
        <v>174</v>
      </c>
      <c r="H7252" s="0" t="s">
        <v>174</v>
      </c>
      <c r="I7252" s="0" t="s">
        <v>43</v>
      </c>
      <c r="J7252" s="0" t="s">
        <v>44</v>
      </c>
      <c r="K7252" s="0" t="s">
        <v>48</v>
      </c>
      <c r="L7252" s="0" t="s">
        <v>49</v>
      </c>
      <c r="M7252" s="0" t="s">
        <v>173</v>
      </c>
      <c r="N7252" s="0" t="n">
        <v>565</v>
      </c>
      <c r="O7252" s="10" t="n">
        <v>0.556915780995041</v>
      </c>
      <c r="P7252" s="10" t="n">
        <v>0.955300528323278</v>
      </c>
      <c r="Q7252" s="0" t="str">
        <f aca="false">SUBSTITUTE(SUBSTITUTE($I7252,CHAR(61),""),CHAR(34),"")</f>
        <v>35-49</v>
      </c>
      <c r="R7252" s="0" t="str">
        <f aca="false">IF($D7252&lt;&gt;"","["&amp;$E7252&amp;"]"&amp;"|"&amp;$Q7252&amp;"|"&amp;$K7252&amp;"|"&amp;$G7252&amp;"|"&amp;IF($G7252="TX_CURR_SUBNAT.R","CY2022Q4",$M7252),"")</f>
        <v>[fiRkU6gEjLz]|35-49|Male|PLHIV_Attend.T2|CY2025Q3</v>
      </c>
    </row>
    <row r="7253" customFormat="false" ht="15" hidden="false" customHeight="false" outlineLevel="0" collapsed="false">
      <c r="D7253" s="0" t="s">
        <v>135</v>
      </c>
      <c r="E7253" s="0" t="s">
        <v>136</v>
      </c>
      <c r="F7253" s="0" t="s">
        <v>137</v>
      </c>
      <c r="G7253" s="0" t="s">
        <v>174</v>
      </c>
      <c r="H7253" s="0" t="s">
        <v>174</v>
      </c>
      <c r="I7253" s="0" t="s">
        <v>45</v>
      </c>
      <c r="J7253" s="0" t="s">
        <v>46</v>
      </c>
      <c r="K7253" s="0" t="s">
        <v>48</v>
      </c>
      <c r="L7253" s="0" t="s">
        <v>49</v>
      </c>
      <c r="M7253" s="0" t="s">
        <v>173</v>
      </c>
      <c r="N7253" s="0" t="n">
        <v>607</v>
      </c>
      <c r="O7253" s="10" t="n">
        <v>0.41144619253464</v>
      </c>
      <c r="P7253" s="10" t="n">
        <v>0.955300528323278</v>
      </c>
      <c r="Q7253" s="0" t="str">
        <f aca="false">SUBSTITUTE(SUBSTITUTE($I7253,CHAR(61),""),CHAR(34),"")</f>
        <v>50+</v>
      </c>
      <c r="R7253" s="0" t="str">
        <f aca="false">IF($D7253&lt;&gt;"","["&amp;$E7253&amp;"]"&amp;"|"&amp;$Q7253&amp;"|"&amp;$K7253&amp;"|"&amp;$G7253&amp;"|"&amp;IF($G7253="TX_CURR_SUBNAT.R","CY2022Q4",$M7253),"")</f>
        <v>[fiRkU6gEjLz]|50+|Male|PLHIV_Attend.T2|CY2025Q3</v>
      </c>
    </row>
    <row r="7254" customFormat="false" ht="15" hidden="false" customHeight="false" outlineLevel="0" collapsed="false">
      <c r="D7254" s="0" t="s">
        <v>23</v>
      </c>
      <c r="E7254" s="0" t="s">
        <v>24</v>
      </c>
      <c r="F7254" s="0" t="s">
        <v>25</v>
      </c>
      <c r="G7254" s="0" t="s">
        <v>175</v>
      </c>
      <c r="H7254" s="0" t="s">
        <v>175</v>
      </c>
      <c r="I7254" s="0" t="s">
        <v>28</v>
      </c>
      <c r="J7254" s="0" t="s">
        <v>29</v>
      </c>
      <c r="K7254" s="0" t="s">
        <v>30</v>
      </c>
      <c r="L7254" s="0" t="s">
        <v>31</v>
      </c>
      <c r="M7254" s="0" t="s">
        <v>173</v>
      </c>
      <c r="N7254" s="0" t="n">
        <v>735</v>
      </c>
      <c r="O7254" s="10" t="n">
        <v>0.797755242092535</v>
      </c>
      <c r="P7254" s="10" t="n">
        <v>0.404358610976487</v>
      </c>
      <c r="Q7254" s="0" t="str">
        <f aca="false">SUBSTITUTE(SUBSTITUTE($I7254,CHAR(61),""),CHAR(34),"")</f>
        <v>&lt;01</v>
      </c>
      <c r="R7254" s="0" t="str">
        <f aca="false">IF($D7254&lt;&gt;"","["&amp;$E7254&amp;"]"&amp;"|"&amp;$Q7254&amp;"|"&amp;$K7254&amp;"|"&amp;$G7254&amp;"|"&amp;IF($G7254="TX_CURR_SUBNAT.R","CY2022Q4",$M7254),"")</f>
        <v>[GkIwZrXy1h2]|&lt;01|Female|NEW_INFECTIONS_SUBNAT.T2|CY2025Q3</v>
      </c>
    </row>
    <row r="7255" customFormat="false" ht="15" hidden="false" customHeight="false" outlineLevel="0" collapsed="false">
      <c r="D7255" s="0" t="s">
        <v>23</v>
      </c>
      <c r="E7255" s="0" t="s">
        <v>24</v>
      </c>
      <c r="F7255" s="0" t="s">
        <v>25</v>
      </c>
      <c r="G7255" s="0" t="s">
        <v>175</v>
      </c>
      <c r="H7255" s="0" t="s">
        <v>175</v>
      </c>
      <c r="I7255" s="0" t="s">
        <v>33</v>
      </c>
      <c r="J7255" s="0" t="s">
        <v>34</v>
      </c>
      <c r="K7255" s="0" t="s">
        <v>30</v>
      </c>
      <c r="L7255" s="0" t="s">
        <v>31</v>
      </c>
      <c r="M7255" s="0" t="s">
        <v>173</v>
      </c>
      <c r="N7255" s="0" t="n">
        <v>1107</v>
      </c>
      <c r="O7255" s="10" t="n">
        <v>0.433806044282392</v>
      </c>
      <c r="P7255" s="10" t="n">
        <v>0.404358610976487</v>
      </c>
      <c r="Q7255" s="0" t="str">
        <f aca="false">SUBSTITUTE(SUBSTITUTE($I7255,CHAR(61),""),CHAR(34),"")</f>
        <v>01-09</v>
      </c>
      <c r="R7255" s="0" t="str">
        <f aca="false">IF($D7255&lt;&gt;"","["&amp;$E7255&amp;"]"&amp;"|"&amp;$Q7255&amp;"|"&amp;$K7255&amp;"|"&amp;$G7255&amp;"|"&amp;IF($G7255="TX_CURR_SUBNAT.R","CY2022Q4",$M7255),"")</f>
        <v>[GkIwZrXy1h2]|01-09|Female|NEW_INFECTIONS_SUBNAT.T2|CY2025Q3</v>
      </c>
    </row>
    <row r="7256" customFormat="false" ht="15" hidden="false" customHeight="false" outlineLevel="0" collapsed="false">
      <c r="D7256" s="0" t="s">
        <v>23</v>
      </c>
      <c r="E7256" s="0" t="s">
        <v>24</v>
      </c>
      <c r="F7256" s="0" t="s">
        <v>25</v>
      </c>
      <c r="G7256" s="0" t="s">
        <v>175</v>
      </c>
      <c r="H7256" s="0" t="s">
        <v>175</v>
      </c>
      <c r="I7256" s="0" t="s">
        <v>36</v>
      </c>
      <c r="J7256" s="0" t="s">
        <v>37</v>
      </c>
      <c r="K7256" s="0" t="s">
        <v>30</v>
      </c>
      <c r="L7256" s="0" t="s">
        <v>31</v>
      </c>
      <c r="M7256" s="0" t="s">
        <v>173</v>
      </c>
      <c r="N7256" s="0" t="n">
        <v>1359</v>
      </c>
      <c r="O7256" s="10" t="n">
        <v>0.713763208361343</v>
      </c>
      <c r="P7256" s="10" t="n">
        <v>0.404358610976487</v>
      </c>
      <c r="Q7256" s="0" t="str">
        <f aca="false">SUBSTITUTE(SUBSTITUTE($I7256,CHAR(61),""),CHAR(34),"")</f>
        <v>10-14</v>
      </c>
      <c r="R7256" s="0" t="str">
        <f aca="false">IF($D7256&lt;&gt;"","["&amp;$E7256&amp;"]"&amp;"|"&amp;$Q7256&amp;"|"&amp;$K7256&amp;"|"&amp;$G7256&amp;"|"&amp;IF($G7256="TX_CURR_SUBNAT.R","CY2022Q4",$M7256),"")</f>
        <v>[GkIwZrXy1h2]|10-14|Female|NEW_INFECTIONS_SUBNAT.T2|CY2025Q3</v>
      </c>
    </row>
    <row r="7257" customFormat="false" ht="15" hidden="false" customHeight="false" outlineLevel="0" collapsed="false">
      <c r="D7257" s="0" t="s">
        <v>23</v>
      </c>
      <c r="E7257" s="0" t="s">
        <v>24</v>
      </c>
      <c r="F7257" s="0" t="s">
        <v>25</v>
      </c>
      <c r="G7257" s="0" t="s">
        <v>175</v>
      </c>
      <c r="H7257" s="0" t="s">
        <v>175</v>
      </c>
      <c r="I7257" s="0" t="s">
        <v>38</v>
      </c>
      <c r="J7257" s="0" t="s">
        <v>39</v>
      </c>
      <c r="K7257" s="0" t="s">
        <v>30</v>
      </c>
      <c r="L7257" s="0" t="s">
        <v>31</v>
      </c>
      <c r="M7257" s="0" t="s">
        <v>173</v>
      </c>
      <c r="N7257" s="0" t="n">
        <v>501</v>
      </c>
      <c r="O7257" s="10" t="n">
        <v>0.0313509437255561</v>
      </c>
      <c r="P7257" s="10" t="n">
        <v>0.404358610976487</v>
      </c>
      <c r="Q7257" s="0" t="str">
        <f aca="false">SUBSTITUTE(SUBSTITUTE($I7257,CHAR(61),""),CHAR(34),"")</f>
        <v>15-24</v>
      </c>
      <c r="R7257" s="0" t="str">
        <f aca="false">IF($D7257&lt;&gt;"","["&amp;$E7257&amp;"]"&amp;"|"&amp;$Q7257&amp;"|"&amp;$K7257&amp;"|"&amp;$G7257&amp;"|"&amp;IF($G7257="TX_CURR_SUBNAT.R","CY2022Q4",$M7257),"")</f>
        <v>[GkIwZrXy1h2]|15-24|Female|NEW_INFECTIONS_SUBNAT.T2|CY2025Q3</v>
      </c>
    </row>
    <row r="7258" customFormat="false" ht="15" hidden="false" customHeight="false" outlineLevel="0" collapsed="false">
      <c r="D7258" s="0" t="s">
        <v>23</v>
      </c>
      <c r="E7258" s="0" t="s">
        <v>24</v>
      </c>
      <c r="F7258" s="0" t="s">
        <v>25</v>
      </c>
      <c r="G7258" s="0" t="s">
        <v>175</v>
      </c>
      <c r="H7258" s="0" t="s">
        <v>175</v>
      </c>
      <c r="I7258" s="0" t="s">
        <v>41</v>
      </c>
      <c r="J7258" s="0" t="s">
        <v>42</v>
      </c>
      <c r="K7258" s="0" t="s">
        <v>30</v>
      </c>
      <c r="L7258" s="0" t="s">
        <v>31</v>
      </c>
      <c r="M7258" s="0" t="s">
        <v>173</v>
      </c>
      <c r="N7258" s="0" t="n">
        <v>1416</v>
      </c>
      <c r="O7258" s="10" t="n">
        <v>0.88942235452123</v>
      </c>
      <c r="P7258" s="10" t="n">
        <v>0.404358610976487</v>
      </c>
      <c r="Q7258" s="0" t="str">
        <f aca="false">SUBSTITUTE(SUBSTITUTE($I7258,CHAR(61),""),CHAR(34),"")</f>
        <v>25-34</v>
      </c>
      <c r="R7258" s="0" t="str">
        <f aca="false">IF($D7258&lt;&gt;"","["&amp;$E7258&amp;"]"&amp;"|"&amp;$Q7258&amp;"|"&amp;$K7258&amp;"|"&amp;$G7258&amp;"|"&amp;IF($G7258="TX_CURR_SUBNAT.R","CY2022Q4",$M7258),"")</f>
        <v>[GkIwZrXy1h2]|25-34|Female|NEW_INFECTIONS_SUBNAT.T2|CY2025Q3</v>
      </c>
    </row>
    <row r="7259" customFormat="false" ht="15" hidden="false" customHeight="false" outlineLevel="0" collapsed="false">
      <c r="D7259" s="0" t="s">
        <v>23</v>
      </c>
      <c r="E7259" s="0" t="s">
        <v>24</v>
      </c>
      <c r="F7259" s="0" t="s">
        <v>25</v>
      </c>
      <c r="G7259" s="0" t="s">
        <v>175</v>
      </c>
      <c r="H7259" s="0" t="s">
        <v>175</v>
      </c>
      <c r="I7259" s="0" t="s">
        <v>43</v>
      </c>
      <c r="J7259" s="0" t="s">
        <v>44</v>
      </c>
      <c r="K7259" s="0" t="s">
        <v>30</v>
      </c>
      <c r="L7259" s="0" t="s">
        <v>31</v>
      </c>
      <c r="M7259" s="0" t="s">
        <v>173</v>
      </c>
      <c r="N7259" s="0" t="n">
        <v>889</v>
      </c>
      <c r="O7259" s="10" t="n">
        <v>0.698296503629535</v>
      </c>
      <c r="P7259" s="10" t="n">
        <v>0.404358610976487</v>
      </c>
      <c r="Q7259" s="0" t="str">
        <f aca="false">SUBSTITUTE(SUBSTITUTE($I7259,CHAR(61),""),CHAR(34),"")</f>
        <v>35-49</v>
      </c>
      <c r="R7259" s="0" t="str">
        <f aca="false">IF($D7259&lt;&gt;"","["&amp;$E7259&amp;"]"&amp;"|"&amp;$Q7259&amp;"|"&amp;$K7259&amp;"|"&amp;$G7259&amp;"|"&amp;IF($G7259="TX_CURR_SUBNAT.R","CY2022Q4",$M7259),"")</f>
        <v>[GkIwZrXy1h2]|35-49|Female|NEW_INFECTIONS_SUBNAT.T2|CY2025Q3</v>
      </c>
    </row>
    <row r="7260" customFormat="false" ht="15" hidden="false" customHeight="false" outlineLevel="0" collapsed="false">
      <c r="D7260" s="0" t="s">
        <v>23</v>
      </c>
      <c r="E7260" s="0" t="s">
        <v>24</v>
      </c>
      <c r="F7260" s="0" t="s">
        <v>25</v>
      </c>
      <c r="G7260" s="0" t="s">
        <v>175</v>
      </c>
      <c r="H7260" s="0" t="s">
        <v>175</v>
      </c>
      <c r="I7260" s="0" t="s">
        <v>45</v>
      </c>
      <c r="J7260" s="0" t="s">
        <v>46</v>
      </c>
      <c r="K7260" s="0" t="s">
        <v>30</v>
      </c>
      <c r="L7260" s="0" t="s">
        <v>31</v>
      </c>
      <c r="M7260" s="0" t="s">
        <v>173</v>
      </c>
      <c r="N7260" s="0" t="n">
        <v>936</v>
      </c>
      <c r="O7260" s="10" t="n">
        <v>0.744500746252015</v>
      </c>
      <c r="P7260" s="10" t="n">
        <v>0.404358610976487</v>
      </c>
      <c r="Q7260" s="0" t="str">
        <f aca="false">SUBSTITUTE(SUBSTITUTE($I7260,CHAR(61),""),CHAR(34),"")</f>
        <v>50+</v>
      </c>
      <c r="R7260" s="0" t="str">
        <f aca="false">IF($D7260&lt;&gt;"","["&amp;$E7260&amp;"]"&amp;"|"&amp;$Q7260&amp;"|"&amp;$K7260&amp;"|"&amp;$G7260&amp;"|"&amp;IF($G7260="TX_CURR_SUBNAT.R","CY2022Q4",$M7260),"")</f>
        <v>[GkIwZrXy1h2]|50+|Female|NEW_INFECTIONS_SUBNAT.T2|CY2025Q3</v>
      </c>
    </row>
    <row r="7261" customFormat="false" ht="15" hidden="false" customHeight="false" outlineLevel="0" collapsed="false">
      <c r="D7261" s="0" t="s">
        <v>23</v>
      </c>
      <c r="E7261" s="0" t="s">
        <v>24</v>
      </c>
      <c r="F7261" s="0" t="s">
        <v>25</v>
      </c>
      <c r="G7261" s="0" t="s">
        <v>175</v>
      </c>
      <c r="H7261" s="0" t="s">
        <v>175</v>
      </c>
      <c r="I7261" s="0" t="s">
        <v>28</v>
      </c>
      <c r="J7261" s="0" t="s">
        <v>29</v>
      </c>
      <c r="K7261" s="0" t="s">
        <v>48</v>
      </c>
      <c r="L7261" s="0" t="s">
        <v>49</v>
      </c>
      <c r="M7261" s="0" t="s">
        <v>173</v>
      </c>
      <c r="N7261" s="0" t="n">
        <v>1040</v>
      </c>
      <c r="O7261" s="10" t="n">
        <v>0.192475544521585</v>
      </c>
      <c r="P7261" s="10" t="n">
        <v>0.404358610976487</v>
      </c>
      <c r="Q7261" s="0" t="str">
        <f aca="false">SUBSTITUTE(SUBSTITUTE($I7261,CHAR(61),""),CHAR(34),"")</f>
        <v>&lt;01</v>
      </c>
      <c r="R7261" s="0" t="str">
        <f aca="false">IF($D7261&lt;&gt;"","["&amp;$E7261&amp;"]"&amp;"|"&amp;$Q7261&amp;"|"&amp;$K7261&amp;"|"&amp;$G7261&amp;"|"&amp;IF($G7261="TX_CURR_SUBNAT.R","CY2022Q4",$M7261),"")</f>
        <v>[GkIwZrXy1h2]|&lt;01|Male|NEW_INFECTIONS_SUBNAT.T2|CY2025Q3</v>
      </c>
    </row>
    <row r="7262" customFormat="false" ht="15" hidden="false" customHeight="false" outlineLevel="0" collapsed="false">
      <c r="D7262" s="0" t="s">
        <v>23</v>
      </c>
      <c r="E7262" s="0" t="s">
        <v>24</v>
      </c>
      <c r="F7262" s="0" t="s">
        <v>25</v>
      </c>
      <c r="G7262" s="0" t="s">
        <v>175</v>
      </c>
      <c r="H7262" s="0" t="s">
        <v>175</v>
      </c>
      <c r="I7262" s="0" t="s">
        <v>33</v>
      </c>
      <c r="J7262" s="0" t="s">
        <v>34</v>
      </c>
      <c r="K7262" s="0" t="s">
        <v>48</v>
      </c>
      <c r="L7262" s="0" t="s">
        <v>49</v>
      </c>
      <c r="M7262" s="0" t="s">
        <v>173</v>
      </c>
      <c r="N7262" s="0" t="n">
        <v>879</v>
      </c>
      <c r="O7262" s="10" t="n">
        <v>0.779818132752553</v>
      </c>
      <c r="P7262" s="10" t="n">
        <v>0.404358610976487</v>
      </c>
      <c r="Q7262" s="0" t="str">
        <f aca="false">SUBSTITUTE(SUBSTITUTE($I7262,CHAR(61),""),CHAR(34),"")</f>
        <v>01-09</v>
      </c>
      <c r="R7262" s="0" t="str">
        <f aca="false">IF($D7262&lt;&gt;"","["&amp;$E7262&amp;"]"&amp;"|"&amp;$Q7262&amp;"|"&amp;$K7262&amp;"|"&amp;$G7262&amp;"|"&amp;IF($G7262="TX_CURR_SUBNAT.R","CY2022Q4",$M7262),"")</f>
        <v>[GkIwZrXy1h2]|01-09|Male|NEW_INFECTIONS_SUBNAT.T2|CY2025Q3</v>
      </c>
    </row>
    <row r="7263" customFormat="false" ht="15" hidden="false" customHeight="false" outlineLevel="0" collapsed="false">
      <c r="D7263" s="0" t="s">
        <v>23</v>
      </c>
      <c r="E7263" s="0" t="s">
        <v>24</v>
      </c>
      <c r="F7263" s="0" t="s">
        <v>25</v>
      </c>
      <c r="G7263" s="0" t="s">
        <v>175</v>
      </c>
      <c r="H7263" s="0" t="s">
        <v>175</v>
      </c>
      <c r="I7263" s="0" t="s">
        <v>36</v>
      </c>
      <c r="J7263" s="0" t="s">
        <v>37</v>
      </c>
      <c r="K7263" s="0" t="s">
        <v>48</v>
      </c>
      <c r="L7263" s="0" t="s">
        <v>49</v>
      </c>
      <c r="M7263" s="0" t="s">
        <v>173</v>
      </c>
      <c r="N7263" s="0" t="n">
        <v>617</v>
      </c>
      <c r="O7263" s="10" t="n">
        <v>0.752345717977732</v>
      </c>
      <c r="P7263" s="10" t="n">
        <v>0.404358610976487</v>
      </c>
      <c r="Q7263" s="0" t="str">
        <f aca="false">SUBSTITUTE(SUBSTITUTE($I7263,CHAR(61),""),CHAR(34),"")</f>
        <v>10-14</v>
      </c>
      <c r="R7263" s="0" t="str">
        <f aca="false">IF($D7263&lt;&gt;"","["&amp;$E7263&amp;"]"&amp;"|"&amp;$Q7263&amp;"|"&amp;$K7263&amp;"|"&amp;$G7263&amp;"|"&amp;IF($G7263="TX_CURR_SUBNAT.R","CY2022Q4",$M7263),"")</f>
        <v>[GkIwZrXy1h2]|10-14|Male|NEW_INFECTIONS_SUBNAT.T2|CY2025Q3</v>
      </c>
    </row>
    <row r="7264" customFormat="false" ht="15" hidden="false" customHeight="false" outlineLevel="0" collapsed="false">
      <c r="D7264" s="0" t="s">
        <v>23</v>
      </c>
      <c r="E7264" s="0" t="s">
        <v>24</v>
      </c>
      <c r="F7264" s="0" t="s">
        <v>25</v>
      </c>
      <c r="G7264" s="0" t="s">
        <v>175</v>
      </c>
      <c r="H7264" s="0" t="s">
        <v>175</v>
      </c>
      <c r="I7264" s="0" t="s">
        <v>38</v>
      </c>
      <c r="J7264" s="0" t="s">
        <v>39</v>
      </c>
      <c r="K7264" s="0" t="s">
        <v>48</v>
      </c>
      <c r="L7264" s="0" t="s">
        <v>49</v>
      </c>
      <c r="M7264" s="0" t="s">
        <v>173</v>
      </c>
      <c r="N7264" s="0" t="n">
        <v>1624</v>
      </c>
      <c r="O7264" s="10" t="n">
        <v>0.113364004530013</v>
      </c>
      <c r="P7264" s="10" t="n">
        <v>0.404358610976487</v>
      </c>
      <c r="Q7264" s="0" t="str">
        <f aca="false">SUBSTITUTE(SUBSTITUTE($I7264,CHAR(61),""),CHAR(34),"")</f>
        <v>15-24</v>
      </c>
      <c r="R7264" s="0" t="str">
        <f aca="false">IF($D7264&lt;&gt;"","["&amp;$E7264&amp;"]"&amp;"|"&amp;$Q7264&amp;"|"&amp;$K7264&amp;"|"&amp;$G7264&amp;"|"&amp;IF($G7264="TX_CURR_SUBNAT.R","CY2022Q4",$M7264),"")</f>
        <v>[GkIwZrXy1h2]|15-24|Male|NEW_INFECTIONS_SUBNAT.T2|CY2025Q3</v>
      </c>
    </row>
    <row r="7265" customFormat="false" ht="15" hidden="false" customHeight="false" outlineLevel="0" collapsed="false">
      <c r="D7265" s="0" t="s">
        <v>23</v>
      </c>
      <c r="E7265" s="0" t="s">
        <v>24</v>
      </c>
      <c r="F7265" s="0" t="s">
        <v>25</v>
      </c>
      <c r="G7265" s="0" t="s">
        <v>175</v>
      </c>
      <c r="H7265" s="0" t="s">
        <v>175</v>
      </c>
      <c r="I7265" s="0" t="s">
        <v>41</v>
      </c>
      <c r="J7265" s="0" t="s">
        <v>42</v>
      </c>
      <c r="K7265" s="0" t="s">
        <v>48</v>
      </c>
      <c r="L7265" s="0" t="s">
        <v>49</v>
      </c>
      <c r="M7265" s="0" t="s">
        <v>173</v>
      </c>
      <c r="N7265" s="0" t="n">
        <v>1333</v>
      </c>
      <c r="O7265" s="10" t="n">
        <v>0.920160263078287</v>
      </c>
      <c r="P7265" s="10" t="n">
        <v>0.404358610976487</v>
      </c>
      <c r="Q7265" s="0" t="str">
        <f aca="false">SUBSTITUTE(SUBSTITUTE($I7265,CHAR(61),""),CHAR(34),"")</f>
        <v>25-34</v>
      </c>
      <c r="R7265" s="0" t="str">
        <f aca="false">IF($D7265&lt;&gt;"","["&amp;$E7265&amp;"]"&amp;"|"&amp;$Q7265&amp;"|"&amp;$K7265&amp;"|"&amp;$G7265&amp;"|"&amp;IF($G7265="TX_CURR_SUBNAT.R","CY2022Q4",$M7265),"")</f>
        <v>[GkIwZrXy1h2]|25-34|Male|NEW_INFECTIONS_SUBNAT.T2|CY2025Q3</v>
      </c>
    </row>
    <row r="7266" customFormat="false" ht="15" hidden="false" customHeight="false" outlineLevel="0" collapsed="false">
      <c r="D7266" s="0" t="s">
        <v>23</v>
      </c>
      <c r="E7266" s="0" t="s">
        <v>24</v>
      </c>
      <c r="F7266" s="0" t="s">
        <v>25</v>
      </c>
      <c r="G7266" s="0" t="s">
        <v>175</v>
      </c>
      <c r="H7266" s="0" t="s">
        <v>175</v>
      </c>
      <c r="I7266" s="0" t="s">
        <v>43</v>
      </c>
      <c r="J7266" s="0" t="s">
        <v>44</v>
      </c>
      <c r="K7266" s="0" t="s">
        <v>48</v>
      </c>
      <c r="L7266" s="0" t="s">
        <v>49</v>
      </c>
      <c r="M7266" s="0" t="s">
        <v>173</v>
      </c>
      <c r="N7266" s="0" t="n">
        <v>938</v>
      </c>
      <c r="O7266" s="10" t="n">
        <v>0.135540616000071</v>
      </c>
      <c r="P7266" s="10" t="n">
        <v>0.404358610976487</v>
      </c>
      <c r="Q7266" s="0" t="str">
        <f aca="false">SUBSTITUTE(SUBSTITUTE($I7266,CHAR(61),""),CHAR(34),"")</f>
        <v>35-49</v>
      </c>
      <c r="R7266" s="0" t="str">
        <f aca="false">IF($D7266&lt;&gt;"","["&amp;$E7266&amp;"]"&amp;"|"&amp;$Q7266&amp;"|"&amp;$K7266&amp;"|"&amp;$G7266&amp;"|"&amp;IF($G7266="TX_CURR_SUBNAT.R","CY2022Q4",$M7266),"")</f>
        <v>[GkIwZrXy1h2]|35-49|Male|NEW_INFECTIONS_SUBNAT.T2|CY2025Q3</v>
      </c>
    </row>
    <row r="7267" customFormat="false" ht="15" hidden="false" customHeight="false" outlineLevel="0" collapsed="false">
      <c r="D7267" s="0" t="s">
        <v>23</v>
      </c>
      <c r="E7267" s="0" t="s">
        <v>24</v>
      </c>
      <c r="F7267" s="0" t="s">
        <v>25</v>
      </c>
      <c r="G7267" s="0" t="s">
        <v>175</v>
      </c>
      <c r="H7267" s="0" t="s">
        <v>175</v>
      </c>
      <c r="I7267" s="0" t="s">
        <v>45</v>
      </c>
      <c r="J7267" s="0" t="s">
        <v>46</v>
      </c>
      <c r="K7267" s="0" t="s">
        <v>48</v>
      </c>
      <c r="L7267" s="0" t="s">
        <v>49</v>
      </c>
      <c r="M7267" s="0" t="s">
        <v>173</v>
      </c>
      <c r="N7267" s="0" t="n">
        <v>1911</v>
      </c>
      <c r="O7267" s="10" t="n">
        <v>0.528429960366338</v>
      </c>
      <c r="P7267" s="10" t="n">
        <v>0.404358610976487</v>
      </c>
      <c r="Q7267" s="0" t="str">
        <f aca="false">SUBSTITUTE(SUBSTITUTE($I7267,CHAR(61),""),CHAR(34),"")</f>
        <v>50+</v>
      </c>
      <c r="R7267" s="0" t="str">
        <f aca="false">IF($D7267&lt;&gt;"","["&amp;$E7267&amp;"]"&amp;"|"&amp;$Q7267&amp;"|"&amp;$K7267&amp;"|"&amp;$G7267&amp;"|"&amp;IF($G7267="TX_CURR_SUBNAT.R","CY2022Q4",$M7267),"")</f>
        <v>[GkIwZrXy1h2]|50+|Male|NEW_INFECTIONS_SUBNAT.T2|CY2025Q3</v>
      </c>
    </row>
    <row r="7268" customFormat="false" ht="15" hidden="false" customHeight="false" outlineLevel="0" collapsed="false">
      <c r="D7268" s="0" t="s">
        <v>53</v>
      </c>
      <c r="E7268" s="0" t="s">
        <v>54</v>
      </c>
      <c r="F7268" s="0" t="s">
        <v>55</v>
      </c>
      <c r="G7268" s="0" t="s">
        <v>175</v>
      </c>
      <c r="H7268" s="0" t="s">
        <v>175</v>
      </c>
      <c r="I7268" s="0" t="s">
        <v>28</v>
      </c>
      <c r="J7268" s="0" t="s">
        <v>29</v>
      </c>
      <c r="K7268" s="0" t="s">
        <v>30</v>
      </c>
      <c r="L7268" s="0" t="s">
        <v>31</v>
      </c>
      <c r="M7268" s="0" t="s">
        <v>173</v>
      </c>
      <c r="N7268" s="0" t="n">
        <v>1700</v>
      </c>
      <c r="O7268" s="10" t="n">
        <v>0.420548905618489</v>
      </c>
      <c r="P7268" s="10" t="n">
        <v>0.616392469964921</v>
      </c>
      <c r="Q7268" s="0" t="str">
        <f aca="false">SUBSTITUTE(SUBSTITUTE($I7268,CHAR(61),""),CHAR(34),"")</f>
        <v>&lt;01</v>
      </c>
      <c r="R7268" s="0" t="str">
        <f aca="false">IF($D7268&lt;&gt;"","["&amp;$E7268&amp;"]"&amp;"|"&amp;$Q7268&amp;"|"&amp;$K7268&amp;"|"&amp;$G7268&amp;"|"&amp;IF($G7268="TX_CURR_SUBNAT.R","CY2022Q4",$M7268),"")</f>
        <v>[zphK9WV8JB4]|&lt;01|Female|NEW_INFECTIONS_SUBNAT.T2|CY2025Q3</v>
      </c>
    </row>
    <row r="7269" customFormat="false" ht="15" hidden="false" customHeight="false" outlineLevel="0" collapsed="false">
      <c r="D7269" s="0" t="s">
        <v>53</v>
      </c>
      <c r="E7269" s="0" t="s">
        <v>54</v>
      </c>
      <c r="F7269" s="0" t="s">
        <v>55</v>
      </c>
      <c r="G7269" s="0" t="s">
        <v>175</v>
      </c>
      <c r="H7269" s="0" t="s">
        <v>175</v>
      </c>
      <c r="I7269" s="0" t="s">
        <v>33</v>
      </c>
      <c r="J7269" s="0" t="s">
        <v>34</v>
      </c>
      <c r="K7269" s="0" t="s">
        <v>30</v>
      </c>
      <c r="L7269" s="0" t="s">
        <v>31</v>
      </c>
      <c r="M7269" s="0" t="s">
        <v>173</v>
      </c>
      <c r="N7269" s="0" t="n">
        <v>609</v>
      </c>
      <c r="O7269" s="10" t="n">
        <v>0.571849573170766</v>
      </c>
      <c r="P7269" s="10" t="n">
        <v>0.616392469964921</v>
      </c>
      <c r="Q7269" s="0" t="str">
        <f aca="false">SUBSTITUTE(SUBSTITUTE($I7269,CHAR(61),""),CHAR(34),"")</f>
        <v>01-09</v>
      </c>
      <c r="R7269" s="0" t="str">
        <f aca="false">IF($D7269&lt;&gt;"","["&amp;$E7269&amp;"]"&amp;"|"&amp;$Q7269&amp;"|"&amp;$K7269&amp;"|"&amp;$G7269&amp;"|"&amp;IF($G7269="TX_CURR_SUBNAT.R","CY2022Q4",$M7269),"")</f>
        <v>[zphK9WV8JB4]|01-09|Female|NEW_INFECTIONS_SUBNAT.T2|CY2025Q3</v>
      </c>
    </row>
    <row r="7270" customFormat="false" ht="15" hidden="false" customHeight="false" outlineLevel="0" collapsed="false">
      <c r="D7270" s="0" t="s">
        <v>53</v>
      </c>
      <c r="E7270" s="0" t="s">
        <v>54</v>
      </c>
      <c r="F7270" s="0" t="s">
        <v>55</v>
      </c>
      <c r="G7270" s="0" t="s">
        <v>175</v>
      </c>
      <c r="H7270" s="0" t="s">
        <v>175</v>
      </c>
      <c r="I7270" s="0" t="s">
        <v>36</v>
      </c>
      <c r="J7270" s="0" t="s">
        <v>37</v>
      </c>
      <c r="K7270" s="0" t="s">
        <v>30</v>
      </c>
      <c r="L7270" s="0" t="s">
        <v>31</v>
      </c>
      <c r="M7270" s="0" t="s">
        <v>173</v>
      </c>
      <c r="N7270" s="0" t="n">
        <v>572</v>
      </c>
      <c r="O7270" s="10" t="n">
        <v>0.884209483396262</v>
      </c>
      <c r="P7270" s="10" t="n">
        <v>0.616392469964921</v>
      </c>
      <c r="Q7270" s="0" t="str">
        <f aca="false">SUBSTITUTE(SUBSTITUTE($I7270,CHAR(61),""),CHAR(34),"")</f>
        <v>10-14</v>
      </c>
      <c r="R7270" s="0" t="str">
        <f aca="false">IF($D7270&lt;&gt;"","["&amp;$E7270&amp;"]"&amp;"|"&amp;$Q7270&amp;"|"&amp;$K7270&amp;"|"&amp;$G7270&amp;"|"&amp;IF($G7270="TX_CURR_SUBNAT.R","CY2022Q4",$M7270),"")</f>
        <v>[zphK9WV8JB4]|10-14|Female|NEW_INFECTIONS_SUBNAT.T2|CY2025Q3</v>
      </c>
    </row>
    <row r="7271" customFormat="false" ht="15" hidden="false" customHeight="false" outlineLevel="0" collapsed="false">
      <c r="D7271" s="0" t="s">
        <v>53</v>
      </c>
      <c r="E7271" s="0" t="s">
        <v>54</v>
      </c>
      <c r="F7271" s="0" t="s">
        <v>55</v>
      </c>
      <c r="G7271" s="0" t="s">
        <v>175</v>
      </c>
      <c r="H7271" s="0" t="s">
        <v>175</v>
      </c>
      <c r="I7271" s="0" t="s">
        <v>38</v>
      </c>
      <c r="J7271" s="0" t="s">
        <v>39</v>
      </c>
      <c r="K7271" s="0" t="s">
        <v>30</v>
      </c>
      <c r="L7271" s="0" t="s">
        <v>31</v>
      </c>
      <c r="M7271" s="0" t="s">
        <v>173</v>
      </c>
      <c r="N7271" s="0" t="n">
        <v>1190</v>
      </c>
      <c r="O7271" s="10" t="n">
        <v>0.581349763320759</v>
      </c>
      <c r="P7271" s="10" t="n">
        <v>0.616392469964921</v>
      </c>
      <c r="Q7271" s="0" t="str">
        <f aca="false">SUBSTITUTE(SUBSTITUTE($I7271,CHAR(61),""),CHAR(34),"")</f>
        <v>15-24</v>
      </c>
      <c r="R7271" s="0" t="str">
        <f aca="false">IF($D7271&lt;&gt;"","["&amp;$E7271&amp;"]"&amp;"|"&amp;$Q7271&amp;"|"&amp;$K7271&amp;"|"&amp;$G7271&amp;"|"&amp;IF($G7271="TX_CURR_SUBNAT.R","CY2022Q4",$M7271),"")</f>
        <v>[zphK9WV8JB4]|15-24|Female|NEW_INFECTIONS_SUBNAT.T2|CY2025Q3</v>
      </c>
    </row>
    <row r="7272" customFormat="false" ht="15" hidden="false" customHeight="false" outlineLevel="0" collapsed="false">
      <c r="D7272" s="0" t="s">
        <v>53</v>
      </c>
      <c r="E7272" s="0" t="s">
        <v>54</v>
      </c>
      <c r="F7272" s="0" t="s">
        <v>55</v>
      </c>
      <c r="G7272" s="0" t="s">
        <v>175</v>
      </c>
      <c r="H7272" s="0" t="s">
        <v>175</v>
      </c>
      <c r="I7272" s="0" t="s">
        <v>41</v>
      </c>
      <c r="J7272" s="0" t="s">
        <v>42</v>
      </c>
      <c r="K7272" s="0" t="s">
        <v>30</v>
      </c>
      <c r="L7272" s="0" t="s">
        <v>31</v>
      </c>
      <c r="M7272" s="0" t="s">
        <v>173</v>
      </c>
      <c r="N7272" s="0" t="n">
        <v>1732</v>
      </c>
      <c r="O7272" s="10" t="n">
        <v>0.772169257514179</v>
      </c>
      <c r="P7272" s="10" t="n">
        <v>0.616392469964921</v>
      </c>
      <c r="Q7272" s="0" t="str">
        <f aca="false">SUBSTITUTE(SUBSTITUTE($I7272,CHAR(61),""),CHAR(34),"")</f>
        <v>25-34</v>
      </c>
      <c r="R7272" s="0" t="str">
        <f aca="false">IF($D7272&lt;&gt;"","["&amp;$E7272&amp;"]"&amp;"|"&amp;$Q7272&amp;"|"&amp;$K7272&amp;"|"&amp;$G7272&amp;"|"&amp;IF($G7272="TX_CURR_SUBNAT.R","CY2022Q4",$M7272),"")</f>
        <v>[zphK9WV8JB4]|25-34|Female|NEW_INFECTIONS_SUBNAT.T2|CY2025Q3</v>
      </c>
    </row>
    <row r="7273" customFormat="false" ht="15" hidden="false" customHeight="false" outlineLevel="0" collapsed="false">
      <c r="D7273" s="0" t="s">
        <v>53</v>
      </c>
      <c r="E7273" s="0" t="s">
        <v>54</v>
      </c>
      <c r="F7273" s="0" t="s">
        <v>55</v>
      </c>
      <c r="G7273" s="0" t="s">
        <v>175</v>
      </c>
      <c r="H7273" s="0" t="s">
        <v>175</v>
      </c>
      <c r="I7273" s="0" t="s">
        <v>43</v>
      </c>
      <c r="J7273" s="0" t="s">
        <v>44</v>
      </c>
      <c r="K7273" s="0" t="s">
        <v>30</v>
      </c>
      <c r="L7273" s="0" t="s">
        <v>31</v>
      </c>
      <c r="M7273" s="0" t="s">
        <v>173</v>
      </c>
      <c r="N7273" s="0" t="n">
        <v>956</v>
      </c>
      <c r="O7273" s="10" t="n">
        <v>0.781065512448549</v>
      </c>
      <c r="P7273" s="10" t="n">
        <v>0.616392469964921</v>
      </c>
      <c r="Q7273" s="0" t="str">
        <f aca="false">SUBSTITUTE(SUBSTITUTE($I7273,CHAR(61),""),CHAR(34),"")</f>
        <v>35-49</v>
      </c>
      <c r="R7273" s="0" t="str">
        <f aca="false">IF($D7273&lt;&gt;"","["&amp;$E7273&amp;"]"&amp;"|"&amp;$Q7273&amp;"|"&amp;$K7273&amp;"|"&amp;$G7273&amp;"|"&amp;IF($G7273="TX_CURR_SUBNAT.R","CY2022Q4",$M7273),"")</f>
        <v>[zphK9WV8JB4]|35-49|Female|NEW_INFECTIONS_SUBNAT.T2|CY2025Q3</v>
      </c>
    </row>
    <row r="7274" customFormat="false" ht="15" hidden="false" customHeight="false" outlineLevel="0" collapsed="false">
      <c r="D7274" s="0" t="s">
        <v>53</v>
      </c>
      <c r="E7274" s="0" t="s">
        <v>54</v>
      </c>
      <c r="F7274" s="0" t="s">
        <v>55</v>
      </c>
      <c r="G7274" s="0" t="s">
        <v>175</v>
      </c>
      <c r="H7274" s="0" t="s">
        <v>175</v>
      </c>
      <c r="I7274" s="0" t="s">
        <v>45</v>
      </c>
      <c r="J7274" s="0" t="s">
        <v>46</v>
      </c>
      <c r="K7274" s="0" t="s">
        <v>30</v>
      </c>
      <c r="L7274" s="0" t="s">
        <v>31</v>
      </c>
      <c r="M7274" s="0" t="s">
        <v>173</v>
      </c>
      <c r="N7274" s="0" t="n">
        <v>749</v>
      </c>
      <c r="O7274" s="10" t="n">
        <v>0.211555105866864</v>
      </c>
      <c r="P7274" s="10" t="n">
        <v>0.616392469964921</v>
      </c>
      <c r="Q7274" s="0" t="str">
        <f aca="false">SUBSTITUTE(SUBSTITUTE($I7274,CHAR(61),""),CHAR(34),"")</f>
        <v>50+</v>
      </c>
      <c r="R7274" s="0" t="str">
        <f aca="false">IF($D7274&lt;&gt;"","["&amp;$E7274&amp;"]"&amp;"|"&amp;$Q7274&amp;"|"&amp;$K7274&amp;"|"&amp;$G7274&amp;"|"&amp;IF($G7274="TX_CURR_SUBNAT.R","CY2022Q4",$M7274),"")</f>
        <v>[zphK9WV8JB4]|50+|Female|NEW_INFECTIONS_SUBNAT.T2|CY2025Q3</v>
      </c>
    </row>
    <row r="7275" customFormat="false" ht="15" hidden="false" customHeight="false" outlineLevel="0" collapsed="false">
      <c r="D7275" s="0" t="s">
        <v>53</v>
      </c>
      <c r="E7275" s="0" t="s">
        <v>54</v>
      </c>
      <c r="F7275" s="0" t="s">
        <v>55</v>
      </c>
      <c r="G7275" s="0" t="s">
        <v>175</v>
      </c>
      <c r="H7275" s="0" t="s">
        <v>175</v>
      </c>
      <c r="I7275" s="0" t="s">
        <v>28</v>
      </c>
      <c r="J7275" s="0" t="s">
        <v>29</v>
      </c>
      <c r="K7275" s="0" t="s">
        <v>48</v>
      </c>
      <c r="L7275" s="0" t="s">
        <v>49</v>
      </c>
      <c r="M7275" s="0" t="s">
        <v>173</v>
      </c>
      <c r="N7275" s="0" t="n">
        <v>1054</v>
      </c>
      <c r="O7275" s="10" t="n">
        <v>0.647066189208999</v>
      </c>
      <c r="P7275" s="10" t="n">
        <v>0.616392469964921</v>
      </c>
      <c r="Q7275" s="0" t="str">
        <f aca="false">SUBSTITUTE(SUBSTITUTE($I7275,CHAR(61),""),CHAR(34),"")</f>
        <v>&lt;01</v>
      </c>
      <c r="R7275" s="0" t="str">
        <f aca="false">IF($D7275&lt;&gt;"","["&amp;$E7275&amp;"]"&amp;"|"&amp;$Q7275&amp;"|"&amp;$K7275&amp;"|"&amp;$G7275&amp;"|"&amp;IF($G7275="TX_CURR_SUBNAT.R","CY2022Q4",$M7275),"")</f>
        <v>[zphK9WV8JB4]|&lt;01|Male|NEW_INFECTIONS_SUBNAT.T2|CY2025Q3</v>
      </c>
    </row>
    <row r="7276" customFormat="false" ht="15" hidden="false" customHeight="false" outlineLevel="0" collapsed="false">
      <c r="D7276" s="0" t="s">
        <v>53</v>
      </c>
      <c r="E7276" s="0" t="s">
        <v>54</v>
      </c>
      <c r="F7276" s="0" t="s">
        <v>55</v>
      </c>
      <c r="G7276" s="0" t="s">
        <v>175</v>
      </c>
      <c r="H7276" s="0" t="s">
        <v>175</v>
      </c>
      <c r="I7276" s="0" t="s">
        <v>33</v>
      </c>
      <c r="J7276" s="0" t="s">
        <v>34</v>
      </c>
      <c r="K7276" s="0" t="s">
        <v>48</v>
      </c>
      <c r="L7276" s="0" t="s">
        <v>49</v>
      </c>
      <c r="M7276" s="0" t="s">
        <v>173</v>
      </c>
      <c r="N7276" s="0" t="n">
        <v>1167</v>
      </c>
      <c r="O7276" s="10" t="n">
        <v>0.707291229860857</v>
      </c>
      <c r="P7276" s="10" t="n">
        <v>0.616392469964921</v>
      </c>
      <c r="Q7276" s="0" t="str">
        <f aca="false">SUBSTITUTE(SUBSTITUTE($I7276,CHAR(61),""),CHAR(34),"")</f>
        <v>01-09</v>
      </c>
      <c r="R7276" s="0" t="str">
        <f aca="false">IF($D7276&lt;&gt;"","["&amp;$E7276&amp;"]"&amp;"|"&amp;$Q7276&amp;"|"&amp;$K7276&amp;"|"&amp;$G7276&amp;"|"&amp;IF($G7276="TX_CURR_SUBNAT.R","CY2022Q4",$M7276),"")</f>
        <v>[zphK9WV8JB4]|01-09|Male|NEW_INFECTIONS_SUBNAT.T2|CY2025Q3</v>
      </c>
    </row>
    <row r="7277" customFormat="false" ht="15" hidden="false" customHeight="false" outlineLevel="0" collapsed="false">
      <c r="D7277" s="0" t="s">
        <v>53</v>
      </c>
      <c r="E7277" s="0" t="s">
        <v>54</v>
      </c>
      <c r="F7277" s="0" t="s">
        <v>55</v>
      </c>
      <c r="G7277" s="0" t="s">
        <v>175</v>
      </c>
      <c r="H7277" s="0" t="s">
        <v>175</v>
      </c>
      <c r="I7277" s="0" t="s">
        <v>36</v>
      </c>
      <c r="J7277" s="0" t="s">
        <v>37</v>
      </c>
      <c r="K7277" s="0" t="s">
        <v>48</v>
      </c>
      <c r="L7277" s="0" t="s">
        <v>49</v>
      </c>
      <c r="M7277" s="0" t="s">
        <v>173</v>
      </c>
      <c r="N7277" s="0" t="n">
        <v>610</v>
      </c>
      <c r="O7277" s="10" t="n">
        <v>0.504486456513405</v>
      </c>
      <c r="P7277" s="10" t="n">
        <v>0.616392469964921</v>
      </c>
      <c r="Q7277" s="0" t="str">
        <f aca="false">SUBSTITUTE(SUBSTITUTE($I7277,CHAR(61),""),CHAR(34),"")</f>
        <v>10-14</v>
      </c>
      <c r="R7277" s="0" t="str">
        <f aca="false">IF($D7277&lt;&gt;"","["&amp;$E7277&amp;"]"&amp;"|"&amp;$Q7277&amp;"|"&amp;$K7277&amp;"|"&amp;$G7277&amp;"|"&amp;IF($G7277="TX_CURR_SUBNAT.R","CY2022Q4",$M7277),"")</f>
        <v>[zphK9WV8JB4]|10-14|Male|NEW_INFECTIONS_SUBNAT.T2|CY2025Q3</v>
      </c>
    </row>
    <row r="7278" customFormat="false" ht="15" hidden="false" customHeight="false" outlineLevel="0" collapsed="false">
      <c r="D7278" s="0" t="s">
        <v>53</v>
      </c>
      <c r="E7278" s="0" t="s">
        <v>54</v>
      </c>
      <c r="F7278" s="0" t="s">
        <v>55</v>
      </c>
      <c r="G7278" s="0" t="s">
        <v>175</v>
      </c>
      <c r="H7278" s="0" t="s">
        <v>175</v>
      </c>
      <c r="I7278" s="0" t="s">
        <v>38</v>
      </c>
      <c r="J7278" s="0" t="s">
        <v>39</v>
      </c>
      <c r="K7278" s="0" t="s">
        <v>48</v>
      </c>
      <c r="L7278" s="0" t="s">
        <v>49</v>
      </c>
      <c r="M7278" s="0" t="s">
        <v>173</v>
      </c>
      <c r="N7278" s="0" t="n">
        <v>1226</v>
      </c>
      <c r="O7278" s="10" t="n">
        <v>0.19384976499714</v>
      </c>
      <c r="P7278" s="10" t="n">
        <v>0.616392469964921</v>
      </c>
      <c r="Q7278" s="0" t="str">
        <f aca="false">SUBSTITUTE(SUBSTITUTE($I7278,CHAR(61),""),CHAR(34),"")</f>
        <v>15-24</v>
      </c>
      <c r="R7278" s="0" t="str">
        <f aca="false">IF($D7278&lt;&gt;"","["&amp;$E7278&amp;"]"&amp;"|"&amp;$Q7278&amp;"|"&amp;$K7278&amp;"|"&amp;$G7278&amp;"|"&amp;IF($G7278="TX_CURR_SUBNAT.R","CY2022Q4",$M7278),"")</f>
        <v>[zphK9WV8JB4]|15-24|Male|NEW_INFECTIONS_SUBNAT.T2|CY2025Q3</v>
      </c>
    </row>
    <row r="7279" customFormat="false" ht="15" hidden="false" customHeight="false" outlineLevel="0" collapsed="false">
      <c r="D7279" s="0" t="s">
        <v>53</v>
      </c>
      <c r="E7279" s="0" t="s">
        <v>54</v>
      </c>
      <c r="F7279" s="0" t="s">
        <v>55</v>
      </c>
      <c r="G7279" s="0" t="s">
        <v>175</v>
      </c>
      <c r="H7279" s="0" t="s">
        <v>175</v>
      </c>
      <c r="I7279" s="0" t="s">
        <v>41</v>
      </c>
      <c r="J7279" s="0" t="s">
        <v>42</v>
      </c>
      <c r="K7279" s="0" t="s">
        <v>48</v>
      </c>
      <c r="L7279" s="0" t="s">
        <v>49</v>
      </c>
      <c r="M7279" s="0" t="s">
        <v>173</v>
      </c>
      <c r="N7279" s="0" t="n">
        <v>1593</v>
      </c>
      <c r="O7279" s="10" t="n">
        <v>0.313527551479638</v>
      </c>
      <c r="P7279" s="10" t="n">
        <v>0.616392469964921</v>
      </c>
      <c r="Q7279" s="0" t="str">
        <f aca="false">SUBSTITUTE(SUBSTITUTE($I7279,CHAR(61),""),CHAR(34),"")</f>
        <v>25-34</v>
      </c>
      <c r="R7279" s="0" t="str">
        <f aca="false">IF($D7279&lt;&gt;"","["&amp;$E7279&amp;"]"&amp;"|"&amp;$Q7279&amp;"|"&amp;$K7279&amp;"|"&amp;$G7279&amp;"|"&amp;IF($G7279="TX_CURR_SUBNAT.R","CY2022Q4",$M7279),"")</f>
        <v>[zphK9WV8JB4]|25-34|Male|NEW_INFECTIONS_SUBNAT.T2|CY2025Q3</v>
      </c>
    </row>
    <row r="7280" customFormat="false" ht="15" hidden="false" customHeight="false" outlineLevel="0" collapsed="false">
      <c r="D7280" s="0" t="s">
        <v>53</v>
      </c>
      <c r="E7280" s="0" t="s">
        <v>54</v>
      </c>
      <c r="F7280" s="0" t="s">
        <v>55</v>
      </c>
      <c r="G7280" s="0" t="s">
        <v>175</v>
      </c>
      <c r="H7280" s="0" t="s">
        <v>175</v>
      </c>
      <c r="I7280" s="0" t="s">
        <v>43</v>
      </c>
      <c r="J7280" s="0" t="s">
        <v>44</v>
      </c>
      <c r="K7280" s="0" t="s">
        <v>48</v>
      </c>
      <c r="L7280" s="0" t="s">
        <v>49</v>
      </c>
      <c r="M7280" s="0" t="s">
        <v>173</v>
      </c>
      <c r="N7280" s="0" t="n">
        <v>1911</v>
      </c>
      <c r="O7280" s="10" t="n">
        <v>0.185673318337649</v>
      </c>
      <c r="P7280" s="10" t="n">
        <v>0.616392469964921</v>
      </c>
      <c r="Q7280" s="0" t="str">
        <f aca="false">SUBSTITUTE(SUBSTITUTE($I7280,CHAR(61),""),CHAR(34),"")</f>
        <v>35-49</v>
      </c>
      <c r="R7280" s="0" t="str">
        <f aca="false">IF($D7280&lt;&gt;"","["&amp;$E7280&amp;"]"&amp;"|"&amp;$Q7280&amp;"|"&amp;$K7280&amp;"|"&amp;$G7280&amp;"|"&amp;IF($G7280="TX_CURR_SUBNAT.R","CY2022Q4",$M7280),"")</f>
        <v>[zphK9WV8JB4]|35-49|Male|NEW_INFECTIONS_SUBNAT.T2|CY2025Q3</v>
      </c>
    </row>
    <row r="7281" customFormat="false" ht="15" hidden="false" customHeight="false" outlineLevel="0" collapsed="false">
      <c r="D7281" s="0" t="s">
        <v>53</v>
      </c>
      <c r="E7281" s="0" t="s">
        <v>54</v>
      </c>
      <c r="F7281" s="0" t="s">
        <v>55</v>
      </c>
      <c r="G7281" s="0" t="s">
        <v>175</v>
      </c>
      <c r="H7281" s="0" t="s">
        <v>175</v>
      </c>
      <c r="I7281" s="0" t="s">
        <v>45</v>
      </c>
      <c r="J7281" s="0" t="s">
        <v>46</v>
      </c>
      <c r="K7281" s="0" t="s">
        <v>48</v>
      </c>
      <c r="L7281" s="0" t="s">
        <v>49</v>
      </c>
      <c r="M7281" s="0" t="s">
        <v>173</v>
      </c>
      <c r="N7281" s="0" t="n">
        <v>675</v>
      </c>
      <c r="O7281" s="10" t="n">
        <v>0.250252798898146</v>
      </c>
      <c r="P7281" s="10" t="n">
        <v>0.616392469964921</v>
      </c>
      <c r="Q7281" s="0" t="str">
        <f aca="false">SUBSTITUTE(SUBSTITUTE($I7281,CHAR(61),""),CHAR(34),"")</f>
        <v>50+</v>
      </c>
      <c r="R7281" s="0" t="str">
        <f aca="false">IF($D7281&lt;&gt;"","["&amp;$E7281&amp;"]"&amp;"|"&amp;$Q7281&amp;"|"&amp;$K7281&amp;"|"&amp;$G7281&amp;"|"&amp;IF($G7281="TX_CURR_SUBNAT.R","CY2022Q4",$M7281),"")</f>
        <v>[zphK9WV8JB4]|50+|Male|NEW_INFECTIONS_SUBNAT.T2|CY2025Q3</v>
      </c>
    </row>
    <row r="7282" customFormat="false" ht="15" hidden="false" customHeight="false" outlineLevel="0" collapsed="false">
      <c r="D7282" s="0" t="s">
        <v>60</v>
      </c>
      <c r="E7282" s="0" t="s">
        <v>61</v>
      </c>
      <c r="F7282" s="0" t="s">
        <v>62</v>
      </c>
      <c r="G7282" s="0" t="s">
        <v>175</v>
      </c>
      <c r="H7282" s="0" t="s">
        <v>175</v>
      </c>
      <c r="I7282" s="0" t="s">
        <v>28</v>
      </c>
      <c r="J7282" s="0" t="s">
        <v>29</v>
      </c>
      <c r="K7282" s="0" t="s">
        <v>30</v>
      </c>
      <c r="L7282" s="0" t="s">
        <v>31</v>
      </c>
      <c r="M7282" s="0" t="s">
        <v>173</v>
      </c>
      <c r="N7282" s="0" t="n">
        <v>1574</v>
      </c>
      <c r="O7282" s="10" t="n">
        <v>0.117098946124315</v>
      </c>
      <c r="P7282" s="10" t="n">
        <v>0.0268250561784953</v>
      </c>
      <c r="Q7282" s="0" t="str">
        <f aca="false">SUBSTITUTE(SUBSTITUTE($I7282,CHAR(61),""),CHAR(34),"")</f>
        <v>&lt;01</v>
      </c>
      <c r="R7282" s="0" t="str">
        <f aca="false">IF($D7282&lt;&gt;"","["&amp;$E7282&amp;"]"&amp;"|"&amp;$Q7282&amp;"|"&amp;$K7282&amp;"|"&amp;$G7282&amp;"|"&amp;IF($G7282="TX_CURR_SUBNAT.R","CY2022Q4",$M7282),"")</f>
        <v>[msW2zpIN7up]|&lt;01|Female|NEW_INFECTIONS_SUBNAT.T2|CY2025Q3</v>
      </c>
    </row>
    <row r="7283" customFormat="false" ht="15" hidden="false" customHeight="false" outlineLevel="0" collapsed="false">
      <c r="D7283" s="0" t="s">
        <v>60</v>
      </c>
      <c r="E7283" s="0" t="s">
        <v>61</v>
      </c>
      <c r="F7283" s="0" t="s">
        <v>62</v>
      </c>
      <c r="G7283" s="0" t="s">
        <v>175</v>
      </c>
      <c r="H7283" s="0" t="s">
        <v>175</v>
      </c>
      <c r="I7283" s="0" t="s">
        <v>33</v>
      </c>
      <c r="J7283" s="0" t="s">
        <v>34</v>
      </c>
      <c r="K7283" s="0" t="s">
        <v>30</v>
      </c>
      <c r="L7283" s="0" t="s">
        <v>31</v>
      </c>
      <c r="M7283" s="0" t="s">
        <v>173</v>
      </c>
      <c r="N7283" s="0" t="n">
        <v>1361</v>
      </c>
      <c r="O7283" s="10" t="n">
        <v>0.088692465564236</v>
      </c>
      <c r="P7283" s="10" t="n">
        <v>0.0268250561784953</v>
      </c>
      <c r="Q7283" s="0" t="str">
        <f aca="false">SUBSTITUTE(SUBSTITUTE($I7283,CHAR(61),""),CHAR(34),"")</f>
        <v>01-09</v>
      </c>
      <c r="R7283" s="0" t="str">
        <f aca="false">IF($D7283&lt;&gt;"","["&amp;$E7283&amp;"]"&amp;"|"&amp;$Q7283&amp;"|"&amp;$K7283&amp;"|"&amp;$G7283&amp;"|"&amp;IF($G7283="TX_CURR_SUBNAT.R","CY2022Q4",$M7283),"")</f>
        <v>[msW2zpIN7up]|01-09|Female|NEW_INFECTIONS_SUBNAT.T2|CY2025Q3</v>
      </c>
    </row>
    <row r="7284" customFormat="false" ht="15" hidden="false" customHeight="false" outlineLevel="0" collapsed="false">
      <c r="D7284" s="0" t="s">
        <v>60</v>
      </c>
      <c r="E7284" s="0" t="s">
        <v>61</v>
      </c>
      <c r="F7284" s="0" t="s">
        <v>62</v>
      </c>
      <c r="G7284" s="0" t="s">
        <v>175</v>
      </c>
      <c r="H7284" s="0" t="s">
        <v>175</v>
      </c>
      <c r="I7284" s="0" t="s">
        <v>36</v>
      </c>
      <c r="J7284" s="0" t="s">
        <v>37</v>
      </c>
      <c r="K7284" s="0" t="s">
        <v>30</v>
      </c>
      <c r="L7284" s="0" t="s">
        <v>31</v>
      </c>
      <c r="M7284" s="0" t="s">
        <v>173</v>
      </c>
      <c r="N7284" s="0" t="n">
        <v>1497</v>
      </c>
      <c r="O7284" s="10" t="n">
        <v>0.672305726213381</v>
      </c>
      <c r="P7284" s="10" t="n">
        <v>0.0268250561784953</v>
      </c>
      <c r="Q7284" s="0" t="str">
        <f aca="false">SUBSTITUTE(SUBSTITUTE($I7284,CHAR(61),""),CHAR(34),"")</f>
        <v>10-14</v>
      </c>
      <c r="R7284" s="0" t="str">
        <f aca="false">IF($D7284&lt;&gt;"","["&amp;$E7284&amp;"]"&amp;"|"&amp;$Q7284&amp;"|"&amp;$K7284&amp;"|"&amp;$G7284&amp;"|"&amp;IF($G7284="TX_CURR_SUBNAT.R","CY2022Q4",$M7284),"")</f>
        <v>[msW2zpIN7up]|10-14|Female|NEW_INFECTIONS_SUBNAT.T2|CY2025Q3</v>
      </c>
    </row>
    <row r="7285" customFormat="false" ht="15" hidden="false" customHeight="false" outlineLevel="0" collapsed="false">
      <c r="D7285" s="0" t="s">
        <v>60</v>
      </c>
      <c r="E7285" s="0" t="s">
        <v>61</v>
      </c>
      <c r="F7285" s="0" t="s">
        <v>62</v>
      </c>
      <c r="G7285" s="0" t="s">
        <v>175</v>
      </c>
      <c r="H7285" s="0" t="s">
        <v>175</v>
      </c>
      <c r="I7285" s="0" t="s">
        <v>38</v>
      </c>
      <c r="J7285" s="0" t="s">
        <v>39</v>
      </c>
      <c r="K7285" s="0" t="s">
        <v>30</v>
      </c>
      <c r="L7285" s="0" t="s">
        <v>31</v>
      </c>
      <c r="M7285" s="0" t="s">
        <v>173</v>
      </c>
      <c r="N7285" s="0" t="n">
        <v>534</v>
      </c>
      <c r="O7285" s="10" t="n">
        <v>0.949982963502407</v>
      </c>
      <c r="P7285" s="10" t="n">
        <v>0.0268250561784953</v>
      </c>
      <c r="Q7285" s="0" t="str">
        <f aca="false">SUBSTITUTE(SUBSTITUTE($I7285,CHAR(61),""),CHAR(34),"")</f>
        <v>15-24</v>
      </c>
      <c r="R7285" s="0" t="str">
        <f aca="false">IF($D7285&lt;&gt;"","["&amp;$E7285&amp;"]"&amp;"|"&amp;$Q7285&amp;"|"&amp;$K7285&amp;"|"&amp;$G7285&amp;"|"&amp;IF($G7285="TX_CURR_SUBNAT.R","CY2022Q4",$M7285),"")</f>
        <v>[msW2zpIN7up]|15-24|Female|NEW_INFECTIONS_SUBNAT.T2|CY2025Q3</v>
      </c>
    </row>
    <row r="7286" customFormat="false" ht="15" hidden="false" customHeight="false" outlineLevel="0" collapsed="false">
      <c r="D7286" s="0" t="s">
        <v>60</v>
      </c>
      <c r="E7286" s="0" t="s">
        <v>61</v>
      </c>
      <c r="F7286" s="0" t="s">
        <v>62</v>
      </c>
      <c r="G7286" s="0" t="s">
        <v>175</v>
      </c>
      <c r="H7286" s="0" t="s">
        <v>175</v>
      </c>
      <c r="I7286" s="0" t="s">
        <v>41</v>
      </c>
      <c r="J7286" s="0" t="s">
        <v>42</v>
      </c>
      <c r="K7286" s="0" t="s">
        <v>30</v>
      </c>
      <c r="L7286" s="0" t="s">
        <v>31</v>
      </c>
      <c r="M7286" s="0" t="s">
        <v>173</v>
      </c>
      <c r="N7286" s="0" t="n">
        <v>1177</v>
      </c>
      <c r="O7286" s="10" t="n">
        <v>0.844616536283866</v>
      </c>
      <c r="P7286" s="10" t="n">
        <v>0.0268250561784953</v>
      </c>
      <c r="Q7286" s="0" t="str">
        <f aca="false">SUBSTITUTE(SUBSTITUTE($I7286,CHAR(61),""),CHAR(34),"")</f>
        <v>25-34</v>
      </c>
      <c r="R7286" s="0" t="str">
        <f aca="false">IF($D7286&lt;&gt;"","["&amp;$E7286&amp;"]"&amp;"|"&amp;$Q7286&amp;"|"&amp;$K7286&amp;"|"&amp;$G7286&amp;"|"&amp;IF($G7286="TX_CURR_SUBNAT.R","CY2022Q4",$M7286),"")</f>
        <v>[msW2zpIN7up]|25-34|Female|NEW_INFECTIONS_SUBNAT.T2|CY2025Q3</v>
      </c>
    </row>
    <row r="7287" customFormat="false" ht="15" hidden="false" customHeight="false" outlineLevel="0" collapsed="false">
      <c r="D7287" s="0" t="s">
        <v>60</v>
      </c>
      <c r="E7287" s="0" t="s">
        <v>61</v>
      </c>
      <c r="F7287" s="0" t="s">
        <v>62</v>
      </c>
      <c r="G7287" s="0" t="s">
        <v>175</v>
      </c>
      <c r="H7287" s="0" t="s">
        <v>175</v>
      </c>
      <c r="I7287" s="0" t="s">
        <v>43</v>
      </c>
      <c r="J7287" s="0" t="s">
        <v>44</v>
      </c>
      <c r="K7287" s="0" t="s">
        <v>30</v>
      </c>
      <c r="L7287" s="0" t="s">
        <v>31</v>
      </c>
      <c r="M7287" s="0" t="s">
        <v>173</v>
      </c>
      <c r="N7287" s="0" t="n">
        <v>1855</v>
      </c>
      <c r="O7287" s="10" t="n">
        <v>0.309251180849969</v>
      </c>
      <c r="P7287" s="10" t="n">
        <v>0.0268250561784953</v>
      </c>
      <c r="Q7287" s="0" t="str">
        <f aca="false">SUBSTITUTE(SUBSTITUTE($I7287,CHAR(61),""),CHAR(34),"")</f>
        <v>35-49</v>
      </c>
      <c r="R7287" s="0" t="str">
        <f aca="false">IF($D7287&lt;&gt;"","["&amp;$E7287&amp;"]"&amp;"|"&amp;$Q7287&amp;"|"&amp;$K7287&amp;"|"&amp;$G7287&amp;"|"&amp;IF($G7287="TX_CURR_SUBNAT.R","CY2022Q4",$M7287),"")</f>
        <v>[msW2zpIN7up]|35-49|Female|NEW_INFECTIONS_SUBNAT.T2|CY2025Q3</v>
      </c>
    </row>
    <row r="7288" customFormat="false" ht="15" hidden="false" customHeight="false" outlineLevel="0" collapsed="false">
      <c r="D7288" s="0" t="s">
        <v>60</v>
      </c>
      <c r="E7288" s="0" t="s">
        <v>61</v>
      </c>
      <c r="F7288" s="0" t="s">
        <v>62</v>
      </c>
      <c r="G7288" s="0" t="s">
        <v>175</v>
      </c>
      <c r="H7288" s="0" t="s">
        <v>175</v>
      </c>
      <c r="I7288" s="0" t="s">
        <v>45</v>
      </c>
      <c r="J7288" s="0" t="s">
        <v>46</v>
      </c>
      <c r="K7288" s="0" t="s">
        <v>30</v>
      </c>
      <c r="L7288" s="0" t="s">
        <v>31</v>
      </c>
      <c r="M7288" s="0" t="s">
        <v>173</v>
      </c>
      <c r="N7288" s="0" t="n">
        <v>659</v>
      </c>
      <c r="O7288" s="10" t="n">
        <v>0.197784448275343</v>
      </c>
      <c r="P7288" s="10" t="n">
        <v>0.0268250561784953</v>
      </c>
      <c r="Q7288" s="0" t="str">
        <f aca="false">SUBSTITUTE(SUBSTITUTE($I7288,CHAR(61),""),CHAR(34),"")</f>
        <v>50+</v>
      </c>
      <c r="R7288" s="0" t="str">
        <f aca="false">IF($D7288&lt;&gt;"","["&amp;$E7288&amp;"]"&amp;"|"&amp;$Q7288&amp;"|"&amp;$K7288&amp;"|"&amp;$G7288&amp;"|"&amp;IF($G7288="TX_CURR_SUBNAT.R","CY2022Q4",$M7288),"")</f>
        <v>[msW2zpIN7up]|50+|Female|NEW_INFECTIONS_SUBNAT.T2|CY2025Q3</v>
      </c>
    </row>
    <row r="7289" customFormat="false" ht="15" hidden="false" customHeight="false" outlineLevel="0" collapsed="false">
      <c r="D7289" s="0" t="s">
        <v>60</v>
      </c>
      <c r="E7289" s="0" t="s">
        <v>61</v>
      </c>
      <c r="F7289" s="0" t="s">
        <v>62</v>
      </c>
      <c r="G7289" s="0" t="s">
        <v>175</v>
      </c>
      <c r="H7289" s="0" t="s">
        <v>175</v>
      </c>
      <c r="I7289" s="0" t="s">
        <v>28</v>
      </c>
      <c r="J7289" s="0" t="s">
        <v>29</v>
      </c>
      <c r="K7289" s="0" t="s">
        <v>48</v>
      </c>
      <c r="L7289" s="0" t="s">
        <v>49</v>
      </c>
      <c r="M7289" s="0" t="s">
        <v>173</v>
      </c>
      <c r="N7289" s="0" t="n">
        <v>610</v>
      </c>
      <c r="O7289" s="10" t="n">
        <v>0.346477108309045</v>
      </c>
      <c r="P7289" s="10" t="n">
        <v>0.0268250561784953</v>
      </c>
      <c r="Q7289" s="0" t="str">
        <f aca="false">SUBSTITUTE(SUBSTITUTE($I7289,CHAR(61),""),CHAR(34),"")</f>
        <v>&lt;01</v>
      </c>
      <c r="R7289" s="0" t="str">
        <f aca="false">IF($D7289&lt;&gt;"","["&amp;$E7289&amp;"]"&amp;"|"&amp;$Q7289&amp;"|"&amp;$K7289&amp;"|"&amp;$G7289&amp;"|"&amp;IF($G7289="TX_CURR_SUBNAT.R","CY2022Q4",$M7289),"")</f>
        <v>[msW2zpIN7up]|&lt;01|Male|NEW_INFECTIONS_SUBNAT.T2|CY2025Q3</v>
      </c>
    </row>
    <row r="7290" customFormat="false" ht="15" hidden="false" customHeight="false" outlineLevel="0" collapsed="false">
      <c r="D7290" s="0" t="s">
        <v>60</v>
      </c>
      <c r="E7290" s="0" t="s">
        <v>61</v>
      </c>
      <c r="F7290" s="0" t="s">
        <v>62</v>
      </c>
      <c r="G7290" s="0" t="s">
        <v>175</v>
      </c>
      <c r="H7290" s="0" t="s">
        <v>175</v>
      </c>
      <c r="I7290" s="0" t="s">
        <v>33</v>
      </c>
      <c r="J7290" s="0" t="s">
        <v>34</v>
      </c>
      <c r="K7290" s="0" t="s">
        <v>48</v>
      </c>
      <c r="L7290" s="0" t="s">
        <v>49</v>
      </c>
      <c r="M7290" s="0" t="s">
        <v>173</v>
      </c>
      <c r="N7290" s="0" t="n">
        <v>938</v>
      </c>
      <c r="O7290" s="10" t="n">
        <v>0.0379842647816986</v>
      </c>
      <c r="P7290" s="10" t="n">
        <v>0.0268250561784953</v>
      </c>
      <c r="Q7290" s="0" t="str">
        <f aca="false">SUBSTITUTE(SUBSTITUTE($I7290,CHAR(61),""),CHAR(34),"")</f>
        <v>01-09</v>
      </c>
      <c r="R7290" s="0" t="str">
        <f aca="false">IF($D7290&lt;&gt;"","["&amp;$E7290&amp;"]"&amp;"|"&amp;$Q7290&amp;"|"&amp;$K7290&amp;"|"&amp;$G7290&amp;"|"&amp;IF($G7290="TX_CURR_SUBNAT.R","CY2022Q4",$M7290),"")</f>
        <v>[msW2zpIN7up]|01-09|Male|NEW_INFECTIONS_SUBNAT.T2|CY2025Q3</v>
      </c>
    </row>
    <row r="7291" customFormat="false" ht="15" hidden="false" customHeight="false" outlineLevel="0" collapsed="false">
      <c r="D7291" s="0" t="s">
        <v>60</v>
      </c>
      <c r="E7291" s="0" t="s">
        <v>61</v>
      </c>
      <c r="F7291" s="0" t="s">
        <v>62</v>
      </c>
      <c r="G7291" s="0" t="s">
        <v>175</v>
      </c>
      <c r="H7291" s="0" t="s">
        <v>175</v>
      </c>
      <c r="I7291" s="0" t="s">
        <v>36</v>
      </c>
      <c r="J7291" s="0" t="s">
        <v>37</v>
      </c>
      <c r="K7291" s="0" t="s">
        <v>48</v>
      </c>
      <c r="L7291" s="0" t="s">
        <v>49</v>
      </c>
      <c r="M7291" s="0" t="s">
        <v>173</v>
      </c>
      <c r="N7291" s="0" t="n">
        <v>1375</v>
      </c>
      <c r="O7291" s="10" t="n">
        <v>0.647254133597016</v>
      </c>
      <c r="P7291" s="10" t="n">
        <v>0.0268250561784953</v>
      </c>
      <c r="Q7291" s="0" t="str">
        <f aca="false">SUBSTITUTE(SUBSTITUTE($I7291,CHAR(61),""),CHAR(34),"")</f>
        <v>10-14</v>
      </c>
      <c r="R7291" s="0" t="str">
        <f aca="false">IF($D7291&lt;&gt;"","["&amp;$E7291&amp;"]"&amp;"|"&amp;$Q7291&amp;"|"&amp;$K7291&amp;"|"&amp;$G7291&amp;"|"&amp;IF($G7291="TX_CURR_SUBNAT.R","CY2022Q4",$M7291),"")</f>
        <v>[msW2zpIN7up]|10-14|Male|NEW_INFECTIONS_SUBNAT.T2|CY2025Q3</v>
      </c>
    </row>
    <row r="7292" customFormat="false" ht="15" hidden="false" customHeight="false" outlineLevel="0" collapsed="false">
      <c r="D7292" s="0" t="s">
        <v>60</v>
      </c>
      <c r="E7292" s="0" t="s">
        <v>61</v>
      </c>
      <c r="F7292" s="0" t="s">
        <v>62</v>
      </c>
      <c r="G7292" s="0" t="s">
        <v>175</v>
      </c>
      <c r="H7292" s="0" t="s">
        <v>175</v>
      </c>
      <c r="I7292" s="0" t="s">
        <v>38</v>
      </c>
      <c r="J7292" s="0" t="s">
        <v>39</v>
      </c>
      <c r="K7292" s="0" t="s">
        <v>48</v>
      </c>
      <c r="L7292" s="0" t="s">
        <v>49</v>
      </c>
      <c r="M7292" s="0" t="s">
        <v>173</v>
      </c>
      <c r="N7292" s="0" t="n">
        <v>982</v>
      </c>
      <c r="O7292" s="10" t="n">
        <v>0.0400140404235572</v>
      </c>
      <c r="P7292" s="10" t="n">
        <v>0.0268250561784953</v>
      </c>
      <c r="Q7292" s="0" t="str">
        <f aca="false">SUBSTITUTE(SUBSTITUTE($I7292,CHAR(61),""),CHAR(34),"")</f>
        <v>15-24</v>
      </c>
      <c r="R7292" s="0" t="str">
        <f aca="false">IF($D7292&lt;&gt;"","["&amp;$E7292&amp;"]"&amp;"|"&amp;$Q7292&amp;"|"&amp;$K7292&amp;"|"&amp;$G7292&amp;"|"&amp;IF($G7292="TX_CURR_SUBNAT.R","CY2022Q4",$M7292),"")</f>
        <v>[msW2zpIN7up]|15-24|Male|NEW_INFECTIONS_SUBNAT.T2|CY2025Q3</v>
      </c>
    </row>
    <row r="7293" customFormat="false" ht="15" hidden="false" customHeight="false" outlineLevel="0" collapsed="false">
      <c r="D7293" s="0" t="s">
        <v>60</v>
      </c>
      <c r="E7293" s="0" t="s">
        <v>61</v>
      </c>
      <c r="F7293" s="0" t="s">
        <v>62</v>
      </c>
      <c r="G7293" s="0" t="s">
        <v>175</v>
      </c>
      <c r="H7293" s="0" t="s">
        <v>175</v>
      </c>
      <c r="I7293" s="0" t="s">
        <v>41</v>
      </c>
      <c r="J7293" s="0" t="s">
        <v>42</v>
      </c>
      <c r="K7293" s="0" t="s">
        <v>48</v>
      </c>
      <c r="L7293" s="0" t="s">
        <v>49</v>
      </c>
      <c r="M7293" s="0" t="s">
        <v>173</v>
      </c>
      <c r="N7293" s="0" t="n">
        <v>1042</v>
      </c>
      <c r="O7293" s="10" t="n">
        <v>0.0453510012011975</v>
      </c>
      <c r="P7293" s="10" t="n">
        <v>0.0268250561784953</v>
      </c>
      <c r="Q7293" s="0" t="str">
        <f aca="false">SUBSTITUTE(SUBSTITUTE($I7293,CHAR(61),""),CHAR(34),"")</f>
        <v>25-34</v>
      </c>
      <c r="R7293" s="0" t="str">
        <f aca="false">IF($D7293&lt;&gt;"","["&amp;$E7293&amp;"]"&amp;"|"&amp;$Q7293&amp;"|"&amp;$K7293&amp;"|"&amp;$G7293&amp;"|"&amp;IF($G7293="TX_CURR_SUBNAT.R","CY2022Q4",$M7293),"")</f>
        <v>[msW2zpIN7up]|25-34|Male|NEW_INFECTIONS_SUBNAT.T2|CY2025Q3</v>
      </c>
    </row>
    <row r="7294" customFormat="false" ht="15" hidden="false" customHeight="false" outlineLevel="0" collapsed="false">
      <c r="D7294" s="0" t="s">
        <v>60</v>
      </c>
      <c r="E7294" s="0" t="s">
        <v>61</v>
      </c>
      <c r="F7294" s="0" t="s">
        <v>62</v>
      </c>
      <c r="G7294" s="0" t="s">
        <v>175</v>
      </c>
      <c r="H7294" s="0" t="s">
        <v>175</v>
      </c>
      <c r="I7294" s="0" t="s">
        <v>43</v>
      </c>
      <c r="J7294" s="0" t="s">
        <v>44</v>
      </c>
      <c r="K7294" s="0" t="s">
        <v>48</v>
      </c>
      <c r="L7294" s="0" t="s">
        <v>49</v>
      </c>
      <c r="M7294" s="0" t="s">
        <v>173</v>
      </c>
      <c r="N7294" s="0" t="n">
        <v>1552</v>
      </c>
      <c r="O7294" s="10" t="n">
        <v>0.863367999671027</v>
      </c>
      <c r="P7294" s="10" t="n">
        <v>0.0268250561784953</v>
      </c>
      <c r="Q7294" s="0" t="str">
        <f aca="false">SUBSTITUTE(SUBSTITUTE($I7294,CHAR(61),""),CHAR(34),"")</f>
        <v>35-49</v>
      </c>
      <c r="R7294" s="0" t="str">
        <f aca="false">IF($D7294&lt;&gt;"","["&amp;$E7294&amp;"]"&amp;"|"&amp;$Q7294&amp;"|"&amp;$K7294&amp;"|"&amp;$G7294&amp;"|"&amp;IF($G7294="TX_CURR_SUBNAT.R","CY2022Q4",$M7294),"")</f>
        <v>[msW2zpIN7up]|35-49|Male|NEW_INFECTIONS_SUBNAT.T2|CY2025Q3</v>
      </c>
    </row>
    <row r="7295" customFormat="false" ht="15" hidden="false" customHeight="false" outlineLevel="0" collapsed="false">
      <c r="D7295" s="0" t="s">
        <v>60</v>
      </c>
      <c r="E7295" s="0" t="s">
        <v>61</v>
      </c>
      <c r="F7295" s="0" t="s">
        <v>62</v>
      </c>
      <c r="G7295" s="0" t="s">
        <v>175</v>
      </c>
      <c r="H7295" s="0" t="s">
        <v>175</v>
      </c>
      <c r="I7295" s="0" t="s">
        <v>45</v>
      </c>
      <c r="J7295" s="0" t="s">
        <v>46</v>
      </c>
      <c r="K7295" s="0" t="s">
        <v>48</v>
      </c>
      <c r="L7295" s="0" t="s">
        <v>49</v>
      </c>
      <c r="M7295" s="0" t="s">
        <v>173</v>
      </c>
      <c r="N7295" s="0" t="n">
        <v>1534</v>
      </c>
      <c r="O7295" s="10" t="n">
        <v>0.262965687550604</v>
      </c>
      <c r="P7295" s="10" t="n">
        <v>0.0268250561784953</v>
      </c>
      <c r="Q7295" s="0" t="str">
        <f aca="false">SUBSTITUTE(SUBSTITUTE($I7295,CHAR(61),""),CHAR(34),"")</f>
        <v>50+</v>
      </c>
      <c r="R7295" s="0" t="str">
        <f aca="false">IF($D7295&lt;&gt;"","["&amp;$E7295&amp;"]"&amp;"|"&amp;$Q7295&amp;"|"&amp;$K7295&amp;"|"&amp;$G7295&amp;"|"&amp;IF($G7295="TX_CURR_SUBNAT.R","CY2022Q4",$M7295),"")</f>
        <v>[msW2zpIN7up]|50+|Male|NEW_INFECTIONS_SUBNAT.T2|CY2025Q3</v>
      </c>
    </row>
    <row r="7296" customFormat="false" ht="15" hidden="false" customHeight="false" outlineLevel="0" collapsed="false">
      <c r="D7296" s="0" t="s">
        <v>63</v>
      </c>
      <c r="E7296" s="0" t="s">
        <v>64</v>
      </c>
      <c r="F7296" s="0" t="s">
        <v>65</v>
      </c>
      <c r="G7296" s="0" t="s">
        <v>175</v>
      </c>
      <c r="H7296" s="0" t="s">
        <v>175</v>
      </c>
      <c r="I7296" s="0" t="s">
        <v>28</v>
      </c>
      <c r="J7296" s="0" t="s">
        <v>29</v>
      </c>
      <c r="K7296" s="0" t="s">
        <v>30</v>
      </c>
      <c r="L7296" s="0" t="s">
        <v>31</v>
      </c>
      <c r="M7296" s="0" t="s">
        <v>173</v>
      </c>
      <c r="N7296" s="0" t="n">
        <v>1832</v>
      </c>
      <c r="O7296" s="10" t="n">
        <v>0.858531316742301</v>
      </c>
      <c r="P7296" s="10" t="n">
        <v>0.790102193132043</v>
      </c>
      <c r="Q7296" s="0" t="str">
        <f aca="false">SUBSTITUTE(SUBSTITUTE($I7296,CHAR(61),""),CHAR(34),"")</f>
        <v>&lt;01</v>
      </c>
      <c r="R7296" s="0" t="str">
        <f aca="false">IF($D7296&lt;&gt;"","["&amp;$E7296&amp;"]"&amp;"|"&amp;$Q7296&amp;"|"&amp;$K7296&amp;"|"&amp;$G7296&amp;"|"&amp;IF($G7296="TX_CURR_SUBNAT.R","CY2022Q4",$M7296),"")</f>
        <v>[kxuuIFpOXyO]|&lt;01|Female|NEW_INFECTIONS_SUBNAT.T2|CY2025Q3</v>
      </c>
    </row>
    <row r="7297" customFormat="false" ht="15" hidden="false" customHeight="false" outlineLevel="0" collapsed="false">
      <c r="D7297" s="0" t="s">
        <v>63</v>
      </c>
      <c r="E7297" s="0" t="s">
        <v>64</v>
      </c>
      <c r="F7297" s="0" t="s">
        <v>65</v>
      </c>
      <c r="G7297" s="0" t="s">
        <v>175</v>
      </c>
      <c r="H7297" s="0" t="s">
        <v>175</v>
      </c>
      <c r="I7297" s="0" t="s">
        <v>33</v>
      </c>
      <c r="J7297" s="0" t="s">
        <v>34</v>
      </c>
      <c r="K7297" s="0" t="s">
        <v>30</v>
      </c>
      <c r="L7297" s="0" t="s">
        <v>31</v>
      </c>
      <c r="M7297" s="0" t="s">
        <v>173</v>
      </c>
      <c r="N7297" s="0" t="n">
        <v>889</v>
      </c>
      <c r="O7297" s="10" t="n">
        <v>0.773108899593353</v>
      </c>
      <c r="P7297" s="10" t="n">
        <v>0.790102193132043</v>
      </c>
      <c r="Q7297" s="0" t="str">
        <f aca="false">SUBSTITUTE(SUBSTITUTE($I7297,CHAR(61),""),CHAR(34),"")</f>
        <v>01-09</v>
      </c>
      <c r="R7297" s="0" t="str">
        <f aca="false">IF($D7297&lt;&gt;"","["&amp;$E7297&amp;"]"&amp;"|"&amp;$Q7297&amp;"|"&amp;$K7297&amp;"|"&amp;$G7297&amp;"|"&amp;IF($G7297="TX_CURR_SUBNAT.R","CY2022Q4",$M7297),"")</f>
        <v>[kxuuIFpOXyO]|01-09|Female|NEW_INFECTIONS_SUBNAT.T2|CY2025Q3</v>
      </c>
    </row>
    <row r="7298" customFormat="false" ht="15" hidden="false" customHeight="false" outlineLevel="0" collapsed="false">
      <c r="D7298" s="0" t="s">
        <v>63</v>
      </c>
      <c r="E7298" s="0" t="s">
        <v>64</v>
      </c>
      <c r="F7298" s="0" t="s">
        <v>65</v>
      </c>
      <c r="G7298" s="0" t="s">
        <v>175</v>
      </c>
      <c r="H7298" s="0" t="s">
        <v>175</v>
      </c>
      <c r="I7298" s="0" t="s">
        <v>36</v>
      </c>
      <c r="J7298" s="0" t="s">
        <v>37</v>
      </c>
      <c r="K7298" s="0" t="s">
        <v>30</v>
      </c>
      <c r="L7298" s="0" t="s">
        <v>31</v>
      </c>
      <c r="M7298" s="0" t="s">
        <v>173</v>
      </c>
      <c r="N7298" s="0" t="n">
        <v>1733</v>
      </c>
      <c r="O7298" s="10" t="n">
        <v>0.707068871241063</v>
      </c>
      <c r="P7298" s="10" t="n">
        <v>0.790102193132043</v>
      </c>
      <c r="Q7298" s="0" t="str">
        <f aca="false">SUBSTITUTE(SUBSTITUTE($I7298,CHAR(61),""),CHAR(34),"")</f>
        <v>10-14</v>
      </c>
      <c r="R7298" s="0" t="str">
        <f aca="false">IF($D7298&lt;&gt;"","["&amp;$E7298&amp;"]"&amp;"|"&amp;$Q7298&amp;"|"&amp;$K7298&amp;"|"&amp;$G7298&amp;"|"&amp;IF($G7298="TX_CURR_SUBNAT.R","CY2022Q4",$M7298),"")</f>
        <v>[kxuuIFpOXyO]|10-14|Female|NEW_INFECTIONS_SUBNAT.T2|CY2025Q3</v>
      </c>
    </row>
    <row r="7299" customFormat="false" ht="15" hidden="false" customHeight="false" outlineLevel="0" collapsed="false">
      <c r="D7299" s="0" t="s">
        <v>63</v>
      </c>
      <c r="E7299" s="0" t="s">
        <v>64</v>
      </c>
      <c r="F7299" s="0" t="s">
        <v>65</v>
      </c>
      <c r="G7299" s="0" t="s">
        <v>175</v>
      </c>
      <c r="H7299" s="0" t="s">
        <v>175</v>
      </c>
      <c r="I7299" s="0" t="s">
        <v>38</v>
      </c>
      <c r="J7299" s="0" t="s">
        <v>39</v>
      </c>
      <c r="K7299" s="0" t="s">
        <v>30</v>
      </c>
      <c r="L7299" s="0" t="s">
        <v>31</v>
      </c>
      <c r="M7299" s="0" t="s">
        <v>173</v>
      </c>
      <c r="N7299" s="0" t="n">
        <v>1055</v>
      </c>
      <c r="O7299" s="10" t="n">
        <v>0.917701550526544</v>
      </c>
      <c r="P7299" s="10" t="n">
        <v>0.790102193132043</v>
      </c>
      <c r="Q7299" s="0" t="str">
        <f aca="false">SUBSTITUTE(SUBSTITUTE($I7299,CHAR(61),""),CHAR(34),"")</f>
        <v>15-24</v>
      </c>
      <c r="R7299" s="0" t="str">
        <f aca="false">IF($D7299&lt;&gt;"","["&amp;$E7299&amp;"]"&amp;"|"&amp;$Q7299&amp;"|"&amp;$K7299&amp;"|"&amp;$G7299&amp;"|"&amp;IF($G7299="TX_CURR_SUBNAT.R","CY2022Q4",$M7299),"")</f>
        <v>[kxuuIFpOXyO]|15-24|Female|NEW_INFECTIONS_SUBNAT.T2|CY2025Q3</v>
      </c>
    </row>
    <row r="7300" customFormat="false" ht="15" hidden="false" customHeight="false" outlineLevel="0" collapsed="false">
      <c r="D7300" s="0" t="s">
        <v>63</v>
      </c>
      <c r="E7300" s="0" t="s">
        <v>64</v>
      </c>
      <c r="F7300" s="0" t="s">
        <v>65</v>
      </c>
      <c r="G7300" s="0" t="s">
        <v>175</v>
      </c>
      <c r="H7300" s="0" t="s">
        <v>175</v>
      </c>
      <c r="I7300" s="0" t="s">
        <v>41</v>
      </c>
      <c r="J7300" s="0" t="s">
        <v>42</v>
      </c>
      <c r="K7300" s="0" t="s">
        <v>30</v>
      </c>
      <c r="L7300" s="0" t="s">
        <v>31</v>
      </c>
      <c r="M7300" s="0" t="s">
        <v>173</v>
      </c>
      <c r="N7300" s="0" t="n">
        <v>1117</v>
      </c>
      <c r="O7300" s="10" t="n">
        <v>0.20896907011047</v>
      </c>
      <c r="P7300" s="10" t="n">
        <v>0.790102193132043</v>
      </c>
      <c r="Q7300" s="0" t="str">
        <f aca="false">SUBSTITUTE(SUBSTITUTE($I7300,CHAR(61),""),CHAR(34),"")</f>
        <v>25-34</v>
      </c>
      <c r="R7300" s="0" t="str">
        <f aca="false">IF($D7300&lt;&gt;"","["&amp;$E7300&amp;"]"&amp;"|"&amp;$Q7300&amp;"|"&amp;$K7300&amp;"|"&amp;$G7300&amp;"|"&amp;IF($G7300="TX_CURR_SUBNAT.R","CY2022Q4",$M7300),"")</f>
        <v>[kxuuIFpOXyO]|25-34|Female|NEW_INFECTIONS_SUBNAT.T2|CY2025Q3</v>
      </c>
    </row>
    <row r="7301" customFormat="false" ht="15" hidden="false" customHeight="false" outlineLevel="0" collapsed="false">
      <c r="D7301" s="0" t="s">
        <v>63</v>
      </c>
      <c r="E7301" s="0" t="s">
        <v>64</v>
      </c>
      <c r="F7301" s="0" t="s">
        <v>65</v>
      </c>
      <c r="G7301" s="0" t="s">
        <v>175</v>
      </c>
      <c r="H7301" s="0" t="s">
        <v>175</v>
      </c>
      <c r="I7301" s="0" t="s">
        <v>43</v>
      </c>
      <c r="J7301" s="0" t="s">
        <v>44</v>
      </c>
      <c r="K7301" s="0" t="s">
        <v>30</v>
      </c>
      <c r="L7301" s="0" t="s">
        <v>31</v>
      </c>
      <c r="M7301" s="0" t="s">
        <v>173</v>
      </c>
      <c r="N7301" s="0" t="n">
        <v>608</v>
      </c>
      <c r="O7301" s="10" t="n">
        <v>0.413747876184061</v>
      </c>
      <c r="P7301" s="10" t="n">
        <v>0.790102193132043</v>
      </c>
      <c r="Q7301" s="0" t="str">
        <f aca="false">SUBSTITUTE(SUBSTITUTE($I7301,CHAR(61),""),CHAR(34),"")</f>
        <v>35-49</v>
      </c>
      <c r="R7301" s="0" t="str">
        <f aca="false">IF($D7301&lt;&gt;"","["&amp;$E7301&amp;"]"&amp;"|"&amp;$Q7301&amp;"|"&amp;$K7301&amp;"|"&amp;$G7301&amp;"|"&amp;IF($G7301="TX_CURR_SUBNAT.R","CY2022Q4",$M7301),"")</f>
        <v>[kxuuIFpOXyO]|35-49|Female|NEW_INFECTIONS_SUBNAT.T2|CY2025Q3</v>
      </c>
    </row>
    <row r="7302" customFormat="false" ht="15" hidden="false" customHeight="false" outlineLevel="0" collapsed="false">
      <c r="D7302" s="0" t="s">
        <v>63</v>
      </c>
      <c r="E7302" s="0" t="s">
        <v>64</v>
      </c>
      <c r="F7302" s="0" t="s">
        <v>65</v>
      </c>
      <c r="G7302" s="0" t="s">
        <v>175</v>
      </c>
      <c r="H7302" s="0" t="s">
        <v>175</v>
      </c>
      <c r="I7302" s="0" t="s">
        <v>45</v>
      </c>
      <c r="J7302" s="0" t="s">
        <v>46</v>
      </c>
      <c r="K7302" s="0" t="s">
        <v>30</v>
      </c>
      <c r="L7302" s="0" t="s">
        <v>31</v>
      </c>
      <c r="M7302" s="0" t="s">
        <v>173</v>
      </c>
      <c r="N7302" s="0" t="n">
        <v>1357</v>
      </c>
      <c r="O7302" s="10" t="n">
        <v>0.59351939894259</v>
      </c>
      <c r="P7302" s="10" t="n">
        <v>0.790102193132043</v>
      </c>
      <c r="Q7302" s="0" t="str">
        <f aca="false">SUBSTITUTE(SUBSTITUTE($I7302,CHAR(61),""),CHAR(34),"")</f>
        <v>50+</v>
      </c>
      <c r="R7302" s="0" t="str">
        <f aca="false">IF($D7302&lt;&gt;"","["&amp;$E7302&amp;"]"&amp;"|"&amp;$Q7302&amp;"|"&amp;$K7302&amp;"|"&amp;$G7302&amp;"|"&amp;IF($G7302="TX_CURR_SUBNAT.R","CY2022Q4",$M7302),"")</f>
        <v>[kxuuIFpOXyO]|50+|Female|NEW_INFECTIONS_SUBNAT.T2|CY2025Q3</v>
      </c>
    </row>
    <row r="7303" customFormat="false" ht="15" hidden="false" customHeight="false" outlineLevel="0" collapsed="false">
      <c r="D7303" s="0" t="s">
        <v>63</v>
      </c>
      <c r="E7303" s="0" t="s">
        <v>64</v>
      </c>
      <c r="F7303" s="0" t="s">
        <v>65</v>
      </c>
      <c r="G7303" s="0" t="s">
        <v>175</v>
      </c>
      <c r="H7303" s="0" t="s">
        <v>175</v>
      </c>
      <c r="I7303" s="0" t="s">
        <v>28</v>
      </c>
      <c r="J7303" s="0" t="s">
        <v>29</v>
      </c>
      <c r="K7303" s="0" t="s">
        <v>48</v>
      </c>
      <c r="L7303" s="0" t="s">
        <v>49</v>
      </c>
      <c r="M7303" s="0" t="s">
        <v>173</v>
      </c>
      <c r="N7303" s="0" t="n">
        <v>1249</v>
      </c>
      <c r="O7303" s="10" t="n">
        <v>0.709479951765388</v>
      </c>
      <c r="P7303" s="10" t="n">
        <v>0.790102193132043</v>
      </c>
      <c r="Q7303" s="0" t="str">
        <f aca="false">SUBSTITUTE(SUBSTITUTE($I7303,CHAR(61),""),CHAR(34),"")</f>
        <v>&lt;01</v>
      </c>
      <c r="R7303" s="0" t="str">
        <f aca="false">IF($D7303&lt;&gt;"","["&amp;$E7303&amp;"]"&amp;"|"&amp;$Q7303&amp;"|"&amp;$K7303&amp;"|"&amp;$G7303&amp;"|"&amp;IF($G7303="TX_CURR_SUBNAT.R","CY2022Q4",$M7303),"")</f>
        <v>[kxuuIFpOXyO]|&lt;01|Male|NEW_INFECTIONS_SUBNAT.T2|CY2025Q3</v>
      </c>
    </row>
    <row r="7304" customFormat="false" ht="15" hidden="false" customHeight="false" outlineLevel="0" collapsed="false">
      <c r="D7304" s="0" t="s">
        <v>63</v>
      </c>
      <c r="E7304" s="0" t="s">
        <v>64</v>
      </c>
      <c r="F7304" s="0" t="s">
        <v>65</v>
      </c>
      <c r="G7304" s="0" t="s">
        <v>175</v>
      </c>
      <c r="H7304" s="0" t="s">
        <v>175</v>
      </c>
      <c r="I7304" s="0" t="s">
        <v>33</v>
      </c>
      <c r="J7304" s="0" t="s">
        <v>34</v>
      </c>
      <c r="K7304" s="0" t="s">
        <v>48</v>
      </c>
      <c r="L7304" s="0" t="s">
        <v>49</v>
      </c>
      <c r="M7304" s="0" t="s">
        <v>173</v>
      </c>
      <c r="N7304" s="0" t="n">
        <v>1740</v>
      </c>
      <c r="O7304" s="10" t="n">
        <v>0.523146252613515</v>
      </c>
      <c r="P7304" s="10" t="n">
        <v>0.790102193132043</v>
      </c>
      <c r="Q7304" s="0" t="str">
        <f aca="false">SUBSTITUTE(SUBSTITUTE($I7304,CHAR(61),""),CHAR(34),"")</f>
        <v>01-09</v>
      </c>
      <c r="R7304" s="0" t="str">
        <f aca="false">IF($D7304&lt;&gt;"","["&amp;$E7304&amp;"]"&amp;"|"&amp;$Q7304&amp;"|"&amp;$K7304&amp;"|"&amp;$G7304&amp;"|"&amp;IF($G7304="TX_CURR_SUBNAT.R","CY2022Q4",$M7304),"")</f>
        <v>[kxuuIFpOXyO]|01-09|Male|NEW_INFECTIONS_SUBNAT.T2|CY2025Q3</v>
      </c>
    </row>
    <row r="7305" customFormat="false" ht="15" hidden="false" customHeight="false" outlineLevel="0" collapsed="false">
      <c r="D7305" s="0" t="s">
        <v>63</v>
      </c>
      <c r="E7305" s="0" t="s">
        <v>64</v>
      </c>
      <c r="F7305" s="0" t="s">
        <v>65</v>
      </c>
      <c r="G7305" s="0" t="s">
        <v>175</v>
      </c>
      <c r="H7305" s="0" t="s">
        <v>175</v>
      </c>
      <c r="I7305" s="0" t="s">
        <v>36</v>
      </c>
      <c r="J7305" s="0" t="s">
        <v>37</v>
      </c>
      <c r="K7305" s="0" t="s">
        <v>48</v>
      </c>
      <c r="L7305" s="0" t="s">
        <v>49</v>
      </c>
      <c r="M7305" s="0" t="s">
        <v>173</v>
      </c>
      <c r="N7305" s="0" t="n">
        <v>1996</v>
      </c>
      <c r="O7305" s="10" t="n">
        <v>0.158876416040584</v>
      </c>
      <c r="P7305" s="10" t="n">
        <v>0.790102193132043</v>
      </c>
      <c r="Q7305" s="0" t="str">
        <f aca="false">SUBSTITUTE(SUBSTITUTE($I7305,CHAR(61),""),CHAR(34),"")</f>
        <v>10-14</v>
      </c>
      <c r="R7305" s="0" t="str">
        <f aca="false">IF($D7305&lt;&gt;"","["&amp;$E7305&amp;"]"&amp;"|"&amp;$Q7305&amp;"|"&amp;$K7305&amp;"|"&amp;$G7305&amp;"|"&amp;IF($G7305="TX_CURR_SUBNAT.R","CY2022Q4",$M7305),"")</f>
        <v>[kxuuIFpOXyO]|10-14|Male|NEW_INFECTIONS_SUBNAT.T2|CY2025Q3</v>
      </c>
    </row>
    <row r="7306" customFormat="false" ht="15" hidden="false" customHeight="false" outlineLevel="0" collapsed="false">
      <c r="D7306" s="0" t="s">
        <v>63</v>
      </c>
      <c r="E7306" s="0" t="s">
        <v>64</v>
      </c>
      <c r="F7306" s="0" t="s">
        <v>65</v>
      </c>
      <c r="G7306" s="0" t="s">
        <v>175</v>
      </c>
      <c r="H7306" s="0" t="s">
        <v>175</v>
      </c>
      <c r="I7306" s="0" t="s">
        <v>38</v>
      </c>
      <c r="J7306" s="0" t="s">
        <v>39</v>
      </c>
      <c r="K7306" s="0" t="s">
        <v>48</v>
      </c>
      <c r="L7306" s="0" t="s">
        <v>49</v>
      </c>
      <c r="M7306" s="0" t="s">
        <v>173</v>
      </c>
      <c r="N7306" s="0" t="n">
        <v>674</v>
      </c>
      <c r="O7306" s="10" t="n">
        <v>0.439244845882058</v>
      </c>
      <c r="P7306" s="10" t="n">
        <v>0.790102193132043</v>
      </c>
      <c r="Q7306" s="0" t="str">
        <f aca="false">SUBSTITUTE(SUBSTITUTE($I7306,CHAR(61),""),CHAR(34),"")</f>
        <v>15-24</v>
      </c>
      <c r="R7306" s="0" t="str">
        <f aca="false">IF($D7306&lt;&gt;"","["&amp;$E7306&amp;"]"&amp;"|"&amp;$Q7306&amp;"|"&amp;$K7306&amp;"|"&amp;$G7306&amp;"|"&amp;IF($G7306="TX_CURR_SUBNAT.R","CY2022Q4",$M7306),"")</f>
        <v>[kxuuIFpOXyO]|15-24|Male|NEW_INFECTIONS_SUBNAT.T2|CY2025Q3</v>
      </c>
    </row>
    <row r="7307" customFormat="false" ht="15" hidden="false" customHeight="false" outlineLevel="0" collapsed="false">
      <c r="D7307" s="0" t="s">
        <v>63</v>
      </c>
      <c r="E7307" s="0" t="s">
        <v>64</v>
      </c>
      <c r="F7307" s="0" t="s">
        <v>65</v>
      </c>
      <c r="G7307" s="0" t="s">
        <v>175</v>
      </c>
      <c r="H7307" s="0" t="s">
        <v>175</v>
      </c>
      <c r="I7307" s="0" t="s">
        <v>41</v>
      </c>
      <c r="J7307" s="0" t="s">
        <v>42</v>
      </c>
      <c r="K7307" s="0" t="s">
        <v>48</v>
      </c>
      <c r="L7307" s="0" t="s">
        <v>49</v>
      </c>
      <c r="M7307" s="0" t="s">
        <v>173</v>
      </c>
      <c r="N7307" s="0" t="n">
        <v>1434</v>
      </c>
      <c r="O7307" s="10" t="n">
        <v>0.310248889261857</v>
      </c>
      <c r="P7307" s="10" t="n">
        <v>0.790102193132043</v>
      </c>
      <c r="Q7307" s="0" t="str">
        <f aca="false">SUBSTITUTE(SUBSTITUTE($I7307,CHAR(61),""),CHAR(34),"")</f>
        <v>25-34</v>
      </c>
      <c r="R7307" s="0" t="str">
        <f aca="false">IF($D7307&lt;&gt;"","["&amp;$E7307&amp;"]"&amp;"|"&amp;$Q7307&amp;"|"&amp;$K7307&amp;"|"&amp;$G7307&amp;"|"&amp;IF($G7307="TX_CURR_SUBNAT.R","CY2022Q4",$M7307),"")</f>
        <v>[kxuuIFpOXyO]|25-34|Male|NEW_INFECTIONS_SUBNAT.T2|CY2025Q3</v>
      </c>
    </row>
    <row r="7308" customFormat="false" ht="15" hidden="false" customHeight="false" outlineLevel="0" collapsed="false">
      <c r="D7308" s="0" t="s">
        <v>63</v>
      </c>
      <c r="E7308" s="0" t="s">
        <v>64</v>
      </c>
      <c r="F7308" s="0" t="s">
        <v>65</v>
      </c>
      <c r="G7308" s="0" t="s">
        <v>175</v>
      </c>
      <c r="H7308" s="0" t="s">
        <v>175</v>
      </c>
      <c r="I7308" s="0" t="s">
        <v>43</v>
      </c>
      <c r="J7308" s="0" t="s">
        <v>44</v>
      </c>
      <c r="K7308" s="0" t="s">
        <v>48</v>
      </c>
      <c r="L7308" s="0" t="s">
        <v>49</v>
      </c>
      <c r="M7308" s="0" t="s">
        <v>173</v>
      </c>
      <c r="N7308" s="0" t="n">
        <v>572</v>
      </c>
      <c r="O7308" s="10" t="n">
        <v>0.115410569356754</v>
      </c>
      <c r="P7308" s="10" t="n">
        <v>0.790102193132043</v>
      </c>
      <c r="Q7308" s="0" t="str">
        <f aca="false">SUBSTITUTE(SUBSTITUTE($I7308,CHAR(61),""),CHAR(34),"")</f>
        <v>35-49</v>
      </c>
      <c r="R7308" s="0" t="str">
        <f aca="false">IF($D7308&lt;&gt;"","["&amp;$E7308&amp;"]"&amp;"|"&amp;$Q7308&amp;"|"&amp;$K7308&amp;"|"&amp;$G7308&amp;"|"&amp;IF($G7308="TX_CURR_SUBNAT.R","CY2022Q4",$M7308),"")</f>
        <v>[kxuuIFpOXyO]|35-49|Male|NEW_INFECTIONS_SUBNAT.T2|CY2025Q3</v>
      </c>
    </row>
    <row r="7309" customFormat="false" ht="15" hidden="false" customHeight="false" outlineLevel="0" collapsed="false">
      <c r="D7309" s="0" t="s">
        <v>63</v>
      </c>
      <c r="E7309" s="0" t="s">
        <v>64</v>
      </c>
      <c r="F7309" s="0" t="s">
        <v>65</v>
      </c>
      <c r="G7309" s="0" t="s">
        <v>175</v>
      </c>
      <c r="H7309" s="0" t="s">
        <v>175</v>
      </c>
      <c r="I7309" s="0" t="s">
        <v>45</v>
      </c>
      <c r="J7309" s="0" t="s">
        <v>46</v>
      </c>
      <c r="K7309" s="0" t="s">
        <v>48</v>
      </c>
      <c r="L7309" s="0" t="s">
        <v>49</v>
      </c>
      <c r="M7309" s="0" t="s">
        <v>173</v>
      </c>
      <c r="N7309" s="0" t="n">
        <v>845</v>
      </c>
      <c r="O7309" s="10" t="n">
        <v>0.281881646951661</v>
      </c>
      <c r="P7309" s="10" t="n">
        <v>0.790102193132043</v>
      </c>
      <c r="Q7309" s="0" t="str">
        <f aca="false">SUBSTITUTE(SUBSTITUTE($I7309,CHAR(61),""),CHAR(34),"")</f>
        <v>50+</v>
      </c>
      <c r="R7309" s="0" t="str">
        <f aca="false">IF($D7309&lt;&gt;"","["&amp;$E7309&amp;"]"&amp;"|"&amp;$Q7309&amp;"|"&amp;$K7309&amp;"|"&amp;$G7309&amp;"|"&amp;IF($G7309="TX_CURR_SUBNAT.R","CY2022Q4",$M7309),"")</f>
        <v>[kxuuIFpOXyO]|50+|Male|NEW_INFECTIONS_SUBNAT.T2|CY2025Q3</v>
      </c>
    </row>
    <row r="7310" customFormat="false" ht="15" hidden="false" customHeight="false" outlineLevel="0" collapsed="false">
      <c r="D7310" s="0" t="s">
        <v>66</v>
      </c>
      <c r="E7310" s="0" t="s">
        <v>67</v>
      </c>
      <c r="F7310" s="0" t="s">
        <v>68</v>
      </c>
      <c r="G7310" s="0" t="s">
        <v>175</v>
      </c>
      <c r="H7310" s="0" t="s">
        <v>175</v>
      </c>
      <c r="I7310" s="0" t="s">
        <v>28</v>
      </c>
      <c r="J7310" s="0" t="s">
        <v>29</v>
      </c>
      <c r="K7310" s="0" t="s">
        <v>30</v>
      </c>
      <c r="L7310" s="0" t="s">
        <v>31</v>
      </c>
      <c r="M7310" s="0" t="s">
        <v>173</v>
      </c>
      <c r="N7310" s="0" t="n">
        <v>1193</v>
      </c>
      <c r="O7310" s="10" t="n">
        <v>0.422651067841798</v>
      </c>
      <c r="P7310" s="10" t="n">
        <v>0.164609884377569</v>
      </c>
      <c r="Q7310" s="0" t="str">
        <f aca="false">SUBSTITUTE(SUBSTITUTE($I7310,CHAR(61),""),CHAR(34),"")</f>
        <v>&lt;01</v>
      </c>
      <c r="R7310" s="0" t="str">
        <f aca="false">IF($D7310&lt;&gt;"","["&amp;$E7310&amp;"]"&amp;"|"&amp;$Q7310&amp;"|"&amp;$K7310&amp;"|"&amp;$G7310&amp;"|"&amp;IF($G7310="TX_CURR_SUBNAT.R","CY2022Q4",$M7310),"")</f>
        <v>[ScR9iFKAasW]|&lt;01|Female|NEW_INFECTIONS_SUBNAT.T2|CY2025Q3</v>
      </c>
    </row>
    <row r="7311" customFormat="false" ht="15" hidden="false" customHeight="false" outlineLevel="0" collapsed="false">
      <c r="D7311" s="0" t="s">
        <v>66</v>
      </c>
      <c r="E7311" s="0" t="s">
        <v>67</v>
      </c>
      <c r="F7311" s="0" t="s">
        <v>68</v>
      </c>
      <c r="G7311" s="0" t="s">
        <v>175</v>
      </c>
      <c r="H7311" s="0" t="s">
        <v>175</v>
      </c>
      <c r="I7311" s="0" t="s">
        <v>33</v>
      </c>
      <c r="J7311" s="0" t="s">
        <v>34</v>
      </c>
      <c r="K7311" s="0" t="s">
        <v>30</v>
      </c>
      <c r="L7311" s="0" t="s">
        <v>31</v>
      </c>
      <c r="M7311" s="0" t="s">
        <v>173</v>
      </c>
      <c r="N7311" s="0" t="n">
        <v>1667</v>
      </c>
      <c r="O7311" s="10" t="n">
        <v>0.845303029520437</v>
      </c>
      <c r="P7311" s="10" t="n">
        <v>0.164609884377569</v>
      </c>
      <c r="Q7311" s="0" t="str">
        <f aca="false">SUBSTITUTE(SUBSTITUTE($I7311,CHAR(61),""),CHAR(34),"")</f>
        <v>01-09</v>
      </c>
      <c r="R7311" s="0" t="str">
        <f aca="false">IF($D7311&lt;&gt;"","["&amp;$E7311&amp;"]"&amp;"|"&amp;$Q7311&amp;"|"&amp;$K7311&amp;"|"&amp;$G7311&amp;"|"&amp;IF($G7311="TX_CURR_SUBNAT.R","CY2022Q4",$M7311),"")</f>
        <v>[ScR9iFKAasW]|01-09|Female|NEW_INFECTIONS_SUBNAT.T2|CY2025Q3</v>
      </c>
    </row>
    <row r="7312" customFormat="false" ht="15" hidden="false" customHeight="false" outlineLevel="0" collapsed="false">
      <c r="D7312" s="0" t="s">
        <v>66</v>
      </c>
      <c r="E7312" s="0" t="s">
        <v>67</v>
      </c>
      <c r="F7312" s="0" t="s">
        <v>68</v>
      </c>
      <c r="G7312" s="0" t="s">
        <v>175</v>
      </c>
      <c r="H7312" s="0" t="s">
        <v>175</v>
      </c>
      <c r="I7312" s="0" t="s">
        <v>36</v>
      </c>
      <c r="J7312" s="0" t="s">
        <v>37</v>
      </c>
      <c r="K7312" s="0" t="s">
        <v>30</v>
      </c>
      <c r="L7312" s="0" t="s">
        <v>31</v>
      </c>
      <c r="M7312" s="0" t="s">
        <v>173</v>
      </c>
      <c r="N7312" s="0" t="n">
        <v>1592</v>
      </c>
      <c r="O7312" s="10" t="n">
        <v>0.996216180967167</v>
      </c>
      <c r="P7312" s="10" t="n">
        <v>0.164609884377569</v>
      </c>
      <c r="Q7312" s="0" t="str">
        <f aca="false">SUBSTITUTE(SUBSTITUTE($I7312,CHAR(61),""),CHAR(34),"")</f>
        <v>10-14</v>
      </c>
      <c r="R7312" s="0" t="str">
        <f aca="false">IF($D7312&lt;&gt;"","["&amp;$E7312&amp;"]"&amp;"|"&amp;$Q7312&amp;"|"&amp;$K7312&amp;"|"&amp;$G7312&amp;"|"&amp;IF($G7312="TX_CURR_SUBNAT.R","CY2022Q4",$M7312),"")</f>
        <v>[ScR9iFKAasW]|10-14|Female|NEW_INFECTIONS_SUBNAT.T2|CY2025Q3</v>
      </c>
    </row>
    <row r="7313" customFormat="false" ht="15" hidden="false" customHeight="false" outlineLevel="0" collapsed="false">
      <c r="D7313" s="0" t="s">
        <v>66</v>
      </c>
      <c r="E7313" s="0" t="s">
        <v>67</v>
      </c>
      <c r="F7313" s="0" t="s">
        <v>68</v>
      </c>
      <c r="G7313" s="0" t="s">
        <v>175</v>
      </c>
      <c r="H7313" s="0" t="s">
        <v>175</v>
      </c>
      <c r="I7313" s="0" t="s">
        <v>38</v>
      </c>
      <c r="J7313" s="0" t="s">
        <v>39</v>
      </c>
      <c r="K7313" s="0" t="s">
        <v>30</v>
      </c>
      <c r="L7313" s="0" t="s">
        <v>31</v>
      </c>
      <c r="M7313" s="0" t="s">
        <v>173</v>
      </c>
      <c r="N7313" s="0" t="n">
        <v>1163</v>
      </c>
      <c r="O7313" s="10" t="n">
        <v>0.0943934672977775</v>
      </c>
      <c r="P7313" s="10" t="n">
        <v>0.164609884377569</v>
      </c>
      <c r="Q7313" s="0" t="str">
        <f aca="false">SUBSTITUTE(SUBSTITUTE($I7313,CHAR(61),""),CHAR(34),"")</f>
        <v>15-24</v>
      </c>
      <c r="R7313" s="0" t="str">
        <f aca="false">IF($D7313&lt;&gt;"","["&amp;$E7313&amp;"]"&amp;"|"&amp;$Q7313&amp;"|"&amp;$K7313&amp;"|"&amp;$G7313&amp;"|"&amp;IF($G7313="TX_CURR_SUBNAT.R","CY2022Q4",$M7313),"")</f>
        <v>[ScR9iFKAasW]|15-24|Female|NEW_INFECTIONS_SUBNAT.T2|CY2025Q3</v>
      </c>
    </row>
    <row r="7314" customFormat="false" ht="15" hidden="false" customHeight="false" outlineLevel="0" collapsed="false">
      <c r="D7314" s="0" t="s">
        <v>66</v>
      </c>
      <c r="E7314" s="0" t="s">
        <v>67</v>
      </c>
      <c r="F7314" s="0" t="s">
        <v>68</v>
      </c>
      <c r="G7314" s="0" t="s">
        <v>175</v>
      </c>
      <c r="H7314" s="0" t="s">
        <v>175</v>
      </c>
      <c r="I7314" s="0" t="s">
        <v>41</v>
      </c>
      <c r="J7314" s="0" t="s">
        <v>42</v>
      </c>
      <c r="K7314" s="0" t="s">
        <v>30</v>
      </c>
      <c r="L7314" s="0" t="s">
        <v>31</v>
      </c>
      <c r="M7314" s="0" t="s">
        <v>173</v>
      </c>
      <c r="N7314" s="0" t="n">
        <v>878</v>
      </c>
      <c r="O7314" s="10" t="n">
        <v>0.259347731480375</v>
      </c>
      <c r="P7314" s="10" t="n">
        <v>0.164609884377569</v>
      </c>
      <c r="Q7314" s="0" t="str">
        <f aca="false">SUBSTITUTE(SUBSTITUTE($I7314,CHAR(61),""),CHAR(34),"")</f>
        <v>25-34</v>
      </c>
      <c r="R7314" s="0" t="str">
        <f aca="false">IF($D7314&lt;&gt;"","["&amp;$E7314&amp;"]"&amp;"|"&amp;$Q7314&amp;"|"&amp;$K7314&amp;"|"&amp;$G7314&amp;"|"&amp;IF($G7314="TX_CURR_SUBNAT.R","CY2022Q4",$M7314),"")</f>
        <v>[ScR9iFKAasW]|25-34|Female|NEW_INFECTIONS_SUBNAT.T2|CY2025Q3</v>
      </c>
    </row>
    <row r="7315" customFormat="false" ht="15" hidden="false" customHeight="false" outlineLevel="0" collapsed="false">
      <c r="D7315" s="0" t="s">
        <v>66</v>
      </c>
      <c r="E7315" s="0" t="s">
        <v>67</v>
      </c>
      <c r="F7315" s="0" t="s">
        <v>68</v>
      </c>
      <c r="G7315" s="0" t="s">
        <v>175</v>
      </c>
      <c r="H7315" s="0" t="s">
        <v>175</v>
      </c>
      <c r="I7315" s="0" t="s">
        <v>43</v>
      </c>
      <c r="J7315" s="0" t="s">
        <v>44</v>
      </c>
      <c r="K7315" s="0" t="s">
        <v>30</v>
      </c>
      <c r="L7315" s="0" t="s">
        <v>31</v>
      </c>
      <c r="M7315" s="0" t="s">
        <v>173</v>
      </c>
      <c r="N7315" s="0" t="n">
        <v>1241</v>
      </c>
      <c r="O7315" s="10" t="n">
        <v>0.860506648430601</v>
      </c>
      <c r="P7315" s="10" t="n">
        <v>0.164609884377569</v>
      </c>
      <c r="Q7315" s="0" t="str">
        <f aca="false">SUBSTITUTE(SUBSTITUTE($I7315,CHAR(61),""),CHAR(34),"")</f>
        <v>35-49</v>
      </c>
      <c r="R7315" s="0" t="str">
        <f aca="false">IF($D7315&lt;&gt;"","["&amp;$E7315&amp;"]"&amp;"|"&amp;$Q7315&amp;"|"&amp;$K7315&amp;"|"&amp;$G7315&amp;"|"&amp;IF($G7315="TX_CURR_SUBNAT.R","CY2022Q4",$M7315),"")</f>
        <v>[ScR9iFKAasW]|35-49|Female|NEW_INFECTIONS_SUBNAT.T2|CY2025Q3</v>
      </c>
    </row>
    <row r="7316" customFormat="false" ht="15" hidden="false" customHeight="false" outlineLevel="0" collapsed="false">
      <c r="D7316" s="0" t="s">
        <v>66</v>
      </c>
      <c r="E7316" s="0" t="s">
        <v>67</v>
      </c>
      <c r="F7316" s="0" t="s">
        <v>68</v>
      </c>
      <c r="G7316" s="0" t="s">
        <v>175</v>
      </c>
      <c r="H7316" s="0" t="s">
        <v>175</v>
      </c>
      <c r="I7316" s="0" t="s">
        <v>45</v>
      </c>
      <c r="J7316" s="0" t="s">
        <v>46</v>
      </c>
      <c r="K7316" s="0" t="s">
        <v>30</v>
      </c>
      <c r="L7316" s="0" t="s">
        <v>31</v>
      </c>
      <c r="M7316" s="0" t="s">
        <v>173</v>
      </c>
      <c r="N7316" s="0" t="n">
        <v>1190</v>
      </c>
      <c r="O7316" s="10" t="n">
        <v>0.812156178290024</v>
      </c>
      <c r="P7316" s="10" t="n">
        <v>0.164609884377569</v>
      </c>
      <c r="Q7316" s="0" t="str">
        <f aca="false">SUBSTITUTE(SUBSTITUTE($I7316,CHAR(61),""),CHAR(34),"")</f>
        <v>50+</v>
      </c>
      <c r="R7316" s="0" t="str">
        <f aca="false">IF($D7316&lt;&gt;"","["&amp;$E7316&amp;"]"&amp;"|"&amp;$Q7316&amp;"|"&amp;$K7316&amp;"|"&amp;$G7316&amp;"|"&amp;IF($G7316="TX_CURR_SUBNAT.R","CY2022Q4",$M7316),"")</f>
        <v>[ScR9iFKAasW]|50+|Female|NEW_INFECTIONS_SUBNAT.T2|CY2025Q3</v>
      </c>
    </row>
    <row r="7317" customFormat="false" ht="15" hidden="false" customHeight="false" outlineLevel="0" collapsed="false">
      <c r="D7317" s="0" t="s">
        <v>66</v>
      </c>
      <c r="E7317" s="0" t="s">
        <v>67</v>
      </c>
      <c r="F7317" s="0" t="s">
        <v>68</v>
      </c>
      <c r="G7317" s="0" t="s">
        <v>175</v>
      </c>
      <c r="H7317" s="0" t="s">
        <v>175</v>
      </c>
      <c r="I7317" s="0" t="s">
        <v>28</v>
      </c>
      <c r="J7317" s="0" t="s">
        <v>29</v>
      </c>
      <c r="K7317" s="0" t="s">
        <v>48</v>
      </c>
      <c r="L7317" s="0" t="s">
        <v>49</v>
      </c>
      <c r="M7317" s="0" t="s">
        <v>173</v>
      </c>
      <c r="N7317" s="0" t="n">
        <v>965</v>
      </c>
      <c r="O7317" s="10" t="n">
        <v>0.417693875497207</v>
      </c>
      <c r="P7317" s="10" t="n">
        <v>0.164609884377569</v>
      </c>
      <c r="Q7317" s="0" t="str">
        <f aca="false">SUBSTITUTE(SUBSTITUTE($I7317,CHAR(61),""),CHAR(34),"")</f>
        <v>&lt;01</v>
      </c>
      <c r="R7317" s="0" t="str">
        <f aca="false">IF($D7317&lt;&gt;"","["&amp;$E7317&amp;"]"&amp;"|"&amp;$Q7317&amp;"|"&amp;$K7317&amp;"|"&amp;$G7317&amp;"|"&amp;IF($G7317="TX_CURR_SUBNAT.R","CY2022Q4",$M7317),"")</f>
        <v>[ScR9iFKAasW]|&lt;01|Male|NEW_INFECTIONS_SUBNAT.T2|CY2025Q3</v>
      </c>
    </row>
    <row r="7318" customFormat="false" ht="15" hidden="false" customHeight="false" outlineLevel="0" collapsed="false">
      <c r="D7318" s="0" t="s">
        <v>66</v>
      </c>
      <c r="E7318" s="0" t="s">
        <v>67</v>
      </c>
      <c r="F7318" s="0" t="s">
        <v>68</v>
      </c>
      <c r="G7318" s="0" t="s">
        <v>175</v>
      </c>
      <c r="H7318" s="0" t="s">
        <v>175</v>
      </c>
      <c r="I7318" s="0" t="s">
        <v>33</v>
      </c>
      <c r="J7318" s="0" t="s">
        <v>34</v>
      </c>
      <c r="K7318" s="0" t="s">
        <v>48</v>
      </c>
      <c r="L7318" s="0" t="s">
        <v>49</v>
      </c>
      <c r="M7318" s="0" t="s">
        <v>173</v>
      </c>
      <c r="N7318" s="0" t="n">
        <v>1171</v>
      </c>
      <c r="O7318" s="10" t="n">
        <v>0.231365374522284</v>
      </c>
      <c r="P7318" s="10" t="n">
        <v>0.164609884377569</v>
      </c>
      <c r="Q7318" s="0" t="str">
        <f aca="false">SUBSTITUTE(SUBSTITUTE($I7318,CHAR(61),""),CHAR(34),"")</f>
        <v>01-09</v>
      </c>
      <c r="R7318" s="0" t="str">
        <f aca="false">IF($D7318&lt;&gt;"","["&amp;$E7318&amp;"]"&amp;"|"&amp;$Q7318&amp;"|"&amp;$K7318&amp;"|"&amp;$G7318&amp;"|"&amp;IF($G7318="TX_CURR_SUBNAT.R","CY2022Q4",$M7318),"")</f>
        <v>[ScR9iFKAasW]|01-09|Male|NEW_INFECTIONS_SUBNAT.T2|CY2025Q3</v>
      </c>
    </row>
    <row r="7319" customFormat="false" ht="15" hidden="false" customHeight="false" outlineLevel="0" collapsed="false">
      <c r="D7319" s="0" t="s">
        <v>66</v>
      </c>
      <c r="E7319" s="0" t="s">
        <v>67</v>
      </c>
      <c r="F7319" s="0" t="s">
        <v>68</v>
      </c>
      <c r="G7319" s="0" t="s">
        <v>175</v>
      </c>
      <c r="H7319" s="0" t="s">
        <v>175</v>
      </c>
      <c r="I7319" s="0" t="s">
        <v>36</v>
      </c>
      <c r="J7319" s="0" t="s">
        <v>37</v>
      </c>
      <c r="K7319" s="0" t="s">
        <v>48</v>
      </c>
      <c r="L7319" s="0" t="s">
        <v>49</v>
      </c>
      <c r="M7319" s="0" t="s">
        <v>173</v>
      </c>
      <c r="N7319" s="0" t="n">
        <v>828</v>
      </c>
      <c r="O7319" s="10" t="n">
        <v>0.763863697648048</v>
      </c>
      <c r="P7319" s="10" t="n">
        <v>0.164609884377569</v>
      </c>
      <c r="Q7319" s="0" t="str">
        <f aca="false">SUBSTITUTE(SUBSTITUTE($I7319,CHAR(61),""),CHAR(34),"")</f>
        <v>10-14</v>
      </c>
      <c r="R7319" s="0" t="str">
        <f aca="false">IF($D7319&lt;&gt;"","["&amp;$E7319&amp;"]"&amp;"|"&amp;$Q7319&amp;"|"&amp;$K7319&amp;"|"&amp;$G7319&amp;"|"&amp;IF($G7319="TX_CURR_SUBNAT.R","CY2022Q4",$M7319),"")</f>
        <v>[ScR9iFKAasW]|10-14|Male|NEW_INFECTIONS_SUBNAT.T2|CY2025Q3</v>
      </c>
    </row>
    <row r="7320" customFormat="false" ht="15" hidden="false" customHeight="false" outlineLevel="0" collapsed="false">
      <c r="D7320" s="0" t="s">
        <v>66</v>
      </c>
      <c r="E7320" s="0" t="s">
        <v>67</v>
      </c>
      <c r="F7320" s="0" t="s">
        <v>68</v>
      </c>
      <c r="G7320" s="0" t="s">
        <v>175</v>
      </c>
      <c r="H7320" s="0" t="s">
        <v>175</v>
      </c>
      <c r="I7320" s="0" t="s">
        <v>38</v>
      </c>
      <c r="J7320" s="0" t="s">
        <v>39</v>
      </c>
      <c r="K7320" s="0" t="s">
        <v>48</v>
      </c>
      <c r="L7320" s="0" t="s">
        <v>49</v>
      </c>
      <c r="M7320" s="0" t="s">
        <v>173</v>
      </c>
      <c r="N7320" s="0" t="n">
        <v>2000</v>
      </c>
      <c r="O7320" s="10" t="n">
        <v>0.749509818386286</v>
      </c>
      <c r="P7320" s="10" t="n">
        <v>0.164609884377569</v>
      </c>
      <c r="Q7320" s="0" t="str">
        <f aca="false">SUBSTITUTE(SUBSTITUTE($I7320,CHAR(61),""),CHAR(34),"")</f>
        <v>15-24</v>
      </c>
      <c r="R7320" s="0" t="str">
        <f aca="false">IF($D7320&lt;&gt;"","["&amp;$E7320&amp;"]"&amp;"|"&amp;$Q7320&amp;"|"&amp;$K7320&amp;"|"&amp;$G7320&amp;"|"&amp;IF($G7320="TX_CURR_SUBNAT.R","CY2022Q4",$M7320),"")</f>
        <v>[ScR9iFKAasW]|15-24|Male|NEW_INFECTIONS_SUBNAT.T2|CY2025Q3</v>
      </c>
    </row>
    <row r="7321" customFormat="false" ht="15" hidden="false" customHeight="false" outlineLevel="0" collapsed="false">
      <c r="D7321" s="0" t="s">
        <v>66</v>
      </c>
      <c r="E7321" s="0" t="s">
        <v>67</v>
      </c>
      <c r="F7321" s="0" t="s">
        <v>68</v>
      </c>
      <c r="G7321" s="0" t="s">
        <v>175</v>
      </c>
      <c r="H7321" s="0" t="s">
        <v>175</v>
      </c>
      <c r="I7321" s="0" t="s">
        <v>41</v>
      </c>
      <c r="J7321" s="0" t="s">
        <v>42</v>
      </c>
      <c r="K7321" s="0" t="s">
        <v>48</v>
      </c>
      <c r="L7321" s="0" t="s">
        <v>49</v>
      </c>
      <c r="M7321" s="0" t="s">
        <v>173</v>
      </c>
      <c r="N7321" s="0" t="n">
        <v>1816</v>
      </c>
      <c r="O7321" s="10" t="n">
        <v>0.793757585808635</v>
      </c>
      <c r="P7321" s="10" t="n">
        <v>0.164609884377569</v>
      </c>
      <c r="Q7321" s="0" t="str">
        <f aca="false">SUBSTITUTE(SUBSTITUTE($I7321,CHAR(61),""),CHAR(34),"")</f>
        <v>25-34</v>
      </c>
      <c r="R7321" s="0" t="str">
        <f aca="false">IF($D7321&lt;&gt;"","["&amp;$E7321&amp;"]"&amp;"|"&amp;$Q7321&amp;"|"&amp;$K7321&amp;"|"&amp;$G7321&amp;"|"&amp;IF($G7321="TX_CURR_SUBNAT.R","CY2022Q4",$M7321),"")</f>
        <v>[ScR9iFKAasW]|25-34|Male|NEW_INFECTIONS_SUBNAT.T2|CY2025Q3</v>
      </c>
    </row>
    <row r="7322" customFormat="false" ht="15" hidden="false" customHeight="false" outlineLevel="0" collapsed="false">
      <c r="D7322" s="0" t="s">
        <v>66</v>
      </c>
      <c r="E7322" s="0" t="s">
        <v>67</v>
      </c>
      <c r="F7322" s="0" t="s">
        <v>68</v>
      </c>
      <c r="G7322" s="0" t="s">
        <v>175</v>
      </c>
      <c r="H7322" s="0" t="s">
        <v>175</v>
      </c>
      <c r="I7322" s="0" t="s">
        <v>43</v>
      </c>
      <c r="J7322" s="0" t="s">
        <v>44</v>
      </c>
      <c r="K7322" s="0" t="s">
        <v>48</v>
      </c>
      <c r="L7322" s="0" t="s">
        <v>49</v>
      </c>
      <c r="M7322" s="0" t="s">
        <v>173</v>
      </c>
      <c r="N7322" s="0" t="n">
        <v>1799</v>
      </c>
      <c r="O7322" s="10" t="n">
        <v>0.368631495628506</v>
      </c>
      <c r="P7322" s="10" t="n">
        <v>0.164609884377569</v>
      </c>
      <c r="Q7322" s="0" t="str">
        <f aca="false">SUBSTITUTE(SUBSTITUTE($I7322,CHAR(61),""),CHAR(34),"")</f>
        <v>35-49</v>
      </c>
      <c r="R7322" s="0" t="str">
        <f aca="false">IF($D7322&lt;&gt;"","["&amp;$E7322&amp;"]"&amp;"|"&amp;$Q7322&amp;"|"&amp;$K7322&amp;"|"&amp;$G7322&amp;"|"&amp;IF($G7322="TX_CURR_SUBNAT.R","CY2022Q4",$M7322),"")</f>
        <v>[ScR9iFKAasW]|35-49|Male|NEW_INFECTIONS_SUBNAT.T2|CY2025Q3</v>
      </c>
    </row>
    <row r="7323" customFormat="false" ht="15" hidden="false" customHeight="false" outlineLevel="0" collapsed="false">
      <c r="D7323" s="0" t="s">
        <v>66</v>
      </c>
      <c r="E7323" s="0" t="s">
        <v>67</v>
      </c>
      <c r="F7323" s="0" t="s">
        <v>68</v>
      </c>
      <c r="G7323" s="0" t="s">
        <v>175</v>
      </c>
      <c r="H7323" s="0" t="s">
        <v>175</v>
      </c>
      <c r="I7323" s="0" t="s">
        <v>45</v>
      </c>
      <c r="J7323" s="0" t="s">
        <v>46</v>
      </c>
      <c r="K7323" s="0" t="s">
        <v>48</v>
      </c>
      <c r="L7323" s="0" t="s">
        <v>49</v>
      </c>
      <c r="M7323" s="0" t="s">
        <v>173</v>
      </c>
      <c r="N7323" s="0" t="n">
        <v>1125</v>
      </c>
      <c r="O7323" s="10" t="n">
        <v>0.915614600060508</v>
      </c>
      <c r="P7323" s="10" t="n">
        <v>0.164609884377569</v>
      </c>
      <c r="Q7323" s="0" t="str">
        <f aca="false">SUBSTITUTE(SUBSTITUTE($I7323,CHAR(61),""),CHAR(34),"")</f>
        <v>50+</v>
      </c>
      <c r="R7323" s="0" t="str">
        <f aca="false">IF($D7323&lt;&gt;"","["&amp;$E7323&amp;"]"&amp;"|"&amp;$Q7323&amp;"|"&amp;$K7323&amp;"|"&amp;$G7323&amp;"|"&amp;IF($G7323="TX_CURR_SUBNAT.R","CY2022Q4",$M7323),"")</f>
        <v>[ScR9iFKAasW]|50+|Male|NEW_INFECTIONS_SUBNAT.T2|CY2025Q3</v>
      </c>
    </row>
    <row r="7324" customFormat="false" ht="15" hidden="false" customHeight="false" outlineLevel="0" collapsed="false">
      <c r="D7324" s="0" t="s">
        <v>69</v>
      </c>
      <c r="E7324" s="0" t="s">
        <v>70</v>
      </c>
      <c r="F7324" s="0" t="s">
        <v>71</v>
      </c>
      <c r="G7324" s="0" t="s">
        <v>175</v>
      </c>
      <c r="H7324" s="0" t="s">
        <v>175</v>
      </c>
      <c r="I7324" s="0" t="s">
        <v>28</v>
      </c>
      <c r="J7324" s="0" t="s">
        <v>29</v>
      </c>
      <c r="K7324" s="0" t="s">
        <v>30</v>
      </c>
      <c r="L7324" s="0" t="s">
        <v>31</v>
      </c>
      <c r="M7324" s="0" t="s">
        <v>173</v>
      </c>
      <c r="N7324" s="0" t="n">
        <v>1646</v>
      </c>
      <c r="O7324" s="10" t="n">
        <v>0.813928588759154</v>
      </c>
      <c r="P7324" s="10" t="n">
        <v>0.198817263124511</v>
      </c>
      <c r="Q7324" s="0" t="str">
        <f aca="false">SUBSTITUTE(SUBSTITUTE($I7324,CHAR(61),""),CHAR(34),"")</f>
        <v>&lt;01</v>
      </c>
      <c r="R7324" s="0" t="str">
        <f aca="false">IF($D7324&lt;&gt;"","["&amp;$E7324&amp;"]"&amp;"|"&amp;$Q7324&amp;"|"&amp;$K7324&amp;"|"&amp;$G7324&amp;"|"&amp;IF($G7324="TX_CURR_SUBNAT.R","CY2022Q4",$M7324),"")</f>
        <v>[PekKUkKHAzY]|&lt;01|Female|NEW_INFECTIONS_SUBNAT.T2|CY2025Q3</v>
      </c>
    </row>
    <row r="7325" customFormat="false" ht="15" hidden="false" customHeight="false" outlineLevel="0" collapsed="false">
      <c r="D7325" s="0" t="s">
        <v>69</v>
      </c>
      <c r="E7325" s="0" t="s">
        <v>70</v>
      </c>
      <c r="F7325" s="0" t="s">
        <v>71</v>
      </c>
      <c r="G7325" s="0" t="s">
        <v>175</v>
      </c>
      <c r="H7325" s="0" t="s">
        <v>175</v>
      </c>
      <c r="I7325" s="0" t="s">
        <v>33</v>
      </c>
      <c r="J7325" s="0" t="s">
        <v>34</v>
      </c>
      <c r="K7325" s="0" t="s">
        <v>30</v>
      </c>
      <c r="L7325" s="0" t="s">
        <v>31</v>
      </c>
      <c r="M7325" s="0" t="s">
        <v>173</v>
      </c>
      <c r="N7325" s="0" t="n">
        <v>1077</v>
      </c>
      <c r="O7325" s="10" t="n">
        <v>0.344350802479312</v>
      </c>
      <c r="P7325" s="10" t="n">
        <v>0.198817263124511</v>
      </c>
      <c r="Q7325" s="0" t="str">
        <f aca="false">SUBSTITUTE(SUBSTITUTE($I7325,CHAR(61),""),CHAR(34),"")</f>
        <v>01-09</v>
      </c>
      <c r="R7325" s="0" t="str">
        <f aca="false">IF($D7325&lt;&gt;"","["&amp;$E7325&amp;"]"&amp;"|"&amp;$Q7325&amp;"|"&amp;$K7325&amp;"|"&amp;$G7325&amp;"|"&amp;IF($G7325="TX_CURR_SUBNAT.R","CY2022Q4",$M7325),"")</f>
        <v>[PekKUkKHAzY]|01-09|Female|NEW_INFECTIONS_SUBNAT.T2|CY2025Q3</v>
      </c>
    </row>
    <row r="7326" customFormat="false" ht="15" hidden="false" customHeight="false" outlineLevel="0" collapsed="false">
      <c r="D7326" s="0" t="s">
        <v>69</v>
      </c>
      <c r="E7326" s="0" t="s">
        <v>70</v>
      </c>
      <c r="F7326" s="0" t="s">
        <v>71</v>
      </c>
      <c r="G7326" s="0" t="s">
        <v>175</v>
      </c>
      <c r="H7326" s="0" t="s">
        <v>175</v>
      </c>
      <c r="I7326" s="0" t="s">
        <v>36</v>
      </c>
      <c r="J7326" s="0" t="s">
        <v>37</v>
      </c>
      <c r="K7326" s="0" t="s">
        <v>30</v>
      </c>
      <c r="L7326" s="0" t="s">
        <v>31</v>
      </c>
      <c r="M7326" s="0" t="s">
        <v>173</v>
      </c>
      <c r="N7326" s="0" t="n">
        <v>1003</v>
      </c>
      <c r="O7326" s="10" t="n">
        <v>0.0860530040226877</v>
      </c>
      <c r="P7326" s="10" t="n">
        <v>0.198817263124511</v>
      </c>
      <c r="Q7326" s="0" t="str">
        <f aca="false">SUBSTITUTE(SUBSTITUTE($I7326,CHAR(61),""),CHAR(34),"")</f>
        <v>10-14</v>
      </c>
      <c r="R7326" s="0" t="str">
        <f aca="false">IF($D7326&lt;&gt;"","["&amp;$E7326&amp;"]"&amp;"|"&amp;$Q7326&amp;"|"&amp;$K7326&amp;"|"&amp;$G7326&amp;"|"&amp;IF($G7326="TX_CURR_SUBNAT.R","CY2022Q4",$M7326),"")</f>
        <v>[PekKUkKHAzY]|10-14|Female|NEW_INFECTIONS_SUBNAT.T2|CY2025Q3</v>
      </c>
    </row>
    <row r="7327" customFormat="false" ht="15" hidden="false" customHeight="false" outlineLevel="0" collapsed="false">
      <c r="D7327" s="0" t="s">
        <v>69</v>
      </c>
      <c r="E7327" s="0" t="s">
        <v>70</v>
      </c>
      <c r="F7327" s="0" t="s">
        <v>71</v>
      </c>
      <c r="G7327" s="0" t="s">
        <v>175</v>
      </c>
      <c r="H7327" s="0" t="s">
        <v>175</v>
      </c>
      <c r="I7327" s="0" t="s">
        <v>38</v>
      </c>
      <c r="J7327" s="0" t="s">
        <v>39</v>
      </c>
      <c r="K7327" s="0" t="s">
        <v>30</v>
      </c>
      <c r="L7327" s="0" t="s">
        <v>31</v>
      </c>
      <c r="M7327" s="0" t="s">
        <v>173</v>
      </c>
      <c r="N7327" s="0" t="n">
        <v>1260</v>
      </c>
      <c r="O7327" s="10" t="n">
        <v>0.184017425402999</v>
      </c>
      <c r="P7327" s="10" t="n">
        <v>0.198817263124511</v>
      </c>
      <c r="Q7327" s="0" t="str">
        <f aca="false">SUBSTITUTE(SUBSTITUTE($I7327,CHAR(61),""),CHAR(34),"")</f>
        <v>15-24</v>
      </c>
      <c r="R7327" s="0" t="str">
        <f aca="false">IF($D7327&lt;&gt;"","["&amp;$E7327&amp;"]"&amp;"|"&amp;$Q7327&amp;"|"&amp;$K7327&amp;"|"&amp;$G7327&amp;"|"&amp;IF($G7327="TX_CURR_SUBNAT.R","CY2022Q4",$M7327),"")</f>
        <v>[PekKUkKHAzY]|15-24|Female|NEW_INFECTIONS_SUBNAT.T2|CY2025Q3</v>
      </c>
    </row>
    <row r="7328" customFormat="false" ht="15" hidden="false" customHeight="false" outlineLevel="0" collapsed="false">
      <c r="D7328" s="0" t="s">
        <v>69</v>
      </c>
      <c r="E7328" s="0" t="s">
        <v>70</v>
      </c>
      <c r="F7328" s="0" t="s">
        <v>71</v>
      </c>
      <c r="G7328" s="0" t="s">
        <v>175</v>
      </c>
      <c r="H7328" s="0" t="s">
        <v>175</v>
      </c>
      <c r="I7328" s="0" t="s">
        <v>41</v>
      </c>
      <c r="J7328" s="0" t="s">
        <v>42</v>
      </c>
      <c r="K7328" s="0" t="s">
        <v>30</v>
      </c>
      <c r="L7328" s="0" t="s">
        <v>31</v>
      </c>
      <c r="M7328" s="0" t="s">
        <v>173</v>
      </c>
      <c r="N7328" s="0" t="n">
        <v>1647</v>
      </c>
      <c r="O7328" s="10" t="n">
        <v>0.829153256490827</v>
      </c>
      <c r="P7328" s="10" t="n">
        <v>0.198817263124511</v>
      </c>
      <c r="Q7328" s="0" t="str">
        <f aca="false">SUBSTITUTE(SUBSTITUTE($I7328,CHAR(61),""),CHAR(34),"")</f>
        <v>25-34</v>
      </c>
      <c r="R7328" s="0" t="str">
        <f aca="false">IF($D7328&lt;&gt;"","["&amp;$E7328&amp;"]"&amp;"|"&amp;$Q7328&amp;"|"&amp;$K7328&amp;"|"&amp;$G7328&amp;"|"&amp;IF($G7328="TX_CURR_SUBNAT.R","CY2022Q4",$M7328),"")</f>
        <v>[PekKUkKHAzY]|25-34|Female|NEW_INFECTIONS_SUBNAT.T2|CY2025Q3</v>
      </c>
    </row>
    <row r="7329" customFormat="false" ht="15" hidden="false" customHeight="false" outlineLevel="0" collapsed="false">
      <c r="D7329" s="0" t="s">
        <v>69</v>
      </c>
      <c r="E7329" s="0" t="s">
        <v>70</v>
      </c>
      <c r="F7329" s="0" t="s">
        <v>71</v>
      </c>
      <c r="G7329" s="0" t="s">
        <v>175</v>
      </c>
      <c r="H7329" s="0" t="s">
        <v>175</v>
      </c>
      <c r="I7329" s="0" t="s">
        <v>43</v>
      </c>
      <c r="J7329" s="0" t="s">
        <v>44</v>
      </c>
      <c r="K7329" s="0" t="s">
        <v>30</v>
      </c>
      <c r="L7329" s="0" t="s">
        <v>31</v>
      </c>
      <c r="M7329" s="0" t="s">
        <v>173</v>
      </c>
      <c r="N7329" s="0" t="n">
        <v>1127</v>
      </c>
      <c r="O7329" s="10" t="n">
        <v>0.886501618195325</v>
      </c>
      <c r="P7329" s="10" t="n">
        <v>0.198817263124511</v>
      </c>
      <c r="Q7329" s="0" t="str">
        <f aca="false">SUBSTITUTE(SUBSTITUTE($I7329,CHAR(61),""),CHAR(34),"")</f>
        <v>35-49</v>
      </c>
      <c r="R7329" s="0" t="str">
        <f aca="false">IF($D7329&lt;&gt;"","["&amp;$E7329&amp;"]"&amp;"|"&amp;$Q7329&amp;"|"&amp;$K7329&amp;"|"&amp;$G7329&amp;"|"&amp;IF($G7329="TX_CURR_SUBNAT.R","CY2022Q4",$M7329),"")</f>
        <v>[PekKUkKHAzY]|35-49|Female|NEW_INFECTIONS_SUBNAT.T2|CY2025Q3</v>
      </c>
    </row>
    <row r="7330" customFormat="false" ht="15" hidden="false" customHeight="false" outlineLevel="0" collapsed="false">
      <c r="D7330" s="0" t="s">
        <v>69</v>
      </c>
      <c r="E7330" s="0" t="s">
        <v>70</v>
      </c>
      <c r="F7330" s="0" t="s">
        <v>71</v>
      </c>
      <c r="G7330" s="0" t="s">
        <v>175</v>
      </c>
      <c r="H7330" s="0" t="s">
        <v>175</v>
      </c>
      <c r="I7330" s="0" t="s">
        <v>45</v>
      </c>
      <c r="J7330" s="0" t="s">
        <v>46</v>
      </c>
      <c r="K7330" s="0" t="s">
        <v>30</v>
      </c>
      <c r="L7330" s="0" t="s">
        <v>31</v>
      </c>
      <c r="M7330" s="0" t="s">
        <v>173</v>
      </c>
      <c r="N7330" s="0" t="n">
        <v>1822</v>
      </c>
      <c r="O7330" s="10" t="n">
        <v>0.492645996622741</v>
      </c>
      <c r="P7330" s="10" t="n">
        <v>0.198817263124511</v>
      </c>
      <c r="Q7330" s="0" t="str">
        <f aca="false">SUBSTITUTE(SUBSTITUTE($I7330,CHAR(61),""),CHAR(34),"")</f>
        <v>50+</v>
      </c>
      <c r="R7330" s="0" t="str">
        <f aca="false">IF($D7330&lt;&gt;"","["&amp;$E7330&amp;"]"&amp;"|"&amp;$Q7330&amp;"|"&amp;$K7330&amp;"|"&amp;$G7330&amp;"|"&amp;IF($G7330="TX_CURR_SUBNAT.R","CY2022Q4",$M7330),"")</f>
        <v>[PekKUkKHAzY]|50+|Female|NEW_INFECTIONS_SUBNAT.T2|CY2025Q3</v>
      </c>
    </row>
    <row r="7331" customFormat="false" ht="15" hidden="false" customHeight="false" outlineLevel="0" collapsed="false">
      <c r="D7331" s="0" t="s">
        <v>69</v>
      </c>
      <c r="E7331" s="0" t="s">
        <v>70</v>
      </c>
      <c r="F7331" s="0" t="s">
        <v>71</v>
      </c>
      <c r="G7331" s="0" t="s">
        <v>175</v>
      </c>
      <c r="H7331" s="0" t="s">
        <v>175</v>
      </c>
      <c r="I7331" s="0" t="s">
        <v>28</v>
      </c>
      <c r="J7331" s="0" t="s">
        <v>29</v>
      </c>
      <c r="K7331" s="0" t="s">
        <v>48</v>
      </c>
      <c r="L7331" s="0" t="s">
        <v>49</v>
      </c>
      <c r="M7331" s="0" t="s">
        <v>173</v>
      </c>
      <c r="N7331" s="0" t="n">
        <v>1922</v>
      </c>
      <c r="O7331" s="10" t="n">
        <v>0.153429306810722</v>
      </c>
      <c r="P7331" s="10" t="n">
        <v>0.198817263124511</v>
      </c>
      <c r="Q7331" s="0" t="str">
        <f aca="false">SUBSTITUTE(SUBSTITUTE($I7331,CHAR(61),""),CHAR(34),"")</f>
        <v>&lt;01</v>
      </c>
      <c r="R7331" s="0" t="str">
        <f aca="false">IF($D7331&lt;&gt;"","["&amp;$E7331&amp;"]"&amp;"|"&amp;$Q7331&amp;"|"&amp;$K7331&amp;"|"&amp;$G7331&amp;"|"&amp;IF($G7331="TX_CURR_SUBNAT.R","CY2022Q4",$M7331),"")</f>
        <v>[PekKUkKHAzY]|&lt;01|Male|NEW_INFECTIONS_SUBNAT.T2|CY2025Q3</v>
      </c>
    </row>
    <row r="7332" customFormat="false" ht="15" hidden="false" customHeight="false" outlineLevel="0" collapsed="false">
      <c r="D7332" s="0" t="s">
        <v>69</v>
      </c>
      <c r="E7332" s="0" t="s">
        <v>70</v>
      </c>
      <c r="F7332" s="0" t="s">
        <v>71</v>
      </c>
      <c r="G7332" s="0" t="s">
        <v>175</v>
      </c>
      <c r="H7332" s="0" t="s">
        <v>175</v>
      </c>
      <c r="I7332" s="0" t="s">
        <v>33</v>
      </c>
      <c r="J7332" s="0" t="s">
        <v>34</v>
      </c>
      <c r="K7332" s="0" t="s">
        <v>48</v>
      </c>
      <c r="L7332" s="0" t="s">
        <v>49</v>
      </c>
      <c r="M7332" s="0" t="s">
        <v>173</v>
      </c>
      <c r="N7332" s="0" t="n">
        <v>1086</v>
      </c>
      <c r="O7332" s="10" t="n">
        <v>0.594800011487678</v>
      </c>
      <c r="P7332" s="10" t="n">
        <v>0.198817263124511</v>
      </c>
      <c r="Q7332" s="0" t="str">
        <f aca="false">SUBSTITUTE(SUBSTITUTE($I7332,CHAR(61),""),CHAR(34),"")</f>
        <v>01-09</v>
      </c>
      <c r="R7332" s="0" t="str">
        <f aca="false">IF($D7332&lt;&gt;"","["&amp;$E7332&amp;"]"&amp;"|"&amp;$Q7332&amp;"|"&amp;$K7332&amp;"|"&amp;$G7332&amp;"|"&amp;IF($G7332="TX_CURR_SUBNAT.R","CY2022Q4",$M7332),"")</f>
        <v>[PekKUkKHAzY]|01-09|Male|NEW_INFECTIONS_SUBNAT.T2|CY2025Q3</v>
      </c>
    </row>
    <row r="7333" customFormat="false" ht="15" hidden="false" customHeight="false" outlineLevel="0" collapsed="false">
      <c r="D7333" s="0" t="s">
        <v>69</v>
      </c>
      <c r="E7333" s="0" t="s">
        <v>70</v>
      </c>
      <c r="F7333" s="0" t="s">
        <v>71</v>
      </c>
      <c r="G7333" s="0" t="s">
        <v>175</v>
      </c>
      <c r="H7333" s="0" t="s">
        <v>175</v>
      </c>
      <c r="I7333" s="0" t="s">
        <v>36</v>
      </c>
      <c r="J7333" s="0" t="s">
        <v>37</v>
      </c>
      <c r="K7333" s="0" t="s">
        <v>48</v>
      </c>
      <c r="L7333" s="0" t="s">
        <v>49</v>
      </c>
      <c r="M7333" s="0" t="s">
        <v>173</v>
      </c>
      <c r="N7333" s="0" t="n">
        <v>1238</v>
      </c>
      <c r="O7333" s="10" t="n">
        <v>0.0112493725027889</v>
      </c>
      <c r="P7333" s="10" t="n">
        <v>0.198817263124511</v>
      </c>
      <c r="Q7333" s="0" t="str">
        <f aca="false">SUBSTITUTE(SUBSTITUTE($I7333,CHAR(61),""),CHAR(34),"")</f>
        <v>10-14</v>
      </c>
      <c r="R7333" s="0" t="str">
        <f aca="false">IF($D7333&lt;&gt;"","["&amp;$E7333&amp;"]"&amp;"|"&amp;$Q7333&amp;"|"&amp;$K7333&amp;"|"&amp;$G7333&amp;"|"&amp;IF($G7333="TX_CURR_SUBNAT.R","CY2022Q4",$M7333),"")</f>
        <v>[PekKUkKHAzY]|10-14|Male|NEW_INFECTIONS_SUBNAT.T2|CY2025Q3</v>
      </c>
    </row>
    <row r="7334" customFormat="false" ht="15" hidden="false" customHeight="false" outlineLevel="0" collapsed="false">
      <c r="D7334" s="0" t="s">
        <v>69</v>
      </c>
      <c r="E7334" s="0" t="s">
        <v>70</v>
      </c>
      <c r="F7334" s="0" t="s">
        <v>71</v>
      </c>
      <c r="G7334" s="0" t="s">
        <v>175</v>
      </c>
      <c r="H7334" s="0" t="s">
        <v>175</v>
      </c>
      <c r="I7334" s="0" t="s">
        <v>38</v>
      </c>
      <c r="J7334" s="0" t="s">
        <v>39</v>
      </c>
      <c r="K7334" s="0" t="s">
        <v>48</v>
      </c>
      <c r="L7334" s="0" t="s">
        <v>49</v>
      </c>
      <c r="M7334" s="0" t="s">
        <v>173</v>
      </c>
      <c r="N7334" s="0" t="n">
        <v>666</v>
      </c>
      <c r="O7334" s="10" t="n">
        <v>0.114818738540635</v>
      </c>
      <c r="P7334" s="10" t="n">
        <v>0.198817263124511</v>
      </c>
      <c r="Q7334" s="0" t="str">
        <f aca="false">SUBSTITUTE(SUBSTITUTE($I7334,CHAR(61),""),CHAR(34),"")</f>
        <v>15-24</v>
      </c>
      <c r="R7334" s="0" t="str">
        <f aca="false">IF($D7334&lt;&gt;"","["&amp;$E7334&amp;"]"&amp;"|"&amp;$Q7334&amp;"|"&amp;$K7334&amp;"|"&amp;$G7334&amp;"|"&amp;IF($G7334="TX_CURR_SUBNAT.R","CY2022Q4",$M7334),"")</f>
        <v>[PekKUkKHAzY]|15-24|Male|NEW_INFECTIONS_SUBNAT.T2|CY2025Q3</v>
      </c>
    </row>
    <row r="7335" customFormat="false" ht="15" hidden="false" customHeight="false" outlineLevel="0" collapsed="false">
      <c r="D7335" s="0" t="s">
        <v>69</v>
      </c>
      <c r="E7335" s="0" t="s">
        <v>70</v>
      </c>
      <c r="F7335" s="0" t="s">
        <v>71</v>
      </c>
      <c r="G7335" s="0" t="s">
        <v>175</v>
      </c>
      <c r="H7335" s="0" t="s">
        <v>175</v>
      </c>
      <c r="I7335" s="0" t="s">
        <v>41</v>
      </c>
      <c r="J7335" s="0" t="s">
        <v>42</v>
      </c>
      <c r="K7335" s="0" t="s">
        <v>48</v>
      </c>
      <c r="L7335" s="0" t="s">
        <v>49</v>
      </c>
      <c r="M7335" s="0" t="s">
        <v>173</v>
      </c>
      <c r="N7335" s="0" t="n">
        <v>1442</v>
      </c>
      <c r="O7335" s="10" t="n">
        <v>0.011334330542013</v>
      </c>
      <c r="P7335" s="10" t="n">
        <v>0.198817263124511</v>
      </c>
      <c r="Q7335" s="0" t="str">
        <f aca="false">SUBSTITUTE(SUBSTITUTE($I7335,CHAR(61),""),CHAR(34),"")</f>
        <v>25-34</v>
      </c>
      <c r="R7335" s="0" t="str">
        <f aca="false">IF($D7335&lt;&gt;"","["&amp;$E7335&amp;"]"&amp;"|"&amp;$Q7335&amp;"|"&amp;$K7335&amp;"|"&amp;$G7335&amp;"|"&amp;IF($G7335="TX_CURR_SUBNAT.R","CY2022Q4",$M7335),"")</f>
        <v>[PekKUkKHAzY]|25-34|Male|NEW_INFECTIONS_SUBNAT.T2|CY2025Q3</v>
      </c>
    </row>
    <row r="7336" customFormat="false" ht="15" hidden="false" customHeight="false" outlineLevel="0" collapsed="false">
      <c r="D7336" s="0" t="s">
        <v>69</v>
      </c>
      <c r="E7336" s="0" t="s">
        <v>70</v>
      </c>
      <c r="F7336" s="0" t="s">
        <v>71</v>
      </c>
      <c r="G7336" s="0" t="s">
        <v>175</v>
      </c>
      <c r="H7336" s="0" t="s">
        <v>175</v>
      </c>
      <c r="I7336" s="0" t="s">
        <v>43</v>
      </c>
      <c r="J7336" s="0" t="s">
        <v>44</v>
      </c>
      <c r="K7336" s="0" t="s">
        <v>48</v>
      </c>
      <c r="L7336" s="0" t="s">
        <v>49</v>
      </c>
      <c r="M7336" s="0" t="s">
        <v>173</v>
      </c>
      <c r="N7336" s="0" t="n">
        <v>1046</v>
      </c>
      <c r="O7336" s="10" t="n">
        <v>0.419831007951871</v>
      </c>
      <c r="P7336" s="10" t="n">
        <v>0.198817263124511</v>
      </c>
      <c r="Q7336" s="0" t="str">
        <f aca="false">SUBSTITUTE(SUBSTITUTE($I7336,CHAR(61),""),CHAR(34),"")</f>
        <v>35-49</v>
      </c>
      <c r="R7336" s="0" t="str">
        <f aca="false">IF($D7336&lt;&gt;"","["&amp;$E7336&amp;"]"&amp;"|"&amp;$Q7336&amp;"|"&amp;$K7336&amp;"|"&amp;$G7336&amp;"|"&amp;IF($G7336="TX_CURR_SUBNAT.R","CY2022Q4",$M7336),"")</f>
        <v>[PekKUkKHAzY]|35-49|Male|NEW_INFECTIONS_SUBNAT.T2|CY2025Q3</v>
      </c>
    </row>
    <row r="7337" customFormat="false" ht="15" hidden="false" customHeight="false" outlineLevel="0" collapsed="false">
      <c r="D7337" s="0" t="s">
        <v>69</v>
      </c>
      <c r="E7337" s="0" t="s">
        <v>70</v>
      </c>
      <c r="F7337" s="0" t="s">
        <v>71</v>
      </c>
      <c r="G7337" s="0" t="s">
        <v>175</v>
      </c>
      <c r="H7337" s="0" t="s">
        <v>175</v>
      </c>
      <c r="I7337" s="0" t="s">
        <v>45</v>
      </c>
      <c r="J7337" s="0" t="s">
        <v>46</v>
      </c>
      <c r="K7337" s="0" t="s">
        <v>48</v>
      </c>
      <c r="L7337" s="0" t="s">
        <v>49</v>
      </c>
      <c r="M7337" s="0" t="s">
        <v>173</v>
      </c>
      <c r="N7337" s="0" t="n">
        <v>1105</v>
      </c>
      <c r="O7337" s="10" t="n">
        <v>0.114976315526292</v>
      </c>
      <c r="P7337" s="10" t="n">
        <v>0.198817263124511</v>
      </c>
      <c r="Q7337" s="0" t="str">
        <f aca="false">SUBSTITUTE(SUBSTITUTE($I7337,CHAR(61),""),CHAR(34),"")</f>
        <v>50+</v>
      </c>
      <c r="R7337" s="0" t="str">
        <f aca="false">IF($D7337&lt;&gt;"","["&amp;$E7337&amp;"]"&amp;"|"&amp;$Q7337&amp;"|"&amp;$K7337&amp;"|"&amp;$G7337&amp;"|"&amp;IF($G7337="TX_CURR_SUBNAT.R","CY2022Q4",$M7337),"")</f>
        <v>[PekKUkKHAzY]|50+|Male|NEW_INFECTIONS_SUBNAT.T2|CY2025Q3</v>
      </c>
    </row>
    <row r="7338" customFormat="false" ht="15" hidden="false" customHeight="false" outlineLevel="0" collapsed="false">
      <c r="D7338" s="0" t="s">
        <v>72</v>
      </c>
      <c r="E7338" s="0" t="s">
        <v>73</v>
      </c>
      <c r="F7338" s="0" t="s">
        <v>74</v>
      </c>
      <c r="G7338" s="0" t="s">
        <v>175</v>
      </c>
      <c r="H7338" s="0" t="s">
        <v>175</v>
      </c>
      <c r="I7338" s="0" t="s">
        <v>28</v>
      </c>
      <c r="J7338" s="0" t="s">
        <v>29</v>
      </c>
      <c r="K7338" s="0" t="s">
        <v>30</v>
      </c>
      <c r="L7338" s="0" t="s">
        <v>31</v>
      </c>
      <c r="M7338" s="0" t="s">
        <v>173</v>
      </c>
      <c r="N7338" s="0" t="n">
        <v>1769</v>
      </c>
      <c r="O7338" s="10" t="n">
        <v>0.145097313448787</v>
      </c>
      <c r="P7338" s="10" t="n">
        <v>0.289728706935421</v>
      </c>
      <c r="Q7338" s="0" t="str">
        <f aca="false">SUBSTITUTE(SUBSTITUTE($I7338,CHAR(61),""),CHAR(34),"")</f>
        <v>&lt;01</v>
      </c>
      <c r="R7338" s="0" t="str">
        <f aca="false">IF($D7338&lt;&gt;"","["&amp;$E7338&amp;"]"&amp;"|"&amp;$Q7338&amp;"|"&amp;$K7338&amp;"|"&amp;$G7338&amp;"|"&amp;IF($G7338="TX_CURR_SUBNAT.R","CY2022Q4",$M7338),"")</f>
        <v>[am530wpaGvr]|&lt;01|Female|NEW_INFECTIONS_SUBNAT.T2|CY2025Q3</v>
      </c>
    </row>
    <row r="7339" customFormat="false" ht="15" hidden="false" customHeight="false" outlineLevel="0" collapsed="false">
      <c r="D7339" s="0" t="s">
        <v>72</v>
      </c>
      <c r="E7339" s="0" t="s">
        <v>73</v>
      </c>
      <c r="F7339" s="0" t="s">
        <v>74</v>
      </c>
      <c r="G7339" s="0" t="s">
        <v>175</v>
      </c>
      <c r="H7339" s="0" t="s">
        <v>175</v>
      </c>
      <c r="I7339" s="0" t="s">
        <v>33</v>
      </c>
      <c r="J7339" s="0" t="s">
        <v>34</v>
      </c>
      <c r="K7339" s="0" t="s">
        <v>30</v>
      </c>
      <c r="L7339" s="0" t="s">
        <v>31</v>
      </c>
      <c r="M7339" s="0" t="s">
        <v>173</v>
      </c>
      <c r="N7339" s="0" t="n">
        <v>1022</v>
      </c>
      <c r="O7339" s="10" t="n">
        <v>0.778587247012183</v>
      </c>
      <c r="P7339" s="10" t="n">
        <v>0.289728706935421</v>
      </c>
      <c r="Q7339" s="0" t="str">
        <f aca="false">SUBSTITUTE(SUBSTITUTE($I7339,CHAR(61),""),CHAR(34),"")</f>
        <v>01-09</v>
      </c>
      <c r="R7339" s="0" t="str">
        <f aca="false">IF($D7339&lt;&gt;"","["&amp;$E7339&amp;"]"&amp;"|"&amp;$Q7339&amp;"|"&amp;$K7339&amp;"|"&amp;$G7339&amp;"|"&amp;IF($G7339="TX_CURR_SUBNAT.R","CY2022Q4",$M7339),"")</f>
        <v>[am530wpaGvr]|01-09|Female|NEW_INFECTIONS_SUBNAT.T2|CY2025Q3</v>
      </c>
    </row>
    <row r="7340" customFormat="false" ht="15" hidden="false" customHeight="false" outlineLevel="0" collapsed="false">
      <c r="D7340" s="0" t="s">
        <v>72</v>
      </c>
      <c r="E7340" s="0" t="s">
        <v>73</v>
      </c>
      <c r="F7340" s="0" t="s">
        <v>74</v>
      </c>
      <c r="G7340" s="0" t="s">
        <v>175</v>
      </c>
      <c r="H7340" s="0" t="s">
        <v>175</v>
      </c>
      <c r="I7340" s="0" t="s">
        <v>36</v>
      </c>
      <c r="J7340" s="0" t="s">
        <v>37</v>
      </c>
      <c r="K7340" s="0" t="s">
        <v>30</v>
      </c>
      <c r="L7340" s="0" t="s">
        <v>31</v>
      </c>
      <c r="M7340" s="0" t="s">
        <v>173</v>
      </c>
      <c r="N7340" s="0" t="n">
        <v>710</v>
      </c>
      <c r="O7340" s="10" t="n">
        <v>0.496867421083152</v>
      </c>
      <c r="P7340" s="10" t="n">
        <v>0.289728706935421</v>
      </c>
      <c r="Q7340" s="0" t="str">
        <f aca="false">SUBSTITUTE(SUBSTITUTE($I7340,CHAR(61),""),CHAR(34),"")</f>
        <v>10-14</v>
      </c>
      <c r="R7340" s="0" t="str">
        <f aca="false">IF($D7340&lt;&gt;"","["&amp;$E7340&amp;"]"&amp;"|"&amp;$Q7340&amp;"|"&amp;$K7340&amp;"|"&amp;$G7340&amp;"|"&amp;IF($G7340="TX_CURR_SUBNAT.R","CY2022Q4",$M7340),"")</f>
        <v>[am530wpaGvr]|10-14|Female|NEW_INFECTIONS_SUBNAT.T2|CY2025Q3</v>
      </c>
    </row>
    <row r="7341" customFormat="false" ht="15" hidden="false" customHeight="false" outlineLevel="0" collapsed="false">
      <c r="D7341" s="0" t="s">
        <v>72</v>
      </c>
      <c r="E7341" s="0" t="s">
        <v>73</v>
      </c>
      <c r="F7341" s="0" t="s">
        <v>74</v>
      </c>
      <c r="G7341" s="0" t="s">
        <v>175</v>
      </c>
      <c r="H7341" s="0" t="s">
        <v>175</v>
      </c>
      <c r="I7341" s="0" t="s">
        <v>38</v>
      </c>
      <c r="J7341" s="0" t="s">
        <v>39</v>
      </c>
      <c r="K7341" s="0" t="s">
        <v>30</v>
      </c>
      <c r="L7341" s="0" t="s">
        <v>31</v>
      </c>
      <c r="M7341" s="0" t="s">
        <v>173</v>
      </c>
      <c r="N7341" s="0" t="n">
        <v>1603</v>
      </c>
      <c r="O7341" s="10" t="n">
        <v>0.449637124082074</v>
      </c>
      <c r="P7341" s="10" t="n">
        <v>0.289728706935421</v>
      </c>
      <c r="Q7341" s="0" t="str">
        <f aca="false">SUBSTITUTE(SUBSTITUTE($I7341,CHAR(61),""),CHAR(34),"")</f>
        <v>15-24</v>
      </c>
      <c r="R7341" s="0" t="str">
        <f aca="false">IF($D7341&lt;&gt;"","["&amp;$E7341&amp;"]"&amp;"|"&amp;$Q7341&amp;"|"&amp;$K7341&amp;"|"&amp;$G7341&amp;"|"&amp;IF($G7341="TX_CURR_SUBNAT.R","CY2022Q4",$M7341),"")</f>
        <v>[am530wpaGvr]|15-24|Female|NEW_INFECTIONS_SUBNAT.T2|CY2025Q3</v>
      </c>
    </row>
    <row r="7342" customFormat="false" ht="15" hidden="false" customHeight="false" outlineLevel="0" collapsed="false">
      <c r="D7342" s="0" t="s">
        <v>72</v>
      </c>
      <c r="E7342" s="0" t="s">
        <v>73</v>
      </c>
      <c r="F7342" s="0" t="s">
        <v>74</v>
      </c>
      <c r="G7342" s="0" t="s">
        <v>175</v>
      </c>
      <c r="H7342" s="0" t="s">
        <v>175</v>
      </c>
      <c r="I7342" s="0" t="s">
        <v>41</v>
      </c>
      <c r="J7342" s="0" t="s">
        <v>42</v>
      </c>
      <c r="K7342" s="0" t="s">
        <v>30</v>
      </c>
      <c r="L7342" s="0" t="s">
        <v>31</v>
      </c>
      <c r="M7342" s="0" t="s">
        <v>173</v>
      </c>
      <c r="N7342" s="0" t="n">
        <v>1526</v>
      </c>
      <c r="O7342" s="10" t="n">
        <v>0.703023178735748</v>
      </c>
      <c r="P7342" s="10" t="n">
        <v>0.289728706935421</v>
      </c>
      <c r="Q7342" s="0" t="str">
        <f aca="false">SUBSTITUTE(SUBSTITUTE($I7342,CHAR(61),""),CHAR(34),"")</f>
        <v>25-34</v>
      </c>
      <c r="R7342" s="0" t="str">
        <f aca="false">IF($D7342&lt;&gt;"","["&amp;$E7342&amp;"]"&amp;"|"&amp;$Q7342&amp;"|"&amp;$K7342&amp;"|"&amp;$G7342&amp;"|"&amp;IF($G7342="TX_CURR_SUBNAT.R","CY2022Q4",$M7342),"")</f>
        <v>[am530wpaGvr]|25-34|Female|NEW_INFECTIONS_SUBNAT.T2|CY2025Q3</v>
      </c>
    </row>
    <row r="7343" customFormat="false" ht="15" hidden="false" customHeight="false" outlineLevel="0" collapsed="false">
      <c r="D7343" s="0" t="s">
        <v>72</v>
      </c>
      <c r="E7343" s="0" t="s">
        <v>73</v>
      </c>
      <c r="F7343" s="0" t="s">
        <v>74</v>
      </c>
      <c r="G7343" s="0" t="s">
        <v>175</v>
      </c>
      <c r="H7343" s="0" t="s">
        <v>175</v>
      </c>
      <c r="I7343" s="0" t="s">
        <v>43</v>
      </c>
      <c r="J7343" s="0" t="s">
        <v>44</v>
      </c>
      <c r="K7343" s="0" t="s">
        <v>30</v>
      </c>
      <c r="L7343" s="0" t="s">
        <v>31</v>
      </c>
      <c r="M7343" s="0" t="s">
        <v>173</v>
      </c>
      <c r="N7343" s="0" t="n">
        <v>1710</v>
      </c>
      <c r="O7343" s="10" t="n">
        <v>0.342384218238294</v>
      </c>
      <c r="P7343" s="10" t="n">
        <v>0.289728706935421</v>
      </c>
      <c r="Q7343" s="0" t="str">
        <f aca="false">SUBSTITUTE(SUBSTITUTE($I7343,CHAR(61),""),CHAR(34),"")</f>
        <v>35-49</v>
      </c>
      <c r="R7343" s="0" t="str">
        <f aca="false">IF($D7343&lt;&gt;"","["&amp;$E7343&amp;"]"&amp;"|"&amp;$Q7343&amp;"|"&amp;$K7343&amp;"|"&amp;$G7343&amp;"|"&amp;IF($G7343="TX_CURR_SUBNAT.R","CY2022Q4",$M7343),"")</f>
        <v>[am530wpaGvr]|35-49|Female|NEW_INFECTIONS_SUBNAT.T2|CY2025Q3</v>
      </c>
    </row>
    <row r="7344" customFormat="false" ht="15" hidden="false" customHeight="false" outlineLevel="0" collapsed="false">
      <c r="D7344" s="0" t="s">
        <v>72</v>
      </c>
      <c r="E7344" s="0" t="s">
        <v>73</v>
      </c>
      <c r="F7344" s="0" t="s">
        <v>74</v>
      </c>
      <c r="G7344" s="0" t="s">
        <v>175</v>
      </c>
      <c r="H7344" s="0" t="s">
        <v>175</v>
      </c>
      <c r="I7344" s="0" t="s">
        <v>45</v>
      </c>
      <c r="J7344" s="0" t="s">
        <v>46</v>
      </c>
      <c r="K7344" s="0" t="s">
        <v>30</v>
      </c>
      <c r="L7344" s="0" t="s">
        <v>31</v>
      </c>
      <c r="M7344" s="0" t="s">
        <v>173</v>
      </c>
      <c r="N7344" s="0" t="n">
        <v>1466</v>
      </c>
      <c r="O7344" s="10" t="n">
        <v>0.190470660338178</v>
      </c>
      <c r="P7344" s="10" t="n">
        <v>0.289728706935421</v>
      </c>
      <c r="Q7344" s="0" t="str">
        <f aca="false">SUBSTITUTE(SUBSTITUTE($I7344,CHAR(61),""),CHAR(34),"")</f>
        <v>50+</v>
      </c>
      <c r="R7344" s="0" t="str">
        <f aca="false">IF($D7344&lt;&gt;"","["&amp;$E7344&amp;"]"&amp;"|"&amp;$Q7344&amp;"|"&amp;$K7344&amp;"|"&amp;$G7344&amp;"|"&amp;IF($G7344="TX_CURR_SUBNAT.R","CY2022Q4",$M7344),"")</f>
        <v>[am530wpaGvr]|50+|Female|NEW_INFECTIONS_SUBNAT.T2|CY2025Q3</v>
      </c>
    </row>
    <row r="7345" customFormat="false" ht="15" hidden="false" customHeight="false" outlineLevel="0" collapsed="false">
      <c r="D7345" s="0" t="s">
        <v>72</v>
      </c>
      <c r="E7345" s="0" t="s">
        <v>73</v>
      </c>
      <c r="F7345" s="0" t="s">
        <v>74</v>
      </c>
      <c r="G7345" s="0" t="s">
        <v>175</v>
      </c>
      <c r="H7345" s="0" t="s">
        <v>175</v>
      </c>
      <c r="I7345" s="0" t="s">
        <v>28</v>
      </c>
      <c r="J7345" s="0" t="s">
        <v>29</v>
      </c>
      <c r="K7345" s="0" t="s">
        <v>48</v>
      </c>
      <c r="L7345" s="0" t="s">
        <v>49</v>
      </c>
      <c r="M7345" s="0" t="s">
        <v>173</v>
      </c>
      <c r="N7345" s="0" t="n">
        <v>721</v>
      </c>
      <c r="O7345" s="10" t="n">
        <v>0.144511749269441</v>
      </c>
      <c r="P7345" s="10" t="n">
        <v>0.289728706935421</v>
      </c>
      <c r="Q7345" s="0" t="str">
        <f aca="false">SUBSTITUTE(SUBSTITUTE($I7345,CHAR(61),""),CHAR(34),"")</f>
        <v>&lt;01</v>
      </c>
      <c r="R7345" s="0" t="str">
        <f aca="false">IF($D7345&lt;&gt;"","["&amp;$E7345&amp;"]"&amp;"|"&amp;$Q7345&amp;"|"&amp;$K7345&amp;"|"&amp;$G7345&amp;"|"&amp;IF($G7345="TX_CURR_SUBNAT.R","CY2022Q4",$M7345),"")</f>
        <v>[am530wpaGvr]|&lt;01|Male|NEW_INFECTIONS_SUBNAT.T2|CY2025Q3</v>
      </c>
    </row>
    <row r="7346" customFormat="false" ht="15" hidden="false" customHeight="false" outlineLevel="0" collapsed="false">
      <c r="D7346" s="0" t="s">
        <v>72</v>
      </c>
      <c r="E7346" s="0" t="s">
        <v>73</v>
      </c>
      <c r="F7346" s="0" t="s">
        <v>74</v>
      </c>
      <c r="G7346" s="0" t="s">
        <v>175</v>
      </c>
      <c r="H7346" s="0" t="s">
        <v>175</v>
      </c>
      <c r="I7346" s="0" t="s">
        <v>33</v>
      </c>
      <c r="J7346" s="0" t="s">
        <v>34</v>
      </c>
      <c r="K7346" s="0" t="s">
        <v>48</v>
      </c>
      <c r="L7346" s="0" t="s">
        <v>49</v>
      </c>
      <c r="M7346" s="0" t="s">
        <v>173</v>
      </c>
      <c r="N7346" s="0" t="n">
        <v>1633</v>
      </c>
      <c r="O7346" s="10" t="n">
        <v>0.148963879561052</v>
      </c>
      <c r="P7346" s="10" t="n">
        <v>0.289728706935421</v>
      </c>
      <c r="Q7346" s="0" t="str">
        <f aca="false">SUBSTITUTE(SUBSTITUTE($I7346,CHAR(61),""),CHAR(34),"")</f>
        <v>01-09</v>
      </c>
      <c r="R7346" s="0" t="str">
        <f aca="false">IF($D7346&lt;&gt;"","["&amp;$E7346&amp;"]"&amp;"|"&amp;$Q7346&amp;"|"&amp;$K7346&amp;"|"&amp;$G7346&amp;"|"&amp;IF($G7346="TX_CURR_SUBNAT.R","CY2022Q4",$M7346),"")</f>
        <v>[am530wpaGvr]|01-09|Male|NEW_INFECTIONS_SUBNAT.T2|CY2025Q3</v>
      </c>
    </row>
    <row r="7347" customFormat="false" ht="15" hidden="false" customHeight="false" outlineLevel="0" collapsed="false">
      <c r="D7347" s="0" t="s">
        <v>72</v>
      </c>
      <c r="E7347" s="0" t="s">
        <v>73</v>
      </c>
      <c r="F7347" s="0" t="s">
        <v>74</v>
      </c>
      <c r="G7347" s="0" t="s">
        <v>175</v>
      </c>
      <c r="H7347" s="0" t="s">
        <v>175</v>
      </c>
      <c r="I7347" s="0" t="s">
        <v>36</v>
      </c>
      <c r="J7347" s="0" t="s">
        <v>37</v>
      </c>
      <c r="K7347" s="0" t="s">
        <v>48</v>
      </c>
      <c r="L7347" s="0" t="s">
        <v>49</v>
      </c>
      <c r="M7347" s="0" t="s">
        <v>173</v>
      </c>
      <c r="N7347" s="0" t="n">
        <v>1587</v>
      </c>
      <c r="O7347" s="10" t="n">
        <v>0.569192377384752</v>
      </c>
      <c r="P7347" s="10" t="n">
        <v>0.289728706935421</v>
      </c>
      <c r="Q7347" s="0" t="str">
        <f aca="false">SUBSTITUTE(SUBSTITUTE($I7347,CHAR(61),""),CHAR(34),"")</f>
        <v>10-14</v>
      </c>
      <c r="R7347" s="0" t="str">
        <f aca="false">IF($D7347&lt;&gt;"","["&amp;$E7347&amp;"]"&amp;"|"&amp;$Q7347&amp;"|"&amp;$K7347&amp;"|"&amp;$G7347&amp;"|"&amp;IF($G7347="TX_CURR_SUBNAT.R","CY2022Q4",$M7347),"")</f>
        <v>[am530wpaGvr]|10-14|Male|NEW_INFECTIONS_SUBNAT.T2|CY2025Q3</v>
      </c>
    </row>
    <row r="7348" customFormat="false" ht="15" hidden="false" customHeight="false" outlineLevel="0" collapsed="false">
      <c r="D7348" s="0" t="s">
        <v>72</v>
      </c>
      <c r="E7348" s="0" t="s">
        <v>73</v>
      </c>
      <c r="F7348" s="0" t="s">
        <v>74</v>
      </c>
      <c r="G7348" s="0" t="s">
        <v>175</v>
      </c>
      <c r="H7348" s="0" t="s">
        <v>175</v>
      </c>
      <c r="I7348" s="0" t="s">
        <v>38</v>
      </c>
      <c r="J7348" s="0" t="s">
        <v>39</v>
      </c>
      <c r="K7348" s="0" t="s">
        <v>48</v>
      </c>
      <c r="L7348" s="0" t="s">
        <v>49</v>
      </c>
      <c r="M7348" s="0" t="s">
        <v>173</v>
      </c>
      <c r="N7348" s="0" t="n">
        <v>1254</v>
      </c>
      <c r="O7348" s="10" t="n">
        <v>0.091922405641526</v>
      </c>
      <c r="P7348" s="10" t="n">
        <v>0.289728706935421</v>
      </c>
      <c r="Q7348" s="0" t="str">
        <f aca="false">SUBSTITUTE(SUBSTITUTE($I7348,CHAR(61),""),CHAR(34),"")</f>
        <v>15-24</v>
      </c>
      <c r="R7348" s="0" t="str">
        <f aca="false">IF($D7348&lt;&gt;"","["&amp;$E7348&amp;"]"&amp;"|"&amp;$Q7348&amp;"|"&amp;$K7348&amp;"|"&amp;$G7348&amp;"|"&amp;IF($G7348="TX_CURR_SUBNAT.R","CY2022Q4",$M7348),"")</f>
        <v>[am530wpaGvr]|15-24|Male|NEW_INFECTIONS_SUBNAT.T2|CY2025Q3</v>
      </c>
    </row>
    <row r="7349" customFormat="false" ht="15" hidden="false" customHeight="false" outlineLevel="0" collapsed="false">
      <c r="D7349" s="0" t="s">
        <v>72</v>
      </c>
      <c r="E7349" s="0" t="s">
        <v>73</v>
      </c>
      <c r="F7349" s="0" t="s">
        <v>74</v>
      </c>
      <c r="G7349" s="0" t="s">
        <v>175</v>
      </c>
      <c r="H7349" s="0" t="s">
        <v>175</v>
      </c>
      <c r="I7349" s="0" t="s">
        <v>41</v>
      </c>
      <c r="J7349" s="0" t="s">
        <v>42</v>
      </c>
      <c r="K7349" s="0" t="s">
        <v>48</v>
      </c>
      <c r="L7349" s="0" t="s">
        <v>49</v>
      </c>
      <c r="M7349" s="0" t="s">
        <v>173</v>
      </c>
      <c r="N7349" s="0" t="n">
        <v>1195</v>
      </c>
      <c r="O7349" s="10" t="n">
        <v>0.849929184420034</v>
      </c>
      <c r="P7349" s="10" t="n">
        <v>0.289728706935421</v>
      </c>
      <c r="Q7349" s="0" t="str">
        <f aca="false">SUBSTITUTE(SUBSTITUTE($I7349,CHAR(61),""),CHAR(34),"")</f>
        <v>25-34</v>
      </c>
      <c r="R7349" s="0" t="str">
        <f aca="false">IF($D7349&lt;&gt;"","["&amp;$E7349&amp;"]"&amp;"|"&amp;$Q7349&amp;"|"&amp;$K7349&amp;"|"&amp;$G7349&amp;"|"&amp;IF($G7349="TX_CURR_SUBNAT.R","CY2022Q4",$M7349),"")</f>
        <v>[am530wpaGvr]|25-34|Male|NEW_INFECTIONS_SUBNAT.T2|CY2025Q3</v>
      </c>
    </row>
    <row r="7350" customFormat="false" ht="15" hidden="false" customHeight="false" outlineLevel="0" collapsed="false">
      <c r="D7350" s="0" t="s">
        <v>72</v>
      </c>
      <c r="E7350" s="0" t="s">
        <v>73</v>
      </c>
      <c r="F7350" s="0" t="s">
        <v>74</v>
      </c>
      <c r="G7350" s="0" t="s">
        <v>175</v>
      </c>
      <c r="H7350" s="0" t="s">
        <v>175</v>
      </c>
      <c r="I7350" s="0" t="s">
        <v>43</v>
      </c>
      <c r="J7350" s="0" t="s">
        <v>44</v>
      </c>
      <c r="K7350" s="0" t="s">
        <v>48</v>
      </c>
      <c r="L7350" s="0" t="s">
        <v>49</v>
      </c>
      <c r="M7350" s="0" t="s">
        <v>173</v>
      </c>
      <c r="N7350" s="0" t="n">
        <v>647</v>
      </c>
      <c r="O7350" s="10" t="n">
        <v>0.649129567667842</v>
      </c>
      <c r="P7350" s="10" t="n">
        <v>0.289728706935421</v>
      </c>
      <c r="Q7350" s="0" t="str">
        <f aca="false">SUBSTITUTE(SUBSTITUTE($I7350,CHAR(61),""),CHAR(34),"")</f>
        <v>35-49</v>
      </c>
      <c r="R7350" s="0" t="str">
        <f aca="false">IF($D7350&lt;&gt;"","["&amp;$E7350&amp;"]"&amp;"|"&amp;$Q7350&amp;"|"&amp;$K7350&amp;"|"&amp;$G7350&amp;"|"&amp;IF($G7350="TX_CURR_SUBNAT.R","CY2022Q4",$M7350),"")</f>
        <v>[am530wpaGvr]|35-49|Male|NEW_INFECTIONS_SUBNAT.T2|CY2025Q3</v>
      </c>
    </row>
    <row r="7351" customFormat="false" ht="15" hidden="false" customHeight="false" outlineLevel="0" collapsed="false">
      <c r="D7351" s="0" t="s">
        <v>72</v>
      </c>
      <c r="E7351" s="0" t="s">
        <v>73</v>
      </c>
      <c r="F7351" s="0" t="s">
        <v>74</v>
      </c>
      <c r="G7351" s="0" t="s">
        <v>175</v>
      </c>
      <c r="H7351" s="0" t="s">
        <v>175</v>
      </c>
      <c r="I7351" s="0" t="s">
        <v>45</v>
      </c>
      <c r="J7351" s="0" t="s">
        <v>46</v>
      </c>
      <c r="K7351" s="0" t="s">
        <v>48</v>
      </c>
      <c r="L7351" s="0" t="s">
        <v>49</v>
      </c>
      <c r="M7351" s="0" t="s">
        <v>173</v>
      </c>
      <c r="N7351" s="0" t="n">
        <v>1295</v>
      </c>
      <c r="O7351" s="10" t="n">
        <v>0.0213119017425925</v>
      </c>
      <c r="P7351" s="10" t="n">
        <v>0.289728706935421</v>
      </c>
      <c r="Q7351" s="0" t="str">
        <f aca="false">SUBSTITUTE(SUBSTITUTE($I7351,CHAR(61),""),CHAR(34),"")</f>
        <v>50+</v>
      </c>
      <c r="R7351" s="0" t="str">
        <f aca="false">IF($D7351&lt;&gt;"","["&amp;$E7351&amp;"]"&amp;"|"&amp;$Q7351&amp;"|"&amp;$K7351&amp;"|"&amp;$G7351&amp;"|"&amp;IF($G7351="TX_CURR_SUBNAT.R","CY2022Q4",$M7351),"")</f>
        <v>[am530wpaGvr]|50+|Male|NEW_INFECTIONS_SUBNAT.T2|CY2025Q3</v>
      </c>
    </row>
    <row r="7352" customFormat="false" ht="15" hidden="false" customHeight="false" outlineLevel="0" collapsed="false">
      <c r="D7352" s="0" t="s">
        <v>75</v>
      </c>
      <c r="E7352" s="0" t="s">
        <v>76</v>
      </c>
      <c r="F7352" s="0" t="s">
        <v>77</v>
      </c>
      <c r="G7352" s="0" t="s">
        <v>175</v>
      </c>
      <c r="H7352" s="0" t="s">
        <v>175</v>
      </c>
      <c r="I7352" s="0" t="s">
        <v>28</v>
      </c>
      <c r="J7352" s="0" t="s">
        <v>29</v>
      </c>
      <c r="K7352" s="0" t="s">
        <v>30</v>
      </c>
      <c r="L7352" s="0" t="s">
        <v>31</v>
      </c>
      <c r="M7352" s="0" t="s">
        <v>173</v>
      </c>
      <c r="N7352" s="0" t="n">
        <v>686</v>
      </c>
      <c r="O7352" s="10" t="n">
        <v>0.946214489173144</v>
      </c>
      <c r="P7352" s="10" t="n">
        <v>0.303055507596582</v>
      </c>
      <c r="Q7352" s="0" t="str">
        <f aca="false">SUBSTITUTE(SUBSTITUTE($I7352,CHAR(61),""),CHAR(34),"")</f>
        <v>&lt;01</v>
      </c>
      <c r="R7352" s="0" t="str">
        <f aca="false">IF($D7352&lt;&gt;"","["&amp;$E7352&amp;"]"&amp;"|"&amp;$Q7352&amp;"|"&amp;$K7352&amp;"|"&amp;$G7352&amp;"|"&amp;IF($G7352="TX_CURR_SUBNAT.R","CY2022Q4",$M7352),"")</f>
        <v>[lLDyBx5XyUi]|&lt;01|Female|NEW_INFECTIONS_SUBNAT.T2|CY2025Q3</v>
      </c>
    </row>
    <row r="7353" customFormat="false" ht="15" hidden="false" customHeight="false" outlineLevel="0" collapsed="false">
      <c r="D7353" s="0" t="s">
        <v>75</v>
      </c>
      <c r="E7353" s="0" t="s">
        <v>76</v>
      </c>
      <c r="F7353" s="0" t="s">
        <v>77</v>
      </c>
      <c r="G7353" s="0" t="s">
        <v>175</v>
      </c>
      <c r="H7353" s="0" t="s">
        <v>175</v>
      </c>
      <c r="I7353" s="0" t="s">
        <v>33</v>
      </c>
      <c r="J7353" s="0" t="s">
        <v>34</v>
      </c>
      <c r="K7353" s="0" t="s">
        <v>30</v>
      </c>
      <c r="L7353" s="0" t="s">
        <v>31</v>
      </c>
      <c r="M7353" s="0" t="s">
        <v>173</v>
      </c>
      <c r="N7353" s="0" t="n">
        <v>1155</v>
      </c>
      <c r="O7353" s="10" t="n">
        <v>0.929544091690332</v>
      </c>
      <c r="P7353" s="10" t="n">
        <v>0.303055507596582</v>
      </c>
      <c r="Q7353" s="0" t="str">
        <f aca="false">SUBSTITUTE(SUBSTITUTE($I7353,CHAR(61),""),CHAR(34),"")</f>
        <v>01-09</v>
      </c>
      <c r="R7353" s="0" t="str">
        <f aca="false">IF($D7353&lt;&gt;"","["&amp;$E7353&amp;"]"&amp;"|"&amp;$Q7353&amp;"|"&amp;$K7353&amp;"|"&amp;$G7353&amp;"|"&amp;IF($G7353="TX_CURR_SUBNAT.R","CY2022Q4",$M7353),"")</f>
        <v>[lLDyBx5XyUi]|01-09|Female|NEW_INFECTIONS_SUBNAT.T2|CY2025Q3</v>
      </c>
    </row>
    <row r="7354" customFormat="false" ht="15" hidden="false" customHeight="false" outlineLevel="0" collapsed="false">
      <c r="D7354" s="0" t="s">
        <v>75</v>
      </c>
      <c r="E7354" s="0" t="s">
        <v>76</v>
      </c>
      <c r="F7354" s="0" t="s">
        <v>77</v>
      </c>
      <c r="G7354" s="0" t="s">
        <v>175</v>
      </c>
      <c r="H7354" s="0" t="s">
        <v>175</v>
      </c>
      <c r="I7354" s="0" t="s">
        <v>36</v>
      </c>
      <c r="J7354" s="0" t="s">
        <v>37</v>
      </c>
      <c r="K7354" s="0" t="s">
        <v>30</v>
      </c>
      <c r="L7354" s="0" t="s">
        <v>31</v>
      </c>
      <c r="M7354" s="0" t="s">
        <v>173</v>
      </c>
      <c r="N7354" s="0" t="n">
        <v>1803</v>
      </c>
      <c r="O7354" s="10" t="n">
        <v>0.470878781285137</v>
      </c>
      <c r="P7354" s="10" t="n">
        <v>0.303055507596582</v>
      </c>
      <c r="Q7354" s="0" t="str">
        <f aca="false">SUBSTITUTE(SUBSTITUTE($I7354,CHAR(61),""),CHAR(34),"")</f>
        <v>10-14</v>
      </c>
      <c r="R7354" s="0" t="str">
        <f aca="false">IF($D7354&lt;&gt;"","["&amp;$E7354&amp;"]"&amp;"|"&amp;$Q7354&amp;"|"&amp;$K7354&amp;"|"&amp;$G7354&amp;"|"&amp;IF($G7354="TX_CURR_SUBNAT.R","CY2022Q4",$M7354),"")</f>
        <v>[lLDyBx5XyUi]|10-14|Female|NEW_INFECTIONS_SUBNAT.T2|CY2025Q3</v>
      </c>
    </row>
    <row r="7355" customFormat="false" ht="15" hidden="false" customHeight="false" outlineLevel="0" collapsed="false">
      <c r="D7355" s="0" t="s">
        <v>75</v>
      </c>
      <c r="E7355" s="0" t="s">
        <v>76</v>
      </c>
      <c r="F7355" s="0" t="s">
        <v>77</v>
      </c>
      <c r="G7355" s="0" t="s">
        <v>175</v>
      </c>
      <c r="H7355" s="0" t="s">
        <v>175</v>
      </c>
      <c r="I7355" s="0" t="s">
        <v>38</v>
      </c>
      <c r="J7355" s="0" t="s">
        <v>39</v>
      </c>
      <c r="K7355" s="0" t="s">
        <v>30</v>
      </c>
      <c r="L7355" s="0" t="s">
        <v>31</v>
      </c>
      <c r="M7355" s="0" t="s">
        <v>173</v>
      </c>
      <c r="N7355" s="0" t="n">
        <v>1811</v>
      </c>
      <c r="O7355" s="10" t="n">
        <v>0.678405039245263</v>
      </c>
      <c r="P7355" s="10" t="n">
        <v>0.303055507596582</v>
      </c>
      <c r="Q7355" s="0" t="str">
        <f aca="false">SUBSTITUTE(SUBSTITUTE($I7355,CHAR(61),""),CHAR(34),"")</f>
        <v>15-24</v>
      </c>
      <c r="R7355" s="0" t="str">
        <f aca="false">IF($D7355&lt;&gt;"","["&amp;$E7355&amp;"]"&amp;"|"&amp;$Q7355&amp;"|"&amp;$K7355&amp;"|"&amp;$G7355&amp;"|"&amp;IF($G7355="TX_CURR_SUBNAT.R","CY2022Q4",$M7355),"")</f>
        <v>[lLDyBx5XyUi]|15-24|Female|NEW_INFECTIONS_SUBNAT.T2|CY2025Q3</v>
      </c>
    </row>
    <row r="7356" customFormat="false" ht="15" hidden="false" customHeight="false" outlineLevel="0" collapsed="false">
      <c r="D7356" s="0" t="s">
        <v>75</v>
      </c>
      <c r="E7356" s="0" t="s">
        <v>76</v>
      </c>
      <c r="F7356" s="0" t="s">
        <v>77</v>
      </c>
      <c r="G7356" s="0" t="s">
        <v>175</v>
      </c>
      <c r="H7356" s="0" t="s">
        <v>175</v>
      </c>
      <c r="I7356" s="0" t="s">
        <v>41</v>
      </c>
      <c r="J7356" s="0" t="s">
        <v>42</v>
      </c>
      <c r="K7356" s="0" t="s">
        <v>30</v>
      </c>
      <c r="L7356" s="0" t="s">
        <v>31</v>
      </c>
      <c r="M7356" s="0" t="s">
        <v>173</v>
      </c>
      <c r="N7356" s="0" t="n">
        <v>1147</v>
      </c>
      <c r="O7356" s="10" t="n">
        <v>0.172508526593447</v>
      </c>
      <c r="P7356" s="10" t="n">
        <v>0.303055507596582</v>
      </c>
      <c r="Q7356" s="0" t="str">
        <f aca="false">SUBSTITUTE(SUBSTITUTE($I7356,CHAR(61),""),CHAR(34),"")</f>
        <v>25-34</v>
      </c>
      <c r="R7356" s="0" t="str">
        <f aca="false">IF($D7356&lt;&gt;"","["&amp;$E7356&amp;"]"&amp;"|"&amp;$Q7356&amp;"|"&amp;$K7356&amp;"|"&amp;$G7356&amp;"|"&amp;IF($G7356="TX_CURR_SUBNAT.R","CY2022Q4",$M7356),"")</f>
        <v>[lLDyBx5XyUi]|25-34|Female|NEW_INFECTIONS_SUBNAT.T2|CY2025Q3</v>
      </c>
    </row>
    <row r="7357" customFormat="false" ht="15" hidden="false" customHeight="false" outlineLevel="0" collapsed="false">
      <c r="D7357" s="0" t="s">
        <v>75</v>
      </c>
      <c r="E7357" s="0" t="s">
        <v>76</v>
      </c>
      <c r="F7357" s="0" t="s">
        <v>77</v>
      </c>
      <c r="G7357" s="0" t="s">
        <v>175</v>
      </c>
      <c r="H7357" s="0" t="s">
        <v>175</v>
      </c>
      <c r="I7357" s="0" t="s">
        <v>43</v>
      </c>
      <c r="J7357" s="0" t="s">
        <v>44</v>
      </c>
      <c r="K7357" s="0" t="s">
        <v>30</v>
      </c>
      <c r="L7357" s="0" t="s">
        <v>31</v>
      </c>
      <c r="M7357" s="0" t="s">
        <v>173</v>
      </c>
      <c r="N7357" s="0" t="n">
        <v>1441</v>
      </c>
      <c r="O7357" s="10" t="n">
        <v>0.187242572428659</v>
      </c>
      <c r="P7357" s="10" t="n">
        <v>0.303055507596582</v>
      </c>
      <c r="Q7357" s="0" t="str">
        <f aca="false">SUBSTITUTE(SUBSTITUTE($I7357,CHAR(61),""),CHAR(34),"")</f>
        <v>35-49</v>
      </c>
      <c r="R7357" s="0" t="str">
        <f aca="false">IF($D7357&lt;&gt;"","["&amp;$E7357&amp;"]"&amp;"|"&amp;$Q7357&amp;"|"&amp;$K7357&amp;"|"&amp;$G7357&amp;"|"&amp;IF($G7357="TX_CURR_SUBNAT.R","CY2022Q4",$M7357),"")</f>
        <v>[lLDyBx5XyUi]|35-49|Female|NEW_INFECTIONS_SUBNAT.T2|CY2025Q3</v>
      </c>
    </row>
    <row r="7358" customFormat="false" ht="15" hidden="false" customHeight="false" outlineLevel="0" collapsed="false">
      <c r="D7358" s="0" t="s">
        <v>75</v>
      </c>
      <c r="E7358" s="0" t="s">
        <v>76</v>
      </c>
      <c r="F7358" s="0" t="s">
        <v>77</v>
      </c>
      <c r="G7358" s="0" t="s">
        <v>175</v>
      </c>
      <c r="H7358" s="0" t="s">
        <v>175</v>
      </c>
      <c r="I7358" s="0" t="s">
        <v>45</v>
      </c>
      <c r="J7358" s="0" t="s">
        <v>46</v>
      </c>
      <c r="K7358" s="0" t="s">
        <v>30</v>
      </c>
      <c r="L7358" s="0" t="s">
        <v>31</v>
      </c>
      <c r="M7358" s="0" t="s">
        <v>173</v>
      </c>
      <c r="N7358" s="0" t="n">
        <v>1116</v>
      </c>
      <c r="O7358" s="10" t="n">
        <v>0.679125833092257</v>
      </c>
      <c r="P7358" s="10" t="n">
        <v>0.303055507596582</v>
      </c>
      <c r="Q7358" s="0" t="str">
        <f aca="false">SUBSTITUTE(SUBSTITUTE($I7358,CHAR(61),""),CHAR(34),"")</f>
        <v>50+</v>
      </c>
      <c r="R7358" s="0" t="str">
        <f aca="false">IF($D7358&lt;&gt;"","["&amp;$E7358&amp;"]"&amp;"|"&amp;$Q7358&amp;"|"&amp;$K7358&amp;"|"&amp;$G7358&amp;"|"&amp;IF($G7358="TX_CURR_SUBNAT.R","CY2022Q4",$M7358),"")</f>
        <v>[lLDyBx5XyUi]|50+|Female|NEW_INFECTIONS_SUBNAT.T2|CY2025Q3</v>
      </c>
    </row>
    <row r="7359" customFormat="false" ht="15" hidden="false" customHeight="false" outlineLevel="0" collapsed="false">
      <c r="D7359" s="0" t="s">
        <v>75</v>
      </c>
      <c r="E7359" s="0" t="s">
        <v>76</v>
      </c>
      <c r="F7359" s="0" t="s">
        <v>77</v>
      </c>
      <c r="G7359" s="0" t="s">
        <v>175</v>
      </c>
      <c r="H7359" s="0" t="s">
        <v>175</v>
      </c>
      <c r="I7359" s="0" t="s">
        <v>28</v>
      </c>
      <c r="J7359" s="0" t="s">
        <v>29</v>
      </c>
      <c r="K7359" s="0" t="s">
        <v>48</v>
      </c>
      <c r="L7359" s="0" t="s">
        <v>49</v>
      </c>
      <c r="M7359" s="0" t="s">
        <v>173</v>
      </c>
      <c r="N7359" s="0" t="n">
        <v>1083</v>
      </c>
      <c r="O7359" s="10" t="n">
        <v>0.304298604372889</v>
      </c>
      <c r="P7359" s="10" t="n">
        <v>0.303055507596582</v>
      </c>
      <c r="Q7359" s="0" t="str">
        <f aca="false">SUBSTITUTE(SUBSTITUTE($I7359,CHAR(61),""),CHAR(34),"")</f>
        <v>&lt;01</v>
      </c>
      <c r="R7359" s="0" t="str">
        <f aca="false">IF($D7359&lt;&gt;"","["&amp;$E7359&amp;"]"&amp;"|"&amp;$Q7359&amp;"|"&amp;$K7359&amp;"|"&amp;$G7359&amp;"|"&amp;IF($G7359="TX_CURR_SUBNAT.R","CY2022Q4",$M7359),"")</f>
        <v>[lLDyBx5XyUi]|&lt;01|Male|NEW_INFECTIONS_SUBNAT.T2|CY2025Q3</v>
      </c>
    </row>
    <row r="7360" customFormat="false" ht="15" hidden="false" customHeight="false" outlineLevel="0" collapsed="false">
      <c r="D7360" s="0" t="s">
        <v>75</v>
      </c>
      <c r="E7360" s="0" t="s">
        <v>76</v>
      </c>
      <c r="F7360" s="0" t="s">
        <v>77</v>
      </c>
      <c r="G7360" s="0" t="s">
        <v>175</v>
      </c>
      <c r="H7360" s="0" t="s">
        <v>175</v>
      </c>
      <c r="I7360" s="0" t="s">
        <v>33</v>
      </c>
      <c r="J7360" s="0" t="s">
        <v>34</v>
      </c>
      <c r="K7360" s="0" t="s">
        <v>48</v>
      </c>
      <c r="L7360" s="0" t="s">
        <v>49</v>
      </c>
      <c r="M7360" s="0" t="s">
        <v>173</v>
      </c>
      <c r="N7360" s="0" t="n">
        <v>599</v>
      </c>
      <c r="O7360" s="10" t="n">
        <v>0.768535115523264</v>
      </c>
      <c r="P7360" s="10" t="n">
        <v>0.303055507596582</v>
      </c>
      <c r="Q7360" s="0" t="str">
        <f aca="false">SUBSTITUTE(SUBSTITUTE($I7360,CHAR(61),""),CHAR(34),"")</f>
        <v>01-09</v>
      </c>
      <c r="R7360" s="0" t="str">
        <f aca="false">IF($D7360&lt;&gt;"","["&amp;$E7360&amp;"]"&amp;"|"&amp;$Q7360&amp;"|"&amp;$K7360&amp;"|"&amp;$G7360&amp;"|"&amp;IF($G7360="TX_CURR_SUBNAT.R","CY2022Q4",$M7360),"")</f>
        <v>[lLDyBx5XyUi]|01-09|Male|NEW_INFECTIONS_SUBNAT.T2|CY2025Q3</v>
      </c>
    </row>
    <row r="7361" customFormat="false" ht="15" hidden="false" customHeight="false" outlineLevel="0" collapsed="false">
      <c r="D7361" s="0" t="s">
        <v>75</v>
      </c>
      <c r="E7361" s="0" t="s">
        <v>76</v>
      </c>
      <c r="F7361" s="0" t="s">
        <v>77</v>
      </c>
      <c r="G7361" s="0" t="s">
        <v>175</v>
      </c>
      <c r="H7361" s="0" t="s">
        <v>175</v>
      </c>
      <c r="I7361" s="0" t="s">
        <v>36</v>
      </c>
      <c r="J7361" s="0" t="s">
        <v>37</v>
      </c>
      <c r="K7361" s="0" t="s">
        <v>48</v>
      </c>
      <c r="L7361" s="0" t="s">
        <v>49</v>
      </c>
      <c r="M7361" s="0" t="s">
        <v>173</v>
      </c>
      <c r="N7361" s="0" t="n">
        <v>599</v>
      </c>
      <c r="O7361" s="10" t="n">
        <v>0.242095592897385</v>
      </c>
      <c r="P7361" s="10" t="n">
        <v>0.303055507596582</v>
      </c>
      <c r="Q7361" s="0" t="str">
        <f aca="false">SUBSTITUTE(SUBSTITUTE($I7361,CHAR(61),""),CHAR(34),"")</f>
        <v>10-14</v>
      </c>
      <c r="R7361" s="0" t="str">
        <f aca="false">IF($D7361&lt;&gt;"","["&amp;$E7361&amp;"]"&amp;"|"&amp;$Q7361&amp;"|"&amp;$K7361&amp;"|"&amp;$G7361&amp;"|"&amp;IF($G7361="TX_CURR_SUBNAT.R","CY2022Q4",$M7361),"")</f>
        <v>[lLDyBx5XyUi]|10-14|Male|NEW_INFECTIONS_SUBNAT.T2|CY2025Q3</v>
      </c>
    </row>
    <row r="7362" customFormat="false" ht="15" hidden="false" customHeight="false" outlineLevel="0" collapsed="false">
      <c r="D7362" s="0" t="s">
        <v>75</v>
      </c>
      <c r="E7362" s="0" t="s">
        <v>76</v>
      </c>
      <c r="F7362" s="0" t="s">
        <v>77</v>
      </c>
      <c r="G7362" s="0" t="s">
        <v>175</v>
      </c>
      <c r="H7362" s="0" t="s">
        <v>175</v>
      </c>
      <c r="I7362" s="0" t="s">
        <v>38</v>
      </c>
      <c r="J7362" s="0" t="s">
        <v>39</v>
      </c>
      <c r="K7362" s="0" t="s">
        <v>48</v>
      </c>
      <c r="L7362" s="0" t="s">
        <v>49</v>
      </c>
      <c r="M7362" s="0" t="s">
        <v>173</v>
      </c>
      <c r="N7362" s="0" t="n">
        <v>1783</v>
      </c>
      <c r="O7362" s="10" t="n">
        <v>0.118972281226888</v>
      </c>
      <c r="P7362" s="10" t="n">
        <v>0.303055507596582</v>
      </c>
      <c r="Q7362" s="0" t="str">
        <f aca="false">SUBSTITUTE(SUBSTITUTE($I7362,CHAR(61),""),CHAR(34),"")</f>
        <v>15-24</v>
      </c>
      <c r="R7362" s="0" t="str">
        <f aca="false">IF($D7362&lt;&gt;"","["&amp;$E7362&amp;"]"&amp;"|"&amp;$Q7362&amp;"|"&amp;$K7362&amp;"|"&amp;$G7362&amp;"|"&amp;IF($G7362="TX_CURR_SUBNAT.R","CY2022Q4",$M7362),"")</f>
        <v>[lLDyBx5XyUi]|15-24|Male|NEW_INFECTIONS_SUBNAT.T2|CY2025Q3</v>
      </c>
    </row>
    <row r="7363" customFormat="false" ht="15" hidden="false" customHeight="false" outlineLevel="0" collapsed="false">
      <c r="D7363" s="0" t="s">
        <v>75</v>
      </c>
      <c r="E7363" s="0" t="s">
        <v>76</v>
      </c>
      <c r="F7363" s="0" t="s">
        <v>77</v>
      </c>
      <c r="G7363" s="0" t="s">
        <v>175</v>
      </c>
      <c r="H7363" s="0" t="s">
        <v>175</v>
      </c>
      <c r="I7363" s="0" t="s">
        <v>41</v>
      </c>
      <c r="J7363" s="0" t="s">
        <v>42</v>
      </c>
      <c r="K7363" s="0" t="s">
        <v>48</v>
      </c>
      <c r="L7363" s="0" t="s">
        <v>49</v>
      </c>
      <c r="M7363" s="0" t="s">
        <v>173</v>
      </c>
      <c r="N7363" s="0" t="n">
        <v>963</v>
      </c>
      <c r="O7363" s="10" t="n">
        <v>0.196302495431155</v>
      </c>
      <c r="P7363" s="10" t="n">
        <v>0.303055507596582</v>
      </c>
      <c r="Q7363" s="0" t="str">
        <f aca="false">SUBSTITUTE(SUBSTITUTE($I7363,CHAR(61),""),CHAR(34),"")</f>
        <v>25-34</v>
      </c>
      <c r="R7363" s="0" t="str">
        <f aca="false">IF($D7363&lt;&gt;"","["&amp;$E7363&amp;"]"&amp;"|"&amp;$Q7363&amp;"|"&amp;$K7363&amp;"|"&amp;$G7363&amp;"|"&amp;IF($G7363="TX_CURR_SUBNAT.R","CY2022Q4",$M7363),"")</f>
        <v>[lLDyBx5XyUi]|25-34|Male|NEW_INFECTIONS_SUBNAT.T2|CY2025Q3</v>
      </c>
    </row>
    <row r="7364" customFormat="false" ht="15" hidden="false" customHeight="false" outlineLevel="0" collapsed="false">
      <c r="D7364" s="0" t="s">
        <v>75</v>
      </c>
      <c r="E7364" s="0" t="s">
        <v>76</v>
      </c>
      <c r="F7364" s="0" t="s">
        <v>77</v>
      </c>
      <c r="G7364" s="0" t="s">
        <v>175</v>
      </c>
      <c r="H7364" s="0" t="s">
        <v>175</v>
      </c>
      <c r="I7364" s="0" t="s">
        <v>43</v>
      </c>
      <c r="J7364" s="0" t="s">
        <v>44</v>
      </c>
      <c r="K7364" s="0" t="s">
        <v>48</v>
      </c>
      <c r="L7364" s="0" t="s">
        <v>49</v>
      </c>
      <c r="M7364" s="0" t="s">
        <v>173</v>
      </c>
      <c r="N7364" s="0" t="n">
        <v>941</v>
      </c>
      <c r="O7364" s="10" t="n">
        <v>0.598737378837541</v>
      </c>
      <c r="P7364" s="10" t="n">
        <v>0.303055507596582</v>
      </c>
      <c r="Q7364" s="0" t="str">
        <f aca="false">SUBSTITUTE(SUBSTITUTE($I7364,CHAR(61),""),CHAR(34),"")</f>
        <v>35-49</v>
      </c>
      <c r="R7364" s="0" t="str">
        <f aca="false">IF($D7364&lt;&gt;"","["&amp;$E7364&amp;"]"&amp;"|"&amp;$Q7364&amp;"|"&amp;$K7364&amp;"|"&amp;$G7364&amp;"|"&amp;IF($G7364="TX_CURR_SUBNAT.R","CY2022Q4",$M7364),"")</f>
        <v>[lLDyBx5XyUi]|35-49|Male|NEW_INFECTIONS_SUBNAT.T2|CY2025Q3</v>
      </c>
    </row>
    <row r="7365" customFormat="false" ht="15" hidden="false" customHeight="false" outlineLevel="0" collapsed="false">
      <c r="D7365" s="0" t="s">
        <v>75</v>
      </c>
      <c r="E7365" s="0" t="s">
        <v>76</v>
      </c>
      <c r="F7365" s="0" t="s">
        <v>77</v>
      </c>
      <c r="G7365" s="0" t="s">
        <v>175</v>
      </c>
      <c r="H7365" s="0" t="s">
        <v>175</v>
      </c>
      <c r="I7365" s="0" t="s">
        <v>45</v>
      </c>
      <c r="J7365" s="0" t="s">
        <v>46</v>
      </c>
      <c r="K7365" s="0" t="s">
        <v>48</v>
      </c>
      <c r="L7365" s="0" t="s">
        <v>49</v>
      </c>
      <c r="M7365" s="0" t="s">
        <v>173</v>
      </c>
      <c r="N7365" s="0" t="n">
        <v>1494</v>
      </c>
      <c r="O7365" s="10" t="n">
        <v>0.395645734854043</v>
      </c>
      <c r="P7365" s="10" t="n">
        <v>0.303055507596582</v>
      </c>
      <c r="Q7365" s="0" t="str">
        <f aca="false">SUBSTITUTE(SUBSTITUTE($I7365,CHAR(61),""),CHAR(34),"")</f>
        <v>50+</v>
      </c>
      <c r="R7365" s="0" t="str">
        <f aca="false">IF($D7365&lt;&gt;"","["&amp;$E7365&amp;"]"&amp;"|"&amp;$Q7365&amp;"|"&amp;$K7365&amp;"|"&amp;$G7365&amp;"|"&amp;IF($G7365="TX_CURR_SUBNAT.R","CY2022Q4",$M7365),"")</f>
        <v>[lLDyBx5XyUi]|50+|Male|NEW_INFECTIONS_SUBNAT.T2|CY2025Q3</v>
      </c>
    </row>
    <row r="7366" customFormat="false" ht="15" hidden="false" customHeight="false" outlineLevel="0" collapsed="false">
      <c r="D7366" s="0" t="s">
        <v>78</v>
      </c>
      <c r="E7366" s="0" t="s">
        <v>79</v>
      </c>
      <c r="F7366" s="0" t="s">
        <v>80</v>
      </c>
      <c r="G7366" s="0" t="s">
        <v>175</v>
      </c>
      <c r="H7366" s="0" t="s">
        <v>175</v>
      </c>
      <c r="I7366" s="0" t="s">
        <v>28</v>
      </c>
      <c r="J7366" s="0" t="s">
        <v>29</v>
      </c>
      <c r="K7366" s="0" t="s">
        <v>30</v>
      </c>
      <c r="L7366" s="0" t="s">
        <v>31</v>
      </c>
      <c r="M7366" s="0" t="s">
        <v>173</v>
      </c>
      <c r="N7366" s="0" t="n">
        <v>1703</v>
      </c>
      <c r="O7366" s="10" t="n">
        <v>0.307586253387854</v>
      </c>
      <c r="P7366" s="10" t="n">
        <v>0.831597982207313</v>
      </c>
      <c r="Q7366" s="0" t="str">
        <f aca="false">SUBSTITUTE(SUBSTITUTE($I7366,CHAR(61),""),CHAR(34),"")</f>
        <v>&lt;01</v>
      </c>
      <c r="R7366" s="0" t="str">
        <f aca="false">IF($D7366&lt;&gt;"","["&amp;$E7366&amp;"]"&amp;"|"&amp;$Q7366&amp;"|"&amp;$K7366&amp;"|"&amp;$G7366&amp;"|"&amp;IF($G7366="TX_CURR_SUBNAT.R","CY2022Q4",$M7366),"")</f>
        <v>[TYnMSwzko3z]|&lt;01|Female|NEW_INFECTIONS_SUBNAT.T2|CY2025Q3</v>
      </c>
    </row>
    <row r="7367" customFormat="false" ht="15" hidden="false" customHeight="false" outlineLevel="0" collapsed="false">
      <c r="D7367" s="0" t="s">
        <v>78</v>
      </c>
      <c r="E7367" s="0" t="s">
        <v>79</v>
      </c>
      <c r="F7367" s="0" t="s">
        <v>80</v>
      </c>
      <c r="G7367" s="0" t="s">
        <v>175</v>
      </c>
      <c r="H7367" s="0" t="s">
        <v>175</v>
      </c>
      <c r="I7367" s="0" t="s">
        <v>33</v>
      </c>
      <c r="J7367" s="0" t="s">
        <v>34</v>
      </c>
      <c r="K7367" s="0" t="s">
        <v>30</v>
      </c>
      <c r="L7367" s="0" t="s">
        <v>31</v>
      </c>
      <c r="M7367" s="0" t="s">
        <v>173</v>
      </c>
      <c r="N7367" s="0" t="n">
        <v>1983</v>
      </c>
      <c r="O7367" s="10" t="n">
        <v>0.974652086384594</v>
      </c>
      <c r="P7367" s="10" t="n">
        <v>0.831597982207313</v>
      </c>
      <c r="Q7367" s="0" t="str">
        <f aca="false">SUBSTITUTE(SUBSTITUTE($I7367,CHAR(61),""),CHAR(34),"")</f>
        <v>01-09</v>
      </c>
      <c r="R7367" s="0" t="str">
        <f aca="false">IF($D7367&lt;&gt;"","["&amp;$E7367&amp;"]"&amp;"|"&amp;$Q7367&amp;"|"&amp;$K7367&amp;"|"&amp;$G7367&amp;"|"&amp;IF($G7367="TX_CURR_SUBNAT.R","CY2022Q4",$M7367),"")</f>
        <v>[TYnMSwzko3z]|01-09|Female|NEW_INFECTIONS_SUBNAT.T2|CY2025Q3</v>
      </c>
    </row>
    <row r="7368" customFormat="false" ht="15" hidden="false" customHeight="false" outlineLevel="0" collapsed="false">
      <c r="D7368" s="0" t="s">
        <v>78</v>
      </c>
      <c r="E7368" s="0" t="s">
        <v>79</v>
      </c>
      <c r="F7368" s="0" t="s">
        <v>80</v>
      </c>
      <c r="G7368" s="0" t="s">
        <v>175</v>
      </c>
      <c r="H7368" s="0" t="s">
        <v>175</v>
      </c>
      <c r="I7368" s="0" t="s">
        <v>36</v>
      </c>
      <c r="J7368" s="0" t="s">
        <v>37</v>
      </c>
      <c r="K7368" s="0" t="s">
        <v>30</v>
      </c>
      <c r="L7368" s="0" t="s">
        <v>31</v>
      </c>
      <c r="M7368" s="0" t="s">
        <v>173</v>
      </c>
      <c r="N7368" s="0" t="n">
        <v>1048</v>
      </c>
      <c r="O7368" s="10" t="n">
        <v>0.811639381339774</v>
      </c>
      <c r="P7368" s="10" t="n">
        <v>0.831597982207313</v>
      </c>
      <c r="Q7368" s="0" t="str">
        <f aca="false">SUBSTITUTE(SUBSTITUTE($I7368,CHAR(61),""),CHAR(34),"")</f>
        <v>10-14</v>
      </c>
      <c r="R7368" s="0" t="str">
        <f aca="false">IF($D7368&lt;&gt;"","["&amp;$E7368&amp;"]"&amp;"|"&amp;$Q7368&amp;"|"&amp;$K7368&amp;"|"&amp;$G7368&amp;"|"&amp;IF($G7368="TX_CURR_SUBNAT.R","CY2022Q4",$M7368),"")</f>
        <v>[TYnMSwzko3z]|10-14|Female|NEW_INFECTIONS_SUBNAT.T2|CY2025Q3</v>
      </c>
    </row>
    <row r="7369" customFormat="false" ht="15" hidden="false" customHeight="false" outlineLevel="0" collapsed="false">
      <c r="D7369" s="0" t="s">
        <v>78</v>
      </c>
      <c r="E7369" s="0" t="s">
        <v>79</v>
      </c>
      <c r="F7369" s="0" t="s">
        <v>80</v>
      </c>
      <c r="G7369" s="0" t="s">
        <v>175</v>
      </c>
      <c r="H7369" s="0" t="s">
        <v>175</v>
      </c>
      <c r="I7369" s="0" t="s">
        <v>38</v>
      </c>
      <c r="J7369" s="0" t="s">
        <v>39</v>
      </c>
      <c r="K7369" s="0" t="s">
        <v>30</v>
      </c>
      <c r="L7369" s="0" t="s">
        <v>31</v>
      </c>
      <c r="M7369" s="0" t="s">
        <v>173</v>
      </c>
      <c r="N7369" s="0" t="n">
        <v>538</v>
      </c>
      <c r="O7369" s="10" t="n">
        <v>0.911383353639394</v>
      </c>
      <c r="P7369" s="10" t="n">
        <v>0.831597982207313</v>
      </c>
      <c r="Q7369" s="0" t="str">
        <f aca="false">SUBSTITUTE(SUBSTITUTE($I7369,CHAR(61),""),CHAR(34),"")</f>
        <v>15-24</v>
      </c>
      <c r="R7369" s="0" t="str">
        <f aca="false">IF($D7369&lt;&gt;"","["&amp;$E7369&amp;"]"&amp;"|"&amp;$Q7369&amp;"|"&amp;$K7369&amp;"|"&amp;$G7369&amp;"|"&amp;IF($G7369="TX_CURR_SUBNAT.R","CY2022Q4",$M7369),"")</f>
        <v>[TYnMSwzko3z]|15-24|Female|NEW_INFECTIONS_SUBNAT.T2|CY2025Q3</v>
      </c>
    </row>
    <row r="7370" customFormat="false" ht="15" hidden="false" customHeight="false" outlineLevel="0" collapsed="false">
      <c r="D7370" s="0" t="s">
        <v>78</v>
      </c>
      <c r="E7370" s="0" t="s">
        <v>79</v>
      </c>
      <c r="F7370" s="0" t="s">
        <v>80</v>
      </c>
      <c r="G7370" s="0" t="s">
        <v>175</v>
      </c>
      <c r="H7370" s="0" t="s">
        <v>175</v>
      </c>
      <c r="I7370" s="0" t="s">
        <v>41</v>
      </c>
      <c r="J7370" s="0" t="s">
        <v>42</v>
      </c>
      <c r="K7370" s="0" t="s">
        <v>30</v>
      </c>
      <c r="L7370" s="0" t="s">
        <v>31</v>
      </c>
      <c r="M7370" s="0" t="s">
        <v>173</v>
      </c>
      <c r="N7370" s="0" t="n">
        <v>1846</v>
      </c>
      <c r="O7370" s="10" t="n">
        <v>0.0150426363106817</v>
      </c>
      <c r="P7370" s="10" t="n">
        <v>0.831597982207313</v>
      </c>
      <c r="Q7370" s="0" t="str">
        <f aca="false">SUBSTITUTE(SUBSTITUTE($I7370,CHAR(61),""),CHAR(34),"")</f>
        <v>25-34</v>
      </c>
      <c r="R7370" s="0" t="str">
        <f aca="false">IF($D7370&lt;&gt;"","["&amp;$E7370&amp;"]"&amp;"|"&amp;$Q7370&amp;"|"&amp;$K7370&amp;"|"&amp;$G7370&amp;"|"&amp;IF($G7370="TX_CURR_SUBNAT.R","CY2022Q4",$M7370),"")</f>
        <v>[TYnMSwzko3z]|25-34|Female|NEW_INFECTIONS_SUBNAT.T2|CY2025Q3</v>
      </c>
    </row>
    <row r="7371" customFormat="false" ht="15" hidden="false" customHeight="false" outlineLevel="0" collapsed="false">
      <c r="D7371" s="0" t="s">
        <v>78</v>
      </c>
      <c r="E7371" s="0" t="s">
        <v>79</v>
      </c>
      <c r="F7371" s="0" t="s">
        <v>80</v>
      </c>
      <c r="G7371" s="0" t="s">
        <v>175</v>
      </c>
      <c r="H7371" s="0" t="s">
        <v>175</v>
      </c>
      <c r="I7371" s="0" t="s">
        <v>43</v>
      </c>
      <c r="J7371" s="0" t="s">
        <v>44</v>
      </c>
      <c r="K7371" s="0" t="s">
        <v>30</v>
      </c>
      <c r="L7371" s="0" t="s">
        <v>31</v>
      </c>
      <c r="M7371" s="0" t="s">
        <v>173</v>
      </c>
      <c r="N7371" s="0" t="n">
        <v>533</v>
      </c>
      <c r="O7371" s="10" t="n">
        <v>0.744752845494077</v>
      </c>
      <c r="P7371" s="10" t="n">
        <v>0.831597982207313</v>
      </c>
      <c r="Q7371" s="0" t="str">
        <f aca="false">SUBSTITUTE(SUBSTITUTE($I7371,CHAR(61),""),CHAR(34),"")</f>
        <v>35-49</v>
      </c>
      <c r="R7371" s="0" t="str">
        <f aca="false">IF($D7371&lt;&gt;"","["&amp;$E7371&amp;"]"&amp;"|"&amp;$Q7371&amp;"|"&amp;$K7371&amp;"|"&amp;$G7371&amp;"|"&amp;IF($G7371="TX_CURR_SUBNAT.R","CY2022Q4",$M7371),"")</f>
        <v>[TYnMSwzko3z]|35-49|Female|NEW_INFECTIONS_SUBNAT.T2|CY2025Q3</v>
      </c>
    </row>
    <row r="7372" customFormat="false" ht="15" hidden="false" customHeight="false" outlineLevel="0" collapsed="false">
      <c r="D7372" s="0" t="s">
        <v>78</v>
      </c>
      <c r="E7372" s="0" t="s">
        <v>79</v>
      </c>
      <c r="F7372" s="0" t="s">
        <v>80</v>
      </c>
      <c r="G7372" s="0" t="s">
        <v>175</v>
      </c>
      <c r="H7372" s="0" t="s">
        <v>175</v>
      </c>
      <c r="I7372" s="0" t="s">
        <v>45</v>
      </c>
      <c r="J7372" s="0" t="s">
        <v>46</v>
      </c>
      <c r="K7372" s="0" t="s">
        <v>30</v>
      </c>
      <c r="L7372" s="0" t="s">
        <v>31</v>
      </c>
      <c r="M7372" s="0" t="s">
        <v>173</v>
      </c>
      <c r="N7372" s="0" t="n">
        <v>1144</v>
      </c>
      <c r="O7372" s="10" t="n">
        <v>0.658628781326115</v>
      </c>
      <c r="P7372" s="10" t="n">
        <v>0.831597982207313</v>
      </c>
      <c r="Q7372" s="0" t="str">
        <f aca="false">SUBSTITUTE(SUBSTITUTE($I7372,CHAR(61),""),CHAR(34),"")</f>
        <v>50+</v>
      </c>
      <c r="R7372" s="0" t="str">
        <f aca="false">IF($D7372&lt;&gt;"","["&amp;$E7372&amp;"]"&amp;"|"&amp;$Q7372&amp;"|"&amp;$K7372&amp;"|"&amp;$G7372&amp;"|"&amp;IF($G7372="TX_CURR_SUBNAT.R","CY2022Q4",$M7372),"")</f>
        <v>[TYnMSwzko3z]|50+|Female|NEW_INFECTIONS_SUBNAT.T2|CY2025Q3</v>
      </c>
    </row>
    <row r="7373" customFormat="false" ht="15" hidden="false" customHeight="false" outlineLevel="0" collapsed="false">
      <c r="D7373" s="0" t="s">
        <v>78</v>
      </c>
      <c r="E7373" s="0" t="s">
        <v>79</v>
      </c>
      <c r="F7373" s="0" t="s">
        <v>80</v>
      </c>
      <c r="G7373" s="0" t="s">
        <v>175</v>
      </c>
      <c r="H7373" s="0" t="s">
        <v>175</v>
      </c>
      <c r="I7373" s="0" t="s">
        <v>28</v>
      </c>
      <c r="J7373" s="0" t="s">
        <v>29</v>
      </c>
      <c r="K7373" s="0" t="s">
        <v>48</v>
      </c>
      <c r="L7373" s="0" t="s">
        <v>49</v>
      </c>
      <c r="M7373" s="0" t="s">
        <v>173</v>
      </c>
      <c r="N7373" s="0" t="n">
        <v>1320</v>
      </c>
      <c r="O7373" s="10" t="n">
        <v>0.775431796908379</v>
      </c>
      <c r="P7373" s="10" t="n">
        <v>0.831597982207313</v>
      </c>
      <c r="Q7373" s="0" t="str">
        <f aca="false">SUBSTITUTE(SUBSTITUTE($I7373,CHAR(61),""),CHAR(34),"")</f>
        <v>&lt;01</v>
      </c>
      <c r="R7373" s="0" t="str">
        <f aca="false">IF($D7373&lt;&gt;"","["&amp;$E7373&amp;"]"&amp;"|"&amp;$Q7373&amp;"|"&amp;$K7373&amp;"|"&amp;$G7373&amp;"|"&amp;IF($G7373="TX_CURR_SUBNAT.R","CY2022Q4",$M7373),"")</f>
        <v>[TYnMSwzko3z]|&lt;01|Male|NEW_INFECTIONS_SUBNAT.T2|CY2025Q3</v>
      </c>
    </row>
    <row r="7374" customFormat="false" ht="15" hidden="false" customHeight="false" outlineLevel="0" collapsed="false">
      <c r="D7374" s="0" t="s">
        <v>78</v>
      </c>
      <c r="E7374" s="0" t="s">
        <v>79</v>
      </c>
      <c r="F7374" s="0" t="s">
        <v>80</v>
      </c>
      <c r="G7374" s="0" t="s">
        <v>175</v>
      </c>
      <c r="H7374" s="0" t="s">
        <v>175</v>
      </c>
      <c r="I7374" s="0" t="s">
        <v>33</v>
      </c>
      <c r="J7374" s="0" t="s">
        <v>34</v>
      </c>
      <c r="K7374" s="0" t="s">
        <v>48</v>
      </c>
      <c r="L7374" s="0" t="s">
        <v>49</v>
      </c>
      <c r="M7374" s="0" t="s">
        <v>173</v>
      </c>
      <c r="N7374" s="0" t="n">
        <v>1924</v>
      </c>
      <c r="O7374" s="10" t="n">
        <v>0.884933787630871</v>
      </c>
      <c r="P7374" s="10" t="n">
        <v>0.831597982207313</v>
      </c>
      <c r="Q7374" s="0" t="str">
        <f aca="false">SUBSTITUTE(SUBSTITUTE($I7374,CHAR(61),""),CHAR(34),"")</f>
        <v>01-09</v>
      </c>
      <c r="R7374" s="0" t="str">
        <f aca="false">IF($D7374&lt;&gt;"","["&amp;$E7374&amp;"]"&amp;"|"&amp;$Q7374&amp;"|"&amp;$K7374&amp;"|"&amp;$G7374&amp;"|"&amp;IF($G7374="TX_CURR_SUBNAT.R","CY2022Q4",$M7374),"")</f>
        <v>[TYnMSwzko3z]|01-09|Male|NEW_INFECTIONS_SUBNAT.T2|CY2025Q3</v>
      </c>
    </row>
    <row r="7375" customFormat="false" ht="15" hidden="false" customHeight="false" outlineLevel="0" collapsed="false">
      <c r="D7375" s="0" t="s">
        <v>78</v>
      </c>
      <c r="E7375" s="0" t="s">
        <v>79</v>
      </c>
      <c r="F7375" s="0" t="s">
        <v>80</v>
      </c>
      <c r="G7375" s="0" t="s">
        <v>175</v>
      </c>
      <c r="H7375" s="0" t="s">
        <v>175</v>
      </c>
      <c r="I7375" s="0" t="s">
        <v>36</v>
      </c>
      <c r="J7375" s="0" t="s">
        <v>37</v>
      </c>
      <c r="K7375" s="0" t="s">
        <v>48</v>
      </c>
      <c r="L7375" s="0" t="s">
        <v>49</v>
      </c>
      <c r="M7375" s="0" t="s">
        <v>173</v>
      </c>
      <c r="N7375" s="0" t="n">
        <v>1514</v>
      </c>
      <c r="O7375" s="10" t="n">
        <v>0.366801181808114</v>
      </c>
      <c r="P7375" s="10" t="n">
        <v>0.831597982207313</v>
      </c>
      <c r="Q7375" s="0" t="str">
        <f aca="false">SUBSTITUTE(SUBSTITUTE($I7375,CHAR(61),""),CHAR(34),"")</f>
        <v>10-14</v>
      </c>
      <c r="R7375" s="0" t="str">
        <f aca="false">IF($D7375&lt;&gt;"","["&amp;$E7375&amp;"]"&amp;"|"&amp;$Q7375&amp;"|"&amp;$K7375&amp;"|"&amp;$G7375&amp;"|"&amp;IF($G7375="TX_CURR_SUBNAT.R","CY2022Q4",$M7375),"")</f>
        <v>[TYnMSwzko3z]|10-14|Male|NEW_INFECTIONS_SUBNAT.T2|CY2025Q3</v>
      </c>
    </row>
    <row r="7376" customFormat="false" ht="15" hidden="false" customHeight="false" outlineLevel="0" collapsed="false">
      <c r="D7376" s="0" t="s">
        <v>78</v>
      </c>
      <c r="E7376" s="0" t="s">
        <v>79</v>
      </c>
      <c r="F7376" s="0" t="s">
        <v>80</v>
      </c>
      <c r="G7376" s="0" t="s">
        <v>175</v>
      </c>
      <c r="H7376" s="0" t="s">
        <v>175</v>
      </c>
      <c r="I7376" s="0" t="s">
        <v>38</v>
      </c>
      <c r="J7376" s="0" t="s">
        <v>39</v>
      </c>
      <c r="K7376" s="0" t="s">
        <v>48</v>
      </c>
      <c r="L7376" s="0" t="s">
        <v>49</v>
      </c>
      <c r="M7376" s="0" t="s">
        <v>173</v>
      </c>
      <c r="N7376" s="0" t="n">
        <v>1748</v>
      </c>
      <c r="O7376" s="10" t="n">
        <v>0.148922994965687</v>
      </c>
      <c r="P7376" s="10" t="n">
        <v>0.831597982207313</v>
      </c>
      <c r="Q7376" s="0" t="str">
        <f aca="false">SUBSTITUTE(SUBSTITUTE($I7376,CHAR(61),""),CHAR(34),"")</f>
        <v>15-24</v>
      </c>
      <c r="R7376" s="0" t="str">
        <f aca="false">IF($D7376&lt;&gt;"","["&amp;$E7376&amp;"]"&amp;"|"&amp;$Q7376&amp;"|"&amp;$K7376&amp;"|"&amp;$G7376&amp;"|"&amp;IF($G7376="TX_CURR_SUBNAT.R","CY2022Q4",$M7376),"")</f>
        <v>[TYnMSwzko3z]|15-24|Male|NEW_INFECTIONS_SUBNAT.T2|CY2025Q3</v>
      </c>
    </row>
    <row r="7377" customFormat="false" ht="15" hidden="false" customHeight="false" outlineLevel="0" collapsed="false">
      <c r="D7377" s="0" t="s">
        <v>78</v>
      </c>
      <c r="E7377" s="0" t="s">
        <v>79</v>
      </c>
      <c r="F7377" s="0" t="s">
        <v>80</v>
      </c>
      <c r="G7377" s="0" t="s">
        <v>175</v>
      </c>
      <c r="H7377" s="0" t="s">
        <v>175</v>
      </c>
      <c r="I7377" s="0" t="s">
        <v>41</v>
      </c>
      <c r="J7377" s="0" t="s">
        <v>42</v>
      </c>
      <c r="K7377" s="0" t="s">
        <v>48</v>
      </c>
      <c r="L7377" s="0" t="s">
        <v>49</v>
      </c>
      <c r="M7377" s="0" t="s">
        <v>173</v>
      </c>
      <c r="N7377" s="0" t="n">
        <v>1841</v>
      </c>
      <c r="O7377" s="10" t="n">
        <v>0.0128057363908738</v>
      </c>
      <c r="P7377" s="10" t="n">
        <v>0.831597982207313</v>
      </c>
      <c r="Q7377" s="0" t="str">
        <f aca="false">SUBSTITUTE(SUBSTITUTE($I7377,CHAR(61),""),CHAR(34),"")</f>
        <v>25-34</v>
      </c>
      <c r="R7377" s="0" t="str">
        <f aca="false">IF($D7377&lt;&gt;"","["&amp;$E7377&amp;"]"&amp;"|"&amp;$Q7377&amp;"|"&amp;$K7377&amp;"|"&amp;$G7377&amp;"|"&amp;IF($G7377="TX_CURR_SUBNAT.R","CY2022Q4",$M7377),"")</f>
        <v>[TYnMSwzko3z]|25-34|Male|NEW_INFECTIONS_SUBNAT.T2|CY2025Q3</v>
      </c>
    </row>
    <row r="7378" customFormat="false" ht="15" hidden="false" customHeight="false" outlineLevel="0" collapsed="false">
      <c r="D7378" s="0" t="s">
        <v>78</v>
      </c>
      <c r="E7378" s="0" t="s">
        <v>79</v>
      </c>
      <c r="F7378" s="0" t="s">
        <v>80</v>
      </c>
      <c r="G7378" s="0" t="s">
        <v>175</v>
      </c>
      <c r="H7378" s="0" t="s">
        <v>175</v>
      </c>
      <c r="I7378" s="0" t="s">
        <v>43</v>
      </c>
      <c r="J7378" s="0" t="s">
        <v>44</v>
      </c>
      <c r="K7378" s="0" t="s">
        <v>48</v>
      </c>
      <c r="L7378" s="0" t="s">
        <v>49</v>
      </c>
      <c r="M7378" s="0" t="s">
        <v>173</v>
      </c>
      <c r="N7378" s="0" t="n">
        <v>1018</v>
      </c>
      <c r="O7378" s="10" t="n">
        <v>0.591313637327403</v>
      </c>
      <c r="P7378" s="10" t="n">
        <v>0.831597982207313</v>
      </c>
      <c r="Q7378" s="0" t="str">
        <f aca="false">SUBSTITUTE(SUBSTITUTE($I7378,CHAR(61),""),CHAR(34),"")</f>
        <v>35-49</v>
      </c>
      <c r="R7378" s="0" t="str">
        <f aca="false">IF($D7378&lt;&gt;"","["&amp;$E7378&amp;"]"&amp;"|"&amp;$Q7378&amp;"|"&amp;$K7378&amp;"|"&amp;$G7378&amp;"|"&amp;IF($G7378="TX_CURR_SUBNAT.R","CY2022Q4",$M7378),"")</f>
        <v>[TYnMSwzko3z]|35-49|Male|NEW_INFECTIONS_SUBNAT.T2|CY2025Q3</v>
      </c>
    </row>
    <row r="7379" customFormat="false" ht="15" hidden="false" customHeight="false" outlineLevel="0" collapsed="false">
      <c r="D7379" s="0" t="s">
        <v>78</v>
      </c>
      <c r="E7379" s="0" t="s">
        <v>79</v>
      </c>
      <c r="F7379" s="0" t="s">
        <v>80</v>
      </c>
      <c r="G7379" s="0" t="s">
        <v>175</v>
      </c>
      <c r="H7379" s="0" t="s">
        <v>175</v>
      </c>
      <c r="I7379" s="0" t="s">
        <v>45</v>
      </c>
      <c r="J7379" s="0" t="s">
        <v>46</v>
      </c>
      <c r="K7379" s="0" t="s">
        <v>48</v>
      </c>
      <c r="L7379" s="0" t="s">
        <v>49</v>
      </c>
      <c r="M7379" s="0" t="s">
        <v>173</v>
      </c>
      <c r="N7379" s="0" t="n">
        <v>1445</v>
      </c>
      <c r="O7379" s="10" t="n">
        <v>0.242244586581364</v>
      </c>
      <c r="P7379" s="10" t="n">
        <v>0.831597982207313</v>
      </c>
      <c r="Q7379" s="0" t="str">
        <f aca="false">SUBSTITUTE(SUBSTITUTE($I7379,CHAR(61),""),CHAR(34),"")</f>
        <v>50+</v>
      </c>
      <c r="R7379" s="0" t="str">
        <f aca="false">IF($D7379&lt;&gt;"","["&amp;$E7379&amp;"]"&amp;"|"&amp;$Q7379&amp;"|"&amp;$K7379&amp;"|"&amp;$G7379&amp;"|"&amp;IF($G7379="TX_CURR_SUBNAT.R","CY2022Q4",$M7379),"")</f>
        <v>[TYnMSwzko3z]|50+|Male|NEW_INFECTIONS_SUBNAT.T2|CY2025Q3</v>
      </c>
    </row>
    <row r="7380" customFormat="false" ht="15" hidden="false" customHeight="false" outlineLevel="0" collapsed="false">
      <c r="D7380" s="0" t="s">
        <v>81</v>
      </c>
      <c r="E7380" s="0" t="s">
        <v>82</v>
      </c>
      <c r="F7380" s="0" t="s">
        <v>83</v>
      </c>
      <c r="G7380" s="0" t="s">
        <v>175</v>
      </c>
      <c r="H7380" s="0" t="s">
        <v>175</v>
      </c>
      <c r="I7380" s="0" t="s">
        <v>28</v>
      </c>
      <c r="J7380" s="0" t="s">
        <v>29</v>
      </c>
      <c r="K7380" s="0" t="s">
        <v>30</v>
      </c>
      <c r="L7380" s="0" t="s">
        <v>31</v>
      </c>
      <c r="M7380" s="0" t="s">
        <v>173</v>
      </c>
      <c r="N7380" s="0" t="n">
        <v>603</v>
      </c>
      <c r="O7380" s="10" t="n">
        <v>0.55969579401426</v>
      </c>
      <c r="P7380" s="10" t="n">
        <v>0.143331421539187</v>
      </c>
      <c r="Q7380" s="0" t="str">
        <f aca="false">SUBSTITUTE(SUBSTITUTE($I7380,CHAR(61),""),CHAR(34),"")</f>
        <v>&lt;01</v>
      </c>
      <c r="R7380" s="0" t="str">
        <f aca="false">IF($D7380&lt;&gt;"","["&amp;$E7380&amp;"]"&amp;"|"&amp;$Q7380&amp;"|"&amp;$K7380&amp;"|"&amp;$G7380&amp;"|"&amp;IF($G7380="TX_CURR_SUBNAT.R","CY2022Q4",$M7380),"")</f>
        <v>[ir8wuHHzoSs]|&lt;01|Female|NEW_INFECTIONS_SUBNAT.T2|CY2025Q3</v>
      </c>
    </row>
    <row r="7381" customFormat="false" ht="15" hidden="false" customHeight="false" outlineLevel="0" collapsed="false">
      <c r="D7381" s="0" t="s">
        <v>81</v>
      </c>
      <c r="E7381" s="0" t="s">
        <v>82</v>
      </c>
      <c r="F7381" s="0" t="s">
        <v>83</v>
      </c>
      <c r="G7381" s="0" t="s">
        <v>175</v>
      </c>
      <c r="H7381" s="0" t="s">
        <v>175</v>
      </c>
      <c r="I7381" s="0" t="s">
        <v>33</v>
      </c>
      <c r="J7381" s="0" t="s">
        <v>34</v>
      </c>
      <c r="K7381" s="0" t="s">
        <v>30</v>
      </c>
      <c r="L7381" s="0" t="s">
        <v>31</v>
      </c>
      <c r="M7381" s="0" t="s">
        <v>173</v>
      </c>
      <c r="N7381" s="0" t="n">
        <v>639</v>
      </c>
      <c r="O7381" s="10" t="n">
        <v>0.333397859474644</v>
      </c>
      <c r="P7381" s="10" t="n">
        <v>0.143331421539187</v>
      </c>
      <c r="Q7381" s="0" t="str">
        <f aca="false">SUBSTITUTE(SUBSTITUTE($I7381,CHAR(61),""),CHAR(34),"")</f>
        <v>01-09</v>
      </c>
      <c r="R7381" s="0" t="str">
        <f aca="false">IF($D7381&lt;&gt;"","["&amp;$E7381&amp;"]"&amp;"|"&amp;$Q7381&amp;"|"&amp;$K7381&amp;"|"&amp;$G7381&amp;"|"&amp;IF($G7381="TX_CURR_SUBNAT.R","CY2022Q4",$M7381),"")</f>
        <v>[ir8wuHHzoSs]|01-09|Female|NEW_INFECTIONS_SUBNAT.T2|CY2025Q3</v>
      </c>
    </row>
    <row r="7382" customFormat="false" ht="15" hidden="false" customHeight="false" outlineLevel="0" collapsed="false">
      <c r="D7382" s="0" t="s">
        <v>81</v>
      </c>
      <c r="E7382" s="0" t="s">
        <v>82</v>
      </c>
      <c r="F7382" s="0" t="s">
        <v>83</v>
      </c>
      <c r="G7382" s="0" t="s">
        <v>175</v>
      </c>
      <c r="H7382" s="0" t="s">
        <v>175</v>
      </c>
      <c r="I7382" s="0" t="s">
        <v>36</v>
      </c>
      <c r="J7382" s="0" t="s">
        <v>37</v>
      </c>
      <c r="K7382" s="0" t="s">
        <v>30</v>
      </c>
      <c r="L7382" s="0" t="s">
        <v>31</v>
      </c>
      <c r="M7382" s="0" t="s">
        <v>173</v>
      </c>
      <c r="N7382" s="0" t="n">
        <v>654</v>
      </c>
      <c r="O7382" s="10" t="n">
        <v>0.858443269971758</v>
      </c>
      <c r="P7382" s="10" t="n">
        <v>0.143331421539187</v>
      </c>
      <c r="Q7382" s="0" t="str">
        <f aca="false">SUBSTITUTE(SUBSTITUTE($I7382,CHAR(61),""),CHAR(34),"")</f>
        <v>10-14</v>
      </c>
      <c r="R7382" s="0" t="str">
        <f aca="false">IF($D7382&lt;&gt;"","["&amp;$E7382&amp;"]"&amp;"|"&amp;$Q7382&amp;"|"&amp;$K7382&amp;"|"&amp;$G7382&amp;"|"&amp;IF($G7382="TX_CURR_SUBNAT.R","CY2022Q4",$M7382),"")</f>
        <v>[ir8wuHHzoSs]|10-14|Female|NEW_INFECTIONS_SUBNAT.T2|CY2025Q3</v>
      </c>
    </row>
    <row r="7383" customFormat="false" ht="15" hidden="false" customHeight="false" outlineLevel="0" collapsed="false">
      <c r="D7383" s="0" t="s">
        <v>81</v>
      </c>
      <c r="E7383" s="0" t="s">
        <v>82</v>
      </c>
      <c r="F7383" s="0" t="s">
        <v>83</v>
      </c>
      <c r="G7383" s="0" t="s">
        <v>175</v>
      </c>
      <c r="H7383" s="0" t="s">
        <v>175</v>
      </c>
      <c r="I7383" s="0" t="s">
        <v>38</v>
      </c>
      <c r="J7383" s="0" t="s">
        <v>39</v>
      </c>
      <c r="K7383" s="0" t="s">
        <v>30</v>
      </c>
      <c r="L7383" s="0" t="s">
        <v>31</v>
      </c>
      <c r="M7383" s="0" t="s">
        <v>173</v>
      </c>
      <c r="N7383" s="0" t="n">
        <v>858</v>
      </c>
      <c r="O7383" s="10" t="n">
        <v>0.431562731275335</v>
      </c>
      <c r="P7383" s="10" t="n">
        <v>0.143331421539187</v>
      </c>
      <c r="Q7383" s="0" t="str">
        <f aca="false">SUBSTITUTE(SUBSTITUTE($I7383,CHAR(61),""),CHAR(34),"")</f>
        <v>15-24</v>
      </c>
      <c r="R7383" s="0" t="str">
        <f aca="false">IF($D7383&lt;&gt;"","["&amp;$E7383&amp;"]"&amp;"|"&amp;$Q7383&amp;"|"&amp;$K7383&amp;"|"&amp;$G7383&amp;"|"&amp;IF($G7383="TX_CURR_SUBNAT.R","CY2022Q4",$M7383),"")</f>
        <v>[ir8wuHHzoSs]|15-24|Female|NEW_INFECTIONS_SUBNAT.T2|CY2025Q3</v>
      </c>
    </row>
    <row r="7384" customFormat="false" ht="15" hidden="false" customHeight="false" outlineLevel="0" collapsed="false">
      <c r="D7384" s="0" t="s">
        <v>81</v>
      </c>
      <c r="E7384" s="0" t="s">
        <v>82</v>
      </c>
      <c r="F7384" s="0" t="s">
        <v>83</v>
      </c>
      <c r="G7384" s="0" t="s">
        <v>175</v>
      </c>
      <c r="H7384" s="0" t="s">
        <v>175</v>
      </c>
      <c r="I7384" s="0" t="s">
        <v>41</v>
      </c>
      <c r="J7384" s="0" t="s">
        <v>42</v>
      </c>
      <c r="K7384" s="0" t="s">
        <v>30</v>
      </c>
      <c r="L7384" s="0" t="s">
        <v>31</v>
      </c>
      <c r="M7384" s="0" t="s">
        <v>173</v>
      </c>
      <c r="N7384" s="0" t="n">
        <v>1568</v>
      </c>
      <c r="O7384" s="10" t="n">
        <v>0.707167492480949</v>
      </c>
      <c r="P7384" s="10" t="n">
        <v>0.143331421539187</v>
      </c>
      <c r="Q7384" s="0" t="str">
        <f aca="false">SUBSTITUTE(SUBSTITUTE($I7384,CHAR(61),""),CHAR(34),"")</f>
        <v>25-34</v>
      </c>
      <c r="R7384" s="0" t="str">
        <f aca="false">IF($D7384&lt;&gt;"","["&amp;$E7384&amp;"]"&amp;"|"&amp;$Q7384&amp;"|"&amp;$K7384&amp;"|"&amp;$G7384&amp;"|"&amp;IF($G7384="TX_CURR_SUBNAT.R","CY2022Q4",$M7384),"")</f>
        <v>[ir8wuHHzoSs]|25-34|Female|NEW_INFECTIONS_SUBNAT.T2|CY2025Q3</v>
      </c>
    </row>
    <row r="7385" customFormat="false" ht="15" hidden="false" customHeight="false" outlineLevel="0" collapsed="false">
      <c r="D7385" s="0" t="s">
        <v>81</v>
      </c>
      <c r="E7385" s="0" t="s">
        <v>82</v>
      </c>
      <c r="F7385" s="0" t="s">
        <v>83</v>
      </c>
      <c r="G7385" s="0" t="s">
        <v>175</v>
      </c>
      <c r="H7385" s="0" t="s">
        <v>175</v>
      </c>
      <c r="I7385" s="0" t="s">
        <v>43</v>
      </c>
      <c r="J7385" s="0" t="s">
        <v>44</v>
      </c>
      <c r="K7385" s="0" t="s">
        <v>30</v>
      </c>
      <c r="L7385" s="0" t="s">
        <v>31</v>
      </c>
      <c r="M7385" s="0" t="s">
        <v>173</v>
      </c>
      <c r="N7385" s="0" t="n">
        <v>1607</v>
      </c>
      <c r="O7385" s="10" t="n">
        <v>0.000706639140844345</v>
      </c>
      <c r="P7385" s="10" t="n">
        <v>0.143331421539187</v>
      </c>
      <c r="Q7385" s="0" t="str">
        <f aca="false">SUBSTITUTE(SUBSTITUTE($I7385,CHAR(61),""),CHAR(34),"")</f>
        <v>35-49</v>
      </c>
      <c r="R7385" s="0" t="str">
        <f aca="false">IF($D7385&lt;&gt;"","["&amp;$E7385&amp;"]"&amp;"|"&amp;$Q7385&amp;"|"&amp;$K7385&amp;"|"&amp;$G7385&amp;"|"&amp;IF($G7385="TX_CURR_SUBNAT.R","CY2022Q4",$M7385),"")</f>
        <v>[ir8wuHHzoSs]|35-49|Female|NEW_INFECTIONS_SUBNAT.T2|CY2025Q3</v>
      </c>
    </row>
    <row r="7386" customFormat="false" ht="15" hidden="false" customHeight="false" outlineLevel="0" collapsed="false">
      <c r="D7386" s="0" t="s">
        <v>81</v>
      </c>
      <c r="E7386" s="0" t="s">
        <v>82</v>
      </c>
      <c r="F7386" s="0" t="s">
        <v>83</v>
      </c>
      <c r="G7386" s="0" t="s">
        <v>175</v>
      </c>
      <c r="H7386" s="0" t="s">
        <v>175</v>
      </c>
      <c r="I7386" s="0" t="s">
        <v>45</v>
      </c>
      <c r="J7386" s="0" t="s">
        <v>46</v>
      </c>
      <c r="K7386" s="0" t="s">
        <v>30</v>
      </c>
      <c r="L7386" s="0" t="s">
        <v>31</v>
      </c>
      <c r="M7386" s="0" t="s">
        <v>173</v>
      </c>
      <c r="N7386" s="0" t="n">
        <v>1574</v>
      </c>
      <c r="O7386" s="10" t="n">
        <v>0.790830962825567</v>
      </c>
      <c r="P7386" s="10" t="n">
        <v>0.143331421539187</v>
      </c>
      <c r="Q7386" s="0" t="str">
        <f aca="false">SUBSTITUTE(SUBSTITUTE($I7386,CHAR(61),""),CHAR(34),"")</f>
        <v>50+</v>
      </c>
      <c r="R7386" s="0" t="str">
        <f aca="false">IF($D7386&lt;&gt;"","["&amp;$E7386&amp;"]"&amp;"|"&amp;$Q7386&amp;"|"&amp;$K7386&amp;"|"&amp;$G7386&amp;"|"&amp;IF($G7386="TX_CURR_SUBNAT.R","CY2022Q4",$M7386),"")</f>
        <v>[ir8wuHHzoSs]|50+|Female|NEW_INFECTIONS_SUBNAT.T2|CY2025Q3</v>
      </c>
    </row>
    <row r="7387" customFormat="false" ht="15" hidden="false" customHeight="false" outlineLevel="0" collapsed="false">
      <c r="D7387" s="0" t="s">
        <v>81</v>
      </c>
      <c r="E7387" s="0" t="s">
        <v>82</v>
      </c>
      <c r="F7387" s="0" t="s">
        <v>83</v>
      </c>
      <c r="G7387" s="0" t="s">
        <v>175</v>
      </c>
      <c r="H7387" s="0" t="s">
        <v>175</v>
      </c>
      <c r="I7387" s="0" t="s">
        <v>28</v>
      </c>
      <c r="J7387" s="0" t="s">
        <v>29</v>
      </c>
      <c r="K7387" s="0" t="s">
        <v>48</v>
      </c>
      <c r="L7387" s="0" t="s">
        <v>49</v>
      </c>
      <c r="M7387" s="0" t="s">
        <v>173</v>
      </c>
      <c r="N7387" s="0" t="n">
        <v>1305</v>
      </c>
      <c r="O7387" s="10" t="n">
        <v>0.92717835935764</v>
      </c>
      <c r="P7387" s="10" t="n">
        <v>0.143331421539187</v>
      </c>
      <c r="Q7387" s="0" t="str">
        <f aca="false">SUBSTITUTE(SUBSTITUTE($I7387,CHAR(61),""),CHAR(34),"")</f>
        <v>&lt;01</v>
      </c>
      <c r="R7387" s="0" t="str">
        <f aca="false">IF($D7387&lt;&gt;"","["&amp;$E7387&amp;"]"&amp;"|"&amp;$Q7387&amp;"|"&amp;$K7387&amp;"|"&amp;$G7387&amp;"|"&amp;IF($G7387="TX_CURR_SUBNAT.R","CY2022Q4",$M7387),"")</f>
        <v>[ir8wuHHzoSs]|&lt;01|Male|NEW_INFECTIONS_SUBNAT.T2|CY2025Q3</v>
      </c>
    </row>
    <row r="7388" customFormat="false" ht="15" hidden="false" customHeight="false" outlineLevel="0" collapsed="false">
      <c r="D7388" s="0" t="s">
        <v>81</v>
      </c>
      <c r="E7388" s="0" t="s">
        <v>82</v>
      </c>
      <c r="F7388" s="0" t="s">
        <v>83</v>
      </c>
      <c r="G7388" s="0" t="s">
        <v>175</v>
      </c>
      <c r="H7388" s="0" t="s">
        <v>175</v>
      </c>
      <c r="I7388" s="0" t="s">
        <v>33</v>
      </c>
      <c r="J7388" s="0" t="s">
        <v>34</v>
      </c>
      <c r="K7388" s="0" t="s">
        <v>48</v>
      </c>
      <c r="L7388" s="0" t="s">
        <v>49</v>
      </c>
      <c r="M7388" s="0" t="s">
        <v>173</v>
      </c>
      <c r="N7388" s="0" t="n">
        <v>1991</v>
      </c>
      <c r="O7388" s="10" t="n">
        <v>0.568791882600635</v>
      </c>
      <c r="P7388" s="10" t="n">
        <v>0.143331421539187</v>
      </c>
      <c r="Q7388" s="0" t="str">
        <f aca="false">SUBSTITUTE(SUBSTITUTE($I7388,CHAR(61),""),CHAR(34),"")</f>
        <v>01-09</v>
      </c>
      <c r="R7388" s="0" t="str">
        <f aca="false">IF($D7388&lt;&gt;"","["&amp;$E7388&amp;"]"&amp;"|"&amp;$Q7388&amp;"|"&amp;$K7388&amp;"|"&amp;$G7388&amp;"|"&amp;IF($G7388="TX_CURR_SUBNAT.R","CY2022Q4",$M7388),"")</f>
        <v>[ir8wuHHzoSs]|01-09|Male|NEW_INFECTIONS_SUBNAT.T2|CY2025Q3</v>
      </c>
    </row>
    <row r="7389" customFormat="false" ht="15" hidden="false" customHeight="false" outlineLevel="0" collapsed="false">
      <c r="D7389" s="0" t="s">
        <v>81</v>
      </c>
      <c r="E7389" s="0" t="s">
        <v>82</v>
      </c>
      <c r="F7389" s="0" t="s">
        <v>83</v>
      </c>
      <c r="G7389" s="0" t="s">
        <v>175</v>
      </c>
      <c r="H7389" s="0" t="s">
        <v>175</v>
      </c>
      <c r="I7389" s="0" t="s">
        <v>36</v>
      </c>
      <c r="J7389" s="0" t="s">
        <v>37</v>
      </c>
      <c r="K7389" s="0" t="s">
        <v>48</v>
      </c>
      <c r="L7389" s="0" t="s">
        <v>49</v>
      </c>
      <c r="M7389" s="0" t="s">
        <v>173</v>
      </c>
      <c r="N7389" s="0" t="n">
        <v>769</v>
      </c>
      <c r="O7389" s="10" t="n">
        <v>0.10346560832113</v>
      </c>
      <c r="P7389" s="10" t="n">
        <v>0.143331421539187</v>
      </c>
      <c r="Q7389" s="0" t="str">
        <f aca="false">SUBSTITUTE(SUBSTITUTE($I7389,CHAR(61),""),CHAR(34),"")</f>
        <v>10-14</v>
      </c>
      <c r="R7389" s="0" t="str">
        <f aca="false">IF($D7389&lt;&gt;"","["&amp;$E7389&amp;"]"&amp;"|"&amp;$Q7389&amp;"|"&amp;$K7389&amp;"|"&amp;$G7389&amp;"|"&amp;IF($G7389="TX_CURR_SUBNAT.R","CY2022Q4",$M7389),"")</f>
        <v>[ir8wuHHzoSs]|10-14|Male|NEW_INFECTIONS_SUBNAT.T2|CY2025Q3</v>
      </c>
    </row>
    <row r="7390" customFormat="false" ht="15" hidden="false" customHeight="false" outlineLevel="0" collapsed="false">
      <c r="D7390" s="0" t="s">
        <v>81</v>
      </c>
      <c r="E7390" s="0" t="s">
        <v>82</v>
      </c>
      <c r="F7390" s="0" t="s">
        <v>83</v>
      </c>
      <c r="G7390" s="0" t="s">
        <v>175</v>
      </c>
      <c r="H7390" s="0" t="s">
        <v>175</v>
      </c>
      <c r="I7390" s="0" t="s">
        <v>38</v>
      </c>
      <c r="J7390" s="0" t="s">
        <v>39</v>
      </c>
      <c r="K7390" s="0" t="s">
        <v>48</v>
      </c>
      <c r="L7390" s="0" t="s">
        <v>49</v>
      </c>
      <c r="M7390" s="0" t="s">
        <v>173</v>
      </c>
      <c r="N7390" s="0" t="n">
        <v>704</v>
      </c>
      <c r="O7390" s="10" t="n">
        <v>0.417480304604396</v>
      </c>
      <c r="P7390" s="10" t="n">
        <v>0.143331421539187</v>
      </c>
      <c r="Q7390" s="0" t="str">
        <f aca="false">SUBSTITUTE(SUBSTITUTE($I7390,CHAR(61),""),CHAR(34),"")</f>
        <v>15-24</v>
      </c>
      <c r="R7390" s="0" t="str">
        <f aca="false">IF($D7390&lt;&gt;"","["&amp;$E7390&amp;"]"&amp;"|"&amp;$Q7390&amp;"|"&amp;$K7390&amp;"|"&amp;$G7390&amp;"|"&amp;IF($G7390="TX_CURR_SUBNAT.R","CY2022Q4",$M7390),"")</f>
        <v>[ir8wuHHzoSs]|15-24|Male|NEW_INFECTIONS_SUBNAT.T2|CY2025Q3</v>
      </c>
    </row>
    <row r="7391" customFormat="false" ht="15" hidden="false" customHeight="false" outlineLevel="0" collapsed="false">
      <c r="D7391" s="0" t="s">
        <v>81</v>
      </c>
      <c r="E7391" s="0" t="s">
        <v>82</v>
      </c>
      <c r="F7391" s="0" t="s">
        <v>83</v>
      </c>
      <c r="G7391" s="0" t="s">
        <v>175</v>
      </c>
      <c r="H7391" s="0" t="s">
        <v>175</v>
      </c>
      <c r="I7391" s="0" t="s">
        <v>41</v>
      </c>
      <c r="J7391" s="0" t="s">
        <v>42</v>
      </c>
      <c r="K7391" s="0" t="s">
        <v>48</v>
      </c>
      <c r="L7391" s="0" t="s">
        <v>49</v>
      </c>
      <c r="M7391" s="0" t="s">
        <v>173</v>
      </c>
      <c r="N7391" s="0" t="n">
        <v>1035</v>
      </c>
      <c r="O7391" s="10" t="n">
        <v>0.0308526845183223</v>
      </c>
      <c r="P7391" s="10" t="n">
        <v>0.143331421539187</v>
      </c>
      <c r="Q7391" s="0" t="str">
        <f aca="false">SUBSTITUTE(SUBSTITUTE($I7391,CHAR(61),""),CHAR(34),"")</f>
        <v>25-34</v>
      </c>
      <c r="R7391" s="0" t="str">
        <f aca="false">IF($D7391&lt;&gt;"","["&amp;$E7391&amp;"]"&amp;"|"&amp;$Q7391&amp;"|"&amp;$K7391&amp;"|"&amp;$G7391&amp;"|"&amp;IF($G7391="TX_CURR_SUBNAT.R","CY2022Q4",$M7391),"")</f>
        <v>[ir8wuHHzoSs]|25-34|Male|NEW_INFECTIONS_SUBNAT.T2|CY2025Q3</v>
      </c>
    </row>
    <row r="7392" customFormat="false" ht="15" hidden="false" customHeight="false" outlineLevel="0" collapsed="false">
      <c r="D7392" s="0" t="s">
        <v>81</v>
      </c>
      <c r="E7392" s="0" t="s">
        <v>82</v>
      </c>
      <c r="F7392" s="0" t="s">
        <v>83</v>
      </c>
      <c r="G7392" s="0" t="s">
        <v>175</v>
      </c>
      <c r="H7392" s="0" t="s">
        <v>175</v>
      </c>
      <c r="I7392" s="0" t="s">
        <v>43</v>
      </c>
      <c r="J7392" s="0" t="s">
        <v>44</v>
      </c>
      <c r="K7392" s="0" t="s">
        <v>48</v>
      </c>
      <c r="L7392" s="0" t="s">
        <v>49</v>
      </c>
      <c r="M7392" s="0" t="s">
        <v>173</v>
      </c>
      <c r="N7392" s="0" t="n">
        <v>802</v>
      </c>
      <c r="O7392" s="10" t="n">
        <v>0.00453192833811045</v>
      </c>
      <c r="P7392" s="10" t="n">
        <v>0.143331421539187</v>
      </c>
      <c r="Q7392" s="0" t="str">
        <f aca="false">SUBSTITUTE(SUBSTITUTE($I7392,CHAR(61),""),CHAR(34),"")</f>
        <v>35-49</v>
      </c>
      <c r="R7392" s="0" t="str">
        <f aca="false">IF($D7392&lt;&gt;"","["&amp;$E7392&amp;"]"&amp;"|"&amp;$Q7392&amp;"|"&amp;$K7392&amp;"|"&amp;$G7392&amp;"|"&amp;IF($G7392="TX_CURR_SUBNAT.R","CY2022Q4",$M7392),"")</f>
        <v>[ir8wuHHzoSs]|35-49|Male|NEW_INFECTIONS_SUBNAT.T2|CY2025Q3</v>
      </c>
    </row>
    <row r="7393" customFormat="false" ht="15" hidden="false" customHeight="false" outlineLevel="0" collapsed="false">
      <c r="D7393" s="0" t="s">
        <v>81</v>
      </c>
      <c r="E7393" s="0" t="s">
        <v>82</v>
      </c>
      <c r="F7393" s="0" t="s">
        <v>83</v>
      </c>
      <c r="G7393" s="0" t="s">
        <v>175</v>
      </c>
      <c r="H7393" s="0" t="s">
        <v>175</v>
      </c>
      <c r="I7393" s="0" t="s">
        <v>45</v>
      </c>
      <c r="J7393" s="0" t="s">
        <v>46</v>
      </c>
      <c r="K7393" s="0" t="s">
        <v>48</v>
      </c>
      <c r="L7393" s="0" t="s">
        <v>49</v>
      </c>
      <c r="M7393" s="0" t="s">
        <v>173</v>
      </c>
      <c r="N7393" s="0" t="n">
        <v>951</v>
      </c>
      <c r="O7393" s="10" t="n">
        <v>0.696211727103218</v>
      </c>
      <c r="P7393" s="10" t="n">
        <v>0.143331421539187</v>
      </c>
      <c r="Q7393" s="0" t="str">
        <f aca="false">SUBSTITUTE(SUBSTITUTE($I7393,CHAR(61),""),CHAR(34),"")</f>
        <v>50+</v>
      </c>
      <c r="R7393" s="0" t="str">
        <f aca="false">IF($D7393&lt;&gt;"","["&amp;$E7393&amp;"]"&amp;"|"&amp;$Q7393&amp;"|"&amp;$K7393&amp;"|"&amp;$G7393&amp;"|"&amp;IF($G7393="TX_CURR_SUBNAT.R","CY2022Q4",$M7393),"")</f>
        <v>[ir8wuHHzoSs]|50+|Male|NEW_INFECTIONS_SUBNAT.T2|CY2025Q3</v>
      </c>
    </row>
    <row r="7394" customFormat="false" ht="15" hidden="false" customHeight="false" outlineLevel="0" collapsed="false">
      <c r="D7394" s="0" t="s">
        <v>84</v>
      </c>
      <c r="E7394" s="0" t="s">
        <v>85</v>
      </c>
      <c r="F7394" s="0" t="s">
        <v>86</v>
      </c>
      <c r="G7394" s="0" t="s">
        <v>175</v>
      </c>
      <c r="H7394" s="0" t="s">
        <v>175</v>
      </c>
      <c r="I7394" s="0" t="s">
        <v>28</v>
      </c>
      <c r="J7394" s="0" t="s">
        <v>29</v>
      </c>
      <c r="K7394" s="0" t="s">
        <v>30</v>
      </c>
      <c r="L7394" s="0" t="s">
        <v>31</v>
      </c>
      <c r="M7394" s="0" t="s">
        <v>173</v>
      </c>
      <c r="N7394" s="0" t="n">
        <v>1966</v>
      </c>
      <c r="O7394" s="10" t="n">
        <v>0.633472399320453</v>
      </c>
      <c r="P7394" s="10" t="n">
        <v>0.0297887143678963</v>
      </c>
      <c r="Q7394" s="0" t="str">
        <f aca="false">SUBSTITUTE(SUBSTITUTE($I7394,CHAR(61),""),CHAR(34),"")</f>
        <v>&lt;01</v>
      </c>
      <c r="R7394" s="0" t="str">
        <f aca="false">IF($D7394&lt;&gt;"","["&amp;$E7394&amp;"]"&amp;"|"&amp;$Q7394&amp;"|"&amp;$K7394&amp;"|"&amp;$G7394&amp;"|"&amp;IF($G7394="TX_CURR_SUBNAT.R","CY2022Q4",$M7394),"")</f>
        <v>[fyEoGEPERdI]|&lt;01|Female|NEW_INFECTIONS_SUBNAT.T2|CY2025Q3</v>
      </c>
    </row>
    <row r="7395" customFormat="false" ht="15" hidden="false" customHeight="false" outlineLevel="0" collapsed="false">
      <c r="D7395" s="0" t="s">
        <v>84</v>
      </c>
      <c r="E7395" s="0" t="s">
        <v>85</v>
      </c>
      <c r="F7395" s="0" t="s">
        <v>86</v>
      </c>
      <c r="G7395" s="0" t="s">
        <v>175</v>
      </c>
      <c r="H7395" s="0" t="s">
        <v>175</v>
      </c>
      <c r="I7395" s="0" t="s">
        <v>33</v>
      </c>
      <c r="J7395" s="0" t="s">
        <v>34</v>
      </c>
      <c r="K7395" s="0" t="s">
        <v>30</v>
      </c>
      <c r="L7395" s="0" t="s">
        <v>31</v>
      </c>
      <c r="M7395" s="0" t="s">
        <v>173</v>
      </c>
      <c r="N7395" s="0" t="n">
        <v>1737</v>
      </c>
      <c r="O7395" s="10" t="n">
        <v>0.981548163341358</v>
      </c>
      <c r="P7395" s="10" t="n">
        <v>0.0297887143678963</v>
      </c>
      <c r="Q7395" s="0" t="str">
        <f aca="false">SUBSTITUTE(SUBSTITUTE($I7395,CHAR(61),""),CHAR(34),"")</f>
        <v>01-09</v>
      </c>
      <c r="R7395" s="0" t="str">
        <f aca="false">IF($D7395&lt;&gt;"","["&amp;$E7395&amp;"]"&amp;"|"&amp;$Q7395&amp;"|"&amp;$K7395&amp;"|"&amp;$G7395&amp;"|"&amp;IF($G7395="TX_CURR_SUBNAT.R","CY2022Q4",$M7395),"")</f>
        <v>[fyEoGEPERdI]|01-09|Female|NEW_INFECTIONS_SUBNAT.T2|CY2025Q3</v>
      </c>
    </row>
    <row r="7396" customFormat="false" ht="15" hidden="false" customHeight="false" outlineLevel="0" collapsed="false">
      <c r="D7396" s="0" t="s">
        <v>84</v>
      </c>
      <c r="E7396" s="0" t="s">
        <v>85</v>
      </c>
      <c r="F7396" s="0" t="s">
        <v>86</v>
      </c>
      <c r="G7396" s="0" t="s">
        <v>175</v>
      </c>
      <c r="H7396" s="0" t="s">
        <v>175</v>
      </c>
      <c r="I7396" s="0" t="s">
        <v>36</v>
      </c>
      <c r="J7396" s="0" t="s">
        <v>37</v>
      </c>
      <c r="K7396" s="0" t="s">
        <v>30</v>
      </c>
      <c r="L7396" s="0" t="s">
        <v>31</v>
      </c>
      <c r="M7396" s="0" t="s">
        <v>173</v>
      </c>
      <c r="N7396" s="0" t="n">
        <v>1054</v>
      </c>
      <c r="O7396" s="10" t="n">
        <v>0.0762247578240931</v>
      </c>
      <c r="P7396" s="10" t="n">
        <v>0.0297887143678963</v>
      </c>
      <c r="Q7396" s="0" t="str">
        <f aca="false">SUBSTITUTE(SUBSTITUTE($I7396,CHAR(61),""),CHAR(34),"")</f>
        <v>10-14</v>
      </c>
      <c r="R7396" s="0" t="str">
        <f aca="false">IF($D7396&lt;&gt;"","["&amp;$E7396&amp;"]"&amp;"|"&amp;$Q7396&amp;"|"&amp;$K7396&amp;"|"&amp;$G7396&amp;"|"&amp;IF($G7396="TX_CURR_SUBNAT.R","CY2022Q4",$M7396),"")</f>
        <v>[fyEoGEPERdI]|10-14|Female|NEW_INFECTIONS_SUBNAT.T2|CY2025Q3</v>
      </c>
    </row>
    <row r="7397" customFormat="false" ht="15" hidden="false" customHeight="false" outlineLevel="0" collapsed="false">
      <c r="D7397" s="0" t="s">
        <v>84</v>
      </c>
      <c r="E7397" s="0" t="s">
        <v>85</v>
      </c>
      <c r="F7397" s="0" t="s">
        <v>86</v>
      </c>
      <c r="G7397" s="0" t="s">
        <v>175</v>
      </c>
      <c r="H7397" s="0" t="s">
        <v>175</v>
      </c>
      <c r="I7397" s="0" t="s">
        <v>38</v>
      </c>
      <c r="J7397" s="0" t="s">
        <v>39</v>
      </c>
      <c r="K7397" s="0" t="s">
        <v>30</v>
      </c>
      <c r="L7397" s="0" t="s">
        <v>31</v>
      </c>
      <c r="M7397" s="0" t="s">
        <v>173</v>
      </c>
      <c r="N7397" s="0" t="n">
        <v>810</v>
      </c>
      <c r="O7397" s="10" t="n">
        <v>0.939130531158298</v>
      </c>
      <c r="P7397" s="10" t="n">
        <v>0.0297887143678963</v>
      </c>
      <c r="Q7397" s="0" t="str">
        <f aca="false">SUBSTITUTE(SUBSTITUTE($I7397,CHAR(61),""),CHAR(34),"")</f>
        <v>15-24</v>
      </c>
      <c r="R7397" s="0" t="str">
        <f aca="false">IF($D7397&lt;&gt;"","["&amp;$E7397&amp;"]"&amp;"|"&amp;$Q7397&amp;"|"&amp;$K7397&amp;"|"&amp;$G7397&amp;"|"&amp;IF($G7397="TX_CURR_SUBNAT.R","CY2022Q4",$M7397),"")</f>
        <v>[fyEoGEPERdI]|15-24|Female|NEW_INFECTIONS_SUBNAT.T2|CY2025Q3</v>
      </c>
    </row>
    <row r="7398" customFormat="false" ht="15" hidden="false" customHeight="false" outlineLevel="0" collapsed="false">
      <c r="D7398" s="0" t="s">
        <v>84</v>
      </c>
      <c r="E7398" s="0" t="s">
        <v>85</v>
      </c>
      <c r="F7398" s="0" t="s">
        <v>86</v>
      </c>
      <c r="G7398" s="0" t="s">
        <v>175</v>
      </c>
      <c r="H7398" s="0" t="s">
        <v>175</v>
      </c>
      <c r="I7398" s="0" t="s">
        <v>41</v>
      </c>
      <c r="J7398" s="0" t="s">
        <v>42</v>
      </c>
      <c r="K7398" s="0" t="s">
        <v>30</v>
      </c>
      <c r="L7398" s="0" t="s">
        <v>31</v>
      </c>
      <c r="M7398" s="0" t="s">
        <v>173</v>
      </c>
      <c r="N7398" s="0" t="n">
        <v>1382</v>
      </c>
      <c r="O7398" s="10" t="n">
        <v>0.575862363213673</v>
      </c>
      <c r="P7398" s="10" t="n">
        <v>0.0297887143678963</v>
      </c>
      <c r="Q7398" s="0" t="str">
        <f aca="false">SUBSTITUTE(SUBSTITUTE($I7398,CHAR(61),""),CHAR(34),"")</f>
        <v>25-34</v>
      </c>
      <c r="R7398" s="0" t="str">
        <f aca="false">IF($D7398&lt;&gt;"","["&amp;$E7398&amp;"]"&amp;"|"&amp;$Q7398&amp;"|"&amp;$K7398&amp;"|"&amp;$G7398&amp;"|"&amp;IF($G7398="TX_CURR_SUBNAT.R","CY2022Q4",$M7398),"")</f>
        <v>[fyEoGEPERdI]|25-34|Female|NEW_INFECTIONS_SUBNAT.T2|CY2025Q3</v>
      </c>
    </row>
    <row r="7399" customFormat="false" ht="15" hidden="false" customHeight="false" outlineLevel="0" collapsed="false">
      <c r="D7399" s="0" t="s">
        <v>84</v>
      </c>
      <c r="E7399" s="0" t="s">
        <v>85</v>
      </c>
      <c r="F7399" s="0" t="s">
        <v>86</v>
      </c>
      <c r="G7399" s="0" t="s">
        <v>175</v>
      </c>
      <c r="H7399" s="0" t="s">
        <v>175</v>
      </c>
      <c r="I7399" s="0" t="s">
        <v>43</v>
      </c>
      <c r="J7399" s="0" t="s">
        <v>44</v>
      </c>
      <c r="K7399" s="0" t="s">
        <v>30</v>
      </c>
      <c r="L7399" s="0" t="s">
        <v>31</v>
      </c>
      <c r="M7399" s="0" t="s">
        <v>173</v>
      </c>
      <c r="N7399" s="0" t="n">
        <v>996</v>
      </c>
      <c r="O7399" s="10" t="n">
        <v>0.682240267749876</v>
      </c>
      <c r="P7399" s="10" t="n">
        <v>0.0297887143678963</v>
      </c>
      <c r="Q7399" s="0" t="str">
        <f aca="false">SUBSTITUTE(SUBSTITUTE($I7399,CHAR(61),""),CHAR(34),"")</f>
        <v>35-49</v>
      </c>
      <c r="R7399" s="0" t="str">
        <f aca="false">IF($D7399&lt;&gt;"","["&amp;$E7399&amp;"]"&amp;"|"&amp;$Q7399&amp;"|"&amp;$K7399&amp;"|"&amp;$G7399&amp;"|"&amp;IF($G7399="TX_CURR_SUBNAT.R","CY2022Q4",$M7399),"")</f>
        <v>[fyEoGEPERdI]|35-49|Female|NEW_INFECTIONS_SUBNAT.T2|CY2025Q3</v>
      </c>
    </row>
    <row r="7400" customFormat="false" ht="15" hidden="false" customHeight="false" outlineLevel="0" collapsed="false">
      <c r="D7400" s="0" t="s">
        <v>84</v>
      </c>
      <c r="E7400" s="0" t="s">
        <v>85</v>
      </c>
      <c r="F7400" s="0" t="s">
        <v>86</v>
      </c>
      <c r="G7400" s="0" t="s">
        <v>175</v>
      </c>
      <c r="H7400" s="0" t="s">
        <v>175</v>
      </c>
      <c r="I7400" s="0" t="s">
        <v>45</v>
      </c>
      <c r="J7400" s="0" t="s">
        <v>46</v>
      </c>
      <c r="K7400" s="0" t="s">
        <v>30</v>
      </c>
      <c r="L7400" s="0" t="s">
        <v>31</v>
      </c>
      <c r="M7400" s="0" t="s">
        <v>173</v>
      </c>
      <c r="N7400" s="0" t="n">
        <v>1667</v>
      </c>
      <c r="O7400" s="10" t="n">
        <v>0.142176722409204</v>
      </c>
      <c r="P7400" s="10" t="n">
        <v>0.0297887143678963</v>
      </c>
      <c r="Q7400" s="0" t="str">
        <f aca="false">SUBSTITUTE(SUBSTITUTE($I7400,CHAR(61),""),CHAR(34),"")</f>
        <v>50+</v>
      </c>
      <c r="R7400" s="0" t="str">
        <f aca="false">IF($D7400&lt;&gt;"","["&amp;$E7400&amp;"]"&amp;"|"&amp;$Q7400&amp;"|"&amp;$K7400&amp;"|"&amp;$G7400&amp;"|"&amp;IF($G7400="TX_CURR_SUBNAT.R","CY2022Q4",$M7400),"")</f>
        <v>[fyEoGEPERdI]|50+|Female|NEW_INFECTIONS_SUBNAT.T2|CY2025Q3</v>
      </c>
    </row>
    <row r="7401" customFormat="false" ht="15" hidden="false" customHeight="false" outlineLevel="0" collapsed="false">
      <c r="D7401" s="0" t="s">
        <v>84</v>
      </c>
      <c r="E7401" s="0" t="s">
        <v>85</v>
      </c>
      <c r="F7401" s="0" t="s">
        <v>86</v>
      </c>
      <c r="G7401" s="0" t="s">
        <v>175</v>
      </c>
      <c r="H7401" s="0" t="s">
        <v>175</v>
      </c>
      <c r="I7401" s="0" t="s">
        <v>28</v>
      </c>
      <c r="J7401" s="0" t="s">
        <v>29</v>
      </c>
      <c r="K7401" s="0" t="s">
        <v>48</v>
      </c>
      <c r="L7401" s="0" t="s">
        <v>49</v>
      </c>
      <c r="M7401" s="0" t="s">
        <v>173</v>
      </c>
      <c r="N7401" s="0" t="n">
        <v>1982</v>
      </c>
      <c r="O7401" s="10" t="n">
        <v>0.0464853653684258</v>
      </c>
      <c r="P7401" s="10" t="n">
        <v>0.0297887143678963</v>
      </c>
      <c r="Q7401" s="0" t="str">
        <f aca="false">SUBSTITUTE(SUBSTITUTE($I7401,CHAR(61),""),CHAR(34),"")</f>
        <v>&lt;01</v>
      </c>
      <c r="R7401" s="0" t="str">
        <f aca="false">IF($D7401&lt;&gt;"","["&amp;$E7401&amp;"]"&amp;"|"&amp;$Q7401&amp;"|"&amp;$K7401&amp;"|"&amp;$G7401&amp;"|"&amp;IF($G7401="TX_CURR_SUBNAT.R","CY2022Q4",$M7401),"")</f>
        <v>[fyEoGEPERdI]|&lt;01|Male|NEW_INFECTIONS_SUBNAT.T2|CY2025Q3</v>
      </c>
    </row>
    <row r="7402" customFormat="false" ht="15" hidden="false" customHeight="false" outlineLevel="0" collapsed="false">
      <c r="D7402" s="0" t="s">
        <v>84</v>
      </c>
      <c r="E7402" s="0" t="s">
        <v>85</v>
      </c>
      <c r="F7402" s="0" t="s">
        <v>86</v>
      </c>
      <c r="G7402" s="0" t="s">
        <v>175</v>
      </c>
      <c r="H7402" s="0" t="s">
        <v>175</v>
      </c>
      <c r="I7402" s="0" t="s">
        <v>33</v>
      </c>
      <c r="J7402" s="0" t="s">
        <v>34</v>
      </c>
      <c r="K7402" s="0" t="s">
        <v>48</v>
      </c>
      <c r="L7402" s="0" t="s">
        <v>49</v>
      </c>
      <c r="M7402" s="0" t="s">
        <v>173</v>
      </c>
      <c r="N7402" s="0" t="n">
        <v>1623</v>
      </c>
      <c r="O7402" s="10" t="n">
        <v>0.819022193318233</v>
      </c>
      <c r="P7402" s="10" t="n">
        <v>0.0297887143678963</v>
      </c>
      <c r="Q7402" s="0" t="str">
        <f aca="false">SUBSTITUTE(SUBSTITUTE($I7402,CHAR(61),""),CHAR(34),"")</f>
        <v>01-09</v>
      </c>
      <c r="R7402" s="0" t="str">
        <f aca="false">IF($D7402&lt;&gt;"","["&amp;$E7402&amp;"]"&amp;"|"&amp;$Q7402&amp;"|"&amp;$K7402&amp;"|"&amp;$G7402&amp;"|"&amp;IF($G7402="TX_CURR_SUBNAT.R","CY2022Q4",$M7402),"")</f>
        <v>[fyEoGEPERdI]|01-09|Male|NEW_INFECTIONS_SUBNAT.T2|CY2025Q3</v>
      </c>
    </row>
    <row r="7403" customFormat="false" ht="15" hidden="false" customHeight="false" outlineLevel="0" collapsed="false">
      <c r="D7403" s="0" t="s">
        <v>84</v>
      </c>
      <c r="E7403" s="0" t="s">
        <v>85</v>
      </c>
      <c r="F7403" s="0" t="s">
        <v>86</v>
      </c>
      <c r="G7403" s="0" t="s">
        <v>175</v>
      </c>
      <c r="H7403" s="0" t="s">
        <v>175</v>
      </c>
      <c r="I7403" s="0" t="s">
        <v>36</v>
      </c>
      <c r="J7403" s="0" t="s">
        <v>37</v>
      </c>
      <c r="K7403" s="0" t="s">
        <v>48</v>
      </c>
      <c r="L7403" s="0" t="s">
        <v>49</v>
      </c>
      <c r="M7403" s="0" t="s">
        <v>173</v>
      </c>
      <c r="N7403" s="0" t="n">
        <v>617</v>
      </c>
      <c r="O7403" s="10" t="n">
        <v>0.323045158758759</v>
      </c>
      <c r="P7403" s="10" t="n">
        <v>0.0297887143678963</v>
      </c>
      <c r="Q7403" s="0" t="str">
        <f aca="false">SUBSTITUTE(SUBSTITUTE($I7403,CHAR(61),""),CHAR(34),"")</f>
        <v>10-14</v>
      </c>
      <c r="R7403" s="0" t="str">
        <f aca="false">IF($D7403&lt;&gt;"","["&amp;$E7403&amp;"]"&amp;"|"&amp;$Q7403&amp;"|"&amp;$K7403&amp;"|"&amp;$G7403&amp;"|"&amp;IF($G7403="TX_CURR_SUBNAT.R","CY2022Q4",$M7403),"")</f>
        <v>[fyEoGEPERdI]|10-14|Male|NEW_INFECTIONS_SUBNAT.T2|CY2025Q3</v>
      </c>
    </row>
    <row r="7404" customFormat="false" ht="15" hidden="false" customHeight="false" outlineLevel="0" collapsed="false">
      <c r="D7404" s="0" t="s">
        <v>84</v>
      </c>
      <c r="E7404" s="0" t="s">
        <v>85</v>
      </c>
      <c r="F7404" s="0" t="s">
        <v>86</v>
      </c>
      <c r="G7404" s="0" t="s">
        <v>175</v>
      </c>
      <c r="H7404" s="0" t="s">
        <v>175</v>
      </c>
      <c r="I7404" s="0" t="s">
        <v>38</v>
      </c>
      <c r="J7404" s="0" t="s">
        <v>39</v>
      </c>
      <c r="K7404" s="0" t="s">
        <v>48</v>
      </c>
      <c r="L7404" s="0" t="s">
        <v>49</v>
      </c>
      <c r="M7404" s="0" t="s">
        <v>173</v>
      </c>
      <c r="N7404" s="0" t="n">
        <v>1087</v>
      </c>
      <c r="O7404" s="10" t="n">
        <v>0.150123093742877</v>
      </c>
      <c r="P7404" s="10" t="n">
        <v>0.0297887143678963</v>
      </c>
      <c r="Q7404" s="0" t="str">
        <f aca="false">SUBSTITUTE(SUBSTITUTE($I7404,CHAR(61),""),CHAR(34),"")</f>
        <v>15-24</v>
      </c>
      <c r="R7404" s="0" t="str">
        <f aca="false">IF($D7404&lt;&gt;"","["&amp;$E7404&amp;"]"&amp;"|"&amp;$Q7404&amp;"|"&amp;$K7404&amp;"|"&amp;$G7404&amp;"|"&amp;IF($G7404="TX_CURR_SUBNAT.R","CY2022Q4",$M7404),"")</f>
        <v>[fyEoGEPERdI]|15-24|Male|NEW_INFECTIONS_SUBNAT.T2|CY2025Q3</v>
      </c>
    </row>
    <row r="7405" customFormat="false" ht="15" hidden="false" customHeight="false" outlineLevel="0" collapsed="false">
      <c r="D7405" s="0" t="s">
        <v>84</v>
      </c>
      <c r="E7405" s="0" t="s">
        <v>85</v>
      </c>
      <c r="F7405" s="0" t="s">
        <v>86</v>
      </c>
      <c r="G7405" s="0" t="s">
        <v>175</v>
      </c>
      <c r="H7405" s="0" t="s">
        <v>175</v>
      </c>
      <c r="I7405" s="0" t="s">
        <v>41</v>
      </c>
      <c r="J7405" s="0" t="s">
        <v>42</v>
      </c>
      <c r="K7405" s="0" t="s">
        <v>48</v>
      </c>
      <c r="L7405" s="0" t="s">
        <v>49</v>
      </c>
      <c r="M7405" s="0" t="s">
        <v>173</v>
      </c>
      <c r="N7405" s="0" t="n">
        <v>1611</v>
      </c>
      <c r="O7405" s="10" t="n">
        <v>0.60923719778657</v>
      </c>
      <c r="P7405" s="10" t="n">
        <v>0.0297887143678963</v>
      </c>
      <c r="Q7405" s="0" t="str">
        <f aca="false">SUBSTITUTE(SUBSTITUTE($I7405,CHAR(61),""),CHAR(34),"")</f>
        <v>25-34</v>
      </c>
      <c r="R7405" s="0" t="str">
        <f aca="false">IF($D7405&lt;&gt;"","["&amp;$E7405&amp;"]"&amp;"|"&amp;$Q7405&amp;"|"&amp;$K7405&amp;"|"&amp;$G7405&amp;"|"&amp;IF($G7405="TX_CURR_SUBNAT.R","CY2022Q4",$M7405),"")</f>
        <v>[fyEoGEPERdI]|25-34|Male|NEW_INFECTIONS_SUBNAT.T2|CY2025Q3</v>
      </c>
    </row>
    <row r="7406" customFormat="false" ht="15" hidden="false" customHeight="false" outlineLevel="0" collapsed="false">
      <c r="D7406" s="0" t="s">
        <v>84</v>
      </c>
      <c r="E7406" s="0" t="s">
        <v>85</v>
      </c>
      <c r="F7406" s="0" t="s">
        <v>86</v>
      </c>
      <c r="G7406" s="0" t="s">
        <v>175</v>
      </c>
      <c r="H7406" s="0" t="s">
        <v>175</v>
      </c>
      <c r="I7406" s="0" t="s">
        <v>43</v>
      </c>
      <c r="J7406" s="0" t="s">
        <v>44</v>
      </c>
      <c r="K7406" s="0" t="s">
        <v>48</v>
      </c>
      <c r="L7406" s="0" t="s">
        <v>49</v>
      </c>
      <c r="M7406" s="0" t="s">
        <v>173</v>
      </c>
      <c r="N7406" s="0" t="n">
        <v>906</v>
      </c>
      <c r="O7406" s="10" t="n">
        <v>0.0879810436163098</v>
      </c>
      <c r="P7406" s="10" t="n">
        <v>0.0297887143678963</v>
      </c>
      <c r="Q7406" s="0" t="str">
        <f aca="false">SUBSTITUTE(SUBSTITUTE($I7406,CHAR(61),""),CHAR(34),"")</f>
        <v>35-49</v>
      </c>
      <c r="R7406" s="0" t="str">
        <f aca="false">IF($D7406&lt;&gt;"","["&amp;$E7406&amp;"]"&amp;"|"&amp;$Q7406&amp;"|"&amp;$K7406&amp;"|"&amp;$G7406&amp;"|"&amp;IF($G7406="TX_CURR_SUBNAT.R","CY2022Q4",$M7406),"")</f>
        <v>[fyEoGEPERdI]|35-49|Male|NEW_INFECTIONS_SUBNAT.T2|CY2025Q3</v>
      </c>
    </row>
    <row r="7407" customFormat="false" ht="15" hidden="false" customHeight="false" outlineLevel="0" collapsed="false">
      <c r="D7407" s="0" t="s">
        <v>84</v>
      </c>
      <c r="E7407" s="0" t="s">
        <v>85</v>
      </c>
      <c r="F7407" s="0" t="s">
        <v>86</v>
      </c>
      <c r="G7407" s="0" t="s">
        <v>175</v>
      </c>
      <c r="H7407" s="0" t="s">
        <v>175</v>
      </c>
      <c r="I7407" s="0" t="s">
        <v>45</v>
      </c>
      <c r="J7407" s="0" t="s">
        <v>46</v>
      </c>
      <c r="K7407" s="0" t="s">
        <v>48</v>
      </c>
      <c r="L7407" s="0" t="s">
        <v>49</v>
      </c>
      <c r="M7407" s="0" t="s">
        <v>173</v>
      </c>
      <c r="N7407" s="0" t="n">
        <v>807</v>
      </c>
      <c r="O7407" s="10" t="n">
        <v>0.344290491193533</v>
      </c>
      <c r="P7407" s="10" t="n">
        <v>0.0297887143678963</v>
      </c>
      <c r="Q7407" s="0" t="str">
        <f aca="false">SUBSTITUTE(SUBSTITUTE($I7407,CHAR(61),""),CHAR(34),"")</f>
        <v>50+</v>
      </c>
      <c r="R7407" s="0" t="str">
        <f aca="false">IF($D7407&lt;&gt;"","["&amp;$E7407&amp;"]"&amp;"|"&amp;$Q7407&amp;"|"&amp;$K7407&amp;"|"&amp;$G7407&amp;"|"&amp;IF($G7407="TX_CURR_SUBNAT.R","CY2022Q4",$M7407),"")</f>
        <v>[fyEoGEPERdI]|50+|Male|NEW_INFECTIONS_SUBNAT.T2|CY2025Q3</v>
      </c>
    </row>
    <row r="7408" customFormat="false" ht="15" hidden="false" customHeight="false" outlineLevel="0" collapsed="false">
      <c r="D7408" s="0" t="s">
        <v>87</v>
      </c>
      <c r="E7408" s="0" t="s">
        <v>88</v>
      </c>
      <c r="F7408" s="0" t="s">
        <v>89</v>
      </c>
      <c r="G7408" s="0" t="s">
        <v>175</v>
      </c>
      <c r="H7408" s="0" t="s">
        <v>175</v>
      </c>
      <c r="I7408" s="0" t="s">
        <v>28</v>
      </c>
      <c r="J7408" s="0" t="s">
        <v>29</v>
      </c>
      <c r="K7408" s="0" t="s">
        <v>30</v>
      </c>
      <c r="L7408" s="0" t="s">
        <v>31</v>
      </c>
      <c r="M7408" s="0" t="s">
        <v>173</v>
      </c>
      <c r="N7408" s="0" t="n">
        <v>1746</v>
      </c>
      <c r="O7408" s="10" t="n">
        <v>0.552329458994791</v>
      </c>
      <c r="P7408" s="10" t="n">
        <v>0.133336380822584</v>
      </c>
      <c r="Q7408" s="0" t="str">
        <f aca="false">SUBSTITUTE(SUBSTITUTE($I7408,CHAR(61),""),CHAR(34),"")</f>
        <v>&lt;01</v>
      </c>
      <c r="R7408" s="0" t="str">
        <f aca="false">IF($D7408&lt;&gt;"","["&amp;$E7408&amp;"]"&amp;"|"&amp;$Q7408&amp;"|"&amp;$K7408&amp;"|"&amp;$G7408&amp;"|"&amp;IF($G7408="TX_CURR_SUBNAT.R","CY2022Q4",$M7408),"")</f>
        <v>[cPtvxaZqXIH]|&lt;01|Female|NEW_INFECTIONS_SUBNAT.T2|CY2025Q3</v>
      </c>
    </row>
    <row r="7409" customFormat="false" ht="15" hidden="false" customHeight="false" outlineLevel="0" collapsed="false">
      <c r="D7409" s="0" t="s">
        <v>87</v>
      </c>
      <c r="E7409" s="0" t="s">
        <v>88</v>
      </c>
      <c r="F7409" s="0" t="s">
        <v>89</v>
      </c>
      <c r="G7409" s="0" t="s">
        <v>175</v>
      </c>
      <c r="H7409" s="0" t="s">
        <v>175</v>
      </c>
      <c r="I7409" s="0" t="s">
        <v>33</v>
      </c>
      <c r="J7409" s="0" t="s">
        <v>34</v>
      </c>
      <c r="K7409" s="0" t="s">
        <v>30</v>
      </c>
      <c r="L7409" s="0" t="s">
        <v>31</v>
      </c>
      <c r="M7409" s="0" t="s">
        <v>173</v>
      </c>
      <c r="N7409" s="0" t="n">
        <v>1425</v>
      </c>
      <c r="O7409" s="10" t="n">
        <v>0.996762391412631</v>
      </c>
      <c r="P7409" s="10" t="n">
        <v>0.133336380822584</v>
      </c>
      <c r="Q7409" s="0" t="str">
        <f aca="false">SUBSTITUTE(SUBSTITUTE($I7409,CHAR(61),""),CHAR(34),"")</f>
        <v>01-09</v>
      </c>
      <c r="R7409" s="0" t="str">
        <f aca="false">IF($D7409&lt;&gt;"","["&amp;$E7409&amp;"]"&amp;"|"&amp;$Q7409&amp;"|"&amp;$K7409&amp;"|"&amp;$G7409&amp;"|"&amp;IF($G7409="TX_CURR_SUBNAT.R","CY2022Q4",$M7409),"")</f>
        <v>[cPtvxaZqXIH]|01-09|Female|NEW_INFECTIONS_SUBNAT.T2|CY2025Q3</v>
      </c>
    </row>
    <row r="7410" customFormat="false" ht="15" hidden="false" customHeight="false" outlineLevel="0" collapsed="false">
      <c r="D7410" s="0" t="s">
        <v>87</v>
      </c>
      <c r="E7410" s="0" t="s">
        <v>88</v>
      </c>
      <c r="F7410" s="0" t="s">
        <v>89</v>
      </c>
      <c r="G7410" s="0" t="s">
        <v>175</v>
      </c>
      <c r="H7410" s="0" t="s">
        <v>175</v>
      </c>
      <c r="I7410" s="0" t="s">
        <v>36</v>
      </c>
      <c r="J7410" s="0" t="s">
        <v>37</v>
      </c>
      <c r="K7410" s="0" t="s">
        <v>30</v>
      </c>
      <c r="L7410" s="0" t="s">
        <v>31</v>
      </c>
      <c r="M7410" s="0" t="s">
        <v>173</v>
      </c>
      <c r="N7410" s="0" t="n">
        <v>1281</v>
      </c>
      <c r="O7410" s="10" t="n">
        <v>0.797293145908043</v>
      </c>
      <c r="P7410" s="10" t="n">
        <v>0.133336380822584</v>
      </c>
      <c r="Q7410" s="0" t="str">
        <f aca="false">SUBSTITUTE(SUBSTITUTE($I7410,CHAR(61),""),CHAR(34),"")</f>
        <v>10-14</v>
      </c>
      <c r="R7410" s="0" t="str">
        <f aca="false">IF($D7410&lt;&gt;"","["&amp;$E7410&amp;"]"&amp;"|"&amp;$Q7410&amp;"|"&amp;$K7410&amp;"|"&amp;$G7410&amp;"|"&amp;IF($G7410="TX_CURR_SUBNAT.R","CY2022Q4",$M7410),"")</f>
        <v>[cPtvxaZqXIH]|10-14|Female|NEW_INFECTIONS_SUBNAT.T2|CY2025Q3</v>
      </c>
    </row>
    <row r="7411" customFormat="false" ht="15" hidden="false" customHeight="false" outlineLevel="0" collapsed="false">
      <c r="D7411" s="0" t="s">
        <v>87</v>
      </c>
      <c r="E7411" s="0" t="s">
        <v>88</v>
      </c>
      <c r="F7411" s="0" t="s">
        <v>89</v>
      </c>
      <c r="G7411" s="0" t="s">
        <v>175</v>
      </c>
      <c r="H7411" s="0" t="s">
        <v>175</v>
      </c>
      <c r="I7411" s="0" t="s">
        <v>38</v>
      </c>
      <c r="J7411" s="0" t="s">
        <v>39</v>
      </c>
      <c r="K7411" s="0" t="s">
        <v>30</v>
      </c>
      <c r="L7411" s="0" t="s">
        <v>31</v>
      </c>
      <c r="M7411" s="0" t="s">
        <v>173</v>
      </c>
      <c r="N7411" s="0" t="n">
        <v>1271</v>
      </c>
      <c r="O7411" s="10" t="n">
        <v>0.836205808212981</v>
      </c>
      <c r="P7411" s="10" t="n">
        <v>0.133336380822584</v>
      </c>
      <c r="Q7411" s="0" t="str">
        <f aca="false">SUBSTITUTE(SUBSTITUTE($I7411,CHAR(61),""),CHAR(34),"")</f>
        <v>15-24</v>
      </c>
      <c r="R7411" s="0" t="str">
        <f aca="false">IF($D7411&lt;&gt;"","["&amp;$E7411&amp;"]"&amp;"|"&amp;$Q7411&amp;"|"&amp;$K7411&amp;"|"&amp;$G7411&amp;"|"&amp;IF($G7411="TX_CURR_SUBNAT.R","CY2022Q4",$M7411),"")</f>
        <v>[cPtvxaZqXIH]|15-24|Female|NEW_INFECTIONS_SUBNAT.T2|CY2025Q3</v>
      </c>
    </row>
    <row r="7412" customFormat="false" ht="15" hidden="false" customHeight="false" outlineLevel="0" collapsed="false">
      <c r="D7412" s="0" t="s">
        <v>87</v>
      </c>
      <c r="E7412" s="0" t="s">
        <v>88</v>
      </c>
      <c r="F7412" s="0" t="s">
        <v>89</v>
      </c>
      <c r="G7412" s="0" t="s">
        <v>175</v>
      </c>
      <c r="H7412" s="0" t="s">
        <v>175</v>
      </c>
      <c r="I7412" s="0" t="s">
        <v>41</v>
      </c>
      <c r="J7412" s="0" t="s">
        <v>42</v>
      </c>
      <c r="K7412" s="0" t="s">
        <v>30</v>
      </c>
      <c r="L7412" s="0" t="s">
        <v>31</v>
      </c>
      <c r="M7412" s="0" t="s">
        <v>173</v>
      </c>
      <c r="N7412" s="0" t="n">
        <v>1394</v>
      </c>
      <c r="O7412" s="10" t="n">
        <v>0.348347938852385</v>
      </c>
      <c r="P7412" s="10" t="n">
        <v>0.133336380822584</v>
      </c>
      <c r="Q7412" s="0" t="str">
        <f aca="false">SUBSTITUTE(SUBSTITUTE($I7412,CHAR(61),""),CHAR(34),"")</f>
        <v>25-34</v>
      </c>
      <c r="R7412" s="0" t="str">
        <f aca="false">IF($D7412&lt;&gt;"","["&amp;$E7412&amp;"]"&amp;"|"&amp;$Q7412&amp;"|"&amp;$K7412&amp;"|"&amp;$G7412&amp;"|"&amp;IF($G7412="TX_CURR_SUBNAT.R","CY2022Q4",$M7412),"")</f>
        <v>[cPtvxaZqXIH]|25-34|Female|NEW_INFECTIONS_SUBNAT.T2|CY2025Q3</v>
      </c>
    </row>
    <row r="7413" customFormat="false" ht="15" hidden="false" customHeight="false" outlineLevel="0" collapsed="false">
      <c r="D7413" s="0" t="s">
        <v>87</v>
      </c>
      <c r="E7413" s="0" t="s">
        <v>88</v>
      </c>
      <c r="F7413" s="0" t="s">
        <v>89</v>
      </c>
      <c r="G7413" s="0" t="s">
        <v>175</v>
      </c>
      <c r="H7413" s="0" t="s">
        <v>175</v>
      </c>
      <c r="I7413" s="0" t="s">
        <v>43</v>
      </c>
      <c r="J7413" s="0" t="s">
        <v>44</v>
      </c>
      <c r="K7413" s="0" t="s">
        <v>30</v>
      </c>
      <c r="L7413" s="0" t="s">
        <v>31</v>
      </c>
      <c r="M7413" s="0" t="s">
        <v>173</v>
      </c>
      <c r="N7413" s="0" t="n">
        <v>1880</v>
      </c>
      <c r="O7413" s="10" t="n">
        <v>0.650817529531196</v>
      </c>
      <c r="P7413" s="10" t="n">
        <v>0.133336380822584</v>
      </c>
      <c r="Q7413" s="0" t="str">
        <f aca="false">SUBSTITUTE(SUBSTITUTE($I7413,CHAR(61),""),CHAR(34),"")</f>
        <v>35-49</v>
      </c>
      <c r="R7413" s="0" t="str">
        <f aca="false">IF($D7413&lt;&gt;"","["&amp;$E7413&amp;"]"&amp;"|"&amp;$Q7413&amp;"|"&amp;$K7413&amp;"|"&amp;$G7413&amp;"|"&amp;IF($G7413="TX_CURR_SUBNAT.R","CY2022Q4",$M7413),"")</f>
        <v>[cPtvxaZqXIH]|35-49|Female|NEW_INFECTIONS_SUBNAT.T2|CY2025Q3</v>
      </c>
    </row>
    <row r="7414" customFormat="false" ht="15" hidden="false" customHeight="false" outlineLevel="0" collapsed="false">
      <c r="D7414" s="0" t="s">
        <v>87</v>
      </c>
      <c r="E7414" s="0" t="s">
        <v>88</v>
      </c>
      <c r="F7414" s="0" t="s">
        <v>89</v>
      </c>
      <c r="G7414" s="0" t="s">
        <v>175</v>
      </c>
      <c r="H7414" s="0" t="s">
        <v>175</v>
      </c>
      <c r="I7414" s="0" t="s">
        <v>45</v>
      </c>
      <c r="J7414" s="0" t="s">
        <v>46</v>
      </c>
      <c r="K7414" s="0" t="s">
        <v>30</v>
      </c>
      <c r="L7414" s="0" t="s">
        <v>31</v>
      </c>
      <c r="M7414" s="0" t="s">
        <v>173</v>
      </c>
      <c r="N7414" s="0" t="n">
        <v>684</v>
      </c>
      <c r="O7414" s="10" t="n">
        <v>0.784144252771512</v>
      </c>
      <c r="P7414" s="10" t="n">
        <v>0.133336380822584</v>
      </c>
      <c r="Q7414" s="0" t="str">
        <f aca="false">SUBSTITUTE(SUBSTITUTE($I7414,CHAR(61),""),CHAR(34),"")</f>
        <v>50+</v>
      </c>
      <c r="R7414" s="0" t="str">
        <f aca="false">IF($D7414&lt;&gt;"","["&amp;$E7414&amp;"]"&amp;"|"&amp;$Q7414&amp;"|"&amp;$K7414&amp;"|"&amp;$G7414&amp;"|"&amp;IF($G7414="TX_CURR_SUBNAT.R","CY2022Q4",$M7414),"")</f>
        <v>[cPtvxaZqXIH]|50+|Female|NEW_INFECTIONS_SUBNAT.T2|CY2025Q3</v>
      </c>
    </row>
    <row r="7415" customFormat="false" ht="15" hidden="false" customHeight="false" outlineLevel="0" collapsed="false">
      <c r="D7415" s="0" t="s">
        <v>87</v>
      </c>
      <c r="E7415" s="0" t="s">
        <v>88</v>
      </c>
      <c r="F7415" s="0" t="s">
        <v>89</v>
      </c>
      <c r="G7415" s="0" t="s">
        <v>175</v>
      </c>
      <c r="H7415" s="0" t="s">
        <v>175</v>
      </c>
      <c r="I7415" s="0" t="s">
        <v>28</v>
      </c>
      <c r="J7415" s="0" t="s">
        <v>29</v>
      </c>
      <c r="K7415" s="0" t="s">
        <v>48</v>
      </c>
      <c r="L7415" s="0" t="s">
        <v>49</v>
      </c>
      <c r="M7415" s="0" t="s">
        <v>173</v>
      </c>
      <c r="N7415" s="0" t="n">
        <v>848</v>
      </c>
      <c r="O7415" s="10" t="n">
        <v>0.378595079528168</v>
      </c>
      <c r="P7415" s="10" t="n">
        <v>0.133336380822584</v>
      </c>
      <c r="Q7415" s="0" t="str">
        <f aca="false">SUBSTITUTE(SUBSTITUTE($I7415,CHAR(61),""),CHAR(34),"")</f>
        <v>&lt;01</v>
      </c>
      <c r="R7415" s="0" t="str">
        <f aca="false">IF($D7415&lt;&gt;"","["&amp;$E7415&amp;"]"&amp;"|"&amp;$Q7415&amp;"|"&amp;$K7415&amp;"|"&amp;$G7415&amp;"|"&amp;IF($G7415="TX_CURR_SUBNAT.R","CY2022Q4",$M7415),"")</f>
        <v>[cPtvxaZqXIH]|&lt;01|Male|NEW_INFECTIONS_SUBNAT.T2|CY2025Q3</v>
      </c>
    </row>
    <row r="7416" customFormat="false" ht="15" hidden="false" customHeight="false" outlineLevel="0" collapsed="false">
      <c r="D7416" s="0" t="s">
        <v>87</v>
      </c>
      <c r="E7416" s="0" t="s">
        <v>88</v>
      </c>
      <c r="F7416" s="0" t="s">
        <v>89</v>
      </c>
      <c r="G7416" s="0" t="s">
        <v>175</v>
      </c>
      <c r="H7416" s="0" t="s">
        <v>175</v>
      </c>
      <c r="I7416" s="0" t="s">
        <v>33</v>
      </c>
      <c r="J7416" s="0" t="s">
        <v>34</v>
      </c>
      <c r="K7416" s="0" t="s">
        <v>48</v>
      </c>
      <c r="L7416" s="0" t="s">
        <v>49</v>
      </c>
      <c r="M7416" s="0" t="s">
        <v>173</v>
      </c>
      <c r="N7416" s="0" t="n">
        <v>615</v>
      </c>
      <c r="O7416" s="10" t="n">
        <v>0.0184744040016085</v>
      </c>
      <c r="P7416" s="10" t="n">
        <v>0.133336380822584</v>
      </c>
      <c r="Q7416" s="0" t="str">
        <f aca="false">SUBSTITUTE(SUBSTITUTE($I7416,CHAR(61),""),CHAR(34),"")</f>
        <v>01-09</v>
      </c>
      <c r="R7416" s="0" t="str">
        <f aca="false">IF($D7416&lt;&gt;"","["&amp;$E7416&amp;"]"&amp;"|"&amp;$Q7416&amp;"|"&amp;$K7416&amp;"|"&amp;$G7416&amp;"|"&amp;IF($G7416="TX_CURR_SUBNAT.R","CY2022Q4",$M7416),"")</f>
        <v>[cPtvxaZqXIH]|01-09|Male|NEW_INFECTIONS_SUBNAT.T2|CY2025Q3</v>
      </c>
    </row>
    <row r="7417" customFormat="false" ht="15" hidden="false" customHeight="false" outlineLevel="0" collapsed="false">
      <c r="D7417" s="0" t="s">
        <v>87</v>
      </c>
      <c r="E7417" s="0" t="s">
        <v>88</v>
      </c>
      <c r="F7417" s="0" t="s">
        <v>89</v>
      </c>
      <c r="G7417" s="0" t="s">
        <v>175</v>
      </c>
      <c r="H7417" s="0" t="s">
        <v>175</v>
      </c>
      <c r="I7417" s="0" t="s">
        <v>36</v>
      </c>
      <c r="J7417" s="0" t="s">
        <v>37</v>
      </c>
      <c r="K7417" s="0" t="s">
        <v>48</v>
      </c>
      <c r="L7417" s="0" t="s">
        <v>49</v>
      </c>
      <c r="M7417" s="0" t="s">
        <v>173</v>
      </c>
      <c r="N7417" s="0" t="n">
        <v>1302</v>
      </c>
      <c r="O7417" s="10" t="n">
        <v>0.568852911936119</v>
      </c>
      <c r="P7417" s="10" t="n">
        <v>0.133336380822584</v>
      </c>
      <c r="Q7417" s="0" t="str">
        <f aca="false">SUBSTITUTE(SUBSTITUTE($I7417,CHAR(61),""),CHAR(34),"")</f>
        <v>10-14</v>
      </c>
      <c r="R7417" s="0" t="str">
        <f aca="false">IF($D7417&lt;&gt;"","["&amp;$E7417&amp;"]"&amp;"|"&amp;$Q7417&amp;"|"&amp;$K7417&amp;"|"&amp;$G7417&amp;"|"&amp;IF($G7417="TX_CURR_SUBNAT.R","CY2022Q4",$M7417),"")</f>
        <v>[cPtvxaZqXIH]|10-14|Male|NEW_INFECTIONS_SUBNAT.T2|CY2025Q3</v>
      </c>
    </row>
    <row r="7418" customFormat="false" ht="15" hidden="false" customHeight="false" outlineLevel="0" collapsed="false">
      <c r="D7418" s="0" t="s">
        <v>87</v>
      </c>
      <c r="E7418" s="0" t="s">
        <v>88</v>
      </c>
      <c r="F7418" s="0" t="s">
        <v>89</v>
      </c>
      <c r="G7418" s="0" t="s">
        <v>175</v>
      </c>
      <c r="H7418" s="0" t="s">
        <v>175</v>
      </c>
      <c r="I7418" s="0" t="s">
        <v>38</v>
      </c>
      <c r="J7418" s="0" t="s">
        <v>39</v>
      </c>
      <c r="K7418" s="0" t="s">
        <v>48</v>
      </c>
      <c r="L7418" s="0" t="s">
        <v>49</v>
      </c>
      <c r="M7418" s="0" t="s">
        <v>173</v>
      </c>
      <c r="N7418" s="0" t="n">
        <v>1935</v>
      </c>
      <c r="O7418" s="10" t="n">
        <v>0.309669385198504</v>
      </c>
      <c r="P7418" s="10" t="n">
        <v>0.133336380822584</v>
      </c>
      <c r="Q7418" s="0" t="str">
        <f aca="false">SUBSTITUTE(SUBSTITUTE($I7418,CHAR(61),""),CHAR(34),"")</f>
        <v>15-24</v>
      </c>
      <c r="R7418" s="0" t="str">
        <f aca="false">IF($D7418&lt;&gt;"","["&amp;$E7418&amp;"]"&amp;"|"&amp;$Q7418&amp;"|"&amp;$K7418&amp;"|"&amp;$G7418&amp;"|"&amp;IF($G7418="TX_CURR_SUBNAT.R","CY2022Q4",$M7418),"")</f>
        <v>[cPtvxaZqXIH]|15-24|Male|NEW_INFECTIONS_SUBNAT.T2|CY2025Q3</v>
      </c>
    </row>
    <row r="7419" customFormat="false" ht="15" hidden="false" customHeight="false" outlineLevel="0" collapsed="false">
      <c r="D7419" s="0" t="s">
        <v>87</v>
      </c>
      <c r="E7419" s="0" t="s">
        <v>88</v>
      </c>
      <c r="F7419" s="0" t="s">
        <v>89</v>
      </c>
      <c r="G7419" s="0" t="s">
        <v>175</v>
      </c>
      <c r="H7419" s="0" t="s">
        <v>175</v>
      </c>
      <c r="I7419" s="0" t="s">
        <v>41</v>
      </c>
      <c r="J7419" s="0" t="s">
        <v>42</v>
      </c>
      <c r="K7419" s="0" t="s">
        <v>48</v>
      </c>
      <c r="L7419" s="0" t="s">
        <v>49</v>
      </c>
      <c r="M7419" s="0" t="s">
        <v>173</v>
      </c>
      <c r="N7419" s="0" t="n">
        <v>1087</v>
      </c>
      <c r="O7419" s="10" t="n">
        <v>0.910798687487841</v>
      </c>
      <c r="P7419" s="10" t="n">
        <v>0.133336380822584</v>
      </c>
      <c r="Q7419" s="0" t="str">
        <f aca="false">SUBSTITUTE(SUBSTITUTE($I7419,CHAR(61),""),CHAR(34),"")</f>
        <v>25-34</v>
      </c>
      <c r="R7419" s="0" t="str">
        <f aca="false">IF($D7419&lt;&gt;"","["&amp;$E7419&amp;"]"&amp;"|"&amp;$Q7419&amp;"|"&amp;$K7419&amp;"|"&amp;$G7419&amp;"|"&amp;IF($G7419="TX_CURR_SUBNAT.R","CY2022Q4",$M7419),"")</f>
        <v>[cPtvxaZqXIH]|25-34|Male|NEW_INFECTIONS_SUBNAT.T2|CY2025Q3</v>
      </c>
    </row>
    <row r="7420" customFormat="false" ht="15" hidden="false" customHeight="false" outlineLevel="0" collapsed="false">
      <c r="D7420" s="0" t="s">
        <v>87</v>
      </c>
      <c r="E7420" s="0" t="s">
        <v>88</v>
      </c>
      <c r="F7420" s="0" t="s">
        <v>89</v>
      </c>
      <c r="G7420" s="0" t="s">
        <v>175</v>
      </c>
      <c r="H7420" s="0" t="s">
        <v>175</v>
      </c>
      <c r="I7420" s="0" t="s">
        <v>43</v>
      </c>
      <c r="J7420" s="0" t="s">
        <v>44</v>
      </c>
      <c r="K7420" s="0" t="s">
        <v>48</v>
      </c>
      <c r="L7420" s="0" t="s">
        <v>49</v>
      </c>
      <c r="M7420" s="0" t="s">
        <v>173</v>
      </c>
      <c r="N7420" s="0" t="n">
        <v>662</v>
      </c>
      <c r="O7420" s="10" t="n">
        <v>0.628581961151212</v>
      </c>
      <c r="P7420" s="10" t="n">
        <v>0.133336380822584</v>
      </c>
      <c r="Q7420" s="0" t="str">
        <f aca="false">SUBSTITUTE(SUBSTITUTE($I7420,CHAR(61),""),CHAR(34),"")</f>
        <v>35-49</v>
      </c>
      <c r="R7420" s="0" t="str">
        <f aca="false">IF($D7420&lt;&gt;"","["&amp;$E7420&amp;"]"&amp;"|"&amp;$Q7420&amp;"|"&amp;$K7420&amp;"|"&amp;$G7420&amp;"|"&amp;IF($G7420="TX_CURR_SUBNAT.R","CY2022Q4",$M7420),"")</f>
        <v>[cPtvxaZqXIH]|35-49|Male|NEW_INFECTIONS_SUBNAT.T2|CY2025Q3</v>
      </c>
    </row>
    <row r="7421" customFormat="false" ht="15" hidden="false" customHeight="false" outlineLevel="0" collapsed="false">
      <c r="D7421" s="0" t="s">
        <v>87</v>
      </c>
      <c r="E7421" s="0" t="s">
        <v>88</v>
      </c>
      <c r="F7421" s="0" t="s">
        <v>89</v>
      </c>
      <c r="G7421" s="0" t="s">
        <v>175</v>
      </c>
      <c r="H7421" s="0" t="s">
        <v>175</v>
      </c>
      <c r="I7421" s="0" t="s">
        <v>45</v>
      </c>
      <c r="J7421" s="0" t="s">
        <v>46</v>
      </c>
      <c r="K7421" s="0" t="s">
        <v>48</v>
      </c>
      <c r="L7421" s="0" t="s">
        <v>49</v>
      </c>
      <c r="M7421" s="0" t="s">
        <v>173</v>
      </c>
      <c r="N7421" s="0" t="n">
        <v>1229</v>
      </c>
      <c r="O7421" s="10" t="n">
        <v>0.263361672870815</v>
      </c>
      <c r="P7421" s="10" t="n">
        <v>0.133336380822584</v>
      </c>
      <c r="Q7421" s="0" t="str">
        <f aca="false">SUBSTITUTE(SUBSTITUTE($I7421,CHAR(61),""),CHAR(34),"")</f>
        <v>50+</v>
      </c>
      <c r="R7421" s="0" t="str">
        <f aca="false">IF($D7421&lt;&gt;"","["&amp;$E7421&amp;"]"&amp;"|"&amp;$Q7421&amp;"|"&amp;$K7421&amp;"|"&amp;$G7421&amp;"|"&amp;IF($G7421="TX_CURR_SUBNAT.R","CY2022Q4",$M7421),"")</f>
        <v>[cPtvxaZqXIH]|50+|Male|NEW_INFECTIONS_SUBNAT.T2|CY2025Q3</v>
      </c>
    </row>
    <row r="7422" customFormat="false" ht="15" hidden="false" customHeight="false" outlineLevel="0" collapsed="false">
      <c r="D7422" s="0" t="s">
        <v>90</v>
      </c>
      <c r="E7422" s="0" t="s">
        <v>91</v>
      </c>
      <c r="F7422" s="0" t="s">
        <v>92</v>
      </c>
      <c r="G7422" s="0" t="s">
        <v>175</v>
      </c>
      <c r="H7422" s="0" t="s">
        <v>175</v>
      </c>
      <c r="I7422" s="0" t="s">
        <v>28</v>
      </c>
      <c r="J7422" s="0" t="s">
        <v>29</v>
      </c>
      <c r="K7422" s="0" t="s">
        <v>30</v>
      </c>
      <c r="L7422" s="0" t="s">
        <v>31</v>
      </c>
      <c r="M7422" s="0" t="s">
        <v>173</v>
      </c>
      <c r="N7422" s="0" t="n">
        <v>1274</v>
      </c>
      <c r="O7422" s="10" t="n">
        <v>0.248470173683017</v>
      </c>
      <c r="P7422" s="10" t="n">
        <v>0.719914150424302</v>
      </c>
      <c r="Q7422" s="0" t="str">
        <f aca="false">SUBSTITUTE(SUBSTITUTE($I7422,CHAR(61),""),CHAR(34),"")</f>
        <v>&lt;01</v>
      </c>
      <c r="R7422" s="0" t="str">
        <f aca="false">IF($D7422&lt;&gt;"","["&amp;$E7422&amp;"]"&amp;"|"&amp;$Q7422&amp;"|"&amp;$K7422&amp;"|"&amp;$G7422&amp;"|"&amp;IF($G7422="TX_CURR_SUBNAT.R","CY2022Q4",$M7422),"")</f>
        <v>[AZyWpGzhcaA]|&lt;01|Female|NEW_INFECTIONS_SUBNAT.T2|CY2025Q3</v>
      </c>
    </row>
    <row r="7423" customFormat="false" ht="15" hidden="false" customHeight="false" outlineLevel="0" collapsed="false">
      <c r="D7423" s="0" t="s">
        <v>90</v>
      </c>
      <c r="E7423" s="0" t="s">
        <v>91</v>
      </c>
      <c r="F7423" s="0" t="s">
        <v>92</v>
      </c>
      <c r="G7423" s="0" t="s">
        <v>175</v>
      </c>
      <c r="H7423" s="0" t="s">
        <v>175</v>
      </c>
      <c r="I7423" s="0" t="s">
        <v>33</v>
      </c>
      <c r="J7423" s="0" t="s">
        <v>34</v>
      </c>
      <c r="K7423" s="0" t="s">
        <v>30</v>
      </c>
      <c r="L7423" s="0" t="s">
        <v>31</v>
      </c>
      <c r="M7423" s="0" t="s">
        <v>173</v>
      </c>
      <c r="N7423" s="0" t="n">
        <v>1283</v>
      </c>
      <c r="O7423" s="10" t="n">
        <v>0.827613620320335</v>
      </c>
      <c r="P7423" s="10" t="n">
        <v>0.719914150424302</v>
      </c>
      <c r="Q7423" s="0" t="str">
        <f aca="false">SUBSTITUTE(SUBSTITUTE($I7423,CHAR(61),""),CHAR(34),"")</f>
        <v>01-09</v>
      </c>
      <c r="R7423" s="0" t="str">
        <f aca="false">IF($D7423&lt;&gt;"","["&amp;$E7423&amp;"]"&amp;"|"&amp;$Q7423&amp;"|"&amp;$K7423&amp;"|"&amp;$G7423&amp;"|"&amp;IF($G7423="TX_CURR_SUBNAT.R","CY2022Q4",$M7423),"")</f>
        <v>[AZyWpGzhcaA]|01-09|Female|NEW_INFECTIONS_SUBNAT.T2|CY2025Q3</v>
      </c>
    </row>
    <row r="7424" customFormat="false" ht="15" hidden="false" customHeight="false" outlineLevel="0" collapsed="false">
      <c r="D7424" s="0" t="s">
        <v>90</v>
      </c>
      <c r="E7424" s="0" t="s">
        <v>91</v>
      </c>
      <c r="F7424" s="0" t="s">
        <v>92</v>
      </c>
      <c r="G7424" s="0" t="s">
        <v>175</v>
      </c>
      <c r="H7424" s="0" t="s">
        <v>175</v>
      </c>
      <c r="I7424" s="0" t="s">
        <v>36</v>
      </c>
      <c r="J7424" s="0" t="s">
        <v>37</v>
      </c>
      <c r="K7424" s="0" t="s">
        <v>30</v>
      </c>
      <c r="L7424" s="0" t="s">
        <v>31</v>
      </c>
      <c r="M7424" s="0" t="s">
        <v>173</v>
      </c>
      <c r="N7424" s="0" t="n">
        <v>1920</v>
      </c>
      <c r="O7424" s="10" t="n">
        <v>0.451378632569686</v>
      </c>
      <c r="P7424" s="10" t="n">
        <v>0.719914150424302</v>
      </c>
      <c r="Q7424" s="0" t="str">
        <f aca="false">SUBSTITUTE(SUBSTITUTE($I7424,CHAR(61),""),CHAR(34),"")</f>
        <v>10-14</v>
      </c>
      <c r="R7424" s="0" t="str">
        <f aca="false">IF($D7424&lt;&gt;"","["&amp;$E7424&amp;"]"&amp;"|"&amp;$Q7424&amp;"|"&amp;$K7424&amp;"|"&amp;$G7424&amp;"|"&amp;IF($G7424="TX_CURR_SUBNAT.R","CY2022Q4",$M7424),"")</f>
        <v>[AZyWpGzhcaA]|10-14|Female|NEW_INFECTIONS_SUBNAT.T2|CY2025Q3</v>
      </c>
    </row>
    <row r="7425" customFormat="false" ht="15" hidden="false" customHeight="false" outlineLevel="0" collapsed="false">
      <c r="D7425" s="0" t="s">
        <v>90</v>
      </c>
      <c r="E7425" s="0" t="s">
        <v>91</v>
      </c>
      <c r="F7425" s="0" t="s">
        <v>92</v>
      </c>
      <c r="G7425" s="0" t="s">
        <v>175</v>
      </c>
      <c r="H7425" s="0" t="s">
        <v>175</v>
      </c>
      <c r="I7425" s="0" t="s">
        <v>38</v>
      </c>
      <c r="J7425" s="0" t="s">
        <v>39</v>
      </c>
      <c r="K7425" s="0" t="s">
        <v>30</v>
      </c>
      <c r="L7425" s="0" t="s">
        <v>31</v>
      </c>
      <c r="M7425" s="0" t="s">
        <v>173</v>
      </c>
      <c r="N7425" s="0" t="n">
        <v>912</v>
      </c>
      <c r="O7425" s="10" t="n">
        <v>0.67346952483058</v>
      </c>
      <c r="P7425" s="10" t="n">
        <v>0.719914150424302</v>
      </c>
      <c r="Q7425" s="0" t="str">
        <f aca="false">SUBSTITUTE(SUBSTITUTE($I7425,CHAR(61),""),CHAR(34),"")</f>
        <v>15-24</v>
      </c>
      <c r="R7425" s="0" t="str">
        <f aca="false">IF($D7425&lt;&gt;"","["&amp;$E7425&amp;"]"&amp;"|"&amp;$Q7425&amp;"|"&amp;$K7425&amp;"|"&amp;$G7425&amp;"|"&amp;IF($G7425="TX_CURR_SUBNAT.R","CY2022Q4",$M7425),"")</f>
        <v>[AZyWpGzhcaA]|15-24|Female|NEW_INFECTIONS_SUBNAT.T2|CY2025Q3</v>
      </c>
    </row>
    <row r="7426" customFormat="false" ht="15" hidden="false" customHeight="false" outlineLevel="0" collapsed="false">
      <c r="D7426" s="0" t="s">
        <v>90</v>
      </c>
      <c r="E7426" s="0" t="s">
        <v>91</v>
      </c>
      <c r="F7426" s="0" t="s">
        <v>92</v>
      </c>
      <c r="G7426" s="0" t="s">
        <v>175</v>
      </c>
      <c r="H7426" s="0" t="s">
        <v>175</v>
      </c>
      <c r="I7426" s="0" t="s">
        <v>41</v>
      </c>
      <c r="J7426" s="0" t="s">
        <v>42</v>
      </c>
      <c r="K7426" s="0" t="s">
        <v>30</v>
      </c>
      <c r="L7426" s="0" t="s">
        <v>31</v>
      </c>
      <c r="M7426" s="0" t="s">
        <v>173</v>
      </c>
      <c r="N7426" s="0" t="n">
        <v>974</v>
      </c>
      <c r="O7426" s="10" t="n">
        <v>0.561586303403601</v>
      </c>
      <c r="P7426" s="10" t="n">
        <v>0.719914150424302</v>
      </c>
      <c r="Q7426" s="0" t="str">
        <f aca="false">SUBSTITUTE(SUBSTITUTE($I7426,CHAR(61),""),CHAR(34),"")</f>
        <v>25-34</v>
      </c>
      <c r="R7426" s="0" t="str">
        <f aca="false">IF($D7426&lt;&gt;"","["&amp;$E7426&amp;"]"&amp;"|"&amp;$Q7426&amp;"|"&amp;$K7426&amp;"|"&amp;$G7426&amp;"|"&amp;IF($G7426="TX_CURR_SUBNAT.R","CY2022Q4",$M7426),"")</f>
        <v>[AZyWpGzhcaA]|25-34|Female|NEW_INFECTIONS_SUBNAT.T2|CY2025Q3</v>
      </c>
    </row>
    <row r="7427" customFormat="false" ht="15" hidden="false" customHeight="false" outlineLevel="0" collapsed="false">
      <c r="D7427" s="0" t="s">
        <v>90</v>
      </c>
      <c r="E7427" s="0" t="s">
        <v>91</v>
      </c>
      <c r="F7427" s="0" t="s">
        <v>92</v>
      </c>
      <c r="G7427" s="0" t="s">
        <v>175</v>
      </c>
      <c r="H7427" s="0" t="s">
        <v>175</v>
      </c>
      <c r="I7427" s="0" t="s">
        <v>43</v>
      </c>
      <c r="J7427" s="0" t="s">
        <v>44</v>
      </c>
      <c r="K7427" s="0" t="s">
        <v>30</v>
      </c>
      <c r="L7427" s="0" t="s">
        <v>31</v>
      </c>
      <c r="M7427" s="0" t="s">
        <v>173</v>
      </c>
      <c r="N7427" s="0" t="n">
        <v>1125</v>
      </c>
      <c r="O7427" s="10" t="n">
        <v>0.979198422981426</v>
      </c>
      <c r="P7427" s="10" t="n">
        <v>0.719914150424302</v>
      </c>
      <c r="Q7427" s="0" t="str">
        <f aca="false">SUBSTITUTE(SUBSTITUTE($I7427,CHAR(61),""),CHAR(34),"")</f>
        <v>35-49</v>
      </c>
      <c r="R7427" s="0" t="str">
        <f aca="false">IF($D7427&lt;&gt;"","["&amp;$E7427&amp;"]"&amp;"|"&amp;$Q7427&amp;"|"&amp;$K7427&amp;"|"&amp;$G7427&amp;"|"&amp;IF($G7427="TX_CURR_SUBNAT.R","CY2022Q4",$M7427),"")</f>
        <v>[AZyWpGzhcaA]|35-49|Female|NEW_INFECTIONS_SUBNAT.T2|CY2025Q3</v>
      </c>
    </row>
    <row r="7428" customFormat="false" ht="15" hidden="false" customHeight="false" outlineLevel="0" collapsed="false">
      <c r="D7428" s="0" t="s">
        <v>90</v>
      </c>
      <c r="E7428" s="0" t="s">
        <v>91</v>
      </c>
      <c r="F7428" s="0" t="s">
        <v>92</v>
      </c>
      <c r="G7428" s="0" t="s">
        <v>175</v>
      </c>
      <c r="H7428" s="0" t="s">
        <v>175</v>
      </c>
      <c r="I7428" s="0" t="s">
        <v>45</v>
      </c>
      <c r="J7428" s="0" t="s">
        <v>46</v>
      </c>
      <c r="K7428" s="0" t="s">
        <v>30</v>
      </c>
      <c r="L7428" s="0" t="s">
        <v>31</v>
      </c>
      <c r="M7428" s="0" t="s">
        <v>173</v>
      </c>
      <c r="N7428" s="0" t="n">
        <v>682</v>
      </c>
      <c r="O7428" s="10" t="n">
        <v>0.963850774802268</v>
      </c>
      <c r="P7428" s="10" t="n">
        <v>0.719914150424302</v>
      </c>
      <c r="Q7428" s="0" t="str">
        <f aca="false">SUBSTITUTE(SUBSTITUTE($I7428,CHAR(61),""),CHAR(34),"")</f>
        <v>50+</v>
      </c>
      <c r="R7428" s="0" t="str">
        <f aca="false">IF($D7428&lt;&gt;"","["&amp;$E7428&amp;"]"&amp;"|"&amp;$Q7428&amp;"|"&amp;$K7428&amp;"|"&amp;$G7428&amp;"|"&amp;IF($G7428="TX_CURR_SUBNAT.R","CY2022Q4",$M7428),"")</f>
        <v>[AZyWpGzhcaA]|50+|Female|NEW_INFECTIONS_SUBNAT.T2|CY2025Q3</v>
      </c>
    </row>
    <row r="7429" customFormat="false" ht="15" hidden="false" customHeight="false" outlineLevel="0" collapsed="false">
      <c r="D7429" s="0" t="s">
        <v>90</v>
      </c>
      <c r="E7429" s="0" t="s">
        <v>91</v>
      </c>
      <c r="F7429" s="0" t="s">
        <v>92</v>
      </c>
      <c r="G7429" s="0" t="s">
        <v>175</v>
      </c>
      <c r="H7429" s="0" t="s">
        <v>175</v>
      </c>
      <c r="I7429" s="0" t="s">
        <v>28</v>
      </c>
      <c r="J7429" s="0" t="s">
        <v>29</v>
      </c>
      <c r="K7429" s="0" t="s">
        <v>48</v>
      </c>
      <c r="L7429" s="0" t="s">
        <v>49</v>
      </c>
      <c r="M7429" s="0" t="s">
        <v>173</v>
      </c>
      <c r="N7429" s="0" t="n">
        <v>971</v>
      </c>
      <c r="O7429" s="10" t="n">
        <v>0.383536955807358</v>
      </c>
      <c r="P7429" s="10" t="n">
        <v>0.719914150424302</v>
      </c>
      <c r="Q7429" s="0" t="str">
        <f aca="false">SUBSTITUTE(SUBSTITUTE($I7429,CHAR(61),""),CHAR(34),"")</f>
        <v>&lt;01</v>
      </c>
      <c r="R7429" s="0" t="str">
        <f aca="false">IF($D7429&lt;&gt;"","["&amp;$E7429&amp;"]"&amp;"|"&amp;$Q7429&amp;"|"&amp;$K7429&amp;"|"&amp;$G7429&amp;"|"&amp;IF($G7429="TX_CURR_SUBNAT.R","CY2022Q4",$M7429),"")</f>
        <v>[AZyWpGzhcaA]|&lt;01|Male|NEW_INFECTIONS_SUBNAT.T2|CY2025Q3</v>
      </c>
    </row>
    <row r="7430" customFormat="false" ht="15" hidden="false" customHeight="false" outlineLevel="0" collapsed="false">
      <c r="D7430" s="0" t="s">
        <v>90</v>
      </c>
      <c r="E7430" s="0" t="s">
        <v>91</v>
      </c>
      <c r="F7430" s="0" t="s">
        <v>92</v>
      </c>
      <c r="G7430" s="0" t="s">
        <v>175</v>
      </c>
      <c r="H7430" s="0" t="s">
        <v>175</v>
      </c>
      <c r="I7430" s="0" t="s">
        <v>33</v>
      </c>
      <c r="J7430" s="0" t="s">
        <v>34</v>
      </c>
      <c r="K7430" s="0" t="s">
        <v>48</v>
      </c>
      <c r="L7430" s="0" t="s">
        <v>49</v>
      </c>
      <c r="M7430" s="0" t="s">
        <v>173</v>
      </c>
      <c r="N7430" s="0" t="n">
        <v>1374</v>
      </c>
      <c r="O7430" s="10" t="n">
        <v>0.253439443651587</v>
      </c>
      <c r="P7430" s="10" t="n">
        <v>0.719914150424302</v>
      </c>
      <c r="Q7430" s="0" t="str">
        <f aca="false">SUBSTITUTE(SUBSTITUTE($I7430,CHAR(61),""),CHAR(34),"")</f>
        <v>01-09</v>
      </c>
      <c r="R7430" s="0" t="str">
        <f aca="false">IF($D7430&lt;&gt;"","["&amp;$E7430&amp;"]"&amp;"|"&amp;$Q7430&amp;"|"&amp;$K7430&amp;"|"&amp;$G7430&amp;"|"&amp;IF($G7430="TX_CURR_SUBNAT.R","CY2022Q4",$M7430),"")</f>
        <v>[AZyWpGzhcaA]|01-09|Male|NEW_INFECTIONS_SUBNAT.T2|CY2025Q3</v>
      </c>
    </row>
    <row r="7431" customFormat="false" ht="15" hidden="false" customHeight="false" outlineLevel="0" collapsed="false">
      <c r="D7431" s="0" t="s">
        <v>90</v>
      </c>
      <c r="E7431" s="0" t="s">
        <v>91</v>
      </c>
      <c r="F7431" s="0" t="s">
        <v>92</v>
      </c>
      <c r="G7431" s="0" t="s">
        <v>175</v>
      </c>
      <c r="H7431" s="0" t="s">
        <v>175</v>
      </c>
      <c r="I7431" s="0" t="s">
        <v>36</v>
      </c>
      <c r="J7431" s="0" t="s">
        <v>37</v>
      </c>
      <c r="K7431" s="0" t="s">
        <v>48</v>
      </c>
      <c r="L7431" s="0" t="s">
        <v>49</v>
      </c>
      <c r="M7431" s="0" t="s">
        <v>173</v>
      </c>
      <c r="N7431" s="0" t="n">
        <v>998</v>
      </c>
      <c r="O7431" s="10" t="n">
        <v>0.973703854484484</v>
      </c>
      <c r="P7431" s="10" t="n">
        <v>0.719914150424302</v>
      </c>
      <c r="Q7431" s="0" t="str">
        <f aca="false">SUBSTITUTE(SUBSTITUTE($I7431,CHAR(61),""),CHAR(34),"")</f>
        <v>10-14</v>
      </c>
      <c r="R7431" s="0" t="str">
        <f aca="false">IF($D7431&lt;&gt;"","["&amp;$E7431&amp;"]"&amp;"|"&amp;$Q7431&amp;"|"&amp;$K7431&amp;"|"&amp;$G7431&amp;"|"&amp;IF($G7431="TX_CURR_SUBNAT.R","CY2022Q4",$M7431),"")</f>
        <v>[AZyWpGzhcaA]|10-14|Male|NEW_INFECTIONS_SUBNAT.T2|CY2025Q3</v>
      </c>
    </row>
    <row r="7432" customFormat="false" ht="15" hidden="false" customHeight="false" outlineLevel="0" collapsed="false">
      <c r="D7432" s="0" t="s">
        <v>90</v>
      </c>
      <c r="E7432" s="0" t="s">
        <v>91</v>
      </c>
      <c r="F7432" s="0" t="s">
        <v>92</v>
      </c>
      <c r="G7432" s="0" t="s">
        <v>175</v>
      </c>
      <c r="H7432" s="0" t="s">
        <v>175</v>
      </c>
      <c r="I7432" s="0" t="s">
        <v>38</v>
      </c>
      <c r="J7432" s="0" t="s">
        <v>39</v>
      </c>
      <c r="K7432" s="0" t="s">
        <v>48</v>
      </c>
      <c r="L7432" s="0" t="s">
        <v>49</v>
      </c>
      <c r="M7432" s="0" t="s">
        <v>173</v>
      </c>
      <c r="N7432" s="0" t="n">
        <v>1378</v>
      </c>
      <c r="O7432" s="10" t="n">
        <v>0.980781935621053</v>
      </c>
      <c r="P7432" s="10" t="n">
        <v>0.719914150424302</v>
      </c>
      <c r="Q7432" s="0" t="str">
        <f aca="false">SUBSTITUTE(SUBSTITUTE($I7432,CHAR(61),""),CHAR(34),"")</f>
        <v>15-24</v>
      </c>
      <c r="R7432" s="0" t="str">
        <f aca="false">IF($D7432&lt;&gt;"","["&amp;$E7432&amp;"]"&amp;"|"&amp;$Q7432&amp;"|"&amp;$K7432&amp;"|"&amp;$G7432&amp;"|"&amp;IF($G7432="TX_CURR_SUBNAT.R","CY2022Q4",$M7432),"")</f>
        <v>[AZyWpGzhcaA]|15-24|Male|NEW_INFECTIONS_SUBNAT.T2|CY2025Q3</v>
      </c>
    </row>
    <row r="7433" customFormat="false" ht="15" hidden="false" customHeight="false" outlineLevel="0" collapsed="false">
      <c r="D7433" s="0" t="s">
        <v>90</v>
      </c>
      <c r="E7433" s="0" t="s">
        <v>91</v>
      </c>
      <c r="F7433" s="0" t="s">
        <v>92</v>
      </c>
      <c r="G7433" s="0" t="s">
        <v>175</v>
      </c>
      <c r="H7433" s="0" t="s">
        <v>175</v>
      </c>
      <c r="I7433" s="0" t="s">
        <v>41</v>
      </c>
      <c r="J7433" s="0" t="s">
        <v>42</v>
      </c>
      <c r="K7433" s="0" t="s">
        <v>48</v>
      </c>
      <c r="L7433" s="0" t="s">
        <v>49</v>
      </c>
      <c r="M7433" s="0" t="s">
        <v>173</v>
      </c>
      <c r="N7433" s="0" t="n">
        <v>1755</v>
      </c>
      <c r="O7433" s="10" t="n">
        <v>0.524063649354503</v>
      </c>
      <c r="P7433" s="10" t="n">
        <v>0.719914150424302</v>
      </c>
      <c r="Q7433" s="0" t="str">
        <f aca="false">SUBSTITUTE(SUBSTITUTE($I7433,CHAR(61),""),CHAR(34),"")</f>
        <v>25-34</v>
      </c>
      <c r="R7433" s="0" t="str">
        <f aca="false">IF($D7433&lt;&gt;"","["&amp;$E7433&amp;"]"&amp;"|"&amp;$Q7433&amp;"|"&amp;$K7433&amp;"|"&amp;$G7433&amp;"|"&amp;IF($G7433="TX_CURR_SUBNAT.R","CY2022Q4",$M7433),"")</f>
        <v>[AZyWpGzhcaA]|25-34|Male|NEW_INFECTIONS_SUBNAT.T2|CY2025Q3</v>
      </c>
    </row>
    <row r="7434" customFormat="false" ht="15" hidden="false" customHeight="false" outlineLevel="0" collapsed="false">
      <c r="D7434" s="0" t="s">
        <v>90</v>
      </c>
      <c r="E7434" s="0" t="s">
        <v>91</v>
      </c>
      <c r="F7434" s="0" t="s">
        <v>92</v>
      </c>
      <c r="G7434" s="0" t="s">
        <v>175</v>
      </c>
      <c r="H7434" s="0" t="s">
        <v>175</v>
      </c>
      <c r="I7434" s="0" t="s">
        <v>43</v>
      </c>
      <c r="J7434" s="0" t="s">
        <v>44</v>
      </c>
      <c r="K7434" s="0" t="s">
        <v>48</v>
      </c>
      <c r="L7434" s="0" t="s">
        <v>49</v>
      </c>
      <c r="M7434" s="0" t="s">
        <v>173</v>
      </c>
      <c r="N7434" s="0" t="n">
        <v>1855</v>
      </c>
      <c r="O7434" s="10" t="n">
        <v>0.0528997085057199</v>
      </c>
      <c r="P7434" s="10" t="n">
        <v>0.719914150424302</v>
      </c>
      <c r="Q7434" s="0" t="str">
        <f aca="false">SUBSTITUTE(SUBSTITUTE($I7434,CHAR(61),""),CHAR(34),"")</f>
        <v>35-49</v>
      </c>
      <c r="R7434" s="0" t="str">
        <f aca="false">IF($D7434&lt;&gt;"","["&amp;$E7434&amp;"]"&amp;"|"&amp;$Q7434&amp;"|"&amp;$K7434&amp;"|"&amp;$G7434&amp;"|"&amp;IF($G7434="TX_CURR_SUBNAT.R","CY2022Q4",$M7434),"")</f>
        <v>[AZyWpGzhcaA]|35-49|Male|NEW_INFECTIONS_SUBNAT.T2|CY2025Q3</v>
      </c>
    </row>
    <row r="7435" customFormat="false" ht="15" hidden="false" customHeight="false" outlineLevel="0" collapsed="false">
      <c r="D7435" s="0" t="s">
        <v>90</v>
      </c>
      <c r="E7435" s="0" t="s">
        <v>91</v>
      </c>
      <c r="F7435" s="0" t="s">
        <v>92</v>
      </c>
      <c r="G7435" s="0" t="s">
        <v>175</v>
      </c>
      <c r="H7435" s="0" t="s">
        <v>175</v>
      </c>
      <c r="I7435" s="0" t="s">
        <v>45</v>
      </c>
      <c r="J7435" s="0" t="s">
        <v>46</v>
      </c>
      <c r="K7435" s="0" t="s">
        <v>48</v>
      </c>
      <c r="L7435" s="0" t="s">
        <v>49</v>
      </c>
      <c r="M7435" s="0" t="s">
        <v>173</v>
      </c>
      <c r="N7435" s="0" t="n">
        <v>1882</v>
      </c>
      <c r="O7435" s="10" t="n">
        <v>0.904542600736022</v>
      </c>
      <c r="P7435" s="10" t="n">
        <v>0.719914150424302</v>
      </c>
      <c r="Q7435" s="0" t="str">
        <f aca="false">SUBSTITUTE(SUBSTITUTE($I7435,CHAR(61),""),CHAR(34),"")</f>
        <v>50+</v>
      </c>
      <c r="R7435" s="0" t="str">
        <f aca="false">IF($D7435&lt;&gt;"","["&amp;$E7435&amp;"]"&amp;"|"&amp;$Q7435&amp;"|"&amp;$K7435&amp;"|"&amp;$G7435&amp;"|"&amp;IF($G7435="TX_CURR_SUBNAT.R","CY2022Q4",$M7435),"")</f>
        <v>[AZyWpGzhcaA]|50+|Male|NEW_INFECTIONS_SUBNAT.T2|CY2025Q3</v>
      </c>
    </row>
    <row r="7436" customFormat="false" ht="15" hidden="false" customHeight="false" outlineLevel="0" collapsed="false">
      <c r="D7436" s="0" t="s">
        <v>93</v>
      </c>
      <c r="E7436" s="0" t="s">
        <v>94</v>
      </c>
      <c r="F7436" s="0" t="s">
        <v>95</v>
      </c>
      <c r="G7436" s="0" t="s">
        <v>175</v>
      </c>
      <c r="H7436" s="0" t="s">
        <v>175</v>
      </c>
      <c r="I7436" s="0" t="s">
        <v>28</v>
      </c>
      <c r="J7436" s="0" t="s">
        <v>29</v>
      </c>
      <c r="K7436" s="0" t="s">
        <v>30</v>
      </c>
      <c r="L7436" s="0" t="s">
        <v>31</v>
      </c>
      <c r="M7436" s="0" t="s">
        <v>173</v>
      </c>
      <c r="N7436" s="0" t="n">
        <v>1744</v>
      </c>
      <c r="O7436" s="10" t="n">
        <v>0.0296178003773093</v>
      </c>
      <c r="P7436" s="10" t="n">
        <v>0.362272296566516</v>
      </c>
      <c r="Q7436" s="0" t="str">
        <f aca="false">SUBSTITUTE(SUBSTITUTE($I7436,CHAR(61),""),CHAR(34),"")</f>
        <v>&lt;01</v>
      </c>
      <c r="R7436" s="0" t="str">
        <f aca="false">IF($D7436&lt;&gt;"","["&amp;$E7436&amp;"]"&amp;"|"&amp;$Q7436&amp;"|"&amp;$K7436&amp;"|"&amp;$G7436&amp;"|"&amp;IF($G7436="TX_CURR_SUBNAT.R","CY2022Q4",$M7436),"")</f>
        <v>[umc2n1Z4wNv]|&lt;01|Female|NEW_INFECTIONS_SUBNAT.T2|CY2025Q3</v>
      </c>
    </row>
    <row r="7437" customFormat="false" ht="15" hidden="false" customHeight="false" outlineLevel="0" collapsed="false">
      <c r="D7437" s="0" t="s">
        <v>93</v>
      </c>
      <c r="E7437" s="0" t="s">
        <v>94</v>
      </c>
      <c r="F7437" s="0" t="s">
        <v>95</v>
      </c>
      <c r="G7437" s="0" t="s">
        <v>175</v>
      </c>
      <c r="H7437" s="0" t="s">
        <v>175</v>
      </c>
      <c r="I7437" s="0" t="s">
        <v>33</v>
      </c>
      <c r="J7437" s="0" t="s">
        <v>34</v>
      </c>
      <c r="K7437" s="0" t="s">
        <v>30</v>
      </c>
      <c r="L7437" s="0" t="s">
        <v>31</v>
      </c>
      <c r="M7437" s="0" t="s">
        <v>173</v>
      </c>
      <c r="N7437" s="0" t="n">
        <v>599</v>
      </c>
      <c r="O7437" s="10" t="n">
        <v>0.347652164287865</v>
      </c>
      <c r="P7437" s="10" t="n">
        <v>0.362272296566516</v>
      </c>
      <c r="Q7437" s="0" t="str">
        <f aca="false">SUBSTITUTE(SUBSTITUTE($I7437,CHAR(61),""),CHAR(34),"")</f>
        <v>01-09</v>
      </c>
      <c r="R7437" s="0" t="str">
        <f aca="false">IF($D7437&lt;&gt;"","["&amp;$E7437&amp;"]"&amp;"|"&amp;$Q7437&amp;"|"&amp;$K7437&amp;"|"&amp;$G7437&amp;"|"&amp;IF($G7437="TX_CURR_SUBNAT.R","CY2022Q4",$M7437),"")</f>
        <v>[umc2n1Z4wNv]|01-09|Female|NEW_INFECTIONS_SUBNAT.T2|CY2025Q3</v>
      </c>
    </row>
    <row r="7438" customFormat="false" ht="15" hidden="false" customHeight="false" outlineLevel="0" collapsed="false">
      <c r="D7438" s="0" t="s">
        <v>93</v>
      </c>
      <c r="E7438" s="0" t="s">
        <v>94</v>
      </c>
      <c r="F7438" s="0" t="s">
        <v>95</v>
      </c>
      <c r="G7438" s="0" t="s">
        <v>175</v>
      </c>
      <c r="H7438" s="0" t="s">
        <v>175</v>
      </c>
      <c r="I7438" s="0" t="s">
        <v>36</v>
      </c>
      <c r="J7438" s="0" t="s">
        <v>37</v>
      </c>
      <c r="K7438" s="0" t="s">
        <v>30</v>
      </c>
      <c r="L7438" s="0" t="s">
        <v>31</v>
      </c>
      <c r="M7438" s="0" t="s">
        <v>173</v>
      </c>
      <c r="N7438" s="0" t="n">
        <v>1978</v>
      </c>
      <c r="O7438" s="10" t="n">
        <v>0.569673146121204</v>
      </c>
      <c r="P7438" s="10" t="n">
        <v>0.362272296566516</v>
      </c>
      <c r="Q7438" s="0" t="str">
        <f aca="false">SUBSTITUTE(SUBSTITUTE($I7438,CHAR(61),""),CHAR(34),"")</f>
        <v>10-14</v>
      </c>
      <c r="R7438" s="0" t="str">
        <f aca="false">IF($D7438&lt;&gt;"","["&amp;$E7438&amp;"]"&amp;"|"&amp;$Q7438&amp;"|"&amp;$K7438&amp;"|"&amp;$G7438&amp;"|"&amp;IF($G7438="TX_CURR_SUBNAT.R","CY2022Q4",$M7438),"")</f>
        <v>[umc2n1Z4wNv]|10-14|Female|NEW_INFECTIONS_SUBNAT.T2|CY2025Q3</v>
      </c>
    </row>
    <row r="7439" customFormat="false" ht="15" hidden="false" customHeight="false" outlineLevel="0" collapsed="false">
      <c r="D7439" s="0" t="s">
        <v>93</v>
      </c>
      <c r="E7439" s="0" t="s">
        <v>94</v>
      </c>
      <c r="F7439" s="0" t="s">
        <v>95</v>
      </c>
      <c r="G7439" s="0" t="s">
        <v>175</v>
      </c>
      <c r="H7439" s="0" t="s">
        <v>175</v>
      </c>
      <c r="I7439" s="0" t="s">
        <v>38</v>
      </c>
      <c r="J7439" s="0" t="s">
        <v>39</v>
      </c>
      <c r="K7439" s="0" t="s">
        <v>30</v>
      </c>
      <c r="L7439" s="0" t="s">
        <v>31</v>
      </c>
      <c r="M7439" s="0" t="s">
        <v>173</v>
      </c>
      <c r="N7439" s="0" t="n">
        <v>1920</v>
      </c>
      <c r="O7439" s="10" t="n">
        <v>0.620107849594206</v>
      </c>
      <c r="P7439" s="10" t="n">
        <v>0.362272296566516</v>
      </c>
      <c r="Q7439" s="0" t="str">
        <f aca="false">SUBSTITUTE(SUBSTITUTE($I7439,CHAR(61),""),CHAR(34),"")</f>
        <v>15-24</v>
      </c>
      <c r="R7439" s="0" t="str">
        <f aca="false">IF($D7439&lt;&gt;"","["&amp;$E7439&amp;"]"&amp;"|"&amp;$Q7439&amp;"|"&amp;$K7439&amp;"|"&amp;$G7439&amp;"|"&amp;IF($G7439="TX_CURR_SUBNAT.R","CY2022Q4",$M7439),"")</f>
        <v>[umc2n1Z4wNv]|15-24|Female|NEW_INFECTIONS_SUBNAT.T2|CY2025Q3</v>
      </c>
    </row>
    <row r="7440" customFormat="false" ht="15" hidden="false" customHeight="false" outlineLevel="0" collapsed="false">
      <c r="D7440" s="0" t="s">
        <v>93</v>
      </c>
      <c r="E7440" s="0" t="s">
        <v>94</v>
      </c>
      <c r="F7440" s="0" t="s">
        <v>95</v>
      </c>
      <c r="G7440" s="0" t="s">
        <v>175</v>
      </c>
      <c r="H7440" s="0" t="s">
        <v>175</v>
      </c>
      <c r="I7440" s="0" t="s">
        <v>41</v>
      </c>
      <c r="J7440" s="0" t="s">
        <v>42</v>
      </c>
      <c r="K7440" s="0" t="s">
        <v>30</v>
      </c>
      <c r="L7440" s="0" t="s">
        <v>31</v>
      </c>
      <c r="M7440" s="0" t="s">
        <v>173</v>
      </c>
      <c r="N7440" s="0" t="n">
        <v>684</v>
      </c>
      <c r="O7440" s="10" t="n">
        <v>0.979060190031305</v>
      </c>
      <c r="P7440" s="10" t="n">
        <v>0.362272296566516</v>
      </c>
      <c r="Q7440" s="0" t="str">
        <f aca="false">SUBSTITUTE(SUBSTITUTE($I7440,CHAR(61),""),CHAR(34),"")</f>
        <v>25-34</v>
      </c>
      <c r="R7440" s="0" t="str">
        <f aca="false">IF($D7440&lt;&gt;"","["&amp;$E7440&amp;"]"&amp;"|"&amp;$Q7440&amp;"|"&amp;$K7440&amp;"|"&amp;$G7440&amp;"|"&amp;IF($G7440="TX_CURR_SUBNAT.R","CY2022Q4",$M7440),"")</f>
        <v>[umc2n1Z4wNv]|25-34|Female|NEW_INFECTIONS_SUBNAT.T2|CY2025Q3</v>
      </c>
    </row>
    <row r="7441" customFormat="false" ht="15" hidden="false" customHeight="false" outlineLevel="0" collapsed="false">
      <c r="D7441" s="0" t="s">
        <v>93</v>
      </c>
      <c r="E7441" s="0" t="s">
        <v>94</v>
      </c>
      <c r="F7441" s="0" t="s">
        <v>95</v>
      </c>
      <c r="G7441" s="0" t="s">
        <v>175</v>
      </c>
      <c r="H7441" s="0" t="s">
        <v>175</v>
      </c>
      <c r="I7441" s="0" t="s">
        <v>43</v>
      </c>
      <c r="J7441" s="0" t="s">
        <v>44</v>
      </c>
      <c r="K7441" s="0" t="s">
        <v>30</v>
      </c>
      <c r="L7441" s="0" t="s">
        <v>31</v>
      </c>
      <c r="M7441" s="0" t="s">
        <v>173</v>
      </c>
      <c r="N7441" s="0" t="n">
        <v>1502</v>
      </c>
      <c r="O7441" s="10" t="n">
        <v>0.542540655937046</v>
      </c>
      <c r="P7441" s="10" t="n">
        <v>0.362272296566516</v>
      </c>
      <c r="Q7441" s="0" t="str">
        <f aca="false">SUBSTITUTE(SUBSTITUTE($I7441,CHAR(61),""),CHAR(34),"")</f>
        <v>35-49</v>
      </c>
      <c r="R7441" s="0" t="str">
        <f aca="false">IF($D7441&lt;&gt;"","["&amp;$E7441&amp;"]"&amp;"|"&amp;$Q7441&amp;"|"&amp;$K7441&amp;"|"&amp;$G7441&amp;"|"&amp;IF($G7441="TX_CURR_SUBNAT.R","CY2022Q4",$M7441),"")</f>
        <v>[umc2n1Z4wNv]|35-49|Female|NEW_INFECTIONS_SUBNAT.T2|CY2025Q3</v>
      </c>
    </row>
    <row r="7442" customFormat="false" ht="15" hidden="false" customHeight="false" outlineLevel="0" collapsed="false">
      <c r="D7442" s="0" t="s">
        <v>93</v>
      </c>
      <c r="E7442" s="0" t="s">
        <v>94</v>
      </c>
      <c r="F7442" s="0" t="s">
        <v>95</v>
      </c>
      <c r="G7442" s="0" t="s">
        <v>175</v>
      </c>
      <c r="H7442" s="0" t="s">
        <v>175</v>
      </c>
      <c r="I7442" s="0" t="s">
        <v>45</v>
      </c>
      <c r="J7442" s="0" t="s">
        <v>46</v>
      </c>
      <c r="K7442" s="0" t="s">
        <v>30</v>
      </c>
      <c r="L7442" s="0" t="s">
        <v>31</v>
      </c>
      <c r="M7442" s="0" t="s">
        <v>173</v>
      </c>
      <c r="N7442" s="0" t="n">
        <v>1264</v>
      </c>
      <c r="O7442" s="10" t="n">
        <v>0.562024582875893</v>
      </c>
      <c r="P7442" s="10" t="n">
        <v>0.362272296566516</v>
      </c>
      <c r="Q7442" s="0" t="str">
        <f aca="false">SUBSTITUTE(SUBSTITUTE($I7442,CHAR(61),""),CHAR(34),"")</f>
        <v>50+</v>
      </c>
      <c r="R7442" s="0" t="str">
        <f aca="false">IF($D7442&lt;&gt;"","["&amp;$E7442&amp;"]"&amp;"|"&amp;$Q7442&amp;"|"&amp;$K7442&amp;"|"&amp;$G7442&amp;"|"&amp;IF($G7442="TX_CURR_SUBNAT.R","CY2022Q4",$M7442),"")</f>
        <v>[umc2n1Z4wNv]|50+|Female|NEW_INFECTIONS_SUBNAT.T2|CY2025Q3</v>
      </c>
    </row>
    <row r="7443" customFormat="false" ht="15" hidden="false" customHeight="false" outlineLevel="0" collapsed="false">
      <c r="D7443" s="0" t="s">
        <v>93</v>
      </c>
      <c r="E7443" s="0" t="s">
        <v>94</v>
      </c>
      <c r="F7443" s="0" t="s">
        <v>95</v>
      </c>
      <c r="G7443" s="0" t="s">
        <v>175</v>
      </c>
      <c r="H7443" s="0" t="s">
        <v>175</v>
      </c>
      <c r="I7443" s="0" t="s">
        <v>28</v>
      </c>
      <c r="J7443" s="0" t="s">
        <v>29</v>
      </c>
      <c r="K7443" s="0" t="s">
        <v>48</v>
      </c>
      <c r="L7443" s="0" t="s">
        <v>49</v>
      </c>
      <c r="M7443" s="0" t="s">
        <v>173</v>
      </c>
      <c r="N7443" s="0" t="n">
        <v>568</v>
      </c>
      <c r="O7443" s="10" t="n">
        <v>0.794697393896058</v>
      </c>
      <c r="P7443" s="10" t="n">
        <v>0.362272296566516</v>
      </c>
      <c r="Q7443" s="0" t="str">
        <f aca="false">SUBSTITUTE(SUBSTITUTE($I7443,CHAR(61),""),CHAR(34),"")</f>
        <v>&lt;01</v>
      </c>
      <c r="R7443" s="0" t="str">
        <f aca="false">IF($D7443&lt;&gt;"","["&amp;$E7443&amp;"]"&amp;"|"&amp;$Q7443&amp;"|"&amp;$K7443&amp;"|"&amp;$G7443&amp;"|"&amp;IF($G7443="TX_CURR_SUBNAT.R","CY2022Q4",$M7443),"")</f>
        <v>[umc2n1Z4wNv]|&lt;01|Male|NEW_INFECTIONS_SUBNAT.T2|CY2025Q3</v>
      </c>
    </row>
    <row r="7444" customFormat="false" ht="15" hidden="false" customHeight="false" outlineLevel="0" collapsed="false">
      <c r="D7444" s="0" t="s">
        <v>93</v>
      </c>
      <c r="E7444" s="0" t="s">
        <v>94</v>
      </c>
      <c r="F7444" s="0" t="s">
        <v>95</v>
      </c>
      <c r="G7444" s="0" t="s">
        <v>175</v>
      </c>
      <c r="H7444" s="0" t="s">
        <v>175</v>
      </c>
      <c r="I7444" s="0" t="s">
        <v>33</v>
      </c>
      <c r="J7444" s="0" t="s">
        <v>34</v>
      </c>
      <c r="K7444" s="0" t="s">
        <v>48</v>
      </c>
      <c r="L7444" s="0" t="s">
        <v>49</v>
      </c>
      <c r="M7444" s="0" t="s">
        <v>173</v>
      </c>
      <c r="N7444" s="0" t="n">
        <v>1105</v>
      </c>
      <c r="O7444" s="10" t="n">
        <v>0.474255247740075</v>
      </c>
      <c r="P7444" s="10" t="n">
        <v>0.362272296566516</v>
      </c>
      <c r="Q7444" s="0" t="str">
        <f aca="false">SUBSTITUTE(SUBSTITUTE($I7444,CHAR(61),""),CHAR(34),"")</f>
        <v>01-09</v>
      </c>
      <c r="R7444" s="0" t="str">
        <f aca="false">IF($D7444&lt;&gt;"","["&amp;$E7444&amp;"]"&amp;"|"&amp;$Q7444&amp;"|"&amp;$K7444&amp;"|"&amp;$G7444&amp;"|"&amp;IF($G7444="TX_CURR_SUBNAT.R","CY2022Q4",$M7444),"")</f>
        <v>[umc2n1Z4wNv]|01-09|Male|NEW_INFECTIONS_SUBNAT.T2|CY2025Q3</v>
      </c>
    </row>
    <row r="7445" customFormat="false" ht="15" hidden="false" customHeight="false" outlineLevel="0" collapsed="false">
      <c r="D7445" s="0" t="s">
        <v>93</v>
      </c>
      <c r="E7445" s="0" t="s">
        <v>94</v>
      </c>
      <c r="F7445" s="0" t="s">
        <v>95</v>
      </c>
      <c r="G7445" s="0" t="s">
        <v>175</v>
      </c>
      <c r="H7445" s="0" t="s">
        <v>175</v>
      </c>
      <c r="I7445" s="0" t="s">
        <v>36</v>
      </c>
      <c r="J7445" s="0" t="s">
        <v>37</v>
      </c>
      <c r="K7445" s="0" t="s">
        <v>48</v>
      </c>
      <c r="L7445" s="0" t="s">
        <v>49</v>
      </c>
      <c r="M7445" s="0" t="s">
        <v>173</v>
      </c>
      <c r="N7445" s="0" t="n">
        <v>639</v>
      </c>
      <c r="O7445" s="10" t="n">
        <v>0.971996446605772</v>
      </c>
      <c r="P7445" s="10" t="n">
        <v>0.362272296566516</v>
      </c>
      <c r="Q7445" s="0" t="str">
        <f aca="false">SUBSTITUTE(SUBSTITUTE($I7445,CHAR(61),""),CHAR(34),"")</f>
        <v>10-14</v>
      </c>
      <c r="R7445" s="0" t="str">
        <f aca="false">IF($D7445&lt;&gt;"","["&amp;$E7445&amp;"]"&amp;"|"&amp;$Q7445&amp;"|"&amp;$K7445&amp;"|"&amp;$G7445&amp;"|"&amp;IF($G7445="TX_CURR_SUBNAT.R","CY2022Q4",$M7445),"")</f>
        <v>[umc2n1Z4wNv]|10-14|Male|NEW_INFECTIONS_SUBNAT.T2|CY2025Q3</v>
      </c>
    </row>
    <row r="7446" customFormat="false" ht="15" hidden="false" customHeight="false" outlineLevel="0" collapsed="false">
      <c r="D7446" s="0" t="s">
        <v>93</v>
      </c>
      <c r="E7446" s="0" t="s">
        <v>94</v>
      </c>
      <c r="F7446" s="0" t="s">
        <v>95</v>
      </c>
      <c r="G7446" s="0" t="s">
        <v>175</v>
      </c>
      <c r="H7446" s="0" t="s">
        <v>175</v>
      </c>
      <c r="I7446" s="0" t="s">
        <v>38</v>
      </c>
      <c r="J7446" s="0" t="s">
        <v>39</v>
      </c>
      <c r="K7446" s="0" t="s">
        <v>48</v>
      </c>
      <c r="L7446" s="0" t="s">
        <v>49</v>
      </c>
      <c r="M7446" s="0" t="s">
        <v>173</v>
      </c>
      <c r="N7446" s="0" t="n">
        <v>1924</v>
      </c>
      <c r="O7446" s="10" t="n">
        <v>0.654651963617653</v>
      </c>
      <c r="P7446" s="10" t="n">
        <v>0.362272296566516</v>
      </c>
      <c r="Q7446" s="0" t="str">
        <f aca="false">SUBSTITUTE(SUBSTITUTE($I7446,CHAR(61),""),CHAR(34),"")</f>
        <v>15-24</v>
      </c>
      <c r="R7446" s="0" t="str">
        <f aca="false">IF($D7446&lt;&gt;"","["&amp;$E7446&amp;"]"&amp;"|"&amp;$Q7446&amp;"|"&amp;$K7446&amp;"|"&amp;$G7446&amp;"|"&amp;IF($G7446="TX_CURR_SUBNAT.R","CY2022Q4",$M7446),"")</f>
        <v>[umc2n1Z4wNv]|15-24|Male|NEW_INFECTIONS_SUBNAT.T2|CY2025Q3</v>
      </c>
    </row>
    <row r="7447" customFormat="false" ht="15" hidden="false" customHeight="false" outlineLevel="0" collapsed="false">
      <c r="D7447" s="0" t="s">
        <v>93</v>
      </c>
      <c r="E7447" s="0" t="s">
        <v>94</v>
      </c>
      <c r="F7447" s="0" t="s">
        <v>95</v>
      </c>
      <c r="G7447" s="0" t="s">
        <v>175</v>
      </c>
      <c r="H7447" s="0" t="s">
        <v>175</v>
      </c>
      <c r="I7447" s="0" t="s">
        <v>41</v>
      </c>
      <c r="J7447" s="0" t="s">
        <v>42</v>
      </c>
      <c r="K7447" s="0" t="s">
        <v>48</v>
      </c>
      <c r="L7447" s="0" t="s">
        <v>49</v>
      </c>
      <c r="M7447" s="0" t="s">
        <v>173</v>
      </c>
      <c r="N7447" s="0" t="n">
        <v>1300</v>
      </c>
      <c r="O7447" s="10" t="n">
        <v>0.388496277853847</v>
      </c>
      <c r="P7447" s="10" t="n">
        <v>0.362272296566516</v>
      </c>
      <c r="Q7447" s="0" t="str">
        <f aca="false">SUBSTITUTE(SUBSTITUTE($I7447,CHAR(61),""),CHAR(34),"")</f>
        <v>25-34</v>
      </c>
      <c r="R7447" s="0" t="str">
        <f aca="false">IF($D7447&lt;&gt;"","["&amp;$E7447&amp;"]"&amp;"|"&amp;$Q7447&amp;"|"&amp;$K7447&amp;"|"&amp;$G7447&amp;"|"&amp;IF($G7447="TX_CURR_SUBNAT.R","CY2022Q4",$M7447),"")</f>
        <v>[umc2n1Z4wNv]|25-34|Male|NEW_INFECTIONS_SUBNAT.T2|CY2025Q3</v>
      </c>
    </row>
    <row r="7448" customFormat="false" ht="15" hidden="false" customHeight="false" outlineLevel="0" collapsed="false">
      <c r="D7448" s="0" t="s">
        <v>93</v>
      </c>
      <c r="E7448" s="0" t="s">
        <v>94</v>
      </c>
      <c r="F7448" s="0" t="s">
        <v>95</v>
      </c>
      <c r="G7448" s="0" t="s">
        <v>175</v>
      </c>
      <c r="H7448" s="0" t="s">
        <v>175</v>
      </c>
      <c r="I7448" s="0" t="s">
        <v>43</v>
      </c>
      <c r="J7448" s="0" t="s">
        <v>44</v>
      </c>
      <c r="K7448" s="0" t="s">
        <v>48</v>
      </c>
      <c r="L7448" s="0" t="s">
        <v>49</v>
      </c>
      <c r="M7448" s="0" t="s">
        <v>173</v>
      </c>
      <c r="N7448" s="0" t="n">
        <v>661</v>
      </c>
      <c r="O7448" s="10" t="n">
        <v>0.43847625865601</v>
      </c>
      <c r="P7448" s="10" t="n">
        <v>0.362272296566516</v>
      </c>
      <c r="Q7448" s="0" t="str">
        <f aca="false">SUBSTITUTE(SUBSTITUTE($I7448,CHAR(61),""),CHAR(34),"")</f>
        <v>35-49</v>
      </c>
      <c r="R7448" s="0" t="str">
        <f aca="false">IF($D7448&lt;&gt;"","["&amp;$E7448&amp;"]"&amp;"|"&amp;$Q7448&amp;"|"&amp;$K7448&amp;"|"&amp;$G7448&amp;"|"&amp;IF($G7448="TX_CURR_SUBNAT.R","CY2022Q4",$M7448),"")</f>
        <v>[umc2n1Z4wNv]|35-49|Male|NEW_INFECTIONS_SUBNAT.T2|CY2025Q3</v>
      </c>
    </row>
    <row r="7449" customFormat="false" ht="15" hidden="false" customHeight="false" outlineLevel="0" collapsed="false">
      <c r="D7449" s="0" t="s">
        <v>93</v>
      </c>
      <c r="E7449" s="0" t="s">
        <v>94</v>
      </c>
      <c r="F7449" s="0" t="s">
        <v>95</v>
      </c>
      <c r="G7449" s="0" t="s">
        <v>175</v>
      </c>
      <c r="H7449" s="0" t="s">
        <v>175</v>
      </c>
      <c r="I7449" s="0" t="s">
        <v>45</v>
      </c>
      <c r="J7449" s="0" t="s">
        <v>46</v>
      </c>
      <c r="K7449" s="0" t="s">
        <v>48</v>
      </c>
      <c r="L7449" s="0" t="s">
        <v>49</v>
      </c>
      <c r="M7449" s="0" t="s">
        <v>173</v>
      </c>
      <c r="N7449" s="0" t="n">
        <v>1751</v>
      </c>
      <c r="O7449" s="10" t="n">
        <v>0.376370625570416</v>
      </c>
      <c r="P7449" s="10" t="n">
        <v>0.362272296566516</v>
      </c>
      <c r="Q7449" s="0" t="str">
        <f aca="false">SUBSTITUTE(SUBSTITUTE($I7449,CHAR(61),""),CHAR(34),"")</f>
        <v>50+</v>
      </c>
      <c r="R7449" s="0" t="str">
        <f aca="false">IF($D7449&lt;&gt;"","["&amp;$E7449&amp;"]"&amp;"|"&amp;$Q7449&amp;"|"&amp;$K7449&amp;"|"&amp;$G7449&amp;"|"&amp;IF($G7449="TX_CURR_SUBNAT.R","CY2022Q4",$M7449),"")</f>
        <v>[umc2n1Z4wNv]|50+|Male|NEW_INFECTIONS_SUBNAT.T2|CY2025Q3</v>
      </c>
    </row>
    <row r="7450" customFormat="false" ht="15" hidden="false" customHeight="false" outlineLevel="0" collapsed="false">
      <c r="D7450" s="0" t="s">
        <v>96</v>
      </c>
      <c r="E7450" s="0" t="s">
        <v>97</v>
      </c>
      <c r="F7450" s="0" t="s">
        <v>98</v>
      </c>
      <c r="G7450" s="0" t="s">
        <v>175</v>
      </c>
      <c r="H7450" s="0" t="s">
        <v>175</v>
      </c>
      <c r="I7450" s="0" t="s">
        <v>28</v>
      </c>
      <c r="J7450" s="0" t="s">
        <v>29</v>
      </c>
      <c r="K7450" s="0" t="s">
        <v>30</v>
      </c>
      <c r="L7450" s="0" t="s">
        <v>31</v>
      </c>
      <c r="M7450" s="0" t="s">
        <v>173</v>
      </c>
      <c r="N7450" s="0" t="n">
        <v>1161</v>
      </c>
      <c r="O7450" s="10" t="n">
        <v>0.224747702246532</v>
      </c>
      <c r="P7450" s="10" t="n">
        <v>0.601251717889681</v>
      </c>
      <c r="Q7450" s="0" t="str">
        <f aca="false">SUBSTITUTE(SUBSTITUTE($I7450,CHAR(61),""),CHAR(34),"")</f>
        <v>&lt;01</v>
      </c>
      <c r="R7450" s="0" t="str">
        <f aca="false">IF($D7450&lt;&gt;"","["&amp;$E7450&amp;"]"&amp;"|"&amp;$Q7450&amp;"|"&amp;$K7450&amp;"|"&amp;$G7450&amp;"|"&amp;IF($G7450="TX_CURR_SUBNAT.R","CY2022Q4",$M7450),"")</f>
        <v>[gwVYinjBAe9]|&lt;01|Female|NEW_INFECTIONS_SUBNAT.T2|CY2025Q3</v>
      </c>
    </row>
    <row r="7451" customFormat="false" ht="15" hidden="false" customHeight="false" outlineLevel="0" collapsed="false">
      <c r="D7451" s="0" t="s">
        <v>96</v>
      </c>
      <c r="E7451" s="0" t="s">
        <v>97</v>
      </c>
      <c r="F7451" s="0" t="s">
        <v>98</v>
      </c>
      <c r="G7451" s="0" t="s">
        <v>175</v>
      </c>
      <c r="H7451" s="0" t="s">
        <v>175</v>
      </c>
      <c r="I7451" s="0" t="s">
        <v>33</v>
      </c>
      <c r="J7451" s="0" t="s">
        <v>34</v>
      </c>
      <c r="K7451" s="0" t="s">
        <v>30</v>
      </c>
      <c r="L7451" s="0" t="s">
        <v>31</v>
      </c>
      <c r="M7451" s="0" t="s">
        <v>173</v>
      </c>
      <c r="N7451" s="0" t="n">
        <v>925</v>
      </c>
      <c r="O7451" s="10" t="n">
        <v>0.0841613064985722</v>
      </c>
      <c r="P7451" s="10" t="n">
        <v>0.601251717889681</v>
      </c>
      <c r="Q7451" s="0" t="str">
        <f aca="false">SUBSTITUTE(SUBSTITUTE($I7451,CHAR(61),""),CHAR(34),"")</f>
        <v>01-09</v>
      </c>
      <c r="R7451" s="0" t="str">
        <f aca="false">IF($D7451&lt;&gt;"","["&amp;$E7451&amp;"]"&amp;"|"&amp;$Q7451&amp;"|"&amp;$K7451&amp;"|"&amp;$G7451&amp;"|"&amp;IF($G7451="TX_CURR_SUBNAT.R","CY2022Q4",$M7451),"")</f>
        <v>[gwVYinjBAe9]|01-09|Female|NEW_INFECTIONS_SUBNAT.T2|CY2025Q3</v>
      </c>
    </row>
    <row r="7452" customFormat="false" ht="15" hidden="false" customHeight="false" outlineLevel="0" collapsed="false">
      <c r="D7452" s="0" t="s">
        <v>96</v>
      </c>
      <c r="E7452" s="0" t="s">
        <v>97</v>
      </c>
      <c r="F7452" s="0" t="s">
        <v>98</v>
      </c>
      <c r="G7452" s="0" t="s">
        <v>175</v>
      </c>
      <c r="H7452" s="0" t="s">
        <v>175</v>
      </c>
      <c r="I7452" s="0" t="s">
        <v>36</v>
      </c>
      <c r="J7452" s="0" t="s">
        <v>37</v>
      </c>
      <c r="K7452" s="0" t="s">
        <v>30</v>
      </c>
      <c r="L7452" s="0" t="s">
        <v>31</v>
      </c>
      <c r="M7452" s="0" t="s">
        <v>173</v>
      </c>
      <c r="N7452" s="0" t="n">
        <v>1225</v>
      </c>
      <c r="O7452" s="10" t="n">
        <v>0.847473304718733</v>
      </c>
      <c r="P7452" s="10" t="n">
        <v>0.601251717889681</v>
      </c>
      <c r="Q7452" s="0" t="str">
        <f aca="false">SUBSTITUTE(SUBSTITUTE($I7452,CHAR(61),""),CHAR(34),"")</f>
        <v>10-14</v>
      </c>
      <c r="R7452" s="0" t="str">
        <f aca="false">IF($D7452&lt;&gt;"","["&amp;$E7452&amp;"]"&amp;"|"&amp;$Q7452&amp;"|"&amp;$K7452&amp;"|"&amp;$G7452&amp;"|"&amp;IF($G7452="TX_CURR_SUBNAT.R","CY2022Q4",$M7452),"")</f>
        <v>[gwVYinjBAe9]|10-14|Female|NEW_INFECTIONS_SUBNAT.T2|CY2025Q3</v>
      </c>
    </row>
    <row r="7453" customFormat="false" ht="15" hidden="false" customHeight="false" outlineLevel="0" collapsed="false">
      <c r="D7453" s="0" t="s">
        <v>96</v>
      </c>
      <c r="E7453" s="0" t="s">
        <v>97</v>
      </c>
      <c r="F7453" s="0" t="s">
        <v>98</v>
      </c>
      <c r="G7453" s="0" t="s">
        <v>175</v>
      </c>
      <c r="H7453" s="0" t="s">
        <v>175</v>
      </c>
      <c r="I7453" s="0" t="s">
        <v>38</v>
      </c>
      <c r="J7453" s="0" t="s">
        <v>39</v>
      </c>
      <c r="K7453" s="0" t="s">
        <v>30</v>
      </c>
      <c r="L7453" s="0" t="s">
        <v>31</v>
      </c>
      <c r="M7453" s="0" t="s">
        <v>173</v>
      </c>
      <c r="N7453" s="0" t="n">
        <v>821</v>
      </c>
      <c r="O7453" s="10" t="n">
        <v>0.0186949342023581</v>
      </c>
      <c r="P7453" s="10" t="n">
        <v>0.601251717889681</v>
      </c>
      <c r="Q7453" s="0" t="str">
        <f aca="false">SUBSTITUTE(SUBSTITUTE($I7453,CHAR(61),""),CHAR(34),"")</f>
        <v>15-24</v>
      </c>
      <c r="R7453" s="0" t="str">
        <f aca="false">IF($D7453&lt;&gt;"","["&amp;$E7453&amp;"]"&amp;"|"&amp;$Q7453&amp;"|"&amp;$K7453&amp;"|"&amp;$G7453&amp;"|"&amp;IF($G7453="TX_CURR_SUBNAT.R","CY2022Q4",$M7453),"")</f>
        <v>[gwVYinjBAe9]|15-24|Female|NEW_INFECTIONS_SUBNAT.T2|CY2025Q3</v>
      </c>
    </row>
    <row r="7454" customFormat="false" ht="15" hidden="false" customHeight="false" outlineLevel="0" collapsed="false">
      <c r="D7454" s="0" t="s">
        <v>96</v>
      </c>
      <c r="E7454" s="0" t="s">
        <v>97</v>
      </c>
      <c r="F7454" s="0" t="s">
        <v>98</v>
      </c>
      <c r="G7454" s="0" t="s">
        <v>175</v>
      </c>
      <c r="H7454" s="0" t="s">
        <v>175</v>
      </c>
      <c r="I7454" s="0" t="s">
        <v>41</v>
      </c>
      <c r="J7454" s="0" t="s">
        <v>42</v>
      </c>
      <c r="K7454" s="0" t="s">
        <v>30</v>
      </c>
      <c r="L7454" s="0" t="s">
        <v>31</v>
      </c>
      <c r="M7454" s="0" t="s">
        <v>173</v>
      </c>
      <c r="N7454" s="0" t="n">
        <v>1580</v>
      </c>
      <c r="O7454" s="10" t="n">
        <v>0.20765720657073</v>
      </c>
      <c r="P7454" s="10" t="n">
        <v>0.601251717889681</v>
      </c>
      <c r="Q7454" s="0" t="str">
        <f aca="false">SUBSTITUTE(SUBSTITUTE($I7454,CHAR(61),""),CHAR(34),"")</f>
        <v>25-34</v>
      </c>
      <c r="R7454" s="0" t="str">
        <f aca="false">IF($D7454&lt;&gt;"","["&amp;$E7454&amp;"]"&amp;"|"&amp;$Q7454&amp;"|"&amp;$K7454&amp;"|"&amp;$G7454&amp;"|"&amp;IF($G7454="TX_CURR_SUBNAT.R","CY2022Q4",$M7454),"")</f>
        <v>[gwVYinjBAe9]|25-34|Female|NEW_INFECTIONS_SUBNAT.T2|CY2025Q3</v>
      </c>
    </row>
    <row r="7455" customFormat="false" ht="15" hidden="false" customHeight="false" outlineLevel="0" collapsed="false">
      <c r="D7455" s="0" t="s">
        <v>96</v>
      </c>
      <c r="E7455" s="0" t="s">
        <v>97</v>
      </c>
      <c r="F7455" s="0" t="s">
        <v>98</v>
      </c>
      <c r="G7455" s="0" t="s">
        <v>175</v>
      </c>
      <c r="H7455" s="0" t="s">
        <v>175</v>
      </c>
      <c r="I7455" s="0" t="s">
        <v>43</v>
      </c>
      <c r="J7455" s="0" t="s">
        <v>44</v>
      </c>
      <c r="K7455" s="0" t="s">
        <v>30</v>
      </c>
      <c r="L7455" s="0" t="s">
        <v>31</v>
      </c>
      <c r="M7455" s="0" t="s">
        <v>173</v>
      </c>
      <c r="N7455" s="0" t="n">
        <v>1101</v>
      </c>
      <c r="O7455" s="10" t="n">
        <v>0.662684828042984</v>
      </c>
      <c r="P7455" s="10" t="n">
        <v>0.601251717889681</v>
      </c>
      <c r="Q7455" s="0" t="str">
        <f aca="false">SUBSTITUTE(SUBSTITUTE($I7455,CHAR(61),""),CHAR(34),"")</f>
        <v>35-49</v>
      </c>
      <c r="R7455" s="0" t="str">
        <f aca="false">IF($D7455&lt;&gt;"","["&amp;$E7455&amp;"]"&amp;"|"&amp;$Q7455&amp;"|"&amp;$K7455&amp;"|"&amp;$G7455&amp;"|"&amp;IF($G7455="TX_CURR_SUBNAT.R","CY2022Q4",$M7455),"")</f>
        <v>[gwVYinjBAe9]|35-49|Female|NEW_INFECTIONS_SUBNAT.T2|CY2025Q3</v>
      </c>
    </row>
    <row r="7456" customFormat="false" ht="15" hidden="false" customHeight="false" outlineLevel="0" collapsed="false">
      <c r="D7456" s="0" t="s">
        <v>96</v>
      </c>
      <c r="E7456" s="0" t="s">
        <v>97</v>
      </c>
      <c r="F7456" s="0" t="s">
        <v>98</v>
      </c>
      <c r="G7456" s="0" t="s">
        <v>175</v>
      </c>
      <c r="H7456" s="0" t="s">
        <v>175</v>
      </c>
      <c r="I7456" s="0" t="s">
        <v>45</v>
      </c>
      <c r="J7456" s="0" t="s">
        <v>46</v>
      </c>
      <c r="K7456" s="0" t="s">
        <v>30</v>
      </c>
      <c r="L7456" s="0" t="s">
        <v>31</v>
      </c>
      <c r="M7456" s="0" t="s">
        <v>173</v>
      </c>
      <c r="N7456" s="0" t="n">
        <v>1469</v>
      </c>
      <c r="O7456" s="10" t="n">
        <v>0.976925244089216</v>
      </c>
      <c r="P7456" s="10" t="n">
        <v>0.601251717889681</v>
      </c>
      <c r="Q7456" s="0" t="str">
        <f aca="false">SUBSTITUTE(SUBSTITUTE($I7456,CHAR(61),""),CHAR(34),"")</f>
        <v>50+</v>
      </c>
      <c r="R7456" s="0" t="str">
        <f aca="false">IF($D7456&lt;&gt;"","["&amp;$E7456&amp;"]"&amp;"|"&amp;$Q7456&amp;"|"&amp;$K7456&amp;"|"&amp;$G7456&amp;"|"&amp;IF($G7456="TX_CURR_SUBNAT.R","CY2022Q4",$M7456),"")</f>
        <v>[gwVYinjBAe9]|50+|Female|NEW_INFECTIONS_SUBNAT.T2|CY2025Q3</v>
      </c>
    </row>
    <row r="7457" customFormat="false" ht="15" hidden="false" customHeight="false" outlineLevel="0" collapsed="false">
      <c r="D7457" s="0" t="s">
        <v>96</v>
      </c>
      <c r="E7457" s="0" t="s">
        <v>97</v>
      </c>
      <c r="F7457" s="0" t="s">
        <v>98</v>
      </c>
      <c r="G7457" s="0" t="s">
        <v>175</v>
      </c>
      <c r="H7457" s="0" t="s">
        <v>175</v>
      </c>
      <c r="I7457" s="0" t="s">
        <v>28</v>
      </c>
      <c r="J7457" s="0" t="s">
        <v>29</v>
      </c>
      <c r="K7457" s="0" t="s">
        <v>48</v>
      </c>
      <c r="L7457" s="0" t="s">
        <v>49</v>
      </c>
      <c r="M7457" s="0" t="s">
        <v>173</v>
      </c>
      <c r="N7457" s="0" t="n">
        <v>945</v>
      </c>
      <c r="O7457" s="10" t="n">
        <v>0.852058076299727</v>
      </c>
      <c r="P7457" s="10" t="n">
        <v>0.601251717889681</v>
      </c>
      <c r="Q7457" s="0" t="str">
        <f aca="false">SUBSTITUTE(SUBSTITUTE($I7457,CHAR(61),""),CHAR(34),"")</f>
        <v>&lt;01</v>
      </c>
      <c r="R7457" s="0" t="str">
        <f aca="false">IF($D7457&lt;&gt;"","["&amp;$E7457&amp;"]"&amp;"|"&amp;$Q7457&amp;"|"&amp;$K7457&amp;"|"&amp;$G7457&amp;"|"&amp;IF($G7457="TX_CURR_SUBNAT.R","CY2022Q4",$M7457),"")</f>
        <v>[gwVYinjBAe9]|&lt;01|Male|NEW_INFECTIONS_SUBNAT.T2|CY2025Q3</v>
      </c>
    </row>
    <row r="7458" customFormat="false" ht="15" hidden="false" customHeight="false" outlineLevel="0" collapsed="false">
      <c r="D7458" s="0" t="s">
        <v>96</v>
      </c>
      <c r="E7458" s="0" t="s">
        <v>97</v>
      </c>
      <c r="F7458" s="0" t="s">
        <v>98</v>
      </c>
      <c r="G7458" s="0" t="s">
        <v>175</v>
      </c>
      <c r="H7458" s="0" t="s">
        <v>175</v>
      </c>
      <c r="I7458" s="0" t="s">
        <v>33</v>
      </c>
      <c r="J7458" s="0" t="s">
        <v>34</v>
      </c>
      <c r="K7458" s="0" t="s">
        <v>48</v>
      </c>
      <c r="L7458" s="0" t="s">
        <v>49</v>
      </c>
      <c r="M7458" s="0" t="s">
        <v>173</v>
      </c>
      <c r="N7458" s="0" t="n">
        <v>506</v>
      </c>
      <c r="O7458" s="10" t="n">
        <v>0.916158655658364</v>
      </c>
      <c r="P7458" s="10" t="n">
        <v>0.601251717889681</v>
      </c>
      <c r="Q7458" s="0" t="str">
        <f aca="false">SUBSTITUTE(SUBSTITUTE($I7458,CHAR(61),""),CHAR(34),"")</f>
        <v>01-09</v>
      </c>
      <c r="R7458" s="0" t="str">
        <f aca="false">IF($D7458&lt;&gt;"","["&amp;$E7458&amp;"]"&amp;"|"&amp;$Q7458&amp;"|"&amp;$K7458&amp;"|"&amp;$G7458&amp;"|"&amp;IF($G7458="TX_CURR_SUBNAT.R","CY2022Q4",$M7458),"")</f>
        <v>[gwVYinjBAe9]|01-09|Male|NEW_INFECTIONS_SUBNAT.T2|CY2025Q3</v>
      </c>
    </row>
    <row r="7459" customFormat="false" ht="15" hidden="false" customHeight="false" outlineLevel="0" collapsed="false">
      <c r="D7459" s="0" t="s">
        <v>96</v>
      </c>
      <c r="E7459" s="0" t="s">
        <v>97</v>
      </c>
      <c r="F7459" s="0" t="s">
        <v>98</v>
      </c>
      <c r="G7459" s="0" t="s">
        <v>175</v>
      </c>
      <c r="H7459" s="0" t="s">
        <v>175</v>
      </c>
      <c r="I7459" s="0" t="s">
        <v>36</v>
      </c>
      <c r="J7459" s="0" t="s">
        <v>37</v>
      </c>
      <c r="K7459" s="0" t="s">
        <v>48</v>
      </c>
      <c r="L7459" s="0" t="s">
        <v>49</v>
      </c>
      <c r="M7459" s="0" t="s">
        <v>173</v>
      </c>
      <c r="N7459" s="0" t="n">
        <v>1227</v>
      </c>
      <c r="O7459" s="10" t="n">
        <v>0.6987446162384</v>
      </c>
      <c r="P7459" s="10" t="n">
        <v>0.601251717889681</v>
      </c>
      <c r="Q7459" s="0" t="str">
        <f aca="false">SUBSTITUTE(SUBSTITUTE($I7459,CHAR(61),""),CHAR(34),"")</f>
        <v>10-14</v>
      </c>
      <c r="R7459" s="0" t="str">
        <f aca="false">IF($D7459&lt;&gt;"","["&amp;$E7459&amp;"]"&amp;"|"&amp;$Q7459&amp;"|"&amp;$K7459&amp;"|"&amp;$G7459&amp;"|"&amp;IF($G7459="TX_CURR_SUBNAT.R","CY2022Q4",$M7459),"")</f>
        <v>[gwVYinjBAe9]|10-14|Male|NEW_INFECTIONS_SUBNAT.T2|CY2025Q3</v>
      </c>
    </row>
    <row r="7460" customFormat="false" ht="15" hidden="false" customHeight="false" outlineLevel="0" collapsed="false">
      <c r="D7460" s="0" t="s">
        <v>96</v>
      </c>
      <c r="E7460" s="0" t="s">
        <v>97</v>
      </c>
      <c r="F7460" s="0" t="s">
        <v>98</v>
      </c>
      <c r="G7460" s="0" t="s">
        <v>175</v>
      </c>
      <c r="H7460" s="0" t="s">
        <v>175</v>
      </c>
      <c r="I7460" s="0" t="s">
        <v>38</v>
      </c>
      <c r="J7460" s="0" t="s">
        <v>39</v>
      </c>
      <c r="K7460" s="0" t="s">
        <v>48</v>
      </c>
      <c r="L7460" s="0" t="s">
        <v>49</v>
      </c>
      <c r="M7460" s="0" t="s">
        <v>173</v>
      </c>
      <c r="N7460" s="0" t="n">
        <v>1696</v>
      </c>
      <c r="O7460" s="10" t="n">
        <v>0.932040005223826</v>
      </c>
      <c r="P7460" s="10" t="n">
        <v>0.601251717889681</v>
      </c>
      <c r="Q7460" s="0" t="str">
        <f aca="false">SUBSTITUTE(SUBSTITUTE($I7460,CHAR(61),""),CHAR(34),"")</f>
        <v>15-24</v>
      </c>
      <c r="R7460" s="0" t="str">
        <f aca="false">IF($D7460&lt;&gt;"","["&amp;$E7460&amp;"]"&amp;"|"&amp;$Q7460&amp;"|"&amp;$K7460&amp;"|"&amp;$G7460&amp;"|"&amp;IF($G7460="TX_CURR_SUBNAT.R","CY2022Q4",$M7460),"")</f>
        <v>[gwVYinjBAe9]|15-24|Male|NEW_INFECTIONS_SUBNAT.T2|CY2025Q3</v>
      </c>
    </row>
    <row r="7461" customFormat="false" ht="15" hidden="false" customHeight="false" outlineLevel="0" collapsed="false">
      <c r="D7461" s="0" t="s">
        <v>96</v>
      </c>
      <c r="E7461" s="0" t="s">
        <v>97</v>
      </c>
      <c r="F7461" s="0" t="s">
        <v>98</v>
      </c>
      <c r="G7461" s="0" t="s">
        <v>175</v>
      </c>
      <c r="H7461" s="0" t="s">
        <v>175</v>
      </c>
      <c r="I7461" s="0" t="s">
        <v>41</v>
      </c>
      <c r="J7461" s="0" t="s">
        <v>42</v>
      </c>
      <c r="K7461" s="0" t="s">
        <v>48</v>
      </c>
      <c r="L7461" s="0" t="s">
        <v>49</v>
      </c>
      <c r="M7461" s="0" t="s">
        <v>173</v>
      </c>
      <c r="N7461" s="0" t="n">
        <v>1906</v>
      </c>
      <c r="O7461" s="10" t="n">
        <v>0.205108321271837</v>
      </c>
      <c r="P7461" s="10" t="n">
        <v>0.601251717889681</v>
      </c>
      <c r="Q7461" s="0" t="str">
        <f aca="false">SUBSTITUTE(SUBSTITUTE($I7461,CHAR(61),""),CHAR(34),"")</f>
        <v>25-34</v>
      </c>
      <c r="R7461" s="0" t="str">
        <f aca="false">IF($D7461&lt;&gt;"","["&amp;$E7461&amp;"]"&amp;"|"&amp;$Q7461&amp;"|"&amp;$K7461&amp;"|"&amp;$G7461&amp;"|"&amp;IF($G7461="TX_CURR_SUBNAT.R","CY2022Q4",$M7461),"")</f>
        <v>[gwVYinjBAe9]|25-34|Male|NEW_INFECTIONS_SUBNAT.T2|CY2025Q3</v>
      </c>
    </row>
    <row r="7462" customFormat="false" ht="15" hidden="false" customHeight="false" outlineLevel="0" collapsed="false">
      <c r="D7462" s="0" t="s">
        <v>96</v>
      </c>
      <c r="E7462" s="0" t="s">
        <v>97</v>
      </c>
      <c r="F7462" s="0" t="s">
        <v>98</v>
      </c>
      <c r="G7462" s="0" t="s">
        <v>175</v>
      </c>
      <c r="H7462" s="0" t="s">
        <v>175</v>
      </c>
      <c r="I7462" s="0" t="s">
        <v>43</v>
      </c>
      <c r="J7462" s="0" t="s">
        <v>44</v>
      </c>
      <c r="K7462" s="0" t="s">
        <v>48</v>
      </c>
      <c r="L7462" s="0" t="s">
        <v>49</v>
      </c>
      <c r="M7462" s="0" t="s">
        <v>173</v>
      </c>
      <c r="N7462" s="0" t="n">
        <v>1363</v>
      </c>
      <c r="O7462" s="10" t="n">
        <v>0.18028352339752</v>
      </c>
      <c r="P7462" s="10" t="n">
        <v>0.601251717889681</v>
      </c>
      <c r="Q7462" s="0" t="str">
        <f aca="false">SUBSTITUTE(SUBSTITUTE($I7462,CHAR(61),""),CHAR(34),"")</f>
        <v>35-49</v>
      </c>
      <c r="R7462" s="0" t="str">
        <f aca="false">IF($D7462&lt;&gt;"","["&amp;$E7462&amp;"]"&amp;"|"&amp;$Q7462&amp;"|"&amp;$K7462&amp;"|"&amp;$G7462&amp;"|"&amp;IF($G7462="TX_CURR_SUBNAT.R","CY2022Q4",$M7462),"")</f>
        <v>[gwVYinjBAe9]|35-49|Male|NEW_INFECTIONS_SUBNAT.T2|CY2025Q3</v>
      </c>
    </row>
    <row r="7463" customFormat="false" ht="15" hidden="false" customHeight="false" outlineLevel="0" collapsed="false">
      <c r="D7463" s="0" t="s">
        <v>96</v>
      </c>
      <c r="E7463" s="0" t="s">
        <v>97</v>
      </c>
      <c r="F7463" s="0" t="s">
        <v>98</v>
      </c>
      <c r="G7463" s="0" t="s">
        <v>175</v>
      </c>
      <c r="H7463" s="0" t="s">
        <v>175</v>
      </c>
      <c r="I7463" s="0" t="s">
        <v>45</v>
      </c>
      <c r="J7463" s="0" t="s">
        <v>46</v>
      </c>
      <c r="K7463" s="0" t="s">
        <v>48</v>
      </c>
      <c r="L7463" s="0" t="s">
        <v>49</v>
      </c>
      <c r="M7463" s="0" t="s">
        <v>173</v>
      </c>
      <c r="N7463" s="0" t="n">
        <v>1620</v>
      </c>
      <c r="O7463" s="10" t="n">
        <v>0.191703611053526</v>
      </c>
      <c r="P7463" s="10" t="n">
        <v>0.601251717889681</v>
      </c>
      <c r="Q7463" s="0" t="str">
        <f aca="false">SUBSTITUTE(SUBSTITUTE($I7463,CHAR(61),""),CHAR(34),"")</f>
        <v>50+</v>
      </c>
      <c r="R7463" s="0" t="str">
        <f aca="false">IF($D7463&lt;&gt;"","["&amp;$E7463&amp;"]"&amp;"|"&amp;$Q7463&amp;"|"&amp;$K7463&amp;"|"&amp;$G7463&amp;"|"&amp;IF($G7463="TX_CURR_SUBNAT.R","CY2022Q4",$M7463),"")</f>
        <v>[gwVYinjBAe9]|50+|Male|NEW_INFECTIONS_SUBNAT.T2|CY2025Q3</v>
      </c>
    </row>
    <row r="7464" customFormat="false" ht="15" hidden="false" customHeight="false" outlineLevel="0" collapsed="false">
      <c r="D7464" s="0" t="s">
        <v>99</v>
      </c>
      <c r="E7464" s="0" t="s">
        <v>100</v>
      </c>
      <c r="F7464" s="0" t="s">
        <v>101</v>
      </c>
      <c r="G7464" s="0" t="s">
        <v>175</v>
      </c>
      <c r="H7464" s="0" t="s">
        <v>175</v>
      </c>
      <c r="I7464" s="0" t="s">
        <v>28</v>
      </c>
      <c r="J7464" s="0" t="s">
        <v>29</v>
      </c>
      <c r="K7464" s="0" t="s">
        <v>30</v>
      </c>
      <c r="L7464" s="0" t="s">
        <v>31</v>
      </c>
      <c r="M7464" s="0" t="s">
        <v>173</v>
      </c>
      <c r="N7464" s="0" t="n">
        <v>1326</v>
      </c>
      <c r="O7464" s="10" t="n">
        <v>0.749223930295557</v>
      </c>
      <c r="P7464" s="10" t="n">
        <v>0.577288038097322</v>
      </c>
      <c r="Q7464" s="0" t="str">
        <f aca="false">SUBSTITUTE(SUBSTITUTE($I7464,CHAR(61),""),CHAR(34),"")</f>
        <v>&lt;01</v>
      </c>
      <c r="R7464" s="0" t="str">
        <f aca="false">IF($D7464&lt;&gt;"","["&amp;$E7464&amp;"]"&amp;"|"&amp;$Q7464&amp;"|"&amp;$K7464&amp;"|"&amp;$G7464&amp;"|"&amp;IF($G7464="TX_CURR_SUBNAT.R","CY2022Q4",$M7464),"")</f>
        <v>[mxqa3CDFmIT]|&lt;01|Female|NEW_INFECTIONS_SUBNAT.T2|CY2025Q3</v>
      </c>
    </row>
    <row r="7465" customFormat="false" ht="15" hidden="false" customHeight="false" outlineLevel="0" collapsed="false">
      <c r="D7465" s="0" t="s">
        <v>99</v>
      </c>
      <c r="E7465" s="0" t="s">
        <v>100</v>
      </c>
      <c r="F7465" s="0" t="s">
        <v>101</v>
      </c>
      <c r="G7465" s="0" t="s">
        <v>175</v>
      </c>
      <c r="H7465" s="0" t="s">
        <v>175</v>
      </c>
      <c r="I7465" s="0" t="s">
        <v>33</v>
      </c>
      <c r="J7465" s="0" t="s">
        <v>34</v>
      </c>
      <c r="K7465" s="0" t="s">
        <v>30</v>
      </c>
      <c r="L7465" s="0" t="s">
        <v>31</v>
      </c>
      <c r="M7465" s="0" t="s">
        <v>173</v>
      </c>
      <c r="N7465" s="0" t="n">
        <v>1971</v>
      </c>
      <c r="O7465" s="10" t="n">
        <v>0.724181577330455</v>
      </c>
      <c r="P7465" s="10" t="n">
        <v>0.577288038097322</v>
      </c>
      <c r="Q7465" s="0" t="str">
        <f aca="false">SUBSTITUTE(SUBSTITUTE($I7465,CHAR(61),""),CHAR(34),"")</f>
        <v>01-09</v>
      </c>
      <c r="R7465" s="0" t="str">
        <f aca="false">IF($D7465&lt;&gt;"","["&amp;$E7465&amp;"]"&amp;"|"&amp;$Q7465&amp;"|"&amp;$K7465&amp;"|"&amp;$G7465&amp;"|"&amp;IF($G7465="TX_CURR_SUBNAT.R","CY2022Q4",$M7465),"")</f>
        <v>[mxqa3CDFmIT]|01-09|Female|NEW_INFECTIONS_SUBNAT.T2|CY2025Q3</v>
      </c>
    </row>
    <row r="7466" customFormat="false" ht="15" hidden="false" customHeight="false" outlineLevel="0" collapsed="false">
      <c r="D7466" s="0" t="s">
        <v>99</v>
      </c>
      <c r="E7466" s="0" t="s">
        <v>100</v>
      </c>
      <c r="F7466" s="0" t="s">
        <v>101</v>
      </c>
      <c r="G7466" s="0" t="s">
        <v>175</v>
      </c>
      <c r="H7466" s="0" t="s">
        <v>175</v>
      </c>
      <c r="I7466" s="0" t="s">
        <v>36</v>
      </c>
      <c r="J7466" s="0" t="s">
        <v>37</v>
      </c>
      <c r="K7466" s="0" t="s">
        <v>30</v>
      </c>
      <c r="L7466" s="0" t="s">
        <v>31</v>
      </c>
      <c r="M7466" s="0" t="s">
        <v>173</v>
      </c>
      <c r="N7466" s="0" t="n">
        <v>1222</v>
      </c>
      <c r="O7466" s="10" t="n">
        <v>0.831569775007665</v>
      </c>
      <c r="P7466" s="10" t="n">
        <v>0.577288038097322</v>
      </c>
      <c r="Q7466" s="0" t="str">
        <f aca="false">SUBSTITUTE(SUBSTITUTE($I7466,CHAR(61),""),CHAR(34),"")</f>
        <v>10-14</v>
      </c>
      <c r="R7466" s="0" t="str">
        <f aca="false">IF($D7466&lt;&gt;"","["&amp;$E7466&amp;"]"&amp;"|"&amp;$Q7466&amp;"|"&amp;$K7466&amp;"|"&amp;$G7466&amp;"|"&amp;IF($G7466="TX_CURR_SUBNAT.R","CY2022Q4",$M7466),"")</f>
        <v>[mxqa3CDFmIT]|10-14|Female|NEW_INFECTIONS_SUBNAT.T2|CY2025Q3</v>
      </c>
    </row>
    <row r="7467" customFormat="false" ht="15" hidden="false" customHeight="false" outlineLevel="0" collapsed="false">
      <c r="D7467" s="0" t="s">
        <v>99</v>
      </c>
      <c r="E7467" s="0" t="s">
        <v>100</v>
      </c>
      <c r="F7467" s="0" t="s">
        <v>101</v>
      </c>
      <c r="G7467" s="0" t="s">
        <v>175</v>
      </c>
      <c r="H7467" s="0" t="s">
        <v>175</v>
      </c>
      <c r="I7467" s="0" t="s">
        <v>38</v>
      </c>
      <c r="J7467" s="0" t="s">
        <v>39</v>
      </c>
      <c r="K7467" s="0" t="s">
        <v>30</v>
      </c>
      <c r="L7467" s="0" t="s">
        <v>31</v>
      </c>
      <c r="M7467" s="0" t="s">
        <v>173</v>
      </c>
      <c r="N7467" s="0" t="n">
        <v>1933</v>
      </c>
      <c r="O7467" s="10" t="n">
        <v>0.337725375080481</v>
      </c>
      <c r="P7467" s="10" t="n">
        <v>0.577288038097322</v>
      </c>
      <c r="Q7467" s="0" t="str">
        <f aca="false">SUBSTITUTE(SUBSTITUTE($I7467,CHAR(61),""),CHAR(34),"")</f>
        <v>15-24</v>
      </c>
      <c r="R7467" s="0" t="str">
        <f aca="false">IF($D7467&lt;&gt;"","["&amp;$E7467&amp;"]"&amp;"|"&amp;$Q7467&amp;"|"&amp;$K7467&amp;"|"&amp;$G7467&amp;"|"&amp;IF($G7467="TX_CURR_SUBNAT.R","CY2022Q4",$M7467),"")</f>
        <v>[mxqa3CDFmIT]|15-24|Female|NEW_INFECTIONS_SUBNAT.T2|CY2025Q3</v>
      </c>
    </row>
    <row r="7468" customFormat="false" ht="15" hidden="false" customHeight="false" outlineLevel="0" collapsed="false">
      <c r="D7468" s="0" t="s">
        <v>99</v>
      </c>
      <c r="E7468" s="0" t="s">
        <v>100</v>
      </c>
      <c r="F7468" s="0" t="s">
        <v>101</v>
      </c>
      <c r="G7468" s="0" t="s">
        <v>175</v>
      </c>
      <c r="H7468" s="0" t="s">
        <v>175</v>
      </c>
      <c r="I7468" s="0" t="s">
        <v>41</v>
      </c>
      <c r="J7468" s="0" t="s">
        <v>42</v>
      </c>
      <c r="K7468" s="0" t="s">
        <v>30</v>
      </c>
      <c r="L7468" s="0" t="s">
        <v>31</v>
      </c>
      <c r="M7468" s="0" t="s">
        <v>173</v>
      </c>
      <c r="N7468" s="0" t="n">
        <v>1003</v>
      </c>
      <c r="O7468" s="10" t="n">
        <v>0.0604940457269549</v>
      </c>
      <c r="P7468" s="10" t="n">
        <v>0.577288038097322</v>
      </c>
      <c r="Q7468" s="0" t="str">
        <f aca="false">SUBSTITUTE(SUBSTITUTE($I7468,CHAR(61),""),CHAR(34),"")</f>
        <v>25-34</v>
      </c>
      <c r="R7468" s="0" t="str">
        <f aca="false">IF($D7468&lt;&gt;"","["&amp;$E7468&amp;"]"&amp;"|"&amp;$Q7468&amp;"|"&amp;$K7468&amp;"|"&amp;$G7468&amp;"|"&amp;IF($G7468="TX_CURR_SUBNAT.R","CY2022Q4",$M7468),"")</f>
        <v>[mxqa3CDFmIT]|25-34|Female|NEW_INFECTIONS_SUBNAT.T2|CY2025Q3</v>
      </c>
    </row>
    <row r="7469" customFormat="false" ht="15" hidden="false" customHeight="false" outlineLevel="0" collapsed="false">
      <c r="D7469" s="0" t="s">
        <v>99</v>
      </c>
      <c r="E7469" s="0" t="s">
        <v>100</v>
      </c>
      <c r="F7469" s="0" t="s">
        <v>101</v>
      </c>
      <c r="G7469" s="0" t="s">
        <v>175</v>
      </c>
      <c r="H7469" s="0" t="s">
        <v>175</v>
      </c>
      <c r="I7469" s="0" t="s">
        <v>43</v>
      </c>
      <c r="J7469" s="0" t="s">
        <v>44</v>
      </c>
      <c r="K7469" s="0" t="s">
        <v>30</v>
      </c>
      <c r="L7469" s="0" t="s">
        <v>31</v>
      </c>
      <c r="M7469" s="0" t="s">
        <v>173</v>
      </c>
      <c r="N7469" s="0" t="n">
        <v>689</v>
      </c>
      <c r="O7469" s="10" t="n">
        <v>0.982941287336871</v>
      </c>
      <c r="P7469" s="10" t="n">
        <v>0.577288038097322</v>
      </c>
      <c r="Q7469" s="0" t="str">
        <f aca="false">SUBSTITUTE(SUBSTITUTE($I7469,CHAR(61),""),CHAR(34),"")</f>
        <v>35-49</v>
      </c>
      <c r="R7469" s="0" t="str">
        <f aca="false">IF($D7469&lt;&gt;"","["&amp;$E7469&amp;"]"&amp;"|"&amp;$Q7469&amp;"|"&amp;$K7469&amp;"|"&amp;$G7469&amp;"|"&amp;IF($G7469="TX_CURR_SUBNAT.R","CY2022Q4",$M7469),"")</f>
        <v>[mxqa3CDFmIT]|35-49|Female|NEW_INFECTIONS_SUBNAT.T2|CY2025Q3</v>
      </c>
    </row>
    <row r="7470" customFormat="false" ht="15" hidden="false" customHeight="false" outlineLevel="0" collapsed="false">
      <c r="D7470" s="0" t="s">
        <v>99</v>
      </c>
      <c r="E7470" s="0" t="s">
        <v>100</v>
      </c>
      <c r="F7470" s="0" t="s">
        <v>101</v>
      </c>
      <c r="G7470" s="0" t="s">
        <v>175</v>
      </c>
      <c r="H7470" s="0" t="s">
        <v>175</v>
      </c>
      <c r="I7470" s="0" t="s">
        <v>45</v>
      </c>
      <c r="J7470" s="0" t="s">
        <v>46</v>
      </c>
      <c r="K7470" s="0" t="s">
        <v>30</v>
      </c>
      <c r="L7470" s="0" t="s">
        <v>31</v>
      </c>
      <c r="M7470" s="0" t="s">
        <v>173</v>
      </c>
      <c r="N7470" s="0" t="n">
        <v>934</v>
      </c>
      <c r="O7470" s="10" t="n">
        <v>0.566479637054726</v>
      </c>
      <c r="P7470" s="10" t="n">
        <v>0.577288038097322</v>
      </c>
      <c r="Q7470" s="0" t="str">
        <f aca="false">SUBSTITUTE(SUBSTITUTE($I7470,CHAR(61),""),CHAR(34),"")</f>
        <v>50+</v>
      </c>
      <c r="R7470" s="0" t="str">
        <f aca="false">IF($D7470&lt;&gt;"","["&amp;$E7470&amp;"]"&amp;"|"&amp;$Q7470&amp;"|"&amp;$K7470&amp;"|"&amp;$G7470&amp;"|"&amp;IF($G7470="TX_CURR_SUBNAT.R","CY2022Q4",$M7470),"")</f>
        <v>[mxqa3CDFmIT]|50+|Female|NEW_INFECTIONS_SUBNAT.T2|CY2025Q3</v>
      </c>
    </row>
    <row r="7471" customFormat="false" ht="15" hidden="false" customHeight="false" outlineLevel="0" collapsed="false">
      <c r="D7471" s="0" t="s">
        <v>99</v>
      </c>
      <c r="E7471" s="0" t="s">
        <v>100</v>
      </c>
      <c r="F7471" s="0" t="s">
        <v>101</v>
      </c>
      <c r="G7471" s="0" t="s">
        <v>175</v>
      </c>
      <c r="H7471" s="0" t="s">
        <v>175</v>
      </c>
      <c r="I7471" s="0" t="s">
        <v>28</v>
      </c>
      <c r="J7471" s="0" t="s">
        <v>29</v>
      </c>
      <c r="K7471" s="0" t="s">
        <v>48</v>
      </c>
      <c r="L7471" s="0" t="s">
        <v>49</v>
      </c>
      <c r="M7471" s="0" t="s">
        <v>173</v>
      </c>
      <c r="N7471" s="0" t="n">
        <v>1945</v>
      </c>
      <c r="O7471" s="10" t="n">
        <v>0.685690948739648</v>
      </c>
      <c r="P7471" s="10" t="n">
        <v>0.577288038097322</v>
      </c>
      <c r="Q7471" s="0" t="str">
        <f aca="false">SUBSTITUTE(SUBSTITUTE($I7471,CHAR(61),""),CHAR(34),"")</f>
        <v>&lt;01</v>
      </c>
      <c r="R7471" s="0" t="str">
        <f aca="false">IF($D7471&lt;&gt;"","["&amp;$E7471&amp;"]"&amp;"|"&amp;$Q7471&amp;"|"&amp;$K7471&amp;"|"&amp;$G7471&amp;"|"&amp;IF($G7471="TX_CURR_SUBNAT.R","CY2022Q4",$M7471),"")</f>
        <v>[mxqa3CDFmIT]|&lt;01|Male|NEW_INFECTIONS_SUBNAT.T2|CY2025Q3</v>
      </c>
    </row>
    <row r="7472" customFormat="false" ht="15" hidden="false" customHeight="false" outlineLevel="0" collapsed="false">
      <c r="D7472" s="0" t="s">
        <v>99</v>
      </c>
      <c r="E7472" s="0" t="s">
        <v>100</v>
      </c>
      <c r="F7472" s="0" t="s">
        <v>101</v>
      </c>
      <c r="G7472" s="0" t="s">
        <v>175</v>
      </c>
      <c r="H7472" s="0" t="s">
        <v>175</v>
      </c>
      <c r="I7472" s="0" t="s">
        <v>33</v>
      </c>
      <c r="J7472" s="0" t="s">
        <v>34</v>
      </c>
      <c r="K7472" s="0" t="s">
        <v>48</v>
      </c>
      <c r="L7472" s="0" t="s">
        <v>49</v>
      </c>
      <c r="M7472" s="0" t="s">
        <v>173</v>
      </c>
      <c r="N7472" s="0" t="n">
        <v>690</v>
      </c>
      <c r="O7472" s="10" t="n">
        <v>0.78046144451946</v>
      </c>
      <c r="P7472" s="10" t="n">
        <v>0.577288038097322</v>
      </c>
      <c r="Q7472" s="0" t="str">
        <f aca="false">SUBSTITUTE(SUBSTITUTE($I7472,CHAR(61),""),CHAR(34),"")</f>
        <v>01-09</v>
      </c>
      <c r="R7472" s="0" t="str">
        <f aca="false">IF($D7472&lt;&gt;"","["&amp;$E7472&amp;"]"&amp;"|"&amp;$Q7472&amp;"|"&amp;$K7472&amp;"|"&amp;$G7472&amp;"|"&amp;IF($G7472="TX_CURR_SUBNAT.R","CY2022Q4",$M7472),"")</f>
        <v>[mxqa3CDFmIT]|01-09|Male|NEW_INFECTIONS_SUBNAT.T2|CY2025Q3</v>
      </c>
    </row>
    <row r="7473" customFormat="false" ht="15" hidden="false" customHeight="false" outlineLevel="0" collapsed="false">
      <c r="D7473" s="0" t="s">
        <v>99</v>
      </c>
      <c r="E7473" s="0" t="s">
        <v>100</v>
      </c>
      <c r="F7473" s="0" t="s">
        <v>101</v>
      </c>
      <c r="G7473" s="0" t="s">
        <v>175</v>
      </c>
      <c r="H7473" s="0" t="s">
        <v>175</v>
      </c>
      <c r="I7473" s="0" t="s">
        <v>36</v>
      </c>
      <c r="J7473" s="0" t="s">
        <v>37</v>
      </c>
      <c r="K7473" s="0" t="s">
        <v>48</v>
      </c>
      <c r="L7473" s="0" t="s">
        <v>49</v>
      </c>
      <c r="M7473" s="0" t="s">
        <v>173</v>
      </c>
      <c r="N7473" s="0" t="n">
        <v>988</v>
      </c>
      <c r="O7473" s="10" t="n">
        <v>0.316786959767342</v>
      </c>
      <c r="P7473" s="10" t="n">
        <v>0.577288038097322</v>
      </c>
      <c r="Q7473" s="0" t="str">
        <f aca="false">SUBSTITUTE(SUBSTITUTE($I7473,CHAR(61),""),CHAR(34),"")</f>
        <v>10-14</v>
      </c>
      <c r="R7473" s="0" t="str">
        <f aca="false">IF($D7473&lt;&gt;"","["&amp;$E7473&amp;"]"&amp;"|"&amp;$Q7473&amp;"|"&amp;$K7473&amp;"|"&amp;$G7473&amp;"|"&amp;IF($G7473="TX_CURR_SUBNAT.R","CY2022Q4",$M7473),"")</f>
        <v>[mxqa3CDFmIT]|10-14|Male|NEW_INFECTIONS_SUBNAT.T2|CY2025Q3</v>
      </c>
    </row>
    <row r="7474" customFormat="false" ht="15" hidden="false" customHeight="false" outlineLevel="0" collapsed="false">
      <c r="D7474" s="0" t="s">
        <v>99</v>
      </c>
      <c r="E7474" s="0" t="s">
        <v>100</v>
      </c>
      <c r="F7474" s="0" t="s">
        <v>101</v>
      </c>
      <c r="G7474" s="0" t="s">
        <v>175</v>
      </c>
      <c r="H7474" s="0" t="s">
        <v>175</v>
      </c>
      <c r="I7474" s="0" t="s">
        <v>38</v>
      </c>
      <c r="J7474" s="0" t="s">
        <v>39</v>
      </c>
      <c r="K7474" s="0" t="s">
        <v>48</v>
      </c>
      <c r="L7474" s="0" t="s">
        <v>49</v>
      </c>
      <c r="M7474" s="0" t="s">
        <v>173</v>
      </c>
      <c r="N7474" s="0" t="n">
        <v>1623</v>
      </c>
      <c r="O7474" s="10" t="n">
        <v>0.762838266789913</v>
      </c>
      <c r="P7474" s="10" t="n">
        <v>0.577288038097322</v>
      </c>
      <c r="Q7474" s="0" t="str">
        <f aca="false">SUBSTITUTE(SUBSTITUTE($I7474,CHAR(61),""),CHAR(34),"")</f>
        <v>15-24</v>
      </c>
      <c r="R7474" s="0" t="str">
        <f aca="false">IF($D7474&lt;&gt;"","["&amp;$E7474&amp;"]"&amp;"|"&amp;$Q7474&amp;"|"&amp;$K7474&amp;"|"&amp;$G7474&amp;"|"&amp;IF($G7474="TX_CURR_SUBNAT.R","CY2022Q4",$M7474),"")</f>
        <v>[mxqa3CDFmIT]|15-24|Male|NEW_INFECTIONS_SUBNAT.T2|CY2025Q3</v>
      </c>
    </row>
    <row r="7475" customFormat="false" ht="15" hidden="false" customHeight="false" outlineLevel="0" collapsed="false">
      <c r="D7475" s="0" t="s">
        <v>99</v>
      </c>
      <c r="E7475" s="0" t="s">
        <v>100</v>
      </c>
      <c r="F7475" s="0" t="s">
        <v>101</v>
      </c>
      <c r="G7475" s="0" t="s">
        <v>175</v>
      </c>
      <c r="H7475" s="0" t="s">
        <v>175</v>
      </c>
      <c r="I7475" s="0" t="s">
        <v>41</v>
      </c>
      <c r="J7475" s="0" t="s">
        <v>42</v>
      </c>
      <c r="K7475" s="0" t="s">
        <v>48</v>
      </c>
      <c r="L7475" s="0" t="s">
        <v>49</v>
      </c>
      <c r="M7475" s="0" t="s">
        <v>173</v>
      </c>
      <c r="N7475" s="0" t="n">
        <v>945</v>
      </c>
      <c r="O7475" s="10" t="n">
        <v>0.934091392438859</v>
      </c>
      <c r="P7475" s="10" t="n">
        <v>0.577288038097322</v>
      </c>
      <c r="Q7475" s="0" t="str">
        <f aca="false">SUBSTITUTE(SUBSTITUTE($I7475,CHAR(61),""),CHAR(34),"")</f>
        <v>25-34</v>
      </c>
      <c r="R7475" s="0" t="str">
        <f aca="false">IF($D7475&lt;&gt;"","["&amp;$E7475&amp;"]"&amp;"|"&amp;$Q7475&amp;"|"&amp;$K7475&amp;"|"&amp;$G7475&amp;"|"&amp;IF($G7475="TX_CURR_SUBNAT.R","CY2022Q4",$M7475),"")</f>
        <v>[mxqa3CDFmIT]|25-34|Male|NEW_INFECTIONS_SUBNAT.T2|CY2025Q3</v>
      </c>
    </row>
    <row r="7476" customFormat="false" ht="15" hidden="false" customHeight="false" outlineLevel="0" collapsed="false">
      <c r="D7476" s="0" t="s">
        <v>99</v>
      </c>
      <c r="E7476" s="0" t="s">
        <v>100</v>
      </c>
      <c r="F7476" s="0" t="s">
        <v>101</v>
      </c>
      <c r="G7476" s="0" t="s">
        <v>175</v>
      </c>
      <c r="H7476" s="0" t="s">
        <v>175</v>
      </c>
      <c r="I7476" s="0" t="s">
        <v>43</v>
      </c>
      <c r="J7476" s="0" t="s">
        <v>44</v>
      </c>
      <c r="K7476" s="0" t="s">
        <v>48</v>
      </c>
      <c r="L7476" s="0" t="s">
        <v>49</v>
      </c>
      <c r="M7476" s="0" t="s">
        <v>173</v>
      </c>
      <c r="N7476" s="0" t="n">
        <v>1469</v>
      </c>
      <c r="O7476" s="10" t="n">
        <v>0.818592953495681</v>
      </c>
      <c r="P7476" s="10" t="n">
        <v>0.577288038097322</v>
      </c>
      <c r="Q7476" s="0" t="str">
        <f aca="false">SUBSTITUTE(SUBSTITUTE($I7476,CHAR(61),""),CHAR(34),"")</f>
        <v>35-49</v>
      </c>
      <c r="R7476" s="0" t="str">
        <f aca="false">IF($D7476&lt;&gt;"","["&amp;$E7476&amp;"]"&amp;"|"&amp;$Q7476&amp;"|"&amp;$K7476&amp;"|"&amp;$G7476&amp;"|"&amp;IF($G7476="TX_CURR_SUBNAT.R","CY2022Q4",$M7476),"")</f>
        <v>[mxqa3CDFmIT]|35-49|Male|NEW_INFECTIONS_SUBNAT.T2|CY2025Q3</v>
      </c>
    </row>
    <row r="7477" customFormat="false" ht="15" hidden="false" customHeight="false" outlineLevel="0" collapsed="false">
      <c r="D7477" s="0" t="s">
        <v>99</v>
      </c>
      <c r="E7477" s="0" t="s">
        <v>100</v>
      </c>
      <c r="F7477" s="0" t="s">
        <v>101</v>
      </c>
      <c r="G7477" s="0" t="s">
        <v>175</v>
      </c>
      <c r="H7477" s="0" t="s">
        <v>175</v>
      </c>
      <c r="I7477" s="0" t="s">
        <v>45</v>
      </c>
      <c r="J7477" s="0" t="s">
        <v>46</v>
      </c>
      <c r="K7477" s="0" t="s">
        <v>48</v>
      </c>
      <c r="L7477" s="0" t="s">
        <v>49</v>
      </c>
      <c r="M7477" s="0" t="s">
        <v>173</v>
      </c>
      <c r="N7477" s="0" t="n">
        <v>642</v>
      </c>
      <c r="O7477" s="10" t="n">
        <v>0.985797031549737</v>
      </c>
      <c r="P7477" s="10" t="n">
        <v>0.577288038097322</v>
      </c>
      <c r="Q7477" s="0" t="str">
        <f aca="false">SUBSTITUTE(SUBSTITUTE($I7477,CHAR(61),""),CHAR(34),"")</f>
        <v>50+</v>
      </c>
      <c r="R7477" s="0" t="str">
        <f aca="false">IF($D7477&lt;&gt;"","["&amp;$E7477&amp;"]"&amp;"|"&amp;$Q7477&amp;"|"&amp;$K7477&amp;"|"&amp;$G7477&amp;"|"&amp;IF($G7477="TX_CURR_SUBNAT.R","CY2022Q4",$M7477),"")</f>
        <v>[mxqa3CDFmIT]|50+|Male|NEW_INFECTIONS_SUBNAT.T2|CY2025Q3</v>
      </c>
    </row>
    <row r="7478" customFormat="false" ht="15" hidden="false" customHeight="false" outlineLevel="0" collapsed="false">
      <c r="D7478" s="0" t="s">
        <v>102</v>
      </c>
      <c r="E7478" s="0" t="s">
        <v>103</v>
      </c>
      <c r="F7478" s="0" t="s">
        <v>104</v>
      </c>
      <c r="G7478" s="0" t="s">
        <v>175</v>
      </c>
      <c r="H7478" s="0" t="s">
        <v>175</v>
      </c>
      <c r="I7478" s="0" t="s">
        <v>28</v>
      </c>
      <c r="J7478" s="0" t="s">
        <v>29</v>
      </c>
      <c r="K7478" s="0" t="s">
        <v>30</v>
      </c>
      <c r="L7478" s="0" t="s">
        <v>31</v>
      </c>
      <c r="M7478" s="0" t="s">
        <v>173</v>
      </c>
      <c r="N7478" s="0" t="n">
        <v>618</v>
      </c>
      <c r="O7478" s="10" t="n">
        <v>0.181801979895681</v>
      </c>
      <c r="P7478" s="10" t="n">
        <v>0.526212359312922</v>
      </c>
      <c r="Q7478" s="0" t="str">
        <f aca="false">SUBSTITUTE(SUBSTITUTE($I7478,CHAR(61),""),CHAR(34),"")</f>
        <v>&lt;01</v>
      </c>
      <c r="R7478" s="0" t="str">
        <f aca="false">IF($D7478&lt;&gt;"","["&amp;$E7478&amp;"]"&amp;"|"&amp;$Q7478&amp;"|"&amp;$K7478&amp;"|"&amp;$G7478&amp;"|"&amp;IF($G7478="TX_CURR_SUBNAT.R","CY2022Q4",$M7478),"")</f>
        <v>[wNqJp8oRIcF]|&lt;01|Female|NEW_INFECTIONS_SUBNAT.T2|CY2025Q3</v>
      </c>
    </row>
    <row r="7479" customFormat="false" ht="15" hidden="false" customHeight="false" outlineLevel="0" collapsed="false">
      <c r="D7479" s="0" t="s">
        <v>102</v>
      </c>
      <c r="E7479" s="0" t="s">
        <v>103</v>
      </c>
      <c r="F7479" s="0" t="s">
        <v>104</v>
      </c>
      <c r="G7479" s="0" t="s">
        <v>175</v>
      </c>
      <c r="H7479" s="0" t="s">
        <v>175</v>
      </c>
      <c r="I7479" s="0" t="s">
        <v>33</v>
      </c>
      <c r="J7479" s="0" t="s">
        <v>34</v>
      </c>
      <c r="K7479" s="0" t="s">
        <v>30</v>
      </c>
      <c r="L7479" s="0" t="s">
        <v>31</v>
      </c>
      <c r="M7479" s="0" t="s">
        <v>173</v>
      </c>
      <c r="N7479" s="0" t="n">
        <v>1599</v>
      </c>
      <c r="O7479" s="10" t="n">
        <v>0.950620225630701</v>
      </c>
      <c r="P7479" s="10" t="n">
        <v>0.526212359312922</v>
      </c>
      <c r="Q7479" s="0" t="str">
        <f aca="false">SUBSTITUTE(SUBSTITUTE($I7479,CHAR(61),""),CHAR(34),"")</f>
        <v>01-09</v>
      </c>
      <c r="R7479" s="0" t="str">
        <f aca="false">IF($D7479&lt;&gt;"","["&amp;$E7479&amp;"]"&amp;"|"&amp;$Q7479&amp;"|"&amp;$K7479&amp;"|"&amp;$G7479&amp;"|"&amp;IF($G7479="TX_CURR_SUBNAT.R","CY2022Q4",$M7479),"")</f>
        <v>[wNqJp8oRIcF]|01-09|Female|NEW_INFECTIONS_SUBNAT.T2|CY2025Q3</v>
      </c>
    </row>
    <row r="7480" customFormat="false" ht="15" hidden="false" customHeight="false" outlineLevel="0" collapsed="false">
      <c r="D7480" s="0" t="s">
        <v>102</v>
      </c>
      <c r="E7480" s="0" t="s">
        <v>103</v>
      </c>
      <c r="F7480" s="0" t="s">
        <v>104</v>
      </c>
      <c r="G7480" s="0" t="s">
        <v>175</v>
      </c>
      <c r="H7480" s="0" t="s">
        <v>175</v>
      </c>
      <c r="I7480" s="0" t="s">
        <v>36</v>
      </c>
      <c r="J7480" s="0" t="s">
        <v>37</v>
      </c>
      <c r="K7480" s="0" t="s">
        <v>30</v>
      </c>
      <c r="L7480" s="0" t="s">
        <v>31</v>
      </c>
      <c r="M7480" s="0" t="s">
        <v>173</v>
      </c>
      <c r="N7480" s="0" t="n">
        <v>1580</v>
      </c>
      <c r="O7480" s="10" t="n">
        <v>0.0795033457688987</v>
      </c>
      <c r="P7480" s="10" t="n">
        <v>0.526212359312922</v>
      </c>
      <c r="Q7480" s="0" t="str">
        <f aca="false">SUBSTITUTE(SUBSTITUTE($I7480,CHAR(61),""),CHAR(34),"")</f>
        <v>10-14</v>
      </c>
      <c r="R7480" s="0" t="str">
        <f aca="false">IF($D7480&lt;&gt;"","["&amp;$E7480&amp;"]"&amp;"|"&amp;$Q7480&amp;"|"&amp;$K7480&amp;"|"&amp;$G7480&amp;"|"&amp;IF($G7480="TX_CURR_SUBNAT.R","CY2022Q4",$M7480),"")</f>
        <v>[wNqJp8oRIcF]|10-14|Female|NEW_INFECTIONS_SUBNAT.T2|CY2025Q3</v>
      </c>
    </row>
    <row r="7481" customFormat="false" ht="15" hidden="false" customHeight="false" outlineLevel="0" collapsed="false">
      <c r="D7481" s="0" t="s">
        <v>102</v>
      </c>
      <c r="E7481" s="0" t="s">
        <v>103</v>
      </c>
      <c r="F7481" s="0" t="s">
        <v>104</v>
      </c>
      <c r="G7481" s="0" t="s">
        <v>175</v>
      </c>
      <c r="H7481" s="0" t="s">
        <v>175</v>
      </c>
      <c r="I7481" s="0" t="s">
        <v>38</v>
      </c>
      <c r="J7481" s="0" t="s">
        <v>39</v>
      </c>
      <c r="K7481" s="0" t="s">
        <v>30</v>
      </c>
      <c r="L7481" s="0" t="s">
        <v>31</v>
      </c>
      <c r="M7481" s="0" t="s">
        <v>173</v>
      </c>
      <c r="N7481" s="0" t="n">
        <v>1123</v>
      </c>
      <c r="O7481" s="10" t="n">
        <v>0.302373297978193</v>
      </c>
      <c r="P7481" s="10" t="n">
        <v>0.526212359312922</v>
      </c>
      <c r="Q7481" s="0" t="str">
        <f aca="false">SUBSTITUTE(SUBSTITUTE($I7481,CHAR(61),""),CHAR(34),"")</f>
        <v>15-24</v>
      </c>
      <c r="R7481" s="0" t="str">
        <f aca="false">IF($D7481&lt;&gt;"","["&amp;$E7481&amp;"]"&amp;"|"&amp;$Q7481&amp;"|"&amp;$K7481&amp;"|"&amp;$G7481&amp;"|"&amp;IF($G7481="TX_CURR_SUBNAT.R","CY2022Q4",$M7481),"")</f>
        <v>[wNqJp8oRIcF]|15-24|Female|NEW_INFECTIONS_SUBNAT.T2|CY2025Q3</v>
      </c>
    </row>
    <row r="7482" customFormat="false" ht="15" hidden="false" customHeight="false" outlineLevel="0" collapsed="false">
      <c r="D7482" s="0" t="s">
        <v>102</v>
      </c>
      <c r="E7482" s="0" t="s">
        <v>103</v>
      </c>
      <c r="F7482" s="0" t="s">
        <v>104</v>
      </c>
      <c r="G7482" s="0" t="s">
        <v>175</v>
      </c>
      <c r="H7482" s="0" t="s">
        <v>175</v>
      </c>
      <c r="I7482" s="0" t="s">
        <v>41</v>
      </c>
      <c r="J7482" s="0" t="s">
        <v>42</v>
      </c>
      <c r="K7482" s="0" t="s">
        <v>30</v>
      </c>
      <c r="L7482" s="0" t="s">
        <v>31</v>
      </c>
      <c r="M7482" s="0" t="s">
        <v>173</v>
      </c>
      <c r="N7482" s="0" t="n">
        <v>1348</v>
      </c>
      <c r="O7482" s="10" t="n">
        <v>0.355258623603731</v>
      </c>
      <c r="P7482" s="10" t="n">
        <v>0.526212359312922</v>
      </c>
      <c r="Q7482" s="0" t="str">
        <f aca="false">SUBSTITUTE(SUBSTITUTE($I7482,CHAR(61),""),CHAR(34),"")</f>
        <v>25-34</v>
      </c>
      <c r="R7482" s="0" t="str">
        <f aca="false">IF($D7482&lt;&gt;"","["&amp;$E7482&amp;"]"&amp;"|"&amp;$Q7482&amp;"|"&amp;$K7482&amp;"|"&amp;$G7482&amp;"|"&amp;IF($G7482="TX_CURR_SUBNAT.R","CY2022Q4",$M7482),"")</f>
        <v>[wNqJp8oRIcF]|25-34|Female|NEW_INFECTIONS_SUBNAT.T2|CY2025Q3</v>
      </c>
    </row>
    <row r="7483" customFormat="false" ht="15" hidden="false" customHeight="false" outlineLevel="0" collapsed="false">
      <c r="D7483" s="0" t="s">
        <v>102</v>
      </c>
      <c r="E7483" s="0" t="s">
        <v>103</v>
      </c>
      <c r="F7483" s="0" t="s">
        <v>104</v>
      </c>
      <c r="G7483" s="0" t="s">
        <v>175</v>
      </c>
      <c r="H7483" s="0" t="s">
        <v>175</v>
      </c>
      <c r="I7483" s="0" t="s">
        <v>43</v>
      </c>
      <c r="J7483" s="0" t="s">
        <v>44</v>
      </c>
      <c r="K7483" s="0" t="s">
        <v>30</v>
      </c>
      <c r="L7483" s="0" t="s">
        <v>31</v>
      </c>
      <c r="M7483" s="0" t="s">
        <v>173</v>
      </c>
      <c r="N7483" s="0" t="n">
        <v>1831</v>
      </c>
      <c r="O7483" s="10" t="n">
        <v>0.878157895058393</v>
      </c>
      <c r="P7483" s="10" t="n">
        <v>0.526212359312922</v>
      </c>
      <c r="Q7483" s="0" t="str">
        <f aca="false">SUBSTITUTE(SUBSTITUTE($I7483,CHAR(61),""),CHAR(34),"")</f>
        <v>35-49</v>
      </c>
      <c r="R7483" s="0" t="str">
        <f aca="false">IF($D7483&lt;&gt;"","["&amp;$E7483&amp;"]"&amp;"|"&amp;$Q7483&amp;"|"&amp;$K7483&amp;"|"&amp;$G7483&amp;"|"&amp;IF($G7483="TX_CURR_SUBNAT.R","CY2022Q4",$M7483),"")</f>
        <v>[wNqJp8oRIcF]|35-49|Female|NEW_INFECTIONS_SUBNAT.T2|CY2025Q3</v>
      </c>
    </row>
    <row r="7484" customFormat="false" ht="15" hidden="false" customHeight="false" outlineLevel="0" collapsed="false">
      <c r="D7484" s="0" t="s">
        <v>102</v>
      </c>
      <c r="E7484" s="0" t="s">
        <v>103</v>
      </c>
      <c r="F7484" s="0" t="s">
        <v>104</v>
      </c>
      <c r="G7484" s="0" t="s">
        <v>175</v>
      </c>
      <c r="H7484" s="0" t="s">
        <v>175</v>
      </c>
      <c r="I7484" s="0" t="s">
        <v>45</v>
      </c>
      <c r="J7484" s="0" t="s">
        <v>46</v>
      </c>
      <c r="K7484" s="0" t="s">
        <v>30</v>
      </c>
      <c r="L7484" s="0" t="s">
        <v>31</v>
      </c>
      <c r="M7484" s="0" t="s">
        <v>173</v>
      </c>
      <c r="N7484" s="0" t="n">
        <v>1046</v>
      </c>
      <c r="O7484" s="10" t="n">
        <v>0.160817632684484</v>
      </c>
      <c r="P7484" s="10" t="n">
        <v>0.526212359312922</v>
      </c>
      <c r="Q7484" s="0" t="str">
        <f aca="false">SUBSTITUTE(SUBSTITUTE($I7484,CHAR(61),""),CHAR(34),"")</f>
        <v>50+</v>
      </c>
      <c r="R7484" s="0" t="str">
        <f aca="false">IF($D7484&lt;&gt;"","["&amp;$E7484&amp;"]"&amp;"|"&amp;$Q7484&amp;"|"&amp;$K7484&amp;"|"&amp;$G7484&amp;"|"&amp;IF($G7484="TX_CURR_SUBNAT.R","CY2022Q4",$M7484),"")</f>
        <v>[wNqJp8oRIcF]|50+|Female|NEW_INFECTIONS_SUBNAT.T2|CY2025Q3</v>
      </c>
    </row>
    <row r="7485" customFormat="false" ht="15" hidden="false" customHeight="false" outlineLevel="0" collapsed="false">
      <c r="D7485" s="0" t="s">
        <v>102</v>
      </c>
      <c r="E7485" s="0" t="s">
        <v>103</v>
      </c>
      <c r="F7485" s="0" t="s">
        <v>104</v>
      </c>
      <c r="G7485" s="0" t="s">
        <v>175</v>
      </c>
      <c r="H7485" s="0" t="s">
        <v>175</v>
      </c>
      <c r="I7485" s="0" t="s">
        <v>28</v>
      </c>
      <c r="J7485" s="0" t="s">
        <v>29</v>
      </c>
      <c r="K7485" s="0" t="s">
        <v>48</v>
      </c>
      <c r="L7485" s="0" t="s">
        <v>49</v>
      </c>
      <c r="M7485" s="0" t="s">
        <v>173</v>
      </c>
      <c r="N7485" s="0" t="n">
        <v>1944</v>
      </c>
      <c r="O7485" s="10" t="n">
        <v>0.137815044727176</v>
      </c>
      <c r="P7485" s="10" t="n">
        <v>0.526212359312922</v>
      </c>
      <c r="Q7485" s="0" t="str">
        <f aca="false">SUBSTITUTE(SUBSTITUTE($I7485,CHAR(61),""),CHAR(34),"")</f>
        <v>&lt;01</v>
      </c>
      <c r="R7485" s="0" t="str">
        <f aca="false">IF($D7485&lt;&gt;"","["&amp;$E7485&amp;"]"&amp;"|"&amp;$Q7485&amp;"|"&amp;$K7485&amp;"|"&amp;$G7485&amp;"|"&amp;IF($G7485="TX_CURR_SUBNAT.R","CY2022Q4",$M7485),"")</f>
        <v>[wNqJp8oRIcF]|&lt;01|Male|NEW_INFECTIONS_SUBNAT.T2|CY2025Q3</v>
      </c>
    </row>
    <row r="7486" customFormat="false" ht="15" hidden="false" customHeight="false" outlineLevel="0" collapsed="false">
      <c r="D7486" s="0" t="s">
        <v>102</v>
      </c>
      <c r="E7486" s="0" t="s">
        <v>103</v>
      </c>
      <c r="F7486" s="0" t="s">
        <v>104</v>
      </c>
      <c r="G7486" s="0" t="s">
        <v>175</v>
      </c>
      <c r="H7486" s="0" t="s">
        <v>175</v>
      </c>
      <c r="I7486" s="0" t="s">
        <v>33</v>
      </c>
      <c r="J7486" s="0" t="s">
        <v>34</v>
      </c>
      <c r="K7486" s="0" t="s">
        <v>48</v>
      </c>
      <c r="L7486" s="0" t="s">
        <v>49</v>
      </c>
      <c r="M7486" s="0" t="s">
        <v>173</v>
      </c>
      <c r="N7486" s="0" t="n">
        <v>1743</v>
      </c>
      <c r="O7486" s="10" t="n">
        <v>0.509617576375604</v>
      </c>
      <c r="P7486" s="10" t="n">
        <v>0.526212359312922</v>
      </c>
      <c r="Q7486" s="0" t="str">
        <f aca="false">SUBSTITUTE(SUBSTITUTE($I7486,CHAR(61),""),CHAR(34),"")</f>
        <v>01-09</v>
      </c>
      <c r="R7486" s="0" t="str">
        <f aca="false">IF($D7486&lt;&gt;"","["&amp;$E7486&amp;"]"&amp;"|"&amp;$Q7486&amp;"|"&amp;$K7486&amp;"|"&amp;$G7486&amp;"|"&amp;IF($G7486="TX_CURR_SUBNAT.R","CY2022Q4",$M7486),"")</f>
        <v>[wNqJp8oRIcF]|01-09|Male|NEW_INFECTIONS_SUBNAT.T2|CY2025Q3</v>
      </c>
    </row>
    <row r="7487" customFormat="false" ht="15" hidden="false" customHeight="false" outlineLevel="0" collapsed="false">
      <c r="D7487" s="0" t="s">
        <v>102</v>
      </c>
      <c r="E7487" s="0" t="s">
        <v>103</v>
      </c>
      <c r="F7487" s="0" t="s">
        <v>104</v>
      </c>
      <c r="G7487" s="0" t="s">
        <v>175</v>
      </c>
      <c r="H7487" s="0" t="s">
        <v>175</v>
      </c>
      <c r="I7487" s="0" t="s">
        <v>36</v>
      </c>
      <c r="J7487" s="0" t="s">
        <v>37</v>
      </c>
      <c r="K7487" s="0" t="s">
        <v>48</v>
      </c>
      <c r="L7487" s="0" t="s">
        <v>49</v>
      </c>
      <c r="M7487" s="0" t="s">
        <v>173</v>
      </c>
      <c r="N7487" s="0" t="n">
        <v>946</v>
      </c>
      <c r="O7487" s="10" t="n">
        <v>0.772178689250723</v>
      </c>
      <c r="P7487" s="10" t="n">
        <v>0.526212359312922</v>
      </c>
      <c r="Q7487" s="0" t="str">
        <f aca="false">SUBSTITUTE(SUBSTITUTE($I7487,CHAR(61),""),CHAR(34),"")</f>
        <v>10-14</v>
      </c>
      <c r="R7487" s="0" t="str">
        <f aca="false">IF($D7487&lt;&gt;"","["&amp;$E7487&amp;"]"&amp;"|"&amp;$Q7487&amp;"|"&amp;$K7487&amp;"|"&amp;$G7487&amp;"|"&amp;IF($G7487="TX_CURR_SUBNAT.R","CY2022Q4",$M7487),"")</f>
        <v>[wNqJp8oRIcF]|10-14|Male|NEW_INFECTIONS_SUBNAT.T2|CY2025Q3</v>
      </c>
    </row>
    <row r="7488" customFormat="false" ht="15" hidden="false" customHeight="false" outlineLevel="0" collapsed="false">
      <c r="D7488" s="0" t="s">
        <v>102</v>
      </c>
      <c r="E7488" s="0" t="s">
        <v>103</v>
      </c>
      <c r="F7488" s="0" t="s">
        <v>104</v>
      </c>
      <c r="G7488" s="0" t="s">
        <v>175</v>
      </c>
      <c r="H7488" s="0" t="s">
        <v>175</v>
      </c>
      <c r="I7488" s="0" t="s">
        <v>38</v>
      </c>
      <c r="J7488" s="0" t="s">
        <v>39</v>
      </c>
      <c r="K7488" s="0" t="s">
        <v>48</v>
      </c>
      <c r="L7488" s="0" t="s">
        <v>49</v>
      </c>
      <c r="M7488" s="0" t="s">
        <v>173</v>
      </c>
      <c r="N7488" s="0" t="n">
        <v>988</v>
      </c>
      <c r="O7488" s="10" t="n">
        <v>0.489853268489242</v>
      </c>
      <c r="P7488" s="10" t="n">
        <v>0.526212359312922</v>
      </c>
      <c r="Q7488" s="0" t="str">
        <f aca="false">SUBSTITUTE(SUBSTITUTE($I7488,CHAR(61),""),CHAR(34),"")</f>
        <v>15-24</v>
      </c>
      <c r="R7488" s="0" t="str">
        <f aca="false">IF($D7488&lt;&gt;"","["&amp;$E7488&amp;"]"&amp;"|"&amp;$Q7488&amp;"|"&amp;$K7488&amp;"|"&amp;$G7488&amp;"|"&amp;IF($G7488="TX_CURR_SUBNAT.R","CY2022Q4",$M7488),"")</f>
        <v>[wNqJp8oRIcF]|15-24|Male|NEW_INFECTIONS_SUBNAT.T2|CY2025Q3</v>
      </c>
    </row>
    <row r="7489" customFormat="false" ht="15" hidden="false" customHeight="false" outlineLevel="0" collapsed="false">
      <c r="D7489" s="0" t="s">
        <v>102</v>
      </c>
      <c r="E7489" s="0" t="s">
        <v>103</v>
      </c>
      <c r="F7489" s="0" t="s">
        <v>104</v>
      </c>
      <c r="G7489" s="0" t="s">
        <v>175</v>
      </c>
      <c r="H7489" s="0" t="s">
        <v>175</v>
      </c>
      <c r="I7489" s="0" t="s">
        <v>41</v>
      </c>
      <c r="J7489" s="0" t="s">
        <v>42</v>
      </c>
      <c r="K7489" s="0" t="s">
        <v>48</v>
      </c>
      <c r="L7489" s="0" t="s">
        <v>49</v>
      </c>
      <c r="M7489" s="0" t="s">
        <v>173</v>
      </c>
      <c r="N7489" s="0" t="n">
        <v>1213</v>
      </c>
      <c r="O7489" s="10" t="n">
        <v>0.839956298936158</v>
      </c>
      <c r="P7489" s="10" t="n">
        <v>0.526212359312922</v>
      </c>
      <c r="Q7489" s="0" t="str">
        <f aca="false">SUBSTITUTE(SUBSTITUTE($I7489,CHAR(61),""),CHAR(34),"")</f>
        <v>25-34</v>
      </c>
      <c r="R7489" s="0" t="str">
        <f aca="false">IF($D7489&lt;&gt;"","["&amp;$E7489&amp;"]"&amp;"|"&amp;$Q7489&amp;"|"&amp;$K7489&amp;"|"&amp;$G7489&amp;"|"&amp;IF($G7489="TX_CURR_SUBNAT.R","CY2022Q4",$M7489),"")</f>
        <v>[wNqJp8oRIcF]|25-34|Male|NEW_INFECTIONS_SUBNAT.T2|CY2025Q3</v>
      </c>
    </row>
    <row r="7490" customFormat="false" ht="15" hidden="false" customHeight="false" outlineLevel="0" collapsed="false">
      <c r="D7490" s="0" t="s">
        <v>102</v>
      </c>
      <c r="E7490" s="0" t="s">
        <v>103</v>
      </c>
      <c r="F7490" s="0" t="s">
        <v>104</v>
      </c>
      <c r="G7490" s="0" t="s">
        <v>175</v>
      </c>
      <c r="H7490" s="0" t="s">
        <v>175</v>
      </c>
      <c r="I7490" s="0" t="s">
        <v>43</v>
      </c>
      <c r="J7490" s="0" t="s">
        <v>44</v>
      </c>
      <c r="K7490" s="0" t="s">
        <v>48</v>
      </c>
      <c r="L7490" s="0" t="s">
        <v>49</v>
      </c>
      <c r="M7490" s="0" t="s">
        <v>173</v>
      </c>
      <c r="N7490" s="0" t="n">
        <v>1946</v>
      </c>
      <c r="O7490" s="10" t="n">
        <v>0.324599968502298</v>
      </c>
      <c r="P7490" s="10" t="n">
        <v>0.526212359312922</v>
      </c>
      <c r="Q7490" s="0" t="str">
        <f aca="false">SUBSTITUTE(SUBSTITUTE($I7490,CHAR(61),""),CHAR(34),"")</f>
        <v>35-49</v>
      </c>
      <c r="R7490" s="0" t="str">
        <f aca="false">IF($D7490&lt;&gt;"","["&amp;$E7490&amp;"]"&amp;"|"&amp;$Q7490&amp;"|"&amp;$K7490&amp;"|"&amp;$G7490&amp;"|"&amp;IF($G7490="TX_CURR_SUBNAT.R","CY2022Q4",$M7490),"")</f>
        <v>[wNqJp8oRIcF]|35-49|Male|NEW_INFECTIONS_SUBNAT.T2|CY2025Q3</v>
      </c>
    </row>
    <row r="7491" customFormat="false" ht="15" hidden="false" customHeight="false" outlineLevel="0" collapsed="false">
      <c r="D7491" s="0" t="s">
        <v>102</v>
      </c>
      <c r="E7491" s="0" t="s">
        <v>103</v>
      </c>
      <c r="F7491" s="0" t="s">
        <v>104</v>
      </c>
      <c r="G7491" s="0" t="s">
        <v>175</v>
      </c>
      <c r="H7491" s="0" t="s">
        <v>175</v>
      </c>
      <c r="I7491" s="0" t="s">
        <v>45</v>
      </c>
      <c r="J7491" s="0" t="s">
        <v>46</v>
      </c>
      <c r="K7491" s="0" t="s">
        <v>48</v>
      </c>
      <c r="L7491" s="0" t="s">
        <v>49</v>
      </c>
      <c r="M7491" s="0" t="s">
        <v>173</v>
      </c>
      <c r="N7491" s="0" t="n">
        <v>1658</v>
      </c>
      <c r="O7491" s="10" t="n">
        <v>0.864663578337058</v>
      </c>
      <c r="P7491" s="10" t="n">
        <v>0.526212359312922</v>
      </c>
      <c r="Q7491" s="0" t="str">
        <f aca="false">SUBSTITUTE(SUBSTITUTE($I7491,CHAR(61),""),CHAR(34),"")</f>
        <v>50+</v>
      </c>
      <c r="R7491" s="0" t="str">
        <f aca="false">IF($D7491&lt;&gt;"","["&amp;$E7491&amp;"]"&amp;"|"&amp;$Q7491&amp;"|"&amp;$K7491&amp;"|"&amp;$G7491&amp;"|"&amp;IF($G7491="TX_CURR_SUBNAT.R","CY2022Q4",$M7491),"")</f>
        <v>[wNqJp8oRIcF]|50+|Male|NEW_INFECTIONS_SUBNAT.T2|CY2025Q3</v>
      </c>
    </row>
    <row r="7492" customFormat="false" ht="15" hidden="false" customHeight="false" outlineLevel="0" collapsed="false">
      <c r="D7492" s="0" t="s">
        <v>105</v>
      </c>
      <c r="E7492" s="0" t="s">
        <v>106</v>
      </c>
      <c r="F7492" s="0" t="s">
        <v>107</v>
      </c>
      <c r="G7492" s="0" t="s">
        <v>175</v>
      </c>
      <c r="H7492" s="0" t="s">
        <v>175</v>
      </c>
      <c r="I7492" s="0" t="s">
        <v>28</v>
      </c>
      <c r="J7492" s="0" t="s">
        <v>29</v>
      </c>
      <c r="K7492" s="0" t="s">
        <v>30</v>
      </c>
      <c r="L7492" s="0" t="s">
        <v>31</v>
      </c>
      <c r="M7492" s="0" t="s">
        <v>173</v>
      </c>
      <c r="N7492" s="0" t="n">
        <v>1502</v>
      </c>
      <c r="O7492" s="10" t="n">
        <v>0.0635379196610302</v>
      </c>
      <c r="P7492" s="10" t="n">
        <v>0.218249560333788</v>
      </c>
      <c r="Q7492" s="0" t="str">
        <f aca="false">SUBSTITUTE(SUBSTITUTE($I7492,CHAR(61),""),CHAR(34),"")</f>
        <v>&lt;01</v>
      </c>
      <c r="R7492" s="0" t="str">
        <f aca="false">IF($D7492&lt;&gt;"","["&amp;$E7492&amp;"]"&amp;"|"&amp;$Q7492&amp;"|"&amp;$K7492&amp;"|"&amp;$G7492&amp;"|"&amp;IF($G7492="TX_CURR_SUBNAT.R","CY2022Q4",$M7492),"")</f>
        <v>[oiPR2CiVJbf]|&lt;01|Female|NEW_INFECTIONS_SUBNAT.T2|CY2025Q3</v>
      </c>
    </row>
    <row r="7493" customFormat="false" ht="15" hidden="false" customHeight="false" outlineLevel="0" collapsed="false">
      <c r="D7493" s="0" t="s">
        <v>105</v>
      </c>
      <c r="E7493" s="0" t="s">
        <v>106</v>
      </c>
      <c r="F7493" s="0" t="s">
        <v>107</v>
      </c>
      <c r="G7493" s="0" t="s">
        <v>175</v>
      </c>
      <c r="H7493" s="0" t="s">
        <v>175</v>
      </c>
      <c r="I7493" s="0" t="s">
        <v>33</v>
      </c>
      <c r="J7493" s="0" t="s">
        <v>34</v>
      </c>
      <c r="K7493" s="0" t="s">
        <v>30</v>
      </c>
      <c r="L7493" s="0" t="s">
        <v>31</v>
      </c>
      <c r="M7493" s="0" t="s">
        <v>173</v>
      </c>
      <c r="N7493" s="0" t="n">
        <v>651</v>
      </c>
      <c r="O7493" s="10" t="n">
        <v>0.710634791757911</v>
      </c>
      <c r="P7493" s="10" t="n">
        <v>0.218249560333788</v>
      </c>
      <c r="Q7493" s="0" t="str">
        <f aca="false">SUBSTITUTE(SUBSTITUTE($I7493,CHAR(61),""),CHAR(34),"")</f>
        <v>01-09</v>
      </c>
      <c r="R7493" s="0" t="str">
        <f aca="false">IF($D7493&lt;&gt;"","["&amp;$E7493&amp;"]"&amp;"|"&amp;$Q7493&amp;"|"&amp;$K7493&amp;"|"&amp;$G7493&amp;"|"&amp;IF($G7493="TX_CURR_SUBNAT.R","CY2022Q4",$M7493),"")</f>
        <v>[oiPR2CiVJbf]|01-09|Female|NEW_INFECTIONS_SUBNAT.T2|CY2025Q3</v>
      </c>
    </row>
    <row r="7494" customFormat="false" ht="15" hidden="false" customHeight="false" outlineLevel="0" collapsed="false">
      <c r="D7494" s="0" t="s">
        <v>105</v>
      </c>
      <c r="E7494" s="0" t="s">
        <v>106</v>
      </c>
      <c r="F7494" s="0" t="s">
        <v>107</v>
      </c>
      <c r="G7494" s="0" t="s">
        <v>175</v>
      </c>
      <c r="H7494" s="0" t="s">
        <v>175</v>
      </c>
      <c r="I7494" s="0" t="s">
        <v>36</v>
      </c>
      <c r="J7494" s="0" t="s">
        <v>37</v>
      </c>
      <c r="K7494" s="0" t="s">
        <v>30</v>
      </c>
      <c r="L7494" s="0" t="s">
        <v>31</v>
      </c>
      <c r="M7494" s="0" t="s">
        <v>173</v>
      </c>
      <c r="N7494" s="0" t="n">
        <v>1249</v>
      </c>
      <c r="O7494" s="10" t="n">
        <v>0.000140766613185406</v>
      </c>
      <c r="P7494" s="10" t="n">
        <v>0.218249560333788</v>
      </c>
      <c r="Q7494" s="0" t="str">
        <f aca="false">SUBSTITUTE(SUBSTITUTE($I7494,CHAR(61),""),CHAR(34),"")</f>
        <v>10-14</v>
      </c>
      <c r="R7494" s="0" t="str">
        <f aca="false">IF($D7494&lt;&gt;"","["&amp;$E7494&amp;"]"&amp;"|"&amp;$Q7494&amp;"|"&amp;$K7494&amp;"|"&amp;$G7494&amp;"|"&amp;IF($G7494="TX_CURR_SUBNAT.R","CY2022Q4",$M7494),"")</f>
        <v>[oiPR2CiVJbf]|10-14|Female|NEW_INFECTIONS_SUBNAT.T2|CY2025Q3</v>
      </c>
    </row>
    <row r="7495" customFormat="false" ht="15" hidden="false" customHeight="false" outlineLevel="0" collapsed="false">
      <c r="D7495" s="0" t="s">
        <v>105</v>
      </c>
      <c r="E7495" s="0" t="s">
        <v>106</v>
      </c>
      <c r="F7495" s="0" t="s">
        <v>107</v>
      </c>
      <c r="G7495" s="0" t="s">
        <v>175</v>
      </c>
      <c r="H7495" s="0" t="s">
        <v>175</v>
      </c>
      <c r="I7495" s="0" t="s">
        <v>38</v>
      </c>
      <c r="J7495" s="0" t="s">
        <v>39</v>
      </c>
      <c r="K7495" s="0" t="s">
        <v>30</v>
      </c>
      <c r="L7495" s="0" t="s">
        <v>31</v>
      </c>
      <c r="M7495" s="0" t="s">
        <v>173</v>
      </c>
      <c r="N7495" s="0" t="n">
        <v>1344</v>
      </c>
      <c r="O7495" s="10" t="n">
        <v>0.545387482270598</v>
      </c>
      <c r="P7495" s="10" t="n">
        <v>0.218249560333788</v>
      </c>
      <c r="Q7495" s="0" t="str">
        <f aca="false">SUBSTITUTE(SUBSTITUTE($I7495,CHAR(61),""),CHAR(34),"")</f>
        <v>15-24</v>
      </c>
      <c r="R7495" s="0" t="str">
        <f aca="false">IF($D7495&lt;&gt;"","["&amp;$E7495&amp;"]"&amp;"|"&amp;$Q7495&amp;"|"&amp;$K7495&amp;"|"&amp;$G7495&amp;"|"&amp;IF($G7495="TX_CURR_SUBNAT.R","CY2022Q4",$M7495),"")</f>
        <v>[oiPR2CiVJbf]|15-24|Female|NEW_INFECTIONS_SUBNAT.T2|CY2025Q3</v>
      </c>
    </row>
    <row r="7496" customFormat="false" ht="15" hidden="false" customHeight="false" outlineLevel="0" collapsed="false">
      <c r="D7496" s="0" t="s">
        <v>105</v>
      </c>
      <c r="E7496" s="0" t="s">
        <v>106</v>
      </c>
      <c r="F7496" s="0" t="s">
        <v>107</v>
      </c>
      <c r="G7496" s="0" t="s">
        <v>175</v>
      </c>
      <c r="H7496" s="0" t="s">
        <v>175</v>
      </c>
      <c r="I7496" s="0" t="s">
        <v>41</v>
      </c>
      <c r="J7496" s="0" t="s">
        <v>42</v>
      </c>
      <c r="K7496" s="0" t="s">
        <v>30</v>
      </c>
      <c r="L7496" s="0" t="s">
        <v>31</v>
      </c>
      <c r="M7496" s="0" t="s">
        <v>173</v>
      </c>
      <c r="N7496" s="0" t="n">
        <v>1321</v>
      </c>
      <c r="O7496" s="10" t="n">
        <v>0.106352318776771</v>
      </c>
      <c r="P7496" s="10" t="n">
        <v>0.218249560333788</v>
      </c>
      <c r="Q7496" s="0" t="str">
        <f aca="false">SUBSTITUTE(SUBSTITUTE($I7496,CHAR(61),""),CHAR(34),"")</f>
        <v>25-34</v>
      </c>
      <c r="R7496" s="0" t="str">
        <f aca="false">IF($D7496&lt;&gt;"","["&amp;$E7496&amp;"]"&amp;"|"&amp;$Q7496&amp;"|"&amp;$K7496&amp;"|"&amp;$G7496&amp;"|"&amp;IF($G7496="TX_CURR_SUBNAT.R","CY2022Q4",$M7496),"")</f>
        <v>[oiPR2CiVJbf]|25-34|Female|NEW_INFECTIONS_SUBNAT.T2|CY2025Q3</v>
      </c>
    </row>
    <row r="7497" customFormat="false" ht="15" hidden="false" customHeight="false" outlineLevel="0" collapsed="false">
      <c r="D7497" s="0" t="s">
        <v>105</v>
      </c>
      <c r="E7497" s="0" t="s">
        <v>106</v>
      </c>
      <c r="F7497" s="0" t="s">
        <v>107</v>
      </c>
      <c r="G7497" s="0" t="s">
        <v>175</v>
      </c>
      <c r="H7497" s="0" t="s">
        <v>175</v>
      </c>
      <c r="I7497" s="0" t="s">
        <v>43</v>
      </c>
      <c r="J7497" s="0" t="s">
        <v>44</v>
      </c>
      <c r="K7497" s="0" t="s">
        <v>30</v>
      </c>
      <c r="L7497" s="0" t="s">
        <v>31</v>
      </c>
      <c r="M7497" s="0" t="s">
        <v>173</v>
      </c>
      <c r="N7497" s="0" t="n">
        <v>1419</v>
      </c>
      <c r="O7497" s="10" t="n">
        <v>0.94319195789285</v>
      </c>
      <c r="P7497" s="10" t="n">
        <v>0.218249560333788</v>
      </c>
      <c r="Q7497" s="0" t="str">
        <f aca="false">SUBSTITUTE(SUBSTITUTE($I7497,CHAR(61),""),CHAR(34),"")</f>
        <v>35-49</v>
      </c>
      <c r="R7497" s="0" t="str">
        <f aca="false">IF($D7497&lt;&gt;"","["&amp;$E7497&amp;"]"&amp;"|"&amp;$Q7497&amp;"|"&amp;$K7497&amp;"|"&amp;$G7497&amp;"|"&amp;IF($G7497="TX_CURR_SUBNAT.R","CY2022Q4",$M7497),"")</f>
        <v>[oiPR2CiVJbf]|35-49|Female|NEW_INFECTIONS_SUBNAT.T2|CY2025Q3</v>
      </c>
    </row>
    <row r="7498" customFormat="false" ht="15" hidden="false" customHeight="false" outlineLevel="0" collapsed="false">
      <c r="D7498" s="0" t="s">
        <v>105</v>
      </c>
      <c r="E7498" s="0" t="s">
        <v>106</v>
      </c>
      <c r="F7498" s="0" t="s">
        <v>107</v>
      </c>
      <c r="G7498" s="0" t="s">
        <v>175</v>
      </c>
      <c r="H7498" s="0" t="s">
        <v>175</v>
      </c>
      <c r="I7498" s="0" t="s">
        <v>45</v>
      </c>
      <c r="J7498" s="0" t="s">
        <v>46</v>
      </c>
      <c r="K7498" s="0" t="s">
        <v>30</v>
      </c>
      <c r="L7498" s="0" t="s">
        <v>31</v>
      </c>
      <c r="M7498" s="0" t="s">
        <v>173</v>
      </c>
      <c r="N7498" s="0" t="n">
        <v>1038</v>
      </c>
      <c r="O7498" s="10" t="n">
        <v>0.075792568968609</v>
      </c>
      <c r="P7498" s="10" t="n">
        <v>0.218249560333788</v>
      </c>
      <c r="Q7498" s="0" t="str">
        <f aca="false">SUBSTITUTE(SUBSTITUTE($I7498,CHAR(61),""),CHAR(34),"")</f>
        <v>50+</v>
      </c>
      <c r="R7498" s="0" t="str">
        <f aca="false">IF($D7498&lt;&gt;"","["&amp;$E7498&amp;"]"&amp;"|"&amp;$Q7498&amp;"|"&amp;$K7498&amp;"|"&amp;$G7498&amp;"|"&amp;IF($G7498="TX_CURR_SUBNAT.R","CY2022Q4",$M7498),"")</f>
        <v>[oiPR2CiVJbf]|50+|Female|NEW_INFECTIONS_SUBNAT.T2|CY2025Q3</v>
      </c>
    </row>
    <row r="7499" customFormat="false" ht="15" hidden="false" customHeight="false" outlineLevel="0" collapsed="false">
      <c r="D7499" s="0" t="s">
        <v>105</v>
      </c>
      <c r="E7499" s="0" t="s">
        <v>106</v>
      </c>
      <c r="F7499" s="0" t="s">
        <v>107</v>
      </c>
      <c r="G7499" s="0" t="s">
        <v>175</v>
      </c>
      <c r="H7499" s="0" t="s">
        <v>175</v>
      </c>
      <c r="I7499" s="0" t="s">
        <v>28</v>
      </c>
      <c r="J7499" s="0" t="s">
        <v>29</v>
      </c>
      <c r="K7499" s="0" t="s">
        <v>48</v>
      </c>
      <c r="L7499" s="0" t="s">
        <v>49</v>
      </c>
      <c r="M7499" s="0" t="s">
        <v>173</v>
      </c>
      <c r="N7499" s="0" t="n">
        <v>828</v>
      </c>
      <c r="O7499" s="10" t="n">
        <v>0.113108806312084</v>
      </c>
      <c r="P7499" s="10" t="n">
        <v>0.218249560333788</v>
      </c>
      <c r="Q7499" s="0" t="str">
        <f aca="false">SUBSTITUTE(SUBSTITUTE($I7499,CHAR(61),""),CHAR(34),"")</f>
        <v>&lt;01</v>
      </c>
      <c r="R7499" s="0" t="str">
        <f aca="false">IF($D7499&lt;&gt;"","["&amp;$E7499&amp;"]"&amp;"|"&amp;$Q7499&amp;"|"&amp;$K7499&amp;"|"&amp;$G7499&amp;"|"&amp;IF($G7499="TX_CURR_SUBNAT.R","CY2022Q4",$M7499),"")</f>
        <v>[oiPR2CiVJbf]|&lt;01|Male|NEW_INFECTIONS_SUBNAT.T2|CY2025Q3</v>
      </c>
    </row>
    <row r="7500" customFormat="false" ht="15" hidden="false" customHeight="false" outlineLevel="0" collapsed="false">
      <c r="D7500" s="0" t="s">
        <v>105</v>
      </c>
      <c r="E7500" s="0" t="s">
        <v>106</v>
      </c>
      <c r="F7500" s="0" t="s">
        <v>107</v>
      </c>
      <c r="G7500" s="0" t="s">
        <v>175</v>
      </c>
      <c r="H7500" s="0" t="s">
        <v>175</v>
      </c>
      <c r="I7500" s="0" t="s">
        <v>33</v>
      </c>
      <c r="J7500" s="0" t="s">
        <v>34</v>
      </c>
      <c r="K7500" s="0" t="s">
        <v>48</v>
      </c>
      <c r="L7500" s="0" t="s">
        <v>49</v>
      </c>
      <c r="M7500" s="0" t="s">
        <v>173</v>
      </c>
      <c r="N7500" s="0" t="n">
        <v>500</v>
      </c>
      <c r="O7500" s="10" t="n">
        <v>0.339847901137546</v>
      </c>
      <c r="P7500" s="10" t="n">
        <v>0.218249560333788</v>
      </c>
      <c r="Q7500" s="0" t="str">
        <f aca="false">SUBSTITUTE(SUBSTITUTE($I7500,CHAR(61),""),CHAR(34),"")</f>
        <v>01-09</v>
      </c>
      <c r="R7500" s="0" t="str">
        <f aca="false">IF($D7500&lt;&gt;"","["&amp;$E7500&amp;"]"&amp;"|"&amp;$Q7500&amp;"|"&amp;$K7500&amp;"|"&amp;$G7500&amp;"|"&amp;IF($G7500="TX_CURR_SUBNAT.R","CY2022Q4",$M7500),"")</f>
        <v>[oiPR2CiVJbf]|01-09|Male|NEW_INFECTIONS_SUBNAT.T2|CY2025Q3</v>
      </c>
    </row>
    <row r="7501" customFormat="false" ht="15" hidden="false" customHeight="false" outlineLevel="0" collapsed="false">
      <c r="D7501" s="0" t="s">
        <v>105</v>
      </c>
      <c r="E7501" s="0" t="s">
        <v>106</v>
      </c>
      <c r="F7501" s="0" t="s">
        <v>107</v>
      </c>
      <c r="G7501" s="0" t="s">
        <v>175</v>
      </c>
      <c r="H7501" s="0" t="s">
        <v>175</v>
      </c>
      <c r="I7501" s="0" t="s">
        <v>36</v>
      </c>
      <c r="J7501" s="0" t="s">
        <v>37</v>
      </c>
      <c r="K7501" s="0" t="s">
        <v>48</v>
      </c>
      <c r="L7501" s="0" t="s">
        <v>49</v>
      </c>
      <c r="M7501" s="0" t="s">
        <v>173</v>
      </c>
      <c r="N7501" s="0" t="n">
        <v>1950</v>
      </c>
      <c r="O7501" s="10" t="n">
        <v>0.78887353441678</v>
      </c>
      <c r="P7501" s="10" t="n">
        <v>0.218249560333788</v>
      </c>
      <c r="Q7501" s="0" t="str">
        <f aca="false">SUBSTITUTE(SUBSTITUTE($I7501,CHAR(61),""),CHAR(34),"")</f>
        <v>10-14</v>
      </c>
      <c r="R7501" s="0" t="str">
        <f aca="false">IF($D7501&lt;&gt;"","["&amp;$E7501&amp;"]"&amp;"|"&amp;$Q7501&amp;"|"&amp;$K7501&amp;"|"&amp;$G7501&amp;"|"&amp;IF($G7501="TX_CURR_SUBNAT.R","CY2022Q4",$M7501),"")</f>
        <v>[oiPR2CiVJbf]|10-14|Male|NEW_INFECTIONS_SUBNAT.T2|CY2025Q3</v>
      </c>
    </row>
    <row r="7502" customFormat="false" ht="15" hidden="false" customHeight="false" outlineLevel="0" collapsed="false">
      <c r="D7502" s="0" t="s">
        <v>105</v>
      </c>
      <c r="E7502" s="0" t="s">
        <v>106</v>
      </c>
      <c r="F7502" s="0" t="s">
        <v>107</v>
      </c>
      <c r="G7502" s="0" t="s">
        <v>175</v>
      </c>
      <c r="H7502" s="0" t="s">
        <v>175</v>
      </c>
      <c r="I7502" s="0" t="s">
        <v>38</v>
      </c>
      <c r="J7502" s="0" t="s">
        <v>39</v>
      </c>
      <c r="K7502" s="0" t="s">
        <v>48</v>
      </c>
      <c r="L7502" s="0" t="s">
        <v>49</v>
      </c>
      <c r="M7502" s="0" t="s">
        <v>173</v>
      </c>
      <c r="N7502" s="0" t="n">
        <v>562</v>
      </c>
      <c r="O7502" s="10" t="n">
        <v>0.616447687381878</v>
      </c>
      <c r="P7502" s="10" t="n">
        <v>0.218249560333788</v>
      </c>
      <c r="Q7502" s="0" t="str">
        <f aca="false">SUBSTITUTE(SUBSTITUTE($I7502,CHAR(61),""),CHAR(34),"")</f>
        <v>15-24</v>
      </c>
      <c r="R7502" s="0" t="str">
        <f aca="false">IF($D7502&lt;&gt;"","["&amp;$E7502&amp;"]"&amp;"|"&amp;$Q7502&amp;"|"&amp;$K7502&amp;"|"&amp;$G7502&amp;"|"&amp;IF($G7502="TX_CURR_SUBNAT.R","CY2022Q4",$M7502),"")</f>
        <v>[oiPR2CiVJbf]|15-24|Male|NEW_INFECTIONS_SUBNAT.T2|CY2025Q3</v>
      </c>
    </row>
    <row r="7503" customFormat="false" ht="15" hidden="false" customHeight="false" outlineLevel="0" collapsed="false">
      <c r="D7503" s="0" t="s">
        <v>105</v>
      </c>
      <c r="E7503" s="0" t="s">
        <v>106</v>
      </c>
      <c r="F7503" s="0" t="s">
        <v>107</v>
      </c>
      <c r="G7503" s="0" t="s">
        <v>175</v>
      </c>
      <c r="H7503" s="0" t="s">
        <v>175</v>
      </c>
      <c r="I7503" s="0" t="s">
        <v>41</v>
      </c>
      <c r="J7503" s="0" t="s">
        <v>42</v>
      </c>
      <c r="K7503" s="0" t="s">
        <v>48</v>
      </c>
      <c r="L7503" s="0" t="s">
        <v>49</v>
      </c>
      <c r="M7503" s="0" t="s">
        <v>173</v>
      </c>
      <c r="N7503" s="0" t="n">
        <v>1628</v>
      </c>
      <c r="O7503" s="10" t="n">
        <v>0.242959840921685</v>
      </c>
      <c r="P7503" s="10" t="n">
        <v>0.218249560333788</v>
      </c>
      <c r="Q7503" s="0" t="str">
        <f aca="false">SUBSTITUTE(SUBSTITUTE($I7503,CHAR(61),""),CHAR(34),"")</f>
        <v>25-34</v>
      </c>
      <c r="R7503" s="0" t="str">
        <f aca="false">IF($D7503&lt;&gt;"","["&amp;$E7503&amp;"]"&amp;"|"&amp;$Q7503&amp;"|"&amp;$K7503&amp;"|"&amp;$G7503&amp;"|"&amp;IF($G7503="TX_CURR_SUBNAT.R","CY2022Q4",$M7503),"")</f>
        <v>[oiPR2CiVJbf]|25-34|Male|NEW_INFECTIONS_SUBNAT.T2|CY2025Q3</v>
      </c>
    </row>
    <row r="7504" customFormat="false" ht="15" hidden="false" customHeight="false" outlineLevel="0" collapsed="false">
      <c r="D7504" s="0" t="s">
        <v>105</v>
      </c>
      <c r="E7504" s="0" t="s">
        <v>106</v>
      </c>
      <c r="F7504" s="0" t="s">
        <v>107</v>
      </c>
      <c r="G7504" s="0" t="s">
        <v>175</v>
      </c>
      <c r="H7504" s="0" t="s">
        <v>175</v>
      </c>
      <c r="I7504" s="0" t="s">
        <v>43</v>
      </c>
      <c r="J7504" s="0" t="s">
        <v>44</v>
      </c>
      <c r="K7504" s="0" t="s">
        <v>48</v>
      </c>
      <c r="L7504" s="0" t="s">
        <v>49</v>
      </c>
      <c r="M7504" s="0" t="s">
        <v>173</v>
      </c>
      <c r="N7504" s="0" t="n">
        <v>1910</v>
      </c>
      <c r="O7504" s="10" t="n">
        <v>0.359054286498576</v>
      </c>
      <c r="P7504" s="10" t="n">
        <v>0.218249560333788</v>
      </c>
      <c r="Q7504" s="0" t="str">
        <f aca="false">SUBSTITUTE(SUBSTITUTE($I7504,CHAR(61),""),CHAR(34),"")</f>
        <v>35-49</v>
      </c>
      <c r="R7504" s="0" t="str">
        <f aca="false">IF($D7504&lt;&gt;"","["&amp;$E7504&amp;"]"&amp;"|"&amp;$Q7504&amp;"|"&amp;$K7504&amp;"|"&amp;$G7504&amp;"|"&amp;IF($G7504="TX_CURR_SUBNAT.R","CY2022Q4",$M7504),"")</f>
        <v>[oiPR2CiVJbf]|35-49|Male|NEW_INFECTIONS_SUBNAT.T2|CY2025Q3</v>
      </c>
    </row>
    <row r="7505" customFormat="false" ht="15" hidden="false" customHeight="false" outlineLevel="0" collapsed="false">
      <c r="D7505" s="0" t="s">
        <v>105</v>
      </c>
      <c r="E7505" s="0" t="s">
        <v>106</v>
      </c>
      <c r="F7505" s="0" t="s">
        <v>107</v>
      </c>
      <c r="G7505" s="0" t="s">
        <v>175</v>
      </c>
      <c r="H7505" s="0" t="s">
        <v>175</v>
      </c>
      <c r="I7505" s="0" t="s">
        <v>45</v>
      </c>
      <c r="J7505" s="0" t="s">
        <v>46</v>
      </c>
      <c r="K7505" s="0" t="s">
        <v>48</v>
      </c>
      <c r="L7505" s="0" t="s">
        <v>49</v>
      </c>
      <c r="M7505" s="0" t="s">
        <v>173</v>
      </c>
      <c r="N7505" s="0" t="n">
        <v>1231</v>
      </c>
      <c r="O7505" s="10" t="n">
        <v>0.740226502763107</v>
      </c>
      <c r="P7505" s="10" t="n">
        <v>0.218249560333788</v>
      </c>
      <c r="Q7505" s="0" t="str">
        <f aca="false">SUBSTITUTE(SUBSTITUTE($I7505,CHAR(61),""),CHAR(34),"")</f>
        <v>50+</v>
      </c>
      <c r="R7505" s="0" t="str">
        <f aca="false">IF($D7505&lt;&gt;"","["&amp;$E7505&amp;"]"&amp;"|"&amp;$Q7505&amp;"|"&amp;$K7505&amp;"|"&amp;$G7505&amp;"|"&amp;IF($G7505="TX_CURR_SUBNAT.R","CY2022Q4",$M7505),"")</f>
        <v>[oiPR2CiVJbf]|50+|Male|NEW_INFECTIONS_SUBNAT.T2|CY2025Q3</v>
      </c>
    </row>
    <row r="7506" customFormat="false" ht="15" hidden="false" customHeight="false" outlineLevel="0" collapsed="false">
      <c r="D7506" s="0" t="s">
        <v>108</v>
      </c>
      <c r="E7506" s="0" t="s">
        <v>109</v>
      </c>
      <c r="F7506" s="0" t="s">
        <v>110</v>
      </c>
      <c r="G7506" s="0" t="s">
        <v>175</v>
      </c>
      <c r="H7506" s="0" t="s">
        <v>175</v>
      </c>
      <c r="I7506" s="0" t="s">
        <v>28</v>
      </c>
      <c r="J7506" s="0" t="s">
        <v>29</v>
      </c>
      <c r="K7506" s="0" t="s">
        <v>30</v>
      </c>
      <c r="L7506" s="0" t="s">
        <v>31</v>
      </c>
      <c r="M7506" s="0" t="s">
        <v>173</v>
      </c>
      <c r="N7506" s="0" t="n">
        <v>1232</v>
      </c>
      <c r="O7506" s="10" t="n">
        <v>0.311193463392556</v>
      </c>
      <c r="P7506" s="10" t="n">
        <v>0.434221804374829</v>
      </c>
      <c r="Q7506" s="0" t="str">
        <f aca="false">SUBSTITUTE(SUBSTITUTE($I7506,CHAR(61),""),CHAR(34),"")</f>
        <v>&lt;01</v>
      </c>
      <c r="R7506" s="0" t="str">
        <f aca="false">IF($D7506&lt;&gt;"","["&amp;$E7506&amp;"]"&amp;"|"&amp;$Q7506&amp;"|"&amp;$K7506&amp;"|"&amp;$G7506&amp;"|"&amp;IF($G7506="TX_CURR_SUBNAT.R","CY2022Q4",$M7506),"")</f>
        <v>[ul0y9diGujK]|&lt;01|Female|NEW_INFECTIONS_SUBNAT.T2|CY2025Q3</v>
      </c>
    </row>
    <row r="7507" customFormat="false" ht="15" hidden="false" customHeight="false" outlineLevel="0" collapsed="false">
      <c r="D7507" s="0" t="s">
        <v>108</v>
      </c>
      <c r="E7507" s="0" t="s">
        <v>109</v>
      </c>
      <c r="F7507" s="0" t="s">
        <v>110</v>
      </c>
      <c r="G7507" s="0" t="s">
        <v>175</v>
      </c>
      <c r="H7507" s="0" t="s">
        <v>175</v>
      </c>
      <c r="I7507" s="0" t="s">
        <v>33</v>
      </c>
      <c r="J7507" s="0" t="s">
        <v>34</v>
      </c>
      <c r="K7507" s="0" t="s">
        <v>30</v>
      </c>
      <c r="L7507" s="0" t="s">
        <v>31</v>
      </c>
      <c r="M7507" s="0" t="s">
        <v>173</v>
      </c>
      <c r="N7507" s="0" t="n">
        <v>1997</v>
      </c>
      <c r="O7507" s="10" t="n">
        <v>0.846698904410005</v>
      </c>
      <c r="P7507" s="10" t="n">
        <v>0.434221804374829</v>
      </c>
      <c r="Q7507" s="0" t="str">
        <f aca="false">SUBSTITUTE(SUBSTITUTE($I7507,CHAR(61),""),CHAR(34),"")</f>
        <v>01-09</v>
      </c>
      <c r="R7507" s="0" t="str">
        <f aca="false">IF($D7507&lt;&gt;"","["&amp;$E7507&amp;"]"&amp;"|"&amp;$Q7507&amp;"|"&amp;$K7507&amp;"|"&amp;$G7507&amp;"|"&amp;IF($G7507="TX_CURR_SUBNAT.R","CY2022Q4",$M7507),"")</f>
        <v>[ul0y9diGujK]|01-09|Female|NEW_INFECTIONS_SUBNAT.T2|CY2025Q3</v>
      </c>
    </row>
    <row r="7508" customFormat="false" ht="15" hidden="false" customHeight="false" outlineLevel="0" collapsed="false">
      <c r="D7508" s="0" t="s">
        <v>108</v>
      </c>
      <c r="E7508" s="0" t="s">
        <v>109</v>
      </c>
      <c r="F7508" s="0" t="s">
        <v>110</v>
      </c>
      <c r="G7508" s="0" t="s">
        <v>175</v>
      </c>
      <c r="H7508" s="0" t="s">
        <v>175</v>
      </c>
      <c r="I7508" s="0" t="s">
        <v>36</v>
      </c>
      <c r="J7508" s="0" t="s">
        <v>37</v>
      </c>
      <c r="K7508" s="0" t="s">
        <v>30</v>
      </c>
      <c r="L7508" s="0" t="s">
        <v>31</v>
      </c>
      <c r="M7508" s="0" t="s">
        <v>173</v>
      </c>
      <c r="N7508" s="0" t="n">
        <v>1996</v>
      </c>
      <c r="O7508" s="10" t="n">
        <v>0.285090178018436</v>
      </c>
      <c r="P7508" s="10" t="n">
        <v>0.434221804374829</v>
      </c>
      <c r="Q7508" s="0" t="str">
        <f aca="false">SUBSTITUTE(SUBSTITUTE($I7508,CHAR(61),""),CHAR(34),"")</f>
        <v>10-14</v>
      </c>
      <c r="R7508" s="0" t="str">
        <f aca="false">IF($D7508&lt;&gt;"","["&amp;$E7508&amp;"]"&amp;"|"&amp;$Q7508&amp;"|"&amp;$K7508&amp;"|"&amp;$G7508&amp;"|"&amp;IF($G7508="TX_CURR_SUBNAT.R","CY2022Q4",$M7508),"")</f>
        <v>[ul0y9diGujK]|10-14|Female|NEW_INFECTIONS_SUBNAT.T2|CY2025Q3</v>
      </c>
    </row>
    <row r="7509" customFormat="false" ht="15" hidden="false" customHeight="false" outlineLevel="0" collapsed="false">
      <c r="D7509" s="0" t="s">
        <v>108</v>
      </c>
      <c r="E7509" s="0" t="s">
        <v>109</v>
      </c>
      <c r="F7509" s="0" t="s">
        <v>110</v>
      </c>
      <c r="G7509" s="0" t="s">
        <v>175</v>
      </c>
      <c r="H7509" s="0" t="s">
        <v>175</v>
      </c>
      <c r="I7509" s="0" t="s">
        <v>38</v>
      </c>
      <c r="J7509" s="0" t="s">
        <v>39</v>
      </c>
      <c r="K7509" s="0" t="s">
        <v>30</v>
      </c>
      <c r="L7509" s="0" t="s">
        <v>31</v>
      </c>
      <c r="M7509" s="0" t="s">
        <v>173</v>
      </c>
      <c r="N7509" s="0" t="n">
        <v>818</v>
      </c>
      <c r="O7509" s="10" t="n">
        <v>0.142207005061209</v>
      </c>
      <c r="P7509" s="10" t="n">
        <v>0.434221804374829</v>
      </c>
      <c r="Q7509" s="0" t="str">
        <f aca="false">SUBSTITUTE(SUBSTITUTE($I7509,CHAR(61),""),CHAR(34),"")</f>
        <v>15-24</v>
      </c>
      <c r="R7509" s="0" t="str">
        <f aca="false">IF($D7509&lt;&gt;"","["&amp;$E7509&amp;"]"&amp;"|"&amp;$Q7509&amp;"|"&amp;$K7509&amp;"|"&amp;$G7509&amp;"|"&amp;IF($G7509="TX_CURR_SUBNAT.R","CY2022Q4",$M7509),"")</f>
        <v>[ul0y9diGujK]|15-24|Female|NEW_INFECTIONS_SUBNAT.T2|CY2025Q3</v>
      </c>
    </row>
    <row r="7510" customFormat="false" ht="15" hidden="false" customHeight="false" outlineLevel="0" collapsed="false">
      <c r="D7510" s="0" t="s">
        <v>108</v>
      </c>
      <c r="E7510" s="0" t="s">
        <v>109</v>
      </c>
      <c r="F7510" s="0" t="s">
        <v>110</v>
      </c>
      <c r="G7510" s="0" t="s">
        <v>175</v>
      </c>
      <c r="H7510" s="0" t="s">
        <v>175</v>
      </c>
      <c r="I7510" s="0" t="s">
        <v>41</v>
      </c>
      <c r="J7510" s="0" t="s">
        <v>42</v>
      </c>
      <c r="K7510" s="0" t="s">
        <v>30</v>
      </c>
      <c r="L7510" s="0" t="s">
        <v>31</v>
      </c>
      <c r="M7510" s="0" t="s">
        <v>173</v>
      </c>
      <c r="N7510" s="0" t="n">
        <v>723</v>
      </c>
      <c r="O7510" s="10" t="n">
        <v>0.0612047750037163</v>
      </c>
      <c r="P7510" s="10" t="n">
        <v>0.434221804374829</v>
      </c>
      <c r="Q7510" s="0" t="str">
        <f aca="false">SUBSTITUTE(SUBSTITUTE($I7510,CHAR(61),""),CHAR(34),"")</f>
        <v>25-34</v>
      </c>
      <c r="R7510" s="0" t="str">
        <f aca="false">IF($D7510&lt;&gt;"","["&amp;$E7510&amp;"]"&amp;"|"&amp;$Q7510&amp;"|"&amp;$K7510&amp;"|"&amp;$G7510&amp;"|"&amp;IF($G7510="TX_CURR_SUBNAT.R","CY2022Q4",$M7510),"")</f>
        <v>[ul0y9diGujK]|25-34|Female|NEW_INFECTIONS_SUBNAT.T2|CY2025Q3</v>
      </c>
    </row>
    <row r="7511" customFormat="false" ht="15" hidden="false" customHeight="false" outlineLevel="0" collapsed="false">
      <c r="D7511" s="0" t="s">
        <v>108</v>
      </c>
      <c r="E7511" s="0" t="s">
        <v>109</v>
      </c>
      <c r="F7511" s="0" t="s">
        <v>110</v>
      </c>
      <c r="G7511" s="0" t="s">
        <v>175</v>
      </c>
      <c r="H7511" s="0" t="s">
        <v>175</v>
      </c>
      <c r="I7511" s="0" t="s">
        <v>43</v>
      </c>
      <c r="J7511" s="0" t="s">
        <v>44</v>
      </c>
      <c r="K7511" s="0" t="s">
        <v>30</v>
      </c>
      <c r="L7511" s="0" t="s">
        <v>31</v>
      </c>
      <c r="M7511" s="0" t="s">
        <v>173</v>
      </c>
      <c r="N7511" s="0" t="n">
        <v>882</v>
      </c>
      <c r="O7511" s="10" t="n">
        <v>0.643312139902264</v>
      </c>
      <c r="P7511" s="10" t="n">
        <v>0.434221804374829</v>
      </c>
      <c r="Q7511" s="0" t="str">
        <f aca="false">SUBSTITUTE(SUBSTITUTE($I7511,CHAR(61),""),CHAR(34),"")</f>
        <v>35-49</v>
      </c>
      <c r="R7511" s="0" t="str">
        <f aca="false">IF($D7511&lt;&gt;"","["&amp;$E7511&amp;"]"&amp;"|"&amp;$Q7511&amp;"|"&amp;$K7511&amp;"|"&amp;$G7511&amp;"|"&amp;IF($G7511="TX_CURR_SUBNAT.R","CY2022Q4",$M7511),"")</f>
        <v>[ul0y9diGujK]|35-49|Female|NEW_INFECTIONS_SUBNAT.T2|CY2025Q3</v>
      </c>
    </row>
    <row r="7512" customFormat="false" ht="15" hidden="false" customHeight="false" outlineLevel="0" collapsed="false">
      <c r="D7512" s="0" t="s">
        <v>108</v>
      </c>
      <c r="E7512" s="0" t="s">
        <v>109</v>
      </c>
      <c r="F7512" s="0" t="s">
        <v>110</v>
      </c>
      <c r="G7512" s="0" t="s">
        <v>175</v>
      </c>
      <c r="H7512" s="0" t="s">
        <v>175</v>
      </c>
      <c r="I7512" s="0" t="s">
        <v>45</v>
      </c>
      <c r="J7512" s="0" t="s">
        <v>46</v>
      </c>
      <c r="K7512" s="0" t="s">
        <v>30</v>
      </c>
      <c r="L7512" s="0" t="s">
        <v>31</v>
      </c>
      <c r="M7512" s="0" t="s">
        <v>173</v>
      </c>
      <c r="N7512" s="0" t="n">
        <v>1766</v>
      </c>
      <c r="O7512" s="10" t="n">
        <v>0.203993694158271</v>
      </c>
      <c r="P7512" s="10" t="n">
        <v>0.434221804374829</v>
      </c>
      <c r="Q7512" s="0" t="str">
        <f aca="false">SUBSTITUTE(SUBSTITUTE($I7512,CHAR(61),""),CHAR(34),"")</f>
        <v>50+</v>
      </c>
      <c r="R7512" s="0" t="str">
        <f aca="false">IF($D7512&lt;&gt;"","["&amp;$E7512&amp;"]"&amp;"|"&amp;$Q7512&amp;"|"&amp;$K7512&amp;"|"&amp;$G7512&amp;"|"&amp;IF($G7512="TX_CURR_SUBNAT.R","CY2022Q4",$M7512),"")</f>
        <v>[ul0y9diGujK]|50+|Female|NEW_INFECTIONS_SUBNAT.T2|CY2025Q3</v>
      </c>
    </row>
    <row r="7513" customFormat="false" ht="15" hidden="false" customHeight="false" outlineLevel="0" collapsed="false">
      <c r="D7513" s="0" t="s">
        <v>108</v>
      </c>
      <c r="E7513" s="0" t="s">
        <v>109</v>
      </c>
      <c r="F7513" s="0" t="s">
        <v>110</v>
      </c>
      <c r="G7513" s="0" t="s">
        <v>175</v>
      </c>
      <c r="H7513" s="0" t="s">
        <v>175</v>
      </c>
      <c r="I7513" s="0" t="s">
        <v>28</v>
      </c>
      <c r="J7513" s="0" t="s">
        <v>29</v>
      </c>
      <c r="K7513" s="0" t="s">
        <v>48</v>
      </c>
      <c r="L7513" s="0" t="s">
        <v>49</v>
      </c>
      <c r="M7513" s="0" t="s">
        <v>173</v>
      </c>
      <c r="N7513" s="0" t="n">
        <v>1241</v>
      </c>
      <c r="O7513" s="10" t="n">
        <v>0.855446421075612</v>
      </c>
      <c r="P7513" s="10" t="n">
        <v>0.434221804374829</v>
      </c>
      <c r="Q7513" s="0" t="str">
        <f aca="false">SUBSTITUTE(SUBSTITUTE($I7513,CHAR(61),""),CHAR(34),"")</f>
        <v>&lt;01</v>
      </c>
      <c r="R7513" s="0" t="str">
        <f aca="false">IF($D7513&lt;&gt;"","["&amp;$E7513&amp;"]"&amp;"|"&amp;$Q7513&amp;"|"&amp;$K7513&amp;"|"&amp;$G7513&amp;"|"&amp;IF($G7513="TX_CURR_SUBNAT.R","CY2022Q4",$M7513),"")</f>
        <v>[ul0y9diGujK]|&lt;01|Male|NEW_INFECTIONS_SUBNAT.T2|CY2025Q3</v>
      </c>
    </row>
    <row r="7514" customFormat="false" ht="15" hidden="false" customHeight="false" outlineLevel="0" collapsed="false">
      <c r="D7514" s="0" t="s">
        <v>108</v>
      </c>
      <c r="E7514" s="0" t="s">
        <v>109</v>
      </c>
      <c r="F7514" s="0" t="s">
        <v>110</v>
      </c>
      <c r="G7514" s="0" t="s">
        <v>175</v>
      </c>
      <c r="H7514" s="0" t="s">
        <v>175</v>
      </c>
      <c r="I7514" s="0" t="s">
        <v>33</v>
      </c>
      <c r="J7514" s="0" t="s">
        <v>34</v>
      </c>
      <c r="K7514" s="0" t="s">
        <v>48</v>
      </c>
      <c r="L7514" s="0" t="s">
        <v>49</v>
      </c>
      <c r="M7514" s="0" t="s">
        <v>173</v>
      </c>
      <c r="N7514" s="0" t="n">
        <v>1371</v>
      </c>
      <c r="O7514" s="10" t="n">
        <v>0.716166990343481</v>
      </c>
      <c r="P7514" s="10" t="n">
        <v>0.434221804374829</v>
      </c>
      <c r="Q7514" s="0" t="str">
        <f aca="false">SUBSTITUTE(SUBSTITUTE($I7514,CHAR(61),""),CHAR(34),"")</f>
        <v>01-09</v>
      </c>
      <c r="R7514" s="0" t="str">
        <f aca="false">IF($D7514&lt;&gt;"","["&amp;$E7514&amp;"]"&amp;"|"&amp;$Q7514&amp;"|"&amp;$K7514&amp;"|"&amp;$G7514&amp;"|"&amp;IF($G7514="TX_CURR_SUBNAT.R","CY2022Q4",$M7514),"")</f>
        <v>[ul0y9diGujK]|01-09|Male|NEW_INFECTIONS_SUBNAT.T2|CY2025Q3</v>
      </c>
    </row>
    <row r="7515" customFormat="false" ht="15" hidden="false" customHeight="false" outlineLevel="0" collapsed="false">
      <c r="D7515" s="0" t="s">
        <v>108</v>
      </c>
      <c r="E7515" s="0" t="s">
        <v>109</v>
      </c>
      <c r="F7515" s="0" t="s">
        <v>110</v>
      </c>
      <c r="G7515" s="0" t="s">
        <v>175</v>
      </c>
      <c r="H7515" s="0" t="s">
        <v>175</v>
      </c>
      <c r="I7515" s="0" t="s">
        <v>36</v>
      </c>
      <c r="J7515" s="0" t="s">
        <v>37</v>
      </c>
      <c r="K7515" s="0" t="s">
        <v>48</v>
      </c>
      <c r="L7515" s="0" t="s">
        <v>49</v>
      </c>
      <c r="M7515" s="0" t="s">
        <v>173</v>
      </c>
      <c r="N7515" s="0" t="n">
        <v>1428</v>
      </c>
      <c r="O7515" s="10" t="n">
        <v>0.902279376983643</v>
      </c>
      <c r="P7515" s="10" t="n">
        <v>0.434221804374829</v>
      </c>
      <c r="Q7515" s="0" t="str">
        <f aca="false">SUBSTITUTE(SUBSTITUTE($I7515,CHAR(61),""),CHAR(34),"")</f>
        <v>10-14</v>
      </c>
      <c r="R7515" s="0" t="str">
        <f aca="false">IF($D7515&lt;&gt;"","["&amp;$E7515&amp;"]"&amp;"|"&amp;$Q7515&amp;"|"&amp;$K7515&amp;"|"&amp;$G7515&amp;"|"&amp;IF($G7515="TX_CURR_SUBNAT.R","CY2022Q4",$M7515),"")</f>
        <v>[ul0y9diGujK]|10-14|Male|NEW_INFECTIONS_SUBNAT.T2|CY2025Q3</v>
      </c>
    </row>
    <row r="7516" customFormat="false" ht="15" hidden="false" customHeight="false" outlineLevel="0" collapsed="false">
      <c r="D7516" s="0" t="s">
        <v>108</v>
      </c>
      <c r="E7516" s="0" t="s">
        <v>109</v>
      </c>
      <c r="F7516" s="0" t="s">
        <v>110</v>
      </c>
      <c r="G7516" s="0" t="s">
        <v>175</v>
      </c>
      <c r="H7516" s="0" t="s">
        <v>175</v>
      </c>
      <c r="I7516" s="0" t="s">
        <v>38</v>
      </c>
      <c r="J7516" s="0" t="s">
        <v>39</v>
      </c>
      <c r="K7516" s="0" t="s">
        <v>48</v>
      </c>
      <c r="L7516" s="0" t="s">
        <v>49</v>
      </c>
      <c r="M7516" s="0" t="s">
        <v>173</v>
      </c>
      <c r="N7516" s="0" t="n">
        <v>1306</v>
      </c>
      <c r="O7516" s="10" t="n">
        <v>0.340258271899074</v>
      </c>
      <c r="P7516" s="10" t="n">
        <v>0.434221804374829</v>
      </c>
      <c r="Q7516" s="0" t="str">
        <f aca="false">SUBSTITUTE(SUBSTITUTE($I7516,CHAR(61),""),CHAR(34),"")</f>
        <v>15-24</v>
      </c>
      <c r="R7516" s="0" t="str">
        <f aca="false">IF($D7516&lt;&gt;"","["&amp;$E7516&amp;"]"&amp;"|"&amp;$Q7516&amp;"|"&amp;$K7516&amp;"|"&amp;$G7516&amp;"|"&amp;IF($G7516="TX_CURR_SUBNAT.R","CY2022Q4",$M7516),"")</f>
        <v>[ul0y9diGujK]|15-24|Male|NEW_INFECTIONS_SUBNAT.T2|CY2025Q3</v>
      </c>
    </row>
    <row r="7517" customFormat="false" ht="15" hidden="false" customHeight="false" outlineLevel="0" collapsed="false">
      <c r="D7517" s="0" t="s">
        <v>108</v>
      </c>
      <c r="E7517" s="0" t="s">
        <v>109</v>
      </c>
      <c r="F7517" s="0" t="s">
        <v>110</v>
      </c>
      <c r="G7517" s="0" t="s">
        <v>175</v>
      </c>
      <c r="H7517" s="0" t="s">
        <v>175</v>
      </c>
      <c r="I7517" s="0" t="s">
        <v>41</v>
      </c>
      <c r="J7517" s="0" t="s">
        <v>42</v>
      </c>
      <c r="K7517" s="0" t="s">
        <v>48</v>
      </c>
      <c r="L7517" s="0" t="s">
        <v>49</v>
      </c>
      <c r="M7517" s="0" t="s">
        <v>173</v>
      </c>
      <c r="N7517" s="0" t="n">
        <v>567</v>
      </c>
      <c r="O7517" s="10" t="n">
        <v>0.276061180280522</v>
      </c>
      <c r="P7517" s="10" t="n">
        <v>0.434221804374829</v>
      </c>
      <c r="Q7517" s="0" t="str">
        <f aca="false">SUBSTITUTE(SUBSTITUTE($I7517,CHAR(61),""),CHAR(34),"")</f>
        <v>25-34</v>
      </c>
      <c r="R7517" s="0" t="str">
        <f aca="false">IF($D7517&lt;&gt;"","["&amp;$E7517&amp;"]"&amp;"|"&amp;$Q7517&amp;"|"&amp;$K7517&amp;"|"&amp;$G7517&amp;"|"&amp;IF($G7517="TX_CURR_SUBNAT.R","CY2022Q4",$M7517),"")</f>
        <v>[ul0y9diGujK]|25-34|Male|NEW_INFECTIONS_SUBNAT.T2|CY2025Q3</v>
      </c>
    </row>
    <row r="7518" customFormat="false" ht="15" hidden="false" customHeight="false" outlineLevel="0" collapsed="false">
      <c r="D7518" s="0" t="s">
        <v>108</v>
      </c>
      <c r="E7518" s="0" t="s">
        <v>109</v>
      </c>
      <c r="F7518" s="0" t="s">
        <v>110</v>
      </c>
      <c r="G7518" s="0" t="s">
        <v>175</v>
      </c>
      <c r="H7518" s="0" t="s">
        <v>175</v>
      </c>
      <c r="I7518" s="0" t="s">
        <v>43</v>
      </c>
      <c r="J7518" s="0" t="s">
        <v>44</v>
      </c>
      <c r="K7518" s="0" t="s">
        <v>48</v>
      </c>
      <c r="L7518" s="0" t="s">
        <v>49</v>
      </c>
      <c r="M7518" s="0" t="s">
        <v>173</v>
      </c>
      <c r="N7518" s="0" t="n">
        <v>839</v>
      </c>
      <c r="O7518" s="10" t="n">
        <v>0.0135762474965304</v>
      </c>
      <c r="P7518" s="10" t="n">
        <v>0.434221804374829</v>
      </c>
      <c r="Q7518" s="0" t="str">
        <f aca="false">SUBSTITUTE(SUBSTITUTE($I7518,CHAR(61),""),CHAR(34),"")</f>
        <v>35-49</v>
      </c>
      <c r="R7518" s="0" t="str">
        <f aca="false">IF($D7518&lt;&gt;"","["&amp;$E7518&amp;"]"&amp;"|"&amp;$Q7518&amp;"|"&amp;$K7518&amp;"|"&amp;$G7518&amp;"|"&amp;IF($G7518="TX_CURR_SUBNAT.R","CY2022Q4",$M7518),"")</f>
        <v>[ul0y9diGujK]|35-49|Male|NEW_INFECTIONS_SUBNAT.T2|CY2025Q3</v>
      </c>
    </row>
    <row r="7519" customFormat="false" ht="15" hidden="false" customHeight="false" outlineLevel="0" collapsed="false">
      <c r="D7519" s="0" t="s">
        <v>108</v>
      </c>
      <c r="E7519" s="0" t="s">
        <v>109</v>
      </c>
      <c r="F7519" s="0" t="s">
        <v>110</v>
      </c>
      <c r="G7519" s="0" t="s">
        <v>175</v>
      </c>
      <c r="H7519" s="0" t="s">
        <v>175</v>
      </c>
      <c r="I7519" s="0" t="s">
        <v>45</v>
      </c>
      <c r="J7519" s="0" t="s">
        <v>46</v>
      </c>
      <c r="K7519" s="0" t="s">
        <v>48</v>
      </c>
      <c r="L7519" s="0" t="s">
        <v>49</v>
      </c>
      <c r="M7519" s="0" t="s">
        <v>173</v>
      </c>
      <c r="N7519" s="0" t="n">
        <v>1214</v>
      </c>
      <c r="O7519" s="10" t="n">
        <v>0.479511603713036</v>
      </c>
      <c r="P7519" s="10" t="n">
        <v>0.434221804374829</v>
      </c>
      <c r="Q7519" s="0" t="str">
        <f aca="false">SUBSTITUTE(SUBSTITUTE($I7519,CHAR(61),""),CHAR(34),"")</f>
        <v>50+</v>
      </c>
      <c r="R7519" s="0" t="str">
        <f aca="false">IF($D7519&lt;&gt;"","["&amp;$E7519&amp;"]"&amp;"|"&amp;$Q7519&amp;"|"&amp;$K7519&amp;"|"&amp;$G7519&amp;"|"&amp;IF($G7519="TX_CURR_SUBNAT.R","CY2022Q4",$M7519),"")</f>
        <v>[ul0y9diGujK]|50+|Male|NEW_INFECTIONS_SUBNAT.T2|CY2025Q3</v>
      </c>
    </row>
    <row r="7520" customFormat="false" ht="15" hidden="false" customHeight="false" outlineLevel="0" collapsed="false">
      <c r="D7520" s="0" t="s">
        <v>111</v>
      </c>
      <c r="E7520" s="0" t="s">
        <v>112</v>
      </c>
      <c r="F7520" s="0" t="s">
        <v>113</v>
      </c>
      <c r="G7520" s="0" t="s">
        <v>175</v>
      </c>
      <c r="H7520" s="0" t="s">
        <v>175</v>
      </c>
      <c r="I7520" s="0" t="s">
        <v>28</v>
      </c>
      <c r="J7520" s="0" t="s">
        <v>29</v>
      </c>
      <c r="K7520" s="0" t="s">
        <v>30</v>
      </c>
      <c r="L7520" s="0" t="s">
        <v>31</v>
      </c>
      <c r="M7520" s="0" t="s">
        <v>173</v>
      </c>
      <c r="N7520" s="0" t="n">
        <v>1523</v>
      </c>
      <c r="O7520" s="10" t="n">
        <v>0.793356774142012</v>
      </c>
      <c r="P7520" s="10" t="n">
        <v>0.337768794968724</v>
      </c>
      <c r="Q7520" s="0" t="str">
        <f aca="false">SUBSTITUTE(SUBSTITUTE($I7520,CHAR(61),""),CHAR(34),"")</f>
        <v>&lt;01</v>
      </c>
      <c r="R7520" s="0" t="str">
        <f aca="false">IF($D7520&lt;&gt;"","["&amp;$E7520&amp;"]"&amp;"|"&amp;$Q7520&amp;"|"&amp;$K7520&amp;"|"&amp;$G7520&amp;"|"&amp;IF($G7520="TX_CURR_SUBNAT.R","CY2022Q4",$M7520),"")</f>
        <v>[U8c0so51kT6]|&lt;01|Female|NEW_INFECTIONS_SUBNAT.T2|CY2025Q3</v>
      </c>
    </row>
    <row r="7521" customFormat="false" ht="15" hidden="false" customHeight="false" outlineLevel="0" collapsed="false">
      <c r="D7521" s="0" t="s">
        <v>111</v>
      </c>
      <c r="E7521" s="0" t="s">
        <v>112</v>
      </c>
      <c r="F7521" s="0" t="s">
        <v>113</v>
      </c>
      <c r="G7521" s="0" t="s">
        <v>175</v>
      </c>
      <c r="H7521" s="0" t="s">
        <v>175</v>
      </c>
      <c r="I7521" s="0" t="s">
        <v>33</v>
      </c>
      <c r="J7521" s="0" t="s">
        <v>34</v>
      </c>
      <c r="K7521" s="0" t="s">
        <v>30</v>
      </c>
      <c r="L7521" s="0" t="s">
        <v>31</v>
      </c>
      <c r="M7521" s="0" t="s">
        <v>173</v>
      </c>
      <c r="N7521" s="0" t="n">
        <v>1830</v>
      </c>
      <c r="O7521" s="10" t="n">
        <v>0.199086950859055</v>
      </c>
      <c r="P7521" s="10" t="n">
        <v>0.337768794968724</v>
      </c>
      <c r="Q7521" s="0" t="str">
        <f aca="false">SUBSTITUTE(SUBSTITUTE($I7521,CHAR(61),""),CHAR(34),"")</f>
        <v>01-09</v>
      </c>
      <c r="R7521" s="0" t="str">
        <f aca="false">IF($D7521&lt;&gt;"","["&amp;$E7521&amp;"]"&amp;"|"&amp;$Q7521&amp;"|"&amp;$K7521&amp;"|"&amp;$G7521&amp;"|"&amp;IF($G7521="TX_CURR_SUBNAT.R","CY2022Q4",$M7521),"")</f>
        <v>[U8c0so51kT6]|01-09|Female|NEW_INFECTIONS_SUBNAT.T2|CY2025Q3</v>
      </c>
    </row>
    <row r="7522" customFormat="false" ht="15" hidden="false" customHeight="false" outlineLevel="0" collapsed="false">
      <c r="D7522" s="0" t="s">
        <v>111</v>
      </c>
      <c r="E7522" s="0" t="s">
        <v>112</v>
      </c>
      <c r="F7522" s="0" t="s">
        <v>113</v>
      </c>
      <c r="G7522" s="0" t="s">
        <v>175</v>
      </c>
      <c r="H7522" s="0" t="s">
        <v>175</v>
      </c>
      <c r="I7522" s="0" t="s">
        <v>36</v>
      </c>
      <c r="J7522" s="0" t="s">
        <v>37</v>
      </c>
      <c r="K7522" s="0" t="s">
        <v>30</v>
      </c>
      <c r="L7522" s="0" t="s">
        <v>31</v>
      </c>
      <c r="M7522" s="0" t="s">
        <v>173</v>
      </c>
      <c r="N7522" s="0" t="n">
        <v>808</v>
      </c>
      <c r="O7522" s="10" t="n">
        <v>0.341803037095815</v>
      </c>
      <c r="P7522" s="10" t="n">
        <v>0.337768794968724</v>
      </c>
      <c r="Q7522" s="0" t="str">
        <f aca="false">SUBSTITUTE(SUBSTITUTE($I7522,CHAR(61),""),CHAR(34),"")</f>
        <v>10-14</v>
      </c>
      <c r="R7522" s="0" t="str">
        <f aca="false">IF($D7522&lt;&gt;"","["&amp;$E7522&amp;"]"&amp;"|"&amp;$Q7522&amp;"|"&amp;$K7522&amp;"|"&amp;$G7522&amp;"|"&amp;IF($G7522="TX_CURR_SUBNAT.R","CY2022Q4",$M7522),"")</f>
        <v>[U8c0so51kT6]|10-14|Female|NEW_INFECTIONS_SUBNAT.T2|CY2025Q3</v>
      </c>
    </row>
    <row r="7523" customFormat="false" ht="15" hidden="false" customHeight="false" outlineLevel="0" collapsed="false">
      <c r="D7523" s="0" t="s">
        <v>111</v>
      </c>
      <c r="E7523" s="0" t="s">
        <v>112</v>
      </c>
      <c r="F7523" s="0" t="s">
        <v>113</v>
      </c>
      <c r="G7523" s="0" t="s">
        <v>175</v>
      </c>
      <c r="H7523" s="0" t="s">
        <v>175</v>
      </c>
      <c r="I7523" s="0" t="s">
        <v>38</v>
      </c>
      <c r="J7523" s="0" t="s">
        <v>39</v>
      </c>
      <c r="K7523" s="0" t="s">
        <v>30</v>
      </c>
      <c r="L7523" s="0" t="s">
        <v>31</v>
      </c>
      <c r="M7523" s="0" t="s">
        <v>173</v>
      </c>
      <c r="N7523" s="0" t="n">
        <v>1427</v>
      </c>
      <c r="O7523" s="10" t="n">
        <v>0.150306160096079</v>
      </c>
      <c r="P7523" s="10" t="n">
        <v>0.337768794968724</v>
      </c>
      <c r="Q7523" s="0" t="str">
        <f aca="false">SUBSTITUTE(SUBSTITUTE($I7523,CHAR(61),""),CHAR(34),"")</f>
        <v>15-24</v>
      </c>
      <c r="R7523" s="0" t="str">
        <f aca="false">IF($D7523&lt;&gt;"","["&amp;$E7523&amp;"]"&amp;"|"&amp;$Q7523&amp;"|"&amp;$K7523&amp;"|"&amp;$G7523&amp;"|"&amp;IF($G7523="TX_CURR_SUBNAT.R","CY2022Q4",$M7523),"")</f>
        <v>[U8c0so51kT6]|15-24|Female|NEW_INFECTIONS_SUBNAT.T2|CY2025Q3</v>
      </c>
    </row>
    <row r="7524" customFormat="false" ht="15" hidden="false" customHeight="false" outlineLevel="0" collapsed="false">
      <c r="D7524" s="0" t="s">
        <v>111</v>
      </c>
      <c r="E7524" s="0" t="s">
        <v>112</v>
      </c>
      <c r="F7524" s="0" t="s">
        <v>113</v>
      </c>
      <c r="G7524" s="0" t="s">
        <v>175</v>
      </c>
      <c r="H7524" s="0" t="s">
        <v>175</v>
      </c>
      <c r="I7524" s="0" t="s">
        <v>41</v>
      </c>
      <c r="J7524" s="0" t="s">
        <v>42</v>
      </c>
      <c r="K7524" s="0" t="s">
        <v>30</v>
      </c>
      <c r="L7524" s="0" t="s">
        <v>31</v>
      </c>
      <c r="M7524" s="0" t="s">
        <v>173</v>
      </c>
      <c r="N7524" s="0" t="n">
        <v>501</v>
      </c>
      <c r="O7524" s="10" t="n">
        <v>0.316813329933211</v>
      </c>
      <c r="P7524" s="10" t="n">
        <v>0.337768794968724</v>
      </c>
      <c r="Q7524" s="0" t="str">
        <f aca="false">SUBSTITUTE(SUBSTITUTE($I7524,CHAR(61),""),CHAR(34),"")</f>
        <v>25-34</v>
      </c>
      <c r="R7524" s="0" t="str">
        <f aca="false">IF($D7524&lt;&gt;"","["&amp;$E7524&amp;"]"&amp;"|"&amp;$Q7524&amp;"|"&amp;$K7524&amp;"|"&amp;$G7524&amp;"|"&amp;IF($G7524="TX_CURR_SUBNAT.R","CY2022Q4",$M7524),"")</f>
        <v>[U8c0so51kT6]|25-34|Female|NEW_INFECTIONS_SUBNAT.T2|CY2025Q3</v>
      </c>
    </row>
    <row r="7525" customFormat="false" ht="15" hidden="false" customHeight="false" outlineLevel="0" collapsed="false">
      <c r="D7525" s="0" t="s">
        <v>111</v>
      </c>
      <c r="E7525" s="0" t="s">
        <v>112</v>
      </c>
      <c r="F7525" s="0" t="s">
        <v>113</v>
      </c>
      <c r="G7525" s="0" t="s">
        <v>175</v>
      </c>
      <c r="H7525" s="0" t="s">
        <v>175</v>
      </c>
      <c r="I7525" s="0" t="s">
        <v>43</v>
      </c>
      <c r="J7525" s="0" t="s">
        <v>44</v>
      </c>
      <c r="K7525" s="0" t="s">
        <v>30</v>
      </c>
      <c r="L7525" s="0" t="s">
        <v>31</v>
      </c>
      <c r="M7525" s="0" t="s">
        <v>173</v>
      </c>
      <c r="N7525" s="0" t="n">
        <v>1890</v>
      </c>
      <c r="O7525" s="10" t="n">
        <v>0.0694543241988868</v>
      </c>
      <c r="P7525" s="10" t="n">
        <v>0.337768794968724</v>
      </c>
      <c r="Q7525" s="0" t="str">
        <f aca="false">SUBSTITUTE(SUBSTITUTE($I7525,CHAR(61),""),CHAR(34),"")</f>
        <v>35-49</v>
      </c>
      <c r="R7525" s="0" t="str">
        <f aca="false">IF($D7525&lt;&gt;"","["&amp;$E7525&amp;"]"&amp;"|"&amp;$Q7525&amp;"|"&amp;$K7525&amp;"|"&amp;$G7525&amp;"|"&amp;IF($G7525="TX_CURR_SUBNAT.R","CY2022Q4",$M7525),"")</f>
        <v>[U8c0so51kT6]|35-49|Female|NEW_INFECTIONS_SUBNAT.T2|CY2025Q3</v>
      </c>
    </row>
    <row r="7526" customFormat="false" ht="15" hidden="false" customHeight="false" outlineLevel="0" collapsed="false">
      <c r="D7526" s="0" t="s">
        <v>111</v>
      </c>
      <c r="E7526" s="0" t="s">
        <v>112</v>
      </c>
      <c r="F7526" s="0" t="s">
        <v>113</v>
      </c>
      <c r="G7526" s="0" t="s">
        <v>175</v>
      </c>
      <c r="H7526" s="0" t="s">
        <v>175</v>
      </c>
      <c r="I7526" s="0" t="s">
        <v>45</v>
      </c>
      <c r="J7526" s="0" t="s">
        <v>46</v>
      </c>
      <c r="K7526" s="0" t="s">
        <v>30</v>
      </c>
      <c r="L7526" s="0" t="s">
        <v>31</v>
      </c>
      <c r="M7526" s="0" t="s">
        <v>173</v>
      </c>
      <c r="N7526" s="0" t="n">
        <v>1340</v>
      </c>
      <c r="O7526" s="10" t="n">
        <v>0.201113698538393</v>
      </c>
      <c r="P7526" s="10" t="n">
        <v>0.337768794968724</v>
      </c>
      <c r="Q7526" s="0" t="str">
        <f aca="false">SUBSTITUTE(SUBSTITUTE($I7526,CHAR(61),""),CHAR(34),"")</f>
        <v>50+</v>
      </c>
      <c r="R7526" s="0" t="str">
        <f aca="false">IF($D7526&lt;&gt;"","["&amp;$E7526&amp;"]"&amp;"|"&amp;$Q7526&amp;"|"&amp;$K7526&amp;"|"&amp;$G7526&amp;"|"&amp;IF($G7526="TX_CURR_SUBNAT.R","CY2022Q4",$M7526),"")</f>
        <v>[U8c0so51kT6]|50+|Female|NEW_INFECTIONS_SUBNAT.T2|CY2025Q3</v>
      </c>
    </row>
    <row r="7527" customFormat="false" ht="15" hidden="false" customHeight="false" outlineLevel="0" collapsed="false">
      <c r="D7527" s="0" t="s">
        <v>111</v>
      </c>
      <c r="E7527" s="0" t="s">
        <v>112</v>
      </c>
      <c r="F7527" s="0" t="s">
        <v>113</v>
      </c>
      <c r="G7527" s="0" t="s">
        <v>175</v>
      </c>
      <c r="H7527" s="0" t="s">
        <v>175</v>
      </c>
      <c r="I7527" s="0" t="s">
        <v>28</v>
      </c>
      <c r="J7527" s="0" t="s">
        <v>29</v>
      </c>
      <c r="K7527" s="0" t="s">
        <v>48</v>
      </c>
      <c r="L7527" s="0" t="s">
        <v>49</v>
      </c>
      <c r="M7527" s="0" t="s">
        <v>173</v>
      </c>
      <c r="N7527" s="0" t="n">
        <v>1059</v>
      </c>
      <c r="O7527" s="10" t="n">
        <v>0.665214711800218</v>
      </c>
      <c r="P7527" s="10" t="n">
        <v>0.337768794968724</v>
      </c>
      <c r="Q7527" s="0" t="str">
        <f aca="false">SUBSTITUTE(SUBSTITUTE($I7527,CHAR(61),""),CHAR(34),"")</f>
        <v>&lt;01</v>
      </c>
      <c r="R7527" s="0" t="str">
        <f aca="false">IF($D7527&lt;&gt;"","["&amp;$E7527&amp;"]"&amp;"|"&amp;$Q7527&amp;"|"&amp;$K7527&amp;"|"&amp;$G7527&amp;"|"&amp;IF($G7527="TX_CURR_SUBNAT.R","CY2022Q4",$M7527),"")</f>
        <v>[U8c0so51kT6]|&lt;01|Male|NEW_INFECTIONS_SUBNAT.T2|CY2025Q3</v>
      </c>
    </row>
    <row r="7528" customFormat="false" ht="15" hidden="false" customHeight="false" outlineLevel="0" collapsed="false">
      <c r="D7528" s="0" t="s">
        <v>111</v>
      </c>
      <c r="E7528" s="0" t="s">
        <v>112</v>
      </c>
      <c r="F7528" s="0" t="s">
        <v>113</v>
      </c>
      <c r="G7528" s="0" t="s">
        <v>175</v>
      </c>
      <c r="H7528" s="0" t="s">
        <v>175</v>
      </c>
      <c r="I7528" s="0" t="s">
        <v>33</v>
      </c>
      <c r="J7528" s="0" t="s">
        <v>34</v>
      </c>
      <c r="K7528" s="0" t="s">
        <v>48</v>
      </c>
      <c r="L7528" s="0" t="s">
        <v>49</v>
      </c>
      <c r="M7528" s="0" t="s">
        <v>173</v>
      </c>
      <c r="N7528" s="0" t="n">
        <v>1923</v>
      </c>
      <c r="O7528" s="10" t="n">
        <v>0.694346588570625</v>
      </c>
      <c r="P7528" s="10" t="n">
        <v>0.337768794968724</v>
      </c>
      <c r="Q7528" s="0" t="str">
        <f aca="false">SUBSTITUTE(SUBSTITUTE($I7528,CHAR(61),""),CHAR(34),"")</f>
        <v>01-09</v>
      </c>
      <c r="R7528" s="0" t="str">
        <f aca="false">IF($D7528&lt;&gt;"","["&amp;$E7528&amp;"]"&amp;"|"&amp;$Q7528&amp;"|"&amp;$K7528&amp;"|"&amp;$G7528&amp;"|"&amp;IF($G7528="TX_CURR_SUBNAT.R","CY2022Q4",$M7528),"")</f>
        <v>[U8c0so51kT6]|01-09|Male|NEW_INFECTIONS_SUBNAT.T2|CY2025Q3</v>
      </c>
    </row>
    <row r="7529" customFormat="false" ht="15" hidden="false" customHeight="false" outlineLevel="0" collapsed="false">
      <c r="D7529" s="0" t="s">
        <v>111</v>
      </c>
      <c r="E7529" s="0" t="s">
        <v>112</v>
      </c>
      <c r="F7529" s="0" t="s">
        <v>113</v>
      </c>
      <c r="G7529" s="0" t="s">
        <v>175</v>
      </c>
      <c r="H7529" s="0" t="s">
        <v>175</v>
      </c>
      <c r="I7529" s="0" t="s">
        <v>36</v>
      </c>
      <c r="J7529" s="0" t="s">
        <v>37</v>
      </c>
      <c r="K7529" s="0" t="s">
        <v>48</v>
      </c>
      <c r="L7529" s="0" t="s">
        <v>49</v>
      </c>
      <c r="M7529" s="0" t="s">
        <v>173</v>
      </c>
      <c r="N7529" s="0" t="n">
        <v>742</v>
      </c>
      <c r="O7529" s="10" t="n">
        <v>0.344949219375849</v>
      </c>
      <c r="P7529" s="10" t="n">
        <v>0.337768794968724</v>
      </c>
      <c r="Q7529" s="0" t="str">
        <f aca="false">SUBSTITUTE(SUBSTITUTE($I7529,CHAR(61),""),CHAR(34),"")</f>
        <v>10-14</v>
      </c>
      <c r="R7529" s="0" t="str">
        <f aca="false">IF($D7529&lt;&gt;"","["&amp;$E7529&amp;"]"&amp;"|"&amp;$Q7529&amp;"|"&amp;$K7529&amp;"|"&amp;$G7529&amp;"|"&amp;IF($G7529="TX_CURR_SUBNAT.R","CY2022Q4",$M7529),"")</f>
        <v>[U8c0so51kT6]|10-14|Male|NEW_INFECTIONS_SUBNAT.T2|CY2025Q3</v>
      </c>
    </row>
    <row r="7530" customFormat="false" ht="15" hidden="false" customHeight="false" outlineLevel="0" collapsed="false">
      <c r="D7530" s="0" t="s">
        <v>111</v>
      </c>
      <c r="E7530" s="0" t="s">
        <v>112</v>
      </c>
      <c r="F7530" s="0" t="s">
        <v>113</v>
      </c>
      <c r="G7530" s="0" t="s">
        <v>175</v>
      </c>
      <c r="H7530" s="0" t="s">
        <v>175</v>
      </c>
      <c r="I7530" s="0" t="s">
        <v>38</v>
      </c>
      <c r="J7530" s="0" t="s">
        <v>39</v>
      </c>
      <c r="K7530" s="0" t="s">
        <v>48</v>
      </c>
      <c r="L7530" s="0" t="s">
        <v>49</v>
      </c>
      <c r="M7530" s="0" t="s">
        <v>173</v>
      </c>
      <c r="N7530" s="0" t="n">
        <v>1804</v>
      </c>
      <c r="O7530" s="10" t="n">
        <v>0.564255858073011</v>
      </c>
      <c r="P7530" s="10" t="n">
        <v>0.337768794968724</v>
      </c>
      <c r="Q7530" s="0" t="str">
        <f aca="false">SUBSTITUTE(SUBSTITUTE($I7530,CHAR(61),""),CHAR(34),"")</f>
        <v>15-24</v>
      </c>
      <c r="R7530" s="0" t="str">
        <f aca="false">IF($D7530&lt;&gt;"","["&amp;$E7530&amp;"]"&amp;"|"&amp;$Q7530&amp;"|"&amp;$K7530&amp;"|"&amp;$G7530&amp;"|"&amp;IF($G7530="TX_CURR_SUBNAT.R","CY2022Q4",$M7530),"")</f>
        <v>[U8c0so51kT6]|15-24|Male|NEW_INFECTIONS_SUBNAT.T2|CY2025Q3</v>
      </c>
    </row>
    <row r="7531" customFormat="false" ht="15" hidden="false" customHeight="false" outlineLevel="0" collapsed="false">
      <c r="D7531" s="0" t="s">
        <v>111</v>
      </c>
      <c r="E7531" s="0" t="s">
        <v>112</v>
      </c>
      <c r="F7531" s="0" t="s">
        <v>113</v>
      </c>
      <c r="G7531" s="0" t="s">
        <v>175</v>
      </c>
      <c r="H7531" s="0" t="s">
        <v>175</v>
      </c>
      <c r="I7531" s="0" t="s">
        <v>41</v>
      </c>
      <c r="J7531" s="0" t="s">
        <v>42</v>
      </c>
      <c r="K7531" s="0" t="s">
        <v>48</v>
      </c>
      <c r="L7531" s="0" t="s">
        <v>49</v>
      </c>
      <c r="M7531" s="0" t="s">
        <v>173</v>
      </c>
      <c r="N7531" s="0" t="n">
        <v>1481</v>
      </c>
      <c r="O7531" s="10" t="n">
        <v>0.757063902448863</v>
      </c>
      <c r="P7531" s="10" t="n">
        <v>0.337768794968724</v>
      </c>
      <c r="Q7531" s="0" t="str">
        <f aca="false">SUBSTITUTE(SUBSTITUTE($I7531,CHAR(61),""),CHAR(34),"")</f>
        <v>25-34</v>
      </c>
      <c r="R7531" s="0" t="str">
        <f aca="false">IF($D7531&lt;&gt;"","["&amp;$E7531&amp;"]"&amp;"|"&amp;$Q7531&amp;"|"&amp;$K7531&amp;"|"&amp;$G7531&amp;"|"&amp;IF($G7531="TX_CURR_SUBNAT.R","CY2022Q4",$M7531),"")</f>
        <v>[U8c0so51kT6]|25-34|Male|NEW_INFECTIONS_SUBNAT.T2|CY2025Q3</v>
      </c>
    </row>
    <row r="7532" customFormat="false" ht="15" hidden="false" customHeight="false" outlineLevel="0" collapsed="false">
      <c r="D7532" s="0" t="s">
        <v>111</v>
      </c>
      <c r="E7532" s="0" t="s">
        <v>112</v>
      </c>
      <c r="F7532" s="0" t="s">
        <v>113</v>
      </c>
      <c r="G7532" s="0" t="s">
        <v>175</v>
      </c>
      <c r="H7532" s="0" t="s">
        <v>175</v>
      </c>
      <c r="I7532" s="0" t="s">
        <v>43</v>
      </c>
      <c r="J7532" s="0" t="s">
        <v>44</v>
      </c>
      <c r="K7532" s="0" t="s">
        <v>48</v>
      </c>
      <c r="L7532" s="0" t="s">
        <v>49</v>
      </c>
      <c r="M7532" s="0" t="s">
        <v>173</v>
      </c>
      <c r="N7532" s="0" t="n">
        <v>569</v>
      </c>
      <c r="O7532" s="10" t="n">
        <v>0.292347230948508</v>
      </c>
      <c r="P7532" s="10" t="n">
        <v>0.337768794968724</v>
      </c>
      <c r="Q7532" s="0" t="str">
        <f aca="false">SUBSTITUTE(SUBSTITUTE($I7532,CHAR(61),""),CHAR(34),"")</f>
        <v>35-49</v>
      </c>
      <c r="R7532" s="0" t="str">
        <f aca="false">IF($D7532&lt;&gt;"","["&amp;$E7532&amp;"]"&amp;"|"&amp;$Q7532&amp;"|"&amp;$K7532&amp;"|"&amp;$G7532&amp;"|"&amp;IF($G7532="TX_CURR_SUBNAT.R","CY2022Q4",$M7532),"")</f>
        <v>[U8c0so51kT6]|35-49|Male|NEW_INFECTIONS_SUBNAT.T2|CY2025Q3</v>
      </c>
    </row>
    <row r="7533" customFormat="false" ht="15" hidden="false" customHeight="false" outlineLevel="0" collapsed="false">
      <c r="D7533" s="0" t="s">
        <v>111</v>
      </c>
      <c r="E7533" s="0" t="s">
        <v>112</v>
      </c>
      <c r="F7533" s="0" t="s">
        <v>113</v>
      </c>
      <c r="G7533" s="0" t="s">
        <v>175</v>
      </c>
      <c r="H7533" s="0" t="s">
        <v>175</v>
      </c>
      <c r="I7533" s="0" t="s">
        <v>45</v>
      </c>
      <c r="J7533" s="0" t="s">
        <v>46</v>
      </c>
      <c r="K7533" s="0" t="s">
        <v>48</v>
      </c>
      <c r="L7533" s="0" t="s">
        <v>49</v>
      </c>
      <c r="M7533" s="0" t="s">
        <v>173</v>
      </c>
      <c r="N7533" s="0" t="n">
        <v>1929</v>
      </c>
      <c r="O7533" s="10" t="n">
        <v>0.196500579128042</v>
      </c>
      <c r="P7533" s="10" t="n">
        <v>0.337768794968724</v>
      </c>
      <c r="Q7533" s="0" t="str">
        <f aca="false">SUBSTITUTE(SUBSTITUTE($I7533,CHAR(61),""),CHAR(34),"")</f>
        <v>50+</v>
      </c>
      <c r="R7533" s="0" t="str">
        <f aca="false">IF($D7533&lt;&gt;"","["&amp;$E7533&amp;"]"&amp;"|"&amp;$Q7533&amp;"|"&amp;$K7533&amp;"|"&amp;$G7533&amp;"|"&amp;IF($G7533="TX_CURR_SUBNAT.R","CY2022Q4",$M7533),"")</f>
        <v>[U8c0so51kT6]|50+|Male|NEW_INFECTIONS_SUBNAT.T2|CY2025Q3</v>
      </c>
    </row>
    <row r="7534" customFormat="false" ht="15" hidden="false" customHeight="false" outlineLevel="0" collapsed="false">
      <c r="D7534" s="0" t="s">
        <v>114</v>
      </c>
      <c r="E7534" s="0" t="s">
        <v>115</v>
      </c>
      <c r="F7534" s="0" t="s">
        <v>116</v>
      </c>
      <c r="G7534" s="0" t="s">
        <v>175</v>
      </c>
      <c r="H7534" s="0" t="s">
        <v>175</v>
      </c>
      <c r="I7534" s="0" t="s">
        <v>28</v>
      </c>
      <c r="J7534" s="0" t="s">
        <v>29</v>
      </c>
      <c r="K7534" s="0" t="s">
        <v>30</v>
      </c>
      <c r="L7534" s="0" t="s">
        <v>31</v>
      </c>
      <c r="M7534" s="0" t="s">
        <v>173</v>
      </c>
      <c r="N7534" s="0" t="n">
        <v>1333</v>
      </c>
      <c r="O7534" s="10" t="n">
        <v>0.929324698867276</v>
      </c>
      <c r="P7534" s="10" t="n">
        <v>0.298559809103608</v>
      </c>
      <c r="Q7534" s="0" t="str">
        <f aca="false">SUBSTITUTE(SUBSTITUTE($I7534,CHAR(61),""),CHAR(34),"")</f>
        <v>&lt;01</v>
      </c>
      <c r="R7534" s="0" t="str">
        <f aca="false">IF($D7534&lt;&gt;"","["&amp;$E7534&amp;"]"&amp;"|"&amp;$Q7534&amp;"|"&amp;$K7534&amp;"|"&amp;$G7534&amp;"|"&amp;IF($G7534="TX_CURR_SUBNAT.R","CY2022Q4",$M7534),"")</f>
        <v>[rpw540fmNUz]|&lt;01|Female|NEW_INFECTIONS_SUBNAT.T2|CY2025Q3</v>
      </c>
    </row>
    <row r="7535" customFormat="false" ht="15" hidden="false" customHeight="false" outlineLevel="0" collapsed="false">
      <c r="D7535" s="0" t="s">
        <v>114</v>
      </c>
      <c r="E7535" s="0" t="s">
        <v>115</v>
      </c>
      <c r="F7535" s="0" t="s">
        <v>116</v>
      </c>
      <c r="G7535" s="0" t="s">
        <v>175</v>
      </c>
      <c r="H7535" s="0" t="s">
        <v>175</v>
      </c>
      <c r="I7535" s="0" t="s">
        <v>33</v>
      </c>
      <c r="J7535" s="0" t="s">
        <v>34</v>
      </c>
      <c r="K7535" s="0" t="s">
        <v>30</v>
      </c>
      <c r="L7535" s="0" t="s">
        <v>31</v>
      </c>
      <c r="M7535" s="0" t="s">
        <v>173</v>
      </c>
      <c r="N7535" s="0" t="n">
        <v>1928</v>
      </c>
      <c r="O7535" s="10" t="n">
        <v>0.68163430178538</v>
      </c>
      <c r="P7535" s="10" t="n">
        <v>0.298559809103608</v>
      </c>
      <c r="Q7535" s="0" t="str">
        <f aca="false">SUBSTITUTE(SUBSTITUTE($I7535,CHAR(61),""),CHAR(34),"")</f>
        <v>01-09</v>
      </c>
      <c r="R7535" s="0" t="str">
        <f aca="false">IF($D7535&lt;&gt;"","["&amp;$E7535&amp;"]"&amp;"|"&amp;$Q7535&amp;"|"&amp;$K7535&amp;"|"&amp;$G7535&amp;"|"&amp;IF($G7535="TX_CURR_SUBNAT.R","CY2022Q4",$M7535),"")</f>
        <v>[rpw540fmNUz]|01-09|Female|NEW_INFECTIONS_SUBNAT.T2|CY2025Q3</v>
      </c>
    </row>
    <row r="7536" customFormat="false" ht="15" hidden="false" customHeight="false" outlineLevel="0" collapsed="false">
      <c r="D7536" s="0" t="s">
        <v>114</v>
      </c>
      <c r="E7536" s="0" t="s">
        <v>115</v>
      </c>
      <c r="F7536" s="0" t="s">
        <v>116</v>
      </c>
      <c r="G7536" s="0" t="s">
        <v>175</v>
      </c>
      <c r="H7536" s="0" t="s">
        <v>175</v>
      </c>
      <c r="I7536" s="0" t="s">
        <v>36</v>
      </c>
      <c r="J7536" s="0" t="s">
        <v>37</v>
      </c>
      <c r="K7536" s="0" t="s">
        <v>30</v>
      </c>
      <c r="L7536" s="0" t="s">
        <v>31</v>
      </c>
      <c r="M7536" s="0" t="s">
        <v>173</v>
      </c>
      <c r="N7536" s="0" t="n">
        <v>1264</v>
      </c>
      <c r="O7536" s="10" t="n">
        <v>0.82098530814983</v>
      </c>
      <c r="P7536" s="10" t="n">
        <v>0.298559809103608</v>
      </c>
      <c r="Q7536" s="0" t="str">
        <f aca="false">SUBSTITUTE(SUBSTITUTE($I7536,CHAR(61),""),CHAR(34),"")</f>
        <v>10-14</v>
      </c>
      <c r="R7536" s="0" t="str">
        <f aca="false">IF($D7536&lt;&gt;"","["&amp;$E7536&amp;"]"&amp;"|"&amp;$Q7536&amp;"|"&amp;$K7536&amp;"|"&amp;$G7536&amp;"|"&amp;IF($G7536="TX_CURR_SUBNAT.R","CY2022Q4",$M7536),"")</f>
        <v>[rpw540fmNUz]|10-14|Female|NEW_INFECTIONS_SUBNAT.T2|CY2025Q3</v>
      </c>
    </row>
    <row r="7537" customFormat="false" ht="15" hidden="false" customHeight="false" outlineLevel="0" collapsed="false">
      <c r="D7537" s="0" t="s">
        <v>114</v>
      </c>
      <c r="E7537" s="0" t="s">
        <v>115</v>
      </c>
      <c r="F7537" s="0" t="s">
        <v>116</v>
      </c>
      <c r="G7537" s="0" t="s">
        <v>175</v>
      </c>
      <c r="H7537" s="0" t="s">
        <v>175</v>
      </c>
      <c r="I7537" s="0" t="s">
        <v>38</v>
      </c>
      <c r="J7537" s="0" t="s">
        <v>39</v>
      </c>
      <c r="K7537" s="0" t="s">
        <v>30</v>
      </c>
      <c r="L7537" s="0" t="s">
        <v>31</v>
      </c>
      <c r="M7537" s="0" t="s">
        <v>173</v>
      </c>
      <c r="N7537" s="0" t="n">
        <v>1014</v>
      </c>
      <c r="O7537" s="10" t="n">
        <v>0.112395045580342</v>
      </c>
      <c r="P7537" s="10" t="n">
        <v>0.298559809103608</v>
      </c>
      <c r="Q7537" s="0" t="str">
        <f aca="false">SUBSTITUTE(SUBSTITUTE($I7537,CHAR(61),""),CHAR(34),"")</f>
        <v>15-24</v>
      </c>
      <c r="R7537" s="0" t="str">
        <f aca="false">IF($D7537&lt;&gt;"","["&amp;$E7537&amp;"]"&amp;"|"&amp;$Q7537&amp;"|"&amp;$K7537&amp;"|"&amp;$G7537&amp;"|"&amp;IF($G7537="TX_CURR_SUBNAT.R","CY2022Q4",$M7537),"")</f>
        <v>[rpw540fmNUz]|15-24|Female|NEW_INFECTIONS_SUBNAT.T2|CY2025Q3</v>
      </c>
    </row>
    <row r="7538" customFormat="false" ht="15" hidden="false" customHeight="false" outlineLevel="0" collapsed="false">
      <c r="D7538" s="0" t="s">
        <v>114</v>
      </c>
      <c r="E7538" s="0" t="s">
        <v>115</v>
      </c>
      <c r="F7538" s="0" t="s">
        <v>116</v>
      </c>
      <c r="G7538" s="0" t="s">
        <v>175</v>
      </c>
      <c r="H7538" s="0" t="s">
        <v>175</v>
      </c>
      <c r="I7538" s="0" t="s">
        <v>41</v>
      </c>
      <c r="J7538" s="0" t="s">
        <v>42</v>
      </c>
      <c r="K7538" s="0" t="s">
        <v>30</v>
      </c>
      <c r="L7538" s="0" t="s">
        <v>31</v>
      </c>
      <c r="M7538" s="0" t="s">
        <v>173</v>
      </c>
      <c r="N7538" s="0" t="n">
        <v>1596</v>
      </c>
      <c r="O7538" s="10" t="n">
        <v>0.195361407473683</v>
      </c>
      <c r="P7538" s="10" t="n">
        <v>0.298559809103608</v>
      </c>
      <c r="Q7538" s="0" t="str">
        <f aca="false">SUBSTITUTE(SUBSTITUTE($I7538,CHAR(61),""),CHAR(34),"")</f>
        <v>25-34</v>
      </c>
      <c r="R7538" s="0" t="str">
        <f aca="false">IF($D7538&lt;&gt;"","["&amp;$E7538&amp;"]"&amp;"|"&amp;$Q7538&amp;"|"&amp;$K7538&amp;"|"&amp;$G7538&amp;"|"&amp;IF($G7538="TX_CURR_SUBNAT.R","CY2022Q4",$M7538),"")</f>
        <v>[rpw540fmNUz]|25-34|Female|NEW_INFECTIONS_SUBNAT.T2|CY2025Q3</v>
      </c>
    </row>
    <row r="7539" customFormat="false" ht="15" hidden="false" customHeight="false" outlineLevel="0" collapsed="false">
      <c r="D7539" s="0" t="s">
        <v>114</v>
      </c>
      <c r="E7539" s="0" t="s">
        <v>115</v>
      </c>
      <c r="F7539" s="0" t="s">
        <v>116</v>
      </c>
      <c r="G7539" s="0" t="s">
        <v>175</v>
      </c>
      <c r="H7539" s="0" t="s">
        <v>175</v>
      </c>
      <c r="I7539" s="0" t="s">
        <v>43</v>
      </c>
      <c r="J7539" s="0" t="s">
        <v>44</v>
      </c>
      <c r="K7539" s="0" t="s">
        <v>30</v>
      </c>
      <c r="L7539" s="0" t="s">
        <v>31</v>
      </c>
      <c r="M7539" s="0" t="s">
        <v>173</v>
      </c>
      <c r="N7539" s="0" t="n">
        <v>663</v>
      </c>
      <c r="O7539" s="10" t="n">
        <v>0.665990704670548</v>
      </c>
      <c r="P7539" s="10" t="n">
        <v>0.298559809103608</v>
      </c>
      <c r="Q7539" s="0" t="str">
        <f aca="false">SUBSTITUTE(SUBSTITUTE($I7539,CHAR(61),""),CHAR(34),"")</f>
        <v>35-49</v>
      </c>
      <c r="R7539" s="0" t="str">
        <f aca="false">IF($D7539&lt;&gt;"","["&amp;$E7539&amp;"]"&amp;"|"&amp;$Q7539&amp;"|"&amp;$K7539&amp;"|"&amp;$G7539&amp;"|"&amp;IF($G7539="TX_CURR_SUBNAT.R","CY2022Q4",$M7539),"")</f>
        <v>[rpw540fmNUz]|35-49|Female|NEW_INFECTIONS_SUBNAT.T2|CY2025Q3</v>
      </c>
    </row>
    <row r="7540" customFormat="false" ht="15" hidden="false" customHeight="false" outlineLevel="0" collapsed="false">
      <c r="D7540" s="0" t="s">
        <v>114</v>
      </c>
      <c r="E7540" s="0" t="s">
        <v>115</v>
      </c>
      <c r="F7540" s="0" t="s">
        <v>116</v>
      </c>
      <c r="G7540" s="0" t="s">
        <v>175</v>
      </c>
      <c r="H7540" s="0" t="s">
        <v>175</v>
      </c>
      <c r="I7540" s="0" t="s">
        <v>45</v>
      </c>
      <c r="J7540" s="0" t="s">
        <v>46</v>
      </c>
      <c r="K7540" s="0" t="s">
        <v>30</v>
      </c>
      <c r="L7540" s="0" t="s">
        <v>31</v>
      </c>
      <c r="M7540" s="0" t="s">
        <v>173</v>
      </c>
      <c r="N7540" s="0" t="n">
        <v>913</v>
      </c>
      <c r="O7540" s="10" t="n">
        <v>0.383822207106277</v>
      </c>
      <c r="P7540" s="10" t="n">
        <v>0.298559809103608</v>
      </c>
      <c r="Q7540" s="0" t="str">
        <f aca="false">SUBSTITUTE(SUBSTITUTE($I7540,CHAR(61),""),CHAR(34),"")</f>
        <v>50+</v>
      </c>
      <c r="R7540" s="0" t="str">
        <f aca="false">IF($D7540&lt;&gt;"","["&amp;$E7540&amp;"]"&amp;"|"&amp;$Q7540&amp;"|"&amp;$K7540&amp;"|"&amp;$G7540&amp;"|"&amp;IF($G7540="TX_CURR_SUBNAT.R","CY2022Q4",$M7540),"")</f>
        <v>[rpw540fmNUz]|50+|Female|NEW_INFECTIONS_SUBNAT.T2|CY2025Q3</v>
      </c>
    </row>
    <row r="7541" customFormat="false" ht="15" hidden="false" customHeight="false" outlineLevel="0" collapsed="false">
      <c r="D7541" s="0" t="s">
        <v>114</v>
      </c>
      <c r="E7541" s="0" t="s">
        <v>115</v>
      </c>
      <c r="F7541" s="0" t="s">
        <v>116</v>
      </c>
      <c r="G7541" s="0" t="s">
        <v>175</v>
      </c>
      <c r="H7541" s="0" t="s">
        <v>175</v>
      </c>
      <c r="I7541" s="0" t="s">
        <v>28</v>
      </c>
      <c r="J7541" s="0" t="s">
        <v>29</v>
      </c>
      <c r="K7541" s="0" t="s">
        <v>48</v>
      </c>
      <c r="L7541" s="0" t="s">
        <v>49</v>
      </c>
      <c r="M7541" s="0" t="s">
        <v>173</v>
      </c>
      <c r="N7541" s="0" t="n">
        <v>740</v>
      </c>
      <c r="O7541" s="10" t="n">
        <v>0.423325003357604</v>
      </c>
      <c r="P7541" s="10" t="n">
        <v>0.298559809103608</v>
      </c>
      <c r="Q7541" s="0" t="str">
        <f aca="false">SUBSTITUTE(SUBSTITUTE($I7541,CHAR(61),""),CHAR(34),"")</f>
        <v>&lt;01</v>
      </c>
      <c r="R7541" s="0" t="str">
        <f aca="false">IF($D7541&lt;&gt;"","["&amp;$E7541&amp;"]"&amp;"|"&amp;$Q7541&amp;"|"&amp;$K7541&amp;"|"&amp;$G7541&amp;"|"&amp;IF($G7541="TX_CURR_SUBNAT.R","CY2022Q4",$M7541),"")</f>
        <v>[rpw540fmNUz]|&lt;01|Male|NEW_INFECTIONS_SUBNAT.T2|CY2025Q3</v>
      </c>
    </row>
    <row r="7542" customFormat="false" ht="15" hidden="false" customHeight="false" outlineLevel="0" collapsed="false">
      <c r="D7542" s="0" t="s">
        <v>114</v>
      </c>
      <c r="E7542" s="0" t="s">
        <v>115</v>
      </c>
      <c r="F7542" s="0" t="s">
        <v>116</v>
      </c>
      <c r="G7542" s="0" t="s">
        <v>175</v>
      </c>
      <c r="H7542" s="0" t="s">
        <v>175</v>
      </c>
      <c r="I7542" s="0" t="s">
        <v>33</v>
      </c>
      <c r="J7542" s="0" t="s">
        <v>34</v>
      </c>
      <c r="K7542" s="0" t="s">
        <v>48</v>
      </c>
      <c r="L7542" s="0" t="s">
        <v>49</v>
      </c>
      <c r="M7542" s="0" t="s">
        <v>173</v>
      </c>
      <c r="N7542" s="0" t="n">
        <v>1525</v>
      </c>
      <c r="O7542" s="10" t="n">
        <v>0.240498722996563</v>
      </c>
      <c r="P7542" s="10" t="n">
        <v>0.298559809103608</v>
      </c>
      <c r="Q7542" s="0" t="str">
        <f aca="false">SUBSTITUTE(SUBSTITUTE($I7542,CHAR(61),""),CHAR(34),"")</f>
        <v>01-09</v>
      </c>
      <c r="R7542" s="0" t="str">
        <f aca="false">IF($D7542&lt;&gt;"","["&amp;$E7542&amp;"]"&amp;"|"&amp;$Q7542&amp;"|"&amp;$K7542&amp;"|"&amp;$G7542&amp;"|"&amp;IF($G7542="TX_CURR_SUBNAT.R","CY2022Q4",$M7542),"")</f>
        <v>[rpw540fmNUz]|01-09|Male|NEW_INFECTIONS_SUBNAT.T2|CY2025Q3</v>
      </c>
    </row>
    <row r="7543" customFormat="false" ht="15" hidden="false" customHeight="false" outlineLevel="0" collapsed="false">
      <c r="D7543" s="0" t="s">
        <v>114</v>
      </c>
      <c r="E7543" s="0" t="s">
        <v>115</v>
      </c>
      <c r="F7543" s="0" t="s">
        <v>116</v>
      </c>
      <c r="G7543" s="0" t="s">
        <v>175</v>
      </c>
      <c r="H7543" s="0" t="s">
        <v>175</v>
      </c>
      <c r="I7543" s="0" t="s">
        <v>36</v>
      </c>
      <c r="J7543" s="0" t="s">
        <v>37</v>
      </c>
      <c r="K7543" s="0" t="s">
        <v>48</v>
      </c>
      <c r="L7543" s="0" t="s">
        <v>49</v>
      </c>
      <c r="M7543" s="0" t="s">
        <v>173</v>
      </c>
      <c r="N7543" s="0" t="n">
        <v>860</v>
      </c>
      <c r="O7543" s="10" t="n">
        <v>0.583889652974904</v>
      </c>
      <c r="P7543" s="10" t="n">
        <v>0.298559809103608</v>
      </c>
      <c r="Q7543" s="0" t="str">
        <f aca="false">SUBSTITUTE(SUBSTITUTE($I7543,CHAR(61),""),CHAR(34),"")</f>
        <v>10-14</v>
      </c>
      <c r="R7543" s="0" t="str">
        <f aca="false">IF($D7543&lt;&gt;"","["&amp;$E7543&amp;"]"&amp;"|"&amp;$Q7543&amp;"|"&amp;$K7543&amp;"|"&amp;$G7543&amp;"|"&amp;IF($G7543="TX_CURR_SUBNAT.R","CY2022Q4",$M7543),"")</f>
        <v>[rpw540fmNUz]|10-14|Male|NEW_INFECTIONS_SUBNAT.T2|CY2025Q3</v>
      </c>
    </row>
    <row r="7544" customFormat="false" ht="15" hidden="false" customHeight="false" outlineLevel="0" collapsed="false">
      <c r="D7544" s="0" t="s">
        <v>114</v>
      </c>
      <c r="E7544" s="0" t="s">
        <v>115</v>
      </c>
      <c r="F7544" s="0" t="s">
        <v>116</v>
      </c>
      <c r="G7544" s="0" t="s">
        <v>175</v>
      </c>
      <c r="H7544" s="0" t="s">
        <v>175</v>
      </c>
      <c r="I7544" s="0" t="s">
        <v>38</v>
      </c>
      <c r="J7544" s="0" t="s">
        <v>39</v>
      </c>
      <c r="K7544" s="0" t="s">
        <v>48</v>
      </c>
      <c r="L7544" s="0" t="s">
        <v>49</v>
      </c>
      <c r="M7544" s="0" t="s">
        <v>173</v>
      </c>
      <c r="N7544" s="0" t="n">
        <v>1701</v>
      </c>
      <c r="O7544" s="10" t="n">
        <v>0.804666274692863</v>
      </c>
      <c r="P7544" s="10" t="n">
        <v>0.298559809103608</v>
      </c>
      <c r="Q7544" s="0" t="str">
        <f aca="false">SUBSTITUTE(SUBSTITUTE($I7544,CHAR(61),""),CHAR(34),"")</f>
        <v>15-24</v>
      </c>
      <c r="R7544" s="0" t="str">
        <f aca="false">IF($D7544&lt;&gt;"","["&amp;$E7544&amp;"]"&amp;"|"&amp;$Q7544&amp;"|"&amp;$K7544&amp;"|"&amp;$G7544&amp;"|"&amp;IF($G7544="TX_CURR_SUBNAT.R","CY2022Q4",$M7544),"")</f>
        <v>[rpw540fmNUz]|15-24|Male|NEW_INFECTIONS_SUBNAT.T2|CY2025Q3</v>
      </c>
    </row>
    <row r="7545" customFormat="false" ht="15" hidden="false" customHeight="false" outlineLevel="0" collapsed="false">
      <c r="D7545" s="0" t="s">
        <v>114</v>
      </c>
      <c r="E7545" s="0" t="s">
        <v>115</v>
      </c>
      <c r="F7545" s="0" t="s">
        <v>116</v>
      </c>
      <c r="G7545" s="0" t="s">
        <v>175</v>
      </c>
      <c r="H7545" s="0" t="s">
        <v>175</v>
      </c>
      <c r="I7545" s="0" t="s">
        <v>41</v>
      </c>
      <c r="J7545" s="0" t="s">
        <v>42</v>
      </c>
      <c r="K7545" s="0" t="s">
        <v>48</v>
      </c>
      <c r="L7545" s="0" t="s">
        <v>49</v>
      </c>
      <c r="M7545" s="0" t="s">
        <v>173</v>
      </c>
      <c r="N7545" s="0" t="n">
        <v>727</v>
      </c>
      <c r="O7545" s="10" t="n">
        <v>0.271742731332779</v>
      </c>
      <c r="P7545" s="10" t="n">
        <v>0.298559809103608</v>
      </c>
      <c r="Q7545" s="0" t="str">
        <f aca="false">SUBSTITUTE(SUBSTITUTE($I7545,CHAR(61),""),CHAR(34),"")</f>
        <v>25-34</v>
      </c>
      <c r="R7545" s="0" t="str">
        <f aca="false">IF($D7545&lt;&gt;"","["&amp;$E7545&amp;"]"&amp;"|"&amp;$Q7545&amp;"|"&amp;$K7545&amp;"|"&amp;$G7545&amp;"|"&amp;IF($G7545="TX_CURR_SUBNAT.R","CY2022Q4",$M7545),"")</f>
        <v>[rpw540fmNUz]|25-34|Male|NEW_INFECTIONS_SUBNAT.T2|CY2025Q3</v>
      </c>
    </row>
    <row r="7546" customFormat="false" ht="15" hidden="false" customHeight="false" outlineLevel="0" collapsed="false">
      <c r="D7546" s="0" t="s">
        <v>114</v>
      </c>
      <c r="E7546" s="0" t="s">
        <v>115</v>
      </c>
      <c r="F7546" s="0" t="s">
        <v>116</v>
      </c>
      <c r="G7546" s="0" t="s">
        <v>175</v>
      </c>
      <c r="H7546" s="0" t="s">
        <v>175</v>
      </c>
      <c r="I7546" s="0" t="s">
        <v>43</v>
      </c>
      <c r="J7546" s="0" t="s">
        <v>44</v>
      </c>
      <c r="K7546" s="0" t="s">
        <v>48</v>
      </c>
      <c r="L7546" s="0" t="s">
        <v>49</v>
      </c>
      <c r="M7546" s="0" t="s">
        <v>173</v>
      </c>
      <c r="N7546" s="0" t="n">
        <v>1282</v>
      </c>
      <c r="O7546" s="10" t="n">
        <v>0.501471074065194</v>
      </c>
      <c r="P7546" s="10" t="n">
        <v>0.298559809103608</v>
      </c>
      <c r="Q7546" s="0" t="str">
        <f aca="false">SUBSTITUTE(SUBSTITUTE($I7546,CHAR(61),""),CHAR(34),"")</f>
        <v>35-49</v>
      </c>
      <c r="R7546" s="0" t="str">
        <f aca="false">IF($D7546&lt;&gt;"","["&amp;$E7546&amp;"]"&amp;"|"&amp;$Q7546&amp;"|"&amp;$K7546&amp;"|"&amp;$G7546&amp;"|"&amp;IF($G7546="TX_CURR_SUBNAT.R","CY2022Q4",$M7546),"")</f>
        <v>[rpw540fmNUz]|35-49|Male|NEW_INFECTIONS_SUBNAT.T2|CY2025Q3</v>
      </c>
    </row>
    <row r="7547" customFormat="false" ht="15" hidden="false" customHeight="false" outlineLevel="0" collapsed="false">
      <c r="D7547" s="0" t="s">
        <v>114</v>
      </c>
      <c r="E7547" s="0" t="s">
        <v>115</v>
      </c>
      <c r="F7547" s="0" t="s">
        <v>116</v>
      </c>
      <c r="G7547" s="0" t="s">
        <v>175</v>
      </c>
      <c r="H7547" s="0" t="s">
        <v>175</v>
      </c>
      <c r="I7547" s="0" t="s">
        <v>45</v>
      </c>
      <c r="J7547" s="0" t="s">
        <v>46</v>
      </c>
      <c r="K7547" s="0" t="s">
        <v>48</v>
      </c>
      <c r="L7547" s="0" t="s">
        <v>49</v>
      </c>
      <c r="M7547" s="0" t="s">
        <v>173</v>
      </c>
      <c r="N7547" s="0" t="n">
        <v>676</v>
      </c>
      <c r="O7547" s="10" t="n">
        <v>0.724032264668494</v>
      </c>
      <c r="P7547" s="10" t="n">
        <v>0.298559809103608</v>
      </c>
      <c r="Q7547" s="0" t="str">
        <f aca="false">SUBSTITUTE(SUBSTITUTE($I7547,CHAR(61),""),CHAR(34),"")</f>
        <v>50+</v>
      </c>
      <c r="R7547" s="0" t="str">
        <f aca="false">IF($D7547&lt;&gt;"","["&amp;$E7547&amp;"]"&amp;"|"&amp;$Q7547&amp;"|"&amp;$K7547&amp;"|"&amp;$G7547&amp;"|"&amp;IF($G7547="TX_CURR_SUBNAT.R","CY2022Q4",$M7547),"")</f>
        <v>[rpw540fmNUz]|50+|Male|NEW_INFECTIONS_SUBNAT.T2|CY2025Q3</v>
      </c>
    </row>
    <row r="7548" customFormat="false" ht="15" hidden="false" customHeight="false" outlineLevel="0" collapsed="false">
      <c r="D7548" s="0" t="s">
        <v>117</v>
      </c>
      <c r="E7548" s="0" t="s">
        <v>118</v>
      </c>
      <c r="F7548" s="0" t="s">
        <v>119</v>
      </c>
      <c r="G7548" s="0" t="s">
        <v>175</v>
      </c>
      <c r="H7548" s="0" t="s">
        <v>175</v>
      </c>
      <c r="I7548" s="0" t="s">
        <v>28</v>
      </c>
      <c r="J7548" s="0" t="s">
        <v>29</v>
      </c>
      <c r="K7548" s="0" t="s">
        <v>30</v>
      </c>
      <c r="L7548" s="0" t="s">
        <v>31</v>
      </c>
      <c r="M7548" s="0" t="s">
        <v>173</v>
      </c>
      <c r="N7548" s="0" t="n">
        <v>556</v>
      </c>
      <c r="O7548" s="10" t="n">
        <v>0.123258588602766</v>
      </c>
      <c r="P7548" s="10" t="n">
        <v>0.206259709550068</v>
      </c>
      <c r="Q7548" s="0" t="str">
        <f aca="false">SUBSTITUTE(SUBSTITUTE($I7548,CHAR(61),""),CHAR(34),"")</f>
        <v>&lt;01</v>
      </c>
      <c r="R7548" s="0" t="str">
        <f aca="false">IF($D7548&lt;&gt;"","["&amp;$E7548&amp;"]"&amp;"|"&amp;$Q7548&amp;"|"&amp;$K7548&amp;"|"&amp;$G7548&amp;"|"&amp;IF($G7548="TX_CURR_SUBNAT.R","CY2022Q4",$M7548),"")</f>
        <v>[lPTyjLi4w3d]|&lt;01|Female|NEW_INFECTIONS_SUBNAT.T2|CY2025Q3</v>
      </c>
    </row>
    <row r="7549" customFormat="false" ht="15" hidden="false" customHeight="false" outlineLevel="0" collapsed="false">
      <c r="D7549" s="0" t="s">
        <v>117</v>
      </c>
      <c r="E7549" s="0" t="s">
        <v>118</v>
      </c>
      <c r="F7549" s="0" t="s">
        <v>119</v>
      </c>
      <c r="G7549" s="0" t="s">
        <v>175</v>
      </c>
      <c r="H7549" s="0" t="s">
        <v>175</v>
      </c>
      <c r="I7549" s="0" t="s">
        <v>33</v>
      </c>
      <c r="J7549" s="0" t="s">
        <v>34</v>
      </c>
      <c r="K7549" s="0" t="s">
        <v>30</v>
      </c>
      <c r="L7549" s="0" t="s">
        <v>31</v>
      </c>
      <c r="M7549" s="0" t="s">
        <v>173</v>
      </c>
      <c r="N7549" s="0" t="n">
        <v>655</v>
      </c>
      <c r="O7549" s="10" t="n">
        <v>0.138774830847979</v>
      </c>
      <c r="P7549" s="10" t="n">
        <v>0.206259709550068</v>
      </c>
      <c r="Q7549" s="0" t="str">
        <f aca="false">SUBSTITUTE(SUBSTITUTE($I7549,CHAR(61),""),CHAR(34),"")</f>
        <v>01-09</v>
      </c>
      <c r="R7549" s="0" t="str">
        <f aca="false">IF($D7549&lt;&gt;"","["&amp;$E7549&amp;"]"&amp;"|"&amp;$Q7549&amp;"|"&amp;$K7549&amp;"|"&amp;$G7549&amp;"|"&amp;IF($G7549="TX_CURR_SUBNAT.R","CY2022Q4",$M7549),"")</f>
        <v>[lPTyjLi4w3d]|01-09|Female|NEW_INFECTIONS_SUBNAT.T2|CY2025Q3</v>
      </c>
    </row>
    <row r="7550" customFormat="false" ht="15" hidden="false" customHeight="false" outlineLevel="0" collapsed="false">
      <c r="D7550" s="0" t="s">
        <v>117</v>
      </c>
      <c r="E7550" s="0" t="s">
        <v>118</v>
      </c>
      <c r="F7550" s="0" t="s">
        <v>119</v>
      </c>
      <c r="G7550" s="0" t="s">
        <v>175</v>
      </c>
      <c r="H7550" s="0" t="s">
        <v>175</v>
      </c>
      <c r="I7550" s="0" t="s">
        <v>36</v>
      </c>
      <c r="J7550" s="0" t="s">
        <v>37</v>
      </c>
      <c r="K7550" s="0" t="s">
        <v>30</v>
      </c>
      <c r="L7550" s="0" t="s">
        <v>31</v>
      </c>
      <c r="M7550" s="0" t="s">
        <v>173</v>
      </c>
      <c r="N7550" s="0" t="n">
        <v>927</v>
      </c>
      <c r="O7550" s="10" t="n">
        <v>0.410215075360611</v>
      </c>
      <c r="P7550" s="10" t="n">
        <v>0.206259709550068</v>
      </c>
      <c r="Q7550" s="0" t="str">
        <f aca="false">SUBSTITUTE(SUBSTITUTE($I7550,CHAR(61),""),CHAR(34),"")</f>
        <v>10-14</v>
      </c>
      <c r="R7550" s="0" t="str">
        <f aca="false">IF($D7550&lt;&gt;"","["&amp;$E7550&amp;"]"&amp;"|"&amp;$Q7550&amp;"|"&amp;$K7550&amp;"|"&amp;$G7550&amp;"|"&amp;IF($G7550="TX_CURR_SUBNAT.R","CY2022Q4",$M7550),"")</f>
        <v>[lPTyjLi4w3d]|10-14|Female|NEW_INFECTIONS_SUBNAT.T2|CY2025Q3</v>
      </c>
    </row>
    <row r="7551" customFormat="false" ht="15" hidden="false" customHeight="false" outlineLevel="0" collapsed="false">
      <c r="D7551" s="0" t="s">
        <v>117</v>
      </c>
      <c r="E7551" s="0" t="s">
        <v>118</v>
      </c>
      <c r="F7551" s="0" t="s">
        <v>119</v>
      </c>
      <c r="G7551" s="0" t="s">
        <v>175</v>
      </c>
      <c r="H7551" s="0" t="s">
        <v>175</v>
      </c>
      <c r="I7551" s="0" t="s">
        <v>38</v>
      </c>
      <c r="J7551" s="0" t="s">
        <v>39</v>
      </c>
      <c r="K7551" s="0" t="s">
        <v>30</v>
      </c>
      <c r="L7551" s="0" t="s">
        <v>31</v>
      </c>
      <c r="M7551" s="0" t="s">
        <v>173</v>
      </c>
      <c r="N7551" s="0" t="n">
        <v>1447</v>
      </c>
      <c r="O7551" s="10" t="n">
        <v>0.326328709255904</v>
      </c>
      <c r="P7551" s="10" t="n">
        <v>0.206259709550068</v>
      </c>
      <c r="Q7551" s="0" t="str">
        <f aca="false">SUBSTITUTE(SUBSTITUTE($I7551,CHAR(61),""),CHAR(34),"")</f>
        <v>15-24</v>
      </c>
      <c r="R7551" s="0" t="str">
        <f aca="false">IF($D7551&lt;&gt;"","["&amp;$E7551&amp;"]"&amp;"|"&amp;$Q7551&amp;"|"&amp;$K7551&amp;"|"&amp;$G7551&amp;"|"&amp;IF($G7551="TX_CURR_SUBNAT.R","CY2022Q4",$M7551),"")</f>
        <v>[lPTyjLi4w3d]|15-24|Female|NEW_INFECTIONS_SUBNAT.T2|CY2025Q3</v>
      </c>
    </row>
    <row r="7552" customFormat="false" ht="15" hidden="false" customHeight="false" outlineLevel="0" collapsed="false">
      <c r="D7552" s="0" t="s">
        <v>117</v>
      </c>
      <c r="E7552" s="0" t="s">
        <v>118</v>
      </c>
      <c r="F7552" s="0" t="s">
        <v>119</v>
      </c>
      <c r="G7552" s="0" t="s">
        <v>175</v>
      </c>
      <c r="H7552" s="0" t="s">
        <v>175</v>
      </c>
      <c r="I7552" s="0" t="s">
        <v>41</v>
      </c>
      <c r="J7552" s="0" t="s">
        <v>42</v>
      </c>
      <c r="K7552" s="0" t="s">
        <v>30</v>
      </c>
      <c r="L7552" s="0" t="s">
        <v>31</v>
      </c>
      <c r="M7552" s="0" t="s">
        <v>173</v>
      </c>
      <c r="N7552" s="0" t="n">
        <v>1356</v>
      </c>
      <c r="O7552" s="10" t="n">
        <v>0.329643974546343</v>
      </c>
      <c r="P7552" s="10" t="n">
        <v>0.206259709550068</v>
      </c>
      <c r="Q7552" s="0" t="str">
        <f aca="false">SUBSTITUTE(SUBSTITUTE($I7552,CHAR(61),""),CHAR(34),"")</f>
        <v>25-34</v>
      </c>
      <c r="R7552" s="0" t="str">
        <f aca="false">IF($D7552&lt;&gt;"","["&amp;$E7552&amp;"]"&amp;"|"&amp;$Q7552&amp;"|"&amp;$K7552&amp;"|"&amp;$G7552&amp;"|"&amp;IF($G7552="TX_CURR_SUBNAT.R","CY2022Q4",$M7552),"")</f>
        <v>[lPTyjLi4w3d]|25-34|Female|NEW_INFECTIONS_SUBNAT.T2|CY2025Q3</v>
      </c>
    </row>
    <row r="7553" customFormat="false" ht="15" hidden="false" customHeight="false" outlineLevel="0" collapsed="false">
      <c r="D7553" s="0" t="s">
        <v>117</v>
      </c>
      <c r="E7553" s="0" t="s">
        <v>118</v>
      </c>
      <c r="F7553" s="0" t="s">
        <v>119</v>
      </c>
      <c r="G7553" s="0" t="s">
        <v>175</v>
      </c>
      <c r="H7553" s="0" t="s">
        <v>175</v>
      </c>
      <c r="I7553" s="0" t="s">
        <v>43</v>
      </c>
      <c r="J7553" s="0" t="s">
        <v>44</v>
      </c>
      <c r="K7553" s="0" t="s">
        <v>30</v>
      </c>
      <c r="L7553" s="0" t="s">
        <v>31</v>
      </c>
      <c r="M7553" s="0" t="s">
        <v>173</v>
      </c>
      <c r="N7553" s="0" t="n">
        <v>688</v>
      </c>
      <c r="O7553" s="10" t="n">
        <v>0.95649367547594</v>
      </c>
      <c r="P7553" s="10" t="n">
        <v>0.206259709550068</v>
      </c>
      <c r="Q7553" s="0" t="str">
        <f aca="false">SUBSTITUTE(SUBSTITUTE($I7553,CHAR(61),""),CHAR(34),"")</f>
        <v>35-49</v>
      </c>
      <c r="R7553" s="0" t="str">
        <f aca="false">IF($D7553&lt;&gt;"","["&amp;$E7553&amp;"]"&amp;"|"&amp;$Q7553&amp;"|"&amp;$K7553&amp;"|"&amp;$G7553&amp;"|"&amp;IF($G7553="TX_CURR_SUBNAT.R","CY2022Q4",$M7553),"")</f>
        <v>[lPTyjLi4w3d]|35-49|Female|NEW_INFECTIONS_SUBNAT.T2|CY2025Q3</v>
      </c>
    </row>
    <row r="7554" customFormat="false" ht="15" hidden="false" customHeight="false" outlineLevel="0" collapsed="false">
      <c r="D7554" s="0" t="s">
        <v>117</v>
      </c>
      <c r="E7554" s="0" t="s">
        <v>118</v>
      </c>
      <c r="F7554" s="0" t="s">
        <v>119</v>
      </c>
      <c r="G7554" s="0" t="s">
        <v>175</v>
      </c>
      <c r="H7554" s="0" t="s">
        <v>175</v>
      </c>
      <c r="I7554" s="0" t="s">
        <v>45</v>
      </c>
      <c r="J7554" s="0" t="s">
        <v>46</v>
      </c>
      <c r="K7554" s="0" t="s">
        <v>30</v>
      </c>
      <c r="L7554" s="0" t="s">
        <v>31</v>
      </c>
      <c r="M7554" s="0" t="s">
        <v>173</v>
      </c>
      <c r="N7554" s="0" t="n">
        <v>674</v>
      </c>
      <c r="O7554" s="10" t="n">
        <v>0.104286412941292</v>
      </c>
      <c r="P7554" s="10" t="n">
        <v>0.206259709550068</v>
      </c>
      <c r="Q7554" s="0" t="str">
        <f aca="false">SUBSTITUTE(SUBSTITUTE($I7554,CHAR(61),""),CHAR(34),"")</f>
        <v>50+</v>
      </c>
      <c r="R7554" s="0" t="str">
        <f aca="false">IF($D7554&lt;&gt;"","["&amp;$E7554&amp;"]"&amp;"|"&amp;$Q7554&amp;"|"&amp;$K7554&amp;"|"&amp;$G7554&amp;"|"&amp;IF($G7554="TX_CURR_SUBNAT.R","CY2022Q4",$M7554),"")</f>
        <v>[lPTyjLi4w3d]|50+|Female|NEW_INFECTIONS_SUBNAT.T2|CY2025Q3</v>
      </c>
    </row>
    <row r="7555" customFormat="false" ht="15" hidden="false" customHeight="false" outlineLevel="0" collapsed="false">
      <c r="D7555" s="0" t="s">
        <v>117</v>
      </c>
      <c r="E7555" s="0" t="s">
        <v>118</v>
      </c>
      <c r="F7555" s="0" t="s">
        <v>119</v>
      </c>
      <c r="G7555" s="0" t="s">
        <v>175</v>
      </c>
      <c r="H7555" s="0" t="s">
        <v>175</v>
      </c>
      <c r="I7555" s="0" t="s">
        <v>28</v>
      </c>
      <c r="J7555" s="0" t="s">
        <v>29</v>
      </c>
      <c r="K7555" s="0" t="s">
        <v>48</v>
      </c>
      <c r="L7555" s="0" t="s">
        <v>49</v>
      </c>
      <c r="M7555" s="0" t="s">
        <v>173</v>
      </c>
      <c r="N7555" s="0" t="n">
        <v>1486</v>
      </c>
      <c r="O7555" s="10" t="n">
        <v>0.588255065260455</v>
      </c>
      <c r="P7555" s="10" t="n">
        <v>0.206259709550068</v>
      </c>
      <c r="Q7555" s="0" t="str">
        <f aca="false">SUBSTITUTE(SUBSTITUTE($I7555,CHAR(61),""),CHAR(34),"")</f>
        <v>&lt;01</v>
      </c>
      <c r="R7555" s="0" t="str">
        <f aca="false">IF($D7555&lt;&gt;"","["&amp;$E7555&amp;"]"&amp;"|"&amp;$Q7555&amp;"|"&amp;$K7555&amp;"|"&amp;$G7555&amp;"|"&amp;IF($G7555="TX_CURR_SUBNAT.R","CY2022Q4",$M7555),"")</f>
        <v>[lPTyjLi4w3d]|&lt;01|Male|NEW_INFECTIONS_SUBNAT.T2|CY2025Q3</v>
      </c>
    </row>
    <row r="7556" customFormat="false" ht="15" hidden="false" customHeight="false" outlineLevel="0" collapsed="false">
      <c r="D7556" s="0" t="s">
        <v>117</v>
      </c>
      <c r="E7556" s="0" t="s">
        <v>118</v>
      </c>
      <c r="F7556" s="0" t="s">
        <v>119</v>
      </c>
      <c r="G7556" s="0" t="s">
        <v>175</v>
      </c>
      <c r="H7556" s="0" t="s">
        <v>175</v>
      </c>
      <c r="I7556" s="0" t="s">
        <v>33</v>
      </c>
      <c r="J7556" s="0" t="s">
        <v>34</v>
      </c>
      <c r="K7556" s="0" t="s">
        <v>48</v>
      </c>
      <c r="L7556" s="0" t="s">
        <v>49</v>
      </c>
      <c r="M7556" s="0" t="s">
        <v>173</v>
      </c>
      <c r="N7556" s="0" t="n">
        <v>934</v>
      </c>
      <c r="O7556" s="10" t="n">
        <v>0.548848254606128</v>
      </c>
      <c r="P7556" s="10" t="n">
        <v>0.206259709550068</v>
      </c>
      <c r="Q7556" s="0" t="str">
        <f aca="false">SUBSTITUTE(SUBSTITUTE($I7556,CHAR(61),""),CHAR(34),"")</f>
        <v>01-09</v>
      </c>
      <c r="R7556" s="0" t="str">
        <f aca="false">IF($D7556&lt;&gt;"","["&amp;$E7556&amp;"]"&amp;"|"&amp;$Q7556&amp;"|"&amp;$K7556&amp;"|"&amp;$G7556&amp;"|"&amp;IF($G7556="TX_CURR_SUBNAT.R","CY2022Q4",$M7556),"")</f>
        <v>[lPTyjLi4w3d]|01-09|Male|NEW_INFECTIONS_SUBNAT.T2|CY2025Q3</v>
      </c>
    </row>
    <row r="7557" customFormat="false" ht="15" hidden="false" customHeight="false" outlineLevel="0" collapsed="false">
      <c r="D7557" s="0" t="s">
        <v>117</v>
      </c>
      <c r="E7557" s="0" t="s">
        <v>118</v>
      </c>
      <c r="F7557" s="0" t="s">
        <v>119</v>
      </c>
      <c r="G7557" s="0" t="s">
        <v>175</v>
      </c>
      <c r="H7557" s="0" t="s">
        <v>175</v>
      </c>
      <c r="I7557" s="0" t="s">
        <v>36</v>
      </c>
      <c r="J7557" s="0" t="s">
        <v>37</v>
      </c>
      <c r="K7557" s="0" t="s">
        <v>48</v>
      </c>
      <c r="L7557" s="0" t="s">
        <v>49</v>
      </c>
      <c r="M7557" s="0" t="s">
        <v>173</v>
      </c>
      <c r="N7557" s="0" t="n">
        <v>1994</v>
      </c>
      <c r="O7557" s="10" t="n">
        <v>0.445827739313245</v>
      </c>
      <c r="P7557" s="10" t="n">
        <v>0.206259709550068</v>
      </c>
      <c r="Q7557" s="0" t="str">
        <f aca="false">SUBSTITUTE(SUBSTITUTE($I7557,CHAR(61),""),CHAR(34),"")</f>
        <v>10-14</v>
      </c>
      <c r="R7557" s="0" t="str">
        <f aca="false">IF($D7557&lt;&gt;"","["&amp;$E7557&amp;"]"&amp;"|"&amp;$Q7557&amp;"|"&amp;$K7557&amp;"|"&amp;$G7557&amp;"|"&amp;IF($G7557="TX_CURR_SUBNAT.R","CY2022Q4",$M7557),"")</f>
        <v>[lPTyjLi4w3d]|10-14|Male|NEW_INFECTIONS_SUBNAT.T2|CY2025Q3</v>
      </c>
    </row>
    <row r="7558" customFormat="false" ht="15" hidden="false" customHeight="false" outlineLevel="0" collapsed="false">
      <c r="D7558" s="0" t="s">
        <v>117</v>
      </c>
      <c r="E7558" s="0" t="s">
        <v>118</v>
      </c>
      <c r="F7558" s="0" t="s">
        <v>119</v>
      </c>
      <c r="G7558" s="0" t="s">
        <v>175</v>
      </c>
      <c r="H7558" s="0" t="s">
        <v>175</v>
      </c>
      <c r="I7558" s="0" t="s">
        <v>38</v>
      </c>
      <c r="J7558" s="0" t="s">
        <v>39</v>
      </c>
      <c r="K7558" s="0" t="s">
        <v>48</v>
      </c>
      <c r="L7558" s="0" t="s">
        <v>49</v>
      </c>
      <c r="M7558" s="0" t="s">
        <v>173</v>
      </c>
      <c r="N7558" s="0" t="n">
        <v>1430</v>
      </c>
      <c r="O7558" s="10" t="n">
        <v>0.872475020587444</v>
      </c>
      <c r="P7558" s="10" t="n">
        <v>0.206259709550068</v>
      </c>
      <c r="Q7558" s="0" t="str">
        <f aca="false">SUBSTITUTE(SUBSTITUTE($I7558,CHAR(61),""),CHAR(34),"")</f>
        <v>15-24</v>
      </c>
      <c r="R7558" s="0" t="str">
        <f aca="false">IF($D7558&lt;&gt;"","["&amp;$E7558&amp;"]"&amp;"|"&amp;$Q7558&amp;"|"&amp;$K7558&amp;"|"&amp;$G7558&amp;"|"&amp;IF($G7558="TX_CURR_SUBNAT.R","CY2022Q4",$M7558),"")</f>
        <v>[lPTyjLi4w3d]|15-24|Male|NEW_INFECTIONS_SUBNAT.T2|CY2025Q3</v>
      </c>
    </row>
    <row r="7559" customFormat="false" ht="15" hidden="false" customHeight="false" outlineLevel="0" collapsed="false">
      <c r="D7559" s="0" t="s">
        <v>117</v>
      </c>
      <c r="E7559" s="0" t="s">
        <v>118</v>
      </c>
      <c r="F7559" s="0" t="s">
        <v>119</v>
      </c>
      <c r="G7559" s="0" t="s">
        <v>175</v>
      </c>
      <c r="H7559" s="0" t="s">
        <v>175</v>
      </c>
      <c r="I7559" s="0" t="s">
        <v>41</v>
      </c>
      <c r="J7559" s="0" t="s">
        <v>42</v>
      </c>
      <c r="K7559" s="0" t="s">
        <v>48</v>
      </c>
      <c r="L7559" s="0" t="s">
        <v>49</v>
      </c>
      <c r="M7559" s="0" t="s">
        <v>173</v>
      </c>
      <c r="N7559" s="0" t="n">
        <v>665</v>
      </c>
      <c r="O7559" s="10" t="n">
        <v>0.999389219796285</v>
      </c>
      <c r="P7559" s="10" t="n">
        <v>0.206259709550068</v>
      </c>
      <c r="Q7559" s="0" t="str">
        <f aca="false">SUBSTITUTE(SUBSTITUTE($I7559,CHAR(61),""),CHAR(34),"")</f>
        <v>25-34</v>
      </c>
      <c r="R7559" s="0" t="str">
        <f aca="false">IF($D7559&lt;&gt;"","["&amp;$E7559&amp;"]"&amp;"|"&amp;$Q7559&amp;"|"&amp;$K7559&amp;"|"&amp;$G7559&amp;"|"&amp;IF($G7559="TX_CURR_SUBNAT.R","CY2022Q4",$M7559),"")</f>
        <v>[lPTyjLi4w3d]|25-34|Male|NEW_INFECTIONS_SUBNAT.T2|CY2025Q3</v>
      </c>
    </row>
    <row r="7560" customFormat="false" ht="15" hidden="false" customHeight="false" outlineLevel="0" collapsed="false">
      <c r="D7560" s="0" t="s">
        <v>117</v>
      </c>
      <c r="E7560" s="0" t="s">
        <v>118</v>
      </c>
      <c r="F7560" s="0" t="s">
        <v>119</v>
      </c>
      <c r="G7560" s="0" t="s">
        <v>175</v>
      </c>
      <c r="H7560" s="0" t="s">
        <v>175</v>
      </c>
      <c r="I7560" s="0" t="s">
        <v>43</v>
      </c>
      <c r="J7560" s="0" t="s">
        <v>44</v>
      </c>
      <c r="K7560" s="0" t="s">
        <v>48</v>
      </c>
      <c r="L7560" s="0" t="s">
        <v>49</v>
      </c>
      <c r="M7560" s="0" t="s">
        <v>173</v>
      </c>
      <c r="N7560" s="0" t="n">
        <v>1448</v>
      </c>
      <c r="O7560" s="10" t="n">
        <v>0.681472701719031</v>
      </c>
      <c r="P7560" s="10" t="n">
        <v>0.206259709550068</v>
      </c>
      <c r="Q7560" s="0" t="str">
        <f aca="false">SUBSTITUTE(SUBSTITUTE($I7560,CHAR(61),""),CHAR(34),"")</f>
        <v>35-49</v>
      </c>
      <c r="R7560" s="0" t="str">
        <f aca="false">IF($D7560&lt;&gt;"","["&amp;$E7560&amp;"]"&amp;"|"&amp;$Q7560&amp;"|"&amp;$K7560&amp;"|"&amp;$G7560&amp;"|"&amp;IF($G7560="TX_CURR_SUBNAT.R","CY2022Q4",$M7560),"")</f>
        <v>[lPTyjLi4w3d]|35-49|Male|NEW_INFECTIONS_SUBNAT.T2|CY2025Q3</v>
      </c>
    </row>
    <row r="7561" customFormat="false" ht="15" hidden="false" customHeight="false" outlineLevel="0" collapsed="false">
      <c r="D7561" s="0" t="s">
        <v>117</v>
      </c>
      <c r="E7561" s="0" t="s">
        <v>118</v>
      </c>
      <c r="F7561" s="0" t="s">
        <v>119</v>
      </c>
      <c r="G7561" s="0" t="s">
        <v>175</v>
      </c>
      <c r="H7561" s="0" t="s">
        <v>175</v>
      </c>
      <c r="I7561" s="0" t="s">
        <v>45</v>
      </c>
      <c r="J7561" s="0" t="s">
        <v>46</v>
      </c>
      <c r="K7561" s="0" t="s">
        <v>48</v>
      </c>
      <c r="L7561" s="0" t="s">
        <v>49</v>
      </c>
      <c r="M7561" s="0" t="s">
        <v>173</v>
      </c>
      <c r="N7561" s="0" t="n">
        <v>1815</v>
      </c>
      <c r="O7561" s="10" t="n">
        <v>0.289100196445361</v>
      </c>
      <c r="P7561" s="10" t="n">
        <v>0.206259709550068</v>
      </c>
      <c r="Q7561" s="0" t="str">
        <f aca="false">SUBSTITUTE(SUBSTITUTE($I7561,CHAR(61),""),CHAR(34),"")</f>
        <v>50+</v>
      </c>
      <c r="R7561" s="0" t="str">
        <f aca="false">IF($D7561&lt;&gt;"","["&amp;$E7561&amp;"]"&amp;"|"&amp;$Q7561&amp;"|"&amp;$K7561&amp;"|"&amp;$G7561&amp;"|"&amp;IF($G7561="TX_CURR_SUBNAT.R","CY2022Q4",$M7561),"")</f>
        <v>[lPTyjLi4w3d]|50+|Male|NEW_INFECTIONS_SUBNAT.T2|CY2025Q3</v>
      </c>
    </row>
    <row r="7562" customFormat="false" ht="15" hidden="false" customHeight="false" outlineLevel="0" collapsed="false">
      <c r="D7562" s="0" t="s">
        <v>120</v>
      </c>
      <c r="E7562" s="0" t="s">
        <v>121</v>
      </c>
      <c r="F7562" s="0" t="s">
        <v>122</v>
      </c>
      <c r="G7562" s="0" t="s">
        <v>175</v>
      </c>
      <c r="H7562" s="0" t="s">
        <v>175</v>
      </c>
      <c r="I7562" s="0" t="s">
        <v>28</v>
      </c>
      <c r="J7562" s="0" t="s">
        <v>29</v>
      </c>
      <c r="K7562" s="0" t="s">
        <v>30</v>
      </c>
      <c r="L7562" s="0" t="s">
        <v>31</v>
      </c>
      <c r="M7562" s="0" t="s">
        <v>173</v>
      </c>
      <c r="N7562" s="0" t="n">
        <v>1611</v>
      </c>
      <c r="O7562" s="10" t="n">
        <v>0.845844376599416</v>
      </c>
      <c r="P7562" s="10" t="n">
        <v>0.430103979306296</v>
      </c>
      <c r="Q7562" s="0" t="str">
        <f aca="false">SUBSTITUTE(SUBSTITUTE($I7562,CHAR(61),""),CHAR(34),"")</f>
        <v>&lt;01</v>
      </c>
      <c r="R7562" s="0" t="str">
        <f aca="false">IF($D7562&lt;&gt;"","["&amp;$E7562&amp;"]"&amp;"|"&amp;$Q7562&amp;"|"&amp;$K7562&amp;"|"&amp;$G7562&amp;"|"&amp;IF($G7562="TX_CURR_SUBNAT.R","CY2022Q4",$M7562),"")</f>
        <v>[vA4NcHxfMBq]|&lt;01|Female|NEW_INFECTIONS_SUBNAT.T2|CY2025Q3</v>
      </c>
    </row>
    <row r="7563" customFormat="false" ht="15" hidden="false" customHeight="false" outlineLevel="0" collapsed="false">
      <c r="D7563" s="0" t="s">
        <v>120</v>
      </c>
      <c r="E7563" s="0" t="s">
        <v>121</v>
      </c>
      <c r="F7563" s="0" t="s">
        <v>122</v>
      </c>
      <c r="G7563" s="0" t="s">
        <v>175</v>
      </c>
      <c r="H7563" s="0" t="s">
        <v>175</v>
      </c>
      <c r="I7563" s="0" t="s">
        <v>33</v>
      </c>
      <c r="J7563" s="0" t="s">
        <v>34</v>
      </c>
      <c r="K7563" s="0" t="s">
        <v>30</v>
      </c>
      <c r="L7563" s="0" t="s">
        <v>31</v>
      </c>
      <c r="M7563" s="0" t="s">
        <v>173</v>
      </c>
      <c r="N7563" s="0" t="n">
        <v>1669</v>
      </c>
      <c r="O7563" s="10" t="n">
        <v>0.845129623776302</v>
      </c>
      <c r="P7563" s="10" t="n">
        <v>0.430103979306296</v>
      </c>
      <c r="Q7563" s="0" t="str">
        <f aca="false">SUBSTITUTE(SUBSTITUTE($I7563,CHAR(61),""),CHAR(34),"")</f>
        <v>01-09</v>
      </c>
      <c r="R7563" s="0" t="str">
        <f aca="false">IF($D7563&lt;&gt;"","["&amp;$E7563&amp;"]"&amp;"|"&amp;$Q7563&amp;"|"&amp;$K7563&amp;"|"&amp;$G7563&amp;"|"&amp;IF($G7563="TX_CURR_SUBNAT.R","CY2022Q4",$M7563),"")</f>
        <v>[vA4NcHxfMBq]|01-09|Female|NEW_INFECTIONS_SUBNAT.T2|CY2025Q3</v>
      </c>
    </row>
    <row r="7564" customFormat="false" ht="15" hidden="false" customHeight="false" outlineLevel="0" collapsed="false">
      <c r="D7564" s="0" t="s">
        <v>120</v>
      </c>
      <c r="E7564" s="0" t="s">
        <v>121</v>
      </c>
      <c r="F7564" s="0" t="s">
        <v>122</v>
      </c>
      <c r="G7564" s="0" t="s">
        <v>175</v>
      </c>
      <c r="H7564" s="0" t="s">
        <v>175</v>
      </c>
      <c r="I7564" s="0" t="s">
        <v>36</v>
      </c>
      <c r="J7564" s="0" t="s">
        <v>37</v>
      </c>
      <c r="K7564" s="0" t="s">
        <v>30</v>
      </c>
      <c r="L7564" s="0" t="s">
        <v>31</v>
      </c>
      <c r="M7564" s="0" t="s">
        <v>173</v>
      </c>
      <c r="N7564" s="0" t="n">
        <v>611</v>
      </c>
      <c r="O7564" s="10" t="n">
        <v>0.373113518580794</v>
      </c>
      <c r="P7564" s="10" t="n">
        <v>0.430103979306296</v>
      </c>
      <c r="Q7564" s="0" t="str">
        <f aca="false">SUBSTITUTE(SUBSTITUTE($I7564,CHAR(61),""),CHAR(34),"")</f>
        <v>10-14</v>
      </c>
      <c r="R7564" s="0" t="str">
        <f aca="false">IF($D7564&lt;&gt;"","["&amp;$E7564&amp;"]"&amp;"|"&amp;$Q7564&amp;"|"&amp;$K7564&amp;"|"&amp;$G7564&amp;"|"&amp;IF($G7564="TX_CURR_SUBNAT.R","CY2022Q4",$M7564),"")</f>
        <v>[vA4NcHxfMBq]|10-14|Female|NEW_INFECTIONS_SUBNAT.T2|CY2025Q3</v>
      </c>
    </row>
    <row r="7565" customFormat="false" ht="15" hidden="false" customHeight="false" outlineLevel="0" collapsed="false">
      <c r="D7565" s="0" t="s">
        <v>120</v>
      </c>
      <c r="E7565" s="0" t="s">
        <v>121</v>
      </c>
      <c r="F7565" s="0" t="s">
        <v>122</v>
      </c>
      <c r="G7565" s="0" t="s">
        <v>175</v>
      </c>
      <c r="H7565" s="0" t="s">
        <v>175</v>
      </c>
      <c r="I7565" s="0" t="s">
        <v>38</v>
      </c>
      <c r="J7565" s="0" t="s">
        <v>39</v>
      </c>
      <c r="K7565" s="0" t="s">
        <v>30</v>
      </c>
      <c r="L7565" s="0" t="s">
        <v>31</v>
      </c>
      <c r="M7565" s="0" t="s">
        <v>173</v>
      </c>
      <c r="N7565" s="0" t="n">
        <v>1682</v>
      </c>
      <c r="O7565" s="10" t="n">
        <v>0.600230666343123</v>
      </c>
      <c r="P7565" s="10" t="n">
        <v>0.430103979306296</v>
      </c>
      <c r="Q7565" s="0" t="str">
        <f aca="false">SUBSTITUTE(SUBSTITUTE($I7565,CHAR(61),""),CHAR(34),"")</f>
        <v>15-24</v>
      </c>
      <c r="R7565" s="0" t="str">
        <f aca="false">IF($D7565&lt;&gt;"","["&amp;$E7565&amp;"]"&amp;"|"&amp;$Q7565&amp;"|"&amp;$K7565&amp;"|"&amp;$G7565&amp;"|"&amp;IF($G7565="TX_CURR_SUBNAT.R","CY2022Q4",$M7565),"")</f>
        <v>[vA4NcHxfMBq]|15-24|Female|NEW_INFECTIONS_SUBNAT.T2|CY2025Q3</v>
      </c>
    </row>
    <row r="7566" customFormat="false" ht="15" hidden="false" customHeight="false" outlineLevel="0" collapsed="false">
      <c r="D7566" s="0" t="s">
        <v>120</v>
      </c>
      <c r="E7566" s="0" t="s">
        <v>121</v>
      </c>
      <c r="F7566" s="0" t="s">
        <v>122</v>
      </c>
      <c r="G7566" s="0" t="s">
        <v>175</v>
      </c>
      <c r="H7566" s="0" t="s">
        <v>175</v>
      </c>
      <c r="I7566" s="0" t="s">
        <v>41</v>
      </c>
      <c r="J7566" s="0" t="s">
        <v>42</v>
      </c>
      <c r="K7566" s="0" t="s">
        <v>30</v>
      </c>
      <c r="L7566" s="0" t="s">
        <v>31</v>
      </c>
      <c r="M7566" s="0" t="s">
        <v>173</v>
      </c>
      <c r="N7566" s="0" t="n">
        <v>1186</v>
      </c>
      <c r="O7566" s="10" t="n">
        <v>0.34702184679918</v>
      </c>
      <c r="P7566" s="10" t="n">
        <v>0.430103979306296</v>
      </c>
      <c r="Q7566" s="0" t="str">
        <f aca="false">SUBSTITUTE(SUBSTITUTE($I7566,CHAR(61),""),CHAR(34),"")</f>
        <v>25-34</v>
      </c>
      <c r="R7566" s="0" t="str">
        <f aca="false">IF($D7566&lt;&gt;"","["&amp;$E7566&amp;"]"&amp;"|"&amp;$Q7566&amp;"|"&amp;$K7566&amp;"|"&amp;$G7566&amp;"|"&amp;IF($G7566="TX_CURR_SUBNAT.R","CY2022Q4",$M7566),"")</f>
        <v>[vA4NcHxfMBq]|25-34|Female|NEW_INFECTIONS_SUBNAT.T2|CY2025Q3</v>
      </c>
    </row>
    <row r="7567" customFormat="false" ht="15" hidden="false" customHeight="false" outlineLevel="0" collapsed="false">
      <c r="D7567" s="0" t="s">
        <v>120</v>
      </c>
      <c r="E7567" s="0" t="s">
        <v>121</v>
      </c>
      <c r="F7567" s="0" t="s">
        <v>122</v>
      </c>
      <c r="G7567" s="0" t="s">
        <v>175</v>
      </c>
      <c r="H7567" s="0" t="s">
        <v>175</v>
      </c>
      <c r="I7567" s="0" t="s">
        <v>43</v>
      </c>
      <c r="J7567" s="0" t="s">
        <v>44</v>
      </c>
      <c r="K7567" s="0" t="s">
        <v>30</v>
      </c>
      <c r="L7567" s="0" t="s">
        <v>31</v>
      </c>
      <c r="M7567" s="0" t="s">
        <v>173</v>
      </c>
      <c r="N7567" s="0" t="n">
        <v>971</v>
      </c>
      <c r="O7567" s="10" t="n">
        <v>0.781550114275888</v>
      </c>
      <c r="P7567" s="10" t="n">
        <v>0.430103979306296</v>
      </c>
      <c r="Q7567" s="0" t="str">
        <f aca="false">SUBSTITUTE(SUBSTITUTE($I7567,CHAR(61),""),CHAR(34),"")</f>
        <v>35-49</v>
      </c>
      <c r="R7567" s="0" t="str">
        <f aca="false">IF($D7567&lt;&gt;"","["&amp;$E7567&amp;"]"&amp;"|"&amp;$Q7567&amp;"|"&amp;$K7567&amp;"|"&amp;$G7567&amp;"|"&amp;IF($G7567="TX_CURR_SUBNAT.R","CY2022Q4",$M7567),"")</f>
        <v>[vA4NcHxfMBq]|35-49|Female|NEW_INFECTIONS_SUBNAT.T2|CY2025Q3</v>
      </c>
    </row>
    <row r="7568" customFormat="false" ht="15" hidden="false" customHeight="false" outlineLevel="0" collapsed="false">
      <c r="D7568" s="0" t="s">
        <v>120</v>
      </c>
      <c r="E7568" s="0" t="s">
        <v>121</v>
      </c>
      <c r="F7568" s="0" t="s">
        <v>122</v>
      </c>
      <c r="G7568" s="0" t="s">
        <v>175</v>
      </c>
      <c r="H7568" s="0" t="s">
        <v>175</v>
      </c>
      <c r="I7568" s="0" t="s">
        <v>45</v>
      </c>
      <c r="J7568" s="0" t="s">
        <v>46</v>
      </c>
      <c r="K7568" s="0" t="s">
        <v>30</v>
      </c>
      <c r="L7568" s="0" t="s">
        <v>31</v>
      </c>
      <c r="M7568" s="0" t="s">
        <v>173</v>
      </c>
      <c r="N7568" s="0" t="n">
        <v>945</v>
      </c>
      <c r="O7568" s="10" t="n">
        <v>0.0768928141333163</v>
      </c>
      <c r="P7568" s="10" t="n">
        <v>0.430103979306296</v>
      </c>
      <c r="Q7568" s="0" t="str">
        <f aca="false">SUBSTITUTE(SUBSTITUTE($I7568,CHAR(61),""),CHAR(34),"")</f>
        <v>50+</v>
      </c>
      <c r="R7568" s="0" t="str">
        <f aca="false">IF($D7568&lt;&gt;"","["&amp;$E7568&amp;"]"&amp;"|"&amp;$Q7568&amp;"|"&amp;$K7568&amp;"|"&amp;$G7568&amp;"|"&amp;IF($G7568="TX_CURR_SUBNAT.R","CY2022Q4",$M7568),"")</f>
        <v>[vA4NcHxfMBq]|50+|Female|NEW_INFECTIONS_SUBNAT.T2|CY2025Q3</v>
      </c>
    </row>
    <row r="7569" customFormat="false" ht="15" hidden="false" customHeight="false" outlineLevel="0" collapsed="false">
      <c r="D7569" s="0" t="s">
        <v>120</v>
      </c>
      <c r="E7569" s="0" t="s">
        <v>121</v>
      </c>
      <c r="F7569" s="0" t="s">
        <v>122</v>
      </c>
      <c r="G7569" s="0" t="s">
        <v>175</v>
      </c>
      <c r="H7569" s="0" t="s">
        <v>175</v>
      </c>
      <c r="I7569" s="0" t="s">
        <v>28</v>
      </c>
      <c r="J7569" s="0" t="s">
        <v>29</v>
      </c>
      <c r="K7569" s="0" t="s">
        <v>48</v>
      </c>
      <c r="L7569" s="0" t="s">
        <v>49</v>
      </c>
      <c r="M7569" s="0" t="s">
        <v>173</v>
      </c>
      <c r="N7569" s="0" t="n">
        <v>992</v>
      </c>
      <c r="O7569" s="10" t="n">
        <v>0.79234622605145</v>
      </c>
      <c r="P7569" s="10" t="n">
        <v>0.430103979306296</v>
      </c>
      <c r="Q7569" s="0" t="str">
        <f aca="false">SUBSTITUTE(SUBSTITUTE($I7569,CHAR(61),""),CHAR(34),"")</f>
        <v>&lt;01</v>
      </c>
      <c r="R7569" s="0" t="str">
        <f aca="false">IF($D7569&lt;&gt;"","["&amp;$E7569&amp;"]"&amp;"|"&amp;$Q7569&amp;"|"&amp;$K7569&amp;"|"&amp;$G7569&amp;"|"&amp;IF($G7569="TX_CURR_SUBNAT.R","CY2022Q4",$M7569),"")</f>
        <v>[vA4NcHxfMBq]|&lt;01|Male|NEW_INFECTIONS_SUBNAT.T2|CY2025Q3</v>
      </c>
    </row>
    <row r="7570" customFormat="false" ht="15" hidden="false" customHeight="false" outlineLevel="0" collapsed="false">
      <c r="D7570" s="0" t="s">
        <v>120</v>
      </c>
      <c r="E7570" s="0" t="s">
        <v>121</v>
      </c>
      <c r="F7570" s="0" t="s">
        <v>122</v>
      </c>
      <c r="G7570" s="0" t="s">
        <v>175</v>
      </c>
      <c r="H7570" s="0" t="s">
        <v>175</v>
      </c>
      <c r="I7570" s="0" t="s">
        <v>33</v>
      </c>
      <c r="J7570" s="0" t="s">
        <v>34</v>
      </c>
      <c r="K7570" s="0" t="s">
        <v>48</v>
      </c>
      <c r="L7570" s="0" t="s">
        <v>49</v>
      </c>
      <c r="M7570" s="0" t="s">
        <v>173</v>
      </c>
      <c r="N7570" s="0" t="n">
        <v>1944</v>
      </c>
      <c r="O7570" s="10" t="n">
        <v>0.972640438005328</v>
      </c>
      <c r="P7570" s="10" t="n">
        <v>0.430103979306296</v>
      </c>
      <c r="Q7570" s="0" t="str">
        <f aca="false">SUBSTITUTE(SUBSTITUTE($I7570,CHAR(61),""),CHAR(34),"")</f>
        <v>01-09</v>
      </c>
      <c r="R7570" s="0" t="str">
        <f aca="false">IF($D7570&lt;&gt;"","["&amp;$E7570&amp;"]"&amp;"|"&amp;$Q7570&amp;"|"&amp;$K7570&amp;"|"&amp;$G7570&amp;"|"&amp;IF($G7570="TX_CURR_SUBNAT.R","CY2022Q4",$M7570),"")</f>
        <v>[vA4NcHxfMBq]|01-09|Male|NEW_INFECTIONS_SUBNAT.T2|CY2025Q3</v>
      </c>
    </row>
    <row r="7571" customFormat="false" ht="15" hidden="false" customHeight="false" outlineLevel="0" collapsed="false">
      <c r="D7571" s="0" t="s">
        <v>120</v>
      </c>
      <c r="E7571" s="0" t="s">
        <v>121</v>
      </c>
      <c r="F7571" s="0" t="s">
        <v>122</v>
      </c>
      <c r="G7571" s="0" t="s">
        <v>175</v>
      </c>
      <c r="H7571" s="0" t="s">
        <v>175</v>
      </c>
      <c r="I7571" s="0" t="s">
        <v>36</v>
      </c>
      <c r="J7571" s="0" t="s">
        <v>37</v>
      </c>
      <c r="K7571" s="0" t="s">
        <v>48</v>
      </c>
      <c r="L7571" s="0" t="s">
        <v>49</v>
      </c>
      <c r="M7571" s="0" t="s">
        <v>173</v>
      </c>
      <c r="N7571" s="0" t="n">
        <v>1360</v>
      </c>
      <c r="O7571" s="10" t="n">
        <v>0.329273807117715</v>
      </c>
      <c r="P7571" s="10" t="n">
        <v>0.430103979306296</v>
      </c>
      <c r="Q7571" s="0" t="str">
        <f aca="false">SUBSTITUTE(SUBSTITUTE($I7571,CHAR(61),""),CHAR(34),"")</f>
        <v>10-14</v>
      </c>
      <c r="R7571" s="0" t="str">
        <f aca="false">IF($D7571&lt;&gt;"","["&amp;$E7571&amp;"]"&amp;"|"&amp;$Q7571&amp;"|"&amp;$K7571&amp;"|"&amp;$G7571&amp;"|"&amp;IF($G7571="TX_CURR_SUBNAT.R","CY2022Q4",$M7571),"")</f>
        <v>[vA4NcHxfMBq]|10-14|Male|NEW_INFECTIONS_SUBNAT.T2|CY2025Q3</v>
      </c>
    </row>
    <row r="7572" customFormat="false" ht="15" hidden="false" customHeight="false" outlineLevel="0" collapsed="false">
      <c r="D7572" s="0" t="s">
        <v>120</v>
      </c>
      <c r="E7572" s="0" t="s">
        <v>121</v>
      </c>
      <c r="F7572" s="0" t="s">
        <v>122</v>
      </c>
      <c r="G7572" s="0" t="s">
        <v>175</v>
      </c>
      <c r="H7572" s="0" t="s">
        <v>175</v>
      </c>
      <c r="I7572" s="0" t="s">
        <v>38</v>
      </c>
      <c r="J7572" s="0" t="s">
        <v>39</v>
      </c>
      <c r="K7572" s="0" t="s">
        <v>48</v>
      </c>
      <c r="L7572" s="0" t="s">
        <v>49</v>
      </c>
      <c r="M7572" s="0" t="s">
        <v>173</v>
      </c>
      <c r="N7572" s="0" t="n">
        <v>1704</v>
      </c>
      <c r="O7572" s="10" t="n">
        <v>0.755854964721948</v>
      </c>
      <c r="P7572" s="10" t="n">
        <v>0.430103979306296</v>
      </c>
      <c r="Q7572" s="0" t="str">
        <f aca="false">SUBSTITUTE(SUBSTITUTE($I7572,CHAR(61),""),CHAR(34),"")</f>
        <v>15-24</v>
      </c>
      <c r="R7572" s="0" t="str">
        <f aca="false">IF($D7572&lt;&gt;"","["&amp;$E7572&amp;"]"&amp;"|"&amp;$Q7572&amp;"|"&amp;$K7572&amp;"|"&amp;$G7572&amp;"|"&amp;IF($G7572="TX_CURR_SUBNAT.R","CY2022Q4",$M7572),"")</f>
        <v>[vA4NcHxfMBq]|15-24|Male|NEW_INFECTIONS_SUBNAT.T2|CY2025Q3</v>
      </c>
    </row>
    <row r="7573" customFormat="false" ht="15" hidden="false" customHeight="false" outlineLevel="0" collapsed="false">
      <c r="D7573" s="0" t="s">
        <v>120</v>
      </c>
      <c r="E7573" s="0" t="s">
        <v>121</v>
      </c>
      <c r="F7573" s="0" t="s">
        <v>122</v>
      </c>
      <c r="G7573" s="0" t="s">
        <v>175</v>
      </c>
      <c r="H7573" s="0" t="s">
        <v>175</v>
      </c>
      <c r="I7573" s="0" t="s">
        <v>41</v>
      </c>
      <c r="J7573" s="0" t="s">
        <v>42</v>
      </c>
      <c r="K7573" s="0" t="s">
        <v>48</v>
      </c>
      <c r="L7573" s="0" t="s">
        <v>49</v>
      </c>
      <c r="M7573" s="0" t="s">
        <v>173</v>
      </c>
      <c r="N7573" s="0" t="n">
        <v>1441</v>
      </c>
      <c r="O7573" s="10" t="n">
        <v>0.967125774128363</v>
      </c>
      <c r="P7573" s="10" t="n">
        <v>0.430103979306296</v>
      </c>
      <c r="Q7573" s="0" t="str">
        <f aca="false">SUBSTITUTE(SUBSTITUTE($I7573,CHAR(61),""),CHAR(34),"")</f>
        <v>25-34</v>
      </c>
      <c r="R7573" s="0" t="str">
        <f aca="false">IF($D7573&lt;&gt;"","["&amp;$E7573&amp;"]"&amp;"|"&amp;$Q7573&amp;"|"&amp;$K7573&amp;"|"&amp;$G7573&amp;"|"&amp;IF($G7573="TX_CURR_SUBNAT.R","CY2022Q4",$M7573),"")</f>
        <v>[vA4NcHxfMBq]|25-34|Male|NEW_INFECTIONS_SUBNAT.T2|CY2025Q3</v>
      </c>
    </row>
    <row r="7574" customFormat="false" ht="15" hidden="false" customHeight="false" outlineLevel="0" collapsed="false">
      <c r="D7574" s="0" t="s">
        <v>120</v>
      </c>
      <c r="E7574" s="0" t="s">
        <v>121</v>
      </c>
      <c r="F7574" s="0" t="s">
        <v>122</v>
      </c>
      <c r="G7574" s="0" t="s">
        <v>175</v>
      </c>
      <c r="H7574" s="0" t="s">
        <v>175</v>
      </c>
      <c r="I7574" s="0" t="s">
        <v>43</v>
      </c>
      <c r="J7574" s="0" t="s">
        <v>44</v>
      </c>
      <c r="K7574" s="0" t="s">
        <v>48</v>
      </c>
      <c r="L7574" s="0" t="s">
        <v>49</v>
      </c>
      <c r="M7574" s="0" t="s">
        <v>173</v>
      </c>
      <c r="N7574" s="0" t="n">
        <v>1454</v>
      </c>
      <c r="O7574" s="10" t="n">
        <v>0.311428705696017</v>
      </c>
      <c r="P7574" s="10" t="n">
        <v>0.430103979306296</v>
      </c>
      <c r="Q7574" s="0" t="str">
        <f aca="false">SUBSTITUTE(SUBSTITUTE($I7574,CHAR(61),""),CHAR(34),"")</f>
        <v>35-49</v>
      </c>
      <c r="R7574" s="0" t="str">
        <f aca="false">IF($D7574&lt;&gt;"","["&amp;$E7574&amp;"]"&amp;"|"&amp;$Q7574&amp;"|"&amp;$K7574&amp;"|"&amp;$G7574&amp;"|"&amp;IF($G7574="TX_CURR_SUBNAT.R","CY2022Q4",$M7574),"")</f>
        <v>[vA4NcHxfMBq]|35-49|Male|NEW_INFECTIONS_SUBNAT.T2|CY2025Q3</v>
      </c>
    </row>
    <row r="7575" customFormat="false" ht="15" hidden="false" customHeight="false" outlineLevel="0" collapsed="false">
      <c r="D7575" s="0" t="s">
        <v>120</v>
      </c>
      <c r="E7575" s="0" t="s">
        <v>121</v>
      </c>
      <c r="F7575" s="0" t="s">
        <v>122</v>
      </c>
      <c r="G7575" s="0" t="s">
        <v>175</v>
      </c>
      <c r="H7575" s="0" t="s">
        <v>175</v>
      </c>
      <c r="I7575" s="0" t="s">
        <v>45</v>
      </c>
      <c r="J7575" s="0" t="s">
        <v>46</v>
      </c>
      <c r="K7575" s="0" t="s">
        <v>48</v>
      </c>
      <c r="L7575" s="0" t="s">
        <v>49</v>
      </c>
      <c r="M7575" s="0" t="s">
        <v>173</v>
      </c>
      <c r="N7575" s="0" t="n">
        <v>625</v>
      </c>
      <c r="O7575" s="10" t="n">
        <v>0.837210266152397</v>
      </c>
      <c r="P7575" s="10" t="n">
        <v>0.430103979306296</v>
      </c>
      <c r="Q7575" s="0" t="str">
        <f aca="false">SUBSTITUTE(SUBSTITUTE($I7575,CHAR(61),""),CHAR(34),"")</f>
        <v>50+</v>
      </c>
      <c r="R7575" s="0" t="str">
        <f aca="false">IF($D7575&lt;&gt;"","["&amp;$E7575&amp;"]"&amp;"|"&amp;$Q7575&amp;"|"&amp;$K7575&amp;"|"&amp;$G7575&amp;"|"&amp;IF($G7575="TX_CURR_SUBNAT.R","CY2022Q4",$M7575),"")</f>
        <v>[vA4NcHxfMBq]|50+|Male|NEW_INFECTIONS_SUBNAT.T2|CY2025Q3</v>
      </c>
    </row>
    <row r="7576" customFormat="false" ht="15" hidden="false" customHeight="false" outlineLevel="0" collapsed="false">
      <c r="D7576" s="0" t="s">
        <v>123</v>
      </c>
      <c r="E7576" s="0" t="s">
        <v>124</v>
      </c>
      <c r="F7576" s="0" t="s">
        <v>125</v>
      </c>
      <c r="G7576" s="0" t="s">
        <v>175</v>
      </c>
      <c r="H7576" s="0" t="s">
        <v>175</v>
      </c>
      <c r="I7576" s="0" t="s">
        <v>28</v>
      </c>
      <c r="J7576" s="0" t="s">
        <v>29</v>
      </c>
      <c r="K7576" s="0" t="s">
        <v>30</v>
      </c>
      <c r="L7576" s="0" t="s">
        <v>31</v>
      </c>
      <c r="M7576" s="0" t="s">
        <v>173</v>
      </c>
      <c r="N7576" s="0" t="n">
        <v>1528</v>
      </c>
      <c r="O7576" s="10" t="n">
        <v>0.404343203175813</v>
      </c>
      <c r="P7576" s="10" t="n">
        <v>0.419500603340566</v>
      </c>
      <c r="Q7576" s="0" t="str">
        <f aca="false">SUBSTITUTE(SUBSTITUTE($I7576,CHAR(61),""),CHAR(34),"")</f>
        <v>&lt;01</v>
      </c>
      <c r="R7576" s="0" t="str">
        <f aca="false">IF($D7576&lt;&gt;"","["&amp;$E7576&amp;"]"&amp;"|"&amp;$Q7576&amp;"|"&amp;$K7576&amp;"|"&amp;$G7576&amp;"|"&amp;IF($G7576="TX_CURR_SUBNAT.R","CY2022Q4",$M7576),"")</f>
        <v>[E7zpfyBt7Tw]|&lt;01|Female|NEW_INFECTIONS_SUBNAT.T2|CY2025Q3</v>
      </c>
    </row>
    <row r="7577" customFormat="false" ht="15" hidden="false" customHeight="false" outlineLevel="0" collapsed="false">
      <c r="D7577" s="0" t="s">
        <v>123</v>
      </c>
      <c r="E7577" s="0" t="s">
        <v>124</v>
      </c>
      <c r="F7577" s="0" t="s">
        <v>125</v>
      </c>
      <c r="G7577" s="0" t="s">
        <v>175</v>
      </c>
      <c r="H7577" s="0" t="s">
        <v>175</v>
      </c>
      <c r="I7577" s="0" t="s">
        <v>33</v>
      </c>
      <c r="J7577" s="0" t="s">
        <v>34</v>
      </c>
      <c r="K7577" s="0" t="s">
        <v>30</v>
      </c>
      <c r="L7577" s="0" t="s">
        <v>31</v>
      </c>
      <c r="M7577" s="0" t="s">
        <v>173</v>
      </c>
      <c r="N7577" s="0" t="n">
        <v>1465</v>
      </c>
      <c r="O7577" s="10" t="n">
        <v>0.44526309450157</v>
      </c>
      <c r="P7577" s="10" t="n">
        <v>0.419500603340566</v>
      </c>
      <c r="Q7577" s="0" t="str">
        <f aca="false">SUBSTITUTE(SUBSTITUTE($I7577,CHAR(61),""),CHAR(34),"")</f>
        <v>01-09</v>
      </c>
      <c r="R7577" s="0" t="str">
        <f aca="false">IF($D7577&lt;&gt;"","["&amp;$E7577&amp;"]"&amp;"|"&amp;$Q7577&amp;"|"&amp;$K7577&amp;"|"&amp;$G7577&amp;"|"&amp;IF($G7577="TX_CURR_SUBNAT.R","CY2022Q4",$M7577),"")</f>
        <v>[E7zpfyBt7Tw]|01-09|Female|NEW_INFECTIONS_SUBNAT.T2|CY2025Q3</v>
      </c>
    </row>
    <row r="7578" customFormat="false" ht="15" hidden="false" customHeight="false" outlineLevel="0" collapsed="false">
      <c r="D7578" s="0" t="s">
        <v>123</v>
      </c>
      <c r="E7578" s="0" t="s">
        <v>124</v>
      </c>
      <c r="F7578" s="0" t="s">
        <v>125</v>
      </c>
      <c r="G7578" s="0" t="s">
        <v>175</v>
      </c>
      <c r="H7578" s="0" t="s">
        <v>175</v>
      </c>
      <c r="I7578" s="0" t="s">
        <v>36</v>
      </c>
      <c r="J7578" s="0" t="s">
        <v>37</v>
      </c>
      <c r="K7578" s="0" t="s">
        <v>30</v>
      </c>
      <c r="L7578" s="0" t="s">
        <v>31</v>
      </c>
      <c r="M7578" s="0" t="s">
        <v>173</v>
      </c>
      <c r="N7578" s="0" t="n">
        <v>1446</v>
      </c>
      <c r="O7578" s="10" t="n">
        <v>0.736082996474579</v>
      </c>
      <c r="P7578" s="10" t="n">
        <v>0.419500603340566</v>
      </c>
      <c r="Q7578" s="0" t="str">
        <f aca="false">SUBSTITUTE(SUBSTITUTE($I7578,CHAR(61),""),CHAR(34),"")</f>
        <v>10-14</v>
      </c>
      <c r="R7578" s="0" t="str">
        <f aca="false">IF($D7578&lt;&gt;"","["&amp;$E7578&amp;"]"&amp;"|"&amp;$Q7578&amp;"|"&amp;$K7578&amp;"|"&amp;$G7578&amp;"|"&amp;IF($G7578="TX_CURR_SUBNAT.R","CY2022Q4",$M7578),"")</f>
        <v>[E7zpfyBt7Tw]|10-14|Female|NEW_INFECTIONS_SUBNAT.T2|CY2025Q3</v>
      </c>
    </row>
    <row r="7579" customFormat="false" ht="15" hidden="false" customHeight="false" outlineLevel="0" collapsed="false">
      <c r="D7579" s="0" t="s">
        <v>123</v>
      </c>
      <c r="E7579" s="0" t="s">
        <v>124</v>
      </c>
      <c r="F7579" s="0" t="s">
        <v>125</v>
      </c>
      <c r="G7579" s="0" t="s">
        <v>175</v>
      </c>
      <c r="H7579" s="0" t="s">
        <v>175</v>
      </c>
      <c r="I7579" s="0" t="s">
        <v>38</v>
      </c>
      <c r="J7579" s="0" t="s">
        <v>39</v>
      </c>
      <c r="K7579" s="0" t="s">
        <v>30</v>
      </c>
      <c r="L7579" s="0" t="s">
        <v>31</v>
      </c>
      <c r="M7579" s="0" t="s">
        <v>173</v>
      </c>
      <c r="N7579" s="0" t="n">
        <v>728</v>
      </c>
      <c r="O7579" s="10" t="n">
        <v>0.0990292222704738</v>
      </c>
      <c r="P7579" s="10" t="n">
        <v>0.419500603340566</v>
      </c>
      <c r="Q7579" s="0" t="str">
        <f aca="false">SUBSTITUTE(SUBSTITUTE($I7579,CHAR(61),""),CHAR(34),"")</f>
        <v>15-24</v>
      </c>
      <c r="R7579" s="0" t="str">
        <f aca="false">IF($D7579&lt;&gt;"","["&amp;$E7579&amp;"]"&amp;"|"&amp;$Q7579&amp;"|"&amp;$K7579&amp;"|"&amp;$G7579&amp;"|"&amp;IF($G7579="TX_CURR_SUBNAT.R","CY2022Q4",$M7579),"")</f>
        <v>[E7zpfyBt7Tw]|15-24|Female|NEW_INFECTIONS_SUBNAT.T2|CY2025Q3</v>
      </c>
    </row>
    <row r="7580" customFormat="false" ht="15" hidden="false" customHeight="false" outlineLevel="0" collapsed="false">
      <c r="D7580" s="0" t="s">
        <v>123</v>
      </c>
      <c r="E7580" s="0" t="s">
        <v>124</v>
      </c>
      <c r="F7580" s="0" t="s">
        <v>125</v>
      </c>
      <c r="G7580" s="0" t="s">
        <v>175</v>
      </c>
      <c r="H7580" s="0" t="s">
        <v>175</v>
      </c>
      <c r="I7580" s="0" t="s">
        <v>41</v>
      </c>
      <c r="J7580" s="0" t="s">
        <v>42</v>
      </c>
      <c r="K7580" s="0" t="s">
        <v>30</v>
      </c>
      <c r="L7580" s="0" t="s">
        <v>31</v>
      </c>
      <c r="M7580" s="0" t="s">
        <v>173</v>
      </c>
      <c r="N7580" s="0" t="n">
        <v>596</v>
      </c>
      <c r="O7580" s="10" t="n">
        <v>0.911429337924346</v>
      </c>
      <c r="P7580" s="10" t="n">
        <v>0.419500603340566</v>
      </c>
      <c r="Q7580" s="0" t="str">
        <f aca="false">SUBSTITUTE(SUBSTITUTE($I7580,CHAR(61),""),CHAR(34),"")</f>
        <v>25-34</v>
      </c>
      <c r="R7580" s="0" t="str">
        <f aca="false">IF($D7580&lt;&gt;"","["&amp;$E7580&amp;"]"&amp;"|"&amp;$Q7580&amp;"|"&amp;$K7580&amp;"|"&amp;$G7580&amp;"|"&amp;IF($G7580="TX_CURR_SUBNAT.R","CY2022Q4",$M7580),"")</f>
        <v>[E7zpfyBt7Tw]|25-34|Female|NEW_INFECTIONS_SUBNAT.T2|CY2025Q3</v>
      </c>
    </row>
    <row r="7581" customFormat="false" ht="15" hidden="false" customHeight="false" outlineLevel="0" collapsed="false">
      <c r="D7581" s="0" t="s">
        <v>123</v>
      </c>
      <c r="E7581" s="0" t="s">
        <v>124</v>
      </c>
      <c r="F7581" s="0" t="s">
        <v>125</v>
      </c>
      <c r="G7581" s="0" t="s">
        <v>175</v>
      </c>
      <c r="H7581" s="0" t="s">
        <v>175</v>
      </c>
      <c r="I7581" s="0" t="s">
        <v>43</v>
      </c>
      <c r="J7581" s="0" t="s">
        <v>44</v>
      </c>
      <c r="K7581" s="0" t="s">
        <v>30</v>
      </c>
      <c r="L7581" s="0" t="s">
        <v>31</v>
      </c>
      <c r="M7581" s="0" t="s">
        <v>173</v>
      </c>
      <c r="N7581" s="0" t="n">
        <v>1647</v>
      </c>
      <c r="O7581" s="10" t="n">
        <v>0.463977538049221</v>
      </c>
      <c r="P7581" s="10" t="n">
        <v>0.419500603340566</v>
      </c>
      <c r="Q7581" s="0" t="str">
        <f aca="false">SUBSTITUTE(SUBSTITUTE($I7581,CHAR(61),""),CHAR(34),"")</f>
        <v>35-49</v>
      </c>
      <c r="R7581" s="0" t="str">
        <f aca="false">IF($D7581&lt;&gt;"","["&amp;$E7581&amp;"]"&amp;"|"&amp;$Q7581&amp;"|"&amp;$K7581&amp;"|"&amp;$G7581&amp;"|"&amp;IF($G7581="TX_CURR_SUBNAT.R","CY2022Q4",$M7581),"")</f>
        <v>[E7zpfyBt7Tw]|35-49|Female|NEW_INFECTIONS_SUBNAT.T2|CY2025Q3</v>
      </c>
    </row>
    <row r="7582" customFormat="false" ht="15" hidden="false" customHeight="false" outlineLevel="0" collapsed="false">
      <c r="D7582" s="0" t="s">
        <v>123</v>
      </c>
      <c r="E7582" s="0" t="s">
        <v>124</v>
      </c>
      <c r="F7582" s="0" t="s">
        <v>125</v>
      </c>
      <c r="G7582" s="0" t="s">
        <v>175</v>
      </c>
      <c r="H7582" s="0" t="s">
        <v>175</v>
      </c>
      <c r="I7582" s="0" t="s">
        <v>45</v>
      </c>
      <c r="J7582" s="0" t="s">
        <v>46</v>
      </c>
      <c r="K7582" s="0" t="s">
        <v>30</v>
      </c>
      <c r="L7582" s="0" t="s">
        <v>31</v>
      </c>
      <c r="M7582" s="0" t="s">
        <v>173</v>
      </c>
      <c r="N7582" s="0" t="n">
        <v>1348</v>
      </c>
      <c r="O7582" s="10" t="n">
        <v>0.987342075677589</v>
      </c>
      <c r="P7582" s="10" t="n">
        <v>0.419500603340566</v>
      </c>
      <c r="Q7582" s="0" t="str">
        <f aca="false">SUBSTITUTE(SUBSTITUTE($I7582,CHAR(61),""),CHAR(34),"")</f>
        <v>50+</v>
      </c>
      <c r="R7582" s="0" t="str">
        <f aca="false">IF($D7582&lt;&gt;"","["&amp;$E7582&amp;"]"&amp;"|"&amp;$Q7582&amp;"|"&amp;$K7582&amp;"|"&amp;$G7582&amp;"|"&amp;IF($G7582="TX_CURR_SUBNAT.R","CY2022Q4",$M7582),"")</f>
        <v>[E7zpfyBt7Tw]|50+|Female|NEW_INFECTIONS_SUBNAT.T2|CY2025Q3</v>
      </c>
    </row>
    <row r="7583" customFormat="false" ht="15" hidden="false" customHeight="false" outlineLevel="0" collapsed="false">
      <c r="D7583" s="0" t="s">
        <v>123</v>
      </c>
      <c r="E7583" s="0" t="s">
        <v>124</v>
      </c>
      <c r="F7583" s="0" t="s">
        <v>125</v>
      </c>
      <c r="G7583" s="0" t="s">
        <v>175</v>
      </c>
      <c r="H7583" s="0" t="s">
        <v>175</v>
      </c>
      <c r="I7583" s="0" t="s">
        <v>28</v>
      </c>
      <c r="J7583" s="0" t="s">
        <v>29</v>
      </c>
      <c r="K7583" s="0" t="s">
        <v>48</v>
      </c>
      <c r="L7583" s="0" t="s">
        <v>49</v>
      </c>
      <c r="M7583" s="0" t="s">
        <v>173</v>
      </c>
      <c r="N7583" s="0" t="n">
        <v>993</v>
      </c>
      <c r="O7583" s="10" t="n">
        <v>0.140935061732307</v>
      </c>
      <c r="P7583" s="10" t="n">
        <v>0.419500603340566</v>
      </c>
      <c r="Q7583" s="0" t="str">
        <f aca="false">SUBSTITUTE(SUBSTITUTE($I7583,CHAR(61),""),CHAR(34),"")</f>
        <v>&lt;01</v>
      </c>
      <c r="R7583" s="0" t="str">
        <f aca="false">IF($D7583&lt;&gt;"","["&amp;$E7583&amp;"]"&amp;"|"&amp;$Q7583&amp;"|"&amp;$K7583&amp;"|"&amp;$G7583&amp;"|"&amp;IF($G7583="TX_CURR_SUBNAT.R","CY2022Q4",$M7583),"")</f>
        <v>[E7zpfyBt7Tw]|&lt;01|Male|NEW_INFECTIONS_SUBNAT.T2|CY2025Q3</v>
      </c>
    </row>
    <row r="7584" customFormat="false" ht="15" hidden="false" customHeight="false" outlineLevel="0" collapsed="false">
      <c r="D7584" s="0" t="s">
        <v>123</v>
      </c>
      <c r="E7584" s="0" t="s">
        <v>124</v>
      </c>
      <c r="F7584" s="0" t="s">
        <v>125</v>
      </c>
      <c r="G7584" s="0" t="s">
        <v>175</v>
      </c>
      <c r="H7584" s="0" t="s">
        <v>175</v>
      </c>
      <c r="I7584" s="0" t="s">
        <v>33</v>
      </c>
      <c r="J7584" s="0" t="s">
        <v>34</v>
      </c>
      <c r="K7584" s="0" t="s">
        <v>48</v>
      </c>
      <c r="L7584" s="0" t="s">
        <v>49</v>
      </c>
      <c r="M7584" s="0" t="s">
        <v>173</v>
      </c>
      <c r="N7584" s="0" t="n">
        <v>1889</v>
      </c>
      <c r="O7584" s="10" t="n">
        <v>0.612200424307957</v>
      </c>
      <c r="P7584" s="10" t="n">
        <v>0.419500603340566</v>
      </c>
      <c r="Q7584" s="0" t="str">
        <f aca="false">SUBSTITUTE(SUBSTITUTE($I7584,CHAR(61),""),CHAR(34),"")</f>
        <v>01-09</v>
      </c>
      <c r="R7584" s="0" t="str">
        <f aca="false">IF($D7584&lt;&gt;"","["&amp;$E7584&amp;"]"&amp;"|"&amp;$Q7584&amp;"|"&amp;$K7584&amp;"|"&amp;$G7584&amp;"|"&amp;IF($G7584="TX_CURR_SUBNAT.R","CY2022Q4",$M7584),"")</f>
        <v>[E7zpfyBt7Tw]|01-09|Male|NEW_INFECTIONS_SUBNAT.T2|CY2025Q3</v>
      </c>
    </row>
    <row r="7585" customFormat="false" ht="15" hidden="false" customHeight="false" outlineLevel="0" collapsed="false">
      <c r="D7585" s="0" t="s">
        <v>123</v>
      </c>
      <c r="E7585" s="0" t="s">
        <v>124</v>
      </c>
      <c r="F7585" s="0" t="s">
        <v>125</v>
      </c>
      <c r="G7585" s="0" t="s">
        <v>175</v>
      </c>
      <c r="H7585" s="0" t="s">
        <v>175</v>
      </c>
      <c r="I7585" s="0" t="s">
        <v>36</v>
      </c>
      <c r="J7585" s="0" t="s">
        <v>37</v>
      </c>
      <c r="K7585" s="0" t="s">
        <v>48</v>
      </c>
      <c r="L7585" s="0" t="s">
        <v>49</v>
      </c>
      <c r="M7585" s="0" t="s">
        <v>173</v>
      </c>
      <c r="N7585" s="0" t="n">
        <v>1277</v>
      </c>
      <c r="O7585" s="10" t="n">
        <v>0.526402368443087</v>
      </c>
      <c r="P7585" s="10" t="n">
        <v>0.419500603340566</v>
      </c>
      <c r="Q7585" s="0" t="str">
        <f aca="false">SUBSTITUTE(SUBSTITUTE($I7585,CHAR(61),""),CHAR(34),"")</f>
        <v>10-14</v>
      </c>
      <c r="R7585" s="0" t="str">
        <f aca="false">IF($D7585&lt;&gt;"","["&amp;$E7585&amp;"]"&amp;"|"&amp;$Q7585&amp;"|"&amp;$K7585&amp;"|"&amp;$G7585&amp;"|"&amp;IF($G7585="TX_CURR_SUBNAT.R","CY2022Q4",$M7585),"")</f>
        <v>[E7zpfyBt7Tw]|10-14|Male|NEW_INFECTIONS_SUBNAT.T2|CY2025Q3</v>
      </c>
    </row>
    <row r="7586" customFormat="false" ht="15" hidden="false" customHeight="false" outlineLevel="0" collapsed="false">
      <c r="D7586" s="0" t="s">
        <v>123</v>
      </c>
      <c r="E7586" s="0" t="s">
        <v>124</v>
      </c>
      <c r="F7586" s="0" t="s">
        <v>125</v>
      </c>
      <c r="G7586" s="0" t="s">
        <v>175</v>
      </c>
      <c r="H7586" s="0" t="s">
        <v>175</v>
      </c>
      <c r="I7586" s="0" t="s">
        <v>38</v>
      </c>
      <c r="J7586" s="0" t="s">
        <v>39</v>
      </c>
      <c r="K7586" s="0" t="s">
        <v>48</v>
      </c>
      <c r="L7586" s="0" t="s">
        <v>49</v>
      </c>
      <c r="M7586" s="0" t="s">
        <v>173</v>
      </c>
      <c r="N7586" s="0" t="n">
        <v>553</v>
      </c>
      <c r="O7586" s="10" t="n">
        <v>0.312244138680398</v>
      </c>
      <c r="P7586" s="10" t="n">
        <v>0.419500603340566</v>
      </c>
      <c r="Q7586" s="0" t="str">
        <f aca="false">SUBSTITUTE(SUBSTITUTE($I7586,CHAR(61),""),CHAR(34),"")</f>
        <v>15-24</v>
      </c>
      <c r="R7586" s="0" t="str">
        <f aca="false">IF($D7586&lt;&gt;"","["&amp;$E7586&amp;"]"&amp;"|"&amp;$Q7586&amp;"|"&amp;$K7586&amp;"|"&amp;$G7586&amp;"|"&amp;IF($G7586="TX_CURR_SUBNAT.R","CY2022Q4",$M7586),"")</f>
        <v>[E7zpfyBt7Tw]|15-24|Male|NEW_INFECTIONS_SUBNAT.T2|CY2025Q3</v>
      </c>
    </row>
    <row r="7587" customFormat="false" ht="15" hidden="false" customHeight="false" outlineLevel="0" collapsed="false">
      <c r="D7587" s="0" t="s">
        <v>123</v>
      </c>
      <c r="E7587" s="0" t="s">
        <v>124</v>
      </c>
      <c r="F7587" s="0" t="s">
        <v>125</v>
      </c>
      <c r="G7587" s="0" t="s">
        <v>175</v>
      </c>
      <c r="H7587" s="0" t="s">
        <v>175</v>
      </c>
      <c r="I7587" s="0" t="s">
        <v>41</v>
      </c>
      <c r="J7587" s="0" t="s">
        <v>42</v>
      </c>
      <c r="K7587" s="0" t="s">
        <v>48</v>
      </c>
      <c r="L7587" s="0" t="s">
        <v>49</v>
      </c>
      <c r="M7587" s="0" t="s">
        <v>173</v>
      </c>
      <c r="N7587" s="0" t="n">
        <v>1889</v>
      </c>
      <c r="O7587" s="10" t="n">
        <v>0.914215303957462</v>
      </c>
      <c r="P7587" s="10" t="n">
        <v>0.419500603340566</v>
      </c>
      <c r="Q7587" s="0" t="str">
        <f aca="false">SUBSTITUTE(SUBSTITUTE($I7587,CHAR(61),""),CHAR(34),"")</f>
        <v>25-34</v>
      </c>
      <c r="R7587" s="0" t="str">
        <f aca="false">IF($D7587&lt;&gt;"","["&amp;$E7587&amp;"]"&amp;"|"&amp;$Q7587&amp;"|"&amp;$K7587&amp;"|"&amp;$G7587&amp;"|"&amp;IF($G7587="TX_CURR_SUBNAT.R","CY2022Q4",$M7587),"")</f>
        <v>[E7zpfyBt7Tw]|25-34|Male|NEW_INFECTIONS_SUBNAT.T2|CY2025Q3</v>
      </c>
    </row>
    <row r="7588" customFormat="false" ht="15" hidden="false" customHeight="false" outlineLevel="0" collapsed="false">
      <c r="D7588" s="0" t="s">
        <v>123</v>
      </c>
      <c r="E7588" s="0" t="s">
        <v>124</v>
      </c>
      <c r="F7588" s="0" t="s">
        <v>125</v>
      </c>
      <c r="G7588" s="0" t="s">
        <v>175</v>
      </c>
      <c r="H7588" s="0" t="s">
        <v>175</v>
      </c>
      <c r="I7588" s="0" t="s">
        <v>43</v>
      </c>
      <c r="J7588" s="0" t="s">
        <v>44</v>
      </c>
      <c r="K7588" s="0" t="s">
        <v>48</v>
      </c>
      <c r="L7588" s="0" t="s">
        <v>49</v>
      </c>
      <c r="M7588" s="0" t="s">
        <v>173</v>
      </c>
      <c r="N7588" s="0" t="n">
        <v>1437</v>
      </c>
      <c r="O7588" s="10" t="n">
        <v>0.456778903258964</v>
      </c>
      <c r="P7588" s="10" t="n">
        <v>0.419500603340566</v>
      </c>
      <c r="Q7588" s="0" t="str">
        <f aca="false">SUBSTITUTE(SUBSTITUTE($I7588,CHAR(61),""),CHAR(34),"")</f>
        <v>35-49</v>
      </c>
      <c r="R7588" s="0" t="str">
        <f aca="false">IF($D7588&lt;&gt;"","["&amp;$E7588&amp;"]"&amp;"|"&amp;$Q7588&amp;"|"&amp;$K7588&amp;"|"&amp;$G7588&amp;"|"&amp;IF($G7588="TX_CURR_SUBNAT.R","CY2022Q4",$M7588),"")</f>
        <v>[E7zpfyBt7Tw]|35-49|Male|NEW_INFECTIONS_SUBNAT.T2|CY2025Q3</v>
      </c>
    </row>
    <row r="7589" customFormat="false" ht="15" hidden="false" customHeight="false" outlineLevel="0" collapsed="false">
      <c r="D7589" s="0" t="s">
        <v>123</v>
      </c>
      <c r="E7589" s="0" t="s">
        <v>124</v>
      </c>
      <c r="F7589" s="0" t="s">
        <v>125</v>
      </c>
      <c r="G7589" s="0" t="s">
        <v>175</v>
      </c>
      <c r="H7589" s="0" t="s">
        <v>175</v>
      </c>
      <c r="I7589" s="0" t="s">
        <v>45</v>
      </c>
      <c r="J7589" s="0" t="s">
        <v>46</v>
      </c>
      <c r="K7589" s="0" t="s">
        <v>48</v>
      </c>
      <c r="L7589" s="0" t="s">
        <v>49</v>
      </c>
      <c r="M7589" s="0" t="s">
        <v>173</v>
      </c>
      <c r="N7589" s="0" t="n">
        <v>1596</v>
      </c>
      <c r="O7589" s="10" t="n">
        <v>0.649395308922976</v>
      </c>
      <c r="P7589" s="10" t="n">
        <v>0.419500603340566</v>
      </c>
      <c r="Q7589" s="0" t="str">
        <f aca="false">SUBSTITUTE(SUBSTITUTE($I7589,CHAR(61),""),CHAR(34),"")</f>
        <v>50+</v>
      </c>
      <c r="R7589" s="0" t="str">
        <f aca="false">IF($D7589&lt;&gt;"","["&amp;$E7589&amp;"]"&amp;"|"&amp;$Q7589&amp;"|"&amp;$K7589&amp;"|"&amp;$G7589&amp;"|"&amp;IF($G7589="TX_CURR_SUBNAT.R","CY2022Q4",$M7589),"")</f>
        <v>[E7zpfyBt7Tw]|50+|Male|NEW_INFECTIONS_SUBNAT.T2|CY2025Q3</v>
      </c>
    </row>
    <row r="7590" customFormat="false" ht="15" hidden="false" customHeight="false" outlineLevel="0" collapsed="false">
      <c r="D7590" s="0" t="s">
        <v>126</v>
      </c>
      <c r="E7590" s="0" t="s">
        <v>127</v>
      </c>
      <c r="F7590" s="0" t="s">
        <v>128</v>
      </c>
      <c r="G7590" s="0" t="s">
        <v>175</v>
      </c>
      <c r="H7590" s="0" t="s">
        <v>175</v>
      </c>
      <c r="I7590" s="0" t="s">
        <v>28</v>
      </c>
      <c r="J7590" s="0" t="s">
        <v>29</v>
      </c>
      <c r="K7590" s="0" t="s">
        <v>30</v>
      </c>
      <c r="L7590" s="0" t="s">
        <v>31</v>
      </c>
      <c r="M7590" s="0" t="s">
        <v>173</v>
      </c>
      <c r="N7590" s="0" t="n">
        <v>1607</v>
      </c>
      <c r="O7590" s="10" t="n">
        <v>0.99593819398433</v>
      </c>
      <c r="P7590" s="10" t="n">
        <v>0.252706390339881</v>
      </c>
      <c r="Q7590" s="0" t="str">
        <f aca="false">SUBSTITUTE(SUBSTITUTE($I7590,CHAR(61),""),CHAR(34),"")</f>
        <v>&lt;01</v>
      </c>
      <c r="R7590" s="0" t="str">
        <f aca="false">IF($D7590&lt;&gt;"","["&amp;$E7590&amp;"]"&amp;"|"&amp;$Q7590&amp;"|"&amp;$K7590&amp;"|"&amp;$G7590&amp;"|"&amp;IF($G7590="TX_CURR_SUBNAT.R","CY2022Q4",$M7590),"")</f>
        <v>[ZCjuwgaMB9u]|&lt;01|Female|NEW_INFECTIONS_SUBNAT.T2|CY2025Q3</v>
      </c>
    </row>
    <row r="7591" customFormat="false" ht="15" hidden="false" customHeight="false" outlineLevel="0" collapsed="false">
      <c r="D7591" s="0" t="s">
        <v>126</v>
      </c>
      <c r="E7591" s="0" t="s">
        <v>127</v>
      </c>
      <c r="F7591" s="0" t="s">
        <v>128</v>
      </c>
      <c r="G7591" s="0" t="s">
        <v>175</v>
      </c>
      <c r="H7591" s="0" t="s">
        <v>175</v>
      </c>
      <c r="I7591" s="0" t="s">
        <v>33</v>
      </c>
      <c r="J7591" s="0" t="s">
        <v>34</v>
      </c>
      <c r="K7591" s="0" t="s">
        <v>30</v>
      </c>
      <c r="L7591" s="0" t="s">
        <v>31</v>
      </c>
      <c r="M7591" s="0" t="s">
        <v>173</v>
      </c>
      <c r="N7591" s="0" t="n">
        <v>1152</v>
      </c>
      <c r="O7591" s="10" t="n">
        <v>0.705512405605987</v>
      </c>
      <c r="P7591" s="10" t="n">
        <v>0.252706390339881</v>
      </c>
      <c r="Q7591" s="0" t="str">
        <f aca="false">SUBSTITUTE(SUBSTITUTE($I7591,CHAR(61),""),CHAR(34),"")</f>
        <v>01-09</v>
      </c>
      <c r="R7591" s="0" t="str">
        <f aca="false">IF($D7591&lt;&gt;"","["&amp;$E7591&amp;"]"&amp;"|"&amp;$Q7591&amp;"|"&amp;$K7591&amp;"|"&amp;$G7591&amp;"|"&amp;IF($G7591="TX_CURR_SUBNAT.R","CY2022Q4",$M7591),"")</f>
        <v>[ZCjuwgaMB9u]|01-09|Female|NEW_INFECTIONS_SUBNAT.T2|CY2025Q3</v>
      </c>
    </row>
    <row r="7592" customFormat="false" ht="15" hidden="false" customHeight="false" outlineLevel="0" collapsed="false">
      <c r="D7592" s="0" t="s">
        <v>126</v>
      </c>
      <c r="E7592" s="0" t="s">
        <v>127</v>
      </c>
      <c r="F7592" s="0" t="s">
        <v>128</v>
      </c>
      <c r="G7592" s="0" t="s">
        <v>175</v>
      </c>
      <c r="H7592" s="0" t="s">
        <v>175</v>
      </c>
      <c r="I7592" s="0" t="s">
        <v>36</v>
      </c>
      <c r="J7592" s="0" t="s">
        <v>37</v>
      </c>
      <c r="K7592" s="0" t="s">
        <v>30</v>
      </c>
      <c r="L7592" s="0" t="s">
        <v>31</v>
      </c>
      <c r="M7592" s="0" t="s">
        <v>173</v>
      </c>
      <c r="N7592" s="0" t="n">
        <v>1345</v>
      </c>
      <c r="O7592" s="10" t="n">
        <v>0.144287947565317</v>
      </c>
      <c r="P7592" s="10" t="n">
        <v>0.252706390339881</v>
      </c>
      <c r="Q7592" s="0" t="str">
        <f aca="false">SUBSTITUTE(SUBSTITUTE($I7592,CHAR(61),""),CHAR(34),"")</f>
        <v>10-14</v>
      </c>
      <c r="R7592" s="0" t="str">
        <f aca="false">IF($D7592&lt;&gt;"","["&amp;$E7592&amp;"]"&amp;"|"&amp;$Q7592&amp;"|"&amp;$K7592&amp;"|"&amp;$G7592&amp;"|"&amp;IF($G7592="TX_CURR_SUBNAT.R","CY2022Q4",$M7592),"")</f>
        <v>[ZCjuwgaMB9u]|10-14|Female|NEW_INFECTIONS_SUBNAT.T2|CY2025Q3</v>
      </c>
    </row>
    <row r="7593" customFormat="false" ht="15" hidden="false" customHeight="false" outlineLevel="0" collapsed="false">
      <c r="D7593" s="0" t="s">
        <v>126</v>
      </c>
      <c r="E7593" s="0" t="s">
        <v>127</v>
      </c>
      <c r="F7593" s="0" t="s">
        <v>128</v>
      </c>
      <c r="G7593" s="0" t="s">
        <v>175</v>
      </c>
      <c r="H7593" s="0" t="s">
        <v>175</v>
      </c>
      <c r="I7593" s="0" t="s">
        <v>38</v>
      </c>
      <c r="J7593" s="0" t="s">
        <v>39</v>
      </c>
      <c r="K7593" s="0" t="s">
        <v>30</v>
      </c>
      <c r="L7593" s="0" t="s">
        <v>31</v>
      </c>
      <c r="M7593" s="0" t="s">
        <v>173</v>
      </c>
      <c r="N7593" s="0" t="n">
        <v>1227</v>
      </c>
      <c r="O7593" s="10" t="n">
        <v>0.0351234816480428</v>
      </c>
      <c r="P7593" s="10" t="n">
        <v>0.252706390339881</v>
      </c>
      <c r="Q7593" s="0" t="str">
        <f aca="false">SUBSTITUTE(SUBSTITUTE($I7593,CHAR(61),""),CHAR(34),"")</f>
        <v>15-24</v>
      </c>
      <c r="R7593" s="0" t="str">
        <f aca="false">IF($D7593&lt;&gt;"","["&amp;$E7593&amp;"]"&amp;"|"&amp;$Q7593&amp;"|"&amp;$K7593&amp;"|"&amp;$G7593&amp;"|"&amp;IF($G7593="TX_CURR_SUBNAT.R","CY2022Q4",$M7593),"")</f>
        <v>[ZCjuwgaMB9u]|15-24|Female|NEW_INFECTIONS_SUBNAT.T2|CY2025Q3</v>
      </c>
    </row>
    <row r="7594" customFormat="false" ht="15" hidden="false" customHeight="false" outlineLevel="0" collapsed="false">
      <c r="D7594" s="0" t="s">
        <v>126</v>
      </c>
      <c r="E7594" s="0" t="s">
        <v>127</v>
      </c>
      <c r="F7594" s="0" t="s">
        <v>128</v>
      </c>
      <c r="G7594" s="0" t="s">
        <v>175</v>
      </c>
      <c r="H7594" s="0" t="s">
        <v>175</v>
      </c>
      <c r="I7594" s="0" t="s">
        <v>41</v>
      </c>
      <c r="J7594" s="0" t="s">
        <v>42</v>
      </c>
      <c r="K7594" s="0" t="s">
        <v>30</v>
      </c>
      <c r="L7594" s="0" t="s">
        <v>31</v>
      </c>
      <c r="M7594" s="0" t="s">
        <v>173</v>
      </c>
      <c r="N7594" s="0" t="n">
        <v>1233</v>
      </c>
      <c r="O7594" s="10" t="n">
        <v>0.442429932765663</v>
      </c>
      <c r="P7594" s="10" t="n">
        <v>0.252706390339881</v>
      </c>
      <c r="Q7594" s="0" t="str">
        <f aca="false">SUBSTITUTE(SUBSTITUTE($I7594,CHAR(61),""),CHAR(34),"")</f>
        <v>25-34</v>
      </c>
      <c r="R7594" s="0" t="str">
        <f aca="false">IF($D7594&lt;&gt;"","["&amp;$E7594&amp;"]"&amp;"|"&amp;$Q7594&amp;"|"&amp;$K7594&amp;"|"&amp;$G7594&amp;"|"&amp;IF($G7594="TX_CURR_SUBNAT.R","CY2022Q4",$M7594),"")</f>
        <v>[ZCjuwgaMB9u]|25-34|Female|NEW_INFECTIONS_SUBNAT.T2|CY2025Q3</v>
      </c>
    </row>
    <row r="7595" customFormat="false" ht="15" hidden="false" customHeight="false" outlineLevel="0" collapsed="false">
      <c r="D7595" s="0" t="s">
        <v>126</v>
      </c>
      <c r="E7595" s="0" t="s">
        <v>127</v>
      </c>
      <c r="F7595" s="0" t="s">
        <v>128</v>
      </c>
      <c r="G7595" s="0" t="s">
        <v>175</v>
      </c>
      <c r="H7595" s="0" t="s">
        <v>175</v>
      </c>
      <c r="I7595" s="0" t="s">
        <v>43</v>
      </c>
      <c r="J7595" s="0" t="s">
        <v>44</v>
      </c>
      <c r="K7595" s="0" t="s">
        <v>30</v>
      </c>
      <c r="L7595" s="0" t="s">
        <v>31</v>
      </c>
      <c r="M7595" s="0" t="s">
        <v>173</v>
      </c>
      <c r="N7595" s="0" t="n">
        <v>1423</v>
      </c>
      <c r="O7595" s="10" t="n">
        <v>0.33541617449373</v>
      </c>
      <c r="P7595" s="10" t="n">
        <v>0.252706390339881</v>
      </c>
      <c r="Q7595" s="0" t="str">
        <f aca="false">SUBSTITUTE(SUBSTITUTE($I7595,CHAR(61),""),CHAR(34),"")</f>
        <v>35-49</v>
      </c>
      <c r="R7595" s="0" t="str">
        <f aca="false">IF($D7595&lt;&gt;"","["&amp;$E7595&amp;"]"&amp;"|"&amp;$Q7595&amp;"|"&amp;$K7595&amp;"|"&amp;$G7595&amp;"|"&amp;IF($G7595="TX_CURR_SUBNAT.R","CY2022Q4",$M7595),"")</f>
        <v>[ZCjuwgaMB9u]|35-49|Female|NEW_INFECTIONS_SUBNAT.T2|CY2025Q3</v>
      </c>
    </row>
    <row r="7596" customFormat="false" ht="15" hidden="false" customHeight="false" outlineLevel="0" collapsed="false">
      <c r="D7596" s="0" t="s">
        <v>126</v>
      </c>
      <c r="E7596" s="0" t="s">
        <v>127</v>
      </c>
      <c r="F7596" s="0" t="s">
        <v>128</v>
      </c>
      <c r="G7596" s="0" t="s">
        <v>175</v>
      </c>
      <c r="H7596" s="0" t="s">
        <v>175</v>
      </c>
      <c r="I7596" s="0" t="s">
        <v>45</v>
      </c>
      <c r="J7596" s="0" t="s">
        <v>46</v>
      </c>
      <c r="K7596" s="0" t="s">
        <v>30</v>
      </c>
      <c r="L7596" s="0" t="s">
        <v>31</v>
      </c>
      <c r="M7596" s="0" t="s">
        <v>173</v>
      </c>
      <c r="N7596" s="0" t="n">
        <v>996</v>
      </c>
      <c r="O7596" s="10" t="n">
        <v>0.409810502547771</v>
      </c>
      <c r="P7596" s="10" t="n">
        <v>0.252706390339881</v>
      </c>
      <c r="Q7596" s="0" t="str">
        <f aca="false">SUBSTITUTE(SUBSTITUTE($I7596,CHAR(61),""),CHAR(34),"")</f>
        <v>50+</v>
      </c>
      <c r="R7596" s="0" t="str">
        <f aca="false">IF($D7596&lt;&gt;"","["&amp;$E7596&amp;"]"&amp;"|"&amp;$Q7596&amp;"|"&amp;$K7596&amp;"|"&amp;$G7596&amp;"|"&amp;IF($G7596="TX_CURR_SUBNAT.R","CY2022Q4",$M7596),"")</f>
        <v>[ZCjuwgaMB9u]|50+|Female|NEW_INFECTIONS_SUBNAT.T2|CY2025Q3</v>
      </c>
    </row>
    <row r="7597" customFormat="false" ht="15" hidden="false" customHeight="false" outlineLevel="0" collapsed="false">
      <c r="D7597" s="0" t="s">
        <v>126</v>
      </c>
      <c r="E7597" s="0" t="s">
        <v>127</v>
      </c>
      <c r="F7597" s="0" t="s">
        <v>128</v>
      </c>
      <c r="G7597" s="0" t="s">
        <v>175</v>
      </c>
      <c r="H7597" s="0" t="s">
        <v>175</v>
      </c>
      <c r="I7597" s="0" t="s">
        <v>28</v>
      </c>
      <c r="J7597" s="0" t="s">
        <v>29</v>
      </c>
      <c r="K7597" s="0" t="s">
        <v>48</v>
      </c>
      <c r="L7597" s="0" t="s">
        <v>49</v>
      </c>
      <c r="M7597" s="0" t="s">
        <v>173</v>
      </c>
      <c r="N7597" s="0" t="n">
        <v>1810</v>
      </c>
      <c r="O7597" s="10" t="n">
        <v>0.0182359092868865</v>
      </c>
      <c r="P7597" s="10" t="n">
        <v>0.252706390339881</v>
      </c>
      <c r="Q7597" s="0" t="str">
        <f aca="false">SUBSTITUTE(SUBSTITUTE($I7597,CHAR(61),""),CHAR(34),"")</f>
        <v>&lt;01</v>
      </c>
      <c r="R7597" s="0" t="str">
        <f aca="false">IF($D7597&lt;&gt;"","["&amp;$E7597&amp;"]"&amp;"|"&amp;$Q7597&amp;"|"&amp;$K7597&amp;"|"&amp;$G7597&amp;"|"&amp;IF($G7597="TX_CURR_SUBNAT.R","CY2022Q4",$M7597),"")</f>
        <v>[ZCjuwgaMB9u]|&lt;01|Male|NEW_INFECTIONS_SUBNAT.T2|CY2025Q3</v>
      </c>
    </row>
    <row r="7598" customFormat="false" ht="15" hidden="false" customHeight="false" outlineLevel="0" collapsed="false">
      <c r="D7598" s="0" t="s">
        <v>126</v>
      </c>
      <c r="E7598" s="0" t="s">
        <v>127</v>
      </c>
      <c r="F7598" s="0" t="s">
        <v>128</v>
      </c>
      <c r="G7598" s="0" t="s">
        <v>175</v>
      </c>
      <c r="H7598" s="0" t="s">
        <v>175</v>
      </c>
      <c r="I7598" s="0" t="s">
        <v>33</v>
      </c>
      <c r="J7598" s="0" t="s">
        <v>34</v>
      </c>
      <c r="K7598" s="0" t="s">
        <v>48</v>
      </c>
      <c r="L7598" s="0" t="s">
        <v>49</v>
      </c>
      <c r="M7598" s="0" t="s">
        <v>173</v>
      </c>
      <c r="N7598" s="0" t="n">
        <v>745</v>
      </c>
      <c r="O7598" s="10" t="n">
        <v>0.940687138587236</v>
      </c>
      <c r="P7598" s="10" t="n">
        <v>0.252706390339881</v>
      </c>
      <c r="Q7598" s="0" t="str">
        <f aca="false">SUBSTITUTE(SUBSTITUTE($I7598,CHAR(61),""),CHAR(34),"")</f>
        <v>01-09</v>
      </c>
      <c r="R7598" s="0" t="str">
        <f aca="false">IF($D7598&lt;&gt;"","["&amp;$E7598&amp;"]"&amp;"|"&amp;$Q7598&amp;"|"&amp;$K7598&amp;"|"&amp;$G7598&amp;"|"&amp;IF($G7598="TX_CURR_SUBNAT.R","CY2022Q4",$M7598),"")</f>
        <v>[ZCjuwgaMB9u]|01-09|Male|NEW_INFECTIONS_SUBNAT.T2|CY2025Q3</v>
      </c>
    </row>
    <row r="7599" customFormat="false" ht="15" hidden="false" customHeight="false" outlineLevel="0" collapsed="false">
      <c r="D7599" s="0" t="s">
        <v>126</v>
      </c>
      <c r="E7599" s="0" t="s">
        <v>127</v>
      </c>
      <c r="F7599" s="0" t="s">
        <v>128</v>
      </c>
      <c r="G7599" s="0" t="s">
        <v>175</v>
      </c>
      <c r="H7599" s="0" t="s">
        <v>175</v>
      </c>
      <c r="I7599" s="0" t="s">
        <v>36</v>
      </c>
      <c r="J7599" s="0" t="s">
        <v>37</v>
      </c>
      <c r="K7599" s="0" t="s">
        <v>48</v>
      </c>
      <c r="L7599" s="0" t="s">
        <v>49</v>
      </c>
      <c r="M7599" s="0" t="s">
        <v>173</v>
      </c>
      <c r="N7599" s="0" t="n">
        <v>1844</v>
      </c>
      <c r="O7599" s="10" t="n">
        <v>0.789259996265173</v>
      </c>
      <c r="P7599" s="10" t="n">
        <v>0.252706390339881</v>
      </c>
      <c r="Q7599" s="0" t="str">
        <f aca="false">SUBSTITUTE(SUBSTITUTE($I7599,CHAR(61),""),CHAR(34),"")</f>
        <v>10-14</v>
      </c>
      <c r="R7599" s="0" t="str">
        <f aca="false">IF($D7599&lt;&gt;"","["&amp;$E7599&amp;"]"&amp;"|"&amp;$Q7599&amp;"|"&amp;$K7599&amp;"|"&amp;$G7599&amp;"|"&amp;IF($G7599="TX_CURR_SUBNAT.R","CY2022Q4",$M7599),"")</f>
        <v>[ZCjuwgaMB9u]|10-14|Male|NEW_INFECTIONS_SUBNAT.T2|CY2025Q3</v>
      </c>
    </row>
    <row r="7600" customFormat="false" ht="15" hidden="false" customHeight="false" outlineLevel="0" collapsed="false">
      <c r="D7600" s="0" t="s">
        <v>126</v>
      </c>
      <c r="E7600" s="0" t="s">
        <v>127</v>
      </c>
      <c r="F7600" s="0" t="s">
        <v>128</v>
      </c>
      <c r="G7600" s="0" t="s">
        <v>175</v>
      </c>
      <c r="H7600" s="0" t="s">
        <v>175</v>
      </c>
      <c r="I7600" s="0" t="s">
        <v>38</v>
      </c>
      <c r="J7600" s="0" t="s">
        <v>39</v>
      </c>
      <c r="K7600" s="0" t="s">
        <v>48</v>
      </c>
      <c r="L7600" s="0" t="s">
        <v>49</v>
      </c>
      <c r="M7600" s="0" t="s">
        <v>173</v>
      </c>
      <c r="N7600" s="0" t="n">
        <v>1444</v>
      </c>
      <c r="O7600" s="10" t="n">
        <v>0.82627472653985</v>
      </c>
      <c r="P7600" s="10" t="n">
        <v>0.252706390339881</v>
      </c>
      <c r="Q7600" s="0" t="str">
        <f aca="false">SUBSTITUTE(SUBSTITUTE($I7600,CHAR(61),""),CHAR(34),"")</f>
        <v>15-24</v>
      </c>
      <c r="R7600" s="0" t="str">
        <f aca="false">IF($D7600&lt;&gt;"","["&amp;$E7600&amp;"]"&amp;"|"&amp;$Q7600&amp;"|"&amp;$K7600&amp;"|"&amp;$G7600&amp;"|"&amp;IF($G7600="TX_CURR_SUBNAT.R","CY2022Q4",$M7600),"")</f>
        <v>[ZCjuwgaMB9u]|15-24|Male|NEW_INFECTIONS_SUBNAT.T2|CY2025Q3</v>
      </c>
    </row>
    <row r="7601" customFormat="false" ht="15" hidden="false" customHeight="false" outlineLevel="0" collapsed="false">
      <c r="D7601" s="0" t="s">
        <v>126</v>
      </c>
      <c r="E7601" s="0" t="s">
        <v>127</v>
      </c>
      <c r="F7601" s="0" t="s">
        <v>128</v>
      </c>
      <c r="G7601" s="0" t="s">
        <v>175</v>
      </c>
      <c r="H7601" s="0" t="s">
        <v>175</v>
      </c>
      <c r="I7601" s="0" t="s">
        <v>41</v>
      </c>
      <c r="J7601" s="0" t="s">
        <v>42</v>
      </c>
      <c r="K7601" s="0" t="s">
        <v>48</v>
      </c>
      <c r="L7601" s="0" t="s">
        <v>49</v>
      </c>
      <c r="M7601" s="0" t="s">
        <v>173</v>
      </c>
      <c r="N7601" s="0" t="n">
        <v>1264</v>
      </c>
      <c r="O7601" s="10" t="n">
        <v>0.728593405801803</v>
      </c>
      <c r="P7601" s="10" t="n">
        <v>0.252706390339881</v>
      </c>
      <c r="Q7601" s="0" t="str">
        <f aca="false">SUBSTITUTE(SUBSTITUTE($I7601,CHAR(61),""),CHAR(34),"")</f>
        <v>25-34</v>
      </c>
      <c r="R7601" s="0" t="str">
        <f aca="false">IF($D7601&lt;&gt;"","["&amp;$E7601&amp;"]"&amp;"|"&amp;$Q7601&amp;"|"&amp;$K7601&amp;"|"&amp;$G7601&amp;"|"&amp;IF($G7601="TX_CURR_SUBNAT.R","CY2022Q4",$M7601),"")</f>
        <v>[ZCjuwgaMB9u]|25-34|Male|NEW_INFECTIONS_SUBNAT.T2|CY2025Q3</v>
      </c>
    </row>
    <row r="7602" customFormat="false" ht="15" hidden="false" customHeight="false" outlineLevel="0" collapsed="false">
      <c r="D7602" s="0" t="s">
        <v>126</v>
      </c>
      <c r="E7602" s="0" t="s">
        <v>127</v>
      </c>
      <c r="F7602" s="0" t="s">
        <v>128</v>
      </c>
      <c r="G7602" s="0" t="s">
        <v>175</v>
      </c>
      <c r="H7602" s="0" t="s">
        <v>175</v>
      </c>
      <c r="I7602" s="0" t="s">
        <v>43</v>
      </c>
      <c r="J7602" s="0" t="s">
        <v>44</v>
      </c>
      <c r="K7602" s="0" t="s">
        <v>48</v>
      </c>
      <c r="L7602" s="0" t="s">
        <v>49</v>
      </c>
      <c r="M7602" s="0" t="s">
        <v>173</v>
      </c>
      <c r="N7602" s="0" t="n">
        <v>1181</v>
      </c>
      <c r="O7602" s="10" t="n">
        <v>0.429081914713606</v>
      </c>
      <c r="P7602" s="10" t="n">
        <v>0.252706390339881</v>
      </c>
      <c r="Q7602" s="0" t="str">
        <f aca="false">SUBSTITUTE(SUBSTITUTE($I7602,CHAR(61),""),CHAR(34),"")</f>
        <v>35-49</v>
      </c>
      <c r="R7602" s="0" t="str">
        <f aca="false">IF($D7602&lt;&gt;"","["&amp;$E7602&amp;"]"&amp;"|"&amp;$Q7602&amp;"|"&amp;$K7602&amp;"|"&amp;$G7602&amp;"|"&amp;IF($G7602="TX_CURR_SUBNAT.R","CY2022Q4",$M7602),"")</f>
        <v>[ZCjuwgaMB9u]|35-49|Male|NEW_INFECTIONS_SUBNAT.T2|CY2025Q3</v>
      </c>
    </row>
    <row r="7603" customFormat="false" ht="15" hidden="false" customHeight="false" outlineLevel="0" collapsed="false">
      <c r="D7603" s="0" t="s">
        <v>126</v>
      </c>
      <c r="E7603" s="0" t="s">
        <v>127</v>
      </c>
      <c r="F7603" s="0" t="s">
        <v>128</v>
      </c>
      <c r="G7603" s="0" t="s">
        <v>175</v>
      </c>
      <c r="H7603" s="0" t="s">
        <v>175</v>
      </c>
      <c r="I7603" s="0" t="s">
        <v>45</v>
      </c>
      <c r="J7603" s="0" t="s">
        <v>46</v>
      </c>
      <c r="K7603" s="0" t="s">
        <v>48</v>
      </c>
      <c r="L7603" s="0" t="s">
        <v>49</v>
      </c>
      <c r="M7603" s="0" t="s">
        <v>173</v>
      </c>
      <c r="N7603" s="0" t="n">
        <v>1232</v>
      </c>
      <c r="O7603" s="10" t="n">
        <v>0.464070978108793</v>
      </c>
      <c r="P7603" s="10" t="n">
        <v>0.252706390339881</v>
      </c>
      <c r="Q7603" s="0" t="str">
        <f aca="false">SUBSTITUTE(SUBSTITUTE($I7603,CHAR(61),""),CHAR(34),"")</f>
        <v>50+</v>
      </c>
      <c r="R7603" s="0" t="str">
        <f aca="false">IF($D7603&lt;&gt;"","["&amp;$E7603&amp;"]"&amp;"|"&amp;$Q7603&amp;"|"&amp;$K7603&amp;"|"&amp;$G7603&amp;"|"&amp;IF($G7603="TX_CURR_SUBNAT.R","CY2022Q4",$M7603),"")</f>
        <v>[ZCjuwgaMB9u]|50+|Male|NEW_INFECTIONS_SUBNAT.T2|CY2025Q3</v>
      </c>
    </row>
    <row r="7604" customFormat="false" ht="15" hidden="false" customHeight="false" outlineLevel="0" collapsed="false">
      <c r="D7604" s="0" t="s">
        <v>129</v>
      </c>
      <c r="E7604" s="0" t="s">
        <v>130</v>
      </c>
      <c r="F7604" s="0" t="s">
        <v>131</v>
      </c>
      <c r="G7604" s="0" t="s">
        <v>175</v>
      </c>
      <c r="H7604" s="0" t="s">
        <v>175</v>
      </c>
      <c r="I7604" s="0" t="s">
        <v>28</v>
      </c>
      <c r="J7604" s="0" t="s">
        <v>29</v>
      </c>
      <c r="K7604" s="0" t="s">
        <v>30</v>
      </c>
      <c r="L7604" s="0" t="s">
        <v>31</v>
      </c>
      <c r="M7604" s="0" t="s">
        <v>173</v>
      </c>
      <c r="N7604" s="0" t="n">
        <v>1642</v>
      </c>
      <c r="O7604" s="10" t="n">
        <v>0.91236350662075</v>
      </c>
      <c r="P7604" s="10" t="n">
        <v>0.556908084778115</v>
      </c>
      <c r="Q7604" s="0" t="str">
        <f aca="false">SUBSTITUTE(SUBSTITUTE($I7604,CHAR(61),""),CHAR(34),"")</f>
        <v>&lt;01</v>
      </c>
      <c r="R7604" s="0" t="str">
        <f aca="false">IF($D7604&lt;&gt;"","["&amp;$E7604&amp;"]"&amp;"|"&amp;$Q7604&amp;"|"&amp;$K7604&amp;"|"&amp;$G7604&amp;"|"&amp;IF($G7604="TX_CURR_SUBNAT.R","CY2022Q4",$M7604),"")</f>
        <v>[YCKiBAp8QAg]|&lt;01|Female|NEW_INFECTIONS_SUBNAT.T2|CY2025Q3</v>
      </c>
    </row>
    <row r="7605" customFormat="false" ht="15" hidden="false" customHeight="false" outlineLevel="0" collapsed="false">
      <c r="D7605" s="0" t="s">
        <v>129</v>
      </c>
      <c r="E7605" s="0" t="s">
        <v>130</v>
      </c>
      <c r="F7605" s="0" t="s">
        <v>131</v>
      </c>
      <c r="G7605" s="0" t="s">
        <v>175</v>
      </c>
      <c r="H7605" s="0" t="s">
        <v>175</v>
      </c>
      <c r="I7605" s="0" t="s">
        <v>33</v>
      </c>
      <c r="J7605" s="0" t="s">
        <v>34</v>
      </c>
      <c r="K7605" s="0" t="s">
        <v>30</v>
      </c>
      <c r="L7605" s="0" t="s">
        <v>31</v>
      </c>
      <c r="M7605" s="0" t="s">
        <v>173</v>
      </c>
      <c r="N7605" s="0" t="n">
        <v>1294</v>
      </c>
      <c r="O7605" s="10" t="n">
        <v>0.986399644520134</v>
      </c>
      <c r="P7605" s="10" t="n">
        <v>0.556908084778115</v>
      </c>
      <c r="Q7605" s="0" t="str">
        <f aca="false">SUBSTITUTE(SUBSTITUTE($I7605,CHAR(61),""),CHAR(34),"")</f>
        <v>01-09</v>
      </c>
      <c r="R7605" s="0" t="str">
        <f aca="false">IF($D7605&lt;&gt;"","["&amp;$E7605&amp;"]"&amp;"|"&amp;$Q7605&amp;"|"&amp;$K7605&amp;"|"&amp;$G7605&amp;"|"&amp;IF($G7605="TX_CURR_SUBNAT.R","CY2022Q4",$M7605),"")</f>
        <v>[YCKiBAp8QAg]|01-09|Female|NEW_INFECTIONS_SUBNAT.T2|CY2025Q3</v>
      </c>
    </row>
    <row r="7606" customFormat="false" ht="15" hidden="false" customHeight="false" outlineLevel="0" collapsed="false">
      <c r="D7606" s="0" t="s">
        <v>129</v>
      </c>
      <c r="E7606" s="0" t="s">
        <v>130</v>
      </c>
      <c r="F7606" s="0" t="s">
        <v>131</v>
      </c>
      <c r="G7606" s="0" t="s">
        <v>175</v>
      </c>
      <c r="H7606" s="0" t="s">
        <v>175</v>
      </c>
      <c r="I7606" s="0" t="s">
        <v>36</v>
      </c>
      <c r="J7606" s="0" t="s">
        <v>37</v>
      </c>
      <c r="K7606" s="0" t="s">
        <v>30</v>
      </c>
      <c r="L7606" s="0" t="s">
        <v>31</v>
      </c>
      <c r="M7606" s="0" t="s">
        <v>173</v>
      </c>
      <c r="N7606" s="0" t="n">
        <v>1157</v>
      </c>
      <c r="O7606" s="10" t="n">
        <v>0.582576388027519</v>
      </c>
      <c r="P7606" s="10" t="n">
        <v>0.556908084778115</v>
      </c>
      <c r="Q7606" s="0" t="str">
        <f aca="false">SUBSTITUTE(SUBSTITUTE($I7606,CHAR(61),""),CHAR(34),"")</f>
        <v>10-14</v>
      </c>
      <c r="R7606" s="0" t="str">
        <f aca="false">IF($D7606&lt;&gt;"","["&amp;$E7606&amp;"]"&amp;"|"&amp;$Q7606&amp;"|"&amp;$K7606&amp;"|"&amp;$G7606&amp;"|"&amp;IF($G7606="TX_CURR_SUBNAT.R","CY2022Q4",$M7606),"")</f>
        <v>[YCKiBAp8QAg]|10-14|Female|NEW_INFECTIONS_SUBNAT.T2|CY2025Q3</v>
      </c>
    </row>
    <row r="7607" customFormat="false" ht="15" hidden="false" customHeight="false" outlineLevel="0" collapsed="false">
      <c r="D7607" s="0" t="s">
        <v>129</v>
      </c>
      <c r="E7607" s="0" t="s">
        <v>130</v>
      </c>
      <c r="F7607" s="0" t="s">
        <v>131</v>
      </c>
      <c r="G7607" s="0" t="s">
        <v>175</v>
      </c>
      <c r="H7607" s="0" t="s">
        <v>175</v>
      </c>
      <c r="I7607" s="0" t="s">
        <v>38</v>
      </c>
      <c r="J7607" s="0" t="s">
        <v>39</v>
      </c>
      <c r="K7607" s="0" t="s">
        <v>30</v>
      </c>
      <c r="L7607" s="0" t="s">
        <v>31</v>
      </c>
      <c r="M7607" s="0" t="s">
        <v>173</v>
      </c>
      <c r="N7607" s="0" t="n">
        <v>1651</v>
      </c>
      <c r="O7607" s="10" t="n">
        <v>0.624617604771629</v>
      </c>
      <c r="P7607" s="10" t="n">
        <v>0.556908084778115</v>
      </c>
      <c r="Q7607" s="0" t="str">
        <f aca="false">SUBSTITUTE(SUBSTITUTE($I7607,CHAR(61),""),CHAR(34),"")</f>
        <v>15-24</v>
      </c>
      <c r="R7607" s="0" t="str">
        <f aca="false">IF($D7607&lt;&gt;"","["&amp;$E7607&amp;"]"&amp;"|"&amp;$Q7607&amp;"|"&amp;$K7607&amp;"|"&amp;$G7607&amp;"|"&amp;IF($G7607="TX_CURR_SUBNAT.R","CY2022Q4",$M7607),"")</f>
        <v>[YCKiBAp8QAg]|15-24|Female|NEW_INFECTIONS_SUBNAT.T2|CY2025Q3</v>
      </c>
    </row>
    <row r="7608" customFormat="false" ht="15" hidden="false" customHeight="false" outlineLevel="0" collapsed="false">
      <c r="D7608" s="0" t="s">
        <v>129</v>
      </c>
      <c r="E7608" s="0" t="s">
        <v>130</v>
      </c>
      <c r="F7608" s="0" t="s">
        <v>131</v>
      </c>
      <c r="G7608" s="0" t="s">
        <v>175</v>
      </c>
      <c r="H7608" s="0" t="s">
        <v>175</v>
      </c>
      <c r="I7608" s="0" t="s">
        <v>41</v>
      </c>
      <c r="J7608" s="0" t="s">
        <v>42</v>
      </c>
      <c r="K7608" s="0" t="s">
        <v>30</v>
      </c>
      <c r="L7608" s="0" t="s">
        <v>31</v>
      </c>
      <c r="M7608" s="0" t="s">
        <v>173</v>
      </c>
      <c r="N7608" s="0" t="n">
        <v>699</v>
      </c>
      <c r="O7608" s="10" t="n">
        <v>0.772513854783028</v>
      </c>
      <c r="P7608" s="10" t="n">
        <v>0.556908084778115</v>
      </c>
      <c r="Q7608" s="0" t="str">
        <f aca="false">SUBSTITUTE(SUBSTITUTE($I7608,CHAR(61),""),CHAR(34),"")</f>
        <v>25-34</v>
      </c>
      <c r="R7608" s="0" t="str">
        <f aca="false">IF($D7608&lt;&gt;"","["&amp;$E7608&amp;"]"&amp;"|"&amp;$Q7608&amp;"|"&amp;$K7608&amp;"|"&amp;$G7608&amp;"|"&amp;IF($G7608="TX_CURR_SUBNAT.R","CY2022Q4",$M7608),"")</f>
        <v>[YCKiBAp8QAg]|25-34|Female|NEW_INFECTIONS_SUBNAT.T2|CY2025Q3</v>
      </c>
    </row>
    <row r="7609" customFormat="false" ht="15" hidden="false" customHeight="false" outlineLevel="0" collapsed="false">
      <c r="D7609" s="0" t="s">
        <v>129</v>
      </c>
      <c r="E7609" s="0" t="s">
        <v>130</v>
      </c>
      <c r="F7609" s="0" t="s">
        <v>131</v>
      </c>
      <c r="G7609" s="0" t="s">
        <v>175</v>
      </c>
      <c r="H7609" s="0" t="s">
        <v>175</v>
      </c>
      <c r="I7609" s="0" t="s">
        <v>43</v>
      </c>
      <c r="J7609" s="0" t="s">
        <v>44</v>
      </c>
      <c r="K7609" s="0" t="s">
        <v>30</v>
      </c>
      <c r="L7609" s="0" t="s">
        <v>31</v>
      </c>
      <c r="M7609" s="0" t="s">
        <v>173</v>
      </c>
      <c r="N7609" s="0" t="n">
        <v>1568</v>
      </c>
      <c r="O7609" s="10" t="n">
        <v>0.693650376284495</v>
      </c>
      <c r="P7609" s="10" t="n">
        <v>0.556908084778115</v>
      </c>
      <c r="Q7609" s="0" t="str">
        <f aca="false">SUBSTITUTE(SUBSTITUTE($I7609,CHAR(61),""),CHAR(34),"")</f>
        <v>35-49</v>
      </c>
      <c r="R7609" s="0" t="str">
        <f aca="false">IF($D7609&lt;&gt;"","["&amp;$E7609&amp;"]"&amp;"|"&amp;$Q7609&amp;"|"&amp;$K7609&amp;"|"&amp;$G7609&amp;"|"&amp;IF($G7609="TX_CURR_SUBNAT.R","CY2022Q4",$M7609),"")</f>
        <v>[YCKiBAp8QAg]|35-49|Female|NEW_INFECTIONS_SUBNAT.T2|CY2025Q3</v>
      </c>
    </row>
    <row r="7610" customFormat="false" ht="15" hidden="false" customHeight="false" outlineLevel="0" collapsed="false">
      <c r="D7610" s="0" t="s">
        <v>129</v>
      </c>
      <c r="E7610" s="0" t="s">
        <v>130</v>
      </c>
      <c r="F7610" s="0" t="s">
        <v>131</v>
      </c>
      <c r="G7610" s="0" t="s">
        <v>175</v>
      </c>
      <c r="H7610" s="0" t="s">
        <v>175</v>
      </c>
      <c r="I7610" s="0" t="s">
        <v>45</v>
      </c>
      <c r="J7610" s="0" t="s">
        <v>46</v>
      </c>
      <c r="K7610" s="0" t="s">
        <v>30</v>
      </c>
      <c r="L7610" s="0" t="s">
        <v>31</v>
      </c>
      <c r="M7610" s="0" t="s">
        <v>173</v>
      </c>
      <c r="N7610" s="0" t="n">
        <v>517</v>
      </c>
      <c r="O7610" s="10" t="n">
        <v>0.309061591280624</v>
      </c>
      <c r="P7610" s="10" t="n">
        <v>0.556908084778115</v>
      </c>
      <c r="Q7610" s="0" t="str">
        <f aca="false">SUBSTITUTE(SUBSTITUTE($I7610,CHAR(61),""),CHAR(34),"")</f>
        <v>50+</v>
      </c>
      <c r="R7610" s="0" t="str">
        <f aca="false">IF($D7610&lt;&gt;"","["&amp;$E7610&amp;"]"&amp;"|"&amp;$Q7610&amp;"|"&amp;$K7610&amp;"|"&amp;$G7610&amp;"|"&amp;IF($G7610="TX_CURR_SUBNAT.R","CY2022Q4",$M7610),"")</f>
        <v>[YCKiBAp8QAg]|50+|Female|NEW_INFECTIONS_SUBNAT.T2|CY2025Q3</v>
      </c>
    </row>
    <row r="7611" customFormat="false" ht="15" hidden="false" customHeight="false" outlineLevel="0" collapsed="false">
      <c r="D7611" s="0" t="s">
        <v>129</v>
      </c>
      <c r="E7611" s="0" t="s">
        <v>130</v>
      </c>
      <c r="F7611" s="0" t="s">
        <v>131</v>
      </c>
      <c r="G7611" s="0" t="s">
        <v>175</v>
      </c>
      <c r="H7611" s="0" t="s">
        <v>175</v>
      </c>
      <c r="I7611" s="0" t="s">
        <v>28</v>
      </c>
      <c r="J7611" s="0" t="s">
        <v>29</v>
      </c>
      <c r="K7611" s="0" t="s">
        <v>48</v>
      </c>
      <c r="L7611" s="0" t="s">
        <v>49</v>
      </c>
      <c r="M7611" s="0" t="s">
        <v>173</v>
      </c>
      <c r="N7611" s="0" t="n">
        <v>1303</v>
      </c>
      <c r="O7611" s="10" t="n">
        <v>0.0539273847825825</v>
      </c>
      <c r="P7611" s="10" t="n">
        <v>0.556908084778115</v>
      </c>
      <c r="Q7611" s="0" t="str">
        <f aca="false">SUBSTITUTE(SUBSTITUTE($I7611,CHAR(61),""),CHAR(34),"")</f>
        <v>&lt;01</v>
      </c>
      <c r="R7611" s="0" t="str">
        <f aca="false">IF($D7611&lt;&gt;"","["&amp;$E7611&amp;"]"&amp;"|"&amp;$Q7611&amp;"|"&amp;$K7611&amp;"|"&amp;$G7611&amp;"|"&amp;IF($G7611="TX_CURR_SUBNAT.R","CY2022Q4",$M7611),"")</f>
        <v>[YCKiBAp8QAg]|&lt;01|Male|NEW_INFECTIONS_SUBNAT.T2|CY2025Q3</v>
      </c>
    </row>
    <row r="7612" customFormat="false" ht="15" hidden="false" customHeight="false" outlineLevel="0" collapsed="false">
      <c r="D7612" s="0" t="s">
        <v>129</v>
      </c>
      <c r="E7612" s="0" t="s">
        <v>130</v>
      </c>
      <c r="F7612" s="0" t="s">
        <v>131</v>
      </c>
      <c r="G7612" s="0" t="s">
        <v>175</v>
      </c>
      <c r="H7612" s="0" t="s">
        <v>175</v>
      </c>
      <c r="I7612" s="0" t="s">
        <v>33</v>
      </c>
      <c r="J7612" s="0" t="s">
        <v>34</v>
      </c>
      <c r="K7612" s="0" t="s">
        <v>48</v>
      </c>
      <c r="L7612" s="0" t="s">
        <v>49</v>
      </c>
      <c r="M7612" s="0" t="s">
        <v>173</v>
      </c>
      <c r="N7612" s="0" t="n">
        <v>1127</v>
      </c>
      <c r="O7612" s="10" t="n">
        <v>0.958066747291014</v>
      </c>
      <c r="P7612" s="10" t="n">
        <v>0.556908084778115</v>
      </c>
      <c r="Q7612" s="0" t="str">
        <f aca="false">SUBSTITUTE(SUBSTITUTE($I7612,CHAR(61),""),CHAR(34),"")</f>
        <v>01-09</v>
      </c>
      <c r="R7612" s="0" t="str">
        <f aca="false">IF($D7612&lt;&gt;"","["&amp;$E7612&amp;"]"&amp;"|"&amp;$Q7612&amp;"|"&amp;$K7612&amp;"|"&amp;$G7612&amp;"|"&amp;IF($G7612="TX_CURR_SUBNAT.R","CY2022Q4",$M7612),"")</f>
        <v>[YCKiBAp8QAg]|01-09|Male|NEW_INFECTIONS_SUBNAT.T2|CY2025Q3</v>
      </c>
    </row>
    <row r="7613" customFormat="false" ht="15" hidden="false" customHeight="false" outlineLevel="0" collapsed="false">
      <c r="D7613" s="0" t="s">
        <v>129</v>
      </c>
      <c r="E7613" s="0" t="s">
        <v>130</v>
      </c>
      <c r="F7613" s="0" t="s">
        <v>131</v>
      </c>
      <c r="G7613" s="0" t="s">
        <v>175</v>
      </c>
      <c r="H7613" s="0" t="s">
        <v>175</v>
      </c>
      <c r="I7613" s="0" t="s">
        <v>36</v>
      </c>
      <c r="J7613" s="0" t="s">
        <v>37</v>
      </c>
      <c r="K7613" s="0" t="s">
        <v>48</v>
      </c>
      <c r="L7613" s="0" t="s">
        <v>49</v>
      </c>
      <c r="M7613" s="0" t="s">
        <v>173</v>
      </c>
      <c r="N7613" s="0" t="n">
        <v>1156</v>
      </c>
      <c r="O7613" s="10" t="n">
        <v>0.961291275452822</v>
      </c>
      <c r="P7613" s="10" t="n">
        <v>0.556908084778115</v>
      </c>
      <c r="Q7613" s="0" t="str">
        <f aca="false">SUBSTITUTE(SUBSTITUTE($I7613,CHAR(61),""),CHAR(34),"")</f>
        <v>10-14</v>
      </c>
      <c r="R7613" s="0" t="str">
        <f aca="false">IF($D7613&lt;&gt;"","["&amp;$E7613&amp;"]"&amp;"|"&amp;$Q7613&amp;"|"&amp;$K7613&amp;"|"&amp;$G7613&amp;"|"&amp;IF($G7613="TX_CURR_SUBNAT.R","CY2022Q4",$M7613),"")</f>
        <v>[YCKiBAp8QAg]|10-14|Male|NEW_INFECTIONS_SUBNAT.T2|CY2025Q3</v>
      </c>
    </row>
    <row r="7614" customFormat="false" ht="15" hidden="false" customHeight="false" outlineLevel="0" collapsed="false">
      <c r="D7614" s="0" t="s">
        <v>129</v>
      </c>
      <c r="E7614" s="0" t="s">
        <v>130</v>
      </c>
      <c r="F7614" s="0" t="s">
        <v>131</v>
      </c>
      <c r="G7614" s="0" t="s">
        <v>175</v>
      </c>
      <c r="H7614" s="0" t="s">
        <v>175</v>
      </c>
      <c r="I7614" s="0" t="s">
        <v>38</v>
      </c>
      <c r="J7614" s="0" t="s">
        <v>39</v>
      </c>
      <c r="K7614" s="0" t="s">
        <v>48</v>
      </c>
      <c r="L7614" s="0" t="s">
        <v>49</v>
      </c>
      <c r="M7614" s="0" t="s">
        <v>173</v>
      </c>
      <c r="N7614" s="0" t="n">
        <v>1308</v>
      </c>
      <c r="O7614" s="10" t="n">
        <v>0.963244469836354</v>
      </c>
      <c r="P7614" s="10" t="n">
        <v>0.556908084778115</v>
      </c>
      <c r="Q7614" s="0" t="str">
        <f aca="false">SUBSTITUTE(SUBSTITUTE($I7614,CHAR(61),""),CHAR(34),"")</f>
        <v>15-24</v>
      </c>
      <c r="R7614" s="0" t="str">
        <f aca="false">IF($D7614&lt;&gt;"","["&amp;$E7614&amp;"]"&amp;"|"&amp;$Q7614&amp;"|"&amp;$K7614&amp;"|"&amp;$G7614&amp;"|"&amp;IF($G7614="TX_CURR_SUBNAT.R","CY2022Q4",$M7614),"")</f>
        <v>[YCKiBAp8QAg]|15-24|Male|NEW_INFECTIONS_SUBNAT.T2|CY2025Q3</v>
      </c>
    </row>
    <row r="7615" customFormat="false" ht="15" hidden="false" customHeight="false" outlineLevel="0" collapsed="false">
      <c r="D7615" s="0" t="s">
        <v>129</v>
      </c>
      <c r="E7615" s="0" t="s">
        <v>130</v>
      </c>
      <c r="F7615" s="0" t="s">
        <v>131</v>
      </c>
      <c r="G7615" s="0" t="s">
        <v>175</v>
      </c>
      <c r="H7615" s="0" t="s">
        <v>175</v>
      </c>
      <c r="I7615" s="0" t="s">
        <v>41</v>
      </c>
      <c r="J7615" s="0" t="s">
        <v>42</v>
      </c>
      <c r="K7615" s="0" t="s">
        <v>48</v>
      </c>
      <c r="L7615" s="0" t="s">
        <v>49</v>
      </c>
      <c r="M7615" s="0" t="s">
        <v>173</v>
      </c>
      <c r="N7615" s="0" t="n">
        <v>1532</v>
      </c>
      <c r="O7615" s="10" t="n">
        <v>0.286978942807764</v>
      </c>
      <c r="P7615" s="10" t="n">
        <v>0.556908084778115</v>
      </c>
      <c r="Q7615" s="0" t="str">
        <f aca="false">SUBSTITUTE(SUBSTITUTE($I7615,CHAR(61),""),CHAR(34),"")</f>
        <v>25-34</v>
      </c>
      <c r="R7615" s="0" t="str">
        <f aca="false">IF($D7615&lt;&gt;"","["&amp;$E7615&amp;"]"&amp;"|"&amp;$Q7615&amp;"|"&amp;$K7615&amp;"|"&amp;$G7615&amp;"|"&amp;IF($G7615="TX_CURR_SUBNAT.R","CY2022Q4",$M7615),"")</f>
        <v>[YCKiBAp8QAg]|25-34|Male|NEW_INFECTIONS_SUBNAT.T2|CY2025Q3</v>
      </c>
    </row>
    <row r="7616" customFormat="false" ht="15" hidden="false" customHeight="false" outlineLevel="0" collapsed="false">
      <c r="D7616" s="0" t="s">
        <v>129</v>
      </c>
      <c r="E7616" s="0" t="s">
        <v>130</v>
      </c>
      <c r="F7616" s="0" t="s">
        <v>131</v>
      </c>
      <c r="G7616" s="0" t="s">
        <v>175</v>
      </c>
      <c r="H7616" s="0" t="s">
        <v>175</v>
      </c>
      <c r="I7616" s="0" t="s">
        <v>43</v>
      </c>
      <c r="J7616" s="0" t="s">
        <v>44</v>
      </c>
      <c r="K7616" s="0" t="s">
        <v>48</v>
      </c>
      <c r="L7616" s="0" t="s">
        <v>49</v>
      </c>
      <c r="M7616" s="0" t="s">
        <v>173</v>
      </c>
      <c r="N7616" s="0" t="n">
        <v>1337</v>
      </c>
      <c r="O7616" s="10" t="n">
        <v>0.846917620394379</v>
      </c>
      <c r="P7616" s="10" t="n">
        <v>0.556908084778115</v>
      </c>
      <c r="Q7616" s="0" t="str">
        <f aca="false">SUBSTITUTE(SUBSTITUTE($I7616,CHAR(61),""),CHAR(34),"")</f>
        <v>35-49</v>
      </c>
      <c r="R7616" s="0" t="str">
        <f aca="false">IF($D7616&lt;&gt;"","["&amp;$E7616&amp;"]"&amp;"|"&amp;$Q7616&amp;"|"&amp;$K7616&amp;"|"&amp;$G7616&amp;"|"&amp;IF($G7616="TX_CURR_SUBNAT.R","CY2022Q4",$M7616),"")</f>
        <v>[YCKiBAp8QAg]|35-49|Male|NEW_INFECTIONS_SUBNAT.T2|CY2025Q3</v>
      </c>
    </row>
    <row r="7617" customFormat="false" ht="15" hidden="false" customHeight="false" outlineLevel="0" collapsed="false">
      <c r="D7617" s="0" t="s">
        <v>129</v>
      </c>
      <c r="E7617" s="0" t="s">
        <v>130</v>
      </c>
      <c r="F7617" s="0" t="s">
        <v>131</v>
      </c>
      <c r="G7617" s="0" t="s">
        <v>175</v>
      </c>
      <c r="H7617" s="0" t="s">
        <v>175</v>
      </c>
      <c r="I7617" s="0" t="s">
        <v>45</v>
      </c>
      <c r="J7617" s="0" t="s">
        <v>46</v>
      </c>
      <c r="K7617" s="0" t="s">
        <v>48</v>
      </c>
      <c r="L7617" s="0" t="s">
        <v>49</v>
      </c>
      <c r="M7617" s="0" t="s">
        <v>173</v>
      </c>
      <c r="N7617" s="0" t="n">
        <v>1429</v>
      </c>
      <c r="O7617" s="10" t="n">
        <v>0.434151634341106</v>
      </c>
      <c r="P7617" s="10" t="n">
        <v>0.556908084778115</v>
      </c>
      <c r="Q7617" s="0" t="str">
        <f aca="false">SUBSTITUTE(SUBSTITUTE($I7617,CHAR(61),""),CHAR(34),"")</f>
        <v>50+</v>
      </c>
      <c r="R7617" s="0" t="str">
        <f aca="false">IF($D7617&lt;&gt;"","["&amp;$E7617&amp;"]"&amp;"|"&amp;$Q7617&amp;"|"&amp;$K7617&amp;"|"&amp;$G7617&amp;"|"&amp;IF($G7617="TX_CURR_SUBNAT.R","CY2022Q4",$M7617),"")</f>
        <v>[YCKiBAp8QAg]|50+|Male|NEW_INFECTIONS_SUBNAT.T2|CY2025Q3</v>
      </c>
    </row>
    <row r="7618" customFormat="false" ht="15" hidden="false" customHeight="false" outlineLevel="0" collapsed="false">
      <c r="D7618" s="0" t="s">
        <v>132</v>
      </c>
      <c r="E7618" s="0" t="s">
        <v>133</v>
      </c>
      <c r="F7618" s="0" t="s">
        <v>134</v>
      </c>
      <c r="G7618" s="0" t="s">
        <v>175</v>
      </c>
      <c r="H7618" s="0" t="s">
        <v>175</v>
      </c>
      <c r="I7618" s="0" t="s">
        <v>28</v>
      </c>
      <c r="J7618" s="0" t="s">
        <v>29</v>
      </c>
      <c r="K7618" s="0" t="s">
        <v>30</v>
      </c>
      <c r="L7618" s="0" t="s">
        <v>31</v>
      </c>
      <c r="M7618" s="0" t="s">
        <v>173</v>
      </c>
      <c r="N7618" s="0" t="n">
        <v>1821</v>
      </c>
      <c r="O7618" s="10" t="n">
        <v>0.992780580651015</v>
      </c>
      <c r="P7618" s="10" t="n">
        <v>0.162863194011152</v>
      </c>
      <c r="Q7618" s="0" t="str">
        <f aca="false">SUBSTITUTE(SUBSTITUTE($I7618,CHAR(61),""),CHAR(34),"")</f>
        <v>&lt;01</v>
      </c>
      <c r="R7618" s="0" t="str">
        <f aca="false">IF($D7618&lt;&gt;"","["&amp;$E7618&amp;"]"&amp;"|"&amp;$Q7618&amp;"|"&amp;$K7618&amp;"|"&amp;$G7618&amp;"|"&amp;IF($G7618="TX_CURR_SUBNAT.R","CY2022Q4",$M7618),"")</f>
        <v>[JQKLKuVuY61]|&lt;01|Female|NEW_INFECTIONS_SUBNAT.T2|CY2025Q3</v>
      </c>
    </row>
    <row r="7619" customFormat="false" ht="15" hidden="false" customHeight="false" outlineLevel="0" collapsed="false">
      <c r="D7619" s="0" t="s">
        <v>132</v>
      </c>
      <c r="E7619" s="0" t="s">
        <v>133</v>
      </c>
      <c r="F7619" s="0" t="s">
        <v>134</v>
      </c>
      <c r="G7619" s="0" t="s">
        <v>175</v>
      </c>
      <c r="H7619" s="0" t="s">
        <v>175</v>
      </c>
      <c r="I7619" s="0" t="s">
        <v>33</v>
      </c>
      <c r="J7619" s="0" t="s">
        <v>34</v>
      </c>
      <c r="K7619" s="0" t="s">
        <v>30</v>
      </c>
      <c r="L7619" s="0" t="s">
        <v>31</v>
      </c>
      <c r="M7619" s="0" t="s">
        <v>173</v>
      </c>
      <c r="N7619" s="0" t="n">
        <v>813</v>
      </c>
      <c r="O7619" s="10" t="n">
        <v>0.417258117115125</v>
      </c>
      <c r="P7619" s="10" t="n">
        <v>0.162863194011152</v>
      </c>
      <c r="Q7619" s="0" t="str">
        <f aca="false">SUBSTITUTE(SUBSTITUTE($I7619,CHAR(61),""),CHAR(34),"")</f>
        <v>01-09</v>
      </c>
      <c r="R7619" s="0" t="str">
        <f aca="false">IF($D7619&lt;&gt;"","["&amp;$E7619&amp;"]"&amp;"|"&amp;$Q7619&amp;"|"&amp;$K7619&amp;"|"&amp;$G7619&amp;"|"&amp;IF($G7619="TX_CURR_SUBNAT.R","CY2022Q4",$M7619),"")</f>
        <v>[JQKLKuVuY61]|01-09|Female|NEW_INFECTIONS_SUBNAT.T2|CY2025Q3</v>
      </c>
    </row>
    <row r="7620" customFormat="false" ht="15" hidden="false" customHeight="false" outlineLevel="0" collapsed="false">
      <c r="D7620" s="0" t="s">
        <v>132</v>
      </c>
      <c r="E7620" s="0" t="s">
        <v>133</v>
      </c>
      <c r="F7620" s="0" t="s">
        <v>134</v>
      </c>
      <c r="G7620" s="0" t="s">
        <v>175</v>
      </c>
      <c r="H7620" s="0" t="s">
        <v>175</v>
      </c>
      <c r="I7620" s="0" t="s">
        <v>36</v>
      </c>
      <c r="J7620" s="0" t="s">
        <v>37</v>
      </c>
      <c r="K7620" s="0" t="s">
        <v>30</v>
      </c>
      <c r="L7620" s="0" t="s">
        <v>31</v>
      </c>
      <c r="M7620" s="0" t="s">
        <v>173</v>
      </c>
      <c r="N7620" s="0" t="n">
        <v>1259</v>
      </c>
      <c r="O7620" s="10" t="n">
        <v>0.991187697276473</v>
      </c>
      <c r="P7620" s="10" t="n">
        <v>0.162863194011152</v>
      </c>
      <c r="Q7620" s="0" t="str">
        <f aca="false">SUBSTITUTE(SUBSTITUTE($I7620,CHAR(61),""),CHAR(34),"")</f>
        <v>10-14</v>
      </c>
      <c r="R7620" s="0" t="str">
        <f aca="false">IF($D7620&lt;&gt;"","["&amp;$E7620&amp;"]"&amp;"|"&amp;$Q7620&amp;"|"&amp;$K7620&amp;"|"&amp;$G7620&amp;"|"&amp;IF($G7620="TX_CURR_SUBNAT.R","CY2022Q4",$M7620),"")</f>
        <v>[JQKLKuVuY61]|10-14|Female|NEW_INFECTIONS_SUBNAT.T2|CY2025Q3</v>
      </c>
    </row>
    <row r="7621" customFormat="false" ht="15" hidden="false" customHeight="false" outlineLevel="0" collapsed="false">
      <c r="D7621" s="0" t="s">
        <v>132</v>
      </c>
      <c r="E7621" s="0" t="s">
        <v>133</v>
      </c>
      <c r="F7621" s="0" t="s">
        <v>134</v>
      </c>
      <c r="G7621" s="0" t="s">
        <v>175</v>
      </c>
      <c r="H7621" s="0" t="s">
        <v>175</v>
      </c>
      <c r="I7621" s="0" t="s">
        <v>38</v>
      </c>
      <c r="J7621" s="0" t="s">
        <v>39</v>
      </c>
      <c r="K7621" s="0" t="s">
        <v>30</v>
      </c>
      <c r="L7621" s="0" t="s">
        <v>31</v>
      </c>
      <c r="M7621" s="0" t="s">
        <v>173</v>
      </c>
      <c r="N7621" s="0" t="n">
        <v>1924</v>
      </c>
      <c r="O7621" s="10" t="n">
        <v>0.73858830332756</v>
      </c>
      <c r="P7621" s="10" t="n">
        <v>0.162863194011152</v>
      </c>
      <c r="Q7621" s="0" t="str">
        <f aca="false">SUBSTITUTE(SUBSTITUTE($I7621,CHAR(61),""),CHAR(34),"")</f>
        <v>15-24</v>
      </c>
      <c r="R7621" s="0" t="str">
        <f aca="false">IF($D7621&lt;&gt;"","["&amp;$E7621&amp;"]"&amp;"|"&amp;$Q7621&amp;"|"&amp;$K7621&amp;"|"&amp;$G7621&amp;"|"&amp;IF($G7621="TX_CURR_SUBNAT.R","CY2022Q4",$M7621),"")</f>
        <v>[JQKLKuVuY61]|15-24|Female|NEW_INFECTIONS_SUBNAT.T2|CY2025Q3</v>
      </c>
    </row>
    <row r="7622" customFormat="false" ht="15" hidden="false" customHeight="false" outlineLevel="0" collapsed="false">
      <c r="D7622" s="0" t="s">
        <v>132</v>
      </c>
      <c r="E7622" s="0" t="s">
        <v>133</v>
      </c>
      <c r="F7622" s="0" t="s">
        <v>134</v>
      </c>
      <c r="G7622" s="0" t="s">
        <v>175</v>
      </c>
      <c r="H7622" s="0" t="s">
        <v>175</v>
      </c>
      <c r="I7622" s="0" t="s">
        <v>41</v>
      </c>
      <c r="J7622" s="0" t="s">
        <v>42</v>
      </c>
      <c r="K7622" s="0" t="s">
        <v>30</v>
      </c>
      <c r="L7622" s="0" t="s">
        <v>31</v>
      </c>
      <c r="M7622" s="0" t="s">
        <v>173</v>
      </c>
      <c r="N7622" s="0" t="n">
        <v>1762</v>
      </c>
      <c r="O7622" s="10" t="n">
        <v>0.432308626594022</v>
      </c>
      <c r="P7622" s="10" t="n">
        <v>0.162863194011152</v>
      </c>
      <c r="Q7622" s="0" t="str">
        <f aca="false">SUBSTITUTE(SUBSTITUTE($I7622,CHAR(61),""),CHAR(34),"")</f>
        <v>25-34</v>
      </c>
      <c r="R7622" s="0" t="str">
        <f aca="false">IF($D7622&lt;&gt;"","["&amp;$E7622&amp;"]"&amp;"|"&amp;$Q7622&amp;"|"&amp;$K7622&amp;"|"&amp;$G7622&amp;"|"&amp;IF($G7622="TX_CURR_SUBNAT.R","CY2022Q4",$M7622),"")</f>
        <v>[JQKLKuVuY61]|25-34|Female|NEW_INFECTIONS_SUBNAT.T2|CY2025Q3</v>
      </c>
    </row>
    <row r="7623" customFormat="false" ht="15" hidden="false" customHeight="false" outlineLevel="0" collapsed="false">
      <c r="D7623" s="0" t="s">
        <v>132</v>
      </c>
      <c r="E7623" s="0" t="s">
        <v>133</v>
      </c>
      <c r="F7623" s="0" t="s">
        <v>134</v>
      </c>
      <c r="G7623" s="0" t="s">
        <v>175</v>
      </c>
      <c r="H7623" s="0" t="s">
        <v>175</v>
      </c>
      <c r="I7623" s="0" t="s">
        <v>43</v>
      </c>
      <c r="J7623" s="0" t="s">
        <v>44</v>
      </c>
      <c r="K7623" s="0" t="s">
        <v>30</v>
      </c>
      <c r="L7623" s="0" t="s">
        <v>31</v>
      </c>
      <c r="M7623" s="0" t="s">
        <v>173</v>
      </c>
      <c r="N7623" s="0" t="n">
        <v>1892</v>
      </c>
      <c r="O7623" s="10" t="n">
        <v>0.254236582200974</v>
      </c>
      <c r="P7623" s="10" t="n">
        <v>0.162863194011152</v>
      </c>
      <c r="Q7623" s="0" t="str">
        <f aca="false">SUBSTITUTE(SUBSTITUTE($I7623,CHAR(61),""),CHAR(34),"")</f>
        <v>35-49</v>
      </c>
      <c r="R7623" s="0" t="str">
        <f aca="false">IF($D7623&lt;&gt;"","["&amp;$E7623&amp;"]"&amp;"|"&amp;$Q7623&amp;"|"&amp;$K7623&amp;"|"&amp;$G7623&amp;"|"&amp;IF($G7623="TX_CURR_SUBNAT.R","CY2022Q4",$M7623),"")</f>
        <v>[JQKLKuVuY61]|35-49|Female|NEW_INFECTIONS_SUBNAT.T2|CY2025Q3</v>
      </c>
    </row>
    <row r="7624" customFormat="false" ht="15" hidden="false" customHeight="false" outlineLevel="0" collapsed="false">
      <c r="D7624" s="0" t="s">
        <v>132</v>
      </c>
      <c r="E7624" s="0" t="s">
        <v>133</v>
      </c>
      <c r="F7624" s="0" t="s">
        <v>134</v>
      </c>
      <c r="G7624" s="0" t="s">
        <v>175</v>
      </c>
      <c r="H7624" s="0" t="s">
        <v>175</v>
      </c>
      <c r="I7624" s="0" t="s">
        <v>45</v>
      </c>
      <c r="J7624" s="0" t="s">
        <v>46</v>
      </c>
      <c r="K7624" s="0" t="s">
        <v>30</v>
      </c>
      <c r="L7624" s="0" t="s">
        <v>31</v>
      </c>
      <c r="M7624" s="0" t="s">
        <v>173</v>
      </c>
      <c r="N7624" s="0" t="n">
        <v>1846</v>
      </c>
      <c r="O7624" s="10" t="n">
        <v>0.483903501415625</v>
      </c>
      <c r="P7624" s="10" t="n">
        <v>0.162863194011152</v>
      </c>
      <c r="Q7624" s="0" t="str">
        <f aca="false">SUBSTITUTE(SUBSTITUTE($I7624,CHAR(61),""),CHAR(34),"")</f>
        <v>50+</v>
      </c>
      <c r="R7624" s="0" t="str">
        <f aca="false">IF($D7624&lt;&gt;"","["&amp;$E7624&amp;"]"&amp;"|"&amp;$Q7624&amp;"|"&amp;$K7624&amp;"|"&amp;$G7624&amp;"|"&amp;IF($G7624="TX_CURR_SUBNAT.R","CY2022Q4",$M7624),"")</f>
        <v>[JQKLKuVuY61]|50+|Female|NEW_INFECTIONS_SUBNAT.T2|CY2025Q3</v>
      </c>
    </row>
    <row r="7625" customFormat="false" ht="15" hidden="false" customHeight="false" outlineLevel="0" collapsed="false">
      <c r="D7625" s="0" t="s">
        <v>132</v>
      </c>
      <c r="E7625" s="0" t="s">
        <v>133</v>
      </c>
      <c r="F7625" s="0" t="s">
        <v>134</v>
      </c>
      <c r="G7625" s="0" t="s">
        <v>175</v>
      </c>
      <c r="H7625" s="0" t="s">
        <v>175</v>
      </c>
      <c r="I7625" s="0" t="s">
        <v>28</v>
      </c>
      <c r="J7625" s="0" t="s">
        <v>29</v>
      </c>
      <c r="K7625" s="0" t="s">
        <v>48</v>
      </c>
      <c r="L7625" s="0" t="s">
        <v>49</v>
      </c>
      <c r="M7625" s="0" t="s">
        <v>173</v>
      </c>
      <c r="N7625" s="0" t="n">
        <v>1697</v>
      </c>
      <c r="O7625" s="10" t="n">
        <v>0.392321096500382</v>
      </c>
      <c r="P7625" s="10" t="n">
        <v>0.162863194011152</v>
      </c>
      <c r="Q7625" s="0" t="str">
        <f aca="false">SUBSTITUTE(SUBSTITUTE($I7625,CHAR(61),""),CHAR(34),"")</f>
        <v>&lt;01</v>
      </c>
      <c r="R7625" s="0" t="str">
        <f aca="false">IF($D7625&lt;&gt;"","["&amp;$E7625&amp;"]"&amp;"|"&amp;$Q7625&amp;"|"&amp;$K7625&amp;"|"&amp;$G7625&amp;"|"&amp;IF($G7625="TX_CURR_SUBNAT.R","CY2022Q4",$M7625),"")</f>
        <v>[JQKLKuVuY61]|&lt;01|Male|NEW_INFECTIONS_SUBNAT.T2|CY2025Q3</v>
      </c>
    </row>
    <row r="7626" customFormat="false" ht="15" hidden="false" customHeight="false" outlineLevel="0" collapsed="false">
      <c r="D7626" s="0" t="s">
        <v>132</v>
      </c>
      <c r="E7626" s="0" t="s">
        <v>133</v>
      </c>
      <c r="F7626" s="0" t="s">
        <v>134</v>
      </c>
      <c r="G7626" s="0" t="s">
        <v>175</v>
      </c>
      <c r="H7626" s="0" t="s">
        <v>175</v>
      </c>
      <c r="I7626" s="0" t="s">
        <v>33</v>
      </c>
      <c r="J7626" s="0" t="s">
        <v>34</v>
      </c>
      <c r="K7626" s="0" t="s">
        <v>48</v>
      </c>
      <c r="L7626" s="0" t="s">
        <v>49</v>
      </c>
      <c r="M7626" s="0" t="s">
        <v>173</v>
      </c>
      <c r="N7626" s="0" t="n">
        <v>1487</v>
      </c>
      <c r="O7626" s="10" t="n">
        <v>0.242354498710483</v>
      </c>
      <c r="P7626" s="10" t="n">
        <v>0.162863194011152</v>
      </c>
      <c r="Q7626" s="0" t="str">
        <f aca="false">SUBSTITUTE(SUBSTITUTE($I7626,CHAR(61),""),CHAR(34),"")</f>
        <v>01-09</v>
      </c>
      <c r="R7626" s="0" t="str">
        <f aca="false">IF($D7626&lt;&gt;"","["&amp;$E7626&amp;"]"&amp;"|"&amp;$Q7626&amp;"|"&amp;$K7626&amp;"|"&amp;$G7626&amp;"|"&amp;IF($G7626="TX_CURR_SUBNAT.R","CY2022Q4",$M7626),"")</f>
        <v>[JQKLKuVuY61]|01-09|Male|NEW_INFECTIONS_SUBNAT.T2|CY2025Q3</v>
      </c>
    </row>
    <row r="7627" customFormat="false" ht="15" hidden="false" customHeight="false" outlineLevel="0" collapsed="false">
      <c r="D7627" s="0" t="s">
        <v>132</v>
      </c>
      <c r="E7627" s="0" t="s">
        <v>133</v>
      </c>
      <c r="F7627" s="0" t="s">
        <v>134</v>
      </c>
      <c r="G7627" s="0" t="s">
        <v>175</v>
      </c>
      <c r="H7627" s="0" t="s">
        <v>175</v>
      </c>
      <c r="I7627" s="0" t="s">
        <v>36</v>
      </c>
      <c r="J7627" s="0" t="s">
        <v>37</v>
      </c>
      <c r="K7627" s="0" t="s">
        <v>48</v>
      </c>
      <c r="L7627" s="0" t="s">
        <v>49</v>
      </c>
      <c r="M7627" s="0" t="s">
        <v>173</v>
      </c>
      <c r="N7627" s="0" t="n">
        <v>698</v>
      </c>
      <c r="O7627" s="10" t="n">
        <v>0.132189601892605</v>
      </c>
      <c r="P7627" s="10" t="n">
        <v>0.162863194011152</v>
      </c>
      <c r="Q7627" s="0" t="str">
        <f aca="false">SUBSTITUTE(SUBSTITUTE($I7627,CHAR(61),""),CHAR(34),"")</f>
        <v>10-14</v>
      </c>
      <c r="R7627" s="0" t="str">
        <f aca="false">IF($D7627&lt;&gt;"","["&amp;$E7627&amp;"]"&amp;"|"&amp;$Q7627&amp;"|"&amp;$K7627&amp;"|"&amp;$G7627&amp;"|"&amp;IF($G7627="TX_CURR_SUBNAT.R","CY2022Q4",$M7627),"")</f>
        <v>[JQKLKuVuY61]|10-14|Male|NEW_INFECTIONS_SUBNAT.T2|CY2025Q3</v>
      </c>
    </row>
    <row r="7628" customFormat="false" ht="15" hidden="false" customHeight="false" outlineLevel="0" collapsed="false">
      <c r="D7628" s="0" t="s">
        <v>132</v>
      </c>
      <c r="E7628" s="0" t="s">
        <v>133</v>
      </c>
      <c r="F7628" s="0" t="s">
        <v>134</v>
      </c>
      <c r="G7628" s="0" t="s">
        <v>175</v>
      </c>
      <c r="H7628" s="0" t="s">
        <v>175</v>
      </c>
      <c r="I7628" s="0" t="s">
        <v>38</v>
      </c>
      <c r="J7628" s="0" t="s">
        <v>39</v>
      </c>
      <c r="K7628" s="0" t="s">
        <v>48</v>
      </c>
      <c r="L7628" s="0" t="s">
        <v>49</v>
      </c>
      <c r="M7628" s="0" t="s">
        <v>173</v>
      </c>
      <c r="N7628" s="0" t="n">
        <v>1615</v>
      </c>
      <c r="O7628" s="10" t="n">
        <v>0.13870681100525</v>
      </c>
      <c r="P7628" s="10" t="n">
        <v>0.162863194011152</v>
      </c>
      <c r="Q7628" s="0" t="str">
        <f aca="false">SUBSTITUTE(SUBSTITUTE($I7628,CHAR(61),""),CHAR(34),"")</f>
        <v>15-24</v>
      </c>
      <c r="R7628" s="0" t="str">
        <f aca="false">IF($D7628&lt;&gt;"","["&amp;$E7628&amp;"]"&amp;"|"&amp;$Q7628&amp;"|"&amp;$K7628&amp;"|"&amp;$G7628&amp;"|"&amp;IF($G7628="TX_CURR_SUBNAT.R","CY2022Q4",$M7628),"")</f>
        <v>[JQKLKuVuY61]|15-24|Male|NEW_INFECTIONS_SUBNAT.T2|CY2025Q3</v>
      </c>
    </row>
    <row r="7629" customFormat="false" ht="15" hidden="false" customHeight="false" outlineLevel="0" collapsed="false">
      <c r="D7629" s="0" t="s">
        <v>132</v>
      </c>
      <c r="E7629" s="0" t="s">
        <v>133</v>
      </c>
      <c r="F7629" s="0" t="s">
        <v>134</v>
      </c>
      <c r="G7629" s="0" t="s">
        <v>175</v>
      </c>
      <c r="H7629" s="0" t="s">
        <v>175</v>
      </c>
      <c r="I7629" s="0" t="s">
        <v>41</v>
      </c>
      <c r="J7629" s="0" t="s">
        <v>42</v>
      </c>
      <c r="K7629" s="0" t="s">
        <v>48</v>
      </c>
      <c r="L7629" s="0" t="s">
        <v>49</v>
      </c>
      <c r="M7629" s="0" t="s">
        <v>173</v>
      </c>
      <c r="N7629" s="0" t="n">
        <v>599</v>
      </c>
      <c r="O7629" s="10" t="n">
        <v>0.286123296245933</v>
      </c>
      <c r="P7629" s="10" t="n">
        <v>0.162863194011152</v>
      </c>
      <c r="Q7629" s="0" t="str">
        <f aca="false">SUBSTITUTE(SUBSTITUTE($I7629,CHAR(61),""),CHAR(34),"")</f>
        <v>25-34</v>
      </c>
      <c r="R7629" s="0" t="str">
        <f aca="false">IF($D7629&lt;&gt;"","["&amp;$E7629&amp;"]"&amp;"|"&amp;$Q7629&amp;"|"&amp;$K7629&amp;"|"&amp;$G7629&amp;"|"&amp;IF($G7629="TX_CURR_SUBNAT.R","CY2022Q4",$M7629),"")</f>
        <v>[JQKLKuVuY61]|25-34|Male|NEW_INFECTIONS_SUBNAT.T2|CY2025Q3</v>
      </c>
    </row>
    <row r="7630" customFormat="false" ht="15" hidden="false" customHeight="false" outlineLevel="0" collapsed="false">
      <c r="D7630" s="0" t="s">
        <v>132</v>
      </c>
      <c r="E7630" s="0" t="s">
        <v>133</v>
      </c>
      <c r="F7630" s="0" t="s">
        <v>134</v>
      </c>
      <c r="G7630" s="0" t="s">
        <v>175</v>
      </c>
      <c r="H7630" s="0" t="s">
        <v>175</v>
      </c>
      <c r="I7630" s="0" t="s">
        <v>43</v>
      </c>
      <c r="J7630" s="0" t="s">
        <v>44</v>
      </c>
      <c r="K7630" s="0" t="s">
        <v>48</v>
      </c>
      <c r="L7630" s="0" t="s">
        <v>49</v>
      </c>
      <c r="M7630" s="0" t="s">
        <v>173</v>
      </c>
      <c r="N7630" s="0" t="n">
        <v>1070</v>
      </c>
      <c r="O7630" s="10" t="n">
        <v>0.991431431612</v>
      </c>
      <c r="P7630" s="10" t="n">
        <v>0.162863194011152</v>
      </c>
      <c r="Q7630" s="0" t="str">
        <f aca="false">SUBSTITUTE(SUBSTITUTE($I7630,CHAR(61),""),CHAR(34),"")</f>
        <v>35-49</v>
      </c>
      <c r="R7630" s="0" t="str">
        <f aca="false">IF($D7630&lt;&gt;"","["&amp;$E7630&amp;"]"&amp;"|"&amp;$Q7630&amp;"|"&amp;$K7630&amp;"|"&amp;$G7630&amp;"|"&amp;IF($G7630="TX_CURR_SUBNAT.R","CY2022Q4",$M7630),"")</f>
        <v>[JQKLKuVuY61]|35-49|Male|NEW_INFECTIONS_SUBNAT.T2|CY2025Q3</v>
      </c>
    </row>
    <row r="7631" customFormat="false" ht="15" hidden="false" customHeight="false" outlineLevel="0" collapsed="false">
      <c r="D7631" s="0" t="s">
        <v>132</v>
      </c>
      <c r="E7631" s="0" t="s">
        <v>133</v>
      </c>
      <c r="F7631" s="0" t="s">
        <v>134</v>
      </c>
      <c r="G7631" s="0" t="s">
        <v>175</v>
      </c>
      <c r="H7631" s="0" t="s">
        <v>175</v>
      </c>
      <c r="I7631" s="0" t="s">
        <v>45</v>
      </c>
      <c r="J7631" s="0" t="s">
        <v>46</v>
      </c>
      <c r="K7631" s="0" t="s">
        <v>48</v>
      </c>
      <c r="L7631" s="0" t="s">
        <v>49</v>
      </c>
      <c r="M7631" s="0" t="s">
        <v>173</v>
      </c>
      <c r="N7631" s="0" t="n">
        <v>1136</v>
      </c>
      <c r="O7631" s="10" t="n">
        <v>0.458786268020049</v>
      </c>
      <c r="P7631" s="10" t="n">
        <v>0.162863194011152</v>
      </c>
      <c r="Q7631" s="0" t="str">
        <f aca="false">SUBSTITUTE(SUBSTITUTE($I7631,CHAR(61),""),CHAR(34),"")</f>
        <v>50+</v>
      </c>
      <c r="R7631" s="0" t="str">
        <f aca="false">IF($D7631&lt;&gt;"","["&amp;$E7631&amp;"]"&amp;"|"&amp;$Q7631&amp;"|"&amp;$K7631&amp;"|"&amp;$G7631&amp;"|"&amp;IF($G7631="TX_CURR_SUBNAT.R","CY2022Q4",$M7631),"")</f>
        <v>[JQKLKuVuY61]|50+|Male|NEW_INFECTIONS_SUBNAT.T2|CY2025Q3</v>
      </c>
    </row>
    <row r="7632" customFormat="false" ht="15" hidden="false" customHeight="false" outlineLevel="0" collapsed="false">
      <c r="D7632" s="0" t="s">
        <v>135</v>
      </c>
      <c r="E7632" s="0" t="s">
        <v>136</v>
      </c>
      <c r="F7632" s="0" t="s">
        <v>137</v>
      </c>
      <c r="G7632" s="0" t="s">
        <v>175</v>
      </c>
      <c r="H7632" s="0" t="s">
        <v>175</v>
      </c>
      <c r="I7632" s="0" t="s">
        <v>28</v>
      </c>
      <c r="J7632" s="0" t="s">
        <v>29</v>
      </c>
      <c r="K7632" s="0" t="s">
        <v>30</v>
      </c>
      <c r="L7632" s="0" t="s">
        <v>31</v>
      </c>
      <c r="M7632" s="0" t="s">
        <v>173</v>
      </c>
      <c r="N7632" s="0" t="n">
        <v>1535</v>
      </c>
      <c r="O7632" s="10" t="n">
        <v>0.977048678556457</v>
      </c>
      <c r="P7632" s="10" t="n">
        <v>0.955300528323278</v>
      </c>
      <c r="Q7632" s="0" t="str">
        <f aca="false">SUBSTITUTE(SUBSTITUTE($I7632,CHAR(61),""),CHAR(34),"")</f>
        <v>&lt;01</v>
      </c>
      <c r="R7632" s="0" t="str">
        <f aca="false">IF($D7632&lt;&gt;"","["&amp;$E7632&amp;"]"&amp;"|"&amp;$Q7632&amp;"|"&amp;$K7632&amp;"|"&amp;$G7632&amp;"|"&amp;IF($G7632="TX_CURR_SUBNAT.R","CY2022Q4",$M7632),"")</f>
        <v>[fiRkU6gEjLz]|&lt;01|Female|NEW_INFECTIONS_SUBNAT.T2|CY2025Q3</v>
      </c>
    </row>
    <row r="7633" customFormat="false" ht="15" hidden="false" customHeight="false" outlineLevel="0" collapsed="false">
      <c r="D7633" s="0" t="s">
        <v>135</v>
      </c>
      <c r="E7633" s="0" t="s">
        <v>136</v>
      </c>
      <c r="F7633" s="0" t="s">
        <v>137</v>
      </c>
      <c r="G7633" s="0" t="s">
        <v>175</v>
      </c>
      <c r="H7633" s="0" t="s">
        <v>175</v>
      </c>
      <c r="I7633" s="0" t="s">
        <v>33</v>
      </c>
      <c r="J7633" s="0" t="s">
        <v>34</v>
      </c>
      <c r="K7633" s="0" t="s">
        <v>30</v>
      </c>
      <c r="L7633" s="0" t="s">
        <v>31</v>
      </c>
      <c r="M7633" s="0" t="s">
        <v>173</v>
      </c>
      <c r="N7633" s="0" t="n">
        <v>621</v>
      </c>
      <c r="O7633" s="10" t="n">
        <v>0.300379221560434</v>
      </c>
      <c r="P7633" s="10" t="n">
        <v>0.955300528323278</v>
      </c>
      <c r="Q7633" s="0" t="str">
        <f aca="false">SUBSTITUTE(SUBSTITUTE($I7633,CHAR(61),""),CHAR(34),"")</f>
        <v>01-09</v>
      </c>
      <c r="R7633" s="0" t="str">
        <f aca="false">IF($D7633&lt;&gt;"","["&amp;$E7633&amp;"]"&amp;"|"&amp;$Q7633&amp;"|"&amp;$K7633&amp;"|"&amp;$G7633&amp;"|"&amp;IF($G7633="TX_CURR_SUBNAT.R","CY2022Q4",$M7633),"")</f>
        <v>[fiRkU6gEjLz]|01-09|Female|NEW_INFECTIONS_SUBNAT.T2|CY2025Q3</v>
      </c>
    </row>
    <row r="7634" customFormat="false" ht="15" hidden="false" customHeight="false" outlineLevel="0" collapsed="false">
      <c r="D7634" s="0" t="s">
        <v>135</v>
      </c>
      <c r="E7634" s="0" t="s">
        <v>136</v>
      </c>
      <c r="F7634" s="0" t="s">
        <v>137</v>
      </c>
      <c r="G7634" s="0" t="s">
        <v>175</v>
      </c>
      <c r="H7634" s="0" t="s">
        <v>175</v>
      </c>
      <c r="I7634" s="0" t="s">
        <v>36</v>
      </c>
      <c r="J7634" s="0" t="s">
        <v>37</v>
      </c>
      <c r="K7634" s="0" t="s">
        <v>30</v>
      </c>
      <c r="L7634" s="0" t="s">
        <v>31</v>
      </c>
      <c r="M7634" s="0" t="s">
        <v>173</v>
      </c>
      <c r="N7634" s="0" t="n">
        <v>1026</v>
      </c>
      <c r="O7634" s="10" t="n">
        <v>0.624200131278485</v>
      </c>
      <c r="P7634" s="10" t="n">
        <v>0.955300528323278</v>
      </c>
      <c r="Q7634" s="0" t="str">
        <f aca="false">SUBSTITUTE(SUBSTITUTE($I7634,CHAR(61),""),CHAR(34),"")</f>
        <v>10-14</v>
      </c>
      <c r="R7634" s="0" t="str">
        <f aca="false">IF($D7634&lt;&gt;"","["&amp;$E7634&amp;"]"&amp;"|"&amp;$Q7634&amp;"|"&amp;$K7634&amp;"|"&amp;$G7634&amp;"|"&amp;IF($G7634="TX_CURR_SUBNAT.R","CY2022Q4",$M7634),"")</f>
        <v>[fiRkU6gEjLz]|10-14|Female|NEW_INFECTIONS_SUBNAT.T2|CY2025Q3</v>
      </c>
    </row>
    <row r="7635" customFormat="false" ht="15" hidden="false" customHeight="false" outlineLevel="0" collapsed="false">
      <c r="D7635" s="0" t="s">
        <v>135</v>
      </c>
      <c r="E7635" s="0" t="s">
        <v>136</v>
      </c>
      <c r="F7635" s="0" t="s">
        <v>137</v>
      </c>
      <c r="G7635" s="0" t="s">
        <v>175</v>
      </c>
      <c r="H7635" s="0" t="s">
        <v>175</v>
      </c>
      <c r="I7635" s="0" t="s">
        <v>38</v>
      </c>
      <c r="J7635" s="0" t="s">
        <v>39</v>
      </c>
      <c r="K7635" s="0" t="s">
        <v>30</v>
      </c>
      <c r="L7635" s="0" t="s">
        <v>31</v>
      </c>
      <c r="M7635" s="0" t="s">
        <v>173</v>
      </c>
      <c r="N7635" s="0" t="n">
        <v>947</v>
      </c>
      <c r="O7635" s="10" t="n">
        <v>0.401751972036436</v>
      </c>
      <c r="P7635" s="10" t="n">
        <v>0.955300528323278</v>
      </c>
      <c r="Q7635" s="0" t="str">
        <f aca="false">SUBSTITUTE(SUBSTITUTE($I7635,CHAR(61),""),CHAR(34),"")</f>
        <v>15-24</v>
      </c>
      <c r="R7635" s="0" t="str">
        <f aca="false">IF($D7635&lt;&gt;"","["&amp;$E7635&amp;"]"&amp;"|"&amp;$Q7635&amp;"|"&amp;$K7635&amp;"|"&amp;$G7635&amp;"|"&amp;IF($G7635="TX_CURR_SUBNAT.R","CY2022Q4",$M7635),"")</f>
        <v>[fiRkU6gEjLz]|15-24|Female|NEW_INFECTIONS_SUBNAT.T2|CY2025Q3</v>
      </c>
    </row>
    <row r="7636" customFormat="false" ht="15" hidden="false" customHeight="false" outlineLevel="0" collapsed="false">
      <c r="D7636" s="0" t="s">
        <v>135</v>
      </c>
      <c r="E7636" s="0" t="s">
        <v>136</v>
      </c>
      <c r="F7636" s="0" t="s">
        <v>137</v>
      </c>
      <c r="G7636" s="0" t="s">
        <v>175</v>
      </c>
      <c r="H7636" s="0" t="s">
        <v>175</v>
      </c>
      <c r="I7636" s="0" t="s">
        <v>41</v>
      </c>
      <c r="J7636" s="0" t="s">
        <v>42</v>
      </c>
      <c r="K7636" s="0" t="s">
        <v>30</v>
      </c>
      <c r="L7636" s="0" t="s">
        <v>31</v>
      </c>
      <c r="M7636" s="0" t="s">
        <v>173</v>
      </c>
      <c r="N7636" s="0" t="n">
        <v>1548</v>
      </c>
      <c r="O7636" s="10" t="n">
        <v>0.455439057433978</v>
      </c>
      <c r="P7636" s="10" t="n">
        <v>0.955300528323278</v>
      </c>
      <c r="Q7636" s="0" t="str">
        <f aca="false">SUBSTITUTE(SUBSTITUTE($I7636,CHAR(61),""),CHAR(34),"")</f>
        <v>25-34</v>
      </c>
      <c r="R7636" s="0" t="str">
        <f aca="false">IF($D7636&lt;&gt;"","["&amp;$E7636&amp;"]"&amp;"|"&amp;$Q7636&amp;"|"&amp;$K7636&amp;"|"&amp;$G7636&amp;"|"&amp;IF($G7636="TX_CURR_SUBNAT.R","CY2022Q4",$M7636),"")</f>
        <v>[fiRkU6gEjLz]|25-34|Female|NEW_INFECTIONS_SUBNAT.T2|CY2025Q3</v>
      </c>
    </row>
    <row r="7637" customFormat="false" ht="15" hidden="false" customHeight="false" outlineLevel="0" collapsed="false">
      <c r="D7637" s="0" t="s">
        <v>135</v>
      </c>
      <c r="E7637" s="0" t="s">
        <v>136</v>
      </c>
      <c r="F7637" s="0" t="s">
        <v>137</v>
      </c>
      <c r="G7637" s="0" t="s">
        <v>175</v>
      </c>
      <c r="H7637" s="0" t="s">
        <v>175</v>
      </c>
      <c r="I7637" s="0" t="s">
        <v>43</v>
      </c>
      <c r="J7637" s="0" t="s">
        <v>44</v>
      </c>
      <c r="K7637" s="0" t="s">
        <v>30</v>
      </c>
      <c r="L7637" s="0" t="s">
        <v>31</v>
      </c>
      <c r="M7637" s="0" t="s">
        <v>173</v>
      </c>
      <c r="N7637" s="0" t="n">
        <v>1271</v>
      </c>
      <c r="O7637" s="10" t="n">
        <v>0.269111792789772</v>
      </c>
      <c r="P7637" s="10" t="n">
        <v>0.955300528323278</v>
      </c>
      <c r="Q7637" s="0" t="str">
        <f aca="false">SUBSTITUTE(SUBSTITUTE($I7637,CHAR(61),""),CHAR(34),"")</f>
        <v>35-49</v>
      </c>
      <c r="R7637" s="0" t="str">
        <f aca="false">IF($D7637&lt;&gt;"","["&amp;$E7637&amp;"]"&amp;"|"&amp;$Q7637&amp;"|"&amp;$K7637&amp;"|"&amp;$G7637&amp;"|"&amp;IF($G7637="TX_CURR_SUBNAT.R","CY2022Q4",$M7637),"")</f>
        <v>[fiRkU6gEjLz]|35-49|Female|NEW_INFECTIONS_SUBNAT.T2|CY2025Q3</v>
      </c>
    </row>
    <row r="7638" customFormat="false" ht="15" hidden="false" customHeight="false" outlineLevel="0" collapsed="false">
      <c r="D7638" s="0" t="s">
        <v>135</v>
      </c>
      <c r="E7638" s="0" t="s">
        <v>136</v>
      </c>
      <c r="F7638" s="0" t="s">
        <v>137</v>
      </c>
      <c r="G7638" s="0" t="s">
        <v>175</v>
      </c>
      <c r="H7638" s="0" t="s">
        <v>175</v>
      </c>
      <c r="I7638" s="0" t="s">
        <v>45</v>
      </c>
      <c r="J7638" s="0" t="s">
        <v>46</v>
      </c>
      <c r="K7638" s="0" t="s">
        <v>30</v>
      </c>
      <c r="L7638" s="0" t="s">
        <v>31</v>
      </c>
      <c r="M7638" s="0" t="s">
        <v>173</v>
      </c>
      <c r="N7638" s="0" t="n">
        <v>1012</v>
      </c>
      <c r="O7638" s="10" t="n">
        <v>0.515697703231126</v>
      </c>
      <c r="P7638" s="10" t="n">
        <v>0.955300528323278</v>
      </c>
      <c r="Q7638" s="0" t="str">
        <f aca="false">SUBSTITUTE(SUBSTITUTE($I7638,CHAR(61),""),CHAR(34),"")</f>
        <v>50+</v>
      </c>
      <c r="R7638" s="0" t="str">
        <f aca="false">IF($D7638&lt;&gt;"","["&amp;$E7638&amp;"]"&amp;"|"&amp;$Q7638&amp;"|"&amp;$K7638&amp;"|"&amp;$G7638&amp;"|"&amp;IF($G7638="TX_CURR_SUBNAT.R","CY2022Q4",$M7638),"")</f>
        <v>[fiRkU6gEjLz]|50+|Female|NEW_INFECTIONS_SUBNAT.T2|CY2025Q3</v>
      </c>
    </row>
    <row r="7639" customFormat="false" ht="15" hidden="false" customHeight="false" outlineLevel="0" collapsed="false">
      <c r="D7639" s="0" t="s">
        <v>135</v>
      </c>
      <c r="E7639" s="0" t="s">
        <v>136</v>
      </c>
      <c r="F7639" s="0" t="s">
        <v>137</v>
      </c>
      <c r="G7639" s="0" t="s">
        <v>175</v>
      </c>
      <c r="H7639" s="0" t="s">
        <v>175</v>
      </c>
      <c r="I7639" s="0" t="s">
        <v>28</v>
      </c>
      <c r="J7639" s="0" t="s">
        <v>29</v>
      </c>
      <c r="K7639" s="0" t="s">
        <v>48</v>
      </c>
      <c r="L7639" s="0" t="s">
        <v>49</v>
      </c>
      <c r="M7639" s="0" t="s">
        <v>173</v>
      </c>
      <c r="N7639" s="0" t="n">
        <v>1402</v>
      </c>
      <c r="O7639" s="10" t="n">
        <v>0.533826073398814</v>
      </c>
      <c r="P7639" s="10" t="n">
        <v>0.955300528323278</v>
      </c>
      <c r="Q7639" s="0" t="str">
        <f aca="false">SUBSTITUTE(SUBSTITUTE($I7639,CHAR(61),""),CHAR(34),"")</f>
        <v>&lt;01</v>
      </c>
      <c r="R7639" s="0" t="str">
        <f aca="false">IF($D7639&lt;&gt;"","["&amp;$E7639&amp;"]"&amp;"|"&amp;$Q7639&amp;"|"&amp;$K7639&amp;"|"&amp;$G7639&amp;"|"&amp;IF($G7639="TX_CURR_SUBNAT.R","CY2022Q4",$M7639),"")</f>
        <v>[fiRkU6gEjLz]|&lt;01|Male|NEW_INFECTIONS_SUBNAT.T2|CY2025Q3</v>
      </c>
    </row>
    <row r="7640" customFormat="false" ht="15" hidden="false" customHeight="false" outlineLevel="0" collapsed="false">
      <c r="D7640" s="0" t="s">
        <v>135</v>
      </c>
      <c r="E7640" s="0" t="s">
        <v>136</v>
      </c>
      <c r="F7640" s="0" t="s">
        <v>137</v>
      </c>
      <c r="G7640" s="0" t="s">
        <v>175</v>
      </c>
      <c r="H7640" s="0" t="s">
        <v>175</v>
      </c>
      <c r="I7640" s="0" t="s">
        <v>33</v>
      </c>
      <c r="J7640" s="0" t="s">
        <v>34</v>
      </c>
      <c r="K7640" s="0" t="s">
        <v>48</v>
      </c>
      <c r="L7640" s="0" t="s">
        <v>49</v>
      </c>
      <c r="M7640" s="0" t="s">
        <v>173</v>
      </c>
      <c r="N7640" s="0" t="n">
        <v>1295</v>
      </c>
      <c r="O7640" s="10" t="n">
        <v>0.64412744762376</v>
      </c>
      <c r="P7640" s="10" t="n">
        <v>0.955300528323278</v>
      </c>
      <c r="Q7640" s="0" t="str">
        <f aca="false">SUBSTITUTE(SUBSTITUTE($I7640,CHAR(61),""),CHAR(34),"")</f>
        <v>01-09</v>
      </c>
      <c r="R7640" s="0" t="str">
        <f aca="false">IF($D7640&lt;&gt;"","["&amp;$E7640&amp;"]"&amp;"|"&amp;$Q7640&amp;"|"&amp;$K7640&amp;"|"&amp;$G7640&amp;"|"&amp;IF($G7640="TX_CURR_SUBNAT.R","CY2022Q4",$M7640),"")</f>
        <v>[fiRkU6gEjLz]|01-09|Male|NEW_INFECTIONS_SUBNAT.T2|CY2025Q3</v>
      </c>
    </row>
    <row r="7641" customFormat="false" ht="15" hidden="false" customHeight="false" outlineLevel="0" collapsed="false">
      <c r="D7641" s="0" t="s">
        <v>135</v>
      </c>
      <c r="E7641" s="0" t="s">
        <v>136</v>
      </c>
      <c r="F7641" s="0" t="s">
        <v>137</v>
      </c>
      <c r="G7641" s="0" t="s">
        <v>175</v>
      </c>
      <c r="H7641" s="0" t="s">
        <v>175</v>
      </c>
      <c r="I7641" s="0" t="s">
        <v>36</v>
      </c>
      <c r="J7641" s="0" t="s">
        <v>37</v>
      </c>
      <c r="K7641" s="0" t="s">
        <v>48</v>
      </c>
      <c r="L7641" s="0" t="s">
        <v>49</v>
      </c>
      <c r="M7641" s="0" t="s">
        <v>173</v>
      </c>
      <c r="N7641" s="0" t="n">
        <v>1471</v>
      </c>
      <c r="O7641" s="10" t="n">
        <v>0.918979435693473</v>
      </c>
      <c r="P7641" s="10" t="n">
        <v>0.955300528323278</v>
      </c>
      <c r="Q7641" s="0" t="str">
        <f aca="false">SUBSTITUTE(SUBSTITUTE($I7641,CHAR(61),""),CHAR(34),"")</f>
        <v>10-14</v>
      </c>
      <c r="R7641" s="0" t="str">
        <f aca="false">IF($D7641&lt;&gt;"","["&amp;$E7641&amp;"]"&amp;"|"&amp;$Q7641&amp;"|"&amp;$K7641&amp;"|"&amp;$G7641&amp;"|"&amp;IF($G7641="TX_CURR_SUBNAT.R","CY2022Q4",$M7641),"")</f>
        <v>[fiRkU6gEjLz]|10-14|Male|NEW_INFECTIONS_SUBNAT.T2|CY2025Q3</v>
      </c>
    </row>
    <row r="7642" customFormat="false" ht="15" hidden="false" customHeight="false" outlineLevel="0" collapsed="false">
      <c r="D7642" s="0" t="s">
        <v>135</v>
      </c>
      <c r="E7642" s="0" t="s">
        <v>136</v>
      </c>
      <c r="F7642" s="0" t="s">
        <v>137</v>
      </c>
      <c r="G7642" s="0" t="s">
        <v>175</v>
      </c>
      <c r="H7642" s="0" t="s">
        <v>175</v>
      </c>
      <c r="I7642" s="0" t="s">
        <v>38</v>
      </c>
      <c r="J7642" s="0" t="s">
        <v>39</v>
      </c>
      <c r="K7642" s="0" t="s">
        <v>48</v>
      </c>
      <c r="L7642" s="0" t="s">
        <v>49</v>
      </c>
      <c r="M7642" s="0" t="s">
        <v>173</v>
      </c>
      <c r="N7642" s="0" t="n">
        <v>820</v>
      </c>
      <c r="O7642" s="10" t="n">
        <v>0.978815736947581</v>
      </c>
      <c r="P7642" s="10" t="n">
        <v>0.955300528323278</v>
      </c>
      <c r="Q7642" s="0" t="str">
        <f aca="false">SUBSTITUTE(SUBSTITUTE($I7642,CHAR(61),""),CHAR(34),"")</f>
        <v>15-24</v>
      </c>
      <c r="R7642" s="0" t="str">
        <f aca="false">IF($D7642&lt;&gt;"","["&amp;$E7642&amp;"]"&amp;"|"&amp;$Q7642&amp;"|"&amp;$K7642&amp;"|"&amp;$G7642&amp;"|"&amp;IF($G7642="TX_CURR_SUBNAT.R","CY2022Q4",$M7642),"")</f>
        <v>[fiRkU6gEjLz]|15-24|Male|NEW_INFECTIONS_SUBNAT.T2|CY2025Q3</v>
      </c>
    </row>
    <row r="7643" customFormat="false" ht="15" hidden="false" customHeight="false" outlineLevel="0" collapsed="false">
      <c r="D7643" s="0" t="s">
        <v>135</v>
      </c>
      <c r="E7643" s="0" t="s">
        <v>136</v>
      </c>
      <c r="F7643" s="0" t="s">
        <v>137</v>
      </c>
      <c r="G7643" s="0" t="s">
        <v>175</v>
      </c>
      <c r="H7643" s="0" t="s">
        <v>175</v>
      </c>
      <c r="I7643" s="0" t="s">
        <v>41</v>
      </c>
      <c r="J7643" s="0" t="s">
        <v>42</v>
      </c>
      <c r="K7643" s="0" t="s">
        <v>48</v>
      </c>
      <c r="L7643" s="0" t="s">
        <v>49</v>
      </c>
      <c r="M7643" s="0" t="s">
        <v>173</v>
      </c>
      <c r="N7643" s="0" t="n">
        <v>1492</v>
      </c>
      <c r="O7643" s="10" t="n">
        <v>0.264642756665125</v>
      </c>
      <c r="P7643" s="10" t="n">
        <v>0.955300528323278</v>
      </c>
      <c r="Q7643" s="0" t="str">
        <f aca="false">SUBSTITUTE(SUBSTITUTE($I7643,CHAR(61),""),CHAR(34),"")</f>
        <v>25-34</v>
      </c>
      <c r="R7643" s="0" t="str">
        <f aca="false">IF($D7643&lt;&gt;"","["&amp;$E7643&amp;"]"&amp;"|"&amp;$Q7643&amp;"|"&amp;$K7643&amp;"|"&amp;$G7643&amp;"|"&amp;IF($G7643="TX_CURR_SUBNAT.R","CY2022Q4",$M7643),"")</f>
        <v>[fiRkU6gEjLz]|25-34|Male|NEW_INFECTIONS_SUBNAT.T2|CY2025Q3</v>
      </c>
    </row>
    <row r="7644" customFormat="false" ht="15" hidden="false" customHeight="false" outlineLevel="0" collapsed="false">
      <c r="D7644" s="0" t="s">
        <v>135</v>
      </c>
      <c r="E7644" s="0" t="s">
        <v>136</v>
      </c>
      <c r="F7644" s="0" t="s">
        <v>137</v>
      </c>
      <c r="G7644" s="0" t="s">
        <v>175</v>
      </c>
      <c r="H7644" s="0" t="s">
        <v>175</v>
      </c>
      <c r="I7644" s="0" t="s">
        <v>43</v>
      </c>
      <c r="J7644" s="0" t="s">
        <v>44</v>
      </c>
      <c r="K7644" s="0" t="s">
        <v>48</v>
      </c>
      <c r="L7644" s="0" t="s">
        <v>49</v>
      </c>
      <c r="M7644" s="0" t="s">
        <v>173</v>
      </c>
      <c r="N7644" s="0" t="n">
        <v>1591</v>
      </c>
      <c r="O7644" s="10" t="n">
        <v>0.608978224685416</v>
      </c>
      <c r="P7644" s="10" t="n">
        <v>0.955300528323278</v>
      </c>
      <c r="Q7644" s="0" t="str">
        <f aca="false">SUBSTITUTE(SUBSTITUTE($I7644,CHAR(61),""),CHAR(34),"")</f>
        <v>35-49</v>
      </c>
      <c r="R7644" s="0" t="str">
        <f aca="false">IF($D7644&lt;&gt;"","["&amp;$E7644&amp;"]"&amp;"|"&amp;$Q7644&amp;"|"&amp;$K7644&amp;"|"&amp;$G7644&amp;"|"&amp;IF($G7644="TX_CURR_SUBNAT.R","CY2022Q4",$M7644),"")</f>
        <v>[fiRkU6gEjLz]|35-49|Male|NEW_INFECTIONS_SUBNAT.T2|CY2025Q3</v>
      </c>
    </row>
    <row r="7645" customFormat="false" ht="15" hidden="false" customHeight="false" outlineLevel="0" collapsed="false">
      <c r="D7645" s="0" t="s">
        <v>135</v>
      </c>
      <c r="E7645" s="0" t="s">
        <v>136</v>
      </c>
      <c r="F7645" s="0" t="s">
        <v>137</v>
      </c>
      <c r="G7645" s="0" t="s">
        <v>175</v>
      </c>
      <c r="H7645" s="0" t="s">
        <v>175</v>
      </c>
      <c r="I7645" s="0" t="s">
        <v>45</v>
      </c>
      <c r="J7645" s="0" t="s">
        <v>46</v>
      </c>
      <c r="K7645" s="0" t="s">
        <v>48</v>
      </c>
      <c r="L7645" s="0" t="s">
        <v>49</v>
      </c>
      <c r="M7645" s="0" t="s">
        <v>173</v>
      </c>
      <c r="N7645" s="0" t="n">
        <v>1681</v>
      </c>
      <c r="O7645" s="10" t="n">
        <v>0.5221498075407</v>
      </c>
      <c r="P7645" s="10" t="n">
        <v>0.955300528323278</v>
      </c>
      <c r="Q7645" s="0" t="str">
        <f aca="false">SUBSTITUTE(SUBSTITUTE($I7645,CHAR(61),""),CHAR(34),"")</f>
        <v>50+</v>
      </c>
      <c r="R7645" s="0" t="str">
        <f aca="false">IF($D7645&lt;&gt;"","["&amp;$E7645&amp;"]"&amp;"|"&amp;$Q7645&amp;"|"&amp;$K7645&amp;"|"&amp;$G7645&amp;"|"&amp;IF($G7645="TX_CURR_SUBNAT.R","CY2022Q4",$M7645),"")</f>
        <v>[fiRkU6gEjLz]|50+|Male|NEW_INFECTIONS_SUBNAT.T2|CY2025Q3</v>
      </c>
    </row>
  </sheetData>
  <mergeCells count="5">
    <mergeCell ref="B6:B7"/>
    <mergeCell ref="B11:B12"/>
    <mergeCell ref="B16:B17"/>
    <mergeCell ref="B19:B20"/>
    <mergeCell ref="B26:B2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4" topLeftCell="B18" activePane="bottomRight" state="frozen"/>
      <selection pane="topLeft" activeCell="A1" activeCellId="0" sqref="A1"/>
      <selection pane="topRight" activeCell="B1" activeCellId="0" sqref="B1"/>
      <selection pane="bottomLeft" activeCell="A18" activeCellId="0" sqref="A18"/>
      <selection pane="bottomRight" activeCell="B18" activeCellId="0" sqref="B18"/>
    </sheetView>
  </sheetViews>
  <sheetFormatPr defaultColWidth="10.5" defaultRowHeight="15" zeroHeight="false" outlineLevelRow="0" outlineLevelCol="0"/>
  <cols>
    <col collapsed="false" customWidth="true" hidden="false" outlineLevel="0" max="1" min="1" style="0" width="62.33"/>
    <col collapsed="false" customWidth="true" hidden="false" outlineLevel="0" max="3" min="2" style="0" width="13.16"/>
    <col collapsed="false" customWidth="true" hidden="false" outlineLevel="0" max="4" min="4" style="0" width="28"/>
  </cols>
  <sheetData>
    <row r="1" customFormat="false" ht="30.75" hidden="false" customHeight="true" outlineLevel="0" collapsed="false">
      <c r="A1" s="15" t="s">
        <v>176</v>
      </c>
      <c r="B1" s="16" t="s">
        <v>176</v>
      </c>
      <c r="C1" s="17"/>
      <c r="D1" s="18"/>
    </row>
    <row r="2" customFormat="false" ht="18.75" hidden="false" customHeight="true" outlineLevel="0" collapsed="false">
      <c r="A2" s="19"/>
      <c r="B2" s="20"/>
      <c r="C2" s="21" t="s">
        <v>177</v>
      </c>
      <c r="D2" s="22"/>
    </row>
    <row r="3" customFormat="false" ht="117" hidden="false" customHeight="true" outlineLevel="0" collapsed="false">
      <c r="A3" s="23"/>
      <c r="B3" s="24" t="s">
        <v>178</v>
      </c>
      <c r="C3" s="25" t="s">
        <v>179</v>
      </c>
      <c r="D3" s="26" t="s">
        <v>180</v>
      </c>
    </row>
    <row r="4" customFormat="false" ht="15" hidden="false" customHeight="false" outlineLevel="0" collapsed="false">
      <c r="A4" s="27"/>
      <c r="B4" s="28"/>
      <c r="C4" s="29"/>
      <c r="D4" s="30" t="str">
        <f aca="false">IF(COUNTIF(C$15:INDEX($C:$C,COUNTA($A:$A)+14-COUNTA($A$1:$A$14)),"")&gt;0,"BLANK PRIORITIZATIONS","")</f>
        <v>BLANK PRIORITIZATIONS</v>
      </c>
    </row>
    <row r="5" customFormat="false" ht="12.8" hidden="false" customHeight="false" outlineLevel="0" collapsed="false">
      <c r="A5" s="9" t="s">
        <v>181</v>
      </c>
      <c r="B5" s="28" t="s">
        <v>182</v>
      </c>
      <c r="C5" s="29" t="s">
        <v>182</v>
      </c>
      <c r="D5" s="0" t="s">
        <v>181</v>
      </c>
    </row>
    <row r="6" customFormat="false" ht="12.8" hidden="false" customHeight="false" outlineLevel="0" collapsed="false">
      <c r="A6" s="9" t="s">
        <v>183</v>
      </c>
      <c r="B6" s="28" t="s">
        <v>184</v>
      </c>
      <c r="C6" s="29" t="s">
        <v>185</v>
      </c>
      <c r="D6" s="0" t="s">
        <v>186</v>
      </c>
    </row>
    <row r="7" customFormat="false" ht="12.8" hidden="false" customHeight="false" outlineLevel="0" collapsed="false">
      <c r="A7" s="9" t="s">
        <v>187</v>
      </c>
      <c r="B7" s="28" t="s">
        <v>188</v>
      </c>
      <c r="C7" s="29" t="s">
        <v>188</v>
      </c>
      <c r="D7" s="0" t="s">
        <v>187</v>
      </c>
    </row>
    <row r="8" customFormat="false" ht="12.8" hidden="false" customHeight="false" outlineLevel="0" collapsed="false">
      <c r="B8" s="31" t="s">
        <v>189</v>
      </c>
      <c r="C8" s="32" t="s">
        <v>189</v>
      </c>
    </row>
    <row r="9" customFormat="false" ht="12.8" hidden="false" customHeight="false" outlineLevel="0" collapsed="false">
      <c r="B9" s="31"/>
      <c r="C9" s="32"/>
    </row>
    <row r="10" customFormat="false" ht="12.8" hidden="false" customHeight="false" outlineLevel="0" collapsed="false">
      <c r="B10" s="31"/>
      <c r="C10" s="32"/>
    </row>
    <row r="11" customFormat="false" ht="12.8" hidden="false" customHeight="false" outlineLevel="0" collapsed="false">
      <c r="B11" s="28"/>
      <c r="C11" s="29"/>
    </row>
    <row r="12" customFormat="false" ht="12.8" hidden="false" customHeight="false" outlineLevel="0" collapsed="false">
      <c r="B12" s="28"/>
      <c r="C12" s="29"/>
    </row>
    <row r="13" customFormat="false" ht="12.8" hidden="false" customHeight="false" outlineLevel="0" collapsed="false">
      <c r="B13" s="28"/>
      <c r="C13" s="29"/>
    </row>
    <row r="14" customFormat="false" ht="15" hidden="false" customHeight="false" outlineLevel="0" collapsed="false">
      <c r="A14" s="33" t="s">
        <v>190</v>
      </c>
      <c r="B14" s="34" t="s">
        <v>191</v>
      </c>
      <c r="C14" s="35" t="s">
        <v>192</v>
      </c>
      <c r="D14" s="36" t="s">
        <v>193</v>
      </c>
    </row>
    <row r="15" customFormat="false" ht="15" hidden="false" customHeight="false" outlineLevel="0" collapsed="false">
      <c r="A15" s="0" t="s">
        <v>194</v>
      </c>
      <c r="B15" s="10"/>
      <c r="C15" s="37" t="str">
        <f aca="false">IF(LEFT($A15,4)="_Mil","M",IF(SUM($B15)=0,"",$B15))</f>
        <v>M</v>
      </c>
      <c r="D15" s="38" t="str">
        <f aca="false">IF($C15=1,"1 - Scale-up: Saturation",IF($C15=2,"2 - Scale-up: Aggressive",IF($C15=4,"4 - Sustained",IF($C15=5,"5 - Centrally Supported",IF($C15=6,"6 - Sustained:Commodities",IF($C15=7,"7 - Attained",IF($C15=8,"8 - Not PEPFAR Supported",IF($C15="M","Military",IF($C15="NA","Not a PSNU","INVALID")))))))))</f>
        <v>Military</v>
      </c>
    </row>
    <row r="16" customFormat="false" ht="15" hidden="false" customHeight="false" outlineLevel="0" collapsed="false">
      <c r="A16" s="0" t="s">
        <v>195</v>
      </c>
      <c r="B16" s="10" t="n">
        <v>1</v>
      </c>
      <c r="C16" s="39" t="n">
        <f aca="false">IF(LEFT($A16,4)="_Mil","M",IF(SUM($B16)=0,"",$B16))</f>
        <v>1</v>
      </c>
      <c r="D16" s="38" t="str">
        <f aca="false">IF($C16=1,"1 - Scale-up: Saturation",IF($C16=2,"2 - Scale-up: Aggressive",IF($C16=4,"4 - Sustained",IF($C16=5,"5 - Centrally Supported",IF($C16=6,"6 - Sustained:Commodities",IF($C16=7,"7 - Attained",IF($C16=8,"8 - Not PEPFAR Supported",IF($C16="M","Military",IF($C16="NA","Not a PSNU","INVALID")))))))))</f>
        <v>1 - Scale-up: Saturation</v>
      </c>
    </row>
    <row r="17" customFormat="false" ht="15" hidden="false" customHeight="false" outlineLevel="0" collapsed="false">
      <c r="A17" s="0" t="s">
        <v>196</v>
      </c>
      <c r="B17" s="10" t="n">
        <v>1</v>
      </c>
      <c r="C17" s="39" t="n">
        <f aca="false">IF(LEFT($A17,4)="_Mil","M",IF(SUM($B17)=0,"",$B17))</f>
        <v>1</v>
      </c>
      <c r="D17" s="38" t="str">
        <f aca="false">IF($C17=1,"1 - Scale-up: Saturation",IF($C17=2,"2 - Scale-up: Aggressive",IF($C17=4,"4 - Sustained",IF($C17=5,"5 - Centrally Supported",IF($C17=6,"6 - Sustained:Commodities",IF($C17=7,"7 - Attained",IF($C17=8,"8 - Not PEPFAR Supported",IF($C17="M","Military",IF($C17="NA","Not a PSNU","INVALID")))))))))</f>
        <v>1 - Scale-up: Saturation</v>
      </c>
    </row>
    <row r="18" customFormat="false" ht="15" hidden="false" customHeight="false" outlineLevel="0" collapsed="false">
      <c r="A18" s="40" t="s">
        <v>197</v>
      </c>
      <c r="B18" s="10" t="n">
        <v>0</v>
      </c>
      <c r="C18" s="39" t="str">
        <f aca="false">IF(LEFT($A18,4)="_Mil","M",IF(SUM($B18)=0,"",$B18))</f>
        <v/>
      </c>
      <c r="D18" s="38" t="str">
        <f aca="false">IF($C18=1,"1 - Scale-up: Saturation",IF($C18=2,"2 - Scale-up: Aggressive",IF($C18=4,"4 - Sustained",IF($C18=5,"5 - Centrally Supported",IF($C18=6,"6 - Sustained:Commodities",IF($C18=7,"7 - Attained",IF($C18=8,"8 - Not PEPFAR Supported",IF($C18="M","Military",IF($C18="NA","Not a PSNU","INVALID")))))))))</f>
        <v>INVALID</v>
      </c>
    </row>
    <row r="19" customFormat="false" ht="15" hidden="false" customHeight="false" outlineLevel="0" collapsed="false">
      <c r="A19" s="0" t="s">
        <v>198</v>
      </c>
      <c r="B19" s="10" t="n">
        <v>1</v>
      </c>
      <c r="C19" s="39" t="n">
        <f aca="false">IF(LEFT($A19,4)="_Mil","M",IF(SUM($B19)=0,"",$B19))</f>
        <v>1</v>
      </c>
      <c r="D19" s="0" t="str">
        <f aca="false">IF($C19=1,"1 - Scale-up: Saturation",IF($C19=2,"2 - Scale-up: Aggressive",IF($C19=4,"4 - Sustained",IF($C19=5,"5 - Centrally Supported",IF($C19=6,"6 - Sustained:Commodities",IF($C19=7,"7 - Attained",IF($C19=8,"8 - Not PEPFAR Supported",IF($C19="M","Military",IF($C19="NA","Not a PSNU","INVALID")))))))))</f>
        <v>1 - Scale-up: Saturation</v>
      </c>
    </row>
    <row r="20" customFormat="false" ht="15" hidden="false" customHeight="false" outlineLevel="0" collapsed="false">
      <c r="A20" s="0" t="s">
        <v>199</v>
      </c>
      <c r="B20" s="10" t="n">
        <v>1</v>
      </c>
      <c r="C20" s="39" t="n">
        <f aca="false">IF(LEFT($A20,4)="_Mil","M",IF(SUM($B20)=0,"",$B20))</f>
        <v>1</v>
      </c>
      <c r="D20" s="0" t="str">
        <f aca="false">IF($C20=1,"1 - Scale-up: Saturation",IF($C20=2,"2 - Scale-up: Aggressive",IF($C20=4,"4 - Sustained",IF($C20=5,"5 - Centrally Supported",IF($C20=6,"6 - Sustained:Commodities",IF($C20=7,"7 - Attained",IF($C20=8,"8 - Not PEPFAR Supported",IF($C20="M","Military",IF($C20="NA","Not a PSNU","INVALID")))))))))</f>
        <v>1 - Scale-up: Saturation</v>
      </c>
    </row>
    <row r="21" customFormat="false" ht="15" hidden="false" customHeight="false" outlineLevel="0" collapsed="false">
      <c r="A21" s="0" t="s">
        <v>200</v>
      </c>
      <c r="B21" s="10" t="n">
        <v>1</v>
      </c>
      <c r="C21" s="39" t="n">
        <f aca="false">IF(LEFT($A21,4)="_Mil","M",IF(SUM($B21)=0,"",$B21))</f>
        <v>1</v>
      </c>
      <c r="D21" s="0" t="str">
        <f aca="false">IF($C21=1,"1 - Scale-up: Saturation",IF($C21=2,"2 - Scale-up: Aggressive",IF($C21=4,"4 - Sustained",IF($C21=5,"5 - Centrally Supported",IF($C21=6,"6 - Sustained:Commodities",IF($C21=7,"7 - Attained",IF($C21=8,"8 - Not PEPFAR Supported",IF($C21="M","Military",IF($C21="NA","Not a PSNU","INVALID")))))))))</f>
        <v>1 - Scale-up: Saturation</v>
      </c>
    </row>
    <row r="22" customFormat="false" ht="15" hidden="false" customHeight="false" outlineLevel="0" collapsed="false">
      <c r="A22" s="0" t="s">
        <v>201</v>
      </c>
      <c r="B22" s="10" t="n">
        <v>0</v>
      </c>
      <c r="C22" s="39" t="str">
        <f aca="false">IF(LEFT($A22,4)="_Mil","M",IF(SUM($B22)=0,"",$B22))</f>
        <v/>
      </c>
      <c r="D22" s="0" t="str">
        <f aca="false">IF($C22=1,"1 - Scale-up: Saturation",IF($C22=2,"2 - Scale-up: Aggressive",IF($C22=4,"4 - Sustained",IF($C22=5,"5 - Centrally Supported",IF($C22=6,"6 - Sustained:Commodities",IF($C22=7,"7 - Attained",IF($C22=8,"8 - Not PEPFAR Supported",IF($C22="M","Military",IF($C22="NA","Not a PSNU","INVALID")))))))))</f>
        <v>INVALID</v>
      </c>
    </row>
    <row r="23" customFormat="false" ht="15" hidden="false" customHeight="false" outlineLevel="0" collapsed="false">
      <c r="A23" s="0" t="s">
        <v>202</v>
      </c>
      <c r="B23" s="10" t="n">
        <v>0</v>
      </c>
      <c r="C23" s="39" t="str">
        <f aca="false">IF(LEFT($A23,4)="_Mil","M",IF(SUM($B23)=0,"",$B23))</f>
        <v/>
      </c>
      <c r="D23" s="0" t="str">
        <f aca="false">IF($C23=1,"1 - Scale-up: Saturation",IF($C23=2,"2 - Scale-up: Aggressive",IF($C23=4,"4 - Sustained",IF($C23=5,"5 - Centrally Supported",IF($C23=6,"6 - Sustained:Commodities",IF($C23=7,"7 - Attained",IF($C23=8,"8 - Not PEPFAR Supported",IF($C23="M","Military",IF($C23="NA","Not a PSNU","INVALID")))))))))</f>
        <v>INVALID</v>
      </c>
    </row>
    <row r="24" customFormat="false" ht="15" hidden="false" customHeight="false" outlineLevel="0" collapsed="false">
      <c r="A24" s="0" t="s">
        <v>203</v>
      </c>
      <c r="B24" s="10" t="n">
        <v>0</v>
      </c>
      <c r="C24" s="39" t="str">
        <f aca="false">IF(LEFT($A24,4)="_Mil","M",IF(SUM($B24)=0,"",$B24))</f>
        <v/>
      </c>
      <c r="D24" s="0" t="str">
        <f aca="false">IF($C24=1,"1 - Scale-up: Saturation",IF($C24=2,"2 - Scale-up: Aggressive",IF($C24=4,"4 - Sustained",IF($C24=5,"5 - Centrally Supported",IF($C24=6,"6 - Sustained:Commodities",IF($C24=7,"7 - Attained",IF($C24=8,"8 - Not PEPFAR Supported",IF($C24="M","Military",IF($C24="NA","Not a PSNU","INVALID")))))))))</f>
        <v>INVALID</v>
      </c>
    </row>
    <row r="25" customFormat="false" ht="15" hidden="false" customHeight="false" outlineLevel="0" collapsed="false">
      <c r="A25" s="0" t="s">
        <v>204</v>
      </c>
      <c r="B25" s="10" t="n">
        <v>1</v>
      </c>
      <c r="C25" s="39" t="n">
        <f aca="false">IF(LEFT($A25,4)="_Mil","M",IF(SUM($B25)=0,"",$B25))</f>
        <v>1</v>
      </c>
      <c r="D25" s="0" t="str">
        <f aca="false">IF($C25=1,"1 - Scale-up: Saturation",IF($C25=2,"2 - Scale-up: Aggressive",IF($C25=4,"4 - Sustained",IF($C25=5,"5 - Centrally Supported",IF($C25=6,"6 - Sustained:Commodities",IF($C25=7,"7 - Attained",IF($C25=8,"8 - Not PEPFAR Supported",IF($C25="M","Military",IF($C25="NA","Not a PSNU","INVALID")))))))))</f>
        <v>1 - Scale-up: Saturation</v>
      </c>
    </row>
    <row r="26" customFormat="false" ht="15" hidden="false" customHeight="false" outlineLevel="0" collapsed="false">
      <c r="A26" s="0" t="s">
        <v>205</v>
      </c>
      <c r="B26" s="10" t="n">
        <v>0</v>
      </c>
      <c r="C26" s="39" t="str">
        <f aca="false">IF(LEFT($A26,4)="_Mil","M",IF(SUM($B26)=0,"",$B26))</f>
        <v/>
      </c>
      <c r="D26" s="0" t="str">
        <f aca="false">IF($C26=1,"1 - Scale-up: Saturation",IF($C26=2,"2 - Scale-up: Aggressive",IF($C26=4,"4 - Sustained",IF($C26=5,"5 - Centrally Supported",IF($C26=6,"6 - Sustained:Commodities",IF($C26=7,"7 - Attained",IF($C26=8,"8 - Not PEPFAR Supported",IF($C26="M","Military",IF($C26="NA","Not a PSNU","INVALID")))))))))</f>
        <v>INVALID</v>
      </c>
    </row>
    <row r="27" customFormat="false" ht="15" hidden="false" customHeight="false" outlineLevel="0" collapsed="false">
      <c r="A27" s="0" t="s">
        <v>206</v>
      </c>
      <c r="B27" s="10" t="n">
        <v>0</v>
      </c>
      <c r="C27" s="39" t="str">
        <f aca="false">IF(LEFT($A27,4)="_Mil","M",IF(SUM($B27)=0,"",$B27))</f>
        <v/>
      </c>
      <c r="D27" s="0" t="str">
        <f aca="false">IF($C27=1,"1 - Scale-up: Saturation",IF($C27=2,"2 - Scale-up: Aggressive",IF($C27=4,"4 - Sustained",IF($C27=5,"5 - Centrally Supported",IF($C27=6,"6 - Sustained:Commodities",IF($C27=7,"7 - Attained",IF($C27=8,"8 - Not PEPFAR Supported",IF($C27="M","Military",IF($C27="NA","Not a PSNU","INVALID")))))))))</f>
        <v>INVALID</v>
      </c>
    </row>
    <row r="28" customFormat="false" ht="15" hidden="false" customHeight="false" outlineLevel="0" collapsed="false">
      <c r="A28" s="0" t="s">
        <v>207</v>
      </c>
      <c r="B28" s="10" t="n">
        <v>1</v>
      </c>
      <c r="C28" s="39" t="n">
        <f aca="false">IF(LEFT($A28,4)="_Mil","M",IF(SUM($B28)=0,"",$B28))</f>
        <v>1</v>
      </c>
      <c r="D28" s="0" t="str">
        <f aca="false">IF($C28=1,"1 - Scale-up: Saturation",IF($C28=2,"2 - Scale-up: Aggressive",IF($C28=4,"4 - Sustained",IF($C28=5,"5 - Centrally Supported",IF($C28=6,"6 - Sustained:Commodities",IF($C28=7,"7 - Attained",IF($C28=8,"8 - Not PEPFAR Supported",IF($C28="M","Military",IF($C28="NA","Not a PSNU","INVALID")))))))))</f>
        <v>1 - Scale-up: Saturation</v>
      </c>
    </row>
    <row r="29" customFormat="false" ht="15" hidden="false" customHeight="false" outlineLevel="0" collapsed="false">
      <c r="A29" s="0" t="s">
        <v>208</v>
      </c>
      <c r="B29" s="10" t="n">
        <v>0</v>
      </c>
      <c r="C29" s="39" t="str">
        <f aca="false">IF(LEFT($A29,4)="_Mil","M",IF(SUM($B29)=0,"",$B29))</f>
        <v/>
      </c>
      <c r="D29" s="0" t="str">
        <f aca="false">IF($C29=1,"1 - Scale-up: Saturation",IF($C29=2,"2 - Scale-up: Aggressive",IF($C29=4,"4 - Sustained",IF($C29=5,"5 - Centrally Supported",IF($C29=6,"6 - Sustained:Commodities",IF($C29=7,"7 - Attained",IF($C29=8,"8 - Not PEPFAR Supported",IF($C29="M","Military",IF($C29="NA","Not a PSNU","INVALID")))))))))</f>
        <v>INVALID</v>
      </c>
    </row>
    <row r="30" customFormat="false" ht="15" hidden="false" customHeight="false" outlineLevel="0" collapsed="false">
      <c r="A30" s="0" t="s">
        <v>209</v>
      </c>
      <c r="B30" s="10" t="n">
        <v>0</v>
      </c>
      <c r="C30" s="39" t="str">
        <f aca="false">IF(LEFT($A30,4)="_Mil","M",IF(SUM($B30)=0,"",$B30))</f>
        <v/>
      </c>
      <c r="D30" s="0" t="str">
        <f aca="false">IF($C30=1,"1 - Scale-up: Saturation",IF($C30=2,"2 - Scale-up: Aggressive",IF($C30=4,"4 - Sustained",IF($C30=5,"5 - Centrally Supported",IF($C30=6,"6 - Sustained:Commodities",IF($C30=7,"7 - Attained",IF($C30=8,"8 - Not PEPFAR Supported",IF($C30="M","Military",IF($C30="NA","Not a PSNU","INVALID")))))))))</f>
        <v>INVALID</v>
      </c>
    </row>
    <row r="31" customFormat="false" ht="15" hidden="false" customHeight="false" outlineLevel="0" collapsed="false">
      <c r="A31" s="0" t="s">
        <v>210</v>
      </c>
      <c r="B31" s="10" t="n">
        <v>1</v>
      </c>
      <c r="C31" s="39" t="n">
        <f aca="false">IF(LEFT($A31,4)="_Mil","M",IF(SUM($B31)=0,"",$B31))</f>
        <v>1</v>
      </c>
      <c r="D31" s="0" t="str">
        <f aca="false">IF($C31=1,"1 - Scale-up: Saturation",IF($C31=2,"2 - Scale-up: Aggressive",IF($C31=4,"4 - Sustained",IF($C31=5,"5 - Centrally Supported",IF($C31=6,"6 - Sustained:Commodities",IF($C31=7,"7 - Attained",IF($C31=8,"8 - Not PEPFAR Supported",IF($C31="M","Military",IF($C31="NA","Not a PSNU","INVALID")))))))))</f>
        <v>1 - Scale-up: Saturation</v>
      </c>
    </row>
    <row r="32" customFormat="false" ht="15" hidden="false" customHeight="false" outlineLevel="0" collapsed="false">
      <c r="A32" s="0" t="s">
        <v>211</v>
      </c>
      <c r="B32" s="10" t="n">
        <v>1</v>
      </c>
      <c r="C32" s="39" t="n">
        <f aca="false">IF(LEFT($A32,4)="_Mil","M",IF(SUM($B32)=0,"",$B32))</f>
        <v>1</v>
      </c>
      <c r="D32" s="0" t="str">
        <f aca="false">IF($C32=1,"1 - Scale-up: Saturation",IF($C32=2,"2 - Scale-up: Aggressive",IF($C32=4,"4 - Sustained",IF($C32=5,"5 - Centrally Supported",IF($C32=6,"6 - Sustained:Commodities",IF($C32=7,"7 - Attained",IF($C32=8,"8 - Not PEPFAR Supported",IF($C32="M","Military",IF($C32="NA","Not a PSNU","INVALID")))))))))</f>
        <v>1 - Scale-up: Saturation</v>
      </c>
    </row>
    <row r="33" customFormat="false" ht="15" hidden="false" customHeight="false" outlineLevel="0" collapsed="false">
      <c r="A33" s="0" t="s">
        <v>212</v>
      </c>
      <c r="B33" s="10" t="n">
        <v>1</v>
      </c>
      <c r="C33" s="39" t="n">
        <f aca="false">IF(LEFT($A33,4)="_Mil","M",IF(SUM($B33)=0,"",$B33))</f>
        <v>1</v>
      </c>
      <c r="D33" s="0" t="str">
        <f aca="false">IF($C33=1,"1 - Scale-up: Saturation",IF($C33=2,"2 - Scale-up: Aggressive",IF($C33=4,"4 - Sustained",IF($C33=5,"5 - Centrally Supported",IF($C33=6,"6 - Sustained:Commodities",IF($C33=7,"7 - Attained",IF($C33=8,"8 - Not PEPFAR Supported",IF($C33="M","Military",IF($C33="NA","Not a PSNU","INVALID")))))))))</f>
        <v>1 - Scale-up: Saturation</v>
      </c>
    </row>
    <row r="34" customFormat="false" ht="15" hidden="false" customHeight="false" outlineLevel="0" collapsed="false">
      <c r="A34" s="0" t="s">
        <v>213</v>
      </c>
      <c r="B34" s="10" t="n">
        <v>1</v>
      </c>
      <c r="C34" s="39" t="n">
        <f aca="false">IF(LEFT($A34,4)="_Mil","M",IF(SUM($B34)=0,"",$B34))</f>
        <v>1</v>
      </c>
      <c r="D34" s="0" t="str">
        <f aca="false">IF($C34=1,"1 - Scale-up: Saturation",IF($C34=2,"2 - Scale-up: Aggressive",IF($C34=4,"4 - Sustained",IF($C34=5,"5 - Centrally Supported",IF($C34=6,"6 - Sustained:Commodities",IF($C34=7,"7 - Attained",IF($C34=8,"8 - Not PEPFAR Supported",IF($C34="M","Military",IF($C34="NA","Not a PSNU","INVALID")))))))))</f>
        <v>1 - Scale-up: Saturation</v>
      </c>
    </row>
    <row r="35" customFormat="false" ht="15" hidden="false" customHeight="false" outlineLevel="0" collapsed="false">
      <c r="A35" s="0" t="s">
        <v>214</v>
      </c>
      <c r="B35" s="10" t="n">
        <v>1</v>
      </c>
      <c r="C35" s="39" t="n">
        <f aca="false">IF(LEFT($A35,4)="_Mil","M",IF(SUM($B35)=0,"",$B35))</f>
        <v>1</v>
      </c>
      <c r="D35" s="0" t="str">
        <f aca="false">IF($C35=1,"1 - Scale-up: Saturation",IF($C35=2,"2 - Scale-up: Aggressive",IF($C35=4,"4 - Sustained",IF($C35=5,"5 - Centrally Supported",IF($C35=6,"6 - Sustained:Commodities",IF($C35=7,"7 - Attained",IF($C35=8,"8 - Not PEPFAR Supported",IF($C35="M","Military",IF($C35="NA","Not a PSNU","INVALID")))))))))</f>
        <v>1 - Scale-up: Saturation</v>
      </c>
    </row>
    <row r="36" customFormat="false" ht="15" hidden="false" customHeight="false" outlineLevel="0" collapsed="false">
      <c r="A36" s="0" t="s">
        <v>215</v>
      </c>
      <c r="B36" s="10" t="n">
        <v>0</v>
      </c>
      <c r="C36" s="39" t="str">
        <f aca="false">IF(LEFT($A36,4)="_Mil","M",IF(SUM($B36)=0,"",$B36))</f>
        <v/>
      </c>
      <c r="D36" s="0" t="str">
        <f aca="false">IF($C36=1,"1 - Scale-up: Saturation",IF($C36=2,"2 - Scale-up: Aggressive",IF($C36=4,"4 - Sustained",IF($C36=5,"5 - Centrally Supported",IF($C36=6,"6 - Sustained:Commodities",IF($C36=7,"7 - Attained",IF($C36=8,"8 - Not PEPFAR Supported",IF($C36="M","Military",IF($C36="NA","Not a PSNU","INVALID")))))))))</f>
        <v>INVALID</v>
      </c>
    </row>
    <row r="37" customFormat="false" ht="15" hidden="false" customHeight="false" outlineLevel="0" collapsed="false">
      <c r="A37" s="0" t="s">
        <v>216</v>
      </c>
      <c r="B37" s="10" t="n">
        <v>0</v>
      </c>
      <c r="C37" s="39" t="str">
        <f aca="false">IF(LEFT($A37,4)="_Mil","M",IF(SUM($B37)=0,"",$B37))</f>
        <v/>
      </c>
      <c r="D37" s="0" t="str">
        <f aca="false">IF($C37=1,"1 - Scale-up: Saturation",IF($C37=2,"2 - Scale-up: Aggressive",IF($C37=4,"4 - Sustained",IF($C37=5,"5 - Centrally Supported",IF($C37=6,"6 - Sustained:Commodities",IF($C37=7,"7 - Attained",IF($C37=8,"8 - Not PEPFAR Supported",IF($C37="M","Military",IF($C37="NA","Not a PSNU","INVALID")))))))))</f>
        <v>INVALID</v>
      </c>
    </row>
    <row r="38" customFormat="false" ht="15" hidden="false" customHeight="false" outlineLevel="0" collapsed="false">
      <c r="A38" s="0" t="s">
        <v>217</v>
      </c>
      <c r="B38" s="10" t="n">
        <v>0</v>
      </c>
      <c r="C38" s="39" t="str">
        <f aca="false">IF(LEFT($A38,4)="_Mil","M",IF(SUM($B38)=0,"",$B38))</f>
        <v/>
      </c>
      <c r="D38" s="0" t="str">
        <f aca="false">IF($C38=1,"1 - Scale-up: Saturation",IF($C38=2,"2 - Scale-up: Aggressive",IF($C38=4,"4 - Sustained",IF($C38=5,"5 - Centrally Supported",IF($C38=6,"6 - Sustained:Commodities",IF($C38=7,"7 - Attained",IF($C38=8,"8 - Not PEPFAR Supported",IF($C38="M","Military",IF($C38="NA","Not a PSNU","INVALID")))))))))</f>
        <v>INVALID</v>
      </c>
    </row>
    <row r="39" customFormat="false" ht="15" hidden="false" customHeight="false" outlineLevel="0" collapsed="false">
      <c r="A39" s="0" t="s">
        <v>218</v>
      </c>
      <c r="B39" s="10" t="n">
        <v>0</v>
      </c>
      <c r="C39" s="39" t="str">
        <f aca="false">IF(LEFT($A39,4)="_Mil","M",IF(SUM($B39)=0,"",$B39))</f>
        <v/>
      </c>
      <c r="D39" s="0" t="str">
        <f aca="false">IF($C39=1,"1 - Scale-up: Saturation",IF($C39=2,"2 - Scale-up: Aggressive",IF($C39=4,"4 - Sustained",IF($C39=5,"5 - Centrally Supported",IF($C39=6,"6 - Sustained:Commodities",IF($C39=7,"7 - Attained",IF($C39=8,"8 - Not PEPFAR Supported",IF($C39="M","Military",IF($C39="NA","Not a PSNU","INVALID")))))))))</f>
        <v>INVALID</v>
      </c>
    </row>
    <row r="40" customFormat="false" ht="15" hidden="false" customHeight="false" outlineLevel="0" collapsed="false">
      <c r="A40" s="0" t="s">
        <v>219</v>
      </c>
      <c r="B40" s="10" t="n">
        <v>0</v>
      </c>
      <c r="C40" s="39" t="str">
        <f aca="false">IF(LEFT($A40,4)="_Mil","M",IF(SUM($B40)=0,"",$B40))</f>
        <v/>
      </c>
      <c r="D40" s="0" t="str">
        <f aca="false">IF($C40=1,"1 - Scale-up: Saturation",IF($C40=2,"2 - Scale-up: Aggressive",IF($C40=4,"4 - Sustained",IF($C40=5,"5 - Centrally Supported",IF($C40=6,"6 - Sustained:Commodities",IF($C40=7,"7 - Attained",IF($C40=8,"8 - Not PEPFAR Supported",IF($C40="M","Military",IF($C40="NA","Not a PSNU","INVALID")))))))))</f>
        <v>INVALID</v>
      </c>
    </row>
    <row r="41" customFormat="false" ht="15" hidden="false" customHeight="false" outlineLevel="0" collapsed="false">
      <c r="A41" s="0" t="s">
        <v>220</v>
      </c>
      <c r="B41" s="10" t="n">
        <v>0</v>
      </c>
      <c r="C41" s="39" t="str">
        <f aca="false">IF(LEFT($A41,4)="_Mil","M",IF(SUM($B41)=0,"",$B41))</f>
        <v/>
      </c>
      <c r="D41" s="0" t="str">
        <f aca="false">IF($C41=1,"1 - Scale-up: Saturation",IF($C41=2,"2 - Scale-up: Aggressive",IF($C41=4,"4 - Sustained",IF($C41=5,"5 - Centrally Supported",IF($C41=6,"6 - Sustained:Commodities",IF($C41=7,"7 - Attained",IF($C41=8,"8 - Not PEPFAR Supported",IF($C41="M","Military",IF($C41="NA","Not a PSNU","INVALID")))))))))</f>
        <v>INVALID</v>
      </c>
    </row>
    <row r="42" customFormat="false" ht="15" hidden="false" customHeight="false" outlineLevel="0" collapsed="false">
      <c r="A42" s="0" t="s">
        <v>221</v>
      </c>
      <c r="B42" s="10" t="n">
        <v>1</v>
      </c>
      <c r="C42" s="39" t="n">
        <f aca="false">IF(LEFT($A42,4)="_Mil","M",IF(SUM($B42)=0,"",$B42))</f>
        <v>1</v>
      </c>
      <c r="D42" s="0" t="str">
        <f aca="false">IF($C42=1,"1 - Scale-up: Saturation",IF($C42=2,"2 - Scale-up: Aggressive",IF($C42=4,"4 - Sustained",IF($C42=5,"5 - Centrally Supported",IF($C42=6,"6 - Sustained:Commodities",IF($C42=7,"7 - Attained",IF($C42=8,"8 - Not PEPFAR Supported",IF($C42="M","Military",IF($C42="NA","Not a PSNU","INVALID")))))))))</f>
        <v>1 - Scale-up: Saturation</v>
      </c>
    </row>
    <row r="43" customFormat="false" ht="15" hidden="false" customHeight="false" outlineLevel="0" collapsed="false">
      <c r="A43" s="0" t="s">
        <v>222</v>
      </c>
      <c r="B43" s="10" t="n">
        <v>1</v>
      </c>
      <c r="C43" s="39" t="n">
        <f aca="false">IF(LEFT($A43,4)="_Mil","M",IF(SUM($B43)=0,"",$B43))</f>
        <v>1</v>
      </c>
      <c r="D43" s="0" t="str">
        <f aca="false">IF($C43=1,"1 - Scale-up: Saturation",IF($C43=2,"2 - Scale-up: Aggressive",IF($C43=4,"4 - Sustained",IF($C43=5,"5 - Centrally Supported",IF($C43=6,"6 - Sustained:Commodities",IF($C43=7,"7 - Attained",IF($C43=8,"8 - Not PEPFAR Supported",IF($C43="M","Military",IF($C43="NA","Not a PSNU","INVALID")))))))))</f>
        <v>1 - Scale-up: Saturation</v>
      </c>
    </row>
  </sheetData>
  <conditionalFormatting sqref="D4">
    <cfRule type="containsText" priority="2" operator="containsText" aboveAverage="0" equalAverage="0" bottom="0" percent="0" rank="0" text="BLANK PRIORITIZATIONS" dxfId="0">
      <formula>NOT(ISERROR(SEARCH("BLANK PRIORITIZATIONS",D4)))</formula>
    </cfRule>
  </conditionalFormatting>
  <conditionalFormatting sqref="B1:C1048576">
    <cfRule type="expression" priority="3" aboveAverage="0" equalAverage="0" bottom="0" percent="0" rank="0" text="" dxfId="1">
      <formula>AND(ROW(B1)&gt;14,LEFT($A1,4)&lt;&gt;"_Mil",$A1&lt;&gt;"",B1&lt;&gt;1,B1&lt;&gt;2,B1&lt;&gt;4,B1&lt;&gt;5,B1&lt;&gt;6,B1&lt;&gt;7,B1&lt;&gt;8,B1&lt;&gt;"M",B1&lt;&gt;"NA")</formula>
    </cfRule>
  </conditionalFormatting>
  <conditionalFormatting sqref="C1:C1048576">
    <cfRule type="expression" priority="4" aboveAverage="0" equalAverage="0" bottom="0" percent="0" rank="0" text="" dxfId="2">
      <formula>AND(LEFT($A1,4)&lt;&gt;"_Mil",ROW($C1)&gt;14,$C1&lt;&gt;$B1,$A1&lt;&gt;"")</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H14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J15" activePane="bottomRight" state="frozen"/>
      <selection pane="topLeft" activeCell="A1" activeCellId="0" sqref="A1"/>
      <selection pane="topRight" activeCell="J1" activeCellId="0" sqref="J1"/>
      <selection pane="bottomLeft" activeCell="A15" activeCellId="0" sqref="A15"/>
      <selection pane="bottomRight" activeCell="AK15" activeCellId="0" sqref="AK15"/>
    </sheetView>
  </sheetViews>
  <sheetFormatPr defaultColWidth="10.5" defaultRowHeight="15" zeroHeight="false" outlineLevelRow="0" outlineLevelCol="0"/>
  <cols>
    <col collapsed="false" customWidth="true" hidden="false" outlineLevel="0" max="1" min="1" style="0" width="13.6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20.33"/>
    <col collapsed="false" customWidth="true" hidden="false" outlineLevel="0" max="6" min="6" style="0" width="22.17"/>
    <col collapsed="false" customWidth="true" hidden="false" outlineLevel="0" max="60" min="7" style="0" width="13.16"/>
  </cols>
  <sheetData>
    <row r="1" customFormat="false" ht="30.75" hidden="false" customHeight="true" outlineLevel="0" collapsed="false">
      <c r="A1" s="41" t="s">
        <v>223</v>
      </c>
      <c r="B1" s="15"/>
      <c r="C1" s="15"/>
      <c r="D1" s="15"/>
      <c r="E1" s="41"/>
      <c r="F1" s="42" t="s">
        <v>224</v>
      </c>
      <c r="G1" s="42" t="s">
        <v>225</v>
      </c>
      <c r="H1" s="18"/>
      <c r="I1" s="43"/>
      <c r="J1" s="18"/>
      <c r="K1" s="43"/>
      <c r="L1" s="42" t="s">
        <v>226</v>
      </c>
      <c r="M1" s="18"/>
      <c r="N1" s="18"/>
      <c r="O1" s="43"/>
      <c r="P1" s="18"/>
      <c r="Q1" s="43"/>
      <c r="R1" s="43"/>
      <c r="S1" s="42" t="s">
        <v>227</v>
      </c>
      <c r="T1" s="43"/>
      <c r="U1" s="43"/>
      <c r="V1" s="43"/>
      <c r="W1" s="44"/>
      <c r="X1" s="43"/>
      <c r="Y1" s="45"/>
      <c r="Z1" s="43"/>
      <c r="AA1" s="45"/>
      <c r="AB1" s="45"/>
      <c r="AC1" s="46"/>
      <c r="AD1" s="47"/>
      <c r="AE1" s="45"/>
      <c r="AF1" s="43"/>
      <c r="AG1" s="45"/>
      <c r="AH1" s="44"/>
      <c r="AI1" s="43"/>
      <c r="AJ1" s="18"/>
      <c r="AK1" s="18"/>
      <c r="AL1" s="48" t="s">
        <v>228</v>
      </c>
      <c r="AM1" s="18"/>
      <c r="AN1" s="18"/>
      <c r="AO1" s="18"/>
      <c r="AP1" s="42" t="s">
        <v>229</v>
      </c>
      <c r="AQ1" s="43"/>
      <c r="AR1" s="45"/>
      <c r="AS1" s="48" t="s">
        <v>230</v>
      </c>
      <c r="AT1" s="45"/>
      <c r="AU1" s="18"/>
      <c r="AV1" s="18"/>
      <c r="AW1" s="47"/>
      <c r="AX1" s="43"/>
      <c r="AY1" s="48" t="s">
        <v>231</v>
      </c>
      <c r="AZ1" s="18"/>
      <c r="BA1" s="45"/>
      <c r="BB1" s="43"/>
      <c r="BC1" s="18"/>
      <c r="BD1" s="48" t="s">
        <v>232</v>
      </c>
      <c r="BE1" s="43"/>
      <c r="BF1" s="43"/>
      <c r="BG1" s="48" t="s">
        <v>233</v>
      </c>
      <c r="BH1" s="43"/>
    </row>
    <row r="2" customFormat="false" ht="18.75" hidden="false" customHeight="true" outlineLevel="0" collapsed="false">
      <c r="A2" s="49" t="s">
        <v>234</v>
      </c>
      <c r="B2" s="49"/>
      <c r="C2" s="19"/>
      <c r="D2" s="19"/>
      <c r="E2" s="22"/>
      <c r="F2" s="50"/>
      <c r="G2" s="50"/>
      <c r="H2" s="22"/>
      <c r="I2" s="22"/>
      <c r="J2" s="22"/>
      <c r="K2" s="22"/>
      <c r="L2" s="50"/>
      <c r="M2" s="22"/>
      <c r="N2" s="22"/>
      <c r="O2" s="22"/>
      <c r="P2" s="22"/>
      <c r="Q2" s="22"/>
      <c r="R2" s="22"/>
      <c r="S2" s="50" t="s">
        <v>235</v>
      </c>
      <c r="T2" s="22" t="s">
        <v>236</v>
      </c>
      <c r="U2" s="22"/>
      <c r="V2" s="22"/>
      <c r="W2" s="51"/>
      <c r="X2" s="22"/>
      <c r="Y2" s="52"/>
      <c r="Z2" s="22"/>
      <c r="AA2" s="52"/>
      <c r="AB2" s="52"/>
      <c r="AC2" s="53"/>
      <c r="AD2" s="52"/>
      <c r="AE2" s="52"/>
      <c r="AF2" s="22"/>
      <c r="AG2" s="52"/>
      <c r="AH2" s="51" t="s">
        <v>237</v>
      </c>
      <c r="AI2" s="22"/>
      <c r="AJ2" s="22"/>
      <c r="AK2" s="22"/>
      <c r="AL2" s="54" t="s">
        <v>238</v>
      </c>
      <c r="AM2" s="22"/>
      <c r="AN2" s="22"/>
      <c r="AO2" s="22"/>
      <c r="AP2" s="55" t="s">
        <v>177</v>
      </c>
      <c r="AQ2" s="21" t="s">
        <v>177</v>
      </c>
      <c r="AR2" s="52"/>
      <c r="AS2" s="54"/>
      <c r="AT2" s="52"/>
      <c r="AU2" s="22"/>
      <c r="AV2" s="22"/>
      <c r="AW2" s="52"/>
      <c r="AX2" s="21" t="s">
        <v>177</v>
      </c>
      <c r="AY2" s="56"/>
      <c r="AZ2" s="57"/>
      <c r="BA2" s="58"/>
      <c r="BB2" s="21" t="s">
        <v>177</v>
      </c>
      <c r="BC2" s="57"/>
      <c r="BD2" s="54"/>
      <c r="BE2" s="21" t="s">
        <v>177</v>
      </c>
      <c r="BF2" s="21" t="s">
        <v>177</v>
      </c>
      <c r="BG2" s="54"/>
      <c r="BH2" s="21" t="s">
        <v>177</v>
      </c>
    </row>
    <row r="3" customFormat="false" ht="133.5" hidden="false" customHeight="true" outlineLevel="0" collapsed="false">
      <c r="A3" s="49"/>
      <c r="B3" s="49"/>
      <c r="C3" s="23"/>
      <c r="D3" s="23"/>
      <c r="E3" s="59"/>
      <c r="F3" s="60" t="s">
        <v>239</v>
      </c>
      <c r="G3" s="61" t="s">
        <v>240</v>
      </c>
      <c r="H3" s="26" t="s">
        <v>241</v>
      </c>
      <c r="I3" s="26" t="s">
        <v>242</v>
      </c>
      <c r="J3" s="26" t="s">
        <v>243</v>
      </c>
      <c r="K3" s="26" t="s">
        <v>244</v>
      </c>
      <c r="L3" s="61" t="s">
        <v>240</v>
      </c>
      <c r="M3" s="26" t="s">
        <v>241</v>
      </c>
      <c r="N3" s="26" t="s">
        <v>242</v>
      </c>
      <c r="O3" s="62" t="s">
        <v>245</v>
      </c>
      <c r="P3" s="26" t="s">
        <v>243</v>
      </c>
      <c r="Q3" s="26" t="s">
        <v>244</v>
      </c>
      <c r="R3" s="26" t="s">
        <v>246</v>
      </c>
      <c r="S3" s="63" t="s">
        <v>247</v>
      </c>
      <c r="T3" s="62" t="s">
        <v>248</v>
      </c>
      <c r="U3" s="62" t="s">
        <v>249</v>
      </c>
      <c r="V3" s="62" t="s">
        <v>250</v>
      </c>
      <c r="W3" s="64" t="s">
        <v>251</v>
      </c>
      <c r="X3" s="62" t="s">
        <v>252</v>
      </c>
      <c r="Y3" s="65" t="s">
        <v>253</v>
      </c>
      <c r="Z3" s="62" t="s">
        <v>254</v>
      </c>
      <c r="AA3" s="65" t="s">
        <v>255</v>
      </c>
      <c r="AB3" s="65" t="s">
        <v>256</v>
      </c>
      <c r="AC3" s="66" t="s">
        <v>257</v>
      </c>
      <c r="AD3" s="65" t="s">
        <v>258</v>
      </c>
      <c r="AE3" s="65" t="s">
        <v>259</v>
      </c>
      <c r="AF3" s="62" t="s">
        <v>260</v>
      </c>
      <c r="AG3" s="65" t="s">
        <v>261</v>
      </c>
      <c r="AH3" s="64" t="s">
        <v>262</v>
      </c>
      <c r="AI3" s="62" t="s">
        <v>263</v>
      </c>
      <c r="AJ3" s="67" t="s">
        <v>264</v>
      </c>
      <c r="AK3" s="67" t="s">
        <v>265</v>
      </c>
      <c r="AL3" s="68" t="s">
        <v>266</v>
      </c>
      <c r="AM3" s="26" t="s">
        <v>267</v>
      </c>
      <c r="AN3" s="69" t="s">
        <v>268</v>
      </c>
      <c r="AO3" s="62" t="s">
        <v>269</v>
      </c>
      <c r="AP3" s="70" t="s">
        <v>224</v>
      </c>
      <c r="AQ3" s="25" t="s">
        <v>270</v>
      </c>
      <c r="AR3" s="71" t="s">
        <v>271</v>
      </c>
      <c r="AS3" s="68" t="s">
        <v>272</v>
      </c>
      <c r="AT3" s="65" t="s">
        <v>273</v>
      </c>
      <c r="AU3" s="26" t="s">
        <v>274</v>
      </c>
      <c r="AV3" s="26" t="s">
        <v>275</v>
      </c>
      <c r="AW3" s="65" t="s">
        <v>276</v>
      </c>
      <c r="AX3" s="72" t="s">
        <v>277</v>
      </c>
      <c r="AY3" s="68" t="s">
        <v>278</v>
      </c>
      <c r="AZ3" s="26" t="s">
        <v>279</v>
      </c>
      <c r="BA3" s="65" t="s">
        <v>280</v>
      </c>
      <c r="BB3" s="72" t="s">
        <v>281</v>
      </c>
      <c r="BC3" s="62" t="s">
        <v>282</v>
      </c>
      <c r="BD3" s="68" t="s">
        <v>283</v>
      </c>
      <c r="BE3" s="72" t="s">
        <v>284</v>
      </c>
      <c r="BF3" s="25" t="s">
        <v>285</v>
      </c>
      <c r="BG3" s="68" t="s">
        <v>286</v>
      </c>
      <c r="BH3" s="72" t="s">
        <v>287</v>
      </c>
    </row>
    <row r="4" customFormat="false" ht="15" hidden="false" customHeight="false" outlineLevel="0" collapsed="false">
      <c r="A4" s="73"/>
      <c r="B4" s="27"/>
      <c r="C4" s="27"/>
      <c r="D4" s="27" t="s">
        <v>288</v>
      </c>
      <c r="E4" s="73"/>
      <c r="F4" s="74"/>
      <c r="G4" s="74" t="n">
        <f aca="false">SUBTOTAL(109,G$15:INDEX(G:G,COUNTA($B:$B)+14-COUNTA($B$1:$B$14)))</f>
        <v>0</v>
      </c>
      <c r="H4" s="75" t="n">
        <f aca="false">SUBTOTAL(109,H$15:INDEX(H:H,COUNTA($B:$B)+14-COUNTA($B$1:$B$14)))</f>
        <v>0</v>
      </c>
      <c r="I4" s="75" t="n">
        <f aca="false">SUBTOTAL(109,I$15:INDEX(I:I,COUNTA($B:$B)+14-COUNTA($B$1:$B$14)))</f>
        <v>0</v>
      </c>
      <c r="J4" s="73" t="n">
        <f aca="false">SUBTOTAL(109,J$15:INDEX(J:J,COUNTA($B:$B)+14-COUNTA($B$1:$B$14)))</f>
        <v>0</v>
      </c>
      <c r="K4" s="73" t="n">
        <f aca="false">SUBTOTAL(109,K$15:INDEX(K:K,COUNTA($B:$B)+14-COUNTA($B$1:$B$14)))</f>
        <v>0</v>
      </c>
      <c r="L4" s="74" t="n">
        <f aca="false">SUBTOTAL(109,L$15:INDEX(L:L,COUNTA($B:$B)+14-COUNTA($B$1:$B$14)))</f>
        <v>0</v>
      </c>
      <c r="M4" s="75" t="n">
        <f aca="false">SUBTOTAL(109,M$15:INDEX(M:M,COUNTA($B:$B)+14-COUNTA($B$1:$B$14)))</f>
        <v>0</v>
      </c>
      <c r="N4" s="75" t="n">
        <f aca="false">SUBTOTAL(109,N$15:INDEX(N:N,COUNTA($B:$B)+14-COUNTA($B$1:$B$14)))</f>
        <v>0</v>
      </c>
      <c r="O4" s="75" t="n">
        <f aca="false">SUBTOTAL(109,O$15:INDEX(O:O,COUNTA($B:$B)+14-COUNTA($B$1:$B$14)))</f>
        <v>0</v>
      </c>
      <c r="P4" s="73" t="n">
        <f aca="false">SUBTOTAL(109,P$15:INDEX(P:P,COUNTA($B:$B)+14-COUNTA($B$1:$B$14)))</f>
        <v>0</v>
      </c>
      <c r="Q4" s="73" t="n">
        <f aca="false">SUBTOTAL(109,Q$15:INDEX(Q:Q,COUNTA($B:$B)+14-COUNTA($B$1:$B$14)))</f>
        <v>0</v>
      </c>
      <c r="R4" s="73" t="n">
        <f aca="false">SUBTOTAL(109,R$15:INDEX(R:R,COUNTA($B:$B)+14-COUNTA($B$1:$B$14)))</f>
        <v>0</v>
      </c>
      <c r="S4" s="76" t="n">
        <f aca="false">SUBTOTAL(109,S$15:INDEX(S:S,COUNTA($B:$B)+14-COUNTA($B$1:$B$14)))</f>
        <v>0</v>
      </c>
      <c r="T4" s="75" t="n">
        <f aca="false">SUBTOTAL(109,T$15:INDEX(T:T,COUNTA($B:$B)+14-COUNTA($B$1:$B$14)))</f>
        <v>0</v>
      </c>
      <c r="U4" s="75" t="n">
        <f aca="false">SUBTOTAL(109,U$15:INDEX(U:U,COUNTA($B:$B)+14-COUNTA($B$1:$B$14)))</f>
        <v>0</v>
      </c>
      <c r="V4" s="75" t="n">
        <f aca="false">SUBTOTAL(109,V$15:INDEX(V:V,COUNTA($B:$B)+14-COUNTA($B$1:$B$14)))</f>
        <v>0</v>
      </c>
      <c r="W4" s="77" t="str">
        <f aca="false">IF(SUM($T4)=0,"",SUM($U4)/$T4)</f>
        <v/>
      </c>
      <c r="X4" s="75" t="n">
        <f aca="false">SUBTOTAL(109,X$15:INDEX(X:X,COUNTA($B:$B)+14-COUNTA($B$1:$B$14)))</f>
        <v>0</v>
      </c>
      <c r="Y4" s="78" t="str">
        <f aca="false">IF(SUM($U4)=0,"",SUM($X4)/$U4)</f>
        <v/>
      </c>
      <c r="Z4" s="75" t="n">
        <f aca="false">SUBTOTAL(109,Z$15:INDEX(Z:Z,COUNTA($B:$B)+14-COUNTA($B$1:$B$14)))</f>
        <v>0</v>
      </c>
      <c r="AA4" s="78" t="str">
        <f aca="false">IF(SUM($U4)=0,"",SUM($Z4)/$U4)</f>
        <v/>
      </c>
      <c r="AB4" s="78" t="str">
        <f aca="false">IF(SUM($X4)=0,"",SUM($Z4)/$X4)</f>
        <v/>
      </c>
      <c r="AC4" s="79" t="n">
        <f aca="false">SUBTOTAL(109,AC$15:INDEX(AC:AC,COUNTA($B:$B)+14-COUNTA($B$1:$B$14)))</f>
        <v>0</v>
      </c>
      <c r="AD4" s="78" t="n">
        <f aca="false">SUBTOTAL(109,AD$15:INDEX(AD:AD,COUNTA($B:$B)+14-COUNTA($B$1:$B$14)))</f>
        <v>0</v>
      </c>
      <c r="AE4" s="78" t="str">
        <f aca="false">IF(SUM($Z4)=0,"",SUM($AD4)/$Z4)</f>
        <v/>
      </c>
      <c r="AF4" s="75" t="n">
        <f aca="false">SUBTOTAL(109,AF$15:INDEX(AF:AF,COUNTA($B:$B)+14-COUNTA($B$1:$B$14)))</f>
        <v>0</v>
      </c>
      <c r="AG4" s="78" t="str">
        <f aca="false">IF(SUM($AD4)=0,"",SUM($AF4)/$AD4)</f>
        <v/>
      </c>
      <c r="AH4" s="77" t="str">
        <f aca="false">IF(SUM($T4)=0,"",SUM($AI4)/$T4)</f>
        <v/>
      </c>
      <c r="AI4" s="75" t="n">
        <f aca="false">SUBTOTAL(109,AI$15:INDEX(AI:AI,COUNTA($B:$B)+14-COUNTA($B$1:$B$14)))</f>
        <v>0</v>
      </c>
      <c r="AJ4" s="75" t="n">
        <f aca="false">SUBTOTAL(109,AJ$15:INDEX(AJ:AJ,COUNTA($B:$B)+14-COUNTA($B$1:$B$14)))</f>
        <v>0</v>
      </c>
      <c r="AK4" s="75" t="n">
        <v>0</v>
      </c>
      <c r="AL4" s="80" t="str">
        <f aca="false">IF(SUM($AJ4)=0,"",SUM($AM4)/$AJ4)</f>
        <v/>
      </c>
      <c r="AM4" s="75" t="n">
        <f aca="false">SUBTOTAL(109,AM$15:INDEX(AM:AM,COUNTA($B:$B)+14-COUNTA($B$1:$B$14)))</f>
        <v>0</v>
      </c>
      <c r="AN4" s="75" t="n">
        <f aca="false">SUBTOTAL(109,AN$15:INDEX(AN:AN,COUNTA($B:$B)+14-COUNTA($B$1:$B$14)))</f>
        <v>0</v>
      </c>
      <c r="AO4" s="75" t="n">
        <f aca="false">SUBTOTAL(109,AO$15:INDEX(AO:AO,COUNTA($B:$B)+14-COUNTA($B$1:$B$14)))</f>
        <v>0</v>
      </c>
      <c r="AP4" s="81" t="n">
        <f aca="false">SUBTOTAL(109,AP$15:INDEX(AP:AP,COUNTA($B:$B)+14-COUNTA($B$1:$B$14)))</f>
        <v>0</v>
      </c>
      <c r="AQ4" s="5" t="n">
        <f aca="false">SUBTOTAL(109,AQ$15:INDEX(AQ:AQ,COUNTA($B:$B)+14-COUNTA($B$1:$B$14)))</f>
        <v>0</v>
      </c>
      <c r="AR4" s="78" t="str">
        <f aca="false">IF(SUM($AJ4)=0,"",SUM($AQ4)/$AJ4)</f>
        <v/>
      </c>
      <c r="AS4" s="80"/>
      <c r="AT4" s="78"/>
      <c r="AU4" s="75" t="n">
        <f aca="false">SUBTOTAL(109,AU$15:INDEX(AU:AU,COUNTA($B:$B)+14-COUNTA($B$1:$B$14)))</f>
        <v>0</v>
      </c>
      <c r="AV4" s="75" t="n">
        <f aca="false">SUBTOTAL(109,AV$15:INDEX(AV:AV,COUNTA($B:$B)+14-COUNTA($B$1:$B$14)))</f>
        <v>0</v>
      </c>
      <c r="AW4" s="78" t="str">
        <f aca="false">IF(SUM($AV4)=0,"",SUM($AX4)/$AV4)</f>
        <v/>
      </c>
      <c r="AX4" s="82" t="n">
        <f aca="false">SUBTOTAL(109,AX$15:INDEX(AX:AX,COUNTA($B:$B)+14-COUNTA($B$1:$B$14)))</f>
        <v>0</v>
      </c>
      <c r="AY4" s="83" t="str">
        <f aca="false">IF(SUM($AV4)=0,"",(SUM($AZ4)-SUM($O4))/$AV4)</f>
        <v/>
      </c>
      <c r="AZ4" s="75" t="n">
        <f aca="false">SUBTOTAL(109,AZ$15:INDEX(AZ:AZ,COUNTA($B:$B)+14-COUNTA($B$1:$B$14)))</f>
        <v>0</v>
      </c>
      <c r="BA4" s="84" t="str">
        <f aca="false">IF(SUM($AZ4)=0,"",SUM($BB4)/$AZ4)</f>
        <v/>
      </c>
      <c r="BB4" s="82" t="n">
        <f aca="false">SUBTOTAL(109,BB$15:INDEX(BB:BB,COUNTA($B:$B)+14-COUNTA($B$1:$B$14)))</f>
        <v>0</v>
      </c>
      <c r="BC4" s="75" t="n">
        <f aca="false">SUBTOTAL(109,BC$15:INDEX(BC:BC,COUNTA($B:$B)+14-COUNTA($B$1:$B$14)))</f>
        <v>0</v>
      </c>
      <c r="BD4" s="83" t="str">
        <f aca="false">IF(SUM($BB4)=0,"",SUM($BE4)/$BB4)</f>
        <v/>
      </c>
      <c r="BE4" s="82" t="n">
        <f aca="false">SUBTOTAL(109,BE$15:INDEX(BE:BE,COUNTA($B:$B)+14-COUNTA($B$1:$B$14)))</f>
        <v>0</v>
      </c>
      <c r="BF4" s="82" t="n">
        <f aca="false">SUBTOTAL(109,BF$15:INDEX(BF:BF,COUNTA($B:$B)+14-COUNTA($B$1:$B$14)))</f>
        <v>0</v>
      </c>
      <c r="BG4" s="80" t="str">
        <f aca="false">IF(SUM($BH4)=0,"",SUM($AX4)/$BH4)</f>
        <v/>
      </c>
      <c r="BH4" s="82" t="n">
        <f aca="false">SUBTOTAL(109,BH$15:INDEX(BH:BH,COUNTA($B:$B)+14-COUNTA($B$1:$B$14)))</f>
        <v>0</v>
      </c>
    </row>
    <row r="5" customFormat="false" ht="12.8" hidden="false" customHeight="false" outlineLevel="0" collapsed="false">
      <c r="A5" s="0" t="s">
        <v>181</v>
      </c>
      <c r="B5" s="9" t="s">
        <v>181</v>
      </c>
      <c r="C5" s="9" t="s">
        <v>181</v>
      </c>
      <c r="D5" s="9" t="s">
        <v>181</v>
      </c>
      <c r="E5" s="0" t="s">
        <v>181</v>
      </c>
      <c r="F5" s="85" t="s">
        <v>181</v>
      </c>
      <c r="G5" s="85" t="s">
        <v>181</v>
      </c>
      <c r="H5" s="10" t="s">
        <v>289</v>
      </c>
      <c r="I5" s="10" t="s">
        <v>289</v>
      </c>
      <c r="J5" s="10" t="s">
        <v>289</v>
      </c>
      <c r="K5" s="10" t="s">
        <v>289</v>
      </c>
      <c r="L5" s="85" t="s">
        <v>181</v>
      </c>
      <c r="M5" s="10" t="s">
        <v>289</v>
      </c>
      <c r="N5" s="10" t="s">
        <v>289</v>
      </c>
      <c r="O5" s="10" t="s">
        <v>181</v>
      </c>
      <c r="P5" s="10" t="s">
        <v>289</v>
      </c>
      <c r="Q5" s="10" t="s">
        <v>289</v>
      </c>
      <c r="R5" s="10" t="s">
        <v>181</v>
      </c>
      <c r="S5" s="85" t="s">
        <v>290</v>
      </c>
      <c r="T5" s="10" t="s">
        <v>182</v>
      </c>
      <c r="U5" s="10" t="s">
        <v>182</v>
      </c>
      <c r="V5" s="10" t="s">
        <v>181</v>
      </c>
      <c r="W5" s="86" t="s">
        <v>182</v>
      </c>
      <c r="X5" s="10" t="s">
        <v>290</v>
      </c>
      <c r="Y5" s="87" t="s">
        <v>181</v>
      </c>
      <c r="Z5" s="10" t="s">
        <v>290</v>
      </c>
      <c r="AA5" s="88" t="s">
        <v>181</v>
      </c>
      <c r="AB5" s="87" t="s">
        <v>181</v>
      </c>
      <c r="AC5" s="89" t="s">
        <v>181</v>
      </c>
      <c r="AD5" s="88" t="s">
        <v>181</v>
      </c>
      <c r="AE5" s="87" t="s">
        <v>181</v>
      </c>
      <c r="AF5" s="10" t="s">
        <v>290</v>
      </c>
      <c r="AG5" s="87" t="s">
        <v>181</v>
      </c>
      <c r="AH5" s="90" t="s">
        <v>181</v>
      </c>
      <c r="AI5" s="91" t="s">
        <v>181</v>
      </c>
      <c r="AJ5" s="10" t="s">
        <v>182</v>
      </c>
      <c r="AK5" s="10" t="s">
        <v>181</v>
      </c>
      <c r="AL5" s="92" t="s">
        <v>181</v>
      </c>
      <c r="AM5" s="10" t="s">
        <v>181</v>
      </c>
      <c r="AN5" s="10" t="s">
        <v>181</v>
      </c>
      <c r="AO5" s="10" t="s">
        <v>181</v>
      </c>
      <c r="AP5" s="81" t="s">
        <v>289</v>
      </c>
      <c r="AQ5" s="5" t="s">
        <v>290</v>
      </c>
      <c r="AR5" s="88" t="s">
        <v>181</v>
      </c>
      <c r="AS5" s="92" t="s">
        <v>181</v>
      </c>
      <c r="AT5" s="88" t="s">
        <v>181</v>
      </c>
      <c r="AU5" s="10" t="s">
        <v>181</v>
      </c>
      <c r="AV5" s="10" t="s">
        <v>181</v>
      </c>
      <c r="AW5" s="87" t="s">
        <v>181</v>
      </c>
      <c r="AX5" s="5" t="s">
        <v>289</v>
      </c>
      <c r="AY5" s="92" t="s">
        <v>181</v>
      </c>
      <c r="AZ5" s="91" t="s">
        <v>181</v>
      </c>
      <c r="BA5" s="88" t="s">
        <v>181</v>
      </c>
      <c r="BB5" s="5" t="s">
        <v>289</v>
      </c>
      <c r="BC5" s="91" t="s">
        <v>181</v>
      </c>
      <c r="BD5" s="92" t="s">
        <v>181</v>
      </c>
      <c r="BE5" s="5" t="s">
        <v>289</v>
      </c>
      <c r="BF5" s="5" t="s">
        <v>290</v>
      </c>
      <c r="BG5" s="92" t="s">
        <v>181</v>
      </c>
      <c r="BH5" s="5" t="s">
        <v>181</v>
      </c>
    </row>
    <row r="6" customFormat="false" ht="12.8" hidden="false" customHeight="false" outlineLevel="0" collapsed="false">
      <c r="A6" s="0" t="s">
        <v>183</v>
      </c>
      <c r="B6" s="9" t="s">
        <v>183</v>
      </c>
      <c r="C6" s="9" t="s">
        <v>183</v>
      </c>
      <c r="D6" s="9" t="s">
        <v>183</v>
      </c>
      <c r="E6" s="0" t="s">
        <v>183</v>
      </c>
      <c r="F6" s="85" t="s">
        <v>291</v>
      </c>
      <c r="G6" s="85" t="s">
        <v>292</v>
      </c>
      <c r="H6" s="10" t="s">
        <v>184</v>
      </c>
      <c r="I6" s="10" t="s">
        <v>184</v>
      </c>
      <c r="J6" s="10" t="s">
        <v>184</v>
      </c>
      <c r="K6" s="10" t="s">
        <v>184</v>
      </c>
      <c r="L6" s="85" t="s">
        <v>292</v>
      </c>
      <c r="M6" s="10" t="s">
        <v>184</v>
      </c>
      <c r="N6" s="10" t="s">
        <v>184</v>
      </c>
      <c r="O6" s="10" t="s">
        <v>291</v>
      </c>
      <c r="P6" s="10" t="s">
        <v>184</v>
      </c>
      <c r="Q6" s="10" t="s">
        <v>184</v>
      </c>
      <c r="R6" s="10" t="s">
        <v>186</v>
      </c>
      <c r="S6" s="85" t="s">
        <v>293</v>
      </c>
      <c r="T6" s="10" t="s">
        <v>185</v>
      </c>
      <c r="U6" s="10" t="s">
        <v>185</v>
      </c>
      <c r="V6" s="10" t="s">
        <v>291</v>
      </c>
      <c r="W6" s="86" t="s">
        <v>185</v>
      </c>
      <c r="X6" s="10" t="s">
        <v>185</v>
      </c>
      <c r="Y6" s="87" t="s">
        <v>186</v>
      </c>
      <c r="Z6" s="10" t="s">
        <v>185</v>
      </c>
      <c r="AA6" s="88" t="s">
        <v>186</v>
      </c>
      <c r="AB6" s="87" t="s">
        <v>186</v>
      </c>
      <c r="AC6" s="89" t="s">
        <v>291</v>
      </c>
      <c r="AD6" s="88" t="s">
        <v>186</v>
      </c>
      <c r="AE6" s="87" t="s">
        <v>186</v>
      </c>
      <c r="AF6" s="10" t="s">
        <v>185</v>
      </c>
      <c r="AG6" s="87" t="s">
        <v>186</v>
      </c>
      <c r="AH6" s="90" t="s">
        <v>186</v>
      </c>
      <c r="AI6" s="91" t="s">
        <v>186</v>
      </c>
      <c r="AJ6" s="10" t="s">
        <v>185</v>
      </c>
      <c r="AK6" s="10" t="s">
        <v>291</v>
      </c>
      <c r="AL6" s="92" t="s">
        <v>291</v>
      </c>
      <c r="AM6" s="10" t="s">
        <v>186</v>
      </c>
      <c r="AN6" s="10" t="s">
        <v>186</v>
      </c>
      <c r="AO6" s="10" t="s">
        <v>291</v>
      </c>
      <c r="AP6" s="81" t="s">
        <v>185</v>
      </c>
      <c r="AQ6" s="5" t="s">
        <v>185</v>
      </c>
      <c r="AR6" s="88" t="s">
        <v>186</v>
      </c>
      <c r="AS6" s="92" t="s">
        <v>291</v>
      </c>
      <c r="AT6" s="88" t="s">
        <v>291</v>
      </c>
      <c r="AU6" s="10" t="s">
        <v>186</v>
      </c>
      <c r="AV6" s="10" t="s">
        <v>186</v>
      </c>
      <c r="AW6" s="87" t="s">
        <v>291</v>
      </c>
      <c r="AX6" s="5" t="s">
        <v>185</v>
      </c>
      <c r="AY6" s="92" t="s">
        <v>291</v>
      </c>
      <c r="AZ6" s="91" t="s">
        <v>186</v>
      </c>
      <c r="BA6" s="88" t="s">
        <v>291</v>
      </c>
      <c r="BB6" s="5" t="s">
        <v>185</v>
      </c>
      <c r="BC6" s="91" t="s">
        <v>291</v>
      </c>
      <c r="BD6" s="92" t="s">
        <v>291</v>
      </c>
      <c r="BE6" s="5" t="s">
        <v>185</v>
      </c>
      <c r="BF6" s="5" t="s">
        <v>185</v>
      </c>
      <c r="BG6" s="92" t="s">
        <v>291</v>
      </c>
      <c r="BH6" s="5" t="s">
        <v>186</v>
      </c>
    </row>
    <row r="7" customFormat="false" ht="12.8" hidden="false" customHeight="false" outlineLevel="0" collapsed="false">
      <c r="A7" s="0" t="s">
        <v>187</v>
      </c>
      <c r="B7" s="9" t="s">
        <v>187</v>
      </c>
      <c r="C7" s="9" t="s">
        <v>187</v>
      </c>
      <c r="D7" s="9" t="s">
        <v>187</v>
      </c>
      <c r="E7" s="0" t="s">
        <v>187</v>
      </c>
      <c r="F7" s="85" t="s">
        <v>188</v>
      </c>
      <c r="G7" s="85" t="s">
        <v>188</v>
      </c>
      <c r="H7" s="10" t="s">
        <v>188</v>
      </c>
      <c r="I7" s="10" t="s">
        <v>188</v>
      </c>
      <c r="J7" s="10" t="s">
        <v>188</v>
      </c>
      <c r="K7" s="10" t="s">
        <v>188</v>
      </c>
      <c r="L7" s="85" t="s">
        <v>188</v>
      </c>
      <c r="M7" s="10" t="s">
        <v>188</v>
      </c>
      <c r="N7" s="10" t="s">
        <v>188</v>
      </c>
      <c r="O7" s="10" t="s">
        <v>188</v>
      </c>
      <c r="P7" s="10" t="s">
        <v>188</v>
      </c>
      <c r="Q7" s="10" t="s">
        <v>188</v>
      </c>
      <c r="R7" s="10" t="s">
        <v>188</v>
      </c>
      <c r="S7" s="85" t="s">
        <v>188</v>
      </c>
      <c r="T7" s="10" t="s">
        <v>188</v>
      </c>
      <c r="U7" s="10" t="s">
        <v>188</v>
      </c>
      <c r="V7" s="10" t="s">
        <v>188</v>
      </c>
      <c r="W7" s="86" t="s">
        <v>294</v>
      </c>
      <c r="X7" s="10" t="s">
        <v>188</v>
      </c>
      <c r="Y7" s="87" t="s">
        <v>294</v>
      </c>
      <c r="Z7" s="10" t="s">
        <v>188</v>
      </c>
      <c r="AA7" s="88" t="s">
        <v>294</v>
      </c>
      <c r="AB7" s="87" t="s">
        <v>294</v>
      </c>
      <c r="AC7" s="89" t="s">
        <v>188</v>
      </c>
      <c r="AD7" s="88" t="s">
        <v>188</v>
      </c>
      <c r="AE7" s="87" t="s">
        <v>294</v>
      </c>
      <c r="AF7" s="10" t="s">
        <v>188</v>
      </c>
      <c r="AG7" s="87" t="s">
        <v>294</v>
      </c>
      <c r="AH7" s="90" t="s">
        <v>294</v>
      </c>
      <c r="AI7" s="91" t="s">
        <v>188</v>
      </c>
      <c r="AJ7" s="10" t="s">
        <v>188</v>
      </c>
      <c r="AK7" s="10" t="s">
        <v>188</v>
      </c>
      <c r="AL7" s="92" t="s">
        <v>294</v>
      </c>
      <c r="AM7" s="10" t="s">
        <v>188</v>
      </c>
      <c r="AN7" s="10" t="s">
        <v>188</v>
      </c>
      <c r="AO7" s="10" t="s">
        <v>188</v>
      </c>
      <c r="AP7" s="81" t="s">
        <v>188</v>
      </c>
      <c r="AQ7" s="5" t="s">
        <v>188</v>
      </c>
      <c r="AR7" s="88" t="s">
        <v>294</v>
      </c>
      <c r="AS7" s="92" t="s">
        <v>294</v>
      </c>
      <c r="AT7" s="88" t="s">
        <v>294</v>
      </c>
      <c r="AU7" s="10" t="s">
        <v>188</v>
      </c>
      <c r="AV7" s="10" t="s">
        <v>188</v>
      </c>
      <c r="AW7" s="87" t="s">
        <v>294</v>
      </c>
      <c r="AX7" s="5" t="s">
        <v>188</v>
      </c>
      <c r="AY7" s="92" t="s">
        <v>294</v>
      </c>
      <c r="AZ7" s="91" t="s">
        <v>188</v>
      </c>
      <c r="BA7" s="88" t="s">
        <v>294</v>
      </c>
      <c r="BB7" s="5" t="s">
        <v>188</v>
      </c>
      <c r="BC7" s="91" t="s">
        <v>188</v>
      </c>
      <c r="BD7" s="92" t="s">
        <v>294</v>
      </c>
      <c r="BE7" s="5" t="s">
        <v>188</v>
      </c>
      <c r="BF7" s="5" t="s">
        <v>188</v>
      </c>
      <c r="BG7" s="92" t="s">
        <v>294</v>
      </c>
      <c r="BH7" s="5" t="s">
        <v>188</v>
      </c>
    </row>
    <row r="8" customFormat="false" ht="12.8" hidden="false" customHeight="false" outlineLevel="0" collapsed="false">
      <c r="B8" s="9"/>
      <c r="D8" s="10"/>
      <c r="G8" s="93"/>
      <c r="H8" s="94" t="s">
        <v>295</v>
      </c>
      <c r="I8" s="94" t="s">
        <v>296</v>
      </c>
      <c r="J8" s="94" t="s">
        <v>297</v>
      </c>
      <c r="K8" s="94" t="s">
        <v>298</v>
      </c>
      <c r="L8" s="93"/>
      <c r="M8" s="94" t="s">
        <v>299</v>
      </c>
      <c r="N8" s="94" t="s">
        <v>300</v>
      </c>
      <c r="P8" s="94" t="s">
        <v>301</v>
      </c>
      <c r="Q8" s="94" t="s">
        <v>302</v>
      </c>
      <c r="S8" s="93" t="s">
        <v>27</v>
      </c>
      <c r="T8" s="94" t="s">
        <v>139</v>
      </c>
      <c r="U8" s="94" t="s">
        <v>144</v>
      </c>
      <c r="V8" s="94"/>
      <c r="W8" s="95" t="s">
        <v>142</v>
      </c>
      <c r="X8" s="94" t="s">
        <v>149</v>
      </c>
      <c r="Y8" s="87"/>
      <c r="Z8" s="94" t="s">
        <v>147</v>
      </c>
      <c r="AB8" s="87"/>
      <c r="AC8" s="89"/>
      <c r="AF8" s="94" t="s">
        <v>303</v>
      </c>
      <c r="AH8" s="90"/>
      <c r="AI8" s="91"/>
      <c r="AJ8" s="94" t="s">
        <v>144</v>
      </c>
      <c r="AK8" s="94"/>
      <c r="AP8" s="96" t="s">
        <v>300</v>
      </c>
      <c r="AQ8" s="97" t="s">
        <v>147</v>
      </c>
      <c r="AW8" s="87"/>
      <c r="AX8" s="97" t="s">
        <v>299</v>
      </c>
      <c r="BB8" s="97" t="s">
        <v>301</v>
      </c>
      <c r="BE8" s="97" t="s">
        <v>302</v>
      </c>
      <c r="BF8" s="97" t="s">
        <v>303</v>
      </c>
    </row>
    <row r="9" customFormat="false" ht="12.8" hidden="false" customHeight="false" outlineLevel="0" collapsed="false">
      <c r="B9" s="9"/>
      <c r="D9" s="10"/>
      <c r="G9" s="93"/>
      <c r="H9" s="94" t="s">
        <v>304</v>
      </c>
      <c r="I9" s="94" t="s">
        <v>305</v>
      </c>
      <c r="J9" s="94" t="s">
        <v>306</v>
      </c>
      <c r="K9" s="94" t="s">
        <v>307</v>
      </c>
      <c r="L9" s="93"/>
      <c r="M9" s="94" t="s">
        <v>308</v>
      </c>
      <c r="N9" s="94" t="s">
        <v>309</v>
      </c>
      <c r="P9" s="94" t="s">
        <v>310</v>
      </c>
      <c r="Q9" s="94" t="s">
        <v>311</v>
      </c>
      <c r="S9" s="93"/>
      <c r="T9" s="94"/>
      <c r="U9" s="94"/>
      <c r="V9" s="94"/>
      <c r="W9" s="95"/>
      <c r="X9" s="94"/>
      <c r="Y9" s="87"/>
      <c r="Z9" s="94"/>
      <c r="AB9" s="87"/>
      <c r="AC9" s="89"/>
      <c r="AF9" s="94"/>
      <c r="AH9" s="90"/>
      <c r="AI9" s="91"/>
      <c r="AJ9" s="94"/>
      <c r="AK9" s="94"/>
      <c r="AP9" s="96" t="s">
        <v>309</v>
      </c>
      <c r="AQ9" s="97"/>
      <c r="AW9" s="87"/>
      <c r="AX9" s="97" t="s">
        <v>308</v>
      </c>
      <c r="BB9" s="97" t="s">
        <v>310</v>
      </c>
      <c r="BE9" s="97" t="s">
        <v>311</v>
      </c>
      <c r="BF9" s="97"/>
    </row>
    <row r="10" customFormat="false" ht="12.8" hidden="false" customHeight="false" outlineLevel="0" collapsed="false">
      <c r="B10" s="9"/>
      <c r="D10" s="10"/>
      <c r="G10" s="93"/>
      <c r="H10" s="94" t="s">
        <v>312</v>
      </c>
      <c r="I10" s="94" t="s">
        <v>312</v>
      </c>
      <c r="J10" s="94" t="s">
        <v>313</v>
      </c>
      <c r="K10" s="94" t="s">
        <v>313</v>
      </c>
      <c r="L10" s="93"/>
      <c r="M10" s="94" t="s">
        <v>312</v>
      </c>
      <c r="N10" s="94" t="s">
        <v>312</v>
      </c>
      <c r="P10" s="94" t="s">
        <v>313</v>
      </c>
      <c r="Q10" s="94" t="s">
        <v>313</v>
      </c>
      <c r="R10" s="10"/>
      <c r="S10" s="93" t="s">
        <v>312</v>
      </c>
      <c r="T10" s="94"/>
      <c r="U10" s="94" t="s">
        <v>312</v>
      </c>
      <c r="V10" s="94"/>
      <c r="W10" s="95"/>
      <c r="X10" s="94" t="s">
        <v>312</v>
      </c>
      <c r="Y10" s="87"/>
      <c r="Z10" s="94" t="s">
        <v>312</v>
      </c>
      <c r="AB10" s="87"/>
      <c r="AC10" s="89"/>
      <c r="AF10" s="94" t="s">
        <v>312</v>
      </c>
      <c r="AH10" s="90"/>
      <c r="AI10" s="91"/>
      <c r="AJ10" s="94" t="s">
        <v>312</v>
      </c>
      <c r="AK10" s="94"/>
      <c r="AP10" s="96" t="s">
        <v>312</v>
      </c>
      <c r="AQ10" s="97" t="s">
        <v>312</v>
      </c>
      <c r="AW10" s="87"/>
      <c r="AX10" s="97" t="s">
        <v>312</v>
      </c>
      <c r="BB10" s="97" t="s">
        <v>313</v>
      </c>
      <c r="BE10" s="97" t="s">
        <v>313</v>
      </c>
      <c r="BF10" s="97" t="s">
        <v>312</v>
      </c>
    </row>
    <row r="11" customFormat="false" ht="12.8" hidden="false" customHeight="false" outlineLevel="0" collapsed="false">
      <c r="B11" s="9"/>
      <c r="D11" s="10"/>
      <c r="F11" s="85" t="s">
        <v>314</v>
      </c>
      <c r="G11" s="85" t="s">
        <v>315</v>
      </c>
      <c r="H11" s="10" t="s">
        <v>315</v>
      </c>
      <c r="I11" s="10" t="s">
        <v>315</v>
      </c>
      <c r="J11" s="10" t="s">
        <v>315</v>
      </c>
      <c r="K11" s="10" t="s">
        <v>315</v>
      </c>
      <c r="L11" s="85" t="s">
        <v>315</v>
      </c>
      <c r="M11" s="10" t="s">
        <v>315</v>
      </c>
      <c r="N11" s="10" t="s">
        <v>315</v>
      </c>
      <c r="O11" s="10" t="s">
        <v>315</v>
      </c>
      <c r="P11" s="10" t="s">
        <v>315</v>
      </c>
      <c r="Q11" s="10" t="s">
        <v>315</v>
      </c>
      <c r="R11" s="10" t="s">
        <v>315</v>
      </c>
      <c r="S11" s="85" t="s">
        <v>315</v>
      </c>
      <c r="T11" s="10" t="s">
        <v>315</v>
      </c>
      <c r="U11" s="10" t="s">
        <v>315</v>
      </c>
      <c r="V11" s="10" t="s">
        <v>315</v>
      </c>
      <c r="W11" s="86" t="s">
        <v>315</v>
      </c>
      <c r="X11" s="10" t="s">
        <v>315</v>
      </c>
      <c r="Y11" s="87" t="s">
        <v>315</v>
      </c>
      <c r="Z11" s="10" t="s">
        <v>315</v>
      </c>
      <c r="AA11" s="88" t="s">
        <v>315</v>
      </c>
      <c r="AB11" s="87" t="s">
        <v>315</v>
      </c>
      <c r="AC11" s="89" t="s">
        <v>315</v>
      </c>
      <c r="AD11" s="88" t="s">
        <v>315</v>
      </c>
      <c r="AE11" s="87" t="s">
        <v>315</v>
      </c>
      <c r="AF11" s="10" t="s">
        <v>315</v>
      </c>
      <c r="AG11" s="87" t="s">
        <v>315</v>
      </c>
      <c r="AH11" s="90" t="s">
        <v>315</v>
      </c>
      <c r="AI11" s="91" t="s">
        <v>315</v>
      </c>
      <c r="AJ11" s="10" t="s">
        <v>315</v>
      </c>
      <c r="AK11" s="10" t="s">
        <v>315</v>
      </c>
      <c r="AL11" s="92" t="s">
        <v>314</v>
      </c>
      <c r="AM11" s="10" t="s">
        <v>314</v>
      </c>
      <c r="AN11" s="10" t="s">
        <v>316</v>
      </c>
      <c r="AO11" s="10" t="s">
        <v>315</v>
      </c>
      <c r="AP11" s="81" t="s">
        <v>315</v>
      </c>
      <c r="AQ11" s="5" t="s">
        <v>315</v>
      </c>
      <c r="AR11" s="88" t="s">
        <v>315</v>
      </c>
      <c r="AS11" s="92" t="s">
        <v>314</v>
      </c>
      <c r="AT11" s="88" t="s">
        <v>314</v>
      </c>
      <c r="AU11" s="10" t="s">
        <v>315</v>
      </c>
      <c r="AV11" s="10" t="s">
        <v>315</v>
      </c>
      <c r="AW11" s="87" t="s">
        <v>314</v>
      </c>
      <c r="AX11" s="5" t="s">
        <v>315</v>
      </c>
      <c r="AY11" s="92" t="s">
        <v>314</v>
      </c>
      <c r="AZ11" s="91" t="s">
        <v>315</v>
      </c>
      <c r="BA11" s="88" t="s">
        <v>314</v>
      </c>
      <c r="BB11" s="5" t="s">
        <v>315</v>
      </c>
      <c r="BC11" s="91" t="s">
        <v>315</v>
      </c>
      <c r="BD11" s="92" t="s">
        <v>314</v>
      </c>
      <c r="BE11" s="5" t="s">
        <v>315</v>
      </c>
      <c r="BF11" s="5" t="s">
        <v>315</v>
      </c>
      <c r="BG11" s="92" t="s">
        <v>314</v>
      </c>
      <c r="BH11" s="5" t="s">
        <v>315</v>
      </c>
    </row>
    <row r="12" customFormat="false" ht="12.8" hidden="false" customHeight="false" outlineLevel="0" collapsed="false">
      <c r="B12" s="9"/>
      <c r="D12" s="10"/>
      <c r="F12" s="85" t="s">
        <v>317</v>
      </c>
      <c r="G12" s="85" t="s">
        <v>317</v>
      </c>
      <c r="H12" s="10" t="s">
        <v>317</v>
      </c>
      <c r="I12" s="10" t="s">
        <v>317</v>
      </c>
      <c r="J12" s="10" t="s">
        <v>317</v>
      </c>
      <c r="K12" s="10" t="s">
        <v>317</v>
      </c>
      <c r="L12" s="85" t="s">
        <v>317</v>
      </c>
      <c r="M12" s="10" t="s">
        <v>317</v>
      </c>
      <c r="N12" s="10" t="s">
        <v>317</v>
      </c>
      <c r="O12" s="10" t="s">
        <v>317</v>
      </c>
      <c r="P12" s="10" t="s">
        <v>317</v>
      </c>
      <c r="Q12" s="10" t="s">
        <v>317</v>
      </c>
      <c r="R12" s="10" t="s">
        <v>317</v>
      </c>
      <c r="S12" s="85" t="s">
        <v>317</v>
      </c>
      <c r="T12" s="10" t="s">
        <v>317</v>
      </c>
      <c r="U12" s="10" t="s">
        <v>317</v>
      </c>
      <c r="V12" s="10" t="s">
        <v>317</v>
      </c>
      <c r="W12" s="86" t="s">
        <v>317</v>
      </c>
      <c r="X12" s="10" t="s">
        <v>317</v>
      </c>
      <c r="Y12" s="87" t="s">
        <v>317</v>
      </c>
      <c r="Z12" s="10" t="s">
        <v>317</v>
      </c>
      <c r="AA12" s="88" t="s">
        <v>317</v>
      </c>
      <c r="AB12" s="87" t="s">
        <v>317</v>
      </c>
      <c r="AC12" s="89" t="s">
        <v>317</v>
      </c>
      <c r="AD12" s="88" t="s">
        <v>317</v>
      </c>
      <c r="AE12" s="87" t="s">
        <v>317</v>
      </c>
      <c r="AF12" s="10" t="s">
        <v>317</v>
      </c>
      <c r="AG12" s="87" t="s">
        <v>317</v>
      </c>
      <c r="AH12" s="90" t="s">
        <v>317</v>
      </c>
      <c r="AI12" s="91" t="s">
        <v>317</v>
      </c>
      <c r="AJ12" s="10" t="s">
        <v>317</v>
      </c>
      <c r="AK12" s="10" t="s">
        <v>317</v>
      </c>
      <c r="AL12" s="92" t="s">
        <v>317</v>
      </c>
      <c r="AM12" s="10" t="s">
        <v>317</v>
      </c>
      <c r="AN12" s="10" t="s">
        <v>317</v>
      </c>
      <c r="AO12" s="10" t="s">
        <v>317</v>
      </c>
      <c r="AP12" s="81" t="s">
        <v>317</v>
      </c>
      <c r="AQ12" s="5" t="s">
        <v>317</v>
      </c>
      <c r="AR12" s="88" t="s">
        <v>317</v>
      </c>
      <c r="AS12" s="92" t="s">
        <v>317</v>
      </c>
      <c r="AT12" s="88" t="s">
        <v>317</v>
      </c>
      <c r="AU12" s="10" t="s">
        <v>317</v>
      </c>
      <c r="AV12" s="10" t="s">
        <v>317</v>
      </c>
      <c r="AW12" s="87" t="s">
        <v>317</v>
      </c>
      <c r="AX12" s="5" t="s">
        <v>317</v>
      </c>
      <c r="AY12" s="92" t="s">
        <v>317</v>
      </c>
      <c r="AZ12" s="91" t="s">
        <v>317</v>
      </c>
      <c r="BA12" s="88" t="s">
        <v>317</v>
      </c>
      <c r="BB12" s="5" t="s">
        <v>317</v>
      </c>
      <c r="BC12" s="91" t="s">
        <v>317</v>
      </c>
      <c r="BD12" s="92" t="s">
        <v>317</v>
      </c>
      <c r="BE12" s="5" t="s">
        <v>317</v>
      </c>
      <c r="BF12" s="5" t="s">
        <v>317</v>
      </c>
      <c r="BG12" s="92" t="s">
        <v>317</v>
      </c>
      <c r="BH12" s="5" t="s">
        <v>317</v>
      </c>
    </row>
    <row r="13" customFormat="false" ht="12.8" hidden="false" customHeight="false" outlineLevel="0" collapsed="false">
      <c r="B13" s="9"/>
      <c r="D13" s="10"/>
      <c r="H13" s="10"/>
      <c r="I13" s="10"/>
      <c r="M13" s="10"/>
      <c r="N13" s="10"/>
      <c r="Y13" s="87"/>
      <c r="AB13" s="87"/>
      <c r="AC13" s="89"/>
      <c r="AH13" s="90"/>
      <c r="AI13" s="91"/>
      <c r="AW13" s="87"/>
      <c r="AX13" s="5"/>
      <c r="BE13" s="5"/>
    </row>
    <row r="14" customFormat="false" ht="15" hidden="false" customHeight="false" outlineLevel="0" collapsed="false">
      <c r="A14" s="98" t="s">
        <v>176</v>
      </c>
      <c r="B14" s="99" t="s">
        <v>190</v>
      </c>
      <c r="C14" s="33" t="s">
        <v>318</v>
      </c>
      <c r="D14" s="33" t="s">
        <v>319</v>
      </c>
      <c r="E14" s="100" t="s">
        <v>20</v>
      </c>
      <c r="F14" s="101" t="s">
        <v>320</v>
      </c>
      <c r="G14" s="101" t="s">
        <v>321</v>
      </c>
      <c r="H14" s="35" t="s">
        <v>322</v>
      </c>
      <c r="I14" s="35" t="s">
        <v>323</v>
      </c>
      <c r="J14" s="36" t="s">
        <v>324</v>
      </c>
      <c r="K14" s="35" t="s">
        <v>325</v>
      </c>
      <c r="L14" s="101" t="s">
        <v>326</v>
      </c>
      <c r="M14" s="35" t="s">
        <v>327</v>
      </c>
      <c r="N14" s="35" t="s">
        <v>328</v>
      </c>
      <c r="O14" s="36" t="s">
        <v>329</v>
      </c>
      <c r="P14" s="36" t="s">
        <v>330</v>
      </c>
      <c r="Q14" s="35" t="s">
        <v>331</v>
      </c>
      <c r="R14" s="35" t="s">
        <v>332</v>
      </c>
      <c r="S14" s="101" t="s">
        <v>26</v>
      </c>
      <c r="T14" s="36" t="s">
        <v>138</v>
      </c>
      <c r="U14" s="36" t="s">
        <v>333</v>
      </c>
      <c r="V14" s="36" t="s">
        <v>150</v>
      </c>
      <c r="W14" s="102" t="s">
        <v>141</v>
      </c>
      <c r="X14" s="36" t="s">
        <v>148</v>
      </c>
      <c r="Y14" s="103" t="s">
        <v>334</v>
      </c>
      <c r="Z14" s="36" t="s">
        <v>146</v>
      </c>
      <c r="AA14" s="103" t="s">
        <v>145</v>
      </c>
      <c r="AB14" s="103" t="s">
        <v>335</v>
      </c>
      <c r="AC14" s="104" t="s">
        <v>151</v>
      </c>
      <c r="AD14" s="103" t="s">
        <v>336</v>
      </c>
      <c r="AE14" s="103" t="s">
        <v>337</v>
      </c>
      <c r="AF14" s="36" t="s">
        <v>338</v>
      </c>
      <c r="AG14" s="103" t="s">
        <v>339</v>
      </c>
      <c r="AH14" s="102" t="s">
        <v>169</v>
      </c>
      <c r="AI14" s="36" t="s">
        <v>170</v>
      </c>
      <c r="AJ14" s="36" t="s">
        <v>166</v>
      </c>
      <c r="AK14" s="36" t="s">
        <v>168</v>
      </c>
      <c r="AL14" s="105" t="s">
        <v>340</v>
      </c>
      <c r="AM14" s="36" t="s">
        <v>341</v>
      </c>
      <c r="AN14" s="36" t="s">
        <v>342</v>
      </c>
      <c r="AO14" s="36" t="s">
        <v>343</v>
      </c>
      <c r="AP14" s="106" t="s">
        <v>344</v>
      </c>
      <c r="AQ14" s="107" t="s">
        <v>345</v>
      </c>
      <c r="AR14" s="103" t="s">
        <v>346</v>
      </c>
      <c r="AS14" s="105" t="s">
        <v>347</v>
      </c>
      <c r="AT14" s="103" t="s">
        <v>348</v>
      </c>
      <c r="AU14" s="36" t="s">
        <v>349</v>
      </c>
      <c r="AV14" s="36" t="s">
        <v>350</v>
      </c>
      <c r="AW14" s="108" t="s">
        <v>351</v>
      </c>
      <c r="AX14" s="35" t="s">
        <v>352</v>
      </c>
      <c r="AY14" s="109" t="s">
        <v>353</v>
      </c>
      <c r="AZ14" s="110" t="s">
        <v>354</v>
      </c>
      <c r="BA14" s="108" t="s">
        <v>355</v>
      </c>
      <c r="BB14" s="35" t="s">
        <v>356</v>
      </c>
      <c r="BC14" s="110" t="s">
        <v>357</v>
      </c>
      <c r="BD14" s="111" t="s">
        <v>358</v>
      </c>
      <c r="BE14" s="35" t="s">
        <v>359</v>
      </c>
      <c r="BF14" s="35" t="s">
        <v>360</v>
      </c>
      <c r="BG14" s="111" t="s">
        <v>361</v>
      </c>
      <c r="BH14" s="35" t="s">
        <v>362</v>
      </c>
    </row>
    <row r="15" customFormat="false" ht="15" hidden="false" customHeight="false" outlineLevel="0" collapsed="false">
      <c r="A15" s="0" t="str">
        <f aca="false">INDEX(Prioritization!$D:$D,MATCH($B15,Prioritization!$A:$A,0))</f>
        <v>Military</v>
      </c>
      <c r="B15" s="9" t="s">
        <v>194</v>
      </c>
      <c r="C15" s="0" t="s">
        <v>316</v>
      </c>
      <c r="D15" s="9" t="s">
        <v>30</v>
      </c>
      <c r="E15" s="0" t="str">
        <f aca="false">$B15&amp;"|"&amp;$C15&amp;"|"&amp;$D15</f>
        <v>_Military Malawi [PQZgU9dagaH]|&lt;01|Female</v>
      </c>
      <c r="F15" s="85"/>
      <c r="G15" s="85" t="n">
        <v>1</v>
      </c>
      <c r="H15" s="91" t="n">
        <v>1</v>
      </c>
      <c r="I15" s="91" t="n">
        <v>0</v>
      </c>
      <c r="J15" s="10" t="n">
        <v>0.533919342560694</v>
      </c>
      <c r="K15" s="91" t="n">
        <v>0.0100906568113714</v>
      </c>
      <c r="L15" s="85"/>
      <c r="M15" s="91" t="n">
        <v>1</v>
      </c>
      <c r="N15" s="91" t="n">
        <v>1</v>
      </c>
      <c r="O15" s="91" t="n">
        <f aca="false">IFERROR(1/(1/MAX($I15,$N15)),"")</f>
        <v>1</v>
      </c>
      <c r="P15" s="10" t="n">
        <v>0</v>
      </c>
      <c r="Q15" s="91" t="n">
        <v>0</v>
      </c>
      <c r="R15" s="91" t="n">
        <f aca="false">IF(AND(SUM($I15)=0,SUM($O15)=0),"",SUM($O15)-$I15)</f>
        <v>1</v>
      </c>
      <c r="S15" s="112" t="str">
        <f aca="false">IF(LEFT($B15,4)="_Mil","",_xlfn.IFNA(ROUND(INDEX(Spectrum!$N:$N,MATCH(RIGHT($B15,13)&amp;"|"&amp;$C15&amp;"|"&amp;$D15&amp;"|"&amp;S$14&amp;"|"&amp;"CY2022Q4",Spectrum!$R:$R,0)),0),""))</f>
        <v/>
      </c>
      <c r="T15" s="5" t="str">
        <f aca="false">IF(LEFT($B15,4)="_Mil","",_xlfn.IFNA(ROUND(INDEX(Spectrum!$N:$N,MATCH(RIGHT($B15,13)&amp;"|"&amp;$C15&amp;"|"&amp;$D15&amp;"|"&amp;T$14&amp;"|"&amp;"CY2023Q3",Spectrum!$R:$R,0)),0),""))</f>
        <v/>
      </c>
      <c r="U15" s="5" t="str">
        <f aca="false">IF(LEFT($B15,4)="_Mil","",_xlfn.IFNA(ROUND(INDEX(Spectrum!$N:$N,MATCH(RIGHT($B15,13)&amp;"|"&amp;$C15&amp;"|"&amp;$D15&amp;"|"&amp;U$14&amp;"|"&amp;"CY2023Q3",Spectrum!$R:$R,0)),0),""))</f>
        <v/>
      </c>
      <c r="V15" s="91" t="str">
        <f aca="false">IF(LEFT($B15,4)="_Mil","",_xlfn.IFNA(ROUND(INDEX(Spectrum!$N:$N,MATCH(RIGHT($B15,13)&amp;"|"&amp;$C15&amp;"|"&amp;$D15&amp;"|"&amp;V$14&amp;"|"&amp;"CY2023Q3",Spectrum!$R:$R,0)),0),""))</f>
        <v/>
      </c>
      <c r="W15" s="113" t="str">
        <f aca="false">IF(LEFT($B15,4)="_Mil","",_xlfn.IFNA(INDEX(Spectrum!$N:$N,MATCH(RIGHT($B15,13)&amp;"|"&amp;$C15&amp;"|"&amp;$D15&amp;"|"&amp;W$14&amp;"|"&amp;"CY2023Q3",Spectrum!$R:$R,0)),""))</f>
        <v/>
      </c>
      <c r="X15" s="5" t="str">
        <f aca="false">IF(LEFT($B15,4)="_Mil","",_xlfn.IFNA(ROUND(INDEX(Spectrum!$N:$N,MATCH(RIGHT($B15,13)&amp;"|"&amp;$C15&amp;"|"&amp;$D15&amp;"|"&amp;X$14&amp;"|"&amp;"CY2023Q3",Spectrum!$R:$R,0)),0),""))</f>
        <v/>
      </c>
      <c r="Y15" s="87" t="str">
        <f aca="false">IF(OR(SUM($U15)=0,LEFT($B15,4)="_Mil"),"",SUM($X15)/$U15)</f>
        <v/>
      </c>
      <c r="Z15" s="39" t="str">
        <f aca="false">IF(LEFT($B15,4)="_Mil","",_xlfn.IFNA(ROUND(INDEX(Spectrum!$N:$N,MATCH(RIGHT($B15,13)&amp;"|"&amp;$C15&amp;"|"&amp;$D15&amp;"|"&amp;Z$14&amp;"|"&amp;"CY2023Q3",Spectrum!$R:$R,0)),0),""))</f>
        <v/>
      </c>
      <c r="AA15" s="87" t="str">
        <f aca="false">IF(LEFT($B15,4)="_Mil","",IFERROR(1/(1/INDEX(Spectrum!$N:$N,MATCH(RIGHT($B15,13)&amp;"|"&amp;$C15&amp;"|"&amp;$D15&amp;"|"&amp;AA$14&amp;"|"&amp;"CY2023Q3",Spectrum!$R:$R,0))),IF(SUM($U15)=0,"",SUM($Z15)/$U15)))</f>
        <v/>
      </c>
      <c r="AB15" s="87" t="str">
        <f aca="false">IF(OR(LEFT($B15,4)="_Mil",SUM($X15)=0),"",SUM($Z15)/$X15)</f>
        <v/>
      </c>
      <c r="AC15" s="91" t="str">
        <f aca="false">IF(LEFT($B15,4)="_Mil","",_xlfn.IFNA(ROUND(INDEX(Spectrum!$N:$N,MATCH(RIGHT($B15,13)&amp;"|"&amp;$C15&amp;"|"&amp;$D15&amp;"|"&amp;AC$14&amp;"|"&amp;"CY2023Q3",Spectrum!$R:$R,0)),0),""))</f>
        <v/>
      </c>
      <c r="AD15" s="91" t="str">
        <f aca="false">IF(LEFT($B15,4)="_Mil","",_xlfn.IFNA(ROUND(INDEX(Spectrum!$N:$N,MATCH(RIGHT($B15,13)&amp;"|"&amp;$C15&amp;"|"&amp;$D15&amp;"|"&amp;AD$14&amp;"|"&amp;"CY2023Q3",Spectrum!$R:$R,0)),0),""))</f>
        <v/>
      </c>
      <c r="AE15" s="87" t="str">
        <f aca="false">IF(OR(LEFT($B15,4)="_Mil",SUM($Z15)=0),"",SUM($AD15)/$Z15)</f>
        <v/>
      </c>
      <c r="AF15" s="5" t="str">
        <f aca="false">IF(LEFT($B15,4)="_Mil","",_xlfn.IFNA(ROUND(INDEX(Spectrum!$N:$N,MATCH(RIGHT($B15,13)&amp;"|"&amp;$C15&amp;"|"&amp;$D15&amp;"|"&amp;AF$14&amp;"|"&amp;"CY2023Q3",Spectrum!$R:$R,0)),0),""))</f>
        <v/>
      </c>
      <c r="AG15" s="87" t="str">
        <f aca="false">IF(OR(LEFT($B15,4)="_Mil",SUM($AD15)=0),"",SUM($AF15)/$AD15)</f>
        <v/>
      </c>
      <c r="AH15" s="90" t="str">
        <f aca="false">IF(LEFT($B15,4)="_Mil","",_xlfn.IFNA(INDEX(Spectrum!$N:$N,MATCH(RIGHT($B15,13)&amp;"|"&amp;$C15&amp;"|"&amp;$D15&amp;"|"&amp;AH$14&amp;"|"&amp;"CY2023Q3",Spectrum!$R:$R,0)),""))</f>
        <v/>
      </c>
      <c r="AI15" s="91" t="str">
        <f aca="false">IF(LEFT($B15,4)="_Mil","",_xlfn.IFNA(ROUND(INDEX(Spectrum!$N:$N,MATCH(RIGHT($B15,13)&amp;"|"&amp;$C15&amp;"|"&amp;$D15&amp;"|"&amp;AI$14&amp;"|"&amp;"CY2023Q3",Spectrum!$R:$R,0)),0),""))</f>
        <v/>
      </c>
      <c r="AJ15" s="5" t="str">
        <f aca="false">IF(LEFT($B15,4)="_Mil","",_xlfn.IFNA(ROUND(INDEX(Spectrum!$N:$N,MATCH(RIGHT($B15,13)&amp;"|"&amp;$C15&amp;"|"&amp;$D15&amp;"|"&amp;AI$14&amp;"|"&amp;"CY2023Q3",Spectrum!$R:$R,0)),0),SUM($U15)+SUM($AI15)))</f>
        <v/>
      </c>
      <c r="AK15" s="91" t="str">
        <f aca="false">IF(LEFT($B15,4)="_Mil","",_xlfn.IFNA(ROUND(INDEX(Spectrum!$N:$N,MATCH(RIGHT($B15,13)&amp;"|"&amp;$C15&amp;"|"&amp;$D15&amp;"|"&amp;AK$14&amp;"|"&amp;"CY2023Q3",Spectrum!$R:$R,0)),0),""))</f>
        <v/>
      </c>
      <c r="AL15" s="114" t="str">
        <f aca="false">IF(OR(LEFT($B15,4)="_Mil",$C15="&lt;01"),"",MAX(SUM($AA15),90%))</f>
        <v/>
      </c>
      <c r="AM15" s="91" t="str">
        <f aca="false">IF(OR(LEFT($B15,4)="_Mil",$C15="&lt;01"),"",ROUND(SUM($AJ15)*SUM($AL15),0))</f>
        <v/>
      </c>
      <c r="AN15" s="91" t="n">
        <f aca="false">IF($C15="&lt;01",ROUND(INDEX(EID!$P:$P,MATCH($B15,EID!$B:$B,0))/2,0),"")</f>
        <v>0</v>
      </c>
      <c r="AO15" s="91" t="n">
        <f aca="false">IF($C15="&lt;01",SUM($AN15),ROUND(SUM($AM15)*SUM($O15)/IF(SUM($Z15)=0,1,$Z15),0))</f>
        <v>0</v>
      </c>
      <c r="AP15" s="81" t="n">
        <f aca="false">IF(OR($F15="",$C15="&lt;01"),$AO15,$F15)</f>
        <v>0</v>
      </c>
      <c r="AQ15" s="5" t="str">
        <f aca="false">IF(LEFT($B15,4)="_Mil","",IF(SUM($AP15)=0,SUM($Z15),IF(OR(SUM($Z15)=0,SUM($O15)=0),MAX($AP15,$Z15),$AP15*$Z15/$O15)))</f>
        <v/>
      </c>
      <c r="AR15" s="87" t="str">
        <f aca="false">IF(OR(LEFT($B15,4)="_Mil",SUM($AJ15)=0),"",SUM($AQ15)/$AJ15)</f>
        <v/>
      </c>
      <c r="AS15" s="114" t="str">
        <f aca="false">IF($C15="&lt;01","",98%)</f>
        <v/>
      </c>
      <c r="AT15" s="87" t="str">
        <f aca="false">IF($C15="&lt;01","",98%)</f>
        <v/>
      </c>
      <c r="AU15" s="91" t="str">
        <f aca="false">IF($C15="&lt;01","",SUM($AP15)-SUM($O15))</f>
        <v/>
      </c>
      <c r="AV15" s="91" t="n">
        <f aca="false">IF($C15="&lt;01",ROUND(INDEX(EID!$N:$N,MATCH($B15,EID!$B:$B,0))/2,0),IF(SUM($AT15)=0,"",ROUND((SUM($AP15)-(SUM($O15)*SUM($AS15)))/$AT15,0)))</f>
        <v>0</v>
      </c>
      <c r="AW15" s="87" t="str">
        <f aca="false">IF($C15="&lt;01","",100%)</f>
        <v/>
      </c>
      <c r="AX15" s="5" t="n">
        <f aca="false">IF($C15="&lt;01",SUM($AV15),ROUND(SUM($AV15)*SUM($AW15),0))</f>
        <v>0</v>
      </c>
      <c r="AY15" s="114" t="str">
        <f aca="false">IF($C15="&lt;01","",70%)</f>
        <v/>
      </c>
      <c r="AZ15" s="91" t="n">
        <f aca="false">IF($C15="&lt;01",ROUND(INDEX(EID!$R:$R,MATCH($B15,EID!$B:$B,0))/2,0),ROUND(SUM($O15)+(SUM($AV15)*$AY15),0))</f>
        <v>0</v>
      </c>
      <c r="BA15" s="87" t="str">
        <f aca="false">IF($C15="&lt;01","",95%)</f>
        <v/>
      </c>
      <c r="BB15" s="5" t="n">
        <f aca="false">IF($C15="&lt;01",ROUND(INDEX(EID!$T:$T,MATCH($B15,EID!$B:$B,0))/2,0),ROUND($AZ15*$BA15,0))</f>
        <v>0</v>
      </c>
      <c r="BC15" s="91" t="str">
        <f aca="false">IF(LEFT($B15,4)="_Mil","",IF(SUM($BB15)=0,SUM($AD15),IF(OR(SUM($AP15)=0,SUM($AQ15)=0),MAX($BB15,$AD15),ROUND($BB15*$AQ15/$AP15,0))))</f>
        <v/>
      </c>
      <c r="BD15" s="114" t="str">
        <f aca="false">IF($C15="&lt;01","",95%)</f>
        <v/>
      </c>
      <c r="BE15" s="5" t="n">
        <f aca="false">IF($C15="&lt;01",ROUND(INDEX(EID!$V:$V,MATCH($B15,EID!$B:$B,0))/2,0),ROUND($BD15*$BB15,0))</f>
        <v>0</v>
      </c>
      <c r="BF15" s="5" t="str">
        <f aca="false">IF(LEFT($B15,4)="_Mil","",IF(SUM($BE15)=0,SUM($AF15),IF(OR(SUM($AP15)=0,SUM($AQ15)=0),MAX($BE15,$AF15),ROUND($BE15*$AQ15/$AP15,0))))</f>
        <v/>
      </c>
      <c r="BG15" s="114" t="str">
        <f aca="false">IF($C15="&lt;01","",95%)</f>
        <v/>
      </c>
      <c r="BH15" s="5" t="n">
        <f aca="false">IF($C15="&lt;01",ROUND(INDEX(EID!$L:$L,MATCH($B15,EID!$B:$B,0)),0)/2,IF(SUM($BG15)=0,"",ROUND($AX15/$BG15,0)))</f>
        <v>0</v>
      </c>
    </row>
    <row r="16" customFormat="false" ht="15" hidden="false" customHeight="false" outlineLevel="0" collapsed="false">
      <c r="A16" s="0" t="str">
        <f aca="false">INDEX(Prioritization!$D:$D,MATCH($B16,Prioritization!$A:$A,0))</f>
        <v>Military</v>
      </c>
      <c r="B16" s="0" t="s">
        <v>194</v>
      </c>
      <c r="C16" s="0" t="s">
        <v>316</v>
      </c>
      <c r="D16" s="0" t="s">
        <v>48</v>
      </c>
      <c r="E16" s="0" t="str">
        <f aca="false">$B16&amp;"|"&amp;$C16&amp;"|"&amp;$D16</f>
        <v>_Military Malawi [PQZgU9dagaH]|&lt;01|Male</v>
      </c>
      <c r="F16" s="10"/>
      <c r="G16" s="10" t="n">
        <v>1</v>
      </c>
      <c r="H16" s="10" t="n">
        <v>1</v>
      </c>
      <c r="I16" s="10" t="n">
        <v>0</v>
      </c>
      <c r="J16" s="10" t="n">
        <v>1</v>
      </c>
      <c r="K16" s="10" t="n">
        <v>1</v>
      </c>
      <c r="L16" s="10"/>
      <c r="M16" s="10" t="n">
        <v>0</v>
      </c>
      <c r="N16" s="10" t="n">
        <v>0</v>
      </c>
      <c r="O16" s="91" t="str">
        <f aca="false">IFERROR(1/(1/MAX($I16,$N16)),"")</f>
        <v/>
      </c>
      <c r="P16" s="10" t="n">
        <v>1</v>
      </c>
      <c r="Q16" s="10" t="n">
        <v>0</v>
      </c>
      <c r="R16" s="91" t="str">
        <f aca="false">IF(AND(SUM($I16)=0,SUM($O16)=0),"",SUM($O16)-$I16)</f>
        <v/>
      </c>
      <c r="S16" s="10" t="str">
        <f aca="false">IF(LEFT($B16,4)="_Mil","",_xlfn.IFNA(ROUND(INDEX(Spectrum!$N:$N,MATCH(RIGHT($B16,13)&amp;"|"&amp;$C16&amp;"|"&amp;$D16&amp;"|"&amp;S$14&amp;"|"&amp;"CY2022Q4",Spectrum!$R:$R,0)),0),""))</f>
        <v/>
      </c>
      <c r="T16" s="39" t="str">
        <f aca="false">IF(LEFT($B16,4)="_Mil","",_xlfn.IFNA(ROUND(INDEX(Spectrum!$N:$N,MATCH(RIGHT($B16,13)&amp;"|"&amp;$C16&amp;"|"&amp;$D16&amp;"|"&amp;T$14&amp;"|"&amp;"CY2023Q3",Spectrum!$R:$R,0)),0),""))</f>
        <v/>
      </c>
      <c r="U16" s="39" t="str">
        <f aca="false">IF(LEFT($B16,4)="_Mil","",_xlfn.IFNA(ROUND(INDEX(Spectrum!$N:$N,MATCH(RIGHT($B16,13)&amp;"|"&amp;$C16&amp;"|"&amp;$D16&amp;"|"&amp;U$14&amp;"|"&amp;"CY2023Q3",Spectrum!$R:$R,0)),0),""))</f>
        <v/>
      </c>
      <c r="V16" s="10" t="str">
        <f aca="false">IF(LEFT($B16,4)="_Mil","",_xlfn.IFNA(ROUND(INDEX(Spectrum!$N:$N,MATCH(RIGHT($B16,13)&amp;"|"&amp;$C16&amp;"|"&amp;$D16&amp;"|"&amp;V$14&amp;"|"&amp;"CY2023Q3",Spectrum!$R:$R,0)),0),""))</f>
        <v/>
      </c>
      <c r="W16" s="113" t="str">
        <f aca="false">IF(LEFT($B16,4)="_Mil","",_xlfn.IFNA(INDEX(Spectrum!$N:$N,MATCH(RIGHT($B16,13)&amp;"|"&amp;$C16&amp;"|"&amp;$D16&amp;"|"&amp;W$14&amp;"|"&amp;"CY2023Q3",Spectrum!$R:$R,0)),""))</f>
        <v/>
      </c>
      <c r="X16" s="39" t="str">
        <f aca="false">IF(LEFT($B16,4)="_Mil","",_xlfn.IFNA(ROUND(INDEX(Spectrum!$N:$N,MATCH(RIGHT($B16,13)&amp;"|"&amp;$C16&amp;"|"&amp;$D16&amp;"|"&amp;X$14&amp;"|"&amp;"CY2023Q3",Spectrum!$R:$R,0)),0),""))</f>
        <v/>
      </c>
      <c r="Y16" s="87" t="str">
        <f aca="false">IF(OR(SUM($U16)=0,LEFT($B16,4)="_Mil"),"",SUM($X16)/$U16)</f>
        <v/>
      </c>
      <c r="Z16" s="39" t="str">
        <f aca="false">IF(LEFT($B16,4)="_Mil","",_xlfn.IFNA(ROUND(INDEX(Spectrum!$N:$N,MATCH(RIGHT($B16,13)&amp;"|"&amp;$C16&amp;"|"&amp;$D16&amp;"|"&amp;Z$14&amp;"|"&amp;"CY2023Q3",Spectrum!$R:$R,0)),0),""))</f>
        <v/>
      </c>
      <c r="AA16" s="88" t="str">
        <f aca="false">IF(LEFT($B16,4)="_Mil","",IFERROR(1/(1/INDEX(Spectrum!$N:$N,MATCH(RIGHT($B16,13)&amp;"|"&amp;$C16&amp;"|"&amp;$D16&amp;"|"&amp;AA$14&amp;"|"&amp;"CY2023Q3",Spectrum!$R:$R,0))),IF(SUM($U16)=0,"",SUM($Z16)/$U16)))</f>
        <v/>
      </c>
      <c r="AB16" s="87" t="str">
        <f aca="false">IF(OR(LEFT($B16,4)="_Mil",SUM($X16)=0),"",SUM($Z16)/$X16)</f>
        <v/>
      </c>
      <c r="AC16" s="91" t="str">
        <f aca="false">IF(LEFT($B16,4)="_Mil","",_xlfn.IFNA(ROUND(INDEX(Spectrum!$N:$N,MATCH(RIGHT($B16,13)&amp;"|"&amp;$C16&amp;"|"&amp;$D16&amp;"|"&amp;AC$14&amp;"|"&amp;"CY2023Q3",Spectrum!$R:$R,0)),0),""))</f>
        <v/>
      </c>
      <c r="AD16" s="10" t="str">
        <f aca="false">IF(LEFT($B16,4)="_Mil","",_xlfn.IFNA(ROUND(INDEX(Spectrum!$N:$N,MATCH(RIGHT($B16,13)&amp;"|"&amp;$C16&amp;"|"&amp;$D16&amp;"|"&amp;AD$14&amp;"|"&amp;"CY2023Q3",Spectrum!$R:$R,0)),0),""))</f>
        <v/>
      </c>
      <c r="AE16" s="87" t="str">
        <f aca="false">IF(OR(LEFT($B16,4)="_Mil",SUM($Z16)=0),"",SUM($AD16)/$Z16)</f>
        <v/>
      </c>
      <c r="AF16" s="39" t="str">
        <f aca="false">IF(LEFT($B16,4)="_Mil","",_xlfn.IFNA(ROUND(INDEX(Spectrum!$N:$N,MATCH(RIGHT($B16,13)&amp;"|"&amp;$C16&amp;"|"&amp;$D16&amp;"|"&amp;AF$14&amp;"|"&amp;"CY2023Q3",Spectrum!$R:$R,0)),0),""))</f>
        <v/>
      </c>
      <c r="AG16" s="87" t="str">
        <f aca="false">IF(OR(LEFT($B16,4)="_Mil",SUM($AD16)=0),"",SUM($AF16)/$AD16)</f>
        <v/>
      </c>
      <c r="AH16" s="86" t="str">
        <f aca="false">IF(LEFT($B16,4)="_Mil","",_xlfn.IFNA(INDEX(Spectrum!$N:$N,MATCH(RIGHT($B16,13)&amp;"|"&amp;$C16&amp;"|"&amp;$D16&amp;"|"&amp;AH$14&amp;"|"&amp;"CY2023Q3",Spectrum!$R:$R,0)),""))</f>
        <v/>
      </c>
      <c r="AI16" s="10" t="str">
        <f aca="false">IF(LEFT($B16,4)="_Mil","",_xlfn.IFNA(ROUND(INDEX(Spectrum!$N:$N,MATCH(RIGHT($B16,13)&amp;"|"&amp;$C16&amp;"|"&amp;$D16&amp;"|"&amp;AI$14&amp;"|"&amp;"CY2023Q3",Spectrum!$R:$R,0)),0),""))</f>
        <v/>
      </c>
      <c r="AJ16" s="5" t="str">
        <f aca="false">IF(LEFT($B16,4)="_Mil","",_xlfn.IFNA(ROUND(INDEX(Spectrum!$N:$N,MATCH(RIGHT($B16,13)&amp;"|"&amp;$C16&amp;"|"&amp;$D16&amp;"|"&amp;AI$14&amp;"|"&amp;"CY2023Q3",Spectrum!$R:$R,0)),0),SUM($U16)+SUM($AI16)))</f>
        <v/>
      </c>
      <c r="AK16" s="91" t="str">
        <f aca="false">IF(LEFT($B16,4)="_Mil","",_xlfn.IFNA(ROUND(INDEX(Spectrum!$N:$N,MATCH(RIGHT($B16,13)&amp;"|"&amp;$C16&amp;"|"&amp;$D16&amp;"|"&amp;AK$14&amp;"|"&amp;"CY2023Q3",Spectrum!$R:$R,0)),0),""))</f>
        <v/>
      </c>
      <c r="AL16" s="114" t="str">
        <f aca="false">IF(OR(LEFT($B16,4)="_Mil",$C16="&lt;01"),"",MAX(SUM($AA16),90%))</f>
        <v/>
      </c>
      <c r="AM16" s="91" t="str">
        <f aca="false">IF(OR(LEFT($B16,4)="_Mil",$C16="&lt;01"),"",ROUND(SUM($AJ16)*SUM($AL16),0))</f>
        <v/>
      </c>
      <c r="AN16" s="91" t="n">
        <f aca="false">IF($C16="&lt;01",ROUND(INDEX(EID!$P:$P,MATCH($B16,EID!$B:$B,0))/2,0),"")</f>
        <v>0</v>
      </c>
      <c r="AO16" s="91" t="n">
        <f aca="false">IF($C16="&lt;01",SUM($AN16),ROUND(SUM($AM16)*SUM($O16)/IF(SUM($Z16)=0,1,$Z16),0))</f>
        <v>0</v>
      </c>
      <c r="AP16" s="81" t="n">
        <f aca="false">IF(OR($F16="",$C16="&lt;01"),$AO16,$F16)</f>
        <v>0</v>
      </c>
      <c r="AQ16" s="5" t="str">
        <f aca="false">IF(LEFT($B16,4)="_Mil","",IF(SUM($AP16)=0,SUM($Z16),IF(OR(SUM($Z16)=0,SUM($O16)=0),MAX($AP16,$Z16),$AP16*$Z16/$O16)))</f>
        <v/>
      </c>
      <c r="AR16" s="87" t="str">
        <f aca="false">IF(OR(LEFT($B16,4)="_Mil",SUM($AJ16)=0),"",SUM($AQ16)/$AJ16)</f>
        <v/>
      </c>
      <c r="AS16" s="114" t="str">
        <f aca="false">IF($C16="&lt;01","",98%)</f>
        <v/>
      </c>
      <c r="AT16" s="87" t="str">
        <f aca="false">IF($C16="&lt;01","",98%)</f>
        <v/>
      </c>
      <c r="AU16" s="91" t="str">
        <f aca="false">IF($C16="&lt;01","",SUM($AP16)-SUM($O16))</f>
        <v/>
      </c>
      <c r="AV16" s="91" t="n">
        <f aca="false">IF($C16="&lt;01",ROUND(INDEX(EID!$N:$N,MATCH($B16,EID!$B:$B,0))/2,0),IF(SUM($AT16)=0,"",ROUND((SUM($AP16)-(SUM($O16)*SUM($AS16)))/$AT16,0)))</f>
        <v>0</v>
      </c>
      <c r="AW16" s="87" t="str">
        <f aca="false">IF($C16="&lt;01","",100%)</f>
        <v/>
      </c>
      <c r="AX16" s="5" t="n">
        <f aca="false">IF($C16="&lt;01",SUM($AV16),ROUND(SUM($AV16)*SUM($AW16),0))</f>
        <v>0</v>
      </c>
      <c r="AY16" s="114" t="str">
        <f aca="false">IF($C16="&lt;01","",70%)</f>
        <v/>
      </c>
      <c r="AZ16" s="91" t="n">
        <f aca="false">IF($C16="&lt;01",ROUND(INDEX(EID!$R:$R,MATCH($B16,EID!$B:$B,0))/2,0),ROUND(SUM($O16)+(SUM($AV16)*$AY16),0))</f>
        <v>0</v>
      </c>
      <c r="BA16" s="87" t="str">
        <f aca="false">IF($C16="&lt;01","",95%)</f>
        <v/>
      </c>
      <c r="BB16" s="5" t="n">
        <f aca="false">IF($C16="&lt;01",ROUND(INDEX(EID!$T:$T,MATCH($B16,EID!$B:$B,0))/2,0),ROUND($AZ16*$BA16,0))</f>
        <v>0</v>
      </c>
      <c r="BC16" s="91" t="str">
        <f aca="false">IF(LEFT($B16,4)="_Mil","",IF(SUM($BB16)=0,SUM($AD16),IF(OR(SUM($AP16)=0,SUM($AQ16)=0),MAX($BB16,$AD16),ROUND($BB16*$AQ16/$AP16,0))))</f>
        <v/>
      </c>
      <c r="BD16" s="88" t="str">
        <f aca="false">IF($C16="&lt;01","",95%)</f>
        <v/>
      </c>
      <c r="BE16" s="5" t="n">
        <f aca="false">IF($C16="&lt;01",ROUND(INDEX(EID!$V:$V,MATCH($B16,EID!$B:$B,0))/2,0),ROUND($BD16*$BB16,0))</f>
        <v>0</v>
      </c>
      <c r="BF16" s="5" t="str">
        <f aca="false">IF(LEFT($B16,4)="_Mil","",IF(SUM($BE16)=0,SUM($AF16),IF(OR(SUM($AP16)=0,SUM($AQ16)=0),MAX($BE16,$AF16),ROUND($BE16*$AQ16/$AP16,0))))</f>
        <v/>
      </c>
      <c r="BG16" s="114" t="str">
        <f aca="false">IF($C16="&lt;01","",95%)</f>
        <v/>
      </c>
      <c r="BH16" s="5" t="n">
        <f aca="false">IF($C16="&lt;01",ROUND(INDEX(EID!$L:$L,MATCH($B16,EID!$B:$B,0)),0)/2,IF(SUM($BG16)=0,"",ROUND($AX16/$BG16,0)))</f>
        <v>0</v>
      </c>
    </row>
    <row r="17" customFormat="false" ht="15" hidden="false" customHeight="false" outlineLevel="0" collapsed="false">
      <c r="A17" s="0" t="str">
        <f aca="false">INDEX(Prioritization!$D:$D,MATCH($B17,Prioritization!$A:$A,0))</f>
        <v>Military</v>
      </c>
      <c r="B17" s="0" t="s">
        <v>194</v>
      </c>
      <c r="C17" s="0" t="s">
        <v>363</v>
      </c>
      <c r="D17" s="0" t="s">
        <v>30</v>
      </c>
      <c r="E17" s="0" t="str">
        <f aca="false">$B17&amp;"|"&amp;$C17&amp;"|"&amp;$D17</f>
        <v>_Military Malawi [PQZgU9dagaH]|01-09|Female</v>
      </c>
      <c r="F17" s="10"/>
      <c r="G17" s="10"/>
      <c r="H17" s="10"/>
      <c r="I17" s="10"/>
      <c r="J17" s="10"/>
      <c r="K17" s="10"/>
      <c r="L17" s="10"/>
      <c r="M17" s="10"/>
      <c r="N17" s="10"/>
      <c r="O17" s="10" t="str">
        <f aca="false">IFERROR(1/(1/MAX($I17,$N17)),"")</f>
        <v/>
      </c>
      <c r="P17" s="10"/>
      <c r="Q17" s="10"/>
      <c r="R17" s="10" t="str">
        <f aca="false">IF(AND(SUM($I17)=0,SUM($O17)=0),"",SUM($O17)-$I17)</f>
        <v/>
      </c>
      <c r="S17" s="10" t="str">
        <f aca="false">IF(LEFT($B17,4)="_Mil","",_xlfn.IFNA(ROUND(INDEX(Spectrum!$N:$N,MATCH(RIGHT($B17,13)&amp;"|"&amp;$C17&amp;"|"&amp;$D17&amp;"|"&amp;S$14&amp;"|"&amp;"CY2022Q4",Spectrum!$R:$R,0)),0),""))</f>
        <v/>
      </c>
      <c r="T17" s="39" t="str">
        <f aca="false">IF(LEFT($B17,4)="_Mil","",_xlfn.IFNA(ROUND(INDEX(Spectrum!$N:$N,MATCH(RIGHT($B17,13)&amp;"|"&amp;$C17&amp;"|"&amp;$D17&amp;"|"&amp;T$14&amp;"|"&amp;"CY2023Q3",Spectrum!$R:$R,0)),0),""))</f>
        <v/>
      </c>
      <c r="U17" s="39" t="str">
        <f aca="false">IF(LEFT($B17,4)="_Mil","",_xlfn.IFNA(ROUND(INDEX(Spectrum!$N:$N,MATCH(RIGHT($B17,13)&amp;"|"&amp;$C17&amp;"|"&amp;$D17&amp;"|"&amp;U$14&amp;"|"&amp;"CY2023Q3",Spectrum!$R:$R,0)),0),""))</f>
        <v/>
      </c>
      <c r="V17" s="10" t="str">
        <f aca="false">IF(LEFT($B17,4)="_Mil","",_xlfn.IFNA(ROUND(INDEX(Spectrum!$N:$N,MATCH(RIGHT($B17,13)&amp;"|"&amp;$C17&amp;"|"&amp;$D17&amp;"|"&amp;V$14&amp;"|"&amp;"CY2023Q3",Spectrum!$R:$R,0)),0),""))</f>
        <v/>
      </c>
      <c r="W17" s="113" t="str">
        <f aca="false">IF(LEFT($B17,4)="_Mil","",_xlfn.IFNA(INDEX(Spectrum!$N:$N,MATCH(RIGHT($B17,13)&amp;"|"&amp;$C17&amp;"|"&amp;$D17&amp;"|"&amp;W$14&amp;"|"&amp;"CY2023Q3",Spectrum!$R:$R,0)),""))</f>
        <v/>
      </c>
      <c r="X17" s="39" t="str">
        <f aca="false">IF(LEFT($B17,4)="_Mil","",_xlfn.IFNA(ROUND(INDEX(Spectrum!$N:$N,MATCH(RIGHT($B17,13)&amp;"|"&amp;$C17&amp;"|"&amp;$D17&amp;"|"&amp;X$14&amp;"|"&amp;"CY2023Q3",Spectrum!$R:$R,0)),0),""))</f>
        <v/>
      </c>
      <c r="Y17" s="88" t="str">
        <f aca="false">IF(OR(SUM($U17)=0,LEFT($B17,4)="_Mil"),"",SUM($X17)/$U17)</f>
        <v/>
      </c>
      <c r="Z17" s="39" t="str">
        <f aca="false">IF(LEFT($B17,4)="_Mil","",_xlfn.IFNA(ROUND(INDEX(Spectrum!$N:$N,MATCH(RIGHT($B17,13)&amp;"|"&amp;$C17&amp;"|"&amp;$D17&amp;"|"&amp;Z$14&amp;"|"&amp;"CY2023Q3",Spectrum!$R:$R,0)),0),""))</f>
        <v/>
      </c>
      <c r="AA17" s="88" t="str">
        <f aca="false">IF(LEFT($B17,4)="_Mil","",IFERROR(1/(1/INDEX(Spectrum!$N:$N,MATCH(RIGHT($B17,13)&amp;"|"&amp;$C17&amp;"|"&amp;$D17&amp;"|"&amp;AA$14&amp;"|"&amp;"CY2023Q3",Spectrum!$R:$R,0))),IF(SUM($U17)=0,"",SUM($Z17)/$U17)))</f>
        <v/>
      </c>
      <c r="AB17" s="88" t="str">
        <f aca="false">IF(OR(LEFT($B17,4)="_Mil",SUM($X17)=0),"",SUM($Z17)/$X17)</f>
        <v/>
      </c>
      <c r="AC17" s="10" t="str">
        <f aca="false">IF(LEFT($B17,4)="_Mil","",_xlfn.IFNA(ROUND(INDEX(Spectrum!$N:$N,MATCH(RIGHT($B17,13)&amp;"|"&amp;$C17&amp;"|"&amp;$D17&amp;"|"&amp;AC$14&amp;"|"&amp;"CY2023Q3",Spectrum!$R:$R,0)),0),""))</f>
        <v/>
      </c>
      <c r="AD17" s="10" t="str">
        <f aca="false">IF(LEFT($B17,4)="_Mil","",_xlfn.IFNA(ROUND(INDEX(Spectrum!$N:$N,MATCH(RIGHT($B17,13)&amp;"|"&amp;$C17&amp;"|"&amp;$D17&amp;"|"&amp;AD$14&amp;"|"&amp;"CY2023Q3",Spectrum!$R:$R,0)),0),""))</f>
        <v/>
      </c>
      <c r="AE17" s="88" t="str">
        <f aca="false">IF(OR(LEFT($B17,4)="_Mil",SUM($Z17)=0),"",SUM($AD17)/$Z17)</f>
        <v/>
      </c>
      <c r="AF17" s="39" t="str">
        <f aca="false">IF(LEFT($B17,4)="_Mil","",_xlfn.IFNA(ROUND(INDEX(Spectrum!$N:$N,MATCH(RIGHT($B17,13)&amp;"|"&amp;$C17&amp;"|"&amp;$D17&amp;"|"&amp;AF$14&amp;"|"&amp;"CY2023Q3",Spectrum!$R:$R,0)),0),""))</f>
        <v/>
      </c>
      <c r="AG17" s="88" t="str">
        <f aca="false">IF(OR(LEFT($B17,4)="_Mil",SUM($AD17)=0),"",SUM($AF17)/$AD17)</f>
        <v/>
      </c>
      <c r="AH17" s="86" t="str">
        <f aca="false">IF(LEFT($B17,4)="_Mil","",_xlfn.IFNA(INDEX(Spectrum!$N:$N,MATCH(RIGHT($B17,13)&amp;"|"&amp;$C17&amp;"|"&amp;$D17&amp;"|"&amp;AH$14&amp;"|"&amp;"CY2023Q3",Spectrum!$R:$R,0)),""))</f>
        <v/>
      </c>
      <c r="AI17" s="10" t="str">
        <f aca="false">IF(LEFT($B17,4)="_Mil","",_xlfn.IFNA(ROUND(INDEX(Spectrum!$N:$N,MATCH(RIGHT($B17,13)&amp;"|"&amp;$C17&amp;"|"&amp;$D17&amp;"|"&amp;AI$14&amp;"|"&amp;"CY2023Q3",Spectrum!$R:$R,0)),0),""))</f>
        <v/>
      </c>
      <c r="AJ17" s="39" t="str">
        <f aca="false">IF(LEFT($B17,4)="_Mil","",_xlfn.IFNA(ROUND(INDEX(Spectrum!$N:$N,MATCH(RIGHT($B17,13)&amp;"|"&amp;$C17&amp;"|"&amp;$D17&amp;"|"&amp;AI$14&amp;"|"&amp;"CY2023Q3",Spectrum!$R:$R,0)),0),SUM($U17)+SUM($AI17)))</f>
        <v/>
      </c>
      <c r="AK17" s="10" t="str">
        <f aca="false">IF(LEFT($B17,4)="_Mil","",_xlfn.IFNA(ROUND(INDEX(Spectrum!$N:$N,MATCH(RIGHT($B17,13)&amp;"|"&amp;$C17&amp;"|"&amp;$D17&amp;"|"&amp;AK$14&amp;"|"&amp;"CY2023Q3",Spectrum!$R:$R,0)),0),""))</f>
        <v/>
      </c>
      <c r="AL17" s="88" t="str">
        <f aca="false">IF(OR(LEFT($B17,4)="_Mil",$C17="&lt;01"),"",MAX(SUM($AA17),90%))</f>
        <v/>
      </c>
      <c r="AM17" s="10" t="str">
        <f aca="false">IF(OR(LEFT($B17,4)="_Mil",$C17="&lt;01"),"",ROUND(SUM($AJ17)*SUM($AL17),0))</f>
        <v/>
      </c>
      <c r="AN17" s="10" t="str">
        <f aca="false">IF($C17="&lt;01",ROUND(INDEX(EID!$P:$P,MATCH($B17,EID!$B:$B,0))/2,0),"")</f>
        <v/>
      </c>
      <c r="AO17" s="10" t="n">
        <f aca="false">IF($C17="&lt;01",SUM($AN17),ROUND(SUM($AM17)*SUM($O17)/IF(SUM($Z17)=0,1,$Z17),0))</f>
        <v>0</v>
      </c>
      <c r="AP17" s="39" t="n">
        <f aca="false">IF(OR($F17="",$C17="&lt;01"),$AO17,$F17)</f>
        <v>0</v>
      </c>
      <c r="AQ17" s="39" t="str">
        <f aca="false">IF(LEFT($B17,4)="_Mil","",IF(SUM($AP17)=0,SUM($Z17),IF(OR(SUM($Z17)=0,SUM($O17)=0),MAX($AP17,$Z17),$AP17*$Z17/$O17)))</f>
        <v/>
      </c>
      <c r="AR17" s="88" t="str">
        <f aca="false">IF(OR(LEFT($B17,4)="_Mil",SUM($AJ17)=0),"",SUM($AQ17)/$AJ17)</f>
        <v/>
      </c>
      <c r="AS17" s="88" t="n">
        <f aca="false">IF($C17="&lt;01","",98%)</f>
        <v>0.98</v>
      </c>
      <c r="AT17" s="88" t="n">
        <f aca="false">IF($C17="&lt;01","",98%)</f>
        <v>0.98</v>
      </c>
      <c r="AU17" s="10" t="n">
        <f aca="false">IF($C17="&lt;01","",SUM($AP17)-SUM($O17))</f>
        <v>0</v>
      </c>
      <c r="AV17" s="10" t="n">
        <f aca="false">IF($C17="&lt;01",ROUND(INDEX(EID!$N:$N,MATCH($B17,EID!$B:$B,0))/2,0),IF(SUM($AT17)=0,"",ROUND((SUM($AP17)-(SUM($O17)*SUM($AS17)))/$AT17,0)))</f>
        <v>0</v>
      </c>
      <c r="AW17" s="88" t="n">
        <f aca="false">IF($C17="&lt;01","",100%)</f>
        <v>1</v>
      </c>
      <c r="AX17" s="39" t="n">
        <f aca="false">IF($C17="&lt;01",SUM($AV17),ROUND(SUM($AV17)*SUM($AW17),0))</f>
        <v>0</v>
      </c>
      <c r="AY17" s="114" t="n">
        <f aca="false">IF($C17="&lt;01","",70%)</f>
        <v>0.7</v>
      </c>
      <c r="AZ17" s="91" t="n">
        <f aca="false">IF($C17="&lt;01",ROUND(INDEX(EID!$R:$R,MATCH($B17,EID!$B:$B,0))/2,0),ROUND(SUM($O17)+(SUM($AV17)*$AY17),0))</f>
        <v>0</v>
      </c>
      <c r="BA17" s="87" t="n">
        <f aca="false">IF($C17="&lt;01","",95%)</f>
        <v>0.95</v>
      </c>
      <c r="BB17" s="5" t="n">
        <f aca="false">IF($C17="&lt;01",ROUND(INDEX(EID!$T:$T,MATCH($B17,EID!$B:$B,0))/2,0),ROUND($AZ17*$BA17,0))</f>
        <v>0</v>
      </c>
      <c r="BC17" s="91" t="str">
        <f aca="false">IF(LEFT($B17,4)="_Mil","",IF(SUM($BB17)=0,SUM($AD17),IF(OR(SUM($AP17)=0,SUM($AQ17)=0),MAX($BB17,$AD17),ROUND($BB17*$AQ17/$AP17,0))))</f>
        <v/>
      </c>
      <c r="BD17" s="88" t="n">
        <f aca="false">IF($C17="&lt;01","",95%)</f>
        <v>0.95</v>
      </c>
      <c r="BE17" s="39" t="n">
        <f aca="false">IF($C17="&lt;01",ROUND(INDEX(EID!$V:$V,MATCH($B17,EID!$B:$B,0))/2,0),ROUND($BD17*$BB17,0))</f>
        <v>0</v>
      </c>
      <c r="BF17" s="39" t="str">
        <f aca="false">IF(LEFT($B17,4)="_Mil","",IF(SUM($BE17)=0,SUM($AF17),IF(OR(SUM($AP17)=0,SUM($AQ17)=0),MAX($BE17,$AF17),ROUND($BE17*$AQ17/$AP17,0))))</f>
        <v/>
      </c>
      <c r="BG17" s="114" t="n">
        <f aca="false">IF($C17="&lt;01","",95%)</f>
        <v>0.95</v>
      </c>
      <c r="BH17" s="5" t="n">
        <f aca="false">IF($C17="&lt;01",ROUND(INDEX(EID!$L:$L,MATCH($B17,EID!$B:$B,0)),0)/2,IF(SUM($BG17)=0,"",ROUND($AX17/$BG17,0)))</f>
        <v>0</v>
      </c>
    </row>
    <row r="18" customFormat="false" ht="15" hidden="false" customHeight="false" outlineLevel="0" collapsed="false">
      <c r="A18" s="0" t="str">
        <f aca="false">INDEX(Prioritization!$D:$D,MATCH($B18,Prioritization!$A:$A,0))</f>
        <v>Military</v>
      </c>
      <c r="B18" s="0" t="s">
        <v>194</v>
      </c>
      <c r="C18" s="0" t="s">
        <v>363</v>
      </c>
      <c r="D18" s="0" t="s">
        <v>48</v>
      </c>
      <c r="E18" s="0" t="str">
        <f aca="false">$B18&amp;"|"&amp;$C18&amp;"|"&amp;$D18</f>
        <v>_Military Malawi [PQZgU9dagaH]|01-09|Male</v>
      </c>
      <c r="F18" s="10"/>
      <c r="G18" s="10"/>
      <c r="H18" s="10"/>
      <c r="I18" s="10"/>
      <c r="J18" s="10"/>
      <c r="K18" s="10"/>
      <c r="L18" s="10"/>
      <c r="M18" s="10"/>
      <c r="N18" s="10"/>
      <c r="O18" s="10" t="str">
        <f aca="false">IFERROR(1/(1/MAX($I18,$N18)),"")</f>
        <v/>
      </c>
      <c r="P18" s="10"/>
      <c r="Q18" s="10"/>
      <c r="R18" s="10" t="str">
        <f aca="false">IF(AND(SUM($I18)=0,SUM($O18)=0),"",SUM($O18)-$I18)</f>
        <v/>
      </c>
      <c r="S18" s="10" t="str">
        <f aca="false">IF(LEFT($B18,4)="_Mil","",_xlfn.IFNA(ROUND(INDEX(Spectrum!$N:$N,MATCH(RIGHT($B18,13)&amp;"|"&amp;$C18&amp;"|"&amp;$D18&amp;"|"&amp;S$14&amp;"|"&amp;"CY2022Q4",Spectrum!$R:$R,0)),0),""))</f>
        <v/>
      </c>
      <c r="T18" s="39" t="str">
        <f aca="false">IF(LEFT($B18,4)="_Mil","",_xlfn.IFNA(ROUND(INDEX(Spectrum!$N:$N,MATCH(RIGHT($B18,13)&amp;"|"&amp;$C18&amp;"|"&amp;$D18&amp;"|"&amp;T$14&amp;"|"&amp;"CY2023Q3",Spectrum!$R:$R,0)),0),""))</f>
        <v/>
      </c>
      <c r="U18" s="39" t="str">
        <f aca="false">IF(LEFT($B18,4)="_Mil","",_xlfn.IFNA(ROUND(INDEX(Spectrum!$N:$N,MATCH(RIGHT($B18,13)&amp;"|"&amp;$C18&amp;"|"&amp;$D18&amp;"|"&amp;U$14&amp;"|"&amp;"CY2023Q3",Spectrum!$R:$R,0)),0),""))</f>
        <v/>
      </c>
      <c r="V18" s="10" t="str">
        <f aca="false">IF(LEFT($B18,4)="_Mil","",_xlfn.IFNA(ROUND(INDEX(Spectrum!$N:$N,MATCH(RIGHT($B18,13)&amp;"|"&amp;$C18&amp;"|"&amp;$D18&amp;"|"&amp;V$14&amp;"|"&amp;"CY2023Q3",Spectrum!$R:$R,0)),0),""))</f>
        <v/>
      </c>
      <c r="W18" s="113" t="str">
        <f aca="false">IF(LEFT($B18,4)="_Mil","",_xlfn.IFNA(INDEX(Spectrum!$N:$N,MATCH(RIGHT($B18,13)&amp;"|"&amp;$C18&amp;"|"&amp;$D18&amp;"|"&amp;W$14&amp;"|"&amp;"CY2023Q3",Spectrum!$R:$R,0)),""))</f>
        <v/>
      </c>
      <c r="X18" s="39" t="str">
        <f aca="false">IF(LEFT($B18,4)="_Mil","",_xlfn.IFNA(ROUND(INDEX(Spectrum!$N:$N,MATCH(RIGHT($B18,13)&amp;"|"&amp;$C18&amp;"|"&amp;$D18&amp;"|"&amp;X$14&amp;"|"&amp;"CY2023Q3",Spectrum!$R:$R,0)),0),""))</f>
        <v/>
      </c>
      <c r="Y18" s="88" t="str">
        <f aca="false">IF(OR(SUM($U18)=0,LEFT($B18,4)="_Mil"),"",SUM($X18)/$U18)</f>
        <v/>
      </c>
      <c r="Z18" s="39" t="str">
        <f aca="false">IF(LEFT($B18,4)="_Mil","",_xlfn.IFNA(ROUND(INDEX(Spectrum!$N:$N,MATCH(RIGHT($B18,13)&amp;"|"&amp;$C18&amp;"|"&amp;$D18&amp;"|"&amp;Z$14&amp;"|"&amp;"CY2023Q3",Spectrum!$R:$R,0)),0),""))</f>
        <v/>
      </c>
      <c r="AA18" s="88" t="str">
        <f aca="false">IF(LEFT($B18,4)="_Mil","",IFERROR(1/(1/INDEX(Spectrum!$N:$N,MATCH(RIGHT($B18,13)&amp;"|"&amp;$C18&amp;"|"&amp;$D18&amp;"|"&amp;AA$14&amp;"|"&amp;"CY2023Q3",Spectrum!$R:$R,0))),IF(SUM($U18)=0,"",SUM($Z18)/$U18)))</f>
        <v/>
      </c>
      <c r="AB18" s="88" t="str">
        <f aca="false">IF(OR(LEFT($B18,4)="_Mil",SUM($X18)=0),"",SUM($Z18)/$X18)</f>
        <v/>
      </c>
      <c r="AC18" s="10" t="str">
        <f aca="false">IF(LEFT($B18,4)="_Mil","",_xlfn.IFNA(ROUND(INDEX(Spectrum!$N:$N,MATCH(RIGHT($B18,13)&amp;"|"&amp;$C18&amp;"|"&amp;$D18&amp;"|"&amp;AC$14&amp;"|"&amp;"CY2023Q3",Spectrum!$R:$R,0)),0),""))</f>
        <v/>
      </c>
      <c r="AD18" s="10" t="str">
        <f aca="false">IF(LEFT($B18,4)="_Mil","",_xlfn.IFNA(ROUND(INDEX(Spectrum!$N:$N,MATCH(RIGHT($B18,13)&amp;"|"&amp;$C18&amp;"|"&amp;$D18&amp;"|"&amp;AD$14&amp;"|"&amp;"CY2023Q3",Spectrum!$R:$R,0)),0),""))</f>
        <v/>
      </c>
      <c r="AE18" s="88" t="str">
        <f aca="false">IF(OR(LEFT($B18,4)="_Mil",SUM($Z18)=0),"",SUM($AD18)/$Z18)</f>
        <v/>
      </c>
      <c r="AF18" s="39" t="str">
        <f aca="false">IF(LEFT($B18,4)="_Mil","",_xlfn.IFNA(ROUND(INDEX(Spectrum!$N:$N,MATCH(RIGHT($B18,13)&amp;"|"&amp;$C18&amp;"|"&amp;$D18&amp;"|"&amp;AF$14&amp;"|"&amp;"CY2023Q3",Spectrum!$R:$R,0)),0),""))</f>
        <v/>
      </c>
      <c r="AG18" s="88" t="str">
        <f aca="false">IF(OR(LEFT($B18,4)="_Mil",SUM($AD18)=0),"",SUM($AF18)/$AD18)</f>
        <v/>
      </c>
      <c r="AH18" s="86" t="str">
        <f aca="false">IF(LEFT($B18,4)="_Mil","",_xlfn.IFNA(INDEX(Spectrum!$N:$N,MATCH(RIGHT($B18,13)&amp;"|"&amp;$C18&amp;"|"&amp;$D18&amp;"|"&amp;AH$14&amp;"|"&amp;"CY2023Q3",Spectrum!$R:$R,0)),""))</f>
        <v/>
      </c>
      <c r="AI18" s="10" t="str">
        <f aca="false">IF(LEFT($B18,4)="_Mil","",_xlfn.IFNA(ROUND(INDEX(Spectrum!$N:$N,MATCH(RIGHT($B18,13)&amp;"|"&amp;$C18&amp;"|"&amp;$D18&amp;"|"&amp;AI$14&amp;"|"&amp;"CY2023Q3",Spectrum!$R:$R,0)),0),""))</f>
        <v/>
      </c>
      <c r="AJ18" s="39" t="str">
        <f aca="false">IF(LEFT($B18,4)="_Mil","",_xlfn.IFNA(ROUND(INDEX(Spectrum!$N:$N,MATCH(RIGHT($B18,13)&amp;"|"&amp;$C18&amp;"|"&amp;$D18&amp;"|"&amp;AI$14&amp;"|"&amp;"CY2023Q3",Spectrum!$R:$R,0)),0),SUM($U18)+SUM($AI18)))</f>
        <v/>
      </c>
      <c r="AK18" s="10" t="str">
        <f aca="false">IF(LEFT($B18,4)="_Mil","",_xlfn.IFNA(ROUND(INDEX(Spectrum!$N:$N,MATCH(RIGHT($B18,13)&amp;"|"&amp;$C18&amp;"|"&amp;$D18&amp;"|"&amp;AK$14&amp;"|"&amp;"CY2023Q3",Spectrum!$R:$R,0)),0),""))</f>
        <v/>
      </c>
      <c r="AL18" s="88" t="str">
        <f aca="false">IF(OR(LEFT($B18,4)="_Mil",$C18="&lt;01"),"",MAX(SUM($AA18),90%))</f>
        <v/>
      </c>
      <c r="AM18" s="10" t="str">
        <f aca="false">IF(OR(LEFT($B18,4)="_Mil",$C18="&lt;01"),"",ROUND(SUM($AJ18)*SUM($AL18),0))</f>
        <v/>
      </c>
      <c r="AN18" s="10" t="str">
        <f aca="false">IF($C18="&lt;01",ROUND(INDEX(EID!$P:$P,MATCH($B18,EID!$B:$B,0))/2,0),"")</f>
        <v/>
      </c>
      <c r="AO18" s="10" t="n">
        <f aca="false">IF($C18="&lt;01",SUM($AN18),ROUND(SUM($AM18)*SUM($O18)/IF(SUM($Z18)=0,1,$Z18),0))</f>
        <v>0</v>
      </c>
      <c r="AP18" s="39" t="n">
        <f aca="false">IF(OR($F18="",$C18="&lt;01"),$AO18,$F18)</f>
        <v>0</v>
      </c>
      <c r="AQ18" s="39" t="str">
        <f aca="false">IF(LEFT($B18,4)="_Mil","",IF(SUM($AP18)=0,SUM($Z18),IF(OR(SUM($Z18)=0,SUM($O18)=0),MAX($AP18,$Z18),$AP18*$Z18/$O18)))</f>
        <v/>
      </c>
      <c r="AR18" s="88" t="str">
        <f aca="false">IF(OR(LEFT($B18,4)="_Mil",SUM($AJ18)=0),"",SUM($AQ18)/$AJ18)</f>
        <v/>
      </c>
      <c r="AS18" s="88" t="n">
        <f aca="false">IF($C18="&lt;01","",98%)</f>
        <v>0.98</v>
      </c>
      <c r="AT18" s="88" t="n">
        <f aca="false">IF($C18="&lt;01","",98%)</f>
        <v>0.98</v>
      </c>
      <c r="AU18" s="10" t="n">
        <f aca="false">IF($C18="&lt;01","",SUM($AP18)-SUM($O18))</f>
        <v>0</v>
      </c>
      <c r="AV18" s="10" t="n">
        <f aca="false">IF($C18="&lt;01",ROUND(INDEX(EID!$N:$N,MATCH($B18,EID!$B:$B,0))/2,0),IF(SUM($AT18)=0,"",ROUND((SUM($AP18)-(SUM($O18)*SUM($AS18)))/$AT18,0)))</f>
        <v>0</v>
      </c>
      <c r="AW18" s="88" t="n">
        <f aca="false">IF($C18="&lt;01","",100%)</f>
        <v>1</v>
      </c>
      <c r="AX18" s="39" t="n">
        <f aca="false">IF($C18="&lt;01",SUM($AV18),ROUND(SUM($AV18)*SUM($AW18),0))</f>
        <v>0</v>
      </c>
      <c r="AY18" s="114" t="n">
        <f aca="false">IF($C18="&lt;01","",70%)</f>
        <v>0.7</v>
      </c>
      <c r="AZ18" s="91" t="n">
        <f aca="false">IF($C18="&lt;01",ROUND(INDEX(EID!$R:$R,MATCH($B18,EID!$B:$B,0))/2,0),ROUND(SUM($O18)+(SUM($AV18)*$AY18),0))</f>
        <v>0</v>
      </c>
      <c r="BA18" s="87" t="n">
        <f aca="false">IF($C18="&lt;01","",95%)</f>
        <v>0.95</v>
      </c>
      <c r="BB18" s="5" t="n">
        <f aca="false">IF($C18="&lt;01",ROUND(INDEX(EID!$T:$T,MATCH($B18,EID!$B:$B,0))/2,0),ROUND($AZ18*$BA18,0))</f>
        <v>0</v>
      </c>
      <c r="BC18" s="91" t="str">
        <f aca="false">IF(LEFT($B18,4)="_Mil","",IF(SUM($BB18)=0,SUM($AD18),IF(OR(SUM($AP18)=0,SUM($AQ18)=0),MAX($BB18,$AD18),ROUND($BB18*$AQ18/$AP18,0))))</f>
        <v/>
      </c>
      <c r="BD18" s="88" t="n">
        <f aca="false">IF($C18="&lt;01","",95%)</f>
        <v>0.95</v>
      </c>
      <c r="BE18" s="39" t="n">
        <f aca="false">IF($C18="&lt;01",ROUND(INDEX(EID!$V:$V,MATCH($B18,EID!$B:$B,0))/2,0),ROUND($BD18*$BB18,0))</f>
        <v>0</v>
      </c>
      <c r="BF18" s="39" t="str">
        <f aca="false">IF(LEFT($B18,4)="_Mil","",IF(SUM($BE18)=0,SUM($AF18),IF(OR(SUM($AP18)=0,SUM($AQ18)=0),MAX($BE18,$AF18),ROUND($BE18*$AQ18/$AP18,0))))</f>
        <v/>
      </c>
      <c r="BG18" s="114" t="n">
        <f aca="false">IF($C18="&lt;01","",95%)</f>
        <v>0.95</v>
      </c>
      <c r="BH18" s="5" t="n">
        <f aca="false">IF($C18="&lt;01",ROUND(INDEX(EID!$L:$L,MATCH($B18,EID!$B:$B,0)),0)/2,IF(SUM($BG18)=0,"",ROUND($AX18/$BG18,0)))</f>
        <v>0</v>
      </c>
    </row>
    <row r="19" customFormat="false" ht="15" hidden="false" customHeight="false" outlineLevel="0" collapsed="false">
      <c r="A19" s="0" t="str">
        <f aca="false">INDEX(Prioritization!$D:$D,MATCH($B19,Prioritization!$A:$A,0))</f>
        <v>Military</v>
      </c>
      <c r="B19" s="0" t="s">
        <v>194</v>
      </c>
      <c r="C19" s="0" t="s">
        <v>364</v>
      </c>
      <c r="D19" s="0" t="s">
        <v>30</v>
      </c>
      <c r="E19" s="0" t="str">
        <f aca="false">$B19&amp;"|"&amp;$C19&amp;"|"&amp;$D19</f>
        <v>_Military Malawi [PQZgU9dagaH]|10-14|Female</v>
      </c>
      <c r="F19" s="10"/>
      <c r="G19" s="10" t="n">
        <v>7</v>
      </c>
      <c r="H19" s="10" t="n">
        <v>3</v>
      </c>
      <c r="I19" s="10" t="n">
        <v>6</v>
      </c>
      <c r="J19" s="10" t="n">
        <v>8</v>
      </c>
      <c r="K19" s="10" t="n">
        <v>9</v>
      </c>
      <c r="L19" s="10" t="n">
        <v>2</v>
      </c>
      <c r="M19" s="10" t="n">
        <v>9</v>
      </c>
      <c r="N19" s="10" t="n">
        <v>45</v>
      </c>
      <c r="O19" s="10" t="n">
        <f aca="false">IFERROR(1/(1/MAX($I19,$N19)),"")</f>
        <v>45</v>
      </c>
      <c r="P19" s="10" t="n">
        <v>24</v>
      </c>
      <c r="Q19" s="10" t="n">
        <v>45</v>
      </c>
      <c r="R19" s="10" t="n">
        <f aca="false">IF(AND(SUM($I19)=0,SUM($O19)=0),"",SUM($O19)-$I19)</f>
        <v>39</v>
      </c>
      <c r="S19" s="10" t="str">
        <f aca="false">IF(LEFT($B19,4)="_Mil","",_xlfn.IFNA(ROUND(INDEX(Spectrum!$N:$N,MATCH(RIGHT($B19,13)&amp;"|"&amp;$C19&amp;"|"&amp;$D19&amp;"|"&amp;S$14&amp;"|"&amp;"CY2022Q4",Spectrum!$R:$R,0)),0),""))</f>
        <v/>
      </c>
      <c r="T19" s="39" t="str">
        <f aca="false">IF(LEFT($B19,4)="_Mil","",_xlfn.IFNA(ROUND(INDEX(Spectrum!$N:$N,MATCH(RIGHT($B19,13)&amp;"|"&amp;$C19&amp;"|"&amp;$D19&amp;"|"&amp;T$14&amp;"|"&amp;"CY2023Q3",Spectrum!$R:$R,0)),0),""))</f>
        <v/>
      </c>
      <c r="U19" s="39" t="str">
        <f aca="false">IF(LEFT($B19,4)="_Mil","",_xlfn.IFNA(ROUND(INDEX(Spectrum!$N:$N,MATCH(RIGHT($B19,13)&amp;"|"&amp;$C19&amp;"|"&amp;$D19&amp;"|"&amp;U$14&amp;"|"&amp;"CY2023Q3",Spectrum!$R:$R,0)),0),""))</f>
        <v/>
      </c>
      <c r="V19" s="10" t="str">
        <f aca="false">IF(LEFT($B19,4)="_Mil","",_xlfn.IFNA(ROUND(INDEX(Spectrum!$N:$N,MATCH(RIGHT($B19,13)&amp;"|"&amp;$C19&amp;"|"&amp;$D19&amp;"|"&amp;V$14&amp;"|"&amp;"CY2023Q3",Spectrum!$R:$R,0)),0),""))</f>
        <v/>
      </c>
      <c r="W19" s="113" t="str">
        <f aca="false">IF(LEFT($B19,4)="_Mil","",_xlfn.IFNA(INDEX(Spectrum!$N:$N,MATCH(RIGHT($B19,13)&amp;"|"&amp;$C19&amp;"|"&amp;$D19&amp;"|"&amp;W$14&amp;"|"&amp;"CY2023Q3",Spectrum!$R:$R,0)),""))</f>
        <v/>
      </c>
      <c r="X19" s="39" t="str">
        <f aca="false">IF(LEFT($B19,4)="_Mil","",_xlfn.IFNA(ROUND(INDEX(Spectrum!$N:$N,MATCH(RIGHT($B19,13)&amp;"|"&amp;$C19&amp;"|"&amp;$D19&amp;"|"&amp;X$14&amp;"|"&amp;"CY2023Q3",Spectrum!$R:$R,0)),0),""))</f>
        <v/>
      </c>
      <c r="Y19" s="88" t="str">
        <f aca="false">IF(OR(SUM($U19)=0,LEFT($B19,4)="_Mil"),"",SUM($X19)/$U19)</f>
        <v/>
      </c>
      <c r="Z19" s="39" t="str">
        <f aca="false">IF(LEFT($B19,4)="_Mil","",_xlfn.IFNA(ROUND(INDEX(Spectrum!$N:$N,MATCH(RIGHT($B19,13)&amp;"|"&amp;$C19&amp;"|"&amp;$D19&amp;"|"&amp;Z$14&amp;"|"&amp;"CY2023Q3",Spectrum!$R:$R,0)),0),""))</f>
        <v/>
      </c>
      <c r="AA19" s="88" t="str">
        <f aca="false">IF(LEFT($B19,4)="_Mil","",IFERROR(1/(1/INDEX(Spectrum!$N:$N,MATCH(RIGHT($B19,13)&amp;"|"&amp;$C19&amp;"|"&amp;$D19&amp;"|"&amp;AA$14&amp;"|"&amp;"CY2023Q3",Spectrum!$R:$R,0))),IF(SUM($U19)=0,"",SUM($Z19)/$U19)))</f>
        <v/>
      </c>
      <c r="AB19" s="88" t="str">
        <f aca="false">IF(OR(LEFT($B19,4)="_Mil",SUM($X19)=0),"",SUM($Z19)/$X19)</f>
        <v/>
      </c>
      <c r="AC19" s="10" t="str">
        <f aca="false">IF(LEFT($B19,4)="_Mil","",_xlfn.IFNA(ROUND(INDEX(Spectrum!$N:$N,MATCH(RIGHT($B19,13)&amp;"|"&amp;$C19&amp;"|"&amp;$D19&amp;"|"&amp;AC$14&amp;"|"&amp;"CY2023Q3",Spectrum!$R:$R,0)),0),""))</f>
        <v/>
      </c>
      <c r="AD19" s="10" t="str">
        <f aca="false">IF(LEFT($B19,4)="_Mil","",_xlfn.IFNA(ROUND(INDEX(Spectrum!$N:$N,MATCH(RIGHT($B19,13)&amp;"|"&amp;$C19&amp;"|"&amp;$D19&amp;"|"&amp;AD$14&amp;"|"&amp;"CY2023Q3",Spectrum!$R:$R,0)),0),""))</f>
        <v/>
      </c>
      <c r="AE19" s="88" t="str">
        <f aca="false">IF(OR(LEFT($B19,4)="_Mil",SUM($Z19)=0),"",SUM($AD19)/$Z19)</f>
        <v/>
      </c>
      <c r="AF19" s="39" t="str">
        <f aca="false">IF(LEFT($B19,4)="_Mil","",_xlfn.IFNA(ROUND(INDEX(Spectrum!$N:$N,MATCH(RIGHT($B19,13)&amp;"|"&amp;$C19&amp;"|"&amp;$D19&amp;"|"&amp;AF$14&amp;"|"&amp;"CY2023Q3",Spectrum!$R:$R,0)),0),""))</f>
        <v/>
      </c>
      <c r="AG19" s="88" t="str">
        <f aca="false">IF(OR(LEFT($B19,4)="_Mil",SUM($AD19)=0),"",SUM($AF19)/$AD19)</f>
        <v/>
      </c>
      <c r="AH19" s="86" t="str">
        <f aca="false">IF(LEFT($B19,4)="_Mil","",_xlfn.IFNA(INDEX(Spectrum!$N:$N,MATCH(RIGHT($B19,13)&amp;"|"&amp;$C19&amp;"|"&amp;$D19&amp;"|"&amp;AH$14&amp;"|"&amp;"CY2023Q3",Spectrum!$R:$R,0)),""))</f>
        <v/>
      </c>
      <c r="AI19" s="10" t="str">
        <f aca="false">IF(LEFT($B19,4)="_Mil","",_xlfn.IFNA(ROUND(INDEX(Spectrum!$N:$N,MATCH(RIGHT($B19,13)&amp;"|"&amp;$C19&amp;"|"&amp;$D19&amp;"|"&amp;AI$14&amp;"|"&amp;"CY2023Q3",Spectrum!$R:$R,0)),0),""))</f>
        <v/>
      </c>
      <c r="AJ19" s="39" t="str">
        <f aca="false">IF(LEFT($B19,4)="_Mil","",_xlfn.IFNA(ROUND(INDEX(Spectrum!$N:$N,MATCH(RIGHT($B19,13)&amp;"|"&amp;$C19&amp;"|"&amp;$D19&amp;"|"&amp;AI$14&amp;"|"&amp;"CY2023Q3",Spectrum!$R:$R,0)),0),SUM($U19)+SUM($AI19)))</f>
        <v/>
      </c>
      <c r="AK19" s="10" t="str">
        <f aca="false">IF(LEFT($B19,4)="_Mil","",_xlfn.IFNA(ROUND(INDEX(Spectrum!$N:$N,MATCH(RIGHT($B19,13)&amp;"|"&amp;$C19&amp;"|"&amp;$D19&amp;"|"&amp;AK$14&amp;"|"&amp;"CY2023Q3",Spectrum!$R:$R,0)),0),""))</f>
        <v/>
      </c>
      <c r="AL19" s="88" t="str">
        <f aca="false">IF(OR(LEFT($B19,4)="_Mil",$C19="&lt;01"),"",MAX(SUM($AA19),90%))</f>
        <v/>
      </c>
      <c r="AM19" s="10" t="str">
        <f aca="false">IF(OR(LEFT($B19,4)="_Mil",$C19="&lt;01"),"",ROUND(SUM($AJ19)*SUM($AL19),0))</f>
        <v/>
      </c>
      <c r="AN19" s="10" t="str">
        <f aca="false">IF($C19="&lt;01",ROUND(INDEX(EID!$P:$P,MATCH($B19,EID!$B:$B,0))/2,0),"")</f>
        <v/>
      </c>
      <c r="AO19" s="10" t="n">
        <f aca="false">IF($C19="&lt;01",SUM($AN19),ROUND(SUM($AM19)*SUM($O19)/IF(SUM($Z19)=0,1,$Z19),0))</f>
        <v>0</v>
      </c>
      <c r="AP19" s="39" t="n">
        <f aca="false">IF(OR($F19="",$C19="&lt;01"),$AO19,$F19)</f>
        <v>0</v>
      </c>
      <c r="AQ19" s="39" t="str">
        <f aca="false">IF(LEFT($B19,4)="_Mil","",IF(SUM($AP19)=0,SUM($Z19),IF(OR(SUM($Z19)=0,SUM($O19)=0),MAX($AP19,$Z19),$AP19*$Z19/$O19)))</f>
        <v/>
      </c>
      <c r="AR19" s="88" t="str">
        <f aca="false">IF(OR(LEFT($B19,4)="_Mil",SUM($AJ19)=0),"",SUM($AQ19)/$AJ19)</f>
        <v/>
      </c>
      <c r="AS19" s="88" t="n">
        <f aca="false">IF($C19="&lt;01","",98%)</f>
        <v>0.98</v>
      </c>
      <c r="AT19" s="88" t="n">
        <f aca="false">IF($C19="&lt;01","",98%)</f>
        <v>0.98</v>
      </c>
      <c r="AU19" s="10" t="n">
        <f aca="false">IF($C19="&lt;01","",SUM($AP19)-SUM($O19))</f>
        <v>-45</v>
      </c>
      <c r="AV19" s="10" t="n">
        <f aca="false">IF($C19="&lt;01",ROUND(INDEX(EID!$N:$N,MATCH($B19,EID!$B:$B,0))/2,0),IF(SUM($AT19)=0,"",ROUND((SUM($AP19)-(SUM($O19)*SUM($AS19)))/$AT19,0)))</f>
        <v>-45</v>
      </c>
      <c r="AW19" s="88" t="n">
        <f aca="false">IF($C19="&lt;01","",100%)</f>
        <v>1</v>
      </c>
      <c r="AX19" s="39" t="n">
        <f aca="false">IF($C19="&lt;01",SUM($AV19),ROUND(SUM($AV19)*SUM($AW19),0))</f>
        <v>-45</v>
      </c>
      <c r="AY19" s="114" t="n">
        <f aca="false">IF($C19="&lt;01","",70%)</f>
        <v>0.7</v>
      </c>
      <c r="AZ19" s="91" t="n">
        <f aca="false">IF($C19="&lt;01",ROUND(INDEX(EID!$R:$R,MATCH($B19,EID!$B:$B,0))/2,0),ROUND(SUM($O19)+(SUM($AV19)*$AY19),0))</f>
        <v>14</v>
      </c>
      <c r="BA19" s="87" t="n">
        <f aca="false">IF($C19="&lt;01","",95%)</f>
        <v>0.95</v>
      </c>
      <c r="BB19" s="5" t="n">
        <f aca="false">IF($C19="&lt;01",ROUND(INDEX(EID!$T:$T,MATCH($B19,EID!$B:$B,0))/2,0),ROUND($AZ19*$BA19,0))</f>
        <v>13</v>
      </c>
      <c r="BC19" s="91" t="str">
        <f aca="false">IF(LEFT($B19,4)="_Mil","",IF(SUM($BB19)=0,SUM($AD19),IF(OR(SUM($AP19)=0,SUM($AQ19)=0),MAX($BB19,$AD19),ROUND($BB19*$AQ19/$AP19,0))))</f>
        <v/>
      </c>
      <c r="BD19" s="88" t="n">
        <f aca="false">IF($C19="&lt;01","",95%)</f>
        <v>0.95</v>
      </c>
      <c r="BE19" s="39" t="n">
        <f aca="false">IF($C19="&lt;01",ROUND(INDEX(EID!$V:$V,MATCH($B19,EID!$B:$B,0))/2,0),ROUND($BD19*$BB19,0))</f>
        <v>12</v>
      </c>
      <c r="BF19" s="39" t="str">
        <f aca="false">IF(LEFT($B19,4)="_Mil","",IF(SUM($BE19)=0,SUM($AF19),IF(OR(SUM($AP19)=0,SUM($AQ19)=0),MAX($BE19,$AF19),ROUND($BE19*$AQ19/$AP19,0))))</f>
        <v/>
      </c>
      <c r="BG19" s="114" t="n">
        <f aca="false">IF($C19="&lt;01","",95%)</f>
        <v>0.95</v>
      </c>
      <c r="BH19" s="5" t="n">
        <f aca="false">IF($C19="&lt;01",ROUND(INDEX(EID!$L:$L,MATCH($B19,EID!$B:$B,0)),0)/2,IF(SUM($BG19)=0,"",ROUND($AX19/$BG19,0)))</f>
        <v>-47</v>
      </c>
    </row>
    <row r="20" customFormat="false" ht="15" hidden="false" customHeight="false" outlineLevel="0" collapsed="false">
      <c r="A20" s="0" t="str">
        <f aca="false">INDEX(Prioritization!$D:$D,MATCH($B20,Prioritization!$A:$A,0))</f>
        <v>Military</v>
      </c>
      <c r="B20" s="0" t="s">
        <v>194</v>
      </c>
      <c r="C20" s="0" t="s">
        <v>364</v>
      </c>
      <c r="D20" s="0" t="s">
        <v>48</v>
      </c>
      <c r="E20" s="0" t="str">
        <f aca="false">$B20&amp;"|"&amp;$C20&amp;"|"&amp;$D20</f>
        <v>_Military Malawi [PQZgU9dagaH]|10-14|Male</v>
      </c>
      <c r="F20" s="10"/>
      <c r="G20" s="10" t="n">
        <v>3</v>
      </c>
      <c r="H20" s="10" t="n">
        <v>0</v>
      </c>
      <c r="I20" s="10" t="n">
        <v>3</v>
      </c>
      <c r="J20" s="10" t="n">
        <v>9</v>
      </c>
      <c r="K20" s="10" t="n">
        <v>2</v>
      </c>
      <c r="L20" s="10" t="n">
        <v>6</v>
      </c>
      <c r="M20" s="10" t="n">
        <v>3</v>
      </c>
      <c r="N20" s="10" t="n">
        <v>76</v>
      </c>
      <c r="O20" s="10" t="n">
        <f aca="false">IFERROR(1/(1/MAX($I20,$N20)),"")</f>
        <v>76</v>
      </c>
      <c r="P20" s="10" t="n">
        <v>55</v>
      </c>
      <c r="Q20" s="10" t="n">
        <v>8</v>
      </c>
      <c r="R20" s="10" t="n">
        <f aca="false">IF(AND(SUM($I20)=0,SUM($O20)=0),"",SUM($O20)-$I20)</f>
        <v>73</v>
      </c>
      <c r="S20" s="10" t="str">
        <f aca="false">IF(LEFT($B20,4)="_Mil","",_xlfn.IFNA(ROUND(INDEX(Spectrum!$N:$N,MATCH(RIGHT($B20,13)&amp;"|"&amp;$C20&amp;"|"&amp;$D20&amp;"|"&amp;S$14&amp;"|"&amp;"CY2022Q4",Spectrum!$R:$R,0)),0),""))</f>
        <v/>
      </c>
      <c r="T20" s="39" t="str">
        <f aca="false">IF(LEFT($B20,4)="_Mil","",_xlfn.IFNA(ROUND(INDEX(Spectrum!$N:$N,MATCH(RIGHT($B20,13)&amp;"|"&amp;$C20&amp;"|"&amp;$D20&amp;"|"&amp;T$14&amp;"|"&amp;"CY2023Q3",Spectrum!$R:$R,0)),0),""))</f>
        <v/>
      </c>
      <c r="U20" s="39" t="str">
        <f aca="false">IF(LEFT($B20,4)="_Mil","",_xlfn.IFNA(ROUND(INDEX(Spectrum!$N:$N,MATCH(RIGHT($B20,13)&amp;"|"&amp;$C20&amp;"|"&amp;$D20&amp;"|"&amp;U$14&amp;"|"&amp;"CY2023Q3",Spectrum!$R:$R,0)),0),""))</f>
        <v/>
      </c>
      <c r="V20" s="10" t="str">
        <f aca="false">IF(LEFT($B20,4)="_Mil","",_xlfn.IFNA(ROUND(INDEX(Spectrum!$N:$N,MATCH(RIGHT($B20,13)&amp;"|"&amp;$C20&amp;"|"&amp;$D20&amp;"|"&amp;V$14&amp;"|"&amp;"CY2023Q3",Spectrum!$R:$R,0)),0),""))</f>
        <v/>
      </c>
      <c r="W20" s="113" t="str">
        <f aca="false">IF(LEFT($B20,4)="_Mil","",_xlfn.IFNA(INDEX(Spectrum!$N:$N,MATCH(RIGHT($B20,13)&amp;"|"&amp;$C20&amp;"|"&amp;$D20&amp;"|"&amp;W$14&amp;"|"&amp;"CY2023Q3",Spectrum!$R:$R,0)),""))</f>
        <v/>
      </c>
      <c r="X20" s="39" t="str">
        <f aca="false">IF(LEFT($B20,4)="_Mil","",_xlfn.IFNA(ROUND(INDEX(Spectrum!$N:$N,MATCH(RIGHT($B20,13)&amp;"|"&amp;$C20&amp;"|"&amp;$D20&amp;"|"&amp;X$14&amp;"|"&amp;"CY2023Q3",Spectrum!$R:$R,0)),0),""))</f>
        <v/>
      </c>
      <c r="Y20" s="88" t="str">
        <f aca="false">IF(OR(SUM($U20)=0,LEFT($B20,4)="_Mil"),"",SUM($X20)/$U20)</f>
        <v/>
      </c>
      <c r="Z20" s="39" t="str">
        <f aca="false">IF(LEFT($B20,4)="_Mil","",_xlfn.IFNA(ROUND(INDEX(Spectrum!$N:$N,MATCH(RIGHT($B20,13)&amp;"|"&amp;$C20&amp;"|"&amp;$D20&amp;"|"&amp;Z$14&amp;"|"&amp;"CY2023Q3",Spectrum!$R:$R,0)),0),""))</f>
        <v/>
      </c>
      <c r="AA20" s="88" t="str">
        <f aca="false">IF(LEFT($B20,4)="_Mil","",IFERROR(1/(1/INDEX(Spectrum!$N:$N,MATCH(RIGHT($B20,13)&amp;"|"&amp;$C20&amp;"|"&amp;$D20&amp;"|"&amp;AA$14&amp;"|"&amp;"CY2023Q3",Spectrum!$R:$R,0))),IF(SUM($U20)=0,"",SUM($Z20)/$U20)))</f>
        <v/>
      </c>
      <c r="AB20" s="88" t="str">
        <f aca="false">IF(OR(LEFT($B20,4)="_Mil",SUM($X20)=0),"",SUM($Z20)/$X20)</f>
        <v/>
      </c>
      <c r="AC20" s="10" t="str">
        <f aca="false">IF(LEFT($B20,4)="_Mil","",_xlfn.IFNA(ROUND(INDEX(Spectrum!$N:$N,MATCH(RIGHT($B20,13)&amp;"|"&amp;$C20&amp;"|"&amp;$D20&amp;"|"&amp;AC$14&amp;"|"&amp;"CY2023Q3",Spectrum!$R:$R,0)),0),""))</f>
        <v/>
      </c>
      <c r="AD20" s="10" t="str">
        <f aca="false">IF(LEFT($B20,4)="_Mil","",_xlfn.IFNA(ROUND(INDEX(Spectrum!$N:$N,MATCH(RIGHT($B20,13)&amp;"|"&amp;$C20&amp;"|"&amp;$D20&amp;"|"&amp;AD$14&amp;"|"&amp;"CY2023Q3",Spectrum!$R:$R,0)),0),""))</f>
        <v/>
      </c>
      <c r="AE20" s="88" t="str">
        <f aca="false">IF(OR(LEFT($B20,4)="_Mil",SUM($Z20)=0),"",SUM($AD20)/$Z20)</f>
        <v/>
      </c>
      <c r="AF20" s="39" t="str">
        <f aca="false">IF(LEFT($B20,4)="_Mil","",_xlfn.IFNA(ROUND(INDEX(Spectrum!$N:$N,MATCH(RIGHT($B20,13)&amp;"|"&amp;$C20&amp;"|"&amp;$D20&amp;"|"&amp;AF$14&amp;"|"&amp;"CY2023Q3",Spectrum!$R:$R,0)),0),""))</f>
        <v/>
      </c>
      <c r="AG20" s="88" t="str">
        <f aca="false">IF(OR(LEFT($B20,4)="_Mil",SUM($AD20)=0),"",SUM($AF20)/$AD20)</f>
        <v/>
      </c>
      <c r="AH20" s="86" t="str">
        <f aca="false">IF(LEFT($B20,4)="_Mil","",_xlfn.IFNA(INDEX(Spectrum!$N:$N,MATCH(RIGHT($B20,13)&amp;"|"&amp;$C20&amp;"|"&amp;$D20&amp;"|"&amp;AH$14&amp;"|"&amp;"CY2023Q3",Spectrum!$R:$R,0)),""))</f>
        <v/>
      </c>
      <c r="AI20" s="10" t="str">
        <f aca="false">IF(LEFT($B20,4)="_Mil","",_xlfn.IFNA(ROUND(INDEX(Spectrum!$N:$N,MATCH(RIGHT($B20,13)&amp;"|"&amp;$C20&amp;"|"&amp;$D20&amp;"|"&amp;AI$14&amp;"|"&amp;"CY2023Q3",Spectrum!$R:$R,0)),0),""))</f>
        <v/>
      </c>
      <c r="AJ20" s="39" t="str">
        <f aca="false">IF(LEFT($B20,4)="_Mil","",_xlfn.IFNA(ROUND(INDEX(Spectrum!$N:$N,MATCH(RIGHT($B20,13)&amp;"|"&amp;$C20&amp;"|"&amp;$D20&amp;"|"&amp;AI$14&amp;"|"&amp;"CY2023Q3",Spectrum!$R:$R,0)),0),SUM($U20)+SUM($AI20)))</f>
        <v/>
      </c>
      <c r="AK20" s="10" t="str">
        <f aca="false">IF(LEFT($B20,4)="_Mil","",_xlfn.IFNA(ROUND(INDEX(Spectrum!$N:$N,MATCH(RIGHT($B20,13)&amp;"|"&amp;$C20&amp;"|"&amp;$D20&amp;"|"&amp;AK$14&amp;"|"&amp;"CY2023Q3",Spectrum!$R:$R,0)),0),""))</f>
        <v/>
      </c>
      <c r="AL20" s="88" t="str">
        <f aca="false">IF(OR(LEFT($B20,4)="_Mil",$C20="&lt;01"),"",MAX(SUM($AA20),90%))</f>
        <v/>
      </c>
      <c r="AM20" s="10" t="str">
        <f aca="false">IF(OR(LEFT($B20,4)="_Mil",$C20="&lt;01"),"",ROUND(SUM($AJ20)*SUM($AL20),0))</f>
        <v/>
      </c>
      <c r="AN20" s="10" t="str">
        <f aca="false">IF($C20="&lt;01",ROUND(INDEX(EID!$P:$P,MATCH($B20,EID!$B:$B,0))/2,0),"")</f>
        <v/>
      </c>
      <c r="AO20" s="10" t="n">
        <f aca="false">IF($C20="&lt;01",SUM($AN20),ROUND(SUM($AM20)*SUM($O20)/IF(SUM($Z20)=0,1,$Z20),0))</f>
        <v>0</v>
      </c>
      <c r="AP20" s="39" t="n">
        <f aca="false">IF(OR($F20="",$C20="&lt;01"),$AO20,$F20)</f>
        <v>0</v>
      </c>
      <c r="AQ20" s="39" t="str">
        <f aca="false">IF(LEFT($B20,4)="_Mil","",IF(SUM($AP20)=0,SUM($Z20),IF(OR(SUM($Z20)=0,SUM($O20)=0),MAX($AP20,$Z20),$AP20*$Z20/$O20)))</f>
        <v/>
      </c>
      <c r="AR20" s="88" t="str">
        <f aca="false">IF(OR(LEFT($B20,4)="_Mil",SUM($AJ20)=0),"",SUM($AQ20)/$AJ20)</f>
        <v/>
      </c>
      <c r="AS20" s="88" t="n">
        <f aca="false">IF($C20="&lt;01","",98%)</f>
        <v>0.98</v>
      </c>
      <c r="AT20" s="88" t="n">
        <f aca="false">IF($C20="&lt;01","",98%)</f>
        <v>0.98</v>
      </c>
      <c r="AU20" s="10" t="n">
        <f aca="false">IF($C20="&lt;01","",SUM($AP20)-SUM($O20))</f>
        <v>-76</v>
      </c>
      <c r="AV20" s="10" t="n">
        <f aca="false">IF($C20="&lt;01",ROUND(INDEX(EID!$N:$N,MATCH($B20,EID!$B:$B,0))/2,0),IF(SUM($AT20)=0,"",ROUND((SUM($AP20)-(SUM($O20)*SUM($AS20)))/$AT20,0)))</f>
        <v>-76</v>
      </c>
      <c r="AW20" s="88" t="n">
        <f aca="false">IF($C20="&lt;01","",100%)</f>
        <v>1</v>
      </c>
      <c r="AX20" s="39" t="n">
        <f aca="false">IF($C20="&lt;01",SUM($AV20),ROUND(SUM($AV20)*SUM($AW20),0))</f>
        <v>-76</v>
      </c>
      <c r="AY20" s="114" t="n">
        <f aca="false">IF($C20="&lt;01","",70%)</f>
        <v>0.7</v>
      </c>
      <c r="AZ20" s="91" t="n">
        <f aca="false">IF($C20="&lt;01",ROUND(INDEX(EID!$R:$R,MATCH($B20,EID!$B:$B,0))/2,0),ROUND(SUM($O20)+(SUM($AV20)*$AY20),0))</f>
        <v>23</v>
      </c>
      <c r="BA20" s="87" t="n">
        <f aca="false">IF($C20="&lt;01","",95%)</f>
        <v>0.95</v>
      </c>
      <c r="BB20" s="5" t="n">
        <f aca="false">IF($C20="&lt;01",ROUND(INDEX(EID!$T:$T,MATCH($B20,EID!$B:$B,0))/2,0),ROUND($AZ20*$BA20,0))</f>
        <v>22</v>
      </c>
      <c r="BC20" s="91" t="str">
        <f aca="false">IF(LEFT($B20,4)="_Mil","",IF(SUM($BB20)=0,SUM($AD20),IF(OR(SUM($AP20)=0,SUM($AQ20)=0),MAX($BB20,$AD20),ROUND($BB20*$AQ20/$AP20,0))))</f>
        <v/>
      </c>
      <c r="BD20" s="88" t="n">
        <f aca="false">IF($C20="&lt;01","",95%)</f>
        <v>0.95</v>
      </c>
      <c r="BE20" s="39" t="n">
        <f aca="false">IF($C20="&lt;01",ROUND(INDEX(EID!$V:$V,MATCH($B20,EID!$B:$B,0))/2,0),ROUND($BD20*$BB20,0))</f>
        <v>21</v>
      </c>
      <c r="BF20" s="39" t="str">
        <f aca="false">IF(LEFT($B20,4)="_Mil","",IF(SUM($BE20)=0,SUM($AF20),IF(OR(SUM($AP20)=0,SUM($AQ20)=0),MAX($BE20,$AF20),ROUND($BE20*$AQ20/$AP20,0))))</f>
        <v/>
      </c>
      <c r="BG20" s="114" t="n">
        <f aca="false">IF($C20="&lt;01","",95%)</f>
        <v>0.95</v>
      </c>
      <c r="BH20" s="5" t="n">
        <f aca="false">IF($C20="&lt;01",ROUND(INDEX(EID!$L:$L,MATCH($B20,EID!$B:$B,0)),0)/2,IF(SUM($BG20)=0,"",ROUND($AX20/$BG20,0)))</f>
        <v>-80</v>
      </c>
    </row>
    <row r="21" customFormat="false" ht="15" hidden="false" customHeight="false" outlineLevel="0" collapsed="false">
      <c r="A21" s="0" t="str">
        <f aca="false">INDEX(Prioritization!$D:$D,MATCH($B21,Prioritization!$A:$A,0))</f>
        <v>Military</v>
      </c>
      <c r="B21" s="0" t="s">
        <v>194</v>
      </c>
      <c r="C21" s="0" t="s">
        <v>365</v>
      </c>
      <c r="D21" s="0" t="s">
        <v>30</v>
      </c>
      <c r="E21" s="0" t="str">
        <f aca="false">$B21&amp;"|"&amp;$C21&amp;"|"&amp;$D21</f>
        <v>_Military Malawi [PQZgU9dagaH]|15-24|Female</v>
      </c>
      <c r="F21" s="10"/>
      <c r="G21" s="10"/>
      <c r="H21" s="10"/>
      <c r="I21" s="10"/>
      <c r="J21" s="10"/>
      <c r="K21" s="10"/>
      <c r="L21" s="10"/>
      <c r="M21" s="10"/>
      <c r="N21" s="10"/>
      <c r="O21" s="10" t="str">
        <f aca="false">IFERROR(1/(1/MAX($I21,$N21)),"")</f>
        <v/>
      </c>
      <c r="P21" s="10"/>
      <c r="Q21" s="10"/>
      <c r="R21" s="10" t="str">
        <f aca="false">IF(AND(SUM($I21)=0,SUM($O21)=0),"",SUM($O21)-$I21)</f>
        <v/>
      </c>
      <c r="S21" s="10" t="str">
        <f aca="false">IF(LEFT($B21,4)="_Mil","",_xlfn.IFNA(ROUND(INDEX(Spectrum!$N:$N,MATCH(RIGHT($B21,13)&amp;"|"&amp;$C21&amp;"|"&amp;$D21&amp;"|"&amp;S$14&amp;"|"&amp;"CY2022Q4",Spectrum!$R:$R,0)),0),""))</f>
        <v/>
      </c>
      <c r="T21" s="39" t="str">
        <f aca="false">IF(LEFT($B21,4)="_Mil","",_xlfn.IFNA(ROUND(INDEX(Spectrum!$N:$N,MATCH(RIGHT($B21,13)&amp;"|"&amp;$C21&amp;"|"&amp;$D21&amp;"|"&amp;T$14&amp;"|"&amp;"CY2023Q3",Spectrum!$R:$R,0)),0),""))</f>
        <v/>
      </c>
      <c r="U21" s="39" t="str">
        <f aca="false">IF(LEFT($B21,4)="_Mil","",_xlfn.IFNA(ROUND(INDEX(Spectrum!$N:$N,MATCH(RIGHT($B21,13)&amp;"|"&amp;$C21&amp;"|"&amp;$D21&amp;"|"&amp;U$14&amp;"|"&amp;"CY2023Q3",Spectrum!$R:$R,0)),0),""))</f>
        <v/>
      </c>
      <c r="V21" s="10" t="str">
        <f aca="false">IF(LEFT($B21,4)="_Mil","",_xlfn.IFNA(ROUND(INDEX(Spectrum!$N:$N,MATCH(RIGHT($B21,13)&amp;"|"&amp;$C21&amp;"|"&amp;$D21&amp;"|"&amp;V$14&amp;"|"&amp;"CY2023Q3",Spectrum!$R:$R,0)),0),""))</f>
        <v/>
      </c>
      <c r="W21" s="113" t="str">
        <f aca="false">IF(LEFT($B21,4)="_Mil","",_xlfn.IFNA(INDEX(Spectrum!$N:$N,MATCH(RIGHT($B21,13)&amp;"|"&amp;$C21&amp;"|"&amp;$D21&amp;"|"&amp;W$14&amp;"|"&amp;"CY2023Q3",Spectrum!$R:$R,0)),""))</f>
        <v/>
      </c>
      <c r="X21" s="39" t="str">
        <f aca="false">IF(LEFT($B21,4)="_Mil","",_xlfn.IFNA(ROUND(INDEX(Spectrum!$N:$N,MATCH(RIGHT($B21,13)&amp;"|"&amp;$C21&amp;"|"&amp;$D21&amp;"|"&amp;X$14&amp;"|"&amp;"CY2023Q3",Spectrum!$R:$R,0)),0),""))</f>
        <v/>
      </c>
      <c r="Y21" s="88" t="str">
        <f aca="false">IF(OR(SUM($U21)=0,LEFT($B21,4)="_Mil"),"",SUM($X21)/$U21)</f>
        <v/>
      </c>
      <c r="Z21" s="39" t="str">
        <f aca="false">IF(LEFT($B21,4)="_Mil","",_xlfn.IFNA(ROUND(INDEX(Spectrum!$N:$N,MATCH(RIGHT($B21,13)&amp;"|"&amp;$C21&amp;"|"&amp;$D21&amp;"|"&amp;Z$14&amp;"|"&amp;"CY2023Q3",Spectrum!$R:$R,0)),0),""))</f>
        <v/>
      </c>
      <c r="AA21" s="88" t="str">
        <f aca="false">IF(LEFT($B21,4)="_Mil","",IFERROR(1/(1/INDEX(Spectrum!$N:$N,MATCH(RIGHT($B21,13)&amp;"|"&amp;$C21&amp;"|"&amp;$D21&amp;"|"&amp;AA$14&amp;"|"&amp;"CY2023Q3",Spectrum!$R:$R,0))),IF(SUM($U21)=0,"",SUM($Z21)/$U21)))</f>
        <v/>
      </c>
      <c r="AB21" s="88" t="str">
        <f aca="false">IF(OR(LEFT($B21,4)="_Mil",SUM($X21)=0),"",SUM($Z21)/$X21)</f>
        <v/>
      </c>
      <c r="AC21" s="10" t="str">
        <f aca="false">IF(LEFT($B21,4)="_Mil","",_xlfn.IFNA(ROUND(INDEX(Spectrum!$N:$N,MATCH(RIGHT($B21,13)&amp;"|"&amp;$C21&amp;"|"&amp;$D21&amp;"|"&amp;AC$14&amp;"|"&amp;"CY2023Q3",Spectrum!$R:$R,0)),0),""))</f>
        <v/>
      </c>
      <c r="AD21" s="10" t="str">
        <f aca="false">IF(LEFT($B21,4)="_Mil","",_xlfn.IFNA(ROUND(INDEX(Spectrum!$N:$N,MATCH(RIGHT($B21,13)&amp;"|"&amp;$C21&amp;"|"&amp;$D21&amp;"|"&amp;AD$14&amp;"|"&amp;"CY2023Q3",Spectrum!$R:$R,0)),0),""))</f>
        <v/>
      </c>
      <c r="AE21" s="88" t="str">
        <f aca="false">IF(OR(LEFT($B21,4)="_Mil",SUM($Z21)=0),"",SUM($AD21)/$Z21)</f>
        <v/>
      </c>
      <c r="AF21" s="39" t="str">
        <f aca="false">IF(LEFT($B21,4)="_Mil","",_xlfn.IFNA(ROUND(INDEX(Spectrum!$N:$N,MATCH(RIGHT($B21,13)&amp;"|"&amp;$C21&amp;"|"&amp;$D21&amp;"|"&amp;AF$14&amp;"|"&amp;"CY2023Q3",Spectrum!$R:$R,0)),0),""))</f>
        <v/>
      </c>
      <c r="AG21" s="88" t="str">
        <f aca="false">IF(OR(LEFT($B21,4)="_Mil",SUM($AD21)=0),"",SUM($AF21)/$AD21)</f>
        <v/>
      </c>
      <c r="AH21" s="86" t="str">
        <f aca="false">IF(LEFT($B21,4)="_Mil","",_xlfn.IFNA(INDEX(Spectrum!$N:$N,MATCH(RIGHT($B21,13)&amp;"|"&amp;$C21&amp;"|"&amp;$D21&amp;"|"&amp;AH$14&amp;"|"&amp;"CY2023Q3",Spectrum!$R:$R,0)),""))</f>
        <v/>
      </c>
      <c r="AI21" s="10" t="str">
        <f aca="false">IF(LEFT($B21,4)="_Mil","",_xlfn.IFNA(ROUND(INDEX(Spectrum!$N:$N,MATCH(RIGHT($B21,13)&amp;"|"&amp;$C21&amp;"|"&amp;$D21&amp;"|"&amp;AI$14&amp;"|"&amp;"CY2023Q3",Spectrum!$R:$R,0)),0),""))</f>
        <v/>
      </c>
      <c r="AJ21" s="39" t="str">
        <f aca="false">IF(LEFT($B21,4)="_Mil","",_xlfn.IFNA(ROUND(INDEX(Spectrum!$N:$N,MATCH(RIGHT($B21,13)&amp;"|"&amp;$C21&amp;"|"&amp;$D21&amp;"|"&amp;AI$14&amp;"|"&amp;"CY2023Q3",Spectrum!$R:$R,0)),0),SUM($U21)+SUM($AI21)))</f>
        <v/>
      </c>
      <c r="AK21" s="10" t="str">
        <f aca="false">IF(LEFT($B21,4)="_Mil","",_xlfn.IFNA(ROUND(INDEX(Spectrum!$N:$N,MATCH(RIGHT($B21,13)&amp;"|"&amp;$C21&amp;"|"&amp;$D21&amp;"|"&amp;AK$14&amp;"|"&amp;"CY2023Q3",Spectrum!$R:$R,0)),0),""))</f>
        <v/>
      </c>
      <c r="AL21" s="88" t="str">
        <f aca="false">IF(OR(LEFT($B21,4)="_Mil",$C21="&lt;01"),"",MAX(SUM($AA21),90%))</f>
        <v/>
      </c>
      <c r="AM21" s="10" t="str">
        <f aca="false">IF(OR(LEFT($B21,4)="_Mil",$C21="&lt;01"),"",ROUND(SUM($AJ21)*SUM($AL21),0))</f>
        <v/>
      </c>
      <c r="AN21" s="10" t="str">
        <f aca="false">IF($C21="&lt;01",ROUND(INDEX(EID!$P:$P,MATCH($B21,EID!$B:$B,0))/2,0),"")</f>
        <v/>
      </c>
      <c r="AO21" s="10" t="n">
        <f aca="false">IF($C21="&lt;01",SUM($AN21),ROUND(SUM($AM21)*SUM($O21)/IF(SUM($Z21)=0,1,$Z21),0))</f>
        <v>0</v>
      </c>
      <c r="AP21" s="39" t="n">
        <f aca="false">IF(OR($F21="",$C21="&lt;01"),$AO21,$F21)</f>
        <v>0</v>
      </c>
      <c r="AQ21" s="39" t="str">
        <f aca="false">IF(LEFT($B21,4)="_Mil","",IF(SUM($AP21)=0,SUM($Z21),IF(OR(SUM($Z21)=0,SUM($O21)=0),MAX($AP21,$Z21),$AP21*$Z21/$O21)))</f>
        <v/>
      </c>
      <c r="AR21" s="88" t="str">
        <f aca="false">IF(OR(LEFT($B21,4)="_Mil",SUM($AJ21)=0),"",SUM($AQ21)/$AJ21)</f>
        <v/>
      </c>
      <c r="AS21" s="88" t="n">
        <f aca="false">IF($C21="&lt;01","",98%)</f>
        <v>0.98</v>
      </c>
      <c r="AT21" s="88" t="n">
        <f aca="false">IF($C21="&lt;01","",98%)</f>
        <v>0.98</v>
      </c>
      <c r="AU21" s="10" t="n">
        <f aca="false">IF($C21="&lt;01","",SUM($AP21)-SUM($O21))</f>
        <v>0</v>
      </c>
      <c r="AV21" s="10" t="n">
        <f aca="false">IF($C21="&lt;01",ROUND(INDEX(EID!$N:$N,MATCH($B21,EID!$B:$B,0))/2,0),IF(SUM($AT21)=0,"",ROUND((SUM($AP21)-(SUM($O21)*SUM($AS21)))/$AT21,0)))</f>
        <v>0</v>
      </c>
      <c r="AW21" s="88" t="n">
        <f aca="false">IF($C21="&lt;01","",100%)</f>
        <v>1</v>
      </c>
      <c r="AX21" s="39" t="n">
        <f aca="false">IF($C21="&lt;01",SUM($AV21),ROUND(SUM($AV21)*SUM($AW21),0))</f>
        <v>0</v>
      </c>
      <c r="AY21" s="114" t="n">
        <f aca="false">IF($C21="&lt;01","",70%)</f>
        <v>0.7</v>
      </c>
      <c r="AZ21" s="91" t="n">
        <f aca="false">IF($C21="&lt;01",ROUND(INDEX(EID!$R:$R,MATCH($B21,EID!$B:$B,0))/2,0),ROUND(SUM($O21)+(SUM($AV21)*$AY21),0))</f>
        <v>0</v>
      </c>
      <c r="BA21" s="87" t="n">
        <f aca="false">IF($C21="&lt;01","",95%)</f>
        <v>0.95</v>
      </c>
      <c r="BB21" s="5" t="n">
        <f aca="false">IF($C21="&lt;01",ROUND(INDEX(EID!$T:$T,MATCH($B21,EID!$B:$B,0))/2,0),ROUND($AZ21*$BA21,0))</f>
        <v>0</v>
      </c>
      <c r="BC21" s="91" t="str">
        <f aca="false">IF(LEFT($B21,4)="_Mil","",IF(SUM($BB21)=0,SUM($AD21),IF(OR(SUM($AP21)=0,SUM($AQ21)=0),MAX($BB21,$AD21),ROUND($BB21*$AQ21/$AP21,0))))</f>
        <v/>
      </c>
      <c r="BD21" s="88" t="n">
        <f aca="false">IF($C21="&lt;01","",95%)</f>
        <v>0.95</v>
      </c>
      <c r="BE21" s="39" t="n">
        <f aca="false">IF($C21="&lt;01",ROUND(INDEX(EID!$V:$V,MATCH($B21,EID!$B:$B,0))/2,0),ROUND($BD21*$BB21,0))</f>
        <v>0</v>
      </c>
      <c r="BF21" s="39" t="str">
        <f aca="false">IF(LEFT($B21,4)="_Mil","",IF(SUM($BE21)=0,SUM($AF21),IF(OR(SUM($AP21)=0,SUM($AQ21)=0),MAX($BE21,$AF21),ROUND($BE21*$AQ21/$AP21,0))))</f>
        <v/>
      </c>
      <c r="BG21" s="114" t="n">
        <f aca="false">IF($C21="&lt;01","",95%)</f>
        <v>0.95</v>
      </c>
      <c r="BH21" s="5" t="n">
        <f aca="false">IF($C21="&lt;01",ROUND(INDEX(EID!$L:$L,MATCH($B21,EID!$B:$B,0)),0)/2,IF(SUM($BG21)=0,"",ROUND($AX21/$BG21,0)))</f>
        <v>0</v>
      </c>
    </row>
    <row r="22" customFormat="false" ht="15" hidden="false" customHeight="false" outlineLevel="0" collapsed="false">
      <c r="A22" s="0" t="str">
        <f aca="false">INDEX(Prioritization!$D:$D,MATCH($B22,Prioritization!$A:$A,0))</f>
        <v>Military</v>
      </c>
      <c r="B22" s="0" t="s">
        <v>194</v>
      </c>
      <c r="C22" s="0" t="s">
        <v>365</v>
      </c>
      <c r="D22" s="0" t="s">
        <v>48</v>
      </c>
      <c r="E22" s="0" t="str">
        <f aca="false">$B22&amp;"|"&amp;$C22&amp;"|"&amp;$D22</f>
        <v>_Military Malawi [PQZgU9dagaH]|15-24|Male</v>
      </c>
      <c r="F22" s="10"/>
      <c r="G22" s="10"/>
      <c r="H22" s="10"/>
      <c r="I22" s="10"/>
      <c r="J22" s="10"/>
      <c r="K22" s="10"/>
      <c r="L22" s="10"/>
      <c r="M22" s="10"/>
      <c r="N22" s="10"/>
      <c r="O22" s="10" t="str">
        <f aca="false">IFERROR(1/(1/MAX($I22,$N22)),"")</f>
        <v/>
      </c>
      <c r="P22" s="10"/>
      <c r="Q22" s="10"/>
      <c r="R22" s="10" t="str">
        <f aca="false">IF(AND(SUM($I22)=0,SUM($O22)=0),"",SUM($O22)-$I22)</f>
        <v/>
      </c>
      <c r="S22" s="10" t="str">
        <f aca="false">IF(LEFT($B22,4)="_Mil","",_xlfn.IFNA(ROUND(INDEX(Spectrum!$N:$N,MATCH(RIGHT($B22,13)&amp;"|"&amp;$C22&amp;"|"&amp;$D22&amp;"|"&amp;S$14&amp;"|"&amp;"CY2022Q4",Spectrum!$R:$R,0)),0),""))</f>
        <v/>
      </c>
      <c r="T22" s="39" t="str">
        <f aca="false">IF(LEFT($B22,4)="_Mil","",_xlfn.IFNA(ROUND(INDEX(Spectrum!$N:$N,MATCH(RIGHT($B22,13)&amp;"|"&amp;$C22&amp;"|"&amp;$D22&amp;"|"&amp;T$14&amp;"|"&amp;"CY2023Q3",Spectrum!$R:$R,0)),0),""))</f>
        <v/>
      </c>
      <c r="U22" s="39" t="str">
        <f aca="false">IF(LEFT($B22,4)="_Mil","",_xlfn.IFNA(ROUND(INDEX(Spectrum!$N:$N,MATCH(RIGHT($B22,13)&amp;"|"&amp;$C22&amp;"|"&amp;$D22&amp;"|"&amp;U$14&amp;"|"&amp;"CY2023Q3",Spectrum!$R:$R,0)),0),""))</f>
        <v/>
      </c>
      <c r="V22" s="10" t="str">
        <f aca="false">IF(LEFT($B22,4)="_Mil","",_xlfn.IFNA(ROUND(INDEX(Spectrum!$N:$N,MATCH(RIGHT($B22,13)&amp;"|"&amp;$C22&amp;"|"&amp;$D22&amp;"|"&amp;V$14&amp;"|"&amp;"CY2023Q3",Spectrum!$R:$R,0)),0),""))</f>
        <v/>
      </c>
      <c r="W22" s="113" t="str">
        <f aca="false">IF(LEFT($B22,4)="_Mil","",_xlfn.IFNA(INDEX(Spectrum!$N:$N,MATCH(RIGHT($B22,13)&amp;"|"&amp;$C22&amp;"|"&amp;$D22&amp;"|"&amp;W$14&amp;"|"&amp;"CY2023Q3",Spectrum!$R:$R,0)),""))</f>
        <v/>
      </c>
      <c r="X22" s="39" t="str">
        <f aca="false">IF(LEFT($B22,4)="_Mil","",_xlfn.IFNA(ROUND(INDEX(Spectrum!$N:$N,MATCH(RIGHT($B22,13)&amp;"|"&amp;$C22&amp;"|"&amp;$D22&amp;"|"&amp;X$14&amp;"|"&amp;"CY2023Q3",Spectrum!$R:$R,0)),0),""))</f>
        <v/>
      </c>
      <c r="Y22" s="88" t="str">
        <f aca="false">IF(OR(SUM($U22)=0,LEFT($B22,4)="_Mil"),"",SUM($X22)/$U22)</f>
        <v/>
      </c>
      <c r="Z22" s="39" t="str">
        <f aca="false">IF(LEFT($B22,4)="_Mil","",_xlfn.IFNA(ROUND(INDEX(Spectrum!$N:$N,MATCH(RIGHT($B22,13)&amp;"|"&amp;$C22&amp;"|"&amp;$D22&amp;"|"&amp;Z$14&amp;"|"&amp;"CY2023Q3",Spectrum!$R:$R,0)),0),""))</f>
        <v/>
      </c>
      <c r="AA22" s="88" t="str">
        <f aca="false">IF(LEFT($B22,4)="_Mil","",IFERROR(1/(1/INDEX(Spectrum!$N:$N,MATCH(RIGHT($B22,13)&amp;"|"&amp;$C22&amp;"|"&amp;$D22&amp;"|"&amp;AA$14&amp;"|"&amp;"CY2023Q3",Spectrum!$R:$R,0))),IF(SUM($U22)=0,"",SUM($Z22)/$U22)))</f>
        <v/>
      </c>
      <c r="AB22" s="88" t="str">
        <f aca="false">IF(OR(LEFT($B22,4)="_Mil",SUM($X22)=0),"",SUM($Z22)/$X22)</f>
        <v/>
      </c>
      <c r="AC22" s="10" t="str">
        <f aca="false">IF(LEFT($B22,4)="_Mil","",_xlfn.IFNA(ROUND(INDEX(Spectrum!$N:$N,MATCH(RIGHT($B22,13)&amp;"|"&amp;$C22&amp;"|"&amp;$D22&amp;"|"&amp;AC$14&amp;"|"&amp;"CY2023Q3",Spectrum!$R:$R,0)),0),""))</f>
        <v/>
      </c>
      <c r="AD22" s="10" t="str">
        <f aca="false">IF(LEFT($B22,4)="_Mil","",_xlfn.IFNA(ROUND(INDEX(Spectrum!$N:$N,MATCH(RIGHT($B22,13)&amp;"|"&amp;$C22&amp;"|"&amp;$D22&amp;"|"&amp;AD$14&amp;"|"&amp;"CY2023Q3",Spectrum!$R:$R,0)),0),""))</f>
        <v/>
      </c>
      <c r="AE22" s="88" t="str">
        <f aca="false">IF(OR(LEFT($B22,4)="_Mil",SUM($Z22)=0),"",SUM($AD22)/$Z22)</f>
        <v/>
      </c>
      <c r="AF22" s="39" t="str">
        <f aca="false">IF(LEFT($B22,4)="_Mil","",_xlfn.IFNA(ROUND(INDEX(Spectrum!$N:$N,MATCH(RIGHT($B22,13)&amp;"|"&amp;$C22&amp;"|"&amp;$D22&amp;"|"&amp;AF$14&amp;"|"&amp;"CY2023Q3",Spectrum!$R:$R,0)),0),""))</f>
        <v/>
      </c>
      <c r="AG22" s="88" t="str">
        <f aca="false">IF(OR(LEFT($B22,4)="_Mil",SUM($AD22)=0),"",SUM($AF22)/$AD22)</f>
        <v/>
      </c>
      <c r="AH22" s="86" t="str">
        <f aca="false">IF(LEFT($B22,4)="_Mil","",_xlfn.IFNA(INDEX(Spectrum!$N:$N,MATCH(RIGHT($B22,13)&amp;"|"&amp;$C22&amp;"|"&amp;$D22&amp;"|"&amp;AH$14&amp;"|"&amp;"CY2023Q3",Spectrum!$R:$R,0)),""))</f>
        <v/>
      </c>
      <c r="AI22" s="10" t="str">
        <f aca="false">IF(LEFT($B22,4)="_Mil","",_xlfn.IFNA(ROUND(INDEX(Spectrum!$N:$N,MATCH(RIGHT($B22,13)&amp;"|"&amp;$C22&amp;"|"&amp;$D22&amp;"|"&amp;AI$14&amp;"|"&amp;"CY2023Q3",Spectrum!$R:$R,0)),0),""))</f>
        <v/>
      </c>
      <c r="AJ22" s="39" t="str">
        <f aca="false">IF(LEFT($B22,4)="_Mil","",_xlfn.IFNA(ROUND(INDEX(Spectrum!$N:$N,MATCH(RIGHT($B22,13)&amp;"|"&amp;$C22&amp;"|"&amp;$D22&amp;"|"&amp;AI$14&amp;"|"&amp;"CY2023Q3",Spectrum!$R:$R,0)),0),SUM($U22)+SUM($AI22)))</f>
        <v/>
      </c>
      <c r="AK22" s="10" t="str">
        <f aca="false">IF(LEFT($B22,4)="_Mil","",_xlfn.IFNA(ROUND(INDEX(Spectrum!$N:$N,MATCH(RIGHT($B22,13)&amp;"|"&amp;$C22&amp;"|"&amp;$D22&amp;"|"&amp;AK$14&amp;"|"&amp;"CY2023Q3",Spectrum!$R:$R,0)),0),""))</f>
        <v/>
      </c>
      <c r="AL22" s="88" t="str">
        <f aca="false">IF(OR(LEFT($B22,4)="_Mil",$C22="&lt;01"),"",MAX(SUM($AA22),90%))</f>
        <v/>
      </c>
      <c r="AM22" s="10" t="str">
        <f aca="false">IF(OR(LEFT($B22,4)="_Mil",$C22="&lt;01"),"",ROUND(SUM($AJ22)*SUM($AL22),0))</f>
        <v/>
      </c>
      <c r="AN22" s="10" t="str">
        <f aca="false">IF($C22="&lt;01",ROUND(INDEX(EID!$P:$P,MATCH($B22,EID!$B:$B,0))/2,0),"")</f>
        <v/>
      </c>
      <c r="AO22" s="10" t="n">
        <f aca="false">IF($C22="&lt;01",SUM($AN22),ROUND(SUM($AM22)*SUM($O22)/IF(SUM($Z22)=0,1,$Z22),0))</f>
        <v>0</v>
      </c>
      <c r="AP22" s="39" t="n">
        <f aca="false">IF(OR($F22="",$C22="&lt;01"),$AO22,$F22)</f>
        <v>0</v>
      </c>
      <c r="AQ22" s="39" t="str">
        <f aca="false">IF(LEFT($B22,4)="_Mil","",IF(SUM($AP22)=0,SUM($Z22),IF(OR(SUM($Z22)=0,SUM($O22)=0),MAX($AP22,$Z22),$AP22*$Z22/$O22)))</f>
        <v/>
      </c>
      <c r="AR22" s="88" t="str">
        <f aca="false">IF(OR(LEFT($B22,4)="_Mil",SUM($AJ22)=0),"",SUM($AQ22)/$AJ22)</f>
        <v/>
      </c>
      <c r="AS22" s="88" t="n">
        <f aca="false">IF($C22="&lt;01","",98%)</f>
        <v>0.98</v>
      </c>
      <c r="AT22" s="88" t="n">
        <f aca="false">IF($C22="&lt;01","",98%)</f>
        <v>0.98</v>
      </c>
      <c r="AU22" s="10" t="n">
        <f aca="false">IF($C22="&lt;01","",SUM($AP22)-SUM($O22))</f>
        <v>0</v>
      </c>
      <c r="AV22" s="10" t="n">
        <f aca="false">IF($C22="&lt;01",ROUND(INDEX(EID!$N:$N,MATCH($B22,EID!$B:$B,0))/2,0),IF(SUM($AT22)=0,"",ROUND((SUM($AP22)-(SUM($O22)*SUM($AS22)))/$AT22,0)))</f>
        <v>0</v>
      </c>
      <c r="AW22" s="88" t="n">
        <f aca="false">IF($C22="&lt;01","",100%)</f>
        <v>1</v>
      </c>
      <c r="AX22" s="39" t="n">
        <f aca="false">IF($C22="&lt;01",SUM($AV22),ROUND(SUM($AV22)*SUM($AW22),0))</f>
        <v>0</v>
      </c>
      <c r="AY22" s="114" t="n">
        <f aca="false">IF($C22="&lt;01","",70%)</f>
        <v>0.7</v>
      </c>
      <c r="AZ22" s="91" t="n">
        <f aca="false">IF($C22="&lt;01",ROUND(INDEX(EID!$R:$R,MATCH($B22,EID!$B:$B,0))/2,0),ROUND(SUM($O22)+(SUM($AV22)*$AY22),0))</f>
        <v>0</v>
      </c>
      <c r="BA22" s="87" t="n">
        <f aca="false">IF($C22="&lt;01","",95%)</f>
        <v>0.95</v>
      </c>
      <c r="BB22" s="5" t="n">
        <f aca="false">IF($C22="&lt;01",ROUND(INDEX(EID!$T:$T,MATCH($B22,EID!$B:$B,0))/2,0),ROUND($AZ22*$BA22,0))</f>
        <v>0</v>
      </c>
      <c r="BC22" s="91" t="str">
        <f aca="false">IF(LEFT($B22,4)="_Mil","",IF(SUM($BB22)=0,SUM($AD22),IF(OR(SUM($AP22)=0,SUM($AQ22)=0),MAX($BB22,$AD22),ROUND($BB22*$AQ22/$AP22,0))))</f>
        <v/>
      </c>
      <c r="BD22" s="88" t="n">
        <f aca="false">IF($C22="&lt;01","",95%)</f>
        <v>0.95</v>
      </c>
      <c r="BE22" s="39" t="n">
        <f aca="false">IF($C22="&lt;01",ROUND(INDEX(EID!$V:$V,MATCH($B22,EID!$B:$B,0))/2,0),ROUND($BD22*$BB22,0))</f>
        <v>0</v>
      </c>
      <c r="BF22" s="39" t="str">
        <f aca="false">IF(LEFT($B22,4)="_Mil","",IF(SUM($BE22)=0,SUM($AF22),IF(OR(SUM($AP22)=0,SUM($AQ22)=0),MAX($BE22,$AF22),ROUND($BE22*$AQ22/$AP22,0))))</f>
        <v/>
      </c>
      <c r="BG22" s="114" t="n">
        <f aca="false">IF($C22="&lt;01","",95%)</f>
        <v>0.95</v>
      </c>
      <c r="BH22" s="5" t="n">
        <f aca="false">IF($C22="&lt;01",ROUND(INDEX(EID!$L:$L,MATCH($B22,EID!$B:$B,0)),0)/2,IF(SUM($BG22)=0,"",ROUND($AX22/$BG22,0)))</f>
        <v>0</v>
      </c>
    </row>
    <row r="23" customFormat="false" ht="15" hidden="false" customHeight="false" outlineLevel="0" collapsed="false">
      <c r="A23" s="0" t="str">
        <f aca="false">INDEX(Prioritization!$D:$D,MATCH($B23,Prioritization!$A:$A,0))</f>
        <v>Military</v>
      </c>
      <c r="B23" s="0" t="s">
        <v>194</v>
      </c>
      <c r="C23" s="0" t="s">
        <v>366</v>
      </c>
      <c r="D23" s="0" t="s">
        <v>30</v>
      </c>
      <c r="E23" s="0" t="str">
        <f aca="false">$B23&amp;"|"&amp;$C23&amp;"|"&amp;$D23</f>
        <v>_Military Malawi [PQZgU9dagaH]|25-34|Female</v>
      </c>
      <c r="F23" s="10"/>
      <c r="G23" s="10"/>
      <c r="H23" s="10"/>
      <c r="I23" s="10"/>
      <c r="J23" s="10"/>
      <c r="K23" s="10"/>
      <c r="L23" s="10"/>
      <c r="M23" s="10"/>
      <c r="N23" s="10"/>
      <c r="O23" s="10" t="str">
        <f aca="false">IFERROR(1/(1/MAX($I23,$N23)),"")</f>
        <v/>
      </c>
      <c r="P23" s="10"/>
      <c r="Q23" s="10"/>
      <c r="R23" s="10" t="str">
        <f aca="false">IF(AND(SUM($I23)=0,SUM($O23)=0),"",SUM($O23)-$I23)</f>
        <v/>
      </c>
      <c r="S23" s="10" t="str">
        <f aca="false">IF(LEFT($B23,4)="_Mil","",_xlfn.IFNA(ROUND(INDEX(Spectrum!$N:$N,MATCH(RIGHT($B23,13)&amp;"|"&amp;$C23&amp;"|"&amp;$D23&amp;"|"&amp;S$14&amp;"|"&amp;"CY2022Q4",Spectrum!$R:$R,0)),0),""))</f>
        <v/>
      </c>
      <c r="T23" s="39" t="str">
        <f aca="false">IF(LEFT($B23,4)="_Mil","",_xlfn.IFNA(ROUND(INDEX(Spectrum!$N:$N,MATCH(RIGHT($B23,13)&amp;"|"&amp;$C23&amp;"|"&amp;$D23&amp;"|"&amp;T$14&amp;"|"&amp;"CY2023Q3",Spectrum!$R:$R,0)),0),""))</f>
        <v/>
      </c>
      <c r="U23" s="39" t="str">
        <f aca="false">IF(LEFT($B23,4)="_Mil","",_xlfn.IFNA(ROUND(INDEX(Spectrum!$N:$N,MATCH(RIGHT($B23,13)&amp;"|"&amp;$C23&amp;"|"&amp;$D23&amp;"|"&amp;U$14&amp;"|"&amp;"CY2023Q3",Spectrum!$R:$R,0)),0),""))</f>
        <v/>
      </c>
      <c r="V23" s="10" t="str">
        <f aca="false">IF(LEFT($B23,4)="_Mil","",_xlfn.IFNA(ROUND(INDEX(Spectrum!$N:$N,MATCH(RIGHT($B23,13)&amp;"|"&amp;$C23&amp;"|"&amp;$D23&amp;"|"&amp;V$14&amp;"|"&amp;"CY2023Q3",Spectrum!$R:$R,0)),0),""))</f>
        <v/>
      </c>
      <c r="W23" s="113" t="str">
        <f aca="false">IF(LEFT($B23,4)="_Mil","",_xlfn.IFNA(INDEX(Spectrum!$N:$N,MATCH(RIGHT($B23,13)&amp;"|"&amp;$C23&amp;"|"&amp;$D23&amp;"|"&amp;W$14&amp;"|"&amp;"CY2023Q3",Spectrum!$R:$R,0)),""))</f>
        <v/>
      </c>
      <c r="X23" s="39" t="str">
        <f aca="false">IF(LEFT($B23,4)="_Mil","",_xlfn.IFNA(ROUND(INDEX(Spectrum!$N:$N,MATCH(RIGHT($B23,13)&amp;"|"&amp;$C23&amp;"|"&amp;$D23&amp;"|"&amp;X$14&amp;"|"&amp;"CY2023Q3",Spectrum!$R:$R,0)),0),""))</f>
        <v/>
      </c>
      <c r="Y23" s="88" t="str">
        <f aca="false">IF(OR(SUM($U23)=0,LEFT($B23,4)="_Mil"),"",SUM($X23)/$U23)</f>
        <v/>
      </c>
      <c r="Z23" s="39" t="str">
        <f aca="false">IF(LEFT($B23,4)="_Mil","",_xlfn.IFNA(ROUND(INDEX(Spectrum!$N:$N,MATCH(RIGHT($B23,13)&amp;"|"&amp;$C23&amp;"|"&amp;$D23&amp;"|"&amp;Z$14&amp;"|"&amp;"CY2023Q3",Spectrum!$R:$R,0)),0),""))</f>
        <v/>
      </c>
      <c r="AA23" s="88" t="str">
        <f aca="false">IF(LEFT($B23,4)="_Mil","",IFERROR(1/(1/INDEX(Spectrum!$N:$N,MATCH(RIGHT($B23,13)&amp;"|"&amp;$C23&amp;"|"&amp;$D23&amp;"|"&amp;AA$14&amp;"|"&amp;"CY2023Q3",Spectrum!$R:$R,0))),IF(SUM($U23)=0,"",SUM($Z23)/$U23)))</f>
        <v/>
      </c>
      <c r="AB23" s="88" t="str">
        <f aca="false">IF(OR(LEFT($B23,4)="_Mil",SUM($X23)=0),"",SUM($Z23)/$X23)</f>
        <v/>
      </c>
      <c r="AC23" s="10" t="str">
        <f aca="false">IF(LEFT($B23,4)="_Mil","",_xlfn.IFNA(ROUND(INDEX(Spectrum!$N:$N,MATCH(RIGHT($B23,13)&amp;"|"&amp;$C23&amp;"|"&amp;$D23&amp;"|"&amp;AC$14&amp;"|"&amp;"CY2023Q3",Spectrum!$R:$R,0)),0),""))</f>
        <v/>
      </c>
      <c r="AD23" s="10" t="str">
        <f aca="false">IF(LEFT($B23,4)="_Mil","",_xlfn.IFNA(ROUND(INDEX(Spectrum!$N:$N,MATCH(RIGHT($B23,13)&amp;"|"&amp;$C23&amp;"|"&amp;$D23&amp;"|"&amp;AD$14&amp;"|"&amp;"CY2023Q3",Spectrum!$R:$R,0)),0),""))</f>
        <v/>
      </c>
      <c r="AE23" s="88" t="str">
        <f aca="false">IF(OR(LEFT($B23,4)="_Mil",SUM($Z23)=0),"",SUM($AD23)/$Z23)</f>
        <v/>
      </c>
      <c r="AF23" s="39" t="str">
        <f aca="false">IF(LEFT($B23,4)="_Mil","",_xlfn.IFNA(ROUND(INDEX(Spectrum!$N:$N,MATCH(RIGHT($B23,13)&amp;"|"&amp;$C23&amp;"|"&amp;$D23&amp;"|"&amp;AF$14&amp;"|"&amp;"CY2023Q3",Spectrum!$R:$R,0)),0),""))</f>
        <v/>
      </c>
      <c r="AG23" s="88" t="str">
        <f aca="false">IF(OR(LEFT($B23,4)="_Mil",SUM($AD23)=0),"",SUM($AF23)/$AD23)</f>
        <v/>
      </c>
      <c r="AH23" s="86" t="str">
        <f aca="false">IF(LEFT($B23,4)="_Mil","",_xlfn.IFNA(INDEX(Spectrum!$N:$N,MATCH(RIGHT($B23,13)&amp;"|"&amp;$C23&amp;"|"&amp;$D23&amp;"|"&amp;AH$14&amp;"|"&amp;"CY2023Q3",Spectrum!$R:$R,0)),""))</f>
        <v/>
      </c>
      <c r="AI23" s="10" t="str">
        <f aca="false">IF(LEFT($B23,4)="_Mil","",_xlfn.IFNA(ROUND(INDEX(Spectrum!$N:$N,MATCH(RIGHT($B23,13)&amp;"|"&amp;$C23&amp;"|"&amp;$D23&amp;"|"&amp;AI$14&amp;"|"&amp;"CY2023Q3",Spectrum!$R:$R,0)),0),""))</f>
        <v/>
      </c>
      <c r="AJ23" s="39" t="str">
        <f aca="false">IF(LEFT($B23,4)="_Mil","",_xlfn.IFNA(ROUND(INDEX(Spectrum!$N:$N,MATCH(RIGHT($B23,13)&amp;"|"&amp;$C23&amp;"|"&amp;$D23&amp;"|"&amp;AI$14&amp;"|"&amp;"CY2023Q3",Spectrum!$R:$R,0)),0),SUM($U23)+SUM($AI23)))</f>
        <v/>
      </c>
      <c r="AK23" s="10" t="str">
        <f aca="false">IF(LEFT($B23,4)="_Mil","",_xlfn.IFNA(ROUND(INDEX(Spectrum!$N:$N,MATCH(RIGHT($B23,13)&amp;"|"&amp;$C23&amp;"|"&amp;$D23&amp;"|"&amp;AK$14&amp;"|"&amp;"CY2023Q3",Spectrum!$R:$R,0)),0),""))</f>
        <v/>
      </c>
      <c r="AL23" s="88" t="str">
        <f aca="false">IF(OR(LEFT($B23,4)="_Mil",$C23="&lt;01"),"",MAX(SUM($AA23),90%))</f>
        <v/>
      </c>
      <c r="AM23" s="10" t="str">
        <f aca="false">IF(OR(LEFT($B23,4)="_Mil",$C23="&lt;01"),"",ROUND(SUM($AJ23)*SUM($AL23),0))</f>
        <v/>
      </c>
      <c r="AN23" s="10" t="str">
        <f aca="false">IF($C23="&lt;01",ROUND(INDEX(EID!$P:$P,MATCH($B23,EID!$B:$B,0))/2,0),"")</f>
        <v/>
      </c>
      <c r="AO23" s="10" t="n">
        <f aca="false">IF($C23="&lt;01",SUM($AN23),ROUND(SUM($AM23)*SUM($O23)/IF(SUM($Z23)=0,1,$Z23),0))</f>
        <v>0</v>
      </c>
      <c r="AP23" s="39" t="n">
        <f aca="false">IF(OR($F23="",$C23="&lt;01"),$AO23,$F23)</f>
        <v>0</v>
      </c>
      <c r="AQ23" s="39" t="str">
        <f aca="false">IF(LEFT($B23,4)="_Mil","",IF(SUM($AP23)=0,SUM($Z23),IF(OR(SUM($Z23)=0,SUM($O23)=0),MAX($AP23,$Z23),$AP23*$Z23/$O23)))</f>
        <v/>
      </c>
      <c r="AR23" s="88" t="str">
        <f aca="false">IF(OR(LEFT($B23,4)="_Mil",SUM($AJ23)=0),"",SUM($AQ23)/$AJ23)</f>
        <v/>
      </c>
      <c r="AS23" s="88" t="n">
        <f aca="false">IF($C23="&lt;01","",98%)</f>
        <v>0.98</v>
      </c>
      <c r="AT23" s="88" t="n">
        <f aca="false">IF($C23="&lt;01","",98%)</f>
        <v>0.98</v>
      </c>
      <c r="AU23" s="10" t="n">
        <f aca="false">IF($C23="&lt;01","",SUM($AP23)-SUM($O23))</f>
        <v>0</v>
      </c>
      <c r="AV23" s="10" t="n">
        <f aca="false">IF($C23="&lt;01",ROUND(INDEX(EID!$N:$N,MATCH($B23,EID!$B:$B,0))/2,0),IF(SUM($AT23)=0,"",ROUND((SUM($AP23)-(SUM($O23)*SUM($AS23)))/$AT23,0)))</f>
        <v>0</v>
      </c>
      <c r="AW23" s="88" t="n">
        <f aca="false">IF($C23="&lt;01","",100%)</f>
        <v>1</v>
      </c>
      <c r="AX23" s="39" t="n">
        <f aca="false">IF($C23="&lt;01",SUM($AV23),ROUND(SUM($AV23)*SUM($AW23),0))</f>
        <v>0</v>
      </c>
      <c r="AY23" s="114" t="n">
        <f aca="false">IF($C23="&lt;01","",70%)</f>
        <v>0.7</v>
      </c>
      <c r="AZ23" s="91" t="n">
        <f aca="false">IF($C23="&lt;01",ROUND(INDEX(EID!$R:$R,MATCH($B23,EID!$B:$B,0))/2,0),ROUND(SUM($O23)+(SUM($AV23)*$AY23),0))</f>
        <v>0</v>
      </c>
      <c r="BA23" s="87" t="n">
        <f aca="false">IF($C23="&lt;01","",95%)</f>
        <v>0.95</v>
      </c>
      <c r="BB23" s="5" t="n">
        <f aca="false">IF($C23="&lt;01",ROUND(INDEX(EID!$T:$T,MATCH($B23,EID!$B:$B,0))/2,0),ROUND($AZ23*$BA23,0))</f>
        <v>0</v>
      </c>
      <c r="BC23" s="91" t="str">
        <f aca="false">IF(LEFT($B23,4)="_Mil","",IF(SUM($BB23)=0,SUM($AD23),IF(OR(SUM($AP23)=0,SUM($AQ23)=0),MAX($BB23,$AD23),ROUND($BB23*$AQ23/$AP23,0))))</f>
        <v/>
      </c>
      <c r="BD23" s="88" t="n">
        <f aca="false">IF($C23="&lt;01","",95%)</f>
        <v>0.95</v>
      </c>
      <c r="BE23" s="39" t="n">
        <f aca="false">IF($C23="&lt;01",ROUND(INDEX(EID!$V:$V,MATCH($B23,EID!$B:$B,0))/2,0),ROUND($BD23*$BB23,0))</f>
        <v>0</v>
      </c>
      <c r="BF23" s="39" t="str">
        <f aca="false">IF(LEFT($B23,4)="_Mil","",IF(SUM($BE23)=0,SUM($AF23),IF(OR(SUM($AP23)=0,SUM($AQ23)=0),MAX($BE23,$AF23),ROUND($BE23*$AQ23/$AP23,0))))</f>
        <v/>
      </c>
      <c r="BG23" s="114" t="n">
        <f aca="false">IF($C23="&lt;01","",95%)</f>
        <v>0.95</v>
      </c>
      <c r="BH23" s="5" t="n">
        <f aca="false">IF($C23="&lt;01",ROUND(INDEX(EID!$L:$L,MATCH($B23,EID!$B:$B,0)),0)/2,IF(SUM($BG23)=0,"",ROUND($AX23/$BG23,0)))</f>
        <v>0</v>
      </c>
    </row>
    <row r="24" customFormat="false" ht="15" hidden="false" customHeight="false" outlineLevel="0" collapsed="false">
      <c r="A24" s="0" t="str">
        <f aca="false">INDEX(Prioritization!$D:$D,MATCH($B24,Prioritization!$A:$A,0))</f>
        <v>Military</v>
      </c>
      <c r="B24" s="0" t="s">
        <v>194</v>
      </c>
      <c r="C24" s="0" t="s">
        <v>366</v>
      </c>
      <c r="D24" s="0" t="s">
        <v>48</v>
      </c>
      <c r="E24" s="0" t="str">
        <f aca="false">$B24&amp;"|"&amp;$C24&amp;"|"&amp;$D24</f>
        <v>_Military Malawi [PQZgU9dagaH]|25-34|Male</v>
      </c>
      <c r="F24" s="10"/>
      <c r="G24" s="10"/>
      <c r="H24" s="10"/>
      <c r="I24" s="10"/>
      <c r="J24" s="10"/>
      <c r="K24" s="10"/>
      <c r="L24" s="10"/>
      <c r="M24" s="10"/>
      <c r="N24" s="10"/>
      <c r="O24" s="10" t="str">
        <f aca="false">IFERROR(1/(1/MAX($I24,$N24)),"")</f>
        <v/>
      </c>
      <c r="P24" s="10"/>
      <c r="Q24" s="10"/>
      <c r="R24" s="10" t="str">
        <f aca="false">IF(AND(SUM($I24)=0,SUM($O24)=0),"",SUM($O24)-$I24)</f>
        <v/>
      </c>
      <c r="S24" s="10" t="str">
        <f aca="false">IF(LEFT($B24,4)="_Mil","",_xlfn.IFNA(ROUND(INDEX(Spectrum!$N:$N,MATCH(RIGHT($B24,13)&amp;"|"&amp;$C24&amp;"|"&amp;$D24&amp;"|"&amp;S$14&amp;"|"&amp;"CY2022Q4",Spectrum!$R:$R,0)),0),""))</f>
        <v/>
      </c>
      <c r="T24" s="39" t="str">
        <f aca="false">IF(LEFT($B24,4)="_Mil","",_xlfn.IFNA(ROUND(INDEX(Spectrum!$N:$N,MATCH(RIGHT($B24,13)&amp;"|"&amp;$C24&amp;"|"&amp;$D24&amp;"|"&amp;T$14&amp;"|"&amp;"CY2023Q3",Spectrum!$R:$R,0)),0),""))</f>
        <v/>
      </c>
      <c r="U24" s="39" t="str">
        <f aca="false">IF(LEFT($B24,4)="_Mil","",_xlfn.IFNA(ROUND(INDEX(Spectrum!$N:$N,MATCH(RIGHT($B24,13)&amp;"|"&amp;$C24&amp;"|"&amp;$D24&amp;"|"&amp;U$14&amp;"|"&amp;"CY2023Q3",Spectrum!$R:$R,0)),0),""))</f>
        <v/>
      </c>
      <c r="V24" s="10" t="str">
        <f aca="false">IF(LEFT($B24,4)="_Mil","",_xlfn.IFNA(ROUND(INDEX(Spectrum!$N:$N,MATCH(RIGHT($B24,13)&amp;"|"&amp;$C24&amp;"|"&amp;$D24&amp;"|"&amp;V$14&amp;"|"&amp;"CY2023Q3",Spectrum!$R:$R,0)),0),""))</f>
        <v/>
      </c>
      <c r="W24" s="113" t="str">
        <f aca="false">IF(LEFT($B24,4)="_Mil","",_xlfn.IFNA(INDEX(Spectrum!$N:$N,MATCH(RIGHT($B24,13)&amp;"|"&amp;$C24&amp;"|"&amp;$D24&amp;"|"&amp;W$14&amp;"|"&amp;"CY2023Q3",Spectrum!$R:$R,0)),""))</f>
        <v/>
      </c>
      <c r="X24" s="39" t="str">
        <f aca="false">IF(LEFT($B24,4)="_Mil","",_xlfn.IFNA(ROUND(INDEX(Spectrum!$N:$N,MATCH(RIGHT($B24,13)&amp;"|"&amp;$C24&amp;"|"&amp;$D24&amp;"|"&amp;X$14&amp;"|"&amp;"CY2023Q3",Spectrum!$R:$R,0)),0),""))</f>
        <v/>
      </c>
      <c r="Y24" s="88" t="str">
        <f aca="false">IF(OR(SUM($U24)=0,LEFT($B24,4)="_Mil"),"",SUM($X24)/$U24)</f>
        <v/>
      </c>
      <c r="Z24" s="39" t="str">
        <f aca="false">IF(LEFT($B24,4)="_Mil","",_xlfn.IFNA(ROUND(INDEX(Spectrum!$N:$N,MATCH(RIGHT($B24,13)&amp;"|"&amp;$C24&amp;"|"&amp;$D24&amp;"|"&amp;Z$14&amp;"|"&amp;"CY2023Q3",Spectrum!$R:$R,0)),0),""))</f>
        <v/>
      </c>
      <c r="AA24" s="88" t="str">
        <f aca="false">IF(LEFT($B24,4)="_Mil","",IFERROR(1/(1/INDEX(Spectrum!$N:$N,MATCH(RIGHT($B24,13)&amp;"|"&amp;$C24&amp;"|"&amp;$D24&amp;"|"&amp;AA$14&amp;"|"&amp;"CY2023Q3",Spectrum!$R:$R,0))),IF(SUM($U24)=0,"",SUM($Z24)/$U24)))</f>
        <v/>
      </c>
      <c r="AB24" s="88" t="str">
        <f aca="false">IF(OR(LEFT($B24,4)="_Mil",SUM($X24)=0),"",SUM($Z24)/$X24)</f>
        <v/>
      </c>
      <c r="AC24" s="10" t="str">
        <f aca="false">IF(LEFT($B24,4)="_Mil","",_xlfn.IFNA(ROUND(INDEX(Spectrum!$N:$N,MATCH(RIGHT($B24,13)&amp;"|"&amp;$C24&amp;"|"&amp;$D24&amp;"|"&amp;AC$14&amp;"|"&amp;"CY2023Q3",Spectrum!$R:$R,0)),0),""))</f>
        <v/>
      </c>
      <c r="AD24" s="10" t="str">
        <f aca="false">IF(LEFT($B24,4)="_Mil","",_xlfn.IFNA(ROUND(INDEX(Spectrum!$N:$N,MATCH(RIGHT($B24,13)&amp;"|"&amp;$C24&amp;"|"&amp;$D24&amp;"|"&amp;AD$14&amp;"|"&amp;"CY2023Q3",Spectrum!$R:$R,0)),0),""))</f>
        <v/>
      </c>
      <c r="AE24" s="88" t="str">
        <f aca="false">IF(OR(LEFT($B24,4)="_Mil",SUM($Z24)=0),"",SUM($AD24)/$Z24)</f>
        <v/>
      </c>
      <c r="AF24" s="39" t="str">
        <f aca="false">IF(LEFT($B24,4)="_Mil","",_xlfn.IFNA(ROUND(INDEX(Spectrum!$N:$N,MATCH(RIGHT($B24,13)&amp;"|"&amp;$C24&amp;"|"&amp;$D24&amp;"|"&amp;AF$14&amp;"|"&amp;"CY2023Q3",Spectrum!$R:$R,0)),0),""))</f>
        <v/>
      </c>
      <c r="AG24" s="88" t="str">
        <f aca="false">IF(OR(LEFT($B24,4)="_Mil",SUM($AD24)=0),"",SUM($AF24)/$AD24)</f>
        <v/>
      </c>
      <c r="AH24" s="86" t="str">
        <f aca="false">IF(LEFT($B24,4)="_Mil","",_xlfn.IFNA(INDEX(Spectrum!$N:$N,MATCH(RIGHT($B24,13)&amp;"|"&amp;$C24&amp;"|"&amp;$D24&amp;"|"&amp;AH$14&amp;"|"&amp;"CY2023Q3",Spectrum!$R:$R,0)),""))</f>
        <v/>
      </c>
      <c r="AI24" s="10" t="str">
        <f aca="false">IF(LEFT($B24,4)="_Mil","",_xlfn.IFNA(ROUND(INDEX(Spectrum!$N:$N,MATCH(RIGHT($B24,13)&amp;"|"&amp;$C24&amp;"|"&amp;$D24&amp;"|"&amp;AI$14&amp;"|"&amp;"CY2023Q3",Spectrum!$R:$R,0)),0),""))</f>
        <v/>
      </c>
      <c r="AJ24" s="39" t="str">
        <f aca="false">IF(LEFT($B24,4)="_Mil","",_xlfn.IFNA(ROUND(INDEX(Spectrum!$N:$N,MATCH(RIGHT($B24,13)&amp;"|"&amp;$C24&amp;"|"&amp;$D24&amp;"|"&amp;AI$14&amp;"|"&amp;"CY2023Q3",Spectrum!$R:$R,0)),0),SUM($U24)+SUM($AI24)))</f>
        <v/>
      </c>
      <c r="AK24" s="10" t="str">
        <f aca="false">IF(LEFT($B24,4)="_Mil","",_xlfn.IFNA(ROUND(INDEX(Spectrum!$N:$N,MATCH(RIGHT($B24,13)&amp;"|"&amp;$C24&amp;"|"&amp;$D24&amp;"|"&amp;AK$14&amp;"|"&amp;"CY2023Q3",Spectrum!$R:$R,0)),0),""))</f>
        <v/>
      </c>
      <c r="AL24" s="88" t="str">
        <f aca="false">IF(OR(LEFT($B24,4)="_Mil",$C24="&lt;01"),"",MAX(SUM($AA24),90%))</f>
        <v/>
      </c>
      <c r="AM24" s="10" t="str">
        <f aca="false">IF(OR(LEFT($B24,4)="_Mil",$C24="&lt;01"),"",ROUND(SUM($AJ24)*SUM($AL24),0))</f>
        <v/>
      </c>
      <c r="AN24" s="10" t="str">
        <f aca="false">IF($C24="&lt;01",ROUND(INDEX(EID!$P:$P,MATCH($B24,EID!$B:$B,0))/2,0),"")</f>
        <v/>
      </c>
      <c r="AO24" s="10" t="n">
        <f aca="false">IF($C24="&lt;01",SUM($AN24),ROUND(SUM($AM24)*SUM($O24)/IF(SUM($Z24)=0,1,$Z24),0))</f>
        <v>0</v>
      </c>
      <c r="AP24" s="39" t="n">
        <f aca="false">IF(OR($F24="",$C24="&lt;01"),$AO24,$F24)</f>
        <v>0</v>
      </c>
      <c r="AQ24" s="39" t="str">
        <f aca="false">IF(LEFT($B24,4)="_Mil","",IF(SUM($AP24)=0,SUM($Z24),IF(OR(SUM($Z24)=0,SUM($O24)=0),MAX($AP24,$Z24),$AP24*$Z24/$O24)))</f>
        <v/>
      </c>
      <c r="AR24" s="88" t="str">
        <f aca="false">IF(OR(LEFT($B24,4)="_Mil",SUM($AJ24)=0),"",SUM($AQ24)/$AJ24)</f>
        <v/>
      </c>
      <c r="AS24" s="88" t="n">
        <f aca="false">IF($C24="&lt;01","",98%)</f>
        <v>0.98</v>
      </c>
      <c r="AT24" s="88" t="n">
        <f aca="false">IF($C24="&lt;01","",98%)</f>
        <v>0.98</v>
      </c>
      <c r="AU24" s="10" t="n">
        <f aca="false">IF($C24="&lt;01","",SUM($AP24)-SUM($O24))</f>
        <v>0</v>
      </c>
      <c r="AV24" s="10" t="n">
        <f aca="false">IF($C24="&lt;01",ROUND(INDEX(EID!$N:$N,MATCH($B24,EID!$B:$B,0))/2,0),IF(SUM($AT24)=0,"",ROUND((SUM($AP24)-(SUM($O24)*SUM($AS24)))/$AT24,0)))</f>
        <v>0</v>
      </c>
      <c r="AW24" s="88" t="n">
        <f aca="false">IF($C24="&lt;01","",100%)</f>
        <v>1</v>
      </c>
      <c r="AX24" s="39" t="n">
        <f aca="false">IF($C24="&lt;01",SUM($AV24),ROUND(SUM($AV24)*SUM($AW24),0))</f>
        <v>0</v>
      </c>
      <c r="AY24" s="114" t="n">
        <f aca="false">IF($C24="&lt;01","",70%)</f>
        <v>0.7</v>
      </c>
      <c r="AZ24" s="91" t="n">
        <f aca="false">IF($C24="&lt;01",ROUND(INDEX(EID!$R:$R,MATCH($B24,EID!$B:$B,0))/2,0),ROUND(SUM($O24)+(SUM($AV24)*$AY24),0))</f>
        <v>0</v>
      </c>
      <c r="BA24" s="87" t="n">
        <f aca="false">IF($C24="&lt;01","",95%)</f>
        <v>0.95</v>
      </c>
      <c r="BB24" s="5" t="n">
        <f aca="false">IF($C24="&lt;01",ROUND(INDEX(EID!$T:$T,MATCH($B24,EID!$B:$B,0))/2,0),ROUND($AZ24*$BA24,0))</f>
        <v>0</v>
      </c>
      <c r="BC24" s="91" t="str">
        <f aca="false">IF(LEFT($B24,4)="_Mil","",IF(SUM($BB24)=0,SUM($AD24),IF(OR(SUM($AP24)=0,SUM($AQ24)=0),MAX($BB24,$AD24),ROUND($BB24*$AQ24/$AP24,0))))</f>
        <v/>
      </c>
      <c r="BD24" s="88" t="n">
        <f aca="false">IF($C24="&lt;01","",95%)</f>
        <v>0.95</v>
      </c>
      <c r="BE24" s="39" t="n">
        <f aca="false">IF($C24="&lt;01",ROUND(INDEX(EID!$V:$V,MATCH($B24,EID!$B:$B,0))/2,0),ROUND($BD24*$BB24,0))</f>
        <v>0</v>
      </c>
      <c r="BF24" s="39" t="str">
        <f aca="false">IF(LEFT($B24,4)="_Mil","",IF(SUM($BE24)=0,SUM($AF24),IF(OR(SUM($AP24)=0,SUM($AQ24)=0),MAX($BE24,$AF24),ROUND($BE24*$AQ24/$AP24,0))))</f>
        <v/>
      </c>
      <c r="BG24" s="114" t="n">
        <f aca="false">IF($C24="&lt;01","",95%)</f>
        <v>0.95</v>
      </c>
      <c r="BH24" s="5" t="n">
        <f aca="false">IF($C24="&lt;01",ROUND(INDEX(EID!$L:$L,MATCH($B24,EID!$B:$B,0)),0)/2,IF(SUM($BG24)=0,"",ROUND($AX24/$BG24,0)))</f>
        <v>0</v>
      </c>
    </row>
    <row r="25" customFormat="false" ht="15" hidden="false" customHeight="false" outlineLevel="0" collapsed="false">
      <c r="A25" s="0" t="str">
        <f aca="false">INDEX(Prioritization!$D:$D,MATCH($B25,Prioritization!$A:$A,0))</f>
        <v>Military</v>
      </c>
      <c r="B25" s="0" t="s">
        <v>194</v>
      </c>
      <c r="C25" s="0" t="s">
        <v>367</v>
      </c>
      <c r="D25" s="0" t="s">
        <v>30</v>
      </c>
      <c r="E25" s="0" t="str">
        <f aca="false">$B25&amp;"|"&amp;$C25&amp;"|"&amp;$D25</f>
        <v>_Military Malawi [PQZgU9dagaH]|35-49|Female</v>
      </c>
      <c r="F25" s="10"/>
      <c r="G25" s="10"/>
      <c r="H25" s="10"/>
      <c r="I25" s="10"/>
      <c r="J25" s="10"/>
      <c r="K25" s="10"/>
      <c r="L25" s="10"/>
      <c r="M25" s="10"/>
      <c r="N25" s="10"/>
      <c r="O25" s="10" t="str">
        <f aca="false">IFERROR(1/(1/MAX($I25,$N25)),"")</f>
        <v/>
      </c>
      <c r="P25" s="10"/>
      <c r="Q25" s="10"/>
      <c r="R25" s="10" t="str">
        <f aca="false">IF(AND(SUM($I25)=0,SUM($O25)=0),"",SUM($O25)-$I25)</f>
        <v/>
      </c>
      <c r="S25" s="10" t="str">
        <f aca="false">IF(LEFT($B25,4)="_Mil","",_xlfn.IFNA(ROUND(INDEX(Spectrum!$N:$N,MATCH(RIGHT($B25,13)&amp;"|"&amp;$C25&amp;"|"&amp;$D25&amp;"|"&amp;S$14&amp;"|"&amp;"CY2022Q4",Spectrum!$R:$R,0)),0),""))</f>
        <v/>
      </c>
      <c r="T25" s="39" t="str">
        <f aca="false">IF(LEFT($B25,4)="_Mil","",_xlfn.IFNA(ROUND(INDEX(Spectrum!$N:$N,MATCH(RIGHT($B25,13)&amp;"|"&amp;$C25&amp;"|"&amp;$D25&amp;"|"&amp;T$14&amp;"|"&amp;"CY2023Q3",Spectrum!$R:$R,0)),0),""))</f>
        <v/>
      </c>
      <c r="U25" s="39" t="str">
        <f aca="false">IF(LEFT($B25,4)="_Mil","",_xlfn.IFNA(ROUND(INDEX(Spectrum!$N:$N,MATCH(RIGHT($B25,13)&amp;"|"&amp;$C25&amp;"|"&amp;$D25&amp;"|"&amp;U$14&amp;"|"&amp;"CY2023Q3",Spectrum!$R:$R,0)),0),""))</f>
        <v/>
      </c>
      <c r="V25" s="10" t="str">
        <f aca="false">IF(LEFT($B25,4)="_Mil","",_xlfn.IFNA(ROUND(INDEX(Spectrum!$N:$N,MATCH(RIGHT($B25,13)&amp;"|"&amp;$C25&amp;"|"&amp;$D25&amp;"|"&amp;V$14&amp;"|"&amp;"CY2023Q3",Spectrum!$R:$R,0)),0),""))</f>
        <v/>
      </c>
      <c r="W25" s="113" t="str">
        <f aca="false">IF(LEFT($B25,4)="_Mil","",_xlfn.IFNA(INDEX(Spectrum!$N:$N,MATCH(RIGHT($B25,13)&amp;"|"&amp;$C25&amp;"|"&amp;$D25&amp;"|"&amp;W$14&amp;"|"&amp;"CY2023Q3",Spectrum!$R:$R,0)),""))</f>
        <v/>
      </c>
      <c r="X25" s="39" t="str">
        <f aca="false">IF(LEFT($B25,4)="_Mil","",_xlfn.IFNA(ROUND(INDEX(Spectrum!$N:$N,MATCH(RIGHT($B25,13)&amp;"|"&amp;$C25&amp;"|"&amp;$D25&amp;"|"&amp;X$14&amp;"|"&amp;"CY2023Q3",Spectrum!$R:$R,0)),0),""))</f>
        <v/>
      </c>
      <c r="Y25" s="88" t="str">
        <f aca="false">IF(OR(SUM($U25)=0,LEFT($B25,4)="_Mil"),"",SUM($X25)/$U25)</f>
        <v/>
      </c>
      <c r="Z25" s="39" t="str">
        <f aca="false">IF(LEFT($B25,4)="_Mil","",_xlfn.IFNA(ROUND(INDEX(Spectrum!$N:$N,MATCH(RIGHT($B25,13)&amp;"|"&amp;$C25&amp;"|"&amp;$D25&amp;"|"&amp;Z$14&amp;"|"&amp;"CY2023Q3",Spectrum!$R:$R,0)),0),""))</f>
        <v/>
      </c>
      <c r="AA25" s="88" t="str">
        <f aca="false">IF(LEFT($B25,4)="_Mil","",IFERROR(1/(1/INDEX(Spectrum!$N:$N,MATCH(RIGHT($B25,13)&amp;"|"&amp;$C25&amp;"|"&amp;$D25&amp;"|"&amp;AA$14&amp;"|"&amp;"CY2023Q3",Spectrum!$R:$R,0))),IF(SUM($U25)=0,"",SUM($Z25)/$U25)))</f>
        <v/>
      </c>
      <c r="AB25" s="88" t="str">
        <f aca="false">IF(OR(LEFT($B25,4)="_Mil",SUM($X25)=0),"",SUM($Z25)/$X25)</f>
        <v/>
      </c>
      <c r="AC25" s="10" t="str">
        <f aca="false">IF(LEFT($B25,4)="_Mil","",_xlfn.IFNA(ROUND(INDEX(Spectrum!$N:$N,MATCH(RIGHT($B25,13)&amp;"|"&amp;$C25&amp;"|"&amp;$D25&amp;"|"&amp;AC$14&amp;"|"&amp;"CY2023Q3",Spectrum!$R:$R,0)),0),""))</f>
        <v/>
      </c>
      <c r="AD25" s="10" t="str">
        <f aca="false">IF(LEFT($B25,4)="_Mil","",_xlfn.IFNA(ROUND(INDEX(Spectrum!$N:$N,MATCH(RIGHT($B25,13)&amp;"|"&amp;$C25&amp;"|"&amp;$D25&amp;"|"&amp;AD$14&amp;"|"&amp;"CY2023Q3",Spectrum!$R:$R,0)),0),""))</f>
        <v/>
      </c>
      <c r="AE25" s="88" t="str">
        <f aca="false">IF(OR(LEFT($B25,4)="_Mil",SUM($Z25)=0),"",SUM($AD25)/$Z25)</f>
        <v/>
      </c>
      <c r="AF25" s="39" t="str">
        <f aca="false">IF(LEFT($B25,4)="_Mil","",_xlfn.IFNA(ROUND(INDEX(Spectrum!$N:$N,MATCH(RIGHT($B25,13)&amp;"|"&amp;$C25&amp;"|"&amp;$D25&amp;"|"&amp;AF$14&amp;"|"&amp;"CY2023Q3",Spectrum!$R:$R,0)),0),""))</f>
        <v/>
      </c>
      <c r="AG25" s="88" t="str">
        <f aca="false">IF(OR(LEFT($B25,4)="_Mil",SUM($AD25)=0),"",SUM($AF25)/$AD25)</f>
        <v/>
      </c>
      <c r="AH25" s="86" t="str">
        <f aca="false">IF(LEFT($B25,4)="_Mil","",_xlfn.IFNA(INDEX(Spectrum!$N:$N,MATCH(RIGHT($B25,13)&amp;"|"&amp;$C25&amp;"|"&amp;$D25&amp;"|"&amp;AH$14&amp;"|"&amp;"CY2023Q3",Spectrum!$R:$R,0)),""))</f>
        <v/>
      </c>
      <c r="AI25" s="10" t="str">
        <f aca="false">IF(LEFT($B25,4)="_Mil","",_xlfn.IFNA(ROUND(INDEX(Spectrum!$N:$N,MATCH(RIGHT($B25,13)&amp;"|"&amp;$C25&amp;"|"&amp;$D25&amp;"|"&amp;AI$14&amp;"|"&amp;"CY2023Q3",Spectrum!$R:$R,0)),0),""))</f>
        <v/>
      </c>
      <c r="AJ25" s="39" t="str">
        <f aca="false">IF(LEFT($B25,4)="_Mil","",_xlfn.IFNA(ROUND(INDEX(Spectrum!$N:$N,MATCH(RIGHT($B25,13)&amp;"|"&amp;$C25&amp;"|"&amp;$D25&amp;"|"&amp;AI$14&amp;"|"&amp;"CY2023Q3",Spectrum!$R:$R,0)),0),SUM($U25)+SUM($AI25)))</f>
        <v/>
      </c>
      <c r="AK25" s="10" t="str">
        <f aca="false">IF(LEFT($B25,4)="_Mil","",_xlfn.IFNA(ROUND(INDEX(Spectrum!$N:$N,MATCH(RIGHT($B25,13)&amp;"|"&amp;$C25&amp;"|"&amp;$D25&amp;"|"&amp;AK$14&amp;"|"&amp;"CY2023Q3",Spectrum!$R:$R,0)),0),""))</f>
        <v/>
      </c>
      <c r="AL25" s="88" t="str">
        <f aca="false">IF(OR(LEFT($B25,4)="_Mil",$C25="&lt;01"),"",MAX(SUM($AA25),90%))</f>
        <v/>
      </c>
      <c r="AM25" s="10" t="str">
        <f aca="false">IF(OR(LEFT($B25,4)="_Mil",$C25="&lt;01"),"",ROUND(SUM($AJ25)*SUM($AL25),0))</f>
        <v/>
      </c>
      <c r="AN25" s="10" t="str">
        <f aca="false">IF($C25="&lt;01",ROUND(INDEX(EID!$P:$P,MATCH($B25,EID!$B:$B,0))/2,0),"")</f>
        <v/>
      </c>
      <c r="AO25" s="10" t="n">
        <f aca="false">IF($C25="&lt;01",SUM($AN25),ROUND(SUM($AM25)*SUM($O25)/IF(SUM($Z25)=0,1,$Z25),0))</f>
        <v>0</v>
      </c>
      <c r="AP25" s="39" t="n">
        <f aca="false">IF(OR($F25="",$C25="&lt;01"),$AO25,$F25)</f>
        <v>0</v>
      </c>
      <c r="AQ25" s="39" t="str">
        <f aca="false">IF(LEFT($B25,4)="_Mil","",IF(SUM($AP25)=0,SUM($Z25),IF(OR(SUM($Z25)=0,SUM($O25)=0),MAX($AP25,$Z25),$AP25*$Z25/$O25)))</f>
        <v/>
      </c>
      <c r="AR25" s="88" t="str">
        <f aca="false">IF(OR(LEFT($B25,4)="_Mil",SUM($AJ25)=0),"",SUM($AQ25)/$AJ25)</f>
        <v/>
      </c>
      <c r="AS25" s="88" t="n">
        <f aca="false">IF($C25="&lt;01","",98%)</f>
        <v>0.98</v>
      </c>
      <c r="AT25" s="88" t="n">
        <f aca="false">IF($C25="&lt;01","",98%)</f>
        <v>0.98</v>
      </c>
      <c r="AU25" s="10" t="n">
        <f aca="false">IF($C25="&lt;01","",SUM($AP25)-SUM($O25))</f>
        <v>0</v>
      </c>
      <c r="AV25" s="10" t="n">
        <f aca="false">IF($C25="&lt;01",ROUND(INDEX(EID!$N:$N,MATCH($B25,EID!$B:$B,0))/2,0),IF(SUM($AT25)=0,"",ROUND((SUM($AP25)-(SUM($O25)*SUM($AS25)))/$AT25,0)))</f>
        <v>0</v>
      </c>
      <c r="AW25" s="88" t="n">
        <f aca="false">IF($C25="&lt;01","",100%)</f>
        <v>1</v>
      </c>
      <c r="AX25" s="39" t="n">
        <f aca="false">IF($C25="&lt;01",SUM($AV25),ROUND(SUM($AV25)*SUM($AW25),0))</f>
        <v>0</v>
      </c>
      <c r="AY25" s="114" t="n">
        <f aca="false">IF($C25="&lt;01","",70%)</f>
        <v>0.7</v>
      </c>
      <c r="AZ25" s="91" t="n">
        <f aca="false">IF($C25="&lt;01",ROUND(INDEX(EID!$R:$R,MATCH($B25,EID!$B:$B,0))/2,0),ROUND(SUM($O25)+(SUM($AV25)*$AY25),0))</f>
        <v>0</v>
      </c>
      <c r="BA25" s="87" t="n">
        <f aca="false">IF($C25="&lt;01","",95%)</f>
        <v>0.95</v>
      </c>
      <c r="BB25" s="5" t="n">
        <f aca="false">IF($C25="&lt;01",ROUND(INDEX(EID!$T:$T,MATCH($B25,EID!$B:$B,0))/2,0),ROUND($AZ25*$BA25,0))</f>
        <v>0</v>
      </c>
      <c r="BC25" s="91" t="str">
        <f aca="false">IF(LEFT($B25,4)="_Mil","",IF(SUM($BB25)=0,SUM($AD25),IF(OR(SUM($AP25)=0,SUM($AQ25)=0),MAX($BB25,$AD25),ROUND($BB25*$AQ25/$AP25,0))))</f>
        <v/>
      </c>
      <c r="BD25" s="88" t="n">
        <f aca="false">IF($C25="&lt;01","",95%)</f>
        <v>0.95</v>
      </c>
      <c r="BE25" s="39" t="n">
        <f aca="false">IF($C25="&lt;01",ROUND(INDEX(EID!$V:$V,MATCH($B25,EID!$B:$B,0))/2,0),ROUND($BD25*$BB25,0))</f>
        <v>0</v>
      </c>
      <c r="BF25" s="39" t="str">
        <f aca="false">IF(LEFT($B25,4)="_Mil","",IF(SUM($BE25)=0,SUM($AF25),IF(OR(SUM($AP25)=0,SUM($AQ25)=0),MAX($BE25,$AF25),ROUND($BE25*$AQ25/$AP25,0))))</f>
        <v/>
      </c>
      <c r="BG25" s="114" t="n">
        <f aca="false">IF($C25="&lt;01","",95%)</f>
        <v>0.95</v>
      </c>
      <c r="BH25" s="5" t="n">
        <f aca="false">IF($C25="&lt;01",ROUND(INDEX(EID!$L:$L,MATCH($B25,EID!$B:$B,0)),0)/2,IF(SUM($BG25)=0,"",ROUND($AX25/$BG25,0)))</f>
        <v>0</v>
      </c>
    </row>
    <row r="26" customFormat="false" ht="15" hidden="false" customHeight="false" outlineLevel="0" collapsed="false">
      <c r="A26" s="0" t="str">
        <f aca="false">INDEX(Prioritization!$D:$D,MATCH($B26,Prioritization!$A:$A,0))</f>
        <v>Military</v>
      </c>
      <c r="B26" s="0" t="s">
        <v>194</v>
      </c>
      <c r="C26" s="0" t="s">
        <v>367</v>
      </c>
      <c r="D26" s="0" t="s">
        <v>48</v>
      </c>
      <c r="E26" s="0" t="str">
        <f aca="false">$B26&amp;"|"&amp;$C26&amp;"|"&amp;$D26</f>
        <v>_Military Malawi [PQZgU9dagaH]|35-49|Male</v>
      </c>
      <c r="F26" s="10"/>
      <c r="G26" s="10"/>
      <c r="H26" s="10"/>
      <c r="I26" s="10"/>
      <c r="J26" s="10"/>
      <c r="K26" s="10"/>
      <c r="L26" s="10"/>
      <c r="M26" s="10"/>
      <c r="N26" s="10"/>
      <c r="O26" s="10" t="str">
        <f aca="false">IFERROR(1/(1/MAX($I26,$N26)),"")</f>
        <v/>
      </c>
      <c r="P26" s="10"/>
      <c r="Q26" s="10"/>
      <c r="R26" s="10" t="str">
        <f aca="false">IF(AND(SUM($I26)=0,SUM($O26)=0),"",SUM($O26)-$I26)</f>
        <v/>
      </c>
      <c r="S26" s="10" t="str">
        <f aca="false">IF(LEFT($B26,4)="_Mil","",_xlfn.IFNA(ROUND(INDEX(Spectrum!$N:$N,MATCH(RIGHT($B26,13)&amp;"|"&amp;$C26&amp;"|"&amp;$D26&amp;"|"&amp;S$14&amp;"|"&amp;"CY2022Q4",Spectrum!$R:$R,0)),0),""))</f>
        <v/>
      </c>
      <c r="T26" s="39" t="str">
        <f aca="false">IF(LEFT($B26,4)="_Mil","",_xlfn.IFNA(ROUND(INDEX(Spectrum!$N:$N,MATCH(RIGHT($B26,13)&amp;"|"&amp;$C26&amp;"|"&amp;$D26&amp;"|"&amp;T$14&amp;"|"&amp;"CY2023Q3",Spectrum!$R:$R,0)),0),""))</f>
        <v/>
      </c>
      <c r="U26" s="39" t="str">
        <f aca="false">IF(LEFT($B26,4)="_Mil","",_xlfn.IFNA(ROUND(INDEX(Spectrum!$N:$N,MATCH(RIGHT($B26,13)&amp;"|"&amp;$C26&amp;"|"&amp;$D26&amp;"|"&amp;U$14&amp;"|"&amp;"CY2023Q3",Spectrum!$R:$R,0)),0),""))</f>
        <v/>
      </c>
      <c r="V26" s="10" t="str">
        <f aca="false">IF(LEFT($B26,4)="_Mil","",_xlfn.IFNA(ROUND(INDEX(Spectrum!$N:$N,MATCH(RIGHT($B26,13)&amp;"|"&amp;$C26&amp;"|"&amp;$D26&amp;"|"&amp;V$14&amp;"|"&amp;"CY2023Q3",Spectrum!$R:$R,0)),0),""))</f>
        <v/>
      </c>
      <c r="W26" s="113" t="str">
        <f aca="false">IF(LEFT($B26,4)="_Mil","",_xlfn.IFNA(INDEX(Spectrum!$N:$N,MATCH(RIGHT($B26,13)&amp;"|"&amp;$C26&amp;"|"&amp;$D26&amp;"|"&amp;W$14&amp;"|"&amp;"CY2023Q3",Spectrum!$R:$R,0)),""))</f>
        <v/>
      </c>
      <c r="X26" s="39" t="str">
        <f aca="false">IF(LEFT($B26,4)="_Mil","",_xlfn.IFNA(ROUND(INDEX(Spectrum!$N:$N,MATCH(RIGHT($B26,13)&amp;"|"&amp;$C26&amp;"|"&amp;$D26&amp;"|"&amp;X$14&amp;"|"&amp;"CY2023Q3",Spectrum!$R:$R,0)),0),""))</f>
        <v/>
      </c>
      <c r="Y26" s="88" t="str">
        <f aca="false">IF(OR(SUM($U26)=0,LEFT($B26,4)="_Mil"),"",SUM($X26)/$U26)</f>
        <v/>
      </c>
      <c r="Z26" s="39" t="str">
        <f aca="false">IF(LEFT($B26,4)="_Mil","",_xlfn.IFNA(ROUND(INDEX(Spectrum!$N:$N,MATCH(RIGHT($B26,13)&amp;"|"&amp;$C26&amp;"|"&amp;$D26&amp;"|"&amp;Z$14&amp;"|"&amp;"CY2023Q3",Spectrum!$R:$R,0)),0),""))</f>
        <v/>
      </c>
      <c r="AA26" s="88" t="str">
        <f aca="false">IF(LEFT($B26,4)="_Mil","",IFERROR(1/(1/INDEX(Spectrum!$N:$N,MATCH(RIGHT($B26,13)&amp;"|"&amp;$C26&amp;"|"&amp;$D26&amp;"|"&amp;AA$14&amp;"|"&amp;"CY2023Q3",Spectrum!$R:$R,0))),IF(SUM($U26)=0,"",SUM($Z26)/$U26)))</f>
        <v/>
      </c>
      <c r="AB26" s="88" t="str">
        <f aca="false">IF(OR(LEFT($B26,4)="_Mil",SUM($X26)=0),"",SUM($Z26)/$X26)</f>
        <v/>
      </c>
      <c r="AC26" s="10" t="str">
        <f aca="false">IF(LEFT($B26,4)="_Mil","",_xlfn.IFNA(ROUND(INDEX(Spectrum!$N:$N,MATCH(RIGHT($B26,13)&amp;"|"&amp;$C26&amp;"|"&amp;$D26&amp;"|"&amp;AC$14&amp;"|"&amp;"CY2023Q3",Spectrum!$R:$R,0)),0),""))</f>
        <v/>
      </c>
      <c r="AD26" s="10" t="str">
        <f aca="false">IF(LEFT($B26,4)="_Mil","",_xlfn.IFNA(ROUND(INDEX(Spectrum!$N:$N,MATCH(RIGHT($B26,13)&amp;"|"&amp;$C26&amp;"|"&amp;$D26&amp;"|"&amp;AD$14&amp;"|"&amp;"CY2023Q3",Spectrum!$R:$R,0)),0),""))</f>
        <v/>
      </c>
      <c r="AE26" s="88" t="str">
        <f aca="false">IF(OR(LEFT($B26,4)="_Mil",SUM($Z26)=0),"",SUM($AD26)/$Z26)</f>
        <v/>
      </c>
      <c r="AF26" s="39" t="str">
        <f aca="false">IF(LEFT($B26,4)="_Mil","",_xlfn.IFNA(ROUND(INDEX(Spectrum!$N:$N,MATCH(RIGHT($B26,13)&amp;"|"&amp;$C26&amp;"|"&amp;$D26&amp;"|"&amp;AF$14&amp;"|"&amp;"CY2023Q3",Spectrum!$R:$R,0)),0),""))</f>
        <v/>
      </c>
      <c r="AG26" s="88" t="str">
        <f aca="false">IF(OR(LEFT($B26,4)="_Mil",SUM($AD26)=0),"",SUM($AF26)/$AD26)</f>
        <v/>
      </c>
      <c r="AH26" s="86" t="str">
        <f aca="false">IF(LEFT($B26,4)="_Mil","",_xlfn.IFNA(INDEX(Spectrum!$N:$N,MATCH(RIGHT($B26,13)&amp;"|"&amp;$C26&amp;"|"&amp;$D26&amp;"|"&amp;AH$14&amp;"|"&amp;"CY2023Q3",Spectrum!$R:$R,0)),""))</f>
        <v/>
      </c>
      <c r="AI26" s="10" t="str">
        <f aca="false">IF(LEFT($B26,4)="_Mil","",_xlfn.IFNA(ROUND(INDEX(Spectrum!$N:$N,MATCH(RIGHT($B26,13)&amp;"|"&amp;$C26&amp;"|"&amp;$D26&amp;"|"&amp;AI$14&amp;"|"&amp;"CY2023Q3",Spectrum!$R:$R,0)),0),""))</f>
        <v/>
      </c>
      <c r="AJ26" s="39" t="str">
        <f aca="false">IF(LEFT($B26,4)="_Mil","",_xlfn.IFNA(ROUND(INDEX(Spectrum!$N:$N,MATCH(RIGHT($B26,13)&amp;"|"&amp;$C26&amp;"|"&amp;$D26&amp;"|"&amp;AI$14&amp;"|"&amp;"CY2023Q3",Spectrum!$R:$R,0)),0),SUM($U26)+SUM($AI26)))</f>
        <v/>
      </c>
      <c r="AK26" s="10" t="str">
        <f aca="false">IF(LEFT($B26,4)="_Mil","",_xlfn.IFNA(ROUND(INDEX(Spectrum!$N:$N,MATCH(RIGHT($B26,13)&amp;"|"&amp;$C26&amp;"|"&amp;$D26&amp;"|"&amp;AK$14&amp;"|"&amp;"CY2023Q3",Spectrum!$R:$R,0)),0),""))</f>
        <v/>
      </c>
      <c r="AL26" s="88" t="str">
        <f aca="false">IF(OR(LEFT($B26,4)="_Mil",$C26="&lt;01"),"",MAX(SUM($AA26),90%))</f>
        <v/>
      </c>
      <c r="AM26" s="10" t="str">
        <f aca="false">IF(OR(LEFT($B26,4)="_Mil",$C26="&lt;01"),"",ROUND(SUM($AJ26)*SUM($AL26),0))</f>
        <v/>
      </c>
      <c r="AN26" s="10" t="str">
        <f aca="false">IF($C26="&lt;01",ROUND(INDEX(EID!$P:$P,MATCH($B26,EID!$B:$B,0))/2,0),"")</f>
        <v/>
      </c>
      <c r="AO26" s="10" t="n">
        <f aca="false">IF($C26="&lt;01",SUM($AN26),ROUND(SUM($AM26)*SUM($O26)/IF(SUM($Z26)=0,1,$Z26),0))</f>
        <v>0</v>
      </c>
      <c r="AP26" s="39" t="n">
        <f aca="false">IF(OR($F26="",$C26="&lt;01"),$AO26,$F26)</f>
        <v>0</v>
      </c>
      <c r="AQ26" s="39" t="str">
        <f aca="false">IF(LEFT($B26,4)="_Mil","",IF(SUM($AP26)=0,SUM($Z26),IF(OR(SUM($Z26)=0,SUM($O26)=0),MAX($AP26,$Z26),$AP26*$Z26/$O26)))</f>
        <v/>
      </c>
      <c r="AR26" s="88" t="str">
        <f aca="false">IF(OR(LEFT($B26,4)="_Mil",SUM($AJ26)=0),"",SUM($AQ26)/$AJ26)</f>
        <v/>
      </c>
      <c r="AS26" s="88" t="n">
        <f aca="false">IF($C26="&lt;01","",98%)</f>
        <v>0.98</v>
      </c>
      <c r="AT26" s="88" t="n">
        <f aca="false">IF($C26="&lt;01","",98%)</f>
        <v>0.98</v>
      </c>
      <c r="AU26" s="10" t="n">
        <f aca="false">IF($C26="&lt;01","",SUM($AP26)-SUM($O26))</f>
        <v>0</v>
      </c>
      <c r="AV26" s="10" t="n">
        <f aca="false">IF($C26="&lt;01",ROUND(INDEX(EID!$N:$N,MATCH($B26,EID!$B:$B,0))/2,0),IF(SUM($AT26)=0,"",ROUND((SUM($AP26)-(SUM($O26)*SUM($AS26)))/$AT26,0)))</f>
        <v>0</v>
      </c>
      <c r="AW26" s="88" t="n">
        <f aca="false">IF($C26="&lt;01","",100%)</f>
        <v>1</v>
      </c>
      <c r="AX26" s="39" t="n">
        <f aca="false">IF($C26="&lt;01",SUM($AV26),ROUND(SUM($AV26)*SUM($AW26),0))</f>
        <v>0</v>
      </c>
      <c r="AY26" s="114" t="n">
        <f aca="false">IF($C26="&lt;01","",70%)</f>
        <v>0.7</v>
      </c>
      <c r="AZ26" s="91" t="n">
        <f aca="false">IF($C26="&lt;01",ROUND(INDEX(EID!$R:$R,MATCH($B26,EID!$B:$B,0))/2,0),ROUND(SUM($O26)+(SUM($AV26)*$AY26),0))</f>
        <v>0</v>
      </c>
      <c r="BA26" s="87" t="n">
        <f aca="false">IF($C26="&lt;01","",95%)</f>
        <v>0.95</v>
      </c>
      <c r="BB26" s="5" t="n">
        <f aca="false">IF($C26="&lt;01",ROUND(INDEX(EID!$T:$T,MATCH($B26,EID!$B:$B,0))/2,0),ROUND($AZ26*$BA26,0))</f>
        <v>0</v>
      </c>
      <c r="BC26" s="91" t="str">
        <f aca="false">IF(LEFT($B26,4)="_Mil","",IF(SUM($BB26)=0,SUM($AD26),IF(OR(SUM($AP26)=0,SUM($AQ26)=0),MAX($BB26,$AD26),ROUND($BB26*$AQ26/$AP26,0))))</f>
        <v/>
      </c>
      <c r="BD26" s="88" t="n">
        <f aca="false">IF($C26="&lt;01","",95%)</f>
        <v>0.95</v>
      </c>
      <c r="BE26" s="39" t="n">
        <f aca="false">IF($C26="&lt;01",ROUND(INDEX(EID!$V:$V,MATCH($B26,EID!$B:$B,0))/2,0),ROUND($BD26*$BB26,0))</f>
        <v>0</v>
      </c>
      <c r="BF26" s="39" t="str">
        <f aca="false">IF(LEFT($B26,4)="_Mil","",IF(SUM($BE26)=0,SUM($AF26),IF(OR(SUM($AP26)=0,SUM($AQ26)=0),MAX($BE26,$AF26),ROUND($BE26*$AQ26/$AP26,0))))</f>
        <v/>
      </c>
      <c r="BG26" s="114" t="n">
        <f aca="false">IF($C26="&lt;01","",95%)</f>
        <v>0.95</v>
      </c>
      <c r="BH26" s="5" t="n">
        <f aca="false">IF($C26="&lt;01",ROUND(INDEX(EID!$L:$L,MATCH($B26,EID!$B:$B,0)),0)/2,IF(SUM($BG26)=0,"",ROUND($AX26/$BG26,0)))</f>
        <v>0</v>
      </c>
    </row>
    <row r="27" customFormat="false" ht="15" hidden="false" customHeight="false" outlineLevel="0" collapsed="false">
      <c r="A27" s="0" t="str">
        <f aca="false">INDEX(Prioritization!$D:$D,MATCH($B27,Prioritization!$A:$A,0))</f>
        <v>Military</v>
      </c>
      <c r="B27" s="0" t="s">
        <v>194</v>
      </c>
      <c r="C27" s="0" t="s">
        <v>368</v>
      </c>
      <c r="D27" s="0" t="s">
        <v>30</v>
      </c>
      <c r="E27" s="0" t="str">
        <f aca="false">$B27&amp;"|"&amp;$C27&amp;"|"&amp;$D27</f>
        <v>_Military Malawi [PQZgU9dagaH]|50+|Female</v>
      </c>
      <c r="F27" s="10"/>
      <c r="G27" s="10"/>
      <c r="H27" s="10"/>
      <c r="I27" s="10"/>
      <c r="J27" s="10"/>
      <c r="K27" s="10"/>
      <c r="L27" s="10"/>
      <c r="M27" s="10"/>
      <c r="N27" s="10"/>
      <c r="O27" s="10" t="str">
        <f aca="false">IFERROR(1/(1/MAX($I27,$N27)),"")</f>
        <v/>
      </c>
      <c r="P27" s="10"/>
      <c r="Q27" s="10"/>
      <c r="R27" s="10" t="str">
        <f aca="false">IF(AND(SUM($I27)=0,SUM($O27)=0),"",SUM($O27)-$I27)</f>
        <v/>
      </c>
      <c r="S27" s="10" t="str">
        <f aca="false">IF(LEFT($B27,4)="_Mil","",_xlfn.IFNA(ROUND(INDEX(Spectrum!$N:$N,MATCH(RIGHT($B27,13)&amp;"|"&amp;$C27&amp;"|"&amp;$D27&amp;"|"&amp;S$14&amp;"|"&amp;"CY2022Q4",Spectrum!$R:$R,0)),0),""))</f>
        <v/>
      </c>
      <c r="T27" s="39" t="str">
        <f aca="false">IF(LEFT($B27,4)="_Mil","",_xlfn.IFNA(ROUND(INDEX(Spectrum!$N:$N,MATCH(RIGHT($B27,13)&amp;"|"&amp;$C27&amp;"|"&amp;$D27&amp;"|"&amp;T$14&amp;"|"&amp;"CY2023Q3",Spectrum!$R:$R,0)),0),""))</f>
        <v/>
      </c>
      <c r="U27" s="39" t="str">
        <f aca="false">IF(LEFT($B27,4)="_Mil","",_xlfn.IFNA(ROUND(INDEX(Spectrum!$N:$N,MATCH(RIGHT($B27,13)&amp;"|"&amp;$C27&amp;"|"&amp;$D27&amp;"|"&amp;U$14&amp;"|"&amp;"CY2023Q3",Spectrum!$R:$R,0)),0),""))</f>
        <v/>
      </c>
      <c r="V27" s="10" t="str">
        <f aca="false">IF(LEFT($B27,4)="_Mil","",_xlfn.IFNA(ROUND(INDEX(Spectrum!$N:$N,MATCH(RIGHT($B27,13)&amp;"|"&amp;$C27&amp;"|"&amp;$D27&amp;"|"&amp;V$14&amp;"|"&amp;"CY2023Q3",Spectrum!$R:$R,0)),0),""))</f>
        <v/>
      </c>
      <c r="W27" s="113" t="str">
        <f aca="false">IF(LEFT($B27,4)="_Mil","",_xlfn.IFNA(INDEX(Spectrum!$N:$N,MATCH(RIGHT($B27,13)&amp;"|"&amp;$C27&amp;"|"&amp;$D27&amp;"|"&amp;W$14&amp;"|"&amp;"CY2023Q3",Spectrum!$R:$R,0)),""))</f>
        <v/>
      </c>
      <c r="X27" s="39" t="str">
        <f aca="false">IF(LEFT($B27,4)="_Mil","",_xlfn.IFNA(ROUND(INDEX(Spectrum!$N:$N,MATCH(RIGHT($B27,13)&amp;"|"&amp;$C27&amp;"|"&amp;$D27&amp;"|"&amp;X$14&amp;"|"&amp;"CY2023Q3",Spectrum!$R:$R,0)),0),""))</f>
        <v/>
      </c>
      <c r="Y27" s="88" t="str">
        <f aca="false">IF(OR(SUM($U27)=0,LEFT($B27,4)="_Mil"),"",SUM($X27)/$U27)</f>
        <v/>
      </c>
      <c r="Z27" s="39" t="str">
        <f aca="false">IF(LEFT($B27,4)="_Mil","",_xlfn.IFNA(ROUND(INDEX(Spectrum!$N:$N,MATCH(RIGHT($B27,13)&amp;"|"&amp;$C27&amp;"|"&amp;$D27&amp;"|"&amp;Z$14&amp;"|"&amp;"CY2023Q3",Spectrum!$R:$R,0)),0),""))</f>
        <v/>
      </c>
      <c r="AA27" s="88" t="str">
        <f aca="false">IF(LEFT($B27,4)="_Mil","",IFERROR(1/(1/INDEX(Spectrum!$N:$N,MATCH(RIGHT($B27,13)&amp;"|"&amp;$C27&amp;"|"&amp;$D27&amp;"|"&amp;AA$14&amp;"|"&amp;"CY2023Q3",Spectrum!$R:$R,0))),IF(SUM($U27)=0,"",SUM($Z27)/$U27)))</f>
        <v/>
      </c>
      <c r="AB27" s="88" t="str">
        <f aca="false">IF(OR(LEFT($B27,4)="_Mil",SUM($X27)=0),"",SUM($Z27)/$X27)</f>
        <v/>
      </c>
      <c r="AC27" s="10" t="str">
        <f aca="false">IF(LEFT($B27,4)="_Mil","",_xlfn.IFNA(ROUND(INDEX(Spectrum!$N:$N,MATCH(RIGHT($B27,13)&amp;"|"&amp;$C27&amp;"|"&amp;$D27&amp;"|"&amp;AC$14&amp;"|"&amp;"CY2023Q3",Spectrum!$R:$R,0)),0),""))</f>
        <v/>
      </c>
      <c r="AD27" s="10" t="str">
        <f aca="false">IF(LEFT($B27,4)="_Mil","",_xlfn.IFNA(ROUND(INDEX(Spectrum!$N:$N,MATCH(RIGHT($B27,13)&amp;"|"&amp;$C27&amp;"|"&amp;$D27&amp;"|"&amp;AD$14&amp;"|"&amp;"CY2023Q3",Spectrum!$R:$R,0)),0),""))</f>
        <v/>
      </c>
      <c r="AE27" s="88" t="str">
        <f aca="false">IF(OR(LEFT($B27,4)="_Mil",SUM($Z27)=0),"",SUM($AD27)/$Z27)</f>
        <v/>
      </c>
      <c r="AF27" s="39" t="str">
        <f aca="false">IF(LEFT($B27,4)="_Mil","",_xlfn.IFNA(ROUND(INDEX(Spectrum!$N:$N,MATCH(RIGHT($B27,13)&amp;"|"&amp;$C27&amp;"|"&amp;$D27&amp;"|"&amp;AF$14&amp;"|"&amp;"CY2023Q3",Spectrum!$R:$R,0)),0),""))</f>
        <v/>
      </c>
      <c r="AG27" s="88" t="str">
        <f aca="false">IF(OR(LEFT($B27,4)="_Mil",SUM($AD27)=0),"",SUM($AF27)/$AD27)</f>
        <v/>
      </c>
      <c r="AH27" s="86" t="str">
        <f aca="false">IF(LEFT($B27,4)="_Mil","",_xlfn.IFNA(INDEX(Spectrum!$N:$N,MATCH(RIGHT($B27,13)&amp;"|"&amp;$C27&amp;"|"&amp;$D27&amp;"|"&amp;AH$14&amp;"|"&amp;"CY2023Q3",Spectrum!$R:$R,0)),""))</f>
        <v/>
      </c>
      <c r="AI27" s="10" t="str">
        <f aca="false">IF(LEFT($B27,4)="_Mil","",_xlfn.IFNA(ROUND(INDEX(Spectrum!$N:$N,MATCH(RIGHT($B27,13)&amp;"|"&amp;$C27&amp;"|"&amp;$D27&amp;"|"&amp;AI$14&amp;"|"&amp;"CY2023Q3",Spectrum!$R:$R,0)),0),""))</f>
        <v/>
      </c>
      <c r="AJ27" s="39" t="str">
        <f aca="false">IF(LEFT($B27,4)="_Mil","",_xlfn.IFNA(ROUND(INDEX(Spectrum!$N:$N,MATCH(RIGHT($B27,13)&amp;"|"&amp;$C27&amp;"|"&amp;$D27&amp;"|"&amp;AI$14&amp;"|"&amp;"CY2023Q3",Spectrum!$R:$R,0)),0),SUM($U27)+SUM($AI27)))</f>
        <v/>
      </c>
      <c r="AK27" s="10" t="str">
        <f aca="false">IF(LEFT($B27,4)="_Mil","",_xlfn.IFNA(ROUND(INDEX(Spectrum!$N:$N,MATCH(RIGHT($B27,13)&amp;"|"&amp;$C27&amp;"|"&amp;$D27&amp;"|"&amp;AK$14&amp;"|"&amp;"CY2023Q3",Spectrum!$R:$R,0)),0),""))</f>
        <v/>
      </c>
      <c r="AL27" s="88" t="str">
        <f aca="false">IF(OR(LEFT($B27,4)="_Mil",$C27="&lt;01"),"",MAX(SUM($AA27),90%))</f>
        <v/>
      </c>
      <c r="AM27" s="10" t="str">
        <f aca="false">IF(OR(LEFT($B27,4)="_Mil",$C27="&lt;01"),"",ROUND(SUM($AJ27)*SUM($AL27),0))</f>
        <v/>
      </c>
      <c r="AN27" s="10" t="str">
        <f aca="false">IF($C27="&lt;01",ROUND(INDEX(EID!$P:$P,MATCH($B27,EID!$B:$B,0))/2,0),"")</f>
        <v/>
      </c>
      <c r="AO27" s="10" t="n">
        <f aca="false">IF($C27="&lt;01",SUM($AN27),ROUND(SUM($AM27)*SUM($O27)/IF(SUM($Z27)=0,1,$Z27),0))</f>
        <v>0</v>
      </c>
      <c r="AP27" s="39" t="n">
        <f aca="false">IF(OR($F27="",$C27="&lt;01"),$AO27,$F27)</f>
        <v>0</v>
      </c>
      <c r="AQ27" s="39" t="str">
        <f aca="false">IF(LEFT($B27,4)="_Mil","",IF(SUM($AP27)=0,SUM($Z27),IF(OR(SUM($Z27)=0,SUM($O27)=0),MAX($AP27,$Z27),$AP27*$Z27/$O27)))</f>
        <v/>
      </c>
      <c r="AR27" s="88" t="str">
        <f aca="false">IF(OR(LEFT($B27,4)="_Mil",SUM($AJ27)=0),"",SUM($AQ27)/$AJ27)</f>
        <v/>
      </c>
      <c r="AS27" s="88" t="n">
        <f aca="false">IF($C27="&lt;01","",98%)</f>
        <v>0.98</v>
      </c>
      <c r="AT27" s="88" t="n">
        <f aca="false">IF($C27="&lt;01","",98%)</f>
        <v>0.98</v>
      </c>
      <c r="AU27" s="10" t="n">
        <f aca="false">IF($C27="&lt;01","",SUM($AP27)-SUM($O27))</f>
        <v>0</v>
      </c>
      <c r="AV27" s="10" t="n">
        <f aca="false">IF($C27="&lt;01",ROUND(INDEX(EID!$N:$N,MATCH($B27,EID!$B:$B,0))/2,0),IF(SUM($AT27)=0,"",ROUND((SUM($AP27)-(SUM($O27)*SUM($AS27)))/$AT27,0)))</f>
        <v>0</v>
      </c>
      <c r="AW27" s="88" t="n">
        <f aca="false">IF($C27="&lt;01","",100%)</f>
        <v>1</v>
      </c>
      <c r="AX27" s="39" t="n">
        <f aca="false">IF($C27="&lt;01",SUM($AV27),ROUND(SUM($AV27)*SUM($AW27),0))</f>
        <v>0</v>
      </c>
      <c r="AY27" s="114" t="n">
        <f aca="false">IF($C27="&lt;01","",70%)</f>
        <v>0.7</v>
      </c>
      <c r="AZ27" s="91" t="n">
        <f aca="false">IF($C27="&lt;01",ROUND(INDEX(EID!$R:$R,MATCH($B27,EID!$B:$B,0))/2,0),ROUND(SUM($O27)+(SUM($AV27)*$AY27),0))</f>
        <v>0</v>
      </c>
      <c r="BA27" s="87" t="n">
        <f aca="false">IF($C27="&lt;01","",95%)</f>
        <v>0.95</v>
      </c>
      <c r="BB27" s="5" t="n">
        <f aca="false">IF($C27="&lt;01",ROUND(INDEX(EID!$T:$T,MATCH($B27,EID!$B:$B,0))/2,0),ROUND($AZ27*$BA27,0))</f>
        <v>0</v>
      </c>
      <c r="BC27" s="91" t="str">
        <f aca="false">IF(LEFT($B27,4)="_Mil","",IF(SUM($BB27)=0,SUM($AD27),IF(OR(SUM($AP27)=0,SUM($AQ27)=0),MAX($BB27,$AD27),ROUND($BB27*$AQ27/$AP27,0))))</f>
        <v/>
      </c>
      <c r="BD27" s="88" t="n">
        <f aca="false">IF($C27="&lt;01","",95%)</f>
        <v>0.95</v>
      </c>
      <c r="BE27" s="39" t="n">
        <f aca="false">IF($C27="&lt;01",ROUND(INDEX(EID!$V:$V,MATCH($B27,EID!$B:$B,0))/2,0),ROUND($BD27*$BB27,0))</f>
        <v>0</v>
      </c>
      <c r="BF27" s="39" t="str">
        <f aca="false">IF(LEFT($B27,4)="_Mil","",IF(SUM($BE27)=0,SUM($AF27),IF(OR(SUM($AP27)=0,SUM($AQ27)=0),MAX($BE27,$AF27),ROUND($BE27*$AQ27/$AP27,0))))</f>
        <v/>
      </c>
      <c r="BG27" s="114" t="n">
        <f aca="false">IF($C27="&lt;01","",95%)</f>
        <v>0.95</v>
      </c>
      <c r="BH27" s="5" t="n">
        <f aca="false">IF($C27="&lt;01",ROUND(INDEX(EID!$L:$L,MATCH($B27,EID!$B:$B,0)),0)/2,IF(SUM($BG27)=0,"",ROUND($AX27/$BG27,0)))</f>
        <v>0</v>
      </c>
    </row>
    <row r="28" customFormat="false" ht="15" hidden="false" customHeight="false" outlineLevel="0" collapsed="false">
      <c r="A28" s="0" t="str">
        <f aca="false">INDEX(Prioritization!$D:$D,MATCH($B28,Prioritization!$A:$A,0))</f>
        <v>Military</v>
      </c>
      <c r="B28" s="0" t="s">
        <v>194</v>
      </c>
      <c r="C28" s="0" t="s">
        <v>368</v>
      </c>
      <c r="D28" s="0" t="s">
        <v>48</v>
      </c>
      <c r="E28" s="0" t="str">
        <f aca="false">$B28&amp;"|"&amp;$C28&amp;"|"&amp;$D28</f>
        <v>_Military Malawi [PQZgU9dagaH]|50+|Male</v>
      </c>
      <c r="F28" s="10"/>
      <c r="G28" s="10"/>
      <c r="H28" s="10"/>
      <c r="I28" s="10"/>
      <c r="J28" s="10"/>
      <c r="K28" s="10"/>
      <c r="L28" s="10"/>
      <c r="M28" s="10"/>
      <c r="N28" s="10"/>
      <c r="O28" s="10" t="str">
        <f aca="false">IFERROR(1/(1/MAX($I28,$N28)),"")</f>
        <v/>
      </c>
      <c r="P28" s="10"/>
      <c r="Q28" s="10"/>
      <c r="R28" s="10" t="str">
        <f aca="false">IF(AND(SUM($I28)=0,SUM($O28)=0),"",SUM($O28)-$I28)</f>
        <v/>
      </c>
      <c r="S28" s="10" t="str">
        <f aca="false">IF(LEFT($B28,4)="_Mil","",_xlfn.IFNA(ROUND(INDEX(Spectrum!$N:$N,MATCH(RIGHT($B28,13)&amp;"|"&amp;$C28&amp;"|"&amp;$D28&amp;"|"&amp;S$14&amp;"|"&amp;"CY2022Q4",Spectrum!$R:$R,0)),0),""))</f>
        <v/>
      </c>
      <c r="T28" s="39" t="str">
        <f aca="false">IF(LEFT($B28,4)="_Mil","",_xlfn.IFNA(ROUND(INDEX(Spectrum!$N:$N,MATCH(RIGHT($B28,13)&amp;"|"&amp;$C28&amp;"|"&amp;$D28&amp;"|"&amp;T$14&amp;"|"&amp;"CY2023Q3",Spectrum!$R:$R,0)),0),""))</f>
        <v/>
      </c>
      <c r="U28" s="39" t="str">
        <f aca="false">IF(LEFT($B28,4)="_Mil","",_xlfn.IFNA(ROUND(INDEX(Spectrum!$N:$N,MATCH(RIGHT($B28,13)&amp;"|"&amp;$C28&amp;"|"&amp;$D28&amp;"|"&amp;U$14&amp;"|"&amp;"CY2023Q3",Spectrum!$R:$R,0)),0),""))</f>
        <v/>
      </c>
      <c r="V28" s="10" t="str">
        <f aca="false">IF(LEFT($B28,4)="_Mil","",_xlfn.IFNA(ROUND(INDEX(Spectrum!$N:$N,MATCH(RIGHT($B28,13)&amp;"|"&amp;$C28&amp;"|"&amp;$D28&amp;"|"&amp;V$14&amp;"|"&amp;"CY2023Q3",Spectrum!$R:$R,0)),0),""))</f>
        <v/>
      </c>
      <c r="W28" s="113" t="str">
        <f aca="false">IF(LEFT($B28,4)="_Mil","",_xlfn.IFNA(INDEX(Spectrum!$N:$N,MATCH(RIGHT($B28,13)&amp;"|"&amp;$C28&amp;"|"&amp;$D28&amp;"|"&amp;W$14&amp;"|"&amp;"CY2023Q3",Spectrum!$R:$R,0)),""))</f>
        <v/>
      </c>
      <c r="X28" s="39" t="str">
        <f aca="false">IF(LEFT($B28,4)="_Mil","",_xlfn.IFNA(ROUND(INDEX(Spectrum!$N:$N,MATCH(RIGHT($B28,13)&amp;"|"&amp;$C28&amp;"|"&amp;$D28&amp;"|"&amp;X$14&amp;"|"&amp;"CY2023Q3",Spectrum!$R:$R,0)),0),""))</f>
        <v/>
      </c>
      <c r="Y28" s="88" t="str">
        <f aca="false">IF(OR(SUM($U28)=0,LEFT($B28,4)="_Mil"),"",SUM($X28)/$U28)</f>
        <v/>
      </c>
      <c r="Z28" s="39" t="str">
        <f aca="false">IF(LEFT($B28,4)="_Mil","",_xlfn.IFNA(ROUND(INDEX(Spectrum!$N:$N,MATCH(RIGHT($B28,13)&amp;"|"&amp;$C28&amp;"|"&amp;$D28&amp;"|"&amp;Z$14&amp;"|"&amp;"CY2023Q3",Spectrum!$R:$R,0)),0),""))</f>
        <v/>
      </c>
      <c r="AA28" s="88" t="str">
        <f aca="false">IF(LEFT($B28,4)="_Mil","",IFERROR(1/(1/INDEX(Spectrum!$N:$N,MATCH(RIGHT($B28,13)&amp;"|"&amp;$C28&amp;"|"&amp;$D28&amp;"|"&amp;AA$14&amp;"|"&amp;"CY2023Q3",Spectrum!$R:$R,0))),IF(SUM($U28)=0,"",SUM($Z28)/$U28)))</f>
        <v/>
      </c>
      <c r="AB28" s="88" t="str">
        <f aca="false">IF(OR(LEFT($B28,4)="_Mil",SUM($X28)=0),"",SUM($Z28)/$X28)</f>
        <v/>
      </c>
      <c r="AC28" s="10" t="str">
        <f aca="false">IF(LEFT($B28,4)="_Mil","",_xlfn.IFNA(ROUND(INDEX(Spectrum!$N:$N,MATCH(RIGHT($B28,13)&amp;"|"&amp;$C28&amp;"|"&amp;$D28&amp;"|"&amp;AC$14&amp;"|"&amp;"CY2023Q3",Spectrum!$R:$R,0)),0),""))</f>
        <v/>
      </c>
      <c r="AD28" s="10" t="str">
        <f aca="false">IF(LEFT($B28,4)="_Mil","",_xlfn.IFNA(ROUND(INDEX(Spectrum!$N:$N,MATCH(RIGHT($B28,13)&amp;"|"&amp;$C28&amp;"|"&amp;$D28&amp;"|"&amp;AD$14&amp;"|"&amp;"CY2023Q3",Spectrum!$R:$R,0)),0),""))</f>
        <v/>
      </c>
      <c r="AE28" s="88" t="str">
        <f aca="false">IF(OR(LEFT($B28,4)="_Mil",SUM($Z28)=0),"",SUM($AD28)/$Z28)</f>
        <v/>
      </c>
      <c r="AF28" s="39" t="str">
        <f aca="false">IF(LEFT($B28,4)="_Mil","",_xlfn.IFNA(ROUND(INDEX(Spectrum!$N:$N,MATCH(RIGHT($B28,13)&amp;"|"&amp;$C28&amp;"|"&amp;$D28&amp;"|"&amp;AF$14&amp;"|"&amp;"CY2023Q3",Spectrum!$R:$R,0)),0),""))</f>
        <v/>
      </c>
      <c r="AG28" s="88" t="str">
        <f aca="false">IF(OR(LEFT($B28,4)="_Mil",SUM($AD28)=0),"",SUM($AF28)/$AD28)</f>
        <v/>
      </c>
      <c r="AH28" s="86" t="str">
        <f aca="false">IF(LEFT($B28,4)="_Mil","",_xlfn.IFNA(INDEX(Spectrum!$N:$N,MATCH(RIGHT($B28,13)&amp;"|"&amp;$C28&amp;"|"&amp;$D28&amp;"|"&amp;AH$14&amp;"|"&amp;"CY2023Q3",Spectrum!$R:$R,0)),""))</f>
        <v/>
      </c>
      <c r="AI28" s="10" t="str">
        <f aca="false">IF(LEFT($B28,4)="_Mil","",_xlfn.IFNA(ROUND(INDEX(Spectrum!$N:$N,MATCH(RIGHT($B28,13)&amp;"|"&amp;$C28&amp;"|"&amp;$D28&amp;"|"&amp;AI$14&amp;"|"&amp;"CY2023Q3",Spectrum!$R:$R,0)),0),""))</f>
        <v/>
      </c>
      <c r="AJ28" s="39" t="str">
        <f aca="false">IF(LEFT($B28,4)="_Mil","",_xlfn.IFNA(ROUND(INDEX(Spectrum!$N:$N,MATCH(RIGHT($B28,13)&amp;"|"&amp;$C28&amp;"|"&amp;$D28&amp;"|"&amp;AI$14&amp;"|"&amp;"CY2023Q3",Spectrum!$R:$R,0)),0),SUM($U28)+SUM($AI28)))</f>
        <v/>
      </c>
      <c r="AK28" s="10" t="str">
        <f aca="false">IF(LEFT($B28,4)="_Mil","",_xlfn.IFNA(ROUND(INDEX(Spectrum!$N:$N,MATCH(RIGHT($B28,13)&amp;"|"&amp;$C28&amp;"|"&amp;$D28&amp;"|"&amp;AK$14&amp;"|"&amp;"CY2023Q3",Spectrum!$R:$R,0)),0),""))</f>
        <v/>
      </c>
      <c r="AL28" s="88" t="str">
        <f aca="false">IF(OR(LEFT($B28,4)="_Mil",$C28="&lt;01"),"",MAX(SUM($AA28),90%))</f>
        <v/>
      </c>
      <c r="AM28" s="10" t="str">
        <f aca="false">IF(OR(LEFT($B28,4)="_Mil",$C28="&lt;01"),"",ROUND(SUM($AJ28)*SUM($AL28),0))</f>
        <v/>
      </c>
      <c r="AN28" s="10" t="str">
        <f aca="false">IF($C28="&lt;01",ROUND(INDEX(EID!$P:$P,MATCH($B28,EID!$B:$B,0))/2,0),"")</f>
        <v/>
      </c>
      <c r="AO28" s="10" t="n">
        <f aca="false">IF($C28="&lt;01",SUM($AN28),ROUND(SUM($AM28)*SUM($O28)/IF(SUM($Z28)=0,1,$Z28),0))</f>
        <v>0</v>
      </c>
      <c r="AP28" s="39" t="n">
        <f aca="false">IF(OR($F28="",$C28="&lt;01"),$AO28,$F28)</f>
        <v>0</v>
      </c>
      <c r="AQ28" s="39" t="str">
        <f aca="false">IF(LEFT($B28,4)="_Mil","",IF(SUM($AP28)=0,SUM($Z28),IF(OR(SUM($Z28)=0,SUM($O28)=0),MAX($AP28,$Z28),$AP28*$Z28/$O28)))</f>
        <v/>
      </c>
      <c r="AR28" s="88" t="str">
        <f aca="false">IF(OR(LEFT($B28,4)="_Mil",SUM($AJ28)=0),"",SUM($AQ28)/$AJ28)</f>
        <v/>
      </c>
      <c r="AS28" s="88" t="n">
        <f aca="false">IF($C28="&lt;01","",98%)</f>
        <v>0.98</v>
      </c>
      <c r="AT28" s="88" t="n">
        <f aca="false">IF($C28="&lt;01","",98%)</f>
        <v>0.98</v>
      </c>
      <c r="AU28" s="10" t="n">
        <f aca="false">IF($C28="&lt;01","",SUM($AP28)-SUM($O28))</f>
        <v>0</v>
      </c>
      <c r="AV28" s="10" t="n">
        <f aca="false">IF($C28="&lt;01",ROUND(INDEX(EID!$N:$N,MATCH($B28,EID!$B:$B,0))/2,0),IF(SUM($AT28)=0,"",ROUND((SUM($AP28)-(SUM($O28)*SUM($AS28)))/$AT28,0)))</f>
        <v>0</v>
      </c>
      <c r="AW28" s="88" t="n">
        <f aca="false">IF($C28="&lt;01","",100%)</f>
        <v>1</v>
      </c>
      <c r="AX28" s="39" t="n">
        <f aca="false">IF($C28="&lt;01",SUM($AV28),ROUND(SUM($AV28)*SUM($AW28),0))</f>
        <v>0</v>
      </c>
      <c r="AY28" s="114" t="n">
        <f aca="false">IF($C28="&lt;01","",70%)</f>
        <v>0.7</v>
      </c>
      <c r="AZ28" s="91" t="n">
        <f aca="false">IF($C28="&lt;01",ROUND(INDEX(EID!$R:$R,MATCH($B28,EID!$B:$B,0))/2,0),ROUND(SUM($O28)+(SUM($AV28)*$AY28),0))</f>
        <v>0</v>
      </c>
      <c r="BA28" s="87" t="n">
        <f aca="false">IF($C28="&lt;01","",95%)</f>
        <v>0.95</v>
      </c>
      <c r="BB28" s="5" t="n">
        <f aca="false">IF($C28="&lt;01",ROUND(INDEX(EID!$T:$T,MATCH($B28,EID!$B:$B,0))/2,0),ROUND($AZ28*$BA28,0))</f>
        <v>0</v>
      </c>
      <c r="BC28" s="91" t="str">
        <f aca="false">IF(LEFT($B28,4)="_Mil","",IF(SUM($BB28)=0,SUM($AD28),IF(OR(SUM($AP28)=0,SUM($AQ28)=0),MAX($BB28,$AD28),ROUND($BB28*$AQ28/$AP28,0))))</f>
        <v/>
      </c>
      <c r="BD28" s="88" t="n">
        <f aca="false">IF($C28="&lt;01","",95%)</f>
        <v>0.95</v>
      </c>
      <c r="BE28" s="39" t="n">
        <f aca="false">IF($C28="&lt;01",ROUND(INDEX(EID!$V:$V,MATCH($B28,EID!$B:$B,0))/2,0),ROUND($BD28*$BB28,0))</f>
        <v>0</v>
      </c>
      <c r="BF28" s="39" t="str">
        <f aca="false">IF(LEFT($B28,4)="_Mil","",IF(SUM($BE28)=0,SUM($AF28),IF(OR(SUM($AP28)=0,SUM($AQ28)=0),MAX($BE28,$AF28),ROUND($BE28*$AQ28/$AP28,0))))</f>
        <v/>
      </c>
      <c r="BG28" s="114" t="n">
        <f aca="false">IF($C28="&lt;01","",95%)</f>
        <v>0.95</v>
      </c>
      <c r="BH28" s="5" t="n">
        <f aca="false">IF($C28="&lt;01",ROUND(INDEX(EID!$L:$L,MATCH($B28,EID!$B:$B,0)),0)/2,IF(SUM($BG28)=0,"",ROUND($AX28/$BG28,0)))</f>
        <v>0</v>
      </c>
    </row>
    <row r="29" customFormat="false" ht="15" hidden="false" customHeight="false" outlineLevel="0" collapsed="false">
      <c r="A29" s="0" t="str">
        <f aca="false">INDEX(Prioritization!$D:$D,MATCH($B29,Prioritization!$A:$A,0))</f>
        <v>1 - Scale-up: Saturation</v>
      </c>
      <c r="B29" s="0" t="s">
        <v>195</v>
      </c>
      <c r="C29" s="0" t="s">
        <v>316</v>
      </c>
      <c r="D29" s="0" t="s">
        <v>30</v>
      </c>
      <c r="E29" s="0" t="str">
        <f aca="false">$B29&amp;"|"&amp;$C29&amp;"|"&amp;$D29</f>
        <v>Dedza District [PekKUkKHAzY]|&lt;01|Female</v>
      </c>
      <c r="F29" s="10"/>
      <c r="G29" s="10" t="n">
        <v>8</v>
      </c>
      <c r="H29" s="10" t="n">
        <v>3</v>
      </c>
      <c r="I29" s="10" t="n">
        <v>0</v>
      </c>
      <c r="J29" s="10" t="n">
        <v>8</v>
      </c>
      <c r="K29" s="10" t="n">
        <v>9</v>
      </c>
      <c r="L29" s="10"/>
      <c r="M29" s="10" t="n">
        <v>0</v>
      </c>
      <c r="N29" s="10" t="n">
        <v>1</v>
      </c>
      <c r="O29" s="10" t="n">
        <f aca="false">IFERROR(1/(1/MAX($I29,$N29)),"")</f>
        <v>1</v>
      </c>
      <c r="P29" s="10" t="n">
        <v>1</v>
      </c>
      <c r="Q29" s="10" t="n">
        <v>1</v>
      </c>
      <c r="R29" s="10" t="n">
        <f aca="false">IF(AND(SUM($I29)=0,SUM($O29)=0),"",SUM($O29)-$I29)</f>
        <v>1</v>
      </c>
      <c r="S29" s="10" t="n">
        <f aca="false">IF(LEFT($B29,4)="_Mil","",_xlfn.IFNA(ROUND(INDEX(Spectrum!$N:$N,MATCH(RIGHT($B29,13)&amp;"|"&amp;$C29&amp;"|"&amp;$D29&amp;"|"&amp;S$14&amp;"|"&amp;"CY2022Q4",Spectrum!$R:$R,0)),0),""))</f>
        <v>769</v>
      </c>
      <c r="T29" s="39" t="n">
        <f aca="false">IF(LEFT($B29,4)="_Mil","",_xlfn.IFNA(ROUND(INDEX(Spectrum!$N:$N,MATCH(RIGHT($B29,13)&amp;"|"&amp;$C29&amp;"|"&amp;$D29&amp;"|"&amp;T$14&amp;"|"&amp;"CY2023Q3",Spectrum!$R:$R,0)),0),""))</f>
        <v>994</v>
      </c>
      <c r="U29" s="39" t="str">
        <f aca="false">IF(LEFT($B29,4)="_Mil","",_xlfn.IFNA(ROUND(INDEX(Spectrum!$N:$N,MATCH(RIGHT($B29,13)&amp;"|"&amp;$C29&amp;"|"&amp;$D29&amp;"|"&amp;U$14&amp;"|"&amp;"CY2023Q3",Spectrum!$R:$R,0)),0),""))</f>
        <v/>
      </c>
      <c r="V29" s="10" t="n">
        <f aca="false">IF(LEFT($B29,4)="_Mil","",_xlfn.IFNA(ROUND(INDEX(Spectrum!$N:$N,MATCH(RIGHT($B29,13)&amp;"|"&amp;$C29&amp;"|"&amp;$D29&amp;"|"&amp;V$14&amp;"|"&amp;"CY2023Q3",Spectrum!$R:$R,0)),0),""))</f>
        <v>554</v>
      </c>
      <c r="W29" s="113" t="n">
        <f aca="false">IF(LEFT($B29,4)="_Mil","",_xlfn.IFNA(INDEX(Spectrum!$N:$N,MATCH(RIGHT($B29,13)&amp;"|"&amp;$C29&amp;"|"&amp;$D29&amp;"|"&amp;W$14&amp;"|"&amp;"CY2023Q3",Spectrum!$R:$R,0)),""))</f>
        <v>1236</v>
      </c>
      <c r="X29" s="39" t="n">
        <f aca="false">IF(LEFT($B29,4)="_Mil","",_xlfn.IFNA(ROUND(INDEX(Spectrum!$N:$N,MATCH(RIGHT($B29,13)&amp;"|"&amp;$C29&amp;"|"&amp;$D29&amp;"|"&amp;X$14&amp;"|"&amp;"CY2023Q3",Spectrum!$R:$R,0)),0),""))</f>
        <v>1375</v>
      </c>
      <c r="Y29" s="88" t="str">
        <f aca="false">IF(OR(SUM($U29)=0,LEFT($B29,4)="_Mil"),"",SUM($X29)/$U29)</f>
        <v/>
      </c>
      <c r="Z29" s="39" t="n">
        <f aca="false">IF(LEFT($B29,4)="_Mil","",_xlfn.IFNA(ROUND(INDEX(Spectrum!$N:$N,MATCH(RIGHT($B29,13)&amp;"|"&amp;$C29&amp;"|"&amp;$D29&amp;"|"&amp;Z$14&amp;"|"&amp;"CY2023Q3",Spectrum!$R:$R,0)),0),""))</f>
        <v>1173</v>
      </c>
      <c r="AA29" s="88" t="n">
        <f aca="false">IF(LEFT($B29,4)="_Mil","",IFERROR(1/(1/INDEX(Spectrum!$N:$N,MATCH(RIGHT($B29,13)&amp;"|"&amp;$C29&amp;"|"&amp;$D29&amp;"|"&amp;AA$14&amp;"|"&amp;"CY2023Q3",Spectrum!$R:$R,0))),IF(SUM($U29)=0,"",SUM($Z29)/$U29)))</f>
        <v>1725</v>
      </c>
      <c r="AB29" s="88" t="n">
        <f aca="false">IF(OR(LEFT($B29,4)="_Mil",SUM($X29)=0),"",SUM($Z29)/$X29)</f>
        <v>0.853090909090909</v>
      </c>
      <c r="AC29" s="10" t="n">
        <f aca="false">IF(LEFT($B29,4)="_Mil","",_xlfn.IFNA(ROUND(INDEX(Spectrum!$N:$N,MATCH(RIGHT($B29,13)&amp;"|"&amp;$C29&amp;"|"&amp;$D29&amp;"|"&amp;AC$14&amp;"|"&amp;"CY2023Q3",Spectrum!$R:$R,0)),0),""))</f>
        <v>587</v>
      </c>
      <c r="AD29" s="10" t="str">
        <f aca="false">IF(LEFT($B29,4)="_Mil","",_xlfn.IFNA(ROUND(INDEX(Spectrum!$N:$N,MATCH(RIGHT($B29,13)&amp;"|"&amp;$C29&amp;"|"&amp;$D29&amp;"|"&amp;AD$14&amp;"|"&amp;"CY2023Q3",Spectrum!$R:$R,0)),0),""))</f>
        <v/>
      </c>
      <c r="AE29" s="88" t="n">
        <f aca="false">IF(OR(LEFT($B29,4)="_Mil",SUM($Z29)=0),"",SUM($AD29)/$Z29)</f>
        <v>0</v>
      </c>
      <c r="AF29" s="39" t="str">
        <f aca="false">IF(LEFT($B29,4)="_Mil","",_xlfn.IFNA(ROUND(INDEX(Spectrum!$N:$N,MATCH(RIGHT($B29,13)&amp;"|"&amp;$C29&amp;"|"&amp;$D29&amp;"|"&amp;AF$14&amp;"|"&amp;"CY2023Q3",Spectrum!$R:$R,0)),0),""))</f>
        <v/>
      </c>
      <c r="AG29" s="88" t="str">
        <f aca="false">IF(OR(LEFT($B29,4)="_Mil",SUM($AD29)=0),"",SUM($AF29)/$AD29)</f>
        <v/>
      </c>
      <c r="AH29" s="86" t="str">
        <f aca="false">IF(LEFT($B29,4)="_Mil","",_xlfn.IFNA(INDEX(Spectrum!$N:$N,MATCH(RIGHT($B29,13)&amp;"|"&amp;$C29&amp;"|"&amp;$D29&amp;"|"&amp;AH$14&amp;"|"&amp;"CY2023Q3",Spectrum!$R:$R,0)),""))</f>
        <v/>
      </c>
      <c r="AI29" s="10" t="str">
        <f aca="false">IF(LEFT($B29,4)="_Mil","",_xlfn.IFNA(ROUND(INDEX(Spectrum!$N:$N,MATCH(RIGHT($B29,13)&amp;"|"&amp;$C29&amp;"|"&amp;$D29&amp;"|"&amp;AI$14&amp;"|"&amp;"CY2023Q3",Spectrum!$R:$R,0)),0),""))</f>
        <v/>
      </c>
      <c r="AJ29" s="39" t="n">
        <f aca="false">IF(LEFT($B29,4)="_Mil","",_xlfn.IFNA(ROUND(INDEX(Spectrum!$N:$N,MATCH(RIGHT($B29,13)&amp;"|"&amp;$C29&amp;"|"&amp;$D29&amp;"|"&amp;AI$14&amp;"|"&amp;"CY2023Q3",Spectrum!$R:$R,0)),0),SUM($U29)+SUM($AI29)))</f>
        <v>0</v>
      </c>
      <c r="AK29" s="10" t="str">
        <f aca="false">IF(LEFT($B29,4)="_Mil","",_xlfn.IFNA(ROUND(INDEX(Spectrum!$N:$N,MATCH(RIGHT($B29,13)&amp;"|"&amp;$C29&amp;"|"&amp;$D29&amp;"|"&amp;AK$14&amp;"|"&amp;"CY2023Q3",Spectrum!$R:$R,0)),0),""))</f>
        <v/>
      </c>
      <c r="AL29" s="88" t="str">
        <f aca="false">IF(OR(LEFT($B29,4)="_Mil",$C29="&lt;01"),"",MAX(SUM($AA29),90%))</f>
        <v/>
      </c>
      <c r="AM29" s="10" t="str">
        <f aca="false">IF(OR(LEFT($B29,4)="_Mil",$C29="&lt;01"),"",ROUND(SUM($AJ29)*SUM($AL29),0))</f>
        <v/>
      </c>
      <c r="AN29" s="10" t="n">
        <f aca="false">IF($C29="&lt;01",ROUND(INDEX(EID!$P:$P,MATCH($B29,EID!$B:$B,0))/2,0),"")</f>
        <v>0</v>
      </c>
      <c r="AO29" s="10" t="n">
        <f aca="false">IF($C29="&lt;01",SUM($AN29),ROUND(SUM($AM29)*SUM($O29)/IF(SUM($Z29)=0,1,$Z29),0))</f>
        <v>0</v>
      </c>
      <c r="AP29" s="39" t="n">
        <f aca="false">IF(OR($F29="",$C29="&lt;01"),$AO29,$F29)</f>
        <v>0</v>
      </c>
      <c r="AQ29" s="39" t="n">
        <f aca="false">IF(LEFT($B29,4)="_Mil","",IF(SUM($AP29)=0,SUM($Z29),IF(OR(SUM($Z29)=0,SUM($O29)=0),MAX($AP29,$Z29),$AP29*$Z29/$O29)))</f>
        <v>1173</v>
      </c>
      <c r="AR29" s="88" t="str">
        <f aca="false">IF(OR(LEFT($B29,4)="_Mil",SUM($AJ29)=0),"",SUM($AQ29)/$AJ29)</f>
        <v/>
      </c>
      <c r="AS29" s="88" t="str">
        <f aca="false">IF($C29="&lt;01","",98%)</f>
        <v/>
      </c>
      <c r="AT29" s="88" t="str">
        <f aca="false">IF($C29="&lt;01","",98%)</f>
        <v/>
      </c>
      <c r="AU29" s="10" t="str">
        <f aca="false">IF($C29="&lt;01","",SUM($AP29)-SUM($O29))</f>
        <v/>
      </c>
      <c r="AV29" s="10" t="n">
        <f aca="false">IF($C29="&lt;01",ROUND(INDEX(EID!$N:$N,MATCH($B29,EID!$B:$B,0))/2,0),IF(SUM($AT29)=0,"",ROUND((SUM($AP29)-(SUM($O29)*SUM($AS29)))/$AT29,0)))</f>
        <v>0</v>
      </c>
      <c r="AW29" s="88" t="str">
        <f aca="false">IF($C29="&lt;01","",100%)</f>
        <v/>
      </c>
      <c r="AX29" s="39" t="n">
        <f aca="false">IF($C29="&lt;01",SUM($AV29),ROUND(SUM($AV29)*SUM($AW29),0))</f>
        <v>0</v>
      </c>
      <c r="AY29" s="114" t="str">
        <f aca="false">IF($C29="&lt;01","",70%)</f>
        <v/>
      </c>
      <c r="AZ29" s="91" t="n">
        <f aca="false">IF($C29="&lt;01",ROUND(INDEX(EID!$R:$R,MATCH($B29,EID!$B:$B,0))/2,0),ROUND(SUM($O29)+(SUM($AV29)*$AY29),0))</f>
        <v>0</v>
      </c>
      <c r="BA29" s="87" t="str">
        <f aca="false">IF($C29="&lt;01","",95%)</f>
        <v/>
      </c>
      <c r="BB29" s="5" t="n">
        <f aca="false">IF($C29="&lt;01",ROUND(INDEX(EID!$T:$T,MATCH($B29,EID!$B:$B,0))/2,0),ROUND($AZ29*$BA29,0))</f>
        <v>0</v>
      </c>
      <c r="BC29" s="91" t="n">
        <f aca="false">IF(LEFT($B29,4)="_Mil","",IF(SUM($BB29)=0,SUM($AD29),IF(OR(SUM($AP29)=0,SUM($AQ29)=0),MAX($BB29,$AD29),ROUND($BB29*$AQ29/$AP29,0))))</f>
        <v>0</v>
      </c>
      <c r="BD29" s="88" t="str">
        <f aca="false">IF($C29="&lt;01","",95%)</f>
        <v/>
      </c>
      <c r="BE29" s="39" t="n">
        <f aca="false">IF($C29="&lt;01",ROUND(INDEX(EID!$V:$V,MATCH($B29,EID!$B:$B,0))/2,0),ROUND($BD29*$BB29,0))</f>
        <v>0</v>
      </c>
      <c r="BF29" s="39" t="n">
        <f aca="false">IF(LEFT($B29,4)="_Mil","",IF(SUM($BE29)=0,SUM($AF29),IF(OR(SUM($AP29)=0,SUM($AQ29)=0),MAX($BE29,$AF29),ROUND($BE29*$AQ29/$AP29,0))))</f>
        <v>0</v>
      </c>
      <c r="BG29" s="114" t="str">
        <f aca="false">IF($C29="&lt;01","",95%)</f>
        <v/>
      </c>
      <c r="BH29" s="5" t="n">
        <f aca="false">IF($C29="&lt;01",ROUND(INDEX(EID!$L:$L,MATCH($B29,EID!$B:$B,0)),0)/2,IF(SUM($BG29)=0,"",ROUND($AX29/$BG29,0)))</f>
        <v>0</v>
      </c>
    </row>
    <row r="30" customFormat="false" ht="15" hidden="false" customHeight="false" outlineLevel="0" collapsed="false">
      <c r="A30" s="0" t="str">
        <f aca="false">INDEX(Prioritization!$D:$D,MATCH($B30,Prioritization!$A:$A,0))</f>
        <v>1 - Scale-up: Saturation</v>
      </c>
      <c r="B30" s="0" t="s">
        <v>195</v>
      </c>
      <c r="C30" s="0" t="s">
        <v>316</v>
      </c>
      <c r="D30" s="0" t="s">
        <v>48</v>
      </c>
      <c r="E30" s="0" t="str">
        <f aca="false">$B30&amp;"|"&amp;$C30&amp;"|"&amp;$D30</f>
        <v>Dedza District [PekKUkKHAzY]|&lt;01|Male</v>
      </c>
      <c r="F30" s="10"/>
      <c r="G30" s="10" t="n">
        <v>4</v>
      </c>
      <c r="H30" s="10" t="n">
        <v>8</v>
      </c>
      <c r="I30" s="10" t="n">
        <v>1</v>
      </c>
      <c r="J30" s="10" t="n">
        <v>5</v>
      </c>
      <c r="K30" s="10" t="n">
        <v>8</v>
      </c>
      <c r="L30" s="10"/>
      <c r="M30" s="10" t="n">
        <v>1</v>
      </c>
      <c r="N30" s="10" t="n">
        <v>1</v>
      </c>
      <c r="O30" s="10" t="n">
        <f aca="false">IFERROR(1/(1/MAX($I30,$N30)),"")</f>
        <v>1</v>
      </c>
      <c r="P30" s="10" t="n">
        <v>1</v>
      </c>
      <c r="Q30" s="10" t="n">
        <v>0</v>
      </c>
      <c r="R30" s="10" t="n">
        <f aca="false">IF(AND(SUM($I30)=0,SUM($O30)=0),"",SUM($O30)-$I30)</f>
        <v>0</v>
      </c>
      <c r="S30" s="10" t="n">
        <f aca="false">IF(LEFT($B30,4)="_Mil","",_xlfn.IFNA(ROUND(INDEX(Spectrum!$N:$N,MATCH(RIGHT($B30,13)&amp;"|"&amp;$C30&amp;"|"&amp;$D30&amp;"|"&amp;S$14&amp;"|"&amp;"CY2022Q4",Spectrum!$R:$R,0)),0),""))</f>
        <v>553</v>
      </c>
      <c r="T30" s="39" t="n">
        <f aca="false">IF(LEFT($B30,4)="_Mil","",_xlfn.IFNA(ROUND(INDEX(Spectrum!$N:$N,MATCH(RIGHT($B30,13)&amp;"|"&amp;$C30&amp;"|"&amp;$D30&amp;"|"&amp;T$14&amp;"|"&amp;"CY2023Q3",Spectrum!$R:$R,0)),0),""))</f>
        <v>1032</v>
      </c>
      <c r="U30" s="39" t="str">
        <f aca="false">IF(LEFT($B30,4)="_Mil","",_xlfn.IFNA(ROUND(INDEX(Spectrum!$N:$N,MATCH(RIGHT($B30,13)&amp;"|"&amp;$C30&amp;"|"&amp;$D30&amp;"|"&amp;U$14&amp;"|"&amp;"CY2023Q3",Spectrum!$R:$R,0)),0),""))</f>
        <v/>
      </c>
      <c r="V30" s="10" t="n">
        <f aca="false">IF(LEFT($B30,4)="_Mil","",_xlfn.IFNA(ROUND(INDEX(Spectrum!$N:$N,MATCH(RIGHT($B30,13)&amp;"|"&amp;$C30&amp;"|"&amp;$D30&amp;"|"&amp;V$14&amp;"|"&amp;"CY2023Q3",Spectrum!$R:$R,0)),0),""))</f>
        <v>1655</v>
      </c>
      <c r="W30" s="113" t="n">
        <f aca="false">IF(LEFT($B30,4)="_Mil","",_xlfn.IFNA(INDEX(Spectrum!$N:$N,MATCH(RIGHT($B30,13)&amp;"|"&amp;$C30&amp;"|"&amp;$D30&amp;"|"&amp;W$14&amp;"|"&amp;"CY2023Q3",Spectrum!$R:$R,0)),""))</f>
        <v>1036</v>
      </c>
      <c r="X30" s="39" t="n">
        <f aca="false">IF(LEFT($B30,4)="_Mil","",_xlfn.IFNA(ROUND(INDEX(Spectrum!$N:$N,MATCH(RIGHT($B30,13)&amp;"|"&amp;$C30&amp;"|"&amp;$D30&amp;"|"&amp;X$14&amp;"|"&amp;"CY2023Q3",Spectrum!$R:$R,0)),0),""))</f>
        <v>1575</v>
      </c>
      <c r="Y30" s="88" t="str">
        <f aca="false">IF(OR(SUM($U30)=0,LEFT($B30,4)="_Mil"),"",SUM($X30)/$U30)</f>
        <v/>
      </c>
      <c r="Z30" s="39" t="n">
        <f aca="false">IF(LEFT($B30,4)="_Mil","",_xlfn.IFNA(ROUND(INDEX(Spectrum!$N:$N,MATCH(RIGHT($B30,13)&amp;"|"&amp;$C30&amp;"|"&amp;$D30&amp;"|"&amp;Z$14&amp;"|"&amp;"CY2023Q3",Spectrum!$R:$R,0)),0),""))</f>
        <v>590</v>
      </c>
      <c r="AA30" s="88" t="n">
        <f aca="false">IF(LEFT($B30,4)="_Mil","",IFERROR(1/(1/INDEX(Spectrum!$N:$N,MATCH(RIGHT($B30,13)&amp;"|"&amp;$C30&amp;"|"&amp;$D30&amp;"|"&amp;AA$14&amp;"|"&amp;"CY2023Q3",Spectrum!$R:$R,0))),IF(SUM($U30)=0,"",SUM($Z30)/$U30)))</f>
        <v>1935</v>
      </c>
      <c r="AB30" s="88" t="n">
        <f aca="false">IF(OR(LEFT($B30,4)="_Mil",SUM($X30)=0),"",SUM($Z30)/$X30)</f>
        <v>0.374603174603175</v>
      </c>
      <c r="AC30" s="10" t="n">
        <f aca="false">IF(LEFT($B30,4)="_Mil","",_xlfn.IFNA(ROUND(INDEX(Spectrum!$N:$N,MATCH(RIGHT($B30,13)&amp;"|"&amp;$C30&amp;"|"&amp;$D30&amp;"|"&amp;AC$14&amp;"|"&amp;"CY2023Q3",Spectrum!$R:$R,0)),0),""))</f>
        <v>1653</v>
      </c>
      <c r="AD30" s="10" t="str">
        <f aca="false">IF(LEFT($B30,4)="_Mil","",_xlfn.IFNA(ROUND(INDEX(Spectrum!$N:$N,MATCH(RIGHT($B30,13)&amp;"|"&amp;$C30&amp;"|"&amp;$D30&amp;"|"&amp;AD$14&amp;"|"&amp;"CY2023Q3",Spectrum!$R:$R,0)),0),""))</f>
        <v/>
      </c>
      <c r="AE30" s="88" t="n">
        <f aca="false">IF(OR(LEFT($B30,4)="_Mil",SUM($Z30)=0),"",SUM($AD30)/$Z30)</f>
        <v>0</v>
      </c>
      <c r="AF30" s="39" t="str">
        <f aca="false">IF(LEFT($B30,4)="_Mil","",_xlfn.IFNA(ROUND(INDEX(Spectrum!$N:$N,MATCH(RIGHT($B30,13)&amp;"|"&amp;$C30&amp;"|"&amp;$D30&amp;"|"&amp;AF$14&amp;"|"&amp;"CY2023Q3",Spectrum!$R:$R,0)),0),""))</f>
        <v/>
      </c>
      <c r="AG30" s="88" t="str">
        <f aca="false">IF(OR(LEFT($B30,4)="_Mil",SUM($AD30)=0),"",SUM($AF30)/$AD30)</f>
        <v/>
      </c>
      <c r="AH30" s="86" t="str">
        <f aca="false">IF(LEFT($B30,4)="_Mil","",_xlfn.IFNA(INDEX(Spectrum!$N:$N,MATCH(RIGHT($B30,13)&amp;"|"&amp;$C30&amp;"|"&amp;$D30&amp;"|"&amp;AH$14&amp;"|"&amp;"CY2023Q3",Spectrum!$R:$R,0)),""))</f>
        <v/>
      </c>
      <c r="AI30" s="10" t="str">
        <f aca="false">IF(LEFT($B30,4)="_Mil","",_xlfn.IFNA(ROUND(INDEX(Spectrum!$N:$N,MATCH(RIGHT($B30,13)&amp;"|"&amp;$C30&amp;"|"&amp;$D30&amp;"|"&amp;AI$14&amp;"|"&amp;"CY2023Q3",Spectrum!$R:$R,0)),0),""))</f>
        <v/>
      </c>
      <c r="AJ30" s="39" t="n">
        <f aca="false">IF(LEFT($B30,4)="_Mil","",_xlfn.IFNA(ROUND(INDEX(Spectrum!$N:$N,MATCH(RIGHT($B30,13)&amp;"|"&amp;$C30&amp;"|"&amp;$D30&amp;"|"&amp;AI$14&amp;"|"&amp;"CY2023Q3",Spectrum!$R:$R,0)),0),SUM($U30)+SUM($AI30)))</f>
        <v>0</v>
      </c>
      <c r="AK30" s="10" t="str">
        <f aca="false">IF(LEFT($B30,4)="_Mil","",_xlfn.IFNA(ROUND(INDEX(Spectrum!$N:$N,MATCH(RIGHT($B30,13)&amp;"|"&amp;$C30&amp;"|"&amp;$D30&amp;"|"&amp;AK$14&amp;"|"&amp;"CY2023Q3",Spectrum!$R:$R,0)),0),""))</f>
        <v/>
      </c>
      <c r="AL30" s="88" t="str">
        <f aca="false">IF(OR(LEFT($B30,4)="_Mil",$C30="&lt;01"),"",MAX(SUM($AA30),90%))</f>
        <v/>
      </c>
      <c r="AM30" s="10" t="str">
        <f aca="false">IF(OR(LEFT($B30,4)="_Mil",$C30="&lt;01"),"",ROUND(SUM($AJ30)*SUM($AL30),0))</f>
        <v/>
      </c>
      <c r="AN30" s="10" t="n">
        <f aca="false">IF($C30="&lt;01",ROUND(INDEX(EID!$P:$P,MATCH($B30,EID!$B:$B,0))/2,0),"")</f>
        <v>0</v>
      </c>
      <c r="AO30" s="10" t="n">
        <f aca="false">IF($C30="&lt;01",SUM($AN30),ROUND(SUM($AM30)*SUM($O30)/IF(SUM($Z30)=0,1,$Z30),0))</f>
        <v>0</v>
      </c>
      <c r="AP30" s="39" t="n">
        <f aca="false">IF(OR($F30="",$C30="&lt;01"),$AO30,$F30)</f>
        <v>0</v>
      </c>
      <c r="AQ30" s="39" t="n">
        <f aca="false">IF(LEFT($B30,4)="_Mil","",IF(SUM($AP30)=0,SUM($Z30),IF(OR(SUM($Z30)=0,SUM($O30)=0),MAX($AP30,$Z30),$AP30*$Z30/$O30)))</f>
        <v>590</v>
      </c>
      <c r="AR30" s="88" t="str">
        <f aca="false">IF(OR(LEFT($B30,4)="_Mil",SUM($AJ30)=0),"",SUM($AQ30)/$AJ30)</f>
        <v/>
      </c>
      <c r="AS30" s="88" t="str">
        <f aca="false">IF($C30="&lt;01","",98%)</f>
        <v/>
      </c>
      <c r="AT30" s="88" t="str">
        <f aca="false">IF($C30="&lt;01","",98%)</f>
        <v/>
      </c>
      <c r="AU30" s="10" t="str">
        <f aca="false">IF($C30="&lt;01","",SUM($AP30)-SUM($O30))</f>
        <v/>
      </c>
      <c r="AV30" s="10" t="n">
        <f aca="false">IF($C30="&lt;01",ROUND(INDEX(EID!$N:$N,MATCH($B30,EID!$B:$B,0))/2,0),IF(SUM($AT30)=0,"",ROUND((SUM($AP30)-(SUM($O30)*SUM($AS30)))/$AT30,0)))</f>
        <v>0</v>
      </c>
      <c r="AW30" s="88" t="str">
        <f aca="false">IF($C30="&lt;01","",100%)</f>
        <v/>
      </c>
      <c r="AX30" s="39" t="n">
        <f aca="false">IF($C30="&lt;01",SUM($AV30),ROUND(SUM($AV30)*SUM($AW30),0))</f>
        <v>0</v>
      </c>
      <c r="AY30" s="114" t="str">
        <f aca="false">IF($C30="&lt;01","",70%)</f>
        <v/>
      </c>
      <c r="AZ30" s="91" t="n">
        <f aca="false">IF($C30="&lt;01",ROUND(INDEX(EID!$R:$R,MATCH($B30,EID!$B:$B,0))/2,0),ROUND(SUM($O30)+(SUM($AV30)*$AY30),0))</f>
        <v>0</v>
      </c>
      <c r="BA30" s="87" t="str">
        <f aca="false">IF($C30="&lt;01","",95%)</f>
        <v/>
      </c>
      <c r="BB30" s="5" t="n">
        <f aca="false">IF($C30="&lt;01",ROUND(INDEX(EID!$T:$T,MATCH($B30,EID!$B:$B,0))/2,0),ROUND($AZ30*$BA30,0))</f>
        <v>0</v>
      </c>
      <c r="BC30" s="91" t="n">
        <f aca="false">IF(LEFT($B30,4)="_Mil","",IF(SUM($BB30)=0,SUM($AD30),IF(OR(SUM($AP30)=0,SUM($AQ30)=0),MAX($BB30,$AD30),ROUND($BB30*$AQ30/$AP30,0))))</f>
        <v>0</v>
      </c>
      <c r="BD30" s="88" t="str">
        <f aca="false">IF($C30="&lt;01","",95%)</f>
        <v/>
      </c>
      <c r="BE30" s="39" t="n">
        <f aca="false">IF($C30="&lt;01",ROUND(INDEX(EID!$V:$V,MATCH($B30,EID!$B:$B,0))/2,0),ROUND($BD30*$BB30,0))</f>
        <v>0</v>
      </c>
      <c r="BF30" s="39" t="n">
        <f aca="false">IF(LEFT($B30,4)="_Mil","",IF(SUM($BE30)=0,SUM($AF30),IF(OR(SUM($AP30)=0,SUM($AQ30)=0),MAX($BE30,$AF30),ROUND($BE30*$AQ30/$AP30,0))))</f>
        <v>0</v>
      </c>
      <c r="BG30" s="114" t="str">
        <f aca="false">IF($C30="&lt;01","",95%)</f>
        <v/>
      </c>
      <c r="BH30" s="5" t="n">
        <f aca="false">IF($C30="&lt;01",ROUND(INDEX(EID!$L:$L,MATCH($B30,EID!$B:$B,0)),0)/2,IF(SUM($BG30)=0,"",ROUND($AX30/$BG30,0)))</f>
        <v>0</v>
      </c>
    </row>
    <row r="31" customFormat="false" ht="15" hidden="false" customHeight="false" outlineLevel="0" collapsed="false">
      <c r="A31" s="0" t="str">
        <f aca="false">INDEX(Prioritization!$D:$D,MATCH($B31,Prioritization!$A:$A,0))</f>
        <v>1 - Scale-up: Saturation</v>
      </c>
      <c r="B31" s="0" t="s">
        <v>195</v>
      </c>
      <c r="C31" s="0" t="s">
        <v>363</v>
      </c>
      <c r="D31" s="0" t="s">
        <v>30</v>
      </c>
      <c r="E31" s="0" t="str">
        <f aca="false">$B31&amp;"|"&amp;$C31&amp;"|"&amp;$D31</f>
        <v>Dedza District [PekKUkKHAzY]|01-09|Female</v>
      </c>
      <c r="F31" s="10"/>
      <c r="G31" s="10"/>
      <c r="H31" s="10"/>
      <c r="I31" s="10"/>
      <c r="J31" s="10"/>
      <c r="K31" s="10"/>
      <c r="L31" s="10"/>
      <c r="M31" s="10"/>
      <c r="N31" s="10"/>
      <c r="O31" s="10" t="str">
        <f aca="false">IFERROR(1/(1/MAX($I31,$N31)),"")</f>
        <v/>
      </c>
      <c r="P31" s="10"/>
      <c r="Q31" s="10"/>
      <c r="R31" s="10" t="str">
        <f aca="false">IF(AND(SUM($I31)=0,SUM($O31)=0),"",SUM($O31)-$I31)</f>
        <v/>
      </c>
      <c r="S31" s="10" t="n">
        <f aca="false">IF(LEFT($B31,4)="_Mil","",_xlfn.IFNA(ROUND(INDEX(Spectrum!$N:$N,MATCH(RIGHT($B31,13)&amp;"|"&amp;$C31&amp;"|"&amp;$D31&amp;"|"&amp;S$14&amp;"|"&amp;"CY2022Q4",Spectrum!$R:$R,0)),0),""))</f>
        <v>1452</v>
      </c>
      <c r="T31" s="39" t="n">
        <f aca="false">IF(LEFT($B31,4)="_Mil","",_xlfn.IFNA(ROUND(INDEX(Spectrum!$N:$N,MATCH(RIGHT($B31,13)&amp;"|"&amp;$C31&amp;"|"&amp;$D31&amp;"|"&amp;T$14&amp;"|"&amp;"CY2023Q3",Spectrum!$R:$R,0)),0),""))</f>
        <v>1043</v>
      </c>
      <c r="U31" s="39" t="str">
        <f aca="false">IF(LEFT($B31,4)="_Mil","",_xlfn.IFNA(ROUND(INDEX(Spectrum!$N:$N,MATCH(RIGHT($B31,13)&amp;"|"&amp;$C31&amp;"|"&amp;$D31&amp;"|"&amp;U$14&amp;"|"&amp;"CY2023Q3",Spectrum!$R:$R,0)),0),""))</f>
        <v/>
      </c>
      <c r="V31" s="10" t="n">
        <f aca="false">IF(LEFT($B31,4)="_Mil","",_xlfn.IFNA(ROUND(INDEX(Spectrum!$N:$N,MATCH(RIGHT($B31,13)&amp;"|"&amp;$C31&amp;"|"&amp;$D31&amp;"|"&amp;V$14&amp;"|"&amp;"CY2023Q3",Spectrum!$R:$R,0)),0),""))</f>
        <v>512</v>
      </c>
      <c r="W31" s="113" t="n">
        <f aca="false">IF(LEFT($B31,4)="_Mil","",_xlfn.IFNA(INDEX(Spectrum!$N:$N,MATCH(RIGHT($B31,13)&amp;"|"&amp;$C31&amp;"|"&amp;$D31&amp;"|"&amp;W$14&amp;"|"&amp;"CY2023Q3",Spectrum!$R:$R,0)),""))</f>
        <v>1903</v>
      </c>
      <c r="X31" s="39" t="n">
        <f aca="false">IF(LEFT($B31,4)="_Mil","",_xlfn.IFNA(ROUND(INDEX(Spectrum!$N:$N,MATCH(RIGHT($B31,13)&amp;"|"&amp;$C31&amp;"|"&amp;$D31&amp;"|"&amp;X$14&amp;"|"&amp;"CY2023Q3",Spectrum!$R:$R,0)),0),""))</f>
        <v>1222</v>
      </c>
      <c r="Y31" s="88" t="str">
        <f aca="false">IF(OR(SUM($U31)=0,LEFT($B31,4)="_Mil"),"",SUM($X31)/$U31)</f>
        <v/>
      </c>
      <c r="Z31" s="39" t="n">
        <f aca="false">IF(LEFT($B31,4)="_Mil","",_xlfn.IFNA(ROUND(INDEX(Spectrum!$N:$N,MATCH(RIGHT($B31,13)&amp;"|"&amp;$C31&amp;"|"&amp;$D31&amp;"|"&amp;Z$14&amp;"|"&amp;"CY2023Q3",Spectrum!$R:$R,0)),0),""))</f>
        <v>1571</v>
      </c>
      <c r="AA31" s="88" t="n">
        <f aca="false">IF(LEFT($B31,4)="_Mil","",IFERROR(1/(1/INDEX(Spectrum!$N:$N,MATCH(RIGHT($B31,13)&amp;"|"&amp;$C31&amp;"|"&amp;$D31&amp;"|"&amp;AA$14&amp;"|"&amp;"CY2023Q3",Spectrum!$R:$R,0))),IF(SUM($U31)=0,"",SUM($Z31)/$U31)))</f>
        <v>1993</v>
      </c>
      <c r="AB31" s="88" t="n">
        <f aca="false">IF(OR(LEFT($B31,4)="_Mil",SUM($X31)=0),"",SUM($Z31)/$X31)</f>
        <v>1.28559738134206</v>
      </c>
      <c r="AC31" s="10" t="n">
        <f aca="false">IF(LEFT($B31,4)="_Mil","",_xlfn.IFNA(ROUND(INDEX(Spectrum!$N:$N,MATCH(RIGHT($B31,13)&amp;"|"&amp;$C31&amp;"|"&amp;$D31&amp;"|"&amp;AC$14&amp;"|"&amp;"CY2023Q3",Spectrum!$R:$R,0)),0),""))</f>
        <v>955</v>
      </c>
      <c r="AD31" s="10" t="str">
        <f aca="false">IF(LEFT($B31,4)="_Mil","",_xlfn.IFNA(ROUND(INDEX(Spectrum!$N:$N,MATCH(RIGHT($B31,13)&amp;"|"&amp;$C31&amp;"|"&amp;$D31&amp;"|"&amp;AD$14&amp;"|"&amp;"CY2023Q3",Spectrum!$R:$R,0)),0),""))</f>
        <v/>
      </c>
      <c r="AE31" s="88" t="n">
        <f aca="false">IF(OR(LEFT($B31,4)="_Mil",SUM($Z31)=0),"",SUM($AD31)/$Z31)</f>
        <v>0</v>
      </c>
      <c r="AF31" s="39" t="str">
        <f aca="false">IF(LEFT($B31,4)="_Mil","",_xlfn.IFNA(ROUND(INDEX(Spectrum!$N:$N,MATCH(RIGHT($B31,13)&amp;"|"&amp;$C31&amp;"|"&amp;$D31&amp;"|"&amp;AF$14&amp;"|"&amp;"CY2023Q3",Spectrum!$R:$R,0)),0),""))</f>
        <v/>
      </c>
      <c r="AG31" s="88" t="str">
        <f aca="false">IF(OR(LEFT($B31,4)="_Mil",SUM($AD31)=0),"",SUM($AF31)/$AD31)</f>
        <v/>
      </c>
      <c r="AH31" s="86" t="str">
        <f aca="false">IF(LEFT($B31,4)="_Mil","",_xlfn.IFNA(INDEX(Spectrum!$N:$N,MATCH(RIGHT($B31,13)&amp;"|"&amp;$C31&amp;"|"&amp;$D31&amp;"|"&amp;AH$14&amp;"|"&amp;"CY2023Q3",Spectrum!$R:$R,0)),""))</f>
        <v/>
      </c>
      <c r="AI31" s="10" t="str">
        <f aca="false">IF(LEFT($B31,4)="_Mil","",_xlfn.IFNA(ROUND(INDEX(Spectrum!$N:$N,MATCH(RIGHT($B31,13)&amp;"|"&amp;$C31&amp;"|"&amp;$D31&amp;"|"&amp;AI$14&amp;"|"&amp;"CY2023Q3",Spectrum!$R:$R,0)),0),""))</f>
        <v/>
      </c>
      <c r="AJ31" s="39" t="n">
        <f aca="false">IF(LEFT($B31,4)="_Mil","",_xlfn.IFNA(ROUND(INDEX(Spectrum!$N:$N,MATCH(RIGHT($B31,13)&amp;"|"&amp;$C31&amp;"|"&amp;$D31&amp;"|"&amp;AI$14&amp;"|"&amp;"CY2023Q3",Spectrum!$R:$R,0)),0),SUM($U31)+SUM($AI31)))</f>
        <v>0</v>
      </c>
      <c r="AK31" s="10" t="str">
        <f aca="false">IF(LEFT($B31,4)="_Mil","",_xlfn.IFNA(ROUND(INDEX(Spectrum!$N:$N,MATCH(RIGHT($B31,13)&amp;"|"&amp;$C31&amp;"|"&amp;$D31&amp;"|"&amp;AK$14&amp;"|"&amp;"CY2023Q3",Spectrum!$R:$R,0)),0),""))</f>
        <v/>
      </c>
      <c r="AL31" s="88" t="n">
        <f aca="false">IF(OR(LEFT($B31,4)="_Mil",$C31="&lt;01"),"",MAX(SUM($AA31),90%))</f>
        <v>1993</v>
      </c>
      <c r="AM31" s="10" t="n">
        <f aca="false">IF(OR(LEFT($B31,4)="_Mil",$C31="&lt;01"),"",ROUND(SUM($AJ31)*SUM($AL31),0))</f>
        <v>0</v>
      </c>
      <c r="AN31" s="10" t="str">
        <f aca="false">IF($C31="&lt;01",ROUND(INDEX(EID!$P:$P,MATCH($B31,EID!$B:$B,0))/2,0),"")</f>
        <v/>
      </c>
      <c r="AO31" s="10" t="n">
        <f aca="false">IF($C31="&lt;01",SUM($AN31),ROUND(SUM($AM31)*SUM($O31)/IF(SUM($Z31)=0,1,$Z31),0))</f>
        <v>0</v>
      </c>
      <c r="AP31" s="39" t="n">
        <f aca="false">IF(OR($F31="",$C31="&lt;01"),$AO31,$F31)</f>
        <v>0</v>
      </c>
      <c r="AQ31" s="39" t="n">
        <f aca="false">IF(LEFT($B31,4)="_Mil","",IF(SUM($AP31)=0,SUM($Z31),IF(OR(SUM($Z31)=0,SUM($O31)=0),MAX($AP31,$Z31),$AP31*$Z31/$O31)))</f>
        <v>1571</v>
      </c>
      <c r="AR31" s="88" t="str">
        <f aca="false">IF(OR(LEFT($B31,4)="_Mil",SUM($AJ31)=0),"",SUM($AQ31)/$AJ31)</f>
        <v/>
      </c>
      <c r="AS31" s="88" t="n">
        <f aca="false">IF($C31="&lt;01","",98%)</f>
        <v>0.98</v>
      </c>
      <c r="AT31" s="88" t="n">
        <f aca="false">IF($C31="&lt;01","",98%)</f>
        <v>0.98</v>
      </c>
      <c r="AU31" s="10" t="n">
        <f aca="false">IF($C31="&lt;01","",SUM($AP31)-SUM($O31))</f>
        <v>0</v>
      </c>
      <c r="AV31" s="10" t="n">
        <f aca="false">IF($C31="&lt;01",ROUND(INDEX(EID!$N:$N,MATCH($B31,EID!$B:$B,0))/2,0),IF(SUM($AT31)=0,"",ROUND((SUM($AP31)-(SUM($O31)*SUM($AS31)))/$AT31,0)))</f>
        <v>0</v>
      </c>
      <c r="AW31" s="88" t="n">
        <f aca="false">IF($C31="&lt;01","",100%)</f>
        <v>1</v>
      </c>
      <c r="AX31" s="39" t="n">
        <f aca="false">IF($C31="&lt;01",SUM($AV31),ROUND(SUM($AV31)*SUM($AW31),0))</f>
        <v>0</v>
      </c>
      <c r="AY31" s="114" t="n">
        <f aca="false">IF($C31="&lt;01","",70%)</f>
        <v>0.7</v>
      </c>
      <c r="AZ31" s="91" t="n">
        <f aca="false">IF($C31="&lt;01",ROUND(INDEX(EID!$R:$R,MATCH($B31,EID!$B:$B,0))/2,0),ROUND(SUM($O31)+(SUM($AV31)*$AY31),0))</f>
        <v>0</v>
      </c>
      <c r="BA31" s="87" t="n">
        <f aca="false">IF($C31="&lt;01","",95%)</f>
        <v>0.95</v>
      </c>
      <c r="BB31" s="5" t="n">
        <f aca="false">IF($C31="&lt;01",ROUND(INDEX(EID!$T:$T,MATCH($B31,EID!$B:$B,0))/2,0),ROUND($AZ31*$BA31,0))</f>
        <v>0</v>
      </c>
      <c r="BC31" s="91" t="n">
        <f aca="false">IF(LEFT($B31,4)="_Mil","",IF(SUM($BB31)=0,SUM($AD31),IF(OR(SUM($AP31)=0,SUM($AQ31)=0),MAX($BB31,$AD31),ROUND($BB31*$AQ31/$AP31,0))))</f>
        <v>0</v>
      </c>
      <c r="BD31" s="88" t="n">
        <f aca="false">IF($C31="&lt;01","",95%)</f>
        <v>0.95</v>
      </c>
      <c r="BE31" s="39" t="n">
        <f aca="false">IF($C31="&lt;01",ROUND(INDEX(EID!$V:$V,MATCH($B31,EID!$B:$B,0))/2,0),ROUND($BD31*$BB31,0))</f>
        <v>0</v>
      </c>
      <c r="BF31" s="39" t="n">
        <f aca="false">IF(LEFT($B31,4)="_Mil","",IF(SUM($BE31)=0,SUM($AF31),IF(OR(SUM($AP31)=0,SUM($AQ31)=0),MAX($BE31,$AF31),ROUND($BE31*$AQ31/$AP31,0))))</f>
        <v>0</v>
      </c>
      <c r="BG31" s="114" t="n">
        <f aca="false">IF($C31="&lt;01","",95%)</f>
        <v>0.95</v>
      </c>
      <c r="BH31" s="5" t="n">
        <f aca="false">IF($C31="&lt;01",ROUND(INDEX(EID!$L:$L,MATCH($B31,EID!$B:$B,0)),0)/2,IF(SUM($BG31)=0,"",ROUND($AX31/$BG31,0)))</f>
        <v>0</v>
      </c>
    </row>
    <row r="32" customFormat="false" ht="15" hidden="false" customHeight="false" outlineLevel="0" collapsed="false">
      <c r="A32" s="0" t="str">
        <f aca="false">INDEX(Prioritization!$D:$D,MATCH($B32,Prioritization!$A:$A,0))</f>
        <v>1 - Scale-up: Saturation</v>
      </c>
      <c r="B32" s="0" t="s">
        <v>195</v>
      </c>
      <c r="C32" s="0" t="s">
        <v>363</v>
      </c>
      <c r="D32" s="0" t="s">
        <v>48</v>
      </c>
      <c r="E32" s="0" t="str">
        <f aca="false">$B32&amp;"|"&amp;$C32&amp;"|"&amp;$D32</f>
        <v>Dedza District [PekKUkKHAzY]|01-09|Male</v>
      </c>
      <c r="F32" s="10"/>
      <c r="G32" s="10"/>
      <c r="H32" s="10"/>
      <c r="I32" s="10"/>
      <c r="J32" s="10"/>
      <c r="K32" s="10"/>
      <c r="L32" s="10"/>
      <c r="M32" s="10"/>
      <c r="N32" s="10"/>
      <c r="O32" s="10" t="str">
        <f aca="false">IFERROR(1/(1/MAX($I32,$N32)),"")</f>
        <v/>
      </c>
      <c r="P32" s="10"/>
      <c r="Q32" s="10"/>
      <c r="R32" s="10" t="str">
        <f aca="false">IF(AND(SUM($I32)=0,SUM($O32)=0),"",SUM($O32)-$I32)</f>
        <v/>
      </c>
      <c r="S32" s="10" t="n">
        <f aca="false">IF(LEFT($B32,4)="_Mil","",_xlfn.IFNA(ROUND(INDEX(Spectrum!$N:$N,MATCH(RIGHT($B32,13)&amp;"|"&amp;$C32&amp;"|"&amp;$D32&amp;"|"&amp;S$14&amp;"|"&amp;"CY2022Q4",Spectrum!$R:$R,0)),0),""))</f>
        <v>1645</v>
      </c>
      <c r="T32" s="39" t="n">
        <f aca="false">IF(LEFT($B32,4)="_Mil","",_xlfn.IFNA(ROUND(INDEX(Spectrum!$N:$N,MATCH(RIGHT($B32,13)&amp;"|"&amp;$C32&amp;"|"&amp;$D32&amp;"|"&amp;T$14&amp;"|"&amp;"CY2023Q3",Spectrum!$R:$R,0)),0),""))</f>
        <v>1536</v>
      </c>
      <c r="U32" s="39" t="str">
        <f aca="false">IF(LEFT($B32,4)="_Mil","",_xlfn.IFNA(ROUND(INDEX(Spectrum!$N:$N,MATCH(RIGHT($B32,13)&amp;"|"&amp;$C32&amp;"|"&amp;$D32&amp;"|"&amp;U$14&amp;"|"&amp;"CY2023Q3",Spectrum!$R:$R,0)),0),""))</f>
        <v/>
      </c>
      <c r="V32" s="10" t="n">
        <f aca="false">IF(LEFT($B32,4)="_Mil","",_xlfn.IFNA(ROUND(INDEX(Spectrum!$N:$N,MATCH(RIGHT($B32,13)&amp;"|"&amp;$C32&amp;"|"&amp;$D32&amp;"|"&amp;V$14&amp;"|"&amp;"CY2023Q3",Spectrum!$R:$R,0)),0),""))</f>
        <v>966</v>
      </c>
      <c r="W32" s="113" t="n">
        <f aca="false">IF(LEFT($B32,4)="_Mil","",_xlfn.IFNA(INDEX(Spectrum!$N:$N,MATCH(RIGHT($B32,13)&amp;"|"&amp;$C32&amp;"|"&amp;$D32&amp;"|"&amp;W$14&amp;"|"&amp;"CY2023Q3",Spectrum!$R:$R,0)),""))</f>
        <v>570</v>
      </c>
      <c r="X32" s="39" t="n">
        <f aca="false">IF(LEFT($B32,4)="_Mil","",_xlfn.IFNA(ROUND(INDEX(Spectrum!$N:$N,MATCH(RIGHT($B32,13)&amp;"|"&amp;$C32&amp;"|"&amp;$D32&amp;"|"&amp;X$14&amp;"|"&amp;"CY2023Q3",Spectrum!$R:$R,0)),0),""))</f>
        <v>683</v>
      </c>
      <c r="Y32" s="88" t="str">
        <f aca="false">IF(OR(SUM($U32)=0,LEFT($B32,4)="_Mil"),"",SUM($X32)/$U32)</f>
        <v/>
      </c>
      <c r="Z32" s="39" t="n">
        <f aca="false">IF(LEFT($B32,4)="_Mil","",_xlfn.IFNA(ROUND(INDEX(Spectrum!$N:$N,MATCH(RIGHT($B32,13)&amp;"|"&amp;$C32&amp;"|"&amp;$D32&amp;"|"&amp;Z$14&amp;"|"&amp;"CY2023Q3",Spectrum!$R:$R,0)),0),""))</f>
        <v>1542</v>
      </c>
      <c r="AA32" s="88" t="n">
        <f aca="false">IF(LEFT($B32,4)="_Mil","",IFERROR(1/(1/INDEX(Spectrum!$N:$N,MATCH(RIGHT($B32,13)&amp;"|"&amp;$C32&amp;"|"&amp;$D32&amp;"|"&amp;AA$14&amp;"|"&amp;"CY2023Q3",Spectrum!$R:$R,0))),IF(SUM($U32)=0,"",SUM($Z32)/$U32)))</f>
        <v>1004</v>
      </c>
      <c r="AB32" s="88" t="n">
        <f aca="false">IF(OR(LEFT($B32,4)="_Mil",SUM($X32)=0),"",SUM($Z32)/$X32)</f>
        <v>2.25768667642753</v>
      </c>
      <c r="AC32" s="10" t="n">
        <f aca="false">IF(LEFT($B32,4)="_Mil","",_xlfn.IFNA(ROUND(INDEX(Spectrum!$N:$N,MATCH(RIGHT($B32,13)&amp;"|"&amp;$C32&amp;"|"&amp;$D32&amp;"|"&amp;AC$14&amp;"|"&amp;"CY2023Q3",Spectrum!$R:$R,0)),0),""))</f>
        <v>737</v>
      </c>
      <c r="AD32" s="10" t="str">
        <f aca="false">IF(LEFT($B32,4)="_Mil","",_xlfn.IFNA(ROUND(INDEX(Spectrum!$N:$N,MATCH(RIGHT($B32,13)&amp;"|"&amp;$C32&amp;"|"&amp;$D32&amp;"|"&amp;AD$14&amp;"|"&amp;"CY2023Q3",Spectrum!$R:$R,0)),0),""))</f>
        <v/>
      </c>
      <c r="AE32" s="88" t="n">
        <f aca="false">IF(OR(LEFT($B32,4)="_Mil",SUM($Z32)=0),"",SUM($AD32)/$Z32)</f>
        <v>0</v>
      </c>
      <c r="AF32" s="39" t="str">
        <f aca="false">IF(LEFT($B32,4)="_Mil","",_xlfn.IFNA(ROUND(INDEX(Spectrum!$N:$N,MATCH(RIGHT($B32,13)&amp;"|"&amp;$C32&amp;"|"&amp;$D32&amp;"|"&amp;AF$14&amp;"|"&amp;"CY2023Q3",Spectrum!$R:$R,0)),0),""))</f>
        <v/>
      </c>
      <c r="AG32" s="88" t="str">
        <f aca="false">IF(OR(LEFT($B32,4)="_Mil",SUM($AD32)=0),"",SUM($AF32)/$AD32)</f>
        <v/>
      </c>
      <c r="AH32" s="86" t="str">
        <f aca="false">IF(LEFT($B32,4)="_Mil","",_xlfn.IFNA(INDEX(Spectrum!$N:$N,MATCH(RIGHT($B32,13)&amp;"|"&amp;$C32&amp;"|"&amp;$D32&amp;"|"&amp;AH$14&amp;"|"&amp;"CY2023Q3",Spectrum!$R:$R,0)),""))</f>
        <v/>
      </c>
      <c r="AI32" s="10" t="str">
        <f aca="false">IF(LEFT($B32,4)="_Mil","",_xlfn.IFNA(ROUND(INDEX(Spectrum!$N:$N,MATCH(RIGHT($B32,13)&amp;"|"&amp;$C32&amp;"|"&amp;$D32&amp;"|"&amp;AI$14&amp;"|"&amp;"CY2023Q3",Spectrum!$R:$R,0)),0),""))</f>
        <v/>
      </c>
      <c r="AJ32" s="39" t="n">
        <f aca="false">IF(LEFT($B32,4)="_Mil","",_xlfn.IFNA(ROUND(INDEX(Spectrum!$N:$N,MATCH(RIGHT($B32,13)&amp;"|"&amp;$C32&amp;"|"&amp;$D32&amp;"|"&amp;AI$14&amp;"|"&amp;"CY2023Q3",Spectrum!$R:$R,0)),0),SUM($U32)+SUM($AI32)))</f>
        <v>0</v>
      </c>
      <c r="AK32" s="10" t="str">
        <f aca="false">IF(LEFT($B32,4)="_Mil","",_xlfn.IFNA(ROUND(INDEX(Spectrum!$N:$N,MATCH(RIGHT($B32,13)&amp;"|"&amp;$C32&amp;"|"&amp;$D32&amp;"|"&amp;AK$14&amp;"|"&amp;"CY2023Q3",Spectrum!$R:$R,0)),0),""))</f>
        <v/>
      </c>
      <c r="AL32" s="88" t="n">
        <f aca="false">IF(OR(LEFT($B32,4)="_Mil",$C32="&lt;01"),"",MAX(SUM($AA32),90%))</f>
        <v>1004</v>
      </c>
      <c r="AM32" s="10" t="n">
        <f aca="false">IF(OR(LEFT($B32,4)="_Mil",$C32="&lt;01"),"",ROUND(SUM($AJ32)*SUM($AL32),0))</f>
        <v>0</v>
      </c>
      <c r="AN32" s="10" t="str">
        <f aca="false">IF($C32="&lt;01",ROUND(INDEX(EID!$P:$P,MATCH($B32,EID!$B:$B,0))/2,0),"")</f>
        <v/>
      </c>
      <c r="AO32" s="10" t="n">
        <f aca="false">IF($C32="&lt;01",SUM($AN32),ROUND(SUM($AM32)*SUM($O32)/IF(SUM($Z32)=0,1,$Z32),0))</f>
        <v>0</v>
      </c>
      <c r="AP32" s="39" t="n">
        <f aca="false">IF(OR($F32="",$C32="&lt;01"),$AO32,$F32)</f>
        <v>0</v>
      </c>
      <c r="AQ32" s="39" t="n">
        <f aca="false">IF(LEFT($B32,4)="_Mil","",IF(SUM($AP32)=0,SUM($Z32),IF(OR(SUM($Z32)=0,SUM($O32)=0),MAX($AP32,$Z32),$AP32*$Z32/$O32)))</f>
        <v>1542</v>
      </c>
      <c r="AR32" s="88" t="str">
        <f aca="false">IF(OR(LEFT($B32,4)="_Mil",SUM($AJ32)=0),"",SUM($AQ32)/$AJ32)</f>
        <v/>
      </c>
      <c r="AS32" s="88" t="n">
        <f aca="false">IF($C32="&lt;01","",98%)</f>
        <v>0.98</v>
      </c>
      <c r="AT32" s="88" t="n">
        <f aca="false">IF($C32="&lt;01","",98%)</f>
        <v>0.98</v>
      </c>
      <c r="AU32" s="10" t="n">
        <f aca="false">IF($C32="&lt;01","",SUM($AP32)-SUM($O32))</f>
        <v>0</v>
      </c>
      <c r="AV32" s="10" t="n">
        <f aca="false">IF($C32="&lt;01",ROUND(INDEX(EID!$N:$N,MATCH($B32,EID!$B:$B,0))/2,0),IF(SUM($AT32)=0,"",ROUND((SUM($AP32)-(SUM($O32)*SUM($AS32)))/$AT32,0)))</f>
        <v>0</v>
      </c>
      <c r="AW32" s="88" t="n">
        <f aca="false">IF($C32="&lt;01","",100%)</f>
        <v>1</v>
      </c>
      <c r="AX32" s="39" t="n">
        <f aca="false">IF($C32="&lt;01",SUM($AV32),ROUND(SUM($AV32)*SUM($AW32),0))</f>
        <v>0</v>
      </c>
      <c r="AY32" s="114" t="n">
        <f aca="false">IF($C32="&lt;01","",70%)</f>
        <v>0.7</v>
      </c>
      <c r="AZ32" s="91" t="n">
        <f aca="false">IF($C32="&lt;01",ROUND(INDEX(EID!$R:$R,MATCH($B32,EID!$B:$B,0))/2,0),ROUND(SUM($O32)+(SUM($AV32)*$AY32),0))</f>
        <v>0</v>
      </c>
      <c r="BA32" s="87" t="n">
        <f aca="false">IF($C32="&lt;01","",95%)</f>
        <v>0.95</v>
      </c>
      <c r="BB32" s="5" t="n">
        <f aca="false">IF($C32="&lt;01",ROUND(INDEX(EID!$T:$T,MATCH($B32,EID!$B:$B,0))/2,0),ROUND($AZ32*$BA32,0))</f>
        <v>0</v>
      </c>
      <c r="BC32" s="91" t="n">
        <f aca="false">IF(LEFT($B32,4)="_Mil","",IF(SUM($BB32)=0,SUM($AD32),IF(OR(SUM($AP32)=0,SUM($AQ32)=0),MAX($BB32,$AD32),ROUND($BB32*$AQ32/$AP32,0))))</f>
        <v>0</v>
      </c>
      <c r="BD32" s="88" t="n">
        <f aca="false">IF($C32="&lt;01","",95%)</f>
        <v>0.95</v>
      </c>
      <c r="BE32" s="39" t="n">
        <f aca="false">IF($C32="&lt;01",ROUND(INDEX(EID!$V:$V,MATCH($B32,EID!$B:$B,0))/2,0),ROUND($BD32*$BB32,0))</f>
        <v>0</v>
      </c>
      <c r="BF32" s="39" t="n">
        <f aca="false">IF(LEFT($B32,4)="_Mil","",IF(SUM($BE32)=0,SUM($AF32),IF(OR(SUM($AP32)=0,SUM($AQ32)=0),MAX($BE32,$AF32),ROUND($BE32*$AQ32/$AP32,0))))</f>
        <v>0</v>
      </c>
      <c r="BG32" s="114" t="n">
        <f aca="false">IF($C32="&lt;01","",95%)</f>
        <v>0.95</v>
      </c>
      <c r="BH32" s="5" t="n">
        <f aca="false">IF($C32="&lt;01",ROUND(INDEX(EID!$L:$L,MATCH($B32,EID!$B:$B,0)),0)/2,IF(SUM($BG32)=0,"",ROUND($AX32/$BG32,0)))</f>
        <v>0</v>
      </c>
    </row>
    <row r="33" customFormat="false" ht="15" hidden="false" customHeight="false" outlineLevel="0" collapsed="false">
      <c r="A33" s="0" t="str">
        <f aca="false">INDEX(Prioritization!$D:$D,MATCH($B33,Prioritization!$A:$A,0))</f>
        <v>1 - Scale-up: Saturation</v>
      </c>
      <c r="B33" s="0" t="s">
        <v>195</v>
      </c>
      <c r="C33" s="0" t="s">
        <v>364</v>
      </c>
      <c r="D33" s="0" t="s">
        <v>30</v>
      </c>
      <c r="E33" s="0" t="str">
        <f aca="false">$B33&amp;"|"&amp;$C33&amp;"|"&amp;$D33</f>
        <v>Dedza District [PekKUkKHAzY]|10-14|Female</v>
      </c>
      <c r="F33" s="10"/>
      <c r="G33" s="10" t="n">
        <v>7</v>
      </c>
      <c r="H33" s="10" t="n">
        <v>4</v>
      </c>
      <c r="I33" s="10" t="n">
        <v>72</v>
      </c>
      <c r="J33" s="10" t="n">
        <v>88</v>
      </c>
      <c r="K33" s="10" t="n">
        <v>78</v>
      </c>
      <c r="L33" s="10" t="n">
        <v>8</v>
      </c>
      <c r="M33" s="10" t="n">
        <v>3</v>
      </c>
      <c r="N33" s="10" t="n">
        <v>71</v>
      </c>
      <c r="O33" s="10" t="n">
        <f aca="false">IFERROR(1/(1/MAX($I33,$N33)),"")</f>
        <v>72</v>
      </c>
      <c r="P33" s="10" t="n">
        <v>92</v>
      </c>
      <c r="Q33" s="10" t="n">
        <v>98</v>
      </c>
      <c r="R33" s="10" t="n">
        <f aca="false">IF(AND(SUM($I33)=0,SUM($O33)=0),"",SUM($O33)-$I33)</f>
        <v>0</v>
      </c>
      <c r="S33" s="10" t="n">
        <f aca="false">IF(LEFT($B33,4)="_Mil","",_xlfn.IFNA(ROUND(INDEX(Spectrum!$N:$N,MATCH(RIGHT($B33,13)&amp;"|"&amp;$C33&amp;"|"&amp;$D33&amp;"|"&amp;S$14&amp;"|"&amp;"CY2022Q4",Spectrum!$R:$R,0)),0),""))</f>
        <v>1462</v>
      </c>
      <c r="T33" s="39" t="n">
        <f aca="false">IF(LEFT($B33,4)="_Mil","",_xlfn.IFNA(ROUND(INDEX(Spectrum!$N:$N,MATCH(RIGHT($B33,13)&amp;"|"&amp;$C33&amp;"|"&amp;$D33&amp;"|"&amp;T$14&amp;"|"&amp;"CY2023Q3",Spectrum!$R:$R,0)),0),""))</f>
        <v>1272</v>
      </c>
      <c r="U33" s="39" t="str">
        <f aca="false">IF(LEFT($B33,4)="_Mil","",_xlfn.IFNA(ROUND(INDEX(Spectrum!$N:$N,MATCH(RIGHT($B33,13)&amp;"|"&amp;$C33&amp;"|"&amp;$D33&amp;"|"&amp;U$14&amp;"|"&amp;"CY2023Q3",Spectrum!$R:$R,0)),0),""))</f>
        <v/>
      </c>
      <c r="V33" s="10" t="n">
        <f aca="false">IF(LEFT($B33,4)="_Mil","",_xlfn.IFNA(ROUND(INDEX(Spectrum!$N:$N,MATCH(RIGHT($B33,13)&amp;"|"&amp;$C33&amp;"|"&amp;$D33&amp;"|"&amp;V$14&amp;"|"&amp;"CY2023Q3",Spectrum!$R:$R,0)),0),""))</f>
        <v>1869</v>
      </c>
      <c r="W33" s="113" t="n">
        <f aca="false">IF(LEFT($B33,4)="_Mil","",_xlfn.IFNA(INDEX(Spectrum!$N:$N,MATCH(RIGHT($B33,13)&amp;"|"&amp;$C33&amp;"|"&amp;$D33&amp;"|"&amp;W$14&amp;"|"&amp;"CY2023Q3",Spectrum!$R:$R,0)),""))</f>
        <v>945</v>
      </c>
      <c r="X33" s="39" t="n">
        <f aca="false">IF(LEFT($B33,4)="_Mil","",_xlfn.IFNA(ROUND(INDEX(Spectrum!$N:$N,MATCH(RIGHT($B33,13)&amp;"|"&amp;$C33&amp;"|"&amp;$D33&amp;"|"&amp;X$14&amp;"|"&amp;"CY2023Q3",Spectrum!$R:$R,0)),0),""))</f>
        <v>1053</v>
      </c>
      <c r="Y33" s="88" t="str">
        <f aca="false">IF(OR(SUM($U33)=0,LEFT($B33,4)="_Mil"),"",SUM($X33)/$U33)</f>
        <v/>
      </c>
      <c r="Z33" s="39" t="n">
        <f aca="false">IF(LEFT($B33,4)="_Mil","",_xlfn.IFNA(ROUND(INDEX(Spectrum!$N:$N,MATCH(RIGHT($B33,13)&amp;"|"&amp;$C33&amp;"|"&amp;$D33&amp;"|"&amp;Z$14&amp;"|"&amp;"CY2023Q3",Spectrum!$R:$R,0)),0),""))</f>
        <v>1555</v>
      </c>
      <c r="AA33" s="88" t="n">
        <f aca="false">IF(LEFT($B33,4)="_Mil","",IFERROR(1/(1/INDEX(Spectrum!$N:$N,MATCH(RIGHT($B33,13)&amp;"|"&amp;$C33&amp;"|"&amp;$D33&amp;"|"&amp;AA$14&amp;"|"&amp;"CY2023Q3",Spectrum!$R:$R,0))),IF(SUM($U33)=0,"",SUM($Z33)/$U33)))</f>
        <v>1044</v>
      </c>
      <c r="AB33" s="88" t="n">
        <f aca="false">IF(OR(LEFT($B33,4)="_Mil",SUM($X33)=0),"",SUM($Z33)/$X33)</f>
        <v>1.47673314339981</v>
      </c>
      <c r="AC33" s="10" t="n">
        <f aca="false">IF(LEFT($B33,4)="_Mil","",_xlfn.IFNA(ROUND(INDEX(Spectrum!$N:$N,MATCH(RIGHT($B33,13)&amp;"|"&amp;$C33&amp;"|"&amp;$D33&amp;"|"&amp;AC$14&amp;"|"&amp;"CY2023Q3",Spectrum!$R:$R,0)),0),""))</f>
        <v>1464</v>
      </c>
      <c r="AD33" s="10" t="str">
        <f aca="false">IF(LEFT($B33,4)="_Mil","",_xlfn.IFNA(ROUND(INDEX(Spectrum!$N:$N,MATCH(RIGHT($B33,13)&amp;"|"&amp;$C33&amp;"|"&amp;$D33&amp;"|"&amp;AD$14&amp;"|"&amp;"CY2023Q3",Spectrum!$R:$R,0)),0),""))</f>
        <v/>
      </c>
      <c r="AE33" s="88" t="n">
        <f aca="false">IF(OR(LEFT($B33,4)="_Mil",SUM($Z33)=0),"",SUM($AD33)/$Z33)</f>
        <v>0</v>
      </c>
      <c r="AF33" s="39" t="str">
        <f aca="false">IF(LEFT($B33,4)="_Mil","",_xlfn.IFNA(ROUND(INDEX(Spectrum!$N:$N,MATCH(RIGHT($B33,13)&amp;"|"&amp;$C33&amp;"|"&amp;$D33&amp;"|"&amp;AF$14&amp;"|"&amp;"CY2023Q3",Spectrum!$R:$R,0)),0),""))</f>
        <v/>
      </c>
      <c r="AG33" s="88" t="str">
        <f aca="false">IF(OR(LEFT($B33,4)="_Mil",SUM($AD33)=0),"",SUM($AF33)/$AD33)</f>
        <v/>
      </c>
      <c r="AH33" s="86" t="str">
        <f aca="false">IF(LEFT($B33,4)="_Mil","",_xlfn.IFNA(INDEX(Spectrum!$N:$N,MATCH(RIGHT($B33,13)&amp;"|"&amp;$C33&amp;"|"&amp;$D33&amp;"|"&amp;AH$14&amp;"|"&amp;"CY2023Q3",Spectrum!$R:$R,0)),""))</f>
        <v/>
      </c>
      <c r="AI33" s="10" t="str">
        <f aca="false">IF(LEFT($B33,4)="_Mil","",_xlfn.IFNA(ROUND(INDEX(Spectrum!$N:$N,MATCH(RIGHT($B33,13)&amp;"|"&amp;$C33&amp;"|"&amp;$D33&amp;"|"&amp;AI$14&amp;"|"&amp;"CY2023Q3",Spectrum!$R:$R,0)),0),""))</f>
        <v/>
      </c>
      <c r="AJ33" s="39" t="n">
        <f aca="false">IF(LEFT($B33,4)="_Mil","",_xlfn.IFNA(ROUND(INDEX(Spectrum!$N:$N,MATCH(RIGHT($B33,13)&amp;"|"&amp;$C33&amp;"|"&amp;$D33&amp;"|"&amp;AI$14&amp;"|"&amp;"CY2023Q3",Spectrum!$R:$R,0)),0),SUM($U33)+SUM($AI33)))</f>
        <v>0</v>
      </c>
      <c r="AK33" s="10" t="str">
        <f aca="false">IF(LEFT($B33,4)="_Mil","",_xlfn.IFNA(ROUND(INDEX(Spectrum!$N:$N,MATCH(RIGHT($B33,13)&amp;"|"&amp;$C33&amp;"|"&amp;$D33&amp;"|"&amp;AK$14&amp;"|"&amp;"CY2023Q3",Spectrum!$R:$R,0)),0),""))</f>
        <v/>
      </c>
      <c r="AL33" s="88" t="n">
        <f aca="false">IF(OR(LEFT($B33,4)="_Mil",$C33="&lt;01"),"",MAX(SUM($AA33),90%))</f>
        <v>1044</v>
      </c>
      <c r="AM33" s="10" t="n">
        <f aca="false">IF(OR(LEFT($B33,4)="_Mil",$C33="&lt;01"),"",ROUND(SUM($AJ33)*SUM($AL33),0))</f>
        <v>0</v>
      </c>
      <c r="AN33" s="10" t="str">
        <f aca="false">IF($C33="&lt;01",ROUND(INDEX(EID!$P:$P,MATCH($B33,EID!$B:$B,0))/2,0),"")</f>
        <v/>
      </c>
      <c r="AO33" s="10" t="n">
        <f aca="false">IF($C33="&lt;01",SUM($AN33),ROUND(SUM($AM33)*SUM($O33)/IF(SUM($Z33)=0,1,$Z33),0))</f>
        <v>0</v>
      </c>
      <c r="AP33" s="39" t="n">
        <f aca="false">IF(OR($F33="",$C33="&lt;01"),$AO33,$F33)</f>
        <v>0</v>
      </c>
      <c r="AQ33" s="39" t="n">
        <f aca="false">IF(LEFT($B33,4)="_Mil","",IF(SUM($AP33)=0,SUM($Z33),IF(OR(SUM($Z33)=0,SUM($O33)=0),MAX($AP33,$Z33),$AP33*$Z33/$O33)))</f>
        <v>1555</v>
      </c>
      <c r="AR33" s="88" t="str">
        <f aca="false">IF(OR(LEFT($B33,4)="_Mil",SUM($AJ33)=0),"",SUM($AQ33)/$AJ33)</f>
        <v/>
      </c>
      <c r="AS33" s="88" t="n">
        <f aca="false">IF($C33="&lt;01","",98%)</f>
        <v>0.98</v>
      </c>
      <c r="AT33" s="88" t="n">
        <f aca="false">IF($C33="&lt;01","",98%)</f>
        <v>0.98</v>
      </c>
      <c r="AU33" s="10" t="n">
        <f aca="false">IF($C33="&lt;01","",SUM($AP33)-SUM($O33))</f>
        <v>-72</v>
      </c>
      <c r="AV33" s="10" t="n">
        <f aca="false">IF($C33="&lt;01",ROUND(INDEX(EID!$N:$N,MATCH($B33,EID!$B:$B,0))/2,0),IF(SUM($AT33)=0,"",ROUND((SUM($AP33)-(SUM($O33)*SUM($AS33)))/$AT33,0)))</f>
        <v>-72</v>
      </c>
      <c r="AW33" s="88" t="n">
        <f aca="false">IF($C33="&lt;01","",100%)</f>
        <v>1</v>
      </c>
      <c r="AX33" s="39" t="n">
        <f aca="false">IF($C33="&lt;01",SUM($AV33),ROUND(SUM($AV33)*SUM($AW33),0))</f>
        <v>-72</v>
      </c>
      <c r="AY33" s="114" t="n">
        <f aca="false">IF($C33="&lt;01","",70%)</f>
        <v>0.7</v>
      </c>
      <c r="AZ33" s="91" t="n">
        <f aca="false">IF($C33="&lt;01",ROUND(INDEX(EID!$R:$R,MATCH($B33,EID!$B:$B,0))/2,0),ROUND(SUM($O33)+(SUM($AV33)*$AY33),0))</f>
        <v>22</v>
      </c>
      <c r="BA33" s="87" t="n">
        <f aca="false">IF($C33="&lt;01","",95%)</f>
        <v>0.95</v>
      </c>
      <c r="BB33" s="5" t="n">
        <f aca="false">IF($C33="&lt;01",ROUND(INDEX(EID!$T:$T,MATCH($B33,EID!$B:$B,0))/2,0),ROUND($AZ33*$BA33,0))</f>
        <v>21</v>
      </c>
      <c r="BC33" s="91" t="n">
        <f aca="false">IF(LEFT($B33,4)="_Mil","",IF(SUM($BB33)=0,SUM($AD33),IF(OR(SUM($AP33)=0,SUM($AQ33)=0),MAX($BB33,$AD33),ROUND($BB33*$AQ33/$AP33,0))))</f>
        <v>21</v>
      </c>
      <c r="BD33" s="88" t="n">
        <f aca="false">IF($C33="&lt;01","",95%)</f>
        <v>0.95</v>
      </c>
      <c r="BE33" s="39" t="n">
        <f aca="false">IF($C33="&lt;01",ROUND(INDEX(EID!$V:$V,MATCH($B33,EID!$B:$B,0))/2,0),ROUND($BD33*$BB33,0))</f>
        <v>20</v>
      </c>
      <c r="BF33" s="39" t="n">
        <f aca="false">IF(LEFT($B33,4)="_Mil","",IF(SUM($BE33)=0,SUM($AF33),IF(OR(SUM($AP33)=0,SUM($AQ33)=0),MAX($BE33,$AF33),ROUND($BE33*$AQ33/$AP33,0))))</f>
        <v>20</v>
      </c>
      <c r="BG33" s="114" t="n">
        <f aca="false">IF($C33="&lt;01","",95%)</f>
        <v>0.95</v>
      </c>
      <c r="BH33" s="5" t="n">
        <f aca="false">IF($C33="&lt;01",ROUND(INDEX(EID!$L:$L,MATCH($B33,EID!$B:$B,0)),0)/2,IF(SUM($BG33)=0,"",ROUND($AX33/$BG33,0)))</f>
        <v>-76</v>
      </c>
    </row>
    <row r="34" customFormat="false" ht="15" hidden="false" customHeight="false" outlineLevel="0" collapsed="false">
      <c r="A34" s="0" t="str">
        <f aca="false">INDEX(Prioritization!$D:$D,MATCH($B34,Prioritization!$A:$A,0))</f>
        <v>1 - Scale-up: Saturation</v>
      </c>
      <c r="B34" s="0" t="s">
        <v>195</v>
      </c>
      <c r="C34" s="0" t="s">
        <v>364</v>
      </c>
      <c r="D34" s="0" t="s">
        <v>48</v>
      </c>
      <c r="E34" s="0" t="str">
        <f aca="false">$B34&amp;"|"&amp;$C34&amp;"|"&amp;$D34</f>
        <v>Dedza District [PekKUkKHAzY]|10-14|Male</v>
      </c>
      <c r="F34" s="10"/>
      <c r="G34" s="10" t="n">
        <v>3</v>
      </c>
      <c r="H34" s="10" t="n">
        <v>7</v>
      </c>
      <c r="I34" s="10" t="n">
        <v>35</v>
      </c>
      <c r="J34" s="10" t="n">
        <v>64</v>
      </c>
      <c r="K34" s="10" t="n">
        <v>48</v>
      </c>
      <c r="L34" s="10" t="n">
        <v>5</v>
      </c>
      <c r="M34" s="10" t="n">
        <v>3</v>
      </c>
      <c r="N34" s="10" t="n">
        <v>86</v>
      </c>
      <c r="O34" s="10" t="n">
        <f aca="false">IFERROR(1/(1/MAX($I34,$N34)),"")</f>
        <v>86</v>
      </c>
      <c r="P34" s="10" t="n">
        <v>34</v>
      </c>
      <c r="Q34" s="10" t="n">
        <v>61</v>
      </c>
      <c r="R34" s="10" t="n">
        <f aca="false">IF(AND(SUM($I34)=0,SUM($O34)=0),"",SUM($O34)-$I34)</f>
        <v>51</v>
      </c>
      <c r="S34" s="10" t="n">
        <f aca="false">IF(LEFT($B34,4)="_Mil","",_xlfn.IFNA(ROUND(INDEX(Spectrum!$N:$N,MATCH(RIGHT($B34,13)&amp;"|"&amp;$C34&amp;"|"&amp;$D34&amp;"|"&amp;S$14&amp;"|"&amp;"CY2022Q4",Spectrum!$R:$R,0)),0),""))</f>
        <v>1031</v>
      </c>
      <c r="T34" s="39" t="n">
        <f aca="false">IF(LEFT($B34,4)="_Mil","",_xlfn.IFNA(ROUND(INDEX(Spectrum!$N:$N,MATCH(RIGHT($B34,13)&amp;"|"&amp;$C34&amp;"|"&amp;$D34&amp;"|"&amp;T$14&amp;"|"&amp;"CY2023Q3",Spectrum!$R:$R,0)),0),""))</f>
        <v>1407</v>
      </c>
      <c r="U34" s="39" t="str">
        <f aca="false">IF(LEFT($B34,4)="_Mil","",_xlfn.IFNA(ROUND(INDEX(Spectrum!$N:$N,MATCH(RIGHT($B34,13)&amp;"|"&amp;$C34&amp;"|"&amp;$D34&amp;"|"&amp;U$14&amp;"|"&amp;"CY2023Q3",Spectrum!$R:$R,0)),0),""))</f>
        <v/>
      </c>
      <c r="V34" s="10" t="n">
        <f aca="false">IF(LEFT($B34,4)="_Mil","",_xlfn.IFNA(ROUND(INDEX(Spectrum!$N:$N,MATCH(RIGHT($B34,13)&amp;"|"&amp;$C34&amp;"|"&amp;$D34&amp;"|"&amp;V$14&amp;"|"&amp;"CY2023Q3",Spectrum!$R:$R,0)),0),""))</f>
        <v>1947</v>
      </c>
      <c r="W34" s="113" t="n">
        <f aca="false">IF(LEFT($B34,4)="_Mil","",_xlfn.IFNA(INDEX(Spectrum!$N:$N,MATCH(RIGHT($B34,13)&amp;"|"&amp;$C34&amp;"|"&amp;$D34&amp;"|"&amp;W$14&amp;"|"&amp;"CY2023Q3",Spectrum!$R:$R,0)),""))</f>
        <v>1871</v>
      </c>
      <c r="X34" s="39" t="n">
        <f aca="false">IF(LEFT($B34,4)="_Mil","",_xlfn.IFNA(ROUND(INDEX(Spectrum!$N:$N,MATCH(RIGHT($B34,13)&amp;"|"&amp;$C34&amp;"|"&amp;$D34&amp;"|"&amp;X$14&amp;"|"&amp;"CY2023Q3",Spectrum!$R:$R,0)),0),""))</f>
        <v>634</v>
      </c>
      <c r="Y34" s="88" t="str">
        <f aca="false">IF(OR(SUM($U34)=0,LEFT($B34,4)="_Mil"),"",SUM($X34)/$U34)</f>
        <v/>
      </c>
      <c r="Z34" s="39" t="n">
        <f aca="false">IF(LEFT($B34,4)="_Mil","",_xlfn.IFNA(ROUND(INDEX(Spectrum!$N:$N,MATCH(RIGHT($B34,13)&amp;"|"&amp;$C34&amp;"|"&amp;$D34&amp;"|"&amp;Z$14&amp;"|"&amp;"CY2023Q3",Spectrum!$R:$R,0)),0),""))</f>
        <v>1876</v>
      </c>
      <c r="AA34" s="88" t="n">
        <f aca="false">IF(LEFT($B34,4)="_Mil","",IFERROR(1/(1/INDEX(Spectrum!$N:$N,MATCH(RIGHT($B34,13)&amp;"|"&amp;$C34&amp;"|"&amp;$D34&amp;"|"&amp;AA$14&amp;"|"&amp;"CY2023Q3",Spectrum!$R:$R,0))),IF(SUM($U34)=0,"",SUM($Z34)/$U34)))</f>
        <v>1312</v>
      </c>
      <c r="AB34" s="88" t="n">
        <f aca="false">IF(OR(LEFT($B34,4)="_Mil",SUM($X34)=0),"",SUM($Z34)/$X34)</f>
        <v>2.9589905362776</v>
      </c>
      <c r="AC34" s="10" t="n">
        <f aca="false">IF(LEFT($B34,4)="_Mil","",_xlfn.IFNA(ROUND(INDEX(Spectrum!$N:$N,MATCH(RIGHT($B34,13)&amp;"|"&amp;$C34&amp;"|"&amp;$D34&amp;"|"&amp;AC$14&amp;"|"&amp;"CY2023Q3",Spectrum!$R:$R,0)),0),""))</f>
        <v>502</v>
      </c>
      <c r="AD34" s="10" t="str">
        <f aca="false">IF(LEFT($B34,4)="_Mil","",_xlfn.IFNA(ROUND(INDEX(Spectrum!$N:$N,MATCH(RIGHT($B34,13)&amp;"|"&amp;$C34&amp;"|"&amp;$D34&amp;"|"&amp;AD$14&amp;"|"&amp;"CY2023Q3",Spectrum!$R:$R,0)),0),""))</f>
        <v/>
      </c>
      <c r="AE34" s="88" t="n">
        <f aca="false">IF(OR(LEFT($B34,4)="_Mil",SUM($Z34)=0),"",SUM($AD34)/$Z34)</f>
        <v>0</v>
      </c>
      <c r="AF34" s="39" t="str">
        <f aca="false">IF(LEFT($B34,4)="_Mil","",_xlfn.IFNA(ROUND(INDEX(Spectrum!$N:$N,MATCH(RIGHT($B34,13)&amp;"|"&amp;$C34&amp;"|"&amp;$D34&amp;"|"&amp;AF$14&amp;"|"&amp;"CY2023Q3",Spectrum!$R:$R,0)),0),""))</f>
        <v/>
      </c>
      <c r="AG34" s="88" t="str">
        <f aca="false">IF(OR(LEFT($B34,4)="_Mil",SUM($AD34)=0),"",SUM($AF34)/$AD34)</f>
        <v/>
      </c>
      <c r="AH34" s="86" t="str">
        <f aca="false">IF(LEFT($B34,4)="_Mil","",_xlfn.IFNA(INDEX(Spectrum!$N:$N,MATCH(RIGHT($B34,13)&amp;"|"&amp;$C34&amp;"|"&amp;$D34&amp;"|"&amp;AH$14&amp;"|"&amp;"CY2023Q3",Spectrum!$R:$R,0)),""))</f>
        <v/>
      </c>
      <c r="AI34" s="10" t="str">
        <f aca="false">IF(LEFT($B34,4)="_Mil","",_xlfn.IFNA(ROUND(INDEX(Spectrum!$N:$N,MATCH(RIGHT($B34,13)&amp;"|"&amp;$C34&amp;"|"&amp;$D34&amp;"|"&amp;AI$14&amp;"|"&amp;"CY2023Q3",Spectrum!$R:$R,0)),0),""))</f>
        <v/>
      </c>
      <c r="AJ34" s="39" t="n">
        <f aca="false">IF(LEFT($B34,4)="_Mil","",_xlfn.IFNA(ROUND(INDEX(Spectrum!$N:$N,MATCH(RIGHT($B34,13)&amp;"|"&amp;$C34&amp;"|"&amp;$D34&amp;"|"&amp;AI$14&amp;"|"&amp;"CY2023Q3",Spectrum!$R:$R,0)),0),SUM($U34)+SUM($AI34)))</f>
        <v>0</v>
      </c>
      <c r="AK34" s="10" t="str">
        <f aca="false">IF(LEFT($B34,4)="_Mil","",_xlfn.IFNA(ROUND(INDEX(Spectrum!$N:$N,MATCH(RIGHT($B34,13)&amp;"|"&amp;$C34&amp;"|"&amp;$D34&amp;"|"&amp;AK$14&amp;"|"&amp;"CY2023Q3",Spectrum!$R:$R,0)),0),""))</f>
        <v/>
      </c>
      <c r="AL34" s="88" t="n">
        <f aca="false">IF(OR(LEFT($B34,4)="_Mil",$C34="&lt;01"),"",MAX(SUM($AA34),90%))</f>
        <v>1312</v>
      </c>
      <c r="AM34" s="10" t="n">
        <f aca="false">IF(OR(LEFT($B34,4)="_Mil",$C34="&lt;01"),"",ROUND(SUM($AJ34)*SUM($AL34),0))</f>
        <v>0</v>
      </c>
      <c r="AN34" s="10" t="str">
        <f aca="false">IF($C34="&lt;01",ROUND(INDEX(EID!$P:$P,MATCH($B34,EID!$B:$B,0))/2,0),"")</f>
        <v/>
      </c>
      <c r="AO34" s="10" t="n">
        <f aca="false">IF($C34="&lt;01",SUM($AN34),ROUND(SUM($AM34)*SUM($O34)/IF(SUM($Z34)=0,1,$Z34),0))</f>
        <v>0</v>
      </c>
      <c r="AP34" s="39" t="n">
        <f aca="false">IF(OR($F34="",$C34="&lt;01"),$AO34,$F34)</f>
        <v>0</v>
      </c>
      <c r="AQ34" s="39" t="n">
        <f aca="false">IF(LEFT($B34,4)="_Mil","",IF(SUM($AP34)=0,SUM($Z34),IF(OR(SUM($Z34)=0,SUM($O34)=0),MAX($AP34,$Z34),$AP34*$Z34/$O34)))</f>
        <v>1876</v>
      </c>
      <c r="AR34" s="88" t="str">
        <f aca="false">IF(OR(LEFT($B34,4)="_Mil",SUM($AJ34)=0),"",SUM($AQ34)/$AJ34)</f>
        <v/>
      </c>
      <c r="AS34" s="88" t="n">
        <f aca="false">IF($C34="&lt;01","",98%)</f>
        <v>0.98</v>
      </c>
      <c r="AT34" s="88" t="n">
        <f aca="false">IF($C34="&lt;01","",98%)</f>
        <v>0.98</v>
      </c>
      <c r="AU34" s="10" t="n">
        <f aca="false">IF($C34="&lt;01","",SUM($AP34)-SUM($O34))</f>
        <v>-86</v>
      </c>
      <c r="AV34" s="10" t="n">
        <f aca="false">IF($C34="&lt;01",ROUND(INDEX(EID!$N:$N,MATCH($B34,EID!$B:$B,0))/2,0),IF(SUM($AT34)=0,"",ROUND((SUM($AP34)-(SUM($O34)*SUM($AS34)))/$AT34,0)))</f>
        <v>-86</v>
      </c>
      <c r="AW34" s="88" t="n">
        <f aca="false">IF($C34="&lt;01","",100%)</f>
        <v>1</v>
      </c>
      <c r="AX34" s="39" t="n">
        <f aca="false">IF($C34="&lt;01",SUM($AV34),ROUND(SUM($AV34)*SUM($AW34),0))</f>
        <v>-86</v>
      </c>
      <c r="AY34" s="114" t="n">
        <f aca="false">IF($C34="&lt;01","",70%)</f>
        <v>0.7</v>
      </c>
      <c r="AZ34" s="91" t="n">
        <f aca="false">IF($C34="&lt;01",ROUND(INDEX(EID!$R:$R,MATCH($B34,EID!$B:$B,0))/2,0),ROUND(SUM($O34)+(SUM($AV34)*$AY34),0))</f>
        <v>26</v>
      </c>
      <c r="BA34" s="87" t="n">
        <f aca="false">IF($C34="&lt;01","",95%)</f>
        <v>0.95</v>
      </c>
      <c r="BB34" s="5" t="n">
        <f aca="false">IF($C34="&lt;01",ROUND(INDEX(EID!$T:$T,MATCH($B34,EID!$B:$B,0))/2,0),ROUND($AZ34*$BA34,0))</f>
        <v>25</v>
      </c>
      <c r="BC34" s="91" t="n">
        <f aca="false">IF(LEFT($B34,4)="_Mil","",IF(SUM($BB34)=0,SUM($AD34),IF(OR(SUM($AP34)=0,SUM($AQ34)=0),MAX($BB34,$AD34),ROUND($BB34*$AQ34/$AP34,0))))</f>
        <v>25</v>
      </c>
      <c r="BD34" s="88" t="n">
        <f aca="false">IF($C34="&lt;01","",95%)</f>
        <v>0.95</v>
      </c>
      <c r="BE34" s="39" t="n">
        <f aca="false">IF($C34="&lt;01",ROUND(INDEX(EID!$V:$V,MATCH($B34,EID!$B:$B,0))/2,0),ROUND($BD34*$BB34,0))</f>
        <v>24</v>
      </c>
      <c r="BF34" s="39" t="n">
        <f aca="false">IF(LEFT($B34,4)="_Mil","",IF(SUM($BE34)=0,SUM($AF34),IF(OR(SUM($AP34)=0,SUM($AQ34)=0),MAX($BE34,$AF34),ROUND($BE34*$AQ34/$AP34,0))))</f>
        <v>24</v>
      </c>
      <c r="BG34" s="114" t="n">
        <f aca="false">IF($C34="&lt;01","",95%)</f>
        <v>0.95</v>
      </c>
      <c r="BH34" s="5" t="n">
        <f aca="false">IF($C34="&lt;01",ROUND(INDEX(EID!$L:$L,MATCH($B34,EID!$B:$B,0)),0)/2,IF(SUM($BG34)=0,"",ROUND($AX34/$BG34,0)))</f>
        <v>-91</v>
      </c>
    </row>
    <row r="35" customFormat="false" ht="15" hidden="false" customHeight="false" outlineLevel="0" collapsed="false">
      <c r="A35" s="0" t="str">
        <f aca="false">INDEX(Prioritization!$D:$D,MATCH($B35,Prioritization!$A:$A,0))</f>
        <v>1 - Scale-up: Saturation</v>
      </c>
      <c r="B35" s="0" t="s">
        <v>195</v>
      </c>
      <c r="C35" s="0" t="s">
        <v>365</v>
      </c>
      <c r="D35" s="0" t="s">
        <v>30</v>
      </c>
      <c r="E35" s="0" t="str">
        <f aca="false">$B35&amp;"|"&amp;$C35&amp;"|"&amp;$D35</f>
        <v>Dedza District [PekKUkKHAzY]|15-24|Female</v>
      </c>
      <c r="F35" s="10"/>
      <c r="G35" s="10"/>
      <c r="H35" s="10"/>
      <c r="I35" s="10"/>
      <c r="J35" s="10"/>
      <c r="K35" s="10"/>
      <c r="L35" s="10"/>
      <c r="M35" s="10"/>
      <c r="N35" s="10"/>
      <c r="O35" s="10" t="str">
        <f aca="false">IFERROR(1/(1/MAX($I35,$N35)),"")</f>
        <v/>
      </c>
      <c r="P35" s="10"/>
      <c r="Q35" s="10"/>
      <c r="R35" s="10" t="str">
        <f aca="false">IF(AND(SUM($I35)=0,SUM($O35)=0),"",SUM($O35)-$I35)</f>
        <v/>
      </c>
      <c r="S35" s="10" t="n">
        <f aca="false">IF(LEFT($B35,4)="_Mil","",_xlfn.IFNA(ROUND(INDEX(Spectrum!$N:$N,MATCH(RIGHT($B35,13)&amp;"|"&amp;$C35&amp;"|"&amp;$D35&amp;"|"&amp;S$14&amp;"|"&amp;"CY2022Q4",Spectrum!$R:$R,0)),0),""))</f>
        <v>584</v>
      </c>
      <c r="T35" s="39" t="n">
        <f aca="false">IF(LEFT($B35,4)="_Mil","",_xlfn.IFNA(ROUND(INDEX(Spectrum!$N:$N,MATCH(RIGHT($B35,13)&amp;"|"&amp;$C35&amp;"|"&amp;$D35&amp;"|"&amp;T$14&amp;"|"&amp;"CY2023Q3",Spectrum!$R:$R,0)),0),""))</f>
        <v>1410</v>
      </c>
      <c r="U35" s="39" t="str">
        <f aca="false">IF(LEFT($B35,4)="_Mil","",_xlfn.IFNA(ROUND(INDEX(Spectrum!$N:$N,MATCH(RIGHT($B35,13)&amp;"|"&amp;$C35&amp;"|"&amp;$D35&amp;"|"&amp;U$14&amp;"|"&amp;"CY2023Q3",Spectrum!$R:$R,0)),0),""))</f>
        <v/>
      </c>
      <c r="V35" s="10" t="n">
        <f aca="false">IF(LEFT($B35,4)="_Mil","",_xlfn.IFNA(ROUND(INDEX(Spectrum!$N:$N,MATCH(RIGHT($B35,13)&amp;"|"&amp;$C35&amp;"|"&amp;$D35&amp;"|"&amp;V$14&amp;"|"&amp;"CY2023Q3",Spectrum!$R:$R,0)),0),""))</f>
        <v>775</v>
      </c>
      <c r="W35" s="113" t="n">
        <f aca="false">IF(LEFT($B35,4)="_Mil","",_xlfn.IFNA(INDEX(Spectrum!$N:$N,MATCH(RIGHT($B35,13)&amp;"|"&amp;$C35&amp;"|"&amp;$D35&amp;"|"&amp;W$14&amp;"|"&amp;"CY2023Q3",Spectrum!$R:$R,0)),""))</f>
        <v>939</v>
      </c>
      <c r="X35" s="39" t="n">
        <f aca="false">IF(LEFT($B35,4)="_Mil","",_xlfn.IFNA(ROUND(INDEX(Spectrum!$N:$N,MATCH(RIGHT($B35,13)&amp;"|"&amp;$C35&amp;"|"&amp;$D35&amp;"|"&amp;X$14&amp;"|"&amp;"CY2023Q3",Spectrum!$R:$R,0)),0),""))</f>
        <v>1128</v>
      </c>
      <c r="Y35" s="88" t="str">
        <f aca="false">IF(OR(SUM($U35)=0,LEFT($B35,4)="_Mil"),"",SUM($X35)/$U35)</f>
        <v/>
      </c>
      <c r="Z35" s="39" t="n">
        <f aca="false">IF(LEFT($B35,4)="_Mil","",_xlfn.IFNA(ROUND(INDEX(Spectrum!$N:$N,MATCH(RIGHT($B35,13)&amp;"|"&amp;$C35&amp;"|"&amp;$D35&amp;"|"&amp;Z$14&amp;"|"&amp;"CY2023Q3",Spectrum!$R:$R,0)),0),""))</f>
        <v>1869</v>
      </c>
      <c r="AA35" s="88" t="n">
        <f aca="false">IF(LEFT($B35,4)="_Mil","",IFERROR(1/(1/INDEX(Spectrum!$N:$N,MATCH(RIGHT($B35,13)&amp;"|"&amp;$C35&amp;"|"&amp;$D35&amp;"|"&amp;AA$14&amp;"|"&amp;"CY2023Q3",Spectrum!$R:$R,0))),IF(SUM($U35)=0,"",SUM($Z35)/$U35)))</f>
        <v>1089</v>
      </c>
      <c r="AB35" s="88" t="n">
        <f aca="false">IF(OR(LEFT($B35,4)="_Mil",SUM($X35)=0),"",SUM($Z35)/$X35)</f>
        <v>1.65691489361702</v>
      </c>
      <c r="AC35" s="10" t="n">
        <f aca="false">IF(LEFT($B35,4)="_Mil","",_xlfn.IFNA(ROUND(INDEX(Spectrum!$N:$N,MATCH(RIGHT($B35,13)&amp;"|"&amp;$C35&amp;"|"&amp;$D35&amp;"|"&amp;AC$14&amp;"|"&amp;"CY2023Q3",Spectrum!$R:$R,0)),0),""))</f>
        <v>526</v>
      </c>
      <c r="AD35" s="10" t="str">
        <f aca="false">IF(LEFT($B35,4)="_Mil","",_xlfn.IFNA(ROUND(INDEX(Spectrum!$N:$N,MATCH(RIGHT($B35,13)&amp;"|"&amp;$C35&amp;"|"&amp;$D35&amp;"|"&amp;AD$14&amp;"|"&amp;"CY2023Q3",Spectrum!$R:$R,0)),0),""))</f>
        <v/>
      </c>
      <c r="AE35" s="88" t="n">
        <f aca="false">IF(OR(LEFT($B35,4)="_Mil",SUM($Z35)=0),"",SUM($AD35)/$Z35)</f>
        <v>0</v>
      </c>
      <c r="AF35" s="39" t="str">
        <f aca="false">IF(LEFT($B35,4)="_Mil","",_xlfn.IFNA(ROUND(INDEX(Spectrum!$N:$N,MATCH(RIGHT($B35,13)&amp;"|"&amp;$C35&amp;"|"&amp;$D35&amp;"|"&amp;AF$14&amp;"|"&amp;"CY2023Q3",Spectrum!$R:$R,0)),0),""))</f>
        <v/>
      </c>
      <c r="AG35" s="88" t="str">
        <f aca="false">IF(OR(LEFT($B35,4)="_Mil",SUM($AD35)=0),"",SUM($AF35)/$AD35)</f>
        <v/>
      </c>
      <c r="AH35" s="86" t="str">
        <f aca="false">IF(LEFT($B35,4)="_Mil","",_xlfn.IFNA(INDEX(Spectrum!$N:$N,MATCH(RIGHT($B35,13)&amp;"|"&amp;$C35&amp;"|"&amp;$D35&amp;"|"&amp;AH$14&amp;"|"&amp;"CY2023Q3",Spectrum!$R:$R,0)),""))</f>
        <v/>
      </c>
      <c r="AI35" s="10" t="str">
        <f aca="false">IF(LEFT($B35,4)="_Mil","",_xlfn.IFNA(ROUND(INDEX(Spectrum!$N:$N,MATCH(RIGHT($B35,13)&amp;"|"&amp;$C35&amp;"|"&amp;$D35&amp;"|"&amp;AI$14&amp;"|"&amp;"CY2023Q3",Spectrum!$R:$R,0)),0),""))</f>
        <v/>
      </c>
      <c r="AJ35" s="39" t="n">
        <f aca="false">IF(LEFT($B35,4)="_Mil","",_xlfn.IFNA(ROUND(INDEX(Spectrum!$N:$N,MATCH(RIGHT($B35,13)&amp;"|"&amp;$C35&amp;"|"&amp;$D35&amp;"|"&amp;AI$14&amp;"|"&amp;"CY2023Q3",Spectrum!$R:$R,0)),0),SUM($U35)+SUM($AI35)))</f>
        <v>0</v>
      </c>
      <c r="AK35" s="10" t="str">
        <f aca="false">IF(LEFT($B35,4)="_Mil","",_xlfn.IFNA(ROUND(INDEX(Spectrum!$N:$N,MATCH(RIGHT($B35,13)&amp;"|"&amp;$C35&amp;"|"&amp;$D35&amp;"|"&amp;AK$14&amp;"|"&amp;"CY2023Q3",Spectrum!$R:$R,0)),0),""))</f>
        <v/>
      </c>
      <c r="AL35" s="88" t="n">
        <f aca="false">IF(OR(LEFT($B35,4)="_Mil",$C35="&lt;01"),"",MAX(SUM($AA35),90%))</f>
        <v>1089</v>
      </c>
      <c r="AM35" s="10" t="n">
        <f aca="false">IF(OR(LEFT($B35,4)="_Mil",$C35="&lt;01"),"",ROUND(SUM($AJ35)*SUM($AL35),0))</f>
        <v>0</v>
      </c>
      <c r="AN35" s="10" t="str">
        <f aca="false">IF($C35="&lt;01",ROUND(INDEX(EID!$P:$P,MATCH($B35,EID!$B:$B,0))/2,0),"")</f>
        <v/>
      </c>
      <c r="AO35" s="10" t="n">
        <f aca="false">IF($C35="&lt;01",SUM($AN35),ROUND(SUM($AM35)*SUM($O35)/IF(SUM($Z35)=0,1,$Z35),0))</f>
        <v>0</v>
      </c>
      <c r="AP35" s="39" t="n">
        <f aca="false">IF(OR($F35="",$C35="&lt;01"),$AO35,$F35)</f>
        <v>0</v>
      </c>
      <c r="AQ35" s="39" t="n">
        <f aca="false">IF(LEFT($B35,4)="_Mil","",IF(SUM($AP35)=0,SUM($Z35),IF(OR(SUM($Z35)=0,SUM($O35)=0),MAX($AP35,$Z35),$AP35*$Z35/$O35)))</f>
        <v>1869</v>
      </c>
      <c r="AR35" s="88" t="str">
        <f aca="false">IF(OR(LEFT($B35,4)="_Mil",SUM($AJ35)=0),"",SUM($AQ35)/$AJ35)</f>
        <v/>
      </c>
      <c r="AS35" s="88" t="n">
        <f aca="false">IF($C35="&lt;01","",98%)</f>
        <v>0.98</v>
      </c>
      <c r="AT35" s="88" t="n">
        <f aca="false">IF($C35="&lt;01","",98%)</f>
        <v>0.98</v>
      </c>
      <c r="AU35" s="10" t="n">
        <f aca="false">IF($C35="&lt;01","",SUM($AP35)-SUM($O35))</f>
        <v>0</v>
      </c>
      <c r="AV35" s="10" t="n">
        <f aca="false">IF($C35="&lt;01",ROUND(INDEX(EID!$N:$N,MATCH($B35,EID!$B:$B,0))/2,0),IF(SUM($AT35)=0,"",ROUND((SUM($AP35)-(SUM($O35)*SUM($AS35)))/$AT35,0)))</f>
        <v>0</v>
      </c>
      <c r="AW35" s="88" t="n">
        <f aca="false">IF($C35="&lt;01","",100%)</f>
        <v>1</v>
      </c>
      <c r="AX35" s="39" t="n">
        <f aca="false">IF($C35="&lt;01",SUM($AV35),ROUND(SUM($AV35)*SUM($AW35),0))</f>
        <v>0</v>
      </c>
      <c r="AY35" s="114" t="n">
        <f aca="false">IF($C35="&lt;01","",70%)</f>
        <v>0.7</v>
      </c>
      <c r="AZ35" s="91" t="n">
        <f aca="false">IF($C35="&lt;01",ROUND(INDEX(EID!$R:$R,MATCH($B35,EID!$B:$B,0))/2,0),ROUND(SUM($O35)+(SUM($AV35)*$AY35),0))</f>
        <v>0</v>
      </c>
      <c r="BA35" s="87" t="n">
        <f aca="false">IF($C35="&lt;01","",95%)</f>
        <v>0.95</v>
      </c>
      <c r="BB35" s="5" t="n">
        <f aca="false">IF($C35="&lt;01",ROUND(INDEX(EID!$T:$T,MATCH($B35,EID!$B:$B,0))/2,0),ROUND($AZ35*$BA35,0))</f>
        <v>0</v>
      </c>
      <c r="BC35" s="91" t="n">
        <f aca="false">IF(LEFT($B35,4)="_Mil","",IF(SUM($BB35)=0,SUM($AD35),IF(OR(SUM($AP35)=0,SUM($AQ35)=0),MAX($BB35,$AD35),ROUND($BB35*$AQ35/$AP35,0))))</f>
        <v>0</v>
      </c>
      <c r="BD35" s="88" t="n">
        <f aca="false">IF($C35="&lt;01","",95%)</f>
        <v>0.95</v>
      </c>
      <c r="BE35" s="39" t="n">
        <f aca="false">IF($C35="&lt;01",ROUND(INDEX(EID!$V:$V,MATCH($B35,EID!$B:$B,0))/2,0),ROUND($BD35*$BB35,0))</f>
        <v>0</v>
      </c>
      <c r="BF35" s="39" t="n">
        <f aca="false">IF(LEFT($B35,4)="_Mil","",IF(SUM($BE35)=0,SUM($AF35),IF(OR(SUM($AP35)=0,SUM($AQ35)=0),MAX($BE35,$AF35),ROUND($BE35*$AQ35/$AP35,0))))</f>
        <v>0</v>
      </c>
      <c r="BG35" s="114" t="n">
        <f aca="false">IF($C35="&lt;01","",95%)</f>
        <v>0.95</v>
      </c>
      <c r="BH35" s="5" t="n">
        <f aca="false">IF($C35="&lt;01",ROUND(INDEX(EID!$L:$L,MATCH($B35,EID!$B:$B,0)),0)/2,IF(SUM($BG35)=0,"",ROUND($AX35/$BG35,0)))</f>
        <v>0</v>
      </c>
    </row>
    <row r="36" customFormat="false" ht="15" hidden="false" customHeight="false" outlineLevel="0" collapsed="false">
      <c r="A36" s="0" t="str">
        <f aca="false">INDEX(Prioritization!$D:$D,MATCH($B36,Prioritization!$A:$A,0))</f>
        <v>1 - Scale-up: Saturation</v>
      </c>
      <c r="B36" s="0" t="s">
        <v>195</v>
      </c>
      <c r="C36" s="0" t="s">
        <v>365</v>
      </c>
      <c r="D36" s="0" t="s">
        <v>48</v>
      </c>
      <c r="E36" s="0" t="str">
        <f aca="false">$B36&amp;"|"&amp;$C36&amp;"|"&amp;$D36</f>
        <v>Dedza District [PekKUkKHAzY]|15-24|Male</v>
      </c>
      <c r="F36" s="10"/>
      <c r="G36" s="10"/>
      <c r="H36" s="10"/>
      <c r="I36" s="10"/>
      <c r="J36" s="10"/>
      <c r="K36" s="10"/>
      <c r="L36" s="10"/>
      <c r="M36" s="10"/>
      <c r="N36" s="10"/>
      <c r="O36" s="10" t="str">
        <f aca="false">IFERROR(1/(1/MAX($I36,$N36)),"")</f>
        <v/>
      </c>
      <c r="P36" s="10"/>
      <c r="Q36" s="10"/>
      <c r="R36" s="10" t="str">
        <f aca="false">IF(AND(SUM($I36)=0,SUM($O36)=0),"",SUM($O36)-$I36)</f>
        <v/>
      </c>
      <c r="S36" s="10" t="n">
        <f aca="false">IF(LEFT($B36,4)="_Mil","",_xlfn.IFNA(ROUND(INDEX(Spectrum!$N:$N,MATCH(RIGHT($B36,13)&amp;"|"&amp;$C36&amp;"|"&amp;$D36&amp;"|"&amp;S$14&amp;"|"&amp;"CY2022Q4",Spectrum!$R:$R,0)),0),""))</f>
        <v>1397</v>
      </c>
      <c r="T36" s="39" t="n">
        <f aca="false">IF(LEFT($B36,4)="_Mil","",_xlfn.IFNA(ROUND(INDEX(Spectrum!$N:$N,MATCH(RIGHT($B36,13)&amp;"|"&amp;$C36&amp;"|"&amp;$D36&amp;"|"&amp;T$14&amp;"|"&amp;"CY2023Q3",Spectrum!$R:$R,0)),0),""))</f>
        <v>1052</v>
      </c>
      <c r="U36" s="39" t="str">
        <f aca="false">IF(LEFT($B36,4)="_Mil","",_xlfn.IFNA(ROUND(INDEX(Spectrum!$N:$N,MATCH(RIGHT($B36,13)&amp;"|"&amp;$C36&amp;"|"&amp;$D36&amp;"|"&amp;U$14&amp;"|"&amp;"CY2023Q3",Spectrum!$R:$R,0)),0),""))</f>
        <v/>
      </c>
      <c r="V36" s="10" t="n">
        <f aca="false">IF(LEFT($B36,4)="_Mil","",_xlfn.IFNA(ROUND(INDEX(Spectrum!$N:$N,MATCH(RIGHT($B36,13)&amp;"|"&amp;$C36&amp;"|"&amp;$D36&amp;"|"&amp;V$14&amp;"|"&amp;"CY2023Q3",Spectrum!$R:$R,0)),0),""))</f>
        <v>1333</v>
      </c>
      <c r="W36" s="113" t="n">
        <f aca="false">IF(LEFT($B36,4)="_Mil","",_xlfn.IFNA(INDEX(Spectrum!$N:$N,MATCH(RIGHT($B36,13)&amp;"|"&amp;$C36&amp;"|"&amp;$D36&amp;"|"&amp;W$14&amp;"|"&amp;"CY2023Q3",Spectrum!$R:$R,0)),""))</f>
        <v>1526</v>
      </c>
      <c r="X36" s="39" t="n">
        <f aca="false">IF(LEFT($B36,4)="_Mil","",_xlfn.IFNA(ROUND(INDEX(Spectrum!$N:$N,MATCH(RIGHT($B36,13)&amp;"|"&amp;$C36&amp;"|"&amp;$D36&amp;"|"&amp;X$14&amp;"|"&amp;"CY2023Q3",Spectrum!$R:$R,0)),0),""))</f>
        <v>620</v>
      </c>
      <c r="Y36" s="88" t="str">
        <f aca="false">IF(OR(SUM($U36)=0,LEFT($B36,4)="_Mil"),"",SUM($X36)/$U36)</f>
        <v/>
      </c>
      <c r="Z36" s="39" t="n">
        <f aca="false">IF(LEFT($B36,4)="_Mil","",_xlfn.IFNA(ROUND(INDEX(Spectrum!$N:$N,MATCH(RIGHT($B36,13)&amp;"|"&amp;$C36&amp;"|"&amp;$D36&amp;"|"&amp;Z$14&amp;"|"&amp;"CY2023Q3",Spectrum!$R:$R,0)),0),""))</f>
        <v>1120</v>
      </c>
      <c r="AA36" s="88" t="n">
        <f aca="false">IF(LEFT($B36,4)="_Mil","",IFERROR(1/(1/INDEX(Spectrum!$N:$N,MATCH(RIGHT($B36,13)&amp;"|"&amp;$C36&amp;"|"&amp;$D36&amp;"|"&amp;AA$14&amp;"|"&amp;"CY2023Q3",Spectrum!$R:$R,0))),IF(SUM($U36)=0,"",SUM($Z36)/$U36)))</f>
        <v>911</v>
      </c>
      <c r="AB36" s="88" t="n">
        <f aca="false">IF(OR(LEFT($B36,4)="_Mil",SUM($X36)=0),"",SUM($Z36)/$X36)</f>
        <v>1.80645161290323</v>
      </c>
      <c r="AC36" s="10" t="n">
        <f aca="false">IF(LEFT($B36,4)="_Mil","",_xlfn.IFNA(ROUND(INDEX(Spectrum!$N:$N,MATCH(RIGHT($B36,13)&amp;"|"&amp;$C36&amp;"|"&amp;$D36&amp;"|"&amp;AC$14&amp;"|"&amp;"CY2023Q3",Spectrum!$R:$R,0)),0),""))</f>
        <v>586</v>
      </c>
      <c r="AD36" s="10" t="str">
        <f aca="false">IF(LEFT($B36,4)="_Mil","",_xlfn.IFNA(ROUND(INDEX(Spectrum!$N:$N,MATCH(RIGHT($B36,13)&amp;"|"&amp;$C36&amp;"|"&amp;$D36&amp;"|"&amp;AD$14&amp;"|"&amp;"CY2023Q3",Spectrum!$R:$R,0)),0),""))</f>
        <v/>
      </c>
      <c r="AE36" s="88" t="n">
        <f aca="false">IF(OR(LEFT($B36,4)="_Mil",SUM($Z36)=0),"",SUM($AD36)/$Z36)</f>
        <v>0</v>
      </c>
      <c r="AF36" s="39" t="str">
        <f aca="false">IF(LEFT($B36,4)="_Mil","",_xlfn.IFNA(ROUND(INDEX(Spectrum!$N:$N,MATCH(RIGHT($B36,13)&amp;"|"&amp;$C36&amp;"|"&amp;$D36&amp;"|"&amp;AF$14&amp;"|"&amp;"CY2023Q3",Spectrum!$R:$R,0)),0),""))</f>
        <v/>
      </c>
      <c r="AG36" s="88" t="str">
        <f aca="false">IF(OR(LEFT($B36,4)="_Mil",SUM($AD36)=0),"",SUM($AF36)/$AD36)</f>
        <v/>
      </c>
      <c r="AH36" s="86" t="str">
        <f aca="false">IF(LEFT($B36,4)="_Mil","",_xlfn.IFNA(INDEX(Spectrum!$N:$N,MATCH(RIGHT($B36,13)&amp;"|"&amp;$C36&amp;"|"&amp;$D36&amp;"|"&amp;AH$14&amp;"|"&amp;"CY2023Q3",Spectrum!$R:$R,0)),""))</f>
        <v/>
      </c>
      <c r="AI36" s="10" t="str">
        <f aca="false">IF(LEFT($B36,4)="_Mil","",_xlfn.IFNA(ROUND(INDEX(Spectrum!$N:$N,MATCH(RIGHT($B36,13)&amp;"|"&amp;$C36&amp;"|"&amp;$D36&amp;"|"&amp;AI$14&amp;"|"&amp;"CY2023Q3",Spectrum!$R:$R,0)),0),""))</f>
        <v/>
      </c>
      <c r="AJ36" s="39" t="n">
        <f aca="false">IF(LEFT($B36,4)="_Mil","",_xlfn.IFNA(ROUND(INDEX(Spectrum!$N:$N,MATCH(RIGHT($B36,13)&amp;"|"&amp;$C36&amp;"|"&amp;$D36&amp;"|"&amp;AI$14&amp;"|"&amp;"CY2023Q3",Spectrum!$R:$R,0)),0),SUM($U36)+SUM($AI36)))</f>
        <v>0</v>
      </c>
      <c r="AK36" s="10" t="str">
        <f aca="false">IF(LEFT($B36,4)="_Mil","",_xlfn.IFNA(ROUND(INDEX(Spectrum!$N:$N,MATCH(RIGHT($B36,13)&amp;"|"&amp;$C36&amp;"|"&amp;$D36&amp;"|"&amp;AK$14&amp;"|"&amp;"CY2023Q3",Spectrum!$R:$R,0)),0),""))</f>
        <v/>
      </c>
      <c r="AL36" s="88" t="n">
        <f aca="false">IF(OR(LEFT($B36,4)="_Mil",$C36="&lt;01"),"",MAX(SUM($AA36),90%))</f>
        <v>911</v>
      </c>
      <c r="AM36" s="10" t="n">
        <f aca="false">IF(OR(LEFT($B36,4)="_Mil",$C36="&lt;01"),"",ROUND(SUM($AJ36)*SUM($AL36),0))</f>
        <v>0</v>
      </c>
      <c r="AN36" s="10" t="str">
        <f aca="false">IF($C36="&lt;01",ROUND(INDEX(EID!$P:$P,MATCH($B36,EID!$B:$B,0))/2,0),"")</f>
        <v/>
      </c>
      <c r="AO36" s="10" t="n">
        <f aca="false">IF($C36="&lt;01",SUM($AN36),ROUND(SUM($AM36)*SUM($O36)/IF(SUM($Z36)=0,1,$Z36),0))</f>
        <v>0</v>
      </c>
      <c r="AP36" s="39" t="n">
        <f aca="false">IF(OR($F36="",$C36="&lt;01"),$AO36,$F36)</f>
        <v>0</v>
      </c>
      <c r="AQ36" s="39" t="n">
        <f aca="false">IF(LEFT($B36,4)="_Mil","",IF(SUM($AP36)=0,SUM($Z36),IF(OR(SUM($Z36)=0,SUM($O36)=0),MAX($AP36,$Z36),$AP36*$Z36/$O36)))</f>
        <v>1120</v>
      </c>
      <c r="AR36" s="88" t="str">
        <f aca="false">IF(OR(LEFT($B36,4)="_Mil",SUM($AJ36)=0),"",SUM($AQ36)/$AJ36)</f>
        <v/>
      </c>
      <c r="AS36" s="88" t="n">
        <f aca="false">IF($C36="&lt;01","",98%)</f>
        <v>0.98</v>
      </c>
      <c r="AT36" s="88" t="n">
        <f aca="false">IF($C36="&lt;01","",98%)</f>
        <v>0.98</v>
      </c>
      <c r="AU36" s="10" t="n">
        <f aca="false">IF($C36="&lt;01","",SUM($AP36)-SUM($O36))</f>
        <v>0</v>
      </c>
      <c r="AV36" s="10" t="n">
        <f aca="false">IF($C36="&lt;01",ROUND(INDEX(EID!$N:$N,MATCH($B36,EID!$B:$B,0))/2,0),IF(SUM($AT36)=0,"",ROUND((SUM($AP36)-(SUM($O36)*SUM($AS36)))/$AT36,0)))</f>
        <v>0</v>
      </c>
      <c r="AW36" s="88" t="n">
        <f aca="false">IF($C36="&lt;01","",100%)</f>
        <v>1</v>
      </c>
      <c r="AX36" s="39" t="n">
        <f aca="false">IF($C36="&lt;01",SUM($AV36),ROUND(SUM($AV36)*SUM($AW36),0))</f>
        <v>0</v>
      </c>
      <c r="AY36" s="114" t="n">
        <f aca="false">IF($C36="&lt;01","",70%)</f>
        <v>0.7</v>
      </c>
      <c r="AZ36" s="91" t="n">
        <f aca="false">IF($C36="&lt;01",ROUND(INDEX(EID!$R:$R,MATCH($B36,EID!$B:$B,0))/2,0),ROUND(SUM($O36)+(SUM($AV36)*$AY36),0))</f>
        <v>0</v>
      </c>
      <c r="BA36" s="87" t="n">
        <f aca="false">IF($C36="&lt;01","",95%)</f>
        <v>0.95</v>
      </c>
      <c r="BB36" s="5" t="n">
        <f aca="false">IF($C36="&lt;01",ROUND(INDEX(EID!$T:$T,MATCH($B36,EID!$B:$B,0))/2,0),ROUND($AZ36*$BA36,0))</f>
        <v>0</v>
      </c>
      <c r="BC36" s="91" t="n">
        <f aca="false">IF(LEFT($B36,4)="_Mil","",IF(SUM($BB36)=0,SUM($AD36),IF(OR(SUM($AP36)=0,SUM($AQ36)=0),MAX($BB36,$AD36),ROUND($BB36*$AQ36/$AP36,0))))</f>
        <v>0</v>
      </c>
      <c r="BD36" s="88" t="n">
        <f aca="false">IF($C36="&lt;01","",95%)</f>
        <v>0.95</v>
      </c>
      <c r="BE36" s="39" t="n">
        <f aca="false">IF($C36="&lt;01",ROUND(INDEX(EID!$V:$V,MATCH($B36,EID!$B:$B,0))/2,0),ROUND($BD36*$BB36,0))</f>
        <v>0</v>
      </c>
      <c r="BF36" s="39" t="n">
        <f aca="false">IF(LEFT($B36,4)="_Mil","",IF(SUM($BE36)=0,SUM($AF36),IF(OR(SUM($AP36)=0,SUM($AQ36)=0),MAX($BE36,$AF36),ROUND($BE36*$AQ36/$AP36,0))))</f>
        <v>0</v>
      </c>
      <c r="BG36" s="114" t="n">
        <f aca="false">IF($C36="&lt;01","",95%)</f>
        <v>0.95</v>
      </c>
      <c r="BH36" s="5" t="n">
        <f aca="false">IF($C36="&lt;01",ROUND(INDEX(EID!$L:$L,MATCH($B36,EID!$B:$B,0)),0)/2,IF(SUM($BG36)=0,"",ROUND($AX36/$BG36,0)))</f>
        <v>0</v>
      </c>
    </row>
    <row r="37" customFormat="false" ht="15" hidden="false" customHeight="false" outlineLevel="0" collapsed="false">
      <c r="A37" s="0" t="str">
        <f aca="false">INDEX(Prioritization!$D:$D,MATCH($B37,Prioritization!$A:$A,0))</f>
        <v>1 - Scale-up: Saturation</v>
      </c>
      <c r="B37" s="0" t="s">
        <v>195</v>
      </c>
      <c r="C37" s="0" t="s">
        <v>366</v>
      </c>
      <c r="D37" s="0" t="s">
        <v>30</v>
      </c>
      <c r="E37" s="0" t="str">
        <f aca="false">$B37&amp;"|"&amp;$C37&amp;"|"&amp;$D37</f>
        <v>Dedza District [PekKUkKHAzY]|25-34|Female</v>
      </c>
      <c r="F37" s="10"/>
      <c r="G37" s="10"/>
      <c r="H37" s="10"/>
      <c r="I37" s="10"/>
      <c r="J37" s="10"/>
      <c r="K37" s="10"/>
      <c r="L37" s="10"/>
      <c r="M37" s="10"/>
      <c r="N37" s="10"/>
      <c r="O37" s="10" t="str">
        <f aca="false">IFERROR(1/(1/MAX($I37,$N37)),"")</f>
        <v/>
      </c>
      <c r="P37" s="10"/>
      <c r="Q37" s="10"/>
      <c r="R37" s="10" t="str">
        <f aca="false">IF(AND(SUM($I37)=0,SUM($O37)=0),"",SUM($O37)-$I37)</f>
        <v/>
      </c>
      <c r="S37" s="10" t="n">
        <f aca="false">IF(LEFT($B37,4)="_Mil","",_xlfn.IFNA(ROUND(INDEX(Spectrum!$N:$N,MATCH(RIGHT($B37,13)&amp;"|"&amp;$C37&amp;"|"&amp;$D37&amp;"|"&amp;S$14&amp;"|"&amp;"CY2022Q4",Spectrum!$R:$R,0)),0),""))</f>
        <v>1420</v>
      </c>
      <c r="T37" s="39" t="n">
        <f aca="false">IF(LEFT($B37,4)="_Mil","",_xlfn.IFNA(ROUND(INDEX(Spectrum!$N:$N,MATCH(RIGHT($B37,13)&amp;"|"&amp;$C37&amp;"|"&amp;$D37&amp;"|"&amp;T$14&amp;"|"&amp;"CY2023Q3",Spectrum!$R:$R,0)),0),""))</f>
        <v>1954</v>
      </c>
      <c r="U37" s="39" t="str">
        <f aca="false">IF(LEFT($B37,4)="_Mil","",_xlfn.IFNA(ROUND(INDEX(Spectrum!$N:$N,MATCH(RIGHT($B37,13)&amp;"|"&amp;$C37&amp;"|"&amp;$D37&amp;"|"&amp;U$14&amp;"|"&amp;"CY2023Q3",Spectrum!$R:$R,0)),0),""))</f>
        <v/>
      </c>
      <c r="V37" s="10" t="n">
        <f aca="false">IF(LEFT($B37,4)="_Mil","",_xlfn.IFNA(ROUND(INDEX(Spectrum!$N:$N,MATCH(RIGHT($B37,13)&amp;"|"&amp;$C37&amp;"|"&amp;$D37&amp;"|"&amp;V$14&amp;"|"&amp;"CY2023Q3",Spectrum!$R:$R,0)),0),""))</f>
        <v>689</v>
      </c>
      <c r="W37" s="113" t="n">
        <f aca="false">IF(LEFT($B37,4)="_Mil","",_xlfn.IFNA(INDEX(Spectrum!$N:$N,MATCH(RIGHT($B37,13)&amp;"|"&amp;$C37&amp;"|"&amp;$D37&amp;"|"&amp;W$14&amp;"|"&amp;"CY2023Q3",Spectrum!$R:$R,0)),""))</f>
        <v>909</v>
      </c>
      <c r="X37" s="39" t="n">
        <f aca="false">IF(LEFT($B37,4)="_Mil","",_xlfn.IFNA(ROUND(INDEX(Spectrum!$N:$N,MATCH(RIGHT($B37,13)&amp;"|"&amp;$C37&amp;"|"&amp;$D37&amp;"|"&amp;X$14&amp;"|"&amp;"CY2023Q3",Spectrum!$R:$R,0)),0),""))</f>
        <v>867</v>
      </c>
      <c r="Y37" s="88" t="str">
        <f aca="false">IF(OR(SUM($U37)=0,LEFT($B37,4)="_Mil"),"",SUM($X37)/$U37)</f>
        <v/>
      </c>
      <c r="Z37" s="39" t="n">
        <f aca="false">IF(LEFT($B37,4)="_Mil","",_xlfn.IFNA(ROUND(INDEX(Spectrum!$N:$N,MATCH(RIGHT($B37,13)&amp;"|"&amp;$C37&amp;"|"&amp;$D37&amp;"|"&amp;Z$14&amp;"|"&amp;"CY2023Q3",Spectrum!$R:$R,0)),0),""))</f>
        <v>1045</v>
      </c>
      <c r="AA37" s="88" t="n">
        <f aca="false">IF(LEFT($B37,4)="_Mil","",IFERROR(1/(1/INDEX(Spectrum!$N:$N,MATCH(RIGHT($B37,13)&amp;"|"&amp;$C37&amp;"|"&amp;$D37&amp;"|"&amp;AA$14&amp;"|"&amp;"CY2023Q3",Spectrum!$R:$R,0))),IF(SUM($U37)=0,"",SUM($Z37)/$U37)))</f>
        <v>835</v>
      </c>
      <c r="AB37" s="88" t="n">
        <f aca="false">IF(OR(LEFT($B37,4)="_Mil",SUM($X37)=0),"",SUM($Z37)/$X37)</f>
        <v>1.20530565167243</v>
      </c>
      <c r="AC37" s="10" t="n">
        <f aca="false">IF(LEFT($B37,4)="_Mil","",_xlfn.IFNA(ROUND(INDEX(Spectrum!$N:$N,MATCH(RIGHT($B37,13)&amp;"|"&amp;$C37&amp;"|"&amp;$D37&amp;"|"&amp;AC$14&amp;"|"&amp;"CY2023Q3",Spectrum!$R:$R,0)),0),""))</f>
        <v>1544</v>
      </c>
      <c r="AD37" s="10" t="str">
        <f aca="false">IF(LEFT($B37,4)="_Mil","",_xlfn.IFNA(ROUND(INDEX(Spectrum!$N:$N,MATCH(RIGHT($B37,13)&amp;"|"&amp;$C37&amp;"|"&amp;$D37&amp;"|"&amp;AD$14&amp;"|"&amp;"CY2023Q3",Spectrum!$R:$R,0)),0),""))</f>
        <v/>
      </c>
      <c r="AE37" s="88" t="n">
        <f aca="false">IF(OR(LEFT($B37,4)="_Mil",SUM($Z37)=0),"",SUM($AD37)/$Z37)</f>
        <v>0</v>
      </c>
      <c r="AF37" s="39" t="str">
        <f aca="false">IF(LEFT($B37,4)="_Mil","",_xlfn.IFNA(ROUND(INDEX(Spectrum!$N:$N,MATCH(RIGHT($B37,13)&amp;"|"&amp;$C37&amp;"|"&amp;$D37&amp;"|"&amp;AF$14&amp;"|"&amp;"CY2023Q3",Spectrum!$R:$R,0)),0),""))</f>
        <v/>
      </c>
      <c r="AG37" s="88" t="str">
        <f aca="false">IF(OR(LEFT($B37,4)="_Mil",SUM($AD37)=0),"",SUM($AF37)/$AD37)</f>
        <v/>
      </c>
      <c r="AH37" s="86" t="str">
        <f aca="false">IF(LEFT($B37,4)="_Mil","",_xlfn.IFNA(INDEX(Spectrum!$N:$N,MATCH(RIGHT($B37,13)&amp;"|"&amp;$C37&amp;"|"&amp;$D37&amp;"|"&amp;AH$14&amp;"|"&amp;"CY2023Q3",Spectrum!$R:$R,0)),""))</f>
        <v/>
      </c>
      <c r="AI37" s="10" t="str">
        <f aca="false">IF(LEFT($B37,4)="_Mil","",_xlfn.IFNA(ROUND(INDEX(Spectrum!$N:$N,MATCH(RIGHT($B37,13)&amp;"|"&amp;$C37&amp;"|"&amp;$D37&amp;"|"&amp;AI$14&amp;"|"&amp;"CY2023Q3",Spectrum!$R:$R,0)),0),""))</f>
        <v/>
      </c>
      <c r="AJ37" s="39" t="n">
        <f aca="false">IF(LEFT($B37,4)="_Mil","",_xlfn.IFNA(ROUND(INDEX(Spectrum!$N:$N,MATCH(RIGHT($B37,13)&amp;"|"&amp;$C37&amp;"|"&amp;$D37&amp;"|"&amp;AI$14&amp;"|"&amp;"CY2023Q3",Spectrum!$R:$R,0)),0),SUM($U37)+SUM($AI37)))</f>
        <v>0</v>
      </c>
      <c r="AK37" s="10" t="str">
        <f aca="false">IF(LEFT($B37,4)="_Mil","",_xlfn.IFNA(ROUND(INDEX(Spectrum!$N:$N,MATCH(RIGHT($B37,13)&amp;"|"&amp;$C37&amp;"|"&amp;$D37&amp;"|"&amp;AK$14&amp;"|"&amp;"CY2023Q3",Spectrum!$R:$R,0)),0),""))</f>
        <v/>
      </c>
      <c r="AL37" s="88" t="n">
        <f aca="false">IF(OR(LEFT($B37,4)="_Mil",$C37="&lt;01"),"",MAX(SUM($AA37),90%))</f>
        <v>835</v>
      </c>
      <c r="AM37" s="10" t="n">
        <f aca="false">IF(OR(LEFT($B37,4)="_Mil",$C37="&lt;01"),"",ROUND(SUM($AJ37)*SUM($AL37),0))</f>
        <v>0</v>
      </c>
      <c r="AN37" s="10" t="str">
        <f aca="false">IF($C37="&lt;01",ROUND(INDEX(EID!$P:$P,MATCH($B37,EID!$B:$B,0))/2,0),"")</f>
        <v/>
      </c>
      <c r="AO37" s="10" t="n">
        <f aca="false">IF($C37="&lt;01",SUM($AN37),ROUND(SUM($AM37)*SUM($O37)/IF(SUM($Z37)=0,1,$Z37),0))</f>
        <v>0</v>
      </c>
      <c r="AP37" s="39" t="n">
        <f aca="false">IF(OR($F37="",$C37="&lt;01"),$AO37,$F37)</f>
        <v>0</v>
      </c>
      <c r="AQ37" s="39" t="n">
        <f aca="false">IF(LEFT($B37,4)="_Mil","",IF(SUM($AP37)=0,SUM($Z37),IF(OR(SUM($Z37)=0,SUM($O37)=0),MAX($AP37,$Z37),$AP37*$Z37/$O37)))</f>
        <v>1045</v>
      </c>
      <c r="AR37" s="88" t="str">
        <f aca="false">IF(OR(LEFT($B37,4)="_Mil",SUM($AJ37)=0),"",SUM($AQ37)/$AJ37)</f>
        <v/>
      </c>
      <c r="AS37" s="88" t="n">
        <f aca="false">IF($C37="&lt;01","",98%)</f>
        <v>0.98</v>
      </c>
      <c r="AT37" s="88" t="n">
        <f aca="false">IF($C37="&lt;01","",98%)</f>
        <v>0.98</v>
      </c>
      <c r="AU37" s="10" t="n">
        <f aca="false">IF($C37="&lt;01","",SUM($AP37)-SUM($O37))</f>
        <v>0</v>
      </c>
      <c r="AV37" s="10" t="n">
        <f aca="false">IF($C37="&lt;01",ROUND(INDEX(EID!$N:$N,MATCH($B37,EID!$B:$B,0))/2,0),IF(SUM($AT37)=0,"",ROUND((SUM($AP37)-(SUM($O37)*SUM($AS37)))/$AT37,0)))</f>
        <v>0</v>
      </c>
      <c r="AW37" s="88" t="n">
        <f aca="false">IF($C37="&lt;01","",100%)</f>
        <v>1</v>
      </c>
      <c r="AX37" s="39" t="n">
        <f aca="false">IF($C37="&lt;01",SUM($AV37),ROUND(SUM($AV37)*SUM($AW37),0))</f>
        <v>0</v>
      </c>
      <c r="AY37" s="114" t="n">
        <f aca="false">IF($C37="&lt;01","",70%)</f>
        <v>0.7</v>
      </c>
      <c r="AZ37" s="91" t="n">
        <f aca="false">IF($C37="&lt;01",ROUND(INDEX(EID!$R:$R,MATCH($B37,EID!$B:$B,0))/2,0),ROUND(SUM($O37)+(SUM($AV37)*$AY37),0))</f>
        <v>0</v>
      </c>
      <c r="BA37" s="87" t="n">
        <f aca="false">IF($C37="&lt;01","",95%)</f>
        <v>0.95</v>
      </c>
      <c r="BB37" s="5" t="n">
        <f aca="false">IF($C37="&lt;01",ROUND(INDEX(EID!$T:$T,MATCH($B37,EID!$B:$B,0))/2,0),ROUND($AZ37*$BA37,0))</f>
        <v>0</v>
      </c>
      <c r="BC37" s="91" t="n">
        <f aca="false">IF(LEFT($B37,4)="_Mil","",IF(SUM($BB37)=0,SUM($AD37),IF(OR(SUM($AP37)=0,SUM($AQ37)=0),MAX($BB37,$AD37),ROUND($BB37*$AQ37/$AP37,0))))</f>
        <v>0</v>
      </c>
      <c r="BD37" s="88" t="n">
        <f aca="false">IF($C37="&lt;01","",95%)</f>
        <v>0.95</v>
      </c>
      <c r="BE37" s="39" t="n">
        <f aca="false">IF($C37="&lt;01",ROUND(INDEX(EID!$V:$V,MATCH($B37,EID!$B:$B,0))/2,0),ROUND($BD37*$BB37,0))</f>
        <v>0</v>
      </c>
      <c r="BF37" s="39" t="n">
        <f aca="false">IF(LEFT($B37,4)="_Mil","",IF(SUM($BE37)=0,SUM($AF37),IF(OR(SUM($AP37)=0,SUM($AQ37)=0),MAX($BE37,$AF37),ROUND($BE37*$AQ37/$AP37,0))))</f>
        <v>0</v>
      </c>
      <c r="BG37" s="114" t="n">
        <f aca="false">IF($C37="&lt;01","",95%)</f>
        <v>0.95</v>
      </c>
      <c r="BH37" s="5" t="n">
        <f aca="false">IF($C37="&lt;01",ROUND(INDEX(EID!$L:$L,MATCH($B37,EID!$B:$B,0)),0)/2,IF(SUM($BG37)=0,"",ROUND($AX37/$BG37,0)))</f>
        <v>0</v>
      </c>
    </row>
    <row r="38" customFormat="false" ht="15" hidden="false" customHeight="false" outlineLevel="0" collapsed="false">
      <c r="A38" s="0" t="str">
        <f aca="false">INDEX(Prioritization!$D:$D,MATCH($B38,Prioritization!$A:$A,0))</f>
        <v>1 - Scale-up: Saturation</v>
      </c>
      <c r="B38" s="0" t="s">
        <v>195</v>
      </c>
      <c r="C38" s="0" t="s">
        <v>366</v>
      </c>
      <c r="D38" s="0" t="s">
        <v>48</v>
      </c>
      <c r="E38" s="0" t="str">
        <f aca="false">$B38&amp;"|"&amp;$C38&amp;"|"&amp;$D38</f>
        <v>Dedza District [PekKUkKHAzY]|25-34|Male</v>
      </c>
      <c r="F38" s="10"/>
      <c r="G38" s="10"/>
      <c r="H38" s="10"/>
      <c r="I38" s="10"/>
      <c r="J38" s="10"/>
      <c r="K38" s="10"/>
      <c r="L38" s="10"/>
      <c r="M38" s="10"/>
      <c r="N38" s="10"/>
      <c r="O38" s="10" t="str">
        <f aca="false">IFERROR(1/(1/MAX($I38,$N38)),"")</f>
        <v/>
      </c>
      <c r="P38" s="10"/>
      <c r="Q38" s="10"/>
      <c r="R38" s="10" t="str">
        <f aca="false">IF(AND(SUM($I38)=0,SUM($O38)=0),"",SUM($O38)-$I38)</f>
        <v/>
      </c>
      <c r="S38" s="10" t="n">
        <f aca="false">IF(LEFT($B38,4)="_Mil","",_xlfn.IFNA(ROUND(INDEX(Spectrum!$N:$N,MATCH(RIGHT($B38,13)&amp;"|"&amp;$C38&amp;"|"&amp;$D38&amp;"|"&amp;S$14&amp;"|"&amp;"CY2022Q4",Spectrum!$R:$R,0)),0),""))</f>
        <v>1561</v>
      </c>
      <c r="T38" s="39" t="n">
        <f aca="false">IF(LEFT($B38,4)="_Mil","",_xlfn.IFNA(ROUND(INDEX(Spectrum!$N:$N,MATCH(RIGHT($B38,13)&amp;"|"&amp;$C38&amp;"|"&amp;$D38&amp;"|"&amp;T$14&amp;"|"&amp;"CY2023Q3",Spectrum!$R:$R,0)),0),""))</f>
        <v>996</v>
      </c>
      <c r="U38" s="39" t="str">
        <f aca="false">IF(LEFT($B38,4)="_Mil","",_xlfn.IFNA(ROUND(INDEX(Spectrum!$N:$N,MATCH(RIGHT($B38,13)&amp;"|"&amp;$C38&amp;"|"&amp;$D38&amp;"|"&amp;U$14&amp;"|"&amp;"CY2023Q3",Spectrum!$R:$R,0)),0),""))</f>
        <v/>
      </c>
      <c r="V38" s="10" t="n">
        <f aca="false">IF(LEFT($B38,4)="_Mil","",_xlfn.IFNA(ROUND(INDEX(Spectrum!$N:$N,MATCH(RIGHT($B38,13)&amp;"|"&amp;$C38&amp;"|"&amp;$D38&amp;"|"&amp;V$14&amp;"|"&amp;"CY2023Q3",Spectrum!$R:$R,0)),0),""))</f>
        <v>1138</v>
      </c>
      <c r="W38" s="113" t="n">
        <f aca="false">IF(LEFT($B38,4)="_Mil","",_xlfn.IFNA(INDEX(Spectrum!$N:$N,MATCH(RIGHT($B38,13)&amp;"|"&amp;$C38&amp;"|"&amp;$D38&amp;"|"&amp;W$14&amp;"|"&amp;"CY2023Q3",Spectrum!$R:$R,0)),""))</f>
        <v>1934</v>
      </c>
      <c r="X38" s="39" t="n">
        <f aca="false">IF(LEFT($B38,4)="_Mil","",_xlfn.IFNA(ROUND(INDEX(Spectrum!$N:$N,MATCH(RIGHT($B38,13)&amp;"|"&amp;$C38&amp;"|"&amp;$D38&amp;"|"&amp;X$14&amp;"|"&amp;"CY2023Q3",Spectrum!$R:$R,0)),0),""))</f>
        <v>1128</v>
      </c>
      <c r="Y38" s="88" t="str">
        <f aca="false">IF(OR(SUM($U38)=0,LEFT($B38,4)="_Mil"),"",SUM($X38)/$U38)</f>
        <v/>
      </c>
      <c r="Z38" s="39" t="n">
        <f aca="false">IF(LEFT($B38,4)="_Mil","",_xlfn.IFNA(ROUND(INDEX(Spectrum!$N:$N,MATCH(RIGHT($B38,13)&amp;"|"&amp;$C38&amp;"|"&amp;$D38&amp;"|"&amp;Z$14&amp;"|"&amp;"CY2023Q3",Spectrum!$R:$R,0)),0),""))</f>
        <v>1762</v>
      </c>
      <c r="AA38" s="88" t="n">
        <f aca="false">IF(LEFT($B38,4)="_Mil","",IFERROR(1/(1/INDEX(Spectrum!$N:$N,MATCH(RIGHT($B38,13)&amp;"|"&amp;$C38&amp;"|"&amp;$D38&amp;"|"&amp;AA$14&amp;"|"&amp;"CY2023Q3",Spectrum!$R:$R,0))),IF(SUM($U38)=0,"",SUM($Z38)/$U38)))</f>
        <v>707</v>
      </c>
      <c r="AB38" s="88" t="n">
        <f aca="false">IF(OR(LEFT($B38,4)="_Mil",SUM($X38)=0),"",SUM($Z38)/$X38)</f>
        <v>1.56205673758865</v>
      </c>
      <c r="AC38" s="10" t="n">
        <f aca="false">IF(LEFT($B38,4)="_Mil","",_xlfn.IFNA(ROUND(INDEX(Spectrum!$N:$N,MATCH(RIGHT($B38,13)&amp;"|"&amp;$C38&amp;"|"&amp;$D38&amp;"|"&amp;AC$14&amp;"|"&amp;"CY2023Q3",Spectrum!$R:$R,0)),0),""))</f>
        <v>1388</v>
      </c>
      <c r="AD38" s="10" t="str">
        <f aca="false">IF(LEFT($B38,4)="_Mil","",_xlfn.IFNA(ROUND(INDEX(Spectrum!$N:$N,MATCH(RIGHT($B38,13)&amp;"|"&amp;$C38&amp;"|"&amp;$D38&amp;"|"&amp;AD$14&amp;"|"&amp;"CY2023Q3",Spectrum!$R:$R,0)),0),""))</f>
        <v/>
      </c>
      <c r="AE38" s="88" t="n">
        <f aca="false">IF(OR(LEFT($B38,4)="_Mil",SUM($Z38)=0),"",SUM($AD38)/$Z38)</f>
        <v>0</v>
      </c>
      <c r="AF38" s="39" t="str">
        <f aca="false">IF(LEFT($B38,4)="_Mil","",_xlfn.IFNA(ROUND(INDEX(Spectrum!$N:$N,MATCH(RIGHT($B38,13)&amp;"|"&amp;$C38&amp;"|"&amp;$D38&amp;"|"&amp;AF$14&amp;"|"&amp;"CY2023Q3",Spectrum!$R:$R,0)),0),""))</f>
        <v/>
      </c>
      <c r="AG38" s="88" t="str">
        <f aca="false">IF(OR(LEFT($B38,4)="_Mil",SUM($AD38)=0),"",SUM($AF38)/$AD38)</f>
        <v/>
      </c>
      <c r="AH38" s="86" t="str">
        <f aca="false">IF(LEFT($B38,4)="_Mil","",_xlfn.IFNA(INDEX(Spectrum!$N:$N,MATCH(RIGHT($B38,13)&amp;"|"&amp;$C38&amp;"|"&amp;$D38&amp;"|"&amp;AH$14&amp;"|"&amp;"CY2023Q3",Spectrum!$R:$R,0)),""))</f>
        <v/>
      </c>
      <c r="AI38" s="10" t="str">
        <f aca="false">IF(LEFT($B38,4)="_Mil","",_xlfn.IFNA(ROUND(INDEX(Spectrum!$N:$N,MATCH(RIGHT($B38,13)&amp;"|"&amp;$C38&amp;"|"&amp;$D38&amp;"|"&amp;AI$14&amp;"|"&amp;"CY2023Q3",Spectrum!$R:$R,0)),0),""))</f>
        <v/>
      </c>
      <c r="AJ38" s="39" t="n">
        <f aca="false">IF(LEFT($B38,4)="_Mil","",_xlfn.IFNA(ROUND(INDEX(Spectrum!$N:$N,MATCH(RIGHT($B38,13)&amp;"|"&amp;$C38&amp;"|"&amp;$D38&amp;"|"&amp;AI$14&amp;"|"&amp;"CY2023Q3",Spectrum!$R:$R,0)),0),SUM($U38)+SUM($AI38)))</f>
        <v>0</v>
      </c>
      <c r="AK38" s="10" t="str">
        <f aca="false">IF(LEFT($B38,4)="_Mil","",_xlfn.IFNA(ROUND(INDEX(Spectrum!$N:$N,MATCH(RIGHT($B38,13)&amp;"|"&amp;$C38&amp;"|"&amp;$D38&amp;"|"&amp;AK$14&amp;"|"&amp;"CY2023Q3",Spectrum!$R:$R,0)),0),""))</f>
        <v/>
      </c>
      <c r="AL38" s="88" t="n">
        <f aca="false">IF(OR(LEFT($B38,4)="_Mil",$C38="&lt;01"),"",MAX(SUM($AA38),90%))</f>
        <v>707</v>
      </c>
      <c r="AM38" s="10" t="n">
        <f aca="false">IF(OR(LEFT($B38,4)="_Mil",$C38="&lt;01"),"",ROUND(SUM($AJ38)*SUM($AL38),0))</f>
        <v>0</v>
      </c>
      <c r="AN38" s="10" t="str">
        <f aca="false">IF($C38="&lt;01",ROUND(INDEX(EID!$P:$P,MATCH($B38,EID!$B:$B,0))/2,0),"")</f>
        <v/>
      </c>
      <c r="AO38" s="10" t="n">
        <f aca="false">IF($C38="&lt;01",SUM($AN38),ROUND(SUM($AM38)*SUM($O38)/IF(SUM($Z38)=0,1,$Z38),0))</f>
        <v>0</v>
      </c>
      <c r="AP38" s="39" t="n">
        <f aca="false">IF(OR($F38="",$C38="&lt;01"),$AO38,$F38)</f>
        <v>0</v>
      </c>
      <c r="AQ38" s="39" t="n">
        <f aca="false">IF(LEFT($B38,4)="_Mil","",IF(SUM($AP38)=0,SUM($Z38),IF(OR(SUM($Z38)=0,SUM($O38)=0),MAX($AP38,$Z38),$AP38*$Z38/$O38)))</f>
        <v>1762</v>
      </c>
      <c r="AR38" s="88" t="str">
        <f aca="false">IF(OR(LEFT($B38,4)="_Mil",SUM($AJ38)=0),"",SUM($AQ38)/$AJ38)</f>
        <v/>
      </c>
      <c r="AS38" s="88" t="n">
        <f aca="false">IF($C38="&lt;01","",98%)</f>
        <v>0.98</v>
      </c>
      <c r="AT38" s="88" t="n">
        <f aca="false">IF($C38="&lt;01","",98%)</f>
        <v>0.98</v>
      </c>
      <c r="AU38" s="10" t="n">
        <f aca="false">IF($C38="&lt;01","",SUM($AP38)-SUM($O38))</f>
        <v>0</v>
      </c>
      <c r="AV38" s="10" t="n">
        <f aca="false">IF($C38="&lt;01",ROUND(INDEX(EID!$N:$N,MATCH($B38,EID!$B:$B,0))/2,0),IF(SUM($AT38)=0,"",ROUND((SUM($AP38)-(SUM($O38)*SUM($AS38)))/$AT38,0)))</f>
        <v>0</v>
      </c>
      <c r="AW38" s="88" t="n">
        <f aca="false">IF($C38="&lt;01","",100%)</f>
        <v>1</v>
      </c>
      <c r="AX38" s="39" t="n">
        <f aca="false">IF($C38="&lt;01",SUM($AV38),ROUND(SUM($AV38)*SUM($AW38),0))</f>
        <v>0</v>
      </c>
      <c r="AY38" s="114" t="n">
        <f aca="false">IF($C38="&lt;01","",70%)</f>
        <v>0.7</v>
      </c>
      <c r="AZ38" s="91" t="n">
        <f aca="false">IF($C38="&lt;01",ROUND(INDEX(EID!$R:$R,MATCH($B38,EID!$B:$B,0))/2,0),ROUND(SUM($O38)+(SUM($AV38)*$AY38),0))</f>
        <v>0</v>
      </c>
      <c r="BA38" s="87" t="n">
        <f aca="false">IF($C38="&lt;01","",95%)</f>
        <v>0.95</v>
      </c>
      <c r="BB38" s="5" t="n">
        <f aca="false">IF($C38="&lt;01",ROUND(INDEX(EID!$T:$T,MATCH($B38,EID!$B:$B,0))/2,0),ROUND($AZ38*$BA38,0))</f>
        <v>0</v>
      </c>
      <c r="BC38" s="91" t="n">
        <f aca="false">IF(LEFT($B38,4)="_Mil","",IF(SUM($BB38)=0,SUM($AD38),IF(OR(SUM($AP38)=0,SUM($AQ38)=0),MAX($BB38,$AD38),ROUND($BB38*$AQ38/$AP38,0))))</f>
        <v>0</v>
      </c>
      <c r="BD38" s="88" t="n">
        <f aca="false">IF($C38="&lt;01","",95%)</f>
        <v>0.95</v>
      </c>
      <c r="BE38" s="39" t="n">
        <f aca="false">IF($C38="&lt;01",ROUND(INDEX(EID!$V:$V,MATCH($B38,EID!$B:$B,0))/2,0),ROUND($BD38*$BB38,0))</f>
        <v>0</v>
      </c>
      <c r="BF38" s="39" t="n">
        <f aca="false">IF(LEFT($B38,4)="_Mil","",IF(SUM($BE38)=0,SUM($AF38),IF(OR(SUM($AP38)=0,SUM($AQ38)=0),MAX($BE38,$AF38),ROUND($BE38*$AQ38/$AP38,0))))</f>
        <v>0</v>
      </c>
      <c r="BG38" s="114" t="n">
        <f aca="false">IF($C38="&lt;01","",95%)</f>
        <v>0.95</v>
      </c>
      <c r="BH38" s="5" t="n">
        <f aca="false">IF($C38="&lt;01",ROUND(INDEX(EID!$L:$L,MATCH($B38,EID!$B:$B,0)),0)/2,IF(SUM($BG38)=0,"",ROUND($AX38/$BG38,0)))</f>
        <v>0</v>
      </c>
    </row>
    <row r="39" customFormat="false" ht="15" hidden="false" customHeight="false" outlineLevel="0" collapsed="false">
      <c r="A39" s="0" t="str">
        <f aca="false">INDEX(Prioritization!$D:$D,MATCH($B39,Prioritization!$A:$A,0))</f>
        <v>1 - Scale-up: Saturation</v>
      </c>
      <c r="B39" s="0" t="s">
        <v>195</v>
      </c>
      <c r="C39" s="0" t="s">
        <v>367</v>
      </c>
      <c r="D39" s="0" t="s">
        <v>30</v>
      </c>
      <c r="E39" s="0" t="str">
        <f aca="false">$B39&amp;"|"&amp;$C39&amp;"|"&amp;$D39</f>
        <v>Dedza District [PekKUkKHAzY]|35-49|Female</v>
      </c>
      <c r="F39" s="10"/>
      <c r="G39" s="10"/>
      <c r="H39" s="10"/>
      <c r="I39" s="10"/>
      <c r="J39" s="10"/>
      <c r="K39" s="10"/>
      <c r="L39" s="10"/>
      <c r="M39" s="10"/>
      <c r="N39" s="10"/>
      <c r="O39" s="10" t="str">
        <f aca="false">IFERROR(1/(1/MAX($I39,$N39)),"")</f>
        <v/>
      </c>
      <c r="P39" s="10"/>
      <c r="Q39" s="10"/>
      <c r="R39" s="10" t="str">
        <f aca="false">IF(AND(SUM($I39)=0,SUM($O39)=0),"",SUM($O39)-$I39)</f>
        <v/>
      </c>
      <c r="S39" s="10" t="n">
        <f aca="false">IF(LEFT($B39,4)="_Mil","",_xlfn.IFNA(ROUND(INDEX(Spectrum!$N:$N,MATCH(RIGHT($B39,13)&amp;"|"&amp;$C39&amp;"|"&amp;$D39&amp;"|"&amp;S$14&amp;"|"&amp;"CY2022Q4",Spectrum!$R:$R,0)),0),""))</f>
        <v>1596</v>
      </c>
      <c r="T39" s="39" t="n">
        <f aca="false">IF(LEFT($B39,4)="_Mil","",_xlfn.IFNA(ROUND(INDEX(Spectrum!$N:$N,MATCH(RIGHT($B39,13)&amp;"|"&amp;$C39&amp;"|"&amp;$D39&amp;"|"&amp;T$14&amp;"|"&amp;"CY2023Q3",Spectrum!$R:$R,0)),0),""))</f>
        <v>1065</v>
      </c>
      <c r="U39" s="39" t="str">
        <f aca="false">IF(LEFT($B39,4)="_Mil","",_xlfn.IFNA(ROUND(INDEX(Spectrum!$N:$N,MATCH(RIGHT($B39,13)&amp;"|"&amp;$C39&amp;"|"&amp;$D39&amp;"|"&amp;U$14&amp;"|"&amp;"CY2023Q3",Spectrum!$R:$R,0)),0),""))</f>
        <v/>
      </c>
      <c r="V39" s="10" t="n">
        <f aca="false">IF(LEFT($B39,4)="_Mil","",_xlfn.IFNA(ROUND(INDEX(Spectrum!$N:$N,MATCH(RIGHT($B39,13)&amp;"|"&amp;$C39&amp;"|"&amp;$D39&amp;"|"&amp;V$14&amp;"|"&amp;"CY2023Q3",Spectrum!$R:$R,0)),0),""))</f>
        <v>1288</v>
      </c>
      <c r="W39" s="113" t="n">
        <f aca="false">IF(LEFT($B39,4)="_Mil","",_xlfn.IFNA(INDEX(Spectrum!$N:$N,MATCH(RIGHT($B39,13)&amp;"|"&amp;$C39&amp;"|"&amp;$D39&amp;"|"&amp;W$14&amp;"|"&amp;"CY2023Q3",Spectrum!$R:$R,0)),""))</f>
        <v>1692</v>
      </c>
      <c r="X39" s="39" t="n">
        <f aca="false">IF(LEFT($B39,4)="_Mil","",_xlfn.IFNA(ROUND(INDEX(Spectrum!$N:$N,MATCH(RIGHT($B39,13)&amp;"|"&amp;$C39&amp;"|"&amp;$D39&amp;"|"&amp;X$14&amp;"|"&amp;"CY2023Q3",Spectrum!$R:$R,0)),0),""))</f>
        <v>1307</v>
      </c>
      <c r="Y39" s="88" t="str">
        <f aca="false">IF(OR(SUM($U39)=0,LEFT($B39,4)="_Mil"),"",SUM($X39)/$U39)</f>
        <v/>
      </c>
      <c r="Z39" s="39" t="n">
        <f aca="false">IF(LEFT($B39,4)="_Mil","",_xlfn.IFNA(ROUND(INDEX(Spectrum!$N:$N,MATCH(RIGHT($B39,13)&amp;"|"&amp;$C39&amp;"|"&amp;$D39&amp;"|"&amp;Z$14&amp;"|"&amp;"CY2023Q3",Spectrum!$R:$R,0)),0),""))</f>
        <v>1435</v>
      </c>
      <c r="AA39" s="88" t="n">
        <f aca="false">IF(LEFT($B39,4)="_Mil","",IFERROR(1/(1/INDEX(Spectrum!$N:$N,MATCH(RIGHT($B39,13)&amp;"|"&amp;$C39&amp;"|"&amp;$D39&amp;"|"&amp;AA$14&amp;"|"&amp;"CY2023Q3",Spectrum!$R:$R,0))),IF(SUM($U39)=0,"",SUM($Z39)/$U39)))</f>
        <v>1942</v>
      </c>
      <c r="AB39" s="88" t="n">
        <f aca="false">IF(OR(LEFT($B39,4)="_Mil",SUM($X39)=0),"",SUM($Z39)/$X39)</f>
        <v>1.09793420045907</v>
      </c>
      <c r="AC39" s="10" t="n">
        <f aca="false">IF(LEFT($B39,4)="_Mil","",_xlfn.IFNA(ROUND(INDEX(Spectrum!$N:$N,MATCH(RIGHT($B39,13)&amp;"|"&amp;$C39&amp;"|"&amp;$D39&amp;"|"&amp;AC$14&amp;"|"&amp;"CY2023Q3",Spectrum!$R:$R,0)),0),""))</f>
        <v>810</v>
      </c>
      <c r="AD39" s="10" t="str">
        <f aca="false">IF(LEFT($B39,4)="_Mil","",_xlfn.IFNA(ROUND(INDEX(Spectrum!$N:$N,MATCH(RIGHT($B39,13)&amp;"|"&amp;$C39&amp;"|"&amp;$D39&amp;"|"&amp;AD$14&amp;"|"&amp;"CY2023Q3",Spectrum!$R:$R,0)),0),""))</f>
        <v/>
      </c>
      <c r="AE39" s="88" t="n">
        <f aca="false">IF(OR(LEFT($B39,4)="_Mil",SUM($Z39)=0),"",SUM($AD39)/$Z39)</f>
        <v>0</v>
      </c>
      <c r="AF39" s="39" t="str">
        <f aca="false">IF(LEFT($B39,4)="_Mil","",_xlfn.IFNA(ROUND(INDEX(Spectrum!$N:$N,MATCH(RIGHT($B39,13)&amp;"|"&amp;$C39&amp;"|"&amp;$D39&amp;"|"&amp;AF$14&amp;"|"&amp;"CY2023Q3",Spectrum!$R:$R,0)),0),""))</f>
        <v/>
      </c>
      <c r="AG39" s="88" t="str">
        <f aca="false">IF(OR(LEFT($B39,4)="_Mil",SUM($AD39)=0),"",SUM($AF39)/$AD39)</f>
        <v/>
      </c>
      <c r="AH39" s="86" t="str">
        <f aca="false">IF(LEFT($B39,4)="_Mil","",_xlfn.IFNA(INDEX(Spectrum!$N:$N,MATCH(RIGHT($B39,13)&amp;"|"&amp;$C39&amp;"|"&amp;$D39&amp;"|"&amp;AH$14&amp;"|"&amp;"CY2023Q3",Spectrum!$R:$R,0)),""))</f>
        <v/>
      </c>
      <c r="AI39" s="10" t="str">
        <f aca="false">IF(LEFT($B39,4)="_Mil","",_xlfn.IFNA(ROUND(INDEX(Spectrum!$N:$N,MATCH(RIGHT($B39,13)&amp;"|"&amp;$C39&amp;"|"&amp;$D39&amp;"|"&amp;AI$14&amp;"|"&amp;"CY2023Q3",Spectrum!$R:$R,0)),0),""))</f>
        <v/>
      </c>
      <c r="AJ39" s="39" t="n">
        <f aca="false">IF(LEFT($B39,4)="_Mil","",_xlfn.IFNA(ROUND(INDEX(Spectrum!$N:$N,MATCH(RIGHT($B39,13)&amp;"|"&amp;$C39&amp;"|"&amp;$D39&amp;"|"&amp;AI$14&amp;"|"&amp;"CY2023Q3",Spectrum!$R:$R,0)),0),SUM($U39)+SUM($AI39)))</f>
        <v>0</v>
      </c>
      <c r="AK39" s="10" t="str">
        <f aca="false">IF(LEFT($B39,4)="_Mil","",_xlfn.IFNA(ROUND(INDEX(Spectrum!$N:$N,MATCH(RIGHT($B39,13)&amp;"|"&amp;$C39&amp;"|"&amp;$D39&amp;"|"&amp;AK$14&amp;"|"&amp;"CY2023Q3",Spectrum!$R:$R,0)),0),""))</f>
        <v/>
      </c>
      <c r="AL39" s="88" t="n">
        <f aca="false">IF(OR(LEFT($B39,4)="_Mil",$C39="&lt;01"),"",MAX(SUM($AA39),90%))</f>
        <v>1942</v>
      </c>
      <c r="AM39" s="10" t="n">
        <f aca="false">IF(OR(LEFT($B39,4)="_Mil",$C39="&lt;01"),"",ROUND(SUM($AJ39)*SUM($AL39),0))</f>
        <v>0</v>
      </c>
      <c r="AN39" s="10" t="str">
        <f aca="false">IF($C39="&lt;01",ROUND(INDEX(EID!$P:$P,MATCH($B39,EID!$B:$B,0))/2,0),"")</f>
        <v/>
      </c>
      <c r="AO39" s="10" t="n">
        <f aca="false">IF($C39="&lt;01",SUM($AN39),ROUND(SUM($AM39)*SUM($O39)/IF(SUM($Z39)=0,1,$Z39),0))</f>
        <v>0</v>
      </c>
      <c r="AP39" s="39" t="n">
        <f aca="false">IF(OR($F39="",$C39="&lt;01"),$AO39,$F39)</f>
        <v>0</v>
      </c>
      <c r="AQ39" s="39" t="n">
        <f aca="false">IF(LEFT($B39,4)="_Mil","",IF(SUM($AP39)=0,SUM($Z39),IF(OR(SUM($Z39)=0,SUM($O39)=0),MAX($AP39,$Z39),$AP39*$Z39/$O39)))</f>
        <v>1435</v>
      </c>
      <c r="AR39" s="88" t="str">
        <f aca="false">IF(OR(LEFT($B39,4)="_Mil",SUM($AJ39)=0),"",SUM($AQ39)/$AJ39)</f>
        <v/>
      </c>
      <c r="AS39" s="88" t="n">
        <f aca="false">IF($C39="&lt;01","",98%)</f>
        <v>0.98</v>
      </c>
      <c r="AT39" s="88" t="n">
        <f aca="false">IF($C39="&lt;01","",98%)</f>
        <v>0.98</v>
      </c>
      <c r="AU39" s="10" t="n">
        <f aca="false">IF($C39="&lt;01","",SUM($AP39)-SUM($O39))</f>
        <v>0</v>
      </c>
      <c r="AV39" s="10" t="n">
        <f aca="false">IF($C39="&lt;01",ROUND(INDEX(EID!$N:$N,MATCH($B39,EID!$B:$B,0))/2,0),IF(SUM($AT39)=0,"",ROUND((SUM($AP39)-(SUM($O39)*SUM($AS39)))/$AT39,0)))</f>
        <v>0</v>
      </c>
      <c r="AW39" s="88" t="n">
        <f aca="false">IF($C39="&lt;01","",100%)</f>
        <v>1</v>
      </c>
      <c r="AX39" s="39" t="n">
        <f aca="false">IF($C39="&lt;01",SUM($AV39),ROUND(SUM($AV39)*SUM($AW39),0))</f>
        <v>0</v>
      </c>
      <c r="AY39" s="114" t="n">
        <f aca="false">IF($C39="&lt;01","",70%)</f>
        <v>0.7</v>
      </c>
      <c r="AZ39" s="91" t="n">
        <f aca="false">IF($C39="&lt;01",ROUND(INDEX(EID!$R:$R,MATCH($B39,EID!$B:$B,0))/2,0),ROUND(SUM($O39)+(SUM($AV39)*$AY39),0))</f>
        <v>0</v>
      </c>
      <c r="BA39" s="87" t="n">
        <f aca="false">IF($C39="&lt;01","",95%)</f>
        <v>0.95</v>
      </c>
      <c r="BB39" s="5" t="n">
        <f aca="false">IF($C39="&lt;01",ROUND(INDEX(EID!$T:$T,MATCH($B39,EID!$B:$B,0))/2,0),ROUND($AZ39*$BA39,0))</f>
        <v>0</v>
      </c>
      <c r="BC39" s="91" t="n">
        <f aca="false">IF(LEFT($B39,4)="_Mil","",IF(SUM($BB39)=0,SUM($AD39),IF(OR(SUM($AP39)=0,SUM($AQ39)=0),MAX($BB39,$AD39),ROUND($BB39*$AQ39/$AP39,0))))</f>
        <v>0</v>
      </c>
      <c r="BD39" s="88" t="n">
        <f aca="false">IF($C39="&lt;01","",95%)</f>
        <v>0.95</v>
      </c>
      <c r="BE39" s="39" t="n">
        <f aca="false">IF($C39="&lt;01",ROUND(INDEX(EID!$V:$V,MATCH($B39,EID!$B:$B,0))/2,0),ROUND($BD39*$BB39,0))</f>
        <v>0</v>
      </c>
      <c r="BF39" s="39" t="n">
        <f aca="false">IF(LEFT($B39,4)="_Mil","",IF(SUM($BE39)=0,SUM($AF39),IF(OR(SUM($AP39)=0,SUM($AQ39)=0),MAX($BE39,$AF39),ROUND($BE39*$AQ39/$AP39,0))))</f>
        <v>0</v>
      </c>
      <c r="BG39" s="114" t="n">
        <f aca="false">IF($C39="&lt;01","",95%)</f>
        <v>0.95</v>
      </c>
      <c r="BH39" s="5" t="n">
        <f aca="false">IF($C39="&lt;01",ROUND(INDEX(EID!$L:$L,MATCH($B39,EID!$B:$B,0)),0)/2,IF(SUM($BG39)=0,"",ROUND($AX39/$BG39,0)))</f>
        <v>0</v>
      </c>
    </row>
    <row r="40" customFormat="false" ht="15" hidden="false" customHeight="false" outlineLevel="0" collapsed="false">
      <c r="A40" s="0" t="str">
        <f aca="false">INDEX(Prioritization!$D:$D,MATCH($B40,Prioritization!$A:$A,0))</f>
        <v>1 - Scale-up: Saturation</v>
      </c>
      <c r="B40" s="0" t="s">
        <v>195</v>
      </c>
      <c r="C40" s="0" t="s">
        <v>367</v>
      </c>
      <c r="D40" s="0" t="s">
        <v>48</v>
      </c>
      <c r="E40" s="0" t="str">
        <f aca="false">$B40&amp;"|"&amp;$C40&amp;"|"&amp;$D40</f>
        <v>Dedza District [PekKUkKHAzY]|35-49|Male</v>
      </c>
      <c r="F40" s="10"/>
      <c r="G40" s="10"/>
      <c r="H40" s="10"/>
      <c r="I40" s="10"/>
      <c r="J40" s="10"/>
      <c r="K40" s="10"/>
      <c r="L40" s="10"/>
      <c r="M40" s="10"/>
      <c r="N40" s="10"/>
      <c r="O40" s="10" t="str">
        <f aca="false">IFERROR(1/(1/MAX($I40,$N40)),"")</f>
        <v/>
      </c>
      <c r="P40" s="10"/>
      <c r="Q40" s="10"/>
      <c r="R40" s="10" t="str">
        <f aca="false">IF(AND(SUM($I40)=0,SUM($O40)=0),"",SUM($O40)-$I40)</f>
        <v/>
      </c>
      <c r="S40" s="10" t="n">
        <f aca="false">IF(LEFT($B40,4)="_Mil","",_xlfn.IFNA(ROUND(INDEX(Spectrum!$N:$N,MATCH(RIGHT($B40,13)&amp;"|"&amp;$C40&amp;"|"&amp;$D40&amp;"|"&amp;S$14&amp;"|"&amp;"CY2022Q4",Spectrum!$R:$R,0)),0),""))</f>
        <v>672</v>
      </c>
      <c r="T40" s="39" t="n">
        <f aca="false">IF(LEFT($B40,4)="_Mil","",_xlfn.IFNA(ROUND(INDEX(Spectrum!$N:$N,MATCH(RIGHT($B40,13)&amp;"|"&amp;$C40&amp;"|"&amp;$D40&amp;"|"&amp;T$14&amp;"|"&amp;"CY2023Q3",Spectrum!$R:$R,0)),0),""))</f>
        <v>609</v>
      </c>
      <c r="U40" s="39" t="str">
        <f aca="false">IF(LEFT($B40,4)="_Mil","",_xlfn.IFNA(ROUND(INDEX(Spectrum!$N:$N,MATCH(RIGHT($B40,13)&amp;"|"&amp;$C40&amp;"|"&amp;$D40&amp;"|"&amp;U$14&amp;"|"&amp;"CY2023Q3",Spectrum!$R:$R,0)),0),""))</f>
        <v/>
      </c>
      <c r="V40" s="10" t="n">
        <f aca="false">IF(LEFT($B40,4)="_Mil","",_xlfn.IFNA(ROUND(INDEX(Spectrum!$N:$N,MATCH(RIGHT($B40,13)&amp;"|"&amp;$C40&amp;"|"&amp;$D40&amp;"|"&amp;V$14&amp;"|"&amp;"CY2023Q3",Spectrum!$R:$R,0)),0),""))</f>
        <v>572</v>
      </c>
      <c r="W40" s="113" t="n">
        <f aca="false">IF(LEFT($B40,4)="_Mil","",_xlfn.IFNA(INDEX(Spectrum!$N:$N,MATCH(RIGHT($B40,13)&amp;"|"&amp;$C40&amp;"|"&amp;$D40&amp;"|"&amp;W$14&amp;"|"&amp;"CY2023Q3",Spectrum!$R:$R,0)),""))</f>
        <v>1076</v>
      </c>
      <c r="X40" s="39" t="n">
        <f aca="false">IF(LEFT($B40,4)="_Mil","",_xlfn.IFNA(ROUND(INDEX(Spectrum!$N:$N,MATCH(RIGHT($B40,13)&amp;"|"&amp;$C40&amp;"|"&amp;$D40&amp;"|"&amp;X$14&amp;"|"&amp;"CY2023Q3",Spectrum!$R:$R,0)),0),""))</f>
        <v>1771</v>
      </c>
      <c r="Y40" s="88" t="str">
        <f aca="false">IF(OR(SUM($U40)=0,LEFT($B40,4)="_Mil"),"",SUM($X40)/$U40)</f>
        <v/>
      </c>
      <c r="Z40" s="39" t="n">
        <f aca="false">IF(LEFT($B40,4)="_Mil","",_xlfn.IFNA(ROUND(INDEX(Spectrum!$N:$N,MATCH(RIGHT($B40,13)&amp;"|"&amp;$C40&amp;"|"&amp;$D40&amp;"|"&amp;Z$14&amp;"|"&amp;"CY2023Q3",Spectrum!$R:$R,0)),0),""))</f>
        <v>1855</v>
      </c>
      <c r="AA40" s="88" t="n">
        <f aca="false">IF(LEFT($B40,4)="_Mil","",IFERROR(1/(1/INDEX(Spectrum!$N:$N,MATCH(RIGHT($B40,13)&amp;"|"&amp;$C40&amp;"|"&amp;$D40&amp;"|"&amp;AA$14&amp;"|"&amp;"CY2023Q3",Spectrum!$R:$R,0))),IF(SUM($U40)=0,"",SUM($Z40)/$U40)))</f>
        <v>1114</v>
      </c>
      <c r="AB40" s="88" t="n">
        <f aca="false">IF(OR(LEFT($B40,4)="_Mil",SUM($X40)=0),"",SUM($Z40)/$X40)</f>
        <v>1.04743083003953</v>
      </c>
      <c r="AC40" s="10" t="n">
        <f aca="false">IF(LEFT($B40,4)="_Mil","",_xlfn.IFNA(ROUND(INDEX(Spectrum!$N:$N,MATCH(RIGHT($B40,13)&amp;"|"&amp;$C40&amp;"|"&amp;$D40&amp;"|"&amp;AC$14&amp;"|"&amp;"CY2023Q3",Spectrum!$R:$R,0)),0),""))</f>
        <v>1797</v>
      </c>
      <c r="AD40" s="10" t="str">
        <f aca="false">IF(LEFT($B40,4)="_Mil","",_xlfn.IFNA(ROUND(INDEX(Spectrum!$N:$N,MATCH(RIGHT($B40,13)&amp;"|"&amp;$C40&amp;"|"&amp;$D40&amp;"|"&amp;AD$14&amp;"|"&amp;"CY2023Q3",Spectrum!$R:$R,0)),0),""))</f>
        <v/>
      </c>
      <c r="AE40" s="88" t="n">
        <f aca="false">IF(OR(LEFT($B40,4)="_Mil",SUM($Z40)=0),"",SUM($AD40)/$Z40)</f>
        <v>0</v>
      </c>
      <c r="AF40" s="39" t="str">
        <f aca="false">IF(LEFT($B40,4)="_Mil","",_xlfn.IFNA(ROUND(INDEX(Spectrum!$N:$N,MATCH(RIGHT($B40,13)&amp;"|"&amp;$C40&amp;"|"&amp;$D40&amp;"|"&amp;AF$14&amp;"|"&amp;"CY2023Q3",Spectrum!$R:$R,0)),0),""))</f>
        <v/>
      </c>
      <c r="AG40" s="88" t="str">
        <f aca="false">IF(OR(LEFT($B40,4)="_Mil",SUM($AD40)=0),"",SUM($AF40)/$AD40)</f>
        <v/>
      </c>
      <c r="AH40" s="86" t="str">
        <f aca="false">IF(LEFT($B40,4)="_Mil","",_xlfn.IFNA(INDEX(Spectrum!$N:$N,MATCH(RIGHT($B40,13)&amp;"|"&amp;$C40&amp;"|"&amp;$D40&amp;"|"&amp;AH$14&amp;"|"&amp;"CY2023Q3",Spectrum!$R:$R,0)),""))</f>
        <v/>
      </c>
      <c r="AI40" s="10" t="str">
        <f aca="false">IF(LEFT($B40,4)="_Mil","",_xlfn.IFNA(ROUND(INDEX(Spectrum!$N:$N,MATCH(RIGHT($B40,13)&amp;"|"&amp;$C40&amp;"|"&amp;$D40&amp;"|"&amp;AI$14&amp;"|"&amp;"CY2023Q3",Spectrum!$R:$R,0)),0),""))</f>
        <v/>
      </c>
      <c r="AJ40" s="39" t="n">
        <f aca="false">IF(LEFT($B40,4)="_Mil","",_xlfn.IFNA(ROUND(INDEX(Spectrum!$N:$N,MATCH(RIGHT($B40,13)&amp;"|"&amp;$C40&amp;"|"&amp;$D40&amp;"|"&amp;AI$14&amp;"|"&amp;"CY2023Q3",Spectrum!$R:$R,0)),0),SUM($U40)+SUM($AI40)))</f>
        <v>0</v>
      </c>
      <c r="AK40" s="10" t="str">
        <f aca="false">IF(LEFT($B40,4)="_Mil","",_xlfn.IFNA(ROUND(INDEX(Spectrum!$N:$N,MATCH(RIGHT($B40,13)&amp;"|"&amp;$C40&amp;"|"&amp;$D40&amp;"|"&amp;AK$14&amp;"|"&amp;"CY2023Q3",Spectrum!$R:$R,0)),0),""))</f>
        <v/>
      </c>
      <c r="AL40" s="88" t="n">
        <f aca="false">IF(OR(LEFT($B40,4)="_Mil",$C40="&lt;01"),"",MAX(SUM($AA40),90%))</f>
        <v>1114</v>
      </c>
      <c r="AM40" s="10" t="n">
        <f aca="false">IF(OR(LEFT($B40,4)="_Mil",$C40="&lt;01"),"",ROUND(SUM($AJ40)*SUM($AL40),0))</f>
        <v>0</v>
      </c>
      <c r="AN40" s="10" t="str">
        <f aca="false">IF($C40="&lt;01",ROUND(INDEX(EID!$P:$P,MATCH($B40,EID!$B:$B,0))/2,0),"")</f>
        <v/>
      </c>
      <c r="AO40" s="10" t="n">
        <f aca="false">IF($C40="&lt;01",SUM($AN40),ROUND(SUM($AM40)*SUM($O40)/IF(SUM($Z40)=0,1,$Z40),0))</f>
        <v>0</v>
      </c>
      <c r="AP40" s="39" t="n">
        <f aca="false">IF(OR($F40="",$C40="&lt;01"),$AO40,$F40)</f>
        <v>0</v>
      </c>
      <c r="AQ40" s="39" t="n">
        <f aca="false">IF(LEFT($B40,4)="_Mil","",IF(SUM($AP40)=0,SUM($Z40),IF(OR(SUM($Z40)=0,SUM($O40)=0),MAX($AP40,$Z40),$AP40*$Z40/$O40)))</f>
        <v>1855</v>
      </c>
      <c r="AR40" s="88" t="str">
        <f aca="false">IF(OR(LEFT($B40,4)="_Mil",SUM($AJ40)=0),"",SUM($AQ40)/$AJ40)</f>
        <v/>
      </c>
      <c r="AS40" s="88" t="n">
        <f aca="false">IF($C40="&lt;01","",98%)</f>
        <v>0.98</v>
      </c>
      <c r="AT40" s="88" t="n">
        <f aca="false">IF($C40="&lt;01","",98%)</f>
        <v>0.98</v>
      </c>
      <c r="AU40" s="10" t="n">
        <f aca="false">IF($C40="&lt;01","",SUM($AP40)-SUM($O40))</f>
        <v>0</v>
      </c>
      <c r="AV40" s="10" t="n">
        <f aca="false">IF($C40="&lt;01",ROUND(INDEX(EID!$N:$N,MATCH($B40,EID!$B:$B,0))/2,0),IF(SUM($AT40)=0,"",ROUND((SUM($AP40)-(SUM($O40)*SUM($AS40)))/$AT40,0)))</f>
        <v>0</v>
      </c>
      <c r="AW40" s="88" t="n">
        <f aca="false">IF($C40="&lt;01","",100%)</f>
        <v>1</v>
      </c>
      <c r="AX40" s="39" t="n">
        <f aca="false">IF($C40="&lt;01",SUM($AV40),ROUND(SUM($AV40)*SUM($AW40),0))</f>
        <v>0</v>
      </c>
      <c r="AY40" s="114" t="n">
        <f aca="false">IF($C40="&lt;01","",70%)</f>
        <v>0.7</v>
      </c>
      <c r="AZ40" s="91" t="n">
        <f aca="false">IF($C40="&lt;01",ROUND(INDEX(EID!$R:$R,MATCH($B40,EID!$B:$B,0))/2,0),ROUND(SUM($O40)+(SUM($AV40)*$AY40),0))</f>
        <v>0</v>
      </c>
      <c r="BA40" s="87" t="n">
        <f aca="false">IF($C40="&lt;01","",95%)</f>
        <v>0.95</v>
      </c>
      <c r="BB40" s="5" t="n">
        <f aca="false">IF($C40="&lt;01",ROUND(INDEX(EID!$T:$T,MATCH($B40,EID!$B:$B,0))/2,0),ROUND($AZ40*$BA40,0))</f>
        <v>0</v>
      </c>
      <c r="BC40" s="91" t="n">
        <f aca="false">IF(LEFT($B40,4)="_Mil","",IF(SUM($BB40)=0,SUM($AD40),IF(OR(SUM($AP40)=0,SUM($AQ40)=0),MAX($BB40,$AD40),ROUND($BB40*$AQ40/$AP40,0))))</f>
        <v>0</v>
      </c>
      <c r="BD40" s="88" t="n">
        <f aca="false">IF($C40="&lt;01","",95%)</f>
        <v>0.95</v>
      </c>
      <c r="BE40" s="39" t="n">
        <f aca="false">IF($C40="&lt;01",ROUND(INDEX(EID!$V:$V,MATCH($B40,EID!$B:$B,0))/2,0),ROUND($BD40*$BB40,0))</f>
        <v>0</v>
      </c>
      <c r="BF40" s="39" t="n">
        <f aca="false">IF(LEFT($B40,4)="_Mil","",IF(SUM($BE40)=0,SUM($AF40),IF(OR(SUM($AP40)=0,SUM($AQ40)=0),MAX($BE40,$AF40),ROUND($BE40*$AQ40/$AP40,0))))</f>
        <v>0</v>
      </c>
      <c r="BG40" s="114" t="n">
        <f aca="false">IF($C40="&lt;01","",95%)</f>
        <v>0.95</v>
      </c>
      <c r="BH40" s="5" t="n">
        <f aca="false">IF($C40="&lt;01",ROUND(INDEX(EID!$L:$L,MATCH($B40,EID!$B:$B,0)),0)/2,IF(SUM($BG40)=0,"",ROUND($AX40/$BG40,0)))</f>
        <v>0</v>
      </c>
    </row>
    <row r="41" customFormat="false" ht="15" hidden="false" customHeight="false" outlineLevel="0" collapsed="false">
      <c r="A41" s="0" t="str">
        <f aca="false">INDEX(Prioritization!$D:$D,MATCH($B41,Prioritization!$A:$A,0))</f>
        <v>1 - Scale-up: Saturation</v>
      </c>
      <c r="B41" s="0" t="s">
        <v>195</v>
      </c>
      <c r="C41" s="0" t="s">
        <v>368</v>
      </c>
      <c r="D41" s="0" t="s">
        <v>30</v>
      </c>
      <c r="E41" s="0" t="str">
        <f aca="false">$B41&amp;"|"&amp;$C41&amp;"|"&amp;$D41</f>
        <v>Dedza District [PekKUkKHAzY]|50+|Female</v>
      </c>
      <c r="F41" s="10"/>
      <c r="G41" s="10"/>
      <c r="H41" s="10"/>
      <c r="I41" s="10"/>
      <c r="J41" s="10"/>
      <c r="K41" s="10"/>
      <c r="L41" s="10"/>
      <c r="M41" s="10"/>
      <c r="N41" s="10"/>
      <c r="O41" s="10" t="str">
        <f aca="false">IFERROR(1/(1/MAX($I41,$N41)),"")</f>
        <v/>
      </c>
      <c r="P41" s="10"/>
      <c r="Q41" s="10"/>
      <c r="R41" s="10" t="str">
        <f aca="false">IF(AND(SUM($I41)=0,SUM($O41)=0),"",SUM($O41)-$I41)</f>
        <v/>
      </c>
      <c r="S41" s="10" t="n">
        <f aca="false">IF(LEFT($B41,4)="_Mil","",_xlfn.IFNA(ROUND(INDEX(Spectrum!$N:$N,MATCH(RIGHT($B41,13)&amp;"|"&amp;$C41&amp;"|"&amp;$D41&amp;"|"&amp;S$14&amp;"|"&amp;"CY2022Q4",Spectrum!$R:$R,0)),0),""))</f>
        <v>1170</v>
      </c>
      <c r="T41" s="39" t="n">
        <f aca="false">IF(LEFT($B41,4)="_Mil","",_xlfn.IFNA(ROUND(INDEX(Spectrum!$N:$N,MATCH(RIGHT($B41,13)&amp;"|"&amp;$C41&amp;"|"&amp;$D41&amp;"|"&amp;T$14&amp;"|"&amp;"CY2023Q3",Spectrum!$R:$R,0)),0),""))</f>
        <v>1004</v>
      </c>
      <c r="U41" s="39" t="str">
        <f aca="false">IF(LEFT($B41,4)="_Mil","",_xlfn.IFNA(ROUND(INDEX(Spectrum!$N:$N,MATCH(RIGHT($B41,13)&amp;"|"&amp;$C41&amp;"|"&amp;$D41&amp;"|"&amp;U$14&amp;"|"&amp;"CY2023Q3",Spectrum!$R:$R,0)),0),""))</f>
        <v/>
      </c>
      <c r="V41" s="10" t="n">
        <f aca="false">IF(LEFT($B41,4)="_Mil","",_xlfn.IFNA(ROUND(INDEX(Spectrum!$N:$N,MATCH(RIGHT($B41,13)&amp;"|"&amp;$C41&amp;"|"&amp;$D41&amp;"|"&amp;V$14&amp;"|"&amp;"CY2023Q3",Spectrum!$R:$R,0)),0),""))</f>
        <v>930</v>
      </c>
      <c r="W41" s="113" t="n">
        <f aca="false">IF(LEFT($B41,4)="_Mil","",_xlfn.IFNA(INDEX(Spectrum!$N:$N,MATCH(RIGHT($B41,13)&amp;"|"&amp;$C41&amp;"|"&amp;$D41&amp;"|"&amp;W$14&amp;"|"&amp;"CY2023Q3",Spectrum!$R:$R,0)),""))</f>
        <v>1642</v>
      </c>
      <c r="X41" s="39" t="n">
        <f aca="false">IF(LEFT($B41,4)="_Mil","",_xlfn.IFNA(ROUND(INDEX(Spectrum!$N:$N,MATCH(RIGHT($B41,13)&amp;"|"&amp;$C41&amp;"|"&amp;$D41&amp;"|"&amp;X$14&amp;"|"&amp;"CY2023Q3",Spectrum!$R:$R,0)),0),""))</f>
        <v>1211</v>
      </c>
      <c r="Y41" s="88" t="str">
        <f aca="false">IF(OR(SUM($U41)=0,LEFT($B41,4)="_Mil"),"",SUM($X41)/$U41)</f>
        <v/>
      </c>
      <c r="Z41" s="39" t="n">
        <f aca="false">IF(LEFT($B41,4)="_Mil","",_xlfn.IFNA(ROUND(INDEX(Spectrum!$N:$N,MATCH(RIGHT($B41,13)&amp;"|"&amp;$C41&amp;"|"&amp;$D41&amp;"|"&amp;Z$14&amp;"|"&amp;"CY2023Q3",Spectrum!$R:$R,0)),0),""))</f>
        <v>1587</v>
      </c>
      <c r="AA41" s="88" t="n">
        <f aca="false">IF(LEFT($B41,4)="_Mil","",IFERROR(1/(1/INDEX(Spectrum!$N:$N,MATCH(RIGHT($B41,13)&amp;"|"&amp;$C41&amp;"|"&amp;$D41&amp;"|"&amp;AA$14&amp;"|"&amp;"CY2023Q3",Spectrum!$R:$R,0))),IF(SUM($U41)=0,"",SUM($Z41)/$U41)))</f>
        <v>873</v>
      </c>
      <c r="AB41" s="88" t="n">
        <f aca="false">IF(OR(LEFT($B41,4)="_Mil",SUM($X41)=0),"",SUM($Z41)/$X41)</f>
        <v>1.31048720066061</v>
      </c>
      <c r="AC41" s="10" t="n">
        <f aca="false">IF(LEFT($B41,4)="_Mil","",_xlfn.IFNA(ROUND(INDEX(Spectrum!$N:$N,MATCH(RIGHT($B41,13)&amp;"|"&amp;$C41&amp;"|"&amp;$D41&amp;"|"&amp;AC$14&amp;"|"&amp;"CY2023Q3",Spectrum!$R:$R,0)),0),""))</f>
        <v>1397</v>
      </c>
      <c r="AD41" s="10" t="str">
        <f aca="false">IF(LEFT($B41,4)="_Mil","",_xlfn.IFNA(ROUND(INDEX(Spectrum!$N:$N,MATCH(RIGHT($B41,13)&amp;"|"&amp;$C41&amp;"|"&amp;$D41&amp;"|"&amp;AD$14&amp;"|"&amp;"CY2023Q3",Spectrum!$R:$R,0)),0),""))</f>
        <v/>
      </c>
      <c r="AE41" s="88" t="n">
        <f aca="false">IF(OR(LEFT($B41,4)="_Mil",SUM($Z41)=0),"",SUM($AD41)/$Z41)</f>
        <v>0</v>
      </c>
      <c r="AF41" s="39" t="str">
        <f aca="false">IF(LEFT($B41,4)="_Mil","",_xlfn.IFNA(ROUND(INDEX(Spectrum!$N:$N,MATCH(RIGHT($B41,13)&amp;"|"&amp;$C41&amp;"|"&amp;$D41&amp;"|"&amp;AF$14&amp;"|"&amp;"CY2023Q3",Spectrum!$R:$R,0)),0),""))</f>
        <v/>
      </c>
      <c r="AG41" s="88" t="str">
        <f aca="false">IF(OR(LEFT($B41,4)="_Mil",SUM($AD41)=0),"",SUM($AF41)/$AD41)</f>
        <v/>
      </c>
      <c r="AH41" s="86" t="str">
        <f aca="false">IF(LEFT($B41,4)="_Mil","",_xlfn.IFNA(INDEX(Spectrum!$N:$N,MATCH(RIGHT($B41,13)&amp;"|"&amp;$C41&amp;"|"&amp;$D41&amp;"|"&amp;AH$14&amp;"|"&amp;"CY2023Q3",Spectrum!$R:$R,0)),""))</f>
        <v/>
      </c>
      <c r="AI41" s="10" t="str">
        <f aca="false">IF(LEFT($B41,4)="_Mil","",_xlfn.IFNA(ROUND(INDEX(Spectrum!$N:$N,MATCH(RIGHT($B41,13)&amp;"|"&amp;$C41&amp;"|"&amp;$D41&amp;"|"&amp;AI$14&amp;"|"&amp;"CY2023Q3",Spectrum!$R:$R,0)),0),""))</f>
        <v/>
      </c>
      <c r="AJ41" s="39" t="n">
        <f aca="false">IF(LEFT($B41,4)="_Mil","",_xlfn.IFNA(ROUND(INDEX(Spectrum!$N:$N,MATCH(RIGHT($B41,13)&amp;"|"&amp;$C41&amp;"|"&amp;$D41&amp;"|"&amp;AI$14&amp;"|"&amp;"CY2023Q3",Spectrum!$R:$R,0)),0),SUM($U41)+SUM($AI41)))</f>
        <v>0</v>
      </c>
      <c r="AK41" s="10" t="str">
        <f aca="false">IF(LEFT($B41,4)="_Mil","",_xlfn.IFNA(ROUND(INDEX(Spectrum!$N:$N,MATCH(RIGHT($B41,13)&amp;"|"&amp;$C41&amp;"|"&amp;$D41&amp;"|"&amp;AK$14&amp;"|"&amp;"CY2023Q3",Spectrum!$R:$R,0)),0),""))</f>
        <v/>
      </c>
      <c r="AL41" s="88" t="n">
        <f aca="false">IF(OR(LEFT($B41,4)="_Mil",$C41="&lt;01"),"",MAX(SUM($AA41),90%))</f>
        <v>873</v>
      </c>
      <c r="AM41" s="10" t="n">
        <f aca="false">IF(OR(LEFT($B41,4)="_Mil",$C41="&lt;01"),"",ROUND(SUM($AJ41)*SUM($AL41),0))</f>
        <v>0</v>
      </c>
      <c r="AN41" s="10" t="str">
        <f aca="false">IF($C41="&lt;01",ROUND(INDEX(EID!$P:$P,MATCH($B41,EID!$B:$B,0))/2,0),"")</f>
        <v/>
      </c>
      <c r="AO41" s="10" t="n">
        <f aca="false">IF($C41="&lt;01",SUM($AN41),ROUND(SUM($AM41)*SUM($O41)/IF(SUM($Z41)=0,1,$Z41),0))</f>
        <v>0</v>
      </c>
      <c r="AP41" s="39" t="n">
        <f aca="false">IF(OR($F41="",$C41="&lt;01"),$AO41,$F41)</f>
        <v>0</v>
      </c>
      <c r="AQ41" s="39" t="n">
        <f aca="false">IF(LEFT($B41,4)="_Mil","",IF(SUM($AP41)=0,SUM($Z41),IF(OR(SUM($Z41)=0,SUM($O41)=0),MAX($AP41,$Z41),$AP41*$Z41/$O41)))</f>
        <v>1587</v>
      </c>
      <c r="AR41" s="88" t="str">
        <f aca="false">IF(OR(LEFT($B41,4)="_Mil",SUM($AJ41)=0),"",SUM($AQ41)/$AJ41)</f>
        <v/>
      </c>
      <c r="AS41" s="88" t="n">
        <f aca="false">IF($C41="&lt;01","",98%)</f>
        <v>0.98</v>
      </c>
      <c r="AT41" s="88" t="n">
        <f aca="false">IF($C41="&lt;01","",98%)</f>
        <v>0.98</v>
      </c>
      <c r="AU41" s="10" t="n">
        <f aca="false">IF($C41="&lt;01","",SUM($AP41)-SUM($O41))</f>
        <v>0</v>
      </c>
      <c r="AV41" s="10" t="n">
        <f aca="false">IF($C41="&lt;01",ROUND(INDEX(EID!$N:$N,MATCH($B41,EID!$B:$B,0))/2,0),IF(SUM($AT41)=0,"",ROUND((SUM($AP41)-(SUM($O41)*SUM($AS41)))/$AT41,0)))</f>
        <v>0</v>
      </c>
      <c r="AW41" s="88" t="n">
        <f aca="false">IF($C41="&lt;01","",100%)</f>
        <v>1</v>
      </c>
      <c r="AX41" s="39" t="n">
        <f aca="false">IF($C41="&lt;01",SUM($AV41),ROUND(SUM($AV41)*SUM($AW41),0))</f>
        <v>0</v>
      </c>
      <c r="AY41" s="114" t="n">
        <f aca="false">IF($C41="&lt;01","",70%)</f>
        <v>0.7</v>
      </c>
      <c r="AZ41" s="91" t="n">
        <f aca="false">IF($C41="&lt;01",ROUND(INDEX(EID!$R:$R,MATCH($B41,EID!$B:$B,0))/2,0),ROUND(SUM($O41)+(SUM($AV41)*$AY41),0))</f>
        <v>0</v>
      </c>
      <c r="BA41" s="87" t="n">
        <f aca="false">IF($C41="&lt;01","",95%)</f>
        <v>0.95</v>
      </c>
      <c r="BB41" s="5" t="n">
        <f aca="false">IF($C41="&lt;01",ROUND(INDEX(EID!$T:$T,MATCH($B41,EID!$B:$B,0))/2,0),ROUND($AZ41*$BA41,0))</f>
        <v>0</v>
      </c>
      <c r="BC41" s="91" t="n">
        <f aca="false">IF(LEFT($B41,4)="_Mil","",IF(SUM($BB41)=0,SUM($AD41),IF(OR(SUM($AP41)=0,SUM($AQ41)=0),MAX($BB41,$AD41),ROUND($BB41*$AQ41/$AP41,0))))</f>
        <v>0</v>
      </c>
      <c r="BD41" s="88" t="n">
        <f aca="false">IF($C41="&lt;01","",95%)</f>
        <v>0.95</v>
      </c>
      <c r="BE41" s="39" t="n">
        <f aca="false">IF($C41="&lt;01",ROUND(INDEX(EID!$V:$V,MATCH($B41,EID!$B:$B,0))/2,0),ROUND($BD41*$BB41,0))</f>
        <v>0</v>
      </c>
      <c r="BF41" s="39" t="n">
        <f aca="false">IF(LEFT($B41,4)="_Mil","",IF(SUM($BE41)=0,SUM($AF41),IF(OR(SUM($AP41)=0,SUM($AQ41)=0),MAX($BE41,$AF41),ROUND($BE41*$AQ41/$AP41,0))))</f>
        <v>0</v>
      </c>
      <c r="BG41" s="114" t="n">
        <f aca="false">IF($C41="&lt;01","",95%)</f>
        <v>0.95</v>
      </c>
      <c r="BH41" s="5" t="n">
        <f aca="false">IF($C41="&lt;01",ROUND(INDEX(EID!$L:$L,MATCH($B41,EID!$B:$B,0)),0)/2,IF(SUM($BG41)=0,"",ROUND($AX41/$BG41,0)))</f>
        <v>0</v>
      </c>
    </row>
    <row r="42" customFormat="false" ht="15" hidden="false" customHeight="false" outlineLevel="0" collapsed="false">
      <c r="A42" s="0" t="str">
        <f aca="false">INDEX(Prioritization!$D:$D,MATCH($B42,Prioritization!$A:$A,0))</f>
        <v>1 - Scale-up: Saturation</v>
      </c>
      <c r="B42" s="0" t="s">
        <v>195</v>
      </c>
      <c r="C42" s="0" t="s">
        <v>368</v>
      </c>
      <c r="D42" s="0" t="s">
        <v>48</v>
      </c>
      <c r="E42" s="0" t="str">
        <f aca="false">$B42&amp;"|"&amp;$C42&amp;"|"&amp;$D42</f>
        <v>Dedza District [PekKUkKHAzY]|50+|Male</v>
      </c>
      <c r="F42" s="10"/>
      <c r="G42" s="10"/>
      <c r="H42" s="10"/>
      <c r="I42" s="10"/>
      <c r="J42" s="10"/>
      <c r="K42" s="10"/>
      <c r="L42" s="10"/>
      <c r="M42" s="10"/>
      <c r="N42" s="10"/>
      <c r="O42" s="10" t="str">
        <f aca="false">IFERROR(1/(1/MAX($I42,$N42)),"")</f>
        <v/>
      </c>
      <c r="P42" s="10"/>
      <c r="Q42" s="10"/>
      <c r="R42" s="10" t="str">
        <f aca="false">IF(AND(SUM($I42)=0,SUM($O42)=0),"",SUM($O42)-$I42)</f>
        <v/>
      </c>
      <c r="S42" s="10" t="n">
        <f aca="false">IF(LEFT($B42,4)="_Mil","",_xlfn.IFNA(ROUND(INDEX(Spectrum!$N:$N,MATCH(RIGHT($B42,13)&amp;"|"&amp;$C42&amp;"|"&amp;$D42&amp;"|"&amp;S$14&amp;"|"&amp;"CY2022Q4",Spectrum!$R:$R,0)),0),""))</f>
        <v>540</v>
      </c>
      <c r="T42" s="39" t="n">
        <f aca="false">IF(LEFT($B42,4)="_Mil","",_xlfn.IFNA(ROUND(INDEX(Spectrum!$N:$N,MATCH(RIGHT($B42,13)&amp;"|"&amp;$C42&amp;"|"&amp;$D42&amp;"|"&amp;T$14&amp;"|"&amp;"CY2023Q3",Spectrum!$R:$R,0)),0),""))</f>
        <v>845</v>
      </c>
      <c r="U42" s="39" t="str">
        <f aca="false">IF(LEFT($B42,4)="_Mil","",_xlfn.IFNA(ROUND(INDEX(Spectrum!$N:$N,MATCH(RIGHT($B42,13)&amp;"|"&amp;$C42&amp;"|"&amp;$D42&amp;"|"&amp;U$14&amp;"|"&amp;"CY2023Q3",Spectrum!$R:$R,0)),0),""))</f>
        <v/>
      </c>
      <c r="V42" s="10" t="n">
        <f aca="false">IF(LEFT($B42,4)="_Mil","",_xlfn.IFNA(ROUND(INDEX(Spectrum!$N:$N,MATCH(RIGHT($B42,13)&amp;"|"&amp;$C42&amp;"|"&amp;$D42&amp;"|"&amp;V$14&amp;"|"&amp;"CY2023Q3",Spectrum!$R:$R,0)),0),""))</f>
        <v>1416</v>
      </c>
      <c r="W42" s="113" t="n">
        <f aca="false">IF(LEFT($B42,4)="_Mil","",_xlfn.IFNA(INDEX(Spectrum!$N:$N,MATCH(RIGHT($B42,13)&amp;"|"&amp;$C42&amp;"|"&amp;$D42&amp;"|"&amp;W$14&amp;"|"&amp;"CY2023Q3",Spectrum!$R:$R,0)),""))</f>
        <v>1688</v>
      </c>
      <c r="X42" s="39" t="n">
        <f aca="false">IF(LEFT($B42,4)="_Mil","",_xlfn.IFNA(ROUND(INDEX(Spectrum!$N:$N,MATCH(RIGHT($B42,13)&amp;"|"&amp;$C42&amp;"|"&amp;$D42&amp;"|"&amp;X$14&amp;"|"&amp;"CY2023Q3",Spectrum!$R:$R,0)),0),""))</f>
        <v>1781</v>
      </c>
      <c r="Y42" s="88" t="str">
        <f aca="false">IF(OR(SUM($U42)=0,LEFT($B42,4)="_Mil"),"",SUM($X42)/$U42)</f>
        <v/>
      </c>
      <c r="Z42" s="39" t="n">
        <f aca="false">IF(LEFT($B42,4)="_Mil","",_xlfn.IFNA(ROUND(INDEX(Spectrum!$N:$N,MATCH(RIGHT($B42,13)&amp;"|"&amp;$C42&amp;"|"&amp;$D42&amp;"|"&amp;Z$14&amp;"|"&amp;"CY2023Q3",Spectrum!$R:$R,0)),0),""))</f>
        <v>1805</v>
      </c>
      <c r="AA42" s="88" t="n">
        <f aca="false">IF(LEFT($B42,4)="_Mil","",IFERROR(1/(1/INDEX(Spectrum!$N:$N,MATCH(RIGHT($B42,13)&amp;"|"&amp;$C42&amp;"|"&amp;$D42&amp;"|"&amp;AA$14&amp;"|"&amp;"CY2023Q3",Spectrum!$R:$R,0))),IF(SUM($U42)=0,"",SUM($Z42)/$U42)))</f>
        <v>1974</v>
      </c>
      <c r="AB42" s="88" t="n">
        <f aca="false">IF(OR(LEFT($B42,4)="_Mil",SUM($X42)=0),"",SUM($Z42)/$X42)</f>
        <v>1.01347557551937</v>
      </c>
      <c r="AC42" s="10" t="n">
        <f aca="false">IF(LEFT($B42,4)="_Mil","",_xlfn.IFNA(ROUND(INDEX(Spectrum!$N:$N,MATCH(RIGHT($B42,13)&amp;"|"&amp;$C42&amp;"|"&amp;$D42&amp;"|"&amp;AC$14&amp;"|"&amp;"CY2023Q3",Spectrum!$R:$R,0)),0),""))</f>
        <v>1962</v>
      </c>
      <c r="AD42" s="10" t="str">
        <f aca="false">IF(LEFT($B42,4)="_Mil","",_xlfn.IFNA(ROUND(INDEX(Spectrum!$N:$N,MATCH(RIGHT($B42,13)&amp;"|"&amp;$C42&amp;"|"&amp;$D42&amp;"|"&amp;AD$14&amp;"|"&amp;"CY2023Q3",Spectrum!$R:$R,0)),0),""))</f>
        <v/>
      </c>
      <c r="AE42" s="88" t="n">
        <f aca="false">IF(OR(LEFT($B42,4)="_Mil",SUM($Z42)=0),"",SUM($AD42)/$Z42)</f>
        <v>0</v>
      </c>
      <c r="AF42" s="39" t="str">
        <f aca="false">IF(LEFT($B42,4)="_Mil","",_xlfn.IFNA(ROUND(INDEX(Spectrum!$N:$N,MATCH(RIGHT($B42,13)&amp;"|"&amp;$C42&amp;"|"&amp;$D42&amp;"|"&amp;AF$14&amp;"|"&amp;"CY2023Q3",Spectrum!$R:$R,0)),0),""))</f>
        <v/>
      </c>
      <c r="AG42" s="88" t="str">
        <f aca="false">IF(OR(LEFT($B42,4)="_Mil",SUM($AD42)=0),"",SUM($AF42)/$AD42)</f>
        <v/>
      </c>
      <c r="AH42" s="86" t="str">
        <f aca="false">IF(LEFT($B42,4)="_Mil","",_xlfn.IFNA(INDEX(Spectrum!$N:$N,MATCH(RIGHT($B42,13)&amp;"|"&amp;$C42&amp;"|"&amp;$D42&amp;"|"&amp;AH$14&amp;"|"&amp;"CY2023Q3",Spectrum!$R:$R,0)),""))</f>
        <v/>
      </c>
      <c r="AI42" s="10" t="str">
        <f aca="false">IF(LEFT($B42,4)="_Mil","",_xlfn.IFNA(ROUND(INDEX(Spectrum!$N:$N,MATCH(RIGHT($B42,13)&amp;"|"&amp;$C42&amp;"|"&amp;$D42&amp;"|"&amp;AI$14&amp;"|"&amp;"CY2023Q3",Spectrum!$R:$R,0)),0),""))</f>
        <v/>
      </c>
      <c r="AJ42" s="39" t="n">
        <f aca="false">IF(LEFT($B42,4)="_Mil","",_xlfn.IFNA(ROUND(INDEX(Spectrum!$N:$N,MATCH(RIGHT($B42,13)&amp;"|"&amp;$C42&amp;"|"&amp;$D42&amp;"|"&amp;AI$14&amp;"|"&amp;"CY2023Q3",Spectrum!$R:$R,0)),0),SUM($U42)+SUM($AI42)))</f>
        <v>0</v>
      </c>
      <c r="AK42" s="10" t="str">
        <f aca="false">IF(LEFT($B42,4)="_Mil","",_xlfn.IFNA(ROUND(INDEX(Spectrum!$N:$N,MATCH(RIGHT($B42,13)&amp;"|"&amp;$C42&amp;"|"&amp;$D42&amp;"|"&amp;AK$14&amp;"|"&amp;"CY2023Q3",Spectrum!$R:$R,0)),0),""))</f>
        <v/>
      </c>
      <c r="AL42" s="88" t="n">
        <f aca="false">IF(OR(LEFT($B42,4)="_Mil",$C42="&lt;01"),"",MAX(SUM($AA42),90%))</f>
        <v>1974</v>
      </c>
      <c r="AM42" s="10" t="n">
        <f aca="false">IF(OR(LEFT($B42,4)="_Mil",$C42="&lt;01"),"",ROUND(SUM($AJ42)*SUM($AL42),0))</f>
        <v>0</v>
      </c>
      <c r="AN42" s="10" t="str">
        <f aca="false">IF($C42="&lt;01",ROUND(INDEX(EID!$P:$P,MATCH($B42,EID!$B:$B,0))/2,0),"")</f>
        <v/>
      </c>
      <c r="AO42" s="10" t="n">
        <f aca="false">IF($C42="&lt;01",SUM($AN42),ROUND(SUM($AM42)*SUM($O42)/IF(SUM($Z42)=0,1,$Z42),0))</f>
        <v>0</v>
      </c>
      <c r="AP42" s="39" t="n">
        <f aca="false">IF(OR($F42="",$C42="&lt;01"),$AO42,$F42)</f>
        <v>0</v>
      </c>
      <c r="AQ42" s="39" t="n">
        <f aca="false">IF(LEFT($B42,4)="_Mil","",IF(SUM($AP42)=0,SUM($Z42),IF(OR(SUM($Z42)=0,SUM($O42)=0),MAX($AP42,$Z42),$AP42*$Z42/$O42)))</f>
        <v>1805</v>
      </c>
      <c r="AR42" s="88" t="str">
        <f aca="false">IF(OR(LEFT($B42,4)="_Mil",SUM($AJ42)=0),"",SUM($AQ42)/$AJ42)</f>
        <v/>
      </c>
      <c r="AS42" s="88" t="n">
        <f aca="false">IF($C42="&lt;01","",98%)</f>
        <v>0.98</v>
      </c>
      <c r="AT42" s="88" t="n">
        <f aca="false">IF($C42="&lt;01","",98%)</f>
        <v>0.98</v>
      </c>
      <c r="AU42" s="10" t="n">
        <f aca="false">IF($C42="&lt;01","",SUM($AP42)-SUM($O42))</f>
        <v>0</v>
      </c>
      <c r="AV42" s="10" t="n">
        <f aca="false">IF($C42="&lt;01",ROUND(INDEX(EID!$N:$N,MATCH($B42,EID!$B:$B,0))/2,0),IF(SUM($AT42)=0,"",ROUND((SUM($AP42)-(SUM($O42)*SUM($AS42)))/$AT42,0)))</f>
        <v>0</v>
      </c>
      <c r="AW42" s="88" t="n">
        <f aca="false">IF($C42="&lt;01","",100%)</f>
        <v>1</v>
      </c>
      <c r="AX42" s="39" t="n">
        <f aca="false">IF($C42="&lt;01",SUM($AV42),ROUND(SUM($AV42)*SUM($AW42),0))</f>
        <v>0</v>
      </c>
      <c r="AY42" s="114" t="n">
        <f aca="false">IF($C42="&lt;01","",70%)</f>
        <v>0.7</v>
      </c>
      <c r="AZ42" s="91" t="n">
        <f aca="false">IF($C42="&lt;01",ROUND(INDEX(EID!$R:$R,MATCH($B42,EID!$B:$B,0))/2,0),ROUND(SUM($O42)+(SUM($AV42)*$AY42),0))</f>
        <v>0</v>
      </c>
      <c r="BA42" s="87" t="n">
        <f aca="false">IF($C42="&lt;01","",95%)</f>
        <v>0.95</v>
      </c>
      <c r="BB42" s="5" t="n">
        <f aca="false">IF($C42="&lt;01",ROUND(INDEX(EID!$T:$T,MATCH($B42,EID!$B:$B,0))/2,0),ROUND($AZ42*$BA42,0))</f>
        <v>0</v>
      </c>
      <c r="BC42" s="91" t="n">
        <f aca="false">IF(LEFT($B42,4)="_Mil","",IF(SUM($BB42)=0,SUM($AD42),IF(OR(SUM($AP42)=0,SUM($AQ42)=0),MAX($BB42,$AD42),ROUND($BB42*$AQ42/$AP42,0))))</f>
        <v>0</v>
      </c>
      <c r="BD42" s="88" t="n">
        <f aca="false">IF($C42="&lt;01","",95%)</f>
        <v>0.95</v>
      </c>
      <c r="BE42" s="39" t="n">
        <f aca="false">IF($C42="&lt;01",ROUND(INDEX(EID!$V:$V,MATCH($B42,EID!$B:$B,0))/2,0),ROUND($BD42*$BB42,0))</f>
        <v>0</v>
      </c>
      <c r="BF42" s="39" t="n">
        <f aca="false">IF(LEFT($B42,4)="_Mil","",IF(SUM($BE42)=0,SUM($AF42),IF(OR(SUM($AP42)=0,SUM($AQ42)=0),MAX($BE42,$AF42),ROUND($BE42*$AQ42/$AP42,0))))</f>
        <v>0</v>
      </c>
      <c r="BG42" s="114" t="n">
        <f aca="false">IF($C42="&lt;01","",95%)</f>
        <v>0.95</v>
      </c>
      <c r="BH42" s="5" t="n">
        <f aca="false">IF($C42="&lt;01",ROUND(INDEX(EID!$L:$L,MATCH($B42,EID!$B:$B,0)),0)/2,IF(SUM($BG42)=0,"",ROUND($AX42/$BG42,0)))</f>
        <v>0</v>
      </c>
    </row>
    <row r="43" customFormat="false" ht="15" hidden="false" customHeight="false" outlineLevel="0" collapsed="false">
      <c r="A43" s="0" t="str">
        <f aca="false">INDEX(Prioritization!$D:$D,MATCH($B43,Prioritization!$A:$A,0))</f>
        <v>1 - Scale-up: Saturation</v>
      </c>
      <c r="B43" s="0" t="s">
        <v>196</v>
      </c>
      <c r="C43" s="0" t="s">
        <v>316</v>
      </c>
      <c r="D43" s="0" t="s">
        <v>30</v>
      </c>
      <c r="E43" s="0" t="str">
        <f aca="false">$B43&amp;"|"&amp;$C43&amp;"|"&amp;$D43</f>
        <v>Dowa District [zphK9WV8JB4]|&lt;01|Female</v>
      </c>
      <c r="F43" s="10"/>
      <c r="G43" s="10" t="n">
        <v>8</v>
      </c>
      <c r="H43" s="10" t="n">
        <v>1</v>
      </c>
      <c r="I43" s="10" t="n">
        <v>0</v>
      </c>
      <c r="J43" s="10" t="n">
        <v>2</v>
      </c>
      <c r="K43" s="10" t="n">
        <v>6</v>
      </c>
      <c r="L43" s="10"/>
      <c r="M43" s="10" t="n">
        <v>1</v>
      </c>
      <c r="N43" s="10" t="n">
        <v>0</v>
      </c>
      <c r="O43" s="10" t="str">
        <f aca="false">IFERROR(1/(1/MAX($I43,$N43)),"")</f>
        <v/>
      </c>
      <c r="P43" s="10" t="n">
        <v>1</v>
      </c>
      <c r="Q43" s="10" t="n">
        <v>0</v>
      </c>
      <c r="R43" s="10" t="str">
        <f aca="false">IF(AND(SUM($I43)=0,SUM($O43)=0),"",SUM($O43)-$I43)</f>
        <v/>
      </c>
      <c r="S43" s="10" t="n">
        <f aca="false">IF(LEFT($B43,4)="_Mil","",_xlfn.IFNA(ROUND(INDEX(Spectrum!$N:$N,MATCH(RIGHT($B43,13)&amp;"|"&amp;$C43&amp;"|"&amp;$D43&amp;"|"&amp;S$14&amp;"|"&amp;"CY2022Q4",Spectrum!$R:$R,0)),0),""))</f>
        <v>518</v>
      </c>
      <c r="T43" s="39" t="n">
        <f aca="false">IF(LEFT($B43,4)="_Mil","",_xlfn.IFNA(ROUND(INDEX(Spectrum!$N:$N,MATCH(RIGHT($B43,13)&amp;"|"&amp;$C43&amp;"|"&amp;$D43&amp;"|"&amp;T$14&amp;"|"&amp;"CY2023Q3",Spectrum!$R:$R,0)),0),""))</f>
        <v>1295</v>
      </c>
      <c r="U43" s="39" t="str">
        <f aca="false">IF(LEFT($B43,4)="_Mil","",_xlfn.IFNA(ROUND(INDEX(Spectrum!$N:$N,MATCH(RIGHT($B43,13)&amp;"|"&amp;$C43&amp;"|"&amp;$D43&amp;"|"&amp;U$14&amp;"|"&amp;"CY2023Q3",Spectrum!$R:$R,0)),0),""))</f>
        <v/>
      </c>
      <c r="V43" s="10" t="n">
        <f aca="false">IF(LEFT($B43,4)="_Mil","",_xlfn.IFNA(ROUND(INDEX(Spectrum!$N:$N,MATCH(RIGHT($B43,13)&amp;"|"&amp;$C43&amp;"|"&amp;$D43&amp;"|"&amp;V$14&amp;"|"&amp;"CY2023Q3",Spectrum!$R:$R,0)),0),""))</f>
        <v>840</v>
      </c>
      <c r="W43" s="113" t="n">
        <f aca="false">IF(LEFT($B43,4)="_Mil","",_xlfn.IFNA(INDEX(Spectrum!$N:$N,MATCH(RIGHT($B43,13)&amp;"|"&amp;$C43&amp;"|"&amp;$D43&amp;"|"&amp;W$14&amp;"|"&amp;"CY2023Q3",Spectrum!$R:$R,0)),""))</f>
        <v>1657</v>
      </c>
      <c r="X43" s="39" t="n">
        <f aca="false">IF(LEFT($B43,4)="_Mil","",_xlfn.IFNA(ROUND(INDEX(Spectrum!$N:$N,MATCH(RIGHT($B43,13)&amp;"|"&amp;$C43&amp;"|"&amp;$D43&amp;"|"&amp;X$14&amp;"|"&amp;"CY2023Q3",Spectrum!$R:$R,0)),0),""))</f>
        <v>1121</v>
      </c>
      <c r="Y43" s="88" t="str">
        <f aca="false">IF(OR(SUM($U43)=0,LEFT($B43,4)="_Mil"),"",SUM($X43)/$U43)</f>
        <v/>
      </c>
      <c r="Z43" s="39" t="n">
        <f aca="false">IF(LEFT($B43,4)="_Mil","",_xlfn.IFNA(ROUND(INDEX(Spectrum!$N:$N,MATCH(RIGHT($B43,13)&amp;"|"&amp;$C43&amp;"|"&amp;$D43&amp;"|"&amp;Z$14&amp;"|"&amp;"CY2023Q3",Spectrum!$R:$R,0)),0),""))</f>
        <v>1798</v>
      </c>
      <c r="AA43" s="88" t="n">
        <f aca="false">IF(LEFT($B43,4)="_Mil","",IFERROR(1/(1/INDEX(Spectrum!$N:$N,MATCH(RIGHT($B43,13)&amp;"|"&amp;$C43&amp;"|"&amp;$D43&amp;"|"&amp;AA$14&amp;"|"&amp;"CY2023Q3",Spectrum!$R:$R,0))),IF(SUM($U43)=0,"",SUM($Z43)/$U43)))</f>
        <v>1798</v>
      </c>
      <c r="AB43" s="88" t="n">
        <f aca="false">IF(OR(LEFT($B43,4)="_Mil",SUM($X43)=0),"",SUM($Z43)/$X43)</f>
        <v>1.60392506690455</v>
      </c>
      <c r="AC43" s="10" t="n">
        <f aca="false">IF(LEFT($B43,4)="_Mil","",_xlfn.IFNA(ROUND(INDEX(Spectrum!$N:$N,MATCH(RIGHT($B43,13)&amp;"|"&amp;$C43&amp;"|"&amp;$D43&amp;"|"&amp;AC$14&amp;"|"&amp;"CY2023Q3",Spectrum!$R:$R,0)),0),""))</f>
        <v>590</v>
      </c>
      <c r="AD43" s="10" t="str">
        <f aca="false">IF(LEFT($B43,4)="_Mil","",_xlfn.IFNA(ROUND(INDEX(Spectrum!$N:$N,MATCH(RIGHT($B43,13)&amp;"|"&amp;$C43&amp;"|"&amp;$D43&amp;"|"&amp;AD$14&amp;"|"&amp;"CY2023Q3",Spectrum!$R:$R,0)),0),""))</f>
        <v/>
      </c>
      <c r="AE43" s="88" t="n">
        <f aca="false">IF(OR(LEFT($B43,4)="_Mil",SUM($Z43)=0),"",SUM($AD43)/$Z43)</f>
        <v>0</v>
      </c>
      <c r="AF43" s="39" t="str">
        <f aca="false">IF(LEFT($B43,4)="_Mil","",_xlfn.IFNA(ROUND(INDEX(Spectrum!$N:$N,MATCH(RIGHT($B43,13)&amp;"|"&amp;$C43&amp;"|"&amp;$D43&amp;"|"&amp;AF$14&amp;"|"&amp;"CY2023Q3",Spectrum!$R:$R,0)),0),""))</f>
        <v/>
      </c>
      <c r="AG43" s="88" t="str">
        <f aca="false">IF(OR(LEFT($B43,4)="_Mil",SUM($AD43)=0),"",SUM($AF43)/$AD43)</f>
        <v/>
      </c>
      <c r="AH43" s="86" t="str">
        <f aca="false">IF(LEFT($B43,4)="_Mil","",_xlfn.IFNA(INDEX(Spectrum!$N:$N,MATCH(RIGHT($B43,13)&amp;"|"&amp;$C43&amp;"|"&amp;$D43&amp;"|"&amp;AH$14&amp;"|"&amp;"CY2023Q3",Spectrum!$R:$R,0)),""))</f>
        <v/>
      </c>
      <c r="AI43" s="10" t="str">
        <f aca="false">IF(LEFT($B43,4)="_Mil","",_xlfn.IFNA(ROUND(INDEX(Spectrum!$N:$N,MATCH(RIGHT($B43,13)&amp;"|"&amp;$C43&amp;"|"&amp;$D43&amp;"|"&amp;AI$14&amp;"|"&amp;"CY2023Q3",Spectrum!$R:$R,0)),0),""))</f>
        <v/>
      </c>
      <c r="AJ43" s="39" t="n">
        <f aca="false">IF(LEFT($B43,4)="_Mil","",_xlfn.IFNA(ROUND(INDEX(Spectrum!$N:$N,MATCH(RIGHT($B43,13)&amp;"|"&amp;$C43&amp;"|"&amp;$D43&amp;"|"&amp;AI$14&amp;"|"&amp;"CY2023Q3",Spectrum!$R:$R,0)),0),SUM($U43)+SUM($AI43)))</f>
        <v>0</v>
      </c>
      <c r="AK43" s="10" t="str">
        <f aca="false">IF(LEFT($B43,4)="_Mil","",_xlfn.IFNA(ROUND(INDEX(Spectrum!$N:$N,MATCH(RIGHT($B43,13)&amp;"|"&amp;$C43&amp;"|"&amp;$D43&amp;"|"&amp;AK$14&amp;"|"&amp;"CY2023Q3",Spectrum!$R:$R,0)),0),""))</f>
        <v/>
      </c>
      <c r="AL43" s="88" t="str">
        <f aca="false">IF(OR(LEFT($B43,4)="_Mil",$C43="&lt;01"),"",MAX(SUM($AA43),90%))</f>
        <v/>
      </c>
      <c r="AM43" s="10" t="str">
        <f aca="false">IF(OR(LEFT($B43,4)="_Mil",$C43="&lt;01"),"",ROUND(SUM($AJ43)*SUM($AL43),0))</f>
        <v/>
      </c>
      <c r="AN43" s="10" t="n">
        <f aca="false">IF($C43="&lt;01",ROUND(INDEX(EID!$P:$P,MATCH($B43,EID!$B:$B,0))/2,0),"")</f>
        <v>0</v>
      </c>
      <c r="AO43" s="10" t="n">
        <f aca="false">IF($C43="&lt;01",SUM($AN43),ROUND(SUM($AM43)*SUM($O43)/IF(SUM($Z43)=0,1,$Z43),0))</f>
        <v>0</v>
      </c>
      <c r="AP43" s="39" t="n">
        <f aca="false">IF(OR($F43="",$C43="&lt;01"),$AO43,$F43)</f>
        <v>0</v>
      </c>
      <c r="AQ43" s="39" t="n">
        <f aca="false">IF(LEFT($B43,4)="_Mil","",IF(SUM($AP43)=0,SUM($Z43),IF(OR(SUM($Z43)=0,SUM($O43)=0),MAX($AP43,$Z43),$AP43*$Z43/$O43)))</f>
        <v>1798</v>
      </c>
      <c r="AR43" s="88" t="str">
        <f aca="false">IF(OR(LEFT($B43,4)="_Mil",SUM($AJ43)=0),"",SUM($AQ43)/$AJ43)</f>
        <v/>
      </c>
      <c r="AS43" s="88" t="str">
        <f aca="false">IF($C43="&lt;01","",98%)</f>
        <v/>
      </c>
      <c r="AT43" s="88" t="str">
        <f aca="false">IF($C43="&lt;01","",98%)</f>
        <v/>
      </c>
      <c r="AU43" s="10" t="str">
        <f aca="false">IF($C43="&lt;01","",SUM($AP43)-SUM($O43))</f>
        <v/>
      </c>
      <c r="AV43" s="10" t="n">
        <f aca="false">IF($C43="&lt;01",ROUND(INDEX(EID!$N:$N,MATCH($B43,EID!$B:$B,0))/2,0),IF(SUM($AT43)=0,"",ROUND((SUM($AP43)-(SUM($O43)*SUM($AS43)))/$AT43,0)))</f>
        <v>0</v>
      </c>
      <c r="AW43" s="88" t="str">
        <f aca="false">IF($C43="&lt;01","",100%)</f>
        <v/>
      </c>
      <c r="AX43" s="39" t="n">
        <f aca="false">IF($C43="&lt;01",SUM($AV43),ROUND(SUM($AV43)*SUM($AW43),0))</f>
        <v>0</v>
      </c>
      <c r="AY43" s="114" t="str">
        <f aca="false">IF($C43="&lt;01","",70%)</f>
        <v/>
      </c>
      <c r="AZ43" s="91" t="n">
        <f aca="false">IF($C43="&lt;01",ROUND(INDEX(EID!$R:$R,MATCH($B43,EID!$B:$B,0))/2,0),ROUND(SUM($O43)+(SUM($AV43)*$AY43),0))</f>
        <v>0</v>
      </c>
      <c r="BA43" s="87" t="str">
        <f aca="false">IF($C43="&lt;01","",95%)</f>
        <v/>
      </c>
      <c r="BB43" s="5" t="n">
        <f aca="false">IF($C43="&lt;01",ROUND(INDEX(EID!$T:$T,MATCH($B43,EID!$B:$B,0))/2,0),ROUND($AZ43*$BA43,0))</f>
        <v>0</v>
      </c>
      <c r="BC43" s="91" t="n">
        <f aca="false">IF(LEFT($B43,4)="_Mil","",IF(SUM($BB43)=0,SUM($AD43),IF(OR(SUM($AP43)=0,SUM($AQ43)=0),MAX($BB43,$AD43),ROUND($BB43*$AQ43/$AP43,0))))</f>
        <v>0</v>
      </c>
      <c r="BD43" s="88" t="str">
        <f aca="false">IF($C43="&lt;01","",95%)</f>
        <v/>
      </c>
      <c r="BE43" s="39" t="n">
        <f aca="false">IF($C43="&lt;01",ROUND(INDEX(EID!$V:$V,MATCH($B43,EID!$B:$B,0))/2,0),ROUND($BD43*$BB43,0))</f>
        <v>0</v>
      </c>
      <c r="BF43" s="39" t="n">
        <f aca="false">IF(LEFT($B43,4)="_Mil","",IF(SUM($BE43)=0,SUM($AF43),IF(OR(SUM($AP43)=0,SUM($AQ43)=0),MAX($BE43,$AF43),ROUND($BE43*$AQ43/$AP43,0))))</f>
        <v>0</v>
      </c>
      <c r="BG43" s="114" t="str">
        <f aca="false">IF($C43="&lt;01","",95%)</f>
        <v/>
      </c>
      <c r="BH43" s="5" t="n">
        <f aca="false">IF($C43="&lt;01",ROUND(INDEX(EID!$L:$L,MATCH($B43,EID!$B:$B,0)),0)/2,IF(SUM($BG43)=0,"",ROUND($AX43/$BG43,0)))</f>
        <v>0</v>
      </c>
    </row>
    <row r="44" customFormat="false" ht="15" hidden="false" customHeight="false" outlineLevel="0" collapsed="false">
      <c r="A44" s="0" t="str">
        <f aca="false">INDEX(Prioritization!$D:$D,MATCH($B44,Prioritization!$A:$A,0))</f>
        <v>1 - Scale-up: Saturation</v>
      </c>
      <c r="B44" s="0" t="s">
        <v>196</v>
      </c>
      <c r="C44" s="0" t="s">
        <v>316</v>
      </c>
      <c r="D44" s="0" t="s">
        <v>48</v>
      </c>
      <c r="E44" s="0" t="str">
        <f aca="false">$B44&amp;"|"&amp;$C44&amp;"|"&amp;$D44</f>
        <v>Dowa District [zphK9WV8JB4]|&lt;01|Male</v>
      </c>
      <c r="F44" s="10"/>
      <c r="G44" s="10" t="n">
        <v>2</v>
      </c>
      <c r="H44" s="10" t="n">
        <v>0</v>
      </c>
      <c r="I44" s="10" t="n">
        <v>0</v>
      </c>
      <c r="J44" s="10" t="n">
        <v>9</v>
      </c>
      <c r="K44" s="10" t="n">
        <v>8</v>
      </c>
      <c r="L44" s="10"/>
      <c r="M44" s="10" t="n">
        <v>1</v>
      </c>
      <c r="N44" s="10" t="n">
        <v>1</v>
      </c>
      <c r="O44" s="10" t="n">
        <f aca="false">IFERROR(1/(1/MAX($I44,$N44)),"")</f>
        <v>1</v>
      </c>
      <c r="P44" s="10" t="n">
        <v>1</v>
      </c>
      <c r="Q44" s="10" t="n">
        <v>1</v>
      </c>
      <c r="R44" s="10" t="n">
        <f aca="false">IF(AND(SUM($I44)=0,SUM($O44)=0),"",SUM($O44)-$I44)</f>
        <v>1</v>
      </c>
      <c r="S44" s="10" t="n">
        <f aca="false">IF(LEFT($B44,4)="_Mil","",_xlfn.IFNA(ROUND(INDEX(Spectrum!$N:$N,MATCH(RIGHT($B44,13)&amp;"|"&amp;$C44&amp;"|"&amp;$D44&amp;"|"&amp;S$14&amp;"|"&amp;"CY2022Q4",Spectrum!$R:$R,0)),0),""))</f>
        <v>1979</v>
      </c>
      <c r="T44" s="39" t="n">
        <f aca="false">IF(LEFT($B44,4)="_Mil","",_xlfn.IFNA(ROUND(INDEX(Spectrum!$N:$N,MATCH(RIGHT($B44,13)&amp;"|"&amp;$C44&amp;"|"&amp;$D44&amp;"|"&amp;T$14&amp;"|"&amp;"CY2023Q3",Spectrum!$R:$R,0)),0),""))</f>
        <v>1937</v>
      </c>
      <c r="U44" s="39" t="str">
        <f aca="false">IF(LEFT($B44,4)="_Mil","",_xlfn.IFNA(ROUND(INDEX(Spectrum!$N:$N,MATCH(RIGHT($B44,13)&amp;"|"&amp;$C44&amp;"|"&amp;$D44&amp;"|"&amp;U$14&amp;"|"&amp;"CY2023Q3",Spectrum!$R:$R,0)),0),""))</f>
        <v/>
      </c>
      <c r="V44" s="10" t="n">
        <f aca="false">IF(LEFT($B44,4)="_Mil","",_xlfn.IFNA(ROUND(INDEX(Spectrum!$N:$N,MATCH(RIGHT($B44,13)&amp;"|"&amp;$C44&amp;"|"&amp;$D44&amp;"|"&amp;V$14&amp;"|"&amp;"CY2023Q3",Spectrum!$R:$R,0)),0),""))</f>
        <v>616</v>
      </c>
      <c r="W44" s="113" t="n">
        <f aca="false">IF(LEFT($B44,4)="_Mil","",_xlfn.IFNA(INDEX(Spectrum!$N:$N,MATCH(RIGHT($B44,13)&amp;"|"&amp;$C44&amp;"|"&amp;$D44&amp;"|"&amp;W$14&amp;"|"&amp;"CY2023Q3",Spectrum!$R:$R,0)),""))</f>
        <v>1982</v>
      </c>
      <c r="X44" s="39" t="n">
        <f aca="false">IF(LEFT($B44,4)="_Mil","",_xlfn.IFNA(ROUND(INDEX(Spectrum!$N:$N,MATCH(RIGHT($B44,13)&amp;"|"&amp;$C44&amp;"|"&amp;$D44&amp;"|"&amp;X$14&amp;"|"&amp;"CY2023Q3",Spectrum!$R:$R,0)),0),""))</f>
        <v>1295</v>
      </c>
      <c r="Y44" s="88" t="str">
        <f aca="false">IF(OR(SUM($U44)=0,LEFT($B44,4)="_Mil"),"",SUM($X44)/$U44)</f>
        <v/>
      </c>
      <c r="Z44" s="39" t="n">
        <f aca="false">IF(LEFT($B44,4)="_Mil","",_xlfn.IFNA(ROUND(INDEX(Spectrum!$N:$N,MATCH(RIGHT($B44,13)&amp;"|"&amp;$C44&amp;"|"&amp;$D44&amp;"|"&amp;Z$14&amp;"|"&amp;"CY2023Q3",Spectrum!$R:$R,0)),0),""))</f>
        <v>1290</v>
      </c>
      <c r="AA44" s="88" t="n">
        <f aca="false">IF(LEFT($B44,4)="_Mil","",IFERROR(1/(1/INDEX(Spectrum!$N:$N,MATCH(RIGHT($B44,13)&amp;"|"&amp;$C44&amp;"|"&amp;$D44&amp;"|"&amp;AA$14&amp;"|"&amp;"CY2023Q3",Spectrum!$R:$R,0))),IF(SUM($U44)=0,"",SUM($Z44)/$U44)))</f>
        <v>1907</v>
      </c>
      <c r="AB44" s="88" t="n">
        <f aca="false">IF(OR(LEFT($B44,4)="_Mil",SUM($X44)=0),"",SUM($Z44)/$X44)</f>
        <v>0.996138996138996</v>
      </c>
      <c r="AC44" s="10" t="n">
        <f aca="false">IF(LEFT($B44,4)="_Mil","",_xlfn.IFNA(ROUND(INDEX(Spectrum!$N:$N,MATCH(RIGHT($B44,13)&amp;"|"&amp;$C44&amp;"|"&amp;$D44&amp;"|"&amp;AC$14&amp;"|"&amp;"CY2023Q3",Spectrum!$R:$R,0)),0),""))</f>
        <v>1852</v>
      </c>
      <c r="AD44" s="10" t="str">
        <f aca="false">IF(LEFT($B44,4)="_Mil","",_xlfn.IFNA(ROUND(INDEX(Spectrum!$N:$N,MATCH(RIGHT($B44,13)&amp;"|"&amp;$C44&amp;"|"&amp;$D44&amp;"|"&amp;AD$14&amp;"|"&amp;"CY2023Q3",Spectrum!$R:$R,0)),0),""))</f>
        <v/>
      </c>
      <c r="AE44" s="88" t="n">
        <f aca="false">IF(OR(LEFT($B44,4)="_Mil",SUM($Z44)=0),"",SUM($AD44)/$Z44)</f>
        <v>0</v>
      </c>
      <c r="AF44" s="39" t="str">
        <f aca="false">IF(LEFT($B44,4)="_Mil","",_xlfn.IFNA(ROUND(INDEX(Spectrum!$N:$N,MATCH(RIGHT($B44,13)&amp;"|"&amp;$C44&amp;"|"&amp;$D44&amp;"|"&amp;AF$14&amp;"|"&amp;"CY2023Q3",Spectrum!$R:$R,0)),0),""))</f>
        <v/>
      </c>
      <c r="AG44" s="88" t="str">
        <f aca="false">IF(OR(LEFT($B44,4)="_Mil",SUM($AD44)=0),"",SUM($AF44)/$AD44)</f>
        <v/>
      </c>
      <c r="AH44" s="86" t="str">
        <f aca="false">IF(LEFT($B44,4)="_Mil","",_xlfn.IFNA(INDEX(Spectrum!$N:$N,MATCH(RIGHT($B44,13)&amp;"|"&amp;$C44&amp;"|"&amp;$D44&amp;"|"&amp;AH$14&amp;"|"&amp;"CY2023Q3",Spectrum!$R:$R,0)),""))</f>
        <v/>
      </c>
      <c r="AI44" s="10" t="str">
        <f aca="false">IF(LEFT($B44,4)="_Mil","",_xlfn.IFNA(ROUND(INDEX(Spectrum!$N:$N,MATCH(RIGHT($B44,13)&amp;"|"&amp;$C44&amp;"|"&amp;$D44&amp;"|"&amp;AI$14&amp;"|"&amp;"CY2023Q3",Spectrum!$R:$R,0)),0),""))</f>
        <v/>
      </c>
      <c r="AJ44" s="39" t="n">
        <f aca="false">IF(LEFT($B44,4)="_Mil","",_xlfn.IFNA(ROUND(INDEX(Spectrum!$N:$N,MATCH(RIGHT($B44,13)&amp;"|"&amp;$C44&amp;"|"&amp;$D44&amp;"|"&amp;AI$14&amp;"|"&amp;"CY2023Q3",Spectrum!$R:$R,0)),0),SUM($U44)+SUM($AI44)))</f>
        <v>0</v>
      </c>
      <c r="AK44" s="10" t="str">
        <f aca="false">IF(LEFT($B44,4)="_Mil","",_xlfn.IFNA(ROUND(INDEX(Spectrum!$N:$N,MATCH(RIGHT($B44,13)&amp;"|"&amp;$C44&amp;"|"&amp;$D44&amp;"|"&amp;AK$14&amp;"|"&amp;"CY2023Q3",Spectrum!$R:$R,0)),0),""))</f>
        <v/>
      </c>
      <c r="AL44" s="88" t="str">
        <f aca="false">IF(OR(LEFT($B44,4)="_Mil",$C44="&lt;01"),"",MAX(SUM($AA44),90%))</f>
        <v/>
      </c>
      <c r="AM44" s="10" t="str">
        <f aca="false">IF(OR(LEFT($B44,4)="_Mil",$C44="&lt;01"),"",ROUND(SUM($AJ44)*SUM($AL44),0))</f>
        <v/>
      </c>
      <c r="AN44" s="10" t="n">
        <f aca="false">IF($C44="&lt;01",ROUND(INDEX(EID!$P:$P,MATCH($B44,EID!$B:$B,0))/2,0),"")</f>
        <v>0</v>
      </c>
      <c r="AO44" s="10" t="n">
        <f aca="false">IF($C44="&lt;01",SUM($AN44),ROUND(SUM($AM44)*SUM($O44)/IF(SUM($Z44)=0,1,$Z44),0))</f>
        <v>0</v>
      </c>
      <c r="AP44" s="39" t="n">
        <f aca="false">IF(OR($F44="",$C44="&lt;01"),$AO44,$F44)</f>
        <v>0</v>
      </c>
      <c r="AQ44" s="39" t="n">
        <f aca="false">IF(LEFT($B44,4)="_Mil","",IF(SUM($AP44)=0,SUM($Z44),IF(OR(SUM($Z44)=0,SUM($O44)=0),MAX($AP44,$Z44),$AP44*$Z44/$O44)))</f>
        <v>1290</v>
      </c>
      <c r="AR44" s="88" t="str">
        <f aca="false">IF(OR(LEFT($B44,4)="_Mil",SUM($AJ44)=0),"",SUM($AQ44)/$AJ44)</f>
        <v/>
      </c>
      <c r="AS44" s="88" t="str">
        <f aca="false">IF($C44="&lt;01","",98%)</f>
        <v/>
      </c>
      <c r="AT44" s="88" t="str">
        <f aca="false">IF($C44="&lt;01","",98%)</f>
        <v/>
      </c>
      <c r="AU44" s="10" t="str">
        <f aca="false">IF($C44="&lt;01","",SUM($AP44)-SUM($O44))</f>
        <v/>
      </c>
      <c r="AV44" s="10" t="n">
        <f aca="false">IF($C44="&lt;01",ROUND(INDEX(EID!$N:$N,MATCH($B44,EID!$B:$B,0))/2,0),IF(SUM($AT44)=0,"",ROUND((SUM($AP44)-(SUM($O44)*SUM($AS44)))/$AT44,0)))</f>
        <v>0</v>
      </c>
      <c r="AW44" s="88" t="str">
        <f aca="false">IF($C44="&lt;01","",100%)</f>
        <v/>
      </c>
      <c r="AX44" s="39" t="n">
        <f aca="false">IF($C44="&lt;01",SUM($AV44),ROUND(SUM($AV44)*SUM($AW44),0))</f>
        <v>0</v>
      </c>
      <c r="AY44" s="114" t="str">
        <f aca="false">IF($C44="&lt;01","",70%)</f>
        <v/>
      </c>
      <c r="AZ44" s="91" t="n">
        <f aca="false">IF($C44="&lt;01",ROUND(INDEX(EID!$R:$R,MATCH($B44,EID!$B:$B,0))/2,0),ROUND(SUM($O44)+(SUM($AV44)*$AY44),0))</f>
        <v>0</v>
      </c>
      <c r="BA44" s="87" t="str">
        <f aca="false">IF($C44="&lt;01","",95%)</f>
        <v/>
      </c>
      <c r="BB44" s="5" t="n">
        <f aca="false">IF($C44="&lt;01",ROUND(INDEX(EID!$T:$T,MATCH($B44,EID!$B:$B,0))/2,0),ROUND($AZ44*$BA44,0))</f>
        <v>0</v>
      </c>
      <c r="BC44" s="91" t="n">
        <f aca="false">IF(LEFT($B44,4)="_Mil","",IF(SUM($BB44)=0,SUM($AD44),IF(OR(SUM($AP44)=0,SUM($AQ44)=0),MAX($BB44,$AD44),ROUND($BB44*$AQ44/$AP44,0))))</f>
        <v>0</v>
      </c>
      <c r="BD44" s="88" t="str">
        <f aca="false">IF($C44="&lt;01","",95%)</f>
        <v/>
      </c>
      <c r="BE44" s="39" t="n">
        <f aca="false">IF($C44="&lt;01",ROUND(INDEX(EID!$V:$V,MATCH($B44,EID!$B:$B,0))/2,0),ROUND($BD44*$BB44,0))</f>
        <v>0</v>
      </c>
      <c r="BF44" s="39" t="n">
        <f aca="false">IF(LEFT($B44,4)="_Mil","",IF(SUM($BE44)=0,SUM($AF44),IF(OR(SUM($AP44)=0,SUM($AQ44)=0),MAX($BE44,$AF44),ROUND($BE44*$AQ44/$AP44,0))))</f>
        <v>0</v>
      </c>
      <c r="BG44" s="114" t="str">
        <f aca="false">IF($C44="&lt;01","",95%)</f>
        <v/>
      </c>
      <c r="BH44" s="5" t="n">
        <f aca="false">IF($C44="&lt;01",ROUND(INDEX(EID!$L:$L,MATCH($B44,EID!$B:$B,0)),0)/2,IF(SUM($BG44)=0,"",ROUND($AX44/$BG44,0)))</f>
        <v>0</v>
      </c>
    </row>
    <row r="45" customFormat="false" ht="15" hidden="false" customHeight="false" outlineLevel="0" collapsed="false">
      <c r="A45" s="0" t="str">
        <f aca="false">INDEX(Prioritization!$D:$D,MATCH($B45,Prioritization!$A:$A,0))</f>
        <v>1 - Scale-up: Saturation</v>
      </c>
      <c r="B45" s="0" t="s">
        <v>196</v>
      </c>
      <c r="C45" s="0" t="s">
        <v>363</v>
      </c>
      <c r="D45" s="0" t="s">
        <v>30</v>
      </c>
      <c r="E45" s="0" t="str">
        <f aca="false">$B45&amp;"|"&amp;$C45&amp;"|"&amp;$D45</f>
        <v>Dowa District [zphK9WV8JB4]|01-09|Female</v>
      </c>
      <c r="F45" s="10"/>
      <c r="G45" s="10"/>
      <c r="H45" s="10"/>
      <c r="I45" s="10"/>
      <c r="J45" s="10"/>
      <c r="K45" s="10"/>
      <c r="L45" s="10"/>
      <c r="M45" s="10"/>
      <c r="N45" s="10"/>
      <c r="O45" s="10" t="str">
        <f aca="false">IFERROR(1/(1/MAX($I45,$N45)),"")</f>
        <v/>
      </c>
      <c r="P45" s="10"/>
      <c r="Q45" s="10"/>
      <c r="R45" s="10" t="str">
        <f aca="false">IF(AND(SUM($I45)=0,SUM($O45)=0),"",SUM($O45)-$I45)</f>
        <v/>
      </c>
      <c r="S45" s="10" t="n">
        <f aca="false">IF(LEFT($B45,4)="_Mil","",_xlfn.IFNA(ROUND(INDEX(Spectrum!$N:$N,MATCH(RIGHT($B45,13)&amp;"|"&amp;$C45&amp;"|"&amp;$D45&amp;"|"&amp;S$14&amp;"|"&amp;"CY2022Q4",Spectrum!$R:$R,0)),0),""))</f>
        <v>1062</v>
      </c>
      <c r="T45" s="39" t="n">
        <f aca="false">IF(LEFT($B45,4)="_Mil","",_xlfn.IFNA(ROUND(INDEX(Spectrum!$N:$N,MATCH(RIGHT($B45,13)&amp;"|"&amp;$C45&amp;"|"&amp;$D45&amp;"|"&amp;T$14&amp;"|"&amp;"CY2023Q3",Spectrum!$R:$R,0)),0),""))</f>
        <v>908</v>
      </c>
      <c r="U45" s="39" t="str">
        <f aca="false">IF(LEFT($B45,4)="_Mil","",_xlfn.IFNA(ROUND(INDEX(Spectrum!$N:$N,MATCH(RIGHT($B45,13)&amp;"|"&amp;$C45&amp;"|"&amp;$D45&amp;"|"&amp;U$14&amp;"|"&amp;"CY2023Q3",Spectrum!$R:$R,0)),0),""))</f>
        <v/>
      </c>
      <c r="V45" s="10" t="n">
        <f aca="false">IF(LEFT($B45,4)="_Mil","",_xlfn.IFNA(ROUND(INDEX(Spectrum!$N:$N,MATCH(RIGHT($B45,13)&amp;"|"&amp;$C45&amp;"|"&amp;$D45&amp;"|"&amp;V$14&amp;"|"&amp;"CY2023Q3",Spectrum!$R:$R,0)),0),""))</f>
        <v>1760</v>
      </c>
      <c r="W45" s="113" t="n">
        <f aca="false">IF(LEFT($B45,4)="_Mil","",_xlfn.IFNA(INDEX(Spectrum!$N:$N,MATCH(RIGHT($B45,13)&amp;"|"&amp;$C45&amp;"|"&amp;$D45&amp;"|"&amp;W$14&amp;"|"&amp;"CY2023Q3",Spectrum!$R:$R,0)),""))</f>
        <v>1967</v>
      </c>
      <c r="X45" s="39" t="n">
        <f aca="false">IF(LEFT($B45,4)="_Mil","",_xlfn.IFNA(ROUND(INDEX(Spectrum!$N:$N,MATCH(RIGHT($B45,13)&amp;"|"&amp;$C45&amp;"|"&amp;$D45&amp;"|"&amp;X$14&amp;"|"&amp;"CY2023Q3",Spectrum!$R:$R,0)),0),""))</f>
        <v>583</v>
      </c>
      <c r="Y45" s="88" t="str">
        <f aca="false">IF(OR(SUM($U45)=0,LEFT($B45,4)="_Mil"),"",SUM($X45)/$U45)</f>
        <v/>
      </c>
      <c r="Z45" s="39" t="n">
        <f aca="false">IF(LEFT($B45,4)="_Mil","",_xlfn.IFNA(ROUND(INDEX(Spectrum!$N:$N,MATCH(RIGHT($B45,13)&amp;"|"&amp;$C45&amp;"|"&amp;$D45&amp;"|"&amp;Z$14&amp;"|"&amp;"CY2023Q3",Spectrum!$R:$R,0)),0),""))</f>
        <v>1031</v>
      </c>
      <c r="AA45" s="88" t="n">
        <f aca="false">IF(LEFT($B45,4)="_Mil","",IFERROR(1/(1/INDEX(Spectrum!$N:$N,MATCH(RIGHT($B45,13)&amp;"|"&amp;$C45&amp;"|"&amp;$D45&amp;"|"&amp;AA$14&amp;"|"&amp;"CY2023Q3",Spectrum!$R:$R,0))),IF(SUM($U45)=0,"",SUM($Z45)/$U45)))</f>
        <v>1089</v>
      </c>
      <c r="AB45" s="88" t="n">
        <f aca="false">IF(OR(LEFT($B45,4)="_Mil",SUM($X45)=0),"",SUM($Z45)/$X45)</f>
        <v>1.76843910806175</v>
      </c>
      <c r="AC45" s="10" t="n">
        <f aca="false">IF(LEFT($B45,4)="_Mil","",_xlfn.IFNA(ROUND(INDEX(Spectrum!$N:$N,MATCH(RIGHT($B45,13)&amp;"|"&amp;$C45&amp;"|"&amp;$D45&amp;"|"&amp;AC$14&amp;"|"&amp;"CY2023Q3",Spectrum!$R:$R,0)),0),""))</f>
        <v>1541</v>
      </c>
      <c r="AD45" s="10" t="str">
        <f aca="false">IF(LEFT($B45,4)="_Mil","",_xlfn.IFNA(ROUND(INDEX(Spectrum!$N:$N,MATCH(RIGHT($B45,13)&amp;"|"&amp;$C45&amp;"|"&amp;$D45&amp;"|"&amp;AD$14&amp;"|"&amp;"CY2023Q3",Spectrum!$R:$R,0)),0),""))</f>
        <v/>
      </c>
      <c r="AE45" s="88" t="n">
        <f aca="false">IF(OR(LEFT($B45,4)="_Mil",SUM($Z45)=0),"",SUM($AD45)/$Z45)</f>
        <v>0</v>
      </c>
      <c r="AF45" s="39" t="str">
        <f aca="false">IF(LEFT($B45,4)="_Mil","",_xlfn.IFNA(ROUND(INDEX(Spectrum!$N:$N,MATCH(RIGHT($B45,13)&amp;"|"&amp;$C45&amp;"|"&amp;$D45&amp;"|"&amp;AF$14&amp;"|"&amp;"CY2023Q3",Spectrum!$R:$R,0)),0),""))</f>
        <v/>
      </c>
      <c r="AG45" s="88" t="str">
        <f aca="false">IF(OR(LEFT($B45,4)="_Mil",SUM($AD45)=0),"",SUM($AF45)/$AD45)</f>
        <v/>
      </c>
      <c r="AH45" s="86" t="str">
        <f aca="false">IF(LEFT($B45,4)="_Mil","",_xlfn.IFNA(INDEX(Spectrum!$N:$N,MATCH(RIGHT($B45,13)&amp;"|"&amp;$C45&amp;"|"&amp;$D45&amp;"|"&amp;AH$14&amp;"|"&amp;"CY2023Q3",Spectrum!$R:$R,0)),""))</f>
        <v/>
      </c>
      <c r="AI45" s="10" t="str">
        <f aca="false">IF(LEFT($B45,4)="_Mil","",_xlfn.IFNA(ROUND(INDEX(Spectrum!$N:$N,MATCH(RIGHT($B45,13)&amp;"|"&amp;$C45&amp;"|"&amp;$D45&amp;"|"&amp;AI$14&amp;"|"&amp;"CY2023Q3",Spectrum!$R:$R,0)),0),""))</f>
        <v/>
      </c>
      <c r="AJ45" s="39" t="n">
        <f aca="false">IF(LEFT($B45,4)="_Mil","",_xlfn.IFNA(ROUND(INDEX(Spectrum!$N:$N,MATCH(RIGHT($B45,13)&amp;"|"&amp;$C45&amp;"|"&amp;$D45&amp;"|"&amp;AI$14&amp;"|"&amp;"CY2023Q3",Spectrum!$R:$R,0)),0),SUM($U45)+SUM($AI45)))</f>
        <v>0</v>
      </c>
      <c r="AK45" s="10" t="str">
        <f aca="false">IF(LEFT($B45,4)="_Mil","",_xlfn.IFNA(ROUND(INDEX(Spectrum!$N:$N,MATCH(RIGHT($B45,13)&amp;"|"&amp;$C45&amp;"|"&amp;$D45&amp;"|"&amp;AK$14&amp;"|"&amp;"CY2023Q3",Spectrum!$R:$R,0)),0),""))</f>
        <v/>
      </c>
      <c r="AL45" s="88" t="n">
        <f aca="false">IF(OR(LEFT($B45,4)="_Mil",$C45="&lt;01"),"",MAX(SUM($AA45),90%))</f>
        <v>1089</v>
      </c>
      <c r="AM45" s="10" t="n">
        <f aca="false">IF(OR(LEFT($B45,4)="_Mil",$C45="&lt;01"),"",ROUND(SUM($AJ45)*SUM($AL45),0))</f>
        <v>0</v>
      </c>
      <c r="AN45" s="10" t="str">
        <f aca="false">IF($C45="&lt;01",ROUND(INDEX(EID!$P:$P,MATCH($B45,EID!$B:$B,0))/2,0),"")</f>
        <v/>
      </c>
      <c r="AO45" s="10" t="n">
        <f aca="false">IF($C45="&lt;01",SUM($AN45),ROUND(SUM($AM45)*SUM($O45)/IF(SUM($Z45)=0,1,$Z45),0))</f>
        <v>0</v>
      </c>
      <c r="AP45" s="39" t="n">
        <f aca="false">IF(OR($F45="",$C45="&lt;01"),$AO45,$F45)</f>
        <v>0</v>
      </c>
      <c r="AQ45" s="39" t="n">
        <f aca="false">IF(LEFT($B45,4)="_Mil","",IF(SUM($AP45)=0,SUM($Z45),IF(OR(SUM($Z45)=0,SUM($O45)=0),MAX($AP45,$Z45),$AP45*$Z45/$O45)))</f>
        <v>1031</v>
      </c>
      <c r="AR45" s="88" t="str">
        <f aca="false">IF(OR(LEFT($B45,4)="_Mil",SUM($AJ45)=0),"",SUM($AQ45)/$AJ45)</f>
        <v/>
      </c>
      <c r="AS45" s="88" t="n">
        <f aca="false">IF($C45="&lt;01","",98%)</f>
        <v>0.98</v>
      </c>
      <c r="AT45" s="88" t="n">
        <f aca="false">IF($C45="&lt;01","",98%)</f>
        <v>0.98</v>
      </c>
      <c r="AU45" s="10" t="n">
        <f aca="false">IF($C45="&lt;01","",SUM($AP45)-SUM($O45))</f>
        <v>0</v>
      </c>
      <c r="AV45" s="10" t="n">
        <f aca="false">IF($C45="&lt;01",ROUND(INDEX(EID!$N:$N,MATCH($B45,EID!$B:$B,0))/2,0),IF(SUM($AT45)=0,"",ROUND((SUM($AP45)-(SUM($O45)*SUM($AS45)))/$AT45,0)))</f>
        <v>0</v>
      </c>
      <c r="AW45" s="88" t="n">
        <f aca="false">IF($C45="&lt;01","",100%)</f>
        <v>1</v>
      </c>
      <c r="AX45" s="39" t="n">
        <f aca="false">IF($C45="&lt;01",SUM($AV45),ROUND(SUM($AV45)*SUM($AW45),0))</f>
        <v>0</v>
      </c>
      <c r="AY45" s="114" t="n">
        <f aca="false">IF($C45="&lt;01","",70%)</f>
        <v>0.7</v>
      </c>
      <c r="AZ45" s="91" t="n">
        <f aca="false">IF($C45="&lt;01",ROUND(INDEX(EID!$R:$R,MATCH($B45,EID!$B:$B,0))/2,0),ROUND(SUM($O45)+(SUM($AV45)*$AY45),0))</f>
        <v>0</v>
      </c>
      <c r="BA45" s="87" t="n">
        <f aca="false">IF($C45="&lt;01","",95%)</f>
        <v>0.95</v>
      </c>
      <c r="BB45" s="5" t="n">
        <f aca="false">IF($C45="&lt;01",ROUND(INDEX(EID!$T:$T,MATCH($B45,EID!$B:$B,0))/2,0),ROUND($AZ45*$BA45,0))</f>
        <v>0</v>
      </c>
      <c r="BC45" s="91" t="n">
        <f aca="false">IF(LEFT($B45,4)="_Mil","",IF(SUM($BB45)=0,SUM($AD45),IF(OR(SUM($AP45)=0,SUM($AQ45)=0),MAX($BB45,$AD45),ROUND($BB45*$AQ45/$AP45,0))))</f>
        <v>0</v>
      </c>
      <c r="BD45" s="88" t="n">
        <f aca="false">IF($C45="&lt;01","",95%)</f>
        <v>0.95</v>
      </c>
      <c r="BE45" s="39" t="n">
        <f aca="false">IF($C45="&lt;01",ROUND(INDEX(EID!$V:$V,MATCH($B45,EID!$B:$B,0))/2,0),ROUND($BD45*$BB45,0))</f>
        <v>0</v>
      </c>
      <c r="BF45" s="39" t="n">
        <f aca="false">IF(LEFT($B45,4)="_Mil","",IF(SUM($BE45)=0,SUM($AF45),IF(OR(SUM($AP45)=0,SUM($AQ45)=0),MAX($BE45,$AF45),ROUND($BE45*$AQ45/$AP45,0))))</f>
        <v>0</v>
      </c>
      <c r="BG45" s="114" t="n">
        <f aca="false">IF($C45="&lt;01","",95%)</f>
        <v>0.95</v>
      </c>
      <c r="BH45" s="5" t="n">
        <f aca="false">IF($C45="&lt;01",ROUND(INDEX(EID!$L:$L,MATCH($B45,EID!$B:$B,0)),0)/2,IF(SUM($BG45)=0,"",ROUND($AX45/$BG45,0)))</f>
        <v>0</v>
      </c>
    </row>
    <row r="46" customFormat="false" ht="15" hidden="false" customHeight="false" outlineLevel="0" collapsed="false">
      <c r="A46" s="0" t="str">
        <f aca="false">INDEX(Prioritization!$D:$D,MATCH($B46,Prioritization!$A:$A,0))</f>
        <v>1 - Scale-up: Saturation</v>
      </c>
      <c r="B46" s="0" t="s">
        <v>196</v>
      </c>
      <c r="C46" s="0" t="s">
        <v>363</v>
      </c>
      <c r="D46" s="0" t="s">
        <v>48</v>
      </c>
      <c r="E46" s="0" t="str">
        <f aca="false">$B46&amp;"|"&amp;$C46&amp;"|"&amp;$D46</f>
        <v>Dowa District [zphK9WV8JB4]|01-09|Male</v>
      </c>
      <c r="F46" s="10"/>
      <c r="G46" s="10"/>
      <c r="H46" s="10"/>
      <c r="I46" s="10"/>
      <c r="J46" s="10"/>
      <c r="K46" s="10"/>
      <c r="L46" s="10"/>
      <c r="M46" s="10"/>
      <c r="N46" s="10"/>
      <c r="O46" s="10" t="str">
        <f aca="false">IFERROR(1/(1/MAX($I46,$N46)),"")</f>
        <v/>
      </c>
      <c r="P46" s="10"/>
      <c r="Q46" s="10"/>
      <c r="R46" s="10" t="str">
        <f aca="false">IF(AND(SUM($I46)=0,SUM($O46)=0),"",SUM($O46)-$I46)</f>
        <v/>
      </c>
      <c r="S46" s="10" t="n">
        <f aca="false">IF(LEFT($B46,4)="_Mil","",_xlfn.IFNA(ROUND(INDEX(Spectrum!$N:$N,MATCH(RIGHT($B46,13)&amp;"|"&amp;$C46&amp;"|"&amp;$D46&amp;"|"&amp;S$14&amp;"|"&amp;"CY2022Q4",Spectrum!$R:$R,0)),0),""))</f>
        <v>680</v>
      </c>
      <c r="T46" s="39" t="n">
        <f aca="false">IF(LEFT($B46,4)="_Mil","",_xlfn.IFNA(ROUND(INDEX(Spectrum!$N:$N,MATCH(RIGHT($B46,13)&amp;"|"&amp;$C46&amp;"|"&amp;$D46&amp;"|"&amp;T$14&amp;"|"&amp;"CY2023Q3",Spectrum!$R:$R,0)),0),""))</f>
        <v>1687</v>
      </c>
      <c r="U46" s="39" t="str">
        <f aca="false">IF(LEFT($B46,4)="_Mil","",_xlfn.IFNA(ROUND(INDEX(Spectrum!$N:$N,MATCH(RIGHT($B46,13)&amp;"|"&amp;$C46&amp;"|"&amp;$D46&amp;"|"&amp;U$14&amp;"|"&amp;"CY2023Q3",Spectrum!$R:$R,0)),0),""))</f>
        <v/>
      </c>
      <c r="V46" s="10" t="n">
        <f aca="false">IF(LEFT($B46,4)="_Mil","",_xlfn.IFNA(ROUND(INDEX(Spectrum!$N:$N,MATCH(RIGHT($B46,13)&amp;"|"&amp;$C46&amp;"|"&amp;$D46&amp;"|"&amp;V$14&amp;"|"&amp;"CY2023Q3",Spectrum!$R:$R,0)),0),""))</f>
        <v>685</v>
      </c>
      <c r="W46" s="113" t="n">
        <f aca="false">IF(LEFT($B46,4)="_Mil","",_xlfn.IFNA(INDEX(Spectrum!$N:$N,MATCH(RIGHT($B46,13)&amp;"|"&amp;$C46&amp;"|"&amp;$D46&amp;"|"&amp;W$14&amp;"|"&amp;"CY2023Q3",Spectrum!$R:$R,0)),""))</f>
        <v>813</v>
      </c>
      <c r="X46" s="39" t="n">
        <f aca="false">IF(LEFT($B46,4)="_Mil","",_xlfn.IFNA(ROUND(INDEX(Spectrum!$N:$N,MATCH(RIGHT($B46,13)&amp;"|"&amp;$C46&amp;"|"&amp;$D46&amp;"|"&amp;X$14&amp;"|"&amp;"CY2023Q3",Spectrum!$R:$R,0)),0),""))</f>
        <v>1930</v>
      </c>
      <c r="Y46" s="88" t="str">
        <f aca="false">IF(OR(SUM($U46)=0,LEFT($B46,4)="_Mil"),"",SUM($X46)/$U46)</f>
        <v/>
      </c>
      <c r="Z46" s="39" t="n">
        <f aca="false">IF(LEFT($B46,4)="_Mil","",_xlfn.IFNA(ROUND(INDEX(Spectrum!$N:$N,MATCH(RIGHT($B46,13)&amp;"|"&amp;$C46&amp;"|"&amp;$D46&amp;"|"&amp;Z$14&amp;"|"&amp;"CY2023Q3",Spectrum!$R:$R,0)),0),""))</f>
        <v>1275</v>
      </c>
      <c r="AA46" s="88" t="n">
        <f aca="false">IF(LEFT($B46,4)="_Mil","",IFERROR(1/(1/INDEX(Spectrum!$N:$N,MATCH(RIGHT($B46,13)&amp;"|"&amp;$C46&amp;"|"&amp;$D46&amp;"|"&amp;AA$14&amp;"|"&amp;"CY2023Q3",Spectrum!$R:$R,0))),IF(SUM($U46)=0,"",SUM($Z46)/$U46)))</f>
        <v>961</v>
      </c>
      <c r="AB46" s="88" t="n">
        <f aca="false">IF(OR(LEFT($B46,4)="_Mil",SUM($X46)=0),"",SUM($Z46)/$X46)</f>
        <v>0.660621761658031</v>
      </c>
      <c r="AC46" s="10" t="n">
        <f aca="false">IF(LEFT($B46,4)="_Mil","",_xlfn.IFNA(ROUND(INDEX(Spectrum!$N:$N,MATCH(RIGHT($B46,13)&amp;"|"&amp;$C46&amp;"|"&amp;$D46&amp;"|"&amp;AC$14&amp;"|"&amp;"CY2023Q3",Spectrum!$R:$R,0)),0),""))</f>
        <v>513</v>
      </c>
      <c r="AD46" s="10" t="str">
        <f aca="false">IF(LEFT($B46,4)="_Mil","",_xlfn.IFNA(ROUND(INDEX(Spectrum!$N:$N,MATCH(RIGHT($B46,13)&amp;"|"&amp;$C46&amp;"|"&amp;$D46&amp;"|"&amp;AD$14&amp;"|"&amp;"CY2023Q3",Spectrum!$R:$R,0)),0),""))</f>
        <v/>
      </c>
      <c r="AE46" s="88" t="n">
        <f aca="false">IF(OR(LEFT($B46,4)="_Mil",SUM($Z46)=0),"",SUM($AD46)/$Z46)</f>
        <v>0</v>
      </c>
      <c r="AF46" s="39" t="str">
        <f aca="false">IF(LEFT($B46,4)="_Mil","",_xlfn.IFNA(ROUND(INDEX(Spectrum!$N:$N,MATCH(RIGHT($B46,13)&amp;"|"&amp;$C46&amp;"|"&amp;$D46&amp;"|"&amp;AF$14&amp;"|"&amp;"CY2023Q3",Spectrum!$R:$R,0)),0),""))</f>
        <v/>
      </c>
      <c r="AG46" s="88" t="str">
        <f aca="false">IF(OR(LEFT($B46,4)="_Mil",SUM($AD46)=0),"",SUM($AF46)/$AD46)</f>
        <v/>
      </c>
      <c r="AH46" s="86" t="str">
        <f aca="false">IF(LEFT($B46,4)="_Mil","",_xlfn.IFNA(INDEX(Spectrum!$N:$N,MATCH(RIGHT($B46,13)&amp;"|"&amp;$C46&amp;"|"&amp;$D46&amp;"|"&amp;AH$14&amp;"|"&amp;"CY2023Q3",Spectrum!$R:$R,0)),""))</f>
        <v/>
      </c>
      <c r="AI46" s="10" t="str">
        <f aca="false">IF(LEFT($B46,4)="_Mil","",_xlfn.IFNA(ROUND(INDEX(Spectrum!$N:$N,MATCH(RIGHT($B46,13)&amp;"|"&amp;$C46&amp;"|"&amp;$D46&amp;"|"&amp;AI$14&amp;"|"&amp;"CY2023Q3",Spectrum!$R:$R,0)),0),""))</f>
        <v/>
      </c>
      <c r="AJ46" s="39" t="n">
        <f aca="false">IF(LEFT($B46,4)="_Mil","",_xlfn.IFNA(ROUND(INDEX(Spectrum!$N:$N,MATCH(RIGHT($B46,13)&amp;"|"&amp;$C46&amp;"|"&amp;$D46&amp;"|"&amp;AI$14&amp;"|"&amp;"CY2023Q3",Spectrum!$R:$R,0)),0),SUM($U46)+SUM($AI46)))</f>
        <v>0</v>
      </c>
      <c r="AK46" s="10" t="str">
        <f aca="false">IF(LEFT($B46,4)="_Mil","",_xlfn.IFNA(ROUND(INDEX(Spectrum!$N:$N,MATCH(RIGHT($B46,13)&amp;"|"&amp;$C46&amp;"|"&amp;$D46&amp;"|"&amp;AK$14&amp;"|"&amp;"CY2023Q3",Spectrum!$R:$R,0)),0),""))</f>
        <v/>
      </c>
      <c r="AL46" s="88" t="n">
        <f aca="false">IF(OR(LEFT($B46,4)="_Mil",$C46="&lt;01"),"",MAX(SUM($AA46),90%))</f>
        <v>961</v>
      </c>
      <c r="AM46" s="10" t="n">
        <f aca="false">IF(OR(LEFT($B46,4)="_Mil",$C46="&lt;01"),"",ROUND(SUM($AJ46)*SUM($AL46),0))</f>
        <v>0</v>
      </c>
      <c r="AN46" s="10" t="str">
        <f aca="false">IF($C46="&lt;01",ROUND(INDEX(EID!$P:$P,MATCH($B46,EID!$B:$B,0))/2,0),"")</f>
        <v/>
      </c>
      <c r="AO46" s="10" t="n">
        <f aca="false">IF($C46="&lt;01",SUM($AN46),ROUND(SUM($AM46)*SUM($O46)/IF(SUM($Z46)=0,1,$Z46),0))</f>
        <v>0</v>
      </c>
      <c r="AP46" s="39" t="n">
        <f aca="false">IF(OR($F46="",$C46="&lt;01"),$AO46,$F46)</f>
        <v>0</v>
      </c>
      <c r="AQ46" s="39" t="n">
        <f aca="false">IF(LEFT($B46,4)="_Mil","",IF(SUM($AP46)=0,SUM($Z46),IF(OR(SUM($Z46)=0,SUM($O46)=0),MAX($AP46,$Z46),$AP46*$Z46/$O46)))</f>
        <v>1275</v>
      </c>
      <c r="AR46" s="88" t="str">
        <f aca="false">IF(OR(LEFT($B46,4)="_Mil",SUM($AJ46)=0),"",SUM($AQ46)/$AJ46)</f>
        <v/>
      </c>
      <c r="AS46" s="88" t="n">
        <f aca="false">IF($C46="&lt;01","",98%)</f>
        <v>0.98</v>
      </c>
      <c r="AT46" s="88" t="n">
        <f aca="false">IF($C46="&lt;01","",98%)</f>
        <v>0.98</v>
      </c>
      <c r="AU46" s="10" t="n">
        <f aca="false">IF($C46="&lt;01","",SUM($AP46)-SUM($O46))</f>
        <v>0</v>
      </c>
      <c r="AV46" s="10" t="n">
        <f aca="false">IF($C46="&lt;01",ROUND(INDEX(EID!$N:$N,MATCH($B46,EID!$B:$B,0))/2,0),IF(SUM($AT46)=0,"",ROUND((SUM($AP46)-(SUM($O46)*SUM($AS46)))/$AT46,0)))</f>
        <v>0</v>
      </c>
      <c r="AW46" s="88" t="n">
        <f aca="false">IF($C46="&lt;01","",100%)</f>
        <v>1</v>
      </c>
      <c r="AX46" s="39" t="n">
        <f aca="false">IF($C46="&lt;01",SUM($AV46),ROUND(SUM($AV46)*SUM($AW46),0))</f>
        <v>0</v>
      </c>
      <c r="AY46" s="114" t="n">
        <f aca="false">IF($C46="&lt;01","",70%)</f>
        <v>0.7</v>
      </c>
      <c r="AZ46" s="91" t="n">
        <f aca="false">IF($C46="&lt;01",ROUND(INDEX(EID!$R:$R,MATCH($B46,EID!$B:$B,0))/2,0),ROUND(SUM($O46)+(SUM($AV46)*$AY46),0))</f>
        <v>0</v>
      </c>
      <c r="BA46" s="87" t="n">
        <f aca="false">IF($C46="&lt;01","",95%)</f>
        <v>0.95</v>
      </c>
      <c r="BB46" s="5" t="n">
        <f aca="false">IF($C46="&lt;01",ROUND(INDEX(EID!$T:$T,MATCH($B46,EID!$B:$B,0))/2,0),ROUND($AZ46*$BA46,0))</f>
        <v>0</v>
      </c>
      <c r="BC46" s="91" t="n">
        <f aca="false">IF(LEFT($B46,4)="_Mil","",IF(SUM($BB46)=0,SUM($AD46),IF(OR(SUM($AP46)=0,SUM($AQ46)=0),MAX($BB46,$AD46),ROUND($BB46*$AQ46/$AP46,0))))</f>
        <v>0</v>
      </c>
      <c r="BD46" s="88" t="n">
        <f aca="false">IF($C46="&lt;01","",95%)</f>
        <v>0.95</v>
      </c>
      <c r="BE46" s="39" t="n">
        <f aca="false">IF($C46="&lt;01",ROUND(INDEX(EID!$V:$V,MATCH($B46,EID!$B:$B,0))/2,0),ROUND($BD46*$BB46,0))</f>
        <v>0</v>
      </c>
      <c r="BF46" s="39" t="n">
        <f aca="false">IF(LEFT($B46,4)="_Mil","",IF(SUM($BE46)=0,SUM($AF46),IF(OR(SUM($AP46)=0,SUM($AQ46)=0),MAX($BE46,$AF46),ROUND($BE46*$AQ46/$AP46,0))))</f>
        <v>0</v>
      </c>
      <c r="BG46" s="114" t="n">
        <f aca="false">IF($C46="&lt;01","",95%)</f>
        <v>0.95</v>
      </c>
      <c r="BH46" s="5" t="n">
        <f aca="false">IF($C46="&lt;01",ROUND(INDEX(EID!$L:$L,MATCH($B46,EID!$B:$B,0)),0)/2,IF(SUM($BG46)=0,"",ROUND($AX46/$BG46,0)))</f>
        <v>0</v>
      </c>
    </row>
    <row r="47" customFormat="false" ht="15" hidden="false" customHeight="false" outlineLevel="0" collapsed="false">
      <c r="A47" s="0" t="str">
        <f aca="false">INDEX(Prioritization!$D:$D,MATCH($B47,Prioritization!$A:$A,0))</f>
        <v>1 - Scale-up: Saturation</v>
      </c>
      <c r="B47" s="0" t="s">
        <v>196</v>
      </c>
      <c r="C47" s="0" t="s">
        <v>364</v>
      </c>
      <c r="D47" s="0" t="s">
        <v>30</v>
      </c>
      <c r="E47" s="0" t="str">
        <f aca="false">$B47&amp;"|"&amp;$C47&amp;"|"&amp;$D47</f>
        <v>Dowa District [zphK9WV8JB4]|10-14|Female</v>
      </c>
      <c r="F47" s="10"/>
      <c r="G47" s="10" t="n">
        <v>8</v>
      </c>
      <c r="H47" s="10" t="n">
        <v>1</v>
      </c>
      <c r="I47" s="10" t="n">
        <v>18</v>
      </c>
      <c r="J47" s="10" t="n">
        <v>82</v>
      </c>
      <c r="K47" s="10" t="n">
        <v>49</v>
      </c>
      <c r="L47" s="10" t="n">
        <v>10</v>
      </c>
      <c r="M47" s="10" t="n">
        <v>2</v>
      </c>
      <c r="N47" s="10" t="n">
        <v>81</v>
      </c>
      <c r="O47" s="10" t="n">
        <f aca="false">IFERROR(1/(1/MAX($I47,$N47)),"")</f>
        <v>81</v>
      </c>
      <c r="P47" s="10" t="n">
        <v>27</v>
      </c>
      <c r="Q47" s="10" t="n">
        <v>99</v>
      </c>
      <c r="R47" s="10" t="n">
        <f aca="false">IF(AND(SUM($I47)=0,SUM($O47)=0),"",SUM($O47)-$I47)</f>
        <v>63</v>
      </c>
      <c r="S47" s="10" t="n">
        <f aca="false">IF(LEFT($B47,4)="_Mil","",_xlfn.IFNA(ROUND(INDEX(Spectrum!$N:$N,MATCH(RIGHT($B47,13)&amp;"|"&amp;$C47&amp;"|"&amp;$D47&amp;"|"&amp;S$14&amp;"|"&amp;"CY2022Q4",Spectrum!$R:$R,0)),0),""))</f>
        <v>908</v>
      </c>
      <c r="T47" s="39" t="n">
        <f aca="false">IF(LEFT($B47,4)="_Mil","",_xlfn.IFNA(ROUND(INDEX(Spectrum!$N:$N,MATCH(RIGHT($B47,13)&amp;"|"&amp;$C47&amp;"|"&amp;$D47&amp;"|"&amp;T$14&amp;"|"&amp;"CY2023Q3",Spectrum!$R:$R,0)),0),""))</f>
        <v>884</v>
      </c>
      <c r="U47" s="39" t="str">
        <f aca="false">IF(LEFT($B47,4)="_Mil","",_xlfn.IFNA(ROUND(INDEX(Spectrum!$N:$N,MATCH(RIGHT($B47,13)&amp;"|"&amp;$C47&amp;"|"&amp;$D47&amp;"|"&amp;U$14&amp;"|"&amp;"CY2023Q3",Spectrum!$R:$R,0)),0),""))</f>
        <v/>
      </c>
      <c r="V47" s="10" t="n">
        <f aca="false">IF(LEFT($B47,4)="_Mil","",_xlfn.IFNA(ROUND(INDEX(Spectrum!$N:$N,MATCH(RIGHT($B47,13)&amp;"|"&amp;$C47&amp;"|"&amp;$D47&amp;"|"&amp;V$14&amp;"|"&amp;"CY2023Q3",Spectrum!$R:$R,0)),0),""))</f>
        <v>1407</v>
      </c>
      <c r="W47" s="113" t="n">
        <f aca="false">IF(LEFT($B47,4)="_Mil","",_xlfn.IFNA(INDEX(Spectrum!$N:$N,MATCH(RIGHT($B47,13)&amp;"|"&amp;$C47&amp;"|"&amp;$D47&amp;"|"&amp;W$14&amp;"|"&amp;"CY2023Q3",Spectrum!$R:$R,0)),""))</f>
        <v>1550</v>
      </c>
      <c r="X47" s="39" t="n">
        <f aca="false">IF(LEFT($B47,4)="_Mil","",_xlfn.IFNA(ROUND(INDEX(Spectrum!$N:$N,MATCH(RIGHT($B47,13)&amp;"|"&amp;$C47&amp;"|"&amp;$D47&amp;"|"&amp;X$14&amp;"|"&amp;"CY2023Q3",Spectrum!$R:$R,0)),0),""))</f>
        <v>1364</v>
      </c>
      <c r="Y47" s="88" t="str">
        <f aca="false">IF(OR(SUM($U47)=0,LEFT($B47,4)="_Mil"),"",SUM($X47)/$U47)</f>
        <v/>
      </c>
      <c r="Z47" s="39" t="n">
        <f aca="false">IF(LEFT($B47,4)="_Mil","",_xlfn.IFNA(ROUND(INDEX(Spectrum!$N:$N,MATCH(RIGHT($B47,13)&amp;"|"&amp;$C47&amp;"|"&amp;$D47&amp;"|"&amp;Z$14&amp;"|"&amp;"CY2023Q3",Spectrum!$R:$R,0)),0),""))</f>
        <v>820</v>
      </c>
      <c r="AA47" s="88" t="n">
        <f aca="false">IF(LEFT($B47,4)="_Mil","",IFERROR(1/(1/INDEX(Spectrum!$N:$N,MATCH(RIGHT($B47,13)&amp;"|"&amp;$C47&amp;"|"&amp;$D47&amp;"|"&amp;AA$14&amp;"|"&amp;"CY2023Q3",Spectrum!$R:$R,0))),IF(SUM($U47)=0,"",SUM($Z47)/$U47)))</f>
        <v>1756</v>
      </c>
      <c r="AB47" s="88" t="n">
        <f aca="false">IF(OR(LEFT($B47,4)="_Mil",SUM($X47)=0),"",SUM($Z47)/$X47)</f>
        <v>0.601173020527859</v>
      </c>
      <c r="AC47" s="10" t="n">
        <f aca="false">IF(LEFT($B47,4)="_Mil","",_xlfn.IFNA(ROUND(INDEX(Spectrum!$N:$N,MATCH(RIGHT($B47,13)&amp;"|"&amp;$C47&amp;"|"&amp;$D47&amp;"|"&amp;AC$14&amp;"|"&amp;"CY2023Q3",Spectrum!$R:$R,0)),0),""))</f>
        <v>1171</v>
      </c>
      <c r="AD47" s="10" t="str">
        <f aca="false">IF(LEFT($B47,4)="_Mil","",_xlfn.IFNA(ROUND(INDEX(Spectrum!$N:$N,MATCH(RIGHT($B47,13)&amp;"|"&amp;$C47&amp;"|"&amp;$D47&amp;"|"&amp;AD$14&amp;"|"&amp;"CY2023Q3",Spectrum!$R:$R,0)),0),""))</f>
        <v/>
      </c>
      <c r="AE47" s="88" t="n">
        <f aca="false">IF(OR(LEFT($B47,4)="_Mil",SUM($Z47)=0),"",SUM($AD47)/$Z47)</f>
        <v>0</v>
      </c>
      <c r="AF47" s="39" t="str">
        <f aca="false">IF(LEFT($B47,4)="_Mil","",_xlfn.IFNA(ROUND(INDEX(Spectrum!$N:$N,MATCH(RIGHT($B47,13)&amp;"|"&amp;$C47&amp;"|"&amp;$D47&amp;"|"&amp;AF$14&amp;"|"&amp;"CY2023Q3",Spectrum!$R:$R,0)),0),""))</f>
        <v/>
      </c>
      <c r="AG47" s="88" t="str">
        <f aca="false">IF(OR(LEFT($B47,4)="_Mil",SUM($AD47)=0),"",SUM($AF47)/$AD47)</f>
        <v/>
      </c>
      <c r="AH47" s="86" t="str">
        <f aca="false">IF(LEFT($B47,4)="_Mil","",_xlfn.IFNA(INDEX(Spectrum!$N:$N,MATCH(RIGHT($B47,13)&amp;"|"&amp;$C47&amp;"|"&amp;$D47&amp;"|"&amp;AH$14&amp;"|"&amp;"CY2023Q3",Spectrum!$R:$R,0)),""))</f>
        <v/>
      </c>
      <c r="AI47" s="10" t="str">
        <f aca="false">IF(LEFT($B47,4)="_Mil","",_xlfn.IFNA(ROUND(INDEX(Spectrum!$N:$N,MATCH(RIGHT($B47,13)&amp;"|"&amp;$C47&amp;"|"&amp;$D47&amp;"|"&amp;AI$14&amp;"|"&amp;"CY2023Q3",Spectrum!$R:$R,0)),0),""))</f>
        <v/>
      </c>
      <c r="AJ47" s="39" t="n">
        <f aca="false">IF(LEFT($B47,4)="_Mil","",_xlfn.IFNA(ROUND(INDEX(Spectrum!$N:$N,MATCH(RIGHT($B47,13)&amp;"|"&amp;$C47&amp;"|"&amp;$D47&amp;"|"&amp;AI$14&amp;"|"&amp;"CY2023Q3",Spectrum!$R:$R,0)),0),SUM($U47)+SUM($AI47)))</f>
        <v>0</v>
      </c>
      <c r="AK47" s="10" t="str">
        <f aca="false">IF(LEFT($B47,4)="_Mil","",_xlfn.IFNA(ROUND(INDEX(Spectrum!$N:$N,MATCH(RIGHT($B47,13)&amp;"|"&amp;$C47&amp;"|"&amp;$D47&amp;"|"&amp;AK$14&amp;"|"&amp;"CY2023Q3",Spectrum!$R:$R,0)),0),""))</f>
        <v/>
      </c>
      <c r="AL47" s="88" t="n">
        <f aca="false">IF(OR(LEFT($B47,4)="_Mil",$C47="&lt;01"),"",MAX(SUM($AA47),90%))</f>
        <v>1756</v>
      </c>
      <c r="AM47" s="10" t="n">
        <f aca="false">IF(OR(LEFT($B47,4)="_Mil",$C47="&lt;01"),"",ROUND(SUM($AJ47)*SUM($AL47),0))</f>
        <v>0</v>
      </c>
      <c r="AN47" s="10" t="str">
        <f aca="false">IF($C47="&lt;01",ROUND(INDEX(EID!$P:$P,MATCH($B47,EID!$B:$B,0))/2,0),"")</f>
        <v/>
      </c>
      <c r="AO47" s="10" t="n">
        <f aca="false">IF($C47="&lt;01",SUM($AN47),ROUND(SUM($AM47)*SUM($O47)/IF(SUM($Z47)=0,1,$Z47),0))</f>
        <v>0</v>
      </c>
      <c r="AP47" s="39" t="n">
        <f aca="false">IF(OR($F47="",$C47="&lt;01"),$AO47,$F47)</f>
        <v>0</v>
      </c>
      <c r="AQ47" s="39" t="n">
        <f aca="false">IF(LEFT($B47,4)="_Mil","",IF(SUM($AP47)=0,SUM($Z47),IF(OR(SUM($Z47)=0,SUM($O47)=0),MAX($AP47,$Z47),$AP47*$Z47/$O47)))</f>
        <v>820</v>
      </c>
      <c r="AR47" s="88" t="str">
        <f aca="false">IF(OR(LEFT($B47,4)="_Mil",SUM($AJ47)=0),"",SUM($AQ47)/$AJ47)</f>
        <v/>
      </c>
      <c r="AS47" s="88" t="n">
        <f aca="false">IF($C47="&lt;01","",98%)</f>
        <v>0.98</v>
      </c>
      <c r="AT47" s="88" t="n">
        <f aca="false">IF($C47="&lt;01","",98%)</f>
        <v>0.98</v>
      </c>
      <c r="AU47" s="10" t="n">
        <f aca="false">IF($C47="&lt;01","",SUM($AP47)-SUM($O47))</f>
        <v>-81</v>
      </c>
      <c r="AV47" s="10" t="n">
        <f aca="false">IF($C47="&lt;01",ROUND(INDEX(EID!$N:$N,MATCH($B47,EID!$B:$B,0))/2,0),IF(SUM($AT47)=0,"",ROUND((SUM($AP47)-(SUM($O47)*SUM($AS47)))/$AT47,0)))</f>
        <v>-81</v>
      </c>
      <c r="AW47" s="88" t="n">
        <f aca="false">IF($C47="&lt;01","",100%)</f>
        <v>1</v>
      </c>
      <c r="AX47" s="39" t="n">
        <f aca="false">IF($C47="&lt;01",SUM($AV47),ROUND(SUM($AV47)*SUM($AW47),0))</f>
        <v>-81</v>
      </c>
      <c r="AY47" s="114" t="n">
        <f aca="false">IF($C47="&lt;01","",70%)</f>
        <v>0.7</v>
      </c>
      <c r="AZ47" s="91" t="n">
        <f aca="false">IF($C47="&lt;01",ROUND(INDEX(EID!$R:$R,MATCH($B47,EID!$B:$B,0))/2,0),ROUND(SUM($O47)+(SUM($AV47)*$AY47),0))</f>
        <v>24</v>
      </c>
      <c r="BA47" s="87" t="n">
        <f aca="false">IF($C47="&lt;01","",95%)</f>
        <v>0.95</v>
      </c>
      <c r="BB47" s="5" t="n">
        <f aca="false">IF($C47="&lt;01",ROUND(INDEX(EID!$T:$T,MATCH($B47,EID!$B:$B,0))/2,0),ROUND($AZ47*$BA47,0))</f>
        <v>23</v>
      </c>
      <c r="BC47" s="91" t="n">
        <f aca="false">IF(LEFT($B47,4)="_Mil","",IF(SUM($BB47)=0,SUM($AD47),IF(OR(SUM($AP47)=0,SUM($AQ47)=0),MAX($BB47,$AD47),ROUND($BB47*$AQ47/$AP47,0))))</f>
        <v>23</v>
      </c>
      <c r="BD47" s="88" t="n">
        <f aca="false">IF($C47="&lt;01","",95%)</f>
        <v>0.95</v>
      </c>
      <c r="BE47" s="39" t="n">
        <f aca="false">IF($C47="&lt;01",ROUND(INDEX(EID!$V:$V,MATCH($B47,EID!$B:$B,0))/2,0),ROUND($BD47*$BB47,0))</f>
        <v>22</v>
      </c>
      <c r="BF47" s="39" t="n">
        <f aca="false">IF(LEFT($B47,4)="_Mil","",IF(SUM($BE47)=0,SUM($AF47),IF(OR(SUM($AP47)=0,SUM($AQ47)=0),MAX($BE47,$AF47),ROUND($BE47*$AQ47/$AP47,0))))</f>
        <v>22</v>
      </c>
      <c r="BG47" s="114" t="n">
        <f aca="false">IF($C47="&lt;01","",95%)</f>
        <v>0.95</v>
      </c>
      <c r="BH47" s="5" t="n">
        <f aca="false">IF($C47="&lt;01",ROUND(INDEX(EID!$L:$L,MATCH($B47,EID!$B:$B,0)),0)/2,IF(SUM($BG47)=0,"",ROUND($AX47/$BG47,0)))</f>
        <v>-85</v>
      </c>
    </row>
    <row r="48" customFormat="false" ht="15" hidden="false" customHeight="false" outlineLevel="0" collapsed="false">
      <c r="A48" s="0" t="str">
        <f aca="false">INDEX(Prioritization!$D:$D,MATCH($B48,Prioritization!$A:$A,0))</f>
        <v>1 - Scale-up: Saturation</v>
      </c>
      <c r="B48" s="0" t="s">
        <v>196</v>
      </c>
      <c r="C48" s="0" t="s">
        <v>364</v>
      </c>
      <c r="D48" s="0" t="s">
        <v>48</v>
      </c>
      <c r="E48" s="0" t="str">
        <f aca="false">$B48&amp;"|"&amp;$C48&amp;"|"&amp;$D48</f>
        <v>Dowa District [zphK9WV8JB4]|10-14|Male</v>
      </c>
      <c r="F48" s="10"/>
      <c r="G48" s="10" t="n">
        <v>1</v>
      </c>
      <c r="H48" s="10" t="n">
        <v>1</v>
      </c>
      <c r="I48" s="10" t="n">
        <v>46</v>
      </c>
      <c r="J48" s="10" t="n">
        <v>24</v>
      </c>
      <c r="K48" s="10" t="n">
        <v>8</v>
      </c>
      <c r="L48" s="10" t="n">
        <v>3</v>
      </c>
      <c r="M48" s="10" t="n">
        <v>5</v>
      </c>
      <c r="N48" s="10" t="n">
        <v>70</v>
      </c>
      <c r="O48" s="10" t="n">
        <f aca="false">IFERROR(1/(1/MAX($I48,$N48)),"")</f>
        <v>70</v>
      </c>
      <c r="P48" s="10" t="n">
        <v>80</v>
      </c>
      <c r="Q48" s="10" t="n">
        <v>44</v>
      </c>
      <c r="R48" s="10" t="n">
        <f aca="false">IF(AND(SUM($I48)=0,SUM($O48)=0),"",SUM($O48)-$I48)</f>
        <v>24</v>
      </c>
      <c r="S48" s="10" t="n">
        <f aca="false">IF(LEFT($B48,4)="_Mil","",_xlfn.IFNA(ROUND(INDEX(Spectrum!$N:$N,MATCH(RIGHT($B48,13)&amp;"|"&amp;$C48&amp;"|"&amp;$D48&amp;"|"&amp;S$14&amp;"|"&amp;"CY2022Q4",Spectrum!$R:$R,0)),0),""))</f>
        <v>1398</v>
      </c>
      <c r="T48" s="39" t="n">
        <f aca="false">IF(LEFT($B48,4)="_Mil","",_xlfn.IFNA(ROUND(INDEX(Spectrum!$N:$N,MATCH(RIGHT($B48,13)&amp;"|"&amp;$C48&amp;"|"&amp;$D48&amp;"|"&amp;T$14&amp;"|"&amp;"CY2023Q3",Spectrum!$R:$R,0)),0),""))</f>
        <v>1837</v>
      </c>
      <c r="U48" s="39" t="str">
        <f aca="false">IF(LEFT($B48,4)="_Mil","",_xlfn.IFNA(ROUND(INDEX(Spectrum!$N:$N,MATCH(RIGHT($B48,13)&amp;"|"&amp;$C48&amp;"|"&amp;$D48&amp;"|"&amp;U$14&amp;"|"&amp;"CY2023Q3",Spectrum!$R:$R,0)),0),""))</f>
        <v/>
      </c>
      <c r="V48" s="10" t="n">
        <f aca="false">IF(LEFT($B48,4)="_Mil","",_xlfn.IFNA(ROUND(INDEX(Spectrum!$N:$N,MATCH(RIGHT($B48,13)&amp;"|"&amp;$C48&amp;"|"&amp;$D48&amp;"|"&amp;V$14&amp;"|"&amp;"CY2023Q3",Spectrum!$R:$R,0)),0),""))</f>
        <v>908</v>
      </c>
      <c r="W48" s="113" t="n">
        <f aca="false">IF(LEFT($B48,4)="_Mil","",_xlfn.IFNA(INDEX(Spectrum!$N:$N,MATCH(RIGHT($B48,13)&amp;"|"&amp;$C48&amp;"|"&amp;$D48&amp;"|"&amp;W$14&amp;"|"&amp;"CY2023Q3",Spectrum!$R:$R,0)),""))</f>
        <v>1402</v>
      </c>
      <c r="X48" s="39" t="n">
        <f aca="false">IF(LEFT($B48,4)="_Mil","",_xlfn.IFNA(ROUND(INDEX(Spectrum!$N:$N,MATCH(RIGHT($B48,13)&amp;"|"&amp;$C48&amp;"|"&amp;$D48&amp;"|"&amp;X$14&amp;"|"&amp;"CY2023Q3",Spectrum!$R:$R,0)),0),""))</f>
        <v>1085</v>
      </c>
      <c r="Y48" s="88" t="str">
        <f aca="false">IF(OR(SUM($U48)=0,LEFT($B48,4)="_Mil"),"",SUM($X48)/$U48)</f>
        <v/>
      </c>
      <c r="Z48" s="39" t="n">
        <f aca="false">IF(LEFT($B48,4)="_Mil","",_xlfn.IFNA(ROUND(INDEX(Spectrum!$N:$N,MATCH(RIGHT($B48,13)&amp;"|"&amp;$C48&amp;"|"&amp;$D48&amp;"|"&amp;Z$14&amp;"|"&amp;"CY2023Q3",Spectrum!$R:$R,0)),0),""))</f>
        <v>637</v>
      </c>
      <c r="AA48" s="88" t="n">
        <f aca="false">IF(LEFT($B48,4)="_Mil","",IFERROR(1/(1/INDEX(Spectrum!$N:$N,MATCH(RIGHT($B48,13)&amp;"|"&amp;$C48&amp;"|"&amp;$D48&amp;"|"&amp;AA$14&amp;"|"&amp;"CY2023Q3",Spectrum!$R:$R,0))),IF(SUM($U48)=0,"",SUM($Z48)/$U48)))</f>
        <v>617</v>
      </c>
      <c r="AB48" s="88" t="n">
        <f aca="false">IF(OR(LEFT($B48,4)="_Mil",SUM($X48)=0),"",SUM($Z48)/$X48)</f>
        <v>0.587096774193548</v>
      </c>
      <c r="AC48" s="10" t="n">
        <f aca="false">IF(LEFT($B48,4)="_Mil","",_xlfn.IFNA(ROUND(INDEX(Spectrum!$N:$N,MATCH(RIGHT($B48,13)&amp;"|"&amp;$C48&amp;"|"&amp;$D48&amp;"|"&amp;AC$14&amp;"|"&amp;"CY2023Q3",Spectrum!$R:$R,0)),0),""))</f>
        <v>666</v>
      </c>
      <c r="AD48" s="10" t="str">
        <f aca="false">IF(LEFT($B48,4)="_Mil","",_xlfn.IFNA(ROUND(INDEX(Spectrum!$N:$N,MATCH(RIGHT($B48,13)&amp;"|"&amp;$C48&amp;"|"&amp;$D48&amp;"|"&amp;AD$14&amp;"|"&amp;"CY2023Q3",Spectrum!$R:$R,0)),0),""))</f>
        <v/>
      </c>
      <c r="AE48" s="88" t="n">
        <f aca="false">IF(OR(LEFT($B48,4)="_Mil",SUM($Z48)=0),"",SUM($AD48)/$Z48)</f>
        <v>0</v>
      </c>
      <c r="AF48" s="39" t="str">
        <f aca="false">IF(LEFT($B48,4)="_Mil","",_xlfn.IFNA(ROUND(INDEX(Spectrum!$N:$N,MATCH(RIGHT($B48,13)&amp;"|"&amp;$C48&amp;"|"&amp;$D48&amp;"|"&amp;AF$14&amp;"|"&amp;"CY2023Q3",Spectrum!$R:$R,0)),0),""))</f>
        <v/>
      </c>
      <c r="AG48" s="88" t="str">
        <f aca="false">IF(OR(LEFT($B48,4)="_Mil",SUM($AD48)=0),"",SUM($AF48)/$AD48)</f>
        <v/>
      </c>
      <c r="AH48" s="86" t="str">
        <f aca="false">IF(LEFT($B48,4)="_Mil","",_xlfn.IFNA(INDEX(Spectrum!$N:$N,MATCH(RIGHT($B48,13)&amp;"|"&amp;$C48&amp;"|"&amp;$D48&amp;"|"&amp;AH$14&amp;"|"&amp;"CY2023Q3",Spectrum!$R:$R,0)),""))</f>
        <v/>
      </c>
      <c r="AI48" s="10" t="str">
        <f aca="false">IF(LEFT($B48,4)="_Mil","",_xlfn.IFNA(ROUND(INDEX(Spectrum!$N:$N,MATCH(RIGHT($B48,13)&amp;"|"&amp;$C48&amp;"|"&amp;$D48&amp;"|"&amp;AI$14&amp;"|"&amp;"CY2023Q3",Spectrum!$R:$R,0)),0),""))</f>
        <v/>
      </c>
      <c r="AJ48" s="39" t="n">
        <f aca="false">IF(LEFT($B48,4)="_Mil","",_xlfn.IFNA(ROUND(INDEX(Spectrum!$N:$N,MATCH(RIGHT($B48,13)&amp;"|"&amp;$C48&amp;"|"&amp;$D48&amp;"|"&amp;AI$14&amp;"|"&amp;"CY2023Q3",Spectrum!$R:$R,0)),0),SUM($U48)+SUM($AI48)))</f>
        <v>0</v>
      </c>
      <c r="AK48" s="10" t="str">
        <f aca="false">IF(LEFT($B48,4)="_Mil","",_xlfn.IFNA(ROUND(INDEX(Spectrum!$N:$N,MATCH(RIGHT($B48,13)&amp;"|"&amp;$C48&amp;"|"&amp;$D48&amp;"|"&amp;AK$14&amp;"|"&amp;"CY2023Q3",Spectrum!$R:$R,0)),0),""))</f>
        <v/>
      </c>
      <c r="AL48" s="88" t="n">
        <f aca="false">IF(OR(LEFT($B48,4)="_Mil",$C48="&lt;01"),"",MAX(SUM($AA48),90%))</f>
        <v>617</v>
      </c>
      <c r="AM48" s="10" t="n">
        <f aca="false">IF(OR(LEFT($B48,4)="_Mil",$C48="&lt;01"),"",ROUND(SUM($AJ48)*SUM($AL48),0))</f>
        <v>0</v>
      </c>
      <c r="AN48" s="10" t="str">
        <f aca="false">IF($C48="&lt;01",ROUND(INDEX(EID!$P:$P,MATCH($B48,EID!$B:$B,0))/2,0),"")</f>
        <v/>
      </c>
      <c r="AO48" s="10" t="n">
        <f aca="false">IF($C48="&lt;01",SUM($AN48),ROUND(SUM($AM48)*SUM($O48)/IF(SUM($Z48)=0,1,$Z48),0))</f>
        <v>0</v>
      </c>
      <c r="AP48" s="39" t="n">
        <f aca="false">IF(OR($F48="",$C48="&lt;01"),$AO48,$F48)</f>
        <v>0</v>
      </c>
      <c r="AQ48" s="39" t="n">
        <f aca="false">IF(LEFT($B48,4)="_Mil","",IF(SUM($AP48)=0,SUM($Z48),IF(OR(SUM($Z48)=0,SUM($O48)=0),MAX($AP48,$Z48),$AP48*$Z48/$O48)))</f>
        <v>637</v>
      </c>
      <c r="AR48" s="88" t="str">
        <f aca="false">IF(OR(LEFT($B48,4)="_Mil",SUM($AJ48)=0),"",SUM($AQ48)/$AJ48)</f>
        <v/>
      </c>
      <c r="AS48" s="88" t="n">
        <f aca="false">IF($C48="&lt;01","",98%)</f>
        <v>0.98</v>
      </c>
      <c r="AT48" s="88" t="n">
        <f aca="false">IF($C48="&lt;01","",98%)</f>
        <v>0.98</v>
      </c>
      <c r="AU48" s="10" t="n">
        <f aca="false">IF($C48="&lt;01","",SUM($AP48)-SUM($O48))</f>
        <v>-70</v>
      </c>
      <c r="AV48" s="10" t="n">
        <f aca="false">IF($C48="&lt;01",ROUND(INDEX(EID!$N:$N,MATCH($B48,EID!$B:$B,0))/2,0),IF(SUM($AT48)=0,"",ROUND((SUM($AP48)-(SUM($O48)*SUM($AS48)))/$AT48,0)))</f>
        <v>-70</v>
      </c>
      <c r="AW48" s="88" t="n">
        <f aca="false">IF($C48="&lt;01","",100%)</f>
        <v>1</v>
      </c>
      <c r="AX48" s="39" t="n">
        <f aca="false">IF($C48="&lt;01",SUM($AV48),ROUND(SUM($AV48)*SUM($AW48),0))</f>
        <v>-70</v>
      </c>
      <c r="AY48" s="114" t="n">
        <f aca="false">IF($C48="&lt;01","",70%)</f>
        <v>0.7</v>
      </c>
      <c r="AZ48" s="91" t="n">
        <f aca="false">IF($C48="&lt;01",ROUND(INDEX(EID!$R:$R,MATCH($B48,EID!$B:$B,0))/2,0),ROUND(SUM($O48)+(SUM($AV48)*$AY48),0))</f>
        <v>21</v>
      </c>
      <c r="BA48" s="87" t="n">
        <f aca="false">IF($C48="&lt;01","",95%)</f>
        <v>0.95</v>
      </c>
      <c r="BB48" s="5" t="n">
        <f aca="false">IF($C48="&lt;01",ROUND(INDEX(EID!$T:$T,MATCH($B48,EID!$B:$B,0))/2,0),ROUND($AZ48*$BA48,0))</f>
        <v>20</v>
      </c>
      <c r="BC48" s="91" t="n">
        <f aca="false">IF(LEFT($B48,4)="_Mil","",IF(SUM($BB48)=0,SUM($AD48),IF(OR(SUM($AP48)=0,SUM($AQ48)=0),MAX($BB48,$AD48),ROUND($BB48*$AQ48/$AP48,0))))</f>
        <v>20</v>
      </c>
      <c r="BD48" s="88" t="n">
        <f aca="false">IF($C48="&lt;01","",95%)</f>
        <v>0.95</v>
      </c>
      <c r="BE48" s="39" t="n">
        <f aca="false">IF($C48="&lt;01",ROUND(INDEX(EID!$V:$V,MATCH($B48,EID!$B:$B,0))/2,0),ROUND($BD48*$BB48,0))</f>
        <v>19</v>
      </c>
      <c r="BF48" s="39" t="n">
        <f aca="false">IF(LEFT($B48,4)="_Mil","",IF(SUM($BE48)=0,SUM($AF48),IF(OR(SUM($AP48)=0,SUM($AQ48)=0),MAX($BE48,$AF48),ROUND($BE48*$AQ48/$AP48,0))))</f>
        <v>19</v>
      </c>
      <c r="BG48" s="114" t="n">
        <f aca="false">IF($C48="&lt;01","",95%)</f>
        <v>0.95</v>
      </c>
      <c r="BH48" s="5" t="n">
        <f aca="false">IF($C48="&lt;01",ROUND(INDEX(EID!$L:$L,MATCH($B48,EID!$B:$B,0)),0)/2,IF(SUM($BG48)=0,"",ROUND($AX48/$BG48,0)))</f>
        <v>-74</v>
      </c>
    </row>
    <row r="49" customFormat="false" ht="15" hidden="false" customHeight="false" outlineLevel="0" collapsed="false">
      <c r="A49" s="0" t="str">
        <f aca="false">INDEX(Prioritization!$D:$D,MATCH($B49,Prioritization!$A:$A,0))</f>
        <v>1 - Scale-up: Saturation</v>
      </c>
      <c r="B49" s="0" t="s">
        <v>196</v>
      </c>
      <c r="C49" s="0" t="s">
        <v>365</v>
      </c>
      <c r="D49" s="0" t="s">
        <v>30</v>
      </c>
      <c r="E49" s="0" t="str">
        <f aca="false">$B49&amp;"|"&amp;$C49&amp;"|"&amp;$D49</f>
        <v>Dowa District [zphK9WV8JB4]|15-24|Female</v>
      </c>
      <c r="F49" s="10"/>
      <c r="G49" s="10"/>
      <c r="H49" s="10"/>
      <c r="I49" s="10"/>
      <c r="J49" s="10"/>
      <c r="K49" s="10"/>
      <c r="L49" s="10"/>
      <c r="M49" s="10"/>
      <c r="N49" s="10"/>
      <c r="O49" s="10" t="str">
        <f aca="false">IFERROR(1/(1/MAX($I49,$N49)),"")</f>
        <v/>
      </c>
      <c r="P49" s="10"/>
      <c r="Q49" s="10"/>
      <c r="R49" s="10" t="str">
        <f aca="false">IF(AND(SUM($I49)=0,SUM($O49)=0),"",SUM($O49)-$I49)</f>
        <v/>
      </c>
      <c r="S49" s="10" t="n">
        <f aca="false">IF(LEFT($B49,4)="_Mil","",_xlfn.IFNA(ROUND(INDEX(Spectrum!$N:$N,MATCH(RIGHT($B49,13)&amp;"|"&amp;$C49&amp;"|"&amp;$D49&amp;"|"&amp;S$14&amp;"|"&amp;"CY2022Q4",Spectrum!$R:$R,0)),0),""))</f>
        <v>1050</v>
      </c>
      <c r="T49" s="39" t="n">
        <f aca="false">IF(LEFT($B49,4)="_Mil","",_xlfn.IFNA(ROUND(INDEX(Spectrum!$N:$N,MATCH(RIGHT($B49,13)&amp;"|"&amp;$C49&amp;"|"&amp;$D49&amp;"|"&amp;T$14&amp;"|"&amp;"CY2023Q3",Spectrum!$R:$R,0)),0),""))</f>
        <v>924</v>
      </c>
      <c r="U49" s="39" t="str">
        <f aca="false">IF(LEFT($B49,4)="_Mil","",_xlfn.IFNA(ROUND(INDEX(Spectrum!$N:$N,MATCH(RIGHT($B49,13)&amp;"|"&amp;$C49&amp;"|"&amp;$D49&amp;"|"&amp;U$14&amp;"|"&amp;"CY2023Q3",Spectrum!$R:$R,0)),0),""))</f>
        <v/>
      </c>
      <c r="V49" s="10" t="n">
        <f aca="false">IF(LEFT($B49,4)="_Mil","",_xlfn.IFNA(ROUND(INDEX(Spectrum!$N:$N,MATCH(RIGHT($B49,13)&amp;"|"&amp;$C49&amp;"|"&amp;$D49&amp;"|"&amp;V$14&amp;"|"&amp;"CY2023Q3",Spectrum!$R:$R,0)),0),""))</f>
        <v>1048</v>
      </c>
      <c r="W49" s="113" t="n">
        <f aca="false">IF(LEFT($B49,4)="_Mil","",_xlfn.IFNA(INDEX(Spectrum!$N:$N,MATCH(RIGHT($B49,13)&amp;"|"&amp;$C49&amp;"|"&amp;$D49&amp;"|"&amp;W$14&amp;"|"&amp;"CY2023Q3",Spectrum!$R:$R,0)),""))</f>
        <v>1645</v>
      </c>
      <c r="X49" s="39" t="n">
        <f aca="false">IF(LEFT($B49,4)="_Mil","",_xlfn.IFNA(ROUND(INDEX(Spectrum!$N:$N,MATCH(RIGHT($B49,13)&amp;"|"&amp;$C49&amp;"|"&amp;$D49&amp;"|"&amp;X$14&amp;"|"&amp;"CY2023Q3",Spectrum!$R:$R,0)),0),""))</f>
        <v>1007</v>
      </c>
      <c r="Y49" s="88" t="str">
        <f aca="false">IF(OR(SUM($U49)=0,LEFT($B49,4)="_Mil"),"",SUM($X49)/$U49)</f>
        <v/>
      </c>
      <c r="Z49" s="39" t="n">
        <f aca="false">IF(LEFT($B49,4)="_Mil","",_xlfn.IFNA(ROUND(INDEX(Spectrum!$N:$N,MATCH(RIGHT($B49,13)&amp;"|"&amp;$C49&amp;"|"&amp;$D49&amp;"|"&amp;Z$14&amp;"|"&amp;"CY2023Q3",Spectrum!$R:$R,0)),0),""))</f>
        <v>1168</v>
      </c>
      <c r="AA49" s="88" t="n">
        <f aca="false">IF(LEFT($B49,4)="_Mil","",IFERROR(1/(1/INDEX(Spectrum!$N:$N,MATCH(RIGHT($B49,13)&amp;"|"&amp;$C49&amp;"|"&amp;$D49&amp;"|"&amp;AA$14&amp;"|"&amp;"CY2023Q3",Spectrum!$R:$R,0))),IF(SUM($U49)=0,"",SUM($Z49)/$U49)))</f>
        <v>1568</v>
      </c>
      <c r="AB49" s="88" t="n">
        <f aca="false">IF(OR(LEFT($B49,4)="_Mil",SUM($X49)=0),"",SUM($Z49)/$X49)</f>
        <v>1.15988083416087</v>
      </c>
      <c r="AC49" s="10" t="n">
        <f aca="false">IF(LEFT($B49,4)="_Mil","",_xlfn.IFNA(ROUND(INDEX(Spectrum!$N:$N,MATCH(RIGHT($B49,13)&amp;"|"&amp;$C49&amp;"|"&amp;$D49&amp;"|"&amp;AC$14&amp;"|"&amp;"CY2023Q3",Spectrum!$R:$R,0)),0),""))</f>
        <v>1155</v>
      </c>
      <c r="AD49" s="10" t="str">
        <f aca="false">IF(LEFT($B49,4)="_Mil","",_xlfn.IFNA(ROUND(INDEX(Spectrum!$N:$N,MATCH(RIGHT($B49,13)&amp;"|"&amp;$C49&amp;"|"&amp;$D49&amp;"|"&amp;AD$14&amp;"|"&amp;"CY2023Q3",Spectrum!$R:$R,0)),0),""))</f>
        <v/>
      </c>
      <c r="AE49" s="88" t="n">
        <f aca="false">IF(OR(LEFT($B49,4)="_Mil",SUM($Z49)=0),"",SUM($AD49)/$Z49)</f>
        <v>0</v>
      </c>
      <c r="AF49" s="39" t="str">
        <f aca="false">IF(LEFT($B49,4)="_Mil","",_xlfn.IFNA(ROUND(INDEX(Spectrum!$N:$N,MATCH(RIGHT($B49,13)&amp;"|"&amp;$C49&amp;"|"&amp;$D49&amp;"|"&amp;AF$14&amp;"|"&amp;"CY2023Q3",Spectrum!$R:$R,0)),0),""))</f>
        <v/>
      </c>
      <c r="AG49" s="88" t="str">
        <f aca="false">IF(OR(LEFT($B49,4)="_Mil",SUM($AD49)=0),"",SUM($AF49)/$AD49)</f>
        <v/>
      </c>
      <c r="AH49" s="86" t="str">
        <f aca="false">IF(LEFT($B49,4)="_Mil","",_xlfn.IFNA(INDEX(Spectrum!$N:$N,MATCH(RIGHT($B49,13)&amp;"|"&amp;$C49&amp;"|"&amp;$D49&amp;"|"&amp;AH$14&amp;"|"&amp;"CY2023Q3",Spectrum!$R:$R,0)),""))</f>
        <v/>
      </c>
      <c r="AI49" s="10" t="str">
        <f aca="false">IF(LEFT($B49,4)="_Mil","",_xlfn.IFNA(ROUND(INDEX(Spectrum!$N:$N,MATCH(RIGHT($B49,13)&amp;"|"&amp;$C49&amp;"|"&amp;$D49&amp;"|"&amp;AI$14&amp;"|"&amp;"CY2023Q3",Spectrum!$R:$R,0)),0),""))</f>
        <v/>
      </c>
      <c r="AJ49" s="39" t="n">
        <f aca="false">IF(LEFT($B49,4)="_Mil","",_xlfn.IFNA(ROUND(INDEX(Spectrum!$N:$N,MATCH(RIGHT($B49,13)&amp;"|"&amp;$C49&amp;"|"&amp;$D49&amp;"|"&amp;AI$14&amp;"|"&amp;"CY2023Q3",Spectrum!$R:$R,0)),0),SUM($U49)+SUM($AI49)))</f>
        <v>0</v>
      </c>
      <c r="AK49" s="10" t="str">
        <f aca="false">IF(LEFT($B49,4)="_Mil","",_xlfn.IFNA(ROUND(INDEX(Spectrum!$N:$N,MATCH(RIGHT($B49,13)&amp;"|"&amp;$C49&amp;"|"&amp;$D49&amp;"|"&amp;AK$14&amp;"|"&amp;"CY2023Q3",Spectrum!$R:$R,0)),0),""))</f>
        <v/>
      </c>
      <c r="AL49" s="88" t="n">
        <f aca="false">IF(OR(LEFT($B49,4)="_Mil",$C49="&lt;01"),"",MAX(SUM($AA49),90%))</f>
        <v>1568</v>
      </c>
      <c r="AM49" s="10" t="n">
        <f aca="false">IF(OR(LEFT($B49,4)="_Mil",$C49="&lt;01"),"",ROUND(SUM($AJ49)*SUM($AL49),0))</f>
        <v>0</v>
      </c>
      <c r="AN49" s="10" t="str">
        <f aca="false">IF($C49="&lt;01",ROUND(INDEX(EID!$P:$P,MATCH($B49,EID!$B:$B,0))/2,0),"")</f>
        <v/>
      </c>
      <c r="AO49" s="10" t="n">
        <f aca="false">IF($C49="&lt;01",SUM($AN49),ROUND(SUM($AM49)*SUM($O49)/IF(SUM($Z49)=0,1,$Z49),0))</f>
        <v>0</v>
      </c>
      <c r="AP49" s="39" t="n">
        <f aca="false">IF(OR($F49="",$C49="&lt;01"),$AO49,$F49)</f>
        <v>0</v>
      </c>
      <c r="AQ49" s="39" t="n">
        <f aca="false">IF(LEFT($B49,4)="_Mil","",IF(SUM($AP49)=0,SUM($Z49),IF(OR(SUM($Z49)=0,SUM($O49)=0),MAX($AP49,$Z49),$AP49*$Z49/$O49)))</f>
        <v>1168</v>
      </c>
      <c r="AR49" s="88" t="str">
        <f aca="false">IF(OR(LEFT($B49,4)="_Mil",SUM($AJ49)=0),"",SUM($AQ49)/$AJ49)</f>
        <v/>
      </c>
      <c r="AS49" s="88" t="n">
        <f aca="false">IF($C49="&lt;01","",98%)</f>
        <v>0.98</v>
      </c>
      <c r="AT49" s="88" t="n">
        <f aca="false">IF($C49="&lt;01","",98%)</f>
        <v>0.98</v>
      </c>
      <c r="AU49" s="10" t="n">
        <f aca="false">IF($C49="&lt;01","",SUM($AP49)-SUM($O49))</f>
        <v>0</v>
      </c>
      <c r="AV49" s="10" t="n">
        <f aca="false">IF($C49="&lt;01",ROUND(INDEX(EID!$N:$N,MATCH($B49,EID!$B:$B,0))/2,0),IF(SUM($AT49)=0,"",ROUND((SUM($AP49)-(SUM($O49)*SUM($AS49)))/$AT49,0)))</f>
        <v>0</v>
      </c>
      <c r="AW49" s="88" t="n">
        <f aca="false">IF($C49="&lt;01","",100%)</f>
        <v>1</v>
      </c>
      <c r="AX49" s="39" t="n">
        <f aca="false">IF($C49="&lt;01",SUM($AV49),ROUND(SUM($AV49)*SUM($AW49),0))</f>
        <v>0</v>
      </c>
      <c r="AY49" s="114" t="n">
        <f aca="false">IF($C49="&lt;01","",70%)</f>
        <v>0.7</v>
      </c>
      <c r="AZ49" s="91" t="n">
        <f aca="false">IF($C49="&lt;01",ROUND(INDEX(EID!$R:$R,MATCH($B49,EID!$B:$B,0))/2,0),ROUND(SUM($O49)+(SUM($AV49)*$AY49),0))</f>
        <v>0</v>
      </c>
      <c r="BA49" s="87" t="n">
        <f aca="false">IF($C49="&lt;01","",95%)</f>
        <v>0.95</v>
      </c>
      <c r="BB49" s="5" t="n">
        <f aca="false">IF($C49="&lt;01",ROUND(INDEX(EID!$T:$T,MATCH($B49,EID!$B:$B,0))/2,0),ROUND($AZ49*$BA49,0))</f>
        <v>0</v>
      </c>
      <c r="BC49" s="91" t="n">
        <f aca="false">IF(LEFT($B49,4)="_Mil","",IF(SUM($BB49)=0,SUM($AD49),IF(OR(SUM($AP49)=0,SUM($AQ49)=0),MAX($BB49,$AD49),ROUND($BB49*$AQ49/$AP49,0))))</f>
        <v>0</v>
      </c>
      <c r="BD49" s="88" t="n">
        <f aca="false">IF($C49="&lt;01","",95%)</f>
        <v>0.95</v>
      </c>
      <c r="BE49" s="39" t="n">
        <f aca="false">IF($C49="&lt;01",ROUND(INDEX(EID!$V:$V,MATCH($B49,EID!$B:$B,0))/2,0),ROUND($BD49*$BB49,0))</f>
        <v>0</v>
      </c>
      <c r="BF49" s="39" t="n">
        <f aca="false">IF(LEFT($B49,4)="_Mil","",IF(SUM($BE49)=0,SUM($AF49),IF(OR(SUM($AP49)=0,SUM($AQ49)=0),MAX($BE49,$AF49),ROUND($BE49*$AQ49/$AP49,0))))</f>
        <v>0</v>
      </c>
      <c r="BG49" s="114" t="n">
        <f aca="false">IF($C49="&lt;01","",95%)</f>
        <v>0.95</v>
      </c>
      <c r="BH49" s="5" t="n">
        <f aca="false">IF($C49="&lt;01",ROUND(INDEX(EID!$L:$L,MATCH($B49,EID!$B:$B,0)),0)/2,IF(SUM($BG49)=0,"",ROUND($AX49/$BG49,0)))</f>
        <v>0</v>
      </c>
    </row>
    <row r="50" customFormat="false" ht="15" hidden="false" customHeight="false" outlineLevel="0" collapsed="false">
      <c r="A50" s="0" t="str">
        <f aca="false">INDEX(Prioritization!$D:$D,MATCH($B50,Prioritization!$A:$A,0))</f>
        <v>1 - Scale-up: Saturation</v>
      </c>
      <c r="B50" s="0" t="s">
        <v>196</v>
      </c>
      <c r="C50" s="0" t="s">
        <v>365</v>
      </c>
      <c r="D50" s="0" t="s">
        <v>48</v>
      </c>
      <c r="E50" s="0" t="str">
        <f aca="false">$B50&amp;"|"&amp;$C50&amp;"|"&amp;$D50</f>
        <v>Dowa District [zphK9WV8JB4]|15-24|Male</v>
      </c>
      <c r="F50" s="10"/>
      <c r="G50" s="10"/>
      <c r="H50" s="10"/>
      <c r="I50" s="10"/>
      <c r="J50" s="10"/>
      <c r="K50" s="10"/>
      <c r="L50" s="10"/>
      <c r="M50" s="10"/>
      <c r="N50" s="10"/>
      <c r="O50" s="10" t="str">
        <f aca="false">IFERROR(1/(1/MAX($I50,$N50)),"")</f>
        <v/>
      </c>
      <c r="P50" s="10"/>
      <c r="Q50" s="10"/>
      <c r="R50" s="10" t="str">
        <f aca="false">IF(AND(SUM($I50)=0,SUM($O50)=0),"",SUM($O50)-$I50)</f>
        <v/>
      </c>
      <c r="S50" s="10" t="n">
        <f aca="false">IF(LEFT($B50,4)="_Mil","",_xlfn.IFNA(ROUND(INDEX(Spectrum!$N:$N,MATCH(RIGHT($B50,13)&amp;"|"&amp;$C50&amp;"|"&amp;$D50&amp;"|"&amp;S$14&amp;"|"&amp;"CY2022Q4",Spectrum!$R:$R,0)),0),""))</f>
        <v>1043</v>
      </c>
      <c r="T50" s="39" t="n">
        <f aca="false">IF(LEFT($B50,4)="_Mil","",_xlfn.IFNA(ROUND(INDEX(Spectrum!$N:$N,MATCH(RIGHT($B50,13)&amp;"|"&amp;$C50&amp;"|"&amp;$D50&amp;"|"&amp;T$14&amp;"|"&amp;"CY2023Q3",Spectrum!$R:$R,0)),0),""))</f>
        <v>1452</v>
      </c>
      <c r="U50" s="39" t="str">
        <f aca="false">IF(LEFT($B50,4)="_Mil","",_xlfn.IFNA(ROUND(INDEX(Spectrum!$N:$N,MATCH(RIGHT($B50,13)&amp;"|"&amp;$C50&amp;"|"&amp;$D50&amp;"|"&amp;U$14&amp;"|"&amp;"CY2023Q3",Spectrum!$R:$R,0)),0),""))</f>
        <v/>
      </c>
      <c r="V50" s="10" t="n">
        <f aca="false">IF(LEFT($B50,4)="_Mil","",_xlfn.IFNA(ROUND(INDEX(Spectrum!$N:$N,MATCH(RIGHT($B50,13)&amp;"|"&amp;$C50&amp;"|"&amp;$D50&amp;"|"&amp;V$14&amp;"|"&amp;"CY2023Q3",Spectrum!$R:$R,0)),0),""))</f>
        <v>857</v>
      </c>
      <c r="W50" s="113" t="n">
        <f aca="false">IF(LEFT($B50,4)="_Mil","",_xlfn.IFNA(INDEX(Spectrum!$N:$N,MATCH(RIGHT($B50,13)&amp;"|"&amp;$C50&amp;"|"&amp;$D50&amp;"|"&amp;W$14&amp;"|"&amp;"CY2023Q3",Spectrum!$R:$R,0)),""))</f>
        <v>988</v>
      </c>
      <c r="X50" s="39" t="n">
        <f aca="false">IF(LEFT($B50,4)="_Mil","",_xlfn.IFNA(ROUND(INDEX(Spectrum!$N:$N,MATCH(RIGHT($B50,13)&amp;"|"&amp;$C50&amp;"|"&amp;$D50&amp;"|"&amp;X$14&amp;"|"&amp;"CY2023Q3",Spectrum!$R:$R,0)),0),""))</f>
        <v>618</v>
      </c>
      <c r="Y50" s="88" t="str">
        <f aca="false">IF(OR(SUM($U50)=0,LEFT($B50,4)="_Mil"),"",SUM($X50)/$U50)</f>
        <v/>
      </c>
      <c r="Z50" s="39" t="n">
        <f aca="false">IF(LEFT($B50,4)="_Mil","",_xlfn.IFNA(ROUND(INDEX(Spectrum!$N:$N,MATCH(RIGHT($B50,13)&amp;"|"&amp;$C50&amp;"|"&amp;$D50&amp;"|"&amp;Z$14&amp;"|"&amp;"CY2023Q3",Spectrum!$R:$R,0)),0),""))</f>
        <v>1932</v>
      </c>
      <c r="AA50" s="88" t="n">
        <f aca="false">IF(LEFT($B50,4)="_Mil","",IFERROR(1/(1/INDEX(Spectrum!$N:$N,MATCH(RIGHT($B50,13)&amp;"|"&amp;$C50&amp;"|"&amp;$D50&amp;"|"&amp;AA$14&amp;"|"&amp;"CY2023Q3",Spectrum!$R:$R,0))),IF(SUM($U50)=0,"",SUM($Z50)/$U50)))</f>
        <v>1202</v>
      </c>
      <c r="AB50" s="88" t="n">
        <f aca="false">IF(OR(LEFT($B50,4)="_Mil",SUM($X50)=0),"",SUM($Z50)/$X50)</f>
        <v>3.12621359223301</v>
      </c>
      <c r="AC50" s="10" t="n">
        <f aca="false">IF(LEFT($B50,4)="_Mil","",_xlfn.IFNA(ROUND(INDEX(Spectrum!$N:$N,MATCH(RIGHT($B50,13)&amp;"|"&amp;$C50&amp;"|"&amp;$D50&amp;"|"&amp;AC$14&amp;"|"&amp;"CY2023Q3",Spectrum!$R:$R,0)),0),""))</f>
        <v>2000</v>
      </c>
      <c r="AD50" s="10" t="str">
        <f aca="false">IF(LEFT($B50,4)="_Mil","",_xlfn.IFNA(ROUND(INDEX(Spectrum!$N:$N,MATCH(RIGHT($B50,13)&amp;"|"&amp;$C50&amp;"|"&amp;$D50&amp;"|"&amp;AD$14&amp;"|"&amp;"CY2023Q3",Spectrum!$R:$R,0)),0),""))</f>
        <v/>
      </c>
      <c r="AE50" s="88" t="n">
        <f aca="false">IF(OR(LEFT($B50,4)="_Mil",SUM($Z50)=0),"",SUM($AD50)/$Z50)</f>
        <v>0</v>
      </c>
      <c r="AF50" s="39" t="str">
        <f aca="false">IF(LEFT($B50,4)="_Mil","",_xlfn.IFNA(ROUND(INDEX(Spectrum!$N:$N,MATCH(RIGHT($B50,13)&amp;"|"&amp;$C50&amp;"|"&amp;$D50&amp;"|"&amp;AF$14&amp;"|"&amp;"CY2023Q3",Spectrum!$R:$R,0)),0),""))</f>
        <v/>
      </c>
      <c r="AG50" s="88" t="str">
        <f aca="false">IF(OR(LEFT($B50,4)="_Mil",SUM($AD50)=0),"",SUM($AF50)/$AD50)</f>
        <v/>
      </c>
      <c r="AH50" s="86" t="str">
        <f aca="false">IF(LEFT($B50,4)="_Mil","",_xlfn.IFNA(INDEX(Spectrum!$N:$N,MATCH(RIGHT($B50,13)&amp;"|"&amp;$C50&amp;"|"&amp;$D50&amp;"|"&amp;AH$14&amp;"|"&amp;"CY2023Q3",Spectrum!$R:$R,0)),""))</f>
        <v/>
      </c>
      <c r="AI50" s="10" t="str">
        <f aca="false">IF(LEFT($B50,4)="_Mil","",_xlfn.IFNA(ROUND(INDEX(Spectrum!$N:$N,MATCH(RIGHT($B50,13)&amp;"|"&amp;$C50&amp;"|"&amp;$D50&amp;"|"&amp;AI$14&amp;"|"&amp;"CY2023Q3",Spectrum!$R:$R,0)),0),""))</f>
        <v/>
      </c>
      <c r="AJ50" s="39" t="n">
        <f aca="false">IF(LEFT($B50,4)="_Mil","",_xlfn.IFNA(ROUND(INDEX(Spectrum!$N:$N,MATCH(RIGHT($B50,13)&amp;"|"&amp;$C50&amp;"|"&amp;$D50&amp;"|"&amp;AI$14&amp;"|"&amp;"CY2023Q3",Spectrum!$R:$R,0)),0),SUM($U50)+SUM($AI50)))</f>
        <v>0</v>
      </c>
      <c r="AK50" s="10" t="str">
        <f aca="false">IF(LEFT($B50,4)="_Mil","",_xlfn.IFNA(ROUND(INDEX(Spectrum!$N:$N,MATCH(RIGHT($B50,13)&amp;"|"&amp;$C50&amp;"|"&amp;$D50&amp;"|"&amp;AK$14&amp;"|"&amp;"CY2023Q3",Spectrum!$R:$R,0)),0),""))</f>
        <v/>
      </c>
      <c r="AL50" s="88" t="n">
        <f aca="false">IF(OR(LEFT($B50,4)="_Mil",$C50="&lt;01"),"",MAX(SUM($AA50),90%))</f>
        <v>1202</v>
      </c>
      <c r="AM50" s="10" t="n">
        <f aca="false">IF(OR(LEFT($B50,4)="_Mil",$C50="&lt;01"),"",ROUND(SUM($AJ50)*SUM($AL50),0))</f>
        <v>0</v>
      </c>
      <c r="AN50" s="10" t="str">
        <f aca="false">IF($C50="&lt;01",ROUND(INDEX(EID!$P:$P,MATCH($B50,EID!$B:$B,0))/2,0),"")</f>
        <v/>
      </c>
      <c r="AO50" s="10" t="n">
        <f aca="false">IF($C50="&lt;01",SUM($AN50),ROUND(SUM($AM50)*SUM($O50)/IF(SUM($Z50)=0,1,$Z50),0))</f>
        <v>0</v>
      </c>
      <c r="AP50" s="39" t="n">
        <f aca="false">IF(OR($F50="",$C50="&lt;01"),$AO50,$F50)</f>
        <v>0</v>
      </c>
      <c r="AQ50" s="39" t="n">
        <f aca="false">IF(LEFT($B50,4)="_Mil","",IF(SUM($AP50)=0,SUM($Z50),IF(OR(SUM($Z50)=0,SUM($O50)=0),MAX($AP50,$Z50),$AP50*$Z50/$O50)))</f>
        <v>1932</v>
      </c>
      <c r="AR50" s="88" t="str">
        <f aca="false">IF(OR(LEFT($B50,4)="_Mil",SUM($AJ50)=0),"",SUM($AQ50)/$AJ50)</f>
        <v/>
      </c>
      <c r="AS50" s="88" t="n">
        <f aca="false">IF($C50="&lt;01","",98%)</f>
        <v>0.98</v>
      </c>
      <c r="AT50" s="88" t="n">
        <f aca="false">IF($C50="&lt;01","",98%)</f>
        <v>0.98</v>
      </c>
      <c r="AU50" s="10" t="n">
        <f aca="false">IF($C50="&lt;01","",SUM($AP50)-SUM($O50))</f>
        <v>0</v>
      </c>
      <c r="AV50" s="10" t="n">
        <f aca="false">IF($C50="&lt;01",ROUND(INDEX(EID!$N:$N,MATCH($B50,EID!$B:$B,0))/2,0),IF(SUM($AT50)=0,"",ROUND((SUM($AP50)-(SUM($O50)*SUM($AS50)))/$AT50,0)))</f>
        <v>0</v>
      </c>
      <c r="AW50" s="88" t="n">
        <f aca="false">IF($C50="&lt;01","",100%)</f>
        <v>1</v>
      </c>
      <c r="AX50" s="39" t="n">
        <f aca="false">IF($C50="&lt;01",SUM($AV50),ROUND(SUM($AV50)*SUM($AW50),0))</f>
        <v>0</v>
      </c>
      <c r="AY50" s="114" t="n">
        <f aca="false">IF($C50="&lt;01","",70%)</f>
        <v>0.7</v>
      </c>
      <c r="AZ50" s="91" t="n">
        <f aca="false">IF($C50="&lt;01",ROUND(INDEX(EID!$R:$R,MATCH($B50,EID!$B:$B,0))/2,0),ROUND(SUM($O50)+(SUM($AV50)*$AY50),0))</f>
        <v>0</v>
      </c>
      <c r="BA50" s="87" t="n">
        <f aca="false">IF($C50="&lt;01","",95%)</f>
        <v>0.95</v>
      </c>
      <c r="BB50" s="5" t="n">
        <f aca="false">IF($C50="&lt;01",ROUND(INDEX(EID!$T:$T,MATCH($B50,EID!$B:$B,0))/2,0),ROUND($AZ50*$BA50,0))</f>
        <v>0</v>
      </c>
      <c r="BC50" s="91" t="n">
        <f aca="false">IF(LEFT($B50,4)="_Mil","",IF(SUM($BB50)=0,SUM($AD50),IF(OR(SUM($AP50)=0,SUM($AQ50)=0),MAX($BB50,$AD50),ROUND($BB50*$AQ50/$AP50,0))))</f>
        <v>0</v>
      </c>
      <c r="BD50" s="88" t="n">
        <f aca="false">IF($C50="&lt;01","",95%)</f>
        <v>0.95</v>
      </c>
      <c r="BE50" s="39" t="n">
        <f aca="false">IF($C50="&lt;01",ROUND(INDEX(EID!$V:$V,MATCH($B50,EID!$B:$B,0))/2,0),ROUND($BD50*$BB50,0))</f>
        <v>0</v>
      </c>
      <c r="BF50" s="39" t="n">
        <f aca="false">IF(LEFT($B50,4)="_Mil","",IF(SUM($BE50)=0,SUM($AF50),IF(OR(SUM($AP50)=0,SUM($AQ50)=0),MAX($BE50,$AF50),ROUND($BE50*$AQ50/$AP50,0))))</f>
        <v>0</v>
      </c>
      <c r="BG50" s="114" t="n">
        <f aca="false">IF($C50="&lt;01","",95%)</f>
        <v>0.95</v>
      </c>
      <c r="BH50" s="5" t="n">
        <f aca="false">IF($C50="&lt;01",ROUND(INDEX(EID!$L:$L,MATCH($B50,EID!$B:$B,0)),0)/2,IF(SUM($BG50)=0,"",ROUND($AX50/$BG50,0)))</f>
        <v>0</v>
      </c>
    </row>
    <row r="51" customFormat="false" ht="15" hidden="false" customHeight="false" outlineLevel="0" collapsed="false">
      <c r="A51" s="0" t="str">
        <f aca="false">INDEX(Prioritization!$D:$D,MATCH($B51,Prioritization!$A:$A,0))</f>
        <v>1 - Scale-up: Saturation</v>
      </c>
      <c r="B51" s="0" t="s">
        <v>196</v>
      </c>
      <c r="C51" s="0" t="s">
        <v>366</v>
      </c>
      <c r="D51" s="0" t="s">
        <v>30</v>
      </c>
      <c r="E51" s="0" t="str">
        <f aca="false">$B51&amp;"|"&amp;$C51&amp;"|"&amp;$D51</f>
        <v>Dowa District [zphK9WV8JB4]|25-34|Female</v>
      </c>
      <c r="F51" s="10"/>
      <c r="G51" s="10"/>
      <c r="H51" s="10"/>
      <c r="I51" s="10"/>
      <c r="J51" s="10"/>
      <c r="K51" s="10"/>
      <c r="L51" s="10"/>
      <c r="M51" s="10"/>
      <c r="N51" s="10"/>
      <c r="O51" s="10" t="str">
        <f aca="false">IFERROR(1/(1/MAX($I51,$N51)),"")</f>
        <v/>
      </c>
      <c r="P51" s="10"/>
      <c r="Q51" s="10"/>
      <c r="R51" s="10" t="str">
        <f aca="false">IF(AND(SUM($I51)=0,SUM($O51)=0),"",SUM($O51)-$I51)</f>
        <v/>
      </c>
      <c r="S51" s="10" t="n">
        <f aca="false">IF(LEFT($B51,4)="_Mil","",_xlfn.IFNA(ROUND(INDEX(Spectrum!$N:$N,MATCH(RIGHT($B51,13)&amp;"|"&amp;$C51&amp;"|"&amp;$D51&amp;"|"&amp;S$14&amp;"|"&amp;"CY2022Q4",Spectrum!$R:$R,0)),0),""))</f>
        <v>1198</v>
      </c>
      <c r="T51" s="39" t="n">
        <f aca="false">IF(LEFT($B51,4)="_Mil","",_xlfn.IFNA(ROUND(INDEX(Spectrum!$N:$N,MATCH(RIGHT($B51,13)&amp;"|"&amp;$C51&amp;"|"&amp;$D51&amp;"|"&amp;T$14&amp;"|"&amp;"CY2023Q3",Spectrum!$R:$R,0)),0),""))</f>
        <v>1916</v>
      </c>
      <c r="U51" s="39" t="str">
        <f aca="false">IF(LEFT($B51,4)="_Mil","",_xlfn.IFNA(ROUND(INDEX(Spectrum!$N:$N,MATCH(RIGHT($B51,13)&amp;"|"&amp;$C51&amp;"|"&amp;$D51&amp;"|"&amp;U$14&amp;"|"&amp;"CY2023Q3",Spectrum!$R:$R,0)),0),""))</f>
        <v/>
      </c>
      <c r="V51" s="10" t="n">
        <f aca="false">IF(LEFT($B51,4)="_Mil","",_xlfn.IFNA(ROUND(INDEX(Spectrum!$N:$N,MATCH(RIGHT($B51,13)&amp;"|"&amp;$C51&amp;"|"&amp;$D51&amp;"|"&amp;V$14&amp;"|"&amp;"CY2023Q3",Spectrum!$R:$R,0)),0),""))</f>
        <v>906</v>
      </c>
      <c r="W51" s="113" t="n">
        <f aca="false">IF(LEFT($B51,4)="_Mil","",_xlfn.IFNA(INDEX(Spectrum!$N:$N,MATCH(RIGHT($B51,13)&amp;"|"&amp;$C51&amp;"|"&amp;$D51&amp;"|"&amp;W$14&amp;"|"&amp;"CY2023Q3",Spectrum!$R:$R,0)),""))</f>
        <v>1117</v>
      </c>
      <c r="X51" s="39" t="n">
        <f aca="false">IF(LEFT($B51,4)="_Mil","",_xlfn.IFNA(ROUND(INDEX(Spectrum!$N:$N,MATCH(RIGHT($B51,13)&amp;"|"&amp;$C51&amp;"|"&amp;$D51&amp;"|"&amp;X$14&amp;"|"&amp;"CY2023Q3",Spectrum!$R:$R,0)),0),""))</f>
        <v>989</v>
      </c>
      <c r="Y51" s="88" t="str">
        <f aca="false">IF(OR(SUM($U51)=0,LEFT($B51,4)="_Mil"),"",SUM($X51)/$U51)</f>
        <v/>
      </c>
      <c r="Z51" s="39" t="n">
        <f aca="false">IF(LEFT($B51,4)="_Mil","",_xlfn.IFNA(ROUND(INDEX(Spectrum!$N:$N,MATCH(RIGHT($B51,13)&amp;"|"&amp;$C51&amp;"|"&amp;$D51&amp;"|"&amp;Z$14&amp;"|"&amp;"CY2023Q3",Spectrum!$R:$R,0)),0),""))</f>
        <v>1240</v>
      </c>
      <c r="AA51" s="88" t="n">
        <f aca="false">IF(LEFT($B51,4)="_Mil","",IFERROR(1/(1/INDEX(Spectrum!$N:$N,MATCH(RIGHT($B51,13)&amp;"|"&amp;$C51&amp;"|"&amp;$D51&amp;"|"&amp;AA$14&amp;"|"&amp;"CY2023Q3",Spectrum!$R:$R,0))),IF(SUM($U51)=0,"",SUM($Z51)/$U51)))</f>
        <v>1569</v>
      </c>
      <c r="AB51" s="88" t="n">
        <f aca="false">IF(OR(LEFT($B51,4)="_Mil",SUM($X51)=0),"",SUM($Z51)/$X51)</f>
        <v>1.25379170879676</v>
      </c>
      <c r="AC51" s="10" t="n">
        <f aca="false">IF(LEFT($B51,4)="_Mil","",_xlfn.IFNA(ROUND(INDEX(Spectrum!$N:$N,MATCH(RIGHT($B51,13)&amp;"|"&amp;$C51&amp;"|"&amp;$D51&amp;"|"&amp;AC$14&amp;"|"&amp;"CY2023Q3",Spectrum!$R:$R,0)),0),""))</f>
        <v>600</v>
      </c>
      <c r="AD51" s="10" t="str">
        <f aca="false">IF(LEFT($B51,4)="_Mil","",_xlfn.IFNA(ROUND(INDEX(Spectrum!$N:$N,MATCH(RIGHT($B51,13)&amp;"|"&amp;$C51&amp;"|"&amp;$D51&amp;"|"&amp;AD$14&amp;"|"&amp;"CY2023Q3",Spectrum!$R:$R,0)),0),""))</f>
        <v/>
      </c>
      <c r="AE51" s="88" t="n">
        <f aca="false">IF(OR(LEFT($B51,4)="_Mil",SUM($Z51)=0),"",SUM($AD51)/$Z51)</f>
        <v>0</v>
      </c>
      <c r="AF51" s="39" t="str">
        <f aca="false">IF(LEFT($B51,4)="_Mil","",_xlfn.IFNA(ROUND(INDEX(Spectrum!$N:$N,MATCH(RIGHT($B51,13)&amp;"|"&amp;$C51&amp;"|"&amp;$D51&amp;"|"&amp;AF$14&amp;"|"&amp;"CY2023Q3",Spectrum!$R:$R,0)),0),""))</f>
        <v/>
      </c>
      <c r="AG51" s="88" t="str">
        <f aca="false">IF(OR(LEFT($B51,4)="_Mil",SUM($AD51)=0),"",SUM($AF51)/$AD51)</f>
        <v/>
      </c>
      <c r="AH51" s="86" t="str">
        <f aca="false">IF(LEFT($B51,4)="_Mil","",_xlfn.IFNA(INDEX(Spectrum!$N:$N,MATCH(RIGHT($B51,13)&amp;"|"&amp;$C51&amp;"|"&amp;$D51&amp;"|"&amp;AH$14&amp;"|"&amp;"CY2023Q3",Spectrum!$R:$R,0)),""))</f>
        <v/>
      </c>
      <c r="AI51" s="10" t="str">
        <f aca="false">IF(LEFT($B51,4)="_Mil","",_xlfn.IFNA(ROUND(INDEX(Spectrum!$N:$N,MATCH(RIGHT($B51,13)&amp;"|"&amp;$C51&amp;"|"&amp;$D51&amp;"|"&amp;AI$14&amp;"|"&amp;"CY2023Q3",Spectrum!$R:$R,0)),0),""))</f>
        <v/>
      </c>
      <c r="AJ51" s="39" t="n">
        <f aca="false">IF(LEFT($B51,4)="_Mil","",_xlfn.IFNA(ROUND(INDEX(Spectrum!$N:$N,MATCH(RIGHT($B51,13)&amp;"|"&amp;$C51&amp;"|"&amp;$D51&amp;"|"&amp;AI$14&amp;"|"&amp;"CY2023Q3",Spectrum!$R:$R,0)),0),SUM($U51)+SUM($AI51)))</f>
        <v>0</v>
      </c>
      <c r="AK51" s="10" t="str">
        <f aca="false">IF(LEFT($B51,4)="_Mil","",_xlfn.IFNA(ROUND(INDEX(Spectrum!$N:$N,MATCH(RIGHT($B51,13)&amp;"|"&amp;$C51&amp;"|"&amp;$D51&amp;"|"&amp;AK$14&amp;"|"&amp;"CY2023Q3",Spectrum!$R:$R,0)),0),""))</f>
        <v/>
      </c>
      <c r="AL51" s="88" t="n">
        <f aca="false">IF(OR(LEFT($B51,4)="_Mil",$C51="&lt;01"),"",MAX(SUM($AA51),90%))</f>
        <v>1569</v>
      </c>
      <c r="AM51" s="10" t="n">
        <f aca="false">IF(OR(LEFT($B51,4)="_Mil",$C51="&lt;01"),"",ROUND(SUM($AJ51)*SUM($AL51),0))</f>
        <v>0</v>
      </c>
      <c r="AN51" s="10" t="str">
        <f aca="false">IF($C51="&lt;01",ROUND(INDEX(EID!$P:$P,MATCH($B51,EID!$B:$B,0))/2,0),"")</f>
        <v/>
      </c>
      <c r="AO51" s="10" t="n">
        <f aca="false">IF($C51="&lt;01",SUM($AN51),ROUND(SUM($AM51)*SUM($O51)/IF(SUM($Z51)=0,1,$Z51),0))</f>
        <v>0</v>
      </c>
      <c r="AP51" s="39" t="n">
        <f aca="false">IF(OR($F51="",$C51="&lt;01"),$AO51,$F51)</f>
        <v>0</v>
      </c>
      <c r="AQ51" s="39" t="n">
        <f aca="false">IF(LEFT($B51,4)="_Mil","",IF(SUM($AP51)=0,SUM($Z51),IF(OR(SUM($Z51)=0,SUM($O51)=0),MAX($AP51,$Z51),$AP51*$Z51/$O51)))</f>
        <v>1240</v>
      </c>
      <c r="AR51" s="88" t="str">
        <f aca="false">IF(OR(LEFT($B51,4)="_Mil",SUM($AJ51)=0),"",SUM($AQ51)/$AJ51)</f>
        <v/>
      </c>
      <c r="AS51" s="88" t="n">
        <f aca="false">IF($C51="&lt;01","",98%)</f>
        <v>0.98</v>
      </c>
      <c r="AT51" s="88" t="n">
        <f aca="false">IF($C51="&lt;01","",98%)</f>
        <v>0.98</v>
      </c>
      <c r="AU51" s="10" t="n">
        <f aca="false">IF($C51="&lt;01","",SUM($AP51)-SUM($O51))</f>
        <v>0</v>
      </c>
      <c r="AV51" s="10" t="n">
        <f aca="false">IF($C51="&lt;01",ROUND(INDEX(EID!$N:$N,MATCH($B51,EID!$B:$B,0))/2,0),IF(SUM($AT51)=0,"",ROUND((SUM($AP51)-(SUM($O51)*SUM($AS51)))/$AT51,0)))</f>
        <v>0</v>
      </c>
      <c r="AW51" s="88" t="n">
        <f aca="false">IF($C51="&lt;01","",100%)</f>
        <v>1</v>
      </c>
      <c r="AX51" s="39" t="n">
        <f aca="false">IF($C51="&lt;01",SUM($AV51),ROUND(SUM($AV51)*SUM($AW51),0))</f>
        <v>0</v>
      </c>
      <c r="AY51" s="114" t="n">
        <f aca="false">IF($C51="&lt;01","",70%)</f>
        <v>0.7</v>
      </c>
      <c r="AZ51" s="91" t="n">
        <f aca="false">IF($C51="&lt;01",ROUND(INDEX(EID!$R:$R,MATCH($B51,EID!$B:$B,0))/2,0),ROUND(SUM($O51)+(SUM($AV51)*$AY51),0))</f>
        <v>0</v>
      </c>
      <c r="BA51" s="87" t="n">
        <f aca="false">IF($C51="&lt;01","",95%)</f>
        <v>0.95</v>
      </c>
      <c r="BB51" s="5" t="n">
        <f aca="false">IF($C51="&lt;01",ROUND(INDEX(EID!$T:$T,MATCH($B51,EID!$B:$B,0))/2,0),ROUND($AZ51*$BA51,0))</f>
        <v>0</v>
      </c>
      <c r="BC51" s="91" t="n">
        <f aca="false">IF(LEFT($B51,4)="_Mil","",IF(SUM($BB51)=0,SUM($AD51),IF(OR(SUM($AP51)=0,SUM($AQ51)=0),MAX($BB51,$AD51),ROUND($BB51*$AQ51/$AP51,0))))</f>
        <v>0</v>
      </c>
      <c r="BD51" s="88" t="n">
        <f aca="false">IF($C51="&lt;01","",95%)</f>
        <v>0.95</v>
      </c>
      <c r="BE51" s="39" t="n">
        <f aca="false">IF($C51="&lt;01",ROUND(INDEX(EID!$V:$V,MATCH($B51,EID!$B:$B,0))/2,0),ROUND($BD51*$BB51,0))</f>
        <v>0</v>
      </c>
      <c r="BF51" s="39" t="n">
        <f aca="false">IF(LEFT($B51,4)="_Mil","",IF(SUM($BE51)=0,SUM($AF51),IF(OR(SUM($AP51)=0,SUM($AQ51)=0),MAX($BE51,$AF51),ROUND($BE51*$AQ51/$AP51,0))))</f>
        <v>0</v>
      </c>
      <c r="BG51" s="114" t="n">
        <f aca="false">IF($C51="&lt;01","",95%)</f>
        <v>0.95</v>
      </c>
      <c r="BH51" s="5" t="n">
        <f aca="false">IF($C51="&lt;01",ROUND(INDEX(EID!$L:$L,MATCH($B51,EID!$B:$B,0)),0)/2,IF(SUM($BG51)=0,"",ROUND($AX51/$BG51,0)))</f>
        <v>0</v>
      </c>
    </row>
    <row r="52" customFormat="false" ht="15" hidden="false" customHeight="false" outlineLevel="0" collapsed="false">
      <c r="A52" s="0" t="str">
        <f aca="false">INDEX(Prioritization!$D:$D,MATCH($B52,Prioritization!$A:$A,0))</f>
        <v>1 - Scale-up: Saturation</v>
      </c>
      <c r="B52" s="0" t="s">
        <v>196</v>
      </c>
      <c r="C52" s="0" t="s">
        <v>366</v>
      </c>
      <c r="D52" s="0" t="s">
        <v>48</v>
      </c>
      <c r="E52" s="0" t="str">
        <f aca="false">$B52&amp;"|"&amp;$C52&amp;"|"&amp;$D52</f>
        <v>Dowa District [zphK9WV8JB4]|25-34|Male</v>
      </c>
      <c r="F52" s="10"/>
      <c r="G52" s="10"/>
      <c r="H52" s="10"/>
      <c r="I52" s="10"/>
      <c r="J52" s="10"/>
      <c r="K52" s="10"/>
      <c r="L52" s="10"/>
      <c r="M52" s="10"/>
      <c r="N52" s="10"/>
      <c r="O52" s="10" t="str">
        <f aca="false">IFERROR(1/(1/MAX($I52,$N52)),"")</f>
        <v/>
      </c>
      <c r="P52" s="10"/>
      <c r="Q52" s="10"/>
      <c r="R52" s="10" t="str">
        <f aca="false">IF(AND(SUM($I52)=0,SUM($O52)=0),"",SUM($O52)-$I52)</f>
        <v/>
      </c>
      <c r="S52" s="10" t="n">
        <f aca="false">IF(LEFT($B52,4)="_Mil","",_xlfn.IFNA(ROUND(INDEX(Spectrum!$N:$N,MATCH(RIGHT($B52,13)&amp;"|"&amp;$C52&amp;"|"&amp;$D52&amp;"|"&amp;S$14&amp;"|"&amp;"CY2022Q4",Spectrum!$R:$R,0)),0),""))</f>
        <v>1026</v>
      </c>
      <c r="T52" s="39" t="n">
        <f aca="false">IF(LEFT($B52,4)="_Mil","",_xlfn.IFNA(ROUND(INDEX(Spectrum!$N:$N,MATCH(RIGHT($B52,13)&amp;"|"&amp;$C52&amp;"|"&amp;$D52&amp;"|"&amp;T$14&amp;"|"&amp;"CY2023Q3",Spectrum!$R:$R,0)),0),""))</f>
        <v>902</v>
      </c>
      <c r="U52" s="39" t="str">
        <f aca="false">IF(LEFT($B52,4)="_Mil","",_xlfn.IFNA(ROUND(INDEX(Spectrum!$N:$N,MATCH(RIGHT($B52,13)&amp;"|"&amp;$C52&amp;"|"&amp;$D52&amp;"|"&amp;U$14&amp;"|"&amp;"CY2023Q3",Spectrum!$R:$R,0)),0),""))</f>
        <v/>
      </c>
      <c r="V52" s="10" t="n">
        <f aca="false">IF(LEFT($B52,4)="_Mil","",_xlfn.IFNA(ROUND(INDEX(Spectrum!$N:$N,MATCH(RIGHT($B52,13)&amp;"|"&amp;$C52&amp;"|"&amp;$D52&amp;"|"&amp;V$14&amp;"|"&amp;"CY2023Q3",Spectrum!$R:$R,0)),0),""))</f>
        <v>1645</v>
      </c>
      <c r="W52" s="113" t="n">
        <f aca="false">IF(LEFT($B52,4)="_Mil","",_xlfn.IFNA(INDEX(Spectrum!$N:$N,MATCH(RIGHT($B52,13)&amp;"|"&amp;$C52&amp;"|"&amp;$D52&amp;"|"&amp;W$14&amp;"|"&amp;"CY2023Q3",Spectrum!$R:$R,0)),""))</f>
        <v>1243</v>
      </c>
      <c r="X52" s="39" t="n">
        <f aca="false">IF(LEFT($B52,4)="_Mil","",_xlfn.IFNA(ROUND(INDEX(Spectrum!$N:$N,MATCH(RIGHT($B52,13)&amp;"|"&amp;$C52&amp;"|"&amp;$D52&amp;"|"&amp;X$14&amp;"|"&amp;"CY2023Q3",Spectrum!$R:$R,0)),0),""))</f>
        <v>1771</v>
      </c>
      <c r="Y52" s="88" t="str">
        <f aca="false">IF(OR(SUM($U52)=0,LEFT($B52,4)="_Mil"),"",SUM($X52)/$U52)</f>
        <v/>
      </c>
      <c r="Z52" s="39" t="n">
        <f aca="false">IF(LEFT($B52,4)="_Mil","",_xlfn.IFNA(ROUND(INDEX(Spectrum!$N:$N,MATCH(RIGHT($B52,13)&amp;"|"&amp;$C52&amp;"|"&amp;$D52&amp;"|"&amp;Z$14&amp;"|"&amp;"CY2023Q3",Spectrum!$R:$R,0)),0),""))</f>
        <v>1138</v>
      </c>
      <c r="AA52" s="88" t="n">
        <f aca="false">IF(LEFT($B52,4)="_Mil","",IFERROR(1/(1/INDEX(Spectrum!$N:$N,MATCH(RIGHT($B52,13)&amp;"|"&amp;$C52&amp;"|"&amp;$D52&amp;"|"&amp;AA$14&amp;"|"&amp;"CY2023Q3",Spectrum!$R:$R,0))),IF(SUM($U52)=0,"",SUM($Z52)/$U52)))</f>
        <v>1826</v>
      </c>
      <c r="AB52" s="88" t="n">
        <f aca="false">IF(OR(LEFT($B52,4)="_Mil",SUM($X52)=0),"",SUM($Z52)/$X52)</f>
        <v>0.64257481648786</v>
      </c>
      <c r="AC52" s="10" t="n">
        <f aca="false">IF(LEFT($B52,4)="_Mil","",_xlfn.IFNA(ROUND(INDEX(Spectrum!$N:$N,MATCH(RIGHT($B52,13)&amp;"|"&amp;$C52&amp;"|"&amp;$D52&amp;"|"&amp;AC$14&amp;"|"&amp;"CY2023Q3",Spectrum!$R:$R,0)),0),""))</f>
        <v>1373</v>
      </c>
      <c r="AD52" s="10" t="str">
        <f aca="false">IF(LEFT($B52,4)="_Mil","",_xlfn.IFNA(ROUND(INDEX(Spectrum!$N:$N,MATCH(RIGHT($B52,13)&amp;"|"&amp;$C52&amp;"|"&amp;$D52&amp;"|"&amp;AD$14&amp;"|"&amp;"CY2023Q3",Spectrum!$R:$R,0)),0),""))</f>
        <v/>
      </c>
      <c r="AE52" s="88" t="n">
        <f aca="false">IF(OR(LEFT($B52,4)="_Mil",SUM($Z52)=0),"",SUM($AD52)/$Z52)</f>
        <v>0</v>
      </c>
      <c r="AF52" s="39" t="str">
        <f aca="false">IF(LEFT($B52,4)="_Mil","",_xlfn.IFNA(ROUND(INDEX(Spectrum!$N:$N,MATCH(RIGHT($B52,13)&amp;"|"&amp;$C52&amp;"|"&amp;$D52&amp;"|"&amp;AF$14&amp;"|"&amp;"CY2023Q3",Spectrum!$R:$R,0)),0),""))</f>
        <v/>
      </c>
      <c r="AG52" s="88" t="str">
        <f aca="false">IF(OR(LEFT($B52,4)="_Mil",SUM($AD52)=0),"",SUM($AF52)/$AD52)</f>
        <v/>
      </c>
      <c r="AH52" s="86" t="str">
        <f aca="false">IF(LEFT($B52,4)="_Mil","",_xlfn.IFNA(INDEX(Spectrum!$N:$N,MATCH(RIGHT($B52,13)&amp;"|"&amp;$C52&amp;"|"&amp;$D52&amp;"|"&amp;AH$14&amp;"|"&amp;"CY2023Q3",Spectrum!$R:$R,0)),""))</f>
        <v/>
      </c>
      <c r="AI52" s="10" t="str">
        <f aca="false">IF(LEFT($B52,4)="_Mil","",_xlfn.IFNA(ROUND(INDEX(Spectrum!$N:$N,MATCH(RIGHT($B52,13)&amp;"|"&amp;$C52&amp;"|"&amp;$D52&amp;"|"&amp;AI$14&amp;"|"&amp;"CY2023Q3",Spectrum!$R:$R,0)),0),""))</f>
        <v/>
      </c>
      <c r="AJ52" s="39" t="n">
        <f aca="false">IF(LEFT($B52,4)="_Mil","",_xlfn.IFNA(ROUND(INDEX(Spectrum!$N:$N,MATCH(RIGHT($B52,13)&amp;"|"&amp;$C52&amp;"|"&amp;$D52&amp;"|"&amp;AI$14&amp;"|"&amp;"CY2023Q3",Spectrum!$R:$R,0)),0),SUM($U52)+SUM($AI52)))</f>
        <v>0</v>
      </c>
      <c r="AK52" s="10" t="str">
        <f aca="false">IF(LEFT($B52,4)="_Mil","",_xlfn.IFNA(ROUND(INDEX(Spectrum!$N:$N,MATCH(RIGHT($B52,13)&amp;"|"&amp;$C52&amp;"|"&amp;$D52&amp;"|"&amp;AK$14&amp;"|"&amp;"CY2023Q3",Spectrum!$R:$R,0)),0),""))</f>
        <v/>
      </c>
      <c r="AL52" s="88" t="n">
        <f aca="false">IF(OR(LEFT($B52,4)="_Mil",$C52="&lt;01"),"",MAX(SUM($AA52),90%))</f>
        <v>1826</v>
      </c>
      <c r="AM52" s="10" t="n">
        <f aca="false">IF(OR(LEFT($B52,4)="_Mil",$C52="&lt;01"),"",ROUND(SUM($AJ52)*SUM($AL52),0))</f>
        <v>0</v>
      </c>
      <c r="AN52" s="10" t="str">
        <f aca="false">IF($C52="&lt;01",ROUND(INDEX(EID!$P:$P,MATCH($B52,EID!$B:$B,0))/2,0),"")</f>
        <v/>
      </c>
      <c r="AO52" s="10" t="n">
        <f aca="false">IF($C52="&lt;01",SUM($AN52),ROUND(SUM($AM52)*SUM($O52)/IF(SUM($Z52)=0,1,$Z52),0))</f>
        <v>0</v>
      </c>
      <c r="AP52" s="39" t="n">
        <f aca="false">IF(OR($F52="",$C52="&lt;01"),$AO52,$F52)</f>
        <v>0</v>
      </c>
      <c r="AQ52" s="39" t="n">
        <f aca="false">IF(LEFT($B52,4)="_Mil","",IF(SUM($AP52)=0,SUM($Z52),IF(OR(SUM($Z52)=0,SUM($O52)=0),MAX($AP52,$Z52),$AP52*$Z52/$O52)))</f>
        <v>1138</v>
      </c>
      <c r="AR52" s="88" t="str">
        <f aca="false">IF(OR(LEFT($B52,4)="_Mil",SUM($AJ52)=0),"",SUM($AQ52)/$AJ52)</f>
        <v/>
      </c>
      <c r="AS52" s="88" t="n">
        <f aca="false">IF($C52="&lt;01","",98%)</f>
        <v>0.98</v>
      </c>
      <c r="AT52" s="88" t="n">
        <f aca="false">IF($C52="&lt;01","",98%)</f>
        <v>0.98</v>
      </c>
      <c r="AU52" s="10" t="n">
        <f aca="false">IF($C52="&lt;01","",SUM($AP52)-SUM($O52))</f>
        <v>0</v>
      </c>
      <c r="AV52" s="10" t="n">
        <f aca="false">IF($C52="&lt;01",ROUND(INDEX(EID!$N:$N,MATCH($B52,EID!$B:$B,0))/2,0),IF(SUM($AT52)=0,"",ROUND((SUM($AP52)-(SUM($O52)*SUM($AS52)))/$AT52,0)))</f>
        <v>0</v>
      </c>
      <c r="AW52" s="88" t="n">
        <f aca="false">IF($C52="&lt;01","",100%)</f>
        <v>1</v>
      </c>
      <c r="AX52" s="39" t="n">
        <f aca="false">IF($C52="&lt;01",SUM($AV52),ROUND(SUM($AV52)*SUM($AW52),0))</f>
        <v>0</v>
      </c>
      <c r="AY52" s="114" t="n">
        <f aca="false">IF($C52="&lt;01","",70%)</f>
        <v>0.7</v>
      </c>
      <c r="AZ52" s="91" t="n">
        <f aca="false">IF($C52="&lt;01",ROUND(INDEX(EID!$R:$R,MATCH($B52,EID!$B:$B,0))/2,0),ROUND(SUM($O52)+(SUM($AV52)*$AY52),0))</f>
        <v>0</v>
      </c>
      <c r="BA52" s="87" t="n">
        <f aca="false">IF($C52="&lt;01","",95%)</f>
        <v>0.95</v>
      </c>
      <c r="BB52" s="5" t="n">
        <f aca="false">IF($C52="&lt;01",ROUND(INDEX(EID!$T:$T,MATCH($B52,EID!$B:$B,0))/2,0),ROUND($AZ52*$BA52,0))</f>
        <v>0</v>
      </c>
      <c r="BC52" s="91" t="n">
        <f aca="false">IF(LEFT($B52,4)="_Mil","",IF(SUM($BB52)=0,SUM($AD52),IF(OR(SUM($AP52)=0,SUM($AQ52)=0),MAX($BB52,$AD52),ROUND($BB52*$AQ52/$AP52,0))))</f>
        <v>0</v>
      </c>
      <c r="BD52" s="88" t="n">
        <f aca="false">IF($C52="&lt;01","",95%)</f>
        <v>0.95</v>
      </c>
      <c r="BE52" s="39" t="n">
        <f aca="false">IF($C52="&lt;01",ROUND(INDEX(EID!$V:$V,MATCH($B52,EID!$B:$B,0))/2,0),ROUND($BD52*$BB52,0))</f>
        <v>0</v>
      </c>
      <c r="BF52" s="39" t="n">
        <f aca="false">IF(LEFT($B52,4)="_Mil","",IF(SUM($BE52)=0,SUM($AF52),IF(OR(SUM($AP52)=0,SUM($AQ52)=0),MAX($BE52,$AF52),ROUND($BE52*$AQ52/$AP52,0))))</f>
        <v>0</v>
      </c>
      <c r="BG52" s="114" t="n">
        <f aca="false">IF($C52="&lt;01","",95%)</f>
        <v>0.95</v>
      </c>
      <c r="BH52" s="5" t="n">
        <f aca="false">IF($C52="&lt;01",ROUND(INDEX(EID!$L:$L,MATCH($B52,EID!$B:$B,0)),0)/2,IF(SUM($BG52)=0,"",ROUND($AX52/$BG52,0)))</f>
        <v>0</v>
      </c>
    </row>
    <row r="53" customFormat="false" ht="15" hidden="false" customHeight="false" outlineLevel="0" collapsed="false">
      <c r="A53" s="0" t="str">
        <f aca="false">INDEX(Prioritization!$D:$D,MATCH($B53,Prioritization!$A:$A,0))</f>
        <v>1 - Scale-up: Saturation</v>
      </c>
      <c r="B53" s="0" t="s">
        <v>196</v>
      </c>
      <c r="C53" s="0" t="s">
        <v>367</v>
      </c>
      <c r="D53" s="0" t="s">
        <v>30</v>
      </c>
      <c r="E53" s="0" t="str">
        <f aca="false">$B53&amp;"|"&amp;$C53&amp;"|"&amp;$D53</f>
        <v>Dowa District [zphK9WV8JB4]|35-49|Female</v>
      </c>
      <c r="F53" s="10"/>
      <c r="G53" s="10"/>
      <c r="H53" s="10"/>
      <c r="I53" s="10"/>
      <c r="J53" s="10"/>
      <c r="K53" s="10"/>
      <c r="L53" s="10"/>
      <c r="M53" s="10"/>
      <c r="N53" s="10"/>
      <c r="O53" s="10" t="str">
        <f aca="false">IFERROR(1/(1/MAX($I53,$N53)),"")</f>
        <v/>
      </c>
      <c r="P53" s="10"/>
      <c r="Q53" s="10"/>
      <c r="R53" s="10" t="str">
        <f aca="false">IF(AND(SUM($I53)=0,SUM($O53)=0),"",SUM($O53)-$I53)</f>
        <v/>
      </c>
      <c r="S53" s="10" t="n">
        <f aca="false">IF(LEFT($B53,4)="_Mil","",_xlfn.IFNA(ROUND(INDEX(Spectrum!$N:$N,MATCH(RIGHT($B53,13)&amp;"|"&amp;$C53&amp;"|"&amp;$D53&amp;"|"&amp;S$14&amp;"|"&amp;"CY2022Q4",Spectrum!$R:$R,0)),0),""))</f>
        <v>569</v>
      </c>
      <c r="T53" s="39" t="n">
        <f aca="false">IF(LEFT($B53,4)="_Mil","",_xlfn.IFNA(ROUND(INDEX(Spectrum!$N:$N,MATCH(RIGHT($B53,13)&amp;"|"&amp;$C53&amp;"|"&amp;$D53&amp;"|"&amp;T$14&amp;"|"&amp;"CY2023Q3",Spectrum!$R:$R,0)),0),""))</f>
        <v>1881</v>
      </c>
      <c r="U53" s="39" t="str">
        <f aca="false">IF(LEFT($B53,4)="_Mil","",_xlfn.IFNA(ROUND(INDEX(Spectrum!$N:$N,MATCH(RIGHT($B53,13)&amp;"|"&amp;$C53&amp;"|"&amp;$D53&amp;"|"&amp;U$14&amp;"|"&amp;"CY2023Q3",Spectrum!$R:$R,0)),0),""))</f>
        <v/>
      </c>
      <c r="V53" s="10" t="n">
        <f aca="false">IF(LEFT($B53,4)="_Mil","",_xlfn.IFNA(ROUND(INDEX(Spectrum!$N:$N,MATCH(RIGHT($B53,13)&amp;"|"&amp;$C53&amp;"|"&amp;$D53&amp;"|"&amp;V$14&amp;"|"&amp;"CY2023Q3",Spectrum!$R:$R,0)),0),""))</f>
        <v>1008</v>
      </c>
      <c r="W53" s="113" t="n">
        <f aca="false">IF(LEFT($B53,4)="_Mil","",_xlfn.IFNA(INDEX(Spectrum!$N:$N,MATCH(RIGHT($B53,13)&amp;"|"&amp;$C53&amp;"|"&amp;$D53&amp;"|"&amp;W$14&amp;"|"&amp;"CY2023Q3",Spectrum!$R:$R,0)),""))</f>
        <v>590</v>
      </c>
      <c r="X53" s="39" t="n">
        <f aca="false">IF(LEFT($B53,4)="_Mil","",_xlfn.IFNA(ROUND(INDEX(Spectrum!$N:$N,MATCH(RIGHT($B53,13)&amp;"|"&amp;$C53&amp;"|"&amp;$D53&amp;"|"&amp;X$14&amp;"|"&amp;"CY2023Q3",Spectrum!$R:$R,0)),0),""))</f>
        <v>1645</v>
      </c>
      <c r="Y53" s="88" t="str">
        <f aca="false">IF(OR(SUM($U53)=0,LEFT($B53,4)="_Mil"),"",SUM($X53)/$U53)</f>
        <v/>
      </c>
      <c r="Z53" s="39" t="n">
        <f aca="false">IF(LEFT($B53,4)="_Mil","",_xlfn.IFNA(ROUND(INDEX(Spectrum!$N:$N,MATCH(RIGHT($B53,13)&amp;"|"&amp;$C53&amp;"|"&amp;$D53&amp;"|"&amp;Z$14&amp;"|"&amp;"CY2023Q3",Spectrum!$R:$R,0)),0),""))</f>
        <v>773</v>
      </c>
      <c r="AA53" s="88" t="n">
        <f aca="false">IF(LEFT($B53,4)="_Mil","",IFERROR(1/(1/INDEX(Spectrum!$N:$N,MATCH(RIGHT($B53,13)&amp;"|"&amp;$C53&amp;"|"&amp;$D53&amp;"|"&amp;AA$14&amp;"|"&amp;"CY2023Q3",Spectrum!$R:$R,0))),IF(SUM($U53)=0,"",SUM($Z53)/$U53)))</f>
        <v>606</v>
      </c>
      <c r="AB53" s="88" t="n">
        <f aca="false">IF(OR(LEFT($B53,4)="_Mil",SUM($X53)=0),"",SUM($Z53)/$X53)</f>
        <v>0.469908814589666</v>
      </c>
      <c r="AC53" s="10" t="n">
        <f aca="false">IF(LEFT($B53,4)="_Mil","",_xlfn.IFNA(ROUND(INDEX(Spectrum!$N:$N,MATCH(RIGHT($B53,13)&amp;"|"&amp;$C53&amp;"|"&amp;$D53&amp;"|"&amp;AC$14&amp;"|"&amp;"CY2023Q3",Spectrum!$R:$R,0)),0),""))</f>
        <v>827</v>
      </c>
      <c r="AD53" s="10" t="str">
        <f aca="false">IF(LEFT($B53,4)="_Mil","",_xlfn.IFNA(ROUND(INDEX(Spectrum!$N:$N,MATCH(RIGHT($B53,13)&amp;"|"&amp;$C53&amp;"|"&amp;$D53&amp;"|"&amp;AD$14&amp;"|"&amp;"CY2023Q3",Spectrum!$R:$R,0)),0),""))</f>
        <v/>
      </c>
      <c r="AE53" s="88" t="n">
        <f aca="false">IF(OR(LEFT($B53,4)="_Mil",SUM($Z53)=0),"",SUM($AD53)/$Z53)</f>
        <v>0</v>
      </c>
      <c r="AF53" s="39" t="str">
        <f aca="false">IF(LEFT($B53,4)="_Mil","",_xlfn.IFNA(ROUND(INDEX(Spectrum!$N:$N,MATCH(RIGHT($B53,13)&amp;"|"&amp;$C53&amp;"|"&amp;$D53&amp;"|"&amp;AF$14&amp;"|"&amp;"CY2023Q3",Spectrum!$R:$R,0)),0),""))</f>
        <v/>
      </c>
      <c r="AG53" s="88" t="str">
        <f aca="false">IF(OR(LEFT($B53,4)="_Mil",SUM($AD53)=0),"",SUM($AF53)/$AD53)</f>
        <v/>
      </c>
      <c r="AH53" s="86" t="str">
        <f aca="false">IF(LEFT($B53,4)="_Mil","",_xlfn.IFNA(INDEX(Spectrum!$N:$N,MATCH(RIGHT($B53,13)&amp;"|"&amp;$C53&amp;"|"&amp;$D53&amp;"|"&amp;AH$14&amp;"|"&amp;"CY2023Q3",Spectrum!$R:$R,0)),""))</f>
        <v/>
      </c>
      <c r="AI53" s="10" t="str">
        <f aca="false">IF(LEFT($B53,4)="_Mil","",_xlfn.IFNA(ROUND(INDEX(Spectrum!$N:$N,MATCH(RIGHT($B53,13)&amp;"|"&amp;$C53&amp;"|"&amp;$D53&amp;"|"&amp;AI$14&amp;"|"&amp;"CY2023Q3",Spectrum!$R:$R,0)),0),""))</f>
        <v/>
      </c>
      <c r="AJ53" s="39" t="n">
        <f aca="false">IF(LEFT($B53,4)="_Mil","",_xlfn.IFNA(ROUND(INDEX(Spectrum!$N:$N,MATCH(RIGHT($B53,13)&amp;"|"&amp;$C53&amp;"|"&amp;$D53&amp;"|"&amp;AI$14&amp;"|"&amp;"CY2023Q3",Spectrum!$R:$R,0)),0),SUM($U53)+SUM($AI53)))</f>
        <v>0</v>
      </c>
      <c r="AK53" s="10" t="str">
        <f aca="false">IF(LEFT($B53,4)="_Mil","",_xlfn.IFNA(ROUND(INDEX(Spectrum!$N:$N,MATCH(RIGHT($B53,13)&amp;"|"&amp;$C53&amp;"|"&amp;$D53&amp;"|"&amp;AK$14&amp;"|"&amp;"CY2023Q3",Spectrum!$R:$R,0)),0),""))</f>
        <v/>
      </c>
      <c r="AL53" s="88" t="n">
        <f aca="false">IF(OR(LEFT($B53,4)="_Mil",$C53="&lt;01"),"",MAX(SUM($AA53),90%))</f>
        <v>606</v>
      </c>
      <c r="AM53" s="10" t="n">
        <f aca="false">IF(OR(LEFT($B53,4)="_Mil",$C53="&lt;01"),"",ROUND(SUM($AJ53)*SUM($AL53),0))</f>
        <v>0</v>
      </c>
      <c r="AN53" s="10" t="str">
        <f aca="false">IF($C53="&lt;01",ROUND(INDEX(EID!$P:$P,MATCH($B53,EID!$B:$B,0))/2,0),"")</f>
        <v/>
      </c>
      <c r="AO53" s="10" t="n">
        <f aca="false">IF($C53="&lt;01",SUM($AN53),ROUND(SUM($AM53)*SUM($O53)/IF(SUM($Z53)=0,1,$Z53),0))</f>
        <v>0</v>
      </c>
      <c r="AP53" s="39" t="n">
        <f aca="false">IF(OR($F53="",$C53="&lt;01"),$AO53,$F53)</f>
        <v>0</v>
      </c>
      <c r="AQ53" s="39" t="n">
        <f aca="false">IF(LEFT($B53,4)="_Mil","",IF(SUM($AP53)=0,SUM($Z53),IF(OR(SUM($Z53)=0,SUM($O53)=0),MAX($AP53,$Z53),$AP53*$Z53/$O53)))</f>
        <v>773</v>
      </c>
      <c r="AR53" s="88" t="str">
        <f aca="false">IF(OR(LEFT($B53,4)="_Mil",SUM($AJ53)=0),"",SUM($AQ53)/$AJ53)</f>
        <v/>
      </c>
      <c r="AS53" s="88" t="n">
        <f aca="false">IF($C53="&lt;01","",98%)</f>
        <v>0.98</v>
      </c>
      <c r="AT53" s="88" t="n">
        <f aca="false">IF($C53="&lt;01","",98%)</f>
        <v>0.98</v>
      </c>
      <c r="AU53" s="10" t="n">
        <f aca="false">IF($C53="&lt;01","",SUM($AP53)-SUM($O53))</f>
        <v>0</v>
      </c>
      <c r="AV53" s="10" t="n">
        <f aca="false">IF($C53="&lt;01",ROUND(INDEX(EID!$N:$N,MATCH($B53,EID!$B:$B,0))/2,0),IF(SUM($AT53)=0,"",ROUND((SUM($AP53)-(SUM($O53)*SUM($AS53)))/$AT53,0)))</f>
        <v>0</v>
      </c>
      <c r="AW53" s="88" t="n">
        <f aca="false">IF($C53="&lt;01","",100%)</f>
        <v>1</v>
      </c>
      <c r="AX53" s="39" t="n">
        <f aca="false">IF($C53="&lt;01",SUM($AV53),ROUND(SUM($AV53)*SUM($AW53),0))</f>
        <v>0</v>
      </c>
      <c r="AY53" s="114" t="n">
        <f aca="false">IF($C53="&lt;01","",70%)</f>
        <v>0.7</v>
      </c>
      <c r="AZ53" s="91" t="n">
        <f aca="false">IF($C53="&lt;01",ROUND(INDEX(EID!$R:$R,MATCH($B53,EID!$B:$B,0))/2,0),ROUND(SUM($O53)+(SUM($AV53)*$AY53),0))</f>
        <v>0</v>
      </c>
      <c r="BA53" s="87" t="n">
        <f aca="false">IF($C53="&lt;01","",95%)</f>
        <v>0.95</v>
      </c>
      <c r="BB53" s="5" t="n">
        <f aca="false">IF($C53="&lt;01",ROUND(INDEX(EID!$T:$T,MATCH($B53,EID!$B:$B,0))/2,0),ROUND($AZ53*$BA53,0))</f>
        <v>0</v>
      </c>
      <c r="BC53" s="91" t="n">
        <f aca="false">IF(LEFT($B53,4)="_Mil","",IF(SUM($BB53)=0,SUM($AD53),IF(OR(SUM($AP53)=0,SUM($AQ53)=0),MAX($BB53,$AD53),ROUND($BB53*$AQ53/$AP53,0))))</f>
        <v>0</v>
      </c>
      <c r="BD53" s="88" t="n">
        <f aca="false">IF($C53="&lt;01","",95%)</f>
        <v>0.95</v>
      </c>
      <c r="BE53" s="39" t="n">
        <f aca="false">IF($C53="&lt;01",ROUND(INDEX(EID!$V:$V,MATCH($B53,EID!$B:$B,0))/2,0),ROUND($BD53*$BB53,0))</f>
        <v>0</v>
      </c>
      <c r="BF53" s="39" t="n">
        <f aca="false">IF(LEFT($B53,4)="_Mil","",IF(SUM($BE53)=0,SUM($AF53),IF(OR(SUM($AP53)=0,SUM($AQ53)=0),MAX($BE53,$AF53),ROUND($BE53*$AQ53/$AP53,0))))</f>
        <v>0</v>
      </c>
      <c r="BG53" s="114" t="n">
        <f aca="false">IF($C53="&lt;01","",95%)</f>
        <v>0.95</v>
      </c>
      <c r="BH53" s="5" t="n">
        <f aca="false">IF($C53="&lt;01",ROUND(INDEX(EID!$L:$L,MATCH($B53,EID!$B:$B,0)),0)/2,IF(SUM($BG53)=0,"",ROUND($AX53/$BG53,0)))</f>
        <v>0</v>
      </c>
    </row>
    <row r="54" customFormat="false" ht="15" hidden="false" customHeight="false" outlineLevel="0" collapsed="false">
      <c r="A54" s="0" t="str">
        <f aca="false">INDEX(Prioritization!$D:$D,MATCH($B54,Prioritization!$A:$A,0))</f>
        <v>1 - Scale-up: Saturation</v>
      </c>
      <c r="B54" s="0" t="s">
        <v>196</v>
      </c>
      <c r="C54" s="0" t="s">
        <v>367</v>
      </c>
      <c r="D54" s="0" t="s">
        <v>48</v>
      </c>
      <c r="E54" s="0" t="str">
        <f aca="false">$B54&amp;"|"&amp;$C54&amp;"|"&amp;$D54</f>
        <v>Dowa District [zphK9WV8JB4]|35-49|Male</v>
      </c>
      <c r="F54" s="10"/>
      <c r="G54" s="10"/>
      <c r="H54" s="10"/>
      <c r="I54" s="10"/>
      <c r="J54" s="10"/>
      <c r="K54" s="10"/>
      <c r="L54" s="10"/>
      <c r="M54" s="10"/>
      <c r="N54" s="10"/>
      <c r="O54" s="10" t="str">
        <f aca="false">IFERROR(1/(1/MAX($I54,$N54)),"")</f>
        <v/>
      </c>
      <c r="P54" s="10"/>
      <c r="Q54" s="10"/>
      <c r="R54" s="10" t="str">
        <f aca="false">IF(AND(SUM($I54)=0,SUM($O54)=0),"",SUM($O54)-$I54)</f>
        <v/>
      </c>
      <c r="S54" s="10" t="n">
        <f aca="false">IF(LEFT($B54,4)="_Mil","",_xlfn.IFNA(ROUND(INDEX(Spectrum!$N:$N,MATCH(RIGHT($B54,13)&amp;"|"&amp;$C54&amp;"|"&amp;$D54&amp;"|"&amp;S$14&amp;"|"&amp;"CY2022Q4",Spectrum!$R:$R,0)),0),""))</f>
        <v>1977</v>
      </c>
      <c r="T54" s="39" t="n">
        <f aca="false">IF(LEFT($B54,4)="_Mil","",_xlfn.IFNA(ROUND(INDEX(Spectrum!$N:$N,MATCH(RIGHT($B54,13)&amp;"|"&amp;$C54&amp;"|"&amp;$D54&amp;"|"&amp;T$14&amp;"|"&amp;"CY2023Q3",Spectrum!$R:$R,0)),0),""))</f>
        <v>1463</v>
      </c>
      <c r="U54" s="39" t="str">
        <f aca="false">IF(LEFT($B54,4)="_Mil","",_xlfn.IFNA(ROUND(INDEX(Spectrum!$N:$N,MATCH(RIGHT($B54,13)&amp;"|"&amp;$C54&amp;"|"&amp;$D54&amp;"|"&amp;U$14&amp;"|"&amp;"CY2023Q3",Spectrum!$R:$R,0)),0),""))</f>
        <v/>
      </c>
      <c r="V54" s="10" t="n">
        <f aca="false">IF(LEFT($B54,4)="_Mil","",_xlfn.IFNA(ROUND(INDEX(Spectrum!$N:$N,MATCH(RIGHT($B54,13)&amp;"|"&amp;$C54&amp;"|"&amp;$D54&amp;"|"&amp;V$14&amp;"|"&amp;"CY2023Q3",Spectrum!$R:$R,0)),0),""))</f>
        <v>619</v>
      </c>
      <c r="W54" s="113" t="n">
        <f aca="false">IF(LEFT($B54,4)="_Mil","",_xlfn.IFNA(INDEX(Spectrum!$N:$N,MATCH(RIGHT($B54,13)&amp;"|"&amp;$C54&amp;"|"&amp;$D54&amp;"|"&amp;W$14&amp;"|"&amp;"CY2023Q3",Spectrum!$R:$R,0)),""))</f>
        <v>532</v>
      </c>
      <c r="X54" s="39" t="n">
        <f aca="false">IF(LEFT($B54,4)="_Mil","",_xlfn.IFNA(ROUND(INDEX(Spectrum!$N:$N,MATCH(RIGHT($B54,13)&amp;"|"&amp;$C54&amp;"|"&amp;$D54&amp;"|"&amp;X$14&amp;"|"&amp;"CY2023Q3",Spectrum!$R:$R,0)),0),""))</f>
        <v>957</v>
      </c>
      <c r="Y54" s="88" t="str">
        <f aca="false">IF(OR(SUM($U54)=0,LEFT($B54,4)="_Mil"),"",SUM($X54)/$U54)</f>
        <v/>
      </c>
      <c r="Z54" s="39" t="n">
        <f aca="false">IF(LEFT($B54,4)="_Mil","",_xlfn.IFNA(ROUND(INDEX(Spectrum!$N:$N,MATCH(RIGHT($B54,13)&amp;"|"&amp;$C54&amp;"|"&amp;$D54&amp;"|"&amp;Z$14&amp;"|"&amp;"CY2023Q3",Spectrum!$R:$R,0)),0),""))</f>
        <v>1148</v>
      </c>
      <c r="AA54" s="88" t="n">
        <f aca="false">IF(LEFT($B54,4)="_Mil","",IFERROR(1/(1/INDEX(Spectrum!$N:$N,MATCH(RIGHT($B54,13)&amp;"|"&amp;$C54&amp;"|"&amp;$D54&amp;"|"&amp;AA$14&amp;"|"&amp;"CY2023Q3",Spectrum!$R:$R,0))),IF(SUM($U54)=0,"",SUM($Z54)/$U54)))</f>
        <v>1724</v>
      </c>
      <c r="AB54" s="88" t="n">
        <f aca="false">IF(OR(LEFT($B54,4)="_Mil",SUM($X54)=0),"",SUM($Z54)/$X54)</f>
        <v>1.19958202716823</v>
      </c>
      <c r="AC54" s="10" t="n">
        <f aca="false">IF(LEFT($B54,4)="_Mil","",_xlfn.IFNA(ROUND(INDEX(Spectrum!$N:$N,MATCH(RIGHT($B54,13)&amp;"|"&amp;$C54&amp;"|"&amp;$D54&amp;"|"&amp;AC$14&amp;"|"&amp;"CY2023Q3",Spectrum!$R:$R,0)),0),""))</f>
        <v>867</v>
      </c>
      <c r="AD54" s="10" t="str">
        <f aca="false">IF(LEFT($B54,4)="_Mil","",_xlfn.IFNA(ROUND(INDEX(Spectrum!$N:$N,MATCH(RIGHT($B54,13)&amp;"|"&amp;$C54&amp;"|"&amp;$D54&amp;"|"&amp;AD$14&amp;"|"&amp;"CY2023Q3",Spectrum!$R:$R,0)),0),""))</f>
        <v/>
      </c>
      <c r="AE54" s="88" t="n">
        <f aca="false">IF(OR(LEFT($B54,4)="_Mil",SUM($Z54)=0),"",SUM($AD54)/$Z54)</f>
        <v>0</v>
      </c>
      <c r="AF54" s="39" t="str">
        <f aca="false">IF(LEFT($B54,4)="_Mil","",_xlfn.IFNA(ROUND(INDEX(Spectrum!$N:$N,MATCH(RIGHT($B54,13)&amp;"|"&amp;$C54&amp;"|"&amp;$D54&amp;"|"&amp;AF$14&amp;"|"&amp;"CY2023Q3",Spectrum!$R:$R,0)),0),""))</f>
        <v/>
      </c>
      <c r="AG54" s="88" t="str">
        <f aca="false">IF(OR(LEFT($B54,4)="_Mil",SUM($AD54)=0),"",SUM($AF54)/$AD54)</f>
        <v/>
      </c>
      <c r="AH54" s="86" t="str">
        <f aca="false">IF(LEFT($B54,4)="_Mil","",_xlfn.IFNA(INDEX(Spectrum!$N:$N,MATCH(RIGHT($B54,13)&amp;"|"&amp;$C54&amp;"|"&amp;$D54&amp;"|"&amp;AH$14&amp;"|"&amp;"CY2023Q3",Spectrum!$R:$R,0)),""))</f>
        <v/>
      </c>
      <c r="AI54" s="10" t="str">
        <f aca="false">IF(LEFT($B54,4)="_Mil","",_xlfn.IFNA(ROUND(INDEX(Spectrum!$N:$N,MATCH(RIGHT($B54,13)&amp;"|"&amp;$C54&amp;"|"&amp;$D54&amp;"|"&amp;AI$14&amp;"|"&amp;"CY2023Q3",Spectrum!$R:$R,0)),0),""))</f>
        <v/>
      </c>
      <c r="AJ54" s="39" t="n">
        <f aca="false">IF(LEFT($B54,4)="_Mil","",_xlfn.IFNA(ROUND(INDEX(Spectrum!$N:$N,MATCH(RIGHT($B54,13)&amp;"|"&amp;$C54&amp;"|"&amp;$D54&amp;"|"&amp;AI$14&amp;"|"&amp;"CY2023Q3",Spectrum!$R:$R,0)),0),SUM($U54)+SUM($AI54)))</f>
        <v>0</v>
      </c>
      <c r="AK54" s="10" t="str">
        <f aca="false">IF(LEFT($B54,4)="_Mil","",_xlfn.IFNA(ROUND(INDEX(Spectrum!$N:$N,MATCH(RIGHT($B54,13)&amp;"|"&amp;$C54&amp;"|"&amp;$D54&amp;"|"&amp;AK$14&amp;"|"&amp;"CY2023Q3",Spectrum!$R:$R,0)),0),""))</f>
        <v/>
      </c>
      <c r="AL54" s="88" t="n">
        <f aca="false">IF(OR(LEFT($B54,4)="_Mil",$C54="&lt;01"),"",MAX(SUM($AA54),90%))</f>
        <v>1724</v>
      </c>
      <c r="AM54" s="10" t="n">
        <f aca="false">IF(OR(LEFT($B54,4)="_Mil",$C54="&lt;01"),"",ROUND(SUM($AJ54)*SUM($AL54),0))</f>
        <v>0</v>
      </c>
      <c r="AN54" s="10" t="str">
        <f aca="false">IF($C54="&lt;01",ROUND(INDEX(EID!$P:$P,MATCH($B54,EID!$B:$B,0))/2,0),"")</f>
        <v/>
      </c>
      <c r="AO54" s="10" t="n">
        <f aca="false">IF($C54="&lt;01",SUM($AN54),ROUND(SUM($AM54)*SUM($O54)/IF(SUM($Z54)=0,1,$Z54),0))</f>
        <v>0</v>
      </c>
      <c r="AP54" s="39" t="n">
        <f aca="false">IF(OR($F54="",$C54="&lt;01"),$AO54,$F54)</f>
        <v>0</v>
      </c>
      <c r="AQ54" s="39" t="n">
        <f aca="false">IF(LEFT($B54,4)="_Mil","",IF(SUM($AP54)=0,SUM($Z54),IF(OR(SUM($Z54)=0,SUM($O54)=0),MAX($AP54,$Z54),$AP54*$Z54/$O54)))</f>
        <v>1148</v>
      </c>
      <c r="AR54" s="88" t="str">
        <f aca="false">IF(OR(LEFT($B54,4)="_Mil",SUM($AJ54)=0),"",SUM($AQ54)/$AJ54)</f>
        <v/>
      </c>
      <c r="AS54" s="88" t="n">
        <f aca="false">IF($C54="&lt;01","",98%)</f>
        <v>0.98</v>
      </c>
      <c r="AT54" s="88" t="n">
        <f aca="false">IF($C54="&lt;01","",98%)</f>
        <v>0.98</v>
      </c>
      <c r="AU54" s="10" t="n">
        <f aca="false">IF($C54="&lt;01","",SUM($AP54)-SUM($O54))</f>
        <v>0</v>
      </c>
      <c r="AV54" s="10" t="n">
        <f aca="false">IF($C54="&lt;01",ROUND(INDEX(EID!$N:$N,MATCH($B54,EID!$B:$B,0))/2,0),IF(SUM($AT54)=0,"",ROUND((SUM($AP54)-(SUM($O54)*SUM($AS54)))/$AT54,0)))</f>
        <v>0</v>
      </c>
      <c r="AW54" s="88" t="n">
        <f aca="false">IF($C54="&lt;01","",100%)</f>
        <v>1</v>
      </c>
      <c r="AX54" s="39" t="n">
        <f aca="false">IF($C54="&lt;01",SUM($AV54),ROUND(SUM($AV54)*SUM($AW54),0))</f>
        <v>0</v>
      </c>
      <c r="AY54" s="114" t="n">
        <f aca="false">IF($C54="&lt;01","",70%)</f>
        <v>0.7</v>
      </c>
      <c r="AZ54" s="91" t="n">
        <f aca="false">IF($C54="&lt;01",ROUND(INDEX(EID!$R:$R,MATCH($B54,EID!$B:$B,0))/2,0),ROUND(SUM($O54)+(SUM($AV54)*$AY54),0))</f>
        <v>0</v>
      </c>
      <c r="BA54" s="87" t="n">
        <f aca="false">IF($C54="&lt;01","",95%)</f>
        <v>0.95</v>
      </c>
      <c r="BB54" s="5" t="n">
        <f aca="false">IF($C54="&lt;01",ROUND(INDEX(EID!$T:$T,MATCH($B54,EID!$B:$B,0))/2,0),ROUND($AZ54*$BA54,0))</f>
        <v>0</v>
      </c>
      <c r="BC54" s="91" t="n">
        <f aca="false">IF(LEFT($B54,4)="_Mil","",IF(SUM($BB54)=0,SUM($AD54),IF(OR(SUM($AP54)=0,SUM($AQ54)=0),MAX($BB54,$AD54),ROUND($BB54*$AQ54/$AP54,0))))</f>
        <v>0</v>
      </c>
      <c r="BD54" s="88" t="n">
        <f aca="false">IF($C54="&lt;01","",95%)</f>
        <v>0.95</v>
      </c>
      <c r="BE54" s="39" t="n">
        <f aca="false">IF($C54="&lt;01",ROUND(INDEX(EID!$V:$V,MATCH($B54,EID!$B:$B,0))/2,0),ROUND($BD54*$BB54,0))</f>
        <v>0</v>
      </c>
      <c r="BF54" s="39" t="n">
        <f aca="false">IF(LEFT($B54,4)="_Mil","",IF(SUM($BE54)=0,SUM($AF54),IF(OR(SUM($AP54)=0,SUM($AQ54)=0),MAX($BE54,$AF54),ROUND($BE54*$AQ54/$AP54,0))))</f>
        <v>0</v>
      </c>
      <c r="BG54" s="114" t="n">
        <f aca="false">IF($C54="&lt;01","",95%)</f>
        <v>0.95</v>
      </c>
      <c r="BH54" s="5" t="n">
        <f aca="false">IF($C54="&lt;01",ROUND(INDEX(EID!$L:$L,MATCH($B54,EID!$B:$B,0)),0)/2,IF(SUM($BG54)=0,"",ROUND($AX54/$BG54,0)))</f>
        <v>0</v>
      </c>
    </row>
    <row r="55" customFormat="false" ht="15" hidden="false" customHeight="false" outlineLevel="0" collapsed="false">
      <c r="A55" s="0" t="str">
        <f aca="false">INDEX(Prioritization!$D:$D,MATCH($B55,Prioritization!$A:$A,0))</f>
        <v>1 - Scale-up: Saturation</v>
      </c>
      <c r="B55" s="0" t="s">
        <v>196</v>
      </c>
      <c r="C55" s="0" t="s">
        <v>368</v>
      </c>
      <c r="D55" s="0" t="s">
        <v>30</v>
      </c>
      <c r="E55" s="0" t="str">
        <f aca="false">$B55&amp;"|"&amp;$C55&amp;"|"&amp;$D55</f>
        <v>Dowa District [zphK9WV8JB4]|50+|Female</v>
      </c>
      <c r="F55" s="10"/>
      <c r="G55" s="10"/>
      <c r="H55" s="10"/>
      <c r="I55" s="10"/>
      <c r="J55" s="10"/>
      <c r="K55" s="10"/>
      <c r="L55" s="10"/>
      <c r="M55" s="10"/>
      <c r="N55" s="10"/>
      <c r="O55" s="10" t="str">
        <f aca="false">IFERROR(1/(1/MAX($I55,$N55)),"")</f>
        <v/>
      </c>
      <c r="P55" s="10"/>
      <c r="Q55" s="10"/>
      <c r="R55" s="10" t="str">
        <f aca="false">IF(AND(SUM($I55)=0,SUM($O55)=0),"",SUM($O55)-$I55)</f>
        <v/>
      </c>
      <c r="S55" s="10" t="n">
        <f aca="false">IF(LEFT($B55,4)="_Mil","",_xlfn.IFNA(ROUND(INDEX(Spectrum!$N:$N,MATCH(RIGHT($B55,13)&amp;"|"&amp;$C55&amp;"|"&amp;$D55&amp;"|"&amp;S$14&amp;"|"&amp;"CY2022Q4",Spectrum!$R:$R,0)),0),""))</f>
        <v>961</v>
      </c>
      <c r="T55" s="39" t="n">
        <f aca="false">IF(LEFT($B55,4)="_Mil","",_xlfn.IFNA(ROUND(INDEX(Spectrum!$N:$N,MATCH(RIGHT($B55,13)&amp;"|"&amp;$C55&amp;"|"&amp;$D55&amp;"|"&amp;T$14&amp;"|"&amp;"CY2023Q3",Spectrum!$R:$R,0)),0),""))</f>
        <v>915</v>
      </c>
      <c r="U55" s="39" t="str">
        <f aca="false">IF(LEFT($B55,4)="_Mil","",_xlfn.IFNA(ROUND(INDEX(Spectrum!$N:$N,MATCH(RIGHT($B55,13)&amp;"|"&amp;$C55&amp;"|"&amp;$D55&amp;"|"&amp;U$14&amp;"|"&amp;"CY2023Q3",Spectrum!$R:$R,0)),0),""))</f>
        <v/>
      </c>
      <c r="V55" s="10" t="n">
        <f aca="false">IF(LEFT($B55,4)="_Mil","",_xlfn.IFNA(ROUND(INDEX(Spectrum!$N:$N,MATCH(RIGHT($B55,13)&amp;"|"&amp;$C55&amp;"|"&amp;$D55&amp;"|"&amp;V$14&amp;"|"&amp;"CY2023Q3",Spectrum!$R:$R,0)),0),""))</f>
        <v>508</v>
      </c>
      <c r="W55" s="113" t="n">
        <f aca="false">IF(LEFT($B55,4)="_Mil","",_xlfn.IFNA(INDEX(Spectrum!$N:$N,MATCH(RIGHT($B55,13)&amp;"|"&amp;$C55&amp;"|"&amp;$D55&amp;"|"&amp;W$14&amp;"|"&amp;"CY2023Q3",Spectrum!$R:$R,0)),""))</f>
        <v>621</v>
      </c>
      <c r="X55" s="39" t="n">
        <f aca="false">IF(LEFT($B55,4)="_Mil","",_xlfn.IFNA(ROUND(INDEX(Spectrum!$N:$N,MATCH(RIGHT($B55,13)&amp;"|"&amp;$C55&amp;"|"&amp;$D55&amp;"|"&amp;X$14&amp;"|"&amp;"CY2023Q3",Spectrum!$R:$R,0)),0),""))</f>
        <v>1605</v>
      </c>
      <c r="Y55" s="88" t="str">
        <f aca="false">IF(OR(SUM($U55)=0,LEFT($B55,4)="_Mil"),"",SUM($X55)/$U55)</f>
        <v/>
      </c>
      <c r="Z55" s="39" t="n">
        <f aca="false">IF(LEFT($B55,4)="_Mil","",_xlfn.IFNA(ROUND(INDEX(Spectrum!$N:$N,MATCH(RIGHT($B55,13)&amp;"|"&amp;$C55&amp;"|"&amp;$D55&amp;"|"&amp;Z$14&amp;"|"&amp;"CY2023Q3",Spectrum!$R:$R,0)),0),""))</f>
        <v>1336</v>
      </c>
      <c r="AA55" s="88" t="n">
        <f aca="false">IF(LEFT($B55,4)="_Mil","",IFERROR(1/(1/INDEX(Spectrum!$N:$N,MATCH(RIGHT($B55,13)&amp;"|"&amp;$C55&amp;"|"&amp;$D55&amp;"|"&amp;AA$14&amp;"|"&amp;"CY2023Q3",Spectrum!$R:$R,0))),IF(SUM($U55)=0,"",SUM($Z55)/$U55)))</f>
        <v>838</v>
      </c>
      <c r="AB55" s="88" t="n">
        <f aca="false">IF(OR(LEFT($B55,4)="_Mil",SUM($X55)=0),"",SUM($Z55)/$X55)</f>
        <v>0.832398753894081</v>
      </c>
      <c r="AC55" s="10" t="n">
        <f aca="false">IF(LEFT($B55,4)="_Mil","",_xlfn.IFNA(ROUND(INDEX(Spectrum!$N:$N,MATCH(RIGHT($B55,13)&amp;"|"&amp;$C55&amp;"|"&amp;$D55&amp;"|"&amp;AC$14&amp;"|"&amp;"CY2023Q3",Spectrum!$R:$R,0)),0),""))</f>
        <v>1130</v>
      </c>
      <c r="AD55" s="10" t="str">
        <f aca="false">IF(LEFT($B55,4)="_Mil","",_xlfn.IFNA(ROUND(INDEX(Spectrum!$N:$N,MATCH(RIGHT($B55,13)&amp;"|"&amp;$C55&amp;"|"&amp;$D55&amp;"|"&amp;AD$14&amp;"|"&amp;"CY2023Q3",Spectrum!$R:$R,0)),0),""))</f>
        <v/>
      </c>
      <c r="AE55" s="88" t="n">
        <f aca="false">IF(OR(LEFT($B55,4)="_Mil",SUM($Z55)=0),"",SUM($AD55)/$Z55)</f>
        <v>0</v>
      </c>
      <c r="AF55" s="39" t="str">
        <f aca="false">IF(LEFT($B55,4)="_Mil","",_xlfn.IFNA(ROUND(INDEX(Spectrum!$N:$N,MATCH(RIGHT($B55,13)&amp;"|"&amp;$C55&amp;"|"&amp;$D55&amp;"|"&amp;AF$14&amp;"|"&amp;"CY2023Q3",Spectrum!$R:$R,0)),0),""))</f>
        <v/>
      </c>
      <c r="AG55" s="88" t="str">
        <f aca="false">IF(OR(LEFT($B55,4)="_Mil",SUM($AD55)=0),"",SUM($AF55)/$AD55)</f>
        <v/>
      </c>
      <c r="AH55" s="86" t="str">
        <f aca="false">IF(LEFT($B55,4)="_Mil","",_xlfn.IFNA(INDEX(Spectrum!$N:$N,MATCH(RIGHT($B55,13)&amp;"|"&amp;$C55&amp;"|"&amp;$D55&amp;"|"&amp;AH$14&amp;"|"&amp;"CY2023Q3",Spectrum!$R:$R,0)),""))</f>
        <v/>
      </c>
      <c r="AI55" s="10" t="str">
        <f aca="false">IF(LEFT($B55,4)="_Mil","",_xlfn.IFNA(ROUND(INDEX(Spectrum!$N:$N,MATCH(RIGHT($B55,13)&amp;"|"&amp;$C55&amp;"|"&amp;$D55&amp;"|"&amp;AI$14&amp;"|"&amp;"CY2023Q3",Spectrum!$R:$R,0)),0),""))</f>
        <v/>
      </c>
      <c r="AJ55" s="39" t="n">
        <f aca="false">IF(LEFT($B55,4)="_Mil","",_xlfn.IFNA(ROUND(INDEX(Spectrum!$N:$N,MATCH(RIGHT($B55,13)&amp;"|"&amp;$C55&amp;"|"&amp;$D55&amp;"|"&amp;AI$14&amp;"|"&amp;"CY2023Q3",Spectrum!$R:$R,0)),0),SUM($U55)+SUM($AI55)))</f>
        <v>0</v>
      </c>
      <c r="AK55" s="10" t="str">
        <f aca="false">IF(LEFT($B55,4)="_Mil","",_xlfn.IFNA(ROUND(INDEX(Spectrum!$N:$N,MATCH(RIGHT($B55,13)&amp;"|"&amp;$C55&amp;"|"&amp;$D55&amp;"|"&amp;AK$14&amp;"|"&amp;"CY2023Q3",Spectrum!$R:$R,0)),0),""))</f>
        <v/>
      </c>
      <c r="AL55" s="88" t="n">
        <f aca="false">IF(OR(LEFT($B55,4)="_Mil",$C55="&lt;01"),"",MAX(SUM($AA55),90%))</f>
        <v>838</v>
      </c>
      <c r="AM55" s="10" t="n">
        <f aca="false">IF(OR(LEFT($B55,4)="_Mil",$C55="&lt;01"),"",ROUND(SUM($AJ55)*SUM($AL55),0))</f>
        <v>0</v>
      </c>
      <c r="AN55" s="10" t="str">
        <f aca="false">IF($C55="&lt;01",ROUND(INDEX(EID!$P:$P,MATCH($B55,EID!$B:$B,0))/2,0),"")</f>
        <v/>
      </c>
      <c r="AO55" s="10" t="n">
        <f aca="false">IF($C55="&lt;01",SUM($AN55),ROUND(SUM($AM55)*SUM($O55)/IF(SUM($Z55)=0,1,$Z55),0))</f>
        <v>0</v>
      </c>
      <c r="AP55" s="39" t="n">
        <f aca="false">IF(OR($F55="",$C55="&lt;01"),$AO55,$F55)</f>
        <v>0</v>
      </c>
      <c r="AQ55" s="39" t="n">
        <f aca="false">IF(LEFT($B55,4)="_Mil","",IF(SUM($AP55)=0,SUM($Z55),IF(OR(SUM($Z55)=0,SUM($O55)=0),MAX($AP55,$Z55),$AP55*$Z55/$O55)))</f>
        <v>1336</v>
      </c>
      <c r="AR55" s="88" t="str">
        <f aca="false">IF(OR(LEFT($B55,4)="_Mil",SUM($AJ55)=0),"",SUM($AQ55)/$AJ55)</f>
        <v/>
      </c>
      <c r="AS55" s="88" t="n">
        <f aca="false">IF($C55="&lt;01","",98%)</f>
        <v>0.98</v>
      </c>
      <c r="AT55" s="88" t="n">
        <f aca="false">IF($C55="&lt;01","",98%)</f>
        <v>0.98</v>
      </c>
      <c r="AU55" s="10" t="n">
        <f aca="false">IF($C55="&lt;01","",SUM($AP55)-SUM($O55))</f>
        <v>0</v>
      </c>
      <c r="AV55" s="10" t="n">
        <f aca="false">IF($C55="&lt;01",ROUND(INDEX(EID!$N:$N,MATCH($B55,EID!$B:$B,0))/2,0),IF(SUM($AT55)=0,"",ROUND((SUM($AP55)-(SUM($O55)*SUM($AS55)))/$AT55,0)))</f>
        <v>0</v>
      </c>
      <c r="AW55" s="88" t="n">
        <f aca="false">IF($C55="&lt;01","",100%)</f>
        <v>1</v>
      </c>
      <c r="AX55" s="39" t="n">
        <f aca="false">IF($C55="&lt;01",SUM($AV55),ROUND(SUM($AV55)*SUM($AW55),0))</f>
        <v>0</v>
      </c>
      <c r="AY55" s="114" t="n">
        <f aca="false">IF($C55="&lt;01","",70%)</f>
        <v>0.7</v>
      </c>
      <c r="AZ55" s="91" t="n">
        <f aca="false">IF($C55="&lt;01",ROUND(INDEX(EID!$R:$R,MATCH($B55,EID!$B:$B,0))/2,0),ROUND(SUM($O55)+(SUM($AV55)*$AY55),0))</f>
        <v>0</v>
      </c>
      <c r="BA55" s="87" t="n">
        <f aca="false">IF($C55="&lt;01","",95%)</f>
        <v>0.95</v>
      </c>
      <c r="BB55" s="5" t="n">
        <f aca="false">IF($C55="&lt;01",ROUND(INDEX(EID!$T:$T,MATCH($B55,EID!$B:$B,0))/2,0),ROUND($AZ55*$BA55,0))</f>
        <v>0</v>
      </c>
      <c r="BC55" s="91" t="n">
        <f aca="false">IF(LEFT($B55,4)="_Mil","",IF(SUM($BB55)=0,SUM($AD55),IF(OR(SUM($AP55)=0,SUM($AQ55)=0),MAX($BB55,$AD55),ROUND($BB55*$AQ55/$AP55,0))))</f>
        <v>0</v>
      </c>
      <c r="BD55" s="88" t="n">
        <f aca="false">IF($C55="&lt;01","",95%)</f>
        <v>0.95</v>
      </c>
      <c r="BE55" s="39" t="n">
        <f aca="false">IF($C55="&lt;01",ROUND(INDEX(EID!$V:$V,MATCH($B55,EID!$B:$B,0))/2,0),ROUND($BD55*$BB55,0))</f>
        <v>0</v>
      </c>
      <c r="BF55" s="39" t="n">
        <f aca="false">IF(LEFT($B55,4)="_Mil","",IF(SUM($BE55)=0,SUM($AF55),IF(OR(SUM($AP55)=0,SUM($AQ55)=0),MAX($BE55,$AF55),ROUND($BE55*$AQ55/$AP55,0))))</f>
        <v>0</v>
      </c>
      <c r="BG55" s="114" t="n">
        <f aca="false">IF($C55="&lt;01","",95%)</f>
        <v>0.95</v>
      </c>
      <c r="BH55" s="5" t="n">
        <f aca="false">IF($C55="&lt;01",ROUND(INDEX(EID!$L:$L,MATCH($B55,EID!$B:$B,0)),0)/2,IF(SUM($BG55)=0,"",ROUND($AX55/$BG55,0)))</f>
        <v>0</v>
      </c>
    </row>
    <row r="56" customFormat="false" ht="15" hidden="false" customHeight="false" outlineLevel="0" collapsed="false">
      <c r="A56" s="0" t="str">
        <f aca="false">INDEX(Prioritization!$D:$D,MATCH($B56,Prioritization!$A:$A,0))</f>
        <v>1 - Scale-up: Saturation</v>
      </c>
      <c r="B56" s="0" t="s">
        <v>196</v>
      </c>
      <c r="C56" s="0" t="s">
        <v>368</v>
      </c>
      <c r="D56" s="0" t="s">
        <v>48</v>
      </c>
      <c r="E56" s="0" t="str">
        <f aca="false">$B56&amp;"|"&amp;$C56&amp;"|"&amp;$D56</f>
        <v>Dowa District [zphK9WV8JB4]|50+|Male</v>
      </c>
      <c r="F56" s="10"/>
      <c r="G56" s="10"/>
      <c r="H56" s="10"/>
      <c r="I56" s="10"/>
      <c r="J56" s="10"/>
      <c r="K56" s="10"/>
      <c r="L56" s="10"/>
      <c r="M56" s="10"/>
      <c r="N56" s="10"/>
      <c r="O56" s="10" t="str">
        <f aca="false">IFERROR(1/(1/MAX($I56,$N56)),"")</f>
        <v/>
      </c>
      <c r="P56" s="10"/>
      <c r="Q56" s="10"/>
      <c r="R56" s="10" t="str">
        <f aca="false">IF(AND(SUM($I56)=0,SUM($O56)=0),"",SUM($O56)-$I56)</f>
        <v/>
      </c>
      <c r="S56" s="10" t="n">
        <f aca="false">IF(LEFT($B56,4)="_Mil","",_xlfn.IFNA(ROUND(INDEX(Spectrum!$N:$N,MATCH(RIGHT($B56,13)&amp;"|"&amp;$C56&amp;"|"&amp;$D56&amp;"|"&amp;S$14&amp;"|"&amp;"CY2022Q4",Spectrum!$R:$R,0)),0),""))</f>
        <v>1636</v>
      </c>
      <c r="T56" s="39" t="n">
        <f aca="false">IF(LEFT($B56,4)="_Mil","",_xlfn.IFNA(ROUND(INDEX(Spectrum!$N:$N,MATCH(RIGHT($B56,13)&amp;"|"&amp;$C56&amp;"|"&amp;$D56&amp;"|"&amp;T$14&amp;"|"&amp;"CY2023Q3",Spectrum!$R:$R,0)),0),""))</f>
        <v>816</v>
      </c>
      <c r="U56" s="39" t="str">
        <f aca="false">IF(LEFT($B56,4)="_Mil","",_xlfn.IFNA(ROUND(INDEX(Spectrum!$N:$N,MATCH(RIGHT($B56,13)&amp;"|"&amp;$C56&amp;"|"&amp;$D56&amp;"|"&amp;U$14&amp;"|"&amp;"CY2023Q3",Spectrum!$R:$R,0)),0),""))</f>
        <v/>
      </c>
      <c r="V56" s="10" t="n">
        <f aca="false">IF(LEFT($B56,4)="_Mil","",_xlfn.IFNA(ROUND(INDEX(Spectrum!$N:$N,MATCH(RIGHT($B56,13)&amp;"|"&amp;$C56&amp;"|"&amp;$D56&amp;"|"&amp;V$14&amp;"|"&amp;"CY2023Q3",Spectrum!$R:$R,0)),0),""))</f>
        <v>1083</v>
      </c>
      <c r="W56" s="113" t="n">
        <f aca="false">IF(LEFT($B56,4)="_Mil","",_xlfn.IFNA(INDEX(Spectrum!$N:$N,MATCH(RIGHT($B56,13)&amp;"|"&amp;$C56&amp;"|"&amp;$D56&amp;"|"&amp;W$14&amp;"|"&amp;"CY2023Q3",Spectrum!$R:$R,0)),""))</f>
        <v>636</v>
      </c>
      <c r="X56" s="39" t="n">
        <f aca="false">IF(LEFT($B56,4)="_Mil","",_xlfn.IFNA(ROUND(INDEX(Spectrum!$N:$N,MATCH(RIGHT($B56,13)&amp;"|"&amp;$C56&amp;"|"&amp;$D56&amp;"|"&amp;X$14&amp;"|"&amp;"CY2023Q3",Spectrum!$R:$R,0)),0),""))</f>
        <v>714</v>
      </c>
      <c r="Y56" s="88" t="str">
        <f aca="false">IF(OR(SUM($U56)=0,LEFT($B56,4)="_Mil"),"",SUM($X56)/$U56)</f>
        <v/>
      </c>
      <c r="Z56" s="39" t="n">
        <f aca="false">IF(LEFT($B56,4)="_Mil","",_xlfn.IFNA(ROUND(INDEX(Spectrum!$N:$N,MATCH(RIGHT($B56,13)&amp;"|"&amp;$C56&amp;"|"&amp;$D56&amp;"|"&amp;Z$14&amp;"|"&amp;"CY2023Q3",Spectrum!$R:$R,0)),0),""))</f>
        <v>1982</v>
      </c>
      <c r="AA56" s="88" t="n">
        <f aca="false">IF(LEFT($B56,4)="_Mil","",IFERROR(1/(1/INDEX(Spectrum!$N:$N,MATCH(RIGHT($B56,13)&amp;"|"&amp;$C56&amp;"|"&amp;$D56&amp;"|"&amp;AA$14&amp;"|"&amp;"CY2023Q3",Spectrum!$R:$R,0))),IF(SUM($U56)=0,"",SUM($Z56)/$U56)))</f>
        <v>1591</v>
      </c>
      <c r="AB56" s="88" t="n">
        <f aca="false">IF(OR(LEFT($B56,4)="_Mil",SUM($X56)=0),"",SUM($Z56)/$X56)</f>
        <v>2.77591036414566</v>
      </c>
      <c r="AC56" s="10" t="n">
        <f aca="false">IF(LEFT($B56,4)="_Mil","",_xlfn.IFNA(ROUND(INDEX(Spectrum!$N:$N,MATCH(RIGHT($B56,13)&amp;"|"&amp;$C56&amp;"|"&amp;$D56&amp;"|"&amp;AC$14&amp;"|"&amp;"CY2023Q3",Spectrum!$R:$R,0)),0),""))</f>
        <v>725</v>
      </c>
      <c r="AD56" s="10" t="str">
        <f aca="false">IF(LEFT($B56,4)="_Mil","",_xlfn.IFNA(ROUND(INDEX(Spectrum!$N:$N,MATCH(RIGHT($B56,13)&amp;"|"&amp;$C56&amp;"|"&amp;$D56&amp;"|"&amp;AD$14&amp;"|"&amp;"CY2023Q3",Spectrum!$R:$R,0)),0),""))</f>
        <v/>
      </c>
      <c r="AE56" s="88" t="n">
        <f aca="false">IF(OR(LEFT($B56,4)="_Mil",SUM($Z56)=0),"",SUM($AD56)/$Z56)</f>
        <v>0</v>
      </c>
      <c r="AF56" s="39" t="str">
        <f aca="false">IF(LEFT($B56,4)="_Mil","",_xlfn.IFNA(ROUND(INDEX(Spectrum!$N:$N,MATCH(RIGHT($B56,13)&amp;"|"&amp;$C56&amp;"|"&amp;$D56&amp;"|"&amp;AF$14&amp;"|"&amp;"CY2023Q3",Spectrum!$R:$R,0)),0),""))</f>
        <v/>
      </c>
      <c r="AG56" s="88" t="str">
        <f aca="false">IF(OR(LEFT($B56,4)="_Mil",SUM($AD56)=0),"",SUM($AF56)/$AD56)</f>
        <v/>
      </c>
      <c r="AH56" s="86" t="str">
        <f aca="false">IF(LEFT($B56,4)="_Mil","",_xlfn.IFNA(INDEX(Spectrum!$N:$N,MATCH(RIGHT($B56,13)&amp;"|"&amp;$C56&amp;"|"&amp;$D56&amp;"|"&amp;AH$14&amp;"|"&amp;"CY2023Q3",Spectrum!$R:$R,0)),""))</f>
        <v/>
      </c>
      <c r="AI56" s="10" t="str">
        <f aca="false">IF(LEFT($B56,4)="_Mil","",_xlfn.IFNA(ROUND(INDEX(Spectrum!$N:$N,MATCH(RIGHT($B56,13)&amp;"|"&amp;$C56&amp;"|"&amp;$D56&amp;"|"&amp;AI$14&amp;"|"&amp;"CY2023Q3",Spectrum!$R:$R,0)),0),""))</f>
        <v/>
      </c>
      <c r="AJ56" s="39" t="n">
        <f aca="false">IF(LEFT($B56,4)="_Mil","",_xlfn.IFNA(ROUND(INDEX(Spectrum!$N:$N,MATCH(RIGHT($B56,13)&amp;"|"&amp;$C56&amp;"|"&amp;$D56&amp;"|"&amp;AI$14&amp;"|"&amp;"CY2023Q3",Spectrum!$R:$R,0)),0),SUM($U56)+SUM($AI56)))</f>
        <v>0</v>
      </c>
      <c r="AK56" s="10" t="str">
        <f aca="false">IF(LEFT($B56,4)="_Mil","",_xlfn.IFNA(ROUND(INDEX(Spectrum!$N:$N,MATCH(RIGHT($B56,13)&amp;"|"&amp;$C56&amp;"|"&amp;$D56&amp;"|"&amp;AK$14&amp;"|"&amp;"CY2023Q3",Spectrum!$R:$R,0)),0),""))</f>
        <v/>
      </c>
      <c r="AL56" s="88" t="n">
        <f aca="false">IF(OR(LEFT($B56,4)="_Mil",$C56="&lt;01"),"",MAX(SUM($AA56),90%))</f>
        <v>1591</v>
      </c>
      <c r="AM56" s="10" t="n">
        <f aca="false">IF(OR(LEFT($B56,4)="_Mil",$C56="&lt;01"),"",ROUND(SUM($AJ56)*SUM($AL56),0))</f>
        <v>0</v>
      </c>
      <c r="AN56" s="10" t="str">
        <f aca="false">IF($C56="&lt;01",ROUND(INDEX(EID!$P:$P,MATCH($B56,EID!$B:$B,0))/2,0),"")</f>
        <v/>
      </c>
      <c r="AO56" s="10" t="n">
        <f aca="false">IF($C56="&lt;01",SUM($AN56),ROUND(SUM($AM56)*SUM($O56)/IF(SUM($Z56)=0,1,$Z56),0))</f>
        <v>0</v>
      </c>
      <c r="AP56" s="39" t="n">
        <f aca="false">IF(OR($F56="",$C56="&lt;01"),$AO56,$F56)</f>
        <v>0</v>
      </c>
      <c r="AQ56" s="39" t="n">
        <f aca="false">IF(LEFT($B56,4)="_Mil","",IF(SUM($AP56)=0,SUM($Z56),IF(OR(SUM($Z56)=0,SUM($O56)=0),MAX($AP56,$Z56),$AP56*$Z56/$O56)))</f>
        <v>1982</v>
      </c>
      <c r="AR56" s="88" t="str">
        <f aca="false">IF(OR(LEFT($B56,4)="_Mil",SUM($AJ56)=0),"",SUM($AQ56)/$AJ56)</f>
        <v/>
      </c>
      <c r="AS56" s="88" t="n">
        <f aca="false">IF($C56="&lt;01","",98%)</f>
        <v>0.98</v>
      </c>
      <c r="AT56" s="88" t="n">
        <f aca="false">IF($C56="&lt;01","",98%)</f>
        <v>0.98</v>
      </c>
      <c r="AU56" s="10" t="n">
        <f aca="false">IF($C56="&lt;01","",SUM($AP56)-SUM($O56))</f>
        <v>0</v>
      </c>
      <c r="AV56" s="10" t="n">
        <f aca="false">IF($C56="&lt;01",ROUND(INDEX(EID!$N:$N,MATCH($B56,EID!$B:$B,0))/2,0),IF(SUM($AT56)=0,"",ROUND((SUM($AP56)-(SUM($O56)*SUM($AS56)))/$AT56,0)))</f>
        <v>0</v>
      </c>
      <c r="AW56" s="88" t="n">
        <f aca="false">IF($C56="&lt;01","",100%)</f>
        <v>1</v>
      </c>
      <c r="AX56" s="39" t="n">
        <f aca="false">IF($C56="&lt;01",SUM($AV56),ROUND(SUM($AV56)*SUM($AW56),0))</f>
        <v>0</v>
      </c>
      <c r="AY56" s="114" t="n">
        <f aca="false">IF($C56="&lt;01","",70%)</f>
        <v>0.7</v>
      </c>
      <c r="AZ56" s="91" t="n">
        <f aca="false">IF($C56="&lt;01",ROUND(INDEX(EID!$R:$R,MATCH($B56,EID!$B:$B,0))/2,0),ROUND(SUM($O56)+(SUM($AV56)*$AY56),0))</f>
        <v>0</v>
      </c>
      <c r="BA56" s="87" t="n">
        <f aca="false">IF($C56="&lt;01","",95%)</f>
        <v>0.95</v>
      </c>
      <c r="BB56" s="5" t="n">
        <f aca="false">IF($C56="&lt;01",ROUND(INDEX(EID!$T:$T,MATCH($B56,EID!$B:$B,0))/2,0),ROUND($AZ56*$BA56,0))</f>
        <v>0</v>
      </c>
      <c r="BC56" s="91" t="n">
        <f aca="false">IF(LEFT($B56,4)="_Mil","",IF(SUM($BB56)=0,SUM($AD56),IF(OR(SUM($AP56)=0,SUM($AQ56)=0),MAX($BB56,$AD56),ROUND($BB56*$AQ56/$AP56,0))))</f>
        <v>0</v>
      </c>
      <c r="BD56" s="88" t="n">
        <f aca="false">IF($C56="&lt;01","",95%)</f>
        <v>0.95</v>
      </c>
      <c r="BE56" s="39" t="n">
        <f aca="false">IF($C56="&lt;01",ROUND(INDEX(EID!$V:$V,MATCH($B56,EID!$B:$B,0))/2,0),ROUND($BD56*$BB56,0))</f>
        <v>0</v>
      </c>
      <c r="BF56" s="39" t="n">
        <f aca="false">IF(LEFT($B56,4)="_Mil","",IF(SUM($BE56)=0,SUM($AF56),IF(OR(SUM($AP56)=0,SUM($AQ56)=0),MAX($BE56,$AF56),ROUND($BE56*$AQ56/$AP56,0))))</f>
        <v>0</v>
      </c>
      <c r="BG56" s="114" t="n">
        <f aca="false">IF($C56="&lt;01","",95%)</f>
        <v>0.95</v>
      </c>
      <c r="BH56" s="5" t="n">
        <f aca="false">IF($C56="&lt;01",ROUND(INDEX(EID!$L:$L,MATCH($B56,EID!$B:$B,0)),0)/2,IF(SUM($BG56)=0,"",ROUND($AX56/$BG56,0)))</f>
        <v>0</v>
      </c>
    </row>
    <row r="57" customFormat="false" ht="15" hidden="false" customHeight="false" outlineLevel="0" collapsed="false">
      <c r="A57" s="0" t="str">
        <f aca="false">INDEX(Prioritization!$D:$D,MATCH($B57,Prioritization!$A:$A,0))</f>
        <v>INVALID</v>
      </c>
      <c r="B57" s="0" t="s">
        <v>197</v>
      </c>
      <c r="C57" s="0" t="s">
        <v>316</v>
      </c>
      <c r="D57" s="0" t="s">
        <v>30</v>
      </c>
      <c r="E57" s="0" t="str">
        <f aca="false">$B57&amp;"|"&amp;$C57&amp;"|"&amp;$D57</f>
        <v>Kasungu District [JQKLKuVuY61]|&lt;01|Female</v>
      </c>
      <c r="F57" s="10"/>
      <c r="G57" s="10" t="n">
        <v>2</v>
      </c>
      <c r="H57" s="10" t="n">
        <v>5</v>
      </c>
      <c r="I57" s="10" t="n">
        <v>1</v>
      </c>
      <c r="J57" s="10" t="n">
        <v>54</v>
      </c>
      <c r="K57" s="10" t="n">
        <v>65</v>
      </c>
      <c r="L57" s="10"/>
      <c r="M57" s="10" t="n">
        <v>1</v>
      </c>
      <c r="N57" s="10" t="n">
        <v>1</v>
      </c>
      <c r="O57" s="10" t="n">
        <f aca="false">IFERROR(1/(1/MAX($I57,$N57)),"")</f>
        <v>1</v>
      </c>
      <c r="P57" s="10" t="n">
        <v>0</v>
      </c>
      <c r="Q57" s="10" t="n">
        <v>1</v>
      </c>
      <c r="R57" s="10" t="n">
        <f aca="false">IF(AND(SUM($I57)=0,SUM($O57)=0),"",SUM($O57)-$I57)</f>
        <v>0</v>
      </c>
      <c r="S57" s="10" t="n">
        <f aca="false">IF(LEFT($B57,4)="_Mil","",_xlfn.IFNA(ROUND(INDEX(Spectrum!$N:$N,MATCH(RIGHT($B57,13)&amp;"|"&amp;$C57&amp;"|"&amp;$D57&amp;"|"&amp;S$14&amp;"|"&amp;"CY2022Q4",Spectrum!$R:$R,0)),0),""))</f>
        <v>880</v>
      </c>
      <c r="T57" s="39" t="n">
        <f aca="false">IF(LEFT($B57,4)="_Mil","",_xlfn.IFNA(ROUND(INDEX(Spectrum!$N:$N,MATCH(RIGHT($B57,13)&amp;"|"&amp;$C57&amp;"|"&amp;$D57&amp;"|"&amp;T$14&amp;"|"&amp;"CY2023Q3",Spectrum!$R:$R,0)),0),""))</f>
        <v>693</v>
      </c>
      <c r="U57" s="39" t="str">
        <f aca="false">IF(LEFT($B57,4)="_Mil","",_xlfn.IFNA(ROUND(INDEX(Spectrum!$N:$N,MATCH(RIGHT($B57,13)&amp;"|"&amp;$C57&amp;"|"&amp;$D57&amp;"|"&amp;U$14&amp;"|"&amp;"CY2023Q3",Spectrum!$R:$R,0)),0),""))</f>
        <v/>
      </c>
      <c r="V57" s="10" t="n">
        <f aca="false">IF(LEFT($B57,4)="_Mil","",_xlfn.IFNA(ROUND(INDEX(Spectrum!$N:$N,MATCH(RIGHT($B57,13)&amp;"|"&amp;$C57&amp;"|"&amp;$D57&amp;"|"&amp;V$14&amp;"|"&amp;"CY2023Q3",Spectrum!$R:$R,0)),0),""))</f>
        <v>826</v>
      </c>
      <c r="W57" s="113" t="n">
        <f aca="false">IF(LEFT($B57,4)="_Mil","",_xlfn.IFNA(INDEX(Spectrum!$N:$N,MATCH(RIGHT($B57,13)&amp;"|"&amp;$C57&amp;"|"&amp;$D57&amp;"|"&amp;W$14&amp;"|"&amp;"CY2023Q3",Spectrum!$R:$R,0)),""))</f>
        <v>685</v>
      </c>
      <c r="X57" s="39" t="n">
        <f aca="false">IF(LEFT($B57,4)="_Mil","",_xlfn.IFNA(ROUND(INDEX(Spectrum!$N:$N,MATCH(RIGHT($B57,13)&amp;"|"&amp;$C57&amp;"|"&amp;$D57&amp;"|"&amp;X$14&amp;"|"&amp;"CY2023Q3",Spectrum!$R:$R,0)),0),""))</f>
        <v>730</v>
      </c>
      <c r="Y57" s="88" t="str">
        <f aca="false">IF(OR(SUM($U57)=0,LEFT($B57,4)="_Mil"),"",SUM($X57)/$U57)</f>
        <v/>
      </c>
      <c r="Z57" s="39" t="n">
        <f aca="false">IF(LEFT($B57,4)="_Mil","",_xlfn.IFNA(ROUND(INDEX(Spectrum!$N:$N,MATCH(RIGHT($B57,13)&amp;"|"&amp;$C57&amp;"|"&amp;$D57&amp;"|"&amp;Z$14&amp;"|"&amp;"CY2023Q3",Spectrum!$R:$R,0)),0),""))</f>
        <v>747</v>
      </c>
      <c r="AA57" s="88" t="n">
        <f aca="false">IF(LEFT($B57,4)="_Mil","",IFERROR(1/(1/INDEX(Spectrum!$N:$N,MATCH(RIGHT($B57,13)&amp;"|"&amp;$C57&amp;"|"&amp;$D57&amp;"|"&amp;AA$14&amp;"|"&amp;"CY2023Q3",Spectrum!$R:$R,0))),IF(SUM($U57)=0,"",SUM($Z57)/$U57)))</f>
        <v>931</v>
      </c>
      <c r="AB57" s="88" t="n">
        <f aca="false">IF(OR(LEFT($B57,4)="_Mil",SUM($X57)=0),"",SUM($Z57)/$X57)</f>
        <v>1.02328767123288</v>
      </c>
      <c r="AC57" s="10" t="n">
        <f aca="false">IF(LEFT($B57,4)="_Mil","",_xlfn.IFNA(ROUND(INDEX(Spectrum!$N:$N,MATCH(RIGHT($B57,13)&amp;"|"&amp;$C57&amp;"|"&amp;$D57&amp;"|"&amp;AC$14&amp;"|"&amp;"CY2023Q3",Spectrum!$R:$R,0)),0),""))</f>
        <v>1461</v>
      </c>
      <c r="AD57" s="10" t="str">
        <f aca="false">IF(LEFT($B57,4)="_Mil","",_xlfn.IFNA(ROUND(INDEX(Spectrum!$N:$N,MATCH(RIGHT($B57,13)&amp;"|"&amp;$C57&amp;"|"&amp;$D57&amp;"|"&amp;AD$14&amp;"|"&amp;"CY2023Q3",Spectrum!$R:$R,0)),0),""))</f>
        <v/>
      </c>
      <c r="AE57" s="88" t="n">
        <f aca="false">IF(OR(LEFT($B57,4)="_Mil",SUM($Z57)=0),"",SUM($AD57)/$Z57)</f>
        <v>0</v>
      </c>
      <c r="AF57" s="39" t="str">
        <f aca="false">IF(LEFT($B57,4)="_Mil","",_xlfn.IFNA(ROUND(INDEX(Spectrum!$N:$N,MATCH(RIGHT($B57,13)&amp;"|"&amp;$C57&amp;"|"&amp;$D57&amp;"|"&amp;AF$14&amp;"|"&amp;"CY2023Q3",Spectrum!$R:$R,0)),0),""))</f>
        <v/>
      </c>
      <c r="AG57" s="88" t="str">
        <f aca="false">IF(OR(LEFT($B57,4)="_Mil",SUM($AD57)=0),"",SUM($AF57)/$AD57)</f>
        <v/>
      </c>
      <c r="AH57" s="86" t="str">
        <f aca="false">IF(LEFT($B57,4)="_Mil","",_xlfn.IFNA(INDEX(Spectrum!$N:$N,MATCH(RIGHT($B57,13)&amp;"|"&amp;$C57&amp;"|"&amp;$D57&amp;"|"&amp;AH$14&amp;"|"&amp;"CY2023Q3",Spectrum!$R:$R,0)),""))</f>
        <v/>
      </c>
      <c r="AI57" s="10" t="str">
        <f aca="false">IF(LEFT($B57,4)="_Mil","",_xlfn.IFNA(ROUND(INDEX(Spectrum!$N:$N,MATCH(RIGHT($B57,13)&amp;"|"&amp;$C57&amp;"|"&amp;$D57&amp;"|"&amp;AI$14&amp;"|"&amp;"CY2023Q3",Spectrum!$R:$R,0)),0),""))</f>
        <v/>
      </c>
      <c r="AJ57" s="39" t="n">
        <f aca="false">IF(LEFT($B57,4)="_Mil","",_xlfn.IFNA(ROUND(INDEX(Spectrum!$N:$N,MATCH(RIGHT($B57,13)&amp;"|"&amp;$C57&amp;"|"&amp;$D57&amp;"|"&amp;AI$14&amp;"|"&amp;"CY2023Q3",Spectrum!$R:$R,0)),0),SUM($U57)+SUM($AI57)))</f>
        <v>0</v>
      </c>
      <c r="AK57" s="10" t="str">
        <f aca="false">IF(LEFT($B57,4)="_Mil","",_xlfn.IFNA(ROUND(INDEX(Spectrum!$N:$N,MATCH(RIGHT($B57,13)&amp;"|"&amp;$C57&amp;"|"&amp;$D57&amp;"|"&amp;AK$14&amp;"|"&amp;"CY2023Q3",Spectrum!$R:$R,0)),0),""))</f>
        <v/>
      </c>
      <c r="AL57" s="88" t="str">
        <f aca="false">IF(OR(LEFT($B57,4)="_Mil",$C57="&lt;01"),"",MAX(SUM($AA57),90%))</f>
        <v/>
      </c>
      <c r="AM57" s="10" t="str">
        <f aca="false">IF(OR(LEFT($B57,4)="_Mil",$C57="&lt;01"),"",ROUND(SUM($AJ57)*SUM($AL57),0))</f>
        <v/>
      </c>
      <c r="AN57" s="10" t="n">
        <f aca="false">IF($C57="&lt;01",ROUND(INDEX(EID!$P:$P,MATCH($B57,EID!$B:$B,0))/2,0),"")</f>
        <v>0</v>
      </c>
      <c r="AO57" s="10" t="n">
        <f aca="false">IF($C57="&lt;01",SUM($AN57),ROUND(SUM($AM57)*SUM($O57)/IF(SUM($Z57)=0,1,$Z57),0))</f>
        <v>0</v>
      </c>
      <c r="AP57" s="39" t="n">
        <f aca="false">IF(OR($F57="",$C57="&lt;01"),$AO57,$F57)</f>
        <v>0</v>
      </c>
      <c r="AQ57" s="39" t="n">
        <f aca="false">IF(LEFT($B57,4)="_Mil","",IF(SUM($AP57)=0,SUM($Z57),IF(OR(SUM($Z57)=0,SUM($O57)=0),MAX($AP57,$Z57),$AP57*$Z57/$O57)))</f>
        <v>747</v>
      </c>
      <c r="AR57" s="88" t="str">
        <f aca="false">IF(OR(LEFT($B57,4)="_Mil",SUM($AJ57)=0),"",SUM($AQ57)/$AJ57)</f>
        <v/>
      </c>
      <c r="AS57" s="88" t="str">
        <f aca="false">IF($C57="&lt;01","",98%)</f>
        <v/>
      </c>
      <c r="AT57" s="88" t="str">
        <f aca="false">IF($C57="&lt;01","",98%)</f>
        <v/>
      </c>
      <c r="AU57" s="10" t="str">
        <f aca="false">IF($C57="&lt;01","",SUM($AP57)-SUM($O57))</f>
        <v/>
      </c>
      <c r="AV57" s="10" t="n">
        <f aca="false">IF($C57="&lt;01",ROUND(INDEX(EID!$N:$N,MATCH($B57,EID!$B:$B,0))/2,0),IF(SUM($AT57)=0,"",ROUND((SUM($AP57)-(SUM($O57)*SUM($AS57)))/$AT57,0)))</f>
        <v>0</v>
      </c>
      <c r="AW57" s="88" t="str">
        <f aca="false">IF($C57="&lt;01","",100%)</f>
        <v/>
      </c>
      <c r="AX57" s="39" t="n">
        <f aca="false">IF($C57="&lt;01",SUM($AV57),ROUND(SUM($AV57)*SUM($AW57),0))</f>
        <v>0</v>
      </c>
      <c r="AY57" s="114" t="str">
        <f aca="false">IF($C57="&lt;01","",70%)</f>
        <v/>
      </c>
      <c r="AZ57" s="91" t="n">
        <f aca="false">IF($C57="&lt;01",ROUND(INDEX(EID!$R:$R,MATCH($B57,EID!$B:$B,0))/2,0),ROUND(SUM($O57)+(SUM($AV57)*$AY57),0))</f>
        <v>0</v>
      </c>
      <c r="BA57" s="87" t="str">
        <f aca="false">IF($C57="&lt;01","",95%)</f>
        <v/>
      </c>
      <c r="BB57" s="5" t="n">
        <f aca="false">IF($C57="&lt;01",ROUND(INDEX(EID!$T:$T,MATCH($B57,EID!$B:$B,0))/2,0),ROUND($AZ57*$BA57,0))</f>
        <v>0</v>
      </c>
      <c r="BC57" s="91" t="n">
        <f aca="false">IF(LEFT($B57,4)="_Mil","",IF(SUM($BB57)=0,SUM($AD57),IF(OR(SUM($AP57)=0,SUM($AQ57)=0),MAX($BB57,$AD57),ROUND($BB57*$AQ57/$AP57,0))))</f>
        <v>0</v>
      </c>
      <c r="BD57" s="88" t="str">
        <f aca="false">IF($C57="&lt;01","",95%)</f>
        <v/>
      </c>
      <c r="BE57" s="39" t="n">
        <f aca="false">IF($C57="&lt;01",ROUND(INDEX(EID!$V:$V,MATCH($B57,EID!$B:$B,0))/2,0),ROUND($BD57*$BB57,0))</f>
        <v>0</v>
      </c>
      <c r="BF57" s="39" t="n">
        <f aca="false">IF(LEFT($B57,4)="_Mil","",IF(SUM($BE57)=0,SUM($AF57),IF(OR(SUM($AP57)=0,SUM($AQ57)=0),MAX($BE57,$AF57),ROUND($BE57*$AQ57/$AP57,0))))</f>
        <v>0</v>
      </c>
      <c r="BG57" s="114" t="str">
        <f aca="false">IF($C57="&lt;01","",95%)</f>
        <v/>
      </c>
      <c r="BH57" s="5" t="n">
        <f aca="false">IF($C57="&lt;01",ROUND(INDEX(EID!$L:$L,MATCH($B57,EID!$B:$B,0)),0)/2,IF(SUM($BG57)=0,"",ROUND($AX57/$BG57,0)))</f>
        <v>0</v>
      </c>
    </row>
    <row r="58" customFormat="false" ht="15" hidden="false" customHeight="false" outlineLevel="0" collapsed="false">
      <c r="A58" s="0" t="str">
        <f aca="false">INDEX(Prioritization!$D:$D,MATCH($B58,Prioritization!$A:$A,0))</f>
        <v>INVALID</v>
      </c>
      <c r="B58" s="0" t="s">
        <v>197</v>
      </c>
      <c r="C58" s="0" t="s">
        <v>316</v>
      </c>
      <c r="D58" s="0" t="s">
        <v>48</v>
      </c>
      <c r="E58" s="0" t="str">
        <f aca="false">$B58&amp;"|"&amp;$C58&amp;"|"&amp;$D58</f>
        <v>Kasungu District [JQKLKuVuY61]|&lt;01|Male</v>
      </c>
      <c r="F58" s="10"/>
      <c r="G58" s="10" t="n">
        <v>5</v>
      </c>
      <c r="H58" s="10" t="n">
        <v>9</v>
      </c>
      <c r="I58" s="10" t="n">
        <v>1</v>
      </c>
      <c r="J58" s="10" t="n">
        <v>5</v>
      </c>
      <c r="K58" s="10" t="n">
        <v>10</v>
      </c>
      <c r="L58" s="10"/>
      <c r="M58" s="10" t="n">
        <v>1</v>
      </c>
      <c r="N58" s="10" t="n">
        <v>0</v>
      </c>
      <c r="O58" s="10" t="n">
        <f aca="false">IFERROR(1/(1/MAX($I58,$N58)),"")</f>
        <v>1</v>
      </c>
      <c r="P58" s="10" t="n">
        <v>1</v>
      </c>
      <c r="Q58" s="10" t="n">
        <v>0</v>
      </c>
      <c r="R58" s="10" t="n">
        <f aca="false">IF(AND(SUM($I58)=0,SUM($O58)=0),"",SUM($O58)-$I58)</f>
        <v>0</v>
      </c>
      <c r="S58" s="10" t="n">
        <f aca="false">IF(LEFT($B58,4)="_Mil","",_xlfn.IFNA(ROUND(INDEX(Spectrum!$N:$N,MATCH(RIGHT($B58,13)&amp;"|"&amp;$C58&amp;"|"&amp;$D58&amp;"|"&amp;S$14&amp;"|"&amp;"CY2022Q4",Spectrum!$R:$R,0)),0),""))</f>
        <v>1507</v>
      </c>
      <c r="T58" s="39" t="n">
        <f aca="false">IF(LEFT($B58,4)="_Mil","",_xlfn.IFNA(ROUND(INDEX(Spectrum!$N:$N,MATCH(RIGHT($B58,13)&amp;"|"&amp;$C58&amp;"|"&amp;$D58&amp;"|"&amp;T$14&amp;"|"&amp;"CY2023Q3",Spectrum!$R:$R,0)),0),""))</f>
        <v>1954</v>
      </c>
      <c r="U58" s="39" t="str">
        <f aca="false">IF(LEFT($B58,4)="_Mil","",_xlfn.IFNA(ROUND(INDEX(Spectrum!$N:$N,MATCH(RIGHT($B58,13)&amp;"|"&amp;$C58&amp;"|"&amp;$D58&amp;"|"&amp;U$14&amp;"|"&amp;"CY2023Q3",Spectrum!$R:$R,0)),0),""))</f>
        <v/>
      </c>
      <c r="V58" s="10" t="n">
        <f aca="false">IF(LEFT($B58,4)="_Mil","",_xlfn.IFNA(ROUND(INDEX(Spectrum!$N:$N,MATCH(RIGHT($B58,13)&amp;"|"&amp;$C58&amp;"|"&amp;$D58&amp;"|"&amp;V$14&amp;"|"&amp;"CY2023Q3",Spectrum!$R:$R,0)),0),""))</f>
        <v>619</v>
      </c>
      <c r="W58" s="113" t="n">
        <f aca="false">IF(LEFT($B58,4)="_Mil","",_xlfn.IFNA(INDEX(Spectrum!$N:$N,MATCH(RIGHT($B58,13)&amp;"|"&amp;$C58&amp;"|"&amp;$D58&amp;"|"&amp;W$14&amp;"|"&amp;"CY2023Q3",Spectrum!$R:$R,0)),""))</f>
        <v>1515</v>
      </c>
      <c r="X58" s="39" t="n">
        <f aca="false">IF(LEFT($B58,4)="_Mil","",_xlfn.IFNA(ROUND(INDEX(Spectrum!$N:$N,MATCH(RIGHT($B58,13)&amp;"|"&amp;$C58&amp;"|"&amp;$D58&amp;"|"&amp;X$14&amp;"|"&amp;"CY2023Q3",Spectrum!$R:$R,0)),0),""))</f>
        <v>1695</v>
      </c>
      <c r="Y58" s="88" t="str">
        <f aca="false">IF(OR(SUM($U58)=0,LEFT($B58,4)="_Mil"),"",SUM($X58)/$U58)</f>
        <v/>
      </c>
      <c r="Z58" s="39" t="n">
        <f aca="false">IF(LEFT($B58,4)="_Mil","",_xlfn.IFNA(ROUND(INDEX(Spectrum!$N:$N,MATCH(RIGHT($B58,13)&amp;"|"&amp;$C58&amp;"|"&amp;$D58&amp;"|"&amp;Z$14&amp;"|"&amp;"CY2023Q3",Spectrum!$R:$R,0)),0),""))</f>
        <v>1537</v>
      </c>
      <c r="AA58" s="88" t="n">
        <f aca="false">IF(LEFT($B58,4)="_Mil","",IFERROR(1/(1/INDEX(Spectrum!$N:$N,MATCH(RIGHT($B58,13)&amp;"|"&amp;$C58&amp;"|"&amp;$D58&amp;"|"&amp;AA$14&amp;"|"&amp;"CY2023Q3",Spectrum!$R:$R,0))),IF(SUM($U58)=0,"",SUM($Z58)/$U58)))</f>
        <v>1980</v>
      </c>
      <c r="AB58" s="88" t="n">
        <f aca="false">IF(OR(LEFT($B58,4)="_Mil",SUM($X58)=0),"",SUM($Z58)/$X58)</f>
        <v>0.906784660766962</v>
      </c>
      <c r="AC58" s="10" t="n">
        <f aca="false">IF(LEFT($B58,4)="_Mil","",_xlfn.IFNA(ROUND(INDEX(Spectrum!$N:$N,MATCH(RIGHT($B58,13)&amp;"|"&amp;$C58&amp;"|"&amp;$D58&amp;"|"&amp;AC$14&amp;"|"&amp;"CY2023Q3",Spectrum!$R:$R,0)),0),""))</f>
        <v>1934</v>
      </c>
      <c r="AD58" s="10" t="str">
        <f aca="false">IF(LEFT($B58,4)="_Mil","",_xlfn.IFNA(ROUND(INDEX(Spectrum!$N:$N,MATCH(RIGHT($B58,13)&amp;"|"&amp;$C58&amp;"|"&amp;$D58&amp;"|"&amp;AD$14&amp;"|"&amp;"CY2023Q3",Spectrum!$R:$R,0)),0),""))</f>
        <v/>
      </c>
      <c r="AE58" s="88" t="n">
        <f aca="false">IF(OR(LEFT($B58,4)="_Mil",SUM($Z58)=0),"",SUM($AD58)/$Z58)</f>
        <v>0</v>
      </c>
      <c r="AF58" s="39" t="str">
        <f aca="false">IF(LEFT($B58,4)="_Mil","",_xlfn.IFNA(ROUND(INDEX(Spectrum!$N:$N,MATCH(RIGHT($B58,13)&amp;"|"&amp;$C58&amp;"|"&amp;$D58&amp;"|"&amp;AF$14&amp;"|"&amp;"CY2023Q3",Spectrum!$R:$R,0)),0),""))</f>
        <v/>
      </c>
      <c r="AG58" s="88" t="str">
        <f aca="false">IF(OR(LEFT($B58,4)="_Mil",SUM($AD58)=0),"",SUM($AF58)/$AD58)</f>
        <v/>
      </c>
      <c r="AH58" s="86" t="str">
        <f aca="false">IF(LEFT($B58,4)="_Mil","",_xlfn.IFNA(INDEX(Spectrum!$N:$N,MATCH(RIGHT($B58,13)&amp;"|"&amp;$C58&amp;"|"&amp;$D58&amp;"|"&amp;AH$14&amp;"|"&amp;"CY2023Q3",Spectrum!$R:$R,0)),""))</f>
        <v/>
      </c>
      <c r="AI58" s="10" t="str">
        <f aca="false">IF(LEFT($B58,4)="_Mil","",_xlfn.IFNA(ROUND(INDEX(Spectrum!$N:$N,MATCH(RIGHT($B58,13)&amp;"|"&amp;$C58&amp;"|"&amp;$D58&amp;"|"&amp;AI$14&amp;"|"&amp;"CY2023Q3",Spectrum!$R:$R,0)),0),""))</f>
        <v/>
      </c>
      <c r="AJ58" s="39" t="n">
        <f aca="false">IF(LEFT($B58,4)="_Mil","",_xlfn.IFNA(ROUND(INDEX(Spectrum!$N:$N,MATCH(RIGHT($B58,13)&amp;"|"&amp;$C58&amp;"|"&amp;$D58&amp;"|"&amp;AI$14&amp;"|"&amp;"CY2023Q3",Spectrum!$R:$R,0)),0),SUM($U58)+SUM($AI58)))</f>
        <v>0</v>
      </c>
      <c r="AK58" s="10" t="str">
        <f aca="false">IF(LEFT($B58,4)="_Mil","",_xlfn.IFNA(ROUND(INDEX(Spectrum!$N:$N,MATCH(RIGHT($B58,13)&amp;"|"&amp;$C58&amp;"|"&amp;$D58&amp;"|"&amp;AK$14&amp;"|"&amp;"CY2023Q3",Spectrum!$R:$R,0)),0),""))</f>
        <v/>
      </c>
      <c r="AL58" s="88" t="str">
        <f aca="false">IF(OR(LEFT($B58,4)="_Mil",$C58="&lt;01"),"",MAX(SUM($AA58),90%))</f>
        <v/>
      </c>
      <c r="AM58" s="10" t="str">
        <f aca="false">IF(OR(LEFT($B58,4)="_Mil",$C58="&lt;01"),"",ROUND(SUM($AJ58)*SUM($AL58),0))</f>
        <v/>
      </c>
      <c r="AN58" s="10" t="n">
        <f aca="false">IF($C58="&lt;01",ROUND(INDEX(EID!$P:$P,MATCH($B58,EID!$B:$B,0))/2,0),"")</f>
        <v>0</v>
      </c>
      <c r="AO58" s="10" t="n">
        <f aca="false">IF($C58="&lt;01",SUM($AN58),ROUND(SUM($AM58)*SUM($O58)/IF(SUM($Z58)=0,1,$Z58),0))</f>
        <v>0</v>
      </c>
      <c r="AP58" s="39" t="n">
        <f aca="false">IF(OR($F58="",$C58="&lt;01"),$AO58,$F58)</f>
        <v>0</v>
      </c>
      <c r="AQ58" s="39" t="n">
        <f aca="false">IF(LEFT($B58,4)="_Mil","",IF(SUM($AP58)=0,SUM($Z58),IF(OR(SUM($Z58)=0,SUM($O58)=0),MAX($AP58,$Z58),$AP58*$Z58/$O58)))</f>
        <v>1537</v>
      </c>
      <c r="AR58" s="88" t="str">
        <f aca="false">IF(OR(LEFT($B58,4)="_Mil",SUM($AJ58)=0),"",SUM($AQ58)/$AJ58)</f>
        <v/>
      </c>
      <c r="AS58" s="88" t="str">
        <f aca="false">IF($C58="&lt;01","",98%)</f>
        <v/>
      </c>
      <c r="AT58" s="88" t="str">
        <f aca="false">IF($C58="&lt;01","",98%)</f>
        <v/>
      </c>
      <c r="AU58" s="10" t="str">
        <f aca="false">IF($C58="&lt;01","",SUM($AP58)-SUM($O58))</f>
        <v/>
      </c>
      <c r="AV58" s="10" t="n">
        <f aca="false">IF($C58="&lt;01",ROUND(INDEX(EID!$N:$N,MATCH($B58,EID!$B:$B,0))/2,0),IF(SUM($AT58)=0,"",ROUND((SUM($AP58)-(SUM($O58)*SUM($AS58)))/$AT58,0)))</f>
        <v>0</v>
      </c>
      <c r="AW58" s="88" t="str">
        <f aca="false">IF($C58="&lt;01","",100%)</f>
        <v/>
      </c>
      <c r="AX58" s="39" t="n">
        <f aca="false">IF($C58="&lt;01",SUM($AV58),ROUND(SUM($AV58)*SUM($AW58),0))</f>
        <v>0</v>
      </c>
      <c r="AY58" s="114" t="str">
        <f aca="false">IF($C58="&lt;01","",70%)</f>
        <v/>
      </c>
      <c r="AZ58" s="91" t="n">
        <f aca="false">IF($C58="&lt;01",ROUND(INDEX(EID!$R:$R,MATCH($B58,EID!$B:$B,0))/2,0),ROUND(SUM($O58)+(SUM($AV58)*$AY58),0))</f>
        <v>0</v>
      </c>
      <c r="BA58" s="87" t="str">
        <f aca="false">IF($C58="&lt;01","",95%)</f>
        <v/>
      </c>
      <c r="BB58" s="5" t="n">
        <f aca="false">IF($C58="&lt;01",ROUND(INDEX(EID!$T:$T,MATCH($B58,EID!$B:$B,0))/2,0),ROUND($AZ58*$BA58,0))</f>
        <v>0</v>
      </c>
      <c r="BC58" s="91" t="n">
        <f aca="false">IF(LEFT($B58,4)="_Mil","",IF(SUM($BB58)=0,SUM($AD58),IF(OR(SUM($AP58)=0,SUM($AQ58)=0),MAX($BB58,$AD58),ROUND($BB58*$AQ58/$AP58,0))))</f>
        <v>0</v>
      </c>
      <c r="BD58" s="88" t="str">
        <f aca="false">IF($C58="&lt;01","",95%)</f>
        <v/>
      </c>
      <c r="BE58" s="39" t="n">
        <f aca="false">IF($C58="&lt;01",ROUND(INDEX(EID!$V:$V,MATCH($B58,EID!$B:$B,0))/2,0),ROUND($BD58*$BB58,0))</f>
        <v>0</v>
      </c>
      <c r="BF58" s="39" t="n">
        <f aca="false">IF(LEFT($B58,4)="_Mil","",IF(SUM($BE58)=0,SUM($AF58),IF(OR(SUM($AP58)=0,SUM($AQ58)=0),MAX($BE58,$AF58),ROUND($BE58*$AQ58/$AP58,0))))</f>
        <v>0</v>
      </c>
      <c r="BG58" s="114" t="str">
        <f aca="false">IF($C58="&lt;01","",95%)</f>
        <v/>
      </c>
      <c r="BH58" s="5" t="n">
        <f aca="false">IF($C58="&lt;01",ROUND(INDEX(EID!$L:$L,MATCH($B58,EID!$B:$B,0)),0)/2,IF(SUM($BG58)=0,"",ROUND($AX58/$BG58,0)))</f>
        <v>0</v>
      </c>
    </row>
    <row r="59" customFormat="false" ht="15" hidden="false" customHeight="false" outlineLevel="0" collapsed="false">
      <c r="A59" s="0" t="str">
        <f aca="false">INDEX(Prioritization!$D:$D,MATCH($B59,Prioritization!$A:$A,0))</f>
        <v>INVALID</v>
      </c>
      <c r="B59" s="0" t="s">
        <v>197</v>
      </c>
      <c r="C59" s="0" t="s">
        <v>363</v>
      </c>
      <c r="D59" s="0" t="s">
        <v>30</v>
      </c>
      <c r="E59" s="0" t="str">
        <f aca="false">$B59&amp;"|"&amp;$C59&amp;"|"&amp;$D59</f>
        <v>Kasungu District [JQKLKuVuY61]|01-09|Female</v>
      </c>
      <c r="F59" s="10"/>
      <c r="G59" s="10"/>
      <c r="H59" s="10"/>
      <c r="I59" s="10"/>
      <c r="J59" s="10"/>
      <c r="K59" s="10"/>
      <c r="L59" s="10"/>
      <c r="M59" s="10"/>
      <c r="N59" s="10"/>
      <c r="O59" s="10" t="str">
        <f aca="false">IFERROR(1/(1/MAX($I59,$N59)),"")</f>
        <v/>
      </c>
      <c r="P59" s="10"/>
      <c r="Q59" s="10"/>
      <c r="R59" s="10" t="str">
        <f aca="false">IF(AND(SUM($I59)=0,SUM($O59)=0),"",SUM($O59)-$I59)</f>
        <v/>
      </c>
      <c r="S59" s="10" t="n">
        <f aca="false">IF(LEFT($B59,4)="_Mil","",_xlfn.IFNA(ROUND(INDEX(Spectrum!$N:$N,MATCH(RIGHT($B59,13)&amp;"|"&amp;$C59&amp;"|"&amp;$D59&amp;"|"&amp;S$14&amp;"|"&amp;"CY2022Q4",Spectrum!$R:$R,0)),0),""))</f>
        <v>1350</v>
      </c>
      <c r="T59" s="39" t="n">
        <f aca="false">IF(LEFT($B59,4)="_Mil","",_xlfn.IFNA(ROUND(INDEX(Spectrum!$N:$N,MATCH(RIGHT($B59,13)&amp;"|"&amp;$C59&amp;"|"&amp;$D59&amp;"|"&amp;T$14&amp;"|"&amp;"CY2023Q3",Spectrum!$R:$R,0)),0),""))</f>
        <v>1605</v>
      </c>
      <c r="U59" s="39" t="str">
        <f aca="false">IF(LEFT($B59,4)="_Mil","",_xlfn.IFNA(ROUND(INDEX(Spectrum!$N:$N,MATCH(RIGHT($B59,13)&amp;"|"&amp;$C59&amp;"|"&amp;$D59&amp;"|"&amp;U$14&amp;"|"&amp;"CY2023Q3",Spectrum!$R:$R,0)),0),""))</f>
        <v/>
      </c>
      <c r="V59" s="10" t="n">
        <f aca="false">IF(LEFT($B59,4)="_Mil","",_xlfn.IFNA(ROUND(INDEX(Spectrum!$N:$N,MATCH(RIGHT($B59,13)&amp;"|"&amp;$C59&amp;"|"&amp;$D59&amp;"|"&amp;V$14&amp;"|"&amp;"CY2023Q3",Spectrum!$R:$R,0)),0),""))</f>
        <v>682</v>
      </c>
      <c r="W59" s="113" t="n">
        <f aca="false">IF(LEFT($B59,4)="_Mil","",_xlfn.IFNA(INDEX(Spectrum!$N:$N,MATCH(RIGHT($B59,13)&amp;"|"&amp;$C59&amp;"|"&amp;$D59&amp;"|"&amp;W$14&amp;"|"&amp;"CY2023Q3",Spectrum!$R:$R,0)),""))</f>
        <v>952</v>
      </c>
      <c r="X59" s="39" t="n">
        <f aca="false">IF(LEFT($B59,4)="_Mil","",_xlfn.IFNA(ROUND(INDEX(Spectrum!$N:$N,MATCH(RIGHT($B59,13)&amp;"|"&amp;$C59&amp;"|"&amp;$D59&amp;"|"&amp;X$14&amp;"|"&amp;"CY2023Q3",Spectrum!$R:$R,0)),0),""))</f>
        <v>1181</v>
      </c>
      <c r="Y59" s="88" t="str">
        <f aca="false">IF(OR(SUM($U59)=0,LEFT($B59,4)="_Mil"),"",SUM($X59)/$U59)</f>
        <v/>
      </c>
      <c r="Z59" s="39" t="n">
        <f aca="false">IF(LEFT($B59,4)="_Mil","",_xlfn.IFNA(ROUND(INDEX(Spectrum!$N:$N,MATCH(RIGHT($B59,13)&amp;"|"&amp;$C59&amp;"|"&amp;$D59&amp;"|"&amp;Z$14&amp;"|"&amp;"CY2023Q3",Spectrum!$R:$R,0)),0),""))</f>
        <v>1026</v>
      </c>
      <c r="AA59" s="88" t="n">
        <f aca="false">IF(LEFT($B59,4)="_Mil","",IFERROR(1/(1/INDEX(Spectrum!$N:$N,MATCH(RIGHT($B59,13)&amp;"|"&amp;$C59&amp;"|"&amp;$D59&amp;"|"&amp;AA$14&amp;"|"&amp;"CY2023Q3",Spectrum!$R:$R,0))),IF(SUM($U59)=0,"",SUM($Z59)/$U59)))</f>
        <v>1209</v>
      </c>
      <c r="AB59" s="88" t="n">
        <f aca="false">IF(OR(LEFT($B59,4)="_Mil",SUM($X59)=0),"",SUM($Z59)/$X59)</f>
        <v>0.868755292125318</v>
      </c>
      <c r="AC59" s="10" t="n">
        <f aca="false">IF(LEFT($B59,4)="_Mil","",_xlfn.IFNA(ROUND(INDEX(Spectrum!$N:$N,MATCH(RIGHT($B59,13)&amp;"|"&amp;$C59&amp;"|"&amp;$D59&amp;"|"&amp;AC$14&amp;"|"&amp;"CY2023Q3",Spectrum!$R:$R,0)),0),""))</f>
        <v>1080</v>
      </c>
      <c r="AD59" s="10" t="str">
        <f aca="false">IF(LEFT($B59,4)="_Mil","",_xlfn.IFNA(ROUND(INDEX(Spectrum!$N:$N,MATCH(RIGHT($B59,13)&amp;"|"&amp;$C59&amp;"|"&amp;$D59&amp;"|"&amp;AD$14&amp;"|"&amp;"CY2023Q3",Spectrum!$R:$R,0)),0),""))</f>
        <v/>
      </c>
      <c r="AE59" s="88" t="n">
        <f aca="false">IF(OR(LEFT($B59,4)="_Mil",SUM($Z59)=0),"",SUM($AD59)/$Z59)</f>
        <v>0</v>
      </c>
      <c r="AF59" s="39" t="str">
        <f aca="false">IF(LEFT($B59,4)="_Mil","",_xlfn.IFNA(ROUND(INDEX(Spectrum!$N:$N,MATCH(RIGHT($B59,13)&amp;"|"&amp;$C59&amp;"|"&amp;$D59&amp;"|"&amp;AF$14&amp;"|"&amp;"CY2023Q3",Spectrum!$R:$R,0)),0),""))</f>
        <v/>
      </c>
      <c r="AG59" s="88" t="str">
        <f aca="false">IF(OR(LEFT($B59,4)="_Mil",SUM($AD59)=0),"",SUM($AF59)/$AD59)</f>
        <v/>
      </c>
      <c r="AH59" s="86" t="str">
        <f aca="false">IF(LEFT($B59,4)="_Mil","",_xlfn.IFNA(INDEX(Spectrum!$N:$N,MATCH(RIGHT($B59,13)&amp;"|"&amp;$C59&amp;"|"&amp;$D59&amp;"|"&amp;AH$14&amp;"|"&amp;"CY2023Q3",Spectrum!$R:$R,0)),""))</f>
        <v/>
      </c>
      <c r="AI59" s="10" t="str">
        <f aca="false">IF(LEFT($B59,4)="_Mil","",_xlfn.IFNA(ROUND(INDEX(Spectrum!$N:$N,MATCH(RIGHT($B59,13)&amp;"|"&amp;$C59&amp;"|"&amp;$D59&amp;"|"&amp;AI$14&amp;"|"&amp;"CY2023Q3",Spectrum!$R:$R,0)),0),""))</f>
        <v/>
      </c>
      <c r="AJ59" s="39" t="n">
        <f aca="false">IF(LEFT($B59,4)="_Mil","",_xlfn.IFNA(ROUND(INDEX(Spectrum!$N:$N,MATCH(RIGHT($B59,13)&amp;"|"&amp;$C59&amp;"|"&amp;$D59&amp;"|"&amp;AI$14&amp;"|"&amp;"CY2023Q3",Spectrum!$R:$R,0)),0),SUM($U59)+SUM($AI59)))</f>
        <v>0</v>
      </c>
      <c r="AK59" s="10" t="str">
        <f aca="false">IF(LEFT($B59,4)="_Mil","",_xlfn.IFNA(ROUND(INDEX(Spectrum!$N:$N,MATCH(RIGHT($B59,13)&amp;"|"&amp;$C59&amp;"|"&amp;$D59&amp;"|"&amp;AK$14&amp;"|"&amp;"CY2023Q3",Spectrum!$R:$R,0)),0),""))</f>
        <v/>
      </c>
      <c r="AL59" s="88" t="n">
        <f aca="false">IF(OR(LEFT($B59,4)="_Mil",$C59="&lt;01"),"",MAX(SUM($AA59),90%))</f>
        <v>1209</v>
      </c>
      <c r="AM59" s="10" t="n">
        <f aca="false">IF(OR(LEFT($B59,4)="_Mil",$C59="&lt;01"),"",ROUND(SUM($AJ59)*SUM($AL59),0))</f>
        <v>0</v>
      </c>
      <c r="AN59" s="10" t="str">
        <f aca="false">IF($C59="&lt;01",ROUND(INDEX(EID!$P:$P,MATCH($B59,EID!$B:$B,0))/2,0),"")</f>
        <v/>
      </c>
      <c r="AO59" s="10" t="n">
        <f aca="false">IF($C59="&lt;01",SUM($AN59),ROUND(SUM($AM59)*SUM($O59)/IF(SUM($Z59)=0,1,$Z59),0))</f>
        <v>0</v>
      </c>
      <c r="AP59" s="39" t="n">
        <f aca="false">IF(OR($F59="",$C59="&lt;01"),$AO59,$F59)</f>
        <v>0</v>
      </c>
      <c r="AQ59" s="39" t="n">
        <f aca="false">IF(LEFT($B59,4)="_Mil","",IF(SUM($AP59)=0,SUM($Z59),IF(OR(SUM($Z59)=0,SUM($O59)=0),MAX($AP59,$Z59),$AP59*$Z59/$O59)))</f>
        <v>1026</v>
      </c>
      <c r="AR59" s="88" t="str">
        <f aca="false">IF(OR(LEFT($B59,4)="_Mil",SUM($AJ59)=0),"",SUM($AQ59)/$AJ59)</f>
        <v/>
      </c>
      <c r="AS59" s="88" t="n">
        <f aca="false">IF($C59="&lt;01","",98%)</f>
        <v>0.98</v>
      </c>
      <c r="AT59" s="88" t="n">
        <f aca="false">IF($C59="&lt;01","",98%)</f>
        <v>0.98</v>
      </c>
      <c r="AU59" s="10" t="n">
        <f aca="false">IF($C59="&lt;01","",SUM($AP59)-SUM($O59))</f>
        <v>0</v>
      </c>
      <c r="AV59" s="10" t="n">
        <f aca="false">IF($C59="&lt;01",ROUND(INDEX(EID!$N:$N,MATCH($B59,EID!$B:$B,0))/2,0),IF(SUM($AT59)=0,"",ROUND((SUM($AP59)-(SUM($O59)*SUM($AS59)))/$AT59,0)))</f>
        <v>0</v>
      </c>
      <c r="AW59" s="88" t="n">
        <f aca="false">IF($C59="&lt;01","",100%)</f>
        <v>1</v>
      </c>
      <c r="AX59" s="39" t="n">
        <f aca="false">IF($C59="&lt;01",SUM($AV59),ROUND(SUM($AV59)*SUM($AW59),0))</f>
        <v>0</v>
      </c>
      <c r="AY59" s="114" t="n">
        <f aca="false">IF($C59="&lt;01","",70%)</f>
        <v>0.7</v>
      </c>
      <c r="AZ59" s="91" t="n">
        <f aca="false">IF($C59="&lt;01",ROUND(INDEX(EID!$R:$R,MATCH($B59,EID!$B:$B,0))/2,0),ROUND(SUM($O59)+(SUM($AV59)*$AY59),0))</f>
        <v>0</v>
      </c>
      <c r="BA59" s="87" t="n">
        <f aca="false">IF($C59="&lt;01","",95%)</f>
        <v>0.95</v>
      </c>
      <c r="BB59" s="5" t="n">
        <f aca="false">IF($C59="&lt;01",ROUND(INDEX(EID!$T:$T,MATCH($B59,EID!$B:$B,0))/2,0),ROUND($AZ59*$BA59,0))</f>
        <v>0</v>
      </c>
      <c r="BC59" s="91" t="n">
        <f aca="false">IF(LEFT($B59,4)="_Mil","",IF(SUM($BB59)=0,SUM($AD59),IF(OR(SUM($AP59)=0,SUM($AQ59)=0),MAX($BB59,$AD59),ROUND($BB59*$AQ59/$AP59,0))))</f>
        <v>0</v>
      </c>
      <c r="BD59" s="88" t="n">
        <f aca="false">IF($C59="&lt;01","",95%)</f>
        <v>0.95</v>
      </c>
      <c r="BE59" s="39" t="n">
        <f aca="false">IF($C59="&lt;01",ROUND(INDEX(EID!$V:$V,MATCH($B59,EID!$B:$B,0))/2,0),ROUND($BD59*$BB59,0))</f>
        <v>0</v>
      </c>
      <c r="BF59" s="39" t="n">
        <f aca="false">IF(LEFT($B59,4)="_Mil","",IF(SUM($BE59)=0,SUM($AF59),IF(OR(SUM($AP59)=0,SUM($AQ59)=0),MAX($BE59,$AF59),ROUND($BE59*$AQ59/$AP59,0))))</f>
        <v>0</v>
      </c>
      <c r="BG59" s="114" t="n">
        <f aca="false">IF($C59="&lt;01","",95%)</f>
        <v>0.95</v>
      </c>
      <c r="BH59" s="5" t="n">
        <f aca="false">IF($C59="&lt;01",ROUND(INDEX(EID!$L:$L,MATCH($B59,EID!$B:$B,0)),0)/2,IF(SUM($BG59)=0,"",ROUND($AX59/$BG59,0)))</f>
        <v>0</v>
      </c>
    </row>
    <row r="60" customFormat="false" ht="15" hidden="false" customHeight="false" outlineLevel="0" collapsed="false">
      <c r="A60" s="0" t="str">
        <f aca="false">INDEX(Prioritization!$D:$D,MATCH($B60,Prioritization!$A:$A,0))</f>
        <v>INVALID</v>
      </c>
      <c r="B60" s="0" t="s">
        <v>197</v>
      </c>
      <c r="C60" s="0" t="s">
        <v>363</v>
      </c>
      <c r="D60" s="0" t="s">
        <v>48</v>
      </c>
      <c r="E60" s="0" t="str">
        <f aca="false">$B60&amp;"|"&amp;$C60&amp;"|"&amp;$D60</f>
        <v>Kasungu District [JQKLKuVuY61]|01-09|Male</v>
      </c>
      <c r="F60" s="10"/>
      <c r="G60" s="10"/>
      <c r="H60" s="10"/>
      <c r="I60" s="10"/>
      <c r="J60" s="10"/>
      <c r="K60" s="10"/>
      <c r="L60" s="10"/>
      <c r="M60" s="10"/>
      <c r="N60" s="10"/>
      <c r="O60" s="10" t="str">
        <f aca="false">IFERROR(1/(1/MAX($I60,$N60)),"")</f>
        <v/>
      </c>
      <c r="P60" s="10"/>
      <c r="Q60" s="10"/>
      <c r="R60" s="10" t="str">
        <f aca="false">IF(AND(SUM($I60)=0,SUM($O60)=0),"",SUM($O60)-$I60)</f>
        <v/>
      </c>
      <c r="S60" s="10" t="n">
        <f aca="false">IF(LEFT($B60,4)="_Mil","",_xlfn.IFNA(ROUND(INDEX(Spectrum!$N:$N,MATCH(RIGHT($B60,13)&amp;"|"&amp;$C60&amp;"|"&amp;$D60&amp;"|"&amp;S$14&amp;"|"&amp;"CY2022Q4",Spectrum!$R:$R,0)),0),""))</f>
        <v>1416</v>
      </c>
      <c r="T60" s="39" t="n">
        <f aca="false">IF(LEFT($B60,4)="_Mil","",_xlfn.IFNA(ROUND(INDEX(Spectrum!$N:$N,MATCH(RIGHT($B60,13)&amp;"|"&amp;$C60&amp;"|"&amp;$D60&amp;"|"&amp;T$14&amp;"|"&amp;"CY2023Q3",Spectrum!$R:$R,0)),0),""))</f>
        <v>613</v>
      </c>
      <c r="U60" s="39" t="str">
        <f aca="false">IF(LEFT($B60,4)="_Mil","",_xlfn.IFNA(ROUND(INDEX(Spectrum!$N:$N,MATCH(RIGHT($B60,13)&amp;"|"&amp;$C60&amp;"|"&amp;$D60&amp;"|"&amp;U$14&amp;"|"&amp;"CY2023Q3",Spectrum!$R:$R,0)),0),""))</f>
        <v/>
      </c>
      <c r="V60" s="10" t="n">
        <f aca="false">IF(LEFT($B60,4)="_Mil","",_xlfn.IFNA(ROUND(INDEX(Spectrum!$N:$N,MATCH(RIGHT($B60,13)&amp;"|"&amp;$C60&amp;"|"&amp;$D60&amp;"|"&amp;V$14&amp;"|"&amp;"CY2023Q3",Spectrum!$R:$R,0)),0),""))</f>
        <v>1978</v>
      </c>
      <c r="W60" s="113" t="n">
        <f aca="false">IF(LEFT($B60,4)="_Mil","",_xlfn.IFNA(INDEX(Spectrum!$N:$N,MATCH(RIGHT($B60,13)&amp;"|"&amp;$C60&amp;"|"&amp;$D60&amp;"|"&amp;W$14&amp;"|"&amp;"CY2023Q3",Spectrum!$R:$R,0)),""))</f>
        <v>1948</v>
      </c>
      <c r="X60" s="39" t="n">
        <f aca="false">IF(LEFT($B60,4)="_Mil","",_xlfn.IFNA(ROUND(INDEX(Spectrum!$N:$N,MATCH(RIGHT($B60,13)&amp;"|"&amp;$C60&amp;"|"&amp;$D60&amp;"|"&amp;X$14&amp;"|"&amp;"CY2023Q3",Spectrum!$R:$R,0)),0),""))</f>
        <v>589</v>
      </c>
      <c r="Y60" s="88" t="str">
        <f aca="false">IF(OR(SUM($U60)=0,LEFT($B60,4)="_Mil"),"",SUM($X60)/$U60)</f>
        <v/>
      </c>
      <c r="Z60" s="39" t="n">
        <f aca="false">IF(LEFT($B60,4)="_Mil","",_xlfn.IFNA(ROUND(INDEX(Spectrum!$N:$N,MATCH(RIGHT($B60,13)&amp;"|"&amp;$C60&amp;"|"&amp;$D60&amp;"|"&amp;Z$14&amp;"|"&amp;"CY2023Q3",Spectrum!$R:$R,0)),0),""))</f>
        <v>1997</v>
      </c>
      <c r="AA60" s="88" t="n">
        <f aca="false">IF(LEFT($B60,4)="_Mil","",IFERROR(1/(1/INDEX(Spectrum!$N:$N,MATCH(RIGHT($B60,13)&amp;"|"&amp;$C60&amp;"|"&amp;$D60&amp;"|"&amp;AA$14&amp;"|"&amp;"CY2023Q3",Spectrum!$R:$R,0))),IF(SUM($U60)=0,"",SUM($Z60)/$U60)))</f>
        <v>1599</v>
      </c>
      <c r="AB60" s="88" t="n">
        <f aca="false">IF(OR(LEFT($B60,4)="_Mil",SUM($X60)=0),"",SUM($Z60)/$X60)</f>
        <v>3.39049235993209</v>
      </c>
      <c r="AC60" s="10" t="n">
        <f aca="false">IF(LEFT($B60,4)="_Mil","",_xlfn.IFNA(ROUND(INDEX(Spectrum!$N:$N,MATCH(RIGHT($B60,13)&amp;"|"&amp;$C60&amp;"|"&amp;$D60&amp;"|"&amp;AC$14&amp;"|"&amp;"CY2023Q3",Spectrum!$R:$R,0)),0),""))</f>
        <v>1456</v>
      </c>
      <c r="AD60" s="10" t="str">
        <f aca="false">IF(LEFT($B60,4)="_Mil","",_xlfn.IFNA(ROUND(INDEX(Spectrum!$N:$N,MATCH(RIGHT($B60,13)&amp;"|"&amp;$C60&amp;"|"&amp;$D60&amp;"|"&amp;AD$14&amp;"|"&amp;"CY2023Q3",Spectrum!$R:$R,0)),0),""))</f>
        <v/>
      </c>
      <c r="AE60" s="88" t="n">
        <f aca="false">IF(OR(LEFT($B60,4)="_Mil",SUM($Z60)=0),"",SUM($AD60)/$Z60)</f>
        <v>0</v>
      </c>
      <c r="AF60" s="39" t="str">
        <f aca="false">IF(LEFT($B60,4)="_Mil","",_xlfn.IFNA(ROUND(INDEX(Spectrum!$N:$N,MATCH(RIGHT($B60,13)&amp;"|"&amp;$C60&amp;"|"&amp;$D60&amp;"|"&amp;AF$14&amp;"|"&amp;"CY2023Q3",Spectrum!$R:$R,0)),0),""))</f>
        <v/>
      </c>
      <c r="AG60" s="88" t="str">
        <f aca="false">IF(OR(LEFT($B60,4)="_Mil",SUM($AD60)=0),"",SUM($AF60)/$AD60)</f>
        <v/>
      </c>
      <c r="AH60" s="86" t="str">
        <f aca="false">IF(LEFT($B60,4)="_Mil","",_xlfn.IFNA(INDEX(Spectrum!$N:$N,MATCH(RIGHT($B60,13)&amp;"|"&amp;$C60&amp;"|"&amp;$D60&amp;"|"&amp;AH$14&amp;"|"&amp;"CY2023Q3",Spectrum!$R:$R,0)),""))</f>
        <v/>
      </c>
      <c r="AI60" s="10" t="str">
        <f aca="false">IF(LEFT($B60,4)="_Mil","",_xlfn.IFNA(ROUND(INDEX(Spectrum!$N:$N,MATCH(RIGHT($B60,13)&amp;"|"&amp;$C60&amp;"|"&amp;$D60&amp;"|"&amp;AI$14&amp;"|"&amp;"CY2023Q3",Spectrum!$R:$R,0)),0),""))</f>
        <v/>
      </c>
      <c r="AJ60" s="39" t="n">
        <f aca="false">IF(LEFT($B60,4)="_Mil","",_xlfn.IFNA(ROUND(INDEX(Spectrum!$N:$N,MATCH(RIGHT($B60,13)&amp;"|"&amp;$C60&amp;"|"&amp;$D60&amp;"|"&amp;AI$14&amp;"|"&amp;"CY2023Q3",Spectrum!$R:$R,0)),0),SUM($U60)+SUM($AI60)))</f>
        <v>0</v>
      </c>
      <c r="AK60" s="10" t="str">
        <f aca="false">IF(LEFT($B60,4)="_Mil","",_xlfn.IFNA(ROUND(INDEX(Spectrum!$N:$N,MATCH(RIGHT($B60,13)&amp;"|"&amp;$C60&amp;"|"&amp;$D60&amp;"|"&amp;AK$14&amp;"|"&amp;"CY2023Q3",Spectrum!$R:$R,0)),0),""))</f>
        <v/>
      </c>
      <c r="AL60" s="88" t="n">
        <f aca="false">IF(OR(LEFT($B60,4)="_Mil",$C60="&lt;01"),"",MAX(SUM($AA60),90%))</f>
        <v>1599</v>
      </c>
      <c r="AM60" s="10" t="n">
        <f aca="false">IF(OR(LEFT($B60,4)="_Mil",$C60="&lt;01"),"",ROUND(SUM($AJ60)*SUM($AL60),0))</f>
        <v>0</v>
      </c>
      <c r="AN60" s="10" t="str">
        <f aca="false">IF($C60="&lt;01",ROUND(INDEX(EID!$P:$P,MATCH($B60,EID!$B:$B,0))/2,0),"")</f>
        <v/>
      </c>
      <c r="AO60" s="10" t="n">
        <f aca="false">IF($C60="&lt;01",SUM($AN60),ROUND(SUM($AM60)*SUM($O60)/IF(SUM($Z60)=0,1,$Z60),0))</f>
        <v>0</v>
      </c>
      <c r="AP60" s="39" t="n">
        <f aca="false">IF(OR($F60="",$C60="&lt;01"),$AO60,$F60)</f>
        <v>0</v>
      </c>
      <c r="AQ60" s="39" t="n">
        <f aca="false">IF(LEFT($B60,4)="_Mil","",IF(SUM($AP60)=0,SUM($Z60),IF(OR(SUM($Z60)=0,SUM($O60)=0),MAX($AP60,$Z60),$AP60*$Z60/$O60)))</f>
        <v>1997</v>
      </c>
      <c r="AR60" s="88" t="str">
        <f aca="false">IF(OR(LEFT($B60,4)="_Mil",SUM($AJ60)=0),"",SUM($AQ60)/$AJ60)</f>
        <v/>
      </c>
      <c r="AS60" s="88" t="n">
        <f aca="false">IF($C60="&lt;01","",98%)</f>
        <v>0.98</v>
      </c>
      <c r="AT60" s="88" t="n">
        <f aca="false">IF($C60="&lt;01","",98%)</f>
        <v>0.98</v>
      </c>
      <c r="AU60" s="10" t="n">
        <f aca="false">IF($C60="&lt;01","",SUM($AP60)-SUM($O60))</f>
        <v>0</v>
      </c>
      <c r="AV60" s="10" t="n">
        <f aca="false">IF($C60="&lt;01",ROUND(INDEX(EID!$N:$N,MATCH($B60,EID!$B:$B,0))/2,0),IF(SUM($AT60)=0,"",ROUND((SUM($AP60)-(SUM($O60)*SUM($AS60)))/$AT60,0)))</f>
        <v>0</v>
      </c>
      <c r="AW60" s="88" t="n">
        <f aca="false">IF($C60="&lt;01","",100%)</f>
        <v>1</v>
      </c>
      <c r="AX60" s="39" t="n">
        <f aca="false">IF($C60="&lt;01",SUM($AV60),ROUND(SUM($AV60)*SUM($AW60),0))</f>
        <v>0</v>
      </c>
      <c r="AY60" s="114" t="n">
        <f aca="false">IF($C60="&lt;01","",70%)</f>
        <v>0.7</v>
      </c>
      <c r="AZ60" s="91" t="n">
        <f aca="false">IF($C60="&lt;01",ROUND(INDEX(EID!$R:$R,MATCH($B60,EID!$B:$B,0))/2,0),ROUND(SUM($O60)+(SUM($AV60)*$AY60),0))</f>
        <v>0</v>
      </c>
      <c r="BA60" s="87" t="n">
        <f aca="false">IF($C60="&lt;01","",95%)</f>
        <v>0.95</v>
      </c>
      <c r="BB60" s="5" t="n">
        <f aca="false">IF($C60="&lt;01",ROUND(INDEX(EID!$T:$T,MATCH($B60,EID!$B:$B,0))/2,0),ROUND($AZ60*$BA60,0))</f>
        <v>0</v>
      </c>
      <c r="BC60" s="91" t="n">
        <f aca="false">IF(LEFT($B60,4)="_Mil","",IF(SUM($BB60)=0,SUM($AD60),IF(OR(SUM($AP60)=0,SUM($AQ60)=0),MAX($BB60,$AD60),ROUND($BB60*$AQ60/$AP60,0))))</f>
        <v>0</v>
      </c>
      <c r="BD60" s="88" t="n">
        <f aca="false">IF($C60="&lt;01","",95%)</f>
        <v>0.95</v>
      </c>
      <c r="BE60" s="39" t="n">
        <f aca="false">IF($C60="&lt;01",ROUND(INDEX(EID!$V:$V,MATCH($B60,EID!$B:$B,0))/2,0),ROUND($BD60*$BB60,0))</f>
        <v>0</v>
      </c>
      <c r="BF60" s="39" t="n">
        <f aca="false">IF(LEFT($B60,4)="_Mil","",IF(SUM($BE60)=0,SUM($AF60),IF(OR(SUM($AP60)=0,SUM($AQ60)=0),MAX($BE60,$AF60),ROUND($BE60*$AQ60/$AP60,0))))</f>
        <v>0</v>
      </c>
      <c r="BG60" s="114" t="n">
        <f aca="false">IF($C60="&lt;01","",95%)</f>
        <v>0.95</v>
      </c>
      <c r="BH60" s="5" t="n">
        <f aca="false">IF($C60="&lt;01",ROUND(INDEX(EID!$L:$L,MATCH($B60,EID!$B:$B,0)),0)/2,IF(SUM($BG60)=0,"",ROUND($AX60/$BG60,0)))</f>
        <v>0</v>
      </c>
    </row>
    <row r="61" customFormat="false" ht="15" hidden="false" customHeight="false" outlineLevel="0" collapsed="false">
      <c r="A61" s="0" t="str">
        <f aca="false">INDEX(Prioritization!$D:$D,MATCH($B61,Prioritization!$A:$A,0))</f>
        <v>INVALID</v>
      </c>
      <c r="B61" s="0" t="s">
        <v>197</v>
      </c>
      <c r="C61" s="0" t="s">
        <v>364</v>
      </c>
      <c r="D61" s="0" t="s">
        <v>30</v>
      </c>
      <c r="E61" s="0" t="str">
        <f aca="false">$B61&amp;"|"&amp;$C61&amp;"|"&amp;$D61</f>
        <v>Kasungu District [JQKLKuVuY61]|10-14|Female</v>
      </c>
      <c r="F61" s="10"/>
      <c r="G61" s="10" t="n">
        <v>9</v>
      </c>
      <c r="H61" s="10" t="n">
        <v>9</v>
      </c>
      <c r="I61" s="10" t="n">
        <v>51</v>
      </c>
      <c r="J61" s="10" t="n">
        <v>25</v>
      </c>
      <c r="K61" s="10" t="n">
        <v>43</v>
      </c>
      <c r="L61" s="10" t="n">
        <v>6</v>
      </c>
      <c r="M61" s="10" t="n">
        <v>3</v>
      </c>
      <c r="N61" s="10" t="n">
        <v>88</v>
      </c>
      <c r="O61" s="10" t="n">
        <f aca="false">IFERROR(1/(1/MAX($I61,$N61)),"")</f>
        <v>88</v>
      </c>
      <c r="P61" s="10" t="n">
        <v>93</v>
      </c>
      <c r="Q61" s="10" t="n">
        <v>33</v>
      </c>
      <c r="R61" s="10" t="n">
        <f aca="false">IF(AND(SUM($I61)=0,SUM($O61)=0),"",SUM($O61)-$I61)</f>
        <v>37</v>
      </c>
      <c r="S61" s="10" t="n">
        <f aca="false">IF(LEFT($B61,4)="_Mil","",_xlfn.IFNA(ROUND(INDEX(Spectrum!$N:$N,MATCH(RIGHT($B61,13)&amp;"|"&amp;$C61&amp;"|"&amp;$D61&amp;"|"&amp;S$14&amp;"|"&amp;"CY2022Q4",Spectrum!$R:$R,0)),0),""))</f>
        <v>599</v>
      </c>
      <c r="T61" s="39" t="n">
        <f aca="false">IF(LEFT($B61,4)="_Mil","",_xlfn.IFNA(ROUND(INDEX(Spectrum!$N:$N,MATCH(RIGHT($B61,13)&amp;"|"&amp;$C61&amp;"|"&amp;$D61&amp;"|"&amp;T$14&amp;"|"&amp;"CY2023Q3",Spectrum!$R:$R,0)),0),""))</f>
        <v>1308</v>
      </c>
      <c r="U61" s="39" t="str">
        <f aca="false">IF(LEFT($B61,4)="_Mil","",_xlfn.IFNA(ROUND(INDEX(Spectrum!$N:$N,MATCH(RIGHT($B61,13)&amp;"|"&amp;$C61&amp;"|"&amp;$D61&amp;"|"&amp;U$14&amp;"|"&amp;"CY2023Q3",Spectrum!$R:$R,0)),0),""))</f>
        <v/>
      </c>
      <c r="V61" s="10" t="n">
        <f aca="false">IF(LEFT($B61,4)="_Mil","",_xlfn.IFNA(ROUND(INDEX(Spectrum!$N:$N,MATCH(RIGHT($B61,13)&amp;"|"&amp;$C61&amp;"|"&amp;$D61&amp;"|"&amp;V$14&amp;"|"&amp;"CY2023Q3",Spectrum!$R:$R,0)),0),""))</f>
        <v>1085</v>
      </c>
      <c r="W61" s="113" t="n">
        <f aca="false">IF(LEFT($B61,4)="_Mil","",_xlfn.IFNA(INDEX(Spectrum!$N:$N,MATCH(RIGHT($B61,13)&amp;"|"&amp;$C61&amp;"|"&amp;$D61&amp;"|"&amp;W$14&amp;"|"&amp;"CY2023Q3",Spectrum!$R:$R,0)),""))</f>
        <v>1824</v>
      </c>
      <c r="X61" s="39" t="n">
        <f aca="false">IF(LEFT($B61,4)="_Mil","",_xlfn.IFNA(ROUND(INDEX(Spectrum!$N:$N,MATCH(RIGHT($B61,13)&amp;"|"&amp;$C61&amp;"|"&amp;$D61&amp;"|"&amp;X$14&amp;"|"&amp;"CY2023Q3",Spectrum!$R:$R,0)),0),""))</f>
        <v>577</v>
      </c>
      <c r="Y61" s="88" t="str">
        <f aca="false">IF(OR(SUM($U61)=0,LEFT($B61,4)="_Mil"),"",SUM($X61)/$U61)</f>
        <v/>
      </c>
      <c r="Z61" s="39" t="n">
        <f aca="false">IF(LEFT($B61,4)="_Mil","",_xlfn.IFNA(ROUND(INDEX(Spectrum!$N:$N,MATCH(RIGHT($B61,13)&amp;"|"&amp;$C61&amp;"|"&amp;$D61&amp;"|"&amp;Z$14&amp;"|"&amp;"CY2023Q3",Spectrum!$R:$R,0)),0),""))</f>
        <v>1606</v>
      </c>
      <c r="AA61" s="88" t="n">
        <f aca="false">IF(LEFT($B61,4)="_Mil","",IFERROR(1/(1/INDEX(Spectrum!$N:$N,MATCH(RIGHT($B61,13)&amp;"|"&amp;$C61&amp;"|"&amp;$D61&amp;"|"&amp;AA$14&amp;"|"&amp;"CY2023Q3",Spectrum!$R:$R,0))),IF(SUM($U61)=0,"",SUM($Z61)/$U61)))</f>
        <v>1612</v>
      </c>
      <c r="AB61" s="88" t="n">
        <f aca="false">IF(OR(LEFT($B61,4)="_Mil",SUM($X61)=0),"",SUM($Z61)/$X61)</f>
        <v>2.78336221837088</v>
      </c>
      <c r="AC61" s="10" t="n">
        <f aca="false">IF(LEFT($B61,4)="_Mil","",_xlfn.IFNA(ROUND(INDEX(Spectrum!$N:$N,MATCH(RIGHT($B61,13)&amp;"|"&amp;$C61&amp;"|"&amp;$D61&amp;"|"&amp;AC$14&amp;"|"&amp;"CY2023Q3",Spectrum!$R:$R,0)),0),""))</f>
        <v>591</v>
      </c>
      <c r="AD61" s="10" t="str">
        <f aca="false">IF(LEFT($B61,4)="_Mil","",_xlfn.IFNA(ROUND(INDEX(Spectrum!$N:$N,MATCH(RIGHT($B61,13)&amp;"|"&amp;$C61&amp;"|"&amp;$D61&amp;"|"&amp;AD$14&amp;"|"&amp;"CY2023Q3",Spectrum!$R:$R,0)),0),""))</f>
        <v/>
      </c>
      <c r="AE61" s="88" t="n">
        <f aca="false">IF(OR(LEFT($B61,4)="_Mil",SUM($Z61)=0),"",SUM($AD61)/$Z61)</f>
        <v>0</v>
      </c>
      <c r="AF61" s="39" t="str">
        <f aca="false">IF(LEFT($B61,4)="_Mil","",_xlfn.IFNA(ROUND(INDEX(Spectrum!$N:$N,MATCH(RIGHT($B61,13)&amp;"|"&amp;$C61&amp;"|"&amp;$D61&amp;"|"&amp;AF$14&amp;"|"&amp;"CY2023Q3",Spectrum!$R:$R,0)),0),""))</f>
        <v/>
      </c>
      <c r="AG61" s="88" t="str">
        <f aca="false">IF(OR(LEFT($B61,4)="_Mil",SUM($AD61)=0),"",SUM($AF61)/$AD61)</f>
        <v/>
      </c>
      <c r="AH61" s="86" t="str">
        <f aca="false">IF(LEFT($B61,4)="_Mil","",_xlfn.IFNA(INDEX(Spectrum!$N:$N,MATCH(RIGHT($B61,13)&amp;"|"&amp;$C61&amp;"|"&amp;$D61&amp;"|"&amp;AH$14&amp;"|"&amp;"CY2023Q3",Spectrum!$R:$R,0)),""))</f>
        <v/>
      </c>
      <c r="AI61" s="10" t="str">
        <f aca="false">IF(LEFT($B61,4)="_Mil","",_xlfn.IFNA(ROUND(INDEX(Spectrum!$N:$N,MATCH(RIGHT($B61,13)&amp;"|"&amp;$C61&amp;"|"&amp;$D61&amp;"|"&amp;AI$14&amp;"|"&amp;"CY2023Q3",Spectrum!$R:$R,0)),0),""))</f>
        <v/>
      </c>
      <c r="AJ61" s="39" t="n">
        <f aca="false">IF(LEFT($B61,4)="_Mil","",_xlfn.IFNA(ROUND(INDEX(Spectrum!$N:$N,MATCH(RIGHT($B61,13)&amp;"|"&amp;$C61&amp;"|"&amp;$D61&amp;"|"&amp;AI$14&amp;"|"&amp;"CY2023Q3",Spectrum!$R:$R,0)),0),SUM($U61)+SUM($AI61)))</f>
        <v>0</v>
      </c>
      <c r="AK61" s="10" t="str">
        <f aca="false">IF(LEFT($B61,4)="_Mil","",_xlfn.IFNA(ROUND(INDEX(Spectrum!$N:$N,MATCH(RIGHT($B61,13)&amp;"|"&amp;$C61&amp;"|"&amp;$D61&amp;"|"&amp;AK$14&amp;"|"&amp;"CY2023Q3",Spectrum!$R:$R,0)),0),""))</f>
        <v/>
      </c>
      <c r="AL61" s="88" t="n">
        <f aca="false">IF(OR(LEFT($B61,4)="_Mil",$C61="&lt;01"),"",MAX(SUM($AA61),90%))</f>
        <v>1612</v>
      </c>
      <c r="AM61" s="10" t="n">
        <f aca="false">IF(OR(LEFT($B61,4)="_Mil",$C61="&lt;01"),"",ROUND(SUM($AJ61)*SUM($AL61),0))</f>
        <v>0</v>
      </c>
      <c r="AN61" s="10" t="str">
        <f aca="false">IF($C61="&lt;01",ROUND(INDEX(EID!$P:$P,MATCH($B61,EID!$B:$B,0))/2,0),"")</f>
        <v/>
      </c>
      <c r="AO61" s="10" t="n">
        <f aca="false">IF($C61="&lt;01",SUM($AN61),ROUND(SUM($AM61)*SUM($O61)/IF(SUM($Z61)=0,1,$Z61),0))</f>
        <v>0</v>
      </c>
      <c r="AP61" s="39" t="n">
        <f aca="false">IF(OR($F61="",$C61="&lt;01"),$AO61,$F61)</f>
        <v>0</v>
      </c>
      <c r="AQ61" s="39" t="n">
        <f aca="false">IF(LEFT($B61,4)="_Mil","",IF(SUM($AP61)=0,SUM($Z61),IF(OR(SUM($Z61)=0,SUM($O61)=0),MAX($AP61,$Z61),$AP61*$Z61/$O61)))</f>
        <v>1606</v>
      </c>
      <c r="AR61" s="88" t="str">
        <f aca="false">IF(OR(LEFT($B61,4)="_Mil",SUM($AJ61)=0),"",SUM($AQ61)/$AJ61)</f>
        <v/>
      </c>
      <c r="AS61" s="88" t="n">
        <f aca="false">IF($C61="&lt;01","",98%)</f>
        <v>0.98</v>
      </c>
      <c r="AT61" s="88" t="n">
        <f aca="false">IF($C61="&lt;01","",98%)</f>
        <v>0.98</v>
      </c>
      <c r="AU61" s="10" t="n">
        <f aca="false">IF($C61="&lt;01","",SUM($AP61)-SUM($O61))</f>
        <v>-88</v>
      </c>
      <c r="AV61" s="10" t="n">
        <f aca="false">IF($C61="&lt;01",ROUND(INDEX(EID!$N:$N,MATCH($B61,EID!$B:$B,0))/2,0),IF(SUM($AT61)=0,"",ROUND((SUM($AP61)-(SUM($O61)*SUM($AS61)))/$AT61,0)))</f>
        <v>-88</v>
      </c>
      <c r="AW61" s="88" t="n">
        <f aca="false">IF($C61="&lt;01","",100%)</f>
        <v>1</v>
      </c>
      <c r="AX61" s="39" t="n">
        <f aca="false">IF($C61="&lt;01",SUM($AV61),ROUND(SUM($AV61)*SUM($AW61),0))</f>
        <v>-88</v>
      </c>
      <c r="AY61" s="114" t="n">
        <f aca="false">IF($C61="&lt;01","",70%)</f>
        <v>0.7</v>
      </c>
      <c r="AZ61" s="91" t="n">
        <f aca="false">IF($C61="&lt;01",ROUND(INDEX(EID!$R:$R,MATCH($B61,EID!$B:$B,0))/2,0),ROUND(SUM($O61)+(SUM($AV61)*$AY61),0))</f>
        <v>26</v>
      </c>
      <c r="BA61" s="87" t="n">
        <f aca="false">IF($C61="&lt;01","",95%)</f>
        <v>0.95</v>
      </c>
      <c r="BB61" s="5" t="n">
        <f aca="false">IF($C61="&lt;01",ROUND(INDEX(EID!$T:$T,MATCH($B61,EID!$B:$B,0))/2,0),ROUND($AZ61*$BA61,0))</f>
        <v>25</v>
      </c>
      <c r="BC61" s="91" t="n">
        <f aca="false">IF(LEFT($B61,4)="_Mil","",IF(SUM($BB61)=0,SUM($AD61),IF(OR(SUM($AP61)=0,SUM($AQ61)=0),MAX($BB61,$AD61),ROUND($BB61*$AQ61/$AP61,0))))</f>
        <v>25</v>
      </c>
      <c r="BD61" s="88" t="n">
        <f aca="false">IF($C61="&lt;01","",95%)</f>
        <v>0.95</v>
      </c>
      <c r="BE61" s="39" t="n">
        <f aca="false">IF($C61="&lt;01",ROUND(INDEX(EID!$V:$V,MATCH($B61,EID!$B:$B,0))/2,0),ROUND($BD61*$BB61,0))</f>
        <v>24</v>
      </c>
      <c r="BF61" s="39" t="n">
        <f aca="false">IF(LEFT($B61,4)="_Mil","",IF(SUM($BE61)=0,SUM($AF61),IF(OR(SUM($AP61)=0,SUM($AQ61)=0),MAX($BE61,$AF61),ROUND($BE61*$AQ61/$AP61,0))))</f>
        <v>24</v>
      </c>
      <c r="BG61" s="114" t="n">
        <f aca="false">IF($C61="&lt;01","",95%)</f>
        <v>0.95</v>
      </c>
      <c r="BH61" s="5" t="n">
        <f aca="false">IF($C61="&lt;01",ROUND(INDEX(EID!$L:$L,MATCH($B61,EID!$B:$B,0)),0)/2,IF(SUM($BG61)=0,"",ROUND($AX61/$BG61,0)))</f>
        <v>-93</v>
      </c>
    </row>
    <row r="62" customFormat="false" ht="15" hidden="false" customHeight="false" outlineLevel="0" collapsed="false">
      <c r="A62" s="0" t="str">
        <f aca="false">INDEX(Prioritization!$D:$D,MATCH($B62,Prioritization!$A:$A,0))</f>
        <v>INVALID</v>
      </c>
      <c r="B62" s="0" t="s">
        <v>197</v>
      </c>
      <c r="C62" s="0" t="s">
        <v>364</v>
      </c>
      <c r="D62" s="0" t="s">
        <v>48</v>
      </c>
      <c r="E62" s="0" t="str">
        <f aca="false">$B62&amp;"|"&amp;$C62&amp;"|"&amp;$D62</f>
        <v>Kasungu District [JQKLKuVuY61]|10-14|Male</v>
      </c>
      <c r="F62" s="10"/>
      <c r="G62" s="10" t="n">
        <v>6</v>
      </c>
      <c r="H62" s="10" t="n">
        <v>9</v>
      </c>
      <c r="I62" s="10" t="n">
        <v>94</v>
      </c>
      <c r="J62" s="10" t="n">
        <v>57</v>
      </c>
      <c r="K62" s="10" t="n">
        <v>10</v>
      </c>
      <c r="L62" s="10" t="n">
        <v>2</v>
      </c>
      <c r="M62" s="10" t="n">
        <v>4</v>
      </c>
      <c r="N62" s="10" t="n">
        <v>68</v>
      </c>
      <c r="O62" s="10" t="n">
        <f aca="false">IFERROR(1/(1/MAX($I62,$N62)),"")</f>
        <v>94</v>
      </c>
      <c r="P62" s="10" t="n">
        <v>13</v>
      </c>
      <c r="Q62" s="10" t="n">
        <v>81</v>
      </c>
      <c r="R62" s="10" t="n">
        <f aca="false">IF(AND(SUM($I62)=0,SUM($O62)=0),"",SUM($O62)-$I62)</f>
        <v>0</v>
      </c>
      <c r="S62" s="10" t="n">
        <f aca="false">IF(LEFT($B62,4)="_Mil","",_xlfn.IFNA(ROUND(INDEX(Spectrum!$N:$N,MATCH(RIGHT($B62,13)&amp;"|"&amp;$C62&amp;"|"&amp;$D62&amp;"|"&amp;S$14&amp;"|"&amp;"CY2022Q4",Spectrum!$R:$R,0)),0),""))</f>
        <v>990</v>
      </c>
      <c r="T62" s="39" t="n">
        <f aca="false">IF(LEFT($B62,4)="_Mil","",_xlfn.IFNA(ROUND(INDEX(Spectrum!$N:$N,MATCH(RIGHT($B62,13)&amp;"|"&amp;$C62&amp;"|"&amp;$D62&amp;"|"&amp;T$14&amp;"|"&amp;"CY2023Q3",Spectrum!$R:$R,0)),0),""))</f>
        <v>1779</v>
      </c>
      <c r="U62" s="39" t="str">
        <f aca="false">IF(LEFT($B62,4)="_Mil","",_xlfn.IFNA(ROUND(INDEX(Spectrum!$N:$N,MATCH(RIGHT($B62,13)&amp;"|"&amp;$C62&amp;"|"&amp;$D62&amp;"|"&amp;U$14&amp;"|"&amp;"CY2023Q3",Spectrum!$R:$R,0)),0),""))</f>
        <v/>
      </c>
      <c r="V62" s="10" t="n">
        <f aca="false">IF(LEFT($B62,4)="_Mil","",_xlfn.IFNA(ROUND(INDEX(Spectrum!$N:$N,MATCH(RIGHT($B62,13)&amp;"|"&amp;$C62&amp;"|"&amp;$D62&amp;"|"&amp;V$14&amp;"|"&amp;"CY2023Q3",Spectrum!$R:$R,0)),0),""))</f>
        <v>904</v>
      </c>
      <c r="W62" s="113" t="n">
        <f aca="false">IF(LEFT($B62,4)="_Mil","",_xlfn.IFNA(INDEX(Spectrum!$N:$N,MATCH(RIGHT($B62,13)&amp;"|"&amp;$C62&amp;"|"&amp;$D62&amp;"|"&amp;W$14&amp;"|"&amp;"CY2023Q3",Spectrum!$R:$R,0)),""))</f>
        <v>1227</v>
      </c>
      <c r="X62" s="39" t="n">
        <f aca="false">IF(LEFT($B62,4)="_Mil","",_xlfn.IFNA(ROUND(INDEX(Spectrum!$N:$N,MATCH(RIGHT($B62,13)&amp;"|"&amp;$C62&amp;"|"&amp;$D62&amp;"|"&amp;X$14&amp;"|"&amp;"CY2023Q3",Spectrum!$R:$R,0)),0),""))</f>
        <v>1205</v>
      </c>
      <c r="Y62" s="88" t="str">
        <f aca="false">IF(OR(SUM($U62)=0,LEFT($B62,4)="_Mil"),"",SUM($X62)/$U62)</f>
        <v/>
      </c>
      <c r="Z62" s="39" t="n">
        <f aca="false">IF(LEFT($B62,4)="_Mil","",_xlfn.IFNA(ROUND(INDEX(Spectrum!$N:$N,MATCH(RIGHT($B62,13)&amp;"|"&amp;$C62&amp;"|"&amp;$D62&amp;"|"&amp;Z$14&amp;"|"&amp;"CY2023Q3",Spectrum!$R:$R,0)),0),""))</f>
        <v>1102</v>
      </c>
      <c r="AA62" s="88" t="n">
        <f aca="false">IF(LEFT($B62,4)="_Mil","",IFERROR(1/(1/INDEX(Spectrum!$N:$N,MATCH(RIGHT($B62,13)&amp;"|"&amp;$C62&amp;"|"&amp;$D62&amp;"|"&amp;AA$14&amp;"|"&amp;"CY2023Q3",Spectrum!$R:$R,0))),IF(SUM($U62)=0,"",SUM($Z62)/$U62)))</f>
        <v>1885</v>
      </c>
      <c r="AB62" s="88" t="n">
        <f aca="false">IF(OR(LEFT($B62,4)="_Mil",SUM($X62)=0),"",SUM($Z62)/$X62)</f>
        <v>0.914522821576763</v>
      </c>
      <c r="AC62" s="10" t="n">
        <f aca="false">IF(LEFT($B62,4)="_Mil","",_xlfn.IFNA(ROUND(INDEX(Spectrum!$N:$N,MATCH(RIGHT($B62,13)&amp;"|"&amp;$C62&amp;"|"&amp;$D62&amp;"|"&amp;AC$14&amp;"|"&amp;"CY2023Q3",Spectrum!$R:$R,0)),0),""))</f>
        <v>925</v>
      </c>
      <c r="AD62" s="10" t="str">
        <f aca="false">IF(LEFT($B62,4)="_Mil","",_xlfn.IFNA(ROUND(INDEX(Spectrum!$N:$N,MATCH(RIGHT($B62,13)&amp;"|"&amp;$C62&amp;"|"&amp;$D62&amp;"|"&amp;AD$14&amp;"|"&amp;"CY2023Q3",Spectrum!$R:$R,0)),0),""))</f>
        <v/>
      </c>
      <c r="AE62" s="88" t="n">
        <f aca="false">IF(OR(LEFT($B62,4)="_Mil",SUM($Z62)=0),"",SUM($AD62)/$Z62)</f>
        <v>0</v>
      </c>
      <c r="AF62" s="39" t="str">
        <f aca="false">IF(LEFT($B62,4)="_Mil","",_xlfn.IFNA(ROUND(INDEX(Spectrum!$N:$N,MATCH(RIGHT($B62,13)&amp;"|"&amp;$C62&amp;"|"&amp;$D62&amp;"|"&amp;AF$14&amp;"|"&amp;"CY2023Q3",Spectrum!$R:$R,0)),0),""))</f>
        <v/>
      </c>
      <c r="AG62" s="88" t="str">
        <f aca="false">IF(OR(LEFT($B62,4)="_Mil",SUM($AD62)=0),"",SUM($AF62)/$AD62)</f>
        <v/>
      </c>
      <c r="AH62" s="86" t="str">
        <f aca="false">IF(LEFT($B62,4)="_Mil","",_xlfn.IFNA(INDEX(Spectrum!$N:$N,MATCH(RIGHT($B62,13)&amp;"|"&amp;$C62&amp;"|"&amp;$D62&amp;"|"&amp;AH$14&amp;"|"&amp;"CY2023Q3",Spectrum!$R:$R,0)),""))</f>
        <v/>
      </c>
      <c r="AI62" s="10" t="str">
        <f aca="false">IF(LEFT($B62,4)="_Mil","",_xlfn.IFNA(ROUND(INDEX(Spectrum!$N:$N,MATCH(RIGHT($B62,13)&amp;"|"&amp;$C62&amp;"|"&amp;$D62&amp;"|"&amp;AI$14&amp;"|"&amp;"CY2023Q3",Spectrum!$R:$R,0)),0),""))</f>
        <v/>
      </c>
      <c r="AJ62" s="39" t="n">
        <f aca="false">IF(LEFT($B62,4)="_Mil","",_xlfn.IFNA(ROUND(INDEX(Spectrum!$N:$N,MATCH(RIGHT($B62,13)&amp;"|"&amp;$C62&amp;"|"&amp;$D62&amp;"|"&amp;AI$14&amp;"|"&amp;"CY2023Q3",Spectrum!$R:$R,0)),0),SUM($U62)+SUM($AI62)))</f>
        <v>0</v>
      </c>
      <c r="AK62" s="10" t="str">
        <f aca="false">IF(LEFT($B62,4)="_Mil","",_xlfn.IFNA(ROUND(INDEX(Spectrum!$N:$N,MATCH(RIGHT($B62,13)&amp;"|"&amp;$C62&amp;"|"&amp;$D62&amp;"|"&amp;AK$14&amp;"|"&amp;"CY2023Q3",Spectrum!$R:$R,0)),0),""))</f>
        <v/>
      </c>
      <c r="AL62" s="88" t="n">
        <f aca="false">IF(OR(LEFT($B62,4)="_Mil",$C62="&lt;01"),"",MAX(SUM($AA62),90%))</f>
        <v>1885</v>
      </c>
      <c r="AM62" s="10" t="n">
        <f aca="false">IF(OR(LEFT($B62,4)="_Mil",$C62="&lt;01"),"",ROUND(SUM($AJ62)*SUM($AL62),0))</f>
        <v>0</v>
      </c>
      <c r="AN62" s="10" t="str">
        <f aca="false">IF($C62="&lt;01",ROUND(INDEX(EID!$P:$P,MATCH($B62,EID!$B:$B,0))/2,0),"")</f>
        <v/>
      </c>
      <c r="AO62" s="10" t="n">
        <f aca="false">IF($C62="&lt;01",SUM($AN62),ROUND(SUM($AM62)*SUM($O62)/IF(SUM($Z62)=0,1,$Z62),0))</f>
        <v>0</v>
      </c>
      <c r="AP62" s="39" t="n">
        <f aca="false">IF(OR($F62="",$C62="&lt;01"),$AO62,$F62)</f>
        <v>0</v>
      </c>
      <c r="AQ62" s="39" t="n">
        <f aca="false">IF(LEFT($B62,4)="_Mil","",IF(SUM($AP62)=0,SUM($Z62),IF(OR(SUM($Z62)=0,SUM($O62)=0),MAX($AP62,$Z62),$AP62*$Z62/$O62)))</f>
        <v>1102</v>
      </c>
      <c r="AR62" s="88" t="str">
        <f aca="false">IF(OR(LEFT($B62,4)="_Mil",SUM($AJ62)=0),"",SUM($AQ62)/$AJ62)</f>
        <v/>
      </c>
      <c r="AS62" s="88" t="n">
        <f aca="false">IF($C62="&lt;01","",98%)</f>
        <v>0.98</v>
      </c>
      <c r="AT62" s="88" t="n">
        <f aca="false">IF($C62="&lt;01","",98%)</f>
        <v>0.98</v>
      </c>
      <c r="AU62" s="10" t="n">
        <f aca="false">IF($C62="&lt;01","",SUM($AP62)-SUM($O62))</f>
        <v>-94</v>
      </c>
      <c r="AV62" s="10" t="n">
        <f aca="false">IF($C62="&lt;01",ROUND(INDEX(EID!$N:$N,MATCH($B62,EID!$B:$B,0))/2,0),IF(SUM($AT62)=0,"",ROUND((SUM($AP62)-(SUM($O62)*SUM($AS62)))/$AT62,0)))</f>
        <v>-94</v>
      </c>
      <c r="AW62" s="88" t="n">
        <f aca="false">IF($C62="&lt;01","",100%)</f>
        <v>1</v>
      </c>
      <c r="AX62" s="39" t="n">
        <f aca="false">IF($C62="&lt;01",SUM($AV62),ROUND(SUM($AV62)*SUM($AW62),0))</f>
        <v>-94</v>
      </c>
      <c r="AY62" s="114" t="n">
        <f aca="false">IF($C62="&lt;01","",70%)</f>
        <v>0.7</v>
      </c>
      <c r="AZ62" s="91" t="n">
        <f aca="false">IF($C62="&lt;01",ROUND(INDEX(EID!$R:$R,MATCH($B62,EID!$B:$B,0))/2,0),ROUND(SUM($O62)+(SUM($AV62)*$AY62),0))</f>
        <v>28</v>
      </c>
      <c r="BA62" s="87" t="n">
        <f aca="false">IF($C62="&lt;01","",95%)</f>
        <v>0.95</v>
      </c>
      <c r="BB62" s="5" t="n">
        <f aca="false">IF($C62="&lt;01",ROUND(INDEX(EID!$T:$T,MATCH($B62,EID!$B:$B,0))/2,0),ROUND($AZ62*$BA62,0))</f>
        <v>27</v>
      </c>
      <c r="BC62" s="91" t="n">
        <f aca="false">IF(LEFT($B62,4)="_Mil","",IF(SUM($BB62)=0,SUM($AD62),IF(OR(SUM($AP62)=0,SUM($AQ62)=0),MAX($BB62,$AD62),ROUND($BB62*$AQ62/$AP62,0))))</f>
        <v>27</v>
      </c>
      <c r="BD62" s="88" t="n">
        <f aca="false">IF($C62="&lt;01","",95%)</f>
        <v>0.95</v>
      </c>
      <c r="BE62" s="39" t="n">
        <f aca="false">IF($C62="&lt;01",ROUND(INDEX(EID!$V:$V,MATCH($B62,EID!$B:$B,0))/2,0),ROUND($BD62*$BB62,0))</f>
        <v>26</v>
      </c>
      <c r="BF62" s="39" t="n">
        <f aca="false">IF(LEFT($B62,4)="_Mil","",IF(SUM($BE62)=0,SUM($AF62),IF(OR(SUM($AP62)=0,SUM($AQ62)=0),MAX($BE62,$AF62),ROUND($BE62*$AQ62/$AP62,0))))</f>
        <v>26</v>
      </c>
      <c r="BG62" s="114" t="n">
        <f aca="false">IF($C62="&lt;01","",95%)</f>
        <v>0.95</v>
      </c>
      <c r="BH62" s="5" t="n">
        <f aca="false">IF($C62="&lt;01",ROUND(INDEX(EID!$L:$L,MATCH($B62,EID!$B:$B,0)),0)/2,IF(SUM($BG62)=0,"",ROUND($AX62/$BG62,0)))</f>
        <v>-99</v>
      </c>
    </row>
    <row r="63" customFormat="false" ht="15" hidden="false" customHeight="false" outlineLevel="0" collapsed="false">
      <c r="A63" s="0" t="str">
        <f aca="false">INDEX(Prioritization!$D:$D,MATCH($B63,Prioritization!$A:$A,0))</f>
        <v>INVALID</v>
      </c>
      <c r="B63" s="0" t="s">
        <v>197</v>
      </c>
      <c r="C63" s="0" t="s">
        <v>365</v>
      </c>
      <c r="D63" s="0" t="s">
        <v>30</v>
      </c>
      <c r="E63" s="0" t="str">
        <f aca="false">$B63&amp;"|"&amp;$C63&amp;"|"&amp;$D63</f>
        <v>Kasungu District [JQKLKuVuY61]|15-24|Female</v>
      </c>
      <c r="F63" s="10"/>
      <c r="G63" s="10"/>
      <c r="H63" s="10"/>
      <c r="I63" s="10"/>
      <c r="J63" s="10"/>
      <c r="K63" s="10"/>
      <c r="L63" s="10"/>
      <c r="M63" s="10"/>
      <c r="N63" s="10"/>
      <c r="O63" s="10" t="str">
        <f aca="false">IFERROR(1/(1/MAX($I63,$N63)),"")</f>
        <v/>
      </c>
      <c r="P63" s="10"/>
      <c r="Q63" s="10"/>
      <c r="R63" s="10" t="str">
        <f aca="false">IF(AND(SUM($I63)=0,SUM($O63)=0),"",SUM($O63)-$I63)</f>
        <v/>
      </c>
      <c r="S63" s="10" t="n">
        <f aca="false">IF(LEFT($B63,4)="_Mil","",_xlfn.IFNA(ROUND(INDEX(Spectrum!$N:$N,MATCH(RIGHT($B63,13)&amp;"|"&amp;$C63&amp;"|"&amp;$D63&amp;"|"&amp;S$14&amp;"|"&amp;"CY2022Q4",Spectrum!$R:$R,0)),0),""))</f>
        <v>1213</v>
      </c>
      <c r="T63" s="39" t="n">
        <f aca="false">IF(LEFT($B63,4)="_Mil","",_xlfn.IFNA(ROUND(INDEX(Spectrum!$N:$N,MATCH(RIGHT($B63,13)&amp;"|"&amp;$C63&amp;"|"&amp;$D63&amp;"|"&amp;T$14&amp;"|"&amp;"CY2023Q3",Spectrum!$R:$R,0)),0),""))</f>
        <v>1478</v>
      </c>
      <c r="U63" s="39" t="str">
        <f aca="false">IF(LEFT($B63,4)="_Mil","",_xlfn.IFNA(ROUND(INDEX(Spectrum!$N:$N,MATCH(RIGHT($B63,13)&amp;"|"&amp;$C63&amp;"|"&amp;$D63&amp;"|"&amp;U$14&amp;"|"&amp;"CY2023Q3",Spectrum!$R:$R,0)),0),""))</f>
        <v/>
      </c>
      <c r="V63" s="10" t="n">
        <f aca="false">IF(LEFT($B63,4)="_Mil","",_xlfn.IFNA(ROUND(INDEX(Spectrum!$N:$N,MATCH(RIGHT($B63,13)&amp;"|"&amp;$C63&amp;"|"&amp;$D63&amp;"|"&amp;V$14&amp;"|"&amp;"CY2023Q3",Spectrum!$R:$R,0)),0),""))</f>
        <v>1744</v>
      </c>
      <c r="W63" s="113" t="n">
        <f aca="false">IF(LEFT($B63,4)="_Mil","",_xlfn.IFNA(INDEX(Spectrum!$N:$N,MATCH(RIGHT($B63,13)&amp;"|"&amp;$C63&amp;"|"&amp;$D63&amp;"|"&amp;W$14&amp;"|"&amp;"CY2023Q3",Spectrum!$R:$R,0)),""))</f>
        <v>1393</v>
      </c>
      <c r="X63" s="39" t="n">
        <f aca="false">IF(LEFT($B63,4)="_Mil","",_xlfn.IFNA(ROUND(INDEX(Spectrum!$N:$N,MATCH(RIGHT($B63,13)&amp;"|"&amp;$C63&amp;"|"&amp;$D63&amp;"|"&amp;X$14&amp;"|"&amp;"CY2023Q3",Spectrum!$R:$R,0)),0),""))</f>
        <v>1177</v>
      </c>
      <c r="Y63" s="88" t="str">
        <f aca="false">IF(OR(SUM($U63)=0,LEFT($B63,4)="_Mil"),"",SUM($X63)/$U63)</f>
        <v/>
      </c>
      <c r="Z63" s="39" t="n">
        <f aca="false">IF(LEFT($B63,4)="_Mil","",_xlfn.IFNA(ROUND(INDEX(Spectrum!$N:$N,MATCH(RIGHT($B63,13)&amp;"|"&amp;$C63&amp;"|"&amp;$D63&amp;"|"&amp;Z$14&amp;"|"&amp;"CY2023Q3",Spectrum!$R:$R,0)),0),""))</f>
        <v>649</v>
      </c>
      <c r="AA63" s="88" t="n">
        <f aca="false">IF(LEFT($B63,4)="_Mil","",IFERROR(1/(1/INDEX(Spectrum!$N:$N,MATCH(RIGHT($B63,13)&amp;"|"&amp;$C63&amp;"|"&amp;$D63&amp;"|"&amp;AA$14&amp;"|"&amp;"CY2023Q3",Spectrum!$R:$R,0))),IF(SUM($U63)=0,"",SUM($Z63)/$U63)))</f>
        <v>1973</v>
      </c>
      <c r="AB63" s="88" t="n">
        <f aca="false">IF(OR(LEFT($B63,4)="_Mil",SUM($X63)=0),"",SUM($Z63)/$X63)</f>
        <v>0.551401869158878</v>
      </c>
      <c r="AC63" s="10" t="n">
        <f aca="false">IF(LEFT($B63,4)="_Mil","",_xlfn.IFNA(ROUND(INDEX(Spectrum!$N:$N,MATCH(RIGHT($B63,13)&amp;"|"&amp;$C63&amp;"|"&amp;$D63&amp;"|"&amp;AC$14&amp;"|"&amp;"CY2023Q3",Spectrum!$R:$R,0)),0),""))</f>
        <v>1403</v>
      </c>
      <c r="AD63" s="10" t="str">
        <f aca="false">IF(LEFT($B63,4)="_Mil","",_xlfn.IFNA(ROUND(INDEX(Spectrum!$N:$N,MATCH(RIGHT($B63,13)&amp;"|"&amp;$C63&amp;"|"&amp;$D63&amp;"|"&amp;AD$14&amp;"|"&amp;"CY2023Q3",Spectrum!$R:$R,0)),0),""))</f>
        <v/>
      </c>
      <c r="AE63" s="88" t="n">
        <f aca="false">IF(OR(LEFT($B63,4)="_Mil",SUM($Z63)=0),"",SUM($AD63)/$Z63)</f>
        <v>0</v>
      </c>
      <c r="AF63" s="39" t="str">
        <f aca="false">IF(LEFT($B63,4)="_Mil","",_xlfn.IFNA(ROUND(INDEX(Spectrum!$N:$N,MATCH(RIGHT($B63,13)&amp;"|"&amp;$C63&amp;"|"&amp;$D63&amp;"|"&amp;AF$14&amp;"|"&amp;"CY2023Q3",Spectrum!$R:$R,0)),0),""))</f>
        <v/>
      </c>
      <c r="AG63" s="88" t="str">
        <f aca="false">IF(OR(LEFT($B63,4)="_Mil",SUM($AD63)=0),"",SUM($AF63)/$AD63)</f>
        <v/>
      </c>
      <c r="AH63" s="86" t="str">
        <f aca="false">IF(LEFT($B63,4)="_Mil","",_xlfn.IFNA(INDEX(Spectrum!$N:$N,MATCH(RIGHT($B63,13)&amp;"|"&amp;$C63&amp;"|"&amp;$D63&amp;"|"&amp;AH$14&amp;"|"&amp;"CY2023Q3",Spectrum!$R:$R,0)),""))</f>
        <v/>
      </c>
      <c r="AI63" s="10" t="str">
        <f aca="false">IF(LEFT($B63,4)="_Mil","",_xlfn.IFNA(ROUND(INDEX(Spectrum!$N:$N,MATCH(RIGHT($B63,13)&amp;"|"&amp;$C63&amp;"|"&amp;$D63&amp;"|"&amp;AI$14&amp;"|"&amp;"CY2023Q3",Spectrum!$R:$R,0)),0),""))</f>
        <v/>
      </c>
      <c r="AJ63" s="39" t="n">
        <f aca="false">IF(LEFT($B63,4)="_Mil","",_xlfn.IFNA(ROUND(INDEX(Spectrum!$N:$N,MATCH(RIGHT($B63,13)&amp;"|"&amp;$C63&amp;"|"&amp;$D63&amp;"|"&amp;AI$14&amp;"|"&amp;"CY2023Q3",Spectrum!$R:$R,0)),0),SUM($U63)+SUM($AI63)))</f>
        <v>0</v>
      </c>
      <c r="AK63" s="10" t="str">
        <f aca="false">IF(LEFT($B63,4)="_Mil","",_xlfn.IFNA(ROUND(INDEX(Spectrum!$N:$N,MATCH(RIGHT($B63,13)&amp;"|"&amp;$C63&amp;"|"&amp;$D63&amp;"|"&amp;AK$14&amp;"|"&amp;"CY2023Q3",Spectrum!$R:$R,0)),0),""))</f>
        <v/>
      </c>
      <c r="AL63" s="88" t="n">
        <f aca="false">IF(OR(LEFT($B63,4)="_Mil",$C63="&lt;01"),"",MAX(SUM($AA63),90%))</f>
        <v>1973</v>
      </c>
      <c r="AM63" s="10" t="n">
        <f aca="false">IF(OR(LEFT($B63,4)="_Mil",$C63="&lt;01"),"",ROUND(SUM($AJ63)*SUM($AL63),0))</f>
        <v>0</v>
      </c>
      <c r="AN63" s="10" t="str">
        <f aca="false">IF($C63="&lt;01",ROUND(INDEX(EID!$P:$P,MATCH($B63,EID!$B:$B,0))/2,0),"")</f>
        <v/>
      </c>
      <c r="AO63" s="10" t="n">
        <f aca="false">IF($C63="&lt;01",SUM($AN63),ROUND(SUM($AM63)*SUM($O63)/IF(SUM($Z63)=0,1,$Z63),0))</f>
        <v>0</v>
      </c>
      <c r="AP63" s="39" t="n">
        <f aca="false">IF(OR($F63="",$C63="&lt;01"),$AO63,$F63)</f>
        <v>0</v>
      </c>
      <c r="AQ63" s="39" t="n">
        <f aca="false">IF(LEFT($B63,4)="_Mil","",IF(SUM($AP63)=0,SUM($Z63),IF(OR(SUM($Z63)=0,SUM($O63)=0),MAX($AP63,$Z63),$AP63*$Z63/$O63)))</f>
        <v>649</v>
      </c>
      <c r="AR63" s="88" t="str">
        <f aca="false">IF(OR(LEFT($B63,4)="_Mil",SUM($AJ63)=0),"",SUM($AQ63)/$AJ63)</f>
        <v/>
      </c>
      <c r="AS63" s="88" t="n">
        <f aca="false">IF($C63="&lt;01","",98%)</f>
        <v>0.98</v>
      </c>
      <c r="AT63" s="88" t="n">
        <f aca="false">IF($C63="&lt;01","",98%)</f>
        <v>0.98</v>
      </c>
      <c r="AU63" s="10" t="n">
        <f aca="false">IF($C63="&lt;01","",SUM($AP63)-SUM($O63))</f>
        <v>0</v>
      </c>
      <c r="AV63" s="10" t="n">
        <f aca="false">IF($C63="&lt;01",ROUND(INDEX(EID!$N:$N,MATCH($B63,EID!$B:$B,0))/2,0),IF(SUM($AT63)=0,"",ROUND((SUM($AP63)-(SUM($O63)*SUM($AS63)))/$AT63,0)))</f>
        <v>0</v>
      </c>
      <c r="AW63" s="88" t="n">
        <f aca="false">IF($C63="&lt;01","",100%)</f>
        <v>1</v>
      </c>
      <c r="AX63" s="39" t="n">
        <f aca="false">IF($C63="&lt;01",SUM($AV63),ROUND(SUM($AV63)*SUM($AW63),0))</f>
        <v>0</v>
      </c>
      <c r="AY63" s="114" t="n">
        <f aca="false">IF($C63="&lt;01","",70%)</f>
        <v>0.7</v>
      </c>
      <c r="AZ63" s="91" t="n">
        <f aca="false">IF($C63="&lt;01",ROUND(INDEX(EID!$R:$R,MATCH($B63,EID!$B:$B,0))/2,0),ROUND(SUM($O63)+(SUM($AV63)*$AY63),0))</f>
        <v>0</v>
      </c>
      <c r="BA63" s="87" t="n">
        <f aca="false">IF($C63="&lt;01","",95%)</f>
        <v>0.95</v>
      </c>
      <c r="BB63" s="5" t="n">
        <f aca="false">IF($C63="&lt;01",ROUND(INDEX(EID!$T:$T,MATCH($B63,EID!$B:$B,0))/2,0),ROUND($AZ63*$BA63,0))</f>
        <v>0</v>
      </c>
      <c r="BC63" s="91" t="n">
        <f aca="false">IF(LEFT($B63,4)="_Mil","",IF(SUM($BB63)=0,SUM($AD63),IF(OR(SUM($AP63)=0,SUM($AQ63)=0),MAX($BB63,$AD63),ROUND($BB63*$AQ63/$AP63,0))))</f>
        <v>0</v>
      </c>
      <c r="BD63" s="88" t="n">
        <f aca="false">IF($C63="&lt;01","",95%)</f>
        <v>0.95</v>
      </c>
      <c r="BE63" s="39" t="n">
        <f aca="false">IF($C63="&lt;01",ROUND(INDEX(EID!$V:$V,MATCH($B63,EID!$B:$B,0))/2,0),ROUND($BD63*$BB63,0))</f>
        <v>0</v>
      </c>
      <c r="BF63" s="39" t="n">
        <f aca="false">IF(LEFT($B63,4)="_Mil","",IF(SUM($BE63)=0,SUM($AF63),IF(OR(SUM($AP63)=0,SUM($AQ63)=0),MAX($BE63,$AF63),ROUND($BE63*$AQ63/$AP63,0))))</f>
        <v>0</v>
      </c>
      <c r="BG63" s="114" t="n">
        <f aca="false">IF($C63="&lt;01","",95%)</f>
        <v>0.95</v>
      </c>
      <c r="BH63" s="5" t="n">
        <f aca="false">IF($C63="&lt;01",ROUND(INDEX(EID!$L:$L,MATCH($B63,EID!$B:$B,0)),0)/2,IF(SUM($BG63)=0,"",ROUND($AX63/$BG63,0)))</f>
        <v>0</v>
      </c>
    </row>
    <row r="64" customFormat="false" ht="15" hidden="false" customHeight="false" outlineLevel="0" collapsed="false">
      <c r="A64" s="0" t="str">
        <f aca="false">INDEX(Prioritization!$D:$D,MATCH($B64,Prioritization!$A:$A,0))</f>
        <v>INVALID</v>
      </c>
      <c r="B64" s="0" t="s">
        <v>197</v>
      </c>
      <c r="C64" s="0" t="s">
        <v>365</v>
      </c>
      <c r="D64" s="0" t="s">
        <v>48</v>
      </c>
      <c r="E64" s="0" t="str">
        <f aca="false">$B64&amp;"|"&amp;$C64&amp;"|"&amp;$D64</f>
        <v>Kasungu District [JQKLKuVuY61]|15-24|Male</v>
      </c>
      <c r="F64" s="10"/>
      <c r="G64" s="10"/>
      <c r="H64" s="10"/>
      <c r="I64" s="10"/>
      <c r="J64" s="10"/>
      <c r="K64" s="10"/>
      <c r="L64" s="10"/>
      <c r="M64" s="10"/>
      <c r="N64" s="10"/>
      <c r="O64" s="10" t="str">
        <f aca="false">IFERROR(1/(1/MAX($I64,$N64)),"")</f>
        <v/>
      </c>
      <c r="P64" s="10"/>
      <c r="Q64" s="10"/>
      <c r="R64" s="10" t="str">
        <f aca="false">IF(AND(SUM($I64)=0,SUM($O64)=0),"",SUM($O64)-$I64)</f>
        <v/>
      </c>
      <c r="S64" s="10" t="n">
        <f aca="false">IF(LEFT($B64,4)="_Mil","",_xlfn.IFNA(ROUND(INDEX(Spectrum!$N:$N,MATCH(RIGHT($B64,13)&amp;"|"&amp;$C64&amp;"|"&amp;$D64&amp;"|"&amp;S$14&amp;"|"&amp;"CY2022Q4",Spectrum!$R:$R,0)),0),""))</f>
        <v>848</v>
      </c>
      <c r="T64" s="39" t="n">
        <f aca="false">IF(LEFT($B64,4)="_Mil","",_xlfn.IFNA(ROUND(INDEX(Spectrum!$N:$N,MATCH(RIGHT($B64,13)&amp;"|"&amp;$C64&amp;"|"&amp;$D64&amp;"|"&amp;T$14&amp;"|"&amp;"CY2023Q3",Spectrum!$R:$R,0)),0),""))</f>
        <v>591</v>
      </c>
      <c r="U64" s="39" t="str">
        <f aca="false">IF(LEFT($B64,4)="_Mil","",_xlfn.IFNA(ROUND(INDEX(Spectrum!$N:$N,MATCH(RIGHT($B64,13)&amp;"|"&amp;$C64&amp;"|"&amp;$D64&amp;"|"&amp;U$14&amp;"|"&amp;"CY2023Q3",Spectrum!$R:$R,0)),0),""))</f>
        <v/>
      </c>
      <c r="V64" s="10" t="n">
        <f aca="false">IF(LEFT($B64,4)="_Mil","",_xlfn.IFNA(ROUND(INDEX(Spectrum!$N:$N,MATCH(RIGHT($B64,13)&amp;"|"&amp;$C64&amp;"|"&amp;$D64&amp;"|"&amp;V$14&amp;"|"&amp;"CY2023Q3",Spectrum!$R:$R,0)),0),""))</f>
        <v>517</v>
      </c>
      <c r="W64" s="113" t="n">
        <f aca="false">IF(LEFT($B64,4)="_Mil","",_xlfn.IFNA(INDEX(Spectrum!$N:$N,MATCH(RIGHT($B64,13)&amp;"|"&amp;$C64&amp;"|"&amp;$D64&amp;"|"&amp;W$14&amp;"|"&amp;"CY2023Q3",Spectrum!$R:$R,0)),""))</f>
        <v>604</v>
      </c>
      <c r="X64" s="39" t="n">
        <f aca="false">IF(LEFT($B64,4)="_Mil","",_xlfn.IFNA(ROUND(INDEX(Spectrum!$N:$N,MATCH(RIGHT($B64,13)&amp;"|"&amp;$C64&amp;"|"&amp;$D64&amp;"|"&amp;X$14&amp;"|"&amp;"CY2023Q3",Spectrum!$R:$R,0)),0),""))</f>
        <v>803</v>
      </c>
      <c r="Y64" s="88" t="str">
        <f aca="false">IF(OR(SUM($U64)=0,LEFT($B64,4)="_Mil"),"",SUM($X64)/$U64)</f>
        <v/>
      </c>
      <c r="Z64" s="39" t="n">
        <f aca="false">IF(LEFT($B64,4)="_Mil","",_xlfn.IFNA(ROUND(INDEX(Spectrum!$N:$N,MATCH(RIGHT($B64,13)&amp;"|"&amp;$C64&amp;"|"&amp;$D64&amp;"|"&amp;Z$14&amp;"|"&amp;"CY2023Q3",Spectrum!$R:$R,0)),0),""))</f>
        <v>1883</v>
      </c>
      <c r="AA64" s="88" t="n">
        <f aca="false">IF(LEFT($B64,4)="_Mil","",IFERROR(1/(1/INDEX(Spectrum!$N:$N,MATCH(RIGHT($B64,13)&amp;"|"&amp;$C64&amp;"|"&amp;$D64&amp;"|"&amp;AA$14&amp;"|"&amp;"CY2023Q3",Spectrum!$R:$R,0))),IF(SUM($U64)=0,"",SUM($Z64)/$U64)))</f>
        <v>1382</v>
      </c>
      <c r="AB64" s="88" t="n">
        <f aca="false">IF(OR(LEFT($B64,4)="_Mil",SUM($X64)=0),"",SUM($Z64)/$X64)</f>
        <v>2.34495641344956</v>
      </c>
      <c r="AC64" s="10" t="n">
        <f aca="false">IF(LEFT($B64,4)="_Mil","",_xlfn.IFNA(ROUND(INDEX(Spectrum!$N:$N,MATCH(RIGHT($B64,13)&amp;"|"&amp;$C64&amp;"|"&amp;$D64&amp;"|"&amp;AC$14&amp;"|"&amp;"CY2023Q3",Spectrum!$R:$R,0)),0),""))</f>
        <v>1872</v>
      </c>
      <c r="AD64" s="10" t="str">
        <f aca="false">IF(LEFT($B64,4)="_Mil","",_xlfn.IFNA(ROUND(INDEX(Spectrum!$N:$N,MATCH(RIGHT($B64,13)&amp;"|"&amp;$C64&amp;"|"&amp;$D64&amp;"|"&amp;AD$14&amp;"|"&amp;"CY2023Q3",Spectrum!$R:$R,0)),0),""))</f>
        <v/>
      </c>
      <c r="AE64" s="88" t="n">
        <f aca="false">IF(OR(LEFT($B64,4)="_Mil",SUM($Z64)=0),"",SUM($AD64)/$Z64)</f>
        <v>0</v>
      </c>
      <c r="AF64" s="39" t="str">
        <f aca="false">IF(LEFT($B64,4)="_Mil","",_xlfn.IFNA(ROUND(INDEX(Spectrum!$N:$N,MATCH(RIGHT($B64,13)&amp;"|"&amp;$C64&amp;"|"&amp;$D64&amp;"|"&amp;AF$14&amp;"|"&amp;"CY2023Q3",Spectrum!$R:$R,0)),0),""))</f>
        <v/>
      </c>
      <c r="AG64" s="88" t="str">
        <f aca="false">IF(OR(LEFT($B64,4)="_Mil",SUM($AD64)=0),"",SUM($AF64)/$AD64)</f>
        <v/>
      </c>
      <c r="AH64" s="86" t="str">
        <f aca="false">IF(LEFT($B64,4)="_Mil","",_xlfn.IFNA(INDEX(Spectrum!$N:$N,MATCH(RIGHT($B64,13)&amp;"|"&amp;$C64&amp;"|"&amp;$D64&amp;"|"&amp;AH$14&amp;"|"&amp;"CY2023Q3",Spectrum!$R:$R,0)),""))</f>
        <v/>
      </c>
      <c r="AI64" s="10" t="str">
        <f aca="false">IF(LEFT($B64,4)="_Mil","",_xlfn.IFNA(ROUND(INDEX(Spectrum!$N:$N,MATCH(RIGHT($B64,13)&amp;"|"&amp;$C64&amp;"|"&amp;$D64&amp;"|"&amp;AI$14&amp;"|"&amp;"CY2023Q3",Spectrum!$R:$R,0)),0),""))</f>
        <v/>
      </c>
      <c r="AJ64" s="39" t="n">
        <f aca="false">IF(LEFT($B64,4)="_Mil","",_xlfn.IFNA(ROUND(INDEX(Spectrum!$N:$N,MATCH(RIGHT($B64,13)&amp;"|"&amp;$C64&amp;"|"&amp;$D64&amp;"|"&amp;AI$14&amp;"|"&amp;"CY2023Q3",Spectrum!$R:$R,0)),0),SUM($U64)+SUM($AI64)))</f>
        <v>0</v>
      </c>
      <c r="AK64" s="10" t="str">
        <f aca="false">IF(LEFT($B64,4)="_Mil","",_xlfn.IFNA(ROUND(INDEX(Spectrum!$N:$N,MATCH(RIGHT($B64,13)&amp;"|"&amp;$C64&amp;"|"&amp;$D64&amp;"|"&amp;AK$14&amp;"|"&amp;"CY2023Q3",Spectrum!$R:$R,0)),0),""))</f>
        <v/>
      </c>
      <c r="AL64" s="88" t="n">
        <f aca="false">IF(OR(LEFT($B64,4)="_Mil",$C64="&lt;01"),"",MAX(SUM($AA64),90%))</f>
        <v>1382</v>
      </c>
      <c r="AM64" s="10" t="n">
        <f aca="false">IF(OR(LEFT($B64,4)="_Mil",$C64="&lt;01"),"",ROUND(SUM($AJ64)*SUM($AL64),0))</f>
        <v>0</v>
      </c>
      <c r="AN64" s="10" t="str">
        <f aca="false">IF($C64="&lt;01",ROUND(INDEX(EID!$P:$P,MATCH($B64,EID!$B:$B,0))/2,0),"")</f>
        <v/>
      </c>
      <c r="AO64" s="10" t="n">
        <f aca="false">IF($C64="&lt;01",SUM($AN64),ROUND(SUM($AM64)*SUM($O64)/IF(SUM($Z64)=0,1,$Z64),0))</f>
        <v>0</v>
      </c>
      <c r="AP64" s="39" t="n">
        <f aca="false">IF(OR($F64="",$C64="&lt;01"),$AO64,$F64)</f>
        <v>0</v>
      </c>
      <c r="AQ64" s="39" t="n">
        <f aca="false">IF(LEFT($B64,4)="_Mil","",IF(SUM($AP64)=0,SUM($Z64),IF(OR(SUM($Z64)=0,SUM($O64)=0),MAX($AP64,$Z64),$AP64*$Z64/$O64)))</f>
        <v>1883</v>
      </c>
      <c r="AR64" s="88" t="str">
        <f aca="false">IF(OR(LEFT($B64,4)="_Mil",SUM($AJ64)=0),"",SUM($AQ64)/$AJ64)</f>
        <v/>
      </c>
      <c r="AS64" s="88" t="n">
        <f aca="false">IF($C64="&lt;01","",98%)</f>
        <v>0.98</v>
      </c>
      <c r="AT64" s="88" t="n">
        <f aca="false">IF($C64="&lt;01","",98%)</f>
        <v>0.98</v>
      </c>
      <c r="AU64" s="10" t="n">
        <f aca="false">IF($C64="&lt;01","",SUM($AP64)-SUM($O64))</f>
        <v>0</v>
      </c>
      <c r="AV64" s="10" t="n">
        <f aca="false">IF($C64="&lt;01",ROUND(INDEX(EID!$N:$N,MATCH($B64,EID!$B:$B,0))/2,0),IF(SUM($AT64)=0,"",ROUND((SUM($AP64)-(SUM($O64)*SUM($AS64)))/$AT64,0)))</f>
        <v>0</v>
      </c>
      <c r="AW64" s="88" t="n">
        <f aca="false">IF($C64="&lt;01","",100%)</f>
        <v>1</v>
      </c>
      <c r="AX64" s="39" t="n">
        <f aca="false">IF($C64="&lt;01",SUM($AV64),ROUND(SUM($AV64)*SUM($AW64),0))</f>
        <v>0</v>
      </c>
      <c r="AY64" s="114" t="n">
        <f aca="false">IF($C64="&lt;01","",70%)</f>
        <v>0.7</v>
      </c>
      <c r="AZ64" s="91" t="n">
        <f aca="false">IF($C64="&lt;01",ROUND(INDEX(EID!$R:$R,MATCH($B64,EID!$B:$B,0))/2,0),ROUND(SUM($O64)+(SUM($AV64)*$AY64),0))</f>
        <v>0</v>
      </c>
      <c r="BA64" s="87" t="n">
        <f aca="false">IF($C64="&lt;01","",95%)</f>
        <v>0.95</v>
      </c>
      <c r="BB64" s="5" t="n">
        <f aca="false">IF($C64="&lt;01",ROUND(INDEX(EID!$T:$T,MATCH($B64,EID!$B:$B,0))/2,0),ROUND($AZ64*$BA64,0))</f>
        <v>0</v>
      </c>
      <c r="BC64" s="91" t="n">
        <f aca="false">IF(LEFT($B64,4)="_Mil","",IF(SUM($BB64)=0,SUM($AD64),IF(OR(SUM($AP64)=0,SUM($AQ64)=0),MAX($BB64,$AD64),ROUND($BB64*$AQ64/$AP64,0))))</f>
        <v>0</v>
      </c>
      <c r="BD64" s="88" t="n">
        <f aca="false">IF($C64="&lt;01","",95%)</f>
        <v>0.95</v>
      </c>
      <c r="BE64" s="39" t="n">
        <f aca="false">IF($C64="&lt;01",ROUND(INDEX(EID!$V:$V,MATCH($B64,EID!$B:$B,0))/2,0),ROUND($BD64*$BB64,0))</f>
        <v>0</v>
      </c>
      <c r="BF64" s="39" t="n">
        <f aca="false">IF(LEFT($B64,4)="_Mil","",IF(SUM($BE64)=0,SUM($AF64),IF(OR(SUM($AP64)=0,SUM($AQ64)=0),MAX($BE64,$AF64),ROUND($BE64*$AQ64/$AP64,0))))</f>
        <v>0</v>
      </c>
      <c r="BG64" s="114" t="n">
        <f aca="false">IF($C64="&lt;01","",95%)</f>
        <v>0.95</v>
      </c>
      <c r="BH64" s="5" t="n">
        <f aca="false">IF($C64="&lt;01",ROUND(INDEX(EID!$L:$L,MATCH($B64,EID!$B:$B,0)),0)/2,IF(SUM($BG64)=0,"",ROUND($AX64/$BG64,0)))</f>
        <v>0</v>
      </c>
    </row>
    <row r="65" customFormat="false" ht="15" hidden="false" customHeight="false" outlineLevel="0" collapsed="false">
      <c r="A65" s="0" t="str">
        <f aca="false">INDEX(Prioritization!$D:$D,MATCH($B65,Prioritization!$A:$A,0))</f>
        <v>INVALID</v>
      </c>
      <c r="B65" s="0" t="s">
        <v>197</v>
      </c>
      <c r="C65" s="0" t="s">
        <v>366</v>
      </c>
      <c r="D65" s="0" t="s">
        <v>30</v>
      </c>
      <c r="E65" s="0" t="str">
        <f aca="false">$B65&amp;"|"&amp;$C65&amp;"|"&amp;$D65</f>
        <v>Kasungu District [JQKLKuVuY61]|25-34|Female</v>
      </c>
      <c r="F65" s="10"/>
      <c r="G65" s="10"/>
      <c r="H65" s="10"/>
      <c r="I65" s="10"/>
      <c r="J65" s="10"/>
      <c r="K65" s="10"/>
      <c r="L65" s="10"/>
      <c r="M65" s="10"/>
      <c r="N65" s="10"/>
      <c r="O65" s="10" t="str">
        <f aca="false">IFERROR(1/(1/MAX($I65,$N65)),"")</f>
        <v/>
      </c>
      <c r="P65" s="10"/>
      <c r="Q65" s="10"/>
      <c r="R65" s="10" t="str">
        <f aca="false">IF(AND(SUM($I65)=0,SUM($O65)=0),"",SUM($O65)-$I65)</f>
        <v/>
      </c>
      <c r="S65" s="10" t="n">
        <f aca="false">IF(LEFT($B65,4)="_Mil","",_xlfn.IFNA(ROUND(INDEX(Spectrum!$N:$N,MATCH(RIGHT($B65,13)&amp;"|"&amp;$C65&amp;"|"&amp;$D65&amp;"|"&amp;S$14&amp;"|"&amp;"CY2022Q4",Spectrum!$R:$R,0)),0),""))</f>
        <v>1932</v>
      </c>
      <c r="T65" s="39" t="n">
        <f aca="false">IF(LEFT($B65,4)="_Mil","",_xlfn.IFNA(ROUND(INDEX(Spectrum!$N:$N,MATCH(RIGHT($B65,13)&amp;"|"&amp;$C65&amp;"|"&amp;$D65&amp;"|"&amp;T$14&amp;"|"&amp;"CY2023Q3",Spectrum!$R:$R,0)),0),""))</f>
        <v>657</v>
      </c>
      <c r="U65" s="39" t="str">
        <f aca="false">IF(LEFT($B65,4)="_Mil","",_xlfn.IFNA(ROUND(INDEX(Spectrum!$N:$N,MATCH(RIGHT($B65,13)&amp;"|"&amp;$C65&amp;"|"&amp;$D65&amp;"|"&amp;U$14&amp;"|"&amp;"CY2023Q3",Spectrum!$R:$R,0)),0),""))</f>
        <v/>
      </c>
      <c r="V65" s="10" t="n">
        <f aca="false">IF(LEFT($B65,4)="_Mil","",_xlfn.IFNA(ROUND(INDEX(Spectrum!$N:$N,MATCH(RIGHT($B65,13)&amp;"|"&amp;$C65&amp;"|"&amp;$D65&amp;"|"&amp;V$14&amp;"|"&amp;"CY2023Q3",Spectrum!$R:$R,0)),0),""))</f>
        <v>1202</v>
      </c>
      <c r="W65" s="113" t="n">
        <f aca="false">IF(LEFT($B65,4)="_Mil","",_xlfn.IFNA(INDEX(Spectrum!$N:$N,MATCH(RIGHT($B65,13)&amp;"|"&amp;$C65&amp;"|"&amp;$D65&amp;"|"&amp;W$14&amp;"|"&amp;"CY2023Q3",Spectrum!$R:$R,0)),""))</f>
        <v>1103</v>
      </c>
      <c r="X65" s="39" t="n">
        <f aca="false">IF(LEFT($B65,4)="_Mil","",_xlfn.IFNA(ROUND(INDEX(Spectrum!$N:$N,MATCH(RIGHT($B65,13)&amp;"|"&amp;$C65&amp;"|"&amp;$D65&amp;"|"&amp;X$14&amp;"|"&amp;"CY2023Q3",Spectrum!$R:$R,0)),0),""))</f>
        <v>768</v>
      </c>
      <c r="Y65" s="88" t="str">
        <f aca="false">IF(OR(SUM($U65)=0,LEFT($B65,4)="_Mil"),"",SUM($X65)/$U65)</f>
        <v/>
      </c>
      <c r="Z65" s="39" t="n">
        <f aca="false">IF(LEFT($B65,4)="_Mil","",_xlfn.IFNA(ROUND(INDEX(Spectrum!$N:$N,MATCH(RIGHT($B65,13)&amp;"|"&amp;$C65&amp;"|"&amp;$D65&amp;"|"&amp;Z$14&amp;"|"&amp;"CY2023Q3",Spectrum!$R:$R,0)),0),""))</f>
        <v>1823</v>
      </c>
      <c r="AA65" s="88" t="n">
        <f aca="false">IF(LEFT($B65,4)="_Mil","",IFERROR(1/(1/INDEX(Spectrum!$N:$N,MATCH(RIGHT($B65,13)&amp;"|"&amp;$C65&amp;"|"&amp;$D65&amp;"|"&amp;AA$14&amp;"|"&amp;"CY2023Q3",Spectrum!$R:$R,0))),IF(SUM($U65)=0,"",SUM($Z65)/$U65)))</f>
        <v>1159</v>
      </c>
      <c r="AB65" s="88" t="n">
        <f aca="false">IF(OR(LEFT($B65,4)="_Mil",SUM($X65)=0),"",SUM($Z65)/$X65)</f>
        <v>2.37369791666667</v>
      </c>
      <c r="AC65" s="10" t="n">
        <f aca="false">IF(LEFT($B65,4)="_Mil","",_xlfn.IFNA(ROUND(INDEX(Spectrum!$N:$N,MATCH(RIGHT($B65,13)&amp;"|"&amp;$C65&amp;"|"&amp;$D65&amp;"|"&amp;AC$14&amp;"|"&amp;"CY2023Q3",Spectrum!$R:$R,0)),0),""))</f>
        <v>1461</v>
      </c>
      <c r="AD65" s="10" t="str">
        <f aca="false">IF(LEFT($B65,4)="_Mil","",_xlfn.IFNA(ROUND(INDEX(Spectrum!$N:$N,MATCH(RIGHT($B65,13)&amp;"|"&amp;$C65&amp;"|"&amp;$D65&amp;"|"&amp;AD$14&amp;"|"&amp;"CY2023Q3",Spectrum!$R:$R,0)),0),""))</f>
        <v/>
      </c>
      <c r="AE65" s="88" t="n">
        <f aca="false">IF(OR(LEFT($B65,4)="_Mil",SUM($Z65)=0),"",SUM($AD65)/$Z65)</f>
        <v>0</v>
      </c>
      <c r="AF65" s="39" t="str">
        <f aca="false">IF(LEFT($B65,4)="_Mil","",_xlfn.IFNA(ROUND(INDEX(Spectrum!$N:$N,MATCH(RIGHT($B65,13)&amp;"|"&amp;$C65&amp;"|"&amp;$D65&amp;"|"&amp;AF$14&amp;"|"&amp;"CY2023Q3",Spectrum!$R:$R,0)),0),""))</f>
        <v/>
      </c>
      <c r="AG65" s="88" t="str">
        <f aca="false">IF(OR(LEFT($B65,4)="_Mil",SUM($AD65)=0),"",SUM($AF65)/$AD65)</f>
        <v/>
      </c>
      <c r="AH65" s="86" t="str">
        <f aca="false">IF(LEFT($B65,4)="_Mil","",_xlfn.IFNA(INDEX(Spectrum!$N:$N,MATCH(RIGHT($B65,13)&amp;"|"&amp;$C65&amp;"|"&amp;$D65&amp;"|"&amp;AH$14&amp;"|"&amp;"CY2023Q3",Spectrum!$R:$R,0)),""))</f>
        <v/>
      </c>
      <c r="AI65" s="10" t="str">
        <f aca="false">IF(LEFT($B65,4)="_Mil","",_xlfn.IFNA(ROUND(INDEX(Spectrum!$N:$N,MATCH(RIGHT($B65,13)&amp;"|"&amp;$C65&amp;"|"&amp;$D65&amp;"|"&amp;AI$14&amp;"|"&amp;"CY2023Q3",Spectrum!$R:$R,0)),0),""))</f>
        <v/>
      </c>
      <c r="AJ65" s="39" t="n">
        <f aca="false">IF(LEFT($B65,4)="_Mil","",_xlfn.IFNA(ROUND(INDEX(Spectrum!$N:$N,MATCH(RIGHT($B65,13)&amp;"|"&amp;$C65&amp;"|"&amp;$D65&amp;"|"&amp;AI$14&amp;"|"&amp;"CY2023Q3",Spectrum!$R:$R,0)),0),SUM($U65)+SUM($AI65)))</f>
        <v>0</v>
      </c>
      <c r="AK65" s="10" t="str">
        <f aca="false">IF(LEFT($B65,4)="_Mil","",_xlfn.IFNA(ROUND(INDEX(Spectrum!$N:$N,MATCH(RIGHT($B65,13)&amp;"|"&amp;$C65&amp;"|"&amp;$D65&amp;"|"&amp;AK$14&amp;"|"&amp;"CY2023Q3",Spectrum!$R:$R,0)),0),""))</f>
        <v/>
      </c>
      <c r="AL65" s="88" t="n">
        <f aca="false">IF(OR(LEFT($B65,4)="_Mil",$C65="&lt;01"),"",MAX(SUM($AA65),90%))</f>
        <v>1159</v>
      </c>
      <c r="AM65" s="10" t="n">
        <f aca="false">IF(OR(LEFT($B65,4)="_Mil",$C65="&lt;01"),"",ROUND(SUM($AJ65)*SUM($AL65),0))</f>
        <v>0</v>
      </c>
      <c r="AN65" s="10" t="str">
        <f aca="false">IF($C65="&lt;01",ROUND(INDEX(EID!$P:$P,MATCH($B65,EID!$B:$B,0))/2,0),"")</f>
        <v/>
      </c>
      <c r="AO65" s="10" t="n">
        <f aca="false">IF($C65="&lt;01",SUM($AN65),ROUND(SUM($AM65)*SUM($O65)/IF(SUM($Z65)=0,1,$Z65),0))</f>
        <v>0</v>
      </c>
      <c r="AP65" s="39" t="n">
        <f aca="false">IF(OR($F65="",$C65="&lt;01"),$AO65,$F65)</f>
        <v>0</v>
      </c>
      <c r="AQ65" s="39" t="n">
        <f aca="false">IF(LEFT($B65,4)="_Mil","",IF(SUM($AP65)=0,SUM($Z65),IF(OR(SUM($Z65)=0,SUM($O65)=0),MAX($AP65,$Z65),$AP65*$Z65/$O65)))</f>
        <v>1823</v>
      </c>
      <c r="AR65" s="88" t="str">
        <f aca="false">IF(OR(LEFT($B65,4)="_Mil",SUM($AJ65)=0),"",SUM($AQ65)/$AJ65)</f>
        <v/>
      </c>
      <c r="AS65" s="88" t="n">
        <f aca="false">IF($C65="&lt;01","",98%)</f>
        <v>0.98</v>
      </c>
      <c r="AT65" s="88" t="n">
        <f aca="false">IF($C65="&lt;01","",98%)</f>
        <v>0.98</v>
      </c>
      <c r="AU65" s="10" t="n">
        <f aca="false">IF($C65="&lt;01","",SUM($AP65)-SUM($O65))</f>
        <v>0</v>
      </c>
      <c r="AV65" s="10" t="n">
        <f aca="false">IF($C65="&lt;01",ROUND(INDEX(EID!$N:$N,MATCH($B65,EID!$B:$B,0))/2,0),IF(SUM($AT65)=0,"",ROUND((SUM($AP65)-(SUM($O65)*SUM($AS65)))/$AT65,0)))</f>
        <v>0</v>
      </c>
      <c r="AW65" s="88" t="n">
        <f aca="false">IF($C65="&lt;01","",100%)</f>
        <v>1</v>
      </c>
      <c r="AX65" s="39" t="n">
        <f aca="false">IF($C65="&lt;01",SUM($AV65),ROUND(SUM($AV65)*SUM($AW65),0))</f>
        <v>0</v>
      </c>
      <c r="AY65" s="114" t="n">
        <f aca="false">IF($C65="&lt;01","",70%)</f>
        <v>0.7</v>
      </c>
      <c r="AZ65" s="91" t="n">
        <f aca="false">IF($C65="&lt;01",ROUND(INDEX(EID!$R:$R,MATCH($B65,EID!$B:$B,0))/2,0),ROUND(SUM($O65)+(SUM($AV65)*$AY65),0))</f>
        <v>0</v>
      </c>
      <c r="BA65" s="87" t="n">
        <f aca="false">IF($C65="&lt;01","",95%)</f>
        <v>0.95</v>
      </c>
      <c r="BB65" s="5" t="n">
        <f aca="false">IF($C65="&lt;01",ROUND(INDEX(EID!$T:$T,MATCH($B65,EID!$B:$B,0))/2,0),ROUND($AZ65*$BA65,0))</f>
        <v>0</v>
      </c>
      <c r="BC65" s="91" t="n">
        <f aca="false">IF(LEFT($B65,4)="_Mil","",IF(SUM($BB65)=0,SUM($AD65),IF(OR(SUM($AP65)=0,SUM($AQ65)=0),MAX($BB65,$AD65),ROUND($BB65*$AQ65/$AP65,0))))</f>
        <v>0</v>
      </c>
      <c r="BD65" s="88" t="n">
        <f aca="false">IF($C65="&lt;01","",95%)</f>
        <v>0.95</v>
      </c>
      <c r="BE65" s="39" t="n">
        <f aca="false">IF($C65="&lt;01",ROUND(INDEX(EID!$V:$V,MATCH($B65,EID!$B:$B,0))/2,0),ROUND($BD65*$BB65,0))</f>
        <v>0</v>
      </c>
      <c r="BF65" s="39" t="n">
        <f aca="false">IF(LEFT($B65,4)="_Mil","",IF(SUM($BE65)=0,SUM($AF65),IF(OR(SUM($AP65)=0,SUM($AQ65)=0),MAX($BE65,$AF65),ROUND($BE65*$AQ65/$AP65,0))))</f>
        <v>0</v>
      </c>
      <c r="BG65" s="114" t="n">
        <f aca="false">IF($C65="&lt;01","",95%)</f>
        <v>0.95</v>
      </c>
      <c r="BH65" s="5" t="n">
        <f aca="false">IF($C65="&lt;01",ROUND(INDEX(EID!$L:$L,MATCH($B65,EID!$B:$B,0)),0)/2,IF(SUM($BG65)=0,"",ROUND($AX65/$BG65,0)))</f>
        <v>0</v>
      </c>
    </row>
    <row r="66" customFormat="false" ht="15" hidden="false" customHeight="false" outlineLevel="0" collapsed="false">
      <c r="A66" s="0" t="str">
        <f aca="false">INDEX(Prioritization!$D:$D,MATCH($B66,Prioritization!$A:$A,0))</f>
        <v>INVALID</v>
      </c>
      <c r="B66" s="0" t="s">
        <v>197</v>
      </c>
      <c r="C66" s="0" t="s">
        <v>366</v>
      </c>
      <c r="D66" s="0" t="s">
        <v>48</v>
      </c>
      <c r="E66" s="0" t="str">
        <f aca="false">$B66&amp;"|"&amp;$C66&amp;"|"&amp;$D66</f>
        <v>Kasungu District [JQKLKuVuY61]|25-34|Male</v>
      </c>
      <c r="F66" s="10"/>
      <c r="G66" s="10"/>
      <c r="H66" s="10"/>
      <c r="I66" s="10"/>
      <c r="J66" s="10"/>
      <c r="K66" s="10"/>
      <c r="L66" s="10"/>
      <c r="M66" s="10"/>
      <c r="N66" s="10"/>
      <c r="O66" s="10" t="str">
        <f aca="false">IFERROR(1/(1/MAX($I66,$N66)),"")</f>
        <v/>
      </c>
      <c r="P66" s="10"/>
      <c r="Q66" s="10"/>
      <c r="R66" s="10" t="str">
        <f aca="false">IF(AND(SUM($I66)=0,SUM($O66)=0),"",SUM($O66)-$I66)</f>
        <v/>
      </c>
      <c r="S66" s="10" t="n">
        <f aca="false">IF(LEFT($B66,4)="_Mil","",_xlfn.IFNA(ROUND(INDEX(Spectrum!$N:$N,MATCH(RIGHT($B66,13)&amp;"|"&amp;$C66&amp;"|"&amp;$D66&amp;"|"&amp;S$14&amp;"|"&amp;"CY2022Q4",Spectrum!$R:$R,0)),0),""))</f>
        <v>571</v>
      </c>
      <c r="T66" s="39" t="n">
        <f aca="false">IF(LEFT($B66,4)="_Mil","",_xlfn.IFNA(ROUND(INDEX(Spectrum!$N:$N,MATCH(RIGHT($B66,13)&amp;"|"&amp;$C66&amp;"|"&amp;$D66&amp;"|"&amp;T$14&amp;"|"&amp;"CY2023Q3",Spectrum!$R:$R,0)),0),""))</f>
        <v>1929</v>
      </c>
      <c r="U66" s="39" t="str">
        <f aca="false">IF(LEFT($B66,4)="_Mil","",_xlfn.IFNA(ROUND(INDEX(Spectrum!$N:$N,MATCH(RIGHT($B66,13)&amp;"|"&amp;$C66&amp;"|"&amp;$D66&amp;"|"&amp;U$14&amp;"|"&amp;"CY2023Q3",Spectrum!$R:$R,0)),0),""))</f>
        <v/>
      </c>
      <c r="V66" s="10" t="n">
        <f aca="false">IF(LEFT($B66,4)="_Mil","",_xlfn.IFNA(ROUND(INDEX(Spectrum!$N:$N,MATCH(RIGHT($B66,13)&amp;"|"&amp;$C66&amp;"|"&amp;$D66&amp;"|"&amp;V$14&amp;"|"&amp;"CY2023Q3",Spectrum!$R:$R,0)),0),""))</f>
        <v>1534</v>
      </c>
      <c r="W66" s="113" t="n">
        <f aca="false">IF(LEFT($B66,4)="_Mil","",_xlfn.IFNA(INDEX(Spectrum!$N:$N,MATCH(RIGHT($B66,13)&amp;"|"&amp;$C66&amp;"|"&amp;$D66&amp;"|"&amp;W$14&amp;"|"&amp;"CY2023Q3",Spectrum!$R:$R,0)),""))</f>
        <v>1365</v>
      </c>
      <c r="X66" s="39" t="n">
        <f aca="false">IF(LEFT($B66,4)="_Mil","",_xlfn.IFNA(ROUND(INDEX(Spectrum!$N:$N,MATCH(RIGHT($B66,13)&amp;"|"&amp;$C66&amp;"|"&amp;$D66&amp;"|"&amp;X$14&amp;"|"&amp;"CY2023Q3",Spectrum!$R:$R,0)),0),""))</f>
        <v>588</v>
      </c>
      <c r="Y66" s="88" t="str">
        <f aca="false">IF(OR(SUM($U66)=0,LEFT($B66,4)="_Mil"),"",SUM($X66)/$U66)</f>
        <v/>
      </c>
      <c r="Z66" s="39" t="n">
        <f aca="false">IF(LEFT($B66,4)="_Mil","",_xlfn.IFNA(ROUND(INDEX(Spectrum!$N:$N,MATCH(RIGHT($B66,13)&amp;"|"&amp;$C66&amp;"|"&amp;$D66&amp;"|"&amp;Z$14&amp;"|"&amp;"CY2023Q3",Spectrum!$R:$R,0)),0),""))</f>
        <v>999</v>
      </c>
      <c r="AA66" s="88" t="n">
        <f aca="false">IF(LEFT($B66,4)="_Mil","",IFERROR(1/(1/INDEX(Spectrum!$N:$N,MATCH(RIGHT($B66,13)&amp;"|"&amp;$C66&amp;"|"&amp;$D66&amp;"|"&amp;AA$14&amp;"|"&amp;"CY2023Q3",Spectrum!$R:$R,0))),IF(SUM($U66)=0,"",SUM($Z66)/$U66)))</f>
        <v>1340</v>
      </c>
      <c r="AB66" s="88" t="n">
        <f aca="false">IF(OR(LEFT($B66,4)="_Mil",SUM($X66)=0),"",SUM($Z66)/$X66)</f>
        <v>1.69897959183673</v>
      </c>
      <c r="AC66" s="10" t="n">
        <f aca="false">IF(LEFT($B66,4)="_Mil","",_xlfn.IFNA(ROUND(INDEX(Spectrum!$N:$N,MATCH(RIGHT($B66,13)&amp;"|"&amp;$C66&amp;"|"&amp;$D66&amp;"|"&amp;AC$14&amp;"|"&amp;"CY2023Q3",Spectrum!$R:$R,0)),0),""))</f>
        <v>1118</v>
      </c>
      <c r="AD66" s="10" t="str">
        <f aca="false">IF(LEFT($B66,4)="_Mil","",_xlfn.IFNA(ROUND(INDEX(Spectrum!$N:$N,MATCH(RIGHT($B66,13)&amp;"|"&amp;$C66&amp;"|"&amp;$D66&amp;"|"&amp;AD$14&amp;"|"&amp;"CY2023Q3",Spectrum!$R:$R,0)),0),""))</f>
        <v/>
      </c>
      <c r="AE66" s="88" t="n">
        <f aca="false">IF(OR(LEFT($B66,4)="_Mil",SUM($Z66)=0),"",SUM($AD66)/$Z66)</f>
        <v>0</v>
      </c>
      <c r="AF66" s="39" t="str">
        <f aca="false">IF(LEFT($B66,4)="_Mil","",_xlfn.IFNA(ROUND(INDEX(Spectrum!$N:$N,MATCH(RIGHT($B66,13)&amp;"|"&amp;$C66&amp;"|"&amp;$D66&amp;"|"&amp;AF$14&amp;"|"&amp;"CY2023Q3",Spectrum!$R:$R,0)),0),""))</f>
        <v/>
      </c>
      <c r="AG66" s="88" t="str">
        <f aca="false">IF(OR(LEFT($B66,4)="_Mil",SUM($AD66)=0),"",SUM($AF66)/$AD66)</f>
        <v/>
      </c>
      <c r="AH66" s="86" t="str">
        <f aca="false">IF(LEFT($B66,4)="_Mil","",_xlfn.IFNA(INDEX(Spectrum!$N:$N,MATCH(RIGHT($B66,13)&amp;"|"&amp;$C66&amp;"|"&amp;$D66&amp;"|"&amp;AH$14&amp;"|"&amp;"CY2023Q3",Spectrum!$R:$R,0)),""))</f>
        <v/>
      </c>
      <c r="AI66" s="10" t="str">
        <f aca="false">IF(LEFT($B66,4)="_Mil","",_xlfn.IFNA(ROUND(INDEX(Spectrum!$N:$N,MATCH(RIGHT($B66,13)&amp;"|"&amp;$C66&amp;"|"&amp;$D66&amp;"|"&amp;AI$14&amp;"|"&amp;"CY2023Q3",Spectrum!$R:$R,0)),0),""))</f>
        <v/>
      </c>
      <c r="AJ66" s="39" t="n">
        <f aca="false">IF(LEFT($B66,4)="_Mil","",_xlfn.IFNA(ROUND(INDEX(Spectrum!$N:$N,MATCH(RIGHT($B66,13)&amp;"|"&amp;$C66&amp;"|"&amp;$D66&amp;"|"&amp;AI$14&amp;"|"&amp;"CY2023Q3",Spectrum!$R:$R,0)),0),SUM($U66)+SUM($AI66)))</f>
        <v>0</v>
      </c>
      <c r="AK66" s="10" t="str">
        <f aca="false">IF(LEFT($B66,4)="_Mil","",_xlfn.IFNA(ROUND(INDEX(Spectrum!$N:$N,MATCH(RIGHT($B66,13)&amp;"|"&amp;$C66&amp;"|"&amp;$D66&amp;"|"&amp;AK$14&amp;"|"&amp;"CY2023Q3",Spectrum!$R:$R,0)),0),""))</f>
        <v/>
      </c>
      <c r="AL66" s="88" t="n">
        <f aca="false">IF(OR(LEFT($B66,4)="_Mil",$C66="&lt;01"),"",MAX(SUM($AA66),90%))</f>
        <v>1340</v>
      </c>
      <c r="AM66" s="10" t="n">
        <f aca="false">IF(OR(LEFT($B66,4)="_Mil",$C66="&lt;01"),"",ROUND(SUM($AJ66)*SUM($AL66),0))</f>
        <v>0</v>
      </c>
      <c r="AN66" s="10" t="str">
        <f aca="false">IF($C66="&lt;01",ROUND(INDEX(EID!$P:$P,MATCH($B66,EID!$B:$B,0))/2,0),"")</f>
        <v/>
      </c>
      <c r="AO66" s="10" t="n">
        <f aca="false">IF($C66="&lt;01",SUM($AN66),ROUND(SUM($AM66)*SUM($O66)/IF(SUM($Z66)=0,1,$Z66),0))</f>
        <v>0</v>
      </c>
      <c r="AP66" s="39" t="n">
        <f aca="false">IF(OR($F66="",$C66="&lt;01"),$AO66,$F66)</f>
        <v>0</v>
      </c>
      <c r="AQ66" s="39" t="n">
        <f aca="false">IF(LEFT($B66,4)="_Mil","",IF(SUM($AP66)=0,SUM($Z66),IF(OR(SUM($Z66)=0,SUM($O66)=0),MAX($AP66,$Z66),$AP66*$Z66/$O66)))</f>
        <v>999</v>
      </c>
      <c r="AR66" s="88" t="str">
        <f aca="false">IF(OR(LEFT($B66,4)="_Mil",SUM($AJ66)=0),"",SUM($AQ66)/$AJ66)</f>
        <v/>
      </c>
      <c r="AS66" s="88" t="n">
        <f aca="false">IF($C66="&lt;01","",98%)</f>
        <v>0.98</v>
      </c>
      <c r="AT66" s="88" t="n">
        <f aca="false">IF($C66="&lt;01","",98%)</f>
        <v>0.98</v>
      </c>
      <c r="AU66" s="10" t="n">
        <f aca="false">IF($C66="&lt;01","",SUM($AP66)-SUM($O66))</f>
        <v>0</v>
      </c>
      <c r="AV66" s="10" t="n">
        <f aca="false">IF($C66="&lt;01",ROUND(INDEX(EID!$N:$N,MATCH($B66,EID!$B:$B,0))/2,0),IF(SUM($AT66)=0,"",ROUND((SUM($AP66)-(SUM($O66)*SUM($AS66)))/$AT66,0)))</f>
        <v>0</v>
      </c>
      <c r="AW66" s="88" t="n">
        <f aca="false">IF($C66="&lt;01","",100%)</f>
        <v>1</v>
      </c>
      <c r="AX66" s="39" t="n">
        <f aca="false">IF($C66="&lt;01",SUM($AV66),ROUND(SUM($AV66)*SUM($AW66),0))</f>
        <v>0</v>
      </c>
      <c r="AY66" s="114" t="n">
        <f aca="false">IF($C66="&lt;01","",70%)</f>
        <v>0.7</v>
      </c>
      <c r="AZ66" s="91" t="n">
        <f aca="false">IF($C66="&lt;01",ROUND(INDEX(EID!$R:$R,MATCH($B66,EID!$B:$B,0))/2,0),ROUND(SUM($O66)+(SUM($AV66)*$AY66),0))</f>
        <v>0</v>
      </c>
      <c r="BA66" s="87" t="n">
        <f aca="false">IF($C66="&lt;01","",95%)</f>
        <v>0.95</v>
      </c>
      <c r="BB66" s="5" t="n">
        <f aca="false">IF($C66="&lt;01",ROUND(INDEX(EID!$T:$T,MATCH($B66,EID!$B:$B,0))/2,0),ROUND($AZ66*$BA66,0))</f>
        <v>0</v>
      </c>
      <c r="BC66" s="91" t="n">
        <f aca="false">IF(LEFT($B66,4)="_Mil","",IF(SUM($BB66)=0,SUM($AD66),IF(OR(SUM($AP66)=0,SUM($AQ66)=0),MAX($BB66,$AD66),ROUND($BB66*$AQ66/$AP66,0))))</f>
        <v>0</v>
      </c>
      <c r="BD66" s="88" t="n">
        <f aca="false">IF($C66="&lt;01","",95%)</f>
        <v>0.95</v>
      </c>
      <c r="BE66" s="39" t="n">
        <f aca="false">IF($C66="&lt;01",ROUND(INDEX(EID!$V:$V,MATCH($B66,EID!$B:$B,0))/2,0),ROUND($BD66*$BB66,0))</f>
        <v>0</v>
      </c>
      <c r="BF66" s="39" t="n">
        <f aca="false">IF(LEFT($B66,4)="_Mil","",IF(SUM($BE66)=0,SUM($AF66),IF(OR(SUM($AP66)=0,SUM($AQ66)=0),MAX($BE66,$AF66),ROUND($BE66*$AQ66/$AP66,0))))</f>
        <v>0</v>
      </c>
      <c r="BG66" s="114" t="n">
        <f aca="false">IF($C66="&lt;01","",95%)</f>
        <v>0.95</v>
      </c>
      <c r="BH66" s="5" t="n">
        <f aca="false">IF($C66="&lt;01",ROUND(INDEX(EID!$L:$L,MATCH($B66,EID!$B:$B,0)),0)/2,IF(SUM($BG66)=0,"",ROUND($AX66/$BG66,0)))</f>
        <v>0</v>
      </c>
    </row>
    <row r="67" customFormat="false" ht="15" hidden="false" customHeight="false" outlineLevel="0" collapsed="false">
      <c r="A67" s="0" t="str">
        <f aca="false">INDEX(Prioritization!$D:$D,MATCH($B67,Prioritization!$A:$A,0))</f>
        <v>INVALID</v>
      </c>
      <c r="B67" s="0" t="s">
        <v>197</v>
      </c>
      <c r="C67" s="0" t="s">
        <v>367</v>
      </c>
      <c r="D67" s="0" t="s">
        <v>30</v>
      </c>
      <c r="E67" s="0" t="str">
        <f aca="false">$B67&amp;"|"&amp;$C67&amp;"|"&amp;$D67</f>
        <v>Kasungu District [JQKLKuVuY61]|35-49|Female</v>
      </c>
      <c r="F67" s="10"/>
      <c r="G67" s="10"/>
      <c r="H67" s="10"/>
      <c r="I67" s="10"/>
      <c r="J67" s="10"/>
      <c r="K67" s="10"/>
      <c r="L67" s="10"/>
      <c r="M67" s="10"/>
      <c r="N67" s="10"/>
      <c r="O67" s="10" t="str">
        <f aca="false">IFERROR(1/(1/MAX($I67,$N67)),"")</f>
        <v/>
      </c>
      <c r="P67" s="10"/>
      <c r="Q67" s="10"/>
      <c r="R67" s="10" t="str">
        <f aca="false">IF(AND(SUM($I67)=0,SUM($O67)=0),"",SUM($O67)-$I67)</f>
        <v/>
      </c>
      <c r="S67" s="10" t="n">
        <f aca="false">IF(LEFT($B67,4)="_Mil","",_xlfn.IFNA(ROUND(INDEX(Spectrum!$N:$N,MATCH(RIGHT($B67,13)&amp;"|"&amp;$C67&amp;"|"&amp;$D67&amp;"|"&amp;S$14&amp;"|"&amp;"CY2022Q4",Spectrum!$R:$R,0)),0),""))</f>
        <v>1134</v>
      </c>
      <c r="T67" s="39" t="n">
        <f aca="false">IF(LEFT($B67,4)="_Mil","",_xlfn.IFNA(ROUND(INDEX(Spectrum!$N:$N,MATCH(RIGHT($B67,13)&amp;"|"&amp;$C67&amp;"|"&amp;$D67&amp;"|"&amp;T$14&amp;"|"&amp;"CY2023Q3",Spectrum!$R:$R,0)),0),""))</f>
        <v>1514</v>
      </c>
      <c r="U67" s="39" t="str">
        <f aca="false">IF(LEFT($B67,4)="_Mil","",_xlfn.IFNA(ROUND(INDEX(Spectrum!$N:$N,MATCH(RIGHT($B67,13)&amp;"|"&amp;$C67&amp;"|"&amp;$D67&amp;"|"&amp;U$14&amp;"|"&amp;"CY2023Q3",Spectrum!$R:$R,0)),0),""))</f>
        <v/>
      </c>
      <c r="V67" s="10" t="n">
        <f aca="false">IF(LEFT($B67,4)="_Mil","",_xlfn.IFNA(ROUND(INDEX(Spectrum!$N:$N,MATCH(RIGHT($B67,13)&amp;"|"&amp;$C67&amp;"|"&amp;$D67&amp;"|"&amp;V$14&amp;"|"&amp;"CY2023Q3",Spectrum!$R:$R,0)),0),""))</f>
        <v>1426</v>
      </c>
      <c r="W67" s="113" t="n">
        <f aca="false">IF(LEFT($B67,4)="_Mil","",_xlfn.IFNA(INDEX(Spectrum!$N:$N,MATCH(RIGHT($B67,13)&amp;"|"&amp;$C67&amp;"|"&amp;$D67&amp;"|"&amp;W$14&amp;"|"&amp;"CY2023Q3",Spectrum!$R:$R,0)),""))</f>
        <v>1656</v>
      </c>
      <c r="X67" s="39" t="n">
        <f aca="false">IF(LEFT($B67,4)="_Mil","",_xlfn.IFNA(ROUND(INDEX(Spectrum!$N:$N,MATCH(RIGHT($B67,13)&amp;"|"&amp;$C67&amp;"|"&amp;$D67&amp;"|"&amp;X$14&amp;"|"&amp;"CY2023Q3",Spectrum!$R:$R,0)),0),""))</f>
        <v>1960</v>
      </c>
      <c r="Y67" s="88" t="str">
        <f aca="false">IF(OR(SUM($U67)=0,LEFT($B67,4)="_Mil"),"",SUM($X67)/$U67)</f>
        <v/>
      </c>
      <c r="Z67" s="39" t="n">
        <f aca="false">IF(LEFT($B67,4)="_Mil","",_xlfn.IFNA(ROUND(INDEX(Spectrum!$N:$N,MATCH(RIGHT($B67,13)&amp;"|"&amp;$C67&amp;"|"&amp;$D67&amp;"|"&amp;Z$14&amp;"|"&amp;"CY2023Q3",Spectrum!$R:$R,0)),0),""))</f>
        <v>1508</v>
      </c>
      <c r="AA67" s="88" t="n">
        <f aca="false">IF(LEFT($B67,4)="_Mil","",IFERROR(1/(1/INDEX(Spectrum!$N:$N,MATCH(RIGHT($B67,13)&amp;"|"&amp;$C67&amp;"|"&amp;$D67&amp;"|"&amp;AA$14&amp;"|"&amp;"CY2023Q3",Spectrum!$R:$R,0))),IF(SUM($U67)=0,"",SUM($Z67)/$U67)))</f>
        <v>1063</v>
      </c>
      <c r="AB67" s="88" t="n">
        <f aca="false">IF(OR(LEFT($B67,4)="_Mil",SUM($X67)=0),"",SUM($Z67)/$X67)</f>
        <v>0.769387755102041</v>
      </c>
      <c r="AC67" s="10" t="n">
        <f aca="false">IF(LEFT($B67,4)="_Mil","",_xlfn.IFNA(ROUND(INDEX(Spectrum!$N:$N,MATCH(RIGHT($B67,13)&amp;"|"&amp;$C67&amp;"|"&amp;$D67&amp;"|"&amp;AC$14&amp;"|"&amp;"CY2023Q3",Spectrum!$R:$R,0)),0),""))</f>
        <v>1038</v>
      </c>
      <c r="AD67" s="10" t="str">
        <f aca="false">IF(LEFT($B67,4)="_Mil","",_xlfn.IFNA(ROUND(INDEX(Spectrum!$N:$N,MATCH(RIGHT($B67,13)&amp;"|"&amp;$C67&amp;"|"&amp;$D67&amp;"|"&amp;AD$14&amp;"|"&amp;"CY2023Q3",Spectrum!$R:$R,0)),0),""))</f>
        <v/>
      </c>
      <c r="AE67" s="88" t="n">
        <f aca="false">IF(OR(LEFT($B67,4)="_Mil",SUM($Z67)=0),"",SUM($AD67)/$Z67)</f>
        <v>0</v>
      </c>
      <c r="AF67" s="39" t="str">
        <f aca="false">IF(LEFT($B67,4)="_Mil","",_xlfn.IFNA(ROUND(INDEX(Spectrum!$N:$N,MATCH(RIGHT($B67,13)&amp;"|"&amp;$C67&amp;"|"&amp;$D67&amp;"|"&amp;AF$14&amp;"|"&amp;"CY2023Q3",Spectrum!$R:$R,0)),0),""))</f>
        <v/>
      </c>
      <c r="AG67" s="88" t="str">
        <f aca="false">IF(OR(LEFT($B67,4)="_Mil",SUM($AD67)=0),"",SUM($AF67)/$AD67)</f>
        <v/>
      </c>
      <c r="AH67" s="86" t="str">
        <f aca="false">IF(LEFT($B67,4)="_Mil","",_xlfn.IFNA(INDEX(Spectrum!$N:$N,MATCH(RIGHT($B67,13)&amp;"|"&amp;$C67&amp;"|"&amp;$D67&amp;"|"&amp;AH$14&amp;"|"&amp;"CY2023Q3",Spectrum!$R:$R,0)),""))</f>
        <v/>
      </c>
      <c r="AI67" s="10" t="str">
        <f aca="false">IF(LEFT($B67,4)="_Mil","",_xlfn.IFNA(ROUND(INDEX(Spectrum!$N:$N,MATCH(RIGHT($B67,13)&amp;"|"&amp;$C67&amp;"|"&amp;$D67&amp;"|"&amp;AI$14&amp;"|"&amp;"CY2023Q3",Spectrum!$R:$R,0)),0),""))</f>
        <v/>
      </c>
      <c r="AJ67" s="39" t="n">
        <f aca="false">IF(LEFT($B67,4)="_Mil","",_xlfn.IFNA(ROUND(INDEX(Spectrum!$N:$N,MATCH(RIGHT($B67,13)&amp;"|"&amp;$C67&amp;"|"&amp;$D67&amp;"|"&amp;AI$14&amp;"|"&amp;"CY2023Q3",Spectrum!$R:$R,0)),0),SUM($U67)+SUM($AI67)))</f>
        <v>0</v>
      </c>
      <c r="AK67" s="10" t="str">
        <f aca="false">IF(LEFT($B67,4)="_Mil","",_xlfn.IFNA(ROUND(INDEX(Spectrum!$N:$N,MATCH(RIGHT($B67,13)&amp;"|"&amp;$C67&amp;"|"&amp;$D67&amp;"|"&amp;AK$14&amp;"|"&amp;"CY2023Q3",Spectrum!$R:$R,0)),0),""))</f>
        <v/>
      </c>
      <c r="AL67" s="88" t="n">
        <f aca="false">IF(OR(LEFT($B67,4)="_Mil",$C67="&lt;01"),"",MAX(SUM($AA67),90%))</f>
        <v>1063</v>
      </c>
      <c r="AM67" s="10" t="n">
        <f aca="false">IF(OR(LEFT($B67,4)="_Mil",$C67="&lt;01"),"",ROUND(SUM($AJ67)*SUM($AL67),0))</f>
        <v>0</v>
      </c>
      <c r="AN67" s="10" t="str">
        <f aca="false">IF($C67="&lt;01",ROUND(INDEX(EID!$P:$P,MATCH($B67,EID!$B:$B,0))/2,0),"")</f>
        <v/>
      </c>
      <c r="AO67" s="10" t="n">
        <f aca="false">IF($C67="&lt;01",SUM($AN67),ROUND(SUM($AM67)*SUM($O67)/IF(SUM($Z67)=0,1,$Z67),0))</f>
        <v>0</v>
      </c>
      <c r="AP67" s="39" t="n">
        <f aca="false">IF(OR($F67="",$C67="&lt;01"),$AO67,$F67)</f>
        <v>0</v>
      </c>
      <c r="AQ67" s="39" t="n">
        <f aca="false">IF(LEFT($B67,4)="_Mil","",IF(SUM($AP67)=0,SUM($Z67),IF(OR(SUM($Z67)=0,SUM($O67)=0),MAX($AP67,$Z67),$AP67*$Z67/$O67)))</f>
        <v>1508</v>
      </c>
      <c r="AR67" s="88" t="str">
        <f aca="false">IF(OR(LEFT($B67,4)="_Mil",SUM($AJ67)=0),"",SUM($AQ67)/$AJ67)</f>
        <v/>
      </c>
      <c r="AS67" s="88" t="n">
        <f aca="false">IF($C67="&lt;01","",98%)</f>
        <v>0.98</v>
      </c>
      <c r="AT67" s="88" t="n">
        <f aca="false">IF($C67="&lt;01","",98%)</f>
        <v>0.98</v>
      </c>
      <c r="AU67" s="10" t="n">
        <f aca="false">IF($C67="&lt;01","",SUM($AP67)-SUM($O67))</f>
        <v>0</v>
      </c>
      <c r="AV67" s="10" t="n">
        <f aca="false">IF($C67="&lt;01",ROUND(INDEX(EID!$N:$N,MATCH($B67,EID!$B:$B,0))/2,0),IF(SUM($AT67)=0,"",ROUND((SUM($AP67)-(SUM($O67)*SUM($AS67)))/$AT67,0)))</f>
        <v>0</v>
      </c>
      <c r="AW67" s="88" t="n">
        <f aca="false">IF($C67="&lt;01","",100%)</f>
        <v>1</v>
      </c>
      <c r="AX67" s="39" t="n">
        <f aca="false">IF($C67="&lt;01",SUM($AV67),ROUND(SUM($AV67)*SUM($AW67),0))</f>
        <v>0</v>
      </c>
      <c r="AY67" s="114" t="n">
        <f aca="false">IF($C67="&lt;01","",70%)</f>
        <v>0.7</v>
      </c>
      <c r="AZ67" s="91" t="n">
        <f aca="false">IF($C67="&lt;01",ROUND(INDEX(EID!$R:$R,MATCH($B67,EID!$B:$B,0))/2,0),ROUND(SUM($O67)+(SUM($AV67)*$AY67),0))</f>
        <v>0</v>
      </c>
      <c r="BA67" s="87" t="n">
        <f aca="false">IF($C67="&lt;01","",95%)</f>
        <v>0.95</v>
      </c>
      <c r="BB67" s="5" t="n">
        <f aca="false">IF($C67="&lt;01",ROUND(INDEX(EID!$T:$T,MATCH($B67,EID!$B:$B,0))/2,0),ROUND($AZ67*$BA67,0))</f>
        <v>0</v>
      </c>
      <c r="BC67" s="91" t="n">
        <f aca="false">IF(LEFT($B67,4)="_Mil","",IF(SUM($BB67)=0,SUM($AD67),IF(OR(SUM($AP67)=0,SUM($AQ67)=0),MAX($BB67,$AD67),ROUND($BB67*$AQ67/$AP67,0))))</f>
        <v>0</v>
      </c>
      <c r="BD67" s="88" t="n">
        <f aca="false">IF($C67="&lt;01","",95%)</f>
        <v>0.95</v>
      </c>
      <c r="BE67" s="39" t="n">
        <f aca="false">IF($C67="&lt;01",ROUND(INDEX(EID!$V:$V,MATCH($B67,EID!$B:$B,0))/2,0),ROUND($BD67*$BB67,0))</f>
        <v>0</v>
      </c>
      <c r="BF67" s="39" t="n">
        <f aca="false">IF(LEFT($B67,4)="_Mil","",IF(SUM($BE67)=0,SUM($AF67),IF(OR(SUM($AP67)=0,SUM($AQ67)=0),MAX($BE67,$AF67),ROUND($BE67*$AQ67/$AP67,0))))</f>
        <v>0</v>
      </c>
      <c r="BG67" s="114" t="n">
        <f aca="false">IF($C67="&lt;01","",95%)</f>
        <v>0.95</v>
      </c>
      <c r="BH67" s="5" t="n">
        <f aca="false">IF($C67="&lt;01",ROUND(INDEX(EID!$L:$L,MATCH($B67,EID!$B:$B,0)),0)/2,IF(SUM($BG67)=0,"",ROUND($AX67/$BG67,0)))</f>
        <v>0</v>
      </c>
    </row>
    <row r="68" customFormat="false" ht="15" hidden="false" customHeight="false" outlineLevel="0" collapsed="false">
      <c r="A68" s="0" t="str">
        <f aca="false">INDEX(Prioritization!$D:$D,MATCH($B68,Prioritization!$A:$A,0))</f>
        <v>INVALID</v>
      </c>
      <c r="B68" s="0" t="s">
        <v>197</v>
      </c>
      <c r="C68" s="0" t="s">
        <v>367</v>
      </c>
      <c r="D68" s="0" t="s">
        <v>48</v>
      </c>
      <c r="E68" s="0" t="str">
        <f aca="false">$B68&amp;"|"&amp;$C68&amp;"|"&amp;$D68</f>
        <v>Kasungu District [JQKLKuVuY61]|35-49|Male</v>
      </c>
      <c r="F68" s="10"/>
      <c r="G68" s="10"/>
      <c r="H68" s="10"/>
      <c r="I68" s="10"/>
      <c r="J68" s="10"/>
      <c r="K68" s="10"/>
      <c r="L68" s="10"/>
      <c r="M68" s="10"/>
      <c r="N68" s="10"/>
      <c r="O68" s="10" t="str">
        <f aca="false">IFERROR(1/(1/MAX($I68,$N68)),"")</f>
        <v/>
      </c>
      <c r="P68" s="10"/>
      <c r="Q68" s="10"/>
      <c r="R68" s="10" t="str">
        <f aca="false">IF(AND(SUM($I68)=0,SUM($O68)=0),"",SUM($O68)-$I68)</f>
        <v/>
      </c>
      <c r="S68" s="10" t="n">
        <f aca="false">IF(LEFT($B68,4)="_Mil","",_xlfn.IFNA(ROUND(INDEX(Spectrum!$N:$N,MATCH(RIGHT($B68,13)&amp;"|"&amp;$C68&amp;"|"&amp;$D68&amp;"|"&amp;S$14&amp;"|"&amp;"CY2022Q4",Spectrum!$R:$R,0)),0),""))</f>
        <v>1742</v>
      </c>
      <c r="T68" s="39" t="n">
        <f aca="false">IF(LEFT($B68,4)="_Mil","",_xlfn.IFNA(ROUND(INDEX(Spectrum!$N:$N,MATCH(RIGHT($B68,13)&amp;"|"&amp;$C68&amp;"|"&amp;$D68&amp;"|"&amp;T$14&amp;"|"&amp;"CY2023Q3",Spectrum!$R:$R,0)),0),""))</f>
        <v>1723</v>
      </c>
      <c r="U68" s="39" t="str">
        <f aca="false">IF(LEFT($B68,4)="_Mil","",_xlfn.IFNA(ROUND(INDEX(Spectrum!$N:$N,MATCH(RIGHT($B68,13)&amp;"|"&amp;$C68&amp;"|"&amp;$D68&amp;"|"&amp;U$14&amp;"|"&amp;"CY2023Q3",Spectrum!$R:$R,0)),0),""))</f>
        <v/>
      </c>
      <c r="V68" s="10" t="n">
        <f aca="false">IF(LEFT($B68,4)="_Mil","",_xlfn.IFNA(ROUND(INDEX(Spectrum!$N:$N,MATCH(RIGHT($B68,13)&amp;"|"&amp;$C68&amp;"|"&amp;$D68&amp;"|"&amp;V$14&amp;"|"&amp;"CY2023Q3",Spectrum!$R:$R,0)),0),""))</f>
        <v>1268</v>
      </c>
      <c r="W68" s="113" t="n">
        <f aca="false">IF(LEFT($B68,4)="_Mil","",_xlfn.IFNA(INDEX(Spectrum!$N:$N,MATCH(RIGHT($B68,13)&amp;"|"&amp;$C68&amp;"|"&amp;$D68&amp;"|"&amp;W$14&amp;"|"&amp;"CY2023Q3",Spectrum!$R:$R,0)),""))</f>
        <v>1408</v>
      </c>
      <c r="X68" s="39" t="n">
        <f aca="false">IF(LEFT($B68,4)="_Mil","",_xlfn.IFNA(ROUND(INDEX(Spectrum!$N:$N,MATCH(RIGHT($B68,13)&amp;"|"&amp;$C68&amp;"|"&amp;$D68&amp;"|"&amp;X$14&amp;"|"&amp;"CY2023Q3",Spectrum!$R:$R,0)),0),""))</f>
        <v>1552</v>
      </c>
      <c r="Y68" s="88" t="str">
        <f aca="false">IF(OR(SUM($U68)=0,LEFT($B68,4)="_Mil"),"",SUM($X68)/$U68)</f>
        <v/>
      </c>
      <c r="Z68" s="39" t="n">
        <f aca="false">IF(LEFT($B68,4)="_Mil","",_xlfn.IFNA(ROUND(INDEX(Spectrum!$N:$N,MATCH(RIGHT($B68,13)&amp;"|"&amp;$C68&amp;"|"&amp;$D68&amp;"|"&amp;Z$14&amp;"|"&amp;"CY2023Q3",Spectrum!$R:$R,0)),0),""))</f>
        <v>1101</v>
      </c>
      <c r="AA68" s="88" t="n">
        <f aca="false">IF(LEFT($B68,4)="_Mil","",IFERROR(1/(1/INDEX(Spectrum!$N:$N,MATCH(RIGHT($B68,13)&amp;"|"&amp;$C68&amp;"|"&amp;$D68&amp;"|"&amp;AA$14&amp;"|"&amp;"CY2023Q3",Spectrum!$R:$R,0))),IF(SUM($U68)=0,"",SUM($Z68)/$U68)))</f>
        <v>1735</v>
      </c>
      <c r="AB68" s="88" t="n">
        <f aca="false">IF(OR(LEFT($B68,4)="_Mil",SUM($X68)=0),"",SUM($Z68)/$X68)</f>
        <v>0.709407216494845</v>
      </c>
      <c r="AC68" s="10" t="n">
        <f aca="false">IF(LEFT($B68,4)="_Mil","",_xlfn.IFNA(ROUND(INDEX(Spectrum!$N:$N,MATCH(RIGHT($B68,13)&amp;"|"&amp;$C68&amp;"|"&amp;$D68&amp;"|"&amp;AC$14&amp;"|"&amp;"CY2023Q3",Spectrum!$R:$R,0)),0),""))</f>
        <v>1437</v>
      </c>
      <c r="AD68" s="10" t="str">
        <f aca="false">IF(LEFT($B68,4)="_Mil","",_xlfn.IFNA(ROUND(INDEX(Spectrum!$N:$N,MATCH(RIGHT($B68,13)&amp;"|"&amp;$C68&amp;"|"&amp;$D68&amp;"|"&amp;AD$14&amp;"|"&amp;"CY2023Q3",Spectrum!$R:$R,0)),0),""))</f>
        <v/>
      </c>
      <c r="AE68" s="88" t="n">
        <f aca="false">IF(OR(LEFT($B68,4)="_Mil",SUM($Z68)=0),"",SUM($AD68)/$Z68)</f>
        <v>0</v>
      </c>
      <c r="AF68" s="39" t="str">
        <f aca="false">IF(LEFT($B68,4)="_Mil","",_xlfn.IFNA(ROUND(INDEX(Spectrum!$N:$N,MATCH(RIGHT($B68,13)&amp;"|"&amp;$C68&amp;"|"&amp;$D68&amp;"|"&amp;AF$14&amp;"|"&amp;"CY2023Q3",Spectrum!$R:$R,0)),0),""))</f>
        <v/>
      </c>
      <c r="AG68" s="88" t="str">
        <f aca="false">IF(OR(LEFT($B68,4)="_Mil",SUM($AD68)=0),"",SUM($AF68)/$AD68)</f>
        <v/>
      </c>
      <c r="AH68" s="86" t="str">
        <f aca="false">IF(LEFT($B68,4)="_Mil","",_xlfn.IFNA(INDEX(Spectrum!$N:$N,MATCH(RIGHT($B68,13)&amp;"|"&amp;$C68&amp;"|"&amp;$D68&amp;"|"&amp;AH$14&amp;"|"&amp;"CY2023Q3",Spectrum!$R:$R,0)),""))</f>
        <v/>
      </c>
      <c r="AI68" s="10" t="str">
        <f aca="false">IF(LEFT($B68,4)="_Mil","",_xlfn.IFNA(ROUND(INDEX(Spectrum!$N:$N,MATCH(RIGHT($B68,13)&amp;"|"&amp;$C68&amp;"|"&amp;$D68&amp;"|"&amp;AI$14&amp;"|"&amp;"CY2023Q3",Spectrum!$R:$R,0)),0),""))</f>
        <v/>
      </c>
      <c r="AJ68" s="39" t="n">
        <f aca="false">IF(LEFT($B68,4)="_Mil","",_xlfn.IFNA(ROUND(INDEX(Spectrum!$N:$N,MATCH(RIGHT($B68,13)&amp;"|"&amp;$C68&amp;"|"&amp;$D68&amp;"|"&amp;AI$14&amp;"|"&amp;"CY2023Q3",Spectrum!$R:$R,0)),0),SUM($U68)+SUM($AI68)))</f>
        <v>0</v>
      </c>
      <c r="AK68" s="10" t="str">
        <f aca="false">IF(LEFT($B68,4)="_Mil","",_xlfn.IFNA(ROUND(INDEX(Spectrum!$N:$N,MATCH(RIGHT($B68,13)&amp;"|"&amp;$C68&amp;"|"&amp;$D68&amp;"|"&amp;AK$14&amp;"|"&amp;"CY2023Q3",Spectrum!$R:$R,0)),0),""))</f>
        <v/>
      </c>
      <c r="AL68" s="88" t="n">
        <f aca="false">IF(OR(LEFT($B68,4)="_Mil",$C68="&lt;01"),"",MAX(SUM($AA68),90%))</f>
        <v>1735</v>
      </c>
      <c r="AM68" s="10" t="n">
        <f aca="false">IF(OR(LEFT($B68,4)="_Mil",$C68="&lt;01"),"",ROUND(SUM($AJ68)*SUM($AL68),0))</f>
        <v>0</v>
      </c>
      <c r="AN68" s="10" t="str">
        <f aca="false">IF($C68="&lt;01",ROUND(INDEX(EID!$P:$P,MATCH($B68,EID!$B:$B,0))/2,0),"")</f>
        <v/>
      </c>
      <c r="AO68" s="10" t="n">
        <f aca="false">IF($C68="&lt;01",SUM($AN68),ROUND(SUM($AM68)*SUM($O68)/IF(SUM($Z68)=0,1,$Z68),0))</f>
        <v>0</v>
      </c>
      <c r="AP68" s="39" t="n">
        <f aca="false">IF(OR($F68="",$C68="&lt;01"),$AO68,$F68)</f>
        <v>0</v>
      </c>
      <c r="AQ68" s="39" t="n">
        <f aca="false">IF(LEFT($B68,4)="_Mil","",IF(SUM($AP68)=0,SUM($Z68),IF(OR(SUM($Z68)=0,SUM($O68)=0),MAX($AP68,$Z68),$AP68*$Z68/$O68)))</f>
        <v>1101</v>
      </c>
      <c r="AR68" s="88" t="str">
        <f aca="false">IF(OR(LEFT($B68,4)="_Mil",SUM($AJ68)=0),"",SUM($AQ68)/$AJ68)</f>
        <v/>
      </c>
      <c r="AS68" s="88" t="n">
        <f aca="false">IF($C68="&lt;01","",98%)</f>
        <v>0.98</v>
      </c>
      <c r="AT68" s="88" t="n">
        <f aca="false">IF($C68="&lt;01","",98%)</f>
        <v>0.98</v>
      </c>
      <c r="AU68" s="10" t="n">
        <f aca="false">IF($C68="&lt;01","",SUM($AP68)-SUM($O68))</f>
        <v>0</v>
      </c>
      <c r="AV68" s="10" t="n">
        <f aca="false">IF($C68="&lt;01",ROUND(INDEX(EID!$N:$N,MATCH($B68,EID!$B:$B,0))/2,0),IF(SUM($AT68)=0,"",ROUND((SUM($AP68)-(SUM($O68)*SUM($AS68)))/$AT68,0)))</f>
        <v>0</v>
      </c>
      <c r="AW68" s="88" t="n">
        <f aca="false">IF($C68="&lt;01","",100%)</f>
        <v>1</v>
      </c>
      <c r="AX68" s="39" t="n">
        <f aca="false">IF($C68="&lt;01",SUM($AV68),ROUND(SUM($AV68)*SUM($AW68),0))</f>
        <v>0</v>
      </c>
      <c r="AY68" s="114" t="n">
        <f aca="false">IF($C68="&lt;01","",70%)</f>
        <v>0.7</v>
      </c>
      <c r="AZ68" s="91" t="n">
        <f aca="false">IF($C68="&lt;01",ROUND(INDEX(EID!$R:$R,MATCH($B68,EID!$B:$B,0))/2,0),ROUND(SUM($O68)+(SUM($AV68)*$AY68),0))</f>
        <v>0</v>
      </c>
      <c r="BA68" s="87" t="n">
        <f aca="false">IF($C68="&lt;01","",95%)</f>
        <v>0.95</v>
      </c>
      <c r="BB68" s="5" t="n">
        <f aca="false">IF($C68="&lt;01",ROUND(INDEX(EID!$T:$T,MATCH($B68,EID!$B:$B,0))/2,0),ROUND($AZ68*$BA68,0))</f>
        <v>0</v>
      </c>
      <c r="BC68" s="91" t="n">
        <f aca="false">IF(LEFT($B68,4)="_Mil","",IF(SUM($BB68)=0,SUM($AD68),IF(OR(SUM($AP68)=0,SUM($AQ68)=0),MAX($BB68,$AD68),ROUND($BB68*$AQ68/$AP68,0))))</f>
        <v>0</v>
      </c>
      <c r="BD68" s="88" t="n">
        <f aca="false">IF($C68="&lt;01","",95%)</f>
        <v>0.95</v>
      </c>
      <c r="BE68" s="39" t="n">
        <f aca="false">IF($C68="&lt;01",ROUND(INDEX(EID!$V:$V,MATCH($B68,EID!$B:$B,0))/2,0),ROUND($BD68*$BB68,0))</f>
        <v>0</v>
      </c>
      <c r="BF68" s="39" t="n">
        <f aca="false">IF(LEFT($B68,4)="_Mil","",IF(SUM($BE68)=0,SUM($AF68),IF(OR(SUM($AP68)=0,SUM($AQ68)=0),MAX($BE68,$AF68),ROUND($BE68*$AQ68/$AP68,0))))</f>
        <v>0</v>
      </c>
      <c r="BG68" s="114" t="n">
        <f aca="false">IF($C68="&lt;01","",95%)</f>
        <v>0.95</v>
      </c>
      <c r="BH68" s="5" t="n">
        <f aca="false">IF($C68="&lt;01",ROUND(INDEX(EID!$L:$L,MATCH($B68,EID!$B:$B,0)),0)/2,IF(SUM($BG68)=0,"",ROUND($AX68/$BG68,0)))</f>
        <v>0</v>
      </c>
    </row>
    <row r="69" customFormat="false" ht="15" hidden="false" customHeight="false" outlineLevel="0" collapsed="false">
      <c r="A69" s="0" t="str">
        <f aca="false">INDEX(Prioritization!$D:$D,MATCH($B69,Prioritization!$A:$A,0))</f>
        <v>INVALID</v>
      </c>
      <c r="B69" s="0" t="s">
        <v>197</v>
      </c>
      <c r="C69" s="0" t="s">
        <v>368</v>
      </c>
      <c r="D69" s="0" t="s">
        <v>30</v>
      </c>
      <c r="E69" s="0" t="str">
        <f aca="false">$B69&amp;"|"&amp;$C69&amp;"|"&amp;$D69</f>
        <v>Kasungu District [JQKLKuVuY61]|50+|Female</v>
      </c>
      <c r="F69" s="10"/>
      <c r="G69" s="10"/>
      <c r="H69" s="10"/>
      <c r="I69" s="10"/>
      <c r="J69" s="10"/>
      <c r="K69" s="10"/>
      <c r="L69" s="10"/>
      <c r="M69" s="10"/>
      <c r="N69" s="10"/>
      <c r="O69" s="10" t="str">
        <f aca="false">IFERROR(1/(1/MAX($I69,$N69)),"")</f>
        <v/>
      </c>
      <c r="P69" s="10"/>
      <c r="Q69" s="10"/>
      <c r="R69" s="10" t="str">
        <f aca="false">IF(AND(SUM($I69)=0,SUM($O69)=0),"",SUM($O69)-$I69)</f>
        <v/>
      </c>
      <c r="S69" s="10" t="n">
        <f aca="false">IF(LEFT($B69,4)="_Mil","",_xlfn.IFNA(ROUND(INDEX(Spectrum!$N:$N,MATCH(RIGHT($B69,13)&amp;"|"&amp;$C69&amp;"|"&amp;$D69&amp;"|"&amp;S$14&amp;"|"&amp;"CY2022Q4",Spectrum!$R:$R,0)),0),""))</f>
        <v>784</v>
      </c>
      <c r="T69" s="39" t="n">
        <f aca="false">IF(LEFT($B69,4)="_Mil","",_xlfn.IFNA(ROUND(INDEX(Spectrum!$N:$N,MATCH(RIGHT($B69,13)&amp;"|"&amp;$C69&amp;"|"&amp;$D69&amp;"|"&amp;T$14&amp;"|"&amp;"CY2023Q3",Spectrum!$R:$R,0)),0),""))</f>
        <v>1737</v>
      </c>
      <c r="U69" s="39" t="str">
        <f aca="false">IF(LEFT($B69,4)="_Mil","",_xlfn.IFNA(ROUND(INDEX(Spectrum!$N:$N,MATCH(RIGHT($B69,13)&amp;"|"&amp;$C69&amp;"|"&amp;$D69&amp;"|"&amp;U$14&amp;"|"&amp;"CY2023Q3",Spectrum!$R:$R,0)),0),""))</f>
        <v/>
      </c>
      <c r="V69" s="10" t="n">
        <f aca="false">IF(LEFT($B69,4)="_Mil","",_xlfn.IFNA(ROUND(INDEX(Spectrum!$N:$N,MATCH(RIGHT($B69,13)&amp;"|"&amp;$C69&amp;"|"&amp;$D69&amp;"|"&amp;V$14&amp;"|"&amp;"CY2023Q3",Spectrum!$R:$R,0)),0),""))</f>
        <v>877</v>
      </c>
      <c r="W69" s="113" t="n">
        <f aca="false">IF(LEFT($B69,4)="_Mil","",_xlfn.IFNA(INDEX(Spectrum!$N:$N,MATCH(RIGHT($B69,13)&amp;"|"&amp;$C69&amp;"|"&amp;$D69&amp;"|"&amp;W$14&amp;"|"&amp;"CY2023Q3",Spectrum!$R:$R,0)),""))</f>
        <v>627</v>
      </c>
      <c r="X69" s="39" t="n">
        <f aca="false">IF(LEFT($B69,4)="_Mil","",_xlfn.IFNA(ROUND(INDEX(Spectrum!$N:$N,MATCH(RIGHT($B69,13)&amp;"|"&amp;$C69&amp;"|"&amp;$D69&amp;"|"&amp;X$14&amp;"|"&amp;"CY2023Q3",Spectrum!$R:$R,0)),0),""))</f>
        <v>802</v>
      </c>
      <c r="Y69" s="88" t="str">
        <f aca="false">IF(OR(SUM($U69)=0,LEFT($B69,4)="_Mil"),"",SUM($X69)/$U69)</f>
        <v/>
      </c>
      <c r="Z69" s="39" t="n">
        <f aca="false">IF(LEFT($B69,4)="_Mil","",_xlfn.IFNA(ROUND(INDEX(Spectrum!$N:$N,MATCH(RIGHT($B69,13)&amp;"|"&amp;$C69&amp;"|"&amp;$D69&amp;"|"&amp;Z$14&amp;"|"&amp;"CY2023Q3",Spectrum!$R:$R,0)),0),""))</f>
        <v>1622</v>
      </c>
      <c r="AA69" s="88" t="n">
        <f aca="false">IF(LEFT($B69,4)="_Mil","",IFERROR(1/(1/INDEX(Spectrum!$N:$N,MATCH(RIGHT($B69,13)&amp;"|"&amp;$C69&amp;"|"&amp;$D69&amp;"|"&amp;AA$14&amp;"|"&amp;"CY2023Q3",Spectrum!$R:$R,0))),IF(SUM($U69)=0,"",SUM($Z69)/$U69)))</f>
        <v>1446</v>
      </c>
      <c r="AB69" s="88" t="n">
        <f aca="false">IF(OR(LEFT($B69,4)="_Mil",SUM($X69)=0),"",SUM($Z69)/$X69)</f>
        <v>2.02244389027431</v>
      </c>
      <c r="AC69" s="10" t="n">
        <f aca="false">IF(LEFT($B69,4)="_Mil","",_xlfn.IFNA(ROUND(INDEX(Spectrum!$N:$N,MATCH(RIGHT($B69,13)&amp;"|"&amp;$C69&amp;"|"&amp;$D69&amp;"|"&amp;AC$14&amp;"|"&amp;"CY2023Q3",Spectrum!$R:$R,0)),0),""))</f>
        <v>957</v>
      </c>
      <c r="AD69" s="10" t="str">
        <f aca="false">IF(LEFT($B69,4)="_Mil","",_xlfn.IFNA(ROUND(INDEX(Spectrum!$N:$N,MATCH(RIGHT($B69,13)&amp;"|"&amp;$C69&amp;"|"&amp;$D69&amp;"|"&amp;AD$14&amp;"|"&amp;"CY2023Q3",Spectrum!$R:$R,0)),0),""))</f>
        <v/>
      </c>
      <c r="AE69" s="88" t="n">
        <f aca="false">IF(OR(LEFT($B69,4)="_Mil",SUM($Z69)=0),"",SUM($AD69)/$Z69)</f>
        <v>0</v>
      </c>
      <c r="AF69" s="39" t="str">
        <f aca="false">IF(LEFT($B69,4)="_Mil","",_xlfn.IFNA(ROUND(INDEX(Spectrum!$N:$N,MATCH(RIGHT($B69,13)&amp;"|"&amp;$C69&amp;"|"&amp;$D69&amp;"|"&amp;AF$14&amp;"|"&amp;"CY2023Q3",Spectrum!$R:$R,0)),0),""))</f>
        <v/>
      </c>
      <c r="AG69" s="88" t="str">
        <f aca="false">IF(OR(LEFT($B69,4)="_Mil",SUM($AD69)=0),"",SUM($AF69)/$AD69)</f>
        <v/>
      </c>
      <c r="AH69" s="86" t="str">
        <f aca="false">IF(LEFT($B69,4)="_Mil","",_xlfn.IFNA(INDEX(Spectrum!$N:$N,MATCH(RIGHT($B69,13)&amp;"|"&amp;$C69&amp;"|"&amp;$D69&amp;"|"&amp;AH$14&amp;"|"&amp;"CY2023Q3",Spectrum!$R:$R,0)),""))</f>
        <v/>
      </c>
      <c r="AI69" s="10" t="str">
        <f aca="false">IF(LEFT($B69,4)="_Mil","",_xlfn.IFNA(ROUND(INDEX(Spectrum!$N:$N,MATCH(RIGHT($B69,13)&amp;"|"&amp;$C69&amp;"|"&amp;$D69&amp;"|"&amp;AI$14&amp;"|"&amp;"CY2023Q3",Spectrum!$R:$R,0)),0),""))</f>
        <v/>
      </c>
      <c r="AJ69" s="39" t="n">
        <f aca="false">IF(LEFT($B69,4)="_Mil","",_xlfn.IFNA(ROUND(INDEX(Spectrum!$N:$N,MATCH(RIGHT($B69,13)&amp;"|"&amp;$C69&amp;"|"&amp;$D69&amp;"|"&amp;AI$14&amp;"|"&amp;"CY2023Q3",Spectrum!$R:$R,0)),0),SUM($U69)+SUM($AI69)))</f>
        <v>0</v>
      </c>
      <c r="AK69" s="10" t="str">
        <f aca="false">IF(LEFT($B69,4)="_Mil","",_xlfn.IFNA(ROUND(INDEX(Spectrum!$N:$N,MATCH(RIGHT($B69,13)&amp;"|"&amp;$C69&amp;"|"&amp;$D69&amp;"|"&amp;AK$14&amp;"|"&amp;"CY2023Q3",Spectrum!$R:$R,0)),0),""))</f>
        <v/>
      </c>
      <c r="AL69" s="88" t="n">
        <f aca="false">IF(OR(LEFT($B69,4)="_Mil",$C69="&lt;01"),"",MAX(SUM($AA69),90%))</f>
        <v>1446</v>
      </c>
      <c r="AM69" s="10" t="n">
        <f aca="false">IF(OR(LEFT($B69,4)="_Mil",$C69="&lt;01"),"",ROUND(SUM($AJ69)*SUM($AL69),0))</f>
        <v>0</v>
      </c>
      <c r="AN69" s="10" t="str">
        <f aca="false">IF($C69="&lt;01",ROUND(INDEX(EID!$P:$P,MATCH($B69,EID!$B:$B,0))/2,0),"")</f>
        <v/>
      </c>
      <c r="AO69" s="10" t="n">
        <f aca="false">IF($C69="&lt;01",SUM($AN69),ROUND(SUM($AM69)*SUM($O69)/IF(SUM($Z69)=0,1,$Z69),0))</f>
        <v>0</v>
      </c>
      <c r="AP69" s="39" t="n">
        <f aca="false">IF(OR($F69="",$C69="&lt;01"),$AO69,$F69)</f>
        <v>0</v>
      </c>
      <c r="AQ69" s="39" t="n">
        <f aca="false">IF(LEFT($B69,4)="_Mil","",IF(SUM($AP69)=0,SUM($Z69),IF(OR(SUM($Z69)=0,SUM($O69)=0),MAX($AP69,$Z69),$AP69*$Z69/$O69)))</f>
        <v>1622</v>
      </c>
      <c r="AR69" s="88" t="str">
        <f aca="false">IF(OR(LEFT($B69,4)="_Mil",SUM($AJ69)=0),"",SUM($AQ69)/$AJ69)</f>
        <v/>
      </c>
      <c r="AS69" s="88" t="n">
        <f aca="false">IF($C69="&lt;01","",98%)</f>
        <v>0.98</v>
      </c>
      <c r="AT69" s="88" t="n">
        <f aca="false">IF($C69="&lt;01","",98%)</f>
        <v>0.98</v>
      </c>
      <c r="AU69" s="10" t="n">
        <f aca="false">IF($C69="&lt;01","",SUM($AP69)-SUM($O69))</f>
        <v>0</v>
      </c>
      <c r="AV69" s="10" t="n">
        <f aca="false">IF($C69="&lt;01",ROUND(INDEX(EID!$N:$N,MATCH($B69,EID!$B:$B,0))/2,0),IF(SUM($AT69)=0,"",ROUND((SUM($AP69)-(SUM($O69)*SUM($AS69)))/$AT69,0)))</f>
        <v>0</v>
      </c>
      <c r="AW69" s="88" t="n">
        <f aca="false">IF($C69="&lt;01","",100%)</f>
        <v>1</v>
      </c>
      <c r="AX69" s="39" t="n">
        <f aca="false">IF($C69="&lt;01",SUM($AV69),ROUND(SUM($AV69)*SUM($AW69),0))</f>
        <v>0</v>
      </c>
      <c r="AY69" s="114" t="n">
        <f aca="false">IF($C69="&lt;01","",70%)</f>
        <v>0.7</v>
      </c>
      <c r="AZ69" s="91" t="n">
        <f aca="false">IF($C69="&lt;01",ROUND(INDEX(EID!$R:$R,MATCH($B69,EID!$B:$B,0))/2,0),ROUND(SUM($O69)+(SUM($AV69)*$AY69),0))</f>
        <v>0</v>
      </c>
      <c r="BA69" s="87" t="n">
        <f aca="false">IF($C69="&lt;01","",95%)</f>
        <v>0.95</v>
      </c>
      <c r="BB69" s="5" t="n">
        <f aca="false">IF($C69="&lt;01",ROUND(INDEX(EID!$T:$T,MATCH($B69,EID!$B:$B,0))/2,0),ROUND($AZ69*$BA69,0))</f>
        <v>0</v>
      </c>
      <c r="BC69" s="91" t="n">
        <f aca="false">IF(LEFT($B69,4)="_Mil","",IF(SUM($BB69)=0,SUM($AD69),IF(OR(SUM($AP69)=0,SUM($AQ69)=0),MAX($BB69,$AD69),ROUND($BB69*$AQ69/$AP69,0))))</f>
        <v>0</v>
      </c>
      <c r="BD69" s="88" t="n">
        <f aca="false">IF($C69="&lt;01","",95%)</f>
        <v>0.95</v>
      </c>
      <c r="BE69" s="39" t="n">
        <f aca="false">IF($C69="&lt;01",ROUND(INDEX(EID!$V:$V,MATCH($B69,EID!$B:$B,0))/2,0),ROUND($BD69*$BB69,0))</f>
        <v>0</v>
      </c>
      <c r="BF69" s="39" t="n">
        <f aca="false">IF(LEFT($B69,4)="_Mil","",IF(SUM($BE69)=0,SUM($AF69),IF(OR(SUM($AP69)=0,SUM($AQ69)=0),MAX($BE69,$AF69),ROUND($BE69*$AQ69/$AP69,0))))</f>
        <v>0</v>
      </c>
      <c r="BG69" s="114" t="n">
        <f aca="false">IF($C69="&lt;01","",95%)</f>
        <v>0.95</v>
      </c>
      <c r="BH69" s="5" t="n">
        <f aca="false">IF($C69="&lt;01",ROUND(INDEX(EID!$L:$L,MATCH($B69,EID!$B:$B,0)),0)/2,IF(SUM($BG69)=0,"",ROUND($AX69/$BG69,0)))</f>
        <v>0</v>
      </c>
    </row>
    <row r="70" customFormat="false" ht="15" hidden="false" customHeight="false" outlineLevel="0" collapsed="false">
      <c r="A70" s="0" t="str">
        <f aca="false">INDEX(Prioritization!$D:$D,MATCH($B70,Prioritization!$A:$A,0))</f>
        <v>INVALID</v>
      </c>
      <c r="B70" s="0" t="s">
        <v>197</v>
      </c>
      <c r="C70" s="0" t="s">
        <v>368</v>
      </c>
      <c r="D70" s="0" t="s">
        <v>48</v>
      </c>
      <c r="E70" s="0" t="str">
        <f aca="false">$B70&amp;"|"&amp;$C70&amp;"|"&amp;$D70</f>
        <v>Kasungu District [JQKLKuVuY61]|50+|Male</v>
      </c>
      <c r="F70" s="10"/>
      <c r="G70" s="10"/>
      <c r="H70" s="10"/>
      <c r="I70" s="10"/>
      <c r="J70" s="10"/>
      <c r="K70" s="10"/>
      <c r="L70" s="10"/>
      <c r="M70" s="10"/>
      <c r="N70" s="10"/>
      <c r="O70" s="10" t="str">
        <f aca="false">IFERROR(1/(1/MAX($I70,$N70)),"")</f>
        <v/>
      </c>
      <c r="P70" s="10"/>
      <c r="Q70" s="10"/>
      <c r="R70" s="10" t="str">
        <f aca="false">IF(AND(SUM($I70)=0,SUM($O70)=0),"",SUM($O70)-$I70)</f>
        <v/>
      </c>
      <c r="S70" s="10" t="n">
        <f aca="false">IF(LEFT($B70,4)="_Mil","",_xlfn.IFNA(ROUND(INDEX(Spectrum!$N:$N,MATCH(RIGHT($B70,13)&amp;"|"&amp;$C70&amp;"|"&amp;$D70&amp;"|"&amp;S$14&amp;"|"&amp;"CY2022Q4",Spectrum!$R:$R,0)),0),""))</f>
        <v>938</v>
      </c>
      <c r="T70" s="39" t="n">
        <f aca="false">IF(LEFT($B70,4)="_Mil","",_xlfn.IFNA(ROUND(INDEX(Spectrum!$N:$N,MATCH(RIGHT($B70,13)&amp;"|"&amp;$C70&amp;"|"&amp;$D70&amp;"|"&amp;T$14&amp;"|"&amp;"CY2023Q3",Spectrum!$R:$R,0)),0),""))</f>
        <v>963</v>
      </c>
      <c r="U70" s="39" t="str">
        <f aca="false">IF(LEFT($B70,4)="_Mil","",_xlfn.IFNA(ROUND(INDEX(Spectrum!$N:$N,MATCH(RIGHT($B70,13)&amp;"|"&amp;$C70&amp;"|"&amp;$D70&amp;"|"&amp;U$14&amp;"|"&amp;"CY2023Q3",Spectrum!$R:$R,0)),0),""))</f>
        <v/>
      </c>
      <c r="V70" s="10" t="n">
        <f aca="false">IF(LEFT($B70,4)="_Mil","",_xlfn.IFNA(ROUND(INDEX(Spectrum!$N:$N,MATCH(RIGHT($B70,13)&amp;"|"&amp;$C70&amp;"|"&amp;$D70&amp;"|"&amp;V$14&amp;"|"&amp;"CY2023Q3",Spectrum!$R:$R,0)),0),""))</f>
        <v>1523</v>
      </c>
      <c r="W70" s="113" t="n">
        <f aca="false">IF(LEFT($B70,4)="_Mil","",_xlfn.IFNA(INDEX(Spectrum!$N:$N,MATCH(RIGHT($B70,13)&amp;"|"&amp;$C70&amp;"|"&amp;$D70&amp;"|"&amp;W$14&amp;"|"&amp;"CY2023Q3",Spectrum!$R:$R,0)),""))</f>
        <v>580</v>
      </c>
      <c r="X70" s="39" t="n">
        <f aca="false">IF(LEFT($B70,4)="_Mil","",_xlfn.IFNA(ROUND(INDEX(Spectrum!$N:$N,MATCH(RIGHT($B70,13)&amp;"|"&amp;$C70&amp;"|"&amp;$D70&amp;"|"&amp;X$14&amp;"|"&amp;"CY2023Q3",Spectrum!$R:$R,0)),0),""))</f>
        <v>506</v>
      </c>
      <c r="Y70" s="88" t="str">
        <f aca="false">IF(OR(SUM($U70)=0,LEFT($B70,4)="_Mil"),"",SUM($X70)/$U70)</f>
        <v/>
      </c>
      <c r="Z70" s="39" t="n">
        <f aca="false">IF(LEFT($B70,4)="_Mil","",_xlfn.IFNA(ROUND(INDEX(Spectrum!$N:$N,MATCH(RIGHT($B70,13)&amp;"|"&amp;$C70&amp;"|"&amp;$D70&amp;"|"&amp;Z$14&amp;"|"&amp;"CY2023Q3",Spectrum!$R:$R,0)),0),""))</f>
        <v>932</v>
      </c>
      <c r="AA70" s="88" t="n">
        <f aca="false">IF(LEFT($B70,4)="_Mil","",IFERROR(1/(1/INDEX(Spectrum!$N:$N,MATCH(RIGHT($B70,13)&amp;"|"&amp;$C70&amp;"|"&amp;$D70&amp;"|"&amp;AA$14&amp;"|"&amp;"CY2023Q3",Spectrum!$R:$R,0))),IF(SUM($U70)=0,"",SUM($Z70)/$U70)))</f>
        <v>501</v>
      </c>
      <c r="AB70" s="88" t="n">
        <f aca="false">IF(OR(LEFT($B70,4)="_Mil",SUM($X70)=0),"",SUM($Z70)/$X70)</f>
        <v>1.84189723320158</v>
      </c>
      <c r="AC70" s="10" t="n">
        <f aca="false">IF(LEFT($B70,4)="_Mil","",_xlfn.IFNA(ROUND(INDEX(Spectrum!$N:$N,MATCH(RIGHT($B70,13)&amp;"|"&amp;$C70&amp;"|"&amp;$D70&amp;"|"&amp;AC$14&amp;"|"&amp;"CY2023Q3",Spectrum!$R:$R,0)),0),""))</f>
        <v>869</v>
      </c>
      <c r="AD70" s="10" t="str">
        <f aca="false">IF(LEFT($B70,4)="_Mil","",_xlfn.IFNA(ROUND(INDEX(Spectrum!$N:$N,MATCH(RIGHT($B70,13)&amp;"|"&amp;$C70&amp;"|"&amp;$D70&amp;"|"&amp;AD$14&amp;"|"&amp;"CY2023Q3",Spectrum!$R:$R,0)),0),""))</f>
        <v/>
      </c>
      <c r="AE70" s="88" t="n">
        <f aca="false">IF(OR(LEFT($B70,4)="_Mil",SUM($Z70)=0),"",SUM($AD70)/$Z70)</f>
        <v>0</v>
      </c>
      <c r="AF70" s="39" t="str">
        <f aca="false">IF(LEFT($B70,4)="_Mil","",_xlfn.IFNA(ROUND(INDEX(Spectrum!$N:$N,MATCH(RIGHT($B70,13)&amp;"|"&amp;$C70&amp;"|"&amp;$D70&amp;"|"&amp;AF$14&amp;"|"&amp;"CY2023Q3",Spectrum!$R:$R,0)),0),""))</f>
        <v/>
      </c>
      <c r="AG70" s="88" t="str">
        <f aca="false">IF(OR(LEFT($B70,4)="_Mil",SUM($AD70)=0),"",SUM($AF70)/$AD70)</f>
        <v/>
      </c>
      <c r="AH70" s="86" t="str">
        <f aca="false">IF(LEFT($B70,4)="_Mil","",_xlfn.IFNA(INDEX(Spectrum!$N:$N,MATCH(RIGHT($B70,13)&amp;"|"&amp;$C70&amp;"|"&amp;$D70&amp;"|"&amp;AH$14&amp;"|"&amp;"CY2023Q3",Spectrum!$R:$R,0)),""))</f>
        <v/>
      </c>
      <c r="AI70" s="10" t="str">
        <f aca="false">IF(LEFT($B70,4)="_Mil","",_xlfn.IFNA(ROUND(INDEX(Spectrum!$N:$N,MATCH(RIGHT($B70,13)&amp;"|"&amp;$C70&amp;"|"&amp;$D70&amp;"|"&amp;AI$14&amp;"|"&amp;"CY2023Q3",Spectrum!$R:$R,0)),0),""))</f>
        <v/>
      </c>
      <c r="AJ70" s="39" t="n">
        <f aca="false">IF(LEFT($B70,4)="_Mil","",_xlfn.IFNA(ROUND(INDEX(Spectrum!$N:$N,MATCH(RIGHT($B70,13)&amp;"|"&amp;$C70&amp;"|"&amp;$D70&amp;"|"&amp;AI$14&amp;"|"&amp;"CY2023Q3",Spectrum!$R:$R,0)),0),SUM($U70)+SUM($AI70)))</f>
        <v>0</v>
      </c>
      <c r="AK70" s="10" t="str">
        <f aca="false">IF(LEFT($B70,4)="_Mil","",_xlfn.IFNA(ROUND(INDEX(Spectrum!$N:$N,MATCH(RIGHT($B70,13)&amp;"|"&amp;$C70&amp;"|"&amp;$D70&amp;"|"&amp;AK$14&amp;"|"&amp;"CY2023Q3",Spectrum!$R:$R,0)),0),""))</f>
        <v/>
      </c>
      <c r="AL70" s="88" t="n">
        <f aca="false">IF(OR(LEFT($B70,4)="_Mil",$C70="&lt;01"),"",MAX(SUM($AA70),90%))</f>
        <v>501</v>
      </c>
      <c r="AM70" s="10" t="n">
        <f aca="false">IF(OR(LEFT($B70,4)="_Mil",$C70="&lt;01"),"",ROUND(SUM($AJ70)*SUM($AL70),0))</f>
        <v>0</v>
      </c>
      <c r="AN70" s="10" t="str">
        <f aca="false">IF($C70="&lt;01",ROUND(INDEX(EID!$P:$P,MATCH($B70,EID!$B:$B,0))/2,0),"")</f>
        <v/>
      </c>
      <c r="AO70" s="10" t="n">
        <f aca="false">IF($C70="&lt;01",SUM($AN70),ROUND(SUM($AM70)*SUM($O70)/IF(SUM($Z70)=0,1,$Z70),0))</f>
        <v>0</v>
      </c>
      <c r="AP70" s="39" t="n">
        <f aca="false">IF(OR($F70="",$C70="&lt;01"),$AO70,$F70)</f>
        <v>0</v>
      </c>
      <c r="AQ70" s="39" t="n">
        <f aca="false">IF(LEFT($B70,4)="_Mil","",IF(SUM($AP70)=0,SUM($Z70),IF(OR(SUM($Z70)=0,SUM($O70)=0),MAX($AP70,$Z70),$AP70*$Z70/$O70)))</f>
        <v>932</v>
      </c>
      <c r="AR70" s="88" t="str">
        <f aca="false">IF(OR(LEFT($B70,4)="_Mil",SUM($AJ70)=0),"",SUM($AQ70)/$AJ70)</f>
        <v/>
      </c>
      <c r="AS70" s="88" t="n">
        <f aca="false">IF($C70="&lt;01","",98%)</f>
        <v>0.98</v>
      </c>
      <c r="AT70" s="88" t="n">
        <f aca="false">IF($C70="&lt;01","",98%)</f>
        <v>0.98</v>
      </c>
      <c r="AU70" s="10" t="n">
        <f aca="false">IF($C70="&lt;01","",SUM($AP70)-SUM($O70))</f>
        <v>0</v>
      </c>
      <c r="AV70" s="10" t="n">
        <f aca="false">IF($C70="&lt;01",ROUND(INDEX(EID!$N:$N,MATCH($B70,EID!$B:$B,0))/2,0),IF(SUM($AT70)=0,"",ROUND((SUM($AP70)-(SUM($O70)*SUM($AS70)))/$AT70,0)))</f>
        <v>0</v>
      </c>
      <c r="AW70" s="88" t="n">
        <f aca="false">IF($C70="&lt;01","",100%)</f>
        <v>1</v>
      </c>
      <c r="AX70" s="39" t="n">
        <f aca="false">IF($C70="&lt;01",SUM($AV70),ROUND(SUM($AV70)*SUM($AW70),0))</f>
        <v>0</v>
      </c>
      <c r="AY70" s="114" t="n">
        <f aca="false">IF($C70="&lt;01","",70%)</f>
        <v>0.7</v>
      </c>
      <c r="AZ70" s="91" t="n">
        <f aca="false">IF($C70="&lt;01",ROUND(INDEX(EID!$R:$R,MATCH($B70,EID!$B:$B,0))/2,0),ROUND(SUM($O70)+(SUM($AV70)*$AY70),0))</f>
        <v>0</v>
      </c>
      <c r="BA70" s="87" t="n">
        <f aca="false">IF($C70="&lt;01","",95%)</f>
        <v>0.95</v>
      </c>
      <c r="BB70" s="5" t="n">
        <f aca="false">IF($C70="&lt;01",ROUND(INDEX(EID!$T:$T,MATCH($B70,EID!$B:$B,0))/2,0),ROUND($AZ70*$BA70,0))</f>
        <v>0</v>
      </c>
      <c r="BC70" s="91" t="n">
        <f aca="false">IF(LEFT($B70,4)="_Mil","",IF(SUM($BB70)=0,SUM($AD70),IF(OR(SUM($AP70)=0,SUM($AQ70)=0),MAX($BB70,$AD70),ROUND($BB70*$AQ70/$AP70,0))))</f>
        <v>0</v>
      </c>
      <c r="BD70" s="88" t="n">
        <f aca="false">IF($C70="&lt;01","",95%)</f>
        <v>0.95</v>
      </c>
      <c r="BE70" s="39" t="n">
        <f aca="false">IF($C70="&lt;01",ROUND(INDEX(EID!$V:$V,MATCH($B70,EID!$B:$B,0))/2,0),ROUND($BD70*$BB70,0))</f>
        <v>0</v>
      </c>
      <c r="BF70" s="39" t="n">
        <f aca="false">IF(LEFT($B70,4)="_Mil","",IF(SUM($BE70)=0,SUM($AF70),IF(OR(SUM($AP70)=0,SUM($AQ70)=0),MAX($BE70,$AF70),ROUND($BE70*$AQ70/$AP70,0))))</f>
        <v>0</v>
      </c>
      <c r="BG70" s="114" t="n">
        <f aca="false">IF($C70="&lt;01","",95%)</f>
        <v>0.95</v>
      </c>
      <c r="BH70" s="5" t="n">
        <f aca="false">IF($C70="&lt;01",ROUND(INDEX(EID!$L:$L,MATCH($B70,EID!$B:$B,0)),0)/2,IF(SUM($BG70)=0,"",ROUND($AX70/$BG70,0)))</f>
        <v>0</v>
      </c>
    </row>
    <row r="71" customFormat="false" ht="15" hidden="false" customHeight="false" outlineLevel="0" collapsed="false">
      <c r="A71" s="0" t="str">
        <f aca="false">INDEX(Prioritization!$D:$D,MATCH($B71,Prioritization!$A:$A,0))</f>
        <v>1 - Scale-up: Saturation</v>
      </c>
      <c r="B71" s="0" t="s">
        <v>198</v>
      </c>
      <c r="C71" s="0" t="s">
        <v>316</v>
      </c>
      <c r="D71" s="0" t="s">
        <v>30</v>
      </c>
      <c r="E71" s="0" t="str">
        <f aca="false">$B71&amp;"|"&amp;$C71&amp;"|"&amp;$D71</f>
        <v>Lilongwe District [ScR9iFKAasW]|&lt;01|Female</v>
      </c>
      <c r="F71" s="10"/>
      <c r="G71" s="10" t="n">
        <v>30</v>
      </c>
      <c r="H71" s="10" t="n">
        <v>2</v>
      </c>
      <c r="I71" s="10" t="n">
        <v>2</v>
      </c>
      <c r="J71" s="10" t="n">
        <v>83</v>
      </c>
      <c r="K71" s="10" t="n">
        <v>91</v>
      </c>
      <c r="L71" s="10"/>
      <c r="M71" s="10" t="n">
        <v>3</v>
      </c>
      <c r="N71" s="10" t="n">
        <v>8</v>
      </c>
      <c r="O71" s="10" t="n">
        <f aca="false">IFERROR(1/(1/MAX($I71,$N71)),"")</f>
        <v>8</v>
      </c>
      <c r="P71" s="10" t="n">
        <v>1</v>
      </c>
      <c r="Q71" s="10" t="n">
        <v>3</v>
      </c>
      <c r="R71" s="10" t="n">
        <f aca="false">IF(AND(SUM($I71)=0,SUM($O71)=0),"",SUM($O71)-$I71)</f>
        <v>6</v>
      </c>
      <c r="S71" s="10" t="n">
        <f aca="false">IF(LEFT($B71,4)="_Mil","",_xlfn.IFNA(ROUND(INDEX(Spectrum!$N:$N,MATCH(RIGHT($B71,13)&amp;"|"&amp;$C71&amp;"|"&amp;$D71&amp;"|"&amp;S$14&amp;"|"&amp;"CY2022Q4",Spectrum!$R:$R,0)),0),""))</f>
        <v>1063</v>
      </c>
      <c r="T71" s="39" t="n">
        <f aca="false">IF(LEFT($B71,4)="_Mil","",_xlfn.IFNA(ROUND(INDEX(Spectrum!$N:$N,MATCH(RIGHT($B71,13)&amp;"|"&amp;$C71&amp;"|"&amp;$D71&amp;"|"&amp;T$14&amp;"|"&amp;"CY2023Q3",Spectrum!$R:$R,0)),0),""))</f>
        <v>551</v>
      </c>
      <c r="U71" s="39" t="str">
        <f aca="false">IF(LEFT($B71,4)="_Mil","",_xlfn.IFNA(ROUND(INDEX(Spectrum!$N:$N,MATCH(RIGHT($B71,13)&amp;"|"&amp;$C71&amp;"|"&amp;$D71&amp;"|"&amp;U$14&amp;"|"&amp;"CY2023Q3",Spectrum!$R:$R,0)),0),""))</f>
        <v/>
      </c>
      <c r="V71" s="10" t="n">
        <f aca="false">IF(LEFT($B71,4)="_Mil","",_xlfn.IFNA(ROUND(INDEX(Spectrum!$N:$N,MATCH(RIGHT($B71,13)&amp;"|"&amp;$C71&amp;"|"&amp;$D71&amp;"|"&amp;V$14&amp;"|"&amp;"CY2023Q3",Spectrum!$R:$R,0)),0),""))</f>
        <v>1208</v>
      </c>
      <c r="W71" s="113" t="n">
        <f aca="false">IF(LEFT($B71,4)="_Mil","",_xlfn.IFNA(INDEX(Spectrum!$N:$N,MATCH(RIGHT($B71,13)&amp;"|"&amp;$C71&amp;"|"&amp;$D71&amp;"|"&amp;W$14&amp;"|"&amp;"CY2023Q3",Spectrum!$R:$R,0)),""))</f>
        <v>1042</v>
      </c>
      <c r="X71" s="39" t="n">
        <f aca="false">IF(LEFT($B71,4)="_Mil","",_xlfn.IFNA(ROUND(INDEX(Spectrum!$N:$N,MATCH(RIGHT($B71,13)&amp;"|"&amp;$C71&amp;"|"&amp;$D71&amp;"|"&amp;X$14&amp;"|"&amp;"CY2023Q3",Spectrum!$R:$R,0)),0),""))</f>
        <v>1479</v>
      </c>
      <c r="Y71" s="88" t="str">
        <f aca="false">IF(OR(SUM($U71)=0,LEFT($B71,4)="_Mil"),"",SUM($X71)/$U71)</f>
        <v/>
      </c>
      <c r="Z71" s="39" t="n">
        <f aca="false">IF(LEFT($B71,4)="_Mil","",_xlfn.IFNA(ROUND(INDEX(Spectrum!$N:$N,MATCH(RIGHT($B71,13)&amp;"|"&amp;$C71&amp;"|"&amp;$D71&amp;"|"&amp;Z$14&amp;"|"&amp;"CY2023Q3",Spectrum!$R:$R,0)),0),""))</f>
        <v>1384</v>
      </c>
      <c r="AA71" s="88" t="n">
        <f aca="false">IF(LEFT($B71,4)="_Mil","",IFERROR(1/(1/INDEX(Spectrum!$N:$N,MATCH(RIGHT($B71,13)&amp;"|"&amp;$C71&amp;"|"&amp;$D71&amp;"|"&amp;AA$14&amp;"|"&amp;"CY2023Q3",Spectrum!$R:$R,0))),IF(SUM($U71)=0,"",SUM($Z71)/$U71)))</f>
        <v>1087</v>
      </c>
      <c r="AB71" s="88" t="n">
        <f aca="false">IF(OR(LEFT($B71,4)="_Mil",SUM($X71)=0),"",SUM($Z71)/$X71)</f>
        <v>0.935767410412441</v>
      </c>
      <c r="AC71" s="10" t="n">
        <f aca="false">IF(LEFT($B71,4)="_Mil","",_xlfn.IFNA(ROUND(INDEX(Spectrum!$N:$N,MATCH(RIGHT($B71,13)&amp;"|"&amp;$C71&amp;"|"&amp;$D71&amp;"|"&amp;AC$14&amp;"|"&amp;"CY2023Q3",Spectrum!$R:$R,0)),0),""))</f>
        <v>1059</v>
      </c>
      <c r="AD71" s="10" t="str">
        <f aca="false">IF(LEFT($B71,4)="_Mil","",_xlfn.IFNA(ROUND(INDEX(Spectrum!$N:$N,MATCH(RIGHT($B71,13)&amp;"|"&amp;$C71&amp;"|"&amp;$D71&amp;"|"&amp;AD$14&amp;"|"&amp;"CY2023Q3",Spectrum!$R:$R,0)),0),""))</f>
        <v/>
      </c>
      <c r="AE71" s="88" t="n">
        <f aca="false">IF(OR(LEFT($B71,4)="_Mil",SUM($Z71)=0),"",SUM($AD71)/$Z71)</f>
        <v>0</v>
      </c>
      <c r="AF71" s="39" t="str">
        <f aca="false">IF(LEFT($B71,4)="_Mil","",_xlfn.IFNA(ROUND(INDEX(Spectrum!$N:$N,MATCH(RIGHT($B71,13)&amp;"|"&amp;$C71&amp;"|"&amp;$D71&amp;"|"&amp;AF$14&amp;"|"&amp;"CY2023Q3",Spectrum!$R:$R,0)),0),""))</f>
        <v/>
      </c>
      <c r="AG71" s="88" t="str">
        <f aca="false">IF(OR(LEFT($B71,4)="_Mil",SUM($AD71)=0),"",SUM($AF71)/$AD71)</f>
        <v/>
      </c>
      <c r="AH71" s="86" t="str">
        <f aca="false">IF(LEFT($B71,4)="_Mil","",_xlfn.IFNA(INDEX(Spectrum!$N:$N,MATCH(RIGHT($B71,13)&amp;"|"&amp;$C71&amp;"|"&amp;$D71&amp;"|"&amp;AH$14&amp;"|"&amp;"CY2023Q3",Spectrum!$R:$R,0)),""))</f>
        <v/>
      </c>
      <c r="AI71" s="10" t="str">
        <f aca="false">IF(LEFT($B71,4)="_Mil","",_xlfn.IFNA(ROUND(INDEX(Spectrum!$N:$N,MATCH(RIGHT($B71,13)&amp;"|"&amp;$C71&amp;"|"&amp;$D71&amp;"|"&amp;AI$14&amp;"|"&amp;"CY2023Q3",Spectrum!$R:$R,0)),0),""))</f>
        <v/>
      </c>
      <c r="AJ71" s="39" t="n">
        <f aca="false">IF(LEFT($B71,4)="_Mil","",_xlfn.IFNA(ROUND(INDEX(Spectrum!$N:$N,MATCH(RIGHT($B71,13)&amp;"|"&amp;$C71&amp;"|"&amp;$D71&amp;"|"&amp;AI$14&amp;"|"&amp;"CY2023Q3",Spectrum!$R:$R,0)),0),SUM($U71)+SUM($AI71)))</f>
        <v>0</v>
      </c>
      <c r="AK71" s="10" t="str">
        <f aca="false">IF(LEFT($B71,4)="_Mil","",_xlfn.IFNA(ROUND(INDEX(Spectrum!$N:$N,MATCH(RIGHT($B71,13)&amp;"|"&amp;$C71&amp;"|"&amp;$D71&amp;"|"&amp;AK$14&amp;"|"&amp;"CY2023Q3",Spectrum!$R:$R,0)),0),""))</f>
        <v/>
      </c>
      <c r="AL71" s="88" t="str">
        <f aca="false">IF(OR(LEFT($B71,4)="_Mil",$C71="&lt;01"),"",MAX(SUM($AA71),90%))</f>
        <v/>
      </c>
      <c r="AM71" s="10" t="str">
        <f aca="false">IF(OR(LEFT($B71,4)="_Mil",$C71="&lt;01"),"",ROUND(SUM($AJ71)*SUM($AL71),0))</f>
        <v/>
      </c>
      <c r="AN71" s="10" t="n">
        <f aca="false">IF($C71="&lt;01",ROUND(INDEX(EID!$P:$P,MATCH($B71,EID!$B:$B,0))/2,0),"")</f>
        <v>6</v>
      </c>
      <c r="AO71" s="10" t="n">
        <f aca="false">IF($C71="&lt;01",SUM($AN71),ROUND(SUM($AM71)*SUM($O71)/IF(SUM($Z71)=0,1,$Z71),0))</f>
        <v>6</v>
      </c>
      <c r="AP71" s="39" t="n">
        <f aca="false">IF(OR($F71="",$C71="&lt;01"),$AO71,$F71)</f>
        <v>6</v>
      </c>
      <c r="AQ71" s="39" t="n">
        <f aca="false">IF(LEFT($B71,4)="_Mil","",IF(SUM($AP71)=0,SUM($Z71),IF(OR(SUM($Z71)=0,SUM($O71)=0),MAX($AP71,$Z71),$AP71*$Z71/$O71)))</f>
        <v>1038</v>
      </c>
      <c r="AR71" s="88" t="str">
        <f aca="false">IF(OR(LEFT($B71,4)="_Mil",SUM($AJ71)=0),"",SUM($AQ71)/$AJ71)</f>
        <v/>
      </c>
      <c r="AS71" s="88" t="str">
        <f aca="false">IF($C71="&lt;01","",98%)</f>
        <v/>
      </c>
      <c r="AT71" s="88" t="str">
        <f aca="false">IF($C71="&lt;01","",98%)</f>
        <v/>
      </c>
      <c r="AU71" s="10" t="str">
        <f aca="false">IF($C71="&lt;01","",SUM($AP71)-SUM($O71))</f>
        <v/>
      </c>
      <c r="AV71" s="10" t="n">
        <f aca="false">IF($C71="&lt;01",ROUND(INDEX(EID!$N:$N,MATCH($B71,EID!$B:$B,0))/2,0),IF(SUM($AT71)=0,"",ROUND((SUM($AP71)-(SUM($O71)*SUM($AS71)))/$AT71,0)))</f>
        <v>6</v>
      </c>
      <c r="AW71" s="88" t="str">
        <f aca="false">IF($C71="&lt;01","",100%)</f>
        <v/>
      </c>
      <c r="AX71" s="39" t="n">
        <f aca="false">IF($C71="&lt;01",SUM($AV71),ROUND(SUM($AV71)*SUM($AW71),0))</f>
        <v>6</v>
      </c>
      <c r="AY71" s="114" t="str">
        <f aca="false">IF($C71="&lt;01","",70%)</f>
        <v/>
      </c>
      <c r="AZ71" s="91" t="n">
        <f aca="false">IF($C71="&lt;01",ROUND(INDEX(EID!$R:$R,MATCH($B71,EID!$B:$B,0))/2,0),ROUND(SUM($O71)+(SUM($AV71)*$AY71),0))</f>
        <v>4</v>
      </c>
      <c r="BA71" s="87" t="str">
        <f aca="false">IF($C71="&lt;01","",95%)</f>
        <v/>
      </c>
      <c r="BB71" s="5" t="n">
        <f aca="false">IF($C71="&lt;01",ROUND(INDEX(EID!$T:$T,MATCH($B71,EID!$B:$B,0))/2,0),ROUND($AZ71*$BA71,0))</f>
        <v>4</v>
      </c>
      <c r="BC71" s="91" t="n">
        <f aca="false">IF(LEFT($B71,4)="_Mil","",IF(SUM($BB71)=0,SUM($AD71),IF(OR(SUM($AP71)=0,SUM($AQ71)=0),MAX($BB71,$AD71),ROUND($BB71*$AQ71/$AP71,0))))</f>
        <v>692</v>
      </c>
      <c r="BD71" s="88" t="str">
        <f aca="false">IF($C71="&lt;01","",95%)</f>
        <v/>
      </c>
      <c r="BE71" s="39" t="n">
        <f aca="false">IF($C71="&lt;01",ROUND(INDEX(EID!$V:$V,MATCH($B71,EID!$B:$B,0))/2,0),ROUND($BD71*$BB71,0))</f>
        <v>4</v>
      </c>
      <c r="BF71" s="39" t="n">
        <f aca="false">IF(LEFT($B71,4)="_Mil","",IF(SUM($BE71)=0,SUM($AF71),IF(OR(SUM($AP71)=0,SUM($AQ71)=0),MAX($BE71,$AF71),ROUND($BE71*$AQ71/$AP71,0))))</f>
        <v>692</v>
      </c>
      <c r="BG71" s="114" t="str">
        <f aca="false">IF($C71="&lt;01","",95%)</f>
        <v/>
      </c>
      <c r="BH71" s="5" t="n">
        <f aca="false">IF($C71="&lt;01",ROUND(INDEX(EID!$L:$L,MATCH($B71,EID!$B:$B,0)),0)/2,IF(SUM($BG71)=0,"",ROUND($AX71/$BG71,0)))</f>
        <v>6.5</v>
      </c>
    </row>
    <row r="72" customFormat="false" ht="15" hidden="false" customHeight="false" outlineLevel="0" collapsed="false">
      <c r="A72" s="0" t="str">
        <f aca="false">INDEX(Prioritization!$D:$D,MATCH($B72,Prioritization!$A:$A,0))</f>
        <v>1 - Scale-up: Saturation</v>
      </c>
      <c r="B72" s="0" t="s">
        <v>198</v>
      </c>
      <c r="C72" s="0" t="s">
        <v>316</v>
      </c>
      <c r="D72" s="0" t="s">
        <v>48</v>
      </c>
      <c r="E72" s="0" t="str">
        <f aca="false">$B72&amp;"|"&amp;$C72&amp;"|"&amp;$D72</f>
        <v>Lilongwe District [ScR9iFKAasW]|&lt;01|Male</v>
      </c>
      <c r="F72" s="10"/>
      <c r="G72" s="10" t="n">
        <v>73</v>
      </c>
      <c r="H72" s="10" t="n">
        <v>6</v>
      </c>
      <c r="I72" s="10" t="n">
        <v>5</v>
      </c>
      <c r="J72" s="10" t="n">
        <v>74</v>
      </c>
      <c r="K72" s="10" t="n">
        <v>2</v>
      </c>
      <c r="L72" s="10"/>
      <c r="M72" s="10" t="n">
        <v>2</v>
      </c>
      <c r="N72" s="10" t="n">
        <v>6</v>
      </c>
      <c r="O72" s="10" t="n">
        <f aca="false">IFERROR(1/(1/MAX($I72,$N72)),"")</f>
        <v>6</v>
      </c>
      <c r="P72" s="10" t="n">
        <v>2</v>
      </c>
      <c r="Q72" s="10" t="n">
        <v>3</v>
      </c>
      <c r="R72" s="10" t="n">
        <f aca="false">IF(AND(SUM($I72)=0,SUM($O72)=0),"",SUM($O72)-$I72)</f>
        <v>1</v>
      </c>
      <c r="S72" s="10" t="n">
        <f aca="false">IF(LEFT($B72,4)="_Mil","",_xlfn.IFNA(ROUND(INDEX(Spectrum!$N:$N,MATCH(RIGHT($B72,13)&amp;"|"&amp;$C72&amp;"|"&amp;$D72&amp;"|"&amp;S$14&amp;"|"&amp;"CY2022Q4",Spectrum!$R:$R,0)),0),""))</f>
        <v>760</v>
      </c>
      <c r="T72" s="39" t="n">
        <f aca="false">IF(LEFT($B72,4)="_Mil","",_xlfn.IFNA(ROUND(INDEX(Spectrum!$N:$N,MATCH(RIGHT($B72,13)&amp;"|"&amp;$C72&amp;"|"&amp;$D72&amp;"|"&amp;T$14&amp;"|"&amp;"CY2023Q3",Spectrum!$R:$R,0)),0),""))</f>
        <v>676</v>
      </c>
      <c r="U72" s="39" t="str">
        <f aca="false">IF(LEFT($B72,4)="_Mil","",_xlfn.IFNA(ROUND(INDEX(Spectrum!$N:$N,MATCH(RIGHT($B72,13)&amp;"|"&amp;$C72&amp;"|"&amp;$D72&amp;"|"&amp;U$14&amp;"|"&amp;"CY2023Q3",Spectrum!$R:$R,0)),0),""))</f>
        <v/>
      </c>
      <c r="V72" s="10" t="n">
        <f aca="false">IF(LEFT($B72,4)="_Mil","",_xlfn.IFNA(ROUND(INDEX(Spectrum!$N:$N,MATCH(RIGHT($B72,13)&amp;"|"&amp;$C72&amp;"|"&amp;$D72&amp;"|"&amp;V$14&amp;"|"&amp;"CY2023Q3",Spectrum!$R:$R,0)),0),""))</f>
        <v>713</v>
      </c>
      <c r="W72" s="113" t="n">
        <f aca="false">IF(LEFT($B72,4)="_Mil","",_xlfn.IFNA(INDEX(Spectrum!$N:$N,MATCH(RIGHT($B72,13)&amp;"|"&amp;$C72&amp;"|"&amp;$D72&amp;"|"&amp;W$14&amp;"|"&amp;"CY2023Q3",Spectrum!$R:$R,0)),""))</f>
        <v>690</v>
      </c>
      <c r="X72" s="39" t="n">
        <f aca="false">IF(LEFT($B72,4)="_Mil","",_xlfn.IFNA(ROUND(INDEX(Spectrum!$N:$N,MATCH(RIGHT($B72,13)&amp;"|"&amp;$C72&amp;"|"&amp;$D72&amp;"|"&amp;X$14&amp;"|"&amp;"CY2023Q3",Spectrum!$R:$R,0)),0),""))</f>
        <v>706</v>
      </c>
      <c r="Y72" s="88" t="str">
        <f aca="false">IF(OR(SUM($U72)=0,LEFT($B72,4)="_Mil"),"",SUM($X72)/$U72)</f>
        <v/>
      </c>
      <c r="Z72" s="39" t="n">
        <f aca="false">IF(LEFT($B72,4)="_Mil","",_xlfn.IFNA(ROUND(INDEX(Spectrum!$N:$N,MATCH(RIGHT($B72,13)&amp;"|"&amp;$C72&amp;"|"&amp;$D72&amp;"|"&amp;Z$14&amp;"|"&amp;"CY2023Q3",Spectrum!$R:$R,0)),0),""))</f>
        <v>1782</v>
      </c>
      <c r="AA72" s="88" t="n">
        <f aca="false">IF(LEFT($B72,4)="_Mil","",IFERROR(1/(1/INDEX(Spectrum!$N:$N,MATCH(RIGHT($B72,13)&amp;"|"&amp;$C72&amp;"|"&amp;$D72&amp;"|"&amp;AA$14&amp;"|"&amp;"CY2023Q3",Spectrum!$R:$R,0))),IF(SUM($U72)=0,"",SUM($Z72)/$U72)))</f>
        <v>1798</v>
      </c>
      <c r="AB72" s="88" t="n">
        <f aca="false">IF(OR(LEFT($B72,4)="_Mil",SUM($X72)=0),"",SUM($Z72)/$X72)</f>
        <v>2.52407932011331</v>
      </c>
      <c r="AC72" s="10" t="n">
        <f aca="false">IF(LEFT($B72,4)="_Mil","",_xlfn.IFNA(ROUND(INDEX(Spectrum!$N:$N,MATCH(RIGHT($B72,13)&amp;"|"&amp;$C72&amp;"|"&amp;$D72&amp;"|"&amp;AC$14&amp;"|"&amp;"CY2023Q3",Spectrum!$R:$R,0)),0),""))</f>
        <v>1560</v>
      </c>
      <c r="AD72" s="10" t="str">
        <f aca="false">IF(LEFT($B72,4)="_Mil","",_xlfn.IFNA(ROUND(INDEX(Spectrum!$N:$N,MATCH(RIGHT($B72,13)&amp;"|"&amp;$C72&amp;"|"&amp;$D72&amp;"|"&amp;AD$14&amp;"|"&amp;"CY2023Q3",Spectrum!$R:$R,0)),0),""))</f>
        <v/>
      </c>
      <c r="AE72" s="88" t="n">
        <f aca="false">IF(OR(LEFT($B72,4)="_Mil",SUM($Z72)=0),"",SUM($AD72)/$Z72)</f>
        <v>0</v>
      </c>
      <c r="AF72" s="39" t="str">
        <f aca="false">IF(LEFT($B72,4)="_Mil","",_xlfn.IFNA(ROUND(INDEX(Spectrum!$N:$N,MATCH(RIGHT($B72,13)&amp;"|"&amp;$C72&amp;"|"&amp;$D72&amp;"|"&amp;AF$14&amp;"|"&amp;"CY2023Q3",Spectrum!$R:$R,0)),0),""))</f>
        <v/>
      </c>
      <c r="AG72" s="88" t="str">
        <f aca="false">IF(OR(LEFT($B72,4)="_Mil",SUM($AD72)=0),"",SUM($AF72)/$AD72)</f>
        <v/>
      </c>
      <c r="AH72" s="86" t="str">
        <f aca="false">IF(LEFT($B72,4)="_Mil","",_xlfn.IFNA(INDEX(Spectrum!$N:$N,MATCH(RIGHT($B72,13)&amp;"|"&amp;$C72&amp;"|"&amp;$D72&amp;"|"&amp;AH$14&amp;"|"&amp;"CY2023Q3",Spectrum!$R:$R,0)),""))</f>
        <v/>
      </c>
      <c r="AI72" s="10" t="str">
        <f aca="false">IF(LEFT($B72,4)="_Mil","",_xlfn.IFNA(ROUND(INDEX(Spectrum!$N:$N,MATCH(RIGHT($B72,13)&amp;"|"&amp;$C72&amp;"|"&amp;$D72&amp;"|"&amp;AI$14&amp;"|"&amp;"CY2023Q3",Spectrum!$R:$R,0)),0),""))</f>
        <v/>
      </c>
      <c r="AJ72" s="39" t="n">
        <f aca="false">IF(LEFT($B72,4)="_Mil","",_xlfn.IFNA(ROUND(INDEX(Spectrum!$N:$N,MATCH(RIGHT($B72,13)&amp;"|"&amp;$C72&amp;"|"&amp;$D72&amp;"|"&amp;AI$14&amp;"|"&amp;"CY2023Q3",Spectrum!$R:$R,0)),0),SUM($U72)+SUM($AI72)))</f>
        <v>0</v>
      </c>
      <c r="AK72" s="10" t="str">
        <f aca="false">IF(LEFT($B72,4)="_Mil","",_xlfn.IFNA(ROUND(INDEX(Spectrum!$N:$N,MATCH(RIGHT($B72,13)&amp;"|"&amp;$C72&amp;"|"&amp;$D72&amp;"|"&amp;AK$14&amp;"|"&amp;"CY2023Q3",Spectrum!$R:$R,0)),0),""))</f>
        <v/>
      </c>
      <c r="AL72" s="88" t="str">
        <f aca="false">IF(OR(LEFT($B72,4)="_Mil",$C72="&lt;01"),"",MAX(SUM($AA72),90%))</f>
        <v/>
      </c>
      <c r="AM72" s="10" t="str">
        <f aca="false">IF(OR(LEFT($B72,4)="_Mil",$C72="&lt;01"),"",ROUND(SUM($AJ72)*SUM($AL72),0))</f>
        <v/>
      </c>
      <c r="AN72" s="10" t="n">
        <f aca="false">IF($C72="&lt;01",ROUND(INDEX(EID!$P:$P,MATCH($B72,EID!$B:$B,0))/2,0),"")</f>
        <v>6</v>
      </c>
      <c r="AO72" s="10" t="n">
        <f aca="false">IF($C72="&lt;01",SUM($AN72),ROUND(SUM($AM72)*SUM($O72)/IF(SUM($Z72)=0,1,$Z72),0))</f>
        <v>6</v>
      </c>
      <c r="AP72" s="39" t="n">
        <f aca="false">IF(OR($F72="",$C72="&lt;01"),$AO72,$F72)</f>
        <v>6</v>
      </c>
      <c r="AQ72" s="39" t="n">
        <f aca="false">IF(LEFT($B72,4)="_Mil","",IF(SUM($AP72)=0,SUM($Z72),IF(OR(SUM($Z72)=0,SUM($O72)=0),MAX($AP72,$Z72),$AP72*$Z72/$O72)))</f>
        <v>1782</v>
      </c>
      <c r="AR72" s="88" t="str">
        <f aca="false">IF(OR(LEFT($B72,4)="_Mil",SUM($AJ72)=0),"",SUM($AQ72)/$AJ72)</f>
        <v/>
      </c>
      <c r="AS72" s="88" t="str">
        <f aca="false">IF($C72="&lt;01","",98%)</f>
        <v/>
      </c>
      <c r="AT72" s="88" t="str">
        <f aca="false">IF($C72="&lt;01","",98%)</f>
        <v/>
      </c>
      <c r="AU72" s="10" t="str">
        <f aca="false">IF($C72="&lt;01","",SUM($AP72)-SUM($O72))</f>
        <v/>
      </c>
      <c r="AV72" s="10" t="n">
        <f aca="false">IF($C72="&lt;01",ROUND(INDEX(EID!$N:$N,MATCH($B72,EID!$B:$B,0))/2,0),IF(SUM($AT72)=0,"",ROUND((SUM($AP72)-(SUM($O72)*SUM($AS72)))/$AT72,0)))</f>
        <v>6</v>
      </c>
      <c r="AW72" s="88" t="str">
        <f aca="false">IF($C72="&lt;01","",100%)</f>
        <v/>
      </c>
      <c r="AX72" s="39" t="n">
        <f aca="false">IF($C72="&lt;01",SUM($AV72),ROUND(SUM($AV72)*SUM($AW72),0))</f>
        <v>6</v>
      </c>
      <c r="AY72" s="114" t="str">
        <f aca="false">IF($C72="&lt;01","",70%)</f>
        <v/>
      </c>
      <c r="AZ72" s="91" t="n">
        <f aca="false">IF($C72="&lt;01",ROUND(INDEX(EID!$R:$R,MATCH($B72,EID!$B:$B,0))/2,0),ROUND(SUM($O72)+(SUM($AV72)*$AY72),0))</f>
        <v>4</v>
      </c>
      <c r="BA72" s="87" t="str">
        <f aca="false">IF($C72="&lt;01","",95%)</f>
        <v/>
      </c>
      <c r="BB72" s="5" t="n">
        <f aca="false">IF($C72="&lt;01",ROUND(INDEX(EID!$T:$T,MATCH($B72,EID!$B:$B,0))/2,0),ROUND($AZ72*$BA72,0))</f>
        <v>4</v>
      </c>
      <c r="BC72" s="91" t="n">
        <f aca="false">IF(LEFT($B72,4)="_Mil","",IF(SUM($BB72)=0,SUM($AD72),IF(OR(SUM($AP72)=0,SUM($AQ72)=0),MAX($BB72,$AD72),ROUND($BB72*$AQ72/$AP72,0))))</f>
        <v>1188</v>
      </c>
      <c r="BD72" s="88" t="str">
        <f aca="false">IF($C72="&lt;01","",95%)</f>
        <v/>
      </c>
      <c r="BE72" s="39" t="n">
        <f aca="false">IF($C72="&lt;01",ROUND(INDEX(EID!$V:$V,MATCH($B72,EID!$B:$B,0))/2,0),ROUND($BD72*$BB72,0))</f>
        <v>4</v>
      </c>
      <c r="BF72" s="39" t="n">
        <f aca="false">IF(LEFT($B72,4)="_Mil","",IF(SUM($BE72)=0,SUM($AF72),IF(OR(SUM($AP72)=0,SUM($AQ72)=0),MAX($BE72,$AF72),ROUND($BE72*$AQ72/$AP72,0))))</f>
        <v>1188</v>
      </c>
      <c r="BG72" s="114" t="str">
        <f aca="false">IF($C72="&lt;01","",95%)</f>
        <v/>
      </c>
      <c r="BH72" s="5" t="n">
        <f aca="false">IF($C72="&lt;01",ROUND(INDEX(EID!$L:$L,MATCH($B72,EID!$B:$B,0)),0)/2,IF(SUM($BG72)=0,"",ROUND($AX72/$BG72,0)))</f>
        <v>6.5</v>
      </c>
    </row>
    <row r="73" customFormat="false" ht="15" hidden="false" customHeight="false" outlineLevel="0" collapsed="false">
      <c r="A73" s="0" t="str">
        <f aca="false">INDEX(Prioritization!$D:$D,MATCH($B73,Prioritization!$A:$A,0))</f>
        <v>1 - Scale-up: Saturation</v>
      </c>
      <c r="B73" s="0" t="s">
        <v>198</v>
      </c>
      <c r="C73" s="0" t="s">
        <v>363</v>
      </c>
      <c r="D73" s="0" t="s">
        <v>30</v>
      </c>
      <c r="E73" s="0" t="str">
        <f aca="false">$B73&amp;"|"&amp;$C73&amp;"|"&amp;$D73</f>
        <v>Lilongwe District [ScR9iFKAasW]|01-09|Female</v>
      </c>
      <c r="F73" s="10"/>
      <c r="G73" s="10"/>
      <c r="H73" s="10"/>
      <c r="I73" s="10"/>
      <c r="J73" s="10"/>
      <c r="K73" s="10"/>
      <c r="L73" s="10"/>
      <c r="M73" s="10"/>
      <c r="N73" s="10"/>
      <c r="O73" s="10" t="str">
        <f aca="false">IFERROR(1/(1/MAX($I73,$N73)),"")</f>
        <v/>
      </c>
      <c r="P73" s="10"/>
      <c r="Q73" s="10"/>
      <c r="R73" s="10" t="str">
        <f aca="false">IF(AND(SUM($I73)=0,SUM($O73)=0),"",SUM($O73)-$I73)</f>
        <v/>
      </c>
      <c r="S73" s="10" t="n">
        <f aca="false">IF(LEFT($B73,4)="_Mil","",_xlfn.IFNA(ROUND(INDEX(Spectrum!$N:$N,MATCH(RIGHT($B73,13)&amp;"|"&amp;$C73&amp;"|"&amp;$D73&amp;"|"&amp;S$14&amp;"|"&amp;"CY2022Q4",Spectrum!$R:$R,0)),0),""))</f>
        <v>597</v>
      </c>
      <c r="T73" s="39" t="n">
        <f aca="false">IF(LEFT($B73,4)="_Mil","",_xlfn.IFNA(ROUND(INDEX(Spectrum!$N:$N,MATCH(RIGHT($B73,13)&amp;"|"&amp;$C73&amp;"|"&amp;$D73&amp;"|"&amp;T$14&amp;"|"&amp;"CY2023Q3",Spectrum!$R:$R,0)),0),""))</f>
        <v>1756</v>
      </c>
      <c r="U73" s="39" t="str">
        <f aca="false">IF(LEFT($B73,4)="_Mil","",_xlfn.IFNA(ROUND(INDEX(Spectrum!$N:$N,MATCH(RIGHT($B73,13)&amp;"|"&amp;$C73&amp;"|"&amp;$D73&amp;"|"&amp;U$14&amp;"|"&amp;"CY2023Q3",Spectrum!$R:$R,0)),0),""))</f>
        <v/>
      </c>
      <c r="V73" s="10" t="n">
        <f aca="false">IF(LEFT($B73,4)="_Mil","",_xlfn.IFNA(ROUND(INDEX(Spectrum!$N:$N,MATCH(RIGHT($B73,13)&amp;"|"&amp;$C73&amp;"|"&amp;$D73&amp;"|"&amp;V$14&amp;"|"&amp;"CY2023Q3",Spectrum!$R:$R,0)),0),""))</f>
        <v>846</v>
      </c>
      <c r="W73" s="113" t="n">
        <f aca="false">IF(LEFT($B73,4)="_Mil","",_xlfn.IFNA(INDEX(Spectrum!$N:$N,MATCH(RIGHT($B73,13)&amp;"|"&amp;$C73&amp;"|"&amp;$D73&amp;"|"&amp;W$14&amp;"|"&amp;"CY2023Q3",Spectrum!$R:$R,0)),""))</f>
        <v>616</v>
      </c>
      <c r="X73" s="39" t="n">
        <f aca="false">IF(LEFT($B73,4)="_Mil","",_xlfn.IFNA(ROUND(INDEX(Spectrum!$N:$N,MATCH(RIGHT($B73,13)&amp;"|"&amp;$C73&amp;"|"&amp;$D73&amp;"|"&amp;X$14&amp;"|"&amp;"CY2023Q3",Spectrum!$R:$R,0)),0),""))</f>
        <v>1910</v>
      </c>
      <c r="Y73" s="88" t="str">
        <f aca="false">IF(OR(SUM($U73)=0,LEFT($B73,4)="_Mil"),"",SUM($X73)/$U73)</f>
        <v/>
      </c>
      <c r="Z73" s="39" t="n">
        <f aca="false">IF(LEFT($B73,4)="_Mil","",_xlfn.IFNA(ROUND(INDEX(Spectrum!$N:$N,MATCH(RIGHT($B73,13)&amp;"|"&amp;$C73&amp;"|"&amp;$D73&amp;"|"&amp;Z$14&amp;"|"&amp;"CY2023Q3",Spectrum!$R:$R,0)),0),""))</f>
        <v>1259</v>
      </c>
      <c r="AA73" s="88" t="n">
        <f aca="false">IF(LEFT($B73,4)="_Mil","",IFERROR(1/(1/INDEX(Spectrum!$N:$N,MATCH(RIGHT($B73,13)&amp;"|"&amp;$C73&amp;"|"&amp;$D73&amp;"|"&amp;AA$14&amp;"|"&amp;"CY2023Q3",Spectrum!$R:$R,0))),IF(SUM($U73)=0,"",SUM($Z73)/$U73)))</f>
        <v>997</v>
      </c>
      <c r="AB73" s="88" t="n">
        <f aca="false">IF(OR(LEFT($B73,4)="_Mil",SUM($X73)=0),"",SUM($Z73)/$X73)</f>
        <v>0.659162303664921</v>
      </c>
      <c r="AC73" s="10" t="n">
        <f aca="false">IF(LEFT($B73,4)="_Mil","",_xlfn.IFNA(ROUND(INDEX(Spectrum!$N:$N,MATCH(RIGHT($B73,13)&amp;"|"&amp;$C73&amp;"|"&amp;$D73&amp;"|"&amp;AC$14&amp;"|"&amp;"CY2023Q3",Spectrum!$R:$R,0)),0),""))</f>
        <v>887</v>
      </c>
      <c r="AD73" s="10" t="str">
        <f aca="false">IF(LEFT($B73,4)="_Mil","",_xlfn.IFNA(ROUND(INDEX(Spectrum!$N:$N,MATCH(RIGHT($B73,13)&amp;"|"&amp;$C73&amp;"|"&amp;$D73&amp;"|"&amp;AD$14&amp;"|"&amp;"CY2023Q3",Spectrum!$R:$R,0)),0),""))</f>
        <v/>
      </c>
      <c r="AE73" s="88" t="n">
        <f aca="false">IF(OR(LEFT($B73,4)="_Mil",SUM($Z73)=0),"",SUM($AD73)/$Z73)</f>
        <v>0</v>
      </c>
      <c r="AF73" s="39" t="str">
        <f aca="false">IF(LEFT($B73,4)="_Mil","",_xlfn.IFNA(ROUND(INDEX(Spectrum!$N:$N,MATCH(RIGHT($B73,13)&amp;"|"&amp;$C73&amp;"|"&amp;$D73&amp;"|"&amp;AF$14&amp;"|"&amp;"CY2023Q3",Spectrum!$R:$R,0)),0),""))</f>
        <v/>
      </c>
      <c r="AG73" s="88" t="str">
        <f aca="false">IF(OR(LEFT($B73,4)="_Mil",SUM($AD73)=0),"",SUM($AF73)/$AD73)</f>
        <v/>
      </c>
      <c r="AH73" s="86" t="str">
        <f aca="false">IF(LEFT($B73,4)="_Mil","",_xlfn.IFNA(INDEX(Spectrum!$N:$N,MATCH(RIGHT($B73,13)&amp;"|"&amp;$C73&amp;"|"&amp;$D73&amp;"|"&amp;AH$14&amp;"|"&amp;"CY2023Q3",Spectrum!$R:$R,0)),""))</f>
        <v/>
      </c>
      <c r="AI73" s="10" t="str">
        <f aca="false">IF(LEFT($B73,4)="_Mil","",_xlfn.IFNA(ROUND(INDEX(Spectrum!$N:$N,MATCH(RIGHT($B73,13)&amp;"|"&amp;$C73&amp;"|"&amp;$D73&amp;"|"&amp;AI$14&amp;"|"&amp;"CY2023Q3",Spectrum!$R:$R,0)),0),""))</f>
        <v/>
      </c>
      <c r="AJ73" s="39" t="n">
        <f aca="false">IF(LEFT($B73,4)="_Mil","",_xlfn.IFNA(ROUND(INDEX(Spectrum!$N:$N,MATCH(RIGHT($B73,13)&amp;"|"&amp;$C73&amp;"|"&amp;$D73&amp;"|"&amp;AI$14&amp;"|"&amp;"CY2023Q3",Spectrum!$R:$R,0)),0),SUM($U73)+SUM($AI73)))</f>
        <v>0</v>
      </c>
      <c r="AK73" s="10" t="str">
        <f aca="false">IF(LEFT($B73,4)="_Mil","",_xlfn.IFNA(ROUND(INDEX(Spectrum!$N:$N,MATCH(RIGHT($B73,13)&amp;"|"&amp;$C73&amp;"|"&amp;$D73&amp;"|"&amp;AK$14&amp;"|"&amp;"CY2023Q3",Spectrum!$R:$R,0)),0),""))</f>
        <v/>
      </c>
      <c r="AL73" s="88" t="n">
        <f aca="false">IF(OR(LEFT($B73,4)="_Mil",$C73="&lt;01"),"",MAX(SUM($AA73),90%))</f>
        <v>997</v>
      </c>
      <c r="AM73" s="10" t="n">
        <f aca="false">IF(OR(LEFT($B73,4)="_Mil",$C73="&lt;01"),"",ROUND(SUM($AJ73)*SUM($AL73),0))</f>
        <v>0</v>
      </c>
      <c r="AN73" s="10" t="str">
        <f aca="false">IF($C73="&lt;01",ROUND(INDEX(EID!$P:$P,MATCH($B73,EID!$B:$B,0))/2,0),"")</f>
        <v/>
      </c>
      <c r="AO73" s="10" t="n">
        <f aca="false">IF($C73="&lt;01",SUM($AN73),ROUND(SUM($AM73)*SUM($O73)/IF(SUM($Z73)=0,1,$Z73),0))</f>
        <v>0</v>
      </c>
      <c r="AP73" s="39" t="n">
        <f aca="false">IF(OR($F73="",$C73="&lt;01"),$AO73,$F73)</f>
        <v>0</v>
      </c>
      <c r="AQ73" s="39" t="n">
        <f aca="false">IF(LEFT($B73,4)="_Mil","",IF(SUM($AP73)=0,SUM($Z73),IF(OR(SUM($Z73)=0,SUM($O73)=0),MAX($AP73,$Z73),$AP73*$Z73/$O73)))</f>
        <v>1259</v>
      </c>
      <c r="AR73" s="88" t="str">
        <f aca="false">IF(OR(LEFT($B73,4)="_Mil",SUM($AJ73)=0),"",SUM($AQ73)/$AJ73)</f>
        <v/>
      </c>
      <c r="AS73" s="88" t="n">
        <f aca="false">IF($C73="&lt;01","",98%)</f>
        <v>0.98</v>
      </c>
      <c r="AT73" s="88" t="n">
        <f aca="false">IF($C73="&lt;01","",98%)</f>
        <v>0.98</v>
      </c>
      <c r="AU73" s="10" t="n">
        <f aca="false">IF($C73="&lt;01","",SUM($AP73)-SUM($O73))</f>
        <v>0</v>
      </c>
      <c r="AV73" s="10" t="n">
        <f aca="false">IF($C73="&lt;01",ROUND(INDEX(EID!$N:$N,MATCH($B73,EID!$B:$B,0))/2,0),IF(SUM($AT73)=0,"",ROUND((SUM($AP73)-(SUM($O73)*SUM($AS73)))/$AT73,0)))</f>
        <v>0</v>
      </c>
      <c r="AW73" s="88" t="n">
        <f aca="false">IF($C73="&lt;01","",100%)</f>
        <v>1</v>
      </c>
      <c r="AX73" s="39" t="n">
        <f aca="false">IF($C73="&lt;01",SUM($AV73),ROUND(SUM($AV73)*SUM($AW73),0))</f>
        <v>0</v>
      </c>
      <c r="AY73" s="114" t="n">
        <f aca="false">IF($C73="&lt;01","",70%)</f>
        <v>0.7</v>
      </c>
      <c r="AZ73" s="91" t="n">
        <f aca="false">IF($C73="&lt;01",ROUND(INDEX(EID!$R:$R,MATCH($B73,EID!$B:$B,0))/2,0),ROUND(SUM($O73)+(SUM($AV73)*$AY73),0))</f>
        <v>0</v>
      </c>
      <c r="BA73" s="87" t="n">
        <f aca="false">IF($C73="&lt;01","",95%)</f>
        <v>0.95</v>
      </c>
      <c r="BB73" s="5" t="n">
        <f aca="false">IF($C73="&lt;01",ROUND(INDEX(EID!$T:$T,MATCH($B73,EID!$B:$B,0))/2,0),ROUND($AZ73*$BA73,0))</f>
        <v>0</v>
      </c>
      <c r="BC73" s="91" t="n">
        <f aca="false">IF(LEFT($B73,4)="_Mil","",IF(SUM($BB73)=0,SUM($AD73),IF(OR(SUM($AP73)=0,SUM($AQ73)=0),MAX($BB73,$AD73),ROUND($BB73*$AQ73/$AP73,0))))</f>
        <v>0</v>
      </c>
      <c r="BD73" s="88" t="n">
        <f aca="false">IF($C73="&lt;01","",95%)</f>
        <v>0.95</v>
      </c>
      <c r="BE73" s="39" t="n">
        <f aca="false">IF($C73="&lt;01",ROUND(INDEX(EID!$V:$V,MATCH($B73,EID!$B:$B,0))/2,0),ROUND($BD73*$BB73,0))</f>
        <v>0</v>
      </c>
      <c r="BF73" s="39" t="n">
        <f aca="false">IF(LEFT($B73,4)="_Mil","",IF(SUM($BE73)=0,SUM($AF73),IF(OR(SUM($AP73)=0,SUM($AQ73)=0),MAX($BE73,$AF73),ROUND($BE73*$AQ73/$AP73,0))))</f>
        <v>0</v>
      </c>
      <c r="BG73" s="114" t="n">
        <f aca="false">IF($C73="&lt;01","",95%)</f>
        <v>0.95</v>
      </c>
      <c r="BH73" s="5" t="n">
        <f aca="false">IF($C73="&lt;01",ROUND(INDEX(EID!$L:$L,MATCH($B73,EID!$B:$B,0)),0)/2,IF(SUM($BG73)=0,"",ROUND($AX73/$BG73,0)))</f>
        <v>0</v>
      </c>
    </row>
    <row r="74" customFormat="false" ht="15" hidden="false" customHeight="false" outlineLevel="0" collapsed="false">
      <c r="A74" s="0" t="str">
        <f aca="false">INDEX(Prioritization!$D:$D,MATCH($B74,Prioritization!$A:$A,0))</f>
        <v>1 - Scale-up: Saturation</v>
      </c>
      <c r="B74" s="0" t="s">
        <v>198</v>
      </c>
      <c r="C74" s="0" t="s">
        <v>363</v>
      </c>
      <c r="D74" s="0" t="s">
        <v>48</v>
      </c>
      <c r="E74" s="0" t="str">
        <f aca="false">$B74&amp;"|"&amp;$C74&amp;"|"&amp;$D74</f>
        <v>Lilongwe District [ScR9iFKAasW]|01-09|Male</v>
      </c>
      <c r="F74" s="10"/>
      <c r="G74" s="10"/>
      <c r="H74" s="10"/>
      <c r="I74" s="10"/>
      <c r="J74" s="10"/>
      <c r="K74" s="10"/>
      <c r="L74" s="10"/>
      <c r="M74" s="10"/>
      <c r="N74" s="10"/>
      <c r="O74" s="10" t="str">
        <f aca="false">IFERROR(1/(1/MAX($I74,$N74)),"")</f>
        <v/>
      </c>
      <c r="P74" s="10"/>
      <c r="Q74" s="10"/>
      <c r="R74" s="10" t="str">
        <f aca="false">IF(AND(SUM($I74)=0,SUM($O74)=0),"",SUM($O74)-$I74)</f>
        <v/>
      </c>
      <c r="S74" s="10" t="n">
        <f aca="false">IF(LEFT($B74,4)="_Mil","",_xlfn.IFNA(ROUND(INDEX(Spectrum!$N:$N,MATCH(RIGHT($B74,13)&amp;"|"&amp;$C74&amp;"|"&amp;$D74&amp;"|"&amp;S$14&amp;"|"&amp;"CY2022Q4",Spectrum!$R:$R,0)),0),""))</f>
        <v>560</v>
      </c>
      <c r="T74" s="39" t="n">
        <f aca="false">IF(LEFT($B74,4)="_Mil","",_xlfn.IFNA(ROUND(INDEX(Spectrum!$N:$N,MATCH(RIGHT($B74,13)&amp;"|"&amp;$C74&amp;"|"&amp;$D74&amp;"|"&amp;T$14&amp;"|"&amp;"CY2023Q3",Spectrum!$R:$R,0)),0),""))</f>
        <v>933</v>
      </c>
      <c r="U74" s="39" t="str">
        <f aca="false">IF(LEFT($B74,4)="_Mil","",_xlfn.IFNA(ROUND(INDEX(Spectrum!$N:$N,MATCH(RIGHT($B74,13)&amp;"|"&amp;$C74&amp;"|"&amp;$D74&amp;"|"&amp;U$14&amp;"|"&amp;"CY2023Q3",Spectrum!$R:$R,0)),0),""))</f>
        <v/>
      </c>
      <c r="V74" s="10" t="n">
        <f aca="false">IF(LEFT($B74,4)="_Mil","",_xlfn.IFNA(ROUND(INDEX(Spectrum!$N:$N,MATCH(RIGHT($B74,13)&amp;"|"&amp;$C74&amp;"|"&amp;$D74&amp;"|"&amp;V$14&amp;"|"&amp;"CY2023Q3",Spectrum!$R:$R,0)),0),""))</f>
        <v>1391</v>
      </c>
      <c r="W74" s="113" t="n">
        <f aca="false">IF(LEFT($B74,4)="_Mil","",_xlfn.IFNA(INDEX(Spectrum!$N:$N,MATCH(RIGHT($B74,13)&amp;"|"&amp;$C74&amp;"|"&amp;$D74&amp;"|"&amp;W$14&amp;"|"&amp;"CY2023Q3",Spectrum!$R:$R,0)),""))</f>
        <v>1878</v>
      </c>
      <c r="X74" s="39" t="n">
        <f aca="false">IF(LEFT($B74,4)="_Mil","",_xlfn.IFNA(ROUND(INDEX(Spectrum!$N:$N,MATCH(RIGHT($B74,13)&amp;"|"&amp;$C74&amp;"|"&amp;$D74&amp;"|"&amp;X$14&amp;"|"&amp;"CY2023Q3",Spectrum!$R:$R,0)),0),""))</f>
        <v>749</v>
      </c>
      <c r="Y74" s="88" t="str">
        <f aca="false">IF(OR(SUM($U74)=0,LEFT($B74,4)="_Mil"),"",SUM($X74)/$U74)</f>
        <v/>
      </c>
      <c r="Z74" s="39" t="n">
        <f aca="false">IF(LEFT($B74,4)="_Mil","",_xlfn.IFNA(ROUND(INDEX(Spectrum!$N:$N,MATCH(RIGHT($B74,13)&amp;"|"&amp;$C74&amp;"|"&amp;$D74&amp;"|"&amp;Z$14&amp;"|"&amp;"CY2023Q3",Spectrum!$R:$R,0)),0),""))</f>
        <v>1097</v>
      </c>
      <c r="AA74" s="88" t="n">
        <f aca="false">IF(LEFT($B74,4)="_Mil","",IFERROR(1/(1/INDEX(Spectrum!$N:$N,MATCH(RIGHT($B74,13)&amp;"|"&amp;$C74&amp;"|"&amp;$D74&amp;"|"&amp;AA$14&amp;"|"&amp;"CY2023Q3",Spectrum!$R:$R,0))),IF(SUM($U74)=0,"",SUM($Z74)/$U74)))</f>
        <v>1709</v>
      </c>
      <c r="AB74" s="88" t="n">
        <f aca="false">IF(OR(LEFT($B74,4)="_Mil",SUM($X74)=0),"",SUM($Z74)/$X74)</f>
        <v>1.46461949265688</v>
      </c>
      <c r="AC74" s="10" t="n">
        <f aca="false">IF(LEFT($B74,4)="_Mil","",_xlfn.IFNA(ROUND(INDEX(Spectrum!$N:$N,MATCH(RIGHT($B74,13)&amp;"|"&amp;$C74&amp;"|"&amp;$D74&amp;"|"&amp;AC$14&amp;"|"&amp;"CY2023Q3",Spectrum!$R:$R,0)),0),""))</f>
        <v>858</v>
      </c>
      <c r="AD74" s="10" t="str">
        <f aca="false">IF(LEFT($B74,4)="_Mil","",_xlfn.IFNA(ROUND(INDEX(Spectrum!$N:$N,MATCH(RIGHT($B74,13)&amp;"|"&amp;$C74&amp;"|"&amp;$D74&amp;"|"&amp;AD$14&amp;"|"&amp;"CY2023Q3",Spectrum!$R:$R,0)),0),""))</f>
        <v/>
      </c>
      <c r="AE74" s="88" t="n">
        <f aca="false">IF(OR(LEFT($B74,4)="_Mil",SUM($Z74)=0),"",SUM($AD74)/$Z74)</f>
        <v>0</v>
      </c>
      <c r="AF74" s="39" t="str">
        <f aca="false">IF(LEFT($B74,4)="_Mil","",_xlfn.IFNA(ROUND(INDEX(Spectrum!$N:$N,MATCH(RIGHT($B74,13)&amp;"|"&amp;$C74&amp;"|"&amp;$D74&amp;"|"&amp;AF$14&amp;"|"&amp;"CY2023Q3",Spectrum!$R:$R,0)),0),""))</f>
        <v/>
      </c>
      <c r="AG74" s="88" t="str">
        <f aca="false">IF(OR(LEFT($B74,4)="_Mil",SUM($AD74)=0),"",SUM($AF74)/$AD74)</f>
        <v/>
      </c>
      <c r="AH74" s="86" t="str">
        <f aca="false">IF(LEFT($B74,4)="_Mil","",_xlfn.IFNA(INDEX(Spectrum!$N:$N,MATCH(RIGHT($B74,13)&amp;"|"&amp;$C74&amp;"|"&amp;$D74&amp;"|"&amp;AH$14&amp;"|"&amp;"CY2023Q3",Spectrum!$R:$R,0)),""))</f>
        <v/>
      </c>
      <c r="AI74" s="10" t="str">
        <f aca="false">IF(LEFT($B74,4)="_Mil","",_xlfn.IFNA(ROUND(INDEX(Spectrum!$N:$N,MATCH(RIGHT($B74,13)&amp;"|"&amp;$C74&amp;"|"&amp;$D74&amp;"|"&amp;AI$14&amp;"|"&amp;"CY2023Q3",Spectrum!$R:$R,0)),0),""))</f>
        <v/>
      </c>
      <c r="AJ74" s="39" t="n">
        <f aca="false">IF(LEFT($B74,4)="_Mil","",_xlfn.IFNA(ROUND(INDEX(Spectrum!$N:$N,MATCH(RIGHT($B74,13)&amp;"|"&amp;$C74&amp;"|"&amp;$D74&amp;"|"&amp;AI$14&amp;"|"&amp;"CY2023Q3",Spectrum!$R:$R,0)),0),SUM($U74)+SUM($AI74)))</f>
        <v>0</v>
      </c>
      <c r="AK74" s="10" t="str">
        <f aca="false">IF(LEFT($B74,4)="_Mil","",_xlfn.IFNA(ROUND(INDEX(Spectrum!$N:$N,MATCH(RIGHT($B74,13)&amp;"|"&amp;$C74&amp;"|"&amp;$D74&amp;"|"&amp;AK$14&amp;"|"&amp;"CY2023Q3",Spectrum!$R:$R,0)),0),""))</f>
        <v/>
      </c>
      <c r="AL74" s="88" t="n">
        <f aca="false">IF(OR(LEFT($B74,4)="_Mil",$C74="&lt;01"),"",MAX(SUM($AA74),90%))</f>
        <v>1709</v>
      </c>
      <c r="AM74" s="10" t="n">
        <f aca="false">IF(OR(LEFT($B74,4)="_Mil",$C74="&lt;01"),"",ROUND(SUM($AJ74)*SUM($AL74),0))</f>
        <v>0</v>
      </c>
      <c r="AN74" s="10" t="str">
        <f aca="false">IF($C74="&lt;01",ROUND(INDEX(EID!$P:$P,MATCH($B74,EID!$B:$B,0))/2,0),"")</f>
        <v/>
      </c>
      <c r="AO74" s="10" t="n">
        <f aca="false">IF($C74="&lt;01",SUM($AN74),ROUND(SUM($AM74)*SUM($O74)/IF(SUM($Z74)=0,1,$Z74),0))</f>
        <v>0</v>
      </c>
      <c r="AP74" s="39" t="n">
        <f aca="false">IF(OR($F74="",$C74="&lt;01"),$AO74,$F74)</f>
        <v>0</v>
      </c>
      <c r="AQ74" s="39" t="n">
        <f aca="false">IF(LEFT($B74,4)="_Mil","",IF(SUM($AP74)=0,SUM($Z74),IF(OR(SUM($Z74)=0,SUM($O74)=0),MAX($AP74,$Z74),$AP74*$Z74/$O74)))</f>
        <v>1097</v>
      </c>
      <c r="AR74" s="88" t="str">
        <f aca="false">IF(OR(LEFT($B74,4)="_Mil",SUM($AJ74)=0),"",SUM($AQ74)/$AJ74)</f>
        <v/>
      </c>
      <c r="AS74" s="88" t="n">
        <f aca="false">IF($C74="&lt;01","",98%)</f>
        <v>0.98</v>
      </c>
      <c r="AT74" s="88" t="n">
        <f aca="false">IF($C74="&lt;01","",98%)</f>
        <v>0.98</v>
      </c>
      <c r="AU74" s="10" t="n">
        <f aca="false">IF($C74="&lt;01","",SUM($AP74)-SUM($O74))</f>
        <v>0</v>
      </c>
      <c r="AV74" s="10" t="n">
        <f aca="false">IF($C74="&lt;01",ROUND(INDEX(EID!$N:$N,MATCH($B74,EID!$B:$B,0))/2,0),IF(SUM($AT74)=0,"",ROUND((SUM($AP74)-(SUM($O74)*SUM($AS74)))/$AT74,0)))</f>
        <v>0</v>
      </c>
      <c r="AW74" s="88" t="n">
        <f aca="false">IF($C74="&lt;01","",100%)</f>
        <v>1</v>
      </c>
      <c r="AX74" s="39" t="n">
        <f aca="false">IF($C74="&lt;01",SUM($AV74),ROUND(SUM($AV74)*SUM($AW74),0))</f>
        <v>0</v>
      </c>
      <c r="AY74" s="114" t="n">
        <f aca="false">IF($C74="&lt;01","",70%)</f>
        <v>0.7</v>
      </c>
      <c r="AZ74" s="91" t="n">
        <f aca="false">IF($C74="&lt;01",ROUND(INDEX(EID!$R:$R,MATCH($B74,EID!$B:$B,0))/2,0),ROUND(SUM($O74)+(SUM($AV74)*$AY74),0))</f>
        <v>0</v>
      </c>
      <c r="BA74" s="87" t="n">
        <f aca="false">IF($C74="&lt;01","",95%)</f>
        <v>0.95</v>
      </c>
      <c r="BB74" s="5" t="n">
        <f aca="false">IF($C74="&lt;01",ROUND(INDEX(EID!$T:$T,MATCH($B74,EID!$B:$B,0))/2,0),ROUND($AZ74*$BA74,0))</f>
        <v>0</v>
      </c>
      <c r="BC74" s="91" t="n">
        <f aca="false">IF(LEFT($B74,4)="_Mil","",IF(SUM($BB74)=0,SUM($AD74),IF(OR(SUM($AP74)=0,SUM($AQ74)=0),MAX($BB74,$AD74),ROUND($BB74*$AQ74/$AP74,0))))</f>
        <v>0</v>
      </c>
      <c r="BD74" s="88" t="n">
        <f aca="false">IF($C74="&lt;01","",95%)</f>
        <v>0.95</v>
      </c>
      <c r="BE74" s="39" t="n">
        <f aca="false">IF($C74="&lt;01",ROUND(INDEX(EID!$V:$V,MATCH($B74,EID!$B:$B,0))/2,0),ROUND($BD74*$BB74,0))</f>
        <v>0</v>
      </c>
      <c r="BF74" s="39" t="n">
        <f aca="false">IF(LEFT($B74,4)="_Mil","",IF(SUM($BE74)=0,SUM($AF74),IF(OR(SUM($AP74)=0,SUM($AQ74)=0),MAX($BE74,$AF74),ROUND($BE74*$AQ74/$AP74,0))))</f>
        <v>0</v>
      </c>
      <c r="BG74" s="114" t="n">
        <f aca="false">IF($C74="&lt;01","",95%)</f>
        <v>0.95</v>
      </c>
      <c r="BH74" s="5" t="n">
        <f aca="false">IF($C74="&lt;01",ROUND(INDEX(EID!$L:$L,MATCH($B74,EID!$B:$B,0)),0)/2,IF(SUM($BG74)=0,"",ROUND($AX74/$BG74,0)))</f>
        <v>0</v>
      </c>
    </row>
    <row r="75" customFormat="false" ht="15" hidden="false" customHeight="false" outlineLevel="0" collapsed="false">
      <c r="A75" s="0" t="str">
        <f aca="false">INDEX(Prioritization!$D:$D,MATCH($B75,Prioritization!$A:$A,0))</f>
        <v>1 - Scale-up: Saturation</v>
      </c>
      <c r="B75" s="0" t="s">
        <v>198</v>
      </c>
      <c r="C75" s="0" t="s">
        <v>364</v>
      </c>
      <c r="D75" s="0" t="s">
        <v>30</v>
      </c>
      <c r="E75" s="0" t="str">
        <f aca="false">$B75&amp;"|"&amp;$C75&amp;"|"&amp;$D75</f>
        <v>Lilongwe District [ScR9iFKAasW]|10-14|Female</v>
      </c>
      <c r="F75" s="10"/>
      <c r="G75" s="10" t="n">
        <v>49</v>
      </c>
      <c r="H75" s="10" t="n">
        <v>6</v>
      </c>
      <c r="I75" s="10" t="n">
        <v>114</v>
      </c>
      <c r="J75" s="10" t="n">
        <v>585</v>
      </c>
      <c r="K75" s="10" t="n">
        <v>509</v>
      </c>
      <c r="L75" s="10" t="n">
        <v>96</v>
      </c>
      <c r="M75" s="10" t="n">
        <v>59</v>
      </c>
      <c r="N75" s="10" t="n">
        <v>409</v>
      </c>
      <c r="O75" s="10" t="n">
        <f aca="false">IFERROR(1/(1/MAX($I75,$N75)),"")</f>
        <v>409</v>
      </c>
      <c r="P75" s="10" t="n">
        <v>983</v>
      </c>
      <c r="Q75" s="10" t="n">
        <v>587</v>
      </c>
      <c r="R75" s="10" t="n">
        <f aca="false">IF(AND(SUM($I75)=0,SUM($O75)=0),"",SUM($O75)-$I75)</f>
        <v>295</v>
      </c>
      <c r="S75" s="10" t="n">
        <f aca="false">IF(LEFT($B75,4)="_Mil","",_xlfn.IFNA(ROUND(INDEX(Spectrum!$N:$N,MATCH(RIGHT($B75,13)&amp;"|"&amp;$C75&amp;"|"&amp;$D75&amp;"|"&amp;S$14&amp;"|"&amp;"CY2022Q4",Spectrum!$R:$R,0)),0),""))</f>
        <v>1858</v>
      </c>
      <c r="T75" s="39" t="n">
        <f aca="false">IF(LEFT($B75,4)="_Mil","",_xlfn.IFNA(ROUND(INDEX(Spectrum!$N:$N,MATCH(RIGHT($B75,13)&amp;"|"&amp;$C75&amp;"|"&amp;$D75&amp;"|"&amp;T$14&amp;"|"&amp;"CY2023Q3",Spectrum!$R:$R,0)),0),""))</f>
        <v>1687</v>
      </c>
      <c r="U75" s="39" t="str">
        <f aca="false">IF(LEFT($B75,4)="_Mil","",_xlfn.IFNA(ROUND(INDEX(Spectrum!$N:$N,MATCH(RIGHT($B75,13)&amp;"|"&amp;$C75&amp;"|"&amp;$D75&amp;"|"&amp;U$14&amp;"|"&amp;"CY2023Q3",Spectrum!$R:$R,0)),0),""))</f>
        <v/>
      </c>
      <c r="V75" s="10" t="n">
        <f aca="false">IF(LEFT($B75,4)="_Mil","",_xlfn.IFNA(ROUND(INDEX(Spectrum!$N:$N,MATCH(RIGHT($B75,13)&amp;"|"&amp;$C75&amp;"|"&amp;$D75&amp;"|"&amp;V$14&amp;"|"&amp;"CY2023Q3",Spectrum!$R:$R,0)),0),""))</f>
        <v>1079</v>
      </c>
      <c r="W75" s="113" t="n">
        <f aca="false">IF(LEFT($B75,4)="_Mil","",_xlfn.IFNA(INDEX(Spectrum!$N:$N,MATCH(RIGHT($B75,13)&amp;"|"&amp;$C75&amp;"|"&amp;$D75&amp;"|"&amp;W$14&amp;"|"&amp;"CY2023Q3",Spectrum!$R:$R,0)),""))</f>
        <v>1552</v>
      </c>
      <c r="X75" s="39" t="n">
        <f aca="false">IF(LEFT($B75,4)="_Mil","",_xlfn.IFNA(ROUND(INDEX(Spectrum!$N:$N,MATCH(RIGHT($B75,13)&amp;"|"&amp;$C75&amp;"|"&amp;$D75&amp;"|"&amp;X$14&amp;"|"&amp;"CY2023Q3",Spectrum!$R:$R,0)),0),""))</f>
        <v>1060</v>
      </c>
      <c r="Y75" s="88" t="str">
        <f aca="false">IF(OR(SUM($U75)=0,LEFT($B75,4)="_Mil"),"",SUM($X75)/$U75)</f>
        <v/>
      </c>
      <c r="Z75" s="39" t="n">
        <f aca="false">IF(LEFT($B75,4)="_Mil","",_xlfn.IFNA(ROUND(INDEX(Spectrum!$N:$N,MATCH(RIGHT($B75,13)&amp;"|"&amp;$C75&amp;"|"&amp;$D75&amp;"|"&amp;Z$14&amp;"|"&amp;"CY2023Q3",Spectrum!$R:$R,0)),0),""))</f>
        <v>1466</v>
      </c>
      <c r="AA75" s="88" t="n">
        <f aca="false">IF(LEFT($B75,4)="_Mil","",IFERROR(1/(1/INDEX(Spectrum!$N:$N,MATCH(RIGHT($B75,13)&amp;"|"&amp;$C75&amp;"|"&amp;$D75&amp;"|"&amp;AA$14&amp;"|"&amp;"CY2023Q3",Spectrum!$R:$R,0))),IF(SUM($U75)=0,"",SUM($Z75)/$U75)))</f>
        <v>1545</v>
      </c>
      <c r="AB75" s="88" t="n">
        <f aca="false">IF(OR(LEFT($B75,4)="_Mil",SUM($X75)=0),"",SUM($Z75)/$X75)</f>
        <v>1.38301886792453</v>
      </c>
      <c r="AC75" s="10" t="n">
        <f aca="false">IF(LEFT($B75,4)="_Mil","",_xlfn.IFNA(ROUND(INDEX(Spectrum!$N:$N,MATCH(RIGHT($B75,13)&amp;"|"&amp;$C75&amp;"|"&amp;$D75&amp;"|"&amp;AC$14&amp;"|"&amp;"CY2023Q3",Spectrum!$R:$R,0)),0),""))</f>
        <v>1757</v>
      </c>
      <c r="AD75" s="10" t="str">
        <f aca="false">IF(LEFT($B75,4)="_Mil","",_xlfn.IFNA(ROUND(INDEX(Spectrum!$N:$N,MATCH(RIGHT($B75,13)&amp;"|"&amp;$C75&amp;"|"&amp;$D75&amp;"|"&amp;AD$14&amp;"|"&amp;"CY2023Q3",Spectrum!$R:$R,0)),0),""))</f>
        <v/>
      </c>
      <c r="AE75" s="88" t="n">
        <f aca="false">IF(OR(LEFT($B75,4)="_Mil",SUM($Z75)=0),"",SUM($AD75)/$Z75)</f>
        <v>0</v>
      </c>
      <c r="AF75" s="39" t="str">
        <f aca="false">IF(LEFT($B75,4)="_Mil","",_xlfn.IFNA(ROUND(INDEX(Spectrum!$N:$N,MATCH(RIGHT($B75,13)&amp;"|"&amp;$C75&amp;"|"&amp;$D75&amp;"|"&amp;AF$14&amp;"|"&amp;"CY2023Q3",Spectrum!$R:$R,0)),0),""))</f>
        <v/>
      </c>
      <c r="AG75" s="88" t="str">
        <f aca="false">IF(OR(LEFT($B75,4)="_Mil",SUM($AD75)=0),"",SUM($AF75)/$AD75)</f>
        <v/>
      </c>
      <c r="AH75" s="86" t="str">
        <f aca="false">IF(LEFT($B75,4)="_Mil","",_xlfn.IFNA(INDEX(Spectrum!$N:$N,MATCH(RIGHT($B75,13)&amp;"|"&amp;$C75&amp;"|"&amp;$D75&amp;"|"&amp;AH$14&amp;"|"&amp;"CY2023Q3",Spectrum!$R:$R,0)),""))</f>
        <v/>
      </c>
      <c r="AI75" s="10" t="str">
        <f aca="false">IF(LEFT($B75,4)="_Mil","",_xlfn.IFNA(ROUND(INDEX(Spectrum!$N:$N,MATCH(RIGHT($B75,13)&amp;"|"&amp;$C75&amp;"|"&amp;$D75&amp;"|"&amp;AI$14&amp;"|"&amp;"CY2023Q3",Spectrum!$R:$R,0)),0),""))</f>
        <v/>
      </c>
      <c r="AJ75" s="39" t="n">
        <f aca="false">IF(LEFT($B75,4)="_Mil","",_xlfn.IFNA(ROUND(INDEX(Spectrum!$N:$N,MATCH(RIGHT($B75,13)&amp;"|"&amp;$C75&amp;"|"&amp;$D75&amp;"|"&amp;AI$14&amp;"|"&amp;"CY2023Q3",Spectrum!$R:$R,0)),0),SUM($U75)+SUM($AI75)))</f>
        <v>0</v>
      </c>
      <c r="AK75" s="10" t="str">
        <f aca="false">IF(LEFT($B75,4)="_Mil","",_xlfn.IFNA(ROUND(INDEX(Spectrum!$N:$N,MATCH(RIGHT($B75,13)&amp;"|"&amp;$C75&amp;"|"&amp;$D75&amp;"|"&amp;AK$14&amp;"|"&amp;"CY2023Q3",Spectrum!$R:$R,0)),0),""))</f>
        <v/>
      </c>
      <c r="AL75" s="88" t="n">
        <f aca="false">IF(OR(LEFT($B75,4)="_Mil",$C75="&lt;01"),"",MAX(SUM($AA75),90%))</f>
        <v>1545</v>
      </c>
      <c r="AM75" s="10" t="n">
        <f aca="false">IF(OR(LEFT($B75,4)="_Mil",$C75="&lt;01"),"",ROUND(SUM($AJ75)*SUM($AL75),0))</f>
        <v>0</v>
      </c>
      <c r="AN75" s="10" t="str">
        <f aca="false">IF($C75="&lt;01",ROUND(INDEX(EID!$P:$P,MATCH($B75,EID!$B:$B,0))/2,0),"")</f>
        <v/>
      </c>
      <c r="AO75" s="10" t="n">
        <f aca="false">IF($C75="&lt;01",SUM($AN75),ROUND(SUM($AM75)*SUM($O75)/IF(SUM($Z75)=0,1,$Z75),0))</f>
        <v>0</v>
      </c>
      <c r="AP75" s="39" t="n">
        <f aca="false">IF(OR($F75="",$C75="&lt;01"),$AO75,$F75)</f>
        <v>0</v>
      </c>
      <c r="AQ75" s="39" t="n">
        <f aca="false">IF(LEFT($B75,4)="_Mil","",IF(SUM($AP75)=0,SUM($Z75),IF(OR(SUM($Z75)=0,SUM($O75)=0),MAX($AP75,$Z75),$AP75*$Z75/$O75)))</f>
        <v>1466</v>
      </c>
      <c r="AR75" s="88" t="str">
        <f aca="false">IF(OR(LEFT($B75,4)="_Mil",SUM($AJ75)=0),"",SUM($AQ75)/$AJ75)</f>
        <v/>
      </c>
      <c r="AS75" s="88" t="n">
        <f aca="false">IF($C75="&lt;01","",98%)</f>
        <v>0.98</v>
      </c>
      <c r="AT75" s="88" t="n">
        <f aca="false">IF($C75="&lt;01","",98%)</f>
        <v>0.98</v>
      </c>
      <c r="AU75" s="10" t="n">
        <f aca="false">IF($C75="&lt;01","",SUM($AP75)-SUM($O75))</f>
        <v>-409</v>
      </c>
      <c r="AV75" s="10" t="n">
        <f aca="false">IF($C75="&lt;01",ROUND(INDEX(EID!$N:$N,MATCH($B75,EID!$B:$B,0))/2,0),IF(SUM($AT75)=0,"",ROUND((SUM($AP75)-(SUM($O75)*SUM($AS75)))/$AT75,0)))</f>
        <v>-409</v>
      </c>
      <c r="AW75" s="88" t="n">
        <f aca="false">IF($C75="&lt;01","",100%)</f>
        <v>1</v>
      </c>
      <c r="AX75" s="39" t="n">
        <f aca="false">IF($C75="&lt;01",SUM($AV75),ROUND(SUM($AV75)*SUM($AW75),0))</f>
        <v>-409</v>
      </c>
      <c r="AY75" s="114" t="n">
        <f aca="false">IF($C75="&lt;01","",70%)</f>
        <v>0.7</v>
      </c>
      <c r="AZ75" s="91" t="n">
        <f aca="false">IF($C75="&lt;01",ROUND(INDEX(EID!$R:$R,MATCH($B75,EID!$B:$B,0))/2,0),ROUND(SUM($O75)+(SUM($AV75)*$AY75),0))</f>
        <v>123</v>
      </c>
      <c r="BA75" s="87" t="n">
        <f aca="false">IF($C75="&lt;01","",95%)</f>
        <v>0.95</v>
      </c>
      <c r="BB75" s="5" t="n">
        <f aca="false">IF($C75="&lt;01",ROUND(INDEX(EID!$T:$T,MATCH($B75,EID!$B:$B,0))/2,0),ROUND($AZ75*$BA75,0))</f>
        <v>117</v>
      </c>
      <c r="BC75" s="91" t="n">
        <f aca="false">IF(LEFT($B75,4)="_Mil","",IF(SUM($BB75)=0,SUM($AD75),IF(OR(SUM($AP75)=0,SUM($AQ75)=0),MAX($BB75,$AD75),ROUND($BB75*$AQ75/$AP75,0))))</f>
        <v>117</v>
      </c>
      <c r="BD75" s="88" t="n">
        <f aca="false">IF($C75="&lt;01","",95%)</f>
        <v>0.95</v>
      </c>
      <c r="BE75" s="39" t="n">
        <f aca="false">IF($C75="&lt;01",ROUND(INDEX(EID!$V:$V,MATCH($B75,EID!$B:$B,0))/2,0),ROUND($BD75*$BB75,0))</f>
        <v>111</v>
      </c>
      <c r="BF75" s="39" t="n">
        <f aca="false">IF(LEFT($B75,4)="_Mil","",IF(SUM($BE75)=0,SUM($AF75),IF(OR(SUM($AP75)=0,SUM($AQ75)=0),MAX($BE75,$AF75),ROUND($BE75*$AQ75/$AP75,0))))</f>
        <v>111</v>
      </c>
      <c r="BG75" s="114" t="n">
        <f aca="false">IF($C75="&lt;01","",95%)</f>
        <v>0.95</v>
      </c>
      <c r="BH75" s="5" t="n">
        <f aca="false">IF($C75="&lt;01",ROUND(INDEX(EID!$L:$L,MATCH($B75,EID!$B:$B,0)),0)/2,IF(SUM($BG75)=0,"",ROUND($AX75/$BG75,0)))</f>
        <v>-431</v>
      </c>
    </row>
    <row r="76" customFormat="false" ht="15" hidden="false" customHeight="false" outlineLevel="0" collapsed="false">
      <c r="A76" s="0" t="str">
        <f aca="false">INDEX(Prioritization!$D:$D,MATCH($B76,Prioritization!$A:$A,0))</f>
        <v>1 - Scale-up: Saturation</v>
      </c>
      <c r="B76" s="0" t="s">
        <v>198</v>
      </c>
      <c r="C76" s="0" t="s">
        <v>364</v>
      </c>
      <c r="D76" s="0" t="s">
        <v>48</v>
      </c>
      <c r="E76" s="0" t="str">
        <f aca="false">$B76&amp;"|"&amp;$C76&amp;"|"&amp;$D76</f>
        <v>Lilongwe District [ScR9iFKAasW]|10-14|Male</v>
      </c>
      <c r="F76" s="10"/>
      <c r="G76" s="10" t="n">
        <v>47</v>
      </c>
      <c r="H76" s="10" t="n">
        <v>4</v>
      </c>
      <c r="I76" s="10" t="n">
        <v>140</v>
      </c>
      <c r="J76" s="10" t="n">
        <v>428</v>
      </c>
      <c r="K76" s="10" t="n">
        <v>19</v>
      </c>
      <c r="L76" s="10" t="n">
        <v>31</v>
      </c>
      <c r="M76" s="10" t="n">
        <v>47</v>
      </c>
      <c r="N76" s="10" t="n">
        <v>738</v>
      </c>
      <c r="O76" s="10" t="n">
        <f aca="false">IFERROR(1/(1/MAX($I76,$N76)),"")</f>
        <v>738</v>
      </c>
      <c r="P76" s="10" t="n">
        <v>725</v>
      </c>
      <c r="Q76" s="10" t="n">
        <v>899</v>
      </c>
      <c r="R76" s="10" t="n">
        <f aca="false">IF(AND(SUM($I76)=0,SUM($O76)=0),"",SUM($O76)-$I76)</f>
        <v>598</v>
      </c>
      <c r="S76" s="10" t="n">
        <f aca="false">IF(LEFT($B76,4)="_Mil","",_xlfn.IFNA(ROUND(INDEX(Spectrum!$N:$N,MATCH(RIGHT($B76,13)&amp;"|"&amp;$C76&amp;"|"&amp;$D76&amp;"|"&amp;S$14&amp;"|"&amp;"CY2022Q4",Spectrum!$R:$R,0)),0),""))</f>
        <v>1162</v>
      </c>
      <c r="T76" s="39" t="n">
        <f aca="false">IF(LEFT($B76,4)="_Mil","",_xlfn.IFNA(ROUND(INDEX(Spectrum!$N:$N,MATCH(RIGHT($B76,13)&amp;"|"&amp;$C76&amp;"|"&amp;$D76&amp;"|"&amp;T$14&amp;"|"&amp;"CY2023Q3",Spectrum!$R:$R,0)),0),""))</f>
        <v>1957</v>
      </c>
      <c r="U76" s="39" t="str">
        <f aca="false">IF(LEFT($B76,4)="_Mil","",_xlfn.IFNA(ROUND(INDEX(Spectrum!$N:$N,MATCH(RIGHT($B76,13)&amp;"|"&amp;$C76&amp;"|"&amp;$D76&amp;"|"&amp;U$14&amp;"|"&amp;"CY2023Q3",Spectrum!$R:$R,0)),0),""))</f>
        <v/>
      </c>
      <c r="V76" s="10" t="n">
        <f aca="false">IF(LEFT($B76,4)="_Mil","",_xlfn.IFNA(ROUND(INDEX(Spectrum!$N:$N,MATCH(RIGHT($B76,13)&amp;"|"&amp;$C76&amp;"|"&amp;$D76&amp;"|"&amp;V$14&amp;"|"&amp;"CY2023Q3",Spectrum!$R:$R,0)),0),""))</f>
        <v>1994</v>
      </c>
      <c r="W76" s="113" t="n">
        <f aca="false">IF(LEFT($B76,4)="_Mil","",_xlfn.IFNA(INDEX(Spectrum!$N:$N,MATCH(RIGHT($B76,13)&amp;"|"&amp;$C76&amp;"|"&amp;$D76&amp;"|"&amp;W$14&amp;"|"&amp;"CY2023Q3",Spectrum!$R:$R,0)),""))</f>
        <v>1806</v>
      </c>
      <c r="X76" s="39" t="n">
        <f aca="false">IF(LEFT($B76,4)="_Mil","",_xlfn.IFNA(ROUND(INDEX(Spectrum!$N:$N,MATCH(RIGHT($B76,13)&amp;"|"&amp;$C76&amp;"|"&amp;$D76&amp;"|"&amp;X$14&amp;"|"&amp;"CY2023Q3",Spectrum!$R:$R,0)),0),""))</f>
        <v>1636</v>
      </c>
      <c r="Y76" s="88" t="str">
        <f aca="false">IF(OR(SUM($U76)=0,LEFT($B76,4)="_Mil"),"",SUM($X76)/$U76)</f>
        <v/>
      </c>
      <c r="Z76" s="39" t="n">
        <f aca="false">IF(LEFT($B76,4)="_Mil","",_xlfn.IFNA(ROUND(INDEX(Spectrum!$N:$N,MATCH(RIGHT($B76,13)&amp;"|"&amp;$C76&amp;"|"&amp;$D76&amp;"|"&amp;Z$14&amp;"|"&amp;"CY2023Q3",Spectrum!$R:$R,0)),0),""))</f>
        <v>1274</v>
      </c>
      <c r="AA76" s="88" t="n">
        <f aca="false">IF(LEFT($B76,4)="_Mil","",IFERROR(1/(1/INDEX(Spectrum!$N:$N,MATCH(RIGHT($B76,13)&amp;"|"&amp;$C76&amp;"|"&amp;$D76&amp;"|"&amp;AA$14&amp;"|"&amp;"CY2023Q3",Spectrum!$R:$R,0))),IF(SUM($U76)=0,"",SUM($Z76)/$U76)))</f>
        <v>1220</v>
      </c>
      <c r="AB76" s="88" t="n">
        <f aca="false">IF(OR(LEFT($B76,4)="_Mil",SUM($X76)=0),"",SUM($Z76)/$X76)</f>
        <v>0.778728606356968</v>
      </c>
      <c r="AC76" s="10" t="n">
        <f aca="false">IF(LEFT($B76,4)="_Mil","",_xlfn.IFNA(ROUND(INDEX(Spectrum!$N:$N,MATCH(RIGHT($B76,13)&amp;"|"&amp;$C76&amp;"|"&amp;$D76&amp;"|"&amp;AC$14&amp;"|"&amp;"CY2023Q3",Spectrum!$R:$R,0)),0),""))</f>
        <v>818</v>
      </c>
      <c r="AD76" s="10" t="str">
        <f aca="false">IF(LEFT($B76,4)="_Mil","",_xlfn.IFNA(ROUND(INDEX(Spectrum!$N:$N,MATCH(RIGHT($B76,13)&amp;"|"&amp;$C76&amp;"|"&amp;$D76&amp;"|"&amp;AD$14&amp;"|"&amp;"CY2023Q3",Spectrum!$R:$R,0)),0),""))</f>
        <v/>
      </c>
      <c r="AE76" s="88" t="n">
        <f aca="false">IF(OR(LEFT($B76,4)="_Mil",SUM($Z76)=0),"",SUM($AD76)/$Z76)</f>
        <v>0</v>
      </c>
      <c r="AF76" s="39" t="str">
        <f aca="false">IF(LEFT($B76,4)="_Mil","",_xlfn.IFNA(ROUND(INDEX(Spectrum!$N:$N,MATCH(RIGHT($B76,13)&amp;"|"&amp;$C76&amp;"|"&amp;$D76&amp;"|"&amp;AF$14&amp;"|"&amp;"CY2023Q3",Spectrum!$R:$R,0)),0),""))</f>
        <v/>
      </c>
      <c r="AG76" s="88" t="str">
        <f aca="false">IF(OR(LEFT($B76,4)="_Mil",SUM($AD76)=0),"",SUM($AF76)/$AD76)</f>
        <v/>
      </c>
      <c r="AH76" s="86" t="str">
        <f aca="false">IF(LEFT($B76,4)="_Mil","",_xlfn.IFNA(INDEX(Spectrum!$N:$N,MATCH(RIGHT($B76,13)&amp;"|"&amp;$C76&amp;"|"&amp;$D76&amp;"|"&amp;AH$14&amp;"|"&amp;"CY2023Q3",Spectrum!$R:$R,0)),""))</f>
        <v/>
      </c>
      <c r="AI76" s="10" t="str">
        <f aca="false">IF(LEFT($B76,4)="_Mil","",_xlfn.IFNA(ROUND(INDEX(Spectrum!$N:$N,MATCH(RIGHT($B76,13)&amp;"|"&amp;$C76&amp;"|"&amp;$D76&amp;"|"&amp;AI$14&amp;"|"&amp;"CY2023Q3",Spectrum!$R:$R,0)),0),""))</f>
        <v/>
      </c>
      <c r="AJ76" s="39" t="n">
        <f aca="false">IF(LEFT($B76,4)="_Mil","",_xlfn.IFNA(ROUND(INDEX(Spectrum!$N:$N,MATCH(RIGHT($B76,13)&amp;"|"&amp;$C76&amp;"|"&amp;$D76&amp;"|"&amp;AI$14&amp;"|"&amp;"CY2023Q3",Spectrum!$R:$R,0)),0),SUM($U76)+SUM($AI76)))</f>
        <v>0</v>
      </c>
      <c r="AK76" s="10" t="str">
        <f aca="false">IF(LEFT($B76,4)="_Mil","",_xlfn.IFNA(ROUND(INDEX(Spectrum!$N:$N,MATCH(RIGHT($B76,13)&amp;"|"&amp;$C76&amp;"|"&amp;$D76&amp;"|"&amp;AK$14&amp;"|"&amp;"CY2023Q3",Spectrum!$R:$R,0)),0),""))</f>
        <v/>
      </c>
      <c r="AL76" s="88" t="n">
        <f aca="false">IF(OR(LEFT($B76,4)="_Mil",$C76="&lt;01"),"",MAX(SUM($AA76),90%))</f>
        <v>1220</v>
      </c>
      <c r="AM76" s="10" t="n">
        <f aca="false">IF(OR(LEFT($B76,4)="_Mil",$C76="&lt;01"),"",ROUND(SUM($AJ76)*SUM($AL76),0))</f>
        <v>0</v>
      </c>
      <c r="AN76" s="10" t="str">
        <f aca="false">IF($C76="&lt;01",ROUND(INDEX(EID!$P:$P,MATCH($B76,EID!$B:$B,0))/2,0),"")</f>
        <v/>
      </c>
      <c r="AO76" s="10" t="n">
        <f aca="false">IF($C76="&lt;01",SUM($AN76),ROUND(SUM($AM76)*SUM($O76)/IF(SUM($Z76)=0,1,$Z76),0))</f>
        <v>0</v>
      </c>
      <c r="AP76" s="39" t="n">
        <f aca="false">IF(OR($F76="",$C76="&lt;01"),$AO76,$F76)</f>
        <v>0</v>
      </c>
      <c r="AQ76" s="39" t="n">
        <f aca="false">IF(LEFT($B76,4)="_Mil","",IF(SUM($AP76)=0,SUM($Z76),IF(OR(SUM($Z76)=0,SUM($O76)=0),MAX($AP76,$Z76),$AP76*$Z76/$O76)))</f>
        <v>1274</v>
      </c>
      <c r="AR76" s="88" t="str">
        <f aca="false">IF(OR(LEFT($B76,4)="_Mil",SUM($AJ76)=0),"",SUM($AQ76)/$AJ76)</f>
        <v/>
      </c>
      <c r="AS76" s="88" t="n">
        <f aca="false">IF($C76="&lt;01","",98%)</f>
        <v>0.98</v>
      </c>
      <c r="AT76" s="88" t="n">
        <f aca="false">IF($C76="&lt;01","",98%)</f>
        <v>0.98</v>
      </c>
      <c r="AU76" s="10" t="n">
        <f aca="false">IF($C76="&lt;01","",SUM($AP76)-SUM($O76))</f>
        <v>-738</v>
      </c>
      <c r="AV76" s="10" t="n">
        <f aca="false">IF($C76="&lt;01",ROUND(INDEX(EID!$N:$N,MATCH($B76,EID!$B:$B,0))/2,0),IF(SUM($AT76)=0,"",ROUND((SUM($AP76)-(SUM($O76)*SUM($AS76)))/$AT76,0)))</f>
        <v>-738</v>
      </c>
      <c r="AW76" s="88" t="n">
        <f aca="false">IF($C76="&lt;01","",100%)</f>
        <v>1</v>
      </c>
      <c r="AX76" s="39" t="n">
        <f aca="false">IF($C76="&lt;01",SUM($AV76),ROUND(SUM($AV76)*SUM($AW76),0))</f>
        <v>-738</v>
      </c>
      <c r="AY76" s="114" t="n">
        <f aca="false">IF($C76="&lt;01","",70%)</f>
        <v>0.7</v>
      </c>
      <c r="AZ76" s="91" t="n">
        <f aca="false">IF($C76="&lt;01",ROUND(INDEX(EID!$R:$R,MATCH($B76,EID!$B:$B,0))/2,0),ROUND(SUM($O76)+(SUM($AV76)*$AY76),0))</f>
        <v>221</v>
      </c>
      <c r="BA76" s="87" t="n">
        <f aca="false">IF($C76="&lt;01","",95%)</f>
        <v>0.95</v>
      </c>
      <c r="BB76" s="5" t="n">
        <f aca="false">IF($C76="&lt;01",ROUND(INDEX(EID!$T:$T,MATCH($B76,EID!$B:$B,0))/2,0),ROUND($AZ76*$BA76,0))</f>
        <v>210</v>
      </c>
      <c r="BC76" s="91" t="n">
        <f aca="false">IF(LEFT($B76,4)="_Mil","",IF(SUM($BB76)=0,SUM($AD76),IF(OR(SUM($AP76)=0,SUM($AQ76)=0),MAX($BB76,$AD76),ROUND($BB76*$AQ76/$AP76,0))))</f>
        <v>210</v>
      </c>
      <c r="BD76" s="88" t="n">
        <f aca="false">IF($C76="&lt;01","",95%)</f>
        <v>0.95</v>
      </c>
      <c r="BE76" s="39" t="n">
        <f aca="false">IF($C76="&lt;01",ROUND(INDEX(EID!$V:$V,MATCH($B76,EID!$B:$B,0))/2,0),ROUND($BD76*$BB76,0))</f>
        <v>200</v>
      </c>
      <c r="BF76" s="39" t="n">
        <f aca="false">IF(LEFT($B76,4)="_Mil","",IF(SUM($BE76)=0,SUM($AF76),IF(OR(SUM($AP76)=0,SUM($AQ76)=0),MAX($BE76,$AF76),ROUND($BE76*$AQ76/$AP76,0))))</f>
        <v>200</v>
      </c>
      <c r="BG76" s="114" t="n">
        <f aca="false">IF($C76="&lt;01","",95%)</f>
        <v>0.95</v>
      </c>
      <c r="BH76" s="5" t="n">
        <f aca="false">IF($C76="&lt;01",ROUND(INDEX(EID!$L:$L,MATCH($B76,EID!$B:$B,0)),0)/2,IF(SUM($BG76)=0,"",ROUND($AX76/$BG76,0)))</f>
        <v>-777</v>
      </c>
    </row>
    <row r="77" customFormat="false" ht="15" hidden="false" customHeight="false" outlineLevel="0" collapsed="false">
      <c r="A77" s="0" t="str">
        <f aca="false">INDEX(Prioritization!$D:$D,MATCH($B77,Prioritization!$A:$A,0))</f>
        <v>1 - Scale-up: Saturation</v>
      </c>
      <c r="B77" s="0" t="s">
        <v>198</v>
      </c>
      <c r="C77" s="0" t="s">
        <v>365</v>
      </c>
      <c r="D77" s="0" t="s">
        <v>30</v>
      </c>
      <c r="E77" s="0" t="str">
        <f aca="false">$B77&amp;"|"&amp;$C77&amp;"|"&amp;$D77</f>
        <v>Lilongwe District [ScR9iFKAasW]|15-24|Female</v>
      </c>
      <c r="F77" s="10"/>
      <c r="G77" s="10"/>
      <c r="H77" s="10"/>
      <c r="I77" s="10"/>
      <c r="J77" s="10"/>
      <c r="K77" s="10"/>
      <c r="L77" s="10"/>
      <c r="M77" s="10"/>
      <c r="N77" s="10"/>
      <c r="O77" s="10" t="str">
        <f aca="false">IFERROR(1/(1/MAX($I77,$N77)),"")</f>
        <v/>
      </c>
      <c r="P77" s="10"/>
      <c r="Q77" s="10"/>
      <c r="R77" s="10" t="str">
        <f aca="false">IF(AND(SUM($I77)=0,SUM($O77)=0),"",SUM($O77)-$I77)</f>
        <v/>
      </c>
      <c r="S77" s="10" t="n">
        <f aca="false">IF(LEFT($B77,4)="_Mil","",_xlfn.IFNA(ROUND(INDEX(Spectrum!$N:$N,MATCH(RIGHT($B77,13)&amp;"|"&amp;$C77&amp;"|"&amp;$D77&amp;"|"&amp;S$14&amp;"|"&amp;"CY2022Q4",Spectrum!$R:$R,0)),0),""))</f>
        <v>1073</v>
      </c>
      <c r="T77" s="39" t="n">
        <f aca="false">IF(LEFT($B77,4)="_Mil","",_xlfn.IFNA(ROUND(INDEX(Spectrum!$N:$N,MATCH(RIGHT($B77,13)&amp;"|"&amp;$C77&amp;"|"&amp;$D77&amp;"|"&amp;T$14&amp;"|"&amp;"CY2023Q3",Spectrum!$R:$R,0)),0),""))</f>
        <v>1885</v>
      </c>
      <c r="U77" s="39" t="str">
        <f aca="false">IF(LEFT($B77,4)="_Mil","",_xlfn.IFNA(ROUND(INDEX(Spectrum!$N:$N,MATCH(RIGHT($B77,13)&amp;"|"&amp;$C77&amp;"|"&amp;$D77&amp;"|"&amp;U$14&amp;"|"&amp;"CY2023Q3",Spectrum!$R:$R,0)),0),""))</f>
        <v/>
      </c>
      <c r="V77" s="10" t="n">
        <f aca="false">IF(LEFT($B77,4)="_Mil","",_xlfn.IFNA(ROUND(INDEX(Spectrum!$N:$N,MATCH(RIGHT($B77,13)&amp;"|"&amp;$C77&amp;"|"&amp;$D77&amp;"|"&amp;V$14&amp;"|"&amp;"CY2023Q3",Spectrum!$R:$R,0)),0),""))</f>
        <v>1717</v>
      </c>
      <c r="W77" s="113" t="n">
        <f aca="false">IF(LEFT($B77,4)="_Mil","",_xlfn.IFNA(INDEX(Spectrum!$N:$N,MATCH(RIGHT($B77,13)&amp;"|"&amp;$C77&amp;"|"&amp;$D77&amp;"|"&amp;W$14&amp;"|"&amp;"CY2023Q3",Spectrum!$R:$R,0)),""))</f>
        <v>1802</v>
      </c>
      <c r="X77" s="39" t="n">
        <f aca="false">IF(LEFT($B77,4)="_Mil","",_xlfn.IFNA(ROUND(INDEX(Spectrum!$N:$N,MATCH(RIGHT($B77,13)&amp;"|"&amp;$C77&amp;"|"&amp;$D77&amp;"|"&amp;X$14&amp;"|"&amp;"CY2023Q3",Spectrum!$R:$R,0)),0),""))</f>
        <v>562</v>
      </c>
      <c r="Y77" s="88" t="str">
        <f aca="false">IF(OR(SUM($U77)=0,LEFT($B77,4)="_Mil"),"",SUM($X77)/$U77)</f>
        <v/>
      </c>
      <c r="Z77" s="39" t="n">
        <f aca="false">IF(LEFT($B77,4)="_Mil","",_xlfn.IFNA(ROUND(INDEX(Spectrum!$N:$N,MATCH(RIGHT($B77,13)&amp;"|"&amp;$C77&amp;"|"&amp;$D77&amp;"|"&amp;Z$14&amp;"|"&amp;"CY2023Q3",Spectrum!$R:$R,0)),0),""))</f>
        <v>563</v>
      </c>
      <c r="AA77" s="88" t="n">
        <f aca="false">IF(LEFT($B77,4)="_Mil","",IFERROR(1/(1/INDEX(Spectrum!$N:$N,MATCH(RIGHT($B77,13)&amp;"|"&amp;$C77&amp;"|"&amp;$D77&amp;"|"&amp;AA$14&amp;"|"&amp;"CY2023Q3",Spectrum!$R:$R,0))),IF(SUM($U77)=0,"",SUM($Z77)/$U77)))</f>
        <v>1520</v>
      </c>
      <c r="AB77" s="88" t="n">
        <f aca="false">IF(OR(LEFT($B77,4)="_Mil",SUM($X77)=0),"",SUM($Z77)/$X77)</f>
        <v>1.00177935943061</v>
      </c>
      <c r="AC77" s="10" t="n">
        <f aca="false">IF(LEFT($B77,4)="_Mil","",_xlfn.IFNA(ROUND(INDEX(Spectrum!$N:$N,MATCH(RIGHT($B77,13)&amp;"|"&amp;$C77&amp;"|"&amp;$D77&amp;"|"&amp;AC$14&amp;"|"&amp;"CY2023Q3",Spectrum!$R:$R,0)),0),""))</f>
        <v>752</v>
      </c>
      <c r="AD77" s="10" t="str">
        <f aca="false">IF(LEFT($B77,4)="_Mil","",_xlfn.IFNA(ROUND(INDEX(Spectrum!$N:$N,MATCH(RIGHT($B77,13)&amp;"|"&amp;$C77&amp;"|"&amp;$D77&amp;"|"&amp;AD$14&amp;"|"&amp;"CY2023Q3",Spectrum!$R:$R,0)),0),""))</f>
        <v/>
      </c>
      <c r="AE77" s="88" t="n">
        <f aca="false">IF(OR(LEFT($B77,4)="_Mil",SUM($Z77)=0),"",SUM($AD77)/$Z77)</f>
        <v>0</v>
      </c>
      <c r="AF77" s="39" t="str">
        <f aca="false">IF(LEFT($B77,4)="_Mil","",_xlfn.IFNA(ROUND(INDEX(Spectrum!$N:$N,MATCH(RIGHT($B77,13)&amp;"|"&amp;$C77&amp;"|"&amp;$D77&amp;"|"&amp;AF$14&amp;"|"&amp;"CY2023Q3",Spectrum!$R:$R,0)),0),""))</f>
        <v/>
      </c>
      <c r="AG77" s="88" t="str">
        <f aca="false">IF(OR(LEFT($B77,4)="_Mil",SUM($AD77)=0),"",SUM($AF77)/$AD77)</f>
        <v/>
      </c>
      <c r="AH77" s="86" t="str">
        <f aca="false">IF(LEFT($B77,4)="_Mil","",_xlfn.IFNA(INDEX(Spectrum!$N:$N,MATCH(RIGHT($B77,13)&amp;"|"&amp;$C77&amp;"|"&amp;$D77&amp;"|"&amp;AH$14&amp;"|"&amp;"CY2023Q3",Spectrum!$R:$R,0)),""))</f>
        <v/>
      </c>
      <c r="AI77" s="10" t="str">
        <f aca="false">IF(LEFT($B77,4)="_Mil","",_xlfn.IFNA(ROUND(INDEX(Spectrum!$N:$N,MATCH(RIGHT($B77,13)&amp;"|"&amp;$C77&amp;"|"&amp;$D77&amp;"|"&amp;AI$14&amp;"|"&amp;"CY2023Q3",Spectrum!$R:$R,0)),0),""))</f>
        <v/>
      </c>
      <c r="AJ77" s="39" t="n">
        <f aca="false">IF(LEFT($B77,4)="_Mil","",_xlfn.IFNA(ROUND(INDEX(Spectrum!$N:$N,MATCH(RIGHT($B77,13)&amp;"|"&amp;$C77&amp;"|"&amp;$D77&amp;"|"&amp;AI$14&amp;"|"&amp;"CY2023Q3",Spectrum!$R:$R,0)),0),SUM($U77)+SUM($AI77)))</f>
        <v>0</v>
      </c>
      <c r="AK77" s="10" t="str">
        <f aca="false">IF(LEFT($B77,4)="_Mil","",_xlfn.IFNA(ROUND(INDEX(Spectrum!$N:$N,MATCH(RIGHT($B77,13)&amp;"|"&amp;$C77&amp;"|"&amp;$D77&amp;"|"&amp;AK$14&amp;"|"&amp;"CY2023Q3",Spectrum!$R:$R,0)),0),""))</f>
        <v/>
      </c>
      <c r="AL77" s="88" t="n">
        <f aca="false">IF(OR(LEFT($B77,4)="_Mil",$C77="&lt;01"),"",MAX(SUM($AA77),90%))</f>
        <v>1520</v>
      </c>
      <c r="AM77" s="10" t="n">
        <f aca="false">IF(OR(LEFT($B77,4)="_Mil",$C77="&lt;01"),"",ROUND(SUM($AJ77)*SUM($AL77),0))</f>
        <v>0</v>
      </c>
      <c r="AN77" s="10" t="str">
        <f aca="false">IF($C77="&lt;01",ROUND(INDEX(EID!$P:$P,MATCH($B77,EID!$B:$B,0))/2,0),"")</f>
        <v/>
      </c>
      <c r="AO77" s="10" t="n">
        <f aca="false">IF($C77="&lt;01",SUM($AN77),ROUND(SUM($AM77)*SUM($O77)/IF(SUM($Z77)=0,1,$Z77),0))</f>
        <v>0</v>
      </c>
      <c r="AP77" s="39" t="n">
        <f aca="false">IF(OR($F77="",$C77="&lt;01"),$AO77,$F77)</f>
        <v>0</v>
      </c>
      <c r="AQ77" s="39" t="n">
        <f aca="false">IF(LEFT($B77,4)="_Mil","",IF(SUM($AP77)=0,SUM($Z77),IF(OR(SUM($Z77)=0,SUM($O77)=0),MAX($AP77,$Z77),$AP77*$Z77/$O77)))</f>
        <v>563</v>
      </c>
      <c r="AR77" s="88" t="str">
        <f aca="false">IF(OR(LEFT($B77,4)="_Mil",SUM($AJ77)=0),"",SUM($AQ77)/$AJ77)</f>
        <v/>
      </c>
      <c r="AS77" s="88" t="n">
        <f aca="false">IF($C77="&lt;01","",98%)</f>
        <v>0.98</v>
      </c>
      <c r="AT77" s="88" t="n">
        <f aca="false">IF($C77="&lt;01","",98%)</f>
        <v>0.98</v>
      </c>
      <c r="AU77" s="10" t="n">
        <f aca="false">IF($C77="&lt;01","",SUM($AP77)-SUM($O77))</f>
        <v>0</v>
      </c>
      <c r="AV77" s="10" t="n">
        <f aca="false">IF($C77="&lt;01",ROUND(INDEX(EID!$N:$N,MATCH($B77,EID!$B:$B,0))/2,0),IF(SUM($AT77)=0,"",ROUND((SUM($AP77)-(SUM($O77)*SUM($AS77)))/$AT77,0)))</f>
        <v>0</v>
      </c>
      <c r="AW77" s="88" t="n">
        <f aca="false">IF($C77="&lt;01","",100%)</f>
        <v>1</v>
      </c>
      <c r="AX77" s="39" t="n">
        <f aca="false">IF($C77="&lt;01",SUM($AV77),ROUND(SUM($AV77)*SUM($AW77),0))</f>
        <v>0</v>
      </c>
      <c r="AY77" s="114" t="n">
        <f aca="false">IF($C77="&lt;01","",70%)</f>
        <v>0.7</v>
      </c>
      <c r="AZ77" s="91" t="n">
        <f aca="false">IF($C77="&lt;01",ROUND(INDEX(EID!$R:$R,MATCH($B77,EID!$B:$B,0))/2,0),ROUND(SUM($O77)+(SUM($AV77)*$AY77),0))</f>
        <v>0</v>
      </c>
      <c r="BA77" s="87" t="n">
        <f aca="false">IF($C77="&lt;01","",95%)</f>
        <v>0.95</v>
      </c>
      <c r="BB77" s="5" t="n">
        <f aca="false">IF($C77="&lt;01",ROUND(INDEX(EID!$T:$T,MATCH($B77,EID!$B:$B,0))/2,0),ROUND($AZ77*$BA77,0))</f>
        <v>0</v>
      </c>
      <c r="BC77" s="91" t="n">
        <f aca="false">IF(LEFT($B77,4)="_Mil","",IF(SUM($BB77)=0,SUM($AD77),IF(OR(SUM($AP77)=0,SUM($AQ77)=0),MAX($BB77,$AD77),ROUND($BB77*$AQ77/$AP77,0))))</f>
        <v>0</v>
      </c>
      <c r="BD77" s="88" t="n">
        <f aca="false">IF($C77="&lt;01","",95%)</f>
        <v>0.95</v>
      </c>
      <c r="BE77" s="39" t="n">
        <f aca="false">IF($C77="&lt;01",ROUND(INDEX(EID!$V:$V,MATCH($B77,EID!$B:$B,0))/2,0),ROUND($BD77*$BB77,0))</f>
        <v>0</v>
      </c>
      <c r="BF77" s="39" t="n">
        <f aca="false">IF(LEFT($B77,4)="_Mil","",IF(SUM($BE77)=0,SUM($AF77),IF(OR(SUM($AP77)=0,SUM($AQ77)=0),MAX($BE77,$AF77),ROUND($BE77*$AQ77/$AP77,0))))</f>
        <v>0</v>
      </c>
      <c r="BG77" s="114" t="n">
        <f aca="false">IF($C77="&lt;01","",95%)</f>
        <v>0.95</v>
      </c>
      <c r="BH77" s="5" t="n">
        <f aca="false">IF($C77="&lt;01",ROUND(INDEX(EID!$L:$L,MATCH($B77,EID!$B:$B,0)),0)/2,IF(SUM($BG77)=0,"",ROUND($AX77/$BG77,0)))</f>
        <v>0</v>
      </c>
    </row>
    <row r="78" customFormat="false" ht="15" hidden="false" customHeight="false" outlineLevel="0" collapsed="false">
      <c r="A78" s="0" t="str">
        <f aca="false">INDEX(Prioritization!$D:$D,MATCH($B78,Prioritization!$A:$A,0))</f>
        <v>1 - Scale-up: Saturation</v>
      </c>
      <c r="B78" s="0" t="s">
        <v>198</v>
      </c>
      <c r="C78" s="0" t="s">
        <v>365</v>
      </c>
      <c r="D78" s="0" t="s">
        <v>48</v>
      </c>
      <c r="E78" s="0" t="str">
        <f aca="false">$B78&amp;"|"&amp;$C78&amp;"|"&amp;$D78</f>
        <v>Lilongwe District [ScR9iFKAasW]|15-24|Male</v>
      </c>
      <c r="F78" s="10"/>
      <c r="G78" s="10"/>
      <c r="H78" s="10"/>
      <c r="I78" s="10"/>
      <c r="J78" s="10"/>
      <c r="K78" s="10"/>
      <c r="L78" s="10"/>
      <c r="M78" s="10"/>
      <c r="N78" s="10"/>
      <c r="O78" s="10" t="str">
        <f aca="false">IFERROR(1/(1/MAX($I78,$N78)),"")</f>
        <v/>
      </c>
      <c r="P78" s="10"/>
      <c r="Q78" s="10"/>
      <c r="R78" s="10" t="str">
        <f aca="false">IF(AND(SUM($I78)=0,SUM($O78)=0),"",SUM($O78)-$I78)</f>
        <v/>
      </c>
      <c r="S78" s="10" t="n">
        <f aca="false">IF(LEFT($B78,4)="_Mil","",_xlfn.IFNA(ROUND(INDEX(Spectrum!$N:$N,MATCH(RIGHT($B78,13)&amp;"|"&amp;$C78&amp;"|"&amp;$D78&amp;"|"&amp;S$14&amp;"|"&amp;"CY2022Q4",Spectrum!$R:$R,0)),0),""))</f>
        <v>1629</v>
      </c>
      <c r="T78" s="39" t="n">
        <f aca="false">IF(LEFT($B78,4)="_Mil","",_xlfn.IFNA(ROUND(INDEX(Spectrum!$N:$N,MATCH(RIGHT($B78,13)&amp;"|"&amp;$C78&amp;"|"&amp;$D78&amp;"|"&amp;T$14&amp;"|"&amp;"CY2023Q3",Spectrum!$R:$R,0)),0),""))</f>
        <v>1493</v>
      </c>
      <c r="U78" s="39" t="str">
        <f aca="false">IF(LEFT($B78,4)="_Mil","",_xlfn.IFNA(ROUND(INDEX(Spectrum!$N:$N,MATCH(RIGHT($B78,13)&amp;"|"&amp;$C78&amp;"|"&amp;$D78&amp;"|"&amp;U$14&amp;"|"&amp;"CY2023Q3",Spectrum!$R:$R,0)),0),""))</f>
        <v/>
      </c>
      <c r="V78" s="10" t="n">
        <f aca="false">IF(LEFT($B78,4)="_Mil","",_xlfn.IFNA(ROUND(INDEX(Spectrum!$N:$N,MATCH(RIGHT($B78,13)&amp;"|"&amp;$C78&amp;"|"&amp;$D78&amp;"|"&amp;V$14&amp;"|"&amp;"CY2023Q3",Spectrum!$R:$R,0)),0),""))</f>
        <v>1801</v>
      </c>
      <c r="W78" s="113" t="n">
        <f aca="false">IF(LEFT($B78,4)="_Mil","",_xlfn.IFNA(INDEX(Spectrum!$N:$N,MATCH(RIGHT($B78,13)&amp;"|"&amp;$C78&amp;"|"&amp;$D78&amp;"|"&amp;W$14&amp;"|"&amp;"CY2023Q3",Spectrum!$R:$R,0)),""))</f>
        <v>1947</v>
      </c>
      <c r="X78" s="39" t="n">
        <f aca="false">IF(LEFT($B78,4)="_Mil","",_xlfn.IFNA(ROUND(INDEX(Spectrum!$N:$N,MATCH(RIGHT($B78,13)&amp;"|"&amp;$C78&amp;"|"&amp;$D78&amp;"|"&amp;X$14&amp;"|"&amp;"CY2023Q3",Spectrum!$R:$R,0)),0),""))</f>
        <v>1145</v>
      </c>
      <c r="Y78" s="88" t="str">
        <f aca="false">IF(OR(SUM($U78)=0,LEFT($B78,4)="_Mil"),"",SUM($X78)/$U78)</f>
        <v/>
      </c>
      <c r="Z78" s="39" t="n">
        <f aca="false">IF(LEFT($B78,4)="_Mil","",_xlfn.IFNA(ROUND(INDEX(Spectrum!$N:$N,MATCH(RIGHT($B78,13)&amp;"|"&amp;$C78&amp;"|"&amp;$D78&amp;"|"&amp;Z$14&amp;"|"&amp;"CY2023Q3",Spectrum!$R:$R,0)),0),""))</f>
        <v>822</v>
      </c>
      <c r="AA78" s="88" t="n">
        <f aca="false">IF(LEFT($B78,4)="_Mil","",IFERROR(1/(1/INDEX(Spectrum!$N:$N,MATCH(RIGHT($B78,13)&amp;"|"&amp;$C78&amp;"|"&amp;$D78&amp;"|"&amp;AA$14&amp;"|"&amp;"CY2023Q3",Spectrum!$R:$R,0))),IF(SUM($U78)=0,"",SUM($Z78)/$U78)))</f>
        <v>590</v>
      </c>
      <c r="AB78" s="88" t="n">
        <f aca="false">IF(OR(LEFT($B78,4)="_Mil",SUM($X78)=0),"",SUM($Z78)/$X78)</f>
        <v>0.717903930131004</v>
      </c>
      <c r="AC78" s="10" t="n">
        <f aca="false">IF(LEFT($B78,4)="_Mil","",_xlfn.IFNA(ROUND(INDEX(Spectrum!$N:$N,MATCH(RIGHT($B78,13)&amp;"|"&amp;$C78&amp;"|"&amp;$D78&amp;"|"&amp;AC$14&amp;"|"&amp;"CY2023Q3",Spectrum!$R:$R,0)),0),""))</f>
        <v>1020</v>
      </c>
      <c r="AD78" s="10" t="str">
        <f aca="false">IF(LEFT($B78,4)="_Mil","",_xlfn.IFNA(ROUND(INDEX(Spectrum!$N:$N,MATCH(RIGHT($B78,13)&amp;"|"&amp;$C78&amp;"|"&amp;$D78&amp;"|"&amp;AD$14&amp;"|"&amp;"CY2023Q3",Spectrum!$R:$R,0)),0),""))</f>
        <v/>
      </c>
      <c r="AE78" s="88" t="n">
        <f aca="false">IF(OR(LEFT($B78,4)="_Mil",SUM($Z78)=0),"",SUM($AD78)/$Z78)</f>
        <v>0</v>
      </c>
      <c r="AF78" s="39" t="str">
        <f aca="false">IF(LEFT($B78,4)="_Mil","",_xlfn.IFNA(ROUND(INDEX(Spectrum!$N:$N,MATCH(RIGHT($B78,13)&amp;"|"&amp;$C78&amp;"|"&amp;$D78&amp;"|"&amp;AF$14&amp;"|"&amp;"CY2023Q3",Spectrum!$R:$R,0)),0),""))</f>
        <v/>
      </c>
      <c r="AG78" s="88" t="str">
        <f aca="false">IF(OR(LEFT($B78,4)="_Mil",SUM($AD78)=0),"",SUM($AF78)/$AD78)</f>
        <v/>
      </c>
      <c r="AH78" s="86" t="str">
        <f aca="false">IF(LEFT($B78,4)="_Mil","",_xlfn.IFNA(INDEX(Spectrum!$N:$N,MATCH(RIGHT($B78,13)&amp;"|"&amp;$C78&amp;"|"&amp;$D78&amp;"|"&amp;AH$14&amp;"|"&amp;"CY2023Q3",Spectrum!$R:$R,0)),""))</f>
        <v/>
      </c>
      <c r="AI78" s="10" t="str">
        <f aca="false">IF(LEFT($B78,4)="_Mil","",_xlfn.IFNA(ROUND(INDEX(Spectrum!$N:$N,MATCH(RIGHT($B78,13)&amp;"|"&amp;$C78&amp;"|"&amp;$D78&amp;"|"&amp;AI$14&amp;"|"&amp;"CY2023Q3",Spectrum!$R:$R,0)),0),""))</f>
        <v/>
      </c>
      <c r="AJ78" s="39" t="n">
        <f aca="false">IF(LEFT($B78,4)="_Mil","",_xlfn.IFNA(ROUND(INDEX(Spectrum!$N:$N,MATCH(RIGHT($B78,13)&amp;"|"&amp;$C78&amp;"|"&amp;$D78&amp;"|"&amp;AI$14&amp;"|"&amp;"CY2023Q3",Spectrum!$R:$R,0)),0),SUM($U78)+SUM($AI78)))</f>
        <v>0</v>
      </c>
      <c r="AK78" s="10" t="str">
        <f aca="false">IF(LEFT($B78,4)="_Mil","",_xlfn.IFNA(ROUND(INDEX(Spectrum!$N:$N,MATCH(RIGHT($B78,13)&amp;"|"&amp;$C78&amp;"|"&amp;$D78&amp;"|"&amp;AK$14&amp;"|"&amp;"CY2023Q3",Spectrum!$R:$R,0)),0),""))</f>
        <v/>
      </c>
      <c r="AL78" s="88" t="n">
        <f aca="false">IF(OR(LEFT($B78,4)="_Mil",$C78="&lt;01"),"",MAX(SUM($AA78),90%))</f>
        <v>590</v>
      </c>
      <c r="AM78" s="10" t="n">
        <f aca="false">IF(OR(LEFT($B78,4)="_Mil",$C78="&lt;01"),"",ROUND(SUM($AJ78)*SUM($AL78),0))</f>
        <v>0</v>
      </c>
      <c r="AN78" s="10" t="str">
        <f aca="false">IF($C78="&lt;01",ROUND(INDEX(EID!$P:$P,MATCH($B78,EID!$B:$B,0))/2,0),"")</f>
        <v/>
      </c>
      <c r="AO78" s="10" t="n">
        <f aca="false">IF($C78="&lt;01",SUM($AN78),ROUND(SUM($AM78)*SUM($O78)/IF(SUM($Z78)=0,1,$Z78),0))</f>
        <v>0</v>
      </c>
      <c r="AP78" s="39" t="n">
        <f aca="false">IF(OR($F78="",$C78="&lt;01"),$AO78,$F78)</f>
        <v>0</v>
      </c>
      <c r="AQ78" s="39" t="n">
        <f aca="false">IF(LEFT($B78,4)="_Mil","",IF(SUM($AP78)=0,SUM($Z78),IF(OR(SUM($Z78)=0,SUM($O78)=0),MAX($AP78,$Z78),$AP78*$Z78/$O78)))</f>
        <v>822</v>
      </c>
      <c r="AR78" s="88" t="str">
        <f aca="false">IF(OR(LEFT($B78,4)="_Mil",SUM($AJ78)=0),"",SUM($AQ78)/$AJ78)</f>
        <v/>
      </c>
      <c r="AS78" s="88" t="n">
        <f aca="false">IF($C78="&lt;01","",98%)</f>
        <v>0.98</v>
      </c>
      <c r="AT78" s="88" t="n">
        <f aca="false">IF($C78="&lt;01","",98%)</f>
        <v>0.98</v>
      </c>
      <c r="AU78" s="10" t="n">
        <f aca="false">IF($C78="&lt;01","",SUM($AP78)-SUM($O78))</f>
        <v>0</v>
      </c>
      <c r="AV78" s="10" t="n">
        <f aca="false">IF($C78="&lt;01",ROUND(INDEX(EID!$N:$N,MATCH($B78,EID!$B:$B,0))/2,0),IF(SUM($AT78)=0,"",ROUND((SUM($AP78)-(SUM($O78)*SUM($AS78)))/$AT78,0)))</f>
        <v>0</v>
      </c>
      <c r="AW78" s="88" t="n">
        <f aca="false">IF($C78="&lt;01","",100%)</f>
        <v>1</v>
      </c>
      <c r="AX78" s="39" t="n">
        <f aca="false">IF($C78="&lt;01",SUM($AV78),ROUND(SUM($AV78)*SUM($AW78),0))</f>
        <v>0</v>
      </c>
      <c r="AY78" s="114" t="n">
        <f aca="false">IF($C78="&lt;01","",70%)</f>
        <v>0.7</v>
      </c>
      <c r="AZ78" s="91" t="n">
        <f aca="false">IF($C78="&lt;01",ROUND(INDEX(EID!$R:$R,MATCH($B78,EID!$B:$B,0))/2,0),ROUND(SUM($O78)+(SUM($AV78)*$AY78),0))</f>
        <v>0</v>
      </c>
      <c r="BA78" s="87" t="n">
        <f aca="false">IF($C78="&lt;01","",95%)</f>
        <v>0.95</v>
      </c>
      <c r="BB78" s="5" t="n">
        <f aca="false">IF($C78="&lt;01",ROUND(INDEX(EID!$T:$T,MATCH($B78,EID!$B:$B,0))/2,0),ROUND($AZ78*$BA78,0))</f>
        <v>0</v>
      </c>
      <c r="BC78" s="91" t="n">
        <f aca="false">IF(LEFT($B78,4)="_Mil","",IF(SUM($BB78)=0,SUM($AD78),IF(OR(SUM($AP78)=0,SUM($AQ78)=0),MAX($BB78,$AD78),ROUND($BB78*$AQ78/$AP78,0))))</f>
        <v>0</v>
      </c>
      <c r="BD78" s="88" t="n">
        <f aca="false">IF($C78="&lt;01","",95%)</f>
        <v>0.95</v>
      </c>
      <c r="BE78" s="39" t="n">
        <f aca="false">IF($C78="&lt;01",ROUND(INDEX(EID!$V:$V,MATCH($B78,EID!$B:$B,0))/2,0),ROUND($BD78*$BB78,0))</f>
        <v>0</v>
      </c>
      <c r="BF78" s="39" t="n">
        <f aca="false">IF(LEFT($B78,4)="_Mil","",IF(SUM($BE78)=0,SUM($AF78),IF(OR(SUM($AP78)=0,SUM($AQ78)=0),MAX($BE78,$AF78),ROUND($BE78*$AQ78/$AP78,0))))</f>
        <v>0</v>
      </c>
      <c r="BG78" s="114" t="n">
        <f aca="false">IF($C78="&lt;01","",95%)</f>
        <v>0.95</v>
      </c>
      <c r="BH78" s="5" t="n">
        <f aca="false">IF($C78="&lt;01",ROUND(INDEX(EID!$L:$L,MATCH($B78,EID!$B:$B,0)),0)/2,IF(SUM($BG78)=0,"",ROUND($AX78/$BG78,0)))</f>
        <v>0</v>
      </c>
    </row>
    <row r="79" customFormat="false" ht="15" hidden="false" customHeight="false" outlineLevel="0" collapsed="false">
      <c r="A79" s="0" t="str">
        <f aca="false">INDEX(Prioritization!$D:$D,MATCH($B79,Prioritization!$A:$A,0))</f>
        <v>1 - Scale-up: Saturation</v>
      </c>
      <c r="B79" s="0" t="s">
        <v>198</v>
      </c>
      <c r="C79" s="0" t="s">
        <v>366</v>
      </c>
      <c r="D79" s="0" t="s">
        <v>30</v>
      </c>
      <c r="E79" s="0" t="str">
        <f aca="false">$B79&amp;"|"&amp;$C79&amp;"|"&amp;$D79</f>
        <v>Lilongwe District [ScR9iFKAasW]|25-34|Female</v>
      </c>
      <c r="F79" s="10"/>
      <c r="G79" s="10"/>
      <c r="H79" s="10"/>
      <c r="I79" s="10"/>
      <c r="J79" s="10"/>
      <c r="K79" s="10"/>
      <c r="L79" s="10"/>
      <c r="M79" s="10"/>
      <c r="N79" s="10"/>
      <c r="O79" s="10" t="str">
        <f aca="false">IFERROR(1/(1/MAX($I79,$N79)),"")</f>
        <v/>
      </c>
      <c r="P79" s="10"/>
      <c r="Q79" s="10"/>
      <c r="R79" s="10" t="str">
        <f aca="false">IF(AND(SUM($I79)=0,SUM($O79)=0),"",SUM($O79)-$I79)</f>
        <v/>
      </c>
      <c r="S79" s="10" t="n">
        <f aca="false">IF(LEFT($B79,4)="_Mil","",_xlfn.IFNA(ROUND(INDEX(Spectrum!$N:$N,MATCH(RIGHT($B79,13)&amp;"|"&amp;$C79&amp;"|"&amp;$D79&amp;"|"&amp;S$14&amp;"|"&amp;"CY2022Q4",Spectrum!$R:$R,0)),0),""))</f>
        <v>688</v>
      </c>
      <c r="T79" s="39" t="n">
        <f aca="false">IF(LEFT($B79,4)="_Mil","",_xlfn.IFNA(ROUND(INDEX(Spectrum!$N:$N,MATCH(RIGHT($B79,13)&amp;"|"&amp;$C79&amp;"|"&amp;$D79&amp;"|"&amp;T$14&amp;"|"&amp;"CY2023Q3",Spectrum!$R:$R,0)),0),""))</f>
        <v>1646</v>
      </c>
      <c r="U79" s="39" t="str">
        <f aca="false">IF(LEFT($B79,4)="_Mil","",_xlfn.IFNA(ROUND(INDEX(Spectrum!$N:$N,MATCH(RIGHT($B79,13)&amp;"|"&amp;$C79&amp;"|"&amp;$D79&amp;"|"&amp;U$14&amp;"|"&amp;"CY2023Q3",Spectrum!$R:$R,0)),0),""))</f>
        <v/>
      </c>
      <c r="V79" s="10" t="n">
        <f aca="false">IF(LEFT($B79,4)="_Mil","",_xlfn.IFNA(ROUND(INDEX(Spectrum!$N:$N,MATCH(RIGHT($B79,13)&amp;"|"&amp;$C79&amp;"|"&amp;$D79&amp;"|"&amp;V$14&amp;"|"&amp;"CY2023Q3",Spectrum!$R:$R,0)),0),""))</f>
        <v>1729</v>
      </c>
      <c r="W79" s="113" t="n">
        <f aca="false">IF(LEFT($B79,4)="_Mil","",_xlfn.IFNA(INDEX(Spectrum!$N:$N,MATCH(RIGHT($B79,13)&amp;"|"&amp;$C79&amp;"|"&amp;$D79&amp;"|"&amp;W$14&amp;"|"&amp;"CY2023Q3",Spectrum!$R:$R,0)),""))</f>
        <v>812</v>
      </c>
      <c r="X79" s="39" t="n">
        <f aca="false">IF(LEFT($B79,4)="_Mil","",_xlfn.IFNA(ROUND(INDEX(Spectrum!$N:$N,MATCH(RIGHT($B79,13)&amp;"|"&amp;$C79&amp;"|"&amp;$D79&amp;"|"&amp;X$14&amp;"|"&amp;"CY2023Q3",Spectrum!$R:$R,0)),0),""))</f>
        <v>1029</v>
      </c>
      <c r="Y79" s="88" t="str">
        <f aca="false">IF(OR(SUM($U79)=0,LEFT($B79,4)="_Mil"),"",SUM($X79)/$U79)</f>
        <v/>
      </c>
      <c r="Z79" s="39" t="n">
        <f aca="false">IF(LEFT($B79,4)="_Mil","",_xlfn.IFNA(ROUND(INDEX(Spectrum!$N:$N,MATCH(RIGHT($B79,13)&amp;"|"&amp;$C79&amp;"|"&amp;$D79&amp;"|"&amp;Z$14&amp;"|"&amp;"CY2023Q3",Spectrum!$R:$R,0)),0),""))</f>
        <v>1500</v>
      </c>
      <c r="AA79" s="88" t="n">
        <f aca="false">IF(LEFT($B79,4)="_Mil","",IFERROR(1/(1/INDEX(Spectrum!$N:$N,MATCH(RIGHT($B79,13)&amp;"|"&amp;$C79&amp;"|"&amp;$D79&amp;"|"&amp;AA$14&amp;"|"&amp;"CY2023Q3",Spectrum!$R:$R,0))),IF(SUM($U79)=0,"",SUM($Z79)/$U79)))</f>
        <v>1656</v>
      </c>
      <c r="AB79" s="88" t="n">
        <f aca="false">IF(OR(LEFT($B79,4)="_Mil",SUM($X79)=0),"",SUM($Z79)/$X79)</f>
        <v>1.45772594752187</v>
      </c>
      <c r="AC79" s="10" t="n">
        <f aca="false">IF(LEFT($B79,4)="_Mil","",_xlfn.IFNA(ROUND(INDEX(Spectrum!$N:$N,MATCH(RIGHT($B79,13)&amp;"|"&amp;$C79&amp;"|"&amp;$D79&amp;"|"&amp;AC$14&amp;"|"&amp;"CY2023Q3",Spectrum!$R:$R,0)),0),""))</f>
        <v>1361</v>
      </c>
      <c r="AD79" s="10" t="str">
        <f aca="false">IF(LEFT($B79,4)="_Mil","",_xlfn.IFNA(ROUND(INDEX(Spectrum!$N:$N,MATCH(RIGHT($B79,13)&amp;"|"&amp;$C79&amp;"|"&amp;$D79&amp;"|"&amp;AD$14&amp;"|"&amp;"CY2023Q3",Spectrum!$R:$R,0)),0),""))</f>
        <v/>
      </c>
      <c r="AE79" s="88" t="n">
        <f aca="false">IF(OR(LEFT($B79,4)="_Mil",SUM($Z79)=0),"",SUM($AD79)/$Z79)</f>
        <v>0</v>
      </c>
      <c r="AF79" s="39" t="str">
        <f aca="false">IF(LEFT($B79,4)="_Mil","",_xlfn.IFNA(ROUND(INDEX(Spectrum!$N:$N,MATCH(RIGHT($B79,13)&amp;"|"&amp;$C79&amp;"|"&amp;$D79&amp;"|"&amp;AF$14&amp;"|"&amp;"CY2023Q3",Spectrum!$R:$R,0)),0),""))</f>
        <v/>
      </c>
      <c r="AG79" s="88" t="str">
        <f aca="false">IF(OR(LEFT($B79,4)="_Mil",SUM($AD79)=0),"",SUM($AF79)/$AD79)</f>
        <v/>
      </c>
      <c r="AH79" s="86" t="str">
        <f aca="false">IF(LEFT($B79,4)="_Mil","",_xlfn.IFNA(INDEX(Spectrum!$N:$N,MATCH(RIGHT($B79,13)&amp;"|"&amp;$C79&amp;"|"&amp;$D79&amp;"|"&amp;AH$14&amp;"|"&amp;"CY2023Q3",Spectrum!$R:$R,0)),""))</f>
        <v/>
      </c>
      <c r="AI79" s="10" t="str">
        <f aca="false">IF(LEFT($B79,4)="_Mil","",_xlfn.IFNA(ROUND(INDEX(Spectrum!$N:$N,MATCH(RIGHT($B79,13)&amp;"|"&amp;$C79&amp;"|"&amp;$D79&amp;"|"&amp;AI$14&amp;"|"&amp;"CY2023Q3",Spectrum!$R:$R,0)),0),""))</f>
        <v/>
      </c>
      <c r="AJ79" s="39" t="n">
        <f aca="false">IF(LEFT($B79,4)="_Mil","",_xlfn.IFNA(ROUND(INDEX(Spectrum!$N:$N,MATCH(RIGHT($B79,13)&amp;"|"&amp;$C79&amp;"|"&amp;$D79&amp;"|"&amp;AI$14&amp;"|"&amp;"CY2023Q3",Spectrum!$R:$R,0)),0),SUM($U79)+SUM($AI79)))</f>
        <v>0</v>
      </c>
      <c r="AK79" s="10" t="str">
        <f aca="false">IF(LEFT($B79,4)="_Mil","",_xlfn.IFNA(ROUND(INDEX(Spectrum!$N:$N,MATCH(RIGHT($B79,13)&amp;"|"&amp;$C79&amp;"|"&amp;$D79&amp;"|"&amp;AK$14&amp;"|"&amp;"CY2023Q3",Spectrum!$R:$R,0)),0),""))</f>
        <v/>
      </c>
      <c r="AL79" s="88" t="n">
        <f aca="false">IF(OR(LEFT($B79,4)="_Mil",$C79="&lt;01"),"",MAX(SUM($AA79),90%))</f>
        <v>1656</v>
      </c>
      <c r="AM79" s="10" t="n">
        <f aca="false">IF(OR(LEFT($B79,4)="_Mil",$C79="&lt;01"),"",ROUND(SUM($AJ79)*SUM($AL79),0))</f>
        <v>0</v>
      </c>
      <c r="AN79" s="10" t="str">
        <f aca="false">IF($C79="&lt;01",ROUND(INDEX(EID!$P:$P,MATCH($B79,EID!$B:$B,0))/2,0),"")</f>
        <v/>
      </c>
      <c r="AO79" s="10" t="n">
        <f aca="false">IF($C79="&lt;01",SUM($AN79),ROUND(SUM($AM79)*SUM($O79)/IF(SUM($Z79)=0,1,$Z79),0))</f>
        <v>0</v>
      </c>
      <c r="AP79" s="39" t="n">
        <f aca="false">IF(OR($F79="",$C79="&lt;01"),$AO79,$F79)</f>
        <v>0</v>
      </c>
      <c r="AQ79" s="39" t="n">
        <f aca="false">IF(LEFT($B79,4)="_Mil","",IF(SUM($AP79)=0,SUM($Z79),IF(OR(SUM($Z79)=0,SUM($O79)=0),MAX($AP79,$Z79),$AP79*$Z79/$O79)))</f>
        <v>1500</v>
      </c>
      <c r="AR79" s="88" t="str">
        <f aca="false">IF(OR(LEFT($B79,4)="_Mil",SUM($AJ79)=0),"",SUM($AQ79)/$AJ79)</f>
        <v/>
      </c>
      <c r="AS79" s="88" t="n">
        <f aca="false">IF($C79="&lt;01","",98%)</f>
        <v>0.98</v>
      </c>
      <c r="AT79" s="88" t="n">
        <f aca="false">IF($C79="&lt;01","",98%)</f>
        <v>0.98</v>
      </c>
      <c r="AU79" s="10" t="n">
        <f aca="false">IF($C79="&lt;01","",SUM($AP79)-SUM($O79))</f>
        <v>0</v>
      </c>
      <c r="AV79" s="10" t="n">
        <f aca="false">IF($C79="&lt;01",ROUND(INDEX(EID!$N:$N,MATCH($B79,EID!$B:$B,0))/2,0),IF(SUM($AT79)=0,"",ROUND((SUM($AP79)-(SUM($O79)*SUM($AS79)))/$AT79,0)))</f>
        <v>0</v>
      </c>
      <c r="AW79" s="88" t="n">
        <f aca="false">IF($C79="&lt;01","",100%)</f>
        <v>1</v>
      </c>
      <c r="AX79" s="39" t="n">
        <f aca="false">IF($C79="&lt;01",SUM($AV79),ROUND(SUM($AV79)*SUM($AW79),0))</f>
        <v>0</v>
      </c>
      <c r="AY79" s="114" t="n">
        <f aca="false">IF($C79="&lt;01","",70%)</f>
        <v>0.7</v>
      </c>
      <c r="AZ79" s="91" t="n">
        <f aca="false">IF($C79="&lt;01",ROUND(INDEX(EID!$R:$R,MATCH($B79,EID!$B:$B,0))/2,0),ROUND(SUM($O79)+(SUM($AV79)*$AY79),0))</f>
        <v>0</v>
      </c>
      <c r="BA79" s="87" t="n">
        <f aca="false">IF($C79="&lt;01","",95%)</f>
        <v>0.95</v>
      </c>
      <c r="BB79" s="5" t="n">
        <f aca="false">IF($C79="&lt;01",ROUND(INDEX(EID!$T:$T,MATCH($B79,EID!$B:$B,0))/2,0),ROUND($AZ79*$BA79,0))</f>
        <v>0</v>
      </c>
      <c r="BC79" s="91" t="n">
        <f aca="false">IF(LEFT($B79,4)="_Mil","",IF(SUM($BB79)=0,SUM($AD79),IF(OR(SUM($AP79)=0,SUM($AQ79)=0),MAX($BB79,$AD79),ROUND($BB79*$AQ79/$AP79,0))))</f>
        <v>0</v>
      </c>
      <c r="BD79" s="88" t="n">
        <f aca="false">IF($C79="&lt;01","",95%)</f>
        <v>0.95</v>
      </c>
      <c r="BE79" s="39" t="n">
        <f aca="false">IF($C79="&lt;01",ROUND(INDEX(EID!$V:$V,MATCH($B79,EID!$B:$B,0))/2,0),ROUND($BD79*$BB79,0))</f>
        <v>0</v>
      </c>
      <c r="BF79" s="39" t="n">
        <f aca="false">IF(LEFT($B79,4)="_Mil","",IF(SUM($BE79)=0,SUM($AF79),IF(OR(SUM($AP79)=0,SUM($AQ79)=0),MAX($BE79,$AF79),ROUND($BE79*$AQ79/$AP79,0))))</f>
        <v>0</v>
      </c>
      <c r="BG79" s="114" t="n">
        <f aca="false">IF($C79="&lt;01","",95%)</f>
        <v>0.95</v>
      </c>
      <c r="BH79" s="5" t="n">
        <f aca="false">IF($C79="&lt;01",ROUND(INDEX(EID!$L:$L,MATCH($B79,EID!$B:$B,0)),0)/2,IF(SUM($BG79)=0,"",ROUND($AX79/$BG79,0)))</f>
        <v>0</v>
      </c>
    </row>
    <row r="80" customFormat="false" ht="15" hidden="false" customHeight="false" outlineLevel="0" collapsed="false">
      <c r="A80" s="0" t="str">
        <f aca="false">INDEX(Prioritization!$D:$D,MATCH($B80,Prioritization!$A:$A,0))</f>
        <v>1 - Scale-up: Saturation</v>
      </c>
      <c r="B80" s="0" t="s">
        <v>198</v>
      </c>
      <c r="C80" s="0" t="s">
        <v>366</v>
      </c>
      <c r="D80" s="0" t="s">
        <v>48</v>
      </c>
      <c r="E80" s="0" t="str">
        <f aca="false">$B80&amp;"|"&amp;$C80&amp;"|"&amp;$D80</f>
        <v>Lilongwe District [ScR9iFKAasW]|25-34|Male</v>
      </c>
      <c r="F80" s="10"/>
      <c r="G80" s="10"/>
      <c r="H80" s="10"/>
      <c r="I80" s="10"/>
      <c r="J80" s="10"/>
      <c r="K80" s="10"/>
      <c r="L80" s="10"/>
      <c r="M80" s="10"/>
      <c r="N80" s="10"/>
      <c r="O80" s="10" t="str">
        <f aca="false">IFERROR(1/(1/MAX($I80,$N80)),"")</f>
        <v/>
      </c>
      <c r="P80" s="10"/>
      <c r="Q80" s="10"/>
      <c r="R80" s="10" t="str">
        <f aca="false">IF(AND(SUM($I80)=0,SUM($O80)=0),"",SUM($O80)-$I80)</f>
        <v/>
      </c>
      <c r="S80" s="10" t="n">
        <f aca="false">IF(LEFT($B80,4)="_Mil","",_xlfn.IFNA(ROUND(INDEX(Spectrum!$N:$N,MATCH(RIGHT($B80,13)&amp;"|"&amp;$C80&amp;"|"&amp;$D80&amp;"|"&amp;S$14&amp;"|"&amp;"CY2022Q4",Spectrum!$R:$R,0)),0),""))</f>
        <v>1641</v>
      </c>
      <c r="T80" s="39" t="n">
        <f aca="false">IF(LEFT($B80,4)="_Mil","",_xlfn.IFNA(ROUND(INDEX(Spectrum!$N:$N,MATCH(RIGHT($B80,13)&amp;"|"&amp;$C80&amp;"|"&amp;$D80&amp;"|"&amp;T$14&amp;"|"&amp;"CY2023Q3",Spectrum!$R:$R,0)),0),""))</f>
        <v>1287</v>
      </c>
      <c r="U80" s="39" t="str">
        <f aca="false">IF(LEFT($B80,4)="_Mil","",_xlfn.IFNA(ROUND(INDEX(Spectrum!$N:$N,MATCH(RIGHT($B80,13)&amp;"|"&amp;$C80&amp;"|"&amp;$D80&amp;"|"&amp;U$14&amp;"|"&amp;"CY2023Q3",Spectrum!$R:$R,0)),0),""))</f>
        <v/>
      </c>
      <c r="V80" s="10" t="n">
        <f aca="false">IF(LEFT($B80,4)="_Mil","",_xlfn.IFNA(ROUND(INDEX(Spectrum!$N:$N,MATCH(RIGHT($B80,13)&amp;"|"&amp;$C80&amp;"|"&amp;$D80&amp;"|"&amp;V$14&amp;"|"&amp;"CY2023Q3",Spectrum!$R:$R,0)),0),""))</f>
        <v>503</v>
      </c>
      <c r="W80" s="113" t="n">
        <f aca="false">IF(LEFT($B80,4)="_Mil","",_xlfn.IFNA(INDEX(Spectrum!$N:$N,MATCH(RIGHT($B80,13)&amp;"|"&amp;$C80&amp;"|"&amp;$D80&amp;"|"&amp;W$14&amp;"|"&amp;"CY2023Q3",Spectrum!$R:$R,0)),""))</f>
        <v>1679</v>
      </c>
      <c r="X80" s="39" t="n">
        <f aca="false">IF(LEFT($B80,4)="_Mil","",_xlfn.IFNA(ROUND(INDEX(Spectrum!$N:$N,MATCH(RIGHT($B80,13)&amp;"|"&amp;$C80&amp;"|"&amp;$D80&amp;"|"&amp;X$14&amp;"|"&amp;"CY2023Q3",Spectrum!$R:$R,0)),0),""))</f>
        <v>1917</v>
      </c>
      <c r="Y80" s="88" t="str">
        <f aca="false">IF(OR(SUM($U80)=0,LEFT($B80,4)="_Mil"),"",SUM($X80)/$U80)</f>
        <v/>
      </c>
      <c r="Z80" s="39" t="n">
        <f aca="false">IF(LEFT($B80,4)="_Mil","",_xlfn.IFNA(ROUND(INDEX(Spectrum!$N:$N,MATCH(RIGHT($B80,13)&amp;"|"&amp;$C80&amp;"|"&amp;$D80&amp;"|"&amp;Z$14&amp;"|"&amp;"CY2023Q3",Spectrum!$R:$R,0)),0),""))</f>
        <v>1927</v>
      </c>
      <c r="AA80" s="88" t="n">
        <f aca="false">IF(LEFT($B80,4)="_Mil","",IFERROR(1/(1/INDEX(Spectrum!$N:$N,MATCH(RIGHT($B80,13)&amp;"|"&amp;$C80&amp;"|"&amp;$D80&amp;"|"&amp;AA$14&amp;"|"&amp;"CY2023Q3",Spectrum!$R:$R,0))),IF(SUM($U80)=0,"",SUM($Z80)/$U80)))</f>
        <v>1520</v>
      </c>
      <c r="AB80" s="88" t="n">
        <f aca="false">IF(OR(LEFT($B80,4)="_Mil",SUM($X80)=0),"",SUM($Z80)/$X80)</f>
        <v>1.00521648408972</v>
      </c>
      <c r="AC80" s="10" t="n">
        <f aca="false">IF(LEFT($B80,4)="_Mil","",_xlfn.IFNA(ROUND(INDEX(Spectrum!$N:$N,MATCH(RIGHT($B80,13)&amp;"|"&amp;$C80&amp;"|"&amp;$D80&amp;"|"&amp;AC$14&amp;"|"&amp;"CY2023Q3",Spectrum!$R:$R,0)),0),""))</f>
        <v>1229</v>
      </c>
      <c r="AD80" s="10" t="str">
        <f aca="false">IF(LEFT($B80,4)="_Mil","",_xlfn.IFNA(ROUND(INDEX(Spectrum!$N:$N,MATCH(RIGHT($B80,13)&amp;"|"&amp;$C80&amp;"|"&amp;$D80&amp;"|"&amp;AD$14&amp;"|"&amp;"CY2023Q3",Spectrum!$R:$R,0)),0),""))</f>
        <v/>
      </c>
      <c r="AE80" s="88" t="n">
        <f aca="false">IF(OR(LEFT($B80,4)="_Mil",SUM($Z80)=0),"",SUM($AD80)/$Z80)</f>
        <v>0</v>
      </c>
      <c r="AF80" s="39" t="str">
        <f aca="false">IF(LEFT($B80,4)="_Mil","",_xlfn.IFNA(ROUND(INDEX(Spectrum!$N:$N,MATCH(RIGHT($B80,13)&amp;"|"&amp;$C80&amp;"|"&amp;$D80&amp;"|"&amp;AF$14&amp;"|"&amp;"CY2023Q3",Spectrum!$R:$R,0)),0),""))</f>
        <v/>
      </c>
      <c r="AG80" s="88" t="str">
        <f aca="false">IF(OR(LEFT($B80,4)="_Mil",SUM($AD80)=0),"",SUM($AF80)/$AD80)</f>
        <v/>
      </c>
      <c r="AH80" s="86" t="str">
        <f aca="false">IF(LEFT($B80,4)="_Mil","",_xlfn.IFNA(INDEX(Spectrum!$N:$N,MATCH(RIGHT($B80,13)&amp;"|"&amp;$C80&amp;"|"&amp;$D80&amp;"|"&amp;AH$14&amp;"|"&amp;"CY2023Q3",Spectrum!$R:$R,0)),""))</f>
        <v/>
      </c>
      <c r="AI80" s="10" t="str">
        <f aca="false">IF(LEFT($B80,4)="_Mil","",_xlfn.IFNA(ROUND(INDEX(Spectrum!$N:$N,MATCH(RIGHT($B80,13)&amp;"|"&amp;$C80&amp;"|"&amp;$D80&amp;"|"&amp;AI$14&amp;"|"&amp;"CY2023Q3",Spectrum!$R:$R,0)),0),""))</f>
        <v/>
      </c>
      <c r="AJ80" s="39" t="n">
        <f aca="false">IF(LEFT($B80,4)="_Mil","",_xlfn.IFNA(ROUND(INDEX(Spectrum!$N:$N,MATCH(RIGHT($B80,13)&amp;"|"&amp;$C80&amp;"|"&amp;$D80&amp;"|"&amp;AI$14&amp;"|"&amp;"CY2023Q3",Spectrum!$R:$R,0)),0),SUM($U80)+SUM($AI80)))</f>
        <v>0</v>
      </c>
      <c r="AK80" s="10" t="str">
        <f aca="false">IF(LEFT($B80,4)="_Mil","",_xlfn.IFNA(ROUND(INDEX(Spectrum!$N:$N,MATCH(RIGHT($B80,13)&amp;"|"&amp;$C80&amp;"|"&amp;$D80&amp;"|"&amp;AK$14&amp;"|"&amp;"CY2023Q3",Spectrum!$R:$R,0)),0),""))</f>
        <v/>
      </c>
      <c r="AL80" s="88" t="n">
        <f aca="false">IF(OR(LEFT($B80,4)="_Mil",$C80="&lt;01"),"",MAX(SUM($AA80),90%))</f>
        <v>1520</v>
      </c>
      <c r="AM80" s="10" t="n">
        <f aca="false">IF(OR(LEFT($B80,4)="_Mil",$C80="&lt;01"),"",ROUND(SUM($AJ80)*SUM($AL80),0))</f>
        <v>0</v>
      </c>
      <c r="AN80" s="10" t="str">
        <f aca="false">IF($C80="&lt;01",ROUND(INDEX(EID!$P:$P,MATCH($B80,EID!$B:$B,0))/2,0),"")</f>
        <v/>
      </c>
      <c r="AO80" s="10" t="n">
        <f aca="false">IF($C80="&lt;01",SUM($AN80),ROUND(SUM($AM80)*SUM($O80)/IF(SUM($Z80)=0,1,$Z80),0))</f>
        <v>0</v>
      </c>
      <c r="AP80" s="39" t="n">
        <f aca="false">IF(OR($F80="",$C80="&lt;01"),$AO80,$F80)</f>
        <v>0</v>
      </c>
      <c r="AQ80" s="39" t="n">
        <f aca="false">IF(LEFT($B80,4)="_Mil","",IF(SUM($AP80)=0,SUM($Z80),IF(OR(SUM($Z80)=0,SUM($O80)=0),MAX($AP80,$Z80),$AP80*$Z80/$O80)))</f>
        <v>1927</v>
      </c>
      <c r="AR80" s="88" t="str">
        <f aca="false">IF(OR(LEFT($B80,4)="_Mil",SUM($AJ80)=0),"",SUM($AQ80)/$AJ80)</f>
        <v/>
      </c>
      <c r="AS80" s="88" t="n">
        <f aca="false">IF($C80="&lt;01","",98%)</f>
        <v>0.98</v>
      </c>
      <c r="AT80" s="88" t="n">
        <f aca="false">IF($C80="&lt;01","",98%)</f>
        <v>0.98</v>
      </c>
      <c r="AU80" s="10" t="n">
        <f aca="false">IF($C80="&lt;01","",SUM($AP80)-SUM($O80))</f>
        <v>0</v>
      </c>
      <c r="AV80" s="10" t="n">
        <f aca="false">IF($C80="&lt;01",ROUND(INDEX(EID!$N:$N,MATCH($B80,EID!$B:$B,0))/2,0),IF(SUM($AT80)=0,"",ROUND((SUM($AP80)-(SUM($O80)*SUM($AS80)))/$AT80,0)))</f>
        <v>0</v>
      </c>
      <c r="AW80" s="88" t="n">
        <f aca="false">IF($C80="&lt;01","",100%)</f>
        <v>1</v>
      </c>
      <c r="AX80" s="39" t="n">
        <f aca="false">IF($C80="&lt;01",SUM($AV80),ROUND(SUM($AV80)*SUM($AW80),0))</f>
        <v>0</v>
      </c>
      <c r="AY80" s="114" t="n">
        <f aca="false">IF($C80="&lt;01","",70%)</f>
        <v>0.7</v>
      </c>
      <c r="AZ80" s="91" t="n">
        <f aca="false">IF($C80="&lt;01",ROUND(INDEX(EID!$R:$R,MATCH($B80,EID!$B:$B,0))/2,0),ROUND(SUM($O80)+(SUM($AV80)*$AY80),0))</f>
        <v>0</v>
      </c>
      <c r="BA80" s="87" t="n">
        <f aca="false">IF($C80="&lt;01","",95%)</f>
        <v>0.95</v>
      </c>
      <c r="BB80" s="5" t="n">
        <f aca="false">IF($C80="&lt;01",ROUND(INDEX(EID!$T:$T,MATCH($B80,EID!$B:$B,0))/2,0),ROUND($AZ80*$BA80,0))</f>
        <v>0</v>
      </c>
      <c r="BC80" s="91" t="n">
        <f aca="false">IF(LEFT($B80,4)="_Mil","",IF(SUM($BB80)=0,SUM($AD80),IF(OR(SUM($AP80)=0,SUM($AQ80)=0),MAX($BB80,$AD80),ROUND($BB80*$AQ80/$AP80,0))))</f>
        <v>0</v>
      </c>
      <c r="BD80" s="88" t="n">
        <f aca="false">IF($C80="&lt;01","",95%)</f>
        <v>0.95</v>
      </c>
      <c r="BE80" s="39" t="n">
        <f aca="false">IF($C80="&lt;01",ROUND(INDEX(EID!$V:$V,MATCH($B80,EID!$B:$B,0))/2,0),ROUND($BD80*$BB80,0))</f>
        <v>0</v>
      </c>
      <c r="BF80" s="39" t="n">
        <f aca="false">IF(LEFT($B80,4)="_Mil","",IF(SUM($BE80)=0,SUM($AF80),IF(OR(SUM($AP80)=0,SUM($AQ80)=0),MAX($BE80,$AF80),ROUND($BE80*$AQ80/$AP80,0))))</f>
        <v>0</v>
      </c>
      <c r="BG80" s="114" t="n">
        <f aca="false">IF($C80="&lt;01","",95%)</f>
        <v>0.95</v>
      </c>
      <c r="BH80" s="5" t="n">
        <f aca="false">IF($C80="&lt;01",ROUND(INDEX(EID!$L:$L,MATCH($B80,EID!$B:$B,0)),0)/2,IF(SUM($BG80)=0,"",ROUND($AX80/$BG80,0)))</f>
        <v>0</v>
      </c>
    </row>
    <row r="81" customFormat="false" ht="15" hidden="false" customHeight="false" outlineLevel="0" collapsed="false">
      <c r="A81" s="0" t="str">
        <f aca="false">INDEX(Prioritization!$D:$D,MATCH($B81,Prioritization!$A:$A,0))</f>
        <v>1 - Scale-up: Saturation</v>
      </c>
      <c r="B81" s="0" t="s">
        <v>198</v>
      </c>
      <c r="C81" s="0" t="s">
        <v>367</v>
      </c>
      <c r="D81" s="0" t="s">
        <v>30</v>
      </c>
      <c r="E81" s="0" t="str">
        <f aca="false">$B81&amp;"|"&amp;$C81&amp;"|"&amp;$D81</f>
        <v>Lilongwe District [ScR9iFKAasW]|35-49|Female</v>
      </c>
      <c r="F81" s="10"/>
      <c r="G81" s="10"/>
      <c r="H81" s="10"/>
      <c r="I81" s="10"/>
      <c r="J81" s="10"/>
      <c r="K81" s="10"/>
      <c r="L81" s="10"/>
      <c r="M81" s="10"/>
      <c r="N81" s="10"/>
      <c r="O81" s="10" t="str">
        <f aca="false">IFERROR(1/(1/MAX($I81,$N81)),"")</f>
        <v/>
      </c>
      <c r="P81" s="10"/>
      <c r="Q81" s="10"/>
      <c r="R81" s="10" t="str">
        <f aca="false">IF(AND(SUM($I81)=0,SUM($O81)=0),"",SUM($O81)-$I81)</f>
        <v/>
      </c>
      <c r="S81" s="10" t="n">
        <f aca="false">IF(LEFT($B81,4)="_Mil","",_xlfn.IFNA(ROUND(INDEX(Spectrum!$N:$N,MATCH(RIGHT($B81,13)&amp;"|"&amp;$C81&amp;"|"&amp;$D81&amp;"|"&amp;S$14&amp;"|"&amp;"CY2022Q4",Spectrum!$R:$R,0)),0),""))</f>
        <v>831</v>
      </c>
      <c r="T81" s="39" t="n">
        <f aca="false">IF(LEFT($B81,4)="_Mil","",_xlfn.IFNA(ROUND(INDEX(Spectrum!$N:$N,MATCH(RIGHT($B81,13)&amp;"|"&amp;$C81&amp;"|"&amp;$D81&amp;"|"&amp;T$14&amp;"|"&amp;"CY2023Q3",Spectrum!$R:$R,0)),0),""))</f>
        <v>1574</v>
      </c>
      <c r="U81" s="39" t="str">
        <f aca="false">IF(LEFT($B81,4)="_Mil","",_xlfn.IFNA(ROUND(INDEX(Spectrum!$N:$N,MATCH(RIGHT($B81,13)&amp;"|"&amp;$C81&amp;"|"&amp;$D81&amp;"|"&amp;U$14&amp;"|"&amp;"CY2023Q3",Spectrum!$R:$R,0)),0),""))</f>
        <v/>
      </c>
      <c r="V81" s="10" t="n">
        <f aca="false">IF(LEFT($B81,4)="_Mil","",_xlfn.IFNA(ROUND(INDEX(Spectrum!$N:$N,MATCH(RIGHT($B81,13)&amp;"|"&amp;$C81&amp;"|"&amp;$D81&amp;"|"&amp;V$14&amp;"|"&amp;"CY2023Q3",Spectrum!$R:$R,0)),0),""))</f>
        <v>1815</v>
      </c>
      <c r="W81" s="113" t="n">
        <f aca="false">IF(LEFT($B81,4)="_Mil","",_xlfn.IFNA(INDEX(Spectrum!$N:$N,MATCH(RIGHT($B81,13)&amp;"|"&amp;$C81&amp;"|"&amp;$D81&amp;"|"&amp;W$14&amp;"|"&amp;"CY2023Q3",Spectrum!$R:$R,0)),""))</f>
        <v>1781</v>
      </c>
      <c r="X81" s="39" t="n">
        <f aca="false">IF(LEFT($B81,4)="_Mil","",_xlfn.IFNA(ROUND(INDEX(Spectrum!$N:$N,MATCH(RIGHT($B81,13)&amp;"|"&amp;$C81&amp;"|"&amp;$D81&amp;"|"&amp;X$14&amp;"|"&amp;"CY2023Q3",Spectrum!$R:$R,0)),0),""))</f>
        <v>1923</v>
      </c>
      <c r="Y81" s="88" t="str">
        <f aca="false">IF(OR(SUM($U81)=0,LEFT($B81,4)="_Mil"),"",SUM($X81)/$U81)</f>
        <v/>
      </c>
      <c r="Z81" s="39" t="n">
        <f aca="false">IF(LEFT($B81,4)="_Mil","",_xlfn.IFNA(ROUND(INDEX(Spectrum!$N:$N,MATCH(RIGHT($B81,13)&amp;"|"&amp;$C81&amp;"|"&amp;$D81&amp;"|"&amp;Z$14&amp;"|"&amp;"CY2023Q3",Spectrum!$R:$R,0)),0),""))</f>
        <v>1104</v>
      </c>
      <c r="AA81" s="88" t="n">
        <f aca="false">IF(LEFT($B81,4)="_Mil","",IFERROR(1/(1/INDEX(Spectrum!$N:$N,MATCH(RIGHT($B81,13)&amp;"|"&amp;$C81&amp;"|"&amp;$D81&amp;"|"&amp;AA$14&amp;"|"&amp;"CY2023Q3",Spectrum!$R:$R,0))),IF(SUM($U81)=0,"",SUM($Z81)/$U81)))</f>
        <v>1181</v>
      </c>
      <c r="AB81" s="88" t="n">
        <f aca="false">IF(OR(LEFT($B81,4)="_Mil",SUM($X81)=0),"",SUM($Z81)/$X81)</f>
        <v>0.574102964118565</v>
      </c>
      <c r="AC81" s="10" t="n">
        <f aca="false">IF(LEFT($B81,4)="_Mil","",_xlfn.IFNA(ROUND(INDEX(Spectrum!$N:$N,MATCH(RIGHT($B81,13)&amp;"|"&amp;$C81&amp;"|"&amp;$D81&amp;"|"&amp;AC$14&amp;"|"&amp;"CY2023Q3",Spectrum!$R:$R,0)),0),""))</f>
        <v>1470</v>
      </c>
      <c r="AD81" s="10" t="str">
        <f aca="false">IF(LEFT($B81,4)="_Mil","",_xlfn.IFNA(ROUND(INDEX(Spectrum!$N:$N,MATCH(RIGHT($B81,13)&amp;"|"&amp;$C81&amp;"|"&amp;$D81&amp;"|"&amp;AD$14&amp;"|"&amp;"CY2023Q3",Spectrum!$R:$R,0)),0),""))</f>
        <v/>
      </c>
      <c r="AE81" s="88" t="n">
        <f aca="false">IF(OR(LEFT($B81,4)="_Mil",SUM($Z81)=0),"",SUM($AD81)/$Z81)</f>
        <v>0</v>
      </c>
      <c r="AF81" s="39" t="str">
        <f aca="false">IF(LEFT($B81,4)="_Mil","",_xlfn.IFNA(ROUND(INDEX(Spectrum!$N:$N,MATCH(RIGHT($B81,13)&amp;"|"&amp;$C81&amp;"|"&amp;$D81&amp;"|"&amp;AF$14&amp;"|"&amp;"CY2023Q3",Spectrum!$R:$R,0)),0),""))</f>
        <v/>
      </c>
      <c r="AG81" s="88" t="str">
        <f aca="false">IF(OR(LEFT($B81,4)="_Mil",SUM($AD81)=0),"",SUM($AF81)/$AD81)</f>
        <v/>
      </c>
      <c r="AH81" s="86" t="str">
        <f aca="false">IF(LEFT($B81,4)="_Mil","",_xlfn.IFNA(INDEX(Spectrum!$N:$N,MATCH(RIGHT($B81,13)&amp;"|"&amp;$C81&amp;"|"&amp;$D81&amp;"|"&amp;AH$14&amp;"|"&amp;"CY2023Q3",Spectrum!$R:$R,0)),""))</f>
        <v/>
      </c>
      <c r="AI81" s="10" t="str">
        <f aca="false">IF(LEFT($B81,4)="_Mil","",_xlfn.IFNA(ROUND(INDEX(Spectrum!$N:$N,MATCH(RIGHT($B81,13)&amp;"|"&amp;$C81&amp;"|"&amp;$D81&amp;"|"&amp;AI$14&amp;"|"&amp;"CY2023Q3",Spectrum!$R:$R,0)),0),""))</f>
        <v/>
      </c>
      <c r="AJ81" s="39" t="n">
        <f aca="false">IF(LEFT($B81,4)="_Mil","",_xlfn.IFNA(ROUND(INDEX(Spectrum!$N:$N,MATCH(RIGHT($B81,13)&amp;"|"&amp;$C81&amp;"|"&amp;$D81&amp;"|"&amp;AI$14&amp;"|"&amp;"CY2023Q3",Spectrum!$R:$R,0)),0),SUM($U81)+SUM($AI81)))</f>
        <v>0</v>
      </c>
      <c r="AK81" s="10" t="str">
        <f aca="false">IF(LEFT($B81,4)="_Mil","",_xlfn.IFNA(ROUND(INDEX(Spectrum!$N:$N,MATCH(RIGHT($B81,13)&amp;"|"&amp;$C81&amp;"|"&amp;$D81&amp;"|"&amp;AK$14&amp;"|"&amp;"CY2023Q3",Spectrum!$R:$R,0)),0),""))</f>
        <v/>
      </c>
      <c r="AL81" s="88" t="n">
        <f aca="false">IF(OR(LEFT($B81,4)="_Mil",$C81="&lt;01"),"",MAX(SUM($AA81),90%))</f>
        <v>1181</v>
      </c>
      <c r="AM81" s="10" t="n">
        <f aca="false">IF(OR(LEFT($B81,4)="_Mil",$C81="&lt;01"),"",ROUND(SUM($AJ81)*SUM($AL81),0))</f>
        <v>0</v>
      </c>
      <c r="AN81" s="10" t="str">
        <f aca="false">IF($C81="&lt;01",ROUND(INDEX(EID!$P:$P,MATCH($B81,EID!$B:$B,0))/2,0),"")</f>
        <v/>
      </c>
      <c r="AO81" s="10" t="n">
        <f aca="false">IF($C81="&lt;01",SUM($AN81),ROUND(SUM($AM81)*SUM($O81)/IF(SUM($Z81)=0,1,$Z81),0))</f>
        <v>0</v>
      </c>
      <c r="AP81" s="39" t="n">
        <f aca="false">IF(OR($F81="",$C81="&lt;01"),$AO81,$F81)</f>
        <v>0</v>
      </c>
      <c r="AQ81" s="39" t="n">
        <f aca="false">IF(LEFT($B81,4)="_Mil","",IF(SUM($AP81)=0,SUM($Z81),IF(OR(SUM($Z81)=0,SUM($O81)=0),MAX($AP81,$Z81),$AP81*$Z81/$O81)))</f>
        <v>1104</v>
      </c>
      <c r="AR81" s="88" t="str">
        <f aca="false">IF(OR(LEFT($B81,4)="_Mil",SUM($AJ81)=0),"",SUM($AQ81)/$AJ81)</f>
        <v/>
      </c>
      <c r="AS81" s="88" t="n">
        <f aca="false">IF($C81="&lt;01","",98%)</f>
        <v>0.98</v>
      </c>
      <c r="AT81" s="88" t="n">
        <f aca="false">IF($C81="&lt;01","",98%)</f>
        <v>0.98</v>
      </c>
      <c r="AU81" s="10" t="n">
        <f aca="false">IF($C81="&lt;01","",SUM($AP81)-SUM($O81))</f>
        <v>0</v>
      </c>
      <c r="AV81" s="10" t="n">
        <f aca="false">IF($C81="&lt;01",ROUND(INDEX(EID!$N:$N,MATCH($B81,EID!$B:$B,0))/2,0),IF(SUM($AT81)=0,"",ROUND((SUM($AP81)-(SUM($O81)*SUM($AS81)))/$AT81,0)))</f>
        <v>0</v>
      </c>
      <c r="AW81" s="88" t="n">
        <f aca="false">IF($C81="&lt;01","",100%)</f>
        <v>1</v>
      </c>
      <c r="AX81" s="39" t="n">
        <f aca="false">IF($C81="&lt;01",SUM($AV81),ROUND(SUM($AV81)*SUM($AW81),0))</f>
        <v>0</v>
      </c>
      <c r="AY81" s="114" t="n">
        <f aca="false">IF($C81="&lt;01","",70%)</f>
        <v>0.7</v>
      </c>
      <c r="AZ81" s="91" t="n">
        <f aca="false">IF($C81="&lt;01",ROUND(INDEX(EID!$R:$R,MATCH($B81,EID!$B:$B,0))/2,0),ROUND(SUM($O81)+(SUM($AV81)*$AY81),0))</f>
        <v>0</v>
      </c>
      <c r="BA81" s="87" t="n">
        <f aca="false">IF($C81="&lt;01","",95%)</f>
        <v>0.95</v>
      </c>
      <c r="BB81" s="5" t="n">
        <f aca="false">IF($C81="&lt;01",ROUND(INDEX(EID!$T:$T,MATCH($B81,EID!$B:$B,0))/2,0),ROUND($AZ81*$BA81,0))</f>
        <v>0</v>
      </c>
      <c r="BC81" s="91" t="n">
        <f aca="false">IF(LEFT($B81,4)="_Mil","",IF(SUM($BB81)=0,SUM($AD81),IF(OR(SUM($AP81)=0,SUM($AQ81)=0),MAX($BB81,$AD81),ROUND($BB81*$AQ81/$AP81,0))))</f>
        <v>0</v>
      </c>
      <c r="BD81" s="88" t="n">
        <f aca="false">IF($C81="&lt;01","",95%)</f>
        <v>0.95</v>
      </c>
      <c r="BE81" s="39" t="n">
        <f aca="false">IF($C81="&lt;01",ROUND(INDEX(EID!$V:$V,MATCH($B81,EID!$B:$B,0))/2,0),ROUND($BD81*$BB81,0))</f>
        <v>0</v>
      </c>
      <c r="BF81" s="39" t="n">
        <f aca="false">IF(LEFT($B81,4)="_Mil","",IF(SUM($BE81)=0,SUM($AF81),IF(OR(SUM($AP81)=0,SUM($AQ81)=0),MAX($BE81,$AF81),ROUND($BE81*$AQ81/$AP81,0))))</f>
        <v>0</v>
      </c>
      <c r="BG81" s="114" t="n">
        <f aca="false">IF($C81="&lt;01","",95%)</f>
        <v>0.95</v>
      </c>
      <c r="BH81" s="5" t="n">
        <f aca="false">IF($C81="&lt;01",ROUND(INDEX(EID!$L:$L,MATCH($B81,EID!$B:$B,0)),0)/2,IF(SUM($BG81)=0,"",ROUND($AX81/$BG81,0)))</f>
        <v>0</v>
      </c>
    </row>
    <row r="82" customFormat="false" ht="15" hidden="false" customHeight="false" outlineLevel="0" collapsed="false">
      <c r="A82" s="0" t="str">
        <f aca="false">INDEX(Prioritization!$D:$D,MATCH($B82,Prioritization!$A:$A,0))</f>
        <v>1 - Scale-up: Saturation</v>
      </c>
      <c r="B82" s="0" t="s">
        <v>198</v>
      </c>
      <c r="C82" s="0" t="s">
        <v>367</v>
      </c>
      <c r="D82" s="0" t="s">
        <v>48</v>
      </c>
      <c r="E82" s="0" t="str">
        <f aca="false">$B82&amp;"|"&amp;$C82&amp;"|"&amp;$D82</f>
        <v>Lilongwe District [ScR9iFKAasW]|35-49|Male</v>
      </c>
      <c r="F82" s="10"/>
      <c r="G82" s="10"/>
      <c r="H82" s="10"/>
      <c r="I82" s="10"/>
      <c r="J82" s="10"/>
      <c r="K82" s="10"/>
      <c r="L82" s="10"/>
      <c r="M82" s="10"/>
      <c r="N82" s="10"/>
      <c r="O82" s="10" t="str">
        <f aca="false">IFERROR(1/(1/MAX($I82,$N82)),"")</f>
        <v/>
      </c>
      <c r="P82" s="10"/>
      <c r="Q82" s="10"/>
      <c r="R82" s="10" t="str">
        <f aca="false">IF(AND(SUM($I82)=0,SUM($O82)=0),"",SUM($O82)-$I82)</f>
        <v/>
      </c>
      <c r="S82" s="10" t="n">
        <f aca="false">IF(LEFT($B82,4)="_Mil","",_xlfn.IFNA(ROUND(INDEX(Spectrum!$N:$N,MATCH(RIGHT($B82,13)&amp;"|"&amp;$C82&amp;"|"&amp;$D82&amp;"|"&amp;S$14&amp;"|"&amp;"CY2022Q4",Spectrum!$R:$R,0)),0),""))</f>
        <v>1714</v>
      </c>
      <c r="T82" s="39" t="n">
        <f aca="false">IF(LEFT($B82,4)="_Mil","",_xlfn.IFNA(ROUND(INDEX(Spectrum!$N:$N,MATCH(RIGHT($B82,13)&amp;"|"&amp;$C82&amp;"|"&amp;$D82&amp;"|"&amp;T$14&amp;"|"&amp;"CY2023Q3",Spectrum!$R:$R,0)),0),""))</f>
        <v>1945</v>
      </c>
      <c r="U82" s="39" t="str">
        <f aca="false">IF(LEFT($B82,4)="_Mil","",_xlfn.IFNA(ROUND(INDEX(Spectrum!$N:$N,MATCH(RIGHT($B82,13)&amp;"|"&amp;$C82&amp;"|"&amp;$D82&amp;"|"&amp;U$14&amp;"|"&amp;"CY2023Q3",Spectrum!$R:$R,0)),0),""))</f>
        <v/>
      </c>
      <c r="V82" s="10" t="n">
        <f aca="false">IF(LEFT($B82,4)="_Mil","",_xlfn.IFNA(ROUND(INDEX(Spectrum!$N:$N,MATCH(RIGHT($B82,13)&amp;"|"&amp;$C82&amp;"|"&amp;$D82&amp;"|"&amp;V$14&amp;"|"&amp;"CY2023Q3",Spectrum!$R:$R,0)),0),""))</f>
        <v>1265</v>
      </c>
      <c r="W82" s="113" t="n">
        <f aca="false">IF(LEFT($B82,4)="_Mil","",_xlfn.IFNA(INDEX(Spectrum!$N:$N,MATCH(RIGHT($B82,13)&amp;"|"&amp;$C82&amp;"|"&amp;$D82&amp;"|"&amp;W$14&amp;"|"&amp;"CY2023Q3",Spectrum!$R:$R,0)),""))</f>
        <v>727</v>
      </c>
      <c r="X82" s="39" t="n">
        <f aca="false">IF(LEFT($B82,4)="_Mil","",_xlfn.IFNA(ROUND(INDEX(Spectrum!$N:$N,MATCH(RIGHT($B82,13)&amp;"|"&amp;$C82&amp;"|"&amp;$D82&amp;"|"&amp;X$14&amp;"|"&amp;"CY2023Q3",Spectrum!$R:$R,0)),0),""))</f>
        <v>1757</v>
      </c>
      <c r="Y82" s="88" t="str">
        <f aca="false">IF(OR(SUM($U82)=0,LEFT($B82,4)="_Mil"),"",SUM($X82)/$U82)</f>
        <v/>
      </c>
      <c r="Z82" s="39" t="n">
        <f aca="false">IF(LEFT($B82,4)="_Mil","",_xlfn.IFNA(ROUND(INDEX(Spectrum!$N:$N,MATCH(RIGHT($B82,13)&amp;"|"&amp;$C82&amp;"|"&amp;$D82&amp;"|"&amp;Z$14&amp;"|"&amp;"CY2023Q3",Spectrum!$R:$R,0)),0),""))</f>
        <v>1900</v>
      </c>
      <c r="AA82" s="88" t="n">
        <f aca="false">IF(LEFT($B82,4)="_Mil","",IFERROR(1/(1/INDEX(Spectrum!$N:$N,MATCH(RIGHT($B82,13)&amp;"|"&amp;$C82&amp;"|"&amp;$D82&amp;"|"&amp;AA$14&amp;"|"&amp;"CY2023Q3",Spectrum!$R:$R,0))),IF(SUM($U82)=0,"",SUM($Z82)/$U82)))</f>
        <v>1735</v>
      </c>
      <c r="AB82" s="88" t="n">
        <f aca="false">IF(OR(LEFT($B82,4)="_Mil",SUM($X82)=0),"",SUM($Z82)/$X82)</f>
        <v>1.08138873079112</v>
      </c>
      <c r="AC82" s="10" t="n">
        <f aca="false">IF(LEFT($B82,4)="_Mil","",_xlfn.IFNA(ROUND(INDEX(Spectrum!$N:$N,MATCH(RIGHT($B82,13)&amp;"|"&amp;$C82&amp;"|"&amp;$D82&amp;"|"&amp;AC$14&amp;"|"&amp;"CY2023Q3",Spectrum!$R:$R,0)),0),""))</f>
        <v>772</v>
      </c>
      <c r="AD82" s="10" t="str">
        <f aca="false">IF(LEFT($B82,4)="_Mil","",_xlfn.IFNA(ROUND(INDEX(Spectrum!$N:$N,MATCH(RIGHT($B82,13)&amp;"|"&amp;$C82&amp;"|"&amp;$D82&amp;"|"&amp;AD$14&amp;"|"&amp;"CY2023Q3",Spectrum!$R:$R,0)),0),""))</f>
        <v/>
      </c>
      <c r="AE82" s="88" t="n">
        <f aca="false">IF(OR(LEFT($B82,4)="_Mil",SUM($Z82)=0),"",SUM($AD82)/$Z82)</f>
        <v>0</v>
      </c>
      <c r="AF82" s="39" t="str">
        <f aca="false">IF(LEFT($B82,4)="_Mil","",_xlfn.IFNA(ROUND(INDEX(Spectrum!$N:$N,MATCH(RIGHT($B82,13)&amp;"|"&amp;$C82&amp;"|"&amp;$D82&amp;"|"&amp;AF$14&amp;"|"&amp;"CY2023Q3",Spectrum!$R:$R,0)),0),""))</f>
        <v/>
      </c>
      <c r="AG82" s="88" t="str">
        <f aca="false">IF(OR(LEFT($B82,4)="_Mil",SUM($AD82)=0),"",SUM($AF82)/$AD82)</f>
        <v/>
      </c>
      <c r="AH82" s="86" t="str">
        <f aca="false">IF(LEFT($B82,4)="_Mil","",_xlfn.IFNA(INDEX(Spectrum!$N:$N,MATCH(RIGHT($B82,13)&amp;"|"&amp;$C82&amp;"|"&amp;$D82&amp;"|"&amp;AH$14&amp;"|"&amp;"CY2023Q3",Spectrum!$R:$R,0)),""))</f>
        <v/>
      </c>
      <c r="AI82" s="10" t="str">
        <f aca="false">IF(LEFT($B82,4)="_Mil","",_xlfn.IFNA(ROUND(INDEX(Spectrum!$N:$N,MATCH(RIGHT($B82,13)&amp;"|"&amp;$C82&amp;"|"&amp;$D82&amp;"|"&amp;AI$14&amp;"|"&amp;"CY2023Q3",Spectrum!$R:$R,0)),0),""))</f>
        <v/>
      </c>
      <c r="AJ82" s="39" t="n">
        <f aca="false">IF(LEFT($B82,4)="_Mil","",_xlfn.IFNA(ROUND(INDEX(Spectrum!$N:$N,MATCH(RIGHT($B82,13)&amp;"|"&amp;$C82&amp;"|"&amp;$D82&amp;"|"&amp;AI$14&amp;"|"&amp;"CY2023Q3",Spectrum!$R:$R,0)),0),SUM($U82)+SUM($AI82)))</f>
        <v>0</v>
      </c>
      <c r="AK82" s="10" t="str">
        <f aca="false">IF(LEFT($B82,4)="_Mil","",_xlfn.IFNA(ROUND(INDEX(Spectrum!$N:$N,MATCH(RIGHT($B82,13)&amp;"|"&amp;$C82&amp;"|"&amp;$D82&amp;"|"&amp;AK$14&amp;"|"&amp;"CY2023Q3",Spectrum!$R:$R,0)),0),""))</f>
        <v/>
      </c>
      <c r="AL82" s="88" t="n">
        <f aca="false">IF(OR(LEFT($B82,4)="_Mil",$C82="&lt;01"),"",MAX(SUM($AA82),90%))</f>
        <v>1735</v>
      </c>
      <c r="AM82" s="10" t="n">
        <f aca="false">IF(OR(LEFT($B82,4)="_Mil",$C82="&lt;01"),"",ROUND(SUM($AJ82)*SUM($AL82),0))</f>
        <v>0</v>
      </c>
      <c r="AN82" s="10" t="str">
        <f aca="false">IF($C82="&lt;01",ROUND(INDEX(EID!$P:$P,MATCH($B82,EID!$B:$B,0))/2,0),"")</f>
        <v/>
      </c>
      <c r="AO82" s="10" t="n">
        <f aca="false">IF($C82="&lt;01",SUM($AN82),ROUND(SUM($AM82)*SUM($O82)/IF(SUM($Z82)=0,1,$Z82),0))</f>
        <v>0</v>
      </c>
      <c r="AP82" s="39" t="n">
        <f aca="false">IF(OR($F82="",$C82="&lt;01"),$AO82,$F82)</f>
        <v>0</v>
      </c>
      <c r="AQ82" s="39" t="n">
        <f aca="false">IF(LEFT($B82,4)="_Mil","",IF(SUM($AP82)=0,SUM($Z82),IF(OR(SUM($Z82)=0,SUM($O82)=0),MAX($AP82,$Z82),$AP82*$Z82/$O82)))</f>
        <v>1900</v>
      </c>
      <c r="AR82" s="88" t="str">
        <f aca="false">IF(OR(LEFT($B82,4)="_Mil",SUM($AJ82)=0),"",SUM($AQ82)/$AJ82)</f>
        <v/>
      </c>
      <c r="AS82" s="88" t="n">
        <f aca="false">IF($C82="&lt;01","",98%)</f>
        <v>0.98</v>
      </c>
      <c r="AT82" s="88" t="n">
        <f aca="false">IF($C82="&lt;01","",98%)</f>
        <v>0.98</v>
      </c>
      <c r="AU82" s="10" t="n">
        <f aca="false">IF($C82="&lt;01","",SUM($AP82)-SUM($O82))</f>
        <v>0</v>
      </c>
      <c r="AV82" s="10" t="n">
        <f aca="false">IF($C82="&lt;01",ROUND(INDEX(EID!$N:$N,MATCH($B82,EID!$B:$B,0))/2,0),IF(SUM($AT82)=0,"",ROUND((SUM($AP82)-(SUM($O82)*SUM($AS82)))/$AT82,0)))</f>
        <v>0</v>
      </c>
      <c r="AW82" s="88" t="n">
        <f aca="false">IF($C82="&lt;01","",100%)</f>
        <v>1</v>
      </c>
      <c r="AX82" s="39" t="n">
        <f aca="false">IF($C82="&lt;01",SUM($AV82),ROUND(SUM($AV82)*SUM($AW82),0))</f>
        <v>0</v>
      </c>
      <c r="AY82" s="114" t="n">
        <f aca="false">IF($C82="&lt;01","",70%)</f>
        <v>0.7</v>
      </c>
      <c r="AZ82" s="91" t="n">
        <f aca="false">IF($C82="&lt;01",ROUND(INDEX(EID!$R:$R,MATCH($B82,EID!$B:$B,0))/2,0),ROUND(SUM($O82)+(SUM($AV82)*$AY82),0))</f>
        <v>0</v>
      </c>
      <c r="BA82" s="87" t="n">
        <f aca="false">IF($C82="&lt;01","",95%)</f>
        <v>0.95</v>
      </c>
      <c r="BB82" s="5" t="n">
        <f aca="false">IF($C82="&lt;01",ROUND(INDEX(EID!$T:$T,MATCH($B82,EID!$B:$B,0))/2,0),ROUND($AZ82*$BA82,0))</f>
        <v>0</v>
      </c>
      <c r="BC82" s="91" t="n">
        <f aca="false">IF(LEFT($B82,4)="_Mil","",IF(SUM($BB82)=0,SUM($AD82),IF(OR(SUM($AP82)=0,SUM($AQ82)=0),MAX($BB82,$AD82),ROUND($BB82*$AQ82/$AP82,0))))</f>
        <v>0</v>
      </c>
      <c r="BD82" s="88" t="n">
        <f aca="false">IF($C82="&lt;01","",95%)</f>
        <v>0.95</v>
      </c>
      <c r="BE82" s="39" t="n">
        <f aca="false">IF($C82="&lt;01",ROUND(INDEX(EID!$V:$V,MATCH($B82,EID!$B:$B,0))/2,0),ROUND($BD82*$BB82,0))</f>
        <v>0</v>
      </c>
      <c r="BF82" s="39" t="n">
        <f aca="false">IF(LEFT($B82,4)="_Mil","",IF(SUM($BE82)=0,SUM($AF82),IF(OR(SUM($AP82)=0,SUM($AQ82)=0),MAX($BE82,$AF82),ROUND($BE82*$AQ82/$AP82,0))))</f>
        <v>0</v>
      </c>
      <c r="BG82" s="114" t="n">
        <f aca="false">IF($C82="&lt;01","",95%)</f>
        <v>0.95</v>
      </c>
      <c r="BH82" s="5" t="n">
        <f aca="false">IF($C82="&lt;01",ROUND(INDEX(EID!$L:$L,MATCH($B82,EID!$B:$B,0)),0)/2,IF(SUM($BG82)=0,"",ROUND($AX82/$BG82,0)))</f>
        <v>0</v>
      </c>
    </row>
    <row r="83" customFormat="false" ht="15" hidden="false" customHeight="false" outlineLevel="0" collapsed="false">
      <c r="A83" s="0" t="str">
        <f aca="false">INDEX(Prioritization!$D:$D,MATCH($B83,Prioritization!$A:$A,0))</f>
        <v>1 - Scale-up: Saturation</v>
      </c>
      <c r="B83" s="0" t="s">
        <v>198</v>
      </c>
      <c r="C83" s="0" t="s">
        <v>368</v>
      </c>
      <c r="D83" s="0" t="s">
        <v>30</v>
      </c>
      <c r="E83" s="0" t="str">
        <f aca="false">$B83&amp;"|"&amp;$C83&amp;"|"&amp;$D83</f>
        <v>Lilongwe District [ScR9iFKAasW]|50+|Female</v>
      </c>
      <c r="F83" s="10"/>
      <c r="G83" s="10"/>
      <c r="H83" s="10"/>
      <c r="I83" s="10"/>
      <c r="J83" s="10"/>
      <c r="K83" s="10"/>
      <c r="L83" s="10"/>
      <c r="M83" s="10"/>
      <c r="N83" s="10"/>
      <c r="O83" s="10" t="str">
        <f aca="false">IFERROR(1/(1/MAX($I83,$N83)),"")</f>
        <v/>
      </c>
      <c r="P83" s="10"/>
      <c r="Q83" s="10"/>
      <c r="R83" s="10" t="str">
        <f aca="false">IF(AND(SUM($I83)=0,SUM($O83)=0),"",SUM($O83)-$I83)</f>
        <v/>
      </c>
      <c r="S83" s="10" t="n">
        <f aca="false">IF(LEFT($B83,4)="_Mil","",_xlfn.IFNA(ROUND(INDEX(Spectrum!$N:$N,MATCH(RIGHT($B83,13)&amp;"|"&amp;$C83&amp;"|"&amp;$D83&amp;"|"&amp;S$14&amp;"|"&amp;"CY2022Q4",Spectrum!$R:$R,0)),0),""))</f>
        <v>523</v>
      </c>
      <c r="T83" s="39" t="n">
        <f aca="false">IF(LEFT($B83,4)="_Mil","",_xlfn.IFNA(ROUND(INDEX(Spectrum!$N:$N,MATCH(RIGHT($B83,13)&amp;"|"&amp;$C83&amp;"|"&amp;$D83&amp;"|"&amp;T$14&amp;"|"&amp;"CY2023Q3",Spectrum!$R:$R,0)),0),""))</f>
        <v>1581</v>
      </c>
      <c r="U83" s="39" t="str">
        <f aca="false">IF(LEFT($B83,4)="_Mil","",_xlfn.IFNA(ROUND(INDEX(Spectrum!$N:$N,MATCH(RIGHT($B83,13)&amp;"|"&amp;$C83&amp;"|"&amp;$D83&amp;"|"&amp;U$14&amp;"|"&amp;"CY2023Q3",Spectrum!$R:$R,0)),0),""))</f>
        <v/>
      </c>
      <c r="V83" s="10" t="n">
        <f aca="false">IF(LEFT($B83,4)="_Mil","",_xlfn.IFNA(ROUND(INDEX(Spectrum!$N:$N,MATCH(RIGHT($B83,13)&amp;"|"&amp;$C83&amp;"|"&amp;$D83&amp;"|"&amp;V$14&amp;"|"&amp;"CY2023Q3",Spectrum!$R:$R,0)),0),""))</f>
        <v>1294</v>
      </c>
      <c r="W83" s="113" t="n">
        <f aca="false">IF(LEFT($B83,4)="_Mil","",_xlfn.IFNA(INDEX(Spectrum!$N:$N,MATCH(RIGHT($B83,13)&amp;"|"&amp;$C83&amp;"|"&amp;$D83&amp;"|"&amp;W$14&amp;"|"&amp;"CY2023Q3",Spectrum!$R:$R,0)),""))</f>
        <v>1836</v>
      </c>
      <c r="X83" s="39" t="n">
        <f aca="false">IF(LEFT($B83,4)="_Mil","",_xlfn.IFNA(ROUND(INDEX(Spectrum!$N:$N,MATCH(RIGHT($B83,13)&amp;"|"&amp;$C83&amp;"|"&amp;$D83&amp;"|"&amp;X$14&amp;"|"&amp;"CY2023Q3",Spectrum!$R:$R,0)),0),""))</f>
        <v>937</v>
      </c>
      <c r="Y83" s="88" t="str">
        <f aca="false">IF(OR(SUM($U83)=0,LEFT($B83,4)="_Mil"),"",SUM($X83)/$U83)</f>
        <v/>
      </c>
      <c r="Z83" s="39" t="n">
        <f aca="false">IF(LEFT($B83,4)="_Mil","",_xlfn.IFNA(ROUND(INDEX(Spectrum!$N:$N,MATCH(RIGHT($B83,13)&amp;"|"&amp;$C83&amp;"|"&amp;$D83&amp;"|"&amp;Z$14&amp;"|"&amp;"CY2023Q3",Spectrum!$R:$R,0)),0),""))</f>
        <v>1370</v>
      </c>
      <c r="AA83" s="88" t="n">
        <f aca="false">IF(LEFT($B83,4)="_Mil","",IFERROR(1/(1/INDEX(Spectrum!$N:$N,MATCH(RIGHT($B83,13)&amp;"|"&amp;$C83&amp;"|"&amp;$D83&amp;"|"&amp;AA$14&amp;"|"&amp;"CY2023Q3",Spectrum!$R:$R,0))),IF(SUM($U83)=0,"",SUM($Z83)/$U83)))</f>
        <v>1925</v>
      </c>
      <c r="AB83" s="88" t="n">
        <f aca="false">IF(OR(LEFT($B83,4)="_Mil",SUM($X83)=0),"",SUM($Z83)/$X83)</f>
        <v>1.46211312700107</v>
      </c>
      <c r="AC83" s="10" t="n">
        <f aca="false">IF(LEFT($B83,4)="_Mil","",_xlfn.IFNA(ROUND(INDEX(Spectrum!$N:$N,MATCH(RIGHT($B83,13)&amp;"|"&amp;$C83&amp;"|"&amp;$D83&amp;"|"&amp;AC$14&amp;"|"&amp;"CY2023Q3",Spectrum!$R:$R,0)),0),""))</f>
        <v>1294</v>
      </c>
      <c r="AD83" s="10" t="str">
        <f aca="false">IF(LEFT($B83,4)="_Mil","",_xlfn.IFNA(ROUND(INDEX(Spectrum!$N:$N,MATCH(RIGHT($B83,13)&amp;"|"&amp;$C83&amp;"|"&amp;$D83&amp;"|"&amp;AD$14&amp;"|"&amp;"CY2023Q3",Spectrum!$R:$R,0)),0),""))</f>
        <v/>
      </c>
      <c r="AE83" s="88" t="n">
        <f aca="false">IF(OR(LEFT($B83,4)="_Mil",SUM($Z83)=0),"",SUM($AD83)/$Z83)</f>
        <v>0</v>
      </c>
      <c r="AF83" s="39" t="str">
        <f aca="false">IF(LEFT($B83,4)="_Mil","",_xlfn.IFNA(ROUND(INDEX(Spectrum!$N:$N,MATCH(RIGHT($B83,13)&amp;"|"&amp;$C83&amp;"|"&amp;$D83&amp;"|"&amp;AF$14&amp;"|"&amp;"CY2023Q3",Spectrum!$R:$R,0)),0),""))</f>
        <v/>
      </c>
      <c r="AG83" s="88" t="str">
        <f aca="false">IF(OR(LEFT($B83,4)="_Mil",SUM($AD83)=0),"",SUM($AF83)/$AD83)</f>
        <v/>
      </c>
      <c r="AH83" s="86" t="str">
        <f aca="false">IF(LEFT($B83,4)="_Mil","",_xlfn.IFNA(INDEX(Spectrum!$N:$N,MATCH(RIGHT($B83,13)&amp;"|"&amp;$C83&amp;"|"&amp;$D83&amp;"|"&amp;AH$14&amp;"|"&amp;"CY2023Q3",Spectrum!$R:$R,0)),""))</f>
        <v/>
      </c>
      <c r="AI83" s="10" t="str">
        <f aca="false">IF(LEFT($B83,4)="_Mil","",_xlfn.IFNA(ROUND(INDEX(Spectrum!$N:$N,MATCH(RIGHT($B83,13)&amp;"|"&amp;$C83&amp;"|"&amp;$D83&amp;"|"&amp;AI$14&amp;"|"&amp;"CY2023Q3",Spectrum!$R:$R,0)),0),""))</f>
        <v/>
      </c>
      <c r="AJ83" s="39" t="n">
        <f aca="false">IF(LEFT($B83,4)="_Mil","",_xlfn.IFNA(ROUND(INDEX(Spectrum!$N:$N,MATCH(RIGHT($B83,13)&amp;"|"&amp;$C83&amp;"|"&amp;$D83&amp;"|"&amp;AI$14&amp;"|"&amp;"CY2023Q3",Spectrum!$R:$R,0)),0),SUM($U83)+SUM($AI83)))</f>
        <v>0</v>
      </c>
      <c r="AK83" s="10" t="str">
        <f aca="false">IF(LEFT($B83,4)="_Mil","",_xlfn.IFNA(ROUND(INDEX(Spectrum!$N:$N,MATCH(RIGHT($B83,13)&amp;"|"&amp;$C83&amp;"|"&amp;$D83&amp;"|"&amp;AK$14&amp;"|"&amp;"CY2023Q3",Spectrum!$R:$R,0)),0),""))</f>
        <v/>
      </c>
      <c r="AL83" s="88" t="n">
        <f aca="false">IF(OR(LEFT($B83,4)="_Mil",$C83="&lt;01"),"",MAX(SUM($AA83),90%))</f>
        <v>1925</v>
      </c>
      <c r="AM83" s="10" t="n">
        <f aca="false">IF(OR(LEFT($B83,4)="_Mil",$C83="&lt;01"),"",ROUND(SUM($AJ83)*SUM($AL83),0))</f>
        <v>0</v>
      </c>
      <c r="AN83" s="10" t="str">
        <f aca="false">IF($C83="&lt;01",ROUND(INDEX(EID!$P:$P,MATCH($B83,EID!$B:$B,0))/2,0),"")</f>
        <v/>
      </c>
      <c r="AO83" s="10" t="n">
        <f aca="false">IF($C83="&lt;01",SUM($AN83),ROUND(SUM($AM83)*SUM($O83)/IF(SUM($Z83)=0,1,$Z83),0))</f>
        <v>0</v>
      </c>
      <c r="AP83" s="39" t="n">
        <f aca="false">IF(OR($F83="",$C83="&lt;01"),$AO83,$F83)</f>
        <v>0</v>
      </c>
      <c r="AQ83" s="39" t="n">
        <f aca="false">IF(LEFT($B83,4)="_Mil","",IF(SUM($AP83)=0,SUM($Z83),IF(OR(SUM($Z83)=0,SUM($O83)=0),MAX($AP83,$Z83),$AP83*$Z83/$O83)))</f>
        <v>1370</v>
      </c>
      <c r="AR83" s="88" t="str">
        <f aca="false">IF(OR(LEFT($B83,4)="_Mil",SUM($AJ83)=0),"",SUM($AQ83)/$AJ83)</f>
        <v/>
      </c>
      <c r="AS83" s="88" t="n">
        <f aca="false">IF($C83="&lt;01","",98%)</f>
        <v>0.98</v>
      </c>
      <c r="AT83" s="88" t="n">
        <f aca="false">IF($C83="&lt;01","",98%)</f>
        <v>0.98</v>
      </c>
      <c r="AU83" s="10" t="n">
        <f aca="false">IF($C83="&lt;01","",SUM($AP83)-SUM($O83))</f>
        <v>0</v>
      </c>
      <c r="AV83" s="10" t="n">
        <f aca="false">IF($C83="&lt;01",ROUND(INDEX(EID!$N:$N,MATCH($B83,EID!$B:$B,0))/2,0),IF(SUM($AT83)=0,"",ROUND((SUM($AP83)-(SUM($O83)*SUM($AS83)))/$AT83,0)))</f>
        <v>0</v>
      </c>
      <c r="AW83" s="88" t="n">
        <f aca="false">IF($C83="&lt;01","",100%)</f>
        <v>1</v>
      </c>
      <c r="AX83" s="39" t="n">
        <f aca="false">IF($C83="&lt;01",SUM($AV83),ROUND(SUM($AV83)*SUM($AW83),0))</f>
        <v>0</v>
      </c>
      <c r="AY83" s="114" t="n">
        <f aca="false">IF($C83="&lt;01","",70%)</f>
        <v>0.7</v>
      </c>
      <c r="AZ83" s="91" t="n">
        <f aca="false">IF($C83="&lt;01",ROUND(INDEX(EID!$R:$R,MATCH($B83,EID!$B:$B,0))/2,0),ROUND(SUM($O83)+(SUM($AV83)*$AY83),0))</f>
        <v>0</v>
      </c>
      <c r="BA83" s="87" t="n">
        <f aca="false">IF($C83="&lt;01","",95%)</f>
        <v>0.95</v>
      </c>
      <c r="BB83" s="5" t="n">
        <f aca="false">IF($C83="&lt;01",ROUND(INDEX(EID!$T:$T,MATCH($B83,EID!$B:$B,0))/2,0),ROUND($AZ83*$BA83,0))</f>
        <v>0</v>
      </c>
      <c r="BC83" s="91" t="n">
        <f aca="false">IF(LEFT($B83,4)="_Mil","",IF(SUM($BB83)=0,SUM($AD83),IF(OR(SUM($AP83)=0,SUM($AQ83)=0),MAX($BB83,$AD83),ROUND($BB83*$AQ83/$AP83,0))))</f>
        <v>0</v>
      </c>
      <c r="BD83" s="88" t="n">
        <f aca="false">IF($C83="&lt;01","",95%)</f>
        <v>0.95</v>
      </c>
      <c r="BE83" s="39" t="n">
        <f aca="false">IF($C83="&lt;01",ROUND(INDEX(EID!$V:$V,MATCH($B83,EID!$B:$B,0))/2,0),ROUND($BD83*$BB83,0))</f>
        <v>0</v>
      </c>
      <c r="BF83" s="39" t="n">
        <f aca="false">IF(LEFT($B83,4)="_Mil","",IF(SUM($BE83)=0,SUM($AF83),IF(OR(SUM($AP83)=0,SUM($AQ83)=0),MAX($BE83,$AF83),ROUND($BE83*$AQ83/$AP83,0))))</f>
        <v>0</v>
      </c>
      <c r="BG83" s="114" t="n">
        <f aca="false">IF($C83="&lt;01","",95%)</f>
        <v>0.95</v>
      </c>
      <c r="BH83" s="5" t="n">
        <f aca="false">IF($C83="&lt;01",ROUND(INDEX(EID!$L:$L,MATCH($B83,EID!$B:$B,0)),0)/2,IF(SUM($BG83)=0,"",ROUND($AX83/$BG83,0)))</f>
        <v>0</v>
      </c>
    </row>
    <row r="84" customFormat="false" ht="15" hidden="false" customHeight="false" outlineLevel="0" collapsed="false">
      <c r="A84" s="0" t="str">
        <f aca="false">INDEX(Prioritization!$D:$D,MATCH($B84,Prioritization!$A:$A,0))</f>
        <v>1 - Scale-up: Saturation</v>
      </c>
      <c r="B84" s="0" t="s">
        <v>198</v>
      </c>
      <c r="C84" s="0" t="s">
        <v>368</v>
      </c>
      <c r="D84" s="0" t="s">
        <v>48</v>
      </c>
      <c r="E84" s="0" t="str">
        <f aca="false">$B84&amp;"|"&amp;$C84&amp;"|"&amp;$D84</f>
        <v>Lilongwe District [ScR9iFKAasW]|50+|Male</v>
      </c>
      <c r="F84" s="10"/>
      <c r="G84" s="10"/>
      <c r="H84" s="10"/>
      <c r="I84" s="10"/>
      <c r="J84" s="10"/>
      <c r="K84" s="10"/>
      <c r="L84" s="10"/>
      <c r="M84" s="10"/>
      <c r="N84" s="10"/>
      <c r="O84" s="10" t="str">
        <f aca="false">IFERROR(1/(1/MAX($I84,$N84)),"")</f>
        <v/>
      </c>
      <c r="P84" s="10"/>
      <c r="Q84" s="10"/>
      <c r="R84" s="10" t="str">
        <f aca="false">IF(AND(SUM($I84)=0,SUM($O84)=0),"",SUM($O84)-$I84)</f>
        <v/>
      </c>
      <c r="S84" s="10" t="n">
        <f aca="false">IF(LEFT($B84,4)="_Mil","",_xlfn.IFNA(ROUND(INDEX(Spectrum!$N:$N,MATCH(RIGHT($B84,13)&amp;"|"&amp;$C84&amp;"|"&amp;$D84&amp;"|"&amp;S$14&amp;"|"&amp;"CY2022Q4",Spectrum!$R:$R,0)),0),""))</f>
        <v>548</v>
      </c>
      <c r="T84" s="39" t="n">
        <f aca="false">IF(LEFT($B84,4)="_Mil","",_xlfn.IFNA(ROUND(INDEX(Spectrum!$N:$N,MATCH(RIGHT($B84,13)&amp;"|"&amp;$C84&amp;"|"&amp;$D84&amp;"|"&amp;T$14&amp;"|"&amp;"CY2023Q3",Spectrum!$R:$R,0)),0),""))</f>
        <v>1217</v>
      </c>
      <c r="U84" s="39" t="str">
        <f aca="false">IF(LEFT($B84,4)="_Mil","",_xlfn.IFNA(ROUND(INDEX(Spectrum!$N:$N,MATCH(RIGHT($B84,13)&amp;"|"&amp;$C84&amp;"|"&amp;$D84&amp;"|"&amp;U$14&amp;"|"&amp;"CY2023Q3",Spectrum!$R:$R,0)),0),""))</f>
        <v/>
      </c>
      <c r="V84" s="10" t="n">
        <f aca="false">IF(LEFT($B84,4)="_Mil","",_xlfn.IFNA(ROUND(INDEX(Spectrum!$N:$N,MATCH(RIGHT($B84,13)&amp;"|"&amp;$C84&amp;"|"&amp;$D84&amp;"|"&amp;V$14&amp;"|"&amp;"CY2023Q3",Spectrum!$R:$R,0)),0),""))</f>
        <v>1847</v>
      </c>
      <c r="W84" s="113" t="n">
        <f aca="false">IF(LEFT($B84,4)="_Mil","",_xlfn.IFNA(INDEX(Spectrum!$N:$N,MATCH(RIGHT($B84,13)&amp;"|"&amp;$C84&amp;"|"&amp;$D84&amp;"|"&amp;W$14&amp;"|"&amp;"CY2023Q3",Spectrum!$R:$R,0)),""))</f>
        <v>1686</v>
      </c>
      <c r="X84" s="39" t="n">
        <f aca="false">IF(LEFT($B84,4)="_Mil","",_xlfn.IFNA(ROUND(INDEX(Spectrum!$N:$N,MATCH(RIGHT($B84,13)&amp;"|"&amp;$C84&amp;"|"&amp;$D84&amp;"|"&amp;X$14&amp;"|"&amp;"CY2023Q3",Spectrum!$R:$R,0)),0),""))</f>
        <v>1528</v>
      </c>
      <c r="Y84" s="88" t="str">
        <f aca="false">IF(OR(SUM($U84)=0,LEFT($B84,4)="_Mil"),"",SUM($X84)/$U84)</f>
        <v/>
      </c>
      <c r="Z84" s="39" t="n">
        <f aca="false">IF(LEFT($B84,4)="_Mil","",_xlfn.IFNA(ROUND(INDEX(Spectrum!$N:$N,MATCH(RIGHT($B84,13)&amp;"|"&amp;$C84&amp;"|"&amp;$D84&amp;"|"&amp;Z$14&amp;"|"&amp;"CY2023Q3",Spectrum!$R:$R,0)),0),""))</f>
        <v>1663</v>
      </c>
      <c r="AA84" s="88" t="n">
        <f aca="false">IF(LEFT($B84,4)="_Mil","",IFERROR(1/(1/INDEX(Spectrum!$N:$N,MATCH(RIGHT($B84,13)&amp;"|"&amp;$C84&amp;"|"&amp;$D84&amp;"|"&amp;AA$14&amp;"|"&amp;"CY2023Q3",Spectrum!$R:$R,0))),IF(SUM($U84)=0,"",SUM($Z84)/$U84)))</f>
        <v>1820</v>
      </c>
      <c r="AB84" s="88" t="n">
        <f aca="false">IF(OR(LEFT($B84,4)="_Mil",SUM($X84)=0),"",SUM($Z84)/$X84)</f>
        <v>1.08835078534031</v>
      </c>
      <c r="AC84" s="10" t="n">
        <f aca="false">IF(LEFT($B84,4)="_Mil","",_xlfn.IFNA(ROUND(INDEX(Spectrum!$N:$N,MATCH(RIGHT($B84,13)&amp;"|"&amp;$C84&amp;"|"&amp;$D84&amp;"|"&amp;AC$14&amp;"|"&amp;"CY2023Q3",Spectrum!$R:$R,0)),0),""))</f>
        <v>1940</v>
      </c>
      <c r="AD84" s="10" t="str">
        <f aca="false">IF(LEFT($B84,4)="_Mil","",_xlfn.IFNA(ROUND(INDEX(Spectrum!$N:$N,MATCH(RIGHT($B84,13)&amp;"|"&amp;$C84&amp;"|"&amp;$D84&amp;"|"&amp;AD$14&amp;"|"&amp;"CY2023Q3",Spectrum!$R:$R,0)),0),""))</f>
        <v/>
      </c>
      <c r="AE84" s="88" t="n">
        <f aca="false">IF(OR(LEFT($B84,4)="_Mil",SUM($Z84)=0),"",SUM($AD84)/$Z84)</f>
        <v>0</v>
      </c>
      <c r="AF84" s="39" t="str">
        <f aca="false">IF(LEFT($B84,4)="_Mil","",_xlfn.IFNA(ROUND(INDEX(Spectrum!$N:$N,MATCH(RIGHT($B84,13)&amp;"|"&amp;$C84&amp;"|"&amp;$D84&amp;"|"&amp;AF$14&amp;"|"&amp;"CY2023Q3",Spectrum!$R:$R,0)),0),""))</f>
        <v/>
      </c>
      <c r="AG84" s="88" t="str">
        <f aca="false">IF(OR(LEFT($B84,4)="_Mil",SUM($AD84)=0),"",SUM($AF84)/$AD84)</f>
        <v/>
      </c>
      <c r="AH84" s="86" t="str">
        <f aca="false">IF(LEFT($B84,4)="_Mil","",_xlfn.IFNA(INDEX(Spectrum!$N:$N,MATCH(RIGHT($B84,13)&amp;"|"&amp;$C84&amp;"|"&amp;$D84&amp;"|"&amp;AH$14&amp;"|"&amp;"CY2023Q3",Spectrum!$R:$R,0)),""))</f>
        <v/>
      </c>
      <c r="AI84" s="10" t="str">
        <f aca="false">IF(LEFT($B84,4)="_Mil","",_xlfn.IFNA(ROUND(INDEX(Spectrum!$N:$N,MATCH(RIGHT($B84,13)&amp;"|"&amp;$C84&amp;"|"&amp;$D84&amp;"|"&amp;AI$14&amp;"|"&amp;"CY2023Q3",Spectrum!$R:$R,0)),0),""))</f>
        <v/>
      </c>
      <c r="AJ84" s="39" t="n">
        <f aca="false">IF(LEFT($B84,4)="_Mil","",_xlfn.IFNA(ROUND(INDEX(Spectrum!$N:$N,MATCH(RIGHT($B84,13)&amp;"|"&amp;$C84&amp;"|"&amp;$D84&amp;"|"&amp;AI$14&amp;"|"&amp;"CY2023Q3",Spectrum!$R:$R,0)),0),SUM($U84)+SUM($AI84)))</f>
        <v>0</v>
      </c>
      <c r="AK84" s="10" t="str">
        <f aca="false">IF(LEFT($B84,4)="_Mil","",_xlfn.IFNA(ROUND(INDEX(Spectrum!$N:$N,MATCH(RIGHT($B84,13)&amp;"|"&amp;$C84&amp;"|"&amp;$D84&amp;"|"&amp;AK$14&amp;"|"&amp;"CY2023Q3",Spectrum!$R:$R,0)),0),""))</f>
        <v/>
      </c>
      <c r="AL84" s="88" t="n">
        <f aca="false">IF(OR(LEFT($B84,4)="_Mil",$C84="&lt;01"),"",MAX(SUM($AA84),90%))</f>
        <v>1820</v>
      </c>
      <c r="AM84" s="10" t="n">
        <f aca="false">IF(OR(LEFT($B84,4)="_Mil",$C84="&lt;01"),"",ROUND(SUM($AJ84)*SUM($AL84),0))</f>
        <v>0</v>
      </c>
      <c r="AN84" s="10" t="str">
        <f aca="false">IF($C84="&lt;01",ROUND(INDEX(EID!$P:$P,MATCH($B84,EID!$B:$B,0))/2,0),"")</f>
        <v/>
      </c>
      <c r="AO84" s="10" t="n">
        <f aca="false">IF($C84="&lt;01",SUM($AN84),ROUND(SUM($AM84)*SUM($O84)/IF(SUM($Z84)=0,1,$Z84),0))</f>
        <v>0</v>
      </c>
      <c r="AP84" s="39" t="n">
        <f aca="false">IF(OR($F84="",$C84="&lt;01"),$AO84,$F84)</f>
        <v>0</v>
      </c>
      <c r="AQ84" s="39" t="n">
        <f aca="false">IF(LEFT($B84,4)="_Mil","",IF(SUM($AP84)=0,SUM($Z84),IF(OR(SUM($Z84)=0,SUM($O84)=0),MAX($AP84,$Z84),$AP84*$Z84/$O84)))</f>
        <v>1663</v>
      </c>
      <c r="AR84" s="88" t="str">
        <f aca="false">IF(OR(LEFT($B84,4)="_Mil",SUM($AJ84)=0),"",SUM($AQ84)/$AJ84)</f>
        <v/>
      </c>
      <c r="AS84" s="88" t="n">
        <f aca="false">IF($C84="&lt;01","",98%)</f>
        <v>0.98</v>
      </c>
      <c r="AT84" s="88" t="n">
        <f aca="false">IF($C84="&lt;01","",98%)</f>
        <v>0.98</v>
      </c>
      <c r="AU84" s="10" t="n">
        <f aca="false">IF($C84="&lt;01","",SUM($AP84)-SUM($O84))</f>
        <v>0</v>
      </c>
      <c r="AV84" s="10" t="n">
        <f aca="false">IF($C84="&lt;01",ROUND(INDEX(EID!$N:$N,MATCH($B84,EID!$B:$B,0))/2,0),IF(SUM($AT84)=0,"",ROUND((SUM($AP84)-(SUM($O84)*SUM($AS84)))/$AT84,0)))</f>
        <v>0</v>
      </c>
      <c r="AW84" s="88" t="n">
        <f aca="false">IF($C84="&lt;01","",100%)</f>
        <v>1</v>
      </c>
      <c r="AX84" s="39" t="n">
        <f aca="false">IF($C84="&lt;01",SUM($AV84),ROUND(SUM($AV84)*SUM($AW84),0))</f>
        <v>0</v>
      </c>
      <c r="AY84" s="114" t="n">
        <f aca="false">IF($C84="&lt;01","",70%)</f>
        <v>0.7</v>
      </c>
      <c r="AZ84" s="91" t="n">
        <f aca="false">IF($C84="&lt;01",ROUND(INDEX(EID!$R:$R,MATCH($B84,EID!$B:$B,0))/2,0),ROUND(SUM($O84)+(SUM($AV84)*$AY84),0))</f>
        <v>0</v>
      </c>
      <c r="BA84" s="87" t="n">
        <f aca="false">IF($C84="&lt;01","",95%)</f>
        <v>0.95</v>
      </c>
      <c r="BB84" s="5" t="n">
        <f aca="false">IF($C84="&lt;01",ROUND(INDEX(EID!$T:$T,MATCH($B84,EID!$B:$B,0))/2,0),ROUND($AZ84*$BA84,0))</f>
        <v>0</v>
      </c>
      <c r="BC84" s="91" t="n">
        <f aca="false">IF(LEFT($B84,4)="_Mil","",IF(SUM($BB84)=0,SUM($AD84),IF(OR(SUM($AP84)=0,SUM($AQ84)=0),MAX($BB84,$AD84),ROUND($BB84*$AQ84/$AP84,0))))</f>
        <v>0</v>
      </c>
      <c r="BD84" s="88" t="n">
        <f aca="false">IF($C84="&lt;01","",95%)</f>
        <v>0.95</v>
      </c>
      <c r="BE84" s="39" t="n">
        <f aca="false">IF($C84="&lt;01",ROUND(INDEX(EID!$V:$V,MATCH($B84,EID!$B:$B,0))/2,0),ROUND($BD84*$BB84,0))</f>
        <v>0</v>
      </c>
      <c r="BF84" s="39" t="n">
        <f aca="false">IF(LEFT($B84,4)="_Mil","",IF(SUM($BE84)=0,SUM($AF84),IF(OR(SUM($AP84)=0,SUM($AQ84)=0),MAX($BE84,$AF84),ROUND($BE84*$AQ84/$AP84,0))))</f>
        <v>0</v>
      </c>
      <c r="BG84" s="114" t="n">
        <f aca="false">IF($C84="&lt;01","",95%)</f>
        <v>0.95</v>
      </c>
      <c r="BH84" s="5" t="n">
        <f aca="false">IF($C84="&lt;01",ROUND(INDEX(EID!$L:$L,MATCH($B84,EID!$B:$B,0)),0)/2,IF(SUM($BG84)=0,"",ROUND($AX84/$BG84,0)))</f>
        <v>0</v>
      </c>
    </row>
    <row r="85" customFormat="false" ht="15" hidden="false" customHeight="false" outlineLevel="0" collapsed="false">
      <c r="A85" s="0" t="str">
        <f aca="false">INDEX(Prioritization!$D:$D,MATCH($B85,Prioritization!$A:$A,0))</f>
        <v>1 - Scale-up: Saturation</v>
      </c>
      <c r="B85" s="0" t="s">
        <v>199</v>
      </c>
      <c r="C85" s="0" t="s">
        <v>316</v>
      </c>
      <c r="D85" s="0" t="s">
        <v>30</v>
      </c>
      <c r="E85" s="0" t="str">
        <f aca="false">$B85&amp;"|"&amp;$C85&amp;"|"&amp;$D85</f>
        <v>Mchinji District [kxuuIFpOXyO]|&lt;01|Female</v>
      </c>
      <c r="F85" s="10"/>
      <c r="G85" s="10" t="n">
        <v>5</v>
      </c>
      <c r="H85" s="10" t="n">
        <v>2</v>
      </c>
      <c r="I85" s="10" t="n">
        <v>1</v>
      </c>
      <c r="J85" s="10" t="n">
        <v>9</v>
      </c>
      <c r="K85" s="10" t="n">
        <v>7</v>
      </c>
      <c r="L85" s="10"/>
      <c r="M85" s="10" t="n">
        <v>1</v>
      </c>
      <c r="N85" s="10" t="n">
        <v>1</v>
      </c>
      <c r="O85" s="10" t="n">
        <f aca="false">IFERROR(1/(1/MAX($I85,$N85)),"")</f>
        <v>1</v>
      </c>
      <c r="P85" s="10" t="n">
        <v>0</v>
      </c>
      <c r="Q85" s="10" t="n">
        <v>0</v>
      </c>
      <c r="R85" s="10" t="n">
        <f aca="false">IF(AND(SUM($I85)=0,SUM($O85)=0),"",SUM($O85)-$I85)</f>
        <v>0</v>
      </c>
      <c r="S85" s="10" t="n">
        <f aca="false">IF(LEFT($B85,4)="_Mil","",_xlfn.IFNA(ROUND(INDEX(Spectrum!$N:$N,MATCH(RIGHT($B85,13)&amp;"|"&amp;$C85&amp;"|"&amp;$D85&amp;"|"&amp;S$14&amp;"|"&amp;"CY2022Q4",Spectrum!$R:$R,0)),0),""))</f>
        <v>942</v>
      </c>
      <c r="T85" s="39" t="n">
        <f aca="false">IF(LEFT($B85,4)="_Mil","",_xlfn.IFNA(ROUND(INDEX(Spectrum!$N:$N,MATCH(RIGHT($B85,13)&amp;"|"&amp;$C85&amp;"|"&amp;$D85&amp;"|"&amp;T$14&amp;"|"&amp;"CY2023Q3",Spectrum!$R:$R,0)),0),""))</f>
        <v>810</v>
      </c>
      <c r="U85" s="39" t="str">
        <f aca="false">IF(LEFT($B85,4)="_Mil","",_xlfn.IFNA(ROUND(INDEX(Spectrum!$N:$N,MATCH(RIGHT($B85,13)&amp;"|"&amp;$C85&amp;"|"&amp;$D85&amp;"|"&amp;U$14&amp;"|"&amp;"CY2023Q3",Spectrum!$R:$R,0)),0),""))</f>
        <v/>
      </c>
      <c r="V85" s="10" t="n">
        <f aca="false">IF(LEFT($B85,4)="_Mil","",_xlfn.IFNA(ROUND(INDEX(Spectrum!$N:$N,MATCH(RIGHT($B85,13)&amp;"|"&amp;$C85&amp;"|"&amp;$D85&amp;"|"&amp;V$14&amp;"|"&amp;"CY2023Q3",Spectrum!$R:$R,0)),0),""))</f>
        <v>801</v>
      </c>
      <c r="W85" s="113" t="n">
        <f aca="false">IF(LEFT($B85,4)="_Mil","",_xlfn.IFNA(INDEX(Spectrum!$N:$N,MATCH(RIGHT($B85,13)&amp;"|"&amp;$C85&amp;"|"&amp;$D85&amp;"|"&amp;W$14&amp;"|"&amp;"CY2023Q3",Spectrum!$R:$R,0)),""))</f>
        <v>931</v>
      </c>
      <c r="X85" s="39" t="n">
        <f aca="false">IF(LEFT($B85,4)="_Mil","",_xlfn.IFNA(ROUND(INDEX(Spectrum!$N:$N,MATCH(RIGHT($B85,13)&amp;"|"&amp;$C85&amp;"|"&amp;$D85&amp;"|"&amp;X$14&amp;"|"&amp;"CY2023Q3",Spectrum!$R:$R,0)),0),""))</f>
        <v>1226</v>
      </c>
      <c r="Y85" s="88" t="str">
        <f aca="false">IF(OR(SUM($U85)=0,LEFT($B85,4)="_Mil"),"",SUM($X85)/$U85)</f>
        <v/>
      </c>
      <c r="Z85" s="39" t="n">
        <f aca="false">IF(LEFT($B85,4)="_Mil","",_xlfn.IFNA(ROUND(INDEX(Spectrum!$N:$N,MATCH(RIGHT($B85,13)&amp;"|"&amp;$C85&amp;"|"&amp;$D85&amp;"|"&amp;Z$14&amp;"|"&amp;"CY2023Q3",Spectrum!$R:$R,0)),0),""))</f>
        <v>741</v>
      </c>
      <c r="AA85" s="88" t="n">
        <f aca="false">IF(LEFT($B85,4)="_Mil","",IFERROR(1/(1/INDEX(Spectrum!$N:$N,MATCH(RIGHT($B85,13)&amp;"|"&amp;$C85&amp;"|"&amp;$D85&amp;"|"&amp;AA$14&amp;"|"&amp;"CY2023Q3",Spectrum!$R:$R,0))),IF(SUM($U85)=0,"",SUM($Z85)/$U85)))</f>
        <v>765</v>
      </c>
      <c r="AB85" s="88" t="n">
        <f aca="false">IF(OR(LEFT($B85,4)="_Mil",SUM($X85)=0),"",SUM($Z85)/$X85)</f>
        <v>0.604404567699837</v>
      </c>
      <c r="AC85" s="10" t="n">
        <f aca="false">IF(LEFT($B85,4)="_Mil","",_xlfn.IFNA(ROUND(INDEX(Spectrum!$N:$N,MATCH(RIGHT($B85,13)&amp;"|"&amp;$C85&amp;"|"&amp;$D85&amp;"|"&amp;AC$14&amp;"|"&amp;"CY2023Q3",Spectrum!$R:$R,0)),0),""))</f>
        <v>1568</v>
      </c>
      <c r="AD85" s="10" t="str">
        <f aca="false">IF(LEFT($B85,4)="_Mil","",_xlfn.IFNA(ROUND(INDEX(Spectrum!$N:$N,MATCH(RIGHT($B85,13)&amp;"|"&amp;$C85&amp;"|"&amp;$D85&amp;"|"&amp;AD$14&amp;"|"&amp;"CY2023Q3",Spectrum!$R:$R,0)),0),""))</f>
        <v/>
      </c>
      <c r="AE85" s="88" t="n">
        <f aca="false">IF(OR(LEFT($B85,4)="_Mil",SUM($Z85)=0),"",SUM($AD85)/$Z85)</f>
        <v>0</v>
      </c>
      <c r="AF85" s="39" t="str">
        <f aca="false">IF(LEFT($B85,4)="_Mil","",_xlfn.IFNA(ROUND(INDEX(Spectrum!$N:$N,MATCH(RIGHT($B85,13)&amp;"|"&amp;$C85&amp;"|"&amp;$D85&amp;"|"&amp;AF$14&amp;"|"&amp;"CY2023Q3",Spectrum!$R:$R,0)),0),""))</f>
        <v/>
      </c>
      <c r="AG85" s="88" t="str">
        <f aca="false">IF(OR(LEFT($B85,4)="_Mil",SUM($AD85)=0),"",SUM($AF85)/$AD85)</f>
        <v/>
      </c>
      <c r="AH85" s="86" t="str">
        <f aca="false">IF(LEFT($B85,4)="_Mil","",_xlfn.IFNA(INDEX(Spectrum!$N:$N,MATCH(RIGHT($B85,13)&amp;"|"&amp;$C85&amp;"|"&amp;$D85&amp;"|"&amp;AH$14&amp;"|"&amp;"CY2023Q3",Spectrum!$R:$R,0)),""))</f>
        <v/>
      </c>
      <c r="AI85" s="10" t="str">
        <f aca="false">IF(LEFT($B85,4)="_Mil","",_xlfn.IFNA(ROUND(INDEX(Spectrum!$N:$N,MATCH(RIGHT($B85,13)&amp;"|"&amp;$C85&amp;"|"&amp;$D85&amp;"|"&amp;AI$14&amp;"|"&amp;"CY2023Q3",Spectrum!$R:$R,0)),0),""))</f>
        <v/>
      </c>
      <c r="AJ85" s="39" t="n">
        <f aca="false">IF(LEFT($B85,4)="_Mil","",_xlfn.IFNA(ROUND(INDEX(Spectrum!$N:$N,MATCH(RIGHT($B85,13)&amp;"|"&amp;$C85&amp;"|"&amp;$D85&amp;"|"&amp;AI$14&amp;"|"&amp;"CY2023Q3",Spectrum!$R:$R,0)),0),SUM($U85)+SUM($AI85)))</f>
        <v>0</v>
      </c>
      <c r="AK85" s="10" t="str">
        <f aca="false">IF(LEFT($B85,4)="_Mil","",_xlfn.IFNA(ROUND(INDEX(Spectrum!$N:$N,MATCH(RIGHT($B85,13)&amp;"|"&amp;$C85&amp;"|"&amp;$D85&amp;"|"&amp;AK$14&amp;"|"&amp;"CY2023Q3",Spectrum!$R:$R,0)),0),""))</f>
        <v/>
      </c>
      <c r="AL85" s="88" t="str">
        <f aca="false">IF(OR(LEFT($B85,4)="_Mil",$C85="&lt;01"),"",MAX(SUM($AA85),90%))</f>
        <v/>
      </c>
      <c r="AM85" s="10" t="str">
        <f aca="false">IF(OR(LEFT($B85,4)="_Mil",$C85="&lt;01"),"",ROUND(SUM($AJ85)*SUM($AL85),0))</f>
        <v/>
      </c>
      <c r="AN85" s="10" t="n">
        <f aca="false">IF($C85="&lt;01",ROUND(INDEX(EID!$P:$P,MATCH($B85,EID!$B:$B,0))/2,0),"")</f>
        <v>0</v>
      </c>
      <c r="AO85" s="10" t="n">
        <f aca="false">IF($C85="&lt;01",SUM($AN85),ROUND(SUM($AM85)*SUM($O85)/IF(SUM($Z85)=0,1,$Z85),0))</f>
        <v>0</v>
      </c>
      <c r="AP85" s="39" t="n">
        <f aca="false">IF(OR($F85="",$C85="&lt;01"),$AO85,$F85)</f>
        <v>0</v>
      </c>
      <c r="AQ85" s="39" t="n">
        <f aca="false">IF(LEFT($B85,4)="_Mil","",IF(SUM($AP85)=0,SUM($Z85),IF(OR(SUM($Z85)=0,SUM($O85)=0),MAX($AP85,$Z85),$AP85*$Z85/$O85)))</f>
        <v>741</v>
      </c>
      <c r="AR85" s="88" t="str">
        <f aca="false">IF(OR(LEFT($B85,4)="_Mil",SUM($AJ85)=0),"",SUM($AQ85)/$AJ85)</f>
        <v/>
      </c>
      <c r="AS85" s="88" t="str">
        <f aca="false">IF($C85="&lt;01","",98%)</f>
        <v/>
      </c>
      <c r="AT85" s="88" t="str">
        <f aca="false">IF($C85="&lt;01","",98%)</f>
        <v/>
      </c>
      <c r="AU85" s="10" t="str">
        <f aca="false">IF($C85="&lt;01","",SUM($AP85)-SUM($O85))</f>
        <v/>
      </c>
      <c r="AV85" s="10" t="n">
        <f aca="false">IF($C85="&lt;01",ROUND(INDEX(EID!$N:$N,MATCH($B85,EID!$B:$B,0))/2,0),IF(SUM($AT85)=0,"",ROUND((SUM($AP85)-(SUM($O85)*SUM($AS85)))/$AT85,0)))</f>
        <v>0</v>
      </c>
      <c r="AW85" s="88" t="str">
        <f aca="false">IF($C85="&lt;01","",100%)</f>
        <v/>
      </c>
      <c r="AX85" s="39" t="n">
        <f aca="false">IF($C85="&lt;01",SUM($AV85),ROUND(SUM($AV85)*SUM($AW85),0))</f>
        <v>0</v>
      </c>
      <c r="AY85" s="114" t="str">
        <f aca="false">IF($C85="&lt;01","",70%)</f>
        <v/>
      </c>
      <c r="AZ85" s="91" t="n">
        <f aca="false">IF($C85="&lt;01",ROUND(INDEX(EID!$R:$R,MATCH($B85,EID!$B:$B,0))/2,0),ROUND(SUM($O85)+(SUM($AV85)*$AY85),0))</f>
        <v>0</v>
      </c>
      <c r="BA85" s="87" t="str">
        <f aca="false">IF($C85="&lt;01","",95%)</f>
        <v/>
      </c>
      <c r="BB85" s="5" t="n">
        <f aca="false">IF($C85="&lt;01",ROUND(INDEX(EID!$T:$T,MATCH($B85,EID!$B:$B,0))/2,0),ROUND($AZ85*$BA85,0))</f>
        <v>0</v>
      </c>
      <c r="BC85" s="91" t="n">
        <f aca="false">IF(LEFT($B85,4)="_Mil","",IF(SUM($BB85)=0,SUM($AD85),IF(OR(SUM($AP85)=0,SUM($AQ85)=0),MAX($BB85,$AD85),ROUND($BB85*$AQ85/$AP85,0))))</f>
        <v>0</v>
      </c>
      <c r="BD85" s="88" t="str">
        <f aca="false">IF($C85="&lt;01","",95%)</f>
        <v/>
      </c>
      <c r="BE85" s="39" t="n">
        <f aca="false">IF($C85="&lt;01",ROUND(INDEX(EID!$V:$V,MATCH($B85,EID!$B:$B,0))/2,0),ROUND($BD85*$BB85,0))</f>
        <v>0</v>
      </c>
      <c r="BF85" s="39" t="n">
        <f aca="false">IF(LEFT($B85,4)="_Mil","",IF(SUM($BE85)=0,SUM($AF85),IF(OR(SUM($AP85)=0,SUM($AQ85)=0),MAX($BE85,$AF85),ROUND($BE85*$AQ85/$AP85,0))))</f>
        <v>0</v>
      </c>
      <c r="BG85" s="114" t="str">
        <f aca="false">IF($C85="&lt;01","",95%)</f>
        <v/>
      </c>
      <c r="BH85" s="5" t="n">
        <f aca="false">IF($C85="&lt;01",ROUND(INDEX(EID!$L:$L,MATCH($B85,EID!$B:$B,0)),0)/2,IF(SUM($BG85)=0,"",ROUND($AX85/$BG85,0)))</f>
        <v>0</v>
      </c>
    </row>
    <row r="86" customFormat="false" ht="15" hidden="false" customHeight="false" outlineLevel="0" collapsed="false">
      <c r="A86" s="0" t="str">
        <f aca="false">INDEX(Prioritization!$D:$D,MATCH($B86,Prioritization!$A:$A,0))</f>
        <v>1 - Scale-up: Saturation</v>
      </c>
      <c r="B86" s="0" t="s">
        <v>199</v>
      </c>
      <c r="C86" s="0" t="s">
        <v>316</v>
      </c>
      <c r="D86" s="0" t="s">
        <v>48</v>
      </c>
      <c r="E86" s="0" t="str">
        <f aca="false">$B86&amp;"|"&amp;$C86&amp;"|"&amp;$D86</f>
        <v>Mchinji District [kxuuIFpOXyO]|&lt;01|Male</v>
      </c>
      <c r="F86" s="10"/>
      <c r="G86" s="10" t="n">
        <v>6</v>
      </c>
      <c r="H86" s="10" t="n">
        <v>3</v>
      </c>
      <c r="I86" s="10" t="n">
        <v>1</v>
      </c>
      <c r="J86" s="10" t="n">
        <v>9</v>
      </c>
      <c r="K86" s="10" t="n">
        <v>1</v>
      </c>
      <c r="L86" s="10"/>
      <c r="M86" s="10" t="n">
        <v>1</v>
      </c>
      <c r="N86" s="10" t="n">
        <v>1</v>
      </c>
      <c r="O86" s="10" t="n">
        <f aca="false">IFERROR(1/(1/MAX($I86,$N86)),"")</f>
        <v>1</v>
      </c>
      <c r="P86" s="10" t="n">
        <v>0</v>
      </c>
      <c r="Q86" s="10" t="n">
        <v>0</v>
      </c>
      <c r="R86" s="10" t="n">
        <f aca="false">IF(AND(SUM($I86)=0,SUM($O86)=0),"",SUM($O86)-$I86)</f>
        <v>0</v>
      </c>
      <c r="S86" s="10" t="n">
        <f aca="false">IF(LEFT($B86,4)="_Mil","",_xlfn.IFNA(ROUND(INDEX(Spectrum!$N:$N,MATCH(RIGHT($B86,13)&amp;"|"&amp;$C86&amp;"|"&amp;$D86&amp;"|"&amp;S$14&amp;"|"&amp;"CY2022Q4",Spectrum!$R:$R,0)),0),""))</f>
        <v>1123</v>
      </c>
      <c r="T86" s="39" t="n">
        <f aca="false">IF(LEFT($B86,4)="_Mil","",_xlfn.IFNA(ROUND(INDEX(Spectrum!$N:$N,MATCH(RIGHT($B86,13)&amp;"|"&amp;$C86&amp;"|"&amp;$D86&amp;"|"&amp;T$14&amp;"|"&amp;"CY2023Q3",Spectrum!$R:$R,0)),0),""))</f>
        <v>821</v>
      </c>
      <c r="U86" s="39" t="str">
        <f aca="false">IF(LEFT($B86,4)="_Mil","",_xlfn.IFNA(ROUND(INDEX(Spectrum!$N:$N,MATCH(RIGHT($B86,13)&amp;"|"&amp;$C86&amp;"|"&amp;$D86&amp;"|"&amp;U$14&amp;"|"&amp;"CY2023Q3",Spectrum!$R:$R,0)),0),""))</f>
        <v/>
      </c>
      <c r="V86" s="10" t="n">
        <f aca="false">IF(LEFT($B86,4)="_Mil","",_xlfn.IFNA(ROUND(INDEX(Spectrum!$N:$N,MATCH(RIGHT($B86,13)&amp;"|"&amp;$C86&amp;"|"&amp;$D86&amp;"|"&amp;V$14&amp;"|"&amp;"CY2023Q3",Spectrum!$R:$R,0)),0),""))</f>
        <v>1877</v>
      </c>
      <c r="W86" s="113" t="n">
        <f aca="false">IF(LEFT($B86,4)="_Mil","",_xlfn.IFNA(INDEX(Spectrum!$N:$N,MATCH(RIGHT($B86,13)&amp;"|"&amp;$C86&amp;"|"&amp;$D86&amp;"|"&amp;W$14&amp;"|"&amp;"CY2023Q3",Spectrum!$R:$R,0)),""))</f>
        <v>1569</v>
      </c>
      <c r="X86" s="39" t="n">
        <f aca="false">IF(LEFT($B86,4)="_Mil","",_xlfn.IFNA(ROUND(INDEX(Spectrum!$N:$N,MATCH(RIGHT($B86,13)&amp;"|"&amp;$C86&amp;"|"&amp;$D86&amp;"|"&amp;X$14&amp;"|"&amp;"CY2023Q3",Spectrum!$R:$R,0)),0),""))</f>
        <v>1314</v>
      </c>
      <c r="Y86" s="88" t="str">
        <f aca="false">IF(OR(SUM($U86)=0,LEFT($B86,4)="_Mil"),"",SUM($X86)/$U86)</f>
        <v/>
      </c>
      <c r="Z86" s="39" t="n">
        <f aca="false">IF(LEFT($B86,4)="_Mil","",_xlfn.IFNA(ROUND(INDEX(Spectrum!$N:$N,MATCH(RIGHT($B86,13)&amp;"|"&amp;$C86&amp;"|"&amp;$D86&amp;"|"&amp;Z$14&amp;"|"&amp;"CY2023Q3",Spectrum!$R:$R,0)),0),""))</f>
        <v>742</v>
      </c>
      <c r="AA86" s="88" t="n">
        <f aca="false">IF(LEFT($B86,4)="_Mil","",IFERROR(1/(1/INDEX(Spectrum!$N:$N,MATCH(RIGHT($B86,13)&amp;"|"&amp;$C86&amp;"|"&amp;$D86&amp;"|"&amp;AA$14&amp;"|"&amp;"CY2023Q3",Spectrum!$R:$R,0))),IF(SUM($U86)=0,"",SUM($Z86)/$U86)))</f>
        <v>1304</v>
      </c>
      <c r="AB86" s="88" t="n">
        <f aca="false">IF(OR(LEFT($B86,4)="_Mil",SUM($X86)=0),"",SUM($Z86)/$X86)</f>
        <v>0.56468797564688</v>
      </c>
      <c r="AC86" s="10" t="n">
        <f aca="false">IF(LEFT($B86,4)="_Mil","",_xlfn.IFNA(ROUND(INDEX(Spectrum!$N:$N,MATCH(RIGHT($B86,13)&amp;"|"&amp;$C86&amp;"|"&amp;$D86&amp;"|"&amp;AC$14&amp;"|"&amp;"CY2023Q3",Spectrum!$R:$R,0)),0),""))</f>
        <v>1831</v>
      </c>
      <c r="AD86" s="10" t="str">
        <f aca="false">IF(LEFT($B86,4)="_Mil","",_xlfn.IFNA(ROUND(INDEX(Spectrum!$N:$N,MATCH(RIGHT($B86,13)&amp;"|"&amp;$C86&amp;"|"&amp;$D86&amp;"|"&amp;AD$14&amp;"|"&amp;"CY2023Q3",Spectrum!$R:$R,0)),0),""))</f>
        <v/>
      </c>
      <c r="AE86" s="88" t="n">
        <f aca="false">IF(OR(LEFT($B86,4)="_Mil",SUM($Z86)=0),"",SUM($AD86)/$Z86)</f>
        <v>0</v>
      </c>
      <c r="AF86" s="39" t="str">
        <f aca="false">IF(LEFT($B86,4)="_Mil","",_xlfn.IFNA(ROUND(INDEX(Spectrum!$N:$N,MATCH(RIGHT($B86,13)&amp;"|"&amp;$C86&amp;"|"&amp;$D86&amp;"|"&amp;AF$14&amp;"|"&amp;"CY2023Q3",Spectrum!$R:$R,0)),0),""))</f>
        <v/>
      </c>
      <c r="AG86" s="88" t="str">
        <f aca="false">IF(OR(LEFT($B86,4)="_Mil",SUM($AD86)=0),"",SUM($AF86)/$AD86)</f>
        <v/>
      </c>
      <c r="AH86" s="86" t="str">
        <f aca="false">IF(LEFT($B86,4)="_Mil","",_xlfn.IFNA(INDEX(Spectrum!$N:$N,MATCH(RIGHT($B86,13)&amp;"|"&amp;$C86&amp;"|"&amp;$D86&amp;"|"&amp;AH$14&amp;"|"&amp;"CY2023Q3",Spectrum!$R:$R,0)),""))</f>
        <v/>
      </c>
      <c r="AI86" s="10" t="str">
        <f aca="false">IF(LEFT($B86,4)="_Mil","",_xlfn.IFNA(ROUND(INDEX(Spectrum!$N:$N,MATCH(RIGHT($B86,13)&amp;"|"&amp;$C86&amp;"|"&amp;$D86&amp;"|"&amp;AI$14&amp;"|"&amp;"CY2023Q3",Spectrum!$R:$R,0)),0),""))</f>
        <v/>
      </c>
      <c r="AJ86" s="39" t="n">
        <f aca="false">IF(LEFT($B86,4)="_Mil","",_xlfn.IFNA(ROUND(INDEX(Spectrum!$N:$N,MATCH(RIGHT($B86,13)&amp;"|"&amp;$C86&amp;"|"&amp;$D86&amp;"|"&amp;AI$14&amp;"|"&amp;"CY2023Q3",Spectrum!$R:$R,0)),0),SUM($U86)+SUM($AI86)))</f>
        <v>0</v>
      </c>
      <c r="AK86" s="10" t="str">
        <f aca="false">IF(LEFT($B86,4)="_Mil","",_xlfn.IFNA(ROUND(INDEX(Spectrum!$N:$N,MATCH(RIGHT($B86,13)&amp;"|"&amp;$C86&amp;"|"&amp;$D86&amp;"|"&amp;AK$14&amp;"|"&amp;"CY2023Q3",Spectrum!$R:$R,0)),0),""))</f>
        <v/>
      </c>
      <c r="AL86" s="88" t="str">
        <f aca="false">IF(OR(LEFT($B86,4)="_Mil",$C86="&lt;01"),"",MAX(SUM($AA86),90%))</f>
        <v/>
      </c>
      <c r="AM86" s="10" t="str">
        <f aca="false">IF(OR(LEFT($B86,4)="_Mil",$C86="&lt;01"),"",ROUND(SUM($AJ86)*SUM($AL86),0))</f>
        <v/>
      </c>
      <c r="AN86" s="10" t="n">
        <f aca="false">IF($C86="&lt;01",ROUND(INDEX(EID!$P:$P,MATCH($B86,EID!$B:$B,0))/2,0),"")</f>
        <v>0</v>
      </c>
      <c r="AO86" s="10" t="n">
        <f aca="false">IF($C86="&lt;01",SUM($AN86),ROUND(SUM($AM86)*SUM($O86)/IF(SUM($Z86)=0,1,$Z86),0))</f>
        <v>0</v>
      </c>
      <c r="AP86" s="39" t="n">
        <f aca="false">IF(OR($F86="",$C86="&lt;01"),$AO86,$F86)</f>
        <v>0</v>
      </c>
      <c r="AQ86" s="39" t="n">
        <f aca="false">IF(LEFT($B86,4)="_Mil","",IF(SUM($AP86)=0,SUM($Z86),IF(OR(SUM($Z86)=0,SUM($O86)=0),MAX($AP86,$Z86),$AP86*$Z86/$O86)))</f>
        <v>742</v>
      </c>
      <c r="AR86" s="88" t="str">
        <f aca="false">IF(OR(LEFT($B86,4)="_Mil",SUM($AJ86)=0),"",SUM($AQ86)/$AJ86)</f>
        <v/>
      </c>
      <c r="AS86" s="88" t="str">
        <f aca="false">IF($C86="&lt;01","",98%)</f>
        <v/>
      </c>
      <c r="AT86" s="88" t="str">
        <f aca="false">IF($C86="&lt;01","",98%)</f>
        <v/>
      </c>
      <c r="AU86" s="10" t="str">
        <f aca="false">IF($C86="&lt;01","",SUM($AP86)-SUM($O86))</f>
        <v/>
      </c>
      <c r="AV86" s="10" t="n">
        <f aca="false">IF($C86="&lt;01",ROUND(INDEX(EID!$N:$N,MATCH($B86,EID!$B:$B,0))/2,0),IF(SUM($AT86)=0,"",ROUND((SUM($AP86)-(SUM($O86)*SUM($AS86)))/$AT86,0)))</f>
        <v>0</v>
      </c>
      <c r="AW86" s="88" t="str">
        <f aca="false">IF($C86="&lt;01","",100%)</f>
        <v/>
      </c>
      <c r="AX86" s="39" t="n">
        <f aca="false">IF($C86="&lt;01",SUM($AV86),ROUND(SUM($AV86)*SUM($AW86),0))</f>
        <v>0</v>
      </c>
      <c r="AY86" s="114" t="str">
        <f aca="false">IF($C86="&lt;01","",70%)</f>
        <v/>
      </c>
      <c r="AZ86" s="91" t="n">
        <f aca="false">IF($C86="&lt;01",ROUND(INDEX(EID!$R:$R,MATCH($B86,EID!$B:$B,0))/2,0),ROUND(SUM($O86)+(SUM($AV86)*$AY86),0))</f>
        <v>0</v>
      </c>
      <c r="BA86" s="87" t="str">
        <f aca="false">IF($C86="&lt;01","",95%)</f>
        <v/>
      </c>
      <c r="BB86" s="5" t="n">
        <f aca="false">IF($C86="&lt;01",ROUND(INDEX(EID!$T:$T,MATCH($B86,EID!$B:$B,0))/2,0),ROUND($AZ86*$BA86,0))</f>
        <v>0</v>
      </c>
      <c r="BC86" s="91" t="n">
        <f aca="false">IF(LEFT($B86,4)="_Mil","",IF(SUM($BB86)=0,SUM($AD86),IF(OR(SUM($AP86)=0,SUM($AQ86)=0),MAX($BB86,$AD86),ROUND($BB86*$AQ86/$AP86,0))))</f>
        <v>0</v>
      </c>
      <c r="BD86" s="88" t="str">
        <f aca="false">IF($C86="&lt;01","",95%)</f>
        <v/>
      </c>
      <c r="BE86" s="39" t="n">
        <f aca="false">IF($C86="&lt;01",ROUND(INDEX(EID!$V:$V,MATCH($B86,EID!$B:$B,0))/2,0),ROUND($BD86*$BB86,0))</f>
        <v>0</v>
      </c>
      <c r="BF86" s="39" t="n">
        <f aca="false">IF(LEFT($B86,4)="_Mil","",IF(SUM($BE86)=0,SUM($AF86),IF(OR(SUM($AP86)=0,SUM($AQ86)=0),MAX($BE86,$AF86),ROUND($BE86*$AQ86/$AP86,0))))</f>
        <v>0</v>
      </c>
      <c r="BG86" s="114" t="str">
        <f aca="false">IF($C86="&lt;01","",95%)</f>
        <v/>
      </c>
      <c r="BH86" s="5" t="n">
        <f aca="false">IF($C86="&lt;01",ROUND(INDEX(EID!$L:$L,MATCH($B86,EID!$B:$B,0)),0)/2,IF(SUM($BG86)=0,"",ROUND($AX86/$BG86,0)))</f>
        <v>0</v>
      </c>
    </row>
    <row r="87" customFormat="false" ht="15" hidden="false" customHeight="false" outlineLevel="0" collapsed="false">
      <c r="A87" s="0" t="str">
        <f aca="false">INDEX(Prioritization!$D:$D,MATCH($B87,Prioritization!$A:$A,0))</f>
        <v>1 - Scale-up: Saturation</v>
      </c>
      <c r="B87" s="0" t="s">
        <v>199</v>
      </c>
      <c r="C87" s="0" t="s">
        <v>363</v>
      </c>
      <c r="D87" s="0" t="s">
        <v>30</v>
      </c>
      <c r="E87" s="0" t="str">
        <f aca="false">$B87&amp;"|"&amp;$C87&amp;"|"&amp;$D87</f>
        <v>Mchinji District [kxuuIFpOXyO]|01-09|Female</v>
      </c>
      <c r="F87" s="10"/>
      <c r="G87" s="10"/>
      <c r="H87" s="10"/>
      <c r="I87" s="10"/>
      <c r="J87" s="10"/>
      <c r="K87" s="10"/>
      <c r="L87" s="10"/>
      <c r="M87" s="10"/>
      <c r="N87" s="10"/>
      <c r="O87" s="10" t="str">
        <f aca="false">IFERROR(1/(1/MAX($I87,$N87)),"")</f>
        <v/>
      </c>
      <c r="P87" s="10"/>
      <c r="Q87" s="10"/>
      <c r="R87" s="10" t="str">
        <f aca="false">IF(AND(SUM($I87)=0,SUM($O87)=0),"",SUM($O87)-$I87)</f>
        <v/>
      </c>
      <c r="S87" s="10" t="n">
        <f aca="false">IF(LEFT($B87,4)="_Mil","",_xlfn.IFNA(ROUND(INDEX(Spectrum!$N:$N,MATCH(RIGHT($B87,13)&amp;"|"&amp;$C87&amp;"|"&amp;$D87&amp;"|"&amp;S$14&amp;"|"&amp;"CY2022Q4",Spectrum!$R:$R,0)),0),""))</f>
        <v>1523</v>
      </c>
      <c r="T87" s="39" t="n">
        <f aca="false">IF(LEFT($B87,4)="_Mil","",_xlfn.IFNA(ROUND(INDEX(Spectrum!$N:$N,MATCH(RIGHT($B87,13)&amp;"|"&amp;$C87&amp;"|"&amp;$D87&amp;"|"&amp;T$14&amp;"|"&amp;"CY2023Q3",Spectrum!$R:$R,0)),0),""))</f>
        <v>1665</v>
      </c>
      <c r="U87" s="39" t="str">
        <f aca="false">IF(LEFT($B87,4)="_Mil","",_xlfn.IFNA(ROUND(INDEX(Spectrum!$N:$N,MATCH(RIGHT($B87,13)&amp;"|"&amp;$C87&amp;"|"&amp;$D87&amp;"|"&amp;U$14&amp;"|"&amp;"CY2023Q3",Spectrum!$R:$R,0)),0),""))</f>
        <v/>
      </c>
      <c r="V87" s="10" t="n">
        <f aca="false">IF(LEFT($B87,4)="_Mil","",_xlfn.IFNA(ROUND(INDEX(Spectrum!$N:$N,MATCH(RIGHT($B87,13)&amp;"|"&amp;$C87&amp;"|"&amp;$D87&amp;"|"&amp;V$14&amp;"|"&amp;"CY2023Q3",Spectrum!$R:$R,0)),0),""))</f>
        <v>1363</v>
      </c>
      <c r="W87" s="113" t="n">
        <f aca="false">IF(LEFT($B87,4)="_Mil","",_xlfn.IFNA(INDEX(Spectrum!$N:$N,MATCH(RIGHT($B87,13)&amp;"|"&amp;$C87&amp;"|"&amp;$D87&amp;"|"&amp;W$14&amp;"|"&amp;"CY2023Q3",Spectrum!$R:$R,0)),""))</f>
        <v>589</v>
      </c>
      <c r="X87" s="39" t="n">
        <f aca="false">IF(LEFT($B87,4)="_Mil","",_xlfn.IFNA(ROUND(INDEX(Spectrum!$N:$N,MATCH(RIGHT($B87,13)&amp;"|"&amp;$C87&amp;"|"&amp;$D87&amp;"|"&amp;X$14&amp;"|"&amp;"CY2023Q3",Spectrum!$R:$R,0)),0),""))</f>
        <v>577</v>
      </c>
      <c r="Y87" s="88" t="str">
        <f aca="false">IF(OR(SUM($U87)=0,LEFT($B87,4)="_Mil"),"",SUM($X87)/$U87)</f>
        <v/>
      </c>
      <c r="Z87" s="39" t="n">
        <f aca="false">IF(LEFT($B87,4)="_Mil","",_xlfn.IFNA(ROUND(INDEX(Spectrum!$N:$N,MATCH(RIGHT($B87,13)&amp;"|"&amp;$C87&amp;"|"&amp;$D87&amp;"|"&amp;Z$14&amp;"|"&amp;"CY2023Q3",Spectrum!$R:$R,0)),0),""))</f>
        <v>1318</v>
      </c>
      <c r="AA87" s="88" t="n">
        <f aca="false">IF(LEFT($B87,4)="_Mil","",IFERROR(1/(1/INDEX(Spectrum!$N:$N,MATCH(RIGHT($B87,13)&amp;"|"&amp;$C87&amp;"|"&amp;$D87&amp;"|"&amp;AA$14&amp;"|"&amp;"CY2023Q3",Spectrum!$R:$R,0))),IF(SUM($U87)=0,"",SUM($Z87)/$U87)))</f>
        <v>1421</v>
      </c>
      <c r="AB87" s="88" t="n">
        <f aca="false">IF(OR(LEFT($B87,4)="_Mil",SUM($X87)=0),"",SUM($Z87)/$X87)</f>
        <v>2.2842287694974</v>
      </c>
      <c r="AC87" s="10" t="n">
        <f aca="false">IF(LEFT($B87,4)="_Mil","",_xlfn.IFNA(ROUND(INDEX(Spectrum!$N:$N,MATCH(RIGHT($B87,13)&amp;"|"&amp;$C87&amp;"|"&amp;$D87&amp;"|"&amp;AC$14&amp;"|"&amp;"CY2023Q3",Spectrum!$R:$R,0)),0),""))</f>
        <v>1671</v>
      </c>
      <c r="AD87" s="10" t="str">
        <f aca="false">IF(LEFT($B87,4)="_Mil","",_xlfn.IFNA(ROUND(INDEX(Spectrum!$N:$N,MATCH(RIGHT($B87,13)&amp;"|"&amp;$C87&amp;"|"&amp;$D87&amp;"|"&amp;AD$14&amp;"|"&amp;"CY2023Q3",Spectrum!$R:$R,0)),0),""))</f>
        <v/>
      </c>
      <c r="AE87" s="88" t="n">
        <f aca="false">IF(OR(LEFT($B87,4)="_Mil",SUM($Z87)=0),"",SUM($AD87)/$Z87)</f>
        <v>0</v>
      </c>
      <c r="AF87" s="39" t="str">
        <f aca="false">IF(LEFT($B87,4)="_Mil","",_xlfn.IFNA(ROUND(INDEX(Spectrum!$N:$N,MATCH(RIGHT($B87,13)&amp;"|"&amp;$C87&amp;"|"&amp;$D87&amp;"|"&amp;AF$14&amp;"|"&amp;"CY2023Q3",Spectrum!$R:$R,0)),0),""))</f>
        <v/>
      </c>
      <c r="AG87" s="88" t="str">
        <f aca="false">IF(OR(LEFT($B87,4)="_Mil",SUM($AD87)=0),"",SUM($AF87)/$AD87)</f>
        <v/>
      </c>
      <c r="AH87" s="86" t="str">
        <f aca="false">IF(LEFT($B87,4)="_Mil","",_xlfn.IFNA(INDEX(Spectrum!$N:$N,MATCH(RIGHT($B87,13)&amp;"|"&amp;$C87&amp;"|"&amp;$D87&amp;"|"&amp;AH$14&amp;"|"&amp;"CY2023Q3",Spectrum!$R:$R,0)),""))</f>
        <v/>
      </c>
      <c r="AI87" s="10" t="str">
        <f aca="false">IF(LEFT($B87,4)="_Mil","",_xlfn.IFNA(ROUND(INDEX(Spectrum!$N:$N,MATCH(RIGHT($B87,13)&amp;"|"&amp;$C87&amp;"|"&amp;$D87&amp;"|"&amp;AI$14&amp;"|"&amp;"CY2023Q3",Spectrum!$R:$R,0)),0),""))</f>
        <v/>
      </c>
      <c r="AJ87" s="39" t="n">
        <f aca="false">IF(LEFT($B87,4)="_Mil","",_xlfn.IFNA(ROUND(INDEX(Spectrum!$N:$N,MATCH(RIGHT($B87,13)&amp;"|"&amp;$C87&amp;"|"&amp;$D87&amp;"|"&amp;AI$14&amp;"|"&amp;"CY2023Q3",Spectrum!$R:$R,0)),0),SUM($U87)+SUM($AI87)))</f>
        <v>0</v>
      </c>
      <c r="AK87" s="10" t="str">
        <f aca="false">IF(LEFT($B87,4)="_Mil","",_xlfn.IFNA(ROUND(INDEX(Spectrum!$N:$N,MATCH(RIGHT($B87,13)&amp;"|"&amp;$C87&amp;"|"&amp;$D87&amp;"|"&amp;AK$14&amp;"|"&amp;"CY2023Q3",Spectrum!$R:$R,0)),0),""))</f>
        <v/>
      </c>
      <c r="AL87" s="88" t="n">
        <f aca="false">IF(OR(LEFT($B87,4)="_Mil",$C87="&lt;01"),"",MAX(SUM($AA87),90%))</f>
        <v>1421</v>
      </c>
      <c r="AM87" s="10" t="n">
        <f aca="false">IF(OR(LEFT($B87,4)="_Mil",$C87="&lt;01"),"",ROUND(SUM($AJ87)*SUM($AL87),0))</f>
        <v>0</v>
      </c>
      <c r="AN87" s="10" t="str">
        <f aca="false">IF($C87="&lt;01",ROUND(INDEX(EID!$P:$P,MATCH($B87,EID!$B:$B,0))/2,0),"")</f>
        <v/>
      </c>
      <c r="AO87" s="10" t="n">
        <f aca="false">IF($C87="&lt;01",SUM($AN87),ROUND(SUM($AM87)*SUM($O87)/IF(SUM($Z87)=0,1,$Z87),0))</f>
        <v>0</v>
      </c>
      <c r="AP87" s="39" t="n">
        <f aca="false">IF(OR($F87="",$C87="&lt;01"),$AO87,$F87)</f>
        <v>0</v>
      </c>
      <c r="AQ87" s="39" t="n">
        <f aca="false">IF(LEFT($B87,4)="_Mil","",IF(SUM($AP87)=0,SUM($Z87),IF(OR(SUM($Z87)=0,SUM($O87)=0),MAX($AP87,$Z87),$AP87*$Z87/$O87)))</f>
        <v>1318</v>
      </c>
      <c r="AR87" s="88" t="str">
        <f aca="false">IF(OR(LEFT($B87,4)="_Mil",SUM($AJ87)=0),"",SUM($AQ87)/$AJ87)</f>
        <v/>
      </c>
      <c r="AS87" s="88" t="n">
        <f aca="false">IF($C87="&lt;01","",98%)</f>
        <v>0.98</v>
      </c>
      <c r="AT87" s="88" t="n">
        <f aca="false">IF($C87="&lt;01","",98%)</f>
        <v>0.98</v>
      </c>
      <c r="AU87" s="10" t="n">
        <f aca="false">IF($C87="&lt;01","",SUM($AP87)-SUM($O87))</f>
        <v>0</v>
      </c>
      <c r="AV87" s="10" t="n">
        <f aca="false">IF($C87="&lt;01",ROUND(INDEX(EID!$N:$N,MATCH($B87,EID!$B:$B,0))/2,0),IF(SUM($AT87)=0,"",ROUND((SUM($AP87)-(SUM($O87)*SUM($AS87)))/$AT87,0)))</f>
        <v>0</v>
      </c>
      <c r="AW87" s="88" t="n">
        <f aca="false">IF($C87="&lt;01","",100%)</f>
        <v>1</v>
      </c>
      <c r="AX87" s="39" t="n">
        <f aca="false">IF($C87="&lt;01",SUM($AV87),ROUND(SUM($AV87)*SUM($AW87),0))</f>
        <v>0</v>
      </c>
      <c r="AY87" s="114" t="n">
        <f aca="false">IF($C87="&lt;01","",70%)</f>
        <v>0.7</v>
      </c>
      <c r="AZ87" s="91" t="n">
        <f aca="false">IF($C87="&lt;01",ROUND(INDEX(EID!$R:$R,MATCH($B87,EID!$B:$B,0))/2,0),ROUND(SUM($O87)+(SUM($AV87)*$AY87),0))</f>
        <v>0</v>
      </c>
      <c r="BA87" s="87" t="n">
        <f aca="false">IF($C87="&lt;01","",95%)</f>
        <v>0.95</v>
      </c>
      <c r="BB87" s="5" t="n">
        <f aca="false">IF($C87="&lt;01",ROUND(INDEX(EID!$T:$T,MATCH($B87,EID!$B:$B,0))/2,0),ROUND($AZ87*$BA87,0))</f>
        <v>0</v>
      </c>
      <c r="BC87" s="91" t="n">
        <f aca="false">IF(LEFT($B87,4)="_Mil","",IF(SUM($BB87)=0,SUM($AD87),IF(OR(SUM($AP87)=0,SUM($AQ87)=0),MAX($BB87,$AD87),ROUND($BB87*$AQ87/$AP87,0))))</f>
        <v>0</v>
      </c>
      <c r="BD87" s="88" t="n">
        <f aca="false">IF($C87="&lt;01","",95%)</f>
        <v>0.95</v>
      </c>
      <c r="BE87" s="39" t="n">
        <f aca="false">IF($C87="&lt;01",ROUND(INDEX(EID!$V:$V,MATCH($B87,EID!$B:$B,0))/2,0),ROUND($BD87*$BB87,0))</f>
        <v>0</v>
      </c>
      <c r="BF87" s="39" t="n">
        <f aca="false">IF(LEFT($B87,4)="_Mil","",IF(SUM($BE87)=0,SUM($AF87),IF(OR(SUM($AP87)=0,SUM($AQ87)=0),MAX($BE87,$AF87),ROUND($BE87*$AQ87/$AP87,0))))</f>
        <v>0</v>
      </c>
      <c r="BG87" s="114" t="n">
        <f aca="false">IF($C87="&lt;01","",95%)</f>
        <v>0.95</v>
      </c>
      <c r="BH87" s="5" t="n">
        <f aca="false">IF($C87="&lt;01",ROUND(INDEX(EID!$L:$L,MATCH($B87,EID!$B:$B,0)),0)/2,IF(SUM($BG87)=0,"",ROUND($AX87/$BG87,0)))</f>
        <v>0</v>
      </c>
    </row>
    <row r="88" customFormat="false" ht="15" hidden="false" customHeight="false" outlineLevel="0" collapsed="false">
      <c r="A88" s="0" t="str">
        <f aca="false">INDEX(Prioritization!$D:$D,MATCH($B88,Prioritization!$A:$A,0))</f>
        <v>1 - Scale-up: Saturation</v>
      </c>
      <c r="B88" s="0" t="s">
        <v>199</v>
      </c>
      <c r="C88" s="0" t="s">
        <v>363</v>
      </c>
      <c r="D88" s="0" t="s">
        <v>48</v>
      </c>
      <c r="E88" s="0" t="str">
        <f aca="false">$B88&amp;"|"&amp;$C88&amp;"|"&amp;$D88</f>
        <v>Mchinji District [kxuuIFpOXyO]|01-09|Male</v>
      </c>
      <c r="F88" s="10"/>
      <c r="G88" s="10"/>
      <c r="H88" s="10"/>
      <c r="I88" s="10"/>
      <c r="J88" s="10"/>
      <c r="K88" s="10"/>
      <c r="L88" s="10"/>
      <c r="M88" s="10"/>
      <c r="N88" s="10"/>
      <c r="O88" s="10" t="str">
        <f aca="false">IFERROR(1/(1/MAX($I88,$N88)),"")</f>
        <v/>
      </c>
      <c r="P88" s="10"/>
      <c r="Q88" s="10"/>
      <c r="R88" s="10" t="str">
        <f aca="false">IF(AND(SUM($I88)=0,SUM($O88)=0),"",SUM($O88)-$I88)</f>
        <v/>
      </c>
      <c r="S88" s="10" t="n">
        <f aca="false">IF(LEFT($B88,4)="_Mil","",_xlfn.IFNA(ROUND(INDEX(Spectrum!$N:$N,MATCH(RIGHT($B88,13)&amp;"|"&amp;$C88&amp;"|"&amp;$D88&amp;"|"&amp;S$14&amp;"|"&amp;"CY2022Q4",Spectrum!$R:$R,0)),0),""))</f>
        <v>1340</v>
      </c>
      <c r="T88" s="39" t="n">
        <f aca="false">IF(LEFT($B88,4)="_Mil","",_xlfn.IFNA(ROUND(INDEX(Spectrum!$N:$N,MATCH(RIGHT($B88,13)&amp;"|"&amp;$C88&amp;"|"&amp;$D88&amp;"|"&amp;T$14&amp;"|"&amp;"CY2023Q3",Spectrum!$R:$R,0)),0),""))</f>
        <v>1219</v>
      </c>
      <c r="U88" s="39" t="str">
        <f aca="false">IF(LEFT($B88,4)="_Mil","",_xlfn.IFNA(ROUND(INDEX(Spectrum!$N:$N,MATCH(RIGHT($B88,13)&amp;"|"&amp;$C88&amp;"|"&amp;$D88&amp;"|"&amp;U$14&amp;"|"&amp;"CY2023Q3",Spectrum!$R:$R,0)),0),""))</f>
        <v/>
      </c>
      <c r="V88" s="10" t="n">
        <f aca="false">IF(LEFT($B88,4)="_Mil","",_xlfn.IFNA(ROUND(INDEX(Spectrum!$N:$N,MATCH(RIGHT($B88,13)&amp;"|"&amp;$C88&amp;"|"&amp;$D88&amp;"|"&amp;V$14&amp;"|"&amp;"CY2023Q3",Spectrum!$R:$R,0)),0),""))</f>
        <v>1555</v>
      </c>
      <c r="W88" s="113" t="n">
        <f aca="false">IF(LEFT($B88,4)="_Mil","",_xlfn.IFNA(INDEX(Spectrum!$N:$N,MATCH(RIGHT($B88,13)&amp;"|"&amp;$C88&amp;"|"&amp;$D88&amp;"|"&amp;W$14&amp;"|"&amp;"CY2023Q3",Spectrum!$R:$R,0)),""))</f>
        <v>1930</v>
      </c>
      <c r="X88" s="39" t="n">
        <f aca="false">IF(LEFT($B88,4)="_Mil","",_xlfn.IFNA(ROUND(INDEX(Spectrum!$N:$N,MATCH(RIGHT($B88,13)&amp;"|"&amp;$C88&amp;"|"&amp;$D88&amp;"|"&amp;X$14&amp;"|"&amp;"CY2023Q3",Spectrum!$R:$R,0)),0),""))</f>
        <v>1728</v>
      </c>
      <c r="Y88" s="88" t="str">
        <f aca="false">IF(OR(SUM($U88)=0,LEFT($B88,4)="_Mil"),"",SUM($X88)/$U88)</f>
        <v/>
      </c>
      <c r="Z88" s="39" t="n">
        <f aca="false">IF(LEFT($B88,4)="_Mil","",_xlfn.IFNA(ROUND(INDEX(Spectrum!$N:$N,MATCH(RIGHT($B88,13)&amp;"|"&amp;$C88&amp;"|"&amp;$D88&amp;"|"&amp;Z$14&amp;"|"&amp;"CY2023Q3",Spectrum!$R:$R,0)),0),""))</f>
        <v>1923</v>
      </c>
      <c r="AA88" s="88" t="n">
        <f aca="false">IF(LEFT($B88,4)="_Mil","",IFERROR(1/(1/INDEX(Spectrum!$N:$N,MATCH(RIGHT($B88,13)&amp;"|"&amp;$C88&amp;"|"&amp;$D88&amp;"|"&amp;AA$14&amp;"|"&amp;"CY2023Q3",Spectrum!$R:$R,0))),IF(SUM($U88)=0,"",SUM($Z88)/$U88)))</f>
        <v>1003</v>
      </c>
      <c r="AB88" s="88" t="n">
        <f aca="false">IF(OR(LEFT($B88,4)="_Mil",SUM($X88)=0),"",SUM($Z88)/$X88)</f>
        <v>1.11284722222222</v>
      </c>
      <c r="AC88" s="10" t="n">
        <f aca="false">IF(LEFT($B88,4)="_Mil","",_xlfn.IFNA(ROUND(INDEX(Spectrum!$N:$N,MATCH(RIGHT($B88,13)&amp;"|"&amp;$C88&amp;"|"&amp;$D88&amp;"|"&amp;AC$14&amp;"|"&amp;"CY2023Q3",Spectrum!$R:$R,0)),0),""))</f>
        <v>659</v>
      </c>
      <c r="AD88" s="10" t="str">
        <f aca="false">IF(LEFT($B88,4)="_Mil","",_xlfn.IFNA(ROUND(INDEX(Spectrum!$N:$N,MATCH(RIGHT($B88,13)&amp;"|"&amp;$C88&amp;"|"&amp;$D88&amp;"|"&amp;AD$14&amp;"|"&amp;"CY2023Q3",Spectrum!$R:$R,0)),0),""))</f>
        <v/>
      </c>
      <c r="AE88" s="88" t="n">
        <f aca="false">IF(OR(LEFT($B88,4)="_Mil",SUM($Z88)=0),"",SUM($AD88)/$Z88)</f>
        <v>0</v>
      </c>
      <c r="AF88" s="39" t="str">
        <f aca="false">IF(LEFT($B88,4)="_Mil","",_xlfn.IFNA(ROUND(INDEX(Spectrum!$N:$N,MATCH(RIGHT($B88,13)&amp;"|"&amp;$C88&amp;"|"&amp;$D88&amp;"|"&amp;AF$14&amp;"|"&amp;"CY2023Q3",Spectrum!$R:$R,0)),0),""))</f>
        <v/>
      </c>
      <c r="AG88" s="88" t="str">
        <f aca="false">IF(OR(LEFT($B88,4)="_Mil",SUM($AD88)=0),"",SUM($AF88)/$AD88)</f>
        <v/>
      </c>
      <c r="AH88" s="86" t="str">
        <f aca="false">IF(LEFT($B88,4)="_Mil","",_xlfn.IFNA(INDEX(Spectrum!$N:$N,MATCH(RIGHT($B88,13)&amp;"|"&amp;$C88&amp;"|"&amp;$D88&amp;"|"&amp;AH$14&amp;"|"&amp;"CY2023Q3",Spectrum!$R:$R,0)),""))</f>
        <v/>
      </c>
      <c r="AI88" s="10" t="str">
        <f aca="false">IF(LEFT($B88,4)="_Mil","",_xlfn.IFNA(ROUND(INDEX(Spectrum!$N:$N,MATCH(RIGHT($B88,13)&amp;"|"&amp;$C88&amp;"|"&amp;$D88&amp;"|"&amp;AI$14&amp;"|"&amp;"CY2023Q3",Spectrum!$R:$R,0)),0),""))</f>
        <v/>
      </c>
      <c r="AJ88" s="39" t="n">
        <f aca="false">IF(LEFT($B88,4)="_Mil","",_xlfn.IFNA(ROUND(INDEX(Spectrum!$N:$N,MATCH(RIGHT($B88,13)&amp;"|"&amp;$C88&amp;"|"&amp;$D88&amp;"|"&amp;AI$14&amp;"|"&amp;"CY2023Q3",Spectrum!$R:$R,0)),0),SUM($U88)+SUM($AI88)))</f>
        <v>0</v>
      </c>
      <c r="AK88" s="10" t="str">
        <f aca="false">IF(LEFT($B88,4)="_Mil","",_xlfn.IFNA(ROUND(INDEX(Spectrum!$N:$N,MATCH(RIGHT($B88,13)&amp;"|"&amp;$C88&amp;"|"&amp;$D88&amp;"|"&amp;AK$14&amp;"|"&amp;"CY2023Q3",Spectrum!$R:$R,0)),0),""))</f>
        <v/>
      </c>
      <c r="AL88" s="88" t="n">
        <f aca="false">IF(OR(LEFT($B88,4)="_Mil",$C88="&lt;01"),"",MAX(SUM($AA88),90%))</f>
        <v>1003</v>
      </c>
      <c r="AM88" s="10" t="n">
        <f aca="false">IF(OR(LEFT($B88,4)="_Mil",$C88="&lt;01"),"",ROUND(SUM($AJ88)*SUM($AL88),0))</f>
        <v>0</v>
      </c>
      <c r="AN88" s="10" t="str">
        <f aca="false">IF($C88="&lt;01",ROUND(INDEX(EID!$P:$P,MATCH($B88,EID!$B:$B,0))/2,0),"")</f>
        <v/>
      </c>
      <c r="AO88" s="10" t="n">
        <f aca="false">IF($C88="&lt;01",SUM($AN88),ROUND(SUM($AM88)*SUM($O88)/IF(SUM($Z88)=0,1,$Z88),0))</f>
        <v>0</v>
      </c>
      <c r="AP88" s="39" t="n">
        <f aca="false">IF(OR($F88="",$C88="&lt;01"),$AO88,$F88)</f>
        <v>0</v>
      </c>
      <c r="AQ88" s="39" t="n">
        <f aca="false">IF(LEFT($B88,4)="_Mil","",IF(SUM($AP88)=0,SUM($Z88),IF(OR(SUM($Z88)=0,SUM($O88)=0),MAX($AP88,$Z88),$AP88*$Z88/$O88)))</f>
        <v>1923</v>
      </c>
      <c r="AR88" s="88" t="str">
        <f aca="false">IF(OR(LEFT($B88,4)="_Mil",SUM($AJ88)=0),"",SUM($AQ88)/$AJ88)</f>
        <v/>
      </c>
      <c r="AS88" s="88" t="n">
        <f aca="false">IF($C88="&lt;01","",98%)</f>
        <v>0.98</v>
      </c>
      <c r="AT88" s="88" t="n">
        <f aca="false">IF($C88="&lt;01","",98%)</f>
        <v>0.98</v>
      </c>
      <c r="AU88" s="10" t="n">
        <f aca="false">IF($C88="&lt;01","",SUM($AP88)-SUM($O88))</f>
        <v>0</v>
      </c>
      <c r="AV88" s="10" t="n">
        <f aca="false">IF($C88="&lt;01",ROUND(INDEX(EID!$N:$N,MATCH($B88,EID!$B:$B,0))/2,0),IF(SUM($AT88)=0,"",ROUND((SUM($AP88)-(SUM($O88)*SUM($AS88)))/$AT88,0)))</f>
        <v>0</v>
      </c>
      <c r="AW88" s="88" t="n">
        <f aca="false">IF($C88="&lt;01","",100%)</f>
        <v>1</v>
      </c>
      <c r="AX88" s="39" t="n">
        <f aca="false">IF($C88="&lt;01",SUM($AV88),ROUND(SUM($AV88)*SUM($AW88),0))</f>
        <v>0</v>
      </c>
      <c r="AY88" s="114" t="n">
        <f aca="false">IF($C88="&lt;01","",70%)</f>
        <v>0.7</v>
      </c>
      <c r="AZ88" s="91" t="n">
        <f aca="false">IF($C88="&lt;01",ROUND(INDEX(EID!$R:$R,MATCH($B88,EID!$B:$B,0))/2,0),ROUND(SUM($O88)+(SUM($AV88)*$AY88),0))</f>
        <v>0</v>
      </c>
      <c r="BA88" s="87" t="n">
        <f aca="false">IF($C88="&lt;01","",95%)</f>
        <v>0.95</v>
      </c>
      <c r="BB88" s="5" t="n">
        <f aca="false">IF($C88="&lt;01",ROUND(INDEX(EID!$T:$T,MATCH($B88,EID!$B:$B,0))/2,0),ROUND($AZ88*$BA88,0))</f>
        <v>0</v>
      </c>
      <c r="BC88" s="91" t="n">
        <f aca="false">IF(LEFT($B88,4)="_Mil","",IF(SUM($BB88)=0,SUM($AD88),IF(OR(SUM($AP88)=0,SUM($AQ88)=0),MAX($BB88,$AD88),ROUND($BB88*$AQ88/$AP88,0))))</f>
        <v>0</v>
      </c>
      <c r="BD88" s="88" t="n">
        <f aca="false">IF($C88="&lt;01","",95%)</f>
        <v>0.95</v>
      </c>
      <c r="BE88" s="39" t="n">
        <f aca="false">IF($C88="&lt;01",ROUND(INDEX(EID!$V:$V,MATCH($B88,EID!$B:$B,0))/2,0),ROUND($BD88*$BB88,0))</f>
        <v>0</v>
      </c>
      <c r="BF88" s="39" t="n">
        <f aca="false">IF(LEFT($B88,4)="_Mil","",IF(SUM($BE88)=0,SUM($AF88),IF(OR(SUM($AP88)=0,SUM($AQ88)=0),MAX($BE88,$AF88),ROUND($BE88*$AQ88/$AP88,0))))</f>
        <v>0</v>
      </c>
      <c r="BG88" s="114" t="n">
        <f aca="false">IF($C88="&lt;01","",95%)</f>
        <v>0.95</v>
      </c>
      <c r="BH88" s="5" t="n">
        <f aca="false">IF($C88="&lt;01",ROUND(INDEX(EID!$L:$L,MATCH($B88,EID!$B:$B,0)),0)/2,IF(SUM($BG88)=0,"",ROUND($AX88/$BG88,0)))</f>
        <v>0</v>
      </c>
    </row>
    <row r="89" customFormat="false" ht="15" hidden="false" customHeight="false" outlineLevel="0" collapsed="false">
      <c r="A89" s="0" t="str">
        <f aca="false">INDEX(Prioritization!$D:$D,MATCH($B89,Prioritization!$A:$A,0))</f>
        <v>1 - Scale-up: Saturation</v>
      </c>
      <c r="B89" s="0" t="s">
        <v>199</v>
      </c>
      <c r="C89" s="0" t="s">
        <v>364</v>
      </c>
      <c r="D89" s="0" t="s">
        <v>30</v>
      </c>
      <c r="E89" s="0" t="str">
        <f aca="false">$B89&amp;"|"&amp;$C89&amp;"|"&amp;$D89</f>
        <v>Mchinji District [kxuuIFpOXyO]|10-14|Female</v>
      </c>
      <c r="F89" s="10"/>
      <c r="G89" s="10" t="n">
        <v>6</v>
      </c>
      <c r="H89" s="10" t="n">
        <v>8</v>
      </c>
      <c r="I89" s="10" t="n">
        <v>24</v>
      </c>
      <c r="J89" s="10" t="n">
        <v>54</v>
      </c>
      <c r="K89" s="10" t="n">
        <v>64</v>
      </c>
      <c r="L89" s="10" t="n">
        <v>7</v>
      </c>
      <c r="M89" s="10" t="n">
        <v>6</v>
      </c>
      <c r="N89" s="10" t="n">
        <v>71</v>
      </c>
      <c r="O89" s="10" t="n">
        <f aca="false">IFERROR(1/(1/MAX($I89,$N89)),"")</f>
        <v>71</v>
      </c>
      <c r="P89" s="10" t="n">
        <v>51</v>
      </c>
      <c r="Q89" s="10" t="n">
        <v>37</v>
      </c>
      <c r="R89" s="10" t="n">
        <f aca="false">IF(AND(SUM($I89)=0,SUM($O89)=0),"",SUM($O89)-$I89)</f>
        <v>47</v>
      </c>
      <c r="S89" s="10" t="n">
        <f aca="false">IF(LEFT($B89,4)="_Mil","",_xlfn.IFNA(ROUND(INDEX(Spectrum!$N:$N,MATCH(RIGHT($B89,13)&amp;"|"&amp;$C89&amp;"|"&amp;$D89&amp;"|"&amp;S$14&amp;"|"&amp;"CY2022Q4",Spectrum!$R:$R,0)),0),""))</f>
        <v>1295</v>
      </c>
      <c r="T89" s="39" t="n">
        <f aca="false">IF(LEFT($B89,4)="_Mil","",_xlfn.IFNA(ROUND(INDEX(Spectrum!$N:$N,MATCH(RIGHT($B89,13)&amp;"|"&amp;$C89&amp;"|"&amp;$D89&amp;"|"&amp;T$14&amp;"|"&amp;"CY2023Q3",Spectrum!$R:$R,0)),0),""))</f>
        <v>1546</v>
      </c>
      <c r="U89" s="39" t="str">
        <f aca="false">IF(LEFT($B89,4)="_Mil","",_xlfn.IFNA(ROUND(INDEX(Spectrum!$N:$N,MATCH(RIGHT($B89,13)&amp;"|"&amp;$C89&amp;"|"&amp;$D89&amp;"|"&amp;U$14&amp;"|"&amp;"CY2023Q3",Spectrum!$R:$R,0)),0),""))</f>
        <v/>
      </c>
      <c r="V89" s="10" t="n">
        <f aca="false">IF(LEFT($B89,4)="_Mil","",_xlfn.IFNA(ROUND(INDEX(Spectrum!$N:$N,MATCH(RIGHT($B89,13)&amp;"|"&amp;$C89&amp;"|"&amp;$D89&amp;"|"&amp;V$14&amp;"|"&amp;"CY2023Q3",Spectrum!$R:$R,0)),0),""))</f>
        <v>1401</v>
      </c>
      <c r="W89" s="113" t="n">
        <f aca="false">IF(LEFT($B89,4)="_Mil","",_xlfn.IFNA(INDEX(Spectrum!$N:$N,MATCH(RIGHT($B89,13)&amp;"|"&amp;$C89&amp;"|"&amp;$D89&amp;"|"&amp;W$14&amp;"|"&amp;"CY2023Q3",Spectrum!$R:$R,0)),""))</f>
        <v>1287</v>
      </c>
      <c r="X89" s="39" t="n">
        <f aca="false">IF(LEFT($B89,4)="_Mil","",_xlfn.IFNA(ROUND(INDEX(Spectrum!$N:$N,MATCH(RIGHT($B89,13)&amp;"|"&amp;$C89&amp;"|"&amp;$D89&amp;"|"&amp;X$14&amp;"|"&amp;"CY2023Q3",Spectrum!$R:$R,0)),0),""))</f>
        <v>726</v>
      </c>
      <c r="Y89" s="88" t="str">
        <f aca="false">IF(OR(SUM($U89)=0,LEFT($B89,4)="_Mil"),"",SUM($X89)/$U89)</f>
        <v/>
      </c>
      <c r="Z89" s="39" t="n">
        <f aca="false">IF(LEFT($B89,4)="_Mil","",_xlfn.IFNA(ROUND(INDEX(Spectrum!$N:$N,MATCH(RIGHT($B89,13)&amp;"|"&amp;$C89&amp;"|"&amp;$D89&amp;"|"&amp;Z$14&amp;"|"&amp;"CY2023Q3",Spectrum!$R:$R,0)),0),""))</f>
        <v>851</v>
      </c>
      <c r="AA89" s="88" t="n">
        <f aca="false">IF(LEFT($B89,4)="_Mil","",IFERROR(1/(1/INDEX(Spectrum!$N:$N,MATCH(RIGHT($B89,13)&amp;"|"&amp;$C89&amp;"|"&amp;$D89&amp;"|"&amp;AA$14&amp;"|"&amp;"CY2023Q3",Spectrum!$R:$R,0))),IF(SUM($U89)=0,"",SUM($Z89)/$U89)))</f>
        <v>911</v>
      </c>
      <c r="AB89" s="88" t="n">
        <f aca="false">IF(OR(LEFT($B89,4)="_Mil",SUM($X89)=0),"",SUM($Z89)/$X89)</f>
        <v>1.17217630853994</v>
      </c>
      <c r="AC89" s="10" t="n">
        <f aca="false">IF(LEFT($B89,4)="_Mil","",_xlfn.IFNA(ROUND(INDEX(Spectrum!$N:$N,MATCH(RIGHT($B89,13)&amp;"|"&amp;$C89&amp;"|"&amp;$D89&amp;"|"&amp;AC$14&amp;"|"&amp;"CY2023Q3",Spectrum!$R:$R,0)),0),""))</f>
        <v>657</v>
      </c>
      <c r="AD89" s="10" t="str">
        <f aca="false">IF(LEFT($B89,4)="_Mil","",_xlfn.IFNA(ROUND(INDEX(Spectrum!$N:$N,MATCH(RIGHT($B89,13)&amp;"|"&amp;$C89&amp;"|"&amp;$D89&amp;"|"&amp;AD$14&amp;"|"&amp;"CY2023Q3",Spectrum!$R:$R,0)),0),""))</f>
        <v/>
      </c>
      <c r="AE89" s="88" t="n">
        <f aca="false">IF(OR(LEFT($B89,4)="_Mil",SUM($Z89)=0),"",SUM($AD89)/$Z89)</f>
        <v>0</v>
      </c>
      <c r="AF89" s="39" t="str">
        <f aca="false">IF(LEFT($B89,4)="_Mil","",_xlfn.IFNA(ROUND(INDEX(Spectrum!$N:$N,MATCH(RIGHT($B89,13)&amp;"|"&amp;$C89&amp;"|"&amp;$D89&amp;"|"&amp;AF$14&amp;"|"&amp;"CY2023Q3",Spectrum!$R:$R,0)),0),""))</f>
        <v/>
      </c>
      <c r="AG89" s="88" t="str">
        <f aca="false">IF(OR(LEFT($B89,4)="_Mil",SUM($AD89)=0),"",SUM($AF89)/$AD89)</f>
        <v/>
      </c>
      <c r="AH89" s="86" t="str">
        <f aca="false">IF(LEFT($B89,4)="_Mil","",_xlfn.IFNA(INDEX(Spectrum!$N:$N,MATCH(RIGHT($B89,13)&amp;"|"&amp;$C89&amp;"|"&amp;$D89&amp;"|"&amp;AH$14&amp;"|"&amp;"CY2023Q3",Spectrum!$R:$R,0)),""))</f>
        <v/>
      </c>
      <c r="AI89" s="10" t="str">
        <f aca="false">IF(LEFT($B89,4)="_Mil","",_xlfn.IFNA(ROUND(INDEX(Spectrum!$N:$N,MATCH(RIGHT($B89,13)&amp;"|"&amp;$C89&amp;"|"&amp;$D89&amp;"|"&amp;AI$14&amp;"|"&amp;"CY2023Q3",Spectrum!$R:$R,0)),0),""))</f>
        <v/>
      </c>
      <c r="AJ89" s="39" t="n">
        <f aca="false">IF(LEFT($B89,4)="_Mil","",_xlfn.IFNA(ROUND(INDEX(Spectrum!$N:$N,MATCH(RIGHT($B89,13)&amp;"|"&amp;$C89&amp;"|"&amp;$D89&amp;"|"&amp;AI$14&amp;"|"&amp;"CY2023Q3",Spectrum!$R:$R,0)),0),SUM($U89)+SUM($AI89)))</f>
        <v>0</v>
      </c>
      <c r="AK89" s="10" t="str">
        <f aca="false">IF(LEFT($B89,4)="_Mil","",_xlfn.IFNA(ROUND(INDEX(Spectrum!$N:$N,MATCH(RIGHT($B89,13)&amp;"|"&amp;$C89&amp;"|"&amp;$D89&amp;"|"&amp;AK$14&amp;"|"&amp;"CY2023Q3",Spectrum!$R:$R,0)),0),""))</f>
        <v/>
      </c>
      <c r="AL89" s="88" t="n">
        <f aca="false">IF(OR(LEFT($B89,4)="_Mil",$C89="&lt;01"),"",MAX(SUM($AA89),90%))</f>
        <v>911</v>
      </c>
      <c r="AM89" s="10" t="n">
        <f aca="false">IF(OR(LEFT($B89,4)="_Mil",$C89="&lt;01"),"",ROUND(SUM($AJ89)*SUM($AL89),0))</f>
        <v>0</v>
      </c>
      <c r="AN89" s="10" t="str">
        <f aca="false">IF($C89="&lt;01",ROUND(INDEX(EID!$P:$P,MATCH($B89,EID!$B:$B,0))/2,0),"")</f>
        <v/>
      </c>
      <c r="AO89" s="10" t="n">
        <f aca="false">IF($C89="&lt;01",SUM($AN89),ROUND(SUM($AM89)*SUM($O89)/IF(SUM($Z89)=0,1,$Z89),0))</f>
        <v>0</v>
      </c>
      <c r="AP89" s="39" t="n">
        <f aca="false">IF(OR($F89="",$C89="&lt;01"),$AO89,$F89)</f>
        <v>0</v>
      </c>
      <c r="AQ89" s="39" t="n">
        <f aca="false">IF(LEFT($B89,4)="_Mil","",IF(SUM($AP89)=0,SUM($Z89),IF(OR(SUM($Z89)=0,SUM($O89)=0),MAX($AP89,$Z89),$AP89*$Z89/$O89)))</f>
        <v>851</v>
      </c>
      <c r="AR89" s="88" t="str">
        <f aca="false">IF(OR(LEFT($B89,4)="_Mil",SUM($AJ89)=0),"",SUM($AQ89)/$AJ89)</f>
        <v/>
      </c>
      <c r="AS89" s="88" t="n">
        <f aca="false">IF($C89="&lt;01","",98%)</f>
        <v>0.98</v>
      </c>
      <c r="AT89" s="88" t="n">
        <f aca="false">IF($C89="&lt;01","",98%)</f>
        <v>0.98</v>
      </c>
      <c r="AU89" s="10" t="n">
        <f aca="false">IF($C89="&lt;01","",SUM($AP89)-SUM($O89))</f>
        <v>-71</v>
      </c>
      <c r="AV89" s="10" t="n">
        <f aca="false">IF($C89="&lt;01",ROUND(INDEX(EID!$N:$N,MATCH($B89,EID!$B:$B,0))/2,0),IF(SUM($AT89)=0,"",ROUND((SUM($AP89)-(SUM($O89)*SUM($AS89)))/$AT89,0)))</f>
        <v>-71</v>
      </c>
      <c r="AW89" s="88" t="n">
        <f aca="false">IF($C89="&lt;01","",100%)</f>
        <v>1</v>
      </c>
      <c r="AX89" s="39" t="n">
        <f aca="false">IF($C89="&lt;01",SUM($AV89),ROUND(SUM($AV89)*SUM($AW89),0))</f>
        <v>-71</v>
      </c>
      <c r="AY89" s="114" t="n">
        <f aca="false">IF($C89="&lt;01","",70%)</f>
        <v>0.7</v>
      </c>
      <c r="AZ89" s="91" t="n">
        <f aca="false">IF($C89="&lt;01",ROUND(INDEX(EID!$R:$R,MATCH($B89,EID!$B:$B,0))/2,0),ROUND(SUM($O89)+(SUM($AV89)*$AY89),0))</f>
        <v>21</v>
      </c>
      <c r="BA89" s="87" t="n">
        <f aca="false">IF($C89="&lt;01","",95%)</f>
        <v>0.95</v>
      </c>
      <c r="BB89" s="5" t="n">
        <f aca="false">IF($C89="&lt;01",ROUND(INDEX(EID!$T:$T,MATCH($B89,EID!$B:$B,0))/2,0),ROUND($AZ89*$BA89,0))</f>
        <v>20</v>
      </c>
      <c r="BC89" s="91" t="n">
        <f aca="false">IF(LEFT($B89,4)="_Mil","",IF(SUM($BB89)=0,SUM($AD89),IF(OR(SUM($AP89)=0,SUM($AQ89)=0),MAX($BB89,$AD89),ROUND($BB89*$AQ89/$AP89,0))))</f>
        <v>20</v>
      </c>
      <c r="BD89" s="88" t="n">
        <f aca="false">IF($C89="&lt;01","",95%)</f>
        <v>0.95</v>
      </c>
      <c r="BE89" s="39" t="n">
        <f aca="false">IF($C89="&lt;01",ROUND(INDEX(EID!$V:$V,MATCH($B89,EID!$B:$B,0))/2,0),ROUND($BD89*$BB89,0))</f>
        <v>19</v>
      </c>
      <c r="BF89" s="39" t="n">
        <f aca="false">IF(LEFT($B89,4)="_Mil","",IF(SUM($BE89)=0,SUM($AF89),IF(OR(SUM($AP89)=0,SUM($AQ89)=0),MAX($BE89,$AF89),ROUND($BE89*$AQ89/$AP89,0))))</f>
        <v>19</v>
      </c>
      <c r="BG89" s="114" t="n">
        <f aca="false">IF($C89="&lt;01","",95%)</f>
        <v>0.95</v>
      </c>
      <c r="BH89" s="5" t="n">
        <f aca="false">IF($C89="&lt;01",ROUND(INDEX(EID!$L:$L,MATCH($B89,EID!$B:$B,0)),0)/2,IF(SUM($BG89)=0,"",ROUND($AX89/$BG89,0)))</f>
        <v>-75</v>
      </c>
    </row>
    <row r="90" customFormat="false" ht="15" hidden="false" customHeight="false" outlineLevel="0" collapsed="false">
      <c r="A90" s="0" t="str">
        <f aca="false">INDEX(Prioritization!$D:$D,MATCH($B90,Prioritization!$A:$A,0))</f>
        <v>1 - Scale-up: Saturation</v>
      </c>
      <c r="B90" s="0" t="s">
        <v>199</v>
      </c>
      <c r="C90" s="0" t="s">
        <v>364</v>
      </c>
      <c r="D90" s="0" t="s">
        <v>48</v>
      </c>
      <c r="E90" s="0" t="str">
        <f aca="false">$B90&amp;"|"&amp;$C90&amp;"|"&amp;$D90</f>
        <v>Mchinji District [kxuuIFpOXyO]|10-14|Male</v>
      </c>
      <c r="F90" s="10"/>
      <c r="G90" s="10" t="n">
        <v>8</v>
      </c>
      <c r="H90" s="10" t="n">
        <v>4</v>
      </c>
      <c r="I90" s="10" t="n">
        <v>89</v>
      </c>
      <c r="J90" s="10" t="n">
        <v>79</v>
      </c>
      <c r="K90" s="10" t="n">
        <v>91</v>
      </c>
      <c r="L90" s="10" t="n">
        <v>6</v>
      </c>
      <c r="M90" s="10" t="n">
        <v>7</v>
      </c>
      <c r="N90" s="10" t="n">
        <v>45</v>
      </c>
      <c r="O90" s="10" t="n">
        <f aca="false">IFERROR(1/(1/MAX($I90,$N90)),"")</f>
        <v>89</v>
      </c>
      <c r="P90" s="10" t="n">
        <v>81</v>
      </c>
      <c r="Q90" s="10" t="n">
        <v>71</v>
      </c>
      <c r="R90" s="10" t="n">
        <f aca="false">IF(AND(SUM($I90)=0,SUM($O90)=0),"",SUM($O90)-$I90)</f>
        <v>0</v>
      </c>
      <c r="S90" s="10" t="n">
        <f aca="false">IF(LEFT($B90,4)="_Mil","",_xlfn.IFNA(ROUND(INDEX(Spectrum!$N:$N,MATCH(RIGHT($B90,13)&amp;"|"&amp;$C90&amp;"|"&amp;$D90&amp;"|"&amp;S$14&amp;"|"&amp;"CY2022Q4",Spectrum!$R:$R,0)),0),""))</f>
        <v>1116</v>
      </c>
      <c r="T90" s="39" t="n">
        <f aca="false">IF(LEFT($B90,4)="_Mil","",_xlfn.IFNA(ROUND(INDEX(Spectrum!$N:$N,MATCH(RIGHT($B90,13)&amp;"|"&amp;$C90&amp;"|"&amp;$D90&amp;"|"&amp;T$14&amp;"|"&amp;"CY2023Q3",Spectrum!$R:$R,0)),0),""))</f>
        <v>603</v>
      </c>
      <c r="U90" s="39" t="str">
        <f aca="false">IF(LEFT($B90,4)="_Mil","",_xlfn.IFNA(ROUND(INDEX(Spectrum!$N:$N,MATCH(RIGHT($B90,13)&amp;"|"&amp;$C90&amp;"|"&amp;$D90&amp;"|"&amp;U$14&amp;"|"&amp;"CY2023Q3",Spectrum!$R:$R,0)),0),""))</f>
        <v/>
      </c>
      <c r="V90" s="10" t="n">
        <f aca="false">IF(LEFT($B90,4)="_Mil","",_xlfn.IFNA(ROUND(INDEX(Spectrum!$N:$N,MATCH(RIGHT($B90,13)&amp;"|"&amp;$C90&amp;"|"&amp;$D90&amp;"|"&amp;V$14&amp;"|"&amp;"CY2023Q3",Spectrum!$R:$R,0)),0),""))</f>
        <v>1726</v>
      </c>
      <c r="W90" s="113" t="n">
        <f aca="false">IF(LEFT($B90,4)="_Mil","",_xlfn.IFNA(INDEX(Spectrum!$N:$N,MATCH(RIGHT($B90,13)&amp;"|"&amp;$C90&amp;"|"&amp;$D90&amp;"|"&amp;W$14&amp;"|"&amp;"CY2023Q3",Spectrum!$R:$R,0)),""))</f>
        <v>1440</v>
      </c>
      <c r="X90" s="39" t="n">
        <f aca="false">IF(LEFT($B90,4)="_Mil","",_xlfn.IFNA(ROUND(INDEX(Spectrum!$N:$N,MATCH(RIGHT($B90,13)&amp;"|"&amp;$C90&amp;"|"&amp;$D90&amp;"|"&amp;X$14&amp;"|"&amp;"CY2023Q3",Spectrum!$R:$R,0)),0),""))</f>
        <v>801</v>
      </c>
      <c r="Y90" s="88" t="str">
        <f aca="false">IF(OR(SUM($U90)=0,LEFT($B90,4)="_Mil"),"",SUM($X90)/$U90)</f>
        <v/>
      </c>
      <c r="Z90" s="39" t="n">
        <f aca="false">IF(LEFT($B90,4)="_Mil","",_xlfn.IFNA(ROUND(INDEX(Spectrum!$N:$N,MATCH(RIGHT($B90,13)&amp;"|"&amp;$C90&amp;"|"&amp;$D90&amp;"|"&amp;Z$14&amp;"|"&amp;"CY2023Q3",Spectrum!$R:$R,0)),0),""))</f>
        <v>1262</v>
      </c>
      <c r="AA90" s="88" t="n">
        <f aca="false">IF(LEFT($B90,4)="_Mil","",IFERROR(1/(1/INDEX(Spectrum!$N:$N,MATCH(RIGHT($B90,13)&amp;"|"&amp;$C90&amp;"|"&amp;$D90&amp;"|"&amp;AA$14&amp;"|"&amp;"CY2023Q3",Spectrum!$R:$R,0))),IF(SUM($U90)=0,"",SUM($Z90)/$U90)))</f>
        <v>1496</v>
      </c>
      <c r="AB90" s="88" t="n">
        <f aca="false">IF(OR(LEFT($B90,4)="_Mil",SUM($X90)=0),"",SUM($Z90)/$X90)</f>
        <v>1.57553058676654</v>
      </c>
      <c r="AC90" s="10" t="n">
        <f aca="false">IF(LEFT($B90,4)="_Mil","",_xlfn.IFNA(ROUND(INDEX(Spectrum!$N:$N,MATCH(RIGHT($B90,13)&amp;"|"&amp;$C90&amp;"|"&amp;$D90&amp;"|"&amp;AC$14&amp;"|"&amp;"CY2023Q3",Spectrum!$R:$R,0)),0),""))</f>
        <v>1437</v>
      </c>
      <c r="AD90" s="10" t="str">
        <f aca="false">IF(LEFT($B90,4)="_Mil","",_xlfn.IFNA(ROUND(INDEX(Spectrum!$N:$N,MATCH(RIGHT($B90,13)&amp;"|"&amp;$C90&amp;"|"&amp;$D90&amp;"|"&amp;AD$14&amp;"|"&amp;"CY2023Q3",Spectrum!$R:$R,0)),0),""))</f>
        <v/>
      </c>
      <c r="AE90" s="88" t="n">
        <f aca="false">IF(OR(LEFT($B90,4)="_Mil",SUM($Z90)=0),"",SUM($AD90)/$Z90)</f>
        <v>0</v>
      </c>
      <c r="AF90" s="39" t="str">
        <f aca="false">IF(LEFT($B90,4)="_Mil","",_xlfn.IFNA(ROUND(INDEX(Spectrum!$N:$N,MATCH(RIGHT($B90,13)&amp;"|"&amp;$C90&amp;"|"&amp;$D90&amp;"|"&amp;AF$14&amp;"|"&amp;"CY2023Q3",Spectrum!$R:$R,0)),0),""))</f>
        <v/>
      </c>
      <c r="AG90" s="88" t="str">
        <f aca="false">IF(OR(LEFT($B90,4)="_Mil",SUM($AD90)=0),"",SUM($AF90)/$AD90)</f>
        <v/>
      </c>
      <c r="AH90" s="86" t="str">
        <f aca="false">IF(LEFT($B90,4)="_Mil","",_xlfn.IFNA(INDEX(Spectrum!$N:$N,MATCH(RIGHT($B90,13)&amp;"|"&amp;$C90&amp;"|"&amp;$D90&amp;"|"&amp;AH$14&amp;"|"&amp;"CY2023Q3",Spectrum!$R:$R,0)),""))</f>
        <v/>
      </c>
      <c r="AI90" s="10" t="str">
        <f aca="false">IF(LEFT($B90,4)="_Mil","",_xlfn.IFNA(ROUND(INDEX(Spectrum!$N:$N,MATCH(RIGHT($B90,13)&amp;"|"&amp;$C90&amp;"|"&amp;$D90&amp;"|"&amp;AI$14&amp;"|"&amp;"CY2023Q3",Spectrum!$R:$R,0)),0),""))</f>
        <v/>
      </c>
      <c r="AJ90" s="39" t="n">
        <f aca="false">IF(LEFT($B90,4)="_Mil","",_xlfn.IFNA(ROUND(INDEX(Spectrum!$N:$N,MATCH(RIGHT($B90,13)&amp;"|"&amp;$C90&amp;"|"&amp;$D90&amp;"|"&amp;AI$14&amp;"|"&amp;"CY2023Q3",Spectrum!$R:$R,0)),0),SUM($U90)+SUM($AI90)))</f>
        <v>0</v>
      </c>
      <c r="AK90" s="10" t="str">
        <f aca="false">IF(LEFT($B90,4)="_Mil","",_xlfn.IFNA(ROUND(INDEX(Spectrum!$N:$N,MATCH(RIGHT($B90,13)&amp;"|"&amp;$C90&amp;"|"&amp;$D90&amp;"|"&amp;AK$14&amp;"|"&amp;"CY2023Q3",Spectrum!$R:$R,0)),0),""))</f>
        <v/>
      </c>
      <c r="AL90" s="88" t="n">
        <f aca="false">IF(OR(LEFT($B90,4)="_Mil",$C90="&lt;01"),"",MAX(SUM($AA90),90%))</f>
        <v>1496</v>
      </c>
      <c r="AM90" s="10" t="n">
        <f aca="false">IF(OR(LEFT($B90,4)="_Mil",$C90="&lt;01"),"",ROUND(SUM($AJ90)*SUM($AL90),0))</f>
        <v>0</v>
      </c>
      <c r="AN90" s="10" t="str">
        <f aca="false">IF($C90="&lt;01",ROUND(INDEX(EID!$P:$P,MATCH($B90,EID!$B:$B,0))/2,0),"")</f>
        <v/>
      </c>
      <c r="AO90" s="10" t="n">
        <f aca="false">IF($C90="&lt;01",SUM($AN90),ROUND(SUM($AM90)*SUM($O90)/IF(SUM($Z90)=0,1,$Z90),0))</f>
        <v>0</v>
      </c>
      <c r="AP90" s="39" t="n">
        <f aca="false">IF(OR($F90="",$C90="&lt;01"),$AO90,$F90)</f>
        <v>0</v>
      </c>
      <c r="AQ90" s="39" t="n">
        <f aca="false">IF(LEFT($B90,4)="_Mil","",IF(SUM($AP90)=0,SUM($Z90),IF(OR(SUM($Z90)=0,SUM($O90)=0),MAX($AP90,$Z90),$AP90*$Z90/$O90)))</f>
        <v>1262</v>
      </c>
      <c r="AR90" s="88" t="str">
        <f aca="false">IF(OR(LEFT($B90,4)="_Mil",SUM($AJ90)=0),"",SUM($AQ90)/$AJ90)</f>
        <v/>
      </c>
      <c r="AS90" s="88" t="n">
        <f aca="false">IF($C90="&lt;01","",98%)</f>
        <v>0.98</v>
      </c>
      <c r="AT90" s="88" t="n">
        <f aca="false">IF($C90="&lt;01","",98%)</f>
        <v>0.98</v>
      </c>
      <c r="AU90" s="10" t="n">
        <f aca="false">IF($C90="&lt;01","",SUM($AP90)-SUM($O90))</f>
        <v>-89</v>
      </c>
      <c r="AV90" s="10" t="n">
        <f aca="false">IF($C90="&lt;01",ROUND(INDEX(EID!$N:$N,MATCH($B90,EID!$B:$B,0))/2,0),IF(SUM($AT90)=0,"",ROUND((SUM($AP90)-(SUM($O90)*SUM($AS90)))/$AT90,0)))</f>
        <v>-89</v>
      </c>
      <c r="AW90" s="88" t="n">
        <f aca="false">IF($C90="&lt;01","",100%)</f>
        <v>1</v>
      </c>
      <c r="AX90" s="39" t="n">
        <f aca="false">IF($C90="&lt;01",SUM($AV90),ROUND(SUM($AV90)*SUM($AW90),0))</f>
        <v>-89</v>
      </c>
      <c r="AY90" s="114" t="n">
        <f aca="false">IF($C90="&lt;01","",70%)</f>
        <v>0.7</v>
      </c>
      <c r="AZ90" s="91" t="n">
        <f aca="false">IF($C90="&lt;01",ROUND(INDEX(EID!$R:$R,MATCH($B90,EID!$B:$B,0))/2,0),ROUND(SUM($O90)+(SUM($AV90)*$AY90),0))</f>
        <v>27</v>
      </c>
      <c r="BA90" s="87" t="n">
        <f aca="false">IF($C90="&lt;01","",95%)</f>
        <v>0.95</v>
      </c>
      <c r="BB90" s="5" t="n">
        <f aca="false">IF($C90="&lt;01",ROUND(INDEX(EID!$T:$T,MATCH($B90,EID!$B:$B,0))/2,0),ROUND($AZ90*$BA90,0))</f>
        <v>26</v>
      </c>
      <c r="BC90" s="91" t="n">
        <f aca="false">IF(LEFT($B90,4)="_Mil","",IF(SUM($BB90)=0,SUM($AD90),IF(OR(SUM($AP90)=0,SUM($AQ90)=0),MAX($BB90,$AD90),ROUND($BB90*$AQ90/$AP90,0))))</f>
        <v>26</v>
      </c>
      <c r="BD90" s="88" t="n">
        <f aca="false">IF($C90="&lt;01","",95%)</f>
        <v>0.95</v>
      </c>
      <c r="BE90" s="39" t="n">
        <f aca="false">IF($C90="&lt;01",ROUND(INDEX(EID!$V:$V,MATCH($B90,EID!$B:$B,0))/2,0),ROUND($BD90*$BB90,0))</f>
        <v>25</v>
      </c>
      <c r="BF90" s="39" t="n">
        <f aca="false">IF(LEFT($B90,4)="_Mil","",IF(SUM($BE90)=0,SUM($AF90),IF(OR(SUM($AP90)=0,SUM($AQ90)=0),MAX($BE90,$AF90),ROUND($BE90*$AQ90/$AP90,0))))</f>
        <v>25</v>
      </c>
      <c r="BG90" s="114" t="n">
        <f aca="false">IF($C90="&lt;01","",95%)</f>
        <v>0.95</v>
      </c>
      <c r="BH90" s="5" t="n">
        <f aca="false">IF($C90="&lt;01",ROUND(INDEX(EID!$L:$L,MATCH($B90,EID!$B:$B,0)),0)/2,IF(SUM($BG90)=0,"",ROUND($AX90/$BG90,0)))</f>
        <v>-94</v>
      </c>
    </row>
    <row r="91" customFormat="false" ht="15" hidden="false" customHeight="false" outlineLevel="0" collapsed="false">
      <c r="A91" s="0" t="str">
        <f aca="false">INDEX(Prioritization!$D:$D,MATCH($B91,Prioritization!$A:$A,0))</f>
        <v>1 - Scale-up: Saturation</v>
      </c>
      <c r="B91" s="0" t="s">
        <v>199</v>
      </c>
      <c r="C91" s="0" t="s">
        <v>365</v>
      </c>
      <c r="D91" s="0" t="s">
        <v>30</v>
      </c>
      <c r="E91" s="0" t="str">
        <f aca="false">$B91&amp;"|"&amp;$C91&amp;"|"&amp;$D91</f>
        <v>Mchinji District [kxuuIFpOXyO]|15-24|Female</v>
      </c>
      <c r="F91" s="10"/>
      <c r="G91" s="10"/>
      <c r="H91" s="10"/>
      <c r="I91" s="10"/>
      <c r="J91" s="10"/>
      <c r="K91" s="10"/>
      <c r="L91" s="10"/>
      <c r="M91" s="10"/>
      <c r="N91" s="10"/>
      <c r="O91" s="10" t="str">
        <f aca="false">IFERROR(1/(1/MAX($I91,$N91)),"")</f>
        <v/>
      </c>
      <c r="P91" s="10"/>
      <c r="Q91" s="10"/>
      <c r="R91" s="10" t="str">
        <f aca="false">IF(AND(SUM($I91)=0,SUM($O91)=0),"",SUM($O91)-$I91)</f>
        <v/>
      </c>
      <c r="S91" s="10" t="n">
        <f aca="false">IF(LEFT($B91,4)="_Mil","",_xlfn.IFNA(ROUND(INDEX(Spectrum!$N:$N,MATCH(RIGHT($B91,13)&amp;"|"&amp;$C91&amp;"|"&amp;$D91&amp;"|"&amp;S$14&amp;"|"&amp;"CY2022Q4",Spectrum!$R:$R,0)),0),""))</f>
        <v>680</v>
      </c>
      <c r="T91" s="39" t="n">
        <f aca="false">IF(LEFT($B91,4)="_Mil","",_xlfn.IFNA(ROUND(INDEX(Spectrum!$N:$N,MATCH(RIGHT($B91,13)&amp;"|"&amp;$C91&amp;"|"&amp;$D91&amp;"|"&amp;T$14&amp;"|"&amp;"CY2023Q3",Spectrum!$R:$R,0)),0),""))</f>
        <v>794</v>
      </c>
      <c r="U91" s="39" t="str">
        <f aca="false">IF(LEFT($B91,4)="_Mil","",_xlfn.IFNA(ROUND(INDEX(Spectrum!$N:$N,MATCH(RIGHT($B91,13)&amp;"|"&amp;$C91&amp;"|"&amp;$D91&amp;"|"&amp;U$14&amp;"|"&amp;"CY2023Q3",Spectrum!$R:$R,0)),0),""))</f>
        <v/>
      </c>
      <c r="V91" s="10" t="n">
        <f aca="false">IF(LEFT($B91,4)="_Mil","",_xlfn.IFNA(ROUND(INDEX(Spectrum!$N:$N,MATCH(RIGHT($B91,13)&amp;"|"&amp;$C91&amp;"|"&amp;$D91&amp;"|"&amp;V$14&amp;"|"&amp;"CY2023Q3",Spectrum!$R:$R,0)),0),""))</f>
        <v>560</v>
      </c>
      <c r="W91" s="113" t="n">
        <f aca="false">IF(LEFT($B91,4)="_Mil","",_xlfn.IFNA(INDEX(Spectrum!$N:$N,MATCH(RIGHT($B91,13)&amp;"|"&amp;$C91&amp;"|"&amp;$D91&amp;"|"&amp;W$14&amp;"|"&amp;"CY2023Q3",Spectrum!$R:$R,0)),""))</f>
        <v>1193</v>
      </c>
      <c r="X91" s="39" t="n">
        <f aca="false">IF(LEFT($B91,4)="_Mil","",_xlfn.IFNA(ROUND(INDEX(Spectrum!$N:$N,MATCH(RIGHT($B91,13)&amp;"|"&amp;$C91&amp;"|"&amp;$D91&amp;"|"&amp;X$14&amp;"|"&amp;"CY2023Q3",Spectrum!$R:$R,0)),0),""))</f>
        <v>789</v>
      </c>
      <c r="Y91" s="88" t="str">
        <f aca="false">IF(OR(SUM($U91)=0,LEFT($B91,4)="_Mil"),"",SUM($X91)/$U91)</f>
        <v/>
      </c>
      <c r="Z91" s="39" t="n">
        <f aca="false">IF(LEFT($B91,4)="_Mil","",_xlfn.IFNA(ROUND(INDEX(Spectrum!$N:$N,MATCH(RIGHT($B91,13)&amp;"|"&amp;$C91&amp;"|"&amp;$D91&amp;"|"&amp;Z$14&amp;"|"&amp;"CY2023Q3",Spectrum!$R:$R,0)),0),""))</f>
        <v>647</v>
      </c>
      <c r="AA91" s="88" t="n">
        <f aca="false">IF(LEFT($B91,4)="_Mil","",IFERROR(1/(1/INDEX(Spectrum!$N:$N,MATCH(RIGHT($B91,13)&amp;"|"&amp;$C91&amp;"|"&amp;$D91&amp;"|"&amp;AA$14&amp;"|"&amp;"CY2023Q3",Spectrum!$R:$R,0))),IF(SUM($U91)=0,"",SUM($Z91)/$U91)))</f>
        <v>1889</v>
      </c>
      <c r="AB91" s="88" t="n">
        <f aca="false">IF(OR(LEFT($B91,4)="_Mil",SUM($X91)=0),"",SUM($Z91)/$X91)</f>
        <v>0.820025348542459</v>
      </c>
      <c r="AC91" s="10" t="n">
        <f aca="false">IF(LEFT($B91,4)="_Mil","",_xlfn.IFNA(ROUND(INDEX(Spectrum!$N:$N,MATCH(RIGHT($B91,13)&amp;"|"&amp;$C91&amp;"|"&amp;$D91&amp;"|"&amp;AC$14&amp;"|"&amp;"CY2023Q3",Spectrum!$R:$R,0)),0),""))</f>
        <v>1734</v>
      </c>
      <c r="AD91" s="10" t="str">
        <f aca="false">IF(LEFT($B91,4)="_Mil","",_xlfn.IFNA(ROUND(INDEX(Spectrum!$N:$N,MATCH(RIGHT($B91,13)&amp;"|"&amp;$C91&amp;"|"&amp;$D91&amp;"|"&amp;AD$14&amp;"|"&amp;"CY2023Q3",Spectrum!$R:$R,0)),0),""))</f>
        <v/>
      </c>
      <c r="AE91" s="88" t="n">
        <f aca="false">IF(OR(LEFT($B91,4)="_Mil",SUM($Z91)=0),"",SUM($AD91)/$Z91)</f>
        <v>0</v>
      </c>
      <c r="AF91" s="39" t="str">
        <f aca="false">IF(LEFT($B91,4)="_Mil","",_xlfn.IFNA(ROUND(INDEX(Spectrum!$N:$N,MATCH(RIGHT($B91,13)&amp;"|"&amp;$C91&amp;"|"&amp;$D91&amp;"|"&amp;AF$14&amp;"|"&amp;"CY2023Q3",Spectrum!$R:$R,0)),0),""))</f>
        <v/>
      </c>
      <c r="AG91" s="88" t="str">
        <f aca="false">IF(OR(LEFT($B91,4)="_Mil",SUM($AD91)=0),"",SUM($AF91)/$AD91)</f>
        <v/>
      </c>
      <c r="AH91" s="86" t="str">
        <f aca="false">IF(LEFT($B91,4)="_Mil","",_xlfn.IFNA(INDEX(Spectrum!$N:$N,MATCH(RIGHT($B91,13)&amp;"|"&amp;$C91&amp;"|"&amp;$D91&amp;"|"&amp;AH$14&amp;"|"&amp;"CY2023Q3",Spectrum!$R:$R,0)),""))</f>
        <v/>
      </c>
      <c r="AI91" s="10" t="str">
        <f aca="false">IF(LEFT($B91,4)="_Mil","",_xlfn.IFNA(ROUND(INDEX(Spectrum!$N:$N,MATCH(RIGHT($B91,13)&amp;"|"&amp;$C91&amp;"|"&amp;$D91&amp;"|"&amp;AI$14&amp;"|"&amp;"CY2023Q3",Spectrum!$R:$R,0)),0),""))</f>
        <v/>
      </c>
      <c r="AJ91" s="39" t="n">
        <f aca="false">IF(LEFT($B91,4)="_Mil","",_xlfn.IFNA(ROUND(INDEX(Spectrum!$N:$N,MATCH(RIGHT($B91,13)&amp;"|"&amp;$C91&amp;"|"&amp;$D91&amp;"|"&amp;AI$14&amp;"|"&amp;"CY2023Q3",Spectrum!$R:$R,0)),0),SUM($U91)+SUM($AI91)))</f>
        <v>0</v>
      </c>
      <c r="AK91" s="10" t="str">
        <f aca="false">IF(LEFT($B91,4)="_Mil","",_xlfn.IFNA(ROUND(INDEX(Spectrum!$N:$N,MATCH(RIGHT($B91,13)&amp;"|"&amp;$C91&amp;"|"&amp;$D91&amp;"|"&amp;AK$14&amp;"|"&amp;"CY2023Q3",Spectrum!$R:$R,0)),0),""))</f>
        <v/>
      </c>
      <c r="AL91" s="88" t="n">
        <f aca="false">IF(OR(LEFT($B91,4)="_Mil",$C91="&lt;01"),"",MAX(SUM($AA91),90%))</f>
        <v>1889</v>
      </c>
      <c r="AM91" s="10" t="n">
        <f aca="false">IF(OR(LEFT($B91,4)="_Mil",$C91="&lt;01"),"",ROUND(SUM($AJ91)*SUM($AL91),0))</f>
        <v>0</v>
      </c>
      <c r="AN91" s="10" t="str">
        <f aca="false">IF($C91="&lt;01",ROUND(INDEX(EID!$P:$P,MATCH($B91,EID!$B:$B,0))/2,0),"")</f>
        <v/>
      </c>
      <c r="AO91" s="10" t="n">
        <f aca="false">IF($C91="&lt;01",SUM($AN91),ROUND(SUM($AM91)*SUM($O91)/IF(SUM($Z91)=0,1,$Z91),0))</f>
        <v>0</v>
      </c>
      <c r="AP91" s="39" t="n">
        <f aca="false">IF(OR($F91="",$C91="&lt;01"),$AO91,$F91)</f>
        <v>0</v>
      </c>
      <c r="AQ91" s="39" t="n">
        <f aca="false">IF(LEFT($B91,4)="_Mil","",IF(SUM($AP91)=0,SUM($Z91),IF(OR(SUM($Z91)=0,SUM($O91)=0),MAX($AP91,$Z91),$AP91*$Z91/$O91)))</f>
        <v>647</v>
      </c>
      <c r="AR91" s="88" t="str">
        <f aca="false">IF(OR(LEFT($B91,4)="_Mil",SUM($AJ91)=0),"",SUM($AQ91)/$AJ91)</f>
        <v/>
      </c>
      <c r="AS91" s="88" t="n">
        <f aca="false">IF($C91="&lt;01","",98%)</f>
        <v>0.98</v>
      </c>
      <c r="AT91" s="88" t="n">
        <f aca="false">IF($C91="&lt;01","",98%)</f>
        <v>0.98</v>
      </c>
      <c r="AU91" s="10" t="n">
        <f aca="false">IF($C91="&lt;01","",SUM($AP91)-SUM($O91))</f>
        <v>0</v>
      </c>
      <c r="AV91" s="10" t="n">
        <f aca="false">IF($C91="&lt;01",ROUND(INDEX(EID!$N:$N,MATCH($B91,EID!$B:$B,0))/2,0),IF(SUM($AT91)=0,"",ROUND((SUM($AP91)-(SUM($O91)*SUM($AS91)))/$AT91,0)))</f>
        <v>0</v>
      </c>
      <c r="AW91" s="88" t="n">
        <f aca="false">IF($C91="&lt;01","",100%)</f>
        <v>1</v>
      </c>
      <c r="AX91" s="39" t="n">
        <f aca="false">IF($C91="&lt;01",SUM($AV91),ROUND(SUM($AV91)*SUM($AW91),0))</f>
        <v>0</v>
      </c>
      <c r="AY91" s="114" t="n">
        <f aca="false">IF($C91="&lt;01","",70%)</f>
        <v>0.7</v>
      </c>
      <c r="AZ91" s="91" t="n">
        <f aca="false">IF($C91="&lt;01",ROUND(INDEX(EID!$R:$R,MATCH($B91,EID!$B:$B,0))/2,0),ROUND(SUM($O91)+(SUM($AV91)*$AY91),0))</f>
        <v>0</v>
      </c>
      <c r="BA91" s="87" t="n">
        <f aca="false">IF($C91="&lt;01","",95%)</f>
        <v>0.95</v>
      </c>
      <c r="BB91" s="5" t="n">
        <f aca="false">IF($C91="&lt;01",ROUND(INDEX(EID!$T:$T,MATCH($B91,EID!$B:$B,0))/2,0),ROUND($AZ91*$BA91,0))</f>
        <v>0</v>
      </c>
      <c r="BC91" s="91" t="n">
        <f aca="false">IF(LEFT($B91,4)="_Mil","",IF(SUM($BB91)=0,SUM($AD91),IF(OR(SUM($AP91)=0,SUM($AQ91)=0),MAX($BB91,$AD91),ROUND($BB91*$AQ91/$AP91,0))))</f>
        <v>0</v>
      </c>
      <c r="BD91" s="88" t="n">
        <f aca="false">IF($C91="&lt;01","",95%)</f>
        <v>0.95</v>
      </c>
      <c r="BE91" s="39" t="n">
        <f aca="false">IF($C91="&lt;01",ROUND(INDEX(EID!$V:$V,MATCH($B91,EID!$B:$B,0))/2,0),ROUND($BD91*$BB91,0))</f>
        <v>0</v>
      </c>
      <c r="BF91" s="39" t="n">
        <f aca="false">IF(LEFT($B91,4)="_Mil","",IF(SUM($BE91)=0,SUM($AF91),IF(OR(SUM($AP91)=0,SUM($AQ91)=0),MAX($BE91,$AF91),ROUND($BE91*$AQ91/$AP91,0))))</f>
        <v>0</v>
      </c>
      <c r="BG91" s="114" t="n">
        <f aca="false">IF($C91="&lt;01","",95%)</f>
        <v>0.95</v>
      </c>
      <c r="BH91" s="5" t="n">
        <f aca="false">IF($C91="&lt;01",ROUND(INDEX(EID!$L:$L,MATCH($B91,EID!$B:$B,0)),0)/2,IF(SUM($BG91)=0,"",ROUND($AX91/$BG91,0)))</f>
        <v>0</v>
      </c>
    </row>
    <row r="92" customFormat="false" ht="15" hidden="false" customHeight="false" outlineLevel="0" collapsed="false">
      <c r="A92" s="0" t="str">
        <f aca="false">INDEX(Prioritization!$D:$D,MATCH($B92,Prioritization!$A:$A,0))</f>
        <v>1 - Scale-up: Saturation</v>
      </c>
      <c r="B92" s="0" t="s">
        <v>199</v>
      </c>
      <c r="C92" s="0" t="s">
        <v>365</v>
      </c>
      <c r="D92" s="0" t="s">
        <v>48</v>
      </c>
      <c r="E92" s="0" t="str">
        <f aca="false">$B92&amp;"|"&amp;$C92&amp;"|"&amp;$D92</f>
        <v>Mchinji District [kxuuIFpOXyO]|15-24|Male</v>
      </c>
      <c r="F92" s="10"/>
      <c r="G92" s="10"/>
      <c r="H92" s="10"/>
      <c r="I92" s="10"/>
      <c r="J92" s="10"/>
      <c r="K92" s="10"/>
      <c r="L92" s="10"/>
      <c r="M92" s="10"/>
      <c r="N92" s="10"/>
      <c r="O92" s="10" t="str">
        <f aca="false">IFERROR(1/(1/MAX($I92,$N92)),"")</f>
        <v/>
      </c>
      <c r="P92" s="10"/>
      <c r="Q92" s="10"/>
      <c r="R92" s="10" t="str">
        <f aca="false">IF(AND(SUM($I92)=0,SUM($O92)=0),"",SUM($O92)-$I92)</f>
        <v/>
      </c>
      <c r="S92" s="10" t="n">
        <f aca="false">IF(LEFT($B92,4)="_Mil","",_xlfn.IFNA(ROUND(INDEX(Spectrum!$N:$N,MATCH(RIGHT($B92,13)&amp;"|"&amp;$C92&amp;"|"&amp;$D92&amp;"|"&amp;S$14&amp;"|"&amp;"CY2022Q4",Spectrum!$R:$R,0)),0),""))</f>
        <v>726</v>
      </c>
      <c r="T92" s="39" t="n">
        <f aca="false">IF(LEFT($B92,4)="_Mil","",_xlfn.IFNA(ROUND(INDEX(Spectrum!$N:$N,MATCH(RIGHT($B92,13)&amp;"|"&amp;$C92&amp;"|"&amp;$D92&amp;"|"&amp;T$14&amp;"|"&amp;"CY2023Q3",Spectrum!$R:$R,0)),0),""))</f>
        <v>1499</v>
      </c>
      <c r="U92" s="39" t="str">
        <f aca="false">IF(LEFT($B92,4)="_Mil","",_xlfn.IFNA(ROUND(INDEX(Spectrum!$N:$N,MATCH(RIGHT($B92,13)&amp;"|"&amp;$C92&amp;"|"&amp;$D92&amp;"|"&amp;U$14&amp;"|"&amp;"CY2023Q3",Spectrum!$R:$R,0)),0),""))</f>
        <v/>
      </c>
      <c r="V92" s="10" t="n">
        <f aca="false">IF(LEFT($B92,4)="_Mil","",_xlfn.IFNA(ROUND(INDEX(Spectrum!$N:$N,MATCH(RIGHT($B92,13)&amp;"|"&amp;$C92&amp;"|"&amp;$D92&amp;"|"&amp;V$14&amp;"|"&amp;"CY2023Q3",Spectrum!$R:$R,0)),0),""))</f>
        <v>1994</v>
      </c>
      <c r="W92" s="113" t="n">
        <f aca="false">IF(LEFT($B92,4)="_Mil","",_xlfn.IFNA(INDEX(Spectrum!$N:$N,MATCH(RIGHT($B92,13)&amp;"|"&amp;$C92&amp;"|"&amp;$D92&amp;"|"&amp;W$14&amp;"|"&amp;"CY2023Q3",Spectrum!$R:$R,0)),""))</f>
        <v>1090</v>
      </c>
      <c r="X92" s="39" t="n">
        <f aca="false">IF(LEFT($B92,4)="_Mil","",_xlfn.IFNA(ROUND(INDEX(Spectrum!$N:$N,MATCH(RIGHT($B92,13)&amp;"|"&amp;$C92&amp;"|"&amp;$D92&amp;"|"&amp;X$14&amp;"|"&amp;"CY2023Q3",Spectrum!$R:$R,0)),0),""))</f>
        <v>782</v>
      </c>
      <c r="Y92" s="88" t="str">
        <f aca="false">IF(OR(SUM($U92)=0,LEFT($B92,4)="_Mil"),"",SUM($X92)/$U92)</f>
        <v/>
      </c>
      <c r="Z92" s="39" t="n">
        <f aca="false">IF(LEFT($B92,4)="_Mil","",_xlfn.IFNA(ROUND(INDEX(Spectrum!$N:$N,MATCH(RIGHT($B92,13)&amp;"|"&amp;$C92&amp;"|"&amp;$D92&amp;"|"&amp;Z$14&amp;"|"&amp;"CY2023Q3",Spectrum!$R:$R,0)),0),""))</f>
        <v>1632</v>
      </c>
      <c r="AA92" s="88" t="n">
        <f aca="false">IF(LEFT($B92,4)="_Mil","",IFERROR(1/(1/INDEX(Spectrum!$N:$N,MATCH(RIGHT($B92,13)&amp;"|"&amp;$C92&amp;"|"&amp;$D92&amp;"|"&amp;AA$14&amp;"|"&amp;"CY2023Q3",Spectrum!$R:$R,0))),IF(SUM($U92)=0,"",SUM($Z92)/$U92)))</f>
        <v>742</v>
      </c>
      <c r="AB92" s="88" t="n">
        <f aca="false">IF(OR(LEFT($B92,4)="_Mil",SUM($X92)=0),"",SUM($Z92)/$X92)</f>
        <v>2.08695652173913</v>
      </c>
      <c r="AC92" s="10" t="n">
        <f aca="false">IF(LEFT($B92,4)="_Mil","",_xlfn.IFNA(ROUND(INDEX(Spectrum!$N:$N,MATCH(RIGHT($B92,13)&amp;"|"&amp;$C92&amp;"|"&amp;$D92&amp;"|"&amp;AC$14&amp;"|"&amp;"CY2023Q3",Spectrum!$R:$R,0)),0),""))</f>
        <v>1045</v>
      </c>
      <c r="AD92" s="10" t="str">
        <f aca="false">IF(LEFT($B92,4)="_Mil","",_xlfn.IFNA(ROUND(INDEX(Spectrum!$N:$N,MATCH(RIGHT($B92,13)&amp;"|"&amp;$C92&amp;"|"&amp;$D92&amp;"|"&amp;AD$14&amp;"|"&amp;"CY2023Q3",Spectrum!$R:$R,0)),0),""))</f>
        <v/>
      </c>
      <c r="AE92" s="88" t="n">
        <f aca="false">IF(OR(LEFT($B92,4)="_Mil",SUM($Z92)=0),"",SUM($AD92)/$Z92)</f>
        <v>0</v>
      </c>
      <c r="AF92" s="39" t="str">
        <f aca="false">IF(LEFT($B92,4)="_Mil","",_xlfn.IFNA(ROUND(INDEX(Spectrum!$N:$N,MATCH(RIGHT($B92,13)&amp;"|"&amp;$C92&amp;"|"&amp;$D92&amp;"|"&amp;AF$14&amp;"|"&amp;"CY2023Q3",Spectrum!$R:$R,0)),0),""))</f>
        <v/>
      </c>
      <c r="AG92" s="88" t="str">
        <f aca="false">IF(OR(LEFT($B92,4)="_Mil",SUM($AD92)=0),"",SUM($AF92)/$AD92)</f>
        <v/>
      </c>
      <c r="AH92" s="86" t="str">
        <f aca="false">IF(LEFT($B92,4)="_Mil","",_xlfn.IFNA(INDEX(Spectrum!$N:$N,MATCH(RIGHT($B92,13)&amp;"|"&amp;$C92&amp;"|"&amp;$D92&amp;"|"&amp;AH$14&amp;"|"&amp;"CY2023Q3",Spectrum!$R:$R,0)),""))</f>
        <v/>
      </c>
      <c r="AI92" s="10" t="str">
        <f aca="false">IF(LEFT($B92,4)="_Mil","",_xlfn.IFNA(ROUND(INDEX(Spectrum!$N:$N,MATCH(RIGHT($B92,13)&amp;"|"&amp;$C92&amp;"|"&amp;$D92&amp;"|"&amp;AI$14&amp;"|"&amp;"CY2023Q3",Spectrum!$R:$R,0)),0),""))</f>
        <v/>
      </c>
      <c r="AJ92" s="39" t="n">
        <f aca="false">IF(LEFT($B92,4)="_Mil","",_xlfn.IFNA(ROUND(INDEX(Spectrum!$N:$N,MATCH(RIGHT($B92,13)&amp;"|"&amp;$C92&amp;"|"&amp;$D92&amp;"|"&amp;AI$14&amp;"|"&amp;"CY2023Q3",Spectrum!$R:$R,0)),0),SUM($U92)+SUM($AI92)))</f>
        <v>0</v>
      </c>
      <c r="AK92" s="10" t="str">
        <f aca="false">IF(LEFT($B92,4)="_Mil","",_xlfn.IFNA(ROUND(INDEX(Spectrum!$N:$N,MATCH(RIGHT($B92,13)&amp;"|"&amp;$C92&amp;"|"&amp;$D92&amp;"|"&amp;AK$14&amp;"|"&amp;"CY2023Q3",Spectrum!$R:$R,0)),0),""))</f>
        <v/>
      </c>
      <c r="AL92" s="88" t="n">
        <f aca="false">IF(OR(LEFT($B92,4)="_Mil",$C92="&lt;01"),"",MAX(SUM($AA92),90%))</f>
        <v>742</v>
      </c>
      <c r="AM92" s="10" t="n">
        <f aca="false">IF(OR(LEFT($B92,4)="_Mil",$C92="&lt;01"),"",ROUND(SUM($AJ92)*SUM($AL92),0))</f>
        <v>0</v>
      </c>
      <c r="AN92" s="10" t="str">
        <f aca="false">IF($C92="&lt;01",ROUND(INDEX(EID!$P:$P,MATCH($B92,EID!$B:$B,0))/2,0),"")</f>
        <v/>
      </c>
      <c r="AO92" s="10" t="n">
        <f aca="false">IF($C92="&lt;01",SUM($AN92),ROUND(SUM($AM92)*SUM($O92)/IF(SUM($Z92)=0,1,$Z92),0))</f>
        <v>0</v>
      </c>
      <c r="AP92" s="39" t="n">
        <f aca="false">IF(OR($F92="",$C92="&lt;01"),$AO92,$F92)</f>
        <v>0</v>
      </c>
      <c r="AQ92" s="39" t="n">
        <f aca="false">IF(LEFT($B92,4)="_Mil","",IF(SUM($AP92)=0,SUM($Z92),IF(OR(SUM($Z92)=0,SUM($O92)=0),MAX($AP92,$Z92),$AP92*$Z92/$O92)))</f>
        <v>1632</v>
      </c>
      <c r="AR92" s="88" t="str">
        <f aca="false">IF(OR(LEFT($B92,4)="_Mil",SUM($AJ92)=0),"",SUM($AQ92)/$AJ92)</f>
        <v/>
      </c>
      <c r="AS92" s="88" t="n">
        <f aca="false">IF($C92="&lt;01","",98%)</f>
        <v>0.98</v>
      </c>
      <c r="AT92" s="88" t="n">
        <f aca="false">IF($C92="&lt;01","",98%)</f>
        <v>0.98</v>
      </c>
      <c r="AU92" s="10" t="n">
        <f aca="false">IF($C92="&lt;01","",SUM($AP92)-SUM($O92))</f>
        <v>0</v>
      </c>
      <c r="AV92" s="10" t="n">
        <f aca="false">IF($C92="&lt;01",ROUND(INDEX(EID!$N:$N,MATCH($B92,EID!$B:$B,0))/2,0),IF(SUM($AT92)=0,"",ROUND((SUM($AP92)-(SUM($O92)*SUM($AS92)))/$AT92,0)))</f>
        <v>0</v>
      </c>
      <c r="AW92" s="88" t="n">
        <f aca="false">IF($C92="&lt;01","",100%)</f>
        <v>1</v>
      </c>
      <c r="AX92" s="39" t="n">
        <f aca="false">IF($C92="&lt;01",SUM($AV92),ROUND(SUM($AV92)*SUM($AW92),0))</f>
        <v>0</v>
      </c>
      <c r="AY92" s="114" t="n">
        <f aca="false">IF($C92="&lt;01","",70%)</f>
        <v>0.7</v>
      </c>
      <c r="AZ92" s="91" t="n">
        <f aca="false">IF($C92="&lt;01",ROUND(INDEX(EID!$R:$R,MATCH($B92,EID!$B:$B,0))/2,0),ROUND(SUM($O92)+(SUM($AV92)*$AY92),0))</f>
        <v>0</v>
      </c>
      <c r="BA92" s="87" t="n">
        <f aca="false">IF($C92="&lt;01","",95%)</f>
        <v>0.95</v>
      </c>
      <c r="BB92" s="5" t="n">
        <f aca="false">IF($C92="&lt;01",ROUND(INDEX(EID!$T:$T,MATCH($B92,EID!$B:$B,0))/2,0),ROUND($AZ92*$BA92,0))</f>
        <v>0</v>
      </c>
      <c r="BC92" s="91" t="n">
        <f aca="false">IF(LEFT($B92,4)="_Mil","",IF(SUM($BB92)=0,SUM($AD92),IF(OR(SUM($AP92)=0,SUM($AQ92)=0),MAX($BB92,$AD92),ROUND($BB92*$AQ92/$AP92,0))))</f>
        <v>0</v>
      </c>
      <c r="BD92" s="88" t="n">
        <f aca="false">IF($C92="&lt;01","",95%)</f>
        <v>0.95</v>
      </c>
      <c r="BE92" s="39" t="n">
        <f aca="false">IF($C92="&lt;01",ROUND(INDEX(EID!$V:$V,MATCH($B92,EID!$B:$B,0))/2,0),ROUND($BD92*$BB92,0))</f>
        <v>0</v>
      </c>
      <c r="BF92" s="39" t="n">
        <f aca="false">IF(LEFT($B92,4)="_Mil","",IF(SUM($BE92)=0,SUM($AF92),IF(OR(SUM($AP92)=0,SUM($AQ92)=0),MAX($BE92,$AF92),ROUND($BE92*$AQ92/$AP92,0))))</f>
        <v>0</v>
      </c>
      <c r="BG92" s="114" t="n">
        <f aca="false">IF($C92="&lt;01","",95%)</f>
        <v>0.95</v>
      </c>
      <c r="BH92" s="5" t="n">
        <f aca="false">IF($C92="&lt;01",ROUND(INDEX(EID!$L:$L,MATCH($B92,EID!$B:$B,0)),0)/2,IF(SUM($BG92)=0,"",ROUND($AX92/$BG92,0)))</f>
        <v>0</v>
      </c>
    </row>
    <row r="93" customFormat="false" ht="15" hidden="false" customHeight="false" outlineLevel="0" collapsed="false">
      <c r="A93" s="0" t="str">
        <f aca="false">INDEX(Prioritization!$D:$D,MATCH($B93,Prioritization!$A:$A,0))</f>
        <v>1 - Scale-up: Saturation</v>
      </c>
      <c r="B93" s="0" t="s">
        <v>199</v>
      </c>
      <c r="C93" s="0" t="s">
        <v>366</v>
      </c>
      <c r="D93" s="0" t="s">
        <v>30</v>
      </c>
      <c r="E93" s="0" t="str">
        <f aca="false">$B93&amp;"|"&amp;$C93&amp;"|"&amp;$D93</f>
        <v>Mchinji District [kxuuIFpOXyO]|25-34|Female</v>
      </c>
      <c r="F93" s="10"/>
      <c r="G93" s="10"/>
      <c r="H93" s="10"/>
      <c r="I93" s="10"/>
      <c r="J93" s="10"/>
      <c r="K93" s="10"/>
      <c r="L93" s="10"/>
      <c r="M93" s="10"/>
      <c r="N93" s="10"/>
      <c r="O93" s="10" t="str">
        <f aca="false">IFERROR(1/(1/MAX($I93,$N93)),"")</f>
        <v/>
      </c>
      <c r="P93" s="10"/>
      <c r="Q93" s="10"/>
      <c r="R93" s="10" t="str">
        <f aca="false">IF(AND(SUM($I93)=0,SUM($O93)=0),"",SUM($O93)-$I93)</f>
        <v/>
      </c>
      <c r="S93" s="10" t="n">
        <f aca="false">IF(LEFT($B93,4)="_Mil","",_xlfn.IFNA(ROUND(INDEX(Spectrum!$N:$N,MATCH(RIGHT($B93,13)&amp;"|"&amp;$C93&amp;"|"&amp;$D93&amp;"|"&amp;S$14&amp;"|"&amp;"CY2022Q4",Spectrum!$R:$R,0)),0),""))</f>
        <v>1975</v>
      </c>
      <c r="T93" s="39" t="n">
        <f aca="false">IF(LEFT($B93,4)="_Mil","",_xlfn.IFNA(ROUND(INDEX(Spectrum!$N:$N,MATCH(RIGHT($B93,13)&amp;"|"&amp;$C93&amp;"|"&amp;$D93&amp;"|"&amp;T$14&amp;"|"&amp;"CY2023Q3",Spectrum!$R:$R,0)),0),""))</f>
        <v>904</v>
      </c>
      <c r="U93" s="39" t="str">
        <f aca="false">IF(LEFT($B93,4)="_Mil","",_xlfn.IFNA(ROUND(INDEX(Spectrum!$N:$N,MATCH(RIGHT($B93,13)&amp;"|"&amp;$C93&amp;"|"&amp;$D93&amp;"|"&amp;U$14&amp;"|"&amp;"CY2023Q3",Spectrum!$R:$R,0)),0),""))</f>
        <v/>
      </c>
      <c r="V93" s="10" t="n">
        <f aca="false">IF(LEFT($B93,4)="_Mil","",_xlfn.IFNA(ROUND(INDEX(Spectrum!$N:$N,MATCH(RIGHT($B93,13)&amp;"|"&amp;$C93&amp;"|"&amp;$D93&amp;"|"&amp;V$14&amp;"|"&amp;"CY2023Q3",Spectrum!$R:$R,0)),0),""))</f>
        <v>1412</v>
      </c>
      <c r="W93" s="113" t="n">
        <f aca="false">IF(LEFT($B93,4)="_Mil","",_xlfn.IFNA(INDEX(Spectrum!$N:$N,MATCH(RIGHT($B93,13)&amp;"|"&amp;$C93&amp;"|"&amp;$D93&amp;"|"&amp;W$14&amp;"|"&amp;"CY2023Q3",Spectrum!$R:$R,0)),""))</f>
        <v>834</v>
      </c>
      <c r="X93" s="39" t="n">
        <f aca="false">IF(LEFT($B93,4)="_Mil","",_xlfn.IFNA(ROUND(INDEX(Spectrum!$N:$N,MATCH(RIGHT($B93,13)&amp;"|"&amp;$C93&amp;"|"&amp;$D93&amp;"|"&amp;X$14&amp;"|"&amp;"CY2023Q3",Spectrum!$R:$R,0)),0),""))</f>
        <v>1970</v>
      </c>
      <c r="Y93" s="88" t="str">
        <f aca="false">IF(OR(SUM($U93)=0,LEFT($B93,4)="_Mil"),"",SUM($X93)/$U93)</f>
        <v/>
      </c>
      <c r="Z93" s="39" t="n">
        <f aca="false">IF(LEFT($B93,4)="_Mil","",_xlfn.IFNA(ROUND(INDEX(Spectrum!$N:$N,MATCH(RIGHT($B93,13)&amp;"|"&amp;$C93&amp;"|"&amp;$D93&amp;"|"&amp;Z$14&amp;"|"&amp;"CY2023Q3",Spectrum!$R:$R,0)),0),""))</f>
        <v>1943</v>
      </c>
      <c r="AA93" s="88" t="n">
        <f aca="false">IF(LEFT($B93,4)="_Mil","",IFERROR(1/(1/INDEX(Spectrum!$N:$N,MATCH(RIGHT($B93,13)&amp;"|"&amp;$C93&amp;"|"&amp;$D93&amp;"|"&amp;AA$14&amp;"|"&amp;"CY2023Q3",Spectrum!$R:$R,0))),IF(SUM($U93)=0,"",SUM($Z93)/$U93)))</f>
        <v>1744</v>
      </c>
      <c r="AB93" s="88" t="n">
        <f aca="false">IF(OR(LEFT($B93,4)="_Mil",SUM($X93)=0),"",SUM($Z93)/$X93)</f>
        <v>0.986294416243655</v>
      </c>
      <c r="AC93" s="10" t="n">
        <f aca="false">IF(LEFT($B93,4)="_Mil","",_xlfn.IFNA(ROUND(INDEX(Spectrum!$N:$N,MATCH(RIGHT($B93,13)&amp;"|"&amp;$C93&amp;"|"&amp;$D93&amp;"|"&amp;AC$14&amp;"|"&amp;"CY2023Q3",Spectrum!$R:$R,0)),0),""))</f>
        <v>1315</v>
      </c>
      <c r="AD93" s="10" t="str">
        <f aca="false">IF(LEFT($B93,4)="_Mil","",_xlfn.IFNA(ROUND(INDEX(Spectrum!$N:$N,MATCH(RIGHT($B93,13)&amp;"|"&amp;$C93&amp;"|"&amp;$D93&amp;"|"&amp;AD$14&amp;"|"&amp;"CY2023Q3",Spectrum!$R:$R,0)),0),""))</f>
        <v/>
      </c>
      <c r="AE93" s="88" t="n">
        <f aca="false">IF(OR(LEFT($B93,4)="_Mil",SUM($Z93)=0),"",SUM($AD93)/$Z93)</f>
        <v>0</v>
      </c>
      <c r="AF93" s="39" t="str">
        <f aca="false">IF(LEFT($B93,4)="_Mil","",_xlfn.IFNA(ROUND(INDEX(Spectrum!$N:$N,MATCH(RIGHT($B93,13)&amp;"|"&amp;$C93&amp;"|"&amp;$D93&amp;"|"&amp;AF$14&amp;"|"&amp;"CY2023Q3",Spectrum!$R:$R,0)),0),""))</f>
        <v/>
      </c>
      <c r="AG93" s="88" t="str">
        <f aca="false">IF(OR(LEFT($B93,4)="_Mil",SUM($AD93)=0),"",SUM($AF93)/$AD93)</f>
        <v/>
      </c>
      <c r="AH93" s="86" t="str">
        <f aca="false">IF(LEFT($B93,4)="_Mil","",_xlfn.IFNA(INDEX(Spectrum!$N:$N,MATCH(RIGHT($B93,13)&amp;"|"&amp;$C93&amp;"|"&amp;$D93&amp;"|"&amp;AH$14&amp;"|"&amp;"CY2023Q3",Spectrum!$R:$R,0)),""))</f>
        <v/>
      </c>
      <c r="AI93" s="10" t="str">
        <f aca="false">IF(LEFT($B93,4)="_Mil","",_xlfn.IFNA(ROUND(INDEX(Spectrum!$N:$N,MATCH(RIGHT($B93,13)&amp;"|"&amp;$C93&amp;"|"&amp;$D93&amp;"|"&amp;AI$14&amp;"|"&amp;"CY2023Q3",Spectrum!$R:$R,0)),0),""))</f>
        <v/>
      </c>
      <c r="AJ93" s="39" t="n">
        <f aca="false">IF(LEFT($B93,4)="_Mil","",_xlfn.IFNA(ROUND(INDEX(Spectrum!$N:$N,MATCH(RIGHT($B93,13)&amp;"|"&amp;$C93&amp;"|"&amp;$D93&amp;"|"&amp;AI$14&amp;"|"&amp;"CY2023Q3",Spectrum!$R:$R,0)),0),SUM($U93)+SUM($AI93)))</f>
        <v>0</v>
      </c>
      <c r="AK93" s="10" t="str">
        <f aca="false">IF(LEFT($B93,4)="_Mil","",_xlfn.IFNA(ROUND(INDEX(Spectrum!$N:$N,MATCH(RIGHT($B93,13)&amp;"|"&amp;$C93&amp;"|"&amp;$D93&amp;"|"&amp;AK$14&amp;"|"&amp;"CY2023Q3",Spectrum!$R:$R,0)),0),""))</f>
        <v/>
      </c>
      <c r="AL93" s="88" t="n">
        <f aca="false">IF(OR(LEFT($B93,4)="_Mil",$C93="&lt;01"),"",MAX(SUM($AA93),90%))</f>
        <v>1744</v>
      </c>
      <c r="AM93" s="10" t="n">
        <f aca="false">IF(OR(LEFT($B93,4)="_Mil",$C93="&lt;01"),"",ROUND(SUM($AJ93)*SUM($AL93),0))</f>
        <v>0</v>
      </c>
      <c r="AN93" s="10" t="str">
        <f aca="false">IF($C93="&lt;01",ROUND(INDEX(EID!$P:$P,MATCH($B93,EID!$B:$B,0))/2,0),"")</f>
        <v/>
      </c>
      <c r="AO93" s="10" t="n">
        <f aca="false">IF($C93="&lt;01",SUM($AN93),ROUND(SUM($AM93)*SUM($O93)/IF(SUM($Z93)=0,1,$Z93),0))</f>
        <v>0</v>
      </c>
      <c r="AP93" s="39" t="n">
        <f aca="false">IF(OR($F93="",$C93="&lt;01"),$AO93,$F93)</f>
        <v>0</v>
      </c>
      <c r="AQ93" s="39" t="n">
        <f aca="false">IF(LEFT($B93,4)="_Mil","",IF(SUM($AP93)=0,SUM($Z93),IF(OR(SUM($Z93)=0,SUM($O93)=0),MAX($AP93,$Z93),$AP93*$Z93/$O93)))</f>
        <v>1943</v>
      </c>
      <c r="AR93" s="88" t="str">
        <f aca="false">IF(OR(LEFT($B93,4)="_Mil",SUM($AJ93)=0),"",SUM($AQ93)/$AJ93)</f>
        <v/>
      </c>
      <c r="AS93" s="88" t="n">
        <f aca="false">IF($C93="&lt;01","",98%)</f>
        <v>0.98</v>
      </c>
      <c r="AT93" s="88" t="n">
        <f aca="false">IF($C93="&lt;01","",98%)</f>
        <v>0.98</v>
      </c>
      <c r="AU93" s="10" t="n">
        <f aca="false">IF($C93="&lt;01","",SUM($AP93)-SUM($O93))</f>
        <v>0</v>
      </c>
      <c r="AV93" s="10" t="n">
        <f aca="false">IF($C93="&lt;01",ROUND(INDEX(EID!$N:$N,MATCH($B93,EID!$B:$B,0))/2,0),IF(SUM($AT93)=0,"",ROUND((SUM($AP93)-(SUM($O93)*SUM($AS93)))/$AT93,0)))</f>
        <v>0</v>
      </c>
      <c r="AW93" s="88" t="n">
        <f aca="false">IF($C93="&lt;01","",100%)</f>
        <v>1</v>
      </c>
      <c r="AX93" s="39" t="n">
        <f aca="false">IF($C93="&lt;01",SUM($AV93),ROUND(SUM($AV93)*SUM($AW93),0))</f>
        <v>0</v>
      </c>
      <c r="AY93" s="114" t="n">
        <f aca="false">IF($C93="&lt;01","",70%)</f>
        <v>0.7</v>
      </c>
      <c r="AZ93" s="91" t="n">
        <f aca="false">IF($C93="&lt;01",ROUND(INDEX(EID!$R:$R,MATCH($B93,EID!$B:$B,0))/2,0),ROUND(SUM($O93)+(SUM($AV93)*$AY93),0))</f>
        <v>0</v>
      </c>
      <c r="BA93" s="87" t="n">
        <f aca="false">IF($C93="&lt;01","",95%)</f>
        <v>0.95</v>
      </c>
      <c r="BB93" s="5" t="n">
        <f aca="false">IF($C93="&lt;01",ROUND(INDEX(EID!$T:$T,MATCH($B93,EID!$B:$B,0))/2,0),ROUND($AZ93*$BA93,0))</f>
        <v>0</v>
      </c>
      <c r="BC93" s="91" t="n">
        <f aca="false">IF(LEFT($B93,4)="_Mil","",IF(SUM($BB93)=0,SUM($AD93),IF(OR(SUM($AP93)=0,SUM($AQ93)=0),MAX($BB93,$AD93),ROUND($BB93*$AQ93/$AP93,0))))</f>
        <v>0</v>
      </c>
      <c r="BD93" s="88" t="n">
        <f aca="false">IF($C93="&lt;01","",95%)</f>
        <v>0.95</v>
      </c>
      <c r="BE93" s="39" t="n">
        <f aca="false">IF($C93="&lt;01",ROUND(INDEX(EID!$V:$V,MATCH($B93,EID!$B:$B,0))/2,0),ROUND($BD93*$BB93,0))</f>
        <v>0</v>
      </c>
      <c r="BF93" s="39" t="n">
        <f aca="false">IF(LEFT($B93,4)="_Mil","",IF(SUM($BE93)=0,SUM($AF93),IF(OR(SUM($AP93)=0,SUM($AQ93)=0),MAX($BE93,$AF93),ROUND($BE93*$AQ93/$AP93,0))))</f>
        <v>0</v>
      </c>
      <c r="BG93" s="114" t="n">
        <f aca="false">IF($C93="&lt;01","",95%)</f>
        <v>0.95</v>
      </c>
      <c r="BH93" s="5" t="n">
        <f aca="false">IF($C93="&lt;01",ROUND(INDEX(EID!$L:$L,MATCH($B93,EID!$B:$B,0)),0)/2,IF(SUM($BG93)=0,"",ROUND($AX93/$BG93,0)))</f>
        <v>0</v>
      </c>
    </row>
    <row r="94" customFormat="false" ht="15" hidden="false" customHeight="false" outlineLevel="0" collapsed="false">
      <c r="A94" s="0" t="str">
        <f aca="false">INDEX(Prioritization!$D:$D,MATCH($B94,Prioritization!$A:$A,0))</f>
        <v>1 - Scale-up: Saturation</v>
      </c>
      <c r="B94" s="0" t="s">
        <v>199</v>
      </c>
      <c r="C94" s="0" t="s">
        <v>366</v>
      </c>
      <c r="D94" s="0" t="s">
        <v>48</v>
      </c>
      <c r="E94" s="0" t="str">
        <f aca="false">$B94&amp;"|"&amp;$C94&amp;"|"&amp;$D94</f>
        <v>Mchinji District [kxuuIFpOXyO]|25-34|Male</v>
      </c>
      <c r="F94" s="10"/>
      <c r="G94" s="10"/>
      <c r="H94" s="10"/>
      <c r="I94" s="10"/>
      <c r="J94" s="10"/>
      <c r="K94" s="10"/>
      <c r="L94" s="10"/>
      <c r="M94" s="10"/>
      <c r="N94" s="10"/>
      <c r="O94" s="10" t="str">
        <f aca="false">IFERROR(1/(1/MAX($I94,$N94)),"")</f>
        <v/>
      </c>
      <c r="P94" s="10"/>
      <c r="Q94" s="10"/>
      <c r="R94" s="10" t="str">
        <f aca="false">IF(AND(SUM($I94)=0,SUM($O94)=0),"",SUM($O94)-$I94)</f>
        <v/>
      </c>
      <c r="S94" s="10" t="n">
        <f aca="false">IF(LEFT($B94,4)="_Mil","",_xlfn.IFNA(ROUND(INDEX(Spectrum!$N:$N,MATCH(RIGHT($B94,13)&amp;"|"&amp;$C94&amp;"|"&amp;$D94&amp;"|"&amp;S$14&amp;"|"&amp;"CY2022Q4",Spectrum!$R:$R,0)),0),""))</f>
        <v>963</v>
      </c>
      <c r="T94" s="39" t="n">
        <f aca="false">IF(LEFT($B94,4)="_Mil","",_xlfn.IFNA(ROUND(INDEX(Spectrum!$N:$N,MATCH(RIGHT($B94,13)&amp;"|"&amp;$C94&amp;"|"&amp;$D94&amp;"|"&amp;T$14&amp;"|"&amp;"CY2023Q3",Spectrum!$R:$R,0)),0),""))</f>
        <v>906</v>
      </c>
      <c r="U94" s="39" t="str">
        <f aca="false">IF(LEFT($B94,4)="_Mil","",_xlfn.IFNA(ROUND(INDEX(Spectrum!$N:$N,MATCH(RIGHT($B94,13)&amp;"|"&amp;$C94&amp;"|"&amp;$D94&amp;"|"&amp;U$14&amp;"|"&amp;"CY2023Q3",Spectrum!$R:$R,0)),0),""))</f>
        <v/>
      </c>
      <c r="V94" s="10" t="n">
        <f aca="false">IF(LEFT($B94,4)="_Mil","",_xlfn.IFNA(ROUND(INDEX(Spectrum!$N:$N,MATCH(RIGHT($B94,13)&amp;"|"&amp;$C94&amp;"|"&amp;$D94&amp;"|"&amp;V$14&amp;"|"&amp;"CY2023Q3",Spectrum!$R:$R,0)),0),""))</f>
        <v>1841</v>
      </c>
      <c r="W94" s="113" t="n">
        <f aca="false">IF(LEFT($B94,4)="_Mil","",_xlfn.IFNA(INDEX(Spectrum!$N:$N,MATCH(RIGHT($B94,13)&amp;"|"&amp;$C94&amp;"|"&amp;$D94&amp;"|"&amp;W$14&amp;"|"&amp;"CY2023Q3",Spectrum!$R:$R,0)),""))</f>
        <v>916</v>
      </c>
      <c r="X94" s="39" t="n">
        <f aca="false">IF(LEFT($B94,4)="_Mil","",_xlfn.IFNA(ROUND(INDEX(Spectrum!$N:$N,MATCH(RIGHT($B94,13)&amp;"|"&amp;$C94&amp;"|"&amp;$D94&amp;"|"&amp;X$14&amp;"|"&amp;"CY2023Q3",Spectrum!$R:$R,0)),0),""))</f>
        <v>1017</v>
      </c>
      <c r="Y94" s="88" t="str">
        <f aca="false">IF(OR(SUM($U94)=0,LEFT($B94,4)="_Mil"),"",SUM($X94)/$U94)</f>
        <v/>
      </c>
      <c r="Z94" s="39" t="n">
        <f aca="false">IF(LEFT($B94,4)="_Mil","",_xlfn.IFNA(ROUND(INDEX(Spectrum!$N:$N,MATCH(RIGHT($B94,13)&amp;"|"&amp;$C94&amp;"|"&amp;$D94&amp;"|"&amp;Z$14&amp;"|"&amp;"CY2023Q3",Spectrum!$R:$R,0)),0),""))</f>
        <v>890</v>
      </c>
      <c r="AA94" s="88" t="n">
        <f aca="false">IF(LEFT($B94,4)="_Mil","",IFERROR(1/(1/INDEX(Spectrum!$N:$N,MATCH(RIGHT($B94,13)&amp;"|"&amp;$C94&amp;"|"&amp;$D94&amp;"|"&amp;AA$14&amp;"|"&amp;"CY2023Q3",Spectrum!$R:$R,0))),IF(SUM($U94)=0,"",SUM($Z94)/$U94)))</f>
        <v>539</v>
      </c>
      <c r="AB94" s="88" t="n">
        <f aca="false">IF(OR(LEFT($B94,4)="_Mil",SUM($X94)=0),"",SUM($Z94)/$X94)</f>
        <v>0.875122910521141</v>
      </c>
      <c r="AC94" s="10" t="n">
        <f aca="false">IF(LEFT($B94,4)="_Mil","",_xlfn.IFNA(ROUND(INDEX(Spectrum!$N:$N,MATCH(RIGHT($B94,13)&amp;"|"&amp;$C94&amp;"|"&amp;$D94&amp;"|"&amp;AC$14&amp;"|"&amp;"CY2023Q3",Spectrum!$R:$R,0)),0),""))</f>
        <v>802</v>
      </c>
      <c r="AD94" s="10" t="str">
        <f aca="false">IF(LEFT($B94,4)="_Mil","",_xlfn.IFNA(ROUND(INDEX(Spectrum!$N:$N,MATCH(RIGHT($B94,13)&amp;"|"&amp;$C94&amp;"|"&amp;$D94&amp;"|"&amp;AD$14&amp;"|"&amp;"CY2023Q3",Spectrum!$R:$R,0)),0),""))</f>
        <v/>
      </c>
      <c r="AE94" s="88" t="n">
        <f aca="false">IF(OR(LEFT($B94,4)="_Mil",SUM($Z94)=0),"",SUM($AD94)/$Z94)</f>
        <v>0</v>
      </c>
      <c r="AF94" s="39" t="str">
        <f aca="false">IF(LEFT($B94,4)="_Mil","",_xlfn.IFNA(ROUND(INDEX(Spectrum!$N:$N,MATCH(RIGHT($B94,13)&amp;"|"&amp;$C94&amp;"|"&amp;$D94&amp;"|"&amp;AF$14&amp;"|"&amp;"CY2023Q3",Spectrum!$R:$R,0)),0),""))</f>
        <v/>
      </c>
      <c r="AG94" s="88" t="str">
        <f aca="false">IF(OR(LEFT($B94,4)="_Mil",SUM($AD94)=0),"",SUM($AF94)/$AD94)</f>
        <v/>
      </c>
      <c r="AH94" s="86" t="str">
        <f aca="false">IF(LEFT($B94,4)="_Mil","",_xlfn.IFNA(INDEX(Spectrum!$N:$N,MATCH(RIGHT($B94,13)&amp;"|"&amp;$C94&amp;"|"&amp;$D94&amp;"|"&amp;AH$14&amp;"|"&amp;"CY2023Q3",Spectrum!$R:$R,0)),""))</f>
        <v/>
      </c>
      <c r="AI94" s="10" t="str">
        <f aca="false">IF(LEFT($B94,4)="_Mil","",_xlfn.IFNA(ROUND(INDEX(Spectrum!$N:$N,MATCH(RIGHT($B94,13)&amp;"|"&amp;$C94&amp;"|"&amp;$D94&amp;"|"&amp;AI$14&amp;"|"&amp;"CY2023Q3",Spectrum!$R:$R,0)),0),""))</f>
        <v/>
      </c>
      <c r="AJ94" s="39" t="n">
        <f aca="false">IF(LEFT($B94,4)="_Mil","",_xlfn.IFNA(ROUND(INDEX(Spectrum!$N:$N,MATCH(RIGHT($B94,13)&amp;"|"&amp;$C94&amp;"|"&amp;$D94&amp;"|"&amp;AI$14&amp;"|"&amp;"CY2023Q3",Spectrum!$R:$R,0)),0),SUM($U94)+SUM($AI94)))</f>
        <v>0</v>
      </c>
      <c r="AK94" s="10" t="str">
        <f aca="false">IF(LEFT($B94,4)="_Mil","",_xlfn.IFNA(ROUND(INDEX(Spectrum!$N:$N,MATCH(RIGHT($B94,13)&amp;"|"&amp;$C94&amp;"|"&amp;$D94&amp;"|"&amp;AK$14&amp;"|"&amp;"CY2023Q3",Spectrum!$R:$R,0)),0),""))</f>
        <v/>
      </c>
      <c r="AL94" s="88" t="n">
        <f aca="false">IF(OR(LEFT($B94,4)="_Mil",$C94="&lt;01"),"",MAX(SUM($AA94),90%))</f>
        <v>539</v>
      </c>
      <c r="AM94" s="10" t="n">
        <f aca="false">IF(OR(LEFT($B94,4)="_Mil",$C94="&lt;01"),"",ROUND(SUM($AJ94)*SUM($AL94),0))</f>
        <v>0</v>
      </c>
      <c r="AN94" s="10" t="str">
        <f aca="false">IF($C94="&lt;01",ROUND(INDEX(EID!$P:$P,MATCH($B94,EID!$B:$B,0))/2,0),"")</f>
        <v/>
      </c>
      <c r="AO94" s="10" t="n">
        <f aca="false">IF($C94="&lt;01",SUM($AN94),ROUND(SUM($AM94)*SUM($O94)/IF(SUM($Z94)=0,1,$Z94),0))</f>
        <v>0</v>
      </c>
      <c r="AP94" s="39" t="n">
        <f aca="false">IF(OR($F94="",$C94="&lt;01"),$AO94,$F94)</f>
        <v>0</v>
      </c>
      <c r="AQ94" s="39" t="n">
        <f aca="false">IF(LEFT($B94,4)="_Mil","",IF(SUM($AP94)=0,SUM($Z94),IF(OR(SUM($Z94)=0,SUM($O94)=0),MAX($AP94,$Z94),$AP94*$Z94/$O94)))</f>
        <v>890</v>
      </c>
      <c r="AR94" s="88" t="str">
        <f aca="false">IF(OR(LEFT($B94,4)="_Mil",SUM($AJ94)=0),"",SUM($AQ94)/$AJ94)</f>
        <v/>
      </c>
      <c r="AS94" s="88" t="n">
        <f aca="false">IF($C94="&lt;01","",98%)</f>
        <v>0.98</v>
      </c>
      <c r="AT94" s="88" t="n">
        <f aca="false">IF($C94="&lt;01","",98%)</f>
        <v>0.98</v>
      </c>
      <c r="AU94" s="10" t="n">
        <f aca="false">IF($C94="&lt;01","",SUM($AP94)-SUM($O94))</f>
        <v>0</v>
      </c>
      <c r="AV94" s="10" t="n">
        <f aca="false">IF($C94="&lt;01",ROUND(INDEX(EID!$N:$N,MATCH($B94,EID!$B:$B,0))/2,0),IF(SUM($AT94)=0,"",ROUND((SUM($AP94)-(SUM($O94)*SUM($AS94)))/$AT94,0)))</f>
        <v>0</v>
      </c>
      <c r="AW94" s="88" t="n">
        <f aca="false">IF($C94="&lt;01","",100%)</f>
        <v>1</v>
      </c>
      <c r="AX94" s="39" t="n">
        <f aca="false">IF($C94="&lt;01",SUM($AV94),ROUND(SUM($AV94)*SUM($AW94),0))</f>
        <v>0</v>
      </c>
      <c r="AY94" s="114" t="n">
        <f aca="false">IF($C94="&lt;01","",70%)</f>
        <v>0.7</v>
      </c>
      <c r="AZ94" s="91" t="n">
        <f aca="false">IF($C94="&lt;01",ROUND(INDEX(EID!$R:$R,MATCH($B94,EID!$B:$B,0))/2,0),ROUND(SUM($O94)+(SUM($AV94)*$AY94),0))</f>
        <v>0</v>
      </c>
      <c r="BA94" s="87" t="n">
        <f aca="false">IF($C94="&lt;01","",95%)</f>
        <v>0.95</v>
      </c>
      <c r="BB94" s="5" t="n">
        <f aca="false">IF($C94="&lt;01",ROUND(INDEX(EID!$T:$T,MATCH($B94,EID!$B:$B,0))/2,0),ROUND($AZ94*$BA94,0))</f>
        <v>0</v>
      </c>
      <c r="BC94" s="91" t="n">
        <f aca="false">IF(LEFT($B94,4)="_Mil","",IF(SUM($BB94)=0,SUM($AD94),IF(OR(SUM($AP94)=0,SUM($AQ94)=0),MAX($BB94,$AD94),ROUND($BB94*$AQ94/$AP94,0))))</f>
        <v>0</v>
      </c>
      <c r="BD94" s="88" t="n">
        <f aca="false">IF($C94="&lt;01","",95%)</f>
        <v>0.95</v>
      </c>
      <c r="BE94" s="39" t="n">
        <f aca="false">IF($C94="&lt;01",ROUND(INDEX(EID!$V:$V,MATCH($B94,EID!$B:$B,0))/2,0),ROUND($BD94*$BB94,0))</f>
        <v>0</v>
      </c>
      <c r="BF94" s="39" t="n">
        <f aca="false">IF(LEFT($B94,4)="_Mil","",IF(SUM($BE94)=0,SUM($AF94),IF(OR(SUM($AP94)=0,SUM($AQ94)=0),MAX($BE94,$AF94),ROUND($BE94*$AQ94/$AP94,0))))</f>
        <v>0</v>
      </c>
      <c r="BG94" s="114" t="n">
        <f aca="false">IF($C94="&lt;01","",95%)</f>
        <v>0.95</v>
      </c>
      <c r="BH94" s="5" t="n">
        <f aca="false">IF($C94="&lt;01",ROUND(INDEX(EID!$L:$L,MATCH($B94,EID!$B:$B,0)),0)/2,IF(SUM($BG94)=0,"",ROUND($AX94/$BG94,0)))</f>
        <v>0</v>
      </c>
    </row>
    <row r="95" customFormat="false" ht="15" hidden="false" customHeight="false" outlineLevel="0" collapsed="false">
      <c r="A95" s="0" t="str">
        <f aca="false">INDEX(Prioritization!$D:$D,MATCH($B95,Prioritization!$A:$A,0))</f>
        <v>1 - Scale-up: Saturation</v>
      </c>
      <c r="B95" s="0" t="s">
        <v>199</v>
      </c>
      <c r="C95" s="0" t="s">
        <v>367</v>
      </c>
      <c r="D95" s="0" t="s">
        <v>30</v>
      </c>
      <c r="E95" s="0" t="str">
        <f aca="false">$B95&amp;"|"&amp;$C95&amp;"|"&amp;$D95</f>
        <v>Mchinji District [kxuuIFpOXyO]|35-49|Female</v>
      </c>
      <c r="F95" s="10"/>
      <c r="G95" s="10"/>
      <c r="H95" s="10"/>
      <c r="I95" s="10"/>
      <c r="J95" s="10"/>
      <c r="K95" s="10"/>
      <c r="L95" s="10"/>
      <c r="M95" s="10"/>
      <c r="N95" s="10"/>
      <c r="O95" s="10" t="str">
        <f aca="false">IFERROR(1/(1/MAX($I95,$N95)),"")</f>
        <v/>
      </c>
      <c r="P95" s="10"/>
      <c r="Q95" s="10"/>
      <c r="R95" s="10" t="str">
        <f aca="false">IF(AND(SUM($I95)=0,SUM($O95)=0),"",SUM($O95)-$I95)</f>
        <v/>
      </c>
      <c r="S95" s="10" t="n">
        <f aca="false">IF(LEFT($B95,4)="_Mil","",_xlfn.IFNA(ROUND(INDEX(Spectrum!$N:$N,MATCH(RIGHT($B95,13)&amp;"|"&amp;$C95&amp;"|"&amp;$D95&amp;"|"&amp;S$14&amp;"|"&amp;"CY2022Q4",Spectrum!$R:$R,0)),0),""))</f>
        <v>865</v>
      </c>
      <c r="T95" s="39" t="n">
        <f aca="false">IF(LEFT($B95,4)="_Mil","",_xlfn.IFNA(ROUND(INDEX(Spectrum!$N:$N,MATCH(RIGHT($B95,13)&amp;"|"&amp;$C95&amp;"|"&amp;$D95&amp;"|"&amp;T$14&amp;"|"&amp;"CY2023Q3",Spectrum!$R:$R,0)),0),""))</f>
        <v>1652</v>
      </c>
      <c r="U95" s="39" t="str">
        <f aca="false">IF(LEFT($B95,4)="_Mil","",_xlfn.IFNA(ROUND(INDEX(Spectrum!$N:$N,MATCH(RIGHT($B95,13)&amp;"|"&amp;$C95&amp;"|"&amp;$D95&amp;"|"&amp;U$14&amp;"|"&amp;"CY2023Q3",Spectrum!$R:$R,0)),0),""))</f>
        <v/>
      </c>
      <c r="V95" s="10" t="n">
        <f aca="false">IF(LEFT($B95,4)="_Mil","",_xlfn.IFNA(ROUND(INDEX(Spectrum!$N:$N,MATCH(RIGHT($B95,13)&amp;"|"&amp;$C95&amp;"|"&amp;$D95&amp;"|"&amp;V$14&amp;"|"&amp;"CY2023Q3",Spectrum!$R:$R,0)),0),""))</f>
        <v>1775</v>
      </c>
      <c r="W95" s="113" t="n">
        <f aca="false">IF(LEFT($B95,4)="_Mil","",_xlfn.IFNA(INDEX(Spectrum!$N:$N,MATCH(RIGHT($B95,13)&amp;"|"&amp;$C95&amp;"|"&amp;$D95&amp;"|"&amp;W$14&amp;"|"&amp;"CY2023Q3",Spectrum!$R:$R,0)),""))</f>
        <v>677</v>
      </c>
      <c r="X95" s="39" t="n">
        <f aca="false">IF(LEFT($B95,4)="_Mil","",_xlfn.IFNA(ROUND(INDEX(Spectrum!$N:$N,MATCH(RIGHT($B95,13)&amp;"|"&amp;$C95&amp;"|"&amp;$D95&amp;"|"&amp;X$14&amp;"|"&amp;"CY2023Q3",Spectrum!$R:$R,0)),0),""))</f>
        <v>575</v>
      </c>
      <c r="Y95" s="88" t="str">
        <f aca="false">IF(OR(SUM($U95)=0,LEFT($B95,4)="_Mil"),"",SUM($X95)/$U95)</f>
        <v/>
      </c>
      <c r="Z95" s="39" t="n">
        <f aca="false">IF(LEFT($B95,4)="_Mil","",_xlfn.IFNA(ROUND(INDEX(Spectrum!$N:$N,MATCH(RIGHT($B95,13)&amp;"|"&amp;$C95&amp;"|"&amp;$D95&amp;"|"&amp;Z$14&amp;"|"&amp;"CY2023Q3",Spectrum!$R:$R,0)),0),""))</f>
        <v>1767</v>
      </c>
      <c r="AA95" s="88" t="n">
        <f aca="false">IF(LEFT($B95,4)="_Mil","",IFERROR(1/(1/INDEX(Spectrum!$N:$N,MATCH(RIGHT($B95,13)&amp;"|"&amp;$C95&amp;"|"&amp;$D95&amp;"|"&amp;AA$14&amp;"|"&amp;"CY2023Q3",Spectrum!$R:$R,0))),IF(SUM($U95)=0,"",SUM($Z95)/$U95)))</f>
        <v>647</v>
      </c>
      <c r="AB95" s="88" t="n">
        <f aca="false">IF(OR(LEFT($B95,4)="_Mil",SUM($X95)=0),"",SUM($Z95)/$X95)</f>
        <v>3.07304347826087</v>
      </c>
      <c r="AC95" s="10" t="n">
        <f aca="false">IF(LEFT($B95,4)="_Mil","",_xlfn.IFNA(ROUND(INDEX(Spectrum!$N:$N,MATCH(RIGHT($B95,13)&amp;"|"&amp;$C95&amp;"|"&amp;$D95&amp;"|"&amp;AC$14&amp;"|"&amp;"CY2023Q3",Spectrum!$R:$R,0)),0),""))</f>
        <v>1094</v>
      </c>
      <c r="AD95" s="10" t="str">
        <f aca="false">IF(LEFT($B95,4)="_Mil","",_xlfn.IFNA(ROUND(INDEX(Spectrum!$N:$N,MATCH(RIGHT($B95,13)&amp;"|"&amp;$C95&amp;"|"&amp;$D95&amp;"|"&amp;AD$14&amp;"|"&amp;"CY2023Q3",Spectrum!$R:$R,0)),0),""))</f>
        <v/>
      </c>
      <c r="AE95" s="88" t="n">
        <f aca="false">IF(OR(LEFT($B95,4)="_Mil",SUM($Z95)=0),"",SUM($AD95)/$Z95)</f>
        <v>0</v>
      </c>
      <c r="AF95" s="39" t="str">
        <f aca="false">IF(LEFT($B95,4)="_Mil","",_xlfn.IFNA(ROUND(INDEX(Spectrum!$N:$N,MATCH(RIGHT($B95,13)&amp;"|"&amp;$C95&amp;"|"&amp;$D95&amp;"|"&amp;AF$14&amp;"|"&amp;"CY2023Q3",Spectrum!$R:$R,0)),0),""))</f>
        <v/>
      </c>
      <c r="AG95" s="88" t="str">
        <f aca="false">IF(OR(LEFT($B95,4)="_Mil",SUM($AD95)=0),"",SUM($AF95)/$AD95)</f>
        <v/>
      </c>
      <c r="AH95" s="86" t="str">
        <f aca="false">IF(LEFT($B95,4)="_Mil","",_xlfn.IFNA(INDEX(Spectrum!$N:$N,MATCH(RIGHT($B95,13)&amp;"|"&amp;$C95&amp;"|"&amp;$D95&amp;"|"&amp;AH$14&amp;"|"&amp;"CY2023Q3",Spectrum!$R:$R,0)),""))</f>
        <v/>
      </c>
      <c r="AI95" s="10" t="str">
        <f aca="false">IF(LEFT($B95,4)="_Mil","",_xlfn.IFNA(ROUND(INDEX(Spectrum!$N:$N,MATCH(RIGHT($B95,13)&amp;"|"&amp;$C95&amp;"|"&amp;$D95&amp;"|"&amp;AI$14&amp;"|"&amp;"CY2023Q3",Spectrum!$R:$R,0)),0),""))</f>
        <v/>
      </c>
      <c r="AJ95" s="39" t="n">
        <f aca="false">IF(LEFT($B95,4)="_Mil","",_xlfn.IFNA(ROUND(INDEX(Spectrum!$N:$N,MATCH(RIGHT($B95,13)&amp;"|"&amp;$C95&amp;"|"&amp;$D95&amp;"|"&amp;AI$14&amp;"|"&amp;"CY2023Q3",Spectrum!$R:$R,0)),0),SUM($U95)+SUM($AI95)))</f>
        <v>0</v>
      </c>
      <c r="AK95" s="10" t="str">
        <f aca="false">IF(LEFT($B95,4)="_Mil","",_xlfn.IFNA(ROUND(INDEX(Spectrum!$N:$N,MATCH(RIGHT($B95,13)&amp;"|"&amp;$C95&amp;"|"&amp;$D95&amp;"|"&amp;AK$14&amp;"|"&amp;"CY2023Q3",Spectrum!$R:$R,0)),0),""))</f>
        <v/>
      </c>
      <c r="AL95" s="88" t="n">
        <f aca="false">IF(OR(LEFT($B95,4)="_Mil",$C95="&lt;01"),"",MAX(SUM($AA95),90%))</f>
        <v>647</v>
      </c>
      <c r="AM95" s="10" t="n">
        <f aca="false">IF(OR(LEFT($B95,4)="_Mil",$C95="&lt;01"),"",ROUND(SUM($AJ95)*SUM($AL95),0))</f>
        <v>0</v>
      </c>
      <c r="AN95" s="10" t="str">
        <f aca="false">IF($C95="&lt;01",ROUND(INDEX(EID!$P:$P,MATCH($B95,EID!$B:$B,0))/2,0),"")</f>
        <v/>
      </c>
      <c r="AO95" s="10" t="n">
        <f aca="false">IF($C95="&lt;01",SUM($AN95),ROUND(SUM($AM95)*SUM($O95)/IF(SUM($Z95)=0,1,$Z95),0))</f>
        <v>0</v>
      </c>
      <c r="AP95" s="39" t="n">
        <f aca="false">IF(OR($F95="",$C95="&lt;01"),$AO95,$F95)</f>
        <v>0</v>
      </c>
      <c r="AQ95" s="39" t="n">
        <f aca="false">IF(LEFT($B95,4)="_Mil","",IF(SUM($AP95)=0,SUM($Z95),IF(OR(SUM($Z95)=0,SUM($O95)=0),MAX($AP95,$Z95),$AP95*$Z95/$O95)))</f>
        <v>1767</v>
      </c>
      <c r="AR95" s="88" t="str">
        <f aca="false">IF(OR(LEFT($B95,4)="_Mil",SUM($AJ95)=0),"",SUM($AQ95)/$AJ95)</f>
        <v/>
      </c>
      <c r="AS95" s="88" t="n">
        <f aca="false">IF($C95="&lt;01","",98%)</f>
        <v>0.98</v>
      </c>
      <c r="AT95" s="88" t="n">
        <f aca="false">IF($C95="&lt;01","",98%)</f>
        <v>0.98</v>
      </c>
      <c r="AU95" s="10" t="n">
        <f aca="false">IF($C95="&lt;01","",SUM($AP95)-SUM($O95))</f>
        <v>0</v>
      </c>
      <c r="AV95" s="10" t="n">
        <f aca="false">IF($C95="&lt;01",ROUND(INDEX(EID!$N:$N,MATCH($B95,EID!$B:$B,0))/2,0),IF(SUM($AT95)=0,"",ROUND((SUM($AP95)-(SUM($O95)*SUM($AS95)))/$AT95,0)))</f>
        <v>0</v>
      </c>
      <c r="AW95" s="88" t="n">
        <f aca="false">IF($C95="&lt;01","",100%)</f>
        <v>1</v>
      </c>
      <c r="AX95" s="39" t="n">
        <f aca="false">IF($C95="&lt;01",SUM($AV95),ROUND(SUM($AV95)*SUM($AW95),0))</f>
        <v>0</v>
      </c>
      <c r="AY95" s="114" t="n">
        <f aca="false">IF($C95="&lt;01","",70%)</f>
        <v>0.7</v>
      </c>
      <c r="AZ95" s="91" t="n">
        <f aca="false">IF($C95="&lt;01",ROUND(INDEX(EID!$R:$R,MATCH($B95,EID!$B:$B,0))/2,0),ROUND(SUM($O95)+(SUM($AV95)*$AY95),0))</f>
        <v>0</v>
      </c>
      <c r="BA95" s="87" t="n">
        <f aca="false">IF($C95="&lt;01","",95%)</f>
        <v>0.95</v>
      </c>
      <c r="BB95" s="5" t="n">
        <f aca="false">IF($C95="&lt;01",ROUND(INDEX(EID!$T:$T,MATCH($B95,EID!$B:$B,0))/2,0),ROUND($AZ95*$BA95,0))</f>
        <v>0</v>
      </c>
      <c r="BC95" s="91" t="n">
        <f aca="false">IF(LEFT($B95,4)="_Mil","",IF(SUM($BB95)=0,SUM($AD95),IF(OR(SUM($AP95)=0,SUM($AQ95)=0),MAX($BB95,$AD95),ROUND($BB95*$AQ95/$AP95,0))))</f>
        <v>0</v>
      </c>
      <c r="BD95" s="88" t="n">
        <f aca="false">IF($C95="&lt;01","",95%)</f>
        <v>0.95</v>
      </c>
      <c r="BE95" s="39" t="n">
        <f aca="false">IF($C95="&lt;01",ROUND(INDEX(EID!$V:$V,MATCH($B95,EID!$B:$B,0))/2,0),ROUND($BD95*$BB95,0))</f>
        <v>0</v>
      </c>
      <c r="BF95" s="39" t="n">
        <f aca="false">IF(LEFT($B95,4)="_Mil","",IF(SUM($BE95)=0,SUM($AF95),IF(OR(SUM($AP95)=0,SUM($AQ95)=0),MAX($BE95,$AF95),ROUND($BE95*$AQ95/$AP95,0))))</f>
        <v>0</v>
      </c>
      <c r="BG95" s="114" t="n">
        <f aca="false">IF($C95="&lt;01","",95%)</f>
        <v>0.95</v>
      </c>
      <c r="BH95" s="5" t="n">
        <f aca="false">IF($C95="&lt;01",ROUND(INDEX(EID!$L:$L,MATCH($B95,EID!$B:$B,0)),0)/2,IF(SUM($BG95)=0,"",ROUND($AX95/$BG95,0)))</f>
        <v>0</v>
      </c>
    </row>
    <row r="96" customFormat="false" ht="15" hidden="false" customHeight="false" outlineLevel="0" collapsed="false">
      <c r="A96" s="0" t="str">
        <f aca="false">INDEX(Prioritization!$D:$D,MATCH($B96,Prioritization!$A:$A,0))</f>
        <v>1 - Scale-up: Saturation</v>
      </c>
      <c r="B96" s="0" t="s">
        <v>199</v>
      </c>
      <c r="C96" s="0" t="s">
        <v>367</v>
      </c>
      <c r="D96" s="0" t="s">
        <v>48</v>
      </c>
      <c r="E96" s="0" t="str">
        <f aca="false">$B96&amp;"|"&amp;$C96&amp;"|"&amp;$D96</f>
        <v>Mchinji District [kxuuIFpOXyO]|35-49|Male</v>
      </c>
      <c r="F96" s="10"/>
      <c r="G96" s="10"/>
      <c r="H96" s="10"/>
      <c r="I96" s="10"/>
      <c r="J96" s="10"/>
      <c r="K96" s="10"/>
      <c r="L96" s="10"/>
      <c r="M96" s="10"/>
      <c r="N96" s="10"/>
      <c r="O96" s="10" t="str">
        <f aca="false">IFERROR(1/(1/MAX($I96,$N96)),"")</f>
        <v/>
      </c>
      <c r="P96" s="10"/>
      <c r="Q96" s="10"/>
      <c r="R96" s="10" t="str">
        <f aca="false">IF(AND(SUM($I96)=0,SUM($O96)=0),"",SUM($O96)-$I96)</f>
        <v/>
      </c>
      <c r="S96" s="10" t="n">
        <f aca="false">IF(LEFT($B96,4)="_Mil","",_xlfn.IFNA(ROUND(INDEX(Spectrum!$N:$N,MATCH(RIGHT($B96,13)&amp;"|"&amp;$C96&amp;"|"&amp;$D96&amp;"|"&amp;S$14&amp;"|"&amp;"CY2022Q4",Spectrum!$R:$R,0)),0),""))</f>
        <v>1101</v>
      </c>
      <c r="T96" s="39" t="n">
        <f aca="false">IF(LEFT($B96,4)="_Mil","",_xlfn.IFNA(ROUND(INDEX(Spectrum!$N:$N,MATCH(RIGHT($B96,13)&amp;"|"&amp;$C96&amp;"|"&amp;$D96&amp;"|"&amp;T$14&amp;"|"&amp;"CY2023Q3",Spectrum!$R:$R,0)),0),""))</f>
        <v>1852</v>
      </c>
      <c r="U96" s="39" t="str">
        <f aca="false">IF(LEFT($B96,4)="_Mil","",_xlfn.IFNA(ROUND(INDEX(Spectrum!$N:$N,MATCH(RIGHT($B96,13)&amp;"|"&amp;$C96&amp;"|"&amp;$D96&amp;"|"&amp;U$14&amp;"|"&amp;"CY2023Q3",Spectrum!$R:$R,0)),0),""))</f>
        <v/>
      </c>
      <c r="V96" s="10" t="n">
        <f aca="false">IF(LEFT($B96,4)="_Mil","",_xlfn.IFNA(ROUND(INDEX(Spectrum!$N:$N,MATCH(RIGHT($B96,13)&amp;"|"&amp;$C96&amp;"|"&amp;$D96&amp;"|"&amp;V$14&amp;"|"&amp;"CY2023Q3",Spectrum!$R:$R,0)),0),""))</f>
        <v>1129</v>
      </c>
      <c r="W96" s="113" t="n">
        <f aca="false">IF(LEFT($B96,4)="_Mil","",_xlfn.IFNA(INDEX(Spectrum!$N:$N,MATCH(RIGHT($B96,13)&amp;"|"&amp;$C96&amp;"|"&amp;$D96&amp;"|"&amp;W$14&amp;"|"&amp;"CY2023Q3",Spectrum!$R:$R,0)),""))</f>
        <v>1731</v>
      </c>
      <c r="X96" s="39" t="n">
        <f aca="false">IF(LEFT($B96,4)="_Mil","",_xlfn.IFNA(ROUND(INDEX(Spectrum!$N:$N,MATCH(RIGHT($B96,13)&amp;"|"&amp;$C96&amp;"|"&amp;$D96&amp;"|"&amp;X$14&amp;"|"&amp;"CY2023Q3",Spectrum!$R:$R,0)),0),""))</f>
        <v>731</v>
      </c>
      <c r="Y96" s="88" t="str">
        <f aca="false">IF(OR(SUM($U96)=0,LEFT($B96,4)="_Mil"),"",SUM($X96)/$U96)</f>
        <v/>
      </c>
      <c r="Z96" s="39" t="n">
        <f aca="false">IF(LEFT($B96,4)="_Mil","",_xlfn.IFNA(ROUND(INDEX(Spectrum!$N:$N,MATCH(RIGHT($B96,13)&amp;"|"&amp;$C96&amp;"|"&amp;$D96&amp;"|"&amp;Z$14&amp;"|"&amp;"CY2023Q3",Spectrum!$R:$R,0)),0),""))</f>
        <v>956</v>
      </c>
      <c r="AA96" s="88" t="n">
        <f aca="false">IF(LEFT($B96,4)="_Mil","",IFERROR(1/(1/INDEX(Spectrum!$N:$N,MATCH(RIGHT($B96,13)&amp;"|"&amp;$C96&amp;"|"&amp;$D96&amp;"|"&amp;AA$14&amp;"|"&amp;"CY2023Q3",Spectrum!$R:$R,0))),IF(SUM($U96)=0,"",SUM($Z96)/$U96)))</f>
        <v>1493</v>
      </c>
      <c r="AB96" s="88" t="n">
        <f aca="false">IF(OR(LEFT($B96,4)="_Mil",SUM($X96)=0),"",SUM($Z96)/$X96)</f>
        <v>1.3077975376197</v>
      </c>
      <c r="AC96" s="10" t="n">
        <f aca="false">IF(LEFT($B96,4)="_Mil","",_xlfn.IFNA(ROUND(INDEX(Spectrum!$N:$N,MATCH(RIGHT($B96,13)&amp;"|"&amp;$C96&amp;"|"&amp;$D96&amp;"|"&amp;AC$14&amp;"|"&amp;"CY2023Q3",Spectrum!$R:$R,0)),0),""))</f>
        <v>1353</v>
      </c>
      <c r="AD96" s="10" t="str">
        <f aca="false">IF(LEFT($B96,4)="_Mil","",_xlfn.IFNA(ROUND(INDEX(Spectrum!$N:$N,MATCH(RIGHT($B96,13)&amp;"|"&amp;$C96&amp;"|"&amp;$D96&amp;"|"&amp;AD$14&amp;"|"&amp;"CY2023Q3",Spectrum!$R:$R,0)),0),""))</f>
        <v/>
      </c>
      <c r="AE96" s="88" t="n">
        <f aca="false">IF(OR(LEFT($B96,4)="_Mil",SUM($Z96)=0),"",SUM($AD96)/$Z96)</f>
        <v>0</v>
      </c>
      <c r="AF96" s="39" t="str">
        <f aca="false">IF(LEFT($B96,4)="_Mil","",_xlfn.IFNA(ROUND(INDEX(Spectrum!$N:$N,MATCH(RIGHT($B96,13)&amp;"|"&amp;$C96&amp;"|"&amp;$D96&amp;"|"&amp;AF$14&amp;"|"&amp;"CY2023Q3",Spectrum!$R:$R,0)),0),""))</f>
        <v/>
      </c>
      <c r="AG96" s="88" t="str">
        <f aca="false">IF(OR(LEFT($B96,4)="_Mil",SUM($AD96)=0),"",SUM($AF96)/$AD96)</f>
        <v/>
      </c>
      <c r="AH96" s="86" t="str">
        <f aca="false">IF(LEFT($B96,4)="_Mil","",_xlfn.IFNA(INDEX(Spectrum!$N:$N,MATCH(RIGHT($B96,13)&amp;"|"&amp;$C96&amp;"|"&amp;$D96&amp;"|"&amp;AH$14&amp;"|"&amp;"CY2023Q3",Spectrum!$R:$R,0)),""))</f>
        <v/>
      </c>
      <c r="AI96" s="10" t="str">
        <f aca="false">IF(LEFT($B96,4)="_Mil","",_xlfn.IFNA(ROUND(INDEX(Spectrum!$N:$N,MATCH(RIGHT($B96,13)&amp;"|"&amp;$C96&amp;"|"&amp;$D96&amp;"|"&amp;AI$14&amp;"|"&amp;"CY2023Q3",Spectrum!$R:$R,0)),0),""))</f>
        <v/>
      </c>
      <c r="AJ96" s="39" t="n">
        <f aca="false">IF(LEFT($B96,4)="_Mil","",_xlfn.IFNA(ROUND(INDEX(Spectrum!$N:$N,MATCH(RIGHT($B96,13)&amp;"|"&amp;$C96&amp;"|"&amp;$D96&amp;"|"&amp;AI$14&amp;"|"&amp;"CY2023Q3",Spectrum!$R:$R,0)),0),SUM($U96)+SUM($AI96)))</f>
        <v>0</v>
      </c>
      <c r="AK96" s="10" t="str">
        <f aca="false">IF(LEFT($B96,4)="_Mil","",_xlfn.IFNA(ROUND(INDEX(Spectrum!$N:$N,MATCH(RIGHT($B96,13)&amp;"|"&amp;$C96&amp;"|"&amp;$D96&amp;"|"&amp;AK$14&amp;"|"&amp;"CY2023Q3",Spectrum!$R:$R,0)),0),""))</f>
        <v/>
      </c>
      <c r="AL96" s="88" t="n">
        <f aca="false">IF(OR(LEFT($B96,4)="_Mil",$C96="&lt;01"),"",MAX(SUM($AA96),90%))</f>
        <v>1493</v>
      </c>
      <c r="AM96" s="10" t="n">
        <f aca="false">IF(OR(LEFT($B96,4)="_Mil",$C96="&lt;01"),"",ROUND(SUM($AJ96)*SUM($AL96),0))</f>
        <v>0</v>
      </c>
      <c r="AN96" s="10" t="str">
        <f aca="false">IF($C96="&lt;01",ROUND(INDEX(EID!$P:$P,MATCH($B96,EID!$B:$B,0))/2,0),"")</f>
        <v/>
      </c>
      <c r="AO96" s="10" t="n">
        <f aca="false">IF($C96="&lt;01",SUM($AN96),ROUND(SUM($AM96)*SUM($O96)/IF(SUM($Z96)=0,1,$Z96),0))</f>
        <v>0</v>
      </c>
      <c r="AP96" s="39" t="n">
        <f aca="false">IF(OR($F96="",$C96="&lt;01"),$AO96,$F96)</f>
        <v>0</v>
      </c>
      <c r="AQ96" s="39" t="n">
        <f aca="false">IF(LEFT($B96,4)="_Mil","",IF(SUM($AP96)=0,SUM($Z96),IF(OR(SUM($Z96)=0,SUM($O96)=0),MAX($AP96,$Z96),$AP96*$Z96/$O96)))</f>
        <v>956</v>
      </c>
      <c r="AR96" s="88" t="str">
        <f aca="false">IF(OR(LEFT($B96,4)="_Mil",SUM($AJ96)=0),"",SUM($AQ96)/$AJ96)</f>
        <v/>
      </c>
      <c r="AS96" s="88" t="n">
        <f aca="false">IF($C96="&lt;01","",98%)</f>
        <v>0.98</v>
      </c>
      <c r="AT96" s="88" t="n">
        <f aca="false">IF($C96="&lt;01","",98%)</f>
        <v>0.98</v>
      </c>
      <c r="AU96" s="10" t="n">
        <f aca="false">IF($C96="&lt;01","",SUM($AP96)-SUM($O96))</f>
        <v>0</v>
      </c>
      <c r="AV96" s="10" t="n">
        <f aca="false">IF($C96="&lt;01",ROUND(INDEX(EID!$N:$N,MATCH($B96,EID!$B:$B,0))/2,0),IF(SUM($AT96)=0,"",ROUND((SUM($AP96)-(SUM($O96)*SUM($AS96)))/$AT96,0)))</f>
        <v>0</v>
      </c>
      <c r="AW96" s="88" t="n">
        <f aca="false">IF($C96="&lt;01","",100%)</f>
        <v>1</v>
      </c>
      <c r="AX96" s="39" t="n">
        <f aca="false">IF($C96="&lt;01",SUM($AV96),ROUND(SUM($AV96)*SUM($AW96),0))</f>
        <v>0</v>
      </c>
      <c r="AY96" s="114" t="n">
        <f aca="false">IF($C96="&lt;01","",70%)</f>
        <v>0.7</v>
      </c>
      <c r="AZ96" s="91" t="n">
        <f aca="false">IF($C96="&lt;01",ROUND(INDEX(EID!$R:$R,MATCH($B96,EID!$B:$B,0))/2,0),ROUND(SUM($O96)+(SUM($AV96)*$AY96),0))</f>
        <v>0</v>
      </c>
      <c r="BA96" s="87" t="n">
        <f aca="false">IF($C96="&lt;01","",95%)</f>
        <v>0.95</v>
      </c>
      <c r="BB96" s="5" t="n">
        <f aca="false">IF($C96="&lt;01",ROUND(INDEX(EID!$T:$T,MATCH($B96,EID!$B:$B,0))/2,0),ROUND($AZ96*$BA96,0))</f>
        <v>0</v>
      </c>
      <c r="BC96" s="91" t="n">
        <f aca="false">IF(LEFT($B96,4)="_Mil","",IF(SUM($BB96)=0,SUM($AD96),IF(OR(SUM($AP96)=0,SUM($AQ96)=0),MAX($BB96,$AD96),ROUND($BB96*$AQ96/$AP96,0))))</f>
        <v>0</v>
      </c>
      <c r="BD96" s="88" t="n">
        <f aca="false">IF($C96="&lt;01","",95%)</f>
        <v>0.95</v>
      </c>
      <c r="BE96" s="39" t="n">
        <f aca="false">IF($C96="&lt;01",ROUND(INDEX(EID!$V:$V,MATCH($B96,EID!$B:$B,0))/2,0),ROUND($BD96*$BB96,0))</f>
        <v>0</v>
      </c>
      <c r="BF96" s="39" t="n">
        <f aca="false">IF(LEFT($B96,4)="_Mil","",IF(SUM($BE96)=0,SUM($AF96),IF(OR(SUM($AP96)=0,SUM($AQ96)=0),MAX($BE96,$AF96),ROUND($BE96*$AQ96/$AP96,0))))</f>
        <v>0</v>
      </c>
      <c r="BG96" s="114" t="n">
        <f aca="false">IF($C96="&lt;01","",95%)</f>
        <v>0.95</v>
      </c>
      <c r="BH96" s="5" t="n">
        <f aca="false">IF($C96="&lt;01",ROUND(INDEX(EID!$L:$L,MATCH($B96,EID!$B:$B,0)),0)/2,IF(SUM($BG96)=0,"",ROUND($AX96/$BG96,0)))</f>
        <v>0</v>
      </c>
    </row>
    <row r="97" customFormat="false" ht="15" hidden="false" customHeight="false" outlineLevel="0" collapsed="false">
      <c r="A97" s="0" t="str">
        <f aca="false">INDEX(Prioritization!$D:$D,MATCH($B97,Prioritization!$A:$A,0))</f>
        <v>1 - Scale-up: Saturation</v>
      </c>
      <c r="B97" s="0" t="s">
        <v>199</v>
      </c>
      <c r="C97" s="0" t="s">
        <v>368</v>
      </c>
      <c r="D97" s="0" t="s">
        <v>30</v>
      </c>
      <c r="E97" s="0" t="str">
        <f aca="false">$B97&amp;"|"&amp;$C97&amp;"|"&amp;$D97</f>
        <v>Mchinji District [kxuuIFpOXyO]|50+|Female</v>
      </c>
      <c r="F97" s="10"/>
      <c r="G97" s="10"/>
      <c r="H97" s="10"/>
      <c r="I97" s="10"/>
      <c r="J97" s="10"/>
      <c r="K97" s="10"/>
      <c r="L97" s="10"/>
      <c r="M97" s="10"/>
      <c r="N97" s="10"/>
      <c r="O97" s="10" t="str">
        <f aca="false">IFERROR(1/(1/MAX($I97,$N97)),"")</f>
        <v/>
      </c>
      <c r="P97" s="10"/>
      <c r="Q97" s="10"/>
      <c r="R97" s="10" t="str">
        <f aca="false">IF(AND(SUM($I97)=0,SUM($O97)=0),"",SUM($O97)-$I97)</f>
        <v/>
      </c>
      <c r="S97" s="10" t="n">
        <f aca="false">IF(LEFT($B97,4)="_Mil","",_xlfn.IFNA(ROUND(INDEX(Spectrum!$N:$N,MATCH(RIGHT($B97,13)&amp;"|"&amp;$C97&amp;"|"&amp;$D97&amp;"|"&amp;S$14&amp;"|"&amp;"CY2022Q4",Spectrum!$R:$R,0)),0),""))</f>
        <v>1425</v>
      </c>
      <c r="T97" s="39" t="n">
        <f aca="false">IF(LEFT($B97,4)="_Mil","",_xlfn.IFNA(ROUND(INDEX(Spectrum!$N:$N,MATCH(RIGHT($B97,13)&amp;"|"&amp;$C97&amp;"|"&amp;$D97&amp;"|"&amp;T$14&amp;"|"&amp;"CY2023Q3",Spectrum!$R:$R,0)),0),""))</f>
        <v>1826</v>
      </c>
      <c r="U97" s="39" t="str">
        <f aca="false">IF(LEFT($B97,4)="_Mil","",_xlfn.IFNA(ROUND(INDEX(Spectrum!$N:$N,MATCH(RIGHT($B97,13)&amp;"|"&amp;$C97&amp;"|"&amp;$D97&amp;"|"&amp;U$14&amp;"|"&amp;"CY2023Q3",Spectrum!$R:$R,0)),0),""))</f>
        <v/>
      </c>
      <c r="V97" s="10" t="n">
        <f aca="false">IF(LEFT($B97,4)="_Mil","",_xlfn.IFNA(ROUND(INDEX(Spectrum!$N:$N,MATCH(RIGHT($B97,13)&amp;"|"&amp;$C97&amp;"|"&amp;$D97&amp;"|"&amp;V$14&amp;"|"&amp;"CY2023Q3",Spectrum!$R:$R,0)),0),""))</f>
        <v>1357</v>
      </c>
      <c r="W97" s="113" t="n">
        <f aca="false">IF(LEFT($B97,4)="_Mil","",_xlfn.IFNA(INDEX(Spectrum!$N:$N,MATCH(RIGHT($B97,13)&amp;"|"&amp;$C97&amp;"|"&amp;$D97&amp;"|"&amp;W$14&amp;"|"&amp;"CY2023Q3",Spectrum!$R:$R,0)),""))</f>
        <v>1133</v>
      </c>
      <c r="X97" s="39" t="n">
        <f aca="false">IF(LEFT($B97,4)="_Mil","",_xlfn.IFNA(ROUND(INDEX(Spectrum!$N:$N,MATCH(RIGHT($B97,13)&amp;"|"&amp;$C97&amp;"|"&amp;$D97&amp;"|"&amp;X$14&amp;"|"&amp;"CY2023Q3",Spectrum!$R:$R,0)),0),""))</f>
        <v>1186</v>
      </c>
      <c r="Y97" s="88" t="str">
        <f aca="false">IF(OR(SUM($U97)=0,LEFT($B97,4)="_Mil"),"",SUM($X97)/$U97)</f>
        <v/>
      </c>
      <c r="Z97" s="39" t="n">
        <f aca="false">IF(LEFT($B97,4)="_Mil","",_xlfn.IFNA(ROUND(INDEX(Spectrum!$N:$N,MATCH(RIGHT($B97,13)&amp;"|"&amp;$C97&amp;"|"&amp;$D97&amp;"|"&amp;Z$14&amp;"|"&amp;"CY2023Q3",Spectrum!$R:$R,0)),0),""))</f>
        <v>1686</v>
      </c>
      <c r="AA97" s="88" t="n">
        <f aca="false">IF(LEFT($B97,4)="_Mil","",IFERROR(1/(1/INDEX(Spectrum!$N:$N,MATCH(RIGHT($B97,13)&amp;"|"&amp;$C97&amp;"|"&amp;$D97&amp;"|"&amp;AA$14&amp;"|"&amp;"CY2023Q3",Spectrum!$R:$R,0))),IF(SUM($U97)=0,"",SUM($Z97)/$U97)))</f>
        <v>1492</v>
      </c>
      <c r="AB97" s="88" t="n">
        <f aca="false">IF(OR(LEFT($B97,4)="_Mil",SUM($X97)=0),"",SUM($Z97)/$X97)</f>
        <v>1.42158516020236</v>
      </c>
      <c r="AC97" s="10" t="n">
        <f aca="false">IF(LEFT($B97,4)="_Mil","",_xlfn.IFNA(ROUND(INDEX(Spectrum!$N:$N,MATCH(RIGHT($B97,13)&amp;"|"&amp;$C97&amp;"|"&amp;$D97&amp;"|"&amp;AC$14&amp;"|"&amp;"CY2023Q3",Spectrum!$R:$R,0)),0),""))</f>
        <v>1985</v>
      </c>
      <c r="AD97" s="10" t="str">
        <f aca="false">IF(LEFT($B97,4)="_Mil","",_xlfn.IFNA(ROUND(INDEX(Spectrum!$N:$N,MATCH(RIGHT($B97,13)&amp;"|"&amp;$C97&amp;"|"&amp;$D97&amp;"|"&amp;AD$14&amp;"|"&amp;"CY2023Q3",Spectrum!$R:$R,0)),0),""))</f>
        <v/>
      </c>
      <c r="AE97" s="88" t="n">
        <f aca="false">IF(OR(LEFT($B97,4)="_Mil",SUM($Z97)=0),"",SUM($AD97)/$Z97)</f>
        <v>0</v>
      </c>
      <c r="AF97" s="39" t="str">
        <f aca="false">IF(LEFT($B97,4)="_Mil","",_xlfn.IFNA(ROUND(INDEX(Spectrum!$N:$N,MATCH(RIGHT($B97,13)&amp;"|"&amp;$C97&amp;"|"&amp;$D97&amp;"|"&amp;AF$14&amp;"|"&amp;"CY2023Q3",Spectrum!$R:$R,0)),0),""))</f>
        <v/>
      </c>
      <c r="AG97" s="88" t="str">
        <f aca="false">IF(OR(LEFT($B97,4)="_Mil",SUM($AD97)=0),"",SUM($AF97)/$AD97)</f>
        <v/>
      </c>
      <c r="AH97" s="86" t="str">
        <f aca="false">IF(LEFT($B97,4)="_Mil","",_xlfn.IFNA(INDEX(Spectrum!$N:$N,MATCH(RIGHT($B97,13)&amp;"|"&amp;$C97&amp;"|"&amp;$D97&amp;"|"&amp;AH$14&amp;"|"&amp;"CY2023Q3",Spectrum!$R:$R,0)),""))</f>
        <v/>
      </c>
      <c r="AI97" s="10" t="str">
        <f aca="false">IF(LEFT($B97,4)="_Mil","",_xlfn.IFNA(ROUND(INDEX(Spectrum!$N:$N,MATCH(RIGHT($B97,13)&amp;"|"&amp;$C97&amp;"|"&amp;$D97&amp;"|"&amp;AI$14&amp;"|"&amp;"CY2023Q3",Spectrum!$R:$R,0)),0),""))</f>
        <v/>
      </c>
      <c r="AJ97" s="39" t="n">
        <f aca="false">IF(LEFT($B97,4)="_Mil","",_xlfn.IFNA(ROUND(INDEX(Spectrum!$N:$N,MATCH(RIGHT($B97,13)&amp;"|"&amp;$C97&amp;"|"&amp;$D97&amp;"|"&amp;AI$14&amp;"|"&amp;"CY2023Q3",Spectrum!$R:$R,0)),0),SUM($U97)+SUM($AI97)))</f>
        <v>0</v>
      </c>
      <c r="AK97" s="10" t="str">
        <f aca="false">IF(LEFT($B97,4)="_Mil","",_xlfn.IFNA(ROUND(INDEX(Spectrum!$N:$N,MATCH(RIGHT($B97,13)&amp;"|"&amp;$C97&amp;"|"&amp;$D97&amp;"|"&amp;AK$14&amp;"|"&amp;"CY2023Q3",Spectrum!$R:$R,0)),0),""))</f>
        <v/>
      </c>
      <c r="AL97" s="88" t="n">
        <f aca="false">IF(OR(LEFT($B97,4)="_Mil",$C97="&lt;01"),"",MAX(SUM($AA97),90%))</f>
        <v>1492</v>
      </c>
      <c r="AM97" s="10" t="n">
        <f aca="false">IF(OR(LEFT($B97,4)="_Mil",$C97="&lt;01"),"",ROUND(SUM($AJ97)*SUM($AL97),0))</f>
        <v>0</v>
      </c>
      <c r="AN97" s="10" t="str">
        <f aca="false">IF($C97="&lt;01",ROUND(INDEX(EID!$P:$P,MATCH($B97,EID!$B:$B,0))/2,0),"")</f>
        <v/>
      </c>
      <c r="AO97" s="10" t="n">
        <f aca="false">IF($C97="&lt;01",SUM($AN97),ROUND(SUM($AM97)*SUM($O97)/IF(SUM($Z97)=0,1,$Z97),0))</f>
        <v>0</v>
      </c>
      <c r="AP97" s="39" t="n">
        <f aca="false">IF(OR($F97="",$C97="&lt;01"),$AO97,$F97)</f>
        <v>0</v>
      </c>
      <c r="AQ97" s="39" t="n">
        <f aca="false">IF(LEFT($B97,4)="_Mil","",IF(SUM($AP97)=0,SUM($Z97),IF(OR(SUM($Z97)=0,SUM($O97)=0),MAX($AP97,$Z97),$AP97*$Z97/$O97)))</f>
        <v>1686</v>
      </c>
      <c r="AR97" s="88" t="str">
        <f aca="false">IF(OR(LEFT($B97,4)="_Mil",SUM($AJ97)=0),"",SUM($AQ97)/$AJ97)</f>
        <v/>
      </c>
      <c r="AS97" s="88" t="n">
        <f aca="false">IF($C97="&lt;01","",98%)</f>
        <v>0.98</v>
      </c>
      <c r="AT97" s="88" t="n">
        <f aca="false">IF($C97="&lt;01","",98%)</f>
        <v>0.98</v>
      </c>
      <c r="AU97" s="10" t="n">
        <f aca="false">IF($C97="&lt;01","",SUM($AP97)-SUM($O97))</f>
        <v>0</v>
      </c>
      <c r="AV97" s="10" t="n">
        <f aca="false">IF($C97="&lt;01",ROUND(INDEX(EID!$N:$N,MATCH($B97,EID!$B:$B,0))/2,0),IF(SUM($AT97)=0,"",ROUND((SUM($AP97)-(SUM($O97)*SUM($AS97)))/$AT97,0)))</f>
        <v>0</v>
      </c>
      <c r="AW97" s="88" t="n">
        <f aca="false">IF($C97="&lt;01","",100%)</f>
        <v>1</v>
      </c>
      <c r="AX97" s="39" t="n">
        <f aca="false">IF($C97="&lt;01",SUM($AV97),ROUND(SUM($AV97)*SUM($AW97),0))</f>
        <v>0</v>
      </c>
      <c r="AY97" s="114" t="n">
        <f aca="false">IF($C97="&lt;01","",70%)</f>
        <v>0.7</v>
      </c>
      <c r="AZ97" s="91" t="n">
        <f aca="false">IF($C97="&lt;01",ROUND(INDEX(EID!$R:$R,MATCH($B97,EID!$B:$B,0))/2,0),ROUND(SUM($O97)+(SUM($AV97)*$AY97),0))</f>
        <v>0</v>
      </c>
      <c r="BA97" s="87" t="n">
        <f aca="false">IF($C97="&lt;01","",95%)</f>
        <v>0.95</v>
      </c>
      <c r="BB97" s="5" t="n">
        <f aca="false">IF($C97="&lt;01",ROUND(INDEX(EID!$T:$T,MATCH($B97,EID!$B:$B,0))/2,0),ROUND($AZ97*$BA97,0))</f>
        <v>0</v>
      </c>
      <c r="BC97" s="91" t="n">
        <f aca="false">IF(LEFT($B97,4)="_Mil","",IF(SUM($BB97)=0,SUM($AD97),IF(OR(SUM($AP97)=0,SUM($AQ97)=0),MAX($BB97,$AD97),ROUND($BB97*$AQ97/$AP97,0))))</f>
        <v>0</v>
      </c>
      <c r="BD97" s="88" t="n">
        <f aca="false">IF($C97="&lt;01","",95%)</f>
        <v>0.95</v>
      </c>
      <c r="BE97" s="39" t="n">
        <f aca="false">IF($C97="&lt;01",ROUND(INDEX(EID!$V:$V,MATCH($B97,EID!$B:$B,0))/2,0),ROUND($BD97*$BB97,0))</f>
        <v>0</v>
      </c>
      <c r="BF97" s="39" t="n">
        <f aca="false">IF(LEFT($B97,4)="_Mil","",IF(SUM($BE97)=0,SUM($AF97),IF(OR(SUM($AP97)=0,SUM($AQ97)=0),MAX($BE97,$AF97),ROUND($BE97*$AQ97/$AP97,0))))</f>
        <v>0</v>
      </c>
      <c r="BG97" s="114" t="n">
        <f aca="false">IF($C97="&lt;01","",95%)</f>
        <v>0.95</v>
      </c>
      <c r="BH97" s="5" t="n">
        <f aca="false">IF($C97="&lt;01",ROUND(INDEX(EID!$L:$L,MATCH($B97,EID!$B:$B,0)),0)/2,IF(SUM($BG97)=0,"",ROUND($AX97/$BG97,0)))</f>
        <v>0</v>
      </c>
    </row>
    <row r="98" customFormat="false" ht="15" hidden="false" customHeight="false" outlineLevel="0" collapsed="false">
      <c r="A98" s="0" t="str">
        <f aca="false">INDEX(Prioritization!$D:$D,MATCH($B98,Prioritization!$A:$A,0))</f>
        <v>1 - Scale-up: Saturation</v>
      </c>
      <c r="B98" s="0" t="s">
        <v>199</v>
      </c>
      <c r="C98" s="0" t="s">
        <v>368</v>
      </c>
      <c r="D98" s="0" t="s">
        <v>48</v>
      </c>
      <c r="E98" s="0" t="str">
        <f aca="false">$B98&amp;"|"&amp;$C98&amp;"|"&amp;$D98</f>
        <v>Mchinji District [kxuuIFpOXyO]|50+|Male</v>
      </c>
      <c r="F98" s="10"/>
      <c r="G98" s="10"/>
      <c r="H98" s="10"/>
      <c r="I98" s="10"/>
      <c r="J98" s="10"/>
      <c r="K98" s="10"/>
      <c r="L98" s="10"/>
      <c r="M98" s="10"/>
      <c r="N98" s="10"/>
      <c r="O98" s="10" t="str">
        <f aca="false">IFERROR(1/(1/MAX($I98,$N98)),"")</f>
        <v/>
      </c>
      <c r="P98" s="10"/>
      <c r="Q98" s="10"/>
      <c r="R98" s="10" t="str">
        <f aca="false">IF(AND(SUM($I98)=0,SUM($O98)=0),"",SUM($O98)-$I98)</f>
        <v/>
      </c>
      <c r="S98" s="10" t="n">
        <f aca="false">IF(LEFT($B98,4)="_Mil","",_xlfn.IFNA(ROUND(INDEX(Spectrum!$N:$N,MATCH(RIGHT($B98,13)&amp;"|"&amp;$C98&amp;"|"&amp;$D98&amp;"|"&amp;S$14&amp;"|"&amp;"CY2022Q4",Spectrum!$R:$R,0)),0),""))</f>
        <v>1984</v>
      </c>
      <c r="T98" s="39" t="n">
        <f aca="false">IF(LEFT($B98,4)="_Mil","",_xlfn.IFNA(ROUND(INDEX(Spectrum!$N:$N,MATCH(RIGHT($B98,13)&amp;"|"&amp;$C98&amp;"|"&amp;$D98&amp;"|"&amp;T$14&amp;"|"&amp;"CY2023Q3",Spectrum!$R:$R,0)),0),""))</f>
        <v>637</v>
      </c>
      <c r="U98" s="39" t="str">
        <f aca="false">IF(LEFT($B98,4)="_Mil","",_xlfn.IFNA(ROUND(INDEX(Spectrum!$N:$N,MATCH(RIGHT($B98,13)&amp;"|"&amp;$C98&amp;"|"&amp;$D98&amp;"|"&amp;U$14&amp;"|"&amp;"CY2023Q3",Spectrum!$R:$R,0)),0),""))</f>
        <v/>
      </c>
      <c r="V98" s="10" t="n">
        <f aca="false">IF(LEFT($B98,4)="_Mil","",_xlfn.IFNA(ROUND(INDEX(Spectrum!$N:$N,MATCH(RIGHT($B98,13)&amp;"|"&amp;$C98&amp;"|"&amp;$D98&amp;"|"&amp;V$14&amp;"|"&amp;"CY2023Q3",Spectrum!$R:$R,0)),0),""))</f>
        <v>1477</v>
      </c>
      <c r="W98" s="113" t="n">
        <f aca="false">IF(LEFT($B98,4)="_Mil","",_xlfn.IFNA(INDEX(Spectrum!$N:$N,MATCH(RIGHT($B98,13)&amp;"|"&amp;$C98&amp;"|"&amp;$D98&amp;"|"&amp;W$14&amp;"|"&amp;"CY2023Q3",Spectrum!$R:$R,0)),""))</f>
        <v>908</v>
      </c>
      <c r="X98" s="39" t="n">
        <f aca="false">IF(LEFT($B98,4)="_Mil","",_xlfn.IFNA(ROUND(INDEX(Spectrum!$N:$N,MATCH(RIGHT($B98,13)&amp;"|"&amp;$C98&amp;"|"&amp;$D98&amp;"|"&amp;X$14&amp;"|"&amp;"CY2023Q3",Spectrum!$R:$R,0)),0),""))</f>
        <v>856</v>
      </c>
      <c r="Y98" s="88" t="str">
        <f aca="false">IF(OR(SUM($U98)=0,LEFT($B98,4)="_Mil"),"",SUM($X98)/$U98)</f>
        <v/>
      </c>
      <c r="Z98" s="39" t="n">
        <f aca="false">IF(LEFT($B98,4)="_Mil","",_xlfn.IFNA(ROUND(INDEX(Spectrum!$N:$N,MATCH(RIGHT($B98,13)&amp;"|"&amp;$C98&amp;"|"&amp;$D98&amp;"|"&amp;Z$14&amp;"|"&amp;"CY2023Q3",Spectrum!$R:$R,0)),0),""))</f>
        <v>1458</v>
      </c>
      <c r="AA98" s="88" t="n">
        <f aca="false">IF(LEFT($B98,4)="_Mil","",IFERROR(1/(1/INDEX(Spectrum!$N:$N,MATCH(RIGHT($B98,13)&amp;"|"&amp;$C98&amp;"|"&amp;$D98&amp;"|"&amp;AA$14&amp;"|"&amp;"CY2023Q3",Spectrum!$R:$R,0))),IF(SUM($U98)=0,"",SUM($Z98)/$U98)))</f>
        <v>1145</v>
      </c>
      <c r="AB98" s="88" t="n">
        <f aca="false">IF(OR(LEFT($B98,4)="_Mil",SUM($X98)=0),"",SUM($Z98)/$X98)</f>
        <v>1.70327102803738</v>
      </c>
      <c r="AC98" s="10" t="n">
        <f aca="false">IF(LEFT($B98,4)="_Mil","",_xlfn.IFNA(ROUND(INDEX(Spectrum!$N:$N,MATCH(RIGHT($B98,13)&amp;"|"&amp;$C98&amp;"|"&amp;$D98&amp;"|"&amp;AC$14&amp;"|"&amp;"CY2023Q3",Spectrum!$R:$R,0)),0),""))</f>
        <v>1961</v>
      </c>
      <c r="AD98" s="10" t="str">
        <f aca="false">IF(LEFT($B98,4)="_Mil","",_xlfn.IFNA(ROUND(INDEX(Spectrum!$N:$N,MATCH(RIGHT($B98,13)&amp;"|"&amp;$C98&amp;"|"&amp;$D98&amp;"|"&amp;AD$14&amp;"|"&amp;"CY2023Q3",Spectrum!$R:$R,0)),0),""))</f>
        <v/>
      </c>
      <c r="AE98" s="88" t="n">
        <f aca="false">IF(OR(LEFT($B98,4)="_Mil",SUM($Z98)=0),"",SUM($AD98)/$Z98)</f>
        <v>0</v>
      </c>
      <c r="AF98" s="39" t="str">
        <f aca="false">IF(LEFT($B98,4)="_Mil","",_xlfn.IFNA(ROUND(INDEX(Spectrum!$N:$N,MATCH(RIGHT($B98,13)&amp;"|"&amp;$C98&amp;"|"&amp;$D98&amp;"|"&amp;AF$14&amp;"|"&amp;"CY2023Q3",Spectrum!$R:$R,0)),0),""))</f>
        <v/>
      </c>
      <c r="AG98" s="88" t="str">
        <f aca="false">IF(OR(LEFT($B98,4)="_Mil",SUM($AD98)=0),"",SUM($AF98)/$AD98)</f>
        <v/>
      </c>
      <c r="AH98" s="86" t="str">
        <f aca="false">IF(LEFT($B98,4)="_Mil","",_xlfn.IFNA(INDEX(Spectrum!$N:$N,MATCH(RIGHT($B98,13)&amp;"|"&amp;$C98&amp;"|"&amp;$D98&amp;"|"&amp;AH$14&amp;"|"&amp;"CY2023Q3",Spectrum!$R:$R,0)),""))</f>
        <v/>
      </c>
      <c r="AI98" s="10" t="str">
        <f aca="false">IF(LEFT($B98,4)="_Mil","",_xlfn.IFNA(ROUND(INDEX(Spectrum!$N:$N,MATCH(RIGHT($B98,13)&amp;"|"&amp;$C98&amp;"|"&amp;$D98&amp;"|"&amp;AI$14&amp;"|"&amp;"CY2023Q3",Spectrum!$R:$R,0)),0),""))</f>
        <v/>
      </c>
      <c r="AJ98" s="39" t="n">
        <f aca="false">IF(LEFT($B98,4)="_Mil","",_xlfn.IFNA(ROUND(INDEX(Spectrum!$N:$N,MATCH(RIGHT($B98,13)&amp;"|"&amp;$C98&amp;"|"&amp;$D98&amp;"|"&amp;AI$14&amp;"|"&amp;"CY2023Q3",Spectrum!$R:$R,0)),0),SUM($U98)+SUM($AI98)))</f>
        <v>0</v>
      </c>
      <c r="AK98" s="10" t="str">
        <f aca="false">IF(LEFT($B98,4)="_Mil","",_xlfn.IFNA(ROUND(INDEX(Spectrum!$N:$N,MATCH(RIGHT($B98,13)&amp;"|"&amp;$C98&amp;"|"&amp;$D98&amp;"|"&amp;AK$14&amp;"|"&amp;"CY2023Q3",Spectrum!$R:$R,0)),0),""))</f>
        <v/>
      </c>
      <c r="AL98" s="88" t="n">
        <f aca="false">IF(OR(LEFT($B98,4)="_Mil",$C98="&lt;01"),"",MAX(SUM($AA98),90%))</f>
        <v>1145</v>
      </c>
      <c r="AM98" s="10" t="n">
        <f aca="false">IF(OR(LEFT($B98,4)="_Mil",$C98="&lt;01"),"",ROUND(SUM($AJ98)*SUM($AL98),0))</f>
        <v>0</v>
      </c>
      <c r="AN98" s="10" t="str">
        <f aca="false">IF($C98="&lt;01",ROUND(INDEX(EID!$P:$P,MATCH($B98,EID!$B:$B,0))/2,0),"")</f>
        <v/>
      </c>
      <c r="AO98" s="10" t="n">
        <f aca="false">IF($C98="&lt;01",SUM($AN98),ROUND(SUM($AM98)*SUM($O98)/IF(SUM($Z98)=0,1,$Z98),0))</f>
        <v>0</v>
      </c>
      <c r="AP98" s="39" t="n">
        <f aca="false">IF(OR($F98="",$C98="&lt;01"),$AO98,$F98)</f>
        <v>0</v>
      </c>
      <c r="AQ98" s="39" t="n">
        <f aca="false">IF(LEFT($B98,4)="_Mil","",IF(SUM($AP98)=0,SUM($Z98),IF(OR(SUM($Z98)=0,SUM($O98)=0),MAX($AP98,$Z98),$AP98*$Z98/$O98)))</f>
        <v>1458</v>
      </c>
      <c r="AR98" s="88" t="str">
        <f aca="false">IF(OR(LEFT($B98,4)="_Mil",SUM($AJ98)=0),"",SUM($AQ98)/$AJ98)</f>
        <v/>
      </c>
      <c r="AS98" s="88" t="n">
        <f aca="false">IF($C98="&lt;01","",98%)</f>
        <v>0.98</v>
      </c>
      <c r="AT98" s="88" t="n">
        <f aca="false">IF($C98="&lt;01","",98%)</f>
        <v>0.98</v>
      </c>
      <c r="AU98" s="10" t="n">
        <f aca="false">IF($C98="&lt;01","",SUM($AP98)-SUM($O98))</f>
        <v>0</v>
      </c>
      <c r="AV98" s="10" t="n">
        <f aca="false">IF($C98="&lt;01",ROUND(INDEX(EID!$N:$N,MATCH($B98,EID!$B:$B,0))/2,0),IF(SUM($AT98)=0,"",ROUND((SUM($AP98)-(SUM($O98)*SUM($AS98)))/$AT98,0)))</f>
        <v>0</v>
      </c>
      <c r="AW98" s="88" t="n">
        <f aca="false">IF($C98="&lt;01","",100%)</f>
        <v>1</v>
      </c>
      <c r="AX98" s="39" t="n">
        <f aca="false">IF($C98="&lt;01",SUM($AV98),ROUND(SUM($AV98)*SUM($AW98),0))</f>
        <v>0</v>
      </c>
      <c r="AY98" s="114" t="n">
        <f aca="false">IF($C98="&lt;01","",70%)</f>
        <v>0.7</v>
      </c>
      <c r="AZ98" s="91" t="n">
        <f aca="false">IF($C98="&lt;01",ROUND(INDEX(EID!$R:$R,MATCH($B98,EID!$B:$B,0))/2,0),ROUND(SUM($O98)+(SUM($AV98)*$AY98),0))</f>
        <v>0</v>
      </c>
      <c r="BA98" s="87" t="n">
        <f aca="false">IF($C98="&lt;01","",95%)</f>
        <v>0.95</v>
      </c>
      <c r="BB98" s="5" t="n">
        <f aca="false">IF($C98="&lt;01",ROUND(INDEX(EID!$T:$T,MATCH($B98,EID!$B:$B,0))/2,0),ROUND($AZ98*$BA98,0))</f>
        <v>0</v>
      </c>
      <c r="BC98" s="91" t="n">
        <f aca="false">IF(LEFT($B98,4)="_Mil","",IF(SUM($BB98)=0,SUM($AD98),IF(OR(SUM($AP98)=0,SUM($AQ98)=0),MAX($BB98,$AD98),ROUND($BB98*$AQ98/$AP98,0))))</f>
        <v>0</v>
      </c>
      <c r="BD98" s="88" t="n">
        <f aca="false">IF($C98="&lt;01","",95%)</f>
        <v>0.95</v>
      </c>
      <c r="BE98" s="39" t="n">
        <f aca="false">IF($C98="&lt;01",ROUND(INDEX(EID!$V:$V,MATCH($B98,EID!$B:$B,0))/2,0),ROUND($BD98*$BB98,0))</f>
        <v>0</v>
      </c>
      <c r="BF98" s="39" t="n">
        <f aca="false">IF(LEFT($B98,4)="_Mil","",IF(SUM($BE98)=0,SUM($AF98),IF(OR(SUM($AP98)=0,SUM($AQ98)=0),MAX($BE98,$AF98),ROUND($BE98*$AQ98/$AP98,0))))</f>
        <v>0</v>
      </c>
      <c r="BG98" s="114" t="n">
        <f aca="false">IF($C98="&lt;01","",95%)</f>
        <v>0.95</v>
      </c>
      <c r="BH98" s="5" t="n">
        <f aca="false">IF($C98="&lt;01",ROUND(INDEX(EID!$L:$L,MATCH($B98,EID!$B:$B,0)),0)/2,IF(SUM($BG98)=0,"",ROUND($AX98/$BG98,0)))</f>
        <v>0</v>
      </c>
    </row>
    <row r="99" customFormat="false" ht="15" hidden="false" customHeight="false" outlineLevel="0" collapsed="false">
      <c r="A99" s="0" t="str">
        <f aca="false">INDEX(Prioritization!$D:$D,MATCH($B99,Prioritization!$A:$A,0))</f>
        <v>1 - Scale-up: Saturation</v>
      </c>
      <c r="B99" s="0" t="s">
        <v>200</v>
      </c>
      <c r="C99" s="0" t="s">
        <v>316</v>
      </c>
      <c r="D99" s="0" t="s">
        <v>30</v>
      </c>
      <c r="E99" s="0" t="str">
        <f aca="false">$B99&amp;"|"&amp;$C99&amp;"|"&amp;$D99</f>
        <v>Nkhotakota District [YCKiBAp8QAg]|&lt;01|Female</v>
      </c>
      <c r="F99" s="10"/>
      <c r="G99" s="10" t="n">
        <v>1</v>
      </c>
      <c r="H99" s="10" t="n">
        <v>8</v>
      </c>
      <c r="I99" s="10" t="n">
        <v>1</v>
      </c>
      <c r="J99" s="10" t="n">
        <v>5</v>
      </c>
      <c r="K99" s="10" t="n">
        <v>4</v>
      </c>
      <c r="L99" s="10"/>
      <c r="M99" s="10" t="n">
        <v>0</v>
      </c>
      <c r="N99" s="10" t="n">
        <v>0</v>
      </c>
      <c r="O99" s="10" t="n">
        <f aca="false">IFERROR(1/(1/MAX($I99,$N99)),"")</f>
        <v>1</v>
      </c>
      <c r="P99" s="10" t="n">
        <v>1</v>
      </c>
      <c r="Q99" s="10" t="n">
        <v>0</v>
      </c>
      <c r="R99" s="10" t="n">
        <f aca="false">IF(AND(SUM($I99)=0,SUM($O99)=0),"",SUM($O99)-$I99)</f>
        <v>0</v>
      </c>
      <c r="S99" s="10" t="n">
        <f aca="false">IF(LEFT($B99,4)="_Mil","",_xlfn.IFNA(ROUND(INDEX(Spectrum!$N:$N,MATCH(RIGHT($B99,13)&amp;"|"&amp;$C99&amp;"|"&amp;$D99&amp;"|"&amp;S$14&amp;"|"&amp;"CY2022Q4",Spectrum!$R:$R,0)),0),""))</f>
        <v>885</v>
      </c>
      <c r="T99" s="39" t="n">
        <f aca="false">IF(LEFT($B99,4)="_Mil","",_xlfn.IFNA(ROUND(INDEX(Spectrum!$N:$N,MATCH(RIGHT($B99,13)&amp;"|"&amp;$C99&amp;"|"&amp;$D99&amp;"|"&amp;T$14&amp;"|"&amp;"CY2023Q3",Spectrum!$R:$R,0)),0),""))</f>
        <v>1375</v>
      </c>
      <c r="U99" s="39" t="str">
        <f aca="false">IF(LEFT($B99,4)="_Mil","",_xlfn.IFNA(ROUND(INDEX(Spectrum!$N:$N,MATCH(RIGHT($B99,13)&amp;"|"&amp;$C99&amp;"|"&amp;$D99&amp;"|"&amp;U$14&amp;"|"&amp;"CY2023Q3",Spectrum!$R:$R,0)),0),""))</f>
        <v/>
      </c>
      <c r="V99" s="10" t="n">
        <f aca="false">IF(LEFT($B99,4)="_Mil","",_xlfn.IFNA(ROUND(INDEX(Spectrum!$N:$N,MATCH(RIGHT($B99,13)&amp;"|"&amp;$C99&amp;"|"&amp;$D99&amp;"|"&amp;V$14&amp;"|"&amp;"CY2023Q3",Spectrum!$R:$R,0)),0),""))</f>
        <v>1016</v>
      </c>
      <c r="W99" s="113" t="n">
        <f aca="false">IF(LEFT($B99,4)="_Mil","",_xlfn.IFNA(INDEX(Spectrum!$N:$N,MATCH(RIGHT($B99,13)&amp;"|"&amp;$C99&amp;"|"&amp;$D99&amp;"|"&amp;W$14&amp;"|"&amp;"CY2023Q3",Spectrum!$R:$R,0)),""))</f>
        <v>1108</v>
      </c>
      <c r="X99" s="39" t="n">
        <f aca="false">IF(LEFT($B99,4)="_Mil","",_xlfn.IFNA(ROUND(INDEX(Spectrum!$N:$N,MATCH(RIGHT($B99,13)&amp;"|"&amp;$C99&amp;"|"&amp;$D99&amp;"|"&amp;X$14&amp;"|"&amp;"CY2023Q3",Spectrum!$R:$R,0)),0),""))</f>
        <v>1835</v>
      </c>
      <c r="Y99" s="88" t="str">
        <f aca="false">IF(OR(SUM($U99)=0,LEFT($B99,4)="_Mil"),"",SUM($X99)/$U99)</f>
        <v/>
      </c>
      <c r="Z99" s="39" t="n">
        <f aca="false">IF(LEFT($B99,4)="_Mil","",_xlfn.IFNA(ROUND(INDEX(Spectrum!$N:$N,MATCH(RIGHT($B99,13)&amp;"|"&amp;$C99&amp;"|"&amp;$D99&amp;"|"&amp;Z$14&amp;"|"&amp;"CY2023Q3",Spectrum!$R:$R,0)),0),""))</f>
        <v>1639</v>
      </c>
      <c r="AA99" s="88" t="n">
        <f aca="false">IF(LEFT($B99,4)="_Mil","",IFERROR(1/(1/INDEX(Spectrum!$N:$N,MATCH(RIGHT($B99,13)&amp;"|"&amp;$C99&amp;"|"&amp;$D99&amp;"|"&amp;AA$14&amp;"|"&amp;"CY2023Q3",Spectrum!$R:$R,0))),IF(SUM($U99)=0,"",SUM($Z99)/$U99)))</f>
        <v>1904</v>
      </c>
      <c r="AB99" s="88" t="n">
        <f aca="false">IF(OR(LEFT($B99,4)="_Mil",SUM($X99)=0),"",SUM($Z99)/$X99)</f>
        <v>0.893188010899183</v>
      </c>
      <c r="AC99" s="10" t="n">
        <f aca="false">IF(LEFT($B99,4)="_Mil","",_xlfn.IFNA(ROUND(INDEX(Spectrum!$N:$N,MATCH(RIGHT($B99,13)&amp;"|"&amp;$C99&amp;"|"&amp;$D99&amp;"|"&amp;AC$14&amp;"|"&amp;"CY2023Q3",Spectrum!$R:$R,0)),0),""))</f>
        <v>1706</v>
      </c>
      <c r="AD99" s="10" t="str">
        <f aca="false">IF(LEFT($B99,4)="_Mil","",_xlfn.IFNA(ROUND(INDEX(Spectrum!$N:$N,MATCH(RIGHT($B99,13)&amp;"|"&amp;$C99&amp;"|"&amp;$D99&amp;"|"&amp;AD$14&amp;"|"&amp;"CY2023Q3",Spectrum!$R:$R,0)),0),""))</f>
        <v/>
      </c>
      <c r="AE99" s="88" t="n">
        <f aca="false">IF(OR(LEFT($B99,4)="_Mil",SUM($Z99)=0),"",SUM($AD99)/$Z99)</f>
        <v>0</v>
      </c>
      <c r="AF99" s="39" t="str">
        <f aca="false">IF(LEFT($B99,4)="_Mil","",_xlfn.IFNA(ROUND(INDEX(Spectrum!$N:$N,MATCH(RIGHT($B99,13)&amp;"|"&amp;$C99&amp;"|"&amp;$D99&amp;"|"&amp;AF$14&amp;"|"&amp;"CY2023Q3",Spectrum!$R:$R,0)),0),""))</f>
        <v/>
      </c>
      <c r="AG99" s="88" t="str">
        <f aca="false">IF(OR(LEFT($B99,4)="_Mil",SUM($AD99)=0),"",SUM($AF99)/$AD99)</f>
        <v/>
      </c>
      <c r="AH99" s="86" t="str">
        <f aca="false">IF(LEFT($B99,4)="_Mil","",_xlfn.IFNA(INDEX(Spectrum!$N:$N,MATCH(RIGHT($B99,13)&amp;"|"&amp;$C99&amp;"|"&amp;$D99&amp;"|"&amp;AH$14&amp;"|"&amp;"CY2023Q3",Spectrum!$R:$R,0)),""))</f>
        <v/>
      </c>
      <c r="AI99" s="10" t="str">
        <f aca="false">IF(LEFT($B99,4)="_Mil","",_xlfn.IFNA(ROUND(INDEX(Spectrum!$N:$N,MATCH(RIGHT($B99,13)&amp;"|"&amp;$C99&amp;"|"&amp;$D99&amp;"|"&amp;AI$14&amp;"|"&amp;"CY2023Q3",Spectrum!$R:$R,0)),0),""))</f>
        <v/>
      </c>
      <c r="AJ99" s="39" t="n">
        <f aca="false">IF(LEFT($B99,4)="_Mil","",_xlfn.IFNA(ROUND(INDEX(Spectrum!$N:$N,MATCH(RIGHT($B99,13)&amp;"|"&amp;$C99&amp;"|"&amp;$D99&amp;"|"&amp;AI$14&amp;"|"&amp;"CY2023Q3",Spectrum!$R:$R,0)),0),SUM($U99)+SUM($AI99)))</f>
        <v>0</v>
      </c>
      <c r="AK99" s="10" t="str">
        <f aca="false">IF(LEFT($B99,4)="_Mil","",_xlfn.IFNA(ROUND(INDEX(Spectrum!$N:$N,MATCH(RIGHT($B99,13)&amp;"|"&amp;$C99&amp;"|"&amp;$D99&amp;"|"&amp;AK$14&amp;"|"&amp;"CY2023Q3",Spectrum!$R:$R,0)),0),""))</f>
        <v/>
      </c>
      <c r="AL99" s="88" t="str">
        <f aca="false">IF(OR(LEFT($B99,4)="_Mil",$C99="&lt;01"),"",MAX(SUM($AA99),90%))</f>
        <v/>
      </c>
      <c r="AM99" s="10" t="str">
        <f aca="false">IF(OR(LEFT($B99,4)="_Mil",$C99="&lt;01"),"",ROUND(SUM($AJ99)*SUM($AL99),0))</f>
        <v/>
      </c>
      <c r="AN99" s="10" t="n">
        <f aca="false">IF($C99="&lt;01",ROUND(INDEX(EID!$P:$P,MATCH($B99,EID!$B:$B,0))/2,0),"")</f>
        <v>0</v>
      </c>
      <c r="AO99" s="10" t="n">
        <f aca="false">IF($C99="&lt;01",SUM($AN99),ROUND(SUM($AM99)*SUM($O99)/IF(SUM($Z99)=0,1,$Z99),0))</f>
        <v>0</v>
      </c>
      <c r="AP99" s="39" t="n">
        <f aca="false">IF(OR($F99="",$C99="&lt;01"),$AO99,$F99)</f>
        <v>0</v>
      </c>
      <c r="AQ99" s="39" t="n">
        <f aca="false">IF(LEFT($B99,4)="_Mil","",IF(SUM($AP99)=0,SUM($Z99),IF(OR(SUM($Z99)=0,SUM($O99)=0),MAX($AP99,$Z99),$AP99*$Z99/$O99)))</f>
        <v>1639</v>
      </c>
      <c r="AR99" s="88" t="str">
        <f aca="false">IF(OR(LEFT($B99,4)="_Mil",SUM($AJ99)=0),"",SUM($AQ99)/$AJ99)</f>
        <v/>
      </c>
      <c r="AS99" s="88" t="str">
        <f aca="false">IF($C99="&lt;01","",98%)</f>
        <v/>
      </c>
      <c r="AT99" s="88" t="str">
        <f aca="false">IF($C99="&lt;01","",98%)</f>
        <v/>
      </c>
      <c r="AU99" s="10" t="str">
        <f aca="false">IF($C99="&lt;01","",SUM($AP99)-SUM($O99))</f>
        <v/>
      </c>
      <c r="AV99" s="10" t="n">
        <f aca="false">IF($C99="&lt;01",ROUND(INDEX(EID!$N:$N,MATCH($B99,EID!$B:$B,0))/2,0),IF(SUM($AT99)=0,"",ROUND((SUM($AP99)-(SUM($O99)*SUM($AS99)))/$AT99,0)))</f>
        <v>0</v>
      </c>
      <c r="AW99" s="88" t="str">
        <f aca="false">IF($C99="&lt;01","",100%)</f>
        <v/>
      </c>
      <c r="AX99" s="39" t="n">
        <f aca="false">IF($C99="&lt;01",SUM($AV99),ROUND(SUM($AV99)*SUM($AW99),0))</f>
        <v>0</v>
      </c>
      <c r="AY99" s="114" t="str">
        <f aca="false">IF($C99="&lt;01","",70%)</f>
        <v/>
      </c>
      <c r="AZ99" s="91" t="n">
        <f aca="false">IF($C99="&lt;01",ROUND(INDEX(EID!$R:$R,MATCH($B99,EID!$B:$B,0))/2,0),ROUND(SUM($O99)+(SUM($AV99)*$AY99),0))</f>
        <v>0</v>
      </c>
      <c r="BA99" s="87" t="str">
        <f aca="false">IF($C99="&lt;01","",95%)</f>
        <v/>
      </c>
      <c r="BB99" s="5" t="n">
        <f aca="false">IF($C99="&lt;01",ROUND(INDEX(EID!$T:$T,MATCH($B99,EID!$B:$B,0))/2,0),ROUND($AZ99*$BA99,0))</f>
        <v>0</v>
      </c>
      <c r="BC99" s="91" t="n">
        <f aca="false">IF(LEFT($B99,4)="_Mil","",IF(SUM($BB99)=0,SUM($AD99),IF(OR(SUM($AP99)=0,SUM($AQ99)=0),MAX($BB99,$AD99),ROUND($BB99*$AQ99/$AP99,0))))</f>
        <v>0</v>
      </c>
      <c r="BD99" s="88" t="str">
        <f aca="false">IF($C99="&lt;01","",95%)</f>
        <v/>
      </c>
      <c r="BE99" s="39" t="n">
        <f aca="false">IF($C99="&lt;01",ROUND(INDEX(EID!$V:$V,MATCH($B99,EID!$B:$B,0))/2,0),ROUND($BD99*$BB99,0))</f>
        <v>0</v>
      </c>
      <c r="BF99" s="39" t="n">
        <f aca="false">IF(LEFT($B99,4)="_Mil","",IF(SUM($BE99)=0,SUM($AF99),IF(OR(SUM($AP99)=0,SUM($AQ99)=0),MAX($BE99,$AF99),ROUND($BE99*$AQ99/$AP99,0))))</f>
        <v>0</v>
      </c>
      <c r="BG99" s="114" t="str">
        <f aca="false">IF($C99="&lt;01","",95%)</f>
        <v/>
      </c>
      <c r="BH99" s="5" t="n">
        <f aca="false">IF($C99="&lt;01",ROUND(INDEX(EID!$L:$L,MATCH($B99,EID!$B:$B,0)),0)/2,IF(SUM($BG99)=0,"",ROUND($AX99/$BG99,0)))</f>
        <v>0</v>
      </c>
    </row>
    <row r="100" customFormat="false" ht="15" hidden="false" customHeight="false" outlineLevel="0" collapsed="false">
      <c r="A100" s="0" t="str">
        <f aca="false">INDEX(Prioritization!$D:$D,MATCH($B100,Prioritization!$A:$A,0))</f>
        <v>1 - Scale-up: Saturation</v>
      </c>
      <c r="B100" s="0" t="s">
        <v>200</v>
      </c>
      <c r="C100" s="0" t="s">
        <v>316</v>
      </c>
      <c r="D100" s="0" t="s">
        <v>48</v>
      </c>
      <c r="E100" s="0" t="str">
        <f aca="false">$B100&amp;"|"&amp;$C100&amp;"|"&amp;$D100</f>
        <v>Nkhotakota District [YCKiBAp8QAg]|&lt;01|Male</v>
      </c>
      <c r="F100" s="10"/>
      <c r="G100" s="10" t="n">
        <v>2</v>
      </c>
      <c r="H100" s="10" t="n">
        <v>9</v>
      </c>
      <c r="I100" s="10" t="n">
        <v>0</v>
      </c>
      <c r="J100" s="10" t="n">
        <v>10</v>
      </c>
      <c r="K100" s="10" t="n">
        <v>9</v>
      </c>
      <c r="L100" s="10"/>
      <c r="M100" s="10" t="n">
        <v>0</v>
      </c>
      <c r="N100" s="10" t="n">
        <v>1</v>
      </c>
      <c r="O100" s="10" t="n">
        <f aca="false">IFERROR(1/(1/MAX($I100,$N100)),"")</f>
        <v>1</v>
      </c>
      <c r="P100" s="10" t="n">
        <v>1</v>
      </c>
      <c r="Q100" s="10" t="n">
        <v>1</v>
      </c>
      <c r="R100" s="10" t="n">
        <f aca="false">IF(AND(SUM($I100)=0,SUM($O100)=0),"",SUM($O100)-$I100)</f>
        <v>1</v>
      </c>
      <c r="S100" s="10" t="n">
        <f aca="false">IF(LEFT($B100,4)="_Mil","",_xlfn.IFNA(ROUND(INDEX(Spectrum!$N:$N,MATCH(RIGHT($B100,13)&amp;"|"&amp;$C100&amp;"|"&amp;$D100&amp;"|"&amp;S$14&amp;"|"&amp;"CY2022Q4",Spectrum!$R:$R,0)),0),""))</f>
        <v>1715</v>
      </c>
      <c r="T100" s="39" t="n">
        <f aca="false">IF(LEFT($B100,4)="_Mil","",_xlfn.IFNA(ROUND(INDEX(Spectrum!$N:$N,MATCH(RIGHT($B100,13)&amp;"|"&amp;$C100&amp;"|"&amp;$D100&amp;"|"&amp;T$14&amp;"|"&amp;"CY2023Q3",Spectrum!$R:$R,0)),0),""))</f>
        <v>1519</v>
      </c>
      <c r="U100" s="39" t="str">
        <f aca="false">IF(LEFT($B100,4)="_Mil","",_xlfn.IFNA(ROUND(INDEX(Spectrum!$N:$N,MATCH(RIGHT($B100,13)&amp;"|"&amp;$C100&amp;"|"&amp;$D100&amp;"|"&amp;U$14&amp;"|"&amp;"CY2023Q3",Spectrum!$R:$R,0)),0),""))</f>
        <v/>
      </c>
      <c r="V100" s="10" t="n">
        <f aca="false">IF(LEFT($B100,4)="_Mil","",_xlfn.IFNA(ROUND(INDEX(Spectrum!$N:$N,MATCH(RIGHT($B100,13)&amp;"|"&amp;$C100&amp;"|"&amp;$D100&amp;"|"&amp;V$14&amp;"|"&amp;"CY2023Q3",Spectrum!$R:$R,0)),0),""))</f>
        <v>916</v>
      </c>
      <c r="W100" s="113" t="n">
        <f aca="false">IF(LEFT($B100,4)="_Mil","",_xlfn.IFNA(INDEX(Spectrum!$N:$N,MATCH(RIGHT($B100,13)&amp;"|"&amp;$C100&amp;"|"&amp;$D100&amp;"|"&amp;W$14&amp;"|"&amp;"CY2023Q3",Spectrum!$R:$R,0)),""))</f>
        <v>1289</v>
      </c>
      <c r="X100" s="39" t="n">
        <f aca="false">IF(LEFT($B100,4)="_Mil","",_xlfn.IFNA(ROUND(INDEX(Spectrum!$N:$N,MATCH(RIGHT($B100,13)&amp;"|"&amp;$C100&amp;"|"&amp;$D100&amp;"|"&amp;X$14&amp;"|"&amp;"CY2023Q3",Spectrum!$R:$R,0)),0),""))</f>
        <v>1250</v>
      </c>
      <c r="Y100" s="88" t="str">
        <f aca="false">IF(OR(SUM($U100)=0,LEFT($B100,4)="_Mil"),"",SUM($X100)/$U100)</f>
        <v/>
      </c>
      <c r="Z100" s="39" t="n">
        <f aca="false">IF(LEFT($B100,4)="_Mil","",_xlfn.IFNA(ROUND(INDEX(Spectrum!$N:$N,MATCH(RIGHT($B100,13)&amp;"|"&amp;$C100&amp;"|"&amp;$D100&amp;"|"&amp;Z$14&amp;"|"&amp;"CY2023Q3",Spectrum!$R:$R,0)),0),""))</f>
        <v>1050</v>
      </c>
      <c r="AA100" s="88" t="n">
        <f aca="false">IF(LEFT($B100,4)="_Mil","",IFERROR(1/(1/INDEX(Spectrum!$N:$N,MATCH(RIGHT($B100,13)&amp;"|"&amp;$C100&amp;"|"&amp;$D100&amp;"|"&amp;AA$14&amp;"|"&amp;"CY2023Q3",Spectrum!$R:$R,0))),IF(SUM($U100)=0,"",SUM($Z100)/$U100)))</f>
        <v>809</v>
      </c>
      <c r="AB100" s="88" t="n">
        <f aca="false">IF(OR(LEFT($B100,4)="_Mil",SUM($X100)=0),"",SUM($Z100)/$X100)</f>
        <v>0.84</v>
      </c>
      <c r="AC100" s="10" t="n">
        <f aca="false">IF(LEFT($B100,4)="_Mil","",_xlfn.IFNA(ROUND(INDEX(Spectrum!$N:$N,MATCH(RIGHT($B100,13)&amp;"|"&amp;$C100&amp;"|"&amp;$D100&amp;"|"&amp;AC$14&amp;"|"&amp;"CY2023Q3",Spectrum!$R:$R,0)),0),""))</f>
        <v>1839</v>
      </c>
      <c r="AD100" s="10" t="str">
        <f aca="false">IF(LEFT($B100,4)="_Mil","",_xlfn.IFNA(ROUND(INDEX(Spectrum!$N:$N,MATCH(RIGHT($B100,13)&amp;"|"&amp;$C100&amp;"|"&amp;$D100&amp;"|"&amp;AD$14&amp;"|"&amp;"CY2023Q3",Spectrum!$R:$R,0)),0),""))</f>
        <v/>
      </c>
      <c r="AE100" s="88" t="n">
        <f aca="false">IF(OR(LEFT($B100,4)="_Mil",SUM($Z100)=0),"",SUM($AD100)/$Z100)</f>
        <v>0</v>
      </c>
      <c r="AF100" s="39" t="str">
        <f aca="false">IF(LEFT($B100,4)="_Mil","",_xlfn.IFNA(ROUND(INDEX(Spectrum!$N:$N,MATCH(RIGHT($B100,13)&amp;"|"&amp;$C100&amp;"|"&amp;$D100&amp;"|"&amp;AF$14&amp;"|"&amp;"CY2023Q3",Spectrum!$R:$R,0)),0),""))</f>
        <v/>
      </c>
      <c r="AG100" s="88" t="str">
        <f aca="false">IF(OR(LEFT($B100,4)="_Mil",SUM($AD100)=0),"",SUM($AF100)/$AD100)</f>
        <v/>
      </c>
      <c r="AH100" s="86" t="str">
        <f aca="false">IF(LEFT($B100,4)="_Mil","",_xlfn.IFNA(INDEX(Spectrum!$N:$N,MATCH(RIGHT($B100,13)&amp;"|"&amp;$C100&amp;"|"&amp;$D100&amp;"|"&amp;AH$14&amp;"|"&amp;"CY2023Q3",Spectrum!$R:$R,0)),""))</f>
        <v/>
      </c>
      <c r="AI100" s="10" t="str">
        <f aca="false">IF(LEFT($B100,4)="_Mil","",_xlfn.IFNA(ROUND(INDEX(Spectrum!$N:$N,MATCH(RIGHT($B100,13)&amp;"|"&amp;$C100&amp;"|"&amp;$D100&amp;"|"&amp;AI$14&amp;"|"&amp;"CY2023Q3",Spectrum!$R:$R,0)),0),""))</f>
        <v/>
      </c>
      <c r="AJ100" s="39" t="n">
        <f aca="false">IF(LEFT($B100,4)="_Mil","",_xlfn.IFNA(ROUND(INDEX(Spectrum!$N:$N,MATCH(RIGHT($B100,13)&amp;"|"&amp;$C100&amp;"|"&amp;$D100&amp;"|"&amp;AI$14&amp;"|"&amp;"CY2023Q3",Spectrum!$R:$R,0)),0),SUM($U100)+SUM($AI100)))</f>
        <v>0</v>
      </c>
      <c r="AK100" s="10" t="str">
        <f aca="false">IF(LEFT($B100,4)="_Mil","",_xlfn.IFNA(ROUND(INDEX(Spectrum!$N:$N,MATCH(RIGHT($B100,13)&amp;"|"&amp;$C100&amp;"|"&amp;$D100&amp;"|"&amp;AK$14&amp;"|"&amp;"CY2023Q3",Spectrum!$R:$R,0)),0),""))</f>
        <v/>
      </c>
      <c r="AL100" s="88" t="str">
        <f aca="false">IF(OR(LEFT($B100,4)="_Mil",$C100="&lt;01"),"",MAX(SUM($AA100),90%))</f>
        <v/>
      </c>
      <c r="AM100" s="10" t="str">
        <f aca="false">IF(OR(LEFT($B100,4)="_Mil",$C100="&lt;01"),"",ROUND(SUM($AJ100)*SUM($AL100),0))</f>
        <v/>
      </c>
      <c r="AN100" s="10" t="n">
        <f aca="false">IF($C100="&lt;01",ROUND(INDEX(EID!$P:$P,MATCH($B100,EID!$B:$B,0))/2,0),"")</f>
        <v>0</v>
      </c>
      <c r="AO100" s="10" t="n">
        <f aca="false">IF($C100="&lt;01",SUM($AN100),ROUND(SUM($AM100)*SUM($O100)/IF(SUM($Z100)=0,1,$Z100),0))</f>
        <v>0</v>
      </c>
      <c r="AP100" s="39" t="n">
        <f aca="false">IF(OR($F100="",$C100="&lt;01"),$AO100,$F100)</f>
        <v>0</v>
      </c>
      <c r="AQ100" s="39" t="n">
        <f aca="false">IF(LEFT($B100,4)="_Mil","",IF(SUM($AP100)=0,SUM($Z100),IF(OR(SUM($Z100)=0,SUM($O100)=0),MAX($AP100,$Z100),$AP100*$Z100/$O100)))</f>
        <v>1050</v>
      </c>
      <c r="AR100" s="88" t="str">
        <f aca="false">IF(OR(LEFT($B100,4)="_Mil",SUM($AJ100)=0),"",SUM($AQ100)/$AJ100)</f>
        <v/>
      </c>
      <c r="AS100" s="88" t="str">
        <f aca="false">IF($C100="&lt;01","",98%)</f>
        <v/>
      </c>
      <c r="AT100" s="88" t="str">
        <f aca="false">IF($C100="&lt;01","",98%)</f>
        <v/>
      </c>
      <c r="AU100" s="10" t="str">
        <f aca="false">IF($C100="&lt;01","",SUM($AP100)-SUM($O100))</f>
        <v/>
      </c>
      <c r="AV100" s="10" t="n">
        <f aca="false">IF($C100="&lt;01",ROUND(INDEX(EID!$N:$N,MATCH($B100,EID!$B:$B,0))/2,0),IF(SUM($AT100)=0,"",ROUND((SUM($AP100)-(SUM($O100)*SUM($AS100)))/$AT100,0)))</f>
        <v>0</v>
      </c>
      <c r="AW100" s="88" t="str">
        <f aca="false">IF($C100="&lt;01","",100%)</f>
        <v/>
      </c>
      <c r="AX100" s="39" t="n">
        <f aca="false">IF($C100="&lt;01",SUM($AV100),ROUND(SUM($AV100)*SUM($AW100),0))</f>
        <v>0</v>
      </c>
      <c r="AY100" s="114" t="str">
        <f aca="false">IF($C100="&lt;01","",70%)</f>
        <v/>
      </c>
      <c r="AZ100" s="91" t="n">
        <f aca="false">IF($C100="&lt;01",ROUND(INDEX(EID!$R:$R,MATCH($B100,EID!$B:$B,0))/2,0),ROUND(SUM($O100)+(SUM($AV100)*$AY100),0))</f>
        <v>0</v>
      </c>
      <c r="BA100" s="87" t="str">
        <f aca="false">IF($C100="&lt;01","",95%)</f>
        <v/>
      </c>
      <c r="BB100" s="5" t="n">
        <f aca="false">IF($C100="&lt;01",ROUND(INDEX(EID!$T:$T,MATCH($B100,EID!$B:$B,0))/2,0),ROUND($AZ100*$BA100,0))</f>
        <v>0</v>
      </c>
      <c r="BC100" s="91" t="n">
        <f aca="false">IF(LEFT($B100,4)="_Mil","",IF(SUM($BB100)=0,SUM($AD100),IF(OR(SUM($AP100)=0,SUM($AQ100)=0),MAX($BB100,$AD100),ROUND($BB100*$AQ100/$AP100,0))))</f>
        <v>0</v>
      </c>
      <c r="BD100" s="88" t="str">
        <f aca="false">IF($C100="&lt;01","",95%)</f>
        <v/>
      </c>
      <c r="BE100" s="39" t="n">
        <f aca="false">IF($C100="&lt;01",ROUND(INDEX(EID!$V:$V,MATCH($B100,EID!$B:$B,0))/2,0),ROUND($BD100*$BB100,0))</f>
        <v>0</v>
      </c>
      <c r="BF100" s="39" t="n">
        <f aca="false">IF(LEFT($B100,4)="_Mil","",IF(SUM($BE100)=0,SUM($AF100),IF(OR(SUM($AP100)=0,SUM($AQ100)=0),MAX($BE100,$AF100),ROUND($BE100*$AQ100/$AP100,0))))</f>
        <v>0</v>
      </c>
      <c r="BG100" s="114" t="str">
        <f aca="false">IF($C100="&lt;01","",95%)</f>
        <v/>
      </c>
      <c r="BH100" s="5" t="n">
        <f aca="false">IF($C100="&lt;01",ROUND(INDEX(EID!$L:$L,MATCH($B100,EID!$B:$B,0)),0)/2,IF(SUM($BG100)=0,"",ROUND($AX100/$BG100,0)))</f>
        <v>0</v>
      </c>
    </row>
    <row r="101" customFormat="false" ht="15" hidden="false" customHeight="false" outlineLevel="0" collapsed="false">
      <c r="A101" s="0" t="str">
        <f aca="false">INDEX(Prioritization!$D:$D,MATCH($B101,Prioritization!$A:$A,0))</f>
        <v>1 - Scale-up: Saturation</v>
      </c>
      <c r="B101" s="0" t="s">
        <v>200</v>
      </c>
      <c r="C101" s="0" t="s">
        <v>363</v>
      </c>
      <c r="D101" s="0" t="s">
        <v>30</v>
      </c>
      <c r="E101" s="0" t="str">
        <f aca="false">$B101&amp;"|"&amp;$C101&amp;"|"&amp;$D101</f>
        <v>Nkhotakota District [YCKiBAp8QAg]|01-09|Female</v>
      </c>
      <c r="F101" s="10"/>
      <c r="G101" s="10"/>
      <c r="H101" s="10"/>
      <c r="I101" s="10"/>
      <c r="J101" s="10"/>
      <c r="K101" s="10"/>
      <c r="L101" s="10"/>
      <c r="M101" s="10"/>
      <c r="N101" s="10"/>
      <c r="O101" s="10" t="str">
        <f aca="false">IFERROR(1/(1/MAX($I101,$N101)),"")</f>
        <v/>
      </c>
      <c r="P101" s="10"/>
      <c r="Q101" s="10"/>
      <c r="R101" s="10" t="str">
        <f aca="false">IF(AND(SUM($I101)=0,SUM($O101)=0),"",SUM($O101)-$I101)</f>
        <v/>
      </c>
      <c r="S101" s="10" t="n">
        <f aca="false">IF(LEFT($B101,4)="_Mil","",_xlfn.IFNA(ROUND(INDEX(Spectrum!$N:$N,MATCH(RIGHT($B101,13)&amp;"|"&amp;$C101&amp;"|"&amp;$D101&amp;"|"&amp;S$14&amp;"|"&amp;"CY2022Q4",Spectrum!$R:$R,0)),0),""))</f>
        <v>1857</v>
      </c>
      <c r="T101" s="39" t="n">
        <f aca="false">IF(LEFT($B101,4)="_Mil","",_xlfn.IFNA(ROUND(INDEX(Spectrum!$N:$N,MATCH(RIGHT($B101,13)&amp;"|"&amp;$C101&amp;"|"&amp;$D101&amp;"|"&amp;T$14&amp;"|"&amp;"CY2023Q3",Spectrum!$R:$R,0)),0),""))</f>
        <v>578</v>
      </c>
      <c r="U101" s="39" t="str">
        <f aca="false">IF(LEFT($B101,4)="_Mil","",_xlfn.IFNA(ROUND(INDEX(Spectrum!$N:$N,MATCH(RIGHT($B101,13)&amp;"|"&amp;$C101&amp;"|"&amp;$D101&amp;"|"&amp;U$14&amp;"|"&amp;"CY2023Q3",Spectrum!$R:$R,0)),0),""))</f>
        <v/>
      </c>
      <c r="V101" s="10" t="n">
        <f aca="false">IF(LEFT($B101,4)="_Mil","",_xlfn.IFNA(ROUND(INDEX(Spectrum!$N:$N,MATCH(RIGHT($B101,13)&amp;"|"&amp;$C101&amp;"|"&amp;$D101&amp;"|"&amp;V$14&amp;"|"&amp;"CY2023Q3",Spectrum!$R:$R,0)),0),""))</f>
        <v>924</v>
      </c>
      <c r="W101" s="113" t="n">
        <f aca="false">IF(LEFT($B101,4)="_Mil","",_xlfn.IFNA(INDEX(Spectrum!$N:$N,MATCH(RIGHT($B101,13)&amp;"|"&amp;$C101&amp;"|"&amp;$D101&amp;"|"&amp;W$14&amp;"|"&amp;"CY2023Q3",Spectrum!$R:$R,0)),""))</f>
        <v>1078</v>
      </c>
      <c r="X101" s="39" t="n">
        <f aca="false">IF(LEFT($B101,4)="_Mil","",_xlfn.IFNA(ROUND(INDEX(Spectrum!$N:$N,MATCH(RIGHT($B101,13)&amp;"|"&amp;$C101&amp;"|"&amp;$D101&amp;"|"&amp;X$14&amp;"|"&amp;"CY2023Q3",Spectrum!$R:$R,0)),0),""))</f>
        <v>624</v>
      </c>
      <c r="Y101" s="88" t="str">
        <f aca="false">IF(OR(SUM($U101)=0,LEFT($B101,4)="_Mil"),"",SUM($X101)/$U101)</f>
        <v/>
      </c>
      <c r="Z101" s="39" t="n">
        <f aca="false">IF(LEFT($B101,4)="_Mil","",_xlfn.IFNA(ROUND(INDEX(Spectrum!$N:$N,MATCH(RIGHT($B101,13)&amp;"|"&amp;$C101&amp;"|"&amp;$D101&amp;"|"&amp;Z$14&amp;"|"&amp;"CY2023Q3",Spectrum!$R:$R,0)),0),""))</f>
        <v>1985</v>
      </c>
      <c r="AA101" s="88" t="n">
        <f aca="false">IF(LEFT($B101,4)="_Mil","",IFERROR(1/(1/INDEX(Spectrum!$N:$N,MATCH(RIGHT($B101,13)&amp;"|"&amp;$C101&amp;"|"&amp;$D101&amp;"|"&amp;AA$14&amp;"|"&amp;"CY2023Q3",Spectrum!$R:$R,0))),IF(SUM($U101)=0,"",SUM($Z101)/$U101)))</f>
        <v>1192</v>
      </c>
      <c r="AB101" s="88" t="n">
        <f aca="false">IF(OR(LEFT($B101,4)="_Mil",SUM($X101)=0),"",SUM($Z101)/$X101)</f>
        <v>3.18108974358974</v>
      </c>
      <c r="AC101" s="10" t="n">
        <f aca="false">IF(LEFT($B101,4)="_Mil","",_xlfn.IFNA(ROUND(INDEX(Spectrum!$N:$N,MATCH(RIGHT($B101,13)&amp;"|"&amp;$C101&amp;"|"&amp;$D101&amp;"|"&amp;AC$14&amp;"|"&amp;"CY2023Q3",Spectrum!$R:$R,0)),0),""))</f>
        <v>1524</v>
      </c>
      <c r="AD101" s="10" t="str">
        <f aca="false">IF(LEFT($B101,4)="_Mil","",_xlfn.IFNA(ROUND(INDEX(Spectrum!$N:$N,MATCH(RIGHT($B101,13)&amp;"|"&amp;$C101&amp;"|"&amp;$D101&amp;"|"&amp;AD$14&amp;"|"&amp;"CY2023Q3",Spectrum!$R:$R,0)),0),""))</f>
        <v/>
      </c>
      <c r="AE101" s="88" t="n">
        <f aca="false">IF(OR(LEFT($B101,4)="_Mil",SUM($Z101)=0),"",SUM($AD101)/$Z101)</f>
        <v>0</v>
      </c>
      <c r="AF101" s="39" t="str">
        <f aca="false">IF(LEFT($B101,4)="_Mil","",_xlfn.IFNA(ROUND(INDEX(Spectrum!$N:$N,MATCH(RIGHT($B101,13)&amp;"|"&amp;$C101&amp;"|"&amp;$D101&amp;"|"&amp;AF$14&amp;"|"&amp;"CY2023Q3",Spectrum!$R:$R,0)),0),""))</f>
        <v/>
      </c>
      <c r="AG101" s="88" t="str">
        <f aca="false">IF(OR(LEFT($B101,4)="_Mil",SUM($AD101)=0),"",SUM($AF101)/$AD101)</f>
        <v/>
      </c>
      <c r="AH101" s="86" t="str">
        <f aca="false">IF(LEFT($B101,4)="_Mil","",_xlfn.IFNA(INDEX(Spectrum!$N:$N,MATCH(RIGHT($B101,13)&amp;"|"&amp;$C101&amp;"|"&amp;$D101&amp;"|"&amp;AH$14&amp;"|"&amp;"CY2023Q3",Spectrum!$R:$R,0)),""))</f>
        <v/>
      </c>
      <c r="AI101" s="10" t="str">
        <f aca="false">IF(LEFT($B101,4)="_Mil","",_xlfn.IFNA(ROUND(INDEX(Spectrum!$N:$N,MATCH(RIGHT($B101,13)&amp;"|"&amp;$C101&amp;"|"&amp;$D101&amp;"|"&amp;AI$14&amp;"|"&amp;"CY2023Q3",Spectrum!$R:$R,0)),0),""))</f>
        <v/>
      </c>
      <c r="AJ101" s="39" t="n">
        <f aca="false">IF(LEFT($B101,4)="_Mil","",_xlfn.IFNA(ROUND(INDEX(Spectrum!$N:$N,MATCH(RIGHT($B101,13)&amp;"|"&amp;$C101&amp;"|"&amp;$D101&amp;"|"&amp;AI$14&amp;"|"&amp;"CY2023Q3",Spectrum!$R:$R,0)),0),SUM($U101)+SUM($AI101)))</f>
        <v>0</v>
      </c>
      <c r="AK101" s="10" t="str">
        <f aca="false">IF(LEFT($B101,4)="_Mil","",_xlfn.IFNA(ROUND(INDEX(Spectrum!$N:$N,MATCH(RIGHT($B101,13)&amp;"|"&amp;$C101&amp;"|"&amp;$D101&amp;"|"&amp;AK$14&amp;"|"&amp;"CY2023Q3",Spectrum!$R:$R,0)),0),""))</f>
        <v/>
      </c>
      <c r="AL101" s="88" t="n">
        <f aca="false">IF(OR(LEFT($B101,4)="_Mil",$C101="&lt;01"),"",MAX(SUM($AA101),90%))</f>
        <v>1192</v>
      </c>
      <c r="AM101" s="10" t="n">
        <f aca="false">IF(OR(LEFT($B101,4)="_Mil",$C101="&lt;01"),"",ROUND(SUM($AJ101)*SUM($AL101),0))</f>
        <v>0</v>
      </c>
      <c r="AN101" s="10" t="str">
        <f aca="false">IF($C101="&lt;01",ROUND(INDEX(EID!$P:$P,MATCH($B101,EID!$B:$B,0))/2,0),"")</f>
        <v/>
      </c>
      <c r="AO101" s="10" t="n">
        <f aca="false">IF($C101="&lt;01",SUM($AN101),ROUND(SUM($AM101)*SUM($O101)/IF(SUM($Z101)=0,1,$Z101),0))</f>
        <v>0</v>
      </c>
      <c r="AP101" s="39" t="n">
        <f aca="false">IF(OR($F101="",$C101="&lt;01"),$AO101,$F101)</f>
        <v>0</v>
      </c>
      <c r="AQ101" s="39" t="n">
        <f aca="false">IF(LEFT($B101,4)="_Mil","",IF(SUM($AP101)=0,SUM($Z101),IF(OR(SUM($Z101)=0,SUM($O101)=0),MAX($AP101,$Z101),$AP101*$Z101/$O101)))</f>
        <v>1985</v>
      </c>
      <c r="AR101" s="88" t="str">
        <f aca="false">IF(OR(LEFT($B101,4)="_Mil",SUM($AJ101)=0),"",SUM($AQ101)/$AJ101)</f>
        <v/>
      </c>
      <c r="AS101" s="88" t="n">
        <f aca="false">IF($C101="&lt;01","",98%)</f>
        <v>0.98</v>
      </c>
      <c r="AT101" s="88" t="n">
        <f aca="false">IF($C101="&lt;01","",98%)</f>
        <v>0.98</v>
      </c>
      <c r="AU101" s="10" t="n">
        <f aca="false">IF($C101="&lt;01","",SUM($AP101)-SUM($O101))</f>
        <v>0</v>
      </c>
      <c r="AV101" s="10" t="n">
        <f aca="false">IF($C101="&lt;01",ROUND(INDEX(EID!$N:$N,MATCH($B101,EID!$B:$B,0))/2,0),IF(SUM($AT101)=0,"",ROUND((SUM($AP101)-(SUM($O101)*SUM($AS101)))/$AT101,0)))</f>
        <v>0</v>
      </c>
      <c r="AW101" s="88" t="n">
        <f aca="false">IF($C101="&lt;01","",100%)</f>
        <v>1</v>
      </c>
      <c r="AX101" s="39" t="n">
        <f aca="false">IF($C101="&lt;01",SUM($AV101),ROUND(SUM($AV101)*SUM($AW101),0))</f>
        <v>0</v>
      </c>
      <c r="AY101" s="114" t="n">
        <f aca="false">IF($C101="&lt;01","",70%)</f>
        <v>0.7</v>
      </c>
      <c r="AZ101" s="91" t="n">
        <f aca="false">IF($C101="&lt;01",ROUND(INDEX(EID!$R:$R,MATCH($B101,EID!$B:$B,0))/2,0),ROUND(SUM($O101)+(SUM($AV101)*$AY101),0))</f>
        <v>0</v>
      </c>
      <c r="BA101" s="87" t="n">
        <f aca="false">IF($C101="&lt;01","",95%)</f>
        <v>0.95</v>
      </c>
      <c r="BB101" s="5" t="n">
        <f aca="false">IF($C101="&lt;01",ROUND(INDEX(EID!$T:$T,MATCH($B101,EID!$B:$B,0))/2,0),ROUND($AZ101*$BA101,0))</f>
        <v>0</v>
      </c>
      <c r="BC101" s="91" t="n">
        <f aca="false">IF(LEFT($B101,4)="_Mil","",IF(SUM($BB101)=0,SUM($AD101),IF(OR(SUM($AP101)=0,SUM($AQ101)=0),MAX($BB101,$AD101),ROUND($BB101*$AQ101/$AP101,0))))</f>
        <v>0</v>
      </c>
      <c r="BD101" s="88" t="n">
        <f aca="false">IF($C101="&lt;01","",95%)</f>
        <v>0.95</v>
      </c>
      <c r="BE101" s="39" t="n">
        <f aca="false">IF($C101="&lt;01",ROUND(INDEX(EID!$V:$V,MATCH($B101,EID!$B:$B,0))/2,0),ROUND($BD101*$BB101,0))</f>
        <v>0</v>
      </c>
      <c r="BF101" s="39" t="n">
        <f aca="false">IF(LEFT($B101,4)="_Mil","",IF(SUM($BE101)=0,SUM($AF101),IF(OR(SUM($AP101)=0,SUM($AQ101)=0),MAX($BE101,$AF101),ROUND($BE101*$AQ101/$AP101,0))))</f>
        <v>0</v>
      </c>
      <c r="BG101" s="114" t="n">
        <f aca="false">IF($C101="&lt;01","",95%)</f>
        <v>0.95</v>
      </c>
      <c r="BH101" s="5" t="n">
        <f aca="false">IF($C101="&lt;01",ROUND(INDEX(EID!$L:$L,MATCH($B101,EID!$B:$B,0)),0)/2,IF(SUM($BG101)=0,"",ROUND($AX101/$BG101,0)))</f>
        <v>0</v>
      </c>
    </row>
    <row r="102" customFormat="false" ht="15" hidden="false" customHeight="false" outlineLevel="0" collapsed="false">
      <c r="A102" s="0" t="str">
        <f aca="false">INDEX(Prioritization!$D:$D,MATCH($B102,Prioritization!$A:$A,0))</f>
        <v>1 - Scale-up: Saturation</v>
      </c>
      <c r="B102" s="0" t="s">
        <v>200</v>
      </c>
      <c r="C102" s="0" t="s">
        <v>363</v>
      </c>
      <c r="D102" s="0" t="s">
        <v>48</v>
      </c>
      <c r="E102" s="0" t="str">
        <f aca="false">$B102&amp;"|"&amp;$C102&amp;"|"&amp;$D102</f>
        <v>Nkhotakota District [YCKiBAp8QAg]|01-09|Male</v>
      </c>
      <c r="F102" s="10"/>
      <c r="G102" s="10"/>
      <c r="H102" s="10"/>
      <c r="I102" s="10"/>
      <c r="J102" s="10"/>
      <c r="K102" s="10"/>
      <c r="L102" s="10"/>
      <c r="M102" s="10"/>
      <c r="N102" s="10"/>
      <c r="O102" s="10" t="str">
        <f aca="false">IFERROR(1/(1/MAX($I102,$N102)),"")</f>
        <v/>
      </c>
      <c r="P102" s="10"/>
      <c r="Q102" s="10"/>
      <c r="R102" s="10" t="str">
        <f aca="false">IF(AND(SUM($I102)=0,SUM($O102)=0),"",SUM($O102)-$I102)</f>
        <v/>
      </c>
      <c r="S102" s="10" t="n">
        <f aca="false">IF(LEFT($B102,4)="_Mil","",_xlfn.IFNA(ROUND(INDEX(Spectrum!$N:$N,MATCH(RIGHT($B102,13)&amp;"|"&amp;$C102&amp;"|"&amp;$D102&amp;"|"&amp;S$14&amp;"|"&amp;"CY2022Q4",Spectrum!$R:$R,0)),0),""))</f>
        <v>1935</v>
      </c>
      <c r="T102" s="39" t="n">
        <f aca="false">IF(LEFT($B102,4)="_Mil","",_xlfn.IFNA(ROUND(INDEX(Spectrum!$N:$N,MATCH(RIGHT($B102,13)&amp;"|"&amp;$C102&amp;"|"&amp;$D102&amp;"|"&amp;T$14&amp;"|"&amp;"CY2023Q3",Spectrum!$R:$R,0)),0),""))</f>
        <v>690</v>
      </c>
      <c r="U102" s="39" t="str">
        <f aca="false">IF(LEFT($B102,4)="_Mil","",_xlfn.IFNA(ROUND(INDEX(Spectrum!$N:$N,MATCH(RIGHT($B102,13)&amp;"|"&amp;$C102&amp;"|"&amp;$D102&amp;"|"&amp;U$14&amp;"|"&amp;"CY2023Q3",Spectrum!$R:$R,0)),0),""))</f>
        <v/>
      </c>
      <c r="V102" s="10" t="n">
        <f aca="false">IF(LEFT($B102,4)="_Mil","",_xlfn.IFNA(ROUND(INDEX(Spectrum!$N:$N,MATCH(RIGHT($B102,13)&amp;"|"&amp;$C102&amp;"|"&amp;$D102&amp;"|"&amp;V$14&amp;"|"&amp;"CY2023Q3",Spectrum!$R:$R,0)),0),""))</f>
        <v>1209</v>
      </c>
      <c r="W102" s="113" t="n">
        <f aca="false">IF(LEFT($B102,4)="_Mil","",_xlfn.IFNA(INDEX(Spectrum!$N:$N,MATCH(RIGHT($B102,13)&amp;"|"&amp;$C102&amp;"|"&amp;$D102&amp;"|"&amp;W$14&amp;"|"&amp;"CY2023Q3",Spectrum!$R:$R,0)),""))</f>
        <v>1159</v>
      </c>
      <c r="X102" s="39" t="n">
        <f aca="false">IF(LEFT($B102,4)="_Mil","",_xlfn.IFNA(ROUND(INDEX(Spectrum!$N:$N,MATCH(RIGHT($B102,13)&amp;"|"&amp;$C102&amp;"|"&amp;$D102&amp;"|"&amp;X$14&amp;"|"&amp;"CY2023Q3",Spectrum!$R:$R,0)),0),""))</f>
        <v>538</v>
      </c>
      <c r="Y102" s="88" t="str">
        <f aca="false">IF(OR(SUM($U102)=0,LEFT($B102,4)="_Mil"),"",SUM($X102)/$U102)</f>
        <v/>
      </c>
      <c r="Z102" s="39" t="n">
        <f aca="false">IF(LEFT($B102,4)="_Mil","",_xlfn.IFNA(ROUND(INDEX(Spectrum!$N:$N,MATCH(RIGHT($B102,13)&amp;"|"&amp;$C102&amp;"|"&amp;$D102&amp;"|"&amp;Z$14&amp;"|"&amp;"CY2023Q3",Spectrum!$R:$R,0)),0),""))</f>
        <v>932</v>
      </c>
      <c r="AA102" s="88" t="n">
        <f aca="false">IF(LEFT($B102,4)="_Mil","",IFERROR(1/(1/INDEX(Spectrum!$N:$N,MATCH(RIGHT($B102,13)&amp;"|"&amp;$C102&amp;"|"&amp;$D102&amp;"|"&amp;AA$14&amp;"|"&amp;"CY2023Q3",Spectrum!$R:$R,0))),IF(SUM($U102)=0,"",SUM($Z102)/$U102)))</f>
        <v>1659</v>
      </c>
      <c r="AB102" s="88" t="n">
        <f aca="false">IF(OR(LEFT($B102,4)="_Mil",SUM($X102)=0),"",SUM($Z102)/$X102)</f>
        <v>1.73234200743494</v>
      </c>
      <c r="AC102" s="10" t="n">
        <f aca="false">IF(LEFT($B102,4)="_Mil","",_xlfn.IFNA(ROUND(INDEX(Spectrum!$N:$N,MATCH(RIGHT($B102,13)&amp;"|"&amp;$C102&amp;"|"&amp;$D102&amp;"|"&amp;AC$14&amp;"|"&amp;"CY2023Q3",Spectrum!$R:$R,0)),0),""))</f>
        <v>1483</v>
      </c>
      <c r="AD102" s="10" t="str">
        <f aca="false">IF(LEFT($B102,4)="_Mil","",_xlfn.IFNA(ROUND(INDEX(Spectrum!$N:$N,MATCH(RIGHT($B102,13)&amp;"|"&amp;$C102&amp;"|"&amp;$D102&amp;"|"&amp;AD$14&amp;"|"&amp;"CY2023Q3",Spectrum!$R:$R,0)),0),""))</f>
        <v/>
      </c>
      <c r="AE102" s="88" t="n">
        <f aca="false">IF(OR(LEFT($B102,4)="_Mil",SUM($Z102)=0),"",SUM($AD102)/$Z102)</f>
        <v>0</v>
      </c>
      <c r="AF102" s="39" t="str">
        <f aca="false">IF(LEFT($B102,4)="_Mil","",_xlfn.IFNA(ROUND(INDEX(Spectrum!$N:$N,MATCH(RIGHT($B102,13)&amp;"|"&amp;$C102&amp;"|"&amp;$D102&amp;"|"&amp;AF$14&amp;"|"&amp;"CY2023Q3",Spectrum!$R:$R,0)),0),""))</f>
        <v/>
      </c>
      <c r="AG102" s="88" t="str">
        <f aca="false">IF(OR(LEFT($B102,4)="_Mil",SUM($AD102)=0),"",SUM($AF102)/$AD102)</f>
        <v/>
      </c>
      <c r="AH102" s="86" t="str">
        <f aca="false">IF(LEFT($B102,4)="_Mil","",_xlfn.IFNA(INDEX(Spectrum!$N:$N,MATCH(RIGHT($B102,13)&amp;"|"&amp;$C102&amp;"|"&amp;$D102&amp;"|"&amp;AH$14&amp;"|"&amp;"CY2023Q3",Spectrum!$R:$R,0)),""))</f>
        <v/>
      </c>
      <c r="AI102" s="10" t="str">
        <f aca="false">IF(LEFT($B102,4)="_Mil","",_xlfn.IFNA(ROUND(INDEX(Spectrum!$N:$N,MATCH(RIGHT($B102,13)&amp;"|"&amp;$C102&amp;"|"&amp;$D102&amp;"|"&amp;AI$14&amp;"|"&amp;"CY2023Q3",Spectrum!$R:$R,0)),0),""))</f>
        <v/>
      </c>
      <c r="AJ102" s="39" t="n">
        <f aca="false">IF(LEFT($B102,4)="_Mil","",_xlfn.IFNA(ROUND(INDEX(Spectrum!$N:$N,MATCH(RIGHT($B102,13)&amp;"|"&amp;$C102&amp;"|"&amp;$D102&amp;"|"&amp;AI$14&amp;"|"&amp;"CY2023Q3",Spectrum!$R:$R,0)),0),SUM($U102)+SUM($AI102)))</f>
        <v>0</v>
      </c>
      <c r="AK102" s="10" t="str">
        <f aca="false">IF(LEFT($B102,4)="_Mil","",_xlfn.IFNA(ROUND(INDEX(Spectrum!$N:$N,MATCH(RIGHT($B102,13)&amp;"|"&amp;$C102&amp;"|"&amp;$D102&amp;"|"&amp;AK$14&amp;"|"&amp;"CY2023Q3",Spectrum!$R:$R,0)),0),""))</f>
        <v/>
      </c>
      <c r="AL102" s="88" t="n">
        <f aca="false">IF(OR(LEFT($B102,4)="_Mil",$C102="&lt;01"),"",MAX(SUM($AA102),90%))</f>
        <v>1659</v>
      </c>
      <c r="AM102" s="10" t="n">
        <f aca="false">IF(OR(LEFT($B102,4)="_Mil",$C102="&lt;01"),"",ROUND(SUM($AJ102)*SUM($AL102),0))</f>
        <v>0</v>
      </c>
      <c r="AN102" s="10" t="str">
        <f aca="false">IF($C102="&lt;01",ROUND(INDEX(EID!$P:$P,MATCH($B102,EID!$B:$B,0))/2,0),"")</f>
        <v/>
      </c>
      <c r="AO102" s="10" t="n">
        <f aca="false">IF($C102="&lt;01",SUM($AN102),ROUND(SUM($AM102)*SUM($O102)/IF(SUM($Z102)=0,1,$Z102),0))</f>
        <v>0</v>
      </c>
      <c r="AP102" s="39" t="n">
        <f aca="false">IF(OR($F102="",$C102="&lt;01"),$AO102,$F102)</f>
        <v>0</v>
      </c>
      <c r="AQ102" s="39" t="n">
        <f aca="false">IF(LEFT($B102,4)="_Mil","",IF(SUM($AP102)=0,SUM($Z102),IF(OR(SUM($Z102)=0,SUM($O102)=0),MAX($AP102,$Z102),$AP102*$Z102/$O102)))</f>
        <v>932</v>
      </c>
      <c r="AR102" s="88" t="str">
        <f aca="false">IF(OR(LEFT($B102,4)="_Mil",SUM($AJ102)=0),"",SUM($AQ102)/$AJ102)</f>
        <v/>
      </c>
      <c r="AS102" s="88" t="n">
        <f aca="false">IF($C102="&lt;01","",98%)</f>
        <v>0.98</v>
      </c>
      <c r="AT102" s="88" t="n">
        <f aca="false">IF($C102="&lt;01","",98%)</f>
        <v>0.98</v>
      </c>
      <c r="AU102" s="10" t="n">
        <f aca="false">IF($C102="&lt;01","",SUM($AP102)-SUM($O102))</f>
        <v>0</v>
      </c>
      <c r="AV102" s="10" t="n">
        <f aca="false">IF($C102="&lt;01",ROUND(INDEX(EID!$N:$N,MATCH($B102,EID!$B:$B,0))/2,0),IF(SUM($AT102)=0,"",ROUND((SUM($AP102)-(SUM($O102)*SUM($AS102)))/$AT102,0)))</f>
        <v>0</v>
      </c>
      <c r="AW102" s="88" t="n">
        <f aca="false">IF($C102="&lt;01","",100%)</f>
        <v>1</v>
      </c>
      <c r="AX102" s="39" t="n">
        <f aca="false">IF($C102="&lt;01",SUM($AV102),ROUND(SUM($AV102)*SUM($AW102),0))</f>
        <v>0</v>
      </c>
      <c r="AY102" s="114" t="n">
        <f aca="false">IF($C102="&lt;01","",70%)</f>
        <v>0.7</v>
      </c>
      <c r="AZ102" s="91" t="n">
        <f aca="false">IF($C102="&lt;01",ROUND(INDEX(EID!$R:$R,MATCH($B102,EID!$B:$B,0))/2,0),ROUND(SUM($O102)+(SUM($AV102)*$AY102),0))</f>
        <v>0</v>
      </c>
      <c r="BA102" s="87" t="n">
        <f aca="false">IF($C102="&lt;01","",95%)</f>
        <v>0.95</v>
      </c>
      <c r="BB102" s="5" t="n">
        <f aca="false">IF($C102="&lt;01",ROUND(INDEX(EID!$T:$T,MATCH($B102,EID!$B:$B,0))/2,0),ROUND($AZ102*$BA102,0))</f>
        <v>0</v>
      </c>
      <c r="BC102" s="91" t="n">
        <f aca="false">IF(LEFT($B102,4)="_Mil","",IF(SUM($BB102)=0,SUM($AD102),IF(OR(SUM($AP102)=0,SUM($AQ102)=0),MAX($BB102,$AD102),ROUND($BB102*$AQ102/$AP102,0))))</f>
        <v>0</v>
      </c>
      <c r="BD102" s="88" t="n">
        <f aca="false">IF($C102="&lt;01","",95%)</f>
        <v>0.95</v>
      </c>
      <c r="BE102" s="39" t="n">
        <f aca="false">IF($C102="&lt;01",ROUND(INDEX(EID!$V:$V,MATCH($B102,EID!$B:$B,0))/2,0),ROUND($BD102*$BB102,0))</f>
        <v>0</v>
      </c>
      <c r="BF102" s="39" t="n">
        <f aca="false">IF(LEFT($B102,4)="_Mil","",IF(SUM($BE102)=0,SUM($AF102),IF(OR(SUM($AP102)=0,SUM($AQ102)=0),MAX($BE102,$AF102),ROUND($BE102*$AQ102/$AP102,0))))</f>
        <v>0</v>
      </c>
      <c r="BG102" s="114" t="n">
        <f aca="false">IF($C102="&lt;01","",95%)</f>
        <v>0.95</v>
      </c>
      <c r="BH102" s="5" t="n">
        <f aca="false">IF($C102="&lt;01",ROUND(INDEX(EID!$L:$L,MATCH($B102,EID!$B:$B,0)),0)/2,IF(SUM($BG102)=0,"",ROUND($AX102/$BG102,0)))</f>
        <v>0</v>
      </c>
    </row>
    <row r="103" customFormat="false" ht="15" hidden="false" customHeight="false" outlineLevel="0" collapsed="false">
      <c r="A103" s="0" t="str">
        <f aca="false">INDEX(Prioritization!$D:$D,MATCH($B103,Prioritization!$A:$A,0))</f>
        <v>1 - Scale-up: Saturation</v>
      </c>
      <c r="B103" s="0" t="s">
        <v>200</v>
      </c>
      <c r="C103" s="0" t="s">
        <v>364</v>
      </c>
      <c r="D103" s="0" t="s">
        <v>30</v>
      </c>
      <c r="E103" s="0" t="str">
        <f aca="false">$B103&amp;"|"&amp;$C103&amp;"|"&amp;$D103</f>
        <v>Nkhotakota District [YCKiBAp8QAg]|10-14|Female</v>
      </c>
      <c r="F103" s="10"/>
      <c r="G103" s="10" t="n">
        <v>7</v>
      </c>
      <c r="H103" s="10" t="n">
        <v>8</v>
      </c>
      <c r="I103" s="10" t="n">
        <v>43</v>
      </c>
      <c r="J103" s="10" t="n">
        <v>63</v>
      </c>
      <c r="K103" s="10" t="n">
        <v>62</v>
      </c>
      <c r="L103" s="10" t="n">
        <v>8</v>
      </c>
      <c r="M103" s="10" t="n">
        <v>6</v>
      </c>
      <c r="N103" s="10" t="n">
        <v>82</v>
      </c>
      <c r="O103" s="10" t="n">
        <f aca="false">IFERROR(1/(1/MAX($I103,$N103)),"")</f>
        <v>82</v>
      </c>
      <c r="P103" s="10" t="n">
        <v>46</v>
      </c>
      <c r="Q103" s="10" t="n">
        <v>21</v>
      </c>
      <c r="R103" s="10" t="n">
        <f aca="false">IF(AND(SUM($I103)=0,SUM($O103)=0),"",SUM($O103)-$I103)</f>
        <v>39</v>
      </c>
      <c r="S103" s="10" t="n">
        <f aca="false">IF(LEFT($B103,4)="_Mil","",_xlfn.IFNA(ROUND(INDEX(Spectrum!$N:$N,MATCH(RIGHT($B103,13)&amp;"|"&amp;$C103&amp;"|"&amp;$D103&amp;"|"&amp;S$14&amp;"|"&amp;"CY2022Q4",Spectrum!$R:$R,0)),0),""))</f>
        <v>1270</v>
      </c>
      <c r="T103" s="39" t="n">
        <f aca="false">IF(LEFT($B103,4)="_Mil","",_xlfn.IFNA(ROUND(INDEX(Spectrum!$N:$N,MATCH(RIGHT($B103,13)&amp;"|"&amp;$C103&amp;"|"&amp;$D103&amp;"|"&amp;T$14&amp;"|"&amp;"CY2023Q3",Spectrum!$R:$R,0)),0),""))</f>
        <v>1523</v>
      </c>
      <c r="U103" s="39" t="str">
        <f aca="false">IF(LEFT($B103,4)="_Mil","",_xlfn.IFNA(ROUND(INDEX(Spectrum!$N:$N,MATCH(RIGHT($B103,13)&amp;"|"&amp;$C103&amp;"|"&amp;$D103&amp;"|"&amp;U$14&amp;"|"&amp;"CY2023Q3",Spectrum!$R:$R,0)),0),""))</f>
        <v/>
      </c>
      <c r="V103" s="10" t="n">
        <f aca="false">IF(LEFT($B103,4)="_Mil","",_xlfn.IFNA(ROUND(INDEX(Spectrum!$N:$N,MATCH(RIGHT($B103,13)&amp;"|"&amp;$C103&amp;"|"&amp;$D103&amp;"|"&amp;V$14&amp;"|"&amp;"CY2023Q3",Spectrum!$R:$R,0)),0),""))</f>
        <v>983</v>
      </c>
      <c r="W103" s="113" t="n">
        <f aca="false">IF(LEFT($B103,4)="_Mil","",_xlfn.IFNA(INDEX(Spectrum!$N:$N,MATCH(RIGHT($B103,13)&amp;"|"&amp;$C103&amp;"|"&amp;$D103&amp;"|"&amp;W$14&amp;"|"&amp;"CY2023Q3",Spectrum!$R:$R,0)),""))</f>
        <v>1754</v>
      </c>
      <c r="X103" s="39" t="n">
        <f aca="false">IF(LEFT($B103,4)="_Mil","",_xlfn.IFNA(ROUND(INDEX(Spectrum!$N:$N,MATCH(RIGHT($B103,13)&amp;"|"&amp;$C103&amp;"|"&amp;$D103&amp;"|"&amp;X$14&amp;"|"&amp;"CY2023Q3",Spectrum!$R:$R,0)),0),""))</f>
        <v>1854</v>
      </c>
      <c r="Y103" s="88" t="str">
        <f aca="false">IF(OR(SUM($U103)=0,LEFT($B103,4)="_Mil"),"",SUM($X103)/$U103)</f>
        <v/>
      </c>
      <c r="Z103" s="39" t="n">
        <f aca="false">IF(LEFT($B103,4)="_Mil","",_xlfn.IFNA(ROUND(INDEX(Spectrum!$N:$N,MATCH(RIGHT($B103,13)&amp;"|"&amp;$C103&amp;"|"&amp;$D103&amp;"|"&amp;Z$14&amp;"|"&amp;"CY2023Q3",Spectrum!$R:$R,0)),0),""))</f>
        <v>1398</v>
      </c>
      <c r="AA103" s="88" t="n">
        <f aca="false">IF(LEFT($B103,4)="_Mil","",IFERROR(1/(1/INDEX(Spectrum!$N:$N,MATCH(RIGHT($B103,13)&amp;"|"&amp;$C103&amp;"|"&amp;$D103&amp;"|"&amp;AA$14&amp;"|"&amp;"CY2023Q3",Spectrum!$R:$R,0))),IF(SUM($U103)=0,"",SUM($Z103)/$U103)))</f>
        <v>1913</v>
      </c>
      <c r="AB103" s="88" t="n">
        <f aca="false">IF(OR(LEFT($B103,4)="_Mil",SUM($X103)=0),"",SUM($Z103)/$X103)</f>
        <v>0.754045307443366</v>
      </c>
      <c r="AC103" s="10" t="n">
        <f aca="false">IF(LEFT($B103,4)="_Mil","",_xlfn.IFNA(ROUND(INDEX(Spectrum!$N:$N,MATCH(RIGHT($B103,13)&amp;"|"&amp;$C103&amp;"|"&amp;$D103&amp;"|"&amp;AC$14&amp;"|"&amp;"CY2023Q3",Spectrum!$R:$R,0)),0),""))</f>
        <v>1874</v>
      </c>
      <c r="AD103" s="10" t="str">
        <f aca="false">IF(LEFT($B103,4)="_Mil","",_xlfn.IFNA(ROUND(INDEX(Spectrum!$N:$N,MATCH(RIGHT($B103,13)&amp;"|"&amp;$C103&amp;"|"&amp;$D103&amp;"|"&amp;AD$14&amp;"|"&amp;"CY2023Q3",Spectrum!$R:$R,0)),0),""))</f>
        <v/>
      </c>
      <c r="AE103" s="88" t="n">
        <f aca="false">IF(OR(LEFT($B103,4)="_Mil",SUM($Z103)=0),"",SUM($AD103)/$Z103)</f>
        <v>0</v>
      </c>
      <c r="AF103" s="39" t="str">
        <f aca="false">IF(LEFT($B103,4)="_Mil","",_xlfn.IFNA(ROUND(INDEX(Spectrum!$N:$N,MATCH(RIGHT($B103,13)&amp;"|"&amp;$C103&amp;"|"&amp;$D103&amp;"|"&amp;AF$14&amp;"|"&amp;"CY2023Q3",Spectrum!$R:$R,0)),0),""))</f>
        <v/>
      </c>
      <c r="AG103" s="88" t="str">
        <f aca="false">IF(OR(LEFT($B103,4)="_Mil",SUM($AD103)=0),"",SUM($AF103)/$AD103)</f>
        <v/>
      </c>
      <c r="AH103" s="86" t="str">
        <f aca="false">IF(LEFT($B103,4)="_Mil","",_xlfn.IFNA(INDEX(Spectrum!$N:$N,MATCH(RIGHT($B103,13)&amp;"|"&amp;$C103&amp;"|"&amp;$D103&amp;"|"&amp;AH$14&amp;"|"&amp;"CY2023Q3",Spectrum!$R:$R,0)),""))</f>
        <v/>
      </c>
      <c r="AI103" s="10" t="str">
        <f aca="false">IF(LEFT($B103,4)="_Mil","",_xlfn.IFNA(ROUND(INDEX(Spectrum!$N:$N,MATCH(RIGHT($B103,13)&amp;"|"&amp;$C103&amp;"|"&amp;$D103&amp;"|"&amp;AI$14&amp;"|"&amp;"CY2023Q3",Spectrum!$R:$R,0)),0),""))</f>
        <v/>
      </c>
      <c r="AJ103" s="39" t="n">
        <f aca="false">IF(LEFT($B103,4)="_Mil","",_xlfn.IFNA(ROUND(INDEX(Spectrum!$N:$N,MATCH(RIGHT($B103,13)&amp;"|"&amp;$C103&amp;"|"&amp;$D103&amp;"|"&amp;AI$14&amp;"|"&amp;"CY2023Q3",Spectrum!$R:$R,0)),0),SUM($U103)+SUM($AI103)))</f>
        <v>0</v>
      </c>
      <c r="AK103" s="10" t="str">
        <f aca="false">IF(LEFT($B103,4)="_Mil","",_xlfn.IFNA(ROUND(INDEX(Spectrum!$N:$N,MATCH(RIGHT($B103,13)&amp;"|"&amp;$C103&amp;"|"&amp;$D103&amp;"|"&amp;AK$14&amp;"|"&amp;"CY2023Q3",Spectrum!$R:$R,0)),0),""))</f>
        <v/>
      </c>
      <c r="AL103" s="88" t="n">
        <f aca="false">IF(OR(LEFT($B103,4)="_Mil",$C103="&lt;01"),"",MAX(SUM($AA103),90%))</f>
        <v>1913</v>
      </c>
      <c r="AM103" s="10" t="n">
        <f aca="false">IF(OR(LEFT($B103,4)="_Mil",$C103="&lt;01"),"",ROUND(SUM($AJ103)*SUM($AL103),0))</f>
        <v>0</v>
      </c>
      <c r="AN103" s="10" t="str">
        <f aca="false">IF($C103="&lt;01",ROUND(INDEX(EID!$P:$P,MATCH($B103,EID!$B:$B,0))/2,0),"")</f>
        <v/>
      </c>
      <c r="AO103" s="10" t="n">
        <f aca="false">IF($C103="&lt;01",SUM($AN103),ROUND(SUM($AM103)*SUM($O103)/IF(SUM($Z103)=0,1,$Z103),0))</f>
        <v>0</v>
      </c>
      <c r="AP103" s="39" t="n">
        <f aca="false">IF(OR($F103="",$C103="&lt;01"),$AO103,$F103)</f>
        <v>0</v>
      </c>
      <c r="AQ103" s="39" t="n">
        <f aca="false">IF(LEFT($B103,4)="_Mil","",IF(SUM($AP103)=0,SUM($Z103),IF(OR(SUM($Z103)=0,SUM($O103)=0),MAX($AP103,$Z103),$AP103*$Z103/$O103)))</f>
        <v>1398</v>
      </c>
      <c r="AR103" s="88" t="str">
        <f aca="false">IF(OR(LEFT($B103,4)="_Mil",SUM($AJ103)=0),"",SUM($AQ103)/$AJ103)</f>
        <v/>
      </c>
      <c r="AS103" s="88" t="n">
        <f aca="false">IF($C103="&lt;01","",98%)</f>
        <v>0.98</v>
      </c>
      <c r="AT103" s="88" t="n">
        <f aca="false">IF($C103="&lt;01","",98%)</f>
        <v>0.98</v>
      </c>
      <c r="AU103" s="10" t="n">
        <f aca="false">IF($C103="&lt;01","",SUM($AP103)-SUM($O103))</f>
        <v>-82</v>
      </c>
      <c r="AV103" s="10" t="n">
        <f aca="false">IF($C103="&lt;01",ROUND(INDEX(EID!$N:$N,MATCH($B103,EID!$B:$B,0))/2,0),IF(SUM($AT103)=0,"",ROUND((SUM($AP103)-(SUM($O103)*SUM($AS103)))/$AT103,0)))</f>
        <v>-82</v>
      </c>
      <c r="AW103" s="88" t="n">
        <f aca="false">IF($C103="&lt;01","",100%)</f>
        <v>1</v>
      </c>
      <c r="AX103" s="39" t="n">
        <f aca="false">IF($C103="&lt;01",SUM($AV103),ROUND(SUM($AV103)*SUM($AW103),0))</f>
        <v>-82</v>
      </c>
      <c r="AY103" s="114" t="n">
        <f aca="false">IF($C103="&lt;01","",70%)</f>
        <v>0.7</v>
      </c>
      <c r="AZ103" s="91" t="n">
        <f aca="false">IF($C103="&lt;01",ROUND(INDEX(EID!$R:$R,MATCH($B103,EID!$B:$B,0))/2,0),ROUND(SUM($O103)+(SUM($AV103)*$AY103),0))</f>
        <v>25</v>
      </c>
      <c r="BA103" s="87" t="n">
        <f aca="false">IF($C103="&lt;01","",95%)</f>
        <v>0.95</v>
      </c>
      <c r="BB103" s="5" t="n">
        <f aca="false">IF($C103="&lt;01",ROUND(INDEX(EID!$T:$T,MATCH($B103,EID!$B:$B,0))/2,0),ROUND($AZ103*$BA103,0))</f>
        <v>24</v>
      </c>
      <c r="BC103" s="91" t="n">
        <f aca="false">IF(LEFT($B103,4)="_Mil","",IF(SUM($BB103)=0,SUM($AD103),IF(OR(SUM($AP103)=0,SUM($AQ103)=0),MAX($BB103,$AD103),ROUND($BB103*$AQ103/$AP103,0))))</f>
        <v>24</v>
      </c>
      <c r="BD103" s="88" t="n">
        <f aca="false">IF($C103="&lt;01","",95%)</f>
        <v>0.95</v>
      </c>
      <c r="BE103" s="39" t="n">
        <f aca="false">IF($C103="&lt;01",ROUND(INDEX(EID!$V:$V,MATCH($B103,EID!$B:$B,0))/2,0),ROUND($BD103*$BB103,0))</f>
        <v>23</v>
      </c>
      <c r="BF103" s="39" t="n">
        <f aca="false">IF(LEFT($B103,4)="_Mil","",IF(SUM($BE103)=0,SUM($AF103),IF(OR(SUM($AP103)=0,SUM($AQ103)=0),MAX($BE103,$AF103),ROUND($BE103*$AQ103/$AP103,0))))</f>
        <v>23</v>
      </c>
      <c r="BG103" s="114" t="n">
        <f aca="false">IF($C103="&lt;01","",95%)</f>
        <v>0.95</v>
      </c>
      <c r="BH103" s="5" t="n">
        <f aca="false">IF($C103="&lt;01",ROUND(INDEX(EID!$L:$L,MATCH($B103,EID!$B:$B,0)),0)/2,IF(SUM($BG103)=0,"",ROUND($AX103/$BG103,0)))</f>
        <v>-86</v>
      </c>
    </row>
    <row r="104" customFormat="false" ht="15" hidden="false" customHeight="false" outlineLevel="0" collapsed="false">
      <c r="A104" s="0" t="str">
        <f aca="false">INDEX(Prioritization!$D:$D,MATCH($B104,Prioritization!$A:$A,0))</f>
        <v>1 - Scale-up: Saturation</v>
      </c>
      <c r="B104" s="0" t="s">
        <v>200</v>
      </c>
      <c r="C104" s="0" t="s">
        <v>364</v>
      </c>
      <c r="D104" s="0" t="s">
        <v>48</v>
      </c>
      <c r="E104" s="0" t="str">
        <f aca="false">$B104&amp;"|"&amp;$C104&amp;"|"&amp;$D104</f>
        <v>Nkhotakota District [YCKiBAp8QAg]|10-14|Male</v>
      </c>
      <c r="F104" s="10"/>
      <c r="G104" s="10" t="n">
        <v>9</v>
      </c>
      <c r="H104" s="10" t="n">
        <v>0</v>
      </c>
      <c r="I104" s="10" t="n">
        <v>76</v>
      </c>
      <c r="J104" s="10" t="n">
        <v>45</v>
      </c>
      <c r="K104" s="10" t="n">
        <v>68</v>
      </c>
      <c r="L104" s="10" t="n">
        <v>10</v>
      </c>
      <c r="M104" s="10" t="n">
        <v>2</v>
      </c>
      <c r="N104" s="10" t="n">
        <v>82</v>
      </c>
      <c r="O104" s="10" t="n">
        <f aca="false">IFERROR(1/(1/MAX($I104,$N104)),"")</f>
        <v>82</v>
      </c>
      <c r="P104" s="10" t="n">
        <v>70</v>
      </c>
      <c r="Q104" s="10" t="n">
        <v>62</v>
      </c>
      <c r="R104" s="10" t="n">
        <f aca="false">IF(AND(SUM($I104)=0,SUM($O104)=0),"",SUM($O104)-$I104)</f>
        <v>6</v>
      </c>
      <c r="S104" s="10" t="n">
        <f aca="false">IF(LEFT($B104,4)="_Mil","",_xlfn.IFNA(ROUND(INDEX(Spectrum!$N:$N,MATCH(RIGHT($B104,13)&amp;"|"&amp;$C104&amp;"|"&amp;$D104&amp;"|"&amp;S$14&amp;"|"&amp;"CY2022Q4",Spectrum!$R:$R,0)),0),""))</f>
        <v>1805</v>
      </c>
      <c r="T104" s="39" t="n">
        <f aca="false">IF(LEFT($B104,4)="_Mil","",_xlfn.IFNA(ROUND(INDEX(Spectrum!$N:$N,MATCH(RIGHT($B104,13)&amp;"|"&amp;$C104&amp;"|"&amp;$D104&amp;"|"&amp;T$14&amp;"|"&amp;"CY2023Q3",Spectrum!$R:$R,0)),0),""))</f>
        <v>1994</v>
      </c>
      <c r="U104" s="39" t="str">
        <f aca="false">IF(LEFT($B104,4)="_Mil","",_xlfn.IFNA(ROUND(INDEX(Spectrum!$N:$N,MATCH(RIGHT($B104,13)&amp;"|"&amp;$C104&amp;"|"&amp;$D104&amp;"|"&amp;U$14&amp;"|"&amp;"CY2023Q3",Spectrum!$R:$R,0)),0),""))</f>
        <v/>
      </c>
      <c r="V104" s="10" t="n">
        <f aca="false">IF(LEFT($B104,4)="_Mil","",_xlfn.IFNA(ROUND(INDEX(Spectrum!$N:$N,MATCH(RIGHT($B104,13)&amp;"|"&amp;$C104&amp;"|"&amp;$D104&amp;"|"&amp;V$14&amp;"|"&amp;"CY2023Q3",Spectrum!$R:$R,0)),0),""))</f>
        <v>1879</v>
      </c>
      <c r="W104" s="113" t="n">
        <f aca="false">IF(LEFT($B104,4)="_Mil","",_xlfn.IFNA(INDEX(Spectrum!$N:$N,MATCH(RIGHT($B104,13)&amp;"|"&amp;$C104&amp;"|"&amp;$D104&amp;"|"&amp;W$14&amp;"|"&amp;"CY2023Q3",Spectrum!$R:$R,0)),""))</f>
        <v>1003</v>
      </c>
      <c r="X104" s="39" t="n">
        <f aca="false">IF(LEFT($B104,4)="_Mil","",_xlfn.IFNA(ROUND(INDEX(Spectrum!$N:$N,MATCH(RIGHT($B104,13)&amp;"|"&amp;$C104&amp;"|"&amp;$D104&amp;"|"&amp;X$14&amp;"|"&amp;"CY2023Q3",Spectrum!$R:$R,0)),0),""))</f>
        <v>1486</v>
      </c>
      <c r="Y104" s="88" t="str">
        <f aca="false">IF(OR(SUM($U104)=0,LEFT($B104,4)="_Mil"),"",SUM($X104)/$U104)</f>
        <v/>
      </c>
      <c r="Z104" s="39" t="n">
        <f aca="false">IF(LEFT($B104,4)="_Mil","",_xlfn.IFNA(ROUND(INDEX(Spectrum!$N:$N,MATCH(RIGHT($B104,13)&amp;"|"&amp;$C104&amp;"|"&amp;$D104&amp;"|"&amp;Z$14&amp;"|"&amp;"CY2023Q3",Spectrum!$R:$R,0)),0),""))</f>
        <v>1039</v>
      </c>
      <c r="AA104" s="88" t="n">
        <f aca="false">IF(LEFT($B104,4)="_Mil","",IFERROR(1/(1/INDEX(Spectrum!$N:$N,MATCH(RIGHT($B104,13)&amp;"|"&amp;$C104&amp;"|"&amp;$D104&amp;"|"&amp;AA$14&amp;"|"&amp;"CY2023Q3",Spectrum!$R:$R,0))),IF(SUM($U104)=0,"",SUM($Z104)/$U104)))</f>
        <v>854</v>
      </c>
      <c r="AB104" s="88" t="n">
        <f aca="false">IF(OR(LEFT($B104,4)="_Mil",SUM($X104)=0),"",SUM($Z104)/$X104)</f>
        <v>0.699192462987887</v>
      </c>
      <c r="AC104" s="10" t="n">
        <f aca="false">IF(LEFT($B104,4)="_Mil","",_xlfn.IFNA(ROUND(INDEX(Spectrum!$N:$N,MATCH(RIGHT($B104,13)&amp;"|"&amp;$C104&amp;"|"&amp;$D104&amp;"|"&amp;AC$14&amp;"|"&amp;"CY2023Q3",Spectrum!$R:$R,0)),0),""))</f>
        <v>1064</v>
      </c>
      <c r="AD104" s="10" t="str">
        <f aca="false">IF(LEFT($B104,4)="_Mil","",_xlfn.IFNA(ROUND(INDEX(Spectrum!$N:$N,MATCH(RIGHT($B104,13)&amp;"|"&amp;$C104&amp;"|"&amp;$D104&amp;"|"&amp;AD$14&amp;"|"&amp;"CY2023Q3",Spectrum!$R:$R,0)),0),""))</f>
        <v/>
      </c>
      <c r="AE104" s="88" t="n">
        <f aca="false">IF(OR(LEFT($B104,4)="_Mil",SUM($Z104)=0),"",SUM($AD104)/$Z104)</f>
        <v>0</v>
      </c>
      <c r="AF104" s="39" t="str">
        <f aca="false">IF(LEFT($B104,4)="_Mil","",_xlfn.IFNA(ROUND(INDEX(Spectrum!$N:$N,MATCH(RIGHT($B104,13)&amp;"|"&amp;$C104&amp;"|"&amp;$D104&amp;"|"&amp;AF$14&amp;"|"&amp;"CY2023Q3",Spectrum!$R:$R,0)),0),""))</f>
        <v/>
      </c>
      <c r="AG104" s="88" t="str">
        <f aca="false">IF(OR(LEFT($B104,4)="_Mil",SUM($AD104)=0),"",SUM($AF104)/$AD104)</f>
        <v/>
      </c>
      <c r="AH104" s="86" t="str">
        <f aca="false">IF(LEFT($B104,4)="_Mil","",_xlfn.IFNA(INDEX(Spectrum!$N:$N,MATCH(RIGHT($B104,13)&amp;"|"&amp;$C104&amp;"|"&amp;$D104&amp;"|"&amp;AH$14&amp;"|"&amp;"CY2023Q3",Spectrum!$R:$R,0)),""))</f>
        <v/>
      </c>
      <c r="AI104" s="10" t="str">
        <f aca="false">IF(LEFT($B104,4)="_Mil","",_xlfn.IFNA(ROUND(INDEX(Spectrum!$N:$N,MATCH(RIGHT($B104,13)&amp;"|"&amp;$C104&amp;"|"&amp;$D104&amp;"|"&amp;AI$14&amp;"|"&amp;"CY2023Q3",Spectrum!$R:$R,0)),0),""))</f>
        <v/>
      </c>
      <c r="AJ104" s="39" t="n">
        <f aca="false">IF(LEFT($B104,4)="_Mil","",_xlfn.IFNA(ROUND(INDEX(Spectrum!$N:$N,MATCH(RIGHT($B104,13)&amp;"|"&amp;$C104&amp;"|"&amp;$D104&amp;"|"&amp;AI$14&amp;"|"&amp;"CY2023Q3",Spectrum!$R:$R,0)),0),SUM($U104)+SUM($AI104)))</f>
        <v>0</v>
      </c>
      <c r="AK104" s="10" t="str">
        <f aca="false">IF(LEFT($B104,4)="_Mil","",_xlfn.IFNA(ROUND(INDEX(Spectrum!$N:$N,MATCH(RIGHT($B104,13)&amp;"|"&amp;$C104&amp;"|"&amp;$D104&amp;"|"&amp;AK$14&amp;"|"&amp;"CY2023Q3",Spectrum!$R:$R,0)),0),""))</f>
        <v/>
      </c>
      <c r="AL104" s="88" t="n">
        <f aca="false">IF(OR(LEFT($B104,4)="_Mil",$C104="&lt;01"),"",MAX(SUM($AA104),90%))</f>
        <v>854</v>
      </c>
      <c r="AM104" s="10" t="n">
        <f aca="false">IF(OR(LEFT($B104,4)="_Mil",$C104="&lt;01"),"",ROUND(SUM($AJ104)*SUM($AL104),0))</f>
        <v>0</v>
      </c>
      <c r="AN104" s="10" t="str">
        <f aca="false">IF($C104="&lt;01",ROUND(INDEX(EID!$P:$P,MATCH($B104,EID!$B:$B,0))/2,0),"")</f>
        <v/>
      </c>
      <c r="AO104" s="10" t="n">
        <f aca="false">IF($C104="&lt;01",SUM($AN104),ROUND(SUM($AM104)*SUM($O104)/IF(SUM($Z104)=0,1,$Z104),0))</f>
        <v>0</v>
      </c>
      <c r="AP104" s="39" t="n">
        <f aca="false">IF(OR($F104="",$C104="&lt;01"),$AO104,$F104)</f>
        <v>0</v>
      </c>
      <c r="AQ104" s="39" t="n">
        <f aca="false">IF(LEFT($B104,4)="_Mil","",IF(SUM($AP104)=0,SUM($Z104),IF(OR(SUM($Z104)=0,SUM($O104)=0),MAX($AP104,$Z104),$AP104*$Z104/$O104)))</f>
        <v>1039</v>
      </c>
      <c r="AR104" s="88" t="str">
        <f aca="false">IF(OR(LEFT($B104,4)="_Mil",SUM($AJ104)=0),"",SUM($AQ104)/$AJ104)</f>
        <v/>
      </c>
      <c r="AS104" s="88" t="n">
        <f aca="false">IF($C104="&lt;01","",98%)</f>
        <v>0.98</v>
      </c>
      <c r="AT104" s="88" t="n">
        <f aca="false">IF($C104="&lt;01","",98%)</f>
        <v>0.98</v>
      </c>
      <c r="AU104" s="10" t="n">
        <f aca="false">IF($C104="&lt;01","",SUM($AP104)-SUM($O104))</f>
        <v>-82</v>
      </c>
      <c r="AV104" s="10" t="n">
        <f aca="false">IF($C104="&lt;01",ROUND(INDEX(EID!$N:$N,MATCH($B104,EID!$B:$B,0))/2,0),IF(SUM($AT104)=0,"",ROUND((SUM($AP104)-(SUM($O104)*SUM($AS104)))/$AT104,0)))</f>
        <v>-82</v>
      </c>
      <c r="AW104" s="88" t="n">
        <f aca="false">IF($C104="&lt;01","",100%)</f>
        <v>1</v>
      </c>
      <c r="AX104" s="39" t="n">
        <f aca="false">IF($C104="&lt;01",SUM($AV104),ROUND(SUM($AV104)*SUM($AW104),0))</f>
        <v>-82</v>
      </c>
      <c r="AY104" s="114" t="n">
        <f aca="false">IF($C104="&lt;01","",70%)</f>
        <v>0.7</v>
      </c>
      <c r="AZ104" s="91" t="n">
        <f aca="false">IF($C104="&lt;01",ROUND(INDEX(EID!$R:$R,MATCH($B104,EID!$B:$B,0))/2,0),ROUND(SUM($O104)+(SUM($AV104)*$AY104),0))</f>
        <v>25</v>
      </c>
      <c r="BA104" s="87" t="n">
        <f aca="false">IF($C104="&lt;01","",95%)</f>
        <v>0.95</v>
      </c>
      <c r="BB104" s="5" t="n">
        <f aca="false">IF($C104="&lt;01",ROUND(INDEX(EID!$T:$T,MATCH($B104,EID!$B:$B,0))/2,0),ROUND($AZ104*$BA104,0))</f>
        <v>24</v>
      </c>
      <c r="BC104" s="91" t="n">
        <f aca="false">IF(LEFT($B104,4)="_Mil","",IF(SUM($BB104)=0,SUM($AD104),IF(OR(SUM($AP104)=0,SUM($AQ104)=0),MAX($BB104,$AD104),ROUND($BB104*$AQ104/$AP104,0))))</f>
        <v>24</v>
      </c>
      <c r="BD104" s="88" t="n">
        <f aca="false">IF($C104="&lt;01","",95%)</f>
        <v>0.95</v>
      </c>
      <c r="BE104" s="39" t="n">
        <f aca="false">IF($C104="&lt;01",ROUND(INDEX(EID!$V:$V,MATCH($B104,EID!$B:$B,0))/2,0),ROUND($BD104*$BB104,0))</f>
        <v>23</v>
      </c>
      <c r="BF104" s="39" t="n">
        <f aca="false">IF(LEFT($B104,4)="_Mil","",IF(SUM($BE104)=0,SUM($AF104),IF(OR(SUM($AP104)=0,SUM($AQ104)=0),MAX($BE104,$AF104),ROUND($BE104*$AQ104/$AP104,0))))</f>
        <v>23</v>
      </c>
      <c r="BG104" s="114" t="n">
        <f aca="false">IF($C104="&lt;01","",95%)</f>
        <v>0.95</v>
      </c>
      <c r="BH104" s="5" t="n">
        <f aca="false">IF($C104="&lt;01",ROUND(INDEX(EID!$L:$L,MATCH($B104,EID!$B:$B,0)),0)/2,IF(SUM($BG104)=0,"",ROUND($AX104/$BG104,0)))</f>
        <v>-86</v>
      </c>
    </row>
    <row r="105" customFormat="false" ht="15" hidden="false" customHeight="false" outlineLevel="0" collapsed="false">
      <c r="A105" s="0" t="str">
        <f aca="false">INDEX(Prioritization!$D:$D,MATCH($B105,Prioritization!$A:$A,0))</f>
        <v>1 - Scale-up: Saturation</v>
      </c>
      <c r="B105" s="0" t="s">
        <v>200</v>
      </c>
      <c r="C105" s="0" t="s">
        <v>365</v>
      </c>
      <c r="D105" s="0" t="s">
        <v>30</v>
      </c>
      <c r="E105" s="0" t="str">
        <f aca="false">$B105&amp;"|"&amp;$C105&amp;"|"&amp;$D105</f>
        <v>Nkhotakota District [YCKiBAp8QAg]|15-24|Female</v>
      </c>
      <c r="F105" s="10"/>
      <c r="G105" s="10"/>
      <c r="H105" s="10"/>
      <c r="I105" s="10"/>
      <c r="J105" s="10"/>
      <c r="K105" s="10"/>
      <c r="L105" s="10"/>
      <c r="M105" s="10"/>
      <c r="N105" s="10"/>
      <c r="O105" s="10" t="str">
        <f aca="false">IFERROR(1/(1/MAX($I105,$N105)),"")</f>
        <v/>
      </c>
      <c r="P105" s="10"/>
      <c r="Q105" s="10"/>
      <c r="R105" s="10" t="str">
        <f aca="false">IF(AND(SUM($I105)=0,SUM($O105)=0),"",SUM($O105)-$I105)</f>
        <v/>
      </c>
      <c r="S105" s="10" t="n">
        <f aca="false">IF(LEFT($B105,4)="_Mil","",_xlfn.IFNA(ROUND(INDEX(Spectrum!$N:$N,MATCH(RIGHT($B105,13)&amp;"|"&amp;$C105&amp;"|"&amp;$D105&amp;"|"&amp;S$14&amp;"|"&amp;"CY2022Q4",Spectrum!$R:$R,0)),0),""))</f>
        <v>944</v>
      </c>
      <c r="T105" s="39" t="n">
        <f aca="false">IF(LEFT($B105,4)="_Mil","",_xlfn.IFNA(ROUND(INDEX(Spectrum!$N:$N,MATCH(RIGHT($B105,13)&amp;"|"&amp;$C105&amp;"|"&amp;$D105&amp;"|"&amp;T$14&amp;"|"&amp;"CY2023Q3",Spectrum!$R:$R,0)),0),""))</f>
        <v>1599</v>
      </c>
      <c r="U105" s="39" t="str">
        <f aca="false">IF(LEFT($B105,4)="_Mil","",_xlfn.IFNA(ROUND(INDEX(Spectrum!$N:$N,MATCH(RIGHT($B105,13)&amp;"|"&amp;$C105&amp;"|"&amp;$D105&amp;"|"&amp;U$14&amp;"|"&amp;"CY2023Q3",Spectrum!$R:$R,0)),0),""))</f>
        <v/>
      </c>
      <c r="V105" s="10" t="n">
        <f aca="false">IF(LEFT($B105,4)="_Mil","",_xlfn.IFNA(ROUND(INDEX(Spectrum!$N:$N,MATCH(RIGHT($B105,13)&amp;"|"&amp;$C105&amp;"|"&amp;$D105&amp;"|"&amp;V$14&amp;"|"&amp;"CY2023Q3",Spectrum!$R:$R,0)),0),""))</f>
        <v>1298</v>
      </c>
      <c r="W105" s="113" t="n">
        <f aca="false">IF(LEFT($B105,4)="_Mil","",_xlfn.IFNA(INDEX(Spectrum!$N:$N,MATCH(RIGHT($B105,13)&amp;"|"&amp;$C105&amp;"|"&amp;$D105&amp;"|"&amp;W$14&amp;"|"&amp;"CY2023Q3",Spectrum!$R:$R,0)),""))</f>
        <v>1616</v>
      </c>
      <c r="X105" s="39" t="n">
        <f aca="false">IF(LEFT($B105,4)="_Mil","",_xlfn.IFNA(ROUND(INDEX(Spectrum!$N:$N,MATCH(RIGHT($B105,13)&amp;"|"&amp;$C105&amp;"|"&amp;$D105&amp;"|"&amp;X$14&amp;"|"&amp;"CY2023Q3",Spectrum!$R:$R,0)),0),""))</f>
        <v>1792</v>
      </c>
      <c r="Y105" s="88" t="str">
        <f aca="false">IF(OR(SUM($U105)=0,LEFT($B105,4)="_Mil"),"",SUM($X105)/$U105)</f>
        <v/>
      </c>
      <c r="Z105" s="39" t="n">
        <f aca="false">IF(LEFT($B105,4)="_Mil","",_xlfn.IFNA(ROUND(INDEX(Spectrum!$N:$N,MATCH(RIGHT($B105,13)&amp;"|"&amp;$C105&amp;"|"&amp;$D105&amp;"|"&amp;Z$14&amp;"|"&amp;"CY2023Q3",Spectrum!$R:$R,0)),0),""))</f>
        <v>1116</v>
      </c>
      <c r="AA105" s="88" t="n">
        <f aca="false">IF(LEFT($B105,4)="_Mil","",IFERROR(1/(1/INDEX(Spectrum!$N:$N,MATCH(RIGHT($B105,13)&amp;"|"&amp;$C105&amp;"|"&amp;$D105&amp;"|"&amp;AA$14&amp;"|"&amp;"CY2023Q3",Spectrum!$R:$R,0))),IF(SUM($U105)=0,"",SUM($Z105)/$U105)))</f>
        <v>607</v>
      </c>
      <c r="AB105" s="88" t="n">
        <f aca="false">IF(OR(LEFT($B105,4)="_Mil",SUM($X105)=0),"",SUM($Z105)/$X105)</f>
        <v>0.622767857142857</v>
      </c>
      <c r="AC105" s="10" t="n">
        <f aca="false">IF(LEFT($B105,4)="_Mil","",_xlfn.IFNA(ROUND(INDEX(Spectrum!$N:$N,MATCH(RIGHT($B105,13)&amp;"|"&amp;$C105&amp;"|"&amp;$D105&amp;"|"&amp;AC$14&amp;"|"&amp;"CY2023Q3",Spectrum!$R:$R,0)),0),""))</f>
        <v>1044</v>
      </c>
      <c r="AD105" s="10" t="str">
        <f aca="false">IF(LEFT($B105,4)="_Mil","",_xlfn.IFNA(ROUND(INDEX(Spectrum!$N:$N,MATCH(RIGHT($B105,13)&amp;"|"&amp;$C105&amp;"|"&amp;$D105&amp;"|"&amp;AD$14&amp;"|"&amp;"CY2023Q3",Spectrum!$R:$R,0)),0),""))</f>
        <v/>
      </c>
      <c r="AE105" s="88" t="n">
        <f aca="false">IF(OR(LEFT($B105,4)="_Mil",SUM($Z105)=0),"",SUM($AD105)/$Z105)</f>
        <v>0</v>
      </c>
      <c r="AF105" s="39" t="str">
        <f aca="false">IF(LEFT($B105,4)="_Mil","",_xlfn.IFNA(ROUND(INDEX(Spectrum!$N:$N,MATCH(RIGHT($B105,13)&amp;"|"&amp;$C105&amp;"|"&amp;$D105&amp;"|"&amp;AF$14&amp;"|"&amp;"CY2023Q3",Spectrum!$R:$R,0)),0),""))</f>
        <v/>
      </c>
      <c r="AG105" s="88" t="str">
        <f aca="false">IF(OR(LEFT($B105,4)="_Mil",SUM($AD105)=0),"",SUM($AF105)/$AD105)</f>
        <v/>
      </c>
      <c r="AH105" s="86" t="str">
        <f aca="false">IF(LEFT($B105,4)="_Mil","",_xlfn.IFNA(INDEX(Spectrum!$N:$N,MATCH(RIGHT($B105,13)&amp;"|"&amp;$C105&amp;"|"&amp;$D105&amp;"|"&amp;AH$14&amp;"|"&amp;"CY2023Q3",Spectrum!$R:$R,0)),""))</f>
        <v/>
      </c>
      <c r="AI105" s="10" t="str">
        <f aca="false">IF(LEFT($B105,4)="_Mil","",_xlfn.IFNA(ROUND(INDEX(Spectrum!$N:$N,MATCH(RIGHT($B105,13)&amp;"|"&amp;$C105&amp;"|"&amp;$D105&amp;"|"&amp;AI$14&amp;"|"&amp;"CY2023Q3",Spectrum!$R:$R,0)),0),""))</f>
        <v/>
      </c>
      <c r="AJ105" s="39" t="n">
        <f aca="false">IF(LEFT($B105,4)="_Mil","",_xlfn.IFNA(ROUND(INDEX(Spectrum!$N:$N,MATCH(RIGHT($B105,13)&amp;"|"&amp;$C105&amp;"|"&amp;$D105&amp;"|"&amp;AI$14&amp;"|"&amp;"CY2023Q3",Spectrum!$R:$R,0)),0),SUM($U105)+SUM($AI105)))</f>
        <v>0</v>
      </c>
      <c r="AK105" s="10" t="str">
        <f aca="false">IF(LEFT($B105,4)="_Mil","",_xlfn.IFNA(ROUND(INDEX(Spectrum!$N:$N,MATCH(RIGHT($B105,13)&amp;"|"&amp;$C105&amp;"|"&amp;$D105&amp;"|"&amp;AK$14&amp;"|"&amp;"CY2023Q3",Spectrum!$R:$R,0)),0),""))</f>
        <v/>
      </c>
      <c r="AL105" s="88" t="n">
        <f aca="false">IF(OR(LEFT($B105,4)="_Mil",$C105="&lt;01"),"",MAX(SUM($AA105),90%))</f>
        <v>607</v>
      </c>
      <c r="AM105" s="10" t="n">
        <f aca="false">IF(OR(LEFT($B105,4)="_Mil",$C105="&lt;01"),"",ROUND(SUM($AJ105)*SUM($AL105),0))</f>
        <v>0</v>
      </c>
      <c r="AN105" s="10" t="str">
        <f aca="false">IF($C105="&lt;01",ROUND(INDEX(EID!$P:$P,MATCH($B105,EID!$B:$B,0))/2,0),"")</f>
        <v/>
      </c>
      <c r="AO105" s="10" t="n">
        <f aca="false">IF($C105="&lt;01",SUM($AN105),ROUND(SUM($AM105)*SUM($O105)/IF(SUM($Z105)=0,1,$Z105),0))</f>
        <v>0</v>
      </c>
      <c r="AP105" s="39" t="n">
        <f aca="false">IF(OR($F105="",$C105="&lt;01"),$AO105,$F105)</f>
        <v>0</v>
      </c>
      <c r="AQ105" s="39" t="n">
        <f aca="false">IF(LEFT($B105,4)="_Mil","",IF(SUM($AP105)=0,SUM($Z105),IF(OR(SUM($Z105)=0,SUM($O105)=0),MAX($AP105,$Z105),$AP105*$Z105/$O105)))</f>
        <v>1116</v>
      </c>
      <c r="AR105" s="88" t="str">
        <f aca="false">IF(OR(LEFT($B105,4)="_Mil",SUM($AJ105)=0),"",SUM($AQ105)/$AJ105)</f>
        <v/>
      </c>
      <c r="AS105" s="88" t="n">
        <f aca="false">IF($C105="&lt;01","",98%)</f>
        <v>0.98</v>
      </c>
      <c r="AT105" s="88" t="n">
        <f aca="false">IF($C105="&lt;01","",98%)</f>
        <v>0.98</v>
      </c>
      <c r="AU105" s="10" t="n">
        <f aca="false">IF($C105="&lt;01","",SUM($AP105)-SUM($O105))</f>
        <v>0</v>
      </c>
      <c r="AV105" s="10" t="n">
        <f aca="false">IF($C105="&lt;01",ROUND(INDEX(EID!$N:$N,MATCH($B105,EID!$B:$B,0))/2,0),IF(SUM($AT105)=0,"",ROUND((SUM($AP105)-(SUM($O105)*SUM($AS105)))/$AT105,0)))</f>
        <v>0</v>
      </c>
      <c r="AW105" s="88" t="n">
        <f aca="false">IF($C105="&lt;01","",100%)</f>
        <v>1</v>
      </c>
      <c r="AX105" s="39" t="n">
        <f aca="false">IF($C105="&lt;01",SUM($AV105),ROUND(SUM($AV105)*SUM($AW105),0))</f>
        <v>0</v>
      </c>
      <c r="AY105" s="114" t="n">
        <f aca="false">IF($C105="&lt;01","",70%)</f>
        <v>0.7</v>
      </c>
      <c r="AZ105" s="91" t="n">
        <f aca="false">IF($C105="&lt;01",ROUND(INDEX(EID!$R:$R,MATCH($B105,EID!$B:$B,0))/2,0),ROUND(SUM($O105)+(SUM($AV105)*$AY105),0))</f>
        <v>0</v>
      </c>
      <c r="BA105" s="87" t="n">
        <f aca="false">IF($C105="&lt;01","",95%)</f>
        <v>0.95</v>
      </c>
      <c r="BB105" s="5" t="n">
        <f aca="false">IF($C105="&lt;01",ROUND(INDEX(EID!$T:$T,MATCH($B105,EID!$B:$B,0))/2,0),ROUND($AZ105*$BA105,0))</f>
        <v>0</v>
      </c>
      <c r="BC105" s="91" t="n">
        <f aca="false">IF(LEFT($B105,4)="_Mil","",IF(SUM($BB105)=0,SUM($AD105),IF(OR(SUM($AP105)=0,SUM($AQ105)=0),MAX($BB105,$AD105),ROUND($BB105*$AQ105/$AP105,0))))</f>
        <v>0</v>
      </c>
      <c r="BD105" s="88" t="n">
        <f aca="false">IF($C105="&lt;01","",95%)</f>
        <v>0.95</v>
      </c>
      <c r="BE105" s="39" t="n">
        <f aca="false">IF($C105="&lt;01",ROUND(INDEX(EID!$V:$V,MATCH($B105,EID!$B:$B,0))/2,0),ROUND($BD105*$BB105,0))</f>
        <v>0</v>
      </c>
      <c r="BF105" s="39" t="n">
        <f aca="false">IF(LEFT($B105,4)="_Mil","",IF(SUM($BE105)=0,SUM($AF105),IF(OR(SUM($AP105)=0,SUM($AQ105)=0),MAX($BE105,$AF105),ROUND($BE105*$AQ105/$AP105,0))))</f>
        <v>0</v>
      </c>
      <c r="BG105" s="114" t="n">
        <f aca="false">IF($C105="&lt;01","",95%)</f>
        <v>0.95</v>
      </c>
      <c r="BH105" s="5" t="n">
        <f aca="false">IF($C105="&lt;01",ROUND(INDEX(EID!$L:$L,MATCH($B105,EID!$B:$B,0)),0)/2,IF(SUM($BG105)=0,"",ROUND($AX105/$BG105,0)))</f>
        <v>0</v>
      </c>
    </row>
    <row r="106" customFormat="false" ht="15" hidden="false" customHeight="false" outlineLevel="0" collapsed="false">
      <c r="A106" s="0" t="str">
        <f aca="false">INDEX(Prioritization!$D:$D,MATCH($B106,Prioritization!$A:$A,0))</f>
        <v>1 - Scale-up: Saturation</v>
      </c>
      <c r="B106" s="0" t="s">
        <v>200</v>
      </c>
      <c r="C106" s="0" t="s">
        <v>365</v>
      </c>
      <c r="D106" s="0" t="s">
        <v>48</v>
      </c>
      <c r="E106" s="0" t="str">
        <f aca="false">$B106&amp;"|"&amp;$C106&amp;"|"&amp;$D106</f>
        <v>Nkhotakota District [YCKiBAp8QAg]|15-24|Male</v>
      </c>
      <c r="F106" s="10"/>
      <c r="G106" s="10"/>
      <c r="H106" s="10"/>
      <c r="I106" s="10"/>
      <c r="J106" s="10"/>
      <c r="K106" s="10"/>
      <c r="L106" s="10"/>
      <c r="M106" s="10"/>
      <c r="N106" s="10"/>
      <c r="O106" s="10" t="str">
        <f aca="false">IFERROR(1/(1/MAX($I106,$N106)),"")</f>
        <v/>
      </c>
      <c r="P106" s="10"/>
      <c r="Q106" s="10"/>
      <c r="R106" s="10" t="str">
        <f aca="false">IF(AND(SUM($I106)=0,SUM($O106)=0),"",SUM($O106)-$I106)</f>
        <v/>
      </c>
      <c r="S106" s="10" t="n">
        <f aca="false">IF(LEFT($B106,4)="_Mil","",_xlfn.IFNA(ROUND(INDEX(Spectrum!$N:$N,MATCH(RIGHT($B106,13)&amp;"|"&amp;$C106&amp;"|"&amp;$D106&amp;"|"&amp;S$14&amp;"|"&amp;"CY2022Q4",Spectrum!$R:$R,0)),0),""))</f>
        <v>876</v>
      </c>
      <c r="T106" s="39" t="n">
        <f aca="false">IF(LEFT($B106,4)="_Mil","",_xlfn.IFNA(ROUND(INDEX(Spectrum!$N:$N,MATCH(RIGHT($B106,13)&amp;"|"&amp;$C106&amp;"|"&amp;$D106&amp;"|"&amp;T$14&amp;"|"&amp;"CY2023Q3",Spectrum!$R:$R,0)),0),""))</f>
        <v>1953</v>
      </c>
      <c r="U106" s="39" t="str">
        <f aca="false">IF(LEFT($B106,4)="_Mil","",_xlfn.IFNA(ROUND(INDEX(Spectrum!$N:$N,MATCH(RIGHT($B106,13)&amp;"|"&amp;$C106&amp;"|"&amp;$D106&amp;"|"&amp;U$14&amp;"|"&amp;"CY2023Q3",Spectrum!$R:$R,0)),0),""))</f>
        <v/>
      </c>
      <c r="V106" s="10" t="n">
        <f aca="false">IF(LEFT($B106,4)="_Mil","",_xlfn.IFNA(ROUND(INDEX(Spectrum!$N:$N,MATCH(RIGHT($B106,13)&amp;"|"&amp;$C106&amp;"|"&amp;$D106&amp;"|"&amp;V$14&amp;"|"&amp;"CY2023Q3",Spectrum!$R:$R,0)),0),""))</f>
        <v>598</v>
      </c>
      <c r="W106" s="113" t="n">
        <f aca="false">IF(LEFT($B106,4)="_Mil","",_xlfn.IFNA(INDEX(Spectrum!$N:$N,MATCH(RIGHT($B106,13)&amp;"|"&amp;$C106&amp;"|"&amp;$D106&amp;"|"&amp;W$14&amp;"|"&amp;"CY2023Q3",Spectrum!$R:$R,0)),""))</f>
        <v>1488</v>
      </c>
      <c r="X106" s="39" t="n">
        <f aca="false">IF(LEFT($B106,4)="_Mil","",_xlfn.IFNA(ROUND(INDEX(Spectrum!$N:$N,MATCH(RIGHT($B106,13)&amp;"|"&amp;$C106&amp;"|"&amp;$D106&amp;"|"&amp;X$14&amp;"|"&amp;"CY2023Q3",Spectrum!$R:$R,0)),0),""))</f>
        <v>1726</v>
      </c>
      <c r="Y106" s="88" t="str">
        <f aca="false">IF(OR(SUM($U106)=0,LEFT($B106,4)="_Mil"),"",SUM($X106)/$U106)</f>
        <v/>
      </c>
      <c r="Z106" s="39" t="n">
        <f aca="false">IF(LEFT($B106,4)="_Mil","",_xlfn.IFNA(ROUND(INDEX(Spectrum!$N:$N,MATCH(RIGHT($B106,13)&amp;"|"&amp;$C106&amp;"|"&amp;$D106&amp;"|"&amp;Z$14&amp;"|"&amp;"CY2023Q3",Spectrum!$R:$R,0)),0),""))</f>
        <v>1053</v>
      </c>
      <c r="AA106" s="88" t="n">
        <f aca="false">IF(LEFT($B106,4)="_Mil","",IFERROR(1/(1/INDEX(Spectrum!$N:$N,MATCH(RIGHT($B106,13)&amp;"|"&amp;$C106&amp;"|"&amp;$D106&amp;"|"&amp;AA$14&amp;"|"&amp;"CY2023Q3",Spectrum!$R:$R,0))),IF(SUM($U106)=0,"",SUM($Z106)/$U106)))</f>
        <v>1020</v>
      </c>
      <c r="AB106" s="88" t="n">
        <f aca="false">IF(OR(LEFT($B106,4)="_Mil",SUM($X106)=0),"",SUM($Z106)/$X106)</f>
        <v>0.610081112398609</v>
      </c>
      <c r="AC106" s="10" t="n">
        <f aca="false">IF(LEFT($B106,4)="_Mil","",_xlfn.IFNA(ROUND(INDEX(Spectrum!$N:$N,MATCH(RIGHT($B106,13)&amp;"|"&amp;$C106&amp;"|"&amp;$D106&amp;"|"&amp;AC$14&amp;"|"&amp;"CY2023Q3",Spectrum!$R:$R,0)),0),""))</f>
        <v>1636</v>
      </c>
      <c r="AD106" s="10" t="str">
        <f aca="false">IF(LEFT($B106,4)="_Mil","",_xlfn.IFNA(ROUND(INDEX(Spectrum!$N:$N,MATCH(RIGHT($B106,13)&amp;"|"&amp;$C106&amp;"|"&amp;$D106&amp;"|"&amp;AD$14&amp;"|"&amp;"CY2023Q3",Spectrum!$R:$R,0)),0),""))</f>
        <v/>
      </c>
      <c r="AE106" s="88" t="n">
        <f aca="false">IF(OR(LEFT($B106,4)="_Mil",SUM($Z106)=0),"",SUM($AD106)/$Z106)</f>
        <v>0</v>
      </c>
      <c r="AF106" s="39" t="str">
        <f aca="false">IF(LEFT($B106,4)="_Mil","",_xlfn.IFNA(ROUND(INDEX(Spectrum!$N:$N,MATCH(RIGHT($B106,13)&amp;"|"&amp;$C106&amp;"|"&amp;$D106&amp;"|"&amp;AF$14&amp;"|"&amp;"CY2023Q3",Spectrum!$R:$R,0)),0),""))</f>
        <v/>
      </c>
      <c r="AG106" s="88" t="str">
        <f aca="false">IF(OR(LEFT($B106,4)="_Mil",SUM($AD106)=0),"",SUM($AF106)/$AD106)</f>
        <v/>
      </c>
      <c r="AH106" s="86" t="str">
        <f aca="false">IF(LEFT($B106,4)="_Mil","",_xlfn.IFNA(INDEX(Spectrum!$N:$N,MATCH(RIGHT($B106,13)&amp;"|"&amp;$C106&amp;"|"&amp;$D106&amp;"|"&amp;AH$14&amp;"|"&amp;"CY2023Q3",Spectrum!$R:$R,0)),""))</f>
        <v/>
      </c>
      <c r="AI106" s="10" t="str">
        <f aca="false">IF(LEFT($B106,4)="_Mil","",_xlfn.IFNA(ROUND(INDEX(Spectrum!$N:$N,MATCH(RIGHT($B106,13)&amp;"|"&amp;$C106&amp;"|"&amp;$D106&amp;"|"&amp;AI$14&amp;"|"&amp;"CY2023Q3",Spectrum!$R:$R,0)),0),""))</f>
        <v/>
      </c>
      <c r="AJ106" s="39" t="n">
        <f aca="false">IF(LEFT($B106,4)="_Mil","",_xlfn.IFNA(ROUND(INDEX(Spectrum!$N:$N,MATCH(RIGHT($B106,13)&amp;"|"&amp;$C106&amp;"|"&amp;$D106&amp;"|"&amp;AI$14&amp;"|"&amp;"CY2023Q3",Spectrum!$R:$R,0)),0),SUM($U106)+SUM($AI106)))</f>
        <v>0</v>
      </c>
      <c r="AK106" s="10" t="str">
        <f aca="false">IF(LEFT($B106,4)="_Mil","",_xlfn.IFNA(ROUND(INDEX(Spectrum!$N:$N,MATCH(RIGHT($B106,13)&amp;"|"&amp;$C106&amp;"|"&amp;$D106&amp;"|"&amp;AK$14&amp;"|"&amp;"CY2023Q3",Spectrum!$R:$R,0)),0),""))</f>
        <v/>
      </c>
      <c r="AL106" s="88" t="n">
        <f aca="false">IF(OR(LEFT($B106,4)="_Mil",$C106="&lt;01"),"",MAX(SUM($AA106),90%))</f>
        <v>1020</v>
      </c>
      <c r="AM106" s="10" t="n">
        <f aca="false">IF(OR(LEFT($B106,4)="_Mil",$C106="&lt;01"),"",ROUND(SUM($AJ106)*SUM($AL106),0))</f>
        <v>0</v>
      </c>
      <c r="AN106" s="10" t="str">
        <f aca="false">IF($C106="&lt;01",ROUND(INDEX(EID!$P:$P,MATCH($B106,EID!$B:$B,0))/2,0),"")</f>
        <v/>
      </c>
      <c r="AO106" s="10" t="n">
        <f aca="false">IF($C106="&lt;01",SUM($AN106),ROUND(SUM($AM106)*SUM($O106)/IF(SUM($Z106)=0,1,$Z106),0))</f>
        <v>0</v>
      </c>
      <c r="AP106" s="39" t="n">
        <f aca="false">IF(OR($F106="",$C106="&lt;01"),$AO106,$F106)</f>
        <v>0</v>
      </c>
      <c r="AQ106" s="39" t="n">
        <f aca="false">IF(LEFT($B106,4)="_Mil","",IF(SUM($AP106)=0,SUM($Z106),IF(OR(SUM($Z106)=0,SUM($O106)=0),MAX($AP106,$Z106),$AP106*$Z106/$O106)))</f>
        <v>1053</v>
      </c>
      <c r="AR106" s="88" t="str">
        <f aca="false">IF(OR(LEFT($B106,4)="_Mil",SUM($AJ106)=0),"",SUM($AQ106)/$AJ106)</f>
        <v/>
      </c>
      <c r="AS106" s="88" t="n">
        <f aca="false">IF($C106="&lt;01","",98%)</f>
        <v>0.98</v>
      </c>
      <c r="AT106" s="88" t="n">
        <f aca="false">IF($C106="&lt;01","",98%)</f>
        <v>0.98</v>
      </c>
      <c r="AU106" s="10" t="n">
        <f aca="false">IF($C106="&lt;01","",SUM($AP106)-SUM($O106))</f>
        <v>0</v>
      </c>
      <c r="AV106" s="10" t="n">
        <f aca="false">IF($C106="&lt;01",ROUND(INDEX(EID!$N:$N,MATCH($B106,EID!$B:$B,0))/2,0),IF(SUM($AT106)=0,"",ROUND((SUM($AP106)-(SUM($O106)*SUM($AS106)))/$AT106,0)))</f>
        <v>0</v>
      </c>
      <c r="AW106" s="88" t="n">
        <f aca="false">IF($C106="&lt;01","",100%)</f>
        <v>1</v>
      </c>
      <c r="AX106" s="39" t="n">
        <f aca="false">IF($C106="&lt;01",SUM($AV106),ROUND(SUM($AV106)*SUM($AW106),0))</f>
        <v>0</v>
      </c>
      <c r="AY106" s="114" t="n">
        <f aca="false">IF($C106="&lt;01","",70%)</f>
        <v>0.7</v>
      </c>
      <c r="AZ106" s="91" t="n">
        <f aca="false">IF($C106="&lt;01",ROUND(INDEX(EID!$R:$R,MATCH($B106,EID!$B:$B,0))/2,0),ROUND(SUM($O106)+(SUM($AV106)*$AY106),0))</f>
        <v>0</v>
      </c>
      <c r="BA106" s="87" t="n">
        <f aca="false">IF($C106="&lt;01","",95%)</f>
        <v>0.95</v>
      </c>
      <c r="BB106" s="5" t="n">
        <f aca="false">IF($C106="&lt;01",ROUND(INDEX(EID!$T:$T,MATCH($B106,EID!$B:$B,0))/2,0),ROUND($AZ106*$BA106,0))</f>
        <v>0</v>
      </c>
      <c r="BC106" s="91" t="n">
        <f aca="false">IF(LEFT($B106,4)="_Mil","",IF(SUM($BB106)=0,SUM($AD106),IF(OR(SUM($AP106)=0,SUM($AQ106)=0),MAX($BB106,$AD106),ROUND($BB106*$AQ106/$AP106,0))))</f>
        <v>0</v>
      </c>
      <c r="BD106" s="88" t="n">
        <f aca="false">IF($C106="&lt;01","",95%)</f>
        <v>0.95</v>
      </c>
      <c r="BE106" s="39" t="n">
        <f aca="false">IF($C106="&lt;01",ROUND(INDEX(EID!$V:$V,MATCH($B106,EID!$B:$B,0))/2,0),ROUND($BD106*$BB106,0))</f>
        <v>0</v>
      </c>
      <c r="BF106" s="39" t="n">
        <f aca="false">IF(LEFT($B106,4)="_Mil","",IF(SUM($BE106)=0,SUM($AF106),IF(OR(SUM($AP106)=0,SUM($AQ106)=0),MAX($BE106,$AF106),ROUND($BE106*$AQ106/$AP106,0))))</f>
        <v>0</v>
      </c>
      <c r="BG106" s="114" t="n">
        <f aca="false">IF($C106="&lt;01","",95%)</f>
        <v>0.95</v>
      </c>
      <c r="BH106" s="5" t="n">
        <f aca="false">IF($C106="&lt;01",ROUND(INDEX(EID!$L:$L,MATCH($B106,EID!$B:$B,0)),0)/2,IF(SUM($BG106)=0,"",ROUND($AX106/$BG106,0)))</f>
        <v>0</v>
      </c>
    </row>
    <row r="107" customFormat="false" ht="15" hidden="false" customHeight="false" outlineLevel="0" collapsed="false">
      <c r="A107" s="0" t="str">
        <f aca="false">INDEX(Prioritization!$D:$D,MATCH($B107,Prioritization!$A:$A,0))</f>
        <v>1 - Scale-up: Saturation</v>
      </c>
      <c r="B107" s="0" t="s">
        <v>200</v>
      </c>
      <c r="C107" s="0" t="s">
        <v>366</v>
      </c>
      <c r="D107" s="0" t="s">
        <v>30</v>
      </c>
      <c r="E107" s="0" t="str">
        <f aca="false">$B107&amp;"|"&amp;$C107&amp;"|"&amp;$D107</f>
        <v>Nkhotakota District [YCKiBAp8QAg]|25-34|Female</v>
      </c>
      <c r="F107" s="10"/>
      <c r="G107" s="10"/>
      <c r="H107" s="10"/>
      <c r="I107" s="10"/>
      <c r="J107" s="10"/>
      <c r="K107" s="10"/>
      <c r="L107" s="10"/>
      <c r="M107" s="10"/>
      <c r="N107" s="10"/>
      <c r="O107" s="10" t="str">
        <f aca="false">IFERROR(1/(1/MAX($I107,$N107)),"")</f>
        <v/>
      </c>
      <c r="P107" s="10"/>
      <c r="Q107" s="10"/>
      <c r="R107" s="10" t="str">
        <f aca="false">IF(AND(SUM($I107)=0,SUM($O107)=0),"",SUM($O107)-$I107)</f>
        <v/>
      </c>
      <c r="S107" s="10" t="n">
        <f aca="false">IF(LEFT($B107,4)="_Mil","",_xlfn.IFNA(ROUND(INDEX(Spectrum!$N:$N,MATCH(RIGHT($B107,13)&amp;"|"&amp;$C107&amp;"|"&amp;$D107&amp;"|"&amp;S$14&amp;"|"&amp;"CY2022Q4",Spectrum!$R:$R,0)),0),""))</f>
        <v>1802</v>
      </c>
      <c r="T107" s="39" t="n">
        <f aca="false">IF(LEFT($B107,4)="_Mil","",_xlfn.IFNA(ROUND(INDEX(Spectrum!$N:$N,MATCH(RIGHT($B107,13)&amp;"|"&amp;$C107&amp;"|"&amp;$D107&amp;"|"&amp;T$14&amp;"|"&amp;"CY2023Q3",Spectrum!$R:$R,0)),0),""))</f>
        <v>1237</v>
      </c>
      <c r="U107" s="39" t="str">
        <f aca="false">IF(LEFT($B107,4)="_Mil","",_xlfn.IFNA(ROUND(INDEX(Spectrum!$N:$N,MATCH(RIGHT($B107,13)&amp;"|"&amp;$C107&amp;"|"&amp;$D107&amp;"|"&amp;U$14&amp;"|"&amp;"CY2023Q3",Spectrum!$R:$R,0)),0),""))</f>
        <v/>
      </c>
      <c r="V107" s="10" t="n">
        <f aca="false">IF(LEFT($B107,4)="_Mil","",_xlfn.IFNA(ROUND(INDEX(Spectrum!$N:$N,MATCH(RIGHT($B107,13)&amp;"|"&amp;$C107&amp;"|"&amp;$D107&amp;"|"&amp;V$14&amp;"|"&amp;"CY2023Q3",Spectrum!$R:$R,0)),0),""))</f>
        <v>1350</v>
      </c>
      <c r="W107" s="113" t="n">
        <f aca="false">IF(LEFT($B107,4)="_Mil","",_xlfn.IFNA(INDEX(Spectrum!$N:$N,MATCH(RIGHT($B107,13)&amp;"|"&amp;$C107&amp;"|"&amp;$D107&amp;"|"&amp;W$14&amp;"|"&amp;"CY2023Q3",Spectrum!$R:$R,0)),""))</f>
        <v>1905</v>
      </c>
      <c r="X107" s="39" t="n">
        <f aca="false">IF(LEFT($B107,4)="_Mil","",_xlfn.IFNA(ROUND(INDEX(Spectrum!$N:$N,MATCH(RIGHT($B107,13)&amp;"|"&amp;$C107&amp;"|"&amp;$D107&amp;"|"&amp;X$14&amp;"|"&amp;"CY2023Q3",Spectrum!$R:$R,0)),0),""))</f>
        <v>565</v>
      </c>
      <c r="Y107" s="88" t="str">
        <f aca="false">IF(OR(SUM($U107)=0,LEFT($B107,4)="_Mil"),"",SUM($X107)/$U107)</f>
        <v/>
      </c>
      <c r="Z107" s="39" t="n">
        <f aca="false">IF(LEFT($B107,4)="_Mil","",_xlfn.IFNA(ROUND(INDEX(Spectrum!$N:$N,MATCH(RIGHT($B107,13)&amp;"|"&amp;$C107&amp;"|"&amp;$D107&amp;"|"&amp;Z$14&amp;"|"&amp;"CY2023Q3",Spectrum!$R:$R,0)),0),""))</f>
        <v>1564</v>
      </c>
      <c r="AA107" s="88" t="n">
        <f aca="false">IF(LEFT($B107,4)="_Mil","",IFERROR(1/(1/INDEX(Spectrum!$N:$N,MATCH(RIGHT($B107,13)&amp;"|"&amp;$C107&amp;"|"&amp;$D107&amp;"|"&amp;AA$14&amp;"|"&amp;"CY2023Q3",Spectrum!$R:$R,0))),IF(SUM($U107)=0,"",SUM($Z107)/$U107)))</f>
        <v>990</v>
      </c>
      <c r="AB107" s="88" t="n">
        <f aca="false">IF(OR(LEFT($B107,4)="_Mil",SUM($X107)=0),"",SUM($Z107)/$X107)</f>
        <v>2.76814159292035</v>
      </c>
      <c r="AC107" s="10" t="n">
        <f aca="false">IF(LEFT($B107,4)="_Mil","",_xlfn.IFNA(ROUND(INDEX(Spectrum!$N:$N,MATCH(RIGHT($B107,13)&amp;"|"&amp;$C107&amp;"|"&amp;$D107&amp;"|"&amp;AC$14&amp;"|"&amp;"CY2023Q3",Spectrum!$R:$R,0)),0),""))</f>
        <v>1357</v>
      </c>
      <c r="AD107" s="10" t="str">
        <f aca="false">IF(LEFT($B107,4)="_Mil","",_xlfn.IFNA(ROUND(INDEX(Spectrum!$N:$N,MATCH(RIGHT($B107,13)&amp;"|"&amp;$C107&amp;"|"&amp;$D107&amp;"|"&amp;AD$14&amp;"|"&amp;"CY2023Q3",Spectrum!$R:$R,0)),0),""))</f>
        <v/>
      </c>
      <c r="AE107" s="88" t="n">
        <f aca="false">IF(OR(LEFT($B107,4)="_Mil",SUM($Z107)=0),"",SUM($AD107)/$Z107)</f>
        <v>0</v>
      </c>
      <c r="AF107" s="39" t="str">
        <f aca="false">IF(LEFT($B107,4)="_Mil","",_xlfn.IFNA(ROUND(INDEX(Spectrum!$N:$N,MATCH(RIGHT($B107,13)&amp;"|"&amp;$C107&amp;"|"&amp;$D107&amp;"|"&amp;AF$14&amp;"|"&amp;"CY2023Q3",Spectrum!$R:$R,0)),0),""))</f>
        <v/>
      </c>
      <c r="AG107" s="88" t="str">
        <f aca="false">IF(OR(LEFT($B107,4)="_Mil",SUM($AD107)=0),"",SUM($AF107)/$AD107)</f>
        <v/>
      </c>
      <c r="AH107" s="86" t="str">
        <f aca="false">IF(LEFT($B107,4)="_Mil","",_xlfn.IFNA(INDEX(Spectrum!$N:$N,MATCH(RIGHT($B107,13)&amp;"|"&amp;$C107&amp;"|"&amp;$D107&amp;"|"&amp;AH$14&amp;"|"&amp;"CY2023Q3",Spectrum!$R:$R,0)),""))</f>
        <v/>
      </c>
      <c r="AI107" s="10" t="str">
        <f aca="false">IF(LEFT($B107,4)="_Mil","",_xlfn.IFNA(ROUND(INDEX(Spectrum!$N:$N,MATCH(RIGHT($B107,13)&amp;"|"&amp;$C107&amp;"|"&amp;$D107&amp;"|"&amp;AI$14&amp;"|"&amp;"CY2023Q3",Spectrum!$R:$R,0)),0),""))</f>
        <v/>
      </c>
      <c r="AJ107" s="39" t="n">
        <f aca="false">IF(LEFT($B107,4)="_Mil","",_xlfn.IFNA(ROUND(INDEX(Spectrum!$N:$N,MATCH(RIGHT($B107,13)&amp;"|"&amp;$C107&amp;"|"&amp;$D107&amp;"|"&amp;AI$14&amp;"|"&amp;"CY2023Q3",Spectrum!$R:$R,0)),0),SUM($U107)+SUM($AI107)))</f>
        <v>0</v>
      </c>
      <c r="AK107" s="10" t="str">
        <f aca="false">IF(LEFT($B107,4)="_Mil","",_xlfn.IFNA(ROUND(INDEX(Spectrum!$N:$N,MATCH(RIGHT($B107,13)&amp;"|"&amp;$C107&amp;"|"&amp;$D107&amp;"|"&amp;AK$14&amp;"|"&amp;"CY2023Q3",Spectrum!$R:$R,0)),0),""))</f>
        <v/>
      </c>
      <c r="AL107" s="88" t="n">
        <f aca="false">IF(OR(LEFT($B107,4)="_Mil",$C107="&lt;01"),"",MAX(SUM($AA107),90%))</f>
        <v>990</v>
      </c>
      <c r="AM107" s="10" t="n">
        <f aca="false">IF(OR(LEFT($B107,4)="_Mil",$C107="&lt;01"),"",ROUND(SUM($AJ107)*SUM($AL107),0))</f>
        <v>0</v>
      </c>
      <c r="AN107" s="10" t="str">
        <f aca="false">IF($C107="&lt;01",ROUND(INDEX(EID!$P:$P,MATCH($B107,EID!$B:$B,0))/2,0),"")</f>
        <v/>
      </c>
      <c r="AO107" s="10" t="n">
        <f aca="false">IF($C107="&lt;01",SUM($AN107),ROUND(SUM($AM107)*SUM($O107)/IF(SUM($Z107)=0,1,$Z107),0))</f>
        <v>0</v>
      </c>
      <c r="AP107" s="39" t="n">
        <f aca="false">IF(OR($F107="",$C107="&lt;01"),$AO107,$F107)</f>
        <v>0</v>
      </c>
      <c r="AQ107" s="39" t="n">
        <f aca="false">IF(LEFT($B107,4)="_Mil","",IF(SUM($AP107)=0,SUM($Z107),IF(OR(SUM($Z107)=0,SUM($O107)=0),MAX($AP107,$Z107),$AP107*$Z107/$O107)))</f>
        <v>1564</v>
      </c>
      <c r="AR107" s="88" t="str">
        <f aca="false">IF(OR(LEFT($B107,4)="_Mil",SUM($AJ107)=0),"",SUM($AQ107)/$AJ107)</f>
        <v/>
      </c>
      <c r="AS107" s="88" t="n">
        <f aca="false">IF($C107="&lt;01","",98%)</f>
        <v>0.98</v>
      </c>
      <c r="AT107" s="88" t="n">
        <f aca="false">IF($C107="&lt;01","",98%)</f>
        <v>0.98</v>
      </c>
      <c r="AU107" s="10" t="n">
        <f aca="false">IF($C107="&lt;01","",SUM($AP107)-SUM($O107))</f>
        <v>0</v>
      </c>
      <c r="AV107" s="10" t="n">
        <f aca="false">IF($C107="&lt;01",ROUND(INDEX(EID!$N:$N,MATCH($B107,EID!$B:$B,0))/2,0),IF(SUM($AT107)=0,"",ROUND((SUM($AP107)-(SUM($O107)*SUM($AS107)))/$AT107,0)))</f>
        <v>0</v>
      </c>
      <c r="AW107" s="88" t="n">
        <f aca="false">IF($C107="&lt;01","",100%)</f>
        <v>1</v>
      </c>
      <c r="AX107" s="39" t="n">
        <f aca="false">IF($C107="&lt;01",SUM($AV107),ROUND(SUM($AV107)*SUM($AW107),0))</f>
        <v>0</v>
      </c>
      <c r="AY107" s="114" t="n">
        <f aca="false">IF($C107="&lt;01","",70%)</f>
        <v>0.7</v>
      </c>
      <c r="AZ107" s="91" t="n">
        <f aca="false">IF($C107="&lt;01",ROUND(INDEX(EID!$R:$R,MATCH($B107,EID!$B:$B,0))/2,0),ROUND(SUM($O107)+(SUM($AV107)*$AY107),0))</f>
        <v>0</v>
      </c>
      <c r="BA107" s="87" t="n">
        <f aca="false">IF($C107="&lt;01","",95%)</f>
        <v>0.95</v>
      </c>
      <c r="BB107" s="5" t="n">
        <f aca="false">IF($C107="&lt;01",ROUND(INDEX(EID!$T:$T,MATCH($B107,EID!$B:$B,0))/2,0),ROUND($AZ107*$BA107,0))</f>
        <v>0</v>
      </c>
      <c r="BC107" s="91" t="n">
        <f aca="false">IF(LEFT($B107,4)="_Mil","",IF(SUM($BB107)=0,SUM($AD107),IF(OR(SUM($AP107)=0,SUM($AQ107)=0),MAX($BB107,$AD107),ROUND($BB107*$AQ107/$AP107,0))))</f>
        <v>0</v>
      </c>
      <c r="BD107" s="88" t="n">
        <f aca="false">IF($C107="&lt;01","",95%)</f>
        <v>0.95</v>
      </c>
      <c r="BE107" s="39" t="n">
        <f aca="false">IF($C107="&lt;01",ROUND(INDEX(EID!$V:$V,MATCH($B107,EID!$B:$B,0))/2,0),ROUND($BD107*$BB107,0))</f>
        <v>0</v>
      </c>
      <c r="BF107" s="39" t="n">
        <f aca="false">IF(LEFT($B107,4)="_Mil","",IF(SUM($BE107)=0,SUM($AF107),IF(OR(SUM($AP107)=0,SUM($AQ107)=0),MAX($BE107,$AF107),ROUND($BE107*$AQ107/$AP107,0))))</f>
        <v>0</v>
      </c>
      <c r="BG107" s="114" t="n">
        <f aca="false">IF($C107="&lt;01","",95%)</f>
        <v>0.95</v>
      </c>
      <c r="BH107" s="5" t="n">
        <f aca="false">IF($C107="&lt;01",ROUND(INDEX(EID!$L:$L,MATCH($B107,EID!$B:$B,0)),0)/2,IF(SUM($BG107)=0,"",ROUND($AX107/$BG107,0)))</f>
        <v>0</v>
      </c>
    </row>
    <row r="108" customFormat="false" ht="15" hidden="false" customHeight="false" outlineLevel="0" collapsed="false">
      <c r="A108" s="0" t="str">
        <f aca="false">INDEX(Prioritization!$D:$D,MATCH($B108,Prioritization!$A:$A,0))</f>
        <v>1 - Scale-up: Saturation</v>
      </c>
      <c r="B108" s="0" t="s">
        <v>200</v>
      </c>
      <c r="C108" s="0" t="s">
        <v>366</v>
      </c>
      <c r="D108" s="0" t="s">
        <v>48</v>
      </c>
      <c r="E108" s="0" t="str">
        <f aca="false">$B108&amp;"|"&amp;$C108&amp;"|"&amp;$D108</f>
        <v>Nkhotakota District [YCKiBAp8QAg]|25-34|Male</v>
      </c>
      <c r="F108" s="10"/>
      <c r="G108" s="10"/>
      <c r="H108" s="10"/>
      <c r="I108" s="10"/>
      <c r="J108" s="10"/>
      <c r="K108" s="10"/>
      <c r="L108" s="10"/>
      <c r="M108" s="10"/>
      <c r="N108" s="10"/>
      <c r="O108" s="10" t="str">
        <f aca="false">IFERROR(1/(1/MAX($I108,$N108)),"")</f>
        <v/>
      </c>
      <c r="P108" s="10"/>
      <c r="Q108" s="10"/>
      <c r="R108" s="10" t="str">
        <f aca="false">IF(AND(SUM($I108)=0,SUM($O108)=0),"",SUM($O108)-$I108)</f>
        <v/>
      </c>
      <c r="S108" s="10" t="n">
        <f aca="false">IF(LEFT($B108,4)="_Mil","",_xlfn.IFNA(ROUND(INDEX(Spectrum!$N:$N,MATCH(RIGHT($B108,13)&amp;"|"&amp;$C108&amp;"|"&amp;$D108&amp;"|"&amp;S$14&amp;"|"&amp;"CY2022Q4",Spectrum!$R:$R,0)),0),""))</f>
        <v>1590</v>
      </c>
      <c r="T108" s="39" t="n">
        <f aca="false">IF(LEFT($B108,4)="_Mil","",_xlfn.IFNA(ROUND(INDEX(Spectrum!$N:$N,MATCH(RIGHT($B108,13)&amp;"|"&amp;$C108&amp;"|"&amp;$D108&amp;"|"&amp;T$14&amp;"|"&amp;"CY2023Q3",Spectrum!$R:$R,0)),0),""))</f>
        <v>1777</v>
      </c>
      <c r="U108" s="39" t="str">
        <f aca="false">IF(LEFT($B108,4)="_Mil","",_xlfn.IFNA(ROUND(INDEX(Spectrum!$N:$N,MATCH(RIGHT($B108,13)&amp;"|"&amp;$C108&amp;"|"&amp;$D108&amp;"|"&amp;U$14&amp;"|"&amp;"CY2023Q3",Spectrum!$R:$R,0)),0),""))</f>
        <v/>
      </c>
      <c r="V108" s="10" t="n">
        <f aca="false">IF(LEFT($B108,4)="_Mil","",_xlfn.IFNA(ROUND(INDEX(Spectrum!$N:$N,MATCH(RIGHT($B108,13)&amp;"|"&amp;$C108&amp;"|"&amp;$D108&amp;"|"&amp;V$14&amp;"|"&amp;"CY2023Q3",Spectrum!$R:$R,0)),0),""))</f>
        <v>1018</v>
      </c>
      <c r="W108" s="113" t="n">
        <f aca="false">IF(LEFT($B108,4)="_Mil","",_xlfn.IFNA(INDEX(Spectrum!$N:$N,MATCH(RIGHT($B108,13)&amp;"|"&amp;$C108&amp;"|"&amp;$D108&amp;"|"&amp;W$14&amp;"|"&amp;"CY2023Q3",Spectrum!$R:$R,0)),""))</f>
        <v>905</v>
      </c>
      <c r="X108" s="39" t="n">
        <f aca="false">IF(LEFT($B108,4)="_Mil","",_xlfn.IFNA(ROUND(INDEX(Spectrum!$N:$N,MATCH(RIGHT($B108,13)&amp;"|"&amp;$C108&amp;"|"&amp;$D108&amp;"|"&amp;X$14&amp;"|"&amp;"CY2023Q3",Spectrum!$R:$R,0)),0),""))</f>
        <v>1098</v>
      </c>
      <c r="Y108" s="88" t="str">
        <f aca="false">IF(OR(SUM($U108)=0,LEFT($B108,4)="_Mil"),"",SUM($X108)/$U108)</f>
        <v/>
      </c>
      <c r="Z108" s="39" t="n">
        <f aca="false">IF(LEFT($B108,4)="_Mil","",_xlfn.IFNA(ROUND(INDEX(Spectrum!$N:$N,MATCH(RIGHT($B108,13)&amp;"|"&amp;$C108&amp;"|"&amp;$D108&amp;"|"&amp;Z$14&amp;"|"&amp;"CY2023Q3",Spectrum!$R:$R,0)),0),""))</f>
        <v>798</v>
      </c>
      <c r="AA108" s="88" t="n">
        <f aca="false">IF(LEFT($B108,4)="_Mil","",IFERROR(1/(1/INDEX(Spectrum!$N:$N,MATCH(RIGHT($B108,13)&amp;"|"&amp;$C108&amp;"|"&amp;$D108&amp;"|"&amp;AA$14&amp;"|"&amp;"CY2023Q3",Spectrum!$R:$R,0))),IF(SUM($U108)=0,"",SUM($Z108)/$U108)))</f>
        <v>1603</v>
      </c>
      <c r="AB108" s="88" t="n">
        <f aca="false">IF(OR(LEFT($B108,4)="_Mil",SUM($X108)=0),"",SUM($Z108)/$X108)</f>
        <v>0.726775956284153</v>
      </c>
      <c r="AC108" s="10" t="n">
        <f aca="false">IF(LEFT($B108,4)="_Mil","",_xlfn.IFNA(ROUND(INDEX(Spectrum!$N:$N,MATCH(RIGHT($B108,13)&amp;"|"&amp;$C108&amp;"|"&amp;$D108&amp;"|"&amp;AC$14&amp;"|"&amp;"CY2023Q3",Spectrum!$R:$R,0)),0),""))</f>
        <v>1176</v>
      </c>
      <c r="AD108" s="10" t="str">
        <f aca="false">IF(LEFT($B108,4)="_Mil","",_xlfn.IFNA(ROUND(INDEX(Spectrum!$N:$N,MATCH(RIGHT($B108,13)&amp;"|"&amp;$C108&amp;"|"&amp;$D108&amp;"|"&amp;AD$14&amp;"|"&amp;"CY2023Q3",Spectrum!$R:$R,0)),0),""))</f>
        <v/>
      </c>
      <c r="AE108" s="88" t="n">
        <f aca="false">IF(OR(LEFT($B108,4)="_Mil",SUM($Z108)=0),"",SUM($AD108)/$Z108)</f>
        <v>0</v>
      </c>
      <c r="AF108" s="39" t="str">
        <f aca="false">IF(LEFT($B108,4)="_Mil","",_xlfn.IFNA(ROUND(INDEX(Spectrum!$N:$N,MATCH(RIGHT($B108,13)&amp;"|"&amp;$C108&amp;"|"&amp;$D108&amp;"|"&amp;AF$14&amp;"|"&amp;"CY2023Q3",Spectrum!$R:$R,0)),0),""))</f>
        <v/>
      </c>
      <c r="AG108" s="88" t="str">
        <f aca="false">IF(OR(LEFT($B108,4)="_Mil",SUM($AD108)=0),"",SUM($AF108)/$AD108)</f>
        <v/>
      </c>
      <c r="AH108" s="86" t="str">
        <f aca="false">IF(LEFT($B108,4)="_Mil","",_xlfn.IFNA(INDEX(Spectrum!$N:$N,MATCH(RIGHT($B108,13)&amp;"|"&amp;$C108&amp;"|"&amp;$D108&amp;"|"&amp;AH$14&amp;"|"&amp;"CY2023Q3",Spectrum!$R:$R,0)),""))</f>
        <v/>
      </c>
      <c r="AI108" s="10" t="str">
        <f aca="false">IF(LEFT($B108,4)="_Mil","",_xlfn.IFNA(ROUND(INDEX(Spectrum!$N:$N,MATCH(RIGHT($B108,13)&amp;"|"&amp;$C108&amp;"|"&amp;$D108&amp;"|"&amp;AI$14&amp;"|"&amp;"CY2023Q3",Spectrum!$R:$R,0)),0),""))</f>
        <v/>
      </c>
      <c r="AJ108" s="39" t="n">
        <f aca="false">IF(LEFT($B108,4)="_Mil","",_xlfn.IFNA(ROUND(INDEX(Spectrum!$N:$N,MATCH(RIGHT($B108,13)&amp;"|"&amp;$C108&amp;"|"&amp;$D108&amp;"|"&amp;AI$14&amp;"|"&amp;"CY2023Q3",Spectrum!$R:$R,0)),0),SUM($U108)+SUM($AI108)))</f>
        <v>0</v>
      </c>
      <c r="AK108" s="10" t="str">
        <f aca="false">IF(LEFT($B108,4)="_Mil","",_xlfn.IFNA(ROUND(INDEX(Spectrum!$N:$N,MATCH(RIGHT($B108,13)&amp;"|"&amp;$C108&amp;"|"&amp;$D108&amp;"|"&amp;AK$14&amp;"|"&amp;"CY2023Q3",Spectrum!$R:$R,0)),0),""))</f>
        <v/>
      </c>
      <c r="AL108" s="88" t="n">
        <f aca="false">IF(OR(LEFT($B108,4)="_Mil",$C108="&lt;01"),"",MAX(SUM($AA108),90%))</f>
        <v>1603</v>
      </c>
      <c r="AM108" s="10" t="n">
        <f aca="false">IF(OR(LEFT($B108,4)="_Mil",$C108="&lt;01"),"",ROUND(SUM($AJ108)*SUM($AL108),0))</f>
        <v>0</v>
      </c>
      <c r="AN108" s="10" t="str">
        <f aca="false">IF($C108="&lt;01",ROUND(INDEX(EID!$P:$P,MATCH($B108,EID!$B:$B,0))/2,0),"")</f>
        <v/>
      </c>
      <c r="AO108" s="10" t="n">
        <f aca="false">IF($C108="&lt;01",SUM($AN108),ROUND(SUM($AM108)*SUM($O108)/IF(SUM($Z108)=0,1,$Z108),0))</f>
        <v>0</v>
      </c>
      <c r="AP108" s="39" t="n">
        <f aca="false">IF(OR($F108="",$C108="&lt;01"),$AO108,$F108)</f>
        <v>0</v>
      </c>
      <c r="AQ108" s="39" t="n">
        <f aca="false">IF(LEFT($B108,4)="_Mil","",IF(SUM($AP108)=0,SUM($Z108),IF(OR(SUM($Z108)=0,SUM($O108)=0),MAX($AP108,$Z108),$AP108*$Z108/$O108)))</f>
        <v>798</v>
      </c>
      <c r="AR108" s="88" t="str">
        <f aca="false">IF(OR(LEFT($B108,4)="_Mil",SUM($AJ108)=0),"",SUM($AQ108)/$AJ108)</f>
        <v/>
      </c>
      <c r="AS108" s="88" t="n">
        <f aca="false">IF($C108="&lt;01","",98%)</f>
        <v>0.98</v>
      </c>
      <c r="AT108" s="88" t="n">
        <f aca="false">IF($C108="&lt;01","",98%)</f>
        <v>0.98</v>
      </c>
      <c r="AU108" s="10" t="n">
        <f aca="false">IF($C108="&lt;01","",SUM($AP108)-SUM($O108))</f>
        <v>0</v>
      </c>
      <c r="AV108" s="10" t="n">
        <f aca="false">IF($C108="&lt;01",ROUND(INDEX(EID!$N:$N,MATCH($B108,EID!$B:$B,0))/2,0),IF(SUM($AT108)=0,"",ROUND((SUM($AP108)-(SUM($O108)*SUM($AS108)))/$AT108,0)))</f>
        <v>0</v>
      </c>
      <c r="AW108" s="88" t="n">
        <f aca="false">IF($C108="&lt;01","",100%)</f>
        <v>1</v>
      </c>
      <c r="AX108" s="39" t="n">
        <f aca="false">IF($C108="&lt;01",SUM($AV108),ROUND(SUM($AV108)*SUM($AW108),0))</f>
        <v>0</v>
      </c>
      <c r="AY108" s="114" t="n">
        <f aca="false">IF($C108="&lt;01","",70%)</f>
        <v>0.7</v>
      </c>
      <c r="AZ108" s="91" t="n">
        <f aca="false">IF($C108="&lt;01",ROUND(INDEX(EID!$R:$R,MATCH($B108,EID!$B:$B,0))/2,0),ROUND(SUM($O108)+(SUM($AV108)*$AY108),0))</f>
        <v>0</v>
      </c>
      <c r="BA108" s="87" t="n">
        <f aca="false">IF($C108="&lt;01","",95%)</f>
        <v>0.95</v>
      </c>
      <c r="BB108" s="5" t="n">
        <f aca="false">IF($C108="&lt;01",ROUND(INDEX(EID!$T:$T,MATCH($B108,EID!$B:$B,0))/2,0),ROUND($AZ108*$BA108,0))</f>
        <v>0</v>
      </c>
      <c r="BC108" s="91" t="n">
        <f aca="false">IF(LEFT($B108,4)="_Mil","",IF(SUM($BB108)=0,SUM($AD108),IF(OR(SUM($AP108)=0,SUM($AQ108)=0),MAX($BB108,$AD108),ROUND($BB108*$AQ108/$AP108,0))))</f>
        <v>0</v>
      </c>
      <c r="BD108" s="88" t="n">
        <f aca="false">IF($C108="&lt;01","",95%)</f>
        <v>0.95</v>
      </c>
      <c r="BE108" s="39" t="n">
        <f aca="false">IF($C108="&lt;01",ROUND(INDEX(EID!$V:$V,MATCH($B108,EID!$B:$B,0))/2,0),ROUND($BD108*$BB108,0))</f>
        <v>0</v>
      </c>
      <c r="BF108" s="39" t="n">
        <f aca="false">IF(LEFT($B108,4)="_Mil","",IF(SUM($BE108)=0,SUM($AF108),IF(OR(SUM($AP108)=0,SUM($AQ108)=0),MAX($BE108,$AF108),ROUND($BE108*$AQ108/$AP108,0))))</f>
        <v>0</v>
      </c>
      <c r="BG108" s="114" t="n">
        <f aca="false">IF($C108="&lt;01","",95%)</f>
        <v>0.95</v>
      </c>
      <c r="BH108" s="5" t="n">
        <f aca="false">IF($C108="&lt;01",ROUND(INDEX(EID!$L:$L,MATCH($B108,EID!$B:$B,0)),0)/2,IF(SUM($BG108)=0,"",ROUND($AX108/$BG108,0)))</f>
        <v>0</v>
      </c>
    </row>
    <row r="109" customFormat="false" ht="15" hidden="false" customHeight="false" outlineLevel="0" collapsed="false">
      <c r="A109" s="0" t="str">
        <f aca="false">INDEX(Prioritization!$D:$D,MATCH($B109,Prioritization!$A:$A,0))</f>
        <v>1 - Scale-up: Saturation</v>
      </c>
      <c r="B109" s="0" t="s">
        <v>200</v>
      </c>
      <c r="C109" s="0" t="s">
        <v>367</v>
      </c>
      <c r="D109" s="0" t="s">
        <v>30</v>
      </c>
      <c r="E109" s="0" t="str">
        <f aca="false">$B109&amp;"|"&amp;$C109&amp;"|"&amp;$D109</f>
        <v>Nkhotakota District [YCKiBAp8QAg]|35-49|Female</v>
      </c>
      <c r="F109" s="10"/>
      <c r="G109" s="10"/>
      <c r="H109" s="10"/>
      <c r="I109" s="10"/>
      <c r="J109" s="10"/>
      <c r="K109" s="10"/>
      <c r="L109" s="10"/>
      <c r="M109" s="10"/>
      <c r="N109" s="10"/>
      <c r="O109" s="10" t="str">
        <f aca="false">IFERROR(1/(1/MAX($I109,$N109)),"")</f>
        <v/>
      </c>
      <c r="P109" s="10"/>
      <c r="Q109" s="10"/>
      <c r="R109" s="10" t="str">
        <f aca="false">IF(AND(SUM($I109)=0,SUM($O109)=0),"",SUM($O109)-$I109)</f>
        <v/>
      </c>
      <c r="S109" s="10" t="n">
        <f aca="false">IF(LEFT($B109,4)="_Mil","",_xlfn.IFNA(ROUND(INDEX(Spectrum!$N:$N,MATCH(RIGHT($B109,13)&amp;"|"&amp;$C109&amp;"|"&amp;$D109&amp;"|"&amp;S$14&amp;"|"&amp;"CY2022Q4",Spectrum!$R:$R,0)),0),""))</f>
        <v>717</v>
      </c>
      <c r="T109" s="39" t="n">
        <f aca="false">IF(LEFT($B109,4)="_Mil","",_xlfn.IFNA(ROUND(INDEX(Spectrum!$N:$N,MATCH(RIGHT($B109,13)&amp;"|"&amp;$C109&amp;"|"&amp;$D109&amp;"|"&amp;T$14&amp;"|"&amp;"CY2023Q3",Spectrum!$R:$R,0)),0),""))</f>
        <v>1440</v>
      </c>
      <c r="U109" s="39" t="str">
        <f aca="false">IF(LEFT($B109,4)="_Mil","",_xlfn.IFNA(ROUND(INDEX(Spectrum!$N:$N,MATCH(RIGHT($B109,13)&amp;"|"&amp;$C109&amp;"|"&amp;$D109&amp;"|"&amp;U$14&amp;"|"&amp;"CY2023Q3",Spectrum!$R:$R,0)),0),""))</f>
        <v/>
      </c>
      <c r="V109" s="10" t="n">
        <f aca="false">IF(LEFT($B109,4)="_Mil","",_xlfn.IFNA(ROUND(INDEX(Spectrum!$N:$N,MATCH(RIGHT($B109,13)&amp;"|"&amp;$C109&amp;"|"&amp;$D109&amp;"|"&amp;V$14&amp;"|"&amp;"CY2023Q3",Spectrum!$R:$R,0)),0),""))</f>
        <v>1466</v>
      </c>
      <c r="W109" s="113" t="n">
        <f aca="false">IF(LEFT($B109,4)="_Mil","",_xlfn.IFNA(INDEX(Spectrum!$N:$N,MATCH(RIGHT($B109,13)&amp;"|"&amp;$C109&amp;"|"&amp;$D109&amp;"|"&amp;W$14&amp;"|"&amp;"CY2023Q3",Spectrum!$R:$R,0)),""))</f>
        <v>1121</v>
      </c>
      <c r="X109" s="39" t="n">
        <f aca="false">IF(LEFT($B109,4)="_Mil","",_xlfn.IFNA(ROUND(INDEX(Spectrum!$N:$N,MATCH(RIGHT($B109,13)&amp;"|"&amp;$C109&amp;"|"&amp;$D109&amp;"|"&amp;X$14&amp;"|"&amp;"CY2023Q3",Spectrum!$R:$R,0)),0),""))</f>
        <v>1797</v>
      </c>
      <c r="Y109" s="88" t="str">
        <f aca="false">IF(OR(SUM($U109)=0,LEFT($B109,4)="_Mil"),"",SUM($X109)/$U109)</f>
        <v/>
      </c>
      <c r="Z109" s="39" t="n">
        <f aca="false">IF(LEFT($B109,4)="_Mil","",_xlfn.IFNA(ROUND(INDEX(Spectrum!$N:$N,MATCH(RIGHT($B109,13)&amp;"|"&amp;$C109&amp;"|"&amp;$D109&amp;"|"&amp;Z$14&amp;"|"&amp;"CY2023Q3",Spectrum!$R:$R,0)),0),""))</f>
        <v>652</v>
      </c>
      <c r="AA109" s="88" t="n">
        <f aca="false">IF(LEFT($B109,4)="_Mil","",IFERROR(1/(1/INDEX(Spectrum!$N:$N,MATCH(RIGHT($B109,13)&amp;"|"&amp;$C109&amp;"|"&amp;$D109&amp;"|"&amp;AA$14&amp;"|"&amp;"CY2023Q3",Spectrum!$R:$R,0))),IF(SUM($U109)=0,"",SUM($Z109)/$U109)))</f>
        <v>667</v>
      </c>
      <c r="AB109" s="88" t="n">
        <f aca="false">IF(OR(LEFT($B109,4)="_Mil",SUM($X109)=0),"",SUM($Z109)/$X109)</f>
        <v>0.36282693377852</v>
      </c>
      <c r="AC109" s="10" t="n">
        <f aca="false">IF(LEFT($B109,4)="_Mil","",_xlfn.IFNA(ROUND(INDEX(Spectrum!$N:$N,MATCH(RIGHT($B109,13)&amp;"|"&amp;$C109&amp;"|"&amp;$D109&amp;"|"&amp;AC$14&amp;"|"&amp;"CY2023Q3",Spectrum!$R:$R,0)),0),""))</f>
        <v>1813</v>
      </c>
      <c r="AD109" s="10" t="str">
        <f aca="false">IF(LEFT($B109,4)="_Mil","",_xlfn.IFNA(ROUND(INDEX(Spectrum!$N:$N,MATCH(RIGHT($B109,13)&amp;"|"&amp;$C109&amp;"|"&amp;$D109&amp;"|"&amp;AD$14&amp;"|"&amp;"CY2023Q3",Spectrum!$R:$R,0)),0),""))</f>
        <v/>
      </c>
      <c r="AE109" s="88" t="n">
        <f aca="false">IF(OR(LEFT($B109,4)="_Mil",SUM($Z109)=0),"",SUM($AD109)/$Z109)</f>
        <v>0</v>
      </c>
      <c r="AF109" s="39" t="str">
        <f aca="false">IF(LEFT($B109,4)="_Mil","",_xlfn.IFNA(ROUND(INDEX(Spectrum!$N:$N,MATCH(RIGHT($B109,13)&amp;"|"&amp;$C109&amp;"|"&amp;$D109&amp;"|"&amp;AF$14&amp;"|"&amp;"CY2023Q3",Spectrum!$R:$R,0)),0),""))</f>
        <v/>
      </c>
      <c r="AG109" s="88" t="str">
        <f aca="false">IF(OR(LEFT($B109,4)="_Mil",SUM($AD109)=0),"",SUM($AF109)/$AD109)</f>
        <v/>
      </c>
      <c r="AH109" s="86" t="str">
        <f aca="false">IF(LEFT($B109,4)="_Mil","",_xlfn.IFNA(INDEX(Spectrum!$N:$N,MATCH(RIGHT($B109,13)&amp;"|"&amp;$C109&amp;"|"&amp;$D109&amp;"|"&amp;AH$14&amp;"|"&amp;"CY2023Q3",Spectrum!$R:$R,0)),""))</f>
        <v/>
      </c>
      <c r="AI109" s="10" t="str">
        <f aca="false">IF(LEFT($B109,4)="_Mil","",_xlfn.IFNA(ROUND(INDEX(Spectrum!$N:$N,MATCH(RIGHT($B109,13)&amp;"|"&amp;$C109&amp;"|"&amp;$D109&amp;"|"&amp;AI$14&amp;"|"&amp;"CY2023Q3",Spectrum!$R:$R,0)),0),""))</f>
        <v/>
      </c>
      <c r="AJ109" s="39" t="n">
        <f aca="false">IF(LEFT($B109,4)="_Mil","",_xlfn.IFNA(ROUND(INDEX(Spectrum!$N:$N,MATCH(RIGHT($B109,13)&amp;"|"&amp;$C109&amp;"|"&amp;$D109&amp;"|"&amp;AI$14&amp;"|"&amp;"CY2023Q3",Spectrum!$R:$R,0)),0),SUM($U109)+SUM($AI109)))</f>
        <v>0</v>
      </c>
      <c r="AK109" s="10" t="str">
        <f aca="false">IF(LEFT($B109,4)="_Mil","",_xlfn.IFNA(ROUND(INDEX(Spectrum!$N:$N,MATCH(RIGHT($B109,13)&amp;"|"&amp;$C109&amp;"|"&amp;$D109&amp;"|"&amp;AK$14&amp;"|"&amp;"CY2023Q3",Spectrum!$R:$R,0)),0),""))</f>
        <v/>
      </c>
      <c r="AL109" s="88" t="n">
        <f aca="false">IF(OR(LEFT($B109,4)="_Mil",$C109="&lt;01"),"",MAX(SUM($AA109),90%))</f>
        <v>667</v>
      </c>
      <c r="AM109" s="10" t="n">
        <f aca="false">IF(OR(LEFT($B109,4)="_Mil",$C109="&lt;01"),"",ROUND(SUM($AJ109)*SUM($AL109),0))</f>
        <v>0</v>
      </c>
      <c r="AN109" s="10" t="str">
        <f aca="false">IF($C109="&lt;01",ROUND(INDEX(EID!$P:$P,MATCH($B109,EID!$B:$B,0))/2,0),"")</f>
        <v/>
      </c>
      <c r="AO109" s="10" t="n">
        <f aca="false">IF($C109="&lt;01",SUM($AN109),ROUND(SUM($AM109)*SUM($O109)/IF(SUM($Z109)=0,1,$Z109),0))</f>
        <v>0</v>
      </c>
      <c r="AP109" s="39" t="n">
        <f aca="false">IF(OR($F109="",$C109="&lt;01"),$AO109,$F109)</f>
        <v>0</v>
      </c>
      <c r="AQ109" s="39" t="n">
        <f aca="false">IF(LEFT($B109,4)="_Mil","",IF(SUM($AP109)=0,SUM($Z109),IF(OR(SUM($Z109)=0,SUM($O109)=0),MAX($AP109,$Z109),$AP109*$Z109/$O109)))</f>
        <v>652</v>
      </c>
      <c r="AR109" s="88" t="str">
        <f aca="false">IF(OR(LEFT($B109,4)="_Mil",SUM($AJ109)=0),"",SUM($AQ109)/$AJ109)</f>
        <v/>
      </c>
      <c r="AS109" s="88" t="n">
        <f aca="false">IF($C109="&lt;01","",98%)</f>
        <v>0.98</v>
      </c>
      <c r="AT109" s="88" t="n">
        <f aca="false">IF($C109="&lt;01","",98%)</f>
        <v>0.98</v>
      </c>
      <c r="AU109" s="10" t="n">
        <f aca="false">IF($C109="&lt;01","",SUM($AP109)-SUM($O109))</f>
        <v>0</v>
      </c>
      <c r="AV109" s="10" t="n">
        <f aca="false">IF($C109="&lt;01",ROUND(INDEX(EID!$N:$N,MATCH($B109,EID!$B:$B,0))/2,0),IF(SUM($AT109)=0,"",ROUND((SUM($AP109)-(SUM($O109)*SUM($AS109)))/$AT109,0)))</f>
        <v>0</v>
      </c>
      <c r="AW109" s="88" t="n">
        <f aca="false">IF($C109="&lt;01","",100%)</f>
        <v>1</v>
      </c>
      <c r="AX109" s="39" t="n">
        <f aca="false">IF($C109="&lt;01",SUM($AV109),ROUND(SUM($AV109)*SUM($AW109),0))</f>
        <v>0</v>
      </c>
      <c r="AY109" s="114" t="n">
        <f aca="false">IF($C109="&lt;01","",70%)</f>
        <v>0.7</v>
      </c>
      <c r="AZ109" s="91" t="n">
        <f aca="false">IF($C109="&lt;01",ROUND(INDEX(EID!$R:$R,MATCH($B109,EID!$B:$B,0))/2,0),ROUND(SUM($O109)+(SUM($AV109)*$AY109),0))</f>
        <v>0</v>
      </c>
      <c r="BA109" s="87" t="n">
        <f aca="false">IF($C109="&lt;01","",95%)</f>
        <v>0.95</v>
      </c>
      <c r="BB109" s="5" t="n">
        <f aca="false">IF($C109="&lt;01",ROUND(INDEX(EID!$T:$T,MATCH($B109,EID!$B:$B,0))/2,0),ROUND($AZ109*$BA109,0))</f>
        <v>0</v>
      </c>
      <c r="BC109" s="91" t="n">
        <f aca="false">IF(LEFT($B109,4)="_Mil","",IF(SUM($BB109)=0,SUM($AD109),IF(OR(SUM($AP109)=0,SUM($AQ109)=0),MAX($BB109,$AD109),ROUND($BB109*$AQ109/$AP109,0))))</f>
        <v>0</v>
      </c>
      <c r="BD109" s="88" t="n">
        <f aca="false">IF($C109="&lt;01","",95%)</f>
        <v>0.95</v>
      </c>
      <c r="BE109" s="39" t="n">
        <f aca="false">IF($C109="&lt;01",ROUND(INDEX(EID!$V:$V,MATCH($B109,EID!$B:$B,0))/2,0),ROUND($BD109*$BB109,0))</f>
        <v>0</v>
      </c>
      <c r="BF109" s="39" t="n">
        <f aca="false">IF(LEFT($B109,4)="_Mil","",IF(SUM($BE109)=0,SUM($AF109),IF(OR(SUM($AP109)=0,SUM($AQ109)=0),MAX($BE109,$AF109),ROUND($BE109*$AQ109/$AP109,0))))</f>
        <v>0</v>
      </c>
      <c r="BG109" s="114" t="n">
        <f aca="false">IF($C109="&lt;01","",95%)</f>
        <v>0.95</v>
      </c>
      <c r="BH109" s="5" t="n">
        <f aca="false">IF($C109="&lt;01",ROUND(INDEX(EID!$L:$L,MATCH($B109,EID!$B:$B,0)),0)/2,IF(SUM($BG109)=0,"",ROUND($AX109/$BG109,0)))</f>
        <v>0</v>
      </c>
    </row>
    <row r="110" customFormat="false" ht="15" hidden="false" customHeight="false" outlineLevel="0" collapsed="false">
      <c r="A110" s="0" t="str">
        <f aca="false">INDEX(Prioritization!$D:$D,MATCH($B110,Prioritization!$A:$A,0))</f>
        <v>1 - Scale-up: Saturation</v>
      </c>
      <c r="B110" s="0" t="s">
        <v>200</v>
      </c>
      <c r="C110" s="0" t="s">
        <v>367</v>
      </c>
      <c r="D110" s="0" t="s">
        <v>48</v>
      </c>
      <c r="E110" s="0" t="str">
        <f aca="false">$B110&amp;"|"&amp;$C110&amp;"|"&amp;$D110</f>
        <v>Nkhotakota District [YCKiBAp8QAg]|35-49|Male</v>
      </c>
      <c r="F110" s="10"/>
      <c r="G110" s="10"/>
      <c r="H110" s="10"/>
      <c r="I110" s="10"/>
      <c r="J110" s="10"/>
      <c r="K110" s="10"/>
      <c r="L110" s="10"/>
      <c r="M110" s="10"/>
      <c r="N110" s="10"/>
      <c r="O110" s="10" t="str">
        <f aca="false">IFERROR(1/(1/MAX($I110,$N110)),"")</f>
        <v/>
      </c>
      <c r="P110" s="10"/>
      <c r="Q110" s="10"/>
      <c r="R110" s="10" t="str">
        <f aca="false">IF(AND(SUM($I110)=0,SUM($O110)=0),"",SUM($O110)-$I110)</f>
        <v/>
      </c>
      <c r="S110" s="10" t="n">
        <f aca="false">IF(LEFT($B110,4)="_Mil","",_xlfn.IFNA(ROUND(INDEX(Spectrum!$N:$N,MATCH(RIGHT($B110,13)&amp;"|"&amp;$C110&amp;"|"&amp;$D110&amp;"|"&amp;S$14&amp;"|"&amp;"CY2022Q4",Spectrum!$R:$R,0)),0),""))</f>
        <v>968</v>
      </c>
      <c r="T110" s="39" t="n">
        <f aca="false">IF(LEFT($B110,4)="_Mil","",_xlfn.IFNA(ROUND(INDEX(Spectrum!$N:$N,MATCH(RIGHT($B110,13)&amp;"|"&amp;$C110&amp;"|"&amp;$D110&amp;"|"&amp;T$14&amp;"|"&amp;"CY2023Q3",Spectrum!$R:$R,0)),0),""))</f>
        <v>1337</v>
      </c>
      <c r="U110" s="39" t="str">
        <f aca="false">IF(LEFT($B110,4)="_Mil","",_xlfn.IFNA(ROUND(INDEX(Spectrum!$N:$N,MATCH(RIGHT($B110,13)&amp;"|"&amp;$C110&amp;"|"&amp;$D110&amp;"|"&amp;U$14&amp;"|"&amp;"CY2023Q3",Spectrum!$R:$R,0)),0),""))</f>
        <v/>
      </c>
      <c r="V110" s="10" t="n">
        <f aca="false">IF(LEFT($B110,4)="_Mil","",_xlfn.IFNA(ROUND(INDEX(Spectrum!$N:$N,MATCH(RIGHT($B110,13)&amp;"|"&amp;$C110&amp;"|"&amp;$D110&amp;"|"&amp;V$14&amp;"|"&amp;"CY2023Q3",Spectrum!$R:$R,0)),0),""))</f>
        <v>645</v>
      </c>
      <c r="W110" s="113" t="n">
        <f aca="false">IF(LEFT($B110,4)="_Mil","",_xlfn.IFNA(INDEX(Spectrum!$N:$N,MATCH(RIGHT($B110,13)&amp;"|"&amp;$C110&amp;"|"&amp;$D110&amp;"|"&amp;W$14&amp;"|"&amp;"CY2023Q3",Spectrum!$R:$R,0)),""))</f>
        <v>511</v>
      </c>
      <c r="X110" s="39" t="n">
        <f aca="false">IF(LEFT($B110,4)="_Mil","",_xlfn.IFNA(ROUND(INDEX(Spectrum!$N:$N,MATCH(RIGHT($B110,13)&amp;"|"&amp;$C110&amp;"|"&amp;$D110&amp;"|"&amp;X$14&amp;"|"&amp;"CY2023Q3",Spectrum!$R:$R,0)),0),""))</f>
        <v>1917</v>
      </c>
      <c r="Y110" s="88" t="str">
        <f aca="false">IF(OR(SUM($U110)=0,LEFT($B110,4)="_Mil"),"",SUM($X110)/$U110)</f>
        <v/>
      </c>
      <c r="Z110" s="39" t="n">
        <f aca="false">IF(LEFT($B110,4)="_Mil","",_xlfn.IFNA(ROUND(INDEX(Spectrum!$N:$N,MATCH(RIGHT($B110,13)&amp;"|"&amp;$C110&amp;"|"&amp;$D110&amp;"|"&amp;Z$14&amp;"|"&amp;"CY2023Q3",Spectrum!$R:$R,0)),0),""))</f>
        <v>648</v>
      </c>
      <c r="AA110" s="88" t="n">
        <f aca="false">IF(LEFT($B110,4)="_Mil","",IFERROR(1/(1/INDEX(Spectrum!$N:$N,MATCH(RIGHT($B110,13)&amp;"|"&amp;$C110&amp;"|"&amp;$D110&amp;"|"&amp;AA$14&amp;"|"&amp;"CY2023Q3",Spectrum!$R:$R,0))),IF(SUM($U110)=0,"",SUM($Z110)/$U110)))</f>
        <v>1398</v>
      </c>
      <c r="AB110" s="88" t="n">
        <f aca="false">IF(OR(LEFT($B110,4)="_Mil",SUM($X110)=0),"",SUM($Z110)/$X110)</f>
        <v>0.338028169014084</v>
      </c>
      <c r="AC110" s="10" t="n">
        <f aca="false">IF(LEFT($B110,4)="_Mil","",_xlfn.IFNA(ROUND(INDEX(Spectrum!$N:$N,MATCH(RIGHT($B110,13)&amp;"|"&amp;$C110&amp;"|"&amp;$D110&amp;"|"&amp;AC$14&amp;"|"&amp;"CY2023Q3",Spectrum!$R:$R,0)),0),""))</f>
        <v>692</v>
      </c>
      <c r="AD110" s="10" t="str">
        <f aca="false">IF(LEFT($B110,4)="_Mil","",_xlfn.IFNA(ROUND(INDEX(Spectrum!$N:$N,MATCH(RIGHT($B110,13)&amp;"|"&amp;$C110&amp;"|"&amp;$D110&amp;"|"&amp;AD$14&amp;"|"&amp;"CY2023Q3",Spectrum!$R:$R,0)),0),""))</f>
        <v/>
      </c>
      <c r="AE110" s="88" t="n">
        <f aca="false">IF(OR(LEFT($B110,4)="_Mil",SUM($Z110)=0),"",SUM($AD110)/$Z110)</f>
        <v>0</v>
      </c>
      <c r="AF110" s="39" t="str">
        <f aca="false">IF(LEFT($B110,4)="_Mil","",_xlfn.IFNA(ROUND(INDEX(Spectrum!$N:$N,MATCH(RIGHT($B110,13)&amp;"|"&amp;$C110&amp;"|"&amp;$D110&amp;"|"&amp;AF$14&amp;"|"&amp;"CY2023Q3",Spectrum!$R:$R,0)),0),""))</f>
        <v/>
      </c>
      <c r="AG110" s="88" t="str">
        <f aca="false">IF(OR(LEFT($B110,4)="_Mil",SUM($AD110)=0),"",SUM($AF110)/$AD110)</f>
        <v/>
      </c>
      <c r="AH110" s="86" t="str">
        <f aca="false">IF(LEFT($B110,4)="_Mil","",_xlfn.IFNA(INDEX(Spectrum!$N:$N,MATCH(RIGHT($B110,13)&amp;"|"&amp;$C110&amp;"|"&amp;$D110&amp;"|"&amp;AH$14&amp;"|"&amp;"CY2023Q3",Spectrum!$R:$R,0)),""))</f>
        <v/>
      </c>
      <c r="AI110" s="10" t="str">
        <f aca="false">IF(LEFT($B110,4)="_Mil","",_xlfn.IFNA(ROUND(INDEX(Spectrum!$N:$N,MATCH(RIGHT($B110,13)&amp;"|"&amp;$C110&amp;"|"&amp;$D110&amp;"|"&amp;AI$14&amp;"|"&amp;"CY2023Q3",Spectrum!$R:$R,0)),0),""))</f>
        <v/>
      </c>
      <c r="AJ110" s="39" t="n">
        <f aca="false">IF(LEFT($B110,4)="_Mil","",_xlfn.IFNA(ROUND(INDEX(Spectrum!$N:$N,MATCH(RIGHT($B110,13)&amp;"|"&amp;$C110&amp;"|"&amp;$D110&amp;"|"&amp;AI$14&amp;"|"&amp;"CY2023Q3",Spectrum!$R:$R,0)),0),SUM($U110)+SUM($AI110)))</f>
        <v>0</v>
      </c>
      <c r="AK110" s="10" t="str">
        <f aca="false">IF(LEFT($B110,4)="_Mil","",_xlfn.IFNA(ROUND(INDEX(Spectrum!$N:$N,MATCH(RIGHT($B110,13)&amp;"|"&amp;$C110&amp;"|"&amp;$D110&amp;"|"&amp;AK$14&amp;"|"&amp;"CY2023Q3",Spectrum!$R:$R,0)),0),""))</f>
        <v/>
      </c>
      <c r="AL110" s="88" t="n">
        <f aca="false">IF(OR(LEFT($B110,4)="_Mil",$C110="&lt;01"),"",MAX(SUM($AA110),90%))</f>
        <v>1398</v>
      </c>
      <c r="AM110" s="10" t="n">
        <f aca="false">IF(OR(LEFT($B110,4)="_Mil",$C110="&lt;01"),"",ROUND(SUM($AJ110)*SUM($AL110),0))</f>
        <v>0</v>
      </c>
      <c r="AN110" s="10" t="str">
        <f aca="false">IF($C110="&lt;01",ROUND(INDEX(EID!$P:$P,MATCH($B110,EID!$B:$B,0))/2,0),"")</f>
        <v/>
      </c>
      <c r="AO110" s="10" t="n">
        <f aca="false">IF($C110="&lt;01",SUM($AN110),ROUND(SUM($AM110)*SUM($O110)/IF(SUM($Z110)=0,1,$Z110),0))</f>
        <v>0</v>
      </c>
      <c r="AP110" s="39" t="n">
        <f aca="false">IF(OR($F110="",$C110="&lt;01"),$AO110,$F110)</f>
        <v>0</v>
      </c>
      <c r="AQ110" s="39" t="n">
        <f aca="false">IF(LEFT($B110,4)="_Mil","",IF(SUM($AP110)=0,SUM($Z110),IF(OR(SUM($Z110)=0,SUM($O110)=0),MAX($AP110,$Z110),$AP110*$Z110/$O110)))</f>
        <v>648</v>
      </c>
      <c r="AR110" s="88" t="str">
        <f aca="false">IF(OR(LEFT($B110,4)="_Mil",SUM($AJ110)=0),"",SUM($AQ110)/$AJ110)</f>
        <v/>
      </c>
      <c r="AS110" s="88" t="n">
        <f aca="false">IF($C110="&lt;01","",98%)</f>
        <v>0.98</v>
      </c>
      <c r="AT110" s="88" t="n">
        <f aca="false">IF($C110="&lt;01","",98%)</f>
        <v>0.98</v>
      </c>
      <c r="AU110" s="10" t="n">
        <f aca="false">IF($C110="&lt;01","",SUM($AP110)-SUM($O110))</f>
        <v>0</v>
      </c>
      <c r="AV110" s="10" t="n">
        <f aca="false">IF($C110="&lt;01",ROUND(INDEX(EID!$N:$N,MATCH($B110,EID!$B:$B,0))/2,0),IF(SUM($AT110)=0,"",ROUND((SUM($AP110)-(SUM($O110)*SUM($AS110)))/$AT110,0)))</f>
        <v>0</v>
      </c>
      <c r="AW110" s="88" t="n">
        <f aca="false">IF($C110="&lt;01","",100%)</f>
        <v>1</v>
      </c>
      <c r="AX110" s="39" t="n">
        <f aca="false">IF($C110="&lt;01",SUM($AV110),ROUND(SUM($AV110)*SUM($AW110),0))</f>
        <v>0</v>
      </c>
      <c r="AY110" s="114" t="n">
        <f aca="false">IF($C110="&lt;01","",70%)</f>
        <v>0.7</v>
      </c>
      <c r="AZ110" s="91" t="n">
        <f aca="false">IF($C110="&lt;01",ROUND(INDEX(EID!$R:$R,MATCH($B110,EID!$B:$B,0))/2,0),ROUND(SUM($O110)+(SUM($AV110)*$AY110),0))</f>
        <v>0</v>
      </c>
      <c r="BA110" s="87" t="n">
        <f aca="false">IF($C110="&lt;01","",95%)</f>
        <v>0.95</v>
      </c>
      <c r="BB110" s="5" t="n">
        <f aca="false">IF($C110="&lt;01",ROUND(INDEX(EID!$T:$T,MATCH($B110,EID!$B:$B,0))/2,0),ROUND($AZ110*$BA110,0))</f>
        <v>0</v>
      </c>
      <c r="BC110" s="91" t="n">
        <f aca="false">IF(LEFT($B110,4)="_Mil","",IF(SUM($BB110)=0,SUM($AD110),IF(OR(SUM($AP110)=0,SUM($AQ110)=0),MAX($BB110,$AD110),ROUND($BB110*$AQ110/$AP110,0))))</f>
        <v>0</v>
      </c>
      <c r="BD110" s="88" t="n">
        <f aca="false">IF($C110="&lt;01","",95%)</f>
        <v>0.95</v>
      </c>
      <c r="BE110" s="39" t="n">
        <f aca="false">IF($C110="&lt;01",ROUND(INDEX(EID!$V:$V,MATCH($B110,EID!$B:$B,0))/2,0),ROUND($BD110*$BB110,0))</f>
        <v>0</v>
      </c>
      <c r="BF110" s="39" t="n">
        <f aca="false">IF(LEFT($B110,4)="_Mil","",IF(SUM($BE110)=0,SUM($AF110),IF(OR(SUM($AP110)=0,SUM($AQ110)=0),MAX($BE110,$AF110),ROUND($BE110*$AQ110/$AP110,0))))</f>
        <v>0</v>
      </c>
      <c r="BG110" s="114" t="n">
        <f aca="false">IF($C110="&lt;01","",95%)</f>
        <v>0.95</v>
      </c>
      <c r="BH110" s="5" t="n">
        <f aca="false">IF($C110="&lt;01",ROUND(INDEX(EID!$L:$L,MATCH($B110,EID!$B:$B,0)),0)/2,IF(SUM($BG110)=0,"",ROUND($AX110/$BG110,0)))</f>
        <v>0</v>
      </c>
    </row>
    <row r="111" customFormat="false" ht="15" hidden="false" customHeight="false" outlineLevel="0" collapsed="false">
      <c r="A111" s="0" t="str">
        <f aca="false">INDEX(Prioritization!$D:$D,MATCH($B111,Prioritization!$A:$A,0))</f>
        <v>1 - Scale-up: Saturation</v>
      </c>
      <c r="B111" s="0" t="s">
        <v>200</v>
      </c>
      <c r="C111" s="0" t="s">
        <v>368</v>
      </c>
      <c r="D111" s="0" t="s">
        <v>30</v>
      </c>
      <c r="E111" s="0" t="str">
        <f aca="false">$B111&amp;"|"&amp;$C111&amp;"|"&amp;$D111</f>
        <v>Nkhotakota District [YCKiBAp8QAg]|50+|Female</v>
      </c>
      <c r="F111" s="10"/>
      <c r="G111" s="10"/>
      <c r="H111" s="10"/>
      <c r="I111" s="10"/>
      <c r="J111" s="10"/>
      <c r="K111" s="10"/>
      <c r="L111" s="10"/>
      <c r="M111" s="10"/>
      <c r="N111" s="10"/>
      <c r="O111" s="10" t="str">
        <f aca="false">IFERROR(1/(1/MAX($I111,$N111)),"")</f>
        <v/>
      </c>
      <c r="P111" s="10"/>
      <c r="Q111" s="10"/>
      <c r="R111" s="10" t="str">
        <f aca="false">IF(AND(SUM($I111)=0,SUM($O111)=0),"",SUM($O111)-$I111)</f>
        <v/>
      </c>
      <c r="S111" s="10" t="n">
        <f aca="false">IF(LEFT($B111,4)="_Mil","",_xlfn.IFNA(ROUND(INDEX(Spectrum!$N:$N,MATCH(RIGHT($B111,13)&amp;"|"&amp;$C111&amp;"|"&amp;$D111&amp;"|"&amp;S$14&amp;"|"&amp;"CY2022Q4",Spectrum!$R:$R,0)),0),""))</f>
        <v>1567</v>
      </c>
      <c r="T111" s="39" t="n">
        <f aca="false">IF(LEFT($B111,4)="_Mil","",_xlfn.IFNA(ROUND(INDEX(Spectrum!$N:$N,MATCH(RIGHT($B111,13)&amp;"|"&amp;$C111&amp;"|"&amp;$D111&amp;"|"&amp;T$14&amp;"|"&amp;"CY2023Q3",Spectrum!$R:$R,0)),0),""))</f>
        <v>728</v>
      </c>
      <c r="U111" s="39" t="str">
        <f aca="false">IF(LEFT($B111,4)="_Mil","",_xlfn.IFNA(ROUND(INDEX(Spectrum!$N:$N,MATCH(RIGHT($B111,13)&amp;"|"&amp;$C111&amp;"|"&amp;$D111&amp;"|"&amp;U$14&amp;"|"&amp;"CY2023Q3",Spectrum!$R:$R,0)),0),""))</f>
        <v/>
      </c>
      <c r="V111" s="10" t="n">
        <f aca="false">IF(LEFT($B111,4)="_Mil","",_xlfn.IFNA(ROUND(INDEX(Spectrum!$N:$N,MATCH(RIGHT($B111,13)&amp;"|"&amp;$C111&amp;"|"&amp;$D111&amp;"|"&amp;V$14&amp;"|"&amp;"CY2023Q3",Spectrum!$R:$R,0)),0),""))</f>
        <v>829</v>
      </c>
      <c r="W111" s="113" t="n">
        <f aca="false">IF(LEFT($B111,4)="_Mil","",_xlfn.IFNA(INDEX(Spectrum!$N:$N,MATCH(RIGHT($B111,13)&amp;"|"&amp;$C111&amp;"|"&amp;$D111&amp;"|"&amp;W$14&amp;"|"&amp;"CY2023Q3",Spectrum!$R:$R,0)),""))</f>
        <v>774</v>
      </c>
      <c r="X111" s="39" t="n">
        <f aca="false">IF(LEFT($B111,4)="_Mil","",_xlfn.IFNA(ROUND(INDEX(Spectrum!$N:$N,MATCH(RIGHT($B111,13)&amp;"|"&amp;$C111&amp;"|"&amp;$D111&amp;"|"&amp;X$14&amp;"|"&amp;"CY2023Q3",Spectrum!$R:$R,0)),0),""))</f>
        <v>1563</v>
      </c>
      <c r="Y111" s="88" t="str">
        <f aca="false">IF(OR(SUM($U111)=0,LEFT($B111,4)="_Mil"),"",SUM($X111)/$U111)</f>
        <v/>
      </c>
      <c r="Z111" s="39" t="n">
        <f aca="false">IF(LEFT($B111,4)="_Mil","",_xlfn.IFNA(ROUND(INDEX(Spectrum!$N:$N,MATCH(RIGHT($B111,13)&amp;"|"&amp;$C111&amp;"|"&amp;$D111&amp;"|"&amp;Z$14&amp;"|"&amp;"CY2023Q3",Spectrum!$R:$R,0)),0),""))</f>
        <v>1301</v>
      </c>
      <c r="AA111" s="88" t="n">
        <f aca="false">IF(LEFT($B111,4)="_Mil","",IFERROR(1/(1/INDEX(Spectrum!$N:$N,MATCH(RIGHT($B111,13)&amp;"|"&amp;$C111&amp;"|"&amp;$D111&amp;"|"&amp;AA$14&amp;"|"&amp;"CY2023Q3",Spectrum!$R:$R,0))),IF(SUM($U111)=0,"",SUM($Z111)/$U111)))</f>
        <v>842</v>
      </c>
      <c r="AB111" s="88" t="n">
        <f aca="false">IF(OR(LEFT($B111,4)="_Mil",SUM($X111)=0),"",SUM($Z111)/$X111)</f>
        <v>0.832373640435061</v>
      </c>
      <c r="AC111" s="10" t="n">
        <f aca="false">IF(LEFT($B111,4)="_Mil","",_xlfn.IFNA(ROUND(INDEX(Spectrum!$N:$N,MATCH(RIGHT($B111,13)&amp;"|"&amp;$C111&amp;"|"&amp;$D111&amp;"|"&amp;AC$14&amp;"|"&amp;"CY2023Q3",Spectrum!$R:$R,0)),0),""))</f>
        <v>1566</v>
      </c>
      <c r="AD111" s="10" t="str">
        <f aca="false">IF(LEFT($B111,4)="_Mil","",_xlfn.IFNA(ROUND(INDEX(Spectrum!$N:$N,MATCH(RIGHT($B111,13)&amp;"|"&amp;$C111&amp;"|"&amp;$D111&amp;"|"&amp;AD$14&amp;"|"&amp;"CY2023Q3",Spectrum!$R:$R,0)),0),""))</f>
        <v/>
      </c>
      <c r="AE111" s="88" t="n">
        <f aca="false">IF(OR(LEFT($B111,4)="_Mil",SUM($Z111)=0),"",SUM($AD111)/$Z111)</f>
        <v>0</v>
      </c>
      <c r="AF111" s="39" t="str">
        <f aca="false">IF(LEFT($B111,4)="_Mil","",_xlfn.IFNA(ROUND(INDEX(Spectrum!$N:$N,MATCH(RIGHT($B111,13)&amp;"|"&amp;$C111&amp;"|"&amp;$D111&amp;"|"&amp;AF$14&amp;"|"&amp;"CY2023Q3",Spectrum!$R:$R,0)),0),""))</f>
        <v/>
      </c>
      <c r="AG111" s="88" t="str">
        <f aca="false">IF(OR(LEFT($B111,4)="_Mil",SUM($AD111)=0),"",SUM($AF111)/$AD111)</f>
        <v/>
      </c>
      <c r="AH111" s="86" t="str">
        <f aca="false">IF(LEFT($B111,4)="_Mil","",_xlfn.IFNA(INDEX(Spectrum!$N:$N,MATCH(RIGHT($B111,13)&amp;"|"&amp;$C111&amp;"|"&amp;$D111&amp;"|"&amp;AH$14&amp;"|"&amp;"CY2023Q3",Spectrum!$R:$R,0)),""))</f>
        <v/>
      </c>
      <c r="AI111" s="10" t="str">
        <f aca="false">IF(LEFT($B111,4)="_Mil","",_xlfn.IFNA(ROUND(INDEX(Spectrum!$N:$N,MATCH(RIGHT($B111,13)&amp;"|"&amp;$C111&amp;"|"&amp;$D111&amp;"|"&amp;AI$14&amp;"|"&amp;"CY2023Q3",Spectrum!$R:$R,0)),0),""))</f>
        <v/>
      </c>
      <c r="AJ111" s="39" t="n">
        <f aca="false">IF(LEFT($B111,4)="_Mil","",_xlfn.IFNA(ROUND(INDEX(Spectrum!$N:$N,MATCH(RIGHT($B111,13)&amp;"|"&amp;$C111&amp;"|"&amp;$D111&amp;"|"&amp;AI$14&amp;"|"&amp;"CY2023Q3",Spectrum!$R:$R,0)),0),SUM($U111)+SUM($AI111)))</f>
        <v>0</v>
      </c>
      <c r="AK111" s="10" t="str">
        <f aca="false">IF(LEFT($B111,4)="_Mil","",_xlfn.IFNA(ROUND(INDEX(Spectrum!$N:$N,MATCH(RIGHT($B111,13)&amp;"|"&amp;$C111&amp;"|"&amp;$D111&amp;"|"&amp;AK$14&amp;"|"&amp;"CY2023Q3",Spectrum!$R:$R,0)),0),""))</f>
        <v/>
      </c>
      <c r="AL111" s="88" t="n">
        <f aca="false">IF(OR(LEFT($B111,4)="_Mil",$C111="&lt;01"),"",MAX(SUM($AA111),90%))</f>
        <v>842</v>
      </c>
      <c r="AM111" s="10" t="n">
        <f aca="false">IF(OR(LEFT($B111,4)="_Mil",$C111="&lt;01"),"",ROUND(SUM($AJ111)*SUM($AL111),0))</f>
        <v>0</v>
      </c>
      <c r="AN111" s="10" t="str">
        <f aca="false">IF($C111="&lt;01",ROUND(INDEX(EID!$P:$P,MATCH($B111,EID!$B:$B,0))/2,0),"")</f>
        <v/>
      </c>
      <c r="AO111" s="10" t="n">
        <f aca="false">IF($C111="&lt;01",SUM($AN111),ROUND(SUM($AM111)*SUM($O111)/IF(SUM($Z111)=0,1,$Z111),0))</f>
        <v>0</v>
      </c>
      <c r="AP111" s="39" t="n">
        <f aca="false">IF(OR($F111="",$C111="&lt;01"),$AO111,$F111)</f>
        <v>0</v>
      </c>
      <c r="AQ111" s="39" t="n">
        <f aca="false">IF(LEFT($B111,4)="_Mil","",IF(SUM($AP111)=0,SUM($Z111),IF(OR(SUM($Z111)=0,SUM($O111)=0),MAX($AP111,$Z111),$AP111*$Z111/$O111)))</f>
        <v>1301</v>
      </c>
      <c r="AR111" s="88" t="str">
        <f aca="false">IF(OR(LEFT($B111,4)="_Mil",SUM($AJ111)=0),"",SUM($AQ111)/$AJ111)</f>
        <v/>
      </c>
      <c r="AS111" s="88" t="n">
        <f aca="false">IF($C111="&lt;01","",98%)</f>
        <v>0.98</v>
      </c>
      <c r="AT111" s="88" t="n">
        <f aca="false">IF($C111="&lt;01","",98%)</f>
        <v>0.98</v>
      </c>
      <c r="AU111" s="10" t="n">
        <f aca="false">IF($C111="&lt;01","",SUM($AP111)-SUM($O111))</f>
        <v>0</v>
      </c>
      <c r="AV111" s="10" t="n">
        <f aca="false">IF($C111="&lt;01",ROUND(INDEX(EID!$N:$N,MATCH($B111,EID!$B:$B,0))/2,0),IF(SUM($AT111)=0,"",ROUND((SUM($AP111)-(SUM($O111)*SUM($AS111)))/$AT111,0)))</f>
        <v>0</v>
      </c>
      <c r="AW111" s="88" t="n">
        <f aca="false">IF($C111="&lt;01","",100%)</f>
        <v>1</v>
      </c>
      <c r="AX111" s="39" t="n">
        <f aca="false">IF($C111="&lt;01",SUM($AV111),ROUND(SUM($AV111)*SUM($AW111),0))</f>
        <v>0</v>
      </c>
      <c r="AY111" s="114" t="n">
        <f aca="false">IF($C111="&lt;01","",70%)</f>
        <v>0.7</v>
      </c>
      <c r="AZ111" s="91" t="n">
        <f aca="false">IF($C111="&lt;01",ROUND(INDEX(EID!$R:$R,MATCH($B111,EID!$B:$B,0))/2,0),ROUND(SUM($O111)+(SUM($AV111)*$AY111),0))</f>
        <v>0</v>
      </c>
      <c r="BA111" s="87" t="n">
        <f aca="false">IF($C111="&lt;01","",95%)</f>
        <v>0.95</v>
      </c>
      <c r="BB111" s="5" t="n">
        <f aca="false">IF($C111="&lt;01",ROUND(INDEX(EID!$T:$T,MATCH($B111,EID!$B:$B,0))/2,0),ROUND($AZ111*$BA111,0))</f>
        <v>0</v>
      </c>
      <c r="BC111" s="91" t="n">
        <f aca="false">IF(LEFT($B111,4)="_Mil","",IF(SUM($BB111)=0,SUM($AD111),IF(OR(SUM($AP111)=0,SUM($AQ111)=0),MAX($BB111,$AD111),ROUND($BB111*$AQ111/$AP111,0))))</f>
        <v>0</v>
      </c>
      <c r="BD111" s="88" t="n">
        <f aca="false">IF($C111="&lt;01","",95%)</f>
        <v>0.95</v>
      </c>
      <c r="BE111" s="39" t="n">
        <f aca="false">IF($C111="&lt;01",ROUND(INDEX(EID!$V:$V,MATCH($B111,EID!$B:$B,0))/2,0),ROUND($BD111*$BB111,0))</f>
        <v>0</v>
      </c>
      <c r="BF111" s="39" t="n">
        <f aca="false">IF(LEFT($B111,4)="_Mil","",IF(SUM($BE111)=0,SUM($AF111),IF(OR(SUM($AP111)=0,SUM($AQ111)=0),MAX($BE111,$AF111),ROUND($BE111*$AQ111/$AP111,0))))</f>
        <v>0</v>
      </c>
      <c r="BG111" s="114" t="n">
        <f aca="false">IF($C111="&lt;01","",95%)</f>
        <v>0.95</v>
      </c>
      <c r="BH111" s="5" t="n">
        <f aca="false">IF($C111="&lt;01",ROUND(INDEX(EID!$L:$L,MATCH($B111,EID!$B:$B,0)),0)/2,IF(SUM($BG111)=0,"",ROUND($AX111/$BG111,0)))</f>
        <v>0</v>
      </c>
    </row>
    <row r="112" customFormat="false" ht="15" hidden="false" customHeight="false" outlineLevel="0" collapsed="false">
      <c r="A112" s="0" t="str">
        <f aca="false">INDEX(Prioritization!$D:$D,MATCH($B112,Prioritization!$A:$A,0))</f>
        <v>1 - Scale-up: Saturation</v>
      </c>
      <c r="B112" s="0" t="s">
        <v>200</v>
      </c>
      <c r="C112" s="0" t="s">
        <v>368</v>
      </c>
      <c r="D112" s="0" t="s">
        <v>48</v>
      </c>
      <c r="E112" s="0" t="str">
        <f aca="false">$B112&amp;"|"&amp;$C112&amp;"|"&amp;$D112</f>
        <v>Nkhotakota District [YCKiBAp8QAg]|50+|Male</v>
      </c>
      <c r="F112" s="10"/>
      <c r="G112" s="10"/>
      <c r="H112" s="10"/>
      <c r="I112" s="10"/>
      <c r="J112" s="10"/>
      <c r="K112" s="10"/>
      <c r="L112" s="10"/>
      <c r="M112" s="10"/>
      <c r="N112" s="10"/>
      <c r="O112" s="10" t="str">
        <f aca="false">IFERROR(1/(1/MAX($I112,$N112)),"")</f>
        <v/>
      </c>
      <c r="P112" s="10"/>
      <c r="Q112" s="10"/>
      <c r="R112" s="10" t="str">
        <f aca="false">IF(AND(SUM($I112)=0,SUM($O112)=0),"",SUM($O112)-$I112)</f>
        <v/>
      </c>
      <c r="S112" s="10" t="n">
        <f aca="false">IF(LEFT($B112,4)="_Mil","",_xlfn.IFNA(ROUND(INDEX(Spectrum!$N:$N,MATCH(RIGHT($B112,13)&amp;"|"&amp;$C112&amp;"|"&amp;$D112&amp;"|"&amp;S$14&amp;"|"&amp;"CY2022Q4",Spectrum!$R:$R,0)),0),""))</f>
        <v>1669</v>
      </c>
      <c r="T112" s="39" t="n">
        <f aca="false">IF(LEFT($B112,4)="_Mil","",_xlfn.IFNA(ROUND(INDEX(Spectrum!$N:$N,MATCH(RIGHT($B112,13)&amp;"|"&amp;$C112&amp;"|"&amp;$D112&amp;"|"&amp;T$14&amp;"|"&amp;"CY2023Q3",Spectrum!$R:$R,0)),0),""))</f>
        <v>610</v>
      </c>
      <c r="U112" s="39" t="str">
        <f aca="false">IF(LEFT($B112,4)="_Mil","",_xlfn.IFNA(ROUND(INDEX(Spectrum!$N:$N,MATCH(RIGHT($B112,13)&amp;"|"&amp;$C112&amp;"|"&amp;$D112&amp;"|"&amp;U$14&amp;"|"&amp;"CY2023Q3",Spectrum!$R:$R,0)),0),""))</f>
        <v/>
      </c>
      <c r="V112" s="10" t="n">
        <f aca="false">IF(LEFT($B112,4)="_Mil","",_xlfn.IFNA(ROUND(INDEX(Spectrum!$N:$N,MATCH(RIGHT($B112,13)&amp;"|"&amp;$C112&amp;"|"&amp;$D112&amp;"|"&amp;V$14&amp;"|"&amp;"CY2023Q3",Spectrum!$R:$R,0)),0),""))</f>
        <v>656</v>
      </c>
      <c r="W112" s="113" t="n">
        <f aca="false">IF(LEFT($B112,4)="_Mil","",_xlfn.IFNA(INDEX(Spectrum!$N:$N,MATCH(RIGHT($B112,13)&amp;"|"&amp;$C112&amp;"|"&amp;$D112&amp;"|"&amp;W$14&amp;"|"&amp;"CY2023Q3",Spectrum!$R:$R,0)),""))</f>
        <v>1395</v>
      </c>
      <c r="X112" s="39" t="n">
        <f aca="false">IF(LEFT($B112,4)="_Mil","",_xlfn.IFNA(ROUND(INDEX(Spectrum!$N:$N,MATCH(RIGHT($B112,13)&amp;"|"&amp;$C112&amp;"|"&amp;$D112&amp;"|"&amp;X$14&amp;"|"&amp;"CY2023Q3",Spectrum!$R:$R,0)),0),""))</f>
        <v>1002</v>
      </c>
      <c r="Y112" s="88" t="str">
        <f aca="false">IF(OR(SUM($U112)=0,LEFT($B112,4)="_Mil"),"",SUM($X112)/$U112)</f>
        <v/>
      </c>
      <c r="Z112" s="39" t="n">
        <f aca="false">IF(LEFT($B112,4)="_Mil","",_xlfn.IFNA(ROUND(INDEX(Spectrum!$N:$N,MATCH(RIGHT($B112,13)&amp;"|"&amp;$C112&amp;"|"&amp;$D112&amp;"|"&amp;Z$14&amp;"|"&amp;"CY2023Q3",Spectrum!$R:$R,0)),0),""))</f>
        <v>721</v>
      </c>
      <c r="AA112" s="88" t="n">
        <f aca="false">IF(LEFT($B112,4)="_Mil","",IFERROR(1/(1/INDEX(Spectrum!$N:$N,MATCH(RIGHT($B112,13)&amp;"|"&amp;$C112&amp;"|"&amp;$D112&amp;"|"&amp;AA$14&amp;"|"&amp;"CY2023Q3",Spectrum!$R:$R,0))),IF(SUM($U112)=0,"",SUM($Z112)/$U112)))</f>
        <v>1711</v>
      </c>
      <c r="AB112" s="88" t="n">
        <f aca="false">IF(OR(LEFT($B112,4)="_Mil",SUM($X112)=0),"",SUM($Z112)/$X112)</f>
        <v>0.719560878243513</v>
      </c>
      <c r="AC112" s="10" t="n">
        <f aca="false">IF(LEFT($B112,4)="_Mil","",_xlfn.IFNA(ROUND(INDEX(Spectrum!$N:$N,MATCH(RIGHT($B112,13)&amp;"|"&amp;$C112&amp;"|"&amp;$D112&amp;"|"&amp;AC$14&amp;"|"&amp;"CY2023Q3",Spectrum!$R:$R,0)),0),""))</f>
        <v>1548</v>
      </c>
      <c r="AD112" s="10" t="str">
        <f aca="false">IF(LEFT($B112,4)="_Mil","",_xlfn.IFNA(ROUND(INDEX(Spectrum!$N:$N,MATCH(RIGHT($B112,13)&amp;"|"&amp;$C112&amp;"|"&amp;$D112&amp;"|"&amp;AD$14&amp;"|"&amp;"CY2023Q3",Spectrum!$R:$R,0)),0),""))</f>
        <v/>
      </c>
      <c r="AE112" s="88" t="n">
        <f aca="false">IF(OR(LEFT($B112,4)="_Mil",SUM($Z112)=0),"",SUM($AD112)/$Z112)</f>
        <v>0</v>
      </c>
      <c r="AF112" s="39" t="str">
        <f aca="false">IF(LEFT($B112,4)="_Mil","",_xlfn.IFNA(ROUND(INDEX(Spectrum!$N:$N,MATCH(RIGHT($B112,13)&amp;"|"&amp;$C112&amp;"|"&amp;$D112&amp;"|"&amp;AF$14&amp;"|"&amp;"CY2023Q3",Spectrum!$R:$R,0)),0),""))</f>
        <v/>
      </c>
      <c r="AG112" s="88" t="str">
        <f aca="false">IF(OR(LEFT($B112,4)="_Mil",SUM($AD112)=0),"",SUM($AF112)/$AD112)</f>
        <v/>
      </c>
      <c r="AH112" s="86" t="str">
        <f aca="false">IF(LEFT($B112,4)="_Mil","",_xlfn.IFNA(INDEX(Spectrum!$N:$N,MATCH(RIGHT($B112,13)&amp;"|"&amp;$C112&amp;"|"&amp;$D112&amp;"|"&amp;AH$14&amp;"|"&amp;"CY2023Q3",Spectrum!$R:$R,0)),""))</f>
        <v/>
      </c>
      <c r="AI112" s="10" t="str">
        <f aca="false">IF(LEFT($B112,4)="_Mil","",_xlfn.IFNA(ROUND(INDEX(Spectrum!$N:$N,MATCH(RIGHT($B112,13)&amp;"|"&amp;$C112&amp;"|"&amp;$D112&amp;"|"&amp;AI$14&amp;"|"&amp;"CY2023Q3",Spectrum!$R:$R,0)),0),""))</f>
        <v/>
      </c>
      <c r="AJ112" s="39" t="n">
        <f aca="false">IF(LEFT($B112,4)="_Mil","",_xlfn.IFNA(ROUND(INDEX(Spectrum!$N:$N,MATCH(RIGHT($B112,13)&amp;"|"&amp;$C112&amp;"|"&amp;$D112&amp;"|"&amp;AI$14&amp;"|"&amp;"CY2023Q3",Spectrum!$R:$R,0)),0),SUM($U112)+SUM($AI112)))</f>
        <v>0</v>
      </c>
      <c r="AK112" s="10" t="str">
        <f aca="false">IF(LEFT($B112,4)="_Mil","",_xlfn.IFNA(ROUND(INDEX(Spectrum!$N:$N,MATCH(RIGHT($B112,13)&amp;"|"&amp;$C112&amp;"|"&amp;$D112&amp;"|"&amp;AK$14&amp;"|"&amp;"CY2023Q3",Spectrum!$R:$R,0)),0),""))</f>
        <v/>
      </c>
      <c r="AL112" s="88" t="n">
        <f aca="false">IF(OR(LEFT($B112,4)="_Mil",$C112="&lt;01"),"",MAX(SUM($AA112),90%))</f>
        <v>1711</v>
      </c>
      <c r="AM112" s="10" t="n">
        <f aca="false">IF(OR(LEFT($B112,4)="_Mil",$C112="&lt;01"),"",ROUND(SUM($AJ112)*SUM($AL112),0))</f>
        <v>0</v>
      </c>
      <c r="AN112" s="10" t="str">
        <f aca="false">IF($C112="&lt;01",ROUND(INDEX(EID!$P:$P,MATCH($B112,EID!$B:$B,0))/2,0),"")</f>
        <v/>
      </c>
      <c r="AO112" s="10" t="n">
        <f aca="false">IF($C112="&lt;01",SUM($AN112),ROUND(SUM($AM112)*SUM($O112)/IF(SUM($Z112)=0,1,$Z112),0))</f>
        <v>0</v>
      </c>
      <c r="AP112" s="39" t="n">
        <f aca="false">IF(OR($F112="",$C112="&lt;01"),$AO112,$F112)</f>
        <v>0</v>
      </c>
      <c r="AQ112" s="39" t="n">
        <f aca="false">IF(LEFT($B112,4)="_Mil","",IF(SUM($AP112)=0,SUM($Z112),IF(OR(SUM($Z112)=0,SUM($O112)=0),MAX($AP112,$Z112),$AP112*$Z112/$O112)))</f>
        <v>721</v>
      </c>
      <c r="AR112" s="88" t="str">
        <f aca="false">IF(OR(LEFT($B112,4)="_Mil",SUM($AJ112)=0),"",SUM($AQ112)/$AJ112)</f>
        <v/>
      </c>
      <c r="AS112" s="88" t="n">
        <f aca="false">IF($C112="&lt;01","",98%)</f>
        <v>0.98</v>
      </c>
      <c r="AT112" s="88" t="n">
        <f aca="false">IF($C112="&lt;01","",98%)</f>
        <v>0.98</v>
      </c>
      <c r="AU112" s="10" t="n">
        <f aca="false">IF($C112="&lt;01","",SUM($AP112)-SUM($O112))</f>
        <v>0</v>
      </c>
      <c r="AV112" s="10" t="n">
        <f aca="false">IF($C112="&lt;01",ROUND(INDEX(EID!$N:$N,MATCH($B112,EID!$B:$B,0))/2,0),IF(SUM($AT112)=0,"",ROUND((SUM($AP112)-(SUM($O112)*SUM($AS112)))/$AT112,0)))</f>
        <v>0</v>
      </c>
      <c r="AW112" s="88" t="n">
        <f aca="false">IF($C112="&lt;01","",100%)</f>
        <v>1</v>
      </c>
      <c r="AX112" s="39" t="n">
        <f aca="false">IF($C112="&lt;01",SUM($AV112),ROUND(SUM($AV112)*SUM($AW112),0))</f>
        <v>0</v>
      </c>
      <c r="AY112" s="114" t="n">
        <f aca="false">IF($C112="&lt;01","",70%)</f>
        <v>0.7</v>
      </c>
      <c r="AZ112" s="91" t="n">
        <f aca="false">IF($C112="&lt;01",ROUND(INDEX(EID!$R:$R,MATCH($B112,EID!$B:$B,0))/2,0),ROUND(SUM($O112)+(SUM($AV112)*$AY112),0))</f>
        <v>0</v>
      </c>
      <c r="BA112" s="87" t="n">
        <f aca="false">IF($C112="&lt;01","",95%)</f>
        <v>0.95</v>
      </c>
      <c r="BB112" s="5" t="n">
        <f aca="false">IF($C112="&lt;01",ROUND(INDEX(EID!$T:$T,MATCH($B112,EID!$B:$B,0))/2,0),ROUND($AZ112*$BA112,0))</f>
        <v>0</v>
      </c>
      <c r="BC112" s="91" t="n">
        <f aca="false">IF(LEFT($B112,4)="_Mil","",IF(SUM($BB112)=0,SUM($AD112),IF(OR(SUM($AP112)=0,SUM($AQ112)=0),MAX($BB112,$AD112),ROUND($BB112*$AQ112/$AP112,0))))</f>
        <v>0</v>
      </c>
      <c r="BD112" s="88" t="n">
        <f aca="false">IF($C112="&lt;01","",95%)</f>
        <v>0.95</v>
      </c>
      <c r="BE112" s="39" t="n">
        <f aca="false">IF($C112="&lt;01",ROUND(INDEX(EID!$V:$V,MATCH($B112,EID!$B:$B,0))/2,0),ROUND($BD112*$BB112,0))</f>
        <v>0</v>
      </c>
      <c r="BF112" s="39" t="n">
        <f aca="false">IF(LEFT($B112,4)="_Mil","",IF(SUM($BE112)=0,SUM($AF112),IF(OR(SUM($AP112)=0,SUM($AQ112)=0),MAX($BE112,$AF112),ROUND($BE112*$AQ112/$AP112,0))))</f>
        <v>0</v>
      </c>
      <c r="BG112" s="114" t="n">
        <f aca="false">IF($C112="&lt;01","",95%)</f>
        <v>0.95</v>
      </c>
      <c r="BH112" s="5" t="n">
        <f aca="false">IF($C112="&lt;01",ROUND(INDEX(EID!$L:$L,MATCH($B112,EID!$B:$B,0)),0)/2,IF(SUM($BG112)=0,"",ROUND($AX112/$BG112,0)))</f>
        <v>0</v>
      </c>
    </row>
    <row r="113" customFormat="false" ht="15" hidden="false" customHeight="false" outlineLevel="0" collapsed="false">
      <c r="A113" s="0" t="str">
        <f aca="false">INDEX(Prioritization!$D:$D,MATCH($B113,Prioritization!$A:$A,0))</f>
        <v>INVALID</v>
      </c>
      <c r="B113" s="0" t="s">
        <v>201</v>
      </c>
      <c r="C113" s="0" t="s">
        <v>316</v>
      </c>
      <c r="D113" s="0" t="s">
        <v>30</v>
      </c>
      <c r="E113" s="0" t="str">
        <f aca="false">$B113&amp;"|"&amp;$C113&amp;"|"&amp;$D113</f>
        <v>Ntcheu District [am530wpaGvr]|&lt;01|Female</v>
      </c>
      <c r="F113" s="10"/>
      <c r="G113" s="10" t="n">
        <v>74</v>
      </c>
      <c r="H113" s="10" t="n">
        <v>7</v>
      </c>
      <c r="I113" s="10" t="n">
        <v>0</v>
      </c>
      <c r="J113" s="10" t="n">
        <v>8</v>
      </c>
      <c r="K113" s="10" t="n">
        <v>9</v>
      </c>
      <c r="L113" s="10"/>
      <c r="M113" s="10" t="n">
        <v>1</v>
      </c>
      <c r="N113" s="10" t="n">
        <v>0</v>
      </c>
      <c r="O113" s="10" t="str">
        <f aca="false">IFERROR(1/(1/MAX($I113,$N113)),"")</f>
        <v/>
      </c>
      <c r="P113" s="10" t="n">
        <v>0</v>
      </c>
      <c r="Q113" s="10" t="n">
        <v>0</v>
      </c>
      <c r="R113" s="10" t="str">
        <f aca="false">IF(AND(SUM($I113)=0,SUM($O113)=0),"",SUM($O113)-$I113)</f>
        <v/>
      </c>
      <c r="S113" s="10" t="n">
        <f aca="false">IF(LEFT($B113,4)="_Mil","",_xlfn.IFNA(ROUND(INDEX(Spectrum!$N:$N,MATCH(RIGHT($B113,13)&amp;"|"&amp;$C113&amp;"|"&amp;$D113&amp;"|"&amp;S$14&amp;"|"&amp;"CY2022Q4",Spectrum!$R:$R,0)),0),""))</f>
        <v>1415</v>
      </c>
      <c r="T113" s="39" t="n">
        <f aca="false">IF(LEFT($B113,4)="_Mil","",_xlfn.IFNA(ROUND(INDEX(Spectrum!$N:$N,MATCH(RIGHT($B113,13)&amp;"|"&amp;$C113&amp;"|"&amp;$D113&amp;"|"&amp;T$14&amp;"|"&amp;"CY2023Q3",Spectrum!$R:$R,0)),0),""))</f>
        <v>835</v>
      </c>
      <c r="U113" s="39" t="str">
        <f aca="false">IF(LEFT($B113,4)="_Mil","",_xlfn.IFNA(ROUND(INDEX(Spectrum!$N:$N,MATCH(RIGHT($B113,13)&amp;"|"&amp;$C113&amp;"|"&amp;$D113&amp;"|"&amp;U$14&amp;"|"&amp;"CY2023Q3",Spectrum!$R:$R,0)),0),""))</f>
        <v/>
      </c>
      <c r="V113" s="10" t="n">
        <f aca="false">IF(LEFT($B113,4)="_Mil","",_xlfn.IFNA(ROUND(INDEX(Spectrum!$N:$N,MATCH(RIGHT($B113,13)&amp;"|"&amp;$C113&amp;"|"&amp;$D113&amp;"|"&amp;V$14&amp;"|"&amp;"CY2023Q3",Spectrum!$R:$R,0)),0),""))</f>
        <v>1709</v>
      </c>
      <c r="W113" s="113" t="n">
        <f aca="false">IF(LEFT($B113,4)="_Mil","",_xlfn.IFNA(INDEX(Spectrum!$N:$N,MATCH(RIGHT($B113,13)&amp;"|"&amp;$C113&amp;"|"&amp;$D113&amp;"|"&amp;W$14&amp;"|"&amp;"CY2023Q3",Spectrum!$R:$R,0)),""))</f>
        <v>1107</v>
      </c>
      <c r="X113" s="39" t="n">
        <f aca="false">IF(LEFT($B113,4)="_Mil","",_xlfn.IFNA(ROUND(INDEX(Spectrum!$N:$N,MATCH(RIGHT($B113,13)&amp;"|"&amp;$C113&amp;"|"&amp;$D113&amp;"|"&amp;X$14&amp;"|"&amp;"CY2023Q3",Spectrum!$R:$R,0)),0),""))</f>
        <v>507</v>
      </c>
      <c r="Y113" s="88" t="str">
        <f aca="false">IF(OR(SUM($U113)=0,LEFT($B113,4)="_Mil"),"",SUM($X113)/$U113)</f>
        <v/>
      </c>
      <c r="Z113" s="39" t="n">
        <f aca="false">IF(LEFT($B113,4)="_Mil","",_xlfn.IFNA(ROUND(INDEX(Spectrum!$N:$N,MATCH(RIGHT($B113,13)&amp;"|"&amp;$C113&amp;"|"&amp;$D113&amp;"|"&amp;Z$14&amp;"|"&amp;"CY2023Q3",Spectrum!$R:$R,0)),0),""))</f>
        <v>747</v>
      </c>
      <c r="AA113" s="88" t="n">
        <f aca="false">IF(LEFT($B113,4)="_Mil","",IFERROR(1/(1/INDEX(Spectrum!$N:$N,MATCH(RIGHT($B113,13)&amp;"|"&amp;$C113&amp;"|"&amp;$D113&amp;"|"&amp;AA$14&amp;"|"&amp;"CY2023Q3",Spectrum!$R:$R,0))),IF(SUM($U113)=0,"",SUM($Z113)/$U113)))</f>
        <v>1782</v>
      </c>
      <c r="AB113" s="88" t="n">
        <f aca="false">IF(OR(LEFT($B113,4)="_Mil",SUM($X113)=0),"",SUM($Z113)/$X113)</f>
        <v>1.47337278106509</v>
      </c>
      <c r="AC113" s="10" t="n">
        <f aca="false">IF(LEFT($B113,4)="_Mil","",_xlfn.IFNA(ROUND(INDEX(Spectrum!$N:$N,MATCH(RIGHT($B113,13)&amp;"|"&amp;$C113&amp;"|"&amp;$D113&amp;"|"&amp;AC$14&amp;"|"&amp;"CY2023Q3",Spectrum!$R:$R,0)),0),""))</f>
        <v>592</v>
      </c>
      <c r="AD113" s="10" t="str">
        <f aca="false">IF(LEFT($B113,4)="_Mil","",_xlfn.IFNA(ROUND(INDEX(Spectrum!$N:$N,MATCH(RIGHT($B113,13)&amp;"|"&amp;$C113&amp;"|"&amp;$D113&amp;"|"&amp;AD$14&amp;"|"&amp;"CY2023Q3",Spectrum!$R:$R,0)),0),""))</f>
        <v/>
      </c>
      <c r="AE113" s="88" t="n">
        <f aca="false">IF(OR(LEFT($B113,4)="_Mil",SUM($Z113)=0),"",SUM($AD113)/$Z113)</f>
        <v>0</v>
      </c>
      <c r="AF113" s="39" t="str">
        <f aca="false">IF(LEFT($B113,4)="_Mil","",_xlfn.IFNA(ROUND(INDEX(Spectrum!$N:$N,MATCH(RIGHT($B113,13)&amp;"|"&amp;$C113&amp;"|"&amp;$D113&amp;"|"&amp;AF$14&amp;"|"&amp;"CY2023Q3",Spectrum!$R:$R,0)),0),""))</f>
        <v/>
      </c>
      <c r="AG113" s="88" t="str">
        <f aca="false">IF(OR(LEFT($B113,4)="_Mil",SUM($AD113)=0),"",SUM($AF113)/$AD113)</f>
        <v/>
      </c>
      <c r="AH113" s="86" t="str">
        <f aca="false">IF(LEFT($B113,4)="_Mil","",_xlfn.IFNA(INDEX(Spectrum!$N:$N,MATCH(RIGHT($B113,13)&amp;"|"&amp;$C113&amp;"|"&amp;$D113&amp;"|"&amp;AH$14&amp;"|"&amp;"CY2023Q3",Spectrum!$R:$R,0)),""))</f>
        <v/>
      </c>
      <c r="AI113" s="10" t="str">
        <f aca="false">IF(LEFT($B113,4)="_Mil","",_xlfn.IFNA(ROUND(INDEX(Spectrum!$N:$N,MATCH(RIGHT($B113,13)&amp;"|"&amp;$C113&amp;"|"&amp;$D113&amp;"|"&amp;AI$14&amp;"|"&amp;"CY2023Q3",Spectrum!$R:$R,0)),0),""))</f>
        <v/>
      </c>
      <c r="AJ113" s="39" t="n">
        <f aca="false">IF(LEFT($B113,4)="_Mil","",_xlfn.IFNA(ROUND(INDEX(Spectrum!$N:$N,MATCH(RIGHT($B113,13)&amp;"|"&amp;$C113&amp;"|"&amp;$D113&amp;"|"&amp;AI$14&amp;"|"&amp;"CY2023Q3",Spectrum!$R:$R,0)),0),SUM($U113)+SUM($AI113)))</f>
        <v>0</v>
      </c>
      <c r="AK113" s="10" t="str">
        <f aca="false">IF(LEFT($B113,4)="_Mil","",_xlfn.IFNA(ROUND(INDEX(Spectrum!$N:$N,MATCH(RIGHT($B113,13)&amp;"|"&amp;$C113&amp;"|"&amp;$D113&amp;"|"&amp;AK$14&amp;"|"&amp;"CY2023Q3",Spectrum!$R:$R,0)),0),""))</f>
        <v/>
      </c>
      <c r="AL113" s="88" t="str">
        <f aca="false">IF(OR(LEFT($B113,4)="_Mil",$C113="&lt;01"),"",MAX(SUM($AA113),90%))</f>
        <v/>
      </c>
      <c r="AM113" s="10" t="str">
        <f aca="false">IF(OR(LEFT($B113,4)="_Mil",$C113="&lt;01"),"",ROUND(SUM($AJ113)*SUM($AL113),0))</f>
        <v/>
      </c>
      <c r="AN113" s="10" t="n">
        <f aca="false">IF($C113="&lt;01",ROUND(INDEX(EID!$P:$P,MATCH($B113,EID!$B:$B,0))/2,0),"")</f>
        <v>0</v>
      </c>
      <c r="AO113" s="10" t="n">
        <f aca="false">IF($C113="&lt;01",SUM($AN113),ROUND(SUM($AM113)*SUM($O113)/IF(SUM($Z113)=0,1,$Z113),0))</f>
        <v>0</v>
      </c>
      <c r="AP113" s="39" t="n">
        <f aca="false">IF(OR($F113="",$C113="&lt;01"),$AO113,$F113)</f>
        <v>0</v>
      </c>
      <c r="AQ113" s="39" t="n">
        <f aca="false">IF(LEFT($B113,4)="_Mil","",IF(SUM($AP113)=0,SUM($Z113),IF(OR(SUM($Z113)=0,SUM($O113)=0),MAX($AP113,$Z113),$AP113*$Z113/$O113)))</f>
        <v>747</v>
      </c>
      <c r="AR113" s="88" t="str">
        <f aca="false">IF(OR(LEFT($B113,4)="_Mil",SUM($AJ113)=0),"",SUM($AQ113)/$AJ113)</f>
        <v/>
      </c>
      <c r="AS113" s="88" t="str">
        <f aca="false">IF($C113="&lt;01","",98%)</f>
        <v/>
      </c>
      <c r="AT113" s="88" t="str">
        <f aca="false">IF($C113="&lt;01","",98%)</f>
        <v/>
      </c>
      <c r="AU113" s="10" t="str">
        <f aca="false">IF($C113="&lt;01","",SUM($AP113)-SUM($O113))</f>
        <v/>
      </c>
      <c r="AV113" s="10" t="n">
        <f aca="false">IF($C113="&lt;01",ROUND(INDEX(EID!$N:$N,MATCH($B113,EID!$B:$B,0))/2,0),IF(SUM($AT113)=0,"",ROUND((SUM($AP113)-(SUM($O113)*SUM($AS113)))/$AT113,0)))</f>
        <v>0</v>
      </c>
      <c r="AW113" s="88" t="str">
        <f aca="false">IF($C113="&lt;01","",100%)</f>
        <v/>
      </c>
      <c r="AX113" s="39" t="n">
        <f aca="false">IF($C113="&lt;01",SUM($AV113),ROUND(SUM($AV113)*SUM($AW113),0))</f>
        <v>0</v>
      </c>
      <c r="AY113" s="114" t="str">
        <f aca="false">IF($C113="&lt;01","",70%)</f>
        <v/>
      </c>
      <c r="AZ113" s="91" t="n">
        <f aca="false">IF($C113="&lt;01",ROUND(INDEX(EID!$R:$R,MATCH($B113,EID!$B:$B,0))/2,0),ROUND(SUM($O113)+(SUM($AV113)*$AY113),0))</f>
        <v>0</v>
      </c>
      <c r="BA113" s="87" t="str">
        <f aca="false">IF($C113="&lt;01","",95%)</f>
        <v/>
      </c>
      <c r="BB113" s="5" t="n">
        <f aca="false">IF($C113="&lt;01",ROUND(INDEX(EID!$T:$T,MATCH($B113,EID!$B:$B,0))/2,0),ROUND($AZ113*$BA113,0))</f>
        <v>0</v>
      </c>
      <c r="BC113" s="91" t="n">
        <f aca="false">IF(LEFT($B113,4)="_Mil","",IF(SUM($BB113)=0,SUM($AD113),IF(OR(SUM($AP113)=0,SUM($AQ113)=0),MAX($BB113,$AD113),ROUND($BB113*$AQ113/$AP113,0))))</f>
        <v>0</v>
      </c>
      <c r="BD113" s="88" t="str">
        <f aca="false">IF($C113="&lt;01","",95%)</f>
        <v/>
      </c>
      <c r="BE113" s="39" t="n">
        <f aca="false">IF($C113="&lt;01",ROUND(INDEX(EID!$V:$V,MATCH($B113,EID!$B:$B,0))/2,0),ROUND($BD113*$BB113,0))</f>
        <v>0</v>
      </c>
      <c r="BF113" s="39" t="n">
        <f aca="false">IF(LEFT($B113,4)="_Mil","",IF(SUM($BE113)=0,SUM($AF113),IF(OR(SUM($AP113)=0,SUM($AQ113)=0),MAX($BE113,$AF113),ROUND($BE113*$AQ113/$AP113,0))))</f>
        <v>0</v>
      </c>
      <c r="BG113" s="114" t="str">
        <f aca="false">IF($C113="&lt;01","",95%)</f>
        <v/>
      </c>
      <c r="BH113" s="5" t="n">
        <f aca="false">IF($C113="&lt;01",ROUND(INDEX(EID!$L:$L,MATCH($B113,EID!$B:$B,0)),0)/2,IF(SUM($BG113)=0,"",ROUND($AX113/$BG113,0)))</f>
        <v>0</v>
      </c>
    </row>
    <row r="114" customFormat="false" ht="15" hidden="false" customHeight="false" outlineLevel="0" collapsed="false">
      <c r="A114" s="0" t="str">
        <f aca="false">INDEX(Prioritization!$D:$D,MATCH($B114,Prioritization!$A:$A,0))</f>
        <v>INVALID</v>
      </c>
      <c r="B114" s="0" t="s">
        <v>201</v>
      </c>
      <c r="C114" s="0" t="s">
        <v>316</v>
      </c>
      <c r="D114" s="0" t="s">
        <v>48</v>
      </c>
      <c r="E114" s="0" t="str">
        <f aca="false">$B114&amp;"|"&amp;$C114&amp;"|"&amp;$D114</f>
        <v>Ntcheu District [am530wpaGvr]|&lt;01|Male</v>
      </c>
      <c r="F114" s="10"/>
      <c r="G114" s="10" t="n">
        <v>7</v>
      </c>
      <c r="H114" s="10" t="n">
        <v>5</v>
      </c>
      <c r="I114" s="10" t="n">
        <v>1</v>
      </c>
      <c r="J114" s="10" t="n">
        <v>6</v>
      </c>
      <c r="K114" s="10" t="n">
        <v>8</v>
      </c>
      <c r="L114" s="10"/>
      <c r="M114" s="10" t="n">
        <v>1</v>
      </c>
      <c r="N114" s="10" t="n">
        <v>0</v>
      </c>
      <c r="O114" s="10" t="n">
        <f aca="false">IFERROR(1/(1/MAX($I114,$N114)),"")</f>
        <v>1</v>
      </c>
      <c r="P114" s="10" t="n">
        <v>1</v>
      </c>
      <c r="Q114" s="10" t="n">
        <v>1</v>
      </c>
      <c r="R114" s="10" t="n">
        <f aca="false">IF(AND(SUM($I114)=0,SUM($O114)=0),"",SUM($O114)-$I114)</f>
        <v>0</v>
      </c>
      <c r="S114" s="10" t="n">
        <f aca="false">IF(LEFT($B114,4)="_Mil","",_xlfn.IFNA(ROUND(INDEX(Spectrum!$N:$N,MATCH(RIGHT($B114,13)&amp;"|"&amp;$C114&amp;"|"&amp;$D114&amp;"|"&amp;S$14&amp;"|"&amp;"CY2022Q4",Spectrum!$R:$R,0)),0),""))</f>
        <v>1554</v>
      </c>
      <c r="T114" s="39" t="n">
        <f aca="false">IF(LEFT($B114,4)="_Mil","",_xlfn.IFNA(ROUND(INDEX(Spectrum!$N:$N,MATCH(RIGHT($B114,13)&amp;"|"&amp;$C114&amp;"|"&amp;$D114&amp;"|"&amp;T$14&amp;"|"&amp;"CY2023Q3",Spectrum!$R:$R,0)),0),""))</f>
        <v>1839</v>
      </c>
      <c r="U114" s="39" t="str">
        <f aca="false">IF(LEFT($B114,4)="_Mil","",_xlfn.IFNA(ROUND(INDEX(Spectrum!$N:$N,MATCH(RIGHT($B114,13)&amp;"|"&amp;$C114&amp;"|"&amp;$D114&amp;"|"&amp;U$14&amp;"|"&amp;"CY2023Q3",Spectrum!$R:$R,0)),0),""))</f>
        <v/>
      </c>
      <c r="V114" s="10" t="n">
        <f aca="false">IF(LEFT($B114,4)="_Mil","",_xlfn.IFNA(ROUND(INDEX(Spectrum!$N:$N,MATCH(RIGHT($B114,13)&amp;"|"&amp;$C114&amp;"|"&amp;$D114&amp;"|"&amp;V$14&amp;"|"&amp;"CY2023Q3",Spectrum!$R:$R,0)),0),""))</f>
        <v>961</v>
      </c>
      <c r="W114" s="113" t="n">
        <f aca="false">IF(LEFT($B114,4)="_Mil","",_xlfn.IFNA(INDEX(Spectrum!$N:$N,MATCH(RIGHT($B114,13)&amp;"|"&amp;$C114&amp;"|"&amp;$D114&amp;"|"&amp;W$14&amp;"|"&amp;"CY2023Q3",Spectrum!$R:$R,0)),""))</f>
        <v>1994</v>
      </c>
      <c r="X114" s="39" t="n">
        <f aca="false">IF(LEFT($B114,4)="_Mil","",_xlfn.IFNA(ROUND(INDEX(Spectrum!$N:$N,MATCH(RIGHT($B114,13)&amp;"|"&amp;$C114&amp;"|"&amp;$D114&amp;"|"&amp;X$14&amp;"|"&amp;"CY2023Q3",Spectrum!$R:$R,0)),0),""))</f>
        <v>1979</v>
      </c>
      <c r="Y114" s="88" t="str">
        <f aca="false">IF(OR(SUM($U114)=0,LEFT($B114,4)="_Mil"),"",SUM($X114)/$U114)</f>
        <v/>
      </c>
      <c r="Z114" s="39" t="n">
        <f aca="false">IF(LEFT($B114,4)="_Mil","",_xlfn.IFNA(ROUND(INDEX(Spectrum!$N:$N,MATCH(RIGHT($B114,13)&amp;"|"&amp;$C114&amp;"|"&amp;$D114&amp;"|"&amp;Z$14&amp;"|"&amp;"CY2023Q3",Spectrum!$R:$R,0)),0),""))</f>
        <v>1950</v>
      </c>
      <c r="AA114" s="88" t="n">
        <f aca="false">IF(LEFT($B114,4)="_Mil","",IFERROR(1/(1/INDEX(Spectrum!$N:$N,MATCH(RIGHT($B114,13)&amp;"|"&amp;$C114&amp;"|"&amp;$D114&amp;"|"&amp;AA$14&amp;"|"&amp;"CY2023Q3",Spectrum!$R:$R,0))),IF(SUM($U114)=0,"",SUM($Z114)/$U114)))</f>
        <v>626</v>
      </c>
      <c r="AB114" s="88" t="n">
        <f aca="false">IF(OR(LEFT($B114,4)="_Mil",SUM($X114)=0),"",SUM($Z114)/$X114)</f>
        <v>0.985346134411319</v>
      </c>
      <c r="AC114" s="10" t="n">
        <f aca="false">IF(LEFT($B114,4)="_Mil","",_xlfn.IFNA(ROUND(INDEX(Spectrum!$N:$N,MATCH(RIGHT($B114,13)&amp;"|"&amp;$C114&amp;"|"&amp;$D114&amp;"|"&amp;AC$14&amp;"|"&amp;"CY2023Q3",Spectrum!$R:$R,0)),0),""))</f>
        <v>1164</v>
      </c>
      <c r="AD114" s="10" t="str">
        <f aca="false">IF(LEFT($B114,4)="_Mil","",_xlfn.IFNA(ROUND(INDEX(Spectrum!$N:$N,MATCH(RIGHT($B114,13)&amp;"|"&amp;$C114&amp;"|"&amp;$D114&amp;"|"&amp;AD$14&amp;"|"&amp;"CY2023Q3",Spectrum!$R:$R,0)),0),""))</f>
        <v/>
      </c>
      <c r="AE114" s="88" t="n">
        <f aca="false">IF(OR(LEFT($B114,4)="_Mil",SUM($Z114)=0),"",SUM($AD114)/$Z114)</f>
        <v>0</v>
      </c>
      <c r="AF114" s="39" t="str">
        <f aca="false">IF(LEFT($B114,4)="_Mil","",_xlfn.IFNA(ROUND(INDEX(Spectrum!$N:$N,MATCH(RIGHT($B114,13)&amp;"|"&amp;$C114&amp;"|"&amp;$D114&amp;"|"&amp;AF$14&amp;"|"&amp;"CY2023Q3",Spectrum!$R:$R,0)),0),""))</f>
        <v/>
      </c>
      <c r="AG114" s="88" t="str">
        <f aca="false">IF(OR(LEFT($B114,4)="_Mil",SUM($AD114)=0),"",SUM($AF114)/$AD114)</f>
        <v/>
      </c>
      <c r="AH114" s="86" t="str">
        <f aca="false">IF(LEFT($B114,4)="_Mil","",_xlfn.IFNA(INDEX(Spectrum!$N:$N,MATCH(RIGHT($B114,13)&amp;"|"&amp;$C114&amp;"|"&amp;$D114&amp;"|"&amp;AH$14&amp;"|"&amp;"CY2023Q3",Spectrum!$R:$R,0)),""))</f>
        <v/>
      </c>
      <c r="AI114" s="10" t="str">
        <f aca="false">IF(LEFT($B114,4)="_Mil","",_xlfn.IFNA(ROUND(INDEX(Spectrum!$N:$N,MATCH(RIGHT($B114,13)&amp;"|"&amp;$C114&amp;"|"&amp;$D114&amp;"|"&amp;AI$14&amp;"|"&amp;"CY2023Q3",Spectrum!$R:$R,0)),0),""))</f>
        <v/>
      </c>
      <c r="AJ114" s="39" t="n">
        <f aca="false">IF(LEFT($B114,4)="_Mil","",_xlfn.IFNA(ROUND(INDEX(Spectrum!$N:$N,MATCH(RIGHT($B114,13)&amp;"|"&amp;$C114&amp;"|"&amp;$D114&amp;"|"&amp;AI$14&amp;"|"&amp;"CY2023Q3",Spectrum!$R:$R,0)),0),SUM($U114)+SUM($AI114)))</f>
        <v>0</v>
      </c>
      <c r="AK114" s="10" t="str">
        <f aca="false">IF(LEFT($B114,4)="_Mil","",_xlfn.IFNA(ROUND(INDEX(Spectrum!$N:$N,MATCH(RIGHT($B114,13)&amp;"|"&amp;$C114&amp;"|"&amp;$D114&amp;"|"&amp;AK$14&amp;"|"&amp;"CY2023Q3",Spectrum!$R:$R,0)),0),""))</f>
        <v/>
      </c>
      <c r="AL114" s="88" t="str">
        <f aca="false">IF(OR(LEFT($B114,4)="_Mil",$C114="&lt;01"),"",MAX(SUM($AA114),90%))</f>
        <v/>
      </c>
      <c r="AM114" s="10" t="str">
        <f aca="false">IF(OR(LEFT($B114,4)="_Mil",$C114="&lt;01"),"",ROUND(SUM($AJ114)*SUM($AL114),0))</f>
        <v/>
      </c>
      <c r="AN114" s="10" t="n">
        <f aca="false">IF($C114="&lt;01",ROUND(INDEX(EID!$P:$P,MATCH($B114,EID!$B:$B,0))/2,0),"")</f>
        <v>0</v>
      </c>
      <c r="AO114" s="10" t="n">
        <f aca="false">IF($C114="&lt;01",SUM($AN114),ROUND(SUM($AM114)*SUM($O114)/IF(SUM($Z114)=0,1,$Z114),0))</f>
        <v>0</v>
      </c>
      <c r="AP114" s="39" t="n">
        <f aca="false">IF(OR($F114="",$C114="&lt;01"),$AO114,$F114)</f>
        <v>0</v>
      </c>
      <c r="AQ114" s="39" t="n">
        <f aca="false">IF(LEFT($B114,4)="_Mil","",IF(SUM($AP114)=0,SUM($Z114),IF(OR(SUM($Z114)=0,SUM($O114)=0),MAX($AP114,$Z114),$AP114*$Z114/$O114)))</f>
        <v>1950</v>
      </c>
      <c r="AR114" s="88" t="str">
        <f aca="false">IF(OR(LEFT($B114,4)="_Mil",SUM($AJ114)=0),"",SUM($AQ114)/$AJ114)</f>
        <v/>
      </c>
      <c r="AS114" s="88" t="str">
        <f aca="false">IF($C114="&lt;01","",98%)</f>
        <v/>
      </c>
      <c r="AT114" s="88" t="str">
        <f aca="false">IF($C114="&lt;01","",98%)</f>
        <v/>
      </c>
      <c r="AU114" s="10" t="str">
        <f aca="false">IF($C114="&lt;01","",SUM($AP114)-SUM($O114))</f>
        <v/>
      </c>
      <c r="AV114" s="10" t="n">
        <f aca="false">IF($C114="&lt;01",ROUND(INDEX(EID!$N:$N,MATCH($B114,EID!$B:$B,0))/2,0),IF(SUM($AT114)=0,"",ROUND((SUM($AP114)-(SUM($O114)*SUM($AS114)))/$AT114,0)))</f>
        <v>0</v>
      </c>
      <c r="AW114" s="88" t="str">
        <f aca="false">IF($C114="&lt;01","",100%)</f>
        <v/>
      </c>
      <c r="AX114" s="39" t="n">
        <f aca="false">IF($C114="&lt;01",SUM($AV114),ROUND(SUM($AV114)*SUM($AW114),0))</f>
        <v>0</v>
      </c>
      <c r="AY114" s="114" t="str">
        <f aca="false">IF($C114="&lt;01","",70%)</f>
        <v/>
      </c>
      <c r="AZ114" s="91" t="n">
        <f aca="false">IF($C114="&lt;01",ROUND(INDEX(EID!$R:$R,MATCH($B114,EID!$B:$B,0))/2,0),ROUND(SUM($O114)+(SUM($AV114)*$AY114),0))</f>
        <v>0</v>
      </c>
      <c r="BA114" s="87" t="str">
        <f aca="false">IF($C114="&lt;01","",95%)</f>
        <v/>
      </c>
      <c r="BB114" s="5" t="n">
        <f aca="false">IF($C114="&lt;01",ROUND(INDEX(EID!$T:$T,MATCH($B114,EID!$B:$B,0))/2,0),ROUND($AZ114*$BA114,0))</f>
        <v>0</v>
      </c>
      <c r="BC114" s="91" t="n">
        <f aca="false">IF(LEFT($B114,4)="_Mil","",IF(SUM($BB114)=0,SUM($AD114),IF(OR(SUM($AP114)=0,SUM($AQ114)=0),MAX($BB114,$AD114),ROUND($BB114*$AQ114/$AP114,0))))</f>
        <v>0</v>
      </c>
      <c r="BD114" s="88" t="str">
        <f aca="false">IF($C114="&lt;01","",95%)</f>
        <v/>
      </c>
      <c r="BE114" s="39" t="n">
        <f aca="false">IF($C114="&lt;01",ROUND(INDEX(EID!$V:$V,MATCH($B114,EID!$B:$B,0))/2,0),ROUND($BD114*$BB114,0))</f>
        <v>0</v>
      </c>
      <c r="BF114" s="39" t="n">
        <f aca="false">IF(LEFT($B114,4)="_Mil","",IF(SUM($BE114)=0,SUM($AF114),IF(OR(SUM($AP114)=0,SUM($AQ114)=0),MAX($BE114,$AF114),ROUND($BE114*$AQ114/$AP114,0))))</f>
        <v>0</v>
      </c>
      <c r="BG114" s="114" t="str">
        <f aca="false">IF($C114="&lt;01","",95%)</f>
        <v/>
      </c>
      <c r="BH114" s="5" t="n">
        <f aca="false">IF($C114="&lt;01",ROUND(INDEX(EID!$L:$L,MATCH($B114,EID!$B:$B,0)),0)/2,IF(SUM($BG114)=0,"",ROUND($AX114/$BG114,0)))</f>
        <v>0</v>
      </c>
    </row>
    <row r="115" customFormat="false" ht="15" hidden="false" customHeight="false" outlineLevel="0" collapsed="false">
      <c r="A115" s="0" t="str">
        <f aca="false">INDEX(Prioritization!$D:$D,MATCH($B115,Prioritization!$A:$A,0))</f>
        <v>INVALID</v>
      </c>
      <c r="B115" s="0" t="s">
        <v>201</v>
      </c>
      <c r="C115" s="0" t="s">
        <v>363</v>
      </c>
      <c r="D115" s="0" t="s">
        <v>30</v>
      </c>
      <c r="E115" s="0" t="str">
        <f aca="false">$B115&amp;"|"&amp;$C115&amp;"|"&amp;$D115</f>
        <v>Ntcheu District [am530wpaGvr]|01-09|Female</v>
      </c>
      <c r="F115" s="10"/>
      <c r="G115" s="10"/>
      <c r="H115" s="10"/>
      <c r="I115" s="10"/>
      <c r="J115" s="10"/>
      <c r="K115" s="10"/>
      <c r="L115" s="10"/>
      <c r="M115" s="10"/>
      <c r="N115" s="10"/>
      <c r="O115" s="10" t="str">
        <f aca="false">IFERROR(1/(1/MAX($I115,$N115)),"")</f>
        <v/>
      </c>
      <c r="P115" s="10"/>
      <c r="Q115" s="10"/>
      <c r="R115" s="10" t="str">
        <f aca="false">IF(AND(SUM($I115)=0,SUM($O115)=0),"",SUM($O115)-$I115)</f>
        <v/>
      </c>
      <c r="S115" s="10" t="n">
        <f aca="false">IF(LEFT($B115,4)="_Mil","",_xlfn.IFNA(ROUND(INDEX(Spectrum!$N:$N,MATCH(RIGHT($B115,13)&amp;"|"&amp;$C115&amp;"|"&amp;$D115&amp;"|"&amp;S$14&amp;"|"&amp;"CY2022Q4",Spectrum!$R:$R,0)),0),""))</f>
        <v>1681</v>
      </c>
      <c r="T115" s="39" t="n">
        <f aca="false">IF(LEFT($B115,4)="_Mil","",_xlfn.IFNA(ROUND(INDEX(Spectrum!$N:$N,MATCH(RIGHT($B115,13)&amp;"|"&amp;$C115&amp;"|"&amp;$D115&amp;"|"&amp;T$14&amp;"|"&amp;"CY2023Q3",Spectrum!$R:$R,0)),0),""))</f>
        <v>889</v>
      </c>
      <c r="U115" s="39" t="str">
        <f aca="false">IF(LEFT($B115,4)="_Mil","",_xlfn.IFNA(ROUND(INDEX(Spectrum!$N:$N,MATCH(RIGHT($B115,13)&amp;"|"&amp;$C115&amp;"|"&amp;$D115&amp;"|"&amp;U$14&amp;"|"&amp;"CY2023Q3",Spectrum!$R:$R,0)),0),""))</f>
        <v/>
      </c>
      <c r="V115" s="10" t="n">
        <f aca="false">IF(LEFT($B115,4)="_Mil","",_xlfn.IFNA(ROUND(INDEX(Spectrum!$N:$N,MATCH(RIGHT($B115,13)&amp;"|"&amp;$C115&amp;"|"&amp;$D115&amp;"|"&amp;V$14&amp;"|"&amp;"CY2023Q3",Spectrum!$R:$R,0)),0),""))</f>
        <v>1255</v>
      </c>
      <c r="W115" s="113" t="n">
        <f aca="false">IF(LEFT($B115,4)="_Mil","",_xlfn.IFNA(INDEX(Spectrum!$N:$N,MATCH(RIGHT($B115,13)&amp;"|"&amp;$C115&amp;"|"&amp;$D115&amp;"|"&amp;W$14&amp;"|"&amp;"CY2023Q3",Spectrum!$R:$R,0)),""))</f>
        <v>1833</v>
      </c>
      <c r="X115" s="39" t="n">
        <f aca="false">IF(LEFT($B115,4)="_Mil","",_xlfn.IFNA(ROUND(INDEX(Spectrum!$N:$N,MATCH(RIGHT($B115,13)&amp;"|"&amp;$C115&amp;"|"&amp;$D115&amp;"|"&amp;X$14&amp;"|"&amp;"CY2023Q3",Spectrum!$R:$R,0)),0),""))</f>
        <v>918</v>
      </c>
      <c r="Y115" s="88" t="str">
        <f aca="false">IF(OR(SUM($U115)=0,LEFT($B115,4)="_Mil"),"",SUM($X115)/$U115)</f>
        <v/>
      </c>
      <c r="Z115" s="39" t="n">
        <f aca="false">IF(LEFT($B115,4)="_Mil","",_xlfn.IFNA(ROUND(INDEX(Spectrum!$N:$N,MATCH(RIGHT($B115,13)&amp;"|"&amp;$C115&amp;"|"&amp;$D115&amp;"|"&amp;Z$14&amp;"|"&amp;"CY2023Q3",Spectrum!$R:$R,0)),0),""))</f>
        <v>1666</v>
      </c>
      <c r="AA115" s="88" t="n">
        <f aca="false">IF(LEFT($B115,4)="_Mil","",IFERROR(1/(1/INDEX(Spectrum!$N:$N,MATCH(RIGHT($B115,13)&amp;"|"&amp;$C115&amp;"|"&amp;$D115&amp;"|"&amp;AA$14&amp;"|"&amp;"CY2023Q3",Spectrum!$R:$R,0))),IF(SUM($U115)=0,"",SUM($Z115)/$U115)))</f>
        <v>527</v>
      </c>
      <c r="AB115" s="88" t="n">
        <f aca="false">IF(OR(LEFT($B115,4)="_Mil",SUM($X115)=0),"",SUM($Z115)/$X115)</f>
        <v>1.81481481481482</v>
      </c>
      <c r="AC115" s="10" t="n">
        <f aca="false">IF(LEFT($B115,4)="_Mil","",_xlfn.IFNA(ROUND(INDEX(Spectrum!$N:$N,MATCH(RIGHT($B115,13)&amp;"|"&amp;$C115&amp;"|"&amp;$D115&amp;"|"&amp;AC$14&amp;"|"&amp;"CY2023Q3",Spectrum!$R:$R,0)),0),""))</f>
        <v>1061</v>
      </c>
      <c r="AD115" s="10" t="str">
        <f aca="false">IF(LEFT($B115,4)="_Mil","",_xlfn.IFNA(ROUND(INDEX(Spectrum!$N:$N,MATCH(RIGHT($B115,13)&amp;"|"&amp;$C115&amp;"|"&amp;$D115&amp;"|"&amp;AD$14&amp;"|"&amp;"CY2023Q3",Spectrum!$R:$R,0)),0),""))</f>
        <v/>
      </c>
      <c r="AE115" s="88" t="n">
        <f aca="false">IF(OR(LEFT($B115,4)="_Mil",SUM($Z115)=0),"",SUM($AD115)/$Z115)</f>
        <v>0</v>
      </c>
      <c r="AF115" s="39" t="str">
        <f aca="false">IF(LEFT($B115,4)="_Mil","",_xlfn.IFNA(ROUND(INDEX(Spectrum!$N:$N,MATCH(RIGHT($B115,13)&amp;"|"&amp;$C115&amp;"|"&amp;$D115&amp;"|"&amp;AF$14&amp;"|"&amp;"CY2023Q3",Spectrum!$R:$R,0)),0),""))</f>
        <v/>
      </c>
      <c r="AG115" s="88" t="str">
        <f aca="false">IF(OR(LEFT($B115,4)="_Mil",SUM($AD115)=0),"",SUM($AF115)/$AD115)</f>
        <v/>
      </c>
      <c r="AH115" s="86" t="str">
        <f aca="false">IF(LEFT($B115,4)="_Mil","",_xlfn.IFNA(INDEX(Spectrum!$N:$N,MATCH(RIGHT($B115,13)&amp;"|"&amp;$C115&amp;"|"&amp;$D115&amp;"|"&amp;AH$14&amp;"|"&amp;"CY2023Q3",Spectrum!$R:$R,0)),""))</f>
        <v/>
      </c>
      <c r="AI115" s="10" t="str">
        <f aca="false">IF(LEFT($B115,4)="_Mil","",_xlfn.IFNA(ROUND(INDEX(Spectrum!$N:$N,MATCH(RIGHT($B115,13)&amp;"|"&amp;$C115&amp;"|"&amp;$D115&amp;"|"&amp;AI$14&amp;"|"&amp;"CY2023Q3",Spectrum!$R:$R,0)),0),""))</f>
        <v/>
      </c>
      <c r="AJ115" s="39" t="n">
        <f aca="false">IF(LEFT($B115,4)="_Mil","",_xlfn.IFNA(ROUND(INDEX(Spectrum!$N:$N,MATCH(RIGHT($B115,13)&amp;"|"&amp;$C115&amp;"|"&amp;$D115&amp;"|"&amp;AI$14&amp;"|"&amp;"CY2023Q3",Spectrum!$R:$R,0)),0),SUM($U115)+SUM($AI115)))</f>
        <v>0</v>
      </c>
      <c r="AK115" s="10" t="str">
        <f aca="false">IF(LEFT($B115,4)="_Mil","",_xlfn.IFNA(ROUND(INDEX(Spectrum!$N:$N,MATCH(RIGHT($B115,13)&amp;"|"&amp;$C115&amp;"|"&amp;$D115&amp;"|"&amp;AK$14&amp;"|"&amp;"CY2023Q3",Spectrum!$R:$R,0)),0),""))</f>
        <v/>
      </c>
      <c r="AL115" s="88" t="n">
        <f aca="false">IF(OR(LEFT($B115,4)="_Mil",$C115="&lt;01"),"",MAX(SUM($AA115),90%))</f>
        <v>527</v>
      </c>
      <c r="AM115" s="10" t="n">
        <f aca="false">IF(OR(LEFT($B115,4)="_Mil",$C115="&lt;01"),"",ROUND(SUM($AJ115)*SUM($AL115),0))</f>
        <v>0</v>
      </c>
      <c r="AN115" s="10" t="str">
        <f aca="false">IF($C115="&lt;01",ROUND(INDEX(EID!$P:$P,MATCH($B115,EID!$B:$B,0))/2,0),"")</f>
        <v/>
      </c>
      <c r="AO115" s="10" t="n">
        <f aca="false">IF($C115="&lt;01",SUM($AN115),ROUND(SUM($AM115)*SUM($O115)/IF(SUM($Z115)=0,1,$Z115),0))</f>
        <v>0</v>
      </c>
      <c r="AP115" s="39" t="n">
        <f aca="false">IF(OR($F115="",$C115="&lt;01"),$AO115,$F115)</f>
        <v>0</v>
      </c>
      <c r="AQ115" s="39" t="n">
        <f aca="false">IF(LEFT($B115,4)="_Mil","",IF(SUM($AP115)=0,SUM($Z115),IF(OR(SUM($Z115)=0,SUM($O115)=0),MAX($AP115,$Z115),$AP115*$Z115/$O115)))</f>
        <v>1666</v>
      </c>
      <c r="AR115" s="88" t="str">
        <f aca="false">IF(OR(LEFT($B115,4)="_Mil",SUM($AJ115)=0),"",SUM($AQ115)/$AJ115)</f>
        <v/>
      </c>
      <c r="AS115" s="88" t="n">
        <f aca="false">IF($C115="&lt;01","",98%)</f>
        <v>0.98</v>
      </c>
      <c r="AT115" s="88" t="n">
        <f aca="false">IF($C115="&lt;01","",98%)</f>
        <v>0.98</v>
      </c>
      <c r="AU115" s="10" t="n">
        <f aca="false">IF($C115="&lt;01","",SUM($AP115)-SUM($O115))</f>
        <v>0</v>
      </c>
      <c r="AV115" s="10" t="n">
        <f aca="false">IF($C115="&lt;01",ROUND(INDEX(EID!$N:$N,MATCH($B115,EID!$B:$B,0))/2,0),IF(SUM($AT115)=0,"",ROUND((SUM($AP115)-(SUM($O115)*SUM($AS115)))/$AT115,0)))</f>
        <v>0</v>
      </c>
      <c r="AW115" s="88" t="n">
        <f aca="false">IF($C115="&lt;01","",100%)</f>
        <v>1</v>
      </c>
      <c r="AX115" s="39" t="n">
        <f aca="false">IF($C115="&lt;01",SUM($AV115),ROUND(SUM($AV115)*SUM($AW115),0))</f>
        <v>0</v>
      </c>
      <c r="AY115" s="114" t="n">
        <f aca="false">IF($C115="&lt;01","",70%)</f>
        <v>0.7</v>
      </c>
      <c r="AZ115" s="91" t="n">
        <f aca="false">IF($C115="&lt;01",ROUND(INDEX(EID!$R:$R,MATCH($B115,EID!$B:$B,0))/2,0),ROUND(SUM($O115)+(SUM($AV115)*$AY115),0))</f>
        <v>0</v>
      </c>
      <c r="BA115" s="87" t="n">
        <f aca="false">IF($C115="&lt;01","",95%)</f>
        <v>0.95</v>
      </c>
      <c r="BB115" s="5" t="n">
        <f aca="false">IF($C115="&lt;01",ROUND(INDEX(EID!$T:$T,MATCH($B115,EID!$B:$B,0))/2,0),ROUND($AZ115*$BA115,0))</f>
        <v>0</v>
      </c>
      <c r="BC115" s="91" t="n">
        <f aca="false">IF(LEFT($B115,4)="_Mil","",IF(SUM($BB115)=0,SUM($AD115),IF(OR(SUM($AP115)=0,SUM($AQ115)=0),MAX($BB115,$AD115),ROUND($BB115*$AQ115/$AP115,0))))</f>
        <v>0</v>
      </c>
      <c r="BD115" s="88" t="n">
        <f aca="false">IF($C115="&lt;01","",95%)</f>
        <v>0.95</v>
      </c>
      <c r="BE115" s="39" t="n">
        <f aca="false">IF($C115="&lt;01",ROUND(INDEX(EID!$V:$V,MATCH($B115,EID!$B:$B,0))/2,0),ROUND($BD115*$BB115,0))</f>
        <v>0</v>
      </c>
      <c r="BF115" s="39" t="n">
        <f aca="false">IF(LEFT($B115,4)="_Mil","",IF(SUM($BE115)=0,SUM($AF115),IF(OR(SUM($AP115)=0,SUM($AQ115)=0),MAX($BE115,$AF115),ROUND($BE115*$AQ115/$AP115,0))))</f>
        <v>0</v>
      </c>
      <c r="BG115" s="114" t="n">
        <f aca="false">IF($C115="&lt;01","",95%)</f>
        <v>0.95</v>
      </c>
      <c r="BH115" s="5" t="n">
        <f aca="false">IF($C115="&lt;01",ROUND(INDEX(EID!$L:$L,MATCH($B115,EID!$B:$B,0)),0)/2,IF(SUM($BG115)=0,"",ROUND($AX115/$BG115,0)))</f>
        <v>0</v>
      </c>
    </row>
    <row r="116" customFormat="false" ht="15" hidden="false" customHeight="false" outlineLevel="0" collapsed="false">
      <c r="A116" s="0" t="str">
        <f aca="false">INDEX(Prioritization!$D:$D,MATCH($B116,Prioritization!$A:$A,0))</f>
        <v>INVALID</v>
      </c>
      <c r="B116" s="0" t="s">
        <v>201</v>
      </c>
      <c r="C116" s="0" t="s">
        <v>363</v>
      </c>
      <c r="D116" s="0" t="s">
        <v>48</v>
      </c>
      <c r="E116" s="0" t="str">
        <f aca="false">$B116&amp;"|"&amp;$C116&amp;"|"&amp;$D116</f>
        <v>Ntcheu District [am530wpaGvr]|01-09|Male</v>
      </c>
      <c r="F116" s="10"/>
      <c r="G116" s="10"/>
      <c r="H116" s="10"/>
      <c r="I116" s="10"/>
      <c r="J116" s="10"/>
      <c r="K116" s="10"/>
      <c r="L116" s="10"/>
      <c r="M116" s="10"/>
      <c r="N116" s="10"/>
      <c r="O116" s="10" t="str">
        <f aca="false">IFERROR(1/(1/MAX($I116,$N116)),"")</f>
        <v/>
      </c>
      <c r="P116" s="10"/>
      <c r="Q116" s="10"/>
      <c r="R116" s="10" t="str">
        <f aca="false">IF(AND(SUM($I116)=0,SUM($O116)=0),"",SUM($O116)-$I116)</f>
        <v/>
      </c>
      <c r="S116" s="10" t="n">
        <f aca="false">IF(LEFT($B116,4)="_Mil","",_xlfn.IFNA(ROUND(INDEX(Spectrum!$N:$N,MATCH(RIGHT($B116,13)&amp;"|"&amp;$C116&amp;"|"&amp;$D116&amp;"|"&amp;S$14&amp;"|"&amp;"CY2022Q4",Spectrum!$R:$R,0)),0),""))</f>
        <v>979</v>
      </c>
      <c r="T116" s="39" t="n">
        <f aca="false">IF(LEFT($B116,4)="_Mil","",_xlfn.IFNA(ROUND(INDEX(Spectrum!$N:$N,MATCH(RIGHT($B116,13)&amp;"|"&amp;$C116&amp;"|"&amp;$D116&amp;"|"&amp;T$14&amp;"|"&amp;"CY2023Q3",Spectrum!$R:$R,0)),0),""))</f>
        <v>1952</v>
      </c>
      <c r="U116" s="39" t="str">
        <f aca="false">IF(LEFT($B116,4)="_Mil","",_xlfn.IFNA(ROUND(INDEX(Spectrum!$N:$N,MATCH(RIGHT($B116,13)&amp;"|"&amp;$C116&amp;"|"&amp;$D116&amp;"|"&amp;U$14&amp;"|"&amp;"CY2023Q3",Spectrum!$R:$R,0)),0),""))</f>
        <v/>
      </c>
      <c r="V116" s="10" t="n">
        <f aca="false">IF(LEFT($B116,4)="_Mil","",_xlfn.IFNA(ROUND(INDEX(Spectrum!$N:$N,MATCH(RIGHT($B116,13)&amp;"|"&amp;$C116&amp;"|"&amp;$D116&amp;"|"&amp;V$14&amp;"|"&amp;"CY2023Q3",Spectrum!$R:$R,0)),0),""))</f>
        <v>1271</v>
      </c>
      <c r="W116" s="113" t="n">
        <f aca="false">IF(LEFT($B116,4)="_Mil","",_xlfn.IFNA(INDEX(Spectrum!$N:$N,MATCH(RIGHT($B116,13)&amp;"|"&amp;$C116&amp;"|"&amp;$D116&amp;"|"&amp;W$14&amp;"|"&amp;"CY2023Q3",Spectrum!$R:$R,0)),""))</f>
        <v>550</v>
      </c>
      <c r="X116" s="39" t="n">
        <f aca="false">IF(LEFT($B116,4)="_Mil","",_xlfn.IFNA(ROUND(INDEX(Spectrum!$N:$N,MATCH(RIGHT($B116,13)&amp;"|"&amp;$C116&amp;"|"&amp;$D116&amp;"|"&amp;X$14&amp;"|"&amp;"CY2023Q3",Spectrum!$R:$R,0)),0),""))</f>
        <v>1707</v>
      </c>
      <c r="Y116" s="88" t="str">
        <f aca="false">IF(OR(SUM($U116)=0,LEFT($B116,4)="_Mil"),"",SUM($X116)/$U116)</f>
        <v/>
      </c>
      <c r="Z116" s="39" t="n">
        <f aca="false">IF(LEFT($B116,4)="_Mil","",_xlfn.IFNA(ROUND(INDEX(Spectrum!$N:$N,MATCH(RIGHT($B116,13)&amp;"|"&amp;$C116&amp;"|"&amp;$D116&amp;"|"&amp;Z$14&amp;"|"&amp;"CY2023Q3",Spectrum!$R:$R,0)),0),""))</f>
        <v>898</v>
      </c>
      <c r="AA116" s="88" t="n">
        <f aca="false">IF(LEFT($B116,4)="_Mil","",IFERROR(1/(1/INDEX(Spectrum!$N:$N,MATCH(RIGHT($B116,13)&amp;"|"&amp;$C116&amp;"|"&amp;$D116&amp;"|"&amp;AA$14&amp;"|"&amp;"CY2023Q3",Spectrum!$R:$R,0))),IF(SUM($U116)=0,"",SUM($Z116)/$U116)))</f>
        <v>1346</v>
      </c>
      <c r="AB116" s="88" t="n">
        <f aca="false">IF(OR(LEFT($B116,4)="_Mil",SUM($X116)=0),"",SUM($Z116)/$X116)</f>
        <v>0.526069127123609</v>
      </c>
      <c r="AC116" s="10" t="n">
        <f aca="false">IF(LEFT($B116,4)="_Mil","",_xlfn.IFNA(ROUND(INDEX(Spectrum!$N:$N,MATCH(RIGHT($B116,13)&amp;"|"&amp;$C116&amp;"|"&amp;$D116&amp;"|"&amp;AC$14&amp;"|"&amp;"CY2023Q3",Spectrum!$R:$R,0)),0),""))</f>
        <v>815</v>
      </c>
      <c r="AD116" s="10" t="str">
        <f aca="false">IF(LEFT($B116,4)="_Mil","",_xlfn.IFNA(ROUND(INDEX(Spectrum!$N:$N,MATCH(RIGHT($B116,13)&amp;"|"&amp;$C116&amp;"|"&amp;$D116&amp;"|"&amp;AD$14&amp;"|"&amp;"CY2023Q3",Spectrum!$R:$R,0)),0),""))</f>
        <v/>
      </c>
      <c r="AE116" s="88" t="n">
        <f aca="false">IF(OR(LEFT($B116,4)="_Mil",SUM($Z116)=0),"",SUM($AD116)/$Z116)</f>
        <v>0</v>
      </c>
      <c r="AF116" s="39" t="str">
        <f aca="false">IF(LEFT($B116,4)="_Mil","",_xlfn.IFNA(ROUND(INDEX(Spectrum!$N:$N,MATCH(RIGHT($B116,13)&amp;"|"&amp;$C116&amp;"|"&amp;$D116&amp;"|"&amp;AF$14&amp;"|"&amp;"CY2023Q3",Spectrum!$R:$R,0)),0),""))</f>
        <v/>
      </c>
      <c r="AG116" s="88" t="str">
        <f aca="false">IF(OR(LEFT($B116,4)="_Mil",SUM($AD116)=0),"",SUM($AF116)/$AD116)</f>
        <v/>
      </c>
      <c r="AH116" s="86" t="str">
        <f aca="false">IF(LEFT($B116,4)="_Mil","",_xlfn.IFNA(INDEX(Spectrum!$N:$N,MATCH(RIGHT($B116,13)&amp;"|"&amp;$C116&amp;"|"&amp;$D116&amp;"|"&amp;AH$14&amp;"|"&amp;"CY2023Q3",Spectrum!$R:$R,0)),""))</f>
        <v/>
      </c>
      <c r="AI116" s="10" t="str">
        <f aca="false">IF(LEFT($B116,4)="_Mil","",_xlfn.IFNA(ROUND(INDEX(Spectrum!$N:$N,MATCH(RIGHT($B116,13)&amp;"|"&amp;$C116&amp;"|"&amp;$D116&amp;"|"&amp;AI$14&amp;"|"&amp;"CY2023Q3",Spectrum!$R:$R,0)),0),""))</f>
        <v/>
      </c>
      <c r="AJ116" s="39" t="n">
        <f aca="false">IF(LEFT($B116,4)="_Mil","",_xlfn.IFNA(ROUND(INDEX(Spectrum!$N:$N,MATCH(RIGHT($B116,13)&amp;"|"&amp;$C116&amp;"|"&amp;$D116&amp;"|"&amp;AI$14&amp;"|"&amp;"CY2023Q3",Spectrum!$R:$R,0)),0),SUM($U116)+SUM($AI116)))</f>
        <v>0</v>
      </c>
      <c r="AK116" s="10" t="str">
        <f aca="false">IF(LEFT($B116,4)="_Mil","",_xlfn.IFNA(ROUND(INDEX(Spectrum!$N:$N,MATCH(RIGHT($B116,13)&amp;"|"&amp;$C116&amp;"|"&amp;$D116&amp;"|"&amp;AK$14&amp;"|"&amp;"CY2023Q3",Spectrum!$R:$R,0)),0),""))</f>
        <v/>
      </c>
      <c r="AL116" s="88" t="n">
        <f aca="false">IF(OR(LEFT($B116,4)="_Mil",$C116="&lt;01"),"",MAX(SUM($AA116),90%))</f>
        <v>1346</v>
      </c>
      <c r="AM116" s="10" t="n">
        <f aca="false">IF(OR(LEFT($B116,4)="_Mil",$C116="&lt;01"),"",ROUND(SUM($AJ116)*SUM($AL116),0))</f>
        <v>0</v>
      </c>
      <c r="AN116" s="10" t="str">
        <f aca="false">IF($C116="&lt;01",ROUND(INDEX(EID!$P:$P,MATCH($B116,EID!$B:$B,0))/2,0),"")</f>
        <v/>
      </c>
      <c r="AO116" s="10" t="n">
        <f aca="false">IF($C116="&lt;01",SUM($AN116),ROUND(SUM($AM116)*SUM($O116)/IF(SUM($Z116)=0,1,$Z116),0))</f>
        <v>0</v>
      </c>
      <c r="AP116" s="39" t="n">
        <f aca="false">IF(OR($F116="",$C116="&lt;01"),$AO116,$F116)</f>
        <v>0</v>
      </c>
      <c r="AQ116" s="39" t="n">
        <f aca="false">IF(LEFT($B116,4)="_Mil","",IF(SUM($AP116)=0,SUM($Z116),IF(OR(SUM($Z116)=0,SUM($O116)=0),MAX($AP116,$Z116),$AP116*$Z116/$O116)))</f>
        <v>898</v>
      </c>
      <c r="AR116" s="88" t="str">
        <f aca="false">IF(OR(LEFT($B116,4)="_Mil",SUM($AJ116)=0),"",SUM($AQ116)/$AJ116)</f>
        <v/>
      </c>
      <c r="AS116" s="88" t="n">
        <f aca="false">IF($C116="&lt;01","",98%)</f>
        <v>0.98</v>
      </c>
      <c r="AT116" s="88" t="n">
        <f aca="false">IF($C116="&lt;01","",98%)</f>
        <v>0.98</v>
      </c>
      <c r="AU116" s="10" t="n">
        <f aca="false">IF($C116="&lt;01","",SUM($AP116)-SUM($O116))</f>
        <v>0</v>
      </c>
      <c r="AV116" s="10" t="n">
        <f aca="false">IF($C116="&lt;01",ROUND(INDEX(EID!$N:$N,MATCH($B116,EID!$B:$B,0))/2,0),IF(SUM($AT116)=0,"",ROUND((SUM($AP116)-(SUM($O116)*SUM($AS116)))/$AT116,0)))</f>
        <v>0</v>
      </c>
      <c r="AW116" s="88" t="n">
        <f aca="false">IF($C116="&lt;01","",100%)</f>
        <v>1</v>
      </c>
      <c r="AX116" s="39" t="n">
        <f aca="false">IF($C116="&lt;01",SUM($AV116),ROUND(SUM($AV116)*SUM($AW116),0))</f>
        <v>0</v>
      </c>
      <c r="AY116" s="114" t="n">
        <f aca="false">IF($C116="&lt;01","",70%)</f>
        <v>0.7</v>
      </c>
      <c r="AZ116" s="91" t="n">
        <f aca="false">IF($C116="&lt;01",ROUND(INDEX(EID!$R:$R,MATCH($B116,EID!$B:$B,0))/2,0),ROUND(SUM($O116)+(SUM($AV116)*$AY116),0))</f>
        <v>0</v>
      </c>
      <c r="BA116" s="87" t="n">
        <f aca="false">IF($C116="&lt;01","",95%)</f>
        <v>0.95</v>
      </c>
      <c r="BB116" s="5" t="n">
        <f aca="false">IF($C116="&lt;01",ROUND(INDEX(EID!$T:$T,MATCH($B116,EID!$B:$B,0))/2,0),ROUND($AZ116*$BA116,0))</f>
        <v>0</v>
      </c>
      <c r="BC116" s="91" t="n">
        <f aca="false">IF(LEFT($B116,4)="_Mil","",IF(SUM($BB116)=0,SUM($AD116),IF(OR(SUM($AP116)=0,SUM($AQ116)=0),MAX($BB116,$AD116),ROUND($BB116*$AQ116/$AP116,0))))</f>
        <v>0</v>
      </c>
      <c r="BD116" s="88" t="n">
        <f aca="false">IF($C116="&lt;01","",95%)</f>
        <v>0.95</v>
      </c>
      <c r="BE116" s="39" t="n">
        <f aca="false">IF($C116="&lt;01",ROUND(INDEX(EID!$V:$V,MATCH($B116,EID!$B:$B,0))/2,0),ROUND($BD116*$BB116,0))</f>
        <v>0</v>
      </c>
      <c r="BF116" s="39" t="n">
        <f aca="false">IF(LEFT($B116,4)="_Mil","",IF(SUM($BE116)=0,SUM($AF116),IF(OR(SUM($AP116)=0,SUM($AQ116)=0),MAX($BE116,$AF116),ROUND($BE116*$AQ116/$AP116,0))))</f>
        <v>0</v>
      </c>
      <c r="BG116" s="114" t="n">
        <f aca="false">IF($C116="&lt;01","",95%)</f>
        <v>0.95</v>
      </c>
      <c r="BH116" s="5" t="n">
        <f aca="false">IF($C116="&lt;01",ROUND(INDEX(EID!$L:$L,MATCH($B116,EID!$B:$B,0)),0)/2,IF(SUM($BG116)=0,"",ROUND($AX116/$BG116,0)))</f>
        <v>0</v>
      </c>
    </row>
    <row r="117" customFormat="false" ht="15" hidden="false" customHeight="false" outlineLevel="0" collapsed="false">
      <c r="A117" s="0" t="str">
        <f aca="false">INDEX(Prioritization!$D:$D,MATCH($B117,Prioritization!$A:$A,0))</f>
        <v>INVALID</v>
      </c>
      <c r="B117" s="0" t="s">
        <v>201</v>
      </c>
      <c r="C117" s="0" t="s">
        <v>364</v>
      </c>
      <c r="D117" s="0" t="s">
        <v>30</v>
      </c>
      <c r="E117" s="0" t="str">
        <f aca="false">$B117&amp;"|"&amp;$C117&amp;"|"&amp;$D117</f>
        <v>Ntcheu District [am530wpaGvr]|10-14|Female</v>
      </c>
      <c r="F117" s="10"/>
      <c r="G117" s="10" t="n">
        <v>89</v>
      </c>
      <c r="H117" s="10" t="n">
        <v>10</v>
      </c>
      <c r="I117" s="10" t="n">
        <v>45</v>
      </c>
      <c r="J117" s="10" t="n">
        <v>83</v>
      </c>
      <c r="K117" s="10" t="n">
        <v>97</v>
      </c>
      <c r="L117" s="10" t="n">
        <v>2</v>
      </c>
      <c r="M117" s="10" t="n">
        <v>3</v>
      </c>
      <c r="N117" s="10" t="n">
        <v>80</v>
      </c>
      <c r="O117" s="10" t="n">
        <f aca="false">IFERROR(1/(1/MAX($I117,$N117)),"")</f>
        <v>80</v>
      </c>
      <c r="P117" s="10" t="n">
        <v>11</v>
      </c>
      <c r="Q117" s="10" t="n">
        <v>95</v>
      </c>
      <c r="R117" s="10" t="n">
        <f aca="false">IF(AND(SUM($I117)=0,SUM($O117)=0),"",SUM($O117)-$I117)</f>
        <v>35</v>
      </c>
      <c r="S117" s="10" t="n">
        <f aca="false">IF(LEFT($B117,4)="_Mil","",_xlfn.IFNA(ROUND(INDEX(Spectrum!$N:$N,MATCH(RIGHT($B117,13)&amp;"|"&amp;$C117&amp;"|"&amp;$D117&amp;"|"&amp;S$14&amp;"|"&amp;"CY2022Q4",Spectrum!$R:$R,0)),0),""))</f>
        <v>1015</v>
      </c>
      <c r="T117" s="39" t="n">
        <f aca="false">IF(LEFT($B117,4)="_Mil","",_xlfn.IFNA(ROUND(INDEX(Spectrum!$N:$N,MATCH(RIGHT($B117,13)&amp;"|"&amp;$C117&amp;"|"&amp;$D117&amp;"|"&amp;T$14&amp;"|"&amp;"CY2023Q3",Spectrum!$R:$R,0)),0),""))</f>
        <v>1395</v>
      </c>
      <c r="U117" s="39" t="str">
        <f aca="false">IF(LEFT($B117,4)="_Mil","",_xlfn.IFNA(ROUND(INDEX(Spectrum!$N:$N,MATCH(RIGHT($B117,13)&amp;"|"&amp;$C117&amp;"|"&amp;$D117&amp;"|"&amp;U$14&amp;"|"&amp;"CY2023Q3",Spectrum!$R:$R,0)),0),""))</f>
        <v/>
      </c>
      <c r="V117" s="10" t="n">
        <f aca="false">IF(LEFT($B117,4)="_Mil","",_xlfn.IFNA(ROUND(INDEX(Spectrum!$N:$N,MATCH(RIGHT($B117,13)&amp;"|"&amp;$C117&amp;"|"&amp;$D117&amp;"|"&amp;V$14&amp;"|"&amp;"CY2023Q3",Spectrum!$R:$R,0)),0),""))</f>
        <v>612</v>
      </c>
      <c r="W117" s="113" t="n">
        <f aca="false">IF(LEFT($B117,4)="_Mil","",_xlfn.IFNA(INDEX(Spectrum!$N:$N,MATCH(RIGHT($B117,13)&amp;"|"&amp;$C117&amp;"|"&amp;$D117&amp;"|"&amp;W$14&amp;"|"&amp;"CY2023Q3",Spectrum!$R:$R,0)),""))</f>
        <v>768</v>
      </c>
      <c r="X117" s="39" t="n">
        <f aca="false">IF(LEFT($B117,4)="_Mil","",_xlfn.IFNA(ROUND(INDEX(Spectrum!$N:$N,MATCH(RIGHT($B117,13)&amp;"|"&amp;$C117&amp;"|"&amp;$D117&amp;"|"&amp;X$14&amp;"|"&amp;"CY2023Q3",Spectrum!$R:$R,0)),0),""))</f>
        <v>576</v>
      </c>
      <c r="Y117" s="88" t="str">
        <f aca="false">IF(OR(SUM($U117)=0,LEFT($B117,4)="_Mil"),"",SUM($X117)/$U117)</f>
        <v/>
      </c>
      <c r="Z117" s="39" t="n">
        <f aca="false">IF(LEFT($B117,4)="_Mil","",_xlfn.IFNA(ROUND(INDEX(Spectrum!$N:$N,MATCH(RIGHT($B117,13)&amp;"|"&amp;$C117&amp;"|"&amp;$D117&amp;"|"&amp;Z$14&amp;"|"&amp;"CY2023Q3",Spectrum!$R:$R,0)),0),""))</f>
        <v>822</v>
      </c>
      <c r="AA117" s="88" t="n">
        <f aca="false">IF(LEFT($B117,4)="_Mil","",IFERROR(1/(1/INDEX(Spectrum!$N:$N,MATCH(RIGHT($B117,13)&amp;"|"&amp;$C117&amp;"|"&amp;$D117&amp;"|"&amp;AA$14&amp;"|"&amp;"CY2023Q3",Spectrum!$R:$R,0))),IF(SUM($U117)=0,"",SUM($Z117)/$U117)))</f>
        <v>1730</v>
      </c>
      <c r="AB117" s="88" t="n">
        <f aca="false">IF(OR(LEFT($B117,4)="_Mil",SUM($X117)=0),"",SUM($Z117)/$X117)</f>
        <v>1.42708333333333</v>
      </c>
      <c r="AC117" s="10" t="n">
        <f aca="false">IF(LEFT($B117,4)="_Mil","",_xlfn.IFNA(ROUND(INDEX(Spectrum!$N:$N,MATCH(RIGHT($B117,13)&amp;"|"&amp;$C117&amp;"|"&amp;$D117&amp;"|"&amp;AC$14&amp;"|"&amp;"CY2023Q3",Spectrum!$R:$R,0)),0),""))</f>
        <v>1345</v>
      </c>
      <c r="AD117" s="10" t="str">
        <f aca="false">IF(LEFT($B117,4)="_Mil","",_xlfn.IFNA(ROUND(INDEX(Spectrum!$N:$N,MATCH(RIGHT($B117,13)&amp;"|"&amp;$C117&amp;"|"&amp;$D117&amp;"|"&amp;AD$14&amp;"|"&amp;"CY2023Q3",Spectrum!$R:$R,0)),0),""))</f>
        <v/>
      </c>
      <c r="AE117" s="88" t="n">
        <f aca="false">IF(OR(LEFT($B117,4)="_Mil",SUM($Z117)=0),"",SUM($AD117)/$Z117)</f>
        <v>0</v>
      </c>
      <c r="AF117" s="39" t="str">
        <f aca="false">IF(LEFT($B117,4)="_Mil","",_xlfn.IFNA(ROUND(INDEX(Spectrum!$N:$N,MATCH(RIGHT($B117,13)&amp;"|"&amp;$C117&amp;"|"&amp;$D117&amp;"|"&amp;AF$14&amp;"|"&amp;"CY2023Q3",Spectrum!$R:$R,0)),0),""))</f>
        <v/>
      </c>
      <c r="AG117" s="88" t="str">
        <f aca="false">IF(OR(LEFT($B117,4)="_Mil",SUM($AD117)=0),"",SUM($AF117)/$AD117)</f>
        <v/>
      </c>
      <c r="AH117" s="86" t="str">
        <f aca="false">IF(LEFT($B117,4)="_Mil","",_xlfn.IFNA(INDEX(Spectrum!$N:$N,MATCH(RIGHT($B117,13)&amp;"|"&amp;$C117&amp;"|"&amp;$D117&amp;"|"&amp;AH$14&amp;"|"&amp;"CY2023Q3",Spectrum!$R:$R,0)),""))</f>
        <v/>
      </c>
      <c r="AI117" s="10" t="str">
        <f aca="false">IF(LEFT($B117,4)="_Mil","",_xlfn.IFNA(ROUND(INDEX(Spectrum!$N:$N,MATCH(RIGHT($B117,13)&amp;"|"&amp;$C117&amp;"|"&amp;$D117&amp;"|"&amp;AI$14&amp;"|"&amp;"CY2023Q3",Spectrum!$R:$R,0)),0),""))</f>
        <v/>
      </c>
      <c r="AJ117" s="39" t="n">
        <f aca="false">IF(LEFT($B117,4)="_Mil","",_xlfn.IFNA(ROUND(INDEX(Spectrum!$N:$N,MATCH(RIGHT($B117,13)&amp;"|"&amp;$C117&amp;"|"&amp;$D117&amp;"|"&amp;AI$14&amp;"|"&amp;"CY2023Q3",Spectrum!$R:$R,0)),0),SUM($U117)+SUM($AI117)))</f>
        <v>0</v>
      </c>
      <c r="AK117" s="10" t="str">
        <f aca="false">IF(LEFT($B117,4)="_Mil","",_xlfn.IFNA(ROUND(INDEX(Spectrum!$N:$N,MATCH(RIGHT($B117,13)&amp;"|"&amp;$C117&amp;"|"&amp;$D117&amp;"|"&amp;AK$14&amp;"|"&amp;"CY2023Q3",Spectrum!$R:$R,0)),0),""))</f>
        <v/>
      </c>
      <c r="AL117" s="88" t="n">
        <f aca="false">IF(OR(LEFT($B117,4)="_Mil",$C117="&lt;01"),"",MAX(SUM($AA117),90%))</f>
        <v>1730</v>
      </c>
      <c r="AM117" s="10" t="n">
        <f aca="false">IF(OR(LEFT($B117,4)="_Mil",$C117="&lt;01"),"",ROUND(SUM($AJ117)*SUM($AL117),0))</f>
        <v>0</v>
      </c>
      <c r="AN117" s="10" t="str">
        <f aca="false">IF($C117="&lt;01",ROUND(INDEX(EID!$P:$P,MATCH($B117,EID!$B:$B,0))/2,0),"")</f>
        <v/>
      </c>
      <c r="AO117" s="10" t="n">
        <f aca="false">IF($C117="&lt;01",SUM($AN117),ROUND(SUM($AM117)*SUM($O117)/IF(SUM($Z117)=0,1,$Z117),0))</f>
        <v>0</v>
      </c>
      <c r="AP117" s="39" t="n">
        <f aca="false">IF(OR($F117="",$C117="&lt;01"),$AO117,$F117)</f>
        <v>0</v>
      </c>
      <c r="AQ117" s="39" t="n">
        <f aca="false">IF(LEFT($B117,4)="_Mil","",IF(SUM($AP117)=0,SUM($Z117),IF(OR(SUM($Z117)=0,SUM($O117)=0),MAX($AP117,$Z117),$AP117*$Z117/$O117)))</f>
        <v>822</v>
      </c>
      <c r="AR117" s="88" t="str">
        <f aca="false">IF(OR(LEFT($B117,4)="_Mil",SUM($AJ117)=0),"",SUM($AQ117)/$AJ117)</f>
        <v/>
      </c>
      <c r="AS117" s="88" t="n">
        <f aca="false">IF($C117="&lt;01","",98%)</f>
        <v>0.98</v>
      </c>
      <c r="AT117" s="88" t="n">
        <f aca="false">IF($C117="&lt;01","",98%)</f>
        <v>0.98</v>
      </c>
      <c r="AU117" s="10" t="n">
        <f aca="false">IF($C117="&lt;01","",SUM($AP117)-SUM($O117))</f>
        <v>-80</v>
      </c>
      <c r="AV117" s="10" t="n">
        <f aca="false">IF($C117="&lt;01",ROUND(INDEX(EID!$N:$N,MATCH($B117,EID!$B:$B,0))/2,0),IF(SUM($AT117)=0,"",ROUND((SUM($AP117)-(SUM($O117)*SUM($AS117)))/$AT117,0)))</f>
        <v>-80</v>
      </c>
      <c r="AW117" s="88" t="n">
        <f aca="false">IF($C117="&lt;01","",100%)</f>
        <v>1</v>
      </c>
      <c r="AX117" s="39" t="n">
        <f aca="false">IF($C117="&lt;01",SUM($AV117),ROUND(SUM($AV117)*SUM($AW117),0))</f>
        <v>-80</v>
      </c>
      <c r="AY117" s="114" t="n">
        <f aca="false">IF($C117="&lt;01","",70%)</f>
        <v>0.7</v>
      </c>
      <c r="AZ117" s="91" t="n">
        <f aca="false">IF($C117="&lt;01",ROUND(INDEX(EID!$R:$R,MATCH($B117,EID!$B:$B,0))/2,0),ROUND(SUM($O117)+(SUM($AV117)*$AY117),0))</f>
        <v>24</v>
      </c>
      <c r="BA117" s="87" t="n">
        <f aca="false">IF($C117="&lt;01","",95%)</f>
        <v>0.95</v>
      </c>
      <c r="BB117" s="5" t="n">
        <f aca="false">IF($C117="&lt;01",ROUND(INDEX(EID!$T:$T,MATCH($B117,EID!$B:$B,0))/2,0),ROUND($AZ117*$BA117,0))</f>
        <v>23</v>
      </c>
      <c r="BC117" s="91" t="n">
        <f aca="false">IF(LEFT($B117,4)="_Mil","",IF(SUM($BB117)=0,SUM($AD117),IF(OR(SUM($AP117)=0,SUM($AQ117)=0),MAX($BB117,$AD117),ROUND($BB117*$AQ117/$AP117,0))))</f>
        <v>23</v>
      </c>
      <c r="BD117" s="88" t="n">
        <f aca="false">IF($C117="&lt;01","",95%)</f>
        <v>0.95</v>
      </c>
      <c r="BE117" s="39" t="n">
        <f aca="false">IF($C117="&lt;01",ROUND(INDEX(EID!$V:$V,MATCH($B117,EID!$B:$B,0))/2,0),ROUND($BD117*$BB117,0))</f>
        <v>22</v>
      </c>
      <c r="BF117" s="39" t="n">
        <f aca="false">IF(LEFT($B117,4)="_Mil","",IF(SUM($BE117)=0,SUM($AF117),IF(OR(SUM($AP117)=0,SUM($AQ117)=0),MAX($BE117,$AF117),ROUND($BE117*$AQ117/$AP117,0))))</f>
        <v>22</v>
      </c>
      <c r="BG117" s="114" t="n">
        <f aca="false">IF($C117="&lt;01","",95%)</f>
        <v>0.95</v>
      </c>
      <c r="BH117" s="5" t="n">
        <f aca="false">IF($C117="&lt;01",ROUND(INDEX(EID!$L:$L,MATCH($B117,EID!$B:$B,0)),0)/2,IF(SUM($BG117)=0,"",ROUND($AX117/$BG117,0)))</f>
        <v>-84</v>
      </c>
    </row>
    <row r="118" customFormat="false" ht="15" hidden="false" customHeight="false" outlineLevel="0" collapsed="false">
      <c r="A118" s="0" t="str">
        <f aca="false">INDEX(Prioritization!$D:$D,MATCH($B118,Prioritization!$A:$A,0))</f>
        <v>INVALID</v>
      </c>
      <c r="B118" s="0" t="s">
        <v>201</v>
      </c>
      <c r="C118" s="0" t="s">
        <v>364</v>
      </c>
      <c r="D118" s="0" t="s">
        <v>48</v>
      </c>
      <c r="E118" s="0" t="str">
        <f aca="false">$B118&amp;"|"&amp;$C118&amp;"|"&amp;$D118</f>
        <v>Ntcheu District [am530wpaGvr]|10-14|Male</v>
      </c>
      <c r="F118" s="10"/>
      <c r="G118" s="10" t="n">
        <v>2</v>
      </c>
      <c r="H118" s="10" t="n">
        <v>7</v>
      </c>
      <c r="I118" s="10" t="n">
        <v>42</v>
      </c>
      <c r="J118" s="10" t="n">
        <v>33</v>
      </c>
      <c r="K118" s="10" t="n">
        <v>31</v>
      </c>
      <c r="L118" s="10" t="n">
        <v>3</v>
      </c>
      <c r="M118" s="10" t="n">
        <v>8</v>
      </c>
      <c r="N118" s="10" t="n">
        <v>15</v>
      </c>
      <c r="O118" s="10" t="n">
        <f aca="false">IFERROR(1/(1/MAX($I118,$N118)),"")</f>
        <v>42</v>
      </c>
      <c r="P118" s="10" t="n">
        <v>21</v>
      </c>
      <c r="Q118" s="10" t="n">
        <v>33</v>
      </c>
      <c r="R118" s="10" t="n">
        <f aca="false">IF(AND(SUM($I118)=0,SUM($O118)=0),"",SUM($O118)-$I118)</f>
        <v>0</v>
      </c>
      <c r="S118" s="10" t="n">
        <f aca="false">IF(LEFT($B118,4)="_Mil","",_xlfn.IFNA(ROUND(INDEX(Spectrum!$N:$N,MATCH(RIGHT($B118,13)&amp;"|"&amp;$C118&amp;"|"&amp;$D118&amp;"|"&amp;S$14&amp;"|"&amp;"CY2022Q4",Spectrum!$R:$R,0)),0),""))</f>
        <v>1534</v>
      </c>
      <c r="T118" s="39" t="n">
        <f aca="false">IF(LEFT($B118,4)="_Mil","",_xlfn.IFNA(ROUND(INDEX(Spectrum!$N:$N,MATCH(RIGHT($B118,13)&amp;"|"&amp;$C118&amp;"|"&amp;$D118&amp;"|"&amp;T$14&amp;"|"&amp;"CY2023Q3",Spectrum!$R:$R,0)),0),""))</f>
        <v>1194</v>
      </c>
      <c r="U118" s="39" t="str">
        <f aca="false">IF(LEFT($B118,4)="_Mil","",_xlfn.IFNA(ROUND(INDEX(Spectrum!$N:$N,MATCH(RIGHT($B118,13)&amp;"|"&amp;$C118&amp;"|"&amp;$D118&amp;"|"&amp;U$14&amp;"|"&amp;"CY2023Q3",Spectrum!$R:$R,0)),0),""))</f>
        <v/>
      </c>
      <c r="V118" s="10" t="n">
        <f aca="false">IF(LEFT($B118,4)="_Mil","",_xlfn.IFNA(ROUND(INDEX(Spectrum!$N:$N,MATCH(RIGHT($B118,13)&amp;"|"&amp;$C118&amp;"|"&amp;$D118&amp;"|"&amp;V$14&amp;"|"&amp;"CY2023Q3",Spectrum!$R:$R,0)),0),""))</f>
        <v>829</v>
      </c>
      <c r="W118" s="113" t="n">
        <f aca="false">IF(LEFT($B118,4)="_Mil","",_xlfn.IFNA(INDEX(Spectrum!$N:$N,MATCH(RIGHT($B118,13)&amp;"|"&amp;$C118&amp;"|"&amp;$D118&amp;"|"&amp;W$14&amp;"|"&amp;"CY2023Q3",Spectrum!$R:$R,0)),""))</f>
        <v>1383</v>
      </c>
      <c r="X118" s="39" t="n">
        <f aca="false">IF(LEFT($B118,4)="_Mil","",_xlfn.IFNA(ROUND(INDEX(Spectrum!$N:$N,MATCH(RIGHT($B118,13)&amp;"|"&amp;$C118&amp;"|"&amp;$D118&amp;"|"&amp;X$14&amp;"|"&amp;"CY2023Q3",Spectrum!$R:$R,0)),0),""))</f>
        <v>1897</v>
      </c>
      <c r="Y118" s="88" t="str">
        <f aca="false">IF(OR(SUM($U118)=0,LEFT($B118,4)="_Mil"),"",SUM($X118)/$U118)</f>
        <v/>
      </c>
      <c r="Z118" s="39" t="n">
        <f aca="false">IF(LEFT($B118,4)="_Mil","",_xlfn.IFNA(ROUND(INDEX(Spectrum!$N:$N,MATCH(RIGHT($B118,13)&amp;"|"&amp;$C118&amp;"|"&amp;$D118&amp;"|"&amp;Z$14&amp;"|"&amp;"CY2023Q3",Spectrum!$R:$R,0)),0),""))</f>
        <v>739</v>
      </c>
      <c r="AA118" s="88" t="n">
        <f aca="false">IF(LEFT($B118,4)="_Mil","",IFERROR(1/(1/INDEX(Spectrum!$N:$N,MATCH(RIGHT($B118,13)&amp;"|"&amp;$C118&amp;"|"&amp;$D118&amp;"|"&amp;AA$14&amp;"|"&amp;"CY2023Q3",Spectrum!$R:$R,0))),IF(SUM($U118)=0,"",SUM($Z118)/$U118)))</f>
        <v>1385</v>
      </c>
      <c r="AB118" s="88" t="n">
        <f aca="false">IF(OR(LEFT($B118,4)="_Mil",SUM($X118)=0),"",SUM($Z118)/$X118)</f>
        <v>0.389562467053242</v>
      </c>
      <c r="AC118" s="10" t="n">
        <f aca="false">IF(LEFT($B118,4)="_Mil","",_xlfn.IFNA(ROUND(INDEX(Spectrum!$N:$N,MATCH(RIGHT($B118,13)&amp;"|"&amp;$C118&amp;"|"&amp;$D118&amp;"|"&amp;AC$14&amp;"|"&amp;"CY2023Q3",Spectrum!$R:$R,0)),0),""))</f>
        <v>1254</v>
      </c>
      <c r="AD118" s="10" t="str">
        <f aca="false">IF(LEFT($B118,4)="_Mil","",_xlfn.IFNA(ROUND(INDEX(Spectrum!$N:$N,MATCH(RIGHT($B118,13)&amp;"|"&amp;$C118&amp;"|"&amp;$D118&amp;"|"&amp;AD$14&amp;"|"&amp;"CY2023Q3",Spectrum!$R:$R,0)),0),""))</f>
        <v/>
      </c>
      <c r="AE118" s="88" t="n">
        <f aca="false">IF(OR(LEFT($B118,4)="_Mil",SUM($Z118)=0),"",SUM($AD118)/$Z118)</f>
        <v>0</v>
      </c>
      <c r="AF118" s="39" t="str">
        <f aca="false">IF(LEFT($B118,4)="_Mil","",_xlfn.IFNA(ROUND(INDEX(Spectrum!$N:$N,MATCH(RIGHT($B118,13)&amp;"|"&amp;$C118&amp;"|"&amp;$D118&amp;"|"&amp;AF$14&amp;"|"&amp;"CY2023Q3",Spectrum!$R:$R,0)),0),""))</f>
        <v/>
      </c>
      <c r="AG118" s="88" t="str">
        <f aca="false">IF(OR(LEFT($B118,4)="_Mil",SUM($AD118)=0),"",SUM($AF118)/$AD118)</f>
        <v/>
      </c>
      <c r="AH118" s="86" t="str">
        <f aca="false">IF(LEFT($B118,4)="_Mil","",_xlfn.IFNA(INDEX(Spectrum!$N:$N,MATCH(RIGHT($B118,13)&amp;"|"&amp;$C118&amp;"|"&amp;$D118&amp;"|"&amp;AH$14&amp;"|"&amp;"CY2023Q3",Spectrum!$R:$R,0)),""))</f>
        <v/>
      </c>
      <c r="AI118" s="10" t="str">
        <f aca="false">IF(LEFT($B118,4)="_Mil","",_xlfn.IFNA(ROUND(INDEX(Spectrum!$N:$N,MATCH(RIGHT($B118,13)&amp;"|"&amp;$C118&amp;"|"&amp;$D118&amp;"|"&amp;AI$14&amp;"|"&amp;"CY2023Q3",Spectrum!$R:$R,0)),0),""))</f>
        <v/>
      </c>
      <c r="AJ118" s="39" t="n">
        <f aca="false">IF(LEFT($B118,4)="_Mil","",_xlfn.IFNA(ROUND(INDEX(Spectrum!$N:$N,MATCH(RIGHT($B118,13)&amp;"|"&amp;$C118&amp;"|"&amp;$D118&amp;"|"&amp;AI$14&amp;"|"&amp;"CY2023Q3",Spectrum!$R:$R,0)),0),SUM($U118)+SUM($AI118)))</f>
        <v>0</v>
      </c>
      <c r="AK118" s="10" t="str">
        <f aca="false">IF(LEFT($B118,4)="_Mil","",_xlfn.IFNA(ROUND(INDEX(Spectrum!$N:$N,MATCH(RIGHT($B118,13)&amp;"|"&amp;$C118&amp;"|"&amp;$D118&amp;"|"&amp;AK$14&amp;"|"&amp;"CY2023Q3",Spectrum!$R:$R,0)),0),""))</f>
        <v/>
      </c>
      <c r="AL118" s="88" t="n">
        <f aca="false">IF(OR(LEFT($B118,4)="_Mil",$C118="&lt;01"),"",MAX(SUM($AA118),90%))</f>
        <v>1385</v>
      </c>
      <c r="AM118" s="10" t="n">
        <f aca="false">IF(OR(LEFT($B118,4)="_Mil",$C118="&lt;01"),"",ROUND(SUM($AJ118)*SUM($AL118),0))</f>
        <v>0</v>
      </c>
      <c r="AN118" s="10" t="str">
        <f aca="false">IF($C118="&lt;01",ROUND(INDEX(EID!$P:$P,MATCH($B118,EID!$B:$B,0))/2,0),"")</f>
        <v/>
      </c>
      <c r="AO118" s="10" t="n">
        <f aca="false">IF($C118="&lt;01",SUM($AN118),ROUND(SUM($AM118)*SUM($O118)/IF(SUM($Z118)=0,1,$Z118),0))</f>
        <v>0</v>
      </c>
      <c r="AP118" s="39" t="n">
        <f aca="false">IF(OR($F118="",$C118="&lt;01"),$AO118,$F118)</f>
        <v>0</v>
      </c>
      <c r="AQ118" s="39" t="n">
        <f aca="false">IF(LEFT($B118,4)="_Mil","",IF(SUM($AP118)=0,SUM($Z118),IF(OR(SUM($Z118)=0,SUM($O118)=0),MAX($AP118,$Z118),$AP118*$Z118/$O118)))</f>
        <v>739</v>
      </c>
      <c r="AR118" s="88" t="str">
        <f aca="false">IF(OR(LEFT($B118,4)="_Mil",SUM($AJ118)=0),"",SUM($AQ118)/$AJ118)</f>
        <v/>
      </c>
      <c r="AS118" s="88" t="n">
        <f aca="false">IF($C118="&lt;01","",98%)</f>
        <v>0.98</v>
      </c>
      <c r="AT118" s="88" t="n">
        <f aca="false">IF($C118="&lt;01","",98%)</f>
        <v>0.98</v>
      </c>
      <c r="AU118" s="10" t="n">
        <f aca="false">IF($C118="&lt;01","",SUM($AP118)-SUM($O118))</f>
        <v>-42</v>
      </c>
      <c r="AV118" s="10" t="n">
        <f aca="false">IF($C118="&lt;01",ROUND(INDEX(EID!$N:$N,MATCH($B118,EID!$B:$B,0))/2,0),IF(SUM($AT118)=0,"",ROUND((SUM($AP118)-(SUM($O118)*SUM($AS118)))/$AT118,0)))</f>
        <v>-42</v>
      </c>
      <c r="AW118" s="88" t="n">
        <f aca="false">IF($C118="&lt;01","",100%)</f>
        <v>1</v>
      </c>
      <c r="AX118" s="39" t="n">
        <f aca="false">IF($C118="&lt;01",SUM($AV118),ROUND(SUM($AV118)*SUM($AW118),0))</f>
        <v>-42</v>
      </c>
      <c r="AY118" s="114" t="n">
        <f aca="false">IF($C118="&lt;01","",70%)</f>
        <v>0.7</v>
      </c>
      <c r="AZ118" s="91" t="n">
        <f aca="false">IF($C118="&lt;01",ROUND(INDEX(EID!$R:$R,MATCH($B118,EID!$B:$B,0))/2,0),ROUND(SUM($O118)+(SUM($AV118)*$AY118),0))</f>
        <v>13</v>
      </c>
      <c r="BA118" s="87" t="n">
        <f aca="false">IF($C118="&lt;01","",95%)</f>
        <v>0.95</v>
      </c>
      <c r="BB118" s="5" t="n">
        <f aca="false">IF($C118="&lt;01",ROUND(INDEX(EID!$T:$T,MATCH($B118,EID!$B:$B,0))/2,0),ROUND($AZ118*$BA118,0))</f>
        <v>12</v>
      </c>
      <c r="BC118" s="91" t="n">
        <f aca="false">IF(LEFT($B118,4)="_Mil","",IF(SUM($BB118)=0,SUM($AD118),IF(OR(SUM($AP118)=0,SUM($AQ118)=0),MAX($BB118,$AD118),ROUND($BB118*$AQ118/$AP118,0))))</f>
        <v>12</v>
      </c>
      <c r="BD118" s="88" t="n">
        <f aca="false">IF($C118="&lt;01","",95%)</f>
        <v>0.95</v>
      </c>
      <c r="BE118" s="39" t="n">
        <f aca="false">IF($C118="&lt;01",ROUND(INDEX(EID!$V:$V,MATCH($B118,EID!$B:$B,0))/2,0),ROUND($BD118*$BB118,0))</f>
        <v>11</v>
      </c>
      <c r="BF118" s="39" t="n">
        <f aca="false">IF(LEFT($B118,4)="_Mil","",IF(SUM($BE118)=0,SUM($AF118),IF(OR(SUM($AP118)=0,SUM($AQ118)=0),MAX($BE118,$AF118),ROUND($BE118*$AQ118/$AP118,0))))</f>
        <v>11</v>
      </c>
      <c r="BG118" s="114" t="n">
        <f aca="false">IF($C118="&lt;01","",95%)</f>
        <v>0.95</v>
      </c>
      <c r="BH118" s="5" t="n">
        <f aca="false">IF($C118="&lt;01",ROUND(INDEX(EID!$L:$L,MATCH($B118,EID!$B:$B,0)),0)/2,IF(SUM($BG118)=0,"",ROUND($AX118/$BG118,0)))</f>
        <v>-44</v>
      </c>
    </row>
    <row r="119" customFormat="false" ht="15" hidden="false" customHeight="false" outlineLevel="0" collapsed="false">
      <c r="A119" s="0" t="str">
        <f aca="false">INDEX(Prioritization!$D:$D,MATCH($B119,Prioritization!$A:$A,0))</f>
        <v>INVALID</v>
      </c>
      <c r="B119" s="0" t="s">
        <v>201</v>
      </c>
      <c r="C119" s="0" t="s">
        <v>365</v>
      </c>
      <c r="D119" s="0" t="s">
        <v>30</v>
      </c>
      <c r="E119" s="0" t="str">
        <f aca="false">$B119&amp;"|"&amp;$C119&amp;"|"&amp;$D119</f>
        <v>Ntcheu District [am530wpaGvr]|15-24|Female</v>
      </c>
      <c r="F119" s="10"/>
      <c r="G119" s="10"/>
      <c r="H119" s="10"/>
      <c r="I119" s="10"/>
      <c r="J119" s="10"/>
      <c r="K119" s="10"/>
      <c r="L119" s="10"/>
      <c r="M119" s="10"/>
      <c r="N119" s="10"/>
      <c r="O119" s="10" t="str">
        <f aca="false">IFERROR(1/(1/MAX($I119,$N119)),"")</f>
        <v/>
      </c>
      <c r="P119" s="10"/>
      <c r="Q119" s="10"/>
      <c r="R119" s="10" t="str">
        <f aca="false">IF(AND(SUM($I119)=0,SUM($O119)=0),"",SUM($O119)-$I119)</f>
        <v/>
      </c>
      <c r="S119" s="10" t="n">
        <f aca="false">IF(LEFT($B119,4)="_Mil","",_xlfn.IFNA(ROUND(INDEX(Spectrum!$N:$N,MATCH(RIGHT($B119,13)&amp;"|"&amp;$C119&amp;"|"&amp;$D119&amp;"|"&amp;S$14&amp;"|"&amp;"CY2022Q4",Spectrum!$R:$R,0)),0),""))</f>
        <v>700</v>
      </c>
      <c r="T119" s="39" t="n">
        <f aca="false">IF(LEFT($B119,4)="_Mil","",_xlfn.IFNA(ROUND(INDEX(Spectrum!$N:$N,MATCH(RIGHT($B119,13)&amp;"|"&amp;$C119&amp;"|"&amp;$D119&amp;"|"&amp;T$14&amp;"|"&amp;"CY2023Q3",Spectrum!$R:$R,0)),0),""))</f>
        <v>1559</v>
      </c>
      <c r="U119" s="39" t="str">
        <f aca="false">IF(LEFT($B119,4)="_Mil","",_xlfn.IFNA(ROUND(INDEX(Spectrum!$N:$N,MATCH(RIGHT($B119,13)&amp;"|"&amp;$C119&amp;"|"&amp;$D119&amp;"|"&amp;U$14&amp;"|"&amp;"CY2023Q3",Spectrum!$R:$R,0)),0),""))</f>
        <v/>
      </c>
      <c r="V119" s="10" t="n">
        <f aca="false">IF(LEFT($B119,4)="_Mil","",_xlfn.IFNA(ROUND(INDEX(Spectrum!$N:$N,MATCH(RIGHT($B119,13)&amp;"|"&amp;$C119&amp;"|"&amp;$D119&amp;"|"&amp;V$14&amp;"|"&amp;"CY2023Q3",Spectrum!$R:$R,0)),0),""))</f>
        <v>1936</v>
      </c>
      <c r="W119" s="113" t="n">
        <f aca="false">IF(LEFT($B119,4)="_Mil","",_xlfn.IFNA(INDEX(Spectrum!$N:$N,MATCH(RIGHT($B119,13)&amp;"|"&amp;$C119&amp;"|"&amp;$D119&amp;"|"&amp;W$14&amp;"|"&amp;"CY2023Q3",Spectrum!$R:$R,0)),""))</f>
        <v>655</v>
      </c>
      <c r="X119" s="39" t="n">
        <f aca="false">IF(LEFT($B119,4)="_Mil","",_xlfn.IFNA(ROUND(INDEX(Spectrum!$N:$N,MATCH(RIGHT($B119,13)&amp;"|"&amp;$C119&amp;"|"&amp;$D119&amp;"|"&amp;X$14&amp;"|"&amp;"CY2023Q3",Spectrum!$R:$R,0)),0),""))</f>
        <v>1292</v>
      </c>
      <c r="Y119" s="88" t="str">
        <f aca="false">IF(OR(SUM($U119)=0,LEFT($B119,4)="_Mil"),"",SUM($X119)/$U119)</f>
        <v/>
      </c>
      <c r="Z119" s="39" t="n">
        <f aca="false">IF(LEFT($B119,4)="_Mil","",_xlfn.IFNA(ROUND(INDEX(Spectrum!$N:$N,MATCH(RIGHT($B119,13)&amp;"|"&amp;$C119&amp;"|"&amp;$D119&amp;"|"&amp;Z$14&amp;"|"&amp;"CY2023Q3",Spectrum!$R:$R,0)),0),""))</f>
        <v>1039</v>
      </c>
      <c r="AA119" s="88" t="n">
        <f aca="false">IF(LEFT($B119,4)="_Mil","",IFERROR(1/(1/INDEX(Spectrum!$N:$N,MATCH(RIGHT($B119,13)&amp;"|"&amp;$C119&amp;"|"&amp;$D119&amp;"|"&amp;AA$14&amp;"|"&amp;"CY2023Q3",Spectrum!$R:$R,0))),IF(SUM($U119)=0,"",SUM($Z119)/$U119)))</f>
        <v>1897</v>
      </c>
      <c r="AB119" s="88" t="n">
        <f aca="false">IF(OR(LEFT($B119,4)="_Mil",SUM($X119)=0),"",SUM($Z119)/$X119)</f>
        <v>0.804179566563467</v>
      </c>
      <c r="AC119" s="10" t="n">
        <f aca="false">IF(LEFT($B119,4)="_Mil","",_xlfn.IFNA(ROUND(INDEX(Spectrum!$N:$N,MATCH(RIGHT($B119,13)&amp;"|"&amp;$C119&amp;"|"&amp;$D119&amp;"|"&amp;AC$14&amp;"|"&amp;"CY2023Q3",Spectrum!$R:$R,0)),0),""))</f>
        <v>1075</v>
      </c>
      <c r="AD119" s="10" t="str">
        <f aca="false">IF(LEFT($B119,4)="_Mil","",_xlfn.IFNA(ROUND(INDEX(Spectrum!$N:$N,MATCH(RIGHT($B119,13)&amp;"|"&amp;$C119&amp;"|"&amp;$D119&amp;"|"&amp;AD$14&amp;"|"&amp;"CY2023Q3",Spectrum!$R:$R,0)),0),""))</f>
        <v/>
      </c>
      <c r="AE119" s="88" t="n">
        <f aca="false">IF(OR(LEFT($B119,4)="_Mil",SUM($Z119)=0),"",SUM($AD119)/$Z119)</f>
        <v>0</v>
      </c>
      <c r="AF119" s="39" t="str">
        <f aca="false">IF(LEFT($B119,4)="_Mil","",_xlfn.IFNA(ROUND(INDEX(Spectrum!$N:$N,MATCH(RIGHT($B119,13)&amp;"|"&amp;$C119&amp;"|"&amp;$D119&amp;"|"&amp;AF$14&amp;"|"&amp;"CY2023Q3",Spectrum!$R:$R,0)),0),""))</f>
        <v/>
      </c>
      <c r="AG119" s="88" t="str">
        <f aca="false">IF(OR(LEFT($B119,4)="_Mil",SUM($AD119)=0),"",SUM($AF119)/$AD119)</f>
        <v/>
      </c>
      <c r="AH119" s="86" t="str">
        <f aca="false">IF(LEFT($B119,4)="_Mil","",_xlfn.IFNA(INDEX(Spectrum!$N:$N,MATCH(RIGHT($B119,13)&amp;"|"&amp;$C119&amp;"|"&amp;$D119&amp;"|"&amp;AH$14&amp;"|"&amp;"CY2023Q3",Spectrum!$R:$R,0)),""))</f>
        <v/>
      </c>
      <c r="AI119" s="10" t="str">
        <f aca="false">IF(LEFT($B119,4)="_Mil","",_xlfn.IFNA(ROUND(INDEX(Spectrum!$N:$N,MATCH(RIGHT($B119,13)&amp;"|"&amp;$C119&amp;"|"&amp;$D119&amp;"|"&amp;AI$14&amp;"|"&amp;"CY2023Q3",Spectrum!$R:$R,0)),0),""))</f>
        <v/>
      </c>
      <c r="AJ119" s="39" t="n">
        <f aca="false">IF(LEFT($B119,4)="_Mil","",_xlfn.IFNA(ROUND(INDEX(Spectrum!$N:$N,MATCH(RIGHT($B119,13)&amp;"|"&amp;$C119&amp;"|"&amp;$D119&amp;"|"&amp;AI$14&amp;"|"&amp;"CY2023Q3",Spectrum!$R:$R,0)),0),SUM($U119)+SUM($AI119)))</f>
        <v>0</v>
      </c>
      <c r="AK119" s="10" t="str">
        <f aca="false">IF(LEFT($B119,4)="_Mil","",_xlfn.IFNA(ROUND(INDEX(Spectrum!$N:$N,MATCH(RIGHT($B119,13)&amp;"|"&amp;$C119&amp;"|"&amp;$D119&amp;"|"&amp;AK$14&amp;"|"&amp;"CY2023Q3",Spectrum!$R:$R,0)),0),""))</f>
        <v/>
      </c>
      <c r="AL119" s="88" t="n">
        <f aca="false">IF(OR(LEFT($B119,4)="_Mil",$C119="&lt;01"),"",MAX(SUM($AA119),90%))</f>
        <v>1897</v>
      </c>
      <c r="AM119" s="10" t="n">
        <f aca="false">IF(OR(LEFT($B119,4)="_Mil",$C119="&lt;01"),"",ROUND(SUM($AJ119)*SUM($AL119),0))</f>
        <v>0</v>
      </c>
      <c r="AN119" s="10" t="str">
        <f aca="false">IF($C119="&lt;01",ROUND(INDEX(EID!$P:$P,MATCH($B119,EID!$B:$B,0))/2,0),"")</f>
        <v/>
      </c>
      <c r="AO119" s="10" t="n">
        <f aca="false">IF($C119="&lt;01",SUM($AN119),ROUND(SUM($AM119)*SUM($O119)/IF(SUM($Z119)=0,1,$Z119),0))</f>
        <v>0</v>
      </c>
      <c r="AP119" s="39" t="n">
        <f aca="false">IF(OR($F119="",$C119="&lt;01"),$AO119,$F119)</f>
        <v>0</v>
      </c>
      <c r="AQ119" s="39" t="n">
        <f aca="false">IF(LEFT($B119,4)="_Mil","",IF(SUM($AP119)=0,SUM($Z119),IF(OR(SUM($Z119)=0,SUM($O119)=0),MAX($AP119,$Z119),$AP119*$Z119/$O119)))</f>
        <v>1039</v>
      </c>
      <c r="AR119" s="88" t="str">
        <f aca="false">IF(OR(LEFT($B119,4)="_Mil",SUM($AJ119)=0),"",SUM($AQ119)/$AJ119)</f>
        <v/>
      </c>
      <c r="AS119" s="88" t="n">
        <f aca="false">IF($C119="&lt;01","",98%)</f>
        <v>0.98</v>
      </c>
      <c r="AT119" s="88" t="n">
        <f aca="false">IF($C119="&lt;01","",98%)</f>
        <v>0.98</v>
      </c>
      <c r="AU119" s="10" t="n">
        <f aca="false">IF($C119="&lt;01","",SUM($AP119)-SUM($O119))</f>
        <v>0</v>
      </c>
      <c r="AV119" s="10" t="n">
        <f aca="false">IF($C119="&lt;01",ROUND(INDEX(EID!$N:$N,MATCH($B119,EID!$B:$B,0))/2,0),IF(SUM($AT119)=0,"",ROUND((SUM($AP119)-(SUM($O119)*SUM($AS119)))/$AT119,0)))</f>
        <v>0</v>
      </c>
      <c r="AW119" s="88" t="n">
        <f aca="false">IF($C119="&lt;01","",100%)</f>
        <v>1</v>
      </c>
      <c r="AX119" s="39" t="n">
        <f aca="false">IF($C119="&lt;01",SUM($AV119),ROUND(SUM($AV119)*SUM($AW119),0))</f>
        <v>0</v>
      </c>
      <c r="AY119" s="114" t="n">
        <f aca="false">IF($C119="&lt;01","",70%)</f>
        <v>0.7</v>
      </c>
      <c r="AZ119" s="91" t="n">
        <f aca="false">IF($C119="&lt;01",ROUND(INDEX(EID!$R:$R,MATCH($B119,EID!$B:$B,0))/2,0),ROUND(SUM($O119)+(SUM($AV119)*$AY119),0))</f>
        <v>0</v>
      </c>
      <c r="BA119" s="87" t="n">
        <f aca="false">IF($C119="&lt;01","",95%)</f>
        <v>0.95</v>
      </c>
      <c r="BB119" s="5" t="n">
        <f aca="false">IF($C119="&lt;01",ROUND(INDEX(EID!$T:$T,MATCH($B119,EID!$B:$B,0))/2,0),ROUND($AZ119*$BA119,0))</f>
        <v>0</v>
      </c>
      <c r="BC119" s="91" t="n">
        <f aca="false">IF(LEFT($B119,4)="_Mil","",IF(SUM($BB119)=0,SUM($AD119),IF(OR(SUM($AP119)=0,SUM($AQ119)=0),MAX($BB119,$AD119),ROUND($BB119*$AQ119/$AP119,0))))</f>
        <v>0</v>
      </c>
      <c r="BD119" s="88" t="n">
        <f aca="false">IF($C119="&lt;01","",95%)</f>
        <v>0.95</v>
      </c>
      <c r="BE119" s="39" t="n">
        <f aca="false">IF($C119="&lt;01",ROUND(INDEX(EID!$V:$V,MATCH($B119,EID!$B:$B,0))/2,0),ROUND($BD119*$BB119,0))</f>
        <v>0</v>
      </c>
      <c r="BF119" s="39" t="n">
        <f aca="false">IF(LEFT($B119,4)="_Mil","",IF(SUM($BE119)=0,SUM($AF119),IF(OR(SUM($AP119)=0,SUM($AQ119)=0),MAX($BE119,$AF119),ROUND($BE119*$AQ119/$AP119,0))))</f>
        <v>0</v>
      </c>
      <c r="BG119" s="114" t="n">
        <f aca="false">IF($C119="&lt;01","",95%)</f>
        <v>0.95</v>
      </c>
      <c r="BH119" s="5" t="n">
        <f aca="false">IF($C119="&lt;01",ROUND(INDEX(EID!$L:$L,MATCH($B119,EID!$B:$B,0)),0)/2,IF(SUM($BG119)=0,"",ROUND($AX119/$BG119,0)))</f>
        <v>0</v>
      </c>
    </row>
    <row r="120" customFormat="false" ht="15" hidden="false" customHeight="false" outlineLevel="0" collapsed="false">
      <c r="A120" s="0" t="str">
        <f aca="false">INDEX(Prioritization!$D:$D,MATCH($B120,Prioritization!$A:$A,0))</f>
        <v>INVALID</v>
      </c>
      <c r="B120" s="0" t="s">
        <v>201</v>
      </c>
      <c r="C120" s="0" t="s">
        <v>365</v>
      </c>
      <c r="D120" s="0" t="s">
        <v>48</v>
      </c>
      <c r="E120" s="0" t="str">
        <f aca="false">$B120&amp;"|"&amp;$C120&amp;"|"&amp;$D120</f>
        <v>Ntcheu District [am530wpaGvr]|15-24|Male</v>
      </c>
      <c r="F120" s="10"/>
      <c r="G120" s="10"/>
      <c r="H120" s="10"/>
      <c r="I120" s="10"/>
      <c r="J120" s="10"/>
      <c r="K120" s="10"/>
      <c r="L120" s="10"/>
      <c r="M120" s="10"/>
      <c r="N120" s="10"/>
      <c r="O120" s="10" t="str">
        <f aca="false">IFERROR(1/(1/MAX($I120,$N120)),"")</f>
        <v/>
      </c>
      <c r="P120" s="10"/>
      <c r="Q120" s="10"/>
      <c r="R120" s="10" t="str">
        <f aca="false">IF(AND(SUM($I120)=0,SUM($O120)=0),"",SUM($O120)-$I120)</f>
        <v/>
      </c>
      <c r="S120" s="10" t="n">
        <f aca="false">IF(LEFT($B120,4)="_Mil","",_xlfn.IFNA(ROUND(INDEX(Spectrum!$N:$N,MATCH(RIGHT($B120,13)&amp;"|"&amp;$C120&amp;"|"&amp;$D120&amp;"|"&amp;S$14&amp;"|"&amp;"CY2022Q4",Spectrum!$R:$R,0)),0),""))</f>
        <v>856</v>
      </c>
      <c r="T120" s="39" t="n">
        <f aca="false">IF(LEFT($B120,4)="_Mil","",_xlfn.IFNA(ROUND(INDEX(Spectrum!$N:$N,MATCH(RIGHT($B120,13)&amp;"|"&amp;$C120&amp;"|"&amp;$D120&amp;"|"&amp;T$14&amp;"|"&amp;"CY2023Q3",Spectrum!$R:$R,0)),0),""))</f>
        <v>1551</v>
      </c>
      <c r="U120" s="39" t="str">
        <f aca="false">IF(LEFT($B120,4)="_Mil","",_xlfn.IFNA(ROUND(INDEX(Spectrum!$N:$N,MATCH(RIGHT($B120,13)&amp;"|"&amp;$C120&amp;"|"&amp;$D120&amp;"|"&amp;U$14&amp;"|"&amp;"CY2023Q3",Spectrum!$R:$R,0)),0),""))</f>
        <v/>
      </c>
      <c r="V120" s="10" t="n">
        <f aca="false">IF(LEFT($B120,4)="_Mil","",_xlfn.IFNA(ROUND(INDEX(Spectrum!$N:$N,MATCH(RIGHT($B120,13)&amp;"|"&amp;$C120&amp;"|"&amp;$D120&amp;"|"&amp;V$14&amp;"|"&amp;"CY2023Q3",Spectrum!$R:$R,0)),0),""))</f>
        <v>815</v>
      </c>
      <c r="W120" s="113" t="n">
        <f aca="false">IF(LEFT($B120,4)="_Mil","",_xlfn.IFNA(INDEX(Spectrum!$N:$N,MATCH(RIGHT($B120,13)&amp;"|"&amp;$C120&amp;"|"&amp;$D120&amp;"|"&amp;W$14&amp;"|"&amp;"CY2023Q3",Spectrum!$R:$R,0)),""))</f>
        <v>607</v>
      </c>
      <c r="X120" s="39" t="n">
        <f aca="false">IF(LEFT($B120,4)="_Mil","",_xlfn.IFNA(ROUND(INDEX(Spectrum!$N:$N,MATCH(RIGHT($B120,13)&amp;"|"&amp;$C120&amp;"|"&amp;$D120&amp;"|"&amp;X$14&amp;"|"&amp;"CY2023Q3",Spectrum!$R:$R,0)),0),""))</f>
        <v>1244</v>
      </c>
      <c r="Y120" s="88" t="str">
        <f aca="false">IF(OR(SUM($U120)=0,LEFT($B120,4)="_Mil"),"",SUM($X120)/$U120)</f>
        <v/>
      </c>
      <c r="Z120" s="39" t="n">
        <f aca="false">IF(LEFT($B120,4)="_Mil","",_xlfn.IFNA(ROUND(INDEX(Spectrum!$N:$N,MATCH(RIGHT($B120,13)&amp;"|"&amp;$C120&amp;"|"&amp;$D120&amp;"|"&amp;Z$14&amp;"|"&amp;"CY2023Q3",Spectrum!$R:$R,0)),0),""))</f>
        <v>1469</v>
      </c>
      <c r="AA120" s="88" t="n">
        <f aca="false">IF(LEFT($B120,4)="_Mil","",IFERROR(1/(1/INDEX(Spectrum!$N:$N,MATCH(RIGHT($B120,13)&amp;"|"&amp;$C120&amp;"|"&amp;$D120&amp;"|"&amp;AA$14&amp;"|"&amp;"CY2023Q3",Spectrum!$R:$R,0))),IF(SUM($U120)=0,"",SUM($Z120)/$U120)))</f>
        <v>1256</v>
      </c>
      <c r="AB120" s="88" t="n">
        <f aca="false">IF(OR(LEFT($B120,4)="_Mil",SUM($X120)=0),"",SUM($Z120)/$X120)</f>
        <v>1.18086816720257</v>
      </c>
      <c r="AC120" s="10" t="n">
        <f aca="false">IF(LEFT($B120,4)="_Mil","",_xlfn.IFNA(ROUND(INDEX(Spectrum!$N:$N,MATCH(RIGHT($B120,13)&amp;"|"&amp;$C120&amp;"|"&amp;$D120&amp;"|"&amp;AC$14&amp;"|"&amp;"CY2023Q3",Spectrum!$R:$R,0)),0),""))</f>
        <v>1967</v>
      </c>
      <c r="AD120" s="10" t="str">
        <f aca="false">IF(LEFT($B120,4)="_Mil","",_xlfn.IFNA(ROUND(INDEX(Spectrum!$N:$N,MATCH(RIGHT($B120,13)&amp;"|"&amp;$C120&amp;"|"&amp;$D120&amp;"|"&amp;AD$14&amp;"|"&amp;"CY2023Q3",Spectrum!$R:$R,0)),0),""))</f>
        <v/>
      </c>
      <c r="AE120" s="88" t="n">
        <f aca="false">IF(OR(LEFT($B120,4)="_Mil",SUM($Z120)=0),"",SUM($AD120)/$Z120)</f>
        <v>0</v>
      </c>
      <c r="AF120" s="39" t="str">
        <f aca="false">IF(LEFT($B120,4)="_Mil","",_xlfn.IFNA(ROUND(INDEX(Spectrum!$N:$N,MATCH(RIGHT($B120,13)&amp;"|"&amp;$C120&amp;"|"&amp;$D120&amp;"|"&amp;AF$14&amp;"|"&amp;"CY2023Q3",Spectrum!$R:$R,0)),0),""))</f>
        <v/>
      </c>
      <c r="AG120" s="88" t="str">
        <f aca="false">IF(OR(LEFT($B120,4)="_Mil",SUM($AD120)=0),"",SUM($AF120)/$AD120)</f>
        <v/>
      </c>
      <c r="AH120" s="86" t="str">
        <f aca="false">IF(LEFT($B120,4)="_Mil","",_xlfn.IFNA(INDEX(Spectrum!$N:$N,MATCH(RIGHT($B120,13)&amp;"|"&amp;$C120&amp;"|"&amp;$D120&amp;"|"&amp;AH$14&amp;"|"&amp;"CY2023Q3",Spectrum!$R:$R,0)),""))</f>
        <v/>
      </c>
      <c r="AI120" s="10" t="str">
        <f aca="false">IF(LEFT($B120,4)="_Mil","",_xlfn.IFNA(ROUND(INDEX(Spectrum!$N:$N,MATCH(RIGHT($B120,13)&amp;"|"&amp;$C120&amp;"|"&amp;$D120&amp;"|"&amp;AI$14&amp;"|"&amp;"CY2023Q3",Spectrum!$R:$R,0)),0),""))</f>
        <v/>
      </c>
      <c r="AJ120" s="39" t="n">
        <f aca="false">IF(LEFT($B120,4)="_Mil","",_xlfn.IFNA(ROUND(INDEX(Spectrum!$N:$N,MATCH(RIGHT($B120,13)&amp;"|"&amp;$C120&amp;"|"&amp;$D120&amp;"|"&amp;AI$14&amp;"|"&amp;"CY2023Q3",Spectrum!$R:$R,0)),0),SUM($U120)+SUM($AI120)))</f>
        <v>0</v>
      </c>
      <c r="AK120" s="10" t="str">
        <f aca="false">IF(LEFT($B120,4)="_Mil","",_xlfn.IFNA(ROUND(INDEX(Spectrum!$N:$N,MATCH(RIGHT($B120,13)&amp;"|"&amp;$C120&amp;"|"&amp;$D120&amp;"|"&amp;AK$14&amp;"|"&amp;"CY2023Q3",Spectrum!$R:$R,0)),0),""))</f>
        <v/>
      </c>
      <c r="AL120" s="88" t="n">
        <f aca="false">IF(OR(LEFT($B120,4)="_Mil",$C120="&lt;01"),"",MAX(SUM($AA120),90%))</f>
        <v>1256</v>
      </c>
      <c r="AM120" s="10" t="n">
        <f aca="false">IF(OR(LEFT($B120,4)="_Mil",$C120="&lt;01"),"",ROUND(SUM($AJ120)*SUM($AL120),0))</f>
        <v>0</v>
      </c>
      <c r="AN120" s="10" t="str">
        <f aca="false">IF($C120="&lt;01",ROUND(INDEX(EID!$P:$P,MATCH($B120,EID!$B:$B,0))/2,0),"")</f>
        <v/>
      </c>
      <c r="AO120" s="10" t="n">
        <f aca="false">IF($C120="&lt;01",SUM($AN120),ROUND(SUM($AM120)*SUM($O120)/IF(SUM($Z120)=0,1,$Z120),0))</f>
        <v>0</v>
      </c>
      <c r="AP120" s="39" t="n">
        <f aca="false">IF(OR($F120="",$C120="&lt;01"),$AO120,$F120)</f>
        <v>0</v>
      </c>
      <c r="AQ120" s="39" t="n">
        <f aca="false">IF(LEFT($B120,4)="_Mil","",IF(SUM($AP120)=0,SUM($Z120),IF(OR(SUM($Z120)=0,SUM($O120)=0),MAX($AP120,$Z120),$AP120*$Z120/$O120)))</f>
        <v>1469</v>
      </c>
      <c r="AR120" s="88" t="str">
        <f aca="false">IF(OR(LEFT($B120,4)="_Mil",SUM($AJ120)=0),"",SUM($AQ120)/$AJ120)</f>
        <v/>
      </c>
      <c r="AS120" s="88" t="n">
        <f aca="false">IF($C120="&lt;01","",98%)</f>
        <v>0.98</v>
      </c>
      <c r="AT120" s="88" t="n">
        <f aca="false">IF($C120="&lt;01","",98%)</f>
        <v>0.98</v>
      </c>
      <c r="AU120" s="10" t="n">
        <f aca="false">IF($C120="&lt;01","",SUM($AP120)-SUM($O120))</f>
        <v>0</v>
      </c>
      <c r="AV120" s="10" t="n">
        <f aca="false">IF($C120="&lt;01",ROUND(INDEX(EID!$N:$N,MATCH($B120,EID!$B:$B,0))/2,0),IF(SUM($AT120)=0,"",ROUND((SUM($AP120)-(SUM($O120)*SUM($AS120)))/$AT120,0)))</f>
        <v>0</v>
      </c>
      <c r="AW120" s="88" t="n">
        <f aca="false">IF($C120="&lt;01","",100%)</f>
        <v>1</v>
      </c>
      <c r="AX120" s="39" t="n">
        <f aca="false">IF($C120="&lt;01",SUM($AV120),ROUND(SUM($AV120)*SUM($AW120),0))</f>
        <v>0</v>
      </c>
      <c r="AY120" s="114" t="n">
        <f aca="false">IF($C120="&lt;01","",70%)</f>
        <v>0.7</v>
      </c>
      <c r="AZ120" s="91" t="n">
        <f aca="false">IF($C120="&lt;01",ROUND(INDEX(EID!$R:$R,MATCH($B120,EID!$B:$B,0))/2,0),ROUND(SUM($O120)+(SUM($AV120)*$AY120),0))</f>
        <v>0</v>
      </c>
      <c r="BA120" s="87" t="n">
        <f aca="false">IF($C120="&lt;01","",95%)</f>
        <v>0.95</v>
      </c>
      <c r="BB120" s="5" t="n">
        <f aca="false">IF($C120="&lt;01",ROUND(INDEX(EID!$T:$T,MATCH($B120,EID!$B:$B,0))/2,0),ROUND($AZ120*$BA120,0))</f>
        <v>0</v>
      </c>
      <c r="BC120" s="91" t="n">
        <f aca="false">IF(LEFT($B120,4)="_Mil","",IF(SUM($BB120)=0,SUM($AD120),IF(OR(SUM($AP120)=0,SUM($AQ120)=0),MAX($BB120,$AD120),ROUND($BB120*$AQ120/$AP120,0))))</f>
        <v>0</v>
      </c>
      <c r="BD120" s="88" t="n">
        <f aca="false">IF($C120="&lt;01","",95%)</f>
        <v>0.95</v>
      </c>
      <c r="BE120" s="39" t="n">
        <f aca="false">IF($C120="&lt;01",ROUND(INDEX(EID!$V:$V,MATCH($B120,EID!$B:$B,0))/2,0),ROUND($BD120*$BB120,0))</f>
        <v>0</v>
      </c>
      <c r="BF120" s="39" t="n">
        <f aca="false">IF(LEFT($B120,4)="_Mil","",IF(SUM($BE120)=0,SUM($AF120),IF(OR(SUM($AP120)=0,SUM($AQ120)=0),MAX($BE120,$AF120),ROUND($BE120*$AQ120/$AP120,0))))</f>
        <v>0</v>
      </c>
      <c r="BG120" s="114" t="n">
        <f aca="false">IF($C120="&lt;01","",95%)</f>
        <v>0.95</v>
      </c>
      <c r="BH120" s="5" t="n">
        <f aca="false">IF($C120="&lt;01",ROUND(INDEX(EID!$L:$L,MATCH($B120,EID!$B:$B,0)),0)/2,IF(SUM($BG120)=0,"",ROUND($AX120/$BG120,0)))</f>
        <v>0</v>
      </c>
    </row>
    <row r="121" customFormat="false" ht="15" hidden="false" customHeight="false" outlineLevel="0" collapsed="false">
      <c r="A121" s="0" t="str">
        <f aca="false">INDEX(Prioritization!$D:$D,MATCH($B121,Prioritization!$A:$A,0))</f>
        <v>INVALID</v>
      </c>
      <c r="B121" s="0" t="s">
        <v>201</v>
      </c>
      <c r="C121" s="0" t="s">
        <v>366</v>
      </c>
      <c r="D121" s="0" t="s">
        <v>30</v>
      </c>
      <c r="E121" s="0" t="str">
        <f aca="false">$B121&amp;"|"&amp;$C121&amp;"|"&amp;$D121</f>
        <v>Ntcheu District [am530wpaGvr]|25-34|Female</v>
      </c>
      <c r="F121" s="10"/>
      <c r="G121" s="10"/>
      <c r="H121" s="10"/>
      <c r="I121" s="10"/>
      <c r="J121" s="10"/>
      <c r="K121" s="10"/>
      <c r="L121" s="10"/>
      <c r="M121" s="10"/>
      <c r="N121" s="10"/>
      <c r="O121" s="10" t="str">
        <f aca="false">IFERROR(1/(1/MAX($I121,$N121)),"")</f>
        <v/>
      </c>
      <c r="P121" s="10"/>
      <c r="Q121" s="10"/>
      <c r="R121" s="10" t="str">
        <f aca="false">IF(AND(SUM($I121)=0,SUM($O121)=0),"",SUM($O121)-$I121)</f>
        <v/>
      </c>
      <c r="S121" s="10" t="n">
        <f aca="false">IF(LEFT($B121,4)="_Mil","",_xlfn.IFNA(ROUND(INDEX(Spectrum!$N:$N,MATCH(RIGHT($B121,13)&amp;"|"&amp;$C121&amp;"|"&amp;$D121&amp;"|"&amp;S$14&amp;"|"&amp;"CY2022Q4",Spectrum!$R:$R,0)),0),""))</f>
        <v>798</v>
      </c>
      <c r="T121" s="39" t="n">
        <f aca="false">IF(LEFT($B121,4)="_Mil","",_xlfn.IFNA(ROUND(INDEX(Spectrum!$N:$N,MATCH(RIGHT($B121,13)&amp;"|"&amp;$C121&amp;"|"&amp;$D121&amp;"|"&amp;T$14&amp;"|"&amp;"CY2023Q3",Spectrum!$R:$R,0)),0),""))</f>
        <v>1284</v>
      </c>
      <c r="U121" s="39" t="str">
        <f aca="false">IF(LEFT($B121,4)="_Mil","",_xlfn.IFNA(ROUND(INDEX(Spectrum!$N:$N,MATCH(RIGHT($B121,13)&amp;"|"&amp;$C121&amp;"|"&amp;$D121&amp;"|"&amp;U$14&amp;"|"&amp;"CY2023Q3",Spectrum!$R:$R,0)),0),""))</f>
        <v/>
      </c>
      <c r="V121" s="10" t="n">
        <f aca="false">IF(LEFT($B121,4)="_Mil","",_xlfn.IFNA(ROUND(INDEX(Spectrum!$N:$N,MATCH(RIGHT($B121,13)&amp;"|"&amp;$C121&amp;"|"&amp;$D121&amp;"|"&amp;V$14&amp;"|"&amp;"CY2023Q3",Spectrum!$R:$R,0)),0),""))</f>
        <v>695</v>
      </c>
      <c r="W121" s="113" t="n">
        <f aca="false">IF(LEFT($B121,4)="_Mil","",_xlfn.IFNA(INDEX(Spectrum!$N:$N,MATCH(RIGHT($B121,13)&amp;"|"&amp;$C121&amp;"|"&amp;$D121&amp;"|"&amp;W$14&amp;"|"&amp;"CY2023Q3",Spectrum!$R:$R,0)),""))</f>
        <v>1893</v>
      </c>
      <c r="X121" s="39" t="n">
        <f aca="false">IF(LEFT($B121,4)="_Mil","",_xlfn.IFNA(ROUND(INDEX(Spectrum!$N:$N,MATCH(RIGHT($B121,13)&amp;"|"&amp;$C121&amp;"|"&amp;$D121&amp;"|"&amp;X$14&amp;"|"&amp;"CY2023Q3",Spectrum!$R:$R,0)),0),""))</f>
        <v>1396</v>
      </c>
      <c r="Y121" s="88" t="str">
        <f aca="false">IF(OR(SUM($U121)=0,LEFT($B121,4)="_Mil"),"",SUM($X121)/$U121)</f>
        <v/>
      </c>
      <c r="Z121" s="39" t="n">
        <f aca="false">IF(LEFT($B121,4)="_Mil","",_xlfn.IFNA(ROUND(INDEX(Spectrum!$N:$N,MATCH(RIGHT($B121,13)&amp;"|"&amp;$C121&amp;"|"&amp;$D121&amp;"|"&amp;Z$14&amp;"|"&amp;"CY2023Q3",Spectrum!$R:$R,0)),0),""))</f>
        <v>1932</v>
      </c>
      <c r="AA121" s="88" t="n">
        <f aca="false">IF(LEFT($B121,4)="_Mil","",IFERROR(1/(1/INDEX(Spectrum!$N:$N,MATCH(RIGHT($B121,13)&amp;"|"&amp;$C121&amp;"|"&amp;$D121&amp;"|"&amp;AA$14&amp;"|"&amp;"CY2023Q3",Spectrum!$R:$R,0))),IF(SUM($U121)=0,"",SUM($Z121)/$U121)))</f>
        <v>1115</v>
      </c>
      <c r="AB121" s="88" t="n">
        <f aca="false">IF(OR(LEFT($B121,4)="_Mil",SUM($X121)=0),"",SUM($Z121)/$X121)</f>
        <v>1.38395415472779</v>
      </c>
      <c r="AC121" s="10" t="n">
        <f aca="false">IF(LEFT($B121,4)="_Mil","",_xlfn.IFNA(ROUND(INDEX(Spectrum!$N:$N,MATCH(RIGHT($B121,13)&amp;"|"&amp;$C121&amp;"|"&amp;$D121&amp;"|"&amp;AC$14&amp;"|"&amp;"CY2023Q3",Spectrum!$R:$R,0)),0),""))</f>
        <v>620</v>
      </c>
      <c r="AD121" s="10" t="str">
        <f aca="false">IF(LEFT($B121,4)="_Mil","",_xlfn.IFNA(ROUND(INDEX(Spectrum!$N:$N,MATCH(RIGHT($B121,13)&amp;"|"&amp;$C121&amp;"|"&amp;$D121&amp;"|"&amp;AD$14&amp;"|"&amp;"CY2023Q3",Spectrum!$R:$R,0)),0),""))</f>
        <v/>
      </c>
      <c r="AE121" s="88" t="n">
        <f aca="false">IF(OR(LEFT($B121,4)="_Mil",SUM($Z121)=0),"",SUM($AD121)/$Z121)</f>
        <v>0</v>
      </c>
      <c r="AF121" s="39" t="str">
        <f aca="false">IF(LEFT($B121,4)="_Mil","",_xlfn.IFNA(ROUND(INDEX(Spectrum!$N:$N,MATCH(RIGHT($B121,13)&amp;"|"&amp;$C121&amp;"|"&amp;$D121&amp;"|"&amp;AF$14&amp;"|"&amp;"CY2023Q3",Spectrum!$R:$R,0)),0),""))</f>
        <v/>
      </c>
      <c r="AG121" s="88" t="str">
        <f aca="false">IF(OR(LEFT($B121,4)="_Mil",SUM($AD121)=0),"",SUM($AF121)/$AD121)</f>
        <v/>
      </c>
      <c r="AH121" s="86" t="str">
        <f aca="false">IF(LEFT($B121,4)="_Mil","",_xlfn.IFNA(INDEX(Spectrum!$N:$N,MATCH(RIGHT($B121,13)&amp;"|"&amp;$C121&amp;"|"&amp;$D121&amp;"|"&amp;AH$14&amp;"|"&amp;"CY2023Q3",Spectrum!$R:$R,0)),""))</f>
        <v/>
      </c>
      <c r="AI121" s="10" t="str">
        <f aca="false">IF(LEFT($B121,4)="_Mil","",_xlfn.IFNA(ROUND(INDEX(Spectrum!$N:$N,MATCH(RIGHT($B121,13)&amp;"|"&amp;$C121&amp;"|"&amp;$D121&amp;"|"&amp;AI$14&amp;"|"&amp;"CY2023Q3",Spectrum!$R:$R,0)),0),""))</f>
        <v/>
      </c>
      <c r="AJ121" s="39" t="n">
        <f aca="false">IF(LEFT($B121,4)="_Mil","",_xlfn.IFNA(ROUND(INDEX(Spectrum!$N:$N,MATCH(RIGHT($B121,13)&amp;"|"&amp;$C121&amp;"|"&amp;$D121&amp;"|"&amp;AI$14&amp;"|"&amp;"CY2023Q3",Spectrum!$R:$R,0)),0),SUM($U121)+SUM($AI121)))</f>
        <v>0</v>
      </c>
      <c r="AK121" s="10" t="str">
        <f aca="false">IF(LEFT($B121,4)="_Mil","",_xlfn.IFNA(ROUND(INDEX(Spectrum!$N:$N,MATCH(RIGHT($B121,13)&amp;"|"&amp;$C121&amp;"|"&amp;$D121&amp;"|"&amp;AK$14&amp;"|"&amp;"CY2023Q3",Spectrum!$R:$R,0)),0),""))</f>
        <v/>
      </c>
      <c r="AL121" s="88" t="n">
        <f aca="false">IF(OR(LEFT($B121,4)="_Mil",$C121="&lt;01"),"",MAX(SUM($AA121),90%))</f>
        <v>1115</v>
      </c>
      <c r="AM121" s="10" t="n">
        <f aca="false">IF(OR(LEFT($B121,4)="_Mil",$C121="&lt;01"),"",ROUND(SUM($AJ121)*SUM($AL121),0))</f>
        <v>0</v>
      </c>
      <c r="AN121" s="10" t="str">
        <f aca="false">IF($C121="&lt;01",ROUND(INDEX(EID!$P:$P,MATCH($B121,EID!$B:$B,0))/2,0),"")</f>
        <v/>
      </c>
      <c r="AO121" s="10" t="n">
        <f aca="false">IF($C121="&lt;01",SUM($AN121),ROUND(SUM($AM121)*SUM($O121)/IF(SUM($Z121)=0,1,$Z121),0))</f>
        <v>0</v>
      </c>
      <c r="AP121" s="39" t="n">
        <f aca="false">IF(OR($F121="",$C121="&lt;01"),$AO121,$F121)</f>
        <v>0</v>
      </c>
      <c r="AQ121" s="39" t="n">
        <f aca="false">IF(LEFT($B121,4)="_Mil","",IF(SUM($AP121)=0,SUM($Z121),IF(OR(SUM($Z121)=0,SUM($O121)=0),MAX($AP121,$Z121),$AP121*$Z121/$O121)))</f>
        <v>1932</v>
      </c>
      <c r="AR121" s="88" t="str">
        <f aca="false">IF(OR(LEFT($B121,4)="_Mil",SUM($AJ121)=0),"",SUM($AQ121)/$AJ121)</f>
        <v/>
      </c>
      <c r="AS121" s="88" t="n">
        <f aca="false">IF($C121="&lt;01","",98%)</f>
        <v>0.98</v>
      </c>
      <c r="AT121" s="88" t="n">
        <f aca="false">IF($C121="&lt;01","",98%)</f>
        <v>0.98</v>
      </c>
      <c r="AU121" s="10" t="n">
        <f aca="false">IF($C121="&lt;01","",SUM($AP121)-SUM($O121))</f>
        <v>0</v>
      </c>
      <c r="AV121" s="10" t="n">
        <f aca="false">IF($C121="&lt;01",ROUND(INDEX(EID!$N:$N,MATCH($B121,EID!$B:$B,0))/2,0),IF(SUM($AT121)=0,"",ROUND((SUM($AP121)-(SUM($O121)*SUM($AS121)))/$AT121,0)))</f>
        <v>0</v>
      </c>
      <c r="AW121" s="88" t="n">
        <f aca="false">IF($C121="&lt;01","",100%)</f>
        <v>1</v>
      </c>
      <c r="AX121" s="39" t="n">
        <f aca="false">IF($C121="&lt;01",SUM($AV121),ROUND(SUM($AV121)*SUM($AW121),0))</f>
        <v>0</v>
      </c>
      <c r="AY121" s="114" t="n">
        <f aca="false">IF($C121="&lt;01","",70%)</f>
        <v>0.7</v>
      </c>
      <c r="AZ121" s="91" t="n">
        <f aca="false">IF($C121="&lt;01",ROUND(INDEX(EID!$R:$R,MATCH($B121,EID!$B:$B,0))/2,0),ROUND(SUM($O121)+(SUM($AV121)*$AY121),0))</f>
        <v>0</v>
      </c>
      <c r="BA121" s="87" t="n">
        <f aca="false">IF($C121="&lt;01","",95%)</f>
        <v>0.95</v>
      </c>
      <c r="BB121" s="5" t="n">
        <f aca="false">IF($C121="&lt;01",ROUND(INDEX(EID!$T:$T,MATCH($B121,EID!$B:$B,0))/2,0),ROUND($AZ121*$BA121,0))</f>
        <v>0</v>
      </c>
      <c r="BC121" s="91" t="n">
        <f aca="false">IF(LEFT($B121,4)="_Mil","",IF(SUM($BB121)=0,SUM($AD121),IF(OR(SUM($AP121)=0,SUM($AQ121)=0),MAX($BB121,$AD121),ROUND($BB121*$AQ121/$AP121,0))))</f>
        <v>0</v>
      </c>
      <c r="BD121" s="88" t="n">
        <f aca="false">IF($C121="&lt;01","",95%)</f>
        <v>0.95</v>
      </c>
      <c r="BE121" s="39" t="n">
        <f aca="false">IF($C121="&lt;01",ROUND(INDEX(EID!$V:$V,MATCH($B121,EID!$B:$B,0))/2,0),ROUND($BD121*$BB121,0))</f>
        <v>0</v>
      </c>
      <c r="BF121" s="39" t="n">
        <f aca="false">IF(LEFT($B121,4)="_Mil","",IF(SUM($BE121)=0,SUM($AF121),IF(OR(SUM($AP121)=0,SUM($AQ121)=0),MAX($BE121,$AF121),ROUND($BE121*$AQ121/$AP121,0))))</f>
        <v>0</v>
      </c>
      <c r="BG121" s="114" t="n">
        <f aca="false">IF($C121="&lt;01","",95%)</f>
        <v>0.95</v>
      </c>
      <c r="BH121" s="5" t="n">
        <f aca="false">IF($C121="&lt;01",ROUND(INDEX(EID!$L:$L,MATCH($B121,EID!$B:$B,0)),0)/2,IF(SUM($BG121)=0,"",ROUND($AX121/$BG121,0)))</f>
        <v>0</v>
      </c>
    </row>
    <row r="122" customFormat="false" ht="15" hidden="false" customHeight="false" outlineLevel="0" collapsed="false">
      <c r="A122" s="0" t="str">
        <f aca="false">INDEX(Prioritization!$D:$D,MATCH($B122,Prioritization!$A:$A,0))</f>
        <v>INVALID</v>
      </c>
      <c r="B122" s="0" t="s">
        <v>201</v>
      </c>
      <c r="C122" s="0" t="s">
        <v>366</v>
      </c>
      <c r="D122" s="0" t="s">
        <v>48</v>
      </c>
      <c r="E122" s="0" t="str">
        <f aca="false">$B122&amp;"|"&amp;$C122&amp;"|"&amp;$D122</f>
        <v>Ntcheu District [am530wpaGvr]|25-34|Male</v>
      </c>
      <c r="F122" s="10"/>
      <c r="G122" s="10"/>
      <c r="H122" s="10"/>
      <c r="I122" s="10"/>
      <c r="J122" s="10"/>
      <c r="K122" s="10"/>
      <c r="L122" s="10"/>
      <c r="M122" s="10"/>
      <c r="N122" s="10"/>
      <c r="O122" s="10" t="str">
        <f aca="false">IFERROR(1/(1/MAX($I122,$N122)),"")</f>
        <v/>
      </c>
      <c r="P122" s="10"/>
      <c r="Q122" s="10"/>
      <c r="R122" s="10" t="str">
        <f aca="false">IF(AND(SUM($I122)=0,SUM($O122)=0),"",SUM($O122)-$I122)</f>
        <v/>
      </c>
      <c r="S122" s="10" t="n">
        <f aca="false">IF(LEFT($B122,4)="_Mil","",_xlfn.IFNA(ROUND(INDEX(Spectrum!$N:$N,MATCH(RIGHT($B122,13)&amp;"|"&amp;$C122&amp;"|"&amp;$D122&amp;"|"&amp;S$14&amp;"|"&amp;"CY2022Q4",Spectrum!$R:$R,0)),0),""))</f>
        <v>1992</v>
      </c>
      <c r="T122" s="39" t="n">
        <f aca="false">IF(LEFT($B122,4)="_Mil","",_xlfn.IFNA(ROUND(INDEX(Spectrum!$N:$N,MATCH(RIGHT($B122,13)&amp;"|"&amp;$C122&amp;"|"&amp;$D122&amp;"|"&amp;T$14&amp;"|"&amp;"CY2023Q3",Spectrum!$R:$R,0)),0),""))</f>
        <v>1171</v>
      </c>
      <c r="U122" s="39" t="str">
        <f aca="false">IF(LEFT($B122,4)="_Mil","",_xlfn.IFNA(ROUND(INDEX(Spectrum!$N:$N,MATCH(RIGHT($B122,13)&amp;"|"&amp;$C122&amp;"|"&amp;$D122&amp;"|"&amp;U$14&amp;"|"&amp;"CY2023Q3",Spectrum!$R:$R,0)),0),""))</f>
        <v/>
      </c>
      <c r="V122" s="10" t="n">
        <f aca="false">IF(LEFT($B122,4)="_Mil","",_xlfn.IFNA(ROUND(INDEX(Spectrum!$N:$N,MATCH(RIGHT($B122,13)&amp;"|"&amp;$C122&amp;"|"&amp;$D122&amp;"|"&amp;V$14&amp;"|"&amp;"CY2023Q3",Spectrum!$R:$R,0)),0),""))</f>
        <v>1269</v>
      </c>
      <c r="W122" s="113" t="n">
        <f aca="false">IF(LEFT($B122,4)="_Mil","",_xlfn.IFNA(INDEX(Spectrum!$N:$N,MATCH(RIGHT($B122,13)&amp;"|"&amp;$C122&amp;"|"&amp;$D122&amp;"|"&amp;W$14&amp;"|"&amp;"CY2023Q3",Spectrum!$R:$R,0)),""))</f>
        <v>1623</v>
      </c>
      <c r="X122" s="39" t="n">
        <f aca="false">IF(LEFT($B122,4)="_Mil","",_xlfn.IFNA(ROUND(INDEX(Spectrum!$N:$N,MATCH(RIGHT($B122,13)&amp;"|"&amp;$C122&amp;"|"&amp;$D122&amp;"|"&amp;X$14&amp;"|"&amp;"CY2023Q3",Spectrum!$R:$R,0)),0),""))</f>
        <v>1076</v>
      </c>
      <c r="Y122" s="88" t="str">
        <f aca="false">IF(OR(SUM($U122)=0,LEFT($B122,4)="_Mil"),"",SUM($X122)/$U122)</f>
        <v/>
      </c>
      <c r="Z122" s="39" t="n">
        <f aca="false">IF(LEFT($B122,4)="_Mil","",_xlfn.IFNA(ROUND(INDEX(Spectrum!$N:$N,MATCH(RIGHT($B122,13)&amp;"|"&amp;$C122&amp;"|"&amp;$D122&amp;"|"&amp;Z$14&amp;"|"&amp;"CY2023Q3",Spectrum!$R:$R,0)),0),""))</f>
        <v>582</v>
      </c>
      <c r="AA122" s="88" t="n">
        <f aca="false">IF(LEFT($B122,4)="_Mil","",IFERROR(1/(1/INDEX(Spectrum!$N:$N,MATCH(RIGHT($B122,13)&amp;"|"&amp;$C122&amp;"|"&amp;$D122&amp;"|"&amp;AA$14&amp;"|"&amp;"CY2023Q3",Spectrum!$R:$R,0))),IF(SUM($U122)=0,"",SUM($Z122)/$U122)))</f>
        <v>506</v>
      </c>
      <c r="AB122" s="88" t="n">
        <f aca="false">IF(OR(LEFT($B122,4)="_Mil",SUM($X122)=0),"",SUM($Z122)/$X122)</f>
        <v>0.54089219330855</v>
      </c>
      <c r="AC122" s="10" t="n">
        <f aca="false">IF(LEFT($B122,4)="_Mil","",_xlfn.IFNA(ROUND(INDEX(Spectrum!$N:$N,MATCH(RIGHT($B122,13)&amp;"|"&amp;$C122&amp;"|"&amp;$D122&amp;"|"&amp;AC$14&amp;"|"&amp;"CY2023Q3",Spectrum!$R:$R,0)),0),""))</f>
        <v>1520</v>
      </c>
      <c r="AD122" s="10" t="str">
        <f aca="false">IF(LEFT($B122,4)="_Mil","",_xlfn.IFNA(ROUND(INDEX(Spectrum!$N:$N,MATCH(RIGHT($B122,13)&amp;"|"&amp;$C122&amp;"|"&amp;$D122&amp;"|"&amp;AD$14&amp;"|"&amp;"CY2023Q3",Spectrum!$R:$R,0)),0),""))</f>
        <v/>
      </c>
      <c r="AE122" s="88" t="n">
        <f aca="false">IF(OR(LEFT($B122,4)="_Mil",SUM($Z122)=0),"",SUM($AD122)/$Z122)</f>
        <v>0</v>
      </c>
      <c r="AF122" s="39" t="str">
        <f aca="false">IF(LEFT($B122,4)="_Mil","",_xlfn.IFNA(ROUND(INDEX(Spectrum!$N:$N,MATCH(RIGHT($B122,13)&amp;"|"&amp;$C122&amp;"|"&amp;$D122&amp;"|"&amp;AF$14&amp;"|"&amp;"CY2023Q3",Spectrum!$R:$R,0)),0),""))</f>
        <v/>
      </c>
      <c r="AG122" s="88" t="str">
        <f aca="false">IF(OR(LEFT($B122,4)="_Mil",SUM($AD122)=0),"",SUM($AF122)/$AD122)</f>
        <v/>
      </c>
      <c r="AH122" s="86" t="str">
        <f aca="false">IF(LEFT($B122,4)="_Mil","",_xlfn.IFNA(INDEX(Spectrum!$N:$N,MATCH(RIGHT($B122,13)&amp;"|"&amp;$C122&amp;"|"&amp;$D122&amp;"|"&amp;AH$14&amp;"|"&amp;"CY2023Q3",Spectrum!$R:$R,0)),""))</f>
        <v/>
      </c>
      <c r="AI122" s="10" t="str">
        <f aca="false">IF(LEFT($B122,4)="_Mil","",_xlfn.IFNA(ROUND(INDEX(Spectrum!$N:$N,MATCH(RIGHT($B122,13)&amp;"|"&amp;$C122&amp;"|"&amp;$D122&amp;"|"&amp;AI$14&amp;"|"&amp;"CY2023Q3",Spectrum!$R:$R,0)),0),""))</f>
        <v/>
      </c>
      <c r="AJ122" s="39" t="n">
        <f aca="false">IF(LEFT($B122,4)="_Mil","",_xlfn.IFNA(ROUND(INDEX(Spectrum!$N:$N,MATCH(RIGHT($B122,13)&amp;"|"&amp;$C122&amp;"|"&amp;$D122&amp;"|"&amp;AI$14&amp;"|"&amp;"CY2023Q3",Spectrum!$R:$R,0)),0),SUM($U122)+SUM($AI122)))</f>
        <v>0</v>
      </c>
      <c r="AK122" s="10" t="str">
        <f aca="false">IF(LEFT($B122,4)="_Mil","",_xlfn.IFNA(ROUND(INDEX(Spectrum!$N:$N,MATCH(RIGHT($B122,13)&amp;"|"&amp;$C122&amp;"|"&amp;$D122&amp;"|"&amp;AK$14&amp;"|"&amp;"CY2023Q3",Spectrum!$R:$R,0)),0),""))</f>
        <v/>
      </c>
      <c r="AL122" s="88" t="n">
        <f aca="false">IF(OR(LEFT($B122,4)="_Mil",$C122="&lt;01"),"",MAX(SUM($AA122),90%))</f>
        <v>506</v>
      </c>
      <c r="AM122" s="10" t="n">
        <f aca="false">IF(OR(LEFT($B122,4)="_Mil",$C122="&lt;01"),"",ROUND(SUM($AJ122)*SUM($AL122),0))</f>
        <v>0</v>
      </c>
      <c r="AN122" s="10" t="str">
        <f aca="false">IF($C122="&lt;01",ROUND(INDEX(EID!$P:$P,MATCH($B122,EID!$B:$B,0))/2,0),"")</f>
        <v/>
      </c>
      <c r="AO122" s="10" t="n">
        <f aca="false">IF($C122="&lt;01",SUM($AN122),ROUND(SUM($AM122)*SUM($O122)/IF(SUM($Z122)=0,1,$Z122),0))</f>
        <v>0</v>
      </c>
      <c r="AP122" s="39" t="n">
        <f aca="false">IF(OR($F122="",$C122="&lt;01"),$AO122,$F122)</f>
        <v>0</v>
      </c>
      <c r="AQ122" s="39" t="n">
        <f aca="false">IF(LEFT($B122,4)="_Mil","",IF(SUM($AP122)=0,SUM($Z122),IF(OR(SUM($Z122)=0,SUM($O122)=0),MAX($AP122,$Z122),$AP122*$Z122/$O122)))</f>
        <v>582</v>
      </c>
      <c r="AR122" s="88" t="str">
        <f aca="false">IF(OR(LEFT($B122,4)="_Mil",SUM($AJ122)=0),"",SUM($AQ122)/$AJ122)</f>
        <v/>
      </c>
      <c r="AS122" s="88" t="n">
        <f aca="false">IF($C122="&lt;01","",98%)</f>
        <v>0.98</v>
      </c>
      <c r="AT122" s="88" t="n">
        <f aca="false">IF($C122="&lt;01","",98%)</f>
        <v>0.98</v>
      </c>
      <c r="AU122" s="10" t="n">
        <f aca="false">IF($C122="&lt;01","",SUM($AP122)-SUM($O122))</f>
        <v>0</v>
      </c>
      <c r="AV122" s="10" t="n">
        <f aca="false">IF($C122="&lt;01",ROUND(INDEX(EID!$N:$N,MATCH($B122,EID!$B:$B,0))/2,0),IF(SUM($AT122)=0,"",ROUND((SUM($AP122)-(SUM($O122)*SUM($AS122)))/$AT122,0)))</f>
        <v>0</v>
      </c>
      <c r="AW122" s="88" t="n">
        <f aca="false">IF($C122="&lt;01","",100%)</f>
        <v>1</v>
      </c>
      <c r="AX122" s="39" t="n">
        <f aca="false">IF($C122="&lt;01",SUM($AV122),ROUND(SUM($AV122)*SUM($AW122),0))</f>
        <v>0</v>
      </c>
      <c r="AY122" s="114" t="n">
        <f aca="false">IF($C122="&lt;01","",70%)</f>
        <v>0.7</v>
      </c>
      <c r="AZ122" s="91" t="n">
        <f aca="false">IF($C122="&lt;01",ROUND(INDEX(EID!$R:$R,MATCH($B122,EID!$B:$B,0))/2,0),ROUND(SUM($O122)+(SUM($AV122)*$AY122),0))</f>
        <v>0</v>
      </c>
      <c r="BA122" s="87" t="n">
        <f aca="false">IF($C122="&lt;01","",95%)</f>
        <v>0.95</v>
      </c>
      <c r="BB122" s="5" t="n">
        <f aca="false">IF($C122="&lt;01",ROUND(INDEX(EID!$T:$T,MATCH($B122,EID!$B:$B,0))/2,0),ROUND($AZ122*$BA122,0))</f>
        <v>0</v>
      </c>
      <c r="BC122" s="91" t="n">
        <f aca="false">IF(LEFT($B122,4)="_Mil","",IF(SUM($BB122)=0,SUM($AD122),IF(OR(SUM($AP122)=0,SUM($AQ122)=0),MAX($BB122,$AD122),ROUND($BB122*$AQ122/$AP122,0))))</f>
        <v>0</v>
      </c>
      <c r="BD122" s="88" t="n">
        <f aca="false">IF($C122="&lt;01","",95%)</f>
        <v>0.95</v>
      </c>
      <c r="BE122" s="39" t="n">
        <f aca="false">IF($C122="&lt;01",ROUND(INDEX(EID!$V:$V,MATCH($B122,EID!$B:$B,0))/2,0),ROUND($BD122*$BB122,0))</f>
        <v>0</v>
      </c>
      <c r="BF122" s="39" t="n">
        <f aca="false">IF(LEFT($B122,4)="_Mil","",IF(SUM($BE122)=0,SUM($AF122),IF(OR(SUM($AP122)=0,SUM($AQ122)=0),MAX($BE122,$AF122),ROUND($BE122*$AQ122/$AP122,0))))</f>
        <v>0</v>
      </c>
      <c r="BG122" s="114" t="n">
        <f aca="false">IF($C122="&lt;01","",95%)</f>
        <v>0.95</v>
      </c>
      <c r="BH122" s="5" t="n">
        <f aca="false">IF($C122="&lt;01",ROUND(INDEX(EID!$L:$L,MATCH($B122,EID!$B:$B,0)),0)/2,IF(SUM($BG122)=0,"",ROUND($AX122/$BG122,0)))</f>
        <v>0</v>
      </c>
    </row>
    <row r="123" customFormat="false" ht="15" hidden="false" customHeight="false" outlineLevel="0" collapsed="false">
      <c r="A123" s="0" t="str">
        <f aca="false">INDEX(Prioritization!$D:$D,MATCH($B123,Prioritization!$A:$A,0))</f>
        <v>INVALID</v>
      </c>
      <c r="B123" s="0" t="s">
        <v>201</v>
      </c>
      <c r="C123" s="0" t="s">
        <v>367</v>
      </c>
      <c r="D123" s="0" t="s">
        <v>30</v>
      </c>
      <c r="E123" s="0" t="str">
        <f aca="false">$B123&amp;"|"&amp;$C123&amp;"|"&amp;$D123</f>
        <v>Ntcheu District [am530wpaGvr]|35-49|Female</v>
      </c>
      <c r="F123" s="10"/>
      <c r="G123" s="10"/>
      <c r="H123" s="10"/>
      <c r="I123" s="10"/>
      <c r="J123" s="10"/>
      <c r="K123" s="10"/>
      <c r="L123" s="10"/>
      <c r="M123" s="10"/>
      <c r="N123" s="10"/>
      <c r="O123" s="10" t="str">
        <f aca="false">IFERROR(1/(1/MAX($I123,$N123)),"")</f>
        <v/>
      </c>
      <c r="P123" s="10"/>
      <c r="Q123" s="10"/>
      <c r="R123" s="10" t="str">
        <f aca="false">IF(AND(SUM($I123)=0,SUM($O123)=0),"",SUM($O123)-$I123)</f>
        <v/>
      </c>
      <c r="S123" s="10" t="n">
        <f aca="false">IF(LEFT($B123,4)="_Mil","",_xlfn.IFNA(ROUND(INDEX(Spectrum!$N:$N,MATCH(RIGHT($B123,13)&amp;"|"&amp;$C123&amp;"|"&amp;$D123&amp;"|"&amp;S$14&amp;"|"&amp;"CY2022Q4",Spectrum!$R:$R,0)),0),""))</f>
        <v>1560</v>
      </c>
      <c r="T123" s="39" t="n">
        <f aca="false">IF(LEFT($B123,4)="_Mil","",_xlfn.IFNA(ROUND(INDEX(Spectrum!$N:$N,MATCH(RIGHT($B123,13)&amp;"|"&amp;$C123&amp;"|"&amp;$D123&amp;"|"&amp;T$14&amp;"|"&amp;"CY2023Q3",Spectrum!$R:$R,0)),0),""))</f>
        <v>874</v>
      </c>
      <c r="U123" s="39" t="str">
        <f aca="false">IF(LEFT($B123,4)="_Mil","",_xlfn.IFNA(ROUND(INDEX(Spectrum!$N:$N,MATCH(RIGHT($B123,13)&amp;"|"&amp;$C123&amp;"|"&amp;$D123&amp;"|"&amp;U$14&amp;"|"&amp;"CY2023Q3",Spectrum!$R:$R,0)),0),""))</f>
        <v/>
      </c>
      <c r="V123" s="10" t="n">
        <f aca="false">IF(LEFT($B123,4)="_Mil","",_xlfn.IFNA(ROUND(INDEX(Spectrum!$N:$N,MATCH(RIGHT($B123,13)&amp;"|"&amp;$C123&amp;"|"&amp;$D123&amp;"|"&amp;V$14&amp;"|"&amp;"CY2023Q3",Spectrum!$R:$R,0)),0),""))</f>
        <v>1492</v>
      </c>
      <c r="W123" s="113" t="n">
        <f aca="false">IF(LEFT($B123,4)="_Mil","",_xlfn.IFNA(INDEX(Spectrum!$N:$N,MATCH(RIGHT($B123,13)&amp;"|"&amp;$C123&amp;"|"&amp;$D123&amp;"|"&amp;W$14&amp;"|"&amp;"CY2023Q3",Spectrum!$R:$R,0)),""))</f>
        <v>715</v>
      </c>
      <c r="X123" s="39" t="n">
        <f aca="false">IF(LEFT($B123,4)="_Mil","",_xlfn.IFNA(ROUND(INDEX(Spectrum!$N:$N,MATCH(RIGHT($B123,13)&amp;"|"&amp;$C123&amp;"|"&amp;$D123&amp;"|"&amp;X$14&amp;"|"&amp;"CY2023Q3",Spectrum!$R:$R,0)),0),""))</f>
        <v>1878</v>
      </c>
      <c r="Y123" s="88" t="str">
        <f aca="false">IF(OR(SUM($U123)=0,LEFT($B123,4)="_Mil"),"",SUM($X123)/$U123)</f>
        <v/>
      </c>
      <c r="Z123" s="39" t="n">
        <f aca="false">IF(LEFT($B123,4)="_Mil","",_xlfn.IFNA(ROUND(INDEX(Spectrum!$N:$N,MATCH(RIGHT($B123,13)&amp;"|"&amp;$C123&amp;"|"&amp;$D123&amp;"|"&amp;Z$14&amp;"|"&amp;"CY2023Q3",Spectrum!$R:$R,0)),0),""))</f>
        <v>1606</v>
      </c>
      <c r="AA123" s="88" t="n">
        <f aca="false">IF(LEFT($B123,4)="_Mil","",IFERROR(1/(1/INDEX(Spectrum!$N:$N,MATCH(RIGHT($B123,13)&amp;"|"&amp;$C123&amp;"|"&amp;$D123&amp;"|"&amp;AA$14&amp;"|"&amp;"CY2023Q3",Spectrum!$R:$R,0))),IF(SUM($U123)=0,"",SUM($Z123)/$U123)))</f>
        <v>1338</v>
      </c>
      <c r="AB123" s="88" t="n">
        <f aca="false">IF(OR(LEFT($B123,4)="_Mil",SUM($X123)=0),"",SUM($Z123)/$X123)</f>
        <v>0.855165069222577</v>
      </c>
      <c r="AC123" s="10" t="n">
        <f aca="false">IF(LEFT($B123,4)="_Mil","",_xlfn.IFNA(ROUND(INDEX(Spectrum!$N:$N,MATCH(RIGHT($B123,13)&amp;"|"&amp;$C123&amp;"|"&amp;$D123&amp;"|"&amp;AC$14&amp;"|"&amp;"CY2023Q3",Spectrum!$R:$R,0)),0),""))</f>
        <v>1251</v>
      </c>
      <c r="AD123" s="10" t="str">
        <f aca="false">IF(LEFT($B123,4)="_Mil","",_xlfn.IFNA(ROUND(INDEX(Spectrum!$N:$N,MATCH(RIGHT($B123,13)&amp;"|"&amp;$C123&amp;"|"&amp;$D123&amp;"|"&amp;AD$14&amp;"|"&amp;"CY2023Q3",Spectrum!$R:$R,0)),0),""))</f>
        <v/>
      </c>
      <c r="AE123" s="88" t="n">
        <f aca="false">IF(OR(LEFT($B123,4)="_Mil",SUM($Z123)=0),"",SUM($AD123)/$Z123)</f>
        <v>0</v>
      </c>
      <c r="AF123" s="39" t="str">
        <f aca="false">IF(LEFT($B123,4)="_Mil","",_xlfn.IFNA(ROUND(INDEX(Spectrum!$N:$N,MATCH(RIGHT($B123,13)&amp;"|"&amp;$C123&amp;"|"&amp;$D123&amp;"|"&amp;AF$14&amp;"|"&amp;"CY2023Q3",Spectrum!$R:$R,0)),0),""))</f>
        <v/>
      </c>
      <c r="AG123" s="88" t="str">
        <f aca="false">IF(OR(LEFT($B123,4)="_Mil",SUM($AD123)=0),"",SUM($AF123)/$AD123)</f>
        <v/>
      </c>
      <c r="AH123" s="86" t="str">
        <f aca="false">IF(LEFT($B123,4)="_Mil","",_xlfn.IFNA(INDEX(Spectrum!$N:$N,MATCH(RIGHT($B123,13)&amp;"|"&amp;$C123&amp;"|"&amp;$D123&amp;"|"&amp;AH$14&amp;"|"&amp;"CY2023Q3",Spectrum!$R:$R,0)),""))</f>
        <v/>
      </c>
      <c r="AI123" s="10" t="str">
        <f aca="false">IF(LEFT($B123,4)="_Mil","",_xlfn.IFNA(ROUND(INDEX(Spectrum!$N:$N,MATCH(RIGHT($B123,13)&amp;"|"&amp;$C123&amp;"|"&amp;$D123&amp;"|"&amp;AI$14&amp;"|"&amp;"CY2023Q3",Spectrum!$R:$R,0)),0),""))</f>
        <v/>
      </c>
      <c r="AJ123" s="39" t="n">
        <f aca="false">IF(LEFT($B123,4)="_Mil","",_xlfn.IFNA(ROUND(INDEX(Spectrum!$N:$N,MATCH(RIGHT($B123,13)&amp;"|"&amp;$C123&amp;"|"&amp;$D123&amp;"|"&amp;AI$14&amp;"|"&amp;"CY2023Q3",Spectrum!$R:$R,0)),0),SUM($U123)+SUM($AI123)))</f>
        <v>0</v>
      </c>
      <c r="AK123" s="10" t="str">
        <f aca="false">IF(LEFT($B123,4)="_Mil","",_xlfn.IFNA(ROUND(INDEX(Spectrum!$N:$N,MATCH(RIGHT($B123,13)&amp;"|"&amp;$C123&amp;"|"&amp;$D123&amp;"|"&amp;AK$14&amp;"|"&amp;"CY2023Q3",Spectrum!$R:$R,0)),0),""))</f>
        <v/>
      </c>
      <c r="AL123" s="88" t="n">
        <f aca="false">IF(OR(LEFT($B123,4)="_Mil",$C123="&lt;01"),"",MAX(SUM($AA123),90%))</f>
        <v>1338</v>
      </c>
      <c r="AM123" s="10" t="n">
        <f aca="false">IF(OR(LEFT($B123,4)="_Mil",$C123="&lt;01"),"",ROUND(SUM($AJ123)*SUM($AL123),0))</f>
        <v>0</v>
      </c>
      <c r="AN123" s="10" t="str">
        <f aca="false">IF($C123="&lt;01",ROUND(INDEX(EID!$P:$P,MATCH($B123,EID!$B:$B,0))/2,0),"")</f>
        <v/>
      </c>
      <c r="AO123" s="10" t="n">
        <f aca="false">IF($C123="&lt;01",SUM($AN123),ROUND(SUM($AM123)*SUM($O123)/IF(SUM($Z123)=0,1,$Z123),0))</f>
        <v>0</v>
      </c>
      <c r="AP123" s="39" t="n">
        <f aca="false">IF(OR($F123="",$C123="&lt;01"),$AO123,$F123)</f>
        <v>0</v>
      </c>
      <c r="AQ123" s="39" t="n">
        <f aca="false">IF(LEFT($B123,4)="_Mil","",IF(SUM($AP123)=0,SUM($Z123),IF(OR(SUM($Z123)=0,SUM($O123)=0),MAX($AP123,$Z123),$AP123*$Z123/$O123)))</f>
        <v>1606</v>
      </c>
      <c r="AR123" s="88" t="str">
        <f aca="false">IF(OR(LEFT($B123,4)="_Mil",SUM($AJ123)=0),"",SUM($AQ123)/$AJ123)</f>
        <v/>
      </c>
      <c r="AS123" s="88" t="n">
        <f aca="false">IF($C123="&lt;01","",98%)</f>
        <v>0.98</v>
      </c>
      <c r="AT123" s="88" t="n">
        <f aca="false">IF($C123="&lt;01","",98%)</f>
        <v>0.98</v>
      </c>
      <c r="AU123" s="10" t="n">
        <f aca="false">IF($C123="&lt;01","",SUM($AP123)-SUM($O123))</f>
        <v>0</v>
      </c>
      <c r="AV123" s="10" t="n">
        <f aca="false">IF($C123="&lt;01",ROUND(INDEX(EID!$N:$N,MATCH($B123,EID!$B:$B,0))/2,0),IF(SUM($AT123)=0,"",ROUND((SUM($AP123)-(SUM($O123)*SUM($AS123)))/$AT123,0)))</f>
        <v>0</v>
      </c>
      <c r="AW123" s="88" t="n">
        <f aca="false">IF($C123="&lt;01","",100%)</f>
        <v>1</v>
      </c>
      <c r="AX123" s="39" t="n">
        <f aca="false">IF($C123="&lt;01",SUM($AV123),ROUND(SUM($AV123)*SUM($AW123),0))</f>
        <v>0</v>
      </c>
      <c r="AY123" s="114" t="n">
        <f aca="false">IF($C123="&lt;01","",70%)</f>
        <v>0.7</v>
      </c>
      <c r="AZ123" s="91" t="n">
        <f aca="false">IF($C123="&lt;01",ROUND(INDEX(EID!$R:$R,MATCH($B123,EID!$B:$B,0))/2,0),ROUND(SUM($O123)+(SUM($AV123)*$AY123),0))</f>
        <v>0</v>
      </c>
      <c r="BA123" s="87" t="n">
        <f aca="false">IF($C123="&lt;01","",95%)</f>
        <v>0.95</v>
      </c>
      <c r="BB123" s="5" t="n">
        <f aca="false">IF($C123="&lt;01",ROUND(INDEX(EID!$T:$T,MATCH($B123,EID!$B:$B,0))/2,0),ROUND($AZ123*$BA123,0))</f>
        <v>0</v>
      </c>
      <c r="BC123" s="91" t="n">
        <f aca="false">IF(LEFT($B123,4)="_Mil","",IF(SUM($BB123)=0,SUM($AD123),IF(OR(SUM($AP123)=0,SUM($AQ123)=0),MAX($BB123,$AD123),ROUND($BB123*$AQ123/$AP123,0))))</f>
        <v>0</v>
      </c>
      <c r="BD123" s="88" t="n">
        <f aca="false">IF($C123="&lt;01","",95%)</f>
        <v>0.95</v>
      </c>
      <c r="BE123" s="39" t="n">
        <f aca="false">IF($C123="&lt;01",ROUND(INDEX(EID!$V:$V,MATCH($B123,EID!$B:$B,0))/2,0),ROUND($BD123*$BB123,0))</f>
        <v>0</v>
      </c>
      <c r="BF123" s="39" t="n">
        <f aca="false">IF(LEFT($B123,4)="_Mil","",IF(SUM($BE123)=0,SUM($AF123),IF(OR(SUM($AP123)=0,SUM($AQ123)=0),MAX($BE123,$AF123),ROUND($BE123*$AQ123/$AP123,0))))</f>
        <v>0</v>
      </c>
      <c r="BG123" s="114" t="n">
        <f aca="false">IF($C123="&lt;01","",95%)</f>
        <v>0.95</v>
      </c>
      <c r="BH123" s="5" t="n">
        <f aca="false">IF($C123="&lt;01",ROUND(INDEX(EID!$L:$L,MATCH($B123,EID!$B:$B,0)),0)/2,IF(SUM($BG123)=0,"",ROUND($AX123/$BG123,0)))</f>
        <v>0</v>
      </c>
    </row>
    <row r="124" customFormat="false" ht="15" hidden="false" customHeight="false" outlineLevel="0" collapsed="false">
      <c r="A124" s="0" t="str">
        <f aca="false">INDEX(Prioritization!$D:$D,MATCH($B124,Prioritization!$A:$A,0))</f>
        <v>INVALID</v>
      </c>
      <c r="B124" s="0" t="s">
        <v>201</v>
      </c>
      <c r="C124" s="0" t="s">
        <v>367</v>
      </c>
      <c r="D124" s="0" t="s">
        <v>48</v>
      </c>
      <c r="E124" s="0" t="str">
        <f aca="false">$B124&amp;"|"&amp;$C124&amp;"|"&amp;$D124</f>
        <v>Ntcheu District [am530wpaGvr]|35-49|Male</v>
      </c>
      <c r="F124" s="10"/>
      <c r="G124" s="10"/>
      <c r="H124" s="10"/>
      <c r="I124" s="10"/>
      <c r="J124" s="10"/>
      <c r="K124" s="10"/>
      <c r="L124" s="10"/>
      <c r="M124" s="10"/>
      <c r="N124" s="10"/>
      <c r="O124" s="10" t="str">
        <f aca="false">IFERROR(1/(1/MAX($I124,$N124)),"")</f>
        <v/>
      </c>
      <c r="P124" s="10"/>
      <c r="Q124" s="10"/>
      <c r="R124" s="10" t="str">
        <f aca="false">IF(AND(SUM($I124)=0,SUM($O124)=0),"",SUM($O124)-$I124)</f>
        <v/>
      </c>
      <c r="S124" s="10" t="n">
        <f aca="false">IF(LEFT($B124,4)="_Mil","",_xlfn.IFNA(ROUND(INDEX(Spectrum!$N:$N,MATCH(RIGHT($B124,13)&amp;"|"&amp;$C124&amp;"|"&amp;$D124&amp;"|"&amp;S$14&amp;"|"&amp;"CY2022Q4",Spectrum!$R:$R,0)),0),""))</f>
        <v>1950</v>
      </c>
      <c r="T124" s="39" t="n">
        <f aca="false">IF(LEFT($B124,4)="_Mil","",_xlfn.IFNA(ROUND(INDEX(Spectrum!$N:$N,MATCH(RIGHT($B124,13)&amp;"|"&amp;$C124&amp;"|"&amp;$D124&amp;"|"&amp;T$14&amp;"|"&amp;"CY2023Q3",Spectrum!$R:$R,0)),0),""))</f>
        <v>1353</v>
      </c>
      <c r="U124" s="39" t="str">
        <f aca="false">IF(LEFT($B124,4)="_Mil","",_xlfn.IFNA(ROUND(INDEX(Spectrum!$N:$N,MATCH(RIGHT($B124,13)&amp;"|"&amp;$C124&amp;"|"&amp;$D124&amp;"|"&amp;U$14&amp;"|"&amp;"CY2023Q3",Spectrum!$R:$R,0)),0),""))</f>
        <v/>
      </c>
      <c r="V124" s="10" t="n">
        <f aca="false">IF(LEFT($B124,4)="_Mil","",_xlfn.IFNA(ROUND(INDEX(Spectrum!$N:$N,MATCH(RIGHT($B124,13)&amp;"|"&amp;$C124&amp;"|"&amp;$D124&amp;"|"&amp;V$14&amp;"|"&amp;"CY2023Q3",Spectrum!$R:$R,0)),0),""))</f>
        <v>920</v>
      </c>
      <c r="W124" s="113" t="n">
        <f aca="false">IF(LEFT($B124,4)="_Mil","",_xlfn.IFNA(INDEX(Spectrum!$N:$N,MATCH(RIGHT($B124,13)&amp;"|"&amp;$C124&amp;"|"&amp;$D124&amp;"|"&amp;W$14&amp;"|"&amp;"CY2023Q3",Spectrum!$R:$R,0)),""))</f>
        <v>527</v>
      </c>
      <c r="X124" s="39" t="n">
        <f aca="false">IF(LEFT($B124,4)="_Mil","",_xlfn.IFNA(ROUND(INDEX(Spectrum!$N:$N,MATCH(RIGHT($B124,13)&amp;"|"&amp;$C124&amp;"|"&amp;$D124&amp;"|"&amp;X$14&amp;"|"&amp;"CY2023Q3",Spectrum!$R:$R,0)),0),""))</f>
        <v>1536</v>
      </c>
      <c r="Y124" s="88" t="str">
        <f aca="false">IF(OR(SUM($U124)=0,LEFT($B124,4)="_Mil"),"",SUM($X124)/$U124)</f>
        <v/>
      </c>
      <c r="Z124" s="39" t="n">
        <f aca="false">IF(LEFT($B124,4)="_Mil","",_xlfn.IFNA(ROUND(INDEX(Spectrum!$N:$N,MATCH(RIGHT($B124,13)&amp;"|"&amp;$C124&amp;"|"&amp;$D124&amp;"|"&amp;Z$14&amp;"|"&amp;"CY2023Q3",Spectrum!$R:$R,0)),0),""))</f>
        <v>1906</v>
      </c>
      <c r="AA124" s="88" t="n">
        <f aca="false">IF(LEFT($B124,4)="_Mil","",IFERROR(1/(1/INDEX(Spectrum!$N:$N,MATCH(RIGHT($B124,13)&amp;"|"&amp;$C124&amp;"|"&amp;$D124&amp;"|"&amp;AA$14&amp;"|"&amp;"CY2023Q3",Spectrum!$R:$R,0))),IF(SUM($U124)=0,"",SUM($Z124)/$U124)))</f>
        <v>697</v>
      </c>
      <c r="AB124" s="88" t="n">
        <f aca="false">IF(OR(LEFT($B124,4)="_Mil",SUM($X124)=0),"",SUM($Z124)/$X124)</f>
        <v>1.24088541666667</v>
      </c>
      <c r="AC124" s="10" t="n">
        <f aca="false">IF(LEFT($B124,4)="_Mil","",_xlfn.IFNA(ROUND(INDEX(Spectrum!$N:$N,MATCH(RIGHT($B124,13)&amp;"|"&amp;$C124&amp;"|"&amp;$D124&amp;"|"&amp;AC$14&amp;"|"&amp;"CY2023Q3",Spectrum!$R:$R,0)),0),""))</f>
        <v>1389</v>
      </c>
      <c r="AD124" s="10" t="str">
        <f aca="false">IF(LEFT($B124,4)="_Mil","",_xlfn.IFNA(ROUND(INDEX(Spectrum!$N:$N,MATCH(RIGHT($B124,13)&amp;"|"&amp;$C124&amp;"|"&amp;$D124&amp;"|"&amp;AD$14&amp;"|"&amp;"CY2023Q3",Spectrum!$R:$R,0)),0),""))</f>
        <v/>
      </c>
      <c r="AE124" s="88" t="n">
        <f aca="false">IF(OR(LEFT($B124,4)="_Mil",SUM($Z124)=0),"",SUM($AD124)/$Z124)</f>
        <v>0</v>
      </c>
      <c r="AF124" s="39" t="str">
        <f aca="false">IF(LEFT($B124,4)="_Mil","",_xlfn.IFNA(ROUND(INDEX(Spectrum!$N:$N,MATCH(RIGHT($B124,13)&amp;"|"&amp;$C124&amp;"|"&amp;$D124&amp;"|"&amp;AF$14&amp;"|"&amp;"CY2023Q3",Spectrum!$R:$R,0)),0),""))</f>
        <v/>
      </c>
      <c r="AG124" s="88" t="str">
        <f aca="false">IF(OR(LEFT($B124,4)="_Mil",SUM($AD124)=0),"",SUM($AF124)/$AD124)</f>
        <v/>
      </c>
      <c r="AH124" s="86" t="str">
        <f aca="false">IF(LEFT($B124,4)="_Mil","",_xlfn.IFNA(INDEX(Spectrum!$N:$N,MATCH(RIGHT($B124,13)&amp;"|"&amp;$C124&amp;"|"&amp;$D124&amp;"|"&amp;AH$14&amp;"|"&amp;"CY2023Q3",Spectrum!$R:$R,0)),""))</f>
        <v/>
      </c>
      <c r="AI124" s="10" t="str">
        <f aca="false">IF(LEFT($B124,4)="_Mil","",_xlfn.IFNA(ROUND(INDEX(Spectrum!$N:$N,MATCH(RIGHT($B124,13)&amp;"|"&amp;$C124&amp;"|"&amp;$D124&amp;"|"&amp;AI$14&amp;"|"&amp;"CY2023Q3",Spectrum!$R:$R,0)),0),""))</f>
        <v/>
      </c>
      <c r="AJ124" s="39" t="n">
        <f aca="false">IF(LEFT($B124,4)="_Mil","",_xlfn.IFNA(ROUND(INDEX(Spectrum!$N:$N,MATCH(RIGHT($B124,13)&amp;"|"&amp;$C124&amp;"|"&amp;$D124&amp;"|"&amp;AI$14&amp;"|"&amp;"CY2023Q3",Spectrum!$R:$R,0)),0),SUM($U124)+SUM($AI124)))</f>
        <v>0</v>
      </c>
      <c r="AK124" s="10" t="str">
        <f aca="false">IF(LEFT($B124,4)="_Mil","",_xlfn.IFNA(ROUND(INDEX(Spectrum!$N:$N,MATCH(RIGHT($B124,13)&amp;"|"&amp;$C124&amp;"|"&amp;$D124&amp;"|"&amp;AK$14&amp;"|"&amp;"CY2023Q3",Spectrum!$R:$R,0)),0),""))</f>
        <v/>
      </c>
      <c r="AL124" s="88" t="n">
        <f aca="false">IF(OR(LEFT($B124,4)="_Mil",$C124="&lt;01"),"",MAX(SUM($AA124),90%))</f>
        <v>697</v>
      </c>
      <c r="AM124" s="10" t="n">
        <f aca="false">IF(OR(LEFT($B124,4)="_Mil",$C124="&lt;01"),"",ROUND(SUM($AJ124)*SUM($AL124),0))</f>
        <v>0</v>
      </c>
      <c r="AN124" s="10" t="str">
        <f aca="false">IF($C124="&lt;01",ROUND(INDEX(EID!$P:$P,MATCH($B124,EID!$B:$B,0))/2,0),"")</f>
        <v/>
      </c>
      <c r="AO124" s="10" t="n">
        <f aca="false">IF($C124="&lt;01",SUM($AN124),ROUND(SUM($AM124)*SUM($O124)/IF(SUM($Z124)=0,1,$Z124),0))</f>
        <v>0</v>
      </c>
      <c r="AP124" s="39" t="n">
        <f aca="false">IF(OR($F124="",$C124="&lt;01"),$AO124,$F124)</f>
        <v>0</v>
      </c>
      <c r="AQ124" s="39" t="n">
        <f aca="false">IF(LEFT($B124,4)="_Mil","",IF(SUM($AP124)=0,SUM($Z124),IF(OR(SUM($Z124)=0,SUM($O124)=0),MAX($AP124,$Z124),$AP124*$Z124/$O124)))</f>
        <v>1906</v>
      </c>
      <c r="AR124" s="88" t="str">
        <f aca="false">IF(OR(LEFT($B124,4)="_Mil",SUM($AJ124)=0),"",SUM($AQ124)/$AJ124)</f>
        <v/>
      </c>
      <c r="AS124" s="88" t="n">
        <f aca="false">IF($C124="&lt;01","",98%)</f>
        <v>0.98</v>
      </c>
      <c r="AT124" s="88" t="n">
        <f aca="false">IF($C124="&lt;01","",98%)</f>
        <v>0.98</v>
      </c>
      <c r="AU124" s="10" t="n">
        <f aca="false">IF($C124="&lt;01","",SUM($AP124)-SUM($O124))</f>
        <v>0</v>
      </c>
      <c r="AV124" s="10" t="n">
        <f aca="false">IF($C124="&lt;01",ROUND(INDEX(EID!$N:$N,MATCH($B124,EID!$B:$B,0))/2,0),IF(SUM($AT124)=0,"",ROUND((SUM($AP124)-(SUM($O124)*SUM($AS124)))/$AT124,0)))</f>
        <v>0</v>
      </c>
      <c r="AW124" s="88" t="n">
        <f aca="false">IF($C124="&lt;01","",100%)</f>
        <v>1</v>
      </c>
      <c r="AX124" s="39" t="n">
        <f aca="false">IF($C124="&lt;01",SUM($AV124),ROUND(SUM($AV124)*SUM($AW124),0))</f>
        <v>0</v>
      </c>
      <c r="AY124" s="114" t="n">
        <f aca="false">IF($C124="&lt;01","",70%)</f>
        <v>0.7</v>
      </c>
      <c r="AZ124" s="91" t="n">
        <f aca="false">IF($C124="&lt;01",ROUND(INDEX(EID!$R:$R,MATCH($B124,EID!$B:$B,0))/2,0),ROUND(SUM($O124)+(SUM($AV124)*$AY124),0))</f>
        <v>0</v>
      </c>
      <c r="BA124" s="87" t="n">
        <f aca="false">IF($C124="&lt;01","",95%)</f>
        <v>0.95</v>
      </c>
      <c r="BB124" s="5" t="n">
        <f aca="false">IF($C124="&lt;01",ROUND(INDEX(EID!$T:$T,MATCH($B124,EID!$B:$B,0))/2,0),ROUND($AZ124*$BA124,0))</f>
        <v>0</v>
      </c>
      <c r="BC124" s="91" t="n">
        <f aca="false">IF(LEFT($B124,4)="_Mil","",IF(SUM($BB124)=0,SUM($AD124),IF(OR(SUM($AP124)=0,SUM($AQ124)=0),MAX($BB124,$AD124),ROUND($BB124*$AQ124/$AP124,0))))</f>
        <v>0</v>
      </c>
      <c r="BD124" s="88" t="n">
        <f aca="false">IF($C124="&lt;01","",95%)</f>
        <v>0.95</v>
      </c>
      <c r="BE124" s="39" t="n">
        <f aca="false">IF($C124="&lt;01",ROUND(INDEX(EID!$V:$V,MATCH($B124,EID!$B:$B,0))/2,0),ROUND($BD124*$BB124,0))</f>
        <v>0</v>
      </c>
      <c r="BF124" s="39" t="n">
        <f aca="false">IF(LEFT($B124,4)="_Mil","",IF(SUM($BE124)=0,SUM($AF124),IF(OR(SUM($AP124)=0,SUM($AQ124)=0),MAX($BE124,$AF124),ROUND($BE124*$AQ124/$AP124,0))))</f>
        <v>0</v>
      </c>
      <c r="BG124" s="114" t="n">
        <f aca="false">IF($C124="&lt;01","",95%)</f>
        <v>0.95</v>
      </c>
      <c r="BH124" s="5" t="n">
        <f aca="false">IF($C124="&lt;01",ROUND(INDEX(EID!$L:$L,MATCH($B124,EID!$B:$B,0)),0)/2,IF(SUM($BG124)=0,"",ROUND($AX124/$BG124,0)))</f>
        <v>0</v>
      </c>
    </row>
    <row r="125" customFormat="false" ht="15" hidden="false" customHeight="false" outlineLevel="0" collapsed="false">
      <c r="A125" s="0" t="str">
        <f aca="false">INDEX(Prioritization!$D:$D,MATCH($B125,Prioritization!$A:$A,0))</f>
        <v>INVALID</v>
      </c>
      <c r="B125" s="0" t="s">
        <v>201</v>
      </c>
      <c r="C125" s="0" t="s">
        <v>368</v>
      </c>
      <c r="D125" s="0" t="s">
        <v>30</v>
      </c>
      <c r="E125" s="0" t="str">
        <f aca="false">$B125&amp;"|"&amp;$C125&amp;"|"&amp;$D125</f>
        <v>Ntcheu District [am530wpaGvr]|50+|Female</v>
      </c>
      <c r="F125" s="10"/>
      <c r="G125" s="10"/>
      <c r="H125" s="10"/>
      <c r="I125" s="10"/>
      <c r="J125" s="10"/>
      <c r="K125" s="10"/>
      <c r="L125" s="10"/>
      <c r="M125" s="10"/>
      <c r="N125" s="10"/>
      <c r="O125" s="10" t="str">
        <f aca="false">IFERROR(1/(1/MAX($I125,$N125)),"")</f>
        <v/>
      </c>
      <c r="P125" s="10"/>
      <c r="Q125" s="10"/>
      <c r="R125" s="10" t="str">
        <f aca="false">IF(AND(SUM($I125)=0,SUM($O125)=0),"",SUM($O125)-$I125)</f>
        <v/>
      </c>
      <c r="S125" s="10" t="n">
        <f aca="false">IF(LEFT($B125,4)="_Mil","",_xlfn.IFNA(ROUND(INDEX(Spectrum!$N:$N,MATCH(RIGHT($B125,13)&amp;"|"&amp;$C125&amp;"|"&amp;$D125&amp;"|"&amp;S$14&amp;"|"&amp;"CY2022Q4",Spectrum!$R:$R,0)),0),""))</f>
        <v>1631</v>
      </c>
      <c r="T125" s="39" t="n">
        <f aca="false">IF(LEFT($B125,4)="_Mil","",_xlfn.IFNA(ROUND(INDEX(Spectrum!$N:$N,MATCH(RIGHT($B125,13)&amp;"|"&amp;$C125&amp;"|"&amp;$D125&amp;"|"&amp;T$14&amp;"|"&amp;"CY2023Q3",Spectrum!$R:$R,0)),0),""))</f>
        <v>1391</v>
      </c>
      <c r="U125" s="39" t="str">
        <f aca="false">IF(LEFT($B125,4)="_Mil","",_xlfn.IFNA(ROUND(INDEX(Spectrum!$N:$N,MATCH(RIGHT($B125,13)&amp;"|"&amp;$C125&amp;"|"&amp;$D125&amp;"|"&amp;U$14&amp;"|"&amp;"CY2023Q3",Spectrum!$R:$R,0)),0),""))</f>
        <v/>
      </c>
      <c r="V125" s="10" t="n">
        <f aca="false">IF(LEFT($B125,4)="_Mil","",_xlfn.IFNA(ROUND(INDEX(Spectrum!$N:$N,MATCH(RIGHT($B125,13)&amp;"|"&amp;$C125&amp;"|"&amp;$D125&amp;"|"&amp;V$14&amp;"|"&amp;"CY2023Q3",Spectrum!$R:$R,0)),0),""))</f>
        <v>539</v>
      </c>
      <c r="W125" s="113" t="n">
        <f aca="false">IF(LEFT($B125,4)="_Mil","",_xlfn.IFNA(INDEX(Spectrum!$N:$N,MATCH(RIGHT($B125,13)&amp;"|"&amp;$C125&amp;"|"&amp;$D125&amp;"|"&amp;W$14&amp;"|"&amp;"CY2023Q3",Spectrum!$R:$R,0)),""))</f>
        <v>928</v>
      </c>
      <c r="X125" s="39" t="n">
        <f aca="false">IF(LEFT($B125,4)="_Mil","",_xlfn.IFNA(ROUND(INDEX(Spectrum!$N:$N,MATCH(RIGHT($B125,13)&amp;"|"&amp;$C125&amp;"|"&amp;$D125&amp;"|"&amp;X$14&amp;"|"&amp;"CY2023Q3",Spectrum!$R:$R,0)),0),""))</f>
        <v>1642</v>
      </c>
      <c r="Y125" s="88" t="str">
        <f aca="false">IF(OR(SUM($U125)=0,LEFT($B125,4)="_Mil"),"",SUM($X125)/$U125)</f>
        <v/>
      </c>
      <c r="Z125" s="39" t="n">
        <f aca="false">IF(LEFT($B125,4)="_Mil","",_xlfn.IFNA(ROUND(INDEX(Spectrum!$N:$N,MATCH(RIGHT($B125,13)&amp;"|"&amp;$C125&amp;"|"&amp;$D125&amp;"|"&amp;Z$14&amp;"|"&amp;"CY2023Q3",Spectrum!$R:$R,0)),0),""))</f>
        <v>726</v>
      </c>
      <c r="AA125" s="88" t="n">
        <f aca="false">IF(LEFT($B125,4)="_Mil","",IFERROR(1/(1/INDEX(Spectrum!$N:$N,MATCH(RIGHT($B125,13)&amp;"|"&amp;$C125&amp;"|"&amp;$D125&amp;"|"&amp;AA$14&amp;"|"&amp;"CY2023Q3",Spectrum!$R:$R,0))),IF(SUM($U125)=0,"",SUM($Z125)/$U125)))</f>
        <v>1518</v>
      </c>
      <c r="AB125" s="88" t="n">
        <f aca="false">IF(OR(LEFT($B125,4)="_Mil",SUM($X125)=0),"",SUM($Z125)/$X125)</f>
        <v>0.442143727161998</v>
      </c>
      <c r="AC125" s="10" t="n">
        <f aca="false">IF(LEFT($B125,4)="_Mil","",_xlfn.IFNA(ROUND(INDEX(Spectrum!$N:$N,MATCH(RIGHT($B125,13)&amp;"|"&amp;$C125&amp;"|"&amp;$D125&amp;"|"&amp;AC$14&amp;"|"&amp;"CY2023Q3",Spectrum!$R:$R,0)),0),""))</f>
        <v>638</v>
      </c>
      <c r="AD125" s="10" t="str">
        <f aca="false">IF(LEFT($B125,4)="_Mil","",_xlfn.IFNA(ROUND(INDEX(Spectrum!$N:$N,MATCH(RIGHT($B125,13)&amp;"|"&amp;$C125&amp;"|"&amp;$D125&amp;"|"&amp;AD$14&amp;"|"&amp;"CY2023Q3",Spectrum!$R:$R,0)),0),""))</f>
        <v/>
      </c>
      <c r="AE125" s="88" t="n">
        <f aca="false">IF(OR(LEFT($B125,4)="_Mil",SUM($Z125)=0),"",SUM($AD125)/$Z125)</f>
        <v>0</v>
      </c>
      <c r="AF125" s="39" t="str">
        <f aca="false">IF(LEFT($B125,4)="_Mil","",_xlfn.IFNA(ROUND(INDEX(Spectrum!$N:$N,MATCH(RIGHT($B125,13)&amp;"|"&amp;$C125&amp;"|"&amp;$D125&amp;"|"&amp;AF$14&amp;"|"&amp;"CY2023Q3",Spectrum!$R:$R,0)),0),""))</f>
        <v/>
      </c>
      <c r="AG125" s="88" t="str">
        <f aca="false">IF(OR(LEFT($B125,4)="_Mil",SUM($AD125)=0),"",SUM($AF125)/$AD125)</f>
        <v/>
      </c>
      <c r="AH125" s="86" t="str">
        <f aca="false">IF(LEFT($B125,4)="_Mil","",_xlfn.IFNA(INDEX(Spectrum!$N:$N,MATCH(RIGHT($B125,13)&amp;"|"&amp;$C125&amp;"|"&amp;$D125&amp;"|"&amp;AH$14&amp;"|"&amp;"CY2023Q3",Spectrum!$R:$R,0)),""))</f>
        <v/>
      </c>
      <c r="AI125" s="10" t="str">
        <f aca="false">IF(LEFT($B125,4)="_Mil","",_xlfn.IFNA(ROUND(INDEX(Spectrum!$N:$N,MATCH(RIGHT($B125,13)&amp;"|"&amp;$C125&amp;"|"&amp;$D125&amp;"|"&amp;AI$14&amp;"|"&amp;"CY2023Q3",Spectrum!$R:$R,0)),0),""))</f>
        <v/>
      </c>
      <c r="AJ125" s="39" t="n">
        <f aca="false">IF(LEFT($B125,4)="_Mil","",_xlfn.IFNA(ROUND(INDEX(Spectrum!$N:$N,MATCH(RIGHT($B125,13)&amp;"|"&amp;$C125&amp;"|"&amp;$D125&amp;"|"&amp;AI$14&amp;"|"&amp;"CY2023Q3",Spectrum!$R:$R,0)),0),SUM($U125)+SUM($AI125)))</f>
        <v>0</v>
      </c>
      <c r="AK125" s="10" t="str">
        <f aca="false">IF(LEFT($B125,4)="_Mil","",_xlfn.IFNA(ROUND(INDEX(Spectrum!$N:$N,MATCH(RIGHT($B125,13)&amp;"|"&amp;$C125&amp;"|"&amp;$D125&amp;"|"&amp;AK$14&amp;"|"&amp;"CY2023Q3",Spectrum!$R:$R,0)),0),""))</f>
        <v/>
      </c>
      <c r="AL125" s="88" t="n">
        <f aca="false">IF(OR(LEFT($B125,4)="_Mil",$C125="&lt;01"),"",MAX(SUM($AA125),90%))</f>
        <v>1518</v>
      </c>
      <c r="AM125" s="10" t="n">
        <f aca="false">IF(OR(LEFT($B125,4)="_Mil",$C125="&lt;01"),"",ROUND(SUM($AJ125)*SUM($AL125),0))</f>
        <v>0</v>
      </c>
      <c r="AN125" s="10" t="str">
        <f aca="false">IF($C125="&lt;01",ROUND(INDEX(EID!$P:$P,MATCH($B125,EID!$B:$B,0))/2,0),"")</f>
        <v/>
      </c>
      <c r="AO125" s="10" t="n">
        <f aca="false">IF($C125="&lt;01",SUM($AN125),ROUND(SUM($AM125)*SUM($O125)/IF(SUM($Z125)=0,1,$Z125),0))</f>
        <v>0</v>
      </c>
      <c r="AP125" s="39" t="n">
        <f aca="false">IF(OR($F125="",$C125="&lt;01"),$AO125,$F125)</f>
        <v>0</v>
      </c>
      <c r="AQ125" s="39" t="n">
        <f aca="false">IF(LEFT($B125,4)="_Mil","",IF(SUM($AP125)=0,SUM($Z125),IF(OR(SUM($Z125)=0,SUM($O125)=0),MAX($AP125,$Z125),$AP125*$Z125/$O125)))</f>
        <v>726</v>
      </c>
      <c r="AR125" s="88" t="str">
        <f aca="false">IF(OR(LEFT($B125,4)="_Mil",SUM($AJ125)=0),"",SUM($AQ125)/$AJ125)</f>
        <v/>
      </c>
      <c r="AS125" s="88" t="n">
        <f aca="false">IF($C125="&lt;01","",98%)</f>
        <v>0.98</v>
      </c>
      <c r="AT125" s="88" t="n">
        <f aca="false">IF($C125="&lt;01","",98%)</f>
        <v>0.98</v>
      </c>
      <c r="AU125" s="10" t="n">
        <f aca="false">IF($C125="&lt;01","",SUM($AP125)-SUM($O125))</f>
        <v>0</v>
      </c>
      <c r="AV125" s="10" t="n">
        <f aca="false">IF($C125="&lt;01",ROUND(INDEX(EID!$N:$N,MATCH($B125,EID!$B:$B,0))/2,0),IF(SUM($AT125)=0,"",ROUND((SUM($AP125)-(SUM($O125)*SUM($AS125)))/$AT125,0)))</f>
        <v>0</v>
      </c>
      <c r="AW125" s="88" t="n">
        <f aca="false">IF($C125="&lt;01","",100%)</f>
        <v>1</v>
      </c>
      <c r="AX125" s="39" t="n">
        <f aca="false">IF($C125="&lt;01",SUM($AV125),ROUND(SUM($AV125)*SUM($AW125),0))</f>
        <v>0</v>
      </c>
      <c r="AY125" s="114" t="n">
        <f aca="false">IF($C125="&lt;01","",70%)</f>
        <v>0.7</v>
      </c>
      <c r="AZ125" s="91" t="n">
        <f aca="false">IF($C125="&lt;01",ROUND(INDEX(EID!$R:$R,MATCH($B125,EID!$B:$B,0))/2,0),ROUND(SUM($O125)+(SUM($AV125)*$AY125),0))</f>
        <v>0</v>
      </c>
      <c r="BA125" s="87" t="n">
        <f aca="false">IF($C125="&lt;01","",95%)</f>
        <v>0.95</v>
      </c>
      <c r="BB125" s="5" t="n">
        <f aca="false">IF($C125="&lt;01",ROUND(INDEX(EID!$T:$T,MATCH($B125,EID!$B:$B,0))/2,0),ROUND($AZ125*$BA125,0))</f>
        <v>0</v>
      </c>
      <c r="BC125" s="91" t="n">
        <f aca="false">IF(LEFT($B125,4)="_Mil","",IF(SUM($BB125)=0,SUM($AD125),IF(OR(SUM($AP125)=0,SUM($AQ125)=0),MAX($BB125,$AD125),ROUND($BB125*$AQ125/$AP125,0))))</f>
        <v>0</v>
      </c>
      <c r="BD125" s="88" t="n">
        <f aca="false">IF($C125="&lt;01","",95%)</f>
        <v>0.95</v>
      </c>
      <c r="BE125" s="39" t="n">
        <f aca="false">IF($C125="&lt;01",ROUND(INDEX(EID!$V:$V,MATCH($B125,EID!$B:$B,0))/2,0),ROUND($BD125*$BB125,0))</f>
        <v>0</v>
      </c>
      <c r="BF125" s="39" t="n">
        <f aca="false">IF(LEFT($B125,4)="_Mil","",IF(SUM($BE125)=0,SUM($AF125),IF(OR(SUM($AP125)=0,SUM($AQ125)=0),MAX($BE125,$AF125),ROUND($BE125*$AQ125/$AP125,0))))</f>
        <v>0</v>
      </c>
      <c r="BG125" s="114" t="n">
        <f aca="false">IF($C125="&lt;01","",95%)</f>
        <v>0.95</v>
      </c>
      <c r="BH125" s="5" t="n">
        <f aca="false">IF($C125="&lt;01",ROUND(INDEX(EID!$L:$L,MATCH($B125,EID!$B:$B,0)),0)/2,IF(SUM($BG125)=0,"",ROUND($AX125/$BG125,0)))</f>
        <v>0</v>
      </c>
    </row>
    <row r="126" customFormat="false" ht="15" hidden="false" customHeight="false" outlineLevel="0" collapsed="false">
      <c r="A126" s="0" t="str">
        <f aca="false">INDEX(Prioritization!$D:$D,MATCH($B126,Prioritization!$A:$A,0))</f>
        <v>INVALID</v>
      </c>
      <c r="B126" s="0" t="s">
        <v>201</v>
      </c>
      <c r="C126" s="0" t="s">
        <v>368</v>
      </c>
      <c r="D126" s="0" t="s">
        <v>48</v>
      </c>
      <c r="E126" s="0" t="str">
        <f aca="false">$B126&amp;"|"&amp;$C126&amp;"|"&amp;$D126</f>
        <v>Ntcheu District [am530wpaGvr]|50+|Male</v>
      </c>
      <c r="F126" s="10"/>
      <c r="G126" s="10"/>
      <c r="H126" s="10"/>
      <c r="I126" s="10"/>
      <c r="J126" s="10"/>
      <c r="K126" s="10"/>
      <c r="L126" s="10"/>
      <c r="M126" s="10"/>
      <c r="N126" s="10"/>
      <c r="O126" s="10" t="str">
        <f aca="false">IFERROR(1/(1/MAX($I126,$N126)),"")</f>
        <v/>
      </c>
      <c r="P126" s="10"/>
      <c r="Q126" s="10"/>
      <c r="R126" s="10" t="str">
        <f aca="false">IF(AND(SUM($I126)=0,SUM($O126)=0),"",SUM($O126)-$I126)</f>
        <v/>
      </c>
      <c r="S126" s="10" t="n">
        <f aca="false">IF(LEFT($B126,4)="_Mil","",_xlfn.IFNA(ROUND(INDEX(Spectrum!$N:$N,MATCH(RIGHT($B126,13)&amp;"|"&amp;$C126&amp;"|"&amp;$D126&amp;"|"&amp;S$14&amp;"|"&amp;"CY2022Q4",Spectrum!$R:$R,0)),0),""))</f>
        <v>1430</v>
      </c>
      <c r="T126" s="39" t="n">
        <f aca="false">IF(LEFT($B126,4)="_Mil","",_xlfn.IFNA(ROUND(INDEX(Spectrum!$N:$N,MATCH(RIGHT($B126,13)&amp;"|"&amp;$C126&amp;"|"&amp;$D126&amp;"|"&amp;T$14&amp;"|"&amp;"CY2023Q3",Spectrum!$R:$R,0)),0),""))</f>
        <v>631</v>
      </c>
      <c r="U126" s="39" t="str">
        <f aca="false">IF(LEFT($B126,4)="_Mil","",_xlfn.IFNA(ROUND(INDEX(Spectrum!$N:$N,MATCH(RIGHT($B126,13)&amp;"|"&amp;$C126&amp;"|"&amp;$D126&amp;"|"&amp;U$14&amp;"|"&amp;"CY2023Q3",Spectrum!$R:$R,0)),0),""))</f>
        <v/>
      </c>
      <c r="V126" s="10" t="n">
        <f aca="false">IF(LEFT($B126,4)="_Mil","",_xlfn.IFNA(ROUND(INDEX(Spectrum!$N:$N,MATCH(RIGHT($B126,13)&amp;"|"&amp;$C126&amp;"|"&amp;$D126&amp;"|"&amp;V$14&amp;"|"&amp;"CY2023Q3",Spectrum!$R:$R,0)),0),""))</f>
        <v>673</v>
      </c>
      <c r="W126" s="113" t="n">
        <f aca="false">IF(LEFT($B126,4)="_Mil","",_xlfn.IFNA(INDEX(Spectrum!$N:$N,MATCH(RIGHT($B126,13)&amp;"|"&amp;$C126&amp;"|"&amp;$D126&amp;"|"&amp;W$14&amp;"|"&amp;"CY2023Q3",Spectrum!$R:$R,0)),""))</f>
        <v>1350</v>
      </c>
      <c r="X126" s="39" t="n">
        <f aca="false">IF(LEFT($B126,4)="_Mil","",_xlfn.IFNA(ROUND(INDEX(Spectrum!$N:$N,MATCH(RIGHT($B126,13)&amp;"|"&amp;$C126&amp;"|"&amp;$D126&amp;"|"&amp;X$14&amp;"|"&amp;"CY2023Q3",Spectrum!$R:$R,0)),0),""))</f>
        <v>1696</v>
      </c>
      <c r="Y126" s="88" t="str">
        <f aca="false">IF(OR(SUM($U126)=0,LEFT($B126,4)="_Mil"),"",SUM($X126)/$U126)</f>
        <v/>
      </c>
      <c r="Z126" s="39" t="n">
        <f aca="false">IF(LEFT($B126,4)="_Mil","",_xlfn.IFNA(ROUND(INDEX(Spectrum!$N:$N,MATCH(RIGHT($B126,13)&amp;"|"&amp;$C126&amp;"|"&amp;$D126&amp;"|"&amp;Z$14&amp;"|"&amp;"CY2023Q3",Spectrum!$R:$R,0)),0),""))</f>
        <v>1075</v>
      </c>
      <c r="AA126" s="88" t="n">
        <f aca="false">IF(LEFT($B126,4)="_Mil","",IFERROR(1/(1/INDEX(Spectrum!$N:$N,MATCH(RIGHT($B126,13)&amp;"|"&amp;$C126&amp;"|"&amp;$D126&amp;"|"&amp;AA$14&amp;"|"&amp;"CY2023Q3",Spectrum!$R:$R,0))),IF(SUM($U126)=0,"",SUM($Z126)/$U126)))</f>
        <v>1977</v>
      </c>
      <c r="AB126" s="88" t="n">
        <f aca="false">IF(OR(LEFT($B126,4)="_Mil",SUM($X126)=0),"",SUM($Z126)/$X126)</f>
        <v>0.633844339622642</v>
      </c>
      <c r="AC126" s="10" t="n">
        <f aca="false">IF(LEFT($B126,4)="_Mil","",_xlfn.IFNA(ROUND(INDEX(Spectrum!$N:$N,MATCH(RIGHT($B126,13)&amp;"|"&amp;$C126&amp;"|"&amp;$D126&amp;"|"&amp;AC$14&amp;"|"&amp;"CY2023Q3",Spectrum!$R:$R,0)),0),""))</f>
        <v>607</v>
      </c>
      <c r="AD126" s="10" t="str">
        <f aca="false">IF(LEFT($B126,4)="_Mil","",_xlfn.IFNA(ROUND(INDEX(Spectrum!$N:$N,MATCH(RIGHT($B126,13)&amp;"|"&amp;$C126&amp;"|"&amp;$D126&amp;"|"&amp;AD$14&amp;"|"&amp;"CY2023Q3",Spectrum!$R:$R,0)),0),""))</f>
        <v/>
      </c>
      <c r="AE126" s="88" t="n">
        <f aca="false">IF(OR(LEFT($B126,4)="_Mil",SUM($Z126)=0),"",SUM($AD126)/$Z126)</f>
        <v>0</v>
      </c>
      <c r="AF126" s="39" t="str">
        <f aca="false">IF(LEFT($B126,4)="_Mil","",_xlfn.IFNA(ROUND(INDEX(Spectrum!$N:$N,MATCH(RIGHT($B126,13)&amp;"|"&amp;$C126&amp;"|"&amp;$D126&amp;"|"&amp;AF$14&amp;"|"&amp;"CY2023Q3",Spectrum!$R:$R,0)),0),""))</f>
        <v/>
      </c>
      <c r="AG126" s="88" t="str">
        <f aca="false">IF(OR(LEFT($B126,4)="_Mil",SUM($AD126)=0),"",SUM($AF126)/$AD126)</f>
        <v/>
      </c>
      <c r="AH126" s="86" t="str">
        <f aca="false">IF(LEFT($B126,4)="_Mil","",_xlfn.IFNA(INDEX(Spectrum!$N:$N,MATCH(RIGHT($B126,13)&amp;"|"&amp;$C126&amp;"|"&amp;$D126&amp;"|"&amp;AH$14&amp;"|"&amp;"CY2023Q3",Spectrum!$R:$R,0)),""))</f>
        <v/>
      </c>
      <c r="AI126" s="10" t="str">
        <f aca="false">IF(LEFT($B126,4)="_Mil","",_xlfn.IFNA(ROUND(INDEX(Spectrum!$N:$N,MATCH(RIGHT($B126,13)&amp;"|"&amp;$C126&amp;"|"&amp;$D126&amp;"|"&amp;AI$14&amp;"|"&amp;"CY2023Q3",Spectrum!$R:$R,0)),0),""))</f>
        <v/>
      </c>
      <c r="AJ126" s="39" t="n">
        <f aca="false">IF(LEFT($B126,4)="_Mil","",_xlfn.IFNA(ROUND(INDEX(Spectrum!$N:$N,MATCH(RIGHT($B126,13)&amp;"|"&amp;$C126&amp;"|"&amp;$D126&amp;"|"&amp;AI$14&amp;"|"&amp;"CY2023Q3",Spectrum!$R:$R,0)),0),SUM($U126)+SUM($AI126)))</f>
        <v>0</v>
      </c>
      <c r="AK126" s="10" t="str">
        <f aca="false">IF(LEFT($B126,4)="_Mil","",_xlfn.IFNA(ROUND(INDEX(Spectrum!$N:$N,MATCH(RIGHT($B126,13)&amp;"|"&amp;$C126&amp;"|"&amp;$D126&amp;"|"&amp;AK$14&amp;"|"&amp;"CY2023Q3",Spectrum!$R:$R,0)),0),""))</f>
        <v/>
      </c>
      <c r="AL126" s="88" t="n">
        <f aca="false">IF(OR(LEFT($B126,4)="_Mil",$C126="&lt;01"),"",MAX(SUM($AA126),90%))</f>
        <v>1977</v>
      </c>
      <c r="AM126" s="10" t="n">
        <f aca="false">IF(OR(LEFT($B126,4)="_Mil",$C126="&lt;01"),"",ROUND(SUM($AJ126)*SUM($AL126),0))</f>
        <v>0</v>
      </c>
      <c r="AN126" s="10" t="str">
        <f aca="false">IF($C126="&lt;01",ROUND(INDEX(EID!$P:$P,MATCH($B126,EID!$B:$B,0))/2,0),"")</f>
        <v/>
      </c>
      <c r="AO126" s="10" t="n">
        <f aca="false">IF($C126="&lt;01",SUM($AN126),ROUND(SUM($AM126)*SUM($O126)/IF(SUM($Z126)=0,1,$Z126),0))</f>
        <v>0</v>
      </c>
      <c r="AP126" s="39" t="n">
        <f aca="false">IF(OR($F126="",$C126="&lt;01"),$AO126,$F126)</f>
        <v>0</v>
      </c>
      <c r="AQ126" s="39" t="n">
        <f aca="false">IF(LEFT($B126,4)="_Mil","",IF(SUM($AP126)=0,SUM($Z126),IF(OR(SUM($Z126)=0,SUM($O126)=0),MAX($AP126,$Z126),$AP126*$Z126/$O126)))</f>
        <v>1075</v>
      </c>
      <c r="AR126" s="88" t="str">
        <f aca="false">IF(OR(LEFT($B126,4)="_Mil",SUM($AJ126)=0),"",SUM($AQ126)/$AJ126)</f>
        <v/>
      </c>
      <c r="AS126" s="88" t="n">
        <f aca="false">IF($C126="&lt;01","",98%)</f>
        <v>0.98</v>
      </c>
      <c r="AT126" s="88" t="n">
        <f aca="false">IF($C126="&lt;01","",98%)</f>
        <v>0.98</v>
      </c>
      <c r="AU126" s="10" t="n">
        <f aca="false">IF($C126="&lt;01","",SUM($AP126)-SUM($O126))</f>
        <v>0</v>
      </c>
      <c r="AV126" s="10" t="n">
        <f aca="false">IF($C126="&lt;01",ROUND(INDEX(EID!$N:$N,MATCH($B126,EID!$B:$B,0))/2,0),IF(SUM($AT126)=0,"",ROUND((SUM($AP126)-(SUM($O126)*SUM($AS126)))/$AT126,0)))</f>
        <v>0</v>
      </c>
      <c r="AW126" s="88" t="n">
        <f aca="false">IF($C126="&lt;01","",100%)</f>
        <v>1</v>
      </c>
      <c r="AX126" s="39" t="n">
        <f aca="false">IF($C126="&lt;01",SUM($AV126),ROUND(SUM($AV126)*SUM($AW126),0))</f>
        <v>0</v>
      </c>
      <c r="AY126" s="114" t="n">
        <f aca="false">IF($C126="&lt;01","",70%)</f>
        <v>0.7</v>
      </c>
      <c r="AZ126" s="91" t="n">
        <f aca="false">IF($C126="&lt;01",ROUND(INDEX(EID!$R:$R,MATCH($B126,EID!$B:$B,0))/2,0),ROUND(SUM($O126)+(SUM($AV126)*$AY126),0))</f>
        <v>0</v>
      </c>
      <c r="BA126" s="87" t="n">
        <f aca="false">IF($C126="&lt;01","",95%)</f>
        <v>0.95</v>
      </c>
      <c r="BB126" s="5" t="n">
        <f aca="false">IF($C126="&lt;01",ROUND(INDEX(EID!$T:$T,MATCH($B126,EID!$B:$B,0))/2,0),ROUND($AZ126*$BA126,0))</f>
        <v>0</v>
      </c>
      <c r="BC126" s="91" t="n">
        <f aca="false">IF(LEFT($B126,4)="_Mil","",IF(SUM($BB126)=0,SUM($AD126),IF(OR(SUM($AP126)=0,SUM($AQ126)=0),MAX($BB126,$AD126),ROUND($BB126*$AQ126/$AP126,0))))</f>
        <v>0</v>
      </c>
      <c r="BD126" s="88" t="n">
        <f aca="false">IF($C126="&lt;01","",95%)</f>
        <v>0.95</v>
      </c>
      <c r="BE126" s="39" t="n">
        <f aca="false">IF($C126="&lt;01",ROUND(INDEX(EID!$V:$V,MATCH($B126,EID!$B:$B,0))/2,0),ROUND($BD126*$BB126,0))</f>
        <v>0</v>
      </c>
      <c r="BF126" s="39" t="n">
        <f aca="false">IF(LEFT($B126,4)="_Mil","",IF(SUM($BE126)=0,SUM($AF126),IF(OR(SUM($AP126)=0,SUM($AQ126)=0),MAX($BE126,$AF126),ROUND($BE126*$AQ126/$AP126,0))))</f>
        <v>0</v>
      </c>
      <c r="BG126" s="114" t="n">
        <f aca="false">IF($C126="&lt;01","",95%)</f>
        <v>0.95</v>
      </c>
      <c r="BH126" s="5" t="n">
        <f aca="false">IF($C126="&lt;01",ROUND(INDEX(EID!$L:$L,MATCH($B126,EID!$B:$B,0)),0)/2,IF(SUM($BG126)=0,"",ROUND($AX126/$BG126,0)))</f>
        <v>0</v>
      </c>
    </row>
    <row r="127" customFormat="false" ht="15" hidden="false" customHeight="false" outlineLevel="0" collapsed="false">
      <c r="A127" s="0" t="str">
        <f aca="false">INDEX(Prioritization!$D:$D,MATCH($B127,Prioritization!$A:$A,0))</f>
        <v>INVALID</v>
      </c>
      <c r="B127" s="0" t="s">
        <v>202</v>
      </c>
      <c r="C127" s="0" t="s">
        <v>316</v>
      </c>
      <c r="D127" s="0" t="s">
        <v>30</v>
      </c>
      <c r="E127" s="0" t="str">
        <f aca="false">$B127&amp;"|"&amp;$C127&amp;"|"&amp;$D127</f>
        <v>Ntchisi District [fiRkU6gEjLz]|&lt;01|Female</v>
      </c>
      <c r="F127" s="10"/>
      <c r="G127" s="10" t="n">
        <v>5</v>
      </c>
      <c r="H127" s="10" t="n">
        <v>1</v>
      </c>
      <c r="I127" s="10" t="n">
        <v>1</v>
      </c>
      <c r="J127" s="10" t="n">
        <v>0</v>
      </c>
      <c r="K127" s="10" t="n">
        <v>0</v>
      </c>
      <c r="L127" s="10"/>
      <c r="M127" s="10" t="n">
        <v>0</v>
      </c>
      <c r="N127" s="10" t="n">
        <v>0</v>
      </c>
      <c r="O127" s="10" t="n">
        <f aca="false">IFERROR(1/(1/MAX($I127,$N127)),"")</f>
        <v>1</v>
      </c>
      <c r="P127" s="10" t="n">
        <v>1</v>
      </c>
      <c r="Q127" s="10" t="n">
        <v>0</v>
      </c>
      <c r="R127" s="10" t="n">
        <f aca="false">IF(AND(SUM($I127)=0,SUM($O127)=0),"",SUM($O127)-$I127)</f>
        <v>0</v>
      </c>
      <c r="S127" s="10" t="n">
        <f aca="false">IF(LEFT($B127,4)="_Mil","",_xlfn.IFNA(ROUND(INDEX(Spectrum!$N:$N,MATCH(RIGHT($B127,13)&amp;"|"&amp;$C127&amp;"|"&amp;$D127&amp;"|"&amp;S$14&amp;"|"&amp;"CY2022Q4",Spectrum!$R:$R,0)),0),""))</f>
        <v>1436</v>
      </c>
      <c r="T127" s="39" t="n">
        <f aca="false">IF(LEFT($B127,4)="_Mil","",_xlfn.IFNA(ROUND(INDEX(Spectrum!$N:$N,MATCH(RIGHT($B127,13)&amp;"|"&amp;$C127&amp;"|"&amp;$D127&amp;"|"&amp;T$14&amp;"|"&amp;"CY2023Q3",Spectrum!$R:$R,0)),0),""))</f>
        <v>1797</v>
      </c>
      <c r="U127" s="39" t="str">
        <f aca="false">IF(LEFT($B127,4)="_Mil","",_xlfn.IFNA(ROUND(INDEX(Spectrum!$N:$N,MATCH(RIGHT($B127,13)&amp;"|"&amp;$C127&amp;"|"&amp;$D127&amp;"|"&amp;U$14&amp;"|"&amp;"CY2023Q3",Spectrum!$R:$R,0)),0),""))</f>
        <v/>
      </c>
      <c r="V127" s="10" t="n">
        <f aca="false">IF(LEFT($B127,4)="_Mil","",_xlfn.IFNA(ROUND(INDEX(Spectrum!$N:$N,MATCH(RIGHT($B127,13)&amp;"|"&amp;$C127&amp;"|"&amp;$D127&amp;"|"&amp;V$14&amp;"|"&amp;"CY2023Q3",Spectrum!$R:$R,0)),0),""))</f>
        <v>1000</v>
      </c>
      <c r="W127" s="113" t="n">
        <f aca="false">IF(LEFT($B127,4)="_Mil","",_xlfn.IFNA(INDEX(Spectrum!$N:$N,MATCH(RIGHT($B127,13)&amp;"|"&amp;$C127&amp;"|"&amp;$D127&amp;"|"&amp;W$14&amp;"|"&amp;"CY2023Q3",Spectrum!$R:$R,0)),""))</f>
        <v>865</v>
      </c>
      <c r="X127" s="39" t="n">
        <f aca="false">IF(LEFT($B127,4)="_Mil","",_xlfn.IFNA(ROUND(INDEX(Spectrum!$N:$N,MATCH(RIGHT($B127,13)&amp;"|"&amp;$C127&amp;"|"&amp;$D127&amp;"|"&amp;X$14&amp;"|"&amp;"CY2023Q3",Spectrum!$R:$R,0)),0),""))</f>
        <v>982</v>
      </c>
      <c r="Y127" s="88" t="str">
        <f aca="false">IF(OR(SUM($U127)=0,LEFT($B127,4)="_Mil"),"",SUM($X127)/$U127)</f>
        <v/>
      </c>
      <c r="Z127" s="39" t="n">
        <f aca="false">IF(LEFT($B127,4)="_Mil","",_xlfn.IFNA(ROUND(INDEX(Spectrum!$N:$N,MATCH(RIGHT($B127,13)&amp;"|"&amp;$C127&amp;"|"&amp;$D127&amp;"|"&amp;Z$14&amp;"|"&amp;"CY2023Q3",Spectrum!$R:$R,0)),0),""))</f>
        <v>1140</v>
      </c>
      <c r="AA127" s="88" t="n">
        <f aca="false">IF(LEFT($B127,4)="_Mil","",IFERROR(1/(1/INDEX(Spectrum!$N:$N,MATCH(RIGHT($B127,13)&amp;"|"&amp;$C127&amp;"|"&amp;$D127&amp;"|"&amp;AA$14&amp;"|"&amp;"CY2023Q3",Spectrum!$R:$R,0))),IF(SUM($U127)=0,"",SUM($Z127)/$U127)))</f>
        <v>794</v>
      </c>
      <c r="AB127" s="88" t="n">
        <f aca="false">IF(OR(LEFT($B127,4)="_Mil",SUM($X127)=0),"",SUM($Z127)/$X127)</f>
        <v>1.16089613034623</v>
      </c>
      <c r="AC127" s="10" t="n">
        <f aca="false">IF(LEFT($B127,4)="_Mil","",_xlfn.IFNA(ROUND(INDEX(Spectrum!$N:$N,MATCH(RIGHT($B127,13)&amp;"|"&amp;$C127&amp;"|"&amp;$D127&amp;"|"&amp;AC$14&amp;"|"&amp;"CY2023Q3",Spectrum!$R:$R,0)),0),""))</f>
        <v>1490</v>
      </c>
      <c r="AD127" s="10" t="str">
        <f aca="false">IF(LEFT($B127,4)="_Mil","",_xlfn.IFNA(ROUND(INDEX(Spectrum!$N:$N,MATCH(RIGHT($B127,13)&amp;"|"&amp;$C127&amp;"|"&amp;$D127&amp;"|"&amp;AD$14&amp;"|"&amp;"CY2023Q3",Spectrum!$R:$R,0)),0),""))</f>
        <v/>
      </c>
      <c r="AE127" s="88" t="n">
        <f aca="false">IF(OR(LEFT($B127,4)="_Mil",SUM($Z127)=0),"",SUM($AD127)/$Z127)</f>
        <v>0</v>
      </c>
      <c r="AF127" s="39" t="str">
        <f aca="false">IF(LEFT($B127,4)="_Mil","",_xlfn.IFNA(ROUND(INDEX(Spectrum!$N:$N,MATCH(RIGHT($B127,13)&amp;"|"&amp;$C127&amp;"|"&amp;$D127&amp;"|"&amp;AF$14&amp;"|"&amp;"CY2023Q3",Spectrum!$R:$R,0)),0),""))</f>
        <v/>
      </c>
      <c r="AG127" s="88" t="str">
        <f aca="false">IF(OR(LEFT($B127,4)="_Mil",SUM($AD127)=0),"",SUM($AF127)/$AD127)</f>
        <v/>
      </c>
      <c r="AH127" s="86" t="str">
        <f aca="false">IF(LEFT($B127,4)="_Mil","",_xlfn.IFNA(INDEX(Spectrum!$N:$N,MATCH(RIGHT($B127,13)&amp;"|"&amp;$C127&amp;"|"&amp;$D127&amp;"|"&amp;AH$14&amp;"|"&amp;"CY2023Q3",Spectrum!$R:$R,0)),""))</f>
        <v/>
      </c>
      <c r="AI127" s="10" t="str">
        <f aca="false">IF(LEFT($B127,4)="_Mil","",_xlfn.IFNA(ROUND(INDEX(Spectrum!$N:$N,MATCH(RIGHT($B127,13)&amp;"|"&amp;$C127&amp;"|"&amp;$D127&amp;"|"&amp;AI$14&amp;"|"&amp;"CY2023Q3",Spectrum!$R:$R,0)),0),""))</f>
        <v/>
      </c>
      <c r="AJ127" s="39" t="n">
        <f aca="false">IF(LEFT($B127,4)="_Mil","",_xlfn.IFNA(ROUND(INDEX(Spectrum!$N:$N,MATCH(RIGHT($B127,13)&amp;"|"&amp;$C127&amp;"|"&amp;$D127&amp;"|"&amp;AI$14&amp;"|"&amp;"CY2023Q3",Spectrum!$R:$R,0)),0),SUM($U127)+SUM($AI127)))</f>
        <v>0</v>
      </c>
      <c r="AK127" s="10" t="str">
        <f aca="false">IF(LEFT($B127,4)="_Mil","",_xlfn.IFNA(ROUND(INDEX(Spectrum!$N:$N,MATCH(RIGHT($B127,13)&amp;"|"&amp;$C127&amp;"|"&amp;$D127&amp;"|"&amp;AK$14&amp;"|"&amp;"CY2023Q3",Spectrum!$R:$R,0)),0),""))</f>
        <v/>
      </c>
      <c r="AL127" s="88" t="str">
        <f aca="false">IF(OR(LEFT($B127,4)="_Mil",$C127="&lt;01"),"",MAX(SUM($AA127),90%))</f>
        <v/>
      </c>
      <c r="AM127" s="10" t="str">
        <f aca="false">IF(OR(LEFT($B127,4)="_Mil",$C127="&lt;01"),"",ROUND(SUM($AJ127)*SUM($AL127),0))</f>
        <v/>
      </c>
      <c r="AN127" s="10" t="n">
        <f aca="false">IF($C127="&lt;01",ROUND(INDEX(EID!$P:$P,MATCH($B127,EID!$B:$B,0))/2,0),"")</f>
        <v>0</v>
      </c>
      <c r="AO127" s="10" t="n">
        <f aca="false">IF($C127="&lt;01",SUM($AN127),ROUND(SUM($AM127)*SUM($O127)/IF(SUM($Z127)=0,1,$Z127),0))</f>
        <v>0</v>
      </c>
      <c r="AP127" s="39" t="n">
        <f aca="false">IF(OR($F127="",$C127="&lt;01"),$AO127,$F127)</f>
        <v>0</v>
      </c>
      <c r="AQ127" s="39" t="n">
        <f aca="false">IF(LEFT($B127,4)="_Mil","",IF(SUM($AP127)=0,SUM($Z127),IF(OR(SUM($Z127)=0,SUM($O127)=0),MAX($AP127,$Z127),$AP127*$Z127/$O127)))</f>
        <v>1140</v>
      </c>
      <c r="AR127" s="88" t="str">
        <f aca="false">IF(OR(LEFT($B127,4)="_Mil",SUM($AJ127)=0),"",SUM($AQ127)/$AJ127)</f>
        <v/>
      </c>
      <c r="AS127" s="88" t="str">
        <f aca="false">IF($C127="&lt;01","",98%)</f>
        <v/>
      </c>
      <c r="AT127" s="88" t="str">
        <f aca="false">IF($C127="&lt;01","",98%)</f>
        <v/>
      </c>
      <c r="AU127" s="10" t="str">
        <f aca="false">IF($C127="&lt;01","",SUM($AP127)-SUM($O127))</f>
        <v/>
      </c>
      <c r="AV127" s="10" t="n">
        <f aca="false">IF($C127="&lt;01",ROUND(INDEX(EID!$N:$N,MATCH($B127,EID!$B:$B,0))/2,0),IF(SUM($AT127)=0,"",ROUND((SUM($AP127)-(SUM($O127)*SUM($AS127)))/$AT127,0)))</f>
        <v>0</v>
      </c>
      <c r="AW127" s="88" t="str">
        <f aca="false">IF($C127="&lt;01","",100%)</f>
        <v/>
      </c>
      <c r="AX127" s="39" t="n">
        <f aca="false">IF($C127="&lt;01",SUM($AV127),ROUND(SUM($AV127)*SUM($AW127),0))</f>
        <v>0</v>
      </c>
      <c r="AY127" s="114" t="str">
        <f aca="false">IF($C127="&lt;01","",70%)</f>
        <v/>
      </c>
      <c r="AZ127" s="91" t="n">
        <f aca="false">IF($C127="&lt;01",ROUND(INDEX(EID!$R:$R,MATCH($B127,EID!$B:$B,0))/2,0),ROUND(SUM($O127)+(SUM($AV127)*$AY127),0))</f>
        <v>0</v>
      </c>
      <c r="BA127" s="87" t="str">
        <f aca="false">IF($C127="&lt;01","",95%)</f>
        <v/>
      </c>
      <c r="BB127" s="5" t="n">
        <f aca="false">IF($C127="&lt;01",ROUND(INDEX(EID!$T:$T,MATCH($B127,EID!$B:$B,0))/2,0),ROUND($AZ127*$BA127,0))</f>
        <v>0</v>
      </c>
      <c r="BC127" s="91" t="n">
        <f aca="false">IF(LEFT($B127,4)="_Mil","",IF(SUM($BB127)=0,SUM($AD127),IF(OR(SUM($AP127)=0,SUM($AQ127)=0),MAX($BB127,$AD127),ROUND($BB127*$AQ127/$AP127,0))))</f>
        <v>0</v>
      </c>
      <c r="BD127" s="88" t="str">
        <f aca="false">IF($C127="&lt;01","",95%)</f>
        <v/>
      </c>
      <c r="BE127" s="39" t="n">
        <f aca="false">IF($C127="&lt;01",ROUND(INDEX(EID!$V:$V,MATCH($B127,EID!$B:$B,0))/2,0),ROUND($BD127*$BB127,0))</f>
        <v>0</v>
      </c>
      <c r="BF127" s="39" t="n">
        <f aca="false">IF(LEFT($B127,4)="_Mil","",IF(SUM($BE127)=0,SUM($AF127),IF(OR(SUM($AP127)=0,SUM($AQ127)=0),MAX($BE127,$AF127),ROUND($BE127*$AQ127/$AP127,0))))</f>
        <v>0</v>
      </c>
      <c r="BG127" s="114" t="str">
        <f aca="false">IF($C127="&lt;01","",95%)</f>
        <v/>
      </c>
      <c r="BH127" s="5" t="n">
        <f aca="false">IF($C127="&lt;01",ROUND(INDEX(EID!$L:$L,MATCH($B127,EID!$B:$B,0)),0)/2,IF(SUM($BG127)=0,"",ROUND($AX127/$BG127,0)))</f>
        <v>0</v>
      </c>
    </row>
    <row r="128" customFormat="false" ht="15" hidden="false" customHeight="false" outlineLevel="0" collapsed="false">
      <c r="A128" s="0" t="str">
        <f aca="false">INDEX(Prioritization!$D:$D,MATCH($B128,Prioritization!$A:$A,0))</f>
        <v>INVALID</v>
      </c>
      <c r="B128" s="0" t="s">
        <v>202</v>
      </c>
      <c r="C128" s="0" t="s">
        <v>316</v>
      </c>
      <c r="D128" s="0" t="s">
        <v>48</v>
      </c>
      <c r="E128" s="0" t="str">
        <f aca="false">$B128&amp;"|"&amp;$C128&amp;"|"&amp;$D128</f>
        <v>Ntchisi District [fiRkU6gEjLz]|&lt;01|Male</v>
      </c>
      <c r="F128" s="10"/>
      <c r="G128" s="10" t="n">
        <v>1</v>
      </c>
      <c r="H128" s="10" t="n">
        <v>0</v>
      </c>
      <c r="I128" s="10" t="n">
        <v>1</v>
      </c>
      <c r="J128" s="10" t="n">
        <v>1</v>
      </c>
      <c r="K128" s="10" t="n">
        <v>0</v>
      </c>
      <c r="L128" s="10"/>
      <c r="M128" s="10" t="n">
        <v>0</v>
      </c>
      <c r="N128" s="10" t="n">
        <v>1</v>
      </c>
      <c r="O128" s="10" t="n">
        <f aca="false">IFERROR(1/(1/MAX($I128,$N128)),"")</f>
        <v>1</v>
      </c>
      <c r="P128" s="10" t="n">
        <v>1</v>
      </c>
      <c r="Q128" s="10" t="n">
        <v>1</v>
      </c>
      <c r="R128" s="10" t="n">
        <f aca="false">IF(AND(SUM($I128)=0,SUM($O128)=0),"",SUM($O128)-$I128)</f>
        <v>0</v>
      </c>
      <c r="S128" s="10" t="n">
        <f aca="false">IF(LEFT($B128,4)="_Mil","",_xlfn.IFNA(ROUND(INDEX(Spectrum!$N:$N,MATCH(RIGHT($B128,13)&amp;"|"&amp;$C128&amp;"|"&amp;$D128&amp;"|"&amp;S$14&amp;"|"&amp;"CY2022Q4",Spectrum!$R:$R,0)),0),""))</f>
        <v>1359</v>
      </c>
      <c r="T128" s="39" t="n">
        <f aca="false">IF(LEFT($B128,4)="_Mil","",_xlfn.IFNA(ROUND(INDEX(Spectrum!$N:$N,MATCH(RIGHT($B128,13)&amp;"|"&amp;$C128&amp;"|"&amp;$D128&amp;"|"&amp;T$14&amp;"|"&amp;"CY2023Q3",Spectrum!$R:$R,0)),0),""))</f>
        <v>1790</v>
      </c>
      <c r="U128" s="39" t="str">
        <f aca="false">IF(LEFT($B128,4)="_Mil","",_xlfn.IFNA(ROUND(INDEX(Spectrum!$N:$N,MATCH(RIGHT($B128,13)&amp;"|"&amp;$C128&amp;"|"&amp;$D128&amp;"|"&amp;U$14&amp;"|"&amp;"CY2023Q3",Spectrum!$R:$R,0)),0),""))</f>
        <v/>
      </c>
      <c r="V128" s="10" t="n">
        <f aca="false">IF(LEFT($B128,4)="_Mil","",_xlfn.IFNA(ROUND(INDEX(Spectrum!$N:$N,MATCH(RIGHT($B128,13)&amp;"|"&amp;$C128&amp;"|"&amp;$D128&amp;"|"&amp;V$14&amp;"|"&amp;"CY2023Q3",Spectrum!$R:$R,0)),0),""))</f>
        <v>1252</v>
      </c>
      <c r="W128" s="113" t="n">
        <f aca="false">IF(LEFT($B128,4)="_Mil","",_xlfn.IFNA(INDEX(Spectrum!$N:$N,MATCH(RIGHT($B128,13)&amp;"|"&amp;$C128&amp;"|"&amp;$D128&amp;"|"&amp;W$14&amp;"|"&amp;"CY2023Q3",Spectrum!$R:$R,0)),""))</f>
        <v>1037</v>
      </c>
      <c r="X128" s="39" t="n">
        <f aca="false">IF(LEFT($B128,4)="_Mil","",_xlfn.IFNA(ROUND(INDEX(Spectrum!$N:$N,MATCH(RIGHT($B128,13)&amp;"|"&amp;$C128&amp;"|"&amp;$D128&amp;"|"&amp;X$14&amp;"|"&amp;"CY2023Q3",Spectrum!$R:$R,0)),0),""))</f>
        <v>1021</v>
      </c>
      <c r="Y128" s="88" t="str">
        <f aca="false">IF(OR(SUM($U128)=0,LEFT($B128,4)="_Mil"),"",SUM($X128)/$U128)</f>
        <v/>
      </c>
      <c r="Z128" s="39" t="n">
        <f aca="false">IF(LEFT($B128,4)="_Mil","",_xlfn.IFNA(ROUND(INDEX(Spectrum!$N:$N,MATCH(RIGHT($B128,13)&amp;"|"&amp;$C128&amp;"|"&amp;$D128&amp;"|"&amp;Z$14&amp;"|"&amp;"CY2023Q3",Spectrum!$R:$R,0)),0),""))</f>
        <v>1065</v>
      </c>
      <c r="AA128" s="88" t="n">
        <f aca="false">IF(LEFT($B128,4)="_Mil","",IFERROR(1/(1/INDEX(Spectrum!$N:$N,MATCH(RIGHT($B128,13)&amp;"|"&amp;$C128&amp;"|"&amp;$D128&amp;"|"&amp;AA$14&amp;"|"&amp;"CY2023Q3",Spectrum!$R:$R,0))),IF(SUM($U128)=0,"",SUM($Z128)/$U128)))</f>
        <v>1616</v>
      </c>
      <c r="AB128" s="88" t="n">
        <f aca="false">IF(OR(LEFT($B128,4)="_Mil",SUM($X128)=0),"",SUM($Z128)/$X128)</f>
        <v>1.04309500489716</v>
      </c>
      <c r="AC128" s="10" t="n">
        <f aca="false">IF(LEFT($B128,4)="_Mil","",_xlfn.IFNA(ROUND(INDEX(Spectrum!$N:$N,MATCH(RIGHT($B128,13)&amp;"|"&amp;$C128&amp;"|"&amp;$D128&amp;"|"&amp;AC$14&amp;"|"&amp;"CY2023Q3",Spectrum!$R:$R,0)),0),""))</f>
        <v>1373</v>
      </c>
      <c r="AD128" s="10" t="str">
        <f aca="false">IF(LEFT($B128,4)="_Mil","",_xlfn.IFNA(ROUND(INDEX(Spectrum!$N:$N,MATCH(RIGHT($B128,13)&amp;"|"&amp;$C128&amp;"|"&amp;$D128&amp;"|"&amp;AD$14&amp;"|"&amp;"CY2023Q3",Spectrum!$R:$R,0)),0),""))</f>
        <v/>
      </c>
      <c r="AE128" s="88" t="n">
        <f aca="false">IF(OR(LEFT($B128,4)="_Mil",SUM($Z128)=0),"",SUM($AD128)/$Z128)</f>
        <v>0</v>
      </c>
      <c r="AF128" s="39" t="str">
        <f aca="false">IF(LEFT($B128,4)="_Mil","",_xlfn.IFNA(ROUND(INDEX(Spectrum!$N:$N,MATCH(RIGHT($B128,13)&amp;"|"&amp;$C128&amp;"|"&amp;$D128&amp;"|"&amp;AF$14&amp;"|"&amp;"CY2023Q3",Spectrum!$R:$R,0)),0),""))</f>
        <v/>
      </c>
      <c r="AG128" s="88" t="str">
        <f aca="false">IF(OR(LEFT($B128,4)="_Mil",SUM($AD128)=0),"",SUM($AF128)/$AD128)</f>
        <v/>
      </c>
      <c r="AH128" s="86" t="str">
        <f aca="false">IF(LEFT($B128,4)="_Mil","",_xlfn.IFNA(INDEX(Spectrum!$N:$N,MATCH(RIGHT($B128,13)&amp;"|"&amp;$C128&amp;"|"&amp;$D128&amp;"|"&amp;AH$14&amp;"|"&amp;"CY2023Q3",Spectrum!$R:$R,0)),""))</f>
        <v/>
      </c>
      <c r="AI128" s="10" t="str">
        <f aca="false">IF(LEFT($B128,4)="_Mil","",_xlfn.IFNA(ROUND(INDEX(Spectrum!$N:$N,MATCH(RIGHT($B128,13)&amp;"|"&amp;$C128&amp;"|"&amp;$D128&amp;"|"&amp;AI$14&amp;"|"&amp;"CY2023Q3",Spectrum!$R:$R,0)),0),""))</f>
        <v/>
      </c>
      <c r="AJ128" s="39" t="n">
        <f aca="false">IF(LEFT($B128,4)="_Mil","",_xlfn.IFNA(ROUND(INDEX(Spectrum!$N:$N,MATCH(RIGHT($B128,13)&amp;"|"&amp;$C128&amp;"|"&amp;$D128&amp;"|"&amp;AI$14&amp;"|"&amp;"CY2023Q3",Spectrum!$R:$R,0)),0),SUM($U128)+SUM($AI128)))</f>
        <v>0</v>
      </c>
      <c r="AK128" s="10" t="str">
        <f aca="false">IF(LEFT($B128,4)="_Mil","",_xlfn.IFNA(ROUND(INDEX(Spectrum!$N:$N,MATCH(RIGHT($B128,13)&amp;"|"&amp;$C128&amp;"|"&amp;$D128&amp;"|"&amp;AK$14&amp;"|"&amp;"CY2023Q3",Spectrum!$R:$R,0)),0),""))</f>
        <v/>
      </c>
      <c r="AL128" s="88" t="str">
        <f aca="false">IF(OR(LEFT($B128,4)="_Mil",$C128="&lt;01"),"",MAX(SUM($AA128),90%))</f>
        <v/>
      </c>
      <c r="AM128" s="10" t="str">
        <f aca="false">IF(OR(LEFT($B128,4)="_Mil",$C128="&lt;01"),"",ROUND(SUM($AJ128)*SUM($AL128),0))</f>
        <v/>
      </c>
      <c r="AN128" s="10" t="n">
        <f aca="false">IF($C128="&lt;01",ROUND(INDEX(EID!$P:$P,MATCH($B128,EID!$B:$B,0))/2,0),"")</f>
        <v>0</v>
      </c>
      <c r="AO128" s="10" t="n">
        <f aca="false">IF($C128="&lt;01",SUM($AN128),ROUND(SUM($AM128)*SUM($O128)/IF(SUM($Z128)=0,1,$Z128),0))</f>
        <v>0</v>
      </c>
      <c r="AP128" s="39" t="n">
        <f aca="false">IF(OR($F128="",$C128="&lt;01"),$AO128,$F128)</f>
        <v>0</v>
      </c>
      <c r="AQ128" s="39" t="n">
        <f aca="false">IF(LEFT($B128,4)="_Mil","",IF(SUM($AP128)=0,SUM($Z128),IF(OR(SUM($Z128)=0,SUM($O128)=0),MAX($AP128,$Z128),$AP128*$Z128/$O128)))</f>
        <v>1065</v>
      </c>
      <c r="AR128" s="88" t="str">
        <f aca="false">IF(OR(LEFT($B128,4)="_Mil",SUM($AJ128)=0),"",SUM($AQ128)/$AJ128)</f>
        <v/>
      </c>
      <c r="AS128" s="88" t="str">
        <f aca="false">IF($C128="&lt;01","",98%)</f>
        <v/>
      </c>
      <c r="AT128" s="88" t="str">
        <f aca="false">IF($C128="&lt;01","",98%)</f>
        <v/>
      </c>
      <c r="AU128" s="10" t="str">
        <f aca="false">IF($C128="&lt;01","",SUM($AP128)-SUM($O128))</f>
        <v/>
      </c>
      <c r="AV128" s="10" t="n">
        <f aca="false">IF($C128="&lt;01",ROUND(INDEX(EID!$N:$N,MATCH($B128,EID!$B:$B,0))/2,0),IF(SUM($AT128)=0,"",ROUND((SUM($AP128)-(SUM($O128)*SUM($AS128)))/$AT128,0)))</f>
        <v>0</v>
      </c>
      <c r="AW128" s="88" t="str">
        <f aca="false">IF($C128="&lt;01","",100%)</f>
        <v/>
      </c>
      <c r="AX128" s="39" t="n">
        <f aca="false">IF($C128="&lt;01",SUM($AV128),ROUND(SUM($AV128)*SUM($AW128),0))</f>
        <v>0</v>
      </c>
      <c r="AY128" s="114" t="str">
        <f aca="false">IF($C128="&lt;01","",70%)</f>
        <v/>
      </c>
      <c r="AZ128" s="91" t="n">
        <f aca="false">IF($C128="&lt;01",ROUND(INDEX(EID!$R:$R,MATCH($B128,EID!$B:$B,0))/2,0),ROUND(SUM($O128)+(SUM($AV128)*$AY128),0))</f>
        <v>0</v>
      </c>
      <c r="BA128" s="87" t="str">
        <f aca="false">IF($C128="&lt;01","",95%)</f>
        <v/>
      </c>
      <c r="BB128" s="5" t="n">
        <f aca="false">IF($C128="&lt;01",ROUND(INDEX(EID!$T:$T,MATCH($B128,EID!$B:$B,0))/2,0),ROUND($AZ128*$BA128,0))</f>
        <v>0</v>
      </c>
      <c r="BC128" s="91" t="n">
        <f aca="false">IF(LEFT($B128,4)="_Mil","",IF(SUM($BB128)=0,SUM($AD128),IF(OR(SUM($AP128)=0,SUM($AQ128)=0),MAX($BB128,$AD128),ROUND($BB128*$AQ128/$AP128,0))))</f>
        <v>0</v>
      </c>
      <c r="BD128" s="88" t="str">
        <f aca="false">IF($C128="&lt;01","",95%)</f>
        <v/>
      </c>
      <c r="BE128" s="39" t="n">
        <f aca="false">IF($C128="&lt;01",ROUND(INDEX(EID!$V:$V,MATCH($B128,EID!$B:$B,0))/2,0),ROUND($BD128*$BB128,0))</f>
        <v>0</v>
      </c>
      <c r="BF128" s="39" t="n">
        <f aca="false">IF(LEFT($B128,4)="_Mil","",IF(SUM($BE128)=0,SUM($AF128),IF(OR(SUM($AP128)=0,SUM($AQ128)=0),MAX($BE128,$AF128),ROUND($BE128*$AQ128/$AP128,0))))</f>
        <v>0</v>
      </c>
      <c r="BG128" s="114" t="str">
        <f aca="false">IF($C128="&lt;01","",95%)</f>
        <v/>
      </c>
      <c r="BH128" s="5" t="n">
        <f aca="false">IF($C128="&lt;01",ROUND(INDEX(EID!$L:$L,MATCH($B128,EID!$B:$B,0)),0)/2,IF(SUM($BG128)=0,"",ROUND($AX128/$BG128,0)))</f>
        <v>0</v>
      </c>
    </row>
    <row r="129" customFormat="false" ht="15" hidden="false" customHeight="false" outlineLevel="0" collapsed="false">
      <c r="A129" s="0" t="str">
        <f aca="false">INDEX(Prioritization!$D:$D,MATCH($B129,Prioritization!$A:$A,0))</f>
        <v>INVALID</v>
      </c>
      <c r="B129" s="0" t="s">
        <v>202</v>
      </c>
      <c r="C129" s="0" t="s">
        <v>363</v>
      </c>
      <c r="D129" s="0" t="s">
        <v>30</v>
      </c>
      <c r="E129" s="0" t="str">
        <f aca="false">$B129&amp;"|"&amp;$C129&amp;"|"&amp;$D129</f>
        <v>Ntchisi District [fiRkU6gEjLz]|01-09|Female</v>
      </c>
      <c r="F129" s="10"/>
      <c r="G129" s="10"/>
      <c r="H129" s="10"/>
      <c r="I129" s="10"/>
      <c r="J129" s="10"/>
      <c r="K129" s="10"/>
      <c r="L129" s="10"/>
      <c r="M129" s="10"/>
      <c r="N129" s="10"/>
      <c r="O129" s="10" t="str">
        <f aca="false">IFERROR(1/(1/MAX($I129,$N129)),"")</f>
        <v/>
      </c>
      <c r="P129" s="10"/>
      <c r="Q129" s="10"/>
      <c r="R129" s="10" t="str">
        <f aca="false">IF(AND(SUM($I129)=0,SUM($O129)=0),"",SUM($O129)-$I129)</f>
        <v/>
      </c>
      <c r="S129" s="10" t="n">
        <f aca="false">IF(LEFT($B129,4)="_Mil","",_xlfn.IFNA(ROUND(INDEX(Spectrum!$N:$N,MATCH(RIGHT($B129,13)&amp;"|"&amp;$C129&amp;"|"&amp;$D129&amp;"|"&amp;S$14&amp;"|"&amp;"CY2022Q4",Spectrum!$R:$R,0)),0),""))</f>
        <v>1526</v>
      </c>
      <c r="T129" s="39" t="n">
        <f aca="false">IF(LEFT($B129,4)="_Mil","",_xlfn.IFNA(ROUND(INDEX(Spectrum!$N:$N,MATCH(RIGHT($B129,13)&amp;"|"&amp;$C129&amp;"|"&amp;$D129&amp;"|"&amp;T$14&amp;"|"&amp;"CY2023Q3",Spectrum!$R:$R,0)),0),""))</f>
        <v>1253</v>
      </c>
      <c r="U129" s="39" t="str">
        <f aca="false">IF(LEFT($B129,4)="_Mil","",_xlfn.IFNA(ROUND(INDEX(Spectrum!$N:$N,MATCH(RIGHT($B129,13)&amp;"|"&amp;$C129&amp;"|"&amp;$D129&amp;"|"&amp;U$14&amp;"|"&amp;"CY2023Q3",Spectrum!$R:$R,0)),0),""))</f>
        <v/>
      </c>
      <c r="V129" s="10" t="n">
        <f aca="false">IF(LEFT($B129,4)="_Mil","",_xlfn.IFNA(ROUND(INDEX(Spectrum!$N:$N,MATCH(RIGHT($B129,13)&amp;"|"&amp;$C129&amp;"|"&amp;$D129&amp;"|"&amp;V$14&amp;"|"&amp;"CY2023Q3",Spectrum!$R:$R,0)),0),""))</f>
        <v>1667</v>
      </c>
      <c r="W129" s="113" t="n">
        <f aca="false">IF(LEFT($B129,4)="_Mil","",_xlfn.IFNA(INDEX(Spectrum!$N:$N,MATCH(RIGHT($B129,13)&amp;"|"&amp;$C129&amp;"|"&amp;$D129&amp;"|"&amp;W$14&amp;"|"&amp;"CY2023Q3",Spectrum!$R:$R,0)),""))</f>
        <v>1341</v>
      </c>
      <c r="X129" s="39" t="n">
        <f aca="false">IF(LEFT($B129,4)="_Mil","",_xlfn.IFNA(ROUND(INDEX(Spectrum!$N:$N,MATCH(RIGHT($B129,13)&amp;"|"&amp;$C129&amp;"|"&amp;$D129&amp;"|"&amp;X$14&amp;"|"&amp;"CY2023Q3",Spectrum!$R:$R,0)),0),""))</f>
        <v>888</v>
      </c>
      <c r="Y129" s="88" t="str">
        <f aca="false">IF(OR(SUM($U129)=0,LEFT($B129,4)="_Mil"),"",SUM($X129)/$U129)</f>
        <v/>
      </c>
      <c r="Z129" s="39" t="n">
        <f aca="false">IF(LEFT($B129,4)="_Mil","",_xlfn.IFNA(ROUND(INDEX(Spectrum!$N:$N,MATCH(RIGHT($B129,13)&amp;"|"&amp;$C129&amp;"|"&amp;$D129&amp;"|"&amp;Z$14&amp;"|"&amp;"CY2023Q3",Spectrum!$R:$R,0)),0),""))</f>
        <v>1310</v>
      </c>
      <c r="AA129" s="88" t="n">
        <f aca="false">IF(LEFT($B129,4)="_Mil","",IFERROR(1/(1/INDEX(Spectrum!$N:$N,MATCH(RIGHT($B129,13)&amp;"|"&amp;$C129&amp;"|"&amp;$D129&amp;"|"&amp;AA$14&amp;"|"&amp;"CY2023Q3",Spectrum!$R:$R,0))),IF(SUM($U129)=0,"",SUM($Z129)/$U129)))</f>
        <v>1045</v>
      </c>
      <c r="AB129" s="88" t="n">
        <f aca="false">IF(OR(LEFT($B129,4)="_Mil",SUM($X129)=0),"",SUM($Z129)/$X129)</f>
        <v>1.47522522522523</v>
      </c>
      <c r="AC129" s="10" t="n">
        <f aca="false">IF(LEFT($B129,4)="_Mil","",_xlfn.IFNA(ROUND(INDEX(Spectrum!$N:$N,MATCH(RIGHT($B129,13)&amp;"|"&amp;$C129&amp;"|"&amp;$D129&amp;"|"&amp;AC$14&amp;"|"&amp;"CY2023Q3",Spectrum!$R:$R,0)),0),""))</f>
        <v>1946</v>
      </c>
      <c r="AD129" s="10" t="str">
        <f aca="false">IF(LEFT($B129,4)="_Mil","",_xlfn.IFNA(ROUND(INDEX(Spectrum!$N:$N,MATCH(RIGHT($B129,13)&amp;"|"&amp;$C129&amp;"|"&amp;$D129&amp;"|"&amp;AD$14&amp;"|"&amp;"CY2023Q3",Spectrum!$R:$R,0)),0),""))</f>
        <v/>
      </c>
      <c r="AE129" s="88" t="n">
        <f aca="false">IF(OR(LEFT($B129,4)="_Mil",SUM($Z129)=0),"",SUM($AD129)/$Z129)</f>
        <v>0</v>
      </c>
      <c r="AF129" s="39" t="str">
        <f aca="false">IF(LEFT($B129,4)="_Mil","",_xlfn.IFNA(ROUND(INDEX(Spectrum!$N:$N,MATCH(RIGHT($B129,13)&amp;"|"&amp;$C129&amp;"|"&amp;$D129&amp;"|"&amp;AF$14&amp;"|"&amp;"CY2023Q3",Spectrum!$R:$R,0)),0),""))</f>
        <v/>
      </c>
      <c r="AG129" s="88" t="str">
        <f aca="false">IF(OR(LEFT($B129,4)="_Mil",SUM($AD129)=0),"",SUM($AF129)/$AD129)</f>
        <v/>
      </c>
      <c r="AH129" s="86" t="str">
        <f aca="false">IF(LEFT($B129,4)="_Mil","",_xlfn.IFNA(INDEX(Spectrum!$N:$N,MATCH(RIGHT($B129,13)&amp;"|"&amp;$C129&amp;"|"&amp;$D129&amp;"|"&amp;AH$14&amp;"|"&amp;"CY2023Q3",Spectrum!$R:$R,0)),""))</f>
        <v/>
      </c>
      <c r="AI129" s="10" t="str">
        <f aca="false">IF(LEFT($B129,4)="_Mil","",_xlfn.IFNA(ROUND(INDEX(Spectrum!$N:$N,MATCH(RIGHT($B129,13)&amp;"|"&amp;$C129&amp;"|"&amp;$D129&amp;"|"&amp;AI$14&amp;"|"&amp;"CY2023Q3",Spectrum!$R:$R,0)),0),""))</f>
        <v/>
      </c>
      <c r="AJ129" s="39" t="n">
        <f aca="false">IF(LEFT($B129,4)="_Mil","",_xlfn.IFNA(ROUND(INDEX(Spectrum!$N:$N,MATCH(RIGHT($B129,13)&amp;"|"&amp;$C129&amp;"|"&amp;$D129&amp;"|"&amp;AI$14&amp;"|"&amp;"CY2023Q3",Spectrum!$R:$R,0)),0),SUM($U129)+SUM($AI129)))</f>
        <v>0</v>
      </c>
      <c r="AK129" s="10" t="str">
        <f aca="false">IF(LEFT($B129,4)="_Mil","",_xlfn.IFNA(ROUND(INDEX(Spectrum!$N:$N,MATCH(RIGHT($B129,13)&amp;"|"&amp;$C129&amp;"|"&amp;$D129&amp;"|"&amp;AK$14&amp;"|"&amp;"CY2023Q3",Spectrum!$R:$R,0)),0),""))</f>
        <v/>
      </c>
      <c r="AL129" s="88" t="n">
        <f aca="false">IF(OR(LEFT($B129,4)="_Mil",$C129="&lt;01"),"",MAX(SUM($AA129),90%))</f>
        <v>1045</v>
      </c>
      <c r="AM129" s="10" t="n">
        <f aca="false">IF(OR(LEFT($B129,4)="_Mil",$C129="&lt;01"),"",ROUND(SUM($AJ129)*SUM($AL129),0))</f>
        <v>0</v>
      </c>
      <c r="AN129" s="10" t="str">
        <f aca="false">IF($C129="&lt;01",ROUND(INDEX(EID!$P:$P,MATCH($B129,EID!$B:$B,0))/2,0),"")</f>
        <v/>
      </c>
      <c r="AO129" s="10" t="n">
        <f aca="false">IF($C129="&lt;01",SUM($AN129),ROUND(SUM($AM129)*SUM($O129)/IF(SUM($Z129)=0,1,$Z129),0))</f>
        <v>0</v>
      </c>
      <c r="AP129" s="39" t="n">
        <f aca="false">IF(OR($F129="",$C129="&lt;01"),$AO129,$F129)</f>
        <v>0</v>
      </c>
      <c r="AQ129" s="39" t="n">
        <f aca="false">IF(LEFT($B129,4)="_Mil","",IF(SUM($AP129)=0,SUM($Z129),IF(OR(SUM($Z129)=0,SUM($O129)=0),MAX($AP129,$Z129),$AP129*$Z129/$O129)))</f>
        <v>1310</v>
      </c>
      <c r="AR129" s="88" t="str">
        <f aca="false">IF(OR(LEFT($B129,4)="_Mil",SUM($AJ129)=0),"",SUM($AQ129)/$AJ129)</f>
        <v/>
      </c>
      <c r="AS129" s="88" t="n">
        <f aca="false">IF($C129="&lt;01","",98%)</f>
        <v>0.98</v>
      </c>
      <c r="AT129" s="88" t="n">
        <f aca="false">IF($C129="&lt;01","",98%)</f>
        <v>0.98</v>
      </c>
      <c r="AU129" s="10" t="n">
        <f aca="false">IF($C129="&lt;01","",SUM($AP129)-SUM($O129))</f>
        <v>0</v>
      </c>
      <c r="AV129" s="10" t="n">
        <f aca="false">IF($C129="&lt;01",ROUND(INDEX(EID!$N:$N,MATCH($B129,EID!$B:$B,0))/2,0),IF(SUM($AT129)=0,"",ROUND((SUM($AP129)-(SUM($O129)*SUM($AS129)))/$AT129,0)))</f>
        <v>0</v>
      </c>
      <c r="AW129" s="88" t="n">
        <f aca="false">IF($C129="&lt;01","",100%)</f>
        <v>1</v>
      </c>
      <c r="AX129" s="39" t="n">
        <f aca="false">IF($C129="&lt;01",SUM($AV129),ROUND(SUM($AV129)*SUM($AW129),0))</f>
        <v>0</v>
      </c>
      <c r="AY129" s="114" t="n">
        <f aca="false">IF($C129="&lt;01","",70%)</f>
        <v>0.7</v>
      </c>
      <c r="AZ129" s="91" t="n">
        <f aca="false">IF($C129="&lt;01",ROUND(INDEX(EID!$R:$R,MATCH($B129,EID!$B:$B,0))/2,0),ROUND(SUM($O129)+(SUM($AV129)*$AY129),0))</f>
        <v>0</v>
      </c>
      <c r="BA129" s="87" t="n">
        <f aca="false">IF($C129="&lt;01","",95%)</f>
        <v>0.95</v>
      </c>
      <c r="BB129" s="5" t="n">
        <f aca="false">IF($C129="&lt;01",ROUND(INDEX(EID!$T:$T,MATCH($B129,EID!$B:$B,0))/2,0),ROUND($AZ129*$BA129,0))</f>
        <v>0</v>
      </c>
      <c r="BC129" s="91" t="n">
        <f aca="false">IF(LEFT($B129,4)="_Mil","",IF(SUM($BB129)=0,SUM($AD129),IF(OR(SUM($AP129)=0,SUM($AQ129)=0),MAX($BB129,$AD129),ROUND($BB129*$AQ129/$AP129,0))))</f>
        <v>0</v>
      </c>
      <c r="BD129" s="88" t="n">
        <f aca="false">IF($C129="&lt;01","",95%)</f>
        <v>0.95</v>
      </c>
      <c r="BE129" s="39" t="n">
        <f aca="false">IF($C129="&lt;01",ROUND(INDEX(EID!$V:$V,MATCH($B129,EID!$B:$B,0))/2,0),ROUND($BD129*$BB129,0))</f>
        <v>0</v>
      </c>
      <c r="BF129" s="39" t="n">
        <f aca="false">IF(LEFT($B129,4)="_Mil","",IF(SUM($BE129)=0,SUM($AF129),IF(OR(SUM($AP129)=0,SUM($AQ129)=0),MAX($BE129,$AF129),ROUND($BE129*$AQ129/$AP129,0))))</f>
        <v>0</v>
      </c>
      <c r="BG129" s="114" t="n">
        <f aca="false">IF($C129="&lt;01","",95%)</f>
        <v>0.95</v>
      </c>
      <c r="BH129" s="5" t="n">
        <f aca="false">IF($C129="&lt;01",ROUND(INDEX(EID!$L:$L,MATCH($B129,EID!$B:$B,0)),0)/2,IF(SUM($BG129)=0,"",ROUND($AX129/$BG129,0)))</f>
        <v>0</v>
      </c>
    </row>
    <row r="130" customFormat="false" ht="15" hidden="false" customHeight="false" outlineLevel="0" collapsed="false">
      <c r="A130" s="0" t="str">
        <f aca="false">INDEX(Prioritization!$D:$D,MATCH($B130,Prioritization!$A:$A,0))</f>
        <v>INVALID</v>
      </c>
      <c r="B130" s="0" t="s">
        <v>202</v>
      </c>
      <c r="C130" s="0" t="s">
        <v>363</v>
      </c>
      <c r="D130" s="0" t="s">
        <v>48</v>
      </c>
      <c r="E130" s="0" t="str">
        <f aca="false">$B130&amp;"|"&amp;$C130&amp;"|"&amp;$D130</f>
        <v>Ntchisi District [fiRkU6gEjLz]|01-09|Male</v>
      </c>
      <c r="F130" s="10"/>
      <c r="G130" s="10"/>
      <c r="H130" s="10"/>
      <c r="I130" s="10"/>
      <c r="J130" s="10"/>
      <c r="K130" s="10"/>
      <c r="L130" s="10"/>
      <c r="M130" s="10"/>
      <c r="N130" s="10"/>
      <c r="O130" s="10" t="str">
        <f aca="false">IFERROR(1/(1/MAX($I130,$N130)),"")</f>
        <v/>
      </c>
      <c r="P130" s="10"/>
      <c r="Q130" s="10"/>
      <c r="R130" s="10" t="str">
        <f aca="false">IF(AND(SUM($I130)=0,SUM($O130)=0),"",SUM($O130)-$I130)</f>
        <v/>
      </c>
      <c r="S130" s="10" t="n">
        <f aca="false">IF(LEFT($B130,4)="_Mil","",_xlfn.IFNA(ROUND(INDEX(Spectrum!$N:$N,MATCH(RIGHT($B130,13)&amp;"|"&amp;$C130&amp;"|"&amp;$D130&amp;"|"&amp;S$14&amp;"|"&amp;"CY2022Q4",Spectrum!$R:$R,0)),0),""))</f>
        <v>568</v>
      </c>
      <c r="T130" s="39" t="n">
        <f aca="false">IF(LEFT($B130,4)="_Mil","",_xlfn.IFNA(ROUND(INDEX(Spectrum!$N:$N,MATCH(RIGHT($B130,13)&amp;"|"&amp;$C130&amp;"|"&amp;$D130&amp;"|"&amp;T$14&amp;"|"&amp;"CY2023Q3",Spectrum!$R:$R,0)),0),""))</f>
        <v>503</v>
      </c>
      <c r="U130" s="39" t="str">
        <f aca="false">IF(LEFT($B130,4)="_Mil","",_xlfn.IFNA(ROUND(INDEX(Spectrum!$N:$N,MATCH(RIGHT($B130,13)&amp;"|"&amp;$C130&amp;"|"&amp;$D130&amp;"|"&amp;U$14&amp;"|"&amp;"CY2023Q3",Spectrum!$R:$R,0)),0),""))</f>
        <v/>
      </c>
      <c r="V130" s="10" t="n">
        <f aca="false">IF(LEFT($B130,4)="_Mil","",_xlfn.IFNA(ROUND(INDEX(Spectrum!$N:$N,MATCH(RIGHT($B130,13)&amp;"|"&amp;$C130&amp;"|"&amp;$D130&amp;"|"&amp;V$14&amp;"|"&amp;"CY2023Q3",Spectrum!$R:$R,0)),0),""))</f>
        <v>1202</v>
      </c>
      <c r="W130" s="113" t="n">
        <f aca="false">IF(LEFT($B130,4)="_Mil","",_xlfn.IFNA(INDEX(Spectrum!$N:$N,MATCH(RIGHT($B130,13)&amp;"|"&amp;$C130&amp;"|"&amp;$D130&amp;"|"&amp;W$14&amp;"|"&amp;"CY2023Q3",Spectrum!$R:$R,0)),""))</f>
        <v>1001</v>
      </c>
      <c r="X130" s="39" t="n">
        <f aca="false">IF(LEFT($B130,4)="_Mil","",_xlfn.IFNA(ROUND(INDEX(Spectrum!$N:$N,MATCH(RIGHT($B130,13)&amp;"|"&amp;$C130&amp;"|"&amp;$D130&amp;"|"&amp;X$14&amp;"|"&amp;"CY2023Q3",Spectrum!$R:$R,0)),0),""))</f>
        <v>1707</v>
      </c>
      <c r="Y130" s="88" t="str">
        <f aca="false">IF(OR(SUM($U130)=0,LEFT($B130,4)="_Mil"),"",SUM($X130)/$U130)</f>
        <v/>
      </c>
      <c r="Z130" s="39" t="n">
        <f aca="false">IF(LEFT($B130,4)="_Mil","",_xlfn.IFNA(ROUND(INDEX(Spectrum!$N:$N,MATCH(RIGHT($B130,13)&amp;"|"&amp;$C130&amp;"|"&amp;$D130&amp;"|"&amp;Z$14&amp;"|"&amp;"CY2023Q3",Spectrum!$R:$R,0)),0),""))</f>
        <v>1133</v>
      </c>
      <c r="AA130" s="88" t="n">
        <f aca="false">IF(LEFT($B130,4)="_Mil","",IFERROR(1/(1/INDEX(Spectrum!$N:$N,MATCH(RIGHT($B130,13)&amp;"|"&amp;$C130&amp;"|"&amp;$D130&amp;"|"&amp;AA$14&amp;"|"&amp;"CY2023Q3",Spectrum!$R:$R,0))),IF(SUM($U130)=0,"",SUM($Z130)/$U130)))</f>
        <v>1936</v>
      </c>
      <c r="AB130" s="88" t="n">
        <f aca="false">IF(OR(LEFT($B130,4)="_Mil",SUM($X130)=0),"",SUM($Z130)/$X130)</f>
        <v>0.66373755125952</v>
      </c>
      <c r="AC130" s="10" t="n">
        <f aca="false">IF(LEFT($B130,4)="_Mil","",_xlfn.IFNA(ROUND(INDEX(Spectrum!$N:$N,MATCH(RIGHT($B130,13)&amp;"|"&amp;$C130&amp;"|"&amp;$D130&amp;"|"&amp;AC$14&amp;"|"&amp;"CY2023Q3",Spectrum!$R:$R,0)),0),""))</f>
        <v>1473</v>
      </c>
      <c r="AD130" s="10" t="str">
        <f aca="false">IF(LEFT($B130,4)="_Mil","",_xlfn.IFNA(ROUND(INDEX(Spectrum!$N:$N,MATCH(RIGHT($B130,13)&amp;"|"&amp;$C130&amp;"|"&amp;$D130&amp;"|"&amp;AD$14&amp;"|"&amp;"CY2023Q3",Spectrum!$R:$R,0)),0),""))</f>
        <v/>
      </c>
      <c r="AE130" s="88" t="n">
        <f aca="false">IF(OR(LEFT($B130,4)="_Mil",SUM($Z130)=0),"",SUM($AD130)/$Z130)</f>
        <v>0</v>
      </c>
      <c r="AF130" s="39" t="str">
        <f aca="false">IF(LEFT($B130,4)="_Mil","",_xlfn.IFNA(ROUND(INDEX(Spectrum!$N:$N,MATCH(RIGHT($B130,13)&amp;"|"&amp;$C130&amp;"|"&amp;$D130&amp;"|"&amp;AF$14&amp;"|"&amp;"CY2023Q3",Spectrum!$R:$R,0)),0),""))</f>
        <v/>
      </c>
      <c r="AG130" s="88" t="str">
        <f aca="false">IF(OR(LEFT($B130,4)="_Mil",SUM($AD130)=0),"",SUM($AF130)/$AD130)</f>
        <v/>
      </c>
      <c r="AH130" s="86" t="str">
        <f aca="false">IF(LEFT($B130,4)="_Mil","",_xlfn.IFNA(INDEX(Spectrum!$N:$N,MATCH(RIGHT($B130,13)&amp;"|"&amp;$C130&amp;"|"&amp;$D130&amp;"|"&amp;AH$14&amp;"|"&amp;"CY2023Q3",Spectrum!$R:$R,0)),""))</f>
        <v/>
      </c>
      <c r="AI130" s="10" t="str">
        <f aca="false">IF(LEFT($B130,4)="_Mil","",_xlfn.IFNA(ROUND(INDEX(Spectrum!$N:$N,MATCH(RIGHT($B130,13)&amp;"|"&amp;$C130&amp;"|"&amp;$D130&amp;"|"&amp;AI$14&amp;"|"&amp;"CY2023Q3",Spectrum!$R:$R,0)),0),""))</f>
        <v/>
      </c>
      <c r="AJ130" s="39" t="n">
        <f aca="false">IF(LEFT($B130,4)="_Mil","",_xlfn.IFNA(ROUND(INDEX(Spectrum!$N:$N,MATCH(RIGHT($B130,13)&amp;"|"&amp;$C130&amp;"|"&amp;$D130&amp;"|"&amp;AI$14&amp;"|"&amp;"CY2023Q3",Spectrum!$R:$R,0)),0),SUM($U130)+SUM($AI130)))</f>
        <v>0</v>
      </c>
      <c r="AK130" s="10" t="str">
        <f aca="false">IF(LEFT($B130,4)="_Mil","",_xlfn.IFNA(ROUND(INDEX(Spectrum!$N:$N,MATCH(RIGHT($B130,13)&amp;"|"&amp;$C130&amp;"|"&amp;$D130&amp;"|"&amp;AK$14&amp;"|"&amp;"CY2023Q3",Spectrum!$R:$R,0)),0),""))</f>
        <v/>
      </c>
      <c r="AL130" s="88" t="n">
        <f aca="false">IF(OR(LEFT($B130,4)="_Mil",$C130="&lt;01"),"",MAX(SUM($AA130),90%))</f>
        <v>1936</v>
      </c>
      <c r="AM130" s="10" t="n">
        <f aca="false">IF(OR(LEFT($B130,4)="_Mil",$C130="&lt;01"),"",ROUND(SUM($AJ130)*SUM($AL130),0))</f>
        <v>0</v>
      </c>
      <c r="AN130" s="10" t="str">
        <f aca="false">IF($C130="&lt;01",ROUND(INDEX(EID!$P:$P,MATCH($B130,EID!$B:$B,0))/2,0),"")</f>
        <v/>
      </c>
      <c r="AO130" s="10" t="n">
        <f aca="false">IF($C130="&lt;01",SUM($AN130),ROUND(SUM($AM130)*SUM($O130)/IF(SUM($Z130)=0,1,$Z130),0))</f>
        <v>0</v>
      </c>
      <c r="AP130" s="39" t="n">
        <f aca="false">IF(OR($F130="",$C130="&lt;01"),$AO130,$F130)</f>
        <v>0</v>
      </c>
      <c r="AQ130" s="39" t="n">
        <f aca="false">IF(LEFT($B130,4)="_Mil","",IF(SUM($AP130)=0,SUM($Z130),IF(OR(SUM($Z130)=0,SUM($O130)=0),MAX($AP130,$Z130),$AP130*$Z130/$O130)))</f>
        <v>1133</v>
      </c>
      <c r="AR130" s="88" t="str">
        <f aca="false">IF(OR(LEFT($B130,4)="_Mil",SUM($AJ130)=0),"",SUM($AQ130)/$AJ130)</f>
        <v/>
      </c>
      <c r="AS130" s="88" t="n">
        <f aca="false">IF($C130="&lt;01","",98%)</f>
        <v>0.98</v>
      </c>
      <c r="AT130" s="88" t="n">
        <f aca="false">IF($C130="&lt;01","",98%)</f>
        <v>0.98</v>
      </c>
      <c r="AU130" s="10" t="n">
        <f aca="false">IF($C130="&lt;01","",SUM($AP130)-SUM($O130))</f>
        <v>0</v>
      </c>
      <c r="AV130" s="10" t="n">
        <f aca="false">IF($C130="&lt;01",ROUND(INDEX(EID!$N:$N,MATCH($B130,EID!$B:$B,0))/2,0),IF(SUM($AT130)=0,"",ROUND((SUM($AP130)-(SUM($O130)*SUM($AS130)))/$AT130,0)))</f>
        <v>0</v>
      </c>
      <c r="AW130" s="88" t="n">
        <f aca="false">IF($C130="&lt;01","",100%)</f>
        <v>1</v>
      </c>
      <c r="AX130" s="39" t="n">
        <f aca="false">IF($C130="&lt;01",SUM($AV130),ROUND(SUM($AV130)*SUM($AW130),0))</f>
        <v>0</v>
      </c>
      <c r="AY130" s="114" t="n">
        <f aca="false">IF($C130="&lt;01","",70%)</f>
        <v>0.7</v>
      </c>
      <c r="AZ130" s="91" t="n">
        <f aca="false">IF($C130="&lt;01",ROUND(INDEX(EID!$R:$R,MATCH($B130,EID!$B:$B,0))/2,0),ROUND(SUM($O130)+(SUM($AV130)*$AY130),0))</f>
        <v>0</v>
      </c>
      <c r="BA130" s="87" t="n">
        <f aca="false">IF($C130="&lt;01","",95%)</f>
        <v>0.95</v>
      </c>
      <c r="BB130" s="5" t="n">
        <f aca="false">IF($C130="&lt;01",ROUND(INDEX(EID!$T:$T,MATCH($B130,EID!$B:$B,0))/2,0),ROUND($AZ130*$BA130,0))</f>
        <v>0</v>
      </c>
      <c r="BC130" s="91" t="n">
        <f aca="false">IF(LEFT($B130,4)="_Mil","",IF(SUM($BB130)=0,SUM($AD130),IF(OR(SUM($AP130)=0,SUM($AQ130)=0),MAX($BB130,$AD130),ROUND($BB130*$AQ130/$AP130,0))))</f>
        <v>0</v>
      </c>
      <c r="BD130" s="88" t="n">
        <f aca="false">IF($C130="&lt;01","",95%)</f>
        <v>0.95</v>
      </c>
      <c r="BE130" s="39" t="n">
        <f aca="false">IF($C130="&lt;01",ROUND(INDEX(EID!$V:$V,MATCH($B130,EID!$B:$B,0))/2,0),ROUND($BD130*$BB130,0))</f>
        <v>0</v>
      </c>
      <c r="BF130" s="39" t="n">
        <f aca="false">IF(LEFT($B130,4)="_Mil","",IF(SUM($BE130)=0,SUM($AF130),IF(OR(SUM($AP130)=0,SUM($AQ130)=0),MAX($BE130,$AF130),ROUND($BE130*$AQ130/$AP130,0))))</f>
        <v>0</v>
      </c>
      <c r="BG130" s="114" t="n">
        <f aca="false">IF($C130="&lt;01","",95%)</f>
        <v>0.95</v>
      </c>
      <c r="BH130" s="5" t="n">
        <f aca="false">IF($C130="&lt;01",ROUND(INDEX(EID!$L:$L,MATCH($B130,EID!$B:$B,0)),0)/2,IF(SUM($BG130)=0,"",ROUND($AX130/$BG130,0)))</f>
        <v>0</v>
      </c>
    </row>
    <row r="131" customFormat="false" ht="15" hidden="false" customHeight="false" outlineLevel="0" collapsed="false">
      <c r="A131" s="0" t="str">
        <f aca="false">INDEX(Prioritization!$D:$D,MATCH($B131,Prioritization!$A:$A,0))</f>
        <v>INVALID</v>
      </c>
      <c r="B131" s="0" t="s">
        <v>202</v>
      </c>
      <c r="C131" s="0" t="s">
        <v>364</v>
      </c>
      <c r="D131" s="0" t="s">
        <v>30</v>
      </c>
      <c r="E131" s="0" t="str">
        <f aca="false">$B131&amp;"|"&amp;$C131&amp;"|"&amp;$D131</f>
        <v>Ntchisi District [fiRkU6gEjLz]|10-14|Female</v>
      </c>
      <c r="F131" s="10"/>
      <c r="G131" s="10" t="n">
        <v>4</v>
      </c>
      <c r="H131" s="10" t="n">
        <v>0</v>
      </c>
      <c r="I131" s="10" t="n">
        <v>6</v>
      </c>
      <c r="J131" s="10" t="n">
        <v>8</v>
      </c>
      <c r="K131" s="10" t="n">
        <v>2</v>
      </c>
      <c r="L131" s="10" t="n">
        <v>1</v>
      </c>
      <c r="M131" s="10" t="n">
        <v>3</v>
      </c>
      <c r="N131" s="10" t="n">
        <v>7</v>
      </c>
      <c r="O131" s="10" t="n">
        <f aca="false">IFERROR(1/(1/MAX($I131,$N131)),"")</f>
        <v>7</v>
      </c>
      <c r="P131" s="10" t="n">
        <v>1</v>
      </c>
      <c r="Q131" s="10" t="n">
        <v>7</v>
      </c>
      <c r="R131" s="10" t="n">
        <f aca="false">IF(AND(SUM($I131)=0,SUM($O131)=0),"",SUM($O131)-$I131)</f>
        <v>1</v>
      </c>
      <c r="S131" s="10" t="n">
        <f aca="false">IF(LEFT($B131,4)="_Mil","",_xlfn.IFNA(ROUND(INDEX(Spectrum!$N:$N,MATCH(RIGHT($B131,13)&amp;"|"&amp;$C131&amp;"|"&amp;$D131&amp;"|"&amp;S$14&amp;"|"&amp;"CY2022Q4",Spectrum!$R:$R,0)),0),""))</f>
        <v>1597</v>
      </c>
      <c r="T131" s="39" t="n">
        <f aca="false">IF(LEFT($B131,4)="_Mil","",_xlfn.IFNA(ROUND(INDEX(Spectrum!$N:$N,MATCH(RIGHT($B131,13)&amp;"|"&amp;$C131&amp;"|"&amp;$D131&amp;"|"&amp;T$14&amp;"|"&amp;"CY2023Q3",Spectrum!$R:$R,0)),0),""))</f>
        <v>610</v>
      </c>
      <c r="U131" s="39" t="str">
        <f aca="false">IF(LEFT($B131,4)="_Mil","",_xlfn.IFNA(ROUND(INDEX(Spectrum!$N:$N,MATCH(RIGHT($B131,13)&amp;"|"&amp;$C131&amp;"|"&amp;$D131&amp;"|"&amp;U$14&amp;"|"&amp;"CY2023Q3",Spectrum!$R:$R,0)),0),""))</f>
        <v/>
      </c>
      <c r="V131" s="10" t="n">
        <f aca="false">IF(LEFT($B131,4)="_Mil","",_xlfn.IFNA(ROUND(INDEX(Spectrum!$N:$N,MATCH(RIGHT($B131,13)&amp;"|"&amp;$C131&amp;"|"&amp;$D131&amp;"|"&amp;V$14&amp;"|"&amp;"CY2023Q3",Spectrum!$R:$R,0)),0),""))</f>
        <v>1991</v>
      </c>
      <c r="W131" s="113" t="n">
        <f aca="false">IF(LEFT($B131,4)="_Mil","",_xlfn.IFNA(INDEX(Spectrum!$N:$N,MATCH(RIGHT($B131,13)&amp;"|"&amp;$C131&amp;"|"&amp;$D131&amp;"|"&amp;W$14&amp;"|"&amp;"CY2023Q3",Spectrum!$R:$R,0)),""))</f>
        <v>1056</v>
      </c>
      <c r="X131" s="39" t="n">
        <f aca="false">IF(LEFT($B131,4)="_Mil","",_xlfn.IFNA(ROUND(INDEX(Spectrum!$N:$N,MATCH(RIGHT($B131,13)&amp;"|"&amp;$C131&amp;"|"&amp;$D131&amp;"|"&amp;X$14&amp;"|"&amp;"CY2023Q3",Spectrum!$R:$R,0)),0),""))</f>
        <v>1372</v>
      </c>
      <c r="Y131" s="88" t="str">
        <f aca="false">IF(OR(SUM($U131)=0,LEFT($B131,4)="_Mil"),"",SUM($X131)/$U131)</f>
        <v/>
      </c>
      <c r="Z131" s="39" t="n">
        <f aca="false">IF(LEFT($B131,4)="_Mil","",_xlfn.IFNA(ROUND(INDEX(Spectrum!$N:$N,MATCH(RIGHT($B131,13)&amp;"|"&amp;$C131&amp;"|"&amp;$D131&amp;"|"&amp;Z$14&amp;"|"&amp;"CY2023Q3",Spectrum!$R:$R,0)),0),""))</f>
        <v>574</v>
      </c>
      <c r="AA131" s="88" t="n">
        <f aca="false">IF(LEFT($B131,4)="_Mil","",IFERROR(1/(1/INDEX(Spectrum!$N:$N,MATCH(RIGHT($B131,13)&amp;"|"&amp;$C131&amp;"|"&amp;$D131&amp;"|"&amp;AA$14&amp;"|"&amp;"CY2023Q3",Spectrum!$R:$R,0))),IF(SUM($U131)=0,"",SUM($Z131)/$U131)))</f>
        <v>1332</v>
      </c>
      <c r="AB131" s="88" t="n">
        <f aca="false">IF(OR(LEFT($B131,4)="_Mil",SUM($X131)=0),"",SUM($Z131)/$X131)</f>
        <v>0.418367346938776</v>
      </c>
      <c r="AC131" s="10" t="n">
        <f aca="false">IF(LEFT($B131,4)="_Mil","",_xlfn.IFNA(ROUND(INDEX(Spectrum!$N:$N,MATCH(RIGHT($B131,13)&amp;"|"&amp;$C131&amp;"|"&amp;$D131&amp;"|"&amp;AC$14&amp;"|"&amp;"CY2023Q3",Spectrum!$R:$R,0)),0),""))</f>
        <v>960</v>
      </c>
      <c r="AD131" s="10" t="str">
        <f aca="false">IF(LEFT($B131,4)="_Mil","",_xlfn.IFNA(ROUND(INDEX(Spectrum!$N:$N,MATCH(RIGHT($B131,13)&amp;"|"&amp;$C131&amp;"|"&amp;$D131&amp;"|"&amp;AD$14&amp;"|"&amp;"CY2023Q3",Spectrum!$R:$R,0)),0),""))</f>
        <v/>
      </c>
      <c r="AE131" s="88" t="n">
        <f aca="false">IF(OR(LEFT($B131,4)="_Mil",SUM($Z131)=0),"",SUM($AD131)/$Z131)</f>
        <v>0</v>
      </c>
      <c r="AF131" s="39" t="str">
        <f aca="false">IF(LEFT($B131,4)="_Mil","",_xlfn.IFNA(ROUND(INDEX(Spectrum!$N:$N,MATCH(RIGHT($B131,13)&amp;"|"&amp;$C131&amp;"|"&amp;$D131&amp;"|"&amp;AF$14&amp;"|"&amp;"CY2023Q3",Spectrum!$R:$R,0)),0),""))</f>
        <v/>
      </c>
      <c r="AG131" s="88" t="str">
        <f aca="false">IF(OR(LEFT($B131,4)="_Mil",SUM($AD131)=0),"",SUM($AF131)/$AD131)</f>
        <v/>
      </c>
      <c r="AH131" s="86" t="str">
        <f aca="false">IF(LEFT($B131,4)="_Mil","",_xlfn.IFNA(INDEX(Spectrum!$N:$N,MATCH(RIGHT($B131,13)&amp;"|"&amp;$C131&amp;"|"&amp;$D131&amp;"|"&amp;AH$14&amp;"|"&amp;"CY2023Q3",Spectrum!$R:$R,0)),""))</f>
        <v/>
      </c>
      <c r="AI131" s="10" t="str">
        <f aca="false">IF(LEFT($B131,4)="_Mil","",_xlfn.IFNA(ROUND(INDEX(Spectrum!$N:$N,MATCH(RIGHT($B131,13)&amp;"|"&amp;$C131&amp;"|"&amp;$D131&amp;"|"&amp;AI$14&amp;"|"&amp;"CY2023Q3",Spectrum!$R:$R,0)),0),""))</f>
        <v/>
      </c>
      <c r="AJ131" s="39" t="n">
        <f aca="false">IF(LEFT($B131,4)="_Mil","",_xlfn.IFNA(ROUND(INDEX(Spectrum!$N:$N,MATCH(RIGHT($B131,13)&amp;"|"&amp;$C131&amp;"|"&amp;$D131&amp;"|"&amp;AI$14&amp;"|"&amp;"CY2023Q3",Spectrum!$R:$R,0)),0),SUM($U131)+SUM($AI131)))</f>
        <v>0</v>
      </c>
      <c r="AK131" s="10" t="str">
        <f aca="false">IF(LEFT($B131,4)="_Mil","",_xlfn.IFNA(ROUND(INDEX(Spectrum!$N:$N,MATCH(RIGHT($B131,13)&amp;"|"&amp;$C131&amp;"|"&amp;$D131&amp;"|"&amp;AK$14&amp;"|"&amp;"CY2023Q3",Spectrum!$R:$R,0)),0),""))</f>
        <v/>
      </c>
      <c r="AL131" s="88" t="n">
        <f aca="false">IF(OR(LEFT($B131,4)="_Mil",$C131="&lt;01"),"",MAX(SUM($AA131),90%))</f>
        <v>1332</v>
      </c>
      <c r="AM131" s="10" t="n">
        <f aca="false">IF(OR(LEFT($B131,4)="_Mil",$C131="&lt;01"),"",ROUND(SUM($AJ131)*SUM($AL131),0))</f>
        <v>0</v>
      </c>
      <c r="AN131" s="10" t="str">
        <f aca="false">IF($C131="&lt;01",ROUND(INDEX(EID!$P:$P,MATCH($B131,EID!$B:$B,0))/2,0),"")</f>
        <v/>
      </c>
      <c r="AO131" s="10" t="n">
        <f aca="false">IF($C131="&lt;01",SUM($AN131),ROUND(SUM($AM131)*SUM($O131)/IF(SUM($Z131)=0,1,$Z131),0))</f>
        <v>0</v>
      </c>
      <c r="AP131" s="39" t="n">
        <f aca="false">IF(OR($F131="",$C131="&lt;01"),$AO131,$F131)</f>
        <v>0</v>
      </c>
      <c r="AQ131" s="39" t="n">
        <f aca="false">IF(LEFT($B131,4)="_Mil","",IF(SUM($AP131)=0,SUM($Z131),IF(OR(SUM($Z131)=0,SUM($O131)=0),MAX($AP131,$Z131),$AP131*$Z131/$O131)))</f>
        <v>574</v>
      </c>
      <c r="AR131" s="88" t="str">
        <f aca="false">IF(OR(LEFT($B131,4)="_Mil",SUM($AJ131)=0),"",SUM($AQ131)/$AJ131)</f>
        <v/>
      </c>
      <c r="AS131" s="88" t="n">
        <f aca="false">IF($C131="&lt;01","",98%)</f>
        <v>0.98</v>
      </c>
      <c r="AT131" s="88" t="n">
        <f aca="false">IF($C131="&lt;01","",98%)</f>
        <v>0.98</v>
      </c>
      <c r="AU131" s="10" t="n">
        <f aca="false">IF($C131="&lt;01","",SUM($AP131)-SUM($O131))</f>
        <v>-7</v>
      </c>
      <c r="AV131" s="10" t="n">
        <f aca="false">IF($C131="&lt;01",ROUND(INDEX(EID!$N:$N,MATCH($B131,EID!$B:$B,0))/2,0),IF(SUM($AT131)=0,"",ROUND((SUM($AP131)-(SUM($O131)*SUM($AS131)))/$AT131,0)))</f>
        <v>-7</v>
      </c>
      <c r="AW131" s="88" t="n">
        <f aca="false">IF($C131="&lt;01","",100%)</f>
        <v>1</v>
      </c>
      <c r="AX131" s="39" t="n">
        <f aca="false">IF($C131="&lt;01",SUM($AV131),ROUND(SUM($AV131)*SUM($AW131),0))</f>
        <v>-7</v>
      </c>
      <c r="AY131" s="114" t="n">
        <f aca="false">IF($C131="&lt;01","",70%)</f>
        <v>0.7</v>
      </c>
      <c r="AZ131" s="91" t="n">
        <f aca="false">IF($C131="&lt;01",ROUND(INDEX(EID!$R:$R,MATCH($B131,EID!$B:$B,0))/2,0),ROUND(SUM($O131)+(SUM($AV131)*$AY131),0))</f>
        <v>2</v>
      </c>
      <c r="BA131" s="87" t="n">
        <f aca="false">IF($C131="&lt;01","",95%)</f>
        <v>0.95</v>
      </c>
      <c r="BB131" s="5" t="n">
        <f aca="false">IF($C131="&lt;01",ROUND(INDEX(EID!$T:$T,MATCH($B131,EID!$B:$B,0))/2,0),ROUND($AZ131*$BA131,0))</f>
        <v>2</v>
      </c>
      <c r="BC131" s="91" t="n">
        <f aca="false">IF(LEFT($B131,4)="_Mil","",IF(SUM($BB131)=0,SUM($AD131),IF(OR(SUM($AP131)=0,SUM($AQ131)=0),MAX($BB131,$AD131),ROUND($BB131*$AQ131/$AP131,0))))</f>
        <v>2</v>
      </c>
      <c r="BD131" s="88" t="n">
        <f aca="false">IF($C131="&lt;01","",95%)</f>
        <v>0.95</v>
      </c>
      <c r="BE131" s="39" t="n">
        <f aca="false">IF($C131="&lt;01",ROUND(INDEX(EID!$V:$V,MATCH($B131,EID!$B:$B,0))/2,0),ROUND($BD131*$BB131,0))</f>
        <v>2</v>
      </c>
      <c r="BF131" s="39" t="n">
        <f aca="false">IF(LEFT($B131,4)="_Mil","",IF(SUM($BE131)=0,SUM($AF131),IF(OR(SUM($AP131)=0,SUM($AQ131)=0),MAX($BE131,$AF131),ROUND($BE131*$AQ131/$AP131,0))))</f>
        <v>2</v>
      </c>
      <c r="BG131" s="114" t="n">
        <f aca="false">IF($C131="&lt;01","",95%)</f>
        <v>0.95</v>
      </c>
      <c r="BH131" s="5" t="n">
        <f aca="false">IF($C131="&lt;01",ROUND(INDEX(EID!$L:$L,MATCH($B131,EID!$B:$B,0)),0)/2,IF(SUM($BG131)=0,"",ROUND($AX131/$BG131,0)))</f>
        <v>-7</v>
      </c>
    </row>
    <row r="132" customFormat="false" ht="15" hidden="false" customHeight="false" outlineLevel="0" collapsed="false">
      <c r="A132" s="0" t="str">
        <f aca="false">INDEX(Prioritization!$D:$D,MATCH($B132,Prioritization!$A:$A,0))</f>
        <v>INVALID</v>
      </c>
      <c r="B132" s="0" t="s">
        <v>202</v>
      </c>
      <c r="C132" s="0" t="s">
        <v>364</v>
      </c>
      <c r="D132" s="0" t="s">
        <v>48</v>
      </c>
      <c r="E132" s="0" t="str">
        <f aca="false">$B132&amp;"|"&amp;$C132&amp;"|"&amp;$D132</f>
        <v>Ntchisi District [fiRkU6gEjLz]|10-14|Male</v>
      </c>
      <c r="F132" s="10"/>
      <c r="G132" s="10" t="n">
        <v>7</v>
      </c>
      <c r="H132" s="10" t="n">
        <v>1</v>
      </c>
      <c r="I132" s="10" t="n">
        <v>10</v>
      </c>
      <c r="J132" s="10" t="n">
        <v>5</v>
      </c>
      <c r="K132" s="10" t="n">
        <v>8</v>
      </c>
      <c r="L132" s="10" t="n">
        <v>3</v>
      </c>
      <c r="M132" s="10" t="n">
        <v>7</v>
      </c>
      <c r="N132" s="10" t="n">
        <v>5</v>
      </c>
      <c r="O132" s="10" t="n">
        <f aca="false">IFERROR(1/(1/MAX($I132,$N132)),"")</f>
        <v>10</v>
      </c>
      <c r="P132" s="10" t="n">
        <v>3</v>
      </c>
      <c r="Q132" s="10" t="n">
        <v>4</v>
      </c>
      <c r="R132" s="10" t="n">
        <f aca="false">IF(AND(SUM($I132)=0,SUM($O132)=0),"",SUM($O132)-$I132)</f>
        <v>0</v>
      </c>
      <c r="S132" s="10" t="n">
        <f aca="false">IF(LEFT($B132,4)="_Mil","",_xlfn.IFNA(ROUND(INDEX(Spectrum!$N:$N,MATCH(RIGHT($B132,13)&amp;"|"&amp;$C132&amp;"|"&amp;$D132&amp;"|"&amp;S$14&amp;"|"&amp;"CY2022Q4",Spectrum!$R:$R,0)),0),""))</f>
        <v>1190</v>
      </c>
      <c r="T132" s="39" t="n">
        <f aca="false">IF(LEFT($B132,4)="_Mil","",_xlfn.IFNA(ROUND(INDEX(Spectrum!$N:$N,MATCH(RIGHT($B132,13)&amp;"|"&amp;$C132&amp;"|"&amp;$D132&amp;"|"&amp;T$14&amp;"|"&amp;"CY2023Q3",Spectrum!$R:$R,0)),0),""))</f>
        <v>1127</v>
      </c>
      <c r="U132" s="39" t="str">
        <f aca="false">IF(LEFT($B132,4)="_Mil","",_xlfn.IFNA(ROUND(INDEX(Spectrum!$N:$N,MATCH(RIGHT($B132,13)&amp;"|"&amp;$C132&amp;"|"&amp;$D132&amp;"|"&amp;U$14&amp;"|"&amp;"CY2023Q3",Spectrum!$R:$R,0)),0),""))</f>
        <v/>
      </c>
      <c r="V132" s="10" t="n">
        <f aca="false">IF(LEFT($B132,4)="_Mil","",_xlfn.IFNA(ROUND(INDEX(Spectrum!$N:$N,MATCH(RIGHT($B132,13)&amp;"|"&amp;$C132&amp;"|"&amp;$D132&amp;"|"&amp;V$14&amp;"|"&amp;"CY2023Q3",Spectrum!$R:$R,0)),0),""))</f>
        <v>1565</v>
      </c>
      <c r="W132" s="113" t="n">
        <f aca="false">IF(LEFT($B132,4)="_Mil","",_xlfn.IFNA(INDEX(Spectrum!$N:$N,MATCH(RIGHT($B132,13)&amp;"|"&amp;$C132&amp;"|"&amp;$D132&amp;"|"&amp;W$14&amp;"|"&amp;"CY2023Q3",Spectrum!$R:$R,0)),""))</f>
        <v>1662</v>
      </c>
      <c r="X132" s="39" t="n">
        <f aca="false">IF(LEFT($B132,4)="_Mil","",_xlfn.IFNA(ROUND(INDEX(Spectrum!$N:$N,MATCH(RIGHT($B132,13)&amp;"|"&amp;$C132&amp;"|"&amp;$D132&amp;"|"&amp;X$14&amp;"|"&amp;"CY2023Q3",Spectrum!$R:$R,0)),0),""))</f>
        <v>1277</v>
      </c>
      <c r="Y132" s="88" t="str">
        <f aca="false">IF(OR(SUM($U132)=0,LEFT($B132,4)="_Mil"),"",SUM($X132)/$U132)</f>
        <v/>
      </c>
      <c r="Z132" s="39" t="n">
        <f aca="false">IF(LEFT($B132,4)="_Mil","",_xlfn.IFNA(ROUND(INDEX(Spectrum!$N:$N,MATCH(RIGHT($B132,13)&amp;"|"&amp;$C132&amp;"|"&amp;$D132&amp;"|"&amp;Z$14&amp;"|"&amp;"CY2023Q3",Spectrum!$R:$R,0)),0),""))</f>
        <v>1987</v>
      </c>
      <c r="AA132" s="88" t="n">
        <f aca="false">IF(LEFT($B132,4)="_Mil","",IFERROR(1/(1/INDEX(Spectrum!$N:$N,MATCH(RIGHT($B132,13)&amp;"|"&amp;$C132&amp;"|"&amp;$D132&amp;"|"&amp;AA$14&amp;"|"&amp;"CY2023Q3",Spectrum!$R:$R,0))),IF(SUM($U132)=0,"",SUM($Z132)/$U132)))</f>
        <v>1561</v>
      </c>
      <c r="AB132" s="88" t="n">
        <f aca="false">IF(OR(LEFT($B132,4)="_Mil",SUM($X132)=0),"",SUM($Z132)/$X132)</f>
        <v>1.55599060297572</v>
      </c>
      <c r="AC132" s="10" t="n">
        <f aca="false">IF(LEFT($B132,4)="_Mil","",_xlfn.IFNA(ROUND(INDEX(Spectrum!$N:$N,MATCH(RIGHT($B132,13)&amp;"|"&amp;$C132&amp;"|"&amp;$D132&amp;"|"&amp;AC$14&amp;"|"&amp;"CY2023Q3",Spectrum!$R:$R,0)),0),""))</f>
        <v>1947</v>
      </c>
      <c r="AD132" s="10" t="str">
        <f aca="false">IF(LEFT($B132,4)="_Mil","",_xlfn.IFNA(ROUND(INDEX(Spectrum!$N:$N,MATCH(RIGHT($B132,13)&amp;"|"&amp;$C132&amp;"|"&amp;$D132&amp;"|"&amp;AD$14&amp;"|"&amp;"CY2023Q3",Spectrum!$R:$R,0)),0),""))</f>
        <v/>
      </c>
      <c r="AE132" s="88" t="n">
        <f aca="false">IF(OR(LEFT($B132,4)="_Mil",SUM($Z132)=0),"",SUM($AD132)/$Z132)</f>
        <v>0</v>
      </c>
      <c r="AF132" s="39" t="str">
        <f aca="false">IF(LEFT($B132,4)="_Mil","",_xlfn.IFNA(ROUND(INDEX(Spectrum!$N:$N,MATCH(RIGHT($B132,13)&amp;"|"&amp;$C132&amp;"|"&amp;$D132&amp;"|"&amp;AF$14&amp;"|"&amp;"CY2023Q3",Spectrum!$R:$R,0)),0),""))</f>
        <v/>
      </c>
      <c r="AG132" s="88" t="str">
        <f aca="false">IF(OR(LEFT($B132,4)="_Mil",SUM($AD132)=0),"",SUM($AF132)/$AD132)</f>
        <v/>
      </c>
      <c r="AH132" s="86" t="str">
        <f aca="false">IF(LEFT($B132,4)="_Mil","",_xlfn.IFNA(INDEX(Spectrum!$N:$N,MATCH(RIGHT($B132,13)&amp;"|"&amp;$C132&amp;"|"&amp;$D132&amp;"|"&amp;AH$14&amp;"|"&amp;"CY2023Q3",Spectrum!$R:$R,0)),""))</f>
        <v/>
      </c>
      <c r="AI132" s="10" t="str">
        <f aca="false">IF(LEFT($B132,4)="_Mil","",_xlfn.IFNA(ROUND(INDEX(Spectrum!$N:$N,MATCH(RIGHT($B132,13)&amp;"|"&amp;$C132&amp;"|"&amp;$D132&amp;"|"&amp;AI$14&amp;"|"&amp;"CY2023Q3",Spectrum!$R:$R,0)),0),""))</f>
        <v/>
      </c>
      <c r="AJ132" s="39" t="n">
        <f aca="false">IF(LEFT($B132,4)="_Mil","",_xlfn.IFNA(ROUND(INDEX(Spectrum!$N:$N,MATCH(RIGHT($B132,13)&amp;"|"&amp;$C132&amp;"|"&amp;$D132&amp;"|"&amp;AI$14&amp;"|"&amp;"CY2023Q3",Spectrum!$R:$R,0)),0),SUM($U132)+SUM($AI132)))</f>
        <v>0</v>
      </c>
      <c r="AK132" s="10" t="str">
        <f aca="false">IF(LEFT($B132,4)="_Mil","",_xlfn.IFNA(ROUND(INDEX(Spectrum!$N:$N,MATCH(RIGHT($B132,13)&amp;"|"&amp;$C132&amp;"|"&amp;$D132&amp;"|"&amp;AK$14&amp;"|"&amp;"CY2023Q3",Spectrum!$R:$R,0)),0),""))</f>
        <v/>
      </c>
      <c r="AL132" s="88" t="n">
        <f aca="false">IF(OR(LEFT($B132,4)="_Mil",$C132="&lt;01"),"",MAX(SUM($AA132),90%))</f>
        <v>1561</v>
      </c>
      <c r="AM132" s="10" t="n">
        <f aca="false">IF(OR(LEFT($B132,4)="_Mil",$C132="&lt;01"),"",ROUND(SUM($AJ132)*SUM($AL132),0))</f>
        <v>0</v>
      </c>
      <c r="AN132" s="10" t="str">
        <f aca="false">IF($C132="&lt;01",ROUND(INDEX(EID!$P:$P,MATCH($B132,EID!$B:$B,0))/2,0),"")</f>
        <v/>
      </c>
      <c r="AO132" s="10" t="n">
        <f aca="false">IF($C132="&lt;01",SUM($AN132),ROUND(SUM($AM132)*SUM($O132)/IF(SUM($Z132)=0,1,$Z132),0))</f>
        <v>0</v>
      </c>
      <c r="AP132" s="39" t="n">
        <f aca="false">IF(OR($F132="",$C132="&lt;01"),$AO132,$F132)</f>
        <v>0</v>
      </c>
      <c r="AQ132" s="39" t="n">
        <f aca="false">IF(LEFT($B132,4)="_Mil","",IF(SUM($AP132)=0,SUM($Z132),IF(OR(SUM($Z132)=0,SUM($O132)=0),MAX($AP132,$Z132),$AP132*$Z132/$O132)))</f>
        <v>1987</v>
      </c>
      <c r="AR132" s="88" t="str">
        <f aca="false">IF(OR(LEFT($B132,4)="_Mil",SUM($AJ132)=0),"",SUM($AQ132)/$AJ132)</f>
        <v/>
      </c>
      <c r="AS132" s="88" t="n">
        <f aca="false">IF($C132="&lt;01","",98%)</f>
        <v>0.98</v>
      </c>
      <c r="AT132" s="88" t="n">
        <f aca="false">IF($C132="&lt;01","",98%)</f>
        <v>0.98</v>
      </c>
      <c r="AU132" s="10" t="n">
        <f aca="false">IF($C132="&lt;01","",SUM($AP132)-SUM($O132))</f>
        <v>-10</v>
      </c>
      <c r="AV132" s="10" t="n">
        <f aca="false">IF($C132="&lt;01",ROUND(INDEX(EID!$N:$N,MATCH($B132,EID!$B:$B,0))/2,0),IF(SUM($AT132)=0,"",ROUND((SUM($AP132)-(SUM($O132)*SUM($AS132)))/$AT132,0)))</f>
        <v>-10</v>
      </c>
      <c r="AW132" s="88" t="n">
        <f aca="false">IF($C132="&lt;01","",100%)</f>
        <v>1</v>
      </c>
      <c r="AX132" s="39" t="n">
        <f aca="false">IF($C132="&lt;01",SUM($AV132),ROUND(SUM($AV132)*SUM($AW132),0))</f>
        <v>-10</v>
      </c>
      <c r="AY132" s="114" t="n">
        <f aca="false">IF($C132="&lt;01","",70%)</f>
        <v>0.7</v>
      </c>
      <c r="AZ132" s="91" t="n">
        <f aca="false">IF($C132="&lt;01",ROUND(INDEX(EID!$R:$R,MATCH($B132,EID!$B:$B,0))/2,0),ROUND(SUM($O132)+(SUM($AV132)*$AY132),0))</f>
        <v>3</v>
      </c>
      <c r="BA132" s="87" t="n">
        <f aca="false">IF($C132="&lt;01","",95%)</f>
        <v>0.95</v>
      </c>
      <c r="BB132" s="5" t="n">
        <f aca="false">IF($C132="&lt;01",ROUND(INDEX(EID!$T:$T,MATCH($B132,EID!$B:$B,0))/2,0),ROUND($AZ132*$BA132,0))</f>
        <v>3</v>
      </c>
      <c r="BC132" s="91" t="n">
        <f aca="false">IF(LEFT($B132,4)="_Mil","",IF(SUM($BB132)=0,SUM($AD132),IF(OR(SUM($AP132)=0,SUM($AQ132)=0),MAX($BB132,$AD132),ROUND($BB132*$AQ132/$AP132,0))))</f>
        <v>3</v>
      </c>
      <c r="BD132" s="88" t="n">
        <f aca="false">IF($C132="&lt;01","",95%)</f>
        <v>0.95</v>
      </c>
      <c r="BE132" s="39" t="n">
        <f aca="false">IF($C132="&lt;01",ROUND(INDEX(EID!$V:$V,MATCH($B132,EID!$B:$B,0))/2,0),ROUND($BD132*$BB132,0))</f>
        <v>3</v>
      </c>
      <c r="BF132" s="39" t="n">
        <f aca="false">IF(LEFT($B132,4)="_Mil","",IF(SUM($BE132)=0,SUM($AF132),IF(OR(SUM($AP132)=0,SUM($AQ132)=0),MAX($BE132,$AF132),ROUND($BE132*$AQ132/$AP132,0))))</f>
        <v>3</v>
      </c>
      <c r="BG132" s="114" t="n">
        <f aca="false">IF($C132="&lt;01","",95%)</f>
        <v>0.95</v>
      </c>
      <c r="BH132" s="5" t="n">
        <f aca="false">IF($C132="&lt;01",ROUND(INDEX(EID!$L:$L,MATCH($B132,EID!$B:$B,0)),0)/2,IF(SUM($BG132)=0,"",ROUND($AX132/$BG132,0)))</f>
        <v>-11</v>
      </c>
    </row>
    <row r="133" customFormat="false" ht="15" hidden="false" customHeight="false" outlineLevel="0" collapsed="false">
      <c r="A133" s="0" t="str">
        <f aca="false">INDEX(Prioritization!$D:$D,MATCH($B133,Prioritization!$A:$A,0))</f>
        <v>INVALID</v>
      </c>
      <c r="B133" s="0" t="s">
        <v>202</v>
      </c>
      <c r="C133" s="0" t="s">
        <v>365</v>
      </c>
      <c r="D133" s="0" t="s">
        <v>30</v>
      </c>
      <c r="E133" s="0" t="str">
        <f aca="false">$B133&amp;"|"&amp;$C133&amp;"|"&amp;$D133</f>
        <v>Ntchisi District [fiRkU6gEjLz]|15-24|Female</v>
      </c>
      <c r="F133" s="10"/>
      <c r="G133" s="10"/>
      <c r="H133" s="10"/>
      <c r="I133" s="10"/>
      <c r="J133" s="10"/>
      <c r="K133" s="10"/>
      <c r="L133" s="10"/>
      <c r="M133" s="10"/>
      <c r="N133" s="10"/>
      <c r="O133" s="10" t="str">
        <f aca="false">IFERROR(1/(1/MAX($I133,$N133)),"")</f>
        <v/>
      </c>
      <c r="P133" s="10"/>
      <c r="Q133" s="10"/>
      <c r="R133" s="10" t="str">
        <f aca="false">IF(AND(SUM($I133)=0,SUM($O133)=0),"",SUM($O133)-$I133)</f>
        <v/>
      </c>
      <c r="S133" s="10" t="n">
        <f aca="false">IF(LEFT($B133,4)="_Mil","",_xlfn.IFNA(ROUND(INDEX(Spectrum!$N:$N,MATCH(RIGHT($B133,13)&amp;"|"&amp;$C133&amp;"|"&amp;$D133&amp;"|"&amp;S$14&amp;"|"&amp;"CY2022Q4",Spectrum!$R:$R,0)),0),""))</f>
        <v>897</v>
      </c>
      <c r="T133" s="39" t="n">
        <f aca="false">IF(LEFT($B133,4)="_Mil","",_xlfn.IFNA(ROUND(INDEX(Spectrum!$N:$N,MATCH(RIGHT($B133,13)&amp;"|"&amp;$C133&amp;"|"&amp;$D133&amp;"|"&amp;T$14&amp;"|"&amp;"CY2023Q3",Spectrum!$R:$R,0)),0),""))</f>
        <v>677</v>
      </c>
      <c r="U133" s="39" t="str">
        <f aca="false">IF(LEFT($B133,4)="_Mil","",_xlfn.IFNA(ROUND(INDEX(Spectrum!$N:$N,MATCH(RIGHT($B133,13)&amp;"|"&amp;$C133&amp;"|"&amp;$D133&amp;"|"&amp;U$14&amp;"|"&amp;"CY2023Q3",Spectrum!$R:$R,0)),0),""))</f>
        <v/>
      </c>
      <c r="V133" s="10" t="n">
        <f aca="false">IF(LEFT($B133,4)="_Mil","",_xlfn.IFNA(ROUND(INDEX(Spectrum!$N:$N,MATCH(RIGHT($B133,13)&amp;"|"&amp;$C133&amp;"|"&amp;$D133&amp;"|"&amp;V$14&amp;"|"&amp;"CY2023Q3",Spectrum!$R:$R,0)),0),""))</f>
        <v>1220</v>
      </c>
      <c r="W133" s="113" t="n">
        <f aca="false">IF(LEFT($B133,4)="_Mil","",_xlfn.IFNA(INDEX(Spectrum!$N:$N,MATCH(RIGHT($B133,13)&amp;"|"&amp;$C133&amp;"|"&amp;$D133&amp;"|"&amp;W$14&amp;"|"&amp;"CY2023Q3",Spectrum!$R:$R,0)),""))</f>
        <v>633</v>
      </c>
      <c r="X133" s="39" t="n">
        <f aca="false">IF(LEFT($B133,4)="_Mil","",_xlfn.IFNA(ROUND(INDEX(Spectrum!$N:$N,MATCH(RIGHT($B133,13)&amp;"|"&amp;$C133&amp;"|"&amp;$D133&amp;"|"&amp;X$14&amp;"|"&amp;"CY2023Q3",Spectrum!$R:$R,0)),0),""))</f>
        <v>1684</v>
      </c>
      <c r="Y133" s="88" t="str">
        <f aca="false">IF(OR(SUM($U133)=0,LEFT($B133,4)="_Mil"),"",SUM($X133)/$U133)</f>
        <v/>
      </c>
      <c r="Z133" s="39" t="n">
        <f aca="false">IF(LEFT($B133,4)="_Mil","",_xlfn.IFNA(ROUND(INDEX(Spectrum!$N:$N,MATCH(RIGHT($B133,13)&amp;"|"&amp;$C133&amp;"|"&amp;$D133&amp;"|"&amp;Z$14&amp;"|"&amp;"CY2023Q3",Spectrum!$R:$R,0)),0),""))</f>
        <v>639</v>
      </c>
      <c r="AA133" s="88" t="n">
        <f aca="false">IF(LEFT($B133,4)="_Mil","",IFERROR(1/(1/INDEX(Spectrum!$N:$N,MATCH(RIGHT($B133,13)&amp;"|"&amp;$C133&amp;"|"&amp;$D133&amp;"|"&amp;AA$14&amp;"|"&amp;"CY2023Q3",Spectrum!$R:$R,0))),IF(SUM($U133)=0,"",SUM($Z133)/$U133)))</f>
        <v>630</v>
      </c>
      <c r="AB133" s="88" t="n">
        <f aca="false">IF(OR(LEFT($B133,4)="_Mil",SUM($X133)=0),"",SUM($Z133)/$X133)</f>
        <v>0.379453681710214</v>
      </c>
      <c r="AC133" s="10" t="n">
        <f aca="false">IF(LEFT($B133,4)="_Mil","",_xlfn.IFNA(ROUND(INDEX(Spectrum!$N:$N,MATCH(RIGHT($B133,13)&amp;"|"&amp;$C133&amp;"|"&amp;$D133&amp;"|"&amp;AC$14&amp;"|"&amp;"CY2023Q3",Spectrum!$R:$R,0)),0),""))</f>
        <v>1240</v>
      </c>
      <c r="AD133" s="10" t="str">
        <f aca="false">IF(LEFT($B133,4)="_Mil","",_xlfn.IFNA(ROUND(INDEX(Spectrum!$N:$N,MATCH(RIGHT($B133,13)&amp;"|"&amp;$C133&amp;"|"&amp;$D133&amp;"|"&amp;AD$14&amp;"|"&amp;"CY2023Q3",Spectrum!$R:$R,0)),0),""))</f>
        <v/>
      </c>
      <c r="AE133" s="88" t="n">
        <f aca="false">IF(OR(LEFT($B133,4)="_Mil",SUM($Z133)=0),"",SUM($AD133)/$Z133)</f>
        <v>0</v>
      </c>
      <c r="AF133" s="39" t="str">
        <f aca="false">IF(LEFT($B133,4)="_Mil","",_xlfn.IFNA(ROUND(INDEX(Spectrum!$N:$N,MATCH(RIGHT($B133,13)&amp;"|"&amp;$C133&amp;"|"&amp;$D133&amp;"|"&amp;AF$14&amp;"|"&amp;"CY2023Q3",Spectrum!$R:$R,0)),0),""))</f>
        <v/>
      </c>
      <c r="AG133" s="88" t="str">
        <f aca="false">IF(OR(LEFT($B133,4)="_Mil",SUM($AD133)=0),"",SUM($AF133)/$AD133)</f>
        <v/>
      </c>
      <c r="AH133" s="86" t="str">
        <f aca="false">IF(LEFT($B133,4)="_Mil","",_xlfn.IFNA(INDEX(Spectrum!$N:$N,MATCH(RIGHT($B133,13)&amp;"|"&amp;$C133&amp;"|"&amp;$D133&amp;"|"&amp;AH$14&amp;"|"&amp;"CY2023Q3",Spectrum!$R:$R,0)),""))</f>
        <v/>
      </c>
      <c r="AI133" s="10" t="str">
        <f aca="false">IF(LEFT($B133,4)="_Mil","",_xlfn.IFNA(ROUND(INDEX(Spectrum!$N:$N,MATCH(RIGHT($B133,13)&amp;"|"&amp;$C133&amp;"|"&amp;$D133&amp;"|"&amp;AI$14&amp;"|"&amp;"CY2023Q3",Spectrum!$R:$R,0)),0),""))</f>
        <v/>
      </c>
      <c r="AJ133" s="39" t="n">
        <f aca="false">IF(LEFT($B133,4)="_Mil","",_xlfn.IFNA(ROUND(INDEX(Spectrum!$N:$N,MATCH(RIGHT($B133,13)&amp;"|"&amp;$C133&amp;"|"&amp;$D133&amp;"|"&amp;AI$14&amp;"|"&amp;"CY2023Q3",Spectrum!$R:$R,0)),0),SUM($U133)+SUM($AI133)))</f>
        <v>0</v>
      </c>
      <c r="AK133" s="10" t="str">
        <f aca="false">IF(LEFT($B133,4)="_Mil","",_xlfn.IFNA(ROUND(INDEX(Spectrum!$N:$N,MATCH(RIGHT($B133,13)&amp;"|"&amp;$C133&amp;"|"&amp;$D133&amp;"|"&amp;AK$14&amp;"|"&amp;"CY2023Q3",Spectrum!$R:$R,0)),0),""))</f>
        <v/>
      </c>
      <c r="AL133" s="88" t="n">
        <f aca="false">IF(OR(LEFT($B133,4)="_Mil",$C133="&lt;01"),"",MAX(SUM($AA133),90%))</f>
        <v>630</v>
      </c>
      <c r="AM133" s="10" t="n">
        <f aca="false">IF(OR(LEFT($B133,4)="_Mil",$C133="&lt;01"),"",ROUND(SUM($AJ133)*SUM($AL133),0))</f>
        <v>0</v>
      </c>
      <c r="AN133" s="10" t="str">
        <f aca="false">IF($C133="&lt;01",ROUND(INDEX(EID!$P:$P,MATCH($B133,EID!$B:$B,0))/2,0),"")</f>
        <v/>
      </c>
      <c r="AO133" s="10" t="n">
        <f aca="false">IF($C133="&lt;01",SUM($AN133),ROUND(SUM($AM133)*SUM($O133)/IF(SUM($Z133)=0,1,$Z133),0))</f>
        <v>0</v>
      </c>
      <c r="AP133" s="39" t="n">
        <f aca="false">IF(OR($F133="",$C133="&lt;01"),$AO133,$F133)</f>
        <v>0</v>
      </c>
      <c r="AQ133" s="39" t="n">
        <f aca="false">IF(LEFT($B133,4)="_Mil","",IF(SUM($AP133)=0,SUM($Z133),IF(OR(SUM($Z133)=0,SUM($O133)=0),MAX($AP133,$Z133),$AP133*$Z133/$O133)))</f>
        <v>639</v>
      </c>
      <c r="AR133" s="88" t="str">
        <f aca="false">IF(OR(LEFT($B133,4)="_Mil",SUM($AJ133)=0),"",SUM($AQ133)/$AJ133)</f>
        <v/>
      </c>
      <c r="AS133" s="88" t="n">
        <f aca="false">IF($C133="&lt;01","",98%)</f>
        <v>0.98</v>
      </c>
      <c r="AT133" s="88" t="n">
        <f aca="false">IF($C133="&lt;01","",98%)</f>
        <v>0.98</v>
      </c>
      <c r="AU133" s="10" t="n">
        <f aca="false">IF($C133="&lt;01","",SUM($AP133)-SUM($O133))</f>
        <v>0</v>
      </c>
      <c r="AV133" s="10" t="n">
        <f aca="false">IF($C133="&lt;01",ROUND(INDEX(EID!$N:$N,MATCH($B133,EID!$B:$B,0))/2,0),IF(SUM($AT133)=0,"",ROUND((SUM($AP133)-(SUM($O133)*SUM($AS133)))/$AT133,0)))</f>
        <v>0</v>
      </c>
      <c r="AW133" s="88" t="n">
        <f aca="false">IF($C133="&lt;01","",100%)</f>
        <v>1</v>
      </c>
      <c r="AX133" s="39" t="n">
        <f aca="false">IF($C133="&lt;01",SUM($AV133),ROUND(SUM($AV133)*SUM($AW133),0))</f>
        <v>0</v>
      </c>
      <c r="AY133" s="114" t="n">
        <f aca="false">IF($C133="&lt;01","",70%)</f>
        <v>0.7</v>
      </c>
      <c r="AZ133" s="91" t="n">
        <f aca="false">IF($C133="&lt;01",ROUND(INDEX(EID!$R:$R,MATCH($B133,EID!$B:$B,0))/2,0),ROUND(SUM($O133)+(SUM($AV133)*$AY133),0))</f>
        <v>0</v>
      </c>
      <c r="BA133" s="87" t="n">
        <f aca="false">IF($C133="&lt;01","",95%)</f>
        <v>0.95</v>
      </c>
      <c r="BB133" s="5" t="n">
        <f aca="false">IF($C133="&lt;01",ROUND(INDEX(EID!$T:$T,MATCH($B133,EID!$B:$B,0))/2,0),ROUND($AZ133*$BA133,0))</f>
        <v>0</v>
      </c>
      <c r="BC133" s="91" t="n">
        <f aca="false">IF(LEFT($B133,4)="_Mil","",IF(SUM($BB133)=0,SUM($AD133),IF(OR(SUM($AP133)=0,SUM($AQ133)=0),MAX($BB133,$AD133),ROUND($BB133*$AQ133/$AP133,0))))</f>
        <v>0</v>
      </c>
      <c r="BD133" s="88" t="n">
        <f aca="false">IF($C133="&lt;01","",95%)</f>
        <v>0.95</v>
      </c>
      <c r="BE133" s="39" t="n">
        <f aca="false">IF($C133="&lt;01",ROUND(INDEX(EID!$V:$V,MATCH($B133,EID!$B:$B,0))/2,0),ROUND($BD133*$BB133,0))</f>
        <v>0</v>
      </c>
      <c r="BF133" s="39" t="n">
        <f aca="false">IF(LEFT($B133,4)="_Mil","",IF(SUM($BE133)=0,SUM($AF133),IF(OR(SUM($AP133)=0,SUM($AQ133)=0),MAX($BE133,$AF133),ROUND($BE133*$AQ133/$AP133,0))))</f>
        <v>0</v>
      </c>
      <c r="BG133" s="114" t="n">
        <f aca="false">IF($C133="&lt;01","",95%)</f>
        <v>0.95</v>
      </c>
      <c r="BH133" s="5" t="n">
        <f aca="false">IF($C133="&lt;01",ROUND(INDEX(EID!$L:$L,MATCH($B133,EID!$B:$B,0)),0)/2,IF(SUM($BG133)=0,"",ROUND($AX133/$BG133,0)))</f>
        <v>0</v>
      </c>
    </row>
    <row r="134" customFormat="false" ht="15" hidden="false" customHeight="false" outlineLevel="0" collapsed="false">
      <c r="A134" s="0" t="str">
        <f aca="false">INDEX(Prioritization!$D:$D,MATCH($B134,Prioritization!$A:$A,0))</f>
        <v>INVALID</v>
      </c>
      <c r="B134" s="0" t="s">
        <v>202</v>
      </c>
      <c r="C134" s="0" t="s">
        <v>365</v>
      </c>
      <c r="D134" s="0" t="s">
        <v>48</v>
      </c>
      <c r="E134" s="0" t="str">
        <f aca="false">$B134&amp;"|"&amp;$C134&amp;"|"&amp;$D134</f>
        <v>Ntchisi District [fiRkU6gEjLz]|15-24|Male</v>
      </c>
      <c r="F134" s="10"/>
      <c r="G134" s="10"/>
      <c r="H134" s="10"/>
      <c r="I134" s="10"/>
      <c r="J134" s="10"/>
      <c r="K134" s="10"/>
      <c r="L134" s="10"/>
      <c r="M134" s="10"/>
      <c r="N134" s="10"/>
      <c r="O134" s="10" t="str">
        <f aca="false">IFERROR(1/(1/MAX($I134,$N134)),"")</f>
        <v/>
      </c>
      <c r="P134" s="10"/>
      <c r="Q134" s="10"/>
      <c r="R134" s="10" t="str">
        <f aca="false">IF(AND(SUM($I134)=0,SUM($O134)=0),"",SUM($O134)-$I134)</f>
        <v/>
      </c>
      <c r="S134" s="10" t="n">
        <f aca="false">IF(LEFT($B134,4)="_Mil","",_xlfn.IFNA(ROUND(INDEX(Spectrum!$N:$N,MATCH(RIGHT($B134,13)&amp;"|"&amp;$C134&amp;"|"&amp;$D134&amp;"|"&amp;S$14&amp;"|"&amp;"CY2022Q4",Spectrum!$R:$R,0)),0),""))</f>
        <v>1148</v>
      </c>
      <c r="T134" s="39" t="n">
        <f aca="false">IF(LEFT($B134,4)="_Mil","",_xlfn.IFNA(ROUND(INDEX(Spectrum!$N:$N,MATCH(RIGHT($B134,13)&amp;"|"&amp;$C134&amp;"|"&amp;$D134&amp;"|"&amp;T$14&amp;"|"&amp;"CY2023Q3",Spectrum!$R:$R,0)),0),""))</f>
        <v>1940</v>
      </c>
      <c r="U134" s="39" t="str">
        <f aca="false">IF(LEFT($B134,4)="_Mil","",_xlfn.IFNA(ROUND(INDEX(Spectrum!$N:$N,MATCH(RIGHT($B134,13)&amp;"|"&amp;$C134&amp;"|"&amp;$D134&amp;"|"&amp;U$14&amp;"|"&amp;"CY2023Q3",Spectrum!$R:$R,0)),0),""))</f>
        <v/>
      </c>
      <c r="V134" s="10" t="n">
        <f aca="false">IF(LEFT($B134,4)="_Mil","",_xlfn.IFNA(ROUND(INDEX(Spectrum!$N:$N,MATCH(RIGHT($B134,13)&amp;"|"&amp;$C134&amp;"|"&amp;$D134&amp;"|"&amp;V$14&amp;"|"&amp;"CY2023Q3",Spectrum!$R:$R,0)),0),""))</f>
        <v>850</v>
      </c>
      <c r="W134" s="113" t="n">
        <f aca="false">IF(LEFT($B134,4)="_Mil","",_xlfn.IFNA(INDEX(Spectrum!$N:$N,MATCH(RIGHT($B134,13)&amp;"|"&amp;$C134&amp;"|"&amp;$D134&amp;"|"&amp;W$14&amp;"|"&amp;"CY2023Q3",Spectrum!$R:$R,0)),""))</f>
        <v>605</v>
      </c>
      <c r="X134" s="39" t="n">
        <f aca="false">IF(LEFT($B134,4)="_Mil","",_xlfn.IFNA(ROUND(INDEX(Spectrum!$N:$N,MATCH(RIGHT($B134,13)&amp;"|"&amp;$C134&amp;"|"&amp;$D134&amp;"|"&amp;X$14&amp;"|"&amp;"CY2023Q3",Spectrum!$R:$R,0)),0),""))</f>
        <v>848</v>
      </c>
      <c r="Y134" s="88" t="str">
        <f aca="false">IF(OR(SUM($U134)=0,LEFT($B134,4)="_Mil"),"",SUM($X134)/$U134)</f>
        <v/>
      </c>
      <c r="Z134" s="39" t="n">
        <f aca="false">IF(LEFT($B134,4)="_Mil","",_xlfn.IFNA(ROUND(INDEX(Spectrum!$N:$N,MATCH(RIGHT($B134,13)&amp;"|"&amp;$C134&amp;"|"&amp;$D134&amp;"|"&amp;Z$14&amp;"|"&amp;"CY2023Q3",Spectrum!$R:$R,0)),0),""))</f>
        <v>968</v>
      </c>
      <c r="AA134" s="88" t="n">
        <f aca="false">IF(LEFT($B134,4)="_Mil","",IFERROR(1/(1/INDEX(Spectrum!$N:$N,MATCH(RIGHT($B134,13)&amp;"|"&amp;$C134&amp;"|"&amp;$D134&amp;"|"&amp;AA$14&amp;"|"&amp;"CY2023Q3",Spectrum!$R:$R,0))),IF(SUM($U134)=0,"",SUM($Z134)/$U134)))</f>
        <v>1616</v>
      </c>
      <c r="AB134" s="88" t="n">
        <f aca="false">IF(OR(LEFT($B134,4)="_Mil",SUM($X134)=0),"",SUM($Z134)/$X134)</f>
        <v>1.14150943396226</v>
      </c>
      <c r="AC134" s="10" t="n">
        <f aca="false">IF(LEFT($B134,4)="_Mil","",_xlfn.IFNA(ROUND(INDEX(Spectrum!$N:$N,MATCH(RIGHT($B134,13)&amp;"|"&amp;$C134&amp;"|"&amp;$D134&amp;"|"&amp;AC$14&amp;"|"&amp;"CY2023Q3",Spectrum!$R:$R,0)),0),""))</f>
        <v>914</v>
      </c>
      <c r="AD134" s="10" t="str">
        <f aca="false">IF(LEFT($B134,4)="_Mil","",_xlfn.IFNA(ROUND(INDEX(Spectrum!$N:$N,MATCH(RIGHT($B134,13)&amp;"|"&amp;$C134&amp;"|"&amp;$D134&amp;"|"&amp;AD$14&amp;"|"&amp;"CY2023Q3",Spectrum!$R:$R,0)),0),""))</f>
        <v/>
      </c>
      <c r="AE134" s="88" t="n">
        <f aca="false">IF(OR(LEFT($B134,4)="_Mil",SUM($Z134)=0),"",SUM($AD134)/$Z134)</f>
        <v>0</v>
      </c>
      <c r="AF134" s="39" t="str">
        <f aca="false">IF(LEFT($B134,4)="_Mil","",_xlfn.IFNA(ROUND(INDEX(Spectrum!$N:$N,MATCH(RIGHT($B134,13)&amp;"|"&amp;$C134&amp;"|"&amp;$D134&amp;"|"&amp;AF$14&amp;"|"&amp;"CY2023Q3",Spectrum!$R:$R,0)),0),""))</f>
        <v/>
      </c>
      <c r="AG134" s="88" t="str">
        <f aca="false">IF(OR(LEFT($B134,4)="_Mil",SUM($AD134)=0),"",SUM($AF134)/$AD134)</f>
        <v/>
      </c>
      <c r="AH134" s="86" t="str">
        <f aca="false">IF(LEFT($B134,4)="_Mil","",_xlfn.IFNA(INDEX(Spectrum!$N:$N,MATCH(RIGHT($B134,13)&amp;"|"&amp;$C134&amp;"|"&amp;$D134&amp;"|"&amp;AH$14&amp;"|"&amp;"CY2023Q3",Spectrum!$R:$R,0)),""))</f>
        <v/>
      </c>
      <c r="AI134" s="10" t="str">
        <f aca="false">IF(LEFT($B134,4)="_Mil","",_xlfn.IFNA(ROUND(INDEX(Spectrum!$N:$N,MATCH(RIGHT($B134,13)&amp;"|"&amp;$C134&amp;"|"&amp;$D134&amp;"|"&amp;AI$14&amp;"|"&amp;"CY2023Q3",Spectrum!$R:$R,0)),0),""))</f>
        <v/>
      </c>
      <c r="AJ134" s="39" t="n">
        <f aca="false">IF(LEFT($B134,4)="_Mil","",_xlfn.IFNA(ROUND(INDEX(Spectrum!$N:$N,MATCH(RIGHT($B134,13)&amp;"|"&amp;$C134&amp;"|"&amp;$D134&amp;"|"&amp;AI$14&amp;"|"&amp;"CY2023Q3",Spectrum!$R:$R,0)),0),SUM($U134)+SUM($AI134)))</f>
        <v>0</v>
      </c>
      <c r="AK134" s="10" t="str">
        <f aca="false">IF(LEFT($B134,4)="_Mil","",_xlfn.IFNA(ROUND(INDEX(Spectrum!$N:$N,MATCH(RIGHT($B134,13)&amp;"|"&amp;$C134&amp;"|"&amp;$D134&amp;"|"&amp;AK$14&amp;"|"&amp;"CY2023Q3",Spectrum!$R:$R,0)),0),""))</f>
        <v/>
      </c>
      <c r="AL134" s="88" t="n">
        <f aca="false">IF(OR(LEFT($B134,4)="_Mil",$C134="&lt;01"),"",MAX(SUM($AA134),90%))</f>
        <v>1616</v>
      </c>
      <c r="AM134" s="10" t="n">
        <f aca="false">IF(OR(LEFT($B134,4)="_Mil",$C134="&lt;01"),"",ROUND(SUM($AJ134)*SUM($AL134),0))</f>
        <v>0</v>
      </c>
      <c r="AN134" s="10" t="str">
        <f aca="false">IF($C134="&lt;01",ROUND(INDEX(EID!$P:$P,MATCH($B134,EID!$B:$B,0))/2,0),"")</f>
        <v/>
      </c>
      <c r="AO134" s="10" t="n">
        <f aca="false">IF($C134="&lt;01",SUM($AN134),ROUND(SUM($AM134)*SUM($O134)/IF(SUM($Z134)=0,1,$Z134),0))</f>
        <v>0</v>
      </c>
      <c r="AP134" s="39" t="n">
        <f aca="false">IF(OR($F134="",$C134="&lt;01"),$AO134,$F134)</f>
        <v>0</v>
      </c>
      <c r="AQ134" s="39" t="n">
        <f aca="false">IF(LEFT($B134,4)="_Mil","",IF(SUM($AP134)=0,SUM($Z134),IF(OR(SUM($Z134)=0,SUM($O134)=0),MAX($AP134,$Z134),$AP134*$Z134/$O134)))</f>
        <v>968</v>
      </c>
      <c r="AR134" s="88" t="str">
        <f aca="false">IF(OR(LEFT($B134,4)="_Mil",SUM($AJ134)=0),"",SUM($AQ134)/$AJ134)</f>
        <v/>
      </c>
      <c r="AS134" s="88" t="n">
        <f aca="false">IF($C134="&lt;01","",98%)</f>
        <v>0.98</v>
      </c>
      <c r="AT134" s="88" t="n">
        <f aca="false">IF($C134="&lt;01","",98%)</f>
        <v>0.98</v>
      </c>
      <c r="AU134" s="10" t="n">
        <f aca="false">IF($C134="&lt;01","",SUM($AP134)-SUM($O134))</f>
        <v>0</v>
      </c>
      <c r="AV134" s="10" t="n">
        <f aca="false">IF($C134="&lt;01",ROUND(INDEX(EID!$N:$N,MATCH($B134,EID!$B:$B,0))/2,0),IF(SUM($AT134)=0,"",ROUND((SUM($AP134)-(SUM($O134)*SUM($AS134)))/$AT134,0)))</f>
        <v>0</v>
      </c>
      <c r="AW134" s="88" t="n">
        <f aca="false">IF($C134="&lt;01","",100%)</f>
        <v>1</v>
      </c>
      <c r="AX134" s="39" t="n">
        <f aca="false">IF($C134="&lt;01",SUM($AV134),ROUND(SUM($AV134)*SUM($AW134),0))</f>
        <v>0</v>
      </c>
      <c r="AY134" s="114" t="n">
        <f aca="false">IF($C134="&lt;01","",70%)</f>
        <v>0.7</v>
      </c>
      <c r="AZ134" s="91" t="n">
        <f aca="false">IF($C134="&lt;01",ROUND(INDEX(EID!$R:$R,MATCH($B134,EID!$B:$B,0))/2,0),ROUND(SUM($O134)+(SUM($AV134)*$AY134),0))</f>
        <v>0</v>
      </c>
      <c r="BA134" s="87" t="n">
        <f aca="false">IF($C134="&lt;01","",95%)</f>
        <v>0.95</v>
      </c>
      <c r="BB134" s="5" t="n">
        <f aca="false">IF($C134="&lt;01",ROUND(INDEX(EID!$T:$T,MATCH($B134,EID!$B:$B,0))/2,0),ROUND($AZ134*$BA134,0))</f>
        <v>0</v>
      </c>
      <c r="BC134" s="91" t="n">
        <f aca="false">IF(LEFT($B134,4)="_Mil","",IF(SUM($BB134)=0,SUM($AD134),IF(OR(SUM($AP134)=0,SUM($AQ134)=0),MAX($BB134,$AD134),ROUND($BB134*$AQ134/$AP134,0))))</f>
        <v>0</v>
      </c>
      <c r="BD134" s="88" t="n">
        <f aca="false">IF($C134="&lt;01","",95%)</f>
        <v>0.95</v>
      </c>
      <c r="BE134" s="39" t="n">
        <f aca="false">IF($C134="&lt;01",ROUND(INDEX(EID!$V:$V,MATCH($B134,EID!$B:$B,0))/2,0),ROUND($BD134*$BB134,0))</f>
        <v>0</v>
      </c>
      <c r="BF134" s="39" t="n">
        <f aca="false">IF(LEFT($B134,4)="_Mil","",IF(SUM($BE134)=0,SUM($AF134),IF(OR(SUM($AP134)=0,SUM($AQ134)=0),MAX($BE134,$AF134),ROUND($BE134*$AQ134/$AP134,0))))</f>
        <v>0</v>
      </c>
      <c r="BG134" s="114" t="n">
        <f aca="false">IF($C134="&lt;01","",95%)</f>
        <v>0.95</v>
      </c>
      <c r="BH134" s="5" t="n">
        <f aca="false">IF($C134="&lt;01",ROUND(INDEX(EID!$L:$L,MATCH($B134,EID!$B:$B,0)),0)/2,IF(SUM($BG134)=0,"",ROUND($AX134/$BG134,0)))</f>
        <v>0</v>
      </c>
    </row>
    <row r="135" customFormat="false" ht="15" hidden="false" customHeight="false" outlineLevel="0" collapsed="false">
      <c r="A135" s="0" t="str">
        <f aca="false">INDEX(Prioritization!$D:$D,MATCH($B135,Prioritization!$A:$A,0))</f>
        <v>INVALID</v>
      </c>
      <c r="B135" s="0" t="s">
        <v>202</v>
      </c>
      <c r="C135" s="0" t="s">
        <v>366</v>
      </c>
      <c r="D135" s="0" t="s">
        <v>30</v>
      </c>
      <c r="E135" s="0" t="str">
        <f aca="false">$B135&amp;"|"&amp;$C135&amp;"|"&amp;$D135</f>
        <v>Ntchisi District [fiRkU6gEjLz]|25-34|Female</v>
      </c>
      <c r="F135" s="10"/>
      <c r="G135" s="10"/>
      <c r="H135" s="10"/>
      <c r="I135" s="10"/>
      <c r="J135" s="10"/>
      <c r="K135" s="10"/>
      <c r="L135" s="10"/>
      <c r="M135" s="10"/>
      <c r="N135" s="10"/>
      <c r="O135" s="10" t="str">
        <f aca="false">IFERROR(1/(1/MAX($I135,$N135)),"")</f>
        <v/>
      </c>
      <c r="P135" s="10"/>
      <c r="Q135" s="10"/>
      <c r="R135" s="10" t="str">
        <f aca="false">IF(AND(SUM($I135)=0,SUM($O135)=0),"",SUM($O135)-$I135)</f>
        <v/>
      </c>
      <c r="S135" s="10" t="n">
        <f aca="false">IF(LEFT($B135,4)="_Mil","",_xlfn.IFNA(ROUND(INDEX(Spectrum!$N:$N,MATCH(RIGHT($B135,13)&amp;"|"&amp;$C135&amp;"|"&amp;$D135&amp;"|"&amp;S$14&amp;"|"&amp;"CY2022Q4",Spectrum!$R:$R,0)),0),""))</f>
        <v>1990</v>
      </c>
      <c r="T135" s="39" t="n">
        <f aca="false">IF(LEFT($B135,4)="_Mil","",_xlfn.IFNA(ROUND(INDEX(Spectrum!$N:$N,MATCH(RIGHT($B135,13)&amp;"|"&amp;$C135&amp;"|"&amp;$D135&amp;"|"&amp;T$14&amp;"|"&amp;"CY2023Q3",Spectrum!$R:$R,0)),0),""))</f>
        <v>1015</v>
      </c>
      <c r="U135" s="39" t="str">
        <f aca="false">IF(LEFT($B135,4)="_Mil","",_xlfn.IFNA(ROUND(INDEX(Spectrum!$N:$N,MATCH(RIGHT($B135,13)&amp;"|"&amp;$C135&amp;"|"&amp;$D135&amp;"|"&amp;U$14&amp;"|"&amp;"CY2023Q3",Spectrum!$R:$R,0)),0),""))</f>
        <v/>
      </c>
      <c r="V135" s="10" t="n">
        <f aca="false">IF(LEFT($B135,4)="_Mil","",_xlfn.IFNA(ROUND(INDEX(Spectrum!$N:$N,MATCH(RIGHT($B135,13)&amp;"|"&amp;$C135&amp;"|"&amp;$D135&amp;"|"&amp;V$14&amp;"|"&amp;"CY2023Q3",Spectrum!$R:$R,0)),0),""))</f>
        <v>1868</v>
      </c>
      <c r="W135" s="113" t="n">
        <f aca="false">IF(LEFT($B135,4)="_Mil","",_xlfn.IFNA(INDEX(Spectrum!$N:$N,MATCH(RIGHT($B135,13)&amp;"|"&amp;$C135&amp;"|"&amp;$D135&amp;"|"&amp;W$14&amp;"|"&amp;"CY2023Q3",Spectrum!$R:$R,0)),""))</f>
        <v>699</v>
      </c>
      <c r="X135" s="39" t="n">
        <f aca="false">IF(LEFT($B135,4)="_Mil","",_xlfn.IFNA(ROUND(INDEX(Spectrum!$N:$N,MATCH(RIGHT($B135,13)&amp;"|"&amp;$C135&amp;"|"&amp;$D135&amp;"|"&amp;X$14&amp;"|"&amp;"CY2023Q3",Spectrum!$R:$R,0)),0),""))</f>
        <v>852</v>
      </c>
      <c r="Y135" s="88" t="str">
        <f aca="false">IF(OR(SUM($U135)=0,LEFT($B135,4)="_Mil"),"",SUM($X135)/$U135)</f>
        <v/>
      </c>
      <c r="Z135" s="39" t="n">
        <f aca="false">IF(LEFT($B135,4)="_Mil","",_xlfn.IFNA(ROUND(INDEX(Spectrum!$N:$N,MATCH(RIGHT($B135,13)&amp;"|"&amp;$C135&amp;"|"&amp;$D135&amp;"|"&amp;Z$14&amp;"|"&amp;"CY2023Q3",Spectrum!$R:$R,0)),0),""))</f>
        <v>1075</v>
      </c>
      <c r="AA135" s="88" t="n">
        <f aca="false">IF(LEFT($B135,4)="_Mil","",IFERROR(1/(1/INDEX(Spectrum!$N:$N,MATCH(RIGHT($B135,13)&amp;"|"&amp;$C135&amp;"|"&amp;$D135&amp;"|"&amp;AA$14&amp;"|"&amp;"CY2023Q3",Spectrum!$R:$R,0))),IF(SUM($U135)=0,"",SUM($Z135)/$U135)))</f>
        <v>1180</v>
      </c>
      <c r="AB135" s="88" t="n">
        <f aca="false">IF(OR(LEFT($B135,4)="_Mil",SUM($X135)=0),"",SUM($Z135)/$X135)</f>
        <v>1.26173708920188</v>
      </c>
      <c r="AC135" s="10" t="n">
        <f aca="false">IF(LEFT($B135,4)="_Mil","",_xlfn.IFNA(ROUND(INDEX(Spectrum!$N:$N,MATCH(RIGHT($B135,13)&amp;"|"&amp;$C135&amp;"|"&amp;$D135&amp;"|"&amp;AC$14&amp;"|"&amp;"CY2023Q3",Spectrum!$R:$R,0)),0),""))</f>
        <v>1476</v>
      </c>
      <c r="AD135" s="10" t="str">
        <f aca="false">IF(LEFT($B135,4)="_Mil","",_xlfn.IFNA(ROUND(INDEX(Spectrum!$N:$N,MATCH(RIGHT($B135,13)&amp;"|"&amp;$C135&amp;"|"&amp;$D135&amp;"|"&amp;AD$14&amp;"|"&amp;"CY2023Q3",Spectrum!$R:$R,0)),0),""))</f>
        <v/>
      </c>
      <c r="AE135" s="88" t="n">
        <f aca="false">IF(OR(LEFT($B135,4)="_Mil",SUM($Z135)=0),"",SUM($AD135)/$Z135)</f>
        <v>0</v>
      </c>
      <c r="AF135" s="39" t="str">
        <f aca="false">IF(LEFT($B135,4)="_Mil","",_xlfn.IFNA(ROUND(INDEX(Spectrum!$N:$N,MATCH(RIGHT($B135,13)&amp;"|"&amp;$C135&amp;"|"&amp;$D135&amp;"|"&amp;AF$14&amp;"|"&amp;"CY2023Q3",Spectrum!$R:$R,0)),0),""))</f>
        <v/>
      </c>
      <c r="AG135" s="88" t="str">
        <f aca="false">IF(OR(LEFT($B135,4)="_Mil",SUM($AD135)=0),"",SUM($AF135)/$AD135)</f>
        <v/>
      </c>
      <c r="AH135" s="86" t="str">
        <f aca="false">IF(LEFT($B135,4)="_Mil","",_xlfn.IFNA(INDEX(Spectrum!$N:$N,MATCH(RIGHT($B135,13)&amp;"|"&amp;$C135&amp;"|"&amp;$D135&amp;"|"&amp;AH$14&amp;"|"&amp;"CY2023Q3",Spectrum!$R:$R,0)),""))</f>
        <v/>
      </c>
      <c r="AI135" s="10" t="str">
        <f aca="false">IF(LEFT($B135,4)="_Mil","",_xlfn.IFNA(ROUND(INDEX(Spectrum!$N:$N,MATCH(RIGHT($B135,13)&amp;"|"&amp;$C135&amp;"|"&amp;$D135&amp;"|"&amp;AI$14&amp;"|"&amp;"CY2023Q3",Spectrum!$R:$R,0)),0),""))</f>
        <v/>
      </c>
      <c r="AJ135" s="39" t="n">
        <f aca="false">IF(LEFT($B135,4)="_Mil","",_xlfn.IFNA(ROUND(INDEX(Spectrum!$N:$N,MATCH(RIGHT($B135,13)&amp;"|"&amp;$C135&amp;"|"&amp;$D135&amp;"|"&amp;AI$14&amp;"|"&amp;"CY2023Q3",Spectrum!$R:$R,0)),0),SUM($U135)+SUM($AI135)))</f>
        <v>0</v>
      </c>
      <c r="AK135" s="10" t="str">
        <f aca="false">IF(LEFT($B135,4)="_Mil","",_xlfn.IFNA(ROUND(INDEX(Spectrum!$N:$N,MATCH(RIGHT($B135,13)&amp;"|"&amp;$C135&amp;"|"&amp;$D135&amp;"|"&amp;AK$14&amp;"|"&amp;"CY2023Q3",Spectrum!$R:$R,0)),0),""))</f>
        <v/>
      </c>
      <c r="AL135" s="88" t="n">
        <f aca="false">IF(OR(LEFT($B135,4)="_Mil",$C135="&lt;01"),"",MAX(SUM($AA135),90%))</f>
        <v>1180</v>
      </c>
      <c r="AM135" s="10" t="n">
        <f aca="false">IF(OR(LEFT($B135,4)="_Mil",$C135="&lt;01"),"",ROUND(SUM($AJ135)*SUM($AL135),0))</f>
        <v>0</v>
      </c>
      <c r="AN135" s="10" t="str">
        <f aca="false">IF($C135="&lt;01",ROUND(INDEX(EID!$P:$P,MATCH($B135,EID!$B:$B,0))/2,0),"")</f>
        <v/>
      </c>
      <c r="AO135" s="10" t="n">
        <f aca="false">IF($C135="&lt;01",SUM($AN135),ROUND(SUM($AM135)*SUM($O135)/IF(SUM($Z135)=0,1,$Z135),0))</f>
        <v>0</v>
      </c>
      <c r="AP135" s="39" t="n">
        <f aca="false">IF(OR($F135="",$C135="&lt;01"),$AO135,$F135)</f>
        <v>0</v>
      </c>
      <c r="AQ135" s="39" t="n">
        <f aca="false">IF(LEFT($B135,4)="_Mil","",IF(SUM($AP135)=0,SUM($Z135),IF(OR(SUM($Z135)=0,SUM($O135)=0),MAX($AP135,$Z135),$AP135*$Z135/$O135)))</f>
        <v>1075</v>
      </c>
      <c r="AR135" s="88" t="str">
        <f aca="false">IF(OR(LEFT($B135,4)="_Mil",SUM($AJ135)=0),"",SUM($AQ135)/$AJ135)</f>
        <v/>
      </c>
      <c r="AS135" s="88" t="n">
        <f aca="false">IF($C135="&lt;01","",98%)</f>
        <v>0.98</v>
      </c>
      <c r="AT135" s="88" t="n">
        <f aca="false">IF($C135="&lt;01","",98%)</f>
        <v>0.98</v>
      </c>
      <c r="AU135" s="10" t="n">
        <f aca="false">IF($C135="&lt;01","",SUM($AP135)-SUM($O135))</f>
        <v>0</v>
      </c>
      <c r="AV135" s="10" t="n">
        <f aca="false">IF($C135="&lt;01",ROUND(INDEX(EID!$N:$N,MATCH($B135,EID!$B:$B,0))/2,0),IF(SUM($AT135)=0,"",ROUND((SUM($AP135)-(SUM($O135)*SUM($AS135)))/$AT135,0)))</f>
        <v>0</v>
      </c>
      <c r="AW135" s="88" t="n">
        <f aca="false">IF($C135="&lt;01","",100%)</f>
        <v>1</v>
      </c>
      <c r="AX135" s="39" t="n">
        <f aca="false">IF($C135="&lt;01",SUM($AV135),ROUND(SUM($AV135)*SUM($AW135),0))</f>
        <v>0</v>
      </c>
      <c r="AY135" s="114" t="n">
        <f aca="false">IF($C135="&lt;01","",70%)</f>
        <v>0.7</v>
      </c>
      <c r="AZ135" s="91" t="n">
        <f aca="false">IF($C135="&lt;01",ROUND(INDEX(EID!$R:$R,MATCH($B135,EID!$B:$B,0))/2,0),ROUND(SUM($O135)+(SUM($AV135)*$AY135),0))</f>
        <v>0</v>
      </c>
      <c r="BA135" s="87" t="n">
        <f aca="false">IF($C135="&lt;01","",95%)</f>
        <v>0.95</v>
      </c>
      <c r="BB135" s="5" t="n">
        <f aca="false">IF($C135="&lt;01",ROUND(INDEX(EID!$T:$T,MATCH($B135,EID!$B:$B,0))/2,0),ROUND($AZ135*$BA135,0))</f>
        <v>0</v>
      </c>
      <c r="BC135" s="91" t="n">
        <f aca="false">IF(LEFT($B135,4)="_Mil","",IF(SUM($BB135)=0,SUM($AD135),IF(OR(SUM($AP135)=0,SUM($AQ135)=0),MAX($BB135,$AD135),ROUND($BB135*$AQ135/$AP135,0))))</f>
        <v>0</v>
      </c>
      <c r="BD135" s="88" t="n">
        <f aca="false">IF($C135="&lt;01","",95%)</f>
        <v>0.95</v>
      </c>
      <c r="BE135" s="39" t="n">
        <f aca="false">IF($C135="&lt;01",ROUND(INDEX(EID!$V:$V,MATCH($B135,EID!$B:$B,0))/2,0),ROUND($BD135*$BB135,0))</f>
        <v>0</v>
      </c>
      <c r="BF135" s="39" t="n">
        <f aca="false">IF(LEFT($B135,4)="_Mil","",IF(SUM($BE135)=0,SUM($AF135),IF(OR(SUM($AP135)=0,SUM($AQ135)=0),MAX($BE135,$AF135),ROUND($BE135*$AQ135/$AP135,0))))</f>
        <v>0</v>
      </c>
      <c r="BG135" s="114" t="n">
        <f aca="false">IF($C135="&lt;01","",95%)</f>
        <v>0.95</v>
      </c>
      <c r="BH135" s="5" t="n">
        <f aca="false">IF($C135="&lt;01",ROUND(INDEX(EID!$L:$L,MATCH($B135,EID!$B:$B,0)),0)/2,IF(SUM($BG135)=0,"",ROUND($AX135/$BG135,0)))</f>
        <v>0</v>
      </c>
    </row>
    <row r="136" customFormat="false" ht="15" hidden="false" customHeight="false" outlineLevel="0" collapsed="false">
      <c r="A136" s="0" t="str">
        <f aca="false">INDEX(Prioritization!$D:$D,MATCH($B136,Prioritization!$A:$A,0))</f>
        <v>INVALID</v>
      </c>
      <c r="B136" s="0" t="s">
        <v>202</v>
      </c>
      <c r="C136" s="0" t="s">
        <v>366</v>
      </c>
      <c r="D136" s="0" t="s">
        <v>48</v>
      </c>
      <c r="E136" s="0" t="str">
        <f aca="false">$B136&amp;"|"&amp;$C136&amp;"|"&amp;$D136</f>
        <v>Ntchisi District [fiRkU6gEjLz]|25-34|Male</v>
      </c>
      <c r="F136" s="10"/>
      <c r="G136" s="10"/>
      <c r="H136" s="10"/>
      <c r="I136" s="10"/>
      <c r="J136" s="10"/>
      <c r="K136" s="10"/>
      <c r="L136" s="10"/>
      <c r="M136" s="10"/>
      <c r="N136" s="10"/>
      <c r="O136" s="10" t="str">
        <f aca="false">IFERROR(1/(1/MAX($I136,$N136)),"")</f>
        <v/>
      </c>
      <c r="P136" s="10"/>
      <c r="Q136" s="10"/>
      <c r="R136" s="10" t="str">
        <f aca="false">IF(AND(SUM($I136)=0,SUM($O136)=0),"",SUM($O136)-$I136)</f>
        <v/>
      </c>
      <c r="S136" s="10" t="n">
        <f aca="false">IF(LEFT($B136,4)="_Mil","",_xlfn.IFNA(ROUND(INDEX(Spectrum!$N:$N,MATCH(RIGHT($B136,13)&amp;"|"&amp;$C136&amp;"|"&amp;$D136&amp;"|"&amp;S$14&amp;"|"&amp;"CY2022Q4",Spectrum!$R:$R,0)),0),""))</f>
        <v>1782</v>
      </c>
      <c r="T136" s="39" t="n">
        <f aca="false">IF(LEFT($B136,4)="_Mil","",_xlfn.IFNA(ROUND(INDEX(Spectrum!$N:$N,MATCH(RIGHT($B136,13)&amp;"|"&amp;$C136&amp;"|"&amp;$D136&amp;"|"&amp;T$14&amp;"|"&amp;"CY2023Q3",Spectrum!$R:$R,0)),0),""))</f>
        <v>1613</v>
      </c>
      <c r="U136" s="39" t="str">
        <f aca="false">IF(LEFT($B136,4)="_Mil","",_xlfn.IFNA(ROUND(INDEX(Spectrum!$N:$N,MATCH(RIGHT($B136,13)&amp;"|"&amp;$C136&amp;"|"&amp;$D136&amp;"|"&amp;U$14&amp;"|"&amp;"CY2023Q3",Spectrum!$R:$R,0)),0),""))</f>
        <v/>
      </c>
      <c r="V136" s="10" t="n">
        <f aca="false">IF(LEFT($B136,4)="_Mil","",_xlfn.IFNA(ROUND(INDEX(Spectrum!$N:$N,MATCH(RIGHT($B136,13)&amp;"|"&amp;$C136&amp;"|"&amp;$D136&amp;"|"&amp;V$14&amp;"|"&amp;"CY2023Q3",Spectrum!$R:$R,0)),0),""))</f>
        <v>1455</v>
      </c>
      <c r="W136" s="113" t="n">
        <f aca="false">IF(LEFT($B136,4)="_Mil","",_xlfn.IFNA(INDEX(Spectrum!$N:$N,MATCH(RIGHT($B136,13)&amp;"|"&amp;$C136&amp;"|"&amp;$D136&amp;"|"&amp;W$14&amp;"|"&amp;"CY2023Q3",Spectrum!$R:$R,0)),""))</f>
        <v>1909</v>
      </c>
      <c r="X136" s="39" t="n">
        <f aca="false">IF(LEFT($B136,4)="_Mil","",_xlfn.IFNA(ROUND(INDEX(Spectrum!$N:$N,MATCH(RIGHT($B136,13)&amp;"|"&amp;$C136&amp;"|"&amp;$D136&amp;"|"&amp;X$14&amp;"|"&amp;"CY2023Q3",Spectrum!$R:$R,0)),0),""))</f>
        <v>1295</v>
      </c>
      <c r="Y136" s="88" t="str">
        <f aca="false">IF(OR(SUM($U136)=0,LEFT($B136,4)="_Mil"),"",SUM($X136)/$U136)</f>
        <v/>
      </c>
      <c r="Z136" s="39" t="n">
        <f aca="false">IF(LEFT($B136,4)="_Mil","",_xlfn.IFNA(ROUND(INDEX(Spectrum!$N:$N,MATCH(RIGHT($B136,13)&amp;"|"&amp;$C136&amp;"|"&amp;$D136&amp;"|"&amp;Z$14&amp;"|"&amp;"CY2023Q3",Spectrum!$R:$R,0)),0),""))</f>
        <v>724</v>
      </c>
      <c r="AA136" s="88" t="n">
        <f aca="false">IF(LEFT($B136,4)="_Mil","",IFERROR(1/(1/INDEX(Spectrum!$N:$N,MATCH(RIGHT($B136,13)&amp;"|"&amp;$C136&amp;"|"&amp;$D136&amp;"|"&amp;AA$14&amp;"|"&amp;"CY2023Q3",Spectrum!$R:$R,0))),IF(SUM($U136)=0,"",SUM($Z136)/$U136)))</f>
        <v>1790</v>
      </c>
      <c r="AB136" s="88" t="n">
        <f aca="false">IF(OR(LEFT($B136,4)="_Mil",SUM($X136)=0),"",SUM($Z136)/$X136)</f>
        <v>0.559073359073359</v>
      </c>
      <c r="AC136" s="10" t="n">
        <f aca="false">IF(LEFT($B136,4)="_Mil","",_xlfn.IFNA(ROUND(INDEX(Spectrum!$N:$N,MATCH(RIGHT($B136,13)&amp;"|"&amp;$C136&amp;"|"&amp;$D136&amp;"|"&amp;AC$14&amp;"|"&amp;"CY2023Q3",Spectrum!$R:$R,0)),0),""))</f>
        <v>675</v>
      </c>
      <c r="AD136" s="10" t="str">
        <f aca="false">IF(LEFT($B136,4)="_Mil","",_xlfn.IFNA(ROUND(INDEX(Spectrum!$N:$N,MATCH(RIGHT($B136,13)&amp;"|"&amp;$C136&amp;"|"&amp;$D136&amp;"|"&amp;AD$14&amp;"|"&amp;"CY2023Q3",Spectrum!$R:$R,0)),0),""))</f>
        <v/>
      </c>
      <c r="AE136" s="88" t="n">
        <f aca="false">IF(OR(LEFT($B136,4)="_Mil",SUM($Z136)=0),"",SUM($AD136)/$Z136)</f>
        <v>0</v>
      </c>
      <c r="AF136" s="39" t="str">
        <f aca="false">IF(LEFT($B136,4)="_Mil","",_xlfn.IFNA(ROUND(INDEX(Spectrum!$N:$N,MATCH(RIGHT($B136,13)&amp;"|"&amp;$C136&amp;"|"&amp;$D136&amp;"|"&amp;AF$14&amp;"|"&amp;"CY2023Q3",Spectrum!$R:$R,0)),0),""))</f>
        <v/>
      </c>
      <c r="AG136" s="88" t="str">
        <f aca="false">IF(OR(LEFT($B136,4)="_Mil",SUM($AD136)=0),"",SUM($AF136)/$AD136)</f>
        <v/>
      </c>
      <c r="AH136" s="86" t="str">
        <f aca="false">IF(LEFT($B136,4)="_Mil","",_xlfn.IFNA(INDEX(Spectrum!$N:$N,MATCH(RIGHT($B136,13)&amp;"|"&amp;$C136&amp;"|"&amp;$D136&amp;"|"&amp;AH$14&amp;"|"&amp;"CY2023Q3",Spectrum!$R:$R,0)),""))</f>
        <v/>
      </c>
      <c r="AI136" s="10" t="str">
        <f aca="false">IF(LEFT($B136,4)="_Mil","",_xlfn.IFNA(ROUND(INDEX(Spectrum!$N:$N,MATCH(RIGHT($B136,13)&amp;"|"&amp;$C136&amp;"|"&amp;$D136&amp;"|"&amp;AI$14&amp;"|"&amp;"CY2023Q3",Spectrum!$R:$R,0)),0),""))</f>
        <v/>
      </c>
      <c r="AJ136" s="39" t="n">
        <f aca="false">IF(LEFT($B136,4)="_Mil","",_xlfn.IFNA(ROUND(INDEX(Spectrum!$N:$N,MATCH(RIGHT($B136,13)&amp;"|"&amp;$C136&amp;"|"&amp;$D136&amp;"|"&amp;AI$14&amp;"|"&amp;"CY2023Q3",Spectrum!$R:$R,0)),0),SUM($U136)+SUM($AI136)))</f>
        <v>0</v>
      </c>
      <c r="AK136" s="10" t="str">
        <f aca="false">IF(LEFT($B136,4)="_Mil","",_xlfn.IFNA(ROUND(INDEX(Spectrum!$N:$N,MATCH(RIGHT($B136,13)&amp;"|"&amp;$C136&amp;"|"&amp;$D136&amp;"|"&amp;AK$14&amp;"|"&amp;"CY2023Q3",Spectrum!$R:$R,0)),0),""))</f>
        <v/>
      </c>
      <c r="AL136" s="88" t="n">
        <f aca="false">IF(OR(LEFT($B136,4)="_Mil",$C136="&lt;01"),"",MAX(SUM($AA136),90%))</f>
        <v>1790</v>
      </c>
      <c r="AM136" s="10" t="n">
        <f aca="false">IF(OR(LEFT($B136,4)="_Mil",$C136="&lt;01"),"",ROUND(SUM($AJ136)*SUM($AL136),0))</f>
        <v>0</v>
      </c>
      <c r="AN136" s="10" t="str">
        <f aca="false">IF($C136="&lt;01",ROUND(INDEX(EID!$P:$P,MATCH($B136,EID!$B:$B,0))/2,0),"")</f>
        <v/>
      </c>
      <c r="AO136" s="10" t="n">
        <f aca="false">IF($C136="&lt;01",SUM($AN136),ROUND(SUM($AM136)*SUM($O136)/IF(SUM($Z136)=0,1,$Z136),0))</f>
        <v>0</v>
      </c>
      <c r="AP136" s="39" t="n">
        <f aca="false">IF(OR($F136="",$C136="&lt;01"),$AO136,$F136)</f>
        <v>0</v>
      </c>
      <c r="AQ136" s="39" t="n">
        <f aca="false">IF(LEFT($B136,4)="_Mil","",IF(SUM($AP136)=0,SUM($Z136),IF(OR(SUM($Z136)=0,SUM($O136)=0),MAX($AP136,$Z136),$AP136*$Z136/$O136)))</f>
        <v>724</v>
      </c>
      <c r="AR136" s="88" t="str">
        <f aca="false">IF(OR(LEFT($B136,4)="_Mil",SUM($AJ136)=0),"",SUM($AQ136)/$AJ136)</f>
        <v/>
      </c>
      <c r="AS136" s="88" t="n">
        <f aca="false">IF($C136="&lt;01","",98%)</f>
        <v>0.98</v>
      </c>
      <c r="AT136" s="88" t="n">
        <f aca="false">IF($C136="&lt;01","",98%)</f>
        <v>0.98</v>
      </c>
      <c r="AU136" s="10" t="n">
        <f aca="false">IF($C136="&lt;01","",SUM($AP136)-SUM($O136))</f>
        <v>0</v>
      </c>
      <c r="AV136" s="10" t="n">
        <f aca="false">IF($C136="&lt;01",ROUND(INDEX(EID!$N:$N,MATCH($B136,EID!$B:$B,0))/2,0),IF(SUM($AT136)=0,"",ROUND((SUM($AP136)-(SUM($O136)*SUM($AS136)))/$AT136,0)))</f>
        <v>0</v>
      </c>
      <c r="AW136" s="88" t="n">
        <f aca="false">IF($C136="&lt;01","",100%)</f>
        <v>1</v>
      </c>
      <c r="AX136" s="39" t="n">
        <f aca="false">IF($C136="&lt;01",SUM($AV136),ROUND(SUM($AV136)*SUM($AW136),0))</f>
        <v>0</v>
      </c>
      <c r="AY136" s="114" t="n">
        <f aca="false">IF($C136="&lt;01","",70%)</f>
        <v>0.7</v>
      </c>
      <c r="AZ136" s="91" t="n">
        <f aca="false">IF($C136="&lt;01",ROUND(INDEX(EID!$R:$R,MATCH($B136,EID!$B:$B,0))/2,0),ROUND(SUM($O136)+(SUM($AV136)*$AY136),0))</f>
        <v>0</v>
      </c>
      <c r="BA136" s="87" t="n">
        <f aca="false">IF($C136="&lt;01","",95%)</f>
        <v>0.95</v>
      </c>
      <c r="BB136" s="5" t="n">
        <f aca="false">IF($C136="&lt;01",ROUND(INDEX(EID!$T:$T,MATCH($B136,EID!$B:$B,0))/2,0),ROUND($AZ136*$BA136,0))</f>
        <v>0</v>
      </c>
      <c r="BC136" s="91" t="n">
        <f aca="false">IF(LEFT($B136,4)="_Mil","",IF(SUM($BB136)=0,SUM($AD136),IF(OR(SUM($AP136)=0,SUM($AQ136)=0),MAX($BB136,$AD136),ROUND($BB136*$AQ136/$AP136,0))))</f>
        <v>0</v>
      </c>
      <c r="BD136" s="88" t="n">
        <f aca="false">IF($C136="&lt;01","",95%)</f>
        <v>0.95</v>
      </c>
      <c r="BE136" s="39" t="n">
        <f aca="false">IF($C136="&lt;01",ROUND(INDEX(EID!$V:$V,MATCH($B136,EID!$B:$B,0))/2,0),ROUND($BD136*$BB136,0))</f>
        <v>0</v>
      </c>
      <c r="BF136" s="39" t="n">
        <f aca="false">IF(LEFT($B136,4)="_Mil","",IF(SUM($BE136)=0,SUM($AF136),IF(OR(SUM($AP136)=0,SUM($AQ136)=0),MAX($BE136,$AF136),ROUND($BE136*$AQ136/$AP136,0))))</f>
        <v>0</v>
      </c>
      <c r="BG136" s="114" t="n">
        <f aca="false">IF($C136="&lt;01","",95%)</f>
        <v>0.95</v>
      </c>
      <c r="BH136" s="5" t="n">
        <f aca="false">IF($C136="&lt;01",ROUND(INDEX(EID!$L:$L,MATCH($B136,EID!$B:$B,0)),0)/2,IF(SUM($BG136)=0,"",ROUND($AX136/$BG136,0)))</f>
        <v>0</v>
      </c>
    </row>
    <row r="137" customFormat="false" ht="15" hidden="false" customHeight="false" outlineLevel="0" collapsed="false">
      <c r="A137" s="0" t="str">
        <f aca="false">INDEX(Prioritization!$D:$D,MATCH($B137,Prioritization!$A:$A,0))</f>
        <v>INVALID</v>
      </c>
      <c r="B137" s="0" t="s">
        <v>202</v>
      </c>
      <c r="C137" s="0" t="s">
        <v>367</v>
      </c>
      <c r="D137" s="0" t="s">
        <v>30</v>
      </c>
      <c r="E137" s="0" t="str">
        <f aca="false">$B137&amp;"|"&amp;$C137&amp;"|"&amp;$D137</f>
        <v>Ntchisi District [fiRkU6gEjLz]|35-49|Female</v>
      </c>
      <c r="F137" s="10"/>
      <c r="G137" s="10"/>
      <c r="H137" s="10"/>
      <c r="I137" s="10"/>
      <c r="J137" s="10"/>
      <c r="K137" s="10"/>
      <c r="L137" s="10"/>
      <c r="M137" s="10"/>
      <c r="N137" s="10"/>
      <c r="O137" s="10" t="str">
        <f aca="false">IFERROR(1/(1/MAX($I137,$N137)),"")</f>
        <v/>
      </c>
      <c r="P137" s="10"/>
      <c r="Q137" s="10"/>
      <c r="R137" s="10" t="str">
        <f aca="false">IF(AND(SUM($I137)=0,SUM($O137)=0),"",SUM($O137)-$I137)</f>
        <v/>
      </c>
      <c r="S137" s="10" t="n">
        <f aca="false">IF(LEFT($B137,4)="_Mil","",_xlfn.IFNA(ROUND(INDEX(Spectrum!$N:$N,MATCH(RIGHT($B137,13)&amp;"|"&amp;$C137&amp;"|"&amp;$D137&amp;"|"&amp;S$14&amp;"|"&amp;"CY2022Q4",Spectrum!$R:$R,0)),0),""))</f>
        <v>697</v>
      </c>
      <c r="T137" s="39" t="n">
        <f aca="false">IF(LEFT($B137,4)="_Mil","",_xlfn.IFNA(ROUND(INDEX(Spectrum!$N:$N,MATCH(RIGHT($B137,13)&amp;"|"&amp;$C137&amp;"|"&amp;$D137&amp;"|"&amp;T$14&amp;"|"&amp;"CY2023Q3",Spectrum!$R:$R,0)),0),""))</f>
        <v>769</v>
      </c>
      <c r="U137" s="39" t="str">
        <f aca="false">IF(LEFT($B137,4)="_Mil","",_xlfn.IFNA(ROUND(INDEX(Spectrum!$N:$N,MATCH(RIGHT($B137,13)&amp;"|"&amp;$C137&amp;"|"&amp;$D137&amp;"|"&amp;U$14&amp;"|"&amp;"CY2023Q3",Spectrum!$R:$R,0)),0),""))</f>
        <v/>
      </c>
      <c r="V137" s="10" t="n">
        <f aca="false">IF(LEFT($B137,4)="_Mil","",_xlfn.IFNA(ROUND(INDEX(Spectrum!$N:$N,MATCH(RIGHT($B137,13)&amp;"|"&amp;$C137&amp;"|"&amp;$D137&amp;"|"&amp;V$14&amp;"|"&amp;"CY2023Q3",Spectrum!$R:$R,0)),0),""))</f>
        <v>1165</v>
      </c>
      <c r="W137" s="113" t="n">
        <f aca="false">IF(LEFT($B137,4)="_Mil","",_xlfn.IFNA(INDEX(Spectrum!$N:$N,MATCH(RIGHT($B137,13)&amp;"|"&amp;$C137&amp;"|"&amp;$D137&amp;"|"&amp;W$14&amp;"|"&amp;"CY2023Q3",Spectrum!$R:$R,0)),""))</f>
        <v>546</v>
      </c>
      <c r="X137" s="39" t="n">
        <f aca="false">IF(LEFT($B137,4)="_Mil","",_xlfn.IFNA(ROUND(INDEX(Spectrum!$N:$N,MATCH(RIGHT($B137,13)&amp;"|"&amp;$C137&amp;"|"&amp;$D137&amp;"|"&amp;X$14&amp;"|"&amp;"CY2023Q3",Spectrum!$R:$R,0)),0),""))</f>
        <v>1661</v>
      </c>
      <c r="Y137" s="88" t="str">
        <f aca="false">IF(OR(SUM($U137)=0,LEFT($B137,4)="_Mil"),"",SUM($X137)/$U137)</f>
        <v/>
      </c>
      <c r="Z137" s="39" t="n">
        <f aca="false">IF(LEFT($B137,4)="_Mil","",_xlfn.IFNA(ROUND(INDEX(Spectrum!$N:$N,MATCH(RIGHT($B137,13)&amp;"|"&amp;$C137&amp;"|"&amp;$D137&amp;"|"&amp;Z$14&amp;"|"&amp;"CY2023Q3",Spectrum!$R:$R,0)),0),""))</f>
        <v>886</v>
      </c>
      <c r="AA137" s="88" t="n">
        <f aca="false">IF(LEFT($B137,4)="_Mil","",IFERROR(1/(1/INDEX(Spectrum!$N:$N,MATCH(RIGHT($B137,13)&amp;"|"&amp;$C137&amp;"|"&amp;$D137&amp;"|"&amp;AA$14&amp;"|"&amp;"CY2023Q3",Spectrum!$R:$R,0))),IF(SUM($U137)=0,"",SUM($Z137)/$U137)))</f>
        <v>711</v>
      </c>
      <c r="AB137" s="88" t="n">
        <f aca="false">IF(OR(LEFT($B137,4)="_Mil",SUM($X137)=0),"",SUM($Z137)/$X137)</f>
        <v>0.533413606261288</v>
      </c>
      <c r="AC137" s="10" t="n">
        <f aca="false">IF(LEFT($B137,4)="_Mil","",_xlfn.IFNA(ROUND(INDEX(Spectrum!$N:$N,MATCH(RIGHT($B137,13)&amp;"|"&amp;$C137&amp;"|"&amp;$D137&amp;"|"&amp;AC$14&amp;"|"&amp;"CY2023Q3",Spectrum!$R:$R,0)),0),""))</f>
        <v>1571</v>
      </c>
      <c r="AD137" s="10" t="str">
        <f aca="false">IF(LEFT($B137,4)="_Mil","",_xlfn.IFNA(ROUND(INDEX(Spectrum!$N:$N,MATCH(RIGHT($B137,13)&amp;"|"&amp;$C137&amp;"|"&amp;$D137&amp;"|"&amp;AD$14&amp;"|"&amp;"CY2023Q3",Spectrum!$R:$R,0)),0),""))</f>
        <v/>
      </c>
      <c r="AE137" s="88" t="n">
        <f aca="false">IF(OR(LEFT($B137,4)="_Mil",SUM($Z137)=0),"",SUM($AD137)/$Z137)</f>
        <v>0</v>
      </c>
      <c r="AF137" s="39" t="str">
        <f aca="false">IF(LEFT($B137,4)="_Mil","",_xlfn.IFNA(ROUND(INDEX(Spectrum!$N:$N,MATCH(RIGHT($B137,13)&amp;"|"&amp;$C137&amp;"|"&amp;$D137&amp;"|"&amp;AF$14&amp;"|"&amp;"CY2023Q3",Spectrum!$R:$R,0)),0),""))</f>
        <v/>
      </c>
      <c r="AG137" s="88" t="str">
        <f aca="false">IF(OR(LEFT($B137,4)="_Mil",SUM($AD137)=0),"",SUM($AF137)/$AD137)</f>
        <v/>
      </c>
      <c r="AH137" s="86" t="str">
        <f aca="false">IF(LEFT($B137,4)="_Mil","",_xlfn.IFNA(INDEX(Spectrum!$N:$N,MATCH(RIGHT($B137,13)&amp;"|"&amp;$C137&amp;"|"&amp;$D137&amp;"|"&amp;AH$14&amp;"|"&amp;"CY2023Q3",Spectrum!$R:$R,0)),""))</f>
        <v/>
      </c>
      <c r="AI137" s="10" t="str">
        <f aca="false">IF(LEFT($B137,4)="_Mil","",_xlfn.IFNA(ROUND(INDEX(Spectrum!$N:$N,MATCH(RIGHT($B137,13)&amp;"|"&amp;$C137&amp;"|"&amp;$D137&amp;"|"&amp;AI$14&amp;"|"&amp;"CY2023Q3",Spectrum!$R:$R,0)),0),""))</f>
        <v/>
      </c>
      <c r="AJ137" s="39" t="n">
        <f aca="false">IF(LEFT($B137,4)="_Mil","",_xlfn.IFNA(ROUND(INDEX(Spectrum!$N:$N,MATCH(RIGHT($B137,13)&amp;"|"&amp;$C137&amp;"|"&amp;$D137&amp;"|"&amp;AI$14&amp;"|"&amp;"CY2023Q3",Spectrum!$R:$R,0)),0),SUM($U137)+SUM($AI137)))</f>
        <v>0</v>
      </c>
      <c r="AK137" s="10" t="str">
        <f aca="false">IF(LEFT($B137,4)="_Mil","",_xlfn.IFNA(ROUND(INDEX(Spectrum!$N:$N,MATCH(RIGHT($B137,13)&amp;"|"&amp;$C137&amp;"|"&amp;$D137&amp;"|"&amp;AK$14&amp;"|"&amp;"CY2023Q3",Spectrum!$R:$R,0)),0),""))</f>
        <v/>
      </c>
      <c r="AL137" s="88" t="n">
        <f aca="false">IF(OR(LEFT($B137,4)="_Mil",$C137="&lt;01"),"",MAX(SUM($AA137),90%))</f>
        <v>711</v>
      </c>
      <c r="AM137" s="10" t="n">
        <f aca="false">IF(OR(LEFT($B137,4)="_Mil",$C137="&lt;01"),"",ROUND(SUM($AJ137)*SUM($AL137),0))</f>
        <v>0</v>
      </c>
      <c r="AN137" s="10" t="str">
        <f aca="false">IF($C137="&lt;01",ROUND(INDEX(EID!$P:$P,MATCH($B137,EID!$B:$B,0))/2,0),"")</f>
        <v/>
      </c>
      <c r="AO137" s="10" t="n">
        <f aca="false">IF($C137="&lt;01",SUM($AN137),ROUND(SUM($AM137)*SUM($O137)/IF(SUM($Z137)=0,1,$Z137),0))</f>
        <v>0</v>
      </c>
      <c r="AP137" s="39" t="n">
        <f aca="false">IF(OR($F137="",$C137="&lt;01"),$AO137,$F137)</f>
        <v>0</v>
      </c>
      <c r="AQ137" s="39" t="n">
        <f aca="false">IF(LEFT($B137,4)="_Mil","",IF(SUM($AP137)=0,SUM($Z137),IF(OR(SUM($Z137)=0,SUM($O137)=0),MAX($AP137,$Z137),$AP137*$Z137/$O137)))</f>
        <v>886</v>
      </c>
      <c r="AR137" s="88" t="str">
        <f aca="false">IF(OR(LEFT($B137,4)="_Mil",SUM($AJ137)=0),"",SUM($AQ137)/$AJ137)</f>
        <v/>
      </c>
      <c r="AS137" s="88" t="n">
        <f aca="false">IF($C137="&lt;01","",98%)</f>
        <v>0.98</v>
      </c>
      <c r="AT137" s="88" t="n">
        <f aca="false">IF($C137="&lt;01","",98%)</f>
        <v>0.98</v>
      </c>
      <c r="AU137" s="10" t="n">
        <f aca="false">IF($C137="&lt;01","",SUM($AP137)-SUM($O137))</f>
        <v>0</v>
      </c>
      <c r="AV137" s="10" t="n">
        <f aca="false">IF($C137="&lt;01",ROUND(INDEX(EID!$N:$N,MATCH($B137,EID!$B:$B,0))/2,0),IF(SUM($AT137)=0,"",ROUND((SUM($AP137)-(SUM($O137)*SUM($AS137)))/$AT137,0)))</f>
        <v>0</v>
      </c>
      <c r="AW137" s="88" t="n">
        <f aca="false">IF($C137="&lt;01","",100%)</f>
        <v>1</v>
      </c>
      <c r="AX137" s="39" t="n">
        <f aca="false">IF($C137="&lt;01",SUM($AV137),ROUND(SUM($AV137)*SUM($AW137),0))</f>
        <v>0</v>
      </c>
      <c r="AY137" s="114" t="n">
        <f aca="false">IF($C137="&lt;01","",70%)</f>
        <v>0.7</v>
      </c>
      <c r="AZ137" s="91" t="n">
        <f aca="false">IF($C137="&lt;01",ROUND(INDEX(EID!$R:$R,MATCH($B137,EID!$B:$B,0))/2,0),ROUND(SUM($O137)+(SUM($AV137)*$AY137),0))</f>
        <v>0</v>
      </c>
      <c r="BA137" s="87" t="n">
        <f aca="false">IF($C137="&lt;01","",95%)</f>
        <v>0.95</v>
      </c>
      <c r="BB137" s="5" t="n">
        <f aca="false">IF($C137="&lt;01",ROUND(INDEX(EID!$T:$T,MATCH($B137,EID!$B:$B,0))/2,0),ROUND($AZ137*$BA137,0))</f>
        <v>0</v>
      </c>
      <c r="BC137" s="91" t="n">
        <f aca="false">IF(LEFT($B137,4)="_Mil","",IF(SUM($BB137)=0,SUM($AD137),IF(OR(SUM($AP137)=0,SUM($AQ137)=0),MAX($BB137,$AD137),ROUND($BB137*$AQ137/$AP137,0))))</f>
        <v>0</v>
      </c>
      <c r="BD137" s="88" t="n">
        <f aca="false">IF($C137="&lt;01","",95%)</f>
        <v>0.95</v>
      </c>
      <c r="BE137" s="39" t="n">
        <f aca="false">IF($C137="&lt;01",ROUND(INDEX(EID!$V:$V,MATCH($B137,EID!$B:$B,0))/2,0),ROUND($BD137*$BB137,0))</f>
        <v>0</v>
      </c>
      <c r="BF137" s="39" t="n">
        <f aca="false">IF(LEFT($B137,4)="_Mil","",IF(SUM($BE137)=0,SUM($AF137),IF(OR(SUM($AP137)=0,SUM($AQ137)=0),MAX($BE137,$AF137),ROUND($BE137*$AQ137/$AP137,0))))</f>
        <v>0</v>
      </c>
      <c r="BG137" s="114" t="n">
        <f aca="false">IF($C137="&lt;01","",95%)</f>
        <v>0.95</v>
      </c>
      <c r="BH137" s="5" t="n">
        <f aca="false">IF($C137="&lt;01",ROUND(INDEX(EID!$L:$L,MATCH($B137,EID!$B:$B,0)),0)/2,IF(SUM($BG137)=0,"",ROUND($AX137/$BG137,0)))</f>
        <v>0</v>
      </c>
    </row>
    <row r="138" customFormat="false" ht="15" hidden="false" customHeight="false" outlineLevel="0" collapsed="false">
      <c r="A138" s="0" t="str">
        <f aca="false">INDEX(Prioritization!$D:$D,MATCH($B138,Prioritization!$A:$A,0))</f>
        <v>INVALID</v>
      </c>
      <c r="B138" s="0" t="s">
        <v>202</v>
      </c>
      <c r="C138" s="0" t="s">
        <v>367</v>
      </c>
      <c r="D138" s="0" t="s">
        <v>48</v>
      </c>
      <c r="E138" s="0" t="str">
        <f aca="false">$B138&amp;"|"&amp;$C138&amp;"|"&amp;$D138</f>
        <v>Ntchisi District [fiRkU6gEjLz]|35-49|Male</v>
      </c>
      <c r="F138" s="10"/>
      <c r="G138" s="10"/>
      <c r="H138" s="10"/>
      <c r="I138" s="10"/>
      <c r="J138" s="10"/>
      <c r="K138" s="10"/>
      <c r="L138" s="10"/>
      <c r="M138" s="10"/>
      <c r="N138" s="10"/>
      <c r="O138" s="10" t="str">
        <f aca="false">IFERROR(1/(1/MAX($I138,$N138)),"")</f>
        <v/>
      </c>
      <c r="P138" s="10"/>
      <c r="Q138" s="10"/>
      <c r="R138" s="10" t="str">
        <f aca="false">IF(AND(SUM($I138)=0,SUM($O138)=0),"",SUM($O138)-$I138)</f>
        <v/>
      </c>
      <c r="S138" s="10" t="n">
        <f aca="false">IF(LEFT($B138,4)="_Mil","",_xlfn.IFNA(ROUND(INDEX(Spectrum!$N:$N,MATCH(RIGHT($B138,13)&amp;"|"&amp;$C138&amp;"|"&amp;$D138&amp;"|"&amp;S$14&amp;"|"&amp;"CY2022Q4",Spectrum!$R:$R,0)),0),""))</f>
        <v>978</v>
      </c>
      <c r="T138" s="39" t="n">
        <f aca="false">IF(LEFT($B138,4)="_Mil","",_xlfn.IFNA(ROUND(INDEX(Spectrum!$N:$N,MATCH(RIGHT($B138,13)&amp;"|"&amp;$C138&amp;"|"&amp;$D138&amp;"|"&amp;T$14&amp;"|"&amp;"CY2023Q3",Spectrum!$R:$R,0)),0),""))</f>
        <v>1172</v>
      </c>
      <c r="U138" s="39" t="str">
        <f aca="false">IF(LEFT($B138,4)="_Mil","",_xlfn.IFNA(ROUND(INDEX(Spectrum!$N:$N,MATCH(RIGHT($B138,13)&amp;"|"&amp;$C138&amp;"|"&amp;$D138&amp;"|"&amp;U$14&amp;"|"&amp;"CY2023Q3",Spectrum!$R:$R,0)),0),""))</f>
        <v/>
      </c>
      <c r="V138" s="10" t="n">
        <f aca="false">IF(LEFT($B138,4)="_Mil","",_xlfn.IFNA(ROUND(INDEX(Spectrum!$N:$N,MATCH(RIGHT($B138,13)&amp;"|"&amp;$C138&amp;"|"&amp;$D138&amp;"|"&amp;V$14&amp;"|"&amp;"CY2023Q3",Spectrum!$R:$R,0)),0),""))</f>
        <v>1266</v>
      </c>
      <c r="W138" s="113" t="n">
        <f aca="false">IF(LEFT($B138,4)="_Mil","",_xlfn.IFNA(INDEX(Spectrum!$N:$N,MATCH(RIGHT($B138,13)&amp;"|"&amp;$C138&amp;"|"&amp;$D138&amp;"|"&amp;W$14&amp;"|"&amp;"CY2023Q3",Spectrum!$R:$R,0)),""))</f>
        <v>935</v>
      </c>
      <c r="X138" s="39" t="n">
        <f aca="false">IF(LEFT($B138,4)="_Mil","",_xlfn.IFNA(ROUND(INDEX(Spectrum!$N:$N,MATCH(RIGHT($B138,13)&amp;"|"&amp;$C138&amp;"|"&amp;$D138&amp;"|"&amp;X$14&amp;"|"&amp;"CY2023Q3",Spectrum!$R:$R,0)),0),""))</f>
        <v>1963</v>
      </c>
      <c r="Y138" s="88" t="str">
        <f aca="false">IF(OR(SUM($U138)=0,LEFT($B138,4)="_Mil"),"",SUM($X138)/$U138)</f>
        <v/>
      </c>
      <c r="Z138" s="39" t="n">
        <f aca="false">IF(LEFT($B138,4)="_Mil","",_xlfn.IFNA(ROUND(INDEX(Spectrum!$N:$N,MATCH(RIGHT($B138,13)&amp;"|"&amp;$C138&amp;"|"&amp;$D138&amp;"|"&amp;Z$14&amp;"|"&amp;"CY2023Q3",Spectrum!$R:$R,0)),0),""))</f>
        <v>794</v>
      </c>
      <c r="AA138" s="88" t="n">
        <f aca="false">IF(LEFT($B138,4)="_Mil","",IFERROR(1/(1/INDEX(Spectrum!$N:$N,MATCH(RIGHT($B138,13)&amp;"|"&amp;$C138&amp;"|"&amp;$D138&amp;"|"&amp;AA$14&amp;"|"&amp;"CY2023Q3",Spectrum!$R:$R,0))),IF(SUM($U138)=0,"",SUM($Z138)/$U138)))</f>
        <v>670</v>
      </c>
      <c r="AB138" s="88" t="n">
        <f aca="false">IF(OR(LEFT($B138,4)="_Mil",SUM($X138)=0),"",SUM($Z138)/$X138)</f>
        <v>0.404482934284259</v>
      </c>
      <c r="AC138" s="10" t="n">
        <f aca="false">IF(LEFT($B138,4)="_Mil","",_xlfn.IFNA(ROUND(INDEX(Spectrum!$N:$N,MATCH(RIGHT($B138,13)&amp;"|"&amp;$C138&amp;"|"&amp;$D138&amp;"|"&amp;AC$14&amp;"|"&amp;"CY2023Q3",Spectrum!$R:$R,0)),0),""))</f>
        <v>1352</v>
      </c>
      <c r="AD138" s="10" t="str">
        <f aca="false">IF(LEFT($B138,4)="_Mil","",_xlfn.IFNA(ROUND(INDEX(Spectrum!$N:$N,MATCH(RIGHT($B138,13)&amp;"|"&amp;$C138&amp;"|"&amp;$D138&amp;"|"&amp;AD$14&amp;"|"&amp;"CY2023Q3",Spectrum!$R:$R,0)),0),""))</f>
        <v/>
      </c>
      <c r="AE138" s="88" t="n">
        <f aca="false">IF(OR(LEFT($B138,4)="_Mil",SUM($Z138)=0),"",SUM($AD138)/$Z138)</f>
        <v>0</v>
      </c>
      <c r="AF138" s="39" t="str">
        <f aca="false">IF(LEFT($B138,4)="_Mil","",_xlfn.IFNA(ROUND(INDEX(Spectrum!$N:$N,MATCH(RIGHT($B138,13)&amp;"|"&amp;$C138&amp;"|"&amp;$D138&amp;"|"&amp;AF$14&amp;"|"&amp;"CY2023Q3",Spectrum!$R:$R,0)),0),""))</f>
        <v/>
      </c>
      <c r="AG138" s="88" t="str">
        <f aca="false">IF(OR(LEFT($B138,4)="_Mil",SUM($AD138)=0),"",SUM($AF138)/$AD138)</f>
        <v/>
      </c>
      <c r="AH138" s="86" t="str">
        <f aca="false">IF(LEFT($B138,4)="_Mil","",_xlfn.IFNA(INDEX(Spectrum!$N:$N,MATCH(RIGHT($B138,13)&amp;"|"&amp;$C138&amp;"|"&amp;$D138&amp;"|"&amp;AH$14&amp;"|"&amp;"CY2023Q3",Spectrum!$R:$R,0)),""))</f>
        <v/>
      </c>
      <c r="AI138" s="10" t="str">
        <f aca="false">IF(LEFT($B138,4)="_Mil","",_xlfn.IFNA(ROUND(INDEX(Spectrum!$N:$N,MATCH(RIGHT($B138,13)&amp;"|"&amp;$C138&amp;"|"&amp;$D138&amp;"|"&amp;AI$14&amp;"|"&amp;"CY2023Q3",Spectrum!$R:$R,0)),0),""))</f>
        <v/>
      </c>
      <c r="AJ138" s="39" t="n">
        <f aca="false">IF(LEFT($B138,4)="_Mil","",_xlfn.IFNA(ROUND(INDEX(Spectrum!$N:$N,MATCH(RIGHT($B138,13)&amp;"|"&amp;$C138&amp;"|"&amp;$D138&amp;"|"&amp;AI$14&amp;"|"&amp;"CY2023Q3",Spectrum!$R:$R,0)),0),SUM($U138)+SUM($AI138)))</f>
        <v>0</v>
      </c>
      <c r="AK138" s="10" t="str">
        <f aca="false">IF(LEFT($B138,4)="_Mil","",_xlfn.IFNA(ROUND(INDEX(Spectrum!$N:$N,MATCH(RIGHT($B138,13)&amp;"|"&amp;$C138&amp;"|"&amp;$D138&amp;"|"&amp;AK$14&amp;"|"&amp;"CY2023Q3",Spectrum!$R:$R,0)),0),""))</f>
        <v/>
      </c>
      <c r="AL138" s="88" t="n">
        <f aca="false">IF(OR(LEFT($B138,4)="_Mil",$C138="&lt;01"),"",MAX(SUM($AA138),90%))</f>
        <v>670</v>
      </c>
      <c r="AM138" s="10" t="n">
        <f aca="false">IF(OR(LEFT($B138,4)="_Mil",$C138="&lt;01"),"",ROUND(SUM($AJ138)*SUM($AL138),0))</f>
        <v>0</v>
      </c>
      <c r="AN138" s="10" t="str">
        <f aca="false">IF($C138="&lt;01",ROUND(INDEX(EID!$P:$P,MATCH($B138,EID!$B:$B,0))/2,0),"")</f>
        <v/>
      </c>
      <c r="AO138" s="10" t="n">
        <f aca="false">IF($C138="&lt;01",SUM($AN138),ROUND(SUM($AM138)*SUM($O138)/IF(SUM($Z138)=0,1,$Z138),0))</f>
        <v>0</v>
      </c>
      <c r="AP138" s="39" t="n">
        <f aca="false">IF(OR($F138="",$C138="&lt;01"),$AO138,$F138)</f>
        <v>0</v>
      </c>
      <c r="AQ138" s="39" t="n">
        <f aca="false">IF(LEFT($B138,4)="_Mil","",IF(SUM($AP138)=0,SUM($Z138),IF(OR(SUM($Z138)=0,SUM($O138)=0),MAX($AP138,$Z138),$AP138*$Z138/$O138)))</f>
        <v>794</v>
      </c>
      <c r="AR138" s="88" t="str">
        <f aca="false">IF(OR(LEFT($B138,4)="_Mil",SUM($AJ138)=0),"",SUM($AQ138)/$AJ138)</f>
        <v/>
      </c>
      <c r="AS138" s="88" t="n">
        <f aca="false">IF($C138="&lt;01","",98%)</f>
        <v>0.98</v>
      </c>
      <c r="AT138" s="88" t="n">
        <f aca="false">IF($C138="&lt;01","",98%)</f>
        <v>0.98</v>
      </c>
      <c r="AU138" s="10" t="n">
        <f aca="false">IF($C138="&lt;01","",SUM($AP138)-SUM($O138))</f>
        <v>0</v>
      </c>
      <c r="AV138" s="10" t="n">
        <f aca="false">IF($C138="&lt;01",ROUND(INDEX(EID!$N:$N,MATCH($B138,EID!$B:$B,0))/2,0),IF(SUM($AT138)=0,"",ROUND((SUM($AP138)-(SUM($O138)*SUM($AS138)))/$AT138,0)))</f>
        <v>0</v>
      </c>
      <c r="AW138" s="88" t="n">
        <f aca="false">IF($C138="&lt;01","",100%)</f>
        <v>1</v>
      </c>
      <c r="AX138" s="39" t="n">
        <f aca="false">IF($C138="&lt;01",SUM($AV138),ROUND(SUM($AV138)*SUM($AW138),0))</f>
        <v>0</v>
      </c>
      <c r="AY138" s="114" t="n">
        <f aca="false">IF($C138="&lt;01","",70%)</f>
        <v>0.7</v>
      </c>
      <c r="AZ138" s="91" t="n">
        <f aca="false">IF($C138="&lt;01",ROUND(INDEX(EID!$R:$R,MATCH($B138,EID!$B:$B,0))/2,0),ROUND(SUM($O138)+(SUM($AV138)*$AY138),0))</f>
        <v>0</v>
      </c>
      <c r="BA138" s="87" t="n">
        <f aca="false">IF($C138="&lt;01","",95%)</f>
        <v>0.95</v>
      </c>
      <c r="BB138" s="5" t="n">
        <f aca="false">IF($C138="&lt;01",ROUND(INDEX(EID!$T:$T,MATCH($B138,EID!$B:$B,0))/2,0),ROUND($AZ138*$BA138,0))</f>
        <v>0</v>
      </c>
      <c r="BC138" s="91" t="n">
        <f aca="false">IF(LEFT($B138,4)="_Mil","",IF(SUM($BB138)=0,SUM($AD138),IF(OR(SUM($AP138)=0,SUM($AQ138)=0),MAX($BB138,$AD138),ROUND($BB138*$AQ138/$AP138,0))))</f>
        <v>0</v>
      </c>
      <c r="BD138" s="88" t="n">
        <f aca="false">IF($C138="&lt;01","",95%)</f>
        <v>0.95</v>
      </c>
      <c r="BE138" s="39" t="n">
        <f aca="false">IF($C138="&lt;01",ROUND(INDEX(EID!$V:$V,MATCH($B138,EID!$B:$B,0))/2,0),ROUND($BD138*$BB138,0))</f>
        <v>0</v>
      </c>
      <c r="BF138" s="39" t="n">
        <f aca="false">IF(LEFT($B138,4)="_Mil","",IF(SUM($BE138)=0,SUM($AF138),IF(OR(SUM($AP138)=0,SUM($AQ138)=0),MAX($BE138,$AF138),ROUND($BE138*$AQ138/$AP138,0))))</f>
        <v>0</v>
      </c>
      <c r="BG138" s="114" t="n">
        <f aca="false">IF($C138="&lt;01","",95%)</f>
        <v>0.95</v>
      </c>
      <c r="BH138" s="5" t="n">
        <f aca="false">IF($C138="&lt;01",ROUND(INDEX(EID!$L:$L,MATCH($B138,EID!$B:$B,0)),0)/2,IF(SUM($BG138)=0,"",ROUND($AX138/$BG138,0)))</f>
        <v>0</v>
      </c>
    </row>
    <row r="139" customFormat="false" ht="15" hidden="false" customHeight="false" outlineLevel="0" collapsed="false">
      <c r="A139" s="0" t="str">
        <f aca="false">INDEX(Prioritization!$D:$D,MATCH($B139,Prioritization!$A:$A,0))</f>
        <v>INVALID</v>
      </c>
      <c r="B139" s="0" t="s">
        <v>202</v>
      </c>
      <c r="C139" s="0" t="s">
        <v>368</v>
      </c>
      <c r="D139" s="0" t="s">
        <v>30</v>
      </c>
      <c r="E139" s="0" t="str">
        <f aca="false">$B139&amp;"|"&amp;$C139&amp;"|"&amp;$D139</f>
        <v>Ntchisi District [fiRkU6gEjLz]|50+|Female</v>
      </c>
      <c r="F139" s="10"/>
      <c r="G139" s="10"/>
      <c r="H139" s="10"/>
      <c r="I139" s="10"/>
      <c r="J139" s="10"/>
      <c r="K139" s="10"/>
      <c r="L139" s="10"/>
      <c r="M139" s="10"/>
      <c r="N139" s="10"/>
      <c r="O139" s="10" t="str">
        <f aca="false">IFERROR(1/(1/MAX($I139,$N139)),"")</f>
        <v/>
      </c>
      <c r="P139" s="10"/>
      <c r="Q139" s="10"/>
      <c r="R139" s="10" t="str">
        <f aca="false">IF(AND(SUM($I139)=0,SUM($O139)=0),"",SUM($O139)-$I139)</f>
        <v/>
      </c>
      <c r="S139" s="10" t="n">
        <f aca="false">IF(LEFT($B139,4)="_Mil","",_xlfn.IFNA(ROUND(INDEX(Spectrum!$N:$N,MATCH(RIGHT($B139,13)&amp;"|"&amp;$C139&amp;"|"&amp;$D139&amp;"|"&amp;S$14&amp;"|"&amp;"CY2022Q4",Spectrum!$R:$R,0)),0),""))</f>
        <v>695</v>
      </c>
      <c r="T139" s="39" t="n">
        <f aca="false">IF(LEFT($B139,4)="_Mil","",_xlfn.IFNA(ROUND(INDEX(Spectrum!$N:$N,MATCH(RIGHT($B139,13)&amp;"|"&amp;$C139&amp;"|"&amp;$D139&amp;"|"&amp;T$14&amp;"|"&amp;"CY2023Q3",Spectrum!$R:$R,0)),0),""))</f>
        <v>1519</v>
      </c>
      <c r="U139" s="39" t="str">
        <f aca="false">IF(LEFT($B139,4)="_Mil","",_xlfn.IFNA(ROUND(INDEX(Spectrum!$N:$N,MATCH(RIGHT($B139,13)&amp;"|"&amp;$C139&amp;"|"&amp;$D139&amp;"|"&amp;U$14&amp;"|"&amp;"CY2023Q3",Spectrum!$R:$R,0)),0),""))</f>
        <v/>
      </c>
      <c r="V139" s="10" t="n">
        <f aca="false">IF(LEFT($B139,4)="_Mil","",_xlfn.IFNA(ROUND(INDEX(Spectrum!$N:$N,MATCH(RIGHT($B139,13)&amp;"|"&amp;$C139&amp;"|"&amp;$D139&amp;"|"&amp;V$14&amp;"|"&amp;"CY2023Q3",Spectrum!$R:$R,0)),0),""))</f>
        <v>1443</v>
      </c>
      <c r="W139" s="113" t="n">
        <f aca="false">IF(LEFT($B139,4)="_Mil","",_xlfn.IFNA(INDEX(Spectrum!$N:$N,MATCH(RIGHT($B139,13)&amp;"|"&amp;$C139&amp;"|"&amp;$D139&amp;"|"&amp;W$14&amp;"|"&amp;"CY2023Q3",Spectrum!$R:$R,0)),""))</f>
        <v>1732</v>
      </c>
      <c r="X139" s="39" t="n">
        <f aca="false">IF(LEFT($B139,4)="_Mil","",_xlfn.IFNA(ROUND(INDEX(Spectrum!$N:$N,MATCH(RIGHT($B139,13)&amp;"|"&amp;$C139&amp;"|"&amp;$D139&amp;"|"&amp;X$14&amp;"|"&amp;"CY2023Q3",Spectrum!$R:$R,0)),0),""))</f>
        <v>1212</v>
      </c>
      <c r="Y139" s="88" t="str">
        <f aca="false">IF(OR(SUM($U139)=0,LEFT($B139,4)="_Mil"),"",SUM($X139)/$U139)</f>
        <v/>
      </c>
      <c r="Z139" s="39" t="n">
        <f aca="false">IF(LEFT($B139,4)="_Mil","",_xlfn.IFNA(ROUND(INDEX(Spectrum!$N:$N,MATCH(RIGHT($B139,13)&amp;"|"&amp;$C139&amp;"|"&amp;$D139&amp;"|"&amp;Z$14&amp;"|"&amp;"CY2023Q3",Spectrum!$R:$R,0)),0),""))</f>
        <v>1569</v>
      </c>
      <c r="AA139" s="88" t="n">
        <f aca="false">IF(LEFT($B139,4)="_Mil","",IFERROR(1/(1/INDEX(Spectrum!$N:$N,MATCH(RIGHT($B139,13)&amp;"|"&amp;$C139&amp;"|"&amp;$D139&amp;"|"&amp;AA$14&amp;"|"&amp;"CY2023Q3",Spectrum!$R:$R,0))),IF(SUM($U139)=0,"",SUM($Z139)/$U139)))</f>
        <v>1492</v>
      </c>
      <c r="AB139" s="88" t="n">
        <f aca="false">IF(OR(LEFT($B139,4)="_Mil",SUM($X139)=0),"",SUM($Z139)/$X139)</f>
        <v>1.29455445544554</v>
      </c>
      <c r="AC139" s="10" t="n">
        <f aca="false">IF(LEFT($B139,4)="_Mil","",_xlfn.IFNA(ROUND(INDEX(Spectrum!$N:$N,MATCH(RIGHT($B139,13)&amp;"|"&amp;$C139&amp;"|"&amp;$D139&amp;"|"&amp;AC$14&amp;"|"&amp;"CY2023Q3",Spectrum!$R:$R,0)),0),""))</f>
        <v>1992</v>
      </c>
      <c r="AD139" s="10" t="str">
        <f aca="false">IF(LEFT($B139,4)="_Mil","",_xlfn.IFNA(ROUND(INDEX(Spectrum!$N:$N,MATCH(RIGHT($B139,13)&amp;"|"&amp;$C139&amp;"|"&amp;$D139&amp;"|"&amp;AD$14&amp;"|"&amp;"CY2023Q3",Spectrum!$R:$R,0)),0),""))</f>
        <v/>
      </c>
      <c r="AE139" s="88" t="n">
        <f aca="false">IF(OR(LEFT($B139,4)="_Mil",SUM($Z139)=0),"",SUM($AD139)/$Z139)</f>
        <v>0</v>
      </c>
      <c r="AF139" s="39" t="str">
        <f aca="false">IF(LEFT($B139,4)="_Mil","",_xlfn.IFNA(ROUND(INDEX(Spectrum!$N:$N,MATCH(RIGHT($B139,13)&amp;"|"&amp;$C139&amp;"|"&amp;$D139&amp;"|"&amp;AF$14&amp;"|"&amp;"CY2023Q3",Spectrum!$R:$R,0)),0),""))</f>
        <v/>
      </c>
      <c r="AG139" s="88" t="str">
        <f aca="false">IF(OR(LEFT($B139,4)="_Mil",SUM($AD139)=0),"",SUM($AF139)/$AD139)</f>
        <v/>
      </c>
      <c r="AH139" s="86" t="str">
        <f aca="false">IF(LEFT($B139,4)="_Mil","",_xlfn.IFNA(INDEX(Spectrum!$N:$N,MATCH(RIGHT($B139,13)&amp;"|"&amp;$C139&amp;"|"&amp;$D139&amp;"|"&amp;AH$14&amp;"|"&amp;"CY2023Q3",Spectrum!$R:$R,0)),""))</f>
        <v/>
      </c>
      <c r="AI139" s="10" t="str">
        <f aca="false">IF(LEFT($B139,4)="_Mil","",_xlfn.IFNA(ROUND(INDEX(Spectrum!$N:$N,MATCH(RIGHT($B139,13)&amp;"|"&amp;$C139&amp;"|"&amp;$D139&amp;"|"&amp;AI$14&amp;"|"&amp;"CY2023Q3",Spectrum!$R:$R,0)),0),""))</f>
        <v/>
      </c>
      <c r="AJ139" s="39" t="n">
        <f aca="false">IF(LEFT($B139,4)="_Mil","",_xlfn.IFNA(ROUND(INDEX(Spectrum!$N:$N,MATCH(RIGHT($B139,13)&amp;"|"&amp;$C139&amp;"|"&amp;$D139&amp;"|"&amp;AI$14&amp;"|"&amp;"CY2023Q3",Spectrum!$R:$R,0)),0),SUM($U139)+SUM($AI139)))</f>
        <v>0</v>
      </c>
      <c r="AK139" s="10" t="str">
        <f aca="false">IF(LEFT($B139,4)="_Mil","",_xlfn.IFNA(ROUND(INDEX(Spectrum!$N:$N,MATCH(RIGHT($B139,13)&amp;"|"&amp;$C139&amp;"|"&amp;$D139&amp;"|"&amp;AK$14&amp;"|"&amp;"CY2023Q3",Spectrum!$R:$R,0)),0),""))</f>
        <v/>
      </c>
      <c r="AL139" s="88" t="n">
        <f aca="false">IF(OR(LEFT($B139,4)="_Mil",$C139="&lt;01"),"",MAX(SUM($AA139),90%))</f>
        <v>1492</v>
      </c>
      <c r="AM139" s="10" t="n">
        <f aca="false">IF(OR(LEFT($B139,4)="_Mil",$C139="&lt;01"),"",ROUND(SUM($AJ139)*SUM($AL139),0))</f>
        <v>0</v>
      </c>
      <c r="AN139" s="10" t="str">
        <f aca="false">IF($C139="&lt;01",ROUND(INDEX(EID!$P:$P,MATCH($B139,EID!$B:$B,0))/2,0),"")</f>
        <v/>
      </c>
      <c r="AO139" s="10" t="n">
        <f aca="false">IF($C139="&lt;01",SUM($AN139),ROUND(SUM($AM139)*SUM($O139)/IF(SUM($Z139)=0,1,$Z139),0))</f>
        <v>0</v>
      </c>
      <c r="AP139" s="39" t="n">
        <f aca="false">IF(OR($F139="",$C139="&lt;01"),$AO139,$F139)</f>
        <v>0</v>
      </c>
      <c r="AQ139" s="39" t="n">
        <f aca="false">IF(LEFT($B139,4)="_Mil","",IF(SUM($AP139)=0,SUM($Z139),IF(OR(SUM($Z139)=0,SUM($O139)=0),MAX($AP139,$Z139),$AP139*$Z139/$O139)))</f>
        <v>1569</v>
      </c>
      <c r="AR139" s="88" t="str">
        <f aca="false">IF(OR(LEFT($B139,4)="_Mil",SUM($AJ139)=0),"",SUM($AQ139)/$AJ139)</f>
        <v/>
      </c>
      <c r="AS139" s="88" t="n">
        <f aca="false">IF($C139="&lt;01","",98%)</f>
        <v>0.98</v>
      </c>
      <c r="AT139" s="88" t="n">
        <f aca="false">IF($C139="&lt;01","",98%)</f>
        <v>0.98</v>
      </c>
      <c r="AU139" s="10" t="n">
        <f aca="false">IF($C139="&lt;01","",SUM($AP139)-SUM($O139))</f>
        <v>0</v>
      </c>
      <c r="AV139" s="10" t="n">
        <f aca="false">IF($C139="&lt;01",ROUND(INDEX(EID!$N:$N,MATCH($B139,EID!$B:$B,0))/2,0),IF(SUM($AT139)=0,"",ROUND((SUM($AP139)-(SUM($O139)*SUM($AS139)))/$AT139,0)))</f>
        <v>0</v>
      </c>
      <c r="AW139" s="88" t="n">
        <f aca="false">IF($C139="&lt;01","",100%)</f>
        <v>1</v>
      </c>
      <c r="AX139" s="39" t="n">
        <f aca="false">IF($C139="&lt;01",SUM($AV139),ROUND(SUM($AV139)*SUM($AW139),0))</f>
        <v>0</v>
      </c>
      <c r="AY139" s="114" t="n">
        <f aca="false">IF($C139="&lt;01","",70%)</f>
        <v>0.7</v>
      </c>
      <c r="AZ139" s="91" t="n">
        <f aca="false">IF($C139="&lt;01",ROUND(INDEX(EID!$R:$R,MATCH($B139,EID!$B:$B,0))/2,0),ROUND(SUM($O139)+(SUM($AV139)*$AY139),0))</f>
        <v>0</v>
      </c>
      <c r="BA139" s="87" t="n">
        <f aca="false">IF($C139="&lt;01","",95%)</f>
        <v>0.95</v>
      </c>
      <c r="BB139" s="5" t="n">
        <f aca="false">IF($C139="&lt;01",ROUND(INDEX(EID!$T:$T,MATCH($B139,EID!$B:$B,0))/2,0),ROUND($AZ139*$BA139,0))</f>
        <v>0</v>
      </c>
      <c r="BC139" s="91" t="n">
        <f aca="false">IF(LEFT($B139,4)="_Mil","",IF(SUM($BB139)=0,SUM($AD139),IF(OR(SUM($AP139)=0,SUM($AQ139)=0),MAX($BB139,$AD139),ROUND($BB139*$AQ139/$AP139,0))))</f>
        <v>0</v>
      </c>
      <c r="BD139" s="88" t="n">
        <f aca="false">IF($C139="&lt;01","",95%)</f>
        <v>0.95</v>
      </c>
      <c r="BE139" s="39" t="n">
        <f aca="false">IF($C139="&lt;01",ROUND(INDEX(EID!$V:$V,MATCH($B139,EID!$B:$B,0))/2,0),ROUND($BD139*$BB139,0))</f>
        <v>0</v>
      </c>
      <c r="BF139" s="39" t="n">
        <f aca="false">IF(LEFT($B139,4)="_Mil","",IF(SUM($BE139)=0,SUM($AF139),IF(OR(SUM($AP139)=0,SUM($AQ139)=0),MAX($BE139,$AF139),ROUND($BE139*$AQ139/$AP139,0))))</f>
        <v>0</v>
      </c>
      <c r="BG139" s="114" t="n">
        <f aca="false">IF($C139="&lt;01","",95%)</f>
        <v>0.95</v>
      </c>
      <c r="BH139" s="5" t="n">
        <f aca="false">IF($C139="&lt;01",ROUND(INDEX(EID!$L:$L,MATCH($B139,EID!$B:$B,0)),0)/2,IF(SUM($BG139)=0,"",ROUND($AX139/$BG139,0)))</f>
        <v>0</v>
      </c>
    </row>
    <row r="140" customFormat="false" ht="15" hidden="false" customHeight="false" outlineLevel="0" collapsed="false">
      <c r="A140" s="0" t="str">
        <f aca="false">INDEX(Prioritization!$D:$D,MATCH($B140,Prioritization!$A:$A,0))</f>
        <v>INVALID</v>
      </c>
      <c r="B140" s="0" t="s">
        <v>202</v>
      </c>
      <c r="C140" s="0" t="s">
        <v>368</v>
      </c>
      <c r="D140" s="0" t="s">
        <v>48</v>
      </c>
      <c r="E140" s="0" t="str">
        <f aca="false">$B140&amp;"|"&amp;$C140&amp;"|"&amp;$D140</f>
        <v>Ntchisi District [fiRkU6gEjLz]|50+|Male</v>
      </c>
      <c r="F140" s="10"/>
      <c r="G140" s="10"/>
      <c r="H140" s="10"/>
      <c r="I140" s="10"/>
      <c r="J140" s="10"/>
      <c r="K140" s="10"/>
      <c r="L140" s="10"/>
      <c r="M140" s="10"/>
      <c r="N140" s="10"/>
      <c r="O140" s="10" t="str">
        <f aca="false">IFERROR(1/(1/MAX($I140,$N140)),"")</f>
        <v/>
      </c>
      <c r="P140" s="10"/>
      <c r="Q140" s="10"/>
      <c r="R140" s="10" t="str">
        <f aca="false">IF(AND(SUM($I140)=0,SUM($O140)=0),"",SUM($O140)-$I140)</f>
        <v/>
      </c>
      <c r="S140" s="10" t="n">
        <f aca="false">IF(LEFT($B140,4)="_Mil","",_xlfn.IFNA(ROUND(INDEX(Spectrum!$N:$N,MATCH(RIGHT($B140,13)&amp;"|"&amp;$C140&amp;"|"&amp;$D140&amp;"|"&amp;S$14&amp;"|"&amp;"CY2022Q4",Spectrum!$R:$R,0)),0),""))</f>
        <v>1829</v>
      </c>
      <c r="T140" s="39" t="n">
        <f aca="false">IF(LEFT($B140,4)="_Mil","",_xlfn.IFNA(ROUND(INDEX(Spectrum!$N:$N,MATCH(RIGHT($B140,13)&amp;"|"&amp;$C140&amp;"|"&amp;$D140&amp;"|"&amp;T$14&amp;"|"&amp;"CY2023Q3",Spectrum!$R:$R,0)),0),""))</f>
        <v>536</v>
      </c>
      <c r="U140" s="39" t="str">
        <f aca="false">IF(LEFT($B140,4)="_Mil","",_xlfn.IFNA(ROUND(INDEX(Spectrum!$N:$N,MATCH(RIGHT($B140,13)&amp;"|"&amp;$C140&amp;"|"&amp;$D140&amp;"|"&amp;U$14&amp;"|"&amp;"CY2023Q3",Spectrum!$R:$R,0)),0),""))</f>
        <v/>
      </c>
      <c r="V140" s="10" t="n">
        <f aca="false">IF(LEFT($B140,4)="_Mil","",_xlfn.IFNA(ROUND(INDEX(Spectrum!$N:$N,MATCH(RIGHT($B140,13)&amp;"|"&amp;$C140&amp;"|"&amp;$D140&amp;"|"&amp;V$14&amp;"|"&amp;"CY2023Q3",Spectrum!$R:$R,0)),0),""))</f>
        <v>1372</v>
      </c>
      <c r="W140" s="113" t="n">
        <f aca="false">IF(LEFT($B140,4)="_Mil","",_xlfn.IFNA(INDEX(Spectrum!$N:$N,MATCH(RIGHT($B140,13)&amp;"|"&amp;$C140&amp;"|"&amp;$D140&amp;"|"&amp;W$14&amp;"|"&amp;"CY2023Q3",Spectrum!$R:$R,0)),""))</f>
        <v>1644</v>
      </c>
      <c r="X140" s="39" t="n">
        <f aca="false">IF(LEFT($B140,4)="_Mil","",_xlfn.IFNA(ROUND(INDEX(Spectrum!$N:$N,MATCH(RIGHT($B140,13)&amp;"|"&amp;$C140&amp;"|"&amp;$D140&amp;"|"&amp;X$14&amp;"|"&amp;"CY2023Q3",Spectrum!$R:$R,0)),0),""))</f>
        <v>1474</v>
      </c>
      <c r="Y140" s="88" t="str">
        <f aca="false">IF(OR(SUM($U140)=0,LEFT($B140,4)="_Mil"),"",SUM($X140)/$U140)</f>
        <v/>
      </c>
      <c r="Z140" s="39" t="n">
        <f aca="false">IF(LEFT($B140,4)="_Mil","",_xlfn.IFNA(ROUND(INDEX(Spectrum!$N:$N,MATCH(RIGHT($B140,13)&amp;"|"&amp;$C140&amp;"|"&amp;$D140&amp;"|"&amp;Z$14&amp;"|"&amp;"CY2023Q3",Spectrum!$R:$R,0)),0),""))</f>
        <v>1369</v>
      </c>
      <c r="AA140" s="88" t="n">
        <f aca="false">IF(LEFT($B140,4)="_Mil","",IFERROR(1/(1/INDEX(Spectrum!$N:$N,MATCH(RIGHT($B140,13)&amp;"|"&amp;$C140&amp;"|"&amp;$D140&amp;"|"&amp;AA$14&amp;"|"&amp;"CY2023Q3",Spectrum!$R:$R,0))),IF(SUM($U140)=0,"",SUM($Z140)/$U140)))</f>
        <v>1011</v>
      </c>
      <c r="AB140" s="88" t="n">
        <f aca="false">IF(OR(LEFT($B140,4)="_Mil",SUM($X140)=0),"",SUM($Z140)/$X140)</f>
        <v>0.92876526458616</v>
      </c>
      <c r="AC140" s="10" t="n">
        <f aca="false">IF(LEFT($B140,4)="_Mil","",_xlfn.IFNA(ROUND(INDEX(Spectrum!$N:$N,MATCH(RIGHT($B140,13)&amp;"|"&amp;$C140&amp;"|"&amp;$D140&amp;"|"&amp;AC$14&amp;"|"&amp;"CY2023Q3",Spectrum!$R:$R,0)),0),""))</f>
        <v>783</v>
      </c>
      <c r="AD140" s="10" t="str">
        <f aca="false">IF(LEFT($B140,4)="_Mil","",_xlfn.IFNA(ROUND(INDEX(Spectrum!$N:$N,MATCH(RIGHT($B140,13)&amp;"|"&amp;$C140&amp;"|"&amp;$D140&amp;"|"&amp;AD$14&amp;"|"&amp;"CY2023Q3",Spectrum!$R:$R,0)),0),""))</f>
        <v/>
      </c>
      <c r="AE140" s="88" t="n">
        <f aca="false">IF(OR(LEFT($B140,4)="_Mil",SUM($Z140)=0),"",SUM($AD140)/$Z140)</f>
        <v>0</v>
      </c>
      <c r="AF140" s="39" t="str">
        <f aca="false">IF(LEFT($B140,4)="_Mil","",_xlfn.IFNA(ROUND(INDEX(Spectrum!$N:$N,MATCH(RIGHT($B140,13)&amp;"|"&amp;$C140&amp;"|"&amp;$D140&amp;"|"&amp;AF$14&amp;"|"&amp;"CY2023Q3",Spectrum!$R:$R,0)),0),""))</f>
        <v/>
      </c>
      <c r="AG140" s="88" t="str">
        <f aca="false">IF(OR(LEFT($B140,4)="_Mil",SUM($AD140)=0),"",SUM($AF140)/$AD140)</f>
        <v/>
      </c>
      <c r="AH140" s="86" t="str">
        <f aca="false">IF(LEFT($B140,4)="_Mil","",_xlfn.IFNA(INDEX(Spectrum!$N:$N,MATCH(RIGHT($B140,13)&amp;"|"&amp;$C140&amp;"|"&amp;$D140&amp;"|"&amp;AH$14&amp;"|"&amp;"CY2023Q3",Spectrum!$R:$R,0)),""))</f>
        <v/>
      </c>
      <c r="AI140" s="10" t="str">
        <f aca="false">IF(LEFT($B140,4)="_Mil","",_xlfn.IFNA(ROUND(INDEX(Spectrum!$N:$N,MATCH(RIGHT($B140,13)&amp;"|"&amp;$C140&amp;"|"&amp;$D140&amp;"|"&amp;AI$14&amp;"|"&amp;"CY2023Q3",Spectrum!$R:$R,0)),0),""))</f>
        <v/>
      </c>
      <c r="AJ140" s="39" t="n">
        <f aca="false">IF(LEFT($B140,4)="_Mil","",_xlfn.IFNA(ROUND(INDEX(Spectrum!$N:$N,MATCH(RIGHT($B140,13)&amp;"|"&amp;$C140&amp;"|"&amp;$D140&amp;"|"&amp;AI$14&amp;"|"&amp;"CY2023Q3",Spectrum!$R:$R,0)),0),SUM($U140)+SUM($AI140)))</f>
        <v>0</v>
      </c>
      <c r="AK140" s="10" t="str">
        <f aca="false">IF(LEFT($B140,4)="_Mil","",_xlfn.IFNA(ROUND(INDEX(Spectrum!$N:$N,MATCH(RIGHT($B140,13)&amp;"|"&amp;$C140&amp;"|"&amp;$D140&amp;"|"&amp;AK$14&amp;"|"&amp;"CY2023Q3",Spectrum!$R:$R,0)),0),""))</f>
        <v/>
      </c>
      <c r="AL140" s="88" t="n">
        <f aca="false">IF(OR(LEFT($B140,4)="_Mil",$C140="&lt;01"),"",MAX(SUM($AA140),90%))</f>
        <v>1011</v>
      </c>
      <c r="AM140" s="10" t="n">
        <f aca="false">IF(OR(LEFT($B140,4)="_Mil",$C140="&lt;01"),"",ROUND(SUM($AJ140)*SUM($AL140),0))</f>
        <v>0</v>
      </c>
      <c r="AN140" s="10" t="str">
        <f aca="false">IF($C140="&lt;01",ROUND(INDEX(EID!$P:$P,MATCH($B140,EID!$B:$B,0))/2,0),"")</f>
        <v/>
      </c>
      <c r="AO140" s="10" t="n">
        <f aca="false">IF($C140="&lt;01",SUM($AN140),ROUND(SUM($AM140)*SUM($O140)/IF(SUM($Z140)=0,1,$Z140),0))</f>
        <v>0</v>
      </c>
      <c r="AP140" s="39" t="n">
        <f aca="false">IF(OR($F140="",$C140="&lt;01"),$AO140,$F140)</f>
        <v>0</v>
      </c>
      <c r="AQ140" s="39" t="n">
        <f aca="false">IF(LEFT($B140,4)="_Mil","",IF(SUM($AP140)=0,SUM($Z140),IF(OR(SUM($Z140)=0,SUM($O140)=0),MAX($AP140,$Z140),$AP140*$Z140/$O140)))</f>
        <v>1369</v>
      </c>
      <c r="AR140" s="88" t="str">
        <f aca="false">IF(OR(LEFT($B140,4)="_Mil",SUM($AJ140)=0),"",SUM($AQ140)/$AJ140)</f>
        <v/>
      </c>
      <c r="AS140" s="88" t="n">
        <f aca="false">IF($C140="&lt;01","",98%)</f>
        <v>0.98</v>
      </c>
      <c r="AT140" s="88" t="n">
        <f aca="false">IF($C140="&lt;01","",98%)</f>
        <v>0.98</v>
      </c>
      <c r="AU140" s="10" t="n">
        <f aca="false">IF($C140="&lt;01","",SUM($AP140)-SUM($O140))</f>
        <v>0</v>
      </c>
      <c r="AV140" s="10" t="n">
        <f aca="false">IF($C140="&lt;01",ROUND(INDEX(EID!$N:$N,MATCH($B140,EID!$B:$B,0))/2,0),IF(SUM($AT140)=0,"",ROUND((SUM($AP140)-(SUM($O140)*SUM($AS140)))/$AT140,0)))</f>
        <v>0</v>
      </c>
      <c r="AW140" s="88" t="n">
        <f aca="false">IF($C140="&lt;01","",100%)</f>
        <v>1</v>
      </c>
      <c r="AX140" s="39" t="n">
        <f aca="false">IF($C140="&lt;01",SUM($AV140),ROUND(SUM($AV140)*SUM($AW140),0))</f>
        <v>0</v>
      </c>
      <c r="AY140" s="114" t="n">
        <f aca="false">IF($C140="&lt;01","",70%)</f>
        <v>0.7</v>
      </c>
      <c r="AZ140" s="91" t="n">
        <f aca="false">IF($C140="&lt;01",ROUND(INDEX(EID!$R:$R,MATCH($B140,EID!$B:$B,0))/2,0),ROUND(SUM($O140)+(SUM($AV140)*$AY140),0))</f>
        <v>0</v>
      </c>
      <c r="BA140" s="87" t="n">
        <f aca="false">IF($C140="&lt;01","",95%)</f>
        <v>0.95</v>
      </c>
      <c r="BB140" s="5" t="n">
        <f aca="false">IF($C140="&lt;01",ROUND(INDEX(EID!$T:$T,MATCH($B140,EID!$B:$B,0))/2,0),ROUND($AZ140*$BA140,0))</f>
        <v>0</v>
      </c>
      <c r="BC140" s="91" t="n">
        <f aca="false">IF(LEFT($B140,4)="_Mil","",IF(SUM($BB140)=0,SUM($AD140),IF(OR(SUM($AP140)=0,SUM($AQ140)=0),MAX($BB140,$AD140),ROUND($BB140*$AQ140/$AP140,0))))</f>
        <v>0</v>
      </c>
      <c r="BD140" s="88" t="n">
        <f aca="false">IF($C140="&lt;01","",95%)</f>
        <v>0.95</v>
      </c>
      <c r="BE140" s="39" t="n">
        <f aca="false">IF($C140="&lt;01",ROUND(INDEX(EID!$V:$V,MATCH($B140,EID!$B:$B,0))/2,0),ROUND($BD140*$BB140,0))</f>
        <v>0</v>
      </c>
      <c r="BF140" s="39" t="n">
        <f aca="false">IF(LEFT($B140,4)="_Mil","",IF(SUM($BE140)=0,SUM($AF140),IF(OR(SUM($AP140)=0,SUM($AQ140)=0),MAX($BE140,$AF140),ROUND($BE140*$AQ140/$AP140,0))))</f>
        <v>0</v>
      </c>
      <c r="BG140" s="114" t="n">
        <f aca="false">IF($C140="&lt;01","",95%)</f>
        <v>0.95</v>
      </c>
      <c r="BH140" s="5" t="n">
        <f aca="false">IF($C140="&lt;01",ROUND(INDEX(EID!$L:$L,MATCH($B140,EID!$B:$B,0)),0)/2,IF(SUM($BG140)=0,"",ROUND($AX140/$BG140,0)))</f>
        <v>0</v>
      </c>
    </row>
    <row r="141" customFormat="false" ht="15" hidden="false" customHeight="false" outlineLevel="0" collapsed="false">
      <c r="A141" s="0" t="str">
        <f aca="false">INDEX(Prioritization!$D:$D,MATCH($B141,Prioritization!$A:$A,0))</f>
        <v>INVALID</v>
      </c>
      <c r="B141" s="0" t="s">
        <v>203</v>
      </c>
      <c r="C141" s="0" t="s">
        <v>316</v>
      </c>
      <c r="D141" s="0" t="s">
        <v>30</v>
      </c>
      <c r="E141" s="0" t="str">
        <f aca="false">$B141&amp;"|"&amp;$C141&amp;"|"&amp;$D141</f>
        <v>Salima District [msW2zpIN7up]|&lt;01|Female</v>
      </c>
      <c r="F141" s="10"/>
      <c r="G141" s="10" t="n">
        <v>2</v>
      </c>
      <c r="H141" s="10" t="n">
        <v>1</v>
      </c>
      <c r="I141" s="10" t="n">
        <v>1</v>
      </c>
      <c r="J141" s="10" t="n">
        <v>5</v>
      </c>
      <c r="K141" s="10" t="n">
        <v>0</v>
      </c>
      <c r="L141" s="10"/>
      <c r="M141" s="10" t="n">
        <v>5</v>
      </c>
      <c r="N141" s="10" t="n">
        <v>6</v>
      </c>
      <c r="O141" s="10" t="n">
        <f aca="false">IFERROR(1/(1/MAX($I141,$N141)),"")</f>
        <v>6</v>
      </c>
      <c r="P141" s="10" t="n">
        <v>1</v>
      </c>
      <c r="Q141" s="10" t="n">
        <v>1</v>
      </c>
      <c r="R141" s="10" t="n">
        <f aca="false">IF(AND(SUM($I141)=0,SUM($O141)=0),"",SUM($O141)-$I141)</f>
        <v>5</v>
      </c>
      <c r="S141" s="10" t="n">
        <f aca="false">IF(LEFT($B141,4)="_Mil","",_xlfn.IFNA(ROUND(INDEX(Spectrum!$N:$N,MATCH(RIGHT($B141,13)&amp;"|"&amp;$C141&amp;"|"&amp;$D141&amp;"|"&amp;S$14&amp;"|"&amp;"CY2022Q4",Spectrum!$R:$R,0)),0),""))</f>
        <v>575</v>
      </c>
      <c r="T141" s="39" t="n">
        <f aca="false">IF(LEFT($B141,4)="_Mil","",_xlfn.IFNA(ROUND(INDEX(Spectrum!$N:$N,MATCH(RIGHT($B141,13)&amp;"|"&amp;$C141&amp;"|"&amp;$D141&amp;"|"&amp;T$14&amp;"|"&amp;"CY2023Q3",Spectrum!$R:$R,0)),0),""))</f>
        <v>627</v>
      </c>
      <c r="U141" s="39" t="str">
        <f aca="false">IF(LEFT($B141,4)="_Mil","",_xlfn.IFNA(ROUND(INDEX(Spectrum!$N:$N,MATCH(RIGHT($B141,13)&amp;"|"&amp;$C141&amp;"|"&amp;$D141&amp;"|"&amp;U$14&amp;"|"&amp;"CY2023Q3",Spectrum!$R:$R,0)),0),""))</f>
        <v/>
      </c>
      <c r="V141" s="10" t="n">
        <f aca="false">IF(LEFT($B141,4)="_Mil","",_xlfn.IFNA(ROUND(INDEX(Spectrum!$N:$N,MATCH(RIGHT($B141,13)&amp;"|"&amp;$C141&amp;"|"&amp;$D141&amp;"|"&amp;V$14&amp;"|"&amp;"CY2023Q3",Spectrum!$R:$R,0)),0),""))</f>
        <v>1327</v>
      </c>
      <c r="W141" s="113" t="n">
        <f aca="false">IF(LEFT($B141,4)="_Mil","",_xlfn.IFNA(INDEX(Spectrum!$N:$N,MATCH(RIGHT($B141,13)&amp;"|"&amp;$C141&amp;"|"&amp;$D141&amp;"|"&amp;W$14&amp;"|"&amp;"CY2023Q3",Spectrum!$R:$R,0)),""))</f>
        <v>1153</v>
      </c>
      <c r="X141" s="39" t="n">
        <f aca="false">IF(LEFT($B141,4)="_Mil","",_xlfn.IFNA(ROUND(INDEX(Spectrum!$N:$N,MATCH(RIGHT($B141,13)&amp;"|"&amp;$C141&amp;"|"&amp;$D141&amp;"|"&amp;X$14&amp;"|"&amp;"CY2023Q3",Spectrum!$R:$R,0)),0),""))</f>
        <v>1669</v>
      </c>
      <c r="Y141" s="88" t="str">
        <f aca="false">IF(OR(SUM($U141)=0,LEFT($B141,4)="_Mil"),"",SUM($X141)/$U141)</f>
        <v/>
      </c>
      <c r="Z141" s="39" t="n">
        <f aca="false">IF(LEFT($B141,4)="_Mil","",_xlfn.IFNA(ROUND(INDEX(Spectrum!$N:$N,MATCH(RIGHT($B141,13)&amp;"|"&amp;$C141&amp;"|"&amp;$D141&amp;"|"&amp;Z$14&amp;"|"&amp;"CY2023Q3",Spectrum!$R:$R,0)),0),""))</f>
        <v>1700</v>
      </c>
      <c r="AA141" s="88" t="n">
        <f aca="false">IF(LEFT($B141,4)="_Mil","",IFERROR(1/(1/INDEX(Spectrum!$N:$N,MATCH(RIGHT($B141,13)&amp;"|"&amp;$C141&amp;"|"&amp;$D141&amp;"|"&amp;AA$14&amp;"|"&amp;"CY2023Q3",Spectrum!$R:$R,0))),IF(SUM($U141)=0,"",SUM($Z141)/$U141)))</f>
        <v>740</v>
      </c>
      <c r="AB141" s="88" t="n">
        <f aca="false">IF(OR(LEFT($B141,4)="_Mil",SUM($X141)=0),"",SUM($Z141)/$X141)</f>
        <v>1.01857399640503</v>
      </c>
      <c r="AC141" s="10" t="n">
        <f aca="false">IF(LEFT($B141,4)="_Mil","",_xlfn.IFNA(ROUND(INDEX(Spectrum!$N:$N,MATCH(RIGHT($B141,13)&amp;"|"&amp;$C141&amp;"|"&amp;$D141&amp;"|"&amp;AC$14&amp;"|"&amp;"CY2023Q3",Spectrum!$R:$R,0)),0),""))</f>
        <v>1767</v>
      </c>
      <c r="AD141" s="10" t="str">
        <f aca="false">IF(LEFT($B141,4)="_Mil","",_xlfn.IFNA(ROUND(INDEX(Spectrum!$N:$N,MATCH(RIGHT($B141,13)&amp;"|"&amp;$C141&amp;"|"&amp;$D141&amp;"|"&amp;AD$14&amp;"|"&amp;"CY2023Q3",Spectrum!$R:$R,0)),0),""))</f>
        <v/>
      </c>
      <c r="AE141" s="88" t="n">
        <f aca="false">IF(OR(LEFT($B141,4)="_Mil",SUM($Z141)=0),"",SUM($AD141)/$Z141)</f>
        <v>0</v>
      </c>
      <c r="AF141" s="39" t="str">
        <f aca="false">IF(LEFT($B141,4)="_Mil","",_xlfn.IFNA(ROUND(INDEX(Spectrum!$N:$N,MATCH(RIGHT($B141,13)&amp;"|"&amp;$C141&amp;"|"&amp;$D141&amp;"|"&amp;AF$14&amp;"|"&amp;"CY2023Q3",Spectrum!$R:$R,0)),0),""))</f>
        <v/>
      </c>
      <c r="AG141" s="88" t="str">
        <f aca="false">IF(OR(LEFT($B141,4)="_Mil",SUM($AD141)=0),"",SUM($AF141)/$AD141)</f>
        <v/>
      </c>
      <c r="AH141" s="86" t="str">
        <f aca="false">IF(LEFT($B141,4)="_Mil","",_xlfn.IFNA(INDEX(Spectrum!$N:$N,MATCH(RIGHT($B141,13)&amp;"|"&amp;$C141&amp;"|"&amp;$D141&amp;"|"&amp;AH$14&amp;"|"&amp;"CY2023Q3",Spectrum!$R:$R,0)),""))</f>
        <v/>
      </c>
      <c r="AI141" s="10" t="str">
        <f aca="false">IF(LEFT($B141,4)="_Mil","",_xlfn.IFNA(ROUND(INDEX(Spectrum!$N:$N,MATCH(RIGHT($B141,13)&amp;"|"&amp;$C141&amp;"|"&amp;$D141&amp;"|"&amp;AI$14&amp;"|"&amp;"CY2023Q3",Spectrum!$R:$R,0)),0),""))</f>
        <v/>
      </c>
      <c r="AJ141" s="39" t="n">
        <f aca="false">IF(LEFT($B141,4)="_Mil","",_xlfn.IFNA(ROUND(INDEX(Spectrum!$N:$N,MATCH(RIGHT($B141,13)&amp;"|"&amp;$C141&amp;"|"&amp;$D141&amp;"|"&amp;AI$14&amp;"|"&amp;"CY2023Q3",Spectrum!$R:$R,0)),0),SUM($U141)+SUM($AI141)))</f>
        <v>0</v>
      </c>
      <c r="AK141" s="10" t="str">
        <f aca="false">IF(LEFT($B141,4)="_Mil","",_xlfn.IFNA(ROUND(INDEX(Spectrum!$N:$N,MATCH(RIGHT($B141,13)&amp;"|"&amp;$C141&amp;"|"&amp;$D141&amp;"|"&amp;AK$14&amp;"|"&amp;"CY2023Q3",Spectrum!$R:$R,0)),0),""))</f>
        <v/>
      </c>
      <c r="AL141" s="88" t="str">
        <f aca="false">IF(OR(LEFT($B141,4)="_Mil",$C141="&lt;01"),"",MAX(SUM($AA141),90%))</f>
        <v/>
      </c>
      <c r="AM141" s="10" t="str">
        <f aca="false">IF(OR(LEFT($B141,4)="_Mil",$C141="&lt;01"),"",ROUND(SUM($AJ141)*SUM($AL141),0))</f>
        <v/>
      </c>
      <c r="AN141" s="10" t="n">
        <f aca="false">IF($C141="&lt;01",ROUND(INDEX(EID!$P:$P,MATCH($B141,EID!$B:$B,0))/2,0),"")</f>
        <v>0</v>
      </c>
      <c r="AO141" s="10" t="n">
        <f aca="false">IF($C141="&lt;01",SUM($AN141),ROUND(SUM($AM141)*SUM($O141)/IF(SUM($Z141)=0,1,$Z141),0))</f>
        <v>0</v>
      </c>
      <c r="AP141" s="39" t="n">
        <f aca="false">IF(OR($F141="",$C141="&lt;01"),$AO141,$F141)</f>
        <v>0</v>
      </c>
      <c r="AQ141" s="39" t="n">
        <f aca="false">IF(LEFT($B141,4)="_Mil","",IF(SUM($AP141)=0,SUM($Z141),IF(OR(SUM($Z141)=0,SUM($O141)=0),MAX($AP141,$Z141),$AP141*$Z141/$O141)))</f>
        <v>1700</v>
      </c>
      <c r="AR141" s="88" t="str">
        <f aca="false">IF(OR(LEFT($B141,4)="_Mil",SUM($AJ141)=0),"",SUM($AQ141)/$AJ141)</f>
        <v/>
      </c>
      <c r="AS141" s="88" t="str">
        <f aca="false">IF($C141="&lt;01","",98%)</f>
        <v/>
      </c>
      <c r="AT141" s="88" t="str">
        <f aca="false">IF($C141="&lt;01","",98%)</f>
        <v/>
      </c>
      <c r="AU141" s="10" t="str">
        <f aca="false">IF($C141="&lt;01","",SUM($AP141)-SUM($O141))</f>
        <v/>
      </c>
      <c r="AV141" s="10" t="n">
        <f aca="false">IF($C141="&lt;01",ROUND(INDEX(EID!$N:$N,MATCH($B141,EID!$B:$B,0))/2,0),IF(SUM($AT141)=0,"",ROUND((SUM($AP141)-(SUM($O141)*SUM($AS141)))/$AT141,0)))</f>
        <v>0</v>
      </c>
      <c r="AW141" s="88" t="str">
        <f aca="false">IF($C141="&lt;01","",100%)</f>
        <v/>
      </c>
      <c r="AX141" s="39" t="n">
        <f aca="false">IF($C141="&lt;01",SUM($AV141),ROUND(SUM($AV141)*SUM($AW141),0))</f>
        <v>0</v>
      </c>
      <c r="AY141" s="114" t="str">
        <f aca="false">IF($C141="&lt;01","",70%)</f>
        <v/>
      </c>
      <c r="AZ141" s="91" t="n">
        <f aca="false">IF($C141="&lt;01",ROUND(INDEX(EID!$R:$R,MATCH($B141,EID!$B:$B,0))/2,0),ROUND(SUM($O141)+(SUM($AV141)*$AY141),0))</f>
        <v>0</v>
      </c>
      <c r="BA141" s="87" t="str">
        <f aca="false">IF($C141="&lt;01","",95%)</f>
        <v/>
      </c>
      <c r="BB141" s="5" t="n">
        <f aca="false">IF($C141="&lt;01",ROUND(INDEX(EID!$T:$T,MATCH($B141,EID!$B:$B,0))/2,0),ROUND($AZ141*$BA141,0))</f>
        <v>0</v>
      </c>
      <c r="BC141" s="91" t="n">
        <f aca="false">IF(LEFT($B141,4)="_Mil","",IF(SUM($BB141)=0,SUM($AD141),IF(OR(SUM($AP141)=0,SUM($AQ141)=0),MAX($BB141,$AD141),ROUND($BB141*$AQ141/$AP141,0))))</f>
        <v>0</v>
      </c>
      <c r="BD141" s="88" t="str">
        <f aca="false">IF($C141="&lt;01","",95%)</f>
        <v/>
      </c>
      <c r="BE141" s="39" t="n">
        <f aca="false">IF($C141="&lt;01",ROUND(INDEX(EID!$V:$V,MATCH($B141,EID!$B:$B,0))/2,0),ROUND($BD141*$BB141,0))</f>
        <v>0</v>
      </c>
      <c r="BF141" s="39" t="n">
        <f aca="false">IF(LEFT($B141,4)="_Mil","",IF(SUM($BE141)=0,SUM($AF141),IF(OR(SUM($AP141)=0,SUM($AQ141)=0),MAX($BE141,$AF141),ROUND($BE141*$AQ141/$AP141,0))))</f>
        <v>0</v>
      </c>
      <c r="BG141" s="114" t="str">
        <f aca="false">IF($C141="&lt;01","",95%)</f>
        <v/>
      </c>
      <c r="BH141" s="5" t="n">
        <f aca="false">IF($C141="&lt;01",ROUND(INDEX(EID!$L:$L,MATCH($B141,EID!$B:$B,0)),0)/2,IF(SUM($BG141)=0,"",ROUND($AX141/$BG141,0)))</f>
        <v>0</v>
      </c>
    </row>
    <row r="142" customFormat="false" ht="15" hidden="false" customHeight="false" outlineLevel="0" collapsed="false">
      <c r="A142" s="0" t="str">
        <f aca="false">INDEX(Prioritization!$D:$D,MATCH($B142,Prioritization!$A:$A,0))</f>
        <v>INVALID</v>
      </c>
      <c r="B142" s="0" t="s">
        <v>203</v>
      </c>
      <c r="C142" s="0" t="s">
        <v>316</v>
      </c>
      <c r="D142" s="0" t="s">
        <v>48</v>
      </c>
      <c r="E142" s="0" t="str">
        <f aca="false">$B142&amp;"|"&amp;$C142&amp;"|"&amp;$D142</f>
        <v>Salima District [msW2zpIN7up]|&lt;01|Male</v>
      </c>
      <c r="F142" s="10"/>
      <c r="G142" s="10" t="n">
        <v>7</v>
      </c>
      <c r="H142" s="10" t="n">
        <v>9</v>
      </c>
      <c r="I142" s="10" t="n">
        <v>1</v>
      </c>
      <c r="J142" s="10" t="n">
        <v>3</v>
      </c>
      <c r="K142" s="10" t="n">
        <v>1</v>
      </c>
      <c r="L142" s="10"/>
      <c r="M142" s="10" t="n">
        <v>1</v>
      </c>
      <c r="N142" s="10" t="n">
        <v>8</v>
      </c>
      <c r="O142" s="10" t="n">
        <f aca="false">IFERROR(1/(1/MAX($I142,$N142)),"")</f>
        <v>8</v>
      </c>
      <c r="P142" s="10" t="n">
        <v>1</v>
      </c>
      <c r="Q142" s="10" t="n">
        <v>1</v>
      </c>
      <c r="R142" s="10" t="n">
        <f aca="false">IF(AND(SUM($I142)=0,SUM($O142)=0),"",SUM($O142)-$I142)</f>
        <v>7</v>
      </c>
      <c r="S142" s="10" t="n">
        <f aca="false">IF(LEFT($B142,4)="_Mil","",_xlfn.IFNA(ROUND(INDEX(Spectrum!$N:$N,MATCH(RIGHT($B142,13)&amp;"|"&amp;$C142&amp;"|"&amp;$D142&amp;"|"&amp;S$14&amp;"|"&amp;"CY2022Q4",Spectrum!$R:$R,0)),0),""))</f>
        <v>1227</v>
      </c>
      <c r="T142" s="39" t="n">
        <f aca="false">IF(LEFT($B142,4)="_Mil","",_xlfn.IFNA(ROUND(INDEX(Spectrum!$N:$N,MATCH(RIGHT($B142,13)&amp;"|"&amp;$C142&amp;"|"&amp;$D142&amp;"|"&amp;T$14&amp;"|"&amp;"CY2023Q3",Spectrum!$R:$R,0)),0),""))</f>
        <v>620</v>
      </c>
      <c r="U142" s="39" t="str">
        <f aca="false">IF(LEFT($B142,4)="_Mil","",_xlfn.IFNA(ROUND(INDEX(Spectrum!$N:$N,MATCH(RIGHT($B142,13)&amp;"|"&amp;$C142&amp;"|"&amp;$D142&amp;"|"&amp;U$14&amp;"|"&amp;"CY2023Q3",Spectrum!$R:$R,0)),0),""))</f>
        <v/>
      </c>
      <c r="V142" s="10" t="n">
        <f aca="false">IF(LEFT($B142,4)="_Mil","",_xlfn.IFNA(ROUND(INDEX(Spectrum!$N:$N,MATCH(RIGHT($B142,13)&amp;"|"&amp;$C142&amp;"|"&amp;$D142&amp;"|"&amp;V$14&amp;"|"&amp;"CY2023Q3",Spectrum!$R:$R,0)),0),""))</f>
        <v>1491</v>
      </c>
      <c r="W142" s="113" t="n">
        <f aca="false">IF(LEFT($B142,4)="_Mil","",_xlfn.IFNA(INDEX(Spectrum!$N:$N,MATCH(RIGHT($B142,13)&amp;"|"&amp;$C142&amp;"|"&amp;$D142&amp;"|"&amp;W$14&amp;"|"&amp;"CY2023Q3",Spectrum!$R:$R,0)),""))</f>
        <v>586</v>
      </c>
      <c r="X142" s="39" t="n">
        <f aca="false">IF(LEFT($B142,4)="_Mil","",_xlfn.IFNA(ROUND(INDEX(Spectrum!$N:$N,MATCH(RIGHT($B142,13)&amp;"|"&amp;$C142&amp;"|"&amp;$D142&amp;"|"&amp;X$14&amp;"|"&amp;"CY2023Q3",Spectrum!$R:$R,0)),0),""))</f>
        <v>1476</v>
      </c>
      <c r="Y142" s="88" t="str">
        <f aca="false">IF(OR(SUM($U142)=0,LEFT($B142,4)="_Mil"),"",SUM($X142)/$U142)</f>
        <v/>
      </c>
      <c r="Z142" s="39" t="n">
        <f aca="false">IF(LEFT($B142,4)="_Mil","",_xlfn.IFNA(ROUND(INDEX(Spectrum!$N:$N,MATCH(RIGHT($B142,13)&amp;"|"&amp;$C142&amp;"|"&amp;$D142&amp;"|"&amp;Z$14&amp;"|"&amp;"CY2023Q3",Spectrum!$R:$R,0)),0),""))</f>
        <v>1129</v>
      </c>
      <c r="AA142" s="88" t="n">
        <f aca="false">IF(LEFT($B142,4)="_Mil","",IFERROR(1/(1/INDEX(Spectrum!$N:$N,MATCH(RIGHT($B142,13)&amp;"|"&amp;$C142&amp;"|"&amp;$D142&amp;"|"&amp;AA$14&amp;"|"&amp;"CY2023Q3",Spectrum!$R:$R,0))),IF(SUM($U142)=0,"",SUM($Z142)/$U142)))</f>
        <v>696</v>
      </c>
      <c r="AB142" s="88" t="n">
        <f aca="false">IF(OR(LEFT($B142,4)="_Mil",SUM($X142)=0),"",SUM($Z142)/$X142)</f>
        <v>0.764905149051491</v>
      </c>
      <c r="AC142" s="10" t="n">
        <f aca="false">IF(LEFT($B142,4)="_Mil","",_xlfn.IFNA(ROUND(INDEX(Spectrum!$N:$N,MATCH(RIGHT($B142,13)&amp;"|"&amp;$C142&amp;"|"&amp;$D142&amp;"|"&amp;AC$14&amp;"|"&amp;"CY2023Q3",Spectrum!$R:$R,0)),0),""))</f>
        <v>1238</v>
      </c>
      <c r="AD142" s="10" t="str">
        <f aca="false">IF(LEFT($B142,4)="_Mil","",_xlfn.IFNA(ROUND(INDEX(Spectrum!$N:$N,MATCH(RIGHT($B142,13)&amp;"|"&amp;$C142&amp;"|"&amp;$D142&amp;"|"&amp;AD$14&amp;"|"&amp;"CY2023Q3",Spectrum!$R:$R,0)),0),""))</f>
        <v/>
      </c>
      <c r="AE142" s="88" t="n">
        <f aca="false">IF(OR(LEFT($B142,4)="_Mil",SUM($Z142)=0),"",SUM($AD142)/$Z142)</f>
        <v>0</v>
      </c>
      <c r="AF142" s="39" t="str">
        <f aca="false">IF(LEFT($B142,4)="_Mil","",_xlfn.IFNA(ROUND(INDEX(Spectrum!$N:$N,MATCH(RIGHT($B142,13)&amp;"|"&amp;$C142&amp;"|"&amp;$D142&amp;"|"&amp;AF$14&amp;"|"&amp;"CY2023Q3",Spectrum!$R:$R,0)),0),""))</f>
        <v/>
      </c>
      <c r="AG142" s="88" t="str">
        <f aca="false">IF(OR(LEFT($B142,4)="_Mil",SUM($AD142)=0),"",SUM($AF142)/$AD142)</f>
        <v/>
      </c>
      <c r="AH142" s="86" t="str">
        <f aca="false">IF(LEFT($B142,4)="_Mil","",_xlfn.IFNA(INDEX(Spectrum!$N:$N,MATCH(RIGHT($B142,13)&amp;"|"&amp;$C142&amp;"|"&amp;$D142&amp;"|"&amp;AH$14&amp;"|"&amp;"CY2023Q3",Spectrum!$R:$R,0)),""))</f>
        <v/>
      </c>
      <c r="AI142" s="10" t="str">
        <f aca="false">IF(LEFT($B142,4)="_Mil","",_xlfn.IFNA(ROUND(INDEX(Spectrum!$N:$N,MATCH(RIGHT($B142,13)&amp;"|"&amp;$C142&amp;"|"&amp;$D142&amp;"|"&amp;AI$14&amp;"|"&amp;"CY2023Q3",Spectrum!$R:$R,0)),0),""))</f>
        <v/>
      </c>
      <c r="AJ142" s="39" t="n">
        <f aca="false">IF(LEFT($B142,4)="_Mil","",_xlfn.IFNA(ROUND(INDEX(Spectrum!$N:$N,MATCH(RIGHT($B142,13)&amp;"|"&amp;$C142&amp;"|"&amp;$D142&amp;"|"&amp;AI$14&amp;"|"&amp;"CY2023Q3",Spectrum!$R:$R,0)),0),SUM($U142)+SUM($AI142)))</f>
        <v>0</v>
      </c>
      <c r="AK142" s="10" t="str">
        <f aca="false">IF(LEFT($B142,4)="_Mil","",_xlfn.IFNA(ROUND(INDEX(Spectrum!$N:$N,MATCH(RIGHT($B142,13)&amp;"|"&amp;$C142&amp;"|"&amp;$D142&amp;"|"&amp;AK$14&amp;"|"&amp;"CY2023Q3",Spectrum!$R:$R,0)),0),""))</f>
        <v/>
      </c>
      <c r="AL142" s="88" t="str">
        <f aca="false">IF(OR(LEFT($B142,4)="_Mil",$C142="&lt;01"),"",MAX(SUM($AA142),90%))</f>
        <v/>
      </c>
      <c r="AM142" s="10" t="str">
        <f aca="false">IF(OR(LEFT($B142,4)="_Mil",$C142="&lt;01"),"",ROUND(SUM($AJ142)*SUM($AL142),0))</f>
        <v/>
      </c>
      <c r="AN142" s="10" t="n">
        <f aca="false">IF($C142="&lt;01",ROUND(INDEX(EID!$P:$P,MATCH($B142,EID!$B:$B,0))/2,0),"")</f>
        <v>0</v>
      </c>
      <c r="AO142" s="10" t="n">
        <f aca="false">IF($C142="&lt;01",SUM($AN142),ROUND(SUM($AM142)*SUM($O142)/IF(SUM($Z142)=0,1,$Z142),0))</f>
        <v>0</v>
      </c>
      <c r="AP142" s="39" t="n">
        <f aca="false">IF(OR($F142="",$C142="&lt;01"),$AO142,$F142)</f>
        <v>0</v>
      </c>
      <c r="AQ142" s="39" t="n">
        <f aca="false">IF(LEFT($B142,4)="_Mil","",IF(SUM($AP142)=0,SUM($Z142),IF(OR(SUM($Z142)=0,SUM($O142)=0),MAX($AP142,$Z142),$AP142*$Z142/$O142)))</f>
        <v>1129</v>
      </c>
      <c r="AR142" s="88" t="str">
        <f aca="false">IF(OR(LEFT($B142,4)="_Mil",SUM($AJ142)=0),"",SUM($AQ142)/$AJ142)</f>
        <v/>
      </c>
      <c r="AS142" s="88" t="str">
        <f aca="false">IF($C142="&lt;01","",98%)</f>
        <v/>
      </c>
      <c r="AT142" s="88" t="str">
        <f aca="false">IF($C142="&lt;01","",98%)</f>
        <v/>
      </c>
      <c r="AU142" s="10" t="str">
        <f aca="false">IF($C142="&lt;01","",SUM($AP142)-SUM($O142))</f>
        <v/>
      </c>
      <c r="AV142" s="10" t="n">
        <f aca="false">IF($C142="&lt;01",ROUND(INDEX(EID!$N:$N,MATCH($B142,EID!$B:$B,0))/2,0),IF(SUM($AT142)=0,"",ROUND((SUM($AP142)-(SUM($O142)*SUM($AS142)))/$AT142,0)))</f>
        <v>0</v>
      </c>
      <c r="AW142" s="88" t="str">
        <f aca="false">IF($C142="&lt;01","",100%)</f>
        <v/>
      </c>
      <c r="AX142" s="39" t="n">
        <f aca="false">IF($C142="&lt;01",SUM($AV142),ROUND(SUM($AV142)*SUM($AW142),0))</f>
        <v>0</v>
      </c>
      <c r="AY142" s="114" t="str">
        <f aca="false">IF($C142="&lt;01","",70%)</f>
        <v/>
      </c>
      <c r="AZ142" s="91" t="n">
        <f aca="false">IF($C142="&lt;01",ROUND(INDEX(EID!$R:$R,MATCH($B142,EID!$B:$B,0))/2,0),ROUND(SUM($O142)+(SUM($AV142)*$AY142),0))</f>
        <v>0</v>
      </c>
      <c r="BA142" s="87" t="str">
        <f aca="false">IF($C142="&lt;01","",95%)</f>
        <v/>
      </c>
      <c r="BB142" s="5" t="n">
        <f aca="false">IF($C142="&lt;01",ROUND(INDEX(EID!$T:$T,MATCH($B142,EID!$B:$B,0))/2,0),ROUND($AZ142*$BA142,0))</f>
        <v>0</v>
      </c>
      <c r="BC142" s="91" t="n">
        <f aca="false">IF(LEFT($B142,4)="_Mil","",IF(SUM($BB142)=0,SUM($AD142),IF(OR(SUM($AP142)=0,SUM($AQ142)=0),MAX($BB142,$AD142),ROUND($BB142*$AQ142/$AP142,0))))</f>
        <v>0</v>
      </c>
      <c r="BD142" s="88" t="str">
        <f aca="false">IF($C142="&lt;01","",95%)</f>
        <v/>
      </c>
      <c r="BE142" s="39" t="n">
        <f aca="false">IF($C142="&lt;01",ROUND(INDEX(EID!$V:$V,MATCH($B142,EID!$B:$B,0))/2,0),ROUND($BD142*$BB142,0))</f>
        <v>0</v>
      </c>
      <c r="BF142" s="39" t="n">
        <f aca="false">IF(LEFT($B142,4)="_Mil","",IF(SUM($BE142)=0,SUM($AF142),IF(OR(SUM($AP142)=0,SUM($AQ142)=0),MAX($BE142,$AF142),ROUND($BE142*$AQ142/$AP142,0))))</f>
        <v>0</v>
      </c>
      <c r="BG142" s="114" t="str">
        <f aca="false">IF($C142="&lt;01","",95%)</f>
        <v/>
      </c>
      <c r="BH142" s="5" t="n">
        <f aca="false">IF($C142="&lt;01",ROUND(INDEX(EID!$L:$L,MATCH($B142,EID!$B:$B,0)),0)/2,IF(SUM($BG142)=0,"",ROUND($AX142/$BG142,0)))</f>
        <v>0</v>
      </c>
    </row>
    <row r="143" customFormat="false" ht="15" hidden="false" customHeight="false" outlineLevel="0" collapsed="false">
      <c r="A143" s="0" t="str">
        <f aca="false">INDEX(Prioritization!$D:$D,MATCH($B143,Prioritization!$A:$A,0))</f>
        <v>INVALID</v>
      </c>
      <c r="B143" s="0" t="s">
        <v>203</v>
      </c>
      <c r="C143" s="0" t="s">
        <v>363</v>
      </c>
      <c r="D143" s="0" t="s">
        <v>30</v>
      </c>
      <c r="E143" s="0" t="str">
        <f aca="false">$B143&amp;"|"&amp;$C143&amp;"|"&amp;$D143</f>
        <v>Salima District [msW2zpIN7up]|01-09|Female</v>
      </c>
      <c r="F143" s="10"/>
      <c r="G143" s="10"/>
      <c r="H143" s="10"/>
      <c r="I143" s="10"/>
      <c r="J143" s="10"/>
      <c r="K143" s="10"/>
      <c r="L143" s="10"/>
      <c r="M143" s="10"/>
      <c r="N143" s="10"/>
      <c r="O143" s="10" t="str">
        <f aca="false">IFERROR(1/(1/MAX($I143,$N143)),"")</f>
        <v/>
      </c>
      <c r="P143" s="10"/>
      <c r="Q143" s="10"/>
      <c r="R143" s="10" t="str">
        <f aca="false">IF(AND(SUM($I143)=0,SUM($O143)=0),"",SUM($O143)-$I143)</f>
        <v/>
      </c>
      <c r="S143" s="10" t="n">
        <f aca="false">IF(LEFT($B143,4)="_Mil","",_xlfn.IFNA(ROUND(INDEX(Spectrum!$N:$N,MATCH(RIGHT($B143,13)&amp;"|"&amp;$C143&amp;"|"&amp;$D143&amp;"|"&amp;S$14&amp;"|"&amp;"CY2022Q4",Spectrum!$R:$R,0)),0),""))</f>
        <v>693</v>
      </c>
      <c r="T143" s="39" t="n">
        <f aca="false">IF(LEFT($B143,4)="_Mil","",_xlfn.IFNA(ROUND(INDEX(Spectrum!$N:$N,MATCH(RIGHT($B143,13)&amp;"|"&amp;$C143&amp;"|"&amp;$D143&amp;"|"&amp;T$14&amp;"|"&amp;"CY2023Q3",Spectrum!$R:$R,0)),0),""))</f>
        <v>1587</v>
      </c>
      <c r="U143" s="39" t="str">
        <f aca="false">IF(LEFT($B143,4)="_Mil","",_xlfn.IFNA(ROUND(INDEX(Spectrum!$N:$N,MATCH(RIGHT($B143,13)&amp;"|"&amp;$C143&amp;"|"&amp;$D143&amp;"|"&amp;U$14&amp;"|"&amp;"CY2023Q3",Spectrum!$R:$R,0)),0),""))</f>
        <v/>
      </c>
      <c r="V143" s="10" t="n">
        <f aca="false">IF(LEFT($B143,4)="_Mil","",_xlfn.IFNA(ROUND(INDEX(Spectrum!$N:$N,MATCH(RIGHT($B143,13)&amp;"|"&amp;$C143&amp;"|"&amp;$D143&amp;"|"&amp;V$14&amp;"|"&amp;"CY2023Q3",Spectrum!$R:$R,0)),0),""))</f>
        <v>1279</v>
      </c>
      <c r="W143" s="113" t="n">
        <f aca="false">IF(LEFT($B143,4)="_Mil","",_xlfn.IFNA(INDEX(Spectrum!$N:$N,MATCH(RIGHT($B143,13)&amp;"|"&amp;$C143&amp;"|"&amp;$D143&amp;"|"&amp;W$14&amp;"|"&amp;"CY2023Q3",Spectrum!$R:$R,0)),""))</f>
        <v>623</v>
      </c>
      <c r="X143" s="39" t="n">
        <f aca="false">IF(LEFT($B143,4)="_Mil","",_xlfn.IFNA(ROUND(INDEX(Spectrum!$N:$N,MATCH(RIGHT($B143,13)&amp;"|"&amp;$C143&amp;"|"&amp;$D143&amp;"|"&amp;X$14&amp;"|"&amp;"CY2023Q3",Spectrum!$R:$R,0)),0),""))</f>
        <v>786</v>
      </c>
      <c r="Y143" s="88" t="str">
        <f aca="false">IF(OR(SUM($U143)=0,LEFT($B143,4)="_Mil"),"",SUM($X143)/$U143)</f>
        <v/>
      </c>
      <c r="Z143" s="39" t="n">
        <f aca="false">IF(LEFT($B143,4)="_Mil","",_xlfn.IFNA(ROUND(INDEX(Spectrum!$N:$N,MATCH(RIGHT($B143,13)&amp;"|"&amp;$C143&amp;"|"&amp;$D143&amp;"|"&amp;Z$14&amp;"|"&amp;"CY2023Q3",Spectrum!$R:$R,0)),0),""))</f>
        <v>1536</v>
      </c>
      <c r="AA143" s="88" t="n">
        <f aca="false">IF(LEFT($B143,4)="_Mil","",IFERROR(1/(1/INDEX(Spectrum!$N:$N,MATCH(RIGHT($B143,13)&amp;"|"&amp;$C143&amp;"|"&amp;$D143&amp;"|"&amp;AA$14&amp;"|"&amp;"CY2023Q3",Spectrum!$R:$R,0))),IF(SUM($U143)=0,"",SUM($Z143)/$U143)))</f>
        <v>772</v>
      </c>
      <c r="AB143" s="88" t="n">
        <f aca="false">IF(OR(LEFT($B143,4)="_Mil",SUM($X143)=0),"",SUM($Z143)/$X143)</f>
        <v>1.95419847328244</v>
      </c>
      <c r="AC143" s="10" t="n">
        <f aca="false">IF(LEFT($B143,4)="_Mil","",_xlfn.IFNA(ROUND(INDEX(Spectrum!$N:$N,MATCH(RIGHT($B143,13)&amp;"|"&amp;$C143&amp;"|"&amp;$D143&amp;"|"&amp;AC$14&amp;"|"&amp;"CY2023Q3",Spectrum!$R:$R,0)),0),""))</f>
        <v>749</v>
      </c>
      <c r="AD143" s="10" t="str">
        <f aca="false">IF(LEFT($B143,4)="_Mil","",_xlfn.IFNA(ROUND(INDEX(Spectrum!$N:$N,MATCH(RIGHT($B143,13)&amp;"|"&amp;$C143&amp;"|"&amp;$D143&amp;"|"&amp;AD$14&amp;"|"&amp;"CY2023Q3",Spectrum!$R:$R,0)),0),""))</f>
        <v/>
      </c>
      <c r="AE143" s="88" t="n">
        <f aca="false">IF(OR(LEFT($B143,4)="_Mil",SUM($Z143)=0),"",SUM($AD143)/$Z143)</f>
        <v>0</v>
      </c>
      <c r="AF143" s="39" t="str">
        <f aca="false">IF(LEFT($B143,4)="_Mil","",_xlfn.IFNA(ROUND(INDEX(Spectrum!$N:$N,MATCH(RIGHT($B143,13)&amp;"|"&amp;$C143&amp;"|"&amp;$D143&amp;"|"&amp;AF$14&amp;"|"&amp;"CY2023Q3",Spectrum!$R:$R,0)),0),""))</f>
        <v/>
      </c>
      <c r="AG143" s="88" t="str">
        <f aca="false">IF(OR(LEFT($B143,4)="_Mil",SUM($AD143)=0),"",SUM($AF143)/$AD143)</f>
        <v/>
      </c>
      <c r="AH143" s="86" t="str">
        <f aca="false">IF(LEFT($B143,4)="_Mil","",_xlfn.IFNA(INDEX(Spectrum!$N:$N,MATCH(RIGHT($B143,13)&amp;"|"&amp;$C143&amp;"|"&amp;$D143&amp;"|"&amp;AH$14&amp;"|"&amp;"CY2023Q3",Spectrum!$R:$R,0)),""))</f>
        <v/>
      </c>
      <c r="AI143" s="10" t="str">
        <f aca="false">IF(LEFT($B143,4)="_Mil","",_xlfn.IFNA(ROUND(INDEX(Spectrum!$N:$N,MATCH(RIGHT($B143,13)&amp;"|"&amp;$C143&amp;"|"&amp;$D143&amp;"|"&amp;AI$14&amp;"|"&amp;"CY2023Q3",Spectrum!$R:$R,0)),0),""))</f>
        <v/>
      </c>
      <c r="AJ143" s="39" t="n">
        <f aca="false">IF(LEFT($B143,4)="_Mil","",_xlfn.IFNA(ROUND(INDEX(Spectrum!$N:$N,MATCH(RIGHT($B143,13)&amp;"|"&amp;$C143&amp;"|"&amp;$D143&amp;"|"&amp;AI$14&amp;"|"&amp;"CY2023Q3",Spectrum!$R:$R,0)),0),SUM($U143)+SUM($AI143)))</f>
        <v>0</v>
      </c>
      <c r="AK143" s="10" t="str">
        <f aca="false">IF(LEFT($B143,4)="_Mil","",_xlfn.IFNA(ROUND(INDEX(Spectrum!$N:$N,MATCH(RIGHT($B143,13)&amp;"|"&amp;$C143&amp;"|"&amp;$D143&amp;"|"&amp;AK$14&amp;"|"&amp;"CY2023Q3",Spectrum!$R:$R,0)),0),""))</f>
        <v/>
      </c>
      <c r="AL143" s="88" t="n">
        <f aca="false">IF(OR(LEFT($B143,4)="_Mil",$C143="&lt;01"),"",MAX(SUM($AA143),90%))</f>
        <v>772</v>
      </c>
      <c r="AM143" s="10" t="n">
        <f aca="false">IF(OR(LEFT($B143,4)="_Mil",$C143="&lt;01"),"",ROUND(SUM($AJ143)*SUM($AL143),0))</f>
        <v>0</v>
      </c>
      <c r="AN143" s="10" t="str">
        <f aca="false">IF($C143="&lt;01",ROUND(INDEX(EID!$P:$P,MATCH($B143,EID!$B:$B,0))/2,0),"")</f>
        <v/>
      </c>
      <c r="AO143" s="10" t="n">
        <f aca="false">IF($C143="&lt;01",SUM($AN143),ROUND(SUM($AM143)*SUM($O143)/IF(SUM($Z143)=0,1,$Z143),0))</f>
        <v>0</v>
      </c>
      <c r="AP143" s="39" t="n">
        <f aca="false">IF(OR($F143="",$C143="&lt;01"),$AO143,$F143)</f>
        <v>0</v>
      </c>
      <c r="AQ143" s="39" t="n">
        <f aca="false">IF(LEFT($B143,4)="_Mil","",IF(SUM($AP143)=0,SUM($Z143),IF(OR(SUM($Z143)=0,SUM($O143)=0),MAX($AP143,$Z143),$AP143*$Z143/$O143)))</f>
        <v>1536</v>
      </c>
      <c r="AR143" s="88" t="str">
        <f aca="false">IF(OR(LEFT($B143,4)="_Mil",SUM($AJ143)=0),"",SUM($AQ143)/$AJ143)</f>
        <v/>
      </c>
      <c r="AS143" s="88" t="n">
        <f aca="false">IF($C143="&lt;01","",98%)</f>
        <v>0.98</v>
      </c>
      <c r="AT143" s="88" t="n">
        <f aca="false">IF($C143="&lt;01","",98%)</f>
        <v>0.98</v>
      </c>
      <c r="AU143" s="10" t="n">
        <f aca="false">IF($C143="&lt;01","",SUM($AP143)-SUM($O143))</f>
        <v>0</v>
      </c>
      <c r="AV143" s="10" t="n">
        <f aca="false">IF($C143="&lt;01",ROUND(INDEX(EID!$N:$N,MATCH($B143,EID!$B:$B,0))/2,0),IF(SUM($AT143)=0,"",ROUND((SUM($AP143)-(SUM($O143)*SUM($AS143)))/$AT143,0)))</f>
        <v>0</v>
      </c>
      <c r="AW143" s="88" t="n">
        <f aca="false">IF($C143="&lt;01","",100%)</f>
        <v>1</v>
      </c>
      <c r="AX143" s="39" t="n">
        <f aca="false">IF($C143="&lt;01",SUM($AV143),ROUND(SUM($AV143)*SUM($AW143),0))</f>
        <v>0</v>
      </c>
      <c r="AY143" s="114" t="n">
        <f aca="false">IF($C143="&lt;01","",70%)</f>
        <v>0.7</v>
      </c>
      <c r="AZ143" s="91" t="n">
        <f aca="false">IF($C143="&lt;01",ROUND(INDEX(EID!$R:$R,MATCH($B143,EID!$B:$B,0))/2,0),ROUND(SUM($O143)+(SUM($AV143)*$AY143),0))</f>
        <v>0</v>
      </c>
      <c r="BA143" s="87" t="n">
        <f aca="false">IF($C143="&lt;01","",95%)</f>
        <v>0.95</v>
      </c>
      <c r="BB143" s="5" t="n">
        <f aca="false">IF($C143="&lt;01",ROUND(INDEX(EID!$T:$T,MATCH($B143,EID!$B:$B,0))/2,0),ROUND($AZ143*$BA143,0))</f>
        <v>0</v>
      </c>
      <c r="BC143" s="91" t="n">
        <f aca="false">IF(LEFT($B143,4)="_Mil","",IF(SUM($BB143)=0,SUM($AD143),IF(OR(SUM($AP143)=0,SUM($AQ143)=0),MAX($BB143,$AD143),ROUND($BB143*$AQ143/$AP143,0))))</f>
        <v>0</v>
      </c>
      <c r="BD143" s="88" t="n">
        <f aca="false">IF($C143="&lt;01","",95%)</f>
        <v>0.95</v>
      </c>
      <c r="BE143" s="39" t="n">
        <f aca="false">IF($C143="&lt;01",ROUND(INDEX(EID!$V:$V,MATCH($B143,EID!$B:$B,0))/2,0),ROUND($BD143*$BB143,0))</f>
        <v>0</v>
      </c>
      <c r="BF143" s="39" t="n">
        <f aca="false">IF(LEFT($B143,4)="_Mil","",IF(SUM($BE143)=0,SUM($AF143),IF(OR(SUM($AP143)=0,SUM($AQ143)=0),MAX($BE143,$AF143),ROUND($BE143*$AQ143/$AP143,0))))</f>
        <v>0</v>
      </c>
      <c r="BG143" s="114" t="n">
        <f aca="false">IF($C143="&lt;01","",95%)</f>
        <v>0.95</v>
      </c>
      <c r="BH143" s="5" t="n">
        <f aca="false">IF($C143="&lt;01",ROUND(INDEX(EID!$L:$L,MATCH($B143,EID!$B:$B,0)),0)/2,IF(SUM($BG143)=0,"",ROUND($AX143/$BG143,0)))</f>
        <v>0</v>
      </c>
    </row>
    <row r="144" customFormat="false" ht="15" hidden="false" customHeight="false" outlineLevel="0" collapsed="false">
      <c r="A144" s="0" t="str">
        <f aca="false">INDEX(Prioritization!$D:$D,MATCH($B144,Prioritization!$A:$A,0))</f>
        <v>INVALID</v>
      </c>
      <c r="B144" s="0" t="s">
        <v>203</v>
      </c>
      <c r="C144" s="0" t="s">
        <v>363</v>
      </c>
      <c r="D144" s="0" t="s">
        <v>48</v>
      </c>
      <c r="E144" s="0" t="str">
        <f aca="false">$B144&amp;"|"&amp;$C144&amp;"|"&amp;$D144</f>
        <v>Salima District [msW2zpIN7up]|01-09|Male</v>
      </c>
      <c r="F144" s="10"/>
      <c r="G144" s="10"/>
      <c r="H144" s="10"/>
      <c r="I144" s="10"/>
      <c r="J144" s="10"/>
      <c r="K144" s="10"/>
      <c r="L144" s="10"/>
      <c r="M144" s="10"/>
      <c r="N144" s="10"/>
      <c r="O144" s="10" t="str">
        <f aca="false">IFERROR(1/(1/MAX($I144,$N144)),"")</f>
        <v/>
      </c>
      <c r="P144" s="10"/>
      <c r="Q144" s="10"/>
      <c r="R144" s="10" t="str">
        <f aca="false">IF(AND(SUM($I144)=0,SUM($O144)=0),"",SUM($O144)-$I144)</f>
        <v/>
      </c>
      <c r="S144" s="10" t="n">
        <f aca="false">IF(LEFT($B144,4)="_Mil","",_xlfn.IFNA(ROUND(INDEX(Spectrum!$N:$N,MATCH(RIGHT($B144,13)&amp;"|"&amp;$C144&amp;"|"&amp;$D144&amp;"|"&amp;S$14&amp;"|"&amp;"CY2022Q4",Spectrum!$R:$R,0)),0),""))</f>
        <v>1693</v>
      </c>
      <c r="T144" s="39" t="n">
        <f aca="false">IF(LEFT($B144,4)="_Mil","",_xlfn.IFNA(ROUND(INDEX(Spectrum!$N:$N,MATCH(RIGHT($B144,13)&amp;"|"&amp;$C144&amp;"|"&amp;$D144&amp;"|"&amp;T$14&amp;"|"&amp;"CY2023Q3",Spectrum!$R:$R,0)),0),""))</f>
        <v>1930</v>
      </c>
      <c r="U144" s="39" t="str">
        <f aca="false">IF(LEFT($B144,4)="_Mil","",_xlfn.IFNA(ROUND(INDEX(Spectrum!$N:$N,MATCH(RIGHT($B144,13)&amp;"|"&amp;$C144&amp;"|"&amp;$D144&amp;"|"&amp;U$14&amp;"|"&amp;"CY2023Q3",Spectrum!$R:$R,0)),0),""))</f>
        <v/>
      </c>
      <c r="V144" s="10" t="n">
        <f aca="false">IF(LEFT($B144,4)="_Mil","",_xlfn.IFNA(ROUND(INDEX(Spectrum!$N:$N,MATCH(RIGHT($B144,13)&amp;"|"&amp;$C144&amp;"|"&amp;$D144&amp;"|"&amp;V$14&amp;"|"&amp;"CY2023Q3",Spectrum!$R:$R,0)),0),""))</f>
        <v>762</v>
      </c>
      <c r="W144" s="113" t="n">
        <f aca="false">IF(LEFT($B144,4)="_Mil","",_xlfn.IFNA(INDEX(Spectrum!$N:$N,MATCH(RIGHT($B144,13)&amp;"|"&amp;$C144&amp;"|"&amp;$D144&amp;"|"&amp;W$14&amp;"|"&amp;"CY2023Q3",Spectrum!$R:$R,0)),""))</f>
        <v>1425</v>
      </c>
      <c r="X144" s="39" t="n">
        <f aca="false">IF(LEFT($B144,4)="_Mil","",_xlfn.IFNA(ROUND(INDEX(Spectrum!$N:$N,MATCH(RIGHT($B144,13)&amp;"|"&amp;$C144&amp;"|"&amp;$D144&amp;"|"&amp;X$14&amp;"|"&amp;"CY2023Q3",Spectrum!$R:$R,0)),0),""))</f>
        <v>1669</v>
      </c>
      <c r="Y144" s="88" t="str">
        <f aca="false">IF(OR(SUM($U144)=0,LEFT($B144,4)="_Mil"),"",SUM($X144)/$U144)</f>
        <v/>
      </c>
      <c r="Z144" s="39" t="n">
        <f aca="false">IF(LEFT($B144,4)="_Mil","",_xlfn.IFNA(ROUND(INDEX(Spectrum!$N:$N,MATCH(RIGHT($B144,13)&amp;"|"&amp;$C144&amp;"|"&amp;$D144&amp;"|"&amp;Z$14&amp;"|"&amp;"CY2023Q3",Spectrum!$R:$R,0)),0),""))</f>
        <v>1377</v>
      </c>
      <c r="AA144" s="88" t="n">
        <f aca="false">IF(LEFT($B144,4)="_Mil","",IFERROR(1/(1/INDEX(Spectrum!$N:$N,MATCH(RIGHT($B144,13)&amp;"|"&amp;$C144&amp;"|"&amp;$D144&amp;"|"&amp;AA$14&amp;"|"&amp;"CY2023Q3",Spectrum!$R:$R,0))),IF(SUM($U144)=0,"",SUM($Z144)/$U144)))</f>
        <v>554</v>
      </c>
      <c r="AB144" s="88" t="n">
        <f aca="false">IF(OR(LEFT($B144,4)="_Mil",SUM($X144)=0),"",SUM($Z144)/$X144)</f>
        <v>0.825044937088077</v>
      </c>
      <c r="AC144" s="10" t="n">
        <f aca="false">IF(LEFT($B144,4)="_Mil","",_xlfn.IFNA(ROUND(INDEX(Spectrum!$N:$N,MATCH(RIGHT($B144,13)&amp;"|"&amp;$C144&amp;"|"&amp;$D144&amp;"|"&amp;AC$14&amp;"|"&amp;"CY2023Q3",Spectrum!$R:$R,0)),0),""))</f>
        <v>1532</v>
      </c>
      <c r="AD144" s="10" t="str">
        <f aca="false">IF(LEFT($B144,4)="_Mil","",_xlfn.IFNA(ROUND(INDEX(Spectrum!$N:$N,MATCH(RIGHT($B144,13)&amp;"|"&amp;$C144&amp;"|"&amp;$D144&amp;"|"&amp;AD$14&amp;"|"&amp;"CY2023Q3",Spectrum!$R:$R,0)),0),""))</f>
        <v/>
      </c>
      <c r="AE144" s="88" t="n">
        <f aca="false">IF(OR(LEFT($B144,4)="_Mil",SUM($Z144)=0),"",SUM($AD144)/$Z144)</f>
        <v>0</v>
      </c>
      <c r="AF144" s="39" t="str">
        <f aca="false">IF(LEFT($B144,4)="_Mil","",_xlfn.IFNA(ROUND(INDEX(Spectrum!$N:$N,MATCH(RIGHT($B144,13)&amp;"|"&amp;$C144&amp;"|"&amp;$D144&amp;"|"&amp;AF$14&amp;"|"&amp;"CY2023Q3",Spectrum!$R:$R,0)),0),""))</f>
        <v/>
      </c>
      <c r="AG144" s="88" t="str">
        <f aca="false">IF(OR(LEFT($B144,4)="_Mil",SUM($AD144)=0),"",SUM($AF144)/$AD144)</f>
        <v/>
      </c>
      <c r="AH144" s="86" t="str">
        <f aca="false">IF(LEFT($B144,4)="_Mil","",_xlfn.IFNA(INDEX(Spectrum!$N:$N,MATCH(RIGHT($B144,13)&amp;"|"&amp;$C144&amp;"|"&amp;$D144&amp;"|"&amp;AH$14&amp;"|"&amp;"CY2023Q3",Spectrum!$R:$R,0)),""))</f>
        <v/>
      </c>
      <c r="AI144" s="10" t="str">
        <f aca="false">IF(LEFT($B144,4)="_Mil","",_xlfn.IFNA(ROUND(INDEX(Spectrum!$N:$N,MATCH(RIGHT($B144,13)&amp;"|"&amp;$C144&amp;"|"&amp;$D144&amp;"|"&amp;AI$14&amp;"|"&amp;"CY2023Q3",Spectrum!$R:$R,0)),0),""))</f>
        <v/>
      </c>
      <c r="AJ144" s="39" t="n">
        <f aca="false">IF(LEFT($B144,4)="_Mil","",_xlfn.IFNA(ROUND(INDEX(Spectrum!$N:$N,MATCH(RIGHT($B144,13)&amp;"|"&amp;$C144&amp;"|"&amp;$D144&amp;"|"&amp;AI$14&amp;"|"&amp;"CY2023Q3",Spectrum!$R:$R,0)),0),SUM($U144)+SUM($AI144)))</f>
        <v>0</v>
      </c>
      <c r="AK144" s="10" t="str">
        <f aca="false">IF(LEFT($B144,4)="_Mil","",_xlfn.IFNA(ROUND(INDEX(Spectrum!$N:$N,MATCH(RIGHT($B144,13)&amp;"|"&amp;$C144&amp;"|"&amp;$D144&amp;"|"&amp;AK$14&amp;"|"&amp;"CY2023Q3",Spectrum!$R:$R,0)),0),""))</f>
        <v/>
      </c>
      <c r="AL144" s="88" t="n">
        <f aca="false">IF(OR(LEFT($B144,4)="_Mil",$C144="&lt;01"),"",MAX(SUM($AA144),90%))</f>
        <v>554</v>
      </c>
      <c r="AM144" s="10" t="n">
        <f aca="false">IF(OR(LEFT($B144,4)="_Mil",$C144="&lt;01"),"",ROUND(SUM($AJ144)*SUM($AL144),0))</f>
        <v>0</v>
      </c>
      <c r="AN144" s="10" t="str">
        <f aca="false">IF($C144="&lt;01",ROUND(INDEX(EID!$P:$P,MATCH($B144,EID!$B:$B,0))/2,0),"")</f>
        <v/>
      </c>
      <c r="AO144" s="10" t="n">
        <f aca="false">IF($C144="&lt;01",SUM($AN144),ROUND(SUM($AM144)*SUM($O144)/IF(SUM($Z144)=0,1,$Z144),0))</f>
        <v>0</v>
      </c>
      <c r="AP144" s="39" t="n">
        <f aca="false">IF(OR($F144="",$C144="&lt;01"),$AO144,$F144)</f>
        <v>0</v>
      </c>
      <c r="AQ144" s="39" t="n">
        <f aca="false">IF(LEFT($B144,4)="_Mil","",IF(SUM($AP144)=0,SUM($Z144),IF(OR(SUM($Z144)=0,SUM($O144)=0),MAX($AP144,$Z144),$AP144*$Z144/$O144)))</f>
        <v>1377</v>
      </c>
      <c r="AR144" s="88" t="str">
        <f aca="false">IF(OR(LEFT($B144,4)="_Mil",SUM($AJ144)=0),"",SUM($AQ144)/$AJ144)</f>
        <v/>
      </c>
      <c r="AS144" s="88" t="n">
        <f aca="false">IF($C144="&lt;01","",98%)</f>
        <v>0.98</v>
      </c>
      <c r="AT144" s="88" t="n">
        <f aca="false">IF($C144="&lt;01","",98%)</f>
        <v>0.98</v>
      </c>
      <c r="AU144" s="10" t="n">
        <f aca="false">IF($C144="&lt;01","",SUM($AP144)-SUM($O144))</f>
        <v>0</v>
      </c>
      <c r="AV144" s="10" t="n">
        <f aca="false">IF($C144="&lt;01",ROUND(INDEX(EID!$N:$N,MATCH($B144,EID!$B:$B,0))/2,0),IF(SUM($AT144)=0,"",ROUND((SUM($AP144)-(SUM($O144)*SUM($AS144)))/$AT144,0)))</f>
        <v>0</v>
      </c>
      <c r="AW144" s="88" t="n">
        <f aca="false">IF($C144="&lt;01","",100%)</f>
        <v>1</v>
      </c>
      <c r="AX144" s="39" t="n">
        <f aca="false">IF($C144="&lt;01",SUM($AV144),ROUND(SUM($AV144)*SUM($AW144),0))</f>
        <v>0</v>
      </c>
      <c r="AY144" s="114" t="n">
        <f aca="false">IF($C144="&lt;01","",70%)</f>
        <v>0.7</v>
      </c>
      <c r="AZ144" s="91" t="n">
        <f aca="false">IF($C144="&lt;01",ROUND(INDEX(EID!$R:$R,MATCH($B144,EID!$B:$B,0))/2,0),ROUND(SUM($O144)+(SUM($AV144)*$AY144),0))</f>
        <v>0</v>
      </c>
      <c r="BA144" s="87" t="n">
        <f aca="false">IF($C144="&lt;01","",95%)</f>
        <v>0.95</v>
      </c>
      <c r="BB144" s="5" t="n">
        <f aca="false">IF($C144="&lt;01",ROUND(INDEX(EID!$T:$T,MATCH($B144,EID!$B:$B,0))/2,0),ROUND($AZ144*$BA144,0))</f>
        <v>0</v>
      </c>
      <c r="BC144" s="91" t="n">
        <f aca="false">IF(LEFT($B144,4)="_Mil","",IF(SUM($BB144)=0,SUM($AD144),IF(OR(SUM($AP144)=0,SUM($AQ144)=0),MAX($BB144,$AD144),ROUND($BB144*$AQ144/$AP144,0))))</f>
        <v>0</v>
      </c>
      <c r="BD144" s="88" t="n">
        <f aca="false">IF($C144="&lt;01","",95%)</f>
        <v>0.95</v>
      </c>
      <c r="BE144" s="39" t="n">
        <f aca="false">IF($C144="&lt;01",ROUND(INDEX(EID!$V:$V,MATCH($B144,EID!$B:$B,0))/2,0),ROUND($BD144*$BB144,0))</f>
        <v>0</v>
      </c>
      <c r="BF144" s="39" t="n">
        <f aca="false">IF(LEFT($B144,4)="_Mil","",IF(SUM($BE144)=0,SUM($AF144),IF(OR(SUM($AP144)=0,SUM($AQ144)=0),MAX($BE144,$AF144),ROUND($BE144*$AQ144/$AP144,0))))</f>
        <v>0</v>
      </c>
      <c r="BG144" s="114" t="n">
        <f aca="false">IF($C144="&lt;01","",95%)</f>
        <v>0.95</v>
      </c>
      <c r="BH144" s="5" t="n">
        <f aca="false">IF($C144="&lt;01",ROUND(INDEX(EID!$L:$L,MATCH($B144,EID!$B:$B,0)),0)/2,IF(SUM($BG144)=0,"",ROUND($AX144/$BG144,0)))</f>
        <v>0</v>
      </c>
    </row>
    <row r="145" customFormat="false" ht="15" hidden="false" customHeight="false" outlineLevel="0" collapsed="false">
      <c r="A145" s="0" t="str">
        <f aca="false">INDEX(Prioritization!$D:$D,MATCH($B145,Prioritization!$A:$A,0))</f>
        <v>INVALID</v>
      </c>
      <c r="B145" s="0" t="s">
        <v>203</v>
      </c>
      <c r="C145" s="0" t="s">
        <v>364</v>
      </c>
      <c r="D145" s="0" t="s">
        <v>30</v>
      </c>
      <c r="E145" s="0" t="str">
        <f aca="false">$B145&amp;"|"&amp;$C145&amp;"|"&amp;$D145</f>
        <v>Salima District [msW2zpIN7up]|10-14|Female</v>
      </c>
      <c r="F145" s="10"/>
      <c r="G145" s="10" t="n">
        <v>2</v>
      </c>
      <c r="H145" s="10" t="n">
        <v>6</v>
      </c>
      <c r="I145" s="10" t="n">
        <v>39</v>
      </c>
      <c r="J145" s="10" t="n">
        <v>35</v>
      </c>
      <c r="K145" s="10" t="n">
        <v>81</v>
      </c>
      <c r="L145" s="10"/>
      <c r="M145" s="10"/>
      <c r="N145" s="10" t="n">
        <v>78</v>
      </c>
      <c r="O145" s="10" t="n">
        <f aca="false">IFERROR(1/(1/MAX($I145,$N145)),"")</f>
        <v>78</v>
      </c>
      <c r="P145" s="10" t="n">
        <v>97</v>
      </c>
      <c r="Q145" s="10" t="n">
        <v>82</v>
      </c>
      <c r="R145" s="10" t="n">
        <f aca="false">IF(AND(SUM($I145)=0,SUM($O145)=0),"",SUM($O145)-$I145)</f>
        <v>39</v>
      </c>
      <c r="S145" s="10" t="n">
        <f aca="false">IF(LEFT($B145,4)="_Mil","",_xlfn.IFNA(ROUND(INDEX(Spectrum!$N:$N,MATCH(RIGHT($B145,13)&amp;"|"&amp;$C145&amp;"|"&amp;$D145&amp;"|"&amp;S$14&amp;"|"&amp;"CY2022Q4",Spectrum!$R:$R,0)),0),""))</f>
        <v>684</v>
      </c>
      <c r="T145" s="39" t="n">
        <f aca="false">IF(LEFT($B145,4)="_Mil","",_xlfn.IFNA(ROUND(INDEX(Spectrum!$N:$N,MATCH(RIGHT($B145,13)&amp;"|"&amp;$C145&amp;"|"&amp;$D145&amp;"|"&amp;T$14&amp;"|"&amp;"CY2023Q3",Spectrum!$R:$R,0)),0),""))</f>
        <v>1441</v>
      </c>
      <c r="U145" s="39" t="str">
        <f aca="false">IF(LEFT($B145,4)="_Mil","",_xlfn.IFNA(ROUND(INDEX(Spectrum!$N:$N,MATCH(RIGHT($B145,13)&amp;"|"&amp;$C145&amp;"|"&amp;$D145&amp;"|"&amp;U$14&amp;"|"&amp;"CY2023Q3",Spectrum!$R:$R,0)),0),""))</f>
        <v/>
      </c>
      <c r="V145" s="10" t="n">
        <f aca="false">IF(LEFT($B145,4)="_Mil","",_xlfn.IFNA(ROUND(INDEX(Spectrum!$N:$N,MATCH(RIGHT($B145,13)&amp;"|"&amp;$C145&amp;"|"&amp;$D145&amp;"|"&amp;V$14&amp;"|"&amp;"CY2023Q3",Spectrum!$R:$R,0)),0),""))</f>
        <v>1006</v>
      </c>
      <c r="W145" s="113" t="n">
        <f aca="false">IF(LEFT($B145,4)="_Mil","",_xlfn.IFNA(INDEX(Spectrum!$N:$N,MATCH(RIGHT($B145,13)&amp;"|"&amp;$C145&amp;"|"&amp;$D145&amp;"|"&amp;W$14&amp;"|"&amp;"CY2023Q3",Spectrum!$R:$R,0)),""))</f>
        <v>1937</v>
      </c>
      <c r="X145" s="39" t="n">
        <f aca="false">IF(LEFT($B145,4)="_Mil","",_xlfn.IFNA(ROUND(INDEX(Spectrum!$N:$N,MATCH(RIGHT($B145,13)&amp;"|"&amp;$C145&amp;"|"&amp;$D145&amp;"|"&amp;X$14&amp;"|"&amp;"CY2023Q3",Spectrum!$R:$R,0)),0),""))</f>
        <v>1019</v>
      </c>
      <c r="Y145" s="88" t="str">
        <f aca="false">IF(OR(SUM($U145)=0,LEFT($B145,4)="_Mil"),"",SUM($X145)/$U145)</f>
        <v/>
      </c>
      <c r="Z145" s="39" t="n">
        <f aca="false">IF(LEFT($B145,4)="_Mil","",_xlfn.IFNA(ROUND(INDEX(Spectrum!$N:$N,MATCH(RIGHT($B145,13)&amp;"|"&amp;$C145&amp;"|"&amp;$D145&amp;"|"&amp;Z$14&amp;"|"&amp;"CY2023Q3",Spectrum!$R:$R,0)),0),""))</f>
        <v>922</v>
      </c>
      <c r="AA145" s="88" t="n">
        <f aca="false">IF(LEFT($B145,4)="_Mil","",IFERROR(1/(1/INDEX(Spectrum!$N:$N,MATCH(RIGHT($B145,13)&amp;"|"&amp;$C145&amp;"|"&amp;$D145&amp;"|"&amp;AA$14&amp;"|"&amp;"CY2023Q3",Spectrum!$R:$R,0))),IF(SUM($U145)=0,"",SUM($Z145)/$U145)))</f>
        <v>842</v>
      </c>
      <c r="AB145" s="88" t="n">
        <f aca="false">IF(OR(LEFT($B145,4)="_Mil",SUM($X145)=0),"",SUM($Z145)/$X145)</f>
        <v>0.904808635917566</v>
      </c>
      <c r="AC145" s="10" t="n">
        <f aca="false">IF(LEFT($B145,4)="_Mil","",_xlfn.IFNA(ROUND(INDEX(Spectrum!$N:$N,MATCH(RIGHT($B145,13)&amp;"|"&amp;$C145&amp;"|"&amp;$D145&amp;"|"&amp;AC$14&amp;"|"&amp;"CY2023Q3",Spectrum!$R:$R,0)),0),""))</f>
        <v>1137</v>
      </c>
      <c r="AD145" s="10" t="str">
        <f aca="false">IF(LEFT($B145,4)="_Mil","",_xlfn.IFNA(ROUND(INDEX(Spectrum!$N:$N,MATCH(RIGHT($B145,13)&amp;"|"&amp;$C145&amp;"|"&amp;$D145&amp;"|"&amp;AD$14&amp;"|"&amp;"CY2023Q3",Spectrum!$R:$R,0)),0),""))</f>
        <v/>
      </c>
      <c r="AE145" s="88" t="n">
        <f aca="false">IF(OR(LEFT($B145,4)="_Mil",SUM($Z145)=0),"",SUM($AD145)/$Z145)</f>
        <v>0</v>
      </c>
      <c r="AF145" s="39" t="str">
        <f aca="false">IF(LEFT($B145,4)="_Mil","",_xlfn.IFNA(ROUND(INDEX(Spectrum!$N:$N,MATCH(RIGHT($B145,13)&amp;"|"&amp;$C145&amp;"|"&amp;$D145&amp;"|"&amp;AF$14&amp;"|"&amp;"CY2023Q3",Spectrum!$R:$R,0)),0),""))</f>
        <v/>
      </c>
      <c r="AG145" s="88" t="str">
        <f aca="false">IF(OR(LEFT($B145,4)="_Mil",SUM($AD145)=0),"",SUM($AF145)/$AD145)</f>
        <v/>
      </c>
      <c r="AH145" s="86" t="str">
        <f aca="false">IF(LEFT($B145,4)="_Mil","",_xlfn.IFNA(INDEX(Spectrum!$N:$N,MATCH(RIGHT($B145,13)&amp;"|"&amp;$C145&amp;"|"&amp;$D145&amp;"|"&amp;AH$14&amp;"|"&amp;"CY2023Q3",Spectrum!$R:$R,0)),""))</f>
        <v/>
      </c>
      <c r="AI145" s="10" t="str">
        <f aca="false">IF(LEFT($B145,4)="_Mil","",_xlfn.IFNA(ROUND(INDEX(Spectrum!$N:$N,MATCH(RIGHT($B145,13)&amp;"|"&amp;$C145&amp;"|"&amp;$D145&amp;"|"&amp;AI$14&amp;"|"&amp;"CY2023Q3",Spectrum!$R:$R,0)),0),""))</f>
        <v/>
      </c>
      <c r="AJ145" s="39" t="n">
        <f aca="false">IF(LEFT($B145,4)="_Mil","",_xlfn.IFNA(ROUND(INDEX(Spectrum!$N:$N,MATCH(RIGHT($B145,13)&amp;"|"&amp;$C145&amp;"|"&amp;$D145&amp;"|"&amp;AI$14&amp;"|"&amp;"CY2023Q3",Spectrum!$R:$R,0)),0),SUM($U145)+SUM($AI145)))</f>
        <v>0</v>
      </c>
      <c r="AK145" s="10" t="str">
        <f aca="false">IF(LEFT($B145,4)="_Mil","",_xlfn.IFNA(ROUND(INDEX(Spectrum!$N:$N,MATCH(RIGHT($B145,13)&amp;"|"&amp;$C145&amp;"|"&amp;$D145&amp;"|"&amp;AK$14&amp;"|"&amp;"CY2023Q3",Spectrum!$R:$R,0)),0),""))</f>
        <v/>
      </c>
      <c r="AL145" s="88" t="n">
        <f aca="false">IF(OR(LEFT($B145,4)="_Mil",$C145="&lt;01"),"",MAX(SUM($AA145),90%))</f>
        <v>842</v>
      </c>
      <c r="AM145" s="10" t="n">
        <f aca="false">IF(OR(LEFT($B145,4)="_Mil",$C145="&lt;01"),"",ROUND(SUM($AJ145)*SUM($AL145),0))</f>
        <v>0</v>
      </c>
      <c r="AN145" s="10" t="str">
        <f aca="false">IF($C145="&lt;01",ROUND(INDEX(EID!$P:$P,MATCH($B145,EID!$B:$B,0))/2,0),"")</f>
        <v/>
      </c>
      <c r="AO145" s="10" t="n">
        <f aca="false">IF($C145="&lt;01",SUM($AN145),ROUND(SUM($AM145)*SUM($O145)/IF(SUM($Z145)=0,1,$Z145),0))</f>
        <v>0</v>
      </c>
      <c r="AP145" s="39" t="n">
        <f aca="false">IF(OR($F145="",$C145="&lt;01"),$AO145,$F145)</f>
        <v>0</v>
      </c>
      <c r="AQ145" s="39" t="n">
        <f aca="false">IF(LEFT($B145,4)="_Mil","",IF(SUM($AP145)=0,SUM($Z145),IF(OR(SUM($Z145)=0,SUM($O145)=0),MAX($AP145,$Z145),$AP145*$Z145/$O145)))</f>
        <v>922</v>
      </c>
      <c r="AR145" s="88" t="str">
        <f aca="false">IF(OR(LEFT($B145,4)="_Mil",SUM($AJ145)=0),"",SUM($AQ145)/$AJ145)</f>
        <v/>
      </c>
      <c r="AS145" s="88" t="n">
        <f aca="false">IF($C145="&lt;01","",98%)</f>
        <v>0.98</v>
      </c>
      <c r="AT145" s="88" t="n">
        <f aca="false">IF($C145="&lt;01","",98%)</f>
        <v>0.98</v>
      </c>
      <c r="AU145" s="10" t="n">
        <f aca="false">IF($C145="&lt;01","",SUM($AP145)-SUM($O145))</f>
        <v>-78</v>
      </c>
      <c r="AV145" s="10" t="n">
        <f aca="false">IF($C145="&lt;01",ROUND(INDEX(EID!$N:$N,MATCH($B145,EID!$B:$B,0))/2,0),IF(SUM($AT145)=0,"",ROUND((SUM($AP145)-(SUM($O145)*SUM($AS145)))/$AT145,0)))</f>
        <v>-78</v>
      </c>
      <c r="AW145" s="88" t="n">
        <f aca="false">IF($C145="&lt;01","",100%)</f>
        <v>1</v>
      </c>
      <c r="AX145" s="39" t="n">
        <f aca="false">IF($C145="&lt;01",SUM($AV145),ROUND(SUM($AV145)*SUM($AW145),0))</f>
        <v>-78</v>
      </c>
      <c r="AY145" s="114" t="n">
        <f aca="false">IF($C145="&lt;01","",70%)</f>
        <v>0.7</v>
      </c>
      <c r="AZ145" s="91" t="n">
        <f aca="false">IF($C145="&lt;01",ROUND(INDEX(EID!$R:$R,MATCH($B145,EID!$B:$B,0))/2,0),ROUND(SUM($O145)+(SUM($AV145)*$AY145),0))</f>
        <v>23</v>
      </c>
      <c r="BA145" s="87" t="n">
        <f aca="false">IF($C145="&lt;01","",95%)</f>
        <v>0.95</v>
      </c>
      <c r="BB145" s="5" t="n">
        <f aca="false">IF($C145="&lt;01",ROUND(INDEX(EID!$T:$T,MATCH($B145,EID!$B:$B,0))/2,0),ROUND($AZ145*$BA145,0))</f>
        <v>22</v>
      </c>
      <c r="BC145" s="91" t="n">
        <f aca="false">IF(LEFT($B145,4)="_Mil","",IF(SUM($BB145)=0,SUM($AD145),IF(OR(SUM($AP145)=0,SUM($AQ145)=0),MAX($BB145,$AD145),ROUND($BB145*$AQ145/$AP145,0))))</f>
        <v>22</v>
      </c>
      <c r="BD145" s="88" t="n">
        <f aca="false">IF($C145="&lt;01","",95%)</f>
        <v>0.95</v>
      </c>
      <c r="BE145" s="39" t="n">
        <f aca="false">IF($C145="&lt;01",ROUND(INDEX(EID!$V:$V,MATCH($B145,EID!$B:$B,0))/2,0),ROUND($BD145*$BB145,0))</f>
        <v>21</v>
      </c>
      <c r="BF145" s="39" t="n">
        <f aca="false">IF(LEFT($B145,4)="_Mil","",IF(SUM($BE145)=0,SUM($AF145),IF(OR(SUM($AP145)=0,SUM($AQ145)=0),MAX($BE145,$AF145),ROUND($BE145*$AQ145/$AP145,0))))</f>
        <v>21</v>
      </c>
      <c r="BG145" s="114" t="n">
        <f aca="false">IF($C145="&lt;01","",95%)</f>
        <v>0.95</v>
      </c>
      <c r="BH145" s="5" t="n">
        <f aca="false">IF($C145="&lt;01",ROUND(INDEX(EID!$L:$L,MATCH($B145,EID!$B:$B,0)),0)/2,IF(SUM($BG145)=0,"",ROUND($AX145/$BG145,0)))</f>
        <v>-82</v>
      </c>
    </row>
    <row r="146" customFormat="false" ht="15" hidden="false" customHeight="false" outlineLevel="0" collapsed="false">
      <c r="A146" s="0" t="str">
        <f aca="false">INDEX(Prioritization!$D:$D,MATCH($B146,Prioritization!$A:$A,0))</f>
        <v>INVALID</v>
      </c>
      <c r="B146" s="0" t="s">
        <v>203</v>
      </c>
      <c r="C146" s="0" t="s">
        <v>364</v>
      </c>
      <c r="D146" s="0" t="s">
        <v>48</v>
      </c>
      <c r="E146" s="0" t="str">
        <f aca="false">$B146&amp;"|"&amp;$C146&amp;"|"&amp;$D146</f>
        <v>Salima District [msW2zpIN7up]|10-14|Male</v>
      </c>
      <c r="F146" s="10"/>
      <c r="G146" s="10" t="n">
        <v>8</v>
      </c>
      <c r="H146" s="10" t="n">
        <v>3</v>
      </c>
      <c r="I146" s="10" t="n">
        <v>73</v>
      </c>
      <c r="J146" s="10" t="n">
        <v>56</v>
      </c>
      <c r="K146" s="10" t="n">
        <v>70</v>
      </c>
      <c r="L146" s="10"/>
      <c r="M146" s="10"/>
      <c r="N146" s="10" t="n">
        <v>15</v>
      </c>
      <c r="O146" s="10" t="n">
        <f aca="false">IFERROR(1/(1/MAX($I146,$N146)),"")</f>
        <v>73</v>
      </c>
      <c r="P146" s="10" t="n">
        <v>58</v>
      </c>
      <c r="Q146" s="10" t="n">
        <v>56</v>
      </c>
      <c r="R146" s="10" t="n">
        <f aca="false">IF(AND(SUM($I146)=0,SUM($O146)=0),"",SUM($O146)-$I146)</f>
        <v>0</v>
      </c>
      <c r="S146" s="10" t="n">
        <f aca="false">IF(LEFT($B146,4)="_Mil","",_xlfn.IFNA(ROUND(INDEX(Spectrum!$N:$N,MATCH(RIGHT($B146,13)&amp;"|"&amp;$C146&amp;"|"&amp;$D146&amp;"|"&amp;S$14&amp;"|"&amp;"CY2022Q4",Spectrum!$R:$R,0)),0),""))</f>
        <v>1199</v>
      </c>
      <c r="T146" s="39" t="n">
        <f aca="false">IF(LEFT($B146,4)="_Mil","",_xlfn.IFNA(ROUND(INDEX(Spectrum!$N:$N,MATCH(RIGHT($B146,13)&amp;"|"&amp;$C146&amp;"|"&amp;$D146&amp;"|"&amp;T$14&amp;"|"&amp;"CY2023Q3",Spectrum!$R:$R,0)),0),""))</f>
        <v>771</v>
      </c>
      <c r="U146" s="39" t="str">
        <f aca="false">IF(LEFT($B146,4)="_Mil","",_xlfn.IFNA(ROUND(INDEX(Spectrum!$N:$N,MATCH(RIGHT($B146,13)&amp;"|"&amp;$C146&amp;"|"&amp;$D146&amp;"|"&amp;U$14&amp;"|"&amp;"CY2023Q3",Spectrum!$R:$R,0)),0),""))</f>
        <v/>
      </c>
      <c r="V146" s="10" t="n">
        <f aca="false">IF(LEFT($B146,4)="_Mil","",_xlfn.IFNA(ROUND(INDEX(Spectrum!$N:$N,MATCH(RIGHT($B146,13)&amp;"|"&amp;$C146&amp;"|"&amp;$D146&amp;"|"&amp;V$14&amp;"|"&amp;"CY2023Q3",Spectrum!$R:$R,0)),0),""))</f>
        <v>1494</v>
      </c>
      <c r="W146" s="113" t="n">
        <f aca="false">IF(LEFT($B146,4)="_Mil","",_xlfn.IFNA(INDEX(Spectrum!$N:$N,MATCH(RIGHT($B146,13)&amp;"|"&amp;$C146&amp;"|"&amp;$D146&amp;"|"&amp;W$14&amp;"|"&amp;"CY2023Q3",Spectrum!$R:$R,0)),""))</f>
        <v>1066</v>
      </c>
      <c r="X146" s="39" t="n">
        <f aca="false">IF(LEFT($B146,4)="_Mil","",_xlfn.IFNA(ROUND(INDEX(Spectrum!$N:$N,MATCH(RIGHT($B146,13)&amp;"|"&amp;$C146&amp;"|"&amp;$D146&amp;"|"&amp;X$14&amp;"|"&amp;"CY2023Q3",Spectrum!$R:$R,0)),0),""))</f>
        <v>1107</v>
      </c>
      <c r="Y146" s="88" t="str">
        <f aca="false">IF(OR(SUM($U146)=0,LEFT($B146,4)="_Mil"),"",SUM($X146)/$U146)</f>
        <v/>
      </c>
      <c r="Z146" s="39" t="n">
        <f aca="false">IF(LEFT($B146,4)="_Mil","",_xlfn.IFNA(ROUND(INDEX(Spectrum!$N:$N,MATCH(RIGHT($B146,13)&amp;"|"&amp;$C146&amp;"|"&amp;$D146&amp;"|"&amp;Z$14&amp;"|"&amp;"CY2023Q3",Spectrum!$R:$R,0)),0),""))</f>
        <v>855</v>
      </c>
      <c r="AA146" s="88" t="n">
        <f aca="false">IF(LEFT($B146,4)="_Mil","",IFERROR(1/(1/INDEX(Spectrum!$N:$N,MATCH(RIGHT($B146,13)&amp;"|"&amp;$C146&amp;"|"&amp;$D146&amp;"|"&amp;AA$14&amp;"|"&amp;"CY2023Q3",Spectrum!$R:$R,0))),IF(SUM($U146)=0,"",SUM($Z146)/$U146)))</f>
        <v>751</v>
      </c>
      <c r="AB146" s="88" t="n">
        <f aca="false">IF(OR(LEFT($B146,4)="_Mil",SUM($X146)=0),"",SUM($Z146)/$X146)</f>
        <v>0.772357723577236</v>
      </c>
      <c r="AC146" s="10" t="n">
        <f aca="false">IF(LEFT($B146,4)="_Mil","",_xlfn.IFNA(ROUND(INDEX(Spectrum!$N:$N,MATCH(RIGHT($B146,13)&amp;"|"&amp;$C146&amp;"|"&amp;$D146&amp;"|"&amp;AC$14&amp;"|"&amp;"CY2023Q3",Spectrum!$R:$R,0)),0),""))</f>
        <v>1305</v>
      </c>
      <c r="AD146" s="10" t="str">
        <f aca="false">IF(LEFT($B146,4)="_Mil","",_xlfn.IFNA(ROUND(INDEX(Spectrum!$N:$N,MATCH(RIGHT($B146,13)&amp;"|"&amp;$C146&amp;"|"&amp;$D146&amp;"|"&amp;AD$14&amp;"|"&amp;"CY2023Q3",Spectrum!$R:$R,0)),0),""))</f>
        <v/>
      </c>
      <c r="AE146" s="88" t="n">
        <f aca="false">IF(OR(LEFT($B146,4)="_Mil",SUM($Z146)=0),"",SUM($AD146)/$Z146)</f>
        <v>0</v>
      </c>
      <c r="AF146" s="39" t="str">
        <f aca="false">IF(LEFT($B146,4)="_Mil","",_xlfn.IFNA(ROUND(INDEX(Spectrum!$N:$N,MATCH(RIGHT($B146,13)&amp;"|"&amp;$C146&amp;"|"&amp;$D146&amp;"|"&amp;AF$14&amp;"|"&amp;"CY2023Q3",Spectrum!$R:$R,0)),0),""))</f>
        <v/>
      </c>
      <c r="AG146" s="88" t="str">
        <f aca="false">IF(OR(LEFT($B146,4)="_Mil",SUM($AD146)=0),"",SUM($AF146)/$AD146)</f>
        <v/>
      </c>
      <c r="AH146" s="86" t="str">
        <f aca="false">IF(LEFT($B146,4)="_Mil","",_xlfn.IFNA(INDEX(Spectrum!$N:$N,MATCH(RIGHT($B146,13)&amp;"|"&amp;$C146&amp;"|"&amp;$D146&amp;"|"&amp;AH$14&amp;"|"&amp;"CY2023Q3",Spectrum!$R:$R,0)),""))</f>
        <v/>
      </c>
      <c r="AI146" s="10" t="str">
        <f aca="false">IF(LEFT($B146,4)="_Mil","",_xlfn.IFNA(ROUND(INDEX(Spectrum!$N:$N,MATCH(RIGHT($B146,13)&amp;"|"&amp;$C146&amp;"|"&amp;$D146&amp;"|"&amp;AI$14&amp;"|"&amp;"CY2023Q3",Spectrum!$R:$R,0)),0),""))</f>
        <v/>
      </c>
      <c r="AJ146" s="39" t="n">
        <f aca="false">IF(LEFT($B146,4)="_Mil","",_xlfn.IFNA(ROUND(INDEX(Spectrum!$N:$N,MATCH(RIGHT($B146,13)&amp;"|"&amp;$C146&amp;"|"&amp;$D146&amp;"|"&amp;AI$14&amp;"|"&amp;"CY2023Q3",Spectrum!$R:$R,0)),0),SUM($U146)+SUM($AI146)))</f>
        <v>0</v>
      </c>
      <c r="AK146" s="10" t="str">
        <f aca="false">IF(LEFT($B146,4)="_Mil","",_xlfn.IFNA(ROUND(INDEX(Spectrum!$N:$N,MATCH(RIGHT($B146,13)&amp;"|"&amp;$C146&amp;"|"&amp;$D146&amp;"|"&amp;AK$14&amp;"|"&amp;"CY2023Q3",Spectrum!$R:$R,0)),0),""))</f>
        <v/>
      </c>
      <c r="AL146" s="88" t="n">
        <f aca="false">IF(OR(LEFT($B146,4)="_Mil",$C146="&lt;01"),"",MAX(SUM($AA146),90%))</f>
        <v>751</v>
      </c>
      <c r="AM146" s="10" t="n">
        <f aca="false">IF(OR(LEFT($B146,4)="_Mil",$C146="&lt;01"),"",ROUND(SUM($AJ146)*SUM($AL146),0))</f>
        <v>0</v>
      </c>
      <c r="AN146" s="10" t="str">
        <f aca="false">IF($C146="&lt;01",ROUND(INDEX(EID!$P:$P,MATCH($B146,EID!$B:$B,0))/2,0),"")</f>
        <v/>
      </c>
      <c r="AO146" s="10" t="n">
        <f aca="false">IF($C146="&lt;01",SUM($AN146),ROUND(SUM($AM146)*SUM($O146)/IF(SUM($Z146)=0,1,$Z146),0))</f>
        <v>0</v>
      </c>
      <c r="AP146" s="39" t="n">
        <f aca="false">IF(OR($F146="",$C146="&lt;01"),$AO146,$F146)</f>
        <v>0</v>
      </c>
      <c r="AQ146" s="39" t="n">
        <f aca="false">IF(LEFT($B146,4)="_Mil","",IF(SUM($AP146)=0,SUM($Z146),IF(OR(SUM($Z146)=0,SUM($O146)=0),MAX($AP146,$Z146),$AP146*$Z146/$O146)))</f>
        <v>855</v>
      </c>
      <c r="AR146" s="88" t="str">
        <f aca="false">IF(OR(LEFT($B146,4)="_Mil",SUM($AJ146)=0),"",SUM($AQ146)/$AJ146)</f>
        <v/>
      </c>
      <c r="AS146" s="88" t="n">
        <f aca="false">IF($C146="&lt;01","",98%)</f>
        <v>0.98</v>
      </c>
      <c r="AT146" s="88" t="n">
        <f aca="false">IF($C146="&lt;01","",98%)</f>
        <v>0.98</v>
      </c>
      <c r="AU146" s="10" t="n">
        <f aca="false">IF($C146="&lt;01","",SUM($AP146)-SUM($O146))</f>
        <v>-73</v>
      </c>
      <c r="AV146" s="10" t="n">
        <f aca="false">IF($C146="&lt;01",ROUND(INDEX(EID!$N:$N,MATCH($B146,EID!$B:$B,0))/2,0),IF(SUM($AT146)=0,"",ROUND((SUM($AP146)-(SUM($O146)*SUM($AS146)))/$AT146,0)))</f>
        <v>-73</v>
      </c>
      <c r="AW146" s="88" t="n">
        <f aca="false">IF($C146="&lt;01","",100%)</f>
        <v>1</v>
      </c>
      <c r="AX146" s="39" t="n">
        <f aca="false">IF($C146="&lt;01",SUM($AV146),ROUND(SUM($AV146)*SUM($AW146),0))</f>
        <v>-73</v>
      </c>
      <c r="AY146" s="114" t="n">
        <f aca="false">IF($C146="&lt;01","",70%)</f>
        <v>0.7</v>
      </c>
      <c r="AZ146" s="91" t="n">
        <f aca="false">IF($C146="&lt;01",ROUND(INDEX(EID!$R:$R,MATCH($B146,EID!$B:$B,0))/2,0),ROUND(SUM($O146)+(SUM($AV146)*$AY146),0))</f>
        <v>22</v>
      </c>
      <c r="BA146" s="87" t="n">
        <f aca="false">IF($C146="&lt;01","",95%)</f>
        <v>0.95</v>
      </c>
      <c r="BB146" s="5" t="n">
        <f aca="false">IF($C146="&lt;01",ROUND(INDEX(EID!$T:$T,MATCH($B146,EID!$B:$B,0))/2,0),ROUND($AZ146*$BA146,0))</f>
        <v>21</v>
      </c>
      <c r="BC146" s="91" t="n">
        <f aca="false">IF(LEFT($B146,4)="_Mil","",IF(SUM($BB146)=0,SUM($AD146),IF(OR(SUM($AP146)=0,SUM($AQ146)=0),MAX($BB146,$AD146),ROUND($BB146*$AQ146/$AP146,0))))</f>
        <v>21</v>
      </c>
      <c r="BD146" s="88" t="n">
        <f aca="false">IF($C146="&lt;01","",95%)</f>
        <v>0.95</v>
      </c>
      <c r="BE146" s="39" t="n">
        <f aca="false">IF($C146="&lt;01",ROUND(INDEX(EID!$V:$V,MATCH($B146,EID!$B:$B,0))/2,0),ROUND($BD146*$BB146,0))</f>
        <v>20</v>
      </c>
      <c r="BF146" s="39" t="n">
        <f aca="false">IF(LEFT($B146,4)="_Mil","",IF(SUM($BE146)=0,SUM($AF146),IF(OR(SUM($AP146)=0,SUM($AQ146)=0),MAX($BE146,$AF146),ROUND($BE146*$AQ146/$AP146,0))))</f>
        <v>20</v>
      </c>
      <c r="BG146" s="114" t="n">
        <f aca="false">IF($C146="&lt;01","",95%)</f>
        <v>0.95</v>
      </c>
      <c r="BH146" s="5" t="n">
        <f aca="false">IF($C146="&lt;01",ROUND(INDEX(EID!$L:$L,MATCH($B146,EID!$B:$B,0)),0)/2,IF(SUM($BG146)=0,"",ROUND($AX146/$BG146,0)))</f>
        <v>-77</v>
      </c>
    </row>
    <row r="147" customFormat="false" ht="15" hidden="false" customHeight="false" outlineLevel="0" collapsed="false">
      <c r="A147" s="0" t="str">
        <f aca="false">INDEX(Prioritization!$D:$D,MATCH($B147,Prioritization!$A:$A,0))</f>
        <v>INVALID</v>
      </c>
      <c r="B147" s="0" t="s">
        <v>203</v>
      </c>
      <c r="C147" s="0" t="s">
        <v>365</v>
      </c>
      <c r="D147" s="0" t="s">
        <v>30</v>
      </c>
      <c r="E147" s="0" t="str">
        <f aca="false">$B147&amp;"|"&amp;$C147&amp;"|"&amp;$D147</f>
        <v>Salima District [msW2zpIN7up]|15-24|Female</v>
      </c>
      <c r="F147" s="10"/>
      <c r="G147" s="10"/>
      <c r="H147" s="10"/>
      <c r="I147" s="10"/>
      <c r="J147" s="10"/>
      <c r="K147" s="10"/>
      <c r="L147" s="10"/>
      <c r="M147" s="10"/>
      <c r="N147" s="10"/>
      <c r="O147" s="10" t="str">
        <f aca="false">IFERROR(1/(1/MAX($I147,$N147)),"")</f>
        <v/>
      </c>
      <c r="P147" s="10"/>
      <c r="Q147" s="10"/>
      <c r="R147" s="10" t="str">
        <f aca="false">IF(AND(SUM($I147)=0,SUM($O147)=0),"",SUM($O147)-$I147)</f>
        <v/>
      </c>
      <c r="S147" s="10" t="n">
        <f aca="false">IF(LEFT($B147,4)="_Mil","",_xlfn.IFNA(ROUND(INDEX(Spectrum!$N:$N,MATCH(RIGHT($B147,13)&amp;"|"&amp;$C147&amp;"|"&amp;$D147&amp;"|"&amp;S$14&amp;"|"&amp;"CY2022Q4",Spectrum!$R:$R,0)),0),""))</f>
        <v>1897</v>
      </c>
      <c r="T147" s="39" t="n">
        <f aca="false">IF(LEFT($B147,4)="_Mil","",_xlfn.IFNA(ROUND(INDEX(Spectrum!$N:$N,MATCH(RIGHT($B147,13)&amp;"|"&amp;$C147&amp;"|"&amp;$D147&amp;"|"&amp;T$14&amp;"|"&amp;"CY2023Q3",Spectrum!$R:$R,0)),0),""))</f>
        <v>500</v>
      </c>
      <c r="U147" s="39" t="str">
        <f aca="false">IF(LEFT($B147,4)="_Mil","",_xlfn.IFNA(ROUND(INDEX(Spectrum!$N:$N,MATCH(RIGHT($B147,13)&amp;"|"&amp;$C147&amp;"|"&amp;$D147&amp;"|"&amp;U$14&amp;"|"&amp;"CY2023Q3",Spectrum!$R:$R,0)),0),""))</f>
        <v/>
      </c>
      <c r="V147" s="10" t="n">
        <f aca="false">IF(LEFT($B147,4)="_Mil","",_xlfn.IFNA(ROUND(INDEX(Spectrum!$N:$N,MATCH(RIGHT($B147,13)&amp;"|"&amp;$C147&amp;"|"&amp;$D147&amp;"|"&amp;V$14&amp;"|"&amp;"CY2023Q3",Spectrum!$R:$R,0)),0),""))</f>
        <v>1797</v>
      </c>
      <c r="W147" s="113" t="n">
        <f aca="false">IF(LEFT($B147,4)="_Mil","",_xlfn.IFNA(INDEX(Spectrum!$N:$N,MATCH(RIGHT($B147,13)&amp;"|"&amp;$C147&amp;"|"&amp;$D147&amp;"|"&amp;W$14&amp;"|"&amp;"CY2023Q3",Spectrum!$R:$R,0)),""))</f>
        <v>1947</v>
      </c>
      <c r="X147" s="39" t="n">
        <f aca="false">IF(LEFT($B147,4)="_Mil","",_xlfn.IFNA(ROUND(INDEX(Spectrum!$N:$N,MATCH(RIGHT($B147,13)&amp;"|"&amp;$C147&amp;"|"&amp;$D147&amp;"|"&amp;X$14&amp;"|"&amp;"CY2023Q3",Spectrum!$R:$R,0)),0),""))</f>
        <v>1184</v>
      </c>
      <c r="Y147" s="88" t="str">
        <f aca="false">IF(OR(SUM($U147)=0,LEFT($B147,4)="_Mil"),"",SUM($X147)/$U147)</f>
        <v/>
      </c>
      <c r="Z147" s="39" t="n">
        <f aca="false">IF(LEFT($B147,4)="_Mil","",_xlfn.IFNA(ROUND(INDEX(Spectrum!$N:$N,MATCH(RIGHT($B147,13)&amp;"|"&amp;$C147&amp;"|"&amp;$D147&amp;"|"&amp;Z$14&amp;"|"&amp;"CY2023Q3",Spectrum!$R:$R,0)),0),""))</f>
        <v>1397</v>
      </c>
      <c r="AA147" s="88" t="n">
        <f aca="false">IF(LEFT($B147,4)="_Mil","",IFERROR(1/(1/INDEX(Spectrum!$N:$N,MATCH(RIGHT($B147,13)&amp;"|"&amp;$C147&amp;"|"&amp;$D147&amp;"|"&amp;AA$14&amp;"|"&amp;"CY2023Q3",Spectrum!$R:$R,0))),IF(SUM($U147)=0,"",SUM($Z147)/$U147)))</f>
        <v>1176</v>
      </c>
      <c r="AB147" s="88" t="n">
        <f aca="false">IF(OR(LEFT($B147,4)="_Mil",SUM($X147)=0),"",SUM($Z147)/$X147)</f>
        <v>1.17989864864865</v>
      </c>
      <c r="AC147" s="10" t="n">
        <f aca="false">IF(LEFT($B147,4)="_Mil","",_xlfn.IFNA(ROUND(INDEX(Spectrum!$N:$N,MATCH(RIGHT($B147,13)&amp;"|"&amp;$C147&amp;"|"&amp;$D147&amp;"|"&amp;AC$14&amp;"|"&amp;"CY2023Q3",Spectrum!$R:$R,0)),0),""))</f>
        <v>1264</v>
      </c>
      <c r="AD147" s="10" t="str">
        <f aca="false">IF(LEFT($B147,4)="_Mil","",_xlfn.IFNA(ROUND(INDEX(Spectrum!$N:$N,MATCH(RIGHT($B147,13)&amp;"|"&amp;$C147&amp;"|"&amp;$D147&amp;"|"&amp;AD$14&amp;"|"&amp;"CY2023Q3",Spectrum!$R:$R,0)),0),""))</f>
        <v/>
      </c>
      <c r="AE147" s="88" t="n">
        <f aca="false">IF(OR(LEFT($B147,4)="_Mil",SUM($Z147)=0),"",SUM($AD147)/$Z147)</f>
        <v>0</v>
      </c>
      <c r="AF147" s="39" t="str">
        <f aca="false">IF(LEFT($B147,4)="_Mil","",_xlfn.IFNA(ROUND(INDEX(Spectrum!$N:$N,MATCH(RIGHT($B147,13)&amp;"|"&amp;$C147&amp;"|"&amp;$D147&amp;"|"&amp;AF$14&amp;"|"&amp;"CY2023Q3",Spectrum!$R:$R,0)),0),""))</f>
        <v/>
      </c>
      <c r="AG147" s="88" t="str">
        <f aca="false">IF(OR(LEFT($B147,4)="_Mil",SUM($AD147)=0),"",SUM($AF147)/$AD147)</f>
        <v/>
      </c>
      <c r="AH147" s="86" t="str">
        <f aca="false">IF(LEFT($B147,4)="_Mil","",_xlfn.IFNA(INDEX(Spectrum!$N:$N,MATCH(RIGHT($B147,13)&amp;"|"&amp;$C147&amp;"|"&amp;$D147&amp;"|"&amp;AH$14&amp;"|"&amp;"CY2023Q3",Spectrum!$R:$R,0)),""))</f>
        <v/>
      </c>
      <c r="AI147" s="10" t="str">
        <f aca="false">IF(LEFT($B147,4)="_Mil","",_xlfn.IFNA(ROUND(INDEX(Spectrum!$N:$N,MATCH(RIGHT($B147,13)&amp;"|"&amp;$C147&amp;"|"&amp;$D147&amp;"|"&amp;AI$14&amp;"|"&amp;"CY2023Q3",Spectrum!$R:$R,0)),0),""))</f>
        <v/>
      </c>
      <c r="AJ147" s="39" t="n">
        <f aca="false">IF(LEFT($B147,4)="_Mil","",_xlfn.IFNA(ROUND(INDEX(Spectrum!$N:$N,MATCH(RIGHT($B147,13)&amp;"|"&amp;$C147&amp;"|"&amp;$D147&amp;"|"&amp;AI$14&amp;"|"&amp;"CY2023Q3",Spectrum!$R:$R,0)),0),SUM($U147)+SUM($AI147)))</f>
        <v>0</v>
      </c>
      <c r="AK147" s="10" t="str">
        <f aca="false">IF(LEFT($B147,4)="_Mil","",_xlfn.IFNA(ROUND(INDEX(Spectrum!$N:$N,MATCH(RIGHT($B147,13)&amp;"|"&amp;$C147&amp;"|"&amp;$D147&amp;"|"&amp;AK$14&amp;"|"&amp;"CY2023Q3",Spectrum!$R:$R,0)),0),""))</f>
        <v/>
      </c>
      <c r="AL147" s="88" t="n">
        <f aca="false">IF(OR(LEFT($B147,4)="_Mil",$C147="&lt;01"),"",MAX(SUM($AA147),90%))</f>
        <v>1176</v>
      </c>
      <c r="AM147" s="10" t="n">
        <f aca="false">IF(OR(LEFT($B147,4)="_Mil",$C147="&lt;01"),"",ROUND(SUM($AJ147)*SUM($AL147),0))</f>
        <v>0</v>
      </c>
      <c r="AN147" s="10" t="str">
        <f aca="false">IF($C147="&lt;01",ROUND(INDEX(EID!$P:$P,MATCH($B147,EID!$B:$B,0))/2,0),"")</f>
        <v/>
      </c>
      <c r="AO147" s="10" t="n">
        <f aca="false">IF($C147="&lt;01",SUM($AN147),ROUND(SUM($AM147)*SUM($O147)/IF(SUM($Z147)=0,1,$Z147),0))</f>
        <v>0</v>
      </c>
      <c r="AP147" s="39" t="n">
        <f aca="false">IF(OR($F147="",$C147="&lt;01"),$AO147,$F147)</f>
        <v>0</v>
      </c>
      <c r="AQ147" s="39" t="n">
        <f aca="false">IF(LEFT($B147,4)="_Mil","",IF(SUM($AP147)=0,SUM($Z147),IF(OR(SUM($Z147)=0,SUM($O147)=0),MAX($AP147,$Z147),$AP147*$Z147/$O147)))</f>
        <v>1397</v>
      </c>
      <c r="AR147" s="88" t="str">
        <f aca="false">IF(OR(LEFT($B147,4)="_Mil",SUM($AJ147)=0),"",SUM($AQ147)/$AJ147)</f>
        <v/>
      </c>
      <c r="AS147" s="88" t="n">
        <f aca="false">IF($C147="&lt;01","",98%)</f>
        <v>0.98</v>
      </c>
      <c r="AT147" s="88" t="n">
        <f aca="false">IF($C147="&lt;01","",98%)</f>
        <v>0.98</v>
      </c>
      <c r="AU147" s="10" t="n">
        <f aca="false">IF($C147="&lt;01","",SUM($AP147)-SUM($O147))</f>
        <v>0</v>
      </c>
      <c r="AV147" s="10" t="n">
        <f aca="false">IF($C147="&lt;01",ROUND(INDEX(EID!$N:$N,MATCH($B147,EID!$B:$B,0))/2,0),IF(SUM($AT147)=0,"",ROUND((SUM($AP147)-(SUM($O147)*SUM($AS147)))/$AT147,0)))</f>
        <v>0</v>
      </c>
      <c r="AW147" s="88" t="n">
        <f aca="false">IF($C147="&lt;01","",100%)</f>
        <v>1</v>
      </c>
      <c r="AX147" s="39" t="n">
        <f aca="false">IF($C147="&lt;01",SUM($AV147),ROUND(SUM($AV147)*SUM($AW147),0))</f>
        <v>0</v>
      </c>
      <c r="AY147" s="114" t="n">
        <f aca="false">IF($C147="&lt;01","",70%)</f>
        <v>0.7</v>
      </c>
      <c r="AZ147" s="91" t="n">
        <f aca="false">IF($C147="&lt;01",ROUND(INDEX(EID!$R:$R,MATCH($B147,EID!$B:$B,0))/2,0),ROUND(SUM($O147)+(SUM($AV147)*$AY147),0))</f>
        <v>0</v>
      </c>
      <c r="BA147" s="87" t="n">
        <f aca="false">IF($C147="&lt;01","",95%)</f>
        <v>0.95</v>
      </c>
      <c r="BB147" s="5" t="n">
        <f aca="false">IF($C147="&lt;01",ROUND(INDEX(EID!$T:$T,MATCH($B147,EID!$B:$B,0))/2,0),ROUND($AZ147*$BA147,0))</f>
        <v>0</v>
      </c>
      <c r="BC147" s="91" t="n">
        <f aca="false">IF(LEFT($B147,4)="_Mil","",IF(SUM($BB147)=0,SUM($AD147),IF(OR(SUM($AP147)=0,SUM($AQ147)=0),MAX($BB147,$AD147),ROUND($BB147*$AQ147/$AP147,0))))</f>
        <v>0</v>
      </c>
      <c r="BD147" s="88" t="n">
        <f aca="false">IF($C147="&lt;01","",95%)</f>
        <v>0.95</v>
      </c>
      <c r="BE147" s="39" t="n">
        <f aca="false">IF($C147="&lt;01",ROUND(INDEX(EID!$V:$V,MATCH($B147,EID!$B:$B,0))/2,0),ROUND($BD147*$BB147,0))</f>
        <v>0</v>
      </c>
      <c r="BF147" s="39" t="n">
        <f aca="false">IF(LEFT($B147,4)="_Mil","",IF(SUM($BE147)=0,SUM($AF147),IF(OR(SUM($AP147)=0,SUM($AQ147)=0),MAX($BE147,$AF147),ROUND($BE147*$AQ147/$AP147,0))))</f>
        <v>0</v>
      </c>
      <c r="BG147" s="114" t="n">
        <f aca="false">IF($C147="&lt;01","",95%)</f>
        <v>0.95</v>
      </c>
      <c r="BH147" s="5" t="n">
        <f aca="false">IF($C147="&lt;01",ROUND(INDEX(EID!$L:$L,MATCH($B147,EID!$B:$B,0)),0)/2,IF(SUM($BG147)=0,"",ROUND($AX147/$BG147,0)))</f>
        <v>0</v>
      </c>
    </row>
    <row r="148" customFormat="false" ht="15" hidden="false" customHeight="false" outlineLevel="0" collapsed="false">
      <c r="A148" s="0" t="str">
        <f aca="false">INDEX(Prioritization!$D:$D,MATCH($B148,Prioritization!$A:$A,0))</f>
        <v>INVALID</v>
      </c>
      <c r="B148" s="0" t="s">
        <v>203</v>
      </c>
      <c r="C148" s="0" t="s">
        <v>365</v>
      </c>
      <c r="D148" s="0" t="s">
        <v>48</v>
      </c>
      <c r="E148" s="0" t="str">
        <f aca="false">$B148&amp;"|"&amp;$C148&amp;"|"&amp;$D148</f>
        <v>Salima District [msW2zpIN7up]|15-24|Male</v>
      </c>
      <c r="F148" s="10"/>
      <c r="G148" s="10"/>
      <c r="H148" s="10"/>
      <c r="I148" s="10"/>
      <c r="J148" s="10"/>
      <c r="K148" s="10"/>
      <c r="L148" s="10"/>
      <c r="M148" s="10"/>
      <c r="N148" s="10"/>
      <c r="O148" s="10" t="str">
        <f aca="false">IFERROR(1/(1/MAX($I148,$N148)),"")</f>
        <v/>
      </c>
      <c r="P148" s="10"/>
      <c r="Q148" s="10"/>
      <c r="R148" s="10" t="str">
        <f aca="false">IF(AND(SUM($I148)=0,SUM($O148)=0),"",SUM($O148)-$I148)</f>
        <v/>
      </c>
      <c r="S148" s="10" t="n">
        <f aca="false">IF(LEFT($B148,4)="_Mil","",_xlfn.IFNA(ROUND(INDEX(Spectrum!$N:$N,MATCH(RIGHT($B148,13)&amp;"|"&amp;$C148&amp;"|"&amp;$D148&amp;"|"&amp;S$14&amp;"|"&amp;"CY2022Q4",Spectrum!$R:$R,0)),0),""))</f>
        <v>586</v>
      </c>
      <c r="T148" s="39" t="n">
        <f aca="false">IF(LEFT($B148,4)="_Mil","",_xlfn.IFNA(ROUND(INDEX(Spectrum!$N:$N,MATCH(RIGHT($B148,13)&amp;"|"&amp;$C148&amp;"|"&amp;$D148&amp;"|"&amp;T$14&amp;"|"&amp;"CY2023Q3",Spectrum!$R:$R,0)),0),""))</f>
        <v>1297</v>
      </c>
      <c r="U148" s="39" t="str">
        <f aca="false">IF(LEFT($B148,4)="_Mil","",_xlfn.IFNA(ROUND(INDEX(Spectrum!$N:$N,MATCH(RIGHT($B148,13)&amp;"|"&amp;$C148&amp;"|"&amp;$D148&amp;"|"&amp;U$14&amp;"|"&amp;"CY2023Q3",Spectrum!$R:$R,0)),0),""))</f>
        <v/>
      </c>
      <c r="V148" s="10" t="n">
        <f aca="false">IF(LEFT($B148,4)="_Mil","",_xlfn.IFNA(ROUND(INDEX(Spectrum!$N:$N,MATCH(RIGHT($B148,13)&amp;"|"&amp;$C148&amp;"|"&amp;$D148&amp;"|"&amp;V$14&amp;"|"&amp;"CY2023Q3",Spectrum!$R:$R,0)),0),""))</f>
        <v>1156</v>
      </c>
      <c r="W148" s="113" t="n">
        <f aca="false">IF(LEFT($B148,4)="_Mil","",_xlfn.IFNA(INDEX(Spectrum!$N:$N,MATCH(RIGHT($B148,13)&amp;"|"&amp;$C148&amp;"|"&amp;$D148&amp;"|"&amp;W$14&amp;"|"&amp;"CY2023Q3",Spectrum!$R:$R,0)),""))</f>
        <v>1984</v>
      </c>
      <c r="X148" s="39" t="n">
        <f aca="false">IF(LEFT($B148,4)="_Mil","",_xlfn.IFNA(ROUND(INDEX(Spectrum!$N:$N,MATCH(RIGHT($B148,13)&amp;"|"&amp;$C148&amp;"|"&amp;$D148&amp;"|"&amp;X$14&amp;"|"&amp;"CY2023Q3",Spectrum!$R:$R,0)),0),""))</f>
        <v>907</v>
      </c>
      <c r="Y148" s="88" t="str">
        <f aca="false">IF(OR(SUM($U148)=0,LEFT($B148,4)="_Mil"),"",SUM($X148)/$U148)</f>
        <v/>
      </c>
      <c r="Z148" s="39" t="n">
        <f aca="false">IF(LEFT($B148,4)="_Mil","",_xlfn.IFNA(ROUND(INDEX(Spectrum!$N:$N,MATCH(RIGHT($B148,13)&amp;"|"&amp;$C148&amp;"|"&amp;$D148&amp;"|"&amp;Z$14&amp;"|"&amp;"CY2023Q3",Spectrum!$R:$R,0)),0),""))</f>
        <v>1301</v>
      </c>
      <c r="AA148" s="88" t="n">
        <f aca="false">IF(LEFT($B148,4)="_Mil","",IFERROR(1/(1/INDEX(Spectrum!$N:$N,MATCH(RIGHT($B148,13)&amp;"|"&amp;$C148&amp;"|"&amp;$D148&amp;"|"&amp;AA$14&amp;"|"&amp;"CY2023Q3",Spectrum!$R:$R,0))),IF(SUM($U148)=0,"",SUM($Z148)/$U148)))</f>
        <v>1321</v>
      </c>
      <c r="AB148" s="88" t="n">
        <f aca="false">IF(OR(LEFT($B148,4)="_Mil",SUM($X148)=0),"",SUM($Z148)/$X148)</f>
        <v>1.43439911797133</v>
      </c>
      <c r="AC148" s="10" t="n">
        <f aca="false">IF(LEFT($B148,4)="_Mil","",_xlfn.IFNA(ROUND(INDEX(Spectrum!$N:$N,MATCH(RIGHT($B148,13)&amp;"|"&amp;$C148&amp;"|"&amp;$D148&amp;"|"&amp;AC$14&amp;"|"&amp;"CY2023Q3",Spectrum!$R:$R,0)),0),""))</f>
        <v>549</v>
      </c>
      <c r="AD148" s="10" t="str">
        <f aca="false">IF(LEFT($B148,4)="_Mil","",_xlfn.IFNA(ROUND(INDEX(Spectrum!$N:$N,MATCH(RIGHT($B148,13)&amp;"|"&amp;$C148&amp;"|"&amp;$D148&amp;"|"&amp;AD$14&amp;"|"&amp;"CY2023Q3",Spectrum!$R:$R,0)),0),""))</f>
        <v/>
      </c>
      <c r="AE148" s="88" t="n">
        <f aca="false">IF(OR(LEFT($B148,4)="_Mil",SUM($Z148)=0),"",SUM($AD148)/$Z148)</f>
        <v>0</v>
      </c>
      <c r="AF148" s="39" t="str">
        <f aca="false">IF(LEFT($B148,4)="_Mil","",_xlfn.IFNA(ROUND(INDEX(Spectrum!$N:$N,MATCH(RIGHT($B148,13)&amp;"|"&amp;$C148&amp;"|"&amp;$D148&amp;"|"&amp;AF$14&amp;"|"&amp;"CY2023Q3",Spectrum!$R:$R,0)),0),""))</f>
        <v/>
      </c>
      <c r="AG148" s="88" t="str">
        <f aca="false">IF(OR(LEFT($B148,4)="_Mil",SUM($AD148)=0),"",SUM($AF148)/$AD148)</f>
        <v/>
      </c>
      <c r="AH148" s="86" t="str">
        <f aca="false">IF(LEFT($B148,4)="_Mil","",_xlfn.IFNA(INDEX(Spectrum!$N:$N,MATCH(RIGHT($B148,13)&amp;"|"&amp;$C148&amp;"|"&amp;$D148&amp;"|"&amp;AH$14&amp;"|"&amp;"CY2023Q3",Spectrum!$R:$R,0)),""))</f>
        <v/>
      </c>
      <c r="AI148" s="10" t="str">
        <f aca="false">IF(LEFT($B148,4)="_Mil","",_xlfn.IFNA(ROUND(INDEX(Spectrum!$N:$N,MATCH(RIGHT($B148,13)&amp;"|"&amp;$C148&amp;"|"&amp;$D148&amp;"|"&amp;AI$14&amp;"|"&amp;"CY2023Q3",Spectrum!$R:$R,0)),0),""))</f>
        <v/>
      </c>
      <c r="AJ148" s="39" t="n">
        <f aca="false">IF(LEFT($B148,4)="_Mil","",_xlfn.IFNA(ROUND(INDEX(Spectrum!$N:$N,MATCH(RIGHT($B148,13)&amp;"|"&amp;$C148&amp;"|"&amp;$D148&amp;"|"&amp;AI$14&amp;"|"&amp;"CY2023Q3",Spectrum!$R:$R,0)),0),SUM($U148)+SUM($AI148)))</f>
        <v>0</v>
      </c>
      <c r="AK148" s="10" t="str">
        <f aca="false">IF(LEFT($B148,4)="_Mil","",_xlfn.IFNA(ROUND(INDEX(Spectrum!$N:$N,MATCH(RIGHT($B148,13)&amp;"|"&amp;$C148&amp;"|"&amp;$D148&amp;"|"&amp;AK$14&amp;"|"&amp;"CY2023Q3",Spectrum!$R:$R,0)),0),""))</f>
        <v/>
      </c>
      <c r="AL148" s="88" t="n">
        <f aca="false">IF(OR(LEFT($B148,4)="_Mil",$C148="&lt;01"),"",MAX(SUM($AA148),90%))</f>
        <v>1321</v>
      </c>
      <c r="AM148" s="10" t="n">
        <f aca="false">IF(OR(LEFT($B148,4)="_Mil",$C148="&lt;01"),"",ROUND(SUM($AJ148)*SUM($AL148),0))</f>
        <v>0</v>
      </c>
      <c r="AN148" s="10" t="str">
        <f aca="false">IF($C148="&lt;01",ROUND(INDEX(EID!$P:$P,MATCH($B148,EID!$B:$B,0))/2,0),"")</f>
        <v/>
      </c>
      <c r="AO148" s="10" t="n">
        <f aca="false">IF($C148="&lt;01",SUM($AN148),ROUND(SUM($AM148)*SUM($O148)/IF(SUM($Z148)=0,1,$Z148),0))</f>
        <v>0</v>
      </c>
      <c r="AP148" s="39" t="n">
        <f aca="false">IF(OR($F148="",$C148="&lt;01"),$AO148,$F148)</f>
        <v>0</v>
      </c>
      <c r="AQ148" s="39" t="n">
        <f aca="false">IF(LEFT($B148,4)="_Mil","",IF(SUM($AP148)=0,SUM($Z148),IF(OR(SUM($Z148)=0,SUM($O148)=0),MAX($AP148,$Z148),$AP148*$Z148/$O148)))</f>
        <v>1301</v>
      </c>
      <c r="AR148" s="88" t="str">
        <f aca="false">IF(OR(LEFT($B148,4)="_Mil",SUM($AJ148)=0),"",SUM($AQ148)/$AJ148)</f>
        <v/>
      </c>
      <c r="AS148" s="88" t="n">
        <f aca="false">IF($C148="&lt;01","",98%)</f>
        <v>0.98</v>
      </c>
      <c r="AT148" s="88" t="n">
        <f aca="false">IF($C148="&lt;01","",98%)</f>
        <v>0.98</v>
      </c>
      <c r="AU148" s="10" t="n">
        <f aca="false">IF($C148="&lt;01","",SUM($AP148)-SUM($O148))</f>
        <v>0</v>
      </c>
      <c r="AV148" s="10" t="n">
        <f aca="false">IF($C148="&lt;01",ROUND(INDEX(EID!$N:$N,MATCH($B148,EID!$B:$B,0))/2,0),IF(SUM($AT148)=0,"",ROUND((SUM($AP148)-(SUM($O148)*SUM($AS148)))/$AT148,0)))</f>
        <v>0</v>
      </c>
      <c r="AW148" s="88" t="n">
        <f aca="false">IF($C148="&lt;01","",100%)</f>
        <v>1</v>
      </c>
      <c r="AX148" s="39" t="n">
        <f aca="false">IF($C148="&lt;01",SUM($AV148),ROUND(SUM($AV148)*SUM($AW148),0))</f>
        <v>0</v>
      </c>
      <c r="AY148" s="114" t="n">
        <f aca="false">IF($C148="&lt;01","",70%)</f>
        <v>0.7</v>
      </c>
      <c r="AZ148" s="91" t="n">
        <f aca="false">IF($C148="&lt;01",ROUND(INDEX(EID!$R:$R,MATCH($B148,EID!$B:$B,0))/2,0),ROUND(SUM($O148)+(SUM($AV148)*$AY148),0))</f>
        <v>0</v>
      </c>
      <c r="BA148" s="87" t="n">
        <f aca="false">IF($C148="&lt;01","",95%)</f>
        <v>0.95</v>
      </c>
      <c r="BB148" s="5" t="n">
        <f aca="false">IF($C148="&lt;01",ROUND(INDEX(EID!$T:$T,MATCH($B148,EID!$B:$B,0))/2,0),ROUND($AZ148*$BA148,0))</f>
        <v>0</v>
      </c>
      <c r="BC148" s="91" t="n">
        <f aca="false">IF(LEFT($B148,4)="_Mil","",IF(SUM($BB148)=0,SUM($AD148),IF(OR(SUM($AP148)=0,SUM($AQ148)=0),MAX($BB148,$AD148),ROUND($BB148*$AQ148/$AP148,0))))</f>
        <v>0</v>
      </c>
      <c r="BD148" s="88" t="n">
        <f aca="false">IF($C148="&lt;01","",95%)</f>
        <v>0.95</v>
      </c>
      <c r="BE148" s="39" t="n">
        <f aca="false">IF($C148="&lt;01",ROUND(INDEX(EID!$V:$V,MATCH($B148,EID!$B:$B,0))/2,0),ROUND($BD148*$BB148,0))</f>
        <v>0</v>
      </c>
      <c r="BF148" s="39" t="n">
        <f aca="false">IF(LEFT($B148,4)="_Mil","",IF(SUM($BE148)=0,SUM($AF148),IF(OR(SUM($AP148)=0,SUM($AQ148)=0),MAX($BE148,$AF148),ROUND($BE148*$AQ148/$AP148,0))))</f>
        <v>0</v>
      </c>
      <c r="BG148" s="114" t="n">
        <f aca="false">IF($C148="&lt;01","",95%)</f>
        <v>0.95</v>
      </c>
      <c r="BH148" s="5" t="n">
        <f aca="false">IF($C148="&lt;01",ROUND(INDEX(EID!$L:$L,MATCH($B148,EID!$B:$B,0)),0)/2,IF(SUM($BG148)=0,"",ROUND($AX148/$BG148,0)))</f>
        <v>0</v>
      </c>
    </row>
    <row r="149" customFormat="false" ht="15" hidden="false" customHeight="false" outlineLevel="0" collapsed="false">
      <c r="A149" s="0" t="str">
        <f aca="false">INDEX(Prioritization!$D:$D,MATCH($B149,Prioritization!$A:$A,0))</f>
        <v>INVALID</v>
      </c>
      <c r="B149" s="0" t="s">
        <v>203</v>
      </c>
      <c r="C149" s="0" t="s">
        <v>366</v>
      </c>
      <c r="D149" s="0" t="s">
        <v>30</v>
      </c>
      <c r="E149" s="0" t="str">
        <f aca="false">$B149&amp;"|"&amp;$C149&amp;"|"&amp;$D149</f>
        <v>Salima District [msW2zpIN7up]|25-34|Female</v>
      </c>
      <c r="F149" s="10"/>
      <c r="G149" s="10"/>
      <c r="H149" s="10"/>
      <c r="I149" s="10"/>
      <c r="J149" s="10"/>
      <c r="K149" s="10"/>
      <c r="L149" s="10"/>
      <c r="M149" s="10"/>
      <c r="N149" s="10"/>
      <c r="O149" s="10" t="str">
        <f aca="false">IFERROR(1/(1/MAX($I149,$N149)),"")</f>
        <v/>
      </c>
      <c r="P149" s="10"/>
      <c r="Q149" s="10"/>
      <c r="R149" s="10" t="str">
        <f aca="false">IF(AND(SUM($I149)=0,SUM($O149)=0),"",SUM($O149)-$I149)</f>
        <v/>
      </c>
      <c r="S149" s="10" t="n">
        <f aca="false">IF(LEFT($B149,4)="_Mil","",_xlfn.IFNA(ROUND(INDEX(Spectrum!$N:$N,MATCH(RIGHT($B149,13)&amp;"|"&amp;$C149&amp;"|"&amp;$D149&amp;"|"&amp;S$14&amp;"|"&amp;"CY2022Q4",Spectrum!$R:$R,0)),0),""))</f>
        <v>1354</v>
      </c>
      <c r="T149" s="39" t="n">
        <f aca="false">IF(LEFT($B149,4)="_Mil","",_xlfn.IFNA(ROUND(INDEX(Spectrum!$N:$N,MATCH(RIGHT($B149,13)&amp;"|"&amp;$C149&amp;"|"&amp;$D149&amp;"|"&amp;T$14&amp;"|"&amp;"CY2023Q3",Spectrum!$R:$R,0)),0),""))</f>
        <v>1415</v>
      </c>
      <c r="U149" s="39" t="str">
        <f aca="false">IF(LEFT($B149,4)="_Mil","",_xlfn.IFNA(ROUND(INDEX(Spectrum!$N:$N,MATCH(RIGHT($B149,13)&amp;"|"&amp;$C149&amp;"|"&amp;$D149&amp;"|"&amp;U$14&amp;"|"&amp;"CY2023Q3",Spectrum!$R:$R,0)),0),""))</f>
        <v/>
      </c>
      <c r="V149" s="10" t="n">
        <f aca="false">IF(LEFT($B149,4)="_Mil","",_xlfn.IFNA(ROUND(INDEX(Spectrum!$N:$N,MATCH(RIGHT($B149,13)&amp;"|"&amp;$C149&amp;"|"&amp;$D149&amp;"|"&amp;V$14&amp;"|"&amp;"CY2023Q3",Spectrum!$R:$R,0)),0),""))</f>
        <v>1655</v>
      </c>
      <c r="W149" s="113" t="n">
        <f aca="false">IF(LEFT($B149,4)="_Mil","",_xlfn.IFNA(INDEX(Spectrum!$N:$N,MATCH(RIGHT($B149,13)&amp;"|"&amp;$C149&amp;"|"&amp;$D149&amp;"|"&amp;W$14&amp;"|"&amp;"CY2023Q3",Spectrum!$R:$R,0)),""))</f>
        <v>1128</v>
      </c>
      <c r="X149" s="39" t="n">
        <f aca="false">IF(LEFT($B149,4)="_Mil","",_xlfn.IFNA(ROUND(INDEX(Spectrum!$N:$N,MATCH(RIGHT($B149,13)&amp;"|"&amp;$C149&amp;"|"&amp;$D149&amp;"|"&amp;X$14&amp;"|"&amp;"CY2023Q3",Spectrum!$R:$R,0)),0),""))</f>
        <v>948</v>
      </c>
      <c r="Y149" s="88" t="str">
        <f aca="false">IF(OR(SUM($U149)=0,LEFT($B149,4)="_Mil"),"",SUM($X149)/$U149)</f>
        <v/>
      </c>
      <c r="Z149" s="39" t="n">
        <f aca="false">IF(LEFT($B149,4)="_Mil","",_xlfn.IFNA(ROUND(INDEX(Spectrum!$N:$N,MATCH(RIGHT($B149,13)&amp;"|"&amp;$C149&amp;"|"&amp;$D149&amp;"|"&amp;Z$14&amp;"|"&amp;"CY2023Q3",Spectrum!$R:$R,0)),0),""))</f>
        <v>961</v>
      </c>
      <c r="AA149" s="88" t="n">
        <f aca="false">IF(LEFT($B149,4)="_Mil","",IFERROR(1/(1/INDEX(Spectrum!$N:$N,MATCH(RIGHT($B149,13)&amp;"|"&amp;$C149&amp;"|"&amp;$D149&amp;"|"&amp;AA$14&amp;"|"&amp;"CY2023Q3",Spectrum!$R:$R,0))),IF(SUM($U149)=0,"",SUM($Z149)/$U149)))</f>
        <v>1721</v>
      </c>
      <c r="AB149" s="88" t="n">
        <f aca="false">IF(OR(LEFT($B149,4)="_Mil",SUM($X149)=0),"",SUM($Z149)/$X149)</f>
        <v>1.01371308016878</v>
      </c>
      <c r="AC149" s="10" t="n">
        <f aca="false">IF(LEFT($B149,4)="_Mil","",_xlfn.IFNA(ROUND(INDEX(Spectrum!$N:$N,MATCH(RIGHT($B149,13)&amp;"|"&amp;$C149&amp;"|"&amp;$D149&amp;"|"&amp;AC$14&amp;"|"&amp;"CY2023Q3",Spectrum!$R:$R,0)),0),""))</f>
        <v>1335</v>
      </c>
      <c r="AD149" s="10" t="str">
        <f aca="false">IF(LEFT($B149,4)="_Mil","",_xlfn.IFNA(ROUND(INDEX(Spectrum!$N:$N,MATCH(RIGHT($B149,13)&amp;"|"&amp;$C149&amp;"|"&amp;$D149&amp;"|"&amp;AD$14&amp;"|"&amp;"CY2023Q3",Spectrum!$R:$R,0)),0),""))</f>
        <v/>
      </c>
      <c r="AE149" s="88" t="n">
        <f aca="false">IF(OR(LEFT($B149,4)="_Mil",SUM($Z149)=0),"",SUM($AD149)/$Z149)</f>
        <v>0</v>
      </c>
      <c r="AF149" s="39" t="str">
        <f aca="false">IF(LEFT($B149,4)="_Mil","",_xlfn.IFNA(ROUND(INDEX(Spectrum!$N:$N,MATCH(RIGHT($B149,13)&amp;"|"&amp;$C149&amp;"|"&amp;$D149&amp;"|"&amp;AF$14&amp;"|"&amp;"CY2023Q3",Spectrum!$R:$R,0)),0),""))</f>
        <v/>
      </c>
      <c r="AG149" s="88" t="str">
        <f aca="false">IF(OR(LEFT($B149,4)="_Mil",SUM($AD149)=0),"",SUM($AF149)/$AD149)</f>
        <v/>
      </c>
      <c r="AH149" s="86" t="str">
        <f aca="false">IF(LEFT($B149,4)="_Mil","",_xlfn.IFNA(INDEX(Spectrum!$N:$N,MATCH(RIGHT($B149,13)&amp;"|"&amp;$C149&amp;"|"&amp;$D149&amp;"|"&amp;AH$14&amp;"|"&amp;"CY2023Q3",Spectrum!$R:$R,0)),""))</f>
        <v/>
      </c>
      <c r="AI149" s="10" t="str">
        <f aca="false">IF(LEFT($B149,4)="_Mil","",_xlfn.IFNA(ROUND(INDEX(Spectrum!$N:$N,MATCH(RIGHT($B149,13)&amp;"|"&amp;$C149&amp;"|"&amp;$D149&amp;"|"&amp;AI$14&amp;"|"&amp;"CY2023Q3",Spectrum!$R:$R,0)),0),""))</f>
        <v/>
      </c>
      <c r="AJ149" s="39" t="n">
        <f aca="false">IF(LEFT($B149,4)="_Mil","",_xlfn.IFNA(ROUND(INDEX(Spectrum!$N:$N,MATCH(RIGHT($B149,13)&amp;"|"&amp;$C149&amp;"|"&amp;$D149&amp;"|"&amp;AI$14&amp;"|"&amp;"CY2023Q3",Spectrum!$R:$R,0)),0),SUM($U149)+SUM($AI149)))</f>
        <v>0</v>
      </c>
      <c r="AK149" s="10" t="str">
        <f aca="false">IF(LEFT($B149,4)="_Mil","",_xlfn.IFNA(ROUND(INDEX(Spectrum!$N:$N,MATCH(RIGHT($B149,13)&amp;"|"&amp;$C149&amp;"|"&amp;$D149&amp;"|"&amp;AK$14&amp;"|"&amp;"CY2023Q3",Spectrum!$R:$R,0)),0),""))</f>
        <v/>
      </c>
      <c r="AL149" s="88" t="n">
        <f aca="false">IF(OR(LEFT($B149,4)="_Mil",$C149="&lt;01"),"",MAX(SUM($AA149),90%))</f>
        <v>1721</v>
      </c>
      <c r="AM149" s="10" t="n">
        <f aca="false">IF(OR(LEFT($B149,4)="_Mil",$C149="&lt;01"),"",ROUND(SUM($AJ149)*SUM($AL149),0))</f>
        <v>0</v>
      </c>
      <c r="AN149" s="10" t="str">
        <f aca="false">IF($C149="&lt;01",ROUND(INDEX(EID!$P:$P,MATCH($B149,EID!$B:$B,0))/2,0),"")</f>
        <v/>
      </c>
      <c r="AO149" s="10" t="n">
        <f aca="false">IF($C149="&lt;01",SUM($AN149),ROUND(SUM($AM149)*SUM($O149)/IF(SUM($Z149)=0,1,$Z149),0))</f>
        <v>0</v>
      </c>
      <c r="AP149" s="39" t="n">
        <f aca="false">IF(OR($F149="",$C149="&lt;01"),$AO149,$F149)</f>
        <v>0</v>
      </c>
      <c r="AQ149" s="39" t="n">
        <f aca="false">IF(LEFT($B149,4)="_Mil","",IF(SUM($AP149)=0,SUM($Z149),IF(OR(SUM($Z149)=0,SUM($O149)=0),MAX($AP149,$Z149),$AP149*$Z149/$O149)))</f>
        <v>961</v>
      </c>
      <c r="AR149" s="88" t="str">
        <f aca="false">IF(OR(LEFT($B149,4)="_Mil",SUM($AJ149)=0),"",SUM($AQ149)/$AJ149)</f>
        <v/>
      </c>
      <c r="AS149" s="88" t="n">
        <f aca="false">IF($C149="&lt;01","",98%)</f>
        <v>0.98</v>
      </c>
      <c r="AT149" s="88" t="n">
        <f aca="false">IF($C149="&lt;01","",98%)</f>
        <v>0.98</v>
      </c>
      <c r="AU149" s="10" t="n">
        <f aca="false">IF($C149="&lt;01","",SUM($AP149)-SUM($O149))</f>
        <v>0</v>
      </c>
      <c r="AV149" s="10" t="n">
        <f aca="false">IF($C149="&lt;01",ROUND(INDEX(EID!$N:$N,MATCH($B149,EID!$B:$B,0))/2,0),IF(SUM($AT149)=0,"",ROUND((SUM($AP149)-(SUM($O149)*SUM($AS149)))/$AT149,0)))</f>
        <v>0</v>
      </c>
      <c r="AW149" s="88" t="n">
        <f aca="false">IF($C149="&lt;01","",100%)</f>
        <v>1</v>
      </c>
      <c r="AX149" s="39" t="n">
        <f aca="false">IF($C149="&lt;01",SUM($AV149),ROUND(SUM($AV149)*SUM($AW149),0))</f>
        <v>0</v>
      </c>
      <c r="AY149" s="114" t="n">
        <f aca="false">IF($C149="&lt;01","",70%)</f>
        <v>0.7</v>
      </c>
      <c r="AZ149" s="91" t="n">
        <f aca="false">IF($C149="&lt;01",ROUND(INDEX(EID!$R:$R,MATCH($B149,EID!$B:$B,0))/2,0),ROUND(SUM($O149)+(SUM($AV149)*$AY149),0))</f>
        <v>0</v>
      </c>
      <c r="BA149" s="87" t="n">
        <f aca="false">IF($C149="&lt;01","",95%)</f>
        <v>0.95</v>
      </c>
      <c r="BB149" s="5" t="n">
        <f aca="false">IF($C149="&lt;01",ROUND(INDEX(EID!$T:$T,MATCH($B149,EID!$B:$B,0))/2,0),ROUND($AZ149*$BA149,0))</f>
        <v>0</v>
      </c>
      <c r="BC149" s="91" t="n">
        <f aca="false">IF(LEFT($B149,4)="_Mil","",IF(SUM($BB149)=0,SUM($AD149),IF(OR(SUM($AP149)=0,SUM($AQ149)=0),MAX($BB149,$AD149),ROUND($BB149*$AQ149/$AP149,0))))</f>
        <v>0</v>
      </c>
      <c r="BD149" s="88" t="n">
        <f aca="false">IF($C149="&lt;01","",95%)</f>
        <v>0.95</v>
      </c>
      <c r="BE149" s="39" t="n">
        <f aca="false">IF($C149="&lt;01",ROUND(INDEX(EID!$V:$V,MATCH($B149,EID!$B:$B,0))/2,0),ROUND($BD149*$BB149,0))</f>
        <v>0</v>
      </c>
      <c r="BF149" s="39" t="n">
        <f aca="false">IF(LEFT($B149,4)="_Mil","",IF(SUM($BE149)=0,SUM($AF149),IF(OR(SUM($AP149)=0,SUM($AQ149)=0),MAX($BE149,$AF149),ROUND($BE149*$AQ149/$AP149,0))))</f>
        <v>0</v>
      </c>
      <c r="BG149" s="114" t="n">
        <f aca="false">IF($C149="&lt;01","",95%)</f>
        <v>0.95</v>
      </c>
      <c r="BH149" s="5" t="n">
        <f aca="false">IF($C149="&lt;01",ROUND(INDEX(EID!$L:$L,MATCH($B149,EID!$B:$B,0)),0)/2,IF(SUM($BG149)=0,"",ROUND($AX149/$BG149,0)))</f>
        <v>0</v>
      </c>
    </row>
    <row r="150" customFormat="false" ht="15" hidden="false" customHeight="false" outlineLevel="0" collapsed="false">
      <c r="A150" s="0" t="str">
        <f aca="false">INDEX(Prioritization!$D:$D,MATCH($B150,Prioritization!$A:$A,0))</f>
        <v>INVALID</v>
      </c>
      <c r="B150" s="0" t="s">
        <v>203</v>
      </c>
      <c r="C150" s="0" t="s">
        <v>366</v>
      </c>
      <c r="D150" s="0" t="s">
        <v>48</v>
      </c>
      <c r="E150" s="0" t="str">
        <f aca="false">$B150&amp;"|"&amp;$C150&amp;"|"&amp;$D150</f>
        <v>Salima District [msW2zpIN7up]|25-34|Male</v>
      </c>
      <c r="F150" s="10"/>
      <c r="G150" s="10"/>
      <c r="H150" s="10"/>
      <c r="I150" s="10"/>
      <c r="J150" s="10"/>
      <c r="K150" s="10"/>
      <c r="L150" s="10"/>
      <c r="M150" s="10"/>
      <c r="N150" s="10"/>
      <c r="O150" s="10" t="str">
        <f aca="false">IFERROR(1/(1/MAX($I150,$N150)),"")</f>
        <v/>
      </c>
      <c r="P150" s="10"/>
      <c r="Q150" s="10"/>
      <c r="R150" s="10" t="str">
        <f aca="false">IF(AND(SUM($I150)=0,SUM($O150)=0),"",SUM($O150)-$I150)</f>
        <v/>
      </c>
      <c r="S150" s="10" t="n">
        <f aca="false">IF(LEFT($B150,4)="_Mil","",_xlfn.IFNA(ROUND(INDEX(Spectrum!$N:$N,MATCH(RIGHT($B150,13)&amp;"|"&amp;$C150&amp;"|"&amp;$D150&amp;"|"&amp;S$14&amp;"|"&amp;"CY2022Q4",Spectrum!$R:$R,0)),0),""))</f>
        <v>1373</v>
      </c>
      <c r="T150" s="39" t="n">
        <f aca="false">IF(LEFT($B150,4)="_Mil","",_xlfn.IFNA(ROUND(INDEX(Spectrum!$N:$N,MATCH(RIGHT($B150,13)&amp;"|"&amp;$C150&amp;"|"&amp;$D150&amp;"|"&amp;T$14&amp;"|"&amp;"CY2023Q3",Spectrum!$R:$R,0)),0),""))</f>
        <v>896</v>
      </c>
      <c r="U150" s="39" t="str">
        <f aca="false">IF(LEFT($B150,4)="_Mil","",_xlfn.IFNA(ROUND(INDEX(Spectrum!$N:$N,MATCH(RIGHT($B150,13)&amp;"|"&amp;$C150&amp;"|"&amp;$D150&amp;"|"&amp;U$14&amp;"|"&amp;"CY2023Q3",Spectrum!$R:$R,0)),0),""))</f>
        <v/>
      </c>
      <c r="V150" s="10" t="n">
        <f aca="false">IF(LEFT($B150,4)="_Mil","",_xlfn.IFNA(ROUND(INDEX(Spectrum!$N:$N,MATCH(RIGHT($B150,13)&amp;"|"&amp;$C150&amp;"|"&amp;$D150&amp;"|"&amp;V$14&amp;"|"&amp;"CY2023Q3",Spectrum!$R:$R,0)),0),""))</f>
        <v>1258</v>
      </c>
      <c r="W150" s="113" t="n">
        <f aca="false">IF(LEFT($B150,4)="_Mil","",_xlfn.IFNA(INDEX(Spectrum!$N:$N,MATCH(RIGHT($B150,13)&amp;"|"&amp;$C150&amp;"|"&amp;$D150&amp;"|"&amp;W$14&amp;"|"&amp;"CY2023Q3",Spectrum!$R:$R,0)),""))</f>
        <v>888</v>
      </c>
      <c r="X150" s="39" t="n">
        <f aca="false">IF(LEFT($B150,4)="_Mil","",_xlfn.IFNA(ROUND(INDEX(Spectrum!$N:$N,MATCH(RIGHT($B150,13)&amp;"|"&amp;$C150&amp;"|"&amp;$D150&amp;"|"&amp;X$14&amp;"|"&amp;"CY2023Q3",Spectrum!$R:$R,0)),0),""))</f>
        <v>738</v>
      </c>
      <c r="Y150" s="88" t="str">
        <f aca="false">IF(OR(SUM($U150)=0,LEFT($B150,4)="_Mil"),"",SUM($X150)/$U150)</f>
        <v/>
      </c>
      <c r="Z150" s="39" t="n">
        <f aca="false">IF(LEFT($B150,4)="_Mil","",_xlfn.IFNA(ROUND(INDEX(Spectrum!$N:$N,MATCH(RIGHT($B150,13)&amp;"|"&amp;$C150&amp;"|"&amp;$D150&amp;"|"&amp;Z$14&amp;"|"&amp;"CY2023Q3",Spectrum!$R:$R,0)),0),""))</f>
        <v>1135</v>
      </c>
      <c r="AA150" s="88" t="n">
        <f aca="false">IF(LEFT($B150,4)="_Mil","",IFERROR(1/(1/INDEX(Spectrum!$N:$N,MATCH(RIGHT($B150,13)&amp;"|"&amp;$C150&amp;"|"&amp;$D150&amp;"|"&amp;AA$14&amp;"|"&amp;"CY2023Q3",Spectrum!$R:$R,0))),IF(SUM($U150)=0,"",SUM($Z150)/$U150)))</f>
        <v>509</v>
      </c>
      <c r="AB150" s="88" t="n">
        <f aca="false">IF(OR(LEFT($B150,4)="_Mil",SUM($X150)=0),"",SUM($Z150)/$X150)</f>
        <v>1.53794037940379</v>
      </c>
      <c r="AC150" s="10" t="n">
        <f aca="false">IF(LEFT($B150,4)="_Mil","",_xlfn.IFNA(ROUND(INDEX(Spectrum!$N:$N,MATCH(RIGHT($B150,13)&amp;"|"&amp;$C150&amp;"|"&amp;$D150&amp;"|"&amp;AC$14&amp;"|"&amp;"CY2023Q3",Spectrum!$R:$R,0)),0),""))</f>
        <v>687</v>
      </c>
      <c r="AD150" s="10" t="str">
        <f aca="false">IF(LEFT($B150,4)="_Mil","",_xlfn.IFNA(ROUND(INDEX(Spectrum!$N:$N,MATCH(RIGHT($B150,13)&amp;"|"&amp;$C150&amp;"|"&amp;$D150&amp;"|"&amp;AD$14&amp;"|"&amp;"CY2023Q3",Spectrum!$R:$R,0)),0),""))</f>
        <v/>
      </c>
      <c r="AE150" s="88" t="n">
        <f aca="false">IF(OR(LEFT($B150,4)="_Mil",SUM($Z150)=0),"",SUM($AD150)/$Z150)</f>
        <v>0</v>
      </c>
      <c r="AF150" s="39" t="str">
        <f aca="false">IF(LEFT($B150,4)="_Mil","",_xlfn.IFNA(ROUND(INDEX(Spectrum!$N:$N,MATCH(RIGHT($B150,13)&amp;"|"&amp;$C150&amp;"|"&amp;$D150&amp;"|"&amp;AF$14&amp;"|"&amp;"CY2023Q3",Spectrum!$R:$R,0)),0),""))</f>
        <v/>
      </c>
      <c r="AG150" s="88" t="str">
        <f aca="false">IF(OR(LEFT($B150,4)="_Mil",SUM($AD150)=0),"",SUM($AF150)/$AD150)</f>
        <v/>
      </c>
      <c r="AH150" s="86" t="str">
        <f aca="false">IF(LEFT($B150,4)="_Mil","",_xlfn.IFNA(INDEX(Spectrum!$N:$N,MATCH(RIGHT($B150,13)&amp;"|"&amp;$C150&amp;"|"&amp;$D150&amp;"|"&amp;AH$14&amp;"|"&amp;"CY2023Q3",Spectrum!$R:$R,0)),""))</f>
        <v/>
      </c>
      <c r="AI150" s="10" t="str">
        <f aca="false">IF(LEFT($B150,4)="_Mil","",_xlfn.IFNA(ROUND(INDEX(Spectrum!$N:$N,MATCH(RIGHT($B150,13)&amp;"|"&amp;$C150&amp;"|"&amp;$D150&amp;"|"&amp;AI$14&amp;"|"&amp;"CY2023Q3",Spectrum!$R:$R,0)),0),""))</f>
        <v/>
      </c>
      <c r="AJ150" s="39" t="n">
        <f aca="false">IF(LEFT($B150,4)="_Mil","",_xlfn.IFNA(ROUND(INDEX(Spectrum!$N:$N,MATCH(RIGHT($B150,13)&amp;"|"&amp;$C150&amp;"|"&amp;$D150&amp;"|"&amp;AI$14&amp;"|"&amp;"CY2023Q3",Spectrum!$R:$R,0)),0),SUM($U150)+SUM($AI150)))</f>
        <v>0</v>
      </c>
      <c r="AK150" s="10" t="str">
        <f aca="false">IF(LEFT($B150,4)="_Mil","",_xlfn.IFNA(ROUND(INDEX(Spectrum!$N:$N,MATCH(RIGHT($B150,13)&amp;"|"&amp;$C150&amp;"|"&amp;$D150&amp;"|"&amp;AK$14&amp;"|"&amp;"CY2023Q3",Spectrum!$R:$R,0)),0),""))</f>
        <v/>
      </c>
      <c r="AL150" s="88" t="n">
        <f aca="false">IF(OR(LEFT($B150,4)="_Mil",$C150="&lt;01"),"",MAX(SUM($AA150),90%))</f>
        <v>509</v>
      </c>
      <c r="AM150" s="10" t="n">
        <f aca="false">IF(OR(LEFT($B150,4)="_Mil",$C150="&lt;01"),"",ROUND(SUM($AJ150)*SUM($AL150),0))</f>
        <v>0</v>
      </c>
      <c r="AN150" s="10" t="str">
        <f aca="false">IF($C150="&lt;01",ROUND(INDEX(EID!$P:$P,MATCH($B150,EID!$B:$B,0))/2,0),"")</f>
        <v/>
      </c>
      <c r="AO150" s="10" t="n">
        <f aca="false">IF($C150="&lt;01",SUM($AN150),ROUND(SUM($AM150)*SUM($O150)/IF(SUM($Z150)=0,1,$Z150),0))</f>
        <v>0</v>
      </c>
      <c r="AP150" s="39" t="n">
        <f aca="false">IF(OR($F150="",$C150="&lt;01"),$AO150,$F150)</f>
        <v>0</v>
      </c>
      <c r="AQ150" s="39" t="n">
        <f aca="false">IF(LEFT($B150,4)="_Mil","",IF(SUM($AP150)=0,SUM($Z150),IF(OR(SUM($Z150)=0,SUM($O150)=0),MAX($AP150,$Z150),$AP150*$Z150/$O150)))</f>
        <v>1135</v>
      </c>
      <c r="AR150" s="88" t="str">
        <f aca="false">IF(OR(LEFT($B150,4)="_Mil",SUM($AJ150)=0),"",SUM($AQ150)/$AJ150)</f>
        <v/>
      </c>
      <c r="AS150" s="88" t="n">
        <f aca="false">IF($C150="&lt;01","",98%)</f>
        <v>0.98</v>
      </c>
      <c r="AT150" s="88" t="n">
        <f aca="false">IF($C150="&lt;01","",98%)</f>
        <v>0.98</v>
      </c>
      <c r="AU150" s="10" t="n">
        <f aca="false">IF($C150="&lt;01","",SUM($AP150)-SUM($O150))</f>
        <v>0</v>
      </c>
      <c r="AV150" s="10" t="n">
        <f aca="false">IF($C150="&lt;01",ROUND(INDEX(EID!$N:$N,MATCH($B150,EID!$B:$B,0))/2,0),IF(SUM($AT150)=0,"",ROUND((SUM($AP150)-(SUM($O150)*SUM($AS150)))/$AT150,0)))</f>
        <v>0</v>
      </c>
      <c r="AW150" s="88" t="n">
        <f aca="false">IF($C150="&lt;01","",100%)</f>
        <v>1</v>
      </c>
      <c r="AX150" s="39" t="n">
        <f aca="false">IF($C150="&lt;01",SUM($AV150),ROUND(SUM($AV150)*SUM($AW150),0))</f>
        <v>0</v>
      </c>
      <c r="AY150" s="114" t="n">
        <f aca="false">IF($C150="&lt;01","",70%)</f>
        <v>0.7</v>
      </c>
      <c r="AZ150" s="91" t="n">
        <f aca="false">IF($C150="&lt;01",ROUND(INDEX(EID!$R:$R,MATCH($B150,EID!$B:$B,0))/2,0),ROUND(SUM($O150)+(SUM($AV150)*$AY150),0))</f>
        <v>0</v>
      </c>
      <c r="BA150" s="87" t="n">
        <f aca="false">IF($C150="&lt;01","",95%)</f>
        <v>0.95</v>
      </c>
      <c r="BB150" s="5" t="n">
        <f aca="false">IF($C150="&lt;01",ROUND(INDEX(EID!$T:$T,MATCH($B150,EID!$B:$B,0))/2,0),ROUND($AZ150*$BA150,0))</f>
        <v>0</v>
      </c>
      <c r="BC150" s="91" t="n">
        <f aca="false">IF(LEFT($B150,4)="_Mil","",IF(SUM($BB150)=0,SUM($AD150),IF(OR(SUM($AP150)=0,SUM($AQ150)=0),MAX($BB150,$AD150),ROUND($BB150*$AQ150/$AP150,0))))</f>
        <v>0</v>
      </c>
      <c r="BD150" s="88" t="n">
        <f aca="false">IF($C150="&lt;01","",95%)</f>
        <v>0.95</v>
      </c>
      <c r="BE150" s="39" t="n">
        <f aca="false">IF($C150="&lt;01",ROUND(INDEX(EID!$V:$V,MATCH($B150,EID!$B:$B,0))/2,0),ROUND($BD150*$BB150,0))</f>
        <v>0</v>
      </c>
      <c r="BF150" s="39" t="n">
        <f aca="false">IF(LEFT($B150,4)="_Mil","",IF(SUM($BE150)=0,SUM($AF150),IF(OR(SUM($AP150)=0,SUM($AQ150)=0),MAX($BE150,$AF150),ROUND($BE150*$AQ150/$AP150,0))))</f>
        <v>0</v>
      </c>
      <c r="BG150" s="114" t="n">
        <f aca="false">IF($C150="&lt;01","",95%)</f>
        <v>0.95</v>
      </c>
      <c r="BH150" s="5" t="n">
        <f aca="false">IF($C150="&lt;01",ROUND(INDEX(EID!$L:$L,MATCH($B150,EID!$B:$B,0)),0)/2,IF(SUM($BG150)=0,"",ROUND($AX150/$BG150,0)))</f>
        <v>0</v>
      </c>
    </row>
    <row r="151" customFormat="false" ht="15" hidden="false" customHeight="false" outlineLevel="0" collapsed="false">
      <c r="A151" s="0" t="str">
        <f aca="false">INDEX(Prioritization!$D:$D,MATCH($B151,Prioritization!$A:$A,0))</f>
        <v>INVALID</v>
      </c>
      <c r="B151" s="0" t="s">
        <v>203</v>
      </c>
      <c r="C151" s="0" t="s">
        <v>367</v>
      </c>
      <c r="D151" s="0" t="s">
        <v>30</v>
      </c>
      <c r="E151" s="0" t="str">
        <f aca="false">$B151&amp;"|"&amp;$C151&amp;"|"&amp;$D151</f>
        <v>Salima District [msW2zpIN7up]|35-49|Female</v>
      </c>
      <c r="F151" s="10"/>
      <c r="G151" s="10"/>
      <c r="H151" s="10"/>
      <c r="I151" s="10"/>
      <c r="J151" s="10"/>
      <c r="K151" s="10"/>
      <c r="L151" s="10"/>
      <c r="M151" s="10"/>
      <c r="N151" s="10"/>
      <c r="O151" s="10" t="str">
        <f aca="false">IFERROR(1/(1/MAX($I151,$N151)),"")</f>
        <v/>
      </c>
      <c r="P151" s="10"/>
      <c r="Q151" s="10"/>
      <c r="R151" s="10" t="str">
        <f aca="false">IF(AND(SUM($I151)=0,SUM($O151)=0),"",SUM($O151)-$I151)</f>
        <v/>
      </c>
      <c r="S151" s="10" t="n">
        <f aca="false">IF(LEFT($B151,4)="_Mil","",_xlfn.IFNA(ROUND(INDEX(Spectrum!$N:$N,MATCH(RIGHT($B151,13)&amp;"|"&amp;$C151&amp;"|"&amp;$D151&amp;"|"&amp;S$14&amp;"|"&amp;"CY2022Q4",Spectrum!$R:$R,0)),0),""))</f>
        <v>942</v>
      </c>
      <c r="T151" s="39" t="n">
        <f aca="false">IF(LEFT($B151,4)="_Mil","",_xlfn.IFNA(ROUND(INDEX(Spectrum!$N:$N,MATCH(RIGHT($B151,13)&amp;"|"&amp;$C151&amp;"|"&amp;$D151&amp;"|"&amp;T$14&amp;"|"&amp;"CY2023Q3",Spectrum!$R:$R,0)),0),""))</f>
        <v>1393</v>
      </c>
      <c r="U151" s="39" t="str">
        <f aca="false">IF(LEFT($B151,4)="_Mil","",_xlfn.IFNA(ROUND(INDEX(Spectrum!$N:$N,MATCH(RIGHT($B151,13)&amp;"|"&amp;$C151&amp;"|"&amp;$D151&amp;"|"&amp;U$14&amp;"|"&amp;"CY2023Q3",Spectrum!$R:$R,0)),0),""))</f>
        <v/>
      </c>
      <c r="V151" s="10" t="n">
        <f aca="false">IF(LEFT($B151,4)="_Mil","",_xlfn.IFNA(ROUND(INDEX(Spectrum!$N:$N,MATCH(RIGHT($B151,13)&amp;"|"&amp;$C151&amp;"|"&amp;$D151&amp;"|"&amp;V$14&amp;"|"&amp;"CY2023Q3",Spectrum!$R:$R,0)),0),""))</f>
        <v>1952</v>
      </c>
      <c r="W151" s="113" t="n">
        <f aca="false">IF(LEFT($B151,4)="_Mil","",_xlfn.IFNA(INDEX(Spectrum!$N:$N,MATCH(RIGHT($B151,13)&amp;"|"&amp;$C151&amp;"|"&amp;$D151&amp;"|"&amp;W$14&amp;"|"&amp;"CY2023Q3",Spectrum!$R:$R,0)),""))</f>
        <v>1962</v>
      </c>
      <c r="X151" s="39" t="n">
        <f aca="false">IF(LEFT($B151,4)="_Mil","",_xlfn.IFNA(ROUND(INDEX(Spectrum!$N:$N,MATCH(RIGHT($B151,13)&amp;"|"&amp;$C151&amp;"|"&amp;$D151&amp;"|"&amp;X$14&amp;"|"&amp;"CY2023Q3",Spectrum!$R:$R,0)),0),""))</f>
        <v>928</v>
      </c>
      <c r="Y151" s="88" t="str">
        <f aca="false">IF(OR(SUM($U151)=0,LEFT($B151,4)="_Mil"),"",SUM($X151)/$U151)</f>
        <v/>
      </c>
      <c r="Z151" s="39" t="n">
        <f aca="false">IF(LEFT($B151,4)="_Mil","",_xlfn.IFNA(ROUND(INDEX(Spectrum!$N:$N,MATCH(RIGHT($B151,13)&amp;"|"&amp;$C151&amp;"|"&amp;$D151&amp;"|"&amp;Z$14&amp;"|"&amp;"CY2023Q3",Spectrum!$R:$R,0)),0),""))</f>
        <v>1881</v>
      </c>
      <c r="AA151" s="88" t="n">
        <f aca="false">IF(LEFT($B151,4)="_Mil","",IFERROR(1/(1/INDEX(Spectrum!$N:$N,MATCH(RIGHT($B151,13)&amp;"|"&amp;$C151&amp;"|"&amp;$D151&amp;"|"&amp;AA$14&amp;"|"&amp;"CY2023Q3",Spectrum!$R:$R,0))),IF(SUM($U151)=0,"",SUM($Z151)/$U151)))</f>
        <v>1206</v>
      </c>
      <c r="AB151" s="88" t="n">
        <f aca="false">IF(OR(LEFT($B151,4)="_Mil",SUM($X151)=0),"",SUM($Z151)/$X151)</f>
        <v>2.02693965517241</v>
      </c>
      <c r="AC151" s="10" t="n">
        <f aca="false">IF(LEFT($B151,4)="_Mil","",_xlfn.IFNA(ROUND(INDEX(Spectrum!$N:$N,MATCH(RIGHT($B151,13)&amp;"|"&amp;$C151&amp;"|"&amp;$D151&amp;"|"&amp;AC$14&amp;"|"&amp;"CY2023Q3",Spectrum!$R:$R,0)),0),""))</f>
        <v>1559</v>
      </c>
      <c r="AD151" s="10" t="str">
        <f aca="false">IF(LEFT($B151,4)="_Mil","",_xlfn.IFNA(ROUND(INDEX(Spectrum!$N:$N,MATCH(RIGHT($B151,13)&amp;"|"&amp;$C151&amp;"|"&amp;$D151&amp;"|"&amp;AD$14&amp;"|"&amp;"CY2023Q3",Spectrum!$R:$R,0)),0),""))</f>
        <v/>
      </c>
      <c r="AE151" s="88" t="n">
        <f aca="false">IF(OR(LEFT($B151,4)="_Mil",SUM($Z151)=0),"",SUM($AD151)/$Z151)</f>
        <v>0</v>
      </c>
      <c r="AF151" s="39" t="str">
        <f aca="false">IF(LEFT($B151,4)="_Mil","",_xlfn.IFNA(ROUND(INDEX(Spectrum!$N:$N,MATCH(RIGHT($B151,13)&amp;"|"&amp;$C151&amp;"|"&amp;$D151&amp;"|"&amp;AF$14&amp;"|"&amp;"CY2023Q3",Spectrum!$R:$R,0)),0),""))</f>
        <v/>
      </c>
      <c r="AG151" s="88" t="str">
        <f aca="false">IF(OR(LEFT($B151,4)="_Mil",SUM($AD151)=0),"",SUM($AF151)/$AD151)</f>
        <v/>
      </c>
      <c r="AH151" s="86" t="str">
        <f aca="false">IF(LEFT($B151,4)="_Mil","",_xlfn.IFNA(INDEX(Spectrum!$N:$N,MATCH(RIGHT($B151,13)&amp;"|"&amp;$C151&amp;"|"&amp;$D151&amp;"|"&amp;AH$14&amp;"|"&amp;"CY2023Q3",Spectrum!$R:$R,0)),""))</f>
        <v/>
      </c>
      <c r="AI151" s="10" t="str">
        <f aca="false">IF(LEFT($B151,4)="_Mil","",_xlfn.IFNA(ROUND(INDEX(Spectrum!$N:$N,MATCH(RIGHT($B151,13)&amp;"|"&amp;$C151&amp;"|"&amp;$D151&amp;"|"&amp;AI$14&amp;"|"&amp;"CY2023Q3",Spectrum!$R:$R,0)),0),""))</f>
        <v/>
      </c>
      <c r="AJ151" s="39" t="n">
        <f aca="false">IF(LEFT($B151,4)="_Mil","",_xlfn.IFNA(ROUND(INDEX(Spectrum!$N:$N,MATCH(RIGHT($B151,13)&amp;"|"&amp;$C151&amp;"|"&amp;$D151&amp;"|"&amp;AI$14&amp;"|"&amp;"CY2023Q3",Spectrum!$R:$R,0)),0),SUM($U151)+SUM($AI151)))</f>
        <v>0</v>
      </c>
      <c r="AK151" s="10" t="str">
        <f aca="false">IF(LEFT($B151,4)="_Mil","",_xlfn.IFNA(ROUND(INDEX(Spectrum!$N:$N,MATCH(RIGHT($B151,13)&amp;"|"&amp;$C151&amp;"|"&amp;$D151&amp;"|"&amp;AK$14&amp;"|"&amp;"CY2023Q3",Spectrum!$R:$R,0)),0),""))</f>
        <v/>
      </c>
      <c r="AL151" s="88" t="n">
        <f aca="false">IF(OR(LEFT($B151,4)="_Mil",$C151="&lt;01"),"",MAX(SUM($AA151),90%))</f>
        <v>1206</v>
      </c>
      <c r="AM151" s="10" t="n">
        <f aca="false">IF(OR(LEFT($B151,4)="_Mil",$C151="&lt;01"),"",ROUND(SUM($AJ151)*SUM($AL151),0))</f>
        <v>0</v>
      </c>
      <c r="AN151" s="10" t="str">
        <f aca="false">IF($C151="&lt;01",ROUND(INDEX(EID!$P:$P,MATCH($B151,EID!$B:$B,0))/2,0),"")</f>
        <v/>
      </c>
      <c r="AO151" s="10" t="n">
        <f aca="false">IF($C151="&lt;01",SUM($AN151),ROUND(SUM($AM151)*SUM($O151)/IF(SUM($Z151)=0,1,$Z151),0))</f>
        <v>0</v>
      </c>
      <c r="AP151" s="39" t="n">
        <f aca="false">IF(OR($F151="",$C151="&lt;01"),$AO151,$F151)</f>
        <v>0</v>
      </c>
      <c r="AQ151" s="39" t="n">
        <f aca="false">IF(LEFT($B151,4)="_Mil","",IF(SUM($AP151)=0,SUM($Z151),IF(OR(SUM($Z151)=0,SUM($O151)=0),MAX($AP151,$Z151),$AP151*$Z151/$O151)))</f>
        <v>1881</v>
      </c>
      <c r="AR151" s="88" t="str">
        <f aca="false">IF(OR(LEFT($B151,4)="_Mil",SUM($AJ151)=0),"",SUM($AQ151)/$AJ151)</f>
        <v/>
      </c>
      <c r="AS151" s="88" t="n">
        <f aca="false">IF($C151="&lt;01","",98%)</f>
        <v>0.98</v>
      </c>
      <c r="AT151" s="88" t="n">
        <f aca="false">IF($C151="&lt;01","",98%)</f>
        <v>0.98</v>
      </c>
      <c r="AU151" s="10" t="n">
        <f aca="false">IF($C151="&lt;01","",SUM($AP151)-SUM($O151))</f>
        <v>0</v>
      </c>
      <c r="AV151" s="10" t="n">
        <f aca="false">IF($C151="&lt;01",ROUND(INDEX(EID!$N:$N,MATCH($B151,EID!$B:$B,0))/2,0),IF(SUM($AT151)=0,"",ROUND((SUM($AP151)-(SUM($O151)*SUM($AS151)))/$AT151,0)))</f>
        <v>0</v>
      </c>
      <c r="AW151" s="88" t="n">
        <f aca="false">IF($C151="&lt;01","",100%)</f>
        <v>1</v>
      </c>
      <c r="AX151" s="39" t="n">
        <f aca="false">IF($C151="&lt;01",SUM($AV151),ROUND(SUM($AV151)*SUM($AW151),0))</f>
        <v>0</v>
      </c>
      <c r="AY151" s="114" t="n">
        <f aca="false">IF($C151="&lt;01","",70%)</f>
        <v>0.7</v>
      </c>
      <c r="AZ151" s="91" t="n">
        <f aca="false">IF($C151="&lt;01",ROUND(INDEX(EID!$R:$R,MATCH($B151,EID!$B:$B,0))/2,0),ROUND(SUM($O151)+(SUM($AV151)*$AY151),0))</f>
        <v>0</v>
      </c>
      <c r="BA151" s="87" t="n">
        <f aca="false">IF($C151="&lt;01","",95%)</f>
        <v>0.95</v>
      </c>
      <c r="BB151" s="5" t="n">
        <f aca="false">IF($C151="&lt;01",ROUND(INDEX(EID!$T:$T,MATCH($B151,EID!$B:$B,0))/2,0),ROUND($AZ151*$BA151,0))</f>
        <v>0</v>
      </c>
      <c r="BC151" s="91" t="n">
        <f aca="false">IF(LEFT($B151,4)="_Mil","",IF(SUM($BB151)=0,SUM($AD151),IF(OR(SUM($AP151)=0,SUM($AQ151)=0),MAX($BB151,$AD151),ROUND($BB151*$AQ151/$AP151,0))))</f>
        <v>0</v>
      </c>
      <c r="BD151" s="88" t="n">
        <f aca="false">IF($C151="&lt;01","",95%)</f>
        <v>0.95</v>
      </c>
      <c r="BE151" s="39" t="n">
        <f aca="false">IF($C151="&lt;01",ROUND(INDEX(EID!$V:$V,MATCH($B151,EID!$B:$B,0))/2,0),ROUND($BD151*$BB151,0))</f>
        <v>0</v>
      </c>
      <c r="BF151" s="39" t="n">
        <f aca="false">IF(LEFT($B151,4)="_Mil","",IF(SUM($BE151)=0,SUM($AF151),IF(OR(SUM($AP151)=0,SUM($AQ151)=0),MAX($BE151,$AF151),ROUND($BE151*$AQ151/$AP151,0))))</f>
        <v>0</v>
      </c>
      <c r="BG151" s="114" t="n">
        <f aca="false">IF($C151="&lt;01","",95%)</f>
        <v>0.95</v>
      </c>
      <c r="BH151" s="5" t="n">
        <f aca="false">IF($C151="&lt;01",ROUND(INDEX(EID!$L:$L,MATCH($B151,EID!$B:$B,0)),0)/2,IF(SUM($BG151)=0,"",ROUND($AX151/$BG151,0)))</f>
        <v>0</v>
      </c>
    </row>
    <row r="152" customFormat="false" ht="15" hidden="false" customHeight="false" outlineLevel="0" collapsed="false">
      <c r="A152" s="0" t="str">
        <f aca="false">INDEX(Prioritization!$D:$D,MATCH($B152,Prioritization!$A:$A,0))</f>
        <v>INVALID</v>
      </c>
      <c r="B152" s="0" t="s">
        <v>203</v>
      </c>
      <c r="C152" s="0" t="s">
        <v>367</v>
      </c>
      <c r="D152" s="0" t="s">
        <v>48</v>
      </c>
      <c r="E152" s="0" t="str">
        <f aca="false">$B152&amp;"|"&amp;$C152&amp;"|"&amp;$D152</f>
        <v>Salima District [msW2zpIN7up]|35-49|Male</v>
      </c>
      <c r="F152" s="10"/>
      <c r="G152" s="10"/>
      <c r="H152" s="10"/>
      <c r="I152" s="10"/>
      <c r="J152" s="10"/>
      <c r="K152" s="10"/>
      <c r="L152" s="10"/>
      <c r="M152" s="10"/>
      <c r="N152" s="10"/>
      <c r="O152" s="10" t="str">
        <f aca="false">IFERROR(1/(1/MAX($I152,$N152)),"")</f>
        <v/>
      </c>
      <c r="P152" s="10"/>
      <c r="Q152" s="10"/>
      <c r="R152" s="10" t="str">
        <f aca="false">IF(AND(SUM($I152)=0,SUM($O152)=0),"",SUM($O152)-$I152)</f>
        <v/>
      </c>
      <c r="S152" s="10" t="n">
        <f aca="false">IF(LEFT($B152,4)="_Mil","",_xlfn.IFNA(ROUND(INDEX(Spectrum!$N:$N,MATCH(RIGHT($B152,13)&amp;"|"&amp;$C152&amp;"|"&amp;$D152&amp;"|"&amp;S$14&amp;"|"&amp;"CY2022Q4",Spectrum!$R:$R,0)),0),""))</f>
        <v>868</v>
      </c>
      <c r="T152" s="39" t="n">
        <f aca="false">IF(LEFT($B152,4)="_Mil","",_xlfn.IFNA(ROUND(INDEX(Spectrum!$N:$N,MATCH(RIGHT($B152,13)&amp;"|"&amp;$C152&amp;"|"&amp;$D152&amp;"|"&amp;T$14&amp;"|"&amp;"CY2023Q3",Spectrum!$R:$R,0)),0),""))</f>
        <v>1091</v>
      </c>
      <c r="U152" s="39" t="str">
        <f aca="false">IF(LEFT($B152,4)="_Mil","",_xlfn.IFNA(ROUND(INDEX(Spectrum!$N:$N,MATCH(RIGHT($B152,13)&amp;"|"&amp;$C152&amp;"|"&amp;$D152&amp;"|"&amp;U$14&amp;"|"&amp;"CY2023Q3",Spectrum!$R:$R,0)),0),""))</f>
        <v/>
      </c>
      <c r="V152" s="10" t="n">
        <f aca="false">IF(LEFT($B152,4)="_Mil","",_xlfn.IFNA(ROUND(INDEX(Spectrum!$N:$N,MATCH(RIGHT($B152,13)&amp;"|"&amp;$C152&amp;"|"&amp;$D152&amp;"|"&amp;V$14&amp;"|"&amp;"CY2023Q3",Spectrum!$R:$R,0)),0),""))</f>
        <v>1630</v>
      </c>
      <c r="W152" s="113" t="n">
        <f aca="false">IF(LEFT($B152,4)="_Mil","",_xlfn.IFNA(INDEX(Spectrum!$N:$N,MATCH(RIGHT($B152,13)&amp;"|"&amp;$C152&amp;"|"&amp;$D152&amp;"|"&amp;W$14&amp;"|"&amp;"CY2023Q3",Spectrum!$R:$R,0)),""))</f>
        <v>1594</v>
      </c>
      <c r="X152" s="39" t="n">
        <f aca="false">IF(LEFT($B152,4)="_Mil","",_xlfn.IFNA(ROUND(INDEX(Spectrum!$N:$N,MATCH(RIGHT($B152,13)&amp;"|"&amp;$C152&amp;"|"&amp;$D152&amp;"|"&amp;X$14&amp;"|"&amp;"CY2023Q3",Spectrum!$R:$R,0)),0),""))</f>
        <v>670</v>
      </c>
      <c r="Y152" s="88" t="str">
        <f aca="false">IF(OR(SUM($U152)=0,LEFT($B152,4)="_Mil"),"",SUM($X152)/$U152)</f>
        <v/>
      </c>
      <c r="Z152" s="39" t="n">
        <f aca="false">IF(LEFT($B152,4)="_Mil","",_xlfn.IFNA(ROUND(INDEX(Spectrum!$N:$N,MATCH(RIGHT($B152,13)&amp;"|"&amp;$C152&amp;"|"&amp;$D152&amp;"|"&amp;Z$14&amp;"|"&amp;"CY2023Q3",Spectrum!$R:$R,0)),0),""))</f>
        <v>1942</v>
      </c>
      <c r="AA152" s="88" t="n">
        <f aca="false">IF(LEFT($B152,4)="_Mil","",IFERROR(1/(1/INDEX(Spectrum!$N:$N,MATCH(RIGHT($B152,13)&amp;"|"&amp;$C152&amp;"|"&amp;$D152&amp;"|"&amp;AA$14&amp;"|"&amp;"CY2023Q3",Spectrum!$R:$R,0))),IF(SUM($U152)=0,"",SUM($Z152)/$U152)))</f>
        <v>1338</v>
      </c>
      <c r="AB152" s="88" t="n">
        <f aca="false">IF(OR(LEFT($B152,4)="_Mil",SUM($X152)=0),"",SUM($Z152)/$X152)</f>
        <v>2.89850746268657</v>
      </c>
      <c r="AC152" s="10" t="n">
        <f aca="false">IF(LEFT($B152,4)="_Mil","",_xlfn.IFNA(ROUND(INDEX(Spectrum!$N:$N,MATCH(RIGHT($B152,13)&amp;"|"&amp;$C152&amp;"|"&amp;$D152&amp;"|"&amp;AC$14&amp;"|"&amp;"CY2023Q3",Spectrum!$R:$R,0)),0),""))</f>
        <v>1889</v>
      </c>
      <c r="AD152" s="10" t="str">
        <f aca="false">IF(LEFT($B152,4)="_Mil","",_xlfn.IFNA(ROUND(INDEX(Spectrum!$N:$N,MATCH(RIGHT($B152,13)&amp;"|"&amp;$C152&amp;"|"&amp;$D152&amp;"|"&amp;AD$14&amp;"|"&amp;"CY2023Q3",Spectrum!$R:$R,0)),0),""))</f>
        <v/>
      </c>
      <c r="AE152" s="88" t="n">
        <f aca="false">IF(OR(LEFT($B152,4)="_Mil",SUM($Z152)=0),"",SUM($AD152)/$Z152)</f>
        <v>0</v>
      </c>
      <c r="AF152" s="39" t="str">
        <f aca="false">IF(LEFT($B152,4)="_Mil","",_xlfn.IFNA(ROUND(INDEX(Spectrum!$N:$N,MATCH(RIGHT($B152,13)&amp;"|"&amp;$C152&amp;"|"&amp;$D152&amp;"|"&amp;AF$14&amp;"|"&amp;"CY2023Q3",Spectrum!$R:$R,0)),0),""))</f>
        <v/>
      </c>
      <c r="AG152" s="88" t="str">
        <f aca="false">IF(OR(LEFT($B152,4)="_Mil",SUM($AD152)=0),"",SUM($AF152)/$AD152)</f>
        <v/>
      </c>
      <c r="AH152" s="86" t="str">
        <f aca="false">IF(LEFT($B152,4)="_Mil","",_xlfn.IFNA(INDEX(Spectrum!$N:$N,MATCH(RIGHT($B152,13)&amp;"|"&amp;$C152&amp;"|"&amp;$D152&amp;"|"&amp;AH$14&amp;"|"&amp;"CY2023Q3",Spectrum!$R:$R,0)),""))</f>
        <v/>
      </c>
      <c r="AI152" s="10" t="str">
        <f aca="false">IF(LEFT($B152,4)="_Mil","",_xlfn.IFNA(ROUND(INDEX(Spectrum!$N:$N,MATCH(RIGHT($B152,13)&amp;"|"&amp;$C152&amp;"|"&amp;$D152&amp;"|"&amp;AI$14&amp;"|"&amp;"CY2023Q3",Spectrum!$R:$R,0)),0),""))</f>
        <v/>
      </c>
      <c r="AJ152" s="39" t="n">
        <f aca="false">IF(LEFT($B152,4)="_Mil","",_xlfn.IFNA(ROUND(INDEX(Spectrum!$N:$N,MATCH(RIGHT($B152,13)&amp;"|"&amp;$C152&amp;"|"&amp;$D152&amp;"|"&amp;AI$14&amp;"|"&amp;"CY2023Q3",Spectrum!$R:$R,0)),0),SUM($U152)+SUM($AI152)))</f>
        <v>0</v>
      </c>
      <c r="AK152" s="10" t="str">
        <f aca="false">IF(LEFT($B152,4)="_Mil","",_xlfn.IFNA(ROUND(INDEX(Spectrum!$N:$N,MATCH(RIGHT($B152,13)&amp;"|"&amp;$C152&amp;"|"&amp;$D152&amp;"|"&amp;AK$14&amp;"|"&amp;"CY2023Q3",Spectrum!$R:$R,0)),0),""))</f>
        <v/>
      </c>
      <c r="AL152" s="88" t="n">
        <f aca="false">IF(OR(LEFT($B152,4)="_Mil",$C152="&lt;01"),"",MAX(SUM($AA152),90%))</f>
        <v>1338</v>
      </c>
      <c r="AM152" s="10" t="n">
        <f aca="false">IF(OR(LEFT($B152,4)="_Mil",$C152="&lt;01"),"",ROUND(SUM($AJ152)*SUM($AL152),0))</f>
        <v>0</v>
      </c>
      <c r="AN152" s="10" t="str">
        <f aca="false">IF($C152="&lt;01",ROUND(INDEX(EID!$P:$P,MATCH($B152,EID!$B:$B,0))/2,0),"")</f>
        <v/>
      </c>
      <c r="AO152" s="10" t="n">
        <f aca="false">IF($C152="&lt;01",SUM($AN152),ROUND(SUM($AM152)*SUM($O152)/IF(SUM($Z152)=0,1,$Z152),0))</f>
        <v>0</v>
      </c>
      <c r="AP152" s="39" t="n">
        <f aca="false">IF(OR($F152="",$C152="&lt;01"),$AO152,$F152)</f>
        <v>0</v>
      </c>
      <c r="AQ152" s="39" t="n">
        <f aca="false">IF(LEFT($B152,4)="_Mil","",IF(SUM($AP152)=0,SUM($Z152),IF(OR(SUM($Z152)=0,SUM($O152)=0),MAX($AP152,$Z152),$AP152*$Z152/$O152)))</f>
        <v>1942</v>
      </c>
      <c r="AR152" s="88" t="str">
        <f aca="false">IF(OR(LEFT($B152,4)="_Mil",SUM($AJ152)=0),"",SUM($AQ152)/$AJ152)</f>
        <v/>
      </c>
      <c r="AS152" s="88" t="n">
        <f aca="false">IF($C152="&lt;01","",98%)</f>
        <v>0.98</v>
      </c>
      <c r="AT152" s="88" t="n">
        <f aca="false">IF($C152="&lt;01","",98%)</f>
        <v>0.98</v>
      </c>
      <c r="AU152" s="10" t="n">
        <f aca="false">IF($C152="&lt;01","",SUM($AP152)-SUM($O152))</f>
        <v>0</v>
      </c>
      <c r="AV152" s="10" t="n">
        <f aca="false">IF($C152="&lt;01",ROUND(INDEX(EID!$N:$N,MATCH($B152,EID!$B:$B,0))/2,0),IF(SUM($AT152)=0,"",ROUND((SUM($AP152)-(SUM($O152)*SUM($AS152)))/$AT152,0)))</f>
        <v>0</v>
      </c>
      <c r="AW152" s="88" t="n">
        <f aca="false">IF($C152="&lt;01","",100%)</f>
        <v>1</v>
      </c>
      <c r="AX152" s="39" t="n">
        <f aca="false">IF($C152="&lt;01",SUM($AV152),ROUND(SUM($AV152)*SUM($AW152),0))</f>
        <v>0</v>
      </c>
      <c r="AY152" s="114" t="n">
        <f aca="false">IF($C152="&lt;01","",70%)</f>
        <v>0.7</v>
      </c>
      <c r="AZ152" s="91" t="n">
        <f aca="false">IF($C152="&lt;01",ROUND(INDEX(EID!$R:$R,MATCH($B152,EID!$B:$B,0))/2,0),ROUND(SUM($O152)+(SUM($AV152)*$AY152),0))</f>
        <v>0</v>
      </c>
      <c r="BA152" s="87" t="n">
        <f aca="false">IF($C152="&lt;01","",95%)</f>
        <v>0.95</v>
      </c>
      <c r="BB152" s="5" t="n">
        <f aca="false">IF($C152="&lt;01",ROUND(INDEX(EID!$T:$T,MATCH($B152,EID!$B:$B,0))/2,0),ROUND($AZ152*$BA152,0))</f>
        <v>0</v>
      </c>
      <c r="BC152" s="91" t="n">
        <f aca="false">IF(LEFT($B152,4)="_Mil","",IF(SUM($BB152)=0,SUM($AD152),IF(OR(SUM($AP152)=0,SUM($AQ152)=0),MAX($BB152,$AD152),ROUND($BB152*$AQ152/$AP152,0))))</f>
        <v>0</v>
      </c>
      <c r="BD152" s="88" t="n">
        <f aca="false">IF($C152="&lt;01","",95%)</f>
        <v>0.95</v>
      </c>
      <c r="BE152" s="39" t="n">
        <f aca="false">IF($C152="&lt;01",ROUND(INDEX(EID!$V:$V,MATCH($B152,EID!$B:$B,0))/2,0),ROUND($BD152*$BB152,0))</f>
        <v>0</v>
      </c>
      <c r="BF152" s="39" t="n">
        <f aca="false">IF(LEFT($B152,4)="_Mil","",IF(SUM($BE152)=0,SUM($AF152),IF(OR(SUM($AP152)=0,SUM($AQ152)=0),MAX($BE152,$AF152),ROUND($BE152*$AQ152/$AP152,0))))</f>
        <v>0</v>
      </c>
      <c r="BG152" s="114" t="n">
        <f aca="false">IF($C152="&lt;01","",95%)</f>
        <v>0.95</v>
      </c>
      <c r="BH152" s="5" t="n">
        <f aca="false">IF($C152="&lt;01",ROUND(INDEX(EID!$L:$L,MATCH($B152,EID!$B:$B,0)),0)/2,IF(SUM($BG152)=0,"",ROUND($AX152/$BG152,0)))</f>
        <v>0</v>
      </c>
    </row>
    <row r="153" customFormat="false" ht="15" hidden="false" customHeight="false" outlineLevel="0" collapsed="false">
      <c r="A153" s="0" t="str">
        <f aca="false">INDEX(Prioritization!$D:$D,MATCH($B153,Prioritization!$A:$A,0))</f>
        <v>INVALID</v>
      </c>
      <c r="B153" s="0" t="s">
        <v>203</v>
      </c>
      <c r="C153" s="0" t="s">
        <v>368</v>
      </c>
      <c r="D153" s="0" t="s">
        <v>30</v>
      </c>
      <c r="E153" s="0" t="str">
        <f aca="false">$B153&amp;"|"&amp;$C153&amp;"|"&amp;$D153</f>
        <v>Salima District [msW2zpIN7up]|50+|Female</v>
      </c>
      <c r="F153" s="10"/>
      <c r="G153" s="10"/>
      <c r="H153" s="10"/>
      <c r="I153" s="10"/>
      <c r="J153" s="10"/>
      <c r="K153" s="10"/>
      <c r="L153" s="10"/>
      <c r="M153" s="10"/>
      <c r="N153" s="10"/>
      <c r="O153" s="10" t="str">
        <f aca="false">IFERROR(1/(1/MAX($I153,$N153)),"")</f>
        <v/>
      </c>
      <c r="P153" s="10"/>
      <c r="Q153" s="10"/>
      <c r="R153" s="10" t="str">
        <f aca="false">IF(AND(SUM($I153)=0,SUM($O153)=0),"",SUM($O153)-$I153)</f>
        <v/>
      </c>
      <c r="S153" s="10" t="n">
        <f aca="false">IF(LEFT($B153,4)="_Mil","",_xlfn.IFNA(ROUND(INDEX(Spectrum!$N:$N,MATCH(RIGHT($B153,13)&amp;"|"&amp;$C153&amp;"|"&amp;$D153&amp;"|"&amp;S$14&amp;"|"&amp;"CY2022Q4",Spectrum!$R:$R,0)),0),""))</f>
        <v>1218</v>
      </c>
      <c r="T153" s="39" t="n">
        <f aca="false">IF(LEFT($B153,4)="_Mil","",_xlfn.IFNA(ROUND(INDEX(Spectrum!$N:$N,MATCH(RIGHT($B153,13)&amp;"|"&amp;$C153&amp;"|"&amp;$D153&amp;"|"&amp;T$14&amp;"|"&amp;"CY2023Q3",Spectrum!$R:$R,0)),0),""))</f>
        <v>1473</v>
      </c>
      <c r="U153" s="39" t="str">
        <f aca="false">IF(LEFT($B153,4)="_Mil","",_xlfn.IFNA(ROUND(INDEX(Spectrum!$N:$N,MATCH(RIGHT($B153,13)&amp;"|"&amp;$C153&amp;"|"&amp;$D153&amp;"|"&amp;U$14&amp;"|"&amp;"CY2023Q3",Spectrum!$R:$R,0)),0),""))</f>
        <v/>
      </c>
      <c r="V153" s="10" t="n">
        <f aca="false">IF(LEFT($B153,4)="_Mil","",_xlfn.IFNA(ROUND(INDEX(Spectrum!$N:$N,MATCH(RIGHT($B153,13)&amp;"|"&amp;$C153&amp;"|"&amp;$D153&amp;"|"&amp;V$14&amp;"|"&amp;"CY2023Q3",Spectrum!$R:$R,0)),0),""))</f>
        <v>1696</v>
      </c>
      <c r="W153" s="113" t="n">
        <f aca="false">IF(LEFT($B153,4)="_Mil","",_xlfn.IFNA(INDEX(Spectrum!$N:$N,MATCH(RIGHT($B153,13)&amp;"|"&amp;$C153&amp;"|"&amp;$D153&amp;"|"&amp;W$14&amp;"|"&amp;"CY2023Q3",Spectrum!$R:$R,0)),""))</f>
        <v>838</v>
      </c>
      <c r="X153" s="39" t="n">
        <f aca="false">IF(LEFT($B153,4)="_Mil","",_xlfn.IFNA(ROUND(INDEX(Spectrum!$N:$N,MATCH(RIGHT($B153,13)&amp;"|"&amp;$C153&amp;"|"&amp;$D153&amp;"|"&amp;X$14&amp;"|"&amp;"CY2023Q3",Spectrum!$R:$R,0)),0),""))</f>
        <v>1561</v>
      </c>
      <c r="Y153" s="88" t="str">
        <f aca="false">IF(OR(SUM($U153)=0,LEFT($B153,4)="_Mil"),"",SUM($X153)/$U153)</f>
        <v/>
      </c>
      <c r="Z153" s="39" t="n">
        <f aca="false">IF(LEFT($B153,4)="_Mil","",_xlfn.IFNA(ROUND(INDEX(Spectrum!$N:$N,MATCH(RIGHT($B153,13)&amp;"|"&amp;$C153&amp;"|"&amp;$D153&amp;"|"&amp;Z$14&amp;"|"&amp;"CY2023Q3",Spectrum!$R:$R,0)),0),""))</f>
        <v>1509</v>
      </c>
      <c r="AA153" s="88" t="n">
        <f aca="false">IF(LEFT($B153,4)="_Mil","",IFERROR(1/(1/INDEX(Spectrum!$N:$N,MATCH(RIGHT($B153,13)&amp;"|"&amp;$C153&amp;"|"&amp;$D153&amp;"|"&amp;AA$14&amp;"|"&amp;"CY2023Q3",Spectrum!$R:$R,0))),IF(SUM($U153)=0,"",SUM($Z153)/$U153)))</f>
        <v>1991</v>
      </c>
      <c r="AB153" s="88" t="n">
        <f aca="false">IF(OR(LEFT($B153,4)="_Mil",SUM($X153)=0),"",SUM($Z153)/$X153)</f>
        <v>0.96668802049968</v>
      </c>
      <c r="AC153" s="10" t="n">
        <f aca="false">IF(LEFT($B153,4)="_Mil","",_xlfn.IFNA(ROUND(INDEX(Spectrum!$N:$N,MATCH(RIGHT($B153,13)&amp;"|"&amp;$C153&amp;"|"&amp;$D153&amp;"|"&amp;AC$14&amp;"|"&amp;"CY2023Q3",Spectrum!$R:$R,0)),0),""))</f>
        <v>533</v>
      </c>
      <c r="AD153" s="10" t="str">
        <f aca="false">IF(LEFT($B153,4)="_Mil","",_xlfn.IFNA(ROUND(INDEX(Spectrum!$N:$N,MATCH(RIGHT($B153,13)&amp;"|"&amp;$C153&amp;"|"&amp;$D153&amp;"|"&amp;AD$14&amp;"|"&amp;"CY2023Q3",Spectrum!$R:$R,0)),0),""))</f>
        <v/>
      </c>
      <c r="AE153" s="88" t="n">
        <f aca="false">IF(OR(LEFT($B153,4)="_Mil",SUM($Z153)=0),"",SUM($AD153)/$Z153)</f>
        <v>0</v>
      </c>
      <c r="AF153" s="39" t="str">
        <f aca="false">IF(LEFT($B153,4)="_Mil","",_xlfn.IFNA(ROUND(INDEX(Spectrum!$N:$N,MATCH(RIGHT($B153,13)&amp;"|"&amp;$C153&amp;"|"&amp;$D153&amp;"|"&amp;AF$14&amp;"|"&amp;"CY2023Q3",Spectrum!$R:$R,0)),0),""))</f>
        <v/>
      </c>
      <c r="AG153" s="88" t="str">
        <f aca="false">IF(OR(LEFT($B153,4)="_Mil",SUM($AD153)=0),"",SUM($AF153)/$AD153)</f>
        <v/>
      </c>
      <c r="AH153" s="86" t="str">
        <f aca="false">IF(LEFT($B153,4)="_Mil","",_xlfn.IFNA(INDEX(Spectrum!$N:$N,MATCH(RIGHT($B153,13)&amp;"|"&amp;$C153&amp;"|"&amp;$D153&amp;"|"&amp;AH$14&amp;"|"&amp;"CY2023Q3",Spectrum!$R:$R,0)),""))</f>
        <v/>
      </c>
      <c r="AI153" s="10" t="str">
        <f aca="false">IF(LEFT($B153,4)="_Mil","",_xlfn.IFNA(ROUND(INDEX(Spectrum!$N:$N,MATCH(RIGHT($B153,13)&amp;"|"&amp;$C153&amp;"|"&amp;$D153&amp;"|"&amp;AI$14&amp;"|"&amp;"CY2023Q3",Spectrum!$R:$R,0)),0),""))</f>
        <v/>
      </c>
      <c r="AJ153" s="39" t="n">
        <f aca="false">IF(LEFT($B153,4)="_Mil","",_xlfn.IFNA(ROUND(INDEX(Spectrum!$N:$N,MATCH(RIGHT($B153,13)&amp;"|"&amp;$C153&amp;"|"&amp;$D153&amp;"|"&amp;AI$14&amp;"|"&amp;"CY2023Q3",Spectrum!$R:$R,0)),0),SUM($U153)+SUM($AI153)))</f>
        <v>0</v>
      </c>
      <c r="AK153" s="10" t="str">
        <f aca="false">IF(LEFT($B153,4)="_Mil","",_xlfn.IFNA(ROUND(INDEX(Spectrum!$N:$N,MATCH(RIGHT($B153,13)&amp;"|"&amp;$C153&amp;"|"&amp;$D153&amp;"|"&amp;AK$14&amp;"|"&amp;"CY2023Q3",Spectrum!$R:$R,0)),0),""))</f>
        <v/>
      </c>
      <c r="AL153" s="88" t="n">
        <f aca="false">IF(OR(LEFT($B153,4)="_Mil",$C153="&lt;01"),"",MAX(SUM($AA153),90%))</f>
        <v>1991</v>
      </c>
      <c r="AM153" s="10" t="n">
        <f aca="false">IF(OR(LEFT($B153,4)="_Mil",$C153="&lt;01"),"",ROUND(SUM($AJ153)*SUM($AL153),0))</f>
        <v>0</v>
      </c>
      <c r="AN153" s="10" t="str">
        <f aca="false">IF($C153="&lt;01",ROUND(INDEX(EID!$P:$P,MATCH($B153,EID!$B:$B,0))/2,0),"")</f>
        <v/>
      </c>
      <c r="AO153" s="10" t="n">
        <f aca="false">IF($C153="&lt;01",SUM($AN153),ROUND(SUM($AM153)*SUM($O153)/IF(SUM($Z153)=0,1,$Z153),0))</f>
        <v>0</v>
      </c>
      <c r="AP153" s="39" t="n">
        <f aca="false">IF(OR($F153="",$C153="&lt;01"),$AO153,$F153)</f>
        <v>0</v>
      </c>
      <c r="AQ153" s="39" t="n">
        <f aca="false">IF(LEFT($B153,4)="_Mil","",IF(SUM($AP153)=0,SUM($Z153),IF(OR(SUM($Z153)=0,SUM($O153)=0),MAX($AP153,$Z153),$AP153*$Z153/$O153)))</f>
        <v>1509</v>
      </c>
      <c r="AR153" s="88" t="str">
        <f aca="false">IF(OR(LEFT($B153,4)="_Mil",SUM($AJ153)=0),"",SUM($AQ153)/$AJ153)</f>
        <v/>
      </c>
      <c r="AS153" s="88" t="n">
        <f aca="false">IF($C153="&lt;01","",98%)</f>
        <v>0.98</v>
      </c>
      <c r="AT153" s="88" t="n">
        <f aca="false">IF($C153="&lt;01","",98%)</f>
        <v>0.98</v>
      </c>
      <c r="AU153" s="10" t="n">
        <f aca="false">IF($C153="&lt;01","",SUM($AP153)-SUM($O153))</f>
        <v>0</v>
      </c>
      <c r="AV153" s="10" t="n">
        <f aca="false">IF($C153="&lt;01",ROUND(INDEX(EID!$N:$N,MATCH($B153,EID!$B:$B,0))/2,0),IF(SUM($AT153)=0,"",ROUND((SUM($AP153)-(SUM($O153)*SUM($AS153)))/$AT153,0)))</f>
        <v>0</v>
      </c>
      <c r="AW153" s="88" t="n">
        <f aca="false">IF($C153="&lt;01","",100%)</f>
        <v>1</v>
      </c>
      <c r="AX153" s="39" t="n">
        <f aca="false">IF($C153="&lt;01",SUM($AV153),ROUND(SUM($AV153)*SUM($AW153),0))</f>
        <v>0</v>
      </c>
      <c r="AY153" s="114" t="n">
        <f aca="false">IF($C153="&lt;01","",70%)</f>
        <v>0.7</v>
      </c>
      <c r="AZ153" s="91" t="n">
        <f aca="false">IF($C153="&lt;01",ROUND(INDEX(EID!$R:$R,MATCH($B153,EID!$B:$B,0))/2,0),ROUND(SUM($O153)+(SUM($AV153)*$AY153),0))</f>
        <v>0</v>
      </c>
      <c r="BA153" s="87" t="n">
        <f aca="false">IF($C153="&lt;01","",95%)</f>
        <v>0.95</v>
      </c>
      <c r="BB153" s="5" t="n">
        <f aca="false">IF($C153="&lt;01",ROUND(INDEX(EID!$T:$T,MATCH($B153,EID!$B:$B,0))/2,0),ROUND($AZ153*$BA153,0))</f>
        <v>0</v>
      </c>
      <c r="BC153" s="91" t="n">
        <f aca="false">IF(LEFT($B153,4)="_Mil","",IF(SUM($BB153)=0,SUM($AD153),IF(OR(SUM($AP153)=0,SUM($AQ153)=0),MAX($BB153,$AD153),ROUND($BB153*$AQ153/$AP153,0))))</f>
        <v>0</v>
      </c>
      <c r="BD153" s="88" t="n">
        <f aca="false">IF($C153="&lt;01","",95%)</f>
        <v>0.95</v>
      </c>
      <c r="BE153" s="39" t="n">
        <f aca="false">IF($C153="&lt;01",ROUND(INDEX(EID!$V:$V,MATCH($B153,EID!$B:$B,0))/2,0),ROUND($BD153*$BB153,0))</f>
        <v>0</v>
      </c>
      <c r="BF153" s="39" t="n">
        <f aca="false">IF(LEFT($B153,4)="_Mil","",IF(SUM($BE153)=0,SUM($AF153),IF(OR(SUM($AP153)=0,SUM($AQ153)=0),MAX($BE153,$AF153),ROUND($BE153*$AQ153/$AP153,0))))</f>
        <v>0</v>
      </c>
      <c r="BG153" s="114" t="n">
        <f aca="false">IF($C153="&lt;01","",95%)</f>
        <v>0.95</v>
      </c>
      <c r="BH153" s="5" t="n">
        <f aca="false">IF($C153="&lt;01",ROUND(INDEX(EID!$L:$L,MATCH($B153,EID!$B:$B,0)),0)/2,IF(SUM($BG153)=0,"",ROUND($AX153/$BG153,0)))</f>
        <v>0</v>
      </c>
    </row>
    <row r="154" customFormat="false" ht="15" hidden="false" customHeight="false" outlineLevel="0" collapsed="false">
      <c r="A154" s="0" t="str">
        <f aca="false">INDEX(Prioritization!$D:$D,MATCH($B154,Prioritization!$A:$A,0))</f>
        <v>INVALID</v>
      </c>
      <c r="B154" s="0" t="s">
        <v>203</v>
      </c>
      <c r="C154" s="0" t="s">
        <v>368</v>
      </c>
      <c r="D154" s="0" t="s">
        <v>48</v>
      </c>
      <c r="E154" s="0" t="str">
        <f aca="false">$B154&amp;"|"&amp;$C154&amp;"|"&amp;$D154</f>
        <v>Salima District [msW2zpIN7up]|50+|Male</v>
      </c>
      <c r="F154" s="10"/>
      <c r="G154" s="10"/>
      <c r="H154" s="10"/>
      <c r="I154" s="10"/>
      <c r="J154" s="10"/>
      <c r="K154" s="10"/>
      <c r="L154" s="10"/>
      <c r="M154" s="10"/>
      <c r="N154" s="10"/>
      <c r="O154" s="10" t="str">
        <f aca="false">IFERROR(1/(1/MAX($I154,$N154)),"")</f>
        <v/>
      </c>
      <c r="P154" s="10"/>
      <c r="Q154" s="10"/>
      <c r="R154" s="10" t="str">
        <f aca="false">IF(AND(SUM($I154)=0,SUM($O154)=0),"",SUM($O154)-$I154)</f>
        <v/>
      </c>
      <c r="S154" s="10" t="n">
        <f aca="false">IF(LEFT($B154,4)="_Mil","",_xlfn.IFNA(ROUND(INDEX(Spectrum!$N:$N,MATCH(RIGHT($B154,13)&amp;"|"&amp;$C154&amp;"|"&amp;$D154&amp;"|"&amp;S$14&amp;"|"&amp;"CY2022Q4",Spectrum!$R:$R,0)),0),""))</f>
        <v>617</v>
      </c>
      <c r="T154" s="39" t="n">
        <f aca="false">IF(LEFT($B154,4)="_Mil","",_xlfn.IFNA(ROUND(INDEX(Spectrum!$N:$N,MATCH(RIGHT($B154,13)&amp;"|"&amp;$C154&amp;"|"&amp;$D154&amp;"|"&amp;T$14&amp;"|"&amp;"CY2023Q3",Spectrum!$R:$R,0)),0),""))</f>
        <v>1967</v>
      </c>
      <c r="U154" s="39" t="str">
        <f aca="false">IF(LEFT($B154,4)="_Mil","",_xlfn.IFNA(ROUND(INDEX(Spectrum!$N:$N,MATCH(RIGHT($B154,13)&amp;"|"&amp;$C154&amp;"|"&amp;$D154&amp;"|"&amp;U$14&amp;"|"&amp;"CY2023Q3",Spectrum!$R:$R,0)),0),""))</f>
        <v/>
      </c>
      <c r="V154" s="10" t="n">
        <f aca="false">IF(LEFT($B154,4)="_Mil","",_xlfn.IFNA(ROUND(INDEX(Spectrum!$N:$N,MATCH(RIGHT($B154,13)&amp;"|"&amp;$C154&amp;"|"&amp;$D154&amp;"|"&amp;V$14&amp;"|"&amp;"CY2023Q3",Spectrum!$R:$R,0)),0),""))</f>
        <v>1479</v>
      </c>
      <c r="W154" s="113" t="n">
        <f aca="false">IF(LEFT($B154,4)="_Mil","",_xlfn.IFNA(INDEX(Spectrum!$N:$N,MATCH(RIGHT($B154,13)&amp;"|"&amp;$C154&amp;"|"&amp;$D154&amp;"|"&amp;W$14&amp;"|"&amp;"CY2023Q3",Spectrum!$R:$R,0)),""))</f>
        <v>1609</v>
      </c>
      <c r="X154" s="39" t="n">
        <f aca="false">IF(LEFT($B154,4)="_Mil","",_xlfn.IFNA(ROUND(INDEX(Spectrum!$N:$N,MATCH(RIGHT($B154,13)&amp;"|"&amp;$C154&amp;"|"&amp;$D154&amp;"|"&amp;X$14&amp;"|"&amp;"CY2023Q3",Spectrum!$R:$R,0)),0),""))</f>
        <v>1073</v>
      </c>
      <c r="Y154" s="88" t="str">
        <f aca="false">IF(OR(SUM($U154)=0,LEFT($B154,4)="_Mil"),"",SUM($X154)/$U154)</f>
        <v/>
      </c>
      <c r="Z154" s="39" t="n">
        <f aca="false">IF(LEFT($B154,4)="_Mil","",_xlfn.IFNA(ROUND(INDEX(Spectrum!$N:$N,MATCH(RIGHT($B154,13)&amp;"|"&amp;$C154&amp;"|"&amp;$D154&amp;"|"&amp;Z$14&amp;"|"&amp;"CY2023Q3",Spectrum!$R:$R,0)),0),""))</f>
        <v>1636</v>
      </c>
      <c r="AA154" s="88" t="n">
        <f aca="false">IF(LEFT($B154,4)="_Mil","",IFERROR(1/(1/INDEX(Spectrum!$N:$N,MATCH(RIGHT($B154,13)&amp;"|"&amp;$C154&amp;"|"&amp;$D154&amp;"|"&amp;AA$14&amp;"|"&amp;"CY2023Q3",Spectrum!$R:$R,0))),IF(SUM($U154)=0,"",SUM($Z154)/$U154)))</f>
        <v>716</v>
      </c>
      <c r="AB154" s="88" t="n">
        <f aca="false">IF(OR(LEFT($B154,4)="_Mil",SUM($X154)=0),"",SUM($Z154)/$X154)</f>
        <v>1.52469711090401</v>
      </c>
      <c r="AC154" s="10" t="n">
        <f aca="false">IF(LEFT($B154,4)="_Mil","",_xlfn.IFNA(ROUND(INDEX(Spectrum!$N:$N,MATCH(RIGHT($B154,13)&amp;"|"&amp;$C154&amp;"|"&amp;$D154&amp;"|"&amp;AC$14&amp;"|"&amp;"CY2023Q3",Spectrum!$R:$R,0)),0),""))</f>
        <v>657</v>
      </c>
      <c r="AD154" s="10" t="str">
        <f aca="false">IF(LEFT($B154,4)="_Mil","",_xlfn.IFNA(ROUND(INDEX(Spectrum!$N:$N,MATCH(RIGHT($B154,13)&amp;"|"&amp;$C154&amp;"|"&amp;$D154&amp;"|"&amp;AD$14&amp;"|"&amp;"CY2023Q3",Spectrum!$R:$R,0)),0),""))</f>
        <v/>
      </c>
      <c r="AE154" s="88" t="n">
        <f aca="false">IF(OR(LEFT($B154,4)="_Mil",SUM($Z154)=0),"",SUM($AD154)/$Z154)</f>
        <v>0</v>
      </c>
      <c r="AF154" s="39" t="str">
        <f aca="false">IF(LEFT($B154,4)="_Mil","",_xlfn.IFNA(ROUND(INDEX(Spectrum!$N:$N,MATCH(RIGHT($B154,13)&amp;"|"&amp;$C154&amp;"|"&amp;$D154&amp;"|"&amp;AF$14&amp;"|"&amp;"CY2023Q3",Spectrum!$R:$R,0)),0),""))</f>
        <v/>
      </c>
      <c r="AG154" s="88" t="str">
        <f aca="false">IF(OR(LEFT($B154,4)="_Mil",SUM($AD154)=0),"",SUM($AF154)/$AD154)</f>
        <v/>
      </c>
      <c r="AH154" s="86" t="str">
        <f aca="false">IF(LEFT($B154,4)="_Mil","",_xlfn.IFNA(INDEX(Spectrum!$N:$N,MATCH(RIGHT($B154,13)&amp;"|"&amp;$C154&amp;"|"&amp;$D154&amp;"|"&amp;AH$14&amp;"|"&amp;"CY2023Q3",Spectrum!$R:$R,0)),""))</f>
        <v/>
      </c>
      <c r="AI154" s="10" t="str">
        <f aca="false">IF(LEFT($B154,4)="_Mil","",_xlfn.IFNA(ROUND(INDEX(Spectrum!$N:$N,MATCH(RIGHT($B154,13)&amp;"|"&amp;$C154&amp;"|"&amp;$D154&amp;"|"&amp;AI$14&amp;"|"&amp;"CY2023Q3",Spectrum!$R:$R,0)),0),""))</f>
        <v/>
      </c>
      <c r="AJ154" s="39" t="n">
        <f aca="false">IF(LEFT($B154,4)="_Mil","",_xlfn.IFNA(ROUND(INDEX(Spectrum!$N:$N,MATCH(RIGHT($B154,13)&amp;"|"&amp;$C154&amp;"|"&amp;$D154&amp;"|"&amp;AI$14&amp;"|"&amp;"CY2023Q3",Spectrum!$R:$R,0)),0),SUM($U154)+SUM($AI154)))</f>
        <v>0</v>
      </c>
      <c r="AK154" s="10" t="str">
        <f aca="false">IF(LEFT($B154,4)="_Mil","",_xlfn.IFNA(ROUND(INDEX(Spectrum!$N:$N,MATCH(RIGHT($B154,13)&amp;"|"&amp;$C154&amp;"|"&amp;$D154&amp;"|"&amp;AK$14&amp;"|"&amp;"CY2023Q3",Spectrum!$R:$R,0)),0),""))</f>
        <v/>
      </c>
      <c r="AL154" s="88" t="n">
        <f aca="false">IF(OR(LEFT($B154,4)="_Mil",$C154="&lt;01"),"",MAX(SUM($AA154),90%))</f>
        <v>716</v>
      </c>
      <c r="AM154" s="10" t="n">
        <f aca="false">IF(OR(LEFT($B154,4)="_Mil",$C154="&lt;01"),"",ROUND(SUM($AJ154)*SUM($AL154),0))</f>
        <v>0</v>
      </c>
      <c r="AN154" s="10" t="str">
        <f aca="false">IF($C154="&lt;01",ROUND(INDEX(EID!$P:$P,MATCH($B154,EID!$B:$B,0))/2,0),"")</f>
        <v/>
      </c>
      <c r="AO154" s="10" t="n">
        <f aca="false">IF($C154="&lt;01",SUM($AN154),ROUND(SUM($AM154)*SUM($O154)/IF(SUM($Z154)=0,1,$Z154),0))</f>
        <v>0</v>
      </c>
      <c r="AP154" s="39" t="n">
        <f aca="false">IF(OR($F154="",$C154="&lt;01"),$AO154,$F154)</f>
        <v>0</v>
      </c>
      <c r="AQ154" s="39" t="n">
        <f aca="false">IF(LEFT($B154,4)="_Mil","",IF(SUM($AP154)=0,SUM($Z154),IF(OR(SUM($Z154)=0,SUM($O154)=0),MAX($AP154,$Z154),$AP154*$Z154/$O154)))</f>
        <v>1636</v>
      </c>
      <c r="AR154" s="88" t="str">
        <f aca="false">IF(OR(LEFT($B154,4)="_Mil",SUM($AJ154)=0),"",SUM($AQ154)/$AJ154)</f>
        <v/>
      </c>
      <c r="AS154" s="88" t="n">
        <f aca="false">IF($C154="&lt;01","",98%)</f>
        <v>0.98</v>
      </c>
      <c r="AT154" s="88" t="n">
        <f aca="false">IF($C154="&lt;01","",98%)</f>
        <v>0.98</v>
      </c>
      <c r="AU154" s="10" t="n">
        <f aca="false">IF($C154="&lt;01","",SUM($AP154)-SUM($O154))</f>
        <v>0</v>
      </c>
      <c r="AV154" s="10" t="n">
        <f aca="false">IF($C154="&lt;01",ROUND(INDEX(EID!$N:$N,MATCH($B154,EID!$B:$B,0))/2,0),IF(SUM($AT154)=0,"",ROUND((SUM($AP154)-(SUM($O154)*SUM($AS154)))/$AT154,0)))</f>
        <v>0</v>
      </c>
      <c r="AW154" s="88" t="n">
        <f aca="false">IF($C154="&lt;01","",100%)</f>
        <v>1</v>
      </c>
      <c r="AX154" s="39" t="n">
        <f aca="false">IF($C154="&lt;01",SUM($AV154),ROUND(SUM($AV154)*SUM($AW154),0))</f>
        <v>0</v>
      </c>
      <c r="AY154" s="114" t="n">
        <f aca="false">IF($C154="&lt;01","",70%)</f>
        <v>0.7</v>
      </c>
      <c r="AZ154" s="91" t="n">
        <f aca="false">IF($C154="&lt;01",ROUND(INDEX(EID!$R:$R,MATCH($B154,EID!$B:$B,0))/2,0),ROUND(SUM($O154)+(SUM($AV154)*$AY154),0))</f>
        <v>0</v>
      </c>
      <c r="BA154" s="87" t="n">
        <f aca="false">IF($C154="&lt;01","",95%)</f>
        <v>0.95</v>
      </c>
      <c r="BB154" s="5" t="n">
        <f aca="false">IF($C154="&lt;01",ROUND(INDEX(EID!$T:$T,MATCH($B154,EID!$B:$B,0))/2,0),ROUND($AZ154*$BA154,0))</f>
        <v>0</v>
      </c>
      <c r="BC154" s="91" t="n">
        <f aca="false">IF(LEFT($B154,4)="_Mil","",IF(SUM($BB154)=0,SUM($AD154),IF(OR(SUM($AP154)=0,SUM($AQ154)=0),MAX($BB154,$AD154),ROUND($BB154*$AQ154/$AP154,0))))</f>
        <v>0</v>
      </c>
      <c r="BD154" s="88" t="n">
        <f aca="false">IF($C154="&lt;01","",95%)</f>
        <v>0.95</v>
      </c>
      <c r="BE154" s="39" t="n">
        <f aca="false">IF($C154="&lt;01",ROUND(INDEX(EID!$V:$V,MATCH($B154,EID!$B:$B,0))/2,0),ROUND($BD154*$BB154,0))</f>
        <v>0</v>
      </c>
      <c r="BF154" s="39" t="n">
        <f aca="false">IF(LEFT($B154,4)="_Mil","",IF(SUM($BE154)=0,SUM($AF154),IF(OR(SUM($AP154)=0,SUM($AQ154)=0),MAX($BE154,$AF154),ROUND($BE154*$AQ154/$AP154,0))))</f>
        <v>0</v>
      </c>
      <c r="BG154" s="114" t="n">
        <f aca="false">IF($C154="&lt;01","",95%)</f>
        <v>0.95</v>
      </c>
      <c r="BH154" s="5" t="n">
        <f aca="false">IF($C154="&lt;01",ROUND(INDEX(EID!$L:$L,MATCH($B154,EID!$B:$B,0)),0)/2,IF(SUM($BG154)=0,"",ROUND($AX154/$BG154,0)))</f>
        <v>0</v>
      </c>
    </row>
    <row r="155" customFormat="false" ht="15" hidden="false" customHeight="false" outlineLevel="0" collapsed="false">
      <c r="A155" s="0" t="str">
        <f aca="false">INDEX(Prioritization!$D:$D,MATCH($B155,Prioritization!$A:$A,0))</f>
        <v>1 - Scale-up: Saturation</v>
      </c>
      <c r="B155" s="0" t="s">
        <v>204</v>
      </c>
      <c r="C155" s="0" t="s">
        <v>316</v>
      </c>
      <c r="D155" s="0" t="s">
        <v>30</v>
      </c>
      <c r="E155" s="0" t="str">
        <f aca="false">$B155&amp;"|"&amp;$C155&amp;"|"&amp;$D155</f>
        <v>Chitipa District [GkIwZrXy1h2]|&lt;01|Female</v>
      </c>
      <c r="F155" s="10"/>
      <c r="G155" s="10" t="n">
        <v>1</v>
      </c>
      <c r="H155" s="10" t="n">
        <v>0</v>
      </c>
      <c r="I155" s="10" t="n">
        <v>1</v>
      </c>
      <c r="J155" s="10" t="n">
        <v>1</v>
      </c>
      <c r="K155" s="10" t="n">
        <v>1</v>
      </c>
      <c r="L155" s="10"/>
      <c r="M155" s="10" t="n">
        <v>1</v>
      </c>
      <c r="N155" s="10" t="n">
        <v>1</v>
      </c>
      <c r="O155" s="10" t="n">
        <f aca="false">IFERROR(1/(1/MAX($I155,$N155)),"")</f>
        <v>1</v>
      </c>
      <c r="P155" s="10" t="n">
        <v>1</v>
      </c>
      <c r="Q155" s="10" t="n">
        <v>0</v>
      </c>
      <c r="R155" s="10" t="n">
        <f aca="false">IF(AND(SUM($I155)=0,SUM($O155)=0),"",SUM($O155)-$I155)</f>
        <v>0</v>
      </c>
      <c r="S155" s="10" t="n">
        <f aca="false">IF(LEFT($B155,4)="_Mil","",_xlfn.IFNA(ROUND(INDEX(Spectrum!$N:$N,MATCH(RIGHT($B155,13)&amp;"|"&amp;$C155&amp;"|"&amp;$D155&amp;"|"&amp;S$14&amp;"|"&amp;"CY2022Q4",Spectrum!$R:$R,0)),0),""))</f>
        <v>584</v>
      </c>
      <c r="T155" s="39" t="n">
        <f aca="false">IF(LEFT($B155,4)="_Mil","",_xlfn.IFNA(ROUND(INDEX(Spectrum!$N:$N,MATCH(RIGHT($B155,13)&amp;"|"&amp;$C155&amp;"|"&amp;$D155&amp;"|"&amp;T$14&amp;"|"&amp;"CY2023Q3",Spectrum!$R:$R,0)),0),""))</f>
        <v>522</v>
      </c>
      <c r="U155" s="39" t="str">
        <f aca="false">IF(LEFT($B155,4)="_Mil","",_xlfn.IFNA(ROUND(INDEX(Spectrum!$N:$N,MATCH(RIGHT($B155,13)&amp;"|"&amp;$C155&amp;"|"&amp;$D155&amp;"|"&amp;U$14&amp;"|"&amp;"CY2023Q3",Spectrum!$R:$R,0)),0),""))</f>
        <v/>
      </c>
      <c r="V155" s="10" t="n">
        <f aca="false">IF(LEFT($B155,4)="_Mil","",_xlfn.IFNA(ROUND(INDEX(Spectrum!$N:$N,MATCH(RIGHT($B155,13)&amp;"|"&amp;$C155&amp;"|"&amp;$D155&amp;"|"&amp;V$14&amp;"|"&amp;"CY2023Q3",Spectrum!$R:$R,0)),0),""))</f>
        <v>562</v>
      </c>
      <c r="W155" s="113" t="n">
        <f aca="false">IF(LEFT($B155,4)="_Mil","",_xlfn.IFNA(INDEX(Spectrum!$N:$N,MATCH(RIGHT($B155,13)&amp;"|"&amp;$C155&amp;"|"&amp;$D155&amp;"|"&amp;W$14&amp;"|"&amp;"CY2023Q3",Spectrum!$R:$R,0)),""))</f>
        <v>716</v>
      </c>
      <c r="X155" s="39" t="n">
        <f aca="false">IF(LEFT($B155,4)="_Mil","",_xlfn.IFNA(ROUND(INDEX(Spectrum!$N:$N,MATCH(RIGHT($B155,13)&amp;"|"&amp;$C155&amp;"|"&amp;$D155&amp;"|"&amp;X$14&amp;"|"&amp;"CY2023Q3",Spectrum!$R:$R,0)),0),""))</f>
        <v>1464</v>
      </c>
      <c r="Y155" s="88" t="str">
        <f aca="false">IF(OR(SUM($U155)=0,LEFT($B155,4)="_Mil"),"",SUM($X155)/$U155)</f>
        <v/>
      </c>
      <c r="Z155" s="39" t="n">
        <f aca="false">IF(LEFT($B155,4)="_Mil","",_xlfn.IFNA(ROUND(INDEX(Spectrum!$N:$N,MATCH(RIGHT($B155,13)&amp;"|"&amp;$C155&amp;"|"&amp;$D155&amp;"|"&amp;Z$14&amp;"|"&amp;"CY2023Q3",Spectrum!$R:$R,0)),0),""))</f>
        <v>1539</v>
      </c>
      <c r="AA155" s="88" t="n">
        <f aca="false">IF(LEFT($B155,4)="_Mil","",IFERROR(1/(1/INDEX(Spectrum!$N:$N,MATCH(RIGHT($B155,13)&amp;"|"&amp;$C155&amp;"|"&amp;$D155&amp;"|"&amp;AA$14&amp;"|"&amp;"CY2023Q3",Spectrum!$R:$R,0))),IF(SUM($U155)=0,"",SUM($Z155)/$U155)))</f>
        <v>1533</v>
      </c>
      <c r="AB155" s="88" t="n">
        <f aca="false">IF(OR(LEFT($B155,4)="_Mil",SUM($X155)=0),"",SUM($Z155)/$X155)</f>
        <v>1.05122950819672</v>
      </c>
      <c r="AC155" s="10" t="n">
        <f aca="false">IF(LEFT($B155,4)="_Mil","",_xlfn.IFNA(ROUND(INDEX(Spectrum!$N:$N,MATCH(RIGHT($B155,13)&amp;"|"&amp;$C155&amp;"|"&amp;$D155&amp;"|"&amp;AC$14&amp;"|"&amp;"CY2023Q3",Spectrum!$R:$R,0)),0),""))</f>
        <v>856</v>
      </c>
      <c r="AD155" s="10" t="str">
        <f aca="false">IF(LEFT($B155,4)="_Mil","",_xlfn.IFNA(ROUND(INDEX(Spectrum!$N:$N,MATCH(RIGHT($B155,13)&amp;"|"&amp;$C155&amp;"|"&amp;$D155&amp;"|"&amp;AD$14&amp;"|"&amp;"CY2023Q3",Spectrum!$R:$R,0)),0),""))</f>
        <v/>
      </c>
      <c r="AE155" s="88" t="n">
        <f aca="false">IF(OR(LEFT($B155,4)="_Mil",SUM($Z155)=0),"",SUM($AD155)/$Z155)</f>
        <v>0</v>
      </c>
      <c r="AF155" s="39" t="str">
        <f aca="false">IF(LEFT($B155,4)="_Mil","",_xlfn.IFNA(ROUND(INDEX(Spectrum!$N:$N,MATCH(RIGHT($B155,13)&amp;"|"&amp;$C155&amp;"|"&amp;$D155&amp;"|"&amp;AF$14&amp;"|"&amp;"CY2023Q3",Spectrum!$R:$R,0)),0),""))</f>
        <v/>
      </c>
      <c r="AG155" s="88" t="str">
        <f aca="false">IF(OR(LEFT($B155,4)="_Mil",SUM($AD155)=0),"",SUM($AF155)/$AD155)</f>
        <v/>
      </c>
      <c r="AH155" s="86" t="str">
        <f aca="false">IF(LEFT($B155,4)="_Mil","",_xlfn.IFNA(INDEX(Spectrum!$N:$N,MATCH(RIGHT($B155,13)&amp;"|"&amp;$C155&amp;"|"&amp;$D155&amp;"|"&amp;AH$14&amp;"|"&amp;"CY2023Q3",Spectrum!$R:$R,0)),""))</f>
        <v/>
      </c>
      <c r="AI155" s="10" t="str">
        <f aca="false">IF(LEFT($B155,4)="_Mil","",_xlfn.IFNA(ROUND(INDEX(Spectrum!$N:$N,MATCH(RIGHT($B155,13)&amp;"|"&amp;$C155&amp;"|"&amp;$D155&amp;"|"&amp;AI$14&amp;"|"&amp;"CY2023Q3",Spectrum!$R:$R,0)),0),""))</f>
        <v/>
      </c>
      <c r="AJ155" s="39" t="n">
        <f aca="false">IF(LEFT($B155,4)="_Mil","",_xlfn.IFNA(ROUND(INDEX(Spectrum!$N:$N,MATCH(RIGHT($B155,13)&amp;"|"&amp;$C155&amp;"|"&amp;$D155&amp;"|"&amp;AI$14&amp;"|"&amp;"CY2023Q3",Spectrum!$R:$R,0)),0),SUM($U155)+SUM($AI155)))</f>
        <v>0</v>
      </c>
      <c r="AK155" s="10" t="str">
        <f aca="false">IF(LEFT($B155,4)="_Mil","",_xlfn.IFNA(ROUND(INDEX(Spectrum!$N:$N,MATCH(RIGHT($B155,13)&amp;"|"&amp;$C155&amp;"|"&amp;$D155&amp;"|"&amp;AK$14&amp;"|"&amp;"CY2023Q3",Spectrum!$R:$R,0)),0),""))</f>
        <v/>
      </c>
      <c r="AL155" s="88" t="str">
        <f aca="false">IF(OR(LEFT($B155,4)="_Mil",$C155="&lt;01"),"",MAX(SUM($AA155),90%))</f>
        <v/>
      </c>
      <c r="AM155" s="10" t="str">
        <f aca="false">IF(OR(LEFT($B155,4)="_Mil",$C155="&lt;01"),"",ROUND(SUM($AJ155)*SUM($AL155),0))</f>
        <v/>
      </c>
      <c r="AN155" s="10" t="n">
        <f aca="false">IF($C155="&lt;01",ROUND(INDEX(EID!$P:$P,MATCH($B155,EID!$B:$B,0))/2,0),"")</f>
        <v>0</v>
      </c>
      <c r="AO155" s="10" t="n">
        <f aca="false">IF($C155="&lt;01",SUM($AN155),ROUND(SUM($AM155)*SUM($O155)/IF(SUM($Z155)=0,1,$Z155),0))</f>
        <v>0</v>
      </c>
      <c r="AP155" s="39" t="n">
        <f aca="false">IF(OR($F155="",$C155="&lt;01"),$AO155,$F155)</f>
        <v>0</v>
      </c>
      <c r="AQ155" s="39" t="n">
        <f aca="false">IF(LEFT($B155,4)="_Mil","",IF(SUM($AP155)=0,SUM($Z155),IF(OR(SUM($Z155)=0,SUM($O155)=0),MAX($AP155,$Z155),$AP155*$Z155/$O155)))</f>
        <v>1539</v>
      </c>
      <c r="AR155" s="88" t="str">
        <f aca="false">IF(OR(LEFT($B155,4)="_Mil",SUM($AJ155)=0),"",SUM($AQ155)/$AJ155)</f>
        <v/>
      </c>
      <c r="AS155" s="88" t="str">
        <f aca="false">IF($C155="&lt;01","",98%)</f>
        <v/>
      </c>
      <c r="AT155" s="88" t="str">
        <f aca="false">IF($C155="&lt;01","",98%)</f>
        <v/>
      </c>
      <c r="AU155" s="10" t="str">
        <f aca="false">IF($C155="&lt;01","",SUM($AP155)-SUM($O155))</f>
        <v/>
      </c>
      <c r="AV155" s="10" t="n">
        <f aca="false">IF($C155="&lt;01",ROUND(INDEX(EID!$N:$N,MATCH($B155,EID!$B:$B,0))/2,0),IF(SUM($AT155)=0,"",ROUND((SUM($AP155)-(SUM($O155)*SUM($AS155)))/$AT155,0)))</f>
        <v>0</v>
      </c>
      <c r="AW155" s="88" t="str">
        <f aca="false">IF($C155="&lt;01","",100%)</f>
        <v/>
      </c>
      <c r="AX155" s="39" t="n">
        <f aca="false">IF($C155="&lt;01",SUM($AV155),ROUND(SUM($AV155)*SUM($AW155),0))</f>
        <v>0</v>
      </c>
      <c r="AY155" s="114" t="str">
        <f aca="false">IF($C155="&lt;01","",70%)</f>
        <v/>
      </c>
      <c r="AZ155" s="91" t="n">
        <f aca="false">IF($C155="&lt;01",ROUND(INDEX(EID!$R:$R,MATCH($B155,EID!$B:$B,0))/2,0),ROUND(SUM($O155)+(SUM($AV155)*$AY155),0))</f>
        <v>0</v>
      </c>
      <c r="BA155" s="87" t="str">
        <f aca="false">IF($C155="&lt;01","",95%)</f>
        <v/>
      </c>
      <c r="BB155" s="5" t="n">
        <f aca="false">IF($C155="&lt;01",ROUND(INDEX(EID!$T:$T,MATCH($B155,EID!$B:$B,0))/2,0),ROUND($AZ155*$BA155,0))</f>
        <v>0</v>
      </c>
      <c r="BC155" s="91" t="n">
        <f aca="false">IF(LEFT($B155,4)="_Mil","",IF(SUM($BB155)=0,SUM($AD155),IF(OR(SUM($AP155)=0,SUM($AQ155)=0),MAX($BB155,$AD155),ROUND($BB155*$AQ155/$AP155,0))))</f>
        <v>0</v>
      </c>
      <c r="BD155" s="88" t="str">
        <f aca="false">IF($C155="&lt;01","",95%)</f>
        <v/>
      </c>
      <c r="BE155" s="39" t="n">
        <f aca="false">IF($C155="&lt;01",ROUND(INDEX(EID!$V:$V,MATCH($B155,EID!$B:$B,0))/2,0),ROUND($BD155*$BB155,0))</f>
        <v>0</v>
      </c>
      <c r="BF155" s="39" t="n">
        <f aca="false">IF(LEFT($B155,4)="_Mil","",IF(SUM($BE155)=0,SUM($AF155),IF(OR(SUM($AP155)=0,SUM($AQ155)=0),MAX($BE155,$AF155),ROUND($BE155*$AQ155/$AP155,0))))</f>
        <v>0</v>
      </c>
      <c r="BG155" s="114" t="str">
        <f aca="false">IF($C155="&lt;01","",95%)</f>
        <v/>
      </c>
      <c r="BH155" s="5" t="n">
        <f aca="false">IF($C155="&lt;01",ROUND(INDEX(EID!$L:$L,MATCH($B155,EID!$B:$B,0)),0)/2,IF(SUM($BG155)=0,"",ROUND($AX155/$BG155,0)))</f>
        <v>0</v>
      </c>
    </row>
    <row r="156" customFormat="false" ht="15" hidden="false" customHeight="false" outlineLevel="0" collapsed="false">
      <c r="A156" s="0" t="str">
        <f aca="false">INDEX(Prioritization!$D:$D,MATCH($B156,Prioritization!$A:$A,0))</f>
        <v>1 - Scale-up: Saturation</v>
      </c>
      <c r="B156" s="0" t="s">
        <v>204</v>
      </c>
      <c r="C156" s="0" t="s">
        <v>316</v>
      </c>
      <c r="D156" s="0" t="s">
        <v>48</v>
      </c>
      <c r="E156" s="0" t="str">
        <f aca="false">$B156&amp;"|"&amp;$C156&amp;"|"&amp;$D156</f>
        <v>Chitipa District [GkIwZrXy1h2]|&lt;01|Male</v>
      </c>
      <c r="F156" s="10"/>
      <c r="G156" s="10" t="n">
        <v>3</v>
      </c>
      <c r="H156" s="10" t="n">
        <v>1</v>
      </c>
      <c r="I156" s="10" t="n">
        <v>1</v>
      </c>
      <c r="J156" s="10" t="n">
        <v>1</v>
      </c>
      <c r="K156" s="10" t="n">
        <v>0</v>
      </c>
      <c r="L156" s="10"/>
      <c r="M156" s="10" t="n">
        <v>1</v>
      </c>
      <c r="N156" s="10" t="n">
        <v>1</v>
      </c>
      <c r="O156" s="10" t="n">
        <f aca="false">IFERROR(1/(1/MAX($I156,$N156)),"")</f>
        <v>1</v>
      </c>
      <c r="P156" s="10" t="n">
        <v>0</v>
      </c>
      <c r="Q156" s="10" t="n">
        <v>1</v>
      </c>
      <c r="R156" s="10" t="n">
        <f aca="false">IF(AND(SUM($I156)=0,SUM($O156)=0),"",SUM($O156)-$I156)</f>
        <v>0</v>
      </c>
      <c r="S156" s="10" t="n">
        <f aca="false">IF(LEFT($B156,4)="_Mil","",_xlfn.IFNA(ROUND(INDEX(Spectrum!$N:$N,MATCH(RIGHT($B156,13)&amp;"|"&amp;$C156&amp;"|"&amp;$D156&amp;"|"&amp;S$14&amp;"|"&amp;"CY2022Q4",Spectrum!$R:$R,0)),0),""))</f>
        <v>894</v>
      </c>
      <c r="T156" s="39" t="n">
        <f aca="false">IF(LEFT($B156,4)="_Mil","",_xlfn.IFNA(ROUND(INDEX(Spectrum!$N:$N,MATCH(RIGHT($B156,13)&amp;"|"&amp;$C156&amp;"|"&amp;$D156&amp;"|"&amp;T$14&amp;"|"&amp;"CY2023Q3",Spectrum!$R:$R,0)),0),""))</f>
        <v>772</v>
      </c>
      <c r="U156" s="39" t="str">
        <f aca="false">IF(LEFT($B156,4)="_Mil","",_xlfn.IFNA(ROUND(INDEX(Spectrum!$N:$N,MATCH(RIGHT($B156,13)&amp;"|"&amp;$C156&amp;"|"&amp;$D156&amp;"|"&amp;U$14&amp;"|"&amp;"CY2023Q3",Spectrum!$R:$R,0)),0),""))</f>
        <v/>
      </c>
      <c r="V156" s="10" t="n">
        <f aca="false">IF(LEFT($B156,4)="_Mil","",_xlfn.IFNA(ROUND(INDEX(Spectrum!$N:$N,MATCH(RIGHT($B156,13)&amp;"|"&amp;$C156&amp;"|"&amp;$D156&amp;"|"&amp;V$14&amp;"|"&amp;"CY2023Q3",Spectrum!$R:$R,0)),0),""))</f>
        <v>1367</v>
      </c>
      <c r="W156" s="113" t="n">
        <f aca="false">IF(LEFT($B156,4)="_Mil","",_xlfn.IFNA(INDEX(Spectrum!$N:$N,MATCH(RIGHT($B156,13)&amp;"|"&amp;$C156&amp;"|"&amp;$D156&amp;"|"&amp;W$14&amp;"|"&amp;"CY2023Q3",Spectrum!$R:$R,0)),""))</f>
        <v>1204</v>
      </c>
      <c r="X156" s="39" t="n">
        <f aca="false">IF(LEFT($B156,4)="_Mil","",_xlfn.IFNA(ROUND(INDEX(Spectrum!$N:$N,MATCH(RIGHT($B156,13)&amp;"|"&amp;$C156&amp;"|"&amp;$D156&amp;"|"&amp;X$14&amp;"|"&amp;"CY2023Q3",Spectrum!$R:$R,0)),0),""))</f>
        <v>1418</v>
      </c>
      <c r="Y156" s="88" t="str">
        <f aca="false">IF(OR(SUM($U156)=0,LEFT($B156,4)="_Mil"),"",SUM($X156)/$U156)</f>
        <v/>
      </c>
      <c r="Z156" s="39" t="n">
        <f aca="false">IF(LEFT($B156,4)="_Mil","",_xlfn.IFNA(ROUND(INDEX(Spectrum!$N:$N,MATCH(RIGHT($B156,13)&amp;"|"&amp;$C156&amp;"|"&amp;$D156&amp;"|"&amp;Z$14&amp;"|"&amp;"CY2023Q3",Spectrum!$R:$R,0)),0),""))</f>
        <v>901</v>
      </c>
      <c r="AA156" s="88" t="n">
        <f aca="false">IF(LEFT($B156,4)="_Mil","",IFERROR(1/(1/INDEX(Spectrum!$N:$N,MATCH(RIGHT($B156,13)&amp;"|"&amp;$C156&amp;"|"&amp;$D156&amp;"|"&amp;AA$14&amp;"|"&amp;"CY2023Q3",Spectrum!$R:$R,0))),IF(SUM($U156)=0,"",SUM($Z156)/$U156)))</f>
        <v>791</v>
      </c>
      <c r="AB156" s="88" t="n">
        <f aca="false">IF(OR(LEFT($B156,4)="_Mil",SUM($X156)=0),"",SUM($Z156)/$X156)</f>
        <v>0.63540197461213</v>
      </c>
      <c r="AC156" s="10" t="n">
        <f aca="false">IF(LEFT($B156,4)="_Mil","",_xlfn.IFNA(ROUND(INDEX(Spectrum!$N:$N,MATCH(RIGHT($B156,13)&amp;"|"&amp;$C156&amp;"|"&amp;$D156&amp;"|"&amp;AC$14&amp;"|"&amp;"CY2023Q3",Spectrum!$R:$R,0)),0),""))</f>
        <v>1655</v>
      </c>
      <c r="AD156" s="10" t="str">
        <f aca="false">IF(LEFT($B156,4)="_Mil","",_xlfn.IFNA(ROUND(INDEX(Spectrum!$N:$N,MATCH(RIGHT($B156,13)&amp;"|"&amp;$C156&amp;"|"&amp;$D156&amp;"|"&amp;AD$14&amp;"|"&amp;"CY2023Q3",Spectrum!$R:$R,0)),0),""))</f>
        <v/>
      </c>
      <c r="AE156" s="88" t="n">
        <f aca="false">IF(OR(LEFT($B156,4)="_Mil",SUM($Z156)=0),"",SUM($AD156)/$Z156)</f>
        <v>0</v>
      </c>
      <c r="AF156" s="39" t="str">
        <f aca="false">IF(LEFT($B156,4)="_Mil","",_xlfn.IFNA(ROUND(INDEX(Spectrum!$N:$N,MATCH(RIGHT($B156,13)&amp;"|"&amp;$C156&amp;"|"&amp;$D156&amp;"|"&amp;AF$14&amp;"|"&amp;"CY2023Q3",Spectrum!$R:$R,0)),0),""))</f>
        <v/>
      </c>
      <c r="AG156" s="88" t="str">
        <f aca="false">IF(OR(LEFT($B156,4)="_Mil",SUM($AD156)=0),"",SUM($AF156)/$AD156)</f>
        <v/>
      </c>
      <c r="AH156" s="86" t="str">
        <f aca="false">IF(LEFT($B156,4)="_Mil","",_xlfn.IFNA(INDEX(Spectrum!$N:$N,MATCH(RIGHT($B156,13)&amp;"|"&amp;$C156&amp;"|"&amp;$D156&amp;"|"&amp;AH$14&amp;"|"&amp;"CY2023Q3",Spectrum!$R:$R,0)),""))</f>
        <v/>
      </c>
      <c r="AI156" s="10" t="str">
        <f aca="false">IF(LEFT($B156,4)="_Mil","",_xlfn.IFNA(ROUND(INDEX(Spectrum!$N:$N,MATCH(RIGHT($B156,13)&amp;"|"&amp;$C156&amp;"|"&amp;$D156&amp;"|"&amp;AI$14&amp;"|"&amp;"CY2023Q3",Spectrum!$R:$R,0)),0),""))</f>
        <v/>
      </c>
      <c r="AJ156" s="39" t="n">
        <f aca="false">IF(LEFT($B156,4)="_Mil","",_xlfn.IFNA(ROUND(INDEX(Spectrum!$N:$N,MATCH(RIGHT($B156,13)&amp;"|"&amp;$C156&amp;"|"&amp;$D156&amp;"|"&amp;AI$14&amp;"|"&amp;"CY2023Q3",Spectrum!$R:$R,0)),0),SUM($U156)+SUM($AI156)))</f>
        <v>0</v>
      </c>
      <c r="AK156" s="10" t="str">
        <f aca="false">IF(LEFT($B156,4)="_Mil","",_xlfn.IFNA(ROUND(INDEX(Spectrum!$N:$N,MATCH(RIGHT($B156,13)&amp;"|"&amp;$C156&amp;"|"&amp;$D156&amp;"|"&amp;AK$14&amp;"|"&amp;"CY2023Q3",Spectrum!$R:$R,0)),0),""))</f>
        <v/>
      </c>
      <c r="AL156" s="88" t="str">
        <f aca="false">IF(OR(LEFT($B156,4)="_Mil",$C156="&lt;01"),"",MAX(SUM($AA156),90%))</f>
        <v/>
      </c>
      <c r="AM156" s="10" t="str">
        <f aca="false">IF(OR(LEFT($B156,4)="_Mil",$C156="&lt;01"),"",ROUND(SUM($AJ156)*SUM($AL156),0))</f>
        <v/>
      </c>
      <c r="AN156" s="10" t="n">
        <f aca="false">IF($C156="&lt;01",ROUND(INDEX(EID!$P:$P,MATCH($B156,EID!$B:$B,0))/2,0),"")</f>
        <v>0</v>
      </c>
      <c r="AO156" s="10" t="n">
        <f aca="false">IF($C156="&lt;01",SUM($AN156),ROUND(SUM($AM156)*SUM($O156)/IF(SUM($Z156)=0,1,$Z156),0))</f>
        <v>0</v>
      </c>
      <c r="AP156" s="39" t="n">
        <f aca="false">IF(OR($F156="",$C156="&lt;01"),$AO156,$F156)</f>
        <v>0</v>
      </c>
      <c r="AQ156" s="39" t="n">
        <f aca="false">IF(LEFT($B156,4)="_Mil","",IF(SUM($AP156)=0,SUM($Z156),IF(OR(SUM($Z156)=0,SUM($O156)=0),MAX($AP156,$Z156),$AP156*$Z156/$O156)))</f>
        <v>901</v>
      </c>
      <c r="AR156" s="88" t="str">
        <f aca="false">IF(OR(LEFT($B156,4)="_Mil",SUM($AJ156)=0),"",SUM($AQ156)/$AJ156)</f>
        <v/>
      </c>
      <c r="AS156" s="88" t="str">
        <f aca="false">IF($C156="&lt;01","",98%)</f>
        <v/>
      </c>
      <c r="AT156" s="88" t="str">
        <f aca="false">IF($C156="&lt;01","",98%)</f>
        <v/>
      </c>
      <c r="AU156" s="10" t="str">
        <f aca="false">IF($C156="&lt;01","",SUM($AP156)-SUM($O156))</f>
        <v/>
      </c>
      <c r="AV156" s="10" t="n">
        <f aca="false">IF($C156="&lt;01",ROUND(INDEX(EID!$N:$N,MATCH($B156,EID!$B:$B,0))/2,0),IF(SUM($AT156)=0,"",ROUND((SUM($AP156)-(SUM($O156)*SUM($AS156)))/$AT156,0)))</f>
        <v>0</v>
      </c>
      <c r="AW156" s="88" t="str">
        <f aca="false">IF($C156="&lt;01","",100%)</f>
        <v/>
      </c>
      <c r="AX156" s="39" t="n">
        <f aca="false">IF($C156="&lt;01",SUM($AV156),ROUND(SUM($AV156)*SUM($AW156),0))</f>
        <v>0</v>
      </c>
      <c r="AY156" s="114" t="str">
        <f aca="false">IF($C156="&lt;01","",70%)</f>
        <v/>
      </c>
      <c r="AZ156" s="91" t="n">
        <f aca="false">IF($C156="&lt;01",ROUND(INDEX(EID!$R:$R,MATCH($B156,EID!$B:$B,0))/2,0),ROUND(SUM($O156)+(SUM($AV156)*$AY156),0))</f>
        <v>0</v>
      </c>
      <c r="BA156" s="87" t="str">
        <f aca="false">IF($C156="&lt;01","",95%)</f>
        <v/>
      </c>
      <c r="BB156" s="5" t="n">
        <f aca="false">IF($C156="&lt;01",ROUND(INDEX(EID!$T:$T,MATCH($B156,EID!$B:$B,0))/2,0),ROUND($AZ156*$BA156,0))</f>
        <v>0</v>
      </c>
      <c r="BC156" s="91" t="n">
        <f aca="false">IF(LEFT($B156,4)="_Mil","",IF(SUM($BB156)=0,SUM($AD156),IF(OR(SUM($AP156)=0,SUM($AQ156)=0),MAX($BB156,$AD156),ROUND($BB156*$AQ156/$AP156,0))))</f>
        <v>0</v>
      </c>
      <c r="BD156" s="88" t="str">
        <f aca="false">IF($C156="&lt;01","",95%)</f>
        <v/>
      </c>
      <c r="BE156" s="39" t="n">
        <f aca="false">IF($C156="&lt;01",ROUND(INDEX(EID!$V:$V,MATCH($B156,EID!$B:$B,0))/2,0),ROUND($BD156*$BB156,0))</f>
        <v>0</v>
      </c>
      <c r="BF156" s="39" t="n">
        <f aca="false">IF(LEFT($B156,4)="_Mil","",IF(SUM($BE156)=0,SUM($AF156),IF(OR(SUM($AP156)=0,SUM($AQ156)=0),MAX($BE156,$AF156),ROUND($BE156*$AQ156/$AP156,0))))</f>
        <v>0</v>
      </c>
      <c r="BG156" s="114" t="str">
        <f aca="false">IF($C156="&lt;01","",95%)</f>
        <v/>
      </c>
      <c r="BH156" s="5" t="n">
        <f aca="false">IF($C156="&lt;01",ROUND(INDEX(EID!$L:$L,MATCH($B156,EID!$B:$B,0)),0)/2,IF(SUM($BG156)=0,"",ROUND($AX156/$BG156,0)))</f>
        <v>0</v>
      </c>
    </row>
    <row r="157" customFormat="false" ht="15" hidden="false" customHeight="false" outlineLevel="0" collapsed="false">
      <c r="A157" s="0" t="str">
        <f aca="false">INDEX(Prioritization!$D:$D,MATCH($B157,Prioritization!$A:$A,0))</f>
        <v>1 - Scale-up: Saturation</v>
      </c>
      <c r="B157" s="0" t="s">
        <v>204</v>
      </c>
      <c r="C157" s="0" t="s">
        <v>363</v>
      </c>
      <c r="D157" s="0" t="s">
        <v>30</v>
      </c>
      <c r="E157" s="0" t="str">
        <f aca="false">$B157&amp;"|"&amp;$C157&amp;"|"&amp;$D157</f>
        <v>Chitipa District [GkIwZrXy1h2]|01-09|Female</v>
      </c>
      <c r="F157" s="10"/>
      <c r="G157" s="10"/>
      <c r="H157" s="10"/>
      <c r="I157" s="10"/>
      <c r="J157" s="10"/>
      <c r="K157" s="10"/>
      <c r="L157" s="10"/>
      <c r="M157" s="10"/>
      <c r="N157" s="10"/>
      <c r="O157" s="10" t="str">
        <f aca="false">IFERROR(1/(1/MAX($I157,$N157)),"")</f>
        <v/>
      </c>
      <c r="P157" s="10"/>
      <c r="Q157" s="10"/>
      <c r="R157" s="10" t="str">
        <f aca="false">IF(AND(SUM($I157)=0,SUM($O157)=0),"",SUM($O157)-$I157)</f>
        <v/>
      </c>
      <c r="S157" s="10" t="n">
        <f aca="false">IF(LEFT($B157,4)="_Mil","",_xlfn.IFNA(ROUND(INDEX(Spectrum!$N:$N,MATCH(RIGHT($B157,13)&amp;"|"&amp;$C157&amp;"|"&amp;$D157&amp;"|"&amp;S$14&amp;"|"&amp;"CY2022Q4",Spectrum!$R:$R,0)),0),""))</f>
        <v>1022</v>
      </c>
      <c r="T157" s="39" t="n">
        <f aca="false">IF(LEFT($B157,4)="_Mil","",_xlfn.IFNA(ROUND(INDEX(Spectrum!$N:$N,MATCH(RIGHT($B157,13)&amp;"|"&amp;$C157&amp;"|"&amp;$D157&amp;"|"&amp;T$14&amp;"|"&amp;"CY2023Q3",Spectrum!$R:$R,0)),0),""))</f>
        <v>761</v>
      </c>
      <c r="U157" s="39" t="str">
        <f aca="false">IF(LEFT($B157,4)="_Mil","",_xlfn.IFNA(ROUND(INDEX(Spectrum!$N:$N,MATCH(RIGHT($B157,13)&amp;"|"&amp;$C157&amp;"|"&amp;$D157&amp;"|"&amp;U$14&amp;"|"&amp;"CY2023Q3",Spectrum!$R:$R,0)),0),""))</f>
        <v/>
      </c>
      <c r="V157" s="10" t="n">
        <f aca="false">IF(LEFT($B157,4)="_Mil","",_xlfn.IFNA(ROUND(INDEX(Spectrum!$N:$N,MATCH(RIGHT($B157,13)&amp;"|"&amp;$C157&amp;"|"&amp;$D157&amp;"|"&amp;V$14&amp;"|"&amp;"CY2023Q3",Spectrum!$R:$R,0)),0),""))</f>
        <v>1027</v>
      </c>
      <c r="W157" s="113" t="n">
        <f aca="false">IF(LEFT($B157,4)="_Mil","",_xlfn.IFNA(INDEX(Spectrum!$N:$N,MATCH(RIGHT($B157,13)&amp;"|"&amp;$C157&amp;"|"&amp;$D157&amp;"|"&amp;W$14&amp;"|"&amp;"CY2023Q3",Spectrum!$R:$R,0)),""))</f>
        <v>1189</v>
      </c>
      <c r="X157" s="39" t="n">
        <f aca="false">IF(LEFT($B157,4)="_Mil","",_xlfn.IFNA(ROUND(INDEX(Spectrum!$N:$N,MATCH(RIGHT($B157,13)&amp;"|"&amp;$C157&amp;"|"&amp;$D157&amp;"|"&amp;X$14&amp;"|"&amp;"CY2023Q3",Spectrum!$R:$R,0)),0),""))</f>
        <v>1939</v>
      </c>
      <c r="Y157" s="88" t="str">
        <f aca="false">IF(OR(SUM($U157)=0,LEFT($B157,4)="_Mil"),"",SUM($X157)/$U157)</f>
        <v/>
      </c>
      <c r="Z157" s="39" t="n">
        <f aca="false">IF(LEFT($B157,4)="_Mil","",_xlfn.IFNA(ROUND(INDEX(Spectrum!$N:$N,MATCH(RIGHT($B157,13)&amp;"|"&amp;$C157&amp;"|"&amp;$D157&amp;"|"&amp;Z$14&amp;"|"&amp;"CY2023Q3",Spectrum!$R:$R,0)),0),""))</f>
        <v>1181</v>
      </c>
      <c r="AA157" s="88" t="n">
        <f aca="false">IF(LEFT($B157,4)="_Mil","",IFERROR(1/(1/INDEX(Spectrum!$N:$N,MATCH(RIGHT($B157,13)&amp;"|"&amp;$C157&amp;"|"&amp;$D157&amp;"|"&amp;AA$14&amp;"|"&amp;"CY2023Q3",Spectrum!$R:$R,0))),IF(SUM($U157)=0,"",SUM($Z157)/$U157)))</f>
        <v>1608</v>
      </c>
      <c r="AB157" s="88" t="n">
        <f aca="false">IF(OR(LEFT($B157,4)="_Mil",SUM($X157)=0),"",SUM($Z157)/$X157)</f>
        <v>0.609076843733883</v>
      </c>
      <c r="AC157" s="10" t="n">
        <f aca="false">IF(LEFT($B157,4)="_Mil","",_xlfn.IFNA(ROUND(INDEX(Spectrum!$N:$N,MATCH(RIGHT($B157,13)&amp;"|"&amp;$C157&amp;"|"&amp;$D157&amp;"|"&amp;AC$14&amp;"|"&amp;"CY2023Q3",Spectrum!$R:$R,0)),0),""))</f>
        <v>761</v>
      </c>
      <c r="AD157" s="10" t="str">
        <f aca="false">IF(LEFT($B157,4)="_Mil","",_xlfn.IFNA(ROUND(INDEX(Spectrum!$N:$N,MATCH(RIGHT($B157,13)&amp;"|"&amp;$C157&amp;"|"&amp;$D157&amp;"|"&amp;AD$14&amp;"|"&amp;"CY2023Q3",Spectrum!$R:$R,0)),0),""))</f>
        <v/>
      </c>
      <c r="AE157" s="88" t="n">
        <f aca="false">IF(OR(LEFT($B157,4)="_Mil",SUM($Z157)=0),"",SUM($AD157)/$Z157)</f>
        <v>0</v>
      </c>
      <c r="AF157" s="39" t="str">
        <f aca="false">IF(LEFT($B157,4)="_Mil","",_xlfn.IFNA(ROUND(INDEX(Spectrum!$N:$N,MATCH(RIGHT($B157,13)&amp;"|"&amp;$C157&amp;"|"&amp;$D157&amp;"|"&amp;AF$14&amp;"|"&amp;"CY2023Q3",Spectrum!$R:$R,0)),0),""))</f>
        <v/>
      </c>
      <c r="AG157" s="88" t="str">
        <f aca="false">IF(OR(LEFT($B157,4)="_Mil",SUM($AD157)=0),"",SUM($AF157)/$AD157)</f>
        <v/>
      </c>
      <c r="AH157" s="86" t="str">
        <f aca="false">IF(LEFT($B157,4)="_Mil","",_xlfn.IFNA(INDEX(Spectrum!$N:$N,MATCH(RIGHT($B157,13)&amp;"|"&amp;$C157&amp;"|"&amp;$D157&amp;"|"&amp;AH$14&amp;"|"&amp;"CY2023Q3",Spectrum!$R:$R,0)),""))</f>
        <v/>
      </c>
      <c r="AI157" s="10" t="str">
        <f aca="false">IF(LEFT($B157,4)="_Mil","",_xlfn.IFNA(ROUND(INDEX(Spectrum!$N:$N,MATCH(RIGHT($B157,13)&amp;"|"&amp;$C157&amp;"|"&amp;$D157&amp;"|"&amp;AI$14&amp;"|"&amp;"CY2023Q3",Spectrum!$R:$R,0)),0),""))</f>
        <v/>
      </c>
      <c r="AJ157" s="39" t="n">
        <f aca="false">IF(LEFT($B157,4)="_Mil","",_xlfn.IFNA(ROUND(INDEX(Spectrum!$N:$N,MATCH(RIGHT($B157,13)&amp;"|"&amp;$C157&amp;"|"&amp;$D157&amp;"|"&amp;AI$14&amp;"|"&amp;"CY2023Q3",Spectrum!$R:$R,0)),0),SUM($U157)+SUM($AI157)))</f>
        <v>0</v>
      </c>
      <c r="AK157" s="10" t="str">
        <f aca="false">IF(LEFT($B157,4)="_Mil","",_xlfn.IFNA(ROUND(INDEX(Spectrum!$N:$N,MATCH(RIGHT($B157,13)&amp;"|"&amp;$C157&amp;"|"&amp;$D157&amp;"|"&amp;AK$14&amp;"|"&amp;"CY2023Q3",Spectrum!$R:$R,0)),0),""))</f>
        <v/>
      </c>
      <c r="AL157" s="88" t="n">
        <f aca="false">IF(OR(LEFT($B157,4)="_Mil",$C157="&lt;01"),"",MAX(SUM($AA157),90%))</f>
        <v>1608</v>
      </c>
      <c r="AM157" s="10" t="n">
        <f aca="false">IF(OR(LEFT($B157,4)="_Mil",$C157="&lt;01"),"",ROUND(SUM($AJ157)*SUM($AL157),0))</f>
        <v>0</v>
      </c>
      <c r="AN157" s="10" t="str">
        <f aca="false">IF($C157="&lt;01",ROUND(INDEX(EID!$P:$P,MATCH($B157,EID!$B:$B,0))/2,0),"")</f>
        <v/>
      </c>
      <c r="AO157" s="10" t="n">
        <f aca="false">IF($C157="&lt;01",SUM($AN157),ROUND(SUM($AM157)*SUM($O157)/IF(SUM($Z157)=0,1,$Z157),0))</f>
        <v>0</v>
      </c>
      <c r="AP157" s="39" t="n">
        <f aca="false">IF(OR($F157="",$C157="&lt;01"),$AO157,$F157)</f>
        <v>0</v>
      </c>
      <c r="AQ157" s="39" t="n">
        <f aca="false">IF(LEFT($B157,4)="_Mil","",IF(SUM($AP157)=0,SUM($Z157),IF(OR(SUM($Z157)=0,SUM($O157)=0),MAX($AP157,$Z157),$AP157*$Z157/$O157)))</f>
        <v>1181</v>
      </c>
      <c r="AR157" s="88" t="str">
        <f aca="false">IF(OR(LEFT($B157,4)="_Mil",SUM($AJ157)=0),"",SUM($AQ157)/$AJ157)</f>
        <v/>
      </c>
      <c r="AS157" s="88" t="n">
        <f aca="false">IF($C157="&lt;01","",98%)</f>
        <v>0.98</v>
      </c>
      <c r="AT157" s="88" t="n">
        <f aca="false">IF($C157="&lt;01","",98%)</f>
        <v>0.98</v>
      </c>
      <c r="AU157" s="10" t="n">
        <f aca="false">IF($C157="&lt;01","",SUM($AP157)-SUM($O157))</f>
        <v>0</v>
      </c>
      <c r="AV157" s="10" t="n">
        <f aca="false">IF($C157="&lt;01",ROUND(INDEX(EID!$N:$N,MATCH($B157,EID!$B:$B,0))/2,0),IF(SUM($AT157)=0,"",ROUND((SUM($AP157)-(SUM($O157)*SUM($AS157)))/$AT157,0)))</f>
        <v>0</v>
      </c>
      <c r="AW157" s="88" t="n">
        <f aca="false">IF($C157="&lt;01","",100%)</f>
        <v>1</v>
      </c>
      <c r="AX157" s="39" t="n">
        <f aca="false">IF($C157="&lt;01",SUM($AV157),ROUND(SUM($AV157)*SUM($AW157),0))</f>
        <v>0</v>
      </c>
      <c r="AY157" s="114" t="n">
        <f aca="false">IF($C157="&lt;01","",70%)</f>
        <v>0.7</v>
      </c>
      <c r="AZ157" s="91" t="n">
        <f aca="false">IF($C157="&lt;01",ROUND(INDEX(EID!$R:$R,MATCH($B157,EID!$B:$B,0))/2,0),ROUND(SUM($O157)+(SUM($AV157)*$AY157),0))</f>
        <v>0</v>
      </c>
      <c r="BA157" s="87" t="n">
        <f aca="false">IF($C157="&lt;01","",95%)</f>
        <v>0.95</v>
      </c>
      <c r="BB157" s="5" t="n">
        <f aca="false">IF($C157="&lt;01",ROUND(INDEX(EID!$T:$T,MATCH($B157,EID!$B:$B,0))/2,0),ROUND($AZ157*$BA157,0))</f>
        <v>0</v>
      </c>
      <c r="BC157" s="91" t="n">
        <f aca="false">IF(LEFT($B157,4)="_Mil","",IF(SUM($BB157)=0,SUM($AD157),IF(OR(SUM($AP157)=0,SUM($AQ157)=0),MAX($BB157,$AD157),ROUND($BB157*$AQ157/$AP157,0))))</f>
        <v>0</v>
      </c>
      <c r="BD157" s="88" t="n">
        <f aca="false">IF($C157="&lt;01","",95%)</f>
        <v>0.95</v>
      </c>
      <c r="BE157" s="39" t="n">
        <f aca="false">IF($C157="&lt;01",ROUND(INDEX(EID!$V:$V,MATCH($B157,EID!$B:$B,0))/2,0),ROUND($BD157*$BB157,0))</f>
        <v>0</v>
      </c>
      <c r="BF157" s="39" t="n">
        <f aca="false">IF(LEFT($B157,4)="_Mil","",IF(SUM($BE157)=0,SUM($AF157),IF(OR(SUM($AP157)=0,SUM($AQ157)=0),MAX($BE157,$AF157),ROUND($BE157*$AQ157/$AP157,0))))</f>
        <v>0</v>
      </c>
      <c r="BG157" s="114" t="n">
        <f aca="false">IF($C157="&lt;01","",95%)</f>
        <v>0.95</v>
      </c>
      <c r="BH157" s="5" t="n">
        <f aca="false">IF($C157="&lt;01",ROUND(INDEX(EID!$L:$L,MATCH($B157,EID!$B:$B,0)),0)/2,IF(SUM($BG157)=0,"",ROUND($AX157/$BG157,0)))</f>
        <v>0</v>
      </c>
    </row>
    <row r="158" customFormat="false" ht="15" hidden="false" customHeight="false" outlineLevel="0" collapsed="false">
      <c r="A158" s="0" t="str">
        <f aca="false">INDEX(Prioritization!$D:$D,MATCH($B158,Prioritization!$A:$A,0))</f>
        <v>1 - Scale-up: Saturation</v>
      </c>
      <c r="B158" s="0" t="s">
        <v>204</v>
      </c>
      <c r="C158" s="0" t="s">
        <v>363</v>
      </c>
      <c r="D158" s="0" t="s">
        <v>48</v>
      </c>
      <c r="E158" s="0" t="str">
        <f aca="false">$B158&amp;"|"&amp;$C158&amp;"|"&amp;$D158</f>
        <v>Chitipa District [GkIwZrXy1h2]|01-09|Male</v>
      </c>
      <c r="F158" s="10"/>
      <c r="G158" s="10"/>
      <c r="H158" s="10"/>
      <c r="I158" s="10"/>
      <c r="J158" s="10"/>
      <c r="K158" s="10"/>
      <c r="L158" s="10"/>
      <c r="M158" s="10"/>
      <c r="N158" s="10"/>
      <c r="O158" s="10" t="str">
        <f aca="false">IFERROR(1/(1/MAX($I158,$N158)),"")</f>
        <v/>
      </c>
      <c r="P158" s="10"/>
      <c r="Q158" s="10"/>
      <c r="R158" s="10" t="str">
        <f aca="false">IF(AND(SUM($I158)=0,SUM($O158)=0),"",SUM($O158)-$I158)</f>
        <v/>
      </c>
      <c r="S158" s="10" t="n">
        <f aca="false">IF(LEFT($B158,4)="_Mil","",_xlfn.IFNA(ROUND(INDEX(Spectrum!$N:$N,MATCH(RIGHT($B158,13)&amp;"|"&amp;$C158&amp;"|"&amp;$D158&amp;"|"&amp;S$14&amp;"|"&amp;"CY2022Q4",Spectrum!$R:$R,0)),0),""))</f>
        <v>1747</v>
      </c>
      <c r="T158" s="39" t="n">
        <f aca="false">IF(LEFT($B158,4)="_Mil","",_xlfn.IFNA(ROUND(INDEX(Spectrum!$N:$N,MATCH(RIGHT($B158,13)&amp;"|"&amp;$C158&amp;"|"&amp;$D158&amp;"|"&amp;T$14&amp;"|"&amp;"CY2023Q3",Spectrum!$R:$R,0)),0),""))</f>
        <v>1281</v>
      </c>
      <c r="U158" s="39" t="str">
        <f aca="false">IF(LEFT($B158,4)="_Mil","",_xlfn.IFNA(ROUND(INDEX(Spectrum!$N:$N,MATCH(RIGHT($B158,13)&amp;"|"&amp;$C158&amp;"|"&amp;$D158&amp;"|"&amp;U$14&amp;"|"&amp;"CY2023Q3",Spectrum!$R:$R,0)),0),""))</f>
        <v/>
      </c>
      <c r="V158" s="10" t="n">
        <f aca="false">IF(LEFT($B158,4)="_Mil","",_xlfn.IFNA(ROUND(INDEX(Spectrum!$N:$N,MATCH(RIGHT($B158,13)&amp;"|"&amp;$C158&amp;"|"&amp;$D158&amp;"|"&amp;V$14&amp;"|"&amp;"CY2023Q3",Spectrum!$R:$R,0)),0),""))</f>
        <v>1943</v>
      </c>
      <c r="W158" s="113" t="n">
        <f aca="false">IF(LEFT($B158,4)="_Mil","",_xlfn.IFNA(INDEX(Spectrum!$N:$N,MATCH(RIGHT($B158,13)&amp;"|"&amp;$C158&amp;"|"&amp;$D158&amp;"|"&amp;W$14&amp;"|"&amp;"CY2023Q3",Spectrum!$R:$R,0)),""))</f>
        <v>606</v>
      </c>
      <c r="X158" s="39" t="n">
        <f aca="false">IF(LEFT($B158,4)="_Mil","",_xlfn.IFNA(ROUND(INDEX(Spectrum!$N:$N,MATCH(RIGHT($B158,13)&amp;"|"&amp;$C158&amp;"|"&amp;$D158&amp;"|"&amp;X$14&amp;"|"&amp;"CY2023Q3",Spectrum!$R:$R,0)),0),""))</f>
        <v>698</v>
      </c>
      <c r="Y158" s="88" t="str">
        <f aca="false">IF(OR(SUM($U158)=0,LEFT($B158,4)="_Mil"),"",SUM($X158)/$U158)</f>
        <v/>
      </c>
      <c r="Z158" s="39" t="n">
        <f aca="false">IF(LEFT($B158,4)="_Mil","",_xlfn.IFNA(ROUND(INDEX(Spectrum!$N:$N,MATCH(RIGHT($B158,13)&amp;"|"&amp;$C158&amp;"|"&amp;$D158&amp;"|"&amp;Z$14&amp;"|"&amp;"CY2023Q3",Spectrum!$R:$R,0)),0),""))</f>
        <v>611</v>
      </c>
      <c r="AA158" s="88" t="n">
        <f aca="false">IF(LEFT($B158,4)="_Mil","",IFERROR(1/(1/INDEX(Spectrum!$N:$N,MATCH(RIGHT($B158,13)&amp;"|"&amp;$C158&amp;"|"&amp;$D158&amp;"|"&amp;AA$14&amp;"|"&amp;"CY2023Q3",Spectrum!$R:$R,0))),IF(SUM($U158)=0,"",SUM($Z158)/$U158)))</f>
        <v>1392</v>
      </c>
      <c r="AB158" s="88" t="n">
        <f aca="false">IF(OR(LEFT($B158,4)="_Mil",SUM($X158)=0),"",SUM($Z158)/$X158)</f>
        <v>0.875358166189112</v>
      </c>
      <c r="AC158" s="10" t="n">
        <f aca="false">IF(LEFT($B158,4)="_Mil","",_xlfn.IFNA(ROUND(INDEX(Spectrum!$N:$N,MATCH(RIGHT($B158,13)&amp;"|"&amp;$C158&amp;"|"&amp;$D158&amp;"|"&amp;AC$14&amp;"|"&amp;"CY2023Q3",Spectrum!$R:$R,0)),0),""))</f>
        <v>1364</v>
      </c>
      <c r="AD158" s="10" t="str">
        <f aca="false">IF(LEFT($B158,4)="_Mil","",_xlfn.IFNA(ROUND(INDEX(Spectrum!$N:$N,MATCH(RIGHT($B158,13)&amp;"|"&amp;$C158&amp;"|"&amp;$D158&amp;"|"&amp;AD$14&amp;"|"&amp;"CY2023Q3",Spectrum!$R:$R,0)),0),""))</f>
        <v/>
      </c>
      <c r="AE158" s="88" t="n">
        <f aca="false">IF(OR(LEFT($B158,4)="_Mil",SUM($Z158)=0),"",SUM($AD158)/$Z158)</f>
        <v>0</v>
      </c>
      <c r="AF158" s="39" t="str">
        <f aca="false">IF(LEFT($B158,4)="_Mil","",_xlfn.IFNA(ROUND(INDEX(Spectrum!$N:$N,MATCH(RIGHT($B158,13)&amp;"|"&amp;$C158&amp;"|"&amp;$D158&amp;"|"&amp;AF$14&amp;"|"&amp;"CY2023Q3",Spectrum!$R:$R,0)),0),""))</f>
        <v/>
      </c>
      <c r="AG158" s="88" t="str">
        <f aca="false">IF(OR(LEFT($B158,4)="_Mil",SUM($AD158)=0),"",SUM($AF158)/$AD158)</f>
        <v/>
      </c>
      <c r="AH158" s="86" t="str">
        <f aca="false">IF(LEFT($B158,4)="_Mil","",_xlfn.IFNA(INDEX(Spectrum!$N:$N,MATCH(RIGHT($B158,13)&amp;"|"&amp;$C158&amp;"|"&amp;$D158&amp;"|"&amp;AH$14&amp;"|"&amp;"CY2023Q3",Spectrum!$R:$R,0)),""))</f>
        <v/>
      </c>
      <c r="AI158" s="10" t="str">
        <f aca="false">IF(LEFT($B158,4)="_Mil","",_xlfn.IFNA(ROUND(INDEX(Spectrum!$N:$N,MATCH(RIGHT($B158,13)&amp;"|"&amp;$C158&amp;"|"&amp;$D158&amp;"|"&amp;AI$14&amp;"|"&amp;"CY2023Q3",Spectrum!$R:$R,0)),0),""))</f>
        <v/>
      </c>
      <c r="AJ158" s="39" t="n">
        <f aca="false">IF(LEFT($B158,4)="_Mil","",_xlfn.IFNA(ROUND(INDEX(Spectrum!$N:$N,MATCH(RIGHT($B158,13)&amp;"|"&amp;$C158&amp;"|"&amp;$D158&amp;"|"&amp;AI$14&amp;"|"&amp;"CY2023Q3",Spectrum!$R:$R,0)),0),SUM($U158)+SUM($AI158)))</f>
        <v>0</v>
      </c>
      <c r="AK158" s="10" t="str">
        <f aca="false">IF(LEFT($B158,4)="_Mil","",_xlfn.IFNA(ROUND(INDEX(Spectrum!$N:$N,MATCH(RIGHT($B158,13)&amp;"|"&amp;$C158&amp;"|"&amp;$D158&amp;"|"&amp;AK$14&amp;"|"&amp;"CY2023Q3",Spectrum!$R:$R,0)),0),""))</f>
        <v/>
      </c>
      <c r="AL158" s="88" t="n">
        <f aca="false">IF(OR(LEFT($B158,4)="_Mil",$C158="&lt;01"),"",MAX(SUM($AA158),90%))</f>
        <v>1392</v>
      </c>
      <c r="AM158" s="10" t="n">
        <f aca="false">IF(OR(LEFT($B158,4)="_Mil",$C158="&lt;01"),"",ROUND(SUM($AJ158)*SUM($AL158),0))</f>
        <v>0</v>
      </c>
      <c r="AN158" s="10" t="str">
        <f aca="false">IF($C158="&lt;01",ROUND(INDEX(EID!$P:$P,MATCH($B158,EID!$B:$B,0))/2,0),"")</f>
        <v/>
      </c>
      <c r="AO158" s="10" t="n">
        <f aca="false">IF($C158="&lt;01",SUM($AN158),ROUND(SUM($AM158)*SUM($O158)/IF(SUM($Z158)=0,1,$Z158),0))</f>
        <v>0</v>
      </c>
      <c r="AP158" s="39" t="n">
        <f aca="false">IF(OR($F158="",$C158="&lt;01"),$AO158,$F158)</f>
        <v>0</v>
      </c>
      <c r="AQ158" s="39" t="n">
        <f aca="false">IF(LEFT($B158,4)="_Mil","",IF(SUM($AP158)=0,SUM($Z158),IF(OR(SUM($Z158)=0,SUM($O158)=0),MAX($AP158,$Z158),$AP158*$Z158/$O158)))</f>
        <v>611</v>
      </c>
      <c r="AR158" s="88" t="str">
        <f aca="false">IF(OR(LEFT($B158,4)="_Mil",SUM($AJ158)=0),"",SUM($AQ158)/$AJ158)</f>
        <v/>
      </c>
      <c r="AS158" s="88" t="n">
        <f aca="false">IF($C158="&lt;01","",98%)</f>
        <v>0.98</v>
      </c>
      <c r="AT158" s="88" t="n">
        <f aca="false">IF($C158="&lt;01","",98%)</f>
        <v>0.98</v>
      </c>
      <c r="AU158" s="10" t="n">
        <f aca="false">IF($C158="&lt;01","",SUM($AP158)-SUM($O158))</f>
        <v>0</v>
      </c>
      <c r="AV158" s="10" t="n">
        <f aca="false">IF($C158="&lt;01",ROUND(INDEX(EID!$N:$N,MATCH($B158,EID!$B:$B,0))/2,0),IF(SUM($AT158)=0,"",ROUND((SUM($AP158)-(SUM($O158)*SUM($AS158)))/$AT158,0)))</f>
        <v>0</v>
      </c>
      <c r="AW158" s="88" t="n">
        <f aca="false">IF($C158="&lt;01","",100%)</f>
        <v>1</v>
      </c>
      <c r="AX158" s="39" t="n">
        <f aca="false">IF($C158="&lt;01",SUM($AV158),ROUND(SUM($AV158)*SUM($AW158),0))</f>
        <v>0</v>
      </c>
      <c r="AY158" s="114" t="n">
        <f aca="false">IF($C158="&lt;01","",70%)</f>
        <v>0.7</v>
      </c>
      <c r="AZ158" s="91" t="n">
        <f aca="false">IF($C158="&lt;01",ROUND(INDEX(EID!$R:$R,MATCH($B158,EID!$B:$B,0))/2,0),ROUND(SUM($O158)+(SUM($AV158)*$AY158),0))</f>
        <v>0</v>
      </c>
      <c r="BA158" s="87" t="n">
        <f aca="false">IF($C158="&lt;01","",95%)</f>
        <v>0.95</v>
      </c>
      <c r="BB158" s="5" t="n">
        <f aca="false">IF($C158="&lt;01",ROUND(INDEX(EID!$T:$T,MATCH($B158,EID!$B:$B,0))/2,0),ROUND($AZ158*$BA158,0))</f>
        <v>0</v>
      </c>
      <c r="BC158" s="91" t="n">
        <f aca="false">IF(LEFT($B158,4)="_Mil","",IF(SUM($BB158)=0,SUM($AD158),IF(OR(SUM($AP158)=0,SUM($AQ158)=0),MAX($BB158,$AD158),ROUND($BB158*$AQ158/$AP158,0))))</f>
        <v>0</v>
      </c>
      <c r="BD158" s="88" t="n">
        <f aca="false">IF($C158="&lt;01","",95%)</f>
        <v>0.95</v>
      </c>
      <c r="BE158" s="39" t="n">
        <f aca="false">IF($C158="&lt;01",ROUND(INDEX(EID!$V:$V,MATCH($B158,EID!$B:$B,0))/2,0),ROUND($BD158*$BB158,0))</f>
        <v>0</v>
      </c>
      <c r="BF158" s="39" t="n">
        <f aca="false">IF(LEFT($B158,4)="_Mil","",IF(SUM($BE158)=0,SUM($AF158),IF(OR(SUM($AP158)=0,SUM($AQ158)=0),MAX($BE158,$AF158),ROUND($BE158*$AQ158/$AP158,0))))</f>
        <v>0</v>
      </c>
      <c r="BG158" s="114" t="n">
        <f aca="false">IF($C158="&lt;01","",95%)</f>
        <v>0.95</v>
      </c>
      <c r="BH158" s="5" t="n">
        <f aca="false">IF($C158="&lt;01",ROUND(INDEX(EID!$L:$L,MATCH($B158,EID!$B:$B,0)),0)/2,IF(SUM($BG158)=0,"",ROUND($AX158/$BG158,0)))</f>
        <v>0</v>
      </c>
    </row>
    <row r="159" customFormat="false" ht="15" hidden="false" customHeight="false" outlineLevel="0" collapsed="false">
      <c r="A159" s="0" t="str">
        <f aca="false">INDEX(Prioritization!$D:$D,MATCH($B159,Prioritization!$A:$A,0))</f>
        <v>1 - Scale-up: Saturation</v>
      </c>
      <c r="B159" s="0" t="s">
        <v>204</v>
      </c>
      <c r="C159" s="0" t="s">
        <v>364</v>
      </c>
      <c r="D159" s="0" t="s">
        <v>30</v>
      </c>
      <c r="E159" s="0" t="str">
        <f aca="false">$B159&amp;"|"&amp;$C159&amp;"|"&amp;$D159</f>
        <v>Chitipa District [GkIwZrXy1h2]|10-14|Female</v>
      </c>
      <c r="F159" s="10"/>
      <c r="G159" s="10" t="n">
        <v>5</v>
      </c>
      <c r="H159" s="10" t="n">
        <v>0</v>
      </c>
      <c r="I159" s="10" t="n">
        <v>6</v>
      </c>
      <c r="J159" s="10" t="n">
        <v>5</v>
      </c>
      <c r="K159" s="10" t="n">
        <v>7</v>
      </c>
      <c r="L159" s="10" t="n">
        <v>0</v>
      </c>
      <c r="M159" s="10" t="n">
        <v>0</v>
      </c>
      <c r="N159" s="10" t="n">
        <v>3</v>
      </c>
      <c r="O159" s="10" t="n">
        <f aca="false">IFERROR(1/(1/MAX($I159,$N159)),"")</f>
        <v>6</v>
      </c>
      <c r="P159" s="10" t="n">
        <v>4</v>
      </c>
      <c r="Q159" s="10" t="n">
        <v>8</v>
      </c>
      <c r="R159" s="10" t="n">
        <f aca="false">IF(AND(SUM($I159)=0,SUM($O159)=0),"",SUM($O159)-$I159)</f>
        <v>0</v>
      </c>
      <c r="S159" s="10" t="n">
        <f aca="false">IF(LEFT($B159,4)="_Mil","",_xlfn.IFNA(ROUND(INDEX(Spectrum!$N:$N,MATCH(RIGHT($B159,13)&amp;"|"&amp;$C159&amp;"|"&amp;$D159&amp;"|"&amp;S$14&amp;"|"&amp;"CY2022Q4",Spectrum!$R:$R,0)),0),""))</f>
        <v>1169</v>
      </c>
      <c r="T159" s="39" t="n">
        <f aca="false">IF(LEFT($B159,4)="_Mil","",_xlfn.IFNA(ROUND(INDEX(Spectrum!$N:$N,MATCH(RIGHT($B159,13)&amp;"|"&amp;$C159&amp;"|"&amp;$D159&amp;"|"&amp;T$14&amp;"|"&amp;"CY2023Q3",Spectrum!$R:$R,0)),0),""))</f>
        <v>1643</v>
      </c>
      <c r="U159" s="39" t="str">
        <f aca="false">IF(LEFT($B159,4)="_Mil","",_xlfn.IFNA(ROUND(INDEX(Spectrum!$N:$N,MATCH(RIGHT($B159,13)&amp;"|"&amp;$C159&amp;"|"&amp;$D159&amp;"|"&amp;U$14&amp;"|"&amp;"CY2023Q3",Spectrum!$R:$R,0)),0),""))</f>
        <v/>
      </c>
      <c r="V159" s="10" t="n">
        <f aca="false">IF(LEFT($B159,4)="_Mil","",_xlfn.IFNA(ROUND(INDEX(Spectrum!$N:$N,MATCH(RIGHT($B159,13)&amp;"|"&amp;$C159&amp;"|"&amp;$D159&amp;"|"&amp;V$14&amp;"|"&amp;"CY2023Q3",Spectrum!$R:$R,0)),0),""))</f>
        <v>719</v>
      </c>
      <c r="W159" s="113" t="n">
        <f aca="false">IF(LEFT($B159,4)="_Mil","",_xlfn.IFNA(INDEX(Spectrum!$N:$N,MATCH(RIGHT($B159,13)&amp;"|"&amp;$C159&amp;"|"&amp;$D159&amp;"|"&amp;W$14&amp;"|"&amp;"CY2023Q3",Spectrum!$R:$R,0)),""))</f>
        <v>1822</v>
      </c>
      <c r="X159" s="39" t="n">
        <f aca="false">IF(LEFT($B159,4)="_Mil","",_xlfn.IFNA(ROUND(INDEX(Spectrum!$N:$N,MATCH(RIGHT($B159,13)&amp;"|"&amp;$C159&amp;"|"&amp;$D159&amp;"|"&amp;X$14&amp;"|"&amp;"CY2023Q3",Spectrum!$R:$R,0)),0),""))</f>
        <v>611</v>
      </c>
      <c r="Y159" s="88" t="str">
        <f aca="false">IF(OR(SUM($U159)=0,LEFT($B159,4)="_Mil"),"",SUM($X159)/$U159)</f>
        <v/>
      </c>
      <c r="Z159" s="39" t="n">
        <f aca="false">IF(LEFT($B159,4)="_Mil","",_xlfn.IFNA(ROUND(INDEX(Spectrum!$N:$N,MATCH(RIGHT($B159,13)&amp;"|"&amp;$C159&amp;"|"&amp;$D159&amp;"|"&amp;Z$14&amp;"|"&amp;"CY2023Q3",Spectrum!$R:$R,0)),0),""))</f>
        <v>1055</v>
      </c>
      <c r="AA159" s="88" t="n">
        <f aca="false">IF(LEFT($B159,4)="_Mil","",IFERROR(1/(1/INDEX(Spectrum!$N:$N,MATCH(RIGHT($B159,13)&amp;"|"&amp;$C159&amp;"|"&amp;$D159&amp;"|"&amp;AA$14&amp;"|"&amp;"CY2023Q3",Spectrum!$R:$R,0))),IF(SUM($U159)=0,"",SUM($Z159)/$U159)))</f>
        <v>1803</v>
      </c>
      <c r="AB159" s="88" t="n">
        <f aca="false">IF(OR(LEFT($B159,4)="_Mil",SUM($X159)=0),"",SUM($Z159)/$X159)</f>
        <v>1.72667757774141</v>
      </c>
      <c r="AC159" s="10" t="n">
        <f aca="false">IF(LEFT($B159,4)="_Mil","",_xlfn.IFNA(ROUND(INDEX(Spectrum!$N:$N,MATCH(RIGHT($B159,13)&amp;"|"&amp;$C159&amp;"|"&amp;$D159&amp;"|"&amp;AC$14&amp;"|"&amp;"CY2023Q3",Spectrum!$R:$R,0)),0),""))</f>
        <v>1128</v>
      </c>
      <c r="AD159" s="10" t="str">
        <f aca="false">IF(LEFT($B159,4)="_Mil","",_xlfn.IFNA(ROUND(INDEX(Spectrum!$N:$N,MATCH(RIGHT($B159,13)&amp;"|"&amp;$C159&amp;"|"&amp;$D159&amp;"|"&amp;AD$14&amp;"|"&amp;"CY2023Q3",Spectrum!$R:$R,0)),0),""))</f>
        <v/>
      </c>
      <c r="AE159" s="88" t="n">
        <f aca="false">IF(OR(LEFT($B159,4)="_Mil",SUM($Z159)=0),"",SUM($AD159)/$Z159)</f>
        <v>0</v>
      </c>
      <c r="AF159" s="39" t="str">
        <f aca="false">IF(LEFT($B159,4)="_Mil","",_xlfn.IFNA(ROUND(INDEX(Spectrum!$N:$N,MATCH(RIGHT($B159,13)&amp;"|"&amp;$C159&amp;"|"&amp;$D159&amp;"|"&amp;AF$14&amp;"|"&amp;"CY2023Q3",Spectrum!$R:$R,0)),0),""))</f>
        <v/>
      </c>
      <c r="AG159" s="88" t="str">
        <f aca="false">IF(OR(LEFT($B159,4)="_Mil",SUM($AD159)=0),"",SUM($AF159)/$AD159)</f>
        <v/>
      </c>
      <c r="AH159" s="86" t="str">
        <f aca="false">IF(LEFT($B159,4)="_Mil","",_xlfn.IFNA(INDEX(Spectrum!$N:$N,MATCH(RIGHT($B159,13)&amp;"|"&amp;$C159&amp;"|"&amp;$D159&amp;"|"&amp;AH$14&amp;"|"&amp;"CY2023Q3",Spectrum!$R:$R,0)),""))</f>
        <v/>
      </c>
      <c r="AI159" s="10" t="str">
        <f aca="false">IF(LEFT($B159,4)="_Mil","",_xlfn.IFNA(ROUND(INDEX(Spectrum!$N:$N,MATCH(RIGHT($B159,13)&amp;"|"&amp;$C159&amp;"|"&amp;$D159&amp;"|"&amp;AI$14&amp;"|"&amp;"CY2023Q3",Spectrum!$R:$R,0)),0),""))</f>
        <v/>
      </c>
      <c r="AJ159" s="39" t="n">
        <f aca="false">IF(LEFT($B159,4)="_Mil","",_xlfn.IFNA(ROUND(INDEX(Spectrum!$N:$N,MATCH(RIGHT($B159,13)&amp;"|"&amp;$C159&amp;"|"&amp;$D159&amp;"|"&amp;AI$14&amp;"|"&amp;"CY2023Q3",Spectrum!$R:$R,0)),0),SUM($U159)+SUM($AI159)))</f>
        <v>0</v>
      </c>
      <c r="AK159" s="10" t="str">
        <f aca="false">IF(LEFT($B159,4)="_Mil","",_xlfn.IFNA(ROUND(INDEX(Spectrum!$N:$N,MATCH(RIGHT($B159,13)&amp;"|"&amp;$C159&amp;"|"&amp;$D159&amp;"|"&amp;AK$14&amp;"|"&amp;"CY2023Q3",Spectrum!$R:$R,0)),0),""))</f>
        <v/>
      </c>
      <c r="AL159" s="88" t="n">
        <f aca="false">IF(OR(LEFT($B159,4)="_Mil",$C159="&lt;01"),"",MAX(SUM($AA159),90%))</f>
        <v>1803</v>
      </c>
      <c r="AM159" s="10" t="n">
        <f aca="false">IF(OR(LEFT($B159,4)="_Mil",$C159="&lt;01"),"",ROUND(SUM($AJ159)*SUM($AL159),0))</f>
        <v>0</v>
      </c>
      <c r="AN159" s="10" t="str">
        <f aca="false">IF($C159="&lt;01",ROUND(INDEX(EID!$P:$P,MATCH($B159,EID!$B:$B,0))/2,0),"")</f>
        <v/>
      </c>
      <c r="AO159" s="10" t="n">
        <f aca="false">IF($C159="&lt;01",SUM($AN159),ROUND(SUM($AM159)*SUM($O159)/IF(SUM($Z159)=0,1,$Z159),0))</f>
        <v>0</v>
      </c>
      <c r="AP159" s="39" t="n">
        <f aca="false">IF(OR($F159="",$C159="&lt;01"),$AO159,$F159)</f>
        <v>0</v>
      </c>
      <c r="AQ159" s="39" t="n">
        <f aca="false">IF(LEFT($B159,4)="_Mil","",IF(SUM($AP159)=0,SUM($Z159),IF(OR(SUM($Z159)=0,SUM($O159)=0),MAX($AP159,$Z159),$AP159*$Z159/$O159)))</f>
        <v>1055</v>
      </c>
      <c r="AR159" s="88" t="str">
        <f aca="false">IF(OR(LEFT($B159,4)="_Mil",SUM($AJ159)=0),"",SUM($AQ159)/$AJ159)</f>
        <v/>
      </c>
      <c r="AS159" s="88" t="n">
        <f aca="false">IF($C159="&lt;01","",98%)</f>
        <v>0.98</v>
      </c>
      <c r="AT159" s="88" t="n">
        <f aca="false">IF($C159="&lt;01","",98%)</f>
        <v>0.98</v>
      </c>
      <c r="AU159" s="10" t="n">
        <f aca="false">IF($C159="&lt;01","",SUM($AP159)-SUM($O159))</f>
        <v>-6</v>
      </c>
      <c r="AV159" s="10" t="n">
        <f aca="false">IF($C159="&lt;01",ROUND(INDEX(EID!$N:$N,MATCH($B159,EID!$B:$B,0))/2,0),IF(SUM($AT159)=0,"",ROUND((SUM($AP159)-(SUM($O159)*SUM($AS159)))/$AT159,0)))</f>
        <v>-6</v>
      </c>
      <c r="AW159" s="88" t="n">
        <f aca="false">IF($C159="&lt;01","",100%)</f>
        <v>1</v>
      </c>
      <c r="AX159" s="39" t="n">
        <f aca="false">IF($C159="&lt;01",SUM($AV159),ROUND(SUM($AV159)*SUM($AW159),0))</f>
        <v>-6</v>
      </c>
      <c r="AY159" s="114" t="n">
        <f aca="false">IF($C159="&lt;01","",70%)</f>
        <v>0.7</v>
      </c>
      <c r="AZ159" s="91" t="n">
        <f aca="false">IF($C159="&lt;01",ROUND(INDEX(EID!$R:$R,MATCH($B159,EID!$B:$B,0))/2,0),ROUND(SUM($O159)+(SUM($AV159)*$AY159),0))</f>
        <v>2</v>
      </c>
      <c r="BA159" s="87" t="n">
        <f aca="false">IF($C159="&lt;01","",95%)</f>
        <v>0.95</v>
      </c>
      <c r="BB159" s="5" t="n">
        <f aca="false">IF($C159="&lt;01",ROUND(INDEX(EID!$T:$T,MATCH($B159,EID!$B:$B,0))/2,0),ROUND($AZ159*$BA159,0))</f>
        <v>2</v>
      </c>
      <c r="BC159" s="91" t="n">
        <f aca="false">IF(LEFT($B159,4)="_Mil","",IF(SUM($BB159)=0,SUM($AD159),IF(OR(SUM($AP159)=0,SUM($AQ159)=0),MAX($BB159,$AD159),ROUND($BB159*$AQ159/$AP159,0))))</f>
        <v>2</v>
      </c>
      <c r="BD159" s="88" t="n">
        <f aca="false">IF($C159="&lt;01","",95%)</f>
        <v>0.95</v>
      </c>
      <c r="BE159" s="39" t="n">
        <f aca="false">IF($C159="&lt;01",ROUND(INDEX(EID!$V:$V,MATCH($B159,EID!$B:$B,0))/2,0),ROUND($BD159*$BB159,0))</f>
        <v>2</v>
      </c>
      <c r="BF159" s="39" t="n">
        <f aca="false">IF(LEFT($B159,4)="_Mil","",IF(SUM($BE159)=0,SUM($AF159),IF(OR(SUM($AP159)=0,SUM($AQ159)=0),MAX($BE159,$AF159),ROUND($BE159*$AQ159/$AP159,0))))</f>
        <v>2</v>
      </c>
      <c r="BG159" s="114" t="n">
        <f aca="false">IF($C159="&lt;01","",95%)</f>
        <v>0.95</v>
      </c>
      <c r="BH159" s="5" t="n">
        <f aca="false">IF($C159="&lt;01",ROUND(INDEX(EID!$L:$L,MATCH($B159,EID!$B:$B,0)),0)/2,IF(SUM($BG159)=0,"",ROUND($AX159/$BG159,0)))</f>
        <v>-6</v>
      </c>
    </row>
    <row r="160" customFormat="false" ht="15" hidden="false" customHeight="false" outlineLevel="0" collapsed="false">
      <c r="A160" s="0" t="str">
        <f aca="false">INDEX(Prioritization!$D:$D,MATCH($B160,Prioritization!$A:$A,0))</f>
        <v>1 - Scale-up: Saturation</v>
      </c>
      <c r="B160" s="0" t="s">
        <v>204</v>
      </c>
      <c r="C160" s="0" t="s">
        <v>364</v>
      </c>
      <c r="D160" s="0" t="s">
        <v>48</v>
      </c>
      <c r="E160" s="0" t="str">
        <f aca="false">$B160&amp;"|"&amp;$C160&amp;"|"&amp;$D160</f>
        <v>Chitipa District [GkIwZrXy1h2]|10-14|Male</v>
      </c>
      <c r="F160" s="10"/>
      <c r="G160" s="10" t="n">
        <v>7</v>
      </c>
      <c r="H160" s="10" t="n">
        <v>1</v>
      </c>
      <c r="I160" s="10" t="n">
        <v>3</v>
      </c>
      <c r="J160" s="10" t="n">
        <v>6</v>
      </c>
      <c r="K160" s="10" t="n">
        <v>6</v>
      </c>
      <c r="L160" s="10" t="n">
        <v>0</v>
      </c>
      <c r="M160" s="10" t="n">
        <v>0</v>
      </c>
      <c r="N160" s="10" t="n">
        <v>81</v>
      </c>
      <c r="O160" s="10" t="n">
        <f aca="false">IFERROR(1/(1/MAX($I160,$N160)),"")</f>
        <v>81</v>
      </c>
      <c r="P160" s="10" t="n">
        <v>72</v>
      </c>
      <c r="Q160" s="10" t="n">
        <v>1</v>
      </c>
      <c r="R160" s="10" t="n">
        <f aca="false">IF(AND(SUM($I160)=0,SUM($O160)=0),"",SUM($O160)-$I160)</f>
        <v>78</v>
      </c>
      <c r="S160" s="10" t="n">
        <f aca="false">IF(LEFT($B160,4)="_Mil","",_xlfn.IFNA(ROUND(INDEX(Spectrum!$N:$N,MATCH(RIGHT($B160,13)&amp;"|"&amp;$C160&amp;"|"&amp;$D160&amp;"|"&amp;S$14&amp;"|"&amp;"CY2022Q4",Spectrum!$R:$R,0)),0),""))</f>
        <v>1325</v>
      </c>
      <c r="T160" s="39" t="n">
        <f aca="false">IF(LEFT($B160,4)="_Mil","",_xlfn.IFNA(ROUND(INDEX(Spectrum!$N:$N,MATCH(RIGHT($B160,13)&amp;"|"&amp;$C160&amp;"|"&amp;$D160&amp;"|"&amp;T$14&amp;"|"&amp;"CY2023Q3",Spectrum!$R:$R,0)),0),""))</f>
        <v>764</v>
      </c>
      <c r="U160" s="39" t="str">
        <f aca="false">IF(LEFT($B160,4)="_Mil","",_xlfn.IFNA(ROUND(INDEX(Spectrum!$N:$N,MATCH(RIGHT($B160,13)&amp;"|"&amp;$C160&amp;"|"&amp;$D160&amp;"|"&amp;U$14&amp;"|"&amp;"CY2023Q3",Spectrum!$R:$R,0)),0),""))</f>
        <v/>
      </c>
      <c r="V160" s="10" t="n">
        <f aca="false">IF(LEFT($B160,4)="_Mil","",_xlfn.IFNA(ROUND(INDEX(Spectrum!$N:$N,MATCH(RIGHT($B160,13)&amp;"|"&amp;$C160&amp;"|"&amp;$D160&amp;"|"&amp;V$14&amp;"|"&amp;"CY2023Q3",Spectrum!$R:$R,0)),0),""))</f>
        <v>571</v>
      </c>
      <c r="W160" s="113" t="n">
        <f aca="false">IF(LEFT($B160,4)="_Mil","",_xlfn.IFNA(INDEX(Spectrum!$N:$N,MATCH(RIGHT($B160,13)&amp;"|"&amp;$C160&amp;"|"&amp;$D160&amp;"|"&amp;W$14&amp;"|"&amp;"CY2023Q3",Spectrum!$R:$R,0)),""))</f>
        <v>1744</v>
      </c>
      <c r="X160" s="39" t="n">
        <f aca="false">IF(LEFT($B160,4)="_Mil","",_xlfn.IFNA(ROUND(INDEX(Spectrum!$N:$N,MATCH(RIGHT($B160,13)&amp;"|"&amp;$C160&amp;"|"&amp;$D160&amp;"|"&amp;X$14&amp;"|"&amp;"CY2023Q3",Spectrum!$R:$R,0)),0),""))</f>
        <v>875</v>
      </c>
      <c r="Y160" s="88" t="str">
        <f aca="false">IF(OR(SUM($U160)=0,LEFT($B160,4)="_Mil"),"",SUM($X160)/$U160)</f>
        <v/>
      </c>
      <c r="Z160" s="39" t="n">
        <f aca="false">IF(LEFT($B160,4)="_Mil","",_xlfn.IFNA(ROUND(INDEX(Spectrum!$N:$N,MATCH(RIGHT($B160,13)&amp;"|"&amp;$C160&amp;"|"&amp;$D160&amp;"|"&amp;Z$14&amp;"|"&amp;"CY2023Q3",Spectrum!$R:$R,0)),0),""))</f>
        <v>1614</v>
      </c>
      <c r="AA160" s="88" t="n">
        <f aca="false">IF(LEFT($B160,4)="_Mil","",IFERROR(1/(1/INDEX(Spectrum!$N:$N,MATCH(RIGHT($B160,13)&amp;"|"&amp;$C160&amp;"|"&amp;$D160&amp;"|"&amp;AA$14&amp;"|"&amp;"CY2023Q3",Spectrum!$R:$R,0))),IF(SUM($U160)=0,"",SUM($Z160)/$U160)))</f>
        <v>1825</v>
      </c>
      <c r="AB160" s="88" t="n">
        <f aca="false">IF(OR(LEFT($B160,4)="_Mil",SUM($X160)=0),"",SUM($Z160)/$X160)</f>
        <v>1.84457142857143</v>
      </c>
      <c r="AC160" s="10" t="n">
        <f aca="false">IF(LEFT($B160,4)="_Mil","",_xlfn.IFNA(ROUND(INDEX(Spectrum!$N:$N,MATCH(RIGHT($B160,13)&amp;"|"&amp;$C160&amp;"|"&amp;$D160&amp;"|"&amp;AC$14&amp;"|"&amp;"CY2023Q3",Spectrum!$R:$R,0)),0),""))</f>
        <v>808</v>
      </c>
      <c r="AD160" s="10" t="str">
        <f aca="false">IF(LEFT($B160,4)="_Mil","",_xlfn.IFNA(ROUND(INDEX(Spectrum!$N:$N,MATCH(RIGHT($B160,13)&amp;"|"&amp;$C160&amp;"|"&amp;$D160&amp;"|"&amp;AD$14&amp;"|"&amp;"CY2023Q3",Spectrum!$R:$R,0)),0),""))</f>
        <v/>
      </c>
      <c r="AE160" s="88" t="n">
        <f aca="false">IF(OR(LEFT($B160,4)="_Mil",SUM($Z160)=0),"",SUM($AD160)/$Z160)</f>
        <v>0</v>
      </c>
      <c r="AF160" s="39" t="str">
        <f aca="false">IF(LEFT($B160,4)="_Mil","",_xlfn.IFNA(ROUND(INDEX(Spectrum!$N:$N,MATCH(RIGHT($B160,13)&amp;"|"&amp;$C160&amp;"|"&amp;$D160&amp;"|"&amp;AF$14&amp;"|"&amp;"CY2023Q3",Spectrum!$R:$R,0)),0),""))</f>
        <v/>
      </c>
      <c r="AG160" s="88" t="str">
        <f aca="false">IF(OR(LEFT($B160,4)="_Mil",SUM($AD160)=0),"",SUM($AF160)/$AD160)</f>
        <v/>
      </c>
      <c r="AH160" s="86" t="str">
        <f aca="false">IF(LEFT($B160,4)="_Mil","",_xlfn.IFNA(INDEX(Spectrum!$N:$N,MATCH(RIGHT($B160,13)&amp;"|"&amp;$C160&amp;"|"&amp;$D160&amp;"|"&amp;AH$14&amp;"|"&amp;"CY2023Q3",Spectrum!$R:$R,0)),""))</f>
        <v/>
      </c>
      <c r="AI160" s="10" t="str">
        <f aca="false">IF(LEFT($B160,4)="_Mil","",_xlfn.IFNA(ROUND(INDEX(Spectrum!$N:$N,MATCH(RIGHT($B160,13)&amp;"|"&amp;$C160&amp;"|"&amp;$D160&amp;"|"&amp;AI$14&amp;"|"&amp;"CY2023Q3",Spectrum!$R:$R,0)),0),""))</f>
        <v/>
      </c>
      <c r="AJ160" s="39" t="n">
        <f aca="false">IF(LEFT($B160,4)="_Mil","",_xlfn.IFNA(ROUND(INDEX(Spectrum!$N:$N,MATCH(RIGHT($B160,13)&amp;"|"&amp;$C160&amp;"|"&amp;$D160&amp;"|"&amp;AI$14&amp;"|"&amp;"CY2023Q3",Spectrum!$R:$R,0)),0),SUM($U160)+SUM($AI160)))</f>
        <v>0</v>
      </c>
      <c r="AK160" s="10" t="str">
        <f aca="false">IF(LEFT($B160,4)="_Mil","",_xlfn.IFNA(ROUND(INDEX(Spectrum!$N:$N,MATCH(RIGHT($B160,13)&amp;"|"&amp;$C160&amp;"|"&amp;$D160&amp;"|"&amp;AK$14&amp;"|"&amp;"CY2023Q3",Spectrum!$R:$R,0)),0),""))</f>
        <v/>
      </c>
      <c r="AL160" s="88" t="n">
        <f aca="false">IF(OR(LEFT($B160,4)="_Mil",$C160="&lt;01"),"",MAX(SUM($AA160),90%))</f>
        <v>1825</v>
      </c>
      <c r="AM160" s="10" t="n">
        <f aca="false">IF(OR(LEFT($B160,4)="_Mil",$C160="&lt;01"),"",ROUND(SUM($AJ160)*SUM($AL160),0))</f>
        <v>0</v>
      </c>
      <c r="AN160" s="10" t="str">
        <f aca="false">IF($C160="&lt;01",ROUND(INDEX(EID!$P:$P,MATCH($B160,EID!$B:$B,0))/2,0),"")</f>
        <v/>
      </c>
      <c r="AO160" s="10" t="n">
        <f aca="false">IF($C160="&lt;01",SUM($AN160),ROUND(SUM($AM160)*SUM($O160)/IF(SUM($Z160)=0,1,$Z160),0))</f>
        <v>0</v>
      </c>
      <c r="AP160" s="39" t="n">
        <f aca="false">IF(OR($F160="",$C160="&lt;01"),$AO160,$F160)</f>
        <v>0</v>
      </c>
      <c r="AQ160" s="39" t="n">
        <f aca="false">IF(LEFT($B160,4)="_Mil","",IF(SUM($AP160)=0,SUM($Z160),IF(OR(SUM($Z160)=0,SUM($O160)=0),MAX($AP160,$Z160),$AP160*$Z160/$O160)))</f>
        <v>1614</v>
      </c>
      <c r="AR160" s="88" t="str">
        <f aca="false">IF(OR(LEFT($B160,4)="_Mil",SUM($AJ160)=0),"",SUM($AQ160)/$AJ160)</f>
        <v/>
      </c>
      <c r="AS160" s="88" t="n">
        <f aca="false">IF($C160="&lt;01","",98%)</f>
        <v>0.98</v>
      </c>
      <c r="AT160" s="88" t="n">
        <f aca="false">IF($C160="&lt;01","",98%)</f>
        <v>0.98</v>
      </c>
      <c r="AU160" s="10" t="n">
        <f aca="false">IF($C160="&lt;01","",SUM($AP160)-SUM($O160))</f>
        <v>-81</v>
      </c>
      <c r="AV160" s="10" t="n">
        <f aca="false">IF($C160="&lt;01",ROUND(INDEX(EID!$N:$N,MATCH($B160,EID!$B:$B,0))/2,0),IF(SUM($AT160)=0,"",ROUND((SUM($AP160)-(SUM($O160)*SUM($AS160)))/$AT160,0)))</f>
        <v>-81</v>
      </c>
      <c r="AW160" s="88" t="n">
        <f aca="false">IF($C160="&lt;01","",100%)</f>
        <v>1</v>
      </c>
      <c r="AX160" s="39" t="n">
        <f aca="false">IF($C160="&lt;01",SUM($AV160),ROUND(SUM($AV160)*SUM($AW160),0))</f>
        <v>-81</v>
      </c>
      <c r="AY160" s="114" t="n">
        <f aca="false">IF($C160="&lt;01","",70%)</f>
        <v>0.7</v>
      </c>
      <c r="AZ160" s="91" t="n">
        <f aca="false">IF($C160="&lt;01",ROUND(INDEX(EID!$R:$R,MATCH($B160,EID!$B:$B,0))/2,0),ROUND(SUM($O160)+(SUM($AV160)*$AY160),0))</f>
        <v>24</v>
      </c>
      <c r="BA160" s="87" t="n">
        <f aca="false">IF($C160="&lt;01","",95%)</f>
        <v>0.95</v>
      </c>
      <c r="BB160" s="5" t="n">
        <f aca="false">IF($C160="&lt;01",ROUND(INDEX(EID!$T:$T,MATCH($B160,EID!$B:$B,0))/2,0),ROUND($AZ160*$BA160,0))</f>
        <v>23</v>
      </c>
      <c r="BC160" s="91" t="n">
        <f aca="false">IF(LEFT($B160,4)="_Mil","",IF(SUM($BB160)=0,SUM($AD160),IF(OR(SUM($AP160)=0,SUM($AQ160)=0),MAX($BB160,$AD160),ROUND($BB160*$AQ160/$AP160,0))))</f>
        <v>23</v>
      </c>
      <c r="BD160" s="88" t="n">
        <f aca="false">IF($C160="&lt;01","",95%)</f>
        <v>0.95</v>
      </c>
      <c r="BE160" s="39" t="n">
        <f aca="false">IF($C160="&lt;01",ROUND(INDEX(EID!$V:$V,MATCH($B160,EID!$B:$B,0))/2,0),ROUND($BD160*$BB160,0))</f>
        <v>22</v>
      </c>
      <c r="BF160" s="39" t="n">
        <f aca="false">IF(LEFT($B160,4)="_Mil","",IF(SUM($BE160)=0,SUM($AF160),IF(OR(SUM($AP160)=0,SUM($AQ160)=0),MAX($BE160,$AF160),ROUND($BE160*$AQ160/$AP160,0))))</f>
        <v>22</v>
      </c>
      <c r="BG160" s="114" t="n">
        <f aca="false">IF($C160="&lt;01","",95%)</f>
        <v>0.95</v>
      </c>
      <c r="BH160" s="5" t="n">
        <f aca="false">IF($C160="&lt;01",ROUND(INDEX(EID!$L:$L,MATCH($B160,EID!$B:$B,0)),0)/2,IF(SUM($BG160)=0,"",ROUND($AX160/$BG160,0)))</f>
        <v>-85</v>
      </c>
    </row>
    <row r="161" customFormat="false" ht="15" hidden="false" customHeight="false" outlineLevel="0" collapsed="false">
      <c r="A161" s="0" t="str">
        <f aca="false">INDEX(Prioritization!$D:$D,MATCH($B161,Prioritization!$A:$A,0))</f>
        <v>1 - Scale-up: Saturation</v>
      </c>
      <c r="B161" s="0" t="s">
        <v>204</v>
      </c>
      <c r="C161" s="0" t="s">
        <v>365</v>
      </c>
      <c r="D161" s="0" t="s">
        <v>30</v>
      </c>
      <c r="E161" s="0" t="str">
        <f aca="false">$B161&amp;"|"&amp;$C161&amp;"|"&amp;$D161</f>
        <v>Chitipa District [GkIwZrXy1h2]|15-24|Female</v>
      </c>
      <c r="F161" s="10"/>
      <c r="G161" s="10"/>
      <c r="H161" s="10"/>
      <c r="I161" s="10"/>
      <c r="J161" s="10"/>
      <c r="K161" s="10"/>
      <c r="L161" s="10"/>
      <c r="M161" s="10"/>
      <c r="N161" s="10"/>
      <c r="O161" s="10" t="str">
        <f aca="false">IFERROR(1/(1/MAX($I161,$N161)),"")</f>
        <v/>
      </c>
      <c r="P161" s="10"/>
      <c r="Q161" s="10"/>
      <c r="R161" s="10" t="str">
        <f aca="false">IF(AND(SUM($I161)=0,SUM($O161)=0),"",SUM($O161)-$I161)</f>
        <v/>
      </c>
      <c r="S161" s="10" t="n">
        <f aca="false">IF(LEFT($B161,4)="_Mil","",_xlfn.IFNA(ROUND(INDEX(Spectrum!$N:$N,MATCH(RIGHT($B161,13)&amp;"|"&amp;$C161&amp;"|"&amp;$D161&amp;"|"&amp;S$14&amp;"|"&amp;"CY2022Q4",Spectrum!$R:$R,0)),0),""))</f>
        <v>699</v>
      </c>
      <c r="T161" s="39" t="n">
        <f aca="false">IF(LEFT($B161,4)="_Mil","",_xlfn.IFNA(ROUND(INDEX(Spectrum!$N:$N,MATCH(RIGHT($B161,13)&amp;"|"&amp;$C161&amp;"|"&amp;$D161&amp;"|"&amp;T$14&amp;"|"&amp;"CY2023Q3",Spectrum!$R:$R,0)),0),""))</f>
        <v>1807</v>
      </c>
      <c r="U161" s="39" t="str">
        <f aca="false">IF(LEFT($B161,4)="_Mil","",_xlfn.IFNA(ROUND(INDEX(Spectrum!$N:$N,MATCH(RIGHT($B161,13)&amp;"|"&amp;$C161&amp;"|"&amp;$D161&amp;"|"&amp;U$14&amp;"|"&amp;"CY2023Q3",Spectrum!$R:$R,0)),0),""))</f>
        <v/>
      </c>
      <c r="V161" s="10" t="n">
        <f aca="false">IF(LEFT($B161,4)="_Mil","",_xlfn.IFNA(ROUND(INDEX(Spectrum!$N:$N,MATCH(RIGHT($B161,13)&amp;"|"&amp;$C161&amp;"|"&amp;$D161&amp;"|"&amp;V$14&amp;"|"&amp;"CY2023Q3",Spectrum!$R:$R,0)),0),""))</f>
        <v>1613</v>
      </c>
      <c r="W161" s="113" t="n">
        <f aca="false">IF(LEFT($B161,4)="_Mil","",_xlfn.IFNA(INDEX(Spectrum!$N:$N,MATCH(RIGHT($B161,13)&amp;"|"&amp;$C161&amp;"|"&amp;$D161&amp;"|"&amp;W$14&amp;"|"&amp;"CY2023Q3",Spectrum!$R:$R,0)),""))</f>
        <v>1369</v>
      </c>
      <c r="X161" s="39" t="n">
        <f aca="false">IF(LEFT($B161,4)="_Mil","",_xlfn.IFNA(ROUND(INDEX(Spectrum!$N:$N,MATCH(RIGHT($B161,13)&amp;"|"&amp;$C161&amp;"|"&amp;$D161&amp;"|"&amp;X$14&amp;"|"&amp;"CY2023Q3",Spectrum!$R:$R,0)),0),""))</f>
        <v>1627</v>
      </c>
      <c r="Y161" s="88" t="str">
        <f aca="false">IF(OR(SUM($U161)=0,LEFT($B161,4)="_Mil"),"",SUM($X161)/$U161)</f>
        <v/>
      </c>
      <c r="Z161" s="39" t="n">
        <f aca="false">IF(LEFT($B161,4)="_Mil","",_xlfn.IFNA(ROUND(INDEX(Spectrum!$N:$N,MATCH(RIGHT($B161,13)&amp;"|"&amp;$C161&amp;"|"&amp;$D161&amp;"|"&amp;Z$14&amp;"|"&amp;"CY2023Q3",Spectrum!$R:$R,0)),0),""))</f>
        <v>1814</v>
      </c>
      <c r="AA161" s="88" t="n">
        <f aca="false">IF(LEFT($B161,4)="_Mil","",IFERROR(1/(1/INDEX(Spectrum!$N:$N,MATCH(RIGHT($B161,13)&amp;"|"&amp;$C161&amp;"|"&amp;$D161&amp;"|"&amp;AA$14&amp;"|"&amp;"CY2023Q3",Spectrum!$R:$R,0))),IF(SUM($U161)=0,"",SUM($Z161)/$U161)))</f>
        <v>1790</v>
      </c>
      <c r="AB161" s="88" t="n">
        <f aca="false">IF(OR(LEFT($B161,4)="_Mil",SUM($X161)=0),"",SUM($Z161)/$X161)</f>
        <v>1.11493546404425</v>
      </c>
      <c r="AC161" s="10" t="n">
        <f aca="false">IF(LEFT($B161,4)="_Mil","",_xlfn.IFNA(ROUND(INDEX(Spectrum!$N:$N,MATCH(RIGHT($B161,13)&amp;"|"&amp;$C161&amp;"|"&amp;$D161&amp;"|"&amp;AC$14&amp;"|"&amp;"CY2023Q3",Spectrum!$R:$R,0)),0),""))</f>
        <v>1981</v>
      </c>
      <c r="AD161" s="10" t="str">
        <f aca="false">IF(LEFT($B161,4)="_Mil","",_xlfn.IFNA(ROUND(INDEX(Spectrum!$N:$N,MATCH(RIGHT($B161,13)&amp;"|"&amp;$C161&amp;"|"&amp;$D161&amp;"|"&amp;AD$14&amp;"|"&amp;"CY2023Q3",Spectrum!$R:$R,0)),0),""))</f>
        <v/>
      </c>
      <c r="AE161" s="88" t="n">
        <f aca="false">IF(OR(LEFT($B161,4)="_Mil",SUM($Z161)=0),"",SUM($AD161)/$Z161)</f>
        <v>0</v>
      </c>
      <c r="AF161" s="39" t="str">
        <f aca="false">IF(LEFT($B161,4)="_Mil","",_xlfn.IFNA(ROUND(INDEX(Spectrum!$N:$N,MATCH(RIGHT($B161,13)&amp;"|"&amp;$C161&amp;"|"&amp;$D161&amp;"|"&amp;AF$14&amp;"|"&amp;"CY2023Q3",Spectrum!$R:$R,0)),0),""))</f>
        <v/>
      </c>
      <c r="AG161" s="88" t="str">
        <f aca="false">IF(OR(LEFT($B161,4)="_Mil",SUM($AD161)=0),"",SUM($AF161)/$AD161)</f>
        <v/>
      </c>
      <c r="AH161" s="86" t="str">
        <f aca="false">IF(LEFT($B161,4)="_Mil","",_xlfn.IFNA(INDEX(Spectrum!$N:$N,MATCH(RIGHT($B161,13)&amp;"|"&amp;$C161&amp;"|"&amp;$D161&amp;"|"&amp;AH$14&amp;"|"&amp;"CY2023Q3",Spectrum!$R:$R,0)),""))</f>
        <v/>
      </c>
      <c r="AI161" s="10" t="str">
        <f aca="false">IF(LEFT($B161,4)="_Mil","",_xlfn.IFNA(ROUND(INDEX(Spectrum!$N:$N,MATCH(RIGHT($B161,13)&amp;"|"&amp;$C161&amp;"|"&amp;$D161&amp;"|"&amp;AI$14&amp;"|"&amp;"CY2023Q3",Spectrum!$R:$R,0)),0),""))</f>
        <v/>
      </c>
      <c r="AJ161" s="39" t="n">
        <f aca="false">IF(LEFT($B161,4)="_Mil","",_xlfn.IFNA(ROUND(INDEX(Spectrum!$N:$N,MATCH(RIGHT($B161,13)&amp;"|"&amp;$C161&amp;"|"&amp;$D161&amp;"|"&amp;AI$14&amp;"|"&amp;"CY2023Q3",Spectrum!$R:$R,0)),0),SUM($U161)+SUM($AI161)))</f>
        <v>0</v>
      </c>
      <c r="AK161" s="10" t="str">
        <f aca="false">IF(LEFT($B161,4)="_Mil","",_xlfn.IFNA(ROUND(INDEX(Spectrum!$N:$N,MATCH(RIGHT($B161,13)&amp;"|"&amp;$C161&amp;"|"&amp;$D161&amp;"|"&amp;AK$14&amp;"|"&amp;"CY2023Q3",Spectrum!$R:$R,0)),0),""))</f>
        <v/>
      </c>
      <c r="AL161" s="88" t="n">
        <f aca="false">IF(OR(LEFT($B161,4)="_Mil",$C161="&lt;01"),"",MAX(SUM($AA161),90%))</f>
        <v>1790</v>
      </c>
      <c r="AM161" s="10" t="n">
        <f aca="false">IF(OR(LEFT($B161,4)="_Mil",$C161="&lt;01"),"",ROUND(SUM($AJ161)*SUM($AL161),0))</f>
        <v>0</v>
      </c>
      <c r="AN161" s="10" t="str">
        <f aca="false">IF($C161="&lt;01",ROUND(INDEX(EID!$P:$P,MATCH($B161,EID!$B:$B,0))/2,0),"")</f>
        <v/>
      </c>
      <c r="AO161" s="10" t="n">
        <f aca="false">IF($C161="&lt;01",SUM($AN161),ROUND(SUM($AM161)*SUM($O161)/IF(SUM($Z161)=0,1,$Z161),0))</f>
        <v>0</v>
      </c>
      <c r="AP161" s="39" t="n">
        <f aca="false">IF(OR($F161="",$C161="&lt;01"),$AO161,$F161)</f>
        <v>0</v>
      </c>
      <c r="AQ161" s="39" t="n">
        <f aca="false">IF(LEFT($B161,4)="_Mil","",IF(SUM($AP161)=0,SUM($Z161),IF(OR(SUM($Z161)=0,SUM($O161)=0),MAX($AP161,$Z161),$AP161*$Z161/$O161)))</f>
        <v>1814</v>
      </c>
      <c r="AR161" s="88" t="str">
        <f aca="false">IF(OR(LEFT($B161,4)="_Mil",SUM($AJ161)=0),"",SUM($AQ161)/$AJ161)</f>
        <v/>
      </c>
      <c r="AS161" s="88" t="n">
        <f aca="false">IF($C161="&lt;01","",98%)</f>
        <v>0.98</v>
      </c>
      <c r="AT161" s="88" t="n">
        <f aca="false">IF($C161="&lt;01","",98%)</f>
        <v>0.98</v>
      </c>
      <c r="AU161" s="10" t="n">
        <f aca="false">IF($C161="&lt;01","",SUM($AP161)-SUM($O161))</f>
        <v>0</v>
      </c>
      <c r="AV161" s="10" t="n">
        <f aca="false">IF($C161="&lt;01",ROUND(INDEX(EID!$N:$N,MATCH($B161,EID!$B:$B,0))/2,0),IF(SUM($AT161)=0,"",ROUND((SUM($AP161)-(SUM($O161)*SUM($AS161)))/$AT161,0)))</f>
        <v>0</v>
      </c>
      <c r="AW161" s="88" t="n">
        <f aca="false">IF($C161="&lt;01","",100%)</f>
        <v>1</v>
      </c>
      <c r="AX161" s="39" t="n">
        <f aca="false">IF($C161="&lt;01",SUM($AV161),ROUND(SUM($AV161)*SUM($AW161),0))</f>
        <v>0</v>
      </c>
      <c r="AY161" s="114" t="n">
        <f aca="false">IF($C161="&lt;01","",70%)</f>
        <v>0.7</v>
      </c>
      <c r="AZ161" s="91" t="n">
        <f aca="false">IF($C161="&lt;01",ROUND(INDEX(EID!$R:$R,MATCH($B161,EID!$B:$B,0))/2,0),ROUND(SUM($O161)+(SUM($AV161)*$AY161),0))</f>
        <v>0</v>
      </c>
      <c r="BA161" s="87" t="n">
        <f aca="false">IF($C161="&lt;01","",95%)</f>
        <v>0.95</v>
      </c>
      <c r="BB161" s="5" t="n">
        <f aca="false">IF($C161="&lt;01",ROUND(INDEX(EID!$T:$T,MATCH($B161,EID!$B:$B,0))/2,0),ROUND($AZ161*$BA161,0))</f>
        <v>0</v>
      </c>
      <c r="BC161" s="91" t="n">
        <f aca="false">IF(LEFT($B161,4)="_Mil","",IF(SUM($BB161)=0,SUM($AD161),IF(OR(SUM($AP161)=0,SUM($AQ161)=0),MAX($BB161,$AD161),ROUND($BB161*$AQ161/$AP161,0))))</f>
        <v>0</v>
      </c>
      <c r="BD161" s="88" t="n">
        <f aca="false">IF($C161="&lt;01","",95%)</f>
        <v>0.95</v>
      </c>
      <c r="BE161" s="39" t="n">
        <f aca="false">IF($C161="&lt;01",ROUND(INDEX(EID!$V:$V,MATCH($B161,EID!$B:$B,0))/2,0),ROUND($BD161*$BB161,0))</f>
        <v>0</v>
      </c>
      <c r="BF161" s="39" t="n">
        <f aca="false">IF(LEFT($B161,4)="_Mil","",IF(SUM($BE161)=0,SUM($AF161),IF(OR(SUM($AP161)=0,SUM($AQ161)=0),MAX($BE161,$AF161),ROUND($BE161*$AQ161/$AP161,0))))</f>
        <v>0</v>
      </c>
      <c r="BG161" s="114" t="n">
        <f aca="false">IF($C161="&lt;01","",95%)</f>
        <v>0.95</v>
      </c>
      <c r="BH161" s="5" t="n">
        <f aca="false">IF($C161="&lt;01",ROUND(INDEX(EID!$L:$L,MATCH($B161,EID!$B:$B,0)),0)/2,IF(SUM($BG161)=0,"",ROUND($AX161/$BG161,0)))</f>
        <v>0</v>
      </c>
    </row>
    <row r="162" customFormat="false" ht="15" hidden="false" customHeight="false" outlineLevel="0" collapsed="false">
      <c r="A162" s="0" t="str">
        <f aca="false">INDEX(Prioritization!$D:$D,MATCH($B162,Prioritization!$A:$A,0))</f>
        <v>1 - Scale-up: Saturation</v>
      </c>
      <c r="B162" s="0" t="s">
        <v>204</v>
      </c>
      <c r="C162" s="0" t="s">
        <v>365</v>
      </c>
      <c r="D162" s="0" t="s">
        <v>48</v>
      </c>
      <c r="E162" s="0" t="str">
        <f aca="false">$B162&amp;"|"&amp;$C162&amp;"|"&amp;$D162</f>
        <v>Chitipa District [GkIwZrXy1h2]|15-24|Male</v>
      </c>
      <c r="F162" s="10"/>
      <c r="G162" s="10"/>
      <c r="H162" s="10"/>
      <c r="I162" s="10"/>
      <c r="J162" s="10"/>
      <c r="K162" s="10"/>
      <c r="L162" s="10"/>
      <c r="M162" s="10"/>
      <c r="N162" s="10"/>
      <c r="O162" s="10" t="str">
        <f aca="false">IFERROR(1/(1/MAX($I162,$N162)),"")</f>
        <v/>
      </c>
      <c r="P162" s="10"/>
      <c r="Q162" s="10"/>
      <c r="R162" s="10" t="str">
        <f aca="false">IF(AND(SUM($I162)=0,SUM($O162)=0),"",SUM($O162)-$I162)</f>
        <v/>
      </c>
      <c r="S162" s="10" t="n">
        <f aca="false">IF(LEFT($B162,4)="_Mil","",_xlfn.IFNA(ROUND(INDEX(Spectrum!$N:$N,MATCH(RIGHT($B162,13)&amp;"|"&amp;$C162&amp;"|"&amp;$D162&amp;"|"&amp;S$14&amp;"|"&amp;"CY2022Q4",Spectrum!$R:$R,0)),0),""))</f>
        <v>1608</v>
      </c>
      <c r="T162" s="39" t="n">
        <f aca="false">IF(LEFT($B162,4)="_Mil","",_xlfn.IFNA(ROUND(INDEX(Spectrum!$N:$N,MATCH(RIGHT($B162,13)&amp;"|"&amp;$C162&amp;"|"&amp;$D162&amp;"|"&amp;T$14&amp;"|"&amp;"CY2023Q3",Spectrum!$R:$R,0)),0),""))</f>
        <v>1977</v>
      </c>
      <c r="U162" s="39" t="str">
        <f aca="false">IF(LEFT($B162,4)="_Mil","",_xlfn.IFNA(ROUND(INDEX(Spectrum!$N:$N,MATCH(RIGHT($B162,13)&amp;"|"&amp;$C162&amp;"|"&amp;$D162&amp;"|"&amp;U$14&amp;"|"&amp;"CY2023Q3",Spectrum!$R:$R,0)),0),""))</f>
        <v/>
      </c>
      <c r="V162" s="10" t="n">
        <f aca="false">IF(LEFT($B162,4)="_Mil","",_xlfn.IFNA(ROUND(INDEX(Spectrum!$N:$N,MATCH(RIGHT($B162,13)&amp;"|"&amp;$C162&amp;"|"&amp;$D162&amp;"|"&amp;V$14&amp;"|"&amp;"CY2023Q3",Spectrum!$R:$R,0)),0),""))</f>
        <v>1456</v>
      </c>
      <c r="W162" s="113" t="n">
        <f aca="false">IF(LEFT($B162,4)="_Mil","",_xlfn.IFNA(INDEX(Spectrum!$N:$N,MATCH(RIGHT($B162,13)&amp;"|"&amp;$C162&amp;"|"&amp;$D162&amp;"|"&amp;W$14&amp;"|"&amp;"CY2023Q3",Spectrum!$R:$R,0)),""))</f>
        <v>1784</v>
      </c>
      <c r="X162" s="39" t="n">
        <f aca="false">IF(LEFT($B162,4)="_Mil","",_xlfn.IFNA(ROUND(INDEX(Spectrum!$N:$N,MATCH(RIGHT($B162,13)&amp;"|"&amp;$C162&amp;"|"&amp;$D162&amp;"|"&amp;X$14&amp;"|"&amp;"CY2023Q3",Spectrum!$R:$R,0)),0),""))</f>
        <v>1354</v>
      </c>
      <c r="Y162" s="88" t="str">
        <f aca="false">IF(OR(SUM($U162)=0,LEFT($B162,4)="_Mil"),"",SUM($X162)/$U162)</f>
        <v/>
      </c>
      <c r="Z162" s="39" t="n">
        <f aca="false">IF(LEFT($B162,4)="_Mil","",_xlfn.IFNA(ROUND(INDEX(Spectrum!$N:$N,MATCH(RIGHT($B162,13)&amp;"|"&amp;$C162&amp;"|"&amp;$D162&amp;"|"&amp;Z$14&amp;"|"&amp;"CY2023Q3",Spectrum!$R:$R,0)),0),""))</f>
        <v>515</v>
      </c>
      <c r="AA162" s="88" t="n">
        <f aca="false">IF(LEFT($B162,4)="_Mil","",IFERROR(1/(1/INDEX(Spectrum!$N:$N,MATCH(RIGHT($B162,13)&amp;"|"&amp;$C162&amp;"|"&amp;$D162&amp;"|"&amp;AA$14&amp;"|"&amp;"CY2023Q3",Spectrum!$R:$R,0))),IF(SUM($U162)=0,"",SUM($Z162)/$U162)))</f>
        <v>690</v>
      </c>
      <c r="AB162" s="88" t="n">
        <f aca="false">IF(OR(LEFT($B162,4)="_Mil",SUM($X162)=0),"",SUM($Z162)/$X162)</f>
        <v>0.380354505169867</v>
      </c>
      <c r="AC162" s="10" t="n">
        <f aca="false">IF(LEFT($B162,4)="_Mil","",_xlfn.IFNA(ROUND(INDEX(Spectrum!$N:$N,MATCH(RIGHT($B162,13)&amp;"|"&amp;$C162&amp;"|"&amp;$D162&amp;"|"&amp;AC$14&amp;"|"&amp;"CY2023Q3",Spectrum!$R:$R,0)),0),""))</f>
        <v>775</v>
      </c>
      <c r="AD162" s="10" t="str">
        <f aca="false">IF(LEFT($B162,4)="_Mil","",_xlfn.IFNA(ROUND(INDEX(Spectrum!$N:$N,MATCH(RIGHT($B162,13)&amp;"|"&amp;$C162&amp;"|"&amp;$D162&amp;"|"&amp;AD$14&amp;"|"&amp;"CY2023Q3",Spectrum!$R:$R,0)),0),""))</f>
        <v/>
      </c>
      <c r="AE162" s="88" t="n">
        <f aca="false">IF(OR(LEFT($B162,4)="_Mil",SUM($Z162)=0),"",SUM($AD162)/$Z162)</f>
        <v>0</v>
      </c>
      <c r="AF162" s="39" t="str">
        <f aca="false">IF(LEFT($B162,4)="_Mil","",_xlfn.IFNA(ROUND(INDEX(Spectrum!$N:$N,MATCH(RIGHT($B162,13)&amp;"|"&amp;$C162&amp;"|"&amp;$D162&amp;"|"&amp;AF$14&amp;"|"&amp;"CY2023Q3",Spectrum!$R:$R,0)),0),""))</f>
        <v/>
      </c>
      <c r="AG162" s="88" t="str">
        <f aca="false">IF(OR(LEFT($B162,4)="_Mil",SUM($AD162)=0),"",SUM($AF162)/$AD162)</f>
        <v/>
      </c>
      <c r="AH162" s="86" t="str">
        <f aca="false">IF(LEFT($B162,4)="_Mil","",_xlfn.IFNA(INDEX(Spectrum!$N:$N,MATCH(RIGHT($B162,13)&amp;"|"&amp;$C162&amp;"|"&amp;$D162&amp;"|"&amp;AH$14&amp;"|"&amp;"CY2023Q3",Spectrum!$R:$R,0)),""))</f>
        <v/>
      </c>
      <c r="AI162" s="10" t="str">
        <f aca="false">IF(LEFT($B162,4)="_Mil","",_xlfn.IFNA(ROUND(INDEX(Spectrum!$N:$N,MATCH(RIGHT($B162,13)&amp;"|"&amp;$C162&amp;"|"&amp;$D162&amp;"|"&amp;AI$14&amp;"|"&amp;"CY2023Q3",Spectrum!$R:$R,0)),0),""))</f>
        <v/>
      </c>
      <c r="AJ162" s="39" t="n">
        <f aca="false">IF(LEFT($B162,4)="_Mil","",_xlfn.IFNA(ROUND(INDEX(Spectrum!$N:$N,MATCH(RIGHT($B162,13)&amp;"|"&amp;$C162&amp;"|"&amp;$D162&amp;"|"&amp;AI$14&amp;"|"&amp;"CY2023Q3",Spectrum!$R:$R,0)),0),SUM($U162)+SUM($AI162)))</f>
        <v>0</v>
      </c>
      <c r="AK162" s="10" t="str">
        <f aca="false">IF(LEFT($B162,4)="_Mil","",_xlfn.IFNA(ROUND(INDEX(Spectrum!$N:$N,MATCH(RIGHT($B162,13)&amp;"|"&amp;$C162&amp;"|"&amp;$D162&amp;"|"&amp;AK$14&amp;"|"&amp;"CY2023Q3",Spectrum!$R:$R,0)),0),""))</f>
        <v/>
      </c>
      <c r="AL162" s="88" t="n">
        <f aca="false">IF(OR(LEFT($B162,4)="_Mil",$C162="&lt;01"),"",MAX(SUM($AA162),90%))</f>
        <v>690</v>
      </c>
      <c r="AM162" s="10" t="n">
        <f aca="false">IF(OR(LEFT($B162,4)="_Mil",$C162="&lt;01"),"",ROUND(SUM($AJ162)*SUM($AL162),0))</f>
        <v>0</v>
      </c>
      <c r="AN162" s="10" t="str">
        <f aca="false">IF($C162="&lt;01",ROUND(INDEX(EID!$P:$P,MATCH($B162,EID!$B:$B,0))/2,0),"")</f>
        <v/>
      </c>
      <c r="AO162" s="10" t="n">
        <f aca="false">IF($C162="&lt;01",SUM($AN162),ROUND(SUM($AM162)*SUM($O162)/IF(SUM($Z162)=0,1,$Z162),0))</f>
        <v>0</v>
      </c>
      <c r="AP162" s="39" t="n">
        <f aca="false">IF(OR($F162="",$C162="&lt;01"),$AO162,$F162)</f>
        <v>0</v>
      </c>
      <c r="AQ162" s="39" t="n">
        <f aca="false">IF(LEFT($B162,4)="_Mil","",IF(SUM($AP162)=0,SUM($Z162),IF(OR(SUM($Z162)=0,SUM($O162)=0),MAX($AP162,$Z162),$AP162*$Z162/$O162)))</f>
        <v>515</v>
      </c>
      <c r="AR162" s="88" t="str">
        <f aca="false">IF(OR(LEFT($B162,4)="_Mil",SUM($AJ162)=0),"",SUM($AQ162)/$AJ162)</f>
        <v/>
      </c>
      <c r="AS162" s="88" t="n">
        <f aca="false">IF($C162="&lt;01","",98%)</f>
        <v>0.98</v>
      </c>
      <c r="AT162" s="88" t="n">
        <f aca="false">IF($C162="&lt;01","",98%)</f>
        <v>0.98</v>
      </c>
      <c r="AU162" s="10" t="n">
        <f aca="false">IF($C162="&lt;01","",SUM($AP162)-SUM($O162))</f>
        <v>0</v>
      </c>
      <c r="AV162" s="10" t="n">
        <f aca="false">IF($C162="&lt;01",ROUND(INDEX(EID!$N:$N,MATCH($B162,EID!$B:$B,0))/2,0),IF(SUM($AT162)=0,"",ROUND((SUM($AP162)-(SUM($O162)*SUM($AS162)))/$AT162,0)))</f>
        <v>0</v>
      </c>
      <c r="AW162" s="88" t="n">
        <f aca="false">IF($C162="&lt;01","",100%)</f>
        <v>1</v>
      </c>
      <c r="AX162" s="39" t="n">
        <f aca="false">IF($C162="&lt;01",SUM($AV162),ROUND(SUM($AV162)*SUM($AW162),0))</f>
        <v>0</v>
      </c>
      <c r="AY162" s="114" t="n">
        <f aca="false">IF($C162="&lt;01","",70%)</f>
        <v>0.7</v>
      </c>
      <c r="AZ162" s="91" t="n">
        <f aca="false">IF($C162="&lt;01",ROUND(INDEX(EID!$R:$R,MATCH($B162,EID!$B:$B,0))/2,0),ROUND(SUM($O162)+(SUM($AV162)*$AY162),0))</f>
        <v>0</v>
      </c>
      <c r="BA162" s="87" t="n">
        <f aca="false">IF($C162="&lt;01","",95%)</f>
        <v>0.95</v>
      </c>
      <c r="BB162" s="5" t="n">
        <f aca="false">IF($C162="&lt;01",ROUND(INDEX(EID!$T:$T,MATCH($B162,EID!$B:$B,0))/2,0),ROUND($AZ162*$BA162,0))</f>
        <v>0</v>
      </c>
      <c r="BC162" s="91" t="n">
        <f aca="false">IF(LEFT($B162,4)="_Mil","",IF(SUM($BB162)=0,SUM($AD162),IF(OR(SUM($AP162)=0,SUM($AQ162)=0),MAX($BB162,$AD162),ROUND($BB162*$AQ162/$AP162,0))))</f>
        <v>0</v>
      </c>
      <c r="BD162" s="88" t="n">
        <f aca="false">IF($C162="&lt;01","",95%)</f>
        <v>0.95</v>
      </c>
      <c r="BE162" s="39" t="n">
        <f aca="false">IF($C162="&lt;01",ROUND(INDEX(EID!$V:$V,MATCH($B162,EID!$B:$B,0))/2,0),ROUND($BD162*$BB162,0))</f>
        <v>0</v>
      </c>
      <c r="BF162" s="39" t="n">
        <f aca="false">IF(LEFT($B162,4)="_Mil","",IF(SUM($BE162)=0,SUM($AF162),IF(OR(SUM($AP162)=0,SUM($AQ162)=0),MAX($BE162,$AF162),ROUND($BE162*$AQ162/$AP162,0))))</f>
        <v>0</v>
      </c>
      <c r="BG162" s="114" t="n">
        <f aca="false">IF($C162="&lt;01","",95%)</f>
        <v>0.95</v>
      </c>
      <c r="BH162" s="5" t="n">
        <f aca="false">IF($C162="&lt;01",ROUND(INDEX(EID!$L:$L,MATCH($B162,EID!$B:$B,0)),0)/2,IF(SUM($BG162)=0,"",ROUND($AX162/$BG162,0)))</f>
        <v>0</v>
      </c>
    </row>
    <row r="163" customFormat="false" ht="15" hidden="false" customHeight="false" outlineLevel="0" collapsed="false">
      <c r="A163" s="0" t="str">
        <f aca="false">INDEX(Prioritization!$D:$D,MATCH($B163,Prioritization!$A:$A,0))</f>
        <v>1 - Scale-up: Saturation</v>
      </c>
      <c r="B163" s="0" t="s">
        <v>204</v>
      </c>
      <c r="C163" s="0" t="s">
        <v>366</v>
      </c>
      <c r="D163" s="0" t="s">
        <v>30</v>
      </c>
      <c r="E163" s="0" t="str">
        <f aca="false">$B163&amp;"|"&amp;$C163&amp;"|"&amp;$D163</f>
        <v>Chitipa District [GkIwZrXy1h2]|25-34|Female</v>
      </c>
      <c r="F163" s="10"/>
      <c r="G163" s="10"/>
      <c r="H163" s="10"/>
      <c r="I163" s="10"/>
      <c r="J163" s="10"/>
      <c r="K163" s="10"/>
      <c r="L163" s="10"/>
      <c r="M163" s="10"/>
      <c r="N163" s="10"/>
      <c r="O163" s="10" t="str">
        <f aca="false">IFERROR(1/(1/MAX($I163,$N163)),"")</f>
        <v/>
      </c>
      <c r="P163" s="10"/>
      <c r="Q163" s="10"/>
      <c r="R163" s="10" t="str">
        <f aca="false">IF(AND(SUM($I163)=0,SUM($O163)=0),"",SUM($O163)-$I163)</f>
        <v/>
      </c>
      <c r="S163" s="10" t="n">
        <f aca="false">IF(LEFT($B163,4)="_Mil","",_xlfn.IFNA(ROUND(INDEX(Spectrum!$N:$N,MATCH(RIGHT($B163,13)&amp;"|"&amp;$C163&amp;"|"&amp;$D163&amp;"|"&amp;S$14&amp;"|"&amp;"CY2022Q4",Spectrum!$R:$R,0)),0),""))</f>
        <v>1778</v>
      </c>
      <c r="T163" s="39" t="n">
        <f aca="false">IF(LEFT($B163,4)="_Mil","",_xlfn.IFNA(ROUND(INDEX(Spectrum!$N:$N,MATCH(RIGHT($B163,13)&amp;"|"&amp;$C163&amp;"|"&amp;$D163&amp;"|"&amp;T$14&amp;"|"&amp;"CY2023Q3",Spectrum!$R:$R,0)),0),""))</f>
        <v>1936</v>
      </c>
      <c r="U163" s="39" t="str">
        <f aca="false">IF(LEFT($B163,4)="_Mil","",_xlfn.IFNA(ROUND(INDEX(Spectrum!$N:$N,MATCH(RIGHT($B163,13)&amp;"|"&amp;$C163&amp;"|"&amp;$D163&amp;"|"&amp;U$14&amp;"|"&amp;"CY2023Q3",Spectrum!$R:$R,0)),0),""))</f>
        <v/>
      </c>
      <c r="V163" s="10" t="n">
        <f aca="false">IF(LEFT($B163,4)="_Mil","",_xlfn.IFNA(ROUND(INDEX(Spectrum!$N:$N,MATCH(RIGHT($B163,13)&amp;"|"&amp;$C163&amp;"|"&amp;$D163&amp;"|"&amp;V$14&amp;"|"&amp;"CY2023Q3",Spectrum!$R:$R,0)),0),""))</f>
        <v>1756</v>
      </c>
      <c r="W163" s="113" t="n">
        <f aca="false">IF(LEFT($B163,4)="_Mil","",_xlfn.IFNA(INDEX(Spectrum!$N:$N,MATCH(RIGHT($B163,13)&amp;"|"&amp;$C163&amp;"|"&amp;$D163&amp;"|"&amp;W$14&amp;"|"&amp;"CY2023Q3",Spectrum!$R:$R,0)),""))</f>
        <v>771</v>
      </c>
      <c r="X163" s="39" t="n">
        <f aca="false">IF(LEFT($B163,4)="_Mil","",_xlfn.IFNA(ROUND(INDEX(Spectrum!$N:$N,MATCH(RIGHT($B163,13)&amp;"|"&amp;$C163&amp;"|"&amp;$D163&amp;"|"&amp;X$14&amp;"|"&amp;"CY2023Q3",Spectrum!$R:$R,0)),0),""))</f>
        <v>1850</v>
      </c>
      <c r="Y163" s="88" t="str">
        <f aca="false">IF(OR(SUM($U163)=0,LEFT($B163,4)="_Mil"),"",SUM($X163)/$U163)</f>
        <v/>
      </c>
      <c r="Z163" s="39" t="n">
        <f aca="false">IF(LEFT($B163,4)="_Mil","",_xlfn.IFNA(ROUND(INDEX(Spectrum!$N:$N,MATCH(RIGHT($B163,13)&amp;"|"&amp;$C163&amp;"|"&amp;$D163&amp;"|"&amp;Z$14&amp;"|"&amp;"CY2023Q3",Spectrum!$R:$R,0)),0),""))</f>
        <v>1268</v>
      </c>
      <c r="AA163" s="88" t="n">
        <f aca="false">IF(LEFT($B163,4)="_Mil","",IFERROR(1/(1/INDEX(Spectrum!$N:$N,MATCH(RIGHT($B163,13)&amp;"|"&amp;$C163&amp;"|"&amp;$D163&amp;"|"&amp;AA$14&amp;"|"&amp;"CY2023Q3",Spectrum!$R:$R,0))),IF(SUM($U163)=0,"",SUM($Z163)/$U163)))</f>
        <v>739</v>
      </c>
      <c r="AB163" s="88" t="n">
        <f aca="false">IF(OR(LEFT($B163,4)="_Mil",SUM($X163)=0),"",SUM($Z163)/$X163)</f>
        <v>0.685405405405405</v>
      </c>
      <c r="AC163" s="10" t="n">
        <f aca="false">IF(LEFT($B163,4)="_Mil","",_xlfn.IFNA(ROUND(INDEX(Spectrum!$N:$N,MATCH(RIGHT($B163,13)&amp;"|"&amp;$C163&amp;"|"&amp;$D163&amp;"|"&amp;AC$14&amp;"|"&amp;"CY2023Q3",Spectrum!$R:$R,0)),0),""))</f>
        <v>1075</v>
      </c>
      <c r="AD163" s="10" t="str">
        <f aca="false">IF(LEFT($B163,4)="_Mil","",_xlfn.IFNA(ROUND(INDEX(Spectrum!$N:$N,MATCH(RIGHT($B163,13)&amp;"|"&amp;$C163&amp;"|"&amp;$D163&amp;"|"&amp;AD$14&amp;"|"&amp;"CY2023Q3",Spectrum!$R:$R,0)),0),""))</f>
        <v/>
      </c>
      <c r="AE163" s="88" t="n">
        <f aca="false">IF(OR(LEFT($B163,4)="_Mil",SUM($Z163)=0),"",SUM($AD163)/$Z163)</f>
        <v>0</v>
      </c>
      <c r="AF163" s="39" t="str">
        <f aca="false">IF(LEFT($B163,4)="_Mil","",_xlfn.IFNA(ROUND(INDEX(Spectrum!$N:$N,MATCH(RIGHT($B163,13)&amp;"|"&amp;$C163&amp;"|"&amp;$D163&amp;"|"&amp;AF$14&amp;"|"&amp;"CY2023Q3",Spectrum!$R:$R,0)),0),""))</f>
        <v/>
      </c>
      <c r="AG163" s="88" t="str">
        <f aca="false">IF(OR(LEFT($B163,4)="_Mil",SUM($AD163)=0),"",SUM($AF163)/$AD163)</f>
        <v/>
      </c>
      <c r="AH163" s="86" t="str">
        <f aca="false">IF(LEFT($B163,4)="_Mil","",_xlfn.IFNA(INDEX(Spectrum!$N:$N,MATCH(RIGHT($B163,13)&amp;"|"&amp;$C163&amp;"|"&amp;$D163&amp;"|"&amp;AH$14&amp;"|"&amp;"CY2023Q3",Spectrum!$R:$R,0)),""))</f>
        <v/>
      </c>
      <c r="AI163" s="10" t="str">
        <f aca="false">IF(LEFT($B163,4)="_Mil","",_xlfn.IFNA(ROUND(INDEX(Spectrum!$N:$N,MATCH(RIGHT($B163,13)&amp;"|"&amp;$C163&amp;"|"&amp;$D163&amp;"|"&amp;AI$14&amp;"|"&amp;"CY2023Q3",Spectrum!$R:$R,0)),0),""))</f>
        <v/>
      </c>
      <c r="AJ163" s="39" t="n">
        <f aca="false">IF(LEFT($B163,4)="_Mil","",_xlfn.IFNA(ROUND(INDEX(Spectrum!$N:$N,MATCH(RIGHT($B163,13)&amp;"|"&amp;$C163&amp;"|"&amp;$D163&amp;"|"&amp;AI$14&amp;"|"&amp;"CY2023Q3",Spectrum!$R:$R,0)),0),SUM($U163)+SUM($AI163)))</f>
        <v>0</v>
      </c>
      <c r="AK163" s="10" t="str">
        <f aca="false">IF(LEFT($B163,4)="_Mil","",_xlfn.IFNA(ROUND(INDEX(Spectrum!$N:$N,MATCH(RIGHT($B163,13)&amp;"|"&amp;$C163&amp;"|"&amp;$D163&amp;"|"&amp;AK$14&amp;"|"&amp;"CY2023Q3",Spectrum!$R:$R,0)),0),""))</f>
        <v/>
      </c>
      <c r="AL163" s="88" t="n">
        <f aca="false">IF(OR(LEFT($B163,4)="_Mil",$C163="&lt;01"),"",MAX(SUM($AA163),90%))</f>
        <v>739</v>
      </c>
      <c r="AM163" s="10" t="n">
        <f aca="false">IF(OR(LEFT($B163,4)="_Mil",$C163="&lt;01"),"",ROUND(SUM($AJ163)*SUM($AL163),0))</f>
        <v>0</v>
      </c>
      <c r="AN163" s="10" t="str">
        <f aca="false">IF($C163="&lt;01",ROUND(INDEX(EID!$P:$P,MATCH($B163,EID!$B:$B,0))/2,0),"")</f>
        <v/>
      </c>
      <c r="AO163" s="10" t="n">
        <f aca="false">IF($C163="&lt;01",SUM($AN163),ROUND(SUM($AM163)*SUM($O163)/IF(SUM($Z163)=0,1,$Z163),0))</f>
        <v>0</v>
      </c>
      <c r="AP163" s="39" t="n">
        <f aca="false">IF(OR($F163="",$C163="&lt;01"),$AO163,$F163)</f>
        <v>0</v>
      </c>
      <c r="AQ163" s="39" t="n">
        <f aca="false">IF(LEFT($B163,4)="_Mil","",IF(SUM($AP163)=0,SUM($Z163),IF(OR(SUM($Z163)=0,SUM($O163)=0),MAX($AP163,$Z163),$AP163*$Z163/$O163)))</f>
        <v>1268</v>
      </c>
      <c r="AR163" s="88" t="str">
        <f aca="false">IF(OR(LEFT($B163,4)="_Mil",SUM($AJ163)=0),"",SUM($AQ163)/$AJ163)</f>
        <v/>
      </c>
      <c r="AS163" s="88" t="n">
        <f aca="false">IF($C163="&lt;01","",98%)</f>
        <v>0.98</v>
      </c>
      <c r="AT163" s="88" t="n">
        <f aca="false">IF($C163="&lt;01","",98%)</f>
        <v>0.98</v>
      </c>
      <c r="AU163" s="10" t="n">
        <f aca="false">IF($C163="&lt;01","",SUM($AP163)-SUM($O163))</f>
        <v>0</v>
      </c>
      <c r="AV163" s="10" t="n">
        <f aca="false">IF($C163="&lt;01",ROUND(INDEX(EID!$N:$N,MATCH($B163,EID!$B:$B,0))/2,0),IF(SUM($AT163)=0,"",ROUND((SUM($AP163)-(SUM($O163)*SUM($AS163)))/$AT163,0)))</f>
        <v>0</v>
      </c>
      <c r="AW163" s="88" t="n">
        <f aca="false">IF($C163="&lt;01","",100%)</f>
        <v>1</v>
      </c>
      <c r="AX163" s="39" t="n">
        <f aca="false">IF($C163="&lt;01",SUM($AV163),ROUND(SUM($AV163)*SUM($AW163),0))</f>
        <v>0</v>
      </c>
      <c r="AY163" s="114" t="n">
        <f aca="false">IF($C163="&lt;01","",70%)</f>
        <v>0.7</v>
      </c>
      <c r="AZ163" s="91" t="n">
        <f aca="false">IF($C163="&lt;01",ROUND(INDEX(EID!$R:$R,MATCH($B163,EID!$B:$B,0))/2,0),ROUND(SUM($O163)+(SUM($AV163)*$AY163),0))</f>
        <v>0</v>
      </c>
      <c r="BA163" s="87" t="n">
        <f aca="false">IF($C163="&lt;01","",95%)</f>
        <v>0.95</v>
      </c>
      <c r="BB163" s="5" t="n">
        <f aca="false">IF($C163="&lt;01",ROUND(INDEX(EID!$T:$T,MATCH($B163,EID!$B:$B,0))/2,0),ROUND($AZ163*$BA163,0))</f>
        <v>0</v>
      </c>
      <c r="BC163" s="91" t="n">
        <f aca="false">IF(LEFT($B163,4)="_Mil","",IF(SUM($BB163)=0,SUM($AD163),IF(OR(SUM($AP163)=0,SUM($AQ163)=0),MAX($BB163,$AD163),ROUND($BB163*$AQ163/$AP163,0))))</f>
        <v>0</v>
      </c>
      <c r="BD163" s="88" t="n">
        <f aca="false">IF($C163="&lt;01","",95%)</f>
        <v>0.95</v>
      </c>
      <c r="BE163" s="39" t="n">
        <f aca="false">IF($C163="&lt;01",ROUND(INDEX(EID!$V:$V,MATCH($B163,EID!$B:$B,0))/2,0),ROUND($BD163*$BB163,0))</f>
        <v>0</v>
      </c>
      <c r="BF163" s="39" t="n">
        <f aca="false">IF(LEFT($B163,4)="_Mil","",IF(SUM($BE163)=0,SUM($AF163),IF(OR(SUM($AP163)=0,SUM($AQ163)=0),MAX($BE163,$AF163),ROUND($BE163*$AQ163/$AP163,0))))</f>
        <v>0</v>
      </c>
      <c r="BG163" s="114" t="n">
        <f aca="false">IF($C163="&lt;01","",95%)</f>
        <v>0.95</v>
      </c>
      <c r="BH163" s="5" t="n">
        <f aca="false">IF($C163="&lt;01",ROUND(INDEX(EID!$L:$L,MATCH($B163,EID!$B:$B,0)),0)/2,IF(SUM($BG163)=0,"",ROUND($AX163/$BG163,0)))</f>
        <v>0</v>
      </c>
    </row>
    <row r="164" customFormat="false" ht="15" hidden="false" customHeight="false" outlineLevel="0" collapsed="false">
      <c r="A164" s="0" t="str">
        <f aca="false">INDEX(Prioritization!$D:$D,MATCH($B164,Prioritization!$A:$A,0))</f>
        <v>1 - Scale-up: Saturation</v>
      </c>
      <c r="B164" s="0" t="s">
        <v>204</v>
      </c>
      <c r="C164" s="0" t="s">
        <v>366</v>
      </c>
      <c r="D164" s="0" t="s">
        <v>48</v>
      </c>
      <c r="E164" s="0" t="str">
        <f aca="false">$B164&amp;"|"&amp;$C164&amp;"|"&amp;$D164</f>
        <v>Chitipa District [GkIwZrXy1h2]|25-34|Male</v>
      </c>
      <c r="F164" s="10"/>
      <c r="G164" s="10"/>
      <c r="H164" s="10"/>
      <c r="I164" s="10"/>
      <c r="J164" s="10"/>
      <c r="K164" s="10"/>
      <c r="L164" s="10"/>
      <c r="M164" s="10"/>
      <c r="N164" s="10"/>
      <c r="O164" s="10" t="str">
        <f aca="false">IFERROR(1/(1/MAX($I164,$N164)),"")</f>
        <v/>
      </c>
      <c r="P164" s="10"/>
      <c r="Q164" s="10"/>
      <c r="R164" s="10" t="str">
        <f aca="false">IF(AND(SUM($I164)=0,SUM($O164)=0),"",SUM($O164)-$I164)</f>
        <v/>
      </c>
      <c r="S164" s="10" t="n">
        <f aca="false">IF(LEFT($B164,4)="_Mil","",_xlfn.IFNA(ROUND(INDEX(Spectrum!$N:$N,MATCH(RIGHT($B164,13)&amp;"|"&amp;$C164&amp;"|"&amp;$D164&amp;"|"&amp;S$14&amp;"|"&amp;"CY2022Q4",Spectrum!$R:$R,0)),0),""))</f>
        <v>1077</v>
      </c>
      <c r="T164" s="39" t="n">
        <f aca="false">IF(LEFT($B164,4)="_Mil","",_xlfn.IFNA(ROUND(INDEX(Spectrum!$N:$N,MATCH(RIGHT($B164,13)&amp;"|"&amp;$C164&amp;"|"&amp;$D164&amp;"|"&amp;T$14&amp;"|"&amp;"CY2023Q3",Spectrum!$R:$R,0)),0),""))</f>
        <v>638</v>
      </c>
      <c r="U164" s="39" t="str">
        <f aca="false">IF(LEFT($B164,4)="_Mil","",_xlfn.IFNA(ROUND(INDEX(Spectrum!$N:$N,MATCH(RIGHT($B164,13)&amp;"|"&amp;$C164&amp;"|"&amp;$D164&amp;"|"&amp;U$14&amp;"|"&amp;"CY2023Q3",Spectrum!$R:$R,0)),0),""))</f>
        <v/>
      </c>
      <c r="V164" s="10" t="n">
        <f aca="false">IF(LEFT($B164,4)="_Mil","",_xlfn.IFNA(ROUND(INDEX(Spectrum!$N:$N,MATCH(RIGHT($B164,13)&amp;"|"&amp;$C164&amp;"|"&amp;$D164&amp;"|"&amp;V$14&amp;"|"&amp;"CY2023Q3",Spectrum!$R:$R,0)),0),""))</f>
        <v>1060</v>
      </c>
      <c r="W164" s="113" t="n">
        <f aca="false">IF(LEFT($B164,4)="_Mil","",_xlfn.IFNA(INDEX(Spectrum!$N:$N,MATCH(RIGHT($B164,13)&amp;"|"&amp;$C164&amp;"|"&amp;$D164&amp;"|"&amp;W$14&amp;"|"&amp;"CY2023Q3",Spectrum!$R:$R,0)),""))</f>
        <v>838</v>
      </c>
      <c r="X164" s="39" t="n">
        <f aca="false">IF(LEFT($B164,4)="_Mil","",_xlfn.IFNA(ROUND(INDEX(Spectrum!$N:$N,MATCH(RIGHT($B164,13)&amp;"|"&amp;$C164&amp;"|"&amp;$D164&amp;"|"&amp;X$14&amp;"|"&amp;"CY2023Q3",Spectrum!$R:$R,0)),0),""))</f>
        <v>657</v>
      </c>
      <c r="Y164" s="88" t="str">
        <f aca="false">IF(OR(SUM($U164)=0,LEFT($B164,4)="_Mil"),"",SUM($X164)/$U164)</f>
        <v/>
      </c>
      <c r="Z164" s="39" t="n">
        <f aca="false">IF(LEFT($B164,4)="_Mil","",_xlfn.IFNA(ROUND(INDEX(Spectrum!$N:$N,MATCH(RIGHT($B164,13)&amp;"|"&amp;$C164&amp;"|"&amp;$D164&amp;"|"&amp;Z$14&amp;"|"&amp;"CY2023Q3",Spectrum!$R:$R,0)),0),""))</f>
        <v>1146</v>
      </c>
      <c r="AA164" s="88" t="n">
        <f aca="false">IF(LEFT($B164,4)="_Mil","",IFERROR(1/(1/INDEX(Spectrum!$N:$N,MATCH(RIGHT($B164,13)&amp;"|"&amp;$C164&amp;"|"&amp;$D164&amp;"|"&amp;AA$14&amp;"|"&amp;"CY2023Q3",Spectrum!$R:$R,0))),IF(SUM($U164)=0,"",SUM($Z164)/$U164)))</f>
        <v>647</v>
      </c>
      <c r="AB164" s="88" t="n">
        <f aca="false">IF(OR(LEFT($B164,4)="_Mil",SUM($X164)=0),"",SUM($Z164)/$X164)</f>
        <v>1.74429223744292</v>
      </c>
      <c r="AC164" s="10" t="n">
        <f aca="false">IF(LEFT($B164,4)="_Mil","",_xlfn.IFNA(ROUND(INDEX(Spectrum!$N:$N,MATCH(RIGHT($B164,13)&amp;"|"&amp;$C164&amp;"|"&amp;$D164&amp;"|"&amp;AC$14&amp;"|"&amp;"CY2023Q3",Spectrum!$R:$R,0)),0),""))</f>
        <v>1940</v>
      </c>
      <c r="AD164" s="10" t="str">
        <f aca="false">IF(LEFT($B164,4)="_Mil","",_xlfn.IFNA(ROUND(INDEX(Spectrum!$N:$N,MATCH(RIGHT($B164,13)&amp;"|"&amp;$C164&amp;"|"&amp;$D164&amp;"|"&amp;AD$14&amp;"|"&amp;"CY2023Q3",Spectrum!$R:$R,0)),0),""))</f>
        <v/>
      </c>
      <c r="AE164" s="88" t="n">
        <f aca="false">IF(OR(LEFT($B164,4)="_Mil",SUM($Z164)=0),"",SUM($AD164)/$Z164)</f>
        <v>0</v>
      </c>
      <c r="AF164" s="39" t="str">
        <f aca="false">IF(LEFT($B164,4)="_Mil","",_xlfn.IFNA(ROUND(INDEX(Spectrum!$N:$N,MATCH(RIGHT($B164,13)&amp;"|"&amp;$C164&amp;"|"&amp;$D164&amp;"|"&amp;AF$14&amp;"|"&amp;"CY2023Q3",Spectrum!$R:$R,0)),0),""))</f>
        <v/>
      </c>
      <c r="AG164" s="88" t="str">
        <f aca="false">IF(OR(LEFT($B164,4)="_Mil",SUM($AD164)=0),"",SUM($AF164)/$AD164)</f>
        <v/>
      </c>
      <c r="AH164" s="86" t="str">
        <f aca="false">IF(LEFT($B164,4)="_Mil","",_xlfn.IFNA(INDEX(Spectrum!$N:$N,MATCH(RIGHT($B164,13)&amp;"|"&amp;$C164&amp;"|"&amp;$D164&amp;"|"&amp;AH$14&amp;"|"&amp;"CY2023Q3",Spectrum!$R:$R,0)),""))</f>
        <v/>
      </c>
      <c r="AI164" s="10" t="str">
        <f aca="false">IF(LEFT($B164,4)="_Mil","",_xlfn.IFNA(ROUND(INDEX(Spectrum!$N:$N,MATCH(RIGHT($B164,13)&amp;"|"&amp;$C164&amp;"|"&amp;$D164&amp;"|"&amp;AI$14&amp;"|"&amp;"CY2023Q3",Spectrum!$R:$R,0)),0),""))</f>
        <v/>
      </c>
      <c r="AJ164" s="39" t="n">
        <f aca="false">IF(LEFT($B164,4)="_Mil","",_xlfn.IFNA(ROUND(INDEX(Spectrum!$N:$N,MATCH(RIGHT($B164,13)&amp;"|"&amp;$C164&amp;"|"&amp;$D164&amp;"|"&amp;AI$14&amp;"|"&amp;"CY2023Q3",Spectrum!$R:$R,0)),0),SUM($U164)+SUM($AI164)))</f>
        <v>0</v>
      </c>
      <c r="AK164" s="10" t="str">
        <f aca="false">IF(LEFT($B164,4)="_Mil","",_xlfn.IFNA(ROUND(INDEX(Spectrum!$N:$N,MATCH(RIGHT($B164,13)&amp;"|"&amp;$C164&amp;"|"&amp;$D164&amp;"|"&amp;AK$14&amp;"|"&amp;"CY2023Q3",Spectrum!$R:$R,0)),0),""))</f>
        <v/>
      </c>
      <c r="AL164" s="88" t="n">
        <f aca="false">IF(OR(LEFT($B164,4)="_Mil",$C164="&lt;01"),"",MAX(SUM($AA164),90%))</f>
        <v>647</v>
      </c>
      <c r="AM164" s="10" t="n">
        <f aca="false">IF(OR(LEFT($B164,4)="_Mil",$C164="&lt;01"),"",ROUND(SUM($AJ164)*SUM($AL164),0))</f>
        <v>0</v>
      </c>
      <c r="AN164" s="10" t="str">
        <f aca="false">IF($C164="&lt;01",ROUND(INDEX(EID!$P:$P,MATCH($B164,EID!$B:$B,0))/2,0),"")</f>
        <v/>
      </c>
      <c r="AO164" s="10" t="n">
        <f aca="false">IF($C164="&lt;01",SUM($AN164),ROUND(SUM($AM164)*SUM($O164)/IF(SUM($Z164)=0,1,$Z164),0))</f>
        <v>0</v>
      </c>
      <c r="AP164" s="39" t="n">
        <f aca="false">IF(OR($F164="",$C164="&lt;01"),$AO164,$F164)</f>
        <v>0</v>
      </c>
      <c r="AQ164" s="39" t="n">
        <f aca="false">IF(LEFT($B164,4)="_Mil","",IF(SUM($AP164)=0,SUM($Z164),IF(OR(SUM($Z164)=0,SUM($O164)=0),MAX($AP164,$Z164),$AP164*$Z164/$O164)))</f>
        <v>1146</v>
      </c>
      <c r="AR164" s="88" t="str">
        <f aca="false">IF(OR(LEFT($B164,4)="_Mil",SUM($AJ164)=0),"",SUM($AQ164)/$AJ164)</f>
        <v/>
      </c>
      <c r="AS164" s="88" t="n">
        <f aca="false">IF($C164="&lt;01","",98%)</f>
        <v>0.98</v>
      </c>
      <c r="AT164" s="88" t="n">
        <f aca="false">IF($C164="&lt;01","",98%)</f>
        <v>0.98</v>
      </c>
      <c r="AU164" s="10" t="n">
        <f aca="false">IF($C164="&lt;01","",SUM($AP164)-SUM($O164))</f>
        <v>0</v>
      </c>
      <c r="AV164" s="10" t="n">
        <f aca="false">IF($C164="&lt;01",ROUND(INDEX(EID!$N:$N,MATCH($B164,EID!$B:$B,0))/2,0),IF(SUM($AT164)=0,"",ROUND((SUM($AP164)-(SUM($O164)*SUM($AS164)))/$AT164,0)))</f>
        <v>0</v>
      </c>
      <c r="AW164" s="88" t="n">
        <f aca="false">IF($C164="&lt;01","",100%)</f>
        <v>1</v>
      </c>
      <c r="AX164" s="39" t="n">
        <f aca="false">IF($C164="&lt;01",SUM($AV164),ROUND(SUM($AV164)*SUM($AW164),0))</f>
        <v>0</v>
      </c>
      <c r="AY164" s="114" t="n">
        <f aca="false">IF($C164="&lt;01","",70%)</f>
        <v>0.7</v>
      </c>
      <c r="AZ164" s="91" t="n">
        <f aca="false">IF($C164="&lt;01",ROUND(INDEX(EID!$R:$R,MATCH($B164,EID!$B:$B,0))/2,0),ROUND(SUM($O164)+(SUM($AV164)*$AY164),0))</f>
        <v>0</v>
      </c>
      <c r="BA164" s="87" t="n">
        <f aca="false">IF($C164="&lt;01","",95%)</f>
        <v>0.95</v>
      </c>
      <c r="BB164" s="5" t="n">
        <f aca="false">IF($C164="&lt;01",ROUND(INDEX(EID!$T:$T,MATCH($B164,EID!$B:$B,0))/2,0),ROUND($AZ164*$BA164,0))</f>
        <v>0</v>
      </c>
      <c r="BC164" s="91" t="n">
        <f aca="false">IF(LEFT($B164,4)="_Mil","",IF(SUM($BB164)=0,SUM($AD164),IF(OR(SUM($AP164)=0,SUM($AQ164)=0),MAX($BB164,$AD164),ROUND($BB164*$AQ164/$AP164,0))))</f>
        <v>0</v>
      </c>
      <c r="BD164" s="88" t="n">
        <f aca="false">IF($C164="&lt;01","",95%)</f>
        <v>0.95</v>
      </c>
      <c r="BE164" s="39" t="n">
        <f aca="false">IF($C164="&lt;01",ROUND(INDEX(EID!$V:$V,MATCH($B164,EID!$B:$B,0))/2,0),ROUND($BD164*$BB164,0))</f>
        <v>0</v>
      </c>
      <c r="BF164" s="39" t="n">
        <f aca="false">IF(LEFT($B164,4)="_Mil","",IF(SUM($BE164)=0,SUM($AF164),IF(OR(SUM($AP164)=0,SUM($AQ164)=0),MAX($BE164,$AF164),ROUND($BE164*$AQ164/$AP164,0))))</f>
        <v>0</v>
      </c>
      <c r="BG164" s="114" t="n">
        <f aca="false">IF($C164="&lt;01","",95%)</f>
        <v>0.95</v>
      </c>
      <c r="BH164" s="5" t="n">
        <f aca="false">IF($C164="&lt;01",ROUND(INDEX(EID!$L:$L,MATCH($B164,EID!$B:$B,0)),0)/2,IF(SUM($BG164)=0,"",ROUND($AX164/$BG164,0)))</f>
        <v>0</v>
      </c>
    </row>
    <row r="165" customFormat="false" ht="15" hidden="false" customHeight="false" outlineLevel="0" collapsed="false">
      <c r="A165" s="0" t="str">
        <f aca="false">INDEX(Prioritization!$D:$D,MATCH($B165,Prioritization!$A:$A,0))</f>
        <v>1 - Scale-up: Saturation</v>
      </c>
      <c r="B165" s="0" t="s">
        <v>204</v>
      </c>
      <c r="C165" s="0" t="s">
        <v>367</v>
      </c>
      <c r="D165" s="0" t="s">
        <v>30</v>
      </c>
      <c r="E165" s="0" t="str">
        <f aca="false">$B165&amp;"|"&amp;$C165&amp;"|"&amp;$D165</f>
        <v>Chitipa District [GkIwZrXy1h2]|35-49|Female</v>
      </c>
      <c r="F165" s="10"/>
      <c r="G165" s="10"/>
      <c r="H165" s="10"/>
      <c r="I165" s="10"/>
      <c r="J165" s="10"/>
      <c r="K165" s="10"/>
      <c r="L165" s="10"/>
      <c r="M165" s="10"/>
      <c r="N165" s="10"/>
      <c r="O165" s="10" t="str">
        <f aca="false">IFERROR(1/(1/MAX($I165,$N165)),"")</f>
        <v/>
      </c>
      <c r="P165" s="10"/>
      <c r="Q165" s="10"/>
      <c r="R165" s="10" t="str">
        <f aca="false">IF(AND(SUM($I165)=0,SUM($O165)=0),"",SUM($O165)-$I165)</f>
        <v/>
      </c>
      <c r="S165" s="10" t="n">
        <f aca="false">IF(LEFT($B165,4)="_Mil","",_xlfn.IFNA(ROUND(INDEX(Spectrum!$N:$N,MATCH(RIGHT($B165,13)&amp;"|"&amp;$C165&amp;"|"&amp;$D165&amp;"|"&amp;S$14&amp;"|"&amp;"CY2022Q4",Spectrum!$R:$R,0)),0),""))</f>
        <v>1895</v>
      </c>
      <c r="T165" s="39" t="n">
        <f aca="false">IF(LEFT($B165,4)="_Mil","",_xlfn.IFNA(ROUND(INDEX(Spectrum!$N:$N,MATCH(RIGHT($B165,13)&amp;"|"&amp;$C165&amp;"|"&amp;$D165&amp;"|"&amp;T$14&amp;"|"&amp;"CY2023Q3",Spectrum!$R:$R,0)),0),""))</f>
        <v>708</v>
      </c>
      <c r="U165" s="39" t="str">
        <f aca="false">IF(LEFT($B165,4)="_Mil","",_xlfn.IFNA(ROUND(INDEX(Spectrum!$N:$N,MATCH(RIGHT($B165,13)&amp;"|"&amp;$C165&amp;"|"&amp;$D165&amp;"|"&amp;U$14&amp;"|"&amp;"CY2023Q3",Spectrum!$R:$R,0)),0),""))</f>
        <v/>
      </c>
      <c r="V165" s="10" t="n">
        <f aca="false">IF(LEFT($B165,4)="_Mil","",_xlfn.IFNA(ROUND(INDEX(Spectrum!$N:$N,MATCH(RIGHT($B165,13)&amp;"|"&amp;$C165&amp;"|"&amp;$D165&amp;"|"&amp;V$14&amp;"|"&amp;"CY2023Q3",Spectrum!$R:$R,0)),0),""))</f>
        <v>1888</v>
      </c>
      <c r="W165" s="113" t="n">
        <f aca="false">IF(LEFT($B165,4)="_Mil","",_xlfn.IFNA(INDEX(Spectrum!$N:$N,MATCH(RIGHT($B165,13)&amp;"|"&amp;$C165&amp;"|"&amp;$D165&amp;"|"&amp;W$14&amp;"|"&amp;"CY2023Q3",Spectrum!$R:$R,0)),""))</f>
        <v>1179</v>
      </c>
      <c r="X165" s="39" t="n">
        <f aca="false">IF(LEFT($B165,4)="_Mil","",_xlfn.IFNA(ROUND(INDEX(Spectrum!$N:$N,MATCH(RIGHT($B165,13)&amp;"|"&amp;$C165&amp;"|"&amp;$D165&amp;"|"&amp;X$14&amp;"|"&amp;"CY2023Q3",Spectrum!$R:$R,0)),0),""))</f>
        <v>1359</v>
      </c>
      <c r="Y165" s="88" t="str">
        <f aca="false">IF(OR(SUM($U165)=0,LEFT($B165,4)="_Mil"),"",SUM($X165)/$U165)</f>
        <v/>
      </c>
      <c r="Z165" s="39" t="n">
        <f aca="false">IF(LEFT($B165,4)="_Mil","",_xlfn.IFNA(ROUND(INDEX(Spectrum!$N:$N,MATCH(RIGHT($B165,13)&amp;"|"&amp;$C165&amp;"|"&amp;$D165&amp;"|"&amp;Z$14&amp;"|"&amp;"CY2023Q3",Spectrum!$R:$R,0)),0),""))</f>
        <v>786</v>
      </c>
      <c r="AA165" s="88" t="n">
        <f aca="false">IF(LEFT($B165,4)="_Mil","",IFERROR(1/(1/INDEX(Spectrum!$N:$N,MATCH(RIGHT($B165,13)&amp;"|"&amp;$C165&amp;"|"&amp;$D165&amp;"|"&amp;AA$14&amp;"|"&amp;"CY2023Q3",Spectrum!$R:$R,0))),IF(SUM($U165)=0,"",SUM($Z165)/$U165)))</f>
        <v>1516</v>
      </c>
      <c r="AB165" s="88" t="n">
        <f aca="false">IF(OR(LEFT($B165,4)="_Mil",SUM($X165)=0),"",SUM($Z165)/$X165)</f>
        <v>0.578366445916115</v>
      </c>
      <c r="AC165" s="10" t="n">
        <f aca="false">IF(LEFT($B165,4)="_Mil","",_xlfn.IFNA(ROUND(INDEX(Spectrum!$N:$N,MATCH(RIGHT($B165,13)&amp;"|"&amp;$C165&amp;"|"&amp;$D165&amp;"|"&amp;AC$14&amp;"|"&amp;"CY2023Q3",Spectrum!$R:$R,0)),0),""))</f>
        <v>1897</v>
      </c>
      <c r="AD165" s="10" t="str">
        <f aca="false">IF(LEFT($B165,4)="_Mil","",_xlfn.IFNA(ROUND(INDEX(Spectrum!$N:$N,MATCH(RIGHT($B165,13)&amp;"|"&amp;$C165&amp;"|"&amp;$D165&amp;"|"&amp;AD$14&amp;"|"&amp;"CY2023Q3",Spectrum!$R:$R,0)),0),""))</f>
        <v/>
      </c>
      <c r="AE165" s="88" t="n">
        <f aca="false">IF(OR(LEFT($B165,4)="_Mil",SUM($Z165)=0),"",SUM($AD165)/$Z165)</f>
        <v>0</v>
      </c>
      <c r="AF165" s="39" t="str">
        <f aca="false">IF(LEFT($B165,4)="_Mil","",_xlfn.IFNA(ROUND(INDEX(Spectrum!$N:$N,MATCH(RIGHT($B165,13)&amp;"|"&amp;$C165&amp;"|"&amp;$D165&amp;"|"&amp;AF$14&amp;"|"&amp;"CY2023Q3",Spectrum!$R:$R,0)),0),""))</f>
        <v/>
      </c>
      <c r="AG165" s="88" t="str">
        <f aca="false">IF(OR(LEFT($B165,4)="_Mil",SUM($AD165)=0),"",SUM($AF165)/$AD165)</f>
        <v/>
      </c>
      <c r="AH165" s="86" t="str">
        <f aca="false">IF(LEFT($B165,4)="_Mil","",_xlfn.IFNA(INDEX(Spectrum!$N:$N,MATCH(RIGHT($B165,13)&amp;"|"&amp;$C165&amp;"|"&amp;$D165&amp;"|"&amp;AH$14&amp;"|"&amp;"CY2023Q3",Spectrum!$R:$R,0)),""))</f>
        <v/>
      </c>
      <c r="AI165" s="10" t="str">
        <f aca="false">IF(LEFT($B165,4)="_Mil","",_xlfn.IFNA(ROUND(INDEX(Spectrum!$N:$N,MATCH(RIGHT($B165,13)&amp;"|"&amp;$C165&amp;"|"&amp;$D165&amp;"|"&amp;AI$14&amp;"|"&amp;"CY2023Q3",Spectrum!$R:$R,0)),0),""))</f>
        <v/>
      </c>
      <c r="AJ165" s="39" t="n">
        <f aca="false">IF(LEFT($B165,4)="_Mil","",_xlfn.IFNA(ROUND(INDEX(Spectrum!$N:$N,MATCH(RIGHT($B165,13)&amp;"|"&amp;$C165&amp;"|"&amp;$D165&amp;"|"&amp;AI$14&amp;"|"&amp;"CY2023Q3",Spectrum!$R:$R,0)),0),SUM($U165)+SUM($AI165)))</f>
        <v>0</v>
      </c>
      <c r="AK165" s="10" t="str">
        <f aca="false">IF(LEFT($B165,4)="_Mil","",_xlfn.IFNA(ROUND(INDEX(Spectrum!$N:$N,MATCH(RIGHT($B165,13)&amp;"|"&amp;$C165&amp;"|"&amp;$D165&amp;"|"&amp;AK$14&amp;"|"&amp;"CY2023Q3",Spectrum!$R:$R,0)),0),""))</f>
        <v/>
      </c>
      <c r="AL165" s="88" t="n">
        <f aca="false">IF(OR(LEFT($B165,4)="_Mil",$C165="&lt;01"),"",MAX(SUM($AA165),90%))</f>
        <v>1516</v>
      </c>
      <c r="AM165" s="10" t="n">
        <f aca="false">IF(OR(LEFT($B165,4)="_Mil",$C165="&lt;01"),"",ROUND(SUM($AJ165)*SUM($AL165),0))</f>
        <v>0</v>
      </c>
      <c r="AN165" s="10" t="str">
        <f aca="false">IF($C165="&lt;01",ROUND(INDEX(EID!$P:$P,MATCH($B165,EID!$B:$B,0))/2,0),"")</f>
        <v/>
      </c>
      <c r="AO165" s="10" t="n">
        <f aca="false">IF($C165="&lt;01",SUM($AN165),ROUND(SUM($AM165)*SUM($O165)/IF(SUM($Z165)=0,1,$Z165),0))</f>
        <v>0</v>
      </c>
      <c r="AP165" s="39" t="n">
        <f aca="false">IF(OR($F165="",$C165="&lt;01"),$AO165,$F165)</f>
        <v>0</v>
      </c>
      <c r="AQ165" s="39" t="n">
        <f aca="false">IF(LEFT($B165,4)="_Mil","",IF(SUM($AP165)=0,SUM($Z165),IF(OR(SUM($Z165)=0,SUM($O165)=0),MAX($AP165,$Z165),$AP165*$Z165/$O165)))</f>
        <v>786</v>
      </c>
      <c r="AR165" s="88" t="str">
        <f aca="false">IF(OR(LEFT($B165,4)="_Mil",SUM($AJ165)=0),"",SUM($AQ165)/$AJ165)</f>
        <v/>
      </c>
      <c r="AS165" s="88" t="n">
        <f aca="false">IF($C165="&lt;01","",98%)</f>
        <v>0.98</v>
      </c>
      <c r="AT165" s="88" t="n">
        <f aca="false">IF($C165="&lt;01","",98%)</f>
        <v>0.98</v>
      </c>
      <c r="AU165" s="10" t="n">
        <f aca="false">IF($C165="&lt;01","",SUM($AP165)-SUM($O165))</f>
        <v>0</v>
      </c>
      <c r="AV165" s="10" t="n">
        <f aca="false">IF($C165="&lt;01",ROUND(INDEX(EID!$N:$N,MATCH($B165,EID!$B:$B,0))/2,0),IF(SUM($AT165)=0,"",ROUND((SUM($AP165)-(SUM($O165)*SUM($AS165)))/$AT165,0)))</f>
        <v>0</v>
      </c>
      <c r="AW165" s="88" t="n">
        <f aca="false">IF($C165="&lt;01","",100%)</f>
        <v>1</v>
      </c>
      <c r="AX165" s="39" t="n">
        <f aca="false">IF($C165="&lt;01",SUM($AV165),ROUND(SUM($AV165)*SUM($AW165),0))</f>
        <v>0</v>
      </c>
      <c r="AY165" s="114" t="n">
        <f aca="false">IF($C165="&lt;01","",70%)</f>
        <v>0.7</v>
      </c>
      <c r="AZ165" s="91" t="n">
        <f aca="false">IF($C165="&lt;01",ROUND(INDEX(EID!$R:$R,MATCH($B165,EID!$B:$B,0))/2,0),ROUND(SUM($O165)+(SUM($AV165)*$AY165),0))</f>
        <v>0</v>
      </c>
      <c r="BA165" s="87" t="n">
        <f aca="false">IF($C165="&lt;01","",95%)</f>
        <v>0.95</v>
      </c>
      <c r="BB165" s="5" t="n">
        <f aca="false">IF($C165="&lt;01",ROUND(INDEX(EID!$T:$T,MATCH($B165,EID!$B:$B,0))/2,0),ROUND($AZ165*$BA165,0))</f>
        <v>0</v>
      </c>
      <c r="BC165" s="91" t="n">
        <f aca="false">IF(LEFT($B165,4)="_Mil","",IF(SUM($BB165)=0,SUM($AD165),IF(OR(SUM($AP165)=0,SUM($AQ165)=0),MAX($BB165,$AD165),ROUND($BB165*$AQ165/$AP165,0))))</f>
        <v>0</v>
      </c>
      <c r="BD165" s="88" t="n">
        <f aca="false">IF($C165="&lt;01","",95%)</f>
        <v>0.95</v>
      </c>
      <c r="BE165" s="39" t="n">
        <f aca="false">IF($C165="&lt;01",ROUND(INDEX(EID!$V:$V,MATCH($B165,EID!$B:$B,0))/2,0),ROUND($BD165*$BB165,0))</f>
        <v>0</v>
      </c>
      <c r="BF165" s="39" t="n">
        <f aca="false">IF(LEFT($B165,4)="_Mil","",IF(SUM($BE165)=0,SUM($AF165),IF(OR(SUM($AP165)=0,SUM($AQ165)=0),MAX($BE165,$AF165),ROUND($BE165*$AQ165/$AP165,0))))</f>
        <v>0</v>
      </c>
      <c r="BG165" s="114" t="n">
        <f aca="false">IF($C165="&lt;01","",95%)</f>
        <v>0.95</v>
      </c>
      <c r="BH165" s="5" t="n">
        <f aca="false">IF($C165="&lt;01",ROUND(INDEX(EID!$L:$L,MATCH($B165,EID!$B:$B,0)),0)/2,IF(SUM($BG165)=0,"",ROUND($AX165/$BG165,0)))</f>
        <v>0</v>
      </c>
    </row>
    <row r="166" customFormat="false" ht="15" hidden="false" customHeight="false" outlineLevel="0" collapsed="false">
      <c r="A166" s="0" t="str">
        <f aca="false">INDEX(Prioritization!$D:$D,MATCH($B166,Prioritization!$A:$A,0))</f>
        <v>1 - Scale-up: Saturation</v>
      </c>
      <c r="B166" s="0" t="s">
        <v>204</v>
      </c>
      <c r="C166" s="0" t="s">
        <v>367</v>
      </c>
      <c r="D166" s="0" t="s">
        <v>48</v>
      </c>
      <c r="E166" s="0" t="str">
        <f aca="false">$B166&amp;"|"&amp;$C166&amp;"|"&amp;$D166</f>
        <v>Chitipa District [GkIwZrXy1h2]|35-49|Male</v>
      </c>
      <c r="F166" s="10"/>
      <c r="G166" s="10"/>
      <c r="H166" s="10"/>
      <c r="I166" s="10"/>
      <c r="J166" s="10"/>
      <c r="K166" s="10"/>
      <c r="L166" s="10"/>
      <c r="M166" s="10"/>
      <c r="N166" s="10"/>
      <c r="O166" s="10" t="str">
        <f aca="false">IFERROR(1/(1/MAX($I166,$N166)),"")</f>
        <v/>
      </c>
      <c r="P166" s="10"/>
      <c r="Q166" s="10"/>
      <c r="R166" s="10" t="str">
        <f aca="false">IF(AND(SUM($I166)=0,SUM($O166)=0),"",SUM($O166)-$I166)</f>
        <v/>
      </c>
      <c r="S166" s="10" t="n">
        <f aca="false">IF(LEFT($B166,4)="_Mil","",_xlfn.IFNA(ROUND(INDEX(Spectrum!$N:$N,MATCH(RIGHT($B166,13)&amp;"|"&amp;$C166&amp;"|"&amp;$D166&amp;"|"&amp;S$14&amp;"|"&amp;"CY2022Q4",Spectrum!$R:$R,0)),0),""))</f>
        <v>1194</v>
      </c>
      <c r="T166" s="39" t="n">
        <f aca="false">IF(LEFT($B166,4)="_Mil","",_xlfn.IFNA(ROUND(INDEX(Spectrum!$N:$N,MATCH(RIGHT($B166,13)&amp;"|"&amp;$C166&amp;"|"&amp;$D166&amp;"|"&amp;T$14&amp;"|"&amp;"CY2023Q3",Spectrum!$R:$R,0)),0),""))</f>
        <v>687</v>
      </c>
      <c r="U166" s="39" t="str">
        <f aca="false">IF(LEFT($B166,4)="_Mil","",_xlfn.IFNA(ROUND(INDEX(Spectrum!$N:$N,MATCH(RIGHT($B166,13)&amp;"|"&amp;$C166&amp;"|"&amp;$D166&amp;"|"&amp;U$14&amp;"|"&amp;"CY2023Q3",Spectrum!$R:$R,0)),0),""))</f>
        <v/>
      </c>
      <c r="V166" s="10" t="n">
        <f aca="false">IF(LEFT($B166,4)="_Mil","",_xlfn.IFNA(ROUND(INDEX(Spectrum!$N:$N,MATCH(RIGHT($B166,13)&amp;"|"&amp;$C166&amp;"|"&amp;$D166&amp;"|"&amp;V$14&amp;"|"&amp;"CY2023Q3",Spectrum!$R:$R,0)),0),""))</f>
        <v>1221</v>
      </c>
      <c r="W166" s="113" t="n">
        <f aca="false">IF(LEFT($B166,4)="_Mil","",_xlfn.IFNA(INDEX(Spectrum!$N:$N,MATCH(RIGHT($B166,13)&amp;"|"&amp;$C166&amp;"|"&amp;$D166&amp;"|"&amp;W$14&amp;"|"&amp;"CY2023Q3",Spectrum!$R:$R,0)),""))</f>
        <v>987</v>
      </c>
      <c r="X166" s="39" t="n">
        <f aca="false">IF(LEFT($B166,4)="_Mil","",_xlfn.IFNA(ROUND(INDEX(Spectrum!$N:$N,MATCH(RIGHT($B166,13)&amp;"|"&amp;$C166&amp;"|"&amp;$D166&amp;"|"&amp;X$14&amp;"|"&amp;"CY2023Q3",Spectrum!$R:$R,0)),0),""))</f>
        <v>748</v>
      </c>
      <c r="Y166" s="88" t="str">
        <f aca="false">IF(OR(SUM($U166)=0,LEFT($B166,4)="_Mil"),"",SUM($X166)/$U166)</f>
        <v/>
      </c>
      <c r="Z166" s="39" t="n">
        <f aca="false">IF(LEFT($B166,4)="_Mil","",_xlfn.IFNA(ROUND(INDEX(Spectrum!$N:$N,MATCH(RIGHT($B166,13)&amp;"|"&amp;$C166&amp;"|"&amp;$D166&amp;"|"&amp;Z$14&amp;"|"&amp;"CY2023Q3",Spectrum!$R:$R,0)),0),""))</f>
        <v>1938</v>
      </c>
      <c r="AA166" s="88" t="n">
        <f aca="false">IF(LEFT($B166,4)="_Mil","",IFERROR(1/(1/INDEX(Spectrum!$N:$N,MATCH(RIGHT($B166,13)&amp;"|"&amp;$C166&amp;"|"&amp;$D166&amp;"|"&amp;AA$14&amp;"|"&amp;"CY2023Q3",Spectrum!$R:$R,0))),IF(SUM($U166)=0,"",SUM($Z166)/$U166)))</f>
        <v>1192</v>
      </c>
      <c r="AB166" s="88" t="n">
        <f aca="false">IF(OR(LEFT($B166,4)="_Mil",SUM($X166)=0),"",SUM($Z166)/$X166)</f>
        <v>2.59090909090909</v>
      </c>
      <c r="AC166" s="10" t="n">
        <f aca="false">IF(LEFT($B166,4)="_Mil","",_xlfn.IFNA(ROUND(INDEX(Spectrum!$N:$N,MATCH(RIGHT($B166,13)&amp;"|"&amp;$C166&amp;"|"&amp;$D166&amp;"|"&amp;AC$14&amp;"|"&amp;"CY2023Q3",Spectrum!$R:$R,0)),0),""))</f>
        <v>1369</v>
      </c>
      <c r="AD166" s="10" t="str">
        <f aca="false">IF(LEFT($B166,4)="_Mil","",_xlfn.IFNA(ROUND(INDEX(Spectrum!$N:$N,MATCH(RIGHT($B166,13)&amp;"|"&amp;$C166&amp;"|"&amp;$D166&amp;"|"&amp;AD$14&amp;"|"&amp;"CY2023Q3",Spectrum!$R:$R,0)),0),""))</f>
        <v/>
      </c>
      <c r="AE166" s="88" t="n">
        <f aca="false">IF(OR(LEFT($B166,4)="_Mil",SUM($Z166)=0),"",SUM($AD166)/$Z166)</f>
        <v>0</v>
      </c>
      <c r="AF166" s="39" t="str">
        <f aca="false">IF(LEFT($B166,4)="_Mil","",_xlfn.IFNA(ROUND(INDEX(Spectrum!$N:$N,MATCH(RIGHT($B166,13)&amp;"|"&amp;$C166&amp;"|"&amp;$D166&amp;"|"&amp;AF$14&amp;"|"&amp;"CY2023Q3",Spectrum!$R:$R,0)),0),""))</f>
        <v/>
      </c>
      <c r="AG166" s="88" t="str">
        <f aca="false">IF(OR(LEFT($B166,4)="_Mil",SUM($AD166)=0),"",SUM($AF166)/$AD166)</f>
        <v/>
      </c>
      <c r="AH166" s="86" t="str">
        <f aca="false">IF(LEFT($B166,4)="_Mil","",_xlfn.IFNA(INDEX(Spectrum!$N:$N,MATCH(RIGHT($B166,13)&amp;"|"&amp;$C166&amp;"|"&amp;$D166&amp;"|"&amp;AH$14&amp;"|"&amp;"CY2023Q3",Spectrum!$R:$R,0)),""))</f>
        <v/>
      </c>
      <c r="AI166" s="10" t="str">
        <f aca="false">IF(LEFT($B166,4)="_Mil","",_xlfn.IFNA(ROUND(INDEX(Spectrum!$N:$N,MATCH(RIGHT($B166,13)&amp;"|"&amp;$C166&amp;"|"&amp;$D166&amp;"|"&amp;AI$14&amp;"|"&amp;"CY2023Q3",Spectrum!$R:$R,0)),0),""))</f>
        <v/>
      </c>
      <c r="AJ166" s="39" t="n">
        <f aca="false">IF(LEFT($B166,4)="_Mil","",_xlfn.IFNA(ROUND(INDEX(Spectrum!$N:$N,MATCH(RIGHT($B166,13)&amp;"|"&amp;$C166&amp;"|"&amp;$D166&amp;"|"&amp;AI$14&amp;"|"&amp;"CY2023Q3",Spectrum!$R:$R,0)),0),SUM($U166)+SUM($AI166)))</f>
        <v>0</v>
      </c>
      <c r="AK166" s="10" t="str">
        <f aca="false">IF(LEFT($B166,4)="_Mil","",_xlfn.IFNA(ROUND(INDEX(Spectrum!$N:$N,MATCH(RIGHT($B166,13)&amp;"|"&amp;$C166&amp;"|"&amp;$D166&amp;"|"&amp;AK$14&amp;"|"&amp;"CY2023Q3",Spectrum!$R:$R,0)),0),""))</f>
        <v/>
      </c>
      <c r="AL166" s="88" t="n">
        <f aca="false">IF(OR(LEFT($B166,4)="_Mil",$C166="&lt;01"),"",MAX(SUM($AA166),90%))</f>
        <v>1192</v>
      </c>
      <c r="AM166" s="10" t="n">
        <f aca="false">IF(OR(LEFT($B166,4)="_Mil",$C166="&lt;01"),"",ROUND(SUM($AJ166)*SUM($AL166),0))</f>
        <v>0</v>
      </c>
      <c r="AN166" s="10" t="str">
        <f aca="false">IF($C166="&lt;01",ROUND(INDEX(EID!$P:$P,MATCH($B166,EID!$B:$B,0))/2,0),"")</f>
        <v/>
      </c>
      <c r="AO166" s="10" t="n">
        <f aca="false">IF($C166="&lt;01",SUM($AN166),ROUND(SUM($AM166)*SUM($O166)/IF(SUM($Z166)=0,1,$Z166),0))</f>
        <v>0</v>
      </c>
      <c r="AP166" s="39" t="n">
        <f aca="false">IF(OR($F166="",$C166="&lt;01"),$AO166,$F166)</f>
        <v>0</v>
      </c>
      <c r="AQ166" s="39" t="n">
        <f aca="false">IF(LEFT($B166,4)="_Mil","",IF(SUM($AP166)=0,SUM($Z166),IF(OR(SUM($Z166)=0,SUM($O166)=0),MAX($AP166,$Z166),$AP166*$Z166/$O166)))</f>
        <v>1938</v>
      </c>
      <c r="AR166" s="88" t="str">
        <f aca="false">IF(OR(LEFT($B166,4)="_Mil",SUM($AJ166)=0),"",SUM($AQ166)/$AJ166)</f>
        <v/>
      </c>
      <c r="AS166" s="88" t="n">
        <f aca="false">IF($C166="&lt;01","",98%)</f>
        <v>0.98</v>
      </c>
      <c r="AT166" s="88" t="n">
        <f aca="false">IF($C166="&lt;01","",98%)</f>
        <v>0.98</v>
      </c>
      <c r="AU166" s="10" t="n">
        <f aca="false">IF($C166="&lt;01","",SUM($AP166)-SUM($O166))</f>
        <v>0</v>
      </c>
      <c r="AV166" s="10" t="n">
        <f aca="false">IF($C166="&lt;01",ROUND(INDEX(EID!$N:$N,MATCH($B166,EID!$B:$B,0))/2,0),IF(SUM($AT166)=0,"",ROUND((SUM($AP166)-(SUM($O166)*SUM($AS166)))/$AT166,0)))</f>
        <v>0</v>
      </c>
      <c r="AW166" s="88" t="n">
        <f aca="false">IF($C166="&lt;01","",100%)</f>
        <v>1</v>
      </c>
      <c r="AX166" s="39" t="n">
        <f aca="false">IF($C166="&lt;01",SUM($AV166),ROUND(SUM($AV166)*SUM($AW166),0))</f>
        <v>0</v>
      </c>
      <c r="AY166" s="114" t="n">
        <f aca="false">IF($C166="&lt;01","",70%)</f>
        <v>0.7</v>
      </c>
      <c r="AZ166" s="91" t="n">
        <f aca="false">IF($C166="&lt;01",ROUND(INDEX(EID!$R:$R,MATCH($B166,EID!$B:$B,0))/2,0),ROUND(SUM($O166)+(SUM($AV166)*$AY166),0))</f>
        <v>0</v>
      </c>
      <c r="BA166" s="87" t="n">
        <f aca="false">IF($C166="&lt;01","",95%)</f>
        <v>0.95</v>
      </c>
      <c r="BB166" s="5" t="n">
        <f aca="false">IF($C166="&lt;01",ROUND(INDEX(EID!$T:$T,MATCH($B166,EID!$B:$B,0))/2,0),ROUND($AZ166*$BA166,0))</f>
        <v>0</v>
      </c>
      <c r="BC166" s="91" t="n">
        <f aca="false">IF(LEFT($B166,4)="_Mil","",IF(SUM($BB166)=0,SUM($AD166),IF(OR(SUM($AP166)=0,SUM($AQ166)=0),MAX($BB166,$AD166),ROUND($BB166*$AQ166/$AP166,0))))</f>
        <v>0</v>
      </c>
      <c r="BD166" s="88" t="n">
        <f aca="false">IF($C166="&lt;01","",95%)</f>
        <v>0.95</v>
      </c>
      <c r="BE166" s="39" t="n">
        <f aca="false">IF($C166="&lt;01",ROUND(INDEX(EID!$V:$V,MATCH($B166,EID!$B:$B,0))/2,0),ROUND($BD166*$BB166,0))</f>
        <v>0</v>
      </c>
      <c r="BF166" s="39" t="n">
        <f aca="false">IF(LEFT($B166,4)="_Mil","",IF(SUM($BE166)=0,SUM($AF166),IF(OR(SUM($AP166)=0,SUM($AQ166)=0),MAX($BE166,$AF166),ROUND($BE166*$AQ166/$AP166,0))))</f>
        <v>0</v>
      </c>
      <c r="BG166" s="114" t="n">
        <f aca="false">IF($C166="&lt;01","",95%)</f>
        <v>0.95</v>
      </c>
      <c r="BH166" s="5" t="n">
        <f aca="false">IF($C166="&lt;01",ROUND(INDEX(EID!$L:$L,MATCH($B166,EID!$B:$B,0)),0)/2,IF(SUM($BG166)=0,"",ROUND($AX166/$BG166,0)))</f>
        <v>0</v>
      </c>
    </row>
    <row r="167" customFormat="false" ht="15" hidden="false" customHeight="false" outlineLevel="0" collapsed="false">
      <c r="A167" s="0" t="str">
        <f aca="false">INDEX(Prioritization!$D:$D,MATCH($B167,Prioritization!$A:$A,0))</f>
        <v>1 - Scale-up: Saturation</v>
      </c>
      <c r="B167" s="0" t="s">
        <v>204</v>
      </c>
      <c r="C167" s="0" t="s">
        <v>368</v>
      </c>
      <c r="D167" s="0" t="s">
        <v>30</v>
      </c>
      <c r="E167" s="0" t="str">
        <f aca="false">$B167&amp;"|"&amp;$C167&amp;"|"&amp;$D167</f>
        <v>Chitipa District [GkIwZrXy1h2]|50+|Female</v>
      </c>
      <c r="F167" s="10"/>
      <c r="G167" s="10"/>
      <c r="H167" s="10"/>
      <c r="I167" s="10"/>
      <c r="J167" s="10"/>
      <c r="K167" s="10"/>
      <c r="L167" s="10"/>
      <c r="M167" s="10"/>
      <c r="N167" s="10"/>
      <c r="O167" s="10" t="str">
        <f aca="false">IFERROR(1/(1/MAX($I167,$N167)),"")</f>
        <v/>
      </c>
      <c r="P167" s="10"/>
      <c r="Q167" s="10"/>
      <c r="R167" s="10" t="str">
        <f aca="false">IF(AND(SUM($I167)=0,SUM($O167)=0),"",SUM($O167)-$I167)</f>
        <v/>
      </c>
      <c r="S167" s="10" t="n">
        <f aca="false">IF(LEFT($B167,4)="_Mil","",_xlfn.IFNA(ROUND(INDEX(Spectrum!$N:$N,MATCH(RIGHT($B167,13)&amp;"|"&amp;$C167&amp;"|"&amp;$D167&amp;"|"&amp;S$14&amp;"|"&amp;"CY2022Q4",Spectrum!$R:$R,0)),0),""))</f>
        <v>1853</v>
      </c>
      <c r="T167" s="39" t="n">
        <f aca="false">IF(LEFT($B167,4)="_Mil","",_xlfn.IFNA(ROUND(INDEX(Spectrum!$N:$N,MATCH(RIGHT($B167,13)&amp;"|"&amp;$C167&amp;"|"&amp;$D167&amp;"|"&amp;T$14&amp;"|"&amp;"CY2023Q3",Spectrum!$R:$R,0)),0),""))</f>
        <v>1175</v>
      </c>
      <c r="U167" s="39" t="str">
        <f aca="false">IF(LEFT($B167,4)="_Mil","",_xlfn.IFNA(ROUND(INDEX(Spectrum!$N:$N,MATCH(RIGHT($B167,13)&amp;"|"&amp;$C167&amp;"|"&amp;$D167&amp;"|"&amp;U$14&amp;"|"&amp;"CY2023Q3",Spectrum!$R:$R,0)),0),""))</f>
        <v/>
      </c>
      <c r="V167" s="10" t="n">
        <f aca="false">IF(LEFT($B167,4)="_Mil","",_xlfn.IFNA(ROUND(INDEX(Spectrum!$N:$N,MATCH(RIGHT($B167,13)&amp;"|"&amp;$C167&amp;"|"&amp;$D167&amp;"|"&amp;V$14&amp;"|"&amp;"CY2023Q3",Spectrum!$R:$R,0)),0),""))</f>
        <v>971</v>
      </c>
      <c r="W167" s="113" t="n">
        <f aca="false">IF(LEFT($B167,4)="_Mil","",_xlfn.IFNA(INDEX(Spectrum!$N:$N,MATCH(RIGHT($B167,13)&amp;"|"&amp;$C167&amp;"|"&amp;$D167&amp;"|"&amp;W$14&amp;"|"&amp;"CY2023Q3",Spectrum!$R:$R,0)),""))</f>
        <v>1183</v>
      </c>
      <c r="X167" s="39" t="n">
        <f aca="false">IF(LEFT($B167,4)="_Mil","",_xlfn.IFNA(ROUND(INDEX(Spectrum!$N:$N,MATCH(RIGHT($B167,13)&amp;"|"&amp;$C167&amp;"|"&amp;$D167&amp;"|"&amp;X$14&amp;"|"&amp;"CY2023Q3",Spectrum!$R:$R,0)),0),""))</f>
        <v>674</v>
      </c>
      <c r="Y167" s="88" t="str">
        <f aca="false">IF(OR(SUM($U167)=0,LEFT($B167,4)="_Mil"),"",SUM($X167)/$U167)</f>
        <v/>
      </c>
      <c r="Z167" s="39" t="n">
        <f aca="false">IF(LEFT($B167,4)="_Mil","",_xlfn.IFNA(ROUND(INDEX(Spectrum!$N:$N,MATCH(RIGHT($B167,13)&amp;"|"&amp;$C167&amp;"|"&amp;$D167&amp;"|"&amp;Z$14&amp;"|"&amp;"CY2023Q3",Spectrum!$R:$R,0)),0),""))</f>
        <v>1050</v>
      </c>
      <c r="AA167" s="88" t="n">
        <f aca="false">IF(LEFT($B167,4)="_Mil","",IFERROR(1/(1/INDEX(Spectrum!$N:$N,MATCH(RIGHT($B167,13)&amp;"|"&amp;$C167&amp;"|"&amp;$D167&amp;"|"&amp;AA$14&amp;"|"&amp;"CY2023Q3",Spectrum!$R:$R,0))),IF(SUM($U167)=0,"",SUM($Z167)/$U167)))</f>
        <v>868</v>
      </c>
      <c r="AB167" s="88" t="n">
        <f aca="false">IF(OR(LEFT($B167,4)="_Mil",SUM($X167)=0),"",SUM($Z167)/$X167)</f>
        <v>1.55786350148368</v>
      </c>
      <c r="AC167" s="10" t="n">
        <f aca="false">IF(LEFT($B167,4)="_Mil","",_xlfn.IFNA(ROUND(INDEX(Spectrum!$N:$N,MATCH(RIGHT($B167,13)&amp;"|"&amp;$C167&amp;"|"&amp;$D167&amp;"|"&amp;AC$14&amp;"|"&amp;"CY2023Q3",Spectrum!$R:$R,0)),0),""))</f>
        <v>586</v>
      </c>
      <c r="AD167" s="10" t="str">
        <f aca="false">IF(LEFT($B167,4)="_Mil","",_xlfn.IFNA(ROUND(INDEX(Spectrum!$N:$N,MATCH(RIGHT($B167,13)&amp;"|"&amp;$C167&amp;"|"&amp;$D167&amp;"|"&amp;AD$14&amp;"|"&amp;"CY2023Q3",Spectrum!$R:$R,0)),0),""))</f>
        <v/>
      </c>
      <c r="AE167" s="88" t="n">
        <f aca="false">IF(OR(LEFT($B167,4)="_Mil",SUM($Z167)=0),"",SUM($AD167)/$Z167)</f>
        <v>0</v>
      </c>
      <c r="AF167" s="39" t="str">
        <f aca="false">IF(LEFT($B167,4)="_Mil","",_xlfn.IFNA(ROUND(INDEX(Spectrum!$N:$N,MATCH(RIGHT($B167,13)&amp;"|"&amp;$C167&amp;"|"&amp;$D167&amp;"|"&amp;AF$14&amp;"|"&amp;"CY2023Q3",Spectrum!$R:$R,0)),0),""))</f>
        <v/>
      </c>
      <c r="AG167" s="88" t="str">
        <f aca="false">IF(OR(LEFT($B167,4)="_Mil",SUM($AD167)=0),"",SUM($AF167)/$AD167)</f>
        <v/>
      </c>
      <c r="AH167" s="86" t="str">
        <f aca="false">IF(LEFT($B167,4)="_Mil","",_xlfn.IFNA(INDEX(Spectrum!$N:$N,MATCH(RIGHT($B167,13)&amp;"|"&amp;$C167&amp;"|"&amp;$D167&amp;"|"&amp;AH$14&amp;"|"&amp;"CY2023Q3",Spectrum!$R:$R,0)),""))</f>
        <v/>
      </c>
      <c r="AI167" s="10" t="str">
        <f aca="false">IF(LEFT($B167,4)="_Mil","",_xlfn.IFNA(ROUND(INDEX(Spectrum!$N:$N,MATCH(RIGHT($B167,13)&amp;"|"&amp;$C167&amp;"|"&amp;$D167&amp;"|"&amp;AI$14&amp;"|"&amp;"CY2023Q3",Spectrum!$R:$R,0)),0),""))</f>
        <v/>
      </c>
      <c r="AJ167" s="39" t="n">
        <f aca="false">IF(LEFT($B167,4)="_Mil","",_xlfn.IFNA(ROUND(INDEX(Spectrum!$N:$N,MATCH(RIGHT($B167,13)&amp;"|"&amp;$C167&amp;"|"&amp;$D167&amp;"|"&amp;AI$14&amp;"|"&amp;"CY2023Q3",Spectrum!$R:$R,0)),0),SUM($U167)+SUM($AI167)))</f>
        <v>0</v>
      </c>
      <c r="AK167" s="10" t="str">
        <f aca="false">IF(LEFT($B167,4)="_Mil","",_xlfn.IFNA(ROUND(INDEX(Spectrum!$N:$N,MATCH(RIGHT($B167,13)&amp;"|"&amp;$C167&amp;"|"&amp;$D167&amp;"|"&amp;AK$14&amp;"|"&amp;"CY2023Q3",Spectrum!$R:$R,0)),0),""))</f>
        <v/>
      </c>
      <c r="AL167" s="88" t="n">
        <f aca="false">IF(OR(LEFT($B167,4)="_Mil",$C167="&lt;01"),"",MAX(SUM($AA167),90%))</f>
        <v>868</v>
      </c>
      <c r="AM167" s="10" t="n">
        <f aca="false">IF(OR(LEFT($B167,4)="_Mil",$C167="&lt;01"),"",ROUND(SUM($AJ167)*SUM($AL167),0))</f>
        <v>0</v>
      </c>
      <c r="AN167" s="10" t="str">
        <f aca="false">IF($C167="&lt;01",ROUND(INDEX(EID!$P:$P,MATCH($B167,EID!$B:$B,0))/2,0),"")</f>
        <v/>
      </c>
      <c r="AO167" s="10" t="n">
        <f aca="false">IF($C167="&lt;01",SUM($AN167),ROUND(SUM($AM167)*SUM($O167)/IF(SUM($Z167)=0,1,$Z167),0))</f>
        <v>0</v>
      </c>
      <c r="AP167" s="39" t="n">
        <f aca="false">IF(OR($F167="",$C167="&lt;01"),$AO167,$F167)</f>
        <v>0</v>
      </c>
      <c r="AQ167" s="39" t="n">
        <f aca="false">IF(LEFT($B167,4)="_Mil","",IF(SUM($AP167)=0,SUM($Z167),IF(OR(SUM($Z167)=0,SUM($O167)=0),MAX($AP167,$Z167),$AP167*$Z167/$O167)))</f>
        <v>1050</v>
      </c>
      <c r="AR167" s="88" t="str">
        <f aca="false">IF(OR(LEFT($B167,4)="_Mil",SUM($AJ167)=0),"",SUM($AQ167)/$AJ167)</f>
        <v/>
      </c>
      <c r="AS167" s="88" t="n">
        <f aca="false">IF($C167="&lt;01","",98%)</f>
        <v>0.98</v>
      </c>
      <c r="AT167" s="88" t="n">
        <f aca="false">IF($C167="&lt;01","",98%)</f>
        <v>0.98</v>
      </c>
      <c r="AU167" s="10" t="n">
        <f aca="false">IF($C167="&lt;01","",SUM($AP167)-SUM($O167))</f>
        <v>0</v>
      </c>
      <c r="AV167" s="10" t="n">
        <f aca="false">IF($C167="&lt;01",ROUND(INDEX(EID!$N:$N,MATCH($B167,EID!$B:$B,0))/2,0),IF(SUM($AT167)=0,"",ROUND((SUM($AP167)-(SUM($O167)*SUM($AS167)))/$AT167,0)))</f>
        <v>0</v>
      </c>
      <c r="AW167" s="88" t="n">
        <f aca="false">IF($C167="&lt;01","",100%)</f>
        <v>1</v>
      </c>
      <c r="AX167" s="39" t="n">
        <f aca="false">IF($C167="&lt;01",SUM($AV167),ROUND(SUM($AV167)*SUM($AW167),0))</f>
        <v>0</v>
      </c>
      <c r="AY167" s="114" t="n">
        <f aca="false">IF($C167="&lt;01","",70%)</f>
        <v>0.7</v>
      </c>
      <c r="AZ167" s="91" t="n">
        <f aca="false">IF($C167="&lt;01",ROUND(INDEX(EID!$R:$R,MATCH($B167,EID!$B:$B,0))/2,0),ROUND(SUM($O167)+(SUM($AV167)*$AY167),0))</f>
        <v>0</v>
      </c>
      <c r="BA167" s="87" t="n">
        <f aca="false">IF($C167="&lt;01","",95%)</f>
        <v>0.95</v>
      </c>
      <c r="BB167" s="5" t="n">
        <f aca="false">IF($C167="&lt;01",ROUND(INDEX(EID!$T:$T,MATCH($B167,EID!$B:$B,0))/2,0),ROUND($AZ167*$BA167,0))</f>
        <v>0</v>
      </c>
      <c r="BC167" s="91" t="n">
        <f aca="false">IF(LEFT($B167,4)="_Mil","",IF(SUM($BB167)=0,SUM($AD167),IF(OR(SUM($AP167)=0,SUM($AQ167)=0),MAX($BB167,$AD167),ROUND($BB167*$AQ167/$AP167,0))))</f>
        <v>0</v>
      </c>
      <c r="BD167" s="88" t="n">
        <f aca="false">IF($C167="&lt;01","",95%)</f>
        <v>0.95</v>
      </c>
      <c r="BE167" s="39" t="n">
        <f aca="false">IF($C167="&lt;01",ROUND(INDEX(EID!$V:$V,MATCH($B167,EID!$B:$B,0))/2,0),ROUND($BD167*$BB167,0))</f>
        <v>0</v>
      </c>
      <c r="BF167" s="39" t="n">
        <f aca="false">IF(LEFT($B167,4)="_Mil","",IF(SUM($BE167)=0,SUM($AF167),IF(OR(SUM($AP167)=0,SUM($AQ167)=0),MAX($BE167,$AF167),ROUND($BE167*$AQ167/$AP167,0))))</f>
        <v>0</v>
      </c>
      <c r="BG167" s="114" t="n">
        <f aca="false">IF($C167="&lt;01","",95%)</f>
        <v>0.95</v>
      </c>
      <c r="BH167" s="5" t="n">
        <f aca="false">IF($C167="&lt;01",ROUND(INDEX(EID!$L:$L,MATCH($B167,EID!$B:$B,0)),0)/2,IF(SUM($BG167)=0,"",ROUND($AX167/$BG167,0)))</f>
        <v>0</v>
      </c>
    </row>
    <row r="168" customFormat="false" ht="15" hidden="false" customHeight="false" outlineLevel="0" collapsed="false">
      <c r="A168" s="0" t="str">
        <f aca="false">INDEX(Prioritization!$D:$D,MATCH($B168,Prioritization!$A:$A,0))</f>
        <v>1 - Scale-up: Saturation</v>
      </c>
      <c r="B168" s="0" t="s">
        <v>204</v>
      </c>
      <c r="C168" s="0" t="s">
        <v>368</v>
      </c>
      <c r="D168" s="0" t="s">
        <v>48</v>
      </c>
      <c r="E168" s="0" t="str">
        <f aca="false">$B168&amp;"|"&amp;$C168&amp;"|"&amp;$D168</f>
        <v>Chitipa District [GkIwZrXy1h2]|50+|Male</v>
      </c>
      <c r="F168" s="10"/>
      <c r="G168" s="10"/>
      <c r="H168" s="10"/>
      <c r="I168" s="10"/>
      <c r="J168" s="10"/>
      <c r="K168" s="10"/>
      <c r="L168" s="10"/>
      <c r="M168" s="10"/>
      <c r="N168" s="10"/>
      <c r="O168" s="10" t="str">
        <f aca="false">IFERROR(1/(1/MAX($I168,$N168)),"")</f>
        <v/>
      </c>
      <c r="P168" s="10"/>
      <c r="Q168" s="10"/>
      <c r="R168" s="10" t="str">
        <f aca="false">IF(AND(SUM($I168)=0,SUM($O168)=0),"",SUM($O168)-$I168)</f>
        <v/>
      </c>
      <c r="S168" s="10" t="n">
        <f aca="false">IF(LEFT($B168,4)="_Mil","",_xlfn.IFNA(ROUND(INDEX(Spectrum!$N:$N,MATCH(RIGHT($B168,13)&amp;"|"&amp;$C168&amp;"|"&amp;$D168&amp;"|"&amp;S$14&amp;"|"&amp;"CY2022Q4",Spectrum!$R:$R,0)),0),""))</f>
        <v>679</v>
      </c>
      <c r="T168" s="39" t="n">
        <f aca="false">IF(LEFT($B168,4)="_Mil","",_xlfn.IFNA(ROUND(INDEX(Spectrum!$N:$N,MATCH(RIGHT($B168,13)&amp;"|"&amp;$C168&amp;"|"&amp;$D168&amp;"|"&amp;T$14&amp;"|"&amp;"CY2023Q3",Spectrum!$R:$R,0)),0),""))</f>
        <v>696</v>
      </c>
      <c r="U168" s="39" t="str">
        <f aca="false">IF(LEFT($B168,4)="_Mil","",_xlfn.IFNA(ROUND(INDEX(Spectrum!$N:$N,MATCH(RIGHT($B168,13)&amp;"|"&amp;$C168&amp;"|"&amp;$D168&amp;"|"&amp;U$14&amp;"|"&amp;"CY2023Q3",Spectrum!$R:$R,0)),0),""))</f>
        <v/>
      </c>
      <c r="V168" s="10" t="n">
        <f aca="false">IF(LEFT($B168,4)="_Mil","",_xlfn.IFNA(ROUND(INDEX(Spectrum!$N:$N,MATCH(RIGHT($B168,13)&amp;"|"&amp;$C168&amp;"|"&amp;$D168&amp;"|"&amp;V$14&amp;"|"&amp;"CY2023Q3",Spectrum!$R:$R,0)),0),""))</f>
        <v>1375</v>
      </c>
      <c r="W168" s="113" t="n">
        <f aca="false">IF(LEFT($B168,4)="_Mil","",_xlfn.IFNA(INDEX(Spectrum!$N:$N,MATCH(RIGHT($B168,13)&amp;"|"&amp;$C168&amp;"|"&amp;$D168&amp;"|"&amp;W$14&amp;"|"&amp;"CY2023Q3",Spectrum!$R:$R,0)),""))</f>
        <v>1130</v>
      </c>
      <c r="X168" s="39" t="n">
        <f aca="false">IF(LEFT($B168,4)="_Mil","",_xlfn.IFNA(ROUND(INDEX(Spectrum!$N:$N,MATCH(RIGHT($B168,13)&amp;"|"&amp;$C168&amp;"|"&amp;$D168&amp;"|"&amp;X$14&amp;"|"&amp;"CY2023Q3",Spectrum!$R:$R,0)),0),""))</f>
        <v>1089</v>
      </c>
      <c r="Y168" s="88" t="str">
        <f aca="false">IF(OR(SUM($U168)=0,LEFT($B168,4)="_Mil"),"",SUM($X168)/$U168)</f>
        <v/>
      </c>
      <c r="Z168" s="39" t="n">
        <f aca="false">IF(LEFT($B168,4)="_Mil","",_xlfn.IFNA(ROUND(INDEX(Spectrum!$N:$N,MATCH(RIGHT($B168,13)&amp;"|"&amp;$C168&amp;"|"&amp;$D168&amp;"|"&amp;Z$14&amp;"|"&amp;"CY2023Q3",Spectrum!$R:$R,0)),0),""))</f>
        <v>1126</v>
      </c>
      <c r="AA168" s="88" t="n">
        <f aca="false">IF(LEFT($B168,4)="_Mil","",IFERROR(1/(1/INDEX(Spectrum!$N:$N,MATCH(RIGHT($B168,13)&amp;"|"&amp;$C168&amp;"|"&amp;$D168&amp;"|"&amp;AA$14&amp;"|"&amp;"CY2023Q3",Spectrum!$R:$R,0))),IF(SUM($U168)=0,"",SUM($Z168)/$U168)))</f>
        <v>1816</v>
      </c>
      <c r="AB168" s="88" t="n">
        <f aca="false">IF(OR(LEFT($B168,4)="_Mil",SUM($X168)=0),"",SUM($Z168)/$X168)</f>
        <v>1.03397612488522</v>
      </c>
      <c r="AC168" s="10" t="n">
        <f aca="false">IF(LEFT($B168,4)="_Mil","",_xlfn.IFNA(ROUND(INDEX(Spectrum!$N:$N,MATCH(RIGHT($B168,13)&amp;"|"&amp;$C168&amp;"|"&amp;$D168&amp;"|"&amp;AC$14&amp;"|"&amp;"CY2023Q3",Spectrum!$R:$R,0)),0),""))</f>
        <v>1415</v>
      </c>
      <c r="AD168" s="10" t="str">
        <f aca="false">IF(LEFT($B168,4)="_Mil","",_xlfn.IFNA(ROUND(INDEX(Spectrum!$N:$N,MATCH(RIGHT($B168,13)&amp;"|"&amp;$C168&amp;"|"&amp;$D168&amp;"|"&amp;AD$14&amp;"|"&amp;"CY2023Q3",Spectrum!$R:$R,0)),0),""))</f>
        <v/>
      </c>
      <c r="AE168" s="88" t="n">
        <f aca="false">IF(OR(LEFT($B168,4)="_Mil",SUM($Z168)=0),"",SUM($AD168)/$Z168)</f>
        <v>0</v>
      </c>
      <c r="AF168" s="39" t="str">
        <f aca="false">IF(LEFT($B168,4)="_Mil","",_xlfn.IFNA(ROUND(INDEX(Spectrum!$N:$N,MATCH(RIGHT($B168,13)&amp;"|"&amp;$C168&amp;"|"&amp;$D168&amp;"|"&amp;AF$14&amp;"|"&amp;"CY2023Q3",Spectrum!$R:$R,0)),0),""))</f>
        <v/>
      </c>
      <c r="AG168" s="88" t="str">
        <f aca="false">IF(OR(LEFT($B168,4)="_Mil",SUM($AD168)=0),"",SUM($AF168)/$AD168)</f>
        <v/>
      </c>
      <c r="AH168" s="86" t="str">
        <f aca="false">IF(LEFT($B168,4)="_Mil","",_xlfn.IFNA(INDEX(Spectrum!$N:$N,MATCH(RIGHT($B168,13)&amp;"|"&amp;$C168&amp;"|"&amp;$D168&amp;"|"&amp;AH$14&amp;"|"&amp;"CY2023Q3",Spectrum!$R:$R,0)),""))</f>
        <v/>
      </c>
      <c r="AI168" s="10" t="str">
        <f aca="false">IF(LEFT($B168,4)="_Mil","",_xlfn.IFNA(ROUND(INDEX(Spectrum!$N:$N,MATCH(RIGHT($B168,13)&amp;"|"&amp;$C168&amp;"|"&amp;$D168&amp;"|"&amp;AI$14&amp;"|"&amp;"CY2023Q3",Spectrum!$R:$R,0)),0),""))</f>
        <v/>
      </c>
      <c r="AJ168" s="39" t="n">
        <f aca="false">IF(LEFT($B168,4)="_Mil","",_xlfn.IFNA(ROUND(INDEX(Spectrum!$N:$N,MATCH(RIGHT($B168,13)&amp;"|"&amp;$C168&amp;"|"&amp;$D168&amp;"|"&amp;AI$14&amp;"|"&amp;"CY2023Q3",Spectrum!$R:$R,0)),0),SUM($U168)+SUM($AI168)))</f>
        <v>0</v>
      </c>
      <c r="AK168" s="10" t="str">
        <f aca="false">IF(LEFT($B168,4)="_Mil","",_xlfn.IFNA(ROUND(INDEX(Spectrum!$N:$N,MATCH(RIGHT($B168,13)&amp;"|"&amp;$C168&amp;"|"&amp;$D168&amp;"|"&amp;AK$14&amp;"|"&amp;"CY2023Q3",Spectrum!$R:$R,0)),0),""))</f>
        <v/>
      </c>
      <c r="AL168" s="88" t="n">
        <f aca="false">IF(OR(LEFT($B168,4)="_Mil",$C168="&lt;01"),"",MAX(SUM($AA168),90%))</f>
        <v>1816</v>
      </c>
      <c r="AM168" s="10" t="n">
        <f aca="false">IF(OR(LEFT($B168,4)="_Mil",$C168="&lt;01"),"",ROUND(SUM($AJ168)*SUM($AL168),0))</f>
        <v>0</v>
      </c>
      <c r="AN168" s="10" t="str">
        <f aca="false">IF($C168="&lt;01",ROUND(INDEX(EID!$P:$P,MATCH($B168,EID!$B:$B,0))/2,0),"")</f>
        <v/>
      </c>
      <c r="AO168" s="10" t="n">
        <f aca="false">IF($C168="&lt;01",SUM($AN168),ROUND(SUM($AM168)*SUM($O168)/IF(SUM($Z168)=0,1,$Z168),0))</f>
        <v>0</v>
      </c>
      <c r="AP168" s="39" t="n">
        <f aca="false">IF(OR($F168="",$C168="&lt;01"),$AO168,$F168)</f>
        <v>0</v>
      </c>
      <c r="AQ168" s="39" t="n">
        <f aca="false">IF(LEFT($B168,4)="_Mil","",IF(SUM($AP168)=0,SUM($Z168),IF(OR(SUM($Z168)=0,SUM($O168)=0),MAX($AP168,$Z168),$AP168*$Z168/$O168)))</f>
        <v>1126</v>
      </c>
      <c r="AR168" s="88" t="str">
        <f aca="false">IF(OR(LEFT($B168,4)="_Mil",SUM($AJ168)=0),"",SUM($AQ168)/$AJ168)</f>
        <v/>
      </c>
      <c r="AS168" s="88" t="n">
        <f aca="false">IF($C168="&lt;01","",98%)</f>
        <v>0.98</v>
      </c>
      <c r="AT168" s="88" t="n">
        <f aca="false">IF($C168="&lt;01","",98%)</f>
        <v>0.98</v>
      </c>
      <c r="AU168" s="10" t="n">
        <f aca="false">IF($C168="&lt;01","",SUM($AP168)-SUM($O168))</f>
        <v>0</v>
      </c>
      <c r="AV168" s="10" t="n">
        <f aca="false">IF($C168="&lt;01",ROUND(INDEX(EID!$N:$N,MATCH($B168,EID!$B:$B,0))/2,0),IF(SUM($AT168)=0,"",ROUND((SUM($AP168)-(SUM($O168)*SUM($AS168)))/$AT168,0)))</f>
        <v>0</v>
      </c>
      <c r="AW168" s="88" t="n">
        <f aca="false">IF($C168="&lt;01","",100%)</f>
        <v>1</v>
      </c>
      <c r="AX168" s="39" t="n">
        <f aca="false">IF($C168="&lt;01",SUM($AV168),ROUND(SUM($AV168)*SUM($AW168),0))</f>
        <v>0</v>
      </c>
      <c r="AY168" s="114" t="n">
        <f aca="false">IF($C168="&lt;01","",70%)</f>
        <v>0.7</v>
      </c>
      <c r="AZ168" s="91" t="n">
        <f aca="false">IF($C168="&lt;01",ROUND(INDEX(EID!$R:$R,MATCH($B168,EID!$B:$B,0))/2,0),ROUND(SUM($O168)+(SUM($AV168)*$AY168),0))</f>
        <v>0</v>
      </c>
      <c r="BA168" s="87" t="n">
        <f aca="false">IF($C168="&lt;01","",95%)</f>
        <v>0.95</v>
      </c>
      <c r="BB168" s="5" t="n">
        <f aca="false">IF($C168="&lt;01",ROUND(INDEX(EID!$T:$T,MATCH($B168,EID!$B:$B,0))/2,0),ROUND($AZ168*$BA168,0))</f>
        <v>0</v>
      </c>
      <c r="BC168" s="91" t="n">
        <f aca="false">IF(LEFT($B168,4)="_Mil","",IF(SUM($BB168)=0,SUM($AD168),IF(OR(SUM($AP168)=0,SUM($AQ168)=0),MAX($BB168,$AD168),ROUND($BB168*$AQ168/$AP168,0))))</f>
        <v>0</v>
      </c>
      <c r="BD168" s="88" t="n">
        <f aca="false">IF($C168="&lt;01","",95%)</f>
        <v>0.95</v>
      </c>
      <c r="BE168" s="39" t="n">
        <f aca="false">IF($C168="&lt;01",ROUND(INDEX(EID!$V:$V,MATCH($B168,EID!$B:$B,0))/2,0),ROUND($BD168*$BB168,0))</f>
        <v>0</v>
      </c>
      <c r="BF168" s="39" t="n">
        <f aca="false">IF(LEFT($B168,4)="_Mil","",IF(SUM($BE168)=0,SUM($AF168),IF(OR(SUM($AP168)=0,SUM($AQ168)=0),MAX($BE168,$AF168),ROUND($BE168*$AQ168/$AP168,0))))</f>
        <v>0</v>
      </c>
      <c r="BG168" s="114" t="n">
        <f aca="false">IF($C168="&lt;01","",95%)</f>
        <v>0.95</v>
      </c>
      <c r="BH168" s="5" t="n">
        <f aca="false">IF($C168="&lt;01",ROUND(INDEX(EID!$L:$L,MATCH($B168,EID!$B:$B,0)),0)/2,IF(SUM($BG168)=0,"",ROUND($AX168/$BG168,0)))</f>
        <v>0</v>
      </c>
    </row>
    <row r="169" customFormat="false" ht="15" hidden="false" customHeight="false" outlineLevel="0" collapsed="false">
      <c r="A169" s="0" t="str">
        <f aca="false">INDEX(Prioritization!$D:$D,MATCH($B169,Prioritization!$A:$A,0))</f>
        <v>INVALID</v>
      </c>
      <c r="B169" s="0" t="s">
        <v>205</v>
      </c>
      <c r="C169" s="0" t="s">
        <v>316</v>
      </c>
      <c r="D169" s="0" t="s">
        <v>30</v>
      </c>
      <c r="E169" s="0" t="str">
        <f aca="false">$B169&amp;"|"&amp;$C169&amp;"|"&amp;$D169</f>
        <v>Karonga District [cPtvxaZqXIH]|&lt;01|Female</v>
      </c>
      <c r="F169" s="10"/>
      <c r="G169" s="10" t="n">
        <v>9</v>
      </c>
      <c r="H169" s="10" t="n">
        <v>4</v>
      </c>
      <c r="I169" s="10" t="n">
        <v>1</v>
      </c>
      <c r="J169" s="10" t="n">
        <v>1</v>
      </c>
      <c r="K169" s="10" t="n">
        <v>1</v>
      </c>
      <c r="L169" s="10"/>
      <c r="M169" s="10" t="n">
        <v>0</v>
      </c>
      <c r="N169" s="10" t="n">
        <v>1</v>
      </c>
      <c r="O169" s="10" t="n">
        <f aca="false">IFERROR(1/(1/MAX($I169,$N169)),"")</f>
        <v>1</v>
      </c>
      <c r="P169" s="10" t="n">
        <v>0</v>
      </c>
      <c r="Q169" s="10" t="n">
        <v>1</v>
      </c>
      <c r="R169" s="10" t="n">
        <f aca="false">IF(AND(SUM($I169)=0,SUM($O169)=0),"",SUM($O169)-$I169)</f>
        <v>0</v>
      </c>
      <c r="S169" s="10" t="n">
        <f aca="false">IF(LEFT($B169,4)="_Mil","",_xlfn.IFNA(ROUND(INDEX(Spectrum!$N:$N,MATCH(RIGHT($B169,13)&amp;"|"&amp;$C169&amp;"|"&amp;$D169&amp;"|"&amp;S$14&amp;"|"&amp;"CY2022Q4",Spectrum!$R:$R,0)),0),""))</f>
        <v>620</v>
      </c>
      <c r="T169" s="39" t="n">
        <f aca="false">IF(LEFT($B169,4)="_Mil","",_xlfn.IFNA(ROUND(INDEX(Spectrum!$N:$N,MATCH(RIGHT($B169,13)&amp;"|"&amp;$C169&amp;"|"&amp;$D169&amp;"|"&amp;T$14&amp;"|"&amp;"CY2023Q3",Spectrum!$R:$R,0)),0),""))</f>
        <v>1038</v>
      </c>
      <c r="U169" s="39" t="str">
        <f aca="false">IF(LEFT($B169,4)="_Mil","",_xlfn.IFNA(ROUND(INDEX(Spectrum!$N:$N,MATCH(RIGHT($B169,13)&amp;"|"&amp;$C169&amp;"|"&amp;$D169&amp;"|"&amp;U$14&amp;"|"&amp;"CY2023Q3",Spectrum!$R:$R,0)),0),""))</f>
        <v/>
      </c>
      <c r="V169" s="10" t="n">
        <f aca="false">IF(LEFT($B169,4)="_Mil","",_xlfn.IFNA(ROUND(INDEX(Spectrum!$N:$N,MATCH(RIGHT($B169,13)&amp;"|"&amp;$C169&amp;"|"&amp;$D169&amp;"|"&amp;V$14&amp;"|"&amp;"CY2023Q3",Spectrum!$R:$R,0)),0),""))</f>
        <v>1846</v>
      </c>
      <c r="W169" s="113" t="n">
        <f aca="false">IF(LEFT($B169,4)="_Mil","",_xlfn.IFNA(INDEX(Spectrum!$N:$N,MATCH(RIGHT($B169,13)&amp;"|"&amp;$C169&amp;"|"&amp;$D169&amp;"|"&amp;W$14&amp;"|"&amp;"CY2023Q3",Spectrum!$R:$R,0)),""))</f>
        <v>578</v>
      </c>
      <c r="X169" s="39" t="n">
        <f aca="false">IF(LEFT($B169,4)="_Mil","",_xlfn.IFNA(ROUND(INDEX(Spectrum!$N:$N,MATCH(RIGHT($B169,13)&amp;"|"&amp;$C169&amp;"|"&amp;$D169&amp;"|"&amp;X$14&amp;"|"&amp;"CY2023Q3",Spectrum!$R:$R,0)),0),""))</f>
        <v>1270</v>
      </c>
      <c r="Y169" s="88" t="str">
        <f aca="false">IF(OR(SUM($U169)=0,LEFT($B169,4)="_Mil"),"",SUM($X169)/$U169)</f>
        <v/>
      </c>
      <c r="Z169" s="39" t="n">
        <f aca="false">IF(LEFT($B169,4)="_Mil","",_xlfn.IFNA(ROUND(INDEX(Spectrum!$N:$N,MATCH(RIGHT($B169,13)&amp;"|"&amp;$C169&amp;"|"&amp;$D169&amp;"|"&amp;Z$14&amp;"|"&amp;"CY2023Q3",Spectrum!$R:$R,0)),0),""))</f>
        <v>1761</v>
      </c>
      <c r="AA169" s="88" t="n">
        <f aca="false">IF(LEFT($B169,4)="_Mil","",IFERROR(1/(1/INDEX(Spectrum!$N:$N,MATCH(RIGHT($B169,13)&amp;"|"&amp;$C169&amp;"|"&amp;$D169&amp;"|"&amp;AA$14&amp;"|"&amp;"CY2023Q3",Spectrum!$R:$R,0))),IF(SUM($U169)=0,"",SUM($Z169)/$U169)))</f>
        <v>1144</v>
      </c>
      <c r="AB169" s="88" t="n">
        <f aca="false">IF(OR(LEFT($B169,4)="_Mil",SUM($X169)=0),"",SUM($Z169)/$X169)</f>
        <v>1.38661417322835</v>
      </c>
      <c r="AC169" s="10" t="n">
        <f aca="false">IF(LEFT($B169,4)="_Mil","",_xlfn.IFNA(ROUND(INDEX(Spectrum!$N:$N,MATCH(RIGHT($B169,13)&amp;"|"&amp;$C169&amp;"|"&amp;$D169&amp;"|"&amp;AC$14&amp;"|"&amp;"CY2023Q3",Spectrum!$R:$R,0)),0),""))</f>
        <v>1577</v>
      </c>
      <c r="AD169" s="10" t="str">
        <f aca="false">IF(LEFT($B169,4)="_Mil","",_xlfn.IFNA(ROUND(INDEX(Spectrum!$N:$N,MATCH(RIGHT($B169,13)&amp;"|"&amp;$C169&amp;"|"&amp;$D169&amp;"|"&amp;AD$14&amp;"|"&amp;"CY2023Q3",Spectrum!$R:$R,0)),0),""))</f>
        <v/>
      </c>
      <c r="AE169" s="88" t="n">
        <f aca="false">IF(OR(LEFT($B169,4)="_Mil",SUM($Z169)=0),"",SUM($AD169)/$Z169)</f>
        <v>0</v>
      </c>
      <c r="AF169" s="39" t="str">
        <f aca="false">IF(LEFT($B169,4)="_Mil","",_xlfn.IFNA(ROUND(INDEX(Spectrum!$N:$N,MATCH(RIGHT($B169,13)&amp;"|"&amp;$C169&amp;"|"&amp;$D169&amp;"|"&amp;AF$14&amp;"|"&amp;"CY2023Q3",Spectrum!$R:$R,0)),0),""))</f>
        <v/>
      </c>
      <c r="AG169" s="88" t="str">
        <f aca="false">IF(OR(LEFT($B169,4)="_Mil",SUM($AD169)=0),"",SUM($AF169)/$AD169)</f>
        <v/>
      </c>
      <c r="AH169" s="86" t="str">
        <f aca="false">IF(LEFT($B169,4)="_Mil","",_xlfn.IFNA(INDEX(Spectrum!$N:$N,MATCH(RIGHT($B169,13)&amp;"|"&amp;$C169&amp;"|"&amp;$D169&amp;"|"&amp;AH$14&amp;"|"&amp;"CY2023Q3",Spectrum!$R:$R,0)),""))</f>
        <v/>
      </c>
      <c r="AI169" s="10" t="str">
        <f aca="false">IF(LEFT($B169,4)="_Mil","",_xlfn.IFNA(ROUND(INDEX(Spectrum!$N:$N,MATCH(RIGHT($B169,13)&amp;"|"&amp;$C169&amp;"|"&amp;$D169&amp;"|"&amp;AI$14&amp;"|"&amp;"CY2023Q3",Spectrum!$R:$R,0)),0),""))</f>
        <v/>
      </c>
      <c r="AJ169" s="39" t="n">
        <f aca="false">IF(LEFT($B169,4)="_Mil","",_xlfn.IFNA(ROUND(INDEX(Spectrum!$N:$N,MATCH(RIGHT($B169,13)&amp;"|"&amp;$C169&amp;"|"&amp;$D169&amp;"|"&amp;AI$14&amp;"|"&amp;"CY2023Q3",Spectrum!$R:$R,0)),0),SUM($U169)+SUM($AI169)))</f>
        <v>0</v>
      </c>
      <c r="AK169" s="10" t="str">
        <f aca="false">IF(LEFT($B169,4)="_Mil","",_xlfn.IFNA(ROUND(INDEX(Spectrum!$N:$N,MATCH(RIGHT($B169,13)&amp;"|"&amp;$C169&amp;"|"&amp;$D169&amp;"|"&amp;AK$14&amp;"|"&amp;"CY2023Q3",Spectrum!$R:$R,0)),0),""))</f>
        <v/>
      </c>
      <c r="AL169" s="88" t="str">
        <f aca="false">IF(OR(LEFT($B169,4)="_Mil",$C169="&lt;01"),"",MAX(SUM($AA169),90%))</f>
        <v/>
      </c>
      <c r="AM169" s="10" t="str">
        <f aca="false">IF(OR(LEFT($B169,4)="_Mil",$C169="&lt;01"),"",ROUND(SUM($AJ169)*SUM($AL169),0))</f>
        <v/>
      </c>
      <c r="AN169" s="10" t="n">
        <f aca="false">IF($C169="&lt;01",ROUND(INDEX(EID!$P:$P,MATCH($B169,EID!$B:$B,0))/2,0),"")</f>
        <v>0</v>
      </c>
      <c r="AO169" s="10" t="n">
        <f aca="false">IF($C169="&lt;01",SUM($AN169),ROUND(SUM($AM169)*SUM($O169)/IF(SUM($Z169)=0,1,$Z169),0))</f>
        <v>0</v>
      </c>
      <c r="AP169" s="39" t="n">
        <f aca="false">IF(OR($F169="",$C169="&lt;01"),$AO169,$F169)</f>
        <v>0</v>
      </c>
      <c r="AQ169" s="39" t="n">
        <f aca="false">IF(LEFT($B169,4)="_Mil","",IF(SUM($AP169)=0,SUM($Z169),IF(OR(SUM($Z169)=0,SUM($O169)=0),MAX($AP169,$Z169),$AP169*$Z169/$O169)))</f>
        <v>1761</v>
      </c>
      <c r="AR169" s="88" t="str">
        <f aca="false">IF(OR(LEFT($B169,4)="_Mil",SUM($AJ169)=0),"",SUM($AQ169)/$AJ169)</f>
        <v/>
      </c>
      <c r="AS169" s="88" t="str">
        <f aca="false">IF($C169="&lt;01","",98%)</f>
        <v/>
      </c>
      <c r="AT169" s="88" t="str">
        <f aca="false">IF($C169="&lt;01","",98%)</f>
        <v/>
      </c>
      <c r="AU169" s="10" t="str">
        <f aca="false">IF($C169="&lt;01","",SUM($AP169)-SUM($O169))</f>
        <v/>
      </c>
      <c r="AV169" s="10" t="n">
        <f aca="false">IF($C169="&lt;01",ROUND(INDEX(EID!$N:$N,MATCH($B169,EID!$B:$B,0))/2,0),IF(SUM($AT169)=0,"",ROUND((SUM($AP169)-(SUM($O169)*SUM($AS169)))/$AT169,0)))</f>
        <v>0</v>
      </c>
      <c r="AW169" s="88" t="str">
        <f aca="false">IF($C169="&lt;01","",100%)</f>
        <v/>
      </c>
      <c r="AX169" s="39" t="n">
        <f aca="false">IF($C169="&lt;01",SUM($AV169),ROUND(SUM($AV169)*SUM($AW169),0))</f>
        <v>0</v>
      </c>
      <c r="AY169" s="114" t="str">
        <f aca="false">IF($C169="&lt;01","",70%)</f>
        <v/>
      </c>
      <c r="AZ169" s="91" t="n">
        <f aca="false">IF($C169="&lt;01",ROUND(INDEX(EID!$R:$R,MATCH($B169,EID!$B:$B,0))/2,0),ROUND(SUM($O169)+(SUM($AV169)*$AY169),0))</f>
        <v>0</v>
      </c>
      <c r="BA169" s="87" t="str">
        <f aca="false">IF($C169="&lt;01","",95%)</f>
        <v/>
      </c>
      <c r="BB169" s="5" t="n">
        <f aca="false">IF($C169="&lt;01",ROUND(INDEX(EID!$T:$T,MATCH($B169,EID!$B:$B,0))/2,0),ROUND($AZ169*$BA169,0))</f>
        <v>0</v>
      </c>
      <c r="BC169" s="91" t="n">
        <f aca="false">IF(LEFT($B169,4)="_Mil","",IF(SUM($BB169)=0,SUM($AD169),IF(OR(SUM($AP169)=0,SUM($AQ169)=0),MAX($BB169,$AD169),ROUND($BB169*$AQ169/$AP169,0))))</f>
        <v>0</v>
      </c>
      <c r="BD169" s="88" t="str">
        <f aca="false">IF($C169="&lt;01","",95%)</f>
        <v/>
      </c>
      <c r="BE169" s="39" t="n">
        <f aca="false">IF($C169="&lt;01",ROUND(INDEX(EID!$V:$V,MATCH($B169,EID!$B:$B,0))/2,0),ROUND($BD169*$BB169,0))</f>
        <v>0</v>
      </c>
      <c r="BF169" s="39" t="n">
        <f aca="false">IF(LEFT($B169,4)="_Mil","",IF(SUM($BE169)=0,SUM($AF169),IF(OR(SUM($AP169)=0,SUM($AQ169)=0),MAX($BE169,$AF169),ROUND($BE169*$AQ169/$AP169,0))))</f>
        <v>0</v>
      </c>
      <c r="BG169" s="114" t="str">
        <f aca="false">IF($C169="&lt;01","",95%)</f>
        <v/>
      </c>
      <c r="BH169" s="5" t="n">
        <f aca="false">IF($C169="&lt;01",ROUND(INDEX(EID!$L:$L,MATCH($B169,EID!$B:$B,0)),0)/2,IF(SUM($BG169)=0,"",ROUND($AX169/$BG169,0)))</f>
        <v>0</v>
      </c>
    </row>
    <row r="170" customFormat="false" ht="15" hidden="false" customHeight="false" outlineLevel="0" collapsed="false">
      <c r="A170" s="0" t="str">
        <f aca="false">INDEX(Prioritization!$D:$D,MATCH($B170,Prioritization!$A:$A,0))</f>
        <v>INVALID</v>
      </c>
      <c r="B170" s="0" t="s">
        <v>205</v>
      </c>
      <c r="C170" s="0" t="s">
        <v>316</v>
      </c>
      <c r="D170" s="0" t="s">
        <v>48</v>
      </c>
      <c r="E170" s="0" t="str">
        <f aca="false">$B170&amp;"|"&amp;$C170&amp;"|"&amp;$D170</f>
        <v>Karonga District [cPtvxaZqXIH]|&lt;01|Male</v>
      </c>
      <c r="F170" s="10"/>
      <c r="G170" s="10" t="n">
        <v>4</v>
      </c>
      <c r="H170" s="10" t="n">
        <v>5</v>
      </c>
      <c r="I170" s="10" t="n">
        <v>0</v>
      </c>
      <c r="J170" s="10" t="n">
        <v>0</v>
      </c>
      <c r="K170" s="10" t="n">
        <v>0</v>
      </c>
      <c r="L170" s="10"/>
      <c r="M170" s="10" t="n">
        <v>1</v>
      </c>
      <c r="N170" s="10" t="n">
        <v>0</v>
      </c>
      <c r="O170" s="10" t="str">
        <f aca="false">IFERROR(1/(1/MAX($I170,$N170)),"")</f>
        <v/>
      </c>
      <c r="P170" s="10" t="n">
        <v>0</v>
      </c>
      <c r="Q170" s="10" t="n">
        <v>1</v>
      </c>
      <c r="R170" s="10" t="str">
        <f aca="false">IF(AND(SUM($I170)=0,SUM($O170)=0),"",SUM($O170)-$I170)</f>
        <v/>
      </c>
      <c r="S170" s="10" t="n">
        <f aca="false">IF(LEFT($B170,4)="_Mil","",_xlfn.IFNA(ROUND(INDEX(Spectrum!$N:$N,MATCH(RIGHT($B170,13)&amp;"|"&amp;$C170&amp;"|"&amp;$D170&amp;"|"&amp;S$14&amp;"|"&amp;"CY2022Q4",Spectrum!$R:$R,0)),0),""))</f>
        <v>1176</v>
      </c>
      <c r="T170" s="39" t="n">
        <f aca="false">IF(LEFT($B170,4)="_Mil","",_xlfn.IFNA(ROUND(INDEX(Spectrum!$N:$N,MATCH(RIGHT($B170,13)&amp;"|"&amp;$C170&amp;"|"&amp;$D170&amp;"|"&amp;T$14&amp;"|"&amp;"CY2023Q3",Spectrum!$R:$R,0)),0),""))</f>
        <v>1937</v>
      </c>
      <c r="U170" s="39" t="str">
        <f aca="false">IF(LEFT($B170,4)="_Mil","",_xlfn.IFNA(ROUND(INDEX(Spectrum!$N:$N,MATCH(RIGHT($B170,13)&amp;"|"&amp;$C170&amp;"|"&amp;$D170&amp;"|"&amp;U$14&amp;"|"&amp;"CY2023Q3",Spectrum!$R:$R,0)),0),""))</f>
        <v/>
      </c>
      <c r="V170" s="10" t="n">
        <f aca="false">IF(LEFT($B170,4)="_Mil","",_xlfn.IFNA(ROUND(INDEX(Spectrum!$N:$N,MATCH(RIGHT($B170,13)&amp;"|"&amp;$C170&amp;"|"&amp;$D170&amp;"|"&amp;V$14&amp;"|"&amp;"CY2023Q3",Spectrum!$R:$R,0)),0),""))</f>
        <v>1829</v>
      </c>
      <c r="W170" s="113" t="n">
        <f aca="false">IF(LEFT($B170,4)="_Mil","",_xlfn.IFNA(INDEX(Spectrum!$N:$N,MATCH(RIGHT($B170,13)&amp;"|"&amp;$C170&amp;"|"&amp;$D170&amp;"|"&amp;W$14&amp;"|"&amp;"CY2023Q3",Spectrum!$R:$R,0)),""))</f>
        <v>1009</v>
      </c>
      <c r="X170" s="39" t="n">
        <f aca="false">IF(LEFT($B170,4)="_Mil","",_xlfn.IFNA(ROUND(INDEX(Spectrum!$N:$N,MATCH(RIGHT($B170,13)&amp;"|"&amp;$C170&amp;"|"&amp;$D170&amp;"|"&amp;X$14&amp;"|"&amp;"CY2023Q3",Spectrum!$R:$R,0)),0),""))</f>
        <v>541</v>
      </c>
      <c r="Y170" s="88" t="str">
        <f aca="false">IF(OR(SUM($U170)=0,LEFT($B170,4)="_Mil"),"",SUM($X170)/$U170)</f>
        <v/>
      </c>
      <c r="Z170" s="39" t="n">
        <f aca="false">IF(LEFT($B170,4)="_Mil","",_xlfn.IFNA(ROUND(INDEX(Spectrum!$N:$N,MATCH(RIGHT($B170,13)&amp;"|"&amp;$C170&amp;"|"&amp;$D170&amp;"|"&amp;Z$14&amp;"|"&amp;"CY2023Q3",Spectrum!$R:$R,0)),0),""))</f>
        <v>1520</v>
      </c>
      <c r="AA170" s="88" t="n">
        <f aca="false">IF(LEFT($B170,4)="_Mil","",IFERROR(1/(1/INDEX(Spectrum!$N:$N,MATCH(RIGHT($B170,13)&amp;"|"&amp;$C170&amp;"|"&amp;$D170&amp;"|"&amp;AA$14&amp;"|"&amp;"CY2023Q3",Spectrum!$R:$R,0))),IF(SUM($U170)=0,"",SUM($Z170)/$U170)))</f>
        <v>1489</v>
      </c>
      <c r="AB170" s="88" t="n">
        <f aca="false">IF(OR(LEFT($B170,4)="_Mil",SUM($X170)=0),"",SUM($Z170)/$X170)</f>
        <v>2.80961182994455</v>
      </c>
      <c r="AC170" s="10" t="n">
        <f aca="false">IF(LEFT($B170,4)="_Mil","",_xlfn.IFNA(ROUND(INDEX(Spectrum!$N:$N,MATCH(RIGHT($B170,13)&amp;"|"&amp;$C170&amp;"|"&amp;$D170&amp;"|"&amp;AC$14&amp;"|"&amp;"CY2023Q3",Spectrum!$R:$R,0)),0),""))</f>
        <v>746</v>
      </c>
      <c r="AD170" s="10" t="str">
        <f aca="false">IF(LEFT($B170,4)="_Mil","",_xlfn.IFNA(ROUND(INDEX(Spectrum!$N:$N,MATCH(RIGHT($B170,13)&amp;"|"&amp;$C170&amp;"|"&amp;$D170&amp;"|"&amp;AD$14&amp;"|"&amp;"CY2023Q3",Spectrum!$R:$R,0)),0),""))</f>
        <v/>
      </c>
      <c r="AE170" s="88" t="n">
        <f aca="false">IF(OR(LEFT($B170,4)="_Mil",SUM($Z170)=0),"",SUM($AD170)/$Z170)</f>
        <v>0</v>
      </c>
      <c r="AF170" s="39" t="str">
        <f aca="false">IF(LEFT($B170,4)="_Mil","",_xlfn.IFNA(ROUND(INDEX(Spectrum!$N:$N,MATCH(RIGHT($B170,13)&amp;"|"&amp;$C170&amp;"|"&amp;$D170&amp;"|"&amp;AF$14&amp;"|"&amp;"CY2023Q3",Spectrum!$R:$R,0)),0),""))</f>
        <v/>
      </c>
      <c r="AG170" s="88" t="str">
        <f aca="false">IF(OR(LEFT($B170,4)="_Mil",SUM($AD170)=0),"",SUM($AF170)/$AD170)</f>
        <v/>
      </c>
      <c r="AH170" s="86" t="str">
        <f aca="false">IF(LEFT($B170,4)="_Mil","",_xlfn.IFNA(INDEX(Spectrum!$N:$N,MATCH(RIGHT($B170,13)&amp;"|"&amp;$C170&amp;"|"&amp;$D170&amp;"|"&amp;AH$14&amp;"|"&amp;"CY2023Q3",Spectrum!$R:$R,0)),""))</f>
        <v/>
      </c>
      <c r="AI170" s="10" t="str">
        <f aca="false">IF(LEFT($B170,4)="_Mil","",_xlfn.IFNA(ROUND(INDEX(Spectrum!$N:$N,MATCH(RIGHT($B170,13)&amp;"|"&amp;$C170&amp;"|"&amp;$D170&amp;"|"&amp;AI$14&amp;"|"&amp;"CY2023Q3",Spectrum!$R:$R,0)),0),""))</f>
        <v/>
      </c>
      <c r="AJ170" s="39" t="n">
        <f aca="false">IF(LEFT($B170,4)="_Mil","",_xlfn.IFNA(ROUND(INDEX(Spectrum!$N:$N,MATCH(RIGHT($B170,13)&amp;"|"&amp;$C170&amp;"|"&amp;$D170&amp;"|"&amp;AI$14&amp;"|"&amp;"CY2023Q3",Spectrum!$R:$R,0)),0),SUM($U170)+SUM($AI170)))</f>
        <v>0</v>
      </c>
      <c r="AK170" s="10" t="str">
        <f aca="false">IF(LEFT($B170,4)="_Mil","",_xlfn.IFNA(ROUND(INDEX(Spectrum!$N:$N,MATCH(RIGHT($B170,13)&amp;"|"&amp;$C170&amp;"|"&amp;$D170&amp;"|"&amp;AK$14&amp;"|"&amp;"CY2023Q3",Spectrum!$R:$R,0)),0),""))</f>
        <v/>
      </c>
      <c r="AL170" s="88" t="str">
        <f aca="false">IF(OR(LEFT($B170,4)="_Mil",$C170="&lt;01"),"",MAX(SUM($AA170),90%))</f>
        <v/>
      </c>
      <c r="AM170" s="10" t="str">
        <f aca="false">IF(OR(LEFT($B170,4)="_Mil",$C170="&lt;01"),"",ROUND(SUM($AJ170)*SUM($AL170),0))</f>
        <v/>
      </c>
      <c r="AN170" s="10" t="n">
        <f aca="false">IF($C170="&lt;01",ROUND(INDEX(EID!$P:$P,MATCH($B170,EID!$B:$B,0))/2,0),"")</f>
        <v>0</v>
      </c>
      <c r="AO170" s="10" t="n">
        <f aca="false">IF($C170="&lt;01",SUM($AN170),ROUND(SUM($AM170)*SUM($O170)/IF(SUM($Z170)=0,1,$Z170),0))</f>
        <v>0</v>
      </c>
      <c r="AP170" s="39" t="n">
        <f aca="false">IF(OR($F170="",$C170="&lt;01"),$AO170,$F170)</f>
        <v>0</v>
      </c>
      <c r="AQ170" s="39" t="n">
        <f aca="false">IF(LEFT($B170,4)="_Mil","",IF(SUM($AP170)=0,SUM($Z170),IF(OR(SUM($Z170)=0,SUM($O170)=0),MAX($AP170,$Z170),$AP170*$Z170/$O170)))</f>
        <v>1520</v>
      </c>
      <c r="AR170" s="88" t="str">
        <f aca="false">IF(OR(LEFT($B170,4)="_Mil",SUM($AJ170)=0),"",SUM($AQ170)/$AJ170)</f>
        <v/>
      </c>
      <c r="AS170" s="88" t="str">
        <f aca="false">IF($C170="&lt;01","",98%)</f>
        <v/>
      </c>
      <c r="AT170" s="88" t="str">
        <f aca="false">IF($C170="&lt;01","",98%)</f>
        <v/>
      </c>
      <c r="AU170" s="10" t="str">
        <f aca="false">IF($C170="&lt;01","",SUM($AP170)-SUM($O170))</f>
        <v/>
      </c>
      <c r="AV170" s="10" t="n">
        <f aca="false">IF($C170="&lt;01",ROUND(INDEX(EID!$N:$N,MATCH($B170,EID!$B:$B,0))/2,0),IF(SUM($AT170)=0,"",ROUND((SUM($AP170)-(SUM($O170)*SUM($AS170)))/$AT170,0)))</f>
        <v>0</v>
      </c>
      <c r="AW170" s="88" t="str">
        <f aca="false">IF($C170="&lt;01","",100%)</f>
        <v/>
      </c>
      <c r="AX170" s="39" t="n">
        <f aca="false">IF($C170="&lt;01",SUM($AV170),ROUND(SUM($AV170)*SUM($AW170),0))</f>
        <v>0</v>
      </c>
      <c r="AY170" s="114" t="str">
        <f aca="false">IF($C170="&lt;01","",70%)</f>
        <v/>
      </c>
      <c r="AZ170" s="91" t="n">
        <f aca="false">IF($C170="&lt;01",ROUND(INDEX(EID!$R:$R,MATCH($B170,EID!$B:$B,0))/2,0),ROUND(SUM($O170)+(SUM($AV170)*$AY170),0))</f>
        <v>0</v>
      </c>
      <c r="BA170" s="87" t="str">
        <f aca="false">IF($C170="&lt;01","",95%)</f>
        <v/>
      </c>
      <c r="BB170" s="5" t="n">
        <f aca="false">IF($C170="&lt;01",ROUND(INDEX(EID!$T:$T,MATCH($B170,EID!$B:$B,0))/2,0),ROUND($AZ170*$BA170,0))</f>
        <v>0</v>
      </c>
      <c r="BC170" s="91" t="n">
        <f aca="false">IF(LEFT($B170,4)="_Mil","",IF(SUM($BB170)=0,SUM($AD170),IF(OR(SUM($AP170)=0,SUM($AQ170)=0),MAX($BB170,$AD170),ROUND($BB170*$AQ170/$AP170,0))))</f>
        <v>0</v>
      </c>
      <c r="BD170" s="88" t="str">
        <f aca="false">IF($C170="&lt;01","",95%)</f>
        <v/>
      </c>
      <c r="BE170" s="39" t="n">
        <f aca="false">IF($C170="&lt;01",ROUND(INDEX(EID!$V:$V,MATCH($B170,EID!$B:$B,0))/2,0),ROUND($BD170*$BB170,0))</f>
        <v>0</v>
      </c>
      <c r="BF170" s="39" t="n">
        <f aca="false">IF(LEFT($B170,4)="_Mil","",IF(SUM($BE170)=0,SUM($AF170),IF(OR(SUM($AP170)=0,SUM($AQ170)=0),MAX($BE170,$AF170),ROUND($BE170*$AQ170/$AP170,0))))</f>
        <v>0</v>
      </c>
      <c r="BG170" s="114" t="str">
        <f aca="false">IF($C170="&lt;01","",95%)</f>
        <v/>
      </c>
      <c r="BH170" s="5" t="n">
        <f aca="false">IF($C170="&lt;01",ROUND(INDEX(EID!$L:$L,MATCH($B170,EID!$B:$B,0)),0)/2,IF(SUM($BG170)=0,"",ROUND($AX170/$BG170,0)))</f>
        <v>0</v>
      </c>
    </row>
    <row r="171" customFormat="false" ht="15" hidden="false" customHeight="false" outlineLevel="0" collapsed="false">
      <c r="A171" s="0" t="str">
        <f aca="false">INDEX(Prioritization!$D:$D,MATCH($B171,Prioritization!$A:$A,0))</f>
        <v>INVALID</v>
      </c>
      <c r="B171" s="0" t="s">
        <v>205</v>
      </c>
      <c r="C171" s="0" t="s">
        <v>363</v>
      </c>
      <c r="D171" s="0" t="s">
        <v>30</v>
      </c>
      <c r="E171" s="0" t="str">
        <f aca="false">$B171&amp;"|"&amp;$C171&amp;"|"&amp;$D171</f>
        <v>Karonga District [cPtvxaZqXIH]|01-09|Female</v>
      </c>
      <c r="F171" s="10"/>
      <c r="G171" s="10"/>
      <c r="H171" s="10"/>
      <c r="I171" s="10"/>
      <c r="J171" s="10"/>
      <c r="K171" s="10"/>
      <c r="L171" s="10"/>
      <c r="M171" s="10"/>
      <c r="N171" s="10"/>
      <c r="O171" s="10" t="str">
        <f aca="false">IFERROR(1/(1/MAX($I171,$N171)),"")</f>
        <v/>
      </c>
      <c r="P171" s="10"/>
      <c r="Q171" s="10"/>
      <c r="R171" s="10" t="str">
        <f aca="false">IF(AND(SUM($I171)=0,SUM($O171)=0),"",SUM($O171)-$I171)</f>
        <v/>
      </c>
      <c r="S171" s="10" t="n">
        <f aca="false">IF(LEFT($B171,4)="_Mil","",_xlfn.IFNA(ROUND(INDEX(Spectrum!$N:$N,MATCH(RIGHT($B171,13)&amp;"|"&amp;$C171&amp;"|"&amp;$D171&amp;"|"&amp;S$14&amp;"|"&amp;"CY2022Q4",Spectrum!$R:$R,0)),0),""))</f>
        <v>1166</v>
      </c>
      <c r="T171" s="39" t="n">
        <f aca="false">IF(LEFT($B171,4)="_Mil","",_xlfn.IFNA(ROUND(INDEX(Spectrum!$N:$N,MATCH(RIGHT($B171,13)&amp;"|"&amp;$C171&amp;"|"&amp;$D171&amp;"|"&amp;T$14&amp;"|"&amp;"CY2023Q3",Spectrum!$R:$R,0)),0),""))</f>
        <v>1446</v>
      </c>
      <c r="U171" s="39" t="str">
        <f aca="false">IF(LEFT($B171,4)="_Mil","",_xlfn.IFNA(ROUND(INDEX(Spectrum!$N:$N,MATCH(RIGHT($B171,13)&amp;"|"&amp;$C171&amp;"|"&amp;$D171&amp;"|"&amp;U$14&amp;"|"&amp;"CY2023Q3",Spectrum!$R:$R,0)),0),""))</f>
        <v/>
      </c>
      <c r="V171" s="10" t="n">
        <f aca="false">IF(LEFT($B171,4)="_Mil","",_xlfn.IFNA(ROUND(INDEX(Spectrum!$N:$N,MATCH(RIGHT($B171,13)&amp;"|"&amp;$C171&amp;"|"&amp;$D171&amp;"|"&amp;V$14&amp;"|"&amp;"CY2023Q3",Spectrum!$R:$R,0)),0),""))</f>
        <v>902</v>
      </c>
      <c r="W171" s="113" t="n">
        <f aca="false">IF(LEFT($B171,4)="_Mil","",_xlfn.IFNA(INDEX(Spectrum!$N:$N,MATCH(RIGHT($B171,13)&amp;"|"&amp;$C171&amp;"|"&amp;$D171&amp;"|"&amp;W$14&amp;"|"&amp;"CY2023Q3",Spectrum!$R:$R,0)),""))</f>
        <v>1364</v>
      </c>
      <c r="X171" s="39" t="n">
        <f aca="false">IF(LEFT($B171,4)="_Mil","",_xlfn.IFNA(ROUND(INDEX(Spectrum!$N:$N,MATCH(RIGHT($B171,13)&amp;"|"&amp;$C171&amp;"|"&amp;$D171&amp;"|"&amp;X$14&amp;"|"&amp;"CY2023Q3",Spectrum!$R:$R,0)),0),""))</f>
        <v>1755</v>
      </c>
      <c r="Y171" s="88" t="str">
        <f aca="false">IF(OR(SUM($U171)=0,LEFT($B171,4)="_Mil"),"",SUM($X171)/$U171)</f>
        <v/>
      </c>
      <c r="Z171" s="39" t="n">
        <f aca="false">IF(LEFT($B171,4)="_Mil","",_xlfn.IFNA(ROUND(INDEX(Spectrum!$N:$N,MATCH(RIGHT($B171,13)&amp;"|"&amp;$C171&amp;"|"&amp;$D171&amp;"|"&amp;Z$14&amp;"|"&amp;"CY2023Q3",Spectrum!$R:$R,0)),0),""))</f>
        <v>651</v>
      </c>
      <c r="AA171" s="88" t="n">
        <f aca="false">IF(LEFT($B171,4)="_Mil","",IFERROR(1/(1/INDEX(Spectrum!$N:$N,MATCH(RIGHT($B171,13)&amp;"|"&amp;$C171&amp;"|"&amp;$D171&amp;"|"&amp;AA$14&amp;"|"&amp;"CY2023Q3",Spectrum!$R:$R,0))),IF(SUM($U171)=0,"",SUM($Z171)/$U171)))</f>
        <v>1171</v>
      </c>
      <c r="AB171" s="88" t="n">
        <f aca="false">IF(OR(LEFT($B171,4)="_Mil",SUM($X171)=0),"",SUM($Z171)/$X171)</f>
        <v>0.370940170940171</v>
      </c>
      <c r="AC171" s="10" t="n">
        <f aca="false">IF(LEFT($B171,4)="_Mil","",_xlfn.IFNA(ROUND(INDEX(Spectrum!$N:$N,MATCH(RIGHT($B171,13)&amp;"|"&amp;$C171&amp;"|"&amp;$D171&amp;"|"&amp;AC$14&amp;"|"&amp;"CY2023Q3",Spectrum!$R:$R,0)),0),""))</f>
        <v>1603</v>
      </c>
      <c r="AD171" s="10" t="str">
        <f aca="false">IF(LEFT($B171,4)="_Mil","",_xlfn.IFNA(ROUND(INDEX(Spectrum!$N:$N,MATCH(RIGHT($B171,13)&amp;"|"&amp;$C171&amp;"|"&amp;$D171&amp;"|"&amp;AD$14&amp;"|"&amp;"CY2023Q3",Spectrum!$R:$R,0)),0),""))</f>
        <v/>
      </c>
      <c r="AE171" s="88" t="n">
        <f aca="false">IF(OR(LEFT($B171,4)="_Mil",SUM($Z171)=0),"",SUM($AD171)/$Z171)</f>
        <v>0</v>
      </c>
      <c r="AF171" s="39" t="str">
        <f aca="false">IF(LEFT($B171,4)="_Mil","",_xlfn.IFNA(ROUND(INDEX(Spectrum!$N:$N,MATCH(RIGHT($B171,13)&amp;"|"&amp;$C171&amp;"|"&amp;$D171&amp;"|"&amp;AF$14&amp;"|"&amp;"CY2023Q3",Spectrum!$R:$R,0)),0),""))</f>
        <v/>
      </c>
      <c r="AG171" s="88" t="str">
        <f aca="false">IF(OR(LEFT($B171,4)="_Mil",SUM($AD171)=0),"",SUM($AF171)/$AD171)</f>
        <v/>
      </c>
      <c r="AH171" s="86" t="str">
        <f aca="false">IF(LEFT($B171,4)="_Mil","",_xlfn.IFNA(INDEX(Spectrum!$N:$N,MATCH(RIGHT($B171,13)&amp;"|"&amp;$C171&amp;"|"&amp;$D171&amp;"|"&amp;AH$14&amp;"|"&amp;"CY2023Q3",Spectrum!$R:$R,0)),""))</f>
        <v/>
      </c>
      <c r="AI171" s="10" t="str">
        <f aca="false">IF(LEFT($B171,4)="_Mil","",_xlfn.IFNA(ROUND(INDEX(Spectrum!$N:$N,MATCH(RIGHT($B171,13)&amp;"|"&amp;$C171&amp;"|"&amp;$D171&amp;"|"&amp;AI$14&amp;"|"&amp;"CY2023Q3",Spectrum!$R:$R,0)),0),""))</f>
        <v/>
      </c>
      <c r="AJ171" s="39" t="n">
        <f aca="false">IF(LEFT($B171,4)="_Mil","",_xlfn.IFNA(ROUND(INDEX(Spectrum!$N:$N,MATCH(RIGHT($B171,13)&amp;"|"&amp;$C171&amp;"|"&amp;$D171&amp;"|"&amp;AI$14&amp;"|"&amp;"CY2023Q3",Spectrum!$R:$R,0)),0),SUM($U171)+SUM($AI171)))</f>
        <v>0</v>
      </c>
      <c r="AK171" s="10" t="str">
        <f aca="false">IF(LEFT($B171,4)="_Mil","",_xlfn.IFNA(ROUND(INDEX(Spectrum!$N:$N,MATCH(RIGHT($B171,13)&amp;"|"&amp;$C171&amp;"|"&amp;$D171&amp;"|"&amp;AK$14&amp;"|"&amp;"CY2023Q3",Spectrum!$R:$R,0)),0),""))</f>
        <v/>
      </c>
      <c r="AL171" s="88" t="n">
        <f aca="false">IF(OR(LEFT($B171,4)="_Mil",$C171="&lt;01"),"",MAX(SUM($AA171),90%))</f>
        <v>1171</v>
      </c>
      <c r="AM171" s="10" t="n">
        <f aca="false">IF(OR(LEFT($B171,4)="_Mil",$C171="&lt;01"),"",ROUND(SUM($AJ171)*SUM($AL171),0))</f>
        <v>0</v>
      </c>
      <c r="AN171" s="10" t="str">
        <f aca="false">IF($C171="&lt;01",ROUND(INDEX(EID!$P:$P,MATCH($B171,EID!$B:$B,0))/2,0),"")</f>
        <v/>
      </c>
      <c r="AO171" s="10" t="n">
        <f aca="false">IF($C171="&lt;01",SUM($AN171),ROUND(SUM($AM171)*SUM($O171)/IF(SUM($Z171)=0,1,$Z171),0))</f>
        <v>0</v>
      </c>
      <c r="AP171" s="39" t="n">
        <f aca="false">IF(OR($F171="",$C171="&lt;01"),$AO171,$F171)</f>
        <v>0</v>
      </c>
      <c r="AQ171" s="39" t="n">
        <f aca="false">IF(LEFT($B171,4)="_Mil","",IF(SUM($AP171)=0,SUM($Z171),IF(OR(SUM($Z171)=0,SUM($O171)=0),MAX($AP171,$Z171),$AP171*$Z171/$O171)))</f>
        <v>651</v>
      </c>
      <c r="AR171" s="88" t="str">
        <f aca="false">IF(OR(LEFT($B171,4)="_Mil",SUM($AJ171)=0),"",SUM($AQ171)/$AJ171)</f>
        <v/>
      </c>
      <c r="AS171" s="88" t="n">
        <f aca="false">IF($C171="&lt;01","",98%)</f>
        <v>0.98</v>
      </c>
      <c r="AT171" s="88" t="n">
        <f aca="false">IF($C171="&lt;01","",98%)</f>
        <v>0.98</v>
      </c>
      <c r="AU171" s="10" t="n">
        <f aca="false">IF($C171="&lt;01","",SUM($AP171)-SUM($O171))</f>
        <v>0</v>
      </c>
      <c r="AV171" s="10" t="n">
        <f aca="false">IF($C171="&lt;01",ROUND(INDEX(EID!$N:$N,MATCH($B171,EID!$B:$B,0))/2,0),IF(SUM($AT171)=0,"",ROUND((SUM($AP171)-(SUM($O171)*SUM($AS171)))/$AT171,0)))</f>
        <v>0</v>
      </c>
      <c r="AW171" s="88" t="n">
        <f aca="false">IF($C171="&lt;01","",100%)</f>
        <v>1</v>
      </c>
      <c r="AX171" s="39" t="n">
        <f aca="false">IF($C171="&lt;01",SUM($AV171),ROUND(SUM($AV171)*SUM($AW171),0))</f>
        <v>0</v>
      </c>
      <c r="AY171" s="114" t="n">
        <f aca="false">IF($C171="&lt;01","",70%)</f>
        <v>0.7</v>
      </c>
      <c r="AZ171" s="91" t="n">
        <f aca="false">IF($C171="&lt;01",ROUND(INDEX(EID!$R:$R,MATCH($B171,EID!$B:$B,0))/2,0),ROUND(SUM($O171)+(SUM($AV171)*$AY171),0))</f>
        <v>0</v>
      </c>
      <c r="BA171" s="87" t="n">
        <f aca="false">IF($C171="&lt;01","",95%)</f>
        <v>0.95</v>
      </c>
      <c r="BB171" s="5" t="n">
        <f aca="false">IF($C171="&lt;01",ROUND(INDEX(EID!$T:$T,MATCH($B171,EID!$B:$B,0))/2,0),ROUND($AZ171*$BA171,0))</f>
        <v>0</v>
      </c>
      <c r="BC171" s="91" t="n">
        <f aca="false">IF(LEFT($B171,4)="_Mil","",IF(SUM($BB171)=0,SUM($AD171),IF(OR(SUM($AP171)=0,SUM($AQ171)=0),MAX($BB171,$AD171),ROUND($BB171*$AQ171/$AP171,0))))</f>
        <v>0</v>
      </c>
      <c r="BD171" s="88" t="n">
        <f aca="false">IF($C171="&lt;01","",95%)</f>
        <v>0.95</v>
      </c>
      <c r="BE171" s="39" t="n">
        <f aca="false">IF($C171="&lt;01",ROUND(INDEX(EID!$V:$V,MATCH($B171,EID!$B:$B,0))/2,0),ROUND($BD171*$BB171,0))</f>
        <v>0</v>
      </c>
      <c r="BF171" s="39" t="n">
        <f aca="false">IF(LEFT($B171,4)="_Mil","",IF(SUM($BE171)=0,SUM($AF171),IF(OR(SUM($AP171)=0,SUM($AQ171)=0),MAX($BE171,$AF171),ROUND($BE171*$AQ171/$AP171,0))))</f>
        <v>0</v>
      </c>
      <c r="BG171" s="114" t="n">
        <f aca="false">IF($C171="&lt;01","",95%)</f>
        <v>0.95</v>
      </c>
      <c r="BH171" s="5" t="n">
        <f aca="false">IF($C171="&lt;01",ROUND(INDEX(EID!$L:$L,MATCH($B171,EID!$B:$B,0)),0)/2,IF(SUM($BG171)=0,"",ROUND($AX171/$BG171,0)))</f>
        <v>0</v>
      </c>
    </row>
    <row r="172" customFormat="false" ht="15" hidden="false" customHeight="false" outlineLevel="0" collapsed="false">
      <c r="A172" s="0" t="str">
        <f aca="false">INDEX(Prioritization!$D:$D,MATCH($B172,Prioritization!$A:$A,0))</f>
        <v>INVALID</v>
      </c>
      <c r="B172" s="0" t="s">
        <v>205</v>
      </c>
      <c r="C172" s="0" t="s">
        <v>363</v>
      </c>
      <c r="D172" s="0" t="s">
        <v>48</v>
      </c>
      <c r="E172" s="0" t="str">
        <f aca="false">$B172&amp;"|"&amp;$C172&amp;"|"&amp;$D172</f>
        <v>Karonga District [cPtvxaZqXIH]|01-09|Male</v>
      </c>
      <c r="F172" s="10"/>
      <c r="G172" s="10"/>
      <c r="H172" s="10"/>
      <c r="I172" s="10"/>
      <c r="J172" s="10"/>
      <c r="K172" s="10"/>
      <c r="L172" s="10"/>
      <c r="M172" s="10"/>
      <c r="N172" s="10"/>
      <c r="O172" s="10" t="str">
        <f aca="false">IFERROR(1/(1/MAX($I172,$N172)),"")</f>
        <v/>
      </c>
      <c r="P172" s="10"/>
      <c r="Q172" s="10"/>
      <c r="R172" s="10" t="str">
        <f aca="false">IF(AND(SUM($I172)=0,SUM($O172)=0),"",SUM($O172)-$I172)</f>
        <v/>
      </c>
      <c r="S172" s="10" t="n">
        <f aca="false">IF(LEFT($B172,4)="_Mil","",_xlfn.IFNA(ROUND(INDEX(Spectrum!$N:$N,MATCH(RIGHT($B172,13)&amp;"|"&amp;$C172&amp;"|"&amp;$D172&amp;"|"&amp;S$14&amp;"|"&amp;"CY2022Q4",Spectrum!$R:$R,0)),0),""))</f>
        <v>1500</v>
      </c>
      <c r="T172" s="39" t="n">
        <f aca="false">IF(LEFT($B172,4)="_Mil","",_xlfn.IFNA(ROUND(INDEX(Spectrum!$N:$N,MATCH(RIGHT($B172,13)&amp;"|"&amp;$C172&amp;"|"&amp;$D172&amp;"|"&amp;T$14&amp;"|"&amp;"CY2023Q3",Spectrum!$R:$R,0)),0),""))</f>
        <v>1601</v>
      </c>
      <c r="U172" s="39" t="str">
        <f aca="false">IF(LEFT($B172,4)="_Mil","",_xlfn.IFNA(ROUND(INDEX(Spectrum!$N:$N,MATCH(RIGHT($B172,13)&amp;"|"&amp;$C172&amp;"|"&amp;$D172&amp;"|"&amp;U$14&amp;"|"&amp;"CY2023Q3",Spectrum!$R:$R,0)),0),""))</f>
        <v/>
      </c>
      <c r="V172" s="10" t="n">
        <f aca="false">IF(LEFT($B172,4)="_Mil","",_xlfn.IFNA(ROUND(INDEX(Spectrum!$N:$N,MATCH(RIGHT($B172,13)&amp;"|"&amp;$C172&amp;"|"&amp;$D172&amp;"|"&amp;V$14&amp;"|"&amp;"CY2023Q3",Spectrum!$R:$R,0)),0),""))</f>
        <v>1758</v>
      </c>
      <c r="W172" s="113" t="n">
        <f aca="false">IF(LEFT($B172,4)="_Mil","",_xlfn.IFNA(INDEX(Spectrum!$N:$N,MATCH(RIGHT($B172,13)&amp;"|"&amp;$C172&amp;"|"&amp;$D172&amp;"|"&amp;W$14&amp;"|"&amp;"CY2023Q3",Spectrum!$R:$R,0)),""))</f>
        <v>793</v>
      </c>
      <c r="X172" s="39" t="n">
        <f aca="false">IF(LEFT($B172,4)="_Mil","",_xlfn.IFNA(ROUND(INDEX(Spectrum!$N:$N,MATCH(RIGHT($B172,13)&amp;"|"&amp;$C172&amp;"|"&amp;$D172&amp;"|"&amp;X$14&amp;"|"&amp;"CY2023Q3",Spectrum!$R:$R,0)),0),""))</f>
        <v>1140</v>
      </c>
      <c r="Y172" s="88" t="str">
        <f aca="false">IF(OR(SUM($U172)=0,LEFT($B172,4)="_Mil"),"",SUM($X172)/$U172)</f>
        <v/>
      </c>
      <c r="Z172" s="39" t="n">
        <f aca="false">IF(LEFT($B172,4)="_Mil","",_xlfn.IFNA(ROUND(INDEX(Spectrum!$N:$N,MATCH(RIGHT($B172,13)&amp;"|"&amp;$C172&amp;"|"&amp;$D172&amp;"|"&amp;Z$14&amp;"|"&amp;"CY2023Q3",Spectrum!$R:$R,0)),0),""))</f>
        <v>1242</v>
      </c>
      <c r="AA172" s="88" t="n">
        <f aca="false">IF(LEFT($B172,4)="_Mil","",IFERROR(1/(1/INDEX(Spectrum!$N:$N,MATCH(RIGHT($B172,13)&amp;"|"&amp;$C172&amp;"|"&amp;$D172&amp;"|"&amp;AA$14&amp;"|"&amp;"CY2023Q3",Spectrum!$R:$R,0))),IF(SUM($U172)=0,"",SUM($Z172)/$U172)))</f>
        <v>1417</v>
      </c>
      <c r="AB172" s="88" t="n">
        <f aca="false">IF(OR(LEFT($B172,4)="_Mil",SUM($X172)=0),"",SUM($Z172)/$X172)</f>
        <v>1.08947368421053</v>
      </c>
      <c r="AC172" s="10" t="n">
        <f aca="false">IF(LEFT($B172,4)="_Mil","",_xlfn.IFNA(ROUND(INDEX(Spectrum!$N:$N,MATCH(RIGHT($B172,13)&amp;"|"&amp;$C172&amp;"|"&amp;$D172&amp;"|"&amp;AC$14&amp;"|"&amp;"CY2023Q3",Spectrum!$R:$R,0)),0),""))</f>
        <v>1522</v>
      </c>
      <c r="AD172" s="10" t="str">
        <f aca="false">IF(LEFT($B172,4)="_Mil","",_xlfn.IFNA(ROUND(INDEX(Spectrum!$N:$N,MATCH(RIGHT($B172,13)&amp;"|"&amp;$C172&amp;"|"&amp;$D172&amp;"|"&amp;AD$14&amp;"|"&amp;"CY2023Q3",Spectrum!$R:$R,0)),0),""))</f>
        <v/>
      </c>
      <c r="AE172" s="88" t="n">
        <f aca="false">IF(OR(LEFT($B172,4)="_Mil",SUM($Z172)=0),"",SUM($AD172)/$Z172)</f>
        <v>0</v>
      </c>
      <c r="AF172" s="39" t="str">
        <f aca="false">IF(LEFT($B172,4)="_Mil","",_xlfn.IFNA(ROUND(INDEX(Spectrum!$N:$N,MATCH(RIGHT($B172,13)&amp;"|"&amp;$C172&amp;"|"&amp;$D172&amp;"|"&amp;AF$14&amp;"|"&amp;"CY2023Q3",Spectrum!$R:$R,0)),0),""))</f>
        <v/>
      </c>
      <c r="AG172" s="88" t="str">
        <f aca="false">IF(OR(LEFT($B172,4)="_Mil",SUM($AD172)=0),"",SUM($AF172)/$AD172)</f>
        <v/>
      </c>
      <c r="AH172" s="86" t="str">
        <f aca="false">IF(LEFT($B172,4)="_Mil","",_xlfn.IFNA(INDEX(Spectrum!$N:$N,MATCH(RIGHT($B172,13)&amp;"|"&amp;$C172&amp;"|"&amp;$D172&amp;"|"&amp;AH$14&amp;"|"&amp;"CY2023Q3",Spectrum!$R:$R,0)),""))</f>
        <v/>
      </c>
      <c r="AI172" s="10" t="str">
        <f aca="false">IF(LEFT($B172,4)="_Mil","",_xlfn.IFNA(ROUND(INDEX(Spectrum!$N:$N,MATCH(RIGHT($B172,13)&amp;"|"&amp;$C172&amp;"|"&amp;$D172&amp;"|"&amp;AI$14&amp;"|"&amp;"CY2023Q3",Spectrum!$R:$R,0)),0),""))</f>
        <v/>
      </c>
      <c r="AJ172" s="39" t="n">
        <f aca="false">IF(LEFT($B172,4)="_Mil","",_xlfn.IFNA(ROUND(INDEX(Spectrum!$N:$N,MATCH(RIGHT($B172,13)&amp;"|"&amp;$C172&amp;"|"&amp;$D172&amp;"|"&amp;AI$14&amp;"|"&amp;"CY2023Q3",Spectrum!$R:$R,0)),0),SUM($U172)+SUM($AI172)))</f>
        <v>0</v>
      </c>
      <c r="AK172" s="10" t="str">
        <f aca="false">IF(LEFT($B172,4)="_Mil","",_xlfn.IFNA(ROUND(INDEX(Spectrum!$N:$N,MATCH(RIGHT($B172,13)&amp;"|"&amp;$C172&amp;"|"&amp;$D172&amp;"|"&amp;AK$14&amp;"|"&amp;"CY2023Q3",Spectrum!$R:$R,0)),0),""))</f>
        <v/>
      </c>
      <c r="AL172" s="88" t="n">
        <f aca="false">IF(OR(LEFT($B172,4)="_Mil",$C172="&lt;01"),"",MAX(SUM($AA172),90%))</f>
        <v>1417</v>
      </c>
      <c r="AM172" s="10" t="n">
        <f aca="false">IF(OR(LEFT($B172,4)="_Mil",$C172="&lt;01"),"",ROUND(SUM($AJ172)*SUM($AL172),0))</f>
        <v>0</v>
      </c>
      <c r="AN172" s="10" t="str">
        <f aca="false">IF($C172="&lt;01",ROUND(INDEX(EID!$P:$P,MATCH($B172,EID!$B:$B,0))/2,0),"")</f>
        <v/>
      </c>
      <c r="AO172" s="10" t="n">
        <f aca="false">IF($C172="&lt;01",SUM($AN172),ROUND(SUM($AM172)*SUM($O172)/IF(SUM($Z172)=0,1,$Z172),0))</f>
        <v>0</v>
      </c>
      <c r="AP172" s="39" t="n">
        <f aca="false">IF(OR($F172="",$C172="&lt;01"),$AO172,$F172)</f>
        <v>0</v>
      </c>
      <c r="AQ172" s="39" t="n">
        <f aca="false">IF(LEFT($B172,4)="_Mil","",IF(SUM($AP172)=0,SUM($Z172),IF(OR(SUM($Z172)=0,SUM($O172)=0),MAX($AP172,$Z172),$AP172*$Z172/$O172)))</f>
        <v>1242</v>
      </c>
      <c r="AR172" s="88" t="str">
        <f aca="false">IF(OR(LEFT($B172,4)="_Mil",SUM($AJ172)=0),"",SUM($AQ172)/$AJ172)</f>
        <v/>
      </c>
      <c r="AS172" s="88" t="n">
        <f aca="false">IF($C172="&lt;01","",98%)</f>
        <v>0.98</v>
      </c>
      <c r="AT172" s="88" t="n">
        <f aca="false">IF($C172="&lt;01","",98%)</f>
        <v>0.98</v>
      </c>
      <c r="AU172" s="10" t="n">
        <f aca="false">IF($C172="&lt;01","",SUM($AP172)-SUM($O172))</f>
        <v>0</v>
      </c>
      <c r="AV172" s="10" t="n">
        <f aca="false">IF($C172="&lt;01",ROUND(INDEX(EID!$N:$N,MATCH($B172,EID!$B:$B,0))/2,0),IF(SUM($AT172)=0,"",ROUND((SUM($AP172)-(SUM($O172)*SUM($AS172)))/$AT172,0)))</f>
        <v>0</v>
      </c>
      <c r="AW172" s="88" t="n">
        <f aca="false">IF($C172="&lt;01","",100%)</f>
        <v>1</v>
      </c>
      <c r="AX172" s="39" t="n">
        <f aca="false">IF($C172="&lt;01",SUM($AV172),ROUND(SUM($AV172)*SUM($AW172),0))</f>
        <v>0</v>
      </c>
      <c r="AY172" s="114" t="n">
        <f aca="false">IF($C172="&lt;01","",70%)</f>
        <v>0.7</v>
      </c>
      <c r="AZ172" s="91" t="n">
        <f aca="false">IF($C172="&lt;01",ROUND(INDEX(EID!$R:$R,MATCH($B172,EID!$B:$B,0))/2,0),ROUND(SUM($O172)+(SUM($AV172)*$AY172),0))</f>
        <v>0</v>
      </c>
      <c r="BA172" s="87" t="n">
        <f aca="false">IF($C172="&lt;01","",95%)</f>
        <v>0.95</v>
      </c>
      <c r="BB172" s="5" t="n">
        <f aca="false">IF($C172="&lt;01",ROUND(INDEX(EID!$T:$T,MATCH($B172,EID!$B:$B,0))/2,0),ROUND($AZ172*$BA172,0))</f>
        <v>0</v>
      </c>
      <c r="BC172" s="91" t="n">
        <f aca="false">IF(LEFT($B172,4)="_Mil","",IF(SUM($BB172)=0,SUM($AD172),IF(OR(SUM($AP172)=0,SUM($AQ172)=0),MAX($BB172,$AD172),ROUND($BB172*$AQ172/$AP172,0))))</f>
        <v>0</v>
      </c>
      <c r="BD172" s="88" t="n">
        <f aca="false">IF($C172="&lt;01","",95%)</f>
        <v>0.95</v>
      </c>
      <c r="BE172" s="39" t="n">
        <f aca="false">IF($C172="&lt;01",ROUND(INDEX(EID!$V:$V,MATCH($B172,EID!$B:$B,0))/2,0),ROUND($BD172*$BB172,0))</f>
        <v>0</v>
      </c>
      <c r="BF172" s="39" t="n">
        <f aca="false">IF(LEFT($B172,4)="_Mil","",IF(SUM($BE172)=0,SUM($AF172),IF(OR(SUM($AP172)=0,SUM($AQ172)=0),MAX($BE172,$AF172),ROUND($BE172*$AQ172/$AP172,0))))</f>
        <v>0</v>
      </c>
      <c r="BG172" s="114" t="n">
        <f aca="false">IF($C172="&lt;01","",95%)</f>
        <v>0.95</v>
      </c>
      <c r="BH172" s="5" t="n">
        <f aca="false">IF($C172="&lt;01",ROUND(INDEX(EID!$L:$L,MATCH($B172,EID!$B:$B,0)),0)/2,IF(SUM($BG172)=0,"",ROUND($AX172/$BG172,0)))</f>
        <v>0</v>
      </c>
    </row>
    <row r="173" customFormat="false" ht="15" hidden="false" customHeight="false" outlineLevel="0" collapsed="false">
      <c r="A173" s="0" t="str">
        <f aca="false">INDEX(Prioritization!$D:$D,MATCH($B173,Prioritization!$A:$A,0))</f>
        <v>INVALID</v>
      </c>
      <c r="B173" s="0" t="s">
        <v>205</v>
      </c>
      <c r="C173" s="0" t="s">
        <v>364</v>
      </c>
      <c r="D173" s="0" t="s">
        <v>30</v>
      </c>
      <c r="E173" s="0" t="str">
        <f aca="false">$B173&amp;"|"&amp;$C173&amp;"|"&amp;$D173</f>
        <v>Karonga District [cPtvxaZqXIH]|10-14|Female</v>
      </c>
      <c r="F173" s="10"/>
      <c r="G173" s="10" t="n">
        <v>9</v>
      </c>
      <c r="H173" s="10" t="n">
        <v>9</v>
      </c>
      <c r="I173" s="10" t="n">
        <v>42</v>
      </c>
      <c r="J173" s="10" t="n">
        <v>90</v>
      </c>
      <c r="K173" s="10" t="n">
        <v>25</v>
      </c>
      <c r="L173" s="10" t="n">
        <v>8</v>
      </c>
      <c r="M173" s="10" t="n">
        <v>2</v>
      </c>
      <c r="N173" s="10" t="n">
        <v>91</v>
      </c>
      <c r="O173" s="10" t="n">
        <f aca="false">IFERROR(1/(1/MAX($I173,$N173)),"")</f>
        <v>91</v>
      </c>
      <c r="P173" s="10" t="n">
        <v>73</v>
      </c>
      <c r="Q173" s="10" t="n">
        <v>12</v>
      </c>
      <c r="R173" s="10" t="n">
        <f aca="false">IF(AND(SUM($I173)=0,SUM($O173)=0),"",SUM($O173)-$I173)</f>
        <v>49</v>
      </c>
      <c r="S173" s="10" t="n">
        <f aca="false">IF(LEFT($B173,4)="_Mil","",_xlfn.IFNA(ROUND(INDEX(Spectrum!$N:$N,MATCH(RIGHT($B173,13)&amp;"|"&amp;$C173&amp;"|"&amp;$D173&amp;"|"&amp;S$14&amp;"|"&amp;"CY2022Q4",Spectrum!$R:$R,0)),0),""))</f>
        <v>1687</v>
      </c>
      <c r="T173" s="39" t="n">
        <f aca="false">IF(LEFT($B173,4)="_Mil","",_xlfn.IFNA(ROUND(INDEX(Spectrum!$N:$N,MATCH(RIGHT($B173,13)&amp;"|"&amp;$C173&amp;"|"&amp;$D173&amp;"|"&amp;T$14&amp;"|"&amp;"CY2023Q3",Spectrum!$R:$R,0)),0),""))</f>
        <v>1865</v>
      </c>
      <c r="U173" s="39" t="str">
        <f aca="false">IF(LEFT($B173,4)="_Mil","",_xlfn.IFNA(ROUND(INDEX(Spectrum!$N:$N,MATCH(RIGHT($B173,13)&amp;"|"&amp;$C173&amp;"|"&amp;$D173&amp;"|"&amp;U$14&amp;"|"&amp;"CY2023Q3",Spectrum!$R:$R,0)),0),""))</f>
        <v/>
      </c>
      <c r="V173" s="10" t="n">
        <f aca="false">IF(LEFT($B173,4)="_Mil","",_xlfn.IFNA(ROUND(INDEX(Spectrum!$N:$N,MATCH(RIGHT($B173,13)&amp;"|"&amp;$C173&amp;"|"&amp;$D173&amp;"|"&amp;V$14&amp;"|"&amp;"CY2023Q3",Spectrum!$R:$R,0)),0),""))</f>
        <v>1267</v>
      </c>
      <c r="W173" s="113" t="n">
        <f aca="false">IF(LEFT($B173,4)="_Mil","",_xlfn.IFNA(INDEX(Spectrum!$N:$N,MATCH(RIGHT($B173,13)&amp;"|"&amp;$C173&amp;"|"&amp;$D173&amp;"|"&amp;W$14&amp;"|"&amp;"CY2023Q3",Spectrum!$R:$R,0)),""))</f>
        <v>1834</v>
      </c>
      <c r="X173" s="39" t="n">
        <f aca="false">IF(LEFT($B173,4)="_Mil","",_xlfn.IFNA(ROUND(INDEX(Spectrum!$N:$N,MATCH(RIGHT($B173,13)&amp;"|"&amp;$C173&amp;"|"&amp;$D173&amp;"|"&amp;X$14&amp;"|"&amp;"CY2023Q3",Spectrum!$R:$R,0)),0),""))</f>
        <v>750</v>
      </c>
      <c r="Y173" s="88" t="str">
        <f aca="false">IF(OR(SUM($U173)=0,LEFT($B173,4)="_Mil"),"",SUM($X173)/$U173)</f>
        <v/>
      </c>
      <c r="Z173" s="39" t="n">
        <f aca="false">IF(LEFT($B173,4)="_Mil","",_xlfn.IFNA(ROUND(INDEX(Spectrum!$N:$N,MATCH(RIGHT($B173,13)&amp;"|"&amp;$C173&amp;"|"&amp;$D173&amp;"|"&amp;Z$14&amp;"|"&amp;"CY2023Q3",Spectrum!$R:$R,0)),0),""))</f>
        <v>1850</v>
      </c>
      <c r="AA173" s="88" t="n">
        <f aca="false">IF(LEFT($B173,4)="_Mil","",IFERROR(1/(1/INDEX(Spectrum!$N:$N,MATCH(RIGHT($B173,13)&amp;"|"&amp;$C173&amp;"|"&amp;$D173&amp;"|"&amp;AA$14&amp;"|"&amp;"CY2023Q3",Spectrum!$R:$R,0))),IF(SUM($U173)=0,"",SUM($Z173)/$U173)))</f>
        <v>1487</v>
      </c>
      <c r="AB173" s="88" t="n">
        <f aca="false">IF(OR(LEFT($B173,4)="_Mil",SUM($X173)=0),"",SUM($Z173)/$X173)</f>
        <v>2.46666666666667</v>
      </c>
      <c r="AC173" s="10" t="n">
        <f aca="false">IF(LEFT($B173,4)="_Mil","",_xlfn.IFNA(ROUND(INDEX(Spectrum!$N:$N,MATCH(RIGHT($B173,13)&amp;"|"&amp;$C173&amp;"|"&amp;$D173&amp;"|"&amp;AC$14&amp;"|"&amp;"CY2023Q3",Spectrum!$R:$R,0)),0),""))</f>
        <v>750</v>
      </c>
      <c r="AD173" s="10" t="str">
        <f aca="false">IF(LEFT($B173,4)="_Mil","",_xlfn.IFNA(ROUND(INDEX(Spectrum!$N:$N,MATCH(RIGHT($B173,13)&amp;"|"&amp;$C173&amp;"|"&amp;$D173&amp;"|"&amp;AD$14&amp;"|"&amp;"CY2023Q3",Spectrum!$R:$R,0)),0),""))</f>
        <v/>
      </c>
      <c r="AE173" s="88" t="n">
        <f aca="false">IF(OR(LEFT($B173,4)="_Mil",SUM($Z173)=0),"",SUM($AD173)/$Z173)</f>
        <v>0</v>
      </c>
      <c r="AF173" s="39" t="str">
        <f aca="false">IF(LEFT($B173,4)="_Mil","",_xlfn.IFNA(ROUND(INDEX(Spectrum!$N:$N,MATCH(RIGHT($B173,13)&amp;"|"&amp;$C173&amp;"|"&amp;$D173&amp;"|"&amp;AF$14&amp;"|"&amp;"CY2023Q3",Spectrum!$R:$R,0)),0),""))</f>
        <v/>
      </c>
      <c r="AG173" s="88" t="str">
        <f aca="false">IF(OR(LEFT($B173,4)="_Mil",SUM($AD173)=0),"",SUM($AF173)/$AD173)</f>
        <v/>
      </c>
      <c r="AH173" s="86" t="str">
        <f aca="false">IF(LEFT($B173,4)="_Mil","",_xlfn.IFNA(INDEX(Spectrum!$N:$N,MATCH(RIGHT($B173,13)&amp;"|"&amp;$C173&amp;"|"&amp;$D173&amp;"|"&amp;AH$14&amp;"|"&amp;"CY2023Q3",Spectrum!$R:$R,0)),""))</f>
        <v/>
      </c>
      <c r="AI173" s="10" t="str">
        <f aca="false">IF(LEFT($B173,4)="_Mil","",_xlfn.IFNA(ROUND(INDEX(Spectrum!$N:$N,MATCH(RIGHT($B173,13)&amp;"|"&amp;$C173&amp;"|"&amp;$D173&amp;"|"&amp;AI$14&amp;"|"&amp;"CY2023Q3",Spectrum!$R:$R,0)),0),""))</f>
        <v/>
      </c>
      <c r="AJ173" s="39" t="n">
        <f aca="false">IF(LEFT($B173,4)="_Mil","",_xlfn.IFNA(ROUND(INDEX(Spectrum!$N:$N,MATCH(RIGHT($B173,13)&amp;"|"&amp;$C173&amp;"|"&amp;$D173&amp;"|"&amp;AI$14&amp;"|"&amp;"CY2023Q3",Spectrum!$R:$R,0)),0),SUM($U173)+SUM($AI173)))</f>
        <v>0</v>
      </c>
      <c r="AK173" s="10" t="str">
        <f aca="false">IF(LEFT($B173,4)="_Mil","",_xlfn.IFNA(ROUND(INDEX(Spectrum!$N:$N,MATCH(RIGHT($B173,13)&amp;"|"&amp;$C173&amp;"|"&amp;$D173&amp;"|"&amp;AK$14&amp;"|"&amp;"CY2023Q3",Spectrum!$R:$R,0)),0),""))</f>
        <v/>
      </c>
      <c r="AL173" s="88" t="n">
        <f aca="false">IF(OR(LEFT($B173,4)="_Mil",$C173="&lt;01"),"",MAX(SUM($AA173),90%))</f>
        <v>1487</v>
      </c>
      <c r="AM173" s="10" t="n">
        <f aca="false">IF(OR(LEFT($B173,4)="_Mil",$C173="&lt;01"),"",ROUND(SUM($AJ173)*SUM($AL173),0))</f>
        <v>0</v>
      </c>
      <c r="AN173" s="10" t="str">
        <f aca="false">IF($C173="&lt;01",ROUND(INDEX(EID!$P:$P,MATCH($B173,EID!$B:$B,0))/2,0),"")</f>
        <v/>
      </c>
      <c r="AO173" s="10" t="n">
        <f aca="false">IF($C173="&lt;01",SUM($AN173),ROUND(SUM($AM173)*SUM($O173)/IF(SUM($Z173)=0,1,$Z173),0))</f>
        <v>0</v>
      </c>
      <c r="AP173" s="39" t="n">
        <f aca="false">IF(OR($F173="",$C173="&lt;01"),$AO173,$F173)</f>
        <v>0</v>
      </c>
      <c r="AQ173" s="39" t="n">
        <f aca="false">IF(LEFT($B173,4)="_Mil","",IF(SUM($AP173)=0,SUM($Z173),IF(OR(SUM($Z173)=0,SUM($O173)=0),MAX($AP173,$Z173),$AP173*$Z173/$O173)))</f>
        <v>1850</v>
      </c>
      <c r="AR173" s="88" t="str">
        <f aca="false">IF(OR(LEFT($B173,4)="_Mil",SUM($AJ173)=0),"",SUM($AQ173)/$AJ173)</f>
        <v/>
      </c>
      <c r="AS173" s="88" t="n">
        <f aca="false">IF($C173="&lt;01","",98%)</f>
        <v>0.98</v>
      </c>
      <c r="AT173" s="88" t="n">
        <f aca="false">IF($C173="&lt;01","",98%)</f>
        <v>0.98</v>
      </c>
      <c r="AU173" s="10" t="n">
        <f aca="false">IF($C173="&lt;01","",SUM($AP173)-SUM($O173))</f>
        <v>-91</v>
      </c>
      <c r="AV173" s="10" t="n">
        <f aca="false">IF($C173="&lt;01",ROUND(INDEX(EID!$N:$N,MATCH($B173,EID!$B:$B,0))/2,0),IF(SUM($AT173)=0,"",ROUND((SUM($AP173)-(SUM($O173)*SUM($AS173)))/$AT173,0)))</f>
        <v>-91</v>
      </c>
      <c r="AW173" s="88" t="n">
        <f aca="false">IF($C173="&lt;01","",100%)</f>
        <v>1</v>
      </c>
      <c r="AX173" s="39" t="n">
        <f aca="false">IF($C173="&lt;01",SUM($AV173),ROUND(SUM($AV173)*SUM($AW173),0))</f>
        <v>-91</v>
      </c>
      <c r="AY173" s="114" t="n">
        <f aca="false">IF($C173="&lt;01","",70%)</f>
        <v>0.7</v>
      </c>
      <c r="AZ173" s="91" t="n">
        <f aca="false">IF($C173="&lt;01",ROUND(INDEX(EID!$R:$R,MATCH($B173,EID!$B:$B,0))/2,0),ROUND(SUM($O173)+(SUM($AV173)*$AY173),0))</f>
        <v>27</v>
      </c>
      <c r="BA173" s="87" t="n">
        <f aca="false">IF($C173="&lt;01","",95%)</f>
        <v>0.95</v>
      </c>
      <c r="BB173" s="5" t="n">
        <f aca="false">IF($C173="&lt;01",ROUND(INDEX(EID!$T:$T,MATCH($B173,EID!$B:$B,0))/2,0),ROUND($AZ173*$BA173,0))</f>
        <v>26</v>
      </c>
      <c r="BC173" s="91" t="n">
        <f aca="false">IF(LEFT($B173,4)="_Mil","",IF(SUM($BB173)=0,SUM($AD173),IF(OR(SUM($AP173)=0,SUM($AQ173)=0),MAX($BB173,$AD173),ROUND($BB173*$AQ173/$AP173,0))))</f>
        <v>26</v>
      </c>
      <c r="BD173" s="88" t="n">
        <f aca="false">IF($C173="&lt;01","",95%)</f>
        <v>0.95</v>
      </c>
      <c r="BE173" s="39" t="n">
        <f aca="false">IF($C173="&lt;01",ROUND(INDEX(EID!$V:$V,MATCH($B173,EID!$B:$B,0))/2,0),ROUND($BD173*$BB173,0))</f>
        <v>25</v>
      </c>
      <c r="BF173" s="39" t="n">
        <f aca="false">IF(LEFT($B173,4)="_Mil","",IF(SUM($BE173)=0,SUM($AF173),IF(OR(SUM($AP173)=0,SUM($AQ173)=0),MAX($BE173,$AF173),ROUND($BE173*$AQ173/$AP173,0))))</f>
        <v>25</v>
      </c>
      <c r="BG173" s="114" t="n">
        <f aca="false">IF($C173="&lt;01","",95%)</f>
        <v>0.95</v>
      </c>
      <c r="BH173" s="5" t="n">
        <f aca="false">IF($C173="&lt;01",ROUND(INDEX(EID!$L:$L,MATCH($B173,EID!$B:$B,0)),0)/2,IF(SUM($BG173)=0,"",ROUND($AX173/$BG173,0)))</f>
        <v>-96</v>
      </c>
    </row>
    <row r="174" customFormat="false" ht="15" hidden="false" customHeight="false" outlineLevel="0" collapsed="false">
      <c r="A174" s="0" t="str">
        <f aca="false">INDEX(Prioritization!$D:$D,MATCH($B174,Prioritization!$A:$A,0))</f>
        <v>INVALID</v>
      </c>
      <c r="B174" s="0" t="s">
        <v>205</v>
      </c>
      <c r="C174" s="0" t="s">
        <v>364</v>
      </c>
      <c r="D174" s="0" t="s">
        <v>48</v>
      </c>
      <c r="E174" s="0" t="str">
        <f aca="false">$B174&amp;"|"&amp;$C174&amp;"|"&amp;$D174</f>
        <v>Karonga District [cPtvxaZqXIH]|10-14|Male</v>
      </c>
      <c r="F174" s="10"/>
      <c r="G174" s="10" t="n">
        <v>6</v>
      </c>
      <c r="H174" s="10" t="n">
        <v>1</v>
      </c>
      <c r="I174" s="10" t="n">
        <v>81</v>
      </c>
      <c r="J174" s="10" t="n">
        <v>90</v>
      </c>
      <c r="K174" s="10" t="n">
        <v>5</v>
      </c>
      <c r="L174" s="10" t="n">
        <v>2</v>
      </c>
      <c r="M174" s="10" t="n">
        <v>5</v>
      </c>
      <c r="N174" s="10" t="n">
        <v>57</v>
      </c>
      <c r="O174" s="10" t="n">
        <f aca="false">IFERROR(1/(1/MAX($I174,$N174)),"")</f>
        <v>81</v>
      </c>
      <c r="P174" s="10" t="n">
        <v>35</v>
      </c>
      <c r="Q174" s="10" t="n">
        <v>69</v>
      </c>
      <c r="R174" s="10" t="n">
        <f aca="false">IF(AND(SUM($I174)=0,SUM($O174)=0),"",SUM($O174)-$I174)</f>
        <v>0</v>
      </c>
      <c r="S174" s="10" t="n">
        <f aca="false">IF(LEFT($B174,4)="_Mil","",_xlfn.IFNA(ROUND(INDEX(Spectrum!$N:$N,MATCH(RIGHT($B174,13)&amp;"|"&amp;$C174&amp;"|"&amp;$D174&amp;"|"&amp;S$14&amp;"|"&amp;"CY2022Q4",Spectrum!$R:$R,0)),0),""))</f>
        <v>1802</v>
      </c>
      <c r="T174" s="39" t="n">
        <f aca="false">IF(LEFT($B174,4)="_Mil","",_xlfn.IFNA(ROUND(INDEX(Spectrum!$N:$N,MATCH(RIGHT($B174,13)&amp;"|"&amp;$C174&amp;"|"&amp;$D174&amp;"|"&amp;T$14&amp;"|"&amp;"CY2023Q3",Spectrum!$R:$R,0)),0),""))</f>
        <v>1978</v>
      </c>
      <c r="U174" s="39" t="str">
        <f aca="false">IF(LEFT($B174,4)="_Mil","",_xlfn.IFNA(ROUND(INDEX(Spectrum!$N:$N,MATCH(RIGHT($B174,13)&amp;"|"&amp;$C174&amp;"|"&amp;$D174&amp;"|"&amp;U$14&amp;"|"&amp;"CY2023Q3",Spectrum!$R:$R,0)),0),""))</f>
        <v/>
      </c>
      <c r="V174" s="10" t="n">
        <f aca="false">IF(LEFT($B174,4)="_Mil","",_xlfn.IFNA(ROUND(INDEX(Spectrum!$N:$N,MATCH(RIGHT($B174,13)&amp;"|"&amp;$C174&amp;"|"&amp;$D174&amp;"|"&amp;V$14&amp;"|"&amp;"CY2023Q3",Spectrum!$R:$R,0)),0),""))</f>
        <v>1950</v>
      </c>
      <c r="W174" s="113" t="n">
        <f aca="false">IF(LEFT($B174,4)="_Mil","",_xlfn.IFNA(INDEX(Spectrum!$N:$N,MATCH(RIGHT($B174,13)&amp;"|"&amp;$C174&amp;"|"&amp;$D174&amp;"|"&amp;W$14&amp;"|"&amp;"CY2023Q3",Spectrum!$R:$R,0)),""))</f>
        <v>1837</v>
      </c>
      <c r="X174" s="39" t="n">
        <f aca="false">IF(LEFT($B174,4)="_Mil","",_xlfn.IFNA(ROUND(INDEX(Spectrum!$N:$N,MATCH(RIGHT($B174,13)&amp;"|"&amp;$C174&amp;"|"&amp;$D174&amp;"|"&amp;X$14&amp;"|"&amp;"CY2023Q3",Spectrum!$R:$R,0)),0),""))</f>
        <v>1906</v>
      </c>
      <c r="Y174" s="88" t="str">
        <f aca="false">IF(OR(SUM($U174)=0,LEFT($B174,4)="_Mil"),"",SUM($X174)/$U174)</f>
        <v/>
      </c>
      <c r="Z174" s="39" t="n">
        <f aca="false">IF(LEFT($B174,4)="_Mil","",_xlfn.IFNA(ROUND(INDEX(Spectrum!$N:$N,MATCH(RIGHT($B174,13)&amp;"|"&amp;$C174&amp;"|"&amp;$D174&amp;"|"&amp;Z$14&amp;"|"&amp;"CY2023Q3",Spectrum!$R:$R,0)),0),""))</f>
        <v>1447</v>
      </c>
      <c r="AA174" s="88" t="n">
        <f aca="false">IF(LEFT($B174,4)="_Mil","",IFERROR(1/(1/INDEX(Spectrum!$N:$N,MATCH(RIGHT($B174,13)&amp;"|"&amp;$C174&amp;"|"&amp;$D174&amp;"|"&amp;AA$14&amp;"|"&amp;"CY2023Q3",Spectrum!$R:$R,0))),IF(SUM($U174)=0,"",SUM($Z174)/$U174)))</f>
        <v>1518</v>
      </c>
      <c r="AB174" s="88" t="n">
        <f aca="false">IF(OR(LEFT($B174,4)="_Mil",SUM($X174)=0),"",SUM($Z174)/$X174)</f>
        <v>0.759181532004197</v>
      </c>
      <c r="AC174" s="10" t="n">
        <f aca="false">IF(LEFT($B174,4)="_Mil","",_xlfn.IFNA(ROUND(INDEX(Spectrum!$N:$N,MATCH(RIGHT($B174,13)&amp;"|"&amp;$C174&amp;"|"&amp;$D174&amp;"|"&amp;AC$14&amp;"|"&amp;"CY2023Q3",Spectrum!$R:$R,0)),0),""))</f>
        <v>1802</v>
      </c>
      <c r="AD174" s="10" t="str">
        <f aca="false">IF(LEFT($B174,4)="_Mil","",_xlfn.IFNA(ROUND(INDEX(Spectrum!$N:$N,MATCH(RIGHT($B174,13)&amp;"|"&amp;$C174&amp;"|"&amp;$D174&amp;"|"&amp;AD$14&amp;"|"&amp;"CY2023Q3",Spectrum!$R:$R,0)),0),""))</f>
        <v/>
      </c>
      <c r="AE174" s="88" t="n">
        <f aca="false">IF(OR(LEFT($B174,4)="_Mil",SUM($Z174)=0),"",SUM($AD174)/$Z174)</f>
        <v>0</v>
      </c>
      <c r="AF174" s="39" t="str">
        <f aca="false">IF(LEFT($B174,4)="_Mil","",_xlfn.IFNA(ROUND(INDEX(Spectrum!$N:$N,MATCH(RIGHT($B174,13)&amp;"|"&amp;$C174&amp;"|"&amp;$D174&amp;"|"&amp;AF$14&amp;"|"&amp;"CY2023Q3",Spectrum!$R:$R,0)),0),""))</f>
        <v/>
      </c>
      <c r="AG174" s="88" t="str">
        <f aca="false">IF(OR(LEFT($B174,4)="_Mil",SUM($AD174)=0),"",SUM($AF174)/$AD174)</f>
        <v/>
      </c>
      <c r="AH174" s="86" t="str">
        <f aca="false">IF(LEFT($B174,4)="_Mil","",_xlfn.IFNA(INDEX(Spectrum!$N:$N,MATCH(RIGHT($B174,13)&amp;"|"&amp;$C174&amp;"|"&amp;$D174&amp;"|"&amp;AH$14&amp;"|"&amp;"CY2023Q3",Spectrum!$R:$R,0)),""))</f>
        <v/>
      </c>
      <c r="AI174" s="10" t="str">
        <f aca="false">IF(LEFT($B174,4)="_Mil","",_xlfn.IFNA(ROUND(INDEX(Spectrum!$N:$N,MATCH(RIGHT($B174,13)&amp;"|"&amp;$C174&amp;"|"&amp;$D174&amp;"|"&amp;AI$14&amp;"|"&amp;"CY2023Q3",Spectrum!$R:$R,0)),0),""))</f>
        <v/>
      </c>
      <c r="AJ174" s="39" t="n">
        <f aca="false">IF(LEFT($B174,4)="_Mil","",_xlfn.IFNA(ROUND(INDEX(Spectrum!$N:$N,MATCH(RIGHT($B174,13)&amp;"|"&amp;$C174&amp;"|"&amp;$D174&amp;"|"&amp;AI$14&amp;"|"&amp;"CY2023Q3",Spectrum!$R:$R,0)),0),SUM($U174)+SUM($AI174)))</f>
        <v>0</v>
      </c>
      <c r="AK174" s="10" t="str">
        <f aca="false">IF(LEFT($B174,4)="_Mil","",_xlfn.IFNA(ROUND(INDEX(Spectrum!$N:$N,MATCH(RIGHT($B174,13)&amp;"|"&amp;$C174&amp;"|"&amp;$D174&amp;"|"&amp;AK$14&amp;"|"&amp;"CY2023Q3",Spectrum!$R:$R,0)),0),""))</f>
        <v/>
      </c>
      <c r="AL174" s="88" t="n">
        <f aca="false">IF(OR(LEFT($B174,4)="_Mil",$C174="&lt;01"),"",MAX(SUM($AA174),90%))</f>
        <v>1518</v>
      </c>
      <c r="AM174" s="10" t="n">
        <f aca="false">IF(OR(LEFT($B174,4)="_Mil",$C174="&lt;01"),"",ROUND(SUM($AJ174)*SUM($AL174),0))</f>
        <v>0</v>
      </c>
      <c r="AN174" s="10" t="str">
        <f aca="false">IF($C174="&lt;01",ROUND(INDEX(EID!$P:$P,MATCH($B174,EID!$B:$B,0))/2,0),"")</f>
        <v/>
      </c>
      <c r="AO174" s="10" t="n">
        <f aca="false">IF($C174="&lt;01",SUM($AN174),ROUND(SUM($AM174)*SUM($O174)/IF(SUM($Z174)=0,1,$Z174),0))</f>
        <v>0</v>
      </c>
      <c r="AP174" s="39" t="n">
        <f aca="false">IF(OR($F174="",$C174="&lt;01"),$AO174,$F174)</f>
        <v>0</v>
      </c>
      <c r="AQ174" s="39" t="n">
        <f aca="false">IF(LEFT($B174,4)="_Mil","",IF(SUM($AP174)=0,SUM($Z174),IF(OR(SUM($Z174)=0,SUM($O174)=0),MAX($AP174,$Z174),$AP174*$Z174/$O174)))</f>
        <v>1447</v>
      </c>
      <c r="AR174" s="88" t="str">
        <f aca="false">IF(OR(LEFT($B174,4)="_Mil",SUM($AJ174)=0),"",SUM($AQ174)/$AJ174)</f>
        <v/>
      </c>
      <c r="AS174" s="88" t="n">
        <f aca="false">IF($C174="&lt;01","",98%)</f>
        <v>0.98</v>
      </c>
      <c r="AT174" s="88" t="n">
        <f aca="false">IF($C174="&lt;01","",98%)</f>
        <v>0.98</v>
      </c>
      <c r="AU174" s="10" t="n">
        <f aca="false">IF($C174="&lt;01","",SUM($AP174)-SUM($O174))</f>
        <v>-81</v>
      </c>
      <c r="AV174" s="10" t="n">
        <f aca="false">IF($C174="&lt;01",ROUND(INDEX(EID!$N:$N,MATCH($B174,EID!$B:$B,0))/2,0),IF(SUM($AT174)=0,"",ROUND((SUM($AP174)-(SUM($O174)*SUM($AS174)))/$AT174,0)))</f>
        <v>-81</v>
      </c>
      <c r="AW174" s="88" t="n">
        <f aca="false">IF($C174="&lt;01","",100%)</f>
        <v>1</v>
      </c>
      <c r="AX174" s="39" t="n">
        <f aca="false">IF($C174="&lt;01",SUM($AV174),ROUND(SUM($AV174)*SUM($AW174),0))</f>
        <v>-81</v>
      </c>
      <c r="AY174" s="114" t="n">
        <f aca="false">IF($C174="&lt;01","",70%)</f>
        <v>0.7</v>
      </c>
      <c r="AZ174" s="91" t="n">
        <f aca="false">IF($C174="&lt;01",ROUND(INDEX(EID!$R:$R,MATCH($B174,EID!$B:$B,0))/2,0),ROUND(SUM($O174)+(SUM($AV174)*$AY174),0))</f>
        <v>24</v>
      </c>
      <c r="BA174" s="87" t="n">
        <f aca="false">IF($C174="&lt;01","",95%)</f>
        <v>0.95</v>
      </c>
      <c r="BB174" s="5" t="n">
        <f aca="false">IF($C174="&lt;01",ROUND(INDEX(EID!$T:$T,MATCH($B174,EID!$B:$B,0))/2,0),ROUND($AZ174*$BA174,0))</f>
        <v>23</v>
      </c>
      <c r="BC174" s="91" t="n">
        <f aca="false">IF(LEFT($B174,4)="_Mil","",IF(SUM($BB174)=0,SUM($AD174),IF(OR(SUM($AP174)=0,SUM($AQ174)=0),MAX($BB174,$AD174),ROUND($BB174*$AQ174/$AP174,0))))</f>
        <v>23</v>
      </c>
      <c r="BD174" s="88" t="n">
        <f aca="false">IF($C174="&lt;01","",95%)</f>
        <v>0.95</v>
      </c>
      <c r="BE174" s="39" t="n">
        <f aca="false">IF($C174="&lt;01",ROUND(INDEX(EID!$V:$V,MATCH($B174,EID!$B:$B,0))/2,0),ROUND($BD174*$BB174,0))</f>
        <v>22</v>
      </c>
      <c r="BF174" s="39" t="n">
        <f aca="false">IF(LEFT($B174,4)="_Mil","",IF(SUM($BE174)=0,SUM($AF174),IF(OR(SUM($AP174)=0,SUM($AQ174)=0),MAX($BE174,$AF174),ROUND($BE174*$AQ174/$AP174,0))))</f>
        <v>22</v>
      </c>
      <c r="BG174" s="114" t="n">
        <f aca="false">IF($C174="&lt;01","",95%)</f>
        <v>0.95</v>
      </c>
      <c r="BH174" s="5" t="n">
        <f aca="false">IF($C174="&lt;01",ROUND(INDEX(EID!$L:$L,MATCH($B174,EID!$B:$B,0)),0)/2,IF(SUM($BG174)=0,"",ROUND($AX174/$BG174,0)))</f>
        <v>-85</v>
      </c>
    </row>
    <row r="175" customFormat="false" ht="15" hidden="false" customHeight="false" outlineLevel="0" collapsed="false">
      <c r="A175" s="0" t="str">
        <f aca="false">INDEX(Prioritization!$D:$D,MATCH($B175,Prioritization!$A:$A,0))</f>
        <v>INVALID</v>
      </c>
      <c r="B175" s="0" t="s">
        <v>205</v>
      </c>
      <c r="C175" s="0" t="s">
        <v>365</v>
      </c>
      <c r="D175" s="0" t="s">
        <v>30</v>
      </c>
      <c r="E175" s="0" t="str">
        <f aca="false">$B175&amp;"|"&amp;$C175&amp;"|"&amp;$D175</f>
        <v>Karonga District [cPtvxaZqXIH]|15-24|Female</v>
      </c>
      <c r="F175" s="10"/>
      <c r="G175" s="10"/>
      <c r="H175" s="10"/>
      <c r="I175" s="10"/>
      <c r="J175" s="10"/>
      <c r="K175" s="10"/>
      <c r="L175" s="10"/>
      <c r="M175" s="10"/>
      <c r="N175" s="10"/>
      <c r="O175" s="10" t="str">
        <f aca="false">IFERROR(1/(1/MAX($I175,$N175)),"")</f>
        <v/>
      </c>
      <c r="P175" s="10"/>
      <c r="Q175" s="10"/>
      <c r="R175" s="10" t="str">
        <f aca="false">IF(AND(SUM($I175)=0,SUM($O175)=0),"",SUM($O175)-$I175)</f>
        <v/>
      </c>
      <c r="S175" s="10" t="n">
        <f aca="false">IF(LEFT($B175,4)="_Mil","",_xlfn.IFNA(ROUND(INDEX(Spectrum!$N:$N,MATCH(RIGHT($B175,13)&amp;"|"&amp;$C175&amp;"|"&amp;$D175&amp;"|"&amp;S$14&amp;"|"&amp;"CY2022Q4",Spectrum!$R:$R,0)),0),""))</f>
        <v>1556</v>
      </c>
      <c r="T175" s="39" t="n">
        <f aca="false">IF(LEFT($B175,4)="_Mil","",_xlfn.IFNA(ROUND(INDEX(Spectrum!$N:$N,MATCH(RIGHT($B175,13)&amp;"|"&amp;$C175&amp;"|"&amp;$D175&amp;"|"&amp;T$14&amp;"|"&amp;"CY2023Q3",Spectrum!$R:$R,0)),0),""))</f>
        <v>1202</v>
      </c>
      <c r="U175" s="39" t="str">
        <f aca="false">IF(LEFT($B175,4)="_Mil","",_xlfn.IFNA(ROUND(INDEX(Spectrum!$N:$N,MATCH(RIGHT($B175,13)&amp;"|"&amp;$C175&amp;"|"&amp;$D175&amp;"|"&amp;U$14&amp;"|"&amp;"CY2023Q3",Spectrum!$R:$R,0)),0),""))</f>
        <v/>
      </c>
      <c r="V175" s="10" t="n">
        <f aca="false">IF(LEFT($B175,4)="_Mil","",_xlfn.IFNA(ROUND(INDEX(Spectrum!$N:$N,MATCH(RIGHT($B175,13)&amp;"|"&amp;$C175&amp;"|"&amp;$D175&amp;"|"&amp;V$14&amp;"|"&amp;"CY2023Q3",Spectrum!$R:$R,0)),0),""))</f>
        <v>1552</v>
      </c>
      <c r="W175" s="113" t="n">
        <f aca="false">IF(LEFT($B175,4)="_Mil","",_xlfn.IFNA(INDEX(Spectrum!$N:$N,MATCH(RIGHT($B175,13)&amp;"|"&amp;$C175&amp;"|"&amp;$D175&amp;"|"&amp;W$14&amp;"|"&amp;"CY2023Q3",Spectrum!$R:$R,0)),""))</f>
        <v>1330</v>
      </c>
      <c r="X175" s="39" t="n">
        <f aca="false">IF(LEFT($B175,4)="_Mil","",_xlfn.IFNA(ROUND(INDEX(Spectrum!$N:$N,MATCH(RIGHT($B175,13)&amp;"|"&amp;$C175&amp;"|"&amp;$D175&amp;"|"&amp;X$14&amp;"|"&amp;"CY2023Q3",Spectrum!$R:$R,0)),0),""))</f>
        <v>1529</v>
      </c>
      <c r="Y175" s="88" t="str">
        <f aca="false">IF(OR(SUM($U175)=0,LEFT($B175,4)="_Mil"),"",SUM($X175)/$U175)</f>
        <v/>
      </c>
      <c r="Z175" s="39" t="n">
        <f aca="false">IF(LEFT($B175,4)="_Mil","",_xlfn.IFNA(ROUND(INDEX(Spectrum!$N:$N,MATCH(RIGHT($B175,13)&amp;"|"&amp;$C175&amp;"|"&amp;$D175&amp;"|"&amp;Z$14&amp;"|"&amp;"CY2023Q3",Spectrum!$R:$R,0)),0),""))</f>
        <v>1627</v>
      </c>
      <c r="AA175" s="88" t="n">
        <f aca="false">IF(LEFT($B175,4)="_Mil","",IFERROR(1/(1/INDEX(Spectrum!$N:$N,MATCH(RIGHT($B175,13)&amp;"|"&amp;$C175&amp;"|"&amp;$D175&amp;"|"&amp;AA$14&amp;"|"&amp;"CY2023Q3",Spectrum!$R:$R,0))),IF(SUM($U175)=0,"",SUM($Z175)/$U175)))</f>
        <v>1022</v>
      </c>
      <c r="AB175" s="88" t="n">
        <f aca="false">IF(OR(LEFT($B175,4)="_Mil",SUM($X175)=0),"",SUM($Z175)/$X175)</f>
        <v>1.06409417920209</v>
      </c>
      <c r="AC175" s="10" t="n">
        <f aca="false">IF(LEFT($B175,4)="_Mil","",_xlfn.IFNA(ROUND(INDEX(Spectrum!$N:$N,MATCH(RIGHT($B175,13)&amp;"|"&amp;$C175&amp;"|"&amp;$D175&amp;"|"&amp;AC$14&amp;"|"&amp;"CY2023Q3",Spectrum!$R:$R,0)),0),""))</f>
        <v>1548</v>
      </c>
      <c r="AD175" s="10" t="str">
        <f aca="false">IF(LEFT($B175,4)="_Mil","",_xlfn.IFNA(ROUND(INDEX(Spectrum!$N:$N,MATCH(RIGHT($B175,13)&amp;"|"&amp;$C175&amp;"|"&amp;$D175&amp;"|"&amp;AD$14&amp;"|"&amp;"CY2023Q3",Spectrum!$R:$R,0)),0),""))</f>
        <v/>
      </c>
      <c r="AE175" s="88" t="n">
        <f aca="false">IF(OR(LEFT($B175,4)="_Mil",SUM($Z175)=0),"",SUM($AD175)/$Z175)</f>
        <v>0</v>
      </c>
      <c r="AF175" s="39" t="str">
        <f aca="false">IF(LEFT($B175,4)="_Mil","",_xlfn.IFNA(ROUND(INDEX(Spectrum!$N:$N,MATCH(RIGHT($B175,13)&amp;"|"&amp;$C175&amp;"|"&amp;$D175&amp;"|"&amp;AF$14&amp;"|"&amp;"CY2023Q3",Spectrum!$R:$R,0)),0),""))</f>
        <v/>
      </c>
      <c r="AG175" s="88" t="str">
        <f aca="false">IF(OR(LEFT($B175,4)="_Mil",SUM($AD175)=0),"",SUM($AF175)/$AD175)</f>
        <v/>
      </c>
      <c r="AH175" s="86" t="str">
        <f aca="false">IF(LEFT($B175,4)="_Mil","",_xlfn.IFNA(INDEX(Spectrum!$N:$N,MATCH(RIGHT($B175,13)&amp;"|"&amp;$C175&amp;"|"&amp;$D175&amp;"|"&amp;AH$14&amp;"|"&amp;"CY2023Q3",Spectrum!$R:$R,0)),""))</f>
        <v/>
      </c>
      <c r="AI175" s="10" t="str">
        <f aca="false">IF(LEFT($B175,4)="_Mil","",_xlfn.IFNA(ROUND(INDEX(Spectrum!$N:$N,MATCH(RIGHT($B175,13)&amp;"|"&amp;$C175&amp;"|"&amp;$D175&amp;"|"&amp;AI$14&amp;"|"&amp;"CY2023Q3",Spectrum!$R:$R,0)),0),""))</f>
        <v/>
      </c>
      <c r="AJ175" s="39" t="n">
        <f aca="false">IF(LEFT($B175,4)="_Mil","",_xlfn.IFNA(ROUND(INDEX(Spectrum!$N:$N,MATCH(RIGHT($B175,13)&amp;"|"&amp;$C175&amp;"|"&amp;$D175&amp;"|"&amp;AI$14&amp;"|"&amp;"CY2023Q3",Spectrum!$R:$R,0)),0),SUM($U175)+SUM($AI175)))</f>
        <v>0</v>
      </c>
      <c r="AK175" s="10" t="str">
        <f aca="false">IF(LEFT($B175,4)="_Mil","",_xlfn.IFNA(ROUND(INDEX(Spectrum!$N:$N,MATCH(RIGHT($B175,13)&amp;"|"&amp;$C175&amp;"|"&amp;$D175&amp;"|"&amp;AK$14&amp;"|"&amp;"CY2023Q3",Spectrum!$R:$R,0)),0),""))</f>
        <v/>
      </c>
      <c r="AL175" s="88" t="n">
        <f aca="false">IF(OR(LEFT($B175,4)="_Mil",$C175="&lt;01"),"",MAX(SUM($AA175),90%))</f>
        <v>1022</v>
      </c>
      <c r="AM175" s="10" t="n">
        <f aca="false">IF(OR(LEFT($B175,4)="_Mil",$C175="&lt;01"),"",ROUND(SUM($AJ175)*SUM($AL175),0))</f>
        <v>0</v>
      </c>
      <c r="AN175" s="10" t="str">
        <f aca="false">IF($C175="&lt;01",ROUND(INDEX(EID!$P:$P,MATCH($B175,EID!$B:$B,0))/2,0),"")</f>
        <v/>
      </c>
      <c r="AO175" s="10" t="n">
        <f aca="false">IF($C175="&lt;01",SUM($AN175),ROUND(SUM($AM175)*SUM($O175)/IF(SUM($Z175)=0,1,$Z175),0))</f>
        <v>0</v>
      </c>
      <c r="AP175" s="39" t="n">
        <f aca="false">IF(OR($F175="",$C175="&lt;01"),$AO175,$F175)</f>
        <v>0</v>
      </c>
      <c r="AQ175" s="39" t="n">
        <f aca="false">IF(LEFT($B175,4)="_Mil","",IF(SUM($AP175)=0,SUM($Z175),IF(OR(SUM($Z175)=0,SUM($O175)=0),MAX($AP175,$Z175),$AP175*$Z175/$O175)))</f>
        <v>1627</v>
      </c>
      <c r="AR175" s="88" t="str">
        <f aca="false">IF(OR(LEFT($B175,4)="_Mil",SUM($AJ175)=0),"",SUM($AQ175)/$AJ175)</f>
        <v/>
      </c>
      <c r="AS175" s="88" t="n">
        <f aca="false">IF($C175="&lt;01","",98%)</f>
        <v>0.98</v>
      </c>
      <c r="AT175" s="88" t="n">
        <f aca="false">IF($C175="&lt;01","",98%)</f>
        <v>0.98</v>
      </c>
      <c r="AU175" s="10" t="n">
        <f aca="false">IF($C175="&lt;01","",SUM($AP175)-SUM($O175))</f>
        <v>0</v>
      </c>
      <c r="AV175" s="10" t="n">
        <f aca="false">IF($C175="&lt;01",ROUND(INDEX(EID!$N:$N,MATCH($B175,EID!$B:$B,0))/2,0),IF(SUM($AT175)=0,"",ROUND((SUM($AP175)-(SUM($O175)*SUM($AS175)))/$AT175,0)))</f>
        <v>0</v>
      </c>
      <c r="AW175" s="88" t="n">
        <f aca="false">IF($C175="&lt;01","",100%)</f>
        <v>1</v>
      </c>
      <c r="AX175" s="39" t="n">
        <f aca="false">IF($C175="&lt;01",SUM($AV175),ROUND(SUM($AV175)*SUM($AW175),0))</f>
        <v>0</v>
      </c>
      <c r="AY175" s="114" t="n">
        <f aca="false">IF($C175="&lt;01","",70%)</f>
        <v>0.7</v>
      </c>
      <c r="AZ175" s="91" t="n">
        <f aca="false">IF($C175="&lt;01",ROUND(INDEX(EID!$R:$R,MATCH($B175,EID!$B:$B,0))/2,0),ROUND(SUM($O175)+(SUM($AV175)*$AY175),0))</f>
        <v>0</v>
      </c>
      <c r="BA175" s="87" t="n">
        <f aca="false">IF($C175="&lt;01","",95%)</f>
        <v>0.95</v>
      </c>
      <c r="BB175" s="5" t="n">
        <f aca="false">IF($C175="&lt;01",ROUND(INDEX(EID!$T:$T,MATCH($B175,EID!$B:$B,0))/2,0),ROUND($AZ175*$BA175,0))</f>
        <v>0</v>
      </c>
      <c r="BC175" s="91" t="n">
        <f aca="false">IF(LEFT($B175,4)="_Mil","",IF(SUM($BB175)=0,SUM($AD175),IF(OR(SUM($AP175)=0,SUM($AQ175)=0),MAX($BB175,$AD175),ROUND($BB175*$AQ175/$AP175,0))))</f>
        <v>0</v>
      </c>
      <c r="BD175" s="88" t="n">
        <f aca="false">IF($C175="&lt;01","",95%)</f>
        <v>0.95</v>
      </c>
      <c r="BE175" s="39" t="n">
        <f aca="false">IF($C175="&lt;01",ROUND(INDEX(EID!$V:$V,MATCH($B175,EID!$B:$B,0))/2,0),ROUND($BD175*$BB175,0))</f>
        <v>0</v>
      </c>
      <c r="BF175" s="39" t="n">
        <f aca="false">IF(LEFT($B175,4)="_Mil","",IF(SUM($BE175)=0,SUM($AF175),IF(OR(SUM($AP175)=0,SUM($AQ175)=0),MAX($BE175,$AF175),ROUND($BE175*$AQ175/$AP175,0))))</f>
        <v>0</v>
      </c>
      <c r="BG175" s="114" t="n">
        <f aca="false">IF($C175="&lt;01","",95%)</f>
        <v>0.95</v>
      </c>
      <c r="BH175" s="5" t="n">
        <f aca="false">IF($C175="&lt;01",ROUND(INDEX(EID!$L:$L,MATCH($B175,EID!$B:$B,0)),0)/2,IF(SUM($BG175)=0,"",ROUND($AX175/$BG175,0)))</f>
        <v>0</v>
      </c>
    </row>
    <row r="176" customFormat="false" ht="15" hidden="false" customHeight="false" outlineLevel="0" collapsed="false">
      <c r="A176" s="0" t="str">
        <f aca="false">INDEX(Prioritization!$D:$D,MATCH($B176,Prioritization!$A:$A,0))</f>
        <v>INVALID</v>
      </c>
      <c r="B176" s="0" t="s">
        <v>205</v>
      </c>
      <c r="C176" s="0" t="s">
        <v>365</v>
      </c>
      <c r="D176" s="0" t="s">
        <v>48</v>
      </c>
      <c r="E176" s="0" t="str">
        <f aca="false">$B176&amp;"|"&amp;$C176&amp;"|"&amp;$D176</f>
        <v>Karonga District [cPtvxaZqXIH]|15-24|Male</v>
      </c>
      <c r="F176" s="10"/>
      <c r="G176" s="10"/>
      <c r="H176" s="10"/>
      <c r="I176" s="10"/>
      <c r="J176" s="10"/>
      <c r="K176" s="10"/>
      <c r="L176" s="10"/>
      <c r="M176" s="10"/>
      <c r="N176" s="10"/>
      <c r="O176" s="10" t="str">
        <f aca="false">IFERROR(1/(1/MAX($I176,$N176)),"")</f>
        <v/>
      </c>
      <c r="P176" s="10"/>
      <c r="Q176" s="10"/>
      <c r="R176" s="10" t="str">
        <f aca="false">IF(AND(SUM($I176)=0,SUM($O176)=0),"",SUM($O176)-$I176)</f>
        <v/>
      </c>
      <c r="S176" s="10" t="n">
        <f aca="false">IF(LEFT($B176,4)="_Mil","",_xlfn.IFNA(ROUND(INDEX(Spectrum!$N:$N,MATCH(RIGHT($B176,13)&amp;"|"&amp;$C176&amp;"|"&amp;$D176&amp;"|"&amp;S$14&amp;"|"&amp;"CY2022Q4",Spectrum!$R:$R,0)),0),""))</f>
        <v>1562</v>
      </c>
      <c r="T176" s="39" t="n">
        <f aca="false">IF(LEFT($B176,4)="_Mil","",_xlfn.IFNA(ROUND(INDEX(Spectrum!$N:$N,MATCH(RIGHT($B176,13)&amp;"|"&amp;$C176&amp;"|"&amp;$D176&amp;"|"&amp;T$14&amp;"|"&amp;"CY2023Q3",Spectrum!$R:$R,0)),0),""))</f>
        <v>1477</v>
      </c>
      <c r="U176" s="39" t="str">
        <f aca="false">IF(LEFT($B176,4)="_Mil","",_xlfn.IFNA(ROUND(INDEX(Spectrum!$N:$N,MATCH(RIGHT($B176,13)&amp;"|"&amp;$C176&amp;"|"&amp;$D176&amp;"|"&amp;U$14&amp;"|"&amp;"CY2023Q3",Spectrum!$R:$R,0)),0),""))</f>
        <v/>
      </c>
      <c r="V176" s="10" t="n">
        <f aca="false">IF(LEFT($B176,4)="_Mil","",_xlfn.IFNA(ROUND(INDEX(Spectrum!$N:$N,MATCH(RIGHT($B176,13)&amp;"|"&amp;$C176&amp;"|"&amp;$D176&amp;"|"&amp;V$14&amp;"|"&amp;"CY2023Q3",Spectrum!$R:$R,0)),0),""))</f>
        <v>855</v>
      </c>
      <c r="W176" s="113" t="n">
        <f aca="false">IF(LEFT($B176,4)="_Mil","",_xlfn.IFNA(INDEX(Spectrum!$N:$N,MATCH(RIGHT($B176,13)&amp;"|"&amp;$C176&amp;"|"&amp;$D176&amp;"|"&amp;W$14&amp;"|"&amp;"CY2023Q3",Spectrum!$R:$R,0)),""))</f>
        <v>803</v>
      </c>
      <c r="X176" s="39" t="n">
        <f aca="false">IF(LEFT($B176,4)="_Mil","",_xlfn.IFNA(ROUND(INDEX(Spectrum!$N:$N,MATCH(RIGHT($B176,13)&amp;"|"&amp;$C176&amp;"|"&amp;$D176&amp;"|"&amp;X$14&amp;"|"&amp;"CY2023Q3",Spectrum!$R:$R,0)),0),""))</f>
        <v>1571</v>
      </c>
      <c r="Y176" s="88" t="str">
        <f aca="false">IF(OR(SUM($U176)=0,LEFT($B176,4)="_Mil"),"",SUM($X176)/$U176)</f>
        <v/>
      </c>
      <c r="Z176" s="39" t="n">
        <f aca="false">IF(LEFT($B176,4)="_Mil","",_xlfn.IFNA(ROUND(INDEX(Spectrum!$N:$N,MATCH(RIGHT($B176,13)&amp;"|"&amp;$C176&amp;"|"&amp;$D176&amp;"|"&amp;Z$14&amp;"|"&amp;"CY2023Q3",Spectrum!$R:$R,0)),0),""))</f>
        <v>1129</v>
      </c>
      <c r="AA176" s="88" t="n">
        <f aca="false">IF(LEFT($B176,4)="_Mil","",IFERROR(1/(1/INDEX(Spectrum!$N:$N,MATCH(RIGHT($B176,13)&amp;"|"&amp;$C176&amp;"|"&amp;$D176&amp;"|"&amp;AA$14&amp;"|"&amp;"CY2023Q3",Spectrum!$R:$R,0))),IF(SUM($U176)=0,"",SUM($Z176)/$U176)))</f>
        <v>569</v>
      </c>
      <c r="AB176" s="88" t="n">
        <f aca="false">IF(OR(LEFT($B176,4)="_Mil",SUM($X176)=0),"",SUM($Z176)/$X176)</f>
        <v>0.718650541056652</v>
      </c>
      <c r="AC176" s="10" t="n">
        <f aca="false">IF(LEFT($B176,4)="_Mil","",_xlfn.IFNA(ROUND(INDEX(Spectrum!$N:$N,MATCH(RIGHT($B176,13)&amp;"|"&amp;$C176&amp;"|"&amp;$D176&amp;"|"&amp;AC$14&amp;"|"&amp;"CY2023Q3",Spectrum!$R:$R,0)),0),""))</f>
        <v>1753</v>
      </c>
      <c r="AD176" s="10" t="str">
        <f aca="false">IF(LEFT($B176,4)="_Mil","",_xlfn.IFNA(ROUND(INDEX(Spectrum!$N:$N,MATCH(RIGHT($B176,13)&amp;"|"&amp;$C176&amp;"|"&amp;$D176&amp;"|"&amp;AD$14&amp;"|"&amp;"CY2023Q3",Spectrum!$R:$R,0)),0),""))</f>
        <v/>
      </c>
      <c r="AE176" s="88" t="n">
        <f aca="false">IF(OR(LEFT($B176,4)="_Mil",SUM($Z176)=0),"",SUM($AD176)/$Z176)</f>
        <v>0</v>
      </c>
      <c r="AF176" s="39" t="str">
        <f aca="false">IF(LEFT($B176,4)="_Mil","",_xlfn.IFNA(ROUND(INDEX(Spectrum!$N:$N,MATCH(RIGHT($B176,13)&amp;"|"&amp;$C176&amp;"|"&amp;$D176&amp;"|"&amp;AF$14&amp;"|"&amp;"CY2023Q3",Spectrum!$R:$R,0)),0),""))</f>
        <v/>
      </c>
      <c r="AG176" s="88" t="str">
        <f aca="false">IF(OR(LEFT($B176,4)="_Mil",SUM($AD176)=0),"",SUM($AF176)/$AD176)</f>
        <v/>
      </c>
      <c r="AH176" s="86" t="str">
        <f aca="false">IF(LEFT($B176,4)="_Mil","",_xlfn.IFNA(INDEX(Spectrum!$N:$N,MATCH(RIGHT($B176,13)&amp;"|"&amp;$C176&amp;"|"&amp;$D176&amp;"|"&amp;AH$14&amp;"|"&amp;"CY2023Q3",Spectrum!$R:$R,0)),""))</f>
        <v/>
      </c>
      <c r="AI176" s="10" t="str">
        <f aca="false">IF(LEFT($B176,4)="_Mil","",_xlfn.IFNA(ROUND(INDEX(Spectrum!$N:$N,MATCH(RIGHT($B176,13)&amp;"|"&amp;$C176&amp;"|"&amp;$D176&amp;"|"&amp;AI$14&amp;"|"&amp;"CY2023Q3",Spectrum!$R:$R,0)),0),""))</f>
        <v/>
      </c>
      <c r="AJ176" s="39" t="n">
        <f aca="false">IF(LEFT($B176,4)="_Mil","",_xlfn.IFNA(ROUND(INDEX(Spectrum!$N:$N,MATCH(RIGHT($B176,13)&amp;"|"&amp;$C176&amp;"|"&amp;$D176&amp;"|"&amp;AI$14&amp;"|"&amp;"CY2023Q3",Spectrum!$R:$R,0)),0),SUM($U176)+SUM($AI176)))</f>
        <v>0</v>
      </c>
      <c r="AK176" s="10" t="str">
        <f aca="false">IF(LEFT($B176,4)="_Mil","",_xlfn.IFNA(ROUND(INDEX(Spectrum!$N:$N,MATCH(RIGHT($B176,13)&amp;"|"&amp;$C176&amp;"|"&amp;$D176&amp;"|"&amp;AK$14&amp;"|"&amp;"CY2023Q3",Spectrum!$R:$R,0)),0),""))</f>
        <v/>
      </c>
      <c r="AL176" s="88" t="n">
        <f aca="false">IF(OR(LEFT($B176,4)="_Mil",$C176="&lt;01"),"",MAX(SUM($AA176),90%))</f>
        <v>569</v>
      </c>
      <c r="AM176" s="10" t="n">
        <f aca="false">IF(OR(LEFT($B176,4)="_Mil",$C176="&lt;01"),"",ROUND(SUM($AJ176)*SUM($AL176),0))</f>
        <v>0</v>
      </c>
      <c r="AN176" s="10" t="str">
        <f aca="false">IF($C176="&lt;01",ROUND(INDEX(EID!$P:$P,MATCH($B176,EID!$B:$B,0))/2,0),"")</f>
        <v/>
      </c>
      <c r="AO176" s="10" t="n">
        <f aca="false">IF($C176="&lt;01",SUM($AN176),ROUND(SUM($AM176)*SUM($O176)/IF(SUM($Z176)=0,1,$Z176),0))</f>
        <v>0</v>
      </c>
      <c r="AP176" s="39" t="n">
        <f aca="false">IF(OR($F176="",$C176="&lt;01"),$AO176,$F176)</f>
        <v>0</v>
      </c>
      <c r="AQ176" s="39" t="n">
        <f aca="false">IF(LEFT($B176,4)="_Mil","",IF(SUM($AP176)=0,SUM($Z176),IF(OR(SUM($Z176)=0,SUM($O176)=0),MAX($AP176,$Z176),$AP176*$Z176/$O176)))</f>
        <v>1129</v>
      </c>
      <c r="AR176" s="88" t="str">
        <f aca="false">IF(OR(LEFT($B176,4)="_Mil",SUM($AJ176)=0),"",SUM($AQ176)/$AJ176)</f>
        <v/>
      </c>
      <c r="AS176" s="88" t="n">
        <f aca="false">IF($C176="&lt;01","",98%)</f>
        <v>0.98</v>
      </c>
      <c r="AT176" s="88" t="n">
        <f aca="false">IF($C176="&lt;01","",98%)</f>
        <v>0.98</v>
      </c>
      <c r="AU176" s="10" t="n">
        <f aca="false">IF($C176="&lt;01","",SUM($AP176)-SUM($O176))</f>
        <v>0</v>
      </c>
      <c r="AV176" s="10" t="n">
        <f aca="false">IF($C176="&lt;01",ROUND(INDEX(EID!$N:$N,MATCH($B176,EID!$B:$B,0))/2,0),IF(SUM($AT176)=0,"",ROUND((SUM($AP176)-(SUM($O176)*SUM($AS176)))/$AT176,0)))</f>
        <v>0</v>
      </c>
      <c r="AW176" s="88" t="n">
        <f aca="false">IF($C176="&lt;01","",100%)</f>
        <v>1</v>
      </c>
      <c r="AX176" s="39" t="n">
        <f aca="false">IF($C176="&lt;01",SUM($AV176),ROUND(SUM($AV176)*SUM($AW176),0))</f>
        <v>0</v>
      </c>
      <c r="AY176" s="114" t="n">
        <f aca="false">IF($C176="&lt;01","",70%)</f>
        <v>0.7</v>
      </c>
      <c r="AZ176" s="91" t="n">
        <f aca="false">IF($C176="&lt;01",ROUND(INDEX(EID!$R:$R,MATCH($B176,EID!$B:$B,0))/2,0),ROUND(SUM($O176)+(SUM($AV176)*$AY176),0))</f>
        <v>0</v>
      </c>
      <c r="BA176" s="87" t="n">
        <f aca="false">IF($C176="&lt;01","",95%)</f>
        <v>0.95</v>
      </c>
      <c r="BB176" s="5" t="n">
        <f aca="false">IF($C176="&lt;01",ROUND(INDEX(EID!$T:$T,MATCH($B176,EID!$B:$B,0))/2,0),ROUND($AZ176*$BA176,0))</f>
        <v>0</v>
      </c>
      <c r="BC176" s="91" t="n">
        <f aca="false">IF(LEFT($B176,4)="_Mil","",IF(SUM($BB176)=0,SUM($AD176),IF(OR(SUM($AP176)=0,SUM($AQ176)=0),MAX($BB176,$AD176),ROUND($BB176*$AQ176/$AP176,0))))</f>
        <v>0</v>
      </c>
      <c r="BD176" s="88" t="n">
        <f aca="false">IF($C176="&lt;01","",95%)</f>
        <v>0.95</v>
      </c>
      <c r="BE176" s="39" t="n">
        <f aca="false">IF($C176="&lt;01",ROUND(INDEX(EID!$V:$V,MATCH($B176,EID!$B:$B,0))/2,0),ROUND($BD176*$BB176,0))</f>
        <v>0</v>
      </c>
      <c r="BF176" s="39" t="n">
        <f aca="false">IF(LEFT($B176,4)="_Mil","",IF(SUM($BE176)=0,SUM($AF176),IF(OR(SUM($AP176)=0,SUM($AQ176)=0),MAX($BE176,$AF176),ROUND($BE176*$AQ176/$AP176,0))))</f>
        <v>0</v>
      </c>
      <c r="BG176" s="114" t="n">
        <f aca="false">IF($C176="&lt;01","",95%)</f>
        <v>0.95</v>
      </c>
      <c r="BH176" s="5" t="n">
        <f aca="false">IF($C176="&lt;01",ROUND(INDEX(EID!$L:$L,MATCH($B176,EID!$B:$B,0)),0)/2,IF(SUM($BG176)=0,"",ROUND($AX176/$BG176,0)))</f>
        <v>0</v>
      </c>
    </row>
    <row r="177" customFormat="false" ht="15" hidden="false" customHeight="false" outlineLevel="0" collapsed="false">
      <c r="A177" s="0" t="str">
        <f aca="false">INDEX(Prioritization!$D:$D,MATCH($B177,Prioritization!$A:$A,0))</f>
        <v>INVALID</v>
      </c>
      <c r="B177" s="0" t="s">
        <v>205</v>
      </c>
      <c r="C177" s="0" t="s">
        <v>366</v>
      </c>
      <c r="D177" s="0" t="s">
        <v>30</v>
      </c>
      <c r="E177" s="0" t="str">
        <f aca="false">$B177&amp;"|"&amp;$C177&amp;"|"&amp;$D177</f>
        <v>Karonga District [cPtvxaZqXIH]|25-34|Female</v>
      </c>
      <c r="F177" s="10"/>
      <c r="G177" s="10"/>
      <c r="H177" s="10"/>
      <c r="I177" s="10"/>
      <c r="J177" s="10"/>
      <c r="K177" s="10"/>
      <c r="L177" s="10"/>
      <c r="M177" s="10"/>
      <c r="N177" s="10"/>
      <c r="O177" s="10" t="str">
        <f aca="false">IFERROR(1/(1/MAX($I177,$N177)),"")</f>
        <v/>
      </c>
      <c r="P177" s="10"/>
      <c r="Q177" s="10"/>
      <c r="R177" s="10" t="str">
        <f aca="false">IF(AND(SUM($I177)=0,SUM($O177)=0),"",SUM($O177)-$I177)</f>
        <v/>
      </c>
      <c r="S177" s="10" t="n">
        <f aca="false">IF(LEFT($B177,4)="_Mil","",_xlfn.IFNA(ROUND(INDEX(Spectrum!$N:$N,MATCH(RIGHT($B177,13)&amp;"|"&amp;$C177&amp;"|"&amp;$D177&amp;"|"&amp;S$14&amp;"|"&amp;"CY2022Q4",Spectrum!$R:$R,0)),0),""))</f>
        <v>1049</v>
      </c>
      <c r="T177" s="39" t="n">
        <f aca="false">IF(LEFT($B177,4)="_Mil","",_xlfn.IFNA(ROUND(INDEX(Spectrum!$N:$N,MATCH(RIGHT($B177,13)&amp;"|"&amp;$C177&amp;"|"&amp;$D177&amp;"|"&amp;T$14&amp;"|"&amp;"CY2023Q3",Spectrum!$R:$R,0)),0),""))</f>
        <v>905</v>
      </c>
      <c r="U177" s="39" t="str">
        <f aca="false">IF(LEFT($B177,4)="_Mil","",_xlfn.IFNA(ROUND(INDEX(Spectrum!$N:$N,MATCH(RIGHT($B177,13)&amp;"|"&amp;$C177&amp;"|"&amp;$D177&amp;"|"&amp;U$14&amp;"|"&amp;"CY2023Q3",Spectrum!$R:$R,0)),0),""))</f>
        <v/>
      </c>
      <c r="V177" s="10" t="n">
        <f aca="false">IF(LEFT($B177,4)="_Mil","",_xlfn.IFNA(ROUND(INDEX(Spectrum!$N:$N,MATCH(RIGHT($B177,13)&amp;"|"&amp;$C177&amp;"|"&amp;$D177&amp;"|"&amp;V$14&amp;"|"&amp;"CY2023Q3",Spectrum!$R:$R,0)),0),""))</f>
        <v>500</v>
      </c>
      <c r="W177" s="113" t="n">
        <f aca="false">IF(LEFT($B177,4)="_Mil","",_xlfn.IFNA(INDEX(Spectrum!$N:$N,MATCH(RIGHT($B177,13)&amp;"|"&amp;$C177&amp;"|"&amp;$D177&amp;"|"&amp;W$14&amp;"|"&amp;"CY2023Q3",Spectrum!$R:$R,0)),""))</f>
        <v>1493</v>
      </c>
      <c r="X177" s="39" t="n">
        <f aca="false">IF(LEFT($B177,4)="_Mil","",_xlfn.IFNA(ROUND(INDEX(Spectrum!$N:$N,MATCH(RIGHT($B177,13)&amp;"|"&amp;$C177&amp;"|"&amp;$D177&amp;"|"&amp;X$14&amp;"|"&amp;"CY2023Q3",Spectrum!$R:$R,0)),0),""))</f>
        <v>1447</v>
      </c>
      <c r="Y177" s="88" t="str">
        <f aca="false">IF(OR(SUM($U177)=0,LEFT($B177,4)="_Mil"),"",SUM($X177)/$U177)</f>
        <v/>
      </c>
      <c r="Z177" s="39" t="n">
        <f aca="false">IF(LEFT($B177,4)="_Mil","",_xlfn.IFNA(ROUND(INDEX(Spectrum!$N:$N,MATCH(RIGHT($B177,13)&amp;"|"&amp;$C177&amp;"|"&amp;$D177&amp;"|"&amp;Z$14&amp;"|"&amp;"CY2023Q3",Spectrum!$R:$R,0)),0),""))</f>
        <v>1672</v>
      </c>
      <c r="AA177" s="88" t="n">
        <f aca="false">IF(LEFT($B177,4)="_Mil","",IFERROR(1/(1/INDEX(Spectrum!$N:$N,MATCH(RIGHT($B177,13)&amp;"|"&amp;$C177&amp;"|"&amp;$D177&amp;"|"&amp;AA$14&amp;"|"&amp;"CY2023Q3",Spectrum!$R:$R,0))),IF(SUM($U177)=0,"",SUM($Z177)/$U177)))</f>
        <v>1236</v>
      </c>
      <c r="AB177" s="88" t="n">
        <f aca="false">IF(OR(LEFT($B177,4)="_Mil",SUM($X177)=0),"",SUM($Z177)/$X177)</f>
        <v>1.15549412577747</v>
      </c>
      <c r="AC177" s="10" t="n">
        <f aca="false">IF(LEFT($B177,4)="_Mil","",_xlfn.IFNA(ROUND(INDEX(Spectrum!$N:$N,MATCH(RIGHT($B177,13)&amp;"|"&amp;$C177&amp;"|"&amp;$D177&amp;"|"&amp;AC$14&amp;"|"&amp;"CY2023Q3",Spectrum!$R:$R,0)),0),""))</f>
        <v>1501</v>
      </c>
      <c r="AD177" s="10" t="str">
        <f aca="false">IF(LEFT($B177,4)="_Mil","",_xlfn.IFNA(ROUND(INDEX(Spectrum!$N:$N,MATCH(RIGHT($B177,13)&amp;"|"&amp;$C177&amp;"|"&amp;$D177&amp;"|"&amp;AD$14&amp;"|"&amp;"CY2023Q3",Spectrum!$R:$R,0)),0),""))</f>
        <v/>
      </c>
      <c r="AE177" s="88" t="n">
        <f aca="false">IF(OR(LEFT($B177,4)="_Mil",SUM($Z177)=0),"",SUM($AD177)/$Z177)</f>
        <v>0</v>
      </c>
      <c r="AF177" s="39" t="str">
        <f aca="false">IF(LEFT($B177,4)="_Mil","",_xlfn.IFNA(ROUND(INDEX(Spectrum!$N:$N,MATCH(RIGHT($B177,13)&amp;"|"&amp;$C177&amp;"|"&amp;$D177&amp;"|"&amp;AF$14&amp;"|"&amp;"CY2023Q3",Spectrum!$R:$R,0)),0),""))</f>
        <v/>
      </c>
      <c r="AG177" s="88" t="str">
        <f aca="false">IF(OR(LEFT($B177,4)="_Mil",SUM($AD177)=0),"",SUM($AF177)/$AD177)</f>
        <v/>
      </c>
      <c r="AH177" s="86" t="str">
        <f aca="false">IF(LEFT($B177,4)="_Mil","",_xlfn.IFNA(INDEX(Spectrum!$N:$N,MATCH(RIGHT($B177,13)&amp;"|"&amp;$C177&amp;"|"&amp;$D177&amp;"|"&amp;AH$14&amp;"|"&amp;"CY2023Q3",Spectrum!$R:$R,0)),""))</f>
        <v/>
      </c>
      <c r="AI177" s="10" t="str">
        <f aca="false">IF(LEFT($B177,4)="_Mil","",_xlfn.IFNA(ROUND(INDEX(Spectrum!$N:$N,MATCH(RIGHT($B177,13)&amp;"|"&amp;$C177&amp;"|"&amp;$D177&amp;"|"&amp;AI$14&amp;"|"&amp;"CY2023Q3",Spectrum!$R:$R,0)),0),""))</f>
        <v/>
      </c>
      <c r="AJ177" s="39" t="n">
        <f aca="false">IF(LEFT($B177,4)="_Mil","",_xlfn.IFNA(ROUND(INDEX(Spectrum!$N:$N,MATCH(RIGHT($B177,13)&amp;"|"&amp;$C177&amp;"|"&amp;$D177&amp;"|"&amp;AI$14&amp;"|"&amp;"CY2023Q3",Spectrum!$R:$R,0)),0),SUM($U177)+SUM($AI177)))</f>
        <v>0</v>
      </c>
      <c r="AK177" s="10" t="str">
        <f aca="false">IF(LEFT($B177,4)="_Mil","",_xlfn.IFNA(ROUND(INDEX(Spectrum!$N:$N,MATCH(RIGHT($B177,13)&amp;"|"&amp;$C177&amp;"|"&amp;$D177&amp;"|"&amp;AK$14&amp;"|"&amp;"CY2023Q3",Spectrum!$R:$R,0)),0),""))</f>
        <v/>
      </c>
      <c r="AL177" s="88" t="n">
        <f aca="false">IF(OR(LEFT($B177,4)="_Mil",$C177="&lt;01"),"",MAX(SUM($AA177),90%))</f>
        <v>1236</v>
      </c>
      <c r="AM177" s="10" t="n">
        <f aca="false">IF(OR(LEFT($B177,4)="_Mil",$C177="&lt;01"),"",ROUND(SUM($AJ177)*SUM($AL177),0))</f>
        <v>0</v>
      </c>
      <c r="AN177" s="10" t="str">
        <f aca="false">IF($C177="&lt;01",ROUND(INDEX(EID!$P:$P,MATCH($B177,EID!$B:$B,0))/2,0),"")</f>
        <v/>
      </c>
      <c r="AO177" s="10" t="n">
        <f aca="false">IF($C177="&lt;01",SUM($AN177),ROUND(SUM($AM177)*SUM($O177)/IF(SUM($Z177)=0,1,$Z177),0))</f>
        <v>0</v>
      </c>
      <c r="AP177" s="39" t="n">
        <f aca="false">IF(OR($F177="",$C177="&lt;01"),$AO177,$F177)</f>
        <v>0</v>
      </c>
      <c r="AQ177" s="39" t="n">
        <f aca="false">IF(LEFT($B177,4)="_Mil","",IF(SUM($AP177)=0,SUM($Z177),IF(OR(SUM($Z177)=0,SUM($O177)=0),MAX($AP177,$Z177),$AP177*$Z177/$O177)))</f>
        <v>1672</v>
      </c>
      <c r="AR177" s="88" t="str">
        <f aca="false">IF(OR(LEFT($B177,4)="_Mil",SUM($AJ177)=0),"",SUM($AQ177)/$AJ177)</f>
        <v/>
      </c>
      <c r="AS177" s="88" t="n">
        <f aca="false">IF($C177="&lt;01","",98%)</f>
        <v>0.98</v>
      </c>
      <c r="AT177" s="88" t="n">
        <f aca="false">IF($C177="&lt;01","",98%)</f>
        <v>0.98</v>
      </c>
      <c r="AU177" s="10" t="n">
        <f aca="false">IF($C177="&lt;01","",SUM($AP177)-SUM($O177))</f>
        <v>0</v>
      </c>
      <c r="AV177" s="10" t="n">
        <f aca="false">IF($C177="&lt;01",ROUND(INDEX(EID!$N:$N,MATCH($B177,EID!$B:$B,0))/2,0),IF(SUM($AT177)=0,"",ROUND((SUM($AP177)-(SUM($O177)*SUM($AS177)))/$AT177,0)))</f>
        <v>0</v>
      </c>
      <c r="AW177" s="88" t="n">
        <f aca="false">IF($C177="&lt;01","",100%)</f>
        <v>1</v>
      </c>
      <c r="AX177" s="39" t="n">
        <f aca="false">IF($C177="&lt;01",SUM($AV177),ROUND(SUM($AV177)*SUM($AW177),0))</f>
        <v>0</v>
      </c>
      <c r="AY177" s="114" t="n">
        <f aca="false">IF($C177="&lt;01","",70%)</f>
        <v>0.7</v>
      </c>
      <c r="AZ177" s="91" t="n">
        <f aca="false">IF($C177="&lt;01",ROUND(INDEX(EID!$R:$R,MATCH($B177,EID!$B:$B,0))/2,0),ROUND(SUM($O177)+(SUM($AV177)*$AY177),0))</f>
        <v>0</v>
      </c>
      <c r="BA177" s="87" t="n">
        <f aca="false">IF($C177="&lt;01","",95%)</f>
        <v>0.95</v>
      </c>
      <c r="BB177" s="5" t="n">
        <f aca="false">IF($C177="&lt;01",ROUND(INDEX(EID!$T:$T,MATCH($B177,EID!$B:$B,0))/2,0),ROUND($AZ177*$BA177,0))</f>
        <v>0</v>
      </c>
      <c r="BC177" s="91" t="n">
        <f aca="false">IF(LEFT($B177,4)="_Mil","",IF(SUM($BB177)=0,SUM($AD177),IF(OR(SUM($AP177)=0,SUM($AQ177)=0),MAX($BB177,$AD177),ROUND($BB177*$AQ177/$AP177,0))))</f>
        <v>0</v>
      </c>
      <c r="BD177" s="88" t="n">
        <f aca="false">IF($C177="&lt;01","",95%)</f>
        <v>0.95</v>
      </c>
      <c r="BE177" s="39" t="n">
        <f aca="false">IF($C177="&lt;01",ROUND(INDEX(EID!$V:$V,MATCH($B177,EID!$B:$B,0))/2,0),ROUND($BD177*$BB177,0))</f>
        <v>0</v>
      </c>
      <c r="BF177" s="39" t="n">
        <f aca="false">IF(LEFT($B177,4)="_Mil","",IF(SUM($BE177)=0,SUM($AF177),IF(OR(SUM($AP177)=0,SUM($AQ177)=0),MAX($BE177,$AF177),ROUND($BE177*$AQ177/$AP177,0))))</f>
        <v>0</v>
      </c>
      <c r="BG177" s="114" t="n">
        <f aca="false">IF($C177="&lt;01","",95%)</f>
        <v>0.95</v>
      </c>
      <c r="BH177" s="5" t="n">
        <f aca="false">IF($C177="&lt;01",ROUND(INDEX(EID!$L:$L,MATCH($B177,EID!$B:$B,0)),0)/2,IF(SUM($BG177)=0,"",ROUND($AX177/$BG177,0)))</f>
        <v>0</v>
      </c>
    </row>
    <row r="178" customFormat="false" ht="15" hidden="false" customHeight="false" outlineLevel="0" collapsed="false">
      <c r="A178" s="0" t="str">
        <f aca="false">INDEX(Prioritization!$D:$D,MATCH($B178,Prioritization!$A:$A,0))</f>
        <v>INVALID</v>
      </c>
      <c r="B178" s="0" t="s">
        <v>205</v>
      </c>
      <c r="C178" s="0" t="s">
        <v>366</v>
      </c>
      <c r="D178" s="0" t="s">
        <v>48</v>
      </c>
      <c r="E178" s="0" t="str">
        <f aca="false">$B178&amp;"|"&amp;$C178&amp;"|"&amp;$D178</f>
        <v>Karonga District [cPtvxaZqXIH]|25-34|Male</v>
      </c>
      <c r="F178" s="10"/>
      <c r="G178" s="10"/>
      <c r="H178" s="10"/>
      <c r="I178" s="10"/>
      <c r="J178" s="10"/>
      <c r="K178" s="10"/>
      <c r="L178" s="10"/>
      <c r="M178" s="10"/>
      <c r="N178" s="10"/>
      <c r="O178" s="10" t="str">
        <f aca="false">IFERROR(1/(1/MAX($I178,$N178)),"")</f>
        <v/>
      </c>
      <c r="P178" s="10"/>
      <c r="Q178" s="10"/>
      <c r="R178" s="10" t="str">
        <f aca="false">IF(AND(SUM($I178)=0,SUM($O178)=0),"",SUM($O178)-$I178)</f>
        <v/>
      </c>
      <c r="S178" s="10" t="n">
        <f aca="false">IF(LEFT($B178,4)="_Mil","",_xlfn.IFNA(ROUND(INDEX(Spectrum!$N:$N,MATCH(RIGHT($B178,13)&amp;"|"&amp;$C178&amp;"|"&amp;$D178&amp;"|"&amp;S$14&amp;"|"&amp;"CY2022Q4",Spectrum!$R:$R,0)),0),""))</f>
        <v>1782</v>
      </c>
      <c r="T178" s="39" t="n">
        <f aca="false">IF(LEFT($B178,4)="_Mil","",_xlfn.IFNA(ROUND(INDEX(Spectrum!$N:$N,MATCH(RIGHT($B178,13)&amp;"|"&amp;$C178&amp;"|"&amp;$D178&amp;"|"&amp;T$14&amp;"|"&amp;"CY2023Q3",Spectrum!$R:$R,0)),0),""))</f>
        <v>896</v>
      </c>
      <c r="U178" s="39" t="str">
        <f aca="false">IF(LEFT($B178,4)="_Mil","",_xlfn.IFNA(ROUND(INDEX(Spectrum!$N:$N,MATCH(RIGHT($B178,13)&amp;"|"&amp;$C178&amp;"|"&amp;$D178&amp;"|"&amp;U$14&amp;"|"&amp;"CY2023Q3",Spectrum!$R:$R,0)),0),""))</f>
        <v/>
      </c>
      <c r="V178" s="10" t="n">
        <f aca="false">IF(LEFT($B178,4)="_Mil","",_xlfn.IFNA(ROUND(INDEX(Spectrum!$N:$N,MATCH(RIGHT($B178,13)&amp;"|"&amp;$C178&amp;"|"&amp;$D178&amp;"|"&amp;V$14&amp;"|"&amp;"CY2023Q3",Spectrum!$R:$R,0)),0),""))</f>
        <v>914</v>
      </c>
      <c r="W178" s="113" t="n">
        <f aca="false">IF(LEFT($B178,4)="_Mil","",_xlfn.IFNA(INDEX(Spectrum!$N:$N,MATCH(RIGHT($B178,13)&amp;"|"&amp;$C178&amp;"|"&amp;$D178&amp;"|"&amp;W$14&amp;"|"&amp;"CY2023Q3",Spectrum!$R:$R,0)),""))</f>
        <v>660</v>
      </c>
      <c r="X178" s="39" t="n">
        <f aca="false">IF(LEFT($B178,4)="_Mil","",_xlfn.IFNA(ROUND(INDEX(Spectrum!$N:$N,MATCH(RIGHT($B178,13)&amp;"|"&amp;$C178&amp;"|"&amp;$D178&amp;"|"&amp;X$14&amp;"|"&amp;"CY2023Q3",Spectrum!$R:$R,0)),0),""))</f>
        <v>619</v>
      </c>
      <c r="Y178" s="88" t="str">
        <f aca="false">IF(OR(SUM($U178)=0,LEFT($B178,4)="_Mil"),"",SUM($X178)/$U178)</f>
        <v/>
      </c>
      <c r="Z178" s="39" t="n">
        <f aca="false">IF(LEFT($B178,4)="_Mil","",_xlfn.IFNA(ROUND(INDEX(Spectrum!$N:$N,MATCH(RIGHT($B178,13)&amp;"|"&amp;$C178&amp;"|"&amp;$D178&amp;"|"&amp;Z$14&amp;"|"&amp;"CY2023Q3",Spectrum!$R:$R,0)),0),""))</f>
        <v>1639</v>
      </c>
      <c r="AA178" s="88" t="n">
        <f aca="false">IF(LEFT($B178,4)="_Mil","",IFERROR(1/(1/INDEX(Spectrum!$N:$N,MATCH(RIGHT($B178,13)&amp;"|"&amp;$C178&amp;"|"&amp;$D178&amp;"|"&amp;AA$14&amp;"|"&amp;"CY2023Q3",Spectrum!$R:$R,0))),IF(SUM($U178)=0,"",SUM($Z178)/$U178)))</f>
        <v>751</v>
      </c>
      <c r="AB178" s="88" t="n">
        <f aca="false">IF(OR(LEFT($B178,4)="_Mil",SUM($X178)=0),"",SUM($Z178)/$X178)</f>
        <v>2.64781906300485</v>
      </c>
      <c r="AC178" s="10" t="n">
        <f aca="false">IF(LEFT($B178,4)="_Mil","",_xlfn.IFNA(ROUND(INDEX(Spectrum!$N:$N,MATCH(RIGHT($B178,13)&amp;"|"&amp;$C178&amp;"|"&amp;$D178&amp;"|"&amp;AC$14&amp;"|"&amp;"CY2023Q3",Spectrum!$R:$R,0)),0),""))</f>
        <v>1215</v>
      </c>
      <c r="AD178" s="10" t="str">
        <f aca="false">IF(LEFT($B178,4)="_Mil","",_xlfn.IFNA(ROUND(INDEX(Spectrum!$N:$N,MATCH(RIGHT($B178,13)&amp;"|"&amp;$C178&amp;"|"&amp;$D178&amp;"|"&amp;AD$14&amp;"|"&amp;"CY2023Q3",Spectrum!$R:$R,0)),0),""))</f>
        <v/>
      </c>
      <c r="AE178" s="88" t="n">
        <f aca="false">IF(OR(LEFT($B178,4)="_Mil",SUM($Z178)=0),"",SUM($AD178)/$Z178)</f>
        <v>0</v>
      </c>
      <c r="AF178" s="39" t="str">
        <f aca="false">IF(LEFT($B178,4)="_Mil","",_xlfn.IFNA(ROUND(INDEX(Spectrum!$N:$N,MATCH(RIGHT($B178,13)&amp;"|"&amp;$C178&amp;"|"&amp;$D178&amp;"|"&amp;AF$14&amp;"|"&amp;"CY2023Q3",Spectrum!$R:$R,0)),0),""))</f>
        <v/>
      </c>
      <c r="AG178" s="88" t="str">
        <f aca="false">IF(OR(LEFT($B178,4)="_Mil",SUM($AD178)=0),"",SUM($AF178)/$AD178)</f>
        <v/>
      </c>
      <c r="AH178" s="86" t="str">
        <f aca="false">IF(LEFT($B178,4)="_Mil","",_xlfn.IFNA(INDEX(Spectrum!$N:$N,MATCH(RIGHT($B178,13)&amp;"|"&amp;$C178&amp;"|"&amp;$D178&amp;"|"&amp;AH$14&amp;"|"&amp;"CY2023Q3",Spectrum!$R:$R,0)),""))</f>
        <v/>
      </c>
      <c r="AI178" s="10" t="str">
        <f aca="false">IF(LEFT($B178,4)="_Mil","",_xlfn.IFNA(ROUND(INDEX(Spectrum!$N:$N,MATCH(RIGHT($B178,13)&amp;"|"&amp;$C178&amp;"|"&amp;$D178&amp;"|"&amp;AI$14&amp;"|"&amp;"CY2023Q3",Spectrum!$R:$R,0)),0),""))</f>
        <v/>
      </c>
      <c r="AJ178" s="39" t="n">
        <f aca="false">IF(LEFT($B178,4)="_Mil","",_xlfn.IFNA(ROUND(INDEX(Spectrum!$N:$N,MATCH(RIGHT($B178,13)&amp;"|"&amp;$C178&amp;"|"&amp;$D178&amp;"|"&amp;AI$14&amp;"|"&amp;"CY2023Q3",Spectrum!$R:$R,0)),0),SUM($U178)+SUM($AI178)))</f>
        <v>0</v>
      </c>
      <c r="AK178" s="10" t="str">
        <f aca="false">IF(LEFT($B178,4)="_Mil","",_xlfn.IFNA(ROUND(INDEX(Spectrum!$N:$N,MATCH(RIGHT($B178,13)&amp;"|"&amp;$C178&amp;"|"&amp;$D178&amp;"|"&amp;AK$14&amp;"|"&amp;"CY2023Q3",Spectrum!$R:$R,0)),0),""))</f>
        <v/>
      </c>
      <c r="AL178" s="88" t="n">
        <f aca="false">IF(OR(LEFT($B178,4)="_Mil",$C178="&lt;01"),"",MAX(SUM($AA178),90%))</f>
        <v>751</v>
      </c>
      <c r="AM178" s="10" t="n">
        <f aca="false">IF(OR(LEFT($B178,4)="_Mil",$C178="&lt;01"),"",ROUND(SUM($AJ178)*SUM($AL178),0))</f>
        <v>0</v>
      </c>
      <c r="AN178" s="10" t="str">
        <f aca="false">IF($C178="&lt;01",ROUND(INDEX(EID!$P:$P,MATCH($B178,EID!$B:$B,0))/2,0),"")</f>
        <v/>
      </c>
      <c r="AO178" s="10" t="n">
        <f aca="false">IF($C178="&lt;01",SUM($AN178),ROUND(SUM($AM178)*SUM($O178)/IF(SUM($Z178)=0,1,$Z178),0))</f>
        <v>0</v>
      </c>
      <c r="AP178" s="39" t="n">
        <f aca="false">IF(OR($F178="",$C178="&lt;01"),$AO178,$F178)</f>
        <v>0</v>
      </c>
      <c r="AQ178" s="39" t="n">
        <f aca="false">IF(LEFT($B178,4)="_Mil","",IF(SUM($AP178)=0,SUM($Z178),IF(OR(SUM($Z178)=0,SUM($O178)=0),MAX($AP178,$Z178),$AP178*$Z178/$O178)))</f>
        <v>1639</v>
      </c>
      <c r="AR178" s="88" t="str">
        <f aca="false">IF(OR(LEFT($B178,4)="_Mil",SUM($AJ178)=0),"",SUM($AQ178)/$AJ178)</f>
        <v/>
      </c>
      <c r="AS178" s="88" t="n">
        <f aca="false">IF($C178="&lt;01","",98%)</f>
        <v>0.98</v>
      </c>
      <c r="AT178" s="88" t="n">
        <f aca="false">IF($C178="&lt;01","",98%)</f>
        <v>0.98</v>
      </c>
      <c r="AU178" s="10" t="n">
        <f aca="false">IF($C178="&lt;01","",SUM($AP178)-SUM($O178))</f>
        <v>0</v>
      </c>
      <c r="AV178" s="10" t="n">
        <f aca="false">IF($C178="&lt;01",ROUND(INDEX(EID!$N:$N,MATCH($B178,EID!$B:$B,0))/2,0),IF(SUM($AT178)=0,"",ROUND((SUM($AP178)-(SUM($O178)*SUM($AS178)))/$AT178,0)))</f>
        <v>0</v>
      </c>
      <c r="AW178" s="88" t="n">
        <f aca="false">IF($C178="&lt;01","",100%)</f>
        <v>1</v>
      </c>
      <c r="AX178" s="39" t="n">
        <f aca="false">IF($C178="&lt;01",SUM($AV178),ROUND(SUM($AV178)*SUM($AW178),0))</f>
        <v>0</v>
      </c>
      <c r="AY178" s="114" t="n">
        <f aca="false">IF($C178="&lt;01","",70%)</f>
        <v>0.7</v>
      </c>
      <c r="AZ178" s="91" t="n">
        <f aca="false">IF($C178="&lt;01",ROUND(INDEX(EID!$R:$R,MATCH($B178,EID!$B:$B,0))/2,0),ROUND(SUM($O178)+(SUM($AV178)*$AY178),0))</f>
        <v>0</v>
      </c>
      <c r="BA178" s="87" t="n">
        <f aca="false">IF($C178="&lt;01","",95%)</f>
        <v>0.95</v>
      </c>
      <c r="BB178" s="5" t="n">
        <f aca="false">IF($C178="&lt;01",ROUND(INDEX(EID!$T:$T,MATCH($B178,EID!$B:$B,0))/2,0),ROUND($AZ178*$BA178,0))</f>
        <v>0</v>
      </c>
      <c r="BC178" s="91" t="n">
        <f aca="false">IF(LEFT($B178,4)="_Mil","",IF(SUM($BB178)=0,SUM($AD178),IF(OR(SUM($AP178)=0,SUM($AQ178)=0),MAX($BB178,$AD178),ROUND($BB178*$AQ178/$AP178,0))))</f>
        <v>0</v>
      </c>
      <c r="BD178" s="88" t="n">
        <f aca="false">IF($C178="&lt;01","",95%)</f>
        <v>0.95</v>
      </c>
      <c r="BE178" s="39" t="n">
        <f aca="false">IF($C178="&lt;01",ROUND(INDEX(EID!$V:$V,MATCH($B178,EID!$B:$B,0))/2,0),ROUND($BD178*$BB178,0))</f>
        <v>0</v>
      </c>
      <c r="BF178" s="39" t="n">
        <f aca="false">IF(LEFT($B178,4)="_Mil","",IF(SUM($BE178)=0,SUM($AF178),IF(OR(SUM($AP178)=0,SUM($AQ178)=0),MAX($BE178,$AF178),ROUND($BE178*$AQ178/$AP178,0))))</f>
        <v>0</v>
      </c>
      <c r="BG178" s="114" t="n">
        <f aca="false">IF($C178="&lt;01","",95%)</f>
        <v>0.95</v>
      </c>
      <c r="BH178" s="5" t="n">
        <f aca="false">IF($C178="&lt;01",ROUND(INDEX(EID!$L:$L,MATCH($B178,EID!$B:$B,0)),0)/2,IF(SUM($BG178)=0,"",ROUND($AX178/$BG178,0)))</f>
        <v>0</v>
      </c>
    </row>
    <row r="179" customFormat="false" ht="15" hidden="false" customHeight="false" outlineLevel="0" collapsed="false">
      <c r="A179" s="0" t="str">
        <f aca="false">INDEX(Prioritization!$D:$D,MATCH($B179,Prioritization!$A:$A,0))</f>
        <v>INVALID</v>
      </c>
      <c r="B179" s="0" t="s">
        <v>205</v>
      </c>
      <c r="C179" s="0" t="s">
        <v>367</v>
      </c>
      <c r="D179" s="0" t="s">
        <v>30</v>
      </c>
      <c r="E179" s="0" t="str">
        <f aca="false">$B179&amp;"|"&amp;$C179&amp;"|"&amp;$D179</f>
        <v>Karonga District [cPtvxaZqXIH]|35-49|Female</v>
      </c>
      <c r="F179" s="10"/>
      <c r="G179" s="10"/>
      <c r="H179" s="10"/>
      <c r="I179" s="10"/>
      <c r="J179" s="10"/>
      <c r="K179" s="10"/>
      <c r="L179" s="10"/>
      <c r="M179" s="10"/>
      <c r="N179" s="10"/>
      <c r="O179" s="10" t="str">
        <f aca="false">IFERROR(1/(1/MAX($I179,$N179)),"")</f>
        <v/>
      </c>
      <c r="P179" s="10"/>
      <c r="Q179" s="10"/>
      <c r="R179" s="10" t="str">
        <f aca="false">IF(AND(SUM($I179)=0,SUM($O179)=0),"",SUM($O179)-$I179)</f>
        <v/>
      </c>
      <c r="S179" s="10" t="n">
        <f aca="false">IF(LEFT($B179,4)="_Mil","",_xlfn.IFNA(ROUND(INDEX(Spectrum!$N:$N,MATCH(RIGHT($B179,13)&amp;"|"&amp;$C179&amp;"|"&amp;$D179&amp;"|"&amp;S$14&amp;"|"&amp;"CY2022Q4",Spectrum!$R:$R,0)),0),""))</f>
        <v>1741</v>
      </c>
      <c r="T179" s="39" t="n">
        <f aca="false">IF(LEFT($B179,4)="_Mil","",_xlfn.IFNA(ROUND(INDEX(Spectrum!$N:$N,MATCH(RIGHT($B179,13)&amp;"|"&amp;$C179&amp;"|"&amp;$D179&amp;"|"&amp;T$14&amp;"|"&amp;"CY2023Q3",Spectrum!$R:$R,0)),0),""))</f>
        <v>1416</v>
      </c>
      <c r="U179" s="39" t="str">
        <f aca="false">IF(LEFT($B179,4)="_Mil","",_xlfn.IFNA(ROUND(INDEX(Spectrum!$N:$N,MATCH(RIGHT($B179,13)&amp;"|"&amp;$C179&amp;"|"&amp;$D179&amp;"|"&amp;U$14&amp;"|"&amp;"CY2023Q3",Spectrum!$R:$R,0)),0),""))</f>
        <v/>
      </c>
      <c r="V179" s="10" t="n">
        <f aca="false">IF(LEFT($B179,4)="_Mil","",_xlfn.IFNA(ROUND(INDEX(Spectrum!$N:$N,MATCH(RIGHT($B179,13)&amp;"|"&amp;$C179&amp;"|"&amp;$D179&amp;"|"&amp;V$14&amp;"|"&amp;"CY2023Q3",Spectrum!$R:$R,0)),0),""))</f>
        <v>1115</v>
      </c>
      <c r="W179" s="113" t="n">
        <f aca="false">IF(LEFT($B179,4)="_Mil","",_xlfn.IFNA(INDEX(Spectrum!$N:$N,MATCH(RIGHT($B179,13)&amp;"|"&amp;$C179&amp;"|"&amp;$D179&amp;"|"&amp;W$14&amp;"|"&amp;"CY2023Q3",Spectrum!$R:$R,0)),""))</f>
        <v>1992</v>
      </c>
      <c r="X179" s="39" t="n">
        <f aca="false">IF(LEFT($B179,4)="_Mil","",_xlfn.IFNA(ROUND(INDEX(Spectrum!$N:$N,MATCH(RIGHT($B179,13)&amp;"|"&amp;$C179&amp;"|"&amp;$D179&amp;"|"&amp;X$14&amp;"|"&amp;"CY2023Q3",Spectrum!$R:$R,0)),0),""))</f>
        <v>1360</v>
      </c>
      <c r="Y179" s="88" t="str">
        <f aca="false">IF(OR(SUM($U179)=0,LEFT($B179,4)="_Mil"),"",SUM($X179)/$U179)</f>
        <v/>
      </c>
      <c r="Z179" s="39" t="n">
        <f aca="false">IF(LEFT($B179,4)="_Mil","",_xlfn.IFNA(ROUND(INDEX(Spectrum!$N:$N,MATCH(RIGHT($B179,13)&amp;"|"&amp;$C179&amp;"|"&amp;$D179&amp;"|"&amp;Z$14&amp;"|"&amp;"CY2023Q3",Spectrum!$R:$R,0)),0),""))</f>
        <v>1315</v>
      </c>
      <c r="AA179" s="88" t="n">
        <f aca="false">IF(LEFT($B179,4)="_Mil","",IFERROR(1/(1/INDEX(Spectrum!$N:$N,MATCH(RIGHT($B179,13)&amp;"|"&amp;$C179&amp;"|"&amp;$D179&amp;"|"&amp;AA$14&amp;"|"&amp;"CY2023Q3",Spectrum!$R:$R,0))),IF(SUM($U179)=0,"",SUM($Z179)/$U179)))</f>
        <v>1838</v>
      </c>
      <c r="AB179" s="88" t="n">
        <f aca="false">IF(OR(LEFT($B179,4)="_Mil",SUM($X179)=0),"",SUM($Z179)/$X179)</f>
        <v>0.966911764705882</v>
      </c>
      <c r="AC179" s="10" t="n">
        <f aca="false">IF(LEFT($B179,4)="_Mil","",_xlfn.IFNA(ROUND(INDEX(Spectrum!$N:$N,MATCH(RIGHT($B179,13)&amp;"|"&amp;$C179&amp;"|"&amp;$D179&amp;"|"&amp;AC$14&amp;"|"&amp;"CY2023Q3",Spectrum!$R:$R,0)),0),""))</f>
        <v>978</v>
      </c>
      <c r="AD179" s="10" t="str">
        <f aca="false">IF(LEFT($B179,4)="_Mil","",_xlfn.IFNA(ROUND(INDEX(Spectrum!$N:$N,MATCH(RIGHT($B179,13)&amp;"|"&amp;$C179&amp;"|"&amp;$D179&amp;"|"&amp;AD$14&amp;"|"&amp;"CY2023Q3",Spectrum!$R:$R,0)),0),""))</f>
        <v/>
      </c>
      <c r="AE179" s="88" t="n">
        <f aca="false">IF(OR(LEFT($B179,4)="_Mil",SUM($Z179)=0),"",SUM($AD179)/$Z179)</f>
        <v>0</v>
      </c>
      <c r="AF179" s="39" t="str">
        <f aca="false">IF(LEFT($B179,4)="_Mil","",_xlfn.IFNA(ROUND(INDEX(Spectrum!$N:$N,MATCH(RIGHT($B179,13)&amp;"|"&amp;$C179&amp;"|"&amp;$D179&amp;"|"&amp;AF$14&amp;"|"&amp;"CY2023Q3",Spectrum!$R:$R,0)),0),""))</f>
        <v/>
      </c>
      <c r="AG179" s="88" t="str">
        <f aca="false">IF(OR(LEFT($B179,4)="_Mil",SUM($AD179)=0),"",SUM($AF179)/$AD179)</f>
        <v/>
      </c>
      <c r="AH179" s="86" t="str">
        <f aca="false">IF(LEFT($B179,4)="_Mil","",_xlfn.IFNA(INDEX(Spectrum!$N:$N,MATCH(RIGHT($B179,13)&amp;"|"&amp;$C179&amp;"|"&amp;$D179&amp;"|"&amp;AH$14&amp;"|"&amp;"CY2023Q3",Spectrum!$R:$R,0)),""))</f>
        <v/>
      </c>
      <c r="AI179" s="10" t="str">
        <f aca="false">IF(LEFT($B179,4)="_Mil","",_xlfn.IFNA(ROUND(INDEX(Spectrum!$N:$N,MATCH(RIGHT($B179,13)&amp;"|"&amp;$C179&amp;"|"&amp;$D179&amp;"|"&amp;AI$14&amp;"|"&amp;"CY2023Q3",Spectrum!$R:$R,0)),0),""))</f>
        <v/>
      </c>
      <c r="AJ179" s="39" t="n">
        <f aca="false">IF(LEFT($B179,4)="_Mil","",_xlfn.IFNA(ROUND(INDEX(Spectrum!$N:$N,MATCH(RIGHT($B179,13)&amp;"|"&amp;$C179&amp;"|"&amp;$D179&amp;"|"&amp;AI$14&amp;"|"&amp;"CY2023Q3",Spectrum!$R:$R,0)),0),SUM($U179)+SUM($AI179)))</f>
        <v>0</v>
      </c>
      <c r="AK179" s="10" t="str">
        <f aca="false">IF(LEFT($B179,4)="_Mil","",_xlfn.IFNA(ROUND(INDEX(Spectrum!$N:$N,MATCH(RIGHT($B179,13)&amp;"|"&amp;$C179&amp;"|"&amp;$D179&amp;"|"&amp;AK$14&amp;"|"&amp;"CY2023Q3",Spectrum!$R:$R,0)),0),""))</f>
        <v/>
      </c>
      <c r="AL179" s="88" t="n">
        <f aca="false">IF(OR(LEFT($B179,4)="_Mil",$C179="&lt;01"),"",MAX(SUM($AA179),90%))</f>
        <v>1838</v>
      </c>
      <c r="AM179" s="10" t="n">
        <f aca="false">IF(OR(LEFT($B179,4)="_Mil",$C179="&lt;01"),"",ROUND(SUM($AJ179)*SUM($AL179),0))</f>
        <v>0</v>
      </c>
      <c r="AN179" s="10" t="str">
        <f aca="false">IF($C179="&lt;01",ROUND(INDEX(EID!$P:$P,MATCH($B179,EID!$B:$B,0))/2,0),"")</f>
        <v/>
      </c>
      <c r="AO179" s="10" t="n">
        <f aca="false">IF($C179="&lt;01",SUM($AN179),ROUND(SUM($AM179)*SUM($O179)/IF(SUM($Z179)=0,1,$Z179),0))</f>
        <v>0</v>
      </c>
      <c r="AP179" s="39" t="n">
        <f aca="false">IF(OR($F179="",$C179="&lt;01"),$AO179,$F179)</f>
        <v>0</v>
      </c>
      <c r="AQ179" s="39" t="n">
        <f aca="false">IF(LEFT($B179,4)="_Mil","",IF(SUM($AP179)=0,SUM($Z179),IF(OR(SUM($Z179)=0,SUM($O179)=0),MAX($AP179,$Z179),$AP179*$Z179/$O179)))</f>
        <v>1315</v>
      </c>
      <c r="AR179" s="88" t="str">
        <f aca="false">IF(OR(LEFT($B179,4)="_Mil",SUM($AJ179)=0),"",SUM($AQ179)/$AJ179)</f>
        <v/>
      </c>
      <c r="AS179" s="88" t="n">
        <f aca="false">IF($C179="&lt;01","",98%)</f>
        <v>0.98</v>
      </c>
      <c r="AT179" s="88" t="n">
        <f aca="false">IF($C179="&lt;01","",98%)</f>
        <v>0.98</v>
      </c>
      <c r="AU179" s="10" t="n">
        <f aca="false">IF($C179="&lt;01","",SUM($AP179)-SUM($O179))</f>
        <v>0</v>
      </c>
      <c r="AV179" s="10" t="n">
        <f aca="false">IF($C179="&lt;01",ROUND(INDEX(EID!$N:$N,MATCH($B179,EID!$B:$B,0))/2,0),IF(SUM($AT179)=0,"",ROUND((SUM($AP179)-(SUM($O179)*SUM($AS179)))/$AT179,0)))</f>
        <v>0</v>
      </c>
      <c r="AW179" s="88" t="n">
        <f aca="false">IF($C179="&lt;01","",100%)</f>
        <v>1</v>
      </c>
      <c r="AX179" s="39" t="n">
        <f aca="false">IF($C179="&lt;01",SUM($AV179),ROUND(SUM($AV179)*SUM($AW179),0))</f>
        <v>0</v>
      </c>
      <c r="AY179" s="114" t="n">
        <f aca="false">IF($C179="&lt;01","",70%)</f>
        <v>0.7</v>
      </c>
      <c r="AZ179" s="91" t="n">
        <f aca="false">IF($C179="&lt;01",ROUND(INDEX(EID!$R:$R,MATCH($B179,EID!$B:$B,0))/2,0),ROUND(SUM($O179)+(SUM($AV179)*$AY179),0))</f>
        <v>0</v>
      </c>
      <c r="BA179" s="87" t="n">
        <f aca="false">IF($C179="&lt;01","",95%)</f>
        <v>0.95</v>
      </c>
      <c r="BB179" s="5" t="n">
        <f aca="false">IF($C179="&lt;01",ROUND(INDEX(EID!$T:$T,MATCH($B179,EID!$B:$B,0))/2,0),ROUND($AZ179*$BA179,0))</f>
        <v>0</v>
      </c>
      <c r="BC179" s="91" t="n">
        <f aca="false">IF(LEFT($B179,4)="_Mil","",IF(SUM($BB179)=0,SUM($AD179),IF(OR(SUM($AP179)=0,SUM($AQ179)=0),MAX($BB179,$AD179),ROUND($BB179*$AQ179/$AP179,0))))</f>
        <v>0</v>
      </c>
      <c r="BD179" s="88" t="n">
        <f aca="false">IF($C179="&lt;01","",95%)</f>
        <v>0.95</v>
      </c>
      <c r="BE179" s="39" t="n">
        <f aca="false">IF($C179="&lt;01",ROUND(INDEX(EID!$V:$V,MATCH($B179,EID!$B:$B,0))/2,0),ROUND($BD179*$BB179,0))</f>
        <v>0</v>
      </c>
      <c r="BF179" s="39" t="n">
        <f aca="false">IF(LEFT($B179,4)="_Mil","",IF(SUM($BE179)=0,SUM($AF179),IF(OR(SUM($AP179)=0,SUM($AQ179)=0),MAX($BE179,$AF179),ROUND($BE179*$AQ179/$AP179,0))))</f>
        <v>0</v>
      </c>
      <c r="BG179" s="114" t="n">
        <f aca="false">IF($C179="&lt;01","",95%)</f>
        <v>0.95</v>
      </c>
      <c r="BH179" s="5" t="n">
        <f aca="false">IF($C179="&lt;01",ROUND(INDEX(EID!$L:$L,MATCH($B179,EID!$B:$B,0)),0)/2,IF(SUM($BG179)=0,"",ROUND($AX179/$BG179,0)))</f>
        <v>0</v>
      </c>
    </row>
    <row r="180" customFormat="false" ht="15" hidden="false" customHeight="false" outlineLevel="0" collapsed="false">
      <c r="A180" s="0" t="str">
        <f aca="false">INDEX(Prioritization!$D:$D,MATCH($B180,Prioritization!$A:$A,0))</f>
        <v>INVALID</v>
      </c>
      <c r="B180" s="0" t="s">
        <v>205</v>
      </c>
      <c r="C180" s="0" t="s">
        <v>367</v>
      </c>
      <c r="D180" s="0" t="s">
        <v>48</v>
      </c>
      <c r="E180" s="0" t="str">
        <f aca="false">$B180&amp;"|"&amp;$C180&amp;"|"&amp;$D180</f>
        <v>Karonga District [cPtvxaZqXIH]|35-49|Male</v>
      </c>
      <c r="F180" s="10"/>
      <c r="G180" s="10"/>
      <c r="H180" s="10"/>
      <c r="I180" s="10"/>
      <c r="J180" s="10"/>
      <c r="K180" s="10"/>
      <c r="L180" s="10"/>
      <c r="M180" s="10"/>
      <c r="N180" s="10"/>
      <c r="O180" s="10" t="str">
        <f aca="false">IFERROR(1/(1/MAX($I180,$N180)),"")</f>
        <v/>
      </c>
      <c r="P180" s="10"/>
      <c r="Q180" s="10"/>
      <c r="R180" s="10" t="str">
        <f aca="false">IF(AND(SUM($I180)=0,SUM($O180)=0),"",SUM($O180)-$I180)</f>
        <v/>
      </c>
      <c r="S180" s="10" t="n">
        <f aca="false">IF(LEFT($B180,4)="_Mil","",_xlfn.IFNA(ROUND(INDEX(Spectrum!$N:$N,MATCH(RIGHT($B180,13)&amp;"|"&amp;$C180&amp;"|"&amp;$D180&amp;"|"&amp;S$14&amp;"|"&amp;"CY2022Q4",Spectrum!$R:$R,0)),0),""))</f>
        <v>958</v>
      </c>
      <c r="T180" s="39" t="n">
        <f aca="false">IF(LEFT($B180,4)="_Mil","",_xlfn.IFNA(ROUND(INDEX(Spectrum!$N:$N,MATCH(RIGHT($B180,13)&amp;"|"&amp;$C180&amp;"|"&amp;$D180&amp;"|"&amp;T$14&amp;"|"&amp;"CY2023Q3",Spectrum!$R:$R,0)),0),""))</f>
        <v>1038</v>
      </c>
      <c r="U180" s="39" t="str">
        <f aca="false">IF(LEFT($B180,4)="_Mil","",_xlfn.IFNA(ROUND(INDEX(Spectrum!$N:$N,MATCH(RIGHT($B180,13)&amp;"|"&amp;$C180&amp;"|"&amp;$D180&amp;"|"&amp;U$14&amp;"|"&amp;"CY2023Q3",Spectrum!$R:$R,0)),0),""))</f>
        <v/>
      </c>
      <c r="V180" s="10" t="n">
        <f aca="false">IF(LEFT($B180,4)="_Mil","",_xlfn.IFNA(ROUND(INDEX(Spectrum!$N:$N,MATCH(RIGHT($B180,13)&amp;"|"&amp;$C180&amp;"|"&amp;$D180&amp;"|"&amp;V$14&amp;"|"&amp;"CY2023Q3",Spectrum!$R:$R,0)),0),""))</f>
        <v>1376</v>
      </c>
      <c r="W180" s="113" t="n">
        <f aca="false">IF(LEFT($B180,4)="_Mil","",_xlfn.IFNA(INDEX(Spectrum!$N:$N,MATCH(RIGHT($B180,13)&amp;"|"&amp;$C180&amp;"|"&amp;$D180&amp;"|"&amp;W$14&amp;"|"&amp;"CY2023Q3",Spectrum!$R:$R,0)),""))</f>
        <v>1738</v>
      </c>
      <c r="X180" s="39" t="n">
        <f aca="false">IF(LEFT($B180,4)="_Mil","",_xlfn.IFNA(ROUND(INDEX(Spectrum!$N:$N,MATCH(RIGHT($B180,13)&amp;"|"&amp;$C180&amp;"|"&amp;$D180&amp;"|"&amp;X$14&amp;"|"&amp;"CY2023Q3",Spectrum!$R:$R,0)),0),""))</f>
        <v>1510</v>
      </c>
      <c r="Y180" s="88" t="str">
        <f aca="false">IF(OR(SUM($U180)=0,LEFT($B180,4)="_Mil"),"",SUM($X180)/$U180)</f>
        <v/>
      </c>
      <c r="Z180" s="39" t="n">
        <f aca="false">IF(LEFT($B180,4)="_Mil","",_xlfn.IFNA(ROUND(INDEX(Spectrum!$N:$N,MATCH(RIGHT($B180,13)&amp;"|"&amp;$C180&amp;"|"&amp;$D180&amp;"|"&amp;Z$14&amp;"|"&amp;"CY2023Q3",Spectrum!$R:$R,0)),0),""))</f>
        <v>1607</v>
      </c>
      <c r="AA180" s="88" t="n">
        <f aca="false">IF(LEFT($B180,4)="_Mil","",IFERROR(1/(1/INDEX(Spectrum!$N:$N,MATCH(RIGHT($B180,13)&amp;"|"&amp;$C180&amp;"|"&amp;$D180&amp;"|"&amp;AA$14&amp;"|"&amp;"CY2023Q3",Spectrum!$R:$R,0))),IF(SUM($U180)=0,"",SUM($Z180)/$U180)))</f>
        <v>771</v>
      </c>
      <c r="AB180" s="88" t="n">
        <f aca="false">IF(OR(LEFT($B180,4)="_Mil",SUM($X180)=0),"",SUM($Z180)/$X180)</f>
        <v>1.06423841059603</v>
      </c>
      <c r="AC180" s="10" t="n">
        <f aca="false">IF(LEFT($B180,4)="_Mil","",_xlfn.IFNA(ROUND(INDEX(Spectrum!$N:$N,MATCH(RIGHT($B180,13)&amp;"|"&amp;$C180&amp;"|"&amp;$D180&amp;"|"&amp;AC$14&amp;"|"&amp;"CY2023Q3",Spectrum!$R:$R,0)),0),""))</f>
        <v>1628</v>
      </c>
      <c r="AD180" s="10" t="str">
        <f aca="false">IF(LEFT($B180,4)="_Mil","",_xlfn.IFNA(ROUND(INDEX(Spectrum!$N:$N,MATCH(RIGHT($B180,13)&amp;"|"&amp;$C180&amp;"|"&amp;$D180&amp;"|"&amp;AD$14&amp;"|"&amp;"CY2023Q3",Spectrum!$R:$R,0)),0),""))</f>
        <v/>
      </c>
      <c r="AE180" s="88" t="n">
        <f aca="false">IF(OR(LEFT($B180,4)="_Mil",SUM($Z180)=0),"",SUM($AD180)/$Z180)</f>
        <v>0</v>
      </c>
      <c r="AF180" s="39" t="str">
        <f aca="false">IF(LEFT($B180,4)="_Mil","",_xlfn.IFNA(ROUND(INDEX(Spectrum!$N:$N,MATCH(RIGHT($B180,13)&amp;"|"&amp;$C180&amp;"|"&amp;$D180&amp;"|"&amp;AF$14&amp;"|"&amp;"CY2023Q3",Spectrum!$R:$R,0)),0),""))</f>
        <v/>
      </c>
      <c r="AG180" s="88" t="str">
        <f aca="false">IF(OR(LEFT($B180,4)="_Mil",SUM($AD180)=0),"",SUM($AF180)/$AD180)</f>
        <v/>
      </c>
      <c r="AH180" s="86" t="str">
        <f aca="false">IF(LEFT($B180,4)="_Mil","",_xlfn.IFNA(INDEX(Spectrum!$N:$N,MATCH(RIGHT($B180,13)&amp;"|"&amp;$C180&amp;"|"&amp;$D180&amp;"|"&amp;AH$14&amp;"|"&amp;"CY2023Q3",Spectrum!$R:$R,0)),""))</f>
        <v/>
      </c>
      <c r="AI180" s="10" t="str">
        <f aca="false">IF(LEFT($B180,4)="_Mil","",_xlfn.IFNA(ROUND(INDEX(Spectrum!$N:$N,MATCH(RIGHT($B180,13)&amp;"|"&amp;$C180&amp;"|"&amp;$D180&amp;"|"&amp;AI$14&amp;"|"&amp;"CY2023Q3",Spectrum!$R:$R,0)),0),""))</f>
        <v/>
      </c>
      <c r="AJ180" s="39" t="n">
        <f aca="false">IF(LEFT($B180,4)="_Mil","",_xlfn.IFNA(ROUND(INDEX(Spectrum!$N:$N,MATCH(RIGHT($B180,13)&amp;"|"&amp;$C180&amp;"|"&amp;$D180&amp;"|"&amp;AI$14&amp;"|"&amp;"CY2023Q3",Spectrum!$R:$R,0)),0),SUM($U180)+SUM($AI180)))</f>
        <v>0</v>
      </c>
      <c r="AK180" s="10" t="str">
        <f aca="false">IF(LEFT($B180,4)="_Mil","",_xlfn.IFNA(ROUND(INDEX(Spectrum!$N:$N,MATCH(RIGHT($B180,13)&amp;"|"&amp;$C180&amp;"|"&amp;$D180&amp;"|"&amp;AK$14&amp;"|"&amp;"CY2023Q3",Spectrum!$R:$R,0)),0),""))</f>
        <v/>
      </c>
      <c r="AL180" s="88" t="n">
        <f aca="false">IF(OR(LEFT($B180,4)="_Mil",$C180="&lt;01"),"",MAX(SUM($AA180),90%))</f>
        <v>771</v>
      </c>
      <c r="AM180" s="10" t="n">
        <f aca="false">IF(OR(LEFT($B180,4)="_Mil",$C180="&lt;01"),"",ROUND(SUM($AJ180)*SUM($AL180),0))</f>
        <v>0</v>
      </c>
      <c r="AN180" s="10" t="str">
        <f aca="false">IF($C180="&lt;01",ROUND(INDEX(EID!$P:$P,MATCH($B180,EID!$B:$B,0))/2,0),"")</f>
        <v/>
      </c>
      <c r="AO180" s="10" t="n">
        <f aca="false">IF($C180="&lt;01",SUM($AN180),ROUND(SUM($AM180)*SUM($O180)/IF(SUM($Z180)=0,1,$Z180),0))</f>
        <v>0</v>
      </c>
      <c r="AP180" s="39" t="n">
        <f aca="false">IF(OR($F180="",$C180="&lt;01"),$AO180,$F180)</f>
        <v>0</v>
      </c>
      <c r="AQ180" s="39" t="n">
        <f aca="false">IF(LEFT($B180,4)="_Mil","",IF(SUM($AP180)=0,SUM($Z180),IF(OR(SUM($Z180)=0,SUM($O180)=0),MAX($AP180,$Z180),$AP180*$Z180/$O180)))</f>
        <v>1607</v>
      </c>
      <c r="AR180" s="88" t="str">
        <f aca="false">IF(OR(LEFT($B180,4)="_Mil",SUM($AJ180)=0),"",SUM($AQ180)/$AJ180)</f>
        <v/>
      </c>
      <c r="AS180" s="88" t="n">
        <f aca="false">IF($C180="&lt;01","",98%)</f>
        <v>0.98</v>
      </c>
      <c r="AT180" s="88" t="n">
        <f aca="false">IF($C180="&lt;01","",98%)</f>
        <v>0.98</v>
      </c>
      <c r="AU180" s="10" t="n">
        <f aca="false">IF($C180="&lt;01","",SUM($AP180)-SUM($O180))</f>
        <v>0</v>
      </c>
      <c r="AV180" s="10" t="n">
        <f aca="false">IF($C180="&lt;01",ROUND(INDEX(EID!$N:$N,MATCH($B180,EID!$B:$B,0))/2,0),IF(SUM($AT180)=0,"",ROUND((SUM($AP180)-(SUM($O180)*SUM($AS180)))/$AT180,0)))</f>
        <v>0</v>
      </c>
      <c r="AW180" s="88" t="n">
        <f aca="false">IF($C180="&lt;01","",100%)</f>
        <v>1</v>
      </c>
      <c r="AX180" s="39" t="n">
        <f aca="false">IF($C180="&lt;01",SUM($AV180),ROUND(SUM($AV180)*SUM($AW180),0))</f>
        <v>0</v>
      </c>
      <c r="AY180" s="114" t="n">
        <f aca="false">IF($C180="&lt;01","",70%)</f>
        <v>0.7</v>
      </c>
      <c r="AZ180" s="91" t="n">
        <f aca="false">IF($C180="&lt;01",ROUND(INDEX(EID!$R:$R,MATCH($B180,EID!$B:$B,0))/2,0),ROUND(SUM($O180)+(SUM($AV180)*$AY180),0))</f>
        <v>0</v>
      </c>
      <c r="BA180" s="87" t="n">
        <f aca="false">IF($C180="&lt;01","",95%)</f>
        <v>0.95</v>
      </c>
      <c r="BB180" s="5" t="n">
        <f aca="false">IF($C180="&lt;01",ROUND(INDEX(EID!$T:$T,MATCH($B180,EID!$B:$B,0))/2,0),ROUND($AZ180*$BA180,0))</f>
        <v>0</v>
      </c>
      <c r="BC180" s="91" t="n">
        <f aca="false">IF(LEFT($B180,4)="_Mil","",IF(SUM($BB180)=0,SUM($AD180),IF(OR(SUM($AP180)=0,SUM($AQ180)=0),MAX($BB180,$AD180),ROUND($BB180*$AQ180/$AP180,0))))</f>
        <v>0</v>
      </c>
      <c r="BD180" s="88" t="n">
        <f aca="false">IF($C180="&lt;01","",95%)</f>
        <v>0.95</v>
      </c>
      <c r="BE180" s="39" t="n">
        <f aca="false">IF($C180="&lt;01",ROUND(INDEX(EID!$V:$V,MATCH($B180,EID!$B:$B,0))/2,0),ROUND($BD180*$BB180,0))</f>
        <v>0</v>
      </c>
      <c r="BF180" s="39" t="n">
        <f aca="false">IF(LEFT($B180,4)="_Mil","",IF(SUM($BE180)=0,SUM($AF180),IF(OR(SUM($AP180)=0,SUM($AQ180)=0),MAX($BE180,$AF180),ROUND($BE180*$AQ180/$AP180,0))))</f>
        <v>0</v>
      </c>
      <c r="BG180" s="114" t="n">
        <f aca="false">IF($C180="&lt;01","",95%)</f>
        <v>0.95</v>
      </c>
      <c r="BH180" s="5" t="n">
        <f aca="false">IF($C180="&lt;01",ROUND(INDEX(EID!$L:$L,MATCH($B180,EID!$B:$B,0)),0)/2,IF(SUM($BG180)=0,"",ROUND($AX180/$BG180,0)))</f>
        <v>0</v>
      </c>
    </row>
    <row r="181" customFormat="false" ht="15" hidden="false" customHeight="false" outlineLevel="0" collapsed="false">
      <c r="A181" s="0" t="str">
        <f aca="false">INDEX(Prioritization!$D:$D,MATCH($B181,Prioritization!$A:$A,0))</f>
        <v>INVALID</v>
      </c>
      <c r="B181" s="0" t="s">
        <v>205</v>
      </c>
      <c r="C181" s="0" t="s">
        <v>368</v>
      </c>
      <c r="D181" s="0" t="s">
        <v>30</v>
      </c>
      <c r="E181" s="0" t="str">
        <f aca="false">$B181&amp;"|"&amp;$C181&amp;"|"&amp;$D181</f>
        <v>Karonga District [cPtvxaZqXIH]|50+|Female</v>
      </c>
      <c r="F181" s="10"/>
      <c r="G181" s="10"/>
      <c r="H181" s="10"/>
      <c r="I181" s="10"/>
      <c r="J181" s="10"/>
      <c r="K181" s="10"/>
      <c r="L181" s="10"/>
      <c r="M181" s="10"/>
      <c r="N181" s="10"/>
      <c r="O181" s="10" t="str">
        <f aca="false">IFERROR(1/(1/MAX($I181,$N181)),"")</f>
        <v/>
      </c>
      <c r="P181" s="10"/>
      <c r="Q181" s="10"/>
      <c r="R181" s="10" t="str">
        <f aca="false">IF(AND(SUM($I181)=0,SUM($O181)=0),"",SUM($O181)-$I181)</f>
        <v/>
      </c>
      <c r="S181" s="10" t="n">
        <f aca="false">IF(LEFT($B181,4)="_Mil","",_xlfn.IFNA(ROUND(INDEX(Spectrum!$N:$N,MATCH(RIGHT($B181,13)&amp;"|"&amp;$C181&amp;"|"&amp;$D181&amp;"|"&amp;S$14&amp;"|"&amp;"CY2022Q4",Spectrum!$R:$R,0)),0),""))</f>
        <v>826</v>
      </c>
      <c r="T181" s="39" t="n">
        <f aca="false">IF(LEFT($B181,4)="_Mil","",_xlfn.IFNA(ROUND(INDEX(Spectrum!$N:$N,MATCH(RIGHT($B181,13)&amp;"|"&amp;$C181&amp;"|"&amp;$D181&amp;"|"&amp;T$14&amp;"|"&amp;"CY2023Q3",Spectrum!$R:$R,0)),0),""))</f>
        <v>1745</v>
      </c>
      <c r="U181" s="39" t="str">
        <f aca="false">IF(LEFT($B181,4)="_Mil","",_xlfn.IFNA(ROUND(INDEX(Spectrum!$N:$N,MATCH(RIGHT($B181,13)&amp;"|"&amp;$C181&amp;"|"&amp;$D181&amp;"|"&amp;U$14&amp;"|"&amp;"CY2023Q3",Spectrum!$R:$R,0)),0),""))</f>
        <v/>
      </c>
      <c r="V181" s="10" t="n">
        <f aca="false">IF(LEFT($B181,4)="_Mil","",_xlfn.IFNA(ROUND(INDEX(Spectrum!$N:$N,MATCH(RIGHT($B181,13)&amp;"|"&amp;$C181&amp;"|"&amp;$D181&amp;"|"&amp;V$14&amp;"|"&amp;"CY2023Q3",Spectrum!$R:$R,0)),0),""))</f>
        <v>1797</v>
      </c>
      <c r="W181" s="113" t="n">
        <f aca="false">IF(LEFT($B181,4)="_Mil","",_xlfn.IFNA(INDEX(Spectrum!$N:$N,MATCH(RIGHT($B181,13)&amp;"|"&amp;$C181&amp;"|"&amp;$D181&amp;"|"&amp;W$14&amp;"|"&amp;"CY2023Q3",Spectrum!$R:$R,0)),""))</f>
        <v>1324</v>
      </c>
      <c r="X181" s="39" t="n">
        <f aca="false">IF(LEFT($B181,4)="_Mil","",_xlfn.IFNA(ROUND(INDEX(Spectrum!$N:$N,MATCH(RIGHT($B181,13)&amp;"|"&amp;$C181&amp;"|"&amp;$D181&amp;"|"&amp;X$14&amp;"|"&amp;"CY2023Q3",Spectrum!$R:$R,0)),0),""))</f>
        <v>1898</v>
      </c>
      <c r="Y181" s="88" t="str">
        <f aca="false">IF(OR(SUM($U181)=0,LEFT($B181,4)="_Mil"),"",SUM($X181)/$U181)</f>
        <v/>
      </c>
      <c r="Z181" s="39" t="n">
        <f aca="false">IF(LEFT($B181,4)="_Mil","",_xlfn.IFNA(ROUND(INDEX(Spectrum!$N:$N,MATCH(RIGHT($B181,13)&amp;"|"&amp;$C181&amp;"|"&amp;$D181&amp;"|"&amp;Z$14&amp;"|"&amp;"CY2023Q3",Spectrum!$R:$R,0)),0),""))</f>
        <v>526</v>
      </c>
      <c r="AA181" s="88" t="n">
        <f aca="false">IF(LEFT($B181,4)="_Mil","",IFERROR(1/(1/INDEX(Spectrum!$N:$N,MATCH(RIGHT($B181,13)&amp;"|"&amp;$C181&amp;"|"&amp;$D181&amp;"|"&amp;AA$14&amp;"|"&amp;"CY2023Q3",Spectrum!$R:$R,0))),IF(SUM($U181)=0,"",SUM($Z181)/$U181)))</f>
        <v>1027</v>
      </c>
      <c r="AB181" s="88" t="n">
        <f aca="false">IF(OR(LEFT($B181,4)="_Mil",SUM($X181)=0),"",SUM($Z181)/$X181)</f>
        <v>0.277133825079031</v>
      </c>
      <c r="AC181" s="10" t="n">
        <f aca="false">IF(LEFT($B181,4)="_Mil","",_xlfn.IFNA(ROUND(INDEX(Spectrum!$N:$N,MATCH(RIGHT($B181,13)&amp;"|"&amp;$C181&amp;"|"&amp;$D181&amp;"|"&amp;AC$14&amp;"|"&amp;"CY2023Q3",Spectrum!$R:$R,0)),0),""))</f>
        <v>560</v>
      </c>
      <c r="AD181" s="10" t="str">
        <f aca="false">IF(LEFT($B181,4)="_Mil","",_xlfn.IFNA(ROUND(INDEX(Spectrum!$N:$N,MATCH(RIGHT($B181,13)&amp;"|"&amp;$C181&amp;"|"&amp;$D181&amp;"|"&amp;AD$14&amp;"|"&amp;"CY2023Q3",Spectrum!$R:$R,0)),0),""))</f>
        <v/>
      </c>
      <c r="AE181" s="88" t="n">
        <f aca="false">IF(OR(LEFT($B181,4)="_Mil",SUM($Z181)=0),"",SUM($AD181)/$Z181)</f>
        <v>0</v>
      </c>
      <c r="AF181" s="39" t="str">
        <f aca="false">IF(LEFT($B181,4)="_Mil","",_xlfn.IFNA(ROUND(INDEX(Spectrum!$N:$N,MATCH(RIGHT($B181,13)&amp;"|"&amp;$C181&amp;"|"&amp;$D181&amp;"|"&amp;AF$14&amp;"|"&amp;"CY2023Q3",Spectrum!$R:$R,0)),0),""))</f>
        <v/>
      </c>
      <c r="AG181" s="88" t="str">
        <f aca="false">IF(OR(LEFT($B181,4)="_Mil",SUM($AD181)=0),"",SUM($AF181)/$AD181)</f>
        <v/>
      </c>
      <c r="AH181" s="86" t="str">
        <f aca="false">IF(LEFT($B181,4)="_Mil","",_xlfn.IFNA(INDEX(Spectrum!$N:$N,MATCH(RIGHT($B181,13)&amp;"|"&amp;$C181&amp;"|"&amp;$D181&amp;"|"&amp;AH$14&amp;"|"&amp;"CY2023Q3",Spectrum!$R:$R,0)),""))</f>
        <v/>
      </c>
      <c r="AI181" s="10" t="str">
        <f aca="false">IF(LEFT($B181,4)="_Mil","",_xlfn.IFNA(ROUND(INDEX(Spectrum!$N:$N,MATCH(RIGHT($B181,13)&amp;"|"&amp;$C181&amp;"|"&amp;$D181&amp;"|"&amp;AI$14&amp;"|"&amp;"CY2023Q3",Spectrum!$R:$R,0)),0),""))</f>
        <v/>
      </c>
      <c r="AJ181" s="39" t="n">
        <f aca="false">IF(LEFT($B181,4)="_Mil","",_xlfn.IFNA(ROUND(INDEX(Spectrum!$N:$N,MATCH(RIGHT($B181,13)&amp;"|"&amp;$C181&amp;"|"&amp;$D181&amp;"|"&amp;AI$14&amp;"|"&amp;"CY2023Q3",Spectrum!$R:$R,0)),0),SUM($U181)+SUM($AI181)))</f>
        <v>0</v>
      </c>
      <c r="AK181" s="10" t="str">
        <f aca="false">IF(LEFT($B181,4)="_Mil","",_xlfn.IFNA(ROUND(INDEX(Spectrum!$N:$N,MATCH(RIGHT($B181,13)&amp;"|"&amp;$C181&amp;"|"&amp;$D181&amp;"|"&amp;AK$14&amp;"|"&amp;"CY2023Q3",Spectrum!$R:$R,0)),0),""))</f>
        <v/>
      </c>
      <c r="AL181" s="88" t="n">
        <f aca="false">IF(OR(LEFT($B181,4)="_Mil",$C181="&lt;01"),"",MAX(SUM($AA181),90%))</f>
        <v>1027</v>
      </c>
      <c r="AM181" s="10" t="n">
        <f aca="false">IF(OR(LEFT($B181,4)="_Mil",$C181="&lt;01"),"",ROUND(SUM($AJ181)*SUM($AL181),0))</f>
        <v>0</v>
      </c>
      <c r="AN181" s="10" t="str">
        <f aca="false">IF($C181="&lt;01",ROUND(INDEX(EID!$P:$P,MATCH($B181,EID!$B:$B,0))/2,0),"")</f>
        <v/>
      </c>
      <c r="AO181" s="10" t="n">
        <f aca="false">IF($C181="&lt;01",SUM($AN181),ROUND(SUM($AM181)*SUM($O181)/IF(SUM($Z181)=0,1,$Z181),0))</f>
        <v>0</v>
      </c>
      <c r="AP181" s="39" t="n">
        <f aca="false">IF(OR($F181="",$C181="&lt;01"),$AO181,$F181)</f>
        <v>0</v>
      </c>
      <c r="AQ181" s="39" t="n">
        <f aca="false">IF(LEFT($B181,4)="_Mil","",IF(SUM($AP181)=0,SUM($Z181),IF(OR(SUM($Z181)=0,SUM($O181)=0),MAX($AP181,$Z181),$AP181*$Z181/$O181)))</f>
        <v>526</v>
      </c>
      <c r="AR181" s="88" t="str">
        <f aca="false">IF(OR(LEFT($B181,4)="_Mil",SUM($AJ181)=0),"",SUM($AQ181)/$AJ181)</f>
        <v/>
      </c>
      <c r="AS181" s="88" t="n">
        <f aca="false">IF($C181="&lt;01","",98%)</f>
        <v>0.98</v>
      </c>
      <c r="AT181" s="88" t="n">
        <f aca="false">IF($C181="&lt;01","",98%)</f>
        <v>0.98</v>
      </c>
      <c r="AU181" s="10" t="n">
        <f aca="false">IF($C181="&lt;01","",SUM($AP181)-SUM($O181))</f>
        <v>0</v>
      </c>
      <c r="AV181" s="10" t="n">
        <f aca="false">IF($C181="&lt;01",ROUND(INDEX(EID!$N:$N,MATCH($B181,EID!$B:$B,0))/2,0),IF(SUM($AT181)=0,"",ROUND((SUM($AP181)-(SUM($O181)*SUM($AS181)))/$AT181,0)))</f>
        <v>0</v>
      </c>
      <c r="AW181" s="88" t="n">
        <f aca="false">IF($C181="&lt;01","",100%)</f>
        <v>1</v>
      </c>
      <c r="AX181" s="39" t="n">
        <f aca="false">IF($C181="&lt;01",SUM($AV181),ROUND(SUM($AV181)*SUM($AW181),0))</f>
        <v>0</v>
      </c>
      <c r="AY181" s="114" t="n">
        <f aca="false">IF($C181="&lt;01","",70%)</f>
        <v>0.7</v>
      </c>
      <c r="AZ181" s="91" t="n">
        <f aca="false">IF($C181="&lt;01",ROUND(INDEX(EID!$R:$R,MATCH($B181,EID!$B:$B,0))/2,0),ROUND(SUM($O181)+(SUM($AV181)*$AY181),0))</f>
        <v>0</v>
      </c>
      <c r="BA181" s="87" t="n">
        <f aca="false">IF($C181="&lt;01","",95%)</f>
        <v>0.95</v>
      </c>
      <c r="BB181" s="5" t="n">
        <f aca="false">IF($C181="&lt;01",ROUND(INDEX(EID!$T:$T,MATCH($B181,EID!$B:$B,0))/2,0),ROUND($AZ181*$BA181,0))</f>
        <v>0</v>
      </c>
      <c r="BC181" s="91" t="n">
        <f aca="false">IF(LEFT($B181,4)="_Mil","",IF(SUM($BB181)=0,SUM($AD181),IF(OR(SUM($AP181)=0,SUM($AQ181)=0),MAX($BB181,$AD181),ROUND($BB181*$AQ181/$AP181,0))))</f>
        <v>0</v>
      </c>
      <c r="BD181" s="88" t="n">
        <f aca="false">IF($C181="&lt;01","",95%)</f>
        <v>0.95</v>
      </c>
      <c r="BE181" s="39" t="n">
        <f aca="false">IF($C181="&lt;01",ROUND(INDEX(EID!$V:$V,MATCH($B181,EID!$B:$B,0))/2,0),ROUND($BD181*$BB181,0))</f>
        <v>0</v>
      </c>
      <c r="BF181" s="39" t="n">
        <f aca="false">IF(LEFT($B181,4)="_Mil","",IF(SUM($BE181)=0,SUM($AF181),IF(OR(SUM($AP181)=0,SUM($AQ181)=0),MAX($BE181,$AF181),ROUND($BE181*$AQ181/$AP181,0))))</f>
        <v>0</v>
      </c>
      <c r="BG181" s="114" t="n">
        <f aca="false">IF($C181="&lt;01","",95%)</f>
        <v>0.95</v>
      </c>
      <c r="BH181" s="5" t="n">
        <f aca="false">IF($C181="&lt;01",ROUND(INDEX(EID!$L:$L,MATCH($B181,EID!$B:$B,0)),0)/2,IF(SUM($BG181)=0,"",ROUND($AX181/$BG181,0)))</f>
        <v>0</v>
      </c>
    </row>
    <row r="182" customFormat="false" ht="15" hidden="false" customHeight="false" outlineLevel="0" collapsed="false">
      <c r="A182" s="0" t="str">
        <f aca="false">INDEX(Prioritization!$D:$D,MATCH($B182,Prioritization!$A:$A,0))</f>
        <v>INVALID</v>
      </c>
      <c r="B182" s="0" t="s">
        <v>205</v>
      </c>
      <c r="C182" s="0" t="s">
        <v>368</v>
      </c>
      <c r="D182" s="0" t="s">
        <v>48</v>
      </c>
      <c r="E182" s="0" t="str">
        <f aca="false">$B182&amp;"|"&amp;$C182&amp;"|"&amp;$D182</f>
        <v>Karonga District [cPtvxaZqXIH]|50+|Male</v>
      </c>
      <c r="F182" s="10"/>
      <c r="G182" s="10"/>
      <c r="H182" s="10"/>
      <c r="I182" s="10"/>
      <c r="J182" s="10"/>
      <c r="K182" s="10"/>
      <c r="L182" s="10"/>
      <c r="M182" s="10"/>
      <c r="N182" s="10"/>
      <c r="O182" s="10" t="str">
        <f aca="false">IFERROR(1/(1/MAX($I182,$N182)),"")</f>
        <v/>
      </c>
      <c r="P182" s="10"/>
      <c r="Q182" s="10"/>
      <c r="R182" s="10" t="str">
        <f aca="false">IF(AND(SUM($I182)=0,SUM($O182)=0),"",SUM($O182)-$I182)</f>
        <v/>
      </c>
      <c r="S182" s="10" t="n">
        <f aca="false">IF(LEFT($B182,4)="_Mil","",_xlfn.IFNA(ROUND(INDEX(Spectrum!$N:$N,MATCH(RIGHT($B182,13)&amp;"|"&amp;$C182&amp;"|"&amp;$D182&amp;"|"&amp;S$14&amp;"|"&amp;"CY2022Q4",Spectrum!$R:$R,0)),0),""))</f>
        <v>1914</v>
      </c>
      <c r="T182" s="39" t="n">
        <f aca="false">IF(LEFT($B182,4)="_Mil","",_xlfn.IFNA(ROUND(INDEX(Spectrum!$N:$N,MATCH(RIGHT($B182,13)&amp;"|"&amp;$C182&amp;"|"&amp;$D182&amp;"|"&amp;T$14&amp;"|"&amp;"CY2023Q3",Spectrum!$R:$R,0)),0),""))</f>
        <v>891</v>
      </c>
      <c r="U182" s="39" t="str">
        <f aca="false">IF(LEFT($B182,4)="_Mil","",_xlfn.IFNA(ROUND(INDEX(Spectrum!$N:$N,MATCH(RIGHT($B182,13)&amp;"|"&amp;$C182&amp;"|"&amp;$D182&amp;"|"&amp;U$14&amp;"|"&amp;"CY2023Q3",Spectrum!$R:$R,0)),0),""))</f>
        <v/>
      </c>
      <c r="V182" s="10" t="n">
        <f aca="false">IF(LEFT($B182,4)="_Mil","",_xlfn.IFNA(ROUND(INDEX(Spectrum!$N:$N,MATCH(RIGHT($B182,13)&amp;"|"&amp;$C182&amp;"|"&amp;$D182&amp;"|"&amp;V$14&amp;"|"&amp;"CY2023Q3",Spectrum!$R:$R,0)),0),""))</f>
        <v>1843</v>
      </c>
      <c r="W182" s="113" t="n">
        <f aca="false">IF(LEFT($B182,4)="_Mil","",_xlfn.IFNA(INDEX(Spectrum!$N:$N,MATCH(RIGHT($B182,13)&amp;"|"&amp;$C182&amp;"|"&amp;$D182&amp;"|"&amp;W$14&amp;"|"&amp;"CY2023Q3",Spectrum!$R:$R,0)),""))</f>
        <v>1344</v>
      </c>
      <c r="X182" s="39" t="n">
        <f aca="false">IF(LEFT($B182,4)="_Mil","",_xlfn.IFNA(ROUND(INDEX(Spectrum!$N:$N,MATCH(RIGHT($B182,13)&amp;"|"&amp;$C182&amp;"|"&amp;$D182&amp;"|"&amp;X$14&amp;"|"&amp;"CY2023Q3",Spectrum!$R:$R,0)),0),""))</f>
        <v>853</v>
      </c>
      <c r="Y182" s="88" t="str">
        <f aca="false">IF(OR(SUM($U182)=0,LEFT($B182,4)="_Mil"),"",SUM($X182)/$U182)</f>
        <v/>
      </c>
      <c r="Z182" s="39" t="n">
        <f aca="false">IF(LEFT($B182,4)="_Mil","",_xlfn.IFNA(ROUND(INDEX(Spectrum!$N:$N,MATCH(RIGHT($B182,13)&amp;"|"&amp;$C182&amp;"|"&amp;$D182&amp;"|"&amp;Z$14&amp;"|"&amp;"CY2023Q3",Spectrum!$R:$R,0)),0),""))</f>
        <v>1025</v>
      </c>
      <c r="AA182" s="88" t="n">
        <f aca="false">IF(LEFT($B182,4)="_Mil","",IFERROR(1/(1/INDEX(Spectrum!$N:$N,MATCH(RIGHT($B182,13)&amp;"|"&amp;$C182&amp;"|"&amp;$D182&amp;"|"&amp;AA$14&amp;"|"&amp;"CY2023Q3",Spectrum!$R:$R,0))),IF(SUM($U182)=0,"",SUM($Z182)/$U182)))</f>
        <v>1897</v>
      </c>
      <c r="AB182" s="88" t="n">
        <f aca="false">IF(OR(LEFT($B182,4)="_Mil",SUM($X182)=0),"",SUM($Z182)/$X182)</f>
        <v>1.20164126611958</v>
      </c>
      <c r="AC182" s="10" t="n">
        <f aca="false">IF(LEFT($B182,4)="_Mil","",_xlfn.IFNA(ROUND(INDEX(Spectrum!$N:$N,MATCH(RIGHT($B182,13)&amp;"|"&amp;$C182&amp;"|"&amp;$D182&amp;"|"&amp;AC$14&amp;"|"&amp;"CY2023Q3",Spectrum!$R:$R,0)),0),""))</f>
        <v>1070</v>
      </c>
      <c r="AD182" s="10" t="str">
        <f aca="false">IF(LEFT($B182,4)="_Mil","",_xlfn.IFNA(ROUND(INDEX(Spectrum!$N:$N,MATCH(RIGHT($B182,13)&amp;"|"&amp;$C182&amp;"|"&amp;$D182&amp;"|"&amp;AD$14&amp;"|"&amp;"CY2023Q3",Spectrum!$R:$R,0)),0),""))</f>
        <v/>
      </c>
      <c r="AE182" s="88" t="n">
        <f aca="false">IF(OR(LEFT($B182,4)="_Mil",SUM($Z182)=0),"",SUM($AD182)/$Z182)</f>
        <v>0</v>
      </c>
      <c r="AF182" s="39" t="str">
        <f aca="false">IF(LEFT($B182,4)="_Mil","",_xlfn.IFNA(ROUND(INDEX(Spectrum!$N:$N,MATCH(RIGHT($B182,13)&amp;"|"&amp;$C182&amp;"|"&amp;$D182&amp;"|"&amp;AF$14&amp;"|"&amp;"CY2023Q3",Spectrum!$R:$R,0)),0),""))</f>
        <v/>
      </c>
      <c r="AG182" s="88" t="str">
        <f aca="false">IF(OR(LEFT($B182,4)="_Mil",SUM($AD182)=0),"",SUM($AF182)/$AD182)</f>
        <v/>
      </c>
      <c r="AH182" s="86" t="str">
        <f aca="false">IF(LEFT($B182,4)="_Mil","",_xlfn.IFNA(INDEX(Spectrum!$N:$N,MATCH(RIGHT($B182,13)&amp;"|"&amp;$C182&amp;"|"&amp;$D182&amp;"|"&amp;AH$14&amp;"|"&amp;"CY2023Q3",Spectrum!$R:$R,0)),""))</f>
        <v/>
      </c>
      <c r="AI182" s="10" t="str">
        <f aca="false">IF(LEFT($B182,4)="_Mil","",_xlfn.IFNA(ROUND(INDEX(Spectrum!$N:$N,MATCH(RIGHT($B182,13)&amp;"|"&amp;$C182&amp;"|"&amp;$D182&amp;"|"&amp;AI$14&amp;"|"&amp;"CY2023Q3",Spectrum!$R:$R,0)),0),""))</f>
        <v/>
      </c>
      <c r="AJ182" s="39" t="n">
        <f aca="false">IF(LEFT($B182,4)="_Mil","",_xlfn.IFNA(ROUND(INDEX(Spectrum!$N:$N,MATCH(RIGHT($B182,13)&amp;"|"&amp;$C182&amp;"|"&amp;$D182&amp;"|"&amp;AI$14&amp;"|"&amp;"CY2023Q3",Spectrum!$R:$R,0)),0),SUM($U182)+SUM($AI182)))</f>
        <v>0</v>
      </c>
      <c r="AK182" s="10" t="str">
        <f aca="false">IF(LEFT($B182,4)="_Mil","",_xlfn.IFNA(ROUND(INDEX(Spectrum!$N:$N,MATCH(RIGHT($B182,13)&amp;"|"&amp;$C182&amp;"|"&amp;$D182&amp;"|"&amp;AK$14&amp;"|"&amp;"CY2023Q3",Spectrum!$R:$R,0)),0),""))</f>
        <v/>
      </c>
      <c r="AL182" s="88" t="n">
        <f aca="false">IF(OR(LEFT($B182,4)="_Mil",$C182="&lt;01"),"",MAX(SUM($AA182),90%))</f>
        <v>1897</v>
      </c>
      <c r="AM182" s="10" t="n">
        <f aca="false">IF(OR(LEFT($B182,4)="_Mil",$C182="&lt;01"),"",ROUND(SUM($AJ182)*SUM($AL182),0))</f>
        <v>0</v>
      </c>
      <c r="AN182" s="10" t="str">
        <f aca="false">IF($C182="&lt;01",ROUND(INDEX(EID!$P:$P,MATCH($B182,EID!$B:$B,0))/2,0),"")</f>
        <v/>
      </c>
      <c r="AO182" s="10" t="n">
        <f aca="false">IF($C182="&lt;01",SUM($AN182),ROUND(SUM($AM182)*SUM($O182)/IF(SUM($Z182)=0,1,$Z182),0))</f>
        <v>0</v>
      </c>
      <c r="AP182" s="39" t="n">
        <f aca="false">IF(OR($F182="",$C182="&lt;01"),$AO182,$F182)</f>
        <v>0</v>
      </c>
      <c r="AQ182" s="39" t="n">
        <f aca="false">IF(LEFT($B182,4)="_Mil","",IF(SUM($AP182)=0,SUM($Z182),IF(OR(SUM($Z182)=0,SUM($O182)=0),MAX($AP182,$Z182),$AP182*$Z182/$O182)))</f>
        <v>1025</v>
      </c>
      <c r="AR182" s="88" t="str">
        <f aca="false">IF(OR(LEFT($B182,4)="_Mil",SUM($AJ182)=0),"",SUM($AQ182)/$AJ182)</f>
        <v/>
      </c>
      <c r="AS182" s="88" t="n">
        <f aca="false">IF($C182="&lt;01","",98%)</f>
        <v>0.98</v>
      </c>
      <c r="AT182" s="88" t="n">
        <f aca="false">IF($C182="&lt;01","",98%)</f>
        <v>0.98</v>
      </c>
      <c r="AU182" s="10" t="n">
        <f aca="false">IF($C182="&lt;01","",SUM($AP182)-SUM($O182))</f>
        <v>0</v>
      </c>
      <c r="AV182" s="10" t="n">
        <f aca="false">IF($C182="&lt;01",ROUND(INDEX(EID!$N:$N,MATCH($B182,EID!$B:$B,0))/2,0),IF(SUM($AT182)=0,"",ROUND((SUM($AP182)-(SUM($O182)*SUM($AS182)))/$AT182,0)))</f>
        <v>0</v>
      </c>
      <c r="AW182" s="88" t="n">
        <f aca="false">IF($C182="&lt;01","",100%)</f>
        <v>1</v>
      </c>
      <c r="AX182" s="39" t="n">
        <f aca="false">IF($C182="&lt;01",SUM($AV182),ROUND(SUM($AV182)*SUM($AW182),0))</f>
        <v>0</v>
      </c>
      <c r="AY182" s="114" t="n">
        <f aca="false">IF($C182="&lt;01","",70%)</f>
        <v>0.7</v>
      </c>
      <c r="AZ182" s="91" t="n">
        <f aca="false">IF($C182="&lt;01",ROUND(INDEX(EID!$R:$R,MATCH($B182,EID!$B:$B,0))/2,0),ROUND(SUM($O182)+(SUM($AV182)*$AY182),0))</f>
        <v>0</v>
      </c>
      <c r="BA182" s="87" t="n">
        <f aca="false">IF($C182="&lt;01","",95%)</f>
        <v>0.95</v>
      </c>
      <c r="BB182" s="5" t="n">
        <f aca="false">IF($C182="&lt;01",ROUND(INDEX(EID!$T:$T,MATCH($B182,EID!$B:$B,0))/2,0),ROUND($AZ182*$BA182,0))</f>
        <v>0</v>
      </c>
      <c r="BC182" s="91" t="n">
        <f aca="false">IF(LEFT($B182,4)="_Mil","",IF(SUM($BB182)=0,SUM($AD182),IF(OR(SUM($AP182)=0,SUM($AQ182)=0),MAX($BB182,$AD182),ROUND($BB182*$AQ182/$AP182,0))))</f>
        <v>0</v>
      </c>
      <c r="BD182" s="88" t="n">
        <f aca="false">IF($C182="&lt;01","",95%)</f>
        <v>0.95</v>
      </c>
      <c r="BE182" s="39" t="n">
        <f aca="false">IF($C182="&lt;01",ROUND(INDEX(EID!$V:$V,MATCH($B182,EID!$B:$B,0))/2,0),ROUND($BD182*$BB182,0))</f>
        <v>0</v>
      </c>
      <c r="BF182" s="39" t="n">
        <f aca="false">IF(LEFT($B182,4)="_Mil","",IF(SUM($BE182)=0,SUM($AF182),IF(OR(SUM($AP182)=0,SUM($AQ182)=0),MAX($BE182,$AF182),ROUND($BE182*$AQ182/$AP182,0))))</f>
        <v>0</v>
      </c>
      <c r="BG182" s="114" t="n">
        <f aca="false">IF($C182="&lt;01","",95%)</f>
        <v>0.95</v>
      </c>
      <c r="BH182" s="5" t="n">
        <f aca="false">IF($C182="&lt;01",ROUND(INDEX(EID!$L:$L,MATCH($B182,EID!$B:$B,0)),0)/2,IF(SUM($BG182)=0,"",ROUND($AX182/$BG182,0)))</f>
        <v>0</v>
      </c>
    </row>
    <row r="183" customFormat="false" ht="15" hidden="false" customHeight="false" outlineLevel="0" collapsed="false">
      <c r="A183" s="0" t="str">
        <f aca="false">INDEX(Prioritization!$D:$D,MATCH($B183,Prioritization!$A:$A,0))</f>
        <v>INVALID</v>
      </c>
      <c r="B183" s="0" t="s">
        <v>206</v>
      </c>
      <c r="C183" s="0" t="s">
        <v>316</v>
      </c>
      <c r="D183" s="0" t="s">
        <v>30</v>
      </c>
      <c r="E183" s="0" t="str">
        <f aca="false">$B183&amp;"|"&amp;$C183&amp;"|"&amp;$D183</f>
        <v>Likoma District [ZCjuwgaMB9u]|&lt;01|Female</v>
      </c>
      <c r="F183" s="10"/>
      <c r="G183" s="10" t="n">
        <v>0</v>
      </c>
      <c r="H183" s="10" t="n">
        <v>1</v>
      </c>
      <c r="I183" s="10" t="n">
        <v>0</v>
      </c>
      <c r="J183" s="10" t="n">
        <v>1</v>
      </c>
      <c r="K183" s="10" t="n">
        <v>0.290572362253442</v>
      </c>
      <c r="L183" s="10"/>
      <c r="M183" s="10"/>
      <c r="N183" s="10"/>
      <c r="O183" s="10" t="str">
        <f aca="false">IFERROR(1/(1/MAX($I183,$N183)),"")</f>
        <v/>
      </c>
      <c r="P183" s="10"/>
      <c r="Q183" s="10"/>
      <c r="R183" s="10" t="str">
        <f aca="false">IF(AND(SUM($I183)=0,SUM($O183)=0),"",SUM($O183)-$I183)</f>
        <v/>
      </c>
      <c r="S183" s="10" t="n">
        <f aca="false">IF(LEFT($B183,4)="_Mil","",_xlfn.IFNA(ROUND(INDEX(Spectrum!$N:$N,MATCH(RIGHT($B183,13)&amp;"|"&amp;$C183&amp;"|"&amp;$D183&amp;"|"&amp;S$14&amp;"|"&amp;"CY2022Q4",Spectrum!$R:$R,0)),0),""))</f>
        <v>1838</v>
      </c>
      <c r="T183" s="39" t="n">
        <f aca="false">IF(LEFT($B183,4)="_Mil","",_xlfn.IFNA(ROUND(INDEX(Spectrum!$N:$N,MATCH(RIGHT($B183,13)&amp;"|"&amp;$C183&amp;"|"&amp;$D183&amp;"|"&amp;T$14&amp;"|"&amp;"CY2023Q3",Spectrum!$R:$R,0)),0),""))</f>
        <v>916</v>
      </c>
      <c r="U183" s="39" t="str">
        <f aca="false">IF(LEFT($B183,4)="_Mil","",_xlfn.IFNA(ROUND(INDEX(Spectrum!$N:$N,MATCH(RIGHT($B183,13)&amp;"|"&amp;$C183&amp;"|"&amp;$D183&amp;"|"&amp;U$14&amp;"|"&amp;"CY2023Q3",Spectrum!$R:$R,0)),0),""))</f>
        <v/>
      </c>
      <c r="V183" s="10" t="n">
        <f aca="false">IF(LEFT($B183,4)="_Mil","",_xlfn.IFNA(ROUND(INDEX(Spectrum!$N:$N,MATCH(RIGHT($B183,13)&amp;"|"&amp;$C183&amp;"|"&amp;$D183&amp;"|"&amp;V$14&amp;"|"&amp;"CY2023Q3",Spectrum!$R:$R,0)),0),""))</f>
        <v>1935</v>
      </c>
      <c r="W183" s="113" t="n">
        <f aca="false">IF(LEFT($B183,4)="_Mil","",_xlfn.IFNA(INDEX(Spectrum!$N:$N,MATCH(RIGHT($B183,13)&amp;"|"&amp;$C183&amp;"|"&amp;$D183&amp;"|"&amp;W$14&amp;"|"&amp;"CY2023Q3",Spectrum!$R:$R,0)),""))</f>
        <v>1045</v>
      </c>
      <c r="X183" s="39" t="n">
        <f aca="false">IF(LEFT($B183,4)="_Mil","",_xlfn.IFNA(ROUND(INDEX(Spectrum!$N:$N,MATCH(RIGHT($B183,13)&amp;"|"&amp;$C183&amp;"|"&amp;$D183&amp;"|"&amp;X$14&amp;"|"&amp;"CY2023Q3",Spectrum!$R:$R,0)),0),""))</f>
        <v>1646</v>
      </c>
      <c r="Y183" s="88" t="str">
        <f aca="false">IF(OR(SUM($U183)=0,LEFT($B183,4)="_Mil"),"",SUM($X183)/$U183)</f>
        <v/>
      </c>
      <c r="Z183" s="39" t="n">
        <f aca="false">IF(LEFT($B183,4)="_Mil","",_xlfn.IFNA(ROUND(INDEX(Spectrum!$N:$N,MATCH(RIGHT($B183,13)&amp;"|"&amp;$C183&amp;"|"&amp;$D183&amp;"|"&amp;Z$14&amp;"|"&amp;"CY2023Q3",Spectrum!$R:$R,0)),0),""))</f>
        <v>1553</v>
      </c>
      <c r="AA183" s="88" t="n">
        <f aca="false">IF(LEFT($B183,4)="_Mil","",IFERROR(1/(1/INDEX(Spectrum!$N:$N,MATCH(RIGHT($B183,13)&amp;"|"&amp;$C183&amp;"|"&amp;$D183&amp;"|"&amp;AA$14&amp;"|"&amp;"CY2023Q3",Spectrum!$R:$R,0))),IF(SUM($U183)=0,"",SUM($Z183)/$U183)))</f>
        <v>1383</v>
      </c>
      <c r="AB183" s="88" t="n">
        <f aca="false">IF(OR(LEFT($B183,4)="_Mil",SUM($X183)=0),"",SUM($Z183)/$X183)</f>
        <v>0.943499392466586</v>
      </c>
      <c r="AC183" s="10" t="n">
        <f aca="false">IF(LEFT($B183,4)="_Mil","",_xlfn.IFNA(ROUND(INDEX(Spectrum!$N:$N,MATCH(RIGHT($B183,13)&amp;"|"&amp;$C183&amp;"|"&amp;$D183&amp;"|"&amp;AC$14&amp;"|"&amp;"CY2023Q3",Spectrum!$R:$R,0)),0),""))</f>
        <v>607</v>
      </c>
      <c r="AD183" s="10" t="str">
        <f aca="false">IF(LEFT($B183,4)="_Mil","",_xlfn.IFNA(ROUND(INDEX(Spectrum!$N:$N,MATCH(RIGHT($B183,13)&amp;"|"&amp;$C183&amp;"|"&amp;$D183&amp;"|"&amp;AD$14&amp;"|"&amp;"CY2023Q3",Spectrum!$R:$R,0)),0),""))</f>
        <v/>
      </c>
      <c r="AE183" s="88" t="n">
        <f aca="false">IF(OR(LEFT($B183,4)="_Mil",SUM($Z183)=0),"",SUM($AD183)/$Z183)</f>
        <v>0</v>
      </c>
      <c r="AF183" s="39" t="str">
        <f aca="false">IF(LEFT($B183,4)="_Mil","",_xlfn.IFNA(ROUND(INDEX(Spectrum!$N:$N,MATCH(RIGHT($B183,13)&amp;"|"&amp;$C183&amp;"|"&amp;$D183&amp;"|"&amp;AF$14&amp;"|"&amp;"CY2023Q3",Spectrum!$R:$R,0)),0),""))</f>
        <v/>
      </c>
      <c r="AG183" s="88" t="str">
        <f aca="false">IF(OR(LEFT($B183,4)="_Mil",SUM($AD183)=0),"",SUM($AF183)/$AD183)</f>
        <v/>
      </c>
      <c r="AH183" s="86" t="str">
        <f aca="false">IF(LEFT($B183,4)="_Mil","",_xlfn.IFNA(INDEX(Spectrum!$N:$N,MATCH(RIGHT($B183,13)&amp;"|"&amp;$C183&amp;"|"&amp;$D183&amp;"|"&amp;AH$14&amp;"|"&amp;"CY2023Q3",Spectrum!$R:$R,0)),""))</f>
        <v/>
      </c>
      <c r="AI183" s="10" t="str">
        <f aca="false">IF(LEFT($B183,4)="_Mil","",_xlfn.IFNA(ROUND(INDEX(Spectrum!$N:$N,MATCH(RIGHT($B183,13)&amp;"|"&amp;$C183&amp;"|"&amp;$D183&amp;"|"&amp;AI$14&amp;"|"&amp;"CY2023Q3",Spectrum!$R:$R,0)),0),""))</f>
        <v/>
      </c>
      <c r="AJ183" s="39" t="n">
        <f aca="false">IF(LEFT($B183,4)="_Mil","",_xlfn.IFNA(ROUND(INDEX(Spectrum!$N:$N,MATCH(RIGHT($B183,13)&amp;"|"&amp;$C183&amp;"|"&amp;$D183&amp;"|"&amp;AI$14&amp;"|"&amp;"CY2023Q3",Spectrum!$R:$R,0)),0),SUM($U183)+SUM($AI183)))</f>
        <v>0</v>
      </c>
      <c r="AK183" s="10" t="str">
        <f aca="false">IF(LEFT($B183,4)="_Mil","",_xlfn.IFNA(ROUND(INDEX(Spectrum!$N:$N,MATCH(RIGHT($B183,13)&amp;"|"&amp;$C183&amp;"|"&amp;$D183&amp;"|"&amp;AK$14&amp;"|"&amp;"CY2023Q3",Spectrum!$R:$R,0)),0),""))</f>
        <v/>
      </c>
      <c r="AL183" s="88" t="str">
        <f aca="false">IF(OR(LEFT($B183,4)="_Mil",$C183="&lt;01"),"",MAX(SUM($AA183),90%))</f>
        <v/>
      </c>
      <c r="AM183" s="10" t="str">
        <f aca="false">IF(OR(LEFT($B183,4)="_Mil",$C183="&lt;01"),"",ROUND(SUM($AJ183)*SUM($AL183),0))</f>
        <v/>
      </c>
      <c r="AN183" s="10" t="n">
        <f aca="false">IF($C183="&lt;01",ROUND(INDEX(EID!$P:$P,MATCH($B183,EID!$B:$B,0))/2,0),"")</f>
        <v>0</v>
      </c>
      <c r="AO183" s="10" t="n">
        <f aca="false">IF($C183="&lt;01",SUM($AN183),ROUND(SUM($AM183)*SUM($O183)/IF(SUM($Z183)=0,1,$Z183),0))</f>
        <v>0</v>
      </c>
      <c r="AP183" s="39" t="n">
        <f aca="false">IF(OR($F183="",$C183="&lt;01"),$AO183,$F183)</f>
        <v>0</v>
      </c>
      <c r="AQ183" s="39" t="n">
        <f aca="false">IF(LEFT($B183,4)="_Mil","",IF(SUM($AP183)=0,SUM($Z183),IF(OR(SUM($Z183)=0,SUM($O183)=0),MAX($AP183,$Z183),$AP183*$Z183/$O183)))</f>
        <v>1553</v>
      </c>
      <c r="AR183" s="88" t="str">
        <f aca="false">IF(OR(LEFT($B183,4)="_Mil",SUM($AJ183)=0),"",SUM($AQ183)/$AJ183)</f>
        <v/>
      </c>
      <c r="AS183" s="88" t="str">
        <f aca="false">IF($C183="&lt;01","",98%)</f>
        <v/>
      </c>
      <c r="AT183" s="88" t="str">
        <f aca="false">IF($C183="&lt;01","",98%)</f>
        <v/>
      </c>
      <c r="AU183" s="10" t="str">
        <f aca="false">IF($C183="&lt;01","",SUM($AP183)-SUM($O183))</f>
        <v/>
      </c>
      <c r="AV183" s="10" t="n">
        <f aca="false">IF($C183="&lt;01",ROUND(INDEX(EID!$N:$N,MATCH($B183,EID!$B:$B,0))/2,0),IF(SUM($AT183)=0,"",ROUND((SUM($AP183)-(SUM($O183)*SUM($AS183)))/$AT183,0)))</f>
        <v>0</v>
      </c>
      <c r="AW183" s="88" t="str">
        <f aca="false">IF($C183="&lt;01","",100%)</f>
        <v/>
      </c>
      <c r="AX183" s="39" t="n">
        <f aca="false">IF($C183="&lt;01",SUM($AV183),ROUND(SUM($AV183)*SUM($AW183),0))</f>
        <v>0</v>
      </c>
      <c r="AY183" s="114" t="str">
        <f aca="false">IF($C183="&lt;01","",70%)</f>
        <v/>
      </c>
      <c r="AZ183" s="91" t="n">
        <f aca="false">IF($C183="&lt;01",ROUND(INDEX(EID!$R:$R,MATCH($B183,EID!$B:$B,0))/2,0),ROUND(SUM($O183)+(SUM($AV183)*$AY183),0))</f>
        <v>0</v>
      </c>
      <c r="BA183" s="87" t="str">
        <f aca="false">IF($C183="&lt;01","",95%)</f>
        <v/>
      </c>
      <c r="BB183" s="5" t="n">
        <f aca="false">IF($C183="&lt;01",ROUND(INDEX(EID!$T:$T,MATCH($B183,EID!$B:$B,0))/2,0),ROUND($AZ183*$BA183,0))</f>
        <v>0</v>
      </c>
      <c r="BC183" s="91" t="n">
        <f aca="false">IF(LEFT($B183,4)="_Mil","",IF(SUM($BB183)=0,SUM($AD183),IF(OR(SUM($AP183)=0,SUM($AQ183)=0),MAX($BB183,$AD183),ROUND($BB183*$AQ183/$AP183,0))))</f>
        <v>0</v>
      </c>
      <c r="BD183" s="88" t="str">
        <f aca="false">IF($C183="&lt;01","",95%)</f>
        <v/>
      </c>
      <c r="BE183" s="39" t="n">
        <f aca="false">IF($C183="&lt;01",ROUND(INDEX(EID!$V:$V,MATCH($B183,EID!$B:$B,0))/2,0),ROUND($BD183*$BB183,0))</f>
        <v>0</v>
      </c>
      <c r="BF183" s="39" t="n">
        <f aca="false">IF(LEFT($B183,4)="_Mil","",IF(SUM($BE183)=0,SUM($AF183),IF(OR(SUM($AP183)=0,SUM($AQ183)=0),MAX($BE183,$AF183),ROUND($BE183*$AQ183/$AP183,0))))</f>
        <v>0</v>
      </c>
      <c r="BG183" s="114" t="str">
        <f aca="false">IF($C183="&lt;01","",95%)</f>
        <v/>
      </c>
      <c r="BH183" s="5" t="n">
        <f aca="false">IF($C183="&lt;01",ROUND(INDEX(EID!$L:$L,MATCH($B183,EID!$B:$B,0)),0)/2,IF(SUM($BG183)=0,"",ROUND($AX183/$BG183,0)))</f>
        <v>0</v>
      </c>
    </row>
    <row r="184" customFormat="false" ht="15" hidden="false" customHeight="false" outlineLevel="0" collapsed="false">
      <c r="A184" s="0" t="str">
        <f aca="false">INDEX(Prioritization!$D:$D,MATCH($B184,Prioritization!$A:$A,0))</f>
        <v>INVALID</v>
      </c>
      <c r="B184" s="0" t="s">
        <v>206</v>
      </c>
      <c r="C184" s="0" t="s">
        <v>316</v>
      </c>
      <c r="D184" s="0" t="s">
        <v>48</v>
      </c>
      <c r="E184" s="0" t="str">
        <f aca="false">$B184&amp;"|"&amp;$C184&amp;"|"&amp;$D184</f>
        <v>Likoma District [ZCjuwgaMB9u]|&lt;01|Male</v>
      </c>
      <c r="F184" s="10"/>
      <c r="G184" s="10" t="n">
        <v>1</v>
      </c>
      <c r="H184" s="10" t="n">
        <v>1</v>
      </c>
      <c r="I184" s="10" t="n">
        <v>0</v>
      </c>
      <c r="J184" s="10" t="n">
        <v>1</v>
      </c>
      <c r="K184" s="10" t="n">
        <v>0</v>
      </c>
      <c r="L184" s="10"/>
      <c r="M184" s="10"/>
      <c r="N184" s="10"/>
      <c r="O184" s="10" t="str">
        <f aca="false">IFERROR(1/(1/MAX($I184,$N184)),"")</f>
        <v/>
      </c>
      <c r="P184" s="10"/>
      <c r="Q184" s="10"/>
      <c r="R184" s="10" t="str">
        <f aca="false">IF(AND(SUM($I184)=0,SUM($O184)=0),"",SUM($O184)-$I184)</f>
        <v/>
      </c>
      <c r="S184" s="10" t="n">
        <f aca="false">IF(LEFT($B184,4)="_Mil","",_xlfn.IFNA(ROUND(INDEX(Spectrum!$N:$N,MATCH(RIGHT($B184,13)&amp;"|"&amp;$C184&amp;"|"&amp;$D184&amp;"|"&amp;S$14&amp;"|"&amp;"CY2022Q4",Spectrum!$R:$R,0)),0),""))</f>
        <v>1391</v>
      </c>
      <c r="T184" s="39" t="n">
        <f aca="false">IF(LEFT($B184,4)="_Mil","",_xlfn.IFNA(ROUND(INDEX(Spectrum!$N:$N,MATCH(RIGHT($B184,13)&amp;"|"&amp;$C184&amp;"|"&amp;$D184&amp;"|"&amp;T$14&amp;"|"&amp;"CY2023Q3",Spectrum!$R:$R,0)),0),""))</f>
        <v>1984</v>
      </c>
      <c r="U184" s="39" t="str">
        <f aca="false">IF(LEFT($B184,4)="_Mil","",_xlfn.IFNA(ROUND(INDEX(Spectrum!$N:$N,MATCH(RIGHT($B184,13)&amp;"|"&amp;$C184&amp;"|"&amp;$D184&amp;"|"&amp;U$14&amp;"|"&amp;"CY2023Q3",Spectrum!$R:$R,0)),0),""))</f>
        <v/>
      </c>
      <c r="V184" s="10" t="n">
        <f aca="false">IF(LEFT($B184,4)="_Mil","",_xlfn.IFNA(ROUND(INDEX(Spectrum!$N:$N,MATCH(RIGHT($B184,13)&amp;"|"&amp;$C184&amp;"|"&amp;$D184&amp;"|"&amp;V$14&amp;"|"&amp;"CY2023Q3",Spectrum!$R:$R,0)),0),""))</f>
        <v>1652</v>
      </c>
      <c r="W184" s="113" t="n">
        <f aca="false">IF(LEFT($B184,4)="_Mil","",_xlfn.IFNA(INDEX(Spectrum!$N:$N,MATCH(RIGHT($B184,13)&amp;"|"&amp;$C184&amp;"|"&amp;$D184&amp;"|"&amp;W$14&amp;"|"&amp;"CY2023Q3",Spectrum!$R:$R,0)),""))</f>
        <v>1169</v>
      </c>
      <c r="X184" s="39" t="n">
        <f aca="false">IF(LEFT($B184,4)="_Mil","",_xlfn.IFNA(ROUND(INDEX(Spectrum!$N:$N,MATCH(RIGHT($B184,13)&amp;"|"&amp;$C184&amp;"|"&amp;$D184&amp;"|"&amp;X$14&amp;"|"&amp;"CY2023Q3",Spectrum!$R:$R,0)),0),""))</f>
        <v>1823</v>
      </c>
      <c r="Y184" s="88" t="str">
        <f aca="false">IF(OR(SUM($U184)=0,LEFT($B184,4)="_Mil"),"",SUM($X184)/$U184)</f>
        <v/>
      </c>
      <c r="Z184" s="39" t="n">
        <f aca="false">IF(LEFT($B184,4)="_Mil","",_xlfn.IFNA(ROUND(INDEX(Spectrum!$N:$N,MATCH(RIGHT($B184,13)&amp;"|"&amp;$C184&amp;"|"&amp;$D184&amp;"|"&amp;Z$14&amp;"|"&amp;"CY2023Q3",Spectrum!$R:$R,0)),0),""))</f>
        <v>1823</v>
      </c>
      <c r="AA184" s="88" t="n">
        <f aca="false">IF(LEFT($B184,4)="_Mil","",IFERROR(1/(1/INDEX(Spectrum!$N:$N,MATCH(RIGHT($B184,13)&amp;"|"&amp;$C184&amp;"|"&amp;$D184&amp;"|"&amp;AA$14&amp;"|"&amp;"CY2023Q3",Spectrum!$R:$R,0))),IF(SUM($U184)=0,"",SUM($Z184)/$U184)))</f>
        <v>1685</v>
      </c>
      <c r="AB184" s="88" t="n">
        <f aca="false">IF(OR(LEFT($B184,4)="_Mil",SUM($X184)=0),"",SUM($Z184)/$X184)</f>
        <v>1</v>
      </c>
      <c r="AC184" s="10" t="n">
        <f aca="false">IF(LEFT($B184,4)="_Mil","",_xlfn.IFNA(ROUND(INDEX(Spectrum!$N:$N,MATCH(RIGHT($B184,13)&amp;"|"&amp;$C184&amp;"|"&amp;$D184&amp;"|"&amp;AC$14&amp;"|"&amp;"CY2023Q3",Spectrum!$R:$R,0)),0),""))</f>
        <v>1069</v>
      </c>
      <c r="AD184" s="10" t="str">
        <f aca="false">IF(LEFT($B184,4)="_Mil","",_xlfn.IFNA(ROUND(INDEX(Spectrum!$N:$N,MATCH(RIGHT($B184,13)&amp;"|"&amp;$C184&amp;"|"&amp;$D184&amp;"|"&amp;AD$14&amp;"|"&amp;"CY2023Q3",Spectrum!$R:$R,0)),0),""))</f>
        <v/>
      </c>
      <c r="AE184" s="88" t="n">
        <f aca="false">IF(OR(LEFT($B184,4)="_Mil",SUM($Z184)=0),"",SUM($AD184)/$Z184)</f>
        <v>0</v>
      </c>
      <c r="AF184" s="39" t="str">
        <f aca="false">IF(LEFT($B184,4)="_Mil","",_xlfn.IFNA(ROUND(INDEX(Spectrum!$N:$N,MATCH(RIGHT($B184,13)&amp;"|"&amp;$C184&amp;"|"&amp;$D184&amp;"|"&amp;AF$14&amp;"|"&amp;"CY2023Q3",Spectrum!$R:$R,0)),0),""))</f>
        <v/>
      </c>
      <c r="AG184" s="88" t="str">
        <f aca="false">IF(OR(LEFT($B184,4)="_Mil",SUM($AD184)=0),"",SUM($AF184)/$AD184)</f>
        <v/>
      </c>
      <c r="AH184" s="86" t="str">
        <f aca="false">IF(LEFT($B184,4)="_Mil","",_xlfn.IFNA(INDEX(Spectrum!$N:$N,MATCH(RIGHT($B184,13)&amp;"|"&amp;$C184&amp;"|"&amp;$D184&amp;"|"&amp;AH$14&amp;"|"&amp;"CY2023Q3",Spectrum!$R:$R,0)),""))</f>
        <v/>
      </c>
      <c r="AI184" s="10" t="str">
        <f aca="false">IF(LEFT($B184,4)="_Mil","",_xlfn.IFNA(ROUND(INDEX(Spectrum!$N:$N,MATCH(RIGHT($B184,13)&amp;"|"&amp;$C184&amp;"|"&amp;$D184&amp;"|"&amp;AI$14&amp;"|"&amp;"CY2023Q3",Spectrum!$R:$R,0)),0),""))</f>
        <v/>
      </c>
      <c r="AJ184" s="39" t="n">
        <f aca="false">IF(LEFT($B184,4)="_Mil","",_xlfn.IFNA(ROUND(INDEX(Spectrum!$N:$N,MATCH(RIGHT($B184,13)&amp;"|"&amp;$C184&amp;"|"&amp;$D184&amp;"|"&amp;AI$14&amp;"|"&amp;"CY2023Q3",Spectrum!$R:$R,0)),0),SUM($U184)+SUM($AI184)))</f>
        <v>0</v>
      </c>
      <c r="AK184" s="10" t="str">
        <f aca="false">IF(LEFT($B184,4)="_Mil","",_xlfn.IFNA(ROUND(INDEX(Spectrum!$N:$N,MATCH(RIGHT($B184,13)&amp;"|"&amp;$C184&amp;"|"&amp;$D184&amp;"|"&amp;AK$14&amp;"|"&amp;"CY2023Q3",Spectrum!$R:$R,0)),0),""))</f>
        <v/>
      </c>
      <c r="AL184" s="88" t="str">
        <f aca="false">IF(OR(LEFT($B184,4)="_Mil",$C184="&lt;01"),"",MAX(SUM($AA184),90%))</f>
        <v/>
      </c>
      <c r="AM184" s="10" t="str">
        <f aca="false">IF(OR(LEFT($B184,4)="_Mil",$C184="&lt;01"),"",ROUND(SUM($AJ184)*SUM($AL184),0))</f>
        <v/>
      </c>
      <c r="AN184" s="10" t="n">
        <f aca="false">IF($C184="&lt;01",ROUND(INDEX(EID!$P:$P,MATCH($B184,EID!$B:$B,0))/2,0),"")</f>
        <v>0</v>
      </c>
      <c r="AO184" s="10" t="n">
        <f aca="false">IF($C184="&lt;01",SUM($AN184),ROUND(SUM($AM184)*SUM($O184)/IF(SUM($Z184)=0,1,$Z184),0))</f>
        <v>0</v>
      </c>
      <c r="AP184" s="39" t="n">
        <f aca="false">IF(OR($F184="",$C184="&lt;01"),$AO184,$F184)</f>
        <v>0</v>
      </c>
      <c r="AQ184" s="39" t="n">
        <f aca="false">IF(LEFT($B184,4)="_Mil","",IF(SUM($AP184)=0,SUM($Z184),IF(OR(SUM($Z184)=0,SUM($O184)=0),MAX($AP184,$Z184),$AP184*$Z184/$O184)))</f>
        <v>1823</v>
      </c>
      <c r="AR184" s="88" t="str">
        <f aca="false">IF(OR(LEFT($B184,4)="_Mil",SUM($AJ184)=0),"",SUM($AQ184)/$AJ184)</f>
        <v/>
      </c>
      <c r="AS184" s="88" t="str">
        <f aca="false">IF($C184="&lt;01","",98%)</f>
        <v/>
      </c>
      <c r="AT184" s="88" t="str">
        <f aca="false">IF($C184="&lt;01","",98%)</f>
        <v/>
      </c>
      <c r="AU184" s="10" t="str">
        <f aca="false">IF($C184="&lt;01","",SUM($AP184)-SUM($O184))</f>
        <v/>
      </c>
      <c r="AV184" s="10" t="n">
        <f aca="false">IF($C184="&lt;01",ROUND(INDEX(EID!$N:$N,MATCH($B184,EID!$B:$B,0))/2,0),IF(SUM($AT184)=0,"",ROUND((SUM($AP184)-(SUM($O184)*SUM($AS184)))/$AT184,0)))</f>
        <v>0</v>
      </c>
      <c r="AW184" s="88" t="str">
        <f aca="false">IF($C184="&lt;01","",100%)</f>
        <v/>
      </c>
      <c r="AX184" s="39" t="n">
        <f aca="false">IF($C184="&lt;01",SUM($AV184),ROUND(SUM($AV184)*SUM($AW184),0))</f>
        <v>0</v>
      </c>
      <c r="AY184" s="114" t="str">
        <f aca="false">IF($C184="&lt;01","",70%)</f>
        <v/>
      </c>
      <c r="AZ184" s="91" t="n">
        <f aca="false">IF($C184="&lt;01",ROUND(INDEX(EID!$R:$R,MATCH($B184,EID!$B:$B,0))/2,0),ROUND(SUM($O184)+(SUM($AV184)*$AY184),0))</f>
        <v>0</v>
      </c>
      <c r="BA184" s="87" t="str">
        <f aca="false">IF($C184="&lt;01","",95%)</f>
        <v/>
      </c>
      <c r="BB184" s="5" t="n">
        <f aca="false">IF($C184="&lt;01",ROUND(INDEX(EID!$T:$T,MATCH($B184,EID!$B:$B,0))/2,0),ROUND($AZ184*$BA184,0))</f>
        <v>0</v>
      </c>
      <c r="BC184" s="91" t="n">
        <f aca="false">IF(LEFT($B184,4)="_Mil","",IF(SUM($BB184)=0,SUM($AD184),IF(OR(SUM($AP184)=0,SUM($AQ184)=0),MAX($BB184,$AD184),ROUND($BB184*$AQ184/$AP184,0))))</f>
        <v>0</v>
      </c>
      <c r="BD184" s="88" t="str">
        <f aca="false">IF($C184="&lt;01","",95%)</f>
        <v/>
      </c>
      <c r="BE184" s="39" t="n">
        <f aca="false">IF($C184="&lt;01",ROUND(INDEX(EID!$V:$V,MATCH($B184,EID!$B:$B,0))/2,0),ROUND($BD184*$BB184,0))</f>
        <v>0</v>
      </c>
      <c r="BF184" s="39" t="n">
        <f aca="false">IF(LEFT($B184,4)="_Mil","",IF(SUM($BE184)=0,SUM($AF184),IF(OR(SUM($AP184)=0,SUM($AQ184)=0),MAX($BE184,$AF184),ROUND($BE184*$AQ184/$AP184,0))))</f>
        <v>0</v>
      </c>
      <c r="BG184" s="114" t="str">
        <f aca="false">IF($C184="&lt;01","",95%)</f>
        <v/>
      </c>
      <c r="BH184" s="5" t="n">
        <f aca="false">IF($C184="&lt;01",ROUND(INDEX(EID!$L:$L,MATCH($B184,EID!$B:$B,0)),0)/2,IF(SUM($BG184)=0,"",ROUND($AX184/$BG184,0)))</f>
        <v>0</v>
      </c>
    </row>
    <row r="185" customFormat="false" ht="15" hidden="false" customHeight="false" outlineLevel="0" collapsed="false">
      <c r="A185" s="0" t="str">
        <f aca="false">INDEX(Prioritization!$D:$D,MATCH($B185,Prioritization!$A:$A,0))</f>
        <v>INVALID</v>
      </c>
      <c r="B185" s="0" t="s">
        <v>206</v>
      </c>
      <c r="C185" s="0" t="s">
        <v>363</v>
      </c>
      <c r="D185" s="0" t="s">
        <v>30</v>
      </c>
      <c r="E185" s="0" t="str">
        <f aca="false">$B185&amp;"|"&amp;$C185&amp;"|"&amp;$D185</f>
        <v>Likoma District [ZCjuwgaMB9u]|01-09|Female</v>
      </c>
      <c r="F185" s="10"/>
      <c r="G185" s="10"/>
      <c r="H185" s="10"/>
      <c r="I185" s="10"/>
      <c r="J185" s="10"/>
      <c r="K185" s="10"/>
      <c r="L185" s="10"/>
      <c r="M185" s="10"/>
      <c r="N185" s="10"/>
      <c r="O185" s="10" t="str">
        <f aca="false">IFERROR(1/(1/MAX($I185,$N185)),"")</f>
        <v/>
      </c>
      <c r="P185" s="10"/>
      <c r="Q185" s="10"/>
      <c r="R185" s="10" t="str">
        <f aca="false">IF(AND(SUM($I185)=0,SUM($O185)=0),"",SUM($O185)-$I185)</f>
        <v/>
      </c>
      <c r="S185" s="10" t="n">
        <f aca="false">IF(LEFT($B185,4)="_Mil","",_xlfn.IFNA(ROUND(INDEX(Spectrum!$N:$N,MATCH(RIGHT($B185,13)&amp;"|"&amp;$C185&amp;"|"&amp;$D185&amp;"|"&amp;S$14&amp;"|"&amp;"CY2022Q4",Spectrum!$R:$R,0)),0),""))</f>
        <v>1318</v>
      </c>
      <c r="T185" s="39" t="n">
        <f aca="false">IF(LEFT($B185,4)="_Mil","",_xlfn.IFNA(ROUND(INDEX(Spectrum!$N:$N,MATCH(RIGHT($B185,13)&amp;"|"&amp;$C185&amp;"|"&amp;$D185&amp;"|"&amp;T$14&amp;"|"&amp;"CY2023Q3",Spectrum!$R:$R,0)),0),""))</f>
        <v>1677</v>
      </c>
      <c r="U185" s="39" t="str">
        <f aca="false">IF(LEFT($B185,4)="_Mil","",_xlfn.IFNA(ROUND(INDEX(Spectrum!$N:$N,MATCH(RIGHT($B185,13)&amp;"|"&amp;$C185&amp;"|"&amp;$D185&amp;"|"&amp;U$14&amp;"|"&amp;"CY2023Q3",Spectrum!$R:$R,0)),0),""))</f>
        <v/>
      </c>
      <c r="V185" s="10" t="n">
        <f aca="false">IF(LEFT($B185,4)="_Mil","",_xlfn.IFNA(ROUND(INDEX(Spectrum!$N:$N,MATCH(RIGHT($B185,13)&amp;"|"&amp;$C185&amp;"|"&amp;$D185&amp;"|"&amp;V$14&amp;"|"&amp;"CY2023Q3",Spectrum!$R:$R,0)),0),""))</f>
        <v>663</v>
      </c>
      <c r="W185" s="113" t="n">
        <f aca="false">IF(LEFT($B185,4)="_Mil","",_xlfn.IFNA(INDEX(Spectrum!$N:$N,MATCH(RIGHT($B185,13)&amp;"|"&amp;$C185&amp;"|"&amp;$D185&amp;"|"&amp;W$14&amp;"|"&amp;"CY2023Q3",Spectrum!$R:$R,0)),""))</f>
        <v>1468</v>
      </c>
      <c r="X185" s="39" t="n">
        <f aca="false">IF(LEFT($B185,4)="_Mil","",_xlfn.IFNA(ROUND(INDEX(Spectrum!$N:$N,MATCH(RIGHT($B185,13)&amp;"|"&amp;$C185&amp;"|"&amp;$D185&amp;"|"&amp;X$14&amp;"|"&amp;"CY2023Q3",Spectrum!$R:$R,0)),0),""))</f>
        <v>1576</v>
      </c>
      <c r="Y185" s="88" t="str">
        <f aca="false">IF(OR(SUM($U185)=0,LEFT($B185,4)="_Mil"),"",SUM($X185)/$U185)</f>
        <v/>
      </c>
      <c r="Z185" s="39" t="n">
        <f aca="false">IF(LEFT($B185,4)="_Mil","",_xlfn.IFNA(ROUND(INDEX(Spectrum!$N:$N,MATCH(RIGHT($B185,13)&amp;"|"&amp;$C185&amp;"|"&amp;$D185&amp;"|"&amp;Z$14&amp;"|"&amp;"CY2023Q3",Spectrum!$R:$R,0)),0),""))</f>
        <v>632</v>
      </c>
      <c r="AA185" s="88" t="n">
        <f aca="false">IF(LEFT($B185,4)="_Mil","",IFERROR(1/(1/INDEX(Spectrum!$N:$N,MATCH(RIGHT($B185,13)&amp;"|"&amp;$C185&amp;"|"&amp;$D185&amp;"|"&amp;AA$14&amp;"|"&amp;"CY2023Q3",Spectrum!$R:$R,0))),IF(SUM($U185)=0,"",SUM($Z185)/$U185)))</f>
        <v>827</v>
      </c>
      <c r="AB185" s="88" t="n">
        <f aca="false">IF(OR(LEFT($B185,4)="_Mil",SUM($X185)=0),"",SUM($Z185)/$X185)</f>
        <v>0.401015228426396</v>
      </c>
      <c r="AC185" s="10" t="n">
        <f aca="false">IF(LEFT($B185,4)="_Mil","",_xlfn.IFNA(ROUND(INDEX(Spectrum!$N:$N,MATCH(RIGHT($B185,13)&amp;"|"&amp;$C185&amp;"|"&amp;$D185&amp;"|"&amp;AC$14&amp;"|"&amp;"CY2023Q3",Spectrum!$R:$R,0)),0),""))</f>
        <v>983</v>
      </c>
      <c r="AD185" s="10" t="str">
        <f aca="false">IF(LEFT($B185,4)="_Mil","",_xlfn.IFNA(ROUND(INDEX(Spectrum!$N:$N,MATCH(RIGHT($B185,13)&amp;"|"&amp;$C185&amp;"|"&amp;$D185&amp;"|"&amp;AD$14&amp;"|"&amp;"CY2023Q3",Spectrum!$R:$R,0)),0),""))</f>
        <v/>
      </c>
      <c r="AE185" s="88" t="n">
        <f aca="false">IF(OR(LEFT($B185,4)="_Mil",SUM($Z185)=0),"",SUM($AD185)/$Z185)</f>
        <v>0</v>
      </c>
      <c r="AF185" s="39" t="str">
        <f aca="false">IF(LEFT($B185,4)="_Mil","",_xlfn.IFNA(ROUND(INDEX(Spectrum!$N:$N,MATCH(RIGHT($B185,13)&amp;"|"&amp;$C185&amp;"|"&amp;$D185&amp;"|"&amp;AF$14&amp;"|"&amp;"CY2023Q3",Spectrum!$R:$R,0)),0),""))</f>
        <v/>
      </c>
      <c r="AG185" s="88" t="str">
        <f aca="false">IF(OR(LEFT($B185,4)="_Mil",SUM($AD185)=0),"",SUM($AF185)/$AD185)</f>
        <v/>
      </c>
      <c r="AH185" s="86" t="str">
        <f aca="false">IF(LEFT($B185,4)="_Mil","",_xlfn.IFNA(INDEX(Spectrum!$N:$N,MATCH(RIGHT($B185,13)&amp;"|"&amp;$C185&amp;"|"&amp;$D185&amp;"|"&amp;AH$14&amp;"|"&amp;"CY2023Q3",Spectrum!$R:$R,0)),""))</f>
        <v/>
      </c>
      <c r="AI185" s="10" t="str">
        <f aca="false">IF(LEFT($B185,4)="_Mil","",_xlfn.IFNA(ROUND(INDEX(Spectrum!$N:$N,MATCH(RIGHT($B185,13)&amp;"|"&amp;$C185&amp;"|"&amp;$D185&amp;"|"&amp;AI$14&amp;"|"&amp;"CY2023Q3",Spectrum!$R:$R,0)),0),""))</f>
        <v/>
      </c>
      <c r="AJ185" s="39" t="n">
        <f aca="false">IF(LEFT($B185,4)="_Mil","",_xlfn.IFNA(ROUND(INDEX(Spectrum!$N:$N,MATCH(RIGHT($B185,13)&amp;"|"&amp;$C185&amp;"|"&amp;$D185&amp;"|"&amp;AI$14&amp;"|"&amp;"CY2023Q3",Spectrum!$R:$R,0)),0),SUM($U185)+SUM($AI185)))</f>
        <v>0</v>
      </c>
      <c r="AK185" s="10" t="str">
        <f aca="false">IF(LEFT($B185,4)="_Mil","",_xlfn.IFNA(ROUND(INDEX(Spectrum!$N:$N,MATCH(RIGHT($B185,13)&amp;"|"&amp;$C185&amp;"|"&amp;$D185&amp;"|"&amp;AK$14&amp;"|"&amp;"CY2023Q3",Spectrum!$R:$R,0)),0),""))</f>
        <v/>
      </c>
      <c r="AL185" s="88" t="n">
        <f aca="false">IF(OR(LEFT($B185,4)="_Mil",$C185="&lt;01"),"",MAX(SUM($AA185),90%))</f>
        <v>827</v>
      </c>
      <c r="AM185" s="10" t="n">
        <f aca="false">IF(OR(LEFT($B185,4)="_Mil",$C185="&lt;01"),"",ROUND(SUM($AJ185)*SUM($AL185),0))</f>
        <v>0</v>
      </c>
      <c r="AN185" s="10" t="str">
        <f aca="false">IF($C185="&lt;01",ROUND(INDEX(EID!$P:$P,MATCH($B185,EID!$B:$B,0))/2,0),"")</f>
        <v/>
      </c>
      <c r="AO185" s="10" t="n">
        <f aca="false">IF($C185="&lt;01",SUM($AN185),ROUND(SUM($AM185)*SUM($O185)/IF(SUM($Z185)=0,1,$Z185),0))</f>
        <v>0</v>
      </c>
      <c r="AP185" s="39" t="n">
        <f aca="false">IF(OR($F185="",$C185="&lt;01"),$AO185,$F185)</f>
        <v>0</v>
      </c>
      <c r="AQ185" s="39" t="n">
        <f aca="false">IF(LEFT($B185,4)="_Mil","",IF(SUM($AP185)=0,SUM($Z185),IF(OR(SUM($Z185)=0,SUM($O185)=0),MAX($AP185,$Z185),$AP185*$Z185/$O185)))</f>
        <v>632</v>
      </c>
      <c r="AR185" s="88" t="str">
        <f aca="false">IF(OR(LEFT($B185,4)="_Mil",SUM($AJ185)=0),"",SUM($AQ185)/$AJ185)</f>
        <v/>
      </c>
      <c r="AS185" s="88" t="n">
        <f aca="false">IF($C185="&lt;01","",98%)</f>
        <v>0.98</v>
      </c>
      <c r="AT185" s="88" t="n">
        <f aca="false">IF($C185="&lt;01","",98%)</f>
        <v>0.98</v>
      </c>
      <c r="AU185" s="10" t="n">
        <f aca="false">IF($C185="&lt;01","",SUM($AP185)-SUM($O185))</f>
        <v>0</v>
      </c>
      <c r="AV185" s="10" t="n">
        <f aca="false">IF($C185="&lt;01",ROUND(INDEX(EID!$N:$N,MATCH($B185,EID!$B:$B,0))/2,0),IF(SUM($AT185)=0,"",ROUND((SUM($AP185)-(SUM($O185)*SUM($AS185)))/$AT185,0)))</f>
        <v>0</v>
      </c>
      <c r="AW185" s="88" t="n">
        <f aca="false">IF($C185="&lt;01","",100%)</f>
        <v>1</v>
      </c>
      <c r="AX185" s="39" t="n">
        <f aca="false">IF($C185="&lt;01",SUM($AV185),ROUND(SUM($AV185)*SUM($AW185),0))</f>
        <v>0</v>
      </c>
      <c r="AY185" s="114" t="n">
        <f aca="false">IF($C185="&lt;01","",70%)</f>
        <v>0.7</v>
      </c>
      <c r="AZ185" s="91" t="n">
        <f aca="false">IF($C185="&lt;01",ROUND(INDEX(EID!$R:$R,MATCH($B185,EID!$B:$B,0))/2,0),ROUND(SUM($O185)+(SUM($AV185)*$AY185),0))</f>
        <v>0</v>
      </c>
      <c r="BA185" s="87" t="n">
        <f aca="false">IF($C185="&lt;01","",95%)</f>
        <v>0.95</v>
      </c>
      <c r="BB185" s="5" t="n">
        <f aca="false">IF($C185="&lt;01",ROUND(INDEX(EID!$T:$T,MATCH($B185,EID!$B:$B,0))/2,0),ROUND($AZ185*$BA185,0))</f>
        <v>0</v>
      </c>
      <c r="BC185" s="91" t="n">
        <f aca="false">IF(LEFT($B185,4)="_Mil","",IF(SUM($BB185)=0,SUM($AD185),IF(OR(SUM($AP185)=0,SUM($AQ185)=0),MAX($BB185,$AD185),ROUND($BB185*$AQ185/$AP185,0))))</f>
        <v>0</v>
      </c>
      <c r="BD185" s="88" t="n">
        <f aca="false">IF($C185="&lt;01","",95%)</f>
        <v>0.95</v>
      </c>
      <c r="BE185" s="39" t="n">
        <f aca="false">IF($C185="&lt;01",ROUND(INDEX(EID!$V:$V,MATCH($B185,EID!$B:$B,0))/2,0),ROUND($BD185*$BB185,0))</f>
        <v>0</v>
      </c>
      <c r="BF185" s="39" t="n">
        <f aca="false">IF(LEFT($B185,4)="_Mil","",IF(SUM($BE185)=0,SUM($AF185),IF(OR(SUM($AP185)=0,SUM($AQ185)=0),MAX($BE185,$AF185),ROUND($BE185*$AQ185/$AP185,0))))</f>
        <v>0</v>
      </c>
      <c r="BG185" s="114" t="n">
        <f aca="false">IF($C185="&lt;01","",95%)</f>
        <v>0.95</v>
      </c>
      <c r="BH185" s="5" t="n">
        <f aca="false">IF($C185="&lt;01",ROUND(INDEX(EID!$L:$L,MATCH($B185,EID!$B:$B,0)),0)/2,IF(SUM($BG185)=0,"",ROUND($AX185/$BG185,0)))</f>
        <v>0</v>
      </c>
    </row>
    <row r="186" customFormat="false" ht="15" hidden="false" customHeight="false" outlineLevel="0" collapsed="false">
      <c r="A186" s="0" t="str">
        <f aca="false">INDEX(Prioritization!$D:$D,MATCH($B186,Prioritization!$A:$A,0))</f>
        <v>INVALID</v>
      </c>
      <c r="B186" s="0" t="s">
        <v>206</v>
      </c>
      <c r="C186" s="0" t="s">
        <v>363</v>
      </c>
      <c r="D186" s="0" t="s">
        <v>48</v>
      </c>
      <c r="E186" s="0" t="str">
        <f aca="false">$B186&amp;"|"&amp;$C186&amp;"|"&amp;$D186</f>
        <v>Likoma District [ZCjuwgaMB9u]|01-09|Male</v>
      </c>
      <c r="F186" s="10"/>
      <c r="G186" s="10"/>
      <c r="H186" s="10"/>
      <c r="I186" s="10"/>
      <c r="J186" s="10"/>
      <c r="K186" s="10"/>
      <c r="L186" s="10"/>
      <c r="M186" s="10"/>
      <c r="N186" s="10"/>
      <c r="O186" s="10" t="str">
        <f aca="false">IFERROR(1/(1/MAX($I186,$N186)),"")</f>
        <v/>
      </c>
      <c r="P186" s="10"/>
      <c r="Q186" s="10"/>
      <c r="R186" s="10" t="str">
        <f aca="false">IF(AND(SUM($I186)=0,SUM($O186)=0),"",SUM($O186)-$I186)</f>
        <v/>
      </c>
      <c r="S186" s="10" t="n">
        <f aca="false">IF(LEFT($B186,4)="_Mil","",_xlfn.IFNA(ROUND(INDEX(Spectrum!$N:$N,MATCH(RIGHT($B186,13)&amp;"|"&amp;$C186&amp;"|"&amp;$D186&amp;"|"&amp;S$14&amp;"|"&amp;"CY2022Q4",Spectrum!$R:$R,0)),0),""))</f>
        <v>1816</v>
      </c>
      <c r="T186" s="39" t="n">
        <f aca="false">IF(LEFT($B186,4)="_Mil","",_xlfn.IFNA(ROUND(INDEX(Spectrum!$N:$N,MATCH(RIGHT($B186,13)&amp;"|"&amp;$C186&amp;"|"&amp;$D186&amp;"|"&amp;T$14&amp;"|"&amp;"CY2023Q3",Spectrum!$R:$R,0)),0),""))</f>
        <v>1514</v>
      </c>
      <c r="U186" s="39" t="str">
        <f aca="false">IF(LEFT($B186,4)="_Mil","",_xlfn.IFNA(ROUND(INDEX(Spectrum!$N:$N,MATCH(RIGHT($B186,13)&amp;"|"&amp;$C186&amp;"|"&amp;$D186&amp;"|"&amp;U$14&amp;"|"&amp;"CY2023Q3",Spectrum!$R:$R,0)),0),""))</f>
        <v/>
      </c>
      <c r="V186" s="10" t="n">
        <f aca="false">IF(LEFT($B186,4)="_Mil","",_xlfn.IFNA(ROUND(INDEX(Spectrum!$N:$N,MATCH(RIGHT($B186,13)&amp;"|"&amp;$C186&amp;"|"&amp;$D186&amp;"|"&amp;V$14&amp;"|"&amp;"CY2023Q3",Spectrum!$R:$R,0)),0),""))</f>
        <v>1607</v>
      </c>
      <c r="W186" s="113" t="n">
        <f aca="false">IF(LEFT($B186,4)="_Mil","",_xlfn.IFNA(INDEX(Spectrum!$N:$N,MATCH(RIGHT($B186,13)&amp;"|"&amp;$C186&amp;"|"&amp;$D186&amp;"|"&amp;W$14&amp;"|"&amp;"CY2023Q3",Spectrum!$R:$R,0)),""))</f>
        <v>915</v>
      </c>
      <c r="X186" s="39" t="n">
        <f aca="false">IF(LEFT($B186,4)="_Mil","",_xlfn.IFNA(ROUND(INDEX(Spectrum!$N:$N,MATCH(RIGHT($B186,13)&amp;"|"&amp;$C186&amp;"|"&amp;$D186&amp;"|"&amp;X$14&amp;"|"&amp;"CY2023Q3",Spectrum!$R:$R,0)),0),""))</f>
        <v>1539</v>
      </c>
      <c r="Y186" s="88" t="str">
        <f aca="false">IF(OR(SUM($U186)=0,LEFT($B186,4)="_Mil"),"",SUM($X186)/$U186)</f>
        <v/>
      </c>
      <c r="Z186" s="39" t="n">
        <f aca="false">IF(LEFT($B186,4)="_Mil","",_xlfn.IFNA(ROUND(INDEX(Spectrum!$N:$N,MATCH(RIGHT($B186,13)&amp;"|"&amp;$C186&amp;"|"&amp;$D186&amp;"|"&amp;Z$14&amp;"|"&amp;"CY2023Q3",Spectrum!$R:$R,0)),0),""))</f>
        <v>1944</v>
      </c>
      <c r="AA186" s="88" t="n">
        <f aca="false">IF(LEFT($B186,4)="_Mil","",IFERROR(1/(1/INDEX(Spectrum!$N:$N,MATCH(RIGHT($B186,13)&amp;"|"&amp;$C186&amp;"|"&amp;$D186&amp;"|"&amp;AA$14&amp;"|"&amp;"CY2023Q3",Spectrum!$R:$R,0))),IF(SUM($U186)=0,"",SUM($Z186)/$U186)))</f>
        <v>1106</v>
      </c>
      <c r="AB186" s="88" t="n">
        <f aca="false">IF(OR(LEFT($B186,4)="_Mil",SUM($X186)=0),"",SUM($Z186)/$X186)</f>
        <v>1.26315789473684</v>
      </c>
      <c r="AC186" s="10" t="n">
        <f aca="false">IF(LEFT($B186,4)="_Mil","",_xlfn.IFNA(ROUND(INDEX(Spectrum!$N:$N,MATCH(RIGHT($B186,13)&amp;"|"&amp;$C186&amp;"|"&amp;$D186&amp;"|"&amp;AC$14&amp;"|"&amp;"CY2023Q3",Spectrum!$R:$R,0)),0),""))</f>
        <v>1780</v>
      </c>
      <c r="AD186" s="10" t="str">
        <f aca="false">IF(LEFT($B186,4)="_Mil","",_xlfn.IFNA(ROUND(INDEX(Spectrum!$N:$N,MATCH(RIGHT($B186,13)&amp;"|"&amp;$C186&amp;"|"&amp;$D186&amp;"|"&amp;AD$14&amp;"|"&amp;"CY2023Q3",Spectrum!$R:$R,0)),0),""))</f>
        <v/>
      </c>
      <c r="AE186" s="88" t="n">
        <f aca="false">IF(OR(LEFT($B186,4)="_Mil",SUM($Z186)=0),"",SUM($AD186)/$Z186)</f>
        <v>0</v>
      </c>
      <c r="AF186" s="39" t="str">
        <f aca="false">IF(LEFT($B186,4)="_Mil","",_xlfn.IFNA(ROUND(INDEX(Spectrum!$N:$N,MATCH(RIGHT($B186,13)&amp;"|"&amp;$C186&amp;"|"&amp;$D186&amp;"|"&amp;AF$14&amp;"|"&amp;"CY2023Q3",Spectrum!$R:$R,0)),0),""))</f>
        <v/>
      </c>
      <c r="AG186" s="88" t="str">
        <f aca="false">IF(OR(LEFT($B186,4)="_Mil",SUM($AD186)=0),"",SUM($AF186)/$AD186)</f>
        <v/>
      </c>
      <c r="AH186" s="86" t="str">
        <f aca="false">IF(LEFT($B186,4)="_Mil","",_xlfn.IFNA(INDEX(Spectrum!$N:$N,MATCH(RIGHT($B186,13)&amp;"|"&amp;$C186&amp;"|"&amp;$D186&amp;"|"&amp;AH$14&amp;"|"&amp;"CY2023Q3",Spectrum!$R:$R,0)),""))</f>
        <v/>
      </c>
      <c r="AI186" s="10" t="str">
        <f aca="false">IF(LEFT($B186,4)="_Mil","",_xlfn.IFNA(ROUND(INDEX(Spectrum!$N:$N,MATCH(RIGHT($B186,13)&amp;"|"&amp;$C186&amp;"|"&amp;$D186&amp;"|"&amp;AI$14&amp;"|"&amp;"CY2023Q3",Spectrum!$R:$R,0)),0),""))</f>
        <v/>
      </c>
      <c r="AJ186" s="39" t="n">
        <f aca="false">IF(LEFT($B186,4)="_Mil","",_xlfn.IFNA(ROUND(INDEX(Spectrum!$N:$N,MATCH(RIGHT($B186,13)&amp;"|"&amp;$C186&amp;"|"&amp;$D186&amp;"|"&amp;AI$14&amp;"|"&amp;"CY2023Q3",Spectrum!$R:$R,0)),0),SUM($U186)+SUM($AI186)))</f>
        <v>0</v>
      </c>
      <c r="AK186" s="10" t="str">
        <f aca="false">IF(LEFT($B186,4)="_Mil","",_xlfn.IFNA(ROUND(INDEX(Spectrum!$N:$N,MATCH(RIGHT($B186,13)&amp;"|"&amp;$C186&amp;"|"&amp;$D186&amp;"|"&amp;AK$14&amp;"|"&amp;"CY2023Q3",Spectrum!$R:$R,0)),0),""))</f>
        <v/>
      </c>
      <c r="AL186" s="88" t="n">
        <f aca="false">IF(OR(LEFT($B186,4)="_Mil",$C186="&lt;01"),"",MAX(SUM($AA186),90%))</f>
        <v>1106</v>
      </c>
      <c r="AM186" s="10" t="n">
        <f aca="false">IF(OR(LEFT($B186,4)="_Mil",$C186="&lt;01"),"",ROUND(SUM($AJ186)*SUM($AL186),0))</f>
        <v>0</v>
      </c>
      <c r="AN186" s="10" t="str">
        <f aca="false">IF($C186="&lt;01",ROUND(INDEX(EID!$P:$P,MATCH($B186,EID!$B:$B,0))/2,0),"")</f>
        <v/>
      </c>
      <c r="AO186" s="10" t="n">
        <f aca="false">IF($C186="&lt;01",SUM($AN186),ROUND(SUM($AM186)*SUM($O186)/IF(SUM($Z186)=0,1,$Z186),0))</f>
        <v>0</v>
      </c>
      <c r="AP186" s="39" t="n">
        <f aca="false">IF(OR($F186="",$C186="&lt;01"),$AO186,$F186)</f>
        <v>0</v>
      </c>
      <c r="AQ186" s="39" t="n">
        <f aca="false">IF(LEFT($B186,4)="_Mil","",IF(SUM($AP186)=0,SUM($Z186),IF(OR(SUM($Z186)=0,SUM($O186)=0),MAX($AP186,$Z186),$AP186*$Z186/$O186)))</f>
        <v>1944</v>
      </c>
      <c r="AR186" s="88" t="str">
        <f aca="false">IF(OR(LEFT($B186,4)="_Mil",SUM($AJ186)=0),"",SUM($AQ186)/$AJ186)</f>
        <v/>
      </c>
      <c r="AS186" s="88" t="n">
        <f aca="false">IF($C186="&lt;01","",98%)</f>
        <v>0.98</v>
      </c>
      <c r="AT186" s="88" t="n">
        <f aca="false">IF($C186="&lt;01","",98%)</f>
        <v>0.98</v>
      </c>
      <c r="AU186" s="10" t="n">
        <f aca="false">IF($C186="&lt;01","",SUM($AP186)-SUM($O186))</f>
        <v>0</v>
      </c>
      <c r="AV186" s="10" t="n">
        <f aca="false">IF($C186="&lt;01",ROUND(INDEX(EID!$N:$N,MATCH($B186,EID!$B:$B,0))/2,0),IF(SUM($AT186)=0,"",ROUND((SUM($AP186)-(SUM($O186)*SUM($AS186)))/$AT186,0)))</f>
        <v>0</v>
      </c>
      <c r="AW186" s="88" t="n">
        <f aca="false">IF($C186="&lt;01","",100%)</f>
        <v>1</v>
      </c>
      <c r="AX186" s="39" t="n">
        <f aca="false">IF($C186="&lt;01",SUM($AV186),ROUND(SUM($AV186)*SUM($AW186),0))</f>
        <v>0</v>
      </c>
      <c r="AY186" s="114" t="n">
        <f aca="false">IF($C186="&lt;01","",70%)</f>
        <v>0.7</v>
      </c>
      <c r="AZ186" s="91" t="n">
        <f aca="false">IF($C186="&lt;01",ROUND(INDEX(EID!$R:$R,MATCH($B186,EID!$B:$B,0))/2,0),ROUND(SUM($O186)+(SUM($AV186)*$AY186),0))</f>
        <v>0</v>
      </c>
      <c r="BA186" s="87" t="n">
        <f aca="false">IF($C186="&lt;01","",95%)</f>
        <v>0.95</v>
      </c>
      <c r="BB186" s="5" t="n">
        <f aca="false">IF($C186="&lt;01",ROUND(INDEX(EID!$T:$T,MATCH($B186,EID!$B:$B,0))/2,0),ROUND($AZ186*$BA186,0))</f>
        <v>0</v>
      </c>
      <c r="BC186" s="91" t="n">
        <f aca="false">IF(LEFT($B186,4)="_Mil","",IF(SUM($BB186)=0,SUM($AD186),IF(OR(SUM($AP186)=0,SUM($AQ186)=0),MAX($BB186,$AD186),ROUND($BB186*$AQ186/$AP186,0))))</f>
        <v>0</v>
      </c>
      <c r="BD186" s="88" t="n">
        <f aca="false">IF($C186="&lt;01","",95%)</f>
        <v>0.95</v>
      </c>
      <c r="BE186" s="39" t="n">
        <f aca="false">IF($C186="&lt;01",ROUND(INDEX(EID!$V:$V,MATCH($B186,EID!$B:$B,0))/2,0),ROUND($BD186*$BB186,0))</f>
        <v>0</v>
      </c>
      <c r="BF186" s="39" t="n">
        <f aca="false">IF(LEFT($B186,4)="_Mil","",IF(SUM($BE186)=0,SUM($AF186),IF(OR(SUM($AP186)=0,SUM($AQ186)=0),MAX($BE186,$AF186),ROUND($BE186*$AQ186/$AP186,0))))</f>
        <v>0</v>
      </c>
      <c r="BG186" s="114" t="n">
        <f aca="false">IF($C186="&lt;01","",95%)</f>
        <v>0.95</v>
      </c>
      <c r="BH186" s="5" t="n">
        <f aca="false">IF($C186="&lt;01",ROUND(INDEX(EID!$L:$L,MATCH($B186,EID!$B:$B,0)),0)/2,IF(SUM($BG186)=0,"",ROUND($AX186/$BG186,0)))</f>
        <v>0</v>
      </c>
    </row>
    <row r="187" customFormat="false" ht="15" hidden="false" customHeight="false" outlineLevel="0" collapsed="false">
      <c r="A187" s="0" t="str">
        <f aca="false">INDEX(Prioritization!$D:$D,MATCH($B187,Prioritization!$A:$A,0))</f>
        <v>INVALID</v>
      </c>
      <c r="B187" s="0" t="s">
        <v>206</v>
      </c>
      <c r="C187" s="0" t="s">
        <v>364</v>
      </c>
      <c r="D187" s="0" t="s">
        <v>30</v>
      </c>
      <c r="E187" s="0" t="str">
        <f aca="false">$B187&amp;"|"&amp;$C187&amp;"|"&amp;$D187</f>
        <v>Likoma District [ZCjuwgaMB9u]|10-14|Female</v>
      </c>
      <c r="F187" s="10"/>
      <c r="G187" s="10" t="n">
        <v>1</v>
      </c>
      <c r="H187" s="10"/>
      <c r="I187" s="10" t="n">
        <v>2</v>
      </c>
      <c r="J187" s="10" t="n">
        <v>4</v>
      </c>
      <c r="K187" s="10" t="n">
        <v>1</v>
      </c>
      <c r="L187" s="10" t="n">
        <v>1</v>
      </c>
      <c r="M187" s="10" t="n">
        <v>0</v>
      </c>
      <c r="N187" s="10" t="n">
        <v>5</v>
      </c>
      <c r="O187" s="10" t="n">
        <f aca="false">IFERROR(1/(1/MAX($I187,$N187)),"")</f>
        <v>5</v>
      </c>
      <c r="P187" s="10" t="n">
        <v>7</v>
      </c>
      <c r="Q187" s="10" t="n">
        <v>7</v>
      </c>
      <c r="R187" s="10" t="n">
        <f aca="false">IF(AND(SUM($I187)=0,SUM($O187)=0),"",SUM($O187)-$I187)</f>
        <v>3</v>
      </c>
      <c r="S187" s="10" t="n">
        <f aca="false">IF(LEFT($B187,4)="_Mil","",_xlfn.IFNA(ROUND(INDEX(Spectrum!$N:$N,MATCH(RIGHT($B187,13)&amp;"|"&amp;$C187&amp;"|"&amp;$D187&amp;"|"&amp;S$14&amp;"|"&amp;"CY2022Q4",Spectrum!$R:$R,0)),0),""))</f>
        <v>1192</v>
      </c>
      <c r="T187" s="39" t="n">
        <f aca="false">IF(LEFT($B187,4)="_Mil","",_xlfn.IFNA(ROUND(INDEX(Spectrum!$N:$N,MATCH(RIGHT($B187,13)&amp;"|"&amp;$C187&amp;"|"&amp;$D187&amp;"|"&amp;T$14&amp;"|"&amp;"CY2023Q3",Spectrum!$R:$R,0)),0),""))</f>
        <v>1619</v>
      </c>
      <c r="U187" s="39" t="str">
        <f aca="false">IF(LEFT($B187,4)="_Mil","",_xlfn.IFNA(ROUND(INDEX(Spectrum!$N:$N,MATCH(RIGHT($B187,13)&amp;"|"&amp;$C187&amp;"|"&amp;$D187&amp;"|"&amp;U$14&amp;"|"&amp;"CY2023Q3",Spectrum!$R:$R,0)),0),""))</f>
        <v/>
      </c>
      <c r="V187" s="10" t="n">
        <f aca="false">IF(LEFT($B187,4)="_Mil","",_xlfn.IFNA(ROUND(INDEX(Spectrum!$N:$N,MATCH(RIGHT($B187,13)&amp;"|"&amp;$C187&amp;"|"&amp;$D187&amp;"|"&amp;V$14&amp;"|"&amp;"CY2023Q3",Spectrum!$R:$R,0)),0),""))</f>
        <v>1510</v>
      </c>
      <c r="W187" s="113" t="n">
        <f aca="false">IF(LEFT($B187,4)="_Mil","",_xlfn.IFNA(INDEX(Spectrum!$N:$N,MATCH(RIGHT($B187,13)&amp;"|"&amp;$C187&amp;"|"&amp;$D187&amp;"|"&amp;W$14&amp;"|"&amp;"CY2023Q3",Spectrum!$R:$R,0)),""))</f>
        <v>1595</v>
      </c>
      <c r="X187" s="39" t="n">
        <f aca="false">IF(LEFT($B187,4)="_Mil","",_xlfn.IFNA(ROUND(INDEX(Spectrum!$N:$N,MATCH(RIGHT($B187,13)&amp;"|"&amp;$C187&amp;"|"&amp;$D187&amp;"|"&amp;X$14&amp;"|"&amp;"CY2023Q3",Spectrum!$R:$R,0)),0),""))</f>
        <v>940</v>
      </c>
      <c r="Y187" s="88" t="str">
        <f aca="false">IF(OR(SUM($U187)=0,LEFT($B187,4)="_Mil"),"",SUM($X187)/$U187)</f>
        <v/>
      </c>
      <c r="Z187" s="39" t="n">
        <f aca="false">IF(LEFT($B187,4)="_Mil","",_xlfn.IFNA(ROUND(INDEX(Spectrum!$N:$N,MATCH(RIGHT($B187,13)&amp;"|"&amp;$C187&amp;"|"&amp;$D187&amp;"|"&amp;Z$14&amp;"|"&amp;"CY2023Q3",Spectrum!$R:$R,0)),0),""))</f>
        <v>1028</v>
      </c>
      <c r="AA187" s="88" t="n">
        <f aca="false">IF(LEFT($B187,4)="_Mil","",IFERROR(1/(1/INDEX(Spectrum!$N:$N,MATCH(RIGHT($B187,13)&amp;"|"&amp;$C187&amp;"|"&amp;$D187&amp;"|"&amp;AA$14&amp;"|"&amp;"CY2023Q3",Spectrum!$R:$R,0))),IF(SUM($U187)=0,"",SUM($Z187)/$U187)))</f>
        <v>1054</v>
      </c>
      <c r="AB187" s="88" t="n">
        <f aca="false">IF(OR(LEFT($B187,4)="_Mil",SUM($X187)=0),"",SUM($Z187)/$X187)</f>
        <v>1.0936170212766</v>
      </c>
      <c r="AC187" s="10" t="n">
        <f aca="false">IF(LEFT($B187,4)="_Mil","",_xlfn.IFNA(ROUND(INDEX(Spectrum!$N:$N,MATCH(RIGHT($B187,13)&amp;"|"&amp;$C187&amp;"|"&amp;$D187&amp;"|"&amp;AC$14&amp;"|"&amp;"CY2023Q3",Spectrum!$R:$R,0)),0),""))</f>
        <v>1829</v>
      </c>
      <c r="AD187" s="10" t="str">
        <f aca="false">IF(LEFT($B187,4)="_Mil","",_xlfn.IFNA(ROUND(INDEX(Spectrum!$N:$N,MATCH(RIGHT($B187,13)&amp;"|"&amp;$C187&amp;"|"&amp;$D187&amp;"|"&amp;AD$14&amp;"|"&amp;"CY2023Q3",Spectrum!$R:$R,0)),0),""))</f>
        <v/>
      </c>
      <c r="AE187" s="88" t="n">
        <f aca="false">IF(OR(LEFT($B187,4)="_Mil",SUM($Z187)=0),"",SUM($AD187)/$Z187)</f>
        <v>0</v>
      </c>
      <c r="AF187" s="39" t="str">
        <f aca="false">IF(LEFT($B187,4)="_Mil","",_xlfn.IFNA(ROUND(INDEX(Spectrum!$N:$N,MATCH(RIGHT($B187,13)&amp;"|"&amp;$C187&amp;"|"&amp;$D187&amp;"|"&amp;AF$14&amp;"|"&amp;"CY2023Q3",Spectrum!$R:$R,0)),0),""))</f>
        <v/>
      </c>
      <c r="AG187" s="88" t="str">
        <f aca="false">IF(OR(LEFT($B187,4)="_Mil",SUM($AD187)=0),"",SUM($AF187)/$AD187)</f>
        <v/>
      </c>
      <c r="AH187" s="86" t="str">
        <f aca="false">IF(LEFT($B187,4)="_Mil","",_xlfn.IFNA(INDEX(Spectrum!$N:$N,MATCH(RIGHT($B187,13)&amp;"|"&amp;$C187&amp;"|"&amp;$D187&amp;"|"&amp;AH$14&amp;"|"&amp;"CY2023Q3",Spectrum!$R:$R,0)),""))</f>
        <v/>
      </c>
      <c r="AI187" s="10" t="str">
        <f aca="false">IF(LEFT($B187,4)="_Mil","",_xlfn.IFNA(ROUND(INDEX(Spectrum!$N:$N,MATCH(RIGHT($B187,13)&amp;"|"&amp;$C187&amp;"|"&amp;$D187&amp;"|"&amp;AI$14&amp;"|"&amp;"CY2023Q3",Spectrum!$R:$R,0)),0),""))</f>
        <v/>
      </c>
      <c r="AJ187" s="39" t="n">
        <f aca="false">IF(LEFT($B187,4)="_Mil","",_xlfn.IFNA(ROUND(INDEX(Spectrum!$N:$N,MATCH(RIGHT($B187,13)&amp;"|"&amp;$C187&amp;"|"&amp;$D187&amp;"|"&amp;AI$14&amp;"|"&amp;"CY2023Q3",Spectrum!$R:$R,0)),0),SUM($U187)+SUM($AI187)))</f>
        <v>0</v>
      </c>
      <c r="AK187" s="10" t="str">
        <f aca="false">IF(LEFT($B187,4)="_Mil","",_xlfn.IFNA(ROUND(INDEX(Spectrum!$N:$N,MATCH(RIGHT($B187,13)&amp;"|"&amp;$C187&amp;"|"&amp;$D187&amp;"|"&amp;AK$14&amp;"|"&amp;"CY2023Q3",Spectrum!$R:$R,0)),0),""))</f>
        <v/>
      </c>
      <c r="AL187" s="88" t="n">
        <f aca="false">IF(OR(LEFT($B187,4)="_Mil",$C187="&lt;01"),"",MAX(SUM($AA187),90%))</f>
        <v>1054</v>
      </c>
      <c r="AM187" s="10" t="n">
        <f aca="false">IF(OR(LEFT($B187,4)="_Mil",$C187="&lt;01"),"",ROUND(SUM($AJ187)*SUM($AL187),0))</f>
        <v>0</v>
      </c>
      <c r="AN187" s="10" t="str">
        <f aca="false">IF($C187="&lt;01",ROUND(INDEX(EID!$P:$P,MATCH($B187,EID!$B:$B,0))/2,0),"")</f>
        <v/>
      </c>
      <c r="AO187" s="10" t="n">
        <f aca="false">IF($C187="&lt;01",SUM($AN187),ROUND(SUM($AM187)*SUM($O187)/IF(SUM($Z187)=0,1,$Z187),0))</f>
        <v>0</v>
      </c>
      <c r="AP187" s="39" t="n">
        <f aca="false">IF(OR($F187="",$C187="&lt;01"),$AO187,$F187)</f>
        <v>0</v>
      </c>
      <c r="AQ187" s="39" t="n">
        <f aca="false">IF(LEFT($B187,4)="_Mil","",IF(SUM($AP187)=0,SUM($Z187),IF(OR(SUM($Z187)=0,SUM($O187)=0),MAX($AP187,$Z187),$AP187*$Z187/$O187)))</f>
        <v>1028</v>
      </c>
      <c r="AR187" s="88" t="str">
        <f aca="false">IF(OR(LEFT($B187,4)="_Mil",SUM($AJ187)=0),"",SUM($AQ187)/$AJ187)</f>
        <v/>
      </c>
      <c r="AS187" s="88" t="n">
        <f aca="false">IF($C187="&lt;01","",98%)</f>
        <v>0.98</v>
      </c>
      <c r="AT187" s="88" t="n">
        <f aca="false">IF($C187="&lt;01","",98%)</f>
        <v>0.98</v>
      </c>
      <c r="AU187" s="10" t="n">
        <f aca="false">IF($C187="&lt;01","",SUM($AP187)-SUM($O187))</f>
        <v>-5</v>
      </c>
      <c r="AV187" s="10" t="n">
        <f aca="false">IF($C187="&lt;01",ROUND(INDEX(EID!$N:$N,MATCH($B187,EID!$B:$B,0))/2,0),IF(SUM($AT187)=0,"",ROUND((SUM($AP187)-(SUM($O187)*SUM($AS187)))/$AT187,0)))</f>
        <v>-5</v>
      </c>
      <c r="AW187" s="88" t="n">
        <f aca="false">IF($C187="&lt;01","",100%)</f>
        <v>1</v>
      </c>
      <c r="AX187" s="39" t="n">
        <f aca="false">IF($C187="&lt;01",SUM($AV187),ROUND(SUM($AV187)*SUM($AW187),0))</f>
        <v>-5</v>
      </c>
      <c r="AY187" s="114" t="n">
        <f aca="false">IF($C187="&lt;01","",70%)</f>
        <v>0.7</v>
      </c>
      <c r="AZ187" s="91" t="n">
        <f aca="false">IF($C187="&lt;01",ROUND(INDEX(EID!$R:$R,MATCH($B187,EID!$B:$B,0))/2,0),ROUND(SUM($O187)+(SUM($AV187)*$AY187),0))</f>
        <v>2</v>
      </c>
      <c r="BA187" s="87" t="n">
        <f aca="false">IF($C187="&lt;01","",95%)</f>
        <v>0.95</v>
      </c>
      <c r="BB187" s="5" t="n">
        <f aca="false">IF($C187="&lt;01",ROUND(INDEX(EID!$T:$T,MATCH($B187,EID!$B:$B,0))/2,0),ROUND($AZ187*$BA187,0))</f>
        <v>2</v>
      </c>
      <c r="BC187" s="91" t="n">
        <f aca="false">IF(LEFT($B187,4)="_Mil","",IF(SUM($BB187)=0,SUM($AD187),IF(OR(SUM($AP187)=0,SUM($AQ187)=0),MAX($BB187,$AD187),ROUND($BB187*$AQ187/$AP187,0))))</f>
        <v>2</v>
      </c>
      <c r="BD187" s="88" t="n">
        <f aca="false">IF($C187="&lt;01","",95%)</f>
        <v>0.95</v>
      </c>
      <c r="BE187" s="39" t="n">
        <f aca="false">IF($C187="&lt;01",ROUND(INDEX(EID!$V:$V,MATCH($B187,EID!$B:$B,0))/2,0),ROUND($BD187*$BB187,0))</f>
        <v>2</v>
      </c>
      <c r="BF187" s="39" t="n">
        <f aca="false">IF(LEFT($B187,4)="_Mil","",IF(SUM($BE187)=0,SUM($AF187),IF(OR(SUM($AP187)=0,SUM($AQ187)=0),MAX($BE187,$AF187),ROUND($BE187*$AQ187/$AP187,0))))</f>
        <v>2</v>
      </c>
      <c r="BG187" s="114" t="n">
        <f aca="false">IF($C187="&lt;01","",95%)</f>
        <v>0.95</v>
      </c>
      <c r="BH187" s="5" t="n">
        <f aca="false">IF($C187="&lt;01",ROUND(INDEX(EID!$L:$L,MATCH($B187,EID!$B:$B,0)),0)/2,IF(SUM($BG187)=0,"",ROUND($AX187/$BG187,0)))</f>
        <v>-5</v>
      </c>
    </row>
    <row r="188" customFormat="false" ht="15" hidden="false" customHeight="false" outlineLevel="0" collapsed="false">
      <c r="A188" s="0" t="str">
        <f aca="false">INDEX(Prioritization!$D:$D,MATCH($B188,Prioritization!$A:$A,0))</f>
        <v>INVALID</v>
      </c>
      <c r="B188" s="0" t="s">
        <v>206</v>
      </c>
      <c r="C188" s="0" t="s">
        <v>364</v>
      </c>
      <c r="D188" s="0" t="s">
        <v>48</v>
      </c>
      <c r="E188" s="0" t="str">
        <f aca="false">$B188&amp;"|"&amp;$C188&amp;"|"&amp;$D188</f>
        <v>Likoma District [ZCjuwgaMB9u]|10-14|Male</v>
      </c>
      <c r="F188" s="10"/>
      <c r="G188" s="10" t="n">
        <v>1</v>
      </c>
      <c r="H188" s="10" t="n">
        <v>1</v>
      </c>
      <c r="I188" s="10" t="n">
        <v>4</v>
      </c>
      <c r="J188" s="10" t="n">
        <v>3</v>
      </c>
      <c r="K188" s="10" t="n">
        <v>5</v>
      </c>
      <c r="L188" s="10" t="n">
        <v>0</v>
      </c>
      <c r="M188" s="10" t="n">
        <v>0</v>
      </c>
      <c r="N188" s="10" t="n">
        <v>3</v>
      </c>
      <c r="O188" s="10" t="n">
        <f aca="false">IFERROR(1/(1/MAX($I188,$N188)),"")</f>
        <v>4</v>
      </c>
      <c r="P188" s="10" t="n">
        <v>7</v>
      </c>
      <c r="Q188" s="10" t="n">
        <v>4</v>
      </c>
      <c r="R188" s="10" t="n">
        <f aca="false">IF(AND(SUM($I188)=0,SUM($O188)=0),"",SUM($O188)-$I188)</f>
        <v>0</v>
      </c>
      <c r="S188" s="10" t="n">
        <f aca="false">IF(LEFT($B188,4)="_Mil","",_xlfn.IFNA(ROUND(INDEX(Spectrum!$N:$N,MATCH(RIGHT($B188,13)&amp;"|"&amp;$C188&amp;"|"&amp;$D188&amp;"|"&amp;S$14&amp;"|"&amp;"CY2022Q4",Spectrum!$R:$R,0)),0),""))</f>
        <v>1816</v>
      </c>
      <c r="T188" s="39" t="n">
        <f aca="false">IF(LEFT($B188,4)="_Mil","",_xlfn.IFNA(ROUND(INDEX(Spectrum!$N:$N,MATCH(RIGHT($B188,13)&amp;"|"&amp;$C188&amp;"|"&amp;$D188&amp;"|"&amp;T$14&amp;"|"&amp;"CY2023Q3",Spectrum!$R:$R,0)),0),""))</f>
        <v>1919</v>
      </c>
      <c r="U188" s="39" t="str">
        <f aca="false">IF(LEFT($B188,4)="_Mil","",_xlfn.IFNA(ROUND(INDEX(Spectrum!$N:$N,MATCH(RIGHT($B188,13)&amp;"|"&amp;$C188&amp;"|"&amp;$D188&amp;"|"&amp;U$14&amp;"|"&amp;"CY2023Q3",Spectrum!$R:$R,0)),0),""))</f>
        <v/>
      </c>
      <c r="V188" s="10" t="n">
        <f aca="false">IF(LEFT($B188,4)="_Mil","",_xlfn.IFNA(ROUND(INDEX(Spectrum!$N:$N,MATCH(RIGHT($B188,13)&amp;"|"&amp;$C188&amp;"|"&amp;$D188&amp;"|"&amp;V$14&amp;"|"&amp;"CY2023Q3",Spectrum!$R:$R,0)),0),""))</f>
        <v>1774</v>
      </c>
      <c r="W188" s="113" t="n">
        <f aca="false">IF(LEFT($B188,4)="_Mil","",_xlfn.IFNA(INDEX(Spectrum!$N:$N,MATCH(RIGHT($B188,13)&amp;"|"&amp;$C188&amp;"|"&amp;$D188&amp;"|"&amp;W$14&amp;"|"&amp;"CY2023Q3",Spectrum!$R:$R,0)),""))</f>
        <v>919</v>
      </c>
      <c r="X188" s="39" t="n">
        <f aca="false">IF(LEFT($B188,4)="_Mil","",_xlfn.IFNA(ROUND(INDEX(Spectrum!$N:$N,MATCH(RIGHT($B188,13)&amp;"|"&amp;$C188&amp;"|"&amp;$D188&amp;"|"&amp;X$14&amp;"|"&amp;"CY2023Q3",Spectrum!$R:$R,0)),0),""))</f>
        <v>1652</v>
      </c>
      <c r="Y188" s="88" t="str">
        <f aca="false">IF(OR(SUM($U188)=0,LEFT($B188,4)="_Mil"),"",SUM($X188)/$U188)</f>
        <v/>
      </c>
      <c r="Z188" s="39" t="n">
        <f aca="false">IF(LEFT($B188,4)="_Mil","",_xlfn.IFNA(ROUND(INDEX(Spectrum!$N:$N,MATCH(RIGHT($B188,13)&amp;"|"&amp;$C188&amp;"|"&amp;$D188&amp;"|"&amp;Z$14&amp;"|"&amp;"CY2023Q3",Spectrum!$R:$R,0)),0),""))</f>
        <v>1347</v>
      </c>
      <c r="AA188" s="88" t="n">
        <f aca="false">IF(LEFT($B188,4)="_Mil","",IFERROR(1/(1/INDEX(Spectrum!$N:$N,MATCH(RIGHT($B188,13)&amp;"|"&amp;$C188&amp;"|"&amp;$D188&amp;"|"&amp;AA$14&amp;"|"&amp;"CY2023Q3",Spectrum!$R:$R,0))),IF(SUM($U188)=0,"",SUM($Z188)/$U188)))</f>
        <v>1917</v>
      </c>
      <c r="AB188" s="88" t="n">
        <f aca="false">IF(OR(LEFT($B188,4)="_Mil",SUM($X188)=0),"",SUM($Z188)/$X188)</f>
        <v>0.815375302663438</v>
      </c>
      <c r="AC188" s="10" t="n">
        <f aca="false">IF(LEFT($B188,4)="_Mil","",_xlfn.IFNA(ROUND(INDEX(Spectrum!$N:$N,MATCH(RIGHT($B188,13)&amp;"|"&amp;$C188&amp;"|"&amp;$D188&amp;"|"&amp;AC$14&amp;"|"&amp;"CY2023Q3",Spectrum!$R:$R,0)),0),""))</f>
        <v>1867</v>
      </c>
      <c r="AD188" s="10" t="str">
        <f aca="false">IF(LEFT($B188,4)="_Mil","",_xlfn.IFNA(ROUND(INDEX(Spectrum!$N:$N,MATCH(RIGHT($B188,13)&amp;"|"&amp;$C188&amp;"|"&amp;$D188&amp;"|"&amp;AD$14&amp;"|"&amp;"CY2023Q3",Spectrum!$R:$R,0)),0),""))</f>
        <v/>
      </c>
      <c r="AE188" s="88" t="n">
        <f aca="false">IF(OR(LEFT($B188,4)="_Mil",SUM($Z188)=0),"",SUM($AD188)/$Z188)</f>
        <v>0</v>
      </c>
      <c r="AF188" s="39" t="str">
        <f aca="false">IF(LEFT($B188,4)="_Mil","",_xlfn.IFNA(ROUND(INDEX(Spectrum!$N:$N,MATCH(RIGHT($B188,13)&amp;"|"&amp;$C188&amp;"|"&amp;$D188&amp;"|"&amp;AF$14&amp;"|"&amp;"CY2023Q3",Spectrum!$R:$R,0)),0),""))</f>
        <v/>
      </c>
      <c r="AG188" s="88" t="str">
        <f aca="false">IF(OR(LEFT($B188,4)="_Mil",SUM($AD188)=0),"",SUM($AF188)/$AD188)</f>
        <v/>
      </c>
      <c r="AH188" s="86" t="str">
        <f aca="false">IF(LEFT($B188,4)="_Mil","",_xlfn.IFNA(INDEX(Spectrum!$N:$N,MATCH(RIGHT($B188,13)&amp;"|"&amp;$C188&amp;"|"&amp;$D188&amp;"|"&amp;AH$14&amp;"|"&amp;"CY2023Q3",Spectrum!$R:$R,0)),""))</f>
        <v/>
      </c>
      <c r="AI188" s="10" t="str">
        <f aca="false">IF(LEFT($B188,4)="_Mil","",_xlfn.IFNA(ROUND(INDEX(Spectrum!$N:$N,MATCH(RIGHT($B188,13)&amp;"|"&amp;$C188&amp;"|"&amp;$D188&amp;"|"&amp;AI$14&amp;"|"&amp;"CY2023Q3",Spectrum!$R:$R,0)),0),""))</f>
        <v/>
      </c>
      <c r="AJ188" s="39" t="n">
        <f aca="false">IF(LEFT($B188,4)="_Mil","",_xlfn.IFNA(ROUND(INDEX(Spectrum!$N:$N,MATCH(RIGHT($B188,13)&amp;"|"&amp;$C188&amp;"|"&amp;$D188&amp;"|"&amp;AI$14&amp;"|"&amp;"CY2023Q3",Spectrum!$R:$R,0)),0),SUM($U188)+SUM($AI188)))</f>
        <v>0</v>
      </c>
      <c r="AK188" s="10" t="str">
        <f aca="false">IF(LEFT($B188,4)="_Mil","",_xlfn.IFNA(ROUND(INDEX(Spectrum!$N:$N,MATCH(RIGHT($B188,13)&amp;"|"&amp;$C188&amp;"|"&amp;$D188&amp;"|"&amp;AK$14&amp;"|"&amp;"CY2023Q3",Spectrum!$R:$R,0)),0),""))</f>
        <v/>
      </c>
      <c r="AL188" s="88" t="n">
        <f aca="false">IF(OR(LEFT($B188,4)="_Mil",$C188="&lt;01"),"",MAX(SUM($AA188),90%))</f>
        <v>1917</v>
      </c>
      <c r="AM188" s="10" t="n">
        <f aca="false">IF(OR(LEFT($B188,4)="_Mil",$C188="&lt;01"),"",ROUND(SUM($AJ188)*SUM($AL188),0))</f>
        <v>0</v>
      </c>
      <c r="AN188" s="10" t="str">
        <f aca="false">IF($C188="&lt;01",ROUND(INDEX(EID!$P:$P,MATCH($B188,EID!$B:$B,0))/2,0),"")</f>
        <v/>
      </c>
      <c r="AO188" s="10" t="n">
        <f aca="false">IF($C188="&lt;01",SUM($AN188),ROUND(SUM($AM188)*SUM($O188)/IF(SUM($Z188)=0,1,$Z188),0))</f>
        <v>0</v>
      </c>
      <c r="AP188" s="39" t="n">
        <f aca="false">IF(OR($F188="",$C188="&lt;01"),$AO188,$F188)</f>
        <v>0</v>
      </c>
      <c r="AQ188" s="39" t="n">
        <f aca="false">IF(LEFT($B188,4)="_Mil","",IF(SUM($AP188)=0,SUM($Z188),IF(OR(SUM($Z188)=0,SUM($O188)=0),MAX($AP188,$Z188),$AP188*$Z188/$O188)))</f>
        <v>1347</v>
      </c>
      <c r="AR188" s="88" t="str">
        <f aca="false">IF(OR(LEFT($B188,4)="_Mil",SUM($AJ188)=0),"",SUM($AQ188)/$AJ188)</f>
        <v/>
      </c>
      <c r="AS188" s="88" t="n">
        <f aca="false">IF($C188="&lt;01","",98%)</f>
        <v>0.98</v>
      </c>
      <c r="AT188" s="88" t="n">
        <f aca="false">IF($C188="&lt;01","",98%)</f>
        <v>0.98</v>
      </c>
      <c r="AU188" s="10" t="n">
        <f aca="false">IF($C188="&lt;01","",SUM($AP188)-SUM($O188))</f>
        <v>-4</v>
      </c>
      <c r="AV188" s="10" t="n">
        <f aca="false">IF($C188="&lt;01",ROUND(INDEX(EID!$N:$N,MATCH($B188,EID!$B:$B,0))/2,0),IF(SUM($AT188)=0,"",ROUND((SUM($AP188)-(SUM($O188)*SUM($AS188)))/$AT188,0)))</f>
        <v>-4</v>
      </c>
      <c r="AW188" s="88" t="n">
        <f aca="false">IF($C188="&lt;01","",100%)</f>
        <v>1</v>
      </c>
      <c r="AX188" s="39" t="n">
        <f aca="false">IF($C188="&lt;01",SUM($AV188),ROUND(SUM($AV188)*SUM($AW188),0))</f>
        <v>-4</v>
      </c>
      <c r="AY188" s="114" t="n">
        <f aca="false">IF($C188="&lt;01","",70%)</f>
        <v>0.7</v>
      </c>
      <c r="AZ188" s="91" t="n">
        <f aca="false">IF($C188="&lt;01",ROUND(INDEX(EID!$R:$R,MATCH($B188,EID!$B:$B,0))/2,0),ROUND(SUM($O188)+(SUM($AV188)*$AY188),0))</f>
        <v>1</v>
      </c>
      <c r="BA188" s="87" t="n">
        <f aca="false">IF($C188="&lt;01","",95%)</f>
        <v>0.95</v>
      </c>
      <c r="BB188" s="5" t="n">
        <f aca="false">IF($C188="&lt;01",ROUND(INDEX(EID!$T:$T,MATCH($B188,EID!$B:$B,0))/2,0),ROUND($AZ188*$BA188,0))</f>
        <v>1</v>
      </c>
      <c r="BC188" s="91" t="n">
        <f aca="false">IF(LEFT($B188,4)="_Mil","",IF(SUM($BB188)=0,SUM($AD188),IF(OR(SUM($AP188)=0,SUM($AQ188)=0),MAX($BB188,$AD188),ROUND($BB188*$AQ188/$AP188,0))))</f>
        <v>1</v>
      </c>
      <c r="BD188" s="88" t="n">
        <f aca="false">IF($C188="&lt;01","",95%)</f>
        <v>0.95</v>
      </c>
      <c r="BE188" s="39" t="n">
        <f aca="false">IF($C188="&lt;01",ROUND(INDEX(EID!$V:$V,MATCH($B188,EID!$B:$B,0))/2,0),ROUND($BD188*$BB188,0))</f>
        <v>1</v>
      </c>
      <c r="BF188" s="39" t="n">
        <f aca="false">IF(LEFT($B188,4)="_Mil","",IF(SUM($BE188)=0,SUM($AF188),IF(OR(SUM($AP188)=0,SUM($AQ188)=0),MAX($BE188,$AF188),ROUND($BE188*$AQ188/$AP188,0))))</f>
        <v>1</v>
      </c>
      <c r="BG188" s="114" t="n">
        <f aca="false">IF($C188="&lt;01","",95%)</f>
        <v>0.95</v>
      </c>
      <c r="BH188" s="5" t="n">
        <f aca="false">IF($C188="&lt;01",ROUND(INDEX(EID!$L:$L,MATCH($B188,EID!$B:$B,0)),0)/2,IF(SUM($BG188)=0,"",ROUND($AX188/$BG188,0)))</f>
        <v>-4</v>
      </c>
    </row>
    <row r="189" customFormat="false" ht="15" hidden="false" customHeight="false" outlineLevel="0" collapsed="false">
      <c r="A189" s="0" t="str">
        <f aca="false">INDEX(Prioritization!$D:$D,MATCH($B189,Prioritization!$A:$A,0))</f>
        <v>INVALID</v>
      </c>
      <c r="B189" s="0" t="s">
        <v>206</v>
      </c>
      <c r="C189" s="0" t="s">
        <v>365</v>
      </c>
      <c r="D189" s="0" t="s">
        <v>30</v>
      </c>
      <c r="E189" s="0" t="str">
        <f aca="false">$B189&amp;"|"&amp;$C189&amp;"|"&amp;$D189</f>
        <v>Likoma District [ZCjuwgaMB9u]|15-24|Female</v>
      </c>
      <c r="F189" s="10"/>
      <c r="G189" s="10"/>
      <c r="H189" s="10"/>
      <c r="I189" s="10"/>
      <c r="J189" s="10"/>
      <c r="K189" s="10"/>
      <c r="L189" s="10"/>
      <c r="M189" s="10"/>
      <c r="N189" s="10"/>
      <c r="O189" s="10" t="str">
        <f aca="false">IFERROR(1/(1/MAX($I189,$N189)),"")</f>
        <v/>
      </c>
      <c r="P189" s="10"/>
      <c r="Q189" s="10"/>
      <c r="R189" s="10" t="str">
        <f aca="false">IF(AND(SUM($I189)=0,SUM($O189)=0),"",SUM($O189)-$I189)</f>
        <v/>
      </c>
      <c r="S189" s="10" t="n">
        <f aca="false">IF(LEFT($B189,4)="_Mil","",_xlfn.IFNA(ROUND(INDEX(Spectrum!$N:$N,MATCH(RIGHT($B189,13)&amp;"|"&amp;$C189&amp;"|"&amp;$D189&amp;"|"&amp;S$14&amp;"|"&amp;"CY2022Q4",Spectrum!$R:$R,0)),0),""))</f>
        <v>1424</v>
      </c>
      <c r="T189" s="39" t="n">
        <f aca="false">IF(LEFT($B189,4)="_Mil","",_xlfn.IFNA(ROUND(INDEX(Spectrum!$N:$N,MATCH(RIGHT($B189,13)&amp;"|"&amp;$C189&amp;"|"&amp;$D189&amp;"|"&amp;T$14&amp;"|"&amp;"CY2023Q3",Spectrum!$R:$R,0)),0),""))</f>
        <v>1154</v>
      </c>
      <c r="U189" s="39" t="str">
        <f aca="false">IF(LEFT($B189,4)="_Mil","",_xlfn.IFNA(ROUND(INDEX(Spectrum!$N:$N,MATCH(RIGHT($B189,13)&amp;"|"&amp;$C189&amp;"|"&amp;$D189&amp;"|"&amp;U$14&amp;"|"&amp;"CY2023Q3",Spectrum!$R:$R,0)),0),""))</f>
        <v/>
      </c>
      <c r="V189" s="10" t="n">
        <f aca="false">IF(LEFT($B189,4)="_Mil","",_xlfn.IFNA(ROUND(INDEX(Spectrum!$N:$N,MATCH(RIGHT($B189,13)&amp;"|"&amp;$C189&amp;"|"&amp;$D189&amp;"|"&amp;V$14&amp;"|"&amp;"CY2023Q3",Spectrum!$R:$R,0)),0),""))</f>
        <v>653</v>
      </c>
      <c r="W189" s="113" t="n">
        <f aca="false">IF(LEFT($B189,4)="_Mil","",_xlfn.IFNA(INDEX(Spectrum!$N:$N,MATCH(RIGHT($B189,13)&amp;"|"&amp;$C189&amp;"|"&amp;$D189&amp;"|"&amp;W$14&amp;"|"&amp;"CY2023Q3",Spectrum!$R:$R,0)),""))</f>
        <v>974</v>
      </c>
      <c r="X189" s="39" t="n">
        <f aca="false">IF(LEFT($B189,4)="_Mil","",_xlfn.IFNA(ROUND(INDEX(Spectrum!$N:$N,MATCH(RIGHT($B189,13)&amp;"|"&amp;$C189&amp;"|"&amp;$D189&amp;"|"&amp;X$14&amp;"|"&amp;"CY2023Q3",Spectrum!$R:$R,0)),0),""))</f>
        <v>1839</v>
      </c>
      <c r="Y189" s="88" t="str">
        <f aca="false">IF(OR(SUM($U189)=0,LEFT($B189,4)="_Mil"),"",SUM($X189)/$U189)</f>
        <v/>
      </c>
      <c r="Z189" s="39" t="n">
        <f aca="false">IF(LEFT($B189,4)="_Mil","",_xlfn.IFNA(ROUND(INDEX(Spectrum!$N:$N,MATCH(RIGHT($B189,13)&amp;"|"&amp;$C189&amp;"|"&amp;$D189&amp;"|"&amp;Z$14&amp;"|"&amp;"CY2023Q3",Spectrum!$R:$R,0)),0),""))</f>
        <v>701</v>
      </c>
      <c r="AA189" s="88" t="n">
        <f aca="false">IF(LEFT($B189,4)="_Mil","",IFERROR(1/(1/INDEX(Spectrum!$N:$N,MATCH(RIGHT($B189,13)&amp;"|"&amp;$C189&amp;"|"&amp;$D189&amp;"|"&amp;AA$14&amp;"|"&amp;"CY2023Q3",Spectrum!$R:$R,0))),IF(SUM($U189)=0,"",SUM($Z189)/$U189)))</f>
        <v>953</v>
      </c>
      <c r="AB189" s="88" t="n">
        <f aca="false">IF(OR(LEFT($B189,4)="_Mil",SUM($X189)=0),"",SUM($Z189)/$X189)</f>
        <v>0.381185426862425</v>
      </c>
      <c r="AC189" s="10" t="n">
        <f aca="false">IF(LEFT($B189,4)="_Mil","",_xlfn.IFNA(ROUND(INDEX(Spectrum!$N:$N,MATCH(RIGHT($B189,13)&amp;"|"&amp;$C189&amp;"|"&amp;$D189&amp;"|"&amp;AC$14&amp;"|"&amp;"CY2023Q3",Spectrum!$R:$R,0)),0),""))</f>
        <v>1023</v>
      </c>
      <c r="AD189" s="10" t="str">
        <f aca="false">IF(LEFT($B189,4)="_Mil","",_xlfn.IFNA(ROUND(INDEX(Spectrum!$N:$N,MATCH(RIGHT($B189,13)&amp;"|"&amp;$C189&amp;"|"&amp;$D189&amp;"|"&amp;AD$14&amp;"|"&amp;"CY2023Q3",Spectrum!$R:$R,0)),0),""))</f>
        <v/>
      </c>
      <c r="AE189" s="88" t="n">
        <f aca="false">IF(OR(LEFT($B189,4)="_Mil",SUM($Z189)=0),"",SUM($AD189)/$Z189)</f>
        <v>0</v>
      </c>
      <c r="AF189" s="39" t="str">
        <f aca="false">IF(LEFT($B189,4)="_Mil","",_xlfn.IFNA(ROUND(INDEX(Spectrum!$N:$N,MATCH(RIGHT($B189,13)&amp;"|"&amp;$C189&amp;"|"&amp;$D189&amp;"|"&amp;AF$14&amp;"|"&amp;"CY2023Q3",Spectrum!$R:$R,0)),0),""))</f>
        <v/>
      </c>
      <c r="AG189" s="88" t="str">
        <f aca="false">IF(OR(LEFT($B189,4)="_Mil",SUM($AD189)=0),"",SUM($AF189)/$AD189)</f>
        <v/>
      </c>
      <c r="AH189" s="86" t="str">
        <f aca="false">IF(LEFT($B189,4)="_Mil","",_xlfn.IFNA(INDEX(Spectrum!$N:$N,MATCH(RIGHT($B189,13)&amp;"|"&amp;$C189&amp;"|"&amp;$D189&amp;"|"&amp;AH$14&amp;"|"&amp;"CY2023Q3",Spectrum!$R:$R,0)),""))</f>
        <v/>
      </c>
      <c r="AI189" s="10" t="str">
        <f aca="false">IF(LEFT($B189,4)="_Mil","",_xlfn.IFNA(ROUND(INDEX(Spectrum!$N:$N,MATCH(RIGHT($B189,13)&amp;"|"&amp;$C189&amp;"|"&amp;$D189&amp;"|"&amp;AI$14&amp;"|"&amp;"CY2023Q3",Spectrum!$R:$R,0)),0),""))</f>
        <v/>
      </c>
      <c r="AJ189" s="39" t="n">
        <f aca="false">IF(LEFT($B189,4)="_Mil","",_xlfn.IFNA(ROUND(INDEX(Spectrum!$N:$N,MATCH(RIGHT($B189,13)&amp;"|"&amp;$C189&amp;"|"&amp;$D189&amp;"|"&amp;AI$14&amp;"|"&amp;"CY2023Q3",Spectrum!$R:$R,0)),0),SUM($U189)+SUM($AI189)))</f>
        <v>0</v>
      </c>
      <c r="AK189" s="10" t="str">
        <f aca="false">IF(LEFT($B189,4)="_Mil","",_xlfn.IFNA(ROUND(INDEX(Spectrum!$N:$N,MATCH(RIGHT($B189,13)&amp;"|"&amp;$C189&amp;"|"&amp;$D189&amp;"|"&amp;AK$14&amp;"|"&amp;"CY2023Q3",Spectrum!$R:$R,0)),0),""))</f>
        <v/>
      </c>
      <c r="AL189" s="88" t="n">
        <f aca="false">IF(OR(LEFT($B189,4)="_Mil",$C189="&lt;01"),"",MAX(SUM($AA189),90%))</f>
        <v>953</v>
      </c>
      <c r="AM189" s="10" t="n">
        <f aca="false">IF(OR(LEFT($B189,4)="_Mil",$C189="&lt;01"),"",ROUND(SUM($AJ189)*SUM($AL189),0))</f>
        <v>0</v>
      </c>
      <c r="AN189" s="10" t="str">
        <f aca="false">IF($C189="&lt;01",ROUND(INDEX(EID!$P:$P,MATCH($B189,EID!$B:$B,0))/2,0),"")</f>
        <v/>
      </c>
      <c r="AO189" s="10" t="n">
        <f aca="false">IF($C189="&lt;01",SUM($AN189),ROUND(SUM($AM189)*SUM($O189)/IF(SUM($Z189)=0,1,$Z189),0))</f>
        <v>0</v>
      </c>
      <c r="AP189" s="39" t="n">
        <f aca="false">IF(OR($F189="",$C189="&lt;01"),$AO189,$F189)</f>
        <v>0</v>
      </c>
      <c r="AQ189" s="39" t="n">
        <f aca="false">IF(LEFT($B189,4)="_Mil","",IF(SUM($AP189)=0,SUM($Z189),IF(OR(SUM($Z189)=0,SUM($O189)=0),MAX($AP189,$Z189),$AP189*$Z189/$O189)))</f>
        <v>701</v>
      </c>
      <c r="AR189" s="88" t="str">
        <f aca="false">IF(OR(LEFT($B189,4)="_Mil",SUM($AJ189)=0),"",SUM($AQ189)/$AJ189)</f>
        <v/>
      </c>
      <c r="AS189" s="88" t="n">
        <f aca="false">IF($C189="&lt;01","",98%)</f>
        <v>0.98</v>
      </c>
      <c r="AT189" s="88" t="n">
        <f aca="false">IF($C189="&lt;01","",98%)</f>
        <v>0.98</v>
      </c>
      <c r="AU189" s="10" t="n">
        <f aca="false">IF($C189="&lt;01","",SUM($AP189)-SUM($O189))</f>
        <v>0</v>
      </c>
      <c r="AV189" s="10" t="n">
        <f aca="false">IF($C189="&lt;01",ROUND(INDEX(EID!$N:$N,MATCH($B189,EID!$B:$B,0))/2,0),IF(SUM($AT189)=0,"",ROUND((SUM($AP189)-(SUM($O189)*SUM($AS189)))/$AT189,0)))</f>
        <v>0</v>
      </c>
      <c r="AW189" s="88" t="n">
        <f aca="false">IF($C189="&lt;01","",100%)</f>
        <v>1</v>
      </c>
      <c r="AX189" s="39" t="n">
        <f aca="false">IF($C189="&lt;01",SUM($AV189),ROUND(SUM($AV189)*SUM($AW189),0))</f>
        <v>0</v>
      </c>
      <c r="AY189" s="114" t="n">
        <f aca="false">IF($C189="&lt;01","",70%)</f>
        <v>0.7</v>
      </c>
      <c r="AZ189" s="91" t="n">
        <f aca="false">IF($C189="&lt;01",ROUND(INDEX(EID!$R:$R,MATCH($B189,EID!$B:$B,0))/2,0),ROUND(SUM($O189)+(SUM($AV189)*$AY189),0))</f>
        <v>0</v>
      </c>
      <c r="BA189" s="87" t="n">
        <f aca="false">IF($C189="&lt;01","",95%)</f>
        <v>0.95</v>
      </c>
      <c r="BB189" s="5" t="n">
        <f aca="false">IF($C189="&lt;01",ROUND(INDEX(EID!$T:$T,MATCH($B189,EID!$B:$B,0))/2,0),ROUND($AZ189*$BA189,0))</f>
        <v>0</v>
      </c>
      <c r="BC189" s="91" t="n">
        <f aca="false">IF(LEFT($B189,4)="_Mil","",IF(SUM($BB189)=0,SUM($AD189),IF(OR(SUM($AP189)=0,SUM($AQ189)=0),MAX($BB189,$AD189),ROUND($BB189*$AQ189/$AP189,0))))</f>
        <v>0</v>
      </c>
      <c r="BD189" s="88" t="n">
        <f aca="false">IF($C189="&lt;01","",95%)</f>
        <v>0.95</v>
      </c>
      <c r="BE189" s="39" t="n">
        <f aca="false">IF($C189="&lt;01",ROUND(INDEX(EID!$V:$V,MATCH($B189,EID!$B:$B,0))/2,0),ROUND($BD189*$BB189,0))</f>
        <v>0</v>
      </c>
      <c r="BF189" s="39" t="n">
        <f aca="false">IF(LEFT($B189,4)="_Mil","",IF(SUM($BE189)=0,SUM($AF189),IF(OR(SUM($AP189)=0,SUM($AQ189)=0),MAX($BE189,$AF189),ROUND($BE189*$AQ189/$AP189,0))))</f>
        <v>0</v>
      </c>
      <c r="BG189" s="114" t="n">
        <f aca="false">IF($C189="&lt;01","",95%)</f>
        <v>0.95</v>
      </c>
      <c r="BH189" s="5" t="n">
        <f aca="false">IF($C189="&lt;01",ROUND(INDEX(EID!$L:$L,MATCH($B189,EID!$B:$B,0)),0)/2,IF(SUM($BG189)=0,"",ROUND($AX189/$BG189,0)))</f>
        <v>0</v>
      </c>
    </row>
    <row r="190" customFormat="false" ht="15" hidden="false" customHeight="false" outlineLevel="0" collapsed="false">
      <c r="A190" s="0" t="str">
        <f aca="false">INDEX(Prioritization!$D:$D,MATCH($B190,Prioritization!$A:$A,0))</f>
        <v>INVALID</v>
      </c>
      <c r="B190" s="0" t="s">
        <v>206</v>
      </c>
      <c r="C190" s="0" t="s">
        <v>365</v>
      </c>
      <c r="D190" s="0" t="s">
        <v>48</v>
      </c>
      <c r="E190" s="0" t="str">
        <f aca="false">$B190&amp;"|"&amp;$C190&amp;"|"&amp;$D190</f>
        <v>Likoma District [ZCjuwgaMB9u]|15-24|Male</v>
      </c>
      <c r="F190" s="10"/>
      <c r="G190" s="10"/>
      <c r="H190" s="10"/>
      <c r="I190" s="10"/>
      <c r="J190" s="10"/>
      <c r="K190" s="10"/>
      <c r="L190" s="10"/>
      <c r="M190" s="10"/>
      <c r="N190" s="10"/>
      <c r="O190" s="10" t="str">
        <f aca="false">IFERROR(1/(1/MAX($I190,$N190)),"")</f>
        <v/>
      </c>
      <c r="P190" s="10"/>
      <c r="Q190" s="10"/>
      <c r="R190" s="10" t="str">
        <f aca="false">IF(AND(SUM($I190)=0,SUM($O190)=0),"",SUM($O190)-$I190)</f>
        <v/>
      </c>
      <c r="S190" s="10" t="n">
        <f aca="false">IF(LEFT($B190,4)="_Mil","",_xlfn.IFNA(ROUND(INDEX(Spectrum!$N:$N,MATCH(RIGHT($B190,13)&amp;"|"&amp;$C190&amp;"|"&amp;$D190&amp;"|"&amp;S$14&amp;"|"&amp;"CY2022Q4",Spectrum!$R:$R,0)),0),""))</f>
        <v>1973</v>
      </c>
      <c r="T190" s="39" t="n">
        <f aca="false">IF(LEFT($B190,4)="_Mil","",_xlfn.IFNA(ROUND(INDEX(Spectrum!$N:$N,MATCH(RIGHT($B190,13)&amp;"|"&amp;$C190&amp;"|"&amp;$D190&amp;"|"&amp;T$14&amp;"|"&amp;"CY2023Q3",Spectrum!$R:$R,0)),0),""))</f>
        <v>1645</v>
      </c>
      <c r="U190" s="39" t="str">
        <f aca="false">IF(LEFT($B190,4)="_Mil","",_xlfn.IFNA(ROUND(INDEX(Spectrum!$N:$N,MATCH(RIGHT($B190,13)&amp;"|"&amp;$C190&amp;"|"&amp;$D190&amp;"|"&amp;U$14&amp;"|"&amp;"CY2023Q3",Spectrum!$R:$R,0)),0),""))</f>
        <v/>
      </c>
      <c r="V190" s="10" t="n">
        <f aca="false">IF(LEFT($B190,4)="_Mil","",_xlfn.IFNA(ROUND(INDEX(Spectrum!$N:$N,MATCH(RIGHT($B190,13)&amp;"|"&amp;$C190&amp;"|"&amp;$D190&amp;"|"&amp;V$14&amp;"|"&amp;"CY2023Q3",Spectrum!$R:$R,0)),0),""))</f>
        <v>539</v>
      </c>
      <c r="W190" s="113" t="n">
        <f aca="false">IF(LEFT($B190,4)="_Mil","",_xlfn.IFNA(INDEX(Spectrum!$N:$N,MATCH(RIGHT($B190,13)&amp;"|"&amp;$C190&amp;"|"&amp;$D190&amp;"|"&amp;W$14&amp;"|"&amp;"CY2023Q3",Spectrum!$R:$R,0)),""))</f>
        <v>1915</v>
      </c>
      <c r="X190" s="39" t="n">
        <f aca="false">IF(LEFT($B190,4)="_Mil","",_xlfn.IFNA(ROUND(INDEX(Spectrum!$N:$N,MATCH(RIGHT($B190,13)&amp;"|"&amp;$C190&amp;"|"&amp;$D190&amp;"|"&amp;X$14&amp;"|"&amp;"CY2023Q3",Spectrum!$R:$R,0)),0),""))</f>
        <v>929</v>
      </c>
      <c r="Y190" s="88" t="str">
        <f aca="false">IF(OR(SUM($U190)=0,LEFT($B190,4)="_Mil"),"",SUM($X190)/$U190)</f>
        <v/>
      </c>
      <c r="Z190" s="39" t="n">
        <f aca="false">IF(LEFT($B190,4)="_Mil","",_xlfn.IFNA(ROUND(INDEX(Spectrum!$N:$N,MATCH(RIGHT($B190,13)&amp;"|"&amp;$C190&amp;"|"&amp;$D190&amp;"|"&amp;Z$14&amp;"|"&amp;"CY2023Q3",Spectrum!$R:$R,0)),0),""))</f>
        <v>1609</v>
      </c>
      <c r="AA190" s="88" t="n">
        <f aca="false">IF(LEFT($B190,4)="_Mil","",IFERROR(1/(1/INDEX(Spectrum!$N:$N,MATCH(RIGHT($B190,13)&amp;"|"&amp;$C190&amp;"|"&amp;$D190&amp;"|"&amp;AA$14&amp;"|"&amp;"CY2023Q3",Spectrum!$R:$R,0))),IF(SUM($U190)=0,"",SUM($Z190)/$U190)))</f>
        <v>1116</v>
      </c>
      <c r="AB190" s="88" t="n">
        <f aca="false">IF(OR(LEFT($B190,4)="_Mil",SUM($X190)=0),"",SUM($Z190)/$X190)</f>
        <v>1.73196986006459</v>
      </c>
      <c r="AC190" s="10" t="n">
        <f aca="false">IF(LEFT($B190,4)="_Mil","",_xlfn.IFNA(ROUND(INDEX(Spectrum!$N:$N,MATCH(RIGHT($B190,13)&amp;"|"&amp;$C190&amp;"|"&amp;$D190&amp;"|"&amp;AC$14&amp;"|"&amp;"CY2023Q3",Spectrum!$R:$R,0)),0),""))</f>
        <v>584</v>
      </c>
      <c r="AD190" s="10" t="str">
        <f aca="false">IF(LEFT($B190,4)="_Mil","",_xlfn.IFNA(ROUND(INDEX(Spectrum!$N:$N,MATCH(RIGHT($B190,13)&amp;"|"&amp;$C190&amp;"|"&amp;$D190&amp;"|"&amp;AD$14&amp;"|"&amp;"CY2023Q3",Spectrum!$R:$R,0)),0),""))</f>
        <v/>
      </c>
      <c r="AE190" s="88" t="n">
        <f aca="false">IF(OR(LEFT($B190,4)="_Mil",SUM($Z190)=0),"",SUM($AD190)/$Z190)</f>
        <v>0</v>
      </c>
      <c r="AF190" s="39" t="str">
        <f aca="false">IF(LEFT($B190,4)="_Mil","",_xlfn.IFNA(ROUND(INDEX(Spectrum!$N:$N,MATCH(RIGHT($B190,13)&amp;"|"&amp;$C190&amp;"|"&amp;$D190&amp;"|"&amp;AF$14&amp;"|"&amp;"CY2023Q3",Spectrum!$R:$R,0)),0),""))</f>
        <v/>
      </c>
      <c r="AG190" s="88" t="str">
        <f aca="false">IF(OR(LEFT($B190,4)="_Mil",SUM($AD190)=0),"",SUM($AF190)/$AD190)</f>
        <v/>
      </c>
      <c r="AH190" s="86" t="str">
        <f aca="false">IF(LEFT($B190,4)="_Mil","",_xlfn.IFNA(INDEX(Spectrum!$N:$N,MATCH(RIGHT($B190,13)&amp;"|"&amp;$C190&amp;"|"&amp;$D190&amp;"|"&amp;AH$14&amp;"|"&amp;"CY2023Q3",Spectrum!$R:$R,0)),""))</f>
        <v/>
      </c>
      <c r="AI190" s="10" t="str">
        <f aca="false">IF(LEFT($B190,4)="_Mil","",_xlfn.IFNA(ROUND(INDEX(Spectrum!$N:$N,MATCH(RIGHT($B190,13)&amp;"|"&amp;$C190&amp;"|"&amp;$D190&amp;"|"&amp;AI$14&amp;"|"&amp;"CY2023Q3",Spectrum!$R:$R,0)),0),""))</f>
        <v/>
      </c>
      <c r="AJ190" s="39" t="n">
        <f aca="false">IF(LEFT($B190,4)="_Mil","",_xlfn.IFNA(ROUND(INDEX(Spectrum!$N:$N,MATCH(RIGHT($B190,13)&amp;"|"&amp;$C190&amp;"|"&amp;$D190&amp;"|"&amp;AI$14&amp;"|"&amp;"CY2023Q3",Spectrum!$R:$R,0)),0),SUM($U190)+SUM($AI190)))</f>
        <v>0</v>
      </c>
      <c r="AK190" s="10" t="str">
        <f aca="false">IF(LEFT($B190,4)="_Mil","",_xlfn.IFNA(ROUND(INDEX(Spectrum!$N:$N,MATCH(RIGHT($B190,13)&amp;"|"&amp;$C190&amp;"|"&amp;$D190&amp;"|"&amp;AK$14&amp;"|"&amp;"CY2023Q3",Spectrum!$R:$R,0)),0),""))</f>
        <v/>
      </c>
      <c r="AL190" s="88" t="n">
        <f aca="false">IF(OR(LEFT($B190,4)="_Mil",$C190="&lt;01"),"",MAX(SUM($AA190),90%))</f>
        <v>1116</v>
      </c>
      <c r="AM190" s="10" t="n">
        <f aca="false">IF(OR(LEFT($B190,4)="_Mil",$C190="&lt;01"),"",ROUND(SUM($AJ190)*SUM($AL190),0))</f>
        <v>0</v>
      </c>
      <c r="AN190" s="10" t="str">
        <f aca="false">IF($C190="&lt;01",ROUND(INDEX(EID!$P:$P,MATCH($B190,EID!$B:$B,0))/2,0),"")</f>
        <v/>
      </c>
      <c r="AO190" s="10" t="n">
        <f aca="false">IF($C190="&lt;01",SUM($AN190),ROUND(SUM($AM190)*SUM($O190)/IF(SUM($Z190)=0,1,$Z190),0))</f>
        <v>0</v>
      </c>
      <c r="AP190" s="39" t="n">
        <f aca="false">IF(OR($F190="",$C190="&lt;01"),$AO190,$F190)</f>
        <v>0</v>
      </c>
      <c r="AQ190" s="39" t="n">
        <f aca="false">IF(LEFT($B190,4)="_Mil","",IF(SUM($AP190)=0,SUM($Z190),IF(OR(SUM($Z190)=0,SUM($O190)=0),MAX($AP190,$Z190),$AP190*$Z190/$O190)))</f>
        <v>1609</v>
      </c>
      <c r="AR190" s="88" t="str">
        <f aca="false">IF(OR(LEFT($B190,4)="_Mil",SUM($AJ190)=0),"",SUM($AQ190)/$AJ190)</f>
        <v/>
      </c>
      <c r="AS190" s="88" t="n">
        <f aca="false">IF($C190="&lt;01","",98%)</f>
        <v>0.98</v>
      </c>
      <c r="AT190" s="88" t="n">
        <f aca="false">IF($C190="&lt;01","",98%)</f>
        <v>0.98</v>
      </c>
      <c r="AU190" s="10" t="n">
        <f aca="false">IF($C190="&lt;01","",SUM($AP190)-SUM($O190))</f>
        <v>0</v>
      </c>
      <c r="AV190" s="10" t="n">
        <f aca="false">IF($C190="&lt;01",ROUND(INDEX(EID!$N:$N,MATCH($B190,EID!$B:$B,0))/2,0),IF(SUM($AT190)=0,"",ROUND((SUM($AP190)-(SUM($O190)*SUM($AS190)))/$AT190,0)))</f>
        <v>0</v>
      </c>
      <c r="AW190" s="88" t="n">
        <f aca="false">IF($C190="&lt;01","",100%)</f>
        <v>1</v>
      </c>
      <c r="AX190" s="39" t="n">
        <f aca="false">IF($C190="&lt;01",SUM($AV190),ROUND(SUM($AV190)*SUM($AW190),0))</f>
        <v>0</v>
      </c>
      <c r="AY190" s="114" t="n">
        <f aca="false">IF($C190="&lt;01","",70%)</f>
        <v>0.7</v>
      </c>
      <c r="AZ190" s="91" t="n">
        <f aca="false">IF($C190="&lt;01",ROUND(INDEX(EID!$R:$R,MATCH($B190,EID!$B:$B,0))/2,0),ROUND(SUM($O190)+(SUM($AV190)*$AY190),0))</f>
        <v>0</v>
      </c>
      <c r="BA190" s="87" t="n">
        <f aca="false">IF($C190="&lt;01","",95%)</f>
        <v>0.95</v>
      </c>
      <c r="BB190" s="5" t="n">
        <f aca="false">IF($C190="&lt;01",ROUND(INDEX(EID!$T:$T,MATCH($B190,EID!$B:$B,0))/2,0),ROUND($AZ190*$BA190,0))</f>
        <v>0</v>
      </c>
      <c r="BC190" s="91" t="n">
        <f aca="false">IF(LEFT($B190,4)="_Mil","",IF(SUM($BB190)=0,SUM($AD190),IF(OR(SUM($AP190)=0,SUM($AQ190)=0),MAX($BB190,$AD190),ROUND($BB190*$AQ190/$AP190,0))))</f>
        <v>0</v>
      </c>
      <c r="BD190" s="88" t="n">
        <f aca="false">IF($C190="&lt;01","",95%)</f>
        <v>0.95</v>
      </c>
      <c r="BE190" s="39" t="n">
        <f aca="false">IF($C190="&lt;01",ROUND(INDEX(EID!$V:$V,MATCH($B190,EID!$B:$B,0))/2,0),ROUND($BD190*$BB190,0))</f>
        <v>0</v>
      </c>
      <c r="BF190" s="39" t="n">
        <f aca="false">IF(LEFT($B190,4)="_Mil","",IF(SUM($BE190)=0,SUM($AF190),IF(OR(SUM($AP190)=0,SUM($AQ190)=0),MAX($BE190,$AF190),ROUND($BE190*$AQ190/$AP190,0))))</f>
        <v>0</v>
      </c>
      <c r="BG190" s="114" t="n">
        <f aca="false">IF($C190="&lt;01","",95%)</f>
        <v>0.95</v>
      </c>
      <c r="BH190" s="5" t="n">
        <f aca="false">IF($C190="&lt;01",ROUND(INDEX(EID!$L:$L,MATCH($B190,EID!$B:$B,0)),0)/2,IF(SUM($BG190)=0,"",ROUND($AX190/$BG190,0)))</f>
        <v>0</v>
      </c>
    </row>
    <row r="191" customFormat="false" ht="15" hidden="false" customHeight="false" outlineLevel="0" collapsed="false">
      <c r="A191" s="0" t="str">
        <f aca="false">INDEX(Prioritization!$D:$D,MATCH($B191,Prioritization!$A:$A,0))</f>
        <v>INVALID</v>
      </c>
      <c r="B191" s="0" t="s">
        <v>206</v>
      </c>
      <c r="C191" s="0" t="s">
        <v>366</v>
      </c>
      <c r="D191" s="0" t="s">
        <v>30</v>
      </c>
      <c r="E191" s="0" t="str">
        <f aca="false">$B191&amp;"|"&amp;$C191&amp;"|"&amp;$D191</f>
        <v>Likoma District [ZCjuwgaMB9u]|25-34|Female</v>
      </c>
      <c r="F191" s="10"/>
      <c r="G191" s="10"/>
      <c r="H191" s="10"/>
      <c r="I191" s="10"/>
      <c r="J191" s="10"/>
      <c r="K191" s="10"/>
      <c r="L191" s="10"/>
      <c r="M191" s="10"/>
      <c r="N191" s="10"/>
      <c r="O191" s="10" t="str">
        <f aca="false">IFERROR(1/(1/MAX($I191,$N191)),"")</f>
        <v/>
      </c>
      <c r="P191" s="10"/>
      <c r="Q191" s="10"/>
      <c r="R191" s="10" t="str">
        <f aca="false">IF(AND(SUM($I191)=0,SUM($O191)=0),"",SUM($O191)-$I191)</f>
        <v/>
      </c>
      <c r="S191" s="10" t="n">
        <f aca="false">IF(LEFT($B191,4)="_Mil","",_xlfn.IFNA(ROUND(INDEX(Spectrum!$N:$N,MATCH(RIGHT($B191,13)&amp;"|"&amp;$C191&amp;"|"&amp;$D191&amp;"|"&amp;S$14&amp;"|"&amp;"CY2022Q4",Spectrum!$R:$R,0)),0),""))</f>
        <v>794</v>
      </c>
      <c r="T191" s="39" t="n">
        <f aca="false">IF(LEFT($B191,4)="_Mil","",_xlfn.IFNA(ROUND(INDEX(Spectrum!$N:$N,MATCH(RIGHT($B191,13)&amp;"|"&amp;$C191&amp;"|"&amp;$D191&amp;"|"&amp;T$14&amp;"|"&amp;"CY2023Q3",Spectrum!$R:$R,0)),0),""))</f>
        <v>865</v>
      </c>
      <c r="U191" s="39" t="str">
        <f aca="false">IF(LEFT($B191,4)="_Mil","",_xlfn.IFNA(ROUND(INDEX(Spectrum!$N:$N,MATCH(RIGHT($B191,13)&amp;"|"&amp;$C191&amp;"|"&amp;$D191&amp;"|"&amp;U$14&amp;"|"&amp;"CY2023Q3",Spectrum!$R:$R,0)),0),""))</f>
        <v/>
      </c>
      <c r="V191" s="10" t="n">
        <f aca="false">IF(LEFT($B191,4)="_Mil","",_xlfn.IFNA(ROUND(INDEX(Spectrum!$N:$N,MATCH(RIGHT($B191,13)&amp;"|"&amp;$C191&amp;"|"&amp;$D191&amp;"|"&amp;V$14&amp;"|"&amp;"CY2023Q3",Spectrum!$R:$R,0)),0),""))</f>
        <v>1047</v>
      </c>
      <c r="W191" s="113" t="n">
        <f aca="false">IF(LEFT($B191,4)="_Mil","",_xlfn.IFNA(INDEX(Spectrum!$N:$N,MATCH(RIGHT($B191,13)&amp;"|"&amp;$C191&amp;"|"&amp;$D191&amp;"|"&amp;W$14&amp;"|"&amp;"CY2023Q3",Spectrum!$R:$R,0)),""))</f>
        <v>1175</v>
      </c>
      <c r="X191" s="39" t="n">
        <f aca="false">IF(LEFT($B191,4)="_Mil","",_xlfn.IFNA(ROUND(INDEX(Spectrum!$N:$N,MATCH(RIGHT($B191,13)&amp;"|"&amp;$C191&amp;"|"&amp;$D191&amp;"|"&amp;X$14&amp;"|"&amp;"CY2023Q3",Spectrum!$R:$R,0)),0),""))</f>
        <v>1354</v>
      </c>
      <c r="Y191" s="88" t="str">
        <f aca="false">IF(OR(SUM($U191)=0,LEFT($B191,4)="_Mil"),"",SUM($X191)/$U191)</f>
        <v/>
      </c>
      <c r="Z191" s="39" t="n">
        <f aca="false">IF(LEFT($B191,4)="_Mil","",_xlfn.IFNA(ROUND(INDEX(Spectrum!$N:$N,MATCH(RIGHT($B191,13)&amp;"|"&amp;$C191&amp;"|"&amp;$D191&amp;"|"&amp;Z$14&amp;"|"&amp;"CY2023Q3",Spectrum!$R:$R,0)),0),""))</f>
        <v>1199</v>
      </c>
      <c r="AA191" s="88" t="n">
        <f aca="false">IF(LEFT($B191,4)="_Mil","",IFERROR(1/(1/INDEX(Spectrum!$N:$N,MATCH(RIGHT($B191,13)&amp;"|"&amp;$C191&amp;"|"&amp;$D191&amp;"|"&amp;AA$14&amp;"|"&amp;"CY2023Q3",Spectrum!$R:$R,0))),IF(SUM($U191)=0,"",SUM($Z191)/$U191)))</f>
        <v>507</v>
      </c>
      <c r="AB191" s="88" t="n">
        <f aca="false">IF(OR(LEFT($B191,4)="_Mil",SUM($X191)=0),"",SUM($Z191)/$X191)</f>
        <v>0.885524372230428</v>
      </c>
      <c r="AC191" s="10" t="n">
        <f aca="false">IF(LEFT($B191,4)="_Mil","",_xlfn.IFNA(ROUND(INDEX(Spectrum!$N:$N,MATCH(RIGHT($B191,13)&amp;"|"&amp;$C191&amp;"|"&amp;$D191&amp;"|"&amp;AC$14&amp;"|"&amp;"CY2023Q3",Spectrum!$R:$R,0)),0),""))</f>
        <v>728</v>
      </c>
      <c r="AD191" s="10" t="str">
        <f aca="false">IF(LEFT($B191,4)="_Mil","",_xlfn.IFNA(ROUND(INDEX(Spectrum!$N:$N,MATCH(RIGHT($B191,13)&amp;"|"&amp;$C191&amp;"|"&amp;$D191&amp;"|"&amp;AD$14&amp;"|"&amp;"CY2023Q3",Spectrum!$R:$R,0)),0),""))</f>
        <v/>
      </c>
      <c r="AE191" s="88" t="n">
        <f aca="false">IF(OR(LEFT($B191,4)="_Mil",SUM($Z191)=0),"",SUM($AD191)/$Z191)</f>
        <v>0</v>
      </c>
      <c r="AF191" s="39" t="str">
        <f aca="false">IF(LEFT($B191,4)="_Mil","",_xlfn.IFNA(ROUND(INDEX(Spectrum!$N:$N,MATCH(RIGHT($B191,13)&amp;"|"&amp;$C191&amp;"|"&amp;$D191&amp;"|"&amp;AF$14&amp;"|"&amp;"CY2023Q3",Spectrum!$R:$R,0)),0),""))</f>
        <v/>
      </c>
      <c r="AG191" s="88" t="str">
        <f aca="false">IF(OR(LEFT($B191,4)="_Mil",SUM($AD191)=0),"",SUM($AF191)/$AD191)</f>
        <v/>
      </c>
      <c r="AH191" s="86" t="str">
        <f aca="false">IF(LEFT($B191,4)="_Mil","",_xlfn.IFNA(INDEX(Spectrum!$N:$N,MATCH(RIGHT($B191,13)&amp;"|"&amp;$C191&amp;"|"&amp;$D191&amp;"|"&amp;AH$14&amp;"|"&amp;"CY2023Q3",Spectrum!$R:$R,0)),""))</f>
        <v/>
      </c>
      <c r="AI191" s="10" t="str">
        <f aca="false">IF(LEFT($B191,4)="_Mil","",_xlfn.IFNA(ROUND(INDEX(Spectrum!$N:$N,MATCH(RIGHT($B191,13)&amp;"|"&amp;$C191&amp;"|"&amp;$D191&amp;"|"&amp;AI$14&amp;"|"&amp;"CY2023Q3",Spectrum!$R:$R,0)),0),""))</f>
        <v/>
      </c>
      <c r="AJ191" s="39" t="n">
        <f aca="false">IF(LEFT($B191,4)="_Mil","",_xlfn.IFNA(ROUND(INDEX(Spectrum!$N:$N,MATCH(RIGHT($B191,13)&amp;"|"&amp;$C191&amp;"|"&amp;$D191&amp;"|"&amp;AI$14&amp;"|"&amp;"CY2023Q3",Spectrum!$R:$R,0)),0),SUM($U191)+SUM($AI191)))</f>
        <v>0</v>
      </c>
      <c r="AK191" s="10" t="str">
        <f aca="false">IF(LEFT($B191,4)="_Mil","",_xlfn.IFNA(ROUND(INDEX(Spectrum!$N:$N,MATCH(RIGHT($B191,13)&amp;"|"&amp;$C191&amp;"|"&amp;$D191&amp;"|"&amp;AK$14&amp;"|"&amp;"CY2023Q3",Spectrum!$R:$R,0)),0),""))</f>
        <v/>
      </c>
      <c r="AL191" s="88" t="n">
        <f aca="false">IF(OR(LEFT($B191,4)="_Mil",$C191="&lt;01"),"",MAX(SUM($AA191),90%))</f>
        <v>507</v>
      </c>
      <c r="AM191" s="10" t="n">
        <f aca="false">IF(OR(LEFT($B191,4)="_Mil",$C191="&lt;01"),"",ROUND(SUM($AJ191)*SUM($AL191),0))</f>
        <v>0</v>
      </c>
      <c r="AN191" s="10" t="str">
        <f aca="false">IF($C191="&lt;01",ROUND(INDEX(EID!$P:$P,MATCH($B191,EID!$B:$B,0))/2,0),"")</f>
        <v/>
      </c>
      <c r="AO191" s="10" t="n">
        <f aca="false">IF($C191="&lt;01",SUM($AN191),ROUND(SUM($AM191)*SUM($O191)/IF(SUM($Z191)=0,1,$Z191),0))</f>
        <v>0</v>
      </c>
      <c r="AP191" s="39" t="n">
        <f aca="false">IF(OR($F191="",$C191="&lt;01"),$AO191,$F191)</f>
        <v>0</v>
      </c>
      <c r="AQ191" s="39" t="n">
        <f aca="false">IF(LEFT($B191,4)="_Mil","",IF(SUM($AP191)=0,SUM($Z191),IF(OR(SUM($Z191)=0,SUM($O191)=0),MAX($AP191,$Z191),$AP191*$Z191/$O191)))</f>
        <v>1199</v>
      </c>
      <c r="AR191" s="88" t="str">
        <f aca="false">IF(OR(LEFT($B191,4)="_Mil",SUM($AJ191)=0),"",SUM($AQ191)/$AJ191)</f>
        <v/>
      </c>
      <c r="AS191" s="88" t="n">
        <f aca="false">IF($C191="&lt;01","",98%)</f>
        <v>0.98</v>
      </c>
      <c r="AT191" s="88" t="n">
        <f aca="false">IF($C191="&lt;01","",98%)</f>
        <v>0.98</v>
      </c>
      <c r="AU191" s="10" t="n">
        <f aca="false">IF($C191="&lt;01","",SUM($AP191)-SUM($O191))</f>
        <v>0</v>
      </c>
      <c r="AV191" s="10" t="n">
        <f aca="false">IF($C191="&lt;01",ROUND(INDEX(EID!$N:$N,MATCH($B191,EID!$B:$B,0))/2,0),IF(SUM($AT191)=0,"",ROUND((SUM($AP191)-(SUM($O191)*SUM($AS191)))/$AT191,0)))</f>
        <v>0</v>
      </c>
      <c r="AW191" s="88" t="n">
        <f aca="false">IF($C191="&lt;01","",100%)</f>
        <v>1</v>
      </c>
      <c r="AX191" s="39" t="n">
        <f aca="false">IF($C191="&lt;01",SUM($AV191),ROUND(SUM($AV191)*SUM($AW191),0))</f>
        <v>0</v>
      </c>
      <c r="AY191" s="114" t="n">
        <f aca="false">IF($C191="&lt;01","",70%)</f>
        <v>0.7</v>
      </c>
      <c r="AZ191" s="91" t="n">
        <f aca="false">IF($C191="&lt;01",ROUND(INDEX(EID!$R:$R,MATCH($B191,EID!$B:$B,0))/2,0),ROUND(SUM($O191)+(SUM($AV191)*$AY191),0))</f>
        <v>0</v>
      </c>
      <c r="BA191" s="87" t="n">
        <f aca="false">IF($C191="&lt;01","",95%)</f>
        <v>0.95</v>
      </c>
      <c r="BB191" s="5" t="n">
        <f aca="false">IF($C191="&lt;01",ROUND(INDEX(EID!$T:$T,MATCH($B191,EID!$B:$B,0))/2,0),ROUND($AZ191*$BA191,0))</f>
        <v>0</v>
      </c>
      <c r="BC191" s="91" t="n">
        <f aca="false">IF(LEFT($B191,4)="_Mil","",IF(SUM($BB191)=0,SUM($AD191),IF(OR(SUM($AP191)=0,SUM($AQ191)=0),MAX($BB191,$AD191),ROUND($BB191*$AQ191/$AP191,0))))</f>
        <v>0</v>
      </c>
      <c r="BD191" s="88" t="n">
        <f aca="false">IF($C191="&lt;01","",95%)</f>
        <v>0.95</v>
      </c>
      <c r="BE191" s="39" t="n">
        <f aca="false">IF($C191="&lt;01",ROUND(INDEX(EID!$V:$V,MATCH($B191,EID!$B:$B,0))/2,0),ROUND($BD191*$BB191,0))</f>
        <v>0</v>
      </c>
      <c r="BF191" s="39" t="n">
        <f aca="false">IF(LEFT($B191,4)="_Mil","",IF(SUM($BE191)=0,SUM($AF191),IF(OR(SUM($AP191)=0,SUM($AQ191)=0),MAX($BE191,$AF191),ROUND($BE191*$AQ191/$AP191,0))))</f>
        <v>0</v>
      </c>
      <c r="BG191" s="114" t="n">
        <f aca="false">IF($C191="&lt;01","",95%)</f>
        <v>0.95</v>
      </c>
      <c r="BH191" s="5" t="n">
        <f aca="false">IF($C191="&lt;01",ROUND(INDEX(EID!$L:$L,MATCH($B191,EID!$B:$B,0)),0)/2,IF(SUM($BG191)=0,"",ROUND($AX191/$BG191,0)))</f>
        <v>0</v>
      </c>
    </row>
    <row r="192" customFormat="false" ht="15" hidden="false" customHeight="false" outlineLevel="0" collapsed="false">
      <c r="A192" s="0" t="str">
        <f aca="false">INDEX(Prioritization!$D:$D,MATCH($B192,Prioritization!$A:$A,0))</f>
        <v>INVALID</v>
      </c>
      <c r="B192" s="0" t="s">
        <v>206</v>
      </c>
      <c r="C192" s="0" t="s">
        <v>366</v>
      </c>
      <c r="D192" s="0" t="s">
        <v>48</v>
      </c>
      <c r="E192" s="0" t="str">
        <f aca="false">$B192&amp;"|"&amp;$C192&amp;"|"&amp;$D192</f>
        <v>Likoma District [ZCjuwgaMB9u]|25-34|Male</v>
      </c>
      <c r="F192" s="10"/>
      <c r="G192" s="10"/>
      <c r="H192" s="10"/>
      <c r="I192" s="10"/>
      <c r="J192" s="10"/>
      <c r="K192" s="10"/>
      <c r="L192" s="10"/>
      <c r="M192" s="10"/>
      <c r="N192" s="10"/>
      <c r="O192" s="10" t="str">
        <f aca="false">IFERROR(1/(1/MAX($I192,$N192)),"")</f>
        <v/>
      </c>
      <c r="P192" s="10"/>
      <c r="Q192" s="10"/>
      <c r="R192" s="10" t="str">
        <f aca="false">IF(AND(SUM($I192)=0,SUM($O192)=0),"",SUM($O192)-$I192)</f>
        <v/>
      </c>
      <c r="S192" s="10" t="n">
        <f aca="false">IF(LEFT($B192,4)="_Mil","",_xlfn.IFNA(ROUND(INDEX(Spectrum!$N:$N,MATCH(RIGHT($B192,13)&amp;"|"&amp;$C192&amp;"|"&amp;$D192&amp;"|"&amp;S$14&amp;"|"&amp;"CY2022Q4",Spectrum!$R:$R,0)),0),""))</f>
        <v>916</v>
      </c>
      <c r="T192" s="39" t="n">
        <f aca="false">IF(LEFT($B192,4)="_Mil","",_xlfn.IFNA(ROUND(INDEX(Spectrum!$N:$N,MATCH(RIGHT($B192,13)&amp;"|"&amp;$C192&amp;"|"&amp;$D192&amp;"|"&amp;T$14&amp;"|"&amp;"CY2023Q3",Spectrum!$R:$R,0)),0),""))</f>
        <v>506</v>
      </c>
      <c r="U192" s="39" t="str">
        <f aca="false">IF(LEFT($B192,4)="_Mil","",_xlfn.IFNA(ROUND(INDEX(Spectrum!$N:$N,MATCH(RIGHT($B192,13)&amp;"|"&amp;$C192&amp;"|"&amp;$D192&amp;"|"&amp;U$14&amp;"|"&amp;"CY2023Q3",Spectrum!$R:$R,0)),0),""))</f>
        <v/>
      </c>
      <c r="V192" s="10" t="n">
        <f aca="false">IF(LEFT($B192,4)="_Mil","",_xlfn.IFNA(ROUND(INDEX(Spectrum!$N:$N,MATCH(RIGHT($B192,13)&amp;"|"&amp;$C192&amp;"|"&amp;$D192&amp;"|"&amp;V$14&amp;"|"&amp;"CY2023Q3",Spectrum!$R:$R,0)),0),""))</f>
        <v>1531</v>
      </c>
      <c r="W192" s="113" t="n">
        <f aca="false">IF(LEFT($B192,4)="_Mil","",_xlfn.IFNA(INDEX(Spectrum!$N:$N,MATCH(RIGHT($B192,13)&amp;"|"&amp;$C192&amp;"|"&amp;$D192&amp;"|"&amp;W$14&amp;"|"&amp;"CY2023Q3",Spectrum!$R:$R,0)),""))</f>
        <v>1075</v>
      </c>
      <c r="X192" s="39" t="n">
        <f aca="false">IF(LEFT($B192,4)="_Mil","",_xlfn.IFNA(ROUND(INDEX(Spectrum!$N:$N,MATCH(RIGHT($B192,13)&amp;"|"&amp;$C192&amp;"|"&amp;$D192&amp;"|"&amp;X$14&amp;"|"&amp;"CY2023Q3",Spectrum!$R:$R,0)),0),""))</f>
        <v>630</v>
      </c>
      <c r="Y192" s="88" t="str">
        <f aca="false">IF(OR(SUM($U192)=0,LEFT($B192,4)="_Mil"),"",SUM($X192)/$U192)</f>
        <v/>
      </c>
      <c r="Z192" s="39" t="n">
        <f aca="false">IF(LEFT($B192,4)="_Mil","",_xlfn.IFNA(ROUND(INDEX(Spectrum!$N:$N,MATCH(RIGHT($B192,13)&amp;"|"&amp;$C192&amp;"|"&amp;$D192&amp;"|"&amp;Z$14&amp;"|"&amp;"CY2023Q3",Spectrum!$R:$R,0)),0),""))</f>
        <v>786</v>
      </c>
      <c r="AA192" s="88" t="n">
        <f aca="false">IF(LEFT($B192,4)="_Mil","",IFERROR(1/(1/INDEX(Spectrum!$N:$N,MATCH(RIGHT($B192,13)&amp;"|"&amp;$C192&amp;"|"&amp;$D192&amp;"|"&amp;AA$14&amp;"|"&amp;"CY2023Q3",Spectrum!$R:$R,0))),IF(SUM($U192)=0,"",SUM($Z192)/$U192)))</f>
        <v>1520</v>
      </c>
      <c r="AB192" s="88" t="n">
        <f aca="false">IF(OR(LEFT($B192,4)="_Mil",SUM($X192)=0),"",SUM($Z192)/$X192)</f>
        <v>1.24761904761905</v>
      </c>
      <c r="AC192" s="10" t="n">
        <f aca="false">IF(LEFT($B192,4)="_Mil","",_xlfn.IFNA(ROUND(INDEX(Spectrum!$N:$N,MATCH(RIGHT($B192,13)&amp;"|"&amp;$C192&amp;"|"&amp;$D192&amp;"|"&amp;AC$14&amp;"|"&amp;"CY2023Q3",Spectrum!$R:$R,0)),0),""))</f>
        <v>1502</v>
      </c>
      <c r="AD192" s="10" t="str">
        <f aca="false">IF(LEFT($B192,4)="_Mil","",_xlfn.IFNA(ROUND(INDEX(Spectrum!$N:$N,MATCH(RIGHT($B192,13)&amp;"|"&amp;$C192&amp;"|"&amp;$D192&amp;"|"&amp;AD$14&amp;"|"&amp;"CY2023Q3",Spectrum!$R:$R,0)),0),""))</f>
        <v/>
      </c>
      <c r="AE192" s="88" t="n">
        <f aca="false">IF(OR(LEFT($B192,4)="_Mil",SUM($Z192)=0),"",SUM($AD192)/$Z192)</f>
        <v>0</v>
      </c>
      <c r="AF192" s="39" t="str">
        <f aca="false">IF(LEFT($B192,4)="_Mil","",_xlfn.IFNA(ROUND(INDEX(Spectrum!$N:$N,MATCH(RIGHT($B192,13)&amp;"|"&amp;$C192&amp;"|"&amp;$D192&amp;"|"&amp;AF$14&amp;"|"&amp;"CY2023Q3",Spectrum!$R:$R,0)),0),""))</f>
        <v/>
      </c>
      <c r="AG192" s="88" t="str">
        <f aca="false">IF(OR(LEFT($B192,4)="_Mil",SUM($AD192)=0),"",SUM($AF192)/$AD192)</f>
        <v/>
      </c>
      <c r="AH192" s="86" t="str">
        <f aca="false">IF(LEFT($B192,4)="_Mil","",_xlfn.IFNA(INDEX(Spectrum!$N:$N,MATCH(RIGHT($B192,13)&amp;"|"&amp;$C192&amp;"|"&amp;$D192&amp;"|"&amp;AH$14&amp;"|"&amp;"CY2023Q3",Spectrum!$R:$R,0)),""))</f>
        <v/>
      </c>
      <c r="AI192" s="10" t="str">
        <f aca="false">IF(LEFT($B192,4)="_Mil","",_xlfn.IFNA(ROUND(INDEX(Spectrum!$N:$N,MATCH(RIGHT($B192,13)&amp;"|"&amp;$C192&amp;"|"&amp;$D192&amp;"|"&amp;AI$14&amp;"|"&amp;"CY2023Q3",Spectrum!$R:$R,0)),0),""))</f>
        <v/>
      </c>
      <c r="AJ192" s="39" t="n">
        <f aca="false">IF(LEFT($B192,4)="_Mil","",_xlfn.IFNA(ROUND(INDEX(Spectrum!$N:$N,MATCH(RIGHT($B192,13)&amp;"|"&amp;$C192&amp;"|"&amp;$D192&amp;"|"&amp;AI$14&amp;"|"&amp;"CY2023Q3",Spectrum!$R:$R,0)),0),SUM($U192)+SUM($AI192)))</f>
        <v>0</v>
      </c>
      <c r="AK192" s="10" t="str">
        <f aca="false">IF(LEFT($B192,4)="_Mil","",_xlfn.IFNA(ROUND(INDEX(Spectrum!$N:$N,MATCH(RIGHT($B192,13)&amp;"|"&amp;$C192&amp;"|"&amp;$D192&amp;"|"&amp;AK$14&amp;"|"&amp;"CY2023Q3",Spectrum!$R:$R,0)),0),""))</f>
        <v/>
      </c>
      <c r="AL192" s="88" t="n">
        <f aca="false">IF(OR(LEFT($B192,4)="_Mil",$C192="&lt;01"),"",MAX(SUM($AA192),90%))</f>
        <v>1520</v>
      </c>
      <c r="AM192" s="10" t="n">
        <f aca="false">IF(OR(LEFT($B192,4)="_Mil",$C192="&lt;01"),"",ROUND(SUM($AJ192)*SUM($AL192),0))</f>
        <v>0</v>
      </c>
      <c r="AN192" s="10" t="str">
        <f aca="false">IF($C192="&lt;01",ROUND(INDEX(EID!$P:$P,MATCH($B192,EID!$B:$B,0))/2,0),"")</f>
        <v/>
      </c>
      <c r="AO192" s="10" t="n">
        <f aca="false">IF($C192="&lt;01",SUM($AN192),ROUND(SUM($AM192)*SUM($O192)/IF(SUM($Z192)=0,1,$Z192),0))</f>
        <v>0</v>
      </c>
      <c r="AP192" s="39" t="n">
        <f aca="false">IF(OR($F192="",$C192="&lt;01"),$AO192,$F192)</f>
        <v>0</v>
      </c>
      <c r="AQ192" s="39" t="n">
        <f aca="false">IF(LEFT($B192,4)="_Mil","",IF(SUM($AP192)=0,SUM($Z192),IF(OR(SUM($Z192)=0,SUM($O192)=0),MAX($AP192,$Z192),$AP192*$Z192/$O192)))</f>
        <v>786</v>
      </c>
      <c r="AR192" s="88" t="str">
        <f aca="false">IF(OR(LEFT($B192,4)="_Mil",SUM($AJ192)=0),"",SUM($AQ192)/$AJ192)</f>
        <v/>
      </c>
      <c r="AS192" s="88" t="n">
        <f aca="false">IF($C192="&lt;01","",98%)</f>
        <v>0.98</v>
      </c>
      <c r="AT192" s="88" t="n">
        <f aca="false">IF($C192="&lt;01","",98%)</f>
        <v>0.98</v>
      </c>
      <c r="AU192" s="10" t="n">
        <f aca="false">IF($C192="&lt;01","",SUM($AP192)-SUM($O192))</f>
        <v>0</v>
      </c>
      <c r="AV192" s="10" t="n">
        <f aca="false">IF($C192="&lt;01",ROUND(INDEX(EID!$N:$N,MATCH($B192,EID!$B:$B,0))/2,0),IF(SUM($AT192)=0,"",ROUND((SUM($AP192)-(SUM($O192)*SUM($AS192)))/$AT192,0)))</f>
        <v>0</v>
      </c>
      <c r="AW192" s="88" t="n">
        <f aca="false">IF($C192="&lt;01","",100%)</f>
        <v>1</v>
      </c>
      <c r="AX192" s="39" t="n">
        <f aca="false">IF($C192="&lt;01",SUM($AV192),ROUND(SUM($AV192)*SUM($AW192),0))</f>
        <v>0</v>
      </c>
      <c r="AY192" s="114" t="n">
        <f aca="false">IF($C192="&lt;01","",70%)</f>
        <v>0.7</v>
      </c>
      <c r="AZ192" s="91" t="n">
        <f aca="false">IF($C192="&lt;01",ROUND(INDEX(EID!$R:$R,MATCH($B192,EID!$B:$B,0))/2,0),ROUND(SUM($O192)+(SUM($AV192)*$AY192),0))</f>
        <v>0</v>
      </c>
      <c r="BA192" s="87" t="n">
        <f aca="false">IF($C192="&lt;01","",95%)</f>
        <v>0.95</v>
      </c>
      <c r="BB192" s="5" t="n">
        <f aca="false">IF($C192="&lt;01",ROUND(INDEX(EID!$T:$T,MATCH($B192,EID!$B:$B,0))/2,0),ROUND($AZ192*$BA192,0))</f>
        <v>0</v>
      </c>
      <c r="BC192" s="91" t="n">
        <f aca="false">IF(LEFT($B192,4)="_Mil","",IF(SUM($BB192)=0,SUM($AD192),IF(OR(SUM($AP192)=0,SUM($AQ192)=0),MAX($BB192,$AD192),ROUND($BB192*$AQ192/$AP192,0))))</f>
        <v>0</v>
      </c>
      <c r="BD192" s="88" t="n">
        <f aca="false">IF($C192="&lt;01","",95%)</f>
        <v>0.95</v>
      </c>
      <c r="BE192" s="39" t="n">
        <f aca="false">IF($C192="&lt;01",ROUND(INDEX(EID!$V:$V,MATCH($B192,EID!$B:$B,0))/2,0),ROUND($BD192*$BB192,0))</f>
        <v>0</v>
      </c>
      <c r="BF192" s="39" t="n">
        <f aca="false">IF(LEFT($B192,4)="_Mil","",IF(SUM($BE192)=0,SUM($AF192),IF(OR(SUM($AP192)=0,SUM($AQ192)=0),MAX($BE192,$AF192),ROUND($BE192*$AQ192/$AP192,0))))</f>
        <v>0</v>
      </c>
      <c r="BG192" s="114" t="n">
        <f aca="false">IF($C192="&lt;01","",95%)</f>
        <v>0.95</v>
      </c>
      <c r="BH192" s="5" t="n">
        <f aca="false">IF($C192="&lt;01",ROUND(INDEX(EID!$L:$L,MATCH($B192,EID!$B:$B,0)),0)/2,IF(SUM($BG192)=0,"",ROUND($AX192/$BG192,0)))</f>
        <v>0</v>
      </c>
    </row>
    <row r="193" customFormat="false" ht="15" hidden="false" customHeight="false" outlineLevel="0" collapsed="false">
      <c r="A193" s="0" t="str">
        <f aca="false">INDEX(Prioritization!$D:$D,MATCH($B193,Prioritization!$A:$A,0))</f>
        <v>INVALID</v>
      </c>
      <c r="B193" s="0" t="s">
        <v>206</v>
      </c>
      <c r="C193" s="0" t="s">
        <v>367</v>
      </c>
      <c r="D193" s="0" t="s">
        <v>30</v>
      </c>
      <c r="E193" s="0" t="str">
        <f aca="false">$B193&amp;"|"&amp;$C193&amp;"|"&amp;$D193</f>
        <v>Likoma District [ZCjuwgaMB9u]|35-49|Female</v>
      </c>
      <c r="F193" s="10"/>
      <c r="G193" s="10"/>
      <c r="H193" s="10"/>
      <c r="I193" s="10"/>
      <c r="J193" s="10"/>
      <c r="K193" s="10"/>
      <c r="L193" s="10"/>
      <c r="M193" s="10"/>
      <c r="N193" s="10"/>
      <c r="O193" s="10" t="str">
        <f aca="false">IFERROR(1/(1/MAX($I193,$N193)),"")</f>
        <v/>
      </c>
      <c r="P193" s="10"/>
      <c r="Q193" s="10"/>
      <c r="R193" s="10" t="str">
        <f aca="false">IF(AND(SUM($I193)=0,SUM($O193)=0),"",SUM($O193)-$I193)</f>
        <v/>
      </c>
      <c r="S193" s="10" t="n">
        <f aca="false">IF(LEFT($B193,4)="_Mil","",_xlfn.IFNA(ROUND(INDEX(Spectrum!$N:$N,MATCH(RIGHT($B193,13)&amp;"|"&amp;$C193&amp;"|"&amp;$D193&amp;"|"&amp;S$14&amp;"|"&amp;"CY2022Q4",Spectrum!$R:$R,0)),0),""))</f>
        <v>763</v>
      </c>
      <c r="T193" s="39" t="n">
        <f aca="false">IF(LEFT($B193,4)="_Mil","",_xlfn.IFNA(ROUND(INDEX(Spectrum!$N:$N,MATCH(RIGHT($B193,13)&amp;"|"&amp;$C193&amp;"|"&amp;$D193&amp;"|"&amp;T$14&amp;"|"&amp;"CY2023Q3",Spectrum!$R:$R,0)),0),""))</f>
        <v>1334</v>
      </c>
      <c r="U193" s="39" t="str">
        <f aca="false">IF(LEFT($B193,4)="_Mil","",_xlfn.IFNA(ROUND(INDEX(Spectrum!$N:$N,MATCH(RIGHT($B193,13)&amp;"|"&amp;$C193&amp;"|"&amp;$D193&amp;"|"&amp;U$14&amp;"|"&amp;"CY2023Q3",Spectrum!$R:$R,0)),0),""))</f>
        <v/>
      </c>
      <c r="V193" s="10" t="n">
        <f aca="false">IF(LEFT($B193,4)="_Mil","",_xlfn.IFNA(ROUND(INDEX(Spectrum!$N:$N,MATCH(RIGHT($B193,13)&amp;"|"&amp;$C193&amp;"|"&amp;$D193&amp;"|"&amp;V$14&amp;"|"&amp;"CY2023Q3",Spectrum!$R:$R,0)),0),""))</f>
        <v>603</v>
      </c>
      <c r="W193" s="113" t="n">
        <f aca="false">IF(LEFT($B193,4)="_Mil","",_xlfn.IFNA(INDEX(Spectrum!$N:$N,MATCH(RIGHT($B193,13)&amp;"|"&amp;$C193&amp;"|"&amp;$D193&amp;"|"&amp;W$14&amp;"|"&amp;"CY2023Q3",Spectrum!$R:$R,0)),""))</f>
        <v>1895</v>
      </c>
      <c r="X193" s="39" t="n">
        <f aca="false">IF(LEFT($B193,4)="_Mil","",_xlfn.IFNA(ROUND(INDEX(Spectrum!$N:$N,MATCH(RIGHT($B193,13)&amp;"|"&amp;$C193&amp;"|"&amp;$D193&amp;"|"&amp;X$14&amp;"|"&amp;"CY2023Q3",Spectrum!$R:$R,0)),0),""))</f>
        <v>1706</v>
      </c>
      <c r="Y193" s="88" t="str">
        <f aca="false">IF(OR(SUM($U193)=0,LEFT($B193,4)="_Mil"),"",SUM($X193)/$U193)</f>
        <v/>
      </c>
      <c r="Z193" s="39" t="n">
        <f aca="false">IF(LEFT($B193,4)="_Mil","",_xlfn.IFNA(ROUND(INDEX(Spectrum!$N:$N,MATCH(RIGHT($B193,13)&amp;"|"&amp;$C193&amp;"|"&amp;$D193&amp;"|"&amp;Z$14&amp;"|"&amp;"CY2023Q3",Spectrum!$R:$R,0)),0),""))</f>
        <v>927</v>
      </c>
      <c r="AA193" s="88" t="n">
        <f aca="false">IF(LEFT($B193,4)="_Mil","",IFERROR(1/(1/INDEX(Spectrum!$N:$N,MATCH(RIGHT($B193,13)&amp;"|"&amp;$C193&amp;"|"&amp;$D193&amp;"|"&amp;AA$14&amp;"|"&amp;"CY2023Q3",Spectrum!$R:$R,0))),IF(SUM($U193)=0,"",SUM($Z193)/$U193)))</f>
        <v>727</v>
      </c>
      <c r="AB193" s="88" t="n">
        <f aca="false">IF(OR(LEFT($B193,4)="_Mil",SUM($X193)=0),"",SUM($Z193)/$X193)</f>
        <v>0.54337631887456</v>
      </c>
      <c r="AC193" s="10" t="n">
        <f aca="false">IF(LEFT($B193,4)="_Mil","",_xlfn.IFNA(ROUND(INDEX(Spectrum!$N:$N,MATCH(RIGHT($B193,13)&amp;"|"&amp;$C193&amp;"|"&amp;$D193&amp;"|"&amp;AC$14&amp;"|"&amp;"CY2023Q3",Spectrum!$R:$R,0)),0),""))</f>
        <v>1510</v>
      </c>
      <c r="AD193" s="10" t="str">
        <f aca="false">IF(LEFT($B193,4)="_Mil","",_xlfn.IFNA(ROUND(INDEX(Spectrum!$N:$N,MATCH(RIGHT($B193,13)&amp;"|"&amp;$C193&amp;"|"&amp;$D193&amp;"|"&amp;AD$14&amp;"|"&amp;"CY2023Q3",Spectrum!$R:$R,0)),0),""))</f>
        <v/>
      </c>
      <c r="AE193" s="88" t="n">
        <f aca="false">IF(OR(LEFT($B193,4)="_Mil",SUM($Z193)=0),"",SUM($AD193)/$Z193)</f>
        <v>0</v>
      </c>
      <c r="AF193" s="39" t="str">
        <f aca="false">IF(LEFT($B193,4)="_Mil","",_xlfn.IFNA(ROUND(INDEX(Spectrum!$N:$N,MATCH(RIGHT($B193,13)&amp;"|"&amp;$C193&amp;"|"&amp;$D193&amp;"|"&amp;AF$14&amp;"|"&amp;"CY2023Q3",Spectrum!$R:$R,0)),0),""))</f>
        <v/>
      </c>
      <c r="AG193" s="88" t="str">
        <f aca="false">IF(OR(LEFT($B193,4)="_Mil",SUM($AD193)=0),"",SUM($AF193)/$AD193)</f>
        <v/>
      </c>
      <c r="AH193" s="86" t="str">
        <f aca="false">IF(LEFT($B193,4)="_Mil","",_xlfn.IFNA(INDEX(Spectrum!$N:$N,MATCH(RIGHT($B193,13)&amp;"|"&amp;$C193&amp;"|"&amp;$D193&amp;"|"&amp;AH$14&amp;"|"&amp;"CY2023Q3",Spectrum!$R:$R,0)),""))</f>
        <v/>
      </c>
      <c r="AI193" s="10" t="str">
        <f aca="false">IF(LEFT($B193,4)="_Mil","",_xlfn.IFNA(ROUND(INDEX(Spectrum!$N:$N,MATCH(RIGHT($B193,13)&amp;"|"&amp;$C193&amp;"|"&amp;$D193&amp;"|"&amp;AI$14&amp;"|"&amp;"CY2023Q3",Spectrum!$R:$R,0)),0),""))</f>
        <v/>
      </c>
      <c r="AJ193" s="39" t="n">
        <f aca="false">IF(LEFT($B193,4)="_Mil","",_xlfn.IFNA(ROUND(INDEX(Spectrum!$N:$N,MATCH(RIGHT($B193,13)&amp;"|"&amp;$C193&amp;"|"&amp;$D193&amp;"|"&amp;AI$14&amp;"|"&amp;"CY2023Q3",Spectrum!$R:$R,0)),0),SUM($U193)+SUM($AI193)))</f>
        <v>0</v>
      </c>
      <c r="AK193" s="10" t="str">
        <f aca="false">IF(LEFT($B193,4)="_Mil","",_xlfn.IFNA(ROUND(INDEX(Spectrum!$N:$N,MATCH(RIGHT($B193,13)&amp;"|"&amp;$C193&amp;"|"&amp;$D193&amp;"|"&amp;AK$14&amp;"|"&amp;"CY2023Q3",Spectrum!$R:$R,0)),0),""))</f>
        <v/>
      </c>
      <c r="AL193" s="88" t="n">
        <f aca="false">IF(OR(LEFT($B193,4)="_Mil",$C193="&lt;01"),"",MAX(SUM($AA193),90%))</f>
        <v>727</v>
      </c>
      <c r="AM193" s="10" t="n">
        <f aca="false">IF(OR(LEFT($B193,4)="_Mil",$C193="&lt;01"),"",ROUND(SUM($AJ193)*SUM($AL193),0))</f>
        <v>0</v>
      </c>
      <c r="AN193" s="10" t="str">
        <f aca="false">IF($C193="&lt;01",ROUND(INDEX(EID!$P:$P,MATCH($B193,EID!$B:$B,0))/2,0),"")</f>
        <v/>
      </c>
      <c r="AO193" s="10" t="n">
        <f aca="false">IF($C193="&lt;01",SUM($AN193),ROUND(SUM($AM193)*SUM($O193)/IF(SUM($Z193)=0,1,$Z193),0))</f>
        <v>0</v>
      </c>
      <c r="AP193" s="39" t="n">
        <f aca="false">IF(OR($F193="",$C193="&lt;01"),$AO193,$F193)</f>
        <v>0</v>
      </c>
      <c r="AQ193" s="39" t="n">
        <f aca="false">IF(LEFT($B193,4)="_Mil","",IF(SUM($AP193)=0,SUM($Z193),IF(OR(SUM($Z193)=0,SUM($O193)=0),MAX($AP193,$Z193),$AP193*$Z193/$O193)))</f>
        <v>927</v>
      </c>
      <c r="AR193" s="88" t="str">
        <f aca="false">IF(OR(LEFT($B193,4)="_Mil",SUM($AJ193)=0),"",SUM($AQ193)/$AJ193)</f>
        <v/>
      </c>
      <c r="AS193" s="88" t="n">
        <f aca="false">IF($C193="&lt;01","",98%)</f>
        <v>0.98</v>
      </c>
      <c r="AT193" s="88" t="n">
        <f aca="false">IF($C193="&lt;01","",98%)</f>
        <v>0.98</v>
      </c>
      <c r="AU193" s="10" t="n">
        <f aca="false">IF($C193="&lt;01","",SUM($AP193)-SUM($O193))</f>
        <v>0</v>
      </c>
      <c r="AV193" s="10" t="n">
        <f aca="false">IF($C193="&lt;01",ROUND(INDEX(EID!$N:$N,MATCH($B193,EID!$B:$B,0))/2,0),IF(SUM($AT193)=0,"",ROUND((SUM($AP193)-(SUM($O193)*SUM($AS193)))/$AT193,0)))</f>
        <v>0</v>
      </c>
      <c r="AW193" s="88" t="n">
        <f aca="false">IF($C193="&lt;01","",100%)</f>
        <v>1</v>
      </c>
      <c r="AX193" s="39" t="n">
        <f aca="false">IF($C193="&lt;01",SUM($AV193),ROUND(SUM($AV193)*SUM($AW193),0))</f>
        <v>0</v>
      </c>
      <c r="AY193" s="114" t="n">
        <f aca="false">IF($C193="&lt;01","",70%)</f>
        <v>0.7</v>
      </c>
      <c r="AZ193" s="91" t="n">
        <f aca="false">IF($C193="&lt;01",ROUND(INDEX(EID!$R:$R,MATCH($B193,EID!$B:$B,0))/2,0),ROUND(SUM($O193)+(SUM($AV193)*$AY193),0))</f>
        <v>0</v>
      </c>
      <c r="BA193" s="87" t="n">
        <f aca="false">IF($C193="&lt;01","",95%)</f>
        <v>0.95</v>
      </c>
      <c r="BB193" s="5" t="n">
        <f aca="false">IF($C193="&lt;01",ROUND(INDEX(EID!$T:$T,MATCH($B193,EID!$B:$B,0))/2,0),ROUND($AZ193*$BA193,0))</f>
        <v>0</v>
      </c>
      <c r="BC193" s="91" t="n">
        <f aca="false">IF(LEFT($B193,4)="_Mil","",IF(SUM($BB193)=0,SUM($AD193),IF(OR(SUM($AP193)=0,SUM($AQ193)=0),MAX($BB193,$AD193),ROUND($BB193*$AQ193/$AP193,0))))</f>
        <v>0</v>
      </c>
      <c r="BD193" s="88" t="n">
        <f aca="false">IF($C193="&lt;01","",95%)</f>
        <v>0.95</v>
      </c>
      <c r="BE193" s="39" t="n">
        <f aca="false">IF($C193="&lt;01",ROUND(INDEX(EID!$V:$V,MATCH($B193,EID!$B:$B,0))/2,0),ROUND($BD193*$BB193,0))</f>
        <v>0</v>
      </c>
      <c r="BF193" s="39" t="n">
        <f aca="false">IF(LEFT($B193,4)="_Mil","",IF(SUM($BE193)=0,SUM($AF193),IF(OR(SUM($AP193)=0,SUM($AQ193)=0),MAX($BE193,$AF193),ROUND($BE193*$AQ193/$AP193,0))))</f>
        <v>0</v>
      </c>
      <c r="BG193" s="114" t="n">
        <f aca="false">IF($C193="&lt;01","",95%)</f>
        <v>0.95</v>
      </c>
      <c r="BH193" s="5" t="n">
        <f aca="false">IF($C193="&lt;01",ROUND(INDEX(EID!$L:$L,MATCH($B193,EID!$B:$B,0)),0)/2,IF(SUM($BG193)=0,"",ROUND($AX193/$BG193,0)))</f>
        <v>0</v>
      </c>
    </row>
    <row r="194" customFormat="false" ht="15" hidden="false" customHeight="false" outlineLevel="0" collapsed="false">
      <c r="A194" s="0" t="str">
        <f aca="false">INDEX(Prioritization!$D:$D,MATCH($B194,Prioritization!$A:$A,0))</f>
        <v>INVALID</v>
      </c>
      <c r="B194" s="0" t="s">
        <v>206</v>
      </c>
      <c r="C194" s="0" t="s">
        <v>367</v>
      </c>
      <c r="D194" s="0" t="s">
        <v>48</v>
      </c>
      <c r="E194" s="0" t="str">
        <f aca="false">$B194&amp;"|"&amp;$C194&amp;"|"&amp;$D194</f>
        <v>Likoma District [ZCjuwgaMB9u]|35-49|Male</v>
      </c>
      <c r="F194" s="10"/>
      <c r="G194" s="10"/>
      <c r="H194" s="10"/>
      <c r="I194" s="10"/>
      <c r="J194" s="10"/>
      <c r="K194" s="10"/>
      <c r="L194" s="10"/>
      <c r="M194" s="10"/>
      <c r="N194" s="10"/>
      <c r="O194" s="10" t="str">
        <f aca="false">IFERROR(1/(1/MAX($I194,$N194)),"")</f>
        <v/>
      </c>
      <c r="P194" s="10"/>
      <c r="Q194" s="10"/>
      <c r="R194" s="10" t="str">
        <f aca="false">IF(AND(SUM($I194)=0,SUM($O194)=0),"",SUM($O194)-$I194)</f>
        <v/>
      </c>
      <c r="S194" s="10" t="n">
        <f aca="false">IF(LEFT($B194,4)="_Mil","",_xlfn.IFNA(ROUND(INDEX(Spectrum!$N:$N,MATCH(RIGHT($B194,13)&amp;"|"&amp;$C194&amp;"|"&amp;$D194&amp;"|"&amp;S$14&amp;"|"&amp;"CY2022Q4",Spectrum!$R:$R,0)),0),""))</f>
        <v>1162</v>
      </c>
      <c r="T194" s="39" t="n">
        <f aca="false">IF(LEFT($B194,4)="_Mil","",_xlfn.IFNA(ROUND(INDEX(Spectrum!$N:$N,MATCH(RIGHT($B194,13)&amp;"|"&amp;$C194&amp;"|"&amp;$D194&amp;"|"&amp;T$14&amp;"|"&amp;"CY2023Q3",Spectrum!$R:$R,0)),0),""))</f>
        <v>1305</v>
      </c>
      <c r="U194" s="39" t="str">
        <f aca="false">IF(LEFT($B194,4)="_Mil","",_xlfn.IFNA(ROUND(INDEX(Spectrum!$N:$N,MATCH(RIGHT($B194,13)&amp;"|"&amp;$C194&amp;"|"&amp;$D194&amp;"|"&amp;U$14&amp;"|"&amp;"CY2023Q3",Spectrum!$R:$R,0)),0),""))</f>
        <v/>
      </c>
      <c r="V194" s="10" t="n">
        <f aca="false">IF(LEFT($B194,4)="_Mil","",_xlfn.IFNA(ROUND(INDEX(Spectrum!$N:$N,MATCH(RIGHT($B194,13)&amp;"|"&amp;$C194&amp;"|"&amp;$D194&amp;"|"&amp;V$14&amp;"|"&amp;"CY2023Q3",Spectrum!$R:$R,0)),0),""))</f>
        <v>1732</v>
      </c>
      <c r="W194" s="113" t="n">
        <f aca="false">IF(LEFT($B194,4)="_Mil","",_xlfn.IFNA(INDEX(Spectrum!$N:$N,MATCH(RIGHT($B194,13)&amp;"|"&amp;$C194&amp;"|"&amp;$D194&amp;"|"&amp;W$14&amp;"|"&amp;"CY2023Q3",Spectrum!$R:$R,0)),""))</f>
        <v>1845</v>
      </c>
      <c r="X194" s="39" t="n">
        <f aca="false">IF(LEFT($B194,4)="_Mil","",_xlfn.IFNA(ROUND(INDEX(Spectrum!$N:$N,MATCH(RIGHT($B194,13)&amp;"|"&amp;$C194&amp;"|"&amp;$D194&amp;"|"&amp;X$14&amp;"|"&amp;"CY2023Q3",Spectrum!$R:$R,0)),0),""))</f>
        <v>1270</v>
      </c>
      <c r="Y194" s="88" t="str">
        <f aca="false">IF(OR(SUM($U194)=0,LEFT($B194,4)="_Mil"),"",SUM($X194)/$U194)</f>
        <v/>
      </c>
      <c r="Z194" s="39" t="n">
        <f aca="false">IF(LEFT($B194,4)="_Mil","",_xlfn.IFNA(ROUND(INDEX(Spectrum!$N:$N,MATCH(RIGHT($B194,13)&amp;"|"&amp;$C194&amp;"|"&amp;$D194&amp;"|"&amp;Z$14&amp;"|"&amp;"CY2023Q3",Spectrum!$R:$R,0)),0),""))</f>
        <v>1546</v>
      </c>
      <c r="AA194" s="88" t="n">
        <f aca="false">IF(LEFT($B194,4)="_Mil","",IFERROR(1/(1/INDEX(Spectrum!$N:$N,MATCH(RIGHT($B194,13)&amp;"|"&amp;$C194&amp;"|"&amp;$D194&amp;"|"&amp;AA$14&amp;"|"&amp;"CY2023Q3",Spectrum!$R:$R,0))),IF(SUM($U194)=0,"",SUM($Z194)/$U194)))</f>
        <v>1913</v>
      </c>
      <c r="AB194" s="88" t="n">
        <f aca="false">IF(OR(LEFT($B194,4)="_Mil",SUM($X194)=0),"",SUM($Z194)/$X194)</f>
        <v>1.21732283464567</v>
      </c>
      <c r="AC194" s="10" t="n">
        <f aca="false">IF(LEFT($B194,4)="_Mil","",_xlfn.IFNA(ROUND(INDEX(Spectrum!$N:$N,MATCH(RIGHT($B194,13)&amp;"|"&amp;$C194&amp;"|"&amp;$D194&amp;"|"&amp;AC$14&amp;"|"&amp;"CY2023Q3",Spectrum!$R:$R,0)),0),""))</f>
        <v>1317</v>
      </c>
      <c r="AD194" s="10" t="str">
        <f aca="false">IF(LEFT($B194,4)="_Mil","",_xlfn.IFNA(ROUND(INDEX(Spectrum!$N:$N,MATCH(RIGHT($B194,13)&amp;"|"&amp;$C194&amp;"|"&amp;$D194&amp;"|"&amp;AD$14&amp;"|"&amp;"CY2023Q3",Spectrum!$R:$R,0)),0),""))</f>
        <v/>
      </c>
      <c r="AE194" s="88" t="n">
        <f aca="false">IF(OR(LEFT($B194,4)="_Mil",SUM($Z194)=0),"",SUM($AD194)/$Z194)</f>
        <v>0</v>
      </c>
      <c r="AF194" s="39" t="str">
        <f aca="false">IF(LEFT($B194,4)="_Mil","",_xlfn.IFNA(ROUND(INDEX(Spectrum!$N:$N,MATCH(RIGHT($B194,13)&amp;"|"&amp;$C194&amp;"|"&amp;$D194&amp;"|"&amp;AF$14&amp;"|"&amp;"CY2023Q3",Spectrum!$R:$R,0)),0),""))</f>
        <v/>
      </c>
      <c r="AG194" s="88" t="str">
        <f aca="false">IF(OR(LEFT($B194,4)="_Mil",SUM($AD194)=0),"",SUM($AF194)/$AD194)</f>
        <v/>
      </c>
      <c r="AH194" s="86" t="str">
        <f aca="false">IF(LEFT($B194,4)="_Mil","",_xlfn.IFNA(INDEX(Spectrum!$N:$N,MATCH(RIGHT($B194,13)&amp;"|"&amp;$C194&amp;"|"&amp;$D194&amp;"|"&amp;AH$14&amp;"|"&amp;"CY2023Q3",Spectrum!$R:$R,0)),""))</f>
        <v/>
      </c>
      <c r="AI194" s="10" t="str">
        <f aca="false">IF(LEFT($B194,4)="_Mil","",_xlfn.IFNA(ROUND(INDEX(Spectrum!$N:$N,MATCH(RIGHT($B194,13)&amp;"|"&amp;$C194&amp;"|"&amp;$D194&amp;"|"&amp;AI$14&amp;"|"&amp;"CY2023Q3",Spectrum!$R:$R,0)),0),""))</f>
        <v/>
      </c>
      <c r="AJ194" s="39" t="n">
        <f aca="false">IF(LEFT($B194,4)="_Mil","",_xlfn.IFNA(ROUND(INDEX(Spectrum!$N:$N,MATCH(RIGHT($B194,13)&amp;"|"&amp;$C194&amp;"|"&amp;$D194&amp;"|"&amp;AI$14&amp;"|"&amp;"CY2023Q3",Spectrum!$R:$R,0)),0),SUM($U194)+SUM($AI194)))</f>
        <v>0</v>
      </c>
      <c r="AK194" s="10" t="str">
        <f aca="false">IF(LEFT($B194,4)="_Mil","",_xlfn.IFNA(ROUND(INDEX(Spectrum!$N:$N,MATCH(RIGHT($B194,13)&amp;"|"&amp;$C194&amp;"|"&amp;$D194&amp;"|"&amp;AK$14&amp;"|"&amp;"CY2023Q3",Spectrum!$R:$R,0)),0),""))</f>
        <v/>
      </c>
      <c r="AL194" s="88" t="n">
        <f aca="false">IF(OR(LEFT($B194,4)="_Mil",$C194="&lt;01"),"",MAX(SUM($AA194),90%))</f>
        <v>1913</v>
      </c>
      <c r="AM194" s="10" t="n">
        <f aca="false">IF(OR(LEFT($B194,4)="_Mil",$C194="&lt;01"),"",ROUND(SUM($AJ194)*SUM($AL194),0))</f>
        <v>0</v>
      </c>
      <c r="AN194" s="10" t="str">
        <f aca="false">IF($C194="&lt;01",ROUND(INDEX(EID!$P:$P,MATCH($B194,EID!$B:$B,0))/2,0),"")</f>
        <v/>
      </c>
      <c r="AO194" s="10" t="n">
        <f aca="false">IF($C194="&lt;01",SUM($AN194),ROUND(SUM($AM194)*SUM($O194)/IF(SUM($Z194)=0,1,$Z194),0))</f>
        <v>0</v>
      </c>
      <c r="AP194" s="39" t="n">
        <f aca="false">IF(OR($F194="",$C194="&lt;01"),$AO194,$F194)</f>
        <v>0</v>
      </c>
      <c r="AQ194" s="39" t="n">
        <f aca="false">IF(LEFT($B194,4)="_Mil","",IF(SUM($AP194)=0,SUM($Z194),IF(OR(SUM($Z194)=0,SUM($O194)=0),MAX($AP194,$Z194),$AP194*$Z194/$O194)))</f>
        <v>1546</v>
      </c>
      <c r="AR194" s="88" t="str">
        <f aca="false">IF(OR(LEFT($B194,4)="_Mil",SUM($AJ194)=0),"",SUM($AQ194)/$AJ194)</f>
        <v/>
      </c>
      <c r="AS194" s="88" t="n">
        <f aca="false">IF($C194="&lt;01","",98%)</f>
        <v>0.98</v>
      </c>
      <c r="AT194" s="88" t="n">
        <f aca="false">IF($C194="&lt;01","",98%)</f>
        <v>0.98</v>
      </c>
      <c r="AU194" s="10" t="n">
        <f aca="false">IF($C194="&lt;01","",SUM($AP194)-SUM($O194))</f>
        <v>0</v>
      </c>
      <c r="AV194" s="10" t="n">
        <f aca="false">IF($C194="&lt;01",ROUND(INDEX(EID!$N:$N,MATCH($B194,EID!$B:$B,0))/2,0),IF(SUM($AT194)=0,"",ROUND((SUM($AP194)-(SUM($O194)*SUM($AS194)))/$AT194,0)))</f>
        <v>0</v>
      </c>
      <c r="AW194" s="88" t="n">
        <f aca="false">IF($C194="&lt;01","",100%)</f>
        <v>1</v>
      </c>
      <c r="AX194" s="39" t="n">
        <f aca="false">IF($C194="&lt;01",SUM($AV194),ROUND(SUM($AV194)*SUM($AW194),0))</f>
        <v>0</v>
      </c>
      <c r="AY194" s="114" t="n">
        <f aca="false">IF($C194="&lt;01","",70%)</f>
        <v>0.7</v>
      </c>
      <c r="AZ194" s="91" t="n">
        <f aca="false">IF($C194="&lt;01",ROUND(INDEX(EID!$R:$R,MATCH($B194,EID!$B:$B,0))/2,0),ROUND(SUM($O194)+(SUM($AV194)*$AY194),0))</f>
        <v>0</v>
      </c>
      <c r="BA194" s="87" t="n">
        <f aca="false">IF($C194="&lt;01","",95%)</f>
        <v>0.95</v>
      </c>
      <c r="BB194" s="5" t="n">
        <f aca="false">IF($C194="&lt;01",ROUND(INDEX(EID!$T:$T,MATCH($B194,EID!$B:$B,0))/2,0),ROUND($AZ194*$BA194,0))</f>
        <v>0</v>
      </c>
      <c r="BC194" s="91" t="n">
        <f aca="false">IF(LEFT($B194,4)="_Mil","",IF(SUM($BB194)=0,SUM($AD194),IF(OR(SUM($AP194)=0,SUM($AQ194)=0),MAX($BB194,$AD194),ROUND($BB194*$AQ194/$AP194,0))))</f>
        <v>0</v>
      </c>
      <c r="BD194" s="88" t="n">
        <f aca="false">IF($C194="&lt;01","",95%)</f>
        <v>0.95</v>
      </c>
      <c r="BE194" s="39" t="n">
        <f aca="false">IF($C194="&lt;01",ROUND(INDEX(EID!$V:$V,MATCH($B194,EID!$B:$B,0))/2,0),ROUND($BD194*$BB194,0))</f>
        <v>0</v>
      </c>
      <c r="BF194" s="39" t="n">
        <f aca="false">IF(LEFT($B194,4)="_Mil","",IF(SUM($BE194)=0,SUM($AF194),IF(OR(SUM($AP194)=0,SUM($AQ194)=0),MAX($BE194,$AF194),ROUND($BE194*$AQ194/$AP194,0))))</f>
        <v>0</v>
      </c>
      <c r="BG194" s="114" t="n">
        <f aca="false">IF($C194="&lt;01","",95%)</f>
        <v>0.95</v>
      </c>
      <c r="BH194" s="5" t="n">
        <f aca="false">IF($C194="&lt;01",ROUND(INDEX(EID!$L:$L,MATCH($B194,EID!$B:$B,0)),0)/2,IF(SUM($BG194)=0,"",ROUND($AX194/$BG194,0)))</f>
        <v>0</v>
      </c>
    </row>
    <row r="195" customFormat="false" ht="15" hidden="false" customHeight="false" outlineLevel="0" collapsed="false">
      <c r="A195" s="0" t="str">
        <f aca="false">INDEX(Prioritization!$D:$D,MATCH($B195,Prioritization!$A:$A,0))</f>
        <v>INVALID</v>
      </c>
      <c r="B195" s="0" t="s">
        <v>206</v>
      </c>
      <c r="C195" s="0" t="s">
        <v>368</v>
      </c>
      <c r="D195" s="0" t="s">
        <v>30</v>
      </c>
      <c r="E195" s="0" t="str">
        <f aca="false">$B195&amp;"|"&amp;$C195&amp;"|"&amp;$D195</f>
        <v>Likoma District [ZCjuwgaMB9u]|50+|Female</v>
      </c>
      <c r="F195" s="10"/>
      <c r="G195" s="10"/>
      <c r="H195" s="10"/>
      <c r="I195" s="10"/>
      <c r="J195" s="10"/>
      <c r="K195" s="10"/>
      <c r="L195" s="10"/>
      <c r="M195" s="10"/>
      <c r="N195" s="10"/>
      <c r="O195" s="10" t="str">
        <f aca="false">IFERROR(1/(1/MAX($I195,$N195)),"")</f>
        <v/>
      </c>
      <c r="P195" s="10"/>
      <c r="Q195" s="10"/>
      <c r="R195" s="10" t="str">
        <f aca="false">IF(AND(SUM($I195)=0,SUM($O195)=0),"",SUM($O195)-$I195)</f>
        <v/>
      </c>
      <c r="S195" s="10" t="n">
        <f aca="false">IF(LEFT($B195,4)="_Mil","",_xlfn.IFNA(ROUND(INDEX(Spectrum!$N:$N,MATCH(RIGHT($B195,13)&amp;"|"&amp;$C195&amp;"|"&amp;$D195&amp;"|"&amp;S$14&amp;"|"&amp;"CY2022Q4",Spectrum!$R:$R,0)),0),""))</f>
        <v>1097</v>
      </c>
      <c r="T195" s="39" t="n">
        <f aca="false">IF(LEFT($B195,4)="_Mil","",_xlfn.IFNA(ROUND(INDEX(Spectrum!$N:$N,MATCH(RIGHT($B195,13)&amp;"|"&amp;$C195&amp;"|"&amp;$D195&amp;"|"&amp;T$14&amp;"|"&amp;"CY2023Q3",Spectrum!$R:$R,0)),0),""))</f>
        <v>1495</v>
      </c>
      <c r="U195" s="39" t="str">
        <f aca="false">IF(LEFT($B195,4)="_Mil","",_xlfn.IFNA(ROUND(INDEX(Spectrum!$N:$N,MATCH(RIGHT($B195,13)&amp;"|"&amp;$C195&amp;"|"&amp;$D195&amp;"|"&amp;U$14&amp;"|"&amp;"CY2023Q3",Spectrum!$R:$R,0)),0),""))</f>
        <v/>
      </c>
      <c r="V195" s="10" t="n">
        <f aca="false">IF(LEFT($B195,4)="_Mil","",_xlfn.IFNA(ROUND(INDEX(Spectrum!$N:$N,MATCH(RIGHT($B195,13)&amp;"|"&amp;$C195&amp;"|"&amp;$D195&amp;"|"&amp;V$14&amp;"|"&amp;"CY2023Q3",Spectrum!$R:$R,0)),0),""))</f>
        <v>1920</v>
      </c>
      <c r="W195" s="113" t="n">
        <f aca="false">IF(LEFT($B195,4)="_Mil","",_xlfn.IFNA(INDEX(Spectrum!$N:$N,MATCH(RIGHT($B195,13)&amp;"|"&amp;$C195&amp;"|"&amp;$D195&amp;"|"&amp;W$14&amp;"|"&amp;"CY2023Q3",Spectrum!$R:$R,0)),""))</f>
        <v>1443</v>
      </c>
      <c r="X195" s="39" t="n">
        <f aca="false">IF(LEFT($B195,4)="_Mil","",_xlfn.IFNA(ROUND(INDEX(Spectrum!$N:$N,MATCH(RIGHT($B195,13)&amp;"|"&amp;$C195&amp;"|"&amp;$D195&amp;"|"&amp;X$14&amp;"|"&amp;"CY2023Q3",Spectrum!$R:$R,0)),0),""))</f>
        <v>1997</v>
      </c>
      <c r="Y195" s="88" t="str">
        <f aca="false">IF(OR(SUM($U195)=0,LEFT($B195,4)="_Mil"),"",SUM($X195)/$U195)</f>
        <v/>
      </c>
      <c r="Z195" s="39" t="n">
        <f aca="false">IF(LEFT($B195,4)="_Mil","",_xlfn.IFNA(ROUND(INDEX(Spectrum!$N:$N,MATCH(RIGHT($B195,13)&amp;"|"&amp;$C195&amp;"|"&amp;$D195&amp;"|"&amp;Z$14&amp;"|"&amp;"CY2023Q3",Spectrum!$R:$R,0)),0),""))</f>
        <v>773</v>
      </c>
      <c r="AA195" s="88" t="n">
        <f aca="false">IF(LEFT($B195,4)="_Mil","",IFERROR(1/(1/INDEX(Spectrum!$N:$N,MATCH(RIGHT($B195,13)&amp;"|"&amp;$C195&amp;"|"&amp;$D195&amp;"|"&amp;AA$14&amp;"|"&amp;"CY2023Q3",Spectrum!$R:$R,0))),IF(SUM($U195)=0,"",SUM($Z195)/$U195)))</f>
        <v>1261</v>
      </c>
      <c r="AB195" s="88" t="n">
        <f aca="false">IF(OR(LEFT($B195,4)="_Mil",SUM($X195)=0),"",SUM($Z195)/$X195)</f>
        <v>0.387080620931397</v>
      </c>
      <c r="AC195" s="10" t="n">
        <f aca="false">IF(LEFT($B195,4)="_Mil","",_xlfn.IFNA(ROUND(INDEX(Spectrum!$N:$N,MATCH(RIGHT($B195,13)&amp;"|"&amp;$C195&amp;"|"&amp;$D195&amp;"|"&amp;AC$14&amp;"|"&amp;"CY2023Q3",Spectrum!$R:$R,0)),0),""))</f>
        <v>881</v>
      </c>
      <c r="AD195" s="10" t="str">
        <f aca="false">IF(LEFT($B195,4)="_Mil","",_xlfn.IFNA(ROUND(INDEX(Spectrum!$N:$N,MATCH(RIGHT($B195,13)&amp;"|"&amp;$C195&amp;"|"&amp;$D195&amp;"|"&amp;AD$14&amp;"|"&amp;"CY2023Q3",Spectrum!$R:$R,0)),0),""))</f>
        <v/>
      </c>
      <c r="AE195" s="88" t="n">
        <f aca="false">IF(OR(LEFT($B195,4)="_Mil",SUM($Z195)=0),"",SUM($AD195)/$Z195)</f>
        <v>0</v>
      </c>
      <c r="AF195" s="39" t="str">
        <f aca="false">IF(LEFT($B195,4)="_Mil","",_xlfn.IFNA(ROUND(INDEX(Spectrum!$N:$N,MATCH(RIGHT($B195,13)&amp;"|"&amp;$C195&amp;"|"&amp;$D195&amp;"|"&amp;AF$14&amp;"|"&amp;"CY2023Q3",Spectrum!$R:$R,0)),0),""))</f>
        <v/>
      </c>
      <c r="AG195" s="88" t="str">
        <f aca="false">IF(OR(LEFT($B195,4)="_Mil",SUM($AD195)=0),"",SUM($AF195)/$AD195)</f>
        <v/>
      </c>
      <c r="AH195" s="86" t="str">
        <f aca="false">IF(LEFT($B195,4)="_Mil","",_xlfn.IFNA(INDEX(Spectrum!$N:$N,MATCH(RIGHT($B195,13)&amp;"|"&amp;$C195&amp;"|"&amp;$D195&amp;"|"&amp;AH$14&amp;"|"&amp;"CY2023Q3",Spectrum!$R:$R,0)),""))</f>
        <v/>
      </c>
      <c r="AI195" s="10" t="str">
        <f aca="false">IF(LEFT($B195,4)="_Mil","",_xlfn.IFNA(ROUND(INDEX(Spectrum!$N:$N,MATCH(RIGHT($B195,13)&amp;"|"&amp;$C195&amp;"|"&amp;$D195&amp;"|"&amp;AI$14&amp;"|"&amp;"CY2023Q3",Spectrum!$R:$R,0)),0),""))</f>
        <v/>
      </c>
      <c r="AJ195" s="39" t="n">
        <f aca="false">IF(LEFT($B195,4)="_Mil","",_xlfn.IFNA(ROUND(INDEX(Spectrum!$N:$N,MATCH(RIGHT($B195,13)&amp;"|"&amp;$C195&amp;"|"&amp;$D195&amp;"|"&amp;AI$14&amp;"|"&amp;"CY2023Q3",Spectrum!$R:$R,0)),0),SUM($U195)+SUM($AI195)))</f>
        <v>0</v>
      </c>
      <c r="AK195" s="10" t="str">
        <f aca="false">IF(LEFT($B195,4)="_Mil","",_xlfn.IFNA(ROUND(INDEX(Spectrum!$N:$N,MATCH(RIGHT($B195,13)&amp;"|"&amp;$C195&amp;"|"&amp;$D195&amp;"|"&amp;AK$14&amp;"|"&amp;"CY2023Q3",Spectrum!$R:$R,0)),0),""))</f>
        <v/>
      </c>
      <c r="AL195" s="88" t="n">
        <f aca="false">IF(OR(LEFT($B195,4)="_Mil",$C195="&lt;01"),"",MAX(SUM($AA195),90%))</f>
        <v>1261</v>
      </c>
      <c r="AM195" s="10" t="n">
        <f aca="false">IF(OR(LEFT($B195,4)="_Mil",$C195="&lt;01"),"",ROUND(SUM($AJ195)*SUM($AL195),0))</f>
        <v>0</v>
      </c>
      <c r="AN195" s="10" t="str">
        <f aca="false">IF($C195="&lt;01",ROUND(INDEX(EID!$P:$P,MATCH($B195,EID!$B:$B,0))/2,0),"")</f>
        <v/>
      </c>
      <c r="AO195" s="10" t="n">
        <f aca="false">IF($C195="&lt;01",SUM($AN195),ROUND(SUM($AM195)*SUM($O195)/IF(SUM($Z195)=0,1,$Z195),0))</f>
        <v>0</v>
      </c>
      <c r="AP195" s="39" t="n">
        <f aca="false">IF(OR($F195="",$C195="&lt;01"),$AO195,$F195)</f>
        <v>0</v>
      </c>
      <c r="AQ195" s="39" t="n">
        <f aca="false">IF(LEFT($B195,4)="_Mil","",IF(SUM($AP195)=0,SUM($Z195),IF(OR(SUM($Z195)=0,SUM($O195)=0),MAX($AP195,$Z195),$AP195*$Z195/$O195)))</f>
        <v>773</v>
      </c>
      <c r="AR195" s="88" t="str">
        <f aca="false">IF(OR(LEFT($B195,4)="_Mil",SUM($AJ195)=0),"",SUM($AQ195)/$AJ195)</f>
        <v/>
      </c>
      <c r="AS195" s="88" t="n">
        <f aca="false">IF($C195="&lt;01","",98%)</f>
        <v>0.98</v>
      </c>
      <c r="AT195" s="88" t="n">
        <f aca="false">IF($C195="&lt;01","",98%)</f>
        <v>0.98</v>
      </c>
      <c r="AU195" s="10" t="n">
        <f aca="false">IF($C195="&lt;01","",SUM($AP195)-SUM($O195))</f>
        <v>0</v>
      </c>
      <c r="AV195" s="10" t="n">
        <f aca="false">IF($C195="&lt;01",ROUND(INDEX(EID!$N:$N,MATCH($B195,EID!$B:$B,0))/2,0),IF(SUM($AT195)=0,"",ROUND((SUM($AP195)-(SUM($O195)*SUM($AS195)))/$AT195,0)))</f>
        <v>0</v>
      </c>
      <c r="AW195" s="88" t="n">
        <f aca="false">IF($C195="&lt;01","",100%)</f>
        <v>1</v>
      </c>
      <c r="AX195" s="39" t="n">
        <f aca="false">IF($C195="&lt;01",SUM($AV195),ROUND(SUM($AV195)*SUM($AW195),0))</f>
        <v>0</v>
      </c>
      <c r="AY195" s="114" t="n">
        <f aca="false">IF($C195="&lt;01","",70%)</f>
        <v>0.7</v>
      </c>
      <c r="AZ195" s="91" t="n">
        <f aca="false">IF($C195="&lt;01",ROUND(INDEX(EID!$R:$R,MATCH($B195,EID!$B:$B,0))/2,0),ROUND(SUM($O195)+(SUM($AV195)*$AY195),0))</f>
        <v>0</v>
      </c>
      <c r="BA195" s="87" t="n">
        <f aca="false">IF($C195="&lt;01","",95%)</f>
        <v>0.95</v>
      </c>
      <c r="BB195" s="5" t="n">
        <f aca="false">IF($C195="&lt;01",ROUND(INDEX(EID!$T:$T,MATCH($B195,EID!$B:$B,0))/2,0),ROUND($AZ195*$BA195,0))</f>
        <v>0</v>
      </c>
      <c r="BC195" s="91" t="n">
        <f aca="false">IF(LEFT($B195,4)="_Mil","",IF(SUM($BB195)=0,SUM($AD195),IF(OR(SUM($AP195)=0,SUM($AQ195)=0),MAX($BB195,$AD195),ROUND($BB195*$AQ195/$AP195,0))))</f>
        <v>0</v>
      </c>
      <c r="BD195" s="88" t="n">
        <f aca="false">IF($C195="&lt;01","",95%)</f>
        <v>0.95</v>
      </c>
      <c r="BE195" s="39" t="n">
        <f aca="false">IF($C195="&lt;01",ROUND(INDEX(EID!$V:$V,MATCH($B195,EID!$B:$B,0))/2,0),ROUND($BD195*$BB195,0))</f>
        <v>0</v>
      </c>
      <c r="BF195" s="39" t="n">
        <f aca="false">IF(LEFT($B195,4)="_Mil","",IF(SUM($BE195)=0,SUM($AF195),IF(OR(SUM($AP195)=0,SUM($AQ195)=0),MAX($BE195,$AF195),ROUND($BE195*$AQ195/$AP195,0))))</f>
        <v>0</v>
      </c>
      <c r="BG195" s="114" t="n">
        <f aca="false">IF($C195="&lt;01","",95%)</f>
        <v>0.95</v>
      </c>
      <c r="BH195" s="5" t="n">
        <f aca="false">IF($C195="&lt;01",ROUND(INDEX(EID!$L:$L,MATCH($B195,EID!$B:$B,0)),0)/2,IF(SUM($BG195)=0,"",ROUND($AX195/$BG195,0)))</f>
        <v>0</v>
      </c>
    </row>
    <row r="196" customFormat="false" ht="15" hidden="false" customHeight="false" outlineLevel="0" collapsed="false">
      <c r="A196" s="0" t="str">
        <f aca="false">INDEX(Prioritization!$D:$D,MATCH($B196,Prioritization!$A:$A,0))</f>
        <v>INVALID</v>
      </c>
      <c r="B196" s="0" t="s">
        <v>206</v>
      </c>
      <c r="C196" s="0" t="s">
        <v>368</v>
      </c>
      <c r="D196" s="0" t="s">
        <v>48</v>
      </c>
      <c r="E196" s="0" t="str">
        <f aca="false">$B196&amp;"|"&amp;$C196&amp;"|"&amp;$D196</f>
        <v>Likoma District [ZCjuwgaMB9u]|50+|Male</v>
      </c>
      <c r="F196" s="10"/>
      <c r="G196" s="10"/>
      <c r="H196" s="10"/>
      <c r="I196" s="10"/>
      <c r="J196" s="10"/>
      <c r="K196" s="10"/>
      <c r="L196" s="10"/>
      <c r="M196" s="10"/>
      <c r="N196" s="10"/>
      <c r="O196" s="10" t="str">
        <f aca="false">IFERROR(1/(1/MAX($I196,$N196)),"")</f>
        <v/>
      </c>
      <c r="P196" s="10"/>
      <c r="Q196" s="10"/>
      <c r="R196" s="10" t="str">
        <f aca="false">IF(AND(SUM($I196)=0,SUM($O196)=0),"",SUM($O196)-$I196)</f>
        <v/>
      </c>
      <c r="S196" s="10" t="n">
        <f aca="false">IF(LEFT($B196,4)="_Mil","",_xlfn.IFNA(ROUND(INDEX(Spectrum!$N:$N,MATCH(RIGHT($B196,13)&amp;"|"&amp;$C196&amp;"|"&amp;$D196&amp;"|"&amp;S$14&amp;"|"&amp;"CY2022Q4",Spectrum!$R:$R,0)),0),""))</f>
        <v>1514</v>
      </c>
      <c r="T196" s="39" t="n">
        <f aca="false">IF(LEFT($B196,4)="_Mil","",_xlfn.IFNA(ROUND(INDEX(Spectrum!$N:$N,MATCH(RIGHT($B196,13)&amp;"|"&amp;$C196&amp;"|"&amp;$D196&amp;"|"&amp;T$14&amp;"|"&amp;"CY2023Q3",Spectrum!$R:$R,0)),0),""))</f>
        <v>534</v>
      </c>
      <c r="U196" s="39" t="str">
        <f aca="false">IF(LEFT($B196,4)="_Mil","",_xlfn.IFNA(ROUND(INDEX(Spectrum!$N:$N,MATCH(RIGHT($B196,13)&amp;"|"&amp;$C196&amp;"|"&amp;$D196&amp;"|"&amp;U$14&amp;"|"&amp;"CY2023Q3",Spectrum!$R:$R,0)),0),""))</f>
        <v/>
      </c>
      <c r="V196" s="10" t="n">
        <f aca="false">IF(LEFT($B196,4)="_Mil","",_xlfn.IFNA(ROUND(INDEX(Spectrum!$N:$N,MATCH(RIGHT($B196,13)&amp;"|"&amp;$C196&amp;"|"&amp;$D196&amp;"|"&amp;V$14&amp;"|"&amp;"CY2023Q3",Spectrum!$R:$R,0)),0),""))</f>
        <v>917</v>
      </c>
      <c r="W196" s="113" t="n">
        <f aca="false">IF(LEFT($B196,4)="_Mil","",_xlfn.IFNA(INDEX(Spectrum!$N:$N,MATCH(RIGHT($B196,13)&amp;"|"&amp;$C196&amp;"|"&amp;$D196&amp;"|"&amp;W$14&amp;"|"&amp;"CY2023Q3",Spectrum!$R:$R,0)),""))</f>
        <v>1541</v>
      </c>
      <c r="X196" s="39" t="n">
        <f aca="false">IF(LEFT($B196,4)="_Mil","",_xlfn.IFNA(ROUND(INDEX(Spectrum!$N:$N,MATCH(RIGHT($B196,13)&amp;"|"&amp;$C196&amp;"|"&amp;$D196&amp;"|"&amp;X$14&amp;"|"&amp;"CY2023Q3",Spectrum!$R:$R,0)),0),""))</f>
        <v>574</v>
      </c>
      <c r="Y196" s="88" t="str">
        <f aca="false">IF(OR(SUM($U196)=0,LEFT($B196,4)="_Mil"),"",SUM($X196)/$U196)</f>
        <v/>
      </c>
      <c r="Z196" s="39" t="n">
        <f aca="false">IF(LEFT($B196,4)="_Mil","",_xlfn.IFNA(ROUND(INDEX(Spectrum!$N:$N,MATCH(RIGHT($B196,13)&amp;"|"&amp;$C196&amp;"|"&amp;$D196&amp;"|"&amp;Z$14&amp;"|"&amp;"CY2023Q3",Spectrum!$R:$R,0)),0),""))</f>
        <v>1388</v>
      </c>
      <c r="AA196" s="88" t="n">
        <f aca="false">IF(LEFT($B196,4)="_Mil","",IFERROR(1/(1/INDEX(Spectrum!$N:$N,MATCH(RIGHT($B196,13)&amp;"|"&amp;$C196&amp;"|"&amp;$D196&amp;"|"&amp;AA$14&amp;"|"&amp;"CY2023Q3",Spectrum!$R:$R,0))),IF(SUM($U196)=0,"",SUM($Z196)/$U196)))</f>
        <v>1918</v>
      </c>
      <c r="AB196" s="88" t="n">
        <f aca="false">IF(OR(LEFT($B196,4)="_Mil",SUM($X196)=0),"",SUM($Z196)/$X196)</f>
        <v>2.41811846689895</v>
      </c>
      <c r="AC196" s="10" t="n">
        <f aca="false">IF(LEFT($B196,4)="_Mil","",_xlfn.IFNA(ROUND(INDEX(Spectrum!$N:$N,MATCH(RIGHT($B196,13)&amp;"|"&amp;$C196&amp;"|"&amp;$D196&amp;"|"&amp;AC$14&amp;"|"&amp;"CY2023Q3",Spectrum!$R:$R,0)),0),""))</f>
        <v>1794</v>
      </c>
      <c r="AD196" s="10" t="str">
        <f aca="false">IF(LEFT($B196,4)="_Mil","",_xlfn.IFNA(ROUND(INDEX(Spectrum!$N:$N,MATCH(RIGHT($B196,13)&amp;"|"&amp;$C196&amp;"|"&amp;$D196&amp;"|"&amp;AD$14&amp;"|"&amp;"CY2023Q3",Spectrum!$R:$R,0)),0),""))</f>
        <v/>
      </c>
      <c r="AE196" s="88" t="n">
        <f aca="false">IF(OR(LEFT($B196,4)="_Mil",SUM($Z196)=0),"",SUM($AD196)/$Z196)</f>
        <v>0</v>
      </c>
      <c r="AF196" s="39" t="str">
        <f aca="false">IF(LEFT($B196,4)="_Mil","",_xlfn.IFNA(ROUND(INDEX(Spectrum!$N:$N,MATCH(RIGHT($B196,13)&amp;"|"&amp;$C196&amp;"|"&amp;$D196&amp;"|"&amp;AF$14&amp;"|"&amp;"CY2023Q3",Spectrum!$R:$R,0)),0),""))</f>
        <v/>
      </c>
      <c r="AG196" s="88" t="str">
        <f aca="false">IF(OR(LEFT($B196,4)="_Mil",SUM($AD196)=0),"",SUM($AF196)/$AD196)</f>
        <v/>
      </c>
      <c r="AH196" s="86" t="str">
        <f aca="false">IF(LEFT($B196,4)="_Mil","",_xlfn.IFNA(INDEX(Spectrum!$N:$N,MATCH(RIGHT($B196,13)&amp;"|"&amp;$C196&amp;"|"&amp;$D196&amp;"|"&amp;AH$14&amp;"|"&amp;"CY2023Q3",Spectrum!$R:$R,0)),""))</f>
        <v/>
      </c>
      <c r="AI196" s="10" t="str">
        <f aca="false">IF(LEFT($B196,4)="_Mil","",_xlfn.IFNA(ROUND(INDEX(Spectrum!$N:$N,MATCH(RIGHT($B196,13)&amp;"|"&amp;$C196&amp;"|"&amp;$D196&amp;"|"&amp;AI$14&amp;"|"&amp;"CY2023Q3",Spectrum!$R:$R,0)),0),""))</f>
        <v/>
      </c>
      <c r="AJ196" s="39" t="n">
        <f aca="false">IF(LEFT($B196,4)="_Mil","",_xlfn.IFNA(ROUND(INDEX(Spectrum!$N:$N,MATCH(RIGHT($B196,13)&amp;"|"&amp;$C196&amp;"|"&amp;$D196&amp;"|"&amp;AI$14&amp;"|"&amp;"CY2023Q3",Spectrum!$R:$R,0)),0),SUM($U196)+SUM($AI196)))</f>
        <v>0</v>
      </c>
      <c r="AK196" s="10" t="str">
        <f aca="false">IF(LEFT($B196,4)="_Mil","",_xlfn.IFNA(ROUND(INDEX(Spectrum!$N:$N,MATCH(RIGHT($B196,13)&amp;"|"&amp;$C196&amp;"|"&amp;$D196&amp;"|"&amp;AK$14&amp;"|"&amp;"CY2023Q3",Spectrum!$R:$R,0)),0),""))</f>
        <v/>
      </c>
      <c r="AL196" s="88" t="n">
        <f aca="false">IF(OR(LEFT($B196,4)="_Mil",$C196="&lt;01"),"",MAX(SUM($AA196),90%))</f>
        <v>1918</v>
      </c>
      <c r="AM196" s="10" t="n">
        <f aca="false">IF(OR(LEFT($B196,4)="_Mil",$C196="&lt;01"),"",ROUND(SUM($AJ196)*SUM($AL196),0))</f>
        <v>0</v>
      </c>
      <c r="AN196" s="10" t="str">
        <f aca="false">IF($C196="&lt;01",ROUND(INDEX(EID!$P:$P,MATCH($B196,EID!$B:$B,0))/2,0),"")</f>
        <v/>
      </c>
      <c r="AO196" s="10" t="n">
        <f aca="false">IF($C196="&lt;01",SUM($AN196),ROUND(SUM($AM196)*SUM($O196)/IF(SUM($Z196)=0,1,$Z196),0))</f>
        <v>0</v>
      </c>
      <c r="AP196" s="39" t="n">
        <f aca="false">IF(OR($F196="",$C196="&lt;01"),$AO196,$F196)</f>
        <v>0</v>
      </c>
      <c r="AQ196" s="39" t="n">
        <f aca="false">IF(LEFT($B196,4)="_Mil","",IF(SUM($AP196)=0,SUM($Z196),IF(OR(SUM($Z196)=0,SUM($O196)=0),MAX($AP196,$Z196),$AP196*$Z196/$O196)))</f>
        <v>1388</v>
      </c>
      <c r="AR196" s="88" t="str">
        <f aca="false">IF(OR(LEFT($B196,4)="_Mil",SUM($AJ196)=0),"",SUM($AQ196)/$AJ196)</f>
        <v/>
      </c>
      <c r="AS196" s="88" t="n">
        <f aca="false">IF($C196="&lt;01","",98%)</f>
        <v>0.98</v>
      </c>
      <c r="AT196" s="88" t="n">
        <f aca="false">IF($C196="&lt;01","",98%)</f>
        <v>0.98</v>
      </c>
      <c r="AU196" s="10" t="n">
        <f aca="false">IF($C196="&lt;01","",SUM($AP196)-SUM($O196))</f>
        <v>0</v>
      </c>
      <c r="AV196" s="10" t="n">
        <f aca="false">IF($C196="&lt;01",ROUND(INDEX(EID!$N:$N,MATCH($B196,EID!$B:$B,0))/2,0),IF(SUM($AT196)=0,"",ROUND((SUM($AP196)-(SUM($O196)*SUM($AS196)))/$AT196,0)))</f>
        <v>0</v>
      </c>
      <c r="AW196" s="88" t="n">
        <f aca="false">IF($C196="&lt;01","",100%)</f>
        <v>1</v>
      </c>
      <c r="AX196" s="39" t="n">
        <f aca="false">IF($C196="&lt;01",SUM($AV196),ROUND(SUM($AV196)*SUM($AW196),0))</f>
        <v>0</v>
      </c>
      <c r="AY196" s="114" t="n">
        <f aca="false">IF($C196="&lt;01","",70%)</f>
        <v>0.7</v>
      </c>
      <c r="AZ196" s="91" t="n">
        <f aca="false">IF($C196="&lt;01",ROUND(INDEX(EID!$R:$R,MATCH($B196,EID!$B:$B,0))/2,0),ROUND(SUM($O196)+(SUM($AV196)*$AY196),0))</f>
        <v>0</v>
      </c>
      <c r="BA196" s="87" t="n">
        <f aca="false">IF($C196="&lt;01","",95%)</f>
        <v>0.95</v>
      </c>
      <c r="BB196" s="5" t="n">
        <f aca="false">IF($C196="&lt;01",ROUND(INDEX(EID!$T:$T,MATCH($B196,EID!$B:$B,0))/2,0),ROUND($AZ196*$BA196,0))</f>
        <v>0</v>
      </c>
      <c r="BC196" s="91" t="n">
        <f aca="false">IF(LEFT($B196,4)="_Mil","",IF(SUM($BB196)=0,SUM($AD196),IF(OR(SUM($AP196)=0,SUM($AQ196)=0),MAX($BB196,$AD196),ROUND($BB196*$AQ196/$AP196,0))))</f>
        <v>0</v>
      </c>
      <c r="BD196" s="88" t="n">
        <f aca="false">IF($C196="&lt;01","",95%)</f>
        <v>0.95</v>
      </c>
      <c r="BE196" s="39" t="n">
        <f aca="false">IF($C196="&lt;01",ROUND(INDEX(EID!$V:$V,MATCH($B196,EID!$B:$B,0))/2,0),ROUND($BD196*$BB196,0))</f>
        <v>0</v>
      </c>
      <c r="BF196" s="39" t="n">
        <f aca="false">IF(LEFT($B196,4)="_Mil","",IF(SUM($BE196)=0,SUM($AF196),IF(OR(SUM($AP196)=0,SUM($AQ196)=0),MAX($BE196,$AF196),ROUND($BE196*$AQ196/$AP196,0))))</f>
        <v>0</v>
      </c>
      <c r="BG196" s="114" t="n">
        <f aca="false">IF($C196="&lt;01","",95%)</f>
        <v>0.95</v>
      </c>
      <c r="BH196" s="5" t="n">
        <f aca="false">IF($C196="&lt;01",ROUND(INDEX(EID!$L:$L,MATCH($B196,EID!$B:$B,0)),0)/2,IF(SUM($BG196)=0,"",ROUND($AX196/$BG196,0)))</f>
        <v>0</v>
      </c>
    </row>
    <row r="197" customFormat="false" ht="15" hidden="false" customHeight="false" outlineLevel="0" collapsed="false">
      <c r="A197" s="0" t="str">
        <f aca="false">INDEX(Prioritization!$D:$D,MATCH($B197,Prioritization!$A:$A,0))</f>
        <v>1 - Scale-up: Saturation</v>
      </c>
      <c r="B197" s="0" t="s">
        <v>207</v>
      </c>
      <c r="C197" s="0" t="s">
        <v>316</v>
      </c>
      <c r="D197" s="0" t="s">
        <v>30</v>
      </c>
      <c r="E197" s="0" t="str">
        <f aca="false">$B197&amp;"|"&amp;$C197&amp;"|"&amp;$D197</f>
        <v>Mzimba District [vA4NcHxfMBq]|&lt;01|Female</v>
      </c>
      <c r="F197" s="10"/>
      <c r="G197" s="10" t="n">
        <v>98</v>
      </c>
      <c r="H197" s="10" t="n">
        <v>3</v>
      </c>
      <c r="I197" s="10" t="n">
        <v>2</v>
      </c>
      <c r="J197" s="10" t="n">
        <v>1</v>
      </c>
      <c r="K197" s="10" t="n">
        <v>3</v>
      </c>
      <c r="L197" s="10"/>
      <c r="M197" s="10" t="n">
        <v>4</v>
      </c>
      <c r="N197" s="10" t="n">
        <v>7</v>
      </c>
      <c r="O197" s="10" t="n">
        <f aca="false">IFERROR(1/(1/MAX($I197,$N197)),"")</f>
        <v>7</v>
      </c>
      <c r="P197" s="10" t="n">
        <v>10</v>
      </c>
      <c r="Q197" s="10" t="n">
        <v>7</v>
      </c>
      <c r="R197" s="10" t="n">
        <f aca="false">IF(AND(SUM($I197)=0,SUM($O197)=0),"",SUM($O197)-$I197)</f>
        <v>5</v>
      </c>
      <c r="S197" s="10" t="n">
        <f aca="false">IF(LEFT($B197,4)="_Mil","",_xlfn.IFNA(ROUND(INDEX(Spectrum!$N:$N,MATCH(RIGHT($B197,13)&amp;"|"&amp;$C197&amp;"|"&amp;$D197&amp;"|"&amp;S$14&amp;"|"&amp;"CY2022Q4",Spectrum!$R:$R,0)),0),""))</f>
        <v>709</v>
      </c>
      <c r="T197" s="39" t="n">
        <f aca="false">IF(LEFT($B197,4)="_Mil","",_xlfn.IFNA(ROUND(INDEX(Spectrum!$N:$N,MATCH(RIGHT($B197,13)&amp;"|"&amp;$C197&amp;"|"&amp;$D197&amp;"|"&amp;T$14&amp;"|"&amp;"CY2023Q3",Spectrum!$R:$R,0)),0),""))</f>
        <v>1893</v>
      </c>
      <c r="U197" s="39" t="str">
        <f aca="false">IF(LEFT($B197,4)="_Mil","",_xlfn.IFNA(ROUND(INDEX(Spectrum!$N:$N,MATCH(RIGHT($B197,13)&amp;"|"&amp;$C197&amp;"|"&amp;$D197&amp;"|"&amp;U$14&amp;"|"&amp;"CY2023Q3",Spectrum!$R:$R,0)),0),""))</f>
        <v/>
      </c>
      <c r="V197" s="10" t="n">
        <f aca="false">IF(LEFT($B197,4)="_Mil","",_xlfn.IFNA(ROUND(INDEX(Spectrum!$N:$N,MATCH(RIGHT($B197,13)&amp;"|"&amp;$C197&amp;"|"&amp;$D197&amp;"|"&amp;V$14&amp;"|"&amp;"CY2023Q3",Spectrum!$R:$R,0)),0),""))</f>
        <v>1902</v>
      </c>
      <c r="W197" s="113" t="n">
        <f aca="false">IF(LEFT($B197,4)="_Mil","",_xlfn.IFNA(INDEX(Spectrum!$N:$N,MATCH(RIGHT($B197,13)&amp;"|"&amp;$C197&amp;"|"&amp;$D197&amp;"|"&amp;W$14&amp;"|"&amp;"CY2023Q3",Spectrum!$R:$R,0)),""))</f>
        <v>1416</v>
      </c>
      <c r="X197" s="39" t="n">
        <f aca="false">IF(LEFT($B197,4)="_Mil","",_xlfn.IFNA(ROUND(INDEX(Spectrum!$N:$N,MATCH(RIGHT($B197,13)&amp;"|"&amp;$C197&amp;"|"&amp;$D197&amp;"|"&amp;X$14&amp;"|"&amp;"CY2023Q3",Spectrum!$R:$R,0)),0),""))</f>
        <v>1932</v>
      </c>
      <c r="Y197" s="88" t="str">
        <f aca="false">IF(OR(SUM($U197)=0,LEFT($B197,4)="_Mil"),"",SUM($X197)/$U197)</f>
        <v/>
      </c>
      <c r="Z197" s="39" t="n">
        <f aca="false">IF(LEFT($B197,4)="_Mil","",_xlfn.IFNA(ROUND(INDEX(Spectrum!$N:$N,MATCH(RIGHT($B197,13)&amp;"|"&amp;$C197&amp;"|"&amp;$D197&amp;"|"&amp;Z$14&amp;"|"&amp;"CY2023Q3",Spectrum!$R:$R,0)),0),""))</f>
        <v>1903</v>
      </c>
      <c r="AA197" s="88" t="n">
        <f aca="false">IF(LEFT($B197,4)="_Mil","",IFERROR(1/(1/INDEX(Spectrum!$N:$N,MATCH(RIGHT($B197,13)&amp;"|"&amp;$C197&amp;"|"&amp;$D197&amp;"|"&amp;AA$14&amp;"|"&amp;"CY2023Q3",Spectrum!$R:$R,0))),IF(SUM($U197)=0,"",SUM($Z197)/$U197)))</f>
        <v>1980</v>
      </c>
      <c r="AB197" s="88" t="n">
        <f aca="false">IF(OR(LEFT($B197,4)="_Mil",SUM($X197)=0),"",SUM($Z197)/$X197)</f>
        <v>0.984989648033126</v>
      </c>
      <c r="AC197" s="10" t="n">
        <f aca="false">IF(LEFT($B197,4)="_Mil","",_xlfn.IFNA(ROUND(INDEX(Spectrum!$N:$N,MATCH(RIGHT($B197,13)&amp;"|"&amp;$C197&amp;"|"&amp;$D197&amp;"|"&amp;AC$14&amp;"|"&amp;"CY2023Q3",Spectrum!$R:$R,0)),0),""))</f>
        <v>1174</v>
      </c>
      <c r="AD197" s="10" t="str">
        <f aca="false">IF(LEFT($B197,4)="_Mil","",_xlfn.IFNA(ROUND(INDEX(Spectrum!$N:$N,MATCH(RIGHT($B197,13)&amp;"|"&amp;$C197&amp;"|"&amp;$D197&amp;"|"&amp;AD$14&amp;"|"&amp;"CY2023Q3",Spectrum!$R:$R,0)),0),""))</f>
        <v/>
      </c>
      <c r="AE197" s="88" t="n">
        <f aca="false">IF(OR(LEFT($B197,4)="_Mil",SUM($Z197)=0),"",SUM($AD197)/$Z197)</f>
        <v>0</v>
      </c>
      <c r="AF197" s="39" t="str">
        <f aca="false">IF(LEFT($B197,4)="_Mil","",_xlfn.IFNA(ROUND(INDEX(Spectrum!$N:$N,MATCH(RIGHT($B197,13)&amp;"|"&amp;$C197&amp;"|"&amp;$D197&amp;"|"&amp;AF$14&amp;"|"&amp;"CY2023Q3",Spectrum!$R:$R,0)),0),""))</f>
        <v/>
      </c>
      <c r="AG197" s="88" t="str">
        <f aca="false">IF(OR(LEFT($B197,4)="_Mil",SUM($AD197)=0),"",SUM($AF197)/$AD197)</f>
        <v/>
      </c>
      <c r="AH197" s="86" t="str">
        <f aca="false">IF(LEFT($B197,4)="_Mil","",_xlfn.IFNA(INDEX(Spectrum!$N:$N,MATCH(RIGHT($B197,13)&amp;"|"&amp;$C197&amp;"|"&amp;$D197&amp;"|"&amp;AH$14&amp;"|"&amp;"CY2023Q3",Spectrum!$R:$R,0)),""))</f>
        <v/>
      </c>
      <c r="AI197" s="10" t="str">
        <f aca="false">IF(LEFT($B197,4)="_Mil","",_xlfn.IFNA(ROUND(INDEX(Spectrum!$N:$N,MATCH(RIGHT($B197,13)&amp;"|"&amp;$C197&amp;"|"&amp;$D197&amp;"|"&amp;AI$14&amp;"|"&amp;"CY2023Q3",Spectrum!$R:$R,0)),0),""))</f>
        <v/>
      </c>
      <c r="AJ197" s="39" t="n">
        <f aca="false">IF(LEFT($B197,4)="_Mil","",_xlfn.IFNA(ROUND(INDEX(Spectrum!$N:$N,MATCH(RIGHT($B197,13)&amp;"|"&amp;$C197&amp;"|"&amp;$D197&amp;"|"&amp;AI$14&amp;"|"&amp;"CY2023Q3",Spectrum!$R:$R,0)),0),SUM($U197)+SUM($AI197)))</f>
        <v>0</v>
      </c>
      <c r="AK197" s="10" t="str">
        <f aca="false">IF(LEFT($B197,4)="_Mil","",_xlfn.IFNA(ROUND(INDEX(Spectrum!$N:$N,MATCH(RIGHT($B197,13)&amp;"|"&amp;$C197&amp;"|"&amp;$D197&amp;"|"&amp;AK$14&amp;"|"&amp;"CY2023Q3",Spectrum!$R:$R,0)),0),""))</f>
        <v/>
      </c>
      <c r="AL197" s="88" t="str">
        <f aca="false">IF(OR(LEFT($B197,4)="_Mil",$C197="&lt;01"),"",MAX(SUM($AA197),90%))</f>
        <v/>
      </c>
      <c r="AM197" s="10" t="str">
        <f aca="false">IF(OR(LEFT($B197,4)="_Mil",$C197="&lt;01"),"",ROUND(SUM($AJ197)*SUM($AL197),0))</f>
        <v/>
      </c>
      <c r="AN197" s="10" t="n">
        <f aca="false">IF($C197="&lt;01",ROUND(INDEX(EID!$P:$P,MATCH($B197,EID!$B:$B,0))/2,0),"")</f>
        <v>0</v>
      </c>
      <c r="AO197" s="10" t="n">
        <f aca="false">IF($C197="&lt;01",SUM($AN197),ROUND(SUM($AM197)*SUM($O197)/IF(SUM($Z197)=0,1,$Z197),0))</f>
        <v>0</v>
      </c>
      <c r="AP197" s="39" t="n">
        <f aca="false">IF(OR($F197="",$C197="&lt;01"),$AO197,$F197)</f>
        <v>0</v>
      </c>
      <c r="AQ197" s="39" t="n">
        <f aca="false">IF(LEFT($B197,4)="_Mil","",IF(SUM($AP197)=0,SUM($Z197),IF(OR(SUM($Z197)=0,SUM($O197)=0),MAX($AP197,$Z197),$AP197*$Z197/$O197)))</f>
        <v>1903</v>
      </c>
      <c r="AR197" s="88" t="str">
        <f aca="false">IF(OR(LEFT($B197,4)="_Mil",SUM($AJ197)=0),"",SUM($AQ197)/$AJ197)</f>
        <v/>
      </c>
      <c r="AS197" s="88" t="str">
        <f aca="false">IF($C197="&lt;01","",98%)</f>
        <v/>
      </c>
      <c r="AT197" s="88" t="str">
        <f aca="false">IF($C197="&lt;01","",98%)</f>
        <v/>
      </c>
      <c r="AU197" s="10" t="str">
        <f aca="false">IF($C197="&lt;01","",SUM($AP197)-SUM($O197))</f>
        <v/>
      </c>
      <c r="AV197" s="10" t="n">
        <f aca="false">IF($C197="&lt;01",ROUND(INDEX(EID!$N:$N,MATCH($B197,EID!$B:$B,0))/2,0),IF(SUM($AT197)=0,"",ROUND((SUM($AP197)-(SUM($O197)*SUM($AS197)))/$AT197,0)))</f>
        <v>0</v>
      </c>
      <c r="AW197" s="88" t="str">
        <f aca="false">IF($C197="&lt;01","",100%)</f>
        <v/>
      </c>
      <c r="AX197" s="39" t="n">
        <f aca="false">IF($C197="&lt;01",SUM($AV197),ROUND(SUM($AV197)*SUM($AW197),0))</f>
        <v>0</v>
      </c>
      <c r="AY197" s="114" t="str">
        <f aca="false">IF($C197="&lt;01","",70%)</f>
        <v/>
      </c>
      <c r="AZ197" s="91" t="n">
        <f aca="false">IF($C197="&lt;01",ROUND(INDEX(EID!$R:$R,MATCH($B197,EID!$B:$B,0))/2,0),ROUND(SUM($O197)+(SUM($AV197)*$AY197),0))</f>
        <v>0</v>
      </c>
      <c r="BA197" s="87" t="str">
        <f aca="false">IF($C197="&lt;01","",95%)</f>
        <v/>
      </c>
      <c r="BB197" s="5" t="n">
        <f aca="false">IF($C197="&lt;01",ROUND(INDEX(EID!$T:$T,MATCH($B197,EID!$B:$B,0))/2,0),ROUND($AZ197*$BA197,0))</f>
        <v>0</v>
      </c>
      <c r="BC197" s="91" t="n">
        <f aca="false">IF(LEFT($B197,4)="_Mil","",IF(SUM($BB197)=0,SUM($AD197),IF(OR(SUM($AP197)=0,SUM($AQ197)=0),MAX($BB197,$AD197),ROUND($BB197*$AQ197/$AP197,0))))</f>
        <v>0</v>
      </c>
      <c r="BD197" s="88" t="str">
        <f aca="false">IF($C197="&lt;01","",95%)</f>
        <v/>
      </c>
      <c r="BE197" s="39" t="n">
        <f aca="false">IF($C197="&lt;01",ROUND(INDEX(EID!$V:$V,MATCH($B197,EID!$B:$B,0))/2,0),ROUND($BD197*$BB197,0))</f>
        <v>0</v>
      </c>
      <c r="BF197" s="39" t="n">
        <f aca="false">IF(LEFT($B197,4)="_Mil","",IF(SUM($BE197)=0,SUM($AF197),IF(OR(SUM($AP197)=0,SUM($AQ197)=0),MAX($BE197,$AF197),ROUND($BE197*$AQ197/$AP197,0))))</f>
        <v>0</v>
      </c>
      <c r="BG197" s="114" t="str">
        <f aca="false">IF($C197="&lt;01","",95%)</f>
        <v/>
      </c>
      <c r="BH197" s="5" t="n">
        <f aca="false">IF($C197="&lt;01",ROUND(INDEX(EID!$L:$L,MATCH($B197,EID!$B:$B,0)),0)/2,IF(SUM($BG197)=0,"",ROUND($AX197/$BG197,0)))</f>
        <v>0</v>
      </c>
    </row>
    <row r="198" customFormat="false" ht="15" hidden="false" customHeight="false" outlineLevel="0" collapsed="false">
      <c r="A198" s="0" t="str">
        <f aca="false">INDEX(Prioritization!$D:$D,MATCH($B198,Prioritization!$A:$A,0))</f>
        <v>1 - Scale-up: Saturation</v>
      </c>
      <c r="B198" s="0" t="s">
        <v>207</v>
      </c>
      <c r="C198" s="0" t="s">
        <v>316</v>
      </c>
      <c r="D198" s="0" t="s">
        <v>48</v>
      </c>
      <c r="E198" s="0" t="str">
        <f aca="false">$B198&amp;"|"&amp;$C198&amp;"|"&amp;$D198</f>
        <v>Mzimba District [vA4NcHxfMBq]|&lt;01|Male</v>
      </c>
      <c r="F198" s="10"/>
      <c r="G198" s="10" t="n">
        <v>51</v>
      </c>
      <c r="H198" s="10" t="n">
        <v>3</v>
      </c>
      <c r="I198" s="10" t="n">
        <v>1</v>
      </c>
      <c r="J198" s="10" t="n">
        <v>5</v>
      </c>
      <c r="K198" s="10" t="n">
        <v>9</v>
      </c>
      <c r="L198" s="10"/>
      <c r="M198" s="10" t="n">
        <v>8</v>
      </c>
      <c r="N198" s="10" t="n">
        <v>10</v>
      </c>
      <c r="O198" s="10" t="n">
        <f aca="false">IFERROR(1/(1/MAX($I198,$N198)),"")</f>
        <v>10</v>
      </c>
      <c r="P198" s="10" t="n">
        <v>6</v>
      </c>
      <c r="Q198" s="10" t="n">
        <v>10</v>
      </c>
      <c r="R198" s="10" t="n">
        <f aca="false">IF(AND(SUM($I198)=0,SUM($O198)=0),"",SUM($O198)-$I198)</f>
        <v>9</v>
      </c>
      <c r="S198" s="10" t="n">
        <f aca="false">IF(LEFT($B198,4)="_Mil","",_xlfn.IFNA(ROUND(INDEX(Spectrum!$N:$N,MATCH(RIGHT($B198,13)&amp;"|"&amp;$C198&amp;"|"&amp;$D198&amp;"|"&amp;S$14&amp;"|"&amp;"CY2022Q4",Spectrum!$R:$R,0)),0),""))</f>
        <v>1266</v>
      </c>
      <c r="T198" s="39" t="n">
        <f aca="false">IF(LEFT($B198,4)="_Mil","",_xlfn.IFNA(ROUND(INDEX(Spectrum!$N:$N,MATCH(RIGHT($B198,13)&amp;"|"&amp;$C198&amp;"|"&amp;$D198&amp;"|"&amp;T$14&amp;"|"&amp;"CY2023Q3",Spectrum!$R:$R,0)),0),""))</f>
        <v>1917</v>
      </c>
      <c r="U198" s="39" t="str">
        <f aca="false">IF(LEFT($B198,4)="_Mil","",_xlfn.IFNA(ROUND(INDEX(Spectrum!$N:$N,MATCH(RIGHT($B198,13)&amp;"|"&amp;$C198&amp;"|"&amp;$D198&amp;"|"&amp;U$14&amp;"|"&amp;"CY2023Q3",Spectrum!$R:$R,0)),0),""))</f>
        <v/>
      </c>
      <c r="V198" s="10" t="n">
        <f aca="false">IF(LEFT($B198,4)="_Mil","",_xlfn.IFNA(ROUND(INDEX(Spectrum!$N:$N,MATCH(RIGHT($B198,13)&amp;"|"&amp;$C198&amp;"|"&amp;$D198&amp;"|"&amp;V$14&amp;"|"&amp;"CY2023Q3",Spectrum!$R:$R,0)),0),""))</f>
        <v>1868</v>
      </c>
      <c r="W198" s="113" t="n">
        <f aca="false">IF(LEFT($B198,4)="_Mil","",_xlfn.IFNA(INDEX(Spectrum!$N:$N,MATCH(RIGHT($B198,13)&amp;"|"&amp;$C198&amp;"|"&amp;$D198&amp;"|"&amp;W$14&amp;"|"&amp;"CY2023Q3",Spectrum!$R:$R,0)),""))</f>
        <v>1160</v>
      </c>
      <c r="X198" s="39" t="n">
        <f aca="false">IF(LEFT($B198,4)="_Mil","",_xlfn.IFNA(ROUND(INDEX(Spectrum!$N:$N,MATCH(RIGHT($B198,13)&amp;"|"&amp;$C198&amp;"|"&amp;$D198&amp;"|"&amp;X$14&amp;"|"&amp;"CY2023Q3",Spectrum!$R:$R,0)),0),""))</f>
        <v>1494</v>
      </c>
      <c r="Y198" s="88" t="str">
        <f aca="false">IF(OR(SUM($U198)=0,LEFT($B198,4)="_Mil"),"",SUM($X198)/$U198)</f>
        <v/>
      </c>
      <c r="Z198" s="39" t="n">
        <f aca="false">IF(LEFT($B198,4)="_Mil","",_xlfn.IFNA(ROUND(INDEX(Spectrum!$N:$N,MATCH(RIGHT($B198,13)&amp;"|"&amp;$C198&amp;"|"&amp;$D198&amp;"|"&amp;Z$14&amp;"|"&amp;"CY2023Q3",Spectrum!$R:$R,0)),0),""))</f>
        <v>1822</v>
      </c>
      <c r="AA198" s="88" t="n">
        <f aca="false">IF(LEFT($B198,4)="_Mil","",IFERROR(1/(1/INDEX(Spectrum!$N:$N,MATCH(RIGHT($B198,13)&amp;"|"&amp;$C198&amp;"|"&amp;$D198&amp;"|"&amp;AA$14&amp;"|"&amp;"CY2023Q3",Spectrum!$R:$R,0))),IF(SUM($U198)=0,"",SUM($Z198)/$U198)))</f>
        <v>1336</v>
      </c>
      <c r="AB198" s="88" t="n">
        <f aca="false">IF(OR(LEFT($B198,4)="_Mil",SUM($X198)=0),"",SUM($Z198)/$X198)</f>
        <v>1.21954484605087</v>
      </c>
      <c r="AC198" s="10" t="n">
        <f aca="false">IF(LEFT($B198,4)="_Mil","",_xlfn.IFNA(ROUND(INDEX(Spectrum!$N:$N,MATCH(RIGHT($B198,13)&amp;"|"&amp;$C198&amp;"|"&amp;$D198&amp;"|"&amp;AC$14&amp;"|"&amp;"CY2023Q3",Spectrum!$R:$R,0)),0),""))</f>
        <v>1138</v>
      </c>
      <c r="AD198" s="10" t="str">
        <f aca="false">IF(LEFT($B198,4)="_Mil","",_xlfn.IFNA(ROUND(INDEX(Spectrum!$N:$N,MATCH(RIGHT($B198,13)&amp;"|"&amp;$C198&amp;"|"&amp;$D198&amp;"|"&amp;AD$14&amp;"|"&amp;"CY2023Q3",Spectrum!$R:$R,0)),0),""))</f>
        <v/>
      </c>
      <c r="AE198" s="88" t="n">
        <f aca="false">IF(OR(LEFT($B198,4)="_Mil",SUM($Z198)=0),"",SUM($AD198)/$Z198)</f>
        <v>0</v>
      </c>
      <c r="AF198" s="39" t="str">
        <f aca="false">IF(LEFT($B198,4)="_Mil","",_xlfn.IFNA(ROUND(INDEX(Spectrum!$N:$N,MATCH(RIGHT($B198,13)&amp;"|"&amp;$C198&amp;"|"&amp;$D198&amp;"|"&amp;AF$14&amp;"|"&amp;"CY2023Q3",Spectrum!$R:$R,0)),0),""))</f>
        <v/>
      </c>
      <c r="AG198" s="88" t="str">
        <f aca="false">IF(OR(LEFT($B198,4)="_Mil",SUM($AD198)=0),"",SUM($AF198)/$AD198)</f>
        <v/>
      </c>
      <c r="AH198" s="86" t="str">
        <f aca="false">IF(LEFT($B198,4)="_Mil","",_xlfn.IFNA(INDEX(Spectrum!$N:$N,MATCH(RIGHT($B198,13)&amp;"|"&amp;$C198&amp;"|"&amp;$D198&amp;"|"&amp;AH$14&amp;"|"&amp;"CY2023Q3",Spectrum!$R:$R,0)),""))</f>
        <v/>
      </c>
      <c r="AI198" s="10" t="str">
        <f aca="false">IF(LEFT($B198,4)="_Mil","",_xlfn.IFNA(ROUND(INDEX(Spectrum!$N:$N,MATCH(RIGHT($B198,13)&amp;"|"&amp;$C198&amp;"|"&amp;$D198&amp;"|"&amp;AI$14&amp;"|"&amp;"CY2023Q3",Spectrum!$R:$R,0)),0),""))</f>
        <v/>
      </c>
      <c r="AJ198" s="39" t="n">
        <f aca="false">IF(LEFT($B198,4)="_Mil","",_xlfn.IFNA(ROUND(INDEX(Spectrum!$N:$N,MATCH(RIGHT($B198,13)&amp;"|"&amp;$C198&amp;"|"&amp;$D198&amp;"|"&amp;AI$14&amp;"|"&amp;"CY2023Q3",Spectrum!$R:$R,0)),0),SUM($U198)+SUM($AI198)))</f>
        <v>0</v>
      </c>
      <c r="AK198" s="10" t="str">
        <f aca="false">IF(LEFT($B198,4)="_Mil","",_xlfn.IFNA(ROUND(INDEX(Spectrum!$N:$N,MATCH(RIGHT($B198,13)&amp;"|"&amp;$C198&amp;"|"&amp;$D198&amp;"|"&amp;AK$14&amp;"|"&amp;"CY2023Q3",Spectrum!$R:$R,0)),0),""))</f>
        <v/>
      </c>
      <c r="AL198" s="88" t="str">
        <f aca="false">IF(OR(LEFT($B198,4)="_Mil",$C198="&lt;01"),"",MAX(SUM($AA198),90%))</f>
        <v/>
      </c>
      <c r="AM198" s="10" t="str">
        <f aca="false">IF(OR(LEFT($B198,4)="_Mil",$C198="&lt;01"),"",ROUND(SUM($AJ198)*SUM($AL198),0))</f>
        <v/>
      </c>
      <c r="AN198" s="10" t="n">
        <f aca="false">IF($C198="&lt;01",ROUND(INDEX(EID!$P:$P,MATCH($B198,EID!$B:$B,0))/2,0),"")</f>
        <v>0</v>
      </c>
      <c r="AO198" s="10" t="n">
        <f aca="false">IF($C198="&lt;01",SUM($AN198),ROUND(SUM($AM198)*SUM($O198)/IF(SUM($Z198)=0,1,$Z198),0))</f>
        <v>0</v>
      </c>
      <c r="AP198" s="39" t="n">
        <f aca="false">IF(OR($F198="",$C198="&lt;01"),$AO198,$F198)</f>
        <v>0</v>
      </c>
      <c r="AQ198" s="39" t="n">
        <f aca="false">IF(LEFT($B198,4)="_Mil","",IF(SUM($AP198)=0,SUM($Z198),IF(OR(SUM($Z198)=0,SUM($O198)=0),MAX($AP198,$Z198),$AP198*$Z198/$O198)))</f>
        <v>1822</v>
      </c>
      <c r="AR198" s="88" t="str">
        <f aca="false">IF(OR(LEFT($B198,4)="_Mil",SUM($AJ198)=0),"",SUM($AQ198)/$AJ198)</f>
        <v/>
      </c>
      <c r="AS198" s="88" t="str">
        <f aca="false">IF($C198="&lt;01","",98%)</f>
        <v/>
      </c>
      <c r="AT198" s="88" t="str">
        <f aca="false">IF($C198="&lt;01","",98%)</f>
        <v/>
      </c>
      <c r="AU198" s="10" t="str">
        <f aca="false">IF($C198="&lt;01","",SUM($AP198)-SUM($O198))</f>
        <v/>
      </c>
      <c r="AV198" s="10" t="n">
        <f aca="false">IF($C198="&lt;01",ROUND(INDEX(EID!$N:$N,MATCH($B198,EID!$B:$B,0))/2,0),IF(SUM($AT198)=0,"",ROUND((SUM($AP198)-(SUM($O198)*SUM($AS198)))/$AT198,0)))</f>
        <v>0</v>
      </c>
      <c r="AW198" s="88" t="str">
        <f aca="false">IF($C198="&lt;01","",100%)</f>
        <v/>
      </c>
      <c r="AX198" s="39" t="n">
        <f aca="false">IF($C198="&lt;01",SUM($AV198),ROUND(SUM($AV198)*SUM($AW198),0))</f>
        <v>0</v>
      </c>
      <c r="AY198" s="114" t="str">
        <f aca="false">IF($C198="&lt;01","",70%)</f>
        <v/>
      </c>
      <c r="AZ198" s="91" t="n">
        <f aca="false">IF($C198="&lt;01",ROUND(INDEX(EID!$R:$R,MATCH($B198,EID!$B:$B,0))/2,0),ROUND(SUM($O198)+(SUM($AV198)*$AY198),0))</f>
        <v>0</v>
      </c>
      <c r="BA198" s="87" t="str">
        <f aca="false">IF($C198="&lt;01","",95%)</f>
        <v/>
      </c>
      <c r="BB198" s="5" t="n">
        <f aca="false">IF($C198="&lt;01",ROUND(INDEX(EID!$T:$T,MATCH($B198,EID!$B:$B,0))/2,0),ROUND($AZ198*$BA198,0))</f>
        <v>0</v>
      </c>
      <c r="BC198" s="91" t="n">
        <f aca="false">IF(LEFT($B198,4)="_Mil","",IF(SUM($BB198)=0,SUM($AD198),IF(OR(SUM($AP198)=0,SUM($AQ198)=0),MAX($BB198,$AD198),ROUND($BB198*$AQ198/$AP198,0))))</f>
        <v>0</v>
      </c>
      <c r="BD198" s="88" t="str">
        <f aca="false">IF($C198="&lt;01","",95%)</f>
        <v/>
      </c>
      <c r="BE198" s="39" t="n">
        <f aca="false">IF($C198="&lt;01",ROUND(INDEX(EID!$V:$V,MATCH($B198,EID!$B:$B,0))/2,0),ROUND($BD198*$BB198,0))</f>
        <v>0</v>
      </c>
      <c r="BF198" s="39" t="n">
        <f aca="false">IF(LEFT($B198,4)="_Mil","",IF(SUM($BE198)=0,SUM($AF198),IF(OR(SUM($AP198)=0,SUM($AQ198)=0),MAX($BE198,$AF198),ROUND($BE198*$AQ198/$AP198,0))))</f>
        <v>0</v>
      </c>
      <c r="BG198" s="114" t="str">
        <f aca="false">IF($C198="&lt;01","",95%)</f>
        <v/>
      </c>
      <c r="BH198" s="5" t="n">
        <f aca="false">IF($C198="&lt;01",ROUND(INDEX(EID!$L:$L,MATCH($B198,EID!$B:$B,0)),0)/2,IF(SUM($BG198)=0,"",ROUND($AX198/$BG198,0)))</f>
        <v>0</v>
      </c>
    </row>
    <row r="199" customFormat="false" ht="15" hidden="false" customHeight="false" outlineLevel="0" collapsed="false">
      <c r="A199" s="0" t="str">
        <f aca="false">INDEX(Prioritization!$D:$D,MATCH($B199,Prioritization!$A:$A,0))</f>
        <v>1 - Scale-up: Saturation</v>
      </c>
      <c r="B199" s="0" t="s">
        <v>207</v>
      </c>
      <c r="C199" s="0" t="s">
        <v>363</v>
      </c>
      <c r="D199" s="0" t="s">
        <v>30</v>
      </c>
      <c r="E199" s="0" t="str">
        <f aca="false">$B199&amp;"|"&amp;$C199&amp;"|"&amp;$D199</f>
        <v>Mzimba District [vA4NcHxfMBq]|01-09|Female</v>
      </c>
      <c r="F199" s="10"/>
      <c r="G199" s="10"/>
      <c r="H199" s="10"/>
      <c r="I199" s="10"/>
      <c r="J199" s="10"/>
      <c r="K199" s="10"/>
      <c r="L199" s="10"/>
      <c r="M199" s="10"/>
      <c r="N199" s="10"/>
      <c r="O199" s="10" t="str">
        <f aca="false">IFERROR(1/(1/MAX($I199,$N199)),"")</f>
        <v/>
      </c>
      <c r="P199" s="10"/>
      <c r="Q199" s="10"/>
      <c r="R199" s="10" t="str">
        <f aca="false">IF(AND(SUM($I199)=0,SUM($O199)=0),"",SUM($O199)-$I199)</f>
        <v/>
      </c>
      <c r="S199" s="10" t="n">
        <f aca="false">IF(LEFT($B199,4)="_Mil","",_xlfn.IFNA(ROUND(INDEX(Spectrum!$N:$N,MATCH(RIGHT($B199,13)&amp;"|"&amp;$C199&amp;"|"&amp;$D199&amp;"|"&amp;S$14&amp;"|"&amp;"CY2022Q4",Spectrum!$R:$R,0)),0),""))</f>
        <v>944</v>
      </c>
      <c r="T199" s="39" t="n">
        <f aca="false">IF(LEFT($B199,4)="_Mil","",_xlfn.IFNA(ROUND(INDEX(Spectrum!$N:$N,MATCH(RIGHT($B199,13)&amp;"|"&amp;$C199&amp;"|"&amp;$D199&amp;"|"&amp;T$14&amp;"|"&amp;"CY2023Q3",Spectrum!$R:$R,0)),0),""))</f>
        <v>1356</v>
      </c>
      <c r="U199" s="39" t="str">
        <f aca="false">IF(LEFT($B199,4)="_Mil","",_xlfn.IFNA(ROUND(INDEX(Spectrum!$N:$N,MATCH(RIGHT($B199,13)&amp;"|"&amp;$C199&amp;"|"&amp;$D199&amp;"|"&amp;U$14&amp;"|"&amp;"CY2023Q3",Spectrum!$R:$R,0)),0),""))</f>
        <v/>
      </c>
      <c r="V199" s="10" t="n">
        <f aca="false">IF(LEFT($B199,4)="_Mil","",_xlfn.IFNA(ROUND(INDEX(Spectrum!$N:$N,MATCH(RIGHT($B199,13)&amp;"|"&amp;$C199&amp;"|"&amp;$D199&amp;"|"&amp;V$14&amp;"|"&amp;"CY2023Q3",Spectrum!$R:$R,0)),0),""))</f>
        <v>1054</v>
      </c>
      <c r="W199" s="113" t="n">
        <f aca="false">IF(LEFT($B199,4)="_Mil","",_xlfn.IFNA(INDEX(Spectrum!$N:$N,MATCH(RIGHT($B199,13)&amp;"|"&amp;$C199&amp;"|"&amp;$D199&amp;"|"&amp;W$14&amp;"|"&amp;"CY2023Q3",Spectrum!$R:$R,0)),""))</f>
        <v>813</v>
      </c>
      <c r="X199" s="39" t="n">
        <f aca="false">IF(LEFT($B199,4)="_Mil","",_xlfn.IFNA(ROUND(INDEX(Spectrum!$N:$N,MATCH(RIGHT($B199,13)&amp;"|"&amp;$C199&amp;"|"&amp;$D199&amp;"|"&amp;X$14&amp;"|"&amp;"CY2023Q3",Spectrum!$R:$R,0)),0),""))</f>
        <v>1264</v>
      </c>
      <c r="Y199" s="88" t="str">
        <f aca="false">IF(OR(SUM($U199)=0,LEFT($B199,4)="_Mil"),"",SUM($X199)/$U199)</f>
        <v/>
      </c>
      <c r="Z199" s="39" t="n">
        <f aca="false">IF(LEFT($B199,4)="_Mil","",_xlfn.IFNA(ROUND(INDEX(Spectrum!$N:$N,MATCH(RIGHT($B199,13)&amp;"|"&amp;$C199&amp;"|"&amp;$D199&amp;"|"&amp;Z$14&amp;"|"&amp;"CY2023Q3",Spectrum!$R:$R,0)),0),""))</f>
        <v>1669</v>
      </c>
      <c r="AA199" s="88" t="n">
        <f aca="false">IF(LEFT($B199,4)="_Mil","",IFERROR(1/(1/INDEX(Spectrum!$N:$N,MATCH(RIGHT($B199,13)&amp;"|"&amp;$C199&amp;"|"&amp;$D199&amp;"|"&amp;AA$14&amp;"|"&amp;"CY2023Q3",Spectrum!$R:$R,0))),IF(SUM($U199)=0,"",SUM($Z199)/$U199)))</f>
        <v>1961</v>
      </c>
      <c r="AB199" s="88" t="n">
        <f aca="false">IF(OR(LEFT($B199,4)="_Mil",SUM($X199)=0),"",SUM($Z199)/$X199)</f>
        <v>1.32041139240506</v>
      </c>
      <c r="AC199" s="10" t="n">
        <f aca="false">IF(LEFT($B199,4)="_Mil","",_xlfn.IFNA(ROUND(INDEX(Spectrum!$N:$N,MATCH(RIGHT($B199,13)&amp;"|"&amp;$C199&amp;"|"&amp;$D199&amp;"|"&amp;AC$14&amp;"|"&amp;"CY2023Q3",Spectrum!$R:$R,0)),0),""))</f>
        <v>976</v>
      </c>
      <c r="AD199" s="10" t="str">
        <f aca="false">IF(LEFT($B199,4)="_Mil","",_xlfn.IFNA(ROUND(INDEX(Spectrum!$N:$N,MATCH(RIGHT($B199,13)&amp;"|"&amp;$C199&amp;"|"&amp;$D199&amp;"|"&amp;AD$14&amp;"|"&amp;"CY2023Q3",Spectrum!$R:$R,0)),0),""))</f>
        <v/>
      </c>
      <c r="AE199" s="88" t="n">
        <f aca="false">IF(OR(LEFT($B199,4)="_Mil",SUM($Z199)=0),"",SUM($AD199)/$Z199)</f>
        <v>0</v>
      </c>
      <c r="AF199" s="39" t="str">
        <f aca="false">IF(LEFT($B199,4)="_Mil","",_xlfn.IFNA(ROUND(INDEX(Spectrum!$N:$N,MATCH(RIGHT($B199,13)&amp;"|"&amp;$C199&amp;"|"&amp;$D199&amp;"|"&amp;AF$14&amp;"|"&amp;"CY2023Q3",Spectrum!$R:$R,0)),0),""))</f>
        <v/>
      </c>
      <c r="AG199" s="88" t="str">
        <f aca="false">IF(OR(LEFT($B199,4)="_Mil",SUM($AD199)=0),"",SUM($AF199)/$AD199)</f>
        <v/>
      </c>
      <c r="AH199" s="86" t="str">
        <f aca="false">IF(LEFT($B199,4)="_Mil","",_xlfn.IFNA(INDEX(Spectrum!$N:$N,MATCH(RIGHT($B199,13)&amp;"|"&amp;$C199&amp;"|"&amp;$D199&amp;"|"&amp;AH$14&amp;"|"&amp;"CY2023Q3",Spectrum!$R:$R,0)),""))</f>
        <v/>
      </c>
      <c r="AI199" s="10" t="str">
        <f aca="false">IF(LEFT($B199,4)="_Mil","",_xlfn.IFNA(ROUND(INDEX(Spectrum!$N:$N,MATCH(RIGHT($B199,13)&amp;"|"&amp;$C199&amp;"|"&amp;$D199&amp;"|"&amp;AI$14&amp;"|"&amp;"CY2023Q3",Spectrum!$R:$R,0)),0),""))</f>
        <v/>
      </c>
      <c r="AJ199" s="39" t="n">
        <f aca="false">IF(LEFT($B199,4)="_Mil","",_xlfn.IFNA(ROUND(INDEX(Spectrum!$N:$N,MATCH(RIGHT($B199,13)&amp;"|"&amp;$C199&amp;"|"&amp;$D199&amp;"|"&amp;AI$14&amp;"|"&amp;"CY2023Q3",Spectrum!$R:$R,0)),0),SUM($U199)+SUM($AI199)))</f>
        <v>0</v>
      </c>
      <c r="AK199" s="10" t="str">
        <f aca="false">IF(LEFT($B199,4)="_Mil","",_xlfn.IFNA(ROUND(INDEX(Spectrum!$N:$N,MATCH(RIGHT($B199,13)&amp;"|"&amp;$C199&amp;"|"&amp;$D199&amp;"|"&amp;AK$14&amp;"|"&amp;"CY2023Q3",Spectrum!$R:$R,0)),0),""))</f>
        <v/>
      </c>
      <c r="AL199" s="88" t="n">
        <f aca="false">IF(OR(LEFT($B199,4)="_Mil",$C199="&lt;01"),"",MAX(SUM($AA199),90%))</f>
        <v>1961</v>
      </c>
      <c r="AM199" s="10" t="n">
        <f aca="false">IF(OR(LEFT($B199,4)="_Mil",$C199="&lt;01"),"",ROUND(SUM($AJ199)*SUM($AL199),0))</f>
        <v>0</v>
      </c>
      <c r="AN199" s="10" t="str">
        <f aca="false">IF($C199="&lt;01",ROUND(INDEX(EID!$P:$P,MATCH($B199,EID!$B:$B,0))/2,0),"")</f>
        <v/>
      </c>
      <c r="AO199" s="10" t="n">
        <f aca="false">IF($C199="&lt;01",SUM($AN199),ROUND(SUM($AM199)*SUM($O199)/IF(SUM($Z199)=0,1,$Z199),0))</f>
        <v>0</v>
      </c>
      <c r="AP199" s="39" t="n">
        <f aca="false">IF(OR($F199="",$C199="&lt;01"),$AO199,$F199)</f>
        <v>0</v>
      </c>
      <c r="AQ199" s="39" t="n">
        <f aca="false">IF(LEFT($B199,4)="_Mil","",IF(SUM($AP199)=0,SUM($Z199),IF(OR(SUM($Z199)=0,SUM($O199)=0),MAX($AP199,$Z199),$AP199*$Z199/$O199)))</f>
        <v>1669</v>
      </c>
      <c r="AR199" s="88" t="str">
        <f aca="false">IF(OR(LEFT($B199,4)="_Mil",SUM($AJ199)=0),"",SUM($AQ199)/$AJ199)</f>
        <v/>
      </c>
      <c r="AS199" s="88" t="n">
        <f aca="false">IF($C199="&lt;01","",98%)</f>
        <v>0.98</v>
      </c>
      <c r="AT199" s="88" t="n">
        <f aca="false">IF($C199="&lt;01","",98%)</f>
        <v>0.98</v>
      </c>
      <c r="AU199" s="10" t="n">
        <f aca="false">IF($C199="&lt;01","",SUM($AP199)-SUM($O199))</f>
        <v>0</v>
      </c>
      <c r="AV199" s="10" t="n">
        <f aca="false">IF($C199="&lt;01",ROUND(INDEX(EID!$N:$N,MATCH($B199,EID!$B:$B,0))/2,0),IF(SUM($AT199)=0,"",ROUND((SUM($AP199)-(SUM($O199)*SUM($AS199)))/$AT199,0)))</f>
        <v>0</v>
      </c>
      <c r="AW199" s="88" t="n">
        <f aca="false">IF($C199="&lt;01","",100%)</f>
        <v>1</v>
      </c>
      <c r="AX199" s="39" t="n">
        <f aca="false">IF($C199="&lt;01",SUM($AV199),ROUND(SUM($AV199)*SUM($AW199),0))</f>
        <v>0</v>
      </c>
      <c r="AY199" s="114" t="n">
        <f aca="false">IF($C199="&lt;01","",70%)</f>
        <v>0.7</v>
      </c>
      <c r="AZ199" s="91" t="n">
        <f aca="false">IF($C199="&lt;01",ROUND(INDEX(EID!$R:$R,MATCH($B199,EID!$B:$B,0))/2,0),ROUND(SUM($O199)+(SUM($AV199)*$AY199),0))</f>
        <v>0</v>
      </c>
      <c r="BA199" s="87" t="n">
        <f aca="false">IF($C199="&lt;01","",95%)</f>
        <v>0.95</v>
      </c>
      <c r="BB199" s="5" t="n">
        <f aca="false">IF($C199="&lt;01",ROUND(INDEX(EID!$T:$T,MATCH($B199,EID!$B:$B,0))/2,0),ROUND($AZ199*$BA199,0))</f>
        <v>0</v>
      </c>
      <c r="BC199" s="91" t="n">
        <f aca="false">IF(LEFT($B199,4)="_Mil","",IF(SUM($BB199)=0,SUM($AD199),IF(OR(SUM($AP199)=0,SUM($AQ199)=0),MAX($BB199,$AD199),ROUND($BB199*$AQ199/$AP199,0))))</f>
        <v>0</v>
      </c>
      <c r="BD199" s="88" t="n">
        <f aca="false">IF($C199="&lt;01","",95%)</f>
        <v>0.95</v>
      </c>
      <c r="BE199" s="39" t="n">
        <f aca="false">IF($C199="&lt;01",ROUND(INDEX(EID!$V:$V,MATCH($B199,EID!$B:$B,0))/2,0),ROUND($BD199*$BB199,0))</f>
        <v>0</v>
      </c>
      <c r="BF199" s="39" t="n">
        <f aca="false">IF(LEFT($B199,4)="_Mil","",IF(SUM($BE199)=0,SUM($AF199),IF(OR(SUM($AP199)=0,SUM($AQ199)=0),MAX($BE199,$AF199),ROUND($BE199*$AQ199/$AP199,0))))</f>
        <v>0</v>
      </c>
      <c r="BG199" s="114" t="n">
        <f aca="false">IF($C199="&lt;01","",95%)</f>
        <v>0.95</v>
      </c>
      <c r="BH199" s="5" t="n">
        <f aca="false">IF($C199="&lt;01",ROUND(INDEX(EID!$L:$L,MATCH($B199,EID!$B:$B,0)),0)/2,IF(SUM($BG199)=0,"",ROUND($AX199/$BG199,0)))</f>
        <v>0</v>
      </c>
    </row>
    <row r="200" customFormat="false" ht="15" hidden="false" customHeight="false" outlineLevel="0" collapsed="false">
      <c r="A200" s="0" t="str">
        <f aca="false">INDEX(Prioritization!$D:$D,MATCH($B200,Prioritization!$A:$A,0))</f>
        <v>1 - Scale-up: Saturation</v>
      </c>
      <c r="B200" s="0" t="s">
        <v>207</v>
      </c>
      <c r="C200" s="0" t="s">
        <v>363</v>
      </c>
      <c r="D200" s="0" t="s">
        <v>48</v>
      </c>
      <c r="E200" s="0" t="str">
        <f aca="false">$B200&amp;"|"&amp;$C200&amp;"|"&amp;$D200</f>
        <v>Mzimba District [vA4NcHxfMBq]|01-09|Male</v>
      </c>
      <c r="F200" s="10"/>
      <c r="G200" s="10"/>
      <c r="H200" s="10"/>
      <c r="I200" s="10"/>
      <c r="J200" s="10"/>
      <c r="K200" s="10"/>
      <c r="L200" s="10"/>
      <c r="M200" s="10"/>
      <c r="N200" s="10"/>
      <c r="O200" s="10" t="str">
        <f aca="false">IFERROR(1/(1/MAX($I200,$N200)),"")</f>
        <v/>
      </c>
      <c r="P200" s="10"/>
      <c r="Q200" s="10"/>
      <c r="R200" s="10" t="str">
        <f aca="false">IF(AND(SUM($I200)=0,SUM($O200)=0),"",SUM($O200)-$I200)</f>
        <v/>
      </c>
      <c r="S200" s="10" t="n">
        <f aca="false">IF(LEFT($B200,4)="_Mil","",_xlfn.IFNA(ROUND(INDEX(Spectrum!$N:$N,MATCH(RIGHT($B200,13)&amp;"|"&amp;$C200&amp;"|"&amp;$D200&amp;"|"&amp;S$14&amp;"|"&amp;"CY2022Q4",Spectrum!$R:$R,0)),0),""))</f>
        <v>735</v>
      </c>
      <c r="T200" s="39" t="n">
        <f aca="false">IF(LEFT($B200,4)="_Mil","",_xlfn.IFNA(ROUND(INDEX(Spectrum!$N:$N,MATCH(RIGHT($B200,13)&amp;"|"&amp;$C200&amp;"|"&amp;$D200&amp;"|"&amp;T$14&amp;"|"&amp;"CY2023Q3",Spectrum!$R:$R,0)),0),""))</f>
        <v>1021</v>
      </c>
      <c r="U200" s="39" t="str">
        <f aca="false">IF(LEFT($B200,4)="_Mil","",_xlfn.IFNA(ROUND(INDEX(Spectrum!$N:$N,MATCH(RIGHT($B200,13)&amp;"|"&amp;$C200&amp;"|"&amp;$D200&amp;"|"&amp;U$14&amp;"|"&amp;"CY2023Q3",Spectrum!$R:$R,0)),0),""))</f>
        <v/>
      </c>
      <c r="V200" s="10" t="n">
        <f aca="false">IF(LEFT($B200,4)="_Mil","",_xlfn.IFNA(ROUND(INDEX(Spectrum!$N:$N,MATCH(RIGHT($B200,13)&amp;"|"&amp;$C200&amp;"|"&amp;$D200&amp;"|"&amp;V$14&amp;"|"&amp;"CY2023Q3",Spectrum!$R:$R,0)),0),""))</f>
        <v>925</v>
      </c>
      <c r="W200" s="113" t="n">
        <f aca="false">IF(LEFT($B200,4)="_Mil","",_xlfn.IFNA(INDEX(Spectrum!$N:$N,MATCH(RIGHT($B200,13)&amp;"|"&amp;$C200&amp;"|"&amp;$D200&amp;"|"&amp;W$14&amp;"|"&amp;"CY2023Q3",Spectrum!$R:$R,0)),""))</f>
        <v>1960</v>
      </c>
      <c r="X200" s="39" t="n">
        <f aca="false">IF(LEFT($B200,4)="_Mil","",_xlfn.IFNA(ROUND(INDEX(Spectrum!$N:$N,MATCH(RIGHT($B200,13)&amp;"|"&amp;$C200&amp;"|"&amp;$D200&amp;"|"&amp;X$14&amp;"|"&amp;"CY2023Q3",Spectrum!$R:$R,0)),0),""))</f>
        <v>1471</v>
      </c>
      <c r="Y200" s="88" t="str">
        <f aca="false">IF(OR(SUM($U200)=0,LEFT($B200,4)="_Mil"),"",SUM($X200)/$U200)</f>
        <v/>
      </c>
      <c r="Z200" s="39" t="n">
        <f aca="false">IF(LEFT($B200,4)="_Mil","",_xlfn.IFNA(ROUND(INDEX(Spectrum!$N:$N,MATCH(RIGHT($B200,13)&amp;"|"&amp;$C200&amp;"|"&amp;$D200&amp;"|"&amp;Z$14&amp;"|"&amp;"CY2023Q3",Spectrum!$R:$R,0)),0),""))</f>
        <v>1417</v>
      </c>
      <c r="AA200" s="88" t="n">
        <f aca="false">IF(LEFT($B200,4)="_Mil","",IFERROR(1/(1/INDEX(Spectrum!$N:$N,MATCH(RIGHT($B200,13)&amp;"|"&amp;$C200&amp;"|"&amp;$D200&amp;"|"&amp;AA$14&amp;"|"&amp;"CY2023Q3",Spectrum!$R:$R,0))),IF(SUM($U200)=0,"",SUM($Z200)/$U200)))</f>
        <v>996</v>
      </c>
      <c r="AB200" s="88" t="n">
        <f aca="false">IF(OR(LEFT($B200,4)="_Mil",SUM($X200)=0),"",SUM($Z200)/$X200)</f>
        <v>0.963290278721958</v>
      </c>
      <c r="AC200" s="10" t="n">
        <f aca="false">IF(LEFT($B200,4)="_Mil","",_xlfn.IFNA(ROUND(INDEX(Spectrum!$N:$N,MATCH(RIGHT($B200,13)&amp;"|"&amp;$C200&amp;"|"&amp;$D200&amp;"|"&amp;AC$14&amp;"|"&amp;"CY2023Q3",Spectrum!$R:$R,0)),0),""))</f>
        <v>1443</v>
      </c>
      <c r="AD200" s="10" t="str">
        <f aca="false">IF(LEFT($B200,4)="_Mil","",_xlfn.IFNA(ROUND(INDEX(Spectrum!$N:$N,MATCH(RIGHT($B200,13)&amp;"|"&amp;$C200&amp;"|"&amp;$D200&amp;"|"&amp;AD$14&amp;"|"&amp;"CY2023Q3",Spectrum!$R:$R,0)),0),""))</f>
        <v/>
      </c>
      <c r="AE200" s="88" t="n">
        <f aca="false">IF(OR(LEFT($B200,4)="_Mil",SUM($Z200)=0),"",SUM($AD200)/$Z200)</f>
        <v>0</v>
      </c>
      <c r="AF200" s="39" t="str">
        <f aca="false">IF(LEFT($B200,4)="_Mil","",_xlfn.IFNA(ROUND(INDEX(Spectrum!$N:$N,MATCH(RIGHT($B200,13)&amp;"|"&amp;$C200&amp;"|"&amp;$D200&amp;"|"&amp;AF$14&amp;"|"&amp;"CY2023Q3",Spectrum!$R:$R,0)),0),""))</f>
        <v/>
      </c>
      <c r="AG200" s="88" t="str">
        <f aca="false">IF(OR(LEFT($B200,4)="_Mil",SUM($AD200)=0),"",SUM($AF200)/$AD200)</f>
        <v/>
      </c>
      <c r="AH200" s="86" t="str">
        <f aca="false">IF(LEFT($B200,4)="_Mil","",_xlfn.IFNA(INDEX(Spectrum!$N:$N,MATCH(RIGHT($B200,13)&amp;"|"&amp;$C200&amp;"|"&amp;$D200&amp;"|"&amp;AH$14&amp;"|"&amp;"CY2023Q3",Spectrum!$R:$R,0)),""))</f>
        <v/>
      </c>
      <c r="AI200" s="10" t="str">
        <f aca="false">IF(LEFT($B200,4)="_Mil","",_xlfn.IFNA(ROUND(INDEX(Spectrum!$N:$N,MATCH(RIGHT($B200,13)&amp;"|"&amp;$C200&amp;"|"&amp;$D200&amp;"|"&amp;AI$14&amp;"|"&amp;"CY2023Q3",Spectrum!$R:$R,0)),0),""))</f>
        <v/>
      </c>
      <c r="AJ200" s="39" t="n">
        <f aca="false">IF(LEFT($B200,4)="_Mil","",_xlfn.IFNA(ROUND(INDEX(Spectrum!$N:$N,MATCH(RIGHT($B200,13)&amp;"|"&amp;$C200&amp;"|"&amp;$D200&amp;"|"&amp;AI$14&amp;"|"&amp;"CY2023Q3",Spectrum!$R:$R,0)),0),SUM($U200)+SUM($AI200)))</f>
        <v>0</v>
      </c>
      <c r="AK200" s="10" t="str">
        <f aca="false">IF(LEFT($B200,4)="_Mil","",_xlfn.IFNA(ROUND(INDEX(Spectrum!$N:$N,MATCH(RIGHT($B200,13)&amp;"|"&amp;$C200&amp;"|"&amp;$D200&amp;"|"&amp;AK$14&amp;"|"&amp;"CY2023Q3",Spectrum!$R:$R,0)),0),""))</f>
        <v/>
      </c>
      <c r="AL200" s="88" t="n">
        <f aca="false">IF(OR(LEFT($B200,4)="_Mil",$C200="&lt;01"),"",MAX(SUM($AA200),90%))</f>
        <v>996</v>
      </c>
      <c r="AM200" s="10" t="n">
        <f aca="false">IF(OR(LEFT($B200,4)="_Mil",$C200="&lt;01"),"",ROUND(SUM($AJ200)*SUM($AL200),0))</f>
        <v>0</v>
      </c>
      <c r="AN200" s="10" t="str">
        <f aca="false">IF($C200="&lt;01",ROUND(INDEX(EID!$P:$P,MATCH($B200,EID!$B:$B,0))/2,0),"")</f>
        <v/>
      </c>
      <c r="AO200" s="10" t="n">
        <f aca="false">IF($C200="&lt;01",SUM($AN200),ROUND(SUM($AM200)*SUM($O200)/IF(SUM($Z200)=0,1,$Z200),0))</f>
        <v>0</v>
      </c>
      <c r="AP200" s="39" t="n">
        <f aca="false">IF(OR($F200="",$C200="&lt;01"),$AO200,$F200)</f>
        <v>0</v>
      </c>
      <c r="AQ200" s="39" t="n">
        <f aca="false">IF(LEFT($B200,4)="_Mil","",IF(SUM($AP200)=0,SUM($Z200),IF(OR(SUM($Z200)=0,SUM($O200)=0),MAX($AP200,$Z200),$AP200*$Z200/$O200)))</f>
        <v>1417</v>
      </c>
      <c r="AR200" s="88" t="str">
        <f aca="false">IF(OR(LEFT($B200,4)="_Mil",SUM($AJ200)=0),"",SUM($AQ200)/$AJ200)</f>
        <v/>
      </c>
      <c r="AS200" s="88" t="n">
        <f aca="false">IF($C200="&lt;01","",98%)</f>
        <v>0.98</v>
      </c>
      <c r="AT200" s="88" t="n">
        <f aca="false">IF($C200="&lt;01","",98%)</f>
        <v>0.98</v>
      </c>
      <c r="AU200" s="10" t="n">
        <f aca="false">IF($C200="&lt;01","",SUM($AP200)-SUM($O200))</f>
        <v>0</v>
      </c>
      <c r="AV200" s="10" t="n">
        <f aca="false">IF($C200="&lt;01",ROUND(INDEX(EID!$N:$N,MATCH($B200,EID!$B:$B,0))/2,0),IF(SUM($AT200)=0,"",ROUND((SUM($AP200)-(SUM($O200)*SUM($AS200)))/$AT200,0)))</f>
        <v>0</v>
      </c>
      <c r="AW200" s="88" t="n">
        <f aca="false">IF($C200="&lt;01","",100%)</f>
        <v>1</v>
      </c>
      <c r="AX200" s="39" t="n">
        <f aca="false">IF($C200="&lt;01",SUM($AV200),ROUND(SUM($AV200)*SUM($AW200),0))</f>
        <v>0</v>
      </c>
      <c r="AY200" s="114" t="n">
        <f aca="false">IF($C200="&lt;01","",70%)</f>
        <v>0.7</v>
      </c>
      <c r="AZ200" s="91" t="n">
        <f aca="false">IF($C200="&lt;01",ROUND(INDEX(EID!$R:$R,MATCH($B200,EID!$B:$B,0))/2,0),ROUND(SUM($O200)+(SUM($AV200)*$AY200),0))</f>
        <v>0</v>
      </c>
      <c r="BA200" s="87" t="n">
        <f aca="false">IF($C200="&lt;01","",95%)</f>
        <v>0.95</v>
      </c>
      <c r="BB200" s="5" t="n">
        <f aca="false">IF($C200="&lt;01",ROUND(INDEX(EID!$T:$T,MATCH($B200,EID!$B:$B,0))/2,0),ROUND($AZ200*$BA200,0))</f>
        <v>0</v>
      </c>
      <c r="BC200" s="91" t="n">
        <f aca="false">IF(LEFT($B200,4)="_Mil","",IF(SUM($BB200)=0,SUM($AD200),IF(OR(SUM($AP200)=0,SUM($AQ200)=0),MAX($BB200,$AD200),ROUND($BB200*$AQ200/$AP200,0))))</f>
        <v>0</v>
      </c>
      <c r="BD200" s="88" t="n">
        <f aca="false">IF($C200="&lt;01","",95%)</f>
        <v>0.95</v>
      </c>
      <c r="BE200" s="39" t="n">
        <f aca="false">IF($C200="&lt;01",ROUND(INDEX(EID!$V:$V,MATCH($B200,EID!$B:$B,0))/2,0),ROUND($BD200*$BB200,0))</f>
        <v>0</v>
      </c>
      <c r="BF200" s="39" t="n">
        <f aca="false">IF(LEFT($B200,4)="_Mil","",IF(SUM($BE200)=0,SUM($AF200),IF(OR(SUM($AP200)=0,SUM($AQ200)=0),MAX($BE200,$AF200),ROUND($BE200*$AQ200/$AP200,0))))</f>
        <v>0</v>
      </c>
      <c r="BG200" s="114" t="n">
        <f aca="false">IF($C200="&lt;01","",95%)</f>
        <v>0.95</v>
      </c>
      <c r="BH200" s="5" t="n">
        <f aca="false">IF($C200="&lt;01",ROUND(INDEX(EID!$L:$L,MATCH($B200,EID!$B:$B,0)),0)/2,IF(SUM($BG200)=0,"",ROUND($AX200/$BG200,0)))</f>
        <v>0</v>
      </c>
    </row>
    <row r="201" customFormat="false" ht="15" hidden="false" customHeight="false" outlineLevel="0" collapsed="false">
      <c r="A201" s="0" t="str">
        <f aca="false">INDEX(Prioritization!$D:$D,MATCH($B201,Prioritization!$A:$A,0))</f>
        <v>1 - Scale-up: Saturation</v>
      </c>
      <c r="B201" s="0" t="s">
        <v>207</v>
      </c>
      <c r="C201" s="0" t="s">
        <v>364</v>
      </c>
      <c r="D201" s="0" t="s">
        <v>30</v>
      </c>
      <c r="E201" s="0" t="str">
        <f aca="false">$B201&amp;"|"&amp;$C201&amp;"|"&amp;$D201</f>
        <v>Mzimba District [vA4NcHxfMBq]|10-14|Female</v>
      </c>
      <c r="F201" s="10"/>
      <c r="G201" s="10" t="n">
        <v>70</v>
      </c>
      <c r="H201" s="10" t="n">
        <v>2</v>
      </c>
      <c r="I201" s="10" t="n">
        <v>70</v>
      </c>
      <c r="J201" s="10" t="n">
        <v>64</v>
      </c>
      <c r="K201" s="10" t="n">
        <v>17</v>
      </c>
      <c r="L201" s="10" t="n">
        <v>5</v>
      </c>
      <c r="M201" s="10" t="n">
        <v>10</v>
      </c>
      <c r="N201" s="10" t="n">
        <v>93</v>
      </c>
      <c r="O201" s="10" t="n">
        <f aca="false">IFERROR(1/(1/MAX($I201,$N201)),"")</f>
        <v>93</v>
      </c>
      <c r="P201" s="10" t="n">
        <v>51</v>
      </c>
      <c r="Q201" s="10" t="n">
        <v>22</v>
      </c>
      <c r="R201" s="10" t="n">
        <f aca="false">IF(AND(SUM($I201)=0,SUM($O201)=0),"",SUM($O201)-$I201)</f>
        <v>23</v>
      </c>
      <c r="S201" s="10" t="n">
        <f aca="false">IF(LEFT($B201,4)="_Mil","",_xlfn.IFNA(ROUND(INDEX(Spectrum!$N:$N,MATCH(RIGHT($B201,13)&amp;"|"&amp;$C201&amp;"|"&amp;$D201&amp;"|"&amp;S$14&amp;"|"&amp;"CY2022Q4",Spectrum!$R:$R,0)),0),""))</f>
        <v>1715</v>
      </c>
      <c r="T201" s="39" t="n">
        <f aca="false">IF(LEFT($B201,4)="_Mil","",_xlfn.IFNA(ROUND(INDEX(Spectrum!$N:$N,MATCH(RIGHT($B201,13)&amp;"|"&amp;$C201&amp;"|"&amp;$D201&amp;"|"&amp;T$14&amp;"|"&amp;"CY2023Q3",Spectrum!$R:$R,0)),0),""))</f>
        <v>1909</v>
      </c>
      <c r="U201" s="39" t="str">
        <f aca="false">IF(LEFT($B201,4)="_Mil","",_xlfn.IFNA(ROUND(INDEX(Spectrum!$N:$N,MATCH(RIGHT($B201,13)&amp;"|"&amp;$C201&amp;"|"&amp;$D201&amp;"|"&amp;U$14&amp;"|"&amp;"CY2023Q3",Spectrum!$R:$R,0)),0),""))</f>
        <v/>
      </c>
      <c r="V201" s="10" t="n">
        <f aca="false">IF(LEFT($B201,4)="_Mil","",_xlfn.IFNA(ROUND(INDEX(Spectrum!$N:$N,MATCH(RIGHT($B201,13)&amp;"|"&amp;$C201&amp;"|"&amp;$D201&amp;"|"&amp;V$14&amp;"|"&amp;"CY2023Q3",Spectrum!$R:$R,0)),0),""))</f>
        <v>1045</v>
      </c>
      <c r="W201" s="113" t="n">
        <f aca="false">IF(LEFT($B201,4)="_Mil","",_xlfn.IFNA(INDEX(Spectrum!$N:$N,MATCH(RIGHT($B201,13)&amp;"|"&amp;$C201&amp;"|"&amp;$D201&amp;"|"&amp;W$14&amp;"|"&amp;"CY2023Q3",Spectrum!$R:$R,0)),""))</f>
        <v>1365</v>
      </c>
      <c r="X201" s="39" t="n">
        <f aca="false">IF(LEFT($B201,4)="_Mil","",_xlfn.IFNA(ROUND(INDEX(Spectrum!$N:$N,MATCH(RIGHT($B201,13)&amp;"|"&amp;$C201&amp;"|"&amp;$D201&amp;"|"&amp;X$14&amp;"|"&amp;"CY2023Q3",Spectrum!$R:$R,0)),0),""))</f>
        <v>744</v>
      </c>
      <c r="Y201" s="88" t="str">
        <f aca="false">IF(OR(SUM($U201)=0,LEFT($B201,4)="_Mil"),"",SUM($X201)/$U201)</f>
        <v/>
      </c>
      <c r="Z201" s="39" t="n">
        <f aca="false">IF(LEFT($B201,4)="_Mil","",_xlfn.IFNA(ROUND(INDEX(Spectrum!$N:$N,MATCH(RIGHT($B201,13)&amp;"|"&amp;$C201&amp;"|"&amp;$D201&amp;"|"&amp;Z$14&amp;"|"&amp;"CY2023Q3",Spectrum!$R:$R,0)),0),""))</f>
        <v>1213</v>
      </c>
      <c r="AA201" s="88" t="n">
        <f aca="false">IF(LEFT($B201,4)="_Mil","",IFERROR(1/(1/INDEX(Spectrum!$N:$N,MATCH(RIGHT($B201,13)&amp;"|"&amp;$C201&amp;"|"&amp;$D201&amp;"|"&amp;AA$14&amp;"|"&amp;"CY2023Q3",Spectrum!$R:$R,0))),IF(SUM($U201)=0,"",SUM($Z201)/$U201)))</f>
        <v>1946</v>
      </c>
      <c r="AB201" s="88" t="n">
        <f aca="false">IF(OR(LEFT($B201,4)="_Mil",SUM($X201)=0),"",SUM($Z201)/$X201)</f>
        <v>1.63037634408602</v>
      </c>
      <c r="AC201" s="10" t="n">
        <f aca="false">IF(LEFT($B201,4)="_Mil","",_xlfn.IFNA(ROUND(INDEX(Spectrum!$N:$N,MATCH(RIGHT($B201,13)&amp;"|"&amp;$C201&amp;"|"&amp;$D201&amp;"|"&amp;AC$14&amp;"|"&amp;"CY2023Q3",Spectrum!$R:$R,0)),0),""))</f>
        <v>1557</v>
      </c>
      <c r="AD201" s="10" t="str">
        <f aca="false">IF(LEFT($B201,4)="_Mil","",_xlfn.IFNA(ROUND(INDEX(Spectrum!$N:$N,MATCH(RIGHT($B201,13)&amp;"|"&amp;$C201&amp;"|"&amp;$D201&amp;"|"&amp;AD$14&amp;"|"&amp;"CY2023Q3",Spectrum!$R:$R,0)),0),""))</f>
        <v/>
      </c>
      <c r="AE201" s="88" t="n">
        <f aca="false">IF(OR(LEFT($B201,4)="_Mil",SUM($Z201)=0),"",SUM($AD201)/$Z201)</f>
        <v>0</v>
      </c>
      <c r="AF201" s="39" t="str">
        <f aca="false">IF(LEFT($B201,4)="_Mil","",_xlfn.IFNA(ROUND(INDEX(Spectrum!$N:$N,MATCH(RIGHT($B201,13)&amp;"|"&amp;$C201&amp;"|"&amp;$D201&amp;"|"&amp;AF$14&amp;"|"&amp;"CY2023Q3",Spectrum!$R:$R,0)),0),""))</f>
        <v/>
      </c>
      <c r="AG201" s="88" t="str">
        <f aca="false">IF(OR(LEFT($B201,4)="_Mil",SUM($AD201)=0),"",SUM($AF201)/$AD201)</f>
        <v/>
      </c>
      <c r="AH201" s="86" t="str">
        <f aca="false">IF(LEFT($B201,4)="_Mil","",_xlfn.IFNA(INDEX(Spectrum!$N:$N,MATCH(RIGHT($B201,13)&amp;"|"&amp;$C201&amp;"|"&amp;$D201&amp;"|"&amp;AH$14&amp;"|"&amp;"CY2023Q3",Spectrum!$R:$R,0)),""))</f>
        <v/>
      </c>
      <c r="AI201" s="10" t="str">
        <f aca="false">IF(LEFT($B201,4)="_Mil","",_xlfn.IFNA(ROUND(INDEX(Spectrum!$N:$N,MATCH(RIGHT($B201,13)&amp;"|"&amp;$C201&amp;"|"&amp;$D201&amp;"|"&amp;AI$14&amp;"|"&amp;"CY2023Q3",Spectrum!$R:$R,0)),0),""))</f>
        <v/>
      </c>
      <c r="AJ201" s="39" t="n">
        <f aca="false">IF(LEFT($B201,4)="_Mil","",_xlfn.IFNA(ROUND(INDEX(Spectrum!$N:$N,MATCH(RIGHT($B201,13)&amp;"|"&amp;$C201&amp;"|"&amp;$D201&amp;"|"&amp;AI$14&amp;"|"&amp;"CY2023Q3",Spectrum!$R:$R,0)),0),SUM($U201)+SUM($AI201)))</f>
        <v>0</v>
      </c>
      <c r="AK201" s="10" t="str">
        <f aca="false">IF(LEFT($B201,4)="_Mil","",_xlfn.IFNA(ROUND(INDEX(Spectrum!$N:$N,MATCH(RIGHT($B201,13)&amp;"|"&amp;$C201&amp;"|"&amp;$D201&amp;"|"&amp;AK$14&amp;"|"&amp;"CY2023Q3",Spectrum!$R:$R,0)),0),""))</f>
        <v/>
      </c>
      <c r="AL201" s="88" t="n">
        <f aca="false">IF(OR(LEFT($B201,4)="_Mil",$C201="&lt;01"),"",MAX(SUM($AA201),90%))</f>
        <v>1946</v>
      </c>
      <c r="AM201" s="10" t="n">
        <f aca="false">IF(OR(LEFT($B201,4)="_Mil",$C201="&lt;01"),"",ROUND(SUM($AJ201)*SUM($AL201),0))</f>
        <v>0</v>
      </c>
      <c r="AN201" s="10" t="str">
        <f aca="false">IF($C201="&lt;01",ROUND(INDEX(EID!$P:$P,MATCH($B201,EID!$B:$B,0))/2,0),"")</f>
        <v/>
      </c>
      <c r="AO201" s="10" t="n">
        <f aca="false">IF($C201="&lt;01",SUM($AN201),ROUND(SUM($AM201)*SUM($O201)/IF(SUM($Z201)=0,1,$Z201),0))</f>
        <v>0</v>
      </c>
      <c r="AP201" s="39" t="n">
        <f aca="false">IF(OR($F201="",$C201="&lt;01"),$AO201,$F201)</f>
        <v>0</v>
      </c>
      <c r="AQ201" s="39" t="n">
        <f aca="false">IF(LEFT($B201,4)="_Mil","",IF(SUM($AP201)=0,SUM($Z201),IF(OR(SUM($Z201)=0,SUM($O201)=0),MAX($AP201,$Z201),$AP201*$Z201/$O201)))</f>
        <v>1213</v>
      </c>
      <c r="AR201" s="88" t="str">
        <f aca="false">IF(OR(LEFT($B201,4)="_Mil",SUM($AJ201)=0),"",SUM($AQ201)/$AJ201)</f>
        <v/>
      </c>
      <c r="AS201" s="88" t="n">
        <f aca="false">IF($C201="&lt;01","",98%)</f>
        <v>0.98</v>
      </c>
      <c r="AT201" s="88" t="n">
        <f aca="false">IF($C201="&lt;01","",98%)</f>
        <v>0.98</v>
      </c>
      <c r="AU201" s="10" t="n">
        <f aca="false">IF($C201="&lt;01","",SUM($AP201)-SUM($O201))</f>
        <v>-93</v>
      </c>
      <c r="AV201" s="10" t="n">
        <f aca="false">IF($C201="&lt;01",ROUND(INDEX(EID!$N:$N,MATCH($B201,EID!$B:$B,0))/2,0),IF(SUM($AT201)=0,"",ROUND((SUM($AP201)-(SUM($O201)*SUM($AS201)))/$AT201,0)))</f>
        <v>-93</v>
      </c>
      <c r="AW201" s="88" t="n">
        <f aca="false">IF($C201="&lt;01","",100%)</f>
        <v>1</v>
      </c>
      <c r="AX201" s="39" t="n">
        <f aca="false">IF($C201="&lt;01",SUM($AV201),ROUND(SUM($AV201)*SUM($AW201),0))</f>
        <v>-93</v>
      </c>
      <c r="AY201" s="114" t="n">
        <f aca="false">IF($C201="&lt;01","",70%)</f>
        <v>0.7</v>
      </c>
      <c r="AZ201" s="91" t="n">
        <f aca="false">IF($C201="&lt;01",ROUND(INDEX(EID!$R:$R,MATCH($B201,EID!$B:$B,0))/2,0),ROUND(SUM($O201)+(SUM($AV201)*$AY201),0))</f>
        <v>28</v>
      </c>
      <c r="BA201" s="87" t="n">
        <f aca="false">IF($C201="&lt;01","",95%)</f>
        <v>0.95</v>
      </c>
      <c r="BB201" s="5" t="n">
        <f aca="false">IF($C201="&lt;01",ROUND(INDEX(EID!$T:$T,MATCH($B201,EID!$B:$B,0))/2,0),ROUND($AZ201*$BA201,0))</f>
        <v>27</v>
      </c>
      <c r="BC201" s="91" t="n">
        <f aca="false">IF(LEFT($B201,4)="_Mil","",IF(SUM($BB201)=0,SUM($AD201),IF(OR(SUM($AP201)=0,SUM($AQ201)=0),MAX($BB201,$AD201),ROUND($BB201*$AQ201/$AP201,0))))</f>
        <v>27</v>
      </c>
      <c r="BD201" s="88" t="n">
        <f aca="false">IF($C201="&lt;01","",95%)</f>
        <v>0.95</v>
      </c>
      <c r="BE201" s="39" t="n">
        <f aca="false">IF($C201="&lt;01",ROUND(INDEX(EID!$V:$V,MATCH($B201,EID!$B:$B,0))/2,0),ROUND($BD201*$BB201,0))</f>
        <v>26</v>
      </c>
      <c r="BF201" s="39" t="n">
        <f aca="false">IF(LEFT($B201,4)="_Mil","",IF(SUM($BE201)=0,SUM($AF201),IF(OR(SUM($AP201)=0,SUM($AQ201)=0),MAX($BE201,$AF201),ROUND($BE201*$AQ201/$AP201,0))))</f>
        <v>26</v>
      </c>
      <c r="BG201" s="114" t="n">
        <f aca="false">IF($C201="&lt;01","",95%)</f>
        <v>0.95</v>
      </c>
      <c r="BH201" s="5" t="n">
        <f aca="false">IF($C201="&lt;01",ROUND(INDEX(EID!$L:$L,MATCH($B201,EID!$B:$B,0)),0)/2,IF(SUM($BG201)=0,"",ROUND($AX201/$BG201,0)))</f>
        <v>-98</v>
      </c>
    </row>
    <row r="202" customFormat="false" ht="15" hidden="false" customHeight="false" outlineLevel="0" collapsed="false">
      <c r="A202" s="0" t="str">
        <f aca="false">INDEX(Prioritization!$D:$D,MATCH($B202,Prioritization!$A:$A,0))</f>
        <v>1 - Scale-up: Saturation</v>
      </c>
      <c r="B202" s="0" t="s">
        <v>207</v>
      </c>
      <c r="C202" s="0" t="s">
        <v>364</v>
      </c>
      <c r="D202" s="0" t="s">
        <v>48</v>
      </c>
      <c r="E202" s="0" t="str">
        <f aca="false">$B202&amp;"|"&amp;$C202&amp;"|"&amp;$D202</f>
        <v>Mzimba District [vA4NcHxfMBq]|10-14|Male</v>
      </c>
      <c r="F202" s="10"/>
      <c r="G202" s="10" t="n">
        <v>65</v>
      </c>
      <c r="H202" s="10" t="n">
        <v>6</v>
      </c>
      <c r="I202" s="10" t="n">
        <v>15</v>
      </c>
      <c r="J202" s="10" t="n">
        <v>69</v>
      </c>
      <c r="K202" s="10" t="n">
        <v>56</v>
      </c>
      <c r="L202" s="10" t="n">
        <v>2</v>
      </c>
      <c r="M202" s="10" t="n">
        <v>9</v>
      </c>
      <c r="N202" s="10" t="n">
        <v>94</v>
      </c>
      <c r="O202" s="10" t="n">
        <f aca="false">IFERROR(1/(1/MAX($I202,$N202)),"")</f>
        <v>94</v>
      </c>
      <c r="P202" s="10" t="n">
        <v>53</v>
      </c>
      <c r="Q202" s="10" t="n">
        <v>38</v>
      </c>
      <c r="R202" s="10" t="n">
        <f aca="false">IF(AND(SUM($I202)=0,SUM($O202)=0),"",SUM($O202)-$I202)</f>
        <v>79</v>
      </c>
      <c r="S202" s="10" t="n">
        <f aca="false">IF(LEFT($B202,4)="_Mil","",_xlfn.IFNA(ROUND(INDEX(Spectrum!$N:$N,MATCH(RIGHT($B202,13)&amp;"|"&amp;$C202&amp;"|"&amp;$D202&amp;"|"&amp;S$14&amp;"|"&amp;"CY2022Q4",Spectrum!$R:$R,0)),0),""))</f>
        <v>1498</v>
      </c>
      <c r="T202" s="39" t="n">
        <f aca="false">IF(LEFT($B202,4)="_Mil","",_xlfn.IFNA(ROUND(INDEX(Spectrum!$N:$N,MATCH(RIGHT($B202,13)&amp;"|"&amp;$C202&amp;"|"&amp;$D202&amp;"|"&amp;T$14&amp;"|"&amp;"CY2023Q3",Spectrum!$R:$R,0)),0),""))</f>
        <v>1149</v>
      </c>
      <c r="U202" s="39" t="str">
        <f aca="false">IF(LEFT($B202,4)="_Mil","",_xlfn.IFNA(ROUND(INDEX(Spectrum!$N:$N,MATCH(RIGHT($B202,13)&amp;"|"&amp;$C202&amp;"|"&amp;$D202&amp;"|"&amp;U$14&amp;"|"&amp;"CY2023Q3",Spectrum!$R:$R,0)),0),""))</f>
        <v/>
      </c>
      <c r="V202" s="10" t="n">
        <f aca="false">IF(LEFT($B202,4)="_Mil","",_xlfn.IFNA(ROUND(INDEX(Spectrum!$N:$N,MATCH(RIGHT($B202,13)&amp;"|"&amp;$C202&amp;"|"&amp;$D202&amp;"|"&amp;V$14&amp;"|"&amp;"CY2023Q3",Spectrum!$R:$R,0)),0),""))</f>
        <v>1800</v>
      </c>
      <c r="W202" s="113" t="n">
        <f aca="false">IF(LEFT($B202,4)="_Mil","",_xlfn.IFNA(INDEX(Spectrum!$N:$N,MATCH(RIGHT($B202,13)&amp;"|"&amp;$C202&amp;"|"&amp;$D202&amp;"|"&amp;W$14&amp;"|"&amp;"CY2023Q3",Spectrum!$R:$R,0)),""))</f>
        <v>601</v>
      </c>
      <c r="X202" s="39" t="n">
        <f aca="false">IF(LEFT($B202,4)="_Mil","",_xlfn.IFNA(ROUND(INDEX(Spectrum!$N:$N,MATCH(RIGHT($B202,13)&amp;"|"&amp;$C202&amp;"|"&amp;$D202&amp;"|"&amp;X$14&amp;"|"&amp;"CY2023Q3",Spectrum!$R:$R,0)),0),""))</f>
        <v>853</v>
      </c>
      <c r="Y202" s="88" t="str">
        <f aca="false">IF(OR(SUM($U202)=0,LEFT($B202,4)="_Mil"),"",SUM($X202)/$U202)</f>
        <v/>
      </c>
      <c r="Z202" s="39" t="n">
        <f aca="false">IF(LEFT($B202,4)="_Mil","",_xlfn.IFNA(ROUND(INDEX(Spectrum!$N:$N,MATCH(RIGHT($B202,13)&amp;"|"&amp;$C202&amp;"|"&amp;$D202&amp;"|"&amp;Z$14&amp;"|"&amp;"CY2023Q3",Spectrum!$R:$R,0)),0),""))</f>
        <v>705</v>
      </c>
      <c r="AA202" s="88" t="n">
        <f aca="false">IF(LEFT($B202,4)="_Mil","",IFERROR(1/(1/INDEX(Spectrum!$N:$N,MATCH(RIGHT($B202,13)&amp;"|"&amp;$C202&amp;"|"&amp;$D202&amp;"|"&amp;AA$14&amp;"|"&amp;"CY2023Q3",Spectrum!$R:$R,0))),IF(SUM($U202)=0,"",SUM($Z202)/$U202)))</f>
        <v>802</v>
      </c>
      <c r="AB202" s="88" t="n">
        <f aca="false">IF(OR(LEFT($B202,4)="_Mil",SUM($X202)=0),"",SUM($Z202)/$X202)</f>
        <v>0.826494724501758</v>
      </c>
      <c r="AC202" s="10" t="n">
        <f aca="false">IF(LEFT($B202,4)="_Mil","",_xlfn.IFNA(ROUND(INDEX(Spectrum!$N:$N,MATCH(RIGHT($B202,13)&amp;"|"&amp;$C202&amp;"|"&amp;$D202&amp;"|"&amp;AC$14&amp;"|"&amp;"CY2023Q3",Spectrum!$R:$R,0)),0),""))</f>
        <v>1345</v>
      </c>
      <c r="AD202" s="10" t="str">
        <f aca="false">IF(LEFT($B202,4)="_Mil","",_xlfn.IFNA(ROUND(INDEX(Spectrum!$N:$N,MATCH(RIGHT($B202,13)&amp;"|"&amp;$C202&amp;"|"&amp;$D202&amp;"|"&amp;AD$14&amp;"|"&amp;"CY2023Q3",Spectrum!$R:$R,0)),0),""))</f>
        <v/>
      </c>
      <c r="AE202" s="88" t="n">
        <f aca="false">IF(OR(LEFT($B202,4)="_Mil",SUM($Z202)=0),"",SUM($AD202)/$Z202)</f>
        <v>0</v>
      </c>
      <c r="AF202" s="39" t="str">
        <f aca="false">IF(LEFT($B202,4)="_Mil","",_xlfn.IFNA(ROUND(INDEX(Spectrum!$N:$N,MATCH(RIGHT($B202,13)&amp;"|"&amp;$C202&amp;"|"&amp;$D202&amp;"|"&amp;AF$14&amp;"|"&amp;"CY2023Q3",Spectrum!$R:$R,0)),0),""))</f>
        <v/>
      </c>
      <c r="AG202" s="88" t="str">
        <f aca="false">IF(OR(LEFT($B202,4)="_Mil",SUM($AD202)=0),"",SUM($AF202)/$AD202)</f>
        <v/>
      </c>
      <c r="AH202" s="86" t="str">
        <f aca="false">IF(LEFT($B202,4)="_Mil","",_xlfn.IFNA(INDEX(Spectrum!$N:$N,MATCH(RIGHT($B202,13)&amp;"|"&amp;$C202&amp;"|"&amp;$D202&amp;"|"&amp;AH$14&amp;"|"&amp;"CY2023Q3",Spectrum!$R:$R,0)),""))</f>
        <v/>
      </c>
      <c r="AI202" s="10" t="str">
        <f aca="false">IF(LEFT($B202,4)="_Mil","",_xlfn.IFNA(ROUND(INDEX(Spectrum!$N:$N,MATCH(RIGHT($B202,13)&amp;"|"&amp;$C202&amp;"|"&amp;$D202&amp;"|"&amp;AI$14&amp;"|"&amp;"CY2023Q3",Spectrum!$R:$R,0)),0),""))</f>
        <v/>
      </c>
      <c r="AJ202" s="39" t="n">
        <f aca="false">IF(LEFT($B202,4)="_Mil","",_xlfn.IFNA(ROUND(INDEX(Spectrum!$N:$N,MATCH(RIGHT($B202,13)&amp;"|"&amp;$C202&amp;"|"&amp;$D202&amp;"|"&amp;AI$14&amp;"|"&amp;"CY2023Q3",Spectrum!$R:$R,0)),0),SUM($U202)+SUM($AI202)))</f>
        <v>0</v>
      </c>
      <c r="AK202" s="10" t="str">
        <f aca="false">IF(LEFT($B202,4)="_Mil","",_xlfn.IFNA(ROUND(INDEX(Spectrum!$N:$N,MATCH(RIGHT($B202,13)&amp;"|"&amp;$C202&amp;"|"&amp;$D202&amp;"|"&amp;AK$14&amp;"|"&amp;"CY2023Q3",Spectrum!$R:$R,0)),0),""))</f>
        <v/>
      </c>
      <c r="AL202" s="88" t="n">
        <f aca="false">IF(OR(LEFT($B202,4)="_Mil",$C202="&lt;01"),"",MAX(SUM($AA202),90%))</f>
        <v>802</v>
      </c>
      <c r="AM202" s="10" t="n">
        <f aca="false">IF(OR(LEFT($B202,4)="_Mil",$C202="&lt;01"),"",ROUND(SUM($AJ202)*SUM($AL202),0))</f>
        <v>0</v>
      </c>
      <c r="AN202" s="10" t="str">
        <f aca="false">IF($C202="&lt;01",ROUND(INDEX(EID!$P:$P,MATCH($B202,EID!$B:$B,0))/2,0),"")</f>
        <v/>
      </c>
      <c r="AO202" s="10" t="n">
        <f aca="false">IF($C202="&lt;01",SUM($AN202),ROUND(SUM($AM202)*SUM($O202)/IF(SUM($Z202)=0,1,$Z202),0))</f>
        <v>0</v>
      </c>
      <c r="AP202" s="39" t="n">
        <f aca="false">IF(OR($F202="",$C202="&lt;01"),$AO202,$F202)</f>
        <v>0</v>
      </c>
      <c r="AQ202" s="39" t="n">
        <f aca="false">IF(LEFT($B202,4)="_Mil","",IF(SUM($AP202)=0,SUM($Z202),IF(OR(SUM($Z202)=0,SUM($O202)=0),MAX($AP202,$Z202),$AP202*$Z202/$O202)))</f>
        <v>705</v>
      </c>
      <c r="AR202" s="88" t="str">
        <f aca="false">IF(OR(LEFT($B202,4)="_Mil",SUM($AJ202)=0),"",SUM($AQ202)/$AJ202)</f>
        <v/>
      </c>
      <c r="AS202" s="88" t="n">
        <f aca="false">IF($C202="&lt;01","",98%)</f>
        <v>0.98</v>
      </c>
      <c r="AT202" s="88" t="n">
        <f aca="false">IF($C202="&lt;01","",98%)</f>
        <v>0.98</v>
      </c>
      <c r="AU202" s="10" t="n">
        <f aca="false">IF($C202="&lt;01","",SUM($AP202)-SUM($O202))</f>
        <v>-94</v>
      </c>
      <c r="AV202" s="10" t="n">
        <f aca="false">IF($C202="&lt;01",ROUND(INDEX(EID!$N:$N,MATCH($B202,EID!$B:$B,0))/2,0),IF(SUM($AT202)=0,"",ROUND((SUM($AP202)-(SUM($O202)*SUM($AS202)))/$AT202,0)))</f>
        <v>-94</v>
      </c>
      <c r="AW202" s="88" t="n">
        <f aca="false">IF($C202="&lt;01","",100%)</f>
        <v>1</v>
      </c>
      <c r="AX202" s="39" t="n">
        <f aca="false">IF($C202="&lt;01",SUM($AV202),ROUND(SUM($AV202)*SUM($AW202),0))</f>
        <v>-94</v>
      </c>
      <c r="AY202" s="114" t="n">
        <f aca="false">IF($C202="&lt;01","",70%)</f>
        <v>0.7</v>
      </c>
      <c r="AZ202" s="91" t="n">
        <f aca="false">IF($C202="&lt;01",ROUND(INDEX(EID!$R:$R,MATCH($B202,EID!$B:$B,0))/2,0),ROUND(SUM($O202)+(SUM($AV202)*$AY202),0))</f>
        <v>28</v>
      </c>
      <c r="BA202" s="87" t="n">
        <f aca="false">IF($C202="&lt;01","",95%)</f>
        <v>0.95</v>
      </c>
      <c r="BB202" s="5" t="n">
        <f aca="false">IF($C202="&lt;01",ROUND(INDEX(EID!$T:$T,MATCH($B202,EID!$B:$B,0))/2,0),ROUND($AZ202*$BA202,0))</f>
        <v>27</v>
      </c>
      <c r="BC202" s="91" t="n">
        <f aca="false">IF(LEFT($B202,4)="_Mil","",IF(SUM($BB202)=0,SUM($AD202),IF(OR(SUM($AP202)=0,SUM($AQ202)=0),MAX($BB202,$AD202),ROUND($BB202*$AQ202/$AP202,0))))</f>
        <v>27</v>
      </c>
      <c r="BD202" s="88" t="n">
        <f aca="false">IF($C202="&lt;01","",95%)</f>
        <v>0.95</v>
      </c>
      <c r="BE202" s="39" t="n">
        <f aca="false">IF($C202="&lt;01",ROUND(INDEX(EID!$V:$V,MATCH($B202,EID!$B:$B,0))/2,0),ROUND($BD202*$BB202,0))</f>
        <v>26</v>
      </c>
      <c r="BF202" s="39" t="n">
        <f aca="false">IF(LEFT($B202,4)="_Mil","",IF(SUM($BE202)=0,SUM($AF202),IF(OR(SUM($AP202)=0,SUM($AQ202)=0),MAX($BE202,$AF202),ROUND($BE202*$AQ202/$AP202,0))))</f>
        <v>26</v>
      </c>
      <c r="BG202" s="114" t="n">
        <f aca="false">IF($C202="&lt;01","",95%)</f>
        <v>0.95</v>
      </c>
      <c r="BH202" s="5" t="n">
        <f aca="false">IF($C202="&lt;01",ROUND(INDEX(EID!$L:$L,MATCH($B202,EID!$B:$B,0)),0)/2,IF(SUM($BG202)=0,"",ROUND($AX202/$BG202,0)))</f>
        <v>-99</v>
      </c>
    </row>
    <row r="203" customFormat="false" ht="15" hidden="false" customHeight="false" outlineLevel="0" collapsed="false">
      <c r="A203" s="0" t="str">
        <f aca="false">INDEX(Prioritization!$D:$D,MATCH($B203,Prioritization!$A:$A,0))</f>
        <v>1 - Scale-up: Saturation</v>
      </c>
      <c r="B203" s="0" t="s">
        <v>207</v>
      </c>
      <c r="C203" s="0" t="s">
        <v>365</v>
      </c>
      <c r="D203" s="0" t="s">
        <v>30</v>
      </c>
      <c r="E203" s="0" t="str">
        <f aca="false">$B203&amp;"|"&amp;$C203&amp;"|"&amp;$D203</f>
        <v>Mzimba District [vA4NcHxfMBq]|15-24|Female</v>
      </c>
      <c r="F203" s="10"/>
      <c r="G203" s="10"/>
      <c r="H203" s="10"/>
      <c r="I203" s="10"/>
      <c r="J203" s="10"/>
      <c r="K203" s="10"/>
      <c r="L203" s="10"/>
      <c r="M203" s="10"/>
      <c r="N203" s="10"/>
      <c r="O203" s="10" t="str">
        <f aca="false">IFERROR(1/(1/MAX($I203,$N203)),"")</f>
        <v/>
      </c>
      <c r="P203" s="10"/>
      <c r="Q203" s="10"/>
      <c r="R203" s="10" t="str">
        <f aca="false">IF(AND(SUM($I203)=0,SUM($O203)=0),"",SUM($O203)-$I203)</f>
        <v/>
      </c>
      <c r="S203" s="10" t="n">
        <f aca="false">IF(LEFT($B203,4)="_Mil","",_xlfn.IFNA(ROUND(INDEX(Spectrum!$N:$N,MATCH(RIGHT($B203,13)&amp;"|"&amp;$C203&amp;"|"&amp;$D203&amp;"|"&amp;S$14&amp;"|"&amp;"CY2022Q4",Spectrum!$R:$R,0)),0),""))</f>
        <v>933</v>
      </c>
      <c r="T203" s="39" t="n">
        <f aca="false">IF(LEFT($B203,4)="_Mil","",_xlfn.IFNA(ROUND(INDEX(Spectrum!$N:$N,MATCH(RIGHT($B203,13)&amp;"|"&amp;$C203&amp;"|"&amp;$D203&amp;"|"&amp;T$14&amp;"|"&amp;"CY2023Q3",Spectrum!$R:$R,0)),0),""))</f>
        <v>1732</v>
      </c>
      <c r="U203" s="39" t="str">
        <f aca="false">IF(LEFT($B203,4)="_Mil","",_xlfn.IFNA(ROUND(INDEX(Spectrum!$N:$N,MATCH(RIGHT($B203,13)&amp;"|"&amp;$C203&amp;"|"&amp;$D203&amp;"|"&amp;U$14&amp;"|"&amp;"CY2023Q3",Spectrum!$R:$R,0)),0),""))</f>
        <v/>
      </c>
      <c r="V203" s="10" t="n">
        <f aca="false">IF(LEFT($B203,4)="_Mil","",_xlfn.IFNA(ROUND(INDEX(Spectrum!$N:$N,MATCH(RIGHT($B203,13)&amp;"|"&amp;$C203&amp;"|"&amp;$D203&amp;"|"&amp;V$14&amp;"|"&amp;"CY2023Q3",Spectrum!$R:$R,0)),0),""))</f>
        <v>580</v>
      </c>
      <c r="W203" s="113" t="n">
        <f aca="false">IF(LEFT($B203,4)="_Mil","",_xlfn.IFNA(INDEX(Spectrum!$N:$N,MATCH(RIGHT($B203,13)&amp;"|"&amp;$C203&amp;"|"&amp;$D203&amp;"|"&amp;W$14&amp;"|"&amp;"CY2023Q3",Spectrum!$R:$R,0)),""))</f>
        <v>1095</v>
      </c>
      <c r="X203" s="39" t="n">
        <f aca="false">IF(LEFT($B203,4)="_Mil","",_xlfn.IFNA(ROUND(INDEX(Spectrum!$N:$N,MATCH(RIGHT($B203,13)&amp;"|"&amp;$C203&amp;"|"&amp;$D203&amp;"|"&amp;X$14&amp;"|"&amp;"CY2023Q3",Spectrum!$R:$R,0)),0),""))</f>
        <v>1209</v>
      </c>
      <c r="Y203" s="88" t="str">
        <f aca="false">IF(OR(SUM($U203)=0,LEFT($B203,4)="_Mil"),"",SUM($X203)/$U203)</f>
        <v/>
      </c>
      <c r="Z203" s="39" t="n">
        <f aca="false">IF(LEFT($B203,4)="_Mil","",_xlfn.IFNA(ROUND(INDEX(Spectrum!$N:$N,MATCH(RIGHT($B203,13)&amp;"|"&amp;$C203&amp;"|"&amp;$D203&amp;"|"&amp;Z$14&amp;"|"&amp;"CY2023Q3",Spectrum!$R:$R,0)),0),""))</f>
        <v>1827</v>
      </c>
      <c r="AA203" s="88" t="n">
        <f aca="false">IF(LEFT($B203,4)="_Mil","",IFERROR(1/(1/INDEX(Spectrum!$N:$N,MATCH(RIGHT($B203,13)&amp;"|"&amp;$C203&amp;"|"&amp;$D203&amp;"|"&amp;AA$14&amp;"|"&amp;"CY2023Q3",Spectrum!$R:$R,0))),IF(SUM($U203)=0,"",SUM($Z203)/$U203)))</f>
        <v>765</v>
      </c>
      <c r="AB203" s="88" t="n">
        <f aca="false">IF(OR(LEFT($B203,4)="_Mil",SUM($X203)=0),"",SUM($Z203)/$X203)</f>
        <v>1.51116625310174</v>
      </c>
      <c r="AC203" s="10" t="n">
        <f aca="false">IF(LEFT($B203,4)="_Mil","",_xlfn.IFNA(ROUND(INDEX(Spectrum!$N:$N,MATCH(RIGHT($B203,13)&amp;"|"&amp;$C203&amp;"|"&amp;$D203&amp;"|"&amp;AC$14&amp;"|"&amp;"CY2023Q3",Spectrum!$R:$R,0)),0),""))</f>
        <v>919</v>
      </c>
      <c r="AD203" s="10" t="str">
        <f aca="false">IF(LEFT($B203,4)="_Mil","",_xlfn.IFNA(ROUND(INDEX(Spectrum!$N:$N,MATCH(RIGHT($B203,13)&amp;"|"&amp;$C203&amp;"|"&amp;$D203&amp;"|"&amp;AD$14&amp;"|"&amp;"CY2023Q3",Spectrum!$R:$R,0)),0),""))</f>
        <v/>
      </c>
      <c r="AE203" s="88" t="n">
        <f aca="false">IF(OR(LEFT($B203,4)="_Mil",SUM($Z203)=0),"",SUM($AD203)/$Z203)</f>
        <v>0</v>
      </c>
      <c r="AF203" s="39" t="str">
        <f aca="false">IF(LEFT($B203,4)="_Mil","",_xlfn.IFNA(ROUND(INDEX(Spectrum!$N:$N,MATCH(RIGHT($B203,13)&amp;"|"&amp;$C203&amp;"|"&amp;$D203&amp;"|"&amp;AF$14&amp;"|"&amp;"CY2023Q3",Spectrum!$R:$R,0)),0),""))</f>
        <v/>
      </c>
      <c r="AG203" s="88" t="str">
        <f aca="false">IF(OR(LEFT($B203,4)="_Mil",SUM($AD203)=0),"",SUM($AF203)/$AD203)</f>
        <v/>
      </c>
      <c r="AH203" s="86" t="str">
        <f aca="false">IF(LEFT($B203,4)="_Mil","",_xlfn.IFNA(INDEX(Spectrum!$N:$N,MATCH(RIGHT($B203,13)&amp;"|"&amp;$C203&amp;"|"&amp;$D203&amp;"|"&amp;AH$14&amp;"|"&amp;"CY2023Q3",Spectrum!$R:$R,0)),""))</f>
        <v/>
      </c>
      <c r="AI203" s="10" t="str">
        <f aca="false">IF(LEFT($B203,4)="_Mil","",_xlfn.IFNA(ROUND(INDEX(Spectrum!$N:$N,MATCH(RIGHT($B203,13)&amp;"|"&amp;$C203&amp;"|"&amp;$D203&amp;"|"&amp;AI$14&amp;"|"&amp;"CY2023Q3",Spectrum!$R:$R,0)),0),""))</f>
        <v/>
      </c>
      <c r="AJ203" s="39" t="n">
        <f aca="false">IF(LEFT($B203,4)="_Mil","",_xlfn.IFNA(ROUND(INDEX(Spectrum!$N:$N,MATCH(RIGHT($B203,13)&amp;"|"&amp;$C203&amp;"|"&amp;$D203&amp;"|"&amp;AI$14&amp;"|"&amp;"CY2023Q3",Spectrum!$R:$R,0)),0),SUM($U203)+SUM($AI203)))</f>
        <v>0</v>
      </c>
      <c r="AK203" s="10" t="str">
        <f aca="false">IF(LEFT($B203,4)="_Mil","",_xlfn.IFNA(ROUND(INDEX(Spectrum!$N:$N,MATCH(RIGHT($B203,13)&amp;"|"&amp;$C203&amp;"|"&amp;$D203&amp;"|"&amp;AK$14&amp;"|"&amp;"CY2023Q3",Spectrum!$R:$R,0)),0),""))</f>
        <v/>
      </c>
      <c r="AL203" s="88" t="n">
        <f aca="false">IF(OR(LEFT($B203,4)="_Mil",$C203="&lt;01"),"",MAX(SUM($AA203),90%))</f>
        <v>765</v>
      </c>
      <c r="AM203" s="10" t="n">
        <f aca="false">IF(OR(LEFT($B203,4)="_Mil",$C203="&lt;01"),"",ROUND(SUM($AJ203)*SUM($AL203),0))</f>
        <v>0</v>
      </c>
      <c r="AN203" s="10" t="str">
        <f aca="false">IF($C203="&lt;01",ROUND(INDEX(EID!$P:$P,MATCH($B203,EID!$B:$B,0))/2,0),"")</f>
        <v/>
      </c>
      <c r="AO203" s="10" t="n">
        <f aca="false">IF($C203="&lt;01",SUM($AN203),ROUND(SUM($AM203)*SUM($O203)/IF(SUM($Z203)=0,1,$Z203),0))</f>
        <v>0</v>
      </c>
      <c r="AP203" s="39" t="n">
        <f aca="false">IF(OR($F203="",$C203="&lt;01"),$AO203,$F203)</f>
        <v>0</v>
      </c>
      <c r="AQ203" s="39" t="n">
        <f aca="false">IF(LEFT($B203,4)="_Mil","",IF(SUM($AP203)=0,SUM($Z203),IF(OR(SUM($Z203)=0,SUM($O203)=0),MAX($AP203,$Z203),$AP203*$Z203/$O203)))</f>
        <v>1827</v>
      </c>
      <c r="AR203" s="88" t="str">
        <f aca="false">IF(OR(LEFT($B203,4)="_Mil",SUM($AJ203)=0),"",SUM($AQ203)/$AJ203)</f>
        <v/>
      </c>
      <c r="AS203" s="88" t="n">
        <f aca="false">IF($C203="&lt;01","",98%)</f>
        <v>0.98</v>
      </c>
      <c r="AT203" s="88" t="n">
        <f aca="false">IF($C203="&lt;01","",98%)</f>
        <v>0.98</v>
      </c>
      <c r="AU203" s="10" t="n">
        <f aca="false">IF($C203="&lt;01","",SUM($AP203)-SUM($O203))</f>
        <v>0</v>
      </c>
      <c r="AV203" s="10" t="n">
        <f aca="false">IF($C203="&lt;01",ROUND(INDEX(EID!$N:$N,MATCH($B203,EID!$B:$B,0))/2,0),IF(SUM($AT203)=0,"",ROUND((SUM($AP203)-(SUM($O203)*SUM($AS203)))/$AT203,0)))</f>
        <v>0</v>
      </c>
      <c r="AW203" s="88" t="n">
        <f aca="false">IF($C203="&lt;01","",100%)</f>
        <v>1</v>
      </c>
      <c r="AX203" s="39" t="n">
        <f aca="false">IF($C203="&lt;01",SUM($AV203),ROUND(SUM($AV203)*SUM($AW203),0))</f>
        <v>0</v>
      </c>
      <c r="AY203" s="114" t="n">
        <f aca="false">IF($C203="&lt;01","",70%)</f>
        <v>0.7</v>
      </c>
      <c r="AZ203" s="91" t="n">
        <f aca="false">IF($C203="&lt;01",ROUND(INDEX(EID!$R:$R,MATCH($B203,EID!$B:$B,0))/2,0),ROUND(SUM($O203)+(SUM($AV203)*$AY203),0))</f>
        <v>0</v>
      </c>
      <c r="BA203" s="87" t="n">
        <f aca="false">IF($C203="&lt;01","",95%)</f>
        <v>0.95</v>
      </c>
      <c r="BB203" s="5" t="n">
        <f aca="false">IF($C203="&lt;01",ROUND(INDEX(EID!$T:$T,MATCH($B203,EID!$B:$B,0))/2,0),ROUND($AZ203*$BA203,0))</f>
        <v>0</v>
      </c>
      <c r="BC203" s="91" t="n">
        <f aca="false">IF(LEFT($B203,4)="_Mil","",IF(SUM($BB203)=0,SUM($AD203),IF(OR(SUM($AP203)=0,SUM($AQ203)=0),MAX($BB203,$AD203),ROUND($BB203*$AQ203/$AP203,0))))</f>
        <v>0</v>
      </c>
      <c r="BD203" s="88" t="n">
        <f aca="false">IF($C203="&lt;01","",95%)</f>
        <v>0.95</v>
      </c>
      <c r="BE203" s="39" t="n">
        <f aca="false">IF($C203="&lt;01",ROUND(INDEX(EID!$V:$V,MATCH($B203,EID!$B:$B,0))/2,0),ROUND($BD203*$BB203,0))</f>
        <v>0</v>
      </c>
      <c r="BF203" s="39" t="n">
        <f aca="false">IF(LEFT($B203,4)="_Mil","",IF(SUM($BE203)=0,SUM($AF203),IF(OR(SUM($AP203)=0,SUM($AQ203)=0),MAX($BE203,$AF203),ROUND($BE203*$AQ203/$AP203,0))))</f>
        <v>0</v>
      </c>
      <c r="BG203" s="114" t="n">
        <f aca="false">IF($C203="&lt;01","",95%)</f>
        <v>0.95</v>
      </c>
      <c r="BH203" s="5" t="n">
        <f aca="false">IF($C203="&lt;01",ROUND(INDEX(EID!$L:$L,MATCH($B203,EID!$B:$B,0)),0)/2,IF(SUM($BG203)=0,"",ROUND($AX203/$BG203,0)))</f>
        <v>0</v>
      </c>
    </row>
    <row r="204" customFormat="false" ht="15" hidden="false" customHeight="false" outlineLevel="0" collapsed="false">
      <c r="A204" s="0" t="str">
        <f aca="false">INDEX(Prioritization!$D:$D,MATCH($B204,Prioritization!$A:$A,0))</f>
        <v>1 - Scale-up: Saturation</v>
      </c>
      <c r="B204" s="0" t="s">
        <v>207</v>
      </c>
      <c r="C204" s="0" t="s">
        <v>365</v>
      </c>
      <c r="D204" s="0" t="s">
        <v>48</v>
      </c>
      <c r="E204" s="0" t="str">
        <f aca="false">$B204&amp;"|"&amp;$C204&amp;"|"&amp;$D204</f>
        <v>Mzimba District [vA4NcHxfMBq]|15-24|Male</v>
      </c>
      <c r="F204" s="10"/>
      <c r="G204" s="10"/>
      <c r="H204" s="10"/>
      <c r="I204" s="10"/>
      <c r="J204" s="10"/>
      <c r="K204" s="10"/>
      <c r="L204" s="10"/>
      <c r="M204" s="10"/>
      <c r="N204" s="10"/>
      <c r="O204" s="10" t="str">
        <f aca="false">IFERROR(1/(1/MAX($I204,$N204)),"")</f>
        <v/>
      </c>
      <c r="P204" s="10"/>
      <c r="Q204" s="10"/>
      <c r="R204" s="10" t="str">
        <f aca="false">IF(AND(SUM($I204)=0,SUM($O204)=0),"",SUM($O204)-$I204)</f>
        <v/>
      </c>
      <c r="S204" s="10" t="n">
        <f aca="false">IF(LEFT($B204,4)="_Mil","",_xlfn.IFNA(ROUND(INDEX(Spectrum!$N:$N,MATCH(RIGHT($B204,13)&amp;"|"&amp;$C204&amp;"|"&amp;$D204&amp;"|"&amp;S$14&amp;"|"&amp;"CY2022Q4",Spectrum!$R:$R,0)),0),""))</f>
        <v>968</v>
      </c>
      <c r="T204" s="39" t="n">
        <f aca="false">IF(LEFT($B204,4)="_Mil","",_xlfn.IFNA(ROUND(INDEX(Spectrum!$N:$N,MATCH(RIGHT($B204,13)&amp;"|"&amp;$C204&amp;"|"&amp;$D204&amp;"|"&amp;T$14&amp;"|"&amp;"CY2023Q3",Spectrum!$R:$R,0)),0),""))</f>
        <v>734</v>
      </c>
      <c r="U204" s="39" t="str">
        <f aca="false">IF(LEFT($B204,4)="_Mil","",_xlfn.IFNA(ROUND(INDEX(Spectrum!$N:$N,MATCH(RIGHT($B204,13)&amp;"|"&amp;$C204&amp;"|"&amp;$D204&amp;"|"&amp;U$14&amp;"|"&amp;"CY2023Q3",Spectrum!$R:$R,0)),0),""))</f>
        <v/>
      </c>
      <c r="V204" s="10" t="n">
        <f aca="false">IF(LEFT($B204,4)="_Mil","",_xlfn.IFNA(ROUND(INDEX(Spectrum!$N:$N,MATCH(RIGHT($B204,13)&amp;"|"&amp;$C204&amp;"|"&amp;$D204&amp;"|"&amp;V$14&amp;"|"&amp;"CY2023Q3",Spectrum!$R:$R,0)),0),""))</f>
        <v>1090</v>
      </c>
      <c r="W204" s="113" t="n">
        <f aca="false">IF(LEFT($B204,4)="_Mil","",_xlfn.IFNA(INDEX(Spectrum!$N:$N,MATCH(RIGHT($B204,13)&amp;"|"&amp;$C204&amp;"|"&amp;$D204&amp;"|"&amp;W$14&amp;"|"&amp;"CY2023Q3",Spectrum!$R:$R,0)),""))</f>
        <v>1106</v>
      </c>
      <c r="X204" s="39" t="n">
        <f aca="false">IF(LEFT($B204,4)="_Mil","",_xlfn.IFNA(ROUND(INDEX(Spectrum!$N:$N,MATCH(RIGHT($B204,13)&amp;"|"&amp;$C204&amp;"|"&amp;$D204&amp;"|"&amp;X$14&amp;"|"&amp;"CY2023Q3",Spectrum!$R:$R,0)),0),""))</f>
        <v>983</v>
      </c>
      <c r="Y204" s="88" t="str">
        <f aca="false">IF(OR(SUM($U204)=0,LEFT($B204,4)="_Mil"),"",SUM($X204)/$U204)</f>
        <v/>
      </c>
      <c r="Z204" s="39" t="n">
        <f aca="false">IF(LEFT($B204,4)="_Mil","",_xlfn.IFNA(ROUND(INDEX(Spectrum!$N:$N,MATCH(RIGHT($B204,13)&amp;"|"&amp;$C204&amp;"|"&amp;$D204&amp;"|"&amp;Z$14&amp;"|"&amp;"CY2023Q3",Spectrum!$R:$R,0)),0),""))</f>
        <v>630</v>
      </c>
      <c r="AA204" s="88" t="n">
        <f aca="false">IF(LEFT($B204,4)="_Mil","",IFERROR(1/(1/INDEX(Spectrum!$N:$N,MATCH(RIGHT($B204,13)&amp;"|"&amp;$C204&amp;"|"&amp;$D204&amp;"|"&amp;AA$14&amp;"|"&amp;"CY2023Q3",Spectrum!$R:$R,0))),IF(SUM($U204)=0,"",SUM($Z204)/$U204)))</f>
        <v>1946</v>
      </c>
      <c r="AB204" s="88" t="n">
        <f aca="false">IF(OR(LEFT($B204,4)="_Mil",SUM($X204)=0),"",SUM($Z204)/$X204)</f>
        <v>0.64089521871821</v>
      </c>
      <c r="AC204" s="10" t="n">
        <f aca="false">IF(LEFT($B204,4)="_Mil","",_xlfn.IFNA(ROUND(INDEX(Spectrum!$N:$N,MATCH(RIGHT($B204,13)&amp;"|"&amp;$C204&amp;"|"&amp;$D204&amp;"|"&amp;AC$14&amp;"|"&amp;"CY2023Q3",Spectrum!$R:$R,0)),0),""))</f>
        <v>972</v>
      </c>
      <c r="AD204" s="10" t="str">
        <f aca="false">IF(LEFT($B204,4)="_Mil","",_xlfn.IFNA(ROUND(INDEX(Spectrum!$N:$N,MATCH(RIGHT($B204,13)&amp;"|"&amp;$C204&amp;"|"&amp;$D204&amp;"|"&amp;AD$14&amp;"|"&amp;"CY2023Q3",Spectrum!$R:$R,0)),0),""))</f>
        <v/>
      </c>
      <c r="AE204" s="88" t="n">
        <f aca="false">IF(OR(LEFT($B204,4)="_Mil",SUM($Z204)=0),"",SUM($AD204)/$Z204)</f>
        <v>0</v>
      </c>
      <c r="AF204" s="39" t="str">
        <f aca="false">IF(LEFT($B204,4)="_Mil","",_xlfn.IFNA(ROUND(INDEX(Spectrum!$N:$N,MATCH(RIGHT($B204,13)&amp;"|"&amp;$C204&amp;"|"&amp;$D204&amp;"|"&amp;AF$14&amp;"|"&amp;"CY2023Q3",Spectrum!$R:$R,0)),0),""))</f>
        <v/>
      </c>
      <c r="AG204" s="88" t="str">
        <f aca="false">IF(OR(LEFT($B204,4)="_Mil",SUM($AD204)=0),"",SUM($AF204)/$AD204)</f>
        <v/>
      </c>
      <c r="AH204" s="86" t="str">
        <f aca="false">IF(LEFT($B204,4)="_Mil","",_xlfn.IFNA(INDEX(Spectrum!$N:$N,MATCH(RIGHT($B204,13)&amp;"|"&amp;$C204&amp;"|"&amp;$D204&amp;"|"&amp;AH$14&amp;"|"&amp;"CY2023Q3",Spectrum!$R:$R,0)),""))</f>
        <v/>
      </c>
      <c r="AI204" s="10" t="str">
        <f aca="false">IF(LEFT($B204,4)="_Mil","",_xlfn.IFNA(ROUND(INDEX(Spectrum!$N:$N,MATCH(RIGHT($B204,13)&amp;"|"&amp;$C204&amp;"|"&amp;$D204&amp;"|"&amp;AI$14&amp;"|"&amp;"CY2023Q3",Spectrum!$R:$R,0)),0),""))</f>
        <v/>
      </c>
      <c r="AJ204" s="39" t="n">
        <f aca="false">IF(LEFT($B204,4)="_Mil","",_xlfn.IFNA(ROUND(INDEX(Spectrum!$N:$N,MATCH(RIGHT($B204,13)&amp;"|"&amp;$C204&amp;"|"&amp;$D204&amp;"|"&amp;AI$14&amp;"|"&amp;"CY2023Q3",Spectrum!$R:$R,0)),0),SUM($U204)+SUM($AI204)))</f>
        <v>0</v>
      </c>
      <c r="AK204" s="10" t="str">
        <f aca="false">IF(LEFT($B204,4)="_Mil","",_xlfn.IFNA(ROUND(INDEX(Spectrum!$N:$N,MATCH(RIGHT($B204,13)&amp;"|"&amp;$C204&amp;"|"&amp;$D204&amp;"|"&amp;AK$14&amp;"|"&amp;"CY2023Q3",Spectrum!$R:$R,0)),0),""))</f>
        <v/>
      </c>
      <c r="AL204" s="88" t="n">
        <f aca="false">IF(OR(LEFT($B204,4)="_Mil",$C204="&lt;01"),"",MAX(SUM($AA204),90%))</f>
        <v>1946</v>
      </c>
      <c r="AM204" s="10" t="n">
        <f aca="false">IF(OR(LEFT($B204,4)="_Mil",$C204="&lt;01"),"",ROUND(SUM($AJ204)*SUM($AL204),0))</f>
        <v>0</v>
      </c>
      <c r="AN204" s="10" t="str">
        <f aca="false">IF($C204="&lt;01",ROUND(INDEX(EID!$P:$P,MATCH($B204,EID!$B:$B,0))/2,0),"")</f>
        <v/>
      </c>
      <c r="AO204" s="10" t="n">
        <f aca="false">IF($C204="&lt;01",SUM($AN204),ROUND(SUM($AM204)*SUM($O204)/IF(SUM($Z204)=0,1,$Z204),0))</f>
        <v>0</v>
      </c>
      <c r="AP204" s="39" t="n">
        <f aca="false">IF(OR($F204="",$C204="&lt;01"),$AO204,$F204)</f>
        <v>0</v>
      </c>
      <c r="AQ204" s="39" t="n">
        <f aca="false">IF(LEFT($B204,4)="_Mil","",IF(SUM($AP204)=0,SUM($Z204),IF(OR(SUM($Z204)=0,SUM($O204)=0),MAX($AP204,$Z204),$AP204*$Z204/$O204)))</f>
        <v>630</v>
      </c>
      <c r="AR204" s="88" t="str">
        <f aca="false">IF(OR(LEFT($B204,4)="_Mil",SUM($AJ204)=0),"",SUM($AQ204)/$AJ204)</f>
        <v/>
      </c>
      <c r="AS204" s="88" t="n">
        <f aca="false">IF($C204="&lt;01","",98%)</f>
        <v>0.98</v>
      </c>
      <c r="AT204" s="88" t="n">
        <f aca="false">IF($C204="&lt;01","",98%)</f>
        <v>0.98</v>
      </c>
      <c r="AU204" s="10" t="n">
        <f aca="false">IF($C204="&lt;01","",SUM($AP204)-SUM($O204))</f>
        <v>0</v>
      </c>
      <c r="AV204" s="10" t="n">
        <f aca="false">IF($C204="&lt;01",ROUND(INDEX(EID!$N:$N,MATCH($B204,EID!$B:$B,0))/2,0),IF(SUM($AT204)=0,"",ROUND((SUM($AP204)-(SUM($O204)*SUM($AS204)))/$AT204,0)))</f>
        <v>0</v>
      </c>
      <c r="AW204" s="88" t="n">
        <f aca="false">IF($C204="&lt;01","",100%)</f>
        <v>1</v>
      </c>
      <c r="AX204" s="39" t="n">
        <f aca="false">IF($C204="&lt;01",SUM($AV204),ROUND(SUM($AV204)*SUM($AW204),0))</f>
        <v>0</v>
      </c>
      <c r="AY204" s="114" t="n">
        <f aca="false">IF($C204="&lt;01","",70%)</f>
        <v>0.7</v>
      </c>
      <c r="AZ204" s="91" t="n">
        <f aca="false">IF($C204="&lt;01",ROUND(INDEX(EID!$R:$R,MATCH($B204,EID!$B:$B,0))/2,0),ROUND(SUM($O204)+(SUM($AV204)*$AY204),0))</f>
        <v>0</v>
      </c>
      <c r="BA204" s="87" t="n">
        <f aca="false">IF($C204="&lt;01","",95%)</f>
        <v>0.95</v>
      </c>
      <c r="BB204" s="5" t="n">
        <f aca="false">IF($C204="&lt;01",ROUND(INDEX(EID!$T:$T,MATCH($B204,EID!$B:$B,0))/2,0),ROUND($AZ204*$BA204,0))</f>
        <v>0</v>
      </c>
      <c r="BC204" s="91" t="n">
        <f aca="false">IF(LEFT($B204,4)="_Mil","",IF(SUM($BB204)=0,SUM($AD204),IF(OR(SUM($AP204)=0,SUM($AQ204)=0),MAX($BB204,$AD204),ROUND($BB204*$AQ204/$AP204,0))))</f>
        <v>0</v>
      </c>
      <c r="BD204" s="88" t="n">
        <f aca="false">IF($C204="&lt;01","",95%)</f>
        <v>0.95</v>
      </c>
      <c r="BE204" s="39" t="n">
        <f aca="false">IF($C204="&lt;01",ROUND(INDEX(EID!$V:$V,MATCH($B204,EID!$B:$B,0))/2,0),ROUND($BD204*$BB204,0))</f>
        <v>0</v>
      </c>
      <c r="BF204" s="39" t="n">
        <f aca="false">IF(LEFT($B204,4)="_Mil","",IF(SUM($BE204)=0,SUM($AF204),IF(OR(SUM($AP204)=0,SUM($AQ204)=0),MAX($BE204,$AF204),ROUND($BE204*$AQ204/$AP204,0))))</f>
        <v>0</v>
      </c>
      <c r="BG204" s="114" t="n">
        <f aca="false">IF($C204="&lt;01","",95%)</f>
        <v>0.95</v>
      </c>
      <c r="BH204" s="5" t="n">
        <f aca="false">IF($C204="&lt;01",ROUND(INDEX(EID!$L:$L,MATCH($B204,EID!$B:$B,0)),0)/2,IF(SUM($BG204)=0,"",ROUND($AX204/$BG204,0)))</f>
        <v>0</v>
      </c>
    </row>
    <row r="205" customFormat="false" ht="15" hidden="false" customHeight="false" outlineLevel="0" collapsed="false">
      <c r="A205" s="0" t="str">
        <f aca="false">INDEX(Prioritization!$D:$D,MATCH($B205,Prioritization!$A:$A,0))</f>
        <v>1 - Scale-up: Saturation</v>
      </c>
      <c r="B205" s="0" t="s">
        <v>207</v>
      </c>
      <c r="C205" s="0" t="s">
        <v>366</v>
      </c>
      <c r="D205" s="0" t="s">
        <v>30</v>
      </c>
      <c r="E205" s="0" t="str">
        <f aca="false">$B205&amp;"|"&amp;$C205&amp;"|"&amp;$D205</f>
        <v>Mzimba District [vA4NcHxfMBq]|25-34|Female</v>
      </c>
      <c r="F205" s="10"/>
      <c r="G205" s="10"/>
      <c r="H205" s="10"/>
      <c r="I205" s="10"/>
      <c r="J205" s="10"/>
      <c r="K205" s="10"/>
      <c r="L205" s="10"/>
      <c r="M205" s="10"/>
      <c r="N205" s="10"/>
      <c r="O205" s="10" t="str">
        <f aca="false">IFERROR(1/(1/MAX($I205,$N205)),"")</f>
        <v/>
      </c>
      <c r="P205" s="10"/>
      <c r="Q205" s="10"/>
      <c r="R205" s="10" t="str">
        <f aca="false">IF(AND(SUM($I205)=0,SUM($O205)=0),"",SUM($O205)-$I205)</f>
        <v/>
      </c>
      <c r="S205" s="10" t="n">
        <f aca="false">IF(LEFT($B205,4)="_Mil","",_xlfn.IFNA(ROUND(INDEX(Spectrum!$N:$N,MATCH(RIGHT($B205,13)&amp;"|"&amp;$C205&amp;"|"&amp;$D205&amp;"|"&amp;S$14&amp;"|"&amp;"CY2022Q4",Spectrum!$R:$R,0)),0),""))</f>
        <v>1921</v>
      </c>
      <c r="T205" s="39" t="n">
        <f aca="false">IF(LEFT($B205,4)="_Mil","",_xlfn.IFNA(ROUND(INDEX(Spectrum!$N:$N,MATCH(RIGHT($B205,13)&amp;"|"&amp;$C205&amp;"|"&amp;$D205&amp;"|"&amp;T$14&amp;"|"&amp;"CY2023Q3",Spectrum!$R:$R,0)),0),""))</f>
        <v>593</v>
      </c>
      <c r="U205" s="39" t="str">
        <f aca="false">IF(LEFT($B205,4)="_Mil","",_xlfn.IFNA(ROUND(INDEX(Spectrum!$N:$N,MATCH(RIGHT($B205,13)&amp;"|"&amp;$C205&amp;"|"&amp;$D205&amp;"|"&amp;U$14&amp;"|"&amp;"CY2023Q3",Spectrum!$R:$R,0)),0),""))</f>
        <v/>
      </c>
      <c r="V205" s="10" t="n">
        <f aca="false">IF(LEFT($B205,4)="_Mil","",_xlfn.IFNA(ROUND(INDEX(Spectrum!$N:$N,MATCH(RIGHT($B205,13)&amp;"|"&amp;$C205&amp;"|"&amp;$D205&amp;"|"&amp;V$14&amp;"|"&amp;"CY2023Q3",Spectrum!$R:$R,0)),0),""))</f>
        <v>930</v>
      </c>
      <c r="W205" s="113" t="n">
        <f aca="false">IF(LEFT($B205,4)="_Mil","",_xlfn.IFNA(INDEX(Spectrum!$N:$N,MATCH(RIGHT($B205,13)&amp;"|"&amp;$C205&amp;"|"&amp;$D205&amp;"|"&amp;W$14&amp;"|"&amp;"CY2023Q3",Spectrum!$R:$R,0)),""))</f>
        <v>1543</v>
      </c>
      <c r="X205" s="39" t="n">
        <f aca="false">IF(LEFT($B205,4)="_Mil","",_xlfn.IFNA(ROUND(INDEX(Spectrum!$N:$N,MATCH(RIGHT($B205,13)&amp;"|"&amp;$C205&amp;"|"&amp;$D205&amp;"|"&amp;X$14&amp;"|"&amp;"CY2023Q3",Spectrum!$R:$R,0)),0),""))</f>
        <v>1058</v>
      </c>
      <c r="Y205" s="88" t="str">
        <f aca="false">IF(OR(SUM($U205)=0,LEFT($B205,4)="_Mil"),"",SUM($X205)/$U205)</f>
        <v/>
      </c>
      <c r="Z205" s="39" t="n">
        <f aca="false">IF(LEFT($B205,4)="_Mil","",_xlfn.IFNA(ROUND(INDEX(Spectrum!$N:$N,MATCH(RIGHT($B205,13)&amp;"|"&amp;$C205&amp;"|"&amp;$D205&amp;"|"&amp;Z$14&amp;"|"&amp;"CY2023Q3",Spectrum!$R:$R,0)),0),""))</f>
        <v>1917</v>
      </c>
      <c r="AA205" s="88" t="n">
        <f aca="false">IF(LEFT($B205,4)="_Mil","",IFERROR(1/(1/INDEX(Spectrum!$N:$N,MATCH(RIGHT($B205,13)&amp;"|"&amp;$C205&amp;"|"&amp;$D205&amp;"|"&amp;AA$14&amp;"|"&amp;"CY2023Q3",Spectrum!$R:$R,0))),IF(SUM($U205)=0,"",SUM($Z205)/$U205)))</f>
        <v>1569</v>
      </c>
      <c r="AB205" s="88" t="n">
        <f aca="false">IF(OR(LEFT($B205,4)="_Mil",SUM($X205)=0),"",SUM($Z205)/$X205)</f>
        <v>1.81190926275992</v>
      </c>
      <c r="AC205" s="10" t="n">
        <f aca="false">IF(LEFT($B205,4)="_Mil","",_xlfn.IFNA(ROUND(INDEX(Spectrum!$N:$N,MATCH(RIGHT($B205,13)&amp;"|"&amp;$C205&amp;"|"&amp;$D205&amp;"|"&amp;AC$14&amp;"|"&amp;"CY2023Q3",Spectrum!$R:$R,0)),0),""))</f>
        <v>1446</v>
      </c>
      <c r="AD205" s="10" t="str">
        <f aca="false">IF(LEFT($B205,4)="_Mil","",_xlfn.IFNA(ROUND(INDEX(Spectrum!$N:$N,MATCH(RIGHT($B205,13)&amp;"|"&amp;$C205&amp;"|"&amp;$D205&amp;"|"&amp;AD$14&amp;"|"&amp;"CY2023Q3",Spectrum!$R:$R,0)),0),""))</f>
        <v/>
      </c>
      <c r="AE205" s="88" t="n">
        <f aca="false">IF(OR(LEFT($B205,4)="_Mil",SUM($Z205)=0),"",SUM($AD205)/$Z205)</f>
        <v>0</v>
      </c>
      <c r="AF205" s="39" t="str">
        <f aca="false">IF(LEFT($B205,4)="_Mil","",_xlfn.IFNA(ROUND(INDEX(Spectrum!$N:$N,MATCH(RIGHT($B205,13)&amp;"|"&amp;$C205&amp;"|"&amp;$D205&amp;"|"&amp;AF$14&amp;"|"&amp;"CY2023Q3",Spectrum!$R:$R,0)),0),""))</f>
        <v/>
      </c>
      <c r="AG205" s="88" t="str">
        <f aca="false">IF(OR(LEFT($B205,4)="_Mil",SUM($AD205)=0),"",SUM($AF205)/$AD205)</f>
        <v/>
      </c>
      <c r="AH205" s="86" t="str">
        <f aca="false">IF(LEFT($B205,4)="_Mil","",_xlfn.IFNA(INDEX(Spectrum!$N:$N,MATCH(RIGHT($B205,13)&amp;"|"&amp;$C205&amp;"|"&amp;$D205&amp;"|"&amp;AH$14&amp;"|"&amp;"CY2023Q3",Spectrum!$R:$R,0)),""))</f>
        <v/>
      </c>
      <c r="AI205" s="10" t="str">
        <f aca="false">IF(LEFT($B205,4)="_Mil","",_xlfn.IFNA(ROUND(INDEX(Spectrum!$N:$N,MATCH(RIGHT($B205,13)&amp;"|"&amp;$C205&amp;"|"&amp;$D205&amp;"|"&amp;AI$14&amp;"|"&amp;"CY2023Q3",Spectrum!$R:$R,0)),0),""))</f>
        <v/>
      </c>
      <c r="AJ205" s="39" t="n">
        <f aca="false">IF(LEFT($B205,4)="_Mil","",_xlfn.IFNA(ROUND(INDEX(Spectrum!$N:$N,MATCH(RIGHT($B205,13)&amp;"|"&amp;$C205&amp;"|"&amp;$D205&amp;"|"&amp;AI$14&amp;"|"&amp;"CY2023Q3",Spectrum!$R:$R,0)),0),SUM($U205)+SUM($AI205)))</f>
        <v>0</v>
      </c>
      <c r="AK205" s="10" t="str">
        <f aca="false">IF(LEFT($B205,4)="_Mil","",_xlfn.IFNA(ROUND(INDEX(Spectrum!$N:$N,MATCH(RIGHT($B205,13)&amp;"|"&amp;$C205&amp;"|"&amp;$D205&amp;"|"&amp;AK$14&amp;"|"&amp;"CY2023Q3",Spectrum!$R:$R,0)),0),""))</f>
        <v/>
      </c>
      <c r="AL205" s="88" t="n">
        <f aca="false">IF(OR(LEFT($B205,4)="_Mil",$C205="&lt;01"),"",MAX(SUM($AA205),90%))</f>
        <v>1569</v>
      </c>
      <c r="AM205" s="10" t="n">
        <f aca="false">IF(OR(LEFT($B205,4)="_Mil",$C205="&lt;01"),"",ROUND(SUM($AJ205)*SUM($AL205),0))</f>
        <v>0</v>
      </c>
      <c r="AN205" s="10" t="str">
        <f aca="false">IF($C205="&lt;01",ROUND(INDEX(EID!$P:$P,MATCH($B205,EID!$B:$B,0))/2,0),"")</f>
        <v/>
      </c>
      <c r="AO205" s="10" t="n">
        <f aca="false">IF($C205="&lt;01",SUM($AN205),ROUND(SUM($AM205)*SUM($O205)/IF(SUM($Z205)=0,1,$Z205),0))</f>
        <v>0</v>
      </c>
      <c r="AP205" s="39" t="n">
        <f aca="false">IF(OR($F205="",$C205="&lt;01"),$AO205,$F205)</f>
        <v>0</v>
      </c>
      <c r="AQ205" s="39" t="n">
        <f aca="false">IF(LEFT($B205,4)="_Mil","",IF(SUM($AP205)=0,SUM($Z205),IF(OR(SUM($Z205)=0,SUM($O205)=0),MAX($AP205,$Z205),$AP205*$Z205/$O205)))</f>
        <v>1917</v>
      </c>
      <c r="AR205" s="88" t="str">
        <f aca="false">IF(OR(LEFT($B205,4)="_Mil",SUM($AJ205)=0),"",SUM($AQ205)/$AJ205)</f>
        <v/>
      </c>
      <c r="AS205" s="88" t="n">
        <f aca="false">IF($C205="&lt;01","",98%)</f>
        <v>0.98</v>
      </c>
      <c r="AT205" s="88" t="n">
        <f aca="false">IF($C205="&lt;01","",98%)</f>
        <v>0.98</v>
      </c>
      <c r="AU205" s="10" t="n">
        <f aca="false">IF($C205="&lt;01","",SUM($AP205)-SUM($O205))</f>
        <v>0</v>
      </c>
      <c r="AV205" s="10" t="n">
        <f aca="false">IF($C205="&lt;01",ROUND(INDEX(EID!$N:$N,MATCH($B205,EID!$B:$B,0))/2,0),IF(SUM($AT205)=0,"",ROUND((SUM($AP205)-(SUM($O205)*SUM($AS205)))/$AT205,0)))</f>
        <v>0</v>
      </c>
      <c r="AW205" s="88" t="n">
        <f aca="false">IF($C205="&lt;01","",100%)</f>
        <v>1</v>
      </c>
      <c r="AX205" s="39" t="n">
        <f aca="false">IF($C205="&lt;01",SUM($AV205),ROUND(SUM($AV205)*SUM($AW205),0))</f>
        <v>0</v>
      </c>
      <c r="AY205" s="114" t="n">
        <f aca="false">IF($C205="&lt;01","",70%)</f>
        <v>0.7</v>
      </c>
      <c r="AZ205" s="91" t="n">
        <f aca="false">IF($C205="&lt;01",ROUND(INDEX(EID!$R:$R,MATCH($B205,EID!$B:$B,0))/2,0),ROUND(SUM($O205)+(SUM($AV205)*$AY205),0))</f>
        <v>0</v>
      </c>
      <c r="BA205" s="87" t="n">
        <f aca="false">IF($C205="&lt;01","",95%)</f>
        <v>0.95</v>
      </c>
      <c r="BB205" s="5" t="n">
        <f aca="false">IF($C205="&lt;01",ROUND(INDEX(EID!$T:$T,MATCH($B205,EID!$B:$B,0))/2,0),ROUND($AZ205*$BA205,0))</f>
        <v>0</v>
      </c>
      <c r="BC205" s="91" t="n">
        <f aca="false">IF(LEFT($B205,4)="_Mil","",IF(SUM($BB205)=0,SUM($AD205),IF(OR(SUM($AP205)=0,SUM($AQ205)=0),MAX($BB205,$AD205),ROUND($BB205*$AQ205/$AP205,0))))</f>
        <v>0</v>
      </c>
      <c r="BD205" s="88" t="n">
        <f aca="false">IF($C205="&lt;01","",95%)</f>
        <v>0.95</v>
      </c>
      <c r="BE205" s="39" t="n">
        <f aca="false">IF($C205="&lt;01",ROUND(INDEX(EID!$V:$V,MATCH($B205,EID!$B:$B,0))/2,0),ROUND($BD205*$BB205,0))</f>
        <v>0</v>
      </c>
      <c r="BF205" s="39" t="n">
        <f aca="false">IF(LEFT($B205,4)="_Mil","",IF(SUM($BE205)=0,SUM($AF205),IF(OR(SUM($AP205)=0,SUM($AQ205)=0),MAX($BE205,$AF205),ROUND($BE205*$AQ205/$AP205,0))))</f>
        <v>0</v>
      </c>
      <c r="BG205" s="114" t="n">
        <f aca="false">IF($C205="&lt;01","",95%)</f>
        <v>0.95</v>
      </c>
      <c r="BH205" s="5" t="n">
        <f aca="false">IF($C205="&lt;01",ROUND(INDEX(EID!$L:$L,MATCH($B205,EID!$B:$B,0)),0)/2,IF(SUM($BG205)=0,"",ROUND($AX205/$BG205,0)))</f>
        <v>0</v>
      </c>
    </row>
    <row r="206" customFormat="false" ht="15" hidden="false" customHeight="false" outlineLevel="0" collapsed="false">
      <c r="A206" s="0" t="str">
        <f aca="false">INDEX(Prioritization!$D:$D,MATCH($B206,Prioritization!$A:$A,0))</f>
        <v>1 - Scale-up: Saturation</v>
      </c>
      <c r="B206" s="0" t="s">
        <v>207</v>
      </c>
      <c r="C206" s="0" t="s">
        <v>366</v>
      </c>
      <c r="D206" s="0" t="s">
        <v>48</v>
      </c>
      <c r="E206" s="0" t="str">
        <f aca="false">$B206&amp;"|"&amp;$C206&amp;"|"&amp;$D206</f>
        <v>Mzimba District [vA4NcHxfMBq]|25-34|Male</v>
      </c>
      <c r="F206" s="10"/>
      <c r="G206" s="10"/>
      <c r="H206" s="10"/>
      <c r="I206" s="10"/>
      <c r="J206" s="10"/>
      <c r="K206" s="10"/>
      <c r="L206" s="10"/>
      <c r="M206" s="10"/>
      <c r="N206" s="10"/>
      <c r="O206" s="10" t="str">
        <f aca="false">IFERROR(1/(1/MAX($I206,$N206)),"")</f>
        <v/>
      </c>
      <c r="P206" s="10"/>
      <c r="Q206" s="10"/>
      <c r="R206" s="10" t="str">
        <f aca="false">IF(AND(SUM($I206)=0,SUM($O206)=0),"",SUM($O206)-$I206)</f>
        <v/>
      </c>
      <c r="S206" s="10" t="n">
        <f aca="false">IF(LEFT($B206,4)="_Mil","",_xlfn.IFNA(ROUND(INDEX(Spectrum!$N:$N,MATCH(RIGHT($B206,13)&amp;"|"&amp;$C206&amp;"|"&amp;$D206&amp;"|"&amp;S$14&amp;"|"&amp;"CY2022Q4",Spectrum!$R:$R,0)),0),""))</f>
        <v>1938</v>
      </c>
      <c r="T206" s="39" t="n">
        <f aca="false">IF(LEFT($B206,4)="_Mil","",_xlfn.IFNA(ROUND(INDEX(Spectrum!$N:$N,MATCH(RIGHT($B206,13)&amp;"|"&amp;$C206&amp;"|"&amp;$D206&amp;"|"&amp;T$14&amp;"|"&amp;"CY2023Q3",Spectrum!$R:$R,0)),0),""))</f>
        <v>1328</v>
      </c>
      <c r="U206" s="39" t="str">
        <f aca="false">IF(LEFT($B206,4)="_Mil","",_xlfn.IFNA(ROUND(INDEX(Spectrum!$N:$N,MATCH(RIGHT($B206,13)&amp;"|"&amp;$C206&amp;"|"&amp;$D206&amp;"|"&amp;U$14&amp;"|"&amp;"CY2023Q3",Spectrum!$R:$R,0)),0),""))</f>
        <v/>
      </c>
      <c r="V206" s="10" t="n">
        <f aca="false">IF(LEFT($B206,4)="_Mil","",_xlfn.IFNA(ROUND(INDEX(Spectrum!$N:$N,MATCH(RIGHT($B206,13)&amp;"|"&amp;$C206&amp;"|"&amp;$D206&amp;"|"&amp;V$14&amp;"|"&amp;"CY2023Q3",Spectrum!$R:$R,0)),0),""))</f>
        <v>775</v>
      </c>
      <c r="W206" s="113" t="n">
        <f aca="false">IF(LEFT($B206,4)="_Mil","",_xlfn.IFNA(INDEX(Spectrum!$N:$N,MATCH(RIGHT($B206,13)&amp;"|"&amp;$C206&amp;"|"&amp;$D206&amp;"|"&amp;W$14&amp;"|"&amp;"CY2023Q3",Spectrum!$R:$R,0)),""))</f>
        <v>1558</v>
      </c>
      <c r="X206" s="39" t="n">
        <f aca="false">IF(LEFT($B206,4)="_Mil","",_xlfn.IFNA(ROUND(INDEX(Spectrum!$N:$N,MATCH(RIGHT($B206,13)&amp;"|"&amp;$C206&amp;"|"&amp;$D206&amp;"|"&amp;X$14&amp;"|"&amp;"CY2023Q3",Spectrum!$R:$R,0)),0),""))</f>
        <v>1245</v>
      </c>
      <c r="Y206" s="88" t="str">
        <f aca="false">IF(OR(SUM($U206)=0,LEFT($B206,4)="_Mil"),"",SUM($X206)/$U206)</f>
        <v/>
      </c>
      <c r="Z206" s="39" t="n">
        <f aca="false">IF(LEFT($B206,4)="_Mil","",_xlfn.IFNA(ROUND(INDEX(Spectrum!$N:$N,MATCH(RIGHT($B206,13)&amp;"|"&amp;$C206&amp;"|"&amp;$D206&amp;"|"&amp;Z$14&amp;"|"&amp;"CY2023Q3",Spectrum!$R:$R,0)),0),""))</f>
        <v>1580</v>
      </c>
      <c r="AA206" s="88" t="n">
        <f aca="false">IF(LEFT($B206,4)="_Mil","",IFERROR(1/(1/INDEX(Spectrum!$N:$N,MATCH(RIGHT($B206,13)&amp;"|"&amp;$C206&amp;"|"&amp;$D206&amp;"|"&amp;AA$14&amp;"|"&amp;"CY2023Q3",Spectrum!$R:$R,0))),IF(SUM($U206)=0,"",SUM($Z206)/$U206)))</f>
        <v>1023</v>
      </c>
      <c r="AB206" s="88" t="n">
        <f aca="false">IF(OR(LEFT($B206,4)="_Mil",SUM($X206)=0),"",SUM($Z206)/$X206)</f>
        <v>1.26907630522088</v>
      </c>
      <c r="AC206" s="10" t="n">
        <f aca="false">IF(LEFT($B206,4)="_Mil","",_xlfn.IFNA(ROUND(INDEX(Spectrum!$N:$N,MATCH(RIGHT($B206,13)&amp;"|"&amp;$C206&amp;"|"&amp;$D206&amp;"|"&amp;AC$14&amp;"|"&amp;"CY2023Q3",Spectrum!$R:$R,0)),0),""))</f>
        <v>812</v>
      </c>
      <c r="AD206" s="10" t="str">
        <f aca="false">IF(LEFT($B206,4)="_Mil","",_xlfn.IFNA(ROUND(INDEX(Spectrum!$N:$N,MATCH(RIGHT($B206,13)&amp;"|"&amp;$C206&amp;"|"&amp;$D206&amp;"|"&amp;AD$14&amp;"|"&amp;"CY2023Q3",Spectrum!$R:$R,0)),0),""))</f>
        <v/>
      </c>
      <c r="AE206" s="88" t="n">
        <f aca="false">IF(OR(LEFT($B206,4)="_Mil",SUM($Z206)=0),"",SUM($AD206)/$Z206)</f>
        <v>0</v>
      </c>
      <c r="AF206" s="39" t="str">
        <f aca="false">IF(LEFT($B206,4)="_Mil","",_xlfn.IFNA(ROUND(INDEX(Spectrum!$N:$N,MATCH(RIGHT($B206,13)&amp;"|"&amp;$C206&amp;"|"&amp;$D206&amp;"|"&amp;AF$14&amp;"|"&amp;"CY2023Q3",Spectrum!$R:$R,0)),0),""))</f>
        <v/>
      </c>
      <c r="AG206" s="88" t="str">
        <f aca="false">IF(OR(LEFT($B206,4)="_Mil",SUM($AD206)=0),"",SUM($AF206)/$AD206)</f>
        <v/>
      </c>
      <c r="AH206" s="86" t="str">
        <f aca="false">IF(LEFT($B206,4)="_Mil","",_xlfn.IFNA(INDEX(Spectrum!$N:$N,MATCH(RIGHT($B206,13)&amp;"|"&amp;$C206&amp;"|"&amp;$D206&amp;"|"&amp;AH$14&amp;"|"&amp;"CY2023Q3",Spectrum!$R:$R,0)),""))</f>
        <v/>
      </c>
      <c r="AI206" s="10" t="str">
        <f aca="false">IF(LEFT($B206,4)="_Mil","",_xlfn.IFNA(ROUND(INDEX(Spectrum!$N:$N,MATCH(RIGHT($B206,13)&amp;"|"&amp;$C206&amp;"|"&amp;$D206&amp;"|"&amp;AI$14&amp;"|"&amp;"CY2023Q3",Spectrum!$R:$R,0)),0),""))</f>
        <v/>
      </c>
      <c r="AJ206" s="39" t="n">
        <f aca="false">IF(LEFT($B206,4)="_Mil","",_xlfn.IFNA(ROUND(INDEX(Spectrum!$N:$N,MATCH(RIGHT($B206,13)&amp;"|"&amp;$C206&amp;"|"&amp;$D206&amp;"|"&amp;AI$14&amp;"|"&amp;"CY2023Q3",Spectrum!$R:$R,0)),0),SUM($U206)+SUM($AI206)))</f>
        <v>0</v>
      </c>
      <c r="AK206" s="10" t="str">
        <f aca="false">IF(LEFT($B206,4)="_Mil","",_xlfn.IFNA(ROUND(INDEX(Spectrum!$N:$N,MATCH(RIGHT($B206,13)&amp;"|"&amp;$C206&amp;"|"&amp;$D206&amp;"|"&amp;AK$14&amp;"|"&amp;"CY2023Q3",Spectrum!$R:$R,0)),0),""))</f>
        <v/>
      </c>
      <c r="AL206" s="88" t="n">
        <f aca="false">IF(OR(LEFT($B206,4)="_Mil",$C206="&lt;01"),"",MAX(SUM($AA206),90%))</f>
        <v>1023</v>
      </c>
      <c r="AM206" s="10" t="n">
        <f aca="false">IF(OR(LEFT($B206,4)="_Mil",$C206="&lt;01"),"",ROUND(SUM($AJ206)*SUM($AL206),0))</f>
        <v>0</v>
      </c>
      <c r="AN206" s="10" t="str">
        <f aca="false">IF($C206="&lt;01",ROUND(INDEX(EID!$P:$P,MATCH($B206,EID!$B:$B,0))/2,0),"")</f>
        <v/>
      </c>
      <c r="AO206" s="10" t="n">
        <f aca="false">IF($C206="&lt;01",SUM($AN206),ROUND(SUM($AM206)*SUM($O206)/IF(SUM($Z206)=0,1,$Z206),0))</f>
        <v>0</v>
      </c>
      <c r="AP206" s="39" t="n">
        <f aca="false">IF(OR($F206="",$C206="&lt;01"),$AO206,$F206)</f>
        <v>0</v>
      </c>
      <c r="AQ206" s="39" t="n">
        <f aca="false">IF(LEFT($B206,4)="_Mil","",IF(SUM($AP206)=0,SUM($Z206),IF(OR(SUM($Z206)=0,SUM($O206)=0),MAX($AP206,$Z206),$AP206*$Z206/$O206)))</f>
        <v>1580</v>
      </c>
      <c r="AR206" s="88" t="str">
        <f aca="false">IF(OR(LEFT($B206,4)="_Mil",SUM($AJ206)=0),"",SUM($AQ206)/$AJ206)</f>
        <v/>
      </c>
      <c r="AS206" s="88" t="n">
        <f aca="false">IF($C206="&lt;01","",98%)</f>
        <v>0.98</v>
      </c>
      <c r="AT206" s="88" t="n">
        <f aca="false">IF($C206="&lt;01","",98%)</f>
        <v>0.98</v>
      </c>
      <c r="AU206" s="10" t="n">
        <f aca="false">IF($C206="&lt;01","",SUM($AP206)-SUM($O206))</f>
        <v>0</v>
      </c>
      <c r="AV206" s="10" t="n">
        <f aca="false">IF($C206="&lt;01",ROUND(INDEX(EID!$N:$N,MATCH($B206,EID!$B:$B,0))/2,0),IF(SUM($AT206)=0,"",ROUND((SUM($AP206)-(SUM($O206)*SUM($AS206)))/$AT206,0)))</f>
        <v>0</v>
      </c>
      <c r="AW206" s="88" t="n">
        <f aca="false">IF($C206="&lt;01","",100%)</f>
        <v>1</v>
      </c>
      <c r="AX206" s="39" t="n">
        <f aca="false">IF($C206="&lt;01",SUM($AV206),ROUND(SUM($AV206)*SUM($AW206),0))</f>
        <v>0</v>
      </c>
      <c r="AY206" s="114" t="n">
        <f aca="false">IF($C206="&lt;01","",70%)</f>
        <v>0.7</v>
      </c>
      <c r="AZ206" s="91" t="n">
        <f aca="false">IF($C206="&lt;01",ROUND(INDEX(EID!$R:$R,MATCH($B206,EID!$B:$B,0))/2,0),ROUND(SUM($O206)+(SUM($AV206)*$AY206),0))</f>
        <v>0</v>
      </c>
      <c r="BA206" s="87" t="n">
        <f aca="false">IF($C206="&lt;01","",95%)</f>
        <v>0.95</v>
      </c>
      <c r="BB206" s="5" t="n">
        <f aca="false">IF($C206="&lt;01",ROUND(INDEX(EID!$T:$T,MATCH($B206,EID!$B:$B,0))/2,0),ROUND($AZ206*$BA206,0))</f>
        <v>0</v>
      </c>
      <c r="BC206" s="91" t="n">
        <f aca="false">IF(LEFT($B206,4)="_Mil","",IF(SUM($BB206)=0,SUM($AD206),IF(OR(SUM($AP206)=0,SUM($AQ206)=0),MAX($BB206,$AD206),ROUND($BB206*$AQ206/$AP206,0))))</f>
        <v>0</v>
      </c>
      <c r="BD206" s="88" t="n">
        <f aca="false">IF($C206="&lt;01","",95%)</f>
        <v>0.95</v>
      </c>
      <c r="BE206" s="39" t="n">
        <f aca="false">IF($C206="&lt;01",ROUND(INDEX(EID!$V:$V,MATCH($B206,EID!$B:$B,0))/2,0),ROUND($BD206*$BB206,0))</f>
        <v>0</v>
      </c>
      <c r="BF206" s="39" t="n">
        <f aca="false">IF(LEFT($B206,4)="_Mil","",IF(SUM($BE206)=0,SUM($AF206),IF(OR(SUM($AP206)=0,SUM($AQ206)=0),MAX($BE206,$AF206),ROUND($BE206*$AQ206/$AP206,0))))</f>
        <v>0</v>
      </c>
      <c r="BG206" s="114" t="n">
        <f aca="false">IF($C206="&lt;01","",95%)</f>
        <v>0.95</v>
      </c>
      <c r="BH206" s="5" t="n">
        <f aca="false">IF($C206="&lt;01",ROUND(INDEX(EID!$L:$L,MATCH($B206,EID!$B:$B,0)),0)/2,IF(SUM($BG206)=0,"",ROUND($AX206/$BG206,0)))</f>
        <v>0</v>
      </c>
    </row>
    <row r="207" customFormat="false" ht="15" hidden="false" customHeight="false" outlineLevel="0" collapsed="false">
      <c r="A207" s="0" t="str">
        <f aca="false">INDEX(Prioritization!$D:$D,MATCH($B207,Prioritization!$A:$A,0))</f>
        <v>1 - Scale-up: Saturation</v>
      </c>
      <c r="B207" s="0" t="s">
        <v>207</v>
      </c>
      <c r="C207" s="0" t="s">
        <v>367</v>
      </c>
      <c r="D207" s="0" t="s">
        <v>30</v>
      </c>
      <c r="E207" s="0" t="str">
        <f aca="false">$B207&amp;"|"&amp;$C207&amp;"|"&amp;$D207</f>
        <v>Mzimba District [vA4NcHxfMBq]|35-49|Female</v>
      </c>
      <c r="F207" s="10"/>
      <c r="G207" s="10"/>
      <c r="H207" s="10"/>
      <c r="I207" s="10"/>
      <c r="J207" s="10"/>
      <c r="K207" s="10"/>
      <c r="L207" s="10"/>
      <c r="M207" s="10"/>
      <c r="N207" s="10"/>
      <c r="O207" s="10" t="str">
        <f aca="false">IFERROR(1/(1/MAX($I207,$N207)),"")</f>
        <v/>
      </c>
      <c r="P207" s="10"/>
      <c r="Q207" s="10"/>
      <c r="R207" s="10" t="str">
        <f aca="false">IF(AND(SUM($I207)=0,SUM($O207)=0),"",SUM($O207)-$I207)</f>
        <v/>
      </c>
      <c r="S207" s="10" t="n">
        <f aca="false">IF(LEFT($B207,4)="_Mil","",_xlfn.IFNA(ROUND(INDEX(Spectrum!$N:$N,MATCH(RIGHT($B207,13)&amp;"|"&amp;$C207&amp;"|"&amp;$D207&amp;"|"&amp;S$14&amp;"|"&amp;"CY2022Q4",Spectrum!$R:$R,0)),0),""))</f>
        <v>1947</v>
      </c>
      <c r="T207" s="39" t="n">
        <f aca="false">IF(LEFT($B207,4)="_Mil","",_xlfn.IFNA(ROUND(INDEX(Spectrum!$N:$N,MATCH(RIGHT($B207,13)&amp;"|"&amp;$C207&amp;"|"&amp;$D207&amp;"|"&amp;T$14&amp;"|"&amp;"CY2023Q3",Spectrum!$R:$R,0)),0),""))</f>
        <v>1178</v>
      </c>
      <c r="U207" s="39" t="str">
        <f aca="false">IF(LEFT($B207,4)="_Mil","",_xlfn.IFNA(ROUND(INDEX(Spectrum!$N:$N,MATCH(RIGHT($B207,13)&amp;"|"&amp;$C207&amp;"|"&amp;$D207&amp;"|"&amp;U$14&amp;"|"&amp;"CY2023Q3",Spectrum!$R:$R,0)),0),""))</f>
        <v/>
      </c>
      <c r="V207" s="10" t="n">
        <f aca="false">IF(LEFT($B207,4)="_Mil","",_xlfn.IFNA(ROUND(INDEX(Spectrum!$N:$N,MATCH(RIGHT($B207,13)&amp;"|"&amp;$C207&amp;"|"&amp;$D207&amp;"|"&amp;V$14&amp;"|"&amp;"CY2023Q3",Spectrum!$R:$R,0)),0),""))</f>
        <v>1427</v>
      </c>
      <c r="W207" s="113" t="n">
        <f aca="false">IF(LEFT($B207,4)="_Mil","",_xlfn.IFNA(INDEX(Spectrum!$N:$N,MATCH(RIGHT($B207,13)&amp;"|"&amp;$C207&amp;"|"&amp;$D207&amp;"|"&amp;W$14&amp;"|"&amp;"CY2023Q3",Spectrum!$R:$R,0)),""))</f>
        <v>1121</v>
      </c>
      <c r="X207" s="39" t="n">
        <f aca="false">IF(LEFT($B207,4)="_Mil","",_xlfn.IFNA(ROUND(INDEX(Spectrum!$N:$N,MATCH(RIGHT($B207,13)&amp;"|"&amp;$C207&amp;"|"&amp;$D207&amp;"|"&amp;X$14&amp;"|"&amp;"CY2023Q3",Spectrum!$R:$R,0)),0),""))</f>
        <v>824</v>
      </c>
      <c r="Y207" s="88" t="str">
        <f aca="false">IF(OR(SUM($U207)=0,LEFT($B207,4)="_Mil"),"",SUM($X207)/$U207)</f>
        <v/>
      </c>
      <c r="Z207" s="39" t="n">
        <f aca="false">IF(LEFT($B207,4)="_Mil","",_xlfn.IFNA(ROUND(INDEX(Spectrum!$N:$N,MATCH(RIGHT($B207,13)&amp;"|"&amp;$C207&amp;"|"&amp;$D207&amp;"|"&amp;Z$14&amp;"|"&amp;"CY2023Q3",Spectrum!$R:$R,0)),0),""))</f>
        <v>1804</v>
      </c>
      <c r="AA207" s="88" t="n">
        <f aca="false">IF(LEFT($B207,4)="_Mil","",IFERROR(1/(1/INDEX(Spectrum!$N:$N,MATCH(RIGHT($B207,13)&amp;"|"&amp;$C207&amp;"|"&amp;$D207&amp;"|"&amp;AA$14&amp;"|"&amp;"CY2023Q3",Spectrum!$R:$R,0))),IF(SUM($U207)=0,"",SUM($Z207)/$U207)))</f>
        <v>918</v>
      </c>
      <c r="AB207" s="88" t="n">
        <f aca="false">IF(OR(LEFT($B207,4)="_Mil",SUM($X207)=0),"",SUM($Z207)/$X207)</f>
        <v>2.18932038834951</v>
      </c>
      <c r="AC207" s="10" t="n">
        <f aca="false">IF(LEFT($B207,4)="_Mil","",_xlfn.IFNA(ROUND(INDEX(Spectrum!$N:$N,MATCH(RIGHT($B207,13)&amp;"|"&amp;$C207&amp;"|"&amp;$D207&amp;"|"&amp;AC$14&amp;"|"&amp;"CY2023Q3",Spectrum!$R:$R,0)),0),""))</f>
        <v>1754</v>
      </c>
      <c r="AD207" s="10" t="str">
        <f aca="false">IF(LEFT($B207,4)="_Mil","",_xlfn.IFNA(ROUND(INDEX(Spectrum!$N:$N,MATCH(RIGHT($B207,13)&amp;"|"&amp;$C207&amp;"|"&amp;$D207&amp;"|"&amp;AD$14&amp;"|"&amp;"CY2023Q3",Spectrum!$R:$R,0)),0),""))</f>
        <v/>
      </c>
      <c r="AE207" s="88" t="n">
        <f aca="false">IF(OR(LEFT($B207,4)="_Mil",SUM($Z207)=0),"",SUM($AD207)/$Z207)</f>
        <v>0</v>
      </c>
      <c r="AF207" s="39" t="str">
        <f aca="false">IF(LEFT($B207,4)="_Mil","",_xlfn.IFNA(ROUND(INDEX(Spectrum!$N:$N,MATCH(RIGHT($B207,13)&amp;"|"&amp;$C207&amp;"|"&amp;$D207&amp;"|"&amp;AF$14&amp;"|"&amp;"CY2023Q3",Spectrum!$R:$R,0)),0),""))</f>
        <v/>
      </c>
      <c r="AG207" s="88" t="str">
        <f aca="false">IF(OR(LEFT($B207,4)="_Mil",SUM($AD207)=0),"",SUM($AF207)/$AD207)</f>
        <v/>
      </c>
      <c r="AH207" s="86" t="str">
        <f aca="false">IF(LEFT($B207,4)="_Mil","",_xlfn.IFNA(INDEX(Spectrum!$N:$N,MATCH(RIGHT($B207,13)&amp;"|"&amp;$C207&amp;"|"&amp;$D207&amp;"|"&amp;AH$14&amp;"|"&amp;"CY2023Q3",Spectrum!$R:$R,0)),""))</f>
        <v/>
      </c>
      <c r="AI207" s="10" t="str">
        <f aca="false">IF(LEFT($B207,4)="_Mil","",_xlfn.IFNA(ROUND(INDEX(Spectrum!$N:$N,MATCH(RIGHT($B207,13)&amp;"|"&amp;$C207&amp;"|"&amp;$D207&amp;"|"&amp;AI$14&amp;"|"&amp;"CY2023Q3",Spectrum!$R:$R,0)),0),""))</f>
        <v/>
      </c>
      <c r="AJ207" s="39" t="n">
        <f aca="false">IF(LEFT($B207,4)="_Mil","",_xlfn.IFNA(ROUND(INDEX(Spectrum!$N:$N,MATCH(RIGHT($B207,13)&amp;"|"&amp;$C207&amp;"|"&amp;$D207&amp;"|"&amp;AI$14&amp;"|"&amp;"CY2023Q3",Spectrum!$R:$R,0)),0),SUM($U207)+SUM($AI207)))</f>
        <v>0</v>
      </c>
      <c r="AK207" s="10" t="str">
        <f aca="false">IF(LEFT($B207,4)="_Mil","",_xlfn.IFNA(ROUND(INDEX(Spectrum!$N:$N,MATCH(RIGHT($B207,13)&amp;"|"&amp;$C207&amp;"|"&amp;$D207&amp;"|"&amp;AK$14&amp;"|"&amp;"CY2023Q3",Spectrum!$R:$R,0)),0),""))</f>
        <v/>
      </c>
      <c r="AL207" s="88" t="n">
        <f aca="false">IF(OR(LEFT($B207,4)="_Mil",$C207="&lt;01"),"",MAX(SUM($AA207),90%))</f>
        <v>918</v>
      </c>
      <c r="AM207" s="10" t="n">
        <f aca="false">IF(OR(LEFT($B207,4)="_Mil",$C207="&lt;01"),"",ROUND(SUM($AJ207)*SUM($AL207),0))</f>
        <v>0</v>
      </c>
      <c r="AN207" s="10" t="str">
        <f aca="false">IF($C207="&lt;01",ROUND(INDEX(EID!$P:$P,MATCH($B207,EID!$B:$B,0))/2,0),"")</f>
        <v/>
      </c>
      <c r="AO207" s="10" t="n">
        <f aca="false">IF($C207="&lt;01",SUM($AN207),ROUND(SUM($AM207)*SUM($O207)/IF(SUM($Z207)=0,1,$Z207),0))</f>
        <v>0</v>
      </c>
      <c r="AP207" s="39" t="n">
        <f aca="false">IF(OR($F207="",$C207="&lt;01"),$AO207,$F207)</f>
        <v>0</v>
      </c>
      <c r="AQ207" s="39" t="n">
        <f aca="false">IF(LEFT($B207,4)="_Mil","",IF(SUM($AP207)=0,SUM($Z207),IF(OR(SUM($Z207)=0,SUM($O207)=0),MAX($AP207,$Z207),$AP207*$Z207/$O207)))</f>
        <v>1804</v>
      </c>
      <c r="AR207" s="88" t="str">
        <f aca="false">IF(OR(LEFT($B207,4)="_Mil",SUM($AJ207)=0),"",SUM($AQ207)/$AJ207)</f>
        <v/>
      </c>
      <c r="AS207" s="88" t="n">
        <f aca="false">IF($C207="&lt;01","",98%)</f>
        <v>0.98</v>
      </c>
      <c r="AT207" s="88" t="n">
        <f aca="false">IF($C207="&lt;01","",98%)</f>
        <v>0.98</v>
      </c>
      <c r="AU207" s="10" t="n">
        <f aca="false">IF($C207="&lt;01","",SUM($AP207)-SUM($O207))</f>
        <v>0</v>
      </c>
      <c r="AV207" s="10" t="n">
        <f aca="false">IF($C207="&lt;01",ROUND(INDEX(EID!$N:$N,MATCH($B207,EID!$B:$B,0))/2,0),IF(SUM($AT207)=0,"",ROUND((SUM($AP207)-(SUM($O207)*SUM($AS207)))/$AT207,0)))</f>
        <v>0</v>
      </c>
      <c r="AW207" s="88" t="n">
        <f aca="false">IF($C207="&lt;01","",100%)</f>
        <v>1</v>
      </c>
      <c r="AX207" s="39" t="n">
        <f aca="false">IF($C207="&lt;01",SUM($AV207),ROUND(SUM($AV207)*SUM($AW207),0))</f>
        <v>0</v>
      </c>
      <c r="AY207" s="114" t="n">
        <f aca="false">IF($C207="&lt;01","",70%)</f>
        <v>0.7</v>
      </c>
      <c r="AZ207" s="91" t="n">
        <f aca="false">IF($C207="&lt;01",ROUND(INDEX(EID!$R:$R,MATCH($B207,EID!$B:$B,0))/2,0),ROUND(SUM($O207)+(SUM($AV207)*$AY207),0))</f>
        <v>0</v>
      </c>
      <c r="BA207" s="87" t="n">
        <f aca="false">IF($C207="&lt;01","",95%)</f>
        <v>0.95</v>
      </c>
      <c r="BB207" s="5" t="n">
        <f aca="false">IF($C207="&lt;01",ROUND(INDEX(EID!$T:$T,MATCH($B207,EID!$B:$B,0))/2,0),ROUND($AZ207*$BA207,0))</f>
        <v>0</v>
      </c>
      <c r="BC207" s="91" t="n">
        <f aca="false">IF(LEFT($B207,4)="_Mil","",IF(SUM($BB207)=0,SUM($AD207),IF(OR(SUM($AP207)=0,SUM($AQ207)=0),MAX($BB207,$AD207),ROUND($BB207*$AQ207/$AP207,0))))</f>
        <v>0</v>
      </c>
      <c r="BD207" s="88" t="n">
        <f aca="false">IF($C207="&lt;01","",95%)</f>
        <v>0.95</v>
      </c>
      <c r="BE207" s="39" t="n">
        <f aca="false">IF($C207="&lt;01",ROUND(INDEX(EID!$V:$V,MATCH($B207,EID!$B:$B,0))/2,0),ROUND($BD207*$BB207,0))</f>
        <v>0</v>
      </c>
      <c r="BF207" s="39" t="n">
        <f aca="false">IF(LEFT($B207,4)="_Mil","",IF(SUM($BE207)=0,SUM($AF207),IF(OR(SUM($AP207)=0,SUM($AQ207)=0),MAX($BE207,$AF207),ROUND($BE207*$AQ207/$AP207,0))))</f>
        <v>0</v>
      </c>
      <c r="BG207" s="114" t="n">
        <f aca="false">IF($C207="&lt;01","",95%)</f>
        <v>0.95</v>
      </c>
      <c r="BH207" s="5" t="n">
        <f aca="false">IF($C207="&lt;01",ROUND(INDEX(EID!$L:$L,MATCH($B207,EID!$B:$B,0)),0)/2,IF(SUM($BG207)=0,"",ROUND($AX207/$BG207,0)))</f>
        <v>0</v>
      </c>
    </row>
    <row r="208" customFormat="false" ht="15" hidden="false" customHeight="false" outlineLevel="0" collapsed="false">
      <c r="A208" s="0" t="str">
        <f aca="false">INDEX(Prioritization!$D:$D,MATCH($B208,Prioritization!$A:$A,0))</f>
        <v>1 - Scale-up: Saturation</v>
      </c>
      <c r="B208" s="0" t="s">
        <v>207</v>
      </c>
      <c r="C208" s="0" t="s">
        <v>367</v>
      </c>
      <c r="D208" s="0" t="s">
        <v>48</v>
      </c>
      <c r="E208" s="0" t="str">
        <f aca="false">$B208&amp;"|"&amp;$C208&amp;"|"&amp;$D208</f>
        <v>Mzimba District [vA4NcHxfMBq]|35-49|Male</v>
      </c>
      <c r="F208" s="10"/>
      <c r="G208" s="10"/>
      <c r="H208" s="10"/>
      <c r="I208" s="10"/>
      <c r="J208" s="10"/>
      <c r="K208" s="10"/>
      <c r="L208" s="10"/>
      <c r="M208" s="10"/>
      <c r="N208" s="10"/>
      <c r="O208" s="10" t="str">
        <f aca="false">IFERROR(1/(1/MAX($I208,$N208)),"")</f>
        <v/>
      </c>
      <c r="P208" s="10"/>
      <c r="Q208" s="10"/>
      <c r="R208" s="10" t="str">
        <f aca="false">IF(AND(SUM($I208)=0,SUM($O208)=0),"",SUM($O208)-$I208)</f>
        <v/>
      </c>
      <c r="S208" s="10" t="n">
        <f aca="false">IF(LEFT($B208,4)="_Mil","",_xlfn.IFNA(ROUND(INDEX(Spectrum!$N:$N,MATCH(RIGHT($B208,13)&amp;"|"&amp;$C208&amp;"|"&amp;$D208&amp;"|"&amp;S$14&amp;"|"&amp;"CY2022Q4",Spectrum!$R:$R,0)),0),""))</f>
        <v>1274</v>
      </c>
      <c r="T208" s="39" t="n">
        <f aca="false">IF(LEFT($B208,4)="_Mil","",_xlfn.IFNA(ROUND(INDEX(Spectrum!$N:$N,MATCH(RIGHT($B208,13)&amp;"|"&amp;$C208&amp;"|"&amp;$D208&amp;"|"&amp;T$14&amp;"|"&amp;"CY2023Q3",Spectrum!$R:$R,0)),0),""))</f>
        <v>1395</v>
      </c>
      <c r="U208" s="39" t="str">
        <f aca="false">IF(LEFT($B208,4)="_Mil","",_xlfn.IFNA(ROUND(INDEX(Spectrum!$N:$N,MATCH(RIGHT($B208,13)&amp;"|"&amp;$C208&amp;"|"&amp;$D208&amp;"|"&amp;U$14&amp;"|"&amp;"CY2023Q3",Spectrum!$R:$R,0)),0),""))</f>
        <v/>
      </c>
      <c r="V208" s="10" t="n">
        <f aca="false">IF(LEFT($B208,4)="_Mil","",_xlfn.IFNA(ROUND(INDEX(Spectrum!$N:$N,MATCH(RIGHT($B208,13)&amp;"|"&amp;$C208&amp;"|"&amp;$D208&amp;"|"&amp;V$14&amp;"|"&amp;"CY2023Q3",Spectrum!$R:$R,0)),0),""))</f>
        <v>711</v>
      </c>
      <c r="W208" s="113" t="n">
        <f aca="false">IF(LEFT($B208,4)="_Mil","",_xlfn.IFNA(INDEX(Spectrum!$N:$N,MATCH(RIGHT($B208,13)&amp;"|"&amp;$C208&amp;"|"&amp;$D208&amp;"|"&amp;W$14&amp;"|"&amp;"CY2023Q3",Spectrum!$R:$R,0)),""))</f>
        <v>952</v>
      </c>
      <c r="X208" s="39" t="n">
        <f aca="false">IF(LEFT($B208,4)="_Mil","",_xlfn.IFNA(ROUND(INDEX(Spectrum!$N:$N,MATCH(RIGHT($B208,13)&amp;"|"&amp;$C208&amp;"|"&amp;$D208&amp;"|"&amp;X$14&amp;"|"&amp;"CY2023Q3",Spectrum!$R:$R,0)),0),""))</f>
        <v>1261</v>
      </c>
      <c r="Y208" s="88" t="str">
        <f aca="false">IF(OR(SUM($U208)=0,LEFT($B208,4)="_Mil"),"",SUM($X208)/$U208)</f>
        <v/>
      </c>
      <c r="Z208" s="39" t="n">
        <f aca="false">IF(LEFT($B208,4)="_Mil","",_xlfn.IFNA(ROUND(INDEX(Spectrum!$N:$N,MATCH(RIGHT($B208,13)&amp;"|"&amp;$C208&amp;"|"&amp;$D208&amp;"|"&amp;Z$14&amp;"|"&amp;"CY2023Q3",Spectrum!$R:$R,0)),0),""))</f>
        <v>1401</v>
      </c>
      <c r="AA208" s="88" t="n">
        <f aca="false">IF(LEFT($B208,4)="_Mil","",IFERROR(1/(1/INDEX(Spectrum!$N:$N,MATCH(RIGHT($B208,13)&amp;"|"&amp;$C208&amp;"|"&amp;$D208&amp;"|"&amp;AA$14&amp;"|"&amp;"CY2023Q3",Spectrum!$R:$R,0))),IF(SUM($U208)=0,"",SUM($Z208)/$U208)))</f>
        <v>1021</v>
      </c>
      <c r="AB208" s="88" t="n">
        <f aca="false">IF(OR(LEFT($B208,4)="_Mil",SUM($X208)=0),"",SUM($Z208)/$X208)</f>
        <v>1.11102299762094</v>
      </c>
      <c r="AC208" s="10" t="n">
        <f aca="false">IF(LEFT($B208,4)="_Mil","",_xlfn.IFNA(ROUND(INDEX(Spectrum!$N:$N,MATCH(RIGHT($B208,13)&amp;"|"&amp;$C208&amp;"|"&amp;$D208&amp;"|"&amp;AC$14&amp;"|"&amp;"CY2023Q3",Spectrum!$R:$R,0)),0),""))</f>
        <v>1300</v>
      </c>
      <c r="AD208" s="10" t="str">
        <f aca="false">IF(LEFT($B208,4)="_Mil","",_xlfn.IFNA(ROUND(INDEX(Spectrum!$N:$N,MATCH(RIGHT($B208,13)&amp;"|"&amp;$C208&amp;"|"&amp;$D208&amp;"|"&amp;AD$14&amp;"|"&amp;"CY2023Q3",Spectrum!$R:$R,0)),0),""))</f>
        <v/>
      </c>
      <c r="AE208" s="88" t="n">
        <f aca="false">IF(OR(LEFT($B208,4)="_Mil",SUM($Z208)=0),"",SUM($AD208)/$Z208)</f>
        <v>0</v>
      </c>
      <c r="AF208" s="39" t="str">
        <f aca="false">IF(LEFT($B208,4)="_Mil","",_xlfn.IFNA(ROUND(INDEX(Spectrum!$N:$N,MATCH(RIGHT($B208,13)&amp;"|"&amp;$C208&amp;"|"&amp;$D208&amp;"|"&amp;AF$14&amp;"|"&amp;"CY2023Q3",Spectrum!$R:$R,0)),0),""))</f>
        <v/>
      </c>
      <c r="AG208" s="88" t="str">
        <f aca="false">IF(OR(LEFT($B208,4)="_Mil",SUM($AD208)=0),"",SUM($AF208)/$AD208)</f>
        <v/>
      </c>
      <c r="AH208" s="86" t="str">
        <f aca="false">IF(LEFT($B208,4)="_Mil","",_xlfn.IFNA(INDEX(Spectrum!$N:$N,MATCH(RIGHT($B208,13)&amp;"|"&amp;$C208&amp;"|"&amp;$D208&amp;"|"&amp;AH$14&amp;"|"&amp;"CY2023Q3",Spectrum!$R:$R,0)),""))</f>
        <v/>
      </c>
      <c r="AI208" s="10" t="str">
        <f aca="false">IF(LEFT($B208,4)="_Mil","",_xlfn.IFNA(ROUND(INDEX(Spectrum!$N:$N,MATCH(RIGHT($B208,13)&amp;"|"&amp;$C208&amp;"|"&amp;$D208&amp;"|"&amp;AI$14&amp;"|"&amp;"CY2023Q3",Spectrum!$R:$R,0)),0),""))</f>
        <v/>
      </c>
      <c r="AJ208" s="39" t="n">
        <f aca="false">IF(LEFT($B208,4)="_Mil","",_xlfn.IFNA(ROUND(INDEX(Spectrum!$N:$N,MATCH(RIGHT($B208,13)&amp;"|"&amp;$C208&amp;"|"&amp;$D208&amp;"|"&amp;AI$14&amp;"|"&amp;"CY2023Q3",Spectrum!$R:$R,0)),0),SUM($U208)+SUM($AI208)))</f>
        <v>0</v>
      </c>
      <c r="AK208" s="10" t="str">
        <f aca="false">IF(LEFT($B208,4)="_Mil","",_xlfn.IFNA(ROUND(INDEX(Spectrum!$N:$N,MATCH(RIGHT($B208,13)&amp;"|"&amp;$C208&amp;"|"&amp;$D208&amp;"|"&amp;AK$14&amp;"|"&amp;"CY2023Q3",Spectrum!$R:$R,0)),0),""))</f>
        <v/>
      </c>
      <c r="AL208" s="88" t="n">
        <f aca="false">IF(OR(LEFT($B208,4)="_Mil",$C208="&lt;01"),"",MAX(SUM($AA208),90%))</f>
        <v>1021</v>
      </c>
      <c r="AM208" s="10" t="n">
        <f aca="false">IF(OR(LEFT($B208,4)="_Mil",$C208="&lt;01"),"",ROUND(SUM($AJ208)*SUM($AL208),0))</f>
        <v>0</v>
      </c>
      <c r="AN208" s="10" t="str">
        <f aca="false">IF($C208="&lt;01",ROUND(INDEX(EID!$P:$P,MATCH($B208,EID!$B:$B,0))/2,0),"")</f>
        <v/>
      </c>
      <c r="AO208" s="10" t="n">
        <f aca="false">IF($C208="&lt;01",SUM($AN208),ROUND(SUM($AM208)*SUM($O208)/IF(SUM($Z208)=0,1,$Z208),0))</f>
        <v>0</v>
      </c>
      <c r="AP208" s="39" t="n">
        <f aca="false">IF(OR($F208="",$C208="&lt;01"),$AO208,$F208)</f>
        <v>0</v>
      </c>
      <c r="AQ208" s="39" t="n">
        <f aca="false">IF(LEFT($B208,4)="_Mil","",IF(SUM($AP208)=0,SUM($Z208),IF(OR(SUM($Z208)=0,SUM($O208)=0),MAX($AP208,$Z208),$AP208*$Z208/$O208)))</f>
        <v>1401</v>
      </c>
      <c r="AR208" s="88" t="str">
        <f aca="false">IF(OR(LEFT($B208,4)="_Mil",SUM($AJ208)=0),"",SUM($AQ208)/$AJ208)</f>
        <v/>
      </c>
      <c r="AS208" s="88" t="n">
        <f aca="false">IF($C208="&lt;01","",98%)</f>
        <v>0.98</v>
      </c>
      <c r="AT208" s="88" t="n">
        <f aca="false">IF($C208="&lt;01","",98%)</f>
        <v>0.98</v>
      </c>
      <c r="AU208" s="10" t="n">
        <f aca="false">IF($C208="&lt;01","",SUM($AP208)-SUM($O208))</f>
        <v>0</v>
      </c>
      <c r="AV208" s="10" t="n">
        <f aca="false">IF($C208="&lt;01",ROUND(INDEX(EID!$N:$N,MATCH($B208,EID!$B:$B,0))/2,0),IF(SUM($AT208)=0,"",ROUND((SUM($AP208)-(SUM($O208)*SUM($AS208)))/$AT208,0)))</f>
        <v>0</v>
      </c>
      <c r="AW208" s="88" t="n">
        <f aca="false">IF($C208="&lt;01","",100%)</f>
        <v>1</v>
      </c>
      <c r="AX208" s="39" t="n">
        <f aca="false">IF($C208="&lt;01",SUM($AV208),ROUND(SUM($AV208)*SUM($AW208),0))</f>
        <v>0</v>
      </c>
      <c r="AY208" s="114" t="n">
        <f aca="false">IF($C208="&lt;01","",70%)</f>
        <v>0.7</v>
      </c>
      <c r="AZ208" s="91" t="n">
        <f aca="false">IF($C208="&lt;01",ROUND(INDEX(EID!$R:$R,MATCH($B208,EID!$B:$B,0))/2,0),ROUND(SUM($O208)+(SUM($AV208)*$AY208),0))</f>
        <v>0</v>
      </c>
      <c r="BA208" s="87" t="n">
        <f aca="false">IF($C208="&lt;01","",95%)</f>
        <v>0.95</v>
      </c>
      <c r="BB208" s="5" t="n">
        <f aca="false">IF($C208="&lt;01",ROUND(INDEX(EID!$T:$T,MATCH($B208,EID!$B:$B,0))/2,0),ROUND($AZ208*$BA208,0))</f>
        <v>0</v>
      </c>
      <c r="BC208" s="91" t="n">
        <f aca="false">IF(LEFT($B208,4)="_Mil","",IF(SUM($BB208)=0,SUM($AD208),IF(OR(SUM($AP208)=0,SUM($AQ208)=0),MAX($BB208,$AD208),ROUND($BB208*$AQ208/$AP208,0))))</f>
        <v>0</v>
      </c>
      <c r="BD208" s="88" t="n">
        <f aca="false">IF($C208="&lt;01","",95%)</f>
        <v>0.95</v>
      </c>
      <c r="BE208" s="39" t="n">
        <f aca="false">IF($C208="&lt;01",ROUND(INDEX(EID!$V:$V,MATCH($B208,EID!$B:$B,0))/2,0),ROUND($BD208*$BB208,0))</f>
        <v>0</v>
      </c>
      <c r="BF208" s="39" t="n">
        <f aca="false">IF(LEFT($B208,4)="_Mil","",IF(SUM($BE208)=0,SUM($AF208),IF(OR(SUM($AP208)=0,SUM($AQ208)=0),MAX($BE208,$AF208),ROUND($BE208*$AQ208/$AP208,0))))</f>
        <v>0</v>
      </c>
      <c r="BG208" s="114" t="n">
        <f aca="false">IF($C208="&lt;01","",95%)</f>
        <v>0.95</v>
      </c>
      <c r="BH208" s="5" t="n">
        <f aca="false">IF($C208="&lt;01",ROUND(INDEX(EID!$L:$L,MATCH($B208,EID!$B:$B,0)),0)/2,IF(SUM($BG208)=0,"",ROUND($AX208/$BG208,0)))</f>
        <v>0</v>
      </c>
    </row>
    <row r="209" customFormat="false" ht="15" hidden="false" customHeight="false" outlineLevel="0" collapsed="false">
      <c r="A209" s="0" t="str">
        <f aca="false">INDEX(Prioritization!$D:$D,MATCH($B209,Prioritization!$A:$A,0))</f>
        <v>1 - Scale-up: Saturation</v>
      </c>
      <c r="B209" s="0" t="s">
        <v>207</v>
      </c>
      <c r="C209" s="0" t="s">
        <v>368</v>
      </c>
      <c r="D209" s="0" t="s">
        <v>30</v>
      </c>
      <c r="E209" s="0" t="str">
        <f aca="false">$B209&amp;"|"&amp;$C209&amp;"|"&amp;$D209</f>
        <v>Mzimba District [vA4NcHxfMBq]|50+|Female</v>
      </c>
      <c r="F209" s="10"/>
      <c r="G209" s="10"/>
      <c r="H209" s="10"/>
      <c r="I209" s="10"/>
      <c r="J209" s="10"/>
      <c r="K209" s="10"/>
      <c r="L209" s="10"/>
      <c r="M209" s="10"/>
      <c r="N209" s="10"/>
      <c r="O209" s="10" t="str">
        <f aca="false">IFERROR(1/(1/MAX($I209,$N209)),"")</f>
        <v/>
      </c>
      <c r="P209" s="10"/>
      <c r="Q209" s="10"/>
      <c r="R209" s="10" t="str">
        <f aca="false">IF(AND(SUM($I209)=0,SUM($O209)=0),"",SUM($O209)-$I209)</f>
        <v/>
      </c>
      <c r="S209" s="10" t="n">
        <f aca="false">IF(LEFT($B209,4)="_Mil","",_xlfn.IFNA(ROUND(INDEX(Spectrum!$N:$N,MATCH(RIGHT($B209,13)&amp;"|"&amp;$C209&amp;"|"&amp;$D209&amp;"|"&amp;S$14&amp;"|"&amp;"CY2022Q4",Spectrum!$R:$R,0)),0),""))</f>
        <v>591</v>
      </c>
      <c r="T209" s="39" t="n">
        <f aca="false">IF(LEFT($B209,4)="_Mil","",_xlfn.IFNA(ROUND(INDEX(Spectrum!$N:$N,MATCH(RIGHT($B209,13)&amp;"|"&amp;$C209&amp;"|"&amp;$D209&amp;"|"&amp;T$14&amp;"|"&amp;"CY2023Q3",Spectrum!$R:$R,0)),0),""))</f>
        <v>1385</v>
      </c>
      <c r="U209" s="39" t="str">
        <f aca="false">IF(LEFT($B209,4)="_Mil","",_xlfn.IFNA(ROUND(INDEX(Spectrum!$N:$N,MATCH(RIGHT($B209,13)&amp;"|"&amp;$C209&amp;"|"&amp;$D209&amp;"|"&amp;U$14&amp;"|"&amp;"CY2023Q3",Spectrum!$R:$R,0)),0),""))</f>
        <v/>
      </c>
      <c r="V209" s="10" t="n">
        <f aca="false">IF(LEFT($B209,4)="_Mil","",_xlfn.IFNA(ROUND(INDEX(Spectrum!$N:$N,MATCH(RIGHT($B209,13)&amp;"|"&amp;$C209&amp;"|"&amp;$D209&amp;"|"&amp;V$14&amp;"|"&amp;"CY2023Q3",Spectrum!$R:$R,0)),0),""))</f>
        <v>806</v>
      </c>
      <c r="W209" s="113" t="n">
        <f aca="false">IF(LEFT($B209,4)="_Mil","",_xlfn.IFNA(INDEX(Spectrum!$N:$N,MATCH(RIGHT($B209,13)&amp;"|"&amp;$C209&amp;"|"&amp;$D209&amp;"|"&amp;W$14&amp;"|"&amp;"CY2023Q3",Spectrum!$R:$R,0)),""))</f>
        <v>1596</v>
      </c>
      <c r="X209" s="39" t="n">
        <f aca="false">IF(LEFT($B209,4)="_Mil","",_xlfn.IFNA(ROUND(INDEX(Spectrum!$N:$N,MATCH(RIGHT($B209,13)&amp;"|"&amp;$C209&amp;"|"&amp;$D209&amp;"|"&amp;X$14&amp;"|"&amp;"CY2023Q3",Spectrum!$R:$R,0)),0),""))</f>
        <v>914</v>
      </c>
      <c r="Y209" s="88" t="str">
        <f aca="false">IF(OR(SUM($U209)=0,LEFT($B209,4)="_Mil"),"",SUM($X209)/$U209)</f>
        <v/>
      </c>
      <c r="Z209" s="39" t="n">
        <f aca="false">IF(LEFT($B209,4)="_Mil","",_xlfn.IFNA(ROUND(INDEX(Spectrum!$N:$N,MATCH(RIGHT($B209,13)&amp;"|"&amp;$C209&amp;"|"&amp;$D209&amp;"|"&amp;Z$14&amp;"|"&amp;"CY2023Q3",Spectrum!$R:$R,0)),0),""))</f>
        <v>1051</v>
      </c>
      <c r="AA209" s="88" t="n">
        <f aca="false">IF(LEFT($B209,4)="_Mil","",IFERROR(1/(1/INDEX(Spectrum!$N:$N,MATCH(RIGHT($B209,13)&amp;"|"&amp;$C209&amp;"|"&amp;$D209&amp;"|"&amp;AA$14&amp;"|"&amp;"CY2023Q3",Spectrum!$R:$R,0))),IF(SUM($U209)=0,"",SUM($Z209)/$U209)))</f>
        <v>1687</v>
      </c>
      <c r="AB209" s="88" t="n">
        <f aca="false">IF(OR(LEFT($B209,4)="_Mil",SUM($X209)=0),"",SUM($Z209)/$X209)</f>
        <v>1.14989059080963</v>
      </c>
      <c r="AC209" s="10" t="n">
        <f aca="false">IF(LEFT($B209,4)="_Mil","",_xlfn.IFNA(ROUND(INDEX(Spectrum!$N:$N,MATCH(RIGHT($B209,13)&amp;"|"&amp;$C209&amp;"|"&amp;$D209&amp;"|"&amp;AC$14&amp;"|"&amp;"CY2023Q3",Spectrum!$R:$R,0)),0),""))</f>
        <v>1661</v>
      </c>
      <c r="AD209" s="10" t="str">
        <f aca="false">IF(LEFT($B209,4)="_Mil","",_xlfn.IFNA(ROUND(INDEX(Spectrum!$N:$N,MATCH(RIGHT($B209,13)&amp;"|"&amp;$C209&amp;"|"&amp;$D209&amp;"|"&amp;AD$14&amp;"|"&amp;"CY2023Q3",Spectrum!$R:$R,0)),0),""))</f>
        <v/>
      </c>
      <c r="AE209" s="88" t="n">
        <f aca="false">IF(OR(LEFT($B209,4)="_Mil",SUM($Z209)=0),"",SUM($AD209)/$Z209)</f>
        <v>0</v>
      </c>
      <c r="AF209" s="39" t="str">
        <f aca="false">IF(LEFT($B209,4)="_Mil","",_xlfn.IFNA(ROUND(INDEX(Spectrum!$N:$N,MATCH(RIGHT($B209,13)&amp;"|"&amp;$C209&amp;"|"&amp;$D209&amp;"|"&amp;AF$14&amp;"|"&amp;"CY2023Q3",Spectrum!$R:$R,0)),0),""))</f>
        <v/>
      </c>
      <c r="AG209" s="88" t="str">
        <f aca="false">IF(OR(LEFT($B209,4)="_Mil",SUM($AD209)=0),"",SUM($AF209)/$AD209)</f>
        <v/>
      </c>
      <c r="AH209" s="86" t="str">
        <f aca="false">IF(LEFT($B209,4)="_Mil","",_xlfn.IFNA(INDEX(Spectrum!$N:$N,MATCH(RIGHT($B209,13)&amp;"|"&amp;$C209&amp;"|"&amp;$D209&amp;"|"&amp;AH$14&amp;"|"&amp;"CY2023Q3",Spectrum!$R:$R,0)),""))</f>
        <v/>
      </c>
      <c r="AI209" s="10" t="str">
        <f aca="false">IF(LEFT($B209,4)="_Mil","",_xlfn.IFNA(ROUND(INDEX(Spectrum!$N:$N,MATCH(RIGHT($B209,13)&amp;"|"&amp;$C209&amp;"|"&amp;$D209&amp;"|"&amp;AI$14&amp;"|"&amp;"CY2023Q3",Spectrum!$R:$R,0)),0),""))</f>
        <v/>
      </c>
      <c r="AJ209" s="39" t="n">
        <f aca="false">IF(LEFT($B209,4)="_Mil","",_xlfn.IFNA(ROUND(INDEX(Spectrum!$N:$N,MATCH(RIGHT($B209,13)&amp;"|"&amp;$C209&amp;"|"&amp;$D209&amp;"|"&amp;AI$14&amp;"|"&amp;"CY2023Q3",Spectrum!$R:$R,0)),0),SUM($U209)+SUM($AI209)))</f>
        <v>0</v>
      </c>
      <c r="AK209" s="10" t="str">
        <f aca="false">IF(LEFT($B209,4)="_Mil","",_xlfn.IFNA(ROUND(INDEX(Spectrum!$N:$N,MATCH(RIGHT($B209,13)&amp;"|"&amp;$C209&amp;"|"&amp;$D209&amp;"|"&amp;AK$14&amp;"|"&amp;"CY2023Q3",Spectrum!$R:$R,0)),0),""))</f>
        <v/>
      </c>
      <c r="AL209" s="88" t="n">
        <f aca="false">IF(OR(LEFT($B209,4)="_Mil",$C209="&lt;01"),"",MAX(SUM($AA209),90%))</f>
        <v>1687</v>
      </c>
      <c r="AM209" s="10" t="n">
        <f aca="false">IF(OR(LEFT($B209,4)="_Mil",$C209="&lt;01"),"",ROUND(SUM($AJ209)*SUM($AL209),0))</f>
        <v>0</v>
      </c>
      <c r="AN209" s="10" t="str">
        <f aca="false">IF($C209="&lt;01",ROUND(INDEX(EID!$P:$P,MATCH($B209,EID!$B:$B,0))/2,0),"")</f>
        <v/>
      </c>
      <c r="AO209" s="10" t="n">
        <f aca="false">IF($C209="&lt;01",SUM($AN209),ROUND(SUM($AM209)*SUM($O209)/IF(SUM($Z209)=0,1,$Z209),0))</f>
        <v>0</v>
      </c>
      <c r="AP209" s="39" t="n">
        <f aca="false">IF(OR($F209="",$C209="&lt;01"),$AO209,$F209)</f>
        <v>0</v>
      </c>
      <c r="AQ209" s="39" t="n">
        <f aca="false">IF(LEFT($B209,4)="_Mil","",IF(SUM($AP209)=0,SUM($Z209),IF(OR(SUM($Z209)=0,SUM($O209)=0),MAX($AP209,$Z209),$AP209*$Z209/$O209)))</f>
        <v>1051</v>
      </c>
      <c r="AR209" s="88" t="str">
        <f aca="false">IF(OR(LEFT($B209,4)="_Mil",SUM($AJ209)=0),"",SUM($AQ209)/$AJ209)</f>
        <v/>
      </c>
      <c r="AS209" s="88" t="n">
        <f aca="false">IF($C209="&lt;01","",98%)</f>
        <v>0.98</v>
      </c>
      <c r="AT209" s="88" t="n">
        <f aca="false">IF($C209="&lt;01","",98%)</f>
        <v>0.98</v>
      </c>
      <c r="AU209" s="10" t="n">
        <f aca="false">IF($C209="&lt;01","",SUM($AP209)-SUM($O209))</f>
        <v>0</v>
      </c>
      <c r="AV209" s="10" t="n">
        <f aca="false">IF($C209="&lt;01",ROUND(INDEX(EID!$N:$N,MATCH($B209,EID!$B:$B,0))/2,0),IF(SUM($AT209)=0,"",ROUND((SUM($AP209)-(SUM($O209)*SUM($AS209)))/$AT209,0)))</f>
        <v>0</v>
      </c>
      <c r="AW209" s="88" t="n">
        <f aca="false">IF($C209="&lt;01","",100%)</f>
        <v>1</v>
      </c>
      <c r="AX209" s="39" t="n">
        <f aca="false">IF($C209="&lt;01",SUM($AV209),ROUND(SUM($AV209)*SUM($AW209),0))</f>
        <v>0</v>
      </c>
      <c r="AY209" s="114" t="n">
        <f aca="false">IF($C209="&lt;01","",70%)</f>
        <v>0.7</v>
      </c>
      <c r="AZ209" s="91" t="n">
        <f aca="false">IF($C209="&lt;01",ROUND(INDEX(EID!$R:$R,MATCH($B209,EID!$B:$B,0))/2,0),ROUND(SUM($O209)+(SUM($AV209)*$AY209),0))</f>
        <v>0</v>
      </c>
      <c r="BA209" s="87" t="n">
        <f aca="false">IF($C209="&lt;01","",95%)</f>
        <v>0.95</v>
      </c>
      <c r="BB209" s="5" t="n">
        <f aca="false">IF($C209="&lt;01",ROUND(INDEX(EID!$T:$T,MATCH($B209,EID!$B:$B,0))/2,0),ROUND($AZ209*$BA209,0))</f>
        <v>0</v>
      </c>
      <c r="BC209" s="91" t="n">
        <f aca="false">IF(LEFT($B209,4)="_Mil","",IF(SUM($BB209)=0,SUM($AD209),IF(OR(SUM($AP209)=0,SUM($AQ209)=0),MAX($BB209,$AD209),ROUND($BB209*$AQ209/$AP209,0))))</f>
        <v>0</v>
      </c>
      <c r="BD209" s="88" t="n">
        <f aca="false">IF($C209="&lt;01","",95%)</f>
        <v>0.95</v>
      </c>
      <c r="BE209" s="39" t="n">
        <f aca="false">IF($C209="&lt;01",ROUND(INDEX(EID!$V:$V,MATCH($B209,EID!$B:$B,0))/2,0),ROUND($BD209*$BB209,0))</f>
        <v>0</v>
      </c>
      <c r="BF209" s="39" t="n">
        <f aca="false">IF(LEFT($B209,4)="_Mil","",IF(SUM($BE209)=0,SUM($AF209),IF(OR(SUM($AP209)=0,SUM($AQ209)=0),MAX($BE209,$AF209),ROUND($BE209*$AQ209/$AP209,0))))</f>
        <v>0</v>
      </c>
      <c r="BG209" s="114" t="n">
        <f aca="false">IF($C209="&lt;01","",95%)</f>
        <v>0.95</v>
      </c>
      <c r="BH209" s="5" t="n">
        <f aca="false">IF($C209="&lt;01",ROUND(INDEX(EID!$L:$L,MATCH($B209,EID!$B:$B,0)),0)/2,IF(SUM($BG209)=0,"",ROUND($AX209/$BG209,0)))</f>
        <v>0</v>
      </c>
    </row>
    <row r="210" customFormat="false" ht="15" hidden="false" customHeight="false" outlineLevel="0" collapsed="false">
      <c r="A210" s="0" t="str">
        <f aca="false">INDEX(Prioritization!$D:$D,MATCH($B210,Prioritization!$A:$A,0))</f>
        <v>1 - Scale-up: Saturation</v>
      </c>
      <c r="B210" s="0" t="s">
        <v>207</v>
      </c>
      <c r="C210" s="0" t="s">
        <v>368</v>
      </c>
      <c r="D210" s="0" t="s">
        <v>48</v>
      </c>
      <c r="E210" s="0" t="str">
        <f aca="false">$B210&amp;"|"&amp;$C210&amp;"|"&amp;$D210</f>
        <v>Mzimba District [vA4NcHxfMBq]|50+|Male</v>
      </c>
      <c r="F210" s="10"/>
      <c r="G210" s="10"/>
      <c r="H210" s="10"/>
      <c r="I210" s="10"/>
      <c r="J210" s="10"/>
      <c r="K210" s="10"/>
      <c r="L210" s="10"/>
      <c r="M210" s="10"/>
      <c r="N210" s="10"/>
      <c r="O210" s="10" t="str">
        <f aca="false">IFERROR(1/(1/MAX($I210,$N210)),"")</f>
        <v/>
      </c>
      <c r="P210" s="10"/>
      <c r="Q210" s="10"/>
      <c r="R210" s="10" t="str">
        <f aca="false">IF(AND(SUM($I210)=0,SUM($O210)=0),"",SUM($O210)-$I210)</f>
        <v/>
      </c>
      <c r="S210" s="10" t="n">
        <f aca="false">IF(LEFT($B210,4)="_Mil","",_xlfn.IFNA(ROUND(INDEX(Spectrum!$N:$N,MATCH(RIGHT($B210,13)&amp;"|"&amp;$C210&amp;"|"&amp;$D210&amp;"|"&amp;S$14&amp;"|"&amp;"CY2022Q4",Spectrum!$R:$R,0)),0),""))</f>
        <v>638</v>
      </c>
      <c r="T210" s="39" t="n">
        <f aca="false">IF(LEFT($B210,4)="_Mil","",_xlfn.IFNA(ROUND(INDEX(Spectrum!$N:$N,MATCH(RIGHT($B210,13)&amp;"|"&amp;$C210&amp;"|"&amp;$D210&amp;"|"&amp;T$14&amp;"|"&amp;"CY2023Q3",Spectrum!$R:$R,0)),0),""))</f>
        <v>1270</v>
      </c>
      <c r="U210" s="39" t="str">
        <f aca="false">IF(LEFT($B210,4)="_Mil","",_xlfn.IFNA(ROUND(INDEX(Spectrum!$N:$N,MATCH(RIGHT($B210,13)&amp;"|"&amp;$C210&amp;"|"&amp;$D210&amp;"|"&amp;U$14&amp;"|"&amp;"CY2023Q3",Spectrum!$R:$R,0)),0),""))</f>
        <v/>
      </c>
      <c r="V210" s="10" t="n">
        <f aca="false">IF(LEFT($B210,4)="_Mil","",_xlfn.IFNA(ROUND(INDEX(Spectrum!$N:$N,MATCH(RIGHT($B210,13)&amp;"|"&amp;$C210&amp;"|"&amp;$D210&amp;"|"&amp;V$14&amp;"|"&amp;"CY2023Q3",Spectrum!$R:$R,0)),0),""))</f>
        <v>780</v>
      </c>
      <c r="W210" s="113" t="n">
        <f aca="false">IF(LEFT($B210,4)="_Mil","",_xlfn.IFNA(INDEX(Spectrum!$N:$N,MATCH(RIGHT($B210,13)&amp;"|"&amp;$C210&amp;"|"&amp;$D210&amp;"|"&amp;W$14&amp;"|"&amp;"CY2023Q3",Spectrum!$R:$R,0)),""))</f>
        <v>678</v>
      </c>
      <c r="X210" s="39" t="n">
        <f aca="false">IF(LEFT($B210,4)="_Mil","",_xlfn.IFNA(ROUND(INDEX(Spectrum!$N:$N,MATCH(RIGHT($B210,13)&amp;"|"&amp;$C210&amp;"|"&amp;$D210&amp;"|"&amp;X$14&amp;"|"&amp;"CY2023Q3",Spectrum!$R:$R,0)),0),""))</f>
        <v>1190</v>
      </c>
      <c r="Y210" s="88" t="str">
        <f aca="false">IF(OR(SUM($U210)=0,LEFT($B210,4)="_Mil"),"",SUM($X210)/$U210)</f>
        <v/>
      </c>
      <c r="Z210" s="39" t="n">
        <f aca="false">IF(LEFT($B210,4)="_Mil","",_xlfn.IFNA(ROUND(INDEX(Spectrum!$N:$N,MATCH(RIGHT($B210,13)&amp;"|"&amp;$C210&amp;"|"&amp;$D210&amp;"|"&amp;Z$14&amp;"|"&amp;"CY2023Q3",Spectrum!$R:$R,0)),0),""))</f>
        <v>1516</v>
      </c>
      <c r="AA210" s="88" t="n">
        <f aca="false">IF(LEFT($B210,4)="_Mil","",IFERROR(1/(1/INDEX(Spectrum!$N:$N,MATCH(RIGHT($B210,13)&amp;"|"&amp;$C210&amp;"|"&amp;$D210&amp;"|"&amp;AA$14&amp;"|"&amp;"CY2023Q3",Spectrum!$R:$R,0))),IF(SUM($U210)=0,"",SUM($Z210)/$U210)))</f>
        <v>1119</v>
      </c>
      <c r="AB210" s="88" t="n">
        <f aca="false">IF(OR(LEFT($B210,4)="_Mil",SUM($X210)=0),"",SUM($Z210)/$X210)</f>
        <v>1.27394957983193</v>
      </c>
      <c r="AC210" s="10" t="n">
        <f aca="false">IF(LEFT($B210,4)="_Mil","",_xlfn.IFNA(ROUND(INDEX(Spectrum!$N:$N,MATCH(RIGHT($B210,13)&amp;"|"&amp;$C210&amp;"|"&amp;$D210&amp;"|"&amp;AC$14&amp;"|"&amp;"CY2023Q3",Spectrum!$R:$R,0)),0),""))</f>
        <v>902</v>
      </c>
      <c r="AD210" s="10" t="str">
        <f aca="false">IF(LEFT($B210,4)="_Mil","",_xlfn.IFNA(ROUND(INDEX(Spectrum!$N:$N,MATCH(RIGHT($B210,13)&amp;"|"&amp;$C210&amp;"|"&amp;$D210&amp;"|"&amp;AD$14&amp;"|"&amp;"CY2023Q3",Spectrum!$R:$R,0)),0),""))</f>
        <v/>
      </c>
      <c r="AE210" s="88" t="n">
        <f aca="false">IF(OR(LEFT($B210,4)="_Mil",SUM($Z210)=0),"",SUM($AD210)/$Z210)</f>
        <v>0</v>
      </c>
      <c r="AF210" s="39" t="str">
        <f aca="false">IF(LEFT($B210,4)="_Mil","",_xlfn.IFNA(ROUND(INDEX(Spectrum!$N:$N,MATCH(RIGHT($B210,13)&amp;"|"&amp;$C210&amp;"|"&amp;$D210&amp;"|"&amp;AF$14&amp;"|"&amp;"CY2023Q3",Spectrum!$R:$R,0)),0),""))</f>
        <v/>
      </c>
      <c r="AG210" s="88" t="str">
        <f aca="false">IF(OR(LEFT($B210,4)="_Mil",SUM($AD210)=0),"",SUM($AF210)/$AD210)</f>
        <v/>
      </c>
      <c r="AH210" s="86" t="str">
        <f aca="false">IF(LEFT($B210,4)="_Mil","",_xlfn.IFNA(INDEX(Spectrum!$N:$N,MATCH(RIGHT($B210,13)&amp;"|"&amp;$C210&amp;"|"&amp;$D210&amp;"|"&amp;AH$14&amp;"|"&amp;"CY2023Q3",Spectrum!$R:$R,0)),""))</f>
        <v/>
      </c>
      <c r="AI210" s="10" t="str">
        <f aca="false">IF(LEFT($B210,4)="_Mil","",_xlfn.IFNA(ROUND(INDEX(Spectrum!$N:$N,MATCH(RIGHT($B210,13)&amp;"|"&amp;$C210&amp;"|"&amp;$D210&amp;"|"&amp;AI$14&amp;"|"&amp;"CY2023Q3",Spectrum!$R:$R,0)),0),""))</f>
        <v/>
      </c>
      <c r="AJ210" s="39" t="n">
        <f aca="false">IF(LEFT($B210,4)="_Mil","",_xlfn.IFNA(ROUND(INDEX(Spectrum!$N:$N,MATCH(RIGHT($B210,13)&amp;"|"&amp;$C210&amp;"|"&amp;$D210&amp;"|"&amp;AI$14&amp;"|"&amp;"CY2023Q3",Spectrum!$R:$R,0)),0),SUM($U210)+SUM($AI210)))</f>
        <v>0</v>
      </c>
      <c r="AK210" s="10" t="str">
        <f aca="false">IF(LEFT($B210,4)="_Mil","",_xlfn.IFNA(ROUND(INDEX(Spectrum!$N:$N,MATCH(RIGHT($B210,13)&amp;"|"&amp;$C210&amp;"|"&amp;$D210&amp;"|"&amp;AK$14&amp;"|"&amp;"CY2023Q3",Spectrum!$R:$R,0)),0),""))</f>
        <v/>
      </c>
      <c r="AL210" s="88" t="n">
        <f aca="false">IF(OR(LEFT($B210,4)="_Mil",$C210="&lt;01"),"",MAX(SUM($AA210),90%))</f>
        <v>1119</v>
      </c>
      <c r="AM210" s="10" t="n">
        <f aca="false">IF(OR(LEFT($B210,4)="_Mil",$C210="&lt;01"),"",ROUND(SUM($AJ210)*SUM($AL210),0))</f>
        <v>0</v>
      </c>
      <c r="AN210" s="10" t="str">
        <f aca="false">IF($C210="&lt;01",ROUND(INDEX(EID!$P:$P,MATCH($B210,EID!$B:$B,0))/2,0),"")</f>
        <v/>
      </c>
      <c r="AO210" s="10" t="n">
        <f aca="false">IF($C210="&lt;01",SUM($AN210),ROUND(SUM($AM210)*SUM($O210)/IF(SUM($Z210)=0,1,$Z210),0))</f>
        <v>0</v>
      </c>
      <c r="AP210" s="39" t="n">
        <f aca="false">IF(OR($F210="",$C210="&lt;01"),$AO210,$F210)</f>
        <v>0</v>
      </c>
      <c r="AQ210" s="39" t="n">
        <f aca="false">IF(LEFT($B210,4)="_Mil","",IF(SUM($AP210)=0,SUM($Z210),IF(OR(SUM($Z210)=0,SUM($O210)=0),MAX($AP210,$Z210),$AP210*$Z210/$O210)))</f>
        <v>1516</v>
      </c>
      <c r="AR210" s="88" t="str">
        <f aca="false">IF(OR(LEFT($B210,4)="_Mil",SUM($AJ210)=0),"",SUM($AQ210)/$AJ210)</f>
        <v/>
      </c>
      <c r="AS210" s="88" t="n">
        <f aca="false">IF($C210="&lt;01","",98%)</f>
        <v>0.98</v>
      </c>
      <c r="AT210" s="88" t="n">
        <f aca="false">IF($C210="&lt;01","",98%)</f>
        <v>0.98</v>
      </c>
      <c r="AU210" s="10" t="n">
        <f aca="false">IF($C210="&lt;01","",SUM($AP210)-SUM($O210))</f>
        <v>0</v>
      </c>
      <c r="AV210" s="10" t="n">
        <f aca="false">IF($C210="&lt;01",ROUND(INDEX(EID!$N:$N,MATCH($B210,EID!$B:$B,0))/2,0),IF(SUM($AT210)=0,"",ROUND((SUM($AP210)-(SUM($O210)*SUM($AS210)))/$AT210,0)))</f>
        <v>0</v>
      </c>
      <c r="AW210" s="88" t="n">
        <f aca="false">IF($C210="&lt;01","",100%)</f>
        <v>1</v>
      </c>
      <c r="AX210" s="39" t="n">
        <f aca="false">IF($C210="&lt;01",SUM($AV210),ROUND(SUM($AV210)*SUM($AW210),0))</f>
        <v>0</v>
      </c>
      <c r="AY210" s="114" t="n">
        <f aca="false">IF($C210="&lt;01","",70%)</f>
        <v>0.7</v>
      </c>
      <c r="AZ210" s="91" t="n">
        <f aca="false">IF($C210="&lt;01",ROUND(INDEX(EID!$R:$R,MATCH($B210,EID!$B:$B,0))/2,0),ROUND(SUM($O210)+(SUM($AV210)*$AY210),0))</f>
        <v>0</v>
      </c>
      <c r="BA210" s="87" t="n">
        <f aca="false">IF($C210="&lt;01","",95%)</f>
        <v>0.95</v>
      </c>
      <c r="BB210" s="5" t="n">
        <f aca="false">IF($C210="&lt;01",ROUND(INDEX(EID!$T:$T,MATCH($B210,EID!$B:$B,0))/2,0),ROUND($AZ210*$BA210,0))</f>
        <v>0</v>
      </c>
      <c r="BC210" s="91" t="n">
        <f aca="false">IF(LEFT($B210,4)="_Mil","",IF(SUM($BB210)=0,SUM($AD210),IF(OR(SUM($AP210)=0,SUM($AQ210)=0),MAX($BB210,$AD210),ROUND($BB210*$AQ210/$AP210,0))))</f>
        <v>0</v>
      </c>
      <c r="BD210" s="88" t="n">
        <f aca="false">IF($C210="&lt;01","",95%)</f>
        <v>0.95</v>
      </c>
      <c r="BE210" s="39" t="n">
        <f aca="false">IF($C210="&lt;01",ROUND(INDEX(EID!$V:$V,MATCH($B210,EID!$B:$B,0))/2,0),ROUND($BD210*$BB210,0))</f>
        <v>0</v>
      </c>
      <c r="BF210" s="39" t="n">
        <f aca="false">IF(LEFT($B210,4)="_Mil","",IF(SUM($BE210)=0,SUM($AF210),IF(OR(SUM($AP210)=0,SUM($AQ210)=0),MAX($BE210,$AF210),ROUND($BE210*$AQ210/$AP210,0))))</f>
        <v>0</v>
      </c>
      <c r="BG210" s="114" t="n">
        <f aca="false">IF($C210="&lt;01","",95%)</f>
        <v>0.95</v>
      </c>
      <c r="BH210" s="5" t="n">
        <f aca="false">IF($C210="&lt;01",ROUND(INDEX(EID!$L:$L,MATCH($B210,EID!$B:$B,0)),0)/2,IF(SUM($BG210)=0,"",ROUND($AX210/$BG210,0)))</f>
        <v>0</v>
      </c>
    </row>
    <row r="211" customFormat="false" ht="15" hidden="false" customHeight="false" outlineLevel="0" collapsed="false">
      <c r="A211" s="0" t="str">
        <f aca="false">INDEX(Prioritization!$D:$D,MATCH($B211,Prioritization!$A:$A,0))</f>
        <v>INVALID</v>
      </c>
      <c r="B211" s="0" t="s">
        <v>208</v>
      </c>
      <c r="C211" s="0" t="s">
        <v>316</v>
      </c>
      <c r="D211" s="0" t="s">
        <v>30</v>
      </c>
      <c r="E211" s="0" t="str">
        <f aca="false">$B211&amp;"|"&amp;$C211&amp;"|"&amp;$D211</f>
        <v>Nkhata Bay District [E7zpfyBt7Tw]|&lt;01|Female</v>
      </c>
      <c r="F211" s="10"/>
      <c r="G211" s="10" t="n">
        <v>2</v>
      </c>
      <c r="H211" s="10" t="n">
        <v>0</v>
      </c>
      <c r="I211" s="10" t="n">
        <v>0</v>
      </c>
      <c r="J211" s="10" t="n">
        <v>1</v>
      </c>
      <c r="K211" s="10" t="n">
        <v>0</v>
      </c>
      <c r="L211" s="10"/>
      <c r="M211" s="10" t="n">
        <v>0</v>
      </c>
      <c r="N211" s="10" t="n">
        <v>0</v>
      </c>
      <c r="O211" s="10" t="str">
        <f aca="false">IFERROR(1/(1/MAX($I211,$N211)),"")</f>
        <v/>
      </c>
      <c r="P211" s="10" t="n">
        <v>1</v>
      </c>
      <c r="Q211" s="10" t="n">
        <v>1</v>
      </c>
      <c r="R211" s="10" t="str">
        <f aca="false">IF(AND(SUM($I211)=0,SUM($O211)=0),"",SUM($O211)-$I211)</f>
        <v/>
      </c>
      <c r="S211" s="10" t="n">
        <f aca="false">IF(LEFT($B211,4)="_Mil","",_xlfn.IFNA(ROUND(INDEX(Spectrum!$N:$N,MATCH(RIGHT($B211,13)&amp;"|"&amp;$C211&amp;"|"&amp;$D211&amp;"|"&amp;S$14&amp;"|"&amp;"CY2022Q4",Spectrum!$R:$R,0)),0),""))</f>
        <v>962</v>
      </c>
      <c r="T211" s="39" t="n">
        <f aca="false">IF(LEFT($B211,4)="_Mil","",_xlfn.IFNA(ROUND(INDEX(Spectrum!$N:$N,MATCH(RIGHT($B211,13)&amp;"|"&amp;$C211&amp;"|"&amp;$D211&amp;"|"&amp;T$14&amp;"|"&amp;"CY2023Q3",Spectrum!$R:$R,0)),0),""))</f>
        <v>1955</v>
      </c>
      <c r="U211" s="39" t="str">
        <f aca="false">IF(LEFT($B211,4)="_Mil","",_xlfn.IFNA(ROUND(INDEX(Spectrum!$N:$N,MATCH(RIGHT($B211,13)&amp;"|"&amp;$C211&amp;"|"&amp;$D211&amp;"|"&amp;U$14&amp;"|"&amp;"CY2023Q3",Spectrum!$R:$R,0)),0),""))</f>
        <v/>
      </c>
      <c r="V211" s="10" t="n">
        <f aca="false">IF(LEFT($B211,4)="_Mil","",_xlfn.IFNA(ROUND(INDEX(Spectrum!$N:$N,MATCH(RIGHT($B211,13)&amp;"|"&amp;$C211&amp;"|"&amp;$D211&amp;"|"&amp;V$14&amp;"|"&amp;"CY2023Q3",Spectrum!$R:$R,0)),0),""))</f>
        <v>1004</v>
      </c>
      <c r="W211" s="113" t="n">
        <f aca="false">IF(LEFT($B211,4)="_Mil","",_xlfn.IFNA(INDEX(Spectrum!$N:$N,MATCH(RIGHT($B211,13)&amp;"|"&amp;$C211&amp;"|"&amp;$D211&amp;"|"&amp;W$14&amp;"|"&amp;"CY2023Q3",Spectrum!$R:$R,0)),""))</f>
        <v>1522</v>
      </c>
      <c r="X211" s="39" t="n">
        <f aca="false">IF(LEFT($B211,4)="_Mil","",_xlfn.IFNA(ROUND(INDEX(Spectrum!$N:$N,MATCH(RIGHT($B211,13)&amp;"|"&amp;$C211&amp;"|"&amp;$D211&amp;"|"&amp;X$14&amp;"|"&amp;"CY2023Q3",Spectrum!$R:$R,0)),0),""))</f>
        <v>1835</v>
      </c>
      <c r="Y211" s="88" t="str">
        <f aca="false">IF(OR(SUM($U211)=0,LEFT($B211,4)="_Mil"),"",SUM($X211)/$U211)</f>
        <v/>
      </c>
      <c r="Z211" s="39" t="n">
        <f aca="false">IF(LEFT($B211,4)="_Mil","",_xlfn.IFNA(ROUND(INDEX(Spectrum!$N:$N,MATCH(RIGHT($B211,13)&amp;"|"&amp;$C211&amp;"|"&amp;$D211&amp;"|"&amp;Z$14&amp;"|"&amp;"CY2023Q3",Spectrum!$R:$R,0)),0),""))</f>
        <v>550</v>
      </c>
      <c r="AA211" s="88" t="n">
        <f aca="false">IF(LEFT($B211,4)="_Mil","",IFERROR(1/(1/INDEX(Spectrum!$N:$N,MATCH(RIGHT($B211,13)&amp;"|"&amp;$C211&amp;"|"&amp;$D211&amp;"|"&amp;AA$14&amp;"|"&amp;"CY2023Q3",Spectrum!$R:$R,0))),IF(SUM($U211)=0,"",SUM($Z211)/$U211)))</f>
        <v>1328</v>
      </c>
      <c r="AB211" s="88" t="n">
        <f aca="false">IF(OR(LEFT($B211,4)="_Mil",SUM($X211)=0),"",SUM($Z211)/$X211)</f>
        <v>0.299727520435967</v>
      </c>
      <c r="AC211" s="10" t="n">
        <f aca="false">IF(LEFT($B211,4)="_Mil","",_xlfn.IFNA(ROUND(INDEX(Spectrum!$N:$N,MATCH(RIGHT($B211,13)&amp;"|"&amp;$C211&amp;"|"&amp;$D211&amp;"|"&amp;AC$14&amp;"|"&amp;"CY2023Q3",Spectrum!$R:$R,0)),0),""))</f>
        <v>1668</v>
      </c>
      <c r="AD211" s="10" t="str">
        <f aca="false">IF(LEFT($B211,4)="_Mil","",_xlfn.IFNA(ROUND(INDEX(Spectrum!$N:$N,MATCH(RIGHT($B211,13)&amp;"|"&amp;$C211&amp;"|"&amp;$D211&amp;"|"&amp;AD$14&amp;"|"&amp;"CY2023Q3",Spectrum!$R:$R,0)),0),""))</f>
        <v/>
      </c>
      <c r="AE211" s="88" t="n">
        <f aca="false">IF(OR(LEFT($B211,4)="_Mil",SUM($Z211)=0),"",SUM($AD211)/$Z211)</f>
        <v>0</v>
      </c>
      <c r="AF211" s="39" t="str">
        <f aca="false">IF(LEFT($B211,4)="_Mil","",_xlfn.IFNA(ROUND(INDEX(Spectrum!$N:$N,MATCH(RIGHT($B211,13)&amp;"|"&amp;$C211&amp;"|"&amp;$D211&amp;"|"&amp;AF$14&amp;"|"&amp;"CY2023Q3",Spectrum!$R:$R,0)),0),""))</f>
        <v/>
      </c>
      <c r="AG211" s="88" t="str">
        <f aca="false">IF(OR(LEFT($B211,4)="_Mil",SUM($AD211)=0),"",SUM($AF211)/$AD211)</f>
        <v/>
      </c>
      <c r="AH211" s="86" t="str">
        <f aca="false">IF(LEFT($B211,4)="_Mil","",_xlfn.IFNA(INDEX(Spectrum!$N:$N,MATCH(RIGHT($B211,13)&amp;"|"&amp;$C211&amp;"|"&amp;$D211&amp;"|"&amp;AH$14&amp;"|"&amp;"CY2023Q3",Spectrum!$R:$R,0)),""))</f>
        <v/>
      </c>
      <c r="AI211" s="10" t="str">
        <f aca="false">IF(LEFT($B211,4)="_Mil","",_xlfn.IFNA(ROUND(INDEX(Spectrum!$N:$N,MATCH(RIGHT($B211,13)&amp;"|"&amp;$C211&amp;"|"&amp;$D211&amp;"|"&amp;AI$14&amp;"|"&amp;"CY2023Q3",Spectrum!$R:$R,0)),0),""))</f>
        <v/>
      </c>
      <c r="AJ211" s="39" t="n">
        <f aca="false">IF(LEFT($B211,4)="_Mil","",_xlfn.IFNA(ROUND(INDEX(Spectrum!$N:$N,MATCH(RIGHT($B211,13)&amp;"|"&amp;$C211&amp;"|"&amp;$D211&amp;"|"&amp;AI$14&amp;"|"&amp;"CY2023Q3",Spectrum!$R:$R,0)),0),SUM($U211)+SUM($AI211)))</f>
        <v>0</v>
      </c>
      <c r="AK211" s="10" t="str">
        <f aca="false">IF(LEFT($B211,4)="_Mil","",_xlfn.IFNA(ROUND(INDEX(Spectrum!$N:$N,MATCH(RIGHT($B211,13)&amp;"|"&amp;$C211&amp;"|"&amp;$D211&amp;"|"&amp;AK$14&amp;"|"&amp;"CY2023Q3",Spectrum!$R:$R,0)),0),""))</f>
        <v/>
      </c>
      <c r="AL211" s="88" t="str">
        <f aca="false">IF(OR(LEFT($B211,4)="_Mil",$C211="&lt;01"),"",MAX(SUM($AA211),90%))</f>
        <v/>
      </c>
      <c r="AM211" s="10" t="str">
        <f aca="false">IF(OR(LEFT($B211,4)="_Mil",$C211="&lt;01"),"",ROUND(SUM($AJ211)*SUM($AL211),0))</f>
        <v/>
      </c>
      <c r="AN211" s="10" t="n">
        <f aca="false">IF($C211="&lt;01",ROUND(INDEX(EID!$P:$P,MATCH($B211,EID!$B:$B,0))/2,0),"")</f>
        <v>0</v>
      </c>
      <c r="AO211" s="10" t="n">
        <f aca="false">IF($C211="&lt;01",SUM($AN211),ROUND(SUM($AM211)*SUM($O211)/IF(SUM($Z211)=0,1,$Z211),0))</f>
        <v>0</v>
      </c>
      <c r="AP211" s="39" t="n">
        <f aca="false">IF(OR($F211="",$C211="&lt;01"),$AO211,$F211)</f>
        <v>0</v>
      </c>
      <c r="AQ211" s="39" t="n">
        <f aca="false">IF(LEFT($B211,4)="_Mil","",IF(SUM($AP211)=0,SUM($Z211),IF(OR(SUM($Z211)=0,SUM($O211)=0),MAX($AP211,$Z211),$AP211*$Z211/$O211)))</f>
        <v>550</v>
      </c>
      <c r="AR211" s="88" t="str">
        <f aca="false">IF(OR(LEFT($B211,4)="_Mil",SUM($AJ211)=0),"",SUM($AQ211)/$AJ211)</f>
        <v/>
      </c>
      <c r="AS211" s="88" t="str">
        <f aca="false">IF($C211="&lt;01","",98%)</f>
        <v/>
      </c>
      <c r="AT211" s="88" t="str">
        <f aca="false">IF($C211="&lt;01","",98%)</f>
        <v/>
      </c>
      <c r="AU211" s="10" t="str">
        <f aca="false">IF($C211="&lt;01","",SUM($AP211)-SUM($O211))</f>
        <v/>
      </c>
      <c r="AV211" s="10" t="n">
        <f aca="false">IF($C211="&lt;01",ROUND(INDEX(EID!$N:$N,MATCH($B211,EID!$B:$B,0))/2,0),IF(SUM($AT211)=0,"",ROUND((SUM($AP211)-(SUM($O211)*SUM($AS211)))/$AT211,0)))</f>
        <v>0</v>
      </c>
      <c r="AW211" s="88" t="str">
        <f aca="false">IF($C211="&lt;01","",100%)</f>
        <v/>
      </c>
      <c r="AX211" s="39" t="n">
        <f aca="false">IF($C211="&lt;01",SUM($AV211),ROUND(SUM($AV211)*SUM($AW211),0))</f>
        <v>0</v>
      </c>
      <c r="AY211" s="114" t="str">
        <f aca="false">IF($C211="&lt;01","",70%)</f>
        <v/>
      </c>
      <c r="AZ211" s="91" t="n">
        <f aca="false">IF($C211="&lt;01",ROUND(INDEX(EID!$R:$R,MATCH($B211,EID!$B:$B,0))/2,0),ROUND(SUM($O211)+(SUM($AV211)*$AY211),0))</f>
        <v>0</v>
      </c>
      <c r="BA211" s="87" t="str">
        <f aca="false">IF($C211="&lt;01","",95%)</f>
        <v/>
      </c>
      <c r="BB211" s="5" t="n">
        <f aca="false">IF($C211="&lt;01",ROUND(INDEX(EID!$T:$T,MATCH($B211,EID!$B:$B,0))/2,0),ROUND($AZ211*$BA211,0))</f>
        <v>0</v>
      </c>
      <c r="BC211" s="91" t="n">
        <f aca="false">IF(LEFT($B211,4)="_Mil","",IF(SUM($BB211)=0,SUM($AD211),IF(OR(SUM($AP211)=0,SUM($AQ211)=0),MAX($BB211,$AD211),ROUND($BB211*$AQ211/$AP211,0))))</f>
        <v>0</v>
      </c>
      <c r="BD211" s="88" t="str">
        <f aca="false">IF($C211="&lt;01","",95%)</f>
        <v/>
      </c>
      <c r="BE211" s="39" t="n">
        <f aca="false">IF($C211="&lt;01",ROUND(INDEX(EID!$V:$V,MATCH($B211,EID!$B:$B,0))/2,0),ROUND($BD211*$BB211,0))</f>
        <v>0</v>
      </c>
      <c r="BF211" s="39" t="n">
        <f aca="false">IF(LEFT($B211,4)="_Mil","",IF(SUM($BE211)=0,SUM($AF211),IF(OR(SUM($AP211)=0,SUM($AQ211)=0),MAX($BE211,$AF211),ROUND($BE211*$AQ211/$AP211,0))))</f>
        <v>0</v>
      </c>
      <c r="BG211" s="114" t="str">
        <f aca="false">IF($C211="&lt;01","",95%)</f>
        <v/>
      </c>
      <c r="BH211" s="5" t="n">
        <f aca="false">IF($C211="&lt;01",ROUND(INDEX(EID!$L:$L,MATCH($B211,EID!$B:$B,0)),0)/2,IF(SUM($BG211)=0,"",ROUND($AX211/$BG211,0)))</f>
        <v>0</v>
      </c>
    </row>
    <row r="212" customFormat="false" ht="15" hidden="false" customHeight="false" outlineLevel="0" collapsed="false">
      <c r="A212" s="0" t="str">
        <f aca="false">INDEX(Prioritization!$D:$D,MATCH($B212,Prioritization!$A:$A,0))</f>
        <v>INVALID</v>
      </c>
      <c r="B212" s="0" t="s">
        <v>208</v>
      </c>
      <c r="C212" s="0" t="s">
        <v>316</v>
      </c>
      <c r="D212" s="0" t="s">
        <v>48</v>
      </c>
      <c r="E212" s="0" t="str">
        <f aca="false">$B212&amp;"|"&amp;$C212&amp;"|"&amp;$D212</f>
        <v>Nkhata Bay District [E7zpfyBt7Tw]|&lt;01|Male</v>
      </c>
      <c r="F212" s="10"/>
      <c r="G212" s="10" t="n">
        <v>4</v>
      </c>
      <c r="H212" s="10" t="n">
        <v>0</v>
      </c>
      <c r="I212" s="10" t="n">
        <v>0</v>
      </c>
      <c r="J212" s="10" t="n">
        <v>1</v>
      </c>
      <c r="K212" s="10" t="n">
        <v>0</v>
      </c>
      <c r="L212" s="10"/>
      <c r="M212" s="10" t="n">
        <v>1</v>
      </c>
      <c r="N212" s="10" t="n">
        <v>0</v>
      </c>
      <c r="O212" s="10" t="str">
        <f aca="false">IFERROR(1/(1/MAX($I212,$N212)),"")</f>
        <v/>
      </c>
      <c r="P212" s="10" t="n">
        <v>1</v>
      </c>
      <c r="Q212" s="10" t="n">
        <v>0</v>
      </c>
      <c r="R212" s="10" t="str">
        <f aca="false">IF(AND(SUM($I212)=0,SUM($O212)=0),"",SUM($O212)-$I212)</f>
        <v/>
      </c>
      <c r="S212" s="10" t="n">
        <f aca="false">IF(LEFT($B212,4)="_Mil","",_xlfn.IFNA(ROUND(INDEX(Spectrum!$N:$N,MATCH(RIGHT($B212,13)&amp;"|"&amp;$C212&amp;"|"&amp;$D212&amp;"|"&amp;S$14&amp;"|"&amp;"CY2022Q4",Spectrum!$R:$R,0)),0),""))</f>
        <v>547</v>
      </c>
      <c r="T212" s="39" t="n">
        <f aca="false">IF(LEFT($B212,4)="_Mil","",_xlfn.IFNA(ROUND(INDEX(Spectrum!$N:$N,MATCH(RIGHT($B212,13)&amp;"|"&amp;$C212&amp;"|"&amp;$D212&amp;"|"&amp;T$14&amp;"|"&amp;"CY2023Q3",Spectrum!$R:$R,0)),0),""))</f>
        <v>1695</v>
      </c>
      <c r="U212" s="39" t="str">
        <f aca="false">IF(LEFT($B212,4)="_Mil","",_xlfn.IFNA(ROUND(INDEX(Spectrum!$N:$N,MATCH(RIGHT($B212,13)&amp;"|"&amp;$C212&amp;"|"&amp;$D212&amp;"|"&amp;U$14&amp;"|"&amp;"CY2023Q3",Spectrum!$R:$R,0)),0),""))</f>
        <v/>
      </c>
      <c r="V212" s="10" t="n">
        <f aca="false">IF(LEFT($B212,4)="_Mil","",_xlfn.IFNA(ROUND(INDEX(Spectrum!$N:$N,MATCH(RIGHT($B212,13)&amp;"|"&amp;$C212&amp;"|"&amp;$D212&amp;"|"&amp;V$14&amp;"|"&amp;"CY2023Q3",Spectrum!$R:$R,0)),0),""))</f>
        <v>1682</v>
      </c>
      <c r="W212" s="113" t="n">
        <f aca="false">IF(LEFT($B212,4)="_Mil","",_xlfn.IFNA(INDEX(Spectrum!$N:$N,MATCH(RIGHT($B212,13)&amp;"|"&amp;$C212&amp;"|"&amp;$D212&amp;"|"&amp;W$14&amp;"|"&amp;"CY2023Q3",Spectrum!$R:$R,0)),""))</f>
        <v>1201</v>
      </c>
      <c r="X212" s="39" t="n">
        <f aca="false">IF(LEFT($B212,4)="_Mil","",_xlfn.IFNA(ROUND(INDEX(Spectrum!$N:$N,MATCH(RIGHT($B212,13)&amp;"|"&amp;$C212&amp;"|"&amp;$D212&amp;"|"&amp;X$14&amp;"|"&amp;"CY2023Q3",Spectrum!$R:$R,0)),0),""))</f>
        <v>527</v>
      </c>
      <c r="Y212" s="88" t="str">
        <f aca="false">IF(OR(SUM($U212)=0,LEFT($B212,4)="_Mil"),"",SUM($X212)/$U212)</f>
        <v/>
      </c>
      <c r="Z212" s="39" t="n">
        <f aca="false">IF(LEFT($B212,4)="_Mil","",_xlfn.IFNA(ROUND(INDEX(Spectrum!$N:$N,MATCH(RIGHT($B212,13)&amp;"|"&amp;$C212&amp;"|"&amp;$D212&amp;"|"&amp;Z$14&amp;"|"&amp;"CY2023Q3",Spectrum!$R:$R,0)),0),""))</f>
        <v>1173</v>
      </c>
      <c r="AA212" s="88" t="n">
        <f aca="false">IF(LEFT($B212,4)="_Mil","",IFERROR(1/(1/INDEX(Spectrum!$N:$N,MATCH(RIGHT($B212,13)&amp;"|"&amp;$C212&amp;"|"&amp;$D212&amp;"|"&amp;AA$14&amp;"|"&amp;"CY2023Q3",Spectrum!$R:$R,0))),IF(SUM($U212)=0,"",SUM($Z212)/$U212)))</f>
        <v>1561</v>
      </c>
      <c r="AB212" s="88" t="n">
        <f aca="false">IF(OR(LEFT($B212,4)="_Mil",SUM($X212)=0),"",SUM($Z212)/$X212)</f>
        <v>2.2258064516129</v>
      </c>
      <c r="AC212" s="10" t="n">
        <f aca="false">IF(LEFT($B212,4)="_Mil","",_xlfn.IFNA(ROUND(INDEX(Spectrum!$N:$N,MATCH(RIGHT($B212,13)&amp;"|"&amp;$C212&amp;"|"&amp;$D212&amp;"|"&amp;AC$14&amp;"|"&amp;"CY2023Q3",Spectrum!$R:$R,0)),0),""))</f>
        <v>1002</v>
      </c>
      <c r="AD212" s="10" t="str">
        <f aca="false">IF(LEFT($B212,4)="_Mil","",_xlfn.IFNA(ROUND(INDEX(Spectrum!$N:$N,MATCH(RIGHT($B212,13)&amp;"|"&amp;$C212&amp;"|"&amp;$D212&amp;"|"&amp;AD$14&amp;"|"&amp;"CY2023Q3",Spectrum!$R:$R,0)),0),""))</f>
        <v/>
      </c>
      <c r="AE212" s="88" t="n">
        <f aca="false">IF(OR(LEFT($B212,4)="_Mil",SUM($Z212)=0),"",SUM($AD212)/$Z212)</f>
        <v>0</v>
      </c>
      <c r="AF212" s="39" t="str">
        <f aca="false">IF(LEFT($B212,4)="_Mil","",_xlfn.IFNA(ROUND(INDEX(Spectrum!$N:$N,MATCH(RIGHT($B212,13)&amp;"|"&amp;$C212&amp;"|"&amp;$D212&amp;"|"&amp;AF$14&amp;"|"&amp;"CY2023Q3",Spectrum!$R:$R,0)),0),""))</f>
        <v/>
      </c>
      <c r="AG212" s="88" t="str">
        <f aca="false">IF(OR(LEFT($B212,4)="_Mil",SUM($AD212)=0),"",SUM($AF212)/$AD212)</f>
        <v/>
      </c>
      <c r="AH212" s="86" t="str">
        <f aca="false">IF(LEFT($B212,4)="_Mil","",_xlfn.IFNA(INDEX(Spectrum!$N:$N,MATCH(RIGHT($B212,13)&amp;"|"&amp;$C212&amp;"|"&amp;$D212&amp;"|"&amp;AH$14&amp;"|"&amp;"CY2023Q3",Spectrum!$R:$R,0)),""))</f>
        <v/>
      </c>
      <c r="AI212" s="10" t="str">
        <f aca="false">IF(LEFT($B212,4)="_Mil","",_xlfn.IFNA(ROUND(INDEX(Spectrum!$N:$N,MATCH(RIGHT($B212,13)&amp;"|"&amp;$C212&amp;"|"&amp;$D212&amp;"|"&amp;AI$14&amp;"|"&amp;"CY2023Q3",Spectrum!$R:$R,0)),0),""))</f>
        <v/>
      </c>
      <c r="AJ212" s="39" t="n">
        <f aca="false">IF(LEFT($B212,4)="_Mil","",_xlfn.IFNA(ROUND(INDEX(Spectrum!$N:$N,MATCH(RIGHT($B212,13)&amp;"|"&amp;$C212&amp;"|"&amp;$D212&amp;"|"&amp;AI$14&amp;"|"&amp;"CY2023Q3",Spectrum!$R:$R,0)),0),SUM($U212)+SUM($AI212)))</f>
        <v>0</v>
      </c>
      <c r="AK212" s="10" t="str">
        <f aca="false">IF(LEFT($B212,4)="_Mil","",_xlfn.IFNA(ROUND(INDEX(Spectrum!$N:$N,MATCH(RIGHT($B212,13)&amp;"|"&amp;$C212&amp;"|"&amp;$D212&amp;"|"&amp;AK$14&amp;"|"&amp;"CY2023Q3",Spectrum!$R:$R,0)),0),""))</f>
        <v/>
      </c>
      <c r="AL212" s="88" t="str">
        <f aca="false">IF(OR(LEFT($B212,4)="_Mil",$C212="&lt;01"),"",MAX(SUM($AA212),90%))</f>
        <v/>
      </c>
      <c r="AM212" s="10" t="str">
        <f aca="false">IF(OR(LEFT($B212,4)="_Mil",$C212="&lt;01"),"",ROUND(SUM($AJ212)*SUM($AL212),0))</f>
        <v/>
      </c>
      <c r="AN212" s="10" t="n">
        <f aca="false">IF($C212="&lt;01",ROUND(INDEX(EID!$P:$P,MATCH($B212,EID!$B:$B,0))/2,0),"")</f>
        <v>0</v>
      </c>
      <c r="AO212" s="10" t="n">
        <f aca="false">IF($C212="&lt;01",SUM($AN212),ROUND(SUM($AM212)*SUM($O212)/IF(SUM($Z212)=0,1,$Z212),0))</f>
        <v>0</v>
      </c>
      <c r="AP212" s="39" t="n">
        <f aca="false">IF(OR($F212="",$C212="&lt;01"),$AO212,$F212)</f>
        <v>0</v>
      </c>
      <c r="AQ212" s="39" t="n">
        <f aca="false">IF(LEFT($B212,4)="_Mil","",IF(SUM($AP212)=0,SUM($Z212),IF(OR(SUM($Z212)=0,SUM($O212)=0),MAX($AP212,$Z212),$AP212*$Z212/$O212)))</f>
        <v>1173</v>
      </c>
      <c r="AR212" s="88" t="str">
        <f aca="false">IF(OR(LEFT($B212,4)="_Mil",SUM($AJ212)=0),"",SUM($AQ212)/$AJ212)</f>
        <v/>
      </c>
      <c r="AS212" s="88" t="str">
        <f aca="false">IF($C212="&lt;01","",98%)</f>
        <v/>
      </c>
      <c r="AT212" s="88" t="str">
        <f aca="false">IF($C212="&lt;01","",98%)</f>
        <v/>
      </c>
      <c r="AU212" s="10" t="str">
        <f aca="false">IF($C212="&lt;01","",SUM($AP212)-SUM($O212))</f>
        <v/>
      </c>
      <c r="AV212" s="10" t="n">
        <f aca="false">IF($C212="&lt;01",ROUND(INDEX(EID!$N:$N,MATCH($B212,EID!$B:$B,0))/2,0),IF(SUM($AT212)=0,"",ROUND((SUM($AP212)-(SUM($O212)*SUM($AS212)))/$AT212,0)))</f>
        <v>0</v>
      </c>
      <c r="AW212" s="88" t="str">
        <f aca="false">IF($C212="&lt;01","",100%)</f>
        <v/>
      </c>
      <c r="AX212" s="39" t="n">
        <f aca="false">IF($C212="&lt;01",SUM($AV212),ROUND(SUM($AV212)*SUM($AW212),0))</f>
        <v>0</v>
      </c>
      <c r="AY212" s="114" t="str">
        <f aca="false">IF($C212="&lt;01","",70%)</f>
        <v/>
      </c>
      <c r="AZ212" s="91" t="n">
        <f aca="false">IF($C212="&lt;01",ROUND(INDEX(EID!$R:$R,MATCH($B212,EID!$B:$B,0))/2,0),ROUND(SUM($O212)+(SUM($AV212)*$AY212),0))</f>
        <v>0</v>
      </c>
      <c r="BA212" s="87" t="str">
        <f aca="false">IF($C212="&lt;01","",95%)</f>
        <v/>
      </c>
      <c r="BB212" s="5" t="n">
        <f aca="false">IF($C212="&lt;01",ROUND(INDEX(EID!$T:$T,MATCH($B212,EID!$B:$B,0))/2,0),ROUND($AZ212*$BA212,0))</f>
        <v>0</v>
      </c>
      <c r="BC212" s="91" t="n">
        <f aca="false">IF(LEFT($B212,4)="_Mil","",IF(SUM($BB212)=0,SUM($AD212),IF(OR(SUM($AP212)=0,SUM($AQ212)=0),MAX($BB212,$AD212),ROUND($BB212*$AQ212/$AP212,0))))</f>
        <v>0</v>
      </c>
      <c r="BD212" s="88" t="str">
        <f aca="false">IF($C212="&lt;01","",95%)</f>
        <v/>
      </c>
      <c r="BE212" s="39" t="n">
        <f aca="false">IF($C212="&lt;01",ROUND(INDEX(EID!$V:$V,MATCH($B212,EID!$B:$B,0))/2,0),ROUND($BD212*$BB212,0))</f>
        <v>0</v>
      </c>
      <c r="BF212" s="39" t="n">
        <f aca="false">IF(LEFT($B212,4)="_Mil","",IF(SUM($BE212)=0,SUM($AF212),IF(OR(SUM($AP212)=0,SUM($AQ212)=0),MAX($BE212,$AF212),ROUND($BE212*$AQ212/$AP212,0))))</f>
        <v>0</v>
      </c>
      <c r="BG212" s="114" t="str">
        <f aca="false">IF($C212="&lt;01","",95%)</f>
        <v/>
      </c>
      <c r="BH212" s="5" t="n">
        <f aca="false">IF($C212="&lt;01",ROUND(INDEX(EID!$L:$L,MATCH($B212,EID!$B:$B,0)),0)/2,IF(SUM($BG212)=0,"",ROUND($AX212/$BG212,0)))</f>
        <v>0</v>
      </c>
    </row>
    <row r="213" customFormat="false" ht="15" hidden="false" customHeight="false" outlineLevel="0" collapsed="false">
      <c r="A213" s="0" t="str">
        <f aca="false">INDEX(Prioritization!$D:$D,MATCH($B213,Prioritization!$A:$A,0))</f>
        <v>INVALID</v>
      </c>
      <c r="B213" s="0" t="s">
        <v>208</v>
      </c>
      <c r="C213" s="0" t="s">
        <v>363</v>
      </c>
      <c r="D213" s="0" t="s">
        <v>30</v>
      </c>
      <c r="E213" s="0" t="str">
        <f aca="false">$B213&amp;"|"&amp;$C213&amp;"|"&amp;$D213</f>
        <v>Nkhata Bay District [E7zpfyBt7Tw]|01-09|Female</v>
      </c>
      <c r="F213" s="10"/>
      <c r="G213" s="10"/>
      <c r="H213" s="10"/>
      <c r="I213" s="10"/>
      <c r="J213" s="10"/>
      <c r="K213" s="10"/>
      <c r="L213" s="10"/>
      <c r="M213" s="10"/>
      <c r="N213" s="10"/>
      <c r="O213" s="10" t="str">
        <f aca="false">IFERROR(1/(1/MAX($I213,$N213)),"")</f>
        <v/>
      </c>
      <c r="P213" s="10"/>
      <c r="Q213" s="10"/>
      <c r="R213" s="10" t="str">
        <f aca="false">IF(AND(SUM($I213)=0,SUM($O213)=0),"",SUM($O213)-$I213)</f>
        <v/>
      </c>
      <c r="S213" s="10" t="n">
        <f aca="false">IF(LEFT($B213,4)="_Mil","",_xlfn.IFNA(ROUND(INDEX(Spectrum!$N:$N,MATCH(RIGHT($B213,13)&amp;"|"&amp;$C213&amp;"|"&amp;$D213&amp;"|"&amp;S$14&amp;"|"&amp;"CY2022Q4",Spectrum!$R:$R,0)),0),""))</f>
        <v>1536</v>
      </c>
      <c r="T213" s="39" t="n">
        <f aca="false">IF(LEFT($B213,4)="_Mil","",_xlfn.IFNA(ROUND(INDEX(Spectrum!$N:$N,MATCH(RIGHT($B213,13)&amp;"|"&amp;$C213&amp;"|"&amp;$D213&amp;"|"&amp;T$14&amp;"|"&amp;"CY2023Q3",Spectrum!$R:$R,0)),0),""))</f>
        <v>945</v>
      </c>
      <c r="U213" s="39" t="str">
        <f aca="false">IF(LEFT($B213,4)="_Mil","",_xlfn.IFNA(ROUND(INDEX(Spectrum!$N:$N,MATCH(RIGHT($B213,13)&amp;"|"&amp;$C213&amp;"|"&amp;$D213&amp;"|"&amp;U$14&amp;"|"&amp;"CY2023Q3",Spectrum!$R:$R,0)),0),""))</f>
        <v/>
      </c>
      <c r="V213" s="10" t="n">
        <f aca="false">IF(LEFT($B213,4)="_Mil","",_xlfn.IFNA(ROUND(INDEX(Spectrum!$N:$N,MATCH(RIGHT($B213,13)&amp;"|"&amp;$C213&amp;"|"&amp;$D213&amp;"|"&amp;V$14&amp;"|"&amp;"CY2023Q3",Spectrum!$R:$R,0)),0),""))</f>
        <v>1854</v>
      </c>
      <c r="W213" s="113" t="n">
        <f aca="false">IF(LEFT($B213,4)="_Mil","",_xlfn.IFNA(INDEX(Spectrum!$N:$N,MATCH(RIGHT($B213,13)&amp;"|"&amp;$C213&amp;"|"&amp;$D213&amp;"|"&amp;W$14&amp;"|"&amp;"CY2023Q3",Spectrum!$R:$R,0)),""))</f>
        <v>1397</v>
      </c>
      <c r="X213" s="39" t="n">
        <f aca="false">IF(LEFT($B213,4)="_Mil","",_xlfn.IFNA(ROUND(INDEX(Spectrum!$N:$N,MATCH(RIGHT($B213,13)&amp;"|"&amp;$C213&amp;"|"&amp;$D213&amp;"|"&amp;X$14&amp;"|"&amp;"CY2023Q3",Spectrum!$R:$R,0)),0),""))</f>
        <v>1322</v>
      </c>
      <c r="Y213" s="88" t="str">
        <f aca="false">IF(OR(SUM($U213)=0,LEFT($B213,4)="_Mil"),"",SUM($X213)/$U213)</f>
        <v/>
      </c>
      <c r="Z213" s="39" t="n">
        <f aca="false">IF(LEFT($B213,4)="_Mil","",_xlfn.IFNA(ROUND(INDEX(Spectrum!$N:$N,MATCH(RIGHT($B213,13)&amp;"|"&amp;$C213&amp;"|"&amp;$D213&amp;"|"&amp;Z$14&amp;"|"&amp;"CY2023Q3",Spectrum!$R:$R,0)),0),""))</f>
        <v>1674</v>
      </c>
      <c r="AA213" s="88" t="n">
        <f aca="false">IF(LEFT($B213,4)="_Mil","",IFERROR(1/(1/INDEX(Spectrum!$N:$N,MATCH(RIGHT($B213,13)&amp;"|"&amp;$C213&amp;"|"&amp;$D213&amp;"|"&amp;AA$14&amp;"|"&amp;"CY2023Q3",Spectrum!$R:$R,0))),IF(SUM($U213)=0,"",SUM($Z213)/$U213)))</f>
        <v>675</v>
      </c>
      <c r="AB213" s="88" t="n">
        <f aca="false">IF(OR(LEFT($B213,4)="_Mil",SUM($X213)=0),"",SUM($Z213)/$X213)</f>
        <v>1.26626323751891</v>
      </c>
      <c r="AC213" s="10" t="n">
        <f aca="false">IF(LEFT($B213,4)="_Mil","",_xlfn.IFNA(ROUND(INDEX(Spectrum!$N:$N,MATCH(RIGHT($B213,13)&amp;"|"&amp;$C213&amp;"|"&amp;$D213&amp;"|"&amp;AC$14&amp;"|"&amp;"CY2023Q3",Spectrum!$R:$R,0)),0),""))</f>
        <v>503</v>
      </c>
      <c r="AD213" s="10" t="str">
        <f aca="false">IF(LEFT($B213,4)="_Mil","",_xlfn.IFNA(ROUND(INDEX(Spectrum!$N:$N,MATCH(RIGHT($B213,13)&amp;"|"&amp;$C213&amp;"|"&amp;$D213&amp;"|"&amp;AD$14&amp;"|"&amp;"CY2023Q3",Spectrum!$R:$R,0)),0),""))</f>
        <v/>
      </c>
      <c r="AE213" s="88" t="n">
        <f aca="false">IF(OR(LEFT($B213,4)="_Mil",SUM($Z213)=0),"",SUM($AD213)/$Z213)</f>
        <v>0</v>
      </c>
      <c r="AF213" s="39" t="str">
        <f aca="false">IF(LEFT($B213,4)="_Mil","",_xlfn.IFNA(ROUND(INDEX(Spectrum!$N:$N,MATCH(RIGHT($B213,13)&amp;"|"&amp;$C213&amp;"|"&amp;$D213&amp;"|"&amp;AF$14&amp;"|"&amp;"CY2023Q3",Spectrum!$R:$R,0)),0),""))</f>
        <v/>
      </c>
      <c r="AG213" s="88" t="str">
        <f aca="false">IF(OR(LEFT($B213,4)="_Mil",SUM($AD213)=0),"",SUM($AF213)/$AD213)</f>
        <v/>
      </c>
      <c r="AH213" s="86" t="str">
        <f aca="false">IF(LEFT($B213,4)="_Mil","",_xlfn.IFNA(INDEX(Spectrum!$N:$N,MATCH(RIGHT($B213,13)&amp;"|"&amp;$C213&amp;"|"&amp;$D213&amp;"|"&amp;AH$14&amp;"|"&amp;"CY2023Q3",Spectrum!$R:$R,0)),""))</f>
        <v/>
      </c>
      <c r="AI213" s="10" t="str">
        <f aca="false">IF(LEFT($B213,4)="_Mil","",_xlfn.IFNA(ROUND(INDEX(Spectrum!$N:$N,MATCH(RIGHT($B213,13)&amp;"|"&amp;$C213&amp;"|"&amp;$D213&amp;"|"&amp;AI$14&amp;"|"&amp;"CY2023Q3",Spectrum!$R:$R,0)),0),""))</f>
        <v/>
      </c>
      <c r="AJ213" s="39" t="n">
        <f aca="false">IF(LEFT($B213,4)="_Mil","",_xlfn.IFNA(ROUND(INDEX(Spectrum!$N:$N,MATCH(RIGHT($B213,13)&amp;"|"&amp;$C213&amp;"|"&amp;$D213&amp;"|"&amp;AI$14&amp;"|"&amp;"CY2023Q3",Spectrum!$R:$R,0)),0),SUM($U213)+SUM($AI213)))</f>
        <v>0</v>
      </c>
      <c r="AK213" s="10" t="str">
        <f aca="false">IF(LEFT($B213,4)="_Mil","",_xlfn.IFNA(ROUND(INDEX(Spectrum!$N:$N,MATCH(RIGHT($B213,13)&amp;"|"&amp;$C213&amp;"|"&amp;$D213&amp;"|"&amp;AK$14&amp;"|"&amp;"CY2023Q3",Spectrum!$R:$R,0)),0),""))</f>
        <v/>
      </c>
      <c r="AL213" s="88" t="n">
        <f aca="false">IF(OR(LEFT($B213,4)="_Mil",$C213="&lt;01"),"",MAX(SUM($AA213),90%))</f>
        <v>675</v>
      </c>
      <c r="AM213" s="10" t="n">
        <f aca="false">IF(OR(LEFT($B213,4)="_Mil",$C213="&lt;01"),"",ROUND(SUM($AJ213)*SUM($AL213),0))</f>
        <v>0</v>
      </c>
      <c r="AN213" s="10" t="str">
        <f aca="false">IF($C213="&lt;01",ROUND(INDEX(EID!$P:$P,MATCH($B213,EID!$B:$B,0))/2,0),"")</f>
        <v/>
      </c>
      <c r="AO213" s="10" t="n">
        <f aca="false">IF($C213="&lt;01",SUM($AN213),ROUND(SUM($AM213)*SUM($O213)/IF(SUM($Z213)=0,1,$Z213),0))</f>
        <v>0</v>
      </c>
      <c r="AP213" s="39" t="n">
        <f aca="false">IF(OR($F213="",$C213="&lt;01"),$AO213,$F213)</f>
        <v>0</v>
      </c>
      <c r="AQ213" s="39" t="n">
        <f aca="false">IF(LEFT($B213,4)="_Mil","",IF(SUM($AP213)=0,SUM($Z213),IF(OR(SUM($Z213)=0,SUM($O213)=0),MAX($AP213,$Z213),$AP213*$Z213/$O213)))</f>
        <v>1674</v>
      </c>
      <c r="AR213" s="88" t="str">
        <f aca="false">IF(OR(LEFT($B213,4)="_Mil",SUM($AJ213)=0),"",SUM($AQ213)/$AJ213)</f>
        <v/>
      </c>
      <c r="AS213" s="88" t="n">
        <f aca="false">IF($C213="&lt;01","",98%)</f>
        <v>0.98</v>
      </c>
      <c r="AT213" s="88" t="n">
        <f aca="false">IF($C213="&lt;01","",98%)</f>
        <v>0.98</v>
      </c>
      <c r="AU213" s="10" t="n">
        <f aca="false">IF($C213="&lt;01","",SUM($AP213)-SUM($O213))</f>
        <v>0</v>
      </c>
      <c r="AV213" s="10" t="n">
        <f aca="false">IF($C213="&lt;01",ROUND(INDEX(EID!$N:$N,MATCH($B213,EID!$B:$B,0))/2,0),IF(SUM($AT213)=0,"",ROUND((SUM($AP213)-(SUM($O213)*SUM($AS213)))/$AT213,0)))</f>
        <v>0</v>
      </c>
      <c r="AW213" s="88" t="n">
        <f aca="false">IF($C213="&lt;01","",100%)</f>
        <v>1</v>
      </c>
      <c r="AX213" s="39" t="n">
        <f aca="false">IF($C213="&lt;01",SUM($AV213),ROUND(SUM($AV213)*SUM($AW213),0))</f>
        <v>0</v>
      </c>
      <c r="AY213" s="114" t="n">
        <f aca="false">IF($C213="&lt;01","",70%)</f>
        <v>0.7</v>
      </c>
      <c r="AZ213" s="91" t="n">
        <f aca="false">IF($C213="&lt;01",ROUND(INDEX(EID!$R:$R,MATCH($B213,EID!$B:$B,0))/2,0),ROUND(SUM($O213)+(SUM($AV213)*$AY213),0))</f>
        <v>0</v>
      </c>
      <c r="BA213" s="87" t="n">
        <f aca="false">IF($C213="&lt;01","",95%)</f>
        <v>0.95</v>
      </c>
      <c r="BB213" s="5" t="n">
        <f aca="false">IF($C213="&lt;01",ROUND(INDEX(EID!$T:$T,MATCH($B213,EID!$B:$B,0))/2,0),ROUND($AZ213*$BA213,0))</f>
        <v>0</v>
      </c>
      <c r="BC213" s="91" t="n">
        <f aca="false">IF(LEFT($B213,4)="_Mil","",IF(SUM($BB213)=0,SUM($AD213),IF(OR(SUM($AP213)=0,SUM($AQ213)=0),MAX($BB213,$AD213),ROUND($BB213*$AQ213/$AP213,0))))</f>
        <v>0</v>
      </c>
      <c r="BD213" s="88" t="n">
        <f aca="false">IF($C213="&lt;01","",95%)</f>
        <v>0.95</v>
      </c>
      <c r="BE213" s="39" t="n">
        <f aca="false">IF($C213="&lt;01",ROUND(INDEX(EID!$V:$V,MATCH($B213,EID!$B:$B,0))/2,0),ROUND($BD213*$BB213,0))</f>
        <v>0</v>
      </c>
      <c r="BF213" s="39" t="n">
        <f aca="false">IF(LEFT($B213,4)="_Mil","",IF(SUM($BE213)=0,SUM($AF213),IF(OR(SUM($AP213)=0,SUM($AQ213)=0),MAX($BE213,$AF213),ROUND($BE213*$AQ213/$AP213,0))))</f>
        <v>0</v>
      </c>
      <c r="BG213" s="114" t="n">
        <f aca="false">IF($C213="&lt;01","",95%)</f>
        <v>0.95</v>
      </c>
      <c r="BH213" s="5" t="n">
        <f aca="false">IF($C213="&lt;01",ROUND(INDEX(EID!$L:$L,MATCH($B213,EID!$B:$B,0)),0)/2,IF(SUM($BG213)=0,"",ROUND($AX213/$BG213,0)))</f>
        <v>0</v>
      </c>
    </row>
    <row r="214" customFormat="false" ht="15" hidden="false" customHeight="false" outlineLevel="0" collapsed="false">
      <c r="A214" s="0" t="str">
        <f aca="false">INDEX(Prioritization!$D:$D,MATCH($B214,Prioritization!$A:$A,0))</f>
        <v>INVALID</v>
      </c>
      <c r="B214" s="0" t="s">
        <v>208</v>
      </c>
      <c r="C214" s="0" t="s">
        <v>363</v>
      </c>
      <c r="D214" s="0" t="s">
        <v>48</v>
      </c>
      <c r="E214" s="0" t="str">
        <f aca="false">$B214&amp;"|"&amp;$C214&amp;"|"&amp;$D214</f>
        <v>Nkhata Bay District [E7zpfyBt7Tw]|01-09|Male</v>
      </c>
      <c r="F214" s="10"/>
      <c r="G214" s="10"/>
      <c r="H214" s="10"/>
      <c r="I214" s="10"/>
      <c r="J214" s="10"/>
      <c r="K214" s="10"/>
      <c r="L214" s="10"/>
      <c r="M214" s="10"/>
      <c r="N214" s="10"/>
      <c r="O214" s="10" t="str">
        <f aca="false">IFERROR(1/(1/MAX($I214,$N214)),"")</f>
        <v/>
      </c>
      <c r="P214" s="10"/>
      <c r="Q214" s="10"/>
      <c r="R214" s="10" t="str">
        <f aca="false">IF(AND(SUM($I214)=0,SUM($O214)=0),"",SUM($O214)-$I214)</f>
        <v/>
      </c>
      <c r="S214" s="10" t="n">
        <f aca="false">IF(LEFT($B214,4)="_Mil","",_xlfn.IFNA(ROUND(INDEX(Spectrum!$N:$N,MATCH(RIGHT($B214,13)&amp;"|"&amp;$C214&amp;"|"&amp;$D214&amp;"|"&amp;S$14&amp;"|"&amp;"CY2022Q4",Spectrum!$R:$R,0)),0),""))</f>
        <v>1088</v>
      </c>
      <c r="T214" s="39" t="n">
        <f aca="false">IF(LEFT($B214,4)="_Mil","",_xlfn.IFNA(ROUND(INDEX(Spectrum!$N:$N,MATCH(RIGHT($B214,13)&amp;"|"&amp;$C214&amp;"|"&amp;$D214&amp;"|"&amp;T$14&amp;"|"&amp;"CY2023Q3",Spectrum!$R:$R,0)),0),""))</f>
        <v>562</v>
      </c>
      <c r="U214" s="39" t="str">
        <f aca="false">IF(LEFT($B214,4)="_Mil","",_xlfn.IFNA(ROUND(INDEX(Spectrum!$N:$N,MATCH(RIGHT($B214,13)&amp;"|"&amp;$C214&amp;"|"&amp;$D214&amp;"|"&amp;U$14&amp;"|"&amp;"CY2023Q3",Spectrum!$R:$R,0)),0),""))</f>
        <v/>
      </c>
      <c r="V214" s="10" t="n">
        <f aca="false">IF(LEFT($B214,4)="_Mil","",_xlfn.IFNA(ROUND(INDEX(Spectrum!$N:$N,MATCH(RIGHT($B214,13)&amp;"|"&amp;$C214&amp;"|"&amp;$D214&amp;"|"&amp;V$14&amp;"|"&amp;"CY2023Q3",Spectrum!$R:$R,0)),0),""))</f>
        <v>1948</v>
      </c>
      <c r="W214" s="113" t="n">
        <f aca="false">IF(LEFT($B214,4)="_Mil","",_xlfn.IFNA(INDEX(Spectrum!$N:$N,MATCH(RIGHT($B214,13)&amp;"|"&amp;$C214&amp;"|"&amp;$D214&amp;"|"&amp;W$14&amp;"|"&amp;"CY2023Q3",Spectrum!$R:$R,0)),""))</f>
        <v>1950</v>
      </c>
      <c r="X214" s="39" t="n">
        <f aca="false">IF(LEFT($B214,4)="_Mil","",_xlfn.IFNA(ROUND(INDEX(Spectrum!$N:$N,MATCH(RIGHT($B214,13)&amp;"|"&amp;$C214&amp;"|"&amp;$D214&amp;"|"&amp;X$14&amp;"|"&amp;"CY2023Q3",Spectrum!$R:$R,0)),0),""))</f>
        <v>1611</v>
      </c>
      <c r="Y214" s="88" t="str">
        <f aca="false">IF(OR(SUM($U214)=0,LEFT($B214,4)="_Mil"),"",SUM($X214)/$U214)</f>
        <v/>
      </c>
      <c r="Z214" s="39" t="n">
        <f aca="false">IF(LEFT($B214,4)="_Mil","",_xlfn.IFNA(ROUND(INDEX(Spectrum!$N:$N,MATCH(RIGHT($B214,13)&amp;"|"&amp;$C214&amp;"|"&amp;$D214&amp;"|"&amp;Z$14&amp;"|"&amp;"CY2023Q3",Spectrum!$R:$R,0)),0),""))</f>
        <v>1706</v>
      </c>
      <c r="AA214" s="88" t="n">
        <f aca="false">IF(LEFT($B214,4)="_Mil","",IFERROR(1/(1/INDEX(Spectrum!$N:$N,MATCH(RIGHT($B214,13)&amp;"|"&amp;$C214&amp;"|"&amp;$D214&amp;"|"&amp;AA$14&amp;"|"&amp;"CY2023Q3",Spectrum!$R:$R,0))),IF(SUM($U214)=0,"",SUM($Z214)/$U214)))</f>
        <v>1609</v>
      </c>
      <c r="AB214" s="88" t="n">
        <f aca="false">IF(OR(LEFT($B214,4)="_Mil",SUM($X214)=0),"",SUM($Z214)/$X214)</f>
        <v>1.05896958410925</v>
      </c>
      <c r="AC214" s="10" t="n">
        <f aca="false">IF(LEFT($B214,4)="_Mil","",_xlfn.IFNA(ROUND(INDEX(Spectrum!$N:$N,MATCH(RIGHT($B214,13)&amp;"|"&amp;$C214&amp;"|"&amp;$D214&amp;"|"&amp;AC$14&amp;"|"&amp;"CY2023Q3",Spectrum!$R:$R,0)),0),""))</f>
        <v>1382</v>
      </c>
      <c r="AD214" s="10" t="str">
        <f aca="false">IF(LEFT($B214,4)="_Mil","",_xlfn.IFNA(ROUND(INDEX(Spectrum!$N:$N,MATCH(RIGHT($B214,13)&amp;"|"&amp;$C214&amp;"|"&amp;$D214&amp;"|"&amp;AD$14&amp;"|"&amp;"CY2023Q3",Spectrum!$R:$R,0)),0),""))</f>
        <v/>
      </c>
      <c r="AE214" s="88" t="n">
        <f aca="false">IF(OR(LEFT($B214,4)="_Mil",SUM($Z214)=0),"",SUM($AD214)/$Z214)</f>
        <v>0</v>
      </c>
      <c r="AF214" s="39" t="str">
        <f aca="false">IF(LEFT($B214,4)="_Mil","",_xlfn.IFNA(ROUND(INDEX(Spectrum!$N:$N,MATCH(RIGHT($B214,13)&amp;"|"&amp;$C214&amp;"|"&amp;$D214&amp;"|"&amp;AF$14&amp;"|"&amp;"CY2023Q3",Spectrum!$R:$R,0)),0),""))</f>
        <v/>
      </c>
      <c r="AG214" s="88" t="str">
        <f aca="false">IF(OR(LEFT($B214,4)="_Mil",SUM($AD214)=0),"",SUM($AF214)/$AD214)</f>
        <v/>
      </c>
      <c r="AH214" s="86" t="str">
        <f aca="false">IF(LEFT($B214,4)="_Mil","",_xlfn.IFNA(INDEX(Spectrum!$N:$N,MATCH(RIGHT($B214,13)&amp;"|"&amp;$C214&amp;"|"&amp;$D214&amp;"|"&amp;AH$14&amp;"|"&amp;"CY2023Q3",Spectrum!$R:$R,0)),""))</f>
        <v/>
      </c>
      <c r="AI214" s="10" t="str">
        <f aca="false">IF(LEFT($B214,4)="_Mil","",_xlfn.IFNA(ROUND(INDEX(Spectrum!$N:$N,MATCH(RIGHT($B214,13)&amp;"|"&amp;$C214&amp;"|"&amp;$D214&amp;"|"&amp;AI$14&amp;"|"&amp;"CY2023Q3",Spectrum!$R:$R,0)),0),""))</f>
        <v/>
      </c>
      <c r="AJ214" s="39" t="n">
        <f aca="false">IF(LEFT($B214,4)="_Mil","",_xlfn.IFNA(ROUND(INDEX(Spectrum!$N:$N,MATCH(RIGHT($B214,13)&amp;"|"&amp;$C214&amp;"|"&amp;$D214&amp;"|"&amp;AI$14&amp;"|"&amp;"CY2023Q3",Spectrum!$R:$R,0)),0),SUM($U214)+SUM($AI214)))</f>
        <v>0</v>
      </c>
      <c r="AK214" s="10" t="str">
        <f aca="false">IF(LEFT($B214,4)="_Mil","",_xlfn.IFNA(ROUND(INDEX(Spectrum!$N:$N,MATCH(RIGHT($B214,13)&amp;"|"&amp;$C214&amp;"|"&amp;$D214&amp;"|"&amp;AK$14&amp;"|"&amp;"CY2023Q3",Spectrum!$R:$R,0)),0),""))</f>
        <v/>
      </c>
      <c r="AL214" s="88" t="n">
        <f aca="false">IF(OR(LEFT($B214,4)="_Mil",$C214="&lt;01"),"",MAX(SUM($AA214),90%))</f>
        <v>1609</v>
      </c>
      <c r="AM214" s="10" t="n">
        <f aca="false">IF(OR(LEFT($B214,4)="_Mil",$C214="&lt;01"),"",ROUND(SUM($AJ214)*SUM($AL214),0))</f>
        <v>0</v>
      </c>
      <c r="AN214" s="10" t="str">
        <f aca="false">IF($C214="&lt;01",ROUND(INDEX(EID!$P:$P,MATCH($B214,EID!$B:$B,0))/2,0),"")</f>
        <v/>
      </c>
      <c r="AO214" s="10" t="n">
        <f aca="false">IF($C214="&lt;01",SUM($AN214),ROUND(SUM($AM214)*SUM($O214)/IF(SUM($Z214)=0,1,$Z214),0))</f>
        <v>0</v>
      </c>
      <c r="AP214" s="39" t="n">
        <f aca="false">IF(OR($F214="",$C214="&lt;01"),$AO214,$F214)</f>
        <v>0</v>
      </c>
      <c r="AQ214" s="39" t="n">
        <f aca="false">IF(LEFT($B214,4)="_Mil","",IF(SUM($AP214)=0,SUM($Z214),IF(OR(SUM($Z214)=0,SUM($O214)=0),MAX($AP214,$Z214),$AP214*$Z214/$O214)))</f>
        <v>1706</v>
      </c>
      <c r="AR214" s="88" t="str">
        <f aca="false">IF(OR(LEFT($B214,4)="_Mil",SUM($AJ214)=0),"",SUM($AQ214)/$AJ214)</f>
        <v/>
      </c>
      <c r="AS214" s="88" t="n">
        <f aca="false">IF($C214="&lt;01","",98%)</f>
        <v>0.98</v>
      </c>
      <c r="AT214" s="88" t="n">
        <f aca="false">IF($C214="&lt;01","",98%)</f>
        <v>0.98</v>
      </c>
      <c r="AU214" s="10" t="n">
        <f aca="false">IF($C214="&lt;01","",SUM($AP214)-SUM($O214))</f>
        <v>0</v>
      </c>
      <c r="AV214" s="10" t="n">
        <f aca="false">IF($C214="&lt;01",ROUND(INDEX(EID!$N:$N,MATCH($B214,EID!$B:$B,0))/2,0),IF(SUM($AT214)=0,"",ROUND((SUM($AP214)-(SUM($O214)*SUM($AS214)))/$AT214,0)))</f>
        <v>0</v>
      </c>
      <c r="AW214" s="88" t="n">
        <f aca="false">IF($C214="&lt;01","",100%)</f>
        <v>1</v>
      </c>
      <c r="AX214" s="39" t="n">
        <f aca="false">IF($C214="&lt;01",SUM($AV214),ROUND(SUM($AV214)*SUM($AW214),0))</f>
        <v>0</v>
      </c>
      <c r="AY214" s="114" t="n">
        <f aca="false">IF($C214="&lt;01","",70%)</f>
        <v>0.7</v>
      </c>
      <c r="AZ214" s="91" t="n">
        <f aca="false">IF($C214="&lt;01",ROUND(INDEX(EID!$R:$R,MATCH($B214,EID!$B:$B,0))/2,0),ROUND(SUM($O214)+(SUM($AV214)*$AY214),0))</f>
        <v>0</v>
      </c>
      <c r="BA214" s="87" t="n">
        <f aca="false">IF($C214="&lt;01","",95%)</f>
        <v>0.95</v>
      </c>
      <c r="BB214" s="5" t="n">
        <f aca="false">IF($C214="&lt;01",ROUND(INDEX(EID!$T:$T,MATCH($B214,EID!$B:$B,0))/2,0),ROUND($AZ214*$BA214,0))</f>
        <v>0</v>
      </c>
      <c r="BC214" s="91" t="n">
        <f aca="false">IF(LEFT($B214,4)="_Mil","",IF(SUM($BB214)=0,SUM($AD214),IF(OR(SUM($AP214)=0,SUM($AQ214)=0),MAX($BB214,$AD214),ROUND($BB214*$AQ214/$AP214,0))))</f>
        <v>0</v>
      </c>
      <c r="BD214" s="88" t="n">
        <f aca="false">IF($C214="&lt;01","",95%)</f>
        <v>0.95</v>
      </c>
      <c r="BE214" s="39" t="n">
        <f aca="false">IF($C214="&lt;01",ROUND(INDEX(EID!$V:$V,MATCH($B214,EID!$B:$B,0))/2,0),ROUND($BD214*$BB214,0))</f>
        <v>0</v>
      </c>
      <c r="BF214" s="39" t="n">
        <f aca="false">IF(LEFT($B214,4)="_Mil","",IF(SUM($BE214)=0,SUM($AF214),IF(OR(SUM($AP214)=0,SUM($AQ214)=0),MAX($BE214,$AF214),ROUND($BE214*$AQ214/$AP214,0))))</f>
        <v>0</v>
      </c>
      <c r="BG214" s="114" t="n">
        <f aca="false">IF($C214="&lt;01","",95%)</f>
        <v>0.95</v>
      </c>
      <c r="BH214" s="5" t="n">
        <f aca="false">IF($C214="&lt;01",ROUND(INDEX(EID!$L:$L,MATCH($B214,EID!$B:$B,0)),0)/2,IF(SUM($BG214)=0,"",ROUND($AX214/$BG214,0)))</f>
        <v>0</v>
      </c>
    </row>
    <row r="215" customFormat="false" ht="15" hidden="false" customHeight="false" outlineLevel="0" collapsed="false">
      <c r="A215" s="0" t="str">
        <f aca="false">INDEX(Prioritization!$D:$D,MATCH($B215,Prioritization!$A:$A,0))</f>
        <v>INVALID</v>
      </c>
      <c r="B215" s="0" t="s">
        <v>208</v>
      </c>
      <c r="C215" s="0" t="s">
        <v>364</v>
      </c>
      <c r="D215" s="0" t="s">
        <v>30</v>
      </c>
      <c r="E215" s="0" t="str">
        <f aca="false">$B215&amp;"|"&amp;$C215&amp;"|"&amp;$D215</f>
        <v>Nkhata Bay District [E7zpfyBt7Tw]|10-14|Female</v>
      </c>
      <c r="F215" s="10"/>
      <c r="G215" s="10" t="n">
        <v>7</v>
      </c>
      <c r="H215" s="10" t="n">
        <v>8</v>
      </c>
      <c r="I215" s="10" t="n">
        <v>72</v>
      </c>
      <c r="J215" s="10" t="n">
        <v>4</v>
      </c>
      <c r="K215" s="10" t="n">
        <v>5</v>
      </c>
      <c r="L215" s="10" t="n">
        <v>5</v>
      </c>
      <c r="M215" s="10" t="n">
        <v>3</v>
      </c>
      <c r="N215" s="10" t="n">
        <v>22</v>
      </c>
      <c r="O215" s="10" t="n">
        <f aca="false">IFERROR(1/(1/MAX($I215,$N215)),"")</f>
        <v>72</v>
      </c>
      <c r="P215" s="10" t="n">
        <v>44</v>
      </c>
      <c r="Q215" s="10" t="n">
        <v>63</v>
      </c>
      <c r="R215" s="10" t="n">
        <f aca="false">IF(AND(SUM($I215)=0,SUM($O215)=0),"",SUM($O215)-$I215)</f>
        <v>0</v>
      </c>
      <c r="S215" s="10" t="n">
        <f aca="false">IF(LEFT($B215,4)="_Mil","",_xlfn.IFNA(ROUND(INDEX(Spectrum!$N:$N,MATCH(RIGHT($B215,13)&amp;"|"&amp;$C215&amp;"|"&amp;$D215&amp;"|"&amp;S$14&amp;"|"&amp;"CY2022Q4",Spectrum!$R:$R,0)),0),""))</f>
        <v>1894</v>
      </c>
      <c r="T215" s="39" t="n">
        <f aca="false">IF(LEFT($B215,4)="_Mil","",_xlfn.IFNA(ROUND(INDEX(Spectrum!$N:$N,MATCH(RIGHT($B215,13)&amp;"|"&amp;$C215&amp;"|"&amp;$D215&amp;"|"&amp;T$14&amp;"|"&amp;"CY2023Q3",Spectrum!$R:$R,0)),0),""))</f>
        <v>830</v>
      </c>
      <c r="U215" s="39" t="str">
        <f aca="false">IF(LEFT($B215,4)="_Mil","",_xlfn.IFNA(ROUND(INDEX(Spectrum!$N:$N,MATCH(RIGHT($B215,13)&amp;"|"&amp;$C215&amp;"|"&amp;$D215&amp;"|"&amp;U$14&amp;"|"&amp;"CY2023Q3",Spectrum!$R:$R,0)),0),""))</f>
        <v/>
      </c>
      <c r="V215" s="10" t="n">
        <f aca="false">IF(LEFT($B215,4)="_Mil","",_xlfn.IFNA(ROUND(INDEX(Spectrum!$N:$N,MATCH(RIGHT($B215,13)&amp;"|"&amp;$C215&amp;"|"&amp;$D215&amp;"|"&amp;V$14&amp;"|"&amp;"CY2023Q3",Spectrum!$R:$R,0)),0),""))</f>
        <v>854</v>
      </c>
      <c r="W215" s="113" t="n">
        <f aca="false">IF(LEFT($B215,4)="_Mil","",_xlfn.IFNA(INDEX(Spectrum!$N:$N,MATCH(RIGHT($B215,13)&amp;"|"&amp;$C215&amp;"|"&amp;$D215&amp;"|"&amp;W$14&amp;"|"&amp;"CY2023Q3",Spectrum!$R:$R,0)),""))</f>
        <v>744</v>
      </c>
      <c r="X215" s="39" t="n">
        <f aca="false">IF(LEFT($B215,4)="_Mil","",_xlfn.IFNA(ROUND(INDEX(Spectrum!$N:$N,MATCH(RIGHT($B215,13)&amp;"|"&amp;$C215&amp;"|"&amp;$D215&amp;"|"&amp;X$14&amp;"|"&amp;"CY2023Q3",Spectrum!$R:$R,0)),0),""))</f>
        <v>1092</v>
      </c>
      <c r="Y215" s="88" t="str">
        <f aca="false">IF(OR(SUM($U215)=0,LEFT($B215,4)="_Mil"),"",SUM($X215)/$U215)</f>
        <v/>
      </c>
      <c r="Z215" s="39" t="n">
        <f aca="false">IF(LEFT($B215,4)="_Mil","",_xlfn.IFNA(ROUND(INDEX(Spectrum!$N:$N,MATCH(RIGHT($B215,13)&amp;"|"&amp;$C215&amp;"|"&amp;$D215&amp;"|"&amp;Z$14&amp;"|"&amp;"CY2023Q3",Spectrum!$R:$R,0)),0),""))</f>
        <v>1560</v>
      </c>
      <c r="AA215" s="88" t="n">
        <f aca="false">IF(LEFT($B215,4)="_Mil","",IFERROR(1/(1/INDEX(Spectrum!$N:$N,MATCH(RIGHT($B215,13)&amp;"|"&amp;$C215&amp;"|"&amp;$D215&amp;"|"&amp;AA$14&amp;"|"&amp;"CY2023Q3",Spectrum!$R:$R,0))),IF(SUM($U215)=0,"",SUM($Z215)/$U215)))</f>
        <v>1348</v>
      </c>
      <c r="AB215" s="88" t="n">
        <f aca="false">IF(OR(LEFT($B215,4)="_Mil",SUM($X215)=0),"",SUM($Z215)/$X215)</f>
        <v>1.42857142857143</v>
      </c>
      <c r="AC215" s="10" t="n">
        <f aca="false">IF(LEFT($B215,4)="_Mil","",_xlfn.IFNA(ROUND(INDEX(Spectrum!$N:$N,MATCH(RIGHT($B215,13)&amp;"|"&amp;$C215&amp;"|"&amp;$D215&amp;"|"&amp;AC$14&amp;"|"&amp;"CY2023Q3",Spectrum!$R:$R,0)),0),""))</f>
        <v>979</v>
      </c>
      <c r="AD215" s="10" t="str">
        <f aca="false">IF(LEFT($B215,4)="_Mil","",_xlfn.IFNA(ROUND(INDEX(Spectrum!$N:$N,MATCH(RIGHT($B215,13)&amp;"|"&amp;$C215&amp;"|"&amp;$D215&amp;"|"&amp;AD$14&amp;"|"&amp;"CY2023Q3",Spectrum!$R:$R,0)),0),""))</f>
        <v/>
      </c>
      <c r="AE215" s="88" t="n">
        <f aca="false">IF(OR(LEFT($B215,4)="_Mil",SUM($Z215)=0),"",SUM($AD215)/$Z215)</f>
        <v>0</v>
      </c>
      <c r="AF215" s="39" t="str">
        <f aca="false">IF(LEFT($B215,4)="_Mil","",_xlfn.IFNA(ROUND(INDEX(Spectrum!$N:$N,MATCH(RIGHT($B215,13)&amp;"|"&amp;$C215&amp;"|"&amp;$D215&amp;"|"&amp;AF$14&amp;"|"&amp;"CY2023Q3",Spectrum!$R:$R,0)),0),""))</f>
        <v/>
      </c>
      <c r="AG215" s="88" t="str">
        <f aca="false">IF(OR(LEFT($B215,4)="_Mil",SUM($AD215)=0),"",SUM($AF215)/$AD215)</f>
        <v/>
      </c>
      <c r="AH215" s="86" t="str">
        <f aca="false">IF(LEFT($B215,4)="_Mil","",_xlfn.IFNA(INDEX(Spectrum!$N:$N,MATCH(RIGHT($B215,13)&amp;"|"&amp;$C215&amp;"|"&amp;$D215&amp;"|"&amp;AH$14&amp;"|"&amp;"CY2023Q3",Spectrum!$R:$R,0)),""))</f>
        <v/>
      </c>
      <c r="AI215" s="10" t="str">
        <f aca="false">IF(LEFT($B215,4)="_Mil","",_xlfn.IFNA(ROUND(INDEX(Spectrum!$N:$N,MATCH(RIGHT($B215,13)&amp;"|"&amp;$C215&amp;"|"&amp;$D215&amp;"|"&amp;AI$14&amp;"|"&amp;"CY2023Q3",Spectrum!$R:$R,0)),0),""))</f>
        <v/>
      </c>
      <c r="AJ215" s="39" t="n">
        <f aca="false">IF(LEFT($B215,4)="_Mil","",_xlfn.IFNA(ROUND(INDEX(Spectrum!$N:$N,MATCH(RIGHT($B215,13)&amp;"|"&amp;$C215&amp;"|"&amp;$D215&amp;"|"&amp;AI$14&amp;"|"&amp;"CY2023Q3",Spectrum!$R:$R,0)),0),SUM($U215)+SUM($AI215)))</f>
        <v>0</v>
      </c>
      <c r="AK215" s="10" t="str">
        <f aca="false">IF(LEFT($B215,4)="_Mil","",_xlfn.IFNA(ROUND(INDEX(Spectrum!$N:$N,MATCH(RIGHT($B215,13)&amp;"|"&amp;$C215&amp;"|"&amp;$D215&amp;"|"&amp;AK$14&amp;"|"&amp;"CY2023Q3",Spectrum!$R:$R,0)),0),""))</f>
        <v/>
      </c>
      <c r="AL215" s="88" t="n">
        <f aca="false">IF(OR(LEFT($B215,4)="_Mil",$C215="&lt;01"),"",MAX(SUM($AA215),90%))</f>
        <v>1348</v>
      </c>
      <c r="AM215" s="10" t="n">
        <f aca="false">IF(OR(LEFT($B215,4)="_Mil",$C215="&lt;01"),"",ROUND(SUM($AJ215)*SUM($AL215),0))</f>
        <v>0</v>
      </c>
      <c r="AN215" s="10" t="str">
        <f aca="false">IF($C215="&lt;01",ROUND(INDEX(EID!$P:$P,MATCH($B215,EID!$B:$B,0))/2,0),"")</f>
        <v/>
      </c>
      <c r="AO215" s="10" t="n">
        <f aca="false">IF($C215="&lt;01",SUM($AN215),ROUND(SUM($AM215)*SUM($O215)/IF(SUM($Z215)=0,1,$Z215),0))</f>
        <v>0</v>
      </c>
      <c r="AP215" s="39" t="n">
        <f aca="false">IF(OR($F215="",$C215="&lt;01"),$AO215,$F215)</f>
        <v>0</v>
      </c>
      <c r="AQ215" s="39" t="n">
        <f aca="false">IF(LEFT($B215,4)="_Mil","",IF(SUM($AP215)=0,SUM($Z215),IF(OR(SUM($Z215)=0,SUM($O215)=0),MAX($AP215,$Z215),$AP215*$Z215/$O215)))</f>
        <v>1560</v>
      </c>
      <c r="AR215" s="88" t="str">
        <f aca="false">IF(OR(LEFT($B215,4)="_Mil",SUM($AJ215)=0),"",SUM($AQ215)/$AJ215)</f>
        <v/>
      </c>
      <c r="AS215" s="88" t="n">
        <f aca="false">IF($C215="&lt;01","",98%)</f>
        <v>0.98</v>
      </c>
      <c r="AT215" s="88" t="n">
        <f aca="false">IF($C215="&lt;01","",98%)</f>
        <v>0.98</v>
      </c>
      <c r="AU215" s="10" t="n">
        <f aca="false">IF($C215="&lt;01","",SUM($AP215)-SUM($O215))</f>
        <v>-72</v>
      </c>
      <c r="AV215" s="10" t="n">
        <f aca="false">IF($C215="&lt;01",ROUND(INDEX(EID!$N:$N,MATCH($B215,EID!$B:$B,0))/2,0),IF(SUM($AT215)=0,"",ROUND((SUM($AP215)-(SUM($O215)*SUM($AS215)))/$AT215,0)))</f>
        <v>-72</v>
      </c>
      <c r="AW215" s="88" t="n">
        <f aca="false">IF($C215="&lt;01","",100%)</f>
        <v>1</v>
      </c>
      <c r="AX215" s="39" t="n">
        <f aca="false">IF($C215="&lt;01",SUM($AV215),ROUND(SUM($AV215)*SUM($AW215),0))</f>
        <v>-72</v>
      </c>
      <c r="AY215" s="114" t="n">
        <f aca="false">IF($C215="&lt;01","",70%)</f>
        <v>0.7</v>
      </c>
      <c r="AZ215" s="91" t="n">
        <f aca="false">IF($C215="&lt;01",ROUND(INDEX(EID!$R:$R,MATCH($B215,EID!$B:$B,0))/2,0),ROUND(SUM($O215)+(SUM($AV215)*$AY215),0))</f>
        <v>22</v>
      </c>
      <c r="BA215" s="87" t="n">
        <f aca="false">IF($C215="&lt;01","",95%)</f>
        <v>0.95</v>
      </c>
      <c r="BB215" s="5" t="n">
        <f aca="false">IF($C215="&lt;01",ROUND(INDEX(EID!$T:$T,MATCH($B215,EID!$B:$B,0))/2,0),ROUND($AZ215*$BA215,0))</f>
        <v>21</v>
      </c>
      <c r="BC215" s="91" t="n">
        <f aca="false">IF(LEFT($B215,4)="_Mil","",IF(SUM($BB215)=0,SUM($AD215),IF(OR(SUM($AP215)=0,SUM($AQ215)=0),MAX($BB215,$AD215),ROUND($BB215*$AQ215/$AP215,0))))</f>
        <v>21</v>
      </c>
      <c r="BD215" s="88" t="n">
        <f aca="false">IF($C215="&lt;01","",95%)</f>
        <v>0.95</v>
      </c>
      <c r="BE215" s="39" t="n">
        <f aca="false">IF($C215="&lt;01",ROUND(INDEX(EID!$V:$V,MATCH($B215,EID!$B:$B,0))/2,0),ROUND($BD215*$BB215,0))</f>
        <v>20</v>
      </c>
      <c r="BF215" s="39" t="n">
        <f aca="false">IF(LEFT($B215,4)="_Mil","",IF(SUM($BE215)=0,SUM($AF215),IF(OR(SUM($AP215)=0,SUM($AQ215)=0),MAX($BE215,$AF215),ROUND($BE215*$AQ215/$AP215,0))))</f>
        <v>20</v>
      </c>
      <c r="BG215" s="114" t="n">
        <f aca="false">IF($C215="&lt;01","",95%)</f>
        <v>0.95</v>
      </c>
      <c r="BH215" s="5" t="n">
        <f aca="false">IF($C215="&lt;01",ROUND(INDEX(EID!$L:$L,MATCH($B215,EID!$B:$B,0)),0)/2,IF(SUM($BG215)=0,"",ROUND($AX215/$BG215,0)))</f>
        <v>-76</v>
      </c>
    </row>
    <row r="216" customFormat="false" ht="15" hidden="false" customHeight="false" outlineLevel="0" collapsed="false">
      <c r="A216" s="0" t="str">
        <f aca="false">INDEX(Prioritization!$D:$D,MATCH($B216,Prioritization!$A:$A,0))</f>
        <v>INVALID</v>
      </c>
      <c r="B216" s="0" t="s">
        <v>208</v>
      </c>
      <c r="C216" s="0" t="s">
        <v>364</v>
      </c>
      <c r="D216" s="0" t="s">
        <v>48</v>
      </c>
      <c r="E216" s="0" t="str">
        <f aca="false">$B216&amp;"|"&amp;$C216&amp;"|"&amp;$D216</f>
        <v>Nkhata Bay District [E7zpfyBt7Tw]|10-14|Male</v>
      </c>
      <c r="F216" s="10"/>
      <c r="G216" s="10" t="n">
        <v>10</v>
      </c>
      <c r="H216" s="10" t="n">
        <v>1</v>
      </c>
      <c r="I216" s="10" t="n">
        <v>83</v>
      </c>
      <c r="J216" s="10" t="n">
        <v>7</v>
      </c>
      <c r="K216" s="10" t="n">
        <v>6</v>
      </c>
      <c r="L216" s="10" t="n">
        <v>6</v>
      </c>
      <c r="M216" s="10" t="n">
        <v>2</v>
      </c>
      <c r="N216" s="10" t="n">
        <v>38</v>
      </c>
      <c r="O216" s="10" t="n">
        <f aca="false">IFERROR(1/(1/MAX($I216,$N216)),"")</f>
        <v>83</v>
      </c>
      <c r="P216" s="10" t="n">
        <v>28</v>
      </c>
      <c r="Q216" s="10" t="n">
        <v>90</v>
      </c>
      <c r="R216" s="10" t="n">
        <f aca="false">IF(AND(SUM($I216)=0,SUM($O216)=0),"",SUM($O216)-$I216)</f>
        <v>0</v>
      </c>
      <c r="S216" s="10" t="n">
        <f aca="false">IF(LEFT($B216,4)="_Mil","",_xlfn.IFNA(ROUND(INDEX(Spectrum!$N:$N,MATCH(RIGHT($B216,13)&amp;"|"&amp;$C216&amp;"|"&amp;$D216&amp;"|"&amp;S$14&amp;"|"&amp;"CY2022Q4",Spectrum!$R:$R,0)),0),""))</f>
        <v>768</v>
      </c>
      <c r="T216" s="39" t="n">
        <f aca="false">IF(LEFT($B216,4)="_Mil","",_xlfn.IFNA(ROUND(INDEX(Spectrum!$N:$N,MATCH(RIGHT($B216,13)&amp;"|"&amp;$C216&amp;"|"&amp;$D216&amp;"|"&amp;T$14&amp;"|"&amp;"CY2023Q3",Spectrum!$R:$R,0)),0),""))</f>
        <v>882</v>
      </c>
      <c r="U216" s="39" t="str">
        <f aca="false">IF(LEFT($B216,4)="_Mil","",_xlfn.IFNA(ROUND(INDEX(Spectrum!$N:$N,MATCH(RIGHT($B216,13)&amp;"|"&amp;$C216&amp;"|"&amp;$D216&amp;"|"&amp;U$14&amp;"|"&amp;"CY2023Q3",Spectrum!$R:$R,0)),0),""))</f>
        <v/>
      </c>
      <c r="V216" s="10" t="n">
        <f aca="false">IF(LEFT($B216,4)="_Mil","",_xlfn.IFNA(ROUND(INDEX(Spectrum!$N:$N,MATCH(RIGHT($B216,13)&amp;"|"&amp;$C216&amp;"|"&amp;$D216&amp;"|"&amp;V$14&amp;"|"&amp;"CY2023Q3",Spectrum!$R:$R,0)),0),""))</f>
        <v>1227</v>
      </c>
      <c r="W216" s="113" t="n">
        <f aca="false">IF(LEFT($B216,4)="_Mil","",_xlfn.IFNA(INDEX(Spectrum!$N:$N,MATCH(RIGHT($B216,13)&amp;"|"&amp;$C216&amp;"|"&amp;$D216&amp;"|"&amp;W$14&amp;"|"&amp;"CY2023Q3",Spectrum!$R:$R,0)),""))</f>
        <v>992</v>
      </c>
      <c r="X216" s="39" t="n">
        <f aca="false">IF(LEFT($B216,4)="_Mil","",_xlfn.IFNA(ROUND(INDEX(Spectrum!$N:$N,MATCH(RIGHT($B216,13)&amp;"|"&amp;$C216&amp;"|"&amp;$D216&amp;"|"&amp;X$14&amp;"|"&amp;"CY2023Q3",Spectrum!$R:$R,0)),0),""))</f>
        <v>1320</v>
      </c>
      <c r="Y216" s="88" t="str">
        <f aca="false">IF(OR(SUM($U216)=0,LEFT($B216,4)="_Mil"),"",SUM($X216)/$U216)</f>
        <v/>
      </c>
      <c r="Z216" s="39" t="n">
        <f aca="false">IF(LEFT($B216,4)="_Mil","",_xlfn.IFNA(ROUND(INDEX(Spectrum!$N:$N,MATCH(RIGHT($B216,13)&amp;"|"&amp;$C216&amp;"|"&amp;$D216&amp;"|"&amp;Z$14&amp;"|"&amp;"CY2023Q3",Spectrum!$R:$R,0)),0),""))</f>
        <v>1639</v>
      </c>
      <c r="AA216" s="88" t="n">
        <f aca="false">IF(LEFT($B216,4)="_Mil","",IFERROR(1/(1/INDEX(Spectrum!$N:$N,MATCH(RIGHT($B216,13)&amp;"|"&amp;$C216&amp;"|"&amp;$D216&amp;"|"&amp;AA$14&amp;"|"&amp;"CY2023Q3",Spectrum!$R:$R,0))),IF(SUM($U216)=0,"",SUM($Z216)/$U216)))</f>
        <v>1570</v>
      </c>
      <c r="AB216" s="88" t="n">
        <f aca="false">IF(OR(LEFT($B216,4)="_Mil",SUM($X216)=0),"",SUM($Z216)/$X216)</f>
        <v>1.24166666666667</v>
      </c>
      <c r="AC216" s="10" t="n">
        <f aca="false">IF(LEFT($B216,4)="_Mil","",_xlfn.IFNA(ROUND(INDEX(Spectrum!$N:$N,MATCH(RIGHT($B216,13)&amp;"|"&amp;$C216&amp;"|"&amp;$D216&amp;"|"&amp;AC$14&amp;"|"&amp;"CY2023Q3",Spectrum!$R:$R,0)),0),""))</f>
        <v>982</v>
      </c>
      <c r="AD216" s="10" t="str">
        <f aca="false">IF(LEFT($B216,4)="_Mil","",_xlfn.IFNA(ROUND(INDEX(Spectrum!$N:$N,MATCH(RIGHT($B216,13)&amp;"|"&amp;$C216&amp;"|"&amp;$D216&amp;"|"&amp;AD$14&amp;"|"&amp;"CY2023Q3",Spectrum!$R:$R,0)),0),""))</f>
        <v/>
      </c>
      <c r="AE216" s="88" t="n">
        <f aca="false">IF(OR(LEFT($B216,4)="_Mil",SUM($Z216)=0),"",SUM($AD216)/$Z216)</f>
        <v>0</v>
      </c>
      <c r="AF216" s="39" t="str">
        <f aca="false">IF(LEFT($B216,4)="_Mil","",_xlfn.IFNA(ROUND(INDEX(Spectrum!$N:$N,MATCH(RIGHT($B216,13)&amp;"|"&amp;$C216&amp;"|"&amp;$D216&amp;"|"&amp;AF$14&amp;"|"&amp;"CY2023Q3",Spectrum!$R:$R,0)),0),""))</f>
        <v/>
      </c>
      <c r="AG216" s="88" t="str">
        <f aca="false">IF(OR(LEFT($B216,4)="_Mil",SUM($AD216)=0),"",SUM($AF216)/$AD216)</f>
        <v/>
      </c>
      <c r="AH216" s="86" t="str">
        <f aca="false">IF(LEFT($B216,4)="_Mil","",_xlfn.IFNA(INDEX(Spectrum!$N:$N,MATCH(RIGHT($B216,13)&amp;"|"&amp;$C216&amp;"|"&amp;$D216&amp;"|"&amp;AH$14&amp;"|"&amp;"CY2023Q3",Spectrum!$R:$R,0)),""))</f>
        <v/>
      </c>
      <c r="AI216" s="10" t="str">
        <f aca="false">IF(LEFT($B216,4)="_Mil","",_xlfn.IFNA(ROUND(INDEX(Spectrum!$N:$N,MATCH(RIGHT($B216,13)&amp;"|"&amp;$C216&amp;"|"&amp;$D216&amp;"|"&amp;AI$14&amp;"|"&amp;"CY2023Q3",Spectrum!$R:$R,0)),0),""))</f>
        <v/>
      </c>
      <c r="AJ216" s="39" t="n">
        <f aca="false">IF(LEFT($B216,4)="_Mil","",_xlfn.IFNA(ROUND(INDEX(Spectrum!$N:$N,MATCH(RIGHT($B216,13)&amp;"|"&amp;$C216&amp;"|"&amp;$D216&amp;"|"&amp;AI$14&amp;"|"&amp;"CY2023Q3",Spectrum!$R:$R,0)),0),SUM($U216)+SUM($AI216)))</f>
        <v>0</v>
      </c>
      <c r="AK216" s="10" t="str">
        <f aca="false">IF(LEFT($B216,4)="_Mil","",_xlfn.IFNA(ROUND(INDEX(Spectrum!$N:$N,MATCH(RIGHT($B216,13)&amp;"|"&amp;$C216&amp;"|"&amp;$D216&amp;"|"&amp;AK$14&amp;"|"&amp;"CY2023Q3",Spectrum!$R:$R,0)),0),""))</f>
        <v/>
      </c>
      <c r="AL216" s="88" t="n">
        <f aca="false">IF(OR(LEFT($B216,4)="_Mil",$C216="&lt;01"),"",MAX(SUM($AA216),90%))</f>
        <v>1570</v>
      </c>
      <c r="AM216" s="10" t="n">
        <f aca="false">IF(OR(LEFT($B216,4)="_Mil",$C216="&lt;01"),"",ROUND(SUM($AJ216)*SUM($AL216),0))</f>
        <v>0</v>
      </c>
      <c r="AN216" s="10" t="str">
        <f aca="false">IF($C216="&lt;01",ROUND(INDEX(EID!$P:$P,MATCH($B216,EID!$B:$B,0))/2,0),"")</f>
        <v/>
      </c>
      <c r="AO216" s="10" t="n">
        <f aca="false">IF($C216="&lt;01",SUM($AN216),ROUND(SUM($AM216)*SUM($O216)/IF(SUM($Z216)=0,1,$Z216),0))</f>
        <v>0</v>
      </c>
      <c r="AP216" s="39" t="n">
        <f aca="false">IF(OR($F216="",$C216="&lt;01"),$AO216,$F216)</f>
        <v>0</v>
      </c>
      <c r="AQ216" s="39" t="n">
        <f aca="false">IF(LEFT($B216,4)="_Mil","",IF(SUM($AP216)=0,SUM($Z216),IF(OR(SUM($Z216)=0,SUM($O216)=0),MAX($AP216,$Z216),$AP216*$Z216/$O216)))</f>
        <v>1639</v>
      </c>
      <c r="AR216" s="88" t="str">
        <f aca="false">IF(OR(LEFT($B216,4)="_Mil",SUM($AJ216)=0),"",SUM($AQ216)/$AJ216)</f>
        <v/>
      </c>
      <c r="AS216" s="88" t="n">
        <f aca="false">IF($C216="&lt;01","",98%)</f>
        <v>0.98</v>
      </c>
      <c r="AT216" s="88" t="n">
        <f aca="false">IF($C216="&lt;01","",98%)</f>
        <v>0.98</v>
      </c>
      <c r="AU216" s="10" t="n">
        <f aca="false">IF($C216="&lt;01","",SUM($AP216)-SUM($O216))</f>
        <v>-83</v>
      </c>
      <c r="AV216" s="10" t="n">
        <f aca="false">IF($C216="&lt;01",ROUND(INDEX(EID!$N:$N,MATCH($B216,EID!$B:$B,0))/2,0),IF(SUM($AT216)=0,"",ROUND((SUM($AP216)-(SUM($O216)*SUM($AS216)))/$AT216,0)))</f>
        <v>-83</v>
      </c>
      <c r="AW216" s="88" t="n">
        <f aca="false">IF($C216="&lt;01","",100%)</f>
        <v>1</v>
      </c>
      <c r="AX216" s="39" t="n">
        <f aca="false">IF($C216="&lt;01",SUM($AV216),ROUND(SUM($AV216)*SUM($AW216),0))</f>
        <v>-83</v>
      </c>
      <c r="AY216" s="114" t="n">
        <f aca="false">IF($C216="&lt;01","",70%)</f>
        <v>0.7</v>
      </c>
      <c r="AZ216" s="91" t="n">
        <f aca="false">IF($C216="&lt;01",ROUND(INDEX(EID!$R:$R,MATCH($B216,EID!$B:$B,0))/2,0),ROUND(SUM($O216)+(SUM($AV216)*$AY216),0))</f>
        <v>25</v>
      </c>
      <c r="BA216" s="87" t="n">
        <f aca="false">IF($C216="&lt;01","",95%)</f>
        <v>0.95</v>
      </c>
      <c r="BB216" s="5" t="n">
        <f aca="false">IF($C216="&lt;01",ROUND(INDEX(EID!$T:$T,MATCH($B216,EID!$B:$B,0))/2,0),ROUND($AZ216*$BA216,0))</f>
        <v>24</v>
      </c>
      <c r="BC216" s="91" t="n">
        <f aca="false">IF(LEFT($B216,4)="_Mil","",IF(SUM($BB216)=0,SUM($AD216),IF(OR(SUM($AP216)=0,SUM($AQ216)=0),MAX($BB216,$AD216),ROUND($BB216*$AQ216/$AP216,0))))</f>
        <v>24</v>
      </c>
      <c r="BD216" s="88" t="n">
        <f aca="false">IF($C216="&lt;01","",95%)</f>
        <v>0.95</v>
      </c>
      <c r="BE216" s="39" t="n">
        <f aca="false">IF($C216="&lt;01",ROUND(INDEX(EID!$V:$V,MATCH($B216,EID!$B:$B,0))/2,0),ROUND($BD216*$BB216,0))</f>
        <v>23</v>
      </c>
      <c r="BF216" s="39" t="n">
        <f aca="false">IF(LEFT($B216,4)="_Mil","",IF(SUM($BE216)=0,SUM($AF216),IF(OR(SUM($AP216)=0,SUM($AQ216)=0),MAX($BE216,$AF216),ROUND($BE216*$AQ216/$AP216,0))))</f>
        <v>23</v>
      </c>
      <c r="BG216" s="114" t="n">
        <f aca="false">IF($C216="&lt;01","",95%)</f>
        <v>0.95</v>
      </c>
      <c r="BH216" s="5" t="n">
        <f aca="false">IF($C216="&lt;01",ROUND(INDEX(EID!$L:$L,MATCH($B216,EID!$B:$B,0)),0)/2,IF(SUM($BG216)=0,"",ROUND($AX216/$BG216,0)))</f>
        <v>-87</v>
      </c>
    </row>
    <row r="217" customFormat="false" ht="15" hidden="false" customHeight="false" outlineLevel="0" collapsed="false">
      <c r="A217" s="0" t="str">
        <f aca="false">INDEX(Prioritization!$D:$D,MATCH($B217,Prioritization!$A:$A,0))</f>
        <v>INVALID</v>
      </c>
      <c r="B217" s="0" t="s">
        <v>208</v>
      </c>
      <c r="C217" s="0" t="s">
        <v>365</v>
      </c>
      <c r="D217" s="0" t="s">
        <v>30</v>
      </c>
      <c r="E217" s="0" t="str">
        <f aca="false">$B217&amp;"|"&amp;$C217&amp;"|"&amp;$D217</f>
        <v>Nkhata Bay District [E7zpfyBt7Tw]|15-24|Female</v>
      </c>
      <c r="F217" s="10"/>
      <c r="G217" s="10"/>
      <c r="H217" s="10"/>
      <c r="I217" s="10"/>
      <c r="J217" s="10"/>
      <c r="K217" s="10"/>
      <c r="L217" s="10"/>
      <c r="M217" s="10"/>
      <c r="N217" s="10"/>
      <c r="O217" s="10" t="str">
        <f aca="false">IFERROR(1/(1/MAX($I217,$N217)),"")</f>
        <v/>
      </c>
      <c r="P217" s="10"/>
      <c r="Q217" s="10"/>
      <c r="R217" s="10" t="str">
        <f aca="false">IF(AND(SUM($I217)=0,SUM($O217)=0),"",SUM($O217)-$I217)</f>
        <v/>
      </c>
      <c r="S217" s="10" t="n">
        <f aca="false">IF(LEFT($B217,4)="_Mil","",_xlfn.IFNA(ROUND(INDEX(Spectrum!$N:$N,MATCH(RIGHT($B217,13)&amp;"|"&amp;$C217&amp;"|"&amp;$D217&amp;"|"&amp;S$14&amp;"|"&amp;"CY2022Q4",Spectrum!$R:$R,0)),0),""))</f>
        <v>1936</v>
      </c>
      <c r="T217" s="39" t="n">
        <f aca="false">IF(LEFT($B217,4)="_Mil","",_xlfn.IFNA(ROUND(INDEX(Spectrum!$N:$N,MATCH(RIGHT($B217,13)&amp;"|"&amp;$C217&amp;"|"&amp;$D217&amp;"|"&amp;T$14&amp;"|"&amp;"CY2023Q3",Spectrum!$R:$R,0)),0),""))</f>
        <v>1878</v>
      </c>
      <c r="U217" s="39" t="str">
        <f aca="false">IF(LEFT($B217,4)="_Mil","",_xlfn.IFNA(ROUND(INDEX(Spectrum!$N:$N,MATCH(RIGHT($B217,13)&amp;"|"&amp;$C217&amp;"|"&amp;$D217&amp;"|"&amp;U$14&amp;"|"&amp;"CY2023Q3",Spectrum!$R:$R,0)),0),""))</f>
        <v/>
      </c>
      <c r="V217" s="10" t="n">
        <f aca="false">IF(LEFT($B217,4)="_Mil","",_xlfn.IFNA(ROUND(INDEX(Spectrum!$N:$N,MATCH(RIGHT($B217,13)&amp;"|"&amp;$C217&amp;"|"&amp;$D217&amp;"|"&amp;V$14&amp;"|"&amp;"CY2023Q3",Spectrum!$R:$R,0)),0),""))</f>
        <v>1061</v>
      </c>
      <c r="W217" s="113" t="n">
        <f aca="false">IF(LEFT($B217,4)="_Mil","",_xlfn.IFNA(INDEX(Spectrum!$N:$N,MATCH(RIGHT($B217,13)&amp;"|"&amp;$C217&amp;"|"&amp;$D217&amp;"|"&amp;W$14&amp;"|"&amp;"CY2023Q3",Spectrum!$R:$R,0)),""))</f>
        <v>717</v>
      </c>
      <c r="X217" s="39" t="n">
        <f aca="false">IF(LEFT($B217,4)="_Mil","",_xlfn.IFNA(ROUND(INDEX(Spectrum!$N:$N,MATCH(RIGHT($B217,13)&amp;"|"&amp;$C217&amp;"|"&amp;$D217&amp;"|"&amp;X$14&amp;"|"&amp;"CY2023Q3",Spectrum!$R:$R,0)),0),""))</f>
        <v>992</v>
      </c>
      <c r="Y217" s="88" t="str">
        <f aca="false">IF(OR(SUM($U217)=0,LEFT($B217,4)="_Mil"),"",SUM($X217)/$U217)</f>
        <v/>
      </c>
      <c r="Z217" s="39" t="n">
        <f aca="false">IF(LEFT($B217,4)="_Mil","",_xlfn.IFNA(ROUND(INDEX(Spectrum!$N:$N,MATCH(RIGHT($B217,13)&amp;"|"&amp;$C217&amp;"|"&amp;$D217&amp;"|"&amp;Z$14&amp;"|"&amp;"CY2023Q3",Spectrum!$R:$R,0)),0),""))</f>
        <v>1439</v>
      </c>
      <c r="AA217" s="88" t="n">
        <f aca="false">IF(LEFT($B217,4)="_Mil","",IFERROR(1/(1/INDEX(Spectrum!$N:$N,MATCH(RIGHT($B217,13)&amp;"|"&amp;$C217&amp;"|"&amp;$D217&amp;"|"&amp;AA$14&amp;"|"&amp;"CY2023Q3",Spectrum!$R:$R,0))),IF(SUM($U217)=0,"",SUM($Z217)/$U217)))</f>
        <v>1731</v>
      </c>
      <c r="AB217" s="88" t="n">
        <f aca="false">IF(OR(LEFT($B217,4)="_Mil",SUM($X217)=0),"",SUM($Z217)/$X217)</f>
        <v>1.45060483870968</v>
      </c>
      <c r="AC217" s="10" t="n">
        <f aca="false">IF(LEFT($B217,4)="_Mil","",_xlfn.IFNA(ROUND(INDEX(Spectrum!$N:$N,MATCH(RIGHT($B217,13)&amp;"|"&amp;$C217&amp;"|"&amp;$D217&amp;"|"&amp;AC$14&amp;"|"&amp;"CY2023Q3",Spectrum!$R:$R,0)),0),""))</f>
        <v>521</v>
      </c>
      <c r="AD217" s="10" t="str">
        <f aca="false">IF(LEFT($B217,4)="_Mil","",_xlfn.IFNA(ROUND(INDEX(Spectrum!$N:$N,MATCH(RIGHT($B217,13)&amp;"|"&amp;$C217&amp;"|"&amp;$D217&amp;"|"&amp;AD$14&amp;"|"&amp;"CY2023Q3",Spectrum!$R:$R,0)),0),""))</f>
        <v/>
      </c>
      <c r="AE217" s="88" t="n">
        <f aca="false">IF(OR(LEFT($B217,4)="_Mil",SUM($Z217)=0),"",SUM($AD217)/$Z217)</f>
        <v>0</v>
      </c>
      <c r="AF217" s="39" t="str">
        <f aca="false">IF(LEFT($B217,4)="_Mil","",_xlfn.IFNA(ROUND(INDEX(Spectrum!$N:$N,MATCH(RIGHT($B217,13)&amp;"|"&amp;$C217&amp;"|"&amp;$D217&amp;"|"&amp;AF$14&amp;"|"&amp;"CY2023Q3",Spectrum!$R:$R,0)),0),""))</f>
        <v/>
      </c>
      <c r="AG217" s="88" t="str">
        <f aca="false">IF(OR(LEFT($B217,4)="_Mil",SUM($AD217)=0),"",SUM($AF217)/$AD217)</f>
        <v/>
      </c>
      <c r="AH217" s="86" t="str">
        <f aca="false">IF(LEFT($B217,4)="_Mil","",_xlfn.IFNA(INDEX(Spectrum!$N:$N,MATCH(RIGHT($B217,13)&amp;"|"&amp;$C217&amp;"|"&amp;$D217&amp;"|"&amp;AH$14&amp;"|"&amp;"CY2023Q3",Spectrum!$R:$R,0)),""))</f>
        <v/>
      </c>
      <c r="AI217" s="10" t="str">
        <f aca="false">IF(LEFT($B217,4)="_Mil","",_xlfn.IFNA(ROUND(INDEX(Spectrum!$N:$N,MATCH(RIGHT($B217,13)&amp;"|"&amp;$C217&amp;"|"&amp;$D217&amp;"|"&amp;AI$14&amp;"|"&amp;"CY2023Q3",Spectrum!$R:$R,0)),0),""))</f>
        <v/>
      </c>
      <c r="AJ217" s="39" t="n">
        <f aca="false">IF(LEFT($B217,4)="_Mil","",_xlfn.IFNA(ROUND(INDEX(Spectrum!$N:$N,MATCH(RIGHT($B217,13)&amp;"|"&amp;$C217&amp;"|"&amp;$D217&amp;"|"&amp;AI$14&amp;"|"&amp;"CY2023Q3",Spectrum!$R:$R,0)),0),SUM($U217)+SUM($AI217)))</f>
        <v>0</v>
      </c>
      <c r="AK217" s="10" t="str">
        <f aca="false">IF(LEFT($B217,4)="_Mil","",_xlfn.IFNA(ROUND(INDEX(Spectrum!$N:$N,MATCH(RIGHT($B217,13)&amp;"|"&amp;$C217&amp;"|"&amp;$D217&amp;"|"&amp;AK$14&amp;"|"&amp;"CY2023Q3",Spectrum!$R:$R,0)),0),""))</f>
        <v/>
      </c>
      <c r="AL217" s="88" t="n">
        <f aca="false">IF(OR(LEFT($B217,4)="_Mil",$C217="&lt;01"),"",MAX(SUM($AA217),90%))</f>
        <v>1731</v>
      </c>
      <c r="AM217" s="10" t="n">
        <f aca="false">IF(OR(LEFT($B217,4)="_Mil",$C217="&lt;01"),"",ROUND(SUM($AJ217)*SUM($AL217),0))</f>
        <v>0</v>
      </c>
      <c r="AN217" s="10" t="str">
        <f aca="false">IF($C217="&lt;01",ROUND(INDEX(EID!$P:$P,MATCH($B217,EID!$B:$B,0))/2,0),"")</f>
        <v/>
      </c>
      <c r="AO217" s="10" t="n">
        <f aca="false">IF($C217="&lt;01",SUM($AN217),ROUND(SUM($AM217)*SUM($O217)/IF(SUM($Z217)=0,1,$Z217),0))</f>
        <v>0</v>
      </c>
      <c r="AP217" s="39" t="n">
        <f aca="false">IF(OR($F217="",$C217="&lt;01"),$AO217,$F217)</f>
        <v>0</v>
      </c>
      <c r="AQ217" s="39" t="n">
        <f aca="false">IF(LEFT($B217,4)="_Mil","",IF(SUM($AP217)=0,SUM($Z217),IF(OR(SUM($Z217)=0,SUM($O217)=0),MAX($AP217,$Z217),$AP217*$Z217/$O217)))</f>
        <v>1439</v>
      </c>
      <c r="AR217" s="88" t="str">
        <f aca="false">IF(OR(LEFT($B217,4)="_Mil",SUM($AJ217)=0),"",SUM($AQ217)/$AJ217)</f>
        <v/>
      </c>
      <c r="AS217" s="88" t="n">
        <f aca="false">IF($C217="&lt;01","",98%)</f>
        <v>0.98</v>
      </c>
      <c r="AT217" s="88" t="n">
        <f aca="false">IF($C217="&lt;01","",98%)</f>
        <v>0.98</v>
      </c>
      <c r="AU217" s="10" t="n">
        <f aca="false">IF($C217="&lt;01","",SUM($AP217)-SUM($O217))</f>
        <v>0</v>
      </c>
      <c r="AV217" s="10" t="n">
        <f aca="false">IF($C217="&lt;01",ROUND(INDEX(EID!$N:$N,MATCH($B217,EID!$B:$B,0))/2,0),IF(SUM($AT217)=0,"",ROUND((SUM($AP217)-(SUM($O217)*SUM($AS217)))/$AT217,0)))</f>
        <v>0</v>
      </c>
      <c r="AW217" s="88" t="n">
        <f aca="false">IF($C217="&lt;01","",100%)</f>
        <v>1</v>
      </c>
      <c r="AX217" s="39" t="n">
        <f aca="false">IF($C217="&lt;01",SUM($AV217),ROUND(SUM($AV217)*SUM($AW217),0))</f>
        <v>0</v>
      </c>
      <c r="AY217" s="114" t="n">
        <f aca="false">IF($C217="&lt;01","",70%)</f>
        <v>0.7</v>
      </c>
      <c r="AZ217" s="91" t="n">
        <f aca="false">IF($C217="&lt;01",ROUND(INDEX(EID!$R:$R,MATCH($B217,EID!$B:$B,0))/2,0),ROUND(SUM($O217)+(SUM($AV217)*$AY217),0))</f>
        <v>0</v>
      </c>
      <c r="BA217" s="87" t="n">
        <f aca="false">IF($C217="&lt;01","",95%)</f>
        <v>0.95</v>
      </c>
      <c r="BB217" s="5" t="n">
        <f aca="false">IF($C217="&lt;01",ROUND(INDEX(EID!$T:$T,MATCH($B217,EID!$B:$B,0))/2,0),ROUND($AZ217*$BA217,0))</f>
        <v>0</v>
      </c>
      <c r="BC217" s="91" t="n">
        <f aca="false">IF(LEFT($B217,4)="_Mil","",IF(SUM($BB217)=0,SUM($AD217),IF(OR(SUM($AP217)=0,SUM($AQ217)=0),MAX($BB217,$AD217),ROUND($BB217*$AQ217/$AP217,0))))</f>
        <v>0</v>
      </c>
      <c r="BD217" s="88" t="n">
        <f aca="false">IF($C217="&lt;01","",95%)</f>
        <v>0.95</v>
      </c>
      <c r="BE217" s="39" t="n">
        <f aca="false">IF($C217="&lt;01",ROUND(INDEX(EID!$V:$V,MATCH($B217,EID!$B:$B,0))/2,0),ROUND($BD217*$BB217,0))</f>
        <v>0</v>
      </c>
      <c r="BF217" s="39" t="n">
        <f aca="false">IF(LEFT($B217,4)="_Mil","",IF(SUM($BE217)=0,SUM($AF217),IF(OR(SUM($AP217)=0,SUM($AQ217)=0),MAX($BE217,$AF217),ROUND($BE217*$AQ217/$AP217,0))))</f>
        <v>0</v>
      </c>
      <c r="BG217" s="114" t="n">
        <f aca="false">IF($C217="&lt;01","",95%)</f>
        <v>0.95</v>
      </c>
      <c r="BH217" s="5" t="n">
        <f aca="false">IF($C217="&lt;01",ROUND(INDEX(EID!$L:$L,MATCH($B217,EID!$B:$B,0)),0)/2,IF(SUM($BG217)=0,"",ROUND($AX217/$BG217,0)))</f>
        <v>0</v>
      </c>
    </row>
    <row r="218" customFormat="false" ht="15" hidden="false" customHeight="false" outlineLevel="0" collapsed="false">
      <c r="A218" s="0" t="str">
        <f aca="false">INDEX(Prioritization!$D:$D,MATCH($B218,Prioritization!$A:$A,0))</f>
        <v>INVALID</v>
      </c>
      <c r="B218" s="0" t="s">
        <v>208</v>
      </c>
      <c r="C218" s="0" t="s">
        <v>365</v>
      </c>
      <c r="D218" s="0" t="s">
        <v>48</v>
      </c>
      <c r="E218" s="0" t="str">
        <f aca="false">$B218&amp;"|"&amp;$C218&amp;"|"&amp;$D218</f>
        <v>Nkhata Bay District [E7zpfyBt7Tw]|15-24|Male</v>
      </c>
      <c r="F218" s="10"/>
      <c r="G218" s="10"/>
      <c r="H218" s="10"/>
      <c r="I218" s="10"/>
      <c r="J218" s="10"/>
      <c r="K218" s="10"/>
      <c r="L218" s="10"/>
      <c r="M218" s="10"/>
      <c r="N218" s="10"/>
      <c r="O218" s="10" t="str">
        <f aca="false">IFERROR(1/(1/MAX($I218,$N218)),"")</f>
        <v/>
      </c>
      <c r="P218" s="10"/>
      <c r="Q218" s="10"/>
      <c r="R218" s="10" t="str">
        <f aca="false">IF(AND(SUM($I218)=0,SUM($O218)=0),"",SUM($O218)-$I218)</f>
        <v/>
      </c>
      <c r="S218" s="10" t="n">
        <f aca="false">IF(LEFT($B218,4)="_Mil","",_xlfn.IFNA(ROUND(INDEX(Spectrum!$N:$N,MATCH(RIGHT($B218,13)&amp;"|"&amp;$C218&amp;"|"&amp;$D218&amp;"|"&amp;S$14&amp;"|"&amp;"CY2022Q4",Spectrum!$R:$R,0)),0),""))</f>
        <v>1142</v>
      </c>
      <c r="T218" s="39" t="n">
        <f aca="false">IF(LEFT($B218,4)="_Mil","",_xlfn.IFNA(ROUND(INDEX(Spectrum!$N:$N,MATCH(RIGHT($B218,13)&amp;"|"&amp;$C218&amp;"|"&amp;$D218&amp;"|"&amp;T$14&amp;"|"&amp;"CY2023Q3",Spectrum!$R:$R,0)),0),""))</f>
        <v>1481</v>
      </c>
      <c r="U218" s="39" t="str">
        <f aca="false">IF(LEFT($B218,4)="_Mil","",_xlfn.IFNA(ROUND(INDEX(Spectrum!$N:$N,MATCH(RIGHT($B218,13)&amp;"|"&amp;$C218&amp;"|"&amp;$D218&amp;"|"&amp;U$14&amp;"|"&amp;"CY2023Q3",Spectrum!$R:$R,0)),0),""))</f>
        <v/>
      </c>
      <c r="V218" s="10" t="n">
        <f aca="false">IF(LEFT($B218,4)="_Mil","",_xlfn.IFNA(ROUND(INDEX(Spectrum!$N:$N,MATCH(RIGHT($B218,13)&amp;"|"&amp;$C218&amp;"|"&amp;$D218&amp;"|"&amp;V$14&amp;"|"&amp;"CY2023Q3",Spectrum!$R:$R,0)),0),""))</f>
        <v>613</v>
      </c>
      <c r="W218" s="113" t="n">
        <f aca="false">IF(LEFT($B218,4)="_Mil","",_xlfn.IFNA(INDEX(Spectrum!$N:$N,MATCH(RIGHT($B218,13)&amp;"|"&amp;$C218&amp;"|"&amp;$D218&amp;"|"&amp;W$14&amp;"|"&amp;"CY2023Q3",Spectrum!$R:$R,0)),""))</f>
        <v>1363</v>
      </c>
      <c r="X218" s="39" t="n">
        <f aca="false">IF(LEFT($B218,4)="_Mil","",_xlfn.IFNA(ROUND(INDEX(Spectrum!$N:$N,MATCH(RIGHT($B218,13)&amp;"|"&amp;$C218&amp;"|"&amp;$D218&amp;"|"&amp;X$14&amp;"|"&amp;"CY2023Q3",Spectrum!$R:$R,0)),0),""))</f>
        <v>1232</v>
      </c>
      <c r="Y218" s="88" t="str">
        <f aca="false">IF(OR(SUM($U218)=0,LEFT($B218,4)="_Mil"),"",SUM($X218)/$U218)</f>
        <v/>
      </c>
      <c r="Z218" s="39" t="n">
        <f aca="false">IF(LEFT($B218,4)="_Mil","",_xlfn.IFNA(ROUND(INDEX(Spectrum!$N:$N,MATCH(RIGHT($B218,13)&amp;"|"&amp;$C218&amp;"|"&amp;$D218&amp;"|"&amp;Z$14&amp;"|"&amp;"CY2023Q3",Spectrum!$R:$R,0)),0),""))</f>
        <v>1364</v>
      </c>
      <c r="AA218" s="88" t="n">
        <f aca="false">IF(LEFT($B218,4)="_Mil","",IFERROR(1/(1/INDEX(Spectrum!$N:$N,MATCH(RIGHT($B218,13)&amp;"|"&amp;$C218&amp;"|"&amp;$D218&amp;"|"&amp;AA$14&amp;"|"&amp;"CY2023Q3",Spectrum!$R:$R,0))),IF(SUM($U218)=0,"",SUM($Z218)/$U218)))</f>
        <v>953</v>
      </c>
      <c r="AB218" s="88" t="n">
        <f aca="false">IF(OR(LEFT($B218,4)="_Mil",SUM($X218)=0),"",SUM($Z218)/$X218)</f>
        <v>1.10714285714286</v>
      </c>
      <c r="AC218" s="10" t="n">
        <f aca="false">IF(LEFT($B218,4)="_Mil","",_xlfn.IFNA(ROUND(INDEX(Spectrum!$N:$N,MATCH(RIGHT($B218,13)&amp;"|"&amp;$C218&amp;"|"&amp;$D218&amp;"|"&amp;AC$14&amp;"|"&amp;"CY2023Q3",Spectrum!$R:$R,0)),0),""))</f>
        <v>1932</v>
      </c>
      <c r="AD218" s="10" t="str">
        <f aca="false">IF(LEFT($B218,4)="_Mil","",_xlfn.IFNA(ROUND(INDEX(Spectrum!$N:$N,MATCH(RIGHT($B218,13)&amp;"|"&amp;$C218&amp;"|"&amp;$D218&amp;"|"&amp;AD$14&amp;"|"&amp;"CY2023Q3",Spectrum!$R:$R,0)),0),""))</f>
        <v/>
      </c>
      <c r="AE218" s="88" t="n">
        <f aca="false">IF(OR(LEFT($B218,4)="_Mil",SUM($Z218)=0),"",SUM($AD218)/$Z218)</f>
        <v>0</v>
      </c>
      <c r="AF218" s="39" t="str">
        <f aca="false">IF(LEFT($B218,4)="_Mil","",_xlfn.IFNA(ROUND(INDEX(Spectrum!$N:$N,MATCH(RIGHT($B218,13)&amp;"|"&amp;$C218&amp;"|"&amp;$D218&amp;"|"&amp;AF$14&amp;"|"&amp;"CY2023Q3",Spectrum!$R:$R,0)),0),""))</f>
        <v/>
      </c>
      <c r="AG218" s="88" t="str">
        <f aca="false">IF(OR(LEFT($B218,4)="_Mil",SUM($AD218)=0),"",SUM($AF218)/$AD218)</f>
        <v/>
      </c>
      <c r="AH218" s="86" t="str">
        <f aca="false">IF(LEFT($B218,4)="_Mil","",_xlfn.IFNA(INDEX(Spectrum!$N:$N,MATCH(RIGHT($B218,13)&amp;"|"&amp;$C218&amp;"|"&amp;$D218&amp;"|"&amp;AH$14&amp;"|"&amp;"CY2023Q3",Spectrum!$R:$R,0)),""))</f>
        <v/>
      </c>
      <c r="AI218" s="10" t="str">
        <f aca="false">IF(LEFT($B218,4)="_Mil","",_xlfn.IFNA(ROUND(INDEX(Spectrum!$N:$N,MATCH(RIGHT($B218,13)&amp;"|"&amp;$C218&amp;"|"&amp;$D218&amp;"|"&amp;AI$14&amp;"|"&amp;"CY2023Q3",Spectrum!$R:$R,0)),0),""))</f>
        <v/>
      </c>
      <c r="AJ218" s="39" t="n">
        <f aca="false">IF(LEFT($B218,4)="_Mil","",_xlfn.IFNA(ROUND(INDEX(Spectrum!$N:$N,MATCH(RIGHT($B218,13)&amp;"|"&amp;$C218&amp;"|"&amp;$D218&amp;"|"&amp;AI$14&amp;"|"&amp;"CY2023Q3",Spectrum!$R:$R,0)),0),SUM($U218)+SUM($AI218)))</f>
        <v>0</v>
      </c>
      <c r="AK218" s="10" t="str">
        <f aca="false">IF(LEFT($B218,4)="_Mil","",_xlfn.IFNA(ROUND(INDEX(Spectrum!$N:$N,MATCH(RIGHT($B218,13)&amp;"|"&amp;$C218&amp;"|"&amp;$D218&amp;"|"&amp;AK$14&amp;"|"&amp;"CY2023Q3",Spectrum!$R:$R,0)),0),""))</f>
        <v/>
      </c>
      <c r="AL218" s="88" t="n">
        <f aca="false">IF(OR(LEFT($B218,4)="_Mil",$C218="&lt;01"),"",MAX(SUM($AA218),90%))</f>
        <v>953</v>
      </c>
      <c r="AM218" s="10" t="n">
        <f aca="false">IF(OR(LEFT($B218,4)="_Mil",$C218="&lt;01"),"",ROUND(SUM($AJ218)*SUM($AL218),0))</f>
        <v>0</v>
      </c>
      <c r="AN218" s="10" t="str">
        <f aca="false">IF($C218="&lt;01",ROUND(INDEX(EID!$P:$P,MATCH($B218,EID!$B:$B,0))/2,0),"")</f>
        <v/>
      </c>
      <c r="AO218" s="10" t="n">
        <f aca="false">IF($C218="&lt;01",SUM($AN218),ROUND(SUM($AM218)*SUM($O218)/IF(SUM($Z218)=0,1,$Z218),0))</f>
        <v>0</v>
      </c>
      <c r="AP218" s="39" t="n">
        <f aca="false">IF(OR($F218="",$C218="&lt;01"),$AO218,$F218)</f>
        <v>0</v>
      </c>
      <c r="AQ218" s="39" t="n">
        <f aca="false">IF(LEFT($B218,4)="_Mil","",IF(SUM($AP218)=0,SUM($Z218),IF(OR(SUM($Z218)=0,SUM($O218)=0),MAX($AP218,$Z218),$AP218*$Z218/$O218)))</f>
        <v>1364</v>
      </c>
      <c r="AR218" s="88" t="str">
        <f aca="false">IF(OR(LEFT($B218,4)="_Mil",SUM($AJ218)=0),"",SUM($AQ218)/$AJ218)</f>
        <v/>
      </c>
      <c r="AS218" s="88" t="n">
        <f aca="false">IF($C218="&lt;01","",98%)</f>
        <v>0.98</v>
      </c>
      <c r="AT218" s="88" t="n">
        <f aca="false">IF($C218="&lt;01","",98%)</f>
        <v>0.98</v>
      </c>
      <c r="AU218" s="10" t="n">
        <f aca="false">IF($C218="&lt;01","",SUM($AP218)-SUM($O218))</f>
        <v>0</v>
      </c>
      <c r="AV218" s="10" t="n">
        <f aca="false">IF($C218="&lt;01",ROUND(INDEX(EID!$N:$N,MATCH($B218,EID!$B:$B,0))/2,0),IF(SUM($AT218)=0,"",ROUND((SUM($AP218)-(SUM($O218)*SUM($AS218)))/$AT218,0)))</f>
        <v>0</v>
      </c>
      <c r="AW218" s="88" t="n">
        <f aca="false">IF($C218="&lt;01","",100%)</f>
        <v>1</v>
      </c>
      <c r="AX218" s="39" t="n">
        <f aca="false">IF($C218="&lt;01",SUM($AV218),ROUND(SUM($AV218)*SUM($AW218),0))</f>
        <v>0</v>
      </c>
      <c r="AY218" s="114" t="n">
        <f aca="false">IF($C218="&lt;01","",70%)</f>
        <v>0.7</v>
      </c>
      <c r="AZ218" s="91" t="n">
        <f aca="false">IF($C218="&lt;01",ROUND(INDEX(EID!$R:$R,MATCH($B218,EID!$B:$B,0))/2,0),ROUND(SUM($O218)+(SUM($AV218)*$AY218),0))</f>
        <v>0</v>
      </c>
      <c r="BA218" s="87" t="n">
        <f aca="false">IF($C218="&lt;01","",95%)</f>
        <v>0.95</v>
      </c>
      <c r="BB218" s="5" t="n">
        <f aca="false">IF($C218="&lt;01",ROUND(INDEX(EID!$T:$T,MATCH($B218,EID!$B:$B,0))/2,0),ROUND($AZ218*$BA218,0))</f>
        <v>0</v>
      </c>
      <c r="BC218" s="91" t="n">
        <f aca="false">IF(LEFT($B218,4)="_Mil","",IF(SUM($BB218)=0,SUM($AD218),IF(OR(SUM($AP218)=0,SUM($AQ218)=0),MAX($BB218,$AD218),ROUND($BB218*$AQ218/$AP218,0))))</f>
        <v>0</v>
      </c>
      <c r="BD218" s="88" t="n">
        <f aca="false">IF($C218="&lt;01","",95%)</f>
        <v>0.95</v>
      </c>
      <c r="BE218" s="39" t="n">
        <f aca="false">IF($C218="&lt;01",ROUND(INDEX(EID!$V:$V,MATCH($B218,EID!$B:$B,0))/2,0),ROUND($BD218*$BB218,0))</f>
        <v>0</v>
      </c>
      <c r="BF218" s="39" t="n">
        <f aca="false">IF(LEFT($B218,4)="_Mil","",IF(SUM($BE218)=0,SUM($AF218),IF(OR(SUM($AP218)=0,SUM($AQ218)=0),MAX($BE218,$AF218),ROUND($BE218*$AQ218/$AP218,0))))</f>
        <v>0</v>
      </c>
      <c r="BG218" s="114" t="n">
        <f aca="false">IF($C218="&lt;01","",95%)</f>
        <v>0.95</v>
      </c>
      <c r="BH218" s="5" t="n">
        <f aca="false">IF($C218="&lt;01",ROUND(INDEX(EID!$L:$L,MATCH($B218,EID!$B:$B,0)),0)/2,IF(SUM($BG218)=0,"",ROUND($AX218/$BG218,0)))</f>
        <v>0</v>
      </c>
    </row>
    <row r="219" customFormat="false" ht="15" hidden="false" customHeight="false" outlineLevel="0" collapsed="false">
      <c r="A219" s="0" t="str">
        <f aca="false">INDEX(Prioritization!$D:$D,MATCH($B219,Prioritization!$A:$A,0))</f>
        <v>INVALID</v>
      </c>
      <c r="B219" s="0" t="s">
        <v>208</v>
      </c>
      <c r="C219" s="0" t="s">
        <v>366</v>
      </c>
      <c r="D219" s="0" t="s">
        <v>30</v>
      </c>
      <c r="E219" s="0" t="str">
        <f aca="false">$B219&amp;"|"&amp;$C219&amp;"|"&amp;$D219</f>
        <v>Nkhata Bay District [E7zpfyBt7Tw]|25-34|Female</v>
      </c>
      <c r="F219" s="10"/>
      <c r="G219" s="10"/>
      <c r="H219" s="10"/>
      <c r="I219" s="10"/>
      <c r="J219" s="10"/>
      <c r="K219" s="10"/>
      <c r="L219" s="10"/>
      <c r="M219" s="10"/>
      <c r="N219" s="10"/>
      <c r="O219" s="10" t="str">
        <f aca="false">IFERROR(1/(1/MAX($I219,$N219)),"")</f>
        <v/>
      </c>
      <c r="P219" s="10"/>
      <c r="Q219" s="10"/>
      <c r="R219" s="10" t="str">
        <f aca="false">IF(AND(SUM($I219)=0,SUM($O219)=0),"",SUM($O219)-$I219)</f>
        <v/>
      </c>
      <c r="S219" s="10" t="n">
        <f aca="false">IF(LEFT($B219,4)="_Mil","",_xlfn.IFNA(ROUND(INDEX(Spectrum!$N:$N,MATCH(RIGHT($B219,13)&amp;"|"&amp;$C219&amp;"|"&amp;$D219&amp;"|"&amp;S$14&amp;"|"&amp;"CY2022Q4",Spectrum!$R:$R,0)),0),""))</f>
        <v>1709</v>
      </c>
      <c r="T219" s="39" t="n">
        <f aca="false">IF(LEFT($B219,4)="_Mil","",_xlfn.IFNA(ROUND(INDEX(Spectrum!$N:$N,MATCH(RIGHT($B219,13)&amp;"|"&amp;$C219&amp;"|"&amp;$D219&amp;"|"&amp;T$14&amp;"|"&amp;"CY2023Q3",Spectrum!$R:$R,0)),0),""))</f>
        <v>795</v>
      </c>
      <c r="U219" s="39" t="str">
        <f aca="false">IF(LEFT($B219,4)="_Mil","",_xlfn.IFNA(ROUND(INDEX(Spectrum!$N:$N,MATCH(RIGHT($B219,13)&amp;"|"&amp;$C219&amp;"|"&amp;$D219&amp;"|"&amp;U$14&amp;"|"&amp;"CY2023Q3",Spectrum!$R:$R,0)),0),""))</f>
        <v/>
      </c>
      <c r="V219" s="10" t="n">
        <f aca="false">IF(LEFT($B219,4)="_Mil","",_xlfn.IFNA(ROUND(INDEX(Spectrum!$N:$N,MATCH(RIGHT($B219,13)&amp;"|"&amp;$C219&amp;"|"&amp;$D219&amp;"|"&amp;V$14&amp;"|"&amp;"CY2023Q3",Spectrum!$R:$R,0)),0),""))</f>
        <v>1647</v>
      </c>
      <c r="W219" s="113" t="n">
        <f aca="false">IF(LEFT($B219,4)="_Mil","",_xlfn.IFNA(INDEX(Spectrum!$N:$N,MATCH(RIGHT($B219,13)&amp;"|"&amp;$C219&amp;"|"&amp;$D219&amp;"|"&amp;W$14&amp;"|"&amp;"CY2023Q3",Spectrum!$R:$R,0)),""))</f>
        <v>1859</v>
      </c>
      <c r="X219" s="39" t="n">
        <f aca="false">IF(LEFT($B219,4)="_Mil","",_xlfn.IFNA(ROUND(INDEX(Spectrum!$N:$N,MATCH(RIGHT($B219,13)&amp;"|"&amp;$C219&amp;"|"&amp;$D219&amp;"|"&amp;X$14&amp;"|"&amp;"CY2023Q3",Spectrum!$R:$R,0)),0),""))</f>
        <v>1074</v>
      </c>
      <c r="Y219" s="88" t="str">
        <f aca="false">IF(OR(SUM($U219)=0,LEFT($B219,4)="_Mil"),"",SUM($X219)/$U219)</f>
        <v/>
      </c>
      <c r="Z219" s="39" t="n">
        <f aca="false">IF(LEFT($B219,4)="_Mil","",_xlfn.IFNA(ROUND(INDEX(Spectrum!$N:$N,MATCH(RIGHT($B219,13)&amp;"|"&amp;$C219&amp;"|"&amp;$D219&amp;"|"&amp;Z$14&amp;"|"&amp;"CY2023Q3",Spectrum!$R:$R,0)),0),""))</f>
        <v>1692</v>
      </c>
      <c r="AA219" s="88" t="n">
        <f aca="false">IF(LEFT($B219,4)="_Mil","",IFERROR(1/(1/INDEX(Spectrum!$N:$N,MATCH(RIGHT($B219,13)&amp;"|"&amp;$C219&amp;"|"&amp;$D219&amp;"|"&amp;AA$14&amp;"|"&amp;"CY2023Q3",Spectrum!$R:$R,0))),IF(SUM($U219)=0,"",SUM($Z219)/$U219)))</f>
        <v>2000</v>
      </c>
      <c r="AB219" s="88" t="n">
        <f aca="false">IF(OR(LEFT($B219,4)="_Mil",SUM($X219)=0),"",SUM($Z219)/$X219)</f>
        <v>1.57541899441341</v>
      </c>
      <c r="AC219" s="10" t="n">
        <f aca="false">IF(LEFT($B219,4)="_Mil","",_xlfn.IFNA(ROUND(INDEX(Spectrum!$N:$N,MATCH(RIGHT($B219,13)&amp;"|"&amp;$C219&amp;"|"&amp;$D219&amp;"|"&amp;AC$14&amp;"|"&amp;"CY2023Q3",Spectrum!$R:$R,0)),0),""))</f>
        <v>1477</v>
      </c>
      <c r="AD219" s="10" t="str">
        <f aca="false">IF(LEFT($B219,4)="_Mil","",_xlfn.IFNA(ROUND(INDEX(Spectrum!$N:$N,MATCH(RIGHT($B219,13)&amp;"|"&amp;$C219&amp;"|"&amp;$D219&amp;"|"&amp;AD$14&amp;"|"&amp;"CY2023Q3",Spectrum!$R:$R,0)),0),""))</f>
        <v/>
      </c>
      <c r="AE219" s="88" t="n">
        <f aca="false">IF(OR(LEFT($B219,4)="_Mil",SUM($Z219)=0),"",SUM($AD219)/$Z219)</f>
        <v>0</v>
      </c>
      <c r="AF219" s="39" t="str">
        <f aca="false">IF(LEFT($B219,4)="_Mil","",_xlfn.IFNA(ROUND(INDEX(Spectrum!$N:$N,MATCH(RIGHT($B219,13)&amp;"|"&amp;$C219&amp;"|"&amp;$D219&amp;"|"&amp;AF$14&amp;"|"&amp;"CY2023Q3",Spectrum!$R:$R,0)),0),""))</f>
        <v/>
      </c>
      <c r="AG219" s="88" t="str">
        <f aca="false">IF(OR(LEFT($B219,4)="_Mil",SUM($AD219)=0),"",SUM($AF219)/$AD219)</f>
        <v/>
      </c>
      <c r="AH219" s="86" t="str">
        <f aca="false">IF(LEFT($B219,4)="_Mil","",_xlfn.IFNA(INDEX(Spectrum!$N:$N,MATCH(RIGHT($B219,13)&amp;"|"&amp;$C219&amp;"|"&amp;$D219&amp;"|"&amp;AH$14&amp;"|"&amp;"CY2023Q3",Spectrum!$R:$R,0)),""))</f>
        <v/>
      </c>
      <c r="AI219" s="10" t="str">
        <f aca="false">IF(LEFT($B219,4)="_Mil","",_xlfn.IFNA(ROUND(INDEX(Spectrum!$N:$N,MATCH(RIGHT($B219,13)&amp;"|"&amp;$C219&amp;"|"&amp;$D219&amp;"|"&amp;AI$14&amp;"|"&amp;"CY2023Q3",Spectrum!$R:$R,0)),0),""))</f>
        <v/>
      </c>
      <c r="AJ219" s="39" t="n">
        <f aca="false">IF(LEFT($B219,4)="_Mil","",_xlfn.IFNA(ROUND(INDEX(Spectrum!$N:$N,MATCH(RIGHT($B219,13)&amp;"|"&amp;$C219&amp;"|"&amp;$D219&amp;"|"&amp;AI$14&amp;"|"&amp;"CY2023Q3",Spectrum!$R:$R,0)),0),SUM($U219)+SUM($AI219)))</f>
        <v>0</v>
      </c>
      <c r="AK219" s="10" t="str">
        <f aca="false">IF(LEFT($B219,4)="_Mil","",_xlfn.IFNA(ROUND(INDEX(Spectrum!$N:$N,MATCH(RIGHT($B219,13)&amp;"|"&amp;$C219&amp;"|"&amp;$D219&amp;"|"&amp;AK$14&amp;"|"&amp;"CY2023Q3",Spectrum!$R:$R,0)),0),""))</f>
        <v/>
      </c>
      <c r="AL219" s="88" t="n">
        <f aca="false">IF(OR(LEFT($B219,4)="_Mil",$C219="&lt;01"),"",MAX(SUM($AA219),90%))</f>
        <v>2000</v>
      </c>
      <c r="AM219" s="10" t="n">
        <f aca="false">IF(OR(LEFT($B219,4)="_Mil",$C219="&lt;01"),"",ROUND(SUM($AJ219)*SUM($AL219),0))</f>
        <v>0</v>
      </c>
      <c r="AN219" s="10" t="str">
        <f aca="false">IF($C219="&lt;01",ROUND(INDEX(EID!$P:$P,MATCH($B219,EID!$B:$B,0))/2,0),"")</f>
        <v/>
      </c>
      <c r="AO219" s="10" t="n">
        <f aca="false">IF($C219="&lt;01",SUM($AN219),ROUND(SUM($AM219)*SUM($O219)/IF(SUM($Z219)=0,1,$Z219),0))</f>
        <v>0</v>
      </c>
      <c r="AP219" s="39" t="n">
        <f aca="false">IF(OR($F219="",$C219="&lt;01"),$AO219,$F219)</f>
        <v>0</v>
      </c>
      <c r="AQ219" s="39" t="n">
        <f aca="false">IF(LEFT($B219,4)="_Mil","",IF(SUM($AP219)=0,SUM($Z219),IF(OR(SUM($Z219)=0,SUM($O219)=0),MAX($AP219,$Z219),$AP219*$Z219/$O219)))</f>
        <v>1692</v>
      </c>
      <c r="AR219" s="88" t="str">
        <f aca="false">IF(OR(LEFT($B219,4)="_Mil",SUM($AJ219)=0),"",SUM($AQ219)/$AJ219)</f>
        <v/>
      </c>
      <c r="AS219" s="88" t="n">
        <f aca="false">IF($C219="&lt;01","",98%)</f>
        <v>0.98</v>
      </c>
      <c r="AT219" s="88" t="n">
        <f aca="false">IF($C219="&lt;01","",98%)</f>
        <v>0.98</v>
      </c>
      <c r="AU219" s="10" t="n">
        <f aca="false">IF($C219="&lt;01","",SUM($AP219)-SUM($O219))</f>
        <v>0</v>
      </c>
      <c r="AV219" s="10" t="n">
        <f aca="false">IF($C219="&lt;01",ROUND(INDEX(EID!$N:$N,MATCH($B219,EID!$B:$B,0))/2,0),IF(SUM($AT219)=0,"",ROUND((SUM($AP219)-(SUM($O219)*SUM($AS219)))/$AT219,0)))</f>
        <v>0</v>
      </c>
      <c r="AW219" s="88" t="n">
        <f aca="false">IF($C219="&lt;01","",100%)</f>
        <v>1</v>
      </c>
      <c r="AX219" s="39" t="n">
        <f aca="false">IF($C219="&lt;01",SUM($AV219),ROUND(SUM($AV219)*SUM($AW219),0))</f>
        <v>0</v>
      </c>
      <c r="AY219" s="114" t="n">
        <f aca="false">IF($C219="&lt;01","",70%)</f>
        <v>0.7</v>
      </c>
      <c r="AZ219" s="91" t="n">
        <f aca="false">IF($C219="&lt;01",ROUND(INDEX(EID!$R:$R,MATCH($B219,EID!$B:$B,0))/2,0),ROUND(SUM($O219)+(SUM($AV219)*$AY219),0))</f>
        <v>0</v>
      </c>
      <c r="BA219" s="87" t="n">
        <f aca="false">IF($C219="&lt;01","",95%)</f>
        <v>0.95</v>
      </c>
      <c r="BB219" s="5" t="n">
        <f aca="false">IF($C219="&lt;01",ROUND(INDEX(EID!$T:$T,MATCH($B219,EID!$B:$B,0))/2,0),ROUND($AZ219*$BA219,0))</f>
        <v>0</v>
      </c>
      <c r="BC219" s="91" t="n">
        <f aca="false">IF(LEFT($B219,4)="_Mil","",IF(SUM($BB219)=0,SUM($AD219),IF(OR(SUM($AP219)=0,SUM($AQ219)=0),MAX($BB219,$AD219),ROUND($BB219*$AQ219/$AP219,0))))</f>
        <v>0</v>
      </c>
      <c r="BD219" s="88" t="n">
        <f aca="false">IF($C219="&lt;01","",95%)</f>
        <v>0.95</v>
      </c>
      <c r="BE219" s="39" t="n">
        <f aca="false">IF($C219="&lt;01",ROUND(INDEX(EID!$V:$V,MATCH($B219,EID!$B:$B,0))/2,0),ROUND($BD219*$BB219,0))</f>
        <v>0</v>
      </c>
      <c r="BF219" s="39" t="n">
        <f aca="false">IF(LEFT($B219,4)="_Mil","",IF(SUM($BE219)=0,SUM($AF219),IF(OR(SUM($AP219)=0,SUM($AQ219)=0),MAX($BE219,$AF219),ROUND($BE219*$AQ219/$AP219,0))))</f>
        <v>0</v>
      </c>
      <c r="BG219" s="114" t="n">
        <f aca="false">IF($C219="&lt;01","",95%)</f>
        <v>0.95</v>
      </c>
      <c r="BH219" s="5" t="n">
        <f aca="false">IF($C219="&lt;01",ROUND(INDEX(EID!$L:$L,MATCH($B219,EID!$B:$B,0)),0)/2,IF(SUM($BG219)=0,"",ROUND($AX219/$BG219,0)))</f>
        <v>0</v>
      </c>
    </row>
    <row r="220" customFormat="false" ht="15" hidden="false" customHeight="false" outlineLevel="0" collapsed="false">
      <c r="A220" s="0" t="str">
        <f aca="false">INDEX(Prioritization!$D:$D,MATCH($B220,Prioritization!$A:$A,0))</f>
        <v>INVALID</v>
      </c>
      <c r="B220" s="0" t="s">
        <v>208</v>
      </c>
      <c r="C220" s="0" t="s">
        <v>366</v>
      </c>
      <c r="D220" s="0" t="s">
        <v>48</v>
      </c>
      <c r="E220" s="0" t="str">
        <f aca="false">$B220&amp;"|"&amp;$C220&amp;"|"&amp;$D220</f>
        <v>Nkhata Bay District [E7zpfyBt7Tw]|25-34|Male</v>
      </c>
      <c r="F220" s="10"/>
      <c r="G220" s="10"/>
      <c r="H220" s="10"/>
      <c r="I220" s="10"/>
      <c r="J220" s="10"/>
      <c r="K220" s="10"/>
      <c r="L220" s="10"/>
      <c r="M220" s="10"/>
      <c r="N220" s="10"/>
      <c r="O220" s="10" t="str">
        <f aca="false">IFERROR(1/(1/MAX($I220,$N220)),"")</f>
        <v/>
      </c>
      <c r="P220" s="10"/>
      <c r="Q220" s="10"/>
      <c r="R220" s="10" t="str">
        <f aca="false">IF(AND(SUM($I220)=0,SUM($O220)=0),"",SUM($O220)-$I220)</f>
        <v/>
      </c>
      <c r="S220" s="10" t="n">
        <f aca="false">IF(LEFT($B220,4)="_Mil","",_xlfn.IFNA(ROUND(INDEX(Spectrum!$N:$N,MATCH(RIGHT($B220,13)&amp;"|"&amp;$C220&amp;"|"&amp;$D220&amp;"|"&amp;S$14&amp;"|"&amp;"CY2022Q4",Spectrum!$R:$R,0)),0),""))</f>
        <v>1211</v>
      </c>
      <c r="T220" s="39" t="n">
        <f aca="false">IF(LEFT($B220,4)="_Mil","",_xlfn.IFNA(ROUND(INDEX(Spectrum!$N:$N,MATCH(RIGHT($B220,13)&amp;"|"&amp;$C220&amp;"|"&amp;$D220&amp;"|"&amp;T$14&amp;"|"&amp;"CY2023Q3",Spectrum!$R:$R,0)),0),""))</f>
        <v>646</v>
      </c>
      <c r="U220" s="39" t="str">
        <f aca="false">IF(LEFT($B220,4)="_Mil","",_xlfn.IFNA(ROUND(INDEX(Spectrum!$N:$N,MATCH(RIGHT($B220,13)&amp;"|"&amp;$C220&amp;"|"&amp;$D220&amp;"|"&amp;U$14&amp;"|"&amp;"CY2023Q3",Spectrum!$R:$R,0)),0),""))</f>
        <v/>
      </c>
      <c r="V220" s="10" t="n">
        <f aca="false">IF(LEFT($B220,4)="_Mil","",_xlfn.IFNA(ROUND(INDEX(Spectrum!$N:$N,MATCH(RIGHT($B220,13)&amp;"|"&amp;$C220&amp;"|"&amp;$D220&amp;"|"&amp;V$14&amp;"|"&amp;"CY2023Q3",Spectrum!$R:$R,0)),0),""))</f>
        <v>794</v>
      </c>
      <c r="W220" s="113" t="n">
        <f aca="false">IF(LEFT($B220,4)="_Mil","",_xlfn.IFNA(INDEX(Spectrum!$N:$N,MATCH(RIGHT($B220,13)&amp;"|"&amp;$C220&amp;"|"&amp;$D220&amp;"|"&amp;W$14&amp;"|"&amp;"CY2023Q3",Spectrum!$R:$R,0)),""))</f>
        <v>743</v>
      </c>
      <c r="X220" s="39" t="n">
        <f aca="false">IF(LEFT($B220,4)="_Mil","",_xlfn.IFNA(ROUND(INDEX(Spectrum!$N:$N,MATCH(RIGHT($B220,13)&amp;"|"&amp;$C220&amp;"|"&amp;$D220&amp;"|"&amp;X$14&amp;"|"&amp;"CY2023Q3",Spectrum!$R:$R,0)),0),""))</f>
        <v>1284</v>
      </c>
      <c r="Y220" s="88" t="str">
        <f aca="false">IF(OR(SUM($U220)=0,LEFT($B220,4)="_Mil"),"",SUM($X220)/$U220)</f>
        <v/>
      </c>
      <c r="Z220" s="39" t="n">
        <f aca="false">IF(LEFT($B220,4)="_Mil","",_xlfn.IFNA(ROUND(INDEX(Spectrum!$N:$N,MATCH(RIGHT($B220,13)&amp;"|"&amp;$C220&amp;"|"&amp;$D220&amp;"|"&amp;Z$14&amp;"|"&amp;"CY2023Q3",Spectrum!$R:$R,0)),0),""))</f>
        <v>771</v>
      </c>
      <c r="AA220" s="88" t="n">
        <f aca="false">IF(LEFT($B220,4)="_Mil","",IFERROR(1/(1/INDEX(Spectrum!$N:$N,MATCH(RIGHT($B220,13)&amp;"|"&amp;$C220&amp;"|"&amp;$D220&amp;"|"&amp;AA$14&amp;"|"&amp;"CY2023Q3",Spectrum!$R:$R,0))),IF(SUM($U220)=0,"",SUM($Z220)/$U220)))</f>
        <v>1023</v>
      </c>
      <c r="AB220" s="88" t="n">
        <f aca="false">IF(OR(LEFT($B220,4)="_Mil",SUM($X220)=0),"",SUM($Z220)/$X220)</f>
        <v>0.600467289719626</v>
      </c>
      <c r="AC220" s="10" t="n">
        <f aca="false">IF(LEFT($B220,4)="_Mil","",_xlfn.IFNA(ROUND(INDEX(Spectrum!$N:$N,MATCH(RIGHT($B220,13)&amp;"|"&amp;$C220&amp;"|"&amp;$D220&amp;"|"&amp;AC$14&amp;"|"&amp;"CY2023Q3",Spectrum!$R:$R,0)),0),""))</f>
        <v>1918</v>
      </c>
      <c r="AD220" s="10" t="str">
        <f aca="false">IF(LEFT($B220,4)="_Mil","",_xlfn.IFNA(ROUND(INDEX(Spectrum!$N:$N,MATCH(RIGHT($B220,13)&amp;"|"&amp;$C220&amp;"|"&amp;$D220&amp;"|"&amp;AD$14&amp;"|"&amp;"CY2023Q3",Spectrum!$R:$R,0)),0),""))</f>
        <v/>
      </c>
      <c r="AE220" s="88" t="n">
        <f aca="false">IF(OR(LEFT($B220,4)="_Mil",SUM($Z220)=0),"",SUM($AD220)/$Z220)</f>
        <v>0</v>
      </c>
      <c r="AF220" s="39" t="str">
        <f aca="false">IF(LEFT($B220,4)="_Mil","",_xlfn.IFNA(ROUND(INDEX(Spectrum!$N:$N,MATCH(RIGHT($B220,13)&amp;"|"&amp;$C220&amp;"|"&amp;$D220&amp;"|"&amp;AF$14&amp;"|"&amp;"CY2023Q3",Spectrum!$R:$R,0)),0),""))</f>
        <v/>
      </c>
      <c r="AG220" s="88" t="str">
        <f aca="false">IF(OR(LEFT($B220,4)="_Mil",SUM($AD220)=0),"",SUM($AF220)/$AD220)</f>
        <v/>
      </c>
      <c r="AH220" s="86" t="str">
        <f aca="false">IF(LEFT($B220,4)="_Mil","",_xlfn.IFNA(INDEX(Spectrum!$N:$N,MATCH(RIGHT($B220,13)&amp;"|"&amp;$C220&amp;"|"&amp;$D220&amp;"|"&amp;AH$14&amp;"|"&amp;"CY2023Q3",Spectrum!$R:$R,0)),""))</f>
        <v/>
      </c>
      <c r="AI220" s="10" t="str">
        <f aca="false">IF(LEFT($B220,4)="_Mil","",_xlfn.IFNA(ROUND(INDEX(Spectrum!$N:$N,MATCH(RIGHT($B220,13)&amp;"|"&amp;$C220&amp;"|"&amp;$D220&amp;"|"&amp;AI$14&amp;"|"&amp;"CY2023Q3",Spectrum!$R:$R,0)),0),""))</f>
        <v/>
      </c>
      <c r="AJ220" s="39" t="n">
        <f aca="false">IF(LEFT($B220,4)="_Mil","",_xlfn.IFNA(ROUND(INDEX(Spectrum!$N:$N,MATCH(RIGHT($B220,13)&amp;"|"&amp;$C220&amp;"|"&amp;$D220&amp;"|"&amp;AI$14&amp;"|"&amp;"CY2023Q3",Spectrum!$R:$R,0)),0),SUM($U220)+SUM($AI220)))</f>
        <v>0</v>
      </c>
      <c r="AK220" s="10" t="str">
        <f aca="false">IF(LEFT($B220,4)="_Mil","",_xlfn.IFNA(ROUND(INDEX(Spectrum!$N:$N,MATCH(RIGHT($B220,13)&amp;"|"&amp;$C220&amp;"|"&amp;$D220&amp;"|"&amp;AK$14&amp;"|"&amp;"CY2023Q3",Spectrum!$R:$R,0)),0),""))</f>
        <v/>
      </c>
      <c r="AL220" s="88" t="n">
        <f aca="false">IF(OR(LEFT($B220,4)="_Mil",$C220="&lt;01"),"",MAX(SUM($AA220),90%))</f>
        <v>1023</v>
      </c>
      <c r="AM220" s="10" t="n">
        <f aca="false">IF(OR(LEFT($B220,4)="_Mil",$C220="&lt;01"),"",ROUND(SUM($AJ220)*SUM($AL220),0))</f>
        <v>0</v>
      </c>
      <c r="AN220" s="10" t="str">
        <f aca="false">IF($C220="&lt;01",ROUND(INDEX(EID!$P:$P,MATCH($B220,EID!$B:$B,0))/2,0),"")</f>
        <v/>
      </c>
      <c r="AO220" s="10" t="n">
        <f aca="false">IF($C220="&lt;01",SUM($AN220),ROUND(SUM($AM220)*SUM($O220)/IF(SUM($Z220)=0,1,$Z220),0))</f>
        <v>0</v>
      </c>
      <c r="AP220" s="39" t="n">
        <f aca="false">IF(OR($F220="",$C220="&lt;01"),$AO220,$F220)</f>
        <v>0</v>
      </c>
      <c r="AQ220" s="39" t="n">
        <f aca="false">IF(LEFT($B220,4)="_Mil","",IF(SUM($AP220)=0,SUM($Z220),IF(OR(SUM($Z220)=0,SUM($O220)=0),MAX($AP220,$Z220),$AP220*$Z220/$O220)))</f>
        <v>771</v>
      </c>
      <c r="AR220" s="88" t="str">
        <f aca="false">IF(OR(LEFT($B220,4)="_Mil",SUM($AJ220)=0),"",SUM($AQ220)/$AJ220)</f>
        <v/>
      </c>
      <c r="AS220" s="88" t="n">
        <f aca="false">IF($C220="&lt;01","",98%)</f>
        <v>0.98</v>
      </c>
      <c r="AT220" s="88" t="n">
        <f aca="false">IF($C220="&lt;01","",98%)</f>
        <v>0.98</v>
      </c>
      <c r="AU220" s="10" t="n">
        <f aca="false">IF($C220="&lt;01","",SUM($AP220)-SUM($O220))</f>
        <v>0</v>
      </c>
      <c r="AV220" s="10" t="n">
        <f aca="false">IF($C220="&lt;01",ROUND(INDEX(EID!$N:$N,MATCH($B220,EID!$B:$B,0))/2,0),IF(SUM($AT220)=0,"",ROUND((SUM($AP220)-(SUM($O220)*SUM($AS220)))/$AT220,0)))</f>
        <v>0</v>
      </c>
      <c r="AW220" s="88" t="n">
        <f aca="false">IF($C220="&lt;01","",100%)</f>
        <v>1</v>
      </c>
      <c r="AX220" s="39" t="n">
        <f aca="false">IF($C220="&lt;01",SUM($AV220),ROUND(SUM($AV220)*SUM($AW220),0))</f>
        <v>0</v>
      </c>
      <c r="AY220" s="114" t="n">
        <f aca="false">IF($C220="&lt;01","",70%)</f>
        <v>0.7</v>
      </c>
      <c r="AZ220" s="91" t="n">
        <f aca="false">IF($C220="&lt;01",ROUND(INDEX(EID!$R:$R,MATCH($B220,EID!$B:$B,0))/2,0),ROUND(SUM($O220)+(SUM($AV220)*$AY220),0))</f>
        <v>0</v>
      </c>
      <c r="BA220" s="87" t="n">
        <f aca="false">IF($C220="&lt;01","",95%)</f>
        <v>0.95</v>
      </c>
      <c r="BB220" s="5" t="n">
        <f aca="false">IF($C220="&lt;01",ROUND(INDEX(EID!$T:$T,MATCH($B220,EID!$B:$B,0))/2,0),ROUND($AZ220*$BA220,0))</f>
        <v>0</v>
      </c>
      <c r="BC220" s="91" t="n">
        <f aca="false">IF(LEFT($B220,4)="_Mil","",IF(SUM($BB220)=0,SUM($AD220),IF(OR(SUM($AP220)=0,SUM($AQ220)=0),MAX($BB220,$AD220),ROUND($BB220*$AQ220/$AP220,0))))</f>
        <v>0</v>
      </c>
      <c r="BD220" s="88" t="n">
        <f aca="false">IF($C220="&lt;01","",95%)</f>
        <v>0.95</v>
      </c>
      <c r="BE220" s="39" t="n">
        <f aca="false">IF($C220="&lt;01",ROUND(INDEX(EID!$V:$V,MATCH($B220,EID!$B:$B,0))/2,0),ROUND($BD220*$BB220,0))</f>
        <v>0</v>
      </c>
      <c r="BF220" s="39" t="n">
        <f aca="false">IF(LEFT($B220,4)="_Mil","",IF(SUM($BE220)=0,SUM($AF220),IF(OR(SUM($AP220)=0,SUM($AQ220)=0),MAX($BE220,$AF220),ROUND($BE220*$AQ220/$AP220,0))))</f>
        <v>0</v>
      </c>
      <c r="BG220" s="114" t="n">
        <f aca="false">IF($C220="&lt;01","",95%)</f>
        <v>0.95</v>
      </c>
      <c r="BH220" s="5" t="n">
        <f aca="false">IF($C220="&lt;01",ROUND(INDEX(EID!$L:$L,MATCH($B220,EID!$B:$B,0)),0)/2,IF(SUM($BG220)=0,"",ROUND($AX220/$BG220,0)))</f>
        <v>0</v>
      </c>
    </row>
    <row r="221" customFormat="false" ht="15" hidden="false" customHeight="false" outlineLevel="0" collapsed="false">
      <c r="A221" s="0" t="str">
        <f aca="false">INDEX(Prioritization!$D:$D,MATCH($B221,Prioritization!$A:$A,0))</f>
        <v>INVALID</v>
      </c>
      <c r="B221" s="0" t="s">
        <v>208</v>
      </c>
      <c r="C221" s="0" t="s">
        <v>367</v>
      </c>
      <c r="D221" s="0" t="s">
        <v>30</v>
      </c>
      <c r="E221" s="0" t="str">
        <f aca="false">$B221&amp;"|"&amp;$C221&amp;"|"&amp;$D221</f>
        <v>Nkhata Bay District [E7zpfyBt7Tw]|35-49|Female</v>
      </c>
      <c r="F221" s="10"/>
      <c r="G221" s="10"/>
      <c r="H221" s="10"/>
      <c r="I221" s="10"/>
      <c r="J221" s="10"/>
      <c r="K221" s="10"/>
      <c r="L221" s="10"/>
      <c r="M221" s="10"/>
      <c r="N221" s="10"/>
      <c r="O221" s="10" t="str">
        <f aca="false">IFERROR(1/(1/MAX($I221,$N221)),"")</f>
        <v/>
      </c>
      <c r="P221" s="10"/>
      <c r="Q221" s="10"/>
      <c r="R221" s="10" t="str">
        <f aca="false">IF(AND(SUM($I221)=0,SUM($O221)=0),"",SUM($O221)-$I221)</f>
        <v/>
      </c>
      <c r="S221" s="10" t="n">
        <f aca="false">IF(LEFT($B221,4)="_Mil","",_xlfn.IFNA(ROUND(INDEX(Spectrum!$N:$N,MATCH(RIGHT($B221,13)&amp;"|"&amp;$C221&amp;"|"&amp;$D221&amp;"|"&amp;S$14&amp;"|"&amp;"CY2022Q4",Spectrum!$R:$R,0)),0),""))</f>
        <v>893</v>
      </c>
      <c r="T221" s="39" t="n">
        <f aca="false">IF(LEFT($B221,4)="_Mil","",_xlfn.IFNA(ROUND(INDEX(Spectrum!$N:$N,MATCH(RIGHT($B221,13)&amp;"|"&amp;$C221&amp;"|"&amp;$D221&amp;"|"&amp;T$14&amp;"|"&amp;"CY2023Q3",Spectrum!$R:$R,0)),0),""))</f>
        <v>1315</v>
      </c>
      <c r="U221" s="39" t="str">
        <f aca="false">IF(LEFT($B221,4)="_Mil","",_xlfn.IFNA(ROUND(INDEX(Spectrum!$N:$N,MATCH(RIGHT($B221,13)&amp;"|"&amp;$C221&amp;"|"&amp;$D221&amp;"|"&amp;U$14&amp;"|"&amp;"CY2023Q3",Spectrum!$R:$R,0)),0),""))</f>
        <v/>
      </c>
      <c r="V221" s="10" t="n">
        <f aca="false">IF(LEFT($B221,4)="_Mil","",_xlfn.IFNA(ROUND(INDEX(Spectrum!$N:$N,MATCH(RIGHT($B221,13)&amp;"|"&amp;$C221&amp;"|"&amp;$D221&amp;"|"&amp;V$14&amp;"|"&amp;"CY2023Q3",Spectrum!$R:$R,0)),0),""))</f>
        <v>1748</v>
      </c>
      <c r="W221" s="113" t="n">
        <f aca="false">IF(LEFT($B221,4)="_Mil","",_xlfn.IFNA(INDEX(Spectrum!$N:$N,MATCH(RIGHT($B221,13)&amp;"|"&amp;$C221&amp;"|"&amp;$D221&amp;"|"&amp;W$14&amp;"|"&amp;"CY2023Q3",Spectrum!$R:$R,0)),""))</f>
        <v>811</v>
      </c>
      <c r="X221" s="39" t="n">
        <f aca="false">IF(LEFT($B221,4)="_Mil","",_xlfn.IFNA(ROUND(INDEX(Spectrum!$N:$N,MATCH(RIGHT($B221,13)&amp;"|"&amp;$C221&amp;"|"&amp;$D221&amp;"|"&amp;X$14&amp;"|"&amp;"CY2023Q3",Spectrum!$R:$R,0)),0),""))</f>
        <v>882</v>
      </c>
      <c r="Y221" s="88" t="str">
        <f aca="false">IF(OR(SUM($U221)=0,LEFT($B221,4)="_Mil"),"",SUM($X221)/$U221)</f>
        <v/>
      </c>
      <c r="Z221" s="39" t="n">
        <f aca="false">IF(LEFT($B221,4)="_Mil","",_xlfn.IFNA(ROUND(INDEX(Spectrum!$N:$N,MATCH(RIGHT($B221,13)&amp;"|"&amp;$C221&amp;"|"&amp;$D221&amp;"|"&amp;Z$14&amp;"|"&amp;"CY2023Q3",Spectrum!$R:$R,0)),0),""))</f>
        <v>1275</v>
      </c>
      <c r="AA221" s="88" t="n">
        <f aca="false">IF(LEFT($B221,4)="_Mil","",IFERROR(1/(1/INDEX(Spectrum!$N:$N,MATCH(RIGHT($B221,13)&amp;"|"&amp;$C221&amp;"|"&amp;$D221&amp;"|"&amp;AA$14&amp;"|"&amp;"CY2023Q3",Spectrum!$R:$R,0))),IF(SUM($U221)=0,"",SUM($Z221)/$U221)))</f>
        <v>665</v>
      </c>
      <c r="AB221" s="88" t="n">
        <f aca="false">IF(OR(LEFT($B221,4)="_Mil",SUM($X221)=0),"",SUM($Z221)/$X221)</f>
        <v>1.44557823129252</v>
      </c>
      <c r="AC221" s="10" t="n">
        <f aca="false">IF(LEFT($B221,4)="_Mil","",_xlfn.IFNA(ROUND(INDEX(Spectrum!$N:$N,MATCH(RIGHT($B221,13)&amp;"|"&amp;$C221&amp;"|"&amp;$D221&amp;"|"&amp;AC$14&amp;"|"&amp;"CY2023Q3",Spectrum!$R:$R,0)),0),""))</f>
        <v>984</v>
      </c>
      <c r="AD221" s="10" t="str">
        <f aca="false">IF(LEFT($B221,4)="_Mil","",_xlfn.IFNA(ROUND(INDEX(Spectrum!$N:$N,MATCH(RIGHT($B221,13)&amp;"|"&amp;$C221&amp;"|"&amp;$D221&amp;"|"&amp;AD$14&amp;"|"&amp;"CY2023Q3",Spectrum!$R:$R,0)),0),""))</f>
        <v/>
      </c>
      <c r="AE221" s="88" t="n">
        <f aca="false">IF(OR(LEFT($B221,4)="_Mil",SUM($Z221)=0),"",SUM($AD221)/$Z221)</f>
        <v>0</v>
      </c>
      <c r="AF221" s="39" t="str">
        <f aca="false">IF(LEFT($B221,4)="_Mil","",_xlfn.IFNA(ROUND(INDEX(Spectrum!$N:$N,MATCH(RIGHT($B221,13)&amp;"|"&amp;$C221&amp;"|"&amp;$D221&amp;"|"&amp;AF$14&amp;"|"&amp;"CY2023Q3",Spectrum!$R:$R,0)),0),""))</f>
        <v/>
      </c>
      <c r="AG221" s="88" t="str">
        <f aca="false">IF(OR(LEFT($B221,4)="_Mil",SUM($AD221)=0),"",SUM($AF221)/$AD221)</f>
        <v/>
      </c>
      <c r="AH221" s="86" t="str">
        <f aca="false">IF(LEFT($B221,4)="_Mil","",_xlfn.IFNA(INDEX(Spectrum!$N:$N,MATCH(RIGHT($B221,13)&amp;"|"&amp;$C221&amp;"|"&amp;$D221&amp;"|"&amp;AH$14&amp;"|"&amp;"CY2023Q3",Spectrum!$R:$R,0)),""))</f>
        <v/>
      </c>
      <c r="AI221" s="10" t="str">
        <f aca="false">IF(LEFT($B221,4)="_Mil","",_xlfn.IFNA(ROUND(INDEX(Spectrum!$N:$N,MATCH(RIGHT($B221,13)&amp;"|"&amp;$C221&amp;"|"&amp;$D221&amp;"|"&amp;AI$14&amp;"|"&amp;"CY2023Q3",Spectrum!$R:$R,0)),0),""))</f>
        <v/>
      </c>
      <c r="AJ221" s="39" t="n">
        <f aca="false">IF(LEFT($B221,4)="_Mil","",_xlfn.IFNA(ROUND(INDEX(Spectrum!$N:$N,MATCH(RIGHT($B221,13)&amp;"|"&amp;$C221&amp;"|"&amp;$D221&amp;"|"&amp;AI$14&amp;"|"&amp;"CY2023Q3",Spectrum!$R:$R,0)),0),SUM($U221)+SUM($AI221)))</f>
        <v>0</v>
      </c>
      <c r="AK221" s="10" t="str">
        <f aca="false">IF(LEFT($B221,4)="_Mil","",_xlfn.IFNA(ROUND(INDEX(Spectrum!$N:$N,MATCH(RIGHT($B221,13)&amp;"|"&amp;$C221&amp;"|"&amp;$D221&amp;"|"&amp;AK$14&amp;"|"&amp;"CY2023Q3",Spectrum!$R:$R,0)),0),""))</f>
        <v/>
      </c>
      <c r="AL221" s="88" t="n">
        <f aca="false">IF(OR(LEFT($B221,4)="_Mil",$C221="&lt;01"),"",MAX(SUM($AA221),90%))</f>
        <v>665</v>
      </c>
      <c r="AM221" s="10" t="n">
        <f aca="false">IF(OR(LEFT($B221,4)="_Mil",$C221="&lt;01"),"",ROUND(SUM($AJ221)*SUM($AL221),0))</f>
        <v>0</v>
      </c>
      <c r="AN221" s="10" t="str">
        <f aca="false">IF($C221="&lt;01",ROUND(INDEX(EID!$P:$P,MATCH($B221,EID!$B:$B,0))/2,0),"")</f>
        <v/>
      </c>
      <c r="AO221" s="10" t="n">
        <f aca="false">IF($C221="&lt;01",SUM($AN221),ROUND(SUM($AM221)*SUM($O221)/IF(SUM($Z221)=0,1,$Z221),0))</f>
        <v>0</v>
      </c>
      <c r="AP221" s="39" t="n">
        <f aca="false">IF(OR($F221="",$C221="&lt;01"),$AO221,$F221)</f>
        <v>0</v>
      </c>
      <c r="AQ221" s="39" t="n">
        <f aca="false">IF(LEFT($B221,4)="_Mil","",IF(SUM($AP221)=0,SUM($Z221),IF(OR(SUM($Z221)=0,SUM($O221)=0),MAX($AP221,$Z221),$AP221*$Z221/$O221)))</f>
        <v>1275</v>
      </c>
      <c r="AR221" s="88" t="str">
        <f aca="false">IF(OR(LEFT($B221,4)="_Mil",SUM($AJ221)=0),"",SUM($AQ221)/$AJ221)</f>
        <v/>
      </c>
      <c r="AS221" s="88" t="n">
        <f aca="false">IF($C221="&lt;01","",98%)</f>
        <v>0.98</v>
      </c>
      <c r="AT221" s="88" t="n">
        <f aca="false">IF($C221="&lt;01","",98%)</f>
        <v>0.98</v>
      </c>
      <c r="AU221" s="10" t="n">
        <f aca="false">IF($C221="&lt;01","",SUM($AP221)-SUM($O221))</f>
        <v>0</v>
      </c>
      <c r="AV221" s="10" t="n">
        <f aca="false">IF($C221="&lt;01",ROUND(INDEX(EID!$N:$N,MATCH($B221,EID!$B:$B,0))/2,0),IF(SUM($AT221)=0,"",ROUND((SUM($AP221)-(SUM($O221)*SUM($AS221)))/$AT221,0)))</f>
        <v>0</v>
      </c>
      <c r="AW221" s="88" t="n">
        <f aca="false">IF($C221="&lt;01","",100%)</f>
        <v>1</v>
      </c>
      <c r="AX221" s="39" t="n">
        <f aca="false">IF($C221="&lt;01",SUM($AV221),ROUND(SUM($AV221)*SUM($AW221),0))</f>
        <v>0</v>
      </c>
      <c r="AY221" s="114" t="n">
        <f aca="false">IF($C221="&lt;01","",70%)</f>
        <v>0.7</v>
      </c>
      <c r="AZ221" s="91" t="n">
        <f aca="false">IF($C221="&lt;01",ROUND(INDEX(EID!$R:$R,MATCH($B221,EID!$B:$B,0))/2,0),ROUND(SUM($O221)+(SUM($AV221)*$AY221),0))</f>
        <v>0</v>
      </c>
      <c r="BA221" s="87" t="n">
        <f aca="false">IF($C221="&lt;01","",95%)</f>
        <v>0.95</v>
      </c>
      <c r="BB221" s="5" t="n">
        <f aca="false">IF($C221="&lt;01",ROUND(INDEX(EID!$T:$T,MATCH($B221,EID!$B:$B,0))/2,0),ROUND($AZ221*$BA221,0))</f>
        <v>0</v>
      </c>
      <c r="BC221" s="91" t="n">
        <f aca="false">IF(LEFT($B221,4)="_Mil","",IF(SUM($BB221)=0,SUM($AD221),IF(OR(SUM($AP221)=0,SUM($AQ221)=0),MAX($BB221,$AD221),ROUND($BB221*$AQ221/$AP221,0))))</f>
        <v>0</v>
      </c>
      <c r="BD221" s="88" t="n">
        <f aca="false">IF($C221="&lt;01","",95%)</f>
        <v>0.95</v>
      </c>
      <c r="BE221" s="39" t="n">
        <f aca="false">IF($C221="&lt;01",ROUND(INDEX(EID!$V:$V,MATCH($B221,EID!$B:$B,0))/2,0),ROUND($BD221*$BB221,0))</f>
        <v>0</v>
      </c>
      <c r="BF221" s="39" t="n">
        <f aca="false">IF(LEFT($B221,4)="_Mil","",IF(SUM($BE221)=0,SUM($AF221),IF(OR(SUM($AP221)=0,SUM($AQ221)=0),MAX($BE221,$AF221),ROUND($BE221*$AQ221/$AP221,0))))</f>
        <v>0</v>
      </c>
      <c r="BG221" s="114" t="n">
        <f aca="false">IF($C221="&lt;01","",95%)</f>
        <v>0.95</v>
      </c>
      <c r="BH221" s="5" t="n">
        <f aca="false">IF($C221="&lt;01",ROUND(INDEX(EID!$L:$L,MATCH($B221,EID!$B:$B,0)),0)/2,IF(SUM($BG221)=0,"",ROUND($AX221/$BG221,0)))</f>
        <v>0</v>
      </c>
    </row>
    <row r="222" customFormat="false" ht="15" hidden="false" customHeight="false" outlineLevel="0" collapsed="false">
      <c r="A222" s="0" t="str">
        <f aca="false">INDEX(Prioritization!$D:$D,MATCH($B222,Prioritization!$A:$A,0))</f>
        <v>INVALID</v>
      </c>
      <c r="B222" s="0" t="s">
        <v>208</v>
      </c>
      <c r="C222" s="0" t="s">
        <v>367</v>
      </c>
      <c r="D222" s="0" t="s">
        <v>48</v>
      </c>
      <c r="E222" s="0" t="str">
        <f aca="false">$B222&amp;"|"&amp;$C222&amp;"|"&amp;$D222</f>
        <v>Nkhata Bay District [E7zpfyBt7Tw]|35-49|Male</v>
      </c>
      <c r="F222" s="10"/>
      <c r="G222" s="10"/>
      <c r="H222" s="10"/>
      <c r="I222" s="10"/>
      <c r="J222" s="10"/>
      <c r="K222" s="10"/>
      <c r="L222" s="10"/>
      <c r="M222" s="10"/>
      <c r="N222" s="10"/>
      <c r="O222" s="10" t="str">
        <f aca="false">IFERROR(1/(1/MAX($I222,$N222)),"")</f>
        <v/>
      </c>
      <c r="P222" s="10"/>
      <c r="Q222" s="10"/>
      <c r="R222" s="10" t="str">
        <f aca="false">IF(AND(SUM($I222)=0,SUM($O222)=0),"",SUM($O222)-$I222)</f>
        <v/>
      </c>
      <c r="S222" s="10" t="n">
        <f aca="false">IF(LEFT($B222,4)="_Mil","",_xlfn.IFNA(ROUND(INDEX(Spectrum!$N:$N,MATCH(RIGHT($B222,13)&amp;"|"&amp;$C222&amp;"|"&amp;$D222&amp;"|"&amp;S$14&amp;"|"&amp;"CY2022Q4",Spectrum!$R:$R,0)),0),""))</f>
        <v>805</v>
      </c>
      <c r="T222" s="39" t="n">
        <f aca="false">IF(LEFT($B222,4)="_Mil","",_xlfn.IFNA(ROUND(INDEX(Spectrum!$N:$N,MATCH(RIGHT($B222,13)&amp;"|"&amp;$C222&amp;"|"&amp;$D222&amp;"|"&amp;T$14&amp;"|"&amp;"CY2023Q3",Spectrum!$R:$R,0)),0),""))</f>
        <v>1335</v>
      </c>
      <c r="U222" s="39" t="str">
        <f aca="false">IF(LEFT($B222,4)="_Mil","",_xlfn.IFNA(ROUND(INDEX(Spectrum!$N:$N,MATCH(RIGHT($B222,13)&amp;"|"&amp;$C222&amp;"|"&amp;$D222&amp;"|"&amp;U$14&amp;"|"&amp;"CY2023Q3",Spectrum!$R:$R,0)),0),""))</f>
        <v/>
      </c>
      <c r="V222" s="10" t="n">
        <f aca="false">IF(LEFT($B222,4)="_Mil","",_xlfn.IFNA(ROUND(INDEX(Spectrum!$N:$N,MATCH(RIGHT($B222,13)&amp;"|"&amp;$C222&amp;"|"&amp;$D222&amp;"|"&amp;V$14&amp;"|"&amp;"CY2023Q3",Spectrum!$R:$R,0)),0),""))</f>
        <v>1098</v>
      </c>
      <c r="W222" s="113" t="n">
        <f aca="false">IF(LEFT($B222,4)="_Mil","",_xlfn.IFNA(INDEX(Spectrum!$N:$N,MATCH(RIGHT($B222,13)&amp;"|"&amp;$C222&amp;"|"&amp;$D222&amp;"|"&amp;W$14&amp;"|"&amp;"CY2023Q3",Spectrum!$R:$R,0)),""))</f>
        <v>940</v>
      </c>
      <c r="X222" s="39" t="n">
        <f aca="false">IF(LEFT($B222,4)="_Mil","",_xlfn.IFNA(ROUND(INDEX(Spectrum!$N:$N,MATCH(RIGHT($B222,13)&amp;"|"&amp;$C222&amp;"|"&amp;$D222&amp;"|"&amp;X$14&amp;"|"&amp;"CY2023Q3",Spectrum!$R:$R,0)),0),""))</f>
        <v>1183</v>
      </c>
      <c r="Y222" s="88" t="str">
        <f aca="false">IF(OR(SUM($U222)=0,LEFT($B222,4)="_Mil"),"",SUM($X222)/$U222)</f>
        <v/>
      </c>
      <c r="Z222" s="39" t="n">
        <f aca="false">IF(LEFT($B222,4)="_Mil","",_xlfn.IFNA(ROUND(INDEX(Spectrum!$N:$N,MATCH(RIGHT($B222,13)&amp;"|"&amp;$C222&amp;"|"&amp;$D222&amp;"|"&amp;Z$14&amp;"|"&amp;"CY2023Q3",Spectrum!$R:$R,0)),0),""))</f>
        <v>1091</v>
      </c>
      <c r="AA222" s="88" t="n">
        <f aca="false">IF(LEFT($B222,4)="_Mil","",IFERROR(1/(1/INDEX(Spectrum!$N:$N,MATCH(RIGHT($B222,13)&amp;"|"&amp;$C222&amp;"|"&amp;$D222&amp;"|"&amp;AA$14&amp;"|"&amp;"CY2023Q3",Spectrum!$R:$R,0))),IF(SUM($U222)=0,"",SUM($Z222)/$U222)))</f>
        <v>1819</v>
      </c>
      <c r="AB222" s="88" t="n">
        <f aca="false">IF(OR(LEFT($B222,4)="_Mil",SUM($X222)=0),"",SUM($Z222)/$X222)</f>
        <v>0.922231614539307</v>
      </c>
      <c r="AC222" s="10" t="n">
        <f aca="false">IF(LEFT($B222,4)="_Mil","",_xlfn.IFNA(ROUND(INDEX(Spectrum!$N:$N,MATCH(RIGHT($B222,13)&amp;"|"&amp;$C222&amp;"|"&amp;$D222&amp;"|"&amp;AC$14&amp;"|"&amp;"CY2023Q3",Spectrum!$R:$R,0)),0),""))</f>
        <v>1551</v>
      </c>
      <c r="AD222" s="10" t="str">
        <f aca="false">IF(LEFT($B222,4)="_Mil","",_xlfn.IFNA(ROUND(INDEX(Spectrum!$N:$N,MATCH(RIGHT($B222,13)&amp;"|"&amp;$C222&amp;"|"&amp;$D222&amp;"|"&amp;AD$14&amp;"|"&amp;"CY2023Q3",Spectrum!$R:$R,0)),0),""))</f>
        <v/>
      </c>
      <c r="AE222" s="88" t="n">
        <f aca="false">IF(OR(LEFT($B222,4)="_Mil",SUM($Z222)=0),"",SUM($AD222)/$Z222)</f>
        <v>0</v>
      </c>
      <c r="AF222" s="39" t="str">
        <f aca="false">IF(LEFT($B222,4)="_Mil","",_xlfn.IFNA(ROUND(INDEX(Spectrum!$N:$N,MATCH(RIGHT($B222,13)&amp;"|"&amp;$C222&amp;"|"&amp;$D222&amp;"|"&amp;AF$14&amp;"|"&amp;"CY2023Q3",Spectrum!$R:$R,0)),0),""))</f>
        <v/>
      </c>
      <c r="AG222" s="88" t="str">
        <f aca="false">IF(OR(LEFT($B222,4)="_Mil",SUM($AD222)=0),"",SUM($AF222)/$AD222)</f>
        <v/>
      </c>
      <c r="AH222" s="86" t="str">
        <f aca="false">IF(LEFT($B222,4)="_Mil","",_xlfn.IFNA(INDEX(Spectrum!$N:$N,MATCH(RIGHT($B222,13)&amp;"|"&amp;$C222&amp;"|"&amp;$D222&amp;"|"&amp;AH$14&amp;"|"&amp;"CY2023Q3",Spectrum!$R:$R,0)),""))</f>
        <v/>
      </c>
      <c r="AI222" s="10" t="str">
        <f aca="false">IF(LEFT($B222,4)="_Mil","",_xlfn.IFNA(ROUND(INDEX(Spectrum!$N:$N,MATCH(RIGHT($B222,13)&amp;"|"&amp;$C222&amp;"|"&amp;$D222&amp;"|"&amp;AI$14&amp;"|"&amp;"CY2023Q3",Spectrum!$R:$R,0)),0),""))</f>
        <v/>
      </c>
      <c r="AJ222" s="39" t="n">
        <f aca="false">IF(LEFT($B222,4)="_Mil","",_xlfn.IFNA(ROUND(INDEX(Spectrum!$N:$N,MATCH(RIGHT($B222,13)&amp;"|"&amp;$C222&amp;"|"&amp;$D222&amp;"|"&amp;AI$14&amp;"|"&amp;"CY2023Q3",Spectrum!$R:$R,0)),0),SUM($U222)+SUM($AI222)))</f>
        <v>0</v>
      </c>
      <c r="AK222" s="10" t="str">
        <f aca="false">IF(LEFT($B222,4)="_Mil","",_xlfn.IFNA(ROUND(INDEX(Spectrum!$N:$N,MATCH(RIGHT($B222,13)&amp;"|"&amp;$C222&amp;"|"&amp;$D222&amp;"|"&amp;AK$14&amp;"|"&amp;"CY2023Q3",Spectrum!$R:$R,0)),0),""))</f>
        <v/>
      </c>
      <c r="AL222" s="88" t="n">
        <f aca="false">IF(OR(LEFT($B222,4)="_Mil",$C222="&lt;01"),"",MAX(SUM($AA222),90%))</f>
        <v>1819</v>
      </c>
      <c r="AM222" s="10" t="n">
        <f aca="false">IF(OR(LEFT($B222,4)="_Mil",$C222="&lt;01"),"",ROUND(SUM($AJ222)*SUM($AL222),0))</f>
        <v>0</v>
      </c>
      <c r="AN222" s="10" t="str">
        <f aca="false">IF($C222="&lt;01",ROUND(INDEX(EID!$P:$P,MATCH($B222,EID!$B:$B,0))/2,0),"")</f>
        <v/>
      </c>
      <c r="AO222" s="10" t="n">
        <f aca="false">IF($C222="&lt;01",SUM($AN222),ROUND(SUM($AM222)*SUM($O222)/IF(SUM($Z222)=0,1,$Z222),0))</f>
        <v>0</v>
      </c>
      <c r="AP222" s="39" t="n">
        <f aca="false">IF(OR($F222="",$C222="&lt;01"),$AO222,$F222)</f>
        <v>0</v>
      </c>
      <c r="AQ222" s="39" t="n">
        <f aca="false">IF(LEFT($B222,4)="_Mil","",IF(SUM($AP222)=0,SUM($Z222),IF(OR(SUM($Z222)=0,SUM($O222)=0),MAX($AP222,$Z222),$AP222*$Z222/$O222)))</f>
        <v>1091</v>
      </c>
      <c r="AR222" s="88" t="str">
        <f aca="false">IF(OR(LEFT($B222,4)="_Mil",SUM($AJ222)=0),"",SUM($AQ222)/$AJ222)</f>
        <v/>
      </c>
      <c r="AS222" s="88" t="n">
        <f aca="false">IF($C222="&lt;01","",98%)</f>
        <v>0.98</v>
      </c>
      <c r="AT222" s="88" t="n">
        <f aca="false">IF($C222="&lt;01","",98%)</f>
        <v>0.98</v>
      </c>
      <c r="AU222" s="10" t="n">
        <f aca="false">IF($C222="&lt;01","",SUM($AP222)-SUM($O222))</f>
        <v>0</v>
      </c>
      <c r="AV222" s="10" t="n">
        <f aca="false">IF($C222="&lt;01",ROUND(INDEX(EID!$N:$N,MATCH($B222,EID!$B:$B,0))/2,0),IF(SUM($AT222)=0,"",ROUND((SUM($AP222)-(SUM($O222)*SUM($AS222)))/$AT222,0)))</f>
        <v>0</v>
      </c>
      <c r="AW222" s="88" t="n">
        <f aca="false">IF($C222="&lt;01","",100%)</f>
        <v>1</v>
      </c>
      <c r="AX222" s="39" t="n">
        <f aca="false">IF($C222="&lt;01",SUM($AV222),ROUND(SUM($AV222)*SUM($AW222),0))</f>
        <v>0</v>
      </c>
      <c r="AY222" s="114" t="n">
        <f aca="false">IF($C222="&lt;01","",70%)</f>
        <v>0.7</v>
      </c>
      <c r="AZ222" s="91" t="n">
        <f aca="false">IF($C222="&lt;01",ROUND(INDEX(EID!$R:$R,MATCH($B222,EID!$B:$B,0))/2,0),ROUND(SUM($O222)+(SUM($AV222)*$AY222),0))</f>
        <v>0</v>
      </c>
      <c r="BA222" s="87" t="n">
        <f aca="false">IF($C222="&lt;01","",95%)</f>
        <v>0.95</v>
      </c>
      <c r="BB222" s="5" t="n">
        <f aca="false">IF($C222="&lt;01",ROUND(INDEX(EID!$T:$T,MATCH($B222,EID!$B:$B,0))/2,0),ROUND($AZ222*$BA222,0))</f>
        <v>0</v>
      </c>
      <c r="BC222" s="91" t="n">
        <f aca="false">IF(LEFT($B222,4)="_Mil","",IF(SUM($BB222)=0,SUM($AD222),IF(OR(SUM($AP222)=0,SUM($AQ222)=0),MAX($BB222,$AD222),ROUND($BB222*$AQ222/$AP222,0))))</f>
        <v>0</v>
      </c>
      <c r="BD222" s="88" t="n">
        <f aca="false">IF($C222="&lt;01","",95%)</f>
        <v>0.95</v>
      </c>
      <c r="BE222" s="39" t="n">
        <f aca="false">IF($C222="&lt;01",ROUND(INDEX(EID!$V:$V,MATCH($B222,EID!$B:$B,0))/2,0),ROUND($BD222*$BB222,0))</f>
        <v>0</v>
      </c>
      <c r="BF222" s="39" t="n">
        <f aca="false">IF(LEFT($B222,4)="_Mil","",IF(SUM($BE222)=0,SUM($AF222),IF(OR(SUM($AP222)=0,SUM($AQ222)=0),MAX($BE222,$AF222),ROUND($BE222*$AQ222/$AP222,0))))</f>
        <v>0</v>
      </c>
      <c r="BG222" s="114" t="n">
        <f aca="false">IF($C222="&lt;01","",95%)</f>
        <v>0.95</v>
      </c>
      <c r="BH222" s="5" t="n">
        <f aca="false">IF($C222="&lt;01",ROUND(INDEX(EID!$L:$L,MATCH($B222,EID!$B:$B,0)),0)/2,IF(SUM($BG222)=0,"",ROUND($AX222/$BG222,0)))</f>
        <v>0</v>
      </c>
    </row>
    <row r="223" customFormat="false" ht="15" hidden="false" customHeight="false" outlineLevel="0" collapsed="false">
      <c r="A223" s="0" t="str">
        <f aca="false">INDEX(Prioritization!$D:$D,MATCH($B223,Prioritization!$A:$A,0))</f>
        <v>INVALID</v>
      </c>
      <c r="B223" s="0" t="s">
        <v>208</v>
      </c>
      <c r="C223" s="0" t="s">
        <v>368</v>
      </c>
      <c r="D223" s="0" t="s">
        <v>30</v>
      </c>
      <c r="E223" s="0" t="str">
        <f aca="false">$B223&amp;"|"&amp;$C223&amp;"|"&amp;$D223</f>
        <v>Nkhata Bay District [E7zpfyBt7Tw]|50+|Female</v>
      </c>
      <c r="F223" s="10"/>
      <c r="G223" s="10"/>
      <c r="H223" s="10"/>
      <c r="I223" s="10"/>
      <c r="J223" s="10"/>
      <c r="K223" s="10"/>
      <c r="L223" s="10"/>
      <c r="M223" s="10"/>
      <c r="N223" s="10"/>
      <c r="O223" s="10" t="str">
        <f aca="false">IFERROR(1/(1/MAX($I223,$N223)),"")</f>
        <v/>
      </c>
      <c r="P223" s="10"/>
      <c r="Q223" s="10"/>
      <c r="R223" s="10" t="str">
        <f aca="false">IF(AND(SUM($I223)=0,SUM($O223)=0),"",SUM($O223)-$I223)</f>
        <v/>
      </c>
      <c r="S223" s="10" t="n">
        <f aca="false">IF(LEFT($B223,4)="_Mil","",_xlfn.IFNA(ROUND(INDEX(Spectrum!$N:$N,MATCH(RIGHT($B223,13)&amp;"|"&amp;$C223&amp;"|"&amp;$D223&amp;"|"&amp;S$14&amp;"|"&amp;"CY2022Q4",Spectrum!$R:$R,0)),0),""))</f>
        <v>911</v>
      </c>
      <c r="T223" s="39" t="n">
        <f aca="false">IF(LEFT($B223,4)="_Mil","",_xlfn.IFNA(ROUND(INDEX(Spectrum!$N:$N,MATCH(RIGHT($B223,13)&amp;"|"&amp;$C223&amp;"|"&amp;$D223&amp;"|"&amp;T$14&amp;"|"&amp;"CY2023Q3",Spectrum!$R:$R,0)),0),""))</f>
        <v>1406</v>
      </c>
      <c r="U223" s="39" t="str">
        <f aca="false">IF(LEFT($B223,4)="_Mil","",_xlfn.IFNA(ROUND(INDEX(Spectrum!$N:$N,MATCH(RIGHT($B223,13)&amp;"|"&amp;$C223&amp;"|"&amp;$D223&amp;"|"&amp;U$14&amp;"|"&amp;"CY2023Q3",Spectrum!$R:$R,0)),0),""))</f>
        <v/>
      </c>
      <c r="V223" s="10" t="n">
        <f aca="false">IF(LEFT($B223,4)="_Mil","",_xlfn.IFNA(ROUND(INDEX(Spectrum!$N:$N,MATCH(RIGHT($B223,13)&amp;"|"&amp;$C223&amp;"|"&amp;$D223&amp;"|"&amp;V$14&amp;"|"&amp;"CY2023Q3",Spectrum!$R:$R,0)),0),""))</f>
        <v>974</v>
      </c>
      <c r="W223" s="113" t="n">
        <f aca="false">IF(LEFT($B223,4)="_Mil","",_xlfn.IFNA(INDEX(Spectrum!$N:$N,MATCH(RIGHT($B223,13)&amp;"|"&amp;$C223&amp;"|"&amp;$D223&amp;"|"&amp;W$14&amp;"|"&amp;"CY2023Q3",Spectrum!$R:$R,0)),""))</f>
        <v>1237</v>
      </c>
      <c r="X223" s="39" t="n">
        <f aca="false">IF(LEFT($B223,4)="_Mil","",_xlfn.IFNA(ROUND(INDEX(Spectrum!$N:$N,MATCH(RIGHT($B223,13)&amp;"|"&amp;$C223&amp;"|"&amp;$D223&amp;"|"&amp;X$14&amp;"|"&amp;"CY2023Q3",Spectrum!$R:$R,0)),0),""))</f>
        <v>1866</v>
      </c>
      <c r="Y223" s="88" t="str">
        <f aca="false">IF(OR(SUM($U223)=0,LEFT($B223,4)="_Mil"),"",SUM($X223)/$U223)</f>
        <v/>
      </c>
      <c r="Z223" s="39" t="n">
        <f aca="false">IF(LEFT($B223,4)="_Mil","",_xlfn.IFNA(ROUND(INDEX(Spectrum!$N:$N,MATCH(RIGHT($B223,13)&amp;"|"&amp;$C223&amp;"|"&amp;$D223&amp;"|"&amp;Z$14&amp;"|"&amp;"CY2023Q3",Spectrum!$R:$R,0)),0),""))</f>
        <v>591</v>
      </c>
      <c r="AA223" s="88" t="n">
        <f aca="false">IF(LEFT($B223,4)="_Mil","",IFERROR(1/(1/INDEX(Spectrum!$N:$N,MATCH(RIGHT($B223,13)&amp;"|"&amp;$C223&amp;"|"&amp;$D223&amp;"|"&amp;AA$14&amp;"|"&amp;"CY2023Q3",Spectrum!$R:$R,0))),IF(SUM($U223)=0,"",SUM($Z223)/$U223)))</f>
        <v>1564</v>
      </c>
      <c r="AB223" s="88" t="n">
        <f aca="false">IF(OR(LEFT($B223,4)="_Mil",SUM($X223)=0),"",SUM($Z223)/$X223)</f>
        <v>0.316720257234727</v>
      </c>
      <c r="AC223" s="10" t="n">
        <f aca="false">IF(LEFT($B223,4)="_Mil","",_xlfn.IFNA(ROUND(INDEX(Spectrum!$N:$N,MATCH(RIGHT($B223,13)&amp;"|"&amp;$C223&amp;"|"&amp;$D223&amp;"|"&amp;AC$14&amp;"|"&amp;"CY2023Q3",Spectrum!$R:$R,0)),0),""))</f>
        <v>1067</v>
      </c>
      <c r="AD223" s="10" t="str">
        <f aca="false">IF(LEFT($B223,4)="_Mil","",_xlfn.IFNA(ROUND(INDEX(Spectrum!$N:$N,MATCH(RIGHT($B223,13)&amp;"|"&amp;$C223&amp;"|"&amp;$D223&amp;"|"&amp;AD$14&amp;"|"&amp;"CY2023Q3",Spectrum!$R:$R,0)),0),""))</f>
        <v/>
      </c>
      <c r="AE223" s="88" t="n">
        <f aca="false">IF(OR(LEFT($B223,4)="_Mil",SUM($Z223)=0),"",SUM($AD223)/$Z223)</f>
        <v>0</v>
      </c>
      <c r="AF223" s="39" t="str">
        <f aca="false">IF(LEFT($B223,4)="_Mil","",_xlfn.IFNA(ROUND(INDEX(Spectrum!$N:$N,MATCH(RIGHT($B223,13)&amp;"|"&amp;$C223&amp;"|"&amp;$D223&amp;"|"&amp;AF$14&amp;"|"&amp;"CY2023Q3",Spectrum!$R:$R,0)),0),""))</f>
        <v/>
      </c>
      <c r="AG223" s="88" t="str">
        <f aca="false">IF(OR(LEFT($B223,4)="_Mil",SUM($AD223)=0),"",SUM($AF223)/$AD223)</f>
        <v/>
      </c>
      <c r="AH223" s="86" t="str">
        <f aca="false">IF(LEFT($B223,4)="_Mil","",_xlfn.IFNA(INDEX(Spectrum!$N:$N,MATCH(RIGHT($B223,13)&amp;"|"&amp;$C223&amp;"|"&amp;$D223&amp;"|"&amp;AH$14&amp;"|"&amp;"CY2023Q3",Spectrum!$R:$R,0)),""))</f>
        <v/>
      </c>
      <c r="AI223" s="10" t="str">
        <f aca="false">IF(LEFT($B223,4)="_Mil","",_xlfn.IFNA(ROUND(INDEX(Spectrum!$N:$N,MATCH(RIGHT($B223,13)&amp;"|"&amp;$C223&amp;"|"&amp;$D223&amp;"|"&amp;AI$14&amp;"|"&amp;"CY2023Q3",Spectrum!$R:$R,0)),0),""))</f>
        <v/>
      </c>
      <c r="AJ223" s="39" t="n">
        <f aca="false">IF(LEFT($B223,4)="_Mil","",_xlfn.IFNA(ROUND(INDEX(Spectrum!$N:$N,MATCH(RIGHT($B223,13)&amp;"|"&amp;$C223&amp;"|"&amp;$D223&amp;"|"&amp;AI$14&amp;"|"&amp;"CY2023Q3",Spectrum!$R:$R,0)),0),SUM($U223)+SUM($AI223)))</f>
        <v>0</v>
      </c>
      <c r="AK223" s="10" t="str">
        <f aca="false">IF(LEFT($B223,4)="_Mil","",_xlfn.IFNA(ROUND(INDEX(Spectrum!$N:$N,MATCH(RIGHT($B223,13)&amp;"|"&amp;$C223&amp;"|"&amp;$D223&amp;"|"&amp;AK$14&amp;"|"&amp;"CY2023Q3",Spectrum!$R:$R,0)),0),""))</f>
        <v/>
      </c>
      <c r="AL223" s="88" t="n">
        <f aca="false">IF(OR(LEFT($B223,4)="_Mil",$C223="&lt;01"),"",MAX(SUM($AA223),90%))</f>
        <v>1564</v>
      </c>
      <c r="AM223" s="10" t="n">
        <f aca="false">IF(OR(LEFT($B223,4)="_Mil",$C223="&lt;01"),"",ROUND(SUM($AJ223)*SUM($AL223),0))</f>
        <v>0</v>
      </c>
      <c r="AN223" s="10" t="str">
        <f aca="false">IF($C223="&lt;01",ROUND(INDEX(EID!$P:$P,MATCH($B223,EID!$B:$B,0))/2,0),"")</f>
        <v/>
      </c>
      <c r="AO223" s="10" t="n">
        <f aca="false">IF($C223="&lt;01",SUM($AN223),ROUND(SUM($AM223)*SUM($O223)/IF(SUM($Z223)=0,1,$Z223),0))</f>
        <v>0</v>
      </c>
      <c r="AP223" s="39" t="n">
        <f aca="false">IF(OR($F223="",$C223="&lt;01"),$AO223,$F223)</f>
        <v>0</v>
      </c>
      <c r="AQ223" s="39" t="n">
        <f aca="false">IF(LEFT($B223,4)="_Mil","",IF(SUM($AP223)=0,SUM($Z223),IF(OR(SUM($Z223)=0,SUM($O223)=0),MAX($AP223,$Z223),$AP223*$Z223/$O223)))</f>
        <v>591</v>
      </c>
      <c r="AR223" s="88" t="str">
        <f aca="false">IF(OR(LEFT($B223,4)="_Mil",SUM($AJ223)=0),"",SUM($AQ223)/$AJ223)</f>
        <v/>
      </c>
      <c r="AS223" s="88" t="n">
        <f aca="false">IF($C223="&lt;01","",98%)</f>
        <v>0.98</v>
      </c>
      <c r="AT223" s="88" t="n">
        <f aca="false">IF($C223="&lt;01","",98%)</f>
        <v>0.98</v>
      </c>
      <c r="AU223" s="10" t="n">
        <f aca="false">IF($C223="&lt;01","",SUM($AP223)-SUM($O223))</f>
        <v>0</v>
      </c>
      <c r="AV223" s="10" t="n">
        <f aca="false">IF($C223="&lt;01",ROUND(INDEX(EID!$N:$N,MATCH($B223,EID!$B:$B,0))/2,0),IF(SUM($AT223)=0,"",ROUND((SUM($AP223)-(SUM($O223)*SUM($AS223)))/$AT223,0)))</f>
        <v>0</v>
      </c>
      <c r="AW223" s="88" t="n">
        <f aca="false">IF($C223="&lt;01","",100%)</f>
        <v>1</v>
      </c>
      <c r="AX223" s="39" t="n">
        <f aca="false">IF($C223="&lt;01",SUM($AV223),ROUND(SUM($AV223)*SUM($AW223),0))</f>
        <v>0</v>
      </c>
      <c r="AY223" s="114" t="n">
        <f aca="false">IF($C223="&lt;01","",70%)</f>
        <v>0.7</v>
      </c>
      <c r="AZ223" s="91" t="n">
        <f aca="false">IF($C223="&lt;01",ROUND(INDEX(EID!$R:$R,MATCH($B223,EID!$B:$B,0))/2,0),ROUND(SUM($O223)+(SUM($AV223)*$AY223),0))</f>
        <v>0</v>
      </c>
      <c r="BA223" s="87" t="n">
        <f aca="false">IF($C223="&lt;01","",95%)</f>
        <v>0.95</v>
      </c>
      <c r="BB223" s="5" t="n">
        <f aca="false">IF($C223="&lt;01",ROUND(INDEX(EID!$T:$T,MATCH($B223,EID!$B:$B,0))/2,0),ROUND($AZ223*$BA223,0))</f>
        <v>0</v>
      </c>
      <c r="BC223" s="91" t="n">
        <f aca="false">IF(LEFT($B223,4)="_Mil","",IF(SUM($BB223)=0,SUM($AD223),IF(OR(SUM($AP223)=0,SUM($AQ223)=0),MAX($BB223,$AD223),ROUND($BB223*$AQ223/$AP223,0))))</f>
        <v>0</v>
      </c>
      <c r="BD223" s="88" t="n">
        <f aca="false">IF($C223="&lt;01","",95%)</f>
        <v>0.95</v>
      </c>
      <c r="BE223" s="39" t="n">
        <f aca="false">IF($C223="&lt;01",ROUND(INDEX(EID!$V:$V,MATCH($B223,EID!$B:$B,0))/2,0),ROUND($BD223*$BB223,0))</f>
        <v>0</v>
      </c>
      <c r="BF223" s="39" t="n">
        <f aca="false">IF(LEFT($B223,4)="_Mil","",IF(SUM($BE223)=0,SUM($AF223),IF(OR(SUM($AP223)=0,SUM($AQ223)=0),MAX($BE223,$AF223),ROUND($BE223*$AQ223/$AP223,0))))</f>
        <v>0</v>
      </c>
      <c r="BG223" s="114" t="n">
        <f aca="false">IF($C223="&lt;01","",95%)</f>
        <v>0.95</v>
      </c>
      <c r="BH223" s="5" t="n">
        <f aca="false">IF($C223="&lt;01",ROUND(INDEX(EID!$L:$L,MATCH($B223,EID!$B:$B,0)),0)/2,IF(SUM($BG223)=0,"",ROUND($AX223/$BG223,0)))</f>
        <v>0</v>
      </c>
    </row>
    <row r="224" customFormat="false" ht="15" hidden="false" customHeight="false" outlineLevel="0" collapsed="false">
      <c r="A224" s="0" t="str">
        <f aca="false">INDEX(Prioritization!$D:$D,MATCH($B224,Prioritization!$A:$A,0))</f>
        <v>INVALID</v>
      </c>
      <c r="B224" s="0" t="s">
        <v>208</v>
      </c>
      <c r="C224" s="0" t="s">
        <v>368</v>
      </c>
      <c r="D224" s="0" t="s">
        <v>48</v>
      </c>
      <c r="E224" s="0" t="str">
        <f aca="false">$B224&amp;"|"&amp;$C224&amp;"|"&amp;$D224</f>
        <v>Nkhata Bay District [E7zpfyBt7Tw]|50+|Male</v>
      </c>
      <c r="F224" s="10"/>
      <c r="G224" s="10"/>
      <c r="H224" s="10"/>
      <c r="I224" s="10"/>
      <c r="J224" s="10"/>
      <c r="K224" s="10"/>
      <c r="L224" s="10"/>
      <c r="M224" s="10"/>
      <c r="N224" s="10"/>
      <c r="O224" s="10" t="str">
        <f aca="false">IFERROR(1/(1/MAX($I224,$N224)),"")</f>
        <v/>
      </c>
      <c r="P224" s="10"/>
      <c r="Q224" s="10"/>
      <c r="R224" s="10" t="str">
        <f aca="false">IF(AND(SUM($I224)=0,SUM($O224)=0),"",SUM($O224)-$I224)</f>
        <v/>
      </c>
      <c r="S224" s="10" t="n">
        <f aca="false">IF(LEFT($B224,4)="_Mil","",_xlfn.IFNA(ROUND(INDEX(Spectrum!$N:$N,MATCH(RIGHT($B224,13)&amp;"|"&amp;$C224&amp;"|"&amp;$D224&amp;"|"&amp;S$14&amp;"|"&amp;"CY2022Q4",Spectrum!$R:$R,0)),0),""))</f>
        <v>1303</v>
      </c>
      <c r="T224" s="39" t="n">
        <f aca="false">IF(LEFT($B224,4)="_Mil","",_xlfn.IFNA(ROUND(INDEX(Spectrum!$N:$N,MATCH(RIGHT($B224,13)&amp;"|"&amp;$C224&amp;"|"&amp;$D224&amp;"|"&amp;T$14&amp;"|"&amp;"CY2023Q3",Spectrum!$R:$R,0)),0),""))</f>
        <v>1684</v>
      </c>
      <c r="U224" s="39" t="str">
        <f aca="false">IF(LEFT($B224,4)="_Mil","",_xlfn.IFNA(ROUND(INDEX(Spectrum!$N:$N,MATCH(RIGHT($B224,13)&amp;"|"&amp;$C224&amp;"|"&amp;$D224&amp;"|"&amp;U$14&amp;"|"&amp;"CY2023Q3",Spectrum!$R:$R,0)),0),""))</f>
        <v/>
      </c>
      <c r="V224" s="10" t="n">
        <f aca="false">IF(LEFT($B224,4)="_Mil","",_xlfn.IFNA(ROUND(INDEX(Spectrum!$N:$N,MATCH(RIGHT($B224,13)&amp;"|"&amp;$C224&amp;"|"&amp;$D224&amp;"|"&amp;V$14&amp;"|"&amp;"CY2023Q3",Spectrum!$R:$R,0)),0),""))</f>
        <v>1097</v>
      </c>
      <c r="W224" s="113" t="n">
        <f aca="false">IF(LEFT($B224,4)="_Mil","",_xlfn.IFNA(INDEX(Spectrum!$N:$N,MATCH(RIGHT($B224,13)&amp;"|"&amp;$C224&amp;"|"&amp;$D224&amp;"|"&amp;W$14&amp;"|"&amp;"CY2023Q3",Spectrum!$R:$R,0)),""))</f>
        <v>575</v>
      </c>
      <c r="X224" s="39" t="n">
        <f aca="false">IF(LEFT($B224,4)="_Mil","",_xlfn.IFNA(ROUND(INDEX(Spectrum!$N:$N,MATCH(RIGHT($B224,13)&amp;"|"&amp;$C224&amp;"|"&amp;$D224&amp;"|"&amp;X$14&amp;"|"&amp;"CY2023Q3",Spectrum!$R:$R,0)),0),""))</f>
        <v>1399</v>
      </c>
      <c r="Y224" s="88" t="str">
        <f aca="false">IF(OR(SUM($U224)=0,LEFT($B224,4)="_Mil"),"",SUM($X224)/$U224)</f>
        <v/>
      </c>
      <c r="Z224" s="39" t="n">
        <f aca="false">IF(LEFT($B224,4)="_Mil","",_xlfn.IFNA(ROUND(INDEX(Spectrum!$N:$N,MATCH(RIGHT($B224,13)&amp;"|"&amp;$C224&amp;"|"&amp;$D224&amp;"|"&amp;Z$14&amp;"|"&amp;"CY2023Q3",Spectrum!$R:$R,0)),0),""))</f>
        <v>1170</v>
      </c>
      <c r="AA224" s="88" t="n">
        <f aca="false">IF(LEFT($B224,4)="_Mil","",IFERROR(1/(1/INDEX(Spectrum!$N:$N,MATCH(RIGHT($B224,13)&amp;"|"&amp;$C224&amp;"|"&amp;$D224&amp;"|"&amp;AA$14&amp;"|"&amp;"CY2023Q3",Spectrum!$R:$R,0))),IF(SUM($U224)=0,"",SUM($Z224)/$U224)))</f>
        <v>1677</v>
      </c>
      <c r="AB224" s="88" t="n">
        <f aca="false">IF(OR(LEFT($B224,4)="_Mil",SUM($X224)=0),"",SUM($Z224)/$X224)</f>
        <v>0.836311651179414</v>
      </c>
      <c r="AC224" s="10" t="n">
        <f aca="false">IF(LEFT($B224,4)="_Mil","",_xlfn.IFNA(ROUND(INDEX(Spectrum!$N:$N,MATCH(RIGHT($B224,13)&amp;"|"&amp;$C224&amp;"|"&amp;$D224&amp;"|"&amp;AC$14&amp;"|"&amp;"CY2023Q3",Spectrum!$R:$R,0)),0),""))</f>
        <v>1143</v>
      </c>
      <c r="AD224" s="10" t="str">
        <f aca="false">IF(LEFT($B224,4)="_Mil","",_xlfn.IFNA(ROUND(INDEX(Spectrum!$N:$N,MATCH(RIGHT($B224,13)&amp;"|"&amp;$C224&amp;"|"&amp;$D224&amp;"|"&amp;AD$14&amp;"|"&amp;"CY2023Q3",Spectrum!$R:$R,0)),0),""))</f>
        <v/>
      </c>
      <c r="AE224" s="88" t="n">
        <f aca="false">IF(OR(LEFT($B224,4)="_Mil",SUM($Z224)=0),"",SUM($AD224)/$Z224)</f>
        <v>0</v>
      </c>
      <c r="AF224" s="39" t="str">
        <f aca="false">IF(LEFT($B224,4)="_Mil","",_xlfn.IFNA(ROUND(INDEX(Spectrum!$N:$N,MATCH(RIGHT($B224,13)&amp;"|"&amp;$C224&amp;"|"&amp;$D224&amp;"|"&amp;AF$14&amp;"|"&amp;"CY2023Q3",Spectrum!$R:$R,0)),0),""))</f>
        <v/>
      </c>
      <c r="AG224" s="88" t="str">
        <f aca="false">IF(OR(LEFT($B224,4)="_Mil",SUM($AD224)=0),"",SUM($AF224)/$AD224)</f>
        <v/>
      </c>
      <c r="AH224" s="86" t="str">
        <f aca="false">IF(LEFT($B224,4)="_Mil","",_xlfn.IFNA(INDEX(Spectrum!$N:$N,MATCH(RIGHT($B224,13)&amp;"|"&amp;$C224&amp;"|"&amp;$D224&amp;"|"&amp;AH$14&amp;"|"&amp;"CY2023Q3",Spectrum!$R:$R,0)),""))</f>
        <v/>
      </c>
      <c r="AI224" s="10" t="str">
        <f aca="false">IF(LEFT($B224,4)="_Mil","",_xlfn.IFNA(ROUND(INDEX(Spectrum!$N:$N,MATCH(RIGHT($B224,13)&amp;"|"&amp;$C224&amp;"|"&amp;$D224&amp;"|"&amp;AI$14&amp;"|"&amp;"CY2023Q3",Spectrum!$R:$R,0)),0),""))</f>
        <v/>
      </c>
      <c r="AJ224" s="39" t="n">
        <f aca="false">IF(LEFT($B224,4)="_Mil","",_xlfn.IFNA(ROUND(INDEX(Spectrum!$N:$N,MATCH(RIGHT($B224,13)&amp;"|"&amp;$C224&amp;"|"&amp;$D224&amp;"|"&amp;AI$14&amp;"|"&amp;"CY2023Q3",Spectrum!$R:$R,0)),0),SUM($U224)+SUM($AI224)))</f>
        <v>0</v>
      </c>
      <c r="AK224" s="10" t="str">
        <f aca="false">IF(LEFT($B224,4)="_Mil","",_xlfn.IFNA(ROUND(INDEX(Spectrum!$N:$N,MATCH(RIGHT($B224,13)&amp;"|"&amp;$C224&amp;"|"&amp;$D224&amp;"|"&amp;AK$14&amp;"|"&amp;"CY2023Q3",Spectrum!$R:$R,0)),0),""))</f>
        <v/>
      </c>
      <c r="AL224" s="88" t="n">
        <f aca="false">IF(OR(LEFT($B224,4)="_Mil",$C224="&lt;01"),"",MAX(SUM($AA224),90%))</f>
        <v>1677</v>
      </c>
      <c r="AM224" s="10" t="n">
        <f aca="false">IF(OR(LEFT($B224,4)="_Mil",$C224="&lt;01"),"",ROUND(SUM($AJ224)*SUM($AL224),0))</f>
        <v>0</v>
      </c>
      <c r="AN224" s="10" t="str">
        <f aca="false">IF($C224="&lt;01",ROUND(INDEX(EID!$P:$P,MATCH($B224,EID!$B:$B,0))/2,0),"")</f>
        <v/>
      </c>
      <c r="AO224" s="10" t="n">
        <f aca="false">IF($C224="&lt;01",SUM($AN224),ROUND(SUM($AM224)*SUM($O224)/IF(SUM($Z224)=0,1,$Z224),0))</f>
        <v>0</v>
      </c>
      <c r="AP224" s="39" t="n">
        <f aca="false">IF(OR($F224="",$C224="&lt;01"),$AO224,$F224)</f>
        <v>0</v>
      </c>
      <c r="AQ224" s="39" t="n">
        <f aca="false">IF(LEFT($B224,4)="_Mil","",IF(SUM($AP224)=0,SUM($Z224),IF(OR(SUM($Z224)=0,SUM($O224)=0),MAX($AP224,$Z224),$AP224*$Z224/$O224)))</f>
        <v>1170</v>
      </c>
      <c r="AR224" s="88" t="str">
        <f aca="false">IF(OR(LEFT($B224,4)="_Mil",SUM($AJ224)=0),"",SUM($AQ224)/$AJ224)</f>
        <v/>
      </c>
      <c r="AS224" s="88" t="n">
        <f aca="false">IF($C224="&lt;01","",98%)</f>
        <v>0.98</v>
      </c>
      <c r="AT224" s="88" t="n">
        <f aca="false">IF($C224="&lt;01","",98%)</f>
        <v>0.98</v>
      </c>
      <c r="AU224" s="10" t="n">
        <f aca="false">IF($C224="&lt;01","",SUM($AP224)-SUM($O224))</f>
        <v>0</v>
      </c>
      <c r="AV224" s="10" t="n">
        <f aca="false">IF($C224="&lt;01",ROUND(INDEX(EID!$N:$N,MATCH($B224,EID!$B:$B,0))/2,0),IF(SUM($AT224)=0,"",ROUND((SUM($AP224)-(SUM($O224)*SUM($AS224)))/$AT224,0)))</f>
        <v>0</v>
      </c>
      <c r="AW224" s="88" t="n">
        <f aca="false">IF($C224="&lt;01","",100%)</f>
        <v>1</v>
      </c>
      <c r="AX224" s="39" t="n">
        <f aca="false">IF($C224="&lt;01",SUM($AV224),ROUND(SUM($AV224)*SUM($AW224),0))</f>
        <v>0</v>
      </c>
      <c r="AY224" s="114" t="n">
        <f aca="false">IF($C224="&lt;01","",70%)</f>
        <v>0.7</v>
      </c>
      <c r="AZ224" s="91" t="n">
        <f aca="false">IF($C224="&lt;01",ROUND(INDEX(EID!$R:$R,MATCH($B224,EID!$B:$B,0))/2,0),ROUND(SUM($O224)+(SUM($AV224)*$AY224),0))</f>
        <v>0</v>
      </c>
      <c r="BA224" s="87" t="n">
        <f aca="false">IF($C224="&lt;01","",95%)</f>
        <v>0.95</v>
      </c>
      <c r="BB224" s="5" t="n">
        <f aca="false">IF($C224="&lt;01",ROUND(INDEX(EID!$T:$T,MATCH($B224,EID!$B:$B,0))/2,0),ROUND($AZ224*$BA224,0))</f>
        <v>0</v>
      </c>
      <c r="BC224" s="91" t="n">
        <f aca="false">IF(LEFT($B224,4)="_Mil","",IF(SUM($BB224)=0,SUM($AD224),IF(OR(SUM($AP224)=0,SUM($AQ224)=0),MAX($BB224,$AD224),ROUND($BB224*$AQ224/$AP224,0))))</f>
        <v>0</v>
      </c>
      <c r="BD224" s="88" t="n">
        <f aca="false">IF($C224="&lt;01","",95%)</f>
        <v>0.95</v>
      </c>
      <c r="BE224" s="39" t="n">
        <f aca="false">IF($C224="&lt;01",ROUND(INDEX(EID!$V:$V,MATCH($B224,EID!$B:$B,0))/2,0),ROUND($BD224*$BB224,0))</f>
        <v>0</v>
      </c>
      <c r="BF224" s="39" t="n">
        <f aca="false">IF(LEFT($B224,4)="_Mil","",IF(SUM($BE224)=0,SUM($AF224),IF(OR(SUM($AP224)=0,SUM($AQ224)=0),MAX($BE224,$AF224),ROUND($BE224*$AQ224/$AP224,0))))</f>
        <v>0</v>
      </c>
      <c r="BG224" s="114" t="n">
        <f aca="false">IF($C224="&lt;01","",95%)</f>
        <v>0.95</v>
      </c>
      <c r="BH224" s="5" t="n">
        <f aca="false">IF($C224="&lt;01",ROUND(INDEX(EID!$L:$L,MATCH($B224,EID!$B:$B,0)),0)/2,IF(SUM($BG224)=0,"",ROUND($AX224/$BG224,0)))</f>
        <v>0</v>
      </c>
    </row>
    <row r="225" customFormat="false" ht="15" hidden="false" customHeight="false" outlineLevel="0" collapsed="false">
      <c r="A225" s="0" t="str">
        <f aca="false">INDEX(Prioritization!$D:$D,MATCH($B225,Prioritization!$A:$A,0))</f>
        <v>INVALID</v>
      </c>
      <c r="B225" s="0" t="s">
        <v>209</v>
      </c>
      <c r="C225" s="0" t="s">
        <v>316</v>
      </c>
      <c r="D225" s="0" t="s">
        <v>30</v>
      </c>
      <c r="E225" s="0" t="str">
        <f aca="false">$B225&amp;"|"&amp;$C225&amp;"|"&amp;$D225</f>
        <v>Rumphi District [lPTyjLi4w3d]|&lt;01|Female</v>
      </c>
      <c r="F225" s="10"/>
      <c r="G225" s="10" t="n">
        <v>6</v>
      </c>
      <c r="H225" s="10" t="n">
        <v>0</v>
      </c>
      <c r="I225" s="10" t="n">
        <v>1</v>
      </c>
      <c r="J225" s="10" t="n">
        <v>1</v>
      </c>
      <c r="K225" s="10" t="n">
        <v>1</v>
      </c>
      <c r="L225" s="10"/>
      <c r="M225" s="10" t="n">
        <v>0</v>
      </c>
      <c r="N225" s="10" t="n">
        <v>0</v>
      </c>
      <c r="O225" s="10" t="n">
        <f aca="false">IFERROR(1/(1/MAX($I225,$N225)),"")</f>
        <v>1</v>
      </c>
      <c r="P225" s="10" t="n">
        <v>1</v>
      </c>
      <c r="Q225" s="10" t="n">
        <v>1</v>
      </c>
      <c r="R225" s="10" t="n">
        <f aca="false">IF(AND(SUM($I225)=0,SUM($O225)=0),"",SUM($O225)-$I225)</f>
        <v>0</v>
      </c>
      <c r="S225" s="10" t="n">
        <f aca="false">IF(LEFT($B225,4)="_Mil","",_xlfn.IFNA(ROUND(INDEX(Spectrum!$N:$N,MATCH(RIGHT($B225,13)&amp;"|"&amp;$C225&amp;"|"&amp;$D225&amp;"|"&amp;S$14&amp;"|"&amp;"CY2022Q4",Spectrum!$R:$R,0)),0),""))</f>
        <v>1946</v>
      </c>
      <c r="T225" s="39" t="n">
        <f aca="false">IF(LEFT($B225,4)="_Mil","",_xlfn.IFNA(ROUND(INDEX(Spectrum!$N:$N,MATCH(RIGHT($B225,13)&amp;"|"&amp;$C225&amp;"|"&amp;$D225&amp;"|"&amp;T$14&amp;"|"&amp;"CY2023Q3",Spectrum!$R:$R,0)),0),""))</f>
        <v>665</v>
      </c>
      <c r="U225" s="39" t="str">
        <f aca="false">IF(LEFT($B225,4)="_Mil","",_xlfn.IFNA(ROUND(INDEX(Spectrum!$N:$N,MATCH(RIGHT($B225,13)&amp;"|"&amp;$C225&amp;"|"&amp;$D225&amp;"|"&amp;U$14&amp;"|"&amp;"CY2023Q3",Spectrum!$R:$R,0)),0),""))</f>
        <v/>
      </c>
      <c r="V225" s="10" t="n">
        <f aca="false">IF(LEFT($B225,4)="_Mil","",_xlfn.IFNA(ROUND(INDEX(Spectrum!$N:$N,MATCH(RIGHT($B225,13)&amp;"|"&amp;$C225&amp;"|"&amp;$D225&amp;"|"&amp;V$14&amp;"|"&amp;"CY2023Q3",Spectrum!$R:$R,0)),0),""))</f>
        <v>1788</v>
      </c>
      <c r="W225" s="113" t="n">
        <f aca="false">IF(LEFT($B225,4)="_Mil","",_xlfn.IFNA(INDEX(Spectrum!$N:$N,MATCH(RIGHT($B225,13)&amp;"|"&amp;$C225&amp;"|"&amp;$D225&amp;"|"&amp;W$14&amp;"|"&amp;"CY2023Q3",Spectrum!$R:$R,0)),""))</f>
        <v>1453</v>
      </c>
      <c r="X225" s="39" t="n">
        <f aca="false">IF(LEFT($B225,4)="_Mil","",_xlfn.IFNA(ROUND(INDEX(Spectrum!$N:$N,MATCH(RIGHT($B225,13)&amp;"|"&amp;$C225&amp;"|"&amp;$D225&amp;"|"&amp;X$14&amp;"|"&amp;"CY2023Q3",Spectrum!$R:$R,0)),0),""))</f>
        <v>1277</v>
      </c>
      <c r="Y225" s="88" t="str">
        <f aca="false">IF(OR(SUM($U225)=0,LEFT($B225,4)="_Mil"),"",SUM($X225)/$U225)</f>
        <v/>
      </c>
      <c r="Z225" s="39" t="n">
        <f aca="false">IF(LEFT($B225,4)="_Mil","",_xlfn.IFNA(ROUND(INDEX(Spectrum!$N:$N,MATCH(RIGHT($B225,13)&amp;"|"&amp;$C225&amp;"|"&amp;$D225&amp;"|"&amp;Z$14&amp;"|"&amp;"CY2023Q3",Spectrum!$R:$R,0)),0),""))</f>
        <v>675</v>
      </c>
      <c r="AA225" s="88" t="n">
        <f aca="false">IF(LEFT($B225,4)="_Mil","",IFERROR(1/(1/INDEX(Spectrum!$N:$N,MATCH(RIGHT($B225,13)&amp;"|"&amp;$C225&amp;"|"&amp;$D225&amp;"|"&amp;AA$14&amp;"|"&amp;"CY2023Q3",Spectrum!$R:$R,0))),IF(SUM($U225)=0,"",SUM($Z225)/$U225)))</f>
        <v>858</v>
      </c>
      <c r="AB225" s="88" t="n">
        <f aca="false">IF(OR(LEFT($B225,4)="_Mil",SUM($X225)=0),"",SUM($Z225)/$X225)</f>
        <v>0.52858261550509</v>
      </c>
      <c r="AC225" s="10" t="n">
        <f aca="false">IF(LEFT($B225,4)="_Mil","",_xlfn.IFNA(ROUND(INDEX(Spectrum!$N:$N,MATCH(RIGHT($B225,13)&amp;"|"&amp;$C225&amp;"|"&amp;$D225&amp;"|"&amp;AC$14&amp;"|"&amp;"CY2023Q3",Spectrum!$R:$R,0)),0),""))</f>
        <v>1974</v>
      </c>
      <c r="AD225" s="10" t="str">
        <f aca="false">IF(LEFT($B225,4)="_Mil","",_xlfn.IFNA(ROUND(INDEX(Spectrum!$N:$N,MATCH(RIGHT($B225,13)&amp;"|"&amp;$C225&amp;"|"&amp;$D225&amp;"|"&amp;AD$14&amp;"|"&amp;"CY2023Q3",Spectrum!$R:$R,0)),0),""))</f>
        <v/>
      </c>
      <c r="AE225" s="88" t="n">
        <f aca="false">IF(OR(LEFT($B225,4)="_Mil",SUM($Z225)=0),"",SUM($AD225)/$Z225)</f>
        <v>0</v>
      </c>
      <c r="AF225" s="39" t="str">
        <f aca="false">IF(LEFT($B225,4)="_Mil","",_xlfn.IFNA(ROUND(INDEX(Spectrum!$N:$N,MATCH(RIGHT($B225,13)&amp;"|"&amp;$C225&amp;"|"&amp;$D225&amp;"|"&amp;AF$14&amp;"|"&amp;"CY2023Q3",Spectrum!$R:$R,0)),0),""))</f>
        <v/>
      </c>
      <c r="AG225" s="88" t="str">
        <f aca="false">IF(OR(LEFT($B225,4)="_Mil",SUM($AD225)=0),"",SUM($AF225)/$AD225)</f>
        <v/>
      </c>
      <c r="AH225" s="86" t="str">
        <f aca="false">IF(LEFT($B225,4)="_Mil","",_xlfn.IFNA(INDEX(Spectrum!$N:$N,MATCH(RIGHT($B225,13)&amp;"|"&amp;$C225&amp;"|"&amp;$D225&amp;"|"&amp;AH$14&amp;"|"&amp;"CY2023Q3",Spectrum!$R:$R,0)),""))</f>
        <v/>
      </c>
      <c r="AI225" s="10" t="str">
        <f aca="false">IF(LEFT($B225,4)="_Mil","",_xlfn.IFNA(ROUND(INDEX(Spectrum!$N:$N,MATCH(RIGHT($B225,13)&amp;"|"&amp;$C225&amp;"|"&amp;$D225&amp;"|"&amp;AI$14&amp;"|"&amp;"CY2023Q3",Spectrum!$R:$R,0)),0),""))</f>
        <v/>
      </c>
      <c r="AJ225" s="39" t="n">
        <f aca="false">IF(LEFT($B225,4)="_Mil","",_xlfn.IFNA(ROUND(INDEX(Spectrum!$N:$N,MATCH(RIGHT($B225,13)&amp;"|"&amp;$C225&amp;"|"&amp;$D225&amp;"|"&amp;AI$14&amp;"|"&amp;"CY2023Q3",Spectrum!$R:$R,0)),0),SUM($U225)+SUM($AI225)))</f>
        <v>0</v>
      </c>
      <c r="AK225" s="10" t="str">
        <f aca="false">IF(LEFT($B225,4)="_Mil","",_xlfn.IFNA(ROUND(INDEX(Spectrum!$N:$N,MATCH(RIGHT($B225,13)&amp;"|"&amp;$C225&amp;"|"&amp;$D225&amp;"|"&amp;AK$14&amp;"|"&amp;"CY2023Q3",Spectrum!$R:$R,0)),0),""))</f>
        <v/>
      </c>
      <c r="AL225" s="88" t="str">
        <f aca="false">IF(OR(LEFT($B225,4)="_Mil",$C225="&lt;01"),"",MAX(SUM($AA225),90%))</f>
        <v/>
      </c>
      <c r="AM225" s="10" t="str">
        <f aca="false">IF(OR(LEFT($B225,4)="_Mil",$C225="&lt;01"),"",ROUND(SUM($AJ225)*SUM($AL225),0))</f>
        <v/>
      </c>
      <c r="AN225" s="10" t="n">
        <f aca="false">IF($C225="&lt;01",ROUND(INDEX(EID!$P:$P,MATCH($B225,EID!$B:$B,0))/2,0),"")</f>
        <v>0</v>
      </c>
      <c r="AO225" s="10" t="n">
        <f aca="false">IF($C225="&lt;01",SUM($AN225),ROUND(SUM($AM225)*SUM($O225)/IF(SUM($Z225)=0,1,$Z225),0))</f>
        <v>0</v>
      </c>
      <c r="AP225" s="39" t="n">
        <f aca="false">IF(OR($F225="",$C225="&lt;01"),$AO225,$F225)</f>
        <v>0</v>
      </c>
      <c r="AQ225" s="39" t="n">
        <f aca="false">IF(LEFT($B225,4)="_Mil","",IF(SUM($AP225)=0,SUM($Z225),IF(OR(SUM($Z225)=0,SUM($O225)=0),MAX($AP225,$Z225),$AP225*$Z225/$O225)))</f>
        <v>675</v>
      </c>
      <c r="AR225" s="88" t="str">
        <f aca="false">IF(OR(LEFT($B225,4)="_Mil",SUM($AJ225)=0),"",SUM($AQ225)/$AJ225)</f>
        <v/>
      </c>
      <c r="AS225" s="88" t="str">
        <f aca="false">IF($C225="&lt;01","",98%)</f>
        <v/>
      </c>
      <c r="AT225" s="88" t="str">
        <f aca="false">IF($C225="&lt;01","",98%)</f>
        <v/>
      </c>
      <c r="AU225" s="10" t="str">
        <f aca="false">IF($C225="&lt;01","",SUM($AP225)-SUM($O225))</f>
        <v/>
      </c>
      <c r="AV225" s="10" t="n">
        <f aca="false">IF($C225="&lt;01",ROUND(INDEX(EID!$N:$N,MATCH($B225,EID!$B:$B,0))/2,0),IF(SUM($AT225)=0,"",ROUND((SUM($AP225)-(SUM($O225)*SUM($AS225)))/$AT225,0)))</f>
        <v>0</v>
      </c>
      <c r="AW225" s="88" t="str">
        <f aca="false">IF($C225="&lt;01","",100%)</f>
        <v/>
      </c>
      <c r="AX225" s="39" t="n">
        <f aca="false">IF($C225="&lt;01",SUM($AV225),ROUND(SUM($AV225)*SUM($AW225),0))</f>
        <v>0</v>
      </c>
      <c r="AY225" s="114" t="str">
        <f aca="false">IF($C225="&lt;01","",70%)</f>
        <v/>
      </c>
      <c r="AZ225" s="91" t="n">
        <f aca="false">IF($C225="&lt;01",ROUND(INDEX(EID!$R:$R,MATCH($B225,EID!$B:$B,0))/2,0),ROUND(SUM($O225)+(SUM($AV225)*$AY225),0))</f>
        <v>0</v>
      </c>
      <c r="BA225" s="87" t="str">
        <f aca="false">IF($C225="&lt;01","",95%)</f>
        <v/>
      </c>
      <c r="BB225" s="5" t="n">
        <f aca="false">IF($C225="&lt;01",ROUND(INDEX(EID!$T:$T,MATCH($B225,EID!$B:$B,0))/2,0),ROUND($AZ225*$BA225,0))</f>
        <v>0</v>
      </c>
      <c r="BC225" s="91" t="n">
        <f aca="false">IF(LEFT($B225,4)="_Mil","",IF(SUM($BB225)=0,SUM($AD225),IF(OR(SUM($AP225)=0,SUM($AQ225)=0),MAX($BB225,$AD225),ROUND($BB225*$AQ225/$AP225,0))))</f>
        <v>0</v>
      </c>
      <c r="BD225" s="88" t="str">
        <f aca="false">IF($C225="&lt;01","",95%)</f>
        <v/>
      </c>
      <c r="BE225" s="39" t="n">
        <f aca="false">IF($C225="&lt;01",ROUND(INDEX(EID!$V:$V,MATCH($B225,EID!$B:$B,0))/2,0),ROUND($BD225*$BB225,0))</f>
        <v>0</v>
      </c>
      <c r="BF225" s="39" t="n">
        <f aca="false">IF(LEFT($B225,4)="_Mil","",IF(SUM($BE225)=0,SUM($AF225),IF(OR(SUM($AP225)=0,SUM($AQ225)=0),MAX($BE225,$AF225),ROUND($BE225*$AQ225/$AP225,0))))</f>
        <v>0</v>
      </c>
      <c r="BG225" s="114" t="str">
        <f aca="false">IF($C225="&lt;01","",95%)</f>
        <v/>
      </c>
      <c r="BH225" s="5" t="n">
        <f aca="false">IF($C225="&lt;01",ROUND(INDEX(EID!$L:$L,MATCH($B225,EID!$B:$B,0)),0)/2,IF(SUM($BG225)=0,"",ROUND($AX225/$BG225,0)))</f>
        <v>0</v>
      </c>
    </row>
    <row r="226" customFormat="false" ht="15" hidden="false" customHeight="false" outlineLevel="0" collapsed="false">
      <c r="A226" s="0" t="str">
        <f aca="false">INDEX(Prioritization!$D:$D,MATCH($B226,Prioritization!$A:$A,0))</f>
        <v>INVALID</v>
      </c>
      <c r="B226" s="0" t="s">
        <v>209</v>
      </c>
      <c r="C226" s="0" t="s">
        <v>316</v>
      </c>
      <c r="D226" s="0" t="s">
        <v>48</v>
      </c>
      <c r="E226" s="0" t="str">
        <f aca="false">$B226&amp;"|"&amp;$C226&amp;"|"&amp;$D226</f>
        <v>Rumphi District [lPTyjLi4w3d]|&lt;01|Male</v>
      </c>
      <c r="F226" s="10"/>
      <c r="G226" s="10" t="n">
        <v>4</v>
      </c>
      <c r="H226" s="10" t="n">
        <v>1</v>
      </c>
      <c r="I226" s="10" t="n">
        <v>1</v>
      </c>
      <c r="J226" s="10" t="n">
        <v>0</v>
      </c>
      <c r="K226" s="10" t="n">
        <v>0</v>
      </c>
      <c r="L226" s="10"/>
      <c r="M226" s="10" t="n">
        <v>0</v>
      </c>
      <c r="N226" s="10" t="n">
        <v>1</v>
      </c>
      <c r="O226" s="10" t="n">
        <f aca="false">IFERROR(1/(1/MAX($I226,$N226)),"")</f>
        <v>1</v>
      </c>
      <c r="P226" s="10" t="n">
        <v>0</v>
      </c>
      <c r="Q226" s="10" t="n">
        <v>1</v>
      </c>
      <c r="R226" s="10" t="n">
        <f aca="false">IF(AND(SUM($I226)=0,SUM($O226)=0),"",SUM($O226)-$I226)</f>
        <v>0</v>
      </c>
      <c r="S226" s="10" t="n">
        <f aca="false">IF(LEFT($B226,4)="_Mil","",_xlfn.IFNA(ROUND(INDEX(Spectrum!$N:$N,MATCH(RIGHT($B226,13)&amp;"|"&amp;$C226&amp;"|"&amp;$D226&amp;"|"&amp;S$14&amp;"|"&amp;"CY2022Q4",Spectrum!$R:$R,0)),0),""))</f>
        <v>1391</v>
      </c>
      <c r="T226" s="39" t="n">
        <f aca="false">IF(LEFT($B226,4)="_Mil","",_xlfn.IFNA(ROUND(INDEX(Spectrum!$N:$N,MATCH(RIGHT($B226,13)&amp;"|"&amp;$C226&amp;"|"&amp;$D226&amp;"|"&amp;T$14&amp;"|"&amp;"CY2023Q3",Spectrum!$R:$R,0)),0),""))</f>
        <v>924</v>
      </c>
      <c r="U226" s="39" t="str">
        <f aca="false">IF(LEFT($B226,4)="_Mil","",_xlfn.IFNA(ROUND(INDEX(Spectrum!$N:$N,MATCH(RIGHT($B226,13)&amp;"|"&amp;$C226&amp;"|"&amp;$D226&amp;"|"&amp;U$14&amp;"|"&amp;"CY2023Q3",Spectrum!$R:$R,0)),0),""))</f>
        <v/>
      </c>
      <c r="V226" s="10" t="n">
        <f aca="false">IF(LEFT($B226,4)="_Mil","",_xlfn.IFNA(ROUND(INDEX(Spectrum!$N:$N,MATCH(RIGHT($B226,13)&amp;"|"&amp;$C226&amp;"|"&amp;$D226&amp;"|"&amp;V$14&amp;"|"&amp;"CY2023Q3",Spectrum!$R:$R,0)),0),""))</f>
        <v>786</v>
      </c>
      <c r="W226" s="113" t="n">
        <f aca="false">IF(LEFT($B226,4)="_Mil","",_xlfn.IFNA(INDEX(Spectrum!$N:$N,MATCH(RIGHT($B226,13)&amp;"|"&amp;$C226&amp;"|"&amp;$D226&amp;"|"&amp;W$14&amp;"|"&amp;"CY2023Q3",Spectrum!$R:$R,0)),""))</f>
        <v>1271</v>
      </c>
      <c r="X226" s="39" t="n">
        <f aca="false">IF(LEFT($B226,4)="_Mil","",_xlfn.IFNA(ROUND(INDEX(Spectrum!$N:$N,MATCH(RIGHT($B226,13)&amp;"|"&amp;$C226&amp;"|"&amp;$D226&amp;"|"&amp;X$14&amp;"|"&amp;"CY2023Q3",Spectrum!$R:$R,0)),0),""))</f>
        <v>1000</v>
      </c>
      <c r="Y226" s="88" t="str">
        <f aca="false">IF(OR(SUM($U226)=0,LEFT($B226,4)="_Mil"),"",SUM($X226)/$U226)</f>
        <v/>
      </c>
      <c r="Z226" s="39" t="n">
        <f aca="false">IF(LEFT($B226,4)="_Mil","",_xlfn.IFNA(ROUND(INDEX(Spectrum!$N:$N,MATCH(RIGHT($B226,13)&amp;"|"&amp;$C226&amp;"|"&amp;$D226&amp;"|"&amp;Z$14&amp;"|"&amp;"CY2023Q3",Spectrum!$R:$R,0)),0),""))</f>
        <v>1884</v>
      </c>
      <c r="AA226" s="88" t="n">
        <f aca="false">IF(LEFT($B226,4)="_Mil","",IFERROR(1/(1/INDEX(Spectrum!$N:$N,MATCH(RIGHT($B226,13)&amp;"|"&amp;$C226&amp;"|"&amp;$D226&amp;"|"&amp;AA$14&amp;"|"&amp;"CY2023Q3",Spectrum!$R:$R,0))),IF(SUM($U226)=0,"",SUM($Z226)/$U226)))</f>
        <v>1472</v>
      </c>
      <c r="AB226" s="88" t="n">
        <f aca="false">IF(OR(LEFT($B226,4)="_Mil",SUM($X226)=0),"",SUM($Z226)/$X226)</f>
        <v>1.884</v>
      </c>
      <c r="AC226" s="10" t="n">
        <f aca="false">IF(LEFT($B226,4)="_Mil","",_xlfn.IFNA(ROUND(INDEX(Spectrum!$N:$N,MATCH(RIGHT($B226,13)&amp;"|"&amp;$C226&amp;"|"&amp;$D226&amp;"|"&amp;AC$14&amp;"|"&amp;"CY2023Q3",Spectrum!$R:$R,0)),0),""))</f>
        <v>533</v>
      </c>
      <c r="AD226" s="10" t="str">
        <f aca="false">IF(LEFT($B226,4)="_Mil","",_xlfn.IFNA(ROUND(INDEX(Spectrum!$N:$N,MATCH(RIGHT($B226,13)&amp;"|"&amp;$C226&amp;"|"&amp;$D226&amp;"|"&amp;AD$14&amp;"|"&amp;"CY2023Q3",Spectrum!$R:$R,0)),0),""))</f>
        <v/>
      </c>
      <c r="AE226" s="88" t="n">
        <f aca="false">IF(OR(LEFT($B226,4)="_Mil",SUM($Z226)=0),"",SUM($AD226)/$Z226)</f>
        <v>0</v>
      </c>
      <c r="AF226" s="39" t="str">
        <f aca="false">IF(LEFT($B226,4)="_Mil","",_xlfn.IFNA(ROUND(INDEX(Spectrum!$N:$N,MATCH(RIGHT($B226,13)&amp;"|"&amp;$C226&amp;"|"&amp;$D226&amp;"|"&amp;AF$14&amp;"|"&amp;"CY2023Q3",Spectrum!$R:$R,0)),0),""))</f>
        <v/>
      </c>
      <c r="AG226" s="88" t="str">
        <f aca="false">IF(OR(LEFT($B226,4)="_Mil",SUM($AD226)=0),"",SUM($AF226)/$AD226)</f>
        <v/>
      </c>
      <c r="AH226" s="86" t="str">
        <f aca="false">IF(LEFT($B226,4)="_Mil","",_xlfn.IFNA(INDEX(Spectrum!$N:$N,MATCH(RIGHT($B226,13)&amp;"|"&amp;$C226&amp;"|"&amp;$D226&amp;"|"&amp;AH$14&amp;"|"&amp;"CY2023Q3",Spectrum!$R:$R,0)),""))</f>
        <v/>
      </c>
      <c r="AI226" s="10" t="str">
        <f aca="false">IF(LEFT($B226,4)="_Mil","",_xlfn.IFNA(ROUND(INDEX(Spectrum!$N:$N,MATCH(RIGHT($B226,13)&amp;"|"&amp;$C226&amp;"|"&amp;$D226&amp;"|"&amp;AI$14&amp;"|"&amp;"CY2023Q3",Spectrum!$R:$R,0)),0),""))</f>
        <v/>
      </c>
      <c r="AJ226" s="39" t="n">
        <f aca="false">IF(LEFT($B226,4)="_Mil","",_xlfn.IFNA(ROUND(INDEX(Spectrum!$N:$N,MATCH(RIGHT($B226,13)&amp;"|"&amp;$C226&amp;"|"&amp;$D226&amp;"|"&amp;AI$14&amp;"|"&amp;"CY2023Q3",Spectrum!$R:$R,0)),0),SUM($U226)+SUM($AI226)))</f>
        <v>0</v>
      </c>
      <c r="AK226" s="10" t="str">
        <f aca="false">IF(LEFT($B226,4)="_Mil","",_xlfn.IFNA(ROUND(INDEX(Spectrum!$N:$N,MATCH(RIGHT($B226,13)&amp;"|"&amp;$C226&amp;"|"&amp;$D226&amp;"|"&amp;AK$14&amp;"|"&amp;"CY2023Q3",Spectrum!$R:$R,0)),0),""))</f>
        <v/>
      </c>
      <c r="AL226" s="88" t="str">
        <f aca="false">IF(OR(LEFT($B226,4)="_Mil",$C226="&lt;01"),"",MAX(SUM($AA226),90%))</f>
        <v/>
      </c>
      <c r="AM226" s="10" t="str">
        <f aca="false">IF(OR(LEFT($B226,4)="_Mil",$C226="&lt;01"),"",ROUND(SUM($AJ226)*SUM($AL226),0))</f>
        <v/>
      </c>
      <c r="AN226" s="10" t="n">
        <f aca="false">IF($C226="&lt;01",ROUND(INDEX(EID!$P:$P,MATCH($B226,EID!$B:$B,0))/2,0),"")</f>
        <v>0</v>
      </c>
      <c r="AO226" s="10" t="n">
        <f aca="false">IF($C226="&lt;01",SUM($AN226),ROUND(SUM($AM226)*SUM($O226)/IF(SUM($Z226)=0,1,$Z226),0))</f>
        <v>0</v>
      </c>
      <c r="AP226" s="39" t="n">
        <f aca="false">IF(OR($F226="",$C226="&lt;01"),$AO226,$F226)</f>
        <v>0</v>
      </c>
      <c r="AQ226" s="39" t="n">
        <f aca="false">IF(LEFT($B226,4)="_Mil","",IF(SUM($AP226)=0,SUM($Z226),IF(OR(SUM($Z226)=0,SUM($O226)=0),MAX($AP226,$Z226),$AP226*$Z226/$O226)))</f>
        <v>1884</v>
      </c>
      <c r="AR226" s="88" t="str">
        <f aca="false">IF(OR(LEFT($B226,4)="_Mil",SUM($AJ226)=0),"",SUM($AQ226)/$AJ226)</f>
        <v/>
      </c>
      <c r="AS226" s="88" t="str">
        <f aca="false">IF($C226="&lt;01","",98%)</f>
        <v/>
      </c>
      <c r="AT226" s="88" t="str">
        <f aca="false">IF($C226="&lt;01","",98%)</f>
        <v/>
      </c>
      <c r="AU226" s="10" t="str">
        <f aca="false">IF($C226="&lt;01","",SUM($AP226)-SUM($O226))</f>
        <v/>
      </c>
      <c r="AV226" s="10" t="n">
        <f aca="false">IF($C226="&lt;01",ROUND(INDEX(EID!$N:$N,MATCH($B226,EID!$B:$B,0))/2,0),IF(SUM($AT226)=0,"",ROUND((SUM($AP226)-(SUM($O226)*SUM($AS226)))/$AT226,0)))</f>
        <v>0</v>
      </c>
      <c r="AW226" s="88" t="str">
        <f aca="false">IF($C226="&lt;01","",100%)</f>
        <v/>
      </c>
      <c r="AX226" s="39" t="n">
        <f aca="false">IF($C226="&lt;01",SUM($AV226),ROUND(SUM($AV226)*SUM($AW226),0))</f>
        <v>0</v>
      </c>
      <c r="AY226" s="114" t="str">
        <f aca="false">IF($C226="&lt;01","",70%)</f>
        <v/>
      </c>
      <c r="AZ226" s="91" t="n">
        <f aca="false">IF($C226="&lt;01",ROUND(INDEX(EID!$R:$R,MATCH($B226,EID!$B:$B,0))/2,0),ROUND(SUM($O226)+(SUM($AV226)*$AY226),0))</f>
        <v>0</v>
      </c>
      <c r="BA226" s="87" t="str">
        <f aca="false">IF($C226="&lt;01","",95%)</f>
        <v/>
      </c>
      <c r="BB226" s="5" t="n">
        <f aca="false">IF($C226="&lt;01",ROUND(INDEX(EID!$T:$T,MATCH($B226,EID!$B:$B,0))/2,0),ROUND($AZ226*$BA226,0))</f>
        <v>0</v>
      </c>
      <c r="BC226" s="91" t="n">
        <f aca="false">IF(LEFT($B226,4)="_Mil","",IF(SUM($BB226)=0,SUM($AD226),IF(OR(SUM($AP226)=0,SUM($AQ226)=0),MAX($BB226,$AD226),ROUND($BB226*$AQ226/$AP226,0))))</f>
        <v>0</v>
      </c>
      <c r="BD226" s="88" t="str">
        <f aca="false">IF($C226="&lt;01","",95%)</f>
        <v/>
      </c>
      <c r="BE226" s="39" t="n">
        <f aca="false">IF($C226="&lt;01",ROUND(INDEX(EID!$V:$V,MATCH($B226,EID!$B:$B,0))/2,0),ROUND($BD226*$BB226,0))</f>
        <v>0</v>
      </c>
      <c r="BF226" s="39" t="n">
        <f aca="false">IF(LEFT($B226,4)="_Mil","",IF(SUM($BE226)=0,SUM($AF226),IF(OR(SUM($AP226)=0,SUM($AQ226)=0),MAX($BE226,$AF226),ROUND($BE226*$AQ226/$AP226,0))))</f>
        <v>0</v>
      </c>
      <c r="BG226" s="114" t="str">
        <f aca="false">IF($C226="&lt;01","",95%)</f>
        <v/>
      </c>
      <c r="BH226" s="5" t="n">
        <f aca="false">IF($C226="&lt;01",ROUND(INDEX(EID!$L:$L,MATCH($B226,EID!$B:$B,0)),0)/2,IF(SUM($BG226)=0,"",ROUND($AX226/$BG226,0)))</f>
        <v>0</v>
      </c>
    </row>
    <row r="227" customFormat="false" ht="15" hidden="false" customHeight="false" outlineLevel="0" collapsed="false">
      <c r="A227" s="0" t="str">
        <f aca="false">INDEX(Prioritization!$D:$D,MATCH($B227,Prioritization!$A:$A,0))</f>
        <v>INVALID</v>
      </c>
      <c r="B227" s="0" t="s">
        <v>209</v>
      </c>
      <c r="C227" s="0" t="s">
        <v>363</v>
      </c>
      <c r="D227" s="0" t="s">
        <v>30</v>
      </c>
      <c r="E227" s="0" t="str">
        <f aca="false">$B227&amp;"|"&amp;$C227&amp;"|"&amp;$D227</f>
        <v>Rumphi District [lPTyjLi4w3d]|01-09|Female</v>
      </c>
      <c r="F227" s="10"/>
      <c r="G227" s="10"/>
      <c r="H227" s="10"/>
      <c r="I227" s="10"/>
      <c r="J227" s="10"/>
      <c r="K227" s="10"/>
      <c r="L227" s="10"/>
      <c r="M227" s="10"/>
      <c r="N227" s="10"/>
      <c r="O227" s="10" t="str">
        <f aca="false">IFERROR(1/(1/MAX($I227,$N227)),"")</f>
        <v/>
      </c>
      <c r="P227" s="10"/>
      <c r="Q227" s="10"/>
      <c r="R227" s="10" t="str">
        <f aca="false">IF(AND(SUM($I227)=0,SUM($O227)=0),"",SUM($O227)-$I227)</f>
        <v/>
      </c>
      <c r="S227" s="10" t="n">
        <f aca="false">IF(LEFT($B227,4)="_Mil","",_xlfn.IFNA(ROUND(INDEX(Spectrum!$N:$N,MATCH(RIGHT($B227,13)&amp;"|"&amp;$C227&amp;"|"&amp;$D227&amp;"|"&amp;S$14&amp;"|"&amp;"CY2022Q4",Spectrum!$R:$R,0)),0),""))</f>
        <v>1210</v>
      </c>
      <c r="T227" s="39" t="n">
        <f aca="false">IF(LEFT($B227,4)="_Mil","",_xlfn.IFNA(ROUND(INDEX(Spectrum!$N:$N,MATCH(RIGHT($B227,13)&amp;"|"&amp;$C227&amp;"|"&amp;$D227&amp;"|"&amp;T$14&amp;"|"&amp;"CY2023Q3",Spectrum!$R:$R,0)),0),""))</f>
        <v>618</v>
      </c>
      <c r="U227" s="39" t="str">
        <f aca="false">IF(LEFT($B227,4)="_Mil","",_xlfn.IFNA(ROUND(INDEX(Spectrum!$N:$N,MATCH(RIGHT($B227,13)&amp;"|"&amp;$C227&amp;"|"&amp;$D227&amp;"|"&amp;U$14&amp;"|"&amp;"CY2023Q3",Spectrum!$R:$R,0)),0),""))</f>
        <v/>
      </c>
      <c r="V227" s="10" t="n">
        <f aca="false">IF(LEFT($B227,4)="_Mil","",_xlfn.IFNA(ROUND(INDEX(Spectrum!$N:$N,MATCH(RIGHT($B227,13)&amp;"|"&amp;$C227&amp;"|"&amp;$D227&amp;"|"&amp;V$14&amp;"|"&amp;"CY2023Q3",Spectrum!$R:$R,0)),0),""))</f>
        <v>980</v>
      </c>
      <c r="W227" s="113" t="n">
        <f aca="false">IF(LEFT($B227,4)="_Mil","",_xlfn.IFNA(INDEX(Spectrum!$N:$N,MATCH(RIGHT($B227,13)&amp;"|"&amp;$C227&amp;"|"&amp;$D227&amp;"|"&amp;W$14&amp;"|"&amp;"CY2023Q3",Spectrum!$R:$R,0)),""))</f>
        <v>660</v>
      </c>
      <c r="X227" s="39" t="n">
        <f aca="false">IF(LEFT($B227,4)="_Mil","",_xlfn.IFNA(ROUND(INDEX(Spectrum!$N:$N,MATCH(RIGHT($B227,13)&amp;"|"&amp;$C227&amp;"|"&amp;$D227&amp;"|"&amp;X$14&amp;"|"&amp;"CY2023Q3",Spectrum!$R:$R,0)),0),""))</f>
        <v>1181</v>
      </c>
      <c r="Y227" s="88" t="str">
        <f aca="false">IF(OR(SUM($U227)=0,LEFT($B227,4)="_Mil"),"",SUM($X227)/$U227)</f>
        <v/>
      </c>
      <c r="Z227" s="39" t="n">
        <f aca="false">IF(LEFT($B227,4)="_Mil","",_xlfn.IFNA(ROUND(INDEX(Spectrum!$N:$N,MATCH(RIGHT($B227,13)&amp;"|"&amp;$C227&amp;"|"&amp;$D227&amp;"|"&amp;Z$14&amp;"|"&amp;"CY2023Q3",Spectrum!$R:$R,0)),0),""))</f>
        <v>1393</v>
      </c>
      <c r="AA227" s="88" t="n">
        <f aca="false">IF(LEFT($B227,4)="_Mil","",IFERROR(1/(1/INDEX(Spectrum!$N:$N,MATCH(RIGHT($B227,13)&amp;"|"&amp;$C227&amp;"|"&amp;$D227&amp;"|"&amp;AA$14&amp;"|"&amp;"CY2023Q3",Spectrum!$R:$R,0))),IF(SUM($U227)=0,"",SUM($Z227)/$U227)))</f>
        <v>754</v>
      </c>
      <c r="AB227" s="88" t="n">
        <f aca="false">IF(OR(LEFT($B227,4)="_Mil",SUM($X227)=0),"",SUM($Z227)/$X227)</f>
        <v>1.17950889077053</v>
      </c>
      <c r="AC227" s="10" t="n">
        <f aca="false">IF(LEFT($B227,4)="_Mil","",_xlfn.IFNA(ROUND(INDEX(Spectrum!$N:$N,MATCH(RIGHT($B227,13)&amp;"|"&amp;$C227&amp;"|"&amp;$D227&amp;"|"&amp;AC$14&amp;"|"&amp;"CY2023Q3",Spectrum!$R:$R,0)),0),""))</f>
        <v>1424</v>
      </c>
      <c r="AD227" s="10" t="str">
        <f aca="false">IF(LEFT($B227,4)="_Mil","",_xlfn.IFNA(ROUND(INDEX(Spectrum!$N:$N,MATCH(RIGHT($B227,13)&amp;"|"&amp;$C227&amp;"|"&amp;$D227&amp;"|"&amp;AD$14&amp;"|"&amp;"CY2023Q3",Spectrum!$R:$R,0)),0),""))</f>
        <v/>
      </c>
      <c r="AE227" s="88" t="n">
        <f aca="false">IF(OR(LEFT($B227,4)="_Mil",SUM($Z227)=0),"",SUM($AD227)/$Z227)</f>
        <v>0</v>
      </c>
      <c r="AF227" s="39" t="str">
        <f aca="false">IF(LEFT($B227,4)="_Mil","",_xlfn.IFNA(ROUND(INDEX(Spectrum!$N:$N,MATCH(RIGHT($B227,13)&amp;"|"&amp;$C227&amp;"|"&amp;$D227&amp;"|"&amp;AF$14&amp;"|"&amp;"CY2023Q3",Spectrum!$R:$R,0)),0),""))</f>
        <v/>
      </c>
      <c r="AG227" s="88" t="str">
        <f aca="false">IF(OR(LEFT($B227,4)="_Mil",SUM($AD227)=0),"",SUM($AF227)/$AD227)</f>
        <v/>
      </c>
      <c r="AH227" s="86" t="str">
        <f aca="false">IF(LEFT($B227,4)="_Mil","",_xlfn.IFNA(INDEX(Spectrum!$N:$N,MATCH(RIGHT($B227,13)&amp;"|"&amp;$C227&amp;"|"&amp;$D227&amp;"|"&amp;AH$14&amp;"|"&amp;"CY2023Q3",Spectrum!$R:$R,0)),""))</f>
        <v/>
      </c>
      <c r="AI227" s="10" t="str">
        <f aca="false">IF(LEFT($B227,4)="_Mil","",_xlfn.IFNA(ROUND(INDEX(Spectrum!$N:$N,MATCH(RIGHT($B227,13)&amp;"|"&amp;$C227&amp;"|"&amp;$D227&amp;"|"&amp;AI$14&amp;"|"&amp;"CY2023Q3",Spectrum!$R:$R,0)),0),""))</f>
        <v/>
      </c>
      <c r="AJ227" s="39" t="n">
        <f aca="false">IF(LEFT($B227,4)="_Mil","",_xlfn.IFNA(ROUND(INDEX(Spectrum!$N:$N,MATCH(RIGHT($B227,13)&amp;"|"&amp;$C227&amp;"|"&amp;$D227&amp;"|"&amp;AI$14&amp;"|"&amp;"CY2023Q3",Spectrum!$R:$R,0)),0),SUM($U227)+SUM($AI227)))</f>
        <v>0</v>
      </c>
      <c r="AK227" s="10" t="str">
        <f aca="false">IF(LEFT($B227,4)="_Mil","",_xlfn.IFNA(ROUND(INDEX(Spectrum!$N:$N,MATCH(RIGHT($B227,13)&amp;"|"&amp;$C227&amp;"|"&amp;$D227&amp;"|"&amp;AK$14&amp;"|"&amp;"CY2023Q3",Spectrum!$R:$R,0)),0),""))</f>
        <v/>
      </c>
      <c r="AL227" s="88" t="n">
        <f aca="false">IF(OR(LEFT($B227,4)="_Mil",$C227="&lt;01"),"",MAX(SUM($AA227),90%))</f>
        <v>754</v>
      </c>
      <c r="AM227" s="10" t="n">
        <f aca="false">IF(OR(LEFT($B227,4)="_Mil",$C227="&lt;01"),"",ROUND(SUM($AJ227)*SUM($AL227),0))</f>
        <v>0</v>
      </c>
      <c r="AN227" s="10" t="str">
        <f aca="false">IF($C227="&lt;01",ROUND(INDEX(EID!$P:$P,MATCH($B227,EID!$B:$B,0))/2,0),"")</f>
        <v/>
      </c>
      <c r="AO227" s="10" t="n">
        <f aca="false">IF($C227="&lt;01",SUM($AN227),ROUND(SUM($AM227)*SUM($O227)/IF(SUM($Z227)=0,1,$Z227),0))</f>
        <v>0</v>
      </c>
      <c r="AP227" s="39" t="n">
        <f aca="false">IF(OR($F227="",$C227="&lt;01"),$AO227,$F227)</f>
        <v>0</v>
      </c>
      <c r="AQ227" s="39" t="n">
        <f aca="false">IF(LEFT($B227,4)="_Mil","",IF(SUM($AP227)=0,SUM($Z227),IF(OR(SUM($Z227)=0,SUM($O227)=0),MAX($AP227,$Z227),$AP227*$Z227/$O227)))</f>
        <v>1393</v>
      </c>
      <c r="AR227" s="88" t="str">
        <f aca="false">IF(OR(LEFT($B227,4)="_Mil",SUM($AJ227)=0),"",SUM($AQ227)/$AJ227)</f>
        <v/>
      </c>
      <c r="AS227" s="88" t="n">
        <f aca="false">IF($C227="&lt;01","",98%)</f>
        <v>0.98</v>
      </c>
      <c r="AT227" s="88" t="n">
        <f aca="false">IF($C227="&lt;01","",98%)</f>
        <v>0.98</v>
      </c>
      <c r="AU227" s="10" t="n">
        <f aca="false">IF($C227="&lt;01","",SUM($AP227)-SUM($O227))</f>
        <v>0</v>
      </c>
      <c r="AV227" s="10" t="n">
        <f aca="false">IF($C227="&lt;01",ROUND(INDEX(EID!$N:$N,MATCH($B227,EID!$B:$B,0))/2,0),IF(SUM($AT227)=0,"",ROUND((SUM($AP227)-(SUM($O227)*SUM($AS227)))/$AT227,0)))</f>
        <v>0</v>
      </c>
      <c r="AW227" s="88" t="n">
        <f aca="false">IF($C227="&lt;01","",100%)</f>
        <v>1</v>
      </c>
      <c r="AX227" s="39" t="n">
        <f aca="false">IF($C227="&lt;01",SUM($AV227),ROUND(SUM($AV227)*SUM($AW227),0))</f>
        <v>0</v>
      </c>
      <c r="AY227" s="114" t="n">
        <f aca="false">IF($C227="&lt;01","",70%)</f>
        <v>0.7</v>
      </c>
      <c r="AZ227" s="91" t="n">
        <f aca="false">IF($C227="&lt;01",ROUND(INDEX(EID!$R:$R,MATCH($B227,EID!$B:$B,0))/2,0),ROUND(SUM($O227)+(SUM($AV227)*$AY227),0))</f>
        <v>0</v>
      </c>
      <c r="BA227" s="87" t="n">
        <f aca="false">IF($C227="&lt;01","",95%)</f>
        <v>0.95</v>
      </c>
      <c r="BB227" s="5" t="n">
        <f aca="false">IF($C227="&lt;01",ROUND(INDEX(EID!$T:$T,MATCH($B227,EID!$B:$B,0))/2,0),ROUND($AZ227*$BA227,0))</f>
        <v>0</v>
      </c>
      <c r="BC227" s="91" t="n">
        <f aca="false">IF(LEFT($B227,4)="_Mil","",IF(SUM($BB227)=0,SUM($AD227),IF(OR(SUM($AP227)=0,SUM($AQ227)=0),MAX($BB227,$AD227),ROUND($BB227*$AQ227/$AP227,0))))</f>
        <v>0</v>
      </c>
      <c r="BD227" s="88" t="n">
        <f aca="false">IF($C227="&lt;01","",95%)</f>
        <v>0.95</v>
      </c>
      <c r="BE227" s="39" t="n">
        <f aca="false">IF($C227="&lt;01",ROUND(INDEX(EID!$V:$V,MATCH($B227,EID!$B:$B,0))/2,0),ROUND($BD227*$BB227,0))</f>
        <v>0</v>
      </c>
      <c r="BF227" s="39" t="n">
        <f aca="false">IF(LEFT($B227,4)="_Mil","",IF(SUM($BE227)=0,SUM($AF227),IF(OR(SUM($AP227)=0,SUM($AQ227)=0),MAX($BE227,$AF227),ROUND($BE227*$AQ227/$AP227,0))))</f>
        <v>0</v>
      </c>
      <c r="BG227" s="114" t="n">
        <f aca="false">IF($C227="&lt;01","",95%)</f>
        <v>0.95</v>
      </c>
      <c r="BH227" s="5" t="n">
        <f aca="false">IF($C227="&lt;01",ROUND(INDEX(EID!$L:$L,MATCH($B227,EID!$B:$B,0)),0)/2,IF(SUM($BG227)=0,"",ROUND($AX227/$BG227,0)))</f>
        <v>0</v>
      </c>
    </row>
    <row r="228" customFormat="false" ht="15" hidden="false" customHeight="false" outlineLevel="0" collapsed="false">
      <c r="A228" s="0" t="str">
        <f aca="false">INDEX(Prioritization!$D:$D,MATCH($B228,Prioritization!$A:$A,0))</f>
        <v>INVALID</v>
      </c>
      <c r="B228" s="0" t="s">
        <v>209</v>
      </c>
      <c r="C228" s="0" t="s">
        <v>363</v>
      </c>
      <c r="D228" s="0" t="s">
        <v>48</v>
      </c>
      <c r="E228" s="0" t="str">
        <f aca="false">$B228&amp;"|"&amp;$C228&amp;"|"&amp;$D228</f>
        <v>Rumphi District [lPTyjLi4w3d]|01-09|Male</v>
      </c>
      <c r="F228" s="10"/>
      <c r="G228" s="10"/>
      <c r="H228" s="10"/>
      <c r="I228" s="10"/>
      <c r="J228" s="10"/>
      <c r="K228" s="10"/>
      <c r="L228" s="10"/>
      <c r="M228" s="10"/>
      <c r="N228" s="10"/>
      <c r="O228" s="10" t="str">
        <f aca="false">IFERROR(1/(1/MAX($I228,$N228)),"")</f>
        <v/>
      </c>
      <c r="P228" s="10"/>
      <c r="Q228" s="10"/>
      <c r="R228" s="10" t="str">
        <f aca="false">IF(AND(SUM($I228)=0,SUM($O228)=0),"",SUM($O228)-$I228)</f>
        <v/>
      </c>
      <c r="S228" s="10" t="n">
        <f aca="false">IF(LEFT($B228,4)="_Mil","",_xlfn.IFNA(ROUND(INDEX(Spectrum!$N:$N,MATCH(RIGHT($B228,13)&amp;"|"&amp;$C228&amp;"|"&amp;$D228&amp;"|"&amp;S$14&amp;"|"&amp;"CY2022Q4",Spectrum!$R:$R,0)),0),""))</f>
        <v>624</v>
      </c>
      <c r="T228" s="39" t="n">
        <f aca="false">IF(LEFT($B228,4)="_Mil","",_xlfn.IFNA(ROUND(INDEX(Spectrum!$N:$N,MATCH(RIGHT($B228,13)&amp;"|"&amp;$C228&amp;"|"&amp;$D228&amp;"|"&amp;T$14&amp;"|"&amp;"CY2023Q3",Spectrum!$R:$R,0)),0),""))</f>
        <v>1338</v>
      </c>
      <c r="U228" s="39" t="str">
        <f aca="false">IF(LEFT($B228,4)="_Mil","",_xlfn.IFNA(ROUND(INDEX(Spectrum!$N:$N,MATCH(RIGHT($B228,13)&amp;"|"&amp;$C228&amp;"|"&amp;$D228&amp;"|"&amp;U$14&amp;"|"&amp;"CY2023Q3",Spectrum!$R:$R,0)),0),""))</f>
        <v/>
      </c>
      <c r="V228" s="10" t="n">
        <f aca="false">IF(LEFT($B228,4)="_Mil","",_xlfn.IFNA(ROUND(INDEX(Spectrum!$N:$N,MATCH(RIGHT($B228,13)&amp;"|"&amp;$C228&amp;"|"&amp;$D228&amp;"|"&amp;V$14&amp;"|"&amp;"CY2023Q3",Spectrum!$R:$R,0)),0),""))</f>
        <v>1732</v>
      </c>
      <c r="W228" s="113" t="n">
        <f aca="false">IF(LEFT($B228,4)="_Mil","",_xlfn.IFNA(INDEX(Spectrum!$N:$N,MATCH(RIGHT($B228,13)&amp;"|"&amp;$C228&amp;"|"&amp;$D228&amp;"|"&amp;W$14&amp;"|"&amp;"CY2023Q3",Spectrum!$R:$R,0)),""))</f>
        <v>1049</v>
      </c>
      <c r="X228" s="39" t="n">
        <f aca="false">IF(LEFT($B228,4)="_Mil","",_xlfn.IFNA(ROUND(INDEX(Spectrum!$N:$N,MATCH(RIGHT($B228,13)&amp;"|"&amp;$C228&amp;"|"&amp;$D228&amp;"|"&amp;X$14&amp;"|"&amp;"CY2023Q3",Spectrum!$R:$R,0)),0),""))</f>
        <v>1927</v>
      </c>
      <c r="Y228" s="88" t="str">
        <f aca="false">IF(OR(SUM($U228)=0,LEFT($B228,4)="_Mil"),"",SUM($X228)/$U228)</f>
        <v/>
      </c>
      <c r="Z228" s="39" t="n">
        <f aca="false">IF(LEFT($B228,4)="_Mil","",_xlfn.IFNA(ROUND(INDEX(Spectrum!$N:$N,MATCH(RIGHT($B228,13)&amp;"|"&amp;$C228&amp;"|"&amp;$D228&amp;"|"&amp;Z$14&amp;"|"&amp;"CY2023Q3",Spectrum!$R:$R,0)),0),""))</f>
        <v>1760</v>
      </c>
      <c r="AA228" s="88" t="n">
        <f aca="false">IF(LEFT($B228,4)="_Mil","",IFERROR(1/(1/INDEX(Spectrum!$N:$N,MATCH(RIGHT($B228,13)&amp;"|"&amp;$C228&amp;"|"&amp;$D228&amp;"|"&amp;AA$14&amp;"|"&amp;"CY2023Q3",Spectrum!$R:$R,0))),IF(SUM($U228)=0,"",SUM($Z228)/$U228)))</f>
        <v>796</v>
      </c>
      <c r="AB228" s="88" t="n">
        <f aca="false">IF(OR(LEFT($B228,4)="_Mil",SUM($X228)=0),"",SUM($Z228)/$X228)</f>
        <v>0.913336792942398</v>
      </c>
      <c r="AC228" s="10" t="n">
        <f aca="false">IF(LEFT($B228,4)="_Mil","",_xlfn.IFNA(ROUND(INDEX(Spectrum!$N:$N,MATCH(RIGHT($B228,13)&amp;"|"&amp;$C228&amp;"|"&amp;$D228&amp;"|"&amp;AC$14&amp;"|"&amp;"CY2023Q3",Spectrum!$R:$R,0)),0),""))</f>
        <v>1415</v>
      </c>
      <c r="AD228" s="10" t="str">
        <f aca="false">IF(LEFT($B228,4)="_Mil","",_xlfn.IFNA(ROUND(INDEX(Spectrum!$N:$N,MATCH(RIGHT($B228,13)&amp;"|"&amp;$C228&amp;"|"&amp;$D228&amp;"|"&amp;AD$14&amp;"|"&amp;"CY2023Q3",Spectrum!$R:$R,0)),0),""))</f>
        <v/>
      </c>
      <c r="AE228" s="88" t="n">
        <f aca="false">IF(OR(LEFT($B228,4)="_Mil",SUM($Z228)=0),"",SUM($AD228)/$Z228)</f>
        <v>0</v>
      </c>
      <c r="AF228" s="39" t="str">
        <f aca="false">IF(LEFT($B228,4)="_Mil","",_xlfn.IFNA(ROUND(INDEX(Spectrum!$N:$N,MATCH(RIGHT($B228,13)&amp;"|"&amp;$C228&amp;"|"&amp;$D228&amp;"|"&amp;AF$14&amp;"|"&amp;"CY2023Q3",Spectrum!$R:$R,0)),0),""))</f>
        <v/>
      </c>
      <c r="AG228" s="88" t="str">
        <f aca="false">IF(OR(LEFT($B228,4)="_Mil",SUM($AD228)=0),"",SUM($AF228)/$AD228)</f>
        <v/>
      </c>
      <c r="AH228" s="86" t="str">
        <f aca="false">IF(LEFT($B228,4)="_Mil","",_xlfn.IFNA(INDEX(Spectrum!$N:$N,MATCH(RIGHT($B228,13)&amp;"|"&amp;$C228&amp;"|"&amp;$D228&amp;"|"&amp;AH$14&amp;"|"&amp;"CY2023Q3",Spectrum!$R:$R,0)),""))</f>
        <v/>
      </c>
      <c r="AI228" s="10" t="str">
        <f aca="false">IF(LEFT($B228,4)="_Mil","",_xlfn.IFNA(ROUND(INDEX(Spectrum!$N:$N,MATCH(RIGHT($B228,13)&amp;"|"&amp;$C228&amp;"|"&amp;$D228&amp;"|"&amp;AI$14&amp;"|"&amp;"CY2023Q3",Spectrum!$R:$R,0)),0),""))</f>
        <v/>
      </c>
      <c r="AJ228" s="39" t="n">
        <f aca="false">IF(LEFT($B228,4)="_Mil","",_xlfn.IFNA(ROUND(INDEX(Spectrum!$N:$N,MATCH(RIGHT($B228,13)&amp;"|"&amp;$C228&amp;"|"&amp;$D228&amp;"|"&amp;AI$14&amp;"|"&amp;"CY2023Q3",Spectrum!$R:$R,0)),0),SUM($U228)+SUM($AI228)))</f>
        <v>0</v>
      </c>
      <c r="AK228" s="10" t="str">
        <f aca="false">IF(LEFT($B228,4)="_Mil","",_xlfn.IFNA(ROUND(INDEX(Spectrum!$N:$N,MATCH(RIGHT($B228,13)&amp;"|"&amp;$C228&amp;"|"&amp;$D228&amp;"|"&amp;AK$14&amp;"|"&amp;"CY2023Q3",Spectrum!$R:$R,0)),0),""))</f>
        <v/>
      </c>
      <c r="AL228" s="88" t="n">
        <f aca="false">IF(OR(LEFT($B228,4)="_Mil",$C228="&lt;01"),"",MAX(SUM($AA228),90%))</f>
        <v>796</v>
      </c>
      <c r="AM228" s="10" t="n">
        <f aca="false">IF(OR(LEFT($B228,4)="_Mil",$C228="&lt;01"),"",ROUND(SUM($AJ228)*SUM($AL228),0))</f>
        <v>0</v>
      </c>
      <c r="AN228" s="10" t="str">
        <f aca="false">IF($C228="&lt;01",ROUND(INDEX(EID!$P:$P,MATCH($B228,EID!$B:$B,0))/2,0),"")</f>
        <v/>
      </c>
      <c r="AO228" s="10" t="n">
        <f aca="false">IF($C228="&lt;01",SUM($AN228),ROUND(SUM($AM228)*SUM($O228)/IF(SUM($Z228)=0,1,$Z228),0))</f>
        <v>0</v>
      </c>
      <c r="AP228" s="39" t="n">
        <f aca="false">IF(OR($F228="",$C228="&lt;01"),$AO228,$F228)</f>
        <v>0</v>
      </c>
      <c r="AQ228" s="39" t="n">
        <f aca="false">IF(LEFT($B228,4)="_Mil","",IF(SUM($AP228)=0,SUM($Z228),IF(OR(SUM($Z228)=0,SUM($O228)=0),MAX($AP228,$Z228),$AP228*$Z228/$O228)))</f>
        <v>1760</v>
      </c>
      <c r="AR228" s="88" t="str">
        <f aca="false">IF(OR(LEFT($B228,4)="_Mil",SUM($AJ228)=0),"",SUM($AQ228)/$AJ228)</f>
        <v/>
      </c>
      <c r="AS228" s="88" t="n">
        <f aca="false">IF($C228="&lt;01","",98%)</f>
        <v>0.98</v>
      </c>
      <c r="AT228" s="88" t="n">
        <f aca="false">IF($C228="&lt;01","",98%)</f>
        <v>0.98</v>
      </c>
      <c r="AU228" s="10" t="n">
        <f aca="false">IF($C228="&lt;01","",SUM($AP228)-SUM($O228))</f>
        <v>0</v>
      </c>
      <c r="AV228" s="10" t="n">
        <f aca="false">IF($C228="&lt;01",ROUND(INDEX(EID!$N:$N,MATCH($B228,EID!$B:$B,0))/2,0),IF(SUM($AT228)=0,"",ROUND((SUM($AP228)-(SUM($O228)*SUM($AS228)))/$AT228,0)))</f>
        <v>0</v>
      </c>
      <c r="AW228" s="88" t="n">
        <f aca="false">IF($C228="&lt;01","",100%)</f>
        <v>1</v>
      </c>
      <c r="AX228" s="39" t="n">
        <f aca="false">IF($C228="&lt;01",SUM($AV228),ROUND(SUM($AV228)*SUM($AW228),0))</f>
        <v>0</v>
      </c>
      <c r="AY228" s="114" t="n">
        <f aca="false">IF($C228="&lt;01","",70%)</f>
        <v>0.7</v>
      </c>
      <c r="AZ228" s="91" t="n">
        <f aca="false">IF($C228="&lt;01",ROUND(INDEX(EID!$R:$R,MATCH($B228,EID!$B:$B,0))/2,0),ROUND(SUM($O228)+(SUM($AV228)*$AY228),0))</f>
        <v>0</v>
      </c>
      <c r="BA228" s="87" t="n">
        <f aca="false">IF($C228="&lt;01","",95%)</f>
        <v>0.95</v>
      </c>
      <c r="BB228" s="5" t="n">
        <f aca="false">IF($C228="&lt;01",ROUND(INDEX(EID!$T:$T,MATCH($B228,EID!$B:$B,0))/2,0),ROUND($AZ228*$BA228,0))</f>
        <v>0</v>
      </c>
      <c r="BC228" s="91" t="n">
        <f aca="false">IF(LEFT($B228,4)="_Mil","",IF(SUM($BB228)=0,SUM($AD228),IF(OR(SUM($AP228)=0,SUM($AQ228)=0),MAX($BB228,$AD228),ROUND($BB228*$AQ228/$AP228,0))))</f>
        <v>0</v>
      </c>
      <c r="BD228" s="88" t="n">
        <f aca="false">IF($C228="&lt;01","",95%)</f>
        <v>0.95</v>
      </c>
      <c r="BE228" s="39" t="n">
        <f aca="false">IF($C228="&lt;01",ROUND(INDEX(EID!$V:$V,MATCH($B228,EID!$B:$B,0))/2,0),ROUND($BD228*$BB228,0))</f>
        <v>0</v>
      </c>
      <c r="BF228" s="39" t="n">
        <f aca="false">IF(LEFT($B228,4)="_Mil","",IF(SUM($BE228)=0,SUM($AF228),IF(OR(SUM($AP228)=0,SUM($AQ228)=0),MAX($BE228,$AF228),ROUND($BE228*$AQ228/$AP228,0))))</f>
        <v>0</v>
      </c>
      <c r="BG228" s="114" t="n">
        <f aca="false">IF($C228="&lt;01","",95%)</f>
        <v>0.95</v>
      </c>
      <c r="BH228" s="5" t="n">
        <f aca="false">IF($C228="&lt;01",ROUND(INDEX(EID!$L:$L,MATCH($B228,EID!$B:$B,0)),0)/2,IF(SUM($BG228)=0,"",ROUND($AX228/$BG228,0)))</f>
        <v>0</v>
      </c>
    </row>
    <row r="229" customFormat="false" ht="15" hidden="false" customHeight="false" outlineLevel="0" collapsed="false">
      <c r="A229" s="0" t="str">
        <f aca="false">INDEX(Prioritization!$D:$D,MATCH($B229,Prioritization!$A:$A,0))</f>
        <v>INVALID</v>
      </c>
      <c r="B229" s="0" t="s">
        <v>209</v>
      </c>
      <c r="C229" s="0" t="s">
        <v>364</v>
      </c>
      <c r="D229" s="0" t="s">
        <v>30</v>
      </c>
      <c r="E229" s="0" t="str">
        <f aca="false">$B229&amp;"|"&amp;$C229&amp;"|"&amp;$D229</f>
        <v>Rumphi District [lPTyjLi4w3d]|10-14|Female</v>
      </c>
      <c r="F229" s="10"/>
      <c r="G229" s="10" t="n">
        <v>9</v>
      </c>
      <c r="H229" s="10" t="n">
        <v>1</v>
      </c>
      <c r="I229" s="10" t="n">
        <v>15</v>
      </c>
      <c r="J229" s="10" t="n">
        <v>2</v>
      </c>
      <c r="K229" s="10" t="n">
        <v>5</v>
      </c>
      <c r="L229" s="10" t="n">
        <v>8</v>
      </c>
      <c r="M229" s="10" t="n">
        <v>3</v>
      </c>
      <c r="N229" s="10" t="n">
        <v>60</v>
      </c>
      <c r="O229" s="10" t="n">
        <f aca="false">IFERROR(1/(1/MAX($I229,$N229)),"")</f>
        <v>60</v>
      </c>
      <c r="P229" s="10" t="n">
        <v>89</v>
      </c>
      <c r="Q229" s="10" t="n">
        <v>88</v>
      </c>
      <c r="R229" s="10" t="n">
        <f aca="false">IF(AND(SUM($I229)=0,SUM($O229)=0),"",SUM($O229)-$I229)</f>
        <v>45</v>
      </c>
      <c r="S229" s="10" t="n">
        <f aca="false">IF(LEFT($B229,4)="_Mil","",_xlfn.IFNA(ROUND(INDEX(Spectrum!$N:$N,MATCH(RIGHT($B229,13)&amp;"|"&amp;$C229&amp;"|"&amp;$D229&amp;"|"&amp;S$14&amp;"|"&amp;"CY2022Q4",Spectrum!$R:$R,0)),0),""))</f>
        <v>1172</v>
      </c>
      <c r="T229" s="39" t="n">
        <f aca="false">IF(LEFT($B229,4)="_Mil","",_xlfn.IFNA(ROUND(INDEX(Spectrum!$N:$N,MATCH(RIGHT($B229,13)&amp;"|"&amp;$C229&amp;"|"&amp;$D229&amp;"|"&amp;T$14&amp;"|"&amp;"CY2023Q3",Spectrum!$R:$R,0)),0),""))</f>
        <v>767</v>
      </c>
      <c r="U229" s="39" t="str">
        <f aca="false">IF(LEFT($B229,4)="_Mil","",_xlfn.IFNA(ROUND(INDEX(Spectrum!$N:$N,MATCH(RIGHT($B229,13)&amp;"|"&amp;$C229&amp;"|"&amp;$D229&amp;"|"&amp;U$14&amp;"|"&amp;"CY2023Q3",Spectrum!$R:$R,0)),0),""))</f>
        <v/>
      </c>
      <c r="V229" s="10" t="n">
        <f aca="false">IF(LEFT($B229,4)="_Mil","",_xlfn.IFNA(ROUND(INDEX(Spectrum!$N:$N,MATCH(RIGHT($B229,13)&amp;"|"&amp;$C229&amp;"|"&amp;$D229&amp;"|"&amp;V$14&amp;"|"&amp;"CY2023Q3",Spectrum!$R:$R,0)),0),""))</f>
        <v>1412</v>
      </c>
      <c r="W229" s="113" t="n">
        <f aca="false">IF(LEFT($B229,4)="_Mil","",_xlfn.IFNA(INDEX(Spectrum!$N:$N,MATCH(RIGHT($B229,13)&amp;"|"&amp;$C229&amp;"|"&amp;$D229&amp;"|"&amp;W$14&amp;"|"&amp;"CY2023Q3",Spectrum!$R:$R,0)),""))</f>
        <v>1983</v>
      </c>
      <c r="X229" s="39" t="n">
        <f aca="false">IF(LEFT($B229,4)="_Mil","",_xlfn.IFNA(ROUND(INDEX(Spectrum!$N:$N,MATCH(RIGHT($B229,13)&amp;"|"&amp;$C229&amp;"|"&amp;$D229&amp;"|"&amp;X$14&amp;"|"&amp;"CY2023Q3",Spectrum!$R:$R,0)),0),""))</f>
        <v>1092</v>
      </c>
      <c r="Y229" s="88" t="str">
        <f aca="false">IF(OR(SUM($U229)=0,LEFT($B229,4)="_Mil"),"",SUM($X229)/$U229)</f>
        <v/>
      </c>
      <c r="Z229" s="39" t="n">
        <f aca="false">IF(LEFT($B229,4)="_Mil","",_xlfn.IFNA(ROUND(INDEX(Spectrum!$N:$N,MATCH(RIGHT($B229,13)&amp;"|"&amp;$C229&amp;"|"&amp;$D229&amp;"|"&amp;Z$14&amp;"|"&amp;"CY2023Q3",Spectrum!$R:$R,0)),0),""))</f>
        <v>546</v>
      </c>
      <c r="AA229" s="88" t="n">
        <f aca="false">IF(LEFT($B229,4)="_Mil","",IFERROR(1/(1/INDEX(Spectrum!$N:$N,MATCH(RIGHT($B229,13)&amp;"|"&amp;$C229&amp;"|"&amp;$D229&amp;"|"&amp;AA$14&amp;"|"&amp;"CY2023Q3",Spectrum!$R:$R,0))),IF(SUM($U229)=0,"",SUM($Z229)/$U229)))</f>
        <v>1448</v>
      </c>
      <c r="AB229" s="88" t="n">
        <f aca="false">IF(OR(LEFT($B229,4)="_Mil",SUM($X229)=0),"",SUM($Z229)/$X229)</f>
        <v>0.5</v>
      </c>
      <c r="AC229" s="10" t="n">
        <f aca="false">IF(LEFT($B229,4)="_Mil","",_xlfn.IFNA(ROUND(INDEX(Spectrum!$N:$N,MATCH(RIGHT($B229,13)&amp;"|"&amp;$C229&amp;"|"&amp;$D229&amp;"|"&amp;AC$14&amp;"|"&amp;"CY2023Q3",Spectrum!$R:$R,0)),0),""))</f>
        <v>1656</v>
      </c>
      <c r="AD229" s="10" t="str">
        <f aca="false">IF(LEFT($B229,4)="_Mil","",_xlfn.IFNA(ROUND(INDEX(Spectrum!$N:$N,MATCH(RIGHT($B229,13)&amp;"|"&amp;$C229&amp;"|"&amp;$D229&amp;"|"&amp;AD$14&amp;"|"&amp;"CY2023Q3",Spectrum!$R:$R,0)),0),""))</f>
        <v/>
      </c>
      <c r="AE229" s="88" t="n">
        <f aca="false">IF(OR(LEFT($B229,4)="_Mil",SUM($Z229)=0),"",SUM($AD229)/$Z229)</f>
        <v>0</v>
      </c>
      <c r="AF229" s="39" t="str">
        <f aca="false">IF(LEFT($B229,4)="_Mil","",_xlfn.IFNA(ROUND(INDEX(Spectrum!$N:$N,MATCH(RIGHT($B229,13)&amp;"|"&amp;$C229&amp;"|"&amp;$D229&amp;"|"&amp;AF$14&amp;"|"&amp;"CY2023Q3",Spectrum!$R:$R,0)),0),""))</f>
        <v/>
      </c>
      <c r="AG229" s="88" t="str">
        <f aca="false">IF(OR(LEFT($B229,4)="_Mil",SUM($AD229)=0),"",SUM($AF229)/$AD229)</f>
        <v/>
      </c>
      <c r="AH229" s="86" t="str">
        <f aca="false">IF(LEFT($B229,4)="_Mil","",_xlfn.IFNA(INDEX(Spectrum!$N:$N,MATCH(RIGHT($B229,13)&amp;"|"&amp;$C229&amp;"|"&amp;$D229&amp;"|"&amp;AH$14&amp;"|"&amp;"CY2023Q3",Spectrum!$R:$R,0)),""))</f>
        <v/>
      </c>
      <c r="AI229" s="10" t="str">
        <f aca="false">IF(LEFT($B229,4)="_Mil","",_xlfn.IFNA(ROUND(INDEX(Spectrum!$N:$N,MATCH(RIGHT($B229,13)&amp;"|"&amp;$C229&amp;"|"&amp;$D229&amp;"|"&amp;AI$14&amp;"|"&amp;"CY2023Q3",Spectrum!$R:$R,0)),0),""))</f>
        <v/>
      </c>
      <c r="AJ229" s="39" t="n">
        <f aca="false">IF(LEFT($B229,4)="_Mil","",_xlfn.IFNA(ROUND(INDEX(Spectrum!$N:$N,MATCH(RIGHT($B229,13)&amp;"|"&amp;$C229&amp;"|"&amp;$D229&amp;"|"&amp;AI$14&amp;"|"&amp;"CY2023Q3",Spectrum!$R:$R,0)),0),SUM($U229)+SUM($AI229)))</f>
        <v>0</v>
      </c>
      <c r="AK229" s="10" t="str">
        <f aca="false">IF(LEFT($B229,4)="_Mil","",_xlfn.IFNA(ROUND(INDEX(Spectrum!$N:$N,MATCH(RIGHT($B229,13)&amp;"|"&amp;$C229&amp;"|"&amp;$D229&amp;"|"&amp;AK$14&amp;"|"&amp;"CY2023Q3",Spectrum!$R:$R,0)),0),""))</f>
        <v/>
      </c>
      <c r="AL229" s="88" t="n">
        <f aca="false">IF(OR(LEFT($B229,4)="_Mil",$C229="&lt;01"),"",MAX(SUM($AA229),90%))</f>
        <v>1448</v>
      </c>
      <c r="AM229" s="10" t="n">
        <f aca="false">IF(OR(LEFT($B229,4)="_Mil",$C229="&lt;01"),"",ROUND(SUM($AJ229)*SUM($AL229),0))</f>
        <v>0</v>
      </c>
      <c r="AN229" s="10" t="str">
        <f aca="false">IF($C229="&lt;01",ROUND(INDEX(EID!$P:$P,MATCH($B229,EID!$B:$B,0))/2,0),"")</f>
        <v/>
      </c>
      <c r="AO229" s="10" t="n">
        <f aca="false">IF($C229="&lt;01",SUM($AN229),ROUND(SUM($AM229)*SUM($O229)/IF(SUM($Z229)=0,1,$Z229),0))</f>
        <v>0</v>
      </c>
      <c r="AP229" s="39" t="n">
        <f aca="false">IF(OR($F229="",$C229="&lt;01"),$AO229,$F229)</f>
        <v>0</v>
      </c>
      <c r="AQ229" s="39" t="n">
        <f aca="false">IF(LEFT($B229,4)="_Mil","",IF(SUM($AP229)=0,SUM($Z229),IF(OR(SUM($Z229)=0,SUM($O229)=0),MAX($AP229,$Z229),$AP229*$Z229/$O229)))</f>
        <v>546</v>
      </c>
      <c r="AR229" s="88" t="str">
        <f aca="false">IF(OR(LEFT($B229,4)="_Mil",SUM($AJ229)=0),"",SUM($AQ229)/$AJ229)</f>
        <v/>
      </c>
      <c r="AS229" s="88" t="n">
        <f aca="false">IF($C229="&lt;01","",98%)</f>
        <v>0.98</v>
      </c>
      <c r="AT229" s="88" t="n">
        <f aca="false">IF($C229="&lt;01","",98%)</f>
        <v>0.98</v>
      </c>
      <c r="AU229" s="10" t="n">
        <f aca="false">IF($C229="&lt;01","",SUM($AP229)-SUM($O229))</f>
        <v>-60</v>
      </c>
      <c r="AV229" s="10" t="n">
        <f aca="false">IF($C229="&lt;01",ROUND(INDEX(EID!$N:$N,MATCH($B229,EID!$B:$B,0))/2,0),IF(SUM($AT229)=0,"",ROUND((SUM($AP229)-(SUM($O229)*SUM($AS229)))/$AT229,0)))</f>
        <v>-60</v>
      </c>
      <c r="AW229" s="88" t="n">
        <f aca="false">IF($C229="&lt;01","",100%)</f>
        <v>1</v>
      </c>
      <c r="AX229" s="39" t="n">
        <f aca="false">IF($C229="&lt;01",SUM($AV229),ROUND(SUM($AV229)*SUM($AW229),0))</f>
        <v>-60</v>
      </c>
      <c r="AY229" s="114" t="n">
        <f aca="false">IF($C229="&lt;01","",70%)</f>
        <v>0.7</v>
      </c>
      <c r="AZ229" s="91" t="n">
        <f aca="false">IF($C229="&lt;01",ROUND(INDEX(EID!$R:$R,MATCH($B229,EID!$B:$B,0))/2,0),ROUND(SUM($O229)+(SUM($AV229)*$AY229),0))</f>
        <v>18</v>
      </c>
      <c r="BA229" s="87" t="n">
        <f aca="false">IF($C229="&lt;01","",95%)</f>
        <v>0.95</v>
      </c>
      <c r="BB229" s="5" t="n">
        <f aca="false">IF($C229="&lt;01",ROUND(INDEX(EID!$T:$T,MATCH($B229,EID!$B:$B,0))/2,0),ROUND($AZ229*$BA229,0))</f>
        <v>17</v>
      </c>
      <c r="BC229" s="91" t="n">
        <f aca="false">IF(LEFT($B229,4)="_Mil","",IF(SUM($BB229)=0,SUM($AD229),IF(OR(SUM($AP229)=0,SUM($AQ229)=0),MAX($BB229,$AD229),ROUND($BB229*$AQ229/$AP229,0))))</f>
        <v>17</v>
      </c>
      <c r="BD229" s="88" t="n">
        <f aca="false">IF($C229="&lt;01","",95%)</f>
        <v>0.95</v>
      </c>
      <c r="BE229" s="39" t="n">
        <f aca="false">IF($C229="&lt;01",ROUND(INDEX(EID!$V:$V,MATCH($B229,EID!$B:$B,0))/2,0),ROUND($BD229*$BB229,0))</f>
        <v>16</v>
      </c>
      <c r="BF229" s="39" t="n">
        <f aca="false">IF(LEFT($B229,4)="_Mil","",IF(SUM($BE229)=0,SUM($AF229),IF(OR(SUM($AP229)=0,SUM($AQ229)=0),MAX($BE229,$AF229),ROUND($BE229*$AQ229/$AP229,0))))</f>
        <v>16</v>
      </c>
      <c r="BG229" s="114" t="n">
        <f aca="false">IF($C229="&lt;01","",95%)</f>
        <v>0.95</v>
      </c>
      <c r="BH229" s="5" t="n">
        <f aca="false">IF($C229="&lt;01",ROUND(INDEX(EID!$L:$L,MATCH($B229,EID!$B:$B,0)),0)/2,IF(SUM($BG229)=0,"",ROUND($AX229/$BG229,0)))</f>
        <v>-63</v>
      </c>
    </row>
    <row r="230" customFormat="false" ht="15" hidden="false" customHeight="false" outlineLevel="0" collapsed="false">
      <c r="A230" s="0" t="str">
        <f aca="false">INDEX(Prioritization!$D:$D,MATCH($B230,Prioritization!$A:$A,0))</f>
        <v>INVALID</v>
      </c>
      <c r="B230" s="0" t="s">
        <v>209</v>
      </c>
      <c r="C230" s="0" t="s">
        <v>364</v>
      </c>
      <c r="D230" s="0" t="s">
        <v>48</v>
      </c>
      <c r="E230" s="0" t="str">
        <f aca="false">$B230&amp;"|"&amp;$C230&amp;"|"&amp;$D230</f>
        <v>Rumphi District [lPTyjLi4w3d]|10-14|Male</v>
      </c>
      <c r="F230" s="10"/>
      <c r="G230" s="10" t="n">
        <v>3</v>
      </c>
      <c r="H230" s="10" t="n">
        <v>1</v>
      </c>
      <c r="I230" s="10" t="n">
        <v>14</v>
      </c>
      <c r="J230" s="10" t="n">
        <v>10</v>
      </c>
      <c r="K230" s="10" t="n">
        <v>2</v>
      </c>
      <c r="L230" s="10" t="n">
        <v>3</v>
      </c>
      <c r="M230" s="10" t="n">
        <v>7</v>
      </c>
      <c r="N230" s="10" t="n">
        <v>93</v>
      </c>
      <c r="O230" s="10" t="n">
        <f aca="false">IFERROR(1/(1/MAX($I230,$N230)),"")</f>
        <v>93</v>
      </c>
      <c r="P230" s="10" t="n">
        <v>70</v>
      </c>
      <c r="Q230" s="10" t="n">
        <v>23</v>
      </c>
      <c r="R230" s="10" t="n">
        <f aca="false">IF(AND(SUM($I230)=0,SUM($O230)=0),"",SUM($O230)-$I230)</f>
        <v>79</v>
      </c>
      <c r="S230" s="10" t="n">
        <f aca="false">IF(LEFT($B230,4)="_Mil","",_xlfn.IFNA(ROUND(INDEX(Spectrum!$N:$N,MATCH(RIGHT($B230,13)&amp;"|"&amp;$C230&amp;"|"&amp;$D230&amp;"|"&amp;S$14&amp;"|"&amp;"CY2022Q4",Spectrum!$R:$R,0)),0),""))</f>
        <v>1127</v>
      </c>
      <c r="T230" s="39" t="n">
        <f aca="false">IF(LEFT($B230,4)="_Mil","",_xlfn.IFNA(ROUND(INDEX(Spectrum!$N:$N,MATCH(RIGHT($B230,13)&amp;"|"&amp;$C230&amp;"|"&amp;$D230&amp;"|"&amp;T$14&amp;"|"&amp;"CY2023Q3",Spectrum!$R:$R,0)),0),""))</f>
        <v>1126</v>
      </c>
      <c r="U230" s="39" t="str">
        <f aca="false">IF(LEFT($B230,4)="_Mil","",_xlfn.IFNA(ROUND(INDEX(Spectrum!$N:$N,MATCH(RIGHT($B230,13)&amp;"|"&amp;$C230&amp;"|"&amp;$D230&amp;"|"&amp;U$14&amp;"|"&amp;"CY2023Q3",Spectrum!$R:$R,0)),0),""))</f>
        <v/>
      </c>
      <c r="V230" s="10" t="n">
        <f aca="false">IF(LEFT($B230,4)="_Mil","",_xlfn.IFNA(ROUND(INDEX(Spectrum!$N:$N,MATCH(RIGHT($B230,13)&amp;"|"&amp;$C230&amp;"|"&amp;$D230&amp;"|"&amp;V$14&amp;"|"&amp;"CY2023Q3",Spectrum!$R:$R,0)),0),""))</f>
        <v>1199</v>
      </c>
      <c r="W230" s="113" t="n">
        <f aca="false">IF(LEFT($B230,4)="_Mil","",_xlfn.IFNA(INDEX(Spectrum!$N:$N,MATCH(RIGHT($B230,13)&amp;"|"&amp;$C230&amp;"|"&amp;$D230&amp;"|"&amp;W$14&amp;"|"&amp;"CY2023Q3",Spectrum!$R:$R,0)),""))</f>
        <v>1509</v>
      </c>
      <c r="X230" s="39" t="n">
        <f aca="false">IF(LEFT($B230,4)="_Mil","",_xlfn.IFNA(ROUND(INDEX(Spectrum!$N:$N,MATCH(RIGHT($B230,13)&amp;"|"&amp;$C230&amp;"|"&amp;$D230&amp;"|"&amp;X$14&amp;"|"&amp;"CY2023Q3",Spectrum!$R:$R,0)),0),""))</f>
        <v>1088</v>
      </c>
      <c r="Y230" s="88" t="str">
        <f aca="false">IF(OR(SUM($U230)=0,LEFT($B230,4)="_Mil"),"",SUM($X230)/$U230)</f>
        <v/>
      </c>
      <c r="Z230" s="39" t="n">
        <f aca="false">IF(LEFT($B230,4)="_Mil","",_xlfn.IFNA(ROUND(INDEX(Spectrum!$N:$N,MATCH(RIGHT($B230,13)&amp;"|"&amp;$C230&amp;"|"&amp;$D230&amp;"|"&amp;Z$14&amp;"|"&amp;"CY2023Q3",Spectrum!$R:$R,0)),0),""))</f>
        <v>1345</v>
      </c>
      <c r="AA230" s="88" t="n">
        <f aca="false">IF(LEFT($B230,4)="_Mil","",IFERROR(1/(1/INDEX(Spectrum!$N:$N,MATCH(RIGHT($B230,13)&amp;"|"&amp;$C230&amp;"|"&amp;$D230&amp;"|"&amp;AA$14&amp;"|"&amp;"CY2023Q3",Spectrum!$R:$R,0))),IF(SUM($U230)=0,"",SUM($Z230)/$U230)))</f>
        <v>1149</v>
      </c>
      <c r="AB230" s="88" t="n">
        <f aca="false">IF(OR(LEFT($B230,4)="_Mil",SUM($X230)=0),"",SUM($Z230)/$X230)</f>
        <v>1.23621323529412</v>
      </c>
      <c r="AC230" s="10" t="n">
        <f aca="false">IF(LEFT($B230,4)="_Mil","",_xlfn.IFNA(ROUND(INDEX(Spectrum!$N:$N,MATCH(RIGHT($B230,13)&amp;"|"&amp;$C230&amp;"|"&amp;$D230&amp;"|"&amp;AC$14&amp;"|"&amp;"CY2023Q3",Spectrum!$R:$R,0)),0),""))</f>
        <v>1636</v>
      </c>
      <c r="AD230" s="10" t="str">
        <f aca="false">IF(LEFT($B230,4)="_Mil","",_xlfn.IFNA(ROUND(INDEX(Spectrum!$N:$N,MATCH(RIGHT($B230,13)&amp;"|"&amp;$C230&amp;"|"&amp;$D230&amp;"|"&amp;AD$14&amp;"|"&amp;"CY2023Q3",Spectrum!$R:$R,0)),0),""))</f>
        <v/>
      </c>
      <c r="AE230" s="88" t="n">
        <f aca="false">IF(OR(LEFT($B230,4)="_Mil",SUM($Z230)=0),"",SUM($AD230)/$Z230)</f>
        <v>0</v>
      </c>
      <c r="AF230" s="39" t="str">
        <f aca="false">IF(LEFT($B230,4)="_Mil","",_xlfn.IFNA(ROUND(INDEX(Spectrum!$N:$N,MATCH(RIGHT($B230,13)&amp;"|"&amp;$C230&amp;"|"&amp;$D230&amp;"|"&amp;AF$14&amp;"|"&amp;"CY2023Q3",Spectrum!$R:$R,0)),0),""))</f>
        <v/>
      </c>
      <c r="AG230" s="88" t="str">
        <f aca="false">IF(OR(LEFT($B230,4)="_Mil",SUM($AD230)=0),"",SUM($AF230)/$AD230)</f>
        <v/>
      </c>
      <c r="AH230" s="86" t="str">
        <f aca="false">IF(LEFT($B230,4)="_Mil","",_xlfn.IFNA(INDEX(Spectrum!$N:$N,MATCH(RIGHT($B230,13)&amp;"|"&amp;$C230&amp;"|"&amp;$D230&amp;"|"&amp;AH$14&amp;"|"&amp;"CY2023Q3",Spectrum!$R:$R,0)),""))</f>
        <v/>
      </c>
      <c r="AI230" s="10" t="str">
        <f aca="false">IF(LEFT($B230,4)="_Mil","",_xlfn.IFNA(ROUND(INDEX(Spectrum!$N:$N,MATCH(RIGHT($B230,13)&amp;"|"&amp;$C230&amp;"|"&amp;$D230&amp;"|"&amp;AI$14&amp;"|"&amp;"CY2023Q3",Spectrum!$R:$R,0)),0),""))</f>
        <v/>
      </c>
      <c r="AJ230" s="39" t="n">
        <f aca="false">IF(LEFT($B230,4)="_Mil","",_xlfn.IFNA(ROUND(INDEX(Spectrum!$N:$N,MATCH(RIGHT($B230,13)&amp;"|"&amp;$C230&amp;"|"&amp;$D230&amp;"|"&amp;AI$14&amp;"|"&amp;"CY2023Q3",Spectrum!$R:$R,0)),0),SUM($U230)+SUM($AI230)))</f>
        <v>0</v>
      </c>
      <c r="AK230" s="10" t="str">
        <f aca="false">IF(LEFT($B230,4)="_Mil","",_xlfn.IFNA(ROUND(INDEX(Spectrum!$N:$N,MATCH(RIGHT($B230,13)&amp;"|"&amp;$C230&amp;"|"&amp;$D230&amp;"|"&amp;AK$14&amp;"|"&amp;"CY2023Q3",Spectrum!$R:$R,0)),0),""))</f>
        <v/>
      </c>
      <c r="AL230" s="88" t="n">
        <f aca="false">IF(OR(LEFT($B230,4)="_Mil",$C230="&lt;01"),"",MAX(SUM($AA230),90%))</f>
        <v>1149</v>
      </c>
      <c r="AM230" s="10" t="n">
        <f aca="false">IF(OR(LEFT($B230,4)="_Mil",$C230="&lt;01"),"",ROUND(SUM($AJ230)*SUM($AL230),0))</f>
        <v>0</v>
      </c>
      <c r="AN230" s="10" t="str">
        <f aca="false">IF($C230="&lt;01",ROUND(INDEX(EID!$P:$P,MATCH($B230,EID!$B:$B,0))/2,0),"")</f>
        <v/>
      </c>
      <c r="AO230" s="10" t="n">
        <f aca="false">IF($C230="&lt;01",SUM($AN230),ROUND(SUM($AM230)*SUM($O230)/IF(SUM($Z230)=0,1,$Z230),0))</f>
        <v>0</v>
      </c>
      <c r="AP230" s="39" t="n">
        <f aca="false">IF(OR($F230="",$C230="&lt;01"),$AO230,$F230)</f>
        <v>0</v>
      </c>
      <c r="AQ230" s="39" t="n">
        <f aca="false">IF(LEFT($B230,4)="_Mil","",IF(SUM($AP230)=0,SUM($Z230),IF(OR(SUM($Z230)=0,SUM($O230)=0),MAX($AP230,$Z230),$AP230*$Z230/$O230)))</f>
        <v>1345</v>
      </c>
      <c r="AR230" s="88" t="str">
        <f aca="false">IF(OR(LEFT($B230,4)="_Mil",SUM($AJ230)=0),"",SUM($AQ230)/$AJ230)</f>
        <v/>
      </c>
      <c r="AS230" s="88" t="n">
        <f aca="false">IF($C230="&lt;01","",98%)</f>
        <v>0.98</v>
      </c>
      <c r="AT230" s="88" t="n">
        <f aca="false">IF($C230="&lt;01","",98%)</f>
        <v>0.98</v>
      </c>
      <c r="AU230" s="10" t="n">
        <f aca="false">IF($C230="&lt;01","",SUM($AP230)-SUM($O230))</f>
        <v>-93</v>
      </c>
      <c r="AV230" s="10" t="n">
        <f aca="false">IF($C230="&lt;01",ROUND(INDEX(EID!$N:$N,MATCH($B230,EID!$B:$B,0))/2,0),IF(SUM($AT230)=0,"",ROUND((SUM($AP230)-(SUM($O230)*SUM($AS230)))/$AT230,0)))</f>
        <v>-93</v>
      </c>
      <c r="AW230" s="88" t="n">
        <f aca="false">IF($C230="&lt;01","",100%)</f>
        <v>1</v>
      </c>
      <c r="AX230" s="39" t="n">
        <f aca="false">IF($C230="&lt;01",SUM($AV230),ROUND(SUM($AV230)*SUM($AW230),0))</f>
        <v>-93</v>
      </c>
      <c r="AY230" s="114" t="n">
        <f aca="false">IF($C230="&lt;01","",70%)</f>
        <v>0.7</v>
      </c>
      <c r="AZ230" s="91" t="n">
        <f aca="false">IF($C230="&lt;01",ROUND(INDEX(EID!$R:$R,MATCH($B230,EID!$B:$B,0))/2,0),ROUND(SUM($O230)+(SUM($AV230)*$AY230),0))</f>
        <v>28</v>
      </c>
      <c r="BA230" s="87" t="n">
        <f aca="false">IF($C230="&lt;01","",95%)</f>
        <v>0.95</v>
      </c>
      <c r="BB230" s="5" t="n">
        <f aca="false">IF($C230="&lt;01",ROUND(INDEX(EID!$T:$T,MATCH($B230,EID!$B:$B,0))/2,0),ROUND($AZ230*$BA230,0))</f>
        <v>27</v>
      </c>
      <c r="BC230" s="91" t="n">
        <f aca="false">IF(LEFT($B230,4)="_Mil","",IF(SUM($BB230)=0,SUM($AD230),IF(OR(SUM($AP230)=0,SUM($AQ230)=0),MAX($BB230,$AD230),ROUND($BB230*$AQ230/$AP230,0))))</f>
        <v>27</v>
      </c>
      <c r="BD230" s="88" t="n">
        <f aca="false">IF($C230="&lt;01","",95%)</f>
        <v>0.95</v>
      </c>
      <c r="BE230" s="39" t="n">
        <f aca="false">IF($C230="&lt;01",ROUND(INDEX(EID!$V:$V,MATCH($B230,EID!$B:$B,0))/2,0),ROUND($BD230*$BB230,0))</f>
        <v>26</v>
      </c>
      <c r="BF230" s="39" t="n">
        <f aca="false">IF(LEFT($B230,4)="_Mil","",IF(SUM($BE230)=0,SUM($AF230),IF(OR(SUM($AP230)=0,SUM($AQ230)=0),MAX($BE230,$AF230),ROUND($BE230*$AQ230/$AP230,0))))</f>
        <v>26</v>
      </c>
      <c r="BG230" s="114" t="n">
        <f aca="false">IF($C230="&lt;01","",95%)</f>
        <v>0.95</v>
      </c>
      <c r="BH230" s="5" t="n">
        <f aca="false">IF($C230="&lt;01",ROUND(INDEX(EID!$L:$L,MATCH($B230,EID!$B:$B,0)),0)/2,IF(SUM($BG230)=0,"",ROUND($AX230/$BG230,0)))</f>
        <v>-98</v>
      </c>
    </row>
    <row r="231" customFormat="false" ht="15" hidden="false" customHeight="false" outlineLevel="0" collapsed="false">
      <c r="A231" s="0" t="str">
        <f aca="false">INDEX(Prioritization!$D:$D,MATCH($B231,Prioritization!$A:$A,0))</f>
        <v>INVALID</v>
      </c>
      <c r="B231" s="0" t="s">
        <v>209</v>
      </c>
      <c r="C231" s="0" t="s">
        <v>365</v>
      </c>
      <c r="D231" s="0" t="s">
        <v>30</v>
      </c>
      <c r="E231" s="0" t="str">
        <f aca="false">$B231&amp;"|"&amp;$C231&amp;"|"&amp;$D231</f>
        <v>Rumphi District [lPTyjLi4w3d]|15-24|Female</v>
      </c>
      <c r="F231" s="10"/>
      <c r="G231" s="10"/>
      <c r="H231" s="10"/>
      <c r="I231" s="10"/>
      <c r="J231" s="10"/>
      <c r="K231" s="10"/>
      <c r="L231" s="10"/>
      <c r="M231" s="10"/>
      <c r="N231" s="10"/>
      <c r="O231" s="10" t="str">
        <f aca="false">IFERROR(1/(1/MAX($I231,$N231)),"")</f>
        <v/>
      </c>
      <c r="P231" s="10"/>
      <c r="Q231" s="10"/>
      <c r="R231" s="10" t="str">
        <f aca="false">IF(AND(SUM($I231)=0,SUM($O231)=0),"",SUM($O231)-$I231)</f>
        <v/>
      </c>
      <c r="S231" s="10" t="n">
        <f aca="false">IF(LEFT($B231,4)="_Mil","",_xlfn.IFNA(ROUND(INDEX(Spectrum!$N:$N,MATCH(RIGHT($B231,13)&amp;"|"&amp;$C231&amp;"|"&amp;$D231&amp;"|"&amp;S$14&amp;"|"&amp;"CY2022Q4",Spectrum!$R:$R,0)),0),""))</f>
        <v>1318</v>
      </c>
      <c r="T231" s="39" t="n">
        <f aca="false">IF(LEFT($B231,4)="_Mil","",_xlfn.IFNA(ROUND(INDEX(Spectrum!$N:$N,MATCH(RIGHT($B231,13)&amp;"|"&amp;$C231&amp;"|"&amp;$D231&amp;"|"&amp;T$14&amp;"|"&amp;"CY2023Q3",Spectrum!$R:$R,0)),0),""))</f>
        <v>896</v>
      </c>
      <c r="U231" s="39" t="str">
        <f aca="false">IF(LEFT($B231,4)="_Mil","",_xlfn.IFNA(ROUND(INDEX(Spectrum!$N:$N,MATCH(RIGHT($B231,13)&amp;"|"&amp;$C231&amp;"|"&amp;$D231&amp;"|"&amp;U$14&amp;"|"&amp;"CY2023Q3",Spectrum!$R:$R,0)),0),""))</f>
        <v/>
      </c>
      <c r="V231" s="10" t="n">
        <f aca="false">IF(LEFT($B231,4)="_Mil","",_xlfn.IFNA(ROUND(INDEX(Spectrum!$N:$N,MATCH(RIGHT($B231,13)&amp;"|"&amp;$C231&amp;"|"&amp;$D231&amp;"|"&amp;V$14&amp;"|"&amp;"CY2023Q3",Spectrum!$R:$R,0)),0),""))</f>
        <v>1717</v>
      </c>
      <c r="W231" s="113" t="n">
        <f aca="false">IF(LEFT($B231,4)="_Mil","",_xlfn.IFNA(INDEX(Spectrum!$N:$N,MATCH(RIGHT($B231,13)&amp;"|"&amp;$C231&amp;"|"&amp;$D231&amp;"|"&amp;W$14&amp;"|"&amp;"CY2023Q3",Spectrum!$R:$R,0)),""))</f>
        <v>647</v>
      </c>
      <c r="X231" s="39" t="n">
        <f aca="false">IF(LEFT($B231,4)="_Mil","",_xlfn.IFNA(ROUND(INDEX(Spectrum!$N:$N,MATCH(RIGHT($B231,13)&amp;"|"&amp;$C231&amp;"|"&amp;$D231&amp;"|"&amp;X$14&amp;"|"&amp;"CY2023Q3",Spectrum!$R:$R,0)),0),""))</f>
        <v>766</v>
      </c>
      <c r="Y231" s="88" t="str">
        <f aca="false">IF(OR(SUM($U231)=0,LEFT($B231,4)="_Mil"),"",SUM($X231)/$U231)</f>
        <v/>
      </c>
      <c r="Z231" s="39" t="n">
        <f aca="false">IF(LEFT($B231,4)="_Mil","",_xlfn.IFNA(ROUND(INDEX(Spectrum!$N:$N,MATCH(RIGHT($B231,13)&amp;"|"&amp;$C231&amp;"|"&amp;$D231&amp;"|"&amp;Z$14&amp;"|"&amp;"CY2023Q3",Spectrum!$R:$R,0)),0),""))</f>
        <v>1189</v>
      </c>
      <c r="AA231" s="88" t="n">
        <f aca="false">IF(LEFT($B231,4)="_Mil","",IFERROR(1/(1/INDEX(Spectrum!$N:$N,MATCH(RIGHT($B231,13)&amp;"|"&amp;$C231&amp;"|"&amp;$D231&amp;"|"&amp;AA$14&amp;"|"&amp;"CY2023Q3",Spectrum!$R:$R,0))),IF(SUM($U231)=0,"",SUM($Z231)/$U231)))</f>
        <v>1175</v>
      </c>
      <c r="AB231" s="88" t="n">
        <f aca="false">IF(OR(LEFT($B231,4)="_Mil",SUM($X231)=0),"",SUM($Z231)/$X231)</f>
        <v>1.55221932114883</v>
      </c>
      <c r="AC231" s="10" t="n">
        <f aca="false">IF(LEFT($B231,4)="_Mil","",_xlfn.IFNA(ROUND(INDEX(Spectrum!$N:$N,MATCH(RIGHT($B231,13)&amp;"|"&amp;$C231&amp;"|"&amp;$D231&amp;"|"&amp;AC$14&amp;"|"&amp;"CY2023Q3",Spectrum!$R:$R,0)),0),""))</f>
        <v>947</v>
      </c>
      <c r="AD231" s="10" t="str">
        <f aca="false">IF(LEFT($B231,4)="_Mil","",_xlfn.IFNA(ROUND(INDEX(Spectrum!$N:$N,MATCH(RIGHT($B231,13)&amp;"|"&amp;$C231&amp;"|"&amp;$D231&amp;"|"&amp;AD$14&amp;"|"&amp;"CY2023Q3",Spectrum!$R:$R,0)),0),""))</f>
        <v/>
      </c>
      <c r="AE231" s="88" t="n">
        <f aca="false">IF(OR(LEFT($B231,4)="_Mil",SUM($Z231)=0),"",SUM($AD231)/$Z231)</f>
        <v>0</v>
      </c>
      <c r="AF231" s="39" t="str">
        <f aca="false">IF(LEFT($B231,4)="_Mil","",_xlfn.IFNA(ROUND(INDEX(Spectrum!$N:$N,MATCH(RIGHT($B231,13)&amp;"|"&amp;$C231&amp;"|"&amp;$D231&amp;"|"&amp;AF$14&amp;"|"&amp;"CY2023Q3",Spectrum!$R:$R,0)),0),""))</f>
        <v/>
      </c>
      <c r="AG231" s="88" t="str">
        <f aca="false">IF(OR(LEFT($B231,4)="_Mil",SUM($AD231)=0),"",SUM($AF231)/$AD231)</f>
        <v/>
      </c>
      <c r="AH231" s="86" t="str">
        <f aca="false">IF(LEFT($B231,4)="_Mil","",_xlfn.IFNA(INDEX(Spectrum!$N:$N,MATCH(RIGHT($B231,13)&amp;"|"&amp;$C231&amp;"|"&amp;$D231&amp;"|"&amp;AH$14&amp;"|"&amp;"CY2023Q3",Spectrum!$R:$R,0)),""))</f>
        <v/>
      </c>
      <c r="AI231" s="10" t="str">
        <f aca="false">IF(LEFT($B231,4)="_Mil","",_xlfn.IFNA(ROUND(INDEX(Spectrum!$N:$N,MATCH(RIGHT($B231,13)&amp;"|"&amp;$C231&amp;"|"&amp;$D231&amp;"|"&amp;AI$14&amp;"|"&amp;"CY2023Q3",Spectrum!$R:$R,0)),0),""))</f>
        <v/>
      </c>
      <c r="AJ231" s="39" t="n">
        <f aca="false">IF(LEFT($B231,4)="_Mil","",_xlfn.IFNA(ROUND(INDEX(Spectrum!$N:$N,MATCH(RIGHT($B231,13)&amp;"|"&amp;$C231&amp;"|"&amp;$D231&amp;"|"&amp;AI$14&amp;"|"&amp;"CY2023Q3",Spectrum!$R:$R,0)),0),SUM($U231)+SUM($AI231)))</f>
        <v>0</v>
      </c>
      <c r="AK231" s="10" t="str">
        <f aca="false">IF(LEFT($B231,4)="_Mil","",_xlfn.IFNA(ROUND(INDEX(Spectrum!$N:$N,MATCH(RIGHT($B231,13)&amp;"|"&amp;$C231&amp;"|"&amp;$D231&amp;"|"&amp;AK$14&amp;"|"&amp;"CY2023Q3",Spectrum!$R:$R,0)),0),""))</f>
        <v/>
      </c>
      <c r="AL231" s="88" t="n">
        <f aca="false">IF(OR(LEFT($B231,4)="_Mil",$C231="&lt;01"),"",MAX(SUM($AA231),90%))</f>
        <v>1175</v>
      </c>
      <c r="AM231" s="10" t="n">
        <f aca="false">IF(OR(LEFT($B231,4)="_Mil",$C231="&lt;01"),"",ROUND(SUM($AJ231)*SUM($AL231),0))</f>
        <v>0</v>
      </c>
      <c r="AN231" s="10" t="str">
        <f aca="false">IF($C231="&lt;01",ROUND(INDEX(EID!$P:$P,MATCH($B231,EID!$B:$B,0))/2,0),"")</f>
        <v/>
      </c>
      <c r="AO231" s="10" t="n">
        <f aca="false">IF($C231="&lt;01",SUM($AN231),ROUND(SUM($AM231)*SUM($O231)/IF(SUM($Z231)=0,1,$Z231),0))</f>
        <v>0</v>
      </c>
      <c r="AP231" s="39" t="n">
        <f aca="false">IF(OR($F231="",$C231="&lt;01"),$AO231,$F231)</f>
        <v>0</v>
      </c>
      <c r="AQ231" s="39" t="n">
        <f aca="false">IF(LEFT($B231,4)="_Mil","",IF(SUM($AP231)=0,SUM($Z231),IF(OR(SUM($Z231)=0,SUM($O231)=0),MAX($AP231,$Z231),$AP231*$Z231/$O231)))</f>
        <v>1189</v>
      </c>
      <c r="AR231" s="88" t="str">
        <f aca="false">IF(OR(LEFT($B231,4)="_Mil",SUM($AJ231)=0),"",SUM($AQ231)/$AJ231)</f>
        <v/>
      </c>
      <c r="AS231" s="88" t="n">
        <f aca="false">IF($C231="&lt;01","",98%)</f>
        <v>0.98</v>
      </c>
      <c r="AT231" s="88" t="n">
        <f aca="false">IF($C231="&lt;01","",98%)</f>
        <v>0.98</v>
      </c>
      <c r="AU231" s="10" t="n">
        <f aca="false">IF($C231="&lt;01","",SUM($AP231)-SUM($O231))</f>
        <v>0</v>
      </c>
      <c r="AV231" s="10" t="n">
        <f aca="false">IF($C231="&lt;01",ROUND(INDEX(EID!$N:$N,MATCH($B231,EID!$B:$B,0))/2,0),IF(SUM($AT231)=0,"",ROUND((SUM($AP231)-(SUM($O231)*SUM($AS231)))/$AT231,0)))</f>
        <v>0</v>
      </c>
      <c r="AW231" s="88" t="n">
        <f aca="false">IF($C231="&lt;01","",100%)</f>
        <v>1</v>
      </c>
      <c r="AX231" s="39" t="n">
        <f aca="false">IF($C231="&lt;01",SUM($AV231),ROUND(SUM($AV231)*SUM($AW231),0))</f>
        <v>0</v>
      </c>
      <c r="AY231" s="114" t="n">
        <f aca="false">IF($C231="&lt;01","",70%)</f>
        <v>0.7</v>
      </c>
      <c r="AZ231" s="91" t="n">
        <f aca="false">IF($C231="&lt;01",ROUND(INDEX(EID!$R:$R,MATCH($B231,EID!$B:$B,0))/2,0),ROUND(SUM($O231)+(SUM($AV231)*$AY231),0))</f>
        <v>0</v>
      </c>
      <c r="BA231" s="87" t="n">
        <f aca="false">IF($C231="&lt;01","",95%)</f>
        <v>0.95</v>
      </c>
      <c r="BB231" s="5" t="n">
        <f aca="false">IF($C231="&lt;01",ROUND(INDEX(EID!$T:$T,MATCH($B231,EID!$B:$B,0))/2,0),ROUND($AZ231*$BA231,0))</f>
        <v>0</v>
      </c>
      <c r="BC231" s="91" t="n">
        <f aca="false">IF(LEFT($B231,4)="_Mil","",IF(SUM($BB231)=0,SUM($AD231),IF(OR(SUM($AP231)=0,SUM($AQ231)=0),MAX($BB231,$AD231),ROUND($BB231*$AQ231/$AP231,0))))</f>
        <v>0</v>
      </c>
      <c r="BD231" s="88" t="n">
        <f aca="false">IF($C231="&lt;01","",95%)</f>
        <v>0.95</v>
      </c>
      <c r="BE231" s="39" t="n">
        <f aca="false">IF($C231="&lt;01",ROUND(INDEX(EID!$V:$V,MATCH($B231,EID!$B:$B,0))/2,0),ROUND($BD231*$BB231,0))</f>
        <v>0</v>
      </c>
      <c r="BF231" s="39" t="n">
        <f aca="false">IF(LEFT($B231,4)="_Mil","",IF(SUM($BE231)=0,SUM($AF231),IF(OR(SUM($AP231)=0,SUM($AQ231)=0),MAX($BE231,$AF231),ROUND($BE231*$AQ231/$AP231,0))))</f>
        <v>0</v>
      </c>
      <c r="BG231" s="114" t="n">
        <f aca="false">IF($C231="&lt;01","",95%)</f>
        <v>0.95</v>
      </c>
      <c r="BH231" s="5" t="n">
        <f aca="false">IF($C231="&lt;01",ROUND(INDEX(EID!$L:$L,MATCH($B231,EID!$B:$B,0)),0)/2,IF(SUM($BG231)=0,"",ROUND($AX231/$BG231,0)))</f>
        <v>0</v>
      </c>
    </row>
    <row r="232" customFormat="false" ht="15" hidden="false" customHeight="false" outlineLevel="0" collapsed="false">
      <c r="A232" s="0" t="str">
        <f aca="false">INDEX(Prioritization!$D:$D,MATCH($B232,Prioritization!$A:$A,0))</f>
        <v>INVALID</v>
      </c>
      <c r="B232" s="0" t="s">
        <v>209</v>
      </c>
      <c r="C232" s="0" t="s">
        <v>365</v>
      </c>
      <c r="D232" s="0" t="s">
        <v>48</v>
      </c>
      <c r="E232" s="0" t="str">
        <f aca="false">$B232&amp;"|"&amp;$C232&amp;"|"&amp;$D232</f>
        <v>Rumphi District [lPTyjLi4w3d]|15-24|Male</v>
      </c>
      <c r="F232" s="10"/>
      <c r="G232" s="10"/>
      <c r="H232" s="10"/>
      <c r="I232" s="10"/>
      <c r="J232" s="10"/>
      <c r="K232" s="10"/>
      <c r="L232" s="10"/>
      <c r="M232" s="10"/>
      <c r="N232" s="10"/>
      <c r="O232" s="10" t="str">
        <f aca="false">IFERROR(1/(1/MAX($I232,$N232)),"")</f>
        <v/>
      </c>
      <c r="P232" s="10"/>
      <c r="Q232" s="10"/>
      <c r="R232" s="10" t="str">
        <f aca="false">IF(AND(SUM($I232)=0,SUM($O232)=0),"",SUM($O232)-$I232)</f>
        <v/>
      </c>
      <c r="S232" s="10" t="n">
        <f aca="false">IF(LEFT($B232,4)="_Mil","",_xlfn.IFNA(ROUND(INDEX(Spectrum!$N:$N,MATCH(RIGHT($B232,13)&amp;"|"&amp;$C232&amp;"|"&amp;$D232&amp;"|"&amp;S$14&amp;"|"&amp;"CY2022Q4",Spectrum!$R:$R,0)),0),""))</f>
        <v>1070</v>
      </c>
      <c r="T232" s="39" t="n">
        <f aca="false">IF(LEFT($B232,4)="_Mil","",_xlfn.IFNA(ROUND(INDEX(Spectrum!$N:$N,MATCH(RIGHT($B232,13)&amp;"|"&amp;$C232&amp;"|"&amp;$D232&amp;"|"&amp;T$14&amp;"|"&amp;"CY2023Q3",Spectrum!$R:$R,0)),0),""))</f>
        <v>687</v>
      </c>
      <c r="U232" s="39" t="str">
        <f aca="false">IF(LEFT($B232,4)="_Mil","",_xlfn.IFNA(ROUND(INDEX(Spectrum!$N:$N,MATCH(RIGHT($B232,13)&amp;"|"&amp;$C232&amp;"|"&amp;$D232&amp;"|"&amp;U$14&amp;"|"&amp;"CY2023Q3",Spectrum!$R:$R,0)),0),""))</f>
        <v/>
      </c>
      <c r="V232" s="10" t="n">
        <f aca="false">IF(LEFT($B232,4)="_Mil","",_xlfn.IFNA(ROUND(INDEX(Spectrum!$N:$N,MATCH(RIGHT($B232,13)&amp;"|"&amp;$C232&amp;"|"&amp;$D232&amp;"|"&amp;V$14&amp;"|"&amp;"CY2023Q3",Spectrum!$R:$R,0)),0),""))</f>
        <v>1751</v>
      </c>
      <c r="W232" s="113" t="n">
        <f aca="false">IF(LEFT($B232,4)="_Mil","",_xlfn.IFNA(INDEX(Spectrum!$N:$N,MATCH(RIGHT($B232,13)&amp;"|"&amp;$C232&amp;"|"&amp;$D232&amp;"|"&amp;W$14&amp;"|"&amp;"CY2023Q3",Spectrum!$R:$R,0)),""))</f>
        <v>677</v>
      </c>
      <c r="X232" s="39" t="n">
        <f aca="false">IF(LEFT($B232,4)="_Mil","",_xlfn.IFNA(ROUND(INDEX(Spectrum!$N:$N,MATCH(RIGHT($B232,13)&amp;"|"&amp;$C232&amp;"|"&amp;$D232&amp;"|"&amp;X$14&amp;"|"&amp;"CY2023Q3",Spectrum!$R:$R,0)),0),""))</f>
        <v>1880</v>
      </c>
      <c r="Y232" s="88" t="str">
        <f aca="false">IF(OR(SUM($U232)=0,LEFT($B232,4)="_Mil"),"",SUM($X232)/$U232)</f>
        <v/>
      </c>
      <c r="Z232" s="39" t="n">
        <f aca="false">IF(LEFT($B232,4)="_Mil","",_xlfn.IFNA(ROUND(INDEX(Spectrum!$N:$N,MATCH(RIGHT($B232,13)&amp;"|"&amp;$C232&amp;"|"&amp;$D232&amp;"|"&amp;Z$14&amp;"|"&amp;"CY2023Q3",Spectrum!$R:$R,0)),0),""))</f>
        <v>530</v>
      </c>
      <c r="AA232" s="88" t="n">
        <f aca="false">IF(LEFT($B232,4)="_Mil","",IFERROR(1/(1/INDEX(Spectrum!$N:$N,MATCH(RIGHT($B232,13)&amp;"|"&amp;$C232&amp;"|"&amp;$D232&amp;"|"&amp;AA$14&amp;"|"&amp;"CY2023Q3",Spectrum!$R:$R,0))),IF(SUM($U232)=0,"",SUM($Z232)/$U232)))</f>
        <v>1548</v>
      </c>
      <c r="AB232" s="88" t="n">
        <f aca="false">IF(OR(LEFT($B232,4)="_Mil",SUM($X232)=0),"",SUM($Z232)/$X232)</f>
        <v>0.281914893617021</v>
      </c>
      <c r="AC232" s="10" t="n">
        <f aca="false">IF(LEFT($B232,4)="_Mil","",_xlfn.IFNA(ROUND(INDEX(Spectrum!$N:$N,MATCH(RIGHT($B232,13)&amp;"|"&amp;$C232&amp;"|"&amp;$D232&amp;"|"&amp;AC$14&amp;"|"&amp;"CY2023Q3",Spectrum!$R:$R,0)),0),""))</f>
        <v>1932</v>
      </c>
      <c r="AD232" s="10" t="str">
        <f aca="false">IF(LEFT($B232,4)="_Mil","",_xlfn.IFNA(ROUND(INDEX(Spectrum!$N:$N,MATCH(RIGHT($B232,13)&amp;"|"&amp;$C232&amp;"|"&amp;$D232&amp;"|"&amp;AD$14&amp;"|"&amp;"CY2023Q3",Spectrum!$R:$R,0)),0),""))</f>
        <v/>
      </c>
      <c r="AE232" s="88" t="n">
        <f aca="false">IF(OR(LEFT($B232,4)="_Mil",SUM($Z232)=0),"",SUM($AD232)/$Z232)</f>
        <v>0</v>
      </c>
      <c r="AF232" s="39" t="str">
        <f aca="false">IF(LEFT($B232,4)="_Mil","",_xlfn.IFNA(ROUND(INDEX(Spectrum!$N:$N,MATCH(RIGHT($B232,13)&amp;"|"&amp;$C232&amp;"|"&amp;$D232&amp;"|"&amp;AF$14&amp;"|"&amp;"CY2023Q3",Spectrum!$R:$R,0)),0),""))</f>
        <v/>
      </c>
      <c r="AG232" s="88" t="str">
        <f aca="false">IF(OR(LEFT($B232,4)="_Mil",SUM($AD232)=0),"",SUM($AF232)/$AD232)</f>
        <v/>
      </c>
      <c r="AH232" s="86" t="str">
        <f aca="false">IF(LEFT($B232,4)="_Mil","",_xlfn.IFNA(INDEX(Spectrum!$N:$N,MATCH(RIGHT($B232,13)&amp;"|"&amp;$C232&amp;"|"&amp;$D232&amp;"|"&amp;AH$14&amp;"|"&amp;"CY2023Q3",Spectrum!$R:$R,0)),""))</f>
        <v/>
      </c>
      <c r="AI232" s="10" t="str">
        <f aca="false">IF(LEFT($B232,4)="_Mil","",_xlfn.IFNA(ROUND(INDEX(Spectrum!$N:$N,MATCH(RIGHT($B232,13)&amp;"|"&amp;$C232&amp;"|"&amp;$D232&amp;"|"&amp;AI$14&amp;"|"&amp;"CY2023Q3",Spectrum!$R:$R,0)),0),""))</f>
        <v/>
      </c>
      <c r="AJ232" s="39" t="n">
        <f aca="false">IF(LEFT($B232,4)="_Mil","",_xlfn.IFNA(ROUND(INDEX(Spectrum!$N:$N,MATCH(RIGHT($B232,13)&amp;"|"&amp;$C232&amp;"|"&amp;$D232&amp;"|"&amp;AI$14&amp;"|"&amp;"CY2023Q3",Spectrum!$R:$R,0)),0),SUM($U232)+SUM($AI232)))</f>
        <v>0</v>
      </c>
      <c r="AK232" s="10" t="str">
        <f aca="false">IF(LEFT($B232,4)="_Mil","",_xlfn.IFNA(ROUND(INDEX(Spectrum!$N:$N,MATCH(RIGHT($B232,13)&amp;"|"&amp;$C232&amp;"|"&amp;$D232&amp;"|"&amp;AK$14&amp;"|"&amp;"CY2023Q3",Spectrum!$R:$R,0)),0),""))</f>
        <v/>
      </c>
      <c r="AL232" s="88" t="n">
        <f aca="false">IF(OR(LEFT($B232,4)="_Mil",$C232="&lt;01"),"",MAX(SUM($AA232),90%))</f>
        <v>1548</v>
      </c>
      <c r="AM232" s="10" t="n">
        <f aca="false">IF(OR(LEFT($B232,4)="_Mil",$C232="&lt;01"),"",ROUND(SUM($AJ232)*SUM($AL232),0))</f>
        <v>0</v>
      </c>
      <c r="AN232" s="10" t="str">
        <f aca="false">IF($C232="&lt;01",ROUND(INDEX(EID!$P:$P,MATCH($B232,EID!$B:$B,0))/2,0),"")</f>
        <v/>
      </c>
      <c r="AO232" s="10" t="n">
        <f aca="false">IF($C232="&lt;01",SUM($AN232),ROUND(SUM($AM232)*SUM($O232)/IF(SUM($Z232)=0,1,$Z232),0))</f>
        <v>0</v>
      </c>
      <c r="AP232" s="39" t="n">
        <f aca="false">IF(OR($F232="",$C232="&lt;01"),$AO232,$F232)</f>
        <v>0</v>
      </c>
      <c r="AQ232" s="39" t="n">
        <f aca="false">IF(LEFT($B232,4)="_Mil","",IF(SUM($AP232)=0,SUM($Z232),IF(OR(SUM($Z232)=0,SUM($O232)=0),MAX($AP232,$Z232),$AP232*$Z232/$O232)))</f>
        <v>530</v>
      </c>
      <c r="AR232" s="88" t="str">
        <f aca="false">IF(OR(LEFT($B232,4)="_Mil",SUM($AJ232)=0),"",SUM($AQ232)/$AJ232)</f>
        <v/>
      </c>
      <c r="AS232" s="88" t="n">
        <f aca="false">IF($C232="&lt;01","",98%)</f>
        <v>0.98</v>
      </c>
      <c r="AT232" s="88" t="n">
        <f aca="false">IF($C232="&lt;01","",98%)</f>
        <v>0.98</v>
      </c>
      <c r="AU232" s="10" t="n">
        <f aca="false">IF($C232="&lt;01","",SUM($AP232)-SUM($O232))</f>
        <v>0</v>
      </c>
      <c r="AV232" s="10" t="n">
        <f aca="false">IF($C232="&lt;01",ROUND(INDEX(EID!$N:$N,MATCH($B232,EID!$B:$B,0))/2,0),IF(SUM($AT232)=0,"",ROUND((SUM($AP232)-(SUM($O232)*SUM($AS232)))/$AT232,0)))</f>
        <v>0</v>
      </c>
      <c r="AW232" s="88" t="n">
        <f aca="false">IF($C232="&lt;01","",100%)</f>
        <v>1</v>
      </c>
      <c r="AX232" s="39" t="n">
        <f aca="false">IF($C232="&lt;01",SUM($AV232),ROUND(SUM($AV232)*SUM($AW232),0))</f>
        <v>0</v>
      </c>
      <c r="AY232" s="114" t="n">
        <f aca="false">IF($C232="&lt;01","",70%)</f>
        <v>0.7</v>
      </c>
      <c r="AZ232" s="91" t="n">
        <f aca="false">IF($C232="&lt;01",ROUND(INDEX(EID!$R:$R,MATCH($B232,EID!$B:$B,0))/2,0),ROUND(SUM($O232)+(SUM($AV232)*$AY232),0))</f>
        <v>0</v>
      </c>
      <c r="BA232" s="87" t="n">
        <f aca="false">IF($C232="&lt;01","",95%)</f>
        <v>0.95</v>
      </c>
      <c r="BB232" s="5" t="n">
        <f aca="false">IF($C232="&lt;01",ROUND(INDEX(EID!$T:$T,MATCH($B232,EID!$B:$B,0))/2,0),ROUND($AZ232*$BA232,0))</f>
        <v>0</v>
      </c>
      <c r="BC232" s="91" t="n">
        <f aca="false">IF(LEFT($B232,4)="_Mil","",IF(SUM($BB232)=0,SUM($AD232),IF(OR(SUM($AP232)=0,SUM($AQ232)=0),MAX($BB232,$AD232),ROUND($BB232*$AQ232/$AP232,0))))</f>
        <v>0</v>
      </c>
      <c r="BD232" s="88" t="n">
        <f aca="false">IF($C232="&lt;01","",95%)</f>
        <v>0.95</v>
      </c>
      <c r="BE232" s="39" t="n">
        <f aca="false">IF($C232="&lt;01",ROUND(INDEX(EID!$V:$V,MATCH($B232,EID!$B:$B,0))/2,0),ROUND($BD232*$BB232,0))</f>
        <v>0</v>
      </c>
      <c r="BF232" s="39" t="n">
        <f aca="false">IF(LEFT($B232,4)="_Mil","",IF(SUM($BE232)=0,SUM($AF232),IF(OR(SUM($AP232)=0,SUM($AQ232)=0),MAX($BE232,$AF232),ROUND($BE232*$AQ232/$AP232,0))))</f>
        <v>0</v>
      </c>
      <c r="BG232" s="114" t="n">
        <f aca="false">IF($C232="&lt;01","",95%)</f>
        <v>0.95</v>
      </c>
      <c r="BH232" s="5" t="n">
        <f aca="false">IF($C232="&lt;01",ROUND(INDEX(EID!$L:$L,MATCH($B232,EID!$B:$B,0)),0)/2,IF(SUM($BG232)=0,"",ROUND($AX232/$BG232,0)))</f>
        <v>0</v>
      </c>
    </row>
    <row r="233" customFormat="false" ht="15" hidden="false" customHeight="false" outlineLevel="0" collapsed="false">
      <c r="A233" s="0" t="str">
        <f aca="false">INDEX(Prioritization!$D:$D,MATCH($B233,Prioritization!$A:$A,0))</f>
        <v>INVALID</v>
      </c>
      <c r="B233" s="0" t="s">
        <v>209</v>
      </c>
      <c r="C233" s="0" t="s">
        <v>366</v>
      </c>
      <c r="D233" s="0" t="s">
        <v>30</v>
      </c>
      <c r="E233" s="0" t="str">
        <f aca="false">$B233&amp;"|"&amp;$C233&amp;"|"&amp;$D233</f>
        <v>Rumphi District [lPTyjLi4w3d]|25-34|Female</v>
      </c>
      <c r="F233" s="10"/>
      <c r="G233" s="10"/>
      <c r="H233" s="10"/>
      <c r="I233" s="10"/>
      <c r="J233" s="10"/>
      <c r="K233" s="10"/>
      <c r="L233" s="10"/>
      <c r="M233" s="10"/>
      <c r="N233" s="10"/>
      <c r="O233" s="10" t="str">
        <f aca="false">IFERROR(1/(1/MAX($I233,$N233)),"")</f>
        <v/>
      </c>
      <c r="P233" s="10"/>
      <c r="Q233" s="10"/>
      <c r="R233" s="10" t="str">
        <f aca="false">IF(AND(SUM($I233)=0,SUM($O233)=0),"",SUM($O233)-$I233)</f>
        <v/>
      </c>
      <c r="S233" s="10" t="n">
        <f aca="false">IF(LEFT($B233,4)="_Mil","",_xlfn.IFNA(ROUND(INDEX(Spectrum!$N:$N,MATCH(RIGHT($B233,13)&amp;"|"&amp;$C233&amp;"|"&amp;$D233&amp;"|"&amp;S$14&amp;"|"&amp;"CY2022Q4",Spectrum!$R:$R,0)),0),""))</f>
        <v>1948</v>
      </c>
      <c r="T233" s="39" t="n">
        <f aca="false">IF(LEFT($B233,4)="_Mil","",_xlfn.IFNA(ROUND(INDEX(Spectrum!$N:$N,MATCH(RIGHT($B233,13)&amp;"|"&amp;$C233&amp;"|"&amp;$D233&amp;"|"&amp;T$14&amp;"|"&amp;"CY2023Q3",Spectrum!$R:$R,0)),0),""))</f>
        <v>1885</v>
      </c>
      <c r="U233" s="39" t="str">
        <f aca="false">IF(LEFT($B233,4)="_Mil","",_xlfn.IFNA(ROUND(INDEX(Spectrum!$N:$N,MATCH(RIGHT($B233,13)&amp;"|"&amp;$C233&amp;"|"&amp;$D233&amp;"|"&amp;U$14&amp;"|"&amp;"CY2023Q3",Spectrum!$R:$R,0)),0),""))</f>
        <v/>
      </c>
      <c r="V233" s="10" t="n">
        <f aca="false">IF(LEFT($B233,4)="_Mil","",_xlfn.IFNA(ROUND(INDEX(Spectrum!$N:$N,MATCH(RIGHT($B233,13)&amp;"|"&amp;$C233&amp;"|"&amp;$D233&amp;"|"&amp;V$14&amp;"|"&amp;"CY2023Q3",Spectrum!$R:$R,0)),0),""))</f>
        <v>1768</v>
      </c>
      <c r="W233" s="113" t="n">
        <f aca="false">IF(LEFT($B233,4)="_Mil","",_xlfn.IFNA(INDEX(Spectrum!$N:$N,MATCH(RIGHT($B233,13)&amp;"|"&amp;$C233&amp;"|"&amp;$D233&amp;"|"&amp;W$14&amp;"|"&amp;"CY2023Q3",Spectrum!$R:$R,0)),""))</f>
        <v>986</v>
      </c>
      <c r="X233" s="39" t="n">
        <f aca="false">IF(LEFT($B233,4)="_Mil","",_xlfn.IFNA(ROUND(INDEX(Spectrum!$N:$N,MATCH(RIGHT($B233,13)&amp;"|"&amp;$C233&amp;"|"&amp;$D233&amp;"|"&amp;X$14&amp;"|"&amp;"CY2023Q3",Spectrum!$R:$R,0)),0),""))</f>
        <v>1177</v>
      </c>
      <c r="Y233" s="88" t="str">
        <f aca="false">IF(OR(SUM($U233)=0,LEFT($B233,4)="_Mil"),"",SUM($X233)/$U233)</f>
        <v/>
      </c>
      <c r="Z233" s="39" t="n">
        <f aca="false">IF(LEFT($B233,4)="_Mil","",_xlfn.IFNA(ROUND(INDEX(Spectrum!$N:$N,MATCH(RIGHT($B233,13)&amp;"|"&amp;$C233&amp;"|"&amp;$D233&amp;"|"&amp;Z$14&amp;"|"&amp;"CY2023Q3",Spectrum!$R:$R,0)),0),""))</f>
        <v>1882</v>
      </c>
      <c r="AA233" s="88" t="n">
        <f aca="false">IF(LEFT($B233,4)="_Mil","",IFERROR(1/(1/INDEX(Spectrum!$N:$N,MATCH(RIGHT($B233,13)&amp;"|"&amp;$C233&amp;"|"&amp;$D233&amp;"|"&amp;AA$14&amp;"|"&amp;"CY2023Q3",Spectrum!$R:$R,0))),IF(SUM($U233)=0,"",SUM($Z233)/$U233)))</f>
        <v>1520</v>
      </c>
      <c r="AB233" s="88" t="n">
        <f aca="false">IF(OR(LEFT($B233,4)="_Mil",SUM($X233)=0),"",SUM($Z233)/$X233)</f>
        <v>1.59898045879354</v>
      </c>
      <c r="AC233" s="10" t="n">
        <f aca="false">IF(LEFT($B233,4)="_Mil","",_xlfn.IFNA(ROUND(INDEX(Spectrum!$N:$N,MATCH(RIGHT($B233,13)&amp;"|"&amp;$C233&amp;"|"&amp;$D233&amp;"|"&amp;AC$14&amp;"|"&amp;"CY2023Q3",Spectrum!$R:$R,0)),0),""))</f>
        <v>1411</v>
      </c>
      <c r="AD233" s="10" t="str">
        <f aca="false">IF(LEFT($B233,4)="_Mil","",_xlfn.IFNA(ROUND(INDEX(Spectrum!$N:$N,MATCH(RIGHT($B233,13)&amp;"|"&amp;$C233&amp;"|"&amp;$D233&amp;"|"&amp;AD$14&amp;"|"&amp;"CY2023Q3",Spectrum!$R:$R,0)),0),""))</f>
        <v/>
      </c>
      <c r="AE233" s="88" t="n">
        <f aca="false">IF(OR(LEFT($B233,4)="_Mil",SUM($Z233)=0),"",SUM($AD233)/$Z233)</f>
        <v>0</v>
      </c>
      <c r="AF233" s="39" t="str">
        <f aca="false">IF(LEFT($B233,4)="_Mil","",_xlfn.IFNA(ROUND(INDEX(Spectrum!$N:$N,MATCH(RIGHT($B233,13)&amp;"|"&amp;$C233&amp;"|"&amp;$D233&amp;"|"&amp;AF$14&amp;"|"&amp;"CY2023Q3",Spectrum!$R:$R,0)),0),""))</f>
        <v/>
      </c>
      <c r="AG233" s="88" t="str">
        <f aca="false">IF(OR(LEFT($B233,4)="_Mil",SUM($AD233)=0),"",SUM($AF233)/$AD233)</f>
        <v/>
      </c>
      <c r="AH233" s="86" t="str">
        <f aca="false">IF(LEFT($B233,4)="_Mil","",_xlfn.IFNA(INDEX(Spectrum!$N:$N,MATCH(RIGHT($B233,13)&amp;"|"&amp;$C233&amp;"|"&amp;$D233&amp;"|"&amp;AH$14&amp;"|"&amp;"CY2023Q3",Spectrum!$R:$R,0)),""))</f>
        <v/>
      </c>
      <c r="AI233" s="10" t="str">
        <f aca="false">IF(LEFT($B233,4)="_Mil","",_xlfn.IFNA(ROUND(INDEX(Spectrum!$N:$N,MATCH(RIGHT($B233,13)&amp;"|"&amp;$C233&amp;"|"&amp;$D233&amp;"|"&amp;AI$14&amp;"|"&amp;"CY2023Q3",Spectrum!$R:$R,0)),0),""))</f>
        <v/>
      </c>
      <c r="AJ233" s="39" t="n">
        <f aca="false">IF(LEFT($B233,4)="_Mil","",_xlfn.IFNA(ROUND(INDEX(Spectrum!$N:$N,MATCH(RIGHT($B233,13)&amp;"|"&amp;$C233&amp;"|"&amp;$D233&amp;"|"&amp;AI$14&amp;"|"&amp;"CY2023Q3",Spectrum!$R:$R,0)),0),SUM($U233)+SUM($AI233)))</f>
        <v>0</v>
      </c>
      <c r="AK233" s="10" t="str">
        <f aca="false">IF(LEFT($B233,4)="_Mil","",_xlfn.IFNA(ROUND(INDEX(Spectrum!$N:$N,MATCH(RIGHT($B233,13)&amp;"|"&amp;$C233&amp;"|"&amp;$D233&amp;"|"&amp;AK$14&amp;"|"&amp;"CY2023Q3",Spectrum!$R:$R,0)),0),""))</f>
        <v/>
      </c>
      <c r="AL233" s="88" t="n">
        <f aca="false">IF(OR(LEFT($B233,4)="_Mil",$C233="&lt;01"),"",MAX(SUM($AA233),90%))</f>
        <v>1520</v>
      </c>
      <c r="AM233" s="10" t="n">
        <f aca="false">IF(OR(LEFT($B233,4)="_Mil",$C233="&lt;01"),"",ROUND(SUM($AJ233)*SUM($AL233),0))</f>
        <v>0</v>
      </c>
      <c r="AN233" s="10" t="str">
        <f aca="false">IF($C233="&lt;01",ROUND(INDEX(EID!$P:$P,MATCH($B233,EID!$B:$B,0))/2,0),"")</f>
        <v/>
      </c>
      <c r="AO233" s="10" t="n">
        <f aca="false">IF($C233="&lt;01",SUM($AN233),ROUND(SUM($AM233)*SUM($O233)/IF(SUM($Z233)=0,1,$Z233),0))</f>
        <v>0</v>
      </c>
      <c r="AP233" s="39" t="n">
        <f aca="false">IF(OR($F233="",$C233="&lt;01"),$AO233,$F233)</f>
        <v>0</v>
      </c>
      <c r="AQ233" s="39" t="n">
        <f aca="false">IF(LEFT($B233,4)="_Mil","",IF(SUM($AP233)=0,SUM($Z233),IF(OR(SUM($Z233)=0,SUM($O233)=0),MAX($AP233,$Z233),$AP233*$Z233/$O233)))</f>
        <v>1882</v>
      </c>
      <c r="AR233" s="88" t="str">
        <f aca="false">IF(OR(LEFT($B233,4)="_Mil",SUM($AJ233)=0),"",SUM($AQ233)/$AJ233)</f>
        <v/>
      </c>
      <c r="AS233" s="88" t="n">
        <f aca="false">IF($C233="&lt;01","",98%)</f>
        <v>0.98</v>
      </c>
      <c r="AT233" s="88" t="n">
        <f aca="false">IF($C233="&lt;01","",98%)</f>
        <v>0.98</v>
      </c>
      <c r="AU233" s="10" t="n">
        <f aca="false">IF($C233="&lt;01","",SUM($AP233)-SUM($O233))</f>
        <v>0</v>
      </c>
      <c r="AV233" s="10" t="n">
        <f aca="false">IF($C233="&lt;01",ROUND(INDEX(EID!$N:$N,MATCH($B233,EID!$B:$B,0))/2,0),IF(SUM($AT233)=0,"",ROUND((SUM($AP233)-(SUM($O233)*SUM($AS233)))/$AT233,0)))</f>
        <v>0</v>
      </c>
      <c r="AW233" s="88" t="n">
        <f aca="false">IF($C233="&lt;01","",100%)</f>
        <v>1</v>
      </c>
      <c r="AX233" s="39" t="n">
        <f aca="false">IF($C233="&lt;01",SUM($AV233),ROUND(SUM($AV233)*SUM($AW233),0))</f>
        <v>0</v>
      </c>
      <c r="AY233" s="114" t="n">
        <f aca="false">IF($C233="&lt;01","",70%)</f>
        <v>0.7</v>
      </c>
      <c r="AZ233" s="91" t="n">
        <f aca="false">IF($C233="&lt;01",ROUND(INDEX(EID!$R:$R,MATCH($B233,EID!$B:$B,0))/2,0),ROUND(SUM($O233)+(SUM($AV233)*$AY233),0))</f>
        <v>0</v>
      </c>
      <c r="BA233" s="87" t="n">
        <f aca="false">IF($C233="&lt;01","",95%)</f>
        <v>0.95</v>
      </c>
      <c r="BB233" s="5" t="n">
        <f aca="false">IF($C233="&lt;01",ROUND(INDEX(EID!$T:$T,MATCH($B233,EID!$B:$B,0))/2,0),ROUND($AZ233*$BA233,0))</f>
        <v>0</v>
      </c>
      <c r="BC233" s="91" t="n">
        <f aca="false">IF(LEFT($B233,4)="_Mil","",IF(SUM($BB233)=0,SUM($AD233),IF(OR(SUM($AP233)=0,SUM($AQ233)=0),MAX($BB233,$AD233),ROUND($BB233*$AQ233/$AP233,0))))</f>
        <v>0</v>
      </c>
      <c r="BD233" s="88" t="n">
        <f aca="false">IF($C233="&lt;01","",95%)</f>
        <v>0.95</v>
      </c>
      <c r="BE233" s="39" t="n">
        <f aca="false">IF($C233="&lt;01",ROUND(INDEX(EID!$V:$V,MATCH($B233,EID!$B:$B,0))/2,0),ROUND($BD233*$BB233,0))</f>
        <v>0</v>
      </c>
      <c r="BF233" s="39" t="n">
        <f aca="false">IF(LEFT($B233,4)="_Mil","",IF(SUM($BE233)=0,SUM($AF233),IF(OR(SUM($AP233)=0,SUM($AQ233)=0),MAX($BE233,$AF233),ROUND($BE233*$AQ233/$AP233,0))))</f>
        <v>0</v>
      </c>
      <c r="BG233" s="114" t="n">
        <f aca="false">IF($C233="&lt;01","",95%)</f>
        <v>0.95</v>
      </c>
      <c r="BH233" s="5" t="n">
        <f aca="false">IF($C233="&lt;01",ROUND(INDEX(EID!$L:$L,MATCH($B233,EID!$B:$B,0)),0)/2,IF(SUM($BG233)=0,"",ROUND($AX233/$BG233,0)))</f>
        <v>0</v>
      </c>
    </row>
    <row r="234" customFormat="false" ht="15" hidden="false" customHeight="false" outlineLevel="0" collapsed="false">
      <c r="A234" s="0" t="str">
        <f aca="false">INDEX(Prioritization!$D:$D,MATCH($B234,Prioritization!$A:$A,0))</f>
        <v>INVALID</v>
      </c>
      <c r="B234" s="0" t="s">
        <v>209</v>
      </c>
      <c r="C234" s="0" t="s">
        <v>366</v>
      </c>
      <c r="D234" s="0" t="s">
        <v>48</v>
      </c>
      <c r="E234" s="0" t="str">
        <f aca="false">$B234&amp;"|"&amp;$C234&amp;"|"&amp;$D234</f>
        <v>Rumphi District [lPTyjLi4w3d]|25-34|Male</v>
      </c>
      <c r="F234" s="10"/>
      <c r="G234" s="10"/>
      <c r="H234" s="10"/>
      <c r="I234" s="10"/>
      <c r="J234" s="10"/>
      <c r="K234" s="10"/>
      <c r="L234" s="10"/>
      <c r="M234" s="10"/>
      <c r="N234" s="10"/>
      <c r="O234" s="10" t="str">
        <f aca="false">IFERROR(1/(1/MAX($I234,$N234)),"")</f>
        <v/>
      </c>
      <c r="P234" s="10"/>
      <c r="Q234" s="10"/>
      <c r="R234" s="10" t="str">
        <f aca="false">IF(AND(SUM($I234)=0,SUM($O234)=0),"",SUM($O234)-$I234)</f>
        <v/>
      </c>
      <c r="S234" s="10" t="n">
        <f aca="false">IF(LEFT($B234,4)="_Mil","",_xlfn.IFNA(ROUND(INDEX(Spectrum!$N:$N,MATCH(RIGHT($B234,13)&amp;"|"&amp;$C234&amp;"|"&amp;$D234&amp;"|"&amp;S$14&amp;"|"&amp;"CY2022Q4",Spectrum!$R:$R,0)),0),""))</f>
        <v>946</v>
      </c>
      <c r="T234" s="39" t="n">
        <f aca="false">IF(LEFT($B234,4)="_Mil","",_xlfn.IFNA(ROUND(INDEX(Spectrum!$N:$N,MATCH(RIGHT($B234,13)&amp;"|"&amp;$C234&amp;"|"&amp;$D234&amp;"|"&amp;T$14&amp;"|"&amp;"CY2023Q3",Spectrum!$R:$R,0)),0),""))</f>
        <v>1661</v>
      </c>
      <c r="U234" s="39" t="str">
        <f aca="false">IF(LEFT($B234,4)="_Mil","",_xlfn.IFNA(ROUND(INDEX(Spectrum!$N:$N,MATCH(RIGHT($B234,13)&amp;"|"&amp;$C234&amp;"|"&amp;$D234&amp;"|"&amp;U$14&amp;"|"&amp;"CY2023Q3",Spectrum!$R:$R,0)),0),""))</f>
        <v/>
      </c>
      <c r="V234" s="10" t="n">
        <f aca="false">IF(LEFT($B234,4)="_Mil","",_xlfn.IFNA(ROUND(INDEX(Spectrum!$N:$N,MATCH(RIGHT($B234,13)&amp;"|"&amp;$C234&amp;"|"&amp;$D234&amp;"|"&amp;V$14&amp;"|"&amp;"CY2023Q3",Spectrum!$R:$R,0)),0),""))</f>
        <v>1514</v>
      </c>
      <c r="W234" s="113" t="n">
        <f aca="false">IF(LEFT($B234,4)="_Mil","",_xlfn.IFNA(INDEX(Spectrum!$N:$N,MATCH(RIGHT($B234,13)&amp;"|"&amp;$C234&amp;"|"&amp;$D234&amp;"|"&amp;W$14&amp;"|"&amp;"CY2023Q3",Spectrum!$R:$R,0)),""))</f>
        <v>1858</v>
      </c>
      <c r="X234" s="39" t="n">
        <f aca="false">IF(LEFT($B234,4)="_Mil","",_xlfn.IFNA(ROUND(INDEX(Spectrum!$N:$N,MATCH(RIGHT($B234,13)&amp;"|"&amp;$C234&amp;"|"&amp;$D234&amp;"|"&amp;X$14&amp;"|"&amp;"CY2023Q3",Spectrum!$R:$R,0)),0),""))</f>
        <v>1021</v>
      </c>
      <c r="Y234" s="88" t="str">
        <f aca="false">IF(OR(SUM($U234)=0,LEFT($B234,4)="_Mil"),"",SUM($X234)/$U234)</f>
        <v/>
      </c>
      <c r="Z234" s="39" t="n">
        <f aca="false">IF(LEFT($B234,4)="_Mil","",_xlfn.IFNA(ROUND(INDEX(Spectrum!$N:$N,MATCH(RIGHT($B234,13)&amp;"|"&amp;$C234&amp;"|"&amp;$D234&amp;"|"&amp;Z$14&amp;"|"&amp;"CY2023Q3",Spectrum!$R:$R,0)),0),""))</f>
        <v>502</v>
      </c>
      <c r="AA234" s="88" t="n">
        <f aca="false">IF(LEFT($B234,4)="_Mil","",IFERROR(1/(1/INDEX(Spectrum!$N:$N,MATCH(RIGHT($B234,13)&amp;"|"&amp;$C234&amp;"|"&amp;$D234&amp;"|"&amp;AA$14&amp;"|"&amp;"CY2023Q3",Spectrum!$R:$R,0))),IF(SUM($U234)=0,"",SUM($Z234)/$U234)))</f>
        <v>1048</v>
      </c>
      <c r="AB234" s="88" t="n">
        <f aca="false">IF(OR(LEFT($B234,4)="_Mil",SUM($X234)=0),"",SUM($Z234)/$X234)</f>
        <v>0.491674828599412</v>
      </c>
      <c r="AC234" s="10" t="n">
        <f aca="false">IF(LEFT($B234,4)="_Mil","",_xlfn.IFNA(ROUND(INDEX(Spectrum!$N:$N,MATCH(RIGHT($B234,13)&amp;"|"&amp;$C234&amp;"|"&amp;$D234&amp;"|"&amp;AC$14&amp;"|"&amp;"CY2023Q3",Spectrum!$R:$R,0)),0),""))</f>
        <v>1431</v>
      </c>
      <c r="AD234" s="10" t="str">
        <f aca="false">IF(LEFT($B234,4)="_Mil","",_xlfn.IFNA(ROUND(INDEX(Spectrum!$N:$N,MATCH(RIGHT($B234,13)&amp;"|"&amp;$C234&amp;"|"&amp;$D234&amp;"|"&amp;AD$14&amp;"|"&amp;"CY2023Q3",Spectrum!$R:$R,0)),0),""))</f>
        <v/>
      </c>
      <c r="AE234" s="88" t="n">
        <f aca="false">IF(OR(LEFT($B234,4)="_Mil",SUM($Z234)=0),"",SUM($AD234)/$Z234)</f>
        <v>0</v>
      </c>
      <c r="AF234" s="39" t="str">
        <f aca="false">IF(LEFT($B234,4)="_Mil","",_xlfn.IFNA(ROUND(INDEX(Spectrum!$N:$N,MATCH(RIGHT($B234,13)&amp;"|"&amp;$C234&amp;"|"&amp;$D234&amp;"|"&amp;AF$14&amp;"|"&amp;"CY2023Q3",Spectrum!$R:$R,0)),0),""))</f>
        <v/>
      </c>
      <c r="AG234" s="88" t="str">
        <f aca="false">IF(OR(LEFT($B234,4)="_Mil",SUM($AD234)=0),"",SUM($AF234)/$AD234)</f>
        <v/>
      </c>
      <c r="AH234" s="86" t="str">
        <f aca="false">IF(LEFT($B234,4)="_Mil","",_xlfn.IFNA(INDEX(Spectrum!$N:$N,MATCH(RIGHT($B234,13)&amp;"|"&amp;$C234&amp;"|"&amp;$D234&amp;"|"&amp;AH$14&amp;"|"&amp;"CY2023Q3",Spectrum!$R:$R,0)),""))</f>
        <v/>
      </c>
      <c r="AI234" s="10" t="str">
        <f aca="false">IF(LEFT($B234,4)="_Mil","",_xlfn.IFNA(ROUND(INDEX(Spectrum!$N:$N,MATCH(RIGHT($B234,13)&amp;"|"&amp;$C234&amp;"|"&amp;$D234&amp;"|"&amp;AI$14&amp;"|"&amp;"CY2023Q3",Spectrum!$R:$R,0)),0),""))</f>
        <v/>
      </c>
      <c r="AJ234" s="39" t="n">
        <f aca="false">IF(LEFT($B234,4)="_Mil","",_xlfn.IFNA(ROUND(INDEX(Spectrum!$N:$N,MATCH(RIGHT($B234,13)&amp;"|"&amp;$C234&amp;"|"&amp;$D234&amp;"|"&amp;AI$14&amp;"|"&amp;"CY2023Q3",Spectrum!$R:$R,0)),0),SUM($U234)+SUM($AI234)))</f>
        <v>0</v>
      </c>
      <c r="AK234" s="10" t="str">
        <f aca="false">IF(LEFT($B234,4)="_Mil","",_xlfn.IFNA(ROUND(INDEX(Spectrum!$N:$N,MATCH(RIGHT($B234,13)&amp;"|"&amp;$C234&amp;"|"&amp;$D234&amp;"|"&amp;AK$14&amp;"|"&amp;"CY2023Q3",Spectrum!$R:$R,0)),0),""))</f>
        <v/>
      </c>
      <c r="AL234" s="88" t="n">
        <f aca="false">IF(OR(LEFT($B234,4)="_Mil",$C234="&lt;01"),"",MAX(SUM($AA234),90%))</f>
        <v>1048</v>
      </c>
      <c r="AM234" s="10" t="n">
        <f aca="false">IF(OR(LEFT($B234,4)="_Mil",$C234="&lt;01"),"",ROUND(SUM($AJ234)*SUM($AL234),0))</f>
        <v>0</v>
      </c>
      <c r="AN234" s="10" t="str">
        <f aca="false">IF($C234="&lt;01",ROUND(INDEX(EID!$P:$P,MATCH($B234,EID!$B:$B,0))/2,0),"")</f>
        <v/>
      </c>
      <c r="AO234" s="10" t="n">
        <f aca="false">IF($C234="&lt;01",SUM($AN234),ROUND(SUM($AM234)*SUM($O234)/IF(SUM($Z234)=0,1,$Z234),0))</f>
        <v>0</v>
      </c>
      <c r="AP234" s="39" t="n">
        <f aca="false">IF(OR($F234="",$C234="&lt;01"),$AO234,$F234)</f>
        <v>0</v>
      </c>
      <c r="AQ234" s="39" t="n">
        <f aca="false">IF(LEFT($B234,4)="_Mil","",IF(SUM($AP234)=0,SUM($Z234),IF(OR(SUM($Z234)=0,SUM($O234)=0),MAX($AP234,$Z234),$AP234*$Z234/$O234)))</f>
        <v>502</v>
      </c>
      <c r="AR234" s="88" t="str">
        <f aca="false">IF(OR(LEFT($B234,4)="_Mil",SUM($AJ234)=0),"",SUM($AQ234)/$AJ234)</f>
        <v/>
      </c>
      <c r="AS234" s="88" t="n">
        <f aca="false">IF($C234="&lt;01","",98%)</f>
        <v>0.98</v>
      </c>
      <c r="AT234" s="88" t="n">
        <f aca="false">IF($C234="&lt;01","",98%)</f>
        <v>0.98</v>
      </c>
      <c r="AU234" s="10" t="n">
        <f aca="false">IF($C234="&lt;01","",SUM($AP234)-SUM($O234))</f>
        <v>0</v>
      </c>
      <c r="AV234" s="10" t="n">
        <f aca="false">IF($C234="&lt;01",ROUND(INDEX(EID!$N:$N,MATCH($B234,EID!$B:$B,0))/2,0),IF(SUM($AT234)=0,"",ROUND((SUM($AP234)-(SUM($O234)*SUM($AS234)))/$AT234,0)))</f>
        <v>0</v>
      </c>
      <c r="AW234" s="88" t="n">
        <f aca="false">IF($C234="&lt;01","",100%)</f>
        <v>1</v>
      </c>
      <c r="AX234" s="39" t="n">
        <f aca="false">IF($C234="&lt;01",SUM($AV234),ROUND(SUM($AV234)*SUM($AW234),0))</f>
        <v>0</v>
      </c>
      <c r="AY234" s="114" t="n">
        <f aca="false">IF($C234="&lt;01","",70%)</f>
        <v>0.7</v>
      </c>
      <c r="AZ234" s="91" t="n">
        <f aca="false">IF($C234="&lt;01",ROUND(INDEX(EID!$R:$R,MATCH($B234,EID!$B:$B,0))/2,0),ROUND(SUM($O234)+(SUM($AV234)*$AY234),0))</f>
        <v>0</v>
      </c>
      <c r="BA234" s="87" t="n">
        <f aca="false">IF($C234="&lt;01","",95%)</f>
        <v>0.95</v>
      </c>
      <c r="BB234" s="5" t="n">
        <f aca="false">IF($C234="&lt;01",ROUND(INDEX(EID!$T:$T,MATCH($B234,EID!$B:$B,0))/2,0),ROUND($AZ234*$BA234,0))</f>
        <v>0</v>
      </c>
      <c r="BC234" s="91" t="n">
        <f aca="false">IF(LEFT($B234,4)="_Mil","",IF(SUM($BB234)=0,SUM($AD234),IF(OR(SUM($AP234)=0,SUM($AQ234)=0),MAX($BB234,$AD234),ROUND($BB234*$AQ234/$AP234,0))))</f>
        <v>0</v>
      </c>
      <c r="BD234" s="88" t="n">
        <f aca="false">IF($C234="&lt;01","",95%)</f>
        <v>0.95</v>
      </c>
      <c r="BE234" s="39" t="n">
        <f aca="false">IF($C234="&lt;01",ROUND(INDEX(EID!$V:$V,MATCH($B234,EID!$B:$B,0))/2,0),ROUND($BD234*$BB234,0))</f>
        <v>0</v>
      </c>
      <c r="BF234" s="39" t="n">
        <f aca="false">IF(LEFT($B234,4)="_Mil","",IF(SUM($BE234)=0,SUM($AF234),IF(OR(SUM($AP234)=0,SUM($AQ234)=0),MAX($BE234,$AF234),ROUND($BE234*$AQ234/$AP234,0))))</f>
        <v>0</v>
      </c>
      <c r="BG234" s="114" t="n">
        <f aca="false">IF($C234="&lt;01","",95%)</f>
        <v>0.95</v>
      </c>
      <c r="BH234" s="5" t="n">
        <f aca="false">IF($C234="&lt;01",ROUND(INDEX(EID!$L:$L,MATCH($B234,EID!$B:$B,0)),0)/2,IF(SUM($BG234)=0,"",ROUND($AX234/$BG234,0)))</f>
        <v>0</v>
      </c>
    </row>
    <row r="235" customFormat="false" ht="15" hidden="false" customHeight="false" outlineLevel="0" collapsed="false">
      <c r="A235" s="0" t="str">
        <f aca="false">INDEX(Prioritization!$D:$D,MATCH($B235,Prioritization!$A:$A,0))</f>
        <v>INVALID</v>
      </c>
      <c r="B235" s="0" t="s">
        <v>209</v>
      </c>
      <c r="C235" s="0" t="s">
        <v>367</v>
      </c>
      <c r="D235" s="0" t="s">
        <v>30</v>
      </c>
      <c r="E235" s="0" t="str">
        <f aca="false">$B235&amp;"|"&amp;$C235&amp;"|"&amp;$D235</f>
        <v>Rumphi District [lPTyjLi4w3d]|35-49|Female</v>
      </c>
      <c r="F235" s="10"/>
      <c r="G235" s="10"/>
      <c r="H235" s="10"/>
      <c r="I235" s="10"/>
      <c r="J235" s="10"/>
      <c r="K235" s="10"/>
      <c r="L235" s="10"/>
      <c r="M235" s="10"/>
      <c r="N235" s="10"/>
      <c r="O235" s="10" t="str">
        <f aca="false">IFERROR(1/(1/MAX($I235,$N235)),"")</f>
        <v/>
      </c>
      <c r="P235" s="10"/>
      <c r="Q235" s="10"/>
      <c r="R235" s="10" t="str">
        <f aca="false">IF(AND(SUM($I235)=0,SUM($O235)=0),"",SUM($O235)-$I235)</f>
        <v/>
      </c>
      <c r="S235" s="10" t="n">
        <f aca="false">IF(LEFT($B235,4)="_Mil","",_xlfn.IFNA(ROUND(INDEX(Spectrum!$N:$N,MATCH(RIGHT($B235,13)&amp;"|"&amp;$C235&amp;"|"&amp;$D235&amp;"|"&amp;S$14&amp;"|"&amp;"CY2022Q4",Spectrum!$R:$R,0)),0),""))</f>
        <v>1236</v>
      </c>
      <c r="T235" s="39" t="n">
        <f aca="false">IF(LEFT($B235,4)="_Mil","",_xlfn.IFNA(ROUND(INDEX(Spectrum!$N:$N,MATCH(RIGHT($B235,13)&amp;"|"&amp;$C235&amp;"|"&amp;$D235&amp;"|"&amp;T$14&amp;"|"&amp;"CY2023Q3",Spectrum!$R:$R,0)),0),""))</f>
        <v>870</v>
      </c>
      <c r="U235" s="39" t="str">
        <f aca="false">IF(LEFT($B235,4)="_Mil","",_xlfn.IFNA(ROUND(INDEX(Spectrum!$N:$N,MATCH(RIGHT($B235,13)&amp;"|"&amp;$C235&amp;"|"&amp;$D235&amp;"|"&amp;U$14&amp;"|"&amp;"CY2023Q3",Spectrum!$R:$R,0)),0),""))</f>
        <v/>
      </c>
      <c r="V235" s="10" t="n">
        <f aca="false">IF(LEFT($B235,4)="_Mil","",_xlfn.IFNA(ROUND(INDEX(Spectrum!$N:$N,MATCH(RIGHT($B235,13)&amp;"|"&amp;$C235&amp;"|"&amp;$D235&amp;"|"&amp;V$14&amp;"|"&amp;"CY2023Q3",Spectrum!$R:$R,0)),0),""))</f>
        <v>1518</v>
      </c>
      <c r="W235" s="113" t="n">
        <f aca="false">IF(LEFT($B235,4)="_Mil","",_xlfn.IFNA(INDEX(Spectrum!$N:$N,MATCH(RIGHT($B235,13)&amp;"|"&amp;$C235&amp;"|"&amp;$D235&amp;"|"&amp;W$14&amp;"|"&amp;"CY2023Q3",Spectrum!$R:$R,0)),""))</f>
        <v>1716</v>
      </c>
      <c r="X235" s="39" t="n">
        <f aca="false">IF(LEFT($B235,4)="_Mil","",_xlfn.IFNA(ROUND(INDEX(Spectrum!$N:$N,MATCH(RIGHT($B235,13)&amp;"|"&amp;$C235&amp;"|"&amp;$D235&amp;"|"&amp;X$14&amp;"|"&amp;"CY2023Q3",Spectrum!$R:$R,0)),0),""))</f>
        <v>1678</v>
      </c>
      <c r="Y235" s="88" t="str">
        <f aca="false">IF(OR(SUM($U235)=0,LEFT($B235,4)="_Mil"),"",SUM($X235)/$U235)</f>
        <v/>
      </c>
      <c r="Z235" s="39" t="n">
        <f aca="false">IF(LEFT($B235,4)="_Mil","",_xlfn.IFNA(ROUND(INDEX(Spectrum!$N:$N,MATCH(RIGHT($B235,13)&amp;"|"&amp;$C235&amp;"|"&amp;$D235&amp;"|"&amp;Z$14&amp;"|"&amp;"CY2023Q3",Spectrum!$R:$R,0)),0),""))</f>
        <v>653</v>
      </c>
      <c r="AA235" s="88" t="n">
        <f aca="false">IF(LEFT($B235,4)="_Mil","",IFERROR(1/(1/INDEX(Spectrum!$N:$N,MATCH(RIGHT($B235,13)&amp;"|"&amp;$C235&amp;"|"&amp;$D235&amp;"|"&amp;AA$14&amp;"|"&amp;"CY2023Q3",Spectrum!$R:$R,0))),IF(SUM($U235)=0,"",SUM($Z235)/$U235)))</f>
        <v>971</v>
      </c>
      <c r="AB235" s="88" t="n">
        <f aca="false">IF(OR(LEFT($B235,4)="_Mil",SUM($X235)=0),"",SUM($Z235)/$X235)</f>
        <v>0.389153754469607</v>
      </c>
      <c r="AC235" s="10" t="n">
        <f aca="false">IF(LEFT($B235,4)="_Mil","",_xlfn.IFNA(ROUND(INDEX(Spectrum!$N:$N,MATCH(RIGHT($B235,13)&amp;"|"&amp;$C235&amp;"|"&amp;$D235&amp;"|"&amp;AC$14&amp;"|"&amp;"CY2023Q3",Spectrum!$R:$R,0)),0),""))</f>
        <v>1456</v>
      </c>
      <c r="AD235" s="10" t="str">
        <f aca="false">IF(LEFT($B235,4)="_Mil","",_xlfn.IFNA(ROUND(INDEX(Spectrum!$N:$N,MATCH(RIGHT($B235,13)&amp;"|"&amp;$C235&amp;"|"&amp;$D235&amp;"|"&amp;AD$14&amp;"|"&amp;"CY2023Q3",Spectrum!$R:$R,0)),0),""))</f>
        <v/>
      </c>
      <c r="AE235" s="88" t="n">
        <f aca="false">IF(OR(LEFT($B235,4)="_Mil",SUM($Z235)=0),"",SUM($AD235)/$Z235)</f>
        <v>0</v>
      </c>
      <c r="AF235" s="39" t="str">
        <f aca="false">IF(LEFT($B235,4)="_Mil","",_xlfn.IFNA(ROUND(INDEX(Spectrum!$N:$N,MATCH(RIGHT($B235,13)&amp;"|"&amp;$C235&amp;"|"&amp;$D235&amp;"|"&amp;AF$14&amp;"|"&amp;"CY2023Q3",Spectrum!$R:$R,0)),0),""))</f>
        <v/>
      </c>
      <c r="AG235" s="88" t="str">
        <f aca="false">IF(OR(LEFT($B235,4)="_Mil",SUM($AD235)=0),"",SUM($AF235)/$AD235)</f>
        <v/>
      </c>
      <c r="AH235" s="86" t="str">
        <f aca="false">IF(LEFT($B235,4)="_Mil","",_xlfn.IFNA(INDEX(Spectrum!$N:$N,MATCH(RIGHT($B235,13)&amp;"|"&amp;$C235&amp;"|"&amp;$D235&amp;"|"&amp;AH$14&amp;"|"&amp;"CY2023Q3",Spectrum!$R:$R,0)),""))</f>
        <v/>
      </c>
      <c r="AI235" s="10" t="str">
        <f aca="false">IF(LEFT($B235,4)="_Mil","",_xlfn.IFNA(ROUND(INDEX(Spectrum!$N:$N,MATCH(RIGHT($B235,13)&amp;"|"&amp;$C235&amp;"|"&amp;$D235&amp;"|"&amp;AI$14&amp;"|"&amp;"CY2023Q3",Spectrum!$R:$R,0)),0),""))</f>
        <v/>
      </c>
      <c r="AJ235" s="39" t="n">
        <f aca="false">IF(LEFT($B235,4)="_Mil","",_xlfn.IFNA(ROUND(INDEX(Spectrum!$N:$N,MATCH(RIGHT($B235,13)&amp;"|"&amp;$C235&amp;"|"&amp;$D235&amp;"|"&amp;AI$14&amp;"|"&amp;"CY2023Q3",Spectrum!$R:$R,0)),0),SUM($U235)+SUM($AI235)))</f>
        <v>0</v>
      </c>
      <c r="AK235" s="10" t="str">
        <f aca="false">IF(LEFT($B235,4)="_Mil","",_xlfn.IFNA(ROUND(INDEX(Spectrum!$N:$N,MATCH(RIGHT($B235,13)&amp;"|"&amp;$C235&amp;"|"&amp;$D235&amp;"|"&amp;AK$14&amp;"|"&amp;"CY2023Q3",Spectrum!$R:$R,0)),0),""))</f>
        <v/>
      </c>
      <c r="AL235" s="88" t="n">
        <f aca="false">IF(OR(LEFT($B235,4)="_Mil",$C235="&lt;01"),"",MAX(SUM($AA235),90%))</f>
        <v>971</v>
      </c>
      <c r="AM235" s="10" t="n">
        <f aca="false">IF(OR(LEFT($B235,4)="_Mil",$C235="&lt;01"),"",ROUND(SUM($AJ235)*SUM($AL235),0))</f>
        <v>0</v>
      </c>
      <c r="AN235" s="10" t="str">
        <f aca="false">IF($C235="&lt;01",ROUND(INDEX(EID!$P:$P,MATCH($B235,EID!$B:$B,0))/2,0),"")</f>
        <v/>
      </c>
      <c r="AO235" s="10" t="n">
        <f aca="false">IF($C235="&lt;01",SUM($AN235),ROUND(SUM($AM235)*SUM($O235)/IF(SUM($Z235)=0,1,$Z235),0))</f>
        <v>0</v>
      </c>
      <c r="AP235" s="39" t="n">
        <f aca="false">IF(OR($F235="",$C235="&lt;01"),$AO235,$F235)</f>
        <v>0</v>
      </c>
      <c r="AQ235" s="39" t="n">
        <f aca="false">IF(LEFT($B235,4)="_Mil","",IF(SUM($AP235)=0,SUM($Z235),IF(OR(SUM($Z235)=0,SUM($O235)=0),MAX($AP235,$Z235),$AP235*$Z235/$O235)))</f>
        <v>653</v>
      </c>
      <c r="AR235" s="88" t="str">
        <f aca="false">IF(OR(LEFT($B235,4)="_Mil",SUM($AJ235)=0),"",SUM($AQ235)/$AJ235)</f>
        <v/>
      </c>
      <c r="AS235" s="88" t="n">
        <f aca="false">IF($C235="&lt;01","",98%)</f>
        <v>0.98</v>
      </c>
      <c r="AT235" s="88" t="n">
        <f aca="false">IF($C235="&lt;01","",98%)</f>
        <v>0.98</v>
      </c>
      <c r="AU235" s="10" t="n">
        <f aca="false">IF($C235="&lt;01","",SUM($AP235)-SUM($O235))</f>
        <v>0</v>
      </c>
      <c r="AV235" s="10" t="n">
        <f aca="false">IF($C235="&lt;01",ROUND(INDEX(EID!$N:$N,MATCH($B235,EID!$B:$B,0))/2,0),IF(SUM($AT235)=0,"",ROUND((SUM($AP235)-(SUM($O235)*SUM($AS235)))/$AT235,0)))</f>
        <v>0</v>
      </c>
      <c r="AW235" s="88" t="n">
        <f aca="false">IF($C235="&lt;01","",100%)</f>
        <v>1</v>
      </c>
      <c r="AX235" s="39" t="n">
        <f aca="false">IF($C235="&lt;01",SUM($AV235),ROUND(SUM($AV235)*SUM($AW235),0))</f>
        <v>0</v>
      </c>
      <c r="AY235" s="114" t="n">
        <f aca="false">IF($C235="&lt;01","",70%)</f>
        <v>0.7</v>
      </c>
      <c r="AZ235" s="91" t="n">
        <f aca="false">IF($C235="&lt;01",ROUND(INDEX(EID!$R:$R,MATCH($B235,EID!$B:$B,0))/2,0),ROUND(SUM($O235)+(SUM($AV235)*$AY235),0))</f>
        <v>0</v>
      </c>
      <c r="BA235" s="87" t="n">
        <f aca="false">IF($C235="&lt;01","",95%)</f>
        <v>0.95</v>
      </c>
      <c r="BB235" s="5" t="n">
        <f aca="false">IF($C235="&lt;01",ROUND(INDEX(EID!$T:$T,MATCH($B235,EID!$B:$B,0))/2,0),ROUND($AZ235*$BA235,0))</f>
        <v>0</v>
      </c>
      <c r="BC235" s="91" t="n">
        <f aca="false">IF(LEFT($B235,4)="_Mil","",IF(SUM($BB235)=0,SUM($AD235),IF(OR(SUM($AP235)=0,SUM($AQ235)=0),MAX($BB235,$AD235),ROUND($BB235*$AQ235/$AP235,0))))</f>
        <v>0</v>
      </c>
      <c r="BD235" s="88" t="n">
        <f aca="false">IF($C235="&lt;01","",95%)</f>
        <v>0.95</v>
      </c>
      <c r="BE235" s="39" t="n">
        <f aca="false">IF($C235="&lt;01",ROUND(INDEX(EID!$V:$V,MATCH($B235,EID!$B:$B,0))/2,0),ROUND($BD235*$BB235,0))</f>
        <v>0</v>
      </c>
      <c r="BF235" s="39" t="n">
        <f aca="false">IF(LEFT($B235,4)="_Mil","",IF(SUM($BE235)=0,SUM($AF235),IF(OR(SUM($AP235)=0,SUM($AQ235)=0),MAX($BE235,$AF235),ROUND($BE235*$AQ235/$AP235,0))))</f>
        <v>0</v>
      </c>
      <c r="BG235" s="114" t="n">
        <f aca="false">IF($C235="&lt;01","",95%)</f>
        <v>0.95</v>
      </c>
      <c r="BH235" s="5" t="n">
        <f aca="false">IF($C235="&lt;01",ROUND(INDEX(EID!$L:$L,MATCH($B235,EID!$B:$B,0)),0)/2,IF(SUM($BG235)=0,"",ROUND($AX235/$BG235,0)))</f>
        <v>0</v>
      </c>
    </row>
    <row r="236" customFormat="false" ht="15" hidden="false" customHeight="false" outlineLevel="0" collapsed="false">
      <c r="A236" s="0" t="str">
        <f aca="false">INDEX(Prioritization!$D:$D,MATCH($B236,Prioritization!$A:$A,0))</f>
        <v>INVALID</v>
      </c>
      <c r="B236" s="0" t="s">
        <v>209</v>
      </c>
      <c r="C236" s="0" t="s">
        <v>367</v>
      </c>
      <c r="D236" s="0" t="s">
        <v>48</v>
      </c>
      <c r="E236" s="0" t="str">
        <f aca="false">$B236&amp;"|"&amp;$C236&amp;"|"&amp;$D236</f>
        <v>Rumphi District [lPTyjLi4w3d]|35-49|Male</v>
      </c>
      <c r="F236" s="10"/>
      <c r="G236" s="10"/>
      <c r="H236" s="10"/>
      <c r="I236" s="10"/>
      <c r="J236" s="10"/>
      <c r="K236" s="10"/>
      <c r="L236" s="10"/>
      <c r="M236" s="10"/>
      <c r="N236" s="10"/>
      <c r="O236" s="10" t="str">
        <f aca="false">IFERROR(1/(1/MAX($I236,$N236)),"")</f>
        <v/>
      </c>
      <c r="P236" s="10"/>
      <c r="Q236" s="10"/>
      <c r="R236" s="10" t="str">
        <f aca="false">IF(AND(SUM($I236)=0,SUM($O236)=0),"",SUM($O236)-$I236)</f>
        <v/>
      </c>
      <c r="S236" s="10" t="n">
        <f aca="false">IF(LEFT($B236,4)="_Mil","",_xlfn.IFNA(ROUND(INDEX(Spectrum!$N:$N,MATCH(RIGHT($B236,13)&amp;"|"&amp;$C236&amp;"|"&amp;$D236&amp;"|"&amp;S$14&amp;"|"&amp;"CY2022Q4",Spectrum!$R:$R,0)),0),""))</f>
        <v>1648</v>
      </c>
      <c r="T236" s="39" t="n">
        <f aca="false">IF(LEFT($B236,4)="_Mil","",_xlfn.IFNA(ROUND(INDEX(Spectrum!$N:$N,MATCH(RIGHT($B236,13)&amp;"|"&amp;$C236&amp;"|"&amp;$D236&amp;"|"&amp;T$14&amp;"|"&amp;"CY2023Q3",Spectrum!$R:$R,0)),0),""))</f>
        <v>1605</v>
      </c>
      <c r="U236" s="39" t="str">
        <f aca="false">IF(LEFT($B236,4)="_Mil","",_xlfn.IFNA(ROUND(INDEX(Spectrum!$N:$N,MATCH(RIGHT($B236,13)&amp;"|"&amp;$C236&amp;"|"&amp;$D236&amp;"|"&amp;U$14&amp;"|"&amp;"CY2023Q3",Spectrum!$R:$R,0)),0),""))</f>
        <v/>
      </c>
      <c r="V236" s="10" t="n">
        <f aca="false">IF(LEFT($B236,4)="_Mil","",_xlfn.IFNA(ROUND(INDEX(Spectrum!$N:$N,MATCH(RIGHT($B236,13)&amp;"|"&amp;$C236&amp;"|"&amp;$D236&amp;"|"&amp;V$14&amp;"|"&amp;"CY2023Q3",Spectrum!$R:$R,0)),0),""))</f>
        <v>1819</v>
      </c>
      <c r="W236" s="113" t="n">
        <f aca="false">IF(LEFT($B236,4)="_Mil","",_xlfn.IFNA(INDEX(Spectrum!$N:$N,MATCH(RIGHT($B236,13)&amp;"|"&amp;$C236&amp;"|"&amp;$D236&amp;"|"&amp;W$14&amp;"|"&amp;"CY2023Q3",Spectrum!$R:$R,0)),""))</f>
        <v>1212</v>
      </c>
      <c r="X236" s="39" t="n">
        <f aca="false">IF(LEFT($B236,4)="_Mil","",_xlfn.IFNA(ROUND(INDEX(Spectrum!$N:$N,MATCH(RIGHT($B236,13)&amp;"|"&amp;$C236&amp;"|"&amp;$D236&amp;"|"&amp;X$14&amp;"|"&amp;"CY2023Q3",Spectrum!$R:$R,0)),0),""))</f>
        <v>1424</v>
      </c>
      <c r="Y236" s="88" t="str">
        <f aca="false">IF(OR(SUM($U236)=0,LEFT($B236,4)="_Mil"),"",SUM($X236)/$U236)</f>
        <v/>
      </c>
      <c r="Z236" s="39" t="n">
        <f aca="false">IF(LEFT($B236,4)="_Mil","",_xlfn.IFNA(ROUND(INDEX(Spectrum!$N:$N,MATCH(RIGHT($B236,13)&amp;"|"&amp;$C236&amp;"|"&amp;$D236&amp;"|"&amp;Z$14&amp;"|"&amp;"CY2023Q3",Spectrum!$R:$R,0)),0),""))</f>
        <v>1051</v>
      </c>
      <c r="AA236" s="88" t="n">
        <f aca="false">IF(LEFT($B236,4)="_Mil","",IFERROR(1/(1/INDEX(Spectrum!$N:$N,MATCH(RIGHT($B236,13)&amp;"|"&amp;$C236&amp;"|"&amp;$D236&amp;"|"&amp;AA$14&amp;"|"&amp;"CY2023Q3",Spectrum!$R:$R,0))),IF(SUM($U236)=0,"",SUM($Z236)/$U236)))</f>
        <v>1836</v>
      </c>
      <c r="AB236" s="88" t="n">
        <f aca="false">IF(OR(LEFT($B236,4)="_Mil",SUM($X236)=0),"",SUM($Z236)/$X236)</f>
        <v>0.738061797752809</v>
      </c>
      <c r="AC236" s="10" t="n">
        <f aca="false">IF(LEFT($B236,4)="_Mil","",_xlfn.IFNA(ROUND(INDEX(Spectrum!$N:$N,MATCH(RIGHT($B236,13)&amp;"|"&amp;$C236&amp;"|"&amp;$D236&amp;"|"&amp;AC$14&amp;"|"&amp;"CY2023Q3",Spectrum!$R:$R,0)),0),""))</f>
        <v>1663</v>
      </c>
      <c r="AD236" s="10" t="str">
        <f aca="false">IF(LEFT($B236,4)="_Mil","",_xlfn.IFNA(ROUND(INDEX(Spectrum!$N:$N,MATCH(RIGHT($B236,13)&amp;"|"&amp;$C236&amp;"|"&amp;$D236&amp;"|"&amp;AD$14&amp;"|"&amp;"CY2023Q3",Spectrum!$R:$R,0)),0),""))</f>
        <v/>
      </c>
      <c r="AE236" s="88" t="n">
        <f aca="false">IF(OR(LEFT($B236,4)="_Mil",SUM($Z236)=0),"",SUM($AD236)/$Z236)</f>
        <v>0</v>
      </c>
      <c r="AF236" s="39" t="str">
        <f aca="false">IF(LEFT($B236,4)="_Mil","",_xlfn.IFNA(ROUND(INDEX(Spectrum!$N:$N,MATCH(RIGHT($B236,13)&amp;"|"&amp;$C236&amp;"|"&amp;$D236&amp;"|"&amp;AF$14&amp;"|"&amp;"CY2023Q3",Spectrum!$R:$R,0)),0),""))</f>
        <v/>
      </c>
      <c r="AG236" s="88" t="str">
        <f aca="false">IF(OR(LEFT($B236,4)="_Mil",SUM($AD236)=0),"",SUM($AF236)/$AD236)</f>
        <v/>
      </c>
      <c r="AH236" s="86" t="str">
        <f aca="false">IF(LEFT($B236,4)="_Mil","",_xlfn.IFNA(INDEX(Spectrum!$N:$N,MATCH(RIGHT($B236,13)&amp;"|"&amp;$C236&amp;"|"&amp;$D236&amp;"|"&amp;AH$14&amp;"|"&amp;"CY2023Q3",Spectrum!$R:$R,0)),""))</f>
        <v/>
      </c>
      <c r="AI236" s="10" t="str">
        <f aca="false">IF(LEFT($B236,4)="_Mil","",_xlfn.IFNA(ROUND(INDEX(Spectrum!$N:$N,MATCH(RIGHT($B236,13)&amp;"|"&amp;$C236&amp;"|"&amp;$D236&amp;"|"&amp;AI$14&amp;"|"&amp;"CY2023Q3",Spectrum!$R:$R,0)),0),""))</f>
        <v/>
      </c>
      <c r="AJ236" s="39" t="n">
        <f aca="false">IF(LEFT($B236,4)="_Mil","",_xlfn.IFNA(ROUND(INDEX(Spectrum!$N:$N,MATCH(RIGHT($B236,13)&amp;"|"&amp;$C236&amp;"|"&amp;$D236&amp;"|"&amp;AI$14&amp;"|"&amp;"CY2023Q3",Spectrum!$R:$R,0)),0),SUM($U236)+SUM($AI236)))</f>
        <v>0</v>
      </c>
      <c r="AK236" s="10" t="str">
        <f aca="false">IF(LEFT($B236,4)="_Mil","",_xlfn.IFNA(ROUND(INDEX(Spectrum!$N:$N,MATCH(RIGHT($B236,13)&amp;"|"&amp;$C236&amp;"|"&amp;$D236&amp;"|"&amp;AK$14&amp;"|"&amp;"CY2023Q3",Spectrum!$R:$R,0)),0),""))</f>
        <v/>
      </c>
      <c r="AL236" s="88" t="n">
        <f aca="false">IF(OR(LEFT($B236,4)="_Mil",$C236="&lt;01"),"",MAX(SUM($AA236),90%))</f>
        <v>1836</v>
      </c>
      <c r="AM236" s="10" t="n">
        <f aca="false">IF(OR(LEFT($B236,4)="_Mil",$C236="&lt;01"),"",ROUND(SUM($AJ236)*SUM($AL236),0))</f>
        <v>0</v>
      </c>
      <c r="AN236" s="10" t="str">
        <f aca="false">IF($C236="&lt;01",ROUND(INDEX(EID!$P:$P,MATCH($B236,EID!$B:$B,0))/2,0),"")</f>
        <v/>
      </c>
      <c r="AO236" s="10" t="n">
        <f aca="false">IF($C236="&lt;01",SUM($AN236),ROUND(SUM($AM236)*SUM($O236)/IF(SUM($Z236)=0,1,$Z236),0))</f>
        <v>0</v>
      </c>
      <c r="AP236" s="39" t="n">
        <f aca="false">IF(OR($F236="",$C236="&lt;01"),$AO236,$F236)</f>
        <v>0</v>
      </c>
      <c r="AQ236" s="39" t="n">
        <f aca="false">IF(LEFT($B236,4)="_Mil","",IF(SUM($AP236)=0,SUM($Z236),IF(OR(SUM($Z236)=0,SUM($O236)=0),MAX($AP236,$Z236),$AP236*$Z236/$O236)))</f>
        <v>1051</v>
      </c>
      <c r="AR236" s="88" t="str">
        <f aca="false">IF(OR(LEFT($B236,4)="_Mil",SUM($AJ236)=0),"",SUM($AQ236)/$AJ236)</f>
        <v/>
      </c>
      <c r="AS236" s="88" t="n">
        <f aca="false">IF($C236="&lt;01","",98%)</f>
        <v>0.98</v>
      </c>
      <c r="AT236" s="88" t="n">
        <f aca="false">IF($C236="&lt;01","",98%)</f>
        <v>0.98</v>
      </c>
      <c r="AU236" s="10" t="n">
        <f aca="false">IF($C236="&lt;01","",SUM($AP236)-SUM($O236))</f>
        <v>0</v>
      </c>
      <c r="AV236" s="10" t="n">
        <f aca="false">IF($C236="&lt;01",ROUND(INDEX(EID!$N:$N,MATCH($B236,EID!$B:$B,0))/2,0),IF(SUM($AT236)=0,"",ROUND((SUM($AP236)-(SUM($O236)*SUM($AS236)))/$AT236,0)))</f>
        <v>0</v>
      </c>
      <c r="AW236" s="88" t="n">
        <f aca="false">IF($C236="&lt;01","",100%)</f>
        <v>1</v>
      </c>
      <c r="AX236" s="39" t="n">
        <f aca="false">IF($C236="&lt;01",SUM($AV236),ROUND(SUM($AV236)*SUM($AW236),0))</f>
        <v>0</v>
      </c>
      <c r="AY236" s="114" t="n">
        <f aca="false">IF($C236="&lt;01","",70%)</f>
        <v>0.7</v>
      </c>
      <c r="AZ236" s="91" t="n">
        <f aca="false">IF($C236="&lt;01",ROUND(INDEX(EID!$R:$R,MATCH($B236,EID!$B:$B,0))/2,0),ROUND(SUM($O236)+(SUM($AV236)*$AY236),0))</f>
        <v>0</v>
      </c>
      <c r="BA236" s="87" t="n">
        <f aca="false">IF($C236="&lt;01","",95%)</f>
        <v>0.95</v>
      </c>
      <c r="BB236" s="5" t="n">
        <f aca="false">IF($C236="&lt;01",ROUND(INDEX(EID!$T:$T,MATCH($B236,EID!$B:$B,0))/2,0),ROUND($AZ236*$BA236,0))</f>
        <v>0</v>
      </c>
      <c r="BC236" s="91" t="n">
        <f aca="false">IF(LEFT($B236,4)="_Mil","",IF(SUM($BB236)=0,SUM($AD236),IF(OR(SUM($AP236)=0,SUM($AQ236)=0),MAX($BB236,$AD236),ROUND($BB236*$AQ236/$AP236,0))))</f>
        <v>0</v>
      </c>
      <c r="BD236" s="88" t="n">
        <f aca="false">IF($C236="&lt;01","",95%)</f>
        <v>0.95</v>
      </c>
      <c r="BE236" s="39" t="n">
        <f aca="false">IF($C236="&lt;01",ROUND(INDEX(EID!$V:$V,MATCH($B236,EID!$B:$B,0))/2,0),ROUND($BD236*$BB236,0))</f>
        <v>0</v>
      </c>
      <c r="BF236" s="39" t="n">
        <f aca="false">IF(LEFT($B236,4)="_Mil","",IF(SUM($BE236)=0,SUM($AF236),IF(OR(SUM($AP236)=0,SUM($AQ236)=0),MAX($BE236,$AF236),ROUND($BE236*$AQ236/$AP236,0))))</f>
        <v>0</v>
      </c>
      <c r="BG236" s="114" t="n">
        <f aca="false">IF($C236="&lt;01","",95%)</f>
        <v>0.95</v>
      </c>
      <c r="BH236" s="5" t="n">
        <f aca="false">IF($C236="&lt;01",ROUND(INDEX(EID!$L:$L,MATCH($B236,EID!$B:$B,0)),0)/2,IF(SUM($BG236)=0,"",ROUND($AX236/$BG236,0)))</f>
        <v>0</v>
      </c>
    </row>
    <row r="237" customFormat="false" ht="15" hidden="false" customHeight="false" outlineLevel="0" collapsed="false">
      <c r="A237" s="0" t="str">
        <f aca="false">INDEX(Prioritization!$D:$D,MATCH($B237,Prioritization!$A:$A,0))</f>
        <v>INVALID</v>
      </c>
      <c r="B237" s="0" t="s">
        <v>209</v>
      </c>
      <c r="C237" s="0" t="s">
        <v>368</v>
      </c>
      <c r="D237" s="0" t="s">
        <v>30</v>
      </c>
      <c r="E237" s="0" t="str">
        <f aca="false">$B237&amp;"|"&amp;$C237&amp;"|"&amp;$D237</f>
        <v>Rumphi District [lPTyjLi4w3d]|50+|Female</v>
      </c>
      <c r="F237" s="10"/>
      <c r="G237" s="10"/>
      <c r="H237" s="10"/>
      <c r="I237" s="10"/>
      <c r="J237" s="10"/>
      <c r="K237" s="10"/>
      <c r="L237" s="10"/>
      <c r="M237" s="10"/>
      <c r="N237" s="10"/>
      <c r="O237" s="10" t="str">
        <f aca="false">IFERROR(1/(1/MAX($I237,$N237)),"")</f>
        <v/>
      </c>
      <c r="P237" s="10"/>
      <c r="Q237" s="10"/>
      <c r="R237" s="10" t="str">
        <f aca="false">IF(AND(SUM($I237)=0,SUM($O237)=0),"",SUM($O237)-$I237)</f>
        <v/>
      </c>
      <c r="S237" s="10" t="n">
        <f aca="false">IF(LEFT($B237,4)="_Mil","",_xlfn.IFNA(ROUND(INDEX(Spectrum!$N:$N,MATCH(RIGHT($B237,13)&amp;"|"&amp;$C237&amp;"|"&amp;$D237&amp;"|"&amp;S$14&amp;"|"&amp;"CY2022Q4",Spectrum!$R:$R,0)),0),""))</f>
        <v>979</v>
      </c>
      <c r="T237" s="39" t="n">
        <f aca="false">IF(LEFT($B237,4)="_Mil","",_xlfn.IFNA(ROUND(INDEX(Spectrum!$N:$N,MATCH(RIGHT($B237,13)&amp;"|"&amp;$C237&amp;"|"&amp;$D237&amp;"|"&amp;T$14&amp;"|"&amp;"CY2023Q3",Spectrum!$R:$R,0)),0),""))</f>
        <v>1895</v>
      </c>
      <c r="U237" s="39" t="str">
        <f aca="false">IF(LEFT($B237,4)="_Mil","",_xlfn.IFNA(ROUND(INDEX(Spectrum!$N:$N,MATCH(RIGHT($B237,13)&amp;"|"&amp;$C237&amp;"|"&amp;$D237&amp;"|"&amp;U$14&amp;"|"&amp;"CY2023Q3",Spectrum!$R:$R,0)),0),""))</f>
        <v/>
      </c>
      <c r="V237" s="10" t="n">
        <f aca="false">IF(LEFT($B237,4)="_Mil","",_xlfn.IFNA(ROUND(INDEX(Spectrum!$N:$N,MATCH(RIGHT($B237,13)&amp;"|"&amp;$C237&amp;"|"&amp;$D237&amp;"|"&amp;V$14&amp;"|"&amp;"CY2023Q3",Spectrum!$R:$R,0)),0),""))</f>
        <v>1779</v>
      </c>
      <c r="W237" s="113" t="n">
        <f aca="false">IF(LEFT($B237,4)="_Mil","",_xlfn.IFNA(INDEX(Spectrum!$N:$N,MATCH(RIGHT($B237,13)&amp;"|"&amp;$C237&amp;"|"&amp;$D237&amp;"|"&amp;W$14&amp;"|"&amp;"CY2023Q3",Spectrum!$R:$R,0)),""))</f>
        <v>932</v>
      </c>
      <c r="X237" s="39" t="n">
        <f aca="false">IF(LEFT($B237,4)="_Mil","",_xlfn.IFNA(ROUND(INDEX(Spectrum!$N:$N,MATCH(RIGHT($B237,13)&amp;"|"&amp;$C237&amp;"|"&amp;$D237&amp;"|"&amp;X$14&amp;"|"&amp;"CY2023Q3",Spectrum!$R:$R,0)),0),""))</f>
        <v>947</v>
      </c>
      <c r="Y237" s="88" t="str">
        <f aca="false">IF(OR(SUM($U237)=0,LEFT($B237,4)="_Mil"),"",SUM($X237)/$U237)</f>
        <v/>
      </c>
      <c r="Z237" s="39" t="n">
        <f aca="false">IF(LEFT($B237,4)="_Mil","",_xlfn.IFNA(ROUND(INDEX(Spectrum!$N:$N,MATCH(RIGHT($B237,13)&amp;"|"&amp;$C237&amp;"|"&amp;$D237&amp;"|"&amp;Z$14&amp;"|"&amp;"CY2023Q3",Spectrum!$R:$R,0)),0),""))</f>
        <v>895</v>
      </c>
      <c r="AA237" s="88" t="n">
        <f aca="false">IF(LEFT($B237,4)="_Mil","",IFERROR(1/(1/INDEX(Spectrum!$N:$N,MATCH(RIGHT($B237,13)&amp;"|"&amp;$C237&amp;"|"&amp;$D237&amp;"|"&amp;AA$14&amp;"|"&amp;"CY2023Q3",Spectrum!$R:$R,0))),IF(SUM($U237)=0,"",SUM($Z237)/$U237)))</f>
        <v>1370</v>
      </c>
      <c r="AB237" s="88" t="n">
        <f aca="false">IF(OR(LEFT($B237,4)="_Mil",SUM($X237)=0),"",SUM($Z237)/$X237)</f>
        <v>0.945089757127772</v>
      </c>
      <c r="AC237" s="10" t="n">
        <f aca="false">IF(LEFT($B237,4)="_Mil","",_xlfn.IFNA(ROUND(INDEX(Spectrum!$N:$N,MATCH(RIGHT($B237,13)&amp;"|"&amp;$C237&amp;"|"&amp;$D237&amp;"|"&amp;AC$14&amp;"|"&amp;"CY2023Q3",Spectrum!$R:$R,0)),0),""))</f>
        <v>1475</v>
      </c>
      <c r="AD237" s="10" t="str">
        <f aca="false">IF(LEFT($B237,4)="_Mil","",_xlfn.IFNA(ROUND(INDEX(Spectrum!$N:$N,MATCH(RIGHT($B237,13)&amp;"|"&amp;$C237&amp;"|"&amp;$D237&amp;"|"&amp;AD$14&amp;"|"&amp;"CY2023Q3",Spectrum!$R:$R,0)),0),""))</f>
        <v/>
      </c>
      <c r="AE237" s="88" t="n">
        <f aca="false">IF(OR(LEFT($B237,4)="_Mil",SUM($Z237)=0),"",SUM($AD237)/$Z237)</f>
        <v>0</v>
      </c>
      <c r="AF237" s="39" t="str">
        <f aca="false">IF(LEFT($B237,4)="_Mil","",_xlfn.IFNA(ROUND(INDEX(Spectrum!$N:$N,MATCH(RIGHT($B237,13)&amp;"|"&amp;$C237&amp;"|"&amp;$D237&amp;"|"&amp;AF$14&amp;"|"&amp;"CY2023Q3",Spectrum!$R:$R,0)),0),""))</f>
        <v/>
      </c>
      <c r="AG237" s="88" t="str">
        <f aca="false">IF(OR(LEFT($B237,4)="_Mil",SUM($AD237)=0),"",SUM($AF237)/$AD237)</f>
        <v/>
      </c>
      <c r="AH237" s="86" t="str">
        <f aca="false">IF(LEFT($B237,4)="_Mil","",_xlfn.IFNA(INDEX(Spectrum!$N:$N,MATCH(RIGHT($B237,13)&amp;"|"&amp;$C237&amp;"|"&amp;$D237&amp;"|"&amp;AH$14&amp;"|"&amp;"CY2023Q3",Spectrum!$R:$R,0)),""))</f>
        <v/>
      </c>
      <c r="AI237" s="10" t="str">
        <f aca="false">IF(LEFT($B237,4)="_Mil","",_xlfn.IFNA(ROUND(INDEX(Spectrum!$N:$N,MATCH(RIGHT($B237,13)&amp;"|"&amp;$C237&amp;"|"&amp;$D237&amp;"|"&amp;AI$14&amp;"|"&amp;"CY2023Q3",Spectrum!$R:$R,0)),0),""))</f>
        <v/>
      </c>
      <c r="AJ237" s="39" t="n">
        <f aca="false">IF(LEFT($B237,4)="_Mil","",_xlfn.IFNA(ROUND(INDEX(Spectrum!$N:$N,MATCH(RIGHT($B237,13)&amp;"|"&amp;$C237&amp;"|"&amp;$D237&amp;"|"&amp;AI$14&amp;"|"&amp;"CY2023Q3",Spectrum!$R:$R,0)),0),SUM($U237)+SUM($AI237)))</f>
        <v>0</v>
      </c>
      <c r="AK237" s="10" t="str">
        <f aca="false">IF(LEFT($B237,4)="_Mil","",_xlfn.IFNA(ROUND(INDEX(Spectrum!$N:$N,MATCH(RIGHT($B237,13)&amp;"|"&amp;$C237&amp;"|"&amp;$D237&amp;"|"&amp;AK$14&amp;"|"&amp;"CY2023Q3",Spectrum!$R:$R,0)),0),""))</f>
        <v/>
      </c>
      <c r="AL237" s="88" t="n">
        <f aca="false">IF(OR(LEFT($B237,4)="_Mil",$C237="&lt;01"),"",MAX(SUM($AA237),90%))</f>
        <v>1370</v>
      </c>
      <c r="AM237" s="10" t="n">
        <f aca="false">IF(OR(LEFT($B237,4)="_Mil",$C237="&lt;01"),"",ROUND(SUM($AJ237)*SUM($AL237),0))</f>
        <v>0</v>
      </c>
      <c r="AN237" s="10" t="str">
        <f aca="false">IF($C237="&lt;01",ROUND(INDEX(EID!$P:$P,MATCH($B237,EID!$B:$B,0))/2,0),"")</f>
        <v/>
      </c>
      <c r="AO237" s="10" t="n">
        <f aca="false">IF($C237="&lt;01",SUM($AN237),ROUND(SUM($AM237)*SUM($O237)/IF(SUM($Z237)=0,1,$Z237),0))</f>
        <v>0</v>
      </c>
      <c r="AP237" s="39" t="n">
        <f aca="false">IF(OR($F237="",$C237="&lt;01"),$AO237,$F237)</f>
        <v>0</v>
      </c>
      <c r="AQ237" s="39" t="n">
        <f aca="false">IF(LEFT($B237,4)="_Mil","",IF(SUM($AP237)=0,SUM($Z237),IF(OR(SUM($Z237)=0,SUM($O237)=0),MAX($AP237,$Z237),$AP237*$Z237/$O237)))</f>
        <v>895</v>
      </c>
      <c r="AR237" s="88" t="str">
        <f aca="false">IF(OR(LEFT($B237,4)="_Mil",SUM($AJ237)=0),"",SUM($AQ237)/$AJ237)</f>
        <v/>
      </c>
      <c r="AS237" s="88" t="n">
        <f aca="false">IF($C237="&lt;01","",98%)</f>
        <v>0.98</v>
      </c>
      <c r="AT237" s="88" t="n">
        <f aca="false">IF($C237="&lt;01","",98%)</f>
        <v>0.98</v>
      </c>
      <c r="AU237" s="10" t="n">
        <f aca="false">IF($C237="&lt;01","",SUM($AP237)-SUM($O237))</f>
        <v>0</v>
      </c>
      <c r="AV237" s="10" t="n">
        <f aca="false">IF($C237="&lt;01",ROUND(INDEX(EID!$N:$N,MATCH($B237,EID!$B:$B,0))/2,0),IF(SUM($AT237)=0,"",ROUND((SUM($AP237)-(SUM($O237)*SUM($AS237)))/$AT237,0)))</f>
        <v>0</v>
      </c>
      <c r="AW237" s="88" t="n">
        <f aca="false">IF($C237="&lt;01","",100%)</f>
        <v>1</v>
      </c>
      <c r="AX237" s="39" t="n">
        <f aca="false">IF($C237="&lt;01",SUM($AV237),ROUND(SUM($AV237)*SUM($AW237),0))</f>
        <v>0</v>
      </c>
      <c r="AY237" s="114" t="n">
        <f aca="false">IF($C237="&lt;01","",70%)</f>
        <v>0.7</v>
      </c>
      <c r="AZ237" s="91" t="n">
        <f aca="false">IF($C237="&lt;01",ROUND(INDEX(EID!$R:$R,MATCH($B237,EID!$B:$B,0))/2,0),ROUND(SUM($O237)+(SUM($AV237)*$AY237),0))</f>
        <v>0</v>
      </c>
      <c r="BA237" s="87" t="n">
        <f aca="false">IF($C237="&lt;01","",95%)</f>
        <v>0.95</v>
      </c>
      <c r="BB237" s="5" t="n">
        <f aca="false">IF($C237="&lt;01",ROUND(INDEX(EID!$T:$T,MATCH($B237,EID!$B:$B,0))/2,0),ROUND($AZ237*$BA237,0))</f>
        <v>0</v>
      </c>
      <c r="BC237" s="91" t="n">
        <f aca="false">IF(LEFT($B237,4)="_Mil","",IF(SUM($BB237)=0,SUM($AD237),IF(OR(SUM($AP237)=0,SUM($AQ237)=0),MAX($BB237,$AD237),ROUND($BB237*$AQ237/$AP237,0))))</f>
        <v>0</v>
      </c>
      <c r="BD237" s="88" t="n">
        <f aca="false">IF($C237="&lt;01","",95%)</f>
        <v>0.95</v>
      </c>
      <c r="BE237" s="39" t="n">
        <f aca="false">IF($C237="&lt;01",ROUND(INDEX(EID!$V:$V,MATCH($B237,EID!$B:$B,0))/2,0),ROUND($BD237*$BB237,0))</f>
        <v>0</v>
      </c>
      <c r="BF237" s="39" t="n">
        <f aca="false">IF(LEFT($B237,4)="_Mil","",IF(SUM($BE237)=0,SUM($AF237),IF(OR(SUM($AP237)=0,SUM($AQ237)=0),MAX($BE237,$AF237),ROUND($BE237*$AQ237/$AP237,0))))</f>
        <v>0</v>
      </c>
      <c r="BG237" s="114" t="n">
        <f aca="false">IF($C237="&lt;01","",95%)</f>
        <v>0.95</v>
      </c>
      <c r="BH237" s="5" t="n">
        <f aca="false">IF($C237="&lt;01",ROUND(INDEX(EID!$L:$L,MATCH($B237,EID!$B:$B,0)),0)/2,IF(SUM($BG237)=0,"",ROUND($AX237/$BG237,0)))</f>
        <v>0</v>
      </c>
    </row>
    <row r="238" customFormat="false" ht="15" hidden="false" customHeight="false" outlineLevel="0" collapsed="false">
      <c r="A238" s="0" t="str">
        <f aca="false">INDEX(Prioritization!$D:$D,MATCH($B238,Prioritization!$A:$A,0))</f>
        <v>INVALID</v>
      </c>
      <c r="B238" s="0" t="s">
        <v>209</v>
      </c>
      <c r="C238" s="0" t="s">
        <v>368</v>
      </c>
      <c r="D238" s="0" t="s">
        <v>48</v>
      </c>
      <c r="E238" s="0" t="str">
        <f aca="false">$B238&amp;"|"&amp;$C238&amp;"|"&amp;$D238</f>
        <v>Rumphi District [lPTyjLi4w3d]|50+|Male</v>
      </c>
      <c r="F238" s="10"/>
      <c r="G238" s="10"/>
      <c r="H238" s="10"/>
      <c r="I238" s="10"/>
      <c r="J238" s="10"/>
      <c r="K238" s="10"/>
      <c r="L238" s="10"/>
      <c r="M238" s="10"/>
      <c r="N238" s="10"/>
      <c r="O238" s="10" t="str">
        <f aca="false">IFERROR(1/(1/MAX($I238,$N238)),"")</f>
        <v/>
      </c>
      <c r="P238" s="10"/>
      <c r="Q238" s="10"/>
      <c r="R238" s="10" t="str">
        <f aca="false">IF(AND(SUM($I238)=0,SUM($O238)=0),"",SUM($O238)-$I238)</f>
        <v/>
      </c>
      <c r="S238" s="10" t="n">
        <f aca="false">IF(LEFT($B238,4)="_Mil","",_xlfn.IFNA(ROUND(INDEX(Spectrum!$N:$N,MATCH(RIGHT($B238,13)&amp;"|"&amp;$C238&amp;"|"&amp;$D238&amp;"|"&amp;S$14&amp;"|"&amp;"CY2022Q4",Spectrum!$R:$R,0)),0),""))</f>
        <v>1371</v>
      </c>
      <c r="T238" s="39" t="n">
        <f aca="false">IF(LEFT($B238,4)="_Mil","",_xlfn.IFNA(ROUND(INDEX(Spectrum!$N:$N,MATCH(RIGHT($B238,13)&amp;"|"&amp;$C238&amp;"|"&amp;$D238&amp;"|"&amp;T$14&amp;"|"&amp;"CY2023Q3",Spectrum!$R:$R,0)),0),""))</f>
        <v>527</v>
      </c>
      <c r="U238" s="39" t="str">
        <f aca="false">IF(LEFT($B238,4)="_Mil","",_xlfn.IFNA(ROUND(INDEX(Spectrum!$N:$N,MATCH(RIGHT($B238,13)&amp;"|"&amp;$C238&amp;"|"&amp;$D238&amp;"|"&amp;U$14&amp;"|"&amp;"CY2023Q3",Spectrum!$R:$R,0)),0),""))</f>
        <v/>
      </c>
      <c r="V238" s="10" t="n">
        <f aca="false">IF(LEFT($B238,4)="_Mil","",_xlfn.IFNA(ROUND(INDEX(Spectrum!$N:$N,MATCH(RIGHT($B238,13)&amp;"|"&amp;$C238&amp;"|"&amp;$D238&amp;"|"&amp;V$14&amp;"|"&amp;"CY2023Q3",Spectrum!$R:$R,0)),0),""))</f>
        <v>992</v>
      </c>
      <c r="W238" s="113" t="n">
        <f aca="false">IF(LEFT($B238,4)="_Mil","",_xlfn.IFNA(INDEX(Spectrum!$N:$N,MATCH(RIGHT($B238,13)&amp;"|"&amp;$C238&amp;"|"&amp;$D238&amp;"|"&amp;W$14&amp;"|"&amp;"CY2023Q3",Spectrum!$R:$R,0)),""))</f>
        <v>726</v>
      </c>
      <c r="X238" s="39" t="n">
        <f aca="false">IF(LEFT($B238,4)="_Mil","",_xlfn.IFNA(ROUND(INDEX(Spectrum!$N:$N,MATCH(RIGHT($B238,13)&amp;"|"&amp;$C238&amp;"|"&amp;$D238&amp;"|"&amp;X$14&amp;"|"&amp;"CY2023Q3",Spectrum!$R:$R,0)),0),""))</f>
        <v>848</v>
      </c>
      <c r="Y238" s="88" t="str">
        <f aca="false">IF(OR(SUM($U238)=0,LEFT($B238,4)="_Mil"),"",SUM($X238)/$U238)</f>
        <v/>
      </c>
      <c r="Z238" s="39" t="n">
        <f aca="false">IF(LEFT($B238,4)="_Mil","",_xlfn.IFNA(ROUND(INDEX(Spectrum!$N:$N,MATCH(RIGHT($B238,13)&amp;"|"&amp;$C238&amp;"|"&amp;$D238&amp;"|"&amp;Z$14&amp;"|"&amp;"CY2023Q3",Spectrum!$R:$R,0)),0),""))</f>
        <v>1221</v>
      </c>
      <c r="AA238" s="88" t="n">
        <f aca="false">IF(LEFT($B238,4)="_Mil","",IFERROR(1/(1/INDEX(Spectrum!$N:$N,MATCH(RIGHT($B238,13)&amp;"|"&amp;$C238&amp;"|"&amp;$D238&amp;"|"&amp;AA$14&amp;"|"&amp;"CY2023Q3",Spectrum!$R:$R,0))),IF(SUM($U238)=0,"",SUM($Z238)/$U238)))</f>
        <v>1898</v>
      </c>
      <c r="AB238" s="88" t="n">
        <f aca="false">IF(OR(LEFT($B238,4)="_Mil",SUM($X238)=0),"",SUM($Z238)/$X238)</f>
        <v>1.43985849056604</v>
      </c>
      <c r="AC238" s="10" t="n">
        <f aca="false">IF(LEFT($B238,4)="_Mil","",_xlfn.IFNA(ROUND(INDEX(Spectrum!$N:$N,MATCH(RIGHT($B238,13)&amp;"|"&amp;$C238&amp;"|"&amp;$D238&amp;"|"&amp;AC$14&amp;"|"&amp;"CY2023Q3",Spectrum!$R:$R,0)),0),""))</f>
        <v>1467</v>
      </c>
      <c r="AD238" s="10" t="str">
        <f aca="false">IF(LEFT($B238,4)="_Mil","",_xlfn.IFNA(ROUND(INDEX(Spectrum!$N:$N,MATCH(RIGHT($B238,13)&amp;"|"&amp;$C238&amp;"|"&amp;$D238&amp;"|"&amp;AD$14&amp;"|"&amp;"CY2023Q3",Spectrum!$R:$R,0)),0),""))</f>
        <v/>
      </c>
      <c r="AE238" s="88" t="n">
        <f aca="false">IF(OR(LEFT($B238,4)="_Mil",SUM($Z238)=0),"",SUM($AD238)/$Z238)</f>
        <v>0</v>
      </c>
      <c r="AF238" s="39" t="str">
        <f aca="false">IF(LEFT($B238,4)="_Mil","",_xlfn.IFNA(ROUND(INDEX(Spectrum!$N:$N,MATCH(RIGHT($B238,13)&amp;"|"&amp;$C238&amp;"|"&amp;$D238&amp;"|"&amp;AF$14&amp;"|"&amp;"CY2023Q3",Spectrum!$R:$R,0)),0),""))</f>
        <v/>
      </c>
      <c r="AG238" s="88" t="str">
        <f aca="false">IF(OR(LEFT($B238,4)="_Mil",SUM($AD238)=0),"",SUM($AF238)/$AD238)</f>
        <v/>
      </c>
      <c r="AH238" s="86" t="str">
        <f aca="false">IF(LEFT($B238,4)="_Mil","",_xlfn.IFNA(INDEX(Spectrum!$N:$N,MATCH(RIGHT($B238,13)&amp;"|"&amp;$C238&amp;"|"&amp;$D238&amp;"|"&amp;AH$14&amp;"|"&amp;"CY2023Q3",Spectrum!$R:$R,0)),""))</f>
        <v/>
      </c>
      <c r="AI238" s="10" t="str">
        <f aca="false">IF(LEFT($B238,4)="_Mil","",_xlfn.IFNA(ROUND(INDEX(Spectrum!$N:$N,MATCH(RIGHT($B238,13)&amp;"|"&amp;$C238&amp;"|"&amp;$D238&amp;"|"&amp;AI$14&amp;"|"&amp;"CY2023Q3",Spectrum!$R:$R,0)),0),""))</f>
        <v/>
      </c>
      <c r="AJ238" s="39" t="n">
        <f aca="false">IF(LEFT($B238,4)="_Mil","",_xlfn.IFNA(ROUND(INDEX(Spectrum!$N:$N,MATCH(RIGHT($B238,13)&amp;"|"&amp;$C238&amp;"|"&amp;$D238&amp;"|"&amp;AI$14&amp;"|"&amp;"CY2023Q3",Spectrum!$R:$R,0)),0),SUM($U238)+SUM($AI238)))</f>
        <v>0</v>
      </c>
      <c r="AK238" s="10" t="str">
        <f aca="false">IF(LEFT($B238,4)="_Mil","",_xlfn.IFNA(ROUND(INDEX(Spectrum!$N:$N,MATCH(RIGHT($B238,13)&amp;"|"&amp;$C238&amp;"|"&amp;$D238&amp;"|"&amp;AK$14&amp;"|"&amp;"CY2023Q3",Spectrum!$R:$R,0)),0),""))</f>
        <v/>
      </c>
      <c r="AL238" s="88" t="n">
        <f aca="false">IF(OR(LEFT($B238,4)="_Mil",$C238="&lt;01"),"",MAX(SUM($AA238),90%))</f>
        <v>1898</v>
      </c>
      <c r="AM238" s="10" t="n">
        <f aca="false">IF(OR(LEFT($B238,4)="_Mil",$C238="&lt;01"),"",ROUND(SUM($AJ238)*SUM($AL238),0))</f>
        <v>0</v>
      </c>
      <c r="AN238" s="10" t="str">
        <f aca="false">IF($C238="&lt;01",ROUND(INDEX(EID!$P:$P,MATCH($B238,EID!$B:$B,0))/2,0),"")</f>
        <v/>
      </c>
      <c r="AO238" s="10" t="n">
        <f aca="false">IF($C238="&lt;01",SUM($AN238),ROUND(SUM($AM238)*SUM($O238)/IF(SUM($Z238)=0,1,$Z238),0))</f>
        <v>0</v>
      </c>
      <c r="AP238" s="39" t="n">
        <f aca="false">IF(OR($F238="",$C238="&lt;01"),$AO238,$F238)</f>
        <v>0</v>
      </c>
      <c r="AQ238" s="39" t="n">
        <f aca="false">IF(LEFT($B238,4)="_Mil","",IF(SUM($AP238)=0,SUM($Z238),IF(OR(SUM($Z238)=0,SUM($O238)=0),MAX($AP238,$Z238),$AP238*$Z238/$O238)))</f>
        <v>1221</v>
      </c>
      <c r="AR238" s="88" t="str">
        <f aca="false">IF(OR(LEFT($B238,4)="_Mil",SUM($AJ238)=0),"",SUM($AQ238)/$AJ238)</f>
        <v/>
      </c>
      <c r="AS238" s="88" t="n">
        <f aca="false">IF($C238="&lt;01","",98%)</f>
        <v>0.98</v>
      </c>
      <c r="AT238" s="88" t="n">
        <f aca="false">IF($C238="&lt;01","",98%)</f>
        <v>0.98</v>
      </c>
      <c r="AU238" s="10" t="n">
        <f aca="false">IF($C238="&lt;01","",SUM($AP238)-SUM($O238))</f>
        <v>0</v>
      </c>
      <c r="AV238" s="10" t="n">
        <f aca="false">IF($C238="&lt;01",ROUND(INDEX(EID!$N:$N,MATCH($B238,EID!$B:$B,0))/2,0),IF(SUM($AT238)=0,"",ROUND((SUM($AP238)-(SUM($O238)*SUM($AS238)))/$AT238,0)))</f>
        <v>0</v>
      </c>
      <c r="AW238" s="88" t="n">
        <f aca="false">IF($C238="&lt;01","",100%)</f>
        <v>1</v>
      </c>
      <c r="AX238" s="39" t="n">
        <f aca="false">IF($C238="&lt;01",SUM($AV238),ROUND(SUM($AV238)*SUM($AW238),0))</f>
        <v>0</v>
      </c>
      <c r="AY238" s="114" t="n">
        <f aca="false">IF($C238="&lt;01","",70%)</f>
        <v>0.7</v>
      </c>
      <c r="AZ238" s="91" t="n">
        <f aca="false">IF($C238="&lt;01",ROUND(INDEX(EID!$R:$R,MATCH($B238,EID!$B:$B,0))/2,0),ROUND(SUM($O238)+(SUM($AV238)*$AY238),0))</f>
        <v>0</v>
      </c>
      <c r="BA238" s="87" t="n">
        <f aca="false">IF($C238="&lt;01","",95%)</f>
        <v>0.95</v>
      </c>
      <c r="BB238" s="5" t="n">
        <f aca="false">IF($C238="&lt;01",ROUND(INDEX(EID!$T:$T,MATCH($B238,EID!$B:$B,0))/2,0),ROUND($AZ238*$BA238,0))</f>
        <v>0</v>
      </c>
      <c r="BC238" s="91" t="n">
        <f aca="false">IF(LEFT($B238,4)="_Mil","",IF(SUM($BB238)=0,SUM($AD238),IF(OR(SUM($AP238)=0,SUM($AQ238)=0),MAX($BB238,$AD238),ROUND($BB238*$AQ238/$AP238,0))))</f>
        <v>0</v>
      </c>
      <c r="BD238" s="88" t="n">
        <f aca="false">IF($C238="&lt;01","",95%)</f>
        <v>0.95</v>
      </c>
      <c r="BE238" s="39" t="n">
        <f aca="false">IF($C238="&lt;01",ROUND(INDEX(EID!$V:$V,MATCH($B238,EID!$B:$B,0))/2,0),ROUND($BD238*$BB238,0))</f>
        <v>0</v>
      </c>
      <c r="BF238" s="39" t="n">
        <f aca="false">IF(LEFT($B238,4)="_Mil","",IF(SUM($BE238)=0,SUM($AF238),IF(OR(SUM($AP238)=0,SUM($AQ238)=0),MAX($BE238,$AF238),ROUND($BE238*$AQ238/$AP238,0))))</f>
        <v>0</v>
      </c>
      <c r="BG238" s="114" t="n">
        <f aca="false">IF($C238="&lt;01","",95%)</f>
        <v>0.95</v>
      </c>
      <c r="BH238" s="5" t="n">
        <f aca="false">IF($C238="&lt;01",ROUND(INDEX(EID!$L:$L,MATCH($B238,EID!$B:$B,0)),0)/2,IF(SUM($BG238)=0,"",ROUND($AX238/$BG238,0)))</f>
        <v>0</v>
      </c>
    </row>
    <row r="239" customFormat="false" ht="15" hidden="false" customHeight="false" outlineLevel="0" collapsed="false">
      <c r="A239" s="0" t="str">
        <f aca="false">INDEX(Prioritization!$D:$D,MATCH($B239,Prioritization!$A:$A,0))</f>
        <v>1 - Scale-up: Saturation</v>
      </c>
      <c r="B239" s="0" t="s">
        <v>210</v>
      </c>
      <c r="C239" s="0" t="s">
        <v>316</v>
      </c>
      <c r="D239" s="0" t="s">
        <v>30</v>
      </c>
      <c r="E239" s="0" t="str">
        <f aca="false">$B239&amp;"|"&amp;$C239&amp;"|"&amp;$D239</f>
        <v>Balaka District [ir8wuHHzoSs]|&lt;01|Female</v>
      </c>
      <c r="F239" s="10"/>
      <c r="G239" s="10" t="n">
        <v>4</v>
      </c>
      <c r="H239" s="10" t="n">
        <v>3</v>
      </c>
      <c r="I239" s="10" t="n">
        <v>1</v>
      </c>
      <c r="J239" s="10" t="n">
        <v>7</v>
      </c>
      <c r="K239" s="10" t="n">
        <v>3</v>
      </c>
      <c r="L239" s="10"/>
      <c r="M239" s="10" t="n">
        <v>1</v>
      </c>
      <c r="N239" s="10" t="n">
        <v>1</v>
      </c>
      <c r="O239" s="10" t="n">
        <f aca="false">IFERROR(1/(1/MAX($I239,$N239)),"")</f>
        <v>1</v>
      </c>
      <c r="P239" s="10" t="n">
        <v>1</v>
      </c>
      <c r="Q239" s="10" t="n">
        <v>0</v>
      </c>
      <c r="R239" s="10" t="n">
        <f aca="false">IF(AND(SUM($I239)=0,SUM($O239)=0),"",SUM($O239)-$I239)</f>
        <v>0</v>
      </c>
      <c r="S239" s="10" t="n">
        <f aca="false">IF(LEFT($B239,4)="_Mil","",_xlfn.IFNA(ROUND(INDEX(Spectrum!$N:$N,MATCH(RIGHT($B239,13)&amp;"|"&amp;$C239&amp;"|"&amp;$D239&amp;"|"&amp;S$14&amp;"|"&amp;"CY2022Q4",Spectrum!$R:$R,0)),0),""))</f>
        <v>950</v>
      </c>
      <c r="T239" s="39" t="n">
        <f aca="false">IF(LEFT($B239,4)="_Mil","",_xlfn.IFNA(ROUND(INDEX(Spectrum!$N:$N,MATCH(RIGHT($B239,13)&amp;"|"&amp;$C239&amp;"|"&amp;$D239&amp;"|"&amp;T$14&amp;"|"&amp;"CY2023Q3",Spectrum!$R:$R,0)),0),""))</f>
        <v>999</v>
      </c>
      <c r="U239" s="39" t="str">
        <f aca="false">IF(LEFT($B239,4)="_Mil","",_xlfn.IFNA(ROUND(INDEX(Spectrum!$N:$N,MATCH(RIGHT($B239,13)&amp;"|"&amp;$C239&amp;"|"&amp;$D239&amp;"|"&amp;U$14&amp;"|"&amp;"CY2023Q3",Spectrum!$R:$R,0)),0),""))</f>
        <v/>
      </c>
      <c r="V239" s="10" t="n">
        <f aca="false">IF(LEFT($B239,4)="_Mil","",_xlfn.IFNA(ROUND(INDEX(Spectrum!$N:$N,MATCH(RIGHT($B239,13)&amp;"|"&amp;$C239&amp;"|"&amp;$D239&amp;"|"&amp;V$14&amp;"|"&amp;"CY2023Q3",Spectrum!$R:$R,0)),0),""))</f>
        <v>1336</v>
      </c>
      <c r="W239" s="113" t="n">
        <f aca="false">IF(LEFT($B239,4)="_Mil","",_xlfn.IFNA(INDEX(Spectrum!$N:$N,MATCH(RIGHT($B239,13)&amp;"|"&amp;$C239&amp;"|"&amp;$D239&amp;"|"&amp;W$14&amp;"|"&amp;"CY2023Q3",Spectrum!$R:$R,0)),""))</f>
        <v>1428</v>
      </c>
      <c r="X239" s="39" t="n">
        <f aca="false">IF(LEFT($B239,4)="_Mil","",_xlfn.IFNA(ROUND(INDEX(Spectrum!$N:$N,MATCH(RIGHT($B239,13)&amp;"|"&amp;$C239&amp;"|"&amp;$D239&amp;"|"&amp;X$14&amp;"|"&amp;"CY2023Q3",Spectrum!$R:$R,0)),0),""))</f>
        <v>1811</v>
      </c>
      <c r="Y239" s="88" t="str">
        <f aca="false">IF(OR(SUM($U239)=0,LEFT($B239,4)="_Mil"),"",SUM($X239)/$U239)</f>
        <v/>
      </c>
      <c r="Z239" s="39" t="n">
        <f aca="false">IF(LEFT($B239,4)="_Mil","",_xlfn.IFNA(ROUND(INDEX(Spectrum!$N:$N,MATCH(RIGHT($B239,13)&amp;"|"&amp;$C239&amp;"|"&amp;$D239&amp;"|"&amp;Z$14&amp;"|"&amp;"CY2023Q3",Spectrum!$R:$R,0)),0),""))</f>
        <v>647</v>
      </c>
      <c r="AA239" s="88" t="n">
        <f aca="false">IF(LEFT($B239,4)="_Mil","",IFERROR(1/(1/INDEX(Spectrum!$N:$N,MATCH(RIGHT($B239,13)&amp;"|"&amp;$C239&amp;"|"&amp;$D239&amp;"|"&amp;AA$14&amp;"|"&amp;"CY2023Q3",Spectrum!$R:$R,0))),IF(SUM($U239)=0,"",SUM($Z239)/$U239)))</f>
        <v>1856</v>
      </c>
      <c r="AB239" s="88" t="n">
        <f aca="false">IF(OR(LEFT($B239,4)="_Mil",SUM($X239)=0),"",SUM($Z239)/$X239)</f>
        <v>0.357261181667587</v>
      </c>
      <c r="AC239" s="10" t="n">
        <f aca="false">IF(LEFT($B239,4)="_Mil","",_xlfn.IFNA(ROUND(INDEX(Spectrum!$N:$N,MATCH(RIGHT($B239,13)&amp;"|"&amp;$C239&amp;"|"&amp;$D239&amp;"|"&amp;AC$14&amp;"|"&amp;"CY2023Q3",Spectrum!$R:$R,0)),0),""))</f>
        <v>1379</v>
      </c>
      <c r="AD239" s="10" t="str">
        <f aca="false">IF(LEFT($B239,4)="_Mil","",_xlfn.IFNA(ROUND(INDEX(Spectrum!$N:$N,MATCH(RIGHT($B239,13)&amp;"|"&amp;$C239&amp;"|"&amp;$D239&amp;"|"&amp;AD$14&amp;"|"&amp;"CY2023Q3",Spectrum!$R:$R,0)),0),""))</f>
        <v/>
      </c>
      <c r="AE239" s="88" t="n">
        <f aca="false">IF(OR(LEFT($B239,4)="_Mil",SUM($Z239)=0),"",SUM($AD239)/$Z239)</f>
        <v>0</v>
      </c>
      <c r="AF239" s="39" t="str">
        <f aca="false">IF(LEFT($B239,4)="_Mil","",_xlfn.IFNA(ROUND(INDEX(Spectrum!$N:$N,MATCH(RIGHT($B239,13)&amp;"|"&amp;$C239&amp;"|"&amp;$D239&amp;"|"&amp;AF$14&amp;"|"&amp;"CY2023Q3",Spectrum!$R:$R,0)),0),""))</f>
        <v/>
      </c>
      <c r="AG239" s="88" t="str">
        <f aca="false">IF(OR(LEFT($B239,4)="_Mil",SUM($AD239)=0),"",SUM($AF239)/$AD239)</f>
        <v/>
      </c>
      <c r="AH239" s="86" t="str">
        <f aca="false">IF(LEFT($B239,4)="_Mil","",_xlfn.IFNA(INDEX(Spectrum!$N:$N,MATCH(RIGHT($B239,13)&amp;"|"&amp;$C239&amp;"|"&amp;$D239&amp;"|"&amp;AH$14&amp;"|"&amp;"CY2023Q3",Spectrum!$R:$R,0)),""))</f>
        <v/>
      </c>
      <c r="AI239" s="10" t="str">
        <f aca="false">IF(LEFT($B239,4)="_Mil","",_xlfn.IFNA(ROUND(INDEX(Spectrum!$N:$N,MATCH(RIGHT($B239,13)&amp;"|"&amp;$C239&amp;"|"&amp;$D239&amp;"|"&amp;AI$14&amp;"|"&amp;"CY2023Q3",Spectrum!$R:$R,0)),0),""))</f>
        <v/>
      </c>
      <c r="AJ239" s="39" t="n">
        <f aca="false">IF(LEFT($B239,4)="_Mil","",_xlfn.IFNA(ROUND(INDEX(Spectrum!$N:$N,MATCH(RIGHT($B239,13)&amp;"|"&amp;$C239&amp;"|"&amp;$D239&amp;"|"&amp;AI$14&amp;"|"&amp;"CY2023Q3",Spectrum!$R:$R,0)),0),SUM($U239)+SUM($AI239)))</f>
        <v>0</v>
      </c>
      <c r="AK239" s="10" t="str">
        <f aca="false">IF(LEFT($B239,4)="_Mil","",_xlfn.IFNA(ROUND(INDEX(Spectrum!$N:$N,MATCH(RIGHT($B239,13)&amp;"|"&amp;$C239&amp;"|"&amp;$D239&amp;"|"&amp;AK$14&amp;"|"&amp;"CY2023Q3",Spectrum!$R:$R,0)),0),""))</f>
        <v/>
      </c>
      <c r="AL239" s="88" t="str">
        <f aca="false">IF(OR(LEFT($B239,4)="_Mil",$C239="&lt;01"),"",MAX(SUM($AA239),90%))</f>
        <v/>
      </c>
      <c r="AM239" s="10" t="str">
        <f aca="false">IF(OR(LEFT($B239,4)="_Mil",$C239="&lt;01"),"",ROUND(SUM($AJ239)*SUM($AL239),0))</f>
        <v/>
      </c>
      <c r="AN239" s="10" t="n">
        <f aca="false">IF($C239="&lt;01",ROUND(INDEX(EID!$P:$P,MATCH($B239,EID!$B:$B,0))/2,0),"")</f>
        <v>1</v>
      </c>
      <c r="AO239" s="10" t="n">
        <f aca="false">IF($C239="&lt;01",SUM($AN239),ROUND(SUM($AM239)*SUM($O239)/IF(SUM($Z239)=0,1,$Z239),0))</f>
        <v>1</v>
      </c>
      <c r="AP239" s="39" t="n">
        <f aca="false">IF(OR($F239="",$C239="&lt;01"),$AO239,$F239)</f>
        <v>1</v>
      </c>
      <c r="AQ239" s="39" t="n">
        <f aca="false">IF(LEFT($B239,4)="_Mil","",IF(SUM($AP239)=0,SUM($Z239),IF(OR(SUM($Z239)=0,SUM($O239)=0),MAX($AP239,$Z239),$AP239*$Z239/$O239)))</f>
        <v>647</v>
      </c>
      <c r="AR239" s="88" t="str">
        <f aca="false">IF(OR(LEFT($B239,4)="_Mil",SUM($AJ239)=0),"",SUM($AQ239)/$AJ239)</f>
        <v/>
      </c>
      <c r="AS239" s="88" t="str">
        <f aca="false">IF($C239="&lt;01","",98%)</f>
        <v/>
      </c>
      <c r="AT239" s="88" t="str">
        <f aca="false">IF($C239="&lt;01","",98%)</f>
        <v/>
      </c>
      <c r="AU239" s="10" t="str">
        <f aca="false">IF($C239="&lt;01","",SUM($AP239)-SUM($O239))</f>
        <v/>
      </c>
      <c r="AV239" s="10" t="n">
        <f aca="false">IF($C239="&lt;01",ROUND(INDEX(EID!$N:$N,MATCH($B239,EID!$B:$B,0))/2,0),IF(SUM($AT239)=0,"",ROUND((SUM($AP239)-(SUM($O239)*SUM($AS239)))/$AT239,0)))</f>
        <v>1</v>
      </c>
      <c r="AW239" s="88" t="str">
        <f aca="false">IF($C239="&lt;01","",100%)</f>
        <v/>
      </c>
      <c r="AX239" s="39" t="n">
        <f aca="false">IF($C239="&lt;01",SUM($AV239),ROUND(SUM($AV239)*SUM($AW239),0))</f>
        <v>1</v>
      </c>
      <c r="AY239" s="114" t="str">
        <f aca="false">IF($C239="&lt;01","",70%)</f>
        <v/>
      </c>
      <c r="AZ239" s="91" t="n">
        <f aca="false">IF($C239="&lt;01",ROUND(INDEX(EID!$R:$R,MATCH($B239,EID!$B:$B,0))/2,0),ROUND(SUM($O239)+(SUM($AV239)*$AY239),0))</f>
        <v>1</v>
      </c>
      <c r="BA239" s="87" t="str">
        <f aca="false">IF($C239="&lt;01","",95%)</f>
        <v/>
      </c>
      <c r="BB239" s="5" t="n">
        <f aca="false">IF($C239="&lt;01",ROUND(INDEX(EID!$T:$T,MATCH($B239,EID!$B:$B,0))/2,0),ROUND($AZ239*$BA239,0))</f>
        <v>1</v>
      </c>
      <c r="BC239" s="91" t="n">
        <f aca="false">IF(LEFT($B239,4)="_Mil","",IF(SUM($BB239)=0,SUM($AD239),IF(OR(SUM($AP239)=0,SUM($AQ239)=0),MAX($BB239,$AD239),ROUND($BB239*$AQ239/$AP239,0))))</f>
        <v>647</v>
      </c>
      <c r="BD239" s="88" t="str">
        <f aca="false">IF($C239="&lt;01","",95%)</f>
        <v/>
      </c>
      <c r="BE239" s="39" t="n">
        <f aca="false">IF($C239="&lt;01",ROUND(INDEX(EID!$V:$V,MATCH($B239,EID!$B:$B,0))/2,0),ROUND($BD239*$BB239,0))</f>
        <v>1</v>
      </c>
      <c r="BF239" s="39" t="n">
        <f aca="false">IF(LEFT($B239,4)="_Mil","",IF(SUM($BE239)=0,SUM($AF239),IF(OR(SUM($AP239)=0,SUM($AQ239)=0),MAX($BE239,$AF239),ROUND($BE239*$AQ239/$AP239,0))))</f>
        <v>647</v>
      </c>
      <c r="BG239" s="114" t="str">
        <f aca="false">IF($C239="&lt;01","",95%)</f>
        <v/>
      </c>
      <c r="BH239" s="5" t="n">
        <f aca="false">IF($C239="&lt;01",ROUND(INDEX(EID!$L:$L,MATCH($B239,EID!$B:$B,0)),0)/2,IF(SUM($BG239)=0,"",ROUND($AX239/$BG239,0)))</f>
        <v>1</v>
      </c>
    </row>
    <row r="240" customFormat="false" ht="15" hidden="false" customHeight="false" outlineLevel="0" collapsed="false">
      <c r="A240" s="0" t="str">
        <f aca="false">INDEX(Prioritization!$D:$D,MATCH($B240,Prioritization!$A:$A,0))</f>
        <v>1 - Scale-up: Saturation</v>
      </c>
      <c r="B240" s="0" t="s">
        <v>210</v>
      </c>
      <c r="C240" s="0" t="s">
        <v>316</v>
      </c>
      <c r="D240" s="0" t="s">
        <v>48</v>
      </c>
      <c r="E240" s="0" t="str">
        <f aca="false">$B240&amp;"|"&amp;$C240&amp;"|"&amp;$D240</f>
        <v>Balaka District [ir8wuHHzoSs]|&lt;01|Male</v>
      </c>
      <c r="F240" s="10"/>
      <c r="G240" s="10" t="n">
        <v>7</v>
      </c>
      <c r="H240" s="10" t="n">
        <v>4</v>
      </c>
      <c r="I240" s="10" t="n">
        <v>1</v>
      </c>
      <c r="J240" s="10" t="n">
        <v>3</v>
      </c>
      <c r="K240" s="10" t="n">
        <v>6</v>
      </c>
      <c r="L240" s="10"/>
      <c r="M240" s="10" t="n">
        <v>0</v>
      </c>
      <c r="N240" s="10" t="n">
        <v>1</v>
      </c>
      <c r="O240" s="10" t="n">
        <f aca="false">IFERROR(1/(1/MAX($I240,$N240)),"")</f>
        <v>1</v>
      </c>
      <c r="P240" s="10" t="n">
        <v>0</v>
      </c>
      <c r="Q240" s="10" t="n">
        <v>0</v>
      </c>
      <c r="R240" s="10" t="n">
        <f aca="false">IF(AND(SUM($I240)=0,SUM($O240)=0),"",SUM($O240)-$I240)</f>
        <v>0</v>
      </c>
      <c r="S240" s="10" t="n">
        <f aca="false">IF(LEFT($B240,4)="_Mil","",_xlfn.IFNA(ROUND(INDEX(Spectrum!$N:$N,MATCH(RIGHT($B240,13)&amp;"|"&amp;$C240&amp;"|"&amp;$D240&amp;"|"&amp;S$14&amp;"|"&amp;"CY2022Q4",Spectrum!$R:$R,0)),0),""))</f>
        <v>912</v>
      </c>
      <c r="T240" s="39" t="n">
        <f aca="false">IF(LEFT($B240,4)="_Mil","",_xlfn.IFNA(ROUND(INDEX(Spectrum!$N:$N,MATCH(RIGHT($B240,13)&amp;"|"&amp;$C240&amp;"|"&amp;$D240&amp;"|"&amp;T$14&amp;"|"&amp;"CY2023Q3",Spectrum!$R:$R,0)),0),""))</f>
        <v>1880</v>
      </c>
      <c r="U240" s="39" t="str">
        <f aca="false">IF(LEFT($B240,4)="_Mil","",_xlfn.IFNA(ROUND(INDEX(Spectrum!$N:$N,MATCH(RIGHT($B240,13)&amp;"|"&amp;$C240&amp;"|"&amp;$D240&amp;"|"&amp;U$14&amp;"|"&amp;"CY2023Q3",Spectrum!$R:$R,0)),0),""))</f>
        <v/>
      </c>
      <c r="V240" s="10" t="n">
        <f aca="false">IF(LEFT($B240,4)="_Mil","",_xlfn.IFNA(ROUND(INDEX(Spectrum!$N:$N,MATCH(RIGHT($B240,13)&amp;"|"&amp;$C240&amp;"|"&amp;$D240&amp;"|"&amp;V$14&amp;"|"&amp;"CY2023Q3",Spectrum!$R:$R,0)),0),""))</f>
        <v>1849</v>
      </c>
      <c r="W240" s="113" t="n">
        <f aca="false">IF(LEFT($B240,4)="_Mil","",_xlfn.IFNA(INDEX(Spectrum!$N:$N,MATCH(RIGHT($B240,13)&amp;"|"&amp;$C240&amp;"|"&amp;$D240&amp;"|"&amp;W$14&amp;"|"&amp;"CY2023Q3",Spectrum!$R:$R,0)),""))</f>
        <v>1569</v>
      </c>
      <c r="X240" s="39" t="n">
        <f aca="false">IF(LEFT($B240,4)="_Mil","",_xlfn.IFNA(ROUND(INDEX(Spectrum!$N:$N,MATCH(RIGHT($B240,13)&amp;"|"&amp;$C240&amp;"|"&amp;$D240&amp;"|"&amp;X$14&amp;"|"&amp;"CY2023Q3",Spectrum!$R:$R,0)),0),""))</f>
        <v>1634</v>
      </c>
      <c r="Y240" s="88" t="str">
        <f aca="false">IF(OR(SUM($U240)=0,LEFT($B240,4)="_Mil"),"",SUM($X240)/$U240)</f>
        <v/>
      </c>
      <c r="Z240" s="39" t="n">
        <f aca="false">IF(LEFT($B240,4)="_Mil","",_xlfn.IFNA(ROUND(INDEX(Spectrum!$N:$N,MATCH(RIGHT($B240,13)&amp;"|"&amp;$C240&amp;"|"&amp;$D240&amp;"|"&amp;Z$14&amp;"|"&amp;"CY2023Q3",Spectrum!$R:$R,0)),0),""))</f>
        <v>954</v>
      </c>
      <c r="AA240" s="88" t="n">
        <f aca="false">IF(LEFT($B240,4)="_Mil","",IFERROR(1/(1/INDEX(Spectrum!$N:$N,MATCH(RIGHT($B240,13)&amp;"|"&amp;$C240&amp;"|"&amp;$D240&amp;"|"&amp;AA$14&amp;"|"&amp;"CY2023Q3",Spectrum!$R:$R,0))),IF(SUM($U240)=0,"",SUM($Z240)/$U240)))</f>
        <v>1942</v>
      </c>
      <c r="AB240" s="88" t="n">
        <f aca="false">IF(OR(LEFT($B240,4)="_Mil",SUM($X240)=0),"",SUM($Z240)/$X240)</f>
        <v>0.583843329253366</v>
      </c>
      <c r="AC240" s="10" t="n">
        <f aca="false">IF(LEFT($B240,4)="_Mil","",_xlfn.IFNA(ROUND(INDEX(Spectrum!$N:$N,MATCH(RIGHT($B240,13)&amp;"|"&amp;$C240&amp;"|"&amp;$D240&amp;"|"&amp;AC$14&amp;"|"&amp;"CY2023Q3",Spectrum!$R:$R,0)),0),""))</f>
        <v>665</v>
      </c>
      <c r="AD240" s="10" t="str">
        <f aca="false">IF(LEFT($B240,4)="_Mil","",_xlfn.IFNA(ROUND(INDEX(Spectrum!$N:$N,MATCH(RIGHT($B240,13)&amp;"|"&amp;$C240&amp;"|"&amp;$D240&amp;"|"&amp;AD$14&amp;"|"&amp;"CY2023Q3",Spectrum!$R:$R,0)),0),""))</f>
        <v/>
      </c>
      <c r="AE240" s="88" t="n">
        <f aca="false">IF(OR(LEFT($B240,4)="_Mil",SUM($Z240)=0),"",SUM($AD240)/$Z240)</f>
        <v>0</v>
      </c>
      <c r="AF240" s="39" t="str">
        <f aca="false">IF(LEFT($B240,4)="_Mil","",_xlfn.IFNA(ROUND(INDEX(Spectrum!$N:$N,MATCH(RIGHT($B240,13)&amp;"|"&amp;$C240&amp;"|"&amp;$D240&amp;"|"&amp;AF$14&amp;"|"&amp;"CY2023Q3",Spectrum!$R:$R,0)),0),""))</f>
        <v/>
      </c>
      <c r="AG240" s="88" t="str">
        <f aca="false">IF(OR(LEFT($B240,4)="_Mil",SUM($AD240)=0),"",SUM($AF240)/$AD240)</f>
        <v/>
      </c>
      <c r="AH240" s="86" t="str">
        <f aca="false">IF(LEFT($B240,4)="_Mil","",_xlfn.IFNA(INDEX(Spectrum!$N:$N,MATCH(RIGHT($B240,13)&amp;"|"&amp;$C240&amp;"|"&amp;$D240&amp;"|"&amp;AH$14&amp;"|"&amp;"CY2023Q3",Spectrum!$R:$R,0)),""))</f>
        <v/>
      </c>
      <c r="AI240" s="10" t="str">
        <f aca="false">IF(LEFT($B240,4)="_Mil","",_xlfn.IFNA(ROUND(INDEX(Spectrum!$N:$N,MATCH(RIGHT($B240,13)&amp;"|"&amp;$C240&amp;"|"&amp;$D240&amp;"|"&amp;AI$14&amp;"|"&amp;"CY2023Q3",Spectrum!$R:$R,0)),0),""))</f>
        <v/>
      </c>
      <c r="AJ240" s="39" t="n">
        <f aca="false">IF(LEFT($B240,4)="_Mil","",_xlfn.IFNA(ROUND(INDEX(Spectrum!$N:$N,MATCH(RIGHT($B240,13)&amp;"|"&amp;$C240&amp;"|"&amp;$D240&amp;"|"&amp;AI$14&amp;"|"&amp;"CY2023Q3",Spectrum!$R:$R,0)),0),SUM($U240)+SUM($AI240)))</f>
        <v>0</v>
      </c>
      <c r="AK240" s="10" t="str">
        <f aca="false">IF(LEFT($B240,4)="_Mil","",_xlfn.IFNA(ROUND(INDEX(Spectrum!$N:$N,MATCH(RIGHT($B240,13)&amp;"|"&amp;$C240&amp;"|"&amp;$D240&amp;"|"&amp;AK$14&amp;"|"&amp;"CY2023Q3",Spectrum!$R:$R,0)),0),""))</f>
        <v/>
      </c>
      <c r="AL240" s="88" t="str">
        <f aca="false">IF(OR(LEFT($B240,4)="_Mil",$C240="&lt;01"),"",MAX(SUM($AA240),90%))</f>
        <v/>
      </c>
      <c r="AM240" s="10" t="str">
        <f aca="false">IF(OR(LEFT($B240,4)="_Mil",$C240="&lt;01"),"",ROUND(SUM($AJ240)*SUM($AL240),0))</f>
        <v/>
      </c>
      <c r="AN240" s="10" t="n">
        <f aca="false">IF($C240="&lt;01",ROUND(INDEX(EID!$P:$P,MATCH($B240,EID!$B:$B,0))/2,0),"")</f>
        <v>1</v>
      </c>
      <c r="AO240" s="10" t="n">
        <f aca="false">IF($C240="&lt;01",SUM($AN240),ROUND(SUM($AM240)*SUM($O240)/IF(SUM($Z240)=0,1,$Z240),0))</f>
        <v>1</v>
      </c>
      <c r="AP240" s="39" t="n">
        <f aca="false">IF(OR($F240="",$C240="&lt;01"),$AO240,$F240)</f>
        <v>1</v>
      </c>
      <c r="AQ240" s="39" t="n">
        <f aca="false">IF(LEFT($B240,4)="_Mil","",IF(SUM($AP240)=0,SUM($Z240),IF(OR(SUM($Z240)=0,SUM($O240)=0),MAX($AP240,$Z240),$AP240*$Z240/$O240)))</f>
        <v>954</v>
      </c>
      <c r="AR240" s="88" t="str">
        <f aca="false">IF(OR(LEFT($B240,4)="_Mil",SUM($AJ240)=0),"",SUM($AQ240)/$AJ240)</f>
        <v/>
      </c>
      <c r="AS240" s="88" t="str">
        <f aca="false">IF($C240="&lt;01","",98%)</f>
        <v/>
      </c>
      <c r="AT240" s="88" t="str">
        <f aca="false">IF($C240="&lt;01","",98%)</f>
        <v/>
      </c>
      <c r="AU240" s="10" t="str">
        <f aca="false">IF($C240="&lt;01","",SUM($AP240)-SUM($O240))</f>
        <v/>
      </c>
      <c r="AV240" s="10" t="n">
        <f aca="false">IF($C240="&lt;01",ROUND(INDEX(EID!$N:$N,MATCH($B240,EID!$B:$B,0))/2,0),IF(SUM($AT240)=0,"",ROUND((SUM($AP240)-(SUM($O240)*SUM($AS240)))/$AT240,0)))</f>
        <v>1</v>
      </c>
      <c r="AW240" s="88" t="str">
        <f aca="false">IF($C240="&lt;01","",100%)</f>
        <v/>
      </c>
      <c r="AX240" s="39" t="n">
        <f aca="false">IF($C240="&lt;01",SUM($AV240),ROUND(SUM($AV240)*SUM($AW240),0))</f>
        <v>1</v>
      </c>
      <c r="AY240" s="114" t="str">
        <f aca="false">IF($C240="&lt;01","",70%)</f>
        <v/>
      </c>
      <c r="AZ240" s="91" t="n">
        <f aca="false">IF($C240="&lt;01",ROUND(INDEX(EID!$R:$R,MATCH($B240,EID!$B:$B,0))/2,0),ROUND(SUM($O240)+(SUM($AV240)*$AY240),0))</f>
        <v>1</v>
      </c>
      <c r="BA240" s="87" t="str">
        <f aca="false">IF($C240="&lt;01","",95%)</f>
        <v/>
      </c>
      <c r="BB240" s="5" t="n">
        <f aca="false">IF($C240="&lt;01",ROUND(INDEX(EID!$T:$T,MATCH($B240,EID!$B:$B,0))/2,0),ROUND($AZ240*$BA240,0))</f>
        <v>1</v>
      </c>
      <c r="BC240" s="91" t="n">
        <f aca="false">IF(LEFT($B240,4)="_Mil","",IF(SUM($BB240)=0,SUM($AD240),IF(OR(SUM($AP240)=0,SUM($AQ240)=0),MAX($BB240,$AD240),ROUND($BB240*$AQ240/$AP240,0))))</f>
        <v>954</v>
      </c>
      <c r="BD240" s="88" t="str">
        <f aca="false">IF($C240="&lt;01","",95%)</f>
        <v/>
      </c>
      <c r="BE240" s="39" t="n">
        <f aca="false">IF($C240="&lt;01",ROUND(INDEX(EID!$V:$V,MATCH($B240,EID!$B:$B,0))/2,0),ROUND($BD240*$BB240,0))</f>
        <v>1</v>
      </c>
      <c r="BF240" s="39" t="n">
        <f aca="false">IF(LEFT($B240,4)="_Mil","",IF(SUM($BE240)=0,SUM($AF240),IF(OR(SUM($AP240)=0,SUM($AQ240)=0),MAX($BE240,$AF240),ROUND($BE240*$AQ240/$AP240,0))))</f>
        <v>954</v>
      </c>
      <c r="BG240" s="114" t="str">
        <f aca="false">IF($C240="&lt;01","",95%)</f>
        <v/>
      </c>
      <c r="BH240" s="5" t="n">
        <f aca="false">IF($C240="&lt;01",ROUND(INDEX(EID!$L:$L,MATCH($B240,EID!$B:$B,0)),0)/2,IF(SUM($BG240)=0,"",ROUND($AX240/$BG240,0)))</f>
        <v>1</v>
      </c>
    </row>
    <row r="241" customFormat="false" ht="15" hidden="false" customHeight="false" outlineLevel="0" collapsed="false">
      <c r="A241" s="0" t="str">
        <f aca="false">INDEX(Prioritization!$D:$D,MATCH($B241,Prioritization!$A:$A,0))</f>
        <v>1 - Scale-up: Saturation</v>
      </c>
      <c r="B241" s="0" t="s">
        <v>210</v>
      </c>
      <c r="C241" s="0" t="s">
        <v>363</v>
      </c>
      <c r="D241" s="0" t="s">
        <v>30</v>
      </c>
      <c r="E241" s="0" t="str">
        <f aca="false">$B241&amp;"|"&amp;$C241&amp;"|"&amp;$D241</f>
        <v>Balaka District [ir8wuHHzoSs]|01-09|Female</v>
      </c>
      <c r="F241" s="10"/>
      <c r="G241" s="10"/>
      <c r="H241" s="10"/>
      <c r="I241" s="10"/>
      <c r="J241" s="10"/>
      <c r="K241" s="10"/>
      <c r="L241" s="10"/>
      <c r="M241" s="10"/>
      <c r="N241" s="10"/>
      <c r="O241" s="10" t="str">
        <f aca="false">IFERROR(1/(1/MAX($I241,$N241)),"")</f>
        <v/>
      </c>
      <c r="P241" s="10"/>
      <c r="Q241" s="10"/>
      <c r="R241" s="10" t="str">
        <f aca="false">IF(AND(SUM($I241)=0,SUM($O241)=0),"",SUM($O241)-$I241)</f>
        <v/>
      </c>
      <c r="S241" s="10" t="n">
        <f aca="false">IF(LEFT($B241,4)="_Mil","",_xlfn.IFNA(ROUND(INDEX(Spectrum!$N:$N,MATCH(RIGHT($B241,13)&amp;"|"&amp;$C241&amp;"|"&amp;$D241&amp;"|"&amp;S$14&amp;"|"&amp;"CY2022Q4",Spectrum!$R:$R,0)),0),""))</f>
        <v>1811</v>
      </c>
      <c r="T241" s="39" t="n">
        <f aca="false">IF(LEFT($B241,4)="_Mil","",_xlfn.IFNA(ROUND(INDEX(Spectrum!$N:$N,MATCH(RIGHT($B241,13)&amp;"|"&amp;$C241&amp;"|"&amp;$D241&amp;"|"&amp;T$14&amp;"|"&amp;"CY2023Q3",Spectrum!$R:$R,0)),0),""))</f>
        <v>1197</v>
      </c>
      <c r="U241" s="39" t="str">
        <f aca="false">IF(LEFT($B241,4)="_Mil","",_xlfn.IFNA(ROUND(INDEX(Spectrum!$N:$N,MATCH(RIGHT($B241,13)&amp;"|"&amp;$C241&amp;"|"&amp;$D241&amp;"|"&amp;U$14&amp;"|"&amp;"CY2023Q3",Spectrum!$R:$R,0)),0),""))</f>
        <v/>
      </c>
      <c r="V241" s="10" t="n">
        <f aca="false">IF(LEFT($B241,4)="_Mil","",_xlfn.IFNA(ROUND(INDEX(Spectrum!$N:$N,MATCH(RIGHT($B241,13)&amp;"|"&amp;$C241&amp;"|"&amp;$D241&amp;"|"&amp;V$14&amp;"|"&amp;"CY2023Q3",Spectrum!$R:$R,0)),0),""))</f>
        <v>1269</v>
      </c>
      <c r="W241" s="113" t="n">
        <f aca="false">IF(LEFT($B241,4)="_Mil","",_xlfn.IFNA(INDEX(Spectrum!$N:$N,MATCH(RIGHT($B241,13)&amp;"|"&amp;$C241&amp;"|"&amp;$D241&amp;"|"&amp;W$14&amp;"|"&amp;"CY2023Q3",Spectrum!$R:$R,0)),""))</f>
        <v>1601</v>
      </c>
      <c r="X241" s="39" t="n">
        <f aca="false">IF(LEFT($B241,4)="_Mil","",_xlfn.IFNA(ROUND(INDEX(Spectrum!$N:$N,MATCH(RIGHT($B241,13)&amp;"|"&amp;$C241&amp;"|"&amp;$D241&amp;"|"&amp;X$14&amp;"|"&amp;"CY2023Q3",Spectrum!$R:$R,0)),0),""))</f>
        <v>1492</v>
      </c>
      <c r="Y241" s="88" t="str">
        <f aca="false">IF(OR(SUM($U241)=0,LEFT($B241,4)="_Mil"),"",SUM($X241)/$U241)</f>
        <v/>
      </c>
      <c r="Z241" s="39" t="n">
        <f aca="false">IF(LEFT($B241,4)="_Mil","",_xlfn.IFNA(ROUND(INDEX(Spectrum!$N:$N,MATCH(RIGHT($B241,13)&amp;"|"&amp;$C241&amp;"|"&amp;$D241&amp;"|"&amp;Z$14&amp;"|"&amp;"CY2023Q3",Spectrum!$R:$R,0)),0),""))</f>
        <v>1959</v>
      </c>
      <c r="AA241" s="88" t="n">
        <f aca="false">IF(LEFT($B241,4)="_Mil","",IFERROR(1/(1/INDEX(Spectrum!$N:$N,MATCH(RIGHT($B241,13)&amp;"|"&amp;$C241&amp;"|"&amp;$D241&amp;"|"&amp;AA$14&amp;"|"&amp;"CY2023Q3",Spectrum!$R:$R,0))),IF(SUM($U241)=0,"",SUM($Z241)/$U241)))</f>
        <v>670</v>
      </c>
      <c r="AB241" s="88" t="n">
        <f aca="false">IF(OR(LEFT($B241,4)="_Mil",SUM($X241)=0),"",SUM($Z241)/$X241)</f>
        <v>1.31300268096515</v>
      </c>
      <c r="AC241" s="10" t="n">
        <f aca="false">IF(LEFT($B241,4)="_Mil","",_xlfn.IFNA(ROUND(INDEX(Spectrum!$N:$N,MATCH(RIGHT($B241,13)&amp;"|"&amp;$C241&amp;"|"&amp;$D241&amp;"|"&amp;AC$14&amp;"|"&amp;"CY2023Q3",Spectrum!$R:$R,0)),0),""))</f>
        <v>1073</v>
      </c>
      <c r="AD241" s="10" t="str">
        <f aca="false">IF(LEFT($B241,4)="_Mil","",_xlfn.IFNA(ROUND(INDEX(Spectrum!$N:$N,MATCH(RIGHT($B241,13)&amp;"|"&amp;$C241&amp;"|"&amp;$D241&amp;"|"&amp;AD$14&amp;"|"&amp;"CY2023Q3",Spectrum!$R:$R,0)),0),""))</f>
        <v/>
      </c>
      <c r="AE241" s="88" t="n">
        <f aca="false">IF(OR(LEFT($B241,4)="_Mil",SUM($Z241)=0),"",SUM($AD241)/$Z241)</f>
        <v>0</v>
      </c>
      <c r="AF241" s="39" t="str">
        <f aca="false">IF(LEFT($B241,4)="_Mil","",_xlfn.IFNA(ROUND(INDEX(Spectrum!$N:$N,MATCH(RIGHT($B241,13)&amp;"|"&amp;$C241&amp;"|"&amp;$D241&amp;"|"&amp;AF$14&amp;"|"&amp;"CY2023Q3",Spectrum!$R:$R,0)),0),""))</f>
        <v/>
      </c>
      <c r="AG241" s="88" t="str">
        <f aca="false">IF(OR(LEFT($B241,4)="_Mil",SUM($AD241)=0),"",SUM($AF241)/$AD241)</f>
        <v/>
      </c>
      <c r="AH241" s="86" t="str">
        <f aca="false">IF(LEFT($B241,4)="_Mil","",_xlfn.IFNA(INDEX(Spectrum!$N:$N,MATCH(RIGHT($B241,13)&amp;"|"&amp;$C241&amp;"|"&amp;$D241&amp;"|"&amp;AH$14&amp;"|"&amp;"CY2023Q3",Spectrum!$R:$R,0)),""))</f>
        <v/>
      </c>
      <c r="AI241" s="10" t="str">
        <f aca="false">IF(LEFT($B241,4)="_Mil","",_xlfn.IFNA(ROUND(INDEX(Spectrum!$N:$N,MATCH(RIGHT($B241,13)&amp;"|"&amp;$C241&amp;"|"&amp;$D241&amp;"|"&amp;AI$14&amp;"|"&amp;"CY2023Q3",Spectrum!$R:$R,0)),0),""))</f>
        <v/>
      </c>
      <c r="AJ241" s="39" t="n">
        <f aca="false">IF(LEFT($B241,4)="_Mil","",_xlfn.IFNA(ROUND(INDEX(Spectrum!$N:$N,MATCH(RIGHT($B241,13)&amp;"|"&amp;$C241&amp;"|"&amp;$D241&amp;"|"&amp;AI$14&amp;"|"&amp;"CY2023Q3",Spectrum!$R:$R,0)),0),SUM($U241)+SUM($AI241)))</f>
        <v>0</v>
      </c>
      <c r="AK241" s="10" t="str">
        <f aca="false">IF(LEFT($B241,4)="_Mil","",_xlfn.IFNA(ROUND(INDEX(Spectrum!$N:$N,MATCH(RIGHT($B241,13)&amp;"|"&amp;$C241&amp;"|"&amp;$D241&amp;"|"&amp;AK$14&amp;"|"&amp;"CY2023Q3",Spectrum!$R:$R,0)),0),""))</f>
        <v/>
      </c>
      <c r="AL241" s="88" t="n">
        <f aca="false">IF(OR(LEFT($B241,4)="_Mil",$C241="&lt;01"),"",MAX(SUM($AA241),90%))</f>
        <v>670</v>
      </c>
      <c r="AM241" s="10" t="n">
        <f aca="false">IF(OR(LEFT($B241,4)="_Mil",$C241="&lt;01"),"",ROUND(SUM($AJ241)*SUM($AL241),0))</f>
        <v>0</v>
      </c>
      <c r="AN241" s="10" t="str">
        <f aca="false">IF($C241="&lt;01",ROUND(INDEX(EID!$P:$P,MATCH($B241,EID!$B:$B,0))/2,0),"")</f>
        <v/>
      </c>
      <c r="AO241" s="10" t="n">
        <f aca="false">IF($C241="&lt;01",SUM($AN241),ROUND(SUM($AM241)*SUM($O241)/IF(SUM($Z241)=0,1,$Z241),0))</f>
        <v>0</v>
      </c>
      <c r="AP241" s="39" t="n">
        <f aca="false">IF(OR($F241="",$C241="&lt;01"),$AO241,$F241)</f>
        <v>0</v>
      </c>
      <c r="AQ241" s="39" t="n">
        <f aca="false">IF(LEFT($B241,4)="_Mil","",IF(SUM($AP241)=0,SUM($Z241),IF(OR(SUM($Z241)=0,SUM($O241)=0),MAX($AP241,$Z241),$AP241*$Z241/$O241)))</f>
        <v>1959</v>
      </c>
      <c r="AR241" s="88" t="str">
        <f aca="false">IF(OR(LEFT($B241,4)="_Mil",SUM($AJ241)=0),"",SUM($AQ241)/$AJ241)</f>
        <v/>
      </c>
      <c r="AS241" s="88" t="n">
        <f aca="false">IF($C241="&lt;01","",98%)</f>
        <v>0.98</v>
      </c>
      <c r="AT241" s="88" t="n">
        <f aca="false">IF($C241="&lt;01","",98%)</f>
        <v>0.98</v>
      </c>
      <c r="AU241" s="10" t="n">
        <f aca="false">IF($C241="&lt;01","",SUM($AP241)-SUM($O241))</f>
        <v>0</v>
      </c>
      <c r="AV241" s="10" t="n">
        <f aca="false">IF($C241="&lt;01",ROUND(INDEX(EID!$N:$N,MATCH($B241,EID!$B:$B,0))/2,0),IF(SUM($AT241)=0,"",ROUND((SUM($AP241)-(SUM($O241)*SUM($AS241)))/$AT241,0)))</f>
        <v>0</v>
      </c>
      <c r="AW241" s="88" t="n">
        <f aca="false">IF($C241="&lt;01","",100%)</f>
        <v>1</v>
      </c>
      <c r="AX241" s="39" t="n">
        <f aca="false">IF($C241="&lt;01",SUM($AV241),ROUND(SUM($AV241)*SUM($AW241),0))</f>
        <v>0</v>
      </c>
      <c r="AY241" s="114" t="n">
        <f aca="false">IF($C241="&lt;01","",70%)</f>
        <v>0.7</v>
      </c>
      <c r="AZ241" s="91" t="n">
        <f aca="false">IF($C241="&lt;01",ROUND(INDEX(EID!$R:$R,MATCH($B241,EID!$B:$B,0))/2,0),ROUND(SUM($O241)+(SUM($AV241)*$AY241),0))</f>
        <v>0</v>
      </c>
      <c r="BA241" s="87" t="n">
        <f aca="false">IF($C241="&lt;01","",95%)</f>
        <v>0.95</v>
      </c>
      <c r="BB241" s="5" t="n">
        <f aca="false">IF($C241="&lt;01",ROUND(INDEX(EID!$T:$T,MATCH($B241,EID!$B:$B,0))/2,0),ROUND($AZ241*$BA241,0))</f>
        <v>0</v>
      </c>
      <c r="BC241" s="91" t="n">
        <f aca="false">IF(LEFT($B241,4)="_Mil","",IF(SUM($BB241)=0,SUM($AD241),IF(OR(SUM($AP241)=0,SUM($AQ241)=0),MAX($BB241,$AD241),ROUND($BB241*$AQ241/$AP241,0))))</f>
        <v>0</v>
      </c>
      <c r="BD241" s="88" t="n">
        <f aca="false">IF($C241="&lt;01","",95%)</f>
        <v>0.95</v>
      </c>
      <c r="BE241" s="39" t="n">
        <f aca="false">IF($C241="&lt;01",ROUND(INDEX(EID!$V:$V,MATCH($B241,EID!$B:$B,0))/2,0),ROUND($BD241*$BB241,0))</f>
        <v>0</v>
      </c>
      <c r="BF241" s="39" t="n">
        <f aca="false">IF(LEFT($B241,4)="_Mil","",IF(SUM($BE241)=0,SUM($AF241),IF(OR(SUM($AP241)=0,SUM($AQ241)=0),MAX($BE241,$AF241),ROUND($BE241*$AQ241/$AP241,0))))</f>
        <v>0</v>
      </c>
      <c r="BG241" s="114" t="n">
        <f aca="false">IF($C241="&lt;01","",95%)</f>
        <v>0.95</v>
      </c>
      <c r="BH241" s="5" t="n">
        <f aca="false">IF($C241="&lt;01",ROUND(INDEX(EID!$L:$L,MATCH($B241,EID!$B:$B,0)),0)/2,IF(SUM($BG241)=0,"",ROUND($AX241/$BG241,0)))</f>
        <v>0</v>
      </c>
    </row>
    <row r="242" customFormat="false" ht="15" hidden="false" customHeight="false" outlineLevel="0" collapsed="false">
      <c r="A242" s="0" t="str">
        <f aca="false">INDEX(Prioritization!$D:$D,MATCH($B242,Prioritization!$A:$A,0))</f>
        <v>1 - Scale-up: Saturation</v>
      </c>
      <c r="B242" s="0" t="s">
        <v>210</v>
      </c>
      <c r="C242" s="0" t="s">
        <v>363</v>
      </c>
      <c r="D242" s="0" t="s">
        <v>48</v>
      </c>
      <c r="E242" s="0" t="str">
        <f aca="false">$B242&amp;"|"&amp;$C242&amp;"|"&amp;$D242</f>
        <v>Balaka District [ir8wuHHzoSs]|01-09|Male</v>
      </c>
      <c r="F242" s="10"/>
      <c r="G242" s="10"/>
      <c r="H242" s="10"/>
      <c r="I242" s="10"/>
      <c r="J242" s="10"/>
      <c r="K242" s="10"/>
      <c r="L242" s="10"/>
      <c r="M242" s="10"/>
      <c r="N242" s="10"/>
      <c r="O242" s="10" t="str">
        <f aca="false">IFERROR(1/(1/MAX($I242,$N242)),"")</f>
        <v/>
      </c>
      <c r="P242" s="10"/>
      <c r="Q242" s="10"/>
      <c r="R242" s="10" t="str">
        <f aca="false">IF(AND(SUM($I242)=0,SUM($O242)=0),"",SUM($O242)-$I242)</f>
        <v/>
      </c>
      <c r="S242" s="10" t="n">
        <f aca="false">IF(LEFT($B242,4)="_Mil","",_xlfn.IFNA(ROUND(INDEX(Spectrum!$N:$N,MATCH(RIGHT($B242,13)&amp;"|"&amp;$C242&amp;"|"&amp;$D242&amp;"|"&amp;S$14&amp;"|"&amp;"CY2022Q4",Spectrum!$R:$R,0)),0),""))</f>
        <v>943</v>
      </c>
      <c r="T242" s="39" t="n">
        <f aca="false">IF(LEFT($B242,4)="_Mil","",_xlfn.IFNA(ROUND(INDEX(Spectrum!$N:$N,MATCH(RIGHT($B242,13)&amp;"|"&amp;$C242&amp;"|"&amp;$D242&amp;"|"&amp;T$14&amp;"|"&amp;"CY2023Q3",Spectrum!$R:$R,0)),0),""))</f>
        <v>1326</v>
      </c>
      <c r="U242" s="39" t="str">
        <f aca="false">IF(LEFT($B242,4)="_Mil","",_xlfn.IFNA(ROUND(INDEX(Spectrum!$N:$N,MATCH(RIGHT($B242,13)&amp;"|"&amp;$C242&amp;"|"&amp;$D242&amp;"|"&amp;U$14&amp;"|"&amp;"CY2023Q3",Spectrum!$R:$R,0)),0),""))</f>
        <v/>
      </c>
      <c r="V242" s="10" t="n">
        <f aca="false">IF(LEFT($B242,4)="_Mil","",_xlfn.IFNA(ROUND(INDEX(Spectrum!$N:$N,MATCH(RIGHT($B242,13)&amp;"|"&amp;$C242&amp;"|"&amp;$D242&amp;"|"&amp;V$14&amp;"|"&amp;"CY2023Q3",Spectrum!$R:$R,0)),0),""))</f>
        <v>1670</v>
      </c>
      <c r="W242" s="113" t="n">
        <f aca="false">IF(LEFT($B242,4)="_Mil","",_xlfn.IFNA(INDEX(Spectrum!$N:$N,MATCH(RIGHT($B242,13)&amp;"|"&amp;$C242&amp;"|"&amp;$D242&amp;"|"&amp;W$14&amp;"|"&amp;"CY2023Q3",Spectrum!$R:$R,0)),""))</f>
        <v>1534</v>
      </c>
      <c r="X242" s="39" t="n">
        <f aca="false">IF(LEFT($B242,4)="_Mil","",_xlfn.IFNA(ROUND(INDEX(Spectrum!$N:$N,MATCH(RIGHT($B242,13)&amp;"|"&amp;$C242&amp;"|"&amp;$D242&amp;"|"&amp;X$14&amp;"|"&amp;"CY2023Q3",Spectrum!$R:$R,0)),0),""))</f>
        <v>1437</v>
      </c>
      <c r="Y242" s="88" t="str">
        <f aca="false">IF(OR(SUM($U242)=0,LEFT($B242,4)="_Mil"),"",SUM($X242)/$U242)</f>
        <v/>
      </c>
      <c r="Z242" s="39" t="n">
        <f aca="false">IF(LEFT($B242,4)="_Mil","",_xlfn.IFNA(ROUND(INDEX(Spectrum!$N:$N,MATCH(RIGHT($B242,13)&amp;"|"&amp;$C242&amp;"|"&amp;$D242&amp;"|"&amp;Z$14&amp;"|"&amp;"CY2023Q3",Spectrum!$R:$R,0)),0),""))</f>
        <v>1651</v>
      </c>
      <c r="AA242" s="88" t="n">
        <f aca="false">IF(LEFT($B242,4)="_Mil","",IFERROR(1/(1/INDEX(Spectrum!$N:$N,MATCH(RIGHT($B242,13)&amp;"|"&amp;$C242&amp;"|"&amp;$D242&amp;"|"&amp;AA$14&amp;"|"&amp;"CY2023Q3",Spectrum!$R:$R,0))),IF(SUM($U242)=0,"",SUM($Z242)/$U242)))</f>
        <v>602</v>
      </c>
      <c r="AB242" s="88" t="n">
        <f aca="false">IF(OR(LEFT($B242,4)="_Mil",SUM($X242)=0),"",SUM($Z242)/$X242)</f>
        <v>1.14892136395268</v>
      </c>
      <c r="AC242" s="10" t="n">
        <f aca="false">IF(LEFT($B242,4)="_Mil","",_xlfn.IFNA(ROUND(INDEX(Spectrum!$N:$N,MATCH(RIGHT($B242,13)&amp;"|"&amp;$C242&amp;"|"&amp;$D242&amp;"|"&amp;AC$14&amp;"|"&amp;"CY2023Q3",Spectrum!$R:$R,0)),0),""))</f>
        <v>1501</v>
      </c>
      <c r="AD242" s="10" t="str">
        <f aca="false">IF(LEFT($B242,4)="_Mil","",_xlfn.IFNA(ROUND(INDEX(Spectrum!$N:$N,MATCH(RIGHT($B242,13)&amp;"|"&amp;$C242&amp;"|"&amp;$D242&amp;"|"&amp;AD$14&amp;"|"&amp;"CY2023Q3",Spectrum!$R:$R,0)),0),""))</f>
        <v/>
      </c>
      <c r="AE242" s="88" t="n">
        <f aca="false">IF(OR(LEFT($B242,4)="_Mil",SUM($Z242)=0),"",SUM($AD242)/$Z242)</f>
        <v>0</v>
      </c>
      <c r="AF242" s="39" t="str">
        <f aca="false">IF(LEFT($B242,4)="_Mil","",_xlfn.IFNA(ROUND(INDEX(Spectrum!$N:$N,MATCH(RIGHT($B242,13)&amp;"|"&amp;$C242&amp;"|"&amp;$D242&amp;"|"&amp;AF$14&amp;"|"&amp;"CY2023Q3",Spectrum!$R:$R,0)),0),""))</f>
        <v/>
      </c>
      <c r="AG242" s="88" t="str">
        <f aca="false">IF(OR(LEFT($B242,4)="_Mil",SUM($AD242)=0),"",SUM($AF242)/$AD242)</f>
        <v/>
      </c>
      <c r="AH242" s="86" t="str">
        <f aca="false">IF(LEFT($B242,4)="_Mil","",_xlfn.IFNA(INDEX(Spectrum!$N:$N,MATCH(RIGHT($B242,13)&amp;"|"&amp;$C242&amp;"|"&amp;$D242&amp;"|"&amp;AH$14&amp;"|"&amp;"CY2023Q3",Spectrum!$R:$R,0)),""))</f>
        <v/>
      </c>
      <c r="AI242" s="10" t="str">
        <f aca="false">IF(LEFT($B242,4)="_Mil","",_xlfn.IFNA(ROUND(INDEX(Spectrum!$N:$N,MATCH(RIGHT($B242,13)&amp;"|"&amp;$C242&amp;"|"&amp;$D242&amp;"|"&amp;AI$14&amp;"|"&amp;"CY2023Q3",Spectrum!$R:$R,0)),0),""))</f>
        <v/>
      </c>
      <c r="AJ242" s="39" t="n">
        <f aca="false">IF(LEFT($B242,4)="_Mil","",_xlfn.IFNA(ROUND(INDEX(Spectrum!$N:$N,MATCH(RIGHT($B242,13)&amp;"|"&amp;$C242&amp;"|"&amp;$D242&amp;"|"&amp;AI$14&amp;"|"&amp;"CY2023Q3",Spectrum!$R:$R,0)),0),SUM($U242)+SUM($AI242)))</f>
        <v>0</v>
      </c>
      <c r="AK242" s="10" t="str">
        <f aca="false">IF(LEFT($B242,4)="_Mil","",_xlfn.IFNA(ROUND(INDEX(Spectrum!$N:$N,MATCH(RIGHT($B242,13)&amp;"|"&amp;$C242&amp;"|"&amp;$D242&amp;"|"&amp;AK$14&amp;"|"&amp;"CY2023Q3",Spectrum!$R:$R,0)),0),""))</f>
        <v/>
      </c>
      <c r="AL242" s="88" t="n">
        <f aca="false">IF(OR(LEFT($B242,4)="_Mil",$C242="&lt;01"),"",MAX(SUM($AA242),90%))</f>
        <v>602</v>
      </c>
      <c r="AM242" s="10" t="n">
        <f aca="false">IF(OR(LEFT($B242,4)="_Mil",$C242="&lt;01"),"",ROUND(SUM($AJ242)*SUM($AL242),0))</f>
        <v>0</v>
      </c>
      <c r="AN242" s="10" t="str">
        <f aca="false">IF($C242="&lt;01",ROUND(INDEX(EID!$P:$P,MATCH($B242,EID!$B:$B,0))/2,0),"")</f>
        <v/>
      </c>
      <c r="AO242" s="10" t="n">
        <f aca="false">IF($C242="&lt;01",SUM($AN242),ROUND(SUM($AM242)*SUM($O242)/IF(SUM($Z242)=0,1,$Z242),0))</f>
        <v>0</v>
      </c>
      <c r="AP242" s="39" t="n">
        <f aca="false">IF(OR($F242="",$C242="&lt;01"),$AO242,$F242)</f>
        <v>0</v>
      </c>
      <c r="AQ242" s="39" t="n">
        <f aca="false">IF(LEFT($B242,4)="_Mil","",IF(SUM($AP242)=0,SUM($Z242),IF(OR(SUM($Z242)=0,SUM($O242)=0),MAX($AP242,$Z242),$AP242*$Z242/$O242)))</f>
        <v>1651</v>
      </c>
      <c r="AR242" s="88" t="str">
        <f aca="false">IF(OR(LEFT($B242,4)="_Mil",SUM($AJ242)=0),"",SUM($AQ242)/$AJ242)</f>
        <v/>
      </c>
      <c r="AS242" s="88" t="n">
        <f aca="false">IF($C242="&lt;01","",98%)</f>
        <v>0.98</v>
      </c>
      <c r="AT242" s="88" t="n">
        <f aca="false">IF($C242="&lt;01","",98%)</f>
        <v>0.98</v>
      </c>
      <c r="AU242" s="10" t="n">
        <f aca="false">IF($C242="&lt;01","",SUM($AP242)-SUM($O242))</f>
        <v>0</v>
      </c>
      <c r="AV242" s="10" t="n">
        <f aca="false">IF($C242="&lt;01",ROUND(INDEX(EID!$N:$N,MATCH($B242,EID!$B:$B,0))/2,0),IF(SUM($AT242)=0,"",ROUND((SUM($AP242)-(SUM($O242)*SUM($AS242)))/$AT242,0)))</f>
        <v>0</v>
      </c>
      <c r="AW242" s="88" t="n">
        <f aca="false">IF($C242="&lt;01","",100%)</f>
        <v>1</v>
      </c>
      <c r="AX242" s="39" t="n">
        <f aca="false">IF($C242="&lt;01",SUM($AV242),ROUND(SUM($AV242)*SUM($AW242),0))</f>
        <v>0</v>
      </c>
      <c r="AY242" s="114" t="n">
        <f aca="false">IF($C242="&lt;01","",70%)</f>
        <v>0.7</v>
      </c>
      <c r="AZ242" s="91" t="n">
        <f aca="false">IF($C242="&lt;01",ROUND(INDEX(EID!$R:$R,MATCH($B242,EID!$B:$B,0))/2,0),ROUND(SUM($O242)+(SUM($AV242)*$AY242),0))</f>
        <v>0</v>
      </c>
      <c r="BA242" s="87" t="n">
        <f aca="false">IF($C242="&lt;01","",95%)</f>
        <v>0.95</v>
      </c>
      <c r="BB242" s="5" t="n">
        <f aca="false">IF($C242="&lt;01",ROUND(INDEX(EID!$T:$T,MATCH($B242,EID!$B:$B,0))/2,0),ROUND($AZ242*$BA242,0))</f>
        <v>0</v>
      </c>
      <c r="BC242" s="91" t="n">
        <f aca="false">IF(LEFT($B242,4)="_Mil","",IF(SUM($BB242)=0,SUM($AD242),IF(OR(SUM($AP242)=0,SUM($AQ242)=0),MAX($BB242,$AD242),ROUND($BB242*$AQ242/$AP242,0))))</f>
        <v>0</v>
      </c>
      <c r="BD242" s="88" t="n">
        <f aca="false">IF($C242="&lt;01","",95%)</f>
        <v>0.95</v>
      </c>
      <c r="BE242" s="39" t="n">
        <f aca="false">IF($C242="&lt;01",ROUND(INDEX(EID!$V:$V,MATCH($B242,EID!$B:$B,0))/2,0),ROUND($BD242*$BB242,0))</f>
        <v>0</v>
      </c>
      <c r="BF242" s="39" t="n">
        <f aca="false">IF(LEFT($B242,4)="_Mil","",IF(SUM($BE242)=0,SUM($AF242),IF(OR(SUM($AP242)=0,SUM($AQ242)=0),MAX($BE242,$AF242),ROUND($BE242*$AQ242/$AP242,0))))</f>
        <v>0</v>
      </c>
      <c r="BG242" s="114" t="n">
        <f aca="false">IF($C242="&lt;01","",95%)</f>
        <v>0.95</v>
      </c>
      <c r="BH242" s="5" t="n">
        <f aca="false">IF($C242="&lt;01",ROUND(INDEX(EID!$L:$L,MATCH($B242,EID!$B:$B,0)),0)/2,IF(SUM($BG242)=0,"",ROUND($AX242/$BG242,0)))</f>
        <v>0</v>
      </c>
    </row>
    <row r="243" customFormat="false" ht="15" hidden="false" customHeight="false" outlineLevel="0" collapsed="false">
      <c r="A243" s="0" t="str">
        <f aca="false">INDEX(Prioritization!$D:$D,MATCH($B243,Prioritization!$A:$A,0))</f>
        <v>1 - Scale-up: Saturation</v>
      </c>
      <c r="B243" s="0" t="s">
        <v>210</v>
      </c>
      <c r="C243" s="0" t="s">
        <v>364</v>
      </c>
      <c r="D243" s="0" t="s">
        <v>30</v>
      </c>
      <c r="E243" s="0" t="str">
        <f aca="false">$B243&amp;"|"&amp;$C243&amp;"|"&amp;$D243</f>
        <v>Balaka District [ir8wuHHzoSs]|10-14|Female</v>
      </c>
      <c r="F243" s="10"/>
      <c r="G243" s="10" t="n">
        <v>10</v>
      </c>
      <c r="H243" s="10" t="n">
        <v>6</v>
      </c>
      <c r="I243" s="10" t="n">
        <v>85</v>
      </c>
      <c r="J243" s="10" t="n">
        <v>69</v>
      </c>
      <c r="K243" s="10" t="n">
        <v>39</v>
      </c>
      <c r="L243" s="10" t="n">
        <v>4</v>
      </c>
      <c r="M243" s="10" t="n">
        <v>3</v>
      </c>
      <c r="N243" s="10" t="n">
        <v>92</v>
      </c>
      <c r="O243" s="10" t="n">
        <f aca="false">IFERROR(1/(1/MAX($I243,$N243)),"")</f>
        <v>92</v>
      </c>
      <c r="P243" s="10" t="n">
        <v>26</v>
      </c>
      <c r="Q243" s="10" t="n">
        <v>42</v>
      </c>
      <c r="R243" s="10" t="n">
        <f aca="false">IF(AND(SUM($I243)=0,SUM($O243)=0),"",SUM($O243)-$I243)</f>
        <v>7</v>
      </c>
      <c r="S243" s="10" t="n">
        <f aca="false">IF(LEFT($B243,4)="_Mil","",_xlfn.IFNA(ROUND(INDEX(Spectrum!$N:$N,MATCH(RIGHT($B243,13)&amp;"|"&amp;$C243&amp;"|"&amp;$D243&amp;"|"&amp;S$14&amp;"|"&amp;"CY2022Q4",Spectrum!$R:$R,0)),0),""))</f>
        <v>867</v>
      </c>
      <c r="T243" s="39" t="n">
        <f aca="false">IF(LEFT($B243,4)="_Mil","",_xlfn.IFNA(ROUND(INDEX(Spectrum!$N:$N,MATCH(RIGHT($B243,13)&amp;"|"&amp;$C243&amp;"|"&amp;$D243&amp;"|"&amp;T$14&amp;"|"&amp;"CY2023Q3",Spectrum!$R:$R,0)),0),""))</f>
        <v>819</v>
      </c>
      <c r="U243" s="39" t="str">
        <f aca="false">IF(LEFT($B243,4)="_Mil","",_xlfn.IFNA(ROUND(INDEX(Spectrum!$N:$N,MATCH(RIGHT($B243,13)&amp;"|"&amp;$C243&amp;"|"&amp;$D243&amp;"|"&amp;U$14&amp;"|"&amp;"CY2023Q3",Spectrum!$R:$R,0)),0),""))</f>
        <v/>
      </c>
      <c r="V243" s="10" t="n">
        <f aca="false">IF(LEFT($B243,4)="_Mil","",_xlfn.IFNA(ROUND(INDEX(Spectrum!$N:$N,MATCH(RIGHT($B243,13)&amp;"|"&amp;$C243&amp;"|"&amp;$D243&amp;"|"&amp;V$14&amp;"|"&amp;"CY2023Q3",Spectrum!$R:$R,0)),0),""))</f>
        <v>625</v>
      </c>
      <c r="W243" s="113" t="n">
        <f aca="false">IF(LEFT($B243,4)="_Mil","",_xlfn.IFNA(INDEX(Spectrum!$N:$N,MATCH(RIGHT($B243,13)&amp;"|"&amp;$C243&amp;"|"&amp;$D243&amp;"|"&amp;W$14&amp;"|"&amp;"CY2023Q3",Spectrum!$R:$R,0)),""))</f>
        <v>1085</v>
      </c>
      <c r="X243" s="39" t="n">
        <f aca="false">IF(LEFT($B243,4)="_Mil","",_xlfn.IFNA(ROUND(INDEX(Spectrum!$N:$N,MATCH(RIGHT($B243,13)&amp;"|"&amp;$C243&amp;"|"&amp;$D243&amp;"|"&amp;X$14&amp;"|"&amp;"CY2023Q3",Spectrum!$R:$R,0)),0),""))</f>
        <v>1991</v>
      </c>
      <c r="Y243" s="88" t="str">
        <f aca="false">IF(OR(SUM($U243)=0,LEFT($B243,4)="_Mil"),"",SUM($X243)/$U243)</f>
        <v/>
      </c>
      <c r="Z243" s="39" t="n">
        <f aca="false">IF(LEFT($B243,4)="_Mil","",_xlfn.IFNA(ROUND(INDEX(Spectrum!$N:$N,MATCH(RIGHT($B243,13)&amp;"|"&amp;$C243&amp;"|"&amp;$D243&amp;"|"&amp;Z$14&amp;"|"&amp;"CY2023Q3",Spectrum!$R:$R,0)),0),""))</f>
        <v>1579</v>
      </c>
      <c r="AA243" s="88" t="n">
        <f aca="false">IF(LEFT($B243,4)="_Mil","",IFERROR(1/(1/INDEX(Spectrum!$N:$N,MATCH(RIGHT($B243,13)&amp;"|"&amp;$C243&amp;"|"&amp;$D243&amp;"|"&amp;AA$14&amp;"|"&amp;"CY2023Q3",Spectrum!$R:$R,0))),IF(SUM($U243)=0,"",SUM($Z243)/$U243)))</f>
        <v>698</v>
      </c>
      <c r="AB243" s="88" t="n">
        <f aca="false">IF(OR(LEFT($B243,4)="_Mil",SUM($X243)=0),"",SUM($Z243)/$X243)</f>
        <v>0.793068809643395</v>
      </c>
      <c r="AC243" s="10" t="n">
        <f aca="false">IF(LEFT($B243,4)="_Mil","",_xlfn.IFNA(ROUND(INDEX(Spectrum!$N:$N,MATCH(RIGHT($B243,13)&amp;"|"&amp;$C243&amp;"|"&amp;$D243&amp;"|"&amp;AC$14&amp;"|"&amp;"CY2023Q3",Spectrum!$R:$R,0)),0),""))</f>
        <v>1259</v>
      </c>
      <c r="AD243" s="10" t="str">
        <f aca="false">IF(LEFT($B243,4)="_Mil","",_xlfn.IFNA(ROUND(INDEX(Spectrum!$N:$N,MATCH(RIGHT($B243,13)&amp;"|"&amp;$C243&amp;"|"&amp;$D243&amp;"|"&amp;AD$14&amp;"|"&amp;"CY2023Q3",Spectrum!$R:$R,0)),0),""))</f>
        <v/>
      </c>
      <c r="AE243" s="88" t="n">
        <f aca="false">IF(OR(LEFT($B243,4)="_Mil",SUM($Z243)=0),"",SUM($AD243)/$Z243)</f>
        <v>0</v>
      </c>
      <c r="AF243" s="39" t="str">
        <f aca="false">IF(LEFT($B243,4)="_Mil","",_xlfn.IFNA(ROUND(INDEX(Spectrum!$N:$N,MATCH(RIGHT($B243,13)&amp;"|"&amp;$C243&amp;"|"&amp;$D243&amp;"|"&amp;AF$14&amp;"|"&amp;"CY2023Q3",Spectrum!$R:$R,0)),0),""))</f>
        <v/>
      </c>
      <c r="AG243" s="88" t="str">
        <f aca="false">IF(OR(LEFT($B243,4)="_Mil",SUM($AD243)=0),"",SUM($AF243)/$AD243)</f>
        <v/>
      </c>
      <c r="AH243" s="86" t="str">
        <f aca="false">IF(LEFT($B243,4)="_Mil","",_xlfn.IFNA(INDEX(Spectrum!$N:$N,MATCH(RIGHT($B243,13)&amp;"|"&amp;$C243&amp;"|"&amp;$D243&amp;"|"&amp;AH$14&amp;"|"&amp;"CY2023Q3",Spectrum!$R:$R,0)),""))</f>
        <v/>
      </c>
      <c r="AI243" s="10" t="str">
        <f aca="false">IF(LEFT($B243,4)="_Mil","",_xlfn.IFNA(ROUND(INDEX(Spectrum!$N:$N,MATCH(RIGHT($B243,13)&amp;"|"&amp;$C243&amp;"|"&amp;$D243&amp;"|"&amp;AI$14&amp;"|"&amp;"CY2023Q3",Spectrum!$R:$R,0)),0),""))</f>
        <v/>
      </c>
      <c r="AJ243" s="39" t="n">
        <f aca="false">IF(LEFT($B243,4)="_Mil","",_xlfn.IFNA(ROUND(INDEX(Spectrum!$N:$N,MATCH(RIGHT($B243,13)&amp;"|"&amp;$C243&amp;"|"&amp;$D243&amp;"|"&amp;AI$14&amp;"|"&amp;"CY2023Q3",Spectrum!$R:$R,0)),0),SUM($U243)+SUM($AI243)))</f>
        <v>0</v>
      </c>
      <c r="AK243" s="10" t="str">
        <f aca="false">IF(LEFT($B243,4)="_Mil","",_xlfn.IFNA(ROUND(INDEX(Spectrum!$N:$N,MATCH(RIGHT($B243,13)&amp;"|"&amp;$C243&amp;"|"&amp;$D243&amp;"|"&amp;AK$14&amp;"|"&amp;"CY2023Q3",Spectrum!$R:$R,0)),0),""))</f>
        <v/>
      </c>
      <c r="AL243" s="88" t="n">
        <f aca="false">IF(OR(LEFT($B243,4)="_Mil",$C243="&lt;01"),"",MAX(SUM($AA243),90%))</f>
        <v>698</v>
      </c>
      <c r="AM243" s="10" t="n">
        <f aca="false">IF(OR(LEFT($B243,4)="_Mil",$C243="&lt;01"),"",ROUND(SUM($AJ243)*SUM($AL243),0))</f>
        <v>0</v>
      </c>
      <c r="AN243" s="10" t="str">
        <f aca="false">IF($C243="&lt;01",ROUND(INDEX(EID!$P:$P,MATCH($B243,EID!$B:$B,0))/2,0),"")</f>
        <v/>
      </c>
      <c r="AO243" s="10" t="n">
        <f aca="false">IF($C243="&lt;01",SUM($AN243),ROUND(SUM($AM243)*SUM($O243)/IF(SUM($Z243)=0,1,$Z243),0))</f>
        <v>0</v>
      </c>
      <c r="AP243" s="39" t="n">
        <f aca="false">IF(OR($F243="",$C243="&lt;01"),$AO243,$F243)</f>
        <v>0</v>
      </c>
      <c r="AQ243" s="39" t="n">
        <f aca="false">IF(LEFT($B243,4)="_Mil","",IF(SUM($AP243)=0,SUM($Z243),IF(OR(SUM($Z243)=0,SUM($O243)=0),MAX($AP243,$Z243),$AP243*$Z243/$O243)))</f>
        <v>1579</v>
      </c>
      <c r="AR243" s="88" t="str">
        <f aca="false">IF(OR(LEFT($B243,4)="_Mil",SUM($AJ243)=0),"",SUM($AQ243)/$AJ243)</f>
        <v/>
      </c>
      <c r="AS243" s="88" t="n">
        <f aca="false">IF($C243="&lt;01","",98%)</f>
        <v>0.98</v>
      </c>
      <c r="AT243" s="88" t="n">
        <f aca="false">IF($C243="&lt;01","",98%)</f>
        <v>0.98</v>
      </c>
      <c r="AU243" s="10" t="n">
        <f aca="false">IF($C243="&lt;01","",SUM($AP243)-SUM($O243))</f>
        <v>-92</v>
      </c>
      <c r="AV243" s="10" t="n">
        <f aca="false">IF($C243="&lt;01",ROUND(INDEX(EID!$N:$N,MATCH($B243,EID!$B:$B,0))/2,0),IF(SUM($AT243)=0,"",ROUND((SUM($AP243)-(SUM($O243)*SUM($AS243)))/$AT243,0)))</f>
        <v>-92</v>
      </c>
      <c r="AW243" s="88" t="n">
        <f aca="false">IF($C243="&lt;01","",100%)</f>
        <v>1</v>
      </c>
      <c r="AX243" s="39" t="n">
        <f aca="false">IF($C243="&lt;01",SUM($AV243),ROUND(SUM($AV243)*SUM($AW243),0))</f>
        <v>-92</v>
      </c>
      <c r="AY243" s="114" t="n">
        <f aca="false">IF($C243="&lt;01","",70%)</f>
        <v>0.7</v>
      </c>
      <c r="AZ243" s="91" t="n">
        <f aca="false">IF($C243="&lt;01",ROUND(INDEX(EID!$R:$R,MATCH($B243,EID!$B:$B,0))/2,0),ROUND(SUM($O243)+(SUM($AV243)*$AY243),0))</f>
        <v>28</v>
      </c>
      <c r="BA243" s="87" t="n">
        <f aca="false">IF($C243="&lt;01","",95%)</f>
        <v>0.95</v>
      </c>
      <c r="BB243" s="5" t="n">
        <f aca="false">IF($C243="&lt;01",ROUND(INDEX(EID!$T:$T,MATCH($B243,EID!$B:$B,0))/2,0),ROUND($AZ243*$BA243,0))</f>
        <v>27</v>
      </c>
      <c r="BC243" s="91" t="n">
        <f aca="false">IF(LEFT($B243,4)="_Mil","",IF(SUM($BB243)=0,SUM($AD243),IF(OR(SUM($AP243)=0,SUM($AQ243)=0),MAX($BB243,$AD243),ROUND($BB243*$AQ243/$AP243,0))))</f>
        <v>27</v>
      </c>
      <c r="BD243" s="88" t="n">
        <f aca="false">IF($C243="&lt;01","",95%)</f>
        <v>0.95</v>
      </c>
      <c r="BE243" s="39" t="n">
        <f aca="false">IF($C243="&lt;01",ROUND(INDEX(EID!$V:$V,MATCH($B243,EID!$B:$B,0))/2,0),ROUND($BD243*$BB243,0))</f>
        <v>26</v>
      </c>
      <c r="BF243" s="39" t="n">
        <f aca="false">IF(LEFT($B243,4)="_Mil","",IF(SUM($BE243)=0,SUM($AF243),IF(OR(SUM($AP243)=0,SUM($AQ243)=0),MAX($BE243,$AF243),ROUND($BE243*$AQ243/$AP243,0))))</f>
        <v>26</v>
      </c>
      <c r="BG243" s="114" t="n">
        <f aca="false">IF($C243="&lt;01","",95%)</f>
        <v>0.95</v>
      </c>
      <c r="BH243" s="5" t="n">
        <f aca="false">IF($C243="&lt;01",ROUND(INDEX(EID!$L:$L,MATCH($B243,EID!$B:$B,0)),0)/2,IF(SUM($BG243)=0,"",ROUND($AX243/$BG243,0)))</f>
        <v>-97</v>
      </c>
    </row>
    <row r="244" customFormat="false" ht="15" hidden="false" customHeight="false" outlineLevel="0" collapsed="false">
      <c r="A244" s="0" t="str">
        <f aca="false">INDEX(Prioritization!$D:$D,MATCH($B244,Prioritization!$A:$A,0))</f>
        <v>1 - Scale-up: Saturation</v>
      </c>
      <c r="B244" s="0" t="s">
        <v>210</v>
      </c>
      <c r="C244" s="0" t="s">
        <v>364</v>
      </c>
      <c r="D244" s="0" t="s">
        <v>48</v>
      </c>
      <c r="E244" s="0" t="str">
        <f aca="false">$B244&amp;"|"&amp;$C244&amp;"|"&amp;$D244</f>
        <v>Balaka District [ir8wuHHzoSs]|10-14|Male</v>
      </c>
      <c r="F244" s="10"/>
      <c r="G244" s="10" t="n">
        <v>1</v>
      </c>
      <c r="H244" s="10" t="n">
        <v>9</v>
      </c>
      <c r="I244" s="10" t="n">
        <v>19</v>
      </c>
      <c r="J244" s="10" t="n">
        <v>65</v>
      </c>
      <c r="K244" s="10" t="n">
        <v>50</v>
      </c>
      <c r="L244" s="10" t="n">
        <v>1</v>
      </c>
      <c r="M244" s="10" t="n">
        <v>1</v>
      </c>
      <c r="N244" s="10" t="n">
        <v>38</v>
      </c>
      <c r="O244" s="10" t="n">
        <f aca="false">IFERROR(1/(1/MAX($I244,$N244)),"")</f>
        <v>38</v>
      </c>
      <c r="P244" s="10" t="n">
        <v>53</v>
      </c>
      <c r="Q244" s="10" t="n">
        <v>57</v>
      </c>
      <c r="R244" s="10" t="n">
        <f aca="false">IF(AND(SUM($I244)=0,SUM($O244)=0),"",SUM($O244)-$I244)</f>
        <v>19</v>
      </c>
      <c r="S244" s="10" t="n">
        <f aca="false">IF(LEFT($B244,4)="_Mil","",_xlfn.IFNA(ROUND(INDEX(Spectrum!$N:$N,MATCH(RIGHT($B244,13)&amp;"|"&amp;$C244&amp;"|"&amp;$D244&amp;"|"&amp;S$14&amp;"|"&amp;"CY2022Q4",Spectrum!$R:$R,0)),0),""))</f>
        <v>1588</v>
      </c>
      <c r="T244" s="39" t="n">
        <f aca="false">IF(LEFT($B244,4)="_Mil","",_xlfn.IFNA(ROUND(INDEX(Spectrum!$N:$N,MATCH(RIGHT($B244,13)&amp;"|"&amp;$C244&amp;"|"&amp;$D244&amp;"|"&amp;T$14&amp;"|"&amp;"CY2023Q3",Spectrum!$R:$R,0)),0),""))</f>
        <v>812</v>
      </c>
      <c r="U244" s="39" t="str">
        <f aca="false">IF(LEFT($B244,4)="_Mil","",_xlfn.IFNA(ROUND(INDEX(Spectrum!$N:$N,MATCH(RIGHT($B244,13)&amp;"|"&amp;$C244&amp;"|"&amp;$D244&amp;"|"&amp;U$14&amp;"|"&amp;"CY2023Q3",Spectrum!$R:$R,0)),0),""))</f>
        <v/>
      </c>
      <c r="V244" s="10" t="n">
        <f aca="false">IF(LEFT($B244,4)="_Mil","",_xlfn.IFNA(ROUND(INDEX(Spectrum!$N:$N,MATCH(RIGHT($B244,13)&amp;"|"&amp;$C244&amp;"|"&amp;$D244&amp;"|"&amp;V$14&amp;"|"&amp;"CY2023Q3",Spectrum!$R:$R,0)),0),""))</f>
        <v>622</v>
      </c>
      <c r="W244" s="113" t="n">
        <f aca="false">IF(LEFT($B244,4)="_Mil","",_xlfn.IFNA(INDEX(Spectrum!$N:$N,MATCH(RIGHT($B244,13)&amp;"|"&amp;$C244&amp;"|"&amp;$D244&amp;"|"&amp;W$14&amp;"|"&amp;"CY2023Q3",Spectrum!$R:$R,0)),""))</f>
        <v>1481</v>
      </c>
      <c r="X244" s="39" t="n">
        <f aca="false">IF(LEFT($B244,4)="_Mil","",_xlfn.IFNA(ROUND(INDEX(Spectrum!$N:$N,MATCH(RIGHT($B244,13)&amp;"|"&amp;$C244&amp;"|"&amp;$D244&amp;"|"&amp;X$14&amp;"|"&amp;"CY2023Q3",Spectrum!$R:$R,0)),0),""))</f>
        <v>893</v>
      </c>
      <c r="Y244" s="88" t="str">
        <f aca="false">IF(OR(SUM($U244)=0,LEFT($B244,4)="_Mil"),"",SUM($X244)/$U244)</f>
        <v/>
      </c>
      <c r="Z244" s="39" t="n">
        <f aca="false">IF(LEFT($B244,4)="_Mil","",_xlfn.IFNA(ROUND(INDEX(Spectrum!$N:$N,MATCH(RIGHT($B244,13)&amp;"|"&amp;$C244&amp;"|"&amp;$D244&amp;"|"&amp;Z$14&amp;"|"&amp;"CY2023Q3",Spectrum!$R:$R,0)),0),""))</f>
        <v>1419</v>
      </c>
      <c r="AA244" s="88" t="n">
        <f aca="false">IF(LEFT($B244,4)="_Mil","",IFERROR(1/(1/INDEX(Spectrum!$N:$N,MATCH(RIGHT($B244,13)&amp;"|"&amp;$C244&amp;"|"&amp;$D244&amp;"|"&amp;AA$14&amp;"|"&amp;"CY2023Q3",Spectrum!$R:$R,0))),IF(SUM($U244)=0,"",SUM($Z244)/$U244)))</f>
        <v>1493</v>
      </c>
      <c r="AB244" s="88" t="n">
        <f aca="false">IF(OR(LEFT($B244,4)="_Mil",SUM($X244)=0),"",SUM($Z244)/$X244)</f>
        <v>1.58902575587906</v>
      </c>
      <c r="AC244" s="10" t="n">
        <f aca="false">IF(LEFT($B244,4)="_Mil","",_xlfn.IFNA(ROUND(INDEX(Spectrum!$N:$N,MATCH(RIGHT($B244,13)&amp;"|"&amp;$C244&amp;"|"&amp;$D244&amp;"|"&amp;AC$14&amp;"|"&amp;"CY2023Q3",Spectrum!$R:$R,0)),0),""))</f>
        <v>1729</v>
      </c>
      <c r="AD244" s="10" t="str">
        <f aca="false">IF(LEFT($B244,4)="_Mil","",_xlfn.IFNA(ROUND(INDEX(Spectrum!$N:$N,MATCH(RIGHT($B244,13)&amp;"|"&amp;$C244&amp;"|"&amp;$D244&amp;"|"&amp;AD$14&amp;"|"&amp;"CY2023Q3",Spectrum!$R:$R,0)),0),""))</f>
        <v/>
      </c>
      <c r="AE244" s="88" t="n">
        <f aca="false">IF(OR(LEFT($B244,4)="_Mil",SUM($Z244)=0),"",SUM($AD244)/$Z244)</f>
        <v>0</v>
      </c>
      <c r="AF244" s="39" t="str">
        <f aca="false">IF(LEFT($B244,4)="_Mil","",_xlfn.IFNA(ROUND(INDEX(Spectrum!$N:$N,MATCH(RIGHT($B244,13)&amp;"|"&amp;$C244&amp;"|"&amp;$D244&amp;"|"&amp;AF$14&amp;"|"&amp;"CY2023Q3",Spectrum!$R:$R,0)),0),""))</f>
        <v/>
      </c>
      <c r="AG244" s="88" t="str">
        <f aca="false">IF(OR(LEFT($B244,4)="_Mil",SUM($AD244)=0),"",SUM($AF244)/$AD244)</f>
        <v/>
      </c>
      <c r="AH244" s="86" t="str">
        <f aca="false">IF(LEFT($B244,4)="_Mil","",_xlfn.IFNA(INDEX(Spectrum!$N:$N,MATCH(RIGHT($B244,13)&amp;"|"&amp;$C244&amp;"|"&amp;$D244&amp;"|"&amp;AH$14&amp;"|"&amp;"CY2023Q3",Spectrum!$R:$R,0)),""))</f>
        <v/>
      </c>
      <c r="AI244" s="10" t="str">
        <f aca="false">IF(LEFT($B244,4)="_Mil","",_xlfn.IFNA(ROUND(INDEX(Spectrum!$N:$N,MATCH(RIGHT($B244,13)&amp;"|"&amp;$C244&amp;"|"&amp;$D244&amp;"|"&amp;AI$14&amp;"|"&amp;"CY2023Q3",Spectrum!$R:$R,0)),0),""))</f>
        <v/>
      </c>
      <c r="AJ244" s="39" t="n">
        <f aca="false">IF(LEFT($B244,4)="_Mil","",_xlfn.IFNA(ROUND(INDEX(Spectrum!$N:$N,MATCH(RIGHT($B244,13)&amp;"|"&amp;$C244&amp;"|"&amp;$D244&amp;"|"&amp;AI$14&amp;"|"&amp;"CY2023Q3",Spectrum!$R:$R,0)),0),SUM($U244)+SUM($AI244)))</f>
        <v>0</v>
      </c>
      <c r="AK244" s="10" t="str">
        <f aca="false">IF(LEFT($B244,4)="_Mil","",_xlfn.IFNA(ROUND(INDEX(Spectrum!$N:$N,MATCH(RIGHT($B244,13)&amp;"|"&amp;$C244&amp;"|"&amp;$D244&amp;"|"&amp;AK$14&amp;"|"&amp;"CY2023Q3",Spectrum!$R:$R,0)),0),""))</f>
        <v/>
      </c>
      <c r="AL244" s="88" t="n">
        <f aca="false">IF(OR(LEFT($B244,4)="_Mil",$C244="&lt;01"),"",MAX(SUM($AA244),90%))</f>
        <v>1493</v>
      </c>
      <c r="AM244" s="10" t="n">
        <f aca="false">IF(OR(LEFT($B244,4)="_Mil",$C244="&lt;01"),"",ROUND(SUM($AJ244)*SUM($AL244),0))</f>
        <v>0</v>
      </c>
      <c r="AN244" s="10" t="str">
        <f aca="false">IF($C244="&lt;01",ROUND(INDEX(EID!$P:$P,MATCH($B244,EID!$B:$B,0))/2,0),"")</f>
        <v/>
      </c>
      <c r="AO244" s="10" t="n">
        <f aca="false">IF($C244="&lt;01",SUM($AN244),ROUND(SUM($AM244)*SUM($O244)/IF(SUM($Z244)=0,1,$Z244),0))</f>
        <v>0</v>
      </c>
      <c r="AP244" s="39" t="n">
        <f aca="false">IF(OR($F244="",$C244="&lt;01"),$AO244,$F244)</f>
        <v>0</v>
      </c>
      <c r="AQ244" s="39" t="n">
        <f aca="false">IF(LEFT($B244,4)="_Mil","",IF(SUM($AP244)=0,SUM($Z244),IF(OR(SUM($Z244)=0,SUM($O244)=0),MAX($AP244,$Z244),$AP244*$Z244/$O244)))</f>
        <v>1419</v>
      </c>
      <c r="AR244" s="88" t="str">
        <f aca="false">IF(OR(LEFT($B244,4)="_Mil",SUM($AJ244)=0),"",SUM($AQ244)/$AJ244)</f>
        <v/>
      </c>
      <c r="AS244" s="88" t="n">
        <f aca="false">IF($C244="&lt;01","",98%)</f>
        <v>0.98</v>
      </c>
      <c r="AT244" s="88" t="n">
        <f aca="false">IF($C244="&lt;01","",98%)</f>
        <v>0.98</v>
      </c>
      <c r="AU244" s="10" t="n">
        <f aca="false">IF($C244="&lt;01","",SUM($AP244)-SUM($O244))</f>
        <v>-38</v>
      </c>
      <c r="AV244" s="10" t="n">
        <f aca="false">IF($C244="&lt;01",ROUND(INDEX(EID!$N:$N,MATCH($B244,EID!$B:$B,0))/2,0),IF(SUM($AT244)=0,"",ROUND((SUM($AP244)-(SUM($O244)*SUM($AS244)))/$AT244,0)))</f>
        <v>-38</v>
      </c>
      <c r="AW244" s="88" t="n">
        <f aca="false">IF($C244="&lt;01","",100%)</f>
        <v>1</v>
      </c>
      <c r="AX244" s="39" t="n">
        <f aca="false">IF($C244="&lt;01",SUM($AV244),ROUND(SUM($AV244)*SUM($AW244),0))</f>
        <v>-38</v>
      </c>
      <c r="AY244" s="114" t="n">
        <f aca="false">IF($C244="&lt;01","",70%)</f>
        <v>0.7</v>
      </c>
      <c r="AZ244" s="91" t="n">
        <f aca="false">IF($C244="&lt;01",ROUND(INDEX(EID!$R:$R,MATCH($B244,EID!$B:$B,0))/2,0),ROUND(SUM($O244)+(SUM($AV244)*$AY244),0))</f>
        <v>11</v>
      </c>
      <c r="BA244" s="87" t="n">
        <f aca="false">IF($C244="&lt;01","",95%)</f>
        <v>0.95</v>
      </c>
      <c r="BB244" s="5" t="n">
        <f aca="false">IF($C244="&lt;01",ROUND(INDEX(EID!$T:$T,MATCH($B244,EID!$B:$B,0))/2,0),ROUND($AZ244*$BA244,0))</f>
        <v>10</v>
      </c>
      <c r="BC244" s="91" t="n">
        <f aca="false">IF(LEFT($B244,4)="_Mil","",IF(SUM($BB244)=0,SUM($AD244),IF(OR(SUM($AP244)=0,SUM($AQ244)=0),MAX($BB244,$AD244),ROUND($BB244*$AQ244/$AP244,0))))</f>
        <v>10</v>
      </c>
      <c r="BD244" s="88" t="n">
        <f aca="false">IF($C244="&lt;01","",95%)</f>
        <v>0.95</v>
      </c>
      <c r="BE244" s="39" t="n">
        <f aca="false">IF($C244="&lt;01",ROUND(INDEX(EID!$V:$V,MATCH($B244,EID!$B:$B,0))/2,0),ROUND($BD244*$BB244,0))</f>
        <v>10</v>
      </c>
      <c r="BF244" s="39" t="n">
        <f aca="false">IF(LEFT($B244,4)="_Mil","",IF(SUM($BE244)=0,SUM($AF244),IF(OR(SUM($AP244)=0,SUM($AQ244)=0),MAX($BE244,$AF244),ROUND($BE244*$AQ244/$AP244,0))))</f>
        <v>10</v>
      </c>
      <c r="BG244" s="114" t="n">
        <f aca="false">IF($C244="&lt;01","",95%)</f>
        <v>0.95</v>
      </c>
      <c r="BH244" s="5" t="n">
        <f aca="false">IF($C244="&lt;01",ROUND(INDEX(EID!$L:$L,MATCH($B244,EID!$B:$B,0)),0)/2,IF(SUM($BG244)=0,"",ROUND($AX244/$BG244,0)))</f>
        <v>-40</v>
      </c>
    </row>
    <row r="245" customFormat="false" ht="15" hidden="false" customHeight="false" outlineLevel="0" collapsed="false">
      <c r="A245" s="0" t="str">
        <f aca="false">INDEX(Prioritization!$D:$D,MATCH($B245,Prioritization!$A:$A,0))</f>
        <v>1 - Scale-up: Saturation</v>
      </c>
      <c r="B245" s="0" t="s">
        <v>210</v>
      </c>
      <c r="C245" s="0" t="s">
        <v>365</v>
      </c>
      <c r="D245" s="0" t="s">
        <v>30</v>
      </c>
      <c r="E245" s="0" t="str">
        <f aca="false">$B245&amp;"|"&amp;$C245&amp;"|"&amp;$D245</f>
        <v>Balaka District [ir8wuHHzoSs]|15-24|Female</v>
      </c>
      <c r="F245" s="10"/>
      <c r="G245" s="10"/>
      <c r="H245" s="10"/>
      <c r="I245" s="10"/>
      <c r="J245" s="10"/>
      <c r="K245" s="10"/>
      <c r="L245" s="10"/>
      <c r="M245" s="10"/>
      <c r="N245" s="10"/>
      <c r="O245" s="10" t="str">
        <f aca="false">IFERROR(1/(1/MAX($I245,$N245)),"")</f>
        <v/>
      </c>
      <c r="P245" s="10"/>
      <c r="Q245" s="10"/>
      <c r="R245" s="10" t="str">
        <f aca="false">IF(AND(SUM($I245)=0,SUM($O245)=0),"",SUM($O245)-$I245)</f>
        <v/>
      </c>
      <c r="S245" s="10" t="n">
        <f aca="false">IF(LEFT($B245,4)="_Mil","",_xlfn.IFNA(ROUND(INDEX(Spectrum!$N:$N,MATCH(RIGHT($B245,13)&amp;"|"&amp;$C245&amp;"|"&amp;$D245&amp;"|"&amp;S$14&amp;"|"&amp;"CY2022Q4",Spectrum!$R:$R,0)),0),""))</f>
        <v>928</v>
      </c>
      <c r="T245" s="39" t="n">
        <f aca="false">IF(LEFT($B245,4)="_Mil","",_xlfn.IFNA(ROUND(INDEX(Spectrum!$N:$N,MATCH(RIGHT($B245,13)&amp;"|"&amp;$C245&amp;"|"&amp;$D245&amp;"|"&amp;T$14&amp;"|"&amp;"CY2023Q3",Spectrum!$R:$R,0)),0),""))</f>
        <v>957</v>
      </c>
      <c r="U245" s="39" t="str">
        <f aca="false">IF(LEFT($B245,4)="_Mil","",_xlfn.IFNA(ROUND(INDEX(Spectrum!$N:$N,MATCH(RIGHT($B245,13)&amp;"|"&amp;$C245&amp;"|"&amp;$D245&amp;"|"&amp;U$14&amp;"|"&amp;"CY2023Q3",Spectrum!$R:$R,0)),0),""))</f>
        <v/>
      </c>
      <c r="V245" s="10" t="n">
        <f aca="false">IF(LEFT($B245,4)="_Mil","",_xlfn.IFNA(ROUND(INDEX(Spectrum!$N:$N,MATCH(RIGHT($B245,13)&amp;"|"&amp;$C245&amp;"|"&amp;$D245&amp;"|"&amp;V$14&amp;"|"&amp;"CY2023Q3",Spectrum!$R:$R,0)),0),""))</f>
        <v>1675</v>
      </c>
      <c r="W245" s="113" t="n">
        <f aca="false">IF(LEFT($B245,4)="_Mil","",_xlfn.IFNA(INDEX(Spectrum!$N:$N,MATCH(RIGHT($B245,13)&amp;"|"&amp;$C245&amp;"|"&amp;$D245&amp;"|"&amp;W$14&amp;"|"&amp;"CY2023Q3",Spectrum!$R:$R,0)),""))</f>
        <v>1392</v>
      </c>
      <c r="X245" s="39" t="n">
        <f aca="false">IF(LEFT($B245,4)="_Mil","",_xlfn.IFNA(ROUND(INDEX(Spectrum!$N:$N,MATCH(RIGHT($B245,13)&amp;"|"&amp;$C245&amp;"|"&amp;$D245&amp;"|"&amp;X$14&amp;"|"&amp;"CY2023Q3",Spectrum!$R:$R,0)),0),""))</f>
        <v>1983</v>
      </c>
      <c r="Y245" s="88" t="str">
        <f aca="false">IF(OR(SUM($U245)=0,LEFT($B245,4)="_Mil"),"",SUM($X245)/$U245)</f>
        <v/>
      </c>
      <c r="Z245" s="39" t="n">
        <f aca="false">IF(LEFT($B245,4)="_Mil","",_xlfn.IFNA(ROUND(INDEX(Spectrum!$N:$N,MATCH(RIGHT($B245,13)&amp;"|"&amp;$C245&amp;"|"&amp;$D245&amp;"|"&amp;Z$14&amp;"|"&amp;"CY2023Q3",Spectrum!$R:$R,0)),0),""))</f>
        <v>1718</v>
      </c>
      <c r="AA245" s="88" t="n">
        <f aca="false">IF(LEFT($B245,4)="_Mil","",IFERROR(1/(1/INDEX(Spectrum!$N:$N,MATCH(RIGHT($B245,13)&amp;"|"&amp;$C245&amp;"|"&amp;$D245&amp;"|"&amp;AA$14&amp;"|"&amp;"CY2023Q3",Spectrum!$R:$R,0))),IF(SUM($U245)=0,"",SUM($Z245)/$U245)))</f>
        <v>1157</v>
      </c>
      <c r="AB245" s="88" t="n">
        <f aca="false">IF(OR(LEFT($B245,4)="_Mil",SUM($X245)=0),"",SUM($Z245)/$X245)</f>
        <v>0.86636409480585</v>
      </c>
      <c r="AC245" s="10" t="n">
        <f aca="false">IF(LEFT($B245,4)="_Mil","",_xlfn.IFNA(ROUND(INDEX(Spectrum!$N:$N,MATCH(RIGHT($B245,13)&amp;"|"&amp;$C245&amp;"|"&amp;$D245&amp;"|"&amp;AC$14&amp;"|"&amp;"CY2023Q3",Spectrum!$R:$R,0)),0),""))</f>
        <v>1760</v>
      </c>
      <c r="AD245" s="10" t="str">
        <f aca="false">IF(LEFT($B245,4)="_Mil","",_xlfn.IFNA(ROUND(INDEX(Spectrum!$N:$N,MATCH(RIGHT($B245,13)&amp;"|"&amp;$C245&amp;"|"&amp;$D245&amp;"|"&amp;AD$14&amp;"|"&amp;"CY2023Q3",Spectrum!$R:$R,0)),0),""))</f>
        <v/>
      </c>
      <c r="AE245" s="88" t="n">
        <f aca="false">IF(OR(LEFT($B245,4)="_Mil",SUM($Z245)=0),"",SUM($AD245)/$Z245)</f>
        <v>0</v>
      </c>
      <c r="AF245" s="39" t="str">
        <f aca="false">IF(LEFT($B245,4)="_Mil","",_xlfn.IFNA(ROUND(INDEX(Spectrum!$N:$N,MATCH(RIGHT($B245,13)&amp;"|"&amp;$C245&amp;"|"&amp;$D245&amp;"|"&amp;AF$14&amp;"|"&amp;"CY2023Q3",Spectrum!$R:$R,0)),0),""))</f>
        <v/>
      </c>
      <c r="AG245" s="88" t="str">
        <f aca="false">IF(OR(LEFT($B245,4)="_Mil",SUM($AD245)=0),"",SUM($AF245)/$AD245)</f>
        <v/>
      </c>
      <c r="AH245" s="86" t="str">
        <f aca="false">IF(LEFT($B245,4)="_Mil","",_xlfn.IFNA(INDEX(Spectrum!$N:$N,MATCH(RIGHT($B245,13)&amp;"|"&amp;$C245&amp;"|"&amp;$D245&amp;"|"&amp;AH$14&amp;"|"&amp;"CY2023Q3",Spectrum!$R:$R,0)),""))</f>
        <v/>
      </c>
      <c r="AI245" s="10" t="str">
        <f aca="false">IF(LEFT($B245,4)="_Mil","",_xlfn.IFNA(ROUND(INDEX(Spectrum!$N:$N,MATCH(RIGHT($B245,13)&amp;"|"&amp;$C245&amp;"|"&amp;$D245&amp;"|"&amp;AI$14&amp;"|"&amp;"CY2023Q3",Spectrum!$R:$R,0)),0),""))</f>
        <v/>
      </c>
      <c r="AJ245" s="39" t="n">
        <f aca="false">IF(LEFT($B245,4)="_Mil","",_xlfn.IFNA(ROUND(INDEX(Spectrum!$N:$N,MATCH(RIGHT($B245,13)&amp;"|"&amp;$C245&amp;"|"&amp;$D245&amp;"|"&amp;AI$14&amp;"|"&amp;"CY2023Q3",Spectrum!$R:$R,0)),0),SUM($U245)+SUM($AI245)))</f>
        <v>0</v>
      </c>
      <c r="AK245" s="10" t="str">
        <f aca="false">IF(LEFT($B245,4)="_Mil","",_xlfn.IFNA(ROUND(INDEX(Spectrum!$N:$N,MATCH(RIGHT($B245,13)&amp;"|"&amp;$C245&amp;"|"&amp;$D245&amp;"|"&amp;AK$14&amp;"|"&amp;"CY2023Q3",Spectrum!$R:$R,0)),0),""))</f>
        <v/>
      </c>
      <c r="AL245" s="88" t="n">
        <f aca="false">IF(OR(LEFT($B245,4)="_Mil",$C245="&lt;01"),"",MAX(SUM($AA245),90%))</f>
        <v>1157</v>
      </c>
      <c r="AM245" s="10" t="n">
        <f aca="false">IF(OR(LEFT($B245,4)="_Mil",$C245="&lt;01"),"",ROUND(SUM($AJ245)*SUM($AL245),0))</f>
        <v>0</v>
      </c>
      <c r="AN245" s="10" t="str">
        <f aca="false">IF($C245="&lt;01",ROUND(INDEX(EID!$P:$P,MATCH($B245,EID!$B:$B,0))/2,0),"")</f>
        <v/>
      </c>
      <c r="AO245" s="10" t="n">
        <f aca="false">IF($C245="&lt;01",SUM($AN245),ROUND(SUM($AM245)*SUM($O245)/IF(SUM($Z245)=0,1,$Z245),0))</f>
        <v>0</v>
      </c>
      <c r="AP245" s="39" t="n">
        <f aca="false">IF(OR($F245="",$C245="&lt;01"),$AO245,$F245)</f>
        <v>0</v>
      </c>
      <c r="AQ245" s="39" t="n">
        <f aca="false">IF(LEFT($B245,4)="_Mil","",IF(SUM($AP245)=0,SUM($Z245),IF(OR(SUM($Z245)=0,SUM($O245)=0),MAX($AP245,$Z245),$AP245*$Z245/$O245)))</f>
        <v>1718</v>
      </c>
      <c r="AR245" s="88" t="str">
        <f aca="false">IF(OR(LEFT($B245,4)="_Mil",SUM($AJ245)=0),"",SUM($AQ245)/$AJ245)</f>
        <v/>
      </c>
      <c r="AS245" s="88" t="n">
        <f aca="false">IF($C245="&lt;01","",98%)</f>
        <v>0.98</v>
      </c>
      <c r="AT245" s="88" t="n">
        <f aca="false">IF($C245="&lt;01","",98%)</f>
        <v>0.98</v>
      </c>
      <c r="AU245" s="10" t="n">
        <f aca="false">IF($C245="&lt;01","",SUM($AP245)-SUM($O245))</f>
        <v>0</v>
      </c>
      <c r="AV245" s="10" t="n">
        <f aca="false">IF($C245="&lt;01",ROUND(INDEX(EID!$N:$N,MATCH($B245,EID!$B:$B,0))/2,0),IF(SUM($AT245)=0,"",ROUND((SUM($AP245)-(SUM($O245)*SUM($AS245)))/$AT245,0)))</f>
        <v>0</v>
      </c>
      <c r="AW245" s="88" t="n">
        <f aca="false">IF($C245="&lt;01","",100%)</f>
        <v>1</v>
      </c>
      <c r="AX245" s="39" t="n">
        <f aca="false">IF($C245="&lt;01",SUM($AV245),ROUND(SUM($AV245)*SUM($AW245),0))</f>
        <v>0</v>
      </c>
      <c r="AY245" s="114" t="n">
        <f aca="false">IF($C245="&lt;01","",70%)</f>
        <v>0.7</v>
      </c>
      <c r="AZ245" s="91" t="n">
        <f aca="false">IF($C245="&lt;01",ROUND(INDEX(EID!$R:$R,MATCH($B245,EID!$B:$B,0))/2,0),ROUND(SUM($O245)+(SUM($AV245)*$AY245),0))</f>
        <v>0</v>
      </c>
      <c r="BA245" s="87" t="n">
        <f aca="false">IF($C245="&lt;01","",95%)</f>
        <v>0.95</v>
      </c>
      <c r="BB245" s="5" t="n">
        <f aca="false">IF($C245="&lt;01",ROUND(INDEX(EID!$T:$T,MATCH($B245,EID!$B:$B,0))/2,0),ROUND($AZ245*$BA245,0))</f>
        <v>0</v>
      </c>
      <c r="BC245" s="91" t="n">
        <f aca="false">IF(LEFT($B245,4)="_Mil","",IF(SUM($BB245)=0,SUM($AD245),IF(OR(SUM($AP245)=0,SUM($AQ245)=0),MAX($BB245,$AD245),ROUND($BB245*$AQ245/$AP245,0))))</f>
        <v>0</v>
      </c>
      <c r="BD245" s="88" t="n">
        <f aca="false">IF($C245="&lt;01","",95%)</f>
        <v>0.95</v>
      </c>
      <c r="BE245" s="39" t="n">
        <f aca="false">IF($C245="&lt;01",ROUND(INDEX(EID!$V:$V,MATCH($B245,EID!$B:$B,0))/2,0),ROUND($BD245*$BB245,0))</f>
        <v>0</v>
      </c>
      <c r="BF245" s="39" t="n">
        <f aca="false">IF(LEFT($B245,4)="_Mil","",IF(SUM($BE245)=0,SUM($AF245),IF(OR(SUM($AP245)=0,SUM($AQ245)=0),MAX($BE245,$AF245),ROUND($BE245*$AQ245/$AP245,0))))</f>
        <v>0</v>
      </c>
      <c r="BG245" s="114" t="n">
        <f aca="false">IF($C245="&lt;01","",95%)</f>
        <v>0.95</v>
      </c>
      <c r="BH245" s="5" t="n">
        <f aca="false">IF($C245="&lt;01",ROUND(INDEX(EID!$L:$L,MATCH($B245,EID!$B:$B,0)),0)/2,IF(SUM($BG245)=0,"",ROUND($AX245/$BG245,0)))</f>
        <v>0</v>
      </c>
    </row>
    <row r="246" customFormat="false" ht="15" hidden="false" customHeight="false" outlineLevel="0" collapsed="false">
      <c r="A246" s="0" t="str">
        <f aca="false">INDEX(Prioritization!$D:$D,MATCH($B246,Prioritization!$A:$A,0))</f>
        <v>1 - Scale-up: Saturation</v>
      </c>
      <c r="B246" s="0" t="s">
        <v>210</v>
      </c>
      <c r="C246" s="0" t="s">
        <v>365</v>
      </c>
      <c r="D246" s="0" t="s">
        <v>48</v>
      </c>
      <c r="E246" s="0" t="str">
        <f aca="false">$B246&amp;"|"&amp;$C246&amp;"|"&amp;$D246</f>
        <v>Balaka District [ir8wuHHzoSs]|15-24|Male</v>
      </c>
      <c r="F246" s="10"/>
      <c r="G246" s="10"/>
      <c r="H246" s="10"/>
      <c r="I246" s="10"/>
      <c r="J246" s="10"/>
      <c r="K246" s="10"/>
      <c r="L246" s="10"/>
      <c r="M246" s="10"/>
      <c r="N246" s="10"/>
      <c r="O246" s="10" t="str">
        <f aca="false">IFERROR(1/(1/MAX($I246,$N246)),"")</f>
        <v/>
      </c>
      <c r="P246" s="10"/>
      <c r="Q246" s="10"/>
      <c r="R246" s="10" t="str">
        <f aca="false">IF(AND(SUM($I246)=0,SUM($O246)=0),"",SUM($O246)-$I246)</f>
        <v/>
      </c>
      <c r="S246" s="10" t="n">
        <f aca="false">IF(LEFT($B246,4)="_Mil","",_xlfn.IFNA(ROUND(INDEX(Spectrum!$N:$N,MATCH(RIGHT($B246,13)&amp;"|"&amp;$C246&amp;"|"&amp;$D246&amp;"|"&amp;S$14&amp;"|"&amp;"CY2022Q4",Spectrum!$R:$R,0)),0),""))</f>
        <v>1773</v>
      </c>
      <c r="T246" s="39" t="n">
        <f aca="false">IF(LEFT($B246,4)="_Mil","",_xlfn.IFNA(ROUND(INDEX(Spectrum!$N:$N,MATCH(RIGHT($B246,13)&amp;"|"&amp;$C246&amp;"|"&amp;$D246&amp;"|"&amp;T$14&amp;"|"&amp;"CY2023Q3",Spectrum!$R:$R,0)),0),""))</f>
        <v>1527</v>
      </c>
      <c r="U246" s="39" t="str">
        <f aca="false">IF(LEFT($B246,4)="_Mil","",_xlfn.IFNA(ROUND(INDEX(Spectrum!$N:$N,MATCH(RIGHT($B246,13)&amp;"|"&amp;$C246&amp;"|"&amp;$D246&amp;"|"&amp;U$14&amp;"|"&amp;"CY2023Q3",Spectrum!$R:$R,0)),0),""))</f>
        <v/>
      </c>
      <c r="V246" s="10" t="n">
        <f aca="false">IF(LEFT($B246,4)="_Mil","",_xlfn.IFNA(ROUND(INDEX(Spectrum!$N:$N,MATCH(RIGHT($B246,13)&amp;"|"&amp;$C246&amp;"|"&amp;$D246&amp;"|"&amp;V$14&amp;"|"&amp;"CY2023Q3",Spectrum!$R:$R,0)),0),""))</f>
        <v>1069</v>
      </c>
      <c r="W246" s="113" t="n">
        <f aca="false">IF(LEFT($B246,4)="_Mil","",_xlfn.IFNA(INDEX(Spectrum!$N:$N,MATCH(RIGHT($B246,13)&amp;"|"&amp;$C246&amp;"|"&amp;$D246&amp;"|"&amp;W$14&amp;"|"&amp;"CY2023Q3",Spectrum!$R:$R,0)),""))</f>
        <v>1455</v>
      </c>
      <c r="X246" s="39" t="n">
        <f aca="false">IF(LEFT($B246,4)="_Mil","",_xlfn.IFNA(ROUND(INDEX(Spectrum!$N:$N,MATCH(RIGHT($B246,13)&amp;"|"&amp;$C246&amp;"|"&amp;$D246&amp;"|"&amp;X$14&amp;"|"&amp;"CY2023Q3",Spectrum!$R:$R,0)),0),""))</f>
        <v>800</v>
      </c>
      <c r="Y246" s="88" t="str">
        <f aca="false">IF(OR(SUM($U246)=0,LEFT($B246,4)="_Mil"),"",SUM($X246)/$U246)</f>
        <v/>
      </c>
      <c r="Z246" s="39" t="n">
        <f aca="false">IF(LEFT($B246,4)="_Mil","",_xlfn.IFNA(ROUND(INDEX(Spectrum!$N:$N,MATCH(RIGHT($B246,13)&amp;"|"&amp;$C246&amp;"|"&amp;$D246&amp;"|"&amp;Z$14&amp;"|"&amp;"CY2023Q3",Spectrum!$R:$R,0)),0),""))</f>
        <v>1401</v>
      </c>
      <c r="AA246" s="88" t="n">
        <f aca="false">IF(LEFT($B246,4)="_Mil","",IFERROR(1/(1/INDEX(Spectrum!$N:$N,MATCH(RIGHT($B246,13)&amp;"|"&amp;$C246&amp;"|"&amp;$D246&amp;"|"&amp;AA$14&amp;"|"&amp;"CY2023Q3",Spectrum!$R:$R,0))),IF(SUM($U246)=0,"",SUM($Z246)/$U246)))</f>
        <v>802</v>
      </c>
      <c r="AB246" s="88" t="n">
        <f aca="false">IF(OR(LEFT($B246,4)="_Mil",SUM($X246)=0),"",SUM($Z246)/$X246)</f>
        <v>1.75125</v>
      </c>
      <c r="AC246" s="10" t="n">
        <f aca="false">IF(LEFT($B246,4)="_Mil","",_xlfn.IFNA(ROUND(INDEX(Spectrum!$N:$N,MATCH(RIGHT($B246,13)&amp;"|"&amp;$C246&amp;"|"&amp;$D246&amp;"|"&amp;AC$14&amp;"|"&amp;"CY2023Q3",Spectrum!$R:$R,0)),0),""))</f>
        <v>1709</v>
      </c>
      <c r="AD246" s="10" t="str">
        <f aca="false">IF(LEFT($B246,4)="_Mil","",_xlfn.IFNA(ROUND(INDEX(Spectrum!$N:$N,MATCH(RIGHT($B246,13)&amp;"|"&amp;$C246&amp;"|"&amp;$D246&amp;"|"&amp;AD$14&amp;"|"&amp;"CY2023Q3",Spectrum!$R:$R,0)),0),""))</f>
        <v/>
      </c>
      <c r="AE246" s="88" t="n">
        <f aca="false">IF(OR(LEFT($B246,4)="_Mil",SUM($Z246)=0),"",SUM($AD246)/$Z246)</f>
        <v>0</v>
      </c>
      <c r="AF246" s="39" t="str">
        <f aca="false">IF(LEFT($B246,4)="_Mil","",_xlfn.IFNA(ROUND(INDEX(Spectrum!$N:$N,MATCH(RIGHT($B246,13)&amp;"|"&amp;$C246&amp;"|"&amp;$D246&amp;"|"&amp;AF$14&amp;"|"&amp;"CY2023Q3",Spectrum!$R:$R,0)),0),""))</f>
        <v/>
      </c>
      <c r="AG246" s="88" t="str">
        <f aca="false">IF(OR(LEFT($B246,4)="_Mil",SUM($AD246)=0),"",SUM($AF246)/$AD246)</f>
        <v/>
      </c>
      <c r="AH246" s="86" t="str">
        <f aca="false">IF(LEFT($B246,4)="_Mil","",_xlfn.IFNA(INDEX(Spectrum!$N:$N,MATCH(RIGHT($B246,13)&amp;"|"&amp;$C246&amp;"|"&amp;$D246&amp;"|"&amp;AH$14&amp;"|"&amp;"CY2023Q3",Spectrum!$R:$R,0)),""))</f>
        <v/>
      </c>
      <c r="AI246" s="10" t="str">
        <f aca="false">IF(LEFT($B246,4)="_Mil","",_xlfn.IFNA(ROUND(INDEX(Spectrum!$N:$N,MATCH(RIGHT($B246,13)&amp;"|"&amp;$C246&amp;"|"&amp;$D246&amp;"|"&amp;AI$14&amp;"|"&amp;"CY2023Q3",Spectrum!$R:$R,0)),0),""))</f>
        <v/>
      </c>
      <c r="AJ246" s="39" t="n">
        <f aca="false">IF(LEFT($B246,4)="_Mil","",_xlfn.IFNA(ROUND(INDEX(Spectrum!$N:$N,MATCH(RIGHT($B246,13)&amp;"|"&amp;$C246&amp;"|"&amp;$D246&amp;"|"&amp;AI$14&amp;"|"&amp;"CY2023Q3",Spectrum!$R:$R,0)),0),SUM($U246)+SUM($AI246)))</f>
        <v>0</v>
      </c>
      <c r="AK246" s="10" t="str">
        <f aca="false">IF(LEFT($B246,4)="_Mil","",_xlfn.IFNA(ROUND(INDEX(Spectrum!$N:$N,MATCH(RIGHT($B246,13)&amp;"|"&amp;$C246&amp;"|"&amp;$D246&amp;"|"&amp;AK$14&amp;"|"&amp;"CY2023Q3",Spectrum!$R:$R,0)),0),""))</f>
        <v/>
      </c>
      <c r="AL246" s="88" t="n">
        <f aca="false">IF(OR(LEFT($B246,4)="_Mil",$C246="&lt;01"),"",MAX(SUM($AA246),90%))</f>
        <v>802</v>
      </c>
      <c r="AM246" s="10" t="n">
        <f aca="false">IF(OR(LEFT($B246,4)="_Mil",$C246="&lt;01"),"",ROUND(SUM($AJ246)*SUM($AL246),0))</f>
        <v>0</v>
      </c>
      <c r="AN246" s="10" t="str">
        <f aca="false">IF($C246="&lt;01",ROUND(INDEX(EID!$P:$P,MATCH($B246,EID!$B:$B,0))/2,0),"")</f>
        <v/>
      </c>
      <c r="AO246" s="10" t="n">
        <f aca="false">IF($C246="&lt;01",SUM($AN246),ROUND(SUM($AM246)*SUM($O246)/IF(SUM($Z246)=0,1,$Z246),0))</f>
        <v>0</v>
      </c>
      <c r="AP246" s="39" t="n">
        <f aca="false">IF(OR($F246="",$C246="&lt;01"),$AO246,$F246)</f>
        <v>0</v>
      </c>
      <c r="AQ246" s="39" t="n">
        <f aca="false">IF(LEFT($B246,4)="_Mil","",IF(SUM($AP246)=0,SUM($Z246),IF(OR(SUM($Z246)=0,SUM($O246)=0),MAX($AP246,$Z246),$AP246*$Z246/$O246)))</f>
        <v>1401</v>
      </c>
      <c r="AR246" s="88" t="str">
        <f aca="false">IF(OR(LEFT($B246,4)="_Mil",SUM($AJ246)=0),"",SUM($AQ246)/$AJ246)</f>
        <v/>
      </c>
      <c r="AS246" s="88" t="n">
        <f aca="false">IF($C246="&lt;01","",98%)</f>
        <v>0.98</v>
      </c>
      <c r="AT246" s="88" t="n">
        <f aca="false">IF($C246="&lt;01","",98%)</f>
        <v>0.98</v>
      </c>
      <c r="AU246" s="10" t="n">
        <f aca="false">IF($C246="&lt;01","",SUM($AP246)-SUM($O246))</f>
        <v>0</v>
      </c>
      <c r="AV246" s="10" t="n">
        <f aca="false">IF($C246="&lt;01",ROUND(INDEX(EID!$N:$N,MATCH($B246,EID!$B:$B,0))/2,0),IF(SUM($AT246)=0,"",ROUND((SUM($AP246)-(SUM($O246)*SUM($AS246)))/$AT246,0)))</f>
        <v>0</v>
      </c>
      <c r="AW246" s="88" t="n">
        <f aca="false">IF($C246="&lt;01","",100%)</f>
        <v>1</v>
      </c>
      <c r="AX246" s="39" t="n">
        <f aca="false">IF($C246="&lt;01",SUM($AV246),ROUND(SUM($AV246)*SUM($AW246),0))</f>
        <v>0</v>
      </c>
      <c r="AY246" s="114" t="n">
        <f aca="false">IF($C246="&lt;01","",70%)</f>
        <v>0.7</v>
      </c>
      <c r="AZ246" s="91" t="n">
        <f aca="false">IF($C246="&lt;01",ROUND(INDEX(EID!$R:$R,MATCH($B246,EID!$B:$B,0))/2,0),ROUND(SUM($O246)+(SUM($AV246)*$AY246),0))</f>
        <v>0</v>
      </c>
      <c r="BA246" s="87" t="n">
        <f aca="false">IF($C246="&lt;01","",95%)</f>
        <v>0.95</v>
      </c>
      <c r="BB246" s="5" t="n">
        <f aca="false">IF($C246="&lt;01",ROUND(INDEX(EID!$T:$T,MATCH($B246,EID!$B:$B,0))/2,0),ROUND($AZ246*$BA246,0))</f>
        <v>0</v>
      </c>
      <c r="BC246" s="91" t="n">
        <f aca="false">IF(LEFT($B246,4)="_Mil","",IF(SUM($BB246)=0,SUM($AD246),IF(OR(SUM($AP246)=0,SUM($AQ246)=0),MAX($BB246,$AD246),ROUND($BB246*$AQ246/$AP246,0))))</f>
        <v>0</v>
      </c>
      <c r="BD246" s="88" t="n">
        <f aca="false">IF($C246="&lt;01","",95%)</f>
        <v>0.95</v>
      </c>
      <c r="BE246" s="39" t="n">
        <f aca="false">IF($C246="&lt;01",ROUND(INDEX(EID!$V:$V,MATCH($B246,EID!$B:$B,0))/2,0),ROUND($BD246*$BB246,0))</f>
        <v>0</v>
      </c>
      <c r="BF246" s="39" t="n">
        <f aca="false">IF(LEFT($B246,4)="_Mil","",IF(SUM($BE246)=0,SUM($AF246),IF(OR(SUM($AP246)=0,SUM($AQ246)=0),MAX($BE246,$AF246),ROUND($BE246*$AQ246/$AP246,0))))</f>
        <v>0</v>
      </c>
      <c r="BG246" s="114" t="n">
        <f aca="false">IF($C246="&lt;01","",95%)</f>
        <v>0.95</v>
      </c>
      <c r="BH246" s="5" t="n">
        <f aca="false">IF($C246="&lt;01",ROUND(INDEX(EID!$L:$L,MATCH($B246,EID!$B:$B,0)),0)/2,IF(SUM($BG246)=0,"",ROUND($AX246/$BG246,0)))</f>
        <v>0</v>
      </c>
    </row>
    <row r="247" customFormat="false" ht="15" hidden="false" customHeight="false" outlineLevel="0" collapsed="false">
      <c r="A247" s="0" t="str">
        <f aca="false">INDEX(Prioritization!$D:$D,MATCH($B247,Prioritization!$A:$A,0))</f>
        <v>1 - Scale-up: Saturation</v>
      </c>
      <c r="B247" s="0" t="s">
        <v>210</v>
      </c>
      <c r="C247" s="0" t="s">
        <v>366</v>
      </c>
      <c r="D247" s="0" t="s">
        <v>30</v>
      </c>
      <c r="E247" s="0" t="str">
        <f aca="false">$B247&amp;"|"&amp;$C247&amp;"|"&amp;$D247</f>
        <v>Balaka District [ir8wuHHzoSs]|25-34|Female</v>
      </c>
      <c r="F247" s="10"/>
      <c r="G247" s="10"/>
      <c r="H247" s="10"/>
      <c r="I247" s="10"/>
      <c r="J247" s="10"/>
      <c r="K247" s="10"/>
      <c r="L247" s="10"/>
      <c r="M247" s="10"/>
      <c r="N247" s="10"/>
      <c r="O247" s="10" t="str">
        <f aca="false">IFERROR(1/(1/MAX($I247,$N247)),"")</f>
        <v/>
      </c>
      <c r="P247" s="10"/>
      <c r="Q247" s="10"/>
      <c r="R247" s="10" t="str">
        <f aca="false">IF(AND(SUM($I247)=0,SUM($O247)=0),"",SUM($O247)-$I247)</f>
        <v/>
      </c>
      <c r="S247" s="10" t="n">
        <f aca="false">IF(LEFT($B247,4)="_Mil","",_xlfn.IFNA(ROUND(INDEX(Spectrum!$N:$N,MATCH(RIGHT($B247,13)&amp;"|"&amp;$C247&amp;"|"&amp;$D247&amp;"|"&amp;S$14&amp;"|"&amp;"CY2022Q4",Spectrum!$R:$R,0)),0),""))</f>
        <v>1866</v>
      </c>
      <c r="T247" s="39" t="n">
        <f aca="false">IF(LEFT($B247,4)="_Mil","",_xlfn.IFNA(ROUND(INDEX(Spectrum!$N:$N,MATCH(RIGHT($B247,13)&amp;"|"&amp;$C247&amp;"|"&amp;$D247&amp;"|"&amp;T$14&amp;"|"&amp;"CY2023Q3",Spectrum!$R:$R,0)),0),""))</f>
        <v>1592</v>
      </c>
      <c r="U247" s="39" t="str">
        <f aca="false">IF(LEFT($B247,4)="_Mil","",_xlfn.IFNA(ROUND(INDEX(Spectrum!$N:$N,MATCH(RIGHT($B247,13)&amp;"|"&amp;$C247&amp;"|"&amp;$D247&amp;"|"&amp;U$14&amp;"|"&amp;"CY2023Q3",Spectrum!$R:$R,0)),0),""))</f>
        <v/>
      </c>
      <c r="V247" s="10" t="n">
        <f aca="false">IF(LEFT($B247,4)="_Mil","",_xlfn.IFNA(ROUND(INDEX(Spectrum!$N:$N,MATCH(RIGHT($B247,13)&amp;"|"&amp;$C247&amp;"|"&amp;$D247&amp;"|"&amp;V$14&amp;"|"&amp;"CY2023Q3",Spectrum!$R:$R,0)),0),""))</f>
        <v>616</v>
      </c>
      <c r="W247" s="113" t="n">
        <f aca="false">IF(LEFT($B247,4)="_Mil","",_xlfn.IFNA(INDEX(Spectrum!$N:$N,MATCH(RIGHT($B247,13)&amp;"|"&amp;$C247&amp;"|"&amp;$D247&amp;"|"&amp;W$14&amp;"|"&amp;"CY2023Q3",Spectrum!$R:$R,0)),""))</f>
        <v>1233</v>
      </c>
      <c r="X247" s="39" t="n">
        <f aca="false">IF(LEFT($B247,4)="_Mil","",_xlfn.IFNA(ROUND(INDEX(Spectrum!$N:$N,MATCH(RIGHT($B247,13)&amp;"|"&amp;$C247&amp;"|"&amp;$D247&amp;"|"&amp;X$14&amp;"|"&amp;"CY2023Q3",Spectrum!$R:$R,0)),0),""))</f>
        <v>919</v>
      </c>
      <c r="Y247" s="88" t="str">
        <f aca="false">IF(OR(SUM($U247)=0,LEFT($B247,4)="_Mil"),"",SUM($X247)/$U247)</f>
        <v/>
      </c>
      <c r="Z247" s="39" t="n">
        <f aca="false">IF(LEFT($B247,4)="_Mil","",_xlfn.IFNA(ROUND(INDEX(Spectrum!$N:$N,MATCH(RIGHT($B247,13)&amp;"|"&amp;$C247&amp;"|"&amp;$D247&amp;"|"&amp;Z$14&amp;"|"&amp;"CY2023Q3",Spectrum!$R:$R,0)),0),""))</f>
        <v>577</v>
      </c>
      <c r="AA247" s="88" t="n">
        <f aca="false">IF(LEFT($B247,4)="_Mil","",IFERROR(1/(1/INDEX(Spectrum!$N:$N,MATCH(RIGHT($B247,13)&amp;"|"&amp;$C247&amp;"|"&amp;$D247&amp;"|"&amp;AA$14&amp;"|"&amp;"CY2023Q3",Spectrum!$R:$R,0))),IF(SUM($U247)=0,"",SUM($Z247)/$U247)))</f>
        <v>1496</v>
      </c>
      <c r="AB247" s="88" t="n">
        <f aca="false">IF(OR(LEFT($B247,4)="_Mil",SUM($X247)=0),"",SUM($Z247)/$X247)</f>
        <v>0.627856365614799</v>
      </c>
      <c r="AC247" s="10" t="n">
        <f aca="false">IF(LEFT($B247,4)="_Mil","",_xlfn.IFNA(ROUND(INDEX(Spectrum!$N:$N,MATCH(RIGHT($B247,13)&amp;"|"&amp;$C247&amp;"|"&amp;$D247&amp;"|"&amp;AC$14&amp;"|"&amp;"CY2023Q3",Spectrum!$R:$R,0)),0),""))</f>
        <v>1382</v>
      </c>
      <c r="AD247" s="10" t="str">
        <f aca="false">IF(LEFT($B247,4)="_Mil","",_xlfn.IFNA(ROUND(INDEX(Spectrum!$N:$N,MATCH(RIGHT($B247,13)&amp;"|"&amp;$C247&amp;"|"&amp;$D247&amp;"|"&amp;AD$14&amp;"|"&amp;"CY2023Q3",Spectrum!$R:$R,0)),0),""))</f>
        <v/>
      </c>
      <c r="AE247" s="88" t="n">
        <f aca="false">IF(OR(LEFT($B247,4)="_Mil",SUM($Z247)=0),"",SUM($AD247)/$Z247)</f>
        <v>0</v>
      </c>
      <c r="AF247" s="39" t="str">
        <f aca="false">IF(LEFT($B247,4)="_Mil","",_xlfn.IFNA(ROUND(INDEX(Spectrum!$N:$N,MATCH(RIGHT($B247,13)&amp;"|"&amp;$C247&amp;"|"&amp;$D247&amp;"|"&amp;AF$14&amp;"|"&amp;"CY2023Q3",Spectrum!$R:$R,0)),0),""))</f>
        <v/>
      </c>
      <c r="AG247" s="88" t="str">
        <f aca="false">IF(OR(LEFT($B247,4)="_Mil",SUM($AD247)=0),"",SUM($AF247)/$AD247)</f>
        <v/>
      </c>
      <c r="AH247" s="86" t="str">
        <f aca="false">IF(LEFT($B247,4)="_Mil","",_xlfn.IFNA(INDEX(Spectrum!$N:$N,MATCH(RIGHT($B247,13)&amp;"|"&amp;$C247&amp;"|"&amp;$D247&amp;"|"&amp;AH$14&amp;"|"&amp;"CY2023Q3",Spectrum!$R:$R,0)),""))</f>
        <v/>
      </c>
      <c r="AI247" s="10" t="str">
        <f aca="false">IF(LEFT($B247,4)="_Mil","",_xlfn.IFNA(ROUND(INDEX(Spectrum!$N:$N,MATCH(RIGHT($B247,13)&amp;"|"&amp;$C247&amp;"|"&amp;$D247&amp;"|"&amp;AI$14&amp;"|"&amp;"CY2023Q3",Spectrum!$R:$R,0)),0),""))</f>
        <v/>
      </c>
      <c r="AJ247" s="39" t="n">
        <f aca="false">IF(LEFT($B247,4)="_Mil","",_xlfn.IFNA(ROUND(INDEX(Spectrum!$N:$N,MATCH(RIGHT($B247,13)&amp;"|"&amp;$C247&amp;"|"&amp;$D247&amp;"|"&amp;AI$14&amp;"|"&amp;"CY2023Q3",Spectrum!$R:$R,0)),0),SUM($U247)+SUM($AI247)))</f>
        <v>0</v>
      </c>
      <c r="AK247" s="10" t="str">
        <f aca="false">IF(LEFT($B247,4)="_Mil","",_xlfn.IFNA(ROUND(INDEX(Spectrum!$N:$N,MATCH(RIGHT($B247,13)&amp;"|"&amp;$C247&amp;"|"&amp;$D247&amp;"|"&amp;AK$14&amp;"|"&amp;"CY2023Q3",Spectrum!$R:$R,0)),0),""))</f>
        <v/>
      </c>
      <c r="AL247" s="88" t="n">
        <f aca="false">IF(OR(LEFT($B247,4)="_Mil",$C247="&lt;01"),"",MAX(SUM($AA247),90%))</f>
        <v>1496</v>
      </c>
      <c r="AM247" s="10" t="n">
        <f aca="false">IF(OR(LEFT($B247,4)="_Mil",$C247="&lt;01"),"",ROUND(SUM($AJ247)*SUM($AL247),0))</f>
        <v>0</v>
      </c>
      <c r="AN247" s="10" t="str">
        <f aca="false">IF($C247="&lt;01",ROUND(INDEX(EID!$P:$P,MATCH($B247,EID!$B:$B,0))/2,0),"")</f>
        <v/>
      </c>
      <c r="AO247" s="10" t="n">
        <f aca="false">IF($C247="&lt;01",SUM($AN247),ROUND(SUM($AM247)*SUM($O247)/IF(SUM($Z247)=0,1,$Z247),0))</f>
        <v>0</v>
      </c>
      <c r="AP247" s="39" t="n">
        <f aca="false">IF(OR($F247="",$C247="&lt;01"),$AO247,$F247)</f>
        <v>0</v>
      </c>
      <c r="AQ247" s="39" t="n">
        <f aca="false">IF(LEFT($B247,4)="_Mil","",IF(SUM($AP247)=0,SUM($Z247),IF(OR(SUM($Z247)=0,SUM($O247)=0),MAX($AP247,$Z247),$AP247*$Z247/$O247)))</f>
        <v>577</v>
      </c>
      <c r="AR247" s="88" t="str">
        <f aca="false">IF(OR(LEFT($B247,4)="_Mil",SUM($AJ247)=0),"",SUM($AQ247)/$AJ247)</f>
        <v/>
      </c>
      <c r="AS247" s="88" t="n">
        <f aca="false">IF($C247="&lt;01","",98%)</f>
        <v>0.98</v>
      </c>
      <c r="AT247" s="88" t="n">
        <f aca="false">IF($C247="&lt;01","",98%)</f>
        <v>0.98</v>
      </c>
      <c r="AU247" s="10" t="n">
        <f aca="false">IF($C247="&lt;01","",SUM($AP247)-SUM($O247))</f>
        <v>0</v>
      </c>
      <c r="AV247" s="10" t="n">
        <f aca="false">IF($C247="&lt;01",ROUND(INDEX(EID!$N:$N,MATCH($B247,EID!$B:$B,0))/2,0),IF(SUM($AT247)=0,"",ROUND((SUM($AP247)-(SUM($O247)*SUM($AS247)))/$AT247,0)))</f>
        <v>0</v>
      </c>
      <c r="AW247" s="88" t="n">
        <f aca="false">IF($C247="&lt;01","",100%)</f>
        <v>1</v>
      </c>
      <c r="AX247" s="39" t="n">
        <f aca="false">IF($C247="&lt;01",SUM($AV247),ROUND(SUM($AV247)*SUM($AW247),0))</f>
        <v>0</v>
      </c>
      <c r="AY247" s="114" t="n">
        <f aca="false">IF($C247="&lt;01","",70%)</f>
        <v>0.7</v>
      </c>
      <c r="AZ247" s="91" t="n">
        <f aca="false">IF($C247="&lt;01",ROUND(INDEX(EID!$R:$R,MATCH($B247,EID!$B:$B,0))/2,0),ROUND(SUM($O247)+(SUM($AV247)*$AY247),0))</f>
        <v>0</v>
      </c>
      <c r="BA247" s="87" t="n">
        <f aca="false">IF($C247="&lt;01","",95%)</f>
        <v>0.95</v>
      </c>
      <c r="BB247" s="5" t="n">
        <f aca="false">IF($C247="&lt;01",ROUND(INDEX(EID!$T:$T,MATCH($B247,EID!$B:$B,0))/2,0),ROUND($AZ247*$BA247,0))</f>
        <v>0</v>
      </c>
      <c r="BC247" s="91" t="n">
        <f aca="false">IF(LEFT($B247,4)="_Mil","",IF(SUM($BB247)=0,SUM($AD247),IF(OR(SUM($AP247)=0,SUM($AQ247)=0),MAX($BB247,$AD247),ROUND($BB247*$AQ247/$AP247,0))))</f>
        <v>0</v>
      </c>
      <c r="BD247" s="88" t="n">
        <f aca="false">IF($C247="&lt;01","",95%)</f>
        <v>0.95</v>
      </c>
      <c r="BE247" s="39" t="n">
        <f aca="false">IF($C247="&lt;01",ROUND(INDEX(EID!$V:$V,MATCH($B247,EID!$B:$B,0))/2,0),ROUND($BD247*$BB247,0))</f>
        <v>0</v>
      </c>
      <c r="BF247" s="39" t="n">
        <f aca="false">IF(LEFT($B247,4)="_Mil","",IF(SUM($BE247)=0,SUM($AF247),IF(OR(SUM($AP247)=0,SUM($AQ247)=0),MAX($BE247,$AF247),ROUND($BE247*$AQ247/$AP247,0))))</f>
        <v>0</v>
      </c>
      <c r="BG247" s="114" t="n">
        <f aca="false">IF($C247="&lt;01","",95%)</f>
        <v>0.95</v>
      </c>
      <c r="BH247" s="5" t="n">
        <f aca="false">IF($C247="&lt;01",ROUND(INDEX(EID!$L:$L,MATCH($B247,EID!$B:$B,0)),0)/2,IF(SUM($BG247)=0,"",ROUND($AX247/$BG247,0)))</f>
        <v>0</v>
      </c>
    </row>
    <row r="248" customFormat="false" ht="15" hidden="false" customHeight="false" outlineLevel="0" collapsed="false">
      <c r="A248" s="0" t="str">
        <f aca="false">INDEX(Prioritization!$D:$D,MATCH($B248,Prioritization!$A:$A,0))</f>
        <v>1 - Scale-up: Saturation</v>
      </c>
      <c r="B248" s="0" t="s">
        <v>210</v>
      </c>
      <c r="C248" s="0" t="s">
        <v>366</v>
      </c>
      <c r="D248" s="0" t="s">
        <v>48</v>
      </c>
      <c r="E248" s="0" t="str">
        <f aca="false">$B248&amp;"|"&amp;$C248&amp;"|"&amp;$D248</f>
        <v>Balaka District [ir8wuHHzoSs]|25-34|Male</v>
      </c>
      <c r="F248" s="10"/>
      <c r="G248" s="10"/>
      <c r="H248" s="10"/>
      <c r="I248" s="10"/>
      <c r="J248" s="10"/>
      <c r="K248" s="10"/>
      <c r="L248" s="10"/>
      <c r="M248" s="10"/>
      <c r="N248" s="10"/>
      <c r="O248" s="10" t="str">
        <f aca="false">IFERROR(1/(1/MAX($I248,$N248)),"")</f>
        <v/>
      </c>
      <c r="P248" s="10"/>
      <c r="Q248" s="10"/>
      <c r="R248" s="10" t="str">
        <f aca="false">IF(AND(SUM($I248)=0,SUM($O248)=0),"",SUM($O248)-$I248)</f>
        <v/>
      </c>
      <c r="S248" s="10" t="n">
        <f aca="false">IF(LEFT($B248,4)="_Mil","",_xlfn.IFNA(ROUND(INDEX(Spectrum!$N:$N,MATCH(RIGHT($B248,13)&amp;"|"&amp;$C248&amp;"|"&amp;$D248&amp;"|"&amp;S$14&amp;"|"&amp;"CY2022Q4",Spectrum!$R:$R,0)),0),""))</f>
        <v>1770</v>
      </c>
      <c r="T248" s="39" t="n">
        <f aca="false">IF(LEFT($B248,4)="_Mil","",_xlfn.IFNA(ROUND(INDEX(Spectrum!$N:$N,MATCH(RIGHT($B248,13)&amp;"|"&amp;$C248&amp;"|"&amp;$D248&amp;"|"&amp;T$14&amp;"|"&amp;"CY2023Q3",Spectrum!$R:$R,0)),0),""))</f>
        <v>712</v>
      </c>
      <c r="U248" s="39" t="str">
        <f aca="false">IF(LEFT($B248,4)="_Mil","",_xlfn.IFNA(ROUND(INDEX(Spectrum!$N:$N,MATCH(RIGHT($B248,13)&amp;"|"&amp;$C248&amp;"|"&amp;$D248&amp;"|"&amp;U$14&amp;"|"&amp;"CY2023Q3",Spectrum!$R:$R,0)),0),""))</f>
        <v/>
      </c>
      <c r="V248" s="10" t="n">
        <f aca="false">IF(LEFT($B248,4)="_Mil","",_xlfn.IFNA(ROUND(INDEX(Spectrum!$N:$N,MATCH(RIGHT($B248,13)&amp;"|"&amp;$C248&amp;"|"&amp;$D248&amp;"|"&amp;V$14&amp;"|"&amp;"CY2023Q3",Spectrum!$R:$R,0)),0),""))</f>
        <v>1782</v>
      </c>
      <c r="W248" s="113" t="n">
        <f aca="false">IF(LEFT($B248,4)="_Mil","",_xlfn.IFNA(INDEX(Spectrum!$N:$N,MATCH(RIGHT($B248,13)&amp;"|"&amp;$C248&amp;"|"&amp;$D248&amp;"|"&amp;W$14&amp;"|"&amp;"CY2023Q3",Spectrum!$R:$R,0)),""))</f>
        <v>1125</v>
      </c>
      <c r="X248" s="39" t="n">
        <f aca="false">IF(LEFT($B248,4)="_Mil","",_xlfn.IFNA(ROUND(INDEX(Spectrum!$N:$N,MATCH(RIGHT($B248,13)&amp;"|"&amp;$C248&amp;"|"&amp;$D248&amp;"|"&amp;X$14&amp;"|"&amp;"CY2023Q3",Spectrum!$R:$R,0)),0),""))</f>
        <v>1803</v>
      </c>
      <c r="Y248" s="88" t="str">
        <f aca="false">IF(OR(SUM($U248)=0,LEFT($B248,4)="_Mil"),"",SUM($X248)/$U248)</f>
        <v/>
      </c>
      <c r="Z248" s="39" t="n">
        <f aca="false">IF(LEFT($B248,4)="_Mil","",_xlfn.IFNA(ROUND(INDEX(Spectrum!$N:$N,MATCH(RIGHT($B248,13)&amp;"|"&amp;$C248&amp;"|"&amp;$D248&amp;"|"&amp;Z$14&amp;"|"&amp;"CY2023Q3",Spectrum!$R:$R,0)),0),""))</f>
        <v>991</v>
      </c>
      <c r="AA248" s="88" t="n">
        <f aca="false">IF(LEFT($B248,4)="_Mil","",IFERROR(1/(1/INDEX(Spectrum!$N:$N,MATCH(RIGHT($B248,13)&amp;"|"&amp;$C248&amp;"|"&amp;$D248&amp;"|"&amp;AA$14&amp;"|"&amp;"CY2023Q3",Spectrum!$R:$R,0))),IF(SUM($U248)=0,"",SUM($Z248)/$U248)))</f>
        <v>1361</v>
      </c>
      <c r="AB248" s="88" t="n">
        <f aca="false">IF(OR(LEFT($B248,4)="_Mil",SUM($X248)=0),"",SUM($Z248)/$X248)</f>
        <v>0.549639489739323</v>
      </c>
      <c r="AC248" s="10" t="n">
        <f aca="false">IF(LEFT($B248,4)="_Mil","",_xlfn.IFNA(ROUND(INDEX(Spectrum!$N:$N,MATCH(RIGHT($B248,13)&amp;"|"&amp;$C248&amp;"|"&amp;$D248&amp;"|"&amp;AC$14&amp;"|"&amp;"CY2023Q3",Spectrum!$R:$R,0)),0),""))</f>
        <v>1886</v>
      </c>
      <c r="AD248" s="10" t="str">
        <f aca="false">IF(LEFT($B248,4)="_Mil","",_xlfn.IFNA(ROUND(INDEX(Spectrum!$N:$N,MATCH(RIGHT($B248,13)&amp;"|"&amp;$C248&amp;"|"&amp;$D248&amp;"|"&amp;AD$14&amp;"|"&amp;"CY2023Q3",Spectrum!$R:$R,0)),0),""))</f>
        <v/>
      </c>
      <c r="AE248" s="88" t="n">
        <f aca="false">IF(OR(LEFT($B248,4)="_Mil",SUM($Z248)=0),"",SUM($AD248)/$Z248)</f>
        <v>0</v>
      </c>
      <c r="AF248" s="39" t="str">
        <f aca="false">IF(LEFT($B248,4)="_Mil","",_xlfn.IFNA(ROUND(INDEX(Spectrum!$N:$N,MATCH(RIGHT($B248,13)&amp;"|"&amp;$C248&amp;"|"&amp;$D248&amp;"|"&amp;AF$14&amp;"|"&amp;"CY2023Q3",Spectrum!$R:$R,0)),0),""))</f>
        <v/>
      </c>
      <c r="AG248" s="88" t="str">
        <f aca="false">IF(OR(LEFT($B248,4)="_Mil",SUM($AD248)=0),"",SUM($AF248)/$AD248)</f>
        <v/>
      </c>
      <c r="AH248" s="86" t="str">
        <f aca="false">IF(LEFT($B248,4)="_Mil","",_xlfn.IFNA(INDEX(Spectrum!$N:$N,MATCH(RIGHT($B248,13)&amp;"|"&amp;$C248&amp;"|"&amp;$D248&amp;"|"&amp;AH$14&amp;"|"&amp;"CY2023Q3",Spectrum!$R:$R,0)),""))</f>
        <v/>
      </c>
      <c r="AI248" s="10" t="str">
        <f aca="false">IF(LEFT($B248,4)="_Mil","",_xlfn.IFNA(ROUND(INDEX(Spectrum!$N:$N,MATCH(RIGHT($B248,13)&amp;"|"&amp;$C248&amp;"|"&amp;$D248&amp;"|"&amp;AI$14&amp;"|"&amp;"CY2023Q3",Spectrum!$R:$R,0)),0),""))</f>
        <v/>
      </c>
      <c r="AJ248" s="39" t="n">
        <f aca="false">IF(LEFT($B248,4)="_Mil","",_xlfn.IFNA(ROUND(INDEX(Spectrum!$N:$N,MATCH(RIGHT($B248,13)&amp;"|"&amp;$C248&amp;"|"&amp;$D248&amp;"|"&amp;AI$14&amp;"|"&amp;"CY2023Q3",Spectrum!$R:$R,0)),0),SUM($U248)+SUM($AI248)))</f>
        <v>0</v>
      </c>
      <c r="AK248" s="10" t="str">
        <f aca="false">IF(LEFT($B248,4)="_Mil","",_xlfn.IFNA(ROUND(INDEX(Spectrum!$N:$N,MATCH(RIGHT($B248,13)&amp;"|"&amp;$C248&amp;"|"&amp;$D248&amp;"|"&amp;AK$14&amp;"|"&amp;"CY2023Q3",Spectrum!$R:$R,0)),0),""))</f>
        <v/>
      </c>
      <c r="AL248" s="88" t="n">
        <f aca="false">IF(OR(LEFT($B248,4)="_Mil",$C248="&lt;01"),"",MAX(SUM($AA248),90%))</f>
        <v>1361</v>
      </c>
      <c r="AM248" s="10" t="n">
        <f aca="false">IF(OR(LEFT($B248,4)="_Mil",$C248="&lt;01"),"",ROUND(SUM($AJ248)*SUM($AL248),0))</f>
        <v>0</v>
      </c>
      <c r="AN248" s="10" t="str">
        <f aca="false">IF($C248="&lt;01",ROUND(INDEX(EID!$P:$P,MATCH($B248,EID!$B:$B,0))/2,0),"")</f>
        <v/>
      </c>
      <c r="AO248" s="10" t="n">
        <f aca="false">IF($C248="&lt;01",SUM($AN248),ROUND(SUM($AM248)*SUM($O248)/IF(SUM($Z248)=0,1,$Z248),0))</f>
        <v>0</v>
      </c>
      <c r="AP248" s="39" t="n">
        <f aca="false">IF(OR($F248="",$C248="&lt;01"),$AO248,$F248)</f>
        <v>0</v>
      </c>
      <c r="AQ248" s="39" t="n">
        <f aca="false">IF(LEFT($B248,4)="_Mil","",IF(SUM($AP248)=0,SUM($Z248),IF(OR(SUM($Z248)=0,SUM($O248)=0),MAX($AP248,$Z248),$AP248*$Z248/$O248)))</f>
        <v>991</v>
      </c>
      <c r="AR248" s="88" t="str">
        <f aca="false">IF(OR(LEFT($B248,4)="_Mil",SUM($AJ248)=0),"",SUM($AQ248)/$AJ248)</f>
        <v/>
      </c>
      <c r="AS248" s="88" t="n">
        <f aca="false">IF($C248="&lt;01","",98%)</f>
        <v>0.98</v>
      </c>
      <c r="AT248" s="88" t="n">
        <f aca="false">IF($C248="&lt;01","",98%)</f>
        <v>0.98</v>
      </c>
      <c r="AU248" s="10" t="n">
        <f aca="false">IF($C248="&lt;01","",SUM($AP248)-SUM($O248))</f>
        <v>0</v>
      </c>
      <c r="AV248" s="10" t="n">
        <f aca="false">IF($C248="&lt;01",ROUND(INDEX(EID!$N:$N,MATCH($B248,EID!$B:$B,0))/2,0),IF(SUM($AT248)=0,"",ROUND((SUM($AP248)-(SUM($O248)*SUM($AS248)))/$AT248,0)))</f>
        <v>0</v>
      </c>
      <c r="AW248" s="88" t="n">
        <f aca="false">IF($C248="&lt;01","",100%)</f>
        <v>1</v>
      </c>
      <c r="AX248" s="39" t="n">
        <f aca="false">IF($C248="&lt;01",SUM($AV248),ROUND(SUM($AV248)*SUM($AW248),0))</f>
        <v>0</v>
      </c>
      <c r="AY248" s="114" t="n">
        <f aca="false">IF($C248="&lt;01","",70%)</f>
        <v>0.7</v>
      </c>
      <c r="AZ248" s="91" t="n">
        <f aca="false">IF($C248="&lt;01",ROUND(INDEX(EID!$R:$R,MATCH($B248,EID!$B:$B,0))/2,0),ROUND(SUM($O248)+(SUM($AV248)*$AY248),0))</f>
        <v>0</v>
      </c>
      <c r="BA248" s="87" t="n">
        <f aca="false">IF($C248="&lt;01","",95%)</f>
        <v>0.95</v>
      </c>
      <c r="BB248" s="5" t="n">
        <f aca="false">IF($C248="&lt;01",ROUND(INDEX(EID!$T:$T,MATCH($B248,EID!$B:$B,0))/2,0),ROUND($AZ248*$BA248,0))</f>
        <v>0</v>
      </c>
      <c r="BC248" s="91" t="n">
        <f aca="false">IF(LEFT($B248,4)="_Mil","",IF(SUM($BB248)=0,SUM($AD248),IF(OR(SUM($AP248)=0,SUM($AQ248)=0),MAX($BB248,$AD248),ROUND($BB248*$AQ248/$AP248,0))))</f>
        <v>0</v>
      </c>
      <c r="BD248" s="88" t="n">
        <f aca="false">IF($C248="&lt;01","",95%)</f>
        <v>0.95</v>
      </c>
      <c r="BE248" s="39" t="n">
        <f aca="false">IF($C248="&lt;01",ROUND(INDEX(EID!$V:$V,MATCH($B248,EID!$B:$B,0))/2,0),ROUND($BD248*$BB248,0))</f>
        <v>0</v>
      </c>
      <c r="BF248" s="39" t="n">
        <f aca="false">IF(LEFT($B248,4)="_Mil","",IF(SUM($BE248)=0,SUM($AF248),IF(OR(SUM($AP248)=0,SUM($AQ248)=0),MAX($BE248,$AF248),ROUND($BE248*$AQ248/$AP248,0))))</f>
        <v>0</v>
      </c>
      <c r="BG248" s="114" t="n">
        <f aca="false">IF($C248="&lt;01","",95%)</f>
        <v>0.95</v>
      </c>
      <c r="BH248" s="5" t="n">
        <f aca="false">IF($C248="&lt;01",ROUND(INDEX(EID!$L:$L,MATCH($B248,EID!$B:$B,0)),0)/2,IF(SUM($BG248)=0,"",ROUND($AX248/$BG248,0)))</f>
        <v>0</v>
      </c>
    </row>
    <row r="249" customFormat="false" ht="15" hidden="false" customHeight="false" outlineLevel="0" collapsed="false">
      <c r="A249" s="0" t="str">
        <f aca="false">INDEX(Prioritization!$D:$D,MATCH($B249,Prioritization!$A:$A,0))</f>
        <v>1 - Scale-up: Saturation</v>
      </c>
      <c r="B249" s="0" t="s">
        <v>210</v>
      </c>
      <c r="C249" s="0" t="s">
        <v>367</v>
      </c>
      <c r="D249" s="0" t="s">
        <v>30</v>
      </c>
      <c r="E249" s="0" t="str">
        <f aca="false">$B249&amp;"|"&amp;$C249&amp;"|"&amp;$D249</f>
        <v>Balaka District [ir8wuHHzoSs]|35-49|Female</v>
      </c>
      <c r="F249" s="10"/>
      <c r="G249" s="10"/>
      <c r="H249" s="10"/>
      <c r="I249" s="10"/>
      <c r="J249" s="10"/>
      <c r="K249" s="10"/>
      <c r="L249" s="10"/>
      <c r="M249" s="10"/>
      <c r="N249" s="10"/>
      <c r="O249" s="10" t="str">
        <f aca="false">IFERROR(1/(1/MAX($I249,$N249)),"")</f>
        <v/>
      </c>
      <c r="P249" s="10"/>
      <c r="Q249" s="10"/>
      <c r="R249" s="10" t="str">
        <f aca="false">IF(AND(SUM($I249)=0,SUM($O249)=0),"",SUM($O249)-$I249)</f>
        <v/>
      </c>
      <c r="S249" s="10" t="n">
        <f aca="false">IF(LEFT($B249,4)="_Mil","",_xlfn.IFNA(ROUND(INDEX(Spectrum!$N:$N,MATCH(RIGHT($B249,13)&amp;"|"&amp;$C249&amp;"|"&amp;$D249&amp;"|"&amp;S$14&amp;"|"&amp;"CY2022Q4",Spectrum!$R:$R,0)),0),""))</f>
        <v>784</v>
      </c>
      <c r="T249" s="39" t="n">
        <f aca="false">IF(LEFT($B249,4)="_Mil","",_xlfn.IFNA(ROUND(INDEX(Spectrum!$N:$N,MATCH(RIGHT($B249,13)&amp;"|"&amp;$C249&amp;"|"&amp;$D249&amp;"|"&amp;T$14&amp;"|"&amp;"CY2023Q3",Spectrum!$R:$R,0)),0),""))</f>
        <v>1224</v>
      </c>
      <c r="U249" s="39" t="str">
        <f aca="false">IF(LEFT($B249,4)="_Mil","",_xlfn.IFNA(ROUND(INDEX(Spectrum!$N:$N,MATCH(RIGHT($B249,13)&amp;"|"&amp;$C249&amp;"|"&amp;$D249&amp;"|"&amp;U$14&amp;"|"&amp;"CY2023Q3",Spectrum!$R:$R,0)),0),""))</f>
        <v/>
      </c>
      <c r="V249" s="10" t="n">
        <f aca="false">IF(LEFT($B249,4)="_Mil","",_xlfn.IFNA(ROUND(INDEX(Spectrum!$N:$N,MATCH(RIGHT($B249,13)&amp;"|"&amp;$C249&amp;"|"&amp;$D249&amp;"|"&amp;V$14&amp;"|"&amp;"CY2023Q3",Spectrum!$R:$R,0)),0),""))</f>
        <v>1927</v>
      </c>
      <c r="W249" s="113" t="n">
        <f aca="false">IF(LEFT($B249,4)="_Mil","",_xlfn.IFNA(INDEX(Spectrum!$N:$N,MATCH(RIGHT($B249,13)&amp;"|"&amp;$C249&amp;"|"&amp;$D249&amp;"|"&amp;W$14&amp;"|"&amp;"CY2023Q3",Spectrum!$R:$R,0)),""))</f>
        <v>1757</v>
      </c>
      <c r="X249" s="39" t="n">
        <f aca="false">IF(LEFT($B249,4)="_Mil","",_xlfn.IFNA(ROUND(INDEX(Spectrum!$N:$N,MATCH(RIGHT($B249,13)&amp;"|"&amp;$C249&amp;"|"&amp;$D249&amp;"|"&amp;X$14&amp;"|"&amp;"CY2023Q3",Spectrum!$R:$R,0)),0),""))</f>
        <v>809</v>
      </c>
      <c r="Y249" s="88" t="str">
        <f aca="false">IF(OR(SUM($U249)=0,LEFT($B249,4)="_Mil"),"",SUM($X249)/$U249)</f>
        <v/>
      </c>
      <c r="Z249" s="39" t="n">
        <f aca="false">IF(LEFT($B249,4)="_Mil","",_xlfn.IFNA(ROUND(INDEX(Spectrum!$N:$N,MATCH(RIGHT($B249,13)&amp;"|"&amp;$C249&amp;"|"&amp;$D249&amp;"|"&amp;Z$14&amp;"|"&amp;"CY2023Q3",Spectrum!$R:$R,0)),0),""))</f>
        <v>1095</v>
      </c>
      <c r="AA249" s="88" t="n">
        <f aca="false">IF(LEFT($B249,4)="_Mil","",IFERROR(1/(1/INDEX(Spectrum!$N:$N,MATCH(RIGHT($B249,13)&amp;"|"&amp;$C249&amp;"|"&amp;$D249&amp;"|"&amp;AA$14&amp;"|"&amp;"CY2023Q3",Spectrum!$R:$R,0))),IF(SUM($U249)=0,"",SUM($Z249)/$U249)))</f>
        <v>522</v>
      </c>
      <c r="AB249" s="88" t="n">
        <f aca="false">IF(OR(LEFT($B249,4)="_Mil",SUM($X249)=0),"",SUM($Z249)/$X249)</f>
        <v>1.35352286773795</v>
      </c>
      <c r="AC249" s="10" t="n">
        <f aca="false">IF(LEFT($B249,4)="_Mil","",_xlfn.IFNA(ROUND(INDEX(Spectrum!$N:$N,MATCH(RIGHT($B249,13)&amp;"|"&amp;$C249&amp;"|"&amp;$D249&amp;"|"&amp;AC$14&amp;"|"&amp;"CY2023Q3",Spectrum!$R:$R,0)),0),""))</f>
        <v>1852</v>
      </c>
      <c r="AD249" s="10" t="str">
        <f aca="false">IF(LEFT($B249,4)="_Mil","",_xlfn.IFNA(ROUND(INDEX(Spectrum!$N:$N,MATCH(RIGHT($B249,13)&amp;"|"&amp;$C249&amp;"|"&amp;$D249&amp;"|"&amp;AD$14&amp;"|"&amp;"CY2023Q3",Spectrum!$R:$R,0)),0),""))</f>
        <v/>
      </c>
      <c r="AE249" s="88" t="n">
        <f aca="false">IF(OR(LEFT($B249,4)="_Mil",SUM($Z249)=0),"",SUM($AD249)/$Z249)</f>
        <v>0</v>
      </c>
      <c r="AF249" s="39" t="str">
        <f aca="false">IF(LEFT($B249,4)="_Mil","",_xlfn.IFNA(ROUND(INDEX(Spectrum!$N:$N,MATCH(RIGHT($B249,13)&amp;"|"&amp;$C249&amp;"|"&amp;$D249&amp;"|"&amp;AF$14&amp;"|"&amp;"CY2023Q3",Spectrum!$R:$R,0)),0),""))</f>
        <v/>
      </c>
      <c r="AG249" s="88" t="str">
        <f aca="false">IF(OR(LEFT($B249,4)="_Mil",SUM($AD249)=0),"",SUM($AF249)/$AD249)</f>
        <v/>
      </c>
      <c r="AH249" s="86" t="str">
        <f aca="false">IF(LEFT($B249,4)="_Mil","",_xlfn.IFNA(INDEX(Spectrum!$N:$N,MATCH(RIGHT($B249,13)&amp;"|"&amp;$C249&amp;"|"&amp;$D249&amp;"|"&amp;AH$14&amp;"|"&amp;"CY2023Q3",Spectrum!$R:$R,0)),""))</f>
        <v/>
      </c>
      <c r="AI249" s="10" t="str">
        <f aca="false">IF(LEFT($B249,4)="_Mil","",_xlfn.IFNA(ROUND(INDEX(Spectrum!$N:$N,MATCH(RIGHT($B249,13)&amp;"|"&amp;$C249&amp;"|"&amp;$D249&amp;"|"&amp;AI$14&amp;"|"&amp;"CY2023Q3",Spectrum!$R:$R,0)),0),""))</f>
        <v/>
      </c>
      <c r="AJ249" s="39" t="n">
        <f aca="false">IF(LEFT($B249,4)="_Mil","",_xlfn.IFNA(ROUND(INDEX(Spectrum!$N:$N,MATCH(RIGHT($B249,13)&amp;"|"&amp;$C249&amp;"|"&amp;$D249&amp;"|"&amp;AI$14&amp;"|"&amp;"CY2023Q3",Spectrum!$R:$R,0)),0),SUM($U249)+SUM($AI249)))</f>
        <v>0</v>
      </c>
      <c r="AK249" s="10" t="str">
        <f aca="false">IF(LEFT($B249,4)="_Mil","",_xlfn.IFNA(ROUND(INDEX(Spectrum!$N:$N,MATCH(RIGHT($B249,13)&amp;"|"&amp;$C249&amp;"|"&amp;$D249&amp;"|"&amp;AK$14&amp;"|"&amp;"CY2023Q3",Spectrum!$R:$R,0)),0),""))</f>
        <v/>
      </c>
      <c r="AL249" s="88" t="n">
        <f aca="false">IF(OR(LEFT($B249,4)="_Mil",$C249="&lt;01"),"",MAX(SUM($AA249),90%))</f>
        <v>522</v>
      </c>
      <c r="AM249" s="10" t="n">
        <f aca="false">IF(OR(LEFT($B249,4)="_Mil",$C249="&lt;01"),"",ROUND(SUM($AJ249)*SUM($AL249),0))</f>
        <v>0</v>
      </c>
      <c r="AN249" s="10" t="str">
        <f aca="false">IF($C249="&lt;01",ROUND(INDEX(EID!$P:$P,MATCH($B249,EID!$B:$B,0))/2,0),"")</f>
        <v/>
      </c>
      <c r="AO249" s="10" t="n">
        <f aca="false">IF($C249="&lt;01",SUM($AN249),ROUND(SUM($AM249)*SUM($O249)/IF(SUM($Z249)=0,1,$Z249),0))</f>
        <v>0</v>
      </c>
      <c r="AP249" s="39" t="n">
        <f aca="false">IF(OR($F249="",$C249="&lt;01"),$AO249,$F249)</f>
        <v>0</v>
      </c>
      <c r="AQ249" s="39" t="n">
        <f aca="false">IF(LEFT($B249,4)="_Mil","",IF(SUM($AP249)=0,SUM($Z249),IF(OR(SUM($Z249)=0,SUM($O249)=0),MAX($AP249,$Z249),$AP249*$Z249/$O249)))</f>
        <v>1095</v>
      </c>
      <c r="AR249" s="88" t="str">
        <f aca="false">IF(OR(LEFT($B249,4)="_Mil",SUM($AJ249)=0),"",SUM($AQ249)/$AJ249)</f>
        <v/>
      </c>
      <c r="AS249" s="88" t="n">
        <f aca="false">IF($C249="&lt;01","",98%)</f>
        <v>0.98</v>
      </c>
      <c r="AT249" s="88" t="n">
        <f aca="false">IF($C249="&lt;01","",98%)</f>
        <v>0.98</v>
      </c>
      <c r="AU249" s="10" t="n">
        <f aca="false">IF($C249="&lt;01","",SUM($AP249)-SUM($O249))</f>
        <v>0</v>
      </c>
      <c r="AV249" s="10" t="n">
        <f aca="false">IF($C249="&lt;01",ROUND(INDEX(EID!$N:$N,MATCH($B249,EID!$B:$B,0))/2,0),IF(SUM($AT249)=0,"",ROUND((SUM($AP249)-(SUM($O249)*SUM($AS249)))/$AT249,0)))</f>
        <v>0</v>
      </c>
      <c r="AW249" s="88" t="n">
        <f aca="false">IF($C249="&lt;01","",100%)</f>
        <v>1</v>
      </c>
      <c r="AX249" s="39" t="n">
        <f aca="false">IF($C249="&lt;01",SUM($AV249),ROUND(SUM($AV249)*SUM($AW249),0))</f>
        <v>0</v>
      </c>
      <c r="AY249" s="114" t="n">
        <f aca="false">IF($C249="&lt;01","",70%)</f>
        <v>0.7</v>
      </c>
      <c r="AZ249" s="91" t="n">
        <f aca="false">IF($C249="&lt;01",ROUND(INDEX(EID!$R:$R,MATCH($B249,EID!$B:$B,0))/2,0),ROUND(SUM($O249)+(SUM($AV249)*$AY249),0))</f>
        <v>0</v>
      </c>
      <c r="BA249" s="87" t="n">
        <f aca="false">IF($C249="&lt;01","",95%)</f>
        <v>0.95</v>
      </c>
      <c r="BB249" s="5" t="n">
        <f aca="false">IF($C249="&lt;01",ROUND(INDEX(EID!$T:$T,MATCH($B249,EID!$B:$B,0))/2,0),ROUND($AZ249*$BA249,0))</f>
        <v>0</v>
      </c>
      <c r="BC249" s="91" t="n">
        <f aca="false">IF(LEFT($B249,4)="_Mil","",IF(SUM($BB249)=0,SUM($AD249),IF(OR(SUM($AP249)=0,SUM($AQ249)=0),MAX($BB249,$AD249),ROUND($BB249*$AQ249/$AP249,0))))</f>
        <v>0</v>
      </c>
      <c r="BD249" s="88" t="n">
        <f aca="false">IF($C249="&lt;01","",95%)</f>
        <v>0.95</v>
      </c>
      <c r="BE249" s="39" t="n">
        <f aca="false">IF($C249="&lt;01",ROUND(INDEX(EID!$V:$V,MATCH($B249,EID!$B:$B,0))/2,0),ROUND($BD249*$BB249,0))</f>
        <v>0</v>
      </c>
      <c r="BF249" s="39" t="n">
        <f aca="false">IF(LEFT($B249,4)="_Mil","",IF(SUM($BE249)=0,SUM($AF249),IF(OR(SUM($AP249)=0,SUM($AQ249)=0),MAX($BE249,$AF249),ROUND($BE249*$AQ249/$AP249,0))))</f>
        <v>0</v>
      </c>
      <c r="BG249" s="114" t="n">
        <f aca="false">IF($C249="&lt;01","",95%)</f>
        <v>0.95</v>
      </c>
      <c r="BH249" s="5" t="n">
        <f aca="false">IF($C249="&lt;01",ROUND(INDEX(EID!$L:$L,MATCH($B249,EID!$B:$B,0)),0)/2,IF(SUM($BG249)=0,"",ROUND($AX249/$BG249,0)))</f>
        <v>0</v>
      </c>
    </row>
    <row r="250" customFormat="false" ht="15" hidden="false" customHeight="false" outlineLevel="0" collapsed="false">
      <c r="A250" s="0" t="str">
        <f aca="false">INDEX(Prioritization!$D:$D,MATCH($B250,Prioritization!$A:$A,0))</f>
        <v>1 - Scale-up: Saturation</v>
      </c>
      <c r="B250" s="0" t="s">
        <v>210</v>
      </c>
      <c r="C250" s="0" t="s">
        <v>367</v>
      </c>
      <c r="D250" s="0" t="s">
        <v>48</v>
      </c>
      <c r="E250" s="0" t="str">
        <f aca="false">$B250&amp;"|"&amp;$C250&amp;"|"&amp;$D250</f>
        <v>Balaka District [ir8wuHHzoSs]|35-49|Male</v>
      </c>
      <c r="F250" s="10"/>
      <c r="G250" s="10"/>
      <c r="H250" s="10"/>
      <c r="I250" s="10"/>
      <c r="J250" s="10"/>
      <c r="K250" s="10"/>
      <c r="L250" s="10"/>
      <c r="M250" s="10"/>
      <c r="N250" s="10"/>
      <c r="O250" s="10" t="str">
        <f aca="false">IFERROR(1/(1/MAX($I250,$N250)),"")</f>
        <v/>
      </c>
      <c r="P250" s="10"/>
      <c r="Q250" s="10"/>
      <c r="R250" s="10" t="str">
        <f aca="false">IF(AND(SUM($I250)=0,SUM($O250)=0),"",SUM($O250)-$I250)</f>
        <v/>
      </c>
      <c r="S250" s="10" t="n">
        <f aca="false">IF(LEFT($B250,4)="_Mil","",_xlfn.IFNA(ROUND(INDEX(Spectrum!$N:$N,MATCH(RIGHT($B250,13)&amp;"|"&amp;$C250&amp;"|"&amp;$D250&amp;"|"&amp;S$14&amp;"|"&amp;"CY2022Q4",Spectrum!$R:$R,0)),0),""))</f>
        <v>1925</v>
      </c>
      <c r="T250" s="39" t="n">
        <f aca="false">IF(LEFT($B250,4)="_Mil","",_xlfn.IFNA(ROUND(INDEX(Spectrum!$N:$N,MATCH(RIGHT($B250,13)&amp;"|"&amp;$C250&amp;"|"&amp;$D250&amp;"|"&amp;T$14&amp;"|"&amp;"CY2023Q3",Spectrum!$R:$R,0)),0),""))</f>
        <v>1960</v>
      </c>
      <c r="U250" s="39" t="str">
        <f aca="false">IF(LEFT($B250,4)="_Mil","",_xlfn.IFNA(ROUND(INDEX(Spectrum!$N:$N,MATCH(RIGHT($B250,13)&amp;"|"&amp;$C250&amp;"|"&amp;$D250&amp;"|"&amp;U$14&amp;"|"&amp;"CY2023Q3",Spectrum!$R:$R,0)),0),""))</f>
        <v/>
      </c>
      <c r="V250" s="10" t="n">
        <f aca="false">IF(LEFT($B250,4)="_Mil","",_xlfn.IFNA(ROUND(INDEX(Spectrum!$N:$N,MATCH(RIGHT($B250,13)&amp;"|"&amp;$C250&amp;"|"&amp;$D250&amp;"|"&amp;V$14&amp;"|"&amp;"CY2023Q3",Spectrum!$R:$R,0)),0),""))</f>
        <v>1220</v>
      </c>
      <c r="W250" s="113" t="n">
        <f aca="false">IF(LEFT($B250,4)="_Mil","",_xlfn.IFNA(INDEX(Spectrum!$N:$N,MATCH(RIGHT($B250,13)&amp;"|"&amp;$C250&amp;"|"&amp;$D250&amp;"|"&amp;W$14&amp;"|"&amp;"CY2023Q3",Spectrum!$R:$R,0)),""))</f>
        <v>1724</v>
      </c>
      <c r="X250" s="39" t="n">
        <f aca="false">IF(LEFT($B250,4)="_Mil","",_xlfn.IFNA(ROUND(INDEX(Spectrum!$N:$N,MATCH(RIGHT($B250,13)&amp;"|"&amp;$C250&amp;"|"&amp;$D250&amp;"|"&amp;X$14&amp;"|"&amp;"CY2023Q3",Spectrum!$R:$R,0)),0),""))</f>
        <v>894</v>
      </c>
      <c r="Y250" s="88" t="str">
        <f aca="false">IF(OR(SUM($U250)=0,LEFT($B250,4)="_Mil"),"",SUM($X250)/$U250)</f>
        <v/>
      </c>
      <c r="Z250" s="39" t="n">
        <f aca="false">IF(LEFT($B250,4)="_Mil","",_xlfn.IFNA(ROUND(INDEX(Spectrum!$N:$N,MATCH(RIGHT($B250,13)&amp;"|"&amp;$C250&amp;"|"&amp;$D250&amp;"|"&amp;Z$14&amp;"|"&amp;"CY2023Q3",Spectrum!$R:$R,0)),0),""))</f>
        <v>1985</v>
      </c>
      <c r="AA250" s="88" t="n">
        <f aca="false">IF(LEFT($B250,4)="_Mil","",IFERROR(1/(1/INDEX(Spectrum!$N:$N,MATCH(RIGHT($B250,13)&amp;"|"&amp;$C250&amp;"|"&amp;$D250&amp;"|"&amp;AA$14&amp;"|"&amp;"CY2023Q3",Spectrum!$R:$R,0))),IF(SUM($U250)=0,"",SUM($Z250)/$U250)))</f>
        <v>1800</v>
      </c>
      <c r="AB250" s="88" t="n">
        <f aca="false">IF(OR(LEFT($B250,4)="_Mil",SUM($X250)=0),"",SUM($Z250)/$X250)</f>
        <v>2.22035794183445</v>
      </c>
      <c r="AC250" s="10" t="n">
        <f aca="false">IF(LEFT($B250,4)="_Mil","",_xlfn.IFNA(ROUND(INDEX(Spectrum!$N:$N,MATCH(RIGHT($B250,13)&amp;"|"&amp;$C250&amp;"|"&amp;$D250&amp;"|"&amp;AC$14&amp;"|"&amp;"CY2023Q3",Spectrum!$R:$R,0)),0),""))</f>
        <v>1672</v>
      </c>
      <c r="AD250" s="10" t="str">
        <f aca="false">IF(LEFT($B250,4)="_Mil","",_xlfn.IFNA(ROUND(INDEX(Spectrum!$N:$N,MATCH(RIGHT($B250,13)&amp;"|"&amp;$C250&amp;"|"&amp;$D250&amp;"|"&amp;AD$14&amp;"|"&amp;"CY2023Q3",Spectrum!$R:$R,0)),0),""))</f>
        <v/>
      </c>
      <c r="AE250" s="88" t="n">
        <f aca="false">IF(OR(LEFT($B250,4)="_Mil",SUM($Z250)=0),"",SUM($AD250)/$Z250)</f>
        <v>0</v>
      </c>
      <c r="AF250" s="39" t="str">
        <f aca="false">IF(LEFT($B250,4)="_Mil","",_xlfn.IFNA(ROUND(INDEX(Spectrum!$N:$N,MATCH(RIGHT($B250,13)&amp;"|"&amp;$C250&amp;"|"&amp;$D250&amp;"|"&amp;AF$14&amp;"|"&amp;"CY2023Q3",Spectrum!$R:$R,0)),0),""))</f>
        <v/>
      </c>
      <c r="AG250" s="88" t="str">
        <f aca="false">IF(OR(LEFT($B250,4)="_Mil",SUM($AD250)=0),"",SUM($AF250)/$AD250)</f>
        <v/>
      </c>
      <c r="AH250" s="86" t="str">
        <f aca="false">IF(LEFT($B250,4)="_Mil","",_xlfn.IFNA(INDEX(Spectrum!$N:$N,MATCH(RIGHT($B250,13)&amp;"|"&amp;$C250&amp;"|"&amp;$D250&amp;"|"&amp;AH$14&amp;"|"&amp;"CY2023Q3",Spectrum!$R:$R,0)),""))</f>
        <v/>
      </c>
      <c r="AI250" s="10" t="str">
        <f aca="false">IF(LEFT($B250,4)="_Mil","",_xlfn.IFNA(ROUND(INDEX(Spectrum!$N:$N,MATCH(RIGHT($B250,13)&amp;"|"&amp;$C250&amp;"|"&amp;$D250&amp;"|"&amp;AI$14&amp;"|"&amp;"CY2023Q3",Spectrum!$R:$R,0)),0),""))</f>
        <v/>
      </c>
      <c r="AJ250" s="39" t="n">
        <f aca="false">IF(LEFT($B250,4)="_Mil","",_xlfn.IFNA(ROUND(INDEX(Spectrum!$N:$N,MATCH(RIGHT($B250,13)&amp;"|"&amp;$C250&amp;"|"&amp;$D250&amp;"|"&amp;AI$14&amp;"|"&amp;"CY2023Q3",Spectrum!$R:$R,0)),0),SUM($U250)+SUM($AI250)))</f>
        <v>0</v>
      </c>
      <c r="AK250" s="10" t="str">
        <f aca="false">IF(LEFT($B250,4)="_Mil","",_xlfn.IFNA(ROUND(INDEX(Spectrum!$N:$N,MATCH(RIGHT($B250,13)&amp;"|"&amp;$C250&amp;"|"&amp;$D250&amp;"|"&amp;AK$14&amp;"|"&amp;"CY2023Q3",Spectrum!$R:$R,0)),0),""))</f>
        <v/>
      </c>
      <c r="AL250" s="88" t="n">
        <f aca="false">IF(OR(LEFT($B250,4)="_Mil",$C250="&lt;01"),"",MAX(SUM($AA250),90%))</f>
        <v>1800</v>
      </c>
      <c r="AM250" s="10" t="n">
        <f aca="false">IF(OR(LEFT($B250,4)="_Mil",$C250="&lt;01"),"",ROUND(SUM($AJ250)*SUM($AL250),0))</f>
        <v>0</v>
      </c>
      <c r="AN250" s="10" t="str">
        <f aca="false">IF($C250="&lt;01",ROUND(INDEX(EID!$P:$P,MATCH($B250,EID!$B:$B,0))/2,0),"")</f>
        <v/>
      </c>
      <c r="AO250" s="10" t="n">
        <f aca="false">IF($C250="&lt;01",SUM($AN250),ROUND(SUM($AM250)*SUM($O250)/IF(SUM($Z250)=0,1,$Z250),0))</f>
        <v>0</v>
      </c>
      <c r="AP250" s="39" t="n">
        <f aca="false">IF(OR($F250="",$C250="&lt;01"),$AO250,$F250)</f>
        <v>0</v>
      </c>
      <c r="AQ250" s="39" t="n">
        <f aca="false">IF(LEFT($B250,4)="_Mil","",IF(SUM($AP250)=0,SUM($Z250),IF(OR(SUM($Z250)=0,SUM($O250)=0),MAX($AP250,$Z250),$AP250*$Z250/$O250)))</f>
        <v>1985</v>
      </c>
      <c r="AR250" s="88" t="str">
        <f aca="false">IF(OR(LEFT($B250,4)="_Mil",SUM($AJ250)=0),"",SUM($AQ250)/$AJ250)</f>
        <v/>
      </c>
      <c r="AS250" s="88" t="n">
        <f aca="false">IF($C250="&lt;01","",98%)</f>
        <v>0.98</v>
      </c>
      <c r="AT250" s="88" t="n">
        <f aca="false">IF($C250="&lt;01","",98%)</f>
        <v>0.98</v>
      </c>
      <c r="AU250" s="10" t="n">
        <f aca="false">IF($C250="&lt;01","",SUM($AP250)-SUM($O250))</f>
        <v>0</v>
      </c>
      <c r="AV250" s="10" t="n">
        <f aca="false">IF($C250="&lt;01",ROUND(INDEX(EID!$N:$N,MATCH($B250,EID!$B:$B,0))/2,0),IF(SUM($AT250)=0,"",ROUND((SUM($AP250)-(SUM($O250)*SUM($AS250)))/$AT250,0)))</f>
        <v>0</v>
      </c>
      <c r="AW250" s="88" t="n">
        <f aca="false">IF($C250="&lt;01","",100%)</f>
        <v>1</v>
      </c>
      <c r="AX250" s="39" t="n">
        <f aca="false">IF($C250="&lt;01",SUM($AV250),ROUND(SUM($AV250)*SUM($AW250),0))</f>
        <v>0</v>
      </c>
      <c r="AY250" s="114" t="n">
        <f aca="false">IF($C250="&lt;01","",70%)</f>
        <v>0.7</v>
      </c>
      <c r="AZ250" s="91" t="n">
        <f aca="false">IF($C250="&lt;01",ROUND(INDEX(EID!$R:$R,MATCH($B250,EID!$B:$B,0))/2,0),ROUND(SUM($O250)+(SUM($AV250)*$AY250),0))</f>
        <v>0</v>
      </c>
      <c r="BA250" s="87" t="n">
        <f aca="false">IF($C250="&lt;01","",95%)</f>
        <v>0.95</v>
      </c>
      <c r="BB250" s="5" t="n">
        <f aca="false">IF($C250="&lt;01",ROUND(INDEX(EID!$T:$T,MATCH($B250,EID!$B:$B,0))/2,0),ROUND($AZ250*$BA250,0))</f>
        <v>0</v>
      </c>
      <c r="BC250" s="91" t="n">
        <f aca="false">IF(LEFT($B250,4)="_Mil","",IF(SUM($BB250)=0,SUM($AD250),IF(OR(SUM($AP250)=0,SUM($AQ250)=0),MAX($BB250,$AD250),ROUND($BB250*$AQ250/$AP250,0))))</f>
        <v>0</v>
      </c>
      <c r="BD250" s="88" t="n">
        <f aca="false">IF($C250="&lt;01","",95%)</f>
        <v>0.95</v>
      </c>
      <c r="BE250" s="39" t="n">
        <f aca="false">IF($C250="&lt;01",ROUND(INDEX(EID!$V:$V,MATCH($B250,EID!$B:$B,0))/2,0),ROUND($BD250*$BB250,0))</f>
        <v>0</v>
      </c>
      <c r="BF250" s="39" t="n">
        <f aca="false">IF(LEFT($B250,4)="_Mil","",IF(SUM($BE250)=0,SUM($AF250),IF(OR(SUM($AP250)=0,SUM($AQ250)=0),MAX($BE250,$AF250),ROUND($BE250*$AQ250/$AP250,0))))</f>
        <v>0</v>
      </c>
      <c r="BG250" s="114" t="n">
        <f aca="false">IF($C250="&lt;01","",95%)</f>
        <v>0.95</v>
      </c>
      <c r="BH250" s="5" t="n">
        <f aca="false">IF($C250="&lt;01",ROUND(INDEX(EID!$L:$L,MATCH($B250,EID!$B:$B,0)),0)/2,IF(SUM($BG250)=0,"",ROUND($AX250/$BG250,0)))</f>
        <v>0</v>
      </c>
    </row>
    <row r="251" customFormat="false" ht="15" hidden="false" customHeight="false" outlineLevel="0" collapsed="false">
      <c r="A251" s="0" t="str">
        <f aca="false">INDEX(Prioritization!$D:$D,MATCH($B251,Prioritization!$A:$A,0))</f>
        <v>1 - Scale-up: Saturation</v>
      </c>
      <c r="B251" s="0" t="s">
        <v>210</v>
      </c>
      <c r="C251" s="0" t="s">
        <v>368</v>
      </c>
      <c r="D251" s="0" t="s">
        <v>30</v>
      </c>
      <c r="E251" s="0" t="str">
        <f aca="false">$B251&amp;"|"&amp;$C251&amp;"|"&amp;$D251</f>
        <v>Balaka District [ir8wuHHzoSs]|50+|Female</v>
      </c>
      <c r="F251" s="10"/>
      <c r="G251" s="10"/>
      <c r="H251" s="10"/>
      <c r="I251" s="10"/>
      <c r="J251" s="10"/>
      <c r="K251" s="10"/>
      <c r="L251" s="10"/>
      <c r="M251" s="10"/>
      <c r="N251" s="10"/>
      <c r="O251" s="10" t="str">
        <f aca="false">IFERROR(1/(1/MAX($I251,$N251)),"")</f>
        <v/>
      </c>
      <c r="P251" s="10"/>
      <c r="Q251" s="10"/>
      <c r="R251" s="10" t="str">
        <f aca="false">IF(AND(SUM($I251)=0,SUM($O251)=0),"",SUM($O251)-$I251)</f>
        <v/>
      </c>
      <c r="S251" s="10" t="n">
        <f aca="false">IF(LEFT($B251,4)="_Mil","",_xlfn.IFNA(ROUND(INDEX(Spectrum!$N:$N,MATCH(RIGHT($B251,13)&amp;"|"&amp;$C251&amp;"|"&amp;$D251&amp;"|"&amp;S$14&amp;"|"&amp;"CY2022Q4",Spectrum!$R:$R,0)),0),""))</f>
        <v>937</v>
      </c>
      <c r="T251" s="39" t="n">
        <f aca="false">IF(LEFT($B251,4)="_Mil","",_xlfn.IFNA(ROUND(INDEX(Spectrum!$N:$N,MATCH(RIGHT($B251,13)&amp;"|"&amp;$C251&amp;"|"&amp;$D251&amp;"|"&amp;T$14&amp;"|"&amp;"CY2023Q3",Spectrum!$R:$R,0)),0),""))</f>
        <v>1618</v>
      </c>
      <c r="U251" s="39" t="str">
        <f aca="false">IF(LEFT($B251,4)="_Mil","",_xlfn.IFNA(ROUND(INDEX(Spectrum!$N:$N,MATCH(RIGHT($B251,13)&amp;"|"&amp;$C251&amp;"|"&amp;$D251&amp;"|"&amp;U$14&amp;"|"&amp;"CY2023Q3",Spectrum!$R:$R,0)),0),""))</f>
        <v/>
      </c>
      <c r="V251" s="10" t="n">
        <f aca="false">IF(LEFT($B251,4)="_Mil","",_xlfn.IFNA(ROUND(INDEX(Spectrum!$N:$N,MATCH(RIGHT($B251,13)&amp;"|"&amp;$C251&amp;"|"&amp;$D251&amp;"|"&amp;V$14&amp;"|"&amp;"CY2023Q3",Spectrum!$R:$R,0)),0),""))</f>
        <v>615</v>
      </c>
      <c r="W251" s="113" t="n">
        <f aca="false">IF(LEFT($B251,4)="_Mil","",_xlfn.IFNA(INDEX(Spectrum!$N:$N,MATCH(RIGHT($B251,13)&amp;"|"&amp;$C251&amp;"|"&amp;$D251&amp;"|"&amp;W$14&amp;"|"&amp;"CY2023Q3",Spectrum!$R:$R,0)),""))</f>
        <v>1737</v>
      </c>
      <c r="X251" s="39" t="n">
        <f aca="false">IF(LEFT($B251,4)="_Mil","",_xlfn.IFNA(ROUND(INDEX(Spectrum!$N:$N,MATCH(RIGHT($B251,13)&amp;"|"&amp;$C251&amp;"|"&amp;$D251&amp;"|"&amp;X$14&amp;"|"&amp;"CY2023Q3",Spectrum!$R:$R,0)),0),""))</f>
        <v>1334</v>
      </c>
      <c r="Y251" s="88" t="str">
        <f aca="false">IF(OR(SUM($U251)=0,LEFT($B251,4)="_Mil"),"",SUM($X251)/$U251)</f>
        <v/>
      </c>
      <c r="Z251" s="39" t="n">
        <f aca="false">IF(LEFT($B251,4)="_Mil","",_xlfn.IFNA(ROUND(INDEX(Spectrum!$N:$N,MATCH(RIGHT($B251,13)&amp;"|"&amp;$C251&amp;"|"&amp;$D251&amp;"|"&amp;Z$14&amp;"|"&amp;"CY2023Q3",Spectrum!$R:$R,0)),0),""))</f>
        <v>1236</v>
      </c>
      <c r="AA251" s="88" t="n">
        <f aca="false">IF(LEFT($B251,4)="_Mil","",IFERROR(1/(1/INDEX(Spectrum!$N:$N,MATCH(RIGHT($B251,13)&amp;"|"&amp;$C251&amp;"|"&amp;$D251&amp;"|"&amp;AA$14&amp;"|"&amp;"CY2023Q3",Spectrum!$R:$R,0))),IF(SUM($U251)=0,"",SUM($Z251)/$U251)))</f>
        <v>1763</v>
      </c>
      <c r="AB251" s="88" t="n">
        <f aca="false">IF(OR(LEFT($B251,4)="_Mil",SUM($X251)=0),"",SUM($Z251)/$X251)</f>
        <v>0.926536731634183</v>
      </c>
      <c r="AC251" s="10" t="n">
        <f aca="false">IF(LEFT($B251,4)="_Mil","",_xlfn.IFNA(ROUND(INDEX(Spectrum!$N:$N,MATCH(RIGHT($B251,13)&amp;"|"&amp;$C251&amp;"|"&amp;$D251&amp;"|"&amp;AC$14&amp;"|"&amp;"CY2023Q3",Spectrum!$R:$R,0)),0),""))</f>
        <v>857</v>
      </c>
      <c r="AD251" s="10" t="str">
        <f aca="false">IF(LEFT($B251,4)="_Mil","",_xlfn.IFNA(ROUND(INDEX(Spectrum!$N:$N,MATCH(RIGHT($B251,13)&amp;"|"&amp;$C251&amp;"|"&amp;$D251&amp;"|"&amp;AD$14&amp;"|"&amp;"CY2023Q3",Spectrum!$R:$R,0)),0),""))</f>
        <v/>
      </c>
      <c r="AE251" s="88" t="n">
        <f aca="false">IF(OR(LEFT($B251,4)="_Mil",SUM($Z251)=0),"",SUM($AD251)/$Z251)</f>
        <v>0</v>
      </c>
      <c r="AF251" s="39" t="str">
        <f aca="false">IF(LEFT($B251,4)="_Mil","",_xlfn.IFNA(ROUND(INDEX(Spectrum!$N:$N,MATCH(RIGHT($B251,13)&amp;"|"&amp;$C251&amp;"|"&amp;$D251&amp;"|"&amp;AF$14&amp;"|"&amp;"CY2023Q3",Spectrum!$R:$R,0)),0),""))</f>
        <v/>
      </c>
      <c r="AG251" s="88" t="str">
        <f aca="false">IF(OR(LEFT($B251,4)="_Mil",SUM($AD251)=0),"",SUM($AF251)/$AD251)</f>
        <v/>
      </c>
      <c r="AH251" s="86" t="str">
        <f aca="false">IF(LEFT($B251,4)="_Mil","",_xlfn.IFNA(INDEX(Spectrum!$N:$N,MATCH(RIGHT($B251,13)&amp;"|"&amp;$C251&amp;"|"&amp;$D251&amp;"|"&amp;AH$14&amp;"|"&amp;"CY2023Q3",Spectrum!$R:$R,0)),""))</f>
        <v/>
      </c>
      <c r="AI251" s="10" t="str">
        <f aca="false">IF(LEFT($B251,4)="_Mil","",_xlfn.IFNA(ROUND(INDEX(Spectrum!$N:$N,MATCH(RIGHT($B251,13)&amp;"|"&amp;$C251&amp;"|"&amp;$D251&amp;"|"&amp;AI$14&amp;"|"&amp;"CY2023Q3",Spectrum!$R:$R,0)),0),""))</f>
        <v/>
      </c>
      <c r="AJ251" s="39" t="n">
        <f aca="false">IF(LEFT($B251,4)="_Mil","",_xlfn.IFNA(ROUND(INDEX(Spectrum!$N:$N,MATCH(RIGHT($B251,13)&amp;"|"&amp;$C251&amp;"|"&amp;$D251&amp;"|"&amp;AI$14&amp;"|"&amp;"CY2023Q3",Spectrum!$R:$R,0)),0),SUM($U251)+SUM($AI251)))</f>
        <v>0</v>
      </c>
      <c r="AK251" s="10" t="str">
        <f aca="false">IF(LEFT($B251,4)="_Mil","",_xlfn.IFNA(ROUND(INDEX(Spectrum!$N:$N,MATCH(RIGHT($B251,13)&amp;"|"&amp;$C251&amp;"|"&amp;$D251&amp;"|"&amp;AK$14&amp;"|"&amp;"CY2023Q3",Spectrum!$R:$R,0)),0),""))</f>
        <v/>
      </c>
      <c r="AL251" s="88" t="n">
        <f aca="false">IF(OR(LEFT($B251,4)="_Mil",$C251="&lt;01"),"",MAX(SUM($AA251),90%))</f>
        <v>1763</v>
      </c>
      <c r="AM251" s="10" t="n">
        <f aca="false">IF(OR(LEFT($B251,4)="_Mil",$C251="&lt;01"),"",ROUND(SUM($AJ251)*SUM($AL251),0))</f>
        <v>0</v>
      </c>
      <c r="AN251" s="10" t="str">
        <f aca="false">IF($C251="&lt;01",ROUND(INDEX(EID!$P:$P,MATCH($B251,EID!$B:$B,0))/2,0),"")</f>
        <v/>
      </c>
      <c r="AO251" s="10" t="n">
        <f aca="false">IF($C251="&lt;01",SUM($AN251),ROUND(SUM($AM251)*SUM($O251)/IF(SUM($Z251)=0,1,$Z251),0))</f>
        <v>0</v>
      </c>
      <c r="AP251" s="39" t="n">
        <f aca="false">IF(OR($F251="",$C251="&lt;01"),$AO251,$F251)</f>
        <v>0</v>
      </c>
      <c r="AQ251" s="39" t="n">
        <f aca="false">IF(LEFT($B251,4)="_Mil","",IF(SUM($AP251)=0,SUM($Z251),IF(OR(SUM($Z251)=0,SUM($O251)=0),MAX($AP251,$Z251),$AP251*$Z251/$O251)))</f>
        <v>1236</v>
      </c>
      <c r="AR251" s="88" t="str">
        <f aca="false">IF(OR(LEFT($B251,4)="_Mil",SUM($AJ251)=0),"",SUM($AQ251)/$AJ251)</f>
        <v/>
      </c>
      <c r="AS251" s="88" t="n">
        <f aca="false">IF($C251="&lt;01","",98%)</f>
        <v>0.98</v>
      </c>
      <c r="AT251" s="88" t="n">
        <f aca="false">IF($C251="&lt;01","",98%)</f>
        <v>0.98</v>
      </c>
      <c r="AU251" s="10" t="n">
        <f aca="false">IF($C251="&lt;01","",SUM($AP251)-SUM($O251))</f>
        <v>0</v>
      </c>
      <c r="AV251" s="10" t="n">
        <f aca="false">IF($C251="&lt;01",ROUND(INDEX(EID!$N:$N,MATCH($B251,EID!$B:$B,0))/2,0),IF(SUM($AT251)=0,"",ROUND((SUM($AP251)-(SUM($O251)*SUM($AS251)))/$AT251,0)))</f>
        <v>0</v>
      </c>
      <c r="AW251" s="88" t="n">
        <f aca="false">IF($C251="&lt;01","",100%)</f>
        <v>1</v>
      </c>
      <c r="AX251" s="39" t="n">
        <f aca="false">IF($C251="&lt;01",SUM($AV251),ROUND(SUM($AV251)*SUM($AW251),0))</f>
        <v>0</v>
      </c>
      <c r="AY251" s="114" t="n">
        <f aca="false">IF($C251="&lt;01","",70%)</f>
        <v>0.7</v>
      </c>
      <c r="AZ251" s="91" t="n">
        <f aca="false">IF($C251="&lt;01",ROUND(INDEX(EID!$R:$R,MATCH($B251,EID!$B:$B,0))/2,0),ROUND(SUM($O251)+(SUM($AV251)*$AY251),0))</f>
        <v>0</v>
      </c>
      <c r="BA251" s="87" t="n">
        <f aca="false">IF($C251="&lt;01","",95%)</f>
        <v>0.95</v>
      </c>
      <c r="BB251" s="5" t="n">
        <f aca="false">IF($C251="&lt;01",ROUND(INDEX(EID!$T:$T,MATCH($B251,EID!$B:$B,0))/2,0),ROUND($AZ251*$BA251,0))</f>
        <v>0</v>
      </c>
      <c r="BC251" s="91" t="n">
        <f aca="false">IF(LEFT($B251,4)="_Mil","",IF(SUM($BB251)=0,SUM($AD251),IF(OR(SUM($AP251)=0,SUM($AQ251)=0),MAX($BB251,$AD251),ROUND($BB251*$AQ251/$AP251,0))))</f>
        <v>0</v>
      </c>
      <c r="BD251" s="88" t="n">
        <f aca="false">IF($C251="&lt;01","",95%)</f>
        <v>0.95</v>
      </c>
      <c r="BE251" s="39" t="n">
        <f aca="false">IF($C251="&lt;01",ROUND(INDEX(EID!$V:$V,MATCH($B251,EID!$B:$B,0))/2,0),ROUND($BD251*$BB251,0))</f>
        <v>0</v>
      </c>
      <c r="BF251" s="39" t="n">
        <f aca="false">IF(LEFT($B251,4)="_Mil","",IF(SUM($BE251)=0,SUM($AF251),IF(OR(SUM($AP251)=0,SUM($AQ251)=0),MAX($BE251,$AF251),ROUND($BE251*$AQ251/$AP251,0))))</f>
        <v>0</v>
      </c>
      <c r="BG251" s="114" t="n">
        <f aca="false">IF($C251="&lt;01","",95%)</f>
        <v>0.95</v>
      </c>
      <c r="BH251" s="5" t="n">
        <f aca="false">IF($C251="&lt;01",ROUND(INDEX(EID!$L:$L,MATCH($B251,EID!$B:$B,0)),0)/2,IF(SUM($BG251)=0,"",ROUND($AX251/$BG251,0)))</f>
        <v>0</v>
      </c>
    </row>
    <row r="252" customFormat="false" ht="15" hidden="false" customHeight="false" outlineLevel="0" collapsed="false">
      <c r="A252" s="0" t="str">
        <f aca="false">INDEX(Prioritization!$D:$D,MATCH($B252,Prioritization!$A:$A,0))</f>
        <v>1 - Scale-up: Saturation</v>
      </c>
      <c r="B252" s="0" t="s">
        <v>210</v>
      </c>
      <c r="C252" s="0" t="s">
        <v>368</v>
      </c>
      <c r="D252" s="0" t="s">
        <v>48</v>
      </c>
      <c r="E252" s="0" t="str">
        <f aca="false">$B252&amp;"|"&amp;$C252&amp;"|"&amp;$D252</f>
        <v>Balaka District [ir8wuHHzoSs]|50+|Male</v>
      </c>
      <c r="F252" s="10"/>
      <c r="G252" s="10"/>
      <c r="H252" s="10"/>
      <c r="I252" s="10"/>
      <c r="J252" s="10"/>
      <c r="K252" s="10"/>
      <c r="L252" s="10"/>
      <c r="M252" s="10"/>
      <c r="N252" s="10"/>
      <c r="O252" s="10" t="str">
        <f aca="false">IFERROR(1/(1/MAX($I252,$N252)),"")</f>
        <v/>
      </c>
      <c r="P252" s="10"/>
      <c r="Q252" s="10"/>
      <c r="R252" s="10" t="str">
        <f aca="false">IF(AND(SUM($I252)=0,SUM($O252)=0),"",SUM($O252)-$I252)</f>
        <v/>
      </c>
      <c r="S252" s="10" t="n">
        <f aca="false">IF(LEFT($B252,4)="_Mil","",_xlfn.IFNA(ROUND(INDEX(Spectrum!$N:$N,MATCH(RIGHT($B252,13)&amp;"|"&amp;$C252&amp;"|"&amp;$D252&amp;"|"&amp;S$14&amp;"|"&amp;"CY2022Q4",Spectrum!$R:$R,0)),0),""))</f>
        <v>789</v>
      </c>
      <c r="T252" s="39" t="n">
        <f aca="false">IF(LEFT($B252,4)="_Mil","",_xlfn.IFNA(ROUND(INDEX(Spectrum!$N:$N,MATCH(RIGHT($B252,13)&amp;"|"&amp;$C252&amp;"|"&amp;$D252&amp;"|"&amp;T$14&amp;"|"&amp;"CY2023Q3",Spectrum!$R:$R,0)),0),""))</f>
        <v>517</v>
      </c>
      <c r="U252" s="39" t="str">
        <f aca="false">IF(LEFT($B252,4)="_Mil","",_xlfn.IFNA(ROUND(INDEX(Spectrum!$N:$N,MATCH(RIGHT($B252,13)&amp;"|"&amp;$C252&amp;"|"&amp;$D252&amp;"|"&amp;U$14&amp;"|"&amp;"CY2023Q3",Spectrum!$R:$R,0)),0),""))</f>
        <v/>
      </c>
      <c r="V252" s="10" t="n">
        <f aca="false">IF(LEFT($B252,4)="_Mil","",_xlfn.IFNA(ROUND(INDEX(Spectrum!$N:$N,MATCH(RIGHT($B252,13)&amp;"|"&amp;$C252&amp;"|"&amp;$D252&amp;"|"&amp;V$14&amp;"|"&amp;"CY2023Q3",Spectrum!$R:$R,0)),0),""))</f>
        <v>787</v>
      </c>
      <c r="W252" s="113" t="n">
        <f aca="false">IF(LEFT($B252,4)="_Mil","",_xlfn.IFNA(INDEX(Spectrum!$N:$N,MATCH(RIGHT($B252,13)&amp;"|"&amp;$C252&amp;"|"&amp;$D252&amp;"|"&amp;W$14&amp;"|"&amp;"CY2023Q3",Spectrum!$R:$R,0)),""))</f>
        <v>666</v>
      </c>
      <c r="X252" s="39" t="n">
        <f aca="false">IF(LEFT($B252,4)="_Mil","",_xlfn.IFNA(ROUND(INDEX(Spectrum!$N:$N,MATCH(RIGHT($B252,13)&amp;"|"&amp;$C252&amp;"|"&amp;$D252&amp;"|"&amp;X$14&amp;"|"&amp;"CY2023Q3",Spectrum!$R:$R,0)),0),""))</f>
        <v>1836</v>
      </c>
      <c r="Y252" s="88" t="str">
        <f aca="false">IF(OR(SUM($U252)=0,LEFT($B252,4)="_Mil"),"",SUM($X252)/$U252)</f>
        <v/>
      </c>
      <c r="Z252" s="39" t="n">
        <f aca="false">IF(LEFT($B252,4)="_Mil","",_xlfn.IFNA(ROUND(INDEX(Spectrum!$N:$N,MATCH(RIGHT($B252,13)&amp;"|"&amp;$C252&amp;"|"&amp;$D252&amp;"|"&amp;Z$14&amp;"|"&amp;"CY2023Q3",Spectrum!$R:$R,0)),0),""))</f>
        <v>1557</v>
      </c>
      <c r="AA252" s="88" t="n">
        <f aca="false">IF(LEFT($B252,4)="_Mil","",IFERROR(1/(1/INDEX(Spectrum!$N:$N,MATCH(RIGHT($B252,13)&amp;"|"&amp;$C252&amp;"|"&amp;$D252&amp;"|"&amp;AA$14&amp;"|"&amp;"CY2023Q3",Spectrum!$R:$R,0))),IF(SUM($U252)=0,"",SUM($Z252)/$U252)))</f>
        <v>1036</v>
      </c>
      <c r="AB252" s="88" t="n">
        <f aca="false">IF(OR(LEFT($B252,4)="_Mil",SUM($X252)=0),"",SUM($Z252)/$X252)</f>
        <v>0.848039215686275</v>
      </c>
      <c r="AC252" s="10" t="n">
        <f aca="false">IF(LEFT($B252,4)="_Mil","",_xlfn.IFNA(ROUND(INDEX(Spectrum!$N:$N,MATCH(RIGHT($B252,13)&amp;"|"&amp;$C252&amp;"|"&amp;$D252&amp;"|"&amp;AC$14&amp;"|"&amp;"CY2023Q3",Spectrum!$R:$R,0)),0),""))</f>
        <v>1418</v>
      </c>
      <c r="AD252" s="10" t="str">
        <f aca="false">IF(LEFT($B252,4)="_Mil","",_xlfn.IFNA(ROUND(INDEX(Spectrum!$N:$N,MATCH(RIGHT($B252,13)&amp;"|"&amp;$C252&amp;"|"&amp;$D252&amp;"|"&amp;AD$14&amp;"|"&amp;"CY2023Q3",Spectrum!$R:$R,0)),0),""))</f>
        <v/>
      </c>
      <c r="AE252" s="88" t="n">
        <f aca="false">IF(OR(LEFT($B252,4)="_Mil",SUM($Z252)=0),"",SUM($AD252)/$Z252)</f>
        <v>0</v>
      </c>
      <c r="AF252" s="39" t="str">
        <f aca="false">IF(LEFT($B252,4)="_Mil","",_xlfn.IFNA(ROUND(INDEX(Spectrum!$N:$N,MATCH(RIGHT($B252,13)&amp;"|"&amp;$C252&amp;"|"&amp;$D252&amp;"|"&amp;AF$14&amp;"|"&amp;"CY2023Q3",Spectrum!$R:$R,0)),0),""))</f>
        <v/>
      </c>
      <c r="AG252" s="88" t="str">
        <f aca="false">IF(OR(LEFT($B252,4)="_Mil",SUM($AD252)=0),"",SUM($AF252)/$AD252)</f>
        <v/>
      </c>
      <c r="AH252" s="86" t="str">
        <f aca="false">IF(LEFT($B252,4)="_Mil","",_xlfn.IFNA(INDEX(Spectrum!$N:$N,MATCH(RIGHT($B252,13)&amp;"|"&amp;$C252&amp;"|"&amp;$D252&amp;"|"&amp;AH$14&amp;"|"&amp;"CY2023Q3",Spectrum!$R:$R,0)),""))</f>
        <v/>
      </c>
      <c r="AI252" s="10" t="str">
        <f aca="false">IF(LEFT($B252,4)="_Mil","",_xlfn.IFNA(ROUND(INDEX(Spectrum!$N:$N,MATCH(RIGHT($B252,13)&amp;"|"&amp;$C252&amp;"|"&amp;$D252&amp;"|"&amp;AI$14&amp;"|"&amp;"CY2023Q3",Spectrum!$R:$R,0)),0),""))</f>
        <v/>
      </c>
      <c r="AJ252" s="39" t="n">
        <f aca="false">IF(LEFT($B252,4)="_Mil","",_xlfn.IFNA(ROUND(INDEX(Spectrum!$N:$N,MATCH(RIGHT($B252,13)&amp;"|"&amp;$C252&amp;"|"&amp;$D252&amp;"|"&amp;AI$14&amp;"|"&amp;"CY2023Q3",Spectrum!$R:$R,0)),0),SUM($U252)+SUM($AI252)))</f>
        <v>0</v>
      </c>
      <c r="AK252" s="10" t="str">
        <f aca="false">IF(LEFT($B252,4)="_Mil","",_xlfn.IFNA(ROUND(INDEX(Spectrum!$N:$N,MATCH(RIGHT($B252,13)&amp;"|"&amp;$C252&amp;"|"&amp;$D252&amp;"|"&amp;AK$14&amp;"|"&amp;"CY2023Q3",Spectrum!$R:$R,0)),0),""))</f>
        <v/>
      </c>
      <c r="AL252" s="88" t="n">
        <f aca="false">IF(OR(LEFT($B252,4)="_Mil",$C252="&lt;01"),"",MAX(SUM($AA252),90%))</f>
        <v>1036</v>
      </c>
      <c r="AM252" s="10" t="n">
        <f aca="false">IF(OR(LEFT($B252,4)="_Mil",$C252="&lt;01"),"",ROUND(SUM($AJ252)*SUM($AL252),0))</f>
        <v>0</v>
      </c>
      <c r="AN252" s="10" t="str">
        <f aca="false">IF($C252="&lt;01",ROUND(INDEX(EID!$P:$P,MATCH($B252,EID!$B:$B,0))/2,0),"")</f>
        <v/>
      </c>
      <c r="AO252" s="10" t="n">
        <f aca="false">IF($C252="&lt;01",SUM($AN252),ROUND(SUM($AM252)*SUM($O252)/IF(SUM($Z252)=0,1,$Z252),0))</f>
        <v>0</v>
      </c>
      <c r="AP252" s="39" t="n">
        <f aca="false">IF(OR($F252="",$C252="&lt;01"),$AO252,$F252)</f>
        <v>0</v>
      </c>
      <c r="AQ252" s="39" t="n">
        <f aca="false">IF(LEFT($B252,4)="_Mil","",IF(SUM($AP252)=0,SUM($Z252),IF(OR(SUM($Z252)=0,SUM($O252)=0),MAX($AP252,$Z252),$AP252*$Z252/$O252)))</f>
        <v>1557</v>
      </c>
      <c r="AR252" s="88" t="str">
        <f aca="false">IF(OR(LEFT($B252,4)="_Mil",SUM($AJ252)=0),"",SUM($AQ252)/$AJ252)</f>
        <v/>
      </c>
      <c r="AS252" s="88" t="n">
        <f aca="false">IF($C252="&lt;01","",98%)</f>
        <v>0.98</v>
      </c>
      <c r="AT252" s="88" t="n">
        <f aca="false">IF($C252="&lt;01","",98%)</f>
        <v>0.98</v>
      </c>
      <c r="AU252" s="10" t="n">
        <f aca="false">IF($C252="&lt;01","",SUM($AP252)-SUM($O252))</f>
        <v>0</v>
      </c>
      <c r="AV252" s="10" t="n">
        <f aca="false">IF($C252="&lt;01",ROUND(INDEX(EID!$N:$N,MATCH($B252,EID!$B:$B,0))/2,0),IF(SUM($AT252)=0,"",ROUND((SUM($AP252)-(SUM($O252)*SUM($AS252)))/$AT252,0)))</f>
        <v>0</v>
      </c>
      <c r="AW252" s="88" t="n">
        <f aca="false">IF($C252="&lt;01","",100%)</f>
        <v>1</v>
      </c>
      <c r="AX252" s="39" t="n">
        <f aca="false">IF($C252="&lt;01",SUM($AV252),ROUND(SUM($AV252)*SUM($AW252),0))</f>
        <v>0</v>
      </c>
      <c r="AY252" s="114" t="n">
        <f aca="false">IF($C252="&lt;01","",70%)</f>
        <v>0.7</v>
      </c>
      <c r="AZ252" s="91" t="n">
        <f aca="false">IF($C252="&lt;01",ROUND(INDEX(EID!$R:$R,MATCH($B252,EID!$B:$B,0))/2,0),ROUND(SUM($O252)+(SUM($AV252)*$AY252),0))</f>
        <v>0</v>
      </c>
      <c r="BA252" s="87" t="n">
        <f aca="false">IF($C252="&lt;01","",95%)</f>
        <v>0.95</v>
      </c>
      <c r="BB252" s="5" t="n">
        <f aca="false">IF($C252="&lt;01",ROUND(INDEX(EID!$T:$T,MATCH($B252,EID!$B:$B,0))/2,0),ROUND($AZ252*$BA252,0))</f>
        <v>0</v>
      </c>
      <c r="BC252" s="91" t="n">
        <f aca="false">IF(LEFT($B252,4)="_Mil","",IF(SUM($BB252)=0,SUM($AD252),IF(OR(SUM($AP252)=0,SUM($AQ252)=0),MAX($BB252,$AD252),ROUND($BB252*$AQ252/$AP252,0))))</f>
        <v>0</v>
      </c>
      <c r="BD252" s="88" t="n">
        <f aca="false">IF($C252="&lt;01","",95%)</f>
        <v>0.95</v>
      </c>
      <c r="BE252" s="39" t="n">
        <f aca="false">IF($C252="&lt;01",ROUND(INDEX(EID!$V:$V,MATCH($B252,EID!$B:$B,0))/2,0),ROUND($BD252*$BB252,0))</f>
        <v>0</v>
      </c>
      <c r="BF252" s="39" t="n">
        <f aca="false">IF(LEFT($B252,4)="_Mil","",IF(SUM($BE252)=0,SUM($AF252),IF(OR(SUM($AP252)=0,SUM($AQ252)=0),MAX($BE252,$AF252),ROUND($BE252*$AQ252/$AP252,0))))</f>
        <v>0</v>
      </c>
      <c r="BG252" s="114" t="n">
        <f aca="false">IF($C252="&lt;01","",95%)</f>
        <v>0.95</v>
      </c>
      <c r="BH252" s="5" t="n">
        <f aca="false">IF($C252="&lt;01",ROUND(INDEX(EID!$L:$L,MATCH($B252,EID!$B:$B,0)),0)/2,IF(SUM($BG252)=0,"",ROUND($AX252/$BG252,0)))</f>
        <v>0</v>
      </c>
    </row>
    <row r="253" customFormat="false" ht="15" hidden="false" customHeight="false" outlineLevel="0" collapsed="false">
      <c r="A253" s="0" t="str">
        <f aca="false">INDEX(Prioritization!$D:$D,MATCH($B253,Prioritization!$A:$A,0))</f>
        <v>1 - Scale-up: Saturation</v>
      </c>
      <c r="B253" s="0" t="s">
        <v>211</v>
      </c>
      <c r="C253" s="0" t="s">
        <v>316</v>
      </c>
      <c r="D253" s="0" t="s">
        <v>30</v>
      </c>
      <c r="E253" s="0" t="str">
        <f aca="false">$B253&amp;"|"&amp;$C253&amp;"|"&amp;$D253</f>
        <v>Blantyre District [mxqa3CDFmIT]|&lt;01|Female</v>
      </c>
      <c r="F253" s="10"/>
      <c r="G253" s="10" t="n">
        <v>84</v>
      </c>
      <c r="H253" s="10" t="n">
        <v>3</v>
      </c>
      <c r="I253" s="10" t="n">
        <v>5</v>
      </c>
      <c r="J253" s="10" t="n">
        <v>21</v>
      </c>
      <c r="K253" s="10" t="n">
        <v>58</v>
      </c>
      <c r="L253" s="10"/>
      <c r="M253" s="10" t="n">
        <v>5</v>
      </c>
      <c r="N253" s="10" t="n">
        <v>4</v>
      </c>
      <c r="O253" s="10" t="n">
        <f aca="false">IFERROR(1/(1/MAX($I253,$N253)),"")</f>
        <v>5</v>
      </c>
      <c r="P253" s="10" t="n">
        <v>7</v>
      </c>
      <c r="Q253" s="10" t="n">
        <v>5</v>
      </c>
      <c r="R253" s="10" t="n">
        <f aca="false">IF(AND(SUM($I253)=0,SUM($O253)=0),"",SUM($O253)-$I253)</f>
        <v>0</v>
      </c>
      <c r="S253" s="10" t="n">
        <f aca="false">IF(LEFT($B253,4)="_Mil","",_xlfn.IFNA(ROUND(INDEX(Spectrum!$N:$N,MATCH(RIGHT($B253,13)&amp;"|"&amp;$C253&amp;"|"&amp;$D253&amp;"|"&amp;S$14&amp;"|"&amp;"CY2022Q4",Spectrum!$R:$R,0)),0),""))</f>
        <v>1506</v>
      </c>
      <c r="T253" s="39" t="n">
        <f aca="false">IF(LEFT($B253,4)="_Mil","",_xlfn.IFNA(ROUND(INDEX(Spectrum!$N:$N,MATCH(RIGHT($B253,13)&amp;"|"&amp;$C253&amp;"|"&amp;$D253&amp;"|"&amp;T$14&amp;"|"&amp;"CY2023Q3",Spectrum!$R:$R,0)),0),""))</f>
        <v>806</v>
      </c>
      <c r="U253" s="39" t="str">
        <f aca="false">IF(LEFT($B253,4)="_Mil","",_xlfn.IFNA(ROUND(INDEX(Spectrum!$N:$N,MATCH(RIGHT($B253,13)&amp;"|"&amp;$C253&amp;"|"&amp;$D253&amp;"|"&amp;U$14&amp;"|"&amp;"CY2023Q3",Spectrum!$R:$R,0)),0),""))</f>
        <v/>
      </c>
      <c r="V253" s="10" t="n">
        <f aca="false">IF(LEFT($B253,4)="_Mil","",_xlfn.IFNA(ROUND(INDEX(Spectrum!$N:$N,MATCH(RIGHT($B253,13)&amp;"|"&amp;$C253&amp;"|"&amp;$D253&amp;"|"&amp;V$14&amp;"|"&amp;"CY2023Q3",Spectrum!$R:$R,0)),0),""))</f>
        <v>1386</v>
      </c>
      <c r="W253" s="113" t="n">
        <f aca="false">IF(LEFT($B253,4)="_Mil","",_xlfn.IFNA(INDEX(Spectrum!$N:$N,MATCH(RIGHT($B253,13)&amp;"|"&amp;$C253&amp;"|"&amp;$D253&amp;"|"&amp;W$14&amp;"|"&amp;"CY2023Q3",Spectrum!$R:$R,0)),""))</f>
        <v>1961</v>
      </c>
      <c r="X253" s="39" t="n">
        <f aca="false">IF(LEFT($B253,4)="_Mil","",_xlfn.IFNA(ROUND(INDEX(Spectrum!$N:$N,MATCH(RIGHT($B253,13)&amp;"|"&amp;$C253&amp;"|"&amp;$D253&amp;"|"&amp;X$14&amp;"|"&amp;"CY2023Q3",Spectrum!$R:$R,0)),0),""))</f>
        <v>1204</v>
      </c>
      <c r="Y253" s="88" t="str">
        <f aca="false">IF(OR(SUM($U253)=0,LEFT($B253,4)="_Mil"),"",SUM($X253)/$U253)</f>
        <v/>
      </c>
      <c r="Z253" s="39" t="n">
        <f aca="false">IF(LEFT($B253,4)="_Mil","",_xlfn.IFNA(ROUND(INDEX(Spectrum!$N:$N,MATCH(RIGHT($B253,13)&amp;"|"&amp;$C253&amp;"|"&amp;$D253&amp;"|"&amp;Z$14&amp;"|"&amp;"CY2023Q3",Spectrum!$R:$R,0)),0),""))</f>
        <v>572</v>
      </c>
      <c r="AA253" s="88" t="n">
        <f aca="false">IF(LEFT($B253,4)="_Mil","",IFERROR(1/(1/INDEX(Spectrum!$N:$N,MATCH(RIGHT($B253,13)&amp;"|"&amp;$C253&amp;"|"&amp;$D253&amp;"|"&amp;AA$14&amp;"|"&amp;"CY2023Q3",Spectrum!$R:$R,0))),IF(SUM($U253)=0,"",SUM($Z253)/$U253)))</f>
        <v>1198</v>
      </c>
      <c r="AB253" s="88" t="n">
        <f aca="false">IF(OR(LEFT($B253,4)="_Mil",SUM($X253)=0),"",SUM($Z253)/$X253)</f>
        <v>0.475083056478405</v>
      </c>
      <c r="AC253" s="10" t="n">
        <f aca="false">IF(LEFT($B253,4)="_Mil","",_xlfn.IFNA(ROUND(INDEX(Spectrum!$N:$N,MATCH(RIGHT($B253,13)&amp;"|"&amp;$C253&amp;"|"&amp;$D253&amp;"|"&amp;AC$14&amp;"|"&amp;"CY2023Q3",Spectrum!$R:$R,0)),0),""))</f>
        <v>783</v>
      </c>
      <c r="AD253" s="10" t="str">
        <f aca="false">IF(LEFT($B253,4)="_Mil","",_xlfn.IFNA(ROUND(INDEX(Spectrum!$N:$N,MATCH(RIGHT($B253,13)&amp;"|"&amp;$C253&amp;"|"&amp;$D253&amp;"|"&amp;AD$14&amp;"|"&amp;"CY2023Q3",Spectrum!$R:$R,0)),0),""))</f>
        <v/>
      </c>
      <c r="AE253" s="88" t="n">
        <f aca="false">IF(OR(LEFT($B253,4)="_Mil",SUM($Z253)=0),"",SUM($AD253)/$Z253)</f>
        <v>0</v>
      </c>
      <c r="AF253" s="39" t="str">
        <f aca="false">IF(LEFT($B253,4)="_Mil","",_xlfn.IFNA(ROUND(INDEX(Spectrum!$N:$N,MATCH(RIGHT($B253,13)&amp;"|"&amp;$C253&amp;"|"&amp;$D253&amp;"|"&amp;AF$14&amp;"|"&amp;"CY2023Q3",Spectrum!$R:$R,0)),0),""))</f>
        <v/>
      </c>
      <c r="AG253" s="88" t="str">
        <f aca="false">IF(OR(LEFT($B253,4)="_Mil",SUM($AD253)=0),"",SUM($AF253)/$AD253)</f>
        <v/>
      </c>
      <c r="AH253" s="86" t="str">
        <f aca="false">IF(LEFT($B253,4)="_Mil","",_xlfn.IFNA(INDEX(Spectrum!$N:$N,MATCH(RIGHT($B253,13)&amp;"|"&amp;$C253&amp;"|"&amp;$D253&amp;"|"&amp;AH$14&amp;"|"&amp;"CY2023Q3",Spectrum!$R:$R,0)),""))</f>
        <v/>
      </c>
      <c r="AI253" s="10" t="str">
        <f aca="false">IF(LEFT($B253,4)="_Mil","",_xlfn.IFNA(ROUND(INDEX(Spectrum!$N:$N,MATCH(RIGHT($B253,13)&amp;"|"&amp;$C253&amp;"|"&amp;$D253&amp;"|"&amp;AI$14&amp;"|"&amp;"CY2023Q3",Spectrum!$R:$R,0)),0),""))</f>
        <v/>
      </c>
      <c r="AJ253" s="39" t="n">
        <f aca="false">IF(LEFT($B253,4)="_Mil","",_xlfn.IFNA(ROUND(INDEX(Spectrum!$N:$N,MATCH(RIGHT($B253,13)&amp;"|"&amp;$C253&amp;"|"&amp;$D253&amp;"|"&amp;AI$14&amp;"|"&amp;"CY2023Q3",Spectrum!$R:$R,0)),0),SUM($U253)+SUM($AI253)))</f>
        <v>0</v>
      </c>
      <c r="AK253" s="10" t="str">
        <f aca="false">IF(LEFT($B253,4)="_Mil","",_xlfn.IFNA(ROUND(INDEX(Spectrum!$N:$N,MATCH(RIGHT($B253,13)&amp;"|"&amp;$C253&amp;"|"&amp;$D253&amp;"|"&amp;AK$14&amp;"|"&amp;"CY2023Q3",Spectrum!$R:$R,0)),0),""))</f>
        <v/>
      </c>
      <c r="AL253" s="88" t="str">
        <f aca="false">IF(OR(LEFT($B253,4)="_Mil",$C253="&lt;01"),"",MAX(SUM($AA253),90%))</f>
        <v/>
      </c>
      <c r="AM253" s="10" t="str">
        <f aca="false">IF(OR(LEFT($B253,4)="_Mil",$C253="&lt;01"),"",ROUND(SUM($AJ253)*SUM($AL253),0))</f>
        <v/>
      </c>
      <c r="AN253" s="10" t="n">
        <f aca="false">IF($C253="&lt;01",ROUND(INDEX(EID!$P:$P,MATCH($B253,EID!$B:$B,0))/2,0),"")</f>
        <v>1</v>
      </c>
      <c r="AO253" s="10" t="n">
        <f aca="false">IF($C253="&lt;01",SUM($AN253),ROUND(SUM($AM253)*SUM($O253)/IF(SUM($Z253)=0,1,$Z253),0))</f>
        <v>1</v>
      </c>
      <c r="AP253" s="39" t="n">
        <f aca="false">IF(OR($F253="",$C253="&lt;01"),$AO253,$F253)</f>
        <v>1</v>
      </c>
      <c r="AQ253" s="39" t="n">
        <f aca="false">IF(LEFT($B253,4)="_Mil","",IF(SUM($AP253)=0,SUM($Z253),IF(OR(SUM($Z253)=0,SUM($O253)=0),MAX($AP253,$Z253),$AP253*$Z253/$O253)))</f>
        <v>114.4</v>
      </c>
      <c r="AR253" s="88" t="str">
        <f aca="false">IF(OR(LEFT($B253,4)="_Mil",SUM($AJ253)=0),"",SUM($AQ253)/$AJ253)</f>
        <v/>
      </c>
      <c r="AS253" s="88" t="str">
        <f aca="false">IF($C253="&lt;01","",98%)</f>
        <v/>
      </c>
      <c r="AT253" s="88" t="str">
        <f aca="false">IF($C253="&lt;01","",98%)</f>
        <v/>
      </c>
      <c r="AU253" s="10" t="str">
        <f aca="false">IF($C253="&lt;01","",SUM($AP253)-SUM($O253))</f>
        <v/>
      </c>
      <c r="AV253" s="10" t="n">
        <f aca="false">IF($C253="&lt;01",ROUND(INDEX(EID!$N:$N,MATCH($B253,EID!$B:$B,0))/2,0),IF(SUM($AT253)=0,"",ROUND((SUM($AP253)-(SUM($O253)*SUM($AS253)))/$AT253,0)))</f>
        <v>1</v>
      </c>
      <c r="AW253" s="88" t="str">
        <f aca="false">IF($C253="&lt;01","",100%)</f>
        <v/>
      </c>
      <c r="AX253" s="39" t="n">
        <f aca="false">IF($C253="&lt;01",SUM($AV253),ROUND(SUM($AV253)*SUM($AW253),0))</f>
        <v>1</v>
      </c>
      <c r="AY253" s="114" t="str">
        <f aca="false">IF($C253="&lt;01","",70%)</f>
        <v/>
      </c>
      <c r="AZ253" s="91" t="n">
        <f aca="false">IF($C253="&lt;01",ROUND(INDEX(EID!$R:$R,MATCH($B253,EID!$B:$B,0))/2,0),ROUND(SUM($O253)+(SUM($AV253)*$AY253),0))</f>
        <v>1</v>
      </c>
      <c r="BA253" s="87" t="str">
        <f aca="false">IF($C253="&lt;01","",95%)</f>
        <v/>
      </c>
      <c r="BB253" s="5" t="n">
        <f aca="false">IF($C253="&lt;01",ROUND(INDEX(EID!$T:$T,MATCH($B253,EID!$B:$B,0))/2,0),ROUND($AZ253*$BA253,0))</f>
        <v>1</v>
      </c>
      <c r="BC253" s="91" t="n">
        <f aca="false">IF(LEFT($B253,4)="_Mil","",IF(SUM($BB253)=0,SUM($AD253),IF(OR(SUM($AP253)=0,SUM($AQ253)=0),MAX($BB253,$AD253),ROUND($BB253*$AQ253/$AP253,0))))</f>
        <v>114</v>
      </c>
      <c r="BD253" s="88" t="str">
        <f aca="false">IF($C253="&lt;01","",95%)</f>
        <v/>
      </c>
      <c r="BE253" s="39" t="n">
        <f aca="false">IF($C253="&lt;01",ROUND(INDEX(EID!$V:$V,MATCH($B253,EID!$B:$B,0))/2,0),ROUND($BD253*$BB253,0))</f>
        <v>1</v>
      </c>
      <c r="BF253" s="39" t="n">
        <f aca="false">IF(LEFT($B253,4)="_Mil","",IF(SUM($BE253)=0,SUM($AF253),IF(OR(SUM($AP253)=0,SUM($AQ253)=0),MAX($BE253,$AF253),ROUND($BE253*$AQ253/$AP253,0))))</f>
        <v>114</v>
      </c>
      <c r="BG253" s="114" t="str">
        <f aca="false">IF($C253="&lt;01","",95%)</f>
        <v/>
      </c>
      <c r="BH253" s="5" t="n">
        <f aca="false">IF($C253="&lt;01",ROUND(INDEX(EID!$L:$L,MATCH($B253,EID!$B:$B,0)),0)/2,IF(SUM($BG253)=0,"",ROUND($AX253/$BG253,0)))</f>
        <v>0.5</v>
      </c>
    </row>
    <row r="254" customFormat="false" ht="15" hidden="false" customHeight="false" outlineLevel="0" collapsed="false">
      <c r="A254" s="0" t="str">
        <f aca="false">INDEX(Prioritization!$D:$D,MATCH($B254,Prioritization!$A:$A,0))</f>
        <v>1 - Scale-up: Saturation</v>
      </c>
      <c r="B254" s="0" t="s">
        <v>211</v>
      </c>
      <c r="C254" s="0" t="s">
        <v>316</v>
      </c>
      <c r="D254" s="0" t="s">
        <v>48</v>
      </c>
      <c r="E254" s="0" t="str">
        <f aca="false">$B254&amp;"|"&amp;$C254&amp;"|"&amp;$D254</f>
        <v>Blantyre District [mxqa3CDFmIT]|&lt;01|Male</v>
      </c>
      <c r="F254" s="10"/>
      <c r="G254" s="10" t="n">
        <v>8</v>
      </c>
      <c r="H254" s="10" t="n">
        <v>3</v>
      </c>
      <c r="I254" s="10" t="n">
        <v>5</v>
      </c>
      <c r="J254" s="10" t="n">
        <v>10</v>
      </c>
      <c r="K254" s="10" t="n">
        <v>5</v>
      </c>
      <c r="L254" s="10"/>
      <c r="M254" s="10" t="n">
        <v>9</v>
      </c>
      <c r="N254" s="10" t="n">
        <v>5</v>
      </c>
      <c r="O254" s="10" t="n">
        <f aca="false">IFERROR(1/(1/MAX($I254,$N254)),"")</f>
        <v>5</v>
      </c>
      <c r="P254" s="10" t="n">
        <v>10</v>
      </c>
      <c r="Q254" s="10" t="n">
        <v>3</v>
      </c>
      <c r="R254" s="10" t="n">
        <f aca="false">IF(AND(SUM($I254)=0,SUM($O254)=0),"",SUM($O254)-$I254)</f>
        <v>0</v>
      </c>
      <c r="S254" s="10" t="n">
        <f aca="false">IF(LEFT($B254,4)="_Mil","",_xlfn.IFNA(ROUND(INDEX(Spectrum!$N:$N,MATCH(RIGHT($B254,13)&amp;"|"&amp;$C254&amp;"|"&amp;$D254&amp;"|"&amp;S$14&amp;"|"&amp;"CY2022Q4",Spectrum!$R:$R,0)),0),""))</f>
        <v>1283</v>
      </c>
      <c r="T254" s="39" t="n">
        <f aca="false">IF(LEFT($B254,4)="_Mil","",_xlfn.IFNA(ROUND(INDEX(Spectrum!$N:$N,MATCH(RIGHT($B254,13)&amp;"|"&amp;$C254&amp;"|"&amp;$D254&amp;"|"&amp;T$14&amp;"|"&amp;"CY2023Q3",Spectrum!$R:$R,0)),0),""))</f>
        <v>1511</v>
      </c>
      <c r="U254" s="39" t="str">
        <f aca="false">IF(LEFT($B254,4)="_Mil","",_xlfn.IFNA(ROUND(INDEX(Spectrum!$N:$N,MATCH(RIGHT($B254,13)&amp;"|"&amp;$C254&amp;"|"&amp;$D254&amp;"|"&amp;U$14&amp;"|"&amp;"CY2023Q3",Spectrum!$R:$R,0)),0),""))</f>
        <v/>
      </c>
      <c r="V254" s="10" t="n">
        <f aca="false">IF(LEFT($B254,4)="_Mil","",_xlfn.IFNA(ROUND(INDEX(Spectrum!$N:$N,MATCH(RIGHT($B254,13)&amp;"|"&amp;$C254&amp;"|"&amp;$D254&amp;"|"&amp;V$14&amp;"|"&amp;"CY2023Q3",Spectrum!$R:$R,0)),0),""))</f>
        <v>1397</v>
      </c>
      <c r="W254" s="113" t="n">
        <f aca="false">IF(LEFT($B254,4)="_Mil","",_xlfn.IFNA(INDEX(Spectrum!$N:$N,MATCH(RIGHT($B254,13)&amp;"|"&amp;$C254&amp;"|"&amp;$D254&amp;"|"&amp;W$14&amp;"|"&amp;"CY2023Q3",Spectrum!$R:$R,0)),""))</f>
        <v>1642</v>
      </c>
      <c r="X254" s="39" t="n">
        <f aca="false">IF(LEFT($B254,4)="_Mil","",_xlfn.IFNA(ROUND(INDEX(Spectrum!$N:$N,MATCH(RIGHT($B254,13)&amp;"|"&amp;$C254&amp;"|"&amp;$D254&amp;"|"&amp;X$14&amp;"|"&amp;"CY2023Q3",Spectrum!$R:$R,0)),0),""))</f>
        <v>531</v>
      </c>
      <c r="Y254" s="88" t="str">
        <f aca="false">IF(OR(SUM($U254)=0,LEFT($B254,4)="_Mil"),"",SUM($X254)/$U254)</f>
        <v/>
      </c>
      <c r="Z254" s="39" t="n">
        <f aca="false">IF(LEFT($B254,4)="_Mil","",_xlfn.IFNA(ROUND(INDEX(Spectrum!$N:$N,MATCH(RIGHT($B254,13)&amp;"|"&amp;$C254&amp;"|"&amp;$D254&amp;"|"&amp;Z$14&amp;"|"&amp;"CY2023Q3",Spectrum!$R:$R,0)),0),""))</f>
        <v>1703</v>
      </c>
      <c r="AA254" s="88" t="n">
        <f aca="false">IF(LEFT($B254,4)="_Mil","",IFERROR(1/(1/INDEX(Spectrum!$N:$N,MATCH(RIGHT($B254,13)&amp;"|"&amp;$C254&amp;"|"&amp;$D254&amp;"|"&amp;AA$14&amp;"|"&amp;"CY2023Q3",Spectrum!$R:$R,0))),IF(SUM($U254)=0,"",SUM($Z254)/$U254)))</f>
        <v>993</v>
      </c>
      <c r="AB254" s="88" t="n">
        <f aca="false">IF(OR(LEFT($B254,4)="_Mil",SUM($X254)=0),"",SUM($Z254)/$X254)</f>
        <v>3.20715630885122</v>
      </c>
      <c r="AC254" s="10" t="n">
        <f aca="false">IF(LEFT($B254,4)="_Mil","",_xlfn.IFNA(ROUND(INDEX(Spectrum!$N:$N,MATCH(RIGHT($B254,13)&amp;"|"&amp;$C254&amp;"|"&amp;$D254&amp;"|"&amp;AC$14&amp;"|"&amp;"CY2023Q3",Spectrum!$R:$R,0)),0),""))</f>
        <v>1586</v>
      </c>
      <c r="AD254" s="10" t="str">
        <f aca="false">IF(LEFT($B254,4)="_Mil","",_xlfn.IFNA(ROUND(INDEX(Spectrum!$N:$N,MATCH(RIGHT($B254,13)&amp;"|"&amp;$C254&amp;"|"&amp;$D254&amp;"|"&amp;AD$14&amp;"|"&amp;"CY2023Q3",Spectrum!$R:$R,0)),0),""))</f>
        <v/>
      </c>
      <c r="AE254" s="88" t="n">
        <f aca="false">IF(OR(LEFT($B254,4)="_Mil",SUM($Z254)=0),"",SUM($AD254)/$Z254)</f>
        <v>0</v>
      </c>
      <c r="AF254" s="39" t="str">
        <f aca="false">IF(LEFT($B254,4)="_Mil","",_xlfn.IFNA(ROUND(INDEX(Spectrum!$N:$N,MATCH(RIGHT($B254,13)&amp;"|"&amp;$C254&amp;"|"&amp;$D254&amp;"|"&amp;AF$14&amp;"|"&amp;"CY2023Q3",Spectrum!$R:$R,0)),0),""))</f>
        <v/>
      </c>
      <c r="AG254" s="88" t="str">
        <f aca="false">IF(OR(LEFT($B254,4)="_Mil",SUM($AD254)=0),"",SUM($AF254)/$AD254)</f>
        <v/>
      </c>
      <c r="AH254" s="86" t="str">
        <f aca="false">IF(LEFT($B254,4)="_Mil","",_xlfn.IFNA(INDEX(Spectrum!$N:$N,MATCH(RIGHT($B254,13)&amp;"|"&amp;$C254&amp;"|"&amp;$D254&amp;"|"&amp;AH$14&amp;"|"&amp;"CY2023Q3",Spectrum!$R:$R,0)),""))</f>
        <v/>
      </c>
      <c r="AI254" s="10" t="str">
        <f aca="false">IF(LEFT($B254,4)="_Mil","",_xlfn.IFNA(ROUND(INDEX(Spectrum!$N:$N,MATCH(RIGHT($B254,13)&amp;"|"&amp;$C254&amp;"|"&amp;$D254&amp;"|"&amp;AI$14&amp;"|"&amp;"CY2023Q3",Spectrum!$R:$R,0)),0),""))</f>
        <v/>
      </c>
      <c r="AJ254" s="39" t="n">
        <f aca="false">IF(LEFT($B254,4)="_Mil","",_xlfn.IFNA(ROUND(INDEX(Spectrum!$N:$N,MATCH(RIGHT($B254,13)&amp;"|"&amp;$C254&amp;"|"&amp;$D254&amp;"|"&amp;AI$14&amp;"|"&amp;"CY2023Q3",Spectrum!$R:$R,0)),0),SUM($U254)+SUM($AI254)))</f>
        <v>0</v>
      </c>
      <c r="AK254" s="10" t="str">
        <f aca="false">IF(LEFT($B254,4)="_Mil","",_xlfn.IFNA(ROUND(INDEX(Spectrum!$N:$N,MATCH(RIGHT($B254,13)&amp;"|"&amp;$C254&amp;"|"&amp;$D254&amp;"|"&amp;AK$14&amp;"|"&amp;"CY2023Q3",Spectrum!$R:$R,0)),0),""))</f>
        <v/>
      </c>
      <c r="AL254" s="88" t="str">
        <f aca="false">IF(OR(LEFT($B254,4)="_Mil",$C254="&lt;01"),"",MAX(SUM($AA254),90%))</f>
        <v/>
      </c>
      <c r="AM254" s="10" t="str">
        <f aca="false">IF(OR(LEFT($B254,4)="_Mil",$C254="&lt;01"),"",ROUND(SUM($AJ254)*SUM($AL254),0))</f>
        <v/>
      </c>
      <c r="AN254" s="10" t="n">
        <f aca="false">IF($C254="&lt;01",ROUND(INDEX(EID!$P:$P,MATCH($B254,EID!$B:$B,0))/2,0),"")</f>
        <v>1</v>
      </c>
      <c r="AO254" s="10" t="n">
        <f aca="false">IF($C254="&lt;01",SUM($AN254),ROUND(SUM($AM254)*SUM($O254)/IF(SUM($Z254)=0,1,$Z254),0))</f>
        <v>1</v>
      </c>
      <c r="AP254" s="39" t="n">
        <f aca="false">IF(OR($F254="",$C254="&lt;01"),$AO254,$F254)</f>
        <v>1</v>
      </c>
      <c r="AQ254" s="39" t="n">
        <f aca="false">IF(LEFT($B254,4)="_Mil","",IF(SUM($AP254)=0,SUM($Z254),IF(OR(SUM($Z254)=0,SUM($O254)=0),MAX($AP254,$Z254),$AP254*$Z254/$O254)))</f>
        <v>340.6</v>
      </c>
      <c r="AR254" s="88" t="str">
        <f aca="false">IF(OR(LEFT($B254,4)="_Mil",SUM($AJ254)=0),"",SUM($AQ254)/$AJ254)</f>
        <v/>
      </c>
      <c r="AS254" s="88" t="str">
        <f aca="false">IF($C254="&lt;01","",98%)</f>
        <v/>
      </c>
      <c r="AT254" s="88" t="str">
        <f aca="false">IF($C254="&lt;01","",98%)</f>
        <v/>
      </c>
      <c r="AU254" s="10" t="str">
        <f aca="false">IF($C254="&lt;01","",SUM($AP254)-SUM($O254))</f>
        <v/>
      </c>
      <c r="AV254" s="10" t="n">
        <f aca="false">IF($C254="&lt;01",ROUND(INDEX(EID!$N:$N,MATCH($B254,EID!$B:$B,0))/2,0),IF(SUM($AT254)=0,"",ROUND((SUM($AP254)-(SUM($O254)*SUM($AS254)))/$AT254,0)))</f>
        <v>1</v>
      </c>
      <c r="AW254" s="88" t="str">
        <f aca="false">IF($C254="&lt;01","",100%)</f>
        <v/>
      </c>
      <c r="AX254" s="39" t="n">
        <f aca="false">IF($C254="&lt;01",SUM($AV254),ROUND(SUM($AV254)*SUM($AW254),0))</f>
        <v>1</v>
      </c>
      <c r="AY254" s="114" t="str">
        <f aca="false">IF($C254="&lt;01","",70%)</f>
        <v/>
      </c>
      <c r="AZ254" s="91" t="n">
        <f aca="false">IF($C254="&lt;01",ROUND(INDEX(EID!$R:$R,MATCH($B254,EID!$B:$B,0))/2,0),ROUND(SUM($O254)+(SUM($AV254)*$AY254),0))</f>
        <v>1</v>
      </c>
      <c r="BA254" s="87" t="str">
        <f aca="false">IF($C254="&lt;01","",95%)</f>
        <v/>
      </c>
      <c r="BB254" s="5" t="n">
        <f aca="false">IF($C254="&lt;01",ROUND(INDEX(EID!$T:$T,MATCH($B254,EID!$B:$B,0))/2,0),ROUND($AZ254*$BA254,0))</f>
        <v>1</v>
      </c>
      <c r="BC254" s="91" t="n">
        <f aca="false">IF(LEFT($B254,4)="_Mil","",IF(SUM($BB254)=0,SUM($AD254),IF(OR(SUM($AP254)=0,SUM($AQ254)=0),MAX($BB254,$AD254),ROUND($BB254*$AQ254/$AP254,0))))</f>
        <v>341</v>
      </c>
      <c r="BD254" s="88" t="str">
        <f aca="false">IF($C254="&lt;01","",95%)</f>
        <v/>
      </c>
      <c r="BE254" s="39" t="n">
        <f aca="false">IF($C254="&lt;01",ROUND(INDEX(EID!$V:$V,MATCH($B254,EID!$B:$B,0))/2,0),ROUND($BD254*$BB254,0))</f>
        <v>1</v>
      </c>
      <c r="BF254" s="39" t="n">
        <f aca="false">IF(LEFT($B254,4)="_Mil","",IF(SUM($BE254)=0,SUM($AF254),IF(OR(SUM($AP254)=0,SUM($AQ254)=0),MAX($BE254,$AF254),ROUND($BE254*$AQ254/$AP254,0))))</f>
        <v>341</v>
      </c>
      <c r="BG254" s="114" t="str">
        <f aca="false">IF($C254="&lt;01","",95%)</f>
        <v/>
      </c>
      <c r="BH254" s="5" t="n">
        <f aca="false">IF($C254="&lt;01",ROUND(INDEX(EID!$L:$L,MATCH($B254,EID!$B:$B,0)),0)/2,IF(SUM($BG254)=0,"",ROUND($AX254/$BG254,0)))</f>
        <v>0.5</v>
      </c>
    </row>
    <row r="255" customFormat="false" ht="15" hidden="false" customHeight="false" outlineLevel="0" collapsed="false">
      <c r="A255" s="0" t="str">
        <f aca="false">INDEX(Prioritization!$D:$D,MATCH($B255,Prioritization!$A:$A,0))</f>
        <v>1 - Scale-up: Saturation</v>
      </c>
      <c r="B255" s="0" t="s">
        <v>211</v>
      </c>
      <c r="C255" s="0" t="s">
        <v>363</v>
      </c>
      <c r="D255" s="0" t="s">
        <v>30</v>
      </c>
      <c r="E255" s="0" t="str">
        <f aca="false">$B255&amp;"|"&amp;$C255&amp;"|"&amp;$D255</f>
        <v>Blantyre District [mxqa3CDFmIT]|01-09|Female</v>
      </c>
      <c r="F255" s="10"/>
      <c r="G255" s="10"/>
      <c r="H255" s="10"/>
      <c r="I255" s="10"/>
      <c r="J255" s="10"/>
      <c r="K255" s="10"/>
      <c r="L255" s="10"/>
      <c r="M255" s="10"/>
      <c r="N255" s="10"/>
      <c r="O255" s="10" t="str">
        <f aca="false">IFERROR(1/(1/MAX($I255,$N255)),"")</f>
        <v/>
      </c>
      <c r="P255" s="10"/>
      <c r="Q255" s="10"/>
      <c r="R255" s="10" t="str">
        <f aca="false">IF(AND(SUM($I255)=0,SUM($O255)=0),"",SUM($O255)-$I255)</f>
        <v/>
      </c>
      <c r="S255" s="10" t="n">
        <f aca="false">IF(LEFT($B255,4)="_Mil","",_xlfn.IFNA(ROUND(INDEX(Spectrum!$N:$N,MATCH(RIGHT($B255,13)&amp;"|"&amp;$C255&amp;"|"&amp;$D255&amp;"|"&amp;S$14&amp;"|"&amp;"CY2022Q4",Spectrum!$R:$R,0)),0),""))</f>
        <v>840</v>
      </c>
      <c r="T255" s="39" t="n">
        <f aca="false">IF(LEFT($B255,4)="_Mil","",_xlfn.IFNA(ROUND(INDEX(Spectrum!$N:$N,MATCH(RIGHT($B255,13)&amp;"|"&amp;$C255&amp;"|"&amp;$D255&amp;"|"&amp;T$14&amp;"|"&amp;"CY2023Q3",Spectrum!$R:$R,0)),0),""))</f>
        <v>1697</v>
      </c>
      <c r="U255" s="39" t="str">
        <f aca="false">IF(LEFT($B255,4)="_Mil","",_xlfn.IFNA(ROUND(INDEX(Spectrum!$N:$N,MATCH(RIGHT($B255,13)&amp;"|"&amp;$C255&amp;"|"&amp;$D255&amp;"|"&amp;U$14&amp;"|"&amp;"CY2023Q3",Spectrum!$R:$R,0)),0),""))</f>
        <v/>
      </c>
      <c r="V255" s="10" t="n">
        <f aca="false">IF(LEFT($B255,4)="_Mil","",_xlfn.IFNA(ROUND(INDEX(Spectrum!$N:$N,MATCH(RIGHT($B255,13)&amp;"|"&amp;$C255&amp;"|"&amp;$D255&amp;"|"&amp;V$14&amp;"|"&amp;"CY2023Q3",Spectrum!$R:$R,0)),0),""))</f>
        <v>530</v>
      </c>
      <c r="W255" s="113" t="n">
        <f aca="false">IF(LEFT($B255,4)="_Mil","",_xlfn.IFNA(INDEX(Spectrum!$N:$N,MATCH(RIGHT($B255,13)&amp;"|"&amp;$C255&amp;"|"&amp;$D255&amp;"|"&amp;W$14&amp;"|"&amp;"CY2023Q3",Spectrum!$R:$R,0)),""))</f>
        <v>1237</v>
      </c>
      <c r="X255" s="39" t="n">
        <f aca="false">IF(LEFT($B255,4)="_Mil","",_xlfn.IFNA(ROUND(INDEX(Spectrum!$N:$N,MATCH(RIGHT($B255,13)&amp;"|"&amp;$C255&amp;"|"&amp;$D255&amp;"|"&amp;X$14&amp;"|"&amp;"CY2023Q3",Spectrum!$R:$R,0)),0),""))</f>
        <v>1544</v>
      </c>
      <c r="Y255" s="88" t="str">
        <f aca="false">IF(OR(SUM($U255)=0,LEFT($B255,4)="_Mil"),"",SUM($X255)/$U255)</f>
        <v/>
      </c>
      <c r="Z255" s="39" t="n">
        <f aca="false">IF(LEFT($B255,4)="_Mil","",_xlfn.IFNA(ROUND(INDEX(Spectrum!$N:$N,MATCH(RIGHT($B255,13)&amp;"|"&amp;$C255&amp;"|"&amp;$D255&amp;"|"&amp;Z$14&amp;"|"&amp;"CY2023Q3",Spectrum!$R:$R,0)),0),""))</f>
        <v>1308</v>
      </c>
      <c r="AA255" s="88" t="n">
        <f aca="false">IF(LEFT($B255,4)="_Mil","",IFERROR(1/(1/INDEX(Spectrum!$N:$N,MATCH(RIGHT($B255,13)&amp;"|"&amp;$C255&amp;"|"&amp;$D255&amp;"|"&amp;AA$14&amp;"|"&amp;"CY2023Q3",Spectrum!$R:$R,0))),IF(SUM($U255)=0,"",SUM($Z255)/$U255)))</f>
        <v>1393</v>
      </c>
      <c r="AB255" s="88" t="n">
        <f aca="false">IF(OR(LEFT($B255,4)="_Mil",SUM($X255)=0),"",SUM($Z255)/$X255)</f>
        <v>0.847150259067358</v>
      </c>
      <c r="AC255" s="10" t="n">
        <f aca="false">IF(LEFT($B255,4)="_Mil","",_xlfn.IFNA(ROUND(INDEX(Spectrum!$N:$N,MATCH(RIGHT($B255,13)&amp;"|"&amp;$C255&amp;"|"&amp;$D255&amp;"|"&amp;AC$14&amp;"|"&amp;"CY2023Q3",Spectrum!$R:$R,0)),0),""))</f>
        <v>1678</v>
      </c>
      <c r="AD255" s="10" t="str">
        <f aca="false">IF(LEFT($B255,4)="_Mil","",_xlfn.IFNA(ROUND(INDEX(Spectrum!$N:$N,MATCH(RIGHT($B255,13)&amp;"|"&amp;$C255&amp;"|"&amp;$D255&amp;"|"&amp;AD$14&amp;"|"&amp;"CY2023Q3",Spectrum!$R:$R,0)),0),""))</f>
        <v/>
      </c>
      <c r="AE255" s="88" t="n">
        <f aca="false">IF(OR(LEFT($B255,4)="_Mil",SUM($Z255)=0),"",SUM($AD255)/$Z255)</f>
        <v>0</v>
      </c>
      <c r="AF255" s="39" t="str">
        <f aca="false">IF(LEFT($B255,4)="_Mil","",_xlfn.IFNA(ROUND(INDEX(Spectrum!$N:$N,MATCH(RIGHT($B255,13)&amp;"|"&amp;$C255&amp;"|"&amp;$D255&amp;"|"&amp;AF$14&amp;"|"&amp;"CY2023Q3",Spectrum!$R:$R,0)),0),""))</f>
        <v/>
      </c>
      <c r="AG255" s="88" t="str">
        <f aca="false">IF(OR(LEFT($B255,4)="_Mil",SUM($AD255)=0),"",SUM($AF255)/$AD255)</f>
        <v/>
      </c>
      <c r="AH255" s="86" t="str">
        <f aca="false">IF(LEFT($B255,4)="_Mil","",_xlfn.IFNA(INDEX(Spectrum!$N:$N,MATCH(RIGHT($B255,13)&amp;"|"&amp;$C255&amp;"|"&amp;$D255&amp;"|"&amp;AH$14&amp;"|"&amp;"CY2023Q3",Spectrum!$R:$R,0)),""))</f>
        <v/>
      </c>
      <c r="AI255" s="10" t="str">
        <f aca="false">IF(LEFT($B255,4)="_Mil","",_xlfn.IFNA(ROUND(INDEX(Spectrum!$N:$N,MATCH(RIGHT($B255,13)&amp;"|"&amp;$C255&amp;"|"&amp;$D255&amp;"|"&amp;AI$14&amp;"|"&amp;"CY2023Q3",Spectrum!$R:$R,0)),0),""))</f>
        <v/>
      </c>
      <c r="AJ255" s="39" t="n">
        <f aca="false">IF(LEFT($B255,4)="_Mil","",_xlfn.IFNA(ROUND(INDEX(Spectrum!$N:$N,MATCH(RIGHT($B255,13)&amp;"|"&amp;$C255&amp;"|"&amp;$D255&amp;"|"&amp;AI$14&amp;"|"&amp;"CY2023Q3",Spectrum!$R:$R,0)),0),SUM($U255)+SUM($AI255)))</f>
        <v>0</v>
      </c>
      <c r="AK255" s="10" t="str">
        <f aca="false">IF(LEFT($B255,4)="_Mil","",_xlfn.IFNA(ROUND(INDEX(Spectrum!$N:$N,MATCH(RIGHT($B255,13)&amp;"|"&amp;$C255&amp;"|"&amp;$D255&amp;"|"&amp;AK$14&amp;"|"&amp;"CY2023Q3",Spectrum!$R:$R,0)),0),""))</f>
        <v/>
      </c>
      <c r="AL255" s="88" t="n">
        <f aca="false">IF(OR(LEFT($B255,4)="_Mil",$C255="&lt;01"),"",MAX(SUM($AA255),90%))</f>
        <v>1393</v>
      </c>
      <c r="AM255" s="10" t="n">
        <f aca="false">IF(OR(LEFT($B255,4)="_Mil",$C255="&lt;01"),"",ROUND(SUM($AJ255)*SUM($AL255),0))</f>
        <v>0</v>
      </c>
      <c r="AN255" s="10" t="str">
        <f aca="false">IF($C255="&lt;01",ROUND(INDEX(EID!$P:$P,MATCH($B255,EID!$B:$B,0))/2,0),"")</f>
        <v/>
      </c>
      <c r="AO255" s="10" t="n">
        <f aca="false">IF($C255="&lt;01",SUM($AN255),ROUND(SUM($AM255)*SUM($O255)/IF(SUM($Z255)=0,1,$Z255),0))</f>
        <v>0</v>
      </c>
      <c r="AP255" s="39" t="n">
        <f aca="false">IF(OR($F255="",$C255="&lt;01"),$AO255,$F255)</f>
        <v>0</v>
      </c>
      <c r="AQ255" s="39" t="n">
        <f aca="false">IF(LEFT($B255,4)="_Mil","",IF(SUM($AP255)=0,SUM($Z255),IF(OR(SUM($Z255)=0,SUM($O255)=0),MAX($AP255,$Z255),$AP255*$Z255/$O255)))</f>
        <v>1308</v>
      </c>
      <c r="AR255" s="88" t="str">
        <f aca="false">IF(OR(LEFT($B255,4)="_Mil",SUM($AJ255)=0),"",SUM($AQ255)/$AJ255)</f>
        <v/>
      </c>
      <c r="AS255" s="88" t="n">
        <f aca="false">IF($C255="&lt;01","",98%)</f>
        <v>0.98</v>
      </c>
      <c r="AT255" s="88" t="n">
        <f aca="false">IF($C255="&lt;01","",98%)</f>
        <v>0.98</v>
      </c>
      <c r="AU255" s="10" t="n">
        <f aca="false">IF($C255="&lt;01","",SUM($AP255)-SUM($O255))</f>
        <v>0</v>
      </c>
      <c r="AV255" s="10" t="n">
        <f aca="false">IF($C255="&lt;01",ROUND(INDEX(EID!$N:$N,MATCH($B255,EID!$B:$B,0))/2,0),IF(SUM($AT255)=0,"",ROUND((SUM($AP255)-(SUM($O255)*SUM($AS255)))/$AT255,0)))</f>
        <v>0</v>
      </c>
      <c r="AW255" s="88" t="n">
        <f aca="false">IF($C255="&lt;01","",100%)</f>
        <v>1</v>
      </c>
      <c r="AX255" s="39" t="n">
        <f aca="false">IF($C255="&lt;01",SUM($AV255),ROUND(SUM($AV255)*SUM($AW255),0))</f>
        <v>0</v>
      </c>
      <c r="AY255" s="114" t="n">
        <f aca="false">IF($C255="&lt;01","",70%)</f>
        <v>0.7</v>
      </c>
      <c r="AZ255" s="91" t="n">
        <f aca="false">IF($C255="&lt;01",ROUND(INDEX(EID!$R:$R,MATCH($B255,EID!$B:$B,0))/2,0),ROUND(SUM($O255)+(SUM($AV255)*$AY255),0))</f>
        <v>0</v>
      </c>
      <c r="BA255" s="87" t="n">
        <f aca="false">IF($C255="&lt;01","",95%)</f>
        <v>0.95</v>
      </c>
      <c r="BB255" s="5" t="n">
        <f aca="false">IF($C255="&lt;01",ROUND(INDEX(EID!$T:$T,MATCH($B255,EID!$B:$B,0))/2,0),ROUND($AZ255*$BA255,0))</f>
        <v>0</v>
      </c>
      <c r="BC255" s="91" t="n">
        <f aca="false">IF(LEFT($B255,4)="_Mil","",IF(SUM($BB255)=0,SUM($AD255),IF(OR(SUM($AP255)=0,SUM($AQ255)=0),MAX($BB255,$AD255),ROUND($BB255*$AQ255/$AP255,0))))</f>
        <v>0</v>
      </c>
      <c r="BD255" s="88" t="n">
        <f aca="false">IF($C255="&lt;01","",95%)</f>
        <v>0.95</v>
      </c>
      <c r="BE255" s="39" t="n">
        <f aca="false">IF($C255="&lt;01",ROUND(INDEX(EID!$V:$V,MATCH($B255,EID!$B:$B,0))/2,0),ROUND($BD255*$BB255,0))</f>
        <v>0</v>
      </c>
      <c r="BF255" s="39" t="n">
        <f aca="false">IF(LEFT($B255,4)="_Mil","",IF(SUM($BE255)=0,SUM($AF255),IF(OR(SUM($AP255)=0,SUM($AQ255)=0),MAX($BE255,$AF255),ROUND($BE255*$AQ255/$AP255,0))))</f>
        <v>0</v>
      </c>
      <c r="BG255" s="114" t="n">
        <f aca="false">IF($C255="&lt;01","",95%)</f>
        <v>0.95</v>
      </c>
      <c r="BH255" s="5" t="n">
        <f aca="false">IF($C255="&lt;01",ROUND(INDEX(EID!$L:$L,MATCH($B255,EID!$B:$B,0)),0)/2,IF(SUM($BG255)=0,"",ROUND($AX255/$BG255,0)))</f>
        <v>0</v>
      </c>
    </row>
    <row r="256" customFormat="false" ht="15" hidden="false" customHeight="false" outlineLevel="0" collapsed="false">
      <c r="A256" s="0" t="str">
        <f aca="false">INDEX(Prioritization!$D:$D,MATCH($B256,Prioritization!$A:$A,0))</f>
        <v>1 - Scale-up: Saturation</v>
      </c>
      <c r="B256" s="0" t="s">
        <v>211</v>
      </c>
      <c r="C256" s="0" t="s">
        <v>363</v>
      </c>
      <c r="D256" s="0" t="s">
        <v>48</v>
      </c>
      <c r="E256" s="0" t="str">
        <f aca="false">$B256&amp;"|"&amp;$C256&amp;"|"&amp;$D256</f>
        <v>Blantyre District [mxqa3CDFmIT]|01-09|Male</v>
      </c>
      <c r="F256" s="10"/>
      <c r="G256" s="10"/>
      <c r="H256" s="10"/>
      <c r="I256" s="10"/>
      <c r="J256" s="10"/>
      <c r="K256" s="10"/>
      <c r="L256" s="10"/>
      <c r="M256" s="10"/>
      <c r="N256" s="10"/>
      <c r="O256" s="10" t="str">
        <f aca="false">IFERROR(1/(1/MAX($I256,$N256)),"")</f>
        <v/>
      </c>
      <c r="P256" s="10"/>
      <c r="Q256" s="10"/>
      <c r="R256" s="10" t="str">
        <f aca="false">IF(AND(SUM($I256)=0,SUM($O256)=0),"",SUM($O256)-$I256)</f>
        <v/>
      </c>
      <c r="S256" s="10" t="n">
        <f aca="false">IF(LEFT($B256,4)="_Mil","",_xlfn.IFNA(ROUND(INDEX(Spectrum!$N:$N,MATCH(RIGHT($B256,13)&amp;"|"&amp;$C256&amp;"|"&amp;$D256&amp;"|"&amp;S$14&amp;"|"&amp;"CY2022Q4",Spectrum!$R:$R,0)),0),""))</f>
        <v>1680</v>
      </c>
      <c r="T256" s="39" t="n">
        <f aca="false">IF(LEFT($B256,4)="_Mil","",_xlfn.IFNA(ROUND(INDEX(Spectrum!$N:$N,MATCH(RIGHT($B256,13)&amp;"|"&amp;$C256&amp;"|"&amp;$D256&amp;"|"&amp;T$14&amp;"|"&amp;"CY2023Q3",Spectrum!$R:$R,0)),0),""))</f>
        <v>1619</v>
      </c>
      <c r="U256" s="39" t="str">
        <f aca="false">IF(LEFT($B256,4)="_Mil","",_xlfn.IFNA(ROUND(INDEX(Spectrum!$N:$N,MATCH(RIGHT($B256,13)&amp;"|"&amp;$C256&amp;"|"&amp;$D256&amp;"|"&amp;U$14&amp;"|"&amp;"CY2023Q3",Spectrum!$R:$R,0)),0),""))</f>
        <v/>
      </c>
      <c r="V256" s="10" t="n">
        <f aca="false">IF(LEFT($B256,4)="_Mil","",_xlfn.IFNA(ROUND(INDEX(Spectrum!$N:$N,MATCH(RIGHT($B256,13)&amp;"|"&amp;$C256&amp;"|"&amp;$D256&amp;"|"&amp;V$14&amp;"|"&amp;"CY2023Q3",Spectrum!$R:$R,0)),0),""))</f>
        <v>852</v>
      </c>
      <c r="W256" s="113" t="n">
        <f aca="false">IF(LEFT($B256,4)="_Mil","",_xlfn.IFNA(INDEX(Spectrum!$N:$N,MATCH(RIGHT($B256,13)&amp;"|"&amp;$C256&amp;"|"&amp;$D256&amp;"|"&amp;W$14&amp;"|"&amp;"CY2023Q3",Spectrum!$R:$R,0)),""))</f>
        <v>1387</v>
      </c>
      <c r="X256" s="39" t="n">
        <f aca="false">IF(LEFT($B256,4)="_Mil","",_xlfn.IFNA(ROUND(INDEX(Spectrum!$N:$N,MATCH(RIGHT($B256,13)&amp;"|"&amp;$C256&amp;"|"&amp;$D256&amp;"|"&amp;X$14&amp;"|"&amp;"CY2023Q3",Spectrum!$R:$R,0)),0),""))</f>
        <v>1314</v>
      </c>
      <c r="Y256" s="88" t="str">
        <f aca="false">IF(OR(SUM($U256)=0,LEFT($B256,4)="_Mil"),"",SUM($X256)/$U256)</f>
        <v/>
      </c>
      <c r="Z256" s="39" t="n">
        <f aca="false">IF(LEFT($B256,4)="_Mil","",_xlfn.IFNA(ROUND(INDEX(Spectrum!$N:$N,MATCH(RIGHT($B256,13)&amp;"|"&amp;$C256&amp;"|"&amp;$D256&amp;"|"&amp;Z$14&amp;"|"&amp;"CY2023Q3",Spectrum!$R:$R,0)),0),""))</f>
        <v>1484</v>
      </c>
      <c r="AA256" s="88" t="n">
        <f aca="false">IF(LEFT($B256,4)="_Mil","",IFERROR(1/(1/INDEX(Spectrum!$N:$N,MATCH(RIGHT($B256,13)&amp;"|"&amp;$C256&amp;"|"&amp;$D256&amp;"|"&amp;AA$14&amp;"|"&amp;"CY2023Q3",Spectrum!$R:$R,0))),IF(SUM($U256)=0,"",SUM($Z256)/$U256)))</f>
        <v>1471</v>
      </c>
      <c r="AB256" s="88" t="n">
        <f aca="false">IF(OR(LEFT($B256,4)="_Mil",SUM($X256)=0),"",SUM($Z256)/$X256)</f>
        <v>1.12937595129376</v>
      </c>
      <c r="AC256" s="10" t="n">
        <f aca="false">IF(LEFT($B256,4)="_Mil","",_xlfn.IFNA(ROUND(INDEX(Spectrum!$N:$N,MATCH(RIGHT($B256,13)&amp;"|"&amp;$C256&amp;"|"&amp;$D256&amp;"|"&amp;AC$14&amp;"|"&amp;"CY2023Q3",Spectrum!$R:$R,0)),0),""))</f>
        <v>609</v>
      </c>
      <c r="AD256" s="10" t="str">
        <f aca="false">IF(LEFT($B256,4)="_Mil","",_xlfn.IFNA(ROUND(INDEX(Spectrum!$N:$N,MATCH(RIGHT($B256,13)&amp;"|"&amp;$C256&amp;"|"&amp;$D256&amp;"|"&amp;AD$14&amp;"|"&amp;"CY2023Q3",Spectrum!$R:$R,0)),0),""))</f>
        <v/>
      </c>
      <c r="AE256" s="88" t="n">
        <f aca="false">IF(OR(LEFT($B256,4)="_Mil",SUM($Z256)=0),"",SUM($AD256)/$Z256)</f>
        <v>0</v>
      </c>
      <c r="AF256" s="39" t="str">
        <f aca="false">IF(LEFT($B256,4)="_Mil","",_xlfn.IFNA(ROUND(INDEX(Spectrum!$N:$N,MATCH(RIGHT($B256,13)&amp;"|"&amp;$C256&amp;"|"&amp;$D256&amp;"|"&amp;AF$14&amp;"|"&amp;"CY2023Q3",Spectrum!$R:$R,0)),0),""))</f>
        <v/>
      </c>
      <c r="AG256" s="88" t="str">
        <f aca="false">IF(OR(LEFT($B256,4)="_Mil",SUM($AD256)=0),"",SUM($AF256)/$AD256)</f>
        <v/>
      </c>
      <c r="AH256" s="86" t="str">
        <f aca="false">IF(LEFT($B256,4)="_Mil","",_xlfn.IFNA(INDEX(Spectrum!$N:$N,MATCH(RIGHT($B256,13)&amp;"|"&amp;$C256&amp;"|"&amp;$D256&amp;"|"&amp;AH$14&amp;"|"&amp;"CY2023Q3",Spectrum!$R:$R,0)),""))</f>
        <v/>
      </c>
      <c r="AI256" s="10" t="str">
        <f aca="false">IF(LEFT($B256,4)="_Mil","",_xlfn.IFNA(ROUND(INDEX(Spectrum!$N:$N,MATCH(RIGHT($B256,13)&amp;"|"&amp;$C256&amp;"|"&amp;$D256&amp;"|"&amp;AI$14&amp;"|"&amp;"CY2023Q3",Spectrum!$R:$R,0)),0),""))</f>
        <v/>
      </c>
      <c r="AJ256" s="39" t="n">
        <f aca="false">IF(LEFT($B256,4)="_Mil","",_xlfn.IFNA(ROUND(INDEX(Spectrum!$N:$N,MATCH(RIGHT($B256,13)&amp;"|"&amp;$C256&amp;"|"&amp;$D256&amp;"|"&amp;AI$14&amp;"|"&amp;"CY2023Q3",Spectrum!$R:$R,0)),0),SUM($U256)+SUM($AI256)))</f>
        <v>0</v>
      </c>
      <c r="AK256" s="10" t="str">
        <f aca="false">IF(LEFT($B256,4)="_Mil","",_xlfn.IFNA(ROUND(INDEX(Spectrum!$N:$N,MATCH(RIGHT($B256,13)&amp;"|"&amp;$C256&amp;"|"&amp;$D256&amp;"|"&amp;AK$14&amp;"|"&amp;"CY2023Q3",Spectrum!$R:$R,0)),0),""))</f>
        <v/>
      </c>
      <c r="AL256" s="88" t="n">
        <f aca="false">IF(OR(LEFT($B256,4)="_Mil",$C256="&lt;01"),"",MAX(SUM($AA256),90%))</f>
        <v>1471</v>
      </c>
      <c r="AM256" s="10" t="n">
        <f aca="false">IF(OR(LEFT($B256,4)="_Mil",$C256="&lt;01"),"",ROUND(SUM($AJ256)*SUM($AL256),0))</f>
        <v>0</v>
      </c>
      <c r="AN256" s="10" t="str">
        <f aca="false">IF($C256="&lt;01",ROUND(INDEX(EID!$P:$P,MATCH($B256,EID!$B:$B,0))/2,0),"")</f>
        <v/>
      </c>
      <c r="AO256" s="10" t="n">
        <f aca="false">IF($C256="&lt;01",SUM($AN256),ROUND(SUM($AM256)*SUM($O256)/IF(SUM($Z256)=0,1,$Z256),0))</f>
        <v>0</v>
      </c>
      <c r="AP256" s="39" t="n">
        <f aca="false">IF(OR($F256="",$C256="&lt;01"),$AO256,$F256)</f>
        <v>0</v>
      </c>
      <c r="AQ256" s="39" t="n">
        <f aca="false">IF(LEFT($B256,4)="_Mil","",IF(SUM($AP256)=0,SUM($Z256),IF(OR(SUM($Z256)=0,SUM($O256)=0),MAX($AP256,$Z256),$AP256*$Z256/$O256)))</f>
        <v>1484</v>
      </c>
      <c r="AR256" s="88" t="str">
        <f aca="false">IF(OR(LEFT($B256,4)="_Mil",SUM($AJ256)=0),"",SUM($AQ256)/$AJ256)</f>
        <v/>
      </c>
      <c r="AS256" s="88" t="n">
        <f aca="false">IF($C256="&lt;01","",98%)</f>
        <v>0.98</v>
      </c>
      <c r="AT256" s="88" t="n">
        <f aca="false">IF($C256="&lt;01","",98%)</f>
        <v>0.98</v>
      </c>
      <c r="AU256" s="10" t="n">
        <f aca="false">IF($C256="&lt;01","",SUM($AP256)-SUM($O256))</f>
        <v>0</v>
      </c>
      <c r="AV256" s="10" t="n">
        <f aca="false">IF($C256="&lt;01",ROUND(INDEX(EID!$N:$N,MATCH($B256,EID!$B:$B,0))/2,0),IF(SUM($AT256)=0,"",ROUND((SUM($AP256)-(SUM($O256)*SUM($AS256)))/$AT256,0)))</f>
        <v>0</v>
      </c>
      <c r="AW256" s="88" t="n">
        <f aca="false">IF($C256="&lt;01","",100%)</f>
        <v>1</v>
      </c>
      <c r="AX256" s="39" t="n">
        <f aca="false">IF($C256="&lt;01",SUM($AV256),ROUND(SUM($AV256)*SUM($AW256),0))</f>
        <v>0</v>
      </c>
      <c r="AY256" s="114" t="n">
        <f aca="false">IF($C256="&lt;01","",70%)</f>
        <v>0.7</v>
      </c>
      <c r="AZ256" s="91" t="n">
        <f aca="false">IF($C256="&lt;01",ROUND(INDEX(EID!$R:$R,MATCH($B256,EID!$B:$B,0))/2,0),ROUND(SUM($O256)+(SUM($AV256)*$AY256),0))</f>
        <v>0</v>
      </c>
      <c r="BA256" s="87" t="n">
        <f aca="false">IF($C256="&lt;01","",95%)</f>
        <v>0.95</v>
      </c>
      <c r="BB256" s="5" t="n">
        <f aca="false">IF($C256="&lt;01",ROUND(INDEX(EID!$T:$T,MATCH($B256,EID!$B:$B,0))/2,0),ROUND($AZ256*$BA256,0))</f>
        <v>0</v>
      </c>
      <c r="BC256" s="91" t="n">
        <f aca="false">IF(LEFT($B256,4)="_Mil","",IF(SUM($BB256)=0,SUM($AD256),IF(OR(SUM($AP256)=0,SUM($AQ256)=0),MAX($BB256,$AD256),ROUND($BB256*$AQ256/$AP256,0))))</f>
        <v>0</v>
      </c>
      <c r="BD256" s="88" t="n">
        <f aca="false">IF($C256="&lt;01","",95%)</f>
        <v>0.95</v>
      </c>
      <c r="BE256" s="39" t="n">
        <f aca="false">IF($C256="&lt;01",ROUND(INDEX(EID!$V:$V,MATCH($B256,EID!$B:$B,0))/2,0),ROUND($BD256*$BB256,0))</f>
        <v>0</v>
      </c>
      <c r="BF256" s="39" t="n">
        <f aca="false">IF(LEFT($B256,4)="_Mil","",IF(SUM($BE256)=0,SUM($AF256),IF(OR(SUM($AP256)=0,SUM($AQ256)=0),MAX($BE256,$AF256),ROUND($BE256*$AQ256/$AP256,0))))</f>
        <v>0</v>
      </c>
      <c r="BG256" s="114" t="n">
        <f aca="false">IF($C256="&lt;01","",95%)</f>
        <v>0.95</v>
      </c>
      <c r="BH256" s="5" t="n">
        <f aca="false">IF($C256="&lt;01",ROUND(INDEX(EID!$L:$L,MATCH($B256,EID!$B:$B,0)),0)/2,IF(SUM($BG256)=0,"",ROUND($AX256/$BG256,0)))</f>
        <v>0</v>
      </c>
    </row>
    <row r="257" customFormat="false" ht="15" hidden="false" customHeight="false" outlineLevel="0" collapsed="false">
      <c r="A257" s="0" t="str">
        <f aca="false">INDEX(Prioritization!$D:$D,MATCH($B257,Prioritization!$A:$A,0))</f>
        <v>1 - Scale-up: Saturation</v>
      </c>
      <c r="B257" s="0" t="s">
        <v>211</v>
      </c>
      <c r="C257" s="0" t="s">
        <v>364</v>
      </c>
      <c r="D257" s="0" t="s">
        <v>30</v>
      </c>
      <c r="E257" s="0" t="str">
        <f aca="false">$B257&amp;"|"&amp;$C257&amp;"|"&amp;$D257</f>
        <v>Blantyre District [mxqa3CDFmIT]|10-14|Female</v>
      </c>
      <c r="F257" s="10"/>
      <c r="G257" s="10" t="n">
        <v>78</v>
      </c>
      <c r="H257" s="10" t="n">
        <v>4</v>
      </c>
      <c r="I257" s="10" t="n">
        <v>198</v>
      </c>
      <c r="J257" s="10" t="n">
        <v>89</v>
      </c>
      <c r="K257" s="10" t="n">
        <v>18</v>
      </c>
      <c r="L257" s="10" t="n">
        <v>99</v>
      </c>
      <c r="M257" s="10" t="n">
        <v>99</v>
      </c>
      <c r="N257" s="10" t="n">
        <v>130</v>
      </c>
      <c r="O257" s="10" t="n">
        <f aca="false">IFERROR(1/(1/MAX($I257,$N257)),"")</f>
        <v>198</v>
      </c>
      <c r="P257" s="10" t="n">
        <v>738</v>
      </c>
      <c r="Q257" s="10" t="n">
        <v>461</v>
      </c>
      <c r="R257" s="10" t="n">
        <f aca="false">IF(AND(SUM($I257)=0,SUM($O257)=0),"",SUM($O257)-$I257)</f>
        <v>0</v>
      </c>
      <c r="S257" s="10" t="n">
        <f aca="false">IF(LEFT($B257,4)="_Mil","",_xlfn.IFNA(ROUND(INDEX(Spectrum!$N:$N,MATCH(RIGHT($B257,13)&amp;"|"&amp;$C257&amp;"|"&amp;$D257&amp;"|"&amp;S$14&amp;"|"&amp;"CY2022Q4",Spectrum!$R:$R,0)),0),""))</f>
        <v>1444</v>
      </c>
      <c r="T257" s="39" t="n">
        <f aca="false">IF(LEFT($B257,4)="_Mil","",_xlfn.IFNA(ROUND(INDEX(Spectrum!$N:$N,MATCH(RIGHT($B257,13)&amp;"|"&amp;$C257&amp;"|"&amp;$D257&amp;"|"&amp;T$14&amp;"|"&amp;"CY2023Q3",Spectrum!$R:$R,0)),0),""))</f>
        <v>1508</v>
      </c>
      <c r="U257" s="39" t="str">
        <f aca="false">IF(LEFT($B257,4)="_Mil","",_xlfn.IFNA(ROUND(INDEX(Spectrum!$N:$N,MATCH(RIGHT($B257,13)&amp;"|"&amp;$C257&amp;"|"&amp;$D257&amp;"|"&amp;U$14&amp;"|"&amp;"CY2023Q3",Spectrum!$R:$R,0)),0),""))</f>
        <v/>
      </c>
      <c r="V257" s="10" t="n">
        <f aca="false">IF(LEFT($B257,4)="_Mil","",_xlfn.IFNA(ROUND(INDEX(Spectrum!$N:$N,MATCH(RIGHT($B257,13)&amp;"|"&amp;$C257&amp;"|"&amp;$D257&amp;"|"&amp;V$14&amp;"|"&amp;"CY2023Q3",Spectrum!$R:$R,0)),0),""))</f>
        <v>1174</v>
      </c>
      <c r="W257" s="113" t="n">
        <f aca="false">IF(LEFT($B257,4)="_Mil","",_xlfn.IFNA(INDEX(Spectrum!$N:$N,MATCH(RIGHT($B257,13)&amp;"|"&amp;$C257&amp;"|"&amp;$D257&amp;"|"&amp;W$14&amp;"|"&amp;"CY2023Q3",Spectrum!$R:$R,0)),""))</f>
        <v>849</v>
      </c>
      <c r="X257" s="39" t="n">
        <f aca="false">IF(LEFT($B257,4)="_Mil","",_xlfn.IFNA(ROUND(INDEX(Spectrum!$N:$N,MATCH(RIGHT($B257,13)&amp;"|"&amp;$C257&amp;"|"&amp;$D257&amp;"|"&amp;X$14&amp;"|"&amp;"CY2023Q3",Spectrum!$R:$R,0)),0),""))</f>
        <v>918</v>
      </c>
      <c r="Y257" s="88" t="str">
        <f aca="false">IF(OR(SUM($U257)=0,LEFT($B257,4)="_Mil"),"",SUM($X257)/$U257)</f>
        <v/>
      </c>
      <c r="Z257" s="39" t="n">
        <f aca="false">IF(LEFT($B257,4)="_Mil","",_xlfn.IFNA(ROUND(INDEX(Spectrum!$N:$N,MATCH(RIGHT($B257,13)&amp;"|"&amp;$C257&amp;"|"&amp;$D257&amp;"|"&amp;Z$14&amp;"|"&amp;"CY2023Q3",Spectrum!$R:$R,0)),0),""))</f>
        <v>1168</v>
      </c>
      <c r="AA257" s="88" t="n">
        <f aca="false">IF(LEFT($B257,4)="_Mil","",IFERROR(1/(1/INDEX(Spectrum!$N:$N,MATCH(RIGHT($B257,13)&amp;"|"&amp;$C257&amp;"|"&amp;$D257&amp;"|"&amp;AA$14&amp;"|"&amp;"CY2023Q3",Spectrum!$R:$R,0))),IF(SUM($U257)=0,"",SUM($Z257)/$U257)))</f>
        <v>628</v>
      </c>
      <c r="AB257" s="88" t="n">
        <f aca="false">IF(OR(LEFT($B257,4)="_Mil",SUM($X257)=0),"",SUM($Z257)/$X257)</f>
        <v>1.2723311546841</v>
      </c>
      <c r="AC257" s="10" t="n">
        <f aca="false">IF(LEFT($B257,4)="_Mil","",_xlfn.IFNA(ROUND(INDEX(Spectrum!$N:$N,MATCH(RIGHT($B257,13)&amp;"|"&amp;$C257&amp;"|"&amp;$D257&amp;"|"&amp;AC$14&amp;"|"&amp;"CY2023Q3",Spectrum!$R:$R,0)),0),""))</f>
        <v>749</v>
      </c>
      <c r="AD257" s="10" t="str">
        <f aca="false">IF(LEFT($B257,4)="_Mil","",_xlfn.IFNA(ROUND(INDEX(Spectrum!$N:$N,MATCH(RIGHT($B257,13)&amp;"|"&amp;$C257&amp;"|"&amp;$D257&amp;"|"&amp;AD$14&amp;"|"&amp;"CY2023Q3",Spectrum!$R:$R,0)),0),""))</f>
        <v/>
      </c>
      <c r="AE257" s="88" t="n">
        <f aca="false">IF(OR(LEFT($B257,4)="_Mil",SUM($Z257)=0),"",SUM($AD257)/$Z257)</f>
        <v>0</v>
      </c>
      <c r="AF257" s="39" t="str">
        <f aca="false">IF(LEFT($B257,4)="_Mil","",_xlfn.IFNA(ROUND(INDEX(Spectrum!$N:$N,MATCH(RIGHT($B257,13)&amp;"|"&amp;$C257&amp;"|"&amp;$D257&amp;"|"&amp;AF$14&amp;"|"&amp;"CY2023Q3",Spectrum!$R:$R,0)),0),""))</f>
        <v/>
      </c>
      <c r="AG257" s="88" t="str">
        <f aca="false">IF(OR(LEFT($B257,4)="_Mil",SUM($AD257)=0),"",SUM($AF257)/$AD257)</f>
        <v/>
      </c>
      <c r="AH257" s="86" t="str">
        <f aca="false">IF(LEFT($B257,4)="_Mil","",_xlfn.IFNA(INDEX(Spectrum!$N:$N,MATCH(RIGHT($B257,13)&amp;"|"&amp;$C257&amp;"|"&amp;$D257&amp;"|"&amp;AH$14&amp;"|"&amp;"CY2023Q3",Spectrum!$R:$R,0)),""))</f>
        <v/>
      </c>
      <c r="AI257" s="10" t="str">
        <f aca="false">IF(LEFT($B257,4)="_Mil","",_xlfn.IFNA(ROUND(INDEX(Spectrum!$N:$N,MATCH(RIGHT($B257,13)&amp;"|"&amp;$C257&amp;"|"&amp;$D257&amp;"|"&amp;AI$14&amp;"|"&amp;"CY2023Q3",Spectrum!$R:$R,0)),0),""))</f>
        <v/>
      </c>
      <c r="AJ257" s="39" t="n">
        <f aca="false">IF(LEFT($B257,4)="_Mil","",_xlfn.IFNA(ROUND(INDEX(Spectrum!$N:$N,MATCH(RIGHT($B257,13)&amp;"|"&amp;$C257&amp;"|"&amp;$D257&amp;"|"&amp;AI$14&amp;"|"&amp;"CY2023Q3",Spectrum!$R:$R,0)),0),SUM($U257)+SUM($AI257)))</f>
        <v>0</v>
      </c>
      <c r="AK257" s="10" t="str">
        <f aca="false">IF(LEFT($B257,4)="_Mil","",_xlfn.IFNA(ROUND(INDEX(Spectrum!$N:$N,MATCH(RIGHT($B257,13)&amp;"|"&amp;$C257&amp;"|"&amp;$D257&amp;"|"&amp;AK$14&amp;"|"&amp;"CY2023Q3",Spectrum!$R:$R,0)),0),""))</f>
        <v/>
      </c>
      <c r="AL257" s="88" t="n">
        <f aca="false">IF(OR(LEFT($B257,4)="_Mil",$C257="&lt;01"),"",MAX(SUM($AA257),90%))</f>
        <v>628</v>
      </c>
      <c r="AM257" s="10" t="n">
        <f aca="false">IF(OR(LEFT($B257,4)="_Mil",$C257="&lt;01"),"",ROUND(SUM($AJ257)*SUM($AL257),0))</f>
        <v>0</v>
      </c>
      <c r="AN257" s="10" t="str">
        <f aca="false">IF($C257="&lt;01",ROUND(INDEX(EID!$P:$P,MATCH($B257,EID!$B:$B,0))/2,0),"")</f>
        <v/>
      </c>
      <c r="AO257" s="10" t="n">
        <f aca="false">IF($C257="&lt;01",SUM($AN257),ROUND(SUM($AM257)*SUM($O257)/IF(SUM($Z257)=0,1,$Z257),0))</f>
        <v>0</v>
      </c>
      <c r="AP257" s="39" t="n">
        <f aca="false">IF(OR($F257="",$C257="&lt;01"),$AO257,$F257)</f>
        <v>0</v>
      </c>
      <c r="AQ257" s="39" t="n">
        <f aca="false">IF(LEFT($B257,4)="_Mil","",IF(SUM($AP257)=0,SUM($Z257),IF(OR(SUM($Z257)=0,SUM($O257)=0),MAX($AP257,$Z257),$AP257*$Z257/$O257)))</f>
        <v>1168</v>
      </c>
      <c r="AR257" s="88" t="str">
        <f aca="false">IF(OR(LEFT($B257,4)="_Mil",SUM($AJ257)=0),"",SUM($AQ257)/$AJ257)</f>
        <v/>
      </c>
      <c r="AS257" s="88" t="n">
        <f aca="false">IF($C257="&lt;01","",98%)</f>
        <v>0.98</v>
      </c>
      <c r="AT257" s="88" t="n">
        <f aca="false">IF($C257="&lt;01","",98%)</f>
        <v>0.98</v>
      </c>
      <c r="AU257" s="10" t="n">
        <f aca="false">IF($C257="&lt;01","",SUM($AP257)-SUM($O257))</f>
        <v>-198</v>
      </c>
      <c r="AV257" s="10" t="n">
        <f aca="false">IF($C257="&lt;01",ROUND(INDEX(EID!$N:$N,MATCH($B257,EID!$B:$B,0))/2,0),IF(SUM($AT257)=0,"",ROUND((SUM($AP257)-(SUM($O257)*SUM($AS257)))/$AT257,0)))</f>
        <v>-198</v>
      </c>
      <c r="AW257" s="88" t="n">
        <f aca="false">IF($C257="&lt;01","",100%)</f>
        <v>1</v>
      </c>
      <c r="AX257" s="39" t="n">
        <f aca="false">IF($C257="&lt;01",SUM($AV257),ROUND(SUM($AV257)*SUM($AW257),0))</f>
        <v>-198</v>
      </c>
      <c r="AY257" s="114" t="n">
        <f aca="false">IF($C257="&lt;01","",70%)</f>
        <v>0.7</v>
      </c>
      <c r="AZ257" s="91" t="n">
        <f aca="false">IF($C257="&lt;01",ROUND(INDEX(EID!$R:$R,MATCH($B257,EID!$B:$B,0))/2,0),ROUND(SUM($O257)+(SUM($AV257)*$AY257),0))</f>
        <v>59</v>
      </c>
      <c r="BA257" s="87" t="n">
        <f aca="false">IF($C257="&lt;01","",95%)</f>
        <v>0.95</v>
      </c>
      <c r="BB257" s="5" t="n">
        <f aca="false">IF($C257="&lt;01",ROUND(INDEX(EID!$T:$T,MATCH($B257,EID!$B:$B,0))/2,0),ROUND($AZ257*$BA257,0))</f>
        <v>56</v>
      </c>
      <c r="BC257" s="91" t="n">
        <f aca="false">IF(LEFT($B257,4)="_Mil","",IF(SUM($BB257)=0,SUM($AD257),IF(OR(SUM($AP257)=0,SUM($AQ257)=0),MAX($BB257,$AD257),ROUND($BB257*$AQ257/$AP257,0))))</f>
        <v>56</v>
      </c>
      <c r="BD257" s="88" t="n">
        <f aca="false">IF($C257="&lt;01","",95%)</f>
        <v>0.95</v>
      </c>
      <c r="BE257" s="39" t="n">
        <f aca="false">IF($C257="&lt;01",ROUND(INDEX(EID!$V:$V,MATCH($B257,EID!$B:$B,0))/2,0),ROUND($BD257*$BB257,0))</f>
        <v>53</v>
      </c>
      <c r="BF257" s="39" t="n">
        <f aca="false">IF(LEFT($B257,4)="_Mil","",IF(SUM($BE257)=0,SUM($AF257),IF(OR(SUM($AP257)=0,SUM($AQ257)=0),MAX($BE257,$AF257),ROUND($BE257*$AQ257/$AP257,0))))</f>
        <v>53</v>
      </c>
      <c r="BG257" s="114" t="n">
        <f aca="false">IF($C257="&lt;01","",95%)</f>
        <v>0.95</v>
      </c>
      <c r="BH257" s="5" t="n">
        <f aca="false">IF($C257="&lt;01",ROUND(INDEX(EID!$L:$L,MATCH($B257,EID!$B:$B,0)),0)/2,IF(SUM($BG257)=0,"",ROUND($AX257/$BG257,0)))</f>
        <v>-208</v>
      </c>
    </row>
    <row r="258" customFormat="false" ht="15" hidden="false" customHeight="false" outlineLevel="0" collapsed="false">
      <c r="A258" s="0" t="str">
        <f aca="false">INDEX(Prioritization!$D:$D,MATCH($B258,Prioritization!$A:$A,0))</f>
        <v>1 - Scale-up: Saturation</v>
      </c>
      <c r="B258" s="0" t="s">
        <v>211</v>
      </c>
      <c r="C258" s="0" t="s">
        <v>364</v>
      </c>
      <c r="D258" s="0" t="s">
        <v>48</v>
      </c>
      <c r="E258" s="0" t="str">
        <f aca="false">$B258&amp;"|"&amp;$C258&amp;"|"&amp;$D258</f>
        <v>Blantyre District [mxqa3CDFmIT]|10-14|Male</v>
      </c>
      <c r="F258" s="10"/>
      <c r="G258" s="10" t="n">
        <v>92</v>
      </c>
      <c r="H258" s="10" t="n">
        <v>4</v>
      </c>
      <c r="I258" s="10" t="n">
        <v>570</v>
      </c>
      <c r="J258" s="10" t="n">
        <v>88</v>
      </c>
      <c r="K258" s="10" t="n">
        <v>83</v>
      </c>
      <c r="L258" s="10" t="n">
        <v>30</v>
      </c>
      <c r="M258" s="10" t="n">
        <v>97</v>
      </c>
      <c r="N258" s="10" t="n">
        <v>519</v>
      </c>
      <c r="O258" s="10" t="n">
        <f aca="false">IFERROR(1/(1/MAX($I258,$N258)),"")</f>
        <v>570</v>
      </c>
      <c r="P258" s="10" t="n">
        <v>285</v>
      </c>
      <c r="Q258" s="10" t="n">
        <v>659</v>
      </c>
      <c r="R258" s="10" t="n">
        <f aca="false">IF(AND(SUM($I258)=0,SUM($O258)=0),"",SUM($O258)-$I258)</f>
        <v>0</v>
      </c>
      <c r="S258" s="10" t="n">
        <f aca="false">IF(LEFT($B258,4)="_Mil","",_xlfn.IFNA(ROUND(INDEX(Spectrum!$N:$N,MATCH(RIGHT($B258,13)&amp;"|"&amp;$C258&amp;"|"&amp;$D258&amp;"|"&amp;S$14&amp;"|"&amp;"CY2022Q4",Spectrum!$R:$R,0)),0),""))</f>
        <v>1305</v>
      </c>
      <c r="T258" s="39" t="n">
        <f aca="false">IF(LEFT($B258,4)="_Mil","",_xlfn.IFNA(ROUND(INDEX(Spectrum!$N:$N,MATCH(RIGHT($B258,13)&amp;"|"&amp;$C258&amp;"|"&amp;$D258&amp;"|"&amp;T$14&amp;"|"&amp;"CY2023Q3",Spectrum!$R:$R,0)),0),""))</f>
        <v>1528</v>
      </c>
      <c r="U258" s="39" t="str">
        <f aca="false">IF(LEFT($B258,4)="_Mil","",_xlfn.IFNA(ROUND(INDEX(Spectrum!$N:$N,MATCH(RIGHT($B258,13)&amp;"|"&amp;$C258&amp;"|"&amp;$D258&amp;"|"&amp;U$14&amp;"|"&amp;"CY2023Q3",Spectrum!$R:$R,0)),0),""))</f>
        <v/>
      </c>
      <c r="V258" s="10" t="n">
        <f aca="false">IF(LEFT($B258,4)="_Mil","",_xlfn.IFNA(ROUND(INDEX(Spectrum!$N:$N,MATCH(RIGHT($B258,13)&amp;"|"&amp;$C258&amp;"|"&amp;$D258&amp;"|"&amp;V$14&amp;"|"&amp;"CY2023Q3",Spectrum!$R:$R,0)),0),""))</f>
        <v>1805</v>
      </c>
      <c r="W258" s="113" t="n">
        <f aca="false">IF(LEFT($B258,4)="_Mil","",_xlfn.IFNA(INDEX(Spectrum!$N:$N,MATCH(RIGHT($B258,13)&amp;"|"&amp;$C258&amp;"|"&amp;$D258&amp;"|"&amp;W$14&amp;"|"&amp;"CY2023Q3",Spectrum!$R:$R,0)),""))</f>
        <v>1528</v>
      </c>
      <c r="X258" s="39" t="n">
        <f aca="false">IF(LEFT($B258,4)="_Mil","",_xlfn.IFNA(ROUND(INDEX(Spectrum!$N:$N,MATCH(RIGHT($B258,13)&amp;"|"&amp;$C258&amp;"|"&amp;$D258&amp;"|"&amp;X$14&amp;"|"&amp;"CY2023Q3",Spectrum!$R:$R,0)),0),""))</f>
        <v>786</v>
      </c>
      <c r="Y258" s="88" t="str">
        <f aca="false">IF(OR(SUM($U258)=0,LEFT($B258,4)="_Mil"),"",SUM($X258)/$U258)</f>
        <v/>
      </c>
      <c r="Z258" s="39" t="n">
        <f aca="false">IF(LEFT($B258,4)="_Mil","",_xlfn.IFNA(ROUND(INDEX(Spectrum!$N:$N,MATCH(RIGHT($B258,13)&amp;"|"&amp;$C258&amp;"|"&amp;$D258&amp;"|"&amp;Z$14&amp;"|"&amp;"CY2023Q3",Spectrum!$R:$R,0)),0),""))</f>
        <v>1540</v>
      </c>
      <c r="AA258" s="88" t="n">
        <f aca="false">IF(LEFT($B258,4)="_Mil","",IFERROR(1/(1/INDEX(Spectrum!$N:$N,MATCH(RIGHT($B258,13)&amp;"|"&amp;$C258&amp;"|"&amp;$D258&amp;"|"&amp;AA$14&amp;"|"&amp;"CY2023Q3",Spectrum!$R:$R,0))),IF(SUM($U258)=0,"",SUM($Z258)/$U258)))</f>
        <v>936</v>
      </c>
      <c r="AB258" s="88" t="n">
        <f aca="false">IF(OR(LEFT($B258,4)="_Mil",SUM($X258)=0),"",SUM($Z258)/$X258)</f>
        <v>1.95928753180662</v>
      </c>
      <c r="AC258" s="10" t="n">
        <f aca="false">IF(LEFT($B258,4)="_Mil","",_xlfn.IFNA(ROUND(INDEX(Spectrum!$N:$N,MATCH(RIGHT($B258,13)&amp;"|"&amp;$C258&amp;"|"&amp;$D258&amp;"|"&amp;AC$14&amp;"|"&amp;"CY2023Q3",Spectrum!$R:$R,0)),0),""))</f>
        <v>1700</v>
      </c>
      <c r="AD258" s="10" t="str">
        <f aca="false">IF(LEFT($B258,4)="_Mil","",_xlfn.IFNA(ROUND(INDEX(Spectrum!$N:$N,MATCH(RIGHT($B258,13)&amp;"|"&amp;$C258&amp;"|"&amp;$D258&amp;"|"&amp;AD$14&amp;"|"&amp;"CY2023Q3",Spectrum!$R:$R,0)),0),""))</f>
        <v/>
      </c>
      <c r="AE258" s="88" t="n">
        <f aca="false">IF(OR(LEFT($B258,4)="_Mil",SUM($Z258)=0),"",SUM($AD258)/$Z258)</f>
        <v>0</v>
      </c>
      <c r="AF258" s="39" t="str">
        <f aca="false">IF(LEFT($B258,4)="_Mil","",_xlfn.IFNA(ROUND(INDEX(Spectrum!$N:$N,MATCH(RIGHT($B258,13)&amp;"|"&amp;$C258&amp;"|"&amp;$D258&amp;"|"&amp;AF$14&amp;"|"&amp;"CY2023Q3",Spectrum!$R:$R,0)),0),""))</f>
        <v/>
      </c>
      <c r="AG258" s="88" t="str">
        <f aca="false">IF(OR(LEFT($B258,4)="_Mil",SUM($AD258)=0),"",SUM($AF258)/$AD258)</f>
        <v/>
      </c>
      <c r="AH258" s="86" t="str">
        <f aca="false">IF(LEFT($B258,4)="_Mil","",_xlfn.IFNA(INDEX(Spectrum!$N:$N,MATCH(RIGHT($B258,13)&amp;"|"&amp;$C258&amp;"|"&amp;$D258&amp;"|"&amp;AH$14&amp;"|"&amp;"CY2023Q3",Spectrum!$R:$R,0)),""))</f>
        <v/>
      </c>
      <c r="AI258" s="10" t="str">
        <f aca="false">IF(LEFT($B258,4)="_Mil","",_xlfn.IFNA(ROUND(INDEX(Spectrum!$N:$N,MATCH(RIGHT($B258,13)&amp;"|"&amp;$C258&amp;"|"&amp;$D258&amp;"|"&amp;AI$14&amp;"|"&amp;"CY2023Q3",Spectrum!$R:$R,0)),0),""))</f>
        <v/>
      </c>
      <c r="AJ258" s="39" t="n">
        <f aca="false">IF(LEFT($B258,4)="_Mil","",_xlfn.IFNA(ROUND(INDEX(Spectrum!$N:$N,MATCH(RIGHT($B258,13)&amp;"|"&amp;$C258&amp;"|"&amp;$D258&amp;"|"&amp;AI$14&amp;"|"&amp;"CY2023Q3",Spectrum!$R:$R,0)),0),SUM($U258)+SUM($AI258)))</f>
        <v>0</v>
      </c>
      <c r="AK258" s="10" t="str">
        <f aca="false">IF(LEFT($B258,4)="_Mil","",_xlfn.IFNA(ROUND(INDEX(Spectrum!$N:$N,MATCH(RIGHT($B258,13)&amp;"|"&amp;$C258&amp;"|"&amp;$D258&amp;"|"&amp;AK$14&amp;"|"&amp;"CY2023Q3",Spectrum!$R:$R,0)),0),""))</f>
        <v/>
      </c>
      <c r="AL258" s="88" t="n">
        <f aca="false">IF(OR(LEFT($B258,4)="_Mil",$C258="&lt;01"),"",MAX(SUM($AA258),90%))</f>
        <v>936</v>
      </c>
      <c r="AM258" s="10" t="n">
        <f aca="false">IF(OR(LEFT($B258,4)="_Mil",$C258="&lt;01"),"",ROUND(SUM($AJ258)*SUM($AL258),0))</f>
        <v>0</v>
      </c>
      <c r="AN258" s="10" t="str">
        <f aca="false">IF($C258="&lt;01",ROUND(INDEX(EID!$P:$P,MATCH($B258,EID!$B:$B,0))/2,0),"")</f>
        <v/>
      </c>
      <c r="AO258" s="10" t="n">
        <f aca="false">IF($C258="&lt;01",SUM($AN258),ROUND(SUM($AM258)*SUM($O258)/IF(SUM($Z258)=0,1,$Z258),0))</f>
        <v>0</v>
      </c>
      <c r="AP258" s="39" t="n">
        <f aca="false">IF(OR($F258="",$C258="&lt;01"),$AO258,$F258)</f>
        <v>0</v>
      </c>
      <c r="AQ258" s="39" t="n">
        <f aca="false">IF(LEFT($B258,4)="_Mil","",IF(SUM($AP258)=0,SUM($Z258),IF(OR(SUM($Z258)=0,SUM($O258)=0),MAX($AP258,$Z258),$AP258*$Z258/$O258)))</f>
        <v>1540</v>
      </c>
      <c r="AR258" s="88" t="str">
        <f aca="false">IF(OR(LEFT($B258,4)="_Mil",SUM($AJ258)=0),"",SUM($AQ258)/$AJ258)</f>
        <v/>
      </c>
      <c r="AS258" s="88" t="n">
        <f aca="false">IF($C258="&lt;01","",98%)</f>
        <v>0.98</v>
      </c>
      <c r="AT258" s="88" t="n">
        <f aca="false">IF($C258="&lt;01","",98%)</f>
        <v>0.98</v>
      </c>
      <c r="AU258" s="10" t="n">
        <f aca="false">IF($C258="&lt;01","",SUM($AP258)-SUM($O258))</f>
        <v>-570</v>
      </c>
      <c r="AV258" s="10" t="n">
        <f aca="false">IF($C258="&lt;01",ROUND(INDEX(EID!$N:$N,MATCH($B258,EID!$B:$B,0))/2,0),IF(SUM($AT258)=0,"",ROUND((SUM($AP258)-(SUM($O258)*SUM($AS258)))/$AT258,0)))</f>
        <v>-570</v>
      </c>
      <c r="AW258" s="88" t="n">
        <f aca="false">IF($C258="&lt;01","",100%)</f>
        <v>1</v>
      </c>
      <c r="AX258" s="39" t="n">
        <f aca="false">IF($C258="&lt;01",SUM($AV258),ROUND(SUM($AV258)*SUM($AW258),0))</f>
        <v>-570</v>
      </c>
      <c r="AY258" s="114" t="n">
        <f aca="false">IF($C258="&lt;01","",70%)</f>
        <v>0.7</v>
      </c>
      <c r="AZ258" s="91" t="n">
        <f aca="false">IF($C258="&lt;01",ROUND(INDEX(EID!$R:$R,MATCH($B258,EID!$B:$B,0))/2,0),ROUND(SUM($O258)+(SUM($AV258)*$AY258),0))</f>
        <v>171</v>
      </c>
      <c r="BA258" s="87" t="n">
        <f aca="false">IF($C258="&lt;01","",95%)</f>
        <v>0.95</v>
      </c>
      <c r="BB258" s="5" t="n">
        <f aca="false">IF($C258="&lt;01",ROUND(INDEX(EID!$T:$T,MATCH($B258,EID!$B:$B,0))/2,0),ROUND($AZ258*$BA258,0))</f>
        <v>162</v>
      </c>
      <c r="BC258" s="91" t="n">
        <f aca="false">IF(LEFT($B258,4)="_Mil","",IF(SUM($BB258)=0,SUM($AD258),IF(OR(SUM($AP258)=0,SUM($AQ258)=0),MAX($BB258,$AD258),ROUND($BB258*$AQ258/$AP258,0))))</f>
        <v>162</v>
      </c>
      <c r="BD258" s="88" t="n">
        <f aca="false">IF($C258="&lt;01","",95%)</f>
        <v>0.95</v>
      </c>
      <c r="BE258" s="39" t="n">
        <f aca="false">IF($C258="&lt;01",ROUND(INDEX(EID!$V:$V,MATCH($B258,EID!$B:$B,0))/2,0),ROUND($BD258*$BB258,0))</f>
        <v>154</v>
      </c>
      <c r="BF258" s="39" t="n">
        <f aca="false">IF(LEFT($B258,4)="_Mil","",IF(SUM($BE258)=0,SUM($AF258),IF(OR(SUM($AP258)=0,SUM($AQ258)=0),MAX($BE258,$AF258),ROUND($BE258*$AQ258/$AP258,0))))</f>
        <v>154</v>
      </c>
      <c r="BG258" s="114" t="n">
        <f aca="false">IF($C258="&lt;01","",95%)</f>
        <v>0.95</v>
      </c>
      <c r="BH258" s="5" t="n">
        <f aca="false">IF($C258="&lt;01",ROUND(INDEX(EID!$L:$L,MATCH($B258,EID!$B:$B,0)),0)/2,IF(SUM($BG258)=0,"",ROUND($AX258/$BG258,0)))</f>
        <v>-600</v>
      </c>
    </row>
    <row r="259" customFormat="false" ht="15" hidden="false" customHeight="false" outlineLevel="0" collapsed="false">
      <c r="A259" s="0" t="str">
        <f aca="false">INDEX(Prioritization!$D:$D,MATCH($B259,Prioritization!$A:$A,0))</f>
        <v>1 - Scale-up: Saturation</v>
      </c>
      <c r="B259" s="0" t="s">
        <v>211</v>
      </c>
      <c r="C259" s="0" t="s">
        <v>365</v>
      </c>
      <c r="D259" s="0" t="s">
        <v>30</v>
      </c>
      <c r="E259" s="0" t="str">
        <f aca="false">$B259&amp;"|"&amp;$C259&amp;"|"&amp;$D259</f>
        <v>Blantyre District [mxqa3CDFmIT]|15-24|Female</v>
      </c>
      <c r="F259" s="10"/>
      <c r="G259" s="10"/>
      <c r="H259" s="10"/>
      <c r="I259" s="10"/>
      <c r="J259" s="10"/>
      <c r="K259" s="10"/>
      <c r="L259" s="10"/>
      <c r="M259" s="10"/>
      <c r="N259" s="10"/>
      <c r="O259" s="10" t="str">
        <f aca="false">IFERROR(1/(1/MAX($I259,$N259)),"")</f>
        <v/>
      </c>
      <c r="P259" s="10"/>
      <c r="Q259" s="10"/>
      <c r="R259" s="10" t="str">
        <f aca="false">IF(AND(SUM($I259)=0,SUM($O259)=0),"",SUM($O259)-$I259)</f>
        <v/>
      </c>
      <c r="S259" s="10" t="n">
        <f aca="false">IF(LEFT($B259,4)="_Mil","",_xlfn.IFNA(ROUND(INDEX(Spectrum!$N:$N,MATCH(RIGHT($B259,13)&amp;"|"&amp;$C259&amp;"|"&amp;$D259&amp;"|"&amp;S$14&amp;"|"&amp;"CY2022Q4",Spectrum!$R:$R,0)),0),""))</f>
        <v>1279</v>
      </c>
      <c r="T259" s="39" t="n">
        <f aca="false">IF(LEFT($B259,4)="_Mil","",_xlfn.IFNA(ROUND(INDEX(Spectrum!$N:$N,MATCH(RIGHT($B259,13)&amp;"|"&amp;$C259&amp;"|"&amp;$D259&amp;"|"&amp;T$14&amp;"|"&amp;"CY2023Q3",Spectrum!$R:$R,0)),0),""))</f>
        <v>1328</v>
      </c>
      <c r="U259" s="39" t="str">
        <f aca="false">IF(LEFT($B259,4)="_Mil","",_xlfn.IFNA(ROUND(INDEX(Spectrum!$N:$N,MATCH(RIGHT($B259,13)&amp;"|"&amp;$C259&amp;"|"&amp;$D259&amp;"|"&amp;U$14&amp;"|"&amp;"CY2023Q3",Spectrum!$R:$R,0)),0),""))</f>
        <v/>
      </c>
      <c r="V259" s="10" t="n">
        <f aca="false">IF(LEFT($B259,4)="_Mil","",_xlfn.IFNA(ROUND(INDEX(Spectrum!$N:$N,MATCH(RIGHT($B259,13)&amp;"|"&amp;$C259&amp;"|"&amp;$D259&amp;"|"&amp;V$14&amp;"|"&amp;"CY2023Q3",Spectrum!$R:$R,0)),0),""))</f>
        <v>837</v>
      </c>
      <c r="W259" s="113" t="n">
        <f aca="false">IF(LEFT($B259,4)="_Mil","",_xlfn.IFNA(INDEX(Spectrum!$N:$N,MATCH(RIGHT($B259,13)&amp;"|"&amp;$C259&amp;"|"&amp;$D259&amp;"|"&amp;W$14&amp;"|"&amp;"CY2023Q3",Spectrum!$R:$R,0)),""))</f>
        <v>1376</v>
      </c>
      <c r="X259" s="39" t="n">
        <f aca="false">IF(LEFT($B259,4)="_Mil","",_xlfn.IFNA(ROUND(INDEX(Spectrum!$N:$N,MATCH(RIGHT($B259,13)&amp;"|"&amp;$C259&amp;"|"&amp;$D259&amp;"|"&amp;X$14&amp;"|"&amp;"CY2023Q3",Spectrum!$R:$R,0)),0),""))</f>
        <v>1140</v>
      </c>
      <c r="Y259" s="88" t="str">
        <f aca="false">IF(OR(SUM($U259)=0,LEFT($B259,4)="_Mil"),"",SUM($X259)/$U259)</f>
        <v/>
      </c>
      <c r="Z259" s="39" t="n">
        <f aca="false">IF(LEFT($B259,4)="_Mil","",_xlfn.IFNA(ROUND(INDEX(Spectrum!$N:$N,MATCH(RIGHT($B259,13)&amp;"|"&amp;$C259&amp;"|"&amp;$D259&amp;"|"&amp;Z$14&amp;"|"&amp;"CY2023Q3",Spectrum!$R:$R,0)),0),""))</f>
        <v>1435</v>
      </c>
      <c r="AA259" s="88" t="n">
        <f aca="false">IF(LEFT($B259,4)="_Mil","",IFERROR(1/(1/INDEX(Spectrum!$N:$N,MATCH(RIGHT($B259,13)&amp;"|"&amp;$C259&amp;"|"&amp;$D259&amp;"|"&amp;AA$14&amp;"|"&amp;"CY2023Q3",Spectrum!$R:$R,0))),IF(SUM($U259)=0,"",SUM($Z259)/$U259)))</f>
        <v>534</v>
      </c>
      <c r="AB259" s="88" t="n">
        <f aca="false">IF(OR(LEFT($B259,4)="_Mil",SUM($X259)=0),"",SUM($Z259)/$X259)</f>
        <v>1.25877192982456</v>
      </c>
      <c r="AC259" s="10" t="n">
        <f aca="false">IF(LEFT($B259,4)="_Mil","",_xlfn.IFNA(ROUND(INDEX(Spectrum!$N:$N,MATCH(RIGHT($B259,13)&amp;"|"&amp;$C259&amp;"|"&amp;$D259&amp;"|"&amp;AC$14&amp;"|"&amp;"CY2023Q3",Spectrum!$R:$R,0)),0),""))</f>
        <v>1844</v>
      </c>
      <c r="AD259" s="10" t="str">
        <f aca="false">IF(LEFT($B259,4)="_Mil","",_xlfn.IFNA(ROUND(INDEX(Spectrum!$N:$N,MATCH(RIGHT($B259,13)&amp;"|"&amp;$C259&amp;"|"&amp;$D259&amp;"|"&amp;AD$14&amp;"|"&amp;"CY2023Q3",Spectrum!$R:$R,0)),0),""))</f>
        <v/>
      </c>
      <c r="AE259" s="88" t="n">
        <f aca="false">IF(OR(LEFT($B259,4)="_Mil",SUM($Z259)=0),"",SUM($AD259)/$Z259)</f>
        <v>0</v>
      </c>
      <c r="AF259" s="39" t="str">
        <f aca="false">IF(LEFT($B259,4)="_Mil","",_xlfn.IFNA(ROUND(INDEX(Spectrum!$N:$N,MATCH(RIGHT($B259,13)&amp;"|"&amp;$C259&amp;"|"&amp;$D259&amp;"|"&amp;AF$14&amp;"|"&amp;"CY2023Q3",Spectrum!$R:$R,0)),0),""))</f>
        <v/>
      </c>
      <c r="AG259" s="88" t="str">
        <f aca="false">IF(OR(LEFT($B259,4)="_Mil",SUM($AD259)=0),"",SUM($AF259)/$AD259)</f>
        <v/>
      </c>
      <c r="AH259" s="86" t="str">
        <f aca="false">IF(LEFT($B259,4)="_Mil","",_xlfn.IFNA(INDEX(Spectrum!$N:$N,MATCH(RIGHT($B259,13)&amp;"|"&amp;$C259&amp;"|"&amp;$D259&amp;"|"&amp;AH$14&amp;"|"&amp;"CY2023Q3",Spectrum!$R:$R,0)),""))</f>
        <v/>
      </c>
      <c r="AI259" s="10" t="str">
        <f aca="false">IF(LEFT($B259,4)="_Mil","",_xlfn.IFNA(ROUND(INDEX(Spectrum!$N:$N,MATCH(RIGHT($B259,13)&amp;"|"&amp;$C259&amp;"|"&amp;$D259&amp;"|"&amp;AI$14&amp;"|"&amp;"CY2023Q3",Spectrum!$R:$R,0)),0),""))</f>
        <v/>
      </c>
      <c r="AJ259" s="39" t="n">
        <f aca="false">IF(LEFT($B259,4)="_Mil","",_xlfn.IFNA(ROUND(INDEX(Spectrum!$N:$N,MATCH(RIGHT($B259,13)&amp;"|"&amp;$C259&amp;"|"&amp;$D259&amp;"|"&amp;AI$14&amp;"|"&amp;"CY2023Q3",Spectrum!$R:$R,0)),0),SUM($U259)+SUM($AI259)))</f>
        <v>0</v>
      </c>
      <c r="AK259" s="10" t="str">
        <f aca="false">IF(LEFT($B259,4)="_Mil","",_xlfn.IFNA(ROUND(INDEX(Spectrum!$N:$N,MATCH(RIGHT($B259,13)&amp;"|"&amp;$C259&amp;"|"&amp;$D259&amp;"|"&amp;AK$14&amp;"|"&amp;"CY2023Q3",Spectrum!$R:$R,0)),0),""))</f>
        <v/>
      </c>
      <c r="AL259" s="88" t="n">
        <f aca="false">IF(OR(LEFT($B259,4)="_Mil",$C259="&lt;01"),"",MAX(SUM($AA259),90%))</f>
        <v>534</v>
      </c>
      <c r="AM259" s="10" t="n">
        <f aca="false">IF(OR(LEFT($B259,4)="_Mil",$C259="&lt;01"),"",ROUND(SUM($AJ259)*SUM($AL259),0))</f>
        <v>0</v>
      </c>
      <c r="AN259" s="10" t="str">
        <f aca="false">IF($C259="&lt;01",ROUND(INDEX(EID!$P:$P,MATCH($B259,EID!$B:$B,0))/2,0),"")</f>
        <v/>
      </c>
      <c r="AO259" s="10" t="n">
        <f aca="false">IF($C259="&lt;01",SUM($AN259),ROUND(SUM($AM259)*SUM($O259)/IF(SUM($Z259)=0,1,$Z259),0))</f>
        <v>0</v>
      </c>
      <c r="AP259" s="39" t="n">
        <f aca="false">IF(OR($F259="",$C259="&lt;01"),$AO259,$F259)</f>
        <v>0</v>
      </c>
      <c r="AQ259" s="39" t="n">
        <f aca="false">IF(LEFT($B259,4)="_Mil","",IF(SUM($AP259)=0,SUM($Z259),IF(OR(SUM($Z259)=0,SUM($O259)=0),MAX($AP259,$Z259),$AP259*$Z259/$O259)))</f>
        <v>1435</v>
      </c>
      <c r="AR259" s="88" t="str">
        <f aca="false">IF(OR(LEFT($B259,4)="_Mil",SUM($AJ259)=0),"",SUM($AQ259)/$AJ259)</f>
        <v/>
      </c>
      <c r="AS259" s="88" t="n">
        <f aca="false">IF($C259="&lt;01","",98%)</f>
        <v>0.98</v>
      </c>
      <c r="AT259" s="88" t="n">
        <f aca="false">IF($C259="&lt;01","",98%)</f>
        <v>0.98</v>
      </c>
      <c r="AU259" s="10" t="n">
        <f aca="false">IF($C259="&lt;01","",SUM($AP259)-SUM($O259))</f>
        <v>0</v>
      </c>
      <c r="AV259" s="10" t="n">
        <f aca="false">IF($C259="&lt;01",ROUND(INDEX(EID!$N:$N,MATCH($B259,EID!$B:$B,0))/2,0),IF(SUM($AT259)=0,"",ROUND((SUM($AP259)-(SUM($O259)*SUM($AS259)))/$AT259,0)))</f>
        <v>0</v>
      </c>
      <c r="AW259" s="88" t="n">
        <f aca="false">IF($C259="&lt;01","",100%)</f>
        <v>1</v>
      </c>
      <c r="AX259" s="39" t="n">
        <f aca="false">IF($C259="&lt;01",SUM($AV259),ROUND(SUM($AV259)*SUM($AW259),0))</f>
        <v>0</v>
      </c>
      <c r="AY259" s="114" t="n">
        <f aca="false">IF($C259="&lt;01","",70%)</f>
        <v>0.7</v>
      </c>
      <c r="AZ259" s="91" t="n">
        <f aca="false">IF($C259="&lt;01",ROUND(INDEX(EID!$R:$R,MATCH($B259,EID!$B:$B,0))/2,0),ROUND(SUM($O259)+(SUM($AV259)*$AY259),0))</f>
        <v>0</v>
      </c>
      <c r="BA259" s="87" t="n">
        <f aca="false">IF($C259="&lt;01","",95%)</f>
        <v>0.95</v>
      </c>
      <c r="BB259" s="5" t="n">
        <f aca="false">IF($C259="&lt;01",ROUND(INDEX(EID!$T:$T,MATCH($B259,EID!$B:$B,0))/2,0),ROUND($AZ259*$BA259,0))</f>
        <v>0</v>
      </c>
      <c r="BC259" s="91" t="n">
        <f aca="false">IF(LEFT($B259,4)="_Mil","",IF(SUM($BB259)=0,SUM($AD259),IF(OR(SUM($AP259)=0,SUM($AQ259)=0),MAX($BB259,$AD259),ROUND($BB259*$AQ259/$AP259,0))))</f>
        <v>0</v>
      </c>
      <c r="BD259" s="88" t="n">
        <f aca="false">IF($C259="&lt;01","",95%)</f>
        <v>0.95</v>
      </c>
      <c r="BE259" s="39" t="n">
        <f aca="false">IF($C259="&lt;01",ROUND(INDEX(EID!$V:$V,MATCH($B259,EID!$B:$B,0))/2,0),ROUND($BD259*$BB259,0))</f>
        <v>0</v>
      </c>
      <c r="BF259" s="39" t="n">
        <f aca="false">IF(LEFT($B259,4)="_Mil","",IF(SUM($BE259)=0,SUM($AF259),IF(OR(SUM($AP259)=0,SUM($AQ259)=0),MAX($BE259,$AF259),ROUND($BE259*$AQ259/$AP259,0))))</f>
        <v>0</v>
      </c>
      <c r="BG259" s="114" t="n">
        <f aca="false">IF($C259="&lt;01","",95%)</f>
        <v>0.95</v>
      </c>
      <c r="BH259" s="5" t="n">
        <f aca="false">IF($C259="&lt;01",ROUND(INDEX(EID!$L:$L,MATCH($B259,EID!$B:$B,0)),0)/2,IF(SUM($BG259)=0,"",ROUND($AX259/$BG259,0)))</f>
        <v>0</v>
      </c>
    </row>
    <row r="260" customFormat="false" ht="15" hidden="false" customHeight="false" outlineLevel="0" collapsed="false">
      <c r="A260" s="0" t="str">
        <f aca="false">INDEX(Prioritization!$D:$D,MATCH($B260,Prioritization!$A:$A,0))</f>
        <v>1 - Scale-up: Saturation</v>
      </c>
      <c r="B260" s="0" t="s">
        <v>211</v>
      </c>
      <c r="C260" s="0" t="s">
        <v>365</v>
      </c>
      <c r="D260" s="0" t="s">
        <v>48</v>
      </c>
      <c r="E260" s="0" t="str">
        <f aca="false">$B260&amp;"|"&amp;$C260&amp;"|"&amp;$D260</f>
        <v>Blantyre District [mxqa3CDFmIT]|15-24|Male</v>
      </c>
      <c r="F260" s="10"/>
      <c r="G260" s="10"/>
      <c r="H260" s="10"/>
      <c r="I260" s="10"/>
      <c r="J260" s="10"/>
      <c r="K260" s="10"/>
      <c r="L260" s="10"/>
      <c r="M260" s="10"/>
      <c r="N260" s="10"/>
      <c r="O260" s="10" t="str">
        <f aca="false">IFERROR(1/(1/MAX($I260,$N260)),"")</f>
        <v/>
      </c>
      <c r="P260" s="10"/>
      <c r="Q260" s="10"/>
      <c r="R260" s="10" t="str">
        <f aca="false">IF(AND(SUM($I260)=0,SUM($O260)=0),"",SUM($O260)-$I260)</f>
        <v/>
      </c>
      <c r="S260" s="10" t="n">
        <f aca="false">IF(LEFT($B260,4)="_Mil","",_xlfn.IFNA(ROUND(INDEX(Spectrum!$N:$N,MATCH(RIGHT($B260,13)&amp;"|"&amp;$C260&amp;"|"&amp;$D260&amp;"|"&amp;S$14&amp;"|"&amp;"CY2022Q4",Spectrum!$R:$R,0)),0),""))</f>
        <v>1197</v>
      </c>
      <c r="T260" s="39" t="n">
        <f aca="false">IF(LEFT($B260,4)="_Mil","",_xlfn.IFNA(ROUND(INDEX(Spectrum!$N:$N,MATCH(RIGHT($B260,13)&amp;"|"&amp;$C260&amp;"|"&amp;$D260&amp;"|"&amp;T$14&amp;"|"&amp;"CY2023Q3",Spectrum!$R:$R,0)),0),""))</f>
        <v>1726</v>
      </c>
      <c r="U260" s="39" t="str">
        <f aca="false">IF(LEFT($B260,4)="_Mil","",_xlfn.IFNA(ROUND(INDEX(Spectrum!$N:$N,MATCH(RIGHT($B260,13)&amp;"|"&amp;$C260&amp;"|"&amp;$D260&amp;"|"&amp;U$14&amp;"|"&amp;"CY2023Q3",Spectrum!$R:$R,0)),0),""))</f>
        <v/>
      </c>
      <c r="V260" s="10" t="n">
        <f aca="false">IF(LEFT($B260,4)="_Mil","",_xlfn.IFNA(ROUND(INDEX(Spectrum!$N:$N,MATCH(RIGHT($B260,13)&amp;"|"&amp;$C260&amp;"|"&amp;$D260&amp;"|"&amp;V$14&amp;"|"&amp;"CY2023Q3",Spectrum!$R:$R,0)),0),""))</f>
        <v>1218</v>
      </c>
      <c r="W260" s="113" t="n">
        <f aca="false">IF(LEFT($B260,4)="_Mil","",_xlfn.IFNA(INDEX(Spectrum!$N:$N,MATCH(RIGHT($B260,13)&amp;"|"&amp;$C260&amp;"|"&amp;$D260&amp;"|"&amp;W$14&amp;"|"&amp;"CY2023Q3",Spectrum!$R:$R,0)),""))</f>
        <v>1282</v>
      </c>
      <c r="X260" s="39" t="n">
        <f aca="false">IF(LEFT($B260,4)="_Mil","",_xlfn.IFNA(ROUND(INDEX(Spectrum!$N:$N,MATCH(RIGHT($B260,13)&amp;"|"&amp;$C260&amp;"|"&amp;$D260&amp;"|"&amp;X$14&amp;"|"&amp;"CY2023Q3",Spectrum!$R:$R,0)),0),""))</f>
        <v>634</v>
      </c>
      <c r="Y260" s="88" t="str">
        <f aca="false">IF(OR(SUM($U260)=0,LEFT($B260,4)="_Mil"),"",SUM($X260)/$U260)</f>
        <v/>
      </c>
      <c r="Z260" s="39" t="n">
        <f aca="false">IF(LEFT($B260,4)="_Mil","",_xlfn.IFNA(ROUND(INDEX(Spectrum!$N:$N,MATCH(RIGHT($B260,13)&amp;"|"&amp;$C260&amp;"|"&amp;$D260&amp;"|"&amp;Z$14&amp;"|"&amp;"CY2023Q3",Spectrum!$R:$R,0)),0),""))</f>
        <v>510</v>
      </c>
      <c r="AA260" s="88" t="n">
        <f aca="false">IF(LEFT($B260,4)="_Mil","",IFERROR(1/(1/INDEX(Spectrum!$N:$N,MATCH(RIGHT($B260,13)&amp;"|"&amp;$C260&amp;"|"&amp;$D260&amp;"|"&amp;AA$14&amp;"|"&amp;"CY2023Q3",Spectrum!$R:$R,0))),IF(SUM($U260)=0,"",SUM($Z260)/$U260)))</f>
        <v>1085</v>
      </c>
      <c r="AB260" s="88" t="n">
        <f aca="false">IF(OR(LEFT($B260,4)="_Mil",SUM($X260)=0),"",SUM($Z260)/$X260)</f>
        <v>0.804416403785489</v>
      </c>
      <c r="AC260" s="10" t="n">
        <f aca="false">IF(LEFT($B260,4)="_Mil","",_xlfn.IFNA(ROUND(INDEX(Spectrum!$N:$N,MATCH(RIGHT($B260,13)&amp;"|"&amp;$C260&amp;"|"&amp;$D260&amp;"|"&amp;AC$14&amp;"|"&amp;"CY2023Q3",Spectrum!$R:$R,0)),0),""))</f>
        <v>618</v>
      </c>
      <c r="AD260" s="10" t="str">
        <f aca="false">IF(LEFT($B260,4)="_Mil","",_xlfn.IFNA(ROUND(INDEX(Spectrum!$N:$N,MATCH(RIGHT($B260,13)&amp;"|"&amp;$C260&amp;"|"&amp;$D260&amp;"|"&amp;AD$14&amp;"|"&amp;"CY2023Q3",Spectrum!$R:$R,0)),0),""))</f>
        <v/>
      </c>
      <c r="AE260" s="88" t="n">
        <f aca="false">IF(OR(LEFT($B260,4)="_Mil",SUM($Z260)=0),"",SUM($AD260)/$Z260)</f>
        <v>0</v>
      </c>
      <c r="AF260" s="39" t="str">
        <f aca="false">IF(LEFT($B260,4)="_Mil","",_xlfn.IFNA(ROUND(INDEX(Spectrum!$N:$N,MATCH(RIGHT($B260,13)&amp;"|"&amp;$C260&amp;"|"&amp;$D260&amp;"|"&amp;AF$14&amp;"|"&amp;"CY2023Q3",Spectrum!$R:$R,0)),0),""))</f>
        <v/>
      </c>
      <c r="AG260" s="88" t="str">
        <f aca="false">IF(OR(LEFT($B260,4)="_Mil",SUM($AD260)=0),"",SUM($AF260)/$AD260)</f>
        <v/>
      </c>
      <c r="AH260" s="86" t="str">
        <f aca="false">IF(LEFT($B260,4)="_Mil","",_xlfn.IFNA(INDEX(Spectrum!$N:$N,MATCH(RIGHT($B260,13)&amp;"|"&amp;$C260&amp;"|"&amp;$D260&amp;"|"&amp;AH$14&amp;"|"&amp;"CY2023Q3",Spectrum!$R:$R,0)),""))</f>
        <v/>
      </c>
      <c r="AI260" s="10" t="str">
        <f aca="false">IF(LEFT($B260,4)="_Mil","",_xlfn.IFNA(ROUND(INDEX(Spectrum!$N:$N,MATCH(RIGHT($B260,13)&amp;"|"&amp;$C260&amp;"|"&amp;$D260&amp;"|"&amp;AI$14&amp;"|"&amp;"CY2023Q3",Spectrum!$R:$R,0)),0),""))</f>
        <v/>
      </c>
      <c r="AJ260" s="39" t="n">
        <f aca="false">IF(LEFT($B260,4)="_Mil","",_xlfn.IFNA(ROUND(INDEX(Spectrum!$N:$N,MATCH(RIGHT($B260,13)&amp;"|"&amp;$C260&amp;"|"&amp;$D260&amp;"|"&amp;AI$14&amp;"|"&amp;"CY2023Q3",Spectrum!$R:$R,0)),0),SUM($U260)+SUM($AI260)))</f>
        <v>0</v>
      </c>
      <c r="AK260" s="10" t="str">
        <f aca="false">IF(LEFT($B260,4)="_Mil","",_xlfn.IFNA(ROUND(INDEX(Spectrum!$N:$N,MATCH(RIGHT($B260,13)&amp;"|"&amp;$C260&amp;"|"&amp;$D260&amp;"|"&amp;AK$14&amp;"|"&amp;"CY2023Q3",Spectrum!$R:$R,0)),0),""))</f>
        <v/>
      </c>
      <c r="AL260" s="88" t="n">
        <f aca="false">IF(OR(LEFT($B260,4)="_Mil",$C260="&lt;01"),"",MAX(SUM($AA260),90%))</f>
        <v>1085</v>
      </c>
      <c r="AM260" s="10" t="n">
        <f aca="false">IF(OR(LEFT($B260,4)="_Mil",$C260="&lt;01"),"",ROUND(SUM($AJ260)*SUM($AL260),0))</f>
        <v>0</v>
      </c>
      <c r="AN260" s="10" t="str">
        <f aca="false">IF($C260="&lt;01",ROUND(INDEX(EID!$P:$P,MATCH($B260,EID!$B:$B,0))/2,0),"")</f>
        <v/>
      </c>
      <c r="AO260" s="10" t="n">
        <f aca="false">IF($C260="&lt;01",SUM($AN260),ROUND(SUM($AM260)*SUM($O260)/IF(SUM($Z260)=0,1,$Z260),0))</f>
        <v>0</v>
      </c>
      <c r="AP260" s="39" t="n">
        <f aca="false">IF(OR($F260="",$C260="&lt;01"),$AO260,$F260)</f>
        <v>0</v>
      </c>
      <c r="AQ260" s="39" t="n">
        <f aca="false">IF(LEFT($B260,4)="_Mil","",IF(SUM($AP260)=0,SUM($Z260),IF(OR(SUM($Z260)=0,SUM($O260)=0),MAX($AP260,$Z260),$AP260*$Z260/$O260)))</f>
        <v>510</v>
      </c>
      <c r="AR260" s="88" t="str">
        <f aca="false">IF(OR(LEFT($B260,4)="_Mil",SUM($AJ260)=0),"",SUM($AQ260)/$AJ260)</f>
        <v/>
      </c>
      <c r="AS260" s="88" t="n">
        <f aca="false">IF($C260="&lt;01","",98%)</f>
        <v>0.98</v>
      </c>
      <c r="AT260" s="88" t="n">
        <f aca="false">IF($C260="&lt;01","",98%)</f>
        <v>0.98</v>
      </c>
      <c r="AU260" s="10" t="n">
        <f aca="false">IF($C260="&lt;01","",SUM($AP260)-SUM($O260))</f>
        <v>0</v>
      </c>
      <c r="AV260" s="10" t="n">
        <f aca="false">IF($C260="&lt;01",ROUND(INDEX(EID!$N:$N,MATCH($B260,EID!$B:$B,0))/2,0),IF(SUM($AT260)=0,"",ROUND((SUM($AP260)-(SUM($O260)*SUM($AS260)))/$AT260,0)))</f>
        <v>0</v>
      </c>
      <c r="AW260" s="88" t="n">
        <f aca="false">IF($C260="&lt;01","",100%)</f>
        <v>1</v>
      </c>
      <c r="AX260" s="39" t="n">
        <f aca="false">IF($C260="&lt;01",SUM($AV260),ROUND(SUM($AV260)*SUM($AW260),0))</f>
        <v>0</v>
      </c>
      <c r="AY260" s="114" t="n">
        <f aca="false">IF($C260="&lt;01","",70%)</f>
        <v>0.7</v>
      </c>
      <c r="AZ260" s="91" t="n">
        <f aca="false">IF($C260="&lt;01",ROUND(INDEX(EID!$R:$R,MATCH($B260,EID!$B:$B,0))/2,0),ROUND(SUM($O260)+(SUM($AV260)*$AY260),0))</f>
        <v>0</v>
      </c>
      <c r="BA260" s="87" t="n">
        <f aca="false">IF($C260="&lt;01","",95%)</f>
        <v>0.95</v>
      </c>
      <c r="BB260" s="5" t="n">
        <f aca="false">IF($C260="&lt;01",ROUND(INDEX(EID!$T:$T,MATCH($B260,EID!$B:$B,0))/2,0),ROUND($AZ260*$BA260,0))</f>
        <v>0</v>
      </c>
      <c r="BC260" s="91" t="n">
        <f aca="false">IF(LEFT($B260,4)="_Mil","",IF(SUM($BB260)=0,SUM($AD260),IF(OR(SUM($AP260)=0,SUM($AQ260)=0),MAX($BB260,$AD260),ROUND($BB260*$AQ260/$AP260,0))))</f>
        <v>0</v>
      </c>
      <c r="BD260" s="88" t="n">
        <f aca="false">IF($C260="&lt;01","",95%)</f>
        <v>0.95</v>
      </c>
      <c r="BE260" s="39" t="n">
        <f aca="false">IF($C260="&lt;01",ROUND(INDEX(EID!$V:$V,MATCH($B260,EID!$B:$B,0))/2,0),ROUND($BD260*$BB260,0))</f>
        <v>0</v>
      </c>
      <c r="BF260" s="39" t="n">
        <f aca="false">IF(LEFT($B260,4)="_Mil","",IF(SUM($BE260)=0,SUM($AF260),IF(OR(SUM($AP260)=0,SUM($AQ260)=0),MAX($BE260,$AF260),ROUND($BE260*$AQ260/$AP260,0))))</f>
        <v>0</v>
      </c>
      <c r="BG260" s="114" t="n">
        <f aca="false">IF($C260="&lt;01","",95%)</f>
        <v>0.95</v>
      </c>
      <c r="BH260" s="5" t="n">
        <f aca="false">IF($C260="&lt;01",ROUND(INDEX(EID!$L:$L,MATCH($B260,EID!$B:$B,0)),0)/2,IF(SUM($BG260)=0,"",ROUND($AX260/$BG260,0)))</f>
        <v>0</v>
      </c>
    </row>
    <row r="261" customFormat="false" ht="15" hidden="false" customHeight="false" outlineLevel="0" collapsed="false">
      <c r="A261" s="0" t="str">
        <f aca="false">INDEX(Prioritization!$D:$D,MATCH($B261,Prioritization!$A:$A,0))</f>
        <v>1 - Scale-up: Saturation</v>
      </c>
      <c r="B261" s="0" t="s">
        <v>211</v>
      </c>
      <c r="C261" s="0" t="s">
        <v>366</v>
      </c>
      <c r="D261" s="0" t="s">
        <v>30</v>
      </c>
      <c r="E261" s="0" t="str">
        <f aca="false">$B261&amp;"|"&amp;$C261&amp;"|"&amp;$D261</f>
        <v>Blantyre District [mxqa3CDFmIT]|25-34|Female</v>
      </c>
      <c r="F261" s="10"/>
      <c r="G261" s="10"/>
      <c r="H261" s="10"/>
      <c r="I261" s="10"/>
      <c r="J261" s="10"/>
      <c r="K261" s="10"/>
      <c r="L261" s="10"/>
      <c r="M261" s="10"/>
      <c r="N261" s="10"/>
      <c r="O261" s="10" t="str">
        <f aca="false">IFERROR(1/(1/MAX($I261,$N261)),"")</f>
        <v/>
      </c>
      <c r="P261" s="10"/>
      <c r="Q261" s="10"/>
      <c r="R261" s="10" t="str">
        <f aca="false">IF(AND(SUM($I261)=0,SUM($O261)=0),"",SUM($O261)-$I261)</f>
        <v/>
      </c>
      <c r="S261" s="10" t="n">
        <f aca="false">IF(LEFT($B261,4)="_Mil","",_xlfn.IFNA(ROUND(INDEX(Spectrum!$N:$N,MATCH(RIGHT($B261,13)&amp;"|"&amp;$C261&amp;"|"&amp;$D261&amp;"|"&amp;S$14&amp;"|"&amp;"CY2022Q4",Spectrum!$R:$R,0)),0),""))</f>
        <v>946</v>
      </c>
      <c r="T261" s="39" t="n">
        <f aca="false">IF(LEFT($B261,4)="_Mil","",_xlfn.IFNA(ROUND(INDEX(Spectrum!$N:$N,MATCH(RIGHT($B261,13)&amp;"|"&amp;$C261&amp;"|"&amp;$D261&amp;"|"&amp;T$14&amp;"|"&amp;"CY2023Q3",Spectrum!$R:$R,0)),0),""))</f>
        <v>1285</v>
      </c>
      <c r="U261" s="39" t="str">
        <f aca="false">IF(LEFT($B261,4)="_Mil","",_xlfn.IFNA(ROUND(INDEX(Spectrum!$N:$N,MATCH(RIGHT($B261,13)&amp;"|"&amp;$C261&amp;"|"&amp;$D261&amp;"|"&amp;U$14&amp;"|"&amp;"CY2023Q3",Spectrum!$R:$R,0)),0),""))</f>
        <v/>
      </c>
      <c r="V261" s="10" t="n">
        <f aca="false">IF(LEFT($B261,4)="_Mil","",_xlfn.IFNA(ROUND(INDEX(Spectrum!$N:$N,MATCH(RIGHT($B261,13)&amp;"|"&amp;$C261&amp;"|"&amp;$D261&amp;"|"&amp;V$14&amp;"|"&amp;"CY2023Q3",Spectrum!$R:$R,0)),0),""))</f>
        <v>719</v>
      </c>
      <c r="W261" s="113" t="n">
        <f aca="false">IF(LEFT($B261,4)="_Mil","",_xlfn.IFNA(INDEX(Spectrum!$N:$N,MATCH(RIGHT($B261,13)&amp;"|"&amp;$C261&amp;"|"&amp;$D261&amp;"|"&amp;W$14&amp;"|"&amp;"CY2023Q3",Spectrum!$R:$R,0)),""))</f>
        <v>1300</v>
      </c>
      <c r="X261" s="39" t="n">
        <f aca="false">IF(LEFT($B261,4)="_Mil","",_xlfn.IFNA(ROUND(INDEX(Spectrum!$N:$N,MATCH(RIGHT($B261,13)&amp;"|"&amp;$C261&amp;"|"&amp;$D261&amp;"|"&amp;X$14&amp;"|"&amp;"CY2023Q3",Spectrum!$R:$R,0)),0),""))</f>
        <v>1464</v>
      </c>
      <c r="Y261" s="88" t="str">
        <f aca="false">IF(OR(SUM($U261)=0,LEFT($B261,4)="_Mil"),"",SUM($X261)/$U261)</f>
        <v/>
      </c>
      <c r="Z261" s="39" t="n">
        <f aca="false">IF(LEFT($B261,4)="_Mil","",_xlfn.IFNA(ROUND(INDEX(Spectrum!$N:$N,MATCH(RIGHT($B261,13)&amp;"|"&amp;$C261&amp;"|"&amp;$D261&amp;"|"&amp;Z$14&amp;"|"&amp;"CY2023Q3",Spectrum!$R:$R,0)),0),""))</f>
        <v>1381</v>
      </c>
      <c r="AA261" s="88" t="n">
        <f aca="false">IF(LEFT($B261,4)="_Mil","",IFERROR(1/(1/INDEX(Spectrum!$N:$N,MATCH(RIGHT($B261,13)&amp;"|"&amp;$C261&amp;"|"&amp;$D261&amp;"|"&amp;AA$14&amp;"|"&amp;"CY2023Q3",Spectrum!$R:$R,0))),IF(SUM($U261)=0,"",SUM($Z261)/$U261)))</f>
        <v>553</v>
      </c>
      <c r="AB261" s="88" t="n">
        <f aca="false">IF(OR(LEFT($B261,4)="_Mil",SUM($X261)=0),"",SUM($Z261)/$X261)</f>
        <v>0.943306010928962</v>
      </c>
      <c r="AC261" s="10" t="n">
        <f aca="false">IF(LEFT($B261,4)="_Mil","",_xlfn.IFNA(ROUND(INDEX(Spectrum!$N:$N,MATCH(RIGHT($B261,13)&amp;"|"&amp;$C261&amp;"|"&amp;$D261&amp;"|"&amp;AC$14&amp;"|"&amp;"CY2023Q3",Spectrum!$R:$R,0)),0),""))</f>
        <v>1577</v>
      </c>
      <c r="AD261" s="10" t="str">
        <f aca="false">IF(LEFT($B261,4)="_Mil","",_xlfn.IFNA(ROUND(INDEX(Spectrum!$N:$N,MATCH(RIGHT($B261,13)&amp;"|"&amp;$C261&amp;"|"&amp;$D261&amp;"|"&amp;AD$14&amp;"|"&amp;"CY2023Q3",Spectrum!$R:$R,0)),0),""))</f>
        <v/>
      </c>
      <c r="AE261" s="88" t="n">
        <f aca="false">IF(OR(LEFT($B261,4)="_Mil",SUM($Z261)=0),"",SUM($AD261)/$Z261)</f>
        <v>0</v>
      </c>
      <c r="AF261" s="39" t="str">
        <f aca="false">IF(LEFT($B261,4)="_Mil","",_xlfn.IFNA(ROUND(INDEX(Spectrum!$N:$N,MATCH(RIGHT($B261,13)&amp;"|"&amp;$C261&amp;"|"&amp;$D261&amp;"|"&amp;AF$14&amp;"|"&amp;"CY2023Q3",Spectrum!$R:$R,0)),0),""))</f>
        <v/>
      </c>
      <c r="AG261" s="88" t="str">
        <f aca="false">IF(OR(LEFT($B261,4)="_Mil",SUM($AD261)=0),"",SUM($AF261)/$AD261)</f>
        <v/>
      </c>
      <c r="AH261" s="86" t="str">
        <f aca="false">IF(LEFT($B261,4)="_Mil","",_xlfn.IFNA(INDEX(Spectrum!$N:$N,MATCH(RIGHT($B261,13)&amp;"|"&amp;$C261&amp;"|"&amp;$D261&amp;"|"&amp;AH$14&amp;"|"&amp;"CY2023Q3",Spectrum!$R:$R,0)),""))</f>
        <v/>
      </c>
      <c r="AI261" s="10" t="str">
        <f aca="false">IF(LEFT($B261,4)="_Mil","",_xlfn.IFNA(ROUND(INDEX(Spectrum!$N:$N,MATCH(RIGHT($B261,13)&amp;"|"&amp;$C261&amp;"|"&amp;$D261&amp;"|"&amp;AI$14&amp;"|"&amp;"CY2023Q3",Spectrum!$R:$R,0)),0),""))</f>
        <v/>
      </c>
      <c r="AJ261" s="39" t="n">
        <f aca="false">IF(LEFT($B261,4)="_Mil","",_xlfn.IFNA(ROUND(INDEX(Spectrum!$N:$N,MATCH(RIGHT($B261,13)&amp;"|"&amp;$C261&amp;"|"&amp;$D261&amp;"|"&amp;AI$14&amp;"|"&amp;"CY2023Q3",Spectrum!$R:$R,0)),0),SUM($U261)+SUM($AI261)))</f>
        <v>0</v>
      </c>
      <c r="AK261" s="10" t="str">
        <f aca="false">IF(LEFT($B261,4)="_Mil","",_xlfn.IFNA(ROUND(INDEX(Spectrum!$N:$N,MATCH(RIGHT($B261,13)&amp;"|"&amp;$C261&amp;"|"&amp;$D261&amp;"|"&amp;AK$14&amp;"|"&amp;"CY2023Q3",Spectrum!$R:$R,0)),0),""))</f>
        <v/>
      </c>
      <c r="AL261" s="88" t="n">
        <f aca="false">IF(OR(LEFT($B261,4)="_Mil",$C261="&lt;01"),"",MAX(SUM($AA261),90%))</f>
        <v>553</v>
      </c>
      <c r="AM261" s="10" t="n">
        <f aca="false">IF(OR(LEFT($B261,4)="_Mil",$C261="&lt;01"),"",ROUND(SUM($AJ261)*SUM($AL261),0))</f>
        <v>0</v>
      </c>
      <c r="AN261" s="10" t="str">
        <f aca="false">IF($C261="&lt;01",ROUND(INDEX(EID!$P:$P,MATCH($B261,EID!$B:$B,0))/2,0),"")</f>
        <v/>
      </c>
      <c r="AO261" s="10" t="n">
        <f aca="false">IF($C261="&lt;01",SUM($AN261),ROUND(SUM($AM261)*SUM($O261)/IF(SUM($Z261)=0,1,$Z261),0))</f>
        <v>0</v>
      </c>
      <c r="AP261" s="39" t="n">
        <f aca="false">IF(OR($F261="",$C261="&lt;01"),$AO261,$F261)</f>
        <v>0</v>
      </c>
      <c r="AQ261" s="39" t="n">
        <f aca="false">IF(LEFT($B261,4)="_Mil","",IF(SUM($AP261)=0,SUM($Z261),IF(OR(SUM($Z261)=0,SUM($O261)=0),MAX($AP261,$Z261),$AP261*$Z261/$O261)))</f>
        <v>1381</v>
      </c>
      <c r="AR261" s="88" t="str">
        <f aca="false">IF(OR(LEFT($B261,4)="_Mil",SUM($AJ261)=0),"",SUM($AQ261)/$AJ261)</f>
        <v/>
      </c>
      <c r="AS261" s="88" t="n">
        <f aca="false">IF($C261="&lt;01","",98%)</f>
        <v>0.98</v>
      </c>
      <c r="AT261" s="88" t="n">
        <f aca="false">IF($C261="&lt;01","",98%)</f>
        <v>0.98</v>
      </c>
      <c r="AU261" s="10" t="n">
        <f aca="false">IF($C261="&lt;01","",SUM($AP261)-SUM($O261))</f>
        <v>0</v>
      </c>
      <c r="AV261" s="10" t="n">
        <f aca="false">IF($C261="&lt;01",ROUND(INDEX(EID!$N:$N,MATCH($B261,EID!$B:$B,0))/2,0),IF(SUM($AT261)=0,"",ROUND((SUM($AP261)-(SUM($O261)*SUM($AS261)))/$AT261,0)))</f>
        <v>0</v>
      </c>
      <c r="AW261" s="88" t="n">
        <f aca="false">IF($C261="&lt;01","",100%)</f>
        <v>1</v>
      </c>
      <c r="AX261" s="39" t="n">
        <f aca="false">IF($C261="&lt;01",SUM($AV261),ROUND(SUM($AV261)*SUM($AW261),0))</f>
        <v>0</v>
      </c>
      <c r="AY261" s="114" t="n">
        <f aca="false">IF($C261="&lt;01","",70%)</f>
        <v>0.7</v>
      </c>
      <c r="AZ261" s="91" t="n">
        <f aca="false">IF($C261="&lt;01",ROUND(INDEX(EID!$R:$R,MATCH($B261,EID!$B:$B,0))/2,0),ROUND(SUM($O261)+(SUM($AV261)*$AY261),0))</f>
        <v>0</v>
      </c>
      <c r="BA261" s="87" t="n">
        <f aca="false">IF($C261="&lt;01","",95%)</f>
        <v>0.95</v>
      </c>
      <c r="BB261" s="5" t="n">
        <f aca="false">IF($C261="&lt;01",ROUND(INDEX(EID!$T:$T,MATCH($B261,EID!$B:$B,0))/2,0),ROUND($AZ261*$BA261,0))</f>
        <v>0</v>
      </c>
      <c r="BC261" s="91" t="n">
        <f aca="false">IF(LEFT($B261,4)="_Mil","",IF(SUM($BB261)=0,SUM($AD261),IF(OR(SUM($AP261)=0,SUM($AQ261)=0),MAX($BB261,$AD261),ROUND($BB261*$AQ261/$AP261,0))))</f>
        <v>0</v>
      </c>
      <c r="BD261" s="88" t="n">
        <f aca="false">IF($C261="&lt;01","",95%)</f>
        <v>0.95</v>
      </c>
      <c r="BE261" s="39" t="n">
        <f aca="false">IF($C261="&lt;01",ROUND(INDEX(EID!$V:$V,MATCH($B261,EID!$B:$B,0))/2,0),ROUND($BD261*$BB261,0))</f>
        <v>0</v>
      </c>
      <c r="BF261" s="39" t="n">
        <f aca="false">IF(LEFT($B261,4)="_Mil","",IF(SUM($BE261)=0,SUM($AF261),IF(OR(SUM($AP261)=0,SUM($AQ261)=0),MAX($BE261,$AF261),ROUND($BE261*$AQ261/$AP261,0))))</f>
        <v>0</v>
      </c>
      <c r="BG261" s="114" t="n">
        <f aca="false">IF($C261="&lt;01","",95%)</f>
        <v>0.95</v>
      </c>
      <c r="BH261" s="5" t="n">
        <f aca="false">IF($C261="&lt;01",ROUND(INDEX(EID!$L:$L,MATCH($B261,EID!$B:$B,0)),0)/2,IF(SUM($BG261)=0,"",ROUND($AX261/$BG261,0)))</f>
        <v>0</v>
      </c>
    </row>
    <row r="262" customFormat="false" ht="15" hidden="false" customHeight="false" outlineLevel="0" collapsed="false">
      <c r="A262" s="0" t="str">
        <f aca="false">INDEX(Prioritization!$D:$D,MATCH($B262,Prioritization!$A:$A,0))</f>
        <v>1 - Scale-up: Saturation</v>
      </c>
      <c r="B262" s="0" t="s">
        <v>211</v>
      </c>
      <c r="C262" s="0" t="s">
        <v>366</v>
      </c>
      <c r="D262" s="0" t="s">
        <v>48</v>
      </c>
      <c r="E262" s="0" t="str">
        <f aca="false">$B262&amp;"|"&amp;$C262&amp;"|"&amp;$D262</f>
        <v>Blantyre District [mxqa3CDFmIT]|25-34|Male</v>
      </c>
      <c r="F262" s="10"/>
      <c r="G262" s="10"/>
      <c r="H262" s="10"/>
      <c r="I262" s="10"/>
      <c r="J262" s="10"/>
      <c r="K262" s="10"/>
      <c r="L262" s="10"/>
      <c r="M262" s="10"/>
      <c r="N262" s="10"/>
      <c r="O262" s="10" t="str">
        <f aca="false">IFERROR(1/(1/MAX($I262,$N262)),"")</f>
        <v/>
      </c>
      <c r="P262" s="10"/>
      <c r="Q262" s="10"/>
      <c r="R262" s="10" t="str">
        <f aca="false">IF(AND(SUM($I262)=0,SUM($O262)=0),"",SUM($O262)-$I262)</f>
        <v/>
      </c>
      <c r="S262" s="10" t="n">
        <f aca="false">IF(LEFT($B262,4)="_Mil","",_xlfn.IFNA(ROUND(INDEX(Spectrum!$N:$N,MATCH(RIGHT($B262,13)&amp;"|"&amp;$C262&amp;"|"&amp;$D262&amp;"|"&amp;S$14&amp;"|"&amp;"CY2022Q4",Spectrum!$R:$R,0)),0),""))</f>
        <v>1504</v>
      </c>
      <c r="T262" s="39" t="n">
        <f aca="false">IF(LEFT($B262,4)="_Mil","",_xlfn.IFNA(ROUND(INDEX(Spectrum!$N:$N,MATCH(RIGHT($B262,13)&amp;"|"&amp;$C262&amp;"|"&amp;$D262&amp;"|"&amp;T$14&amp;"|"&amp;"CY2023Q3",Spectrum!$R:$R,0)),0),""))</f>
        <v>1625</v>
      </c>
      <c r="U262" s="39" t="str">
        <f aca="false">IF(LEFT($B262,4)="_Mil","",_xlfn.IFNA(ROUND(INDEX(Spectrum!$N:$N,MATCH(RIGHT($B262,13)&amp;"|"&amp;$C262&amp;"|"&amp;$D262&amp;"|"&amp;U$14&amp;"|"&amp;"CY2023Q3",Spectrum!$R:$R,0)),0),""))</f>
        <v/>
      </c>
      <c r="V262" s="10" t="n">
        <f aca="false">IF(LEFT($B262,4)="_Mil","",_xlfn.IFNA(ROUND(INDEX(Spectrum!$N:$N,MATCH(RIGHT($B262,13)&amp;"|"&amp;$C262&amp;"|"&amp;$D262&amp;"|"&amp;V$14&amp;"|"&amp;"CY2023Q3",Spectrum!$R:$R,0)),0),""))</f>
        <v>1654</v>
      </c>
      <c r="W262" s="113" t="n">
        <f aca="false">IF(LEFT($B262,4)="_Mil","",_xlfn.IFNA(INDEX(Spectrum!$N:$N,MATCH(RIGHT($B262,13)&amp;"|"&amp;$C262&amp;"|"&amp;$D262&amp;"|"&amp;W$14&amp;"|"&amp;"CY2023Q3",Spectrum!$R:$R,0)),""))</f>
        <v>1886</v>
      </c>
      <c r="X262" s="39" t="n">
        <f aca="false">IF(LEFT($B262,4)="_Mil","",_xlfn.IFNA(ROUND(INDEX(Spectrum!$N:$N,MATCH(RIGHT($B262,13)&amp;"|"&amp;$C262&amp;"|"&amp;$D262&amp;"|"&amp;X$14&amp;"|"&amp;"CY2023Q3",Spectrum!$R:$R,0)),0),""))</f>
        <v>835</v>
      </c>
      <c r="Y262" s="88" t="str">
        <f aca="false">IF(OR(SUM($U262)=0,LEFT($B262,4)="_Mil"),"",SUM($X262)/$U262)</f>
        <v/>
      </c>
      <c r="Z262" s="39" t="n">
        <f aca="false">IF(LEFT($B262,4)="_Mil","",_xlfn.IFNA(ROUND(INDEX(Spectrum!$N:$N,MATCH(RIGHT($B262,13)&amp;"|"&amp;$C262&amp;"|"&amp;$D262&amp;"|"&amp;Z$14&amp;"|"&amp;"CY2023Q3",Spectrum!$R:$R,0)),0),""))</f>
        <v>925</v>
      </c>
      <c r="AA262" s="88" t="n">
        <f aca="false">IF(LEFT($B262,4)="_Mil","",IFERROR(1/(1/INDEX(Spectrum!$N:$N,MATCH(RIGHT($B262,13)&amp;"|"&amp;$C262&amp;"|"&amp;$D262&amp;"|"&amp;AA$14&amp;"|"&amp;"CY2023Q3",Spectrum!$R:$R,0))),IF(SUM($U262)=0,"",SUM($Z262)/$U262)))</f>
        <v>1673</v>
      </c>
      <c r="AB262" s="88" t="n">
        <f aca="false">IF(OR(LEFT($B262,4)="_Mil",SUM($X262)=0),"",SUM($Z262)/$X262)</f>
        <v>1.10778443113772</v>
      </c>
      <c r="AC262" s="10" t="n">
        <f aca="false">IF(LEFT($B262,4)="_Mil","",_xlfn.IFNA(ROUND(INDEX(Spectrum!$N:$N,MATCH(RIGHT($B262,13)&amp;"|"&amp;$C262&amp;"|"&amp;$D262&amp;"|"&amp;AC$14&amp;"|"&amp;"CY2023Q3",Spectrum!$R:$R,0)),0),""))</f>
        <v>1969</v>
      </c>
      <c r="AD262" s="10" t="str">
        <f aca="false">IF(LEFT($B262,4)="_Mil","",_xlfn.IFNA(ROUND(INDEX(Spectrum!$N:$N,MATCH(RIGHT($B262,13)&amp;"|"&amp;$C262&amp;"|"&amp;$D262&amp;"|"&amp;AD$14&amp;"|"&amp;"CY2023Q3",Spectrum!$R:$R,0)),0),""))</f>
        <v/>
      </c>
      <c r="AE262" s="88" t="n">
        <f aca="false">IF(OR(LEFT($B262,4)="_Mil",SUM($Z262)=0),"",SUM($AD262)/$Z262)</f>
        <v>0</v>
      </c>
      <c r="AF262" s="39" t="str">
        <f aca="false">IF(LEFT($B262,4)="_Mil","",_xlfn.IFNA(ROUND(INDEX(Spectrum!$N:$N,MATCH(RIGHT($B262,13)&amp;"|"&amp;$C262&amp;"|"&amp;$D262&amp;"|"&amp;AF$14&amp;"|"&amp;"CY2023Q3",Spectrum!$R:$R,0)),0),""))</f>
        <v/>
      </c>
      <c r="AG262" s="88" t="str">
        <f aca="false">IF(OR(LEFT($B262,4)="_Mil",SUM($AD262)=0),"",SUM($AF262)/$AD262)</f>
        <v/>
      </c>
      <c r="AH262" s="86" t="str">
        <f aca="false">IF(LEFT($B262,4)="_Mil","",_xlfn.IFNA(INDEX(Spectrum!$N:$N,MATCH(RIGHT($B262,13)&amp;"|"&amp;$C262&amp;"|"&amp;$D262&amp;"|"&amp;AH$14&amp;"|"&amp;"CY2023Q3",Spectrum!$R:$R,0)),""))</f>
        <v/>
      </c>
      <c r="AI262" s="10" t="str">
        <f aca="false">IF(LEFT($B262,4)="_Mil","",_xlfn.IFNA(ROUND(INDEX(Spectrum!$N:$N,MATCH(RIGHT($B262,13)&amp;"|"&amp;$C262&amp;"|"&amp;$D262&amp;"|"&amp;AI$14&amp;"|"&amp;"CY2023Q3",Spectrum!$R:$R,0)),0),""))</f>
        <v/>
      </c>
      <c r="AJ262" s="39" t="n">
        <f aca="false">IF(LEFT($B262,4)="_Mil","",_xlfn.IFNA(ROUND(INDEX(Spectrum!$N:$N,MATCH(RIGHT($B262,13)&amp;"|"&amp;$C262&amp;"|"&amp;$D262&amp;"|"&amp;AI$14&amp;"|"&amp;"CY2023Q3",Spectrum!$R:$R,0)),0),SUM($U262)+SUM($AI262)))</f>
        <v>0</v>
      </c>
      <c r="AK262" s="10" t="str">
        <f aca="false">IF(LEFT($B262,4)="_Mil","",_xlfn.IFNA(ROUND(INDEX(Spectrum!$N:$N,MATCH(RIGHT($B262,13)&amp;"|"&amp;$C262&amp;"|"&amp;$D262&amp;"|"&amp;AK$14&amp;"|"&amp;"CY2023Q3",Spectrum!$R:$R,0)),0),""))</f>
        <v/>
      </c>
      <c r="AL262" s="88" t="n">
        <f aca="false">IF(OR(LEFT($B262,4)="_Mil",$C262="&lt;01"),"",MAX(SUM($AA262),90%))</f>
        <v>1673</v>
      </c>
      <c r="AM262" s="10" t="n">
        <f aca="false">IF(OR(LEFT($B262,4)="_Mil",$C262="&lt;01"),"",ROUND(SUM($AJ262)*SUM($AL262),0))</f>
        <v>0</v>
      </c>
      <c r="AN262" s="10" t="str">
        <f aca="false">IF($C262="&lt;01",ROUND(INDEX(EID!$P:$P,MATCH($B262,EID!$B:$B,0))/2,0),"")</f>
        <v/>
      </c>
      <c r="AO262" s="10" t="n">
        <f aca="false">IF($C262="&lt;01",SUM($AN262),ROUND(SUM($AM262)*SUM($O262)/IF(SUM($Z262)=0,1,$Z262),0))</f>
        <v>0</v>
      </c>
      <c r="AP262" s="39" t="n">
        <f aca="false">IF(OR($F262="",$C262="&lt;01"),$AO262,$F262)</f>
        <v>0</v>
      </c>
      <c r="AQ262" s="39" t="n">
        <f aca="false">IF(LEFT($B262,4)="_Mil","",IF(SUM($AP262)=0,SUM($Z262),IF(OR(SUM($Z262)=0,SUM($O262)=0),MAX($AP262,$Z262),$AP262*$Z262/$O262)))</f>
        <v>925</v>
      </c>
      <c r="AR262" s="88" t="str">
        <f aca="false">IF(OR(LEFT($B262,4)="_Mil",SUM($AJ262)=0),"",SUM($AQ262)/$AJ262)</f>
        <v/>
      </c>
      <c r="AS262" s="88" t="n">
        <f aca="false">IF($C262="&lt;01","",98%)</f>
        <v>0.98</v>
      </c>
      <c r="AT262" s="88" t="n">
        <f aca="false">IF($C262="&lt;01","",98%)</f>
        <v>0.98</v>
      </c>
      <c r="AU262" s="10" t="n">
        <f aca="false">IF($C262="&lt;01","",SUM($AP262)-SUM($O262))</f>
        <v>0</v>
      </c>
      <c r="AV262" s="10" t="n">
        <f aca="false">IF($C262="&lt;01",ROUND(INDEX(EID!$N:$N,MATCH($B262,EID!$B:$B,0))/2,0),IF(SUM($AT262)=0,"",ROUND((SUM($AP262)-(SUM($O262)*SUM($AS262)))/$AT262,0)))</f>
        <v>0</v>
      </c>
      <c r="AW262" s="88" t="n">
        <f aca="false">IF($C262="&lt;01","",100%)</f>
        <v>1</v>
      </c>
      <c r="AX262" s="39" t="n">
        <f aca="false">IF($C262="&lt;01",SUM($AV262),ROUND(SUM($AV262)*SUM($AW262),0))</f>
        <v>0</v>
      </c>
      <c r="AY262" s="114" t="n">
        <f aca="false">IF($C262="&lt;01","",70%)</f>
        <v>0.7</v>
      </c>
      <c r="AZ262" s="91" t="n">
        <f aca="false">IF($C262="&lt;01",ROUND(INDEX(EID!$R:$R,MATCH($B262,EID!$B:$B,0))/2,0),ROUND(SUM($O262)+(SUM($AV262)*$AY262),0))</f>
        <v>0</v>
      </c>
      <c r="BA262" s="87" t="n">
        <f aca="false">IF($C262="&lt;01","",95%)</f>
        <v>0.95</v>
      </c>
      <c r="BB262" s="5" t="n">
        <f aca="false">IF($C262="&lt;01",ROUND(INDEX(EID!$T:$T,MATCH($B262,EID!$B:$B,0))/2,0),ROUND($AZ262*$BA262,0))</f>
        <v>0</v>
      </c>
      <c r="BC262" s="91" t="n">
        <f aca="false">IF(LEFT($B262,4)="_Mil","",IF(SUM($BB262)=0,SUM($AD262),IF(OR(SUM($AP262)=0,SUM($AQ262)=0),MAX($BB262,$AD262),ROUND($BB262*$AQ262/$AP262,0))))</f>
        <v>0</v>
      </c>
      <c r="BD262" s="88" t="n">
        <f aca="false">IF($C262="&lt;01","",95%)</f>
        <v>0.95</v>
      </c>
      <c r="BE262" s="39" t="n">
        <f aca="false">IF($C262="&lt;01",ROUND(INDEX(EID!$V:$V,MATCH($B262,EID!$B:$B,0))/2,0),ROUND($BD262*$BB262,0))</f>
        <v>0</v>
      </c>
      <c r="BF262" s="39" t="n">
        <f aca="false">IF(LEFT($B262,4)="_Mil","",IF(SUM($BE262)=0,SUM($AF262),IF(OR(SUM($AP262)=0,SUM($AQ262)=0),MAX($BE262,$AF262),ROUND($BE262*$AQ262/$AP262,0))))</f>
        <v>0</v>
      </c>
      <c r="BG262" s="114" t="n">
        <f aca="false">IF($C262="&lt;01","",95%)</f>
        <v>0.95</v>
      </c>
      <c r="BH262" s="5" t="n">
        <f aca="false">IF($C262="&lt;01",ROUND(INDEX(EID!$L:$L,MATCH($B262,EID!$B:$B,0)),0)/2,IF(SUM($BG262)=0,"",ROUND($AX262/$BG262,0)))</f>
        <v>0</v>
      </c>
    </row>
    <row r="263" customFormat="false" ht="15" hidden="false" customHeight="false" outlineLevel="0" collapsed="false">
      <c r="A263" s="0" t="str">
        <f aca="false">INDEX(Prioritization!$D:$D,MATCH($B263,Prioritization!$A:$A,0))</f>
        <v>1 - Scale-up: Saturation</v>
      </c>
      <c r="B263" s="0" t="s">
        <v>211</v>
      </c>
      <c r="C263" s="0" t="s">
        <v>367</v>
      </c>
      <c r="D263" s="0" t="s">
        <v>30</v>
      </c>
      <c r="E263" s="0" t="str">
        <f aca="false">$B263&amp;"|"&amp;$C263&amp;"|"&amp;$D263</f>
        <v>Blantyre District [mxqa3CDFmIT]|35-49|Female</v>
      </c>
      <c r="F263" s="10"/>
      <c r="G263" s="10"/>
      <c r="H263" s="10"/>
      <c r="I263" s="10"/>
      <c r="J263" s="10"/>
      <c r="K263" s="10"/>
      <c r="L263" s="10"/>
      <c r="M263" s="10"/>
      <c r="N263" s="10"/>
      <c r="O263" s="10" t="str">
        <f aca="false">IFERROR(1/(1/MAX($I263,$N263)),"")</f>
        <v/>
      </c>
      <c r="P263" s="10"/>
      <c r="Q263" s="10"/>
      <c r="R263" s="10" t="str">
        <f aca="false">IF(AND(SUM($I263)=0,SUM($O263)=0),"",SUM($O263)-$I263)</f>
        <v/>
      </c>
      <c r="S263" s="10" t="n">
        <f aca="false">IF(LEFT($B263,4)="_Mil","",_xlfn.IFNA(ROUND(INDEX(Spectrum!$N:$N,MATCH(RIGHT($B263,13)&amp;"|"&amp;$C263&amp;"|"&amp;$D263&amp;"|"&amp;S$14&amp;"|"&amp;"CY2022Q4",Spectrum!$R:$R,0)),0),""))</f>
        <v>1999</v>
      </c>
      <c r="T263" s="39" t="n">
        <f aca="false">IF(LEFT($B263,4)="_Mil","",_xlfn.IFNA(ROUND(INDEX(Spectrum!$N:$N,MATCH(RIGHT($B263,13)&amp;"|"&amp;$C263&amp;"|"&amp;$D263&amp;"|"&amp;T$14&amp;"|"&amp;"CY2023Q3",Spectrum!$R:$R,0)),0),""))</f>
        <v>1860</v>
      </c>
      <c r="U263" s="39" t="str">
        <f aca="false">IF(LEFT($B263,4)="_Mil","",_xlfn.IFNA(ROUND(INDEX(Spectrum!$N:$N,MATCH(RIGHT($B263,13)&amp;"|"&amp;$C263&amp;"|"&amp;$D263&amp;"|"&amp;U$14&amp;"|"&amp;"CY2023Q3",Spectrum!$R:$R,0)),0),""))</f>
        <v/>
      </c>
      <c r="V263" s="10" t="n">
        <f aca="false">IF(LEFT($B263,4)="_Mil","",_xlfn.IFNA(ROUND(INDEX(Spectrum!$N:$N,MATCH(RIGHT($B263,13)&amp;"|"&amp;$C263&amp;"|"&amp;$D263&amp;"|"&amp;V$14&amp;"|"&amp;"CY2023Q3",Spectrum!$R:$R,0)),0),""))</f>
        <v>1427</v>
      </c>
      <c r="W263" s="113" t="n">
        <f aca="false">IF(LEFT($B263,4)="_Mil","",_xlfn.IFNA(INDEX(Spectrum!$N:$N,MATCH(RIGHT($B263,13)&amp;"|"&amp;$C263&amp;"|"&amp;$D263&amp;"|"&amp;W$14&amp;"|"&amp;"CY2023Q3",Spectrum!$R:$R,0)),""))</f>
        <v>1101</v>
      </c>
      <c r="X263" s="39" t="n">
        <f aca="false">IF(LEFT($B263,4)="_Mil","",_xlfn.IFNA(ROUND(INDEX(Spectrum!$N:$N,MATCH(RIGHT($B263,13)&amp;"|"&amp;$C263&amp;"|"&amp;$D263&amp;"|"&amp;X$14&amp;"|"&amp;"CY2023Q3",Spectrum!$R:$R,0)),0),""))</f>
        <v>1023</v>
      </c>
      <c r="Y263" s="88" t="str">
        <f aca="false">IF(OR(SUM($U263)=0,LEFT($B263,4)="_Mil"),"",SUM($X263)/$U263)</f>
        <v/>
      </c>
      <c r="Z263" s="39" t="n">
        <f aca="false">IF(LEFT($B263,4)="_Mil","",_xlfn.IFNA(ROUND(INDEX(Spectrum!$N:$N,MATCH(RIGHT($B263,13)&amp;"|"&amp;$C263&amp;"|"&amp;$D263&amp;"|"&amp;Z$14&amp;"|"&amp;"CY2023Q3",Spectrum!$R:$R,0)),0),""))</f>
        <v>1388</v>
      </c>
      <c r="AA263" s="88" t="n">
        <f aca="false">IF(LEFT($B263,4)="_Mil","",IFERROR(1/(1/INDEX(Spectrum!$N:$N,MATCH(RIGHT($B263,13)&amp;"|"&amp;$C263&amp;"|"&amp;$D263&amp;"|"&amp;AA$14&amp;"|"&amp;"CY2023Q3",Spectrum!$R:$R,0))),IF(SUM($U263)=0,"",SUM($Z263)/$U263)))</f>
        <v>1227</v>
      </c>
      <c r="AB263" s="88" t="n">
        <f aca="false">IF(OR(LEFT($B263,4)="_Mil",SUM($X263)=0),"",SUM($Z263)/$X263)</f>
        <v>1.35679374389052</v>
      </c>
      <c r="AC263" s="10" t="n">
        <f aca="false">IF(LEFT($B263,4)="_Mil","",_xlfn.IFNA(ROUND(INDEX(Spectrum!$N:$N,MATCH(RIGHT($B263,13)&amp;"|"&amp;$C263&amp;"|"&amp;$D263&amp;"|"&amp;AC$14&amp;"|"&amp;"CY2023Q3",Spectrum!$R:$R,0)),0),""))</f>
        <v>1881</v>
      </c>
      <c r="AD263" s="10" t="str">
        <f aca="false">IF(LEFT($B263,4)="_Mil","",_xlfn.IFNA(ROUND(INDEX(Spectrum!$N:$N,MATCH(RIGHT($B263,13)&amp;"|"&amp;$C263&amp;"|"&amp;$D263&amp;"|"&amp;AD$14&amp;"|"&amp;"CY2023Q3",Spectrum!$R:$R,0)),0),""))</f>
        <v/>
      </c>
      <c r="AE263" s="88" t="n">
        <f aca="false">IF(OR(LEFT($B263,4)="_Mil",SUM($Z263)=0),"",SUM($AD263)/$Z263)</f>
        <v>0</v>
      </c>
      <c r="AF263" s="39" t="str">
        <f aca="false">IF(LEFT($B263,4)="_Mil","",_xlfn.IFNA(ROUND(INDEX(Spectrum!$N:$N,MATCH(RIGHT($B263,13)&amp;"|"&amp;$C263&amp;"|"&amp;$D263&amp;"|"&amp;AF$14&amp;"|"&amp;"CY2023Q3",Spectrum!$R:$R,0)),0),""))</f>
        <v/>
      </c>
      <c r="AG263" s="88" t="str">
        <f aca="false">IF(OR(LEFT($B263,4)="_Mil",SUM($AD263)=0),"",SUM($AF263)/$AD263)</f>
        <v/>
      </c>
      <c r="AH263" s="86" t="str">
        <f aca="false">IF(LEFT($B263,4)="_Mil","",_xlfn.IFNA(INDEX(Spectrum!$N:$N,MATCH(RIGHT($B263,13)&amp;"|"&amp;$C263&amp;"|"&amp;$D263&amp;"|"&amp;AH$14&amp;"|"&amp;"CY2023Q3",Spectrum!$R:$R,0)),""))</f>
        <v/>
      </c>
      <c r="AI263" s="10" t="str">
        <f aca="false">IF(LEFT($B263,4)="_Mil","",_xlfn.IFNA(ROUND(INDEX(Spectrum!$N:$N,MATCH(RIGHT($B263,13)&amp;"|"&amp;$C263&amp;"|"&amp;$D263&amp;"|"&amp;AI$14&amp;"|"&amp;"CY2023Q3",Spectrum!$R:$R,0)),0),""))</f>
        <v/>
      </c>
      <c r="AJ263" s="39" t="n">
        <f aca="false">IF(LEFT($B263,4)="_Mil","",_xlfn.IFNA(ROUND(INDEX(Spectrum!$N:$N,MATCH(RIGHT($B263,13)&amp;"|"&amp;$C263&amp;"|"&amp;$D263&amp;"|"&amp;AI$14&amp;"|"&amp;"CY2023Q3",Spectrum!$R:$R,0)),0),SUM($U263)+SUM($AI263)))</f>
        <v>0</v>
      </c>
      <c r="AK263" s="10" t="str">
        <f aca="false">IF(LEFT($B263,4)="_Mil","",_xlfn.IFNA(ROUND(INDEX(Spectrum!$N:$N,MATCH(RIGHT($B263,13)&amp;"|"&amp;$C263&amp;"|"&amp;$D263&amp;"|"&amp;AK$14&amp;"|"&amp;"CY2023Q3",Spectrum!$R:$R,0)),0),""))</f>
        <v/>
      </c>
      <c r="AL263" s="88" t="n">
        <f aca="false">IF(OR(LEFT($B263,4)="_Mil",$C263="&lt;01"),"",MAX(SUM($AA263),90%))</f>
        <v>1227</v>
      </c>
      <c r="AM263" s="10" t="n">
        <f aca="false">IF(OR(LEFT($B263,4)="_Mil",$C263="&lt;01"),"",ROUND(SUM($AJ263)*SUM($AL263),0))</f>
        <v>0</v>
      </c>
      <c r="AN263" s="10" t="str">
        <f aca="false">IF($C263="&lt;01",ROUND(INDEX(EID!$P:$P,MATCH($B263,EID!$B:$B,0))/2,0),"")</f>
        <v/>
      </c>
      <c r="AO263" s="10" t="n">
        <f aca="false">IF($C263="&lt;01",SUM($AN263),ROUND(SUM($AM263)*SUM($O263)/IF(SUM($Z263)=0,1,$Z263),0))</f>
        <v>0</v>
      </c>
      <c r="AP263" s="39" t="n">
        <f aca="false">IF(OR($F263="",$C263="&lt;01"),$AO263,$F263)</f>
        <v>0</v>
      </c>
      <c r="AQ263" s="39" t="n">
        <f aca="false">IF(LEFT($B263,4)="_Mil","",IF(SUM($AP263)=0,SUM($Z263),IF(OR(SUM($Z263)=0,SUM($O263)=0),MAX($AP263,$Z263),$AP263*$Z263/$O263)))</f>
        <v>1388</v>
      </c>
      <c r="AR263" s="88" t="str">
        <f aca="false">IF(OR(LEFT($B263,4)="_Mil",SUM($AJ263)=0),"",SUM($AQ263)/$AJ263)</f>
        <v/>
      </c>
      <c r="AS263" s="88" t="n">
        <f aca="false">IF($C263="&lt;01","",98%)</f>
        <v>0.98</v>
      </c>
      <c r="AT263" s="88" t="n">
        <f aca="false">IF($C263="&lt;01","",98%)</f>
        <v>0.98</v>
      </c>
      <c r="AU263" s="10" t="n">
        <f aca="false">IF($C263="&lt;01","",SUM($AP263)-SUM($O263))</f>
        <v>0</v>
      </c>
      <c r="AV263" s="10" t="n">
        <f aca="false">IF($C263="&lt;01",ROUND(INDEX(EID!$N:$N,MATCH($B263,EID!$B:$B,0))/2,0),IF(SUM($AT263)=0,"",ROUND((SUM($AP263)-(SUM($O263)*SUM($AS263)))/$AT263,0)))</f>
        <v>0</v>
      </c>
      <c r="AW263" s="88" t="n">
        <f aca="false">IF($C263="&lt;01","",100%)</f>
        <v>1</v>
      </c>
      <c r="AX263" s="39" t="n">
        <f aca="false">IF($C263="&lt;01",SUM($AV263),ROUND(SUM($AV263)*SUM($AW263),0))</f>
        <v>0</v>
      </c>
      <c r="AY263" s="114" t="n">
        <f aca="false">IF($C263="&lt;01","",70%)</f>
        <v>0.7</v>
      </c>
      <c r="AZ263" s="91" t="n">
        <f aca="false">IF($C263="&lt;01",ROUND(INDEX(EID!$R:$R,MATCH($B263,EID!$B:$B,0))/2,0),ROUND(SUM($O263)+(SUM($AV263)*$AY263),0))</f>
        <v>0</v>
      </c>
      <c r="BA263" s="87" t="n">
        <f aca="false">IF($C263="&lt;01","",95%)</f>
        <v>0.95</v>
      </c>
      <c r="BB263" s="5" t="n">
        <f aca="false">IF($C263="&lt;01",ROUND(INDEX(EID!$T:$T,MATCH($B263,EID!$B:$B,0))/2,0),ROUND($AZ263*$BA263,0))</f>
        <v>0</v>
      </c>
      <c r="BC263" s="91" t="n">
        <f aca="false">IF(LEFT($B263,4)="_Mil","",IF(SUM($BB263)=0,SUM($AD263),IF(OR(SUM($AP263)=0,SUM($AQ263)=0),MAX($BB263,$AD263),ROUND($BB263*$AQ263/$AP263,0))))</f>
        <v>0</v>
      </c>
      <c r="BD263" s="88" t="n">
        <f aca="false">IF($C263="&lt;01","",95%)</f>
        <v>0.95</v>
      </c>
      <c r="BE263" s="39" t="n">
        <f aca="false">IF($C263="&lt;01",ROUND(INDEX(EID!$V:$V,MATCH($B263,EID!$B:$B,0))/2,0),ROUND($BD263*$BB263,0))</f>
        <v>0</v>
      </c>
      <c r="BF263" s="39" t="n">
        <f aca="false">IF(LEFT($B263,4)="_Mil","",IF(SUM($BE263)=0,SUM($AF263),IF(OR(SUM($AP263)=0,SUM($AQ263)=0),MAX($BE263,$AF263),ROUND($BE263*$AQ263/$AP263,0))))</f>
        <v>0</v>
      </c>
      <c r="BG263" s="114" t="n">
        <f aca="false">IF($C263="&lt;01","",95%)</f>
        <v>0.95</v>
      </c>
      <c r="BH263" s="5" t="n">
        <f aca="false">IF($C263="&lt;01",ROUND(INDEX(EID!$L:$L,MATCH($B263,EID!$B:$B,0)),0)/2,IF(SUM($BG263)=0,"",ROUND($AX263/$BG263,0)))</f>
        <v>0</v>
      </c>
    </row>
    <row r="264" customFormat="false" ht="15" hidden="false" customHeight="false" outlineLevel="0" collapsed="false">
      <c r="A264" s="0" t="str">
        <f aca="false">INDEX(Prioritization!$D:$D,MATCH($B264,Prioritization!$A:$A,0))</f>
        <v>1 - Scale-up: Saturation</v>
      </c>
      <c r="B264" s="0" t="s">
        <v>211</v>
      </c>
      <c r="C264" s="0" t="s">
        <v>367</v>
      </c>
      <c r="D264" s="0" t="s">
        <v>48</v>
      </c>
      <c r="E264" s="0" t="str">
        <f aca="false">$B264&amp;"|"&amp;$C264&amp;"|"&amp;$D264</f>
        <v>Blantyre District [mxqa3CDFmIT]|35-49|Male</v>
      </c>
      <c r="F264" s="10"/>
      <c r="G264" s="10"/>
      <c r="H264" s="10"/>
      <c r="I264" s="10"/>
      <c r="J264" s="10"/>
      <c r="K264" s="10"/>
      <c r="L264" s="10"/>
      <c r="M264" s="10"/>
      <c r="N264" s="10"/>
      <c r="O264" s="10" t="str">
        <f aca="false">IFERROR(1/(1/MAX($I264,$N264)),"")</f>
        <v/>
      </c>
      <c r="P264" s="10"/>
      <c r="Q264" s="10"/>
      <c r="R264" s="10" t="str">
        <f aca="false">IF(AND(SUM($I264)=0,SUM($O264)=0),"",SUM($O264)-$I264)</f>
        <v/>
      </c>
      <c r="S264" s="10" t="n">
        <f aca="false">IF(LEFT($B264,4)="_Mil","",_xlfn.IFNA(ROUND(INDEX(Spectrum!$N:$N,MATCH(RIGHT($B264,13)&amp;"|"&amp;$C264&amp;"|"&amp;$D264&amp;"|"&amp;S$14&amp;"|"&amp;"CY2022Q4",Spectrum!$R:$R,0)),0),""))</f>
        <v>663</v>
      </c>
      <c r="T264" s="39" t="n">
        <f aca="false">IF(LEFT($B264,4)="_Mil","",_xlfn.IFNA(ROUND(INDEX(Spectrum!$N:$N,MATCH(RIGHT($B264,13)&amp;"|"&amp;$C264&amp;"|"&amp;$D264&amp;"|"&amp;T$14&amp;"|"&amp;"CY2023Q3",Spectrum!$R:$R,0)),0),""))</f>
        <v>1147</v>
      </c>
      <c r="U264" s="39" t="str">
        <f aca="false">IF(LEFT($B264,4)="_Mil","",_xlfn.IFNA(ROUND(INDEX(Spectrum!$N:$N,MATCH(RIGHT($B264,13)&amp;"|"&amp;$C264&amp;"|"&amp;$D264&amp;"|"&amp;U$14&amp;"|"&amp;"CY2023Q3",Spectrum!$R:$R,0)),0),""))</f>
        <v/>
      </c>
      <c r="V264" s="10" t="n">
        <f aca="false">IF(LEFT($B264,4)="_Mil","",_xlfn.IFNA(ROUND(INDEX(Spectrum!$N:$N,MATCH(RIGHT($B264,13)&amp;"|"&amp;$C264&amp;"|"&amp;$D264&amp;"|"&amp;V$14&amp;"|"&amp;"CY2023Q3",Spectrum!$R:$R,0)),0),""))</f>
        <v>760</v>
      </c>
      <c r="W264" s="113" t="n">
        <f aca="false">IF(LEFT($B264,4)="_Mil","",_xlfn.IFNA(INDEX(Spectrum!$N:$N,MATCH(RIGHT($B264,13)&amp;"|"&amp;$C264&amp;"|"&amp;$D264&amp;"|"&amp;W$14&amp;"|"&amp;"CY2023Q3",Spectrum!$R:$R,0)),""))</f>
        <v>555</v>
      </c>
      <c r="X264" s="39" t="n">
        <f aca="false">IF(LEFT($B264,4)="_Mil","",_xlfn.IFNA(ROUND(INDEX(Spectrum!$N:$N,MATCH(RIGHT($B264,13)&amp;"|"&amp;$C264&amp;"|"&amp;$D264&amp;"|"&amp;X$14&amp;"|"&amp;"CY2023Q3",Spectrum!$R:$R,0)),0),""))</f>
        <v>1615</v>
      </c>
      <c r="Y264" s="88" t="str">
        <f aca="false">IF(OR(SUM($U264)=0,LEFT($B264,4)="_Mil"),"",SUM($X264)/$U264)</f>
        <v/>
      </c>
      <c r="Z264" s="39" t="n">
        <f aca="false">IF(LEFT($B264,4)="_Mil","",_xlfn.IFNA(ROUND(INDEX(Spectrum!$N:$N,MATCH(RIGHT($B264,13)&amp;"|"&amp;$C264&amp;"|"&amp;$D264&amp;"|"&amp;Z$14&amp;"|"&amp;"CY2023Q3",Spectrum!$R:$R,0)),0),""))</f>
        <v>708</v>
      </c>
      <c r="AA264" s="88" t="n">
        <f aca="false">IF(LEFT($B264,4)="_Mil","",IFERROR(1/(1/INDEX(Spectrum!$N:$N,MATCH(RIGHT($B264,13)&amp;"|"&amp;$C264&amp;"|"&amp;$D264&amp;"|"&amp;AA$14&amp;"|"&amp;"CY2023Q3",Spectrum!$R:$R,0))),IF(SUM($U264)=0,"",SUM($Z264)/$U264)))</f>
        <v>1340</v>
      </c>
      <c r="AB264" s="88" t="n">
        <f aca="false">IF(OR(LEFT($B264,4)="_Mil",SUM($X264)=0),"",SUM($Z264)/$X264)</f>
        <v>0.438390092879257</v>
      </c>
      <c r="AC264" s="10" t="n">
        <f aca="false">IF(LEFT($B264,4)="_Mil","",_xlfn.IFNA(ROUND(INDEX(Spectrum!$N:$N,MATCH(RIGHT($B264,13)&amp;"|"&amp;$C264&amp;"|"&amp;$D264&amp;"|"&amp;AC$14&amp;"|"&amp;"CY2023Q3",Spectrum!$R:$R,0)),0),""))</f>
        <v>1701</v>
      </c>
      <c r="AD264" s="10" t="str">
        <f aca="false">IF(LEFT($B264,4)="_Mil","",_xlfn.IFNA(ROUND(INDEX(Spectrum!$N:$N,MATCH(RIGHT($B264,13)&amp;"|"&amp;$C264&amp;"|"&amp;$D264&amp;"|"&amp;AD$14&amp;"|"&amp;"CY2023Q3",Spectrum!$R:$R,0)),0),""))</f>
        <v/>
      </c>
      <c r="AE264" s="88" t="n">
        <f aca="false">IF(OR(LEFT($B264,4)="_Mil",SUM($Z264)=0),"",SUM($AD264)/$Z264)</f>
        <v>0</v>
      </c>
      <c r="AF264" s="39" t="str">
        <f aca="false">IF(LEFT($B264,4)="_Mil","",_xlfn.IFNA(ROUND(INDEX(Spectrum!$N:$N,MATCH(RIGHT($B264,13)&amp;"|"&amp;$C264&amp;"|"&amp;$D264&amp;"|"&amp;AF$14&amp;"|"&amp;"CY2023Q3",Spectrum!$R:$R,0)),0),""))</f>
        <v/>
      </c>
      <c r="AG264" s="88" t="str">
        <f aca="false">IF(OR(LEFT($B264,4)="_Mil",SUM($AD264)=0),"",SUM($AF264)/$AD264)</f>
        <v/>
      </c>
      <c r="AH264" s="86" t="str">
        <f aca="false">IF(LEFT($B264,4)="_Mil","",_xlfn.IFNA(INDEX(Spectrum!$N:$N,MATCH(RIGHT($B264,13)&amp;"|"&amp;$C264&amp;"|"&amp;$D264&amp;"|"&amp;AH$14&amp;"|"&amp;"CY2023Q3",Spectrum!$R:$R,0)),""))</f>
        <v/>
      </c>
      <c r="AI264" s="10" t="str">
        <f aca="false">IF(LEFT($B264,4)="_Mil","",_xlfn.IFNA(ROUND(INDEX(Spectrum!$N:$N,MATCH(RIGHT($B264,13)&amp;"|"&amp;$C264&amp;"|"&amp;$D264&amp;"|"&amp;AI$14&amp;"|"&amp;"CY2023Q3",Spectrum!$R:$R,0)),0),""))</f>
        <v/>
      </c>
      <c r="AJ264" s="39" t="n">
        <f aca="false">IF(LEFT($B264,4)="_Mil","",_xlfn.IFNA(ROUND(INDEX(Spectrum!$N:$N,MATCH(RIGHT($B264,13)&amp;"|"&amp;$C264&amp;"|"&amp;$D264&amp;"|"&amp;AI$14&amp;"|"&amp;"CY2023Q3",Spectrum!$R:$R,0)),0),SUM($U264)+SUM($AI264)))</f>
        <v>0</v>
      </c>
      <c r="AK264" s="10" t="str">
        <f aca="false">IF(LEFT($B264,4)="_Mil","",_xlfn.IFNA(ROUND(INDEX(Spectrum!$N:$N,MATCH(RIGHT($B264,13)&amp;"|"&amp;$C264&amp;"|"&amp;$D264&amp;"|"&amp;AK$14&amp;"|"&amp;"CY2023Q3",Spectrum!$R:$R,0)),0),""))</f>
        <v/>
      </c>
      <c r="AL264" s="88" t="n">
        <f aca="false">IF(OR(LEFT($B264,4)="_Mil",$C264="&lt;01"),"",MAX(SUM($AA264),90%))</f>
        <v>1340</v>
      </c>
      <c r="AM264" s="10" t="n">
        <f aca="false">IF(OR(LEFT($B264,4)="_Mil",$C264="&lt;01"),"",ROUND(SUM($AJ264)*SUM($AL264),0))</f>
        <v>0</v>
      </c>
      <c r="AN264" s="10" t="str">
        <f aca="false">IF($C264="&lt;01",ROUND(INDEX(EID!$P:$P,MATCH($B264,EID!$B:$B,0))/2,0),"")</f>
        <v/>
      </c>
      <c r="AO264" s="10" t="n">
        <f aca="false">IF($C264="&lt;01",SUM($AN264),ROUND(SUM($AM264)*SUM($O264)/IF(SUM($Z264)=0,1,$Z264),0))</f>
        <v>0</v>
      </c>
      <c r="AP264" s="39" t="n">
        <f aca="false">IF(OR($F264="",$C264="&lt;01"),$AO264,$F264)</f>
        <v>0</v>
      </c>
      <c r="AQ264" s="39" t="n">
        <f aca="false">IF(LEFT($B264,4)="_Mil","",IF(SUM($AP264)=0,SUM($Z264),IF(OR(SUM($Z264)=0,SUM($O264)=0),MAX($AP264,$Z264),$AP264*$Z264/$O264)))</f>
        <v>708</v>
      </c>
      <c r="AR264" s="88" t="str">
        <f aca="false">IF(OR(LEFT($B264,4)="_Mil",SUM($AJ264)=0),"",SUM($AQ264)/$AJ264)</f>
        <v/>
      </c>
      <c r="AS264" s="88" t="n">
        <f aca="false">IF($C264="&lt;01","",98%)</f>
        <v>0.98</v>
      </c>
      <c r="AT264" s="88" t="n">
        <f aca="false">IF($C264="&lt;01","",98%)</f>
        <v>0.98</v>
      </c>
      <c r="AU264" s="10" t="n">
        <f aca="false">IF($C264="&lt;01","",SUM($AP264)-SUM($O264))</f>
        <v>0</v>
      </c>
      <c r="AV264" s="10" t="n">
        <f aca="false">IF($C264="&lt;01",ROUND(INDEX(EID!$N:$N,MATCH($B264,EID!$B:$B,0))/2,0),IF(SUM($AT264)=0,"",ROUND((SUM($AP264)-(SUM($O264)*SUM($AS264)))/$AT264,0)))</f>
        <v>0</v>
      </c>
      <c r="AW264" s="88" t="n">
        <f aca="false">IF($C264="&lt;01","",100%)</f>
        <v>1</v>
      </c>
      <c r="AX264" s="39" t="n">
        <f aca="false">IF($C264="&lt;01",SUM($AV264),ROUND(SUM($AV264)*SUM($AW264),0))</f>
        <v>0</v>
      </c>
      <c r="AY264" s="114" t="n">
        <f aca="false">IF($C264="&lt;01","",70%)</f>
        <v>0.7</v>
      </c>
      <c r="AZ264" s="91" t="n">
        <f aca="false">IF($C264="&lt;01",ROUND(INDEX(EID!$R:$R,MATCH($B264,EID!$B:$B,0))/2,0),ROUND(SUM($O264)+(SUM($AV264)*$AY264),0))</f>
        <v>0</v>
      </c>
      <c r="BA264" s="87" t="n">
        <f aca="false">IF($C264="&lt;01","",95%)</f>
        <v>0.95</v>
      </c>
      <c r="BB264" s="5" t="n">
        <f aca="false">IF($C264="&lt;01",ROUND(INDEX(EID!$T:$T,MATCH($B264,EID!$B:$B,0))/2,0),ROUND($AZ264*$BA264,0))</f>
        <v>0</v>
      </c>
      <c r="BC264" s="91" t="n">
        <f aca="false">IF(LEFT($B264,4)="_Mil","",IF(SUM($BB264)=0,SUM($AD264),IF(OR(SUM($AP264)=0,SUM($AQ264)=0),MAX($BB264,$AD264),ROUND($BB264*$AQ264/$AP264,0))))</f>
        <v>0</v>
      </c>
      <c r="BD264" s="88" t="n">
        <f aca="false">IF($C264="&lt;01","",95%)</f>
        <v>0.95</v>
      </c>
      <c r="BE264" s="39" t="n">
        <f aca="false">IF($C264="&lt;01",ROUND(INDEX(EID!$V:$V,MATCH($B264,EID!$B:$B,0))/2,0),ROUND($BD264*$BB264,0))</f>
        <v>0</v>
      </c>
      <c r="BF264" s="39" t="n">
        <f aca="false">IF(LEFT($B264,4)="_Mil","",IF(SUM($BE264)=0,SUM($AF264),IF(OR(SUM($AP264)=0,SUM($AQ264)=0),MAX($BE264,$AF264),ROUND($BE264*$AQ264/$AP264,0))))</f>
        <v>0</v>
      </c>
      <c r="BG264" s="114" t="n">
        <f aca="false">IF($C264="&lt;01","",95%)</f>
        <v>0.95</v>
      </c>
      <c r="BH264" s="5" t="n">
        <f aca="false">IF($C264="&lt;01",ROUND(INDEX(EID!$L:$L,MATCH($B264,EID!$B:$B,0)),0)/2,IF(SUM($BG264)=0,"",ROUND($AX264/$BG264,0)))</f>
        <v>0</v>
      </c>
    </row>
    <row r="265" customFormat="false" ht="15" hidden="false" customHeight="false" outlineLevel="0" collapsed="false">
      <c r="A265" s="0" t="str">
        <f aca="false">INDEX(Prioritization!$D:$D,MATCH($B265,Prioritization!$A:$A,0))</f>
        <v>1 - Scale-up: Saturation</v>
      </c>
      <c r="B265" s="0" t="s">
        <v>211</v>
      </c>
      <c r="C265" s="0" t="s">
        <v>368</v>
      </c>
      <c r="D265" s="0" t="s">
        <v>30</v>
      </c>
      <c r="E265" s="0" t="str">
        <f aca="false">$B265&amp;"|"&amp;$C265&amp;"|"&amp;$D265</f>
        <v>Blantyre District [mxqa3CDFmIT]|50+|Female</v>
      </c>
      <c r="F265" s="10"/>
      <c r="G265" s="10"/>
      <c r="H265" s="10"/>
      <c r="I265" s="10"/>
      <c r="J265" s="10"/>
      <c r="K265" s="10"/>
      <c r="L265" s="10"/>
      <c r="M265" s="10"/>
      <c r="N265" s="10"/>
      <c r="O265" s="10" t="str">
        <f aca="false">IFERROR(1/(1/MAX($I265,$N265)),"")</f>
        <v/>
      </c>
      <c r="P265" s="10"/>
      <c r="Q265" s="10"/>
      <c r="R265" s="10" t="str">
        <f aca="false">IF(AND(SUM($I265)=0,SUM($O265)=0),"",SUM($O265)-$I265)</f>
        <v/>
      </c>
      <c r="S265" s="10" t="n">
        <f aca="false">IF(LEFT($B265,4)="_Mil","",_xlfn.IFNA(ROUND(INDEX(Spectrum!$N:$N,MATCH(RIGHT($B265,13)&amp;"|"&amp;$C265&amp;"|"&amp;$D265&amp;"|"&amp;S$14&amp;"|"&amp;"CY2022Q4",Spectrum!$R:$R,0)),0),""))</f>
        <v>503</v>
      </c>
      <c r="T265" s="39" t="n">
        <f aca="false">IF(LEFT($B265,4)="_Mil","",_xlfn.IFNA(ROUND(INDEX(Spectrum!$N:$N,MATCH(RIGHT($B265,13)&amp;"|"&amp;$C265&amp;"|"&amp;$D265&amp;"|"&amp;T$14&amp;"|"&amp;"CY2023Q3",Spectrum!$R:$R,0)),0),""))</f>
        <v>1918</v>
      </c>
      <c r="U265" s="39" t="str">
        <f aca="false">IF(LEFT($B265,4)="_Mil","",_xlfn.IFNA(ROUND(INDEX(Spectrum!$N:$N,MATCH(RIGHT($B265,13)&amp;"|"&amp;$C265&amp;"|"&amp;$D265&amp;"|"&amp;U$14&amp;"|"&amp;"CY2023Q3",Spectrum!$R:$R,0)),0),""))</f>
        <v/>
      </c>
      <c r="V265" s="10" t="n">
        <f aca="false">IF(LEFT($B265,4)="_Mil","",_xlfn.IFNA(ROUND(INDEX(Spectrum!$N:$N,MATCH(RIGHT($B265,13)&amp;"|"&amp;$C265&amp;"|"&amp;$D265&amp;"|"&amp;V$14&amp;"|"&amp;"CY2023Q3",Spectrum!$R:$R,0)),0),""))</f>
        <v>1838</v>
      </c>
      <c r="W265" s="113" t="n">
        <f aca="false">IF(LEFT($B265,4)="_Mil","",_xlfn.IFNA(INDEX(Spectrum!$N:$N,MATCH(RIGHT($B265,13)&amp;"|"&amp;$C265&amp;"|"&amp;$D265&amp;"|"&amp;W$14&amp;"|"&amp;"CY2023Q3",Spectrum!$R:$R,0)),""))</f>
        <v>1987</v>
      </c>
      <c r="X265" s="39" t="n">
        <f aca="false">IF(LEFT($B265,4)="_Mil","",_xlfn.IFNA(ROUND(INDEX(Spectrum!$N:$N,MATCH(RIGHT($B265,13)&amp;"|"&amp;$C265&amp;"|"&amp;$D265&amp;"|"&amp;X$14&amp;"|"&amp;"CY2023Q3",Spectrum!$R:$R,0)),0),""))</f>
        <v>1305</v>
      </c>
      <c r="Y265" s="88" t="str">
        <f aca="false">IF(OR(SUM($U265)=0,LEFT($B265,4)="_Mil"),"",SUM($X265)/$U265)</f>
        <v/>
      </c>
      <c r="Z265" s="39" t="n">
        <f aca="false">IF(LEFT($B265,4)="_Mil","",_xlfn.IFNA(ROUND(INDEX(Spectrum!$N:$N,MATCH(RIGHT($B265,13)&amp;"|"&amp;$C265&amp;"|"&amp;$D265&amp;"|"&amp;Z$14&amp;"|"&amp;"CY2023Q3",Spectrum!$R:$R,0)),0),""))</f>
        <v>1496</v>
      </c>
      <c r="AA265" s="88" t="n">
        <f aca="false">IF(LEFT($B265,4)="_Mil","",IFERROR(1/(1/INDEX(Spectrum!$N:$N,MATCH(RIGHT($B265,13)&amp;"|"&amp;$C265&amp;"|"&amp;$D265&amp;"|"&amp;AA$14&amp;"|"&amp;"CY2023Q3",Spectrum!$R:$R,0))),IF(SUM($U265)=0,"",SUM($Z265)/$U265)))</f>
        <v>673</v>
      </c>
      <c r="AB265" s="88" t="n">
        <f aca="false">IF(OR(LEFT($B265,4)="_Mil",SUM($X265)=0),"",SUM($Z265)/$X265)</f>
        <v>1.14636015325671</v>
      </c>
      <c r="AC265" s="10" t="n">
        <f aca="false">IF(LEFT($B265,4)="_Mil","",_xlfn.IFNA(ROUND(INDEX(Spectrum!$N:$N,MATCH(RIGHT($B265,13)&amp;"|"&amp;$C265&amp;"|"&amp;$D265&amp;"|"&amp;AC$14&amp;"|"&amp;"CY2023Q3",Spectrum!$R:$R,0)),0),""))</f>
        <v>1190</v>
      </c>
      <c r="AD265" s="10" t="str">
        <f aca="false">IF(LEFT($B265,4)="_Mil","",_xlfn.IFNA(ROUND(INDEX(Spectrum!$N:$N,MATCH(RIGHT($B265,13)&amp;"|"&amp;$C265&amp;"|"&amp;$D265&amp;"|"&amp;AD$14&amp;"|"&amp;"CY2023Q3",Spectrum!$R:$R,0)),0),""))</f>
        <v/>
      </c>
      <c r="AE265" s="88" t="n">
        <f aca="false">IF(OR(LEFT($B265,4)="_Mil",SUM($Z265)=0),"",SUM($AD265)/$Z265)</f>
        <v>0</v>
      </c>
      <c r="AF265" s="39" t="str">
        <f aca="false">IF(LEFT($B265,4)="_Mil","",_xlfn.IFNA(ROUND(INDEX(Spectrum!$N:$N,MATCH(RIGHT($B265,13)&amp;"|"&amp;$C265&amp;"|"&amp;$D265&amp;"|"&amp;AF$14&amp;"|"&amp;"CY2023Q3",Spectrum!$R:$R,0)),0),""))</f>
        <v/>
      </c>
      <c r="AG265" s="88" t="str">
        <f aca="false">IF(OR(LEFT($B265,4)="_Mil",SUM($AD265)=0),"",SUM($AF265)/$AD265)</f>
        <v/>
      </c>
      <c r="AH265" s="86" t="str">
        <f aca="false">IF(LEFT($B265,4)="_Mil","",_xlfn.IFNA(INDEX(Spectrum!$N:$N,MATCH(RIGHT($B265,13)&amp;"|"&amp;$C265&amp;"|"&amp;$D265&amp;"|"&amp;AH$14&amp;"|"&amp;"CY2023Q3",Spectrum!$R:$R,0)),""))</f>
        <v/>
      </c>
      <c r="AI265" s="10" t="str">
        <f aca="false">IF(LEFT($B265,4)="_Mil","",_xlfn.IFNA(ROUND(INDEX(Spectrum!$N:$N,MATCH(RIGHT($B265,13)&amp;"|"&amp;$C265&amp;"|"&amp;$D265&amp;"|"&amp;AI$14&amp;"|"&amp;"CY2023Q3",Spectrum!$R:$R,0)),0),""))</f>
        <v/>
      </c>
      <c r="AJ265" s="39" t="n">
        <f aca="false">IF(LEFT($B265,4)="_Mil","",_xlfn.IFNA(ROUND(INDEX(Spectrum!$N:$N,MATCH(RIGHT($B265,13)&amp;"|"&amp;$C265&amp;"|"&amp;$D265&amp;"|"&amp;AI$14&amp;"|"&amp;"CY2023Q3",Spectrum!$R:$R,0)),0),SUM($U265)+SUM($AI265)))</f>
        <v>0</v>
      </c>
      <c r="AK265" s="10" t="str">
        <f aca="false">IF(LEFT($B265,4)="_Mil","",_xlfn.IFNA(ROUND(INDEX(Spectrum!$N:$N,MATCH(RIGHT($B265,13)&amp;"|"&amp;$C265&amp;"|"&amp;$D265&amp;"|"&amp;AK$14&amp;"|"&amp;"CY2023Q3",Spectrum!$R:$R,0)),0),""))</f>
        <v/>
      </c>
      <c r="AL265" s="88" t="n">
        <f aca="false">IF(OR(LEFT($B265,4)="_Mil",$C265="&lt;01"),"",MAX(SUM($AA265),90%))</f>
        <v>673</v>
      </c>
      <c r="AM265" s="10" t="n">
        <f aca="false">IF(OR(LEFT($B265,4)="_Mil",$C265="&lt;01"),"",ROUND(SUM($AJ265)*SUM($AL265),0))</f>
        <v>0</v>
      </c>
      <c r="AN265" s="10" t="str">
        <f aca="false">IF($C265="&lt;01",ROUND(INDEX(EID!$P:$P,MATCH($B265,EID!$B:$B,0))/2,0),"")</f>
        <v/>
      </c>
      <c r="AO265" s="10" t="n">
        <f aca="false">IF($C265="&lt;01",SUM($AN265),ROUND(SUM($AM265)*SUM($O265)/IF(SUM($Z265)=0,1,$Z265),0))</f>
        <v>0</v>
      </c>
      <c r="AP265" s="39" t="n">
        <f aca="false">IF(OR($F265="",$C265="&lt;01"),$AO265,$F265)</f>
        <v>0</v>
      </c>
      <c r="AQ265" s="39" t="n">
        <f aca="false">IF(LEFT($B265,4)="_Mil","",IF(SUM($AP265)=0,SUM($Z265),IF(OR(SUM($Z265)=0,SUM($O265)=0),MAX($AP265,$Z265),$AP265*$Z265/$O265)))</f>
        <v>1496</v>
      </c>
      <c r="AR265" s="88" t="str">
        <f aca="false">IF(OR(LEFT($B265,4)="_Mil",SUM($AJ265)=0),"",SUM($AQ265)/$AJ265)</f>
        <v/>
      </c>
      <c r="AS265" s="88" t="n">
        <f aca="false">IF($C265="&lt;01","",98%)</f>
        <v>0.98</v>
      </c>
      <c r="AT265" s="88" t="n">
        <f aca="false">IF($C265="&lt;01","",98%)</f>
        <v>0.98</v>
      </c>
      <c r="AU265" s="10" t="n">
        <f aca="false">IF($C265="&lt;01","",SUM($AP265)-SUM($O265))</f>
        <v>0</v>
      </c>
      <c r="AV265" s="10" t="n">
        <f aca="false">IF($C265="&lt;01",ROUND(INDEX(EID!$N:$N,MATCH($B265,EID!$B:$B,0))/2,0),IF(SUM($AT265)=0,"",ROUND((SUM($AP265)-(SUM($O265)*SUM($AS265)))/$AT265,0)))</f>
        <v>0</v>
      </c>
      <c r="AW265" s="88" t="n">
        <f aca="false">IF($C265="&lt;01","",100%)</f>
        <v>1</v>
      </c>
      <c r="AX265" s="39" t="n">
        <f aca="false">IF($C265="&lt;01",SUM($AV265),ROUND(SUM($AV265)*SUM($AW265),0))</f>
        <v>0</v>
      </c>
      <c r="AY265" s="114" t="n">
        <f aca="false">IF($C265="&lt;01","",70%)</f>
        <v>0.7</v>
      </c>
      <c r="AZ265" s="91" t="n">
        <f aca="false">IF($C265="&lt;01",ROUND(INDEX(EID!$R:$R,MATCH($B265,EID!$B:$B,0))/2,0),ROUND(SUM($O265)+(SUM($AV265)*$AY265),0))</f>
        <v>0</v>
      </c>
      <c r="BA265" s="87" t="n">
        <f aca="false">IF($C265="&lt;01","",95%)</f>
        <v>0.95</v>
      </c>
      <c r="BB265" s="5" t="n">
        <f aca="false">IF($C265="&lt;01",ROUND(INDEX(EID!$T:$T,MATCH($B265,EID!$B:$B,0))/2,0),ROUND($AZ265*$BA265,0))</f>
        <v>0</v>
      </c>
      <c r="BC265" s="91" t="n">
        <f aca="false">IF(LEFT($B265,4)="_Mil","",IF(SUM($BB265)=0,SUM($AD265),IF(OR(SUM($AP265)=0,SUM($AQ265)=0),MAX($BB265,$AD265),ROUND($BB265*$AQ265/$AP265,0))))</f>
        <v>0</v>
      </c>
      <c r="BD265" s="88" t="n">
        <f aca="false">IF($C265="&lt;01","",95%)</f>
        <v>0.95</v>
      </c>
      <c r="BE265" s="39" t="n">
        <f aca="false">IF($C265="&lt;01",ROUND(INDEX(EID!$V:$V,MATCH($B265,EID!$B:$B,0))/2,0),ROUND($BD265*$BB265,0))</f>
        <v>0</v>
      </c>
      <c r="BF265" s="39" t="n">
        <f aca="false">IF(LEFT($B265,4)="_Mil","",IF(SUM($BE265)=0,SUM($AF265),IF(OR(SUM($AP265)=0,SUM($AQ265)=0),MAX($BE265,$AF265),ROUND($BE265*$AQ265/$AP265,0))))</f>
        <v>0</v>
      </c>
      <c r="BG265" s="114" t="n">
        <f aca="false">IF($C265="&lt;01","",95%)</f>
        <v>0.95</v>
      </c>
      <c r="BH265" s="5" t="n">
        <f aca="false">IF($C265="&lt;01",ROUND(INDEX(EID!$L:$L,MATCH($B265,EID!$B:$B,0)),0)/2,IF(SUM($BG265)=0,"",ROUND($AX265/$BG265,0)))</f>
        <v>0</v>
      </c>
    </row>
    <row r="266" customFormat="false" ht="15" hidden="false" customHeight="false" outlineLevel="0" collapsed="false">
      <c r="A266" s="0" t="str">
        <f aca="false">INDEX(Prioritization!$D:$D,MATCH($B266,Prioritization!$A:$A,0))</f>
        <v>1 - Scale-up: Saturation</v>
      </c>
      <c r="B266" s="0" t="s">
        <v>211</v>
      </c>
      <c r="C266" s="0" t="s">
        <v>368</v>
      </c>
      <c r="D266" s="0" t="s">
        <v>48</v>
      </c>
      <c r="E266" s="0" t="str">
        <f aca="false">$B266&amp;"|"&amp;$C266&amp;"|"&amp;$D266</f>
        <v>Blantyre District [mxqa3CDFmIT]|50+|Male</v>
      </c>
      <c r="F266" s="10"/>
      <c r="G266" s="10"/>
      <c r="H266" s="10"/>
      <c r="I266" s="10"/>
      <c r="J266" s="10"/>
      <c r="K266" s="10"/>
      <c r="L266" s="10"/>
      <c r="M266" s="10"/>
      <c r="N266" s="10"/>
      <c r="O266" s="10" t="str">
        <f aca="false">IFERROR(1/(1/MAX($I266,$N266)),"")</f>
        <v/>
      </c>
      <c r="P266" s="10"/>
      <c r="Q266" s="10"/>
      <c r="R266" s="10" t="str">
        <f aca="false">IF(AND(SUM($I266)=0,SUM($O266)=0),"",SUM($O266)-$I266)</f>
        <v/>
      </c>
      <c r="S266" s="10" t="n">
        <f aca="false">IF(LEFT($B266,4)="_Mil","",_xlfn.IFNA(ROUND(INDEX(Spectrum!$N:$N,MATCH(RIGHT($B266,13)&amp;"|"&amp;$C266&amp;"|"&amp;$D266&amp;"|"&amp;S$14&amp;"|"&amp;"CY2022Q4",Spectrum!$R:$R,0)),0),""))</f>
        <v>1322</v>
      </c>
      <c r="T266" s="39" t="n">
        <f aca="false">IF(LEFT($B266,4)="_Mil","",_xlfn.IFNA(ROUND(INDEX(Spectrum!$N:$N,MATCH(RIGHT($B266,13)&amp;"|"&amp;$C266&amp;"|"&amp;$D266&amp;"|"&amp;T$14&amp;"|"&amp;"CY2023Q3",Spectrum!$R:$R,0)),0),""))</f>
        <v>815</v>
      </c>
      <c r="U266" s="39" t="str">
        <f aca="false">IF(LEFT($B266,4)="_Mil","",_xlfn.IFNA(ROUND(INDEX(Spectrum!$N:$N,MATCH(RIGHT($B266,13)&amp;"|"&amp;$C266&amp;"|"&amp;$D266&amp;"|"&amp;U$14&amp;"|"&amp;"CY2023Q3",Spectrum!$R:$R,0)),0),""))</f>
        <v/>
      </c>
      <c r="V266" s="10" t="n">
        <f aca="false">IF(LEFT($B266,4)="_Mil","",_xlfn.IFNA(ROUND(INDEX(Spectrum!$N:$N,MATCH(RIGHT($B266,13)&amp;"|"&amp;$C266&amp;"|"&amp;$D266&amp;"|"&amp;V$14&amp;"|"&amp;"CY2023Q3",Spectrum!$R:$R,0)),0),""))</f>
        <v>828</v>
      </c>
      <c r="W266" s="113" t="n">
        <f aca="false">IF(LEFT($B266,4)="_Mil","",_xlfn.IFNA(INDEX(Spectrum!$N:$N,MATCH(RIGHT($B266,13)&amp;"|"&amp;$C266&amp;"|"&amp;$D266&amp;"|"&amp;W$14&amp;"|"&amp;"CY2023Q3",Spectrum!$R:$R,0)),""))</f>
        <v>1517</v>
      </c>
      <c r="X266" s="39" t="n">
        <f aca="false">IF(LEFT($B266,4)="_Mil","",_xlfn.IFNA(ROUND(INDEX(Spectrum!$N:$N,MATCH(RIGHT($B266,13)&amp;"|"&amp;$C266&amp;"|"&amp;$D266&amp;"|"&amp;X$14&amp;"|"&amp;"CY2023Q3",Spectrum!$R:$R,0)),0),""))</f>
        <v>1038</v>
      </c>
      <c r="Y266" s="88" t="str">
        <f aca="false">IF(OR(SUM($U266)=0,LEFT($B266,4)="_Mil"),"",SUM($X266)/$U266)</f>
        <v/>
      </c>
      <c r="Z266" s="39" t="n">
        <f aca="false">IF(LEFT($B266,4)="_Mil","",_xlfn.IFNA(ROUND(INDEX(Spectrum!$N:$N,MATCH(RIGHT($B266,13)&amp;"|"&amp;$C266&amp;"|"&amp;$D266&amp;"|"&amp;Z$14&amp;"|"&amp;"CY2023Q3",Spectrum!$R:$R,0)),0),""))</f>
        <v>1916</v>
      </c>
      <c r="AA266" s="88" t="n">
        <f aca="false">IF(LEFT($B266,4)="_Mil","",IFERROR(1/(1/INDEX(Spectrum!$N:$N,MATCH(RIGHT($B266,13)&amp;"|"&amp;$C266&amp;"|"&amp;$D266&amp;"|"&amp;AA$14&amp;"|"&amp;"CY2023Q3",Spectrum!$R:$R,0))),IF(SUM($U266)=0,"",SUM($Z266)/$U266)))</f>
        <v>747</v>
      </c>
      <c r="AB266" s="88" t="n">
        <f aca="false">IF(OR(LEFT($B266,4)="_Mil",SUM($X266)=0),"",SUM($Z266)/$X266)</f>
        <v>1.84585741811175</v>
      </c>
      <c r="AC266" s="10" t="n">
        <f aca="false">IF(LEFT($B266,4)="_Mil","",_xlfn.IFNA(ROUND(INDEX(Spectrum!$N:$N,MATCH(RIGHT($B266,13)&amp;"|"&amp;$C266&amp;"|"&amp;$D266&amp;"|"&amp;AC$14&amp;"|"&amp;"CY2023Q3",Spectrum!$R:$R,0)),0),""))</f>
        <v>1550</v>
      </c>
      <c r="AD266" s="10" t="str">
        <f aca="false">IF(LEFT($B266,4)="_Mil","",_xlfn.IFNA(ROUND(INDEX(Spectrum!$N:$N,MATCH(RIGHT($B266,13)&amp;"|"&amp;$C266&amp;"|"&amp;$D266&amp;"|"&amp;AD$14&amp;"|"&amp;"CY2023Q3",Spectrum!$R:$R,0)),0),""))</f>
        <v/>
      </c>
      <c r="AE266" s="88" t="n">
        <f aca="false">IF(OR(LEFT($B266,4)="_Mil",SUM($Z266)=0),"",SUM($AD266)/$Z266)</f>
        <v>0</v>
      </c>
      <c r="AF266" s="39" t="str">
        <f aca="false">IF(LEFT($B266,4)="_Mil","",_xlfn.IFNA(ROUND(INDEX(Spectrum!$N:$N,MATCH(RIGHT($B266,13)&amp;"|"&amp;$C266&amp;"|"&amp;$D266&amp;"|"&amp;AF$14&amp;"|"&amp;"CY2023Q3",Spectrum!$R:$R,0)),0),""))</f>
        <v/>
      </c>
      <c r="AG266" s="88" t="str">
        <f aca="false">IF(OR(LEFT($B266,4)="_Mil",SUM($AD266)=0),"",SUM($AF266)/$AD266)</f>
        <v/>
      </c>
      <c r="AH266" s="86" t="str">
        <f aca="false">IF(LEFT($B266,4)="_Mil","",_xlfn.IFNA(INDEX(Spectrum!$N:$N,MATCH(RIGHT($B266,13)&amp;"|"&amp;$C266&amp;"|"&amp;$D266&amp;"|"&amp;AH$14&amp;"|"&amp;"CY2023Q3",Spectrum!$R:$R,0)),""))</f>
        <v/>
      </c>
      <c r="AI266" s="10" t="str">
        <f aca="false">IF(LEFT($B266,4)="_Mil","",_xlfn.IFNA(ROUND(INDEX(Spectrum!$N:$N,MATCH(RIGHT($B266,13)&amp;"|"&amp;$C266&amp;"|"&amp;$D266&amp;"|"&amp;AI$14&amp;"|"&amp;"CY2023Q3",Spectrum!$R:$R,0)),0),""))</f>
        <v/>
      </c>
      <c r="AJ266" s="39" t="n">
        <f aca="false">IF(LEFT($B266,4)="_Mil","",_xlfn.IFNA(ROUND(INDEX(Spectrum!$N:$N,MATCH(RIGHT($B266,13)&amp;"|"&amp;$C266&amp;"|"&amp;$D266&amp;"|"&amp;AI$14&amp;"|"&amp;"CY2023Q3",Spectrum!$R:$R,0)),0),SUM($U266)+SUM($AI266)))</f>
        <v>0</v>
      </c>
      <c r="AK266" s="10" t="str">
        <f aca="false">IF(LEFT($B266,4)="_Mil","",_xlfn.IFNA(ROUND(INDEX(Spectrum!$N:$N,MATCH(RIGHT($B266,13)&amp;"|"&amp;$C266&amp;"|"&amp;$D266&amp;"|"&amp;AK$14&amp;"|"&amp;"CY2023Q3",Spectrum!$R:$R,0)),0),""))</f>
        <v/>
      </c>
      <c r="AL266" s="88" t="n">
        <f aca="false">IF(OR(LEFT($B266,4)="_Mil",$C266="&lt;01"),"",MAX(SUM($AA266),90%))</f>
        <v>747</v>
      </c>
      <c r="AM266" s="10" t="n">
        <f aca="false">IF(OR(LEFT($B266,4)="_Mil",$C266="&lt;01"),"",ROUND(SUM($AJ266)*SUM($AL266),0))</f>
        <v>0</v>
      </c>
      <c r="AN266" s="10" t="str">
        <f aca="false">IF($C266="&lt;01",ROUND(INDEX(EID!$P:$P,MATCH($B266,EID!$B:$B,0))/2,0),"")</f>
        <v/>
      </c>
      <c r="AO266" s="10" t="n">
        <f aca="false">IF($C266="&lt;01",SUM($AN266),ROUND(SUM($AM266)*SUM($O266)/IF(SUM($Z266)=0,1,$Z266),0))</f>
        <v>0</v>
      </c>
      <c r="AP266" s="39" t="n">
        <f aca="false">IF(OR($F266="",$C266="&lt;01"),$AO266,$F266)</f>
        <v>0</v>
      </c>
      <c r="AQ266" s="39" t="n">
        <f aca="false">IF(LEFT($B266,4)="_Mil","",IF(SUM($AP266)=0,SUM($Z266),IF(OR(SUM($Z266)=0,SUM($O266)=0),MAX($AP266,$Z266),$AP266*$Z266/$O266)))</f>
        <v>1916</v>
      </c>
      <c r="AR266" s="88" t="str">
        <f aca="false">IF(OR(LEFT($B266,4)="_Mil",SUM($AJ266)=0),"",SUM($AQ266)/$AJ266)</f>
        <v/>
      </c>
      <c r="AS266" s="88" t="n">
        <f aca="false">IF($C266="&lt;01","",98%)</f>
        <v>0.98</v>
      </c>
      <c r="AT266" s="88" t="n">
        <f aca="false">IF($C266="&lt;01","",98%)</f>
        <v>0.98</v>
      </c>
      <c r="AU266" s="10" t="n">
        <f aca="false">IF($C266="&lt;01","",SUM($AP266)-SUM($O266))</f>
        <v>0</v>
      </c>
      <c r="AV266" s="10" t="n">
        <f aca="false">IF($C266="&lt;01",ROUND(INDEX(EID!$N:$N,MATCH($B266,EID!$B:$B,0))/2,0),IF(SUM($AT266)=0,"",ROUND((SUM($AP266)-(SUM($O266)*SUM($AS266)))/$AT266,0)))</f>
        <v>0</v>
      </c>
      <c r="AW266" s="88" t="n">
        <f aca="false">IF($C266="&lt;01","",100%)</f>
        <v>1</v>
      </c>
      <c r="AX266" s="39" t="n">
        <f aca="false">IF($C266="&lt;01",SUM($AV266),ROUND(SUM($AV266)*SUM($AW266),0))</f>
        <v>0</v>
      </c>
      <c r="AY266" s="114" t="n">
        <f aca="false">IF($C266="&lt;01","",70%)</f>
        <v>0.7</v>
      </c>
      <c r="AZ266" s="91" t="n">
        <f aca="false">IF($C266="&lt;01",ROUND(INDEX(EID!$R:$R,MATCH($B266,EID!$B:$B,0))/2,0),ROUND(SUM($O266)+(SUM($AV266)*$AY266),0))</f>
        <v>0</v>
      </c>
      <c r="BA266" s="87" t="n">
        <f aca="false">IF($C266="&lt;01","",95%)</f>
        <v>0.95</v>
      </c>
      <c r="BB266" s="5" t="n">
        <f aca="false">IF($C266="&lt;01",ROUND(INDEX(EID!$T:$T,MATCH($B266,EID!$B:$B,0))/2,0),ROUND($AZ266*$BA266,0))</f>
        <v>0</v>
      </c>
      <c r="BC266" s="91" t="n">
        <f aca="false">IF(LEFT($B266,4)="_Mil","",IF(SUM($BB266)=0,SUM($AD266),IF(OR(SUM($AP266)=0,SUM($AQ266)=0),MAX($BB266,$AD266),ROUND($BB266*$AQ266/$AP266,0))))</f>
        <v>0</v>
      </c>
      <c r="BD266" s="88" t="n">
        <f aca="false">IF($C266="&lt;01","",95%)</f>
        <v>0.95</v>
      </c>
      <c r="BE266" s="39" t="n">
        <f aca="false">IF($C266="&lt;01",ROUND(INDEX(EID!$V:$V,MATCH($B266,EID!$B:$B,0))/2,0),ROUND($BD266*$BB266,0))</f>
        <v>0</v>
      </c>
      <c r="BF266" s="39" t="n">
        <f aca="false">IF(LEFT($B266,4)="_Mil","",IF(SUM($BE266)=0,SUM($AF266),IF(OR(SUM($AP266)=0,SUM($AQ266)=0),MAX($BE266,$AF266),ROUND($BE266*$AQ266/$AP266,0))))</f>
        <v>0</v>
      </c>
      <c r="BG266" s="114" t="n">
        <f aca="false">IF($C266="&lt;01","",95%)</f>
        <v>0.95</v>
      </c>
      <c r="BH266" s="5" t="n">
        <f aca="false">IF($C266="&lt;01",ROUND(INDEX(EID!$L:$L,MATCH($B266,EID!$B:$B,0)),0)/2,IF(SUM($BG266)=0,"",ROUND($AX266/$BG266,0)))</f>
        <v>0</v>
      </c>
    </row>
    <row r="267" customFormat="false" ht="15" hidden="false" customHeight="false" outlineLevel="0" collapsed="false">
      <c r="A267" s="0" t="str">
        <f aca="false">INDEX(Prioritization!$D:$D,MATCH($B267,Prioritization!$A:$A,0))</f>
        <v>1 - Scale-up: Saturation</v>
      </c>
      <c r="B267" s="0" t="s">
        <v>212</v>
      </c>
      <c r="C267" s="0" t="s">
        <v>316</v>
      </c>
      <c r="D267" s="0" t="s">
        <v>30</v>
      </c>
      <c r="E267" s="0" t="str">
        <f aca="false">$B267&amp;"|"&amp;$C267&amp;"|"&amp;$D267</f>
        <v>Chikwawa District [U8c0so51kT6]|&lt;01|Female</v>
      </c>
      <c r="F267" s="10"/>
      <c r="G267" s="10" t="n">
        <v>9</v>
      </c>
      <c r="H267" s="10" t="n">
        <v>9</v>
      </c>
      <c r="I267" s="10" t="n">
        <v>1</v>
      </c>
      <c r="J267" s="10" t="n">
        <v>3</v>
      </c>
      <c r="K267" s="10" t="n">
        <v>3</v>
      </c>
      <c r="L267" s="10"/>
      <c r="M267" s="10" t="n">
        <v>1</v>
      </c>
      <c r="N267" s="10" t="n">
        <v>1</v>
      </c>
      <c r="O267" s="10" t="n">
        <f aca="false">IFERROR(1/(1/MAX($I267,$N267)),"")</f>
        <v>1</v>
      </c>
      <c r="P267" s="10" t="n">
        <v>0</v>
      </c>
      <c r="Q267" s="10" t="n">
        <v>0</v>
      </c>
      <c r="R267" s="10" t="n">
        <f aca="false">IF(AND(SUM($I267)=0,SUM($O267)=0),"",SUM($O267)-$I267)</f>
        <v>0</v>
      </c>
      <c r="S267" s="10" t="n">
        <f aca="false">IF(LEFT($B267,4)="_Mil","",_xlfn.IFNA(ROUND(INDEX(Spectrum!$N:$N,MATCH(RIGHT($B267,13)&amp;"|"&amp;$C267&amp;"|"&amp;$D267&amp;"|"&amp;S$14&amp;"|"&amp;"CY2022Q4",Spectrum!$R:$R,0)),0),""))</f>
        <v>1847</v>
      </c>
      <c r="T267" s="39" t="n">
        <f aca="false">IF(LEFT($B267,4)="_Mil","",_xlfn.IFNA(ROUND(INDEX(Spectrum!$N:$N,MATCH(RIGHT($B267,13)&amp;"|"&amp;$C267&amp;"|"&amp;$D267&amp;"|"&amp;T$14&amp;"|"&amp;"CY2023Q3",Spectrum!$R:$R,0)),0),""))</f>
        <v>760</v>
      </c>
      <c r="U267" s="39" t="str">
        <f aca="false">IF(LEFT($B267,4)="_Mil","",_xlfn.IFNA(ROUND(INDEX(Spectrum!$N:$N,MATCH(RIGHT($B267,13)&amp;"|"&amp;$C267&amp;"|"&amp;$D267&amp;"|"&amp;U$14&amp;"|"&amp;"CY2023Q3",Spectrum!$R:$R,0)),0),""))</f>
        <v/>
      </c>
      <c r="V267" s="10" t="n">
        <f aca="false">IF(LEFT($B267,4)="_Mil","",_xlfn.IFNA(ROUND(INDEX(Spectrum!$N:$N,MATCH(RIGHT($B267,13)&amp;"|"&amp;$C267&amp;"|"&amp;$D267&amp;"|"&amp;V$14&amp;"|"&amp;"CY2023Q3",Spectrum!$R:$R,0)),0),""))</f>
        <v>1527</v>
      </c>
      <c r="W267" s="113" t="n">
        <f aca="false">IF(LEFT($B267,4)="_Mil","",_xlfn.IFNA(INDEX(Spectrum!$N:$N,MATCH(RIGHT($B267,13)&amp;"|"&amp;$C267&amp;"|"&amp;$D267&amp;"|"&amp;W$14&amp;"|"&amp;"CY2023Q3",Spectrum!$R:$R,0)),""))</f>
        <v>990</v>
      </c>
      <c r="X267" s="39" t="n">
        <f aca="false">IF(LEFT($B267,4)="_Mil","",_xlfn.IFNA(ROUND(INDEX(Spectrum!$N:$N,MATCH(RIGHT($B267,13)&amp;"|"&amp;$C267&amp;"|"&amp;$D267&amp;"|"&amp;X$14&amp;"|"&amp;"CY2023Q3",Spectrum!$R:$R,0)),0),""))</f>
        <v>678</v>
      </c>
      <c r="Y267" s="88" t="str">
        <f aca="false">IF(OR(SUM($U267)=0,LEFT($B267,4)="_Mil"),"",SUM($X267)/$U267)</f>
        <v/>
      </c>
      <c r="Z267" s="39" t="n">
        <f aca="false">IF(LEFT($B267,4)="_Mil","",_xlfn.IFNA(ROUND(INDEX(Spectrum!$N:$N,MATCH(RIGHT($B267,13)&amp;"|"&amp;$C267&amp;"|"&amp;$D267&amp;"|"&amp;Z$14&amp;"|"&amp;"CY2023Q3",Spectrum!$R:$R,0)),0),""))</f>
        <v>717</v>
      </c>
      <c r="AA267" s="88" t="n">
        <f aca="false">IF(LEFT($B267,4)="_Mil","",IFERROR(1/(1/INDEX(Spectrum!$N:$N,MATCH(RIGHT($B267,13)&amp;"|"&amp;$C267&amp;"|"&amp;$D267&amp;"|"&amp;AA$14&amp;"|"&amp;"CY2023Q3",Spectrum!$R:$R,0))),IF(SUM($U267)=0,"",SUM($Z267)/$U267)))</f>
        <v>1666</v>
      </c>
      <c r="AB267" s="88" t="n">
        <f aca="false">IF(OR(LEFT($B267,4)="_Mil",SUM($X267)=0),"",SUM($Z267)/$X267)</f>
        <v>1.05752212389381</v>
      </c>
      <c r="AC267" s="10" t="n">
        <f aca="false">IF(LEFT($B267,4)="_Mil","",_xlfn.IFNA(ROUND(INDEX(Spectrum!$N:$N,MATCH(RIGHT($B267,13)&amp;"|"&amp;$C267&amp;"|"&amp;$D267&amp;"|"&amp;AC$14&amp;"|"&amp;"CY2023Q3",Spectrum!$R:$R,0)),0),""))</f>
        <v>1652</v>
      </c>
      <c r="AD267" s="10" t="str">
        <f aca="false">IF(LEFT($B267,4)="_Mil","",_xlfn.IFNA(ROUND(INDEX(Spectrum!$N:$N,MATCH(RIGHT($B267,13)&amp;"|"&amp;$C267&amp;"|"&amp;$D267&amp;"|"&amp;AD$14&amp;"|"&amp;"CY2023Q3",Spectrum!$R:$R,0)),0),""))</f>
        <v/>
      </c>
      <c r="AE267" s="88" t="n">
        <f aca="false">IF(OR(LEFT($B267,4)="_Mil",SUM($Z267)=0),"",SUM($AD267)/$Z267)</f>
        <v>0</v>
      </c>
      <c r="AF267" s="39" t="str">
        <f aca="false">IF(LEFT($B267,4)="_Mil","",_xlfn.IFNA(ROUND(INDEX(Spectrum!$N:$N,MATCH(RIGHT($B267,13)&amp;"|"&amp;$C267&amp;"|"&amp;$D267&amp;"|"&amp;AF$14&amp;"|"&amp;"CY2023Q3",Spectrum!$R:$R,0)),0),""))</f>
        <v/>
      </c>
      <c r="AG267" s="88" t="str">
        <f aca="false">IF(OR(LEFT($B267,4)="_Mil",SUM($AD267)=0),"",SUM($AF267)/$AD267)</f>
        <v/>
      </c>
      <c r="AH267" s="86" t="str">
        <f aca="false">IF(LEFT($B267,4)="_Mil","",_xlfn.IFNA(INDEX(Spectrum!$N:$N,MATCH(RIGHT($B267,13)&amp;"|"&amp;$C267&amp;"|"&amp;$D267&amp;"|"&amp;AH$14&amp;"|"&amp;"CY2023Q3",Spectrum!$R:$R,0)),""))</f>
        <v/>
      </c>
      <c r="AI267" s="10" t="str">
        <f aca="false">IF(LEFT($B267,4)="_Mil","",_xlfn.IFNA(ROUND(INDEX(Spectrum!$N:$N,MATCH(RIGHT($B267,13)&amp;"|"&amp;$C267&amp;"|"&amp;$D267&amp;"|"&amp;AI$14&amp;"|"&amp;"CY2023Q3",Spectrum!$R:$R,0)),0),""))</f>
        <v/>
      </c>
      <c r="AJ267" s="39" t="n">
        <f aca="false">IF(LEFT($B267,4)="_Mil","",_xlfn.IFNA(ROUND(INDEX(Spectrum!$N:$N,MATCH(RIGHT($B267,13)&amp;"|"&amp;$C267&amp;"|"&amp;$D267&amp;"|"&amp;AI$14&amp;"|"&amp;"CY2023Q3",Spectrum!$R:$R,0)),0),SUM($U267)+SUM($AI267)))</f>
        <v>0</v>
      </c>
      <c r="AK267" s="10" t="str">
        <f aca="false">IF(LEFT($B267,4)="_Mil","",_xlfn.IFNA(ROUND(INDEX(Spectrum!$N:$N,MATCH(RIGHT($B267,13)&amp;"|"&amp;$C267&amp;"|"&amp;$D267&amp;"|"&amp;AK$14&amp;"|"&amp;"CY2023Q3",Spectrum!$R:$R,0)),0),""))</f>
        <v/>
      </c>
      <c r="AL267" s="88" t="str">
        <f aca="false">IF(OR(LEFT($B267,4)="_Mil",$C267="&lt;01"),"",MAX(SUM($AA267),90%))</f>
        <v/>
      </c>
      <c r="AM267" s="10" t="str">
        <f aca="false">IF(OR(LEFT($B267,4)="_Mil",$C267="&lt;01"),"",ROUND(SUM($AJ267)*SUM($AL267),0))</f>
        <v/>
      </c>
      <c r="AN267" s="10" t="n">
        <f aca="false">IF($C267="&lt;01",ROUND(INDEX(EID!$P:$P,MATCH($B267,EID!$B:$B,0))/2,0),"")</f>
        <v>4</v>
      </c>
      <c r="AO267" s="10" t="n">
        <f aca="false">IF($C267="&lt;01",SUM($AN267),ROUND(SUM($AM267)*SUM($O267)/IF(SUM($Z267)=0,1,$Z267),0))</f>
        <v>4</v>
      </c>
      <c r="AP267" s="39" t="n">
        <f aca="false">IF(OR($F267="",$C267="&lt;01"),$AO267,$F267)</f>
        <v>4</v>
      </c>
      <c r="AQ267" s="39" t="n">
        <f aca="false">IF(LEFT($B267,4)="_Mil","",IF(SUM($AP267)=0,SUM($Z267),IF(OR(SUM($Z267)=0,SUM($O267)=0),MAX($AP267,$Z267),$AP267*$Z267/$O267)))</f>
        <v>2868</v>
      </c>
      <c r="AR267" s="88" t="str">
        <f aca="false">IF(OR(LEFT($B267,4)="_Mil",SUM($AJ267)=0),"",SUM($AQ267)/$AJ267)</f>
        <v/>
      </c>
      <c r="AS267" s="88" t="str">
        <f aca="false">IF($C267="&lt;01","",98%)</f>
        <v/>
      </c>
      <c r="AT267" s="88" t="str">
        <f aca="false">IF($C267="&lt;01","",98%)</f>
        <v/>
      </c>
      <c r="AU267" s="10" t="str">
        <f aca="false">IF($C267="&lt;01","",SUM($AP267)-SUM($O267))</f>
        <v/>
      </c>
      <c r="AV267" s="10" t="n">
        <f aca="false">IF($C267="&lt;01",ROUND(INDEX(EID!$N:$N,MATCH($B267,EID!$B:$B,0))/2,0),IF(SUM($AT267)=0,"",ROUND((SUM($AP267)-(SUM($O267)*SUM($AS267)))/$AT267,0)))</f>
        <v>4</v>
      </c>
      <c r="AW267" s="88" t="str">
        <f aca="false">IF($C267="&lt;01","",100%)</f>
        <v/>
      </c>
      <c r="AX267" s="39" t="n">
        <f aca="false">IF($C267="&lt;01",SUM($AV267),ROUND(SUM($AV267)*SUM($AW267),0))</f>
        <v>4</v>
      </c>
      <c r="AY267" s="114" t="str">
        <f aca="false">IF($C267="&lt;01","",70%)</f>
        <v/>
      </c>
      <c r="AZ267" s="91" t="n">
        <f aca="false">IF($C267="&lt;01",ROUND(INDEX(EID!$R:$R,MATCH($B267,EID!$B:$B,0))/2,0),ROUND(SUM($O267)+(SUM($AV267)*$AY267),0))</f>
        <v>3</v>
      </c>
      <c r="BA267" s="87" t="str">
        <f aca="false">IF($C267="&lt;01","",95%)</f>
        <v/>
      </c>
      <c r="BB267" s="5" t="n">
        <f aca="false">IF($C267="&lt;01",ROUND(INDEX(EID!$T:$T,MATCH($B267,EID!$B:$B,0))/2,0),ROUND($AZ267*$BA267,0))</f>
        <v>3</v>
      </c>
      <c r="BC267" s="91" t="n">
        <f aca="false">IF(LEFT($B267,4)="_Mil","",IF(SUM($BB267)=0,SUM($AD267),IF(OR(SUM($AP267)=0,SUM($AQ267)=0),MAX($BB267,$AD267),ROUND($BB267*$AQ267/$AP267,0))))</f>
        <v>2151</v>
      </c>
      <c r="BD267" s="88" t="str">
        <f aca="false">IF($C267="&lt;01","",95%)</f>
        <v/>
      </c>
      <c r="BE267" s="39" t="n">
        <f aca="false">IF($C267="&lt;01",ROUND(INDEX(EID!$V:$V,MATCH($B267,EID!$B:$B,0))/2,0),ROUND($BD267*$BB267,0))</f>
        <v>3</v>
      </c>
      <c r="BF267" s="39" t="n">
        <f aca="false">IF(LEFT($B267,4)="_Mil","",IF(SUM($BE267)=0,SUM($AF267),IF(OR(SUM($AP267)=0,SUM($AQ267)=0),MAX($BE267,$AF267),ROUND($BE267*$AQ267/$AP267,0))))</f>
        <v>2151</v>
      </c>
      <c r="BG267" s="114" t="str">
        <f aca="false">IF($C267="&lt;01","",95%)</f>
        <v/>
      </c>
      <c r="BH267" s="5" t="n">
        <f aca="false">IF($C267="&lt;01",ROUND(INDEX(EID!$L:$L,MATCH($B267,EID!$B:$B,0)),0)/2,IF(SUM($BG267)=0,"",ROUND($AX267/$BG267,0)))</f>
        <v>3.5</v>
      </c>
    </row>
    <row r="268" customFormat="false" ht="15" hidden="false" customHeight="false" outlineLevel="0" collapsed="false">
      <c r="A268" s="0" t="str">
        <f aca="false">INDEX(Prioritization!$D:$D,MATCH($B268,Prioritization!$A:$A,0))</f>
        <v>1 - Scale-up: Saturation</v>
      </c>
      <c r="B268" s="0" t="s">
        <v>212</v>
      </c>
      <c r="C268" s="0" t="s">
        <v>316</v>
      </c>
      <c r="D268" s="0" t="s">
        <v>48</v>
      </c>
      <c r="E268" s="0" t="str">
        <f aca="false">$B268&amp;"|"&amp;$C268&amp;"|"&amp;$D268</f>
        <v>Chikwawa District [U8c0so51kT6]|&lt;01|Male</v>
      </c>
      <c r="F268" s="10"/>
      <c r="G268" s="10" t="n">
        <v>7</v>
      </c>
      <c r="H268" s="10" t="n">
        <v>6</v>
      </c>
      <c r="I268" s="10" t="n">
        <v>5</v>
      </c>
      <c r="J268" s="10" t="n">
        <v>1</v>
      </c>
      <c r="K268" s="10" t="n">
        <v>1</v>
      </c>
      <c r="L268" s="10"/>
      <c r="M268" s="10" t="n">
        <v>0</v>
      </c>
      <c r="N268" s="10" t="n">
        <v>0</v>
      </c>
      <c r="O268" s="10" t="n">
        <f aca="false">IFERROR(1/(1/MAX($I268,$N268)),"")</f>
        <v>5</v>
      </c>
      <c r="P268" s="10" t="n">
        <v>0</v>
      </c>
      <c r="Q268" s="10" t="n">
        <v>0</v>
      </c>
      <c r="R268" s="10" t="n">
        <f aca="false">IF(AND(SUM($I268)=0,SUM($O268)=0),"",SUM($O268)-$I268)</f>
        <v>0</v>
      </c>
      <c r="S268" s="10" t="n">
        <f aca="false">IF(LEFT($B268,4)="_Mil","",_xlfn.IFNA(ROUND(INDEX(Spectrum!$N:$N,MATCH(RIGHT($B268,13)&amp;"|"&amp;$C268&amp;"|"&amp;$D268&amp;"|"&amp;S$14&amp;"|"&amp;"CY2022Q4",Spectrum!$R:$R,0)),0),""))</f>
        <v>1893</v>
      </c>
      <c r="T268" s="39" t="n">
        <f aca="false">IF(LEFT($B268,4)="_Mil","",_xlfn.IFNA(ROUND(INDEX(Spectrum!$N:$N,MATCH(RIGHT($B268,13)&amp;"|"&amp;$C268&amp;"|"&amp;$D268&amp;"|"&amp;T$14&amp;"|"&amp;"CY2023Q3",Spectrum!$R:$R,0)),0),""))</f>
        <v>1907</v>
      </c>
      <c r="U268" s="39" t="str">
        <f aca="false">IF(LEFT($B268,4)="_Mil","",_xlfn.IFNA(ROUND(INDEX(Spectrum!$N:$N,MATCH(RIGHT($B268,13)&amp;"|"&amp;$C268&amp;"|"&amp;$D268&amp;"|"&amp;U$14&amp;"|"&amp;"CY2023Q3",Spectrum!$R:$R,0)),0),""))</f>
        <v/>
      </c>
      <c r="V268" s="10" t="n">
        <f aca="false">IF(LEFT($B268,4)="_Mil","",_xlfn.IFNA(ROUND(INDEX(Spectrum!$N:$N,MATCH(RIGHT($B268,13)&amp;"|"&amp;$C268&amp;"|"&amp;$D268&amp;"|"&amp;V$14&amp;"|"&amp;"CY2023Q3",Spectrum!$R:$R,0)),0),""))</f>
        <v>1142</v>
      </c>
      <c r="W268" s="113" t="n">
        <f aca="false">IF(LEFT($B268,4)="_Mil","",_xlfn.IFNA(INDEX(Spectrum!$N:$N,MATCH(RIGHT($B268,13)&amp;"|"&amp;$C268&amp;"|"&amp;$D268&amp;"|"&amp;W$14&amp;"|"&amp;"CY2023Q3",Spectrum!$R:$R,0)),""))</f>
        <v>1443</v>
      </c>
      <c r="X268" s="39" t="n">
        <f aca="false">IF(LEFT($B268,4)="_Mil","",_xlfn.IFNA(ROUND(INDEX(Spectrum!$N:$N,MATCH(RIGHT($B268,13)&amp;"|"&amp;$C268&amp;"|"&amp;$D268&amp;"|"&amp;X$14&amp;"|"&amp;"CY2023Q3",Spectrum!$R:$R,0)),0),""))</f>
        <v>1250</v>
      </c>
      <c r="Y268" s="88" t="str">
        <f aca="false">IF(OR(SUM($U268)=0,LEFT($B268,4)="_Mil"),"",SUM($X268)/$U268)</f>
        <v/>
      </c>
      <c r="Z268" s="39" t="n">
        <f aca="false">IF(LEFT($B268,4)="_Mil","",_xlfn.IFNA(ROUND(INDEX(Spectrum!$N:$N,MATCH(RIGHT($B268,13)&amp;"|"&amp;$C268&amp;"|"&amp;$D268&amp;"|"&amp;Z$14&amp;"|"&amp;"CY2023Q3",Spectrum!$R:$R,0)),0),""))</f>
        <v>1675</v>
      </c>
      <c r="AA268" s="88" t="n">
        <f aca="false">IF(LEFT($B268,4)="_Mil","",IFERROR(1/(1/INDEX(Spectrum!$N:$N,MATCH(RIGHT($B268,13)&amp;"|"&amp;$C268&amp;"|"&amp;$D268&amp;"|"&amp;AA$14&amp;"|"&amp;"CY2023Q3",Spectrum!$R:$R,0))),IF(SUM($U268)=0,"",SUM($Z268)/$U268)))</f>
        <v>1378</v>
      </c>
      <c r="AB268" s="88" t="n">
        <f aca="false">IF(OR(LEFT($B268,4)="_Mil",SUM($X268)=0),"",SUM($Z268)/$X268)</f>
        <v>1.34</v>
      </c>
      <c r="AC268" s="10" t="n">
        <f aca="false">IF(LEFT($B268,4)="_Mil","",_xlfn.IFNA(ROUND(INDEX(Spectrum!$N:$N,MATCH(RIGHT($B268,13)&amp;"|"&amp;$C268&amp;"|"&amp;$D268&amp;"|"&amp;AC$14&amp;"|"&amp;"CY2023Q3",Spectrum!$R:$R,0)),0),""))</f>
        <v>847</v>
      </c>
      <c r="AD268" s="10" t="str">
        <f aca="false">IF(LEFT($B268,4)="_Mil","",_xlfn.IFNA(ROUND(INDEX(Spectrum!$N:$N,MATCH(RIGHT($B268,13)&amp;"|"&amp;$C268&amp;"|"&amp;$D268&amp;"|"&amp;AD$14&amp;"|"&amp;"CY2023Q3",Spectrum!$R:$R,0)),0),""))</f>
        <v/>
      </c>
      <c r="AE268" s="88" t="n">
        <f aca="false">IF(OR(LEFT($B268,4)="_Mil",SUM($Z268)=0),"",SUM($AD268)/$Z268)</f>
        <v>0</v>
      </c>
      <c r="AF268" s="39" t="str">
        <f aca="false">IF(LEFT($B268,4)="_Mil","",_xlfn.IFNA(ROUND(INDEX(Spectrum!$N:$N,MATCH(RIGHT($B268,13)&amp;"|"&amp;$C268&amp;"|"&amp;$D268&amp;"|"&amp;AF$14&amp;"|"&amp;"CY2023Q3",Spectrum!$R:$R,0)),0),""))</f>
        <v/>
      </c>
      <c r="AG268" s="88" t="str">
        <f aca="false">IF(OR(LEFT($B268,4)="_Mil",SUM($AD268)=0),"",SUM($AF268)/$AD268)</f>
        <v/>
      </c>
      <c r="AH268" s="86" t="str">
        <f aca="false">IF(LEFT($B268,4)="_Mil","",_xlfn.IFNA(INDEX(Spectrum!$N:$N,MATCH(RIGHT($B268,13)&amp;"|"&amp;$C268&amp;"|"&amp;$D268&amp;"|"&amp;AH$14&amp;"|"&amp;"CY2023Q3",Spectrum!$R:$R,0)),""))</f>
        <v/>
      </c>
      <c r="AI268" s="10" t="str">
        <f aca="false">IF(LEFT($B268,4)="_Mil","",_xlfn.IFNA(ROUND(INDEX(Spectrum!$N:$N,MATCH(RIGHT($B268,13)&amp;"|"&amp;$C268&amp;"|"&amp;$D268&amp;"|"&amp;AI$14&amp;"|"&amp;"CY2023Q3",Spectrum!$R:$R,0)),0),""))</f>
        <v/>
      </c>
      <c r="AJ268" s="39" t="n">
        <f aca="false">IF(LEFT($B268,4)="_Mil","",_xlfn.IFNA(ROUND(INDEX(Spectrum!$N:$N,MATCH(RIGHT($B268,13)&amp;"|"&amp;$C268&amp;"|"&amp;$D268&amp;"|"&amp;AI$14&amp;"|"&amp;"CY2023Q3",Spectrum!$R:$R,0)),0),SUM($U268)+SUM($AI268)))</f>
        <v>0</v>
      </c>
      <c r="AK268" s="10" t="str">
        <f aca="false">IF(LEFT($B268,4)="_Mil","",_xlfn.IFNA(ROUND(INDEX(Spectrum!$N:$N,MATCH(RIGHT($B268,13)&amp;"|"&amp;$C268&amp;"|"&amp;$D268&amp;"|"&amp;AK$14&amp;"|"&amp;"CY2023Q3",Spectrum!$R:$R,0)),0),""))</f>
        <v/>
      </c>
      <c r="AL268" s="88" t="str">
        <f aca="false">IF(OR(LEFT($B268,4)="_Mil",$C268="&lt;01"),"",MAX(SUM($AA268),90%))</f>
        <v/>
      </c>
      <c r="AM268" s="10" t="str">
        <f aca="false">IF(OR(LEFT($B268,4)="_Mil",$C268="&lt;01"),"",ROUND(SUM($AJ268)*SUM($AL268),0))</f>
        <v/>
      </c>
      <c r="AN268" s="10" t="n">
        <f aca="false">IF($C268="&lt;01",ROUND(INDEX(EID!$P:$P,MATCH($B268,EID!$B:$B,0))/2,0),"")</f>
        <v>4</v>
      </c>
      <c r="AO268" s="10" t="n">
        <f aca="false">IF($C268="&lt;01",SUM($AN268),ROUND(SUM($AM268)*SUM($O268)/IF(SUM($Z268)=0,1,$Z268),0))</f>
        <v>4</v>
      </c>
      <c r="AP268" s="39" t="n">
        <f aca="false">IF(OR($F268="",$C268="&lt;01"),$AO268,$F268)</f>
        <v>4</v>
      </c>
      <c r="AQ268" s="39" t="n">
        <f aca="false">IF(LEFT($B268,4)="_Mil","",IF(SUM($AP268)=0,SUM($Z268),IF(OR(SUM($Z268)=0,SUM($O268)=0),MAX($AP268,$Z268),$AP268*$Z268/$O268)))</f>
        <v>1340</v>
      </c>
      <c r="AR268" s="88" t="str">
        <f aca="false">IF(OR(LEFT($B268,4)="_Mil",SUM($AJ268)=0),"",SUM($AQ268)/$AJ268)</f>
        <v/>
      </c>
      <c r="AS268" s="88" t="str">
        <f aca="false">IF($C268="&lt;01","",98%)</f>
        <v/>
      </c>
      <c r="AT268" s="88" t="str">
        <f aca="false">IF($C268="&lt;01","",98%)</f>
        <v/>
      </c>
      <c r="AU268" s="10" t="str">
        <f aca="false">IF($C268="&lt;01","",SUM($AP268)-SUM($O268))</f>
        <v/>
      </c>
      <c r="AV268" s="10" t="n">
        <f aca="false">IF($C268="&lt;01",ROUND(INDEX(EID!$N:$N,MATCH($B268,EID!$B:$B,0))/2,0),IF(SUM($AT268)=0,"",ROUND((SUM($AP268)-(SUM($O268)*SUM($AS268)))/$AT268,0)))</f>
        <v>4</v>
      </c>
      <c r="AW268" s="88" t="str">
        <f aca="false">IF($C268="&lt;01","",100%)</f>
        <v/>
      </c>
      <c r="AX268" s="39" t="n">
        <f aca="false">IF($C268="&lt;01",SUM($AV268),ROUND(SUM($AV268)*SUM($AW268),0))</f>
        <v>4</v>
      </c>
      <c r="AY268" s="114" t="str">
        <f aca="false">IF($C268="&lt;01","",70%)</f>
        <v/>
      </c>
      <c r="AZ268" s="91" t="n">
        <f aca="false">IF($C268="&lt;01",ROUND(INDEX(EID!$R:$R,MATCH($B268,EID!$B:$B,0))/2,0),ROUND(SUM($O268)+(SUM($AV268)*$AY268),0))</f>
        <v>3</v>
      </c>
      <c r="BA268" s="87" t="str">
        <f aca="false">IF($C268="&lt;01","",95%)</f>
        <v/>
      </c>
      <c r="BB268" s="5" t="n">
        <f aca="false">IF($C268="&lt;01",ROUND(INDEX(EID!$T:$T,MATCH($B268,EID!$B:$B,0))/2,0),ROUND($AZ268*$BA268,0))</f>
        <v>3</v>
      </c>
      <c r="BC268" s="91" t="n">
        <f aca="false">IF(LEFT($B268,4)="_Mil","",IF(SUM($BB268)=0,SUM($AD268),IF(OR(SUM($AP268)=0,SUM($AQ268)=0),MAX($BB268,$AD268),ROUND($BB268*$AQ268/$AP268,0))))</f>
        <v>1005</v>
      </c>
      <c r="BD268" s="88" t="str">
        <f aca="false">IF($C268="&lt;01","",95%)</f>
        <v/>
      </c>
      <c r="BE268" s="39" t="n">
        <f aca="false">IF($C268="&lt;01",ROUND(INDEX(EID!$V:$V,MATCH($B268,EID!$B:$B,0))/2,0),ROUND($BD268*$BB268,0))</f>
        <v>3</v>
      </c>
      <c r="BF268" s="39" t="n">
        <f aca="false">IF(LEFT($B268,4)="_Mil","",IF(SUM($BE268)=0,SUM($AF268),IF(OR(SUM($AP268)=0,SUM($AQ268)=0),MAX($BE268,$AF268),ROUND($BE268*$AQ268/$AP268,0))))</f>
        <v>1005</v>
      </c>
      <c r="BG268" s="114" t="str">
        <f aca="false">IF($C268="&lt;01","",95%)</f>
        <v/>
      </c>
      <c r="BH268" s="5" t="n">
        <f aca="false">IF($C268="&lt;01",ROUND(INDEX(EID!$L:$L,MATCH($B268,EID!$B:$B,0)),0)/2,IF(SUM($BG268)=0,"",ROUND($AX268/$BG268,0)))</f>
        <v>3.5</v>
      </c>
    </row>
    <row r="269" customFormat="false" ht="15" hidden="false" customHeight="false" outlineLevel="0" collapsed="false">
      <c r="A269" s="0" t="str">
        <f aca="false">INDEX(Prioritization!$D:$D,MATCH($B269,Prioritization!$A:$A,0))</f>
        <v>1 - Scale-up: Saturation</v>
      </c>
      <c r="B269" s="0" t="s">
        <v>212</v>
      </c>
      <c r="C269" s="0" t="s">
        <v>363</v>
      </c>
      <c r="D269" s="0" t="s">
        <v>30</v>
      </c>
      <c r="E269" s="0" t="str">
        <f aca="false">$B269&amp;"|"&amp;$C269&amp;"|"&amp;$D269</f>
        <v>Chikwawa District [U8c0so51kT6]|01-09|Female</v>
      </c>
      <c r="F269" s="10"/>
      <c r="G269" s="10"/>
      <c r="H269" s="10"/>
      <c r="I269" s="10"/>
      <c r="J269" s="10"/>
      <c r="K269" s="10"/>
      <c r="L269" s="10"/>
      <c r="M269" s="10"/>
      <c r="N269" s="10"/>
      <c r="O269" s="10" t="str">
        <f aca="false">IFERROR(1/(1/MAX($I269,$N269)),"")</f>
        <v/>
      </c>
      <c r="P269" s="10"/>
      <c r="Q269" s="10"/>
      <c r="R269" s="10" t="str">
        <f aca="false">IF(AND(SUM($I269)=0,SUM($O269)=0),"",SUM($O269)-$I269)</f>
        <v/>
      </c>
      <c r="S269" s="10" t="n">
        <f aca="false">IF(LEFT($B269,4)="_Mil","",_xlfn.IFNA(ROUND(INDEX(Spectrum!$N:$N,MATCH(RIGHT($B269,13)&amp;"|"&amp;$C269&amp;"|"&amp;$D269&amp;"|"&amp;S$14&amp;"|"&amp;"CY2022Q4",Spectrum!$R:$R,0)),0),""))</f>
        <v>804</v>
      </c>
      <c r="T269" s="39" t="n">
        <f aca="false">IF(LEFT($B269,4)="_Mil","",_xlfn.IFNA(ROUND(INDEX(Spectrum!$N:$N,MATCH(RIGHT($B269,13)&amp;"|"&amp;$C269&amp;"|"&amp;$D269&amp;"|"&amp;T$14&amp;"|"&amp;"CY2023Q3",Spectrum!$R:$R,0)),0),""))</f>
        <v>978</v>
      </c>
      <c r="U269" s="39" t="str">
        <f aca="false">IF(LEFT($B269,4)="_Mil","",_xlfn.IFNA(ROUND(INDEX(Spectrum!$N:$N,MATCH(RIGHT($B269,13)&amp;"|"&amp;$C269&amp;"|"&amp;$D269&amp;"|"&amp;U$14&amp;"|"&amp;"CY2023Q3",Spectrum!$R:$R,0)),0),""))</f>
        <v/>
      </c>
      <c r="V269" s="10" t="n">
        <f aca="false">IF(LEFT($B269,4)="_Mil","",_xlfn.IFNA(ROUND(INDEX(Spectrum!$N:$N,MATCH(RIGHT($B269,13)&amp;"|"&amp;$C269&amp;"|"&amp;$D269&amp;"|"&amp;V$14&amp;"|"&amp;"CY2023Q3",Spectrum!$R:$R,0)),0),""))</f>
        <v>1205</v>
      </c>
      <c r="W269" s="113" t="n">
        <f aca="false">IF(LEFT($B269,4)="_Mil","",_xlfn.IFNA(INDEX(Spectrum!$N:$N,MATCH(RIGHT($B269,13)&amp;"|"&amp;$C269&amp;"|"&amp;$D269&amp;"|"&amp;W$14&amp;"|"&amp;"CY2023Q3",Spectrum!$R:$R,0)),""))</f>
        <v>553</v>
      </c>
      <c r="X269" s="39" t="n">
        <f aca="false">IF(LEFT($B269,4)="_Mil","",_xlfn.IFNA(ROUND(INDEX(Spectrum!$N:$N,MATCH(RIGHT($B269,13)&amp;"|"&amp;$C269&amp;"|"&amp;$D269&amp;"|"&amp;X$14&amp;"|"&amp;"CY2023Q3",Spectrum!$R:$R,0)),0),""))</f>
        <v>533</v>
      </c>
      <c r="Y269" s="88" t="str">
        <f aca="false">IF(OR(SUM($U269)=0,LEFT($B269,4)="_Mil"),"",SUM($X269)/$U269)</f>
        <v/>
      </c>
      <c r="Z269" s="39" t="n">
        <f aca="false">IF(LEFT($B269,4)="_Mil","",_xlfn.IFNA(ROUND(INDEX(Spectrum!$N:$N,MATCH(RIGHT($B269,13)&amp;"|"&amp;$C269&amp;"|"&amp;$D269&amp;"|"&amp;Z$14&amp;"|"&amp;"CY2023Q3",Spectrum!$R:$R,0)),0),""))</f>
        <v>1659</v>
      </c>
      <c r="AA269" s="88" t="n">
        <f aca="false">IF(LEFT($B269,4)="_Mil","",IFERROR(1/(1/INDEX(Spectrum!$N:$N,MATCH(RIGHT($B269,13)&amp;"|"&amp;$C269&amp;"|"&amp;$D269&amp;"|"&amp;AA$14&amp;"|"&amp;"CY2023Q3",Spectrum!$R:$R,0))),IF(SUM($U269)=0,"",SUM($Z269)/$U269)))</f>
        <v>1437</v>
      </c>
      <c r="AB269" s="88" t="n">
        <f aca="false">IF(OR(LEFT($B269,4)="_Mil",SUM($X269)=0),"",SUM($Z269)/$X269)</f>
        <v>3.1125703564728</v>
      </c>
      <c r="AC269" s="10" t="n">
        <f aca="false">IF(LEFT($B269,4)="_Mil","",_xlfn.IFNA(ROUND(INDEX(Spectrum!$N:$N,MATCH(RIGHT($B269,13)&amp;"|"&amp;$C269&amp;"|"&amp;$D269&amp;"|"&amp;AC$14&amp;"|"&amp;"CY2023Q3",Spectrum!$R:$R,0)),0),""))</f>
        <v>582</v>
      </c>
      <c r="AD269" s="10" t="str">
        <f aca="false">IF(LEFT($B269,4)="_Mil","",_xlfn.IFNA(ROUND(INDEX(Spectrum!$N:$N,MATCH(RIGHT($B269,13)&amp;"|"&amp;$C269&amp;"|"&amp;$D269&amp;"|"&amp;AD$14&amp;"|"&amp;"CY2023Q3",Spectrum!$R:$R,0)),0),""))</f>
        <v/>
      </c>
      <c r="AE269" s="88" t="n">
        <f aca="false">IF(OR(LEFT($B269,4)="_Mil",SUM($Z269)=0),"",SUM($AD269)/$Z269)</f>
        <v>0</v>
      </c>
      <c r="AF269" s="39" t="str">
        <f aca="false">IF(LEFT($B269,4)="_Mil","",_xlfn.IFNA(ROUND(INDEX(Spectrum!$N:$N,MATCH(RIGHT($B269,13)&amp;"|"&amp;$C269&amp;"|"&amp;$D269&amp;"|"&amp;AF$14&amp;"|"&amp;"CY2023Q3",Spectrum!$R:$R,0)),0),""))</f>
        <v/>
      </c>
      <c r="AG269" s="88" t="str">
        <f aca="false">IF(OR(LEFT($B269,4)="_Mil",SUM($AD269)=0),"",SUM($AF269)/$AD269)</f>
        <v/>
      </c>
      <c r="AH269" s="86" t="str">
        <f aca="false">IF(LEFT($B269,4)="_Mil","",_xlfn.IFNA(INDEX(Spectrum!$N:$N,MATCH(RIGHT($B269,13)&amp;"|"&amp;$C269&amp;"|"&amp;$D269&amp;"|"&amp;AH$14&amp;"|"&amp;"CY2023Q3",Spectrum!$R:$R,0)),""))</f>
        <v/>
      </c>
      <c r="AI269" s="10" t="str">
        <f aca="false">IF(LEFT($B269,4)="_Mil","",_xlfn.IFNA(ROUND(INDEX(Spectrum!$N:$N,MATCH(RIGHT($B269,13)&amp;"|"&amp;$C269&amp;"|"&amp;$D269&amp;"|"&amp;AI$14&amp;"|"&amp;"CY2023Q3",Spectrum!$R:$R,0)),0),""))</f>
        <v/>
      </c>
      <c r="AJ269" s="39" t="n">
        <f aca="false">IF(LEFT($B269,4)="_Mil","",_xlfn.IFNA(ROUND(INDEX(Spectrum!$N:$N,MATCH(RIGHT($B269,13)&amp;"|"&amp;$C269&amp;"|"&amp;$D269&amp;"|"&amp;AI$14&amp;"|"&amp;"CY2023Q3",Spectrum!$R:$R,0)),0),SUM($U269)+SUM($AI269)))</f>
        <v>0</v>
      </c>
      <c r="AK269" s="10" t="str">
        <f aca="false">IF(LEFT($B269,4)="_Mil","",_xlfn.IFNA(ROUND(INDEX(Spectrum!$N:$N,MATCH(RIGHT($B269,13)&amp;"|"&amp;$C269&amp;"|"&amp;$D269&amp;"|"&amp;AK$14&amp;"|"&amp;"CY2023Q3",Spectrum!$R:$R,0)),0),""))</f>
        <v/>
      </c>
      <c r="AL269" s="88" t="n">
        <f aca="false">IF(OR(LEFT($B269,4)="_Mil",$C269="&lt;01"),"",MAX(SUM($AA269),90%))</f>
        <v>1437</v>
      </c>
      <c r="AM269" s="10" t="n">
        <f aca="false">IF(OR(LEFT($B269,4)="_Mil",$C269="&lt;01"),"",ROUND(SUM($AJ269)*SUM($AL269),0))</f>
        <v>0</v>
      </c>
      <c r="AN269" s="10" t="str">
        <f aca="false">IF($C269="&lt;01",ROUND(INDEX(EID!$P:$P,MATCH($B269,EID!$B:$B,0))/2,0),"")</f>
        <v/>
      </c>
      <c r="AO269" s="10" t="n">
        <f aca="false">IF($C269="&lt;01",SUM($AN269),ROUND(SUM($AM269)*SUM($O269)/IF(SUM($Z269)=0,1,$Z269),0))</f>
        <v>0</v>
      </c>
      <c r="AP269" s="39" t="n">
        <f aca="false">IF(OR($F269="",$C269="&lt;01"),$AO269,$F269)</f>
        <v>0</v>
      </c>
      <c r="AQ269" s="39" t="n">
        <f aca="false">IF(LEFT($B269,4)="_Mil","",IF(SUM($AP269)=0,SUM($Z269),IF(OR(SUM($Z269)=0,SUM($O269)=0),MAX($AP269,$Z269),$AP269*$Z269/$O269)))</f>
        <v>1659</v>
      </c>
      <c r="AR269" s="88" t="str">
        <f aca="false">IF(OR(LEFT($B269,4)="_Mil",SUM($AJ269)=0),"",SUM($AQ269)/$AJ269)</f>
        <v/>
      </c>
      <c r="AS269" s="88" t="n">
        <f aca="false">IF($C269="&lt;01","",98%)</f>
        <v>0.98</v>
      </c>
      <c r="AT269" s="88" t="n">
        <f aca="false">IF($C269="&lt;01","",98%)</f>
        <v>0.98</v>
      </c>
      <c r="AU269" s="10" t="n">
        <f aca="false">IF($C269="&lt;01","",SUM($AP269)-SUM($O269))</f>
        <v>0</v>
      </c>
      <c r="AV269" s="10" t="n">
        <f aca="false">IF($C269="&lt;01",ROUND(INDEX(EID!$N:$N,MATCH($B269,EID!$B:$B,0))/2,0),IF(SUM($AT269)=0,"",ROUND((SUM($AP269)-(SUM($O269)*SUM($AS269)))/$AT269,0)))</f>
        <v>0</v>
      </c>
      <c r="AW269" s="88" t="n">
        <f aca="false">IF($C269="&lt;01","",100%)</f>
        <v>1</v>
      </c>
      <c r="AX269" s="39" t="n">
        <f aca="false">IF($C269="&lt;01",SUM($AV269),ROUND(SUM($AV269)*SUM($AW269),0))</f>
        <v>0</v>
      </c>
      <c r="AY269" s="114" t="n">
        <f aca="false">IF($C269="&lt;01","",70%)</f>
        <v>0.7</v>
      </c>
      <c r="AZ269" s="91" t="n">
        <f aca="false">IF($C269="&lt;01",ROUND(INDEX(EID!$R:$R,MATCH($B269,EID!$B:$B,0))/2,0),ROUND(SUM($O269)+(SUM($AV269)*$AY269),0))</f>
        <v>0</v>
      </c>
      <c r="BA269" s="87" t="n">
        <f aca="false">IF($C269="&lt;01","",95%)</f>
        <v>0.95</v>
      </c>
      <c r="BB269" s="5" t="n">
        <f aca="false">IF($C269="&lt;01",ROUND(INDEX(EID!$T:$T,MATCH($B269,EID!$B:$B,0))/2,0),ROUND($AZ269*$BA269,0))</f>
        <v>0</v>
      </c>
      <c r="BC269" s="91" t="n">
        <f aca="false">IF(LEFT($B269,4)="_Mil","",IF(SUM($BB269)=0,SUM($AD269),IF(OR(SUM($AP269)=0,SUM($AQ269)=0),MAX($BB269,$AD269),ROUND($BB269*$AQ269/$AP269,0))))</f>
        <v>0</v>
      </c>
      <c r="BD269" s="88" t="n">
        <f aca="false">IF($C269="&lt;01","",95%)</f>
        <v>0.95</v>
      </c>
      <c r="BE269" s="39" t="n">
        <f aca="false">IF($C269="&lt;01",ROUND(INDEX(EID!$V:$V,MATCH($B269,EID!$B:$B,0))/2,0),ROUND($BD269*$BB269,0))</f>
        <v>0</v>
      </c>
      <c r="BF269" s="39" t="n">
        <f aca="false">IF(LEFT($B269,4)="_Mil","",IF(SUM($BE269)=0,SUM($AF269),IF(OR(SUM($AP269)=0,SUM($AQ269)=0),MAX($BE269,$AF269),ROUND($BE269*$AQ269/$AP269,0))))</f>
        <v>0</v>
      </c>
      <c r="BG269" s="114" t="n">
        <f aca="false">IF($C269="&lt;01","",95%)</f>
        <v>0.95</v>
      </c>
      <c r="BH269" s="5" t="n">
        <f aca="false">IF($C269="&lt;01",ROUND(INDEX(EID!$L:$L,MATCH($B269,EID!$B:$B,0)),0)/2,IF(SUM($BG269)=0,"",ROUND($AX269/$BG269,0)))</f>
        <v>0</v>
      </c>
    </row>
    <row r="270" customFormat="false" ht="15" hidden="false" customHeight="false" outlineLevel="0" collapsed="false">
      <c r="A270" s="0" t="str">
        <f aca="false">INDEX(Prioritization!$D:$D,MATCH($B270,Prioritization!$A:$A,0))</f>
        <v>1 - Scale-up: Saturation</v>
      </c>
      <c r="B270" s="0" t="s">
        <v>212</v>
      </c>
      <c r="C270" s="0" t="s">
        <v>363</v>
      </c>
      <c r="D270" s="0" t="s">
        <v>48</v>
      </c>
      <c r="E270" s="0" t="str">
        <f aca="false">$B270&amp;"|"&amp;$C270&amp;"|"&amp;$D270</f>
        <v>Chikwawa District [U8c0so51kT6]|01-09|Male</v>
      </c>
      <c r="F270" s="10"/>
      <c r="G270" s="10"/>
      <c r="H270" s="10"/>
      <c r="I270" s="10"/>
      <c r="J270" s="10"/>
      <c r="K270" s="10"/>
      <c r="L270" s="10"/>
      <c r="M270" s="10"/>
      <c r="N270" s="10"/>
      <c r="O270" s="10" t="str">
        <f aca="false">IFERROR(1/(1/MAX($I270,$N270)),"")</f>
        <v/>
      </c>
      <c r="P270" s="10"/>
      <c r="Q270" s="10"/>
      <c r="R270" s="10" t="str">
        <f aca="false">IF(AND(SUM($I270)=0,SUM($O270)=0),"",SUM($O270)-$I270)</f>
        <v/>
      </c>
      <c r="S270" s="10" t="n">
        <f aca="false">IF(LEFT($B270,4)="_Mil","",_xlfn.IFNA(ROUND(INDEX(Spectrum!$N:$N,MATCH(RIGHT($B270,13)&amp;"|"&amp;$C270&amp;"|"&amp;$D270&amp;"|"&amp;S$14&amp;"|"&amp;"CY2022Q4",Spectrum!$R:$R,0)),0),""))</f>
        <v>929</v>
      </c>
      <c r="T270" s="39" t="n">
        <f aca="false">IF(LEFT($B270,4)="_Mil","",_xlfn.IFNA(ROUND(INDEX(Spectrum!$N:$N,MATCH(RIGHT($B270,13)&amp;"|"&amp;$C270&amp;"|"&amp;$D270&amp;"|"&amp;T$14&amp;"|"&amp;"CY2023Q3",Spectrum!$R:$R,0)),0),""))</f>
        <v>1337</v>
      </c>
      <c r="U270" s="39" t="str">
        <f aca="false">IF(LEFT($B270,4)="_Mil","",_xlfn.IFNA(ROUND(INDEX(Spectrum!$N:$N,MATCH(RIGHT($B270,13)&amp;"|"&amp;$C270&amp;"|"&amp;$D270&amp;"|"&amp;U$14&amp;"|"&amp;"CY2023Q3",Spectrum!$R:$R,0)),0),""))</f>
        <v/>
      </c>
      <c r="V270" s="10" t="n">
        <f aca="false">IF(LEFT($B270,4)="_Mil","",_xlfn.IFNA(ROUND(INDEX(Spectrum!$N:$N,MATCH(RIGHT($B270,13)&amp;"|"&amp;$C270&amp;"|"&amp;$D270&amp;"|"&amp;V$14&amp;"|"&amp;"CY2023Q3",Spectrum!$R:$R,0)),0),""))</f>
        <v>715</v>
      </c>
      <c r="W270" s="113" t="n">
        <f aca="false">IF(LEFT($B270,4)="_Mil","",_xlfn.IFNA(INDEX(Spectrum!$N:$N,MATCH(RIGHT($B270,13)&amp;"|"&amp;$C270&amp;"|"&amp;$D270&amp;"|"&amp;W$14&amp;"|"&amp;"CY2023Q3",Spectrum!$R:$R,0)),""))</f>
        <v>892</v>
      </c>
      <c r="X270" s="39" t="n">
        <f aca="false">IF(LEFT($B270,4)="_Mil","",_xlfn.IFNA(ROUND(INDEX(Spectrum!$N:$N,MATCH(RIGHT($B270,13)&amp;"|"&amp;$C270&amp;"|"&amp;$D270&amp;"|"&amp;X$14&amp;"|"&amp;"CY2023Q3",Spectrum!$R:$R,0)),0),""))</f>
        <v>716</v>
      </c>
      <c r="Y270" s="88" t="str">
        <f aca="false">IF(OR(SUM($U270)=0,LEFT($B270,4)="_Mil"),"",SUM($X270)/$U270)</f>
        <v/>
      </c>
      <c r="Z270" s="39" t="n">
        <f aca="false">IF(LEFT($B270,4)="_Mil","",_xlfn.IFNA(ROUND(INDEX(Spectrum!$N:$N,MATCH(RIGHT($B270,13)&amp;"|"&amp;$C270&amp;"|"&amp;$D270&amp;"|"&amp;Z$14&amp;"|"&amp;"CY2023Q3",Spectrum!$R:$R,0)),0),""))</f>
        <v>1275</v>
      </c>
      <c r="AA270" s="88" t="n">
        <f aca="false">IF(LEFT($B270,4)="_Mil","",IFERROR(1/(1/INDEX(Spectrum!$N:$N,MATCH(RIGHT($B270,13)&amp;"|"&amp;$C270&amp;"|"&amp;$D270&amp;"|"&amp;AA$14&amp;"|"&amp;"CY2023Q3",Spectrum!$R:$R,0))),IF(SUM($U270)=0,"",SUM($Z270)/$U270)))</f>
        <v>522</v>
      </c>
      <c r="AB270" s="88" t="n">
        <f aca="false">IF(OR(LEFT($B270,4)="_Mil",SUM($X270)=0),"",SUM($Z270)/$X270)</f>
        <v>1.78072625698324</v>
      </c>
      <c r="AC270" s="10" t="n">
        <f aca="false">IF(LEFT($B270,4)="_Mil","",_xlfn.IFNA(ROUND(INDEX(Spectrum!$N:$N,MATCH(RIGHT($B270,13)&amp;"|"&amp;$C270&amp;"|"&amp;$D270&amp;"|"&amp;AC$14&amp;"|"&amp;"CY2023Q3",Spectrum!$R:$R,0)),0),""))</f>
        <v>1217</v>
      </c>
      <c r="AD270" s="10" t="str">
        <f aca="false">IF(LEFT($B270,4)="_Mil","",_xlfn.IFNA(ROUND(INDEX(Spectrum!$N:$N,MATCH(RIGHT($B270,13)&amp;"|"&amp;$C270&amp;"|"&amp;$D270&amp;"|"&amp;AD$14&amp;"|"&amp;"CY2023Q3",Spectrum!$R:$R,0)),0),""))</f>
        <v/>
      </c>
      <c r="AE270" s="88" t="n">
        <f aca="false">IF(OR(LEFT($B270,4)="_Mil",SUM($Z270)=0),"",SUM($AD270)/$Z270)</f>
        <v>0</v>
      </c>
      <c r="AF270" s="39" t="str">
        <f aca="false">IF(LEFT($B270,4)="_Mil","",_xlfn.IFNA(ROUND(INDEX(Spectrum!$N:$N,MATCH(RIGHT($B270,13)&amp;"|"&amp;$C270&amp;"|"&amp;$D270&amp;"|"&amp;AF$14&amp;"|"&amp;"CY2023Q3",Spectrum!$R:$R,0)),0),""))</f>
        <v/>
      </c>
      <c r="AG270" s="88" t="str">
        <f aca="false">IF(OR(LEFT($B270,4)="_Mil",SUM($AD270)=0),"",SUM($AF270)/$AD270)</f>
        <v/>
      </c>
      <c r="AH270" s="86" t="str">
        <f aca="false">IF(LEFT($B270,4)="_Mil","",_xlfn.IFNA(INDEX(Spectrum!$N:$N,MATCH(RIGHT($B270,13)&amp;"|"&amp;$C270&amp;"|"&amp;$D270&amp;"|"&amp;AH$14&amp;"|"&amp;"CY2023Q3",Spectrum!$R:$R,0)),""))</f>
        <v/>
      </c>
      <c r="AI270" s="10" t="str">
        <f aca="false">IF(LEFT($B270,4)="_Mil","",_xlfn.IFNA(ROUND(INDEX(Spectrum!$N:$N,MATCH(RIGHT($B270,13)&amp;"|"&amp;$C270&amp;"|"&amp;$D270&amp;"|"&amp;AI$14&amp;"|"&amp;"CY2023Q3",Spectrum!$R:$R,0)),0),""))</f>
        <v/>
      </c>
      <c r="AJ270" s="39" t="n">
        <f aca="false">IF(LEFT($B270,4)="_Mil","",_xlfn.IFNA(ROUND(INDEX(Spectrum!$N:$N,MATCH(RIGHT($B270,13)&amp;"|"&amp;$C270&amp;"|"&amp;$D270&amp;"|"&amp;AI$14&amp;"|"&amp;"CY2023Q3",Spectrum!$R:$R,0)),0),SUM($U270)+SUM($AI270)))</f>
        <v>0</v>
      </c>
      <c r="AK270" s="10" t="str">
        <f aca="false">IF(LEFT($B270,4)="_Mil","",_xlfn.IFNA(ROUND(INDEX(Spectrum!$N:$N,MATCH(RIGHT($B270,13)&amp;"|"&amp;$C270&amp;"|"&amp;$D270&amp;"|"&amp;AK$14&amp;"|"&amp;"CY2023Q3",Spectrum!$R:$R,0)),0),""))</f>
        <v/>
      </c>
      <c r="AL270" s="88" t="n">
        <f aca="false">IF(OR(LEFT($B270,4)="_Mil",$C270="&lt;01"),"",MAX(SUM($AA270),90%))</f>
        <v>522</v>
      </c>
      <c r="AM270" s="10" t="n">
        <f aca="false">IF(OR(LEFT($B270,4)="_Mil",$C270="&lt;01"),"",ROUND(SUM($AJ270)*SUM($AL270),0))</f>
        <v>0</v>
      </c>
      <c r="AN270" s="10" t="str">
        <f aca="false">IF($C270="&lt;01",ROUND(INDEX(EID!$P:$P,MATCH($B270,EID!$B:$B,0))/2,0),"")</f>
        <v/>
      </c>
      <c r="AO270" s="10" t="n">
        <f aca="false">IF($C270="&lt;01",SUM($AN270),ROUND(SUM($AM270)*SUM($O270)/IF(SUM($Z270)=0,1,$Z270),0))</f>
        <v>0</v>
      </c>
      <c r="AP270" s="39" t="n">
        <f aca="false">IF(OR($F270="",$C270="&lt;01"),$AO270,$F270)</f>
        <v>0</v>
      </c>
      <c r="AQ270" s="39" t="n">
        <f aca="false">IF(LEFT($B270,4)="_Mil","",IF(SUM($AP270)=0,SUM($Z270),IF(OR(SUM($Z270)=0,SUM($O270)=0),MAX($AP270,$Z270),$AP270*$Z270/$O270)))</f>
        <v>1275</v>
      </c>
      <c r="AR270" s="88" t="str">
        <f aca="false">IF(OR(LEFT($B270,4)="_Mil",SUM($AJ270)=0),"",SUM($AQ270)/$AJ270)</f>
        <v/>
      </c>
      <c r="AS270" s="88" t="n">
        <f aca="false">IF($C270="&lt;01","",98%)</f>
        <v>0.98</v>
      </c>
      <c r="AT270" s="88" t="n">
        <f aca="false">IF($C270="&lt;01","",98%)</f>
        <v>0.98</v>
      </c>
      <c r="AU270" s="10" t="n">
        <f aca="false">IF($C270="&lt;01","",SUM($AP270)-SUM($O270))</f>
        <v>0</v>
      </c>
      <c r="AV270" s="10" t="n">
        <f aca="false">IF($C270="&lt;01",ROUND(INDEX(EID!$N:$N,MATCH($B270,EID!$B:$B,0))/2,0),IF(SUM($AT270)=0,"",ROUND((SUM($AP270)-(SUM($O270)*SUM($AS270)))/$AT270,0)))</f>
        <v>0</v>
      </c>
      <c r="AW270" s="88" t="n">
        <f aca="false">IF($C270="&lt;01","",100%)</f>
        <v>1</v>
      </c>
      <c r="AX270" s="39" t="n">
        <f aca="false">IF($C270="&lt;01",SUM($AV270),ROUND(SUM($AV270)*SUM($AW270),0))</f>
        <v>0</v>
      </c>
      <c r="AY270" s="114" t="n">
        <f aca="false">IF($C270="&lt;01","",70%)</f>
        <v>0.7</v>
      </c>
      <c r="AZ270" s="91" t="n">
        <f aca="false">IF($C270="&lt;01",ROUND(INDEX(EID!$R:$R,MATCH($B270,EID!$B:$B,0))/2,0),ROUND(SUM($O270)+(SUM($AV270)*$AY270),0))</f>
        <v>0</v>
      </c>
      <c r="BA270" s="87" t="n">
        <f aca="false">IF($C270="&lt;01","",95%)</f>
        <v>0.95</v>
      </c>
      <c r="BB270" s="5" t="n">
        <f aca="false">IF($C270="&lt;01",ROUND(INDEX(EID!$T:$T,MATCH($B270,EID!$B:$B,0))/2,0),ROUND($AZ270*$BA270,0))</f>
        <v>0</v>
      </c>
      <c r="BC270" s="91" t="n">
        <f aca="false">IF(LEFT($B270,4)="_Mil","",IF(SUM($BB270)=0,SUM($AD270),IF(OR(SUM($AP270)=0,SUM($AQ270)=0),MAX($BB270,$AD270),ROUND($BB270*$AQ270/$AP270,0))))</f>
        <v>0</v>
      </c>
      <c r="BD270" s="88" t="n">
        <f aca="false">IF($C270="&lt;01","",95%)</f>
        <v>0.95</v>
      </c>
      <c r="BE270" s="39" t="n">
        <f aca="false">IF($C270="&lt;01",ROUND(INDEX(EID!$V:$V,MATCH($B270,EID!$B:$B,0))/2,0),ROUND($BD270*$BB270,0))</f>
        <v>0</v>
      </c>
      <c r="BF270" s="39" t="n">
        <f aca="false">IF(LEFT($B270,4)="_Mil","",IF(SUM($BE270)=0,SUM($AF270),IF(OR(SUM($AP270)=0,SUM($AQ270)=0),MAX($BE270,$AF270),ROUND($BE270*$AQ270/$AP270,0))))</f>
        <v>0</v>
      </c>
      <c r="BG270" s="114" t="n">
        <f aca="false">IF($C270="&lt;01","",95%)</f>
        <v>0.95</v>
      </c>
      <c r="BH270" s="5" t="n">
        <f aca="false">IF($C270="&lt;01",ROUND(INDEX(EID!$L:$L,MATCH($B270,EID!$B:$B,0)),0)/2,IF(SUM($BG270)=0,"",ROUND($AX270/$BG270,0)))</f>
        <v>0</v>
      </c>
    </row>
    <row r="271" customFormat="false" ht="15" hidden="false" customHeight="false" outlineLevel="0" collapsed="false">
      <c r="A271" s="0" t="str">
        <f aca="false">INDEX(Prioritization!$D:$D,MATCH($B271,Prioritization!$A:$A,0))</f>
        <v>1 - Scale-up: Saturation</v>
      </c>
      <c r="B271" s="0" t="s">
        <v>212</v>
      </c>
      <c r="C271" s="0" t="s">
        <v>364</v>
      </c>
      <c r="D271" s="0" t="s">
        <v>30</v>
      </c>
      <c r="E271" s="0" t="str">
        <f aca="false">$B271&amp;"|"&amp;$C271&amp;"|"&amp;$D271</f>
        <v>Chikwawa District [U8c0so51kT6]|10-14|Female</v>
      </c>
      <c r="F271" s="10"/>
      <c r="G271" s="10" t="n">
        <v>7</v>
      </c>
      <c r="H271" s="10" t="n">
        <v>7</v>
      </c>
      <c r="I271" s="10" t="n">
        <v>89</v>
      </c>
      <c r="J271" s="10" t="n">
        <v>57</v>
      </c>
      <c r="K271" s="10" t="n">
        <v>35</v>
      </c>
      <c r="L271" s="10" t="n">
        <v>0</v>
      </c>
      <c r="M271" s="10" t="n">
        <v>0</v>
      </c>
      <c r="N271" s="10" t="n">
        <v>11</v>
      </c>
      <c r="O271" s="10" t="n">
        <f aca="false">IFERROR(1/(1/MAX($I271,$N271)),"")</f>
        <v>89</v>
      </c>
      <c r="P271" s="10" t="n">
        <v>32</v>
      </c>
      <c r="Q271" s="10" t="n">
        <v>74</v>
      </c>
      <c r="R271" s="10" t="n">
        <f aca="false">IF(AND(SUM($I271)=0,SUM($O271)=0),"",SUM($O271)-$I271)</f>
        <v>0</v>
      </c>
      <c r="S271" s="10" t="n">
        <f aca="false">IF(LEFT($B271,4)="_Mil","",_xlfn.IFNA(ROUND(INDEX(Spectrum!$N:$N,MATCH(RIGHT($B271,13)&amp;"|"&amp;$C271&amp;"|"&amp;$D271&amp;"|"&amp;S$14&amp;"|"&amp;"CY2022Q4",Spectrum!$R:$R,0)),0),""))</f>
        <v>889</v>
      </c>
      <c r="T271" s="39" t="n">
        <f aca="false">IF(LEFT($B271,4)="_Mil","",_xlfn.IFNA(ROUND(INDEX(Spectrum!$N:$N,MATCH(RIGHT($B271,13)&amp;"|"&amp;$C271&amp;"|"&amp;$D271&amp;"|"&amp;T$14&amp;"|"&amp;"CY2023Q3",Spectrum!$R:$R,0)),0),""))</f>
        <v>1063</v>
      </c>
      <c r="U271" s="39" t="str">
        <f aca="false">IF(LEFT($B271,4)="_Mil","",_xlfn.IFNA(ROUND(INDEX(Spectrum!$N:$N,MATCH(RIGHT($B271,13)&amp;"|"&amp;$C271&amp;"|"&amp;$D271&amp;"|"&amp;U$14&amp;"|"&amp;"CY2023Q3",Spectrum!$R:$R,0)),0),""))</f>
        <v/>
      </c>
      <c r="V271" s="10" t="n">
        <f aca="false">IF(LEFT($B271,4)="_Mil","",_xlfn.IFNA(ROUND(INDEX(Spectrum!$N:$N,MATCH(RIGHT($B271,13)&amp;"|"&amp;$C271&amp;"|"&amp;$D271&amp;"|"&amp;V$14&amp;"|"&amp;"CY2023Q3",Spectrum!$R:$R,0)),0),""))</f>
        <v>1504</v>
      </c>
      <c r="W271" s="113" t="n">
        <f aca="false">IF(LEFT($B271,4)="_Mil","",_xlfn.IFNA(INDEX(Spectrum!$N:$N,MATCH(RIGHT($B271,13)&amp;"|"&amp;$C271&amp;"|"&amp;$D271&amp;"|"&amp;W$14&amp;"|"&amp;"CY2023Q3",Spectrum!$R:$R,0)),""))</f>
        <v>1531</v>
      </c>
      <c r="X271" s="39" t="n">
        <f aca="false">IF(LEFT($B271,4)="_Mil","",_xlfn.IFNA(ROUND(INDEX(Spectrum!$N:$N,MATCH(RIGHT($B271,13)&amp;"|"&amp;$C271&amp;"|"&amp;$D271&amp;"|"&amp;X$14&amp;"|"&amp;"CY2023Q3",Spectrum!$R:$R,0)),0),""))</f>
        <v>1141</v>
      </c>
      <c r="Y271" s="88" t="str">
        <f aca="false">IF(OR(SUM($U271)=0,LEFT($B271,4)="_Mil"),"",SUM($X271)/$U271)</f>
        <v/>
      </c>
      <c r="Z271" s="39" t="n">
        <f aca="false">IF(LEFT($B271,4)="_Mil","",_xlfn.IFNA(ROUND(INDEX(Spectrum!$N:$N,MATCH(RIGHT($B271,13)&amp;"|"&amp;$C271&amp;"|"&amp;$D271&amp;"|"&amp;Z$14&amp;"|"&amp;"CY2023Q3",Spectrum!$R:$R,0)),0),""))</f>
        <v>850</v>
      </c>
      <c r="AA271" s="88" t="n">
        <f aca="false">IF(LEFT($B271,4)="_Mil","",IFERROR(1/(1/INDEX(Spectrum!$N:$N,MATCH(RIGHT($B271,13)&amp;"|"&amp;$C271&amp;"|"&amp;$D271&amp;"|"&amp;AA$14&amp;"|"&amp;"CY2023Q3",Spectrum!$R:$R,0))),IF(SUM($U271)=0,"",SUM($Z271)/$U271)))</f>
        <v>1243</v>
      </c>
      <c r="AB271" s="88" t="n">
        <f aca="false">IF(OR(LEFT($B271,4)="_Mil",SUM($X271)=0),"",SUM($Z271)/$X271)</f>
        <v>0.744960560911481</v>
      </c>
      <c r="AC271" s="10" t="n">
        <f aca="false">IF(LEFT($B271,4)="_Mil","",_xlfn.IFNA(ROUND(INDEX(Spectrum!$N:$N,MATCH(RIGHT($B271,13)&amp;"|"&amp;$C271&amp;"|"&amp;$D271&amp;"|"&amp;AC$14&amp;"|"&amp;"CY2023Q3",Spectrum!$R:$R,0)),0),""))</f>
        <v>1869</v>
      </c>
      <c r="AD271" s="10" t="str">
        <f aca="false">IF(LEFT($B271,4)="_Mil","",_xlfn.IFNA(ROUND(INDEX(Spectrum!$N:$N,MATCH(RIGHT($B271,13)&amp;"|"&amp;$C271&amp;"|"&amp;$D271&amp;"|"&amp;AD$14&amp;"|"&amp;"CY2023Q3",Spectrum!$R:$R,0)),0),""))</f>
        <v/>
      </c>
      <c r="AE271" s="88" t="n">
        <f aca="false">IF(OR(LEFT($B271,4)="_Mil",SUM($Z271)=0),"",SUM($AD271)/$Z271)</f>
        <v>0</v>
      </c>
      <c r="AF271" s="39" t="str">
        <f aca="false">IF(LEFT($B271,4)="_Mil","",_xlfn.IFNA(ROUND(INDEX(Spectrum!$N:$N,MATCH(RIGHT($B271,13)&amp;"|"&amp;$C271&amp;"|"&amp;$D271&amp;"|"&amp;AF$14&amp;"|"&amp;"CY2023Q3",Spectrum!$R:$R,0)),0),""))</f>
        <v/>
      </c>
      <c r="AG271" s="88" t="str">
        <f aca="false">IF(OR(LEFT($B271,4)="_Mil",SUM($AD271)=0),"",SUM($AF271)/$AD271)</f>
        <v/>
      </c>
      <c r="AH271" s="86" t="str">
        <f aca="false">IF(LEFT($B271,4)="_Mil","",_xlfn.IFNA(INDEX(Spectrum!$N:$N,MATCH(RIGHT($B271,13)&amp;"|"&amp;$C271&amp;"|"&amp;$D271&amp;"|"&amp;AH$14&amp;"|"&amp;"CY2023Q3",Spectrum!$R:$R,0)),""))</f>
        <v/>
      </c>
      <c r="AI271" s="10" t="str">
        <f aca="false">IF(LEFT($B271,4)="_Mil","",_xlfn.IFNA(ROUND(INDEX(Spectrum!$N:$N,MATCH(RIGHT($B271,13)&amp;"|"&amp;$C271&amp;"|"&amp;$D271&amp;"|"&amp;AI$14&amp;"|"&amp;"CY2023Q3",Spectrum!$R:$R,0)),0),""))</f>
        <v/>
      </c>
      <c r="AJ271" s="39" t="n">
        <f aca="false">IF(LEFT($B271,4)="_Mil","",_xlfn.IFNA(ROUND(INDEX(Spectrum!$N:$N,MATCH(RIGHT($B271,13)&amp;"|"&amp;$C271&amp;"|"&amp;$D271&amp;"|"&amp;AI$14&amp;"|"&amp;"CY2023Q3",Spectrum!$R:$R,0)),0),SUM($U271)+SUM($AI271)))</f>
        <v>0</v>
      </c>
      <c r="AK271" s="10" t="str">
        <f aca="false">IF(LEFT($B271,4)="_Mil","",_xlfn.IFNA(ROUND(INDEX(Spectrum!$N:$N,MATCH(RIGHT($B271,13)&amp;"|"&amp;$C271&amp;"|"&amp;$D271&amp;"|"&amp;AK$14&amp;"|"&amp;"CY2023Q3",Spectrum!$R:$R,0)),0),""))</f>
        <v/>
      </c>
      <c r="AL271" s="88" t="n">
        <f aca="false">IF(OR(LEFT($B271,4)="_Mil",$C271="&lt;01"),"",MAX(SUM($AA271),90%))</f>
        <v>1243</v>
      </c>
      <c r="AM271" s="10" t="n">
        <f aca="false">IF(OR(LEFT($B271,4)="_Mil",$C271="&lt;01"),"",ROUND(SUM($AJ271)*SUM($AL271),0))</f>
        <v>0</v>
      </c>
      <c r="AN271" s="10" t="str">
        <f aca="false">IF($C271="&lt;01",ROUND(INDEX(EID!$P:$P,MATCH($B271,EID!$B:$B,0))/2,0),"")</f>
        <v/>
      </c>
      <c r="AO271" s="10" t="n">
        <f aca="false">IF($C271="&lt;01",SUM($AN271),ROUND(SUM($AM271)*SUM($O271)/IF(SUM($Z271)=0,1,$Z271),0))</f>
        <v>0</v>
      </c>
      <c r="AP271" s="39" t="n">
        <f aca="false">IF(OR($F271="",$C271="&lt;01"),$AO271,$F271)</f>
        <v>0</v>
      </c>
      <c r="AQ271" s="39" t="n">
        <f aca="false">IF(LEFT($B271,4)="_Mil","",IF(SUM($AP271)=0,SUM($Z271),IF(OR(SUM($Z271)=0,SUM($O271)=0),MAX($AP271,$Z271),$AP271*$Z271/$O271)))</f>
        <v>850</v>
      </c>
      <c r="AR271" s="88" t="str">
        <f aca="false">IF(OR(LEFT($B271,4)="_Mil",SUM($AJ271)=0),"",SUM($AQ271)/$AJ271)</f>
        <v/>
      </c>
      <c r="AS271" s="88" t="n">
        <f aca="false">IF($C271="&lt;01","",98%)</f>
        <v>0.98</v>
      </c>
      <c r="AT271" s="88" t="n">
        <f aca="false">IF($C271="&lt;01","",98%)</f>
        <v>0.98</v>
      </c>
      <c r="AU271" s="10" t="n">
        <f aca="false">IF($C271="&lt;01","",SUM($AP271)-SUM($O271))</f>
        <v>-89</v>
      </c>
      <c r="AV271" s="10" t="n">
        <f aca="false">IF($C271="&lt;01",ROUND(INDEX(EID!$N:$N,MATCH($B271,EID!$B:$B,0))/2,0),IF(SUM($AT271)=0,"",ROUND((SUM($AP271)-(SUM($O271)*SUM($AS271)))/$AT271,0)))</f>
        <v>-89</v>
      </c>
      <c r="AW271" s="88" t="n">
        <f aca="false">IF($C271="&lt;01","",100%)</f>
        <v>1</v>
      </c>
      <c r="AX271" s="39" t="n">
        <f aca="false">IF($C271="&lt;01",SUM($AV271),ROUND(SUM($AV271)*SUM($AW271),0))</f>
        <v>-89</v>
      </c>
      <c r="AY271" s="114" t="n">
        <f aca="false">IF($C271="&lt;01","",70%)</f>
        <v>0.7</v>
      </c>
      <c r="AZ271" s="91" t="n">
        <f aca="false">IF($C271="&lt;01",ROUND(INDEX(EID!$R:$R,MATCH($B271,EID!$B:$B,0))/2,0),ROUND(SUM($O271)+(SUM($AV271)*$AY271),0))</f>
        <v>27</v>
      </c>
      <c r="BA271" s="87" t="n">
        <f aca="false">IF($C271="&lt;01","",95%)</f>
        <v>0.95</v>
      </c>
      <c r="BB271" s="5" t="n">
        <f aca="false">IF($C271="&lt;01",ROUND(INDEX(EID!$T:$T,MATCH($B271,EID!$B:$B,0))/2,0),ROUND($AZ271*$BA271,0))</f>
        <v>26</v>
      </c>
      <c r="BC271" s="91" t="n">
        <f aca="false">IF(LEFT($B271,4)="_Mil","",IF(SUM($BB271)=0,SUM($AD271),IF(OR(SUM($AP271)=0,SUM($AQ271)=0),MAX($BB271,$AD271),ROUND($BB271*$AQ271/$AP271,0))))</f>
        <v>26</v>
      </c>
      <c r="BD271" s="88" t="n">
        <f aca="false">IF($C271="&lt;01","",95%)</f>
        <v>0.95</v>
      </c>
      <c r="BE271" s="39" t="n">
        <f aca="false">IF($C271="&lt;01",ROUND(INDEX(EID!$V:$V,MATCH($B271,EID!$B:$B,0))/2,0),ROUND($BD271*$BB271,0))</f>
        <v>25</v>
      </c>
      <c r="BF271" s="39" t="n">
        <f aca="false">IF(LEFT($B271,4)="_Mil","",IF(SUM($BE271)=0,SUM($AF271),IF(OR(SUM($AP271)=0,SUM($AQ271)=0),MAX($BE271,$AF271),ROUND($BE271*$AQ271/$AP271,0))))</f>
        <v>25</v>
      </c>
      <c r="BG271" s="114" t="n">
        <f aca="false">IF($C271="&lt;01","",95%)</f>
        <v>0.95</v>
      </c>
      <c r="BH271" s="5" t="n">
        <f aca="false">IF($C271="&lt;01",ROUND(INDEX(EID!$L:$L,MATCH($B271,EID!$B:$B,0)),0)/2,IF(SUM($BG271)=0,"",ROUND($AX271/$BG271,0)))</f>
        <v>-94</v>
      </c>
    </row>
    <row r="272" customFormat="false" ht="15" hidden="false" customHeight="false" outlineLevel="0" collapsed="false">
      <c r="A272" s="0" t="str">
        <f aca="false">INDEX(Prioritization!$D:$D,MATCH($B272,Prioritization!$A:$A,0))</f>
        <v>1 - Scale-up: Saturation</v>
      </c>
      <c r="B272" s="0" t="s">
        <v>212</v>
      </c>
      <c r="C272" s="0" t="s">
        <v>364</v>
      </c>
      <c r="D272" s="0" t="s">
        <v>48</v>
      </c>
      <c r="E272" s="0" t="str">
        <f aca="false">$B272&amp;"|"&amp;$C272&amp;"|"&amp;$D272</f>
        <v>Chikwawa District [U8c0so51kT6]|10-14|Male</v>
      </c>
      <c r="F272" s="10"/>
      <c r="G272" s="10" t="n">
        <v>7</v>
      </c>
      <c r="H272" s="10" t="n">
        <v>5</v>
      </c>
      <c r="I272" s="10" t="n">
        <v>15</v>
      </c>
      <c r="J272" s="10" t="n">
        <v>24</v>
      </c>
      <c r="K272" s="10" t="n">
        <v>29</v>
      </c>
      <c r="L272" s="10" t="n">
        <v>1</v>
      </c>
      <c r="M272" s="10" t="n">
        <v>1</v>
      </c>
      <c r="N272" s="10" t="n">
        <v>91</v>
      </c>
      <c r="O272" s="10" t="n">
        <f aca="false">IFERROR(1/(1/MAX($I272,$N272)),"")</f>
        <v>91</v>
      </c>
      <c r="P272" s="10" t="n">
        <v>20</v>
      </c>
      <c r="Q272" s="10" t="n">
        <v>22</v>
      </c>
      <c r="R272" s="10" t="n">
        <f aca="false">IF(AND(SUM($I272)=0,SUM($O272)=0),"",SUM($O272)-$I272)</f>
        <v>76</v>
      </c>
      <c r="S272" s="10" t="n">
        <f aca="false">IF(LEFT($B272,4)="_Mil","",_xlfn.IFNA(ROUND(INDEX(Spectrum!$N:$N,MATCH(RIGHT($B272,13)&amp;"|"&amp;$C272&amp;"|"&amp;$D272&amp;"|"&amp;S$14&amp;"|"&amp;"CY2022Q4",Spectrum!$R:$R,0)),0),""))</f>
        <v>1881</v>
      </c>
      <c r="T272" s="39" t="n">
        <f aca="false">IF(LEFT($B272,4)="_Mil","",_xlfn.IFNA(ROUND(INDEX(Spectrum!$N:$N,MATCH(RIGHT($B272,13)&amp;"|"&amp;$C272&amp;"|"&amp;$D272&amp;"|"&amp;T$14&amp;"|"&amp;"CY2023Q3",Spectrum!$R:$R,0)),0),""))</f>
        <v>828</v>
      </c>
      <c r="U272" s="39" t="str">
        <f aca="false">IF(LEFT($B272,4)="_Mil","",_xlfn.IFNA(ROUND(INDEX(Spectrum!$N:$N,MATCH(RIGHT($B272,13)&amp;"|"&amp;$C272&amp;"|"&amp;$D272&amp;"|"&amp;U$14&amp;"|"&amp;"CY2023Q3",Spectrum!$R:$R,0)),0),""))</f>
        <v/>
      </c>
      <c r="V272" s="10" t="n">
        <f aca="false">IF(LEFT($B272,4)="_Mil","",_xlfn.IFNA(ROUND(INDEX(Spectrum!$N:$N,MATCH(RIGHT($B272,13)&amp;"|"&amp;$C272&amp;"|"&amp;$D272&amp;"|"&amp;V$14&amp;"|"&amp;"CY2023Q3",Spectrum!$R:$R,0)),0),""))</f>
        <v>1120</v>
      </c>
      <c r="W272" s="113" t="n">
        <f aca="false">IF(LEFT($B272,4)="_Mil","",_xlfn.IFNA(INDEX(Spectrum!$N:$N,MATCH(RIGHT($B272,13)&amp;"|"&amp;$C272&amp;"|"&amp;$D272&amp;"|"&amp;W$14&amp;"|"&amp;"CY2023Q3",Spectrum!$R:$R,0)),""))</f>
        <v>717</v>
      </c>
      <c r="X272" s="39" t="n">
        <f aca="false">IF(LEFT($B272,4)="_Mil","",_xlfn.IFNA(ROUND(INDEX(Spectrum!$N:$N,MATCH(RIGHT($B272,13)&amp;"|"&amp;$C272&amp;"|"&amp;$D272&amp;"|"&amp;X$14&amp;"|"&amp;"CY2023Q3",Spectrum!$R:$R,0)),0),""))</f>
        <v>1747</v>
      </c>
      <c r="Y272" s="88" t="str">
        <f aca="false">IF(OR(SUM($U272)=0,LEFT($B272,4)="_Mil"),"",SUM($X272)/$U272)</f>
        <v/>
      </c>
      <c r="Z272" s="39" t="n">
        <f aca="false">IF(LEFT($B272,4)="_Mil","",_xlfn.IFNA(ROUND(INDEX(Spectrum!$N:$N,MATCH(RIGHT($B272,13)&amp;"|"&amp;$C272&amp;"|"&amp;$D272&amp;"|"&amp;Z$14&amp;"|"&amp;"CY2023Q3",Spectrum!$R:$R,0)),0),""))</f>
        <v>1608</v>
      </c>
      <c r="AA272" s="88" t="n">
        <f aca="false">IF(LEFT($B272,4)="_Mil","",IFERROR(1/(1/INDEX(Spectrum!$N:$N,MATCH(RIGHT($B272,13)&amp;"|"&amp;$C272&amp;"|"&amp;$D272&amp;"|"&amp;AA$14&amp;"|"&amp;"CY2023Q3",Spectrum!$R:$R,0))),IF(SUM($U272)=0,"",SUM($Z272)/$U272)))</f>
        <v>915</v>
      </c>
      <c r="AB272" s="88" t="n">
        <f aca="false">IF(OR(LEFT($B272,4)="_Mil",SUM($X272)=0),"",SUM($Z272)/$X272)</f>
        <v>0.920435031482541</v>
      </c>
      <c r="AC272" s="10" t="n">
        <f aca="false">IF(LEFT($B272,4)="_Mil","",_xlfn.IFNA(ROUND(INDEX(Spectrum!$N:$N,MATCH(RIGHT($B272,13)&amp;"|"&amp;$C272&amp;"|"&amp;$D272&amp;"|"&amp;AC$14&amp;"|"&amp;"CY2023Q3",Spectrum!$R:$R,0)),0),""))</f>
        <v>1730</v>
      </c>
      <c r="AD272" s="10" t="str">
        <f aca="false">IF(LEFT($B272,4)="_Mil","",_xlfn.IFNA(ROUND(INDEX(Spectrum!$N:$N,MATCH(RIGHT($B272,13)&amp;"|"&amp;$C272&amp;"|"&amp;$D272&amp;"|"&amp;AD$14&amp;"|"&amp;"CY2023Q3",Spectrum!$R:$R,0)),0),""))</f>
        <v/>
      </c>
      <c r="AE272" s="88" t="n">
        <f aca="false">IF(OR(LEFT($B272,4)="_Mil",SUM($Z272)=0),"",SUM($AD272)/$Z272)</f>
        <v>0</v>
      </c>
      <c r="AF272" s="39" t="str">
        <f aca="false">IF(LEFT($B272,4)="_Mil","",_xlfn.IFNA(ROUND(INDEX(Spectrum!$N:$N,MATCH(RIGHT($B272,13)&amp;"|"&amp;$C272&amp;"|"&amp;$D272&amp;"|"&amp;AF$14&amp;"|"&amp;"CY2023Q3",Spectrum!$R:$R,0)),0),""))</f>
        <v/>
      </c>
      <c r="AG272" s="88" t="str">
        <f aca="false">IF(OR(LEFT($B272,4)="_Mil",SUM($AD272)=0),"",SUM($AF272)/$AD272)</f>
        <v/>
      </c>
      <c r="AH272" s="86" t="str">
        <f aca="false">IF(LEFT($B272,4)="_Mil","",_xlfn.IFNA(INDEX(Spectrum!$N:$N,MATCH(RIGHT($B272,13)&amp;"|"&amp;$C272&amp;"|"&amp;$D272&amp;"|"&amp;AH$14&amp;"|"&amp;"CY2023Q3",Spectrum!$R:$R,0)),""))</f>
        <v/>
      </c>
      <c r="AI272" s="10" t="str">
        <f aca="false">IF(LEFT($B272,4)="_Mil","",_xlfn.IFNA(ROUND(INDEX(Spectrum!$N:$N,MATCH(RIGHT($B272,13)&amp;"|"&amp;$C272&amp;"|"&amp;$D272&amp;"|"&amp;AI$14&amp;"|"&amp;"CY2023Q3",Spectrum!$R:$R,0)),0),""))</f>
        <v/>
      </c>
      <c r="AJ272" s="39" t="n">
        <f aca="false">IF(LEFT($B272,4)="_Mil","",_xlfn.IFNA(ROUND(INDEX(Spectrum!$N:$N,MATCH(RIGHT($B272,13)&amp;"|"&amp;$C272&amp;"|"&amp;$D272&amp;"|"&amp;AI$14&amp;"|"&amp;"CY2023Q3",Spectrum!$R:$R,0)),0),SUM($U272)+SUM($AI272)))</f>
        <v>0</v>
      </c>
      <c r="AK272" s="10" t="str">
        <f aca="false">IF(LEFT($B272,4)="_Mil","",_xlfn.IFNA(ROUND(INDEX(Spectrum!$N:$N,MATCH(RIGHT($B272,13)&amp;"|"&amp;$C272&amp;"|"&amp;$D272&amp;"|"&amp;AK$14&amp;"|"&amp;"CY2023Q3",Spectrum!$R:$R,0)),0),""))</f>
        <v/>
      </c>
      <c r="AL272" s="88" t="n">
        <f aca="false">IF(OR(LEFT($B272,4)="_Mil",$C272="&lt;01"),"",MAX(SUM($AA272),90%))</f>
        <v>915</v>
      </c>
      <c r="AM272" s="10" t="n">
        <f aca="false">IF(OR(LEFT($B272,4)="_Mil",$C272="&lt;01"),"",ROUND(SUM($AJ272)*SUM($AL272),0))</f>
        <v>0</v>
      </c>
      <c r="AN272" s="10" t="str">
        <f aca="false">IF($C272="&lt;01",ROUND(INDEX(EID!$P:$P,MATCH($B272,EID!$B:$B,0))/2,0),"")</f>
        <v/>
      </c>
      <c r="AO272" s="10" t="n">
        <f aca="false">IF($C272="&lt;01",SUM($AN272),ROUND(SUM($AM272)*SUM($O272)/IF(SUM($Z272)=0,1,$Z272),0))</f>
        <v>0</v>
      </c>
      <c r="AP272" s="39" t="n">
        <f aca="false">IF(OR($F272="",$C272="&lt;01"),$AO272,$F272)</f>
        <v>0</v>
      </c>
      <c r="AQ272" s="39" t="n">
        <f aca="false">IF(LEFT($B272,4)="_Mil","",IF(SUM($AP272)=0,SUM($Z272),IF(OR(SUM($Z272)=0,SUM($O272)=0),MAX($AP272,$Z272),$AP272*$Z272/$O272)))</f>
        <v>1608</v>
      </c>
      <c r="AR272" s="88" t="str">
        <f aca="false">IF(OR(LEFT($B272,4)="_Mil",SUM($AJ272)=0),"",SUM($AQ272)/$AJ272)</f>
        <v/>
      </c>
      <c r="AS272" s="88" t="n">
        <f aca="false">IF($C272="&lt;01","",98%)</f>
        <v>0.98</v>
      </c>
      <c r="AT272" s="88" t="n">
        <f aca="false">IF($C272="&lt;01","",98%)</f>
        <v>0.98</v>
      </c>
      <c r="AU272" s="10" t="n">
        <f aca="false">IF($C272="&lt;01","",SUM($AP272)-SUM($O272))</f>
        <v>-91</v>
      </c>
      <c r="AV272" s="10" t="n">
        <f aca="false">IF($C272="&lt;01",ROUND(INDEX(EID!$N:$N,MATCH($B272,EID!$B:$B,0))/2,0),IF(SUM($AT272)=0,"",ROUND((SUM($AP272)-(SUM($O272)*SUM($AS272)))/$AT272,0)))</f>
        <v>-91</v>
      </c>
      <c r="AW272" s="88" t="n">
        <f aca="false">IF($C272="&lt;01","",100%)</f>
        <v>1</v>
      </c>
      <c r="AX272" s="39" t="n">
        <f aca="false">IF($C272="&lt;01",SUM($AV272),ROUND(SUM($AV272)*SUM($AW272),0))</f>
        <v>-91</v>
      </c>
      <c r="AY272" s="114" t="n">
        <f aca="false">IF($C272="&lt;01","",70%)</f>
        <v>0.7</v>
      </c>
      <c r="AZ272" s="91" t="n">
        <f aca="false">IF($C272="&lt;01",ROUND(INDEX(EID!$R:$R,MATCH($B272,EID!$B:$B,0))/2,0),ROUND(SUM($O272)+(SUM($AV272)*$AY272),0))</f>
        <v>27</v>
      </c>
      <c r="BA272" s="87" t="n">
        <f aca="false">IF($C272="&lt;01","",95%)</f>
        <v>0.95</v>
      </c>
      <c r="BB272" s="5" t="n">
        <f aca="false">IF($C272="&lt;01",ROUND(INDEX(EID!$T:$T,MATCH($B272,EID!$B:$B,0))/2,0),ROUND($AZ272*$BA272,0))</f>
        <v>26</v>
      </c>
      <c r="BC272" s="91" t="n">
        <f aca="false">IF(LEFT($B272,4)="_Mil","",IF(SUM($BB272)=0,SUM($AD272),IF(OR(SUM($AP272)=0,SUM($AQ272)=0),MAX($BB272,$AD272),ROUND($BB272*$AQ272/$AP272,0))))</f>
        <v>26</v>
      </c>
      <c r="BD272" s="88" t="n">
        <f aca="false">IF($C272="&lt;01","",95%)</f>
        <v>0.95</v>
      </c>
      <c r="BE272" s="39" t="n">
        <f aca="false">IF($C272="&lt;01",ROUND(INDEX(EID!$V:$V,MATCH($B272,EID!$B:$B,0))/2,0),ROUND($BD272*$BB272,0))</f>
        <v>25</v>
      </c>
      <c r="BF272" s="39" t="n">
        <f aca="false">IF(LEFT($B272,4)="_Mil","",IF(SUM($BE272)=0,SUM($AF272),IF(OR(SUM($AP272)=0,SUM($AQ272)=0),MAX($BE272,$AF272),ROUND($BE272*$AQ272/$AP272,0))))</f>
        <v>25</v>
      </c>
      <c r="BG272" s="114" t="n">
        <f aca="false">IF($C272="&lt;01","",95%)</f>
        <v>0.95</v>
      </c>
      <c r="BH272" s="5" t="n">
        <f aca="false">IF($C272="&lt;01",ROUND(INDEX(EID!$L:$L,MATCH($B272,EID!$B:$B,0)),0)/2,IF(SUM($BG272)=0,"",ROUND($AX272/$BG272,0)))</f>
        <v>-96</v>
      </c>
    </row>
    <row r="273" customFormat="false" ht="15" hidden="false" customHeight="false" outlineLevel="0" collapsed="false">
      <c r="A273" s="0" t="str">
        <f aca="false">INDEX(Prioritization!$D:$D,MATCH($B273,Prioritization!$A:$A,0))</f>
        <v>1 - Scale-up: Saturation</v>
      </c>
      <c r="B273" s="0" t="s">
        <v>212</v>
      </c>
      <c r="C273" s="0" t="s">
        <v>365</v>
      </c>
      <c r="D273" s="0" t="s">
        <v>30</v>
      </c>
      <c r="E273" s="0" t="str">
        <f aca="false">$B273&amp;"|"&amp;$C273&amp;"|"&amp;$D273</f>
        <v>Chikwawa District [U8c0so51kT6]|15-24|Female</v>
      </c>
      <c r="F273" s="10"/>
      <c r="G273" s="10"/>
      <c r="H273" s="10"/>
      <c r="I273" s="10"/>
      <c r="J273" s="10"/>
      <c r="K273" s="10"/>
      <c r="L273" s="10"/>
      <c r="M273" s="10"/>
      <c r="N273" s="10"/>
      <c r="O273" s="10" t="str">
        <f aca="false">IFERROR(1/(1/MAX($I273,$N273)),"")</f>
        <v/>
      </c>
      <c r="P273" s="10"/>
      <c r="Q273" s="10"/>
      <c r="R273" s="10" t="str">
        <f aca="false">IF(AND(SUM($I273)=0,SUM($O273)=0),"",SUM($O273)-$I273)</f>
        <v/>
      </c>
      <c r="S273" s="10" t="n">
        <f aca="false">IF(LEFT($B273,4)="_Mil","",_xlfn.IFNA(ROUND(INDEX(Spectrum!$N:$N,MATCH(RIGHT($B273,13)&amp;"|"&amp;$C273&amp;"|"&amp;$D273&amp;"|"&amp;S$14&amp;"|"&amp;"CY2022Q4",Spectrum!$R:$R,0)),0),""))</f>
        <v>1965</v>
      </c>
      <c r="T273" s="39" t="n">
        <f aca="false">IF(LEFT($B273,4)="_Mil","",_xlfn.IFNA(ROUND(INDEX(Spectrum!$N:$N,MATCH(RIGHT($B273,13)&amp;"|"&amp;$C273&amp;"|"&amp;$D273&amp;"|"&amp;T$14&amp;"|"&amp;"CY2023Q3",Spectrum!$R:$R,0)),0),""))</f>
        <v>1222</v>
      </c>
      <c r="U273" s="39" t="str">
        <f aca="false">IF(LEFT($B273,4)="_Mil","",_xlfn.IFNA(ROUND(INDEX(Spectrum!$N:$N,MATCH(RIGHT($B273,13)&amp;"|"&amp;$C273&amp;"|"&amp;$D273&amp;"|"&amp;U$14&amp;"|"&amp;"CY2023Q3",Spectrum!$R:$R,0)),0),""))</f>
        <v/>
      </c>
      <c r="V273" s="10" t="n">
        <f aca="false">IF(LEFT($B273,4)="_Mil","",_xlfn.IFNA(ROUND(INDEX(Spectrum!$N:$N,MATCH(RIGHT($B273,13)&amp;"|"&amp;$C273&amp;"|"&amp;$D273&amp;"|"&amp;V$14&amp;"|"&amp;"CY2023Q3",Spectrum!$R:$R,0)),0),""))</f>
        <v>1052</v>
      </c>
      <c r="W273" s="113" t="n">
        <f aca="false">IF(LEFT($B273,4)="_Mil","",_xlfn.IFNA(INDEX(Spectrum!$N:$N,MATCH(RIGHT($B273,13)&amp;"|"&amp;$C273&amp;"|"&amp;$D273&amp;"|"&amp;W$14&amp;"|"&amp;"CY2023Q3",Spectrum!$R:$R,0)),""))</f>
        <v>956</v>
      </c>
      <c r="X273" s="39" t="n">
        <f aca="false">IF(LEFT($B273,4)="_Mil","",_xlfn.IFNA(ROUND(INDEX(Spectrum!$N:$N,MATCH(RIGHT($B273,13)&amp;"|"&amp;$C273&amp;"|"&amp;$D273&amp;"|"&amp;X$14&amp;"|"&amp;"CY2023Q3",Spectrum!$R:$R,0)),0),""))</f>
        <v>1886</v>
      </c>
      <c r="Y273" s="88" t="str">
        <f aca="false">IF(OR(SUM($U273)=0,LEFT($B273,4)="_Mil"),"",SUM($X273)/$U273)</f>
        <v/>
      </c>
      <c r="Z273" s="39" t="n">
        <f aca="false">IF(LEFT($B273,4)="_Mil","",_xlfn.IFNA(ROUND(INDEX(Spectrum!$N:$N,MATCH(RIGHT($B273,13)&amp;"|"&amp;$C273&amp;"|"&amp;$D273&amp;"|"&amp;Z$14&amp;"|"&amp;"CY2023Q3",Spectrum!$R:$R,0)),0),""))</f>
        <v>1603</v>
      </c>
      <c r="AA273" s="88" t="n">
        <f aca="false">IF(LEFT($B273,4)="_Mil","",IFERROR(1/(1/INDEX(Spectrum!$N:$N,MATCH(RIGHT($B273,13)&amp;"|"&amp;$C273&amp;"|"&amp;$D273&amp;"|"&amp;AA$14&amp;"|"&amp;"CY2023Q3",Spectrum!$R:$R,0))),IF(SUM($U273)=0,"",SUM($Z273)/$U273)))</f>
        <v>800</v>
      </c>
      <c r="AB273" s="88" t="n">
        <f aca="false">IF(OR(LEFT($B273,4)="_Mil",SUM($X273)=0),"",SUM($Z273)/$X273)</f>
        <v>0.849946977730647</v>
      </c>
      <c r="AC273" s="10" t="n">
        <f aca="false">IF(LEFT($B273,4)="_Mil","",_xlfn.IFNA(ROUND(INDEX(Spectrum!$N:$N,MATCH(RIGHT($B273,13)&amp;"|"&amp;$C273&amp;"|"&amp;$D273&amp;"|"&amp;AC$14&amp;"|"&amp;"CY2023Q3",Spectrum!$R:$R,0)),0),""))</f>
        <v>1380</v>
      </c>
      <c r="AD273" s="10" t="str">
        <f aca="false">IF(LEFT($B273,4)="_Mil","",_xlfn.IFNA(ROUND(INDEX(Spectrum!$N:$N,MATCH(RIGHT($B273,13)&amp;"|"&amp;$C273&amp;"|"&amp;$D273&amp;"|"&amp;AD$14&amp;"|"&amp;"CY2023Q3",Spectrum!$R:$R,0)),0),""))</f>
        <v/>
      </c>
      <c r="AE273" s="88" t="n">
        <f aca="false">IF(OR(LEFT($B273,4)="_Mil",SUM($Z273)=0),"",SUM($AD273)/$Z273)</f>
        <v>0</v>
      </c>
      <c r="AF273" s="39" t="str">
        <f aca="false">IF(LEFT($B273,4)="_Mil","",_xlfn.IFNA(ROUND(INDEX(Spectrum!$N:$N,MATCH(RIGHT($B273,13)&amp;"|"&amp;$C273&amp;"|"&amp;$D273&amp;"|"&amp;AF$14&amp;"|"&amp;"CY2023Q3",Spectrum!$R:$R,0)),0),""))</f>
        <v/>
      </c>
      <c r="AG273" s="88" t="str">
        <f aca="false">IF(OR(LEFT($B273,4)="_Mil",SUM($AD273)=0),"",SUM($AF273)/$AD273)</f>
        <v/>
      </c>
      <c r="AH273" s="86" t="str">
        <f aca="false">IF(LEFT($B273,4)="_Mil","",_xlfn.IFNA(INDEX(Spectrum!$N:$N,MATCH(RIGHT($B273,13)&amp;"|"&amp;$C273&amp;"|"&amp;$D273&amp;"|"&amp;AH$14&amp;"|"&amp;"CY2023Q3",Spectrum!$R:$R,0)),""))</f>
        <v/>
      </c>
      <c r="AI273" s="10" t="str">
        <f aca="false">IF(LEFT($B273,4)="_Mil","",_xlfn.IFNA(ROUND(INDEX(Spectrum!$N:$N,MATCH(RIGHT($B273,13)&amp;"|"&amp;$C273&amp;"|"&amp;$D273&amp;"|"&amp;AI$14&amp;"|"&amp;"CY2023Q3",Spectrum!$R:$R,0)),0),""))</f>
        <v/>
      </c>
      <c r="AJ273" s="39" t="n">
        <f aca="false">IF(LEFT($B273,4)="_Mil","",_xlfn.IFNA(ROUND(INDEX(Spectrum!$N:$N,MATCH(RIGHT($B273,13)&amp;"|"&amp;$C273&amp;"|"&amp;$D273&amp;"|"&amp;AI$14&amp;"|"&amp;"CY2023Q3",Spectrum!$R:$R,0)),0),SUM($U273)+SUM($AI273)))</f>
        <v>0</v>
      </c>
      <c r="AK273" s="10" t="str">
        <f aca="false">IF(LEFT($B273,4)="_Mil","",_xlfn.IFNA(ROUND(INDEX(Spectrum!$N:$N,MATCH(RIGHT($B273,13)&amp;"|"&amp;$C273&amp;"|"&amp;$D273&amp;"|"&amp;AK$14&amp;"|"&amp;"CY2023Q3",Spectrum!$R:$R,0)),0),""))</f>
        <v/>
      </c>
      <c r="AL273" s="88" t="n">
        <f aca="false">IF(OR(LEFT($B273,4)="_Mil",$C273="&lt;01"),"",MAX(SUM($AA273),90%))</f>
        <v>800</v>
      </c>
      <c r="AM273" s="10" t="n">
        <f aca="false">IF(OR(LEFT($B273,4)="_Mil",$C273="&lt;01"),"",ROUND(SUM($AJ273)*SUM($AL273),0))</f>
        <v>0</v>
      </c>
      <c r="AN273" s="10" t="str">
        <f aca="false">IF($C273="&lt;01",ROUND(INDEX(EID!$P:$P,MATCH($B273,EID!$B:$B,0))/2,0),"")</f>
        <v/>
      </c>
      <c r="AO273" s="10" t="n">
        <f aca="false">IF($C273="&lt;01",SUM($AN273),ROUND(SUM($AM273)*SUM($O273)/IF(SUM($Z273)=0,1,$Z273),0))</f>
        <v>0</v>
      </c>
      <c r="AP273" s="39" t="n">
        <f aca="false">IF(OR($F273="",$C273="&lt;01"),$AO273,$F273)</f>
        <v>0</v>
      </c>
      <c r="AQ273" s="39" t="n">
        <f aca="false">IF(LEFT($B273,4)="_Mil","",IF(SUM($AP273)=0,SUM($Z273),IF(OR(SUM($Z273)=0,SUM($O273)=0),MAX($AP273,$Z273),$AP273*$Z273/$O273)))</f>
        <v>1603</v>
      </c>
      <c r="AR273" s="88" t="str">
        <f aca="false">IF(OR(LEFT($B273,4)="_Mil",SUM($AJ273)=0),"",SUM($AQ273)/$AJ273)</f>
        <v/>
      </c>
      <c r="AS273" s="88" t="n">
        <f aca="false">IF($C273="&lt;01","",98%)</f>
        <v>0.98</v>
      </c>
      <c r="AT273" s="88" t="n">
        <f aca="false">IF($C273="&lt;01","",98%)</f>
        <v>0.98</v>
      </c>
      <c r="AU273" s="10" t="n">
        <f aca="false">IF($C273="&lt;01","",SUM($AP273)-SUM($O273))</f>
        <v>0</v>
      </c>
      <c r="AV273" s="10" t="n">
        <f aca="false">IF($C273="&lt;01",ROUND(INDEX(EID!$N:$N,MATCH($B273,EID!$B:$B,0))/2,0),IF(SUM($AT273)=0,"",ROUND((SUM($AP273)-(SUM($O273)*SUM($AS273)))/$AT273,0)))</f>
        <v>0</v>
      </c>
      <c r="AW273" s="88" t="n">
        <f aca="false">IF($C273="&lt;01","",100%)</f>
        <v>1</v>
      </c>
      <c r="AX273" s="39" t="n">
        <f aca="false">IF($C273="&lt;01",SUM($AV273),ROUND(SUM($AV273)*SUM($AW273),0))</f>
        <v>0</v>
      </c>
      <c r="AY273" s="114" t="n">
        <f aca="false">IF($C273="&lt;01","",70%)</f>
        <v>0.7</v>
      </c>
      <c r="AZ273" s="91" t="n">
        <f aca="false">IF($C273="&lt;01",ROUND(INDEX(EID!$R:$R,MATCH($B273,EID!$B:$B,0))/2,0),ROUND(SUM($O273)+(SUM($AV273)*$AY273),0))</f>
        <v>0</v>
      </c>
      <c r="BA273" s="87" t="n">
        <f aca="false">IF($C273="&lt;01","",95%)</f>
        <v>0.95</v>
      </c>
      <c r="BB273" s="5" t="n">
        <f aca="false">IF($C273="&lt;01",ROUND(INDEX(EID!$T:$T,MATCH($B273,EID!$B:$B,0))/2,0),ROUND($AZ273*$BA273,0))</f>
        <v>0</v>
      </c>
      <c r="BC273" s="91" t="n">
        <f aca="false">IF(LEFT($B273,4)="_Mil","",IF(SUM($BB273)=0,SUM($AD273),IF(OR(SUM($AP273)=0,SUM($AQ273)=0),MAX($BB273,$AD273),ROUND($BB273*$AQ273/$AP273,0))))</f>
        <v>0</v>
      </c>
      <c r="BD273" s="88" t="n">
        <f aca="false">IF($C273="&lt;01","",95%)</f>
        <v>0.95</v>
      </c>
      <c r="BE273" s="39" t="n">
        <f aca="false">IF($C273="&lt;01",ROUND(INDEX(EID!$V:$V,MATCH($B273,EID!$B:$B,0))/2,0),ROUND($BD273*$BB273,0))</f>
        <v>0</v>
      </c>
      <c r="BF273" s="39" t="n">
        <f aca="false">IF(LEFT($B273,4)="_Mil","",IF(SUM($BE273)=0,SUM($AF273),IF(OR(SUM($AP273)=0,SUM($AQ273)=0),MAX($BE273,$AF273),ROUND($BE273*$AQ273/$AP273,0))))</f>
        <v>0</v>
      </c>
      <c r="BG273" s="114" t="n">
        <f aca="false">IF($C273="&lt;01","",95%)</f>
        <v>0.95</v>
      </c>
      <c r="BH273" s="5" t="n">
        <f aca="false">IF($C273="&lt;01",ROUND(INDEX(EID!$L:$L,MATCH($B273,EID!$B:$B,0)),0)/2,IF(SUM($BG273)=0,"",ROUND($AX273/$BG273,0)))</f>
        <v>0</v>
      </c>
    </row>
    <row r="274" customFormat="false" ht="15" hidden="false" customHeight="false" outlineLevel="0" collapsed="false">
      <c r="A274" s="0" t="str">
        <f aca="false">INDEX(Prioritization!$D:$D,MATCH($B274,Prioritization!$A:$A,0))</f>
        <v>1 - Scale-up: Saturation</v>
      </c>
      <c r="B274" s="0" t="s">
        <v>212</v>
      </c>
      <c r="C274" s="0" t="s">
        <v>365</v>
      </c>
      <c r="D274" s="0" t="s">
        <v>48</v>
      </c>
      <c r="E274" s="0" t="str">
        <f aca="false">$B274&amp;"|"&amp;$C274&amp;"|"&amp;$D274</f>
        <v>Chikwawa District [U8c0so51kT6]|15-24|Male</v>
      </c>
      <c r="F274" s="10"/>
      <c r="G274" s="10"/>
      <c r="H274" s="10"/>
      <c r="I274" s="10"/>
      <c r="J274" s="10"/>
      <c r="K274" s="10"/>
      <c r="L274" s="10"/>
      <c r="M274" s="10"/>
      <c r="N274" s="10"/>
      <c r="O274" s="10" t="str">
        <f aca="false">IFERROR(1/(1/MAX($I274,$N274)),"")</f>
        <v/>
      </c>
      <c r="P274" s="10"/>
      <c r="Q274" s="10"/>
      <c r="R274" s="10" t="str">
        <f aca="false">IF(AND(SUM($I274)=0,SUM($O274)=0),"",SUM($O274)-$I274)</f>
        <v/>
      </c>
      <c r="S274" s="10" t="n">
        <f aca="false">IF(LEFT($B274,4)="_Mil","",_xlfn.IFNA(ROUND(INDEX(Spectrum!$N:$N,MATCH(RIGHT($B274,13)&amp;"|"&amp;$C274&amp;"|"&amp;$D274&amp;"|"&amp;S$14&amp;"|"&amp;"CY2022Q4",Spectrum!$R:$R,0)),0),""))</f>
        <v>1734</v>
      </c>
      <c r="T274" s="39" t="n">
        <f aca="false">IF(LEFT($B274,4)="_Mil","",_xlfn.IFNA(ROUND(INDEX(Spectrum!$N:$N,MATCH(RIGHT($B274,13)&amp;"|"&amp;$C274&amp;"|"&amp;$D274&amp;"|"&amp;T$14&amp;"|"&amp;"CY2023Q3",Spectrum!$R:$R,0)),0),""))</f>
        <v>999</v>
      </c>
      <c r="U274" s="39" t="str">
        <f aca="false">IF(LEFT($B274,4)="_Mil","",_xlfn.IFNA(ROUND(INDEX(Spectrum!$N:$N,MATCH(RIGHT($B274,13)&amp;"|"&amp;$C274&amp;"|"&amp;$D274&amp;"|"&amp;U$14&amp;"|"&amp;"CY2023Q3",Spectrum!$R:$R,0)),0),""))</f>
        <v/>
      </c>
      <c r="V274" s="10" t="n">
        <f aca="false">IF(LEFT($B274,4)="_Mil","",_xlfn.IFNA(ROUND(INDEX(Spectrum!$N:$N,MATCH(RIGHT($B274,13)&amp;"|"&amp;$C274&amp;"|"&amp;$D274&amp;"|"&amp;V$14&amp;"|"&amp;"CY2023Q3",Spectrum!$R:$R,0)),0),""))</f>
        <v>1030</v>
      </c>
      <c r="W274" s="113" t="n">
        <f aca="false">IF(LEFT($B274,4)="_Mil","",_xlfn.IFNA(INDEX(Spectrum!$N:$N,MATCH(RIGHT($B274,13)&amp;"|"&amp;$C274&amp;"|"&amp;$D274&amp;"|"&amp;W$14&amp;"|"&amp;"CY2023Q3",Spectrum!$R:$R,0)),""))</f>
        <v>1193</v>
      </c>
      <c r="X274" s="39" t="n">
        <f aca="false">IF(LEFT($B274,4)="_Mil","",_xlfn.IFNA(ROUND(INDEX(Spectrum!$N:$N,MATCH(RIGHT($B274,13)&amp;"|"&amp;$C274&amp;"|"&amp;$D274&amp;"|"&amp;X$14&amp;"|"&amp;"CY2023Q3",Spectrum!$R:$R,0)),0),""))</f>
        <v>1291</v>
      </c>
      <c r="Y274" s="88" t="str">
        <f aca="false">IF(OR(SUM($U274)=0,LEFT($B274,4)="_Mil"),"",SUM($X274)/$U274)</f>
        <v/>
      </c>
      <c r="Z274" s="39" t="n">
        <f aca="false">IF(LEFT($B274,4)="_Mil","",_xlfn.IFNA(ROUND(INDEX(Spectrum!$N:$N,MATCH(RIGHT($B274,13)&amp;"|"&amp;$C274&amp;"|"&amp;$D274&amp;"|"&amp;Z$14&amp;"|"&amp;"CY2023Q3",Spectrum!$R:$R,0)),0),""))</f>
        <v>601</v>
      </c>
      <c r="AA274" s="88" t="n">
        <f aca="false">IF(LEFT($B274,4)="_Mil","",IFERROR(1/(1/INDEX(Spectrum!$N:$N,MATCH(RIGHT($B274,13)&amp;"|"&amp;$C274&amp;"|"&amp;$D274&amp;"|"&amp;AA$14&amp;"|"&amp;"CY2023Q3",Spectrum!$R:$R,0))),IF(SUM($U274)=0,"",SUM($Z274)/$U274)))</f>
        <v>1268</v>
      </c>
      <c r="AB274" s="88" t="n">
        <f aca="false">IF(OR(LEFT($B274,4)="_Mil",SUM($X274)=0),"",SUM($Z274)/$X274)</f>
        <v>0.465530596436871</v>
      </c>
      <c r="AC274" s="10" t="n">
        <f aca="false">IF(LEFT($B274,4)="_Mil","",_xlfn.IFNA(ROUND(INDEX(Spectrum!$N:$N,MATCH(RIGHT($B274,13)&amp;"|"&amp;$C274&amp;"|"&amp;$D274&amp;"|"&amp;AC$14&amp;"|"&amp;"CY2023Q3",Spectrum!$R:$R,0)),0),""))</f>
        <v>1254</v>
      </c>
      <c r="AD274" s="10" t="str">
        <f aca="false">IF(LEFT($B274,4)="_Mil","",_xlfn.IFNA(ROUND(INDEX(Spectrum!$N:$N,MATCH(RIGHT($B274,13)&amp;"|"&amp;$C274&amp;"|"&amp;$D274&amp;"|"&amp;AD$14&amp;"|"&amp;"CY2023Q3",Spectrum!$R:$R,0)),0),""))</f>
        <v/>
      </c>
      <c r="AE274" s="88" t="n">
        <f aca="false">IF(OR(LEFT($B274,4)="_Mil",SUM($Z274)=0),"",SUM($AD274)/$Z274)</f>
        <v>0</v>
      </c>
      <c r="AF274" s="39" t="str">
        <f aca="false">IF(LEFT($B274,4)="_Mil","",_xlfn.IFNA(ROUND(INDEX(Spectrum!$N:$N,MATCH(RIGHT($B274,13)&amp;"|"&amp;$C274&amp;"|"&amp;$D274&amp;"|"&amp;AF$14&amp;"|"&amp;"CY2023Q3",Spectrum!$R:$R,0)),0),""))</f>
        <v/>
      </c>
      <c r="AG274" s="88" t="str">
        <f aca="false">IF(OR(LEFT($B274,4)="_Mil",SUM($AD274)=0),"",SUM($AF274)/$AD274)</f>
        <v/>
      </c>
      <c r="AH274" s="86" t="str">
        <f aca="false">IF(LEFT($B274,4)="_Mil","",_xlfn.IFNA(INDEX(Spectrum!$N:$N,MATCH(RIGHT($B274,13)&amp;"|"&amp;$C274&amp;"|"&amp;$D274&amp;"|"&amp;AH$14&amp;"|"&amp;"CY2023Q3",Spectrum!$R:$R,0)),""))</f>
        <v/>
      </c>
      <c r="AI274" s="10" t="str">
        <f aca="false">IF(LEFT($B274,4)="_Mil","",_xlfn.IFNA(ROUND(INDEX(Spectrum!$N:$N,MATCH(RIGHT($B274,13)&amp;"|"&amp;$C274&amp;"|"&amp;$D274&amp;"|"&amp;AI$14&amp;"|"&amp;"CY2023Q3",Spectrum!$R:$R,0)),0),""))</f>
        <v/>
      </c>
      <c r="AJ274" s="39" t="n">
        <f aca="false">IF(LEFT($B274,4)="_Mil","",_xlfn.IFNA(ROUND(INDEX(Spectrum!$N:$N,MATCH(RIGHT($B274,13)&amp;"|"&amp;$C274&amp;"|"&amp;$D274&amp;"|"&amp;AI$14&amp;"|"&amp;"CY2023Q3",Spectrum!$R:$R,0)),0),SUM($U274)+SUM($AI274)))</f>
        <v>0</v>
      </c>
      <c r="AK274" s="10" t="str">
        <f aca="false">IF(LEFT($B274,4)="_Mil","",_xlfn.IFNA(ROUND(INDEX(Spectrum!$N:$N,MATCH(RIGHT($B274,13)&amp;"|"&amp;$C274&amp;"|"&amp;$D274&amp;"|"&amp;AK$14&amp;"|"&amp;"CY2023Q3",Spectrum!$R:$R,0)),0),""))</f>
        <v/>
      </c>
      <c r="AL274" s="88" t="n">
        <f aca="false">IF(OR(LEFT($B274,4)="_Mil",$C274="&lt;01"),"",MAX(SUM($AA274),90%))</f>
        <v>1268</v>
      </c>
      <c r="AM274" s="10" t="n">
        <f aca="false">IF(OR(LEFT($B274,4)="_Mil",$C274="&lt;01"),"",ROUND(SUM($AJ274)*SUM($AL274),0))</f>
        <v>0</v>
      </c>
      <c r="AN274" s="10" t="str">
        <f aca="false">IF($C274="&lt;01",ROUND(INDEX(EID!$P:$P,MATCH($B274,EID!$B:$B,0))/2,0),"")</f>
        <v/>
      </c>
      <c r="AO274" s="10" t="n">
        <f aca="false">IF($C274="&lt;01",SUM($AN274),ROUND(SUM($AM274)*SUM($O274)/IF(SUM($Z274)=0,1,$Z274),0))</f>
        <v>0</v>
      </c>
      <c r="AP274" s="39" t="n">
        <f aca="false">IF(OR($F274="",$C274="&lt;01"),$AO274,$F274)</f>
        <v>0</v>
      </c>
      <c r="AQ274" s="39" t="n">
        <f aca="false">IF(LEFT($B274,4)="_Mil","",IF(SUM($AP274)=0,SUM($Z274),IF(OR(SUM($Z274)=0,SUM($O274)=0),MAX($AP274,$Z274),$AP274*$Z274/$O274)))</f>
        <v>601</v>
      </c>
      <c r="AR274" s="88" t="str">
        <f aca="false">IF(OR(LEFT($B274,4)="_Mil",SUM($AJ274)=0),"",SUM($AQ274)/$AJ274)</f>
        <v/>
      </c>
      <c r="AS274" s="88" t="n">
        <f aca="false">IF($C274="&lt;01","",98%)</f>
        <v>0.98</v>
      </c>
      <c r="AT274" s="88" t="n">
        <f aca="false">IF($C274="&lt;01","",98%)</f>
        <v>0.98</v>
      </c>
      <c r="AU274" s="10" t="n">
        <f aca="false">IF($C274="&lt;01","",SUM($AP274)-SUM($O274))</f>
        <v>0</v>
      </c>
      <c r="AV274" s="10" t="n">
        <f aca="false">IF($C274="&lt;01",ROUND(INDEX(EID!$N:$N,MATCH($B274,EID!$B:$B,0))/2,0),IF(SUM($AT274)=0,"",ROUND((SUM($AP274)-(SUM($O274)*SUM($AS274)))/$AT274,0)))</f>
        <v>0</v>
      </c>
      <c r="AW274" s="88" t="n">
        <f aca="false">IF($C274="&lt;01","",100%)</f>
        <v>1</v>
      </c>
      <c r="AX274" s="39" t="n">
        <f aca="false">IF($C274="&lt;01",SUM($AV274),ROUND(SUM($AV274)*SUM($AW274),0))</f>
        <v>0</v>
      </c>
      <c r="AY274" s="114" t="n">
        <f aca="false">IF($C274="&lt;01","",70%)</f>
        <v>0.7</v>
      </c>
      <c r="AZ274" s="91" t="n">
        <f aca="false">IF($C274="&lt;01",ROUND(INDEX(EID!$R:$R,MATCH($B274,EID!$B:$B,0))/2,0),ROUND(SUM($O274)+(SUM($AV274)*$AY274),0))</f>
        <v>0</v>
      </c>
      <c r="BA274" s="87" t="n">
        <f aca="false">IF($C274="&lt;01","",95%)</f>
        <v>0.95</v>
      </c>
      <c r="BB274" s="5" t="n">
        <f aca="false">IF($C274="&lt;01",ROUND(INDEX(EID!$T:$T,MATCH($B274,EID!$B:$B,0))/2,0),ROUND($AZ274*$BA274,0))</f>
        <v>0</v>
      </c>
      <c r="BC274" s="91" t="n">
        <f aca="false">IF(LEFT($B274,4)="_Mil","",IF(SUM($BB274)=0,SUM($AD274),IF(OR(SUM($AP274)=0,SUM($AQ274)=0),MAX($BB274,$AD274),ROUND($BB274*$AQ274/$AP274,0))))</f>
        <v>0</v>
      </c>
      <c r="BD274" s="88" t="n">
        <f aca="false">IF($C274="&lt;01","",95%)</f>
        <v>0.95</v>
      </c>
      <c r="BE274" s="39" t="n">
        <f aca="false">IF($C274="&lt;01",ROUND(INDEX(EID!$V:$V,MATCH($B274,EID!$B:$B,0))/2,0),ROUND($BD274*$BB274,0))</f>
        <v>0</v>
      </c>
      <c r="BF274" s="39" t="n">
        <f aca="false">IF(LEFT($B274,4)="_Mil","",IF(SUM($BE274)=0,SUM($AF274),IF(OR(SUM($AP274)=0,SUM($AQ274)=0),MAX($BE274,$AF274),ROUND($BE274*$AQ274/$AP274,0))))</f>
        <v>0</v>
      </c>
      <c r="BG274" s="114" t="n">
        <f aca="false">IF($C274="&lt;01","",95%)</f>
        <v>0.95</v>
      </c>
      <c r="BH274" s="5" t="n">
        <f aca="false">IF($C274="&lt;01",ROUND(INDEX(EID!$L:$L,MATCH($B274,EID!$B:$B,0)),0)/2,IF(SUM($BG274)=0,"",ROUND($AX274/$BG274,0)))</f>
        <v>0</v>
      </c>
    </row>
    <row r="275" customFormat="false" ht="15" hidden="false" customHeight="false" outlineLevel="0" collapsed="false">
      <c r="A275" s="0" t="str">
        <f aca="false">INDEX(Prioritization!$D:$D,MATCH($B275,Prioritization!$A:$A,0))</f>
        <v>1 - Scale-up: Saturation</v>
      </c>
      <c r="B275" s="0" t="s">
        <v>212</v>
      </c>
      <c r="C275" s="0" t="s">
        <v>366</v>
      </c>
      <c r="D275" s="0" t="s">
        <v>30</v>
      </c>
      <c r="E275" s="0" t="str">
        <f aca="false">$B275&amp;"|"&amp;$C275&amp;"|"&amp;$D275</f>
        <v>Chikwawa District [U8c0so51kT6]|25-34|Female</v>
      </c>
      <c r="F275" s="10"/>
      <c r="G275" s="10"/>
      <c r="H275" s="10"/>
      <c r="I275" s="10"/>
      <c r="J275" s="10"/>
      <c r="K275" s="10"/>
      <c r="L275" s="10"/>
      <c r="M275" s="10"/>
      <c r="N275" s="10"/>
      <c r="O275" s="10" t="str">
        <f aca="false">IFERROR(1/(1/MAX($I275,$N275)),"")</f>
        <v/>
      </c>
      <c r="P275" s="10"/>
      <c r="Q275" s="10"/>
      <c r="R275" s="10" t="str">
        <f aca="false">IF(AND(SUM($I275)=0,SUM($O275)=0),"",SUM($O275)-$I275)</f>
        <v/>
      </c>
      <c r="S275" s="10" t="n">
        <f aca="false">IF(LEFT($B275,4)="_Mil","",_xlfn.IFNA(ROUND(INDEX(Spectrum!$N:$N,MATCH(RIGHT($B275,13)&amp;"|"&amp;$C275&amp;"|"&amp;$D275&amp;"|"&amp;S$14&amp;"|"&amp;"CY2022Q4",Spectrum!$R:$R,0)),0),""))</f>
        <v>1544</v>
      </c>
      <c r="T275" s="39" t="n">
        <f aca="false">IF(LEFT($B275,4)="_Mil","",_xlfn.IFNA(ROUND(INDEX(Spectrum!$N:$N,MATCH(RIGHT($B275,13)&amp;"|"&amp;$C275&amp;"|"&amp;$D275&amp;"|"&amp;T$14&amp;"|"&amp;"CY2023Q3",Spectrum!$R:$R,0)),0),""))</f>
        <v>1032</v>
      </c>
      <c r="U275" s="39" t="str">
        <f aca="false">IF(LEFT($B275,4)="_Mil","",_xlfn.IFNA(ROUND(INDEX(Spectrum!$N:$N,MATCH(RIGHT($B275,13)&amp;"|"&amp;$C275&amp;"|"&amp;$D275&amp;"|"&amp;U$14&amp;"|"&amp;"CY2023Q3",Spectrum!$R:$R,0)),0),""))</f>
        <v/>
      </c>
      <c r="V275" s="10" t="n">
        <f aca="false">IF(LEFT($B275,4)="_Mil","",_xlfn.IFNA(ROUND(INDEX(Spectrum!$N:$N,MATCH(RIGHT($B275,13)&amp;"|"&amp;$C275&amp;"|"&amp;$D275&amp;"|"&amp;V$14&amp;"|"&amp;"CY2023Q3",Spectrum!$R:$R,0)),0),""))</f>
        <v>1865</v>
      </c>
      <c r="W275" s="113" t="n">
        <f aca="false">IF(LEFT($B275,4)="_Mil","",_xlfn.IFNA(INDEX(Spectrum!$N:$N,MATCH(RIGHT($B275,13)&amp;"|"&amp;$C275&amp;"|"&amp;$D275&amp;"|"&amp;W$14&amp;"|"&amp;"CY2023Q3",Spectrum!$R:$R,0)),""))</f>
        <v>1086</v>
      </c>
      <c r="X275" s="39" t="n">
        <f aca="false">IF(LEFT($B275,4)="_Mil","",_xlfn.IFNA(ROUND(INDEX(Spectrum!$N:$N,MATCH(RIGHT($B275,13)&amp;"|"&amp;$C275&amp;"|"&amp;$D275&amp;"|"&amp;X$14&amp;"|"&amp;"CY2023Q3",Spectrum!$R:$R,0)),0),""))</f>
        <v>1599</v>
      </c>
      <c r="Y275" s="88" t="str">
        <f aca="false">IF(OR(SUM($U275)=0,LEFT($B275,4)="_Mil"),"",SUM($X275)/$U275)</f>
        <v/>
      </c>
      <c r="Z275" s="39" t="n">
        <f aca="false">IF(LEFT($B275,4)="_Mil","",_xlfn.IFNA(ROUND(INDEX(Spectrum!$N:$N,MATCH(RIGHT($B275,13)&amp;"|"&amp;$C275&amp;"|"&amp;$D275&amp;"|"&amp;Z$14&amp;"|"&amp;"CY2023Q3",Spectrum!$R:$R,0)),0),""))</f>
        <v>793</v>
      </c>
      <c r="AA275" s="88" t="n">
        <f aca="false">IF(LEFT($B275,4)="_Mil","",IFERROR(1/(1/INDEX(Spectrum!$N:$N,MATCH(RIGHT($B275,13)&amp;"|"&amp;$C275&amp;"|"&amp;$D275&amp;"|"&amp;AA$14&amp;"|"&amp;"CY2023Q3",Spectrum!$R:$R,0))),IF(SUM($U275)=0,"",SUM($Z275)/$U275)))</f>
        <v>885</v>
      </c>
      <c r="AB275" s="88" t="n">
        <f aca="false">IF(OR(LEFT($B275,4)="_Mil",SUM($X275)=0),"",SUM($Z275)/$X275)</f>
        <v>0.495934959349593</v>
      </c>
      <c r="AC275" s="10" t="n">
        <f aca="false">IF(LEFT($B275,4)="_Mil","",_xlfn.IFNA(ROUND(INDEX(Spectrum!$N:$N,MATCH(RIGHT($B275,13)&amp;"|"&amp;$C275&amp;"|"&amp;$D275&amp;"|"&amp;AC$14&amp;"|"&amp;"CY2023Q3",Spectrum!$R:$R,0)),0),""))</f>
        <v>641</v>
      </c>
      <c r="AD275" s="10" t="str">
        <f aca="false">IF(LEFT($B275,4)="_Mil","",_xlfn.IFNA(ROUND(INDEX(Spectrum!$N:$N,MATCH(RIGHT($B275,13)&amp;"|"&amp;$C275&amp;"|"&amp;$D275&amp;"|"&amp;AD$14&amp;"|"&amp;"CY2023Q3",Spectrum!$R:$R,0)),0),""))</f>
        <v/>
      </c>
      <c r="AE275" s="88" t="n">
        <f aca="false">IF(OR(LEFT($B275,4)="_Mil",SUM($Z275)=0),"",SUM($AD275)/$Z275)</f>
        <v>0</v>
      </c>
      <c r="AF275" s="39" t="str">
        <f aca="false">IF(LEFT($B275,4)="_Mil","",_xlfn.IFNA(ROUND(INDEX(Spectrum!$N:$N,MATCH(RIGHT($B275,13)&amp;"|"&amp;$C275&amp;"|"&amp;$D275&amp;"|"&amp;AF$14&amp;"|"&amp;"CY2023Q3",Spectrum!$R:$R,0)),0),""))</f>
        <v/>
      </c>
      <c r="AG275" s="88" t="str">
        <f aca="false">IF(OR(LEFT($B275,4)="_Mil",SUM($AD275)=0),"",SUM($AF275)/$AD275)</f>
        <v/>
      </c>
      <c r="AH275" s="86" t="str">
        <f aca="false">IF(LEFT($B275,4)="_Mil","",_xlfn.IFNA(INDEX(Spectrum!$N:$N,MATCH(RIGHT($B275,13)&amp;"|"&amp;$C275&amp;"|"&amp;$D275&amp;"|"&amp;AH$14&amp;"|"&amp;"CY2023Q3",Spectrum!$R:$R,0)),""))</f>
        <v/>
      </c>
      <c r="AI275" s="10" t="str">
        <f aca="false">IF(LEFT($B275,4)="_Mil","",_xlfn.IFNA(ROUND(INDEX(Spectrum!$N:$N,MATCH(RIGHT($B275,13)&amp;"|"&amp;$C275&amp;"|"&amp;$D275&amp;"|"&amp;AI$14&amp;"|"&amp;"CY2023Q3",Spectrum!$R:$R,0)),0),""))</f>
        <v/>
      </c>
      <c r="AJ275" s="39" t="n">
        <f aca="false">IF(LEFT($B275,4)="_Mil","",_xlfn.IFNA(ROUND(INDEX(Spectrum!$N:$N,MATCH(RIGHT($B275,13)&amp;"|"&amp;$C275&amp;"|"&amp;$D275&amp;"|"&amp;AI$14&amp;"|"&amp;"CY2023Q3",Spectrum!$R:$R,0)),0),SUM($U275)+SUM($AI275)))</f>
        <v>0</v>
      </c>
      <c r="AK275" s="10" t="str">
        <f aca="false">IF(LEFT($B275,4)="_Mil","",_xlfn.IFNA(ROUND(INDEX(Spectrum!$N:$N,MATCH(RIGHT($B275,13)&amp;"|"&amp;$C275&amp;"|"&amp;$D275&amp;"|"&amp;AK$14&amp;"|"&amp;"CY2023Q3",Spectrum!$R:$R,0)),0),""))</f>
        <v/>
      </c>
      <c r="AL275" s="88" t="n">
        <f aca="false">IF(OR(LEFT($B275,4)="_Mil",$C275="&lt;01"),"",MAX(SUM($AA275),90%))</f>
        <v>885</v>
      </c>
      <c r="AM275" s="10" t="n">
        <f aca="false">IF(OR(LEFT($B275,4)="_Mil",$C275="&lt;01"),"",ROUND(SUM($AJ275)*SUM($AL275),0))</f>
        <v>0</v>
      </c>
      <c r="AN275" s="10" t="str">
        <f aca="false">IF($C275="&lt;01",ROUND(INDEX(EID!$P:$P,MATCH($B275,EID!$B:$B,0))/2,0),"")</f>
        <v/>
      </c>
      <c r="AO275" s="10" t="n">
        <f aca="false">IF($C275="&lt;01",SUM($AN275),ROUND(SUM($AM275)*SUM($O275)/IF(SUM($Z275)=0,1,$Z275),0))</f>
        <v>0</v>
      </c>
      <c r="AP275" s="39" t="n">
        <f aca="false">IF(OR($F275="",$C275="&lt;01"),$AO275,$F275)</f>
        <v>0</v>
      </c>
      <c r="AQ275" s="39" t="n">
        <f aca="false">IF(LEFT($B275,4)="_Mil","",IF(SUM($AP275)=0,SUM($Z275),IF(OR(SUM($Z275)=0,SUM($O275)=0),MAX($AP275,$Z275),$AP275*$Z275/$O275)))</f>
        <v>793</v>
      </c>
      <c r="AR275" s="88" t="str">
        <f aca="false">IF(OR(LEFT($B275,4)="_Mil",SUM($AJ275)=0),"",SUM($AQ275)/$AJ275)</f>
        <v/>
      </c>
      <c r="AS275" s="88" t="n">
        <f aca="false">IF($C275="&lt;01","",98%)</f>
        <v>0.98</v>
      </c>
      <c r="AT275" s="88" t="n">
        <f aca="false">IF($C275="&lt;01","",98%)</f>
        <v>0.98</v>
      </c>
      <c r="AU275" s="10" t="n">
        <f aca="false">IF($C275="&lt;01","",SUM($AP275)-SUM($O275))</f>
        <v>0</v>
      </c>
      <c r="AV275" s="10" t="n">
        <f aca="false">IF($C275="&lt;01",ROUND(INDEX(EID!$N:$N,MATCH($B275,EID!$B:$B,0))/2,0),IF(SUM($AT275)=0,"",ROUND((SUM($AP275)-(SUM($O275)*SUM($AS275)))/$AT275,0)))</f>
        <v>0</v>
      </c>
      <c r="AW275" s="88" t="n">
        <f aca="false">IF($C275="&lt;01","",100%)</f>
        <v>1</v>
      </c>
      <c r="AX275" s="39" t="n">
        <f aca="false">IF($C275="&lt;01",SUM($AV275),ROUND(SUM($AV275)*SUM($AW275),0))</f>
        <v>0</v>
      </c>
      <c r="AY275" s="114" t="n">
        <f aca="false">IF($C275="&lt;01","",70%)</f>
        <v>0.7</v>
      </c>
      <c r="AZ275" s="91" t="n">
        <f aca="false">IF($C275="&lt;01",ROUND(INDEX(EID!$R:$R,MATCH($B275,EID!$B:$B,0))/2,0),ROUND(SUM($O275)+(SUM($AV275)*$AY275),0))</f>
        <v>0</v>
      </c>
      <c r="BA275" s="87" t="n">
        <f aca="false">IF($C275="&lt;01","",95%)</f>
        <v>0.95</v>
      </c>
      <c r="BB275" s="5" t="n">
        <f aca="false">IF($C275="&lt;01",ROUND(INDEX(EID!$T:$T,MATCH($B275,EID!$B:$B,0))/2,0),ROUND($AZ275*$BA275,0))</f>
        <v>0</v>
      </c>
      <c r="BC275" s="91" t="n">
        <f aca="false">IF(LEFT($B275,4)="_Mil","",IF(SUM($BB275)=0,SUM($AD275),IF(OR(SUM($AP275)=0,SUM($AQ275)=0),MAX($BB275,$AD275),ROUND($BB275*$AQ275/$AP275,0))))</f>
        <v>0</v>
      </c>
      <c r="BD275" s="88" t="n">
        <f aca="false">IF($C275="&lt;01","",95%)</f>
        <v>0.95</v>
      </c>
      <c r="BE275" s="39" t="n">
        <f aca="false">IF($C275="&lt;01",ROUND(INDEX(EID!$V:$V,MATCH($B275,EID!$B:$B,0))/2,0),ROUND($BD275*$BB275,0))</f>
        <v>0</v>
      </c>
      <c r="BF275" s="39" t="n">
        <f aca="false">IF(LEFT($B275,4)="_Mil","",IF(SUM($BE275)=0,SUM($AF275),IF(OR(SUM($AP275)=0,SUM($AQ275)=0),MAX($BE275,$AF275),ROUND($BE275*$AQ275/$AP275,0))))</f>
        <v>0</v>
      </c>
      <c r="BG275" s="114" t="n">
        <f aca="false">IF($C275="&lt;01","",95%)</f>
        <v>0.95</v>
      </c>
      <c r="BH275" s="5" t="n">
        <f aca="false">IF($C275="&lt;01",ROUND(INDEX(EID!$L:$L,MATCH($B275,EID!$B:$B,0)),0)/2,IF(SUM($BG275)=0,"",ROUND($AX275/$BG275,0)))</f>
        <v>0</v>
      </c>
    </row>
    <row r="276" customFormat="false" ht="15" hidden="false" customHeight="false" outlineLevel="0" collapsed="false">
      <c r="A276" s="0" t="str">
        <f aca="false">INDEX(Prioritization!$D:$D,MATCH($B276,Prioritization!$A:$A,0))</f>
        <v>1 - Scale-up: Saturation</v>
      </c>
      <c r="B276" s="0" t="s">
        <v>212</v>
      </c>
      <c r="C276" s="0" t="s">
        <v>366</v>
      </c>
      <c r="D276" s="0" t="s">
        <v>48</v>
      </c>
      <c r="E276" s="0" t="str">
        <f aca="false">$B276&amp;"|"&amp;$C276&amp;"|"&amp;$D276</f>
        <v>Chikwawa District [U8c0so51kT6]|25-34|Male</v>
      </c>
      <c r="F276" s="10"/>
      <c r="G276" s="10"/>
      <c r="H276" s="10"/>
      <c r="I276" s="10"/>
      <c r="J276" s="10"/>
      <c r="K276" s="10"/>
      <c r="L276" s="10"/>
      <c r="M276" s="10"/>
      <c r="N276" s="10"/>
      <c r="O276" s="10" t="str">
        <f aca="false">IFERROR(1/(1/MAX($I276,$N276)),"")</f>
        <v/>
      </c>
      <c r="P276" s="10"/>
      <c r="Q276" s="10"/>
      <c r="R276" s="10" t="str">
        <f aca="false">IF(AND(SUM($I276)=0,SUM($O276)=0),"",SUM($O276)-$I276)</f>
        <v/>
      </c>
      <c r="S276" s="10" t="n">
        <f aca="false">IF(LEFT($B276,4)="_Mil","",_xlfn.IFNA(ROUND(INDEX(Spectrum!$N:$N,MATCH(RIGHT($B276,13)&amp;"|"&amp;$C276&amp;"|"&amp;$D276&amp;"|"&amp;S$14&amp;"|"&amp;"CY2022Q4",Spectrum!$R:$R,0)),0),""))</f>
        <v>1539</v>
      </c>
      <c r="T276" s="39" t="n">
        <f aca="false">IF(LEFT($B276,4)="_Mil","",_xlfn.IFNA(ROUND(INDEX(Spectrum!$N:$N,MATCH(RIGHT($B276,13)&amp;"|"&amp;$C276&amp;"|"&amp;$D276&amp;"|"&amp;T$14&amp;"|"&amp;"CY2023Q3",Spectrum!$R:$R,0)),0),""))</f>
        <v>870</v>
      </c>
      <c r="U276" s="39" t="str">
        <f aca="false">IF(LEFT($B276,4)="_Mil","",_xlfn.IFNA(ROUND(INDEX(Spectrum!$N:$N,MATCH(RIGHT($B276,13)&amp;"|"&amp;$C276&amp;"|"&amp;$D276&amp;"|"&amp;U$14&amp;"|"&amp;"CY2023Q3",Spectrum!$R:$R,0)),0),""))</f>
        <v/>
      </c>
      <c r="V276" s="10" t="n">
        <f aca="false">IF(LEFT($B276,4)="_Mil","",_xlfn.IFNA(ROUND(INDEX(Spectrum!$N:$N,MATCH(RIGHT($B276,13)&amp;"|"&amp;$C276&amp;"|"&amp;$D276&amp;"|"&amp;V$14&amp;"|"&amp;"CY2023Q3",Spectrum!$R:$R,0)),0),""))</f>
        <v>1538</v>
      </c>
      <c r="W276" s="113" t="n">
        <f aca="false">IF(LEFT($B276,4)="_Mil","",_xlfn.IFNA(INDEX(Spectrum!$N:$N,MATCH(RIGHT($B276,13)&amp;"|"&amp;$C276&amp;"|"&amp;$D276&amp;"|"&amp;W$14&amp;"|"&amp;"CY2023Q3",Spectrum!$R:$R,0)),""))</f>
        <v>1112</v>
      </c>
      <c r="X276" s="39" t="n">
        <f aca="false">IF(LEFT($B276,4)="_Mil","",_xlfn.IFNA(ROUND(INDEX(Spectrum!$N:$N,MATCH(RIGHT($B276,13)&amp;"|"&amp;$C276&amp;"|"&amp;$D276&amp;"|"&amp;X$14&amp;"|"&amp;"CY2023Q3",Spectrum!$R:$R,0)),0),""))</f>
        <v>1972</v>
      </c>
      <c r="Y276" s="88" t="str">
        <f aca="false">IF(OR(SUM($U276)=0,LEFT($B276,4)="_Mil"),"",SUM($X276)/$U276)</f>
        <v/>
      </c>
      <c r="Z276" s="39" t="n">
        <f aca="false">IF(LEFT($B276,4)="_Mil","",_xlfn.IFNA(ROUND(INDEX(Spectrum!$N:$N,MATCH(RIGHT($B276,13)&amp;"|"&amp;$C276&amp;"|"&amp;$D276&amp;"|"&amp;Z$14&amp;"|"&amp;"CY2023Q3",Spectrum!$R:$R,0)),0),""))</f>
        <v>1916</v>
      </c>
      <c r="AA276" s="88" t="n">
        <f aca="false">IF(LEFT($B276,4)="_Mil","",IFERROR(1/(1/INDEX(Spectrum!$N:$N,MATCH(RIGHT($B276,13)&amp;"|"&amp;$C276&amp;"|"&amp;$D276&amp;"|"&amp;AA$14&amp;"|"&amp;"CY2023Q3",Spectrum!$R:$R,0))),IF(SUM($U276)=0,"",SUM($Z276)/$U276)))</f>
        <v>1897</v>
      </c>
      <c r="AB276" s="88" t="n">
        <f aca="false">IF(OR(LEFT($B276,4)="_Mil",SUM($X276)=0),"",SUM($Z276)/$X276)</f>
        <v>0.971602434077079</v>
      </c>
      <c r="AC276" s="10" t="n">
        <f aca="false">IF(LEFT($B276,4)="_Mil","",_xlfn.IFNA(ROUND(INDEX(Spectrum!$N:$N,MATCH(RIGHT($B276,13)&amp;"|"&amp;$C276&amp;"|"&amp;$D276&amp;"|"&amp;AC$14&amp;"|"&amp;"CY2023Q3",Spectrum!$R:$R,0)),0),""))</f>
        <v>1218</v>
      </c>
      <c r="AD276" s="10" t="str">
        <f aca="false">IF(LEFT($B276,4)="_Mil","",_xlfn.IFNA(ROUND(INDEX(Spectrum!$N:$N,MATCH(RIGHT($B276,13)&amp;"|"&amp;$C276&amp;"|"&amp;$D276&amp;"|"&amp;AD$14&amp;"|"&amp;"CY2023Q3",Spectrum!$R:$R,0)),0),""))</f>
        <v/>
      </c>
      <c r="AE276" s="88" t="n">
        <f aca="false">IF(OR(LEFT($B276,4)="_Mil",SUM($Z276)=0),"",SUM($AD276)/$Z276)</f>
        <v>0</v>
      </c>
      <c r="AF276" s="39" t="str">
        <f aca="false">IF(LEFT($B276,4)="_Mil","",_xlfn.IFNA(ROUND(INDEX(Spectrum!$N:$N,MATCH(RIGHT($B276,13)&amp;"|"&amp;$C276&amp;"|"&amp;$D276&amp;"|"&amp;AF$14&amp;"|"&amp;"CY2023Q3",Spectrum!$R:$R,0)),0),""))</f>
        <v/>
      </c>
      <c r="AG276" s="88" t="str">
        <f aca="false">IF(OR(LEFT($B276,4)="_Mil",SUM($AD276)=0),"",SUM($AF276)/$AD276)</f>
        <v/>
      </c>
      <c r="AH276" s="86" t="str">
        <f aca="false">IF(LEFT($B276,4)="_Mil","",_xlfn.IFNA(INDEX(Spectrum!$N:$N,MATCH(RIGHT($B276,13)&amp;"|"&amp;$C276&amp;"|"&amp;$D276&amp;"|"&amp;AH$14&amp;"|"&amp;"CY2023Q3",Spectrum!$R:$R,0)),""))</f>
        <v/>
      </c>
      <c r="AI276" s="10" t="str">
        <f aca="false">IF(LEFT($B276,4)="_Mil","",_xlfn.IFNA(ROUND(INDEX(Spectrum!$N:$N,MATCH(RIGHT($B276,13)&amp;"|"&amp;$C276&amp;"|"&amp;$D276&amp;"|"&amp;AI$14&amp;"|"&amp;"CY2023Q3",Spectrum!$R:$R,0)),0),""))</f>
        <v/>
      </c>
      <c r="AJ276" s="39" t="n">
        <f aca="false">IF(LEFT($B276,4)="_Mil","",_xlfn.IFNA(ROUND(INDEX(Spectrum!$N:$N,MATCH(RIGHT($B276,13)&amp;"|"&amp;$C276&amp;"|"&amp;$D276&amp;"|"&amp;AI$14&amp;"|"&amp;"CY2023Q3",Spectrum!$R:$R,0)),0),SUM($U276)+SUM($AI276)))</f>
        <v>0</v>
      </c>
      <c r="AK276" s="10" t="str">
        <f aca="false">IF(LEFT($B276,4)="_Mil","",_xlfn.IFNA(ROUND(INDEX(Spectrum!$N:$N,MATCH(RIGHT($B276,13)&amp;"|"&amp;$C276&amp;"|"&amp;$D276&amp;"|"&amp;AK$14&amp;"|"&amp;"CY2023Q3",Spectrum!$R:$R,0)),0),""))</f>
        <v/>
      </c>
      <c r="AL276" s="88" t="n">
        <f aca="false">IF(OR(LEFT($B276,4)="_Mil",$C276="&lt;01"),"",MAX(SUM($AA276),90%))</f>
        <v>1897</v>
      </c>
      <c r="AM276" s="10" t="n">
        <f aca="false">IF(OR(LEFT($B276,4)="_Mil",$C276="&lt;01"),"",ROUND(SUM($AJ276)*SUM($AL276),0))</f>
        <v>0</v>
      </c>
      <c r="AN276" s="10" t="str">
        <f aca="false">IF($C276="&lt;01",ROUND(INDEX(EID!$P:$P,MATCH($B276,EID!$B:$B,0))/2,0),"")</f>
        <v/>
      </c>
      <c r="AO276" s="10" t="n">
        <f aca="false">IF($C276="&lt;01",SUM($AN276),ROUND(SUM($AM276)*SUM($O276)/IF(SUM($Z276)=0,1,$Z276),0))</f>
        <v>0</v>
      </c>
      <c r="AP276" s="39" t="n">
        <f aca="false">IF(OR($F276="",$C276="&lt;01"),$AO276,$F276)</f>
        <v>0</v>
      </c>
      <c r="AQ276" s="39" t="n">
        <f aca="false">IF(LEFT($B276,4)="_Mil","",IF(SUM($AP276)=0,SUM($Z276),IF(OR(SUM($Z276)=0,SUM($O276)=0),MAX($AP276,$Z276),$AP276*$Z276/$O276)))</f>
        <v>1916</v>
      </c>
      <c r="AR276" s="88" t="str">
        <f aca="false">IF(OR(LEFT($B276,4)="_Mil",SUM($AJ276)=0),"",SUM($AQ276)/$AJ276)</f>
        <v/>
      </c>
      <c r="AS276" s="88" t="n">
        <f aca="false">IF($C276="&lt;01","",98%)</f>
        <v>0.98</v>
      </c>
      <c r="AT276" s="88" t="n">
        <f aca="false">IF($C276="&lt;01","",98%)</f>
        <v>0.98</v>
      </c>
      <c r="AU276" s="10" t="n">
        <f aca="false">IF($C276="&lt;01","",SUM($AP276)-SUM($O276))</f>
        <v>0</v>
      </c>
      <c r="AV276" s="10" t="n">
        <f aca="false">IF($C276="&lt;01",ROUND(INDEX(EID!$N:$N,MATCH($B276,EID!$B:$B,0))/2,0),IF(SUM($AT276)=0,"",ROUND((SUM($AP276)-(SUM($O276)*SUM($AS276)))/$AT276,0)))</f>
        <v>0</v>
      </c>
      <c r="AW276" s="88" t="n">
        <f aca="false">IF($C276="&lt;01","",100%)</f>
        <v>1</v>
      </c>
      <c r="AX276" s="39" t="n">
        <f aca="false">IF($C276="&lt;01",SUM($AV276),ROUND(SUM($AV276)*SUM($AW276),0))</f>
        <v>0</v>
      </c>
      <c r="AY276" s="114" t="n">
        <f aca="false">IF($C276="&lt;01","",70%)</f>
        <v>0.7</v>
      </c>
      <c r="AZ276" s="91" t="n">
        <f aca="false">IF($C276="&lt;01",ROUND(INDEX(EID!$R:$R,MATCH($B276,EID!$B:$B,0))/2,0),ROUND(SUM($O276)+(SUM($AV276)*$AY276),0))</f>
        <v>0</v>
      </c>
      <c r="BA276" s="87" t="n">
        <f aca="false">IF($C276="&lt;01","",95%)</f>
        <v>0.95</v>
      </c>
      <c r="BB276" s="5" t="n">
        <f aca="false">IF($C276="&lt;01",ROUND(INDEX(EID!$T:$T,MATCH($B276,EID!$B:$B,0))/2,0),ROUND($AZ276*$BA276,0))</f>
        <v>0</v>
      </c>
      <c r="BC276" s="91" t="n">
        <f aca="false">IF(LEFT($B276,4)="_Mil","",IF(SUM($BB276)=0,SUM($AD276),IF(OR(SUM($AP276)=0,SUM($AQ276)=0),MAX($BB276,$AD276),ROUND($BB276*$AQ276/$AP276,0))))</f>
        <v>0</v>
      </c>
      <c r="BD276" s="88" t="n">
        <f aca="false">IF($C276="&lt;01","",95%)</f>
        <v>0.95</v>
      </c>
      <c r="BE276" s="39" t="n">
        <f aca="false">IF($C276="&lt;01",ROUND(INDEX(EID!$V:$V,MATCH($B276,EID!$B:$B,0))/2,0),ROUND($BD276*$BB276,0))</f>
        <v>0</v>
      </c>
      <c r="BF276" s="39" t="n">
        <f aca="false">IF(LEFT($B276,4)="_Mil","",IF(SUM($BE276)=0,SUM($AF276),IF(OR(SUM($AP276)=0,SUM($AQ276)=0),MAX($BE276,$AF276),ROUND($BE276*$AQ276/$AP276,0))))</f>
        <v>0</v>
      </c>
      <c r="BG276" s="114" t="n">
        <f aca="false">IF($C276="&lt;01","",95%)</f>
        <v>0.95</v>
      </c>
      <c r="BH276" s="5" t="n">
        <f aca="false">IF($C276="&lt;01",ROUND(INDEX(EID!$L:$L,MATCH($B276,EID!$B:$B,0)),0)/2,IF(SUM($BG276)=0,"",ROUND($AX276/$BG276,0)))</f>
        <v>0</v>
      </c>
    </row>
    <row r="277" customFormat="false" ht="15" hidden="false" customHeight="false" outlineLevel="0" collapsed="false">
      <c r="A277" s="0" t="str">
        <f aca="false">INDEX(Prioritization!$D:$D,MATCH($B277,Prioritization!$A:$A,0))</f>
        <v>1 - Scale-up: Saturation</v>
      </c>
      <c r="B277" s="0" t="s">
        <v>212</v>
      </c>
      <c r="C277" s="0" t="s">
        <v>367</v>
      </c>
      <c r="D277" s="0" t="s">
        <v>30</v>
      </c>
      <c r="E277" s="0" t="str">
        <f aca="false">$B277&amp;"|"&amp;$C277&amp;"|"&amp;$D277</f>
        <v>Chikwawa District [U8c0so51kT6]|35-49|Female</v>
      </c>
      <c r="F277" s="10"/>
      <c r="G277" s="10"/>
      <c r="H277" s="10"/>
      <c r="I277" s="10"/>
      <c r="J277" s="10"/>
      <c r="K277" s="10"/>
      <c r="L277" s="10"/>
      <c r="M277" s="10"/>
      <c r="N277" s="10"/>
      <c r="O277" s="10" t="str">
        <f aca="false">IFERROR(1/(1/MAX($I277,$N277)),"")</f>
        <v/>
      </c>
      <c r="P277" s="10"/>
      <c r="Q277" s="10"/>
      <c r="R277" s="10" t="str">
        <f aca="false">IF(AND(SUM($I277)=0,SUM($O277)=0),"",SUM($O277)-$I277)</f>
        <v/>
      </c>
      <c r="S277" s="10" t="n">
        <f aca="false">IF(LEFT($B277,4)="_Mil","",_xlfn.IFNA(ROUND(INDEX(Spectrum!$N:$N,MATCH(RIGHT($B277,13)&amp;"|"&amp;$C277&amp;"|"&amp;$D277&amp;"|"&amp;S$14&amp;"|"&amp;"CY2022Q4",Spectrum!$R:$R,0)),0),""))</f>
        <v>1309</v>
      </c>
      <c r="T277" s="39" t="n">
        <f aca="false">IF(LEFT($B277,4)="_Mil","",_xlfn.IFNA(ROUND(INDEX(Spectrum!$N:$N,MATCH(RIGHT($B277,13)&amp;"|"&amp;$C277&amp;"|"&amp;$D277&amp;"|"&amp;T$14&amp;"|"&amp;"CY2023Q3",Spectrum!$R:$R,0)),0),""))</f>
        <v>1445</v>
      </c>
      <c r="U277" s="39" t="str">
        <f aca="false">IF(LEFT($B277,4)="_Mil","",_xlfn.IFNA(ROUND(INDEX(Spectrum!$N:$N,MATCH(RIGHT($B277,13)&amp;"|"&amp;$C277&amp;"|"&amp;$D277&amp;"|"&amp;U$14&amp;"|"&amp;"CY2023Q3",Spectrum!$R:$R,0)),0),""))</f>
        <v/>
      </c>
      <c r="V277" s="10" t="n">
        <f aca="false">IF(LEFT($B277,4)="_Mil","",_xlfn.IFNA(ROUND(INDEX(Spectrum!$N:$N,MATCH(RIGHT($B277,13)&amp;"|"&amp;$C277&amp;"|"&amp;$D277&amp;"|"&amp;V$14&amp;"|"&amp;"CY2023Q3",Spectrum!$R:$R,0)),0),""))</f>
        <v>1257</v>
      </c>
      <c r="W277" s="113" t="n">
        <f aca="false">IF(LEFT($B277,4)="_Mil","",_xlfn.IFNA(INDEX(Spectrum!$N:$N,MATCH(RIGHT($B277,13)&amp;"|"&amp;$C277&amp;"|"&amp;$D277&amp;"|"&amp;W$14&amp;"|"&amp;"CY2023Q3",Spectrum!$R:$R,0)),""))</f>
        <v>1441</v>
      </c>
      <c r="X277" s="39" t="n">
        <f aca="false">IF(LEFT($B277,4)="_Mil","",_xlfn.IFNA(ROUND(INDEX(Spectrum!$N:$N,MATCH(RIGHT($B277,13)&amp;"|"&amp;$C277&amp;"|"&amp;$D277&amp;"|"&amp;X$14&amp;"|"&amp;"CY2023Q3",Spectrum!$R:$R,0)),0),""))</f>
        <v>1518</v>
      </c>
      <c r="Y277" s="88" t="str">
        <f aca="false">IF(OR(SUM($U277)=0,LEFT($B277,4)="_Mil"),"",SUM($X277)/$U277)</f>
        <v/>
      </c>
      <c r="Z277" s="39" t="n">
        <f aca="false">IF(LEFT($B277,4)="_Mil","",_xlfn.IFNA(ROUND(INDEX(Spectrum!$N:$N,MATCH(RIGHT($B277,13)&amp;"|"&amp;$C277&amp;"|"&amp;$D277&amp;"|"&amp;Z$14&amp;"|"&amp;"CY2023Q3",Spectrum!$R:$R,0)),0),""))</f>
        <v>1414</v>
      </c>
      <c r="AA277" s="88" t="n">
        <f aca="false">IF(LEFT($B277,4)="_Mil","",IFERROR(1/(1/INDEX(Spectrum!$N:$N,MATCH(RIGHT($B277,13)&amp;"|"&amp;$C277&amp;"|"&amp;$D277&amp;"|"&amp;AA$14&amp;"|"&amp;"CY2023Q3",Spectrum!$R:$R,0))),IF(SUM($U277)=0,"",SUM($Z277)/$U277)))</f>
        <v>1024</v>
      </c>
      <c r="AB277" s="88" t="n">
        <f aca="false">IF(OR(LEFT($B277,4)="_Mil",SUM($X277)=0),"",SUM($Z277)/$X277)</f>
        <v>0.931488801054018</v>
      </c>
      <c r="AC277" s="10" t="n">
        <f aca="false">IF(LEFT($B277,4)="_Mil","",_xlfn.IFNA(ROUND(INDEX(Spectrum!$N:$N,MATCH(RIGHT($B277,13)&amp;"|"&amp;$C277&amp;"|"&amp;$D277&amp;"|"&amp;AC$14&amp;"|"&amp;"CY2023Q3",Spectrum!$R:$R,0)),0),""))</f>
        <v>725</v>
      </c>
      <c r="AD277" s="10" t="str">
        <f aca="false">IF(LEFT($B277,4)="_Mil","",_xlfn.IFNA(ROUND(INDEX(Spectrum!$N:$N,MATCH(RIGHT($B277,13)&amp;"|"&amp;$C277&amp;"|"&amp;$D277&amp;"|"&amp;AD$14&amp;"|"&amp;"CY2023Q3",Spectrum!$R:$R,0)),0),""))</f>
        <v/>
      </c>
      <c r="AE277" s="88" t="n">
        <f aca="false">IF(OR(LEFT($B277,4)="_Mil",SUM($Z277)=0),"",SUM($AD277)/$Z277)</f>
        <v>0</v>
      </c>
      <c r="AF277" s="39" t="str">
        <f aca="false">IF(LEFT($B277,4)="_Mil","",_xlfn.IFNA(ROUND(INDEX(Spectrum!$N:$N,MATCH(RIGHT($B277,13)&amp;"|"&amp;$C277&amp;"|"&amp;$D277&amp;"|"&amp;AF$14&amp;"|"&amp;"CY2023Q3",Spectrum!$R:$R,0)),0),""))</f>
        <v/>
      </c>
      <c r="AG277" s="88" t="str">
        <f aca="false">IF(OR(LEFT($B277,4)="_Mil",SUM($AD277)=0),"",SUM($AF277)/$AD277)</f>
        <v/>
      </c>
      <c r="AH277" s="86" t="str">
        <f aca="false">IF(LEFT($B277,4)="_Mil","",_xlfn.IFNA(INDEX(Spectrum!$N:$N,MATCH(RIGHT($B277,13)&amp;"|"&amp;$C277&amp;"|"&amp;$D277&amp;"|"&amp;AH$14&amp;"|"&amp;"CY2023Q3",Spectrum!$R:$R,0)),""))</f>
        <v/>
      </c>
      <c r="AI277" s="10" t="str">
        <f aca="false">IF(LEFT($B277,4)="_Mil","",_xlfn.IFNA(ROUND(INDEX(Spectrum!$N:$N,MATCH(RIGHT($B277,13)&amp;"|"&amp;$C277&amp;"|"&amp;$D277&amp;"|"&amp;AI$14&amp;"|"&amp;"CY2023Q3",Spectrum!$R:$R,0)),0),""))</f>
        <v/>
      </c>
      <c r="AJ277" s="39" t="n">
        <f aca="false">IF(LEFT($B277,4)="_Mil","",_xlfn.IFNA(ROUND(INDEX(Spectrum!$N:$N,MATCH(RIGHT($B277,13)&amp;"|"&amp;$C277&amp;"|"&amp;$D277&amp;"|"&amp;AI$14&amp;"|"&amp;"CY2023Q3",Spectrum!$R:$R,0)),0),SUM($U277)+SUM($AI277)))</f>
        <v>0</v>
      </c>
      <c r="AK277" s="10" t="str">
        <f aca="false">IF(LEFT($B277,4)="_Mil","",_xlfn.IFNA(ROUND(INDEX(Spectrum!$N:$N,MATCH(RIGHT($B277,13)&amp;"|"&amp;$C277&amp;"|"&amp;$D277&amp;"|"&amp;AK$14&amp;"|"&amp;"CY2023Q3",Spectrum!$R:$R,0)),0),""))</f>
        <v/>
      </c>
      <c r="AL277" s="88" t="n">
        <f aca="false">IF(OR(LEFT($B277,4)="_Mil",$C277="&lt;01"),"",MAX(SUM($AA277),90%))</f>
        <v>1024</v>
      </c>
      <c r="AM277" s="10" t="n">
        <f aca="false">IF(OR(LEFT($B277,4)="_Mil",$C277="&lt;01"),"",ROUND(SUM($AJ277)*SUM($AL277),0))</f>
        <v>0</v>
      </c>
      <c r="AN277" s="10" t="str">
        <f aca="false">IF($C277="&lt;01",ROUND(INDEX(EID!$P:$P,MATCH($B277,EID!$B:$B,0))/2,0),"")</f>
        <v/>
      </c>
      <c r="AO277" s="10" t="n">
        <f aca="false">IF($C277="&lt;01",SUM($AN277),ROUND(SUM($AM277)*SUM($O277)/IF(SUM($Z277)=0,1,$Z277),0))</f>
        <v>0</v>
      </c>
      <c r="AP277" s="39" t="n">
        <f aca="false">IF(OR($F277="",$C277="&lt;01"),$AO277,$F277)</f>
        <v>0</v>
      </c>
      <c r="AQ277" s="39" t="n">
        <f aca="false">IF(LEFT($B277,4)="_Mil","",IF(SUM($AP277)=0,SUM($Z277),IF(OR(SUM($Z277)=0,SUM($O277)=0),MAX($AP277,$Z277),$AP277*$Z277/$O277)))</f>
        <v>1414</v>
      </c>
      <c r="AR277" s="88" t="str">
        <f aca="false">IF(OR(LEFT($B277,4)="_Mil",SUM($AJ277)=0),"",SUM($AQ277)/$AJ277)</f>
        <v/>
      </c>
      <c r="AS277" s="88" t="n">
        <f aca="false">IF($C277="&lt;01","",98%)</f>
        <v>0.98</v>
      </c>
      <c r="AT277" s="88" t="n">
        <f aca="false">IF($C277="&lt;01","",98%)</f>
        <v>0.98</v>
      </c>
      <c r="AU277" s="10" t="n">
        <f aca="false">IF($C277="&lt;01","",SUM($AP277)-SUM($O277))</f>
        <v>0</v>
      </c>
      <c r="AV277" s="10" t="n">
        <f aca="false">IF($C277="&lt;01",ROUND(INDEX(EID!$N:$N,MATCH($B277,EID!$B:$B,0))/2,0),IF(SUM($AT277)=0,"",ROUND((SUM($AP277)-(SUM($O277)*SUM($AS277)))/$AT277,0)))</f>
        <v>0</v>
      </c>
      <c r="AW277" s="88" t="n">
        <f aca="false">IF($C277="&lt;01","",100%)</f>
        <v>1</v>
      </c>
      <c r="AX277" s="39" t="n">
        <f aca="false">IF($C277="&lt;01",SUM($AV277),ROUND(SUM($AV277)*SUM($AW277),0))</f>
        <v>0</v>
      </c>
      <c r="AY277" s="114" t="n">
        <f aca="false">IF($C277="&lt;01","",70%)</f>
        <v>0.7</v>
      </c>
      <c r="AZ277" s="91" t="n">
        <f aca="false">IF($C277="&lt;01",ROUND(INDEX(EID!$R:$R,MATCH($B277,EID!$B:$B,0))/2,0),ROUND(SUM($O277)+(SUM($AV277)*$AY277),0))</f>
        <v>0</v>
      </c>
      <c r="BA277" s="87" t="n">
        <f aca="false">IF($C277="&lt;01","",95%)</f>
        <v>0.95</v>
      </c>
      <c r="BB277" s="5" t="n">
        <f aca="false">IF($C277="&lt;01",ROUND(INDEX(EID!$T:$T,MATCH($B277,EID!$B:$B,0))/2,0),ROUND($AZ277*$BA277,0))</f>
        <v>0</v>
      </c>
      <c r="BC277" s="91" t="n">
        <f aca="false">IF(LEFT($B277,4)="_Mil","",IF(SUM($BB277)=0,SUM($AD277),IF(OR(SUM($AP277)=0,SUM($AQ277)=0),MAX($BB277,$AD277),ROUND($BB277*$AQ277/$AP277,0))))</f>
        <v>0</v>
      </c>
      <c r="BD277" s="88" t="n">
        <f aca="false">IF($C277="&lt;01","",95%)</f>
        <v>0.95</v>
      </c>
      <c r="BE277" s="39" t="n">
        <f aca="false">IF($C277="&lt;01",ROUND(INDEX(EID!$V:$V,MATCH($B277,EID!$B:$B,0))/2,0),ROUND($BD277*$BB277,0))</f>
        <v>0</v>
      </c>
      <c r="BF277" s="39" t="n">
        <f aca="false">IF(LEFT($B277,4)="_Mil","",IF(SUM($BE277)=0,SUM($AF277),IF(OR(SUM($AP277)=0,SUM($AQ277)=0),MAX($BE277,$AF277),ROUND($BE277*$AQ277/$AP277,0))))</f>
        <v>0</v>
      </c>
      <c r="BG277" s="114" t="n">
        <f aca="false">IF($C277="&lt;01","",95%)</f>
        <v>0.95</v>
      </c>
      <c r="BH277" s="5" t="n">
        <f aca="false">IF($C277="&lt;01",ROUND(INDEX(EID!$L:$L,MATCH($B277,EID!$B:$B,0)),0)/2,IF(SUM($BG277)=0,"",ROUND($AX277/$BG277,0)))</f>
        <v>0</v>
      </c>
    </row>
    <row r="278" customFormat="false" ht="15" hidden="false" customHeight="false" outlineLevel="0" collapsed="false">
      <c r="A278" s="0" t="str">
        <f aca="false">INDEX(Prioritization!$D:$D,MATCH($B278,Prioritization!$A:$A,0))</f>
        <v>1 - Scale-up: Saturation</v>
      </c>
      <c r="B278" s="0" t="s">
        <v>212</v>
      </c>
      <c r="C278" s="0" t="s">
        <v>367</v>
      </c>
      <c r="D278" s="0" t="s">
        <v>48</v>
      </c>
      <c r="E278" s="0" t="str">
        <f aca="false">$B278&amp;"|"&amp;$C278&amp;"|"&amp;$D278</f>
        <v>Chikwawa District [U8c0so51kT6]|35-49|Male</v>
      </c>
      <c r="F278" s="10"/>
      <c r="G278" s="10"/>
      <c r="H278" s="10"/>
      <c r="I278" s="10"/>
      <c r="J278" s="10"/>
      <c r="K278" s="10"/>
      <c r="L278" s="10"/>
      <c r="M278" s="10"/>
      <c r="N278" s="10"/>
      <c r="O278" s="10" t="str">
        <f aca="false">IFERROR(1/(1/MAX($I278,$N278)),"")</f>
        <v/>
      </c>
      <c r="P278" s="10"/>
      <c r="Q278" s="10"/>
      <c r="R278" s="10" t="str">
        <f aca="false">IF(AND(SUM($I278)=0,SUM($O278)=0),"",SUM($O278)-$I278)</f>
        <v/>
      </c>
      <c r="S278" s="10" t="n">
        <f aca="false">IF(LEFT($B278,4)="_Mil","",_xlfn.IFNA(ROUND(INDEX(Spectrum!$N:$N,MATCH(RIGHT($B278,13)&amp;"|"&amp;$C278&amp;"|"&amp;$D278&amp;"|"&amp;S$14&amp;"|"&amp;"CY2022Q4",Spectrum!$R:$R,0)),0),""))</f>
        <v>1707</v>
      </c>
      <c r="T278" s="39" t="n">
        <f aca="false">IF(LEFT($B278,4)="_Mil","",_xlfn.IFNA(ROUND(INDEX(Spectrum!$N:$N,MATCH(RIGHT($B278,13)&amp;"|"&amp;$C278&amp;"|"&amp;$D278&amp;"|"&amp;T$14&amp;"|"&amp;"CY2023Q3",Spectrum!$R:$R,0)),0),""))</f>
        <v>1906</v>
      </c>
      <c r="U278" s="39" t="str">
        <f aca="false">IF(LEFT($B278,4)="_Mil","",_xlfn.IFNA(ROUND(INDEX(Spectrum!$N:$N,MATCH(RIGHT($B278,13)&amp;"|"&amp;$C278&amp;"|"&amp;$D278&amp;"|"&amp;U$14&amp;"|"&amp;"CY2023Q3",Spectrum!$R:$R,0)),0),""))</f>
        <v/>
      </c>
      <c r="V278" s="10" t="n">
        <f aca="false">IF(LEFT($B278,4)="_Mil","",_xlfn.IFNA(ROUND(INDEX(Spectrum!$N:$N,MATCH(RIGHT($B278,13)&amp;"|"&amp;$C278&amp;"|"&amp;$D278&amp;"|"&amp;V$14&amp;"|"&amp;"CY2023Q3",Spectrum!$R:$R,0)),0),""))</f>
        <v>1401</v>
      </c>
      <c r="W278" s="113" t="n">
        <f aca="false">IF(LEFT($B278,4)="_Mil","",_xlfn.IFNA(INDEX(Spectrum!$N:$N,MATCH(RIGHT($B278,13)&amp;"|"&amp;$C278&amp;"|"&amp;$D278&amp;"|"&amp;W$14&amp;"|"&amp;"CY2023Q3",Spectrum!$R:$R,0)),""))</f>
        <v>1035</v>
      </c>
      <c r="X278" s="39" t="n">
        <f aca="false">IF(LEFT($B278,4)="_Mil","",_xlfn.IFNA(ROUND(INDEX(Spectrum!$N:$N,MATCH(RIGHT($B278,13)&amp;"|"&amp;$C278&amp;"|"&amp;$D278&amp;"|"&amp;X$14&amp;"|"&amp;"CY2023Q3",Spectrum!$R:$R,0)),0),""))</f>
        <v>1868</v>
      </c>
      <c r="Y278" s="88" t="str">
        <f aca="false">IF(OR(SUM($U278)=0,LEFT($B278,4)="_Mil"),"",SUM($X278)/$U278)</f>
        <v/>
      </c>
      <c r="Z278" s="39" t="n">
        <f aca="false">IF(LEFT($B278,4)="_Mil","",_xlfn.IFNA(ROUND(INDEX(Spectrum!$N:$N,MATCH(RIGHT($B278,13)&amp;"|"&amp;$C278&amp;"|"&amp;$D278&amp;"|"&amp;Z$14&amp;"|"&amp;"CY2023Q3",Spectrum!$R:$R,0)),0),""))</f>
        <v>629</v>
      </c>
      <c r="AA278" s="88" t="n">
        <f aca="false">IF(LEFT($B278,4)="_Mil","",IFERROR(1/(1/INDEX(Spectrum!$N:$N,MATCH(RIGHT($B278,13)&amp;"|"&amp;$C278&amp;"|"&amp;$D278&amp;"|"&amp;AA$14&amp;"|"&amp;"CY2023Q3",Spectrum!$R:$R,0))),IF(SUM($U278)=0,"",SUM($Z278)/$U278)))</f>
        <v>506</v>
      </c>
      <c r="AB278" s="88" t="n">
        <f aca="false">IF(OR(LEFT($B278,4)="_Mil",SUM($X278)=0),"",SUM($Z278)/$X278)</f>
        <v>0.336723768736617</v>
      </c>
      <c r="AC278" s="10" t="n">
        <f aca="false">IF(LEFT($B278,4)="_Mil","",_xlfn.IFNA(ROUND(INDEX(Spectrum!$N:$N,MATCH(RIGHT($B278,13)&amp;"|"&amp;$C278&amp;"|"&amp;$D278&amp;"|"&amp;AC$14&amp;"|"&amp;"CY2023Q3",Spectrum!$R:$R,0)),0),""))</f>
        <v>797</v>
      </c>
      <c r="AD278" s="10" t="str">
        <f aca="false">IF(LEFT($B278,4)="_Mil","",_xlfn.IFNA(ROUND(INDEX(Spectrum!$N:$N,MATCH(RIGHT($B278,13)&amp;"|"&amp;$C278&amp;"|"&amp;$D278&amp;"|"&amp;AD$14&amp;"|"&amp;"CY2023Q3",Spectrum!$R:$R,0)),0),""))</f>
        <v/>
      </c>
      <c r="AE278" s="88" t="n">
        <f aca="false">IF(OR(LEFT($B278,4)="_Mil",SUM($Z278)=0),"",SUM($AD278)/$Z278)</f>
        <v>0</v>
      </c>
      <c r="AF278" s="39" t="str">
        <f aca="false">IF(LEFT($B278,4)="_Mil","",_xlfn.IFNA(ROUND(INDEX(Spectrum!$N:$N,MATCH(RIGHT($B278,13)&amp;"|"&amp;$C278&amp;"|"&amp;$D278&amp;"|"&amp;AF$14&amp;"|"&amp;"CY2023Q3",Spectrum!$R:$R,0)),0),""))</f>
        <v/>
      </c>
      <c r="AG278" s="88" t="str">
        <f aca="false">IF(OR(LEFT($B278,4)="_Mil",SUM($AD278)=0),"",SUM($AF278)/$AD278)</f>
        <v/>
      </c>
      <c r="AH278" s="86" t="str">
        <f aca="false">IF(LEFT($B278,4)="_Mil","",_xlfn.IFNA(INDEX(Spectrum!$N:$N,MATCH(RIGHT($B278,13)&amp;"|"&amp;$C278&amp;"|"&amp;$D278&amp;"|"&amp;AH$14&amp;"|"&amp;"CY2023Q3",Spectrum!$R:$R,0)),""))</f>
        <v/>
      </c>
      <c r="AI278" s="10" t="str">
        <f aca="false">IF(LEFT($B278,4)="_Mil","",_xlfn.IFNA(ROUND(INDEX(Spectrum!$N:$N,MATCH(RIGHT($B278,13)&amp;"|"&amp;$C278&amp;"|"&amp;$D278&amp;"|"&amp;AI$14&amp;"|"&amp;"CY2023Q3",Spectrum!$R:$R,0)),0),""))</f>
        <v/>
      </c>
      <c r="AJ278" s="39" t="n">
        <f aca="false">IF(LEFT($B278,4)="_Mil","",_xlfn.IFNA(ROUND(INDEX(Spectrum!$N:$N,MATCH(RIGHT($B278,13)&amp;"|"&amp;$C278&amp;"|"&amp;$D278&amp;"|"&amp;AI$14&amp;"|"&amp;"CY2023Q3",Spectrum!$R:$R,0)),0),SUM($U278)+SUM($AI278)))</f>
        <v>0</v>
      </c>
      <c r="AK278" s="10" t="str">
        <f aca="false">IF(LEFT($B278,4)="_Mil","",_xlfn.IFNA(ROUND(INDEX(Spectrum!$N:$N,MATCH(RIGHT($B278,13)&amp;"|"&amp;$C278&amp;"|"&amp;$D278&amp;"|"&amp;AK$14&amp;"|"&amp;"CY2023Q3",Spectrum!$R:$R,0)),0),""))</f>
        <v/>
      </c>
      <c r="AL278" s="88" t="n">
        <f aca="false">IF(OR(LEFT($B278,4)="_Mil",$C278="&lt;01"),"",MAX(SUM($AA278),90%))</f>
        <v>506</v>
      </c>
      <c r="AM278" s="10" t="n">
        <f aca="false">IF(OR(LEFT($B278,4)="_Mil",$C278="&lt;01"),"",ROUND(SUM($AJ278)*SUM($AL278),0))</f>
        <v>0</v>
      </c>
      <c r="AN278" s="10" t="str">
        <f aca="false">IF($C278="&lt;01",ROUND(INDEX(EID!$P:$P,MATCH($B278,EID!$B:$B,0))/2,0),"")</f>
        <v/>
      </c>
      <c r="AO278" s="10" t="n">
        <f aca="false">IF($C278="&lt;01",SUM($AN278),ROUND(SUM($AM278)*SUM($O278)/IF(SUM($Z278)=0,1,$Z278),0))</f>
        <v>0</v>
      </c>
      <c r="AP278" s="39" t="n">
        <f aca="false">IF(OR($F278="",$C278="&lt;01"),$AO278,$F278)</f>
        <v>0</v>
      </c>
      <c r="AQ278" s="39" t="n">
        <f aca="false">IF(LEFT($B278,4)="_Mil","",IF(SUM($AP278)=0,SUM($Z278),IF(OR(SUM($Z278)=0,SUM($O278)=0),MAX($AP278,$Z278),$AP278*$Z278/$O278)))</f>
        <v>629</v>
      </c>
      <c r="AR278" s="88" t="str">
        <f aca="false">IF(OR(LEFT($B278,4)="_Mil",SUM($AJ278)=0),"",SUM($AQ278)/$AJ278)</f>
        <v/>
      </c>
      <c r="AS278" s="88" t="n">
        <f aca="false">IF($C278="&lt;01","",98%)</f>
        <v>0.98</v>
      </c>
      <c r="AT278" s="88" t="n">
        <f aca="false">IF($C278="&lt;01","",98%)</f>
        <v>0.98</v>
      </c>
      <c r="AU278" s="10" t="n">
        <f aca="false">IF($C278="&lt;01","",SUM($AP278)-SUM($O278))</f>
        <v>0</v>
      </c>
      <c r="AV278" s="10" t="n">
        <f aca="false">IF($C278="&lt;01",ROUND(INDEX(EID!$N:$N,MATCH($B278,EID!$B:$B,0))/2,0),IF(SUM($AT278)=0,"",ROUND((SUM($AP278)-(SUM($O278)*SUM($AS278)))/$AT278,0)))</f>
        <v>0</v>
      </c>
      <c r="AW278" s="88" t="n">
        <f aca="false">IF($C278="&lt;01","",100%)</f>
        <v>1</v>
      </c>
      <c r="AX278" s="39" t="n">
        <f aca="false">IF($C278="&lt;01",SUM($AV278),ROUND(SUM($AV278)*SUM($AW278),0))</f>
        <v>0</v>
      </c>
      <c r="AY278" s="114" t="n">
        <f aca="false">IF($C278="&lt;01","",70%)</f>
        <v>0.7</v>
      </c>
      <c r="AZ278" s="91" t="n">
        <f aca="false">IF($C278="&lt;01",ROUND(INDEX(EID!$R:$R,MATCH($B278,EID!$B:$B,0))/2,0),ROUND(SUM($O278)+(SUM($AV278)*$AY278),0))</f>
        <v>0</v>
      </c>
      <c r="BA278" s="87" t="n">
        <f aca="false">IF($C278="&lt;01","",95%)</f>
        <v>0.95</v>
      </c>
      <c r="BB278" s="5" t="n">
        <f aca="false">IF($C278="&lt;01",ROUND(INDEX(EID!$T:$T,MATCH($B278,EID!$B:$B,0))/2,0),ROUND($AZ278*$BA278,0))</f>
        <v>0</v>
      </c>
      <c r="BC278" s="91" t="n">
        <f aca="false">IF(LEFT($B278,4)="_Mil","",IF(SUM($BB278)=0,SUM($AD278),IF(OR(SUM($AP278)=0,SUM($AQ278)=0),MAX($BB278,$AD278),ROUND($BB278*$AQ278/$AP278,0))))</f>
        <v>0</v>
      </c>
      <c r="BD278" s="88" t="n">
        <f aca="false">IF($C278="&lt;01","",95%)</f>
        <v>0.95</v>
      </c>
      <c r="BE278" s="39" t="n">
        <f aca="false">IF($C278="&lt;01",ROUND(INDEX(EID!$V:$V,MATCH($B278,EID!$B:$B,0))/2,0),ROUND($BD278*$BB278,0))</f>
        <v>0</v>
      </c>
      <c r="BF278" s="39" t="n">
        <f aca="false">IF(LEFT($B278,4)="_Mil","",IF(SUM($BE278)=0,SUM($AF278),IF(OR(SUM($AP278)=0,SUM($AQ278)=0),MAX($BE278,$AF278),ROUND($BE278*$AQ278/$AP278,0))))</f>
        <v>0</v>
      </c>
      <c r="BG278" s="114" t="n">
        <f aca="false">IF($C278="&lt;01","",95%)</f>
        <v>0.95</v>
      </c>
      <c r="BH278" s="5" t="n">
        <f aca="false">IF($C278="&lt;01",ROUND(INDEX(EID!$L:$L,MATCH($B278,EID!$B:$B,0)),0)/2,IF(SUM($BG278)=0,"",ROUND($AX278/$BG278,0)))</f>
        <v>0</v>
      </c>
    </row>
    <row r="279" customFormat="false" ht="15" hidden="false" customHeight="false" outlineLevel="0" collapsed="false">
      <c r="A279" s="0" t="str">
        <f aca="false">INDEX(Prioritization!$D:$D,MATCH($B279,Prioritization!$A:$A,0))</f>
        <v>1 - Scale-up: Saturation</v>
      </c>
      <c r="B279" s="0" t="s">
        <v>212</v>
      </c>
      <c r="C279" s="0" t="s">
        <v>368</v>
      </c>
      <c r="D279" s="0" t="s">
        <v>30</v>
      </c>
      <c r="E279" s="0" t="str">
        <f aca="false">$B279&amp;"|"&amp;$C279&amp;"|"&amp;$D279</f>
        <v>Chikwawa District [U8c0so51kT6]|50+|Female</v>
      </c>
      <c r="F279" s="10"/>
      <c r="G279" s="10"/>
      <c r="H279" s="10"/>
      <c r="I279" s="10"/>
      <c r="J279" s="10"/>
      <c r="K279" s="10"/>
      <c r="L279" s="10"/>
      <c r="M279" s="10"/>
      <c r="N279" s="10"/>
      <c r="O279" s="10" t="str">
        <f aca="false">IFERROR(1/(1/MAX($I279,$N279)),"")</f>
        <v/>
      </c>
      <c r="P279" s="10"/>
      <c r="Q279" s="10"/>
      <c r="R279" s="10" t="str">
        <f aca="false">IF(AND(SUM($I279)=0,SUM($O279)=0),"",SUM($O279)-$I279)</f>
        <v/>
      </c>
      <c r="S279" s="10" t="n">
        <f aca="false">IF(LEFT($B279,4)="_Mil","",_xlfn.IFNA(ROUND(INDEX(Spectrum!$N:$N,MATCH(RIGHT($B279,13)&amp;"|"&amp;$C279&amp;"|"&amp;$D279&amp;"|"&amp;S$14&amp;"|"&amp;"CY2022Q4",Spectrum!$R:$R,0)),0),""))</f>
        <v>1310</v>
      </c>
      <c r="T279" s="39" t="n">
        <f aca="false">IF(LEFT($B279,4)="_Mil","",_xlfn.IFNA(ROUND(INDEX(Spectrum!$N:$N,MATCH(RIGHT($B279,13)&amp;"|"&amp;$C279&amp;"|"&amp;$D279&amp;"|"&amp;T$14&amp;"|"&amp;"CY2023Q3",Spectrum!$R:$R,0)),0),""))</f>
        <v>1018</v>
      </c>
      <c r="U279" s="39" t="str">
        <f aca="false">IF(LEFT($B279,4)="_Mil","",_xlfn.IFNA(ROUND(INDEX(Spectrum!$N:$N,MATCH(RIGHT($B279,13)&amp;"|"&amp;$C279&amp;"|"&amp;$D279&amp;"|"&amp;U$14&amp;"|"&amp;"CY2023Q3",Spectrum!$R:$R,0)),0),""))</f>
        <v/>
      </c>
      <c r="V279" s="10" t="n">
        <f aca="false">IF(LEFT($B279,4)="_Mil","",_xlfn.IFNA(ROUND(INDEX(Spectrum!$N:$N,MATCH(RIGHT($B279,13)&amp;"|"&amp;$C279&amp;"|"&amp;$D279&amp;"|"&amp;V$14&amp;"|"&amp;"CY2023Q3",Spectrum!$R:$R,0)),0),""))</f>
        <v>1445</v>
      </c>
      <c r="W279" s="113" t="n">
        <f aca="false">IF(LEFT($B279,4)="_Mil","",_xlfn.IFNA(INDEX(Spectrum!$N:$N,MATCH(RIGHT($B279,13)&amp;"|"&amp;$C279&amp;"|"&amp;$D279&amp;"|"&amp;W$14&amp;"|"&amp;"CY2023Q3",Spectrum!$R:$R,0)),""))</f>
        <v>1347</v>
      </c>
      <c r="X279" s="39" t="n">
        <f aca="false">IF(LEFT($B279,4)="_Mil","",_xlfn.IFNA(ROUND(INDEX(Spectrum!$N:$N,MATCH(RIGHT($B279,13)&amp;"|"&amp;$C279&amp;"|"&amp;$D279&amp;"|"&amp;X$14&amp;"|"&amp;"CY2023Q3",Spectrum!$R:$R,0)),0),""))</f>
        <v>1082</v>
      </c>
      <c r="Y279" s="88" t="str">
        <f aca="false">IF(OR(SUM($U279)=0,LEFT($B279,4)="_Mil"),"",SUM($X279)/$U279)</f>
        <v/>
      </c>
      <c r="Z279" s="39" t="n">
        <f aca="false">IF(LEFT($B279,4)="_Mil","",_xlfn.IFNA(ROUND(INDEX(Spectrum!$N:$N,MATCH(RIGHT($B279,13)&amp;"|"&amp;$C279&amp;"|"&amp;$D279&amp;"|"&amp;Z$14&amp;"|"&amp;"CY2023Q3",Spectrum!$R:$R,0)),0),""))</f>
        <v>1631</v>
      </c>
      <c r="AA279" s="88" t="n">
        <f aca="false">IF(LEFT($B279,4)="_Mil","",IFERROR(1/(1/INDEX(Spectrum!$N:$N,MATCH(RIGHT($B279,13)&amp;"|"&amp;$C279&amp;"|"&amp;$D279&amp;"|"&amp;AA$14&amp;"|"&amp;"CY2023Q3",Spectrum!$R:$R,0))),IF(SUM($U279)=0,"",SUM($Z279)/$U279)))</f>
        <v>1469</v>
      </c>
      <c r="AB279" s="88" t="n">
        <f aca="false">IF(OR(LEFT($B279,4)="_Mil",SUM($X279)=0),"",SUM($Z279)/$X279)</f>
        <v>1.50739371534196</v>
      </c>
      <c r="AC279" s="10" t="n">
        <f aca="false">IF(LEFT($B279,4)="_Mil","",_xlfn.IFNA(ROUND(INDEX(Spectrum!$N:$N,MATCH(RIGHT($B279,13)&amp;"|"&amp;$C279&amp;"|"&amp;$D279&amp;"|"&amp;AC$14&amp;"|"&amp;"CY2023Q3",Spectrum!$R:$R,0)),0),""))</f>
        <v>651</v>
      </c>
      <c r="AD279" s="10" t="str">
        <f aca="false">IF(LEFT($B279,4)="_Mil","",_xlfn.IFNA(ROUND(INDEX(Spectrum!$N:$N,MATCH(RIGHT($B279,13)&amp;"|"&amp;$C279&amp;"|"&amp;$D279&amp;"|"&amp;AD$14&amp;"|"&amp;"CY2023Q3",Spectrum!$R:$R,0)),0),""))</f>
        <v/>
      </c>
      <c r="AE279" s="88" t="n">
        <f aca="false">IF(OR(LEFT($B279,4)="_Mil",SUM($Z279)=0),"",SUM($AD279)/$Z279)</f>
        <v>0</v>
      </c>
      <c r="AF279" s="39" t="str">
        <f aca="false">IF(LEFT($B279,4)="_Mil","",_xlfn.IFNA(ROUND(INDEX(Spectrum!$N:$N,MATCH(RIGHT($B279,13)&amp;"|"&amp;$C279&amp;"|"&amp;$D279&amp;"|"&amp;AF$14&amp;"|"&amp;"CY2023Q3",Spectrum!$R:$R,0)),0),""))</f>
        <v/>
      </c>
      <c r="AG279" s="88" t="str">
        <f aca="false">IF(OR(LEFT($B279,4)="_Mil",SUM($AD279)=0),"",SUM($AF279)/$AD279)</f>
        <v/>
      </c>
      <c r="AH279" s="86" t="str">
        <f aca="false">IF(LEFT($B279,4)="_Mil","",_xlfn.IFNA(INDEX(Spectrum!$N:$N,MATCH(RIGHT($B279,13)&amp;"|"&amp;$C279&amp;"|"&amp;$D279&amp;"|"&amp;AH$14&amp;"|"&amp;"CY2023Q3",Spectrum!$R:$R,0)),""))</f>
        <v/>
      </c>
      <c r="AI279" s="10" t="str">
        <f aca="false">IF(LEFT($B279,4)="_Mil","",_xlfn.IFNA(ROUND(INDEX(Spectrum!$N:$N,MATCH(RIGHT($B279,13)&amp;"|"&amp;$C279&amp;"|"&amp;$D279&amp;"|"&amp;AI$14&amp;"|"&amp;"CY2023Q3",Spectrum!$R:$R,0)),0),""))</f>
        <v/>
      </c>
      <c r="AJ279" s="39" t="n">
        <f aca="false">IF(LEFT($B279,4)="_Mil","",_xlfn.IFNA(ROUND(INDEX(Spectrum!$N:$N,MATCH(RIGHT($B279,13)&amp;"|"&amp;$C279&amp;"|"&amp;$D279&amp;"|"&amp;AI$14&amp;"|"&amp;"CY2023Q3",Spectrum!$R:$R,0)),0),SUM($U279)+SUM($AI279)))</f>
        <v>0</v>
      </c>
      <c r="AK279" s="10" t="str">
        <f aca="false">IF(LEFT($B279,4)="_Mil","",_xlfn.IFNA(ROUND(INDEX(Spectrum!$N:$N,MATCH(RIGHT($B279,13)&amp;"|"&amp;$C279&amp;"|"&amp;$D279&amp;"|"&amp;AK$14&amp;"|"&amp;"CY2023Q3",Spectrum!$R:$R,0)),0),""))</f>
        <v/>
      </c>
      <c r="AL279" s="88" t="n">
        <f aca="false">IF(OR(LEFT($B279,4)="_Mil",$C279="&lt;01"),"",MAX(SUM($AA279),90%))</f>
        <v>1469</v>
      </c>
      <c r="AM279" s="10" t="n">
        <f aca="false">IF(OR(LEFT($B279,4)="_Mil",$C279="&lt;01"),"",ROUND(SUM($AJ279)*SUM($AL279),0))</f>
        <v>0</v>
      </c>
      <c r="AN279" s="10" t="str">
        <f aca="false">IF($C279="&lt;01",ROUND(INDEX(EID!$P:$P,MATCH($B279,EID!$B:$B,0))/2,0),"")</f>
        <v/>
      </c>
      <c r="AO279" s="10" t="n">
        <f aca="false">IF($C279="&lt;01",SUM($AN279),ROUND(SUM($AM279)*SUM($O279)/IF(SUM($Z279)=0,1,$Z279),0))</f>
        <v>0</v>
      </c>
      <c r="AP279" s="39" t="n">
        <f aca="false">IF(OR($F279="",$C279="&lt;01"),$AO279,$F279)</f>
        <v>0</v>
      </c>
      <c r="AQ279" s="39" t="n">
        <f aca="false">IF(LEFT($B279,4)="_Mil","",IF(SUM($AP279)=0,SUM($Z279),IF(OR(SUM($Z279)=0,SUM($O279)=0),MAX($AP279,$Z279),$AP279*$Z279/$O279)))</f>
        <v>1631</v>
      </c>
      <c r="AR279" s="88" t="str">
        <f aca="false">IF(OR(LEFT($B279,4)="_Mil",SUM($AJ279)=0),"",SUM($AQ279)/$AJ279)</f>
        <v/>
      </c>
      <c r="AS279" s="88" t="n">
        <f aca="false">IF($C279="&lt;01","",98%)</f>
        <v>0.98</v>
      </c>
      <c r="AT279" s="88" t="n">
        <f aca="false">IF($C279="&lt;01","",98%)</f>
        <v>0.98</v>
      </c>
      <c r="AU279" s="10" t="n">
        <f aca="false">IF($C279="&lt;01","",SUM($AP279)-SUM($O279))</f>
        <v>0</v>
      </c>
      <c r="AV279" s="10" t="n">
        <f aca="false">IF($C279="&lt;01",ROUND(INDEX(EID!$N:$N,MATCH($B279,EID!$B:$B,0))/2,0),IF(SUM($AT279)=0,"",ROUND((SUM($AP279)-(SUM($O279)*SUM($AS279)))/$AT279,0)))</f>
        <v>0</v>
      </c>
      <c r="AW279" s="88" t="n">
        <f aca="false">IF($C279="&lt;01","",100%)</f>
        <v>1</v>
      </c>
      <c r="AX279" s="39" t="n">
        <f aca="false">IF($C279="&lt;01",SUM($AV279),ROUND(SUM($AV279)*SUM($AW279),0))</f>
        <v>0</v>
      </c>
      <c r="AY279" s="114" t="n">
        <f aca="false">IF($C279="&lt;01","",70%)</f>
        <v>0.7</v>
      </c>
      <c r="AZ279" s="91" t="n">
        <f aca="false">IF($C279="&lt;01",ROUND(INDEX(EID!$R:$R,MATCH($B279,EID!$B:$B,0))/2,0),ROUND(SUM($O279)+(SUM($AV279)*$AY279),0))</f>
        <v>0</v>
      </c>
      <c r="BA279" s="87" t="n">
        <f aca="false">IF($C279="&lt;01","",95%)</f>
        <v>0.95</v>
      </c>
      <c r="BB279" s="5" t="n">
        <f aca="false">IF($C279="&lt;01",ROUND(INDEX(EID!$T:$T,MATCH($B279,EID!$B:$B,0))/2,0),ROUND($AZ279*$BA279,0))</f>
        <v>0</v>
      </c>
      <c r="BC279" s="91" t="n">
        <f aca="false">IF(LEFT($B279,4)="_Mil","",IF(SUM($BB279)=0,SUM($AD279),IF(OR(SUM($AP279)=0,SUM($AQ279)=0),MAX($BB279,$AD279),ROUND($BB279*$AQ279/$AP279,0))))</f>
        <v>0</v>
      </c>
      <c r="BD279" s="88" t="n">
        <f aca="false">IF($C279="&lt;01","",95%)</f>
        <v>0.95</v>
      </c>
      <c r="BE279" s="39" t="n">
        <f aca="false">IF($C279="&lt;01",ROUND(INDEX(EID!$V:$V,MATCH($B279,EID!$B:$B,0))/2,0),ROUND($BD279*$BB279,0))</f>
        <v>0</v>
      </c>
      <c r="BF279" s="39" t="n">
        <f aca="false">IF(LEFT($B279,4)="_Mil","",IF(SUM($BE279)=0,SUM($AF279),IF(OR(SUM($AP279)=0,SUM($AQ279)=0),MAX($BE279,$AF279),ROUND($BE279*$AQ279/$AP279,0))))</f>
        <v>0</v>
      </c>
      <c r="BG279" s="114" t="n">
        <f aca="false">IF($C279="&lt;01","",95%)</f>
        <v>0.95</v>
      </c>
      <c r="BH279" s="5" t="n">
        <f aca="false">IF($C279="&lt;01",ROUND(INDEX(EID!$L:$L,MATCH($B279,EID!$B:$B,0)),0)/2,IF(SUM($BG279)=0,"",ROUND($AX279/$BG279,0)))</f>
        <v>0</v>
      </c>
    </row>
    <row r="280" customFormat="false" ht="15" hidden="false" customHeight="false" outlineLevel="0" collapsed="false">
      <c r="A280" s="0" t="str">
        <f aca="false">INDEX(Prioritization!$D:$D,MATCH($B280,Prioritization!$A:$A,0))</f>
        <v>1 - Scale-up: Saturation</v>
      </c>
      <c r="B280" s="0" t="s">
        <v>212</v>
      </c>
      <c r="C280" s="0" t="s">
        <v>368</v>
      </c>
      <c r="D280" s="0" t="s">
        <v>48</v>
      </c>
      <c r="E280" s="0" t="str">
        <f aca="false">$B280&amp;"|"&amp;$C280&amp;"|"&amp;$D280</f>
        <v>Chikwawa District [U8c0so51kT6]|50+|Male</v>
      </c>
      <c r="F280" s="10"/>
      <c r="G280" s="10"/>
      <c r="H280" s="10"/>
      <c r="I280" s="10"/>
      <c r="J280" s="10"/>
      <c r="K280" s="10"/>
      <c r="L280" s="10"/>
      <c r="M280" s="10"/>
      <c r="N280" s="10"/>
      <c r="O280" s="10" t="str">
        <f aca="false">IFERROR(1/(1/MAX($I280,$N280)),"")</f>
        <v/>
      </c>
      <c r="P280" s="10"/>
      <c r="Q280" s="10"/>
      <c r="R280" s="10" t="str">
        <f aca="false">IF(AND(SUM($I280)=0,SUM($O280)=0),"",SUM($O280)-$I280)</f>
        <v/>
      </c>
      <c r="S280" s="10" t="n">
        <f aca="false">IF(LEFT($B280,4)="_Mil","",_xlfn.IFNA(ROUND(INDEX(Spectrum!$N:$N,MATCH(RIGHT($B280,13)&amp;"|"&amp;$C280&amp;"|"&amp;$D280&amp;"|"&amp;S$14&amp;"|"&amp;"CY2022Q4",Spectrum!$R:$R,0)),0),""))</f>
        <v>1317</v>
      </c>
      <c r="T280" s="39" t="n">
        <f aca="false">IF(LEFT($B280,4)="_Mil","",_xlfn.IFNA(ROUND(INDEX(Spectrum!$N:$N,MATCH(RIGHT($B280,13)&amp;"|"&amp;$C280&amp;"|"&amp;$D280&amp;"|"&amp;T$14&amp;"|"&amp;"CY2023Q3",Spectrum!$R:$R,0)),0),""))</f>
        <v>1031</v>
      </c>
      <c r="U280" s="39" t="str">
        <f aca="false">IF(LEFT($B280,4)="_Mil","",_xlfn.IFNA(ROUND(INDEX(Spectrum!$N:$N,MATCH(RIGHT($B280,13)&amp;"|"&amp;$C280&amp;"|"&amp;$D280&amp;"|"&amp;U$14&amp;"|"&amp;"CY2023Q3",Spectrum!$R:$R,0)),0),""))</f>
        <v/>
      </c>
      <c r="V280" s="10" t="n">
        <f aca="false">IF(LEFT($B280,4)="_Mil","",_xlfn.IFNA(ROUND(INDEX(Spectrum!$N:$N,MATCH(RIGHT($B280,13)&amp;"|"&amp;$C280&amp;"|"&amp;$D280&amp;"|"&amp;V$14&amp;"|"&amp;"CY2023Q3",Spectrum!$R:$R,0)),0),""))</f>
        <v>1287</v>
      </c>
      <c r="W280" s="113" t="n">
        <f aca="false">IF(LEFT($B280,4)="_Mil","",_xlfn.IFNA(INDEX(Spectrum!$N:$N,MATCH(RIGHT($B280,13)&amp;"|"&amp;$C280&amp;"|"&amp;$D280&amp;"|"&amp;W$14&amp;"|"&amp;"CY2023Q3",Spectrum!$R:$R,0)),""))</f>
        <v>1776</v>
      </c>
      <c r="X280" s="39" t="n">
        <f aca="false">IF(LEFT($B280,4)="_Mil","",_xlfn.IFNA(ROUND(INDEX(Spectrum!$N:$N,MATCH(RIGHT($B280,13)&amp;"|"&amp;$C280&amp;"|"&amp;$D280&amp;"|"&amp;X$14&amp;"|"&amp;"CY2023Q3",Spectrum!$R:$R,0)),0),""))</f>
        <v>1716</v>
      </c>
      <c r="Y280" s="88" t="str">
        <f aca="false">IF(OR(SUM($U280)=0,LEFT($B280,4)="_Mil"),"",SUM($X280)/$U280)</f>
        <v/>
      </c>
      <c r="Z280" s="39" t="n">
        <f aca="false">IF(LEFT($B280,4)="_Mil","",_xlfn.IFNA(ROUND(INDEX(Spectrum!$N:$N,MATCH(RIGHT($B280,13)&amp;"|"&amp;$C280&amp;"|"&amp;$D280&amp;"|"&amp;Z$14&amp;"|"&amp;"CY2023Q3",Spectrum!$R:$R,0)),0),""))</f>
        <v>1023</v>
      </c>
      <c r="AA280" s="88" t="n">
        <f aca="false">IF(LEFT($B280,4)="_Mil","",IFERROR(1/(1/INDEX(Spectrum!$N:$N,MATCH(RIGHT($B280,13)&amp;"|"&amp;$C280&amp;"|"&amp;$D280&amp;"|"&amp;AA$14&amp;"|"&amp;"CY2023Q3",Spectrum!$R:$R,0))),IF(SUM($U280)=0,"",SUM($Z280)/$U280)))</f>
        <v>1963</v>
      </c>
      <c r="AB280" s="88" t="n">
        <f aca="false">IF(OR(LEFT($B280,4)="_Mil",SUM($X280)=0),"",SUM($Z280)/$X280)</f>
        <v>0.596153846153846</v>
      </c>
      <c r="AC280" s="10" t="n">
        <f aca="false">IF(LEFT($B280,4)="_Mil","",_xlfn.IFNA(ROUND(INDEX(Spectrum!$N:$N,MATCH(RIGHT($B280,13)&amp;"|"&amp;$C280&amp;"|"&amp;$D280&amp;"|"&amp;AC$14&amp;"|"&amp;"CY2023Q3",Spectrum!$R:$R,0)),0),""))</f>
        <v>593</v>
      </c>
      <c r="AD280" s="10" t="str">
        <f aca="false">IF(LEFT($B280,4)="_Mil","",_xlfn.IFNA(ROUND(INDEX(Spectrum!$N:$N,MATCH(RIGHT($B280,13)&amp;"|"&amp;$C280&amp;"|"&amp;$D280&amp;"|"&amp;AD$14&amp;"|"&amp;"CY2023Q3",Spectrum!$R:$R,0)),0),""))</f>
        <v/>
      </c>
      <c r="AE280" s="88" t="n">
        <f aca="false">IF(OR(LEFT($B280,4)="_Mil",SUM($Z280)=0),"",SUM($AD280)/$Z280)</f>
        <v>0</v>
      </c>
      <c r="AF280" s="39" t="str">
        <f aca="false">IF(LEFT($B280,4)="_Mil","",_xlfn.IFNA(ROUND(INDEX(Spectrum!$N:$N,MATCH(RIGHT($B280,13)&amp;"|"&amp;$C280&amp;"|"&amp;$D280&amp;"|"&amp;AF$14&amp;"|"&amp;"CY2023Q3",Spectrum!$R:$R,0)),0),""))</f>
        <v/>
      </c>
      <c r="AG280" s="88" t="str">
        <f aca="false">IF(OR(LEFT($B280,4)="_Mil",SUM($AD280)=0),"",SUM($AF280)/$AD280)</f>
        <v/>
      </c>
      <c r="AH280" s="86" t="str">
        <f aca="false">IF(LEFT($B280,4)="_Mil","",_xlfn.IFNA(INDEX(Spectrum!$N:$N,MATCH(RIGHT($B280,13)&amp;"|"&amp;$C280&amp;"|"&amp;$D280&amp;"|"&amp;AH$14&amp;"|"&amp;"CY2023Q3",Spectrum!$R:$R,0)),""))</f>
        <v/>
      </c>
      <c r="AI280" s="10" t="str">
        <f aca="false">IF(LEFT($B280,4)="_Mil","",_xlfn.IFNA(ROUND(INDEX(Spectrum!$N:$N,MATCH(RIGHT($B280,13)&amp;"|"&amp;$C280&amp;"|"&amp;$D280&amp;"|"&amp;AI$14&amp;"|"&amp;"CY2023Q3",Spectrum!$R:$R,0)),0),""))</f>
        <v/>
      </c>
      <c r="AJ280" s="39" t="n">
        <f aca="false">IF(LEFT($B280,4)="_Mil","",_xlfn.IFNA(ROUND(INDEX(Spectrum!$N:$N,MATCH(RIGHT($B280,13)&amp;"|"&amp;$C280&amp;"|"&amp;$D280&amp;"|"&amp;AI$14&amp;"|"&amp;"CY2023Q3",Spectrum!$R:$R,0)),0),SUM($U280)+SUM($AI280)))</f>
        <v>0</v>
      </c>
      <c r="AK280" s="10" t="str">
        <f aca="false">IF(LEFT($B280,4)="_Mil","",_xlfn.IFNA(ROUND(INDEX(Spectrum!$N:$N,MATCH(RIGHT($B280,13)&amp;"|"&amp;$C280&amp;"|"&amp;$D280&amp;"|"&amp;AK$14&amp;"|"&amp;"CY2023Q3",Spectrum!$R:$R,0)),0),""))</f>
        <v/>
      </c>
      <c r="AL280" s="88" t="n">
        <f aca="false">IF(OR(LEFT($B280,4)="_Mil",$C280="&lt;01"),"",MAX(SUM($AA280),90%))</f>
        <v>1963</v>
      </c>
      <c r="AM280" s="10" t="n">
        <f aca="false">IF(OR(LEFT($B280,4)="_Mil",$C280="&lt;01"),"",ROUND(SUM($AJ280)*SUM($AL280),0))</f>
        <v>0</v>
      </c>
      <c r="AN280" s="10" t="str">
        <f aca="false">IF($C280="&lt;01",ROUND(INDEX(EID!$P:$P,MATCH($B280,EID!$B:$B,0))/2,0),"")</f>
        <v/>
      </c>
      <c r="AO280" s="10" t="n">
        <f aca="false">IF($C280="&lt;01",SUM($AN280),ROUND(SUM($AM280)*SUM($O280)/IF(SUM($Z280)=0,1,$Z280),0))</f>
        <v>0</v>
      </c>
      <c r="AP280" s="39" t="n">
        <f aca="false">IF(OR($F280="",$C280="&lt;01"),$AO280,$F280)</f>
        <v>0</v>
      </c>
      <c r="AQ280" s="39" t="n">
        <f aca="false">IF(LEFT($B280,4)="_Mil","",IF(SUM($AP280)=0,SUM($Z280),IF(OR(SUM($Z280)=0,SUM($O280)=0),MAX($AP280,$Z280),$AP280*$Z280/$O280)))</f>
        <v>1023</v>
      </c>
      <c r="AR280" s="88" t="str">
        <f aca="false">IF(OR(LEFT($B280,4)="_Mil",SUM($AJ280)=0),"",SUM($AQ280)/$AJ280)</f>
        <v/>
      </c>
      <c r="AS280" s="88" t="n">
        <f aca="false">IF($C280="&lt;01","",98%)</f>
        <v>0.98</v>
      </c>
      <c r="AT280" s="88" t="n">
        <f aca="false">IF($C280="&lt;01","",98%)</f>
        <v>0.98</v>
      </c>
      <c r="AU280" s="10" t="n">
        <f aca="false">IF($C280="&lt;01","",SUM($AP280)-SUM($O280))</f>
        <v>0</v>
      </c>
      <c r="AV280" s="10" t="n">
        <f aca="false">IF($C280="&lt;01",ROUND(INDEX(EID!$N:$N,MATCH($B280,EID!$B:$B,0))/2,0),IF(SUM($AT280)=0,"",ROUND((SUM($AP280)-(SUM($O280)*SUM($AS280)))/$AT280,0)))</f>
        <v>0</v>
      </c>
      <c r="AW280" s="88" t="n">
        <f aca="false">IF($C280="&lt;01","",100%)</f>
        <v>1</v>
      </c>
      <c r="AX280" s="39" t="n">
        <f aca="false">IF($C280="&lt;01",SUM($AV280),ROUND(SUM($AV280)*SUM($AW280),0))</f>
        <v>0</v>
      </c>
      <c r="AY280" s="114" t="n">
        <f aca="false">IF($C280="&lt;01","",70%)</f>
        <v>0.7</v>
      </c>
      <c r="AZ280" s="91" t="n">
        <f aca="false">IF($C280="&lt;01",ROUND(INDEX(EID!$R:$R,MATCH($B280,EID!$B:$B,0))/2,0),ROUND(SUM($O280)+(SUM($AV280)*$AY280),0))</f>
        <v>0</v>
      </c>
      <c r="BA280" s="87" t="n">
        <f aca="false">IF($C280="&lt;01","",95%)</f>
        <v>0.95</v>
      </c>
      <c r="BB280" s="5" t="n">
        <f aca="false">IF($C280="&lt;01",ROUND(INDEX(EID!$T:$T,MATCH($B280,EID!$B:$B,0))/2,0),ROUND($AZ280*$BA280,0))</f>
        <v>0</v>
      </c>
      <c r="BC280" s="91" t="n">
        <f aca="false">IF(LEFT($B280,4)="_Mil","",IF(SUM($BB280)=0,SUM($AD280),IF(OR(SUM($AP280)=0,SUM($AQ280)=0),MAX($BB280,$AD280),ROUND($BB280*$AQ280/$AP280,0))))</f>
        <v>0</v>
      </c>
      <c r="BD280" s="88" t="n">
        <f aca="false">IF($C280="&lt;01","",95%)</f>
        <v>0.95</v>
      </c>
      <c r="BE280" s="39" t="n">
        <f aca="false">IF($C280="&lt;01",ROUND(INDEX(EID!$V:$V,MATCH($B280,EID!$B:$B,0))/2,0),ROUND($BD280*$BB280,0))</f>
        <v>0</v>
      </c>
      <c r="BF280" s="39" t="n">
        <f aca="false">IF(LEFT($B280,4)="_Mil","",IF(SUM($BE280)=0,SUM($AF280),IF(OR(SUM($AP280)=0,SUM($AQ280)=0),MAX($BE280,$AF280),ROUND($BE280*$AQ280/$AP280,0))))</f>
        <v>0</v>
      </c>
      <c r="BG280" s="114" t="n">
        <f aca="false">IF($C280="&lt;01","",95%)</f>
        <v>0.95</v>
      </c>
      <c r="BH280" s="5" t="n">
        <f aca="false">IF($C280="&lt;01",ROUND(INDEX(EID!$L:$L,MATCH($B280,EID!$B:$B,0)),0)/2,IF(SUM($BG280)=0,"",ROUND($AX280/$BG280,0)))</f>
        <v>0</v>
      </c>
    </row>
    <row r="281" customFormat="false" ht="15" hidden="false" customHeight="false" outlineLevel="0" collapsed="false">
      <c r="A281" s="0" t="str">
        <f aca="false">INDEX(Prioritization!$D:$D,MATCH($B281,Prioritization!$A:$A,0))</f>
        <v>1 - Scale-up: Saturation</v>
      </c>
      <c r="B281" s="0" t="s">
        <v>213</v>
      </c>
      <c r="C281" s="0" t="s">
        <v>316</v>
      </c>
      <c r="D281" s="0" t="s">
        <v>30</v>
      </c>
      <c r="E281" s="0" t="str">
        <f aca="false">$B281&amp;"|"&amp;$C281&amp;"|"&amp;$D281</f>
        <v>Chiradzulu District [oiPR2CiVJbf]|&lt;01|Female</v>
      </c>
      <c r="F281" s="10"/>
      <c r="G281" s="10" t="n">
        <v>8</v>
      </c>
      <c r="H281" s="10" t="n">
        <v>3</v>
      </c>
      <c r="I281" s="10" t="n">
        <v>1</v>
      </c>
      <c r="J281" s="10" t="n">
        <v>5</v>
      </c>
      <c r="K281" s="10" t="n">
        <v>8</v>
      </c>
      <c r="L281" s="10"/>
      <c r="M281" s="10" t="n">
        <v>1</v>
      </c>
      <c r="N281" s="10" t="n">
        <v>1</v>
      </c>
      <c r="O281" s="10" t="n">
        <f aca="false">IFERROR(1/(1/MAX($I281,$N281)),"")</f>
        <v>1</v>
      </c>
      <c r="P281" s="10" t="n">
        <v>0</v>
      </c>
      <c r="Q281" s="10" t="n">
        <v>0</v>
      </c>
      <c r="R281" s="10" t="n">
        <f aca="false">IF(AND(SUM($I281)=0,SUM($O281)=0),"",SUM($O281)-$I281)</f>
        <v>0</v>
      </c>
      <c r="S281" s="10" t="n">
        <f aca="false">IF(LEFT($B281,4)="_Mil","",_xlfn.IFNA(ROUND(INDEX(Spectrum!$N:$N,MATCH(RIGHT($B281,13)&amp;"|"&amp;$C281&amp;"|"&amp;$D281&amp;"|"&amp;S$14&amp;"|"&amp;"CY2022Q4",Spectrum!$R:$R,0)),0),""))</f>
        <v>884</v>
      </c>
      <c r="T281" s="39" t="n">
        <f aca="false">IF(LEFT($B281,4)="_Mil","",_xlfn.IFNA(ROUND(INDEX(Spectrum!$N:$N,MATCH(RIGHT($B281,13)&amp;"|"&amp;$C281&amp;"|"&amp;$D281&amp;"|"&amp;T$14&amp;"|"&amp;"CY2023Q3",Spectrum!$R:$R,0)),0),""))</f>
        <v>1863</v>
      </c>
      <c r="U281" s="39" t="str">
        <f aca="false">IF(LEFT($B281,4)="_Mil","",_xlfn.IFNA(ROUND(INDEX(Spectrum!$N:$N,MATCH(RIGHT($B281,13)&amp;"|"&amp;$C281&amp;"|"&amp;$D281&amp;"|"&amp;U$14&amp;"|"&amp;"CY2023Q3",Spectrum!$R:$R,0)),0),""))</f>
        <v/>
      </c>
      <c r="V281" s="10" t="n">
        <f aca="false">IF(LEFT($B281,4)="_Mil","",_xlfn.IFNA(ROUND(INDEX(Spectrum!$N:$N,MATCH(RIGHT($B281,13)&amp;"|"&amp;$C281&amp;"|"&amp;$D281&amp;"|"&amp;V$14&amp;"|"&amp;"CY2023Q3",Spectrum!$R:$R,0)),0),""))</f>
        <v>1127</v>
      </c>
      <c r="W281" s="113" t="n">
        <f aca="false">IF(LEFT($B281,4)="_Mil","",_xlfn.IFNA(INDEX(Spectrum!$N:$N,MATCH(RIGHT($B281,13)&amp;"|"&amp;$C281&amp;"|"&amp;$D281&amp;"|"&amp;W$14&amp;"|"&amp;"CY2023Q3",Spectrum!$R:$R,0)),""))</f>
        <v>522</v>
      </c>
      <c r="X281" s="39" t="n">
        <f aca="false">IF(LEFT($B281,4)="_Mil","",_xlfn.IFNA(ROUND(INDEX(Spectrum!$N:$N,MATCH(RIGHT($B281,13)&amp;"|"&amp;$C281&amp;"|"&amp;$D281&amp;"|"&amp;X$14&amp;"|"&amp;"CY2023Q3",Spectrum!$R:$R,0)),0),""))</f>
        <v>1041</v>
      </c>
      <c r="Y281" s="88" t="str">
        <f aca="false">IF(OR(SUM($U281)=0,LEFT($B281,4)="_Mil"),"",SUM($X281)/$U281)</f>
        <v/>
      </c>
      <c r="Z281" s="39" t="n">
        <f aca="false">IF(LEFT($B281,4)="_Mil","",_xlfn.IFNA(ROUND(INDEX(Spectrum!$N:$N,MATCH(RIGHT($B281,13)&amp;"|"&amp;$C281&amp;"|"&amp;$D281&amp;"|"&amp;Z$14&amp;"|"&amp;"CY2023Q3",Spectrum!$R:$R,0)),0),""))</f>
        <v>867</v>
      </c>
      <c r="AA281" s="88" t="n">
        <f aca="false">IF(LEFT($B281,4)="_Mil","",IFERROR(1/(1/INDEX(Spectrum!$N:$N,MATCH(RIGHT($B281,13)&amp;"|"&amp;$C281&amp;"|"&amp;$D281&amp;"|"&amp;AA$14&amp;"|"&amp;"CY2023Q3",Spectrum!$R:$R,0))),IF(SUM($U281)=0,"",SUM($Z281)/$U281)))</f>
        <v>1367</v>
      </c>
      <c r="AB281" s="88" t="n">
        <f aca="false">IF(OR(LEFT($B281,4)="_Mil",SUM($X281)=0),"",SUM($Z281)/$X281)</f>
        <v>0.832853025936599</v>
      </c>
      <c r="AC281" s="10" t="n">
        <f aca="false">IF(LEFT($B281,4)="_Mil","",_xlfn.IFNA(ROUND(INDEX(Spectrum!$N:$N,MATCH(RIGHT($B281,13)&amp;"|"&amp;$C281&amp;"|"&amp;$D281&amp;"|"&amp;AC$14&amp;"|"&amp;"CY2023Q3",Spectrum!$R:$R,0)),0),""))</f>
        <v>1227</v>
      </c>
      <c r="AD281" s="10" t="str">
        <f aca="false">IF(LEFT($B281,4)="_Mil","",_xlfn.IFNA(ROUND(INDEX(Spectrum!$N:$N,MATCH(RIGHT($B281,13)&amp;"|"&amp;$C281&amp;"|"&amp;$D281&amp;"|"&amp;AD$14&amp;"|"&amp;"CY2023Q3",Spectrum!$R:$R,0)),0),""))</f>
        <v/>
      </c>
      <c r="AE281" s="88" t="n">
        <f aca="false">IF(OR(LEFT($B281,4)="_Mil",SUM($Z281)=0),"",SUM($AD281)/$Z281)</f>
        <v>0</v>
      </c>
      <c r="AF281" s="39" t="str">
        <f aca="false">IF(LEFT($B281,4)="_Mil","",_xlfn.IFNA(ROUND(INDEX(Spectrum!$N:$N,MATCH(RIGHT($B281,13)&amp;"|"&amp;$C281&amp;"|"&amp;$D281&amp;"|"&amp;AF$14&amp;"|"&amp;"CY2023Q3",Spectrum!$R:$R,0)),0),""))</f>
        <v/>
      </c>
      <c r="AG281" s="88" t="str">
        <f aca="false">IF(OR(LEFT($B281,4)="_Mil",SUM($AD281)=0),"",SUM($AF281)/$AD281)</f>
        <v/>
      </c>
      <c r="AH281" s="86" t="str">
        <f aca="false">IF(LEFT($B281,4)="_Mil","",_xlfn.IFNA(INDEX(Spectrum!$N:$N,MATCH(RIGHT($B281,13)&amp;"|"&amp;$C281&amp;"|"&amp;$D281&amp;"|"&amp;AH$14&amp;"|"&amp;"CY2023Q3",Spectrum!$R:$R,0)),""))</f>
        <v/>
      </c>
      <c r="AI281" s="10" t="str">
        <f aca="false">IF(LEFT($B281,4)="_Mil","",_xlfn.IFNA(ROUND(INDEX(Spectrum!$N:$N,MATCH(RIGHT($B281,13)&amp;"|"&amp;$C281&amp;"|"&amp;$D281&amp;"|"&amp;AI$14&amp;"|"&amp;"CY2023Q3",Spectrum!$R:$R,0)),0),""))</f>
        <v/>
      </c>
      <c r="AJ281" s="39" t="n">
        <f aca="false">IF(LEFT($B281,4)="_Mil","",_xlfn.IFNA(ROUND(INDEX(Spectrum!$N:$N,MATCH(RIGHT($B281,13)&amp;"|"&amp;$C281&amp;"|"&amp;$D281&amp;"|"&amp;AI$14&amp;"|"&amp;"CY2023Q3",Spectrum!$R:$R,0)),0),SUM($U281)+SUM($AI281)))</f>
        <v>0</v>
      </c>
      <c r="AK281" s="10" t="str">
        <f aca="false">IF(LEFT($B281,4)="_Mil","",_xlfn.IFNA(ROUND(INDEX(Spectrum!$N:$N,MATCH(RIGHT($B281,13)&amp;"|"&amp;$C281&amp;"|"&amp;$D281&amp;"|"&amp;AK$14&amp;"|"&amp;"CY2023Q3",Spectrum!$R:$R,0)),0),""))</f>
        <v/>
      </c>
      <c r="AL281" s="88" t="str">
        <f aca="false">IF(OR(LEFT($B281,4)="_Mil",$C281="&lt;01"),"",MAX(SUM($AA281),90%))</f>
        <v/>
      </c>
      <c r="AM281" s="10" t="str">
        <f aca="false">IF(OR(LEFT($B281,4)="_Mil",$C281="&lt;01"),"",ROUND(SUM($AJ281)*SUM($AL281),0))</f>
        <v/>
      </c>
      <c r="AN281" s="10" t="n">
        <f aca="false">IF($C281="&lt;01",ROUND(INDEX(EID!$P:$P,MATCH($B281,EID!$B:$B,0))/2,0),"")</f>
        <v>0</v>
      </c>
      <c r="AO281" s="10" t="n">
        <f aca="false">IF($C281="&lt;01",SUM($AN281),ROUND(SUM($AM281)*SUM($O281)/IF(SUM($Z281)=0,1,$Z281),0))</f>
        <v>0</v>
      </c>
      <c r="AP281" s="39" t="n">
        <f aca="false">IF(OR($F281="",$C281="&lt;01"),$AO281,$F281)</f>
        <v>0</v>
      </c>
      <c r="AQ281" s="39" t="n">
        <f aca="false">IF(LEFT($B281,4)="_Mil","",IF(SUM($AP281)=0,SUM($Z281),IF(OR(SUM($Z281)=0,SUM($O281)=0),MAX($AP281,$Z281),$AP281*$Z281/$O281)))</f>
        <v>867</v>
      </c>
      <c r="AR281" s="88" t="str">
        <f aca="false">IF(OR(LEFT($B281,4)="_Mil",SUM($AJ281)=0),"",SUM($AQ281)/$AJ281)</f>
        <v/>
      </c>
      <c r="AS281" s="88" t="str">
        <f aca="false">IF($C281="&lt;01","",98%)</f>
        <v/>
      </c>
      <c r="AT281" s="88" t="str">
        <f aca="false">IF($C281="&lt;01","",98%)</f>
        <v/>
      </c>
      <c r="AU281" s="10" t="str">
        <f aca="false">IF($C281="&lt;01","",SUM($AP281)-SUM($O281))</f>
        <v/>
      </c>
      <c r="AV281" s="10" t="n">
        <f aca="false">IF($C281="&lt;01",ROUND(INDEX(EID!$N:$N,MATCH($B281,EID!$B:$B,0))/2,0),IF(SUM($AT281)=0,"",ROUND((SUM($AP281)-(SUM($O281)*SUM($AS281)))/$AT281,0)))</f>
        <v>0</v>
      </c>
      <c r="AW281" s="88" t="str">
        <f aca="false">IF($C281="&lt;01","",100%)</f>
        <v/>
      </c>
      <c r="AX281" s="39" t="n">
        <f aca="false">IF($C281="&lt;01",SUM($AV281),ROUND(SUM($AV281)*SUM($AW281),0))</f>
        <v>0</v>
      </c>
      <c r="AY281" s="114" t="str">
        <f aca="false">IF($C281="&lt;01","",70%)</f>
        <v/>
      </c>
      <c r="AZ281" s="91" t="n">
        <f aca="false">IF($C281="&lt;01",ROUND(INDEX(EID!$R:$R,MATCH($B281,EID!$B:$B,0))/2,0),ROUND(SUM($O281)+(SUM($AV281)*$AY281),0))</f>
        <v>0</v>
      </c>
      <c r="BA281" s="87" t="str">
        <f aca="false">IF($C281="&lt;01","",95%)</f>
        <v/>
      </c>
      <c r="BB281" s="5" t="n">
        <f aca="false">IF($C281="&lt;01",ROUND(INDEX(EID!$T:$T,MATCH($B281,EID!$B:$B,0))/2,0),ROUND($AZ281*$BA281,0))</f>
        <v>0</v>
      </c>
      <c r="BC281" s="91" t="n">
        <f aca="false">IF(LEFT($B281,4)="_Mil","",IF(SUM($BB281)=0,SUM($AD281),IF(OR(SUM($AP281)=0,SUM($AQ281)=0),MAX($BB281,$AD281),ROUND($BB281*$AQ281/$AP281,0))))</f>
        <v>0</v>
      </c>
      <c r="BD281" s="88" t="str">
        <f aca="false">IF($C281="&lt;01","",95%)</f>
        <v/>
      </c>
      <c r="BE281" s="39" t="n">
        <f aca="false">IF($C281="&lt;01",ROUND(INDEX(EID!$V:$V,MATCH($B281,EID!$B:$B,0))/2,0),ROUND($BD281*$BB281,0))</f>
        <v>0</v>
      </c>
      <c r="BF281" s="39" t="n">
        <f aca="false">IF(LEFT($B281,4)="_Mil","",IF(SUM($BE281)=0,SUM($AF281),IF(OR(SUM($AP281)=0,SUM($AQ281)=0),MAX($BE281,$AF281),ROUND($BE281*$AQ281/$AP281,0))))</f>
        <v>0</v>
      </c>
      <c r="BG281" s="114" t="str">
        <f aca="false">IF($C281="&lt;01","",95%)</f>
        <v/>
      </c>
      <c r="BH281" s="5" t="n">
        <f aca="false">IF($C281="&lt;01",ROUND(INDEX(EID!$L:$L,MATCH($B281,EID!$B:$B,0)),0)/2,IF(SUM($BG281)=0,"",ROUND($AX281/$BG281,0)))</f>
        <v>0</v>
      </c>
    </row>
    <row r="282" customFormat="false" ht="15" hidden="false" customHeight="false" outlineLevel="0" collapsed="false">
      <c r="A282" s="0" t="str">
        <f aca="false">INDEX(Prioritization!$D:$D,MATCH($B282,Prioritization!$A:$A,0))</f>
        <v>1 - Scale-up: Saturation</v>
      </c>
      <c r="B282" s="0" t="s">
        <v>213</v>
      </c>
      <c r="C282" s="0" t="s">
        <v>316</v>
      </c>
      <c r="D282" s="0" t="s">
        <v>48</v>
      </c>
      <c r="E282" s="0" t="str">
        <f aca="false">$B282&amp;"|"&amp;$C282&amp;"|"&amp;$D282</f>
        <v>Chiradzulu District [oiPR2CiVJbf]|&lt;01|Male</v>
      </c>
      <c r="F282" s="10"/>
      <c r="G282" s="10" t="n">
        <v>4</v>
      </c>
      <c r="H282" s="10" t="n">
        <v>2</v>
      </c>
      <c r="I282" s="10" t="n">
        <v>1</v>
      </c>
      <c r="J282" s="10" t="n">
        <v>5</v>
      </c>
      <c r="K282" s="10" t="n">
        <v>9</v>
      </c>
      <c r="L282" s="10"/>
      <c r="M282" s="10" t="n">
        <v>1</v>
      </c>
      <c r="N282" s="10" t="n">
        <v>0</v>
      </c>
      <c r="O282" s="10" t="n">
        <f aca="false">IFERROR(1/(1/MAX($I282,$N282)),"")</f>
        <v>1</v>
      </c>
      <c r="P282" s="10" t="n">
        <v>1</v>
      </c>
      <c r="Q282" s="10" t="n">
        <v>0</v>
      </c>
      <c r="R282" s="10" t="n">
        <f aca="false">IF(AND(SUM($I282)=0,SUM($O282)=0),"",SUM($O282)-$I282)</f>
        <v>0</v>
      </c>
      <c r="S282" s="10" t="n">
        <f aca="false">IF(LEFT($B282,4)="_Mil","",_xlfn.IFNA(ROUND(INDEX(Spectrum!$N:$N,MATCH(RIGHT($B282,13)&amp;"|"&amp;$C282&amp;"|"&amp;$D282&amp;"|"&amp;S$14&amp;"|"&amp;"CY2022Q4",Spectrum!$R:$R,0)),0),""))</f>
        <v>703</v>
      </c>
      <c r="T282" s="39" t="n">
        <f aca="false">IF(LEFT($B282,4)="_Mil","",_xlfn.IFNA(ROUND(INDEX(Spectrum!$N:$N,MATCH(RIGHT($B282,13)&amp;"|"&amp;$C282&amp;"|"&amp;$D282&amp;"|"&amp;T$14&amp;"|"&amp;"CY2023Q3",Spectrum!$R:$R,0)),0),""))</f>
        <v>777</v>
      </c>
      <c r="U282" s="39" t="str">
        <f aca="false">IF(LEFT($B282,4)="_Mil","",_xlfn.IFNA(ROUND(INDEX(Spectrum!$N:$N,MATCH(RIGHT($B282,13)&amp;"|"&amp;$C282&amp;"|"&amp;$D282&amp;"|"&amp;U$14&amp;"|"&amp;"CY2023Q3",Spectrum!$R:$R,0)),0),""))</f>
        <v/>
      </c>
      <c r="V282" s="10" t="n">
        <f aca="false">IF(LEFT($B282,4)="_Mil","",_xlfn.IFNA(ROUND(INDEX(Spectrum!$N:$N,MATCH(RIGHT($B282,13)&amp;"|"&amp;$C282&amp;"|"&amp;$D282&amp;"|"&amp;V$14&amp;"|"&amp;"CY2023Q3",Spectrum!$R:$R,0)),0),""))</f>
        <v>1680</v>
      </c>
      <c r="W282" s="113" t="n">
        <f aca="false">IF(LEFT($B282,4)="_Mil","",_xlfn.IFNA(INDEX(Spectrum!$N:$N,MATCH(RIGHT($B282,13)&amp;"|"&amp;$C282&amp;"|"&amp;$D282&amp;"|"&amp;W$14&amp;"|"&amp;"CY2023Q3",Spectrum!$R:$R,0)),""))</f>
        <v>1228</v>
      </c>
      <c r="X282" s="39" t="n">
        <f aca="false">IF(LEFT($B282,4)="_Mil","",_xlfn.IFNA(ROUND(INDEX(Spectrum!$N:$N,MATCH(RIGHT($B282,13)&amp;"|"&amp;$C282&amp;"|"&amp;$D282&amp;"|"&amp;X$14&amp;"|"&amp;"CY2023Q3",Spectrum!$R:$R,0)),0),""))</f>
        <v>1565</v>
      </c>
      <c r="Y282" s="88" t="str">
        <f aca="false">IF(OR(SUM($U282)=0,LEFT($B282,4)="_Mil"),"",SUM($X282)/$U282)</f>
        <v/>
      </c>
      <c r="Z282" s="39" t="n">
        <f aca="false">IF(LEFT($B282,4)="_Mil","",_xlfn.IFNA(ROUND(INDEX(Spectrum!$N:$N,MATCH(RIGHT($B282,13)&amp;"|"&amp;$C282&amp;"|"&amp;$D282&amp;"|"&amp;Z$14&amp;"|"&amp;"CY2023Q3",Spectrum!$R:$R,0)),0),""))</f>
        <v>1943</v>
      </c>
      <c r="AA282" s="88" t="n">
        <f aca="false">IF(LEFT($B282,4)="_Mil","",IFERROR(1/(1/INDEX(Spectrum!$N:$N,MATCH(RIGHT($B282,13)&amp;"|"&amp;$C282&amp;"|"&amp;$D282&amp;"|"&amp;AA$14&amp;"|"&amp;"CY2023Q3",Spectrum!$R:$R,0))),IF(SUM($U282)=0,"",SUM($Z282)/$U282)))</f>
        <v>1311</v>
      </c>
      <c r="AB282" s="88" t="n">
        <f aca="false">IF(OR(LEFT($B282,4)="_Mil",SUM($X282)=0),"",SUM($Z282)/$X282)</f>
        <v>1.24153354632588</v>
      </c>
      <c r="AC282" s="10" t="n">
        <f aca="false">IF(LEFT($B282,4)="_Mil","",_xlfn.IFNA(ROUND(INDEX(Spectrum!$N:$N,MATCH(RIGHT($B282,13)&amp;"|"&amp;$C282&amp;"|"&amp;$D282&amp;"|"&amp;AC$14&amp;"|"&amp;"CY2023Q3",Spectrum!$R:$R,0)),0),""))</f>
        <v>729</v>
      </c>
      <c r="AD282" s="10" t="str">
        <f aca="false">IF(LEFT($B282,4)="_Mil","",_xlfn.IFNA(ROUND(INDEX(Spectrum!$N:$N,MATCH(RIGHT($B282,13)&amp;"|"&amp;$C282&amp;"|"&amp;$D282&amp;"|"&amp;AD$14&amp;"|"&amp;"CY2023Q3",Spectrum!$R:$R,0)),0),""))</f>
        <v/>
      </c>
      <c r="AE282" s="88" t="n">
        <f aca="false">IF(OR(LEFT($B282,4)="_Mil",SUM($Z282)=0),"",SUM($AD282)/$Z282)</f>
        <v>0</v>
      </c>
      <c r="AF282" s="39" t="str">
        <f aca="false">IF(LEFT($B282,4)="_Mil","",_xlfn.IFNA(ROUND(INDEX(Spectrum!$N:$N,MATCH(RIGHT($B282,13)&amp;"|"&amp;$C282&amp;"|"&amp;$D282&amp;"|"&amp;AF$14&amp;"|"&amp;"CY2023Q3",Spectrum!$R:$R,0)),0),""))</f>
        <v/>
      </c>
      <c r="AG282" s="88" t="str">
        <f aca="false">IF(OR(LEFT($B282,4)="_Mil",SUM($AD282)=0),"",SUM($AF282)/$AD282)</f>
        <v/>
      </c>
      <c r="AH282" s="86" t="str">
        <f aca="false">IF(LEFT($B282,4)="_Mil","",_xlfn.IFNA(INDEX(Spectrum!$N:$N,MATCH(RIGHT($B282,13)&amp;"|"&amp;$C282&amp;"|"&amp;$D282&amp;"|"&amp;AH$14&amp;"|"&amp;"CY2023Q3",Spectrum!$R:$R,0)),""))</f>
        <v/>
      </c>
      <c r="AI282" s="10" t="str">
        <f aca="false">IF(LEFT($B282,4)="_Mil","",_xlfn.IFNA(ROUND(INDEX(Spectrum!$N:$N,MATCH(RIGHT($B282,13)&amp;"|"&amp;$C282&amp;"|"&amp;$D282&amp;"|"&amp;AI$14&amp;"|"&amp;"CY2023Q3",Spectrum!$R:$R,0)),0),""))</f>
        <v/>
      </c>
      <c r="AJ282" s="39" t="n">
        <f aca="false">IF(LEFT($B282,4)="_Mil","",_xlfn.IFNA(ROUND(INDEX(Spectrum!$N:$N,MATCH(RIGHT($B282,13)&amp;"|"&amp;$C282&amp;"|"&amp;$D282&amp;"|"&amp;AI$14&amp;"|"&amp;"CY2023Q3",Spectrum!$R:$R,0)),0),SUM($U282)+SUM($AI282)))</f>
        <v>0</v>
      </c>
      <c r="AK282" s="10" t="str">
        <f aca="false">IF(LEFT($B282,4)="_Mil","",_xlfn.IFNA(ROUND(INDEX(Spectrum!$N:$N,MATCH(RIGHT($B282,13)&amp;"|"&amp;$C282&amp;"|"&amp;$D282&amp;"|"&amp;AK$14&amp;"|"&amp;"CY2023Q3",Spectrum!$R:$R,0)),0),""))</f>
        <v/>
      </c>
      <c r="AL282" s="88" t="str">
        <f aca="false">IF(OR(LEFT($B282,4)="_Mil",$C282="&lt;01"),"",MAX(SUM($AA282),90%))</f>
        <v/>
      </c>
      <c r="AM282" s="10" t="str">
        <f aca="false">IF(OR(LEFT($B282,4)="_Mil",$C282="&lt;01"),"",ROUND(SUM($AJ282)*SUM($AL282),0))</f>
        <v/>
      </c>
      <c r="AN282" s="10" t="n">
        <f aca="false">IF($C282="&lt;01",ROUND(INDEX(EID!$P:$P,MATCH($B282,EID!$B:$B,0))/2,0),"")</f>
        <v>0</v>
      </c>
      <c r="AO282" s="10" t="n">
        <f aca="false">IF($C282="&lt;01",SUM($AN282),ROUND(SUM($AM282)*SUM($O282)/IF(SUM($Z282)=0,1,$Z282),0))</f>
        <v>0</v>
      </c>
      <c r="AP282" s="39" t="n">
        <f aca="false">IF(OR($F282="",$C282="&lt;01"),$AO282,$F282)</f>
        <v>0</v>
      </c>
      <c r="AQ282" s="39" t="n">
        <f aca="false">IF(LEFT($B282,4)="_Mil","",IF(SUM($AP282)=0,SUM($Z282),IF(OR(SUM($Z282)=0,SUM($O282)=0),MAX($AP282,$Z282),$AP282*$Z282/$O282)))</f>
        <v>1943</v>
      </c>
      <c r="AR282" s="88" t="str">
        <f aca="false">IF(OR(LEFT($B282,4)="_Mil",SUM($AJ282)=0),"",SUM($AQ282)/$AJ282)</f>
        <v/>
      </c>
      <c r="AS282" s="88" t="str">
        <f aca="false">IF($C282="&lt;01","",98%)</f>
        <v/>
      </c>
      <c r="AT282" s="88" t="str">
        <f aca="false">IF($C282="&lt;01","",98%)</f>
        <v/>
      </c>
      <c r="AU282" s="10" t="str">
        <f aca="false">IF($C282="&lt;01","",SUM($AP282)-SUM($O282))</f>
        <v/>
      </c>
      <c r="AV282" s="10" t="n">
        <f aca="false">IF($C282="&lt;01",ROUND(INDEX(EID!$N:$N,MATCH($B282,EID!$B:$B,0))/2,0),IF(SUM($AT282)=0,"",ROUND((SUM($AP282)-(SUM($O282)*SUM($AS282)))/$AT282,0)))</f>
        <v>0</v>
      </c>
      <c r="AW282" s="88" t="str">
        <f aca="false">IF($C282="&lt;01","",100%)</f>
        <v/>
      </c>
      <c r="AX282" s="39" t="n">
        <f aca="false">IF($C282="&lt;01",SUM($AV282),ROUND(SUM($AV282)*SUM($AW282),0))</f>
        <v>0</v>
      </c>
      <c r="AY282" s="114" t="str">
        <f aca="false">IF($C282="&lt;01","",70%)</f>
        <v/>
      </c>
      <c r="AZ282" s="91" t="n">
        <f aca="false">IF($C282="&lt;01",ROUND(INDEX(EID!$R:$R,MATCH($B282,EID!$B:$B,0))/2,0),ROUND(SUM($O282)+(SUM($AV282)*$AY282),0))</f>
        <v>0</v>
      </c>
      <c r="BA282" s="87" t="str">
        <f aca="false">IF($C282="&lt;01","",95%)</f>
        <v/>
      </c>
      <c r="BB282" s="5" t="n">
        <f aca="false">IF($C282="&lt;01",ROUND(INDEX(EID!$T:$T,MATCH($B282,EID!$B:$B,0))/2,0),ROUND($AZ282*$BA282,0))</f>
        <v>0</v>
      </c>
      <c r="BC282" s="91" t="n">
        <f aca="false">IF(LEFT($B282,4)="_Mil","",IF(SUM($BB282)=0,SUM($AD282),IF(OR(SUM($AP282)=0,SUM($AQ282)=0),MAX($BB282,$AD282),ROUND($BB282*$AQ282/$AP282,0))))</f>
        <v>0</v>
      </c>
      <c r="BD282" s="88" t="str">
        <f aca="false">IF($C282="&lt;01","",95%)</f>
        <v/>
      </c>
      <c r="BE282" s="39" t="n">
        <f aca="false">IF($C282="&lt;01",ROUND(INDEX(EID!$V:$V,MATCH($B282,EID!$B:$B,0))/2,0),ROUND($BD282*$BB282,0))</f>
        <v>0</v>
      </c>
      <c r="BF282" s="39" t="n">
        <f aca="false">IF(LEFT($B282,4)="_Mil","",IF(SUM($BE282)=0,SUM($AF282),IF(OR(SUM($AP282)=0,SUM($AQ282)=0),MAX($BE282,$AF282),ROUND($BE282*$AQ282/$AP282,0))))</f>
        <v>0</v>
      </c>
      <c r="BG282" s="114" t="str">
        <f aca="false">IF($C282="&lt;01","",95%)</f>
        <v/>
      </c>
      <c r="BH282" s="5" t="n">
        <f aca="false">IF($C282="&lt;01",ROUND(INDEX(EID!$L:$L,MATCH($B282,EID!$B:$B,0)),0)/2,IF(SUM($BG282)=0,"",ROUND($AX282/$BG282,0)))</f>
        <v>0</v>
      </c>
    </row>
    <row r="283" customFormat="false" ht="15" hidden="false" customHeight="false" outlineLevel="0" collapsed="false">
      <c r="A283" s="0" t="str">
        <f aca="false">INDEX(Prioritization!$D:$D,MATCH($B283,Prioritization!$A:$A,0))</f>
        <v>1 - Scale-up: Saturation</v>
      </c>
      <c r="B283" s="0" t="s">
        <v>213</v>
      </c>
      <c r="C283" s="0" t="s">
        <v>363</v>
      </c>
      <c r="D283" s="0" t="s">
        <v>30</v>
      </c>
      <c r="E283" s="0" t="str">
        <f aca="false">$B283&amp;"|"&amp;$C283&amp;"|"&amp;$D283</f>
        <v>Chiradzulu District [oiPR2CiVJbf]|01-09|Female</v>
      </c>
      <c r="F283" s="10"/>
      <c r="G283" s="10"/>
      <c r="H283" s="10"/>
      <c r="I283" s="10"/>
      <c r="J283" s="10"/>
      <c r="K283" s="10"/>
      <c r="L283" s="10"/>
      <c r="M283" s="10"/>
      <c r="N283" s="10"/>
      <c r="O283" s="10" t="str">
        <f aca="false">IFERROR(1/(1/MAX($I283,$N283)),"")</f>
        <v/>
      </c>
      <c r="P283" s="10"/>
      <c r="Q283" s="10"/>
      <c r="R283" s="10" t="str">
        <f aca="false">IF(AND(SUM($I283)=0,SUM($O283)=0),"",SUM($O283)-$I283)</f>
        <v/>
      </c>
      <c r="S283" s="10" t="n">
        <f aca="false">IF(LEFT($B283,4)="_Mil","",_xlfn.IFNA(ROUND(INDEX(Spectrum!$N:$N,MATCH(RIGHT($B283,13)&amp;"|"&amp;$C283&amp;"|"&amp;$D283&amp;"|"&amp;S$14&amp;"|"&amp;"CY2022Q4",Spectrum!$R:$R,0)),0),""))</f>
        <v>1333</v>
      </c>
      <c r="T283" s="39" t="n">
        <f aca="false">IF(LEFT($B283,4)="_Mil","",_xlfn.IFNA(ROUND(INDEX(Spectrum!$N:$N,MATCH(RIGHT($B283,13)&amp;"|"&amp;$C283&amp;"|"&amp;$D283&amp;"|"&amp;T$14&amp;"|"&amp;"CY2023Q3",Spectrum!$R:$R,0)),0),""))</f>
        <v>925</v>
      </c>
      <c r="U283" s="39" t="str">
        <f aca="false">IF(LEFT($B283,4)="_Mil","",_xlfn.IFNA(ROUND(INDEX(Spectrum!$N:$N,MATCH(RIGHT($B283,13)&amp;"|"&amp;$C283&amp;"|"&amp;$D283&amp;"|"&amp;U$14&amp;"|"&amp;"CY2023Q3",Spectrum!$R:$R,0)),0),""))</f>
        <v/>
      </c>
      <c r="V283" s="10" t="n">
        <f aca="false">IF(LEFT($B283,4)="_Mil","",_xlfn.IFNA(ROUND(INDEX(Spectrum!$N:$N,MATCH(RIGHT($B283,13)&amp;"|"&amp;$C283&amp;"|"&amp;$D283&amp;"|"&amp;V$14&amp;"|"&amp;"CY2023Q3",Spectrum!$R:$R,0)),0),""))</f>
        <v>1314</v>
      </c>
      <c r="W283" s="113" t="n">
        <f aca="false">IF(LEFT($B283,4)="_Mil","",_xlfn.IFNA(INDEX(Spectrum!$N:$N,MATCH(RIGHT($B283,13)&amp;"|"&amp;$C283&amp;"|"&amp;$D283&amp;"|"&amp;W$14&amp;"|"&amp;"CY2023Q3",Spectrum!$R:$R,0)),""))</f>
        <v>1073</v>
      </c>
      <c r="X283" s="39" t="n">
        <f aca="false">IF(LEFT($B283,4)="_Mil","",_xlfn.IFNA(ROUND(INDEX(Spectrum!$N:$N,MATCH(RIGHT($B283,13)&amp;"|"&amp;$C283&amp;"|"&amp;$D283&amp;"|"&amp;X$14&amp;"|"&amp;"CY2023Q3",Spectrum!$R:$R,0)),0),""))</f>
        <v>803</v>
      </c>
      <c r="Y283" s="88" t="str">
        <f aca="false">IF(OR(SUM($U283)=0,LEFT($B283,4)="_Mil"),"",SUM($X283)/$U283)</f>
        <v/>
      </c>
      <c r="Z283" s="39" t="n">
        <f aca="false">IF(LEFT($B283,4)="_Mil","",_xlfn.IFNA(ROUND(INDEX(Spectrum!$N:$N,MATCH(RIGHT($B283,13)&amp;"|"&amp;$C283&amp;"|"&amp;$D283&amp;"|"&amp;Z$14&amp;"|"&amp;"CY2023Q3",Spectrum!$R:$R,0)),0),""))</f>
        <v>1225</v>
      </c>
      <c r="AA283" s="88" t="n">
        <f aca="false">IF(LEFT($B283,4)="_Mil","",IFERROR(1/(1/INDEX(Spectrum!$N:$N,MATCH(RIGHT($B283,13)&amp;"|"&amp;$C283&amp;"|"&amp;$D283&amp;"|"&amp;AA$14&amp;"|"&amp;"CY2023Q3",Spectrum!$R:$R,0))),IF(SUM($U283)=0,"",SUM($Z283)/$U283)))</f>
        <v>607</v>
      </c>
      <c r="AB283" s="88" t="n">
        <f aca="false">IF(OR(LEFT($B283,4)="_Mil",SUM($X283)=0),"",SUM($Z283)/$X283)</f>
        <v>1.52552926525529</v>
      </c>
      <c r="AC283" s="10" t="n">
        <f aca="false">IF(LEFT($B283,4)="_Mil","",_xlfn.IFNA(ROUND(INDEX(Spectrum!$N:$N,MATCH(RIGHT($B283,13)&amp;"|"&amp;$C283&amp;"|"&amp;$D283&amp;"|"&amp;AC$14&amp;"|"&amp;"CY2023Q3",Spectrum!$R:$R,0)),0),""))</f>
        <v>576</v>
      </c>
      <c r="AD283" s="10" t="str">
        <f aca="false">IF(LEFT($B283,4)="_Mil","",_xlfn.IFNA(ROUND(INDEX(Spectrum!$N:$N,MATCH(RIGHT($B283,13)&amp;"|"&amp;$C283&amp;"|"&amp;$D283&amp;"|"&amp;AD$14&amp;"|"&amp;"CY2023Q3",Spectrum!$R:$R,0)),0),""))</f>
        <v/>
      </c>
      <c r="AE283" s="88" t="n">
        <f aca="false">IF(OR(LEFT($B283,4)="_Mil",SUM($Z283)=0),"",SUM($AD283)/$Z283)</f>
        <v>0</v>
      </c>
      <c r="AF283" s="39" t="str">
        <f aca="false">IF(LEFT($B283,4)="_Mil","",_xlfn.IFNA(ROUND(INDEX(Spectrum!$N:$N,MATCH(RIGHT($B283,13)&amp;"|"&amp;$C283&amp;"|"&amp;$D283&amp;"|"&amp;AF$14&amp;"|"&amp;"CY2023Q3",Spectrum!$R:$R,0)),0),""))</f>
        <v/>
      </c>
      <c r="AG283" s="88" t="str">
        <f aca="false">IF(OR(LEFT($B283,4)="_Mil",SUM($AD283)=0),"",SUM($AF283)/$AD283)</f>
        <v/>
      </c>
      <c r="AH283" s="86" t="str">
        <f aca="false">IF(LEFT($B283,4)="_Mil","",_xlfn.IFNA(INDEX(Spectrum!$N:$N,MATCH(RIGHT($B283,13)&amp;"|"&amp;$C283&amp;"|"&amp;$D283&amp;"|"&amp;AH$14&amp;"|"&amp;"CY2023Q3",Spectrum!$R:$R,0)),""))</f>
        <v/>
      </c>
      <c r="AI283" s="10" t="str">
        <f aca="false">IF(LEFT($B283,4)="_Mil","",_xlfn.IFNA(ROUND(INDEX(Spectrum!$N:$N,MATCH(RIGHT($B283,13)&amp;"|"&amp;$C283&amp;"|"&amp;$D283&amp;"|"&amp;AI$14&amp;"|"&amp;"CY2023Q3",Spectrum!$R:$R,0)),0),""))</f>
        <v/>
      </c>
      <c r="AJ283" s="39" t="n">
        <f aca="false">IF(LEFT($B283,4)="_Mil","",_xlfn.IFNA(ROUND(INDEX(Spectrum!$N:$N,MATCH(RIGHT($B283,13)&amp;"|"&amp;$C283&amp;"|"&amp;$D283&amp;"|"&amp;AI$14&amp;"|"&amp;"CY2023Q3",Spectrum!$R:$R,0)),0),SUM($U283)+SUM($AI283)))</f>
        <v>0</v>
      </c>
      <c r="AK283" s="10" t="str">
        <f aca="false">IF(LEFT($B283,4)="_Mil","",_xlfn.IFNA(ROUND(INDEX(Spectrum!$N:$N,MATCH(RIGHT($B283,13)&amp;"|"&amp;$C283&amp;"|"&amp;$D283&amp;"|"&amp;AK$14&amp;"|"&amp;"CY2023Q3",Spectrum!$R:$R,0)),0),""))</f>
        <v/>
      </c>
      <c r="AL283" s="88" t="n">
        <f aca="false">IF(OR(LEFT($B283,4)="_Mil",$C283="&lt;01"),"",MAX(SUM($AA283),90%))</f>
        <v>607</v>
      </c>
      <c r="AM283" s="10" t="n">
        <f aca="false">IF(OR(LEFT($B283,4)="_Mil",$C283="&lt;01"),"",ROUND(SUM($AJ283)*SUM($AL283),0))</f>
        <v>0</v>
      </c>
      <c r="AN283" s="10" t="str">
        <f aca="false">IF($C283="&lt;01",ROUND(INDEX(EID!$P:$P,MATCH($B283,EID!$B:$B,0))/2,0),"")</f>
        <v/>
      </c>
      <c r="AO283" s="10" t="n">
        <f aca="false">IF($C283="&lt;01",SUM($AN283),ROUND(SUM($AM283)*SUM($O283)/IF(SUM($Z283)=0,1,$Z283),0))</f>
        <v>0</v>
      </c>
      <c r="AP283" s="39" t="n">
        <f aca="false">IF(OR($F283="",$C283="&lt;01"),$AO283,$F283)</f>
        <v>0</v>
      </c>
      <c r="AQ283" s="39" t="n">
        <f aca="false">IF(LEFT($B283,4)="_Mil","",IF(SUM($AP283)=0,SUM($Z283),IF(OR(SUM($Z283)=0,SUM($O283)=0),MAX($AP283,$Z283),$AP283*$Z283/$O283)))</f>
        <v>1225</v>
      </c>
      <c r="AR283" s="88" t="str">
        <f aca="false">IF(OR(LEFT($B283,4)="_Mil",SUM($AJ283)=0),"",SUM($AQ283)/$AJ283)</f>
        <v/>
      </c>
      <c r="AS283" s="88" t="n">
        <f aca="false">IF($C283="&lt;01","",98%)</f>
        <v>0.98</v>
      </c>
      <c r="AT283" s="88" t="n">
        <f aca="false">IF($C283="&lt;01","",98%)</f>
        <v>0.98</v>
      </c>
      <c r="AU283" s="10" t="n">
        <f aca="false">IF($C283="&lt;01","",SUM($AP283)-SUM($O283))</f>
        <v>0</v>
      </c>
      <c r="AV283" s="10" t="n">
        <f aca="false">IF($C283="&lt;01",ROUND(INDEX(EID!$N:$N,MATCH($B283,EID!$B:$B,0))/2,0),IF(SUM($AT283)=0,"",ROUND((SUM($AP283)-(SUM($O283)*SUM($AS283)))/$AT283,0)))</f>
        <v>0</v>
      </c>
      <c r="AW283" s="88" t="n">
        <f aca="false">IF($C283="&lt;01","",100%)</f>
        <v>1</v>
      </c>
      <c r="AX283" s="39" t="n">
        <f aca="false">IF($C283="&lt;01",SUM($AV283),ROUND(SUM($AV283)*SUM($AW283),0))</f>
        <v>0</v>
      </c>
      <c r="AY283" s="114" t="n">
        <f aca="false">IF($C283="&lt;01","",70%)</f>
        <v>0.7</v>
      </c>
      <c r="AZ283" s="91" t="n">
        <f aca="false">IF($C283="&lt;01",ROUND(INDEX(EID!$R:$R,MATCH($B283,EID!$B:$B,0))/2,0),ROUND(SUM($O283)+(SUM($AV283)*$AY283),0))</f>
        <v>0</v>
      </c>
      <c r="BA283" s="87" t="n">
        <f aca="false">IF($C283="&lt;01","",95%)</f>
        <v>0.95</v>
      </c>
      <c r="BB283" s="5" t="n">
        <f aca="false">IF($C283="&lt;01",ROUND(INDEX(EID!$T:$T,MATCH($B283,EID!$B:$B,0))/2,0),ROUND($AZ283*$BA283,0))</f>
        <v>0</v>
      </c>
      <c r="BC283" s="91" t="n">
        <f aca="false">IF(LEFT($B283,4)="_Mil","",IF(SUM($BB283)=0,SUM($AD283),IF(OR(SUM($AP283)=0,SUM($AQ283)=0),MAX($BB283,$AD283),ROUND($BB283*$AQ283/$AP283,0))))</f>
        <v>0</v>
      </c>
      <c r="BD283" s="88" t="n">
        <f aca="false">IF($C283="&lt;01","",95%)</f>
        <v>0.95</v>
      </c>
      <c r="BE283" s="39" t="n">
        <f aca="false">IF($C283="&lt;01",ROUND(INDEX(EID!$V:$V,MATCH($B283,EID!$B:$B,0))/2,0),ROUND($BD283*$BB283,0))</f>
        <v>0</v>
      </c>
      <c r="BF283" s="39" t="n">
        <f aca="false">IF(LEFT($B283,4)="_Mil","",IF(SUM($BE283)=0,SUM($AF283),IF(OR(SUM($AP283)=0,SUM($AQ283)=0),MAX($BE283,$AF283),ROUND($BE283*$AQ283/$AP283,0))))</f>
        <v>0</v>
      </c>
      <c r="BG283" s="114" t="n">
        <f aca="false">IF($C283="&lt;01","",95%)</f>
        <v>0.95</v>
      </c>
      <c r="BH283" s="5" t="n">
        <f aca="false">IF($C283="&lt;01",ROUND(INDEX(EID!$L:$L,MATCH($B283,EID!$B:$B,0)),0)/2,IF(SUM($BG283)=0,"",ROUND($AX283/$BG283,0)))</f>
        <v>0</v>
      </c>
    </row>
    <row r="284" customFormat="false" ht="15" hidden="false" customHeight="false" outlineLevel="0" collapsed="false">
      <c r="A284" s="0" t="str">
        <f aca="false">INDEX(Prioritization!$D:$D,MATCH($B284,Prioritization!$A:$A,0))</f>
        <v>1 - Scale-up: Saturation</v>
      </c>
      <c r="B284" s="0" t="s">
        <v>213</v>
      </c>
      <c r="C284" s="0" t="s">
        <v>363</v>
      </c>
      <c r="D284" s="0" t="s">
        <v>48</v>
      </c>
      <c r="E284" s="0" t="str">
        <f aca="false">$B284&amp;"|"&amp;$C284&amp;"|"&amp;$D284</f>
        <v>Chiradzulu District [oiPR2CiVJbf]|01-09|Male</v>
      </c>
      <c r="F284" s="10"/>
      <c r="G284" s="10"/>
      <c r="H284" s="10"/>
      <c r="I284" s="10"/>
      <c r="J284" s="10"/>
      <c r="K284" s="10"/>
      <c r="L284" s="10"/>
      <c r="M284" s="10"/>
      <c r="N284" s="10"/>
      <c r="O284" s="10" t="str">
        <f aca="false">IFERROR(1/(1/MAX($I284,$N284)),"")</f>
        <v/>
      </c>
      <c r="P284" s="10"/>
      <c r="Q284" s="10"/>
      <c r="R284" s="10" t="str">
        <f aca="false">IF(AND(SUM($I284)=0,SUM($O284)=0),"",SUM($O284)-$I284)</f>
        <v/>
      </c>
      <c r="S284" s="10" t="n">
        <f aca="false">IF(LEFT($B284,4)="_Mil","",_xlfn.IFNA(ROUND(INDEX(Spectrum!$N:$N,MATCH(RIGHT($B284,13)&amp;"|"&amp;$C284&amp;"|"&amp;$D284&amp;"|"&amp;S$14&amp;"|"&amp;"CY2022Q4",Spectrum!$R:$R,0)),0),""))</f>
        <v>611</v>
      </c>
      <c r="T284" s="39" t="n">
        <f aca="false">IF(LEFT($B284,4)="_Mil","",_xlfn.IFNA(ROUND(INDEX(Spectrum!$N:$N,MATCH(RIGHT($B284,13)&amp;"|"&amp;$C284&amp;"|"&amp;$D284&amp;"|"&amp;T$14&amp;"|"&amp;"CY2023Q3",Spectrum!$R:$R,0)),0),""))</f>
        <v>1727</v>
      </c>
      <c r="U284" s="39" t="str">
        <f aca="false">IF(LEFT($B284,4)="_Mil","",_xlfn.IFNA(ROUND(INDEX(Spectrum!$N:$N,MATCH(RIGHT($B284,13)&amp;"|"&amp;$C284&amp;"|"&amp;$D284&amp;"|"&amp;U$14&amp;"|"&amp;"CY2023Q3",Spectrum!$R:$R,0)),0),""))</f>
        <v/>
      </c>
      <c r="V284" s="10" t="n">
        <f aca="false">IF(LEFT($B284,4)="_Mil","",_xlfn.IFNA(ROUND(INDEX(Spectrum!$N:$N,MATCH(RIGHT($B284,13)&amp;"|"&amp;$C284&amp;"|"&amp;$D284&amp;"|"&amp;V$14&amp;"|"&amp;"CY2023Q3",Spectrum!$R:$R,0)),0),""))</f>
        <v>1900</v>
      </c>
      <c r="W284" s="113" t="n">
        <f aca="false">IF(LEFT($B284,4)="_Mil","",_xlfn.IFNA(INDEX(Spectrum!$N:$N,MATCH(RIGHT($B284,13)&amp;"|"&amp;$C284&amp;"|"&amp;$D284&amp;"|"&amp;W$14&amp;"|"&amp;"CY2023Q3",Spectrum!$R:$R,0)),""))</f>
        <v>1874</v>
      </c>
      <c r="X284" s="39" t="n">
        <f aca="false">IF(LEFT($B284,4)="_Mil","",_xlfn.IFNA(ROUND(INDEX(Spectrum!$N:$N,MATCH(RIGHT($B284,13)&amp;"|"&amp;$C284&amp;"|"&amp;$D284&amp;"|"&amp;X$14&amp;"|"&amp;"CY2023Q3",Spectrum!$R:$R,0)),0),""))</f>
        <v>1710</v>
      </c>
      <c r="Y284" s="88" t="str">
        <f aca="false">IF(OR(SUM($U284)=0,LEFT($B284,4)="_Mil"),"",SUM($X284)/$U284)</f>
        <v/>
      </c>
      <c r="Z284" s="39" t="n">
        <f aca="false">IF(LEFT($B284,4)="_Mil","",_xlfn.IFNA(ROUND(INDEX(Spectrum!$N:$N,MATCH(RIGHT($B284,13)&amp;"|"&amp;$C284&amp;"|"&amp;$D284&amp;"|"&amp;Z$14&amp;"|"&amp;"CY2023Q3",Spectrum!$R:$R,0)),0),""))</f>
        <v>1891</v>
      </c>
      <c r="AA284" s="88" t="n">
        <f aca="false">IF(LEFT($B284,4)="_Mil","",IFERROR(1/(1/INDEX(Spectrum!$N:$N,MATCH(RIGHT($B284,13)&amp;"|"&amp;$C284&amp;"|"&amp;$D284&amp;"|"&amp;AA$14&amp;"|"&amp;"CY2023Q3",Spectrum!$R:$R,0))),IF(SUM($U284)=0,"",SUM($Z284)/$U284)))</f>
        <v>1387</v>
      </c>
      <c r="AB284" s="88" t="n">
        <f aca="false">IF(OR(LEFT($B284,4)="_Mil",SUM($X284)=0),"",SUM($Z284)/$X284)</f>
        <v>1.10584795321637</v>
      </c>
      <c r="AC284" s="10" t="n">
        <f aca="false">IF(LEFT($B284,4)="_Mil","",_xlfn.IFNA(ROUND(INDEX(Spectrum!$N:$N,MATCH(RIGHT($B284,13)&amp;"|"&amp;$C284&amp;"|"&amp;$D284&amp;"|"&amp;AC$14&amp;"|"&amp;"CY2023Q3",Spectrum!$R:$R,0)),0),""))</f>
        <v>1298</v>
      </c>
      <c r="AD284" s="10" t="str">
        <f aca="false">IF(LEFT($B284,4)="_Mil","",_xlfn.IFNA(ROUND(INDEX(Spectrum!$N:$N,MATCH(RIGHT($B284,13)&amp;"|"&amp;$C284&amp;"|"&amp;$D284&amp;"|"&amp;AD$14&amp;"|"&amp;"CY2023Q3",Spectrum!$R:$R,0)),0),""))</f>
        <v/>
      </c>
      <c r="AE284" s="88" t="n">
        <f aca="false">IF(OR(LEFT($B284,4)="_Mil",SUM($Z284)=0),"",SUM($AD284)/$Z284)</f>
        <v>0</v>
      </c>
      <c r="AF284" s="39" t="str">
        <f aca="false">IF(LEFT($B284,4)="_Mil","",_xlfn.IFNA(ROUND(INDEX(Spectrum!$N:$N,MATCH(RIGHT($B284,13)&amp;"|"&amp;$C284&amp;"|"&amp;$D284&amp;"|"&amp;AF$14&amp;"|"&amp;"CY2023Q3",Spectrum!$R:$R,0)),0),""))</f>
        <v/>
      </c>
      <c r="AG284" s="88" t="str">
        <f aca="false">IF(OR(LEFT($B284,4)="_Mil",SUM($AD284)=0),"",SUM($AF284)/$AD284)</f>
        <v/>
      </c>
      <c r="AH284" s="86" t="str">
        <f aca="false">IF(LEFT($B284,4)="_Mil","",_xlfn.IFNA(INDEX(Spectrum!$N:$N,MATCH(RIGHT($B284,13)&amp;"|"&amp;$C284&amp;"|"&amp;$D284&amp;"|"&amp;AH$14&amp;"|"&amp;"CY2023Q3",Spectrum!$R:$R,0)),""))</f>
        <v/>
      </c>
      <c r="AI284" s="10" t="str">
        <f aca="false">IF(LEFT($B284,4)="_Mil","",_xlfn.IFNA(ROUND(INDEX(Spectrum!$N:$N,MATCH(RIGHT($B284,13)&amp;"|"&amp;$C284&amp;"|"&amp;$D284&amp;"|"&amp;AI$14&amp;"|"&amp;"CY2023Q3",Spectrum!$R:$R,0)),0),""))</f>
        <v/>
      </c>
      <c r="AJ284" s="39" t="n">
        <f aca="false">IF(LEFT($B284,4)="_Mil","",_xlfn.IFNA(ROUND(INDEX(Spectrum!$N:$N,MATCH(RIGHT($B284,13)&amp;"|"&amp;$C284&amp;"|"&amp;$D284&amp;"|"&amp;AI$14&amp;"|"&amp;"CY2023Q3",Spectrum!$R:$R,0)),0),SUM($U284)+SUM($AI284)))</f>
        <v>0</v>
      </c>
      <c r="AK284" s="10" t="str">
        <f aca="false">IF(LEFT($B284,4)="_Mil","",_xlfn.IFNA(ROUND(INDEX(Spectrum!$N:$N,MATCH(RIGHT($B284,13)&amp;"|"&amp;$C284&amp;"|"&amp;$D284&amp;"|"&amp;AK$14&amp;"|"&amp;"CY2023Q3",Spectrum!$R:$R,0)),0),""))</f>
        <v/>
      </c>
      <c r="AL284" s="88" t="n">
        <f aca="false">IF(OR(LEFT($B284,4)="_Mil",$C284="&lt;01"),"",MAX(SUM($AA284),90%))</f>
        <v>1387</v>
      </c>
      <c r="AM284" s="10" t="n">
        <f aca="false">IF(OR(LEFT($B284,4)="_Mil",$C284="&lt;01"),"",ROUND(SUM($AJ284)*SUM($AL284),0))</f>
        <v>0</v>
      </c>
      <c r="AN284" s="10" t="str">
        <f aca="false">IF($C284="&lt;01",ROUND(INDEX(EID!$P:$P,MATCH($B284,EID!$B:$B,0))/2,0),"")</f>
        <v/>
      </c>
      <c r="AO284" s="10" t="n">
        <f aca="false">IF($C284="&lt;01",SUM($AN284),ROUND(SUM($AM284)*SUM($O284)/IF(SUM($Z284)=0,1,$Z284),0))</f>
        <v>0</v>
      </c>
      <c r="AP284" s="39" t="n">
        <f aca="false">IF(OR($F284="",$C284="&lt;01"),$AO284,$F284)</f>
        <v>0</v>
      </c>
      <c r="AQ284" s="39" t="n">
        <f aca="false">IF(LEFT($B284,4)="_Mil","",IF(SUM($AP284)=0,SUM($Z284),IF(OR(SUM($Z284)=0,SUM($O284)=0),MAX($AP284,$Z284),$AP284*$Z284/$O284)))</f>
        <v>1891</v>
      </c>
      <c r="AR284" s="88" t="str">
        <f aca="false">IF(OR(LEFT($B284,4)="_Mil",SUM($AJ284)=0),"",SUM($AQ284)/$AJ284)</f>
        <v/>
      </c>
      <c r="AS284" s="88" t="n">
        <f aca="false">IF($C284="&lt;01","",98%)</f>
        <v>0.98</v>
      </c>
      <c r="AT284" s="88" t="n">
        <f aca="false">IF($C284="&lt;01","",98%)</f>
        <v>0.98</v>
      </c>
      <c r="AU284" s="10" t="n">
        <f aca="false">IF($C284="&lt;01","",SUM($AP284)-SUM($O284))</f>
        <v>0</v>
      </c>
      <c r="AV284" s="10" t="n">
        <f aca="false">IF($C284="&lt;01",ROUND(INDEX(EID!$N:$N,MATCH($B284,EID!$B:$B,0))/2,0),IF(SUM($AT284)=0,"",ROUND((SUM($AP284)-(SUM($O284)*SUM($AS284)))/$AT284,0)))</f>
        <v>0</v>
      </c>
      <c r="AW284" s="88" t="n">
        <f aca="false">IF($C284="&lt;01","",100%)</f>
        <v>1</v>
      </c>
      <c r="AX284" s="39" t="n">
        <f aca="false">IF($C284="&lt;01",SUM($AV284),ROUND(SUM($AV284)*SUM($AW284),0))</f>
        <v>0</v>
      </c>
      <c r="AY284" s="114" t="n">
        <f aca="false">IF($C284="&lt;01","",70%)</f>
        <v>0.7</v>
      </c>
      <c r="AZ284" s="91" t="n">
        <f aca="false">IF($C284="&lt;01",ROUND(INDEX(EID!$R:$R,MATCH($B284,EID!$B:$B,0))/2,0),ROUND(SUM($O284)+(SUM($AV284)*$AY284),0))</f>
        <v>0</v>
      </c>
      <c r="BA284" s="87" t="n">
        <f aca="false">IF($C284="&lt;01","",95%)</f>
        <v>0.95</v>
      </c>
      <c r="BB284" s="5" t="n">
        <f aca="false">IF($C284="&lt;01",ROUND(INDEX(EID!$T:$T,MATCH($B284,EID!$B:$B,0))/2,0),ROUND($AZ284*$BA284,0))</f>
        <v>0</v>
      </c>
      <c r="BC284" s="91" t="n">
        <f aca="false">IF(LEFT($B284,4)="_Mil","",IF(SUM($BB284)=0,SUM($AD284),IF(OR(SUM($AP284)=0,SUM($AQ284)=0),MAX($BB284,$AD284),ROUND($BB284*$AQ284/$AP284,0))))</f>
        <v>0</v>
      </c>
      <c r="BD284" s="88" t="n">
        <f aca="false">IF($C284="&lt;01","",95%)</f>
        <v>0.95</v>
      </c>
      <c r="BE284" s="39" t="n">
        <f aca="false">IF($C284="&lt;01",ROUND(INDEX(EID!$V:$V,MATCH($B284,EID!$B:$B,0))/2,0),ROUND($BD284*$BB284,0))</f>
        <v>0</v>
      </c>
      <c r="BF284" s="39" t="n">
        <f aca="false">IF(LEFT($B284,4)="_Mil","",IF(SUM($BE284)=0,SUM($AF284),IF(OR(SUM($AP284)=0,SUM($AQ284)=0),MAX($BE284,$AF284),ROUND($BE284*$AQ284/$AP284,0))))</f>
        <v>0</v>
      </c>
      <c r="BG284" s="114" t="n">
        <f aca="false">IF($C284="&lt;01","",95%)</f>
        <v>0.95</v>
      </c>
      <c r="BH284" s="5" t="n">
        <f aca="false">IF($C284="&lt;01",ROUND(INDEX(EID!$L:$L,MATCH($B284,EID!$B:$B,0)),0)/2,IF(SUM($BG284)=0,"",ROUND($AX284/$BG284,0)))</f>
        <v>0</v>
      </c>
    </row>
    <row r="285" customFormat="false" ht="15" hidden="false" customHeight="false" outlineLevel="0" collapsed="false">
      <c r="A285" s="0" t="str">
        <f aca="false">INDEX(Prioritization!$D:$D,MATCH($B285,Prioritization!$A:$A,0))</f>
        <v>1 - Scale-up: Saturation</v>
      </c>
      <c r="B285" s="0" t="s">
        <v>213</v>
      </c>
      <c r="C285" s="0" t="s">
        <v>364</v>
      </c>
      <c r="D285" s="0" t="s">
        <v>30</v>
      </c>
      <c r="E285" s="0" t="str">
        <f aca="false">$B285&amp;"|"&amp;$C285&amp;"|"&amp;$D285</f>
        <v>Chiradzulu District [oiPR2CiVJbf]|10-14|Female</v>
      </c>
      <c r="F285" s="10"/>
      <c r="G285" s="10" t="n">
        <v>8</v>
      </c>
      <c r="H285" s="10" t="n">
        <v>9</v>
      </c>
      <c r="I285" s="10" t="n">
        <v>25</v>
      </c>
      <c r="J285" s="10" t="n">
        <v>67</v>
      </c>
      <c r="K285" s="10" t="n">
        <v>30</v>
      </c>
      <c r="L285" s="10" t="n">
        <v>7</v>
      </c>
      <c r="M285" s="10" t="n">
        <v>3</v>
      </c>
      <c r="N285" s="10" t="n">
        <v>25</v>
      </c>
      <c r="O285" s="10" t="n">
        <f aca="false">IFERROR(1/(1/MAX($I285,$N285)),"")</f>
        <v>25</v>
      </c>
      <c r="P285" s="10" t="n">
        <v>50</v>
      </c>
      <c r="Q285" s="10" t="n">
        <v>22</v>
      </c>
      <c r="R285" s="10" t="n">
        <f aca="false">IF(AND(SUM($I285)=0,SUM($O285)=0),"",SUM($O285)-$I285)</f>
        <v>0</v>
      </c>
      <c r="S285" s="10" t="n">
        <f aca="false">IF(LEFT($B285,4)="_Mil","",_xlfn.IFNA(ROUND(INDEX(Spectrum!$N:$N,MATCH(RIGHT($B285,13)&amp;"|"&amp;$C285&amp;"|"&amp;$D285&amp;"|"&amp;S$14&amp;"|"&amp;"CY2022Q4",Spectrum!$R:$R,0)),0),""))</f>
        <v>925</v>
      </c>
      <c r="T285" s="39" t="n">
        <f aca="false">IF(LEFT($B285,4)="_Mil","",_xlfn.IFNA(ROUND(INDEX(Spectrum!$N:$N,MATCH(RIGHT($B285,13)&amp;"|"&amp;$C285&amp;"|"&amp;$D285&amp;"|"&amp;T$14&amp;"|"&amp;"CY2023Q3",Spectrum!$R:$R,0)),0),""))</f>
        <v>1439</v>
      </c>
      <c r="U285" s="39" t="str">
        <f aca="false">IF(LEFT($B285,4)="_Mil","",_xlfn.IFNA(ROUND(INDEX(Spectrum!$N:$N,MATCH(RIGHT($B285,13)&amp;"|"&amp;$C285&amp;"|"&amp;$D285&amp;"|"&amp;U$14&amp;"|"&amp;"CY2023Q3",Spectrum!$R:$R,0)),0),""))</f>
        <v/>
      </c>
      <c r="V285" s="10" t="n">
        <f aca="false">IF(LEFT($B285,4)="_Mil","",_xlfn.IFNA(ROUND(INDEX(Spectrum!$N:$N,MATCH(RIGHT($B285,13)&amp;"|"&amp;$C285&amp;"|"&amp;$D285&amp;"|"&amp;V$14&amp;"|"&amp;"CY2023Q3",Spectrum!$R:$R,0)),0),""))</f>
        <v>1087</v>
      </c>
      <c r="W285" s="113" t="n">
        <f aca="false">IF(LEFT($B285,4)="_Mil","",_xlfn.IFNA(INDEX(Spectrum!$N:$N,MATCH(RIGHT($B285,13)&amp;"|"&amp;$C285&amp;"|"&amp;$D285&amp;"|"&amp;W$14&amp;"|"&amp;"CY2023Q3",Spectrum!$R:$R,0)),""))</f>
        <v>1248</v>
      </c>
      <c r="X285" s="39" t="n">
        <f aca="false">IF(LEFT($B285,4)="_Mil","",_xlfn.IFNA(ROUND(INDEX(Spectrum!$N:$N,MATCH(RIGHT($B285,13)&amp;"|"&amp;$C285&amp;"|"&amp;$D285&amp;"|"&amp;X$14&amp;"|"&amp;"CY2023Q3",Spectrum!$R:$R,0)),0),""))</f>
        <v>1251</v>
      </c>
      <c r="Y285" s="88" t="str">
        <f aca="false">IF(OR(SUM($U285)=0,LEFT($B285,4)="_Mil"),"",SUM($X285)/$U285)</f>
        <v/>
      </c>
      <c r="Z285" s="39" t="n">
        <f aca="false">IF(LEFT($B285,4)="_Mil","",_xlfn.IFNA(ROUND(INDEX(Spectrum!$N:$N,MATCH(RIGHT($B285,13)&amp;"|"&amp;$C285&amp;"|"&amp;$D285&amp;"|"&amp;Z$14&amp;"|"&amp;"CY2023Q3",Spectrum!$R:$R,0)),0),""))</f>
        <v>978</v>
      </c>
      <c r="AA285" s="88" t="n">
        <f aca="false">IF(LEFT($B285,4)="_Mil","",IFERROR(1/(1/INDEX(Spectrum!$N:$N,MATCH(RIGHT($B285,13)&amp;"|"&amp;$C285&amp;"|"&amp;$D285&amp;"|"&amp;AA$14&amp;"|"&amp;"CY2023Q3",Spectrum!$R:$R,0))),IF(SUM($U285)=0,"",SUM($Z285)/$U285)))</f>
        <v>1675</v>
      </c>
      <c r="AB285" s="88" t="n">
        <f aca="false">IF(OR(LEFT($B285,4)="_Mil",SUM($X285)=0),"",SUM($Z285)/$X285)</f>
        <v>0.781774580335731</v>
      </c>
      <c r="AC285" s="10" t="n">
        <f aca="false">IF(LEFT($B285,4)="_Mil","",_xlfn.IFNA(ROUND(INDEX(Spectrum!$N:$N,MATCH(RIGHT($B285,13)&amp;"|"&amp;$C285&amp;"|"&amp;$D285&amp;"|"&amp;AC$14&amp;"|"&amp;"CY2023Q3",Spectrum!$R:$R,0)),0),""))</f>
        <v>1683</v>
      </c>
      <c r="AD285" s="10" t="str">
        <f aca="false">IF(LEFT($B285,4)="_Mil","",_xlfn.IFNA(ROUND(INDEX(Spectrum!$N:$N,MATCH(RIGHT($B285,13)&amp;"|"&amp;$C285&amp;"|"&amp;$D285&amp;"|"&amp;AD$14&amp;"|"&amp;"CY2023Q3",Spectrum!$R:$R,0)),0),""))</f>
        <v/>
      </c>
      <c r="AE285" s="88" t="n">
        <f aca="false">IF(OR(LEFT($B285,4)="_Mil",SUM($Z285)=0),"",SUM($AD285)/$Z285)</f>
        <v>0</v>
      </c>
      <c r="AF285" s="39" t="str">
        <f aca="false">IF(LEFT($B285,4)="_Mil","",_xlfn.IFNA(ROUND(INDEX(Spectrum!$N:$N,MATCH(RIGHT($B285,13)&amp;"|"&amp;$C285&amp;"|"&amp;$D285&amp;"|"&amp;AF$14&amp;"|"&amp;"CY2023Q3",Spectrum!$R:$R,0)),0),""))</f>
        <v/>
      </c>
      <c r="AG285" s="88" t="str">
        <f aca="false">IF(OR(LEFT($B285,4)="_Mil",SUM($AD285)=0),"",SUM($AF285)/$AD285)</f>
        <v/>
      </c>
      <c r="AH285" s="86" t="str">
        <f aca="false">IF(LEFT($B285,4)="_Mil","",_xlfn.IFNA(INDEX(Spectrum!$N:$N,MATCH(RIGHT($B285,13)&amp;"|"&amp;$C285&amp;"|"&amp;$D285&amp;"|"&amp;AH$14&amp;"|"&amp;"CY2023Q3",Spectrum!$R:$R,0)),""))</f>
        <v/>
      </c>
      <c r="AI285" s="10" t="str">
        <f aca="false">IF(LEFT($B285,4)="_Mil","",_xlfn.IFNA(ROUND(INDEX(Spectrum!$N:$N,MATCH(RIGHT($B285,13)&amp;"|"&amp;$C285&amp;"|"&amp;$D285&amp;"|"&amp;AI$14&amp;"|"&amp;"CY2023Q3",Spectrum!$R:$R,0)),0),""))</f>
        <v/>
      </c>
      <c r="AJ285" s="39" t="n">
        <f aca="false">IF(LEFT($B285,4)="_Mil","",_xlfn.IFNA(ROUND(INDEX(Spectrum!$N:$N,MATCH(RIGHT($B285,13)&amp;"|"&amp;$C285&amp;"|"&amp;$D285&amp;"|"&amp;AI$14&amp;"|"&amp;"CY2023Q3",Spectrum!$R:$R,0)),0),SUM($U285)+SUM($AI285)))</f>
        <v>0</v>
      </c>
      <c r="AK285" s="10" t="str">
        <f aca="false">IF(LEFT($B285,4)="_Mil","",_xlfn.IFNA(ROUND(INDEX(Spectrum!$N:$N,MATCH(RIGHT($B285,13)&amp;"|"&amp;$C285&amp;"|"&amp;$D285&amp;"|"&amp;AK$14&amp;"|"&amp;"CY2023Q3",Spectrum!$R:$R,0)),0),""))</f>
        <v/>
      </c>
      <c r="AL285" s="88" t="n">
        <f aca="false">IF(OR(LEFT($B285,4)="_Mil",$C285="&lt;01"),"",MAX(SUM($AA285),90%))</f>
        <v>1675</v>
      </c>
      <c r="AM285" s="10" t="n">
        <f aca="false">IF(OR(LEFT($B285,4)="_Mil",$C285="&lt;01"),"",ROUND(SUM($AJ285)*SUM($AL285),0))</f>
        <v>0</v>
      </c>
      <c r="AN285" s="10" t="str">
        <f aca="false">IF($C285="&lt;01",ROUND(INDEX(EID!$P:$P,MATCH($B285,EID!$B:$B,0))/2,0),"")</f>
        <v/>
      </c>
      <c r="AO285" s="10" t="n">
        <f aca="false">IF($C285="&lt;01",SUM($AN285),ROUND(SUM($AM285)*SUM($O285)/IF(SUM($Z285)=0,1,$Z285),0))</f>
        <v>0</v>
      </c>
      <c r="AP285" s="39" t="n">
        <f aca="false">IF(OR($F285="",$C285="&lt;01"),$AO285,$F285)</f>
        <v>0</v>
      </c>
      <c r="AQ285" s="39" t="n">
        <f aca="false">IF(LEFT($B285,4)="_Mil","",IF(SUM($AP285)=0,SUM($Z285),IF(OR(SUM($Z285)=0,SUM($O285)=0),MAX($AP285,$Z285),$AP285*$Z285/$O285)))</f>
        <v>978</v>
      </c>
      <c r="AR285" s="88" t="str">
        <f aca="false">IF(OR(LEFT($B285,4)="_Mil",SUM($AJ285)=0),"",SUM($AQ285)/$AJ285)</f>
        <v/>
      </c>
      <c r="AS285" s="88" t="n">
        <f aca="false">IF($C285="&lt;01","",98%)</f>
        <v>0.98</v>
      </c>
      <c r="AT285" s="88" t="n">
        <f aca="false">IF($C285="&lt;01","",98%)</f>
        <v>0.98</v>
      </c>
      <c r="AU285" s="10" t="n">
        <f aca="false">IF($C285="&lt;01","",SUM($AP285)-SUM($O285))</f>
        <v>-25</v>
      </c>
      <c r="AV285" s="10" t="n">
        <f aca="false">IF($C285="&lt;01",ROUND(INDEX(EID!$N:$N,MATCH($B285,EID!$B:$B,0))/2,0),IF(SUM($AT285)=0,"",ROUND((SUM($AP285)-(SUM($O285)*SUM($AS285)))/$AT285,0)))</f>
        <v>-25</v>
      </c>
      <c r="AW285" s="88" t="n">
        <f aca="false">IF($C285="&lt;01","",100%)</f>
        <v>1</v>
      </c>
      <c r="AX285" s="39" t="n">
        <f aca="false">IF($C285="&lt;01",SUM($AV285),ROUND(SUM($AV285)*SUM($AW285),0))</f>
        <v>-25</v>
      </c>
      <c r="AY285" s="114" t="n">
        <f aca="false">IF($C285="&lt;01","",70%)</f>
        <v>0.7</v>
      </c>
      <c r="AZ285" s="91" t="n">
        <f aca="false">IF($C285="&lt;01",ROUND(INDEX(EID!$R:$R,MATCH($B285,EID!$B:$B,0))/2,0),ROUND(SUM($O285)+(SUM($AV285)*$AY285),0))</f>
        <v>8</v>
      </c>
      <c r="BA285" s="87" t="n">
        <f aca="false">IF($C285="&lt;01","",95%)</f>
        <v>0.95</v>
      </c>
      <c r="BB285" s="5" t="n">
        <f aca="false">IF($C285="&lt;01",ROUND(INDEX(EID!$T:$T,MATCH($B285,EID!$B:$B,0))/2,0),ROUND($AZ285*$BA285,0))</f>
        <v>8</v>
      </c>
      <c r="BC285" s="91" t="n">
        <f aca="false">IF(LEFT($B285,4)="_Mil","",IF(SUM($BB285)=0,SUM($AD285),IF(OR(SUM($AP285)=0,SUM($AQ285)=0),MAX($BB285,$AD285),ROUND($BB285*$AQ285/$AP285,0))))</f>
        <v>8</v>
      </c>
      <c r="BD285" s="88" t="n">
        <f aca="false">IF($C285="&lt;01","",95%)</f>
        <v>0.95</v>
      </c>
      <c r="BE285" s="39" t="n">
        <f aca="false">IF($C285="&lt;01",ROUND(INDEX(EID!$V:$V,MATCH($B285,EID!$B:$B,0))/2,0),ROUND($BD285*$BB285,0))</f>
        <v>8</v>
      </c>
      <c r="BF285" s="39" t="n">
        <f aca="false">IF(LEFT($B285,4)="_Mil","",IF(SUM($BE285)=0,SUM($AF285),IF(OR(SUM($AP285)=0,SUM($AQ285)=0),MAX($BE285,$AF285),ROUND($BE285*$AQ285/$AP285,0))))</f>
        <v>8</v>
      </c>
      <c r="BG285" s="114" t="n">
        <f aca="false">IF($C285="&lt;01","",95%)</f>
        <v>0.95</v>
      </c>
      <c r="BH285" s="5" t="n">
        <f aca="false">IF($C285="&lt;01",ROUND(INDEX(EID!$L:$L,MATCH($B285,EID!$B:$B,0)),0)/2,IF(SUM($BG285)=0,"",ROUND($AX285/$BG285,0)))</f>
        <v>-26</v>
      </c>
    </row>
    <row r="286" customFormat="false" ht="15" hidden="false" customHeight="false" outlineLevel="0" collapsed="false">
      <c r="A286" s="0" t="str">
        <f aca="false">INDEX(Prioritization!$D:$D,MATCH($B286,Prioritization!$A:$A,0))</f>
        <v>1 - Scale-up: Saturation</v>
      </c>
      <c r="B286" s="0" t="s">
        <v>213</v>
      </c>
      <c r="C286" s="0" t="s">
        <v>364</v>
      </c>
      <c r="D286" s="0" t="s">
        <v>48</v>
      </c>
      <c r="E286" s="0" t="str">
        <f aca="false">$B286&amp;"|"&amp;$C286&amp;"|"&amp;$D286</f>
        <v>Chiradzulu District [oiPR2CiVJbf]|10-14|Male</v>
      </c>
      <c r="F286" s="10"/>
      <c r="G286" s="10" t="n">
        <v>5</v>
      </c>
      <c r="H286" s="10" t="n">
        <v>1</v>
      </c>
      <c r="I286" s="10" t="n">
        <v>47</v>
      </c>
      <c r="J286" s="10" t="n">
        <v>15</v>
      </c>
      <c r="K286" s="10" t="n">
        <v>20</v>
      </c>
      <c r="L286" s="10" t="n">
        <v>8</v>
      </c>
      <c r="M286" s="10" t="n">
        <v>7</v>
      </c>
      <c r="N286" s="10" t="n">
        <v>11</v>
      </c>
      <c r="O286" s="10" t="n">
        <f aca="false">IFERROR(1/(1/MAX($I286,$N286)),"")</f>
        <v>47</v>
      </c>
      <c r="P286" s="10" t="n">
        <v>35</v>
      </c>
      <c r="Q286" s="10" t="n">
        <v>44</v>
      </c>
      <c r="R286" s="10" t="n">
        <f aca="false">IF(AND(SUM($I286)=0,SUM($O286)=0),"",SUM($O286)-$I286)</f>
        <v>0</v>
      </c>
      <c r="S286" s="10" t="n">
        <f aca="false">IF(LEFT($B286,4)="_Mil","",_xlfn.IFNA(ROUND(INDEX(Spectrum!$N:$N,MATCH(RIGHT($B286,13)&amp;"|"&amp;$C286&amp;"|"&amp;$D286&amp;"|"&amp;S$14&amp;"|"&amp;"CY2022Q4",Spectrum!$R:$R,0)),0),""))</f>
        <v>1618</v>
      </c>
      <c r="T286" s="39" t="n">
        <f aca="false">IF(LEFT($B286,4)="_Mil","",_xlfn.IFNA(ROUND(INDEX(Spectrum!$N:$N,MATCH(RIGHT($B286,13)&amp;"|"&amp;$C286&amp;"|"&amp;$D286&amp;"|"&amp;T$14&amp;"|"&amp;"CY2023Q3",Spectrum!$R:$R,0)),0),""))</f>
        <v>1962</v>
      </c>
      <c r="U286" s="39" t="str">
        <f aca="false">IF(LEFT($B286,4)="_Mil","",_xlfn.IFNA(ROUND(INDEX(Spectrum!$N:$N,MATCH(RIGHT($B286,13)&amp;"|"&amp;$C286&amp;"|"&amp;$D286&amp;"|"&amp;U$14&amp;"|"&amp;"CY2023Q3",Spectrum!$R:$R,0)),0),""))</f>
        <v/>
      </c>
      <c r="V286" s="10" t="n">
        <f aca="false">IF(LEFT($B286,4)="_Mil","",_xlfn.IFNA(ROUND(INDEX(Spectrum!$N:$N,MATCH(RIGHT($B286,13)&amp;"|"&amp;$C286&amp;"|"&amp;$D286&amp;"|"&amp;V$14&amp;"|"&amp;"CY2023Q3",Spectrum!$R:$R,0)),0),""))</f>
        <v>1119</v>
      </c>
      <c r="W286" s="113" t="n">
        <f aca="false">IF(LEFT($B286,4)="_Mil","",_xlfn.IFNA(INDEX(Spectrum!$N:$N,MATCH(RIGHT($B286,13)&amp;"|"&amp;$C286&amp;"|"&amp;$D286&amp;"|"&amp;W$14&amp;"|"&amp;"CY2023Q3",Spectrum!$R:$R,0)),""))</f>
        <v>946</v>
      </c>
      <c r="X286" s="39" t="n">
        <f aca="false">IF(LEFT($B286,4)="_Mil","",_xlfn.IFNA(ROUND(INDEX(Spectrum!$N:$N,MATCH(RIGHT($B286,13)&amp;"|"&amp;$C286&amp;"|"&amp;$D286&amp;"|"&amp;X$14&amp;"|"&amp;"CY2023Q3",Spectrum!$R:$R,0)),0),""))</f>
        <v>1674</v>
      </c>
      <c r="Y286" s="88" t="str">
        <f aca="false">IF(OR(SUM($U286)=0,LEFT($B286,4)="_Mil"),"",SUM($X286)/$U286)</f>
        <v/>
      </c>
      <c r="Z286" s="39" t="n">
        <f aca="false">IF(LEFT($B286,4)="_Mil","",_xlfn.IFNA(ROUND(INDEX(Spectrum!$N:$N,MATCH(RIGHT($B286,13)&amp;"|"&amp;$C286&amp;"|"&amp;$D286&amp;"|"&amp;Z$14&amp;"|"&amp;"CY2023Q3",Spectrum!$R:$R,0)),0),""))</f>
        <v>831</v>
      </c>
      <c r="AA286" s="88" t="n">
        <f aca="false">IF(LEFT($B286,4)="_Mil","",IFERROR(1/(1/INDEX(Spectrum!$N:$N,MATCH(RIGHT($B286,13)&amp;"|"&amp;$C286&amp;"|"&amp;$D286&amp;"|"&amp;AA$14&amp;"|"&amp;"CY2023Q3",Spectrum!$R:$R,0))),IF(SUM($U286)=0,"",SUM($Z286)/$U286)))</f>
        <v>1851</v>
      </c>
      <c r="AB286" s="88" t="n">
        <f aca="false">IF(OR(LEFT($B286,4)="_Mil",SUM($X286)=0),"",SUM($Z286)/$X286)</f>
        <v>0.496415770609319</v>
      </c>
      <c r="AC286" s="10" t="n">
        <f aca="false">IF(LEFT($B286,4)="_Mil","",_xlfn.IFNA(ROUND(INDEX(Spectrum!$N:$N,MATCH(RIGHT($B286,13)&amp;"|"&amp;$C286&amp;"|"&amp;$D286&amp;"|"&amp;AC$14&amp;"|"&amp;"CY2023Q3",Spectrum!$R:$R,0)),0),""))</f>
        <v>581</v>
      </c>
      <c r="AD286" s="10" t="str">
        <f aca="false">IF(LEFT($B286,4)="_Mil","",_xlfn.IFNA(ROUND(INDEX(Spectrum!$N:$N,MATCH(RIGHT($B286,13)&amp;"|"&amp;$C286&amp;"|"&amp;$D286&amp;"|"&amp;AD$14&amp;"|"&amp;"CY2023Q3",Spectrum!$R:$R,0)),0),""))</f>
        <v/>
      </c>
      <c r="AE286" s="88" t="n">
        <f aca="false">IF(OR(LEFT($B286,4)="_Mil",SUM($Z286)=0),"",SUM($AD286)/$Z286)</f>
        <v>0</v>
      </c>
      <c r="AF286" s="39" t="str">
        <f aca="false">IF(LEFT($B286,4)="_Mil","",_xlfn.IFNA(ROUND(INDEX(Spectrum!$N:$N,MATCH(RIGHT($B286,13)&amp;"|"&amp;$C286&amp;"|"&amp;$D286&amp;"|"&amp;AF$14&amp;"|"&amp;"CY2023Q3",Spectrum!$R:$R,0)),0),""))</f>
        <v/>
      </c>
      <c r="AG286" s="88" t="str">
        <f aca="false">IF(OR(LEFT($B286,4)="_Mil",SUM($AD286)=0),"",SUM($AF286)/$AD286)</f>
        <v/>
      </c>
      <c r="AH286" s="86" t="str">
        <f aca="false">IF(LEFT($B286,4)="_Mil","",_xlfn.IFNA(INDEX(Spectrum!$N:$N,MATCH(RIGHT($B286,13)&amp;"|"&amp;$C286&amp;"|"&amp;$D286&amp;"|"&amp;AH$14&amp;"|"&amp;"CY2023Q3",Spectrum!$R:$R,0)),""))</f>
        <v/>
      </c>
      <c r="AI286" s="10" t="str">
        <f aca="false">IF(LEFT($B286,4)="_Mil","",_xlfn.IFNA(ROUND(INDEX(Spectrum!$N:$N,MATCH(RIGHT($B286,13)&amp;"|"&amp;$C286&amp;"|"&amp;$D286&amp;"|"&amp;AI$14&amp;"|"&amp;"CY2023Q3",Spectrum!$R:$R,0)),0),""))</f>
        <v/>
      </c>
      <c r="AJ286" s="39" t="n">
        <f aca="false">IF(LEFT($B286,4)="_Mil","",_xlfn.IFNA(ROUND(INDEX(Spectrum!$N:$N,MATCH(RIGHT($B286,13)&amp;"|"&amp;$C286&amp;"|"&amp;$D286&amp;"|"&amp;AI$14&amp;"|"&amp;"CY2023Q3",Spectrum!$R:$R,0)),0),SUM($U286)+SUM($AI286)))</f>
        <v>0</v>
      </c>
      <c r="AK286" s="10" t="str">
        <f aca="false">IF(LEFT($B286,4)="_Mil","",_xlfn.IFNA(ROUND(INDEX(Spectrum!$N:$N,MATCH(RIGHT($B286,13)&amp;"|"&amp;$C286&amp;"|"&amp;$D286&amp;"|"&amp;AK$14&amp;"|"&amp;"CY2023Q3",Spectrum!$R:$R,0)),0),""))</f>
        <v/>
      </c>
      <c r="AL286" s="88" t="n">
        <f aca="false">IF(OR(LEFT($B286,4)="_Mil",$C286="&lt;01"),"",MAX(SUM($AA286),90%))</f>
        <v>1851</v>
      </c>
      <c r="AM286" s="10" t="n">
        <f aca="false">IF(OR(LEFT($B286,4)="_Mil",$C286="&lt;01"),"",ROUND(SUM($AJ286)*SUM($AL286),0))</f>
        <v>0</v>
      </c>
      <c r="AN286" s="10" t="str">
        <f aca="false">IF($C286="&lt;01",ROUND(INDEX(EID!$P:$P,MATCH($B286,EID!$B:$B,0))/2,0),"")</f>
        <v/>
      </c>
      <c r="AO286" s="10" t="n">
        <f aca="false">IF($C286="&lt;01",SUM($AN286),ROUND(SUM($AM286)*SUM($O286)/IF(SUM($Z286)=0,1,$Z286),0))</f>
        <v>0</v>
      </c>
      <c r="AP286" s="39" t="n">
        <f aca="false">IF(OR($F286="",$C286="&lt;01"),$AO286,$F286)</f>
        <v>0</v>
      </c>
      <c r="AQ286" s="39" t="n">
        <f aca="false">IF(LEFT($B286,4)="_Mil","",IF(SUM($AP286)=0,SUM($Z286),IF(OR(SUM($Z286)=0,SUM($O286)=0),MAX($AP286,$Z286),$AP286*$Z286/$O286)))</f>
        <v>831</v>
      </c>
      <c r="AR286" s="88" t="str">
        <f aca="false">IF(OR(LEFT($B286,4)="_Mil",SUM($AJ286)=0),"",SUM($AQ286)/$AJ286)</f>
        <v/>
      </c>
      <c r="AS286" s="88" t="n">
        <f aca="false">IF($C286="&lt;01","",98%)</f>
        <v>0.98</v>
      </c>
      <c r="AT286" s="88" t="n">
        <f aca="false">IF($C286="&lt;01","",98%)</f>
        <v>0.98</v>
      </c>
      <c r="AU286" s="10" t="n">
        <f aca="false">IF($C286="&lt;01","",SUM($AP286)-SUM($O286))</f>
        <v>-47</v>
      </c>
      <c r="AV286" s="10" t="n">
        <f aca="false">IF($C286="&lt;01",ROUND(INDEX(EID!$N:$N,MATCH($B286,EID!$B:$B,0))/2,0),IF(SUM($AT286)=0,"",ROUND((SUM($AP286)-(SUM($O286)*SUM($AS286)))/$AT286,0)))</f>
        <v>-47</v>
      </c>
      <c r="AW286" s="88" t="n">
        <f aca="false">IF($C286="&lt;01","",100%)</f>
        <v>1</v>
      </c>
      <c r="AX286" s="39" t="n">
        <f aca="false">IF($C286="&lt;01",SUM($AV286),ROUND(SUM($AV286)*SUM($AW286),0))</f>
        <v>-47</v>
      </c>
      <c r="AY286" s="114" t="n">
        <f aca="false">IF($C286="&lt;01","",70%)</f>
        <v>0.7</v>
      </c>
      <c r="AZ286" s="91" t="n">
        <f aca="false">IF($C286="&lt;01",ROUND(INDEX(EID!$R:$R,MATCH($B286,EID!$B:$B,0))/2,0),ROUND(SUM($O286)+(SUM($AV286)*$AY286),0))</f>
        <v>14</v>
      </c>
      <c r="BA286" s="87" t="n">
        <f aca="false">IF($C286="&lt;01","",95%)</f>
        <v>0.95</v>
      </c>
      <c r="BB286" s="5" t="n">
        <f aca="false">IF($C286="&lt;01",ROUND(INDEX(EID!$T:$T,MATCH($B286,EID!$B:$B,0))/2,0),ROUND($AZ286*$BA286,0))</f>
        <v>13</v>
      </c>
      <c r="BC286" s="91" t="n">
        <f aca="false">IF(LEFT($B286,4)="_Mil","",IF(SUM($BB286)=0,SUM($AD286),IF(OR(SUM($AP286)=0,SUM($AQ286)=0),MAX($BB286,$AD286),ROUND($BB286*$AQ286/$AP286,0))))</f>
        <v>13</v>
      </c>
      <c r="BD286" s="88" t="n">
        <f aca="false">IF($C286="&lt;01","",95%)</f>
        <v>0.95</v>
      </c>
      <c r="BE286" s="39" t="n">
        <f aca="false">IF($C286="&lt;01",ROUND(INDEX(EID!$V:$V,MATCH($B286,EID!$B:$B,0))/2,0),ROUND($BD286*$BB286,0))</f>
        <v>12</v>
      </c>
      <c r="BF286" s="39" t="n">
        <f aca="false">IF(LEFT($B286,4)="_Mil","",IF(SUM($BE286)=0,SUM($AF286),IF(OR(SUM($AP286)=0,SUM($AQ286)=0),MAX($BE286,$AF286),ROUND($BE286*$AQ286/$AP286,0))))</f>
        <v>12</v>
      </c>
      <c r="BG286" s="114" t="n">
        <f aca="false">IF($C286="&lt;01","",95%)</f>
        <v>0.95</v>
      </c>
      <c r="BH286" s="5" t="n">
        <f aca="false">IF($C286="&lt;01",ROUND(INDEX(EID!$L:$L,MATCH($B286,EID!$B:$B,0)),0)/2,IF(SUM($BG286)=0,"",ROUND($AX286/$BG286,0)))</f>
        <v>-49</v>
      </c>
    </row>
    <row r="287" customFormat="false" ht="15" hidden="false" customHeight="false" outlineLevel="0" collapsed="false">
      <c r="A287" s="0" t="str">
        <f aca="false">INDEX(Prioritization!$D:$D,MATCH($B287,Prioritization!$A:$A,0))</f>
        <v>1 - Scale-up: Saturation</v>
      </c>
      <c r="B287" s="0" t="s">
        <v>213</v>
      </c>
      <c r="C287" s="0" t="s">
        <v>365</v>
      </c>
      <c r="D287" s="0" t="s">
        <v>30</v>
      </c>
      <c r="E287" s="0" t="str">
        <f aca="false">$B287&amp;"|"&amp;$C287&amp;"|"&amp;$D287</f>
        <v>Chiradzulu District [oiPR2CiVJbf]|15-24|Female</v>
      </c>
      <c r="F287" s="10"/>
      <c r="G287" s="10"/>
      <c r="H287" s="10"/>
      <c r="I287" s="10"/>
      <c r="J287" s="10"/>
      <c r="K287" s="10"/>
      <c r="L287" s="10"/>
      <c r="M287" s="10"/>
      <c r="N287" s="10"/>
      <c r="O287" s="10" t="str">
        <f aca="false">IFERROR(1/(1/MAX($I287,$N287)),"")</f>
        <v/>
      </c>
      <c r="P287" s="10"/>
      <c r="Q287" s="10"/>
      <c r="R287" s="10" t="str">
        <f aca="false">IF(AND(SUM($I287)=0,SUM($O287)=0),"",SUM($O287)-$I287)</f>
        <v/>
      </c>
      <c r="S287" s="10" t="n">
        <f aca="false">IF(LEFT($B287,4)="_Mil","",_xlfn.IFNA(ROUND(INDEX(Spectrum!$N:$N,MATCH(RIGHT($B287,13)&amp;"|"&amp;$C287&amp;"|"&amp;$D287&amp;"|"&amp;S$14&amp;"|"&amp;"CY2022Q4",Spectrum!$R:$R,0)),0),""))</f>
        <v>1783</v>
      </c>
      <c r="T287" s="39" t="n">
        <f aca="false">IF(LEFT($B287,4)="_Mil","",_xlfn.IFNA(ROUND(INDEX(Spectrum!$N:$N,MATCH(RIGHT($B287,13)&amp;"|"&amp;$C287&amp;"|"&amp;$D287&amp;"|"&amp;T$14&amp;"|"&amp;"CY2023Q3",Spectrum!$R:$R,0)),0),""))</f>
        <v>873</v>
      </c>
      <c r="U287" s="39" t="str">
        <f aca="false">IF(LEFT($B287,4)="_Mil","",_xlfn.IFNA(ROUND(INDEX(Spectrum!$N:$N,MATCH(RIGHT($B287,13)&amp;"|"&amp;$C287&amp;"|"&amp;$D287&amp;"|"&amp;U$14&amp;"|"&amp;"CY2023Q3",Spectrum!$R:$R,0)),0),""))</f>
        <v/>
      </c>
      <c r="V287" s="10" t="n">
        <f aca="false">IF(LEFT($B287,4)="_Mil","",_xlfn.IFNA(ROUND(INDEX(Spectrum!$N:$N,MATCH(RIGHT($B287,13)&amp;"|"&amp;$C287&amp;"|"&amp;$D287&amp;"|"&amp;V$14&amp;"|"&amp;"CY2023Q3",Spectrum!$R:$R,0)),0),""))</f>
        <v>1450</v>
      </c>
      <c r="W287" s="113" t="n">
        <f aca="false">IF(LEFT($B287,4)="_Mil","",_xlfn.IFNA(INDEX(Spectrum!$N:$N,MATCH(RIGHT($B287,13)&amp;"|"&amp;$C287&amp;"|"&amp;$D287&amp;"|"&amp;W$14&amp;"|"&amp;"CY2023Q3",Spectrum!$R:$R,0)),""))</f>
        <v>1019</v>
      </c>
      <c r="X287" s="39" t="n">
        <f aca="false">IF(LEFT($B287,4)="_Mil","",_xlfn.IFNA(ROUND(INDEX(Spectrum!$N:$N,MATCH(RIGHT($B287,13)&amp;"|"&amp;$C287&amp;"|"&amp;$D287&amp;"|"&amp;X$14&amp;"|"&amp;"CY2023Q3",Spectrum!$R:$R,0)),0),""))</f>
        <v>656</v>
      </c>
      <c r="Y287" s="88" t="str">
        <f aca="false">IF(OR(SUM($U287)=0,LEFT($B287,4)="_Mil"),"",SUM($X287)/$U287)</f>
        <v/>
      </c>
      <c r="Z287" s="39" t="n">
        <f aca="false">IF(LEFT($B287,4)="_Mil","",_xlfn.IFNA(ROUND(INDEX(Spectrum!$N:$N,MATCH(RIGHT($B287,13)&amp;"|"&amp;$C287&amp;"|"&amp;$D287&amp;"|"&amp;Z$14&amp;"|"&amp;"CY2023Q3",Spectrum!$R:$R,0)),0),""))</f>
        <v>842</v>
      </c>
      <c r="AA287" s="88" t="n">
        <f aca="false">IF(LEFT($B287,4)="_Mil","",IFERROR(1/(1/INDEX(Spectrum!$N:$N,MATCH(RIGHT($B287,13)&amp;"|"&amp;$C287&amp;"|"&amp;$D287&amp;"|"&amp;AA$14&amp;"|"&amp;"CY2023Q3",Spectrum!$R:$R,0))),IF(SUM($U287)=0,"",SUM($Z287)/$U287)))</f>
        <v>1181</v>
      </c>
      <c r="AB287" s="88" t="n">
        <f aca="false">IF(OR(LEFT($B287,4)="_Mil",SUM($X287)=0),"",SUM($Z287)/$X287)</f>
        <v>1.28353658536585</v>
      </c>
      <c r="AC287" s="10" t="n">
        <f aca="false">IF(LEFT($B287,4)="_Mil","",_xlfn.IFNA(ROUND(INDEX(Spectrum!$N:$N,MATCH(RIGHT($B287,13)&amp;"|"&amp;$C287&amp;"|"&amp;$D287&amp;"|"&amp;AC$14&amp;"|"&amp;"CY2023Q3",Spectrum!$R:$R,0)),0),""))</f>
        <v>627</v>
      </c>
      <c r="AD287" s="10" t="str">
        <f aca="false">IF(LEFT($B287,4)="_Mil","",_xlfn.IFNA(ROUND(INDEX(Spectrum!$N:$N,MATCH(RIGHT($B287,13)&amp;"|"&amp;$C287&amp;"|"&amp;$D287&amp;"|"&amp;AD$14&amp;"|"&amp;"CY2023Q3",Spectrum!$R:$R,0)),0),""))</f>
        <v/>
      </c>
      <c r="AE287" s="88" t="n">
        <f aca="false">IF(OR(LEFT($B287,4)="_Mil",SUM($Z287)=0),"",SUM($AD287)/$Z287)</f>
        <v>0</v>
      </c>
      <c r="AF287" s="39" t="str">
        <f aca="false">IF(LEFT($B287,4)="_Mil","",_xlfn.IFNA(ROUND(INDEX(Spectrum!$N:$N,MATCH(RIGHT($B287,13)&amp;"|"&amp;$C287&amp;"|"&amp;$D287&amp;"|"&amp;AF$14&amp;"|"&amp;"CY2023Q3",Spectrum!$R:$R,0)),0),""))</f>
        <v/>
      </c>
      <c r="AG287" s="88" t="str">
        <f aca="false">IF(OR(LEFT($B287,4)="_Mil",SUM($AD287)=0),"",SUM($AF287)/$AD287)</f>
        <v/>
      </c>
      <c r="AH287" s="86" t="str">
        <f aca="false">IF(LEFT($B287,4)="_Mil","",_xlfn.IFNA(INDEX(Spectrum!$N:$N,MATCH(RIGHT($B287,13)&amp;"|"&amp;$C287&amp;"|"&amp;$D287&amp;"|"&amp;AH$14&amp;"|"&amp;"CY2023Q3",Spectrum!$R:$R,0)),""))</f>
        <v/>
      </c>
      <c r="AI287" s="10" t="str">
        <f aca="false">IF(LEFT($B287,4)="_Mil","",_xlfn.IFNA(ROUND(INDEX(Spectrum!$N:$N,MATCH(RIGHT($B287,13)&amp;"|"&amp;$C287&amp;"|"&amp;$D287&amp;"|"&amp;AI$14&amp;"|"&amp;"CY2023Q3",Spectrum!$R:$R,0)),0),""))</f>
        <v/>
      </c>
      <c r="AJ287" s="39" t="n">
        <f aca="false">IF(LEFT($B287,4)="_Mil","",_xlfn.IFNA(ROUND(INDEX(Spectrum!$N:$N,MATCH(RIGHT($B287,13)&amp;"|"&amp;$C287&amp;"|"&amp;$D287&amp;"|"&amp;AI$14&amp;"|"&amp;"CY2023Q3",Spectrum!$R:$R,0)),0),SUM($U287)+SUM($AI287)))</f>
        <v>0</v>
      </c>
      <c r="AK287" s="10" t="str">
        <f aca="false">IF(LEFT($B287,4)="_Mil","",_xlfn.IFNA(ROUND(INDEX(Spectrum!$N:$N,MATCH(RIGHT($B287,13)&amp;"|"&amp;$C287&amp;"|"&amp;$D287&amp;"|"&amp;AK$14&amp;"|"&amp;"CY2023Q3",Spectrum!$R:$R,0)),0),""))</f>
        <v/>
      </c>
      <c r="AL287" s="88" t="n">
        <f aca="false">IF(OR(LEFT($B287,4)="_Mil",$C287="&lt;01"),"",MAX(SUM($AA287),90%))</f>
        <v>1181</v>
      </c>
      <c r="AM287" s="10" t="n">
        <f aca="false">IF(OR(LEFT($B287,4)="_Mil",$C287="&lt;01"),"",ROUND(SUM($AJ287)*SUM($AL287),0))</f>
        <v>0</v>
      </c>
      <c r="AN287" s="10" t="str">
        <f aca="false">IF($C287="&lt;01",ROUND(INDEX(EID!$P:$P,MATCH($B287,EID!$B:$B,0))/2,0),"")</f>
        <v/>
      </c>
      <c r="AO287" s="10" t="n">
        <f aca="false">IF($C287="&lt;01",SUM($AN287),ROUND(SUM($AM287)*SUM($O287)/IF(SUM($Z287)=0,1,$Z287),0))</f>
        <v>0</v>
      </c>
      <c r="AP287" s="39" t="n">
        <f aca="false">IF(OR($F287="",$C287="&lt;01"),$AO287,$F287)</f>
        <v>0</v>
      </c>
      <c r="AQ287" s="39" t="n">
        <f aca="false">IF(LEFT($B287,4)="_Mil","",IF(SUM($AP287)=0,SUM($Z287),IF(OR(SUM($Z287)=0,SUM($O287)=0),MAX($AP287,$Z287),$AP287*$Z287/$O287)))</f>
        <v>842</v>
      </c>
      <c r="AR287" s="88" t="str">
        <f aca="false">IF(OR(LEFT($B287,4)="_Mil",SUM($AJ287)=0),"",SUM($AQ287)/$AJ287)</f>
        <v/>
      </c>
      <c r="AS287" s="88" t="n">
        <f aca="false">IF($C287="&lt;01","",98%)</f>
        <v>0.98</v>
      </c>
      <c r="AT287" s="88" t="n">
        <f aca="false">IF($C287="&lt;01","",98%)</f>
        <v>0.98</v>
      </c>
      <c r="AU287" s="10" t="n">
        <f aca="false">IF($C287="&lt;01","",SUM($AP287)-SUM($O287))</f>
        <v>0</v>
      </c>
      <c r="AV287" s="10" t="n">
        <f aca="false">IF($C287="&lt;01",ROUND(INDEX(EID!$N:$N,MATCH($B287,EID!$B:$B,0))/2,0),IF(SUM($AT287)=0,"",ROUND((SUM($AP287)-(SUM($O287)*SUM($AS287)))/$AT287,0)))</f>
        <v>0</v>
      </c>
      <c r="AW287" s="88" t="n">
        <f aca="false">IF($C287="&lt;01","",100%)</f>
        <v>1</v>
      </c>
      <c r="AX287" s="39" t="n">
        <f aca="false">IF($C287="&lt;01",SUM($AV287),ROUND(SUM($AV287)*SUM($AW287),0))</f>
        <v>0</v>
      </c>
      <c r="AY287" s="114" t="n">
        <f aca="false">IF($C287="&lt;01","",70%)</f>
        <v>0.7</v>
      </c>
      <c r="AZ287" s="91" t="n">
        <f aca="false">IF($C287="&lt;01",ROUND(INDEX(EID!$R:$R,MATCH($B287,EID!$B:$B,0))/2,0),ROUND(SUM($O287)+(SUM($AV287)*$AY287),0))</f>
        <v>0</v>
      </c>
      <c r="BA287" s="87" t="n">
        <f aca="false">IF($C287="&lt;01","",95%)</f>
        <v>0.95</v>
      </c>
      <c r="BB287" s="5" t="n">
        <f aca="false">IF($C287="&lt;01",ROUND(INDEX(EID!$T:$T,MATCH($B287,EID!$B:$B,0))/2,0),ROUND($AZ287*$BA287,0))</f>
        <v>0</v>
      </c>
      <c r="BC287" s="91" t="n">
        <f aca="false">IF(LEFT($B287,4)="_Mil","",IF(SUM($BB287)=0,SUM($AD287),IF(OR(SUM($AP287)=0,SUM($AQ287)=0),MAX($BB287,$AD287),ROUND($BB287*$AQ287/$AP287,0))))</f>
        <v>0</v>
      </c>
      <c r="BD287" s="88" t="n">
        <f aca="false">IF($C287="&lt;01","",95%)</f>
        <v>0.95</v>
      </c>
      <c r="BE287" s="39" t="n">
        <f aca="false">IF($C287="&lt;01",ROUND(INDEX(EID!$V:$V,MATCH($B287,EID!$B:$B,0))/2,0),ROUND($BD287*$BB287,0))</f>
        <v>0</v>
      </c>
      <c r="BF287" s="39" t="n">
        <f aca="false">IF(LEFT($B287,4)="_Mil","",IF(SUM($BE287)=0,SUM($AF287),IF(OR(SUM($AP287)=0,SUM($AQ287)=0),MAX($BE287,$AF287),ROUND($BE287*$AQ287/$AP287,0))))</f>
        <v>0</v>
      </c>
      <c r="BG287" s="114" t="n">
        <f aca="false">IF($C287="&lt;01","",95%)</f>
        <v>0.95</v>
      </c>
      <c r="BH287" s="5" t="n">
        <f aca="false">IF($C287="&lt;01",ROUND(INDEX(EID!$L:$L,MATCH($B287,EID!$B:$B,0)),0)/2,IF(SUM($BG287)=0,"",ROUND($AX287/$BG287,0)))</f>
        <v>0</v>
      </c>
    </row>
    <row r="288" customFormat="false" ht="15" hidden="false" customHeight="false" outlineLevel="0" collapsed="false">
      <c r="A288" s="0" t="str">
        <f aca="false">INDEX(Prioritization!$D:$D,MATCH($B288,Prioritization!$A:$A,0))</f>
        <v>1 - Scale-up: Saturation</v>
      </c>
      <c r="B288" s="0" t="s">
        <v>213</v>
      </c>
      <c r="C288" s="0" t="s">
        <v>365</v>
      </c>
      <c r="D288" s="0" t="s">
        <v>48</v>
      </c>
      <c r="E288" s="0" t="str">
        <f aca="false">$B288&amp;"|"&amp;$C288&amp;"|"&amp;$D288</f>
        <v>Chiradzulu District [oiPR2CiVJbf]|15-24|Male</v>
      </c>
      <c r="F288" s="10"/>
      <c r="G288" s="10"/>
      <c r="H288" s="10"/>
      <c r="I288" s="10"/>
      <c r="J288" s="10"/>
      <c r="K288" s="10"/>
      <c r="L288" s="10"/>
      <c r="M288" s="10"/>
      <c r="N288" s="10"/>
      <c r="O288" s="10" t="str">
        <f aca="false">IFERROR(1/(1/MAX($I288,$N288)),"")</f>
        <v/>
      </c>
      <c r="P288" s="10"/>
      <c r="Q288" s="10"/>
      <c r="R288" s="10" t="str">
        <f aca="false">IF(AND(SUM($I288)=0,SUM($O288)=0),"",SUM($O288)-$I288)</f>
        <v/>
      </c>
      <c r="S288" s="10" t="n">
        <f aca="false">IF(LEFT($B288,4)="_Mil","",_xlfn.IFNA(ROUND(INDEX(Spectrum!$N:$N,MATCH(RIGHT($B288,13)&amp;"|"&amp;$C288&amp;"|"&amp;$D288&amp;"|"&amp;S$14&amp;"|"&amp;"CY2022Q4",Spectrum!$R:$R,0)),0),""))</f>
        <v>1088</v>
      </c>
      <c r="T288" s="39" t="n">
        <f aca="false">IF(LEFT($B288,4)="_Mil","",_xlfn.IFNA(ROUND(INDEX(Spectrum!$N:$N,MATCH(RIGHT($B288,13)&amp;"|"&amp;$C288&amp;"|"&amp;$D288&amp;"|"&amp;T$14&amp;"|"&amp;"CY2023Q3",Spectrum!$R:$R,0)),0),""))</f>
        <v>691</v>
      </c>
      <c r="U288" s="39" t="str">
        <f aca="false">IF(LEFT($B288,4)="_Mil","",_xlfn.IFNA(ROUND(INDEX(Spectrum!$N:$N,MATCH(RIGHT($B288,13)&amp;"|"&amp;$C288&amp;"|"&amp;$D288&amp;"|"&amp;U$14&amp;"|"&amp;"CY2023Q3",Spectrum!$R:$R,0)),0),""))</f>
        <v/>
      </c>
      <c r="V288" s="10" t="n">
        <f aca="false">IF(LEFT($B288,4)="_Mil","",_xlfn.IFNA(ROUND(INDEX(Spectrum!$N:$N,MATCH(RIGHT($B288,13)&amp;"|"&amp;$C288&amp;"|"&amp;$D288&amp;"|"&amp;V$14&amp;"|"&amp;"CY2023Q3",Spectrum!$R:$R,0)),0),""))</f>
        <v>1925</v>
      </c>
      <c r="W288" s="113" t="n">
        <f aca="false">IF(LEFT($B288,4)="_Mil","",_xlfn.IFNA(INDEX(Spectrum!$N:$N,MATCH(RIGHT($B288,13)&amp;"|"&amp;$C288&amp;"|"&amp;$D288&amp;"|"&amp;W$14&amp;"|"&amp;"CY2023Q3",Spectrum!$R:$R,0)),""))</f>
        <v>952</v>
      </c>
      <c r="X288" s="39" t="n">
        <f aca="false">IF(LEFT($B288,4)="_Mil","",_xlfn.IFNA(ROUND(INDEX(Spectrum!$N:$N,MATCH(RIGHT($B288,13)&amp;"|"&amp;$C288&amp;"|"&amp;$D288&amp;"|"&amp;X$14&amp;"|"&amp;"CY2023Q3",Spectrum!$R:$R,0)),0),""))</f>
        <v>1424</v>
      </c>
      <c r="Y288" s="88" t="str">
        <f aca="false">IF(OR(SUM($U288)=0,LEFT($B288,4)="_Mil"),"",SUM($X288)/$U288)</f>
        <v/>
      </c>
      <c r="Z288" s="39" t="n">
        <f aca="false">IF(LEFT($B288,4)="_Mil","",_xlfn.IFNA(ROUND(INDEX(Spectrum!$N:$N,MATCH(RIGHT($B288,13)&amp;"|"&amp;$C288&amp;"|"&amp;$D288&amp;"|"&amp;Z$14&amp;"|"&amp;"CY2023Q3",Spectrum!$R:$R,0)),0),""))</f>
        <v>525</v>
      </c>
      <c r="AA288" s="88" t="n">
        <f aca="false">IF(LEFT($B288,4)="_Mil","",IFERROR(1/(1/INDEX(Spectrum!$N:$N,MATCH(RIGHT($B288,13)&amp;"|"&amp;$C288&amp;"|"&amp;$D288&amp;"|"&amp;AA$14&amp;"|"&amp;"CY2023Q3",Spectrum!$R:$R,0))),IF(SUM($U288)=0,"",SUM($Z288)/$U288)))</f>
        <v>1765</v>
      </c>
      <c r="AB288" s="88" t="n">
        <f aca="false">IF(OR(LEFT($B288,4)="_Mil",SUM($X288)=0),"",SUM($Z288)/$X288)</f>
        <v>0.368679775280899</v>
      </c>
      <c r="AC288" s="10" t="n">
        <f aca="false">IF(LEFT($B288,4)="_Mil","",_xlfn.IFNA(ROUND(INDEX(Spectrum!$N:$N,MATCH(RIGHT($B288,13)&amp;"|"&amp;$C288&amp;"|"&amp;$D288&amp;"|"&amp;AC$14&amp;"|"&amp;"CY2023Q3",Spectrum!$R:$R,0)),0),""))</f>
        <v>809</v>
      </c>
      <c r="AD288" s="10" t="str">
        <f aca="false">IF(LEFT($B288,4)="_Mil","",_xlfn.IFNA(ROUND(INDEX(Spectrum!$N:$N,MATCH(RIGHT($B288,13)&amp;"|"&amp;$C288&amp;"|"&amp;$D288&amp;"|"&amp;AD$14&amp;"|"&amp;"CY2023Q3",Spectrum!$R:$R,0)),0),""))</f>
        <v/>
      </c>
      <c r="AE288" s="88" t="n">
        <f aca="false">IF(OR(LEFT($B288,4)="_Mil",SUM($Z288)=0),"",SUM($AD288)/$Z288)</f>
        <v>0</v>
      </c>
      <c r="AF288" s="39" t="str">
        <f aca="false">IF(LEFT($B288,4)="_Mil","",_xlfn.IFNA(ROUND(INDEX(Spectrum!$N:$N,MATCH(RIGHT($B288,13)&amp;"|"&amp;$C288&amp;"|"&amp;$D288&amp;"|"&amp;AF$14&amp;"|"&amp;"CY2023Q3",Spectrum!$R:$R,0)),0),""))</f>
        <v/>
      </c>
      <c r="AG288" s="88" t="str">
        <f aca="false">IF(OR(LEFT($B288,4)="_Mil",SUM($AD288)=0),"",SUM($AF288)/$AD288)</f>
        <v/>
      </c>
      <c r="AH288" s="86" t="str">
        <f aca="false">IF(LEFT($B288,4)="_Mil","",_xlfn.IFNA(INDEX(Spectrum!$N:$N,MATCH(RIGHT($B288,13)&amp;"|"&amp;$C288&amp;"|"&amp;$D288&amp;"|"&amp;AH$14&amp;"|"&amp;"CY2023Q3",Spectrum!$R:$R,0)),""))</f>
        <v/>
      </c>
      <c r="AI288" s="10" t="str">
        <f aca="false">IF(LEFT($B288,4)="_Mil","",_xlfn.IFNA(ROUND(INDEX(Spectrum!$N:$N,MATCH(RIGHT($B288,13)&amp;"|"&amp;$C288&amp;"|"&amp;$D288&amp;"|"&amp;AI$14&amp;"|"&amp;"CY2023Q3",Spectrum!$R:$R,0)),0),""))</f>
        <v/>
      </c>
      <c r="AJ288" s="39" t="n">
        <f aca="false">IF(LEFT($B288,4)="_Mil","",_xlfn.IFNA(ROUND(INDEX(Spectrum!$N:$N,MATCH(RIGHT($B288,13)&amp;"|"&amp;$C288&amp;"|"&amp;$D288&amp;"|"&amp;AI$14&amp;"|"&amp;"CY2023Q3",Spectrum!$R:$R,0)),0),SUM($U288)+SUM($AI288)))</f>
        <v>0</v>
      </c>
      <c r="AK288" s="10" t="str">
        <f aca="false">IF(LEFT($B288,4)="_Mil","",_xlfn.IFNA(ROUND(INDEX(Spectrum!$N:$N,MATCH(RIGHT($B288,13)&amp;"|"&amp;$C288&amp;"|"&amp;$D288&amp;"|"&amp;AK$14&amp;"|"&amp;"CY2023Q3",Spectrum!$R:$R,0)),0),""))</f>
        <v/>
      </c>
      <c r="AL288" s="88" t="n">
        <f aca="false">IF(OR(LEFT($B288,4)="_Mil",$C288="&lt;01"),"",MAX(SUM($AA288),90%))</f>
        <v>1765</v>
      </c>
      <c r="AM288" s="10" t="n">
        <f aca="false">IF(OR(LEFT($B288,4)="_Mil",$C288="&lt;01"),"",ROUND(SUM($AJ288)*SUM($AL288),0))</f>
        <v>0</v>
      </c>
      <c r="AN288" s="10" t="str">
        <f aca="false">IF($C288="&lt;01",ROUND(INDEX(EID!$P:$P,MATCH($B288,EID!$B:$B,0))/2,0),"")</f>
        <v/>
      </c>
      <c r="AO288" s="10" t="n">
        <f aca="false">IF($C288="&lt;01",SUM($AN288),ROUND(SUM($AM288)*SUM($O288)/IF(SUM($Z288)=0,1,$Z288),0))</f>
        <v>0</v>
      </c>
      <c r="AP288" s="39" t="n">
        <f aca="false">IF(OR($F288="",$C288="&lt;01"),$AO288,$F288)</f>
        <v>0</v>
      </c>
      <c r="AQ288" s="39" t="n">
        <f aca="false">IF(LEFT($B288,4)="_Mil","",IF(SUM($AP288)=0,SUM($Z288),IF(OR(SUM($Z288)=0,SUM($O288)=0),MAX($AP288,$Z288),$AP288*$Z288/$O288)))</f>
        <v>525</v>
      </c>
      <c r="AR288" s="88" t="str">
        <f aca="false">IF(OR(LEFT($B288,4)="_Mil",SUM($AJ288)=0),"",SUM($AQ288)/$AJ288)</f>
        <v/>
      </c>
      <c r="AS288" s="88" t="n">
        <f aca="false">IF($C288="&lt;01","",98%)</f>
        <v>0.98</v>
      </c>
      <c r="AT288" s="88" t="n">
        <f aca="false">IF($C288="&lt;01","",98%)</f>
        <v>0.98</v>
      </c>
      <c r="AU288" s="10" t="n">
        <f aca="false">IF($C288="&lt;01","",SUM($AP288)-SUM($O288))</f>
        <v>0</v>
      </c>
      <c r="AV288" s="10" t="n">
        <f aca="false">IF($C288="&lt;01",ROUND(INDEX(EID!$N:$N,MATCH($B288,EID!$B:$B,0))/2,0),IF(SUM($AT288)=0,"",ROUND((SUM($AP288)-(SUM($O288)*SUM($AS288)))/$AT288,0)))</f>
        <v>0</v>
      </c>
      <c r="AW288" s="88" t="n">
        <f aca="false">IF($C288="&lt;01","",100%)</f>
        <v>1</v>
      </c>
      <c r="AX288" s="39" t="n">
        <f aca="false">IF($C288="&lt;01",SUM($AV288),ROUND(SUM($AV288)*SUM($AW288),0))</f>
        <v>0</v>
      </c>
      <c r="AY288" s="114" t="n">
        <f aca="false">IF($C288="&lt;01","",70%)</f>
        <v>0.7</v>
      </c>
      <c r="AZ288" s="91" t="n">
        <f aca="false">IF($C288="&lt;01",ROUND(INDEX(EID!$R:$R,MATCH($B288,EID!$B:$B,0))/2,0),ROUND(SUM($O288)+(SUM($AV288)*$AY288),0))</f>
        <v>0</v>
      </c>
      <c r="BA288" s="87" t="n">
        <f aca="false">IF($C288="&lt;01","",95%)</f>
        <v>0.95</v>
      </c>
      <c r="BB288" s="5" t="n">
        <f aca="false">IF($C288="&lt;01",ROUND(INDEX(EID!$T:$T,MATCH($B288,EID!$B:$B,0))/2,0),ROUND($AZ288*$BA288,0))</f>
        <v>0</v>
      </c>
      <c r="BC288" s="91" t="n">
        <f aca="false">IF(LEFT($B288,4)="_Mil","",IF(SUM($BB288)=0,SUM($AD288),IF(OR(SUM($AP288)=0,SUM($AQ288)=0),MAX($BB288,$AD288),ROUND($BB288*$AQ288/$AP288,0))))</f>
        <v>0</v>
      </c>
      <c r="BD288" s="88" t="n">
        <f aca="false">IF($C288="&lt;01","",95%)</f>
        <v>0.95</v>
      </c>
      <c r="BE288" s="39" t="n">
        <f aca="false">IF($C288="&lt;01",ROUND(INDEX(EID!$V:$V,MATCH($B288,EID!$B:$B,0))/2,0),ROUND($BD288*$BB288,0))</f>
        <v>0</v>
      </c>
      <c r="BF288" s="39" t="n">
        <f aca="false">IF(LEFT($B288,4)="_Mil","",IF(SUM($BE288)=0,SUM($AF288),IF(OR(SUM($AP288)=0,SUM($AQ288)=0),MAX($BE288,$AF288),ROUND($BE288*$AQ288/$AP288,0))))</f>
        <v>0</v>
      </c>
      <c r="BG288" s="114" t="n">
        <f aca="false">IF($C288="&lt;01","",95%)</f>
        <v>0.95</v>
      </c>
      <c r="BH288" s="5" t="n">
        <f aca="false">IF($C288="&lt;01",ROUND(INDEX(EID!$L:$L,MATCH($B288,EID!$B:$B,0)),0)/2,IF(SUM($BG288)=0,"",ROUND($AX288/$BG288,0)))</f>
        <v>0</v>
      </c>
    </row>
    <row r="289" customFormat="false" ht="15" hidden="false" customHeight="false" outlineLevel="0" collapsed="false">
      <c r="A289" s="0" t="str">
        <f aca="false">INDEX(Prioritization!$D:$D,MATCH($B289,Prioritization!$A:$A,0))</f>
        <v>1 - Scale-up: Saturation</v>
      </c>
      <c r="B289" s="0" t="s">
        <v>213</v>
      </c>
      <c r="C289" s="0" t="s">
        <v>366</v>
      </c>
      <c r="D289" s="0" t="s">
        <v>30</v>
      </c>
      <c r="E289" s="0" t="str">
        <f aca="false">$B289&amp;"|"&amp;$C289&amp;"|"&amp;$D289</f>
        <v>Chiradzulu District [oiPR2CiVJbf]|25-34|Female</v>
      </c>
      <c r="F289" s="10"/>
      <c r="G289" s="10"/>
      <c r="H289" s="10"/>
      <c r="I289" s="10"/>
      <c r="J289" s="10"/>
      <c r="K289" s="10"/>
      <c r="L289" s="10"/>
      <c r="M289" s="10"/>
      <c r="N289" s="10"/>
      <c r="O289" s="10" t="str">
        <f aca="false">IFERROR(1/(1/MAX($I289,$N289)),"")</f>
        <v/>
      </c>
      <c r="P289" s="10"/>
      <c r="Q289" s="10"/>
      <c r="R289" s="10" t="str">
        <f aca="false">IF(AND(SUM($I289)=0,SUM($O289)=0),"",SUM($O289)-$I289)</f>
        <v/>
      </c>
      <c r="S289" s="10" t="n">
        <f aca="false">IF(LEFT($B289,4)="_Mil","",_xlfn.IFNA(ROUND(INDEX(Spectrum!$N:$N,MATCH(RIGHT($B289,13)&amp;"|"&amp;$C289&amp;"|"&amp;$D289&amp;"|"&amp;S$14&amp;"|"&amp;"CY2022Q4",Spectrum!$R:$R,0)),0),""))</f>
        <v>592</v>
      </c>
      <c r="T289" s="39" t="n">
        <f aca="false">IF(LEFT($B289,4)="_Mil","",_xlfn.IFNA(ROUND(INDEX(Spectrum!$N:$N,MATCH(RIGHT($B289,13)&amp;"|"&amp;$C289&amp;"|"&amp;$D289&amp;"|"&amp;T$14&amp;"|"&amp;"CY2023Q3",Spectrum!$R:$R,0)),0),""))</f>
        <v>1090</v>
      </c>
      <c r="U289" s="39" t="str">
        <f aca="false">IF(LEFT($B289,4)="_Mil","",_xlfn.IFNA(ROUND(INDEX(Spectrum!$N:$N,MATCH(RIGHT($B289,13)&amp;"|"&amp;$C289&amp;"|"&amp;$D289&amp;"|"&amp;U$14&amp;"|"&amp;"CY2023Q3",Spectrum!$R:$R,0)),0),""))</f>
        <v/>
      </c>
      <c r="V289" s="10" t="n">
        <f aca="false">IF(LEFT($B289,4)="_Mil","",_xlfn.IFNA(ROUND(INDEX(Spectrum!$N:$N,MATCH(RIGHT($B289,13)&amp;"|"&amp;$C289&amp;"|"&amp;$D289&amp;"|"&amp;V$14&amp;"|"&amp;"CY2023Q3",Spectrum!$R:$R,0)),0),""))</f>
        <v>690</v>
      </c>
      <c r="W289" s="113" t="n">
        <f aca="false">IF(LEFT($B289,4)="_Mil","",_xlfn.IFNA(INDEX(Spectrum!$N:$N,MATCH(RIGHT($B289,13)&amp;"|"&amp;$C289&amp;"|"&amp;$D289&amp;"|"&amp;W$14&amp;"|"&amp;"CY2023Q3",Spectrum!$R:$R,0)),""))</f>
        <v>702</v>
      </c>
      <c r="X289" s="39" t="n">
        <f aca="false">IF(LEFT($B289,4)="_Mil","",_xlfn.IFNA(ROUND(INDEX(Spectrum!$N:$N,MATCH(RIGHT($B289,13)&amp;"|"&amp;$C289&amp;"|"&amp;$D289&amp;"|"&amp;X$14&amp;"|"&amp;"CY2023Q3",Spectrum!$R:$R,0)),0),""))</f>
        <v>1736</v>
      </c>
      <c r="Y289" s="88" t="str">
        <f aca="false">IF(OR(SUM($U289)=0,LEFT($B289,4)="_Mil"),"",SUM($X289)/$U289)</f>
        <v/>
      </c>
      <c r="Z289" s="39" t="n">
        <f aca="false">IF(LEFT($B289,4)="_Mil","",_xlfn.IFNA(ROUND(INDEX(Spectrum!$N:$N,MATCH(RIGHT($B289,13)&amp;"|"&amp;$C289&amp;"|"&amp;$D289&amp;"|"&amp;Z$14&amp;"|"&amp;"CY2023Q3",Spectrum!$R:$R,0)),0),""))</f>
        <v>1376</v>
      </c>
      <c r="AA289" s="88" t="n">
        <f aca="false">IF(LEFT($B289,4)="_Mil","",IFERROR(1/(1/INDEX(Spectrum!$N:$N,MATCH(RIGHT($B289,13)&amp;"|"&amp;$C289&amp;"|"&amp;$D289&amp;"|"&amp;AA$14&amp;"|"&amp;"CY2023Q3",Spectrum!$R:$R,0))),IF(SUM($U289)=0,"",SUM($Z289)/$U289)))</f>
        <v>873</v>
      </c>
      <c r="AB289" s="88" t="n">
        <f aca="false">IF(OR(LEFT($B289,4)="_Mil",SUM($X289)=0),"",SUM($Z289)/$X289)</f>
        <v>0.792626728110599</v>
      </c>
      <c r="AC289" s="10" t="n">
        <f aca="false">IF(LEFT($B289,4)="_Mil","",_xlfn.IFNA(ROUND(INDEX(Spectrum!$N:$N,MATCH(RIGHT($B289,13)&amp;"|"&amp;$C289&amp;"|"&amp;$D289&amp;"|"&amp;AC$14&amp;"|"&amp;"CY2023Q3",Spectrum!$R:$R,0)),0),""))</f>
        <v>1883</v>
      </c>
      <c r="AD289" s="10" t="str">
        <f aca="false">IF(LEFT($B289,4)="_Mil","",_xlfn.IFNA(ROUND(INDEX(Spectrum!$N:$N,MATCH(RIGHT($B289,13)&amp;"|"&amp;$C289&amp;"|"&amp;$D289&amp;"|"&amp;AD$14&amp;"|"&amp;"CY2023Q3",Spectrum!$R:$R,0)),0),""))</f>
        <v/>
      </c>
      <c r="AE289" s="88" t="n">
        <f aca="false">IF(OR(LEFT($B289,4)="_Mil",SUM($Z289)=0),"",SUM($AD289)/$Z289)</f>
        <v>0</v>
      </c>
      <c r="AF289" s="39" t="str">
        <f aca="false">IF(LEFT($B289,4)="_Mil","",_xlfn.IFNA(ROUND(INDEX(Spectrum!$N:$N,MATCH(RIGHT($B289,13)&amp;"|"&amp;$C289&amp;"|"&amp;$D289&amp;"|"&amp;AF$14&amp;"|"&amp;"CY2023Q3",Spectrum!$R:$R,0)),0),""))</f>
        <v/>
      </c>
      <c r="AG289" s="88" t="str">
        <f aca="false">IF(OR(LEFT($B289,4)="_Mil",SUM($AD289)=0),"",SUM($AF289)/$AD289)</f>
        <v/>
      </c>
      <c r="AH289" s="86" t="str">
        <f aca="false">IF(LEFT($B289,4)="_Mil","",_xlfn.IFNA(INDEX(Spectrum!$N:$N,MATCH(RIGHT($B289,13)&amp;"|"&amp;$C289&amp;"|"&amp;$D289&amp;"|"&amp;AH$14&amp;"|"&amp;"CY2023Q3",Spectrum!$R:$R,0)),""))</f>
        <v/>
      </c>
      <c r="AI289" s="10" t="str">
        <f aca="false">IF(LEFT($B289,4)="_Mil","",_xlfn.IFNA(ROUND(INDEX(Spectrum!$N:$N,MATCH(RIGHT($B289,13)&amp;"|"&amp;$C289&amp;"|"&amp;$D289&amp;"|"&amp;AI$14&amp;"|"&amp;"CY2023Q3",Spectrum!$R:$R,0)),0),""))</f>
        <v/>
      </c>
      <c r="AJ289" s="39" t="n">
        <f aca="false">IF(LEFT($B289,4)="_Mil","",_xlfn.IFNA(ROUND(INDEX(Spectrum!$N:$N,MATCH(RIGHT($B289,13)&amp;"|"&amp;$C289&amp;"|"&amp;$D289&amp;"|"&amp;AI$14&amp;"|"&amp;"CY2023Q3",Spectrum!$R:$R,0)),0),SUM($U289)+SUM($AI289)))</f>
        <v>0</v>
      </c>
      <c r="AK289" s="10" t="str">
        <f aca="false">IF(LEFT($B289,4)="_Mil","",_xlfn.IFNA(ROUND(INDEX(Spectrum!$N:$N,MATCH(RIGHT($B289,13)&amp;"|"&amp;$C289&amp;"|"&amp;$D289&amp;"|"&amp;AK$14&amp;"|"&amp;"CY2023Q3",Spectrum!$R:$R,0)),0),""))</f>
        <v/>
      </c>
      <c r="AL289" s="88" t="n">
        <f aca="false">IF(OR(LEFT($B289,4)="_Mil",$C289="&lt;01"),"",MAX(SUM($AA289),90%))</f>
        <v>873</v>
      </c>
      <c r="AM289" s="10" t="n">
        <f aca="false">IF(OR(LEFT($B289,4)="_Mil",$C289="&lt;01"),"",ROUND(SUM($AJ289)*SUM($AL289),0))</f>
        <v>0</v>
      </c>
      <c r="AN289" s="10" t="str">
        <f aca="false">IF($C289="&lt;01",ROUND(INDEX(EID!$P:$P,MATCH($B289,EID!$B:$B,0))/2,0),"")</f>
        <v/>
      </c>
      <c r="AO289" s="10" t="n">
        <f aca="false">IF($C289="&lt;01",SUM($AN289),ROUND(SUM($AM289)*SUM($O289)/IF(SUM($Z289)=0,1,$Z289),0))</f>
        <v>0</v>
      </c>
      <c r="AP289" s="39" t="n">
        <f aca="false">IF(OR($F289="",$C289="&lt;01"),$AO289,$F289)</f>
        <v>0</v>
      </c>
      <c r="AQ289" s="39" t="n">
        <f aca="false">IF(LEFT($B289,4)="_Mil","",IF(SUM($AP289)=0,SUM($Z289),IF(OR(SUM($Z289)=0,SUM($O289)=0),MAX($AP289,$Z289),$AP289*$Z289/$O289)))</f>
        <v>1376</v>
      </c>
      <c r="AR289" s="88" t="str">
        <f aca="false">IF(OR(LEFT($B289,4)="_Mil",SUM($AJ289)=0),"",SUM($AQ289)/$AJ289)</f>
        <v/>
      </c>
      <c r="AS289" s="88" t="n">
        <f aca="false">IF($C289="&lt;01","",98%)</f>
        <v>0.98</v>
      </c>
      <c r="AT289" s="88" t="n">
        <f aca="false">IF($C289="&lt;01","",98%)</f>
        <v>0.98</v>
      </c>
      <c r="AU289" s="10" t="n">
        <f aca="false">IF($C289="&lt;01","",SUM($AP289)-SUM($O289))</f>
        <v>0</v>
      </c>
      <c r="AV289" s="10" t="n">
        <f aca="false">IF($C289="&lt;01",ROUND(INDEX(EID!$N:$N,MATCH($B289,EID!$B:$B,0))/2,0),IF(SUM($AT289)=0,"",ROUND((SUM($AP289)-(SUM($O289)*SUM($AS289)))/$AT289,0)))</f>
        <v>0</v>
      </c>
      <c r="AW289" s="88" t="n">
        <f aca="false">IF($C289="&lt;01","",100%)</f>
        <v>1</v>
      </c>
      <c r="AX289" s="39" t="n">
        <f aca="false">IF($C289="&lt;01",SUM($AV289),ROUND(SUM($AV289)*SUM($AW289),0))</f>
        <v>0</v>
      </c>
      <c r="AY289" s="114" t="n">
        <f aca="false">IF($C289="&lt;01","",70%)</f>
        <v>0.7</v>
      </c>
      <c r="AZ289" s="91" t="n">
        <f aca="false">IF($C289="&lt;01",ROUND(INDEX(EID!$R:$R,MATCH($B289,EID!$B:$B,0))/2,0),ROUND(SUM($O289)+(SUM($AV289)*$AY289),0))</f>
        <v>0</v>
      </c>
      <c r="BA289" s="87" t="n">
        <f aca="false">IF($C289="&lt;01","",95%)</f>
        <v>0.95</v>
      </c>
      <c r="BB289" s="5" t="n">
        <f aca="false">IF($C289="&lt;01",ROUND(INDEX(EID!$T:$T,MATCH($B289,EID!$B:$B,0))/2,0),ROUND($AZ289*$BA289,0))</f>
        <v>0</v>
      </c>
      <c r="BC289" s="91" t="n">
        <f aca="false">IF(LEFT($B289,4)="_Mil","",IF(SUM($BB289)=0,SUM($AD289),IF(OR(SUM($AP289)=0,SUM($AQ289)=0),MAX($BB289,$AD289),ROUND($BB289*$AQ289/$AP289,0))))</f>
        <v>0</v>
      </c>
      <c r="BD289" s="88" t="n">
        <f aca="false">IF($C289="&lt;01","",95%)</f>
        <v>0.95</v>
      </c>
      <c r="BE289" s="39" t="n">
        <f aca="false">IF($C289="&lt;01",ROUND(INDEX(EID!$V:$V,MATCH($B289,EID!$B:$B,0))/2,0),ROUND($BD289*$BB289,0))</f>
        <v>0</v>
      </c>
      <c r="BF289" s="39" t="n">
        <f aca="false">IF(LEFT($B289,4)="_Mil","",IF(SUM($BE289)=0,SUM($AF289),IF(OR(SUM($AP289)=0,SUM($AQ289)=0),MAX($BE289,$AF289),ROUND($BE289*$AQ289/$AP289,0))))</f>
        <v>0</v>
      </c>
      <c r="BG289" s="114" t="n">
        <f aca="false">IF($C289="&lt;01","",95%)</f>
        <v>0.95</v>
      </c>
      <c r="BH289" s="5" t="n">
        <f aca="false">IF($C289="&lt;01",ROUND(INDEX(EID!$L:$L,MATCH($B289,EID!$B:$B,0)),0)/2,IF(SUM($BG289)=0,"",ROUND($AX289/$BG289,0)))</f>
        <v>0</v>
      </c>
    </row>
    <row r="290" customFormat="false" ht="15" hidden="false" customHeight="false" outlineLevel="0" collapsed="false">
      <c r="A290" s="0" t="str">
        <f aca="false">INDEX(Prioritization!$D:$D,MATCH($B290,Prioritization!$A:$A,0))</f>
        <v>1 - Scale-up: Saturation</v>
      </c>
      <c r="B290" s="0" t="s">
        <v>213</v>
      </c>
      <c r="C290" s="0" t="s">
        <v>366</v>
      </c>
      <c r="D290" s="0" t="s">
        <v>48</v>
      </c>
      <c r="E290" s="0" t="str">
        <f aca="false">$B290&amp;"|"&amp;$C290&amp;"|"&amp;$D290</f>
        <v>Chiradzulu District [oiPR2CiVJbf]|25-34|Male</v>
      </c>
      <c r="F290" s="10"/>
      <c r="G290" s="10"/>
      <c r="H290" s="10"/>
      <c r="I290" s="10"/>
      <c r="J290" s="10"/>
      <c r="K290" s="10"/>
      <c r="L290" s="10"/>
      <c r="M290" s="10"/>
      <c r="N290" s="10"/>
      <c r="O290" s="10" t="str">
        <f aca="false">IFERROR(1/(1/MAX($I290,$N290)),"")</f>
        <v/>
      </c>
      <c r="P290" s="10"/>
      <c r="Q290" s="10"/>
      <c r="R290" s="10" t="str">
        <f aca="false">IF(AND(SUM($I290)=0,SUM($O290)=0),"",SUM($O290)-$I290)</f>
        <v/>
      </c>
      <c r="S290" s="10" t="n">
        <f aca="false">IF(LEFT($B290,4)="_Mil","",_xlfn.IFNA(ROUND(INDEX(Spectrum!$N:$N,MATCH(RIGHT($B290,13)&amp;"|"&amp;$C290&amp;"|"&amp;$D290&amp;"|"&amp;S$14&amp;"|"&amp;"CY2022Q4",Spectrum!$R:$R,0)),0),""))</f>
        <v>1269</v>
      </c>
      <c r="T290" s="39" t="n">
        <f aca="false">IF(LEFT($B290,4)="_Mil","",_xlfn.IFNA(ROUND(INDEX(Spectrum!$N:$N,MATCH(RIGHT($B290,13)&amp;"|"&amp;$C290&amp;"|"&amp;$D290&amp;"|"&amp;T$14&amp;"|"&amp;"CY2023Q3",Spectrum!$R:$R,0)),0),""))</f>
        <v>788</v>
      </c>
      <c r="U290" s="39" t="str">
        <f aca="false">IF(LEFT($B290,4)="_Mil","",_xlfn.IFNA(ROUND(INDEX(Spectrum!$N:$N,MATCH(RIGHT($B290,13)&amp;"|"&amp;$C290&amp;"|"&amp;$D290&amp;"|"&amp;U$14&amp;"|"&amp;"CY2023Q3",Spectrum!$R:$R,0)),0),""))</f>
        <v/>
      </c>
      <c r="V290" s="10" t="n">
        <f aca="false">IF(LEFT($B290,4)="_Mil","",_xlfn.IFNA(ROUND(INDEX(Spectrum!$N:$N,MATCH(RIGHT($B290,13)&amp;"|"&amp;$C290&amp;"|"&amp;$D290&amp;"|"&amp;V$14&amp;"|"&amp;"CY2023Q3",Spectrum!$R:$R,0)),0),""))</f>
        <v>1803</v>
      </c>
      <c r="W290" s="113" t="n">
        <f aca="false">IF(LEFT($B290,4)="_Mil","",_xlfn.IFNA(INDEX(Spectrum!$N:$N,MATCH(RIGHT($B290,13)&amp;"|"&amp;$C290&amp;"|"&amp;$D290&amp;"|"&amp;W$14&amp;"|"&amp;"CY2023Q3",Spectrum!$R:$R,0)),""))</f>
        <v>1638</v>
      </c>
      <c r="X290" s="39" t="n">
        <f aca="false">IF(LEFT($B290,4)="_Mil","",_xlfn.IFNA(ROUND(INDEX(Spectrum!$N:$N,MATCH(RIGHT($B290,13)&amp;"|"&amp;$C290&amp;"|"&amp;$D290&amp;"|"&amp;X$14&amp;"|"&amp;"CY2023Q3",Spectrum!$R:$R,0)),0),""))</f>
        <v>885</v>
      </c>
      <c r="Y290" s="88" t="str">
        <f aca="false">IF(OR(SUM($U290)=0,LEFT($B290,4)="_Mil"),"",SUM($X290)/$U290)</f>
        <v/>
      </c>
      <c r="Z290" s="39" t="n">
        <f aca="false">IF(LEFT($B290,4)="_Mil","",_xlfn.IFNA(ROUND(INDEX(Spectrum!$N:$N,MATCH(RIGHT($B290,13)&amp;"|"&amp;$C290&amp;"|"&amp;$D290&amp;"|"&amp;Z$14&amp;"|"&amp;"CY2023Q3",Spectrum!$R:$R,0)),0),""))</f>
        <v>1655</v>
      </c>
      <c r="AA290" s="88" t="n">
        <f aca="false">IF(LEFT($B290,4)="_Mil","",IFERROR(1/(1/INDEX(Spectrum!$N:$N,MATCH(RIGHT($B290,13)&amp;"|"&amp;$C290&amp;"|"&amp;$D290&amp;"|"&amp;AA$14&amp;"|"&amp;"CY2023Q3",Spectrum!$R:$R,0))),IF(SUM($U290)=0,"",SUM($Z290)/$U290)))</f>
        <v>759</v>
      </c>
      <c r="AB290" s="88" t="n">
        <f aca="false">IF(OR(LEFT($B290,4)="_Mil",SUM($X290)=0),"",SUM($Z290)/$X290)</f>
        <v>1.87005649717514</v>
      </c>
      <c r="AC290" s="10" t="n">
        <f aca="false">IF(LEFT($B290,4)="_Mil","",_xlfn.IFNA(ROUND(INDEX(Spectrum!$N:$N,MATCH(RIGHT($B290,13)&amp;"|"&amp;$C290&amp;"|"&amp;$D290&amp;"|"&amp;AC$14&amp;"|"&amp;"CY2023Q3",Spectrum!$R:$R,0)),0),""))</f>
        <v>984</v>
      </c>
      <c r="AD290" s="10" t="str">
        <f aca="false">IF(LEFT($B290,4)="_Mil","",_xlfn.IFNA(ROUND(INDEX(Spectrum!$N:$N,MATCH(RIGHT($B290,13)&amp;"|"&amp;$C290&amp;"|"&amp;$D290&amp;"|"&amp;AD$14&amp;"|"&amp;"CY2023Q3",Spectrum!$R:$R,0)),0),""))</f>
        <v/>
      </c>
      <c r="AE290" s="88" t="n">
        <f aca="false">IF(OR(LEFT($B290,4)="_Mil",SUM($Z290)=0),"",SUM($AD290)/$Z290)</f>
        <v>0</v>
      </c>
      <c r="AF290" s="39" t="str">
        <f aca="false">IF(LEFT($B290,4)="_Mil","",_xlfn.IFNA(ROUND(INDEX(Spectrum!$N:$N,MATCH(RIGHT($B290,13)&amp;"|"&amp;$C290&amp;"|"&amp;$D290&amp;"|"&amp;AF$14&amp;"|"&amp;"CY2023Q3",Spectrum!$R:$R,0)),0),""))</f>
        <v/>
      </c>
      <c r="AG290" s="88" t="str">
        <f aca="false">IF(OR(LEFT($B290,4)="_Mil",SUM($AD290)=0),"",SUM($AF290)/$AD290)</f>
        <v/>
      </c>
      <c r="AH290" s="86" t="str">
        <f aca="false">IF(LEFT($B290,4)="_Mil","",_xlfn.IFNA(INDEX(Spectrum!$N:$N,MATCH(RIGHT($B290,13)&amp;"|"&amp;$C290&amp;"|"&amp;$D290&amp;"|"&amp;AH$14&amp;"|"&amp;"CY2023Q3",Spectrum!$R:$R,0)),""))</f>
        <v/>
      </c>
      <c r="AI290" s="10" t="str">
        <f aca="false">IF(LEFT($B290,4)="_Mil","",_xlfn.IFNA(ROUND(INDEX(Spectrum!$N:$N,MATCH(RIGHT($B290,13)&amp;"|"&amp;$C290&amp;"|"&amp;$D290&amp;"|"&amp;AI$14&amp;"|"&amp;"CY2023Q3",Spectrum!$R:$R,0)),0),""))</f>
        <v/>
      </c>
      <c r="AJ290" s="39" t="n">
        <f aca="false">IF(LEFT($B290,4)="_Mil","",_xlfn.IFNA(ROUND(INDEX(Spectrum!$N:$N,MATCH(RIGHT($B290,13)&amp;"|"&amp;$C290&amp;"|"&amp;$D290&amp;"|"&amp;AI$14&amp;"|"&amp;"CY2023Q3",Spectrum!$R:$R,0)),0),SUM($U290)+SUM($AI290)))</f>
        <v>0</v>
      </c>
      <c r="AK290" s="10" t="str">
        <f aca="false">IF(LEFT($B290,4)="_Mil","",_xlfn.IFNA(ROUND(INDEX(Spectrum!$N:$N,MATCH(RIGHT($B290,13)&amp;"|"&amp;$C290&amp;"|"&amp;$D290&amp;"|"&amp;AK$14&amp;"|"&amp;"CY2023Q3",Spectrum!$R:$R,0)),0),""))</f>
        <v/>
      </c>
      <c r="AL290" s="88" t="n">
        <f aca="false">IF(OR(LEFT($B290,4)="_Mil",$C290="&lt;01"),"",MAX(SUM($AA290),90%))</f>
        <v>759</v>
      </c>
      <c r="AM290" s="10" t="n">
        <f aca="false">IF(OR(LEFT($B290,4)="_Mil",$C290="&lt;01"),"",ROUND(SUM($AJ290)*SUM($AL290),0))</f>
        <v>0</v>
      </c>
      <c r="AN290" s="10" t="str">
        <f aca="false">IF($C290="&lt;01",ROUND(INDEX(EID!$P:$P,MATCH($B290,EID!$B:$B,0))/2,0),"")</f>
        <v/>
      </c>
      <c r="AO290" s="10" t="n">
        <f aca="false">IF($C290="&lt;01",SUM($AN290),ROUND(SUM($AM290)*SUM($O290)/IF(SUM($Z290)=0,1,$Z290),0))</f>
        <v>0</v>
      </c>
      <c r="AP290" s="39" t="n">
        <f aca="false">IF(OR($F290="",$C290="&lt;01"),$AO290,$F290)</f>
        <v>0</v>
      </c>
      <c r="AQ290" s="39" t="n">
        <f aca="false">IF(LEFT($B290,4)="_Mil","",IF(SUM($AP290)=0,SUM($Z290),IF(OR(SUM($Z290)=0,SUM($O290)=0),MAX($AP290,$Z290),$AP290*$Z290/$O290)))</f>
        <v>1655</v>
      </c>
      <c r="AR290" s="88" t="str">
        <f aca="false">IF(OR(LEFT($B290,4)="_Mil",SUM($AJ290)=0),"",SUM($AQ290)/$AJ290)</f>
        <v/>
      </c>
      <c r="AS290" s="88" t="n">
        <f aca="false">IF($C290="&lt;01","",98%)</f>
        <v>0.98</v>
      </c>
      <c r="AT290" s="88" t="n">
        <f aca="false">IF($C290="&lt;01","",98%)</f>
        <v>0.98</v>
      </c>
      <c r="AU290" s="10" t="n">
        <f aca="false">IF($C290="&lt;01","",SUM($AP290)-SUM($O290))</f>
        <v>0</v>
      </c>
      <c r="AV290" s="10" t="n">
        <f aca="false">IF($C290="&lt;01",ROUND(INDEX(EID!$N:$N,MATCH($B290,EID!$B:$B,0))/2,0),IF(SUM($AT290)=0,"",ROUND((SUM($AP290)-(SUM($O290)*SUM($AS290)))/$AT290,0)))</f>
        <v>0</v>
      </c>
      <c r="AW290" s="88" t="n">
        <f aca="false">IF($C290="&lt;01","",100%)</f>
        <v>1</v>
      </c>
      <c r="AX290" s="39" t="n">
        <f aca="false">IF($C290="&lt;01",SUM($AV290),ROUND(SUM($AV290)*SUM($AW290),0))</f>
        <v>0</v>
      </c>
      <c r="AY290" s="114" t="n">
        <f aca="false">IF($C290="&lt;01","",70%)</f>
        <v>0.7</v>
      </c>
      <c r="AZ290" s="91" t="n">
        <f aca="false">IF($C290="&lt;01",ROUND(INDEX(EID!$R:$R,MATCH($B290,EID!$B:$B,0))/2,0),ROUND(SUM($O290)+(SUM($AV290)*$AY290),0))</f>
        <v>0</v>
      </c>
      <c r="BA290" s="87" t="n">
        <f aca="false">IF($C290="&lt;01","",95%)</f>
        <v>0.95</v>
      </c>
      <c r="BB290" s="5" t="n">
        <f aca="false">IF($C290="&lt;01",ROUND(INDEX(EID!$T:$T,MATCH($B290,EID!$B:$B,0))/2,0),ROUND($AZ290*$BA290,0))</f>
        <v>0</v>
      </c>
      <c r="BC290" s="91" t="n">
        <f aca="false">IF(LEFT($B290,4)="_Mil","",IF(SUM($BB290)=0,SUM($AD290),IF(OR(SUM($AP290)=0,SUM($AQ290)=0),MAX($BB290,$AD290),ROUND($BB290*$AQ290/$AP290,0))))</f>
        <v>0</v>
      </c>
      <c r="BD290" s="88" t="n">
        <f aca="false">IF($C290="&lt;01","",95%)</f>
        <v>0.95</v>
      </c>
      <c r="BE290" s="39" t="n">
        <f aca="false">IF($C290="&lt;01",ROUND(INDEX(EID!$V:$V,MATCH($B290,EID!$B:$B,0))/2,0),ROUND($BD290*$BB290,0))</f>
        <v>0</v>
      </c>
      <c r="BF290" s="39" t="n">
        <f aca="false">IF(LEFT($B290,4)="_Mil","",IF(SUM($BE290)=0,SUM($AF290),IF(OR(SUM($AP290)=0,SUM($AQ290)=0),MAX($BE290,$AF290),ROUND($BE290*$AQ290/$AP290,0))))</f>
        <v>0</v>
      </c>
      <c r="BG290" s="114" t="n">
        <f aca="false">IF($C290="&lt;01","",95%)</f>
        <v>0.95</v>
      </c>
      <c r="BH290" s="5" t="n">
        <f aca="false">IF($C290="&lt;01",ROUND(INDEX(EID!$L:$L,MATCH($B290,EID!$B:$B,0)),0)/2,IF(SUM($BG290)=0,"",ROUND($AX290/$BG290,0)))</f>
        <v>0</v>
      </c>
    </row>
    <row r="291" customFormat="false" ht="15" hidden="false" customHeight="false" outlineLevel="0" collapsed="false">
      <c r="A291" s="0" t="str">
        <f aca="false">INDEX(Prioritization!$D:$D,MATCH($B291,Prioritization!$A:$A,0))</f>
        <v>1 - Scale-up: Saturation</v>
      </c>
      <c r="B291" s="0" t="s">
        <v>213</v>
      </c>
      <c r="C291" s="0" t="s">
        <v>367</v>
      </c>
      <c r="D291" s="0" t="s">
        <v>30</v>
      </c>
      <c r="E291" s="0" t="str">
        <f aca="false">$B291&amp;"|"&amp;$C291&amp;"|"&amp;$D291</f>
        <v>Chiradzulu District [oiPR2CiVJbf]|35-49|Female</v>
      </c>
      <c r="F291" s="10"/>
      <c r="G291" s="10"/>
      <c r="H291" s="10"/>
      <c r="I291" s="10"/>
      <c r="J291" s="10"/>
      <c r="K291" s="10"/>
      <c r="L291" s="10"/>
      <c r="M291" s="10"/>
      <c r="N291" s="10"/>
      <c r="O291" s="10" t="str">
        <f aca="false">IFERROR(1/(1/MAX($I291,$N291)),"")</f>
        <v/>
      </c>
      <c r="P291" s="10"/>
      <c r="Q291" s="10"/>
      <c r="R291" s="10" t="str">
        <f aca="false">IF(AND(SUM($I291)=0,SUM($O291)=0),"",SUM($O291)-$I291)</f>
        <v/>
      </c>
      <c r="S291" s="10" t="n">
        <f aca="false">IF(LEFT($B291,4)="_Mil","",_xlfn.IFNA(ROUND(INDEX(Spectrum!$N:$N,MATCH(RIGHT($B291,13)&amp;"|"&amp;$C291&amp;"|"&amp;$D291&amp;"|"&amp;S$14&amp;"|"&amp;"CY2022Q4",Spectrum!$R:$R,0)),0),""))</f>
        <v>1999</v>
      </c>
      <c r="T291" s="39" t="n">
        <f aca="false">IF(LEFT($B291,4)="_Mil","",_xlfn.IFNA(ROUND(INDEX(Spectrum!$N:$N,MATCH(RIGHT($B291,13)&amp;"|"&amp;$C291&amp;"|"&amp;$D291&amp;"|"&amp;T$14&amp;"|"&amp;"CY2023Q3",Spectrum!$R:$R,0)),0),""))</f>
        <v>852</v>
      </c>
      <c r="U291" s="39" t="str">
        <f aca="false">IF(LEFT($B291,4)="_Mil","",_xlfn.IFNA(ROUND(INDEX(Spectrum!$N:$N,MATCH(RIGHT($B291,13)&amp;"|"&amp;$C291&amp;"|"&amp;$D291&amp;"|"&amp;U$14&amp;"|"&amp;"CY2023Q3",Spectrum!$R:$R,0)),0),""))</f>
        <v/>
      </c>
      <c r="V291" s="10" t="n">
        <f aca="false">IF(LEFT($B291,4)="_Mil","",_xlfn.IFNA(ROUND(INDEX(Spectrum!$N:$N,MATCH(RIGHT($B291,13)&amp;"|"&amp;$C291&amp;"|"&amp;$D291&amp;"|"&amp;V$14&amp;"|"&amp;"CY2023Q3",Spectrum!$R:$R,0)),0),""))</f>
        <v>1017</v>
      </c>
      <c r="W291" s="113" t="n">
        <f aca="false">IF(LEFT($B291,4)="_Mil","",_xlfn.IFNA(INDEX(Spectrum!$N:$N,MATCH(RIGHT($B291,13)&amp;"|"&amp;$C291&amp;"|"&amp;$D291&amp;"|"&amp;W$14&amp;"|"&amp;"CY2023Q3",Spectrum!$R:$R,0)),""))</f>
        <v>948</v>
      </c>
      <c r="X291" s="39" t="n">
        <f aca="false">IF(LEFT($B291,4)="_Mil","",_xlfn.IFNA(ROUND(INDEX(Spectrum!$N:$N,MATCH(RIGHT($B291,13)&amp;"|"&amp;$C291&amp;"|"&amp;$D291&amp;"|"&amp;X$14&amp;"|"&amp;"CY2023Q3",Spectrum!$R:$R,0)),0),""))</f>
        <v>1851</v>
      </c>
      <c r="Y291" s="88" t="str">
        <f aca="false">IF(OR(SUM($U291)=0,LEFT($B291,4)="_Mil"),"",SUM($X291)/$U291)</f>
        <v/>
      </c>
      <c r="Z291" s="39" t="n">
        <f aca="false">IF(LEFT($B291,4)="_Mil","",_xlfn.IFNA(ROUND(INDEX(Spectrum!$N:$N,MATCH(RIGHT($B291,13)&amp;"|"&amp;$C291&amp;"|"&amp;$D291&amp;"|"&amp;Z$14&amp;"|"&amp;"CY2023Q3",Spectrum!$R:$R,0)),0),""))</f>
        <v>1437</v>
      </c>
      <c r="AA291" s="88" t="n">
        <f aca="false">IF(LEFT($B291,4)="_Mil","",IFERROR(1/(1/INDEX(Spectrum!$N:$N,MATCH(RIGHT($B291,13)&amp;"|"&amp;$C291&amp;"|"&amp;$D291&amp;"|"&amp;AA$14&amp;"|"&amp;"CY2023Q3",Spectrum!$R:$R,0))),IF(SUM($U291)=0,"",SUM($Z291)/$U291)))</f>
        <v>1122</v>
      </c>
      <c r="AB291" s="88" t="n">
        <f aca="false">IF(OR(LEFT($B291,4)="_Mil",SUM($X291)=0),"",SUM($Z291)/$X291)</f>
        <v>0.776337115072934</v>
      </c>
      <c r="AC291" s="10" t="n">
        <f aca="false">IF(LEFT($B291,4)="_Mil","",_xlfn.IFNA(ROUND(INDEX(Spectrum!$N:$N,MATCH(RIGHT($B291,13)&amp;"|"&amp;$C291&amp;"|"&amp;$D291&amp;"|"&amp;AC$14&amp;"|"&amp;"CY2023Q3",Spectrum!$R:$R,0)),0),""))</f>
        <v>1515</v>
      </c>
      <c r="AD291" s="10" t="str">
        <f aca="false">IF(LEFT($B291,4)="_Mil","",_xlfn.IFNA(ROUND(INDEX(Spectrum!$N:$N,MATCH(RIGHT($B291,13)&amp;"|"&amp;$C291&amp;"|"&amp;$D291&amp;"|"&amp;AD$14&amp;"|"&amp;"CY2023Q3",Spectrum!$R:$R,0)),0),""))</f>
        <v/>
      </c>
      <c r="AE291" s="88" t="n">
        <f aca="false">IF(OR(LEFT($B291,4)="_Mil",SUM($Z291)=0),"",SUM($AD291)/$Z291)</f>
        <v>0</v>
      </c>
      <c r="AF291" s="39" t="str">
        <f aca="false">IF(LEFT($B291,4)="_Mil","",_xlfn.IFNA(ROUND(INDEX(Spectrum!$N:$N,MATCH(RIGHT($B291,13)&amp;"|"&amp;$C291&amp;"|"&amp;$D291&amp;"|"&amp;AF$14&amp;"|"&amp;"CY2023Q3",Spectrum!$R:$R,0)),0),""))</f>
        <v/>
      </c>
      <c r="AG291" s="88" t="str">
        <f aca="false">IF(OR(LEFT($B291,4)="_Mil",SUM($AD291)=0),"",SUM($AF291)/$AD291)</f>
        <v/>
      </c>
      <c r="AH291" s="86" t="str">
        <f aca="false">IF(LEFT($B291,4)="_Mil","",_xlfn.IFNA(INDEX(Spectrum!$N:$N,MATCH(RIGHT($B291,13)&amp;"|"&amp;$C291&amp;"|"&amp;$D291&amp;"|"&amp;AH$14&amp;"|"&amp;"CY2023Q3",Spectrum!$R:$R,0)),""))</f>
        <v/>
      </c>
      <c r="AI291" s="10" t="str">
        <f aca="false">IF(LEFT($B291,4)="_Mil","",_xlfn.IFNA(ROUND(INDEX(Spectrum!$N:$N,MATCH(RIGHT($B291,13)&amp;"|"&amp;$C291&amp;"|"&amp;$D291&amp;"|"&amp;AI$14&amp;"|"&amp;"CY2023Q3",Spectrum!$R:$R,0)),0),""))</f>
        <v/>
      </c>
      <c r="AJ291" s="39" t="n">
        <f aca="false">IF(LEFT($B291,4)="_Mil","",_xlfn.IFNA(ROUND(INDEX(Spectrum!$N:$N,MATCH(RIGHT($B291,13)&amp;"|"&amp;$C291&amp;"|"&amp;$D291&amp;"|"&amp;AI$14&amp;"|"&amp;"CY2023Q3",Spectrum!$R:$R,0)),0),SUM($U291)+SUM($AI291)))</f>
        <v>0</v>
      </c>
      <c r="AK291" s="10" t="str">
        <f aca="false">IF(LEFT($B291,4)="_Mil","",_xlfn.IFNA(ROUND(INDEX(Spectrum!$N:$N,MATCH(RIGHT($B291,13)&amp;"|"&amp;$C291&amp;"|"&amp;$D291&amp;"|"&amp;AK$14&amp;"|"&amp;"CY2023Q3",Spectrum!$R:$R,0)),0),""))</f>
        <v/>
      </c>
      <c r="AL291" s="88" t="n">
        <f aca="false">IF(OR(LEFT($B291,4)="_Mil",$C291="&lt;01"),"",MAX(SUM($AA291),90%))</f>
        <v>1122</v>
      </c>
      <c r="AM291" s="10" t="n">
        <f aca="false">IF(OR(LEFT($B291,4)="_Mil",$C291="&lt;01"),"",ROUND(SUM($AJ291)*SUM($AL291),0))</f>
        <v>0</v>
      </c>
      <c r="AN291" s="10" t="str">
        <f aca="false">IF($C291="&lt;01",ROUND(INDEX(EID!$P:$P,MATCH($B291,EID!$B:$B,0))/2,0),"")</f>
        <v/>
      </c>
      <c r="AO291" s="10" t="n">
        <f aca="false">IF($C291="&lt;01",SUM($AN291),ROUND(SUM($AM291)*SUM($O291)/IF(SUM($Z291)=0,1,$Z291),0))</f>
        <v>0</v>
      </c>
      <c r="AP291" s="39" t="n">
        <f aca="false">IF(OR($F291="",$C291="&lt;01"),$AO291,$F291)</f>
        <v>0</v>
      </c>
      <c r="AQ291" s="39" t="n">
        <f aca="false">IF(LEFT($B291,4)="_Mil","",IF(SUM($AP291)=0,SUM($Z291),IF(OR(SUM($Z291)=0,SUM($O291)=0),MAX($AP291,$Z291),$AP291*$Z291/$O291)))</f>
        <v>1437</v>
      </c>
      <c r="AR291" s="88" t="str">
        <f aca="false">IF(OR(LEFT($B291,4)="_Mil",SUM($AJ291)=0),"",SUM($AQ291)/$AJ291)</f>
        <v/>
      </c>
      <c r="AS291" s="88" t="n">
        <f aca="false">IF($C291="&lt;01","",98%)</f>
        <v>0.98</v>
      </c>
      <c r="AT291" s="88" t="n">
        <f aca="false">IF($C291="&lt;01","",98%)</f>
        <v>0.98</v>
      </c>
      <c r="AU291" s="10" t="n">
        <f aca="false">IF($C291="&lt;01","",SUM($AP291)-SUM($O291))</f>
        <v>0</v>
      </c>
      <c r="AV291" s="10" t="n">
        <f aca="false">IF($C291="&lt;01",ROUND(INDEX(EID!$N:$N,MATCH($B291,EID!$B:$B,0))/2,0),IF(SUM($AT291)=0,"",ROUND((SUM($AP291)-(SUM($O291)*SUM($AS291)))/$AT291,0)))</f>
        <v>0</v>
      </c>
      <c r="AW291" s="88" t="n">
        <f aca="false">IF($C291="&lt;01","",100%)</f>
        <v>1</v>
      </c>
      <c r="AX291" s="39" t="n">
        <f aca="false">IF($C291="&lt;01",SUM($AV291),ROUND(SUM($AV291)*SUM($AW291),0))</f>
        <v>0</v>
      </c>
      <c r="AY291" s="114" t="n">
        <f aca="false">IF($C291="&lt;01","",70%)</f>
        <v>0.7</v>
      </c>
      <c r="AZ291" s="91" t="n">
        <f aca="false">IF($C291="&lt;01",ROUND(INDEX(EID!$R:$R,MATCH($B291,EID!$B:$B,0))/2,0),ROUND(SUM($O291)+(SUM($AV291)*$AY291),0))</f>
        <v>0</v>
      </c>
      <c r="BA291" s="87" t="n">
        <f aca="false">IF($C291="&lt;01","",95%)</f>
        <v>0.95</v>
      </c>
      <c r="BB291" s="5" t="n">
        <f aca="false">IF($C291="&lt;01",ROUND(INDEX(EID!$T:$T,MATCH($B291,EID!$B:$B,0))/2,0),ROUND($AZ291*$BA291,0))</f>
        <v>0</v>
      </c>
      <c r="BC291" s="91" t="n">
        <f aca="false">IF(LEFT($B291,4)="_Mil","",IF(SUM($BB291)=0,SUM($AD291),IF(OR(SUM($AP291)=0,SUM($AQ291)=0),MAX($BB291,$AD291),ROUND($BB291*$AQ291/$AP291,0))))</f>
        <v>0</v>
      </c>
      <c r="BD291" s="88" t="n">
        <f aca="false">IF($C291="&lt;01","",95%)</f>
        <v>0.95</v>
      </c>
      <c r="BE291" s="39" t="n">
        <f aca="false">IF($C291="&lt;01",ROUND(INDEX(EID!$V:$V,MATCH($B291,EID!$B:$B,0))/2,0),ROUND($BD291*$BB291,0))</f>
        <v>0</v>
      </c>
      <c r="BF291" s="39" t="n">
        <f aca="false">IF(LEFT($B291,4)="_Mil","",IF(SUM($BE291)=0,SUM($AF291),IF(OR(SUM($AP291)=0,SUM($AQ291)=0),MAX($BE291,$AF291),ROUND($BE291*$AQ291/$AP291,0))))</f>
        <v>0</v>
      </c>
      <c r="BG291" s="114" t="n">
        <f aca="false">IF($C291="&lt;01","",95%)</f>
        <v>0.95</v>
      </c>
      <c r="BH291" s="5" t="n">
        <f aca="false">IF($C291="&lt;01",ROUND(INDEX(EID!$L:$L,MATCH($B291,EID!$B:$B,0)),0)/2,IF(SUM($BG291)=0,"",ROUND($AX291/$BG291,0)))</f>
        <v>0</v>
      </c>
    </row>
    <row r="292" customFormat="false" ht="15" hidden="false" customHeight="false" outlineLevel="0" collapsed="false">
      <c r="A292" s="0" t="str">
        <f aca="false">INDEX(Prioritization!$D:$D,MATCH($B292,Prioritization!$A:$A,0))</f>
        <v>1 - Scale-up: Saturation</v>
      </c>
      <c r="B292" s="0" t="s">
        <v>213</v>
      </c>
      <c r="C292" s="0" t="s">
        <v>367</v>
      </c>
      <c r="D292" s="0" t="s">
        <v>48</v>
      </c>
      <c r="E292" s="0" t="str">
        <f aca="false">$B292&amp;"|"&amp;$C292&amp;"|"&amp;$D292</f>
        <v>Chiradzulu District [oiPR2CiVJbf]|35-49|Male</v>
      </c>
      <c r="F292" s="10"/>
      <c r="G292" s="10"/>
      <c r="H292" s="10"/>
      <c r="I292" s="10"/>
      <c r="J292" s="10"/>
      <c r="K292" s="10"/>
      <c r="L292" s="10"/>
      <c r="M292" s="10"/>
      <c r="N292" s="10"/>
      <c r="O292" s="10" t="str">
        <f aca="false">IFERROR(1/(1/MAX($I292,$N292)),"")</f>
        <v/>
      </c>
      <c r="P292" s="10"/>
      <c r="Q292" s="10"/>
      <c r="R292" s="10" t="str">
        <f aca="false">IF(AND(SUM($I292)=0,SUM($O292)=0),"",SUM($O292)-$I292)</f>
        <v/>
      </c>
      <c r="S292" s="10" t="n">
        <f aca="false">IF(LEFT($B292,4)="_Mil","",_xlfn.IFNA(ROUND(INDEX(Spectrum!$N:$N,MATCH(RIGHT($B292,13)&amp;"|"&amp;$C292&amp;"|"&amp;$D292&amp;"|"&amp;S$14&amp;"|"&amp;"CY2022Q4",Spectrum!$R:$R,0)),0),""))</f>
        <v>1974</v>
      </c>
      <c r="T292" s="39" t="n">
        <f aca="false">IF(LEFT($B292,4)="_Mil","",_xlfn.IFNA(ROUND(INDEX(Spectrum!$N:$N,MATCH(RIGHT($B292,13)&amp;"|"&amp;$C292&amp;"|"&amp;$D292&amp;"|"&amp;T$14&amp;"|"&amp;"CY2023Q3",Spectrum!$R:$R,0)),0),""))</f>
        <v>718</v>
      </c>
      <c r="U292" s="39" t="str">
        <f aca="false">IF(LEFT($B292,4)="_Mil","",_xlfn.IFNA(ROUND(INDEX(Spectrum!$N:$N,MATCH(RIGHT($B292,13)&amp;"|"&amp;$C292&amp;"|"&amp;$D292&amp;"|"&amp;U$14&amp;"|"&amp;"CY2023Q3",Spectrum!$R:$R,0)),0),""))</f>
        <v/>
      </c>
      <c r="V292" s="10" t="n">
        <f aca="false">IF(LEFT($B292,4)="_Mil","",_xlfn.IFNA(ROUND(INDEX(Spectrum!$N:$N,MATCH(RIGHT($B292,13)&amp;"|"&amp;$C292&amp;"|"&amp;$D292&amp;"|"&amp;V$14&amp;"|"&amp;"CY2023Q3",Spectrum!$R:$R,0)),0),""))</f>
        <v>501</v>
      </c>
      <c r="W292" s="113" t="n">
        <f aca="false">IF(LEFT($B292,4)="_Mil","",_xlfn.IFNA(INDEX(Spectrum!$N:$N,MATCH(RIGHT($B292,13)&amp;"|"&amp;$C292&amp;"|"&amp;$D292&amp;"|"&amp;W$14&amp;"|"&amp;"CY2023Q3",Spectrum!$R:$R,0)),""))</f>
        <v>679</v>
      </c>
      <c r="X292" s="39" t="n">
        <f aca="false">IF(LEFT($B292,4)="_Mil","",_xlfn.IFNA(ROUND(INDEX(Spectrum!$N:$N,MATCH(RIGHT($B292,13)&amp;"|"&amp;$C292&amp;"|"&amp;$D292&amp;"|"&amp;X$14&amp;"|"&amp;"CY2023Q3",Spectrum!$R:$R,0)),0),""))</f>
        <v>984</v>
      </c>
      <c r="Y292" s="88" t="str">
        <f aca="false">IF(OR(SUM($U292)=0,LEFT($B292,4)="_Mil"),"",SUM($X292)/$U292)</f>
        <v/>
      </c>
      <c r="Z292" s="39" t="n">
        <f aca="false">IF(LEFT($B292,4)="_Mil","",_xlfn.IFNA(ROUND(INDEX(Spectrum!$N:$N,MATCH(RIGHT($B292,13)&amp;"|"&amp;$C292&amp;"|"&amp;$D292&amp;"|"&amp;Z$14&amp;"|"&amp;"CY2023Q3",Spectrum!$R:$R,0)),0),""))</f>
        <v>1602</v>
      </c>
      <c r="AA292" s="88" t="n">
        <f aca="false">IF(LEFT($B292,4)="_Mil","",IFERROR(1/(1/INDEX(Spectrum!$N:$N,MATCH(RIGHT($B292,13)&amp;"|"&amp;$C292&amp;"|"&amp;$D292&amp;"|"&amp;AA$14&amp;"|"&amp;"CY2023Q3",Spectrum!$R:$R,0))),IF(SUM($U292)=0,"",SUM($Z292)/$U292)))</f>
        <v>1258</v>
      </c>
      <c r="AB292" s="88" t="n">
        <f aca="false">IF(OR(LEFT($B292,4)="_Mil",SUM($X292)=0),"",SUM($Z292)/$X292)</f>
        <v>1.6280487804878</v>
      </c>
      <c r="AC292" s="10" t="n">
        <f aca="false">IF(LEFT($B292,4)="_Mil","",_xlfn.IFNA(ROUND(INDEX(Spectrum!$N:$N,MATCH(RIGHT($B292,13)&amp;"|"&amp;$C292&amp;"|"&amp;$D292&amp;"|"&amp;AC$14&amp;"|"&amp;"CY2023Q3",Spectrum!$R:$R,0)),0),""))</f>
        <v>1923</v>
      </c>
      <c r="AD292" s="10" t="str">
        <f aca="false">IF(LEFT($B292,4)="_Mil","",_xlfn.IFNA(ROUND(INDEX(Spectrum!$N:$N,MATCH(RIGHT($B292,13)&amp;"|"&amp;$C292&amp;"|"&amp;$D292&amp;"|"&amp;AD$14&amp;"|"&amp;"CY2023Q3",Spectrum!$R:$R,0)),0),""))</f>
        <v/>
      </c>
      <c r="AE292" s="88" t="n">
        <f aca="false">IF(OR(LEFT($B292,4)="_Mil",SUM($Z292)=0),"",SUM($AD292)/$Z292)</f>
        <v>0</v>
      </c>
      <c r="AF292" s="39" t="str">
        <f aca="false">IF(LEFT($B292,4)="_Mil","",_xlfn.IFNA(ROUND(INDEX(Spectrum!$N:$N,MATCH(RIGHT($B292,13)&amp;"|"&amp;$C292&amp;"|"&amp;$D292&amp;"|"&amp;AF$14&amp;"|"&amp;"CY2023Q3",Spectrum!$R:$R,0)),0),""))</f>
        <v/>
      </c>
      <c r="AG292" s="88" t="str">
        <f aca="false">IF(OR(LEFT($B292,4)="_Mil",SUM($AD292)=0),"",SUM($AF292)/$AD292)</f>
        <v/>
      </c>
      <c r="AH292" s="86" t="str">
        <f aca="false">IF(LEFT($B292,4)="_Mil","",_xlfn.IFNA(INDEX(Spectrum!$N:$N,MATCH(RIGHT($B292,13)&amp;"|"&amp;$C292&amp;"|"&amp;$D292&amp;"|"&amp;AH$14&amp;"|"&amp;"CY2023Q3",Spectrum!$R:$R,0)),""))</f>
        <v/>
      </c>
      <c r="AI292" s="10" t="str">
        <f aca="false">IF(LEFT($B292,4)="_Mil","",_xlfn.IFNA(ROUND(INDEX(Spectrum!$N:$N,MATCH(RIGHT($B292,13)&amp;"|"&amp;$C292&amp;"|"&amp;$D292&amp;"|"&amp;AI$14&amp;"|"&amp;"CY2023Q3",Spectrum!$R:$R,0)),0),""))</f>
        <v/>
      </c>
      <c r="AJ292" s="39" t="n">
        <f aca="false">IF(LEFT($B292,4)="_Mil","",_xlfn.IFNA(ROUND(INDEX(Spectrum!$N:$N,MATCH(RIGHT($B292,13)&amp;"|"&amp;$C292&amp;"|"&amp;$D292&amp;"|"&amp;AI$14&amp;"|"&amp;"CY2023Q3",Spectrum!$R:$R,0)),0),SUM($U292)+SUM($AI292)))</f>
        <v>0</v>
      </c>
      <c r="AK292" s="10" t="str">
        <f aca="false">IF(LEFT($B292,4)="_Mil","",_xlfn.IFNA(ROUND(INDEX(Spectrum!$N:$N,MATCH(RIGHT($B292,13)&amp;"|"&amp;$C292&amp;"|"&amp;$D292&amp;"|"&amp;AK$14&amp;"|"&amp;"CY2023Q3",Spectrum!$R:$R,0)),0),""))</f>
        <v/>
      </c>
      <c r="AL292" s="88" t="n">
        <f aca="false">IF(OR(LEFT($B292,4)="_Mil",$C292="&lt;01"),"",MAX(SUM($AA292),90%))</f>
        <v>1258</v>
      </c>
      <c r="AM292" s="10" t="n">
        <f aca="false">IF(OR(LEFT($B292,4)="_Mil",$C292="&lt;01"),"",ROUND(SUM($AJ292)*SUM($AL292),0))</f>
        <v>0</v>
      </c>
      <c r="AN292" s="10" t="str">
        <f aca="false">IF($C292="&lt;01",ROUND(INDEX(EID!$P:$P,MATCH($B292,EID!$B:$B,0))/2,0),"")</f>
        <v/>
      </c>
      <c r="AO292" s="10" t="n">
        <f aca="false">IF($C292="&lt;01",SUM($AN292),ROUND(SUM($AM292)*SUM($O292)/IF(SUM($Z292)=0,1,$Z292),0))</f>
        <v>0</v>
      </c>
      <c r="AP292" s="39" t="n">
        <f aca="false">IF(OR($F292="",$C292="&lt;01"),$AO292,$F292)</f>
        <v>0</v>
      </c>
      <c r="AQ292" s="39" t="n">
        <f aca="false">IF(LEFT($B292,4)="_Mil","",IF(SUM($AP292)=0,SUM($Z292),IF(OR(SUM($Z292)=0,SUM($O292)=0),MAX($AP292,$Z292),$AP292*$Z292/$O292)))</f>
        <v>1602</v>
      </c>
      <c r="AR292" s="88" t="str">
        <f aca="false">IF(OR(LEFT($B292,4)="_Mil",SUM($AJ292)=0),"",SUM($AQ292)/$AJ292)</f>
        <v/>
      </c>
      <c r="AS292" s="88" t="n">
        <f aca="false">IF($C292="&lt;01","",98%)</f>
        <v>0.98</v>
      </c>
      <c r="AT292" s="88" t="n">
        <f aca="false">IF($C292="&lt;01","",98%)</f>
        <v>0.98</v>
      </c>
      <c r="AU292" s="10" t="n">
        <f aca="false">IF($C292="&lt;01","",SUM($AP292)-SUM($O292))</f>
        <v>0</v>
      </c>
      <c r="AV292" s="10" t="n">
        <f aca="false">IF($C292="&lt;01",ROUND(INDEX(EID!$N:$N,MATCH($B292,EID!$B:$B,0))/2,0),IF(SUM($AT292)=0,"",ROUND((SUM($AP292)-(SUM($O292)*SUM($AS292)))/$AT292,0)))</f>
        <v>0</v>
      </c>
      <c r="AW292" s="88" t="n">
        <f aca="false">IF($C292="&lt;01","",100%)</f>
        <v>1</v>
      </c>
      <c r="AX292" s="39" t="n">
        <f aca="false">IF($C292="&lt;01",SUM($AV292),ROUND(SUM($AV292)*SUM($AW292),0))</f>
        <v>0</v>
      </c>
      <c r="AY292" s="114" t="n">
        <f aca="false">IF($C292="&lt;01","",70%)</f>
        <v>0.7</v>
      </c>
      <c r="AZ292" s="91" t="n">
        <f aca="false">IF($C292="&lt;01",ROUND(INDEX(EID!$R:$R,MATCH($B292,EID!$B:$B,0))/2,0),ROUND(SUM($O292)+(SUM($AV292)*$AY292),0))</f>
        <v>0</v>
      </c>
      <c r="BA292" s="87" t="n">
        <f aca="false">IF($C292="&lt;01","",95%)</f>
        <v>0.95</v>
      </c>
      <c r="BB292" s="5" t="n">
        <f aca="false">IF($C292="&lt;01",ROUND(INDEX(EID!$T:$T,MATCH($B292,EID!$B:$B,0))/2,0),ROUND($AZ292*$BA292,0))</f>
        <v>0</v>
      </c>
      <c r="BC292" s="91" t="n">
        <f aca="false">IF(LEFT($B292,4)="_Mil","",IF(SUM($BB292)=0,SUM($AD292),IF(OR(SUM($AP292)=0,SUM($AQ292)=0),MAX($BB292,$AD292),ROUND($BB292*$AQ292/$AP292,0))))</f>
        <v>0</v>
      </c>
      <c r="BD292" s="88" t="n">
        <f aca="false">IF($C292="&lt;01","",95%)</f>
        <v>0.95</v>
      </c>
      <c r="BE292" s="39" t="n">
        <f aca="false">IF($C292="&lt;01",ROUND(INDEX(EID!$V:$V,MATCH($B292,EID!$B:$B,0))/2,0),ROUND($BD292*$BB292,0))</f>
        <v>0</v>
      </c>
      <c r="BF292" s="39" t="n">
        <f aca="false">IF(LEFT($B292,4)="_Mil","",IF(SUM($BE292)=0,SUM($AF292),IF(OR(SUM($AP292)=0,SUM($AQ292)=0),MAX($BE292,$AF292),ROUND($BE292*$AQ292/$AP292,0))))</f>
        <v>0</v>
      </c>
      <c r="BG292" s="114" t="n">
        <f aca="false">IF($C292="&lt;01","",95%)</f>
        <v>0.95</v>
      </c>
      <c r="BH292" s="5" t="n">
        <f aca="false">IF($C292="&lt;01",ROUND(INDEX(EID!$L:$L,MATCH($B292,EID!$B:$B,0)),0)/2,IF(SUM($BG292)=0,"",ROUND($AX292/$BG292,0)))</f>
        <v>0</v>
      </c>
    </row>
    <row r="293" customFormat="false" ht="15" hidden="false" customHeight="false" outlineLevel="0" collapsed="false">
      <c r="A293" s="0" t="str">
        <f aca="false">INDEX(Prioritization!$D:$D,MATCH($B293,Prioritization!$A:$A,0))</f>
        <v>1 - Scale-up: Saturation</v>
      </c>
      <c r="B293" s="0" t="s">
        <v>213</v>
      </c>
      <c r="C293" s="0" t="s">
        <v>368</v>
      </c>
      <c r="D293" s="0" t="s">
        <v>30</v>
      </c>
      <c r="E293" s="0" t="str">
        <f aca="false">$B293&amp;"|"&amp;$C293&amp;"|"&amp;$D293</f>
        <v>Chiradzulu District [oiPR2CiVJbf]|50+|Female</v>
      </c>
      <c r="F293" s="10"/>
      <c r="G293" s="10"/>
      <c r="H293" s="10"/>
      <c r="I293" s="10"/>
      <c r="J293" s="10"/>
      <c r="K293" s="10"/>
      <c r="L293" s="10"/>
      <c r="M293" s="10"/>
      <c r="N293" s="10"/>
      <c r="O293" s="10" t="str">
        <f aca="false">IFERROR(1/(1/MAX($I293,$N293)),"")</f>
        <v/>
      </c>
      <c r="P293" s="10"/>
      <c r="Q293" s="10"/>
      <c r="R293" s="10" t="str">
        <f aca="false">IF(AND(SUM($I293)=0,SUM($O293)=0),"",SUM($O293)-$I293)</f>
        <v/>
      </c>
      <c r="S293" s="10" t="n">
        <f aca="false">IF(LEFT($B293,4)="_Mil","",_xlfn.IFNA(ROUND(INDEX(Spectrum!$N:$N,MATCH(RIGHT($B293,13)&amp;"|"&amp;$C293&amp;"|"&amp;$D293&amp;"|"&amp;S$14&amp;"|"&amp;"CY2022Q4",Spectrum!$R:$R,0)),0),""))</f>
        <v>638</v>
      </c>
      <c r="T293" s="39" t="n">
        <f aca="false">IF(LEFT($B293,4)="_Mil","",_xlfn.IFNA(ROUND(INDEX(Spectrum!$N:$N,MATCH(RIGHT($B293,13)&amp;"|"&amp;$C293&amp;"|"&amp;$D293&amp;"|"&amp;T$14&amp;"|"&amp;"CY2023Q3",Spectrum!$R:$R,0)),0),""))</f>
        <v>1061</v>
      </c>
      <c r="U293" s="39" t="str">
        <f aca="false">IF(LEFT($B293,4)="_Mil","",_xlfn.IFNA(ROUND(INDEX(Spectrum!$N:$N,MATCH(RIGHT($B293,13)&amp;"|"&amp;$C293&amp;"|"&amp;$D293&amp;"|"&amp;U$14&amp;"|"&amp;"CY2023Q3",Spectrum!$R:$R,0)),0),""))</f>
        <v/>
      </c>
      <c r="V293" s="10" t="n">
        <f aca="false">IF(LEFT($B293,4)="_Mil","",_xlfn.IFNA(ROUND(INDEX(Spectrum!$N:$N,MATCH(RIGHT($B293,13)&amp;"|"&amp;$C293&amp;"|"&amp;$D293&amp;"|"&amp;V$14&amp;"|"&amp;"CY2023Q3",Spectrum!$R:$R,0)),0),""))</f>
        <v>1974</v>
      </c>
      <c r="W293" s="113" t="n">
        <f aca="false">IF(LEFT($B293,4)="_Mil","",_xlfn.IFNA(INDEX(Spectrum!$N:$N,MATCH(RIGHT($B293,13)&amp;"|"&amp;$C293&amp;"|"&amp;$D293&amp;"|"&amp;W$14&amp;"|"&amp;"CY2023Q3",Spectrum!$R:$R,0)),""))</f>
        <v>1422</v>
      </c>
      <c r="X293" s="39" t="n">
        <f aca="false">IF(LEFT($B293,4)="_Mil","",_xlfn.IFNA(ROUND(INDEX(Spectrum!$N:$N,MATCH(RIGHT($B293,13)&amp;"|"&amp;$C293&amp;"|"&amp;$D293&amp;"|"&amp;X$14&amp;"|"&amp;"CY2023Q3",Spectrum!$R:$R,0)),0),""))</f>
        <v>629</v>
      </c>
      <c r="Y293" s="88" t="str">
        <f aca="false">IF(OR(SUM($U293)=0,LEFT($B293,4)="_Mil"),"",SUM($X293)/$U293)</f>
        <v/>
      </c>
      <c r="Z293" s="39" t="n">
        <f aca="false">IF(LEFT($B293,4)="_Mil","",_xlfn.IFNA(ROUND(INDEX(Spectrum!$N:$N,MATCH(RIGHT($B293,13)&amp;"|"&amp;$C293&amp;"|"&amp;$D293&amp;"|"&amp;Z$14&amp;"|"&amp;"CY2023Q3",Spectrum!$R:$R,0)),0),""))</f>
        <v>1665</v>
      </c>
      <c r="AA293" s="88" t="n">
        <f aca="false">IF(LEFT($B293,4)="_Mil","",IFERROR(1/(1/INDEX(Spectrum!$N:$N,MATCH(RIGHT($B293,13)&amp;"|"&amp;$C293&amp;"|"&amp;$D293&amp;"|"&amp;AA$14&amp;"|"&amp;"CY2023Q3",Spectrum!$R:$R,0))),IF(SUM($U293)=0,"",SUM($Z293)/$U293)))</f>
        <v>1159</v>
      </c>
      <c r="AB293" s="88" t="n">
        <f aca="false">IF(OR(LEFT($B293,4)="_Mil",SUM($X293)=0),"",SUM($Z293)/$X293)</f>
        <v>2.64705882352941</v>
      </c>
      <c r="AC293" s="10" t="n">
        <f aca="false">IF(LEFT($B293,4)="_Mil","",_xlfn.IFNA(ROUND(INDEX(Spectrum!$N:$N,MATCH(RIGHT($B293,13)&amp;"|"&amp;$C293&amp;"|"&amp;$D293&amp;"|"&amp;AC$14&amp;"|"&amp;"CY2023Q3",Spectrum!$R:$R,0)),0),""))</f>
        <v>1317</v>
      </c>
      <c r="AD293" s="10" t="str">
        <f aca="false">IF(LEFT($B293,4)="_Mil","",_xlfn.IFNA(ROUND(INDEX(Spectrum!$N:$N,MATCH(RIGHT($B293,13)&amp;"|"&amp;$C293&amp;"|"&amp;$D293&amp;"|"&amp;AD$14&amp;"|"&amp;"CY2023Q3",Spectrum!$R:$R,0)),0),""))</f>
        <v/>
      </c>
      <c r="AE293" s="88" t="n">
        <f aca="false">IF(OR(LEFT($B293,4)="_Mil",SUM($Z293)=0),"",SUM($AD293)/$Z293)</f>
        <v>0</v>
      </c>
      <c r="AF293" s="39" t="str">
        <f aca="false">IF(LEFT($B293,4)="_Mil","",_xlfn.IFNA(ROUND(INDEX(Spectrum!$N:$N,MATCH(RIGHT($B293,13)&amp;"|"&amp;$C293&amp;"|"&amp;$D293&amp;"|"&amp;AF$14&amp;"|"&amp;"CY2023Q3",Spectrum!$R:$R,0)),0),""))</f>
        <v/>
      </c>
      <c r="AG293" s="88" t="str">
        <f aca="false">IF(OR(LEFT($B293,4)="_Mil",SUM($AD293)=0),"",SUM($AF293)/$AD293)</f>
        <v/>
      </c>
      <c r="AH293" s="86" t="str">
        <f aca="false">IF(LEFT($B293,4)="_Mil","",_xlfn.IFNA(INDEX(Spectrum!$N:$N,MATCH(RIGHT($B293,13)&amp;"|"&amp;$C293&amp;"|"&amp;$D293&amp;"|"&amp;AH$14&amp;"|"&amp;"CY2023Q3",Spectrum!$R:$R,0)),""))</f>
        <v/>
      </c>
      <c r="AI293" s="10" t="str">
        <f aca="false">IF(LEFT($B293,4)="_Mil","",_xlfn.IFNA(ROUND(INDEX(Spectrum!$N:$N,MATCH(RIGHT($B293,13)&amp;"|"&amp;$C293&amp;"|"&amp;$D293&amp;"|"&amp;AI$14&amp;"|"&amp;"CY2023Q3",Spectrum!$R:$R,0)),0),""))</f>
        <v/>
      </c>
      <c r="AJ293" s="39" t="n">
        <f aca="false">IF(LEFT($B293,4)="_Mil","",_xlfn.IFNA(ROUND(INDEX(Spectrum!$N:$N,MATCH(RIGHT($B293,13)&amp;"|"&amp;$C293&amp;"|"&amp;$D293&amp;"|"&amp;AI$14&amp;"|"&amp;"CY2023Q3",Spectrum!$R:$R,0)),0),SUM($U293)+SUM($AI293)))</f>
        <v>0</v>
      </c>
      <c r="AK293" s="10" t="str">
        <f aca="false">IF(LEFT($B293,4)="_Mil","",_xlfn.IFNA(ROUND(INDEX(Spectrum!$N:$N,MATCH(RIGHT($B293,13)&amp;"|"&amp;$C293&amp;"|"&amp;$D293&amp;"|"&amp;AK$14&amp;"|"&amp;"CY2023Q3",Spectrum!$R:$R,0)),0),""))</f>
        <v/>
      </c>
      <c r="AL293" s="88" t="n">
        <f aca="false">IF(OR(LEFT($B293,4)="_Mil",$C293="&lt;01"),"",MAX(SUM($AA293),90%))</f>
        <v>1159</v>
      </c>
      <c r="AM293" s="10" t="n">
        <f aca="false">IF(OR(LEFT($B293,4)="_Mil",$C293="&lt;01"),"",ROUND(SUM($AJ293)*SUM($AL293),0))</f>
        <v>0</v>
      </c>
      <c r="AN293" s="10" t="str">
        <f aca="false">IF($C293="&lt;01",ROUND(INDEX(EID!$P:$P,MATCH($B293,EID!$B:$B,0))/2,0),"")</f>
        <v/>
      </c>
      <c r="AO293" s="10" t="n">
        <f aca="false">IF($C293="&lt;01",SUM($AN293),ROUND(SUM($AM293)*SUM($O293)/IF(SUM($Z293)=0,1,$Z293),0))</f>
        <v>0</v>
      </c>
      <c r="AP293" s="39" t="n">
        <f aca="false">IF(OR($F293="",$C293="&lt;01"),$AO293,$F293)</f>
        <v>0</v>
      </c>
      <c r="AQ293" s="39" t="n">
        <f aca="false">IF(LEFT($B293,4)="_Mil","",IF(SUM($AP293)=0,SUM($Z293),IF(OR(SUM($Z293)=0,SUM($O293)=0),MAX($AP293,$Z293),$AP293*$Z293/$O293)))</f>
        <v>1665</v>
      </c>
      <c r="AR293" s="88" t="str">
        <f aca="false">IF(OR(LEFT($B293,4)="_Mil",SUM($AJ293)=0),"",SUM($AQ293)/$AJ293)</f>
        <v/>
      </c>
      <c r="AS293" s="88" t="n">
        <f aca="false">IF($C293="&lt;01","",98%)</f>
        <v>0.98</v>
      </c>
      <c r="AT293" s="88" t="n">
        <f aca="false">IF($C293="&lt;01","",98%)</f>
        <v>0.98</v>
      </c>
      <c r="AU293" s="10" t="n">
        <f aca="false">IF($C293="&lt;01","",SUM($AP293)-SUM($O293))</f>
        <v>0</v>
      </c>
      <c r="AV293" s="10" t="n">
        <f aca="false">IF($C293="&lt;01",ROUND(INDEX(EID!$N:$N,MATCH($B293,EID!$B:$B,0))/2,0),IF(SUM($AT293)=0,"",ROUND((SUM($AP293)-(SUM($O293)*SUM($AS293)))/$AT293,0)))</f>
        <v>0</v>
      </c>
      <c r="AW293" s="88" t="n">
        <f aca="false">IF($C293="&lt;01","",100%)</f>
        <v>1</v>
      </c>
      <c r="AX293" s="39" t="n">
        <f aca="false">IF($C293="&lt;01",SUM($AV293),ROUND(SUM($AV293)*SUM($AW293),0))</f>
        <v>0</v>
      </c>
      <c r="AY293" s="114" t="n">
        <f aca="false">IF($C293="&lt;01","",70%)</f>
        <v>0.7</v>
      </c>
      <c r="AZ293" s="91" t="n">
        <f aca="false">IF($C293="&lt;01",ROUND(INDEX(EID!$R:$R,MATCH($B293,EID!$B:$B,0))/2,0),ROUND(SUM($O293)+(SUM($AV293)*$AY293),0))</f>
        <v>0</v>
      </c>
      <c r="BA293" s="87" t="n">
        <f aca="false">IF($C293="&lt;01","",95%)</f>
        <v>0.95</v>
      </c>
      <c r="BB293" s="5" t="n">
        <f aca="false">IF($C293="&lt;01",ROUND(INDEX(EID!$T:$T,MATCH($B293,EID!$B:$B,0))/2,0),ROUND($AZ293*$BA293,0))</f>
        <v>0</v>
      </c>
      <c r="BC293" s="91" t="n">
        <f aca="false">IF(LEFT($B293,4)="_Mil","",IF(SUM($BB293)=0,SUM($AD293),IF(OR(SUM($AP293)=0,SUM($AQ293)=0),MAX($BB293,$AD293),ROUND($BB293*$AQ293/$AP293,0))))</f>
        <v>0</v>
      </c>
      <c r="BD293" s="88" t="n">
        <f aca="false">IF($C293="&lt;01","",95%)</f>
        <v>0.95</v>
      </c>
      <c r="BE293" s="39" t="n">
        <f aca="false">IF($C293="&lt;01",ROUND(INDEX(EID!$V:$V,MATCH($B293,EID!$B:$B,0))/2,0),ROUND($BD293*$BB293,0))</f>
        <v>0</v>
      </c>
      <c r="BF293" s="39" t="n">
        <f aca="false">IF(LEFT($B293,4)="_Mil","",IF(SUM($BE293)=0,SUM($AF293),IF(OR(SUM($AP293)=0,SUM($AQ293)=0),MAX($BE293,$AF293),ROUND($BE293*$AQ293/$AP293,0))))</f>
        <v>0</v>
      </c>
      <c r="BG293" s="114" t="n">
        <f aca="false">IF($C293="&lt;01","",95%)</f>
        <v>0.95</v>
      </c>
      <c r="BH293" s="5" t="n">
        <f aca="false">IF($C293="&lt;01",ROUND(INDEX(EID!$L:$L,MATCH($B293,EID!$B:$B,0)),0)/2,IF(SUM($BG293)=0,"",ROUND($AX293/$BG293,0)))</f>
        <v>0</v>
      </c>
    </row>
    <row r="294" customFormat="false" ht="15" hidden="false" customHeight="false" outlineLevel="0" collapsed="false">
      <c r="A294" s="0" t="str">
        <f aca="false">INDEX(Prioritization!$D:$D,MATCH($B294,Prioritization!$A:$A,0))</f>
        <v>1 - Scale-up: Saturation</v>
      </c>
      <c r="B294" s="0" t="s">
        <v>213</v>
      </c>
      <c r="C294" s="0" t="s">
        <v>368</v>
      </c>
      <c r="D294" s="0" t="s">
        <v>48</v>
      </c>
      <c r="E294" s="0" t="str">
        <f aca="false">$B294&amp;"|"&amp;$C294&amp;"|"&amp;$D294</f>
        <v>Chiradzulu District [oiPR2CiVJbf]|50+|Male</v>
      </c>
      <c r="F294" s="10"/>
      <c r="G294" s="10"/>
      <c r="H294" s="10"/>
      <c r="I294" s="10"/>
      <c r="J294" s="10"/>
      <c r="K294" s="10"/>
      <c r="L294" s="10"/>
      <c r="M294" s="10"/>
      <c r="N294" s="10"/>
      <c r="O294" s="10" t="str">
        <f aca="false">IFERROR(1/(1/MAX($I294,$N294)),"")</f>
        <v/>
      </c>
      <c r="P294" s="10"/>
      <c r="Q294" s="10"/>
      <c r="R294" s="10" t="str">
        <f aca="false">IF(AND(SUM($I294)=0,SUM($O294)=0),"",SUM($O294)-$I294)</f>
        <v/>
      </c>
      <c r="S294" s="10" t="n">
        <f aca="false">IF(LEFT($B294,4)="_Mil","",_xlfn.IFNA(ROUND(INDEX(Spectrum!$N:$N,MATCH(RIGHT($B294,13)&amp;"|"&amp;$C294&amp;"|"&amp;$D294&amp;"|"&amp;S$14&amp;"|"&amp;"CY2022Q4",Spectrum!$R:$R,0)),0),""))</f>
        <v>1544</v>
      </c>
      <c r="T294" s="39" t="n">
        <f aca="false">IF(LEFT($B294,4)="_Mil","",_xlfn.IFNA(ROUND(INDEX(Spectrum!$N:$N,MATCH(RIGHT($B294,13)&amp;"|"&amp;$C294&amp;"|"&amp;$D294&amp;"|"&amp;T$14&amp;"|"&amp;"CY2023Q3",Spectrum!$R:$R,0)),0),""))</f>
        <v>1506</v>
      </c>
      <c r="U294" s="39" t="str">
        <f aca="false">IF(LEFT($B294,4)="_Mil","",_xlfn.IFNA(ROUND(INDEX(Spectrum!$N:$N,MATCH(RIGHT($B294,13)&amp;"|"&amp;$C294&amp;"|"&amp;$D294&amp;"|"&amp;U$14&amp;"|"&amp;"CY2023Q3",Spectrum!$R:$R,0)),0),""))</f>
        <v/>
      </c>
      <c r="V294" s="10" t="n">
        <f aca="false">IF(LEFT($B294,4)="_Mil","",_xlfn.IFNA(ROUND(INDEX(Spectrum!$N:$N,MATCH(RIGHT($B294,13)&amp;"|"&amp;$C294&amp;"|"&amp;$D294&amp;"|"&amp;V$14&amp;"|"&amp;"CY2023Q3",Spectrum!$R:$R,0)),0),""))</f>
        <v>827</v>
      </c>
      <c r="W294" s="113" t="n">
        <f aca="false">IF(LEFT($B294,4)="_Mil","",_xlfn.IFNA(INDEX(Spectrum!$N:$N,MATCH(RIGHT($B294,13)&amp;"|"&amp;$C294&amp;"|"&amp;$D294&amp;"|"&amp;W$14&amp;"|"&amp;"CY2023Q3",Spectrum!$R:$R,0)),""))</f>
        <v>873</v>
      </c>
      <c r="X294" s="39" t="n">
        <f aca="false">IF(LEFT($B294,4)="_Mil","",_xlfn.IFNA(ROUND(INDEX(Spectrum!$N:$N,MATCH(RIGHT($B294,13)&amp;"|"&amp;$C294&amp;"|"&amp;$D294&amp;"|"&amp;X$14&amp;"|"&amp;"CY2023Q3",Spectrum!$R:$R,0)),0),""))</f>
        <v>1743</v>
      </c>
      <c r="Y294" s="88" t="str">
        <f aca="false">IF(OR(SUM($U294)=0,LEFT($B294,4)="_Mil"),"",SUM($X294)/$U294)</f>
        <v/>
      </c>
      <c r="Z294" s="39" t="n">
        <f aca="false">IF(LEFT($B294,4)="_Mil","",_xlfn.IFNA(ROUND(INDEX(Spectrum!$N:$N,MATCH(RIGHT($B294,13)&amp;"|"&amp;$C294&amp;"|"&amp;$D294&amp;"|"&amp;Z$14&amp;"|"&amp;"CY2023Q3",Spectrum!$R:$R,0)),0),""))</f>
        <v>1566</v>
      </c>
      <c r="AA294" s="88" t="n">
        <f aca="false">IF(LEFT($B294,4)="_Mil","",IFERROR(1/(1/INDEX(Spectrum!$N:$N,MATCH(RIGHT($B294,13)&amp;"|"&amp;$C294&amp;"|"&amp;$D294&amp;"|"&amp;AA$14&amp;"|"&amp;"CY2023Q3",Spectrum!$R:$R,0))),IF(SUM($U294)=0,"",SUM($Z294)/$U294)))</f>
        <v>1792</v>
      </c>
      <c r="AB294" s="88" t="n">
        <f aca="false">IF(OR(LEFT($B294,4)="_Mil",SUM($X294)=0),"",SUM($Z294)/$X294)</f>
        <v>0.898450946643718</v>
      </c>
      <c r="AC294" s="10" t="n">
        <f aca="false">IF(LEFT($B294,4)="_Mil","",_xlfn.IFNA(ROUND(INDEX(Spectrum!$N:$N,MATCH(RIGHT($B294,13)&amp;"|"&amp;$C294&amp;"|"&amp;$D294&amp;"|"&amp;AC$14&amp;"|"&amp;"CY2023Q3",Spectrum!$R:$R,0)),0),""))</f>
        <v>1612</v>
      </c>
      <c r="AD294" s="10" t="str">
        <f aca="false">IF(LEFT($B294,4)="_Mil","",_xlfn.IFNA(ROUND(INDEX(Spectrum!$N:$N,MATCH(RIGHT($B294,13)&amp;"|"&amp;$C294&amp;"|"&amp;$D294&amp;"|"&amp;AD$14&amp;"|"&amp;"CY2023Q3",Spectrum!$R:$R,0)),0),""))</f>
        <v/>
      </c>
      <c r="AE294" s="88" t="n">
        <f aca="false">IF(OR(LEFT($B294,4)="_Mil",SUM($Z294)=0),"",SUM($AD294)/$Z294)</f>
        <v>0</v>
      </c>
      <c r="AF294" s="39" t="str">
        <f aca="false">IF(LEFT($B294,4)="_Mil","",_xlfn.IFNA(ROUND(INDEX(Spectrum!$N:$N,MATCH(RIGHT($B294,13)&amp;"|"&amp;$C294&amp;"|"&amp;$D294&amp;"|"&amp;AF$14&amp;"|"&amp;"CY2023Q3",Spectrum!$R:$R,0)),0),""))</f>
        <v/>
      </c>
      <c r="AG294" s="88" t="str">
        <f aca="false">IF(OR(LEFT($B294,4)="_Mil",SUM($AD294)=0),"",SUM($AF294)/$AD294)</f>
        <v/>
      </c>
      <c r="AH294" s="86" t="str">
        <f aca="false">IF(LEFT($B294,4)="_Mil","",_xlfn.IFNA(INDEX(Spectrum!$N:$N,MATCH(RIGHT($B294,13)&amp;"|"&amp;$C294&amp;"|"&amp;$D294&amp;"|"&amp;AH$14&amp;"|"&amp;"CY2023Q3",Spectrum!$R:$R,0)),""))</f>
        <v/>
      </c>
      <c r="AI294" s="10" t="str">
        <f aca="false">IF(LEFT($B294,4)="_Mil","",_xlfn.IFNA(ROUND(INDEX(Spectrum!$N:$N,MATCH(RIGHT($B294,13)&amp;"|"&amp;$C294&amp;"|"&amp;$D294&amp;"|"&amp;AI$14&amp;"|"&amp;"CY2023Q3",Spectrum!$R:$R,0)),0),""))</f>
        <v/>
      </c>
      <c r="AJ294" s="39" t="n">
        <f aca="false">IF(LEFT($B294,4)="_Mil","",_xlfn.IFNA(ROUND(INDEX(Spectrum!$N:$N,MATCH(RIGHT($B294,13)&amp;"|"&amp;$C294&amp;"|"&amp;$D294&amp;"|"&amp;AI$14&amp;"|"&amp;"CY2023Q3",Spectrum!$R:$R,0)),0),SUM($U294)+SUM($AI294)))</f>
        <v>0</v>
      </c>
      <c r="AK294" s="10" t="str">
        <f aca="false">IF(LEFT($B294,4)="_Mil","",_xlfn.IFNA(ROUND(INDEX(Spectrum!$N:$N,MATCH(RIGHT($B294,13)&amp;"|"&amp;$C294&amp;"|"&amp;$D294&amp;"|"&amp;AK$14&amp;"|"&amp;"CY2023Q3",Spectrum!$R:$R,0)),0),""))</f>
        <v/>
      </c>
      <c r="AL294" s="88" t="n">
        <f aca="false">IF(OR(LEFT($B294,4)="_Mil",$C294="&lt;01"),"",MAX(SUM($AA294),90%))</f>
        <v>1792</v>
      </c>
      <c r="AM294" s="10" t="n">
        <f aca="false">IF(OR(LEFT($B294,4)="_Mil",$C294="&lt;01"),"",ROUND(SUM($AJ294)*SUM($AL294),0))</f>
        <v>0</v>
      </c>
      <c r="AN294" s="10" t="str">
        <f aca="false">IF($C294="&lt;01",ROUND(INDEX(EID!$P:$P,MATCH($B294,EID!$B:$B,0))/2,0),"")</f>
        <v/>
      </c>
      <c r="AO294" s="10" t="n">
        <f aca="false">IF($C294="&lt;01",SUM($AN294),ROUND(SUM($AM294)*SUM($O294)/IF(SUM($Z294)=0,1,$Z294),0))</f>
        <v>0</v>
      </c>
      <c r="AP294" s="39" t="n">
        <f aca="false">IF(OR($F294="",$C294="&lt;01"),$AO294,$F294)</f>
        <v>0</v>
      </c>
      <c r="AQ294" s="39" t="n">
        <f aca="false">IF(LEFT($B294,4)="_Mil","",IF(SUM($AP294)=0,SUM($Z294),IF(OR(SUM($Z294)=0,SUM($O294)=0),MAX($AP294,$Z294),$AP294*$Z294/$O294)))</f>
        <v>1566</v>
      </c>
      <c r="AR294" s="88" t="str">
        <f aca="false">IF(OR(LEFT($B294,4)="_Mil",SUM($AJ294)=0),"",SUM($AQ294)/$AJ294)</f>
        <v/>
      </c>
      <c r="AS294" s="88" t="n">
        <f aca="false">IF($C294="&lt;01","",98%)</f>
        <v>0.98</v>
      </c>
      <c r="AT294" s="88" t="n">
        <f aca="false">IF($C294="&lt;01","",98%)</f>
        <v>0.98</v>
      </c>
      <c r="AU294" s="10" t="n">
        <f aca="false">IF($C294="&lt;01","",SUM($AP294)-SUM($O294))</f>
        <v>0</v>
      </c>
      <c r="AV294" s="10" t="n">
        <f aca="false">IF($C294="&lt;01",ROUND(INDEX(EID!$N:$N,MATCH($B294,EID!$B:$B,0))/2,0),IF(SUM($AT294)=0,"",ROUND((SUM($AP294)-(SUM($O294)*SUM($AS294)))/$AT294,0)))</f>
        <v>0</v>
      </c>
      <c r="AW294" s="88" t="n">
        <f aca="false">IF($C294="&lt;01","",100%)</f>
        <v>1</v>
      </c>
      <c r="AX294" s="39" t="n">
        <f aca="false">IF($C294="&lt;01",SUM($AV294),ROUND(SUM($AV294)*SUM($AW294),0))</f>
        <v>0</v>
      </c>
      <c r="AY294" s="114" t="n">
        <f aca="false">IF($C294="&lt;01","",70%)</f>
        <v>0.7</v>
      </c>
      <c r="AZ294" s="91" t="n">
        <f aca="false">IF($C294="&lt;01",ROUND(INDEX(EID!$R:$R,MATCH($B294,EID!$B:$B,0))/2,0),ROUND(SUM($O294)+(SUM($AV294)*$AY294),0))</f>
        <v>0</v>
      </c>
      <c r="BA294" s="87" t="n">
        <f aca="false">IF($C294="&lt;01","",95%)</f>
        <v>0.95</v>
      </c>
      <c r="BB294" s="5" t="n">
        <f aca="false">IF($C294="&lt;01",ROUND(INDEX(EID!$T:$T,MATCH($B294,EID!$B:$B,0))/2,0),ROUND($AZ294*$BA294,0))</f>
        <v>0</v>
      </c>
      <c r="BC294" s="91" t="n">
        <f aca="false">IF(LEFT($B294,4)="_Mil","",IF(SUM($BB294)=0,SUM($AD294),IF(OR(SUM($AP294)=0,SUM($AQ294)=0),MAX($BB294,$AD294),ROUND($BB294*$AQ294/$AP294,0))))</f>
        <v>0</v>
      </c>
      <c r="BD294" s="88" t="n">
        <f aca="false">IF($C294="&lt;01","",95%)</f>
        <v>0.95</v>
      </c>
      <c r="BE294" s="39" t="n">
        <f aca="false">IF($C294="&lt;01",ROUND(INDEX(EID!$V:$V,MATCH($B294,EID!$B:$B,0))/2,0),ROUND($BD294*$BB294,0))</f>
        <v>0</v>
      </c>
      <c r="BF294" s="39" t="n">
        <f aca="false">IF(LEFT($B294,4)="_Mil","",IF(SUM($BE294)=0,SUM($AF294),IF(OR(SUM($AP294)=0,SUM($AQ294)=0),MAX($BE294,$AF294),ROUND($BE294*$AQ294/$AP294,0))))</f>
        <v>0</v>
      </c>
      <c r="BG294" s="114" t="n">
        <f aca="false">IF($C294="&lt;01","",95%)</f>
        <v>0.95</v>
      </c>
      <c r="BH294" s="5" t="n">
        <f aca="false">IF($C294="&lt;01",ROUND(INDEX(EID!$L:$L,MATCH($B294,EID!$B:$B,0)),0)/2,IF(SUM($BG294)=0,"",ROUND($AX294/$BG294,0)))</f>
        <v>0</v>
      </c>
    </row>
    <row r="295" customFormat="false" ht="15" hidden="false" customHeight="false" outlineLevel="0" collapsed="false">
      <c r="A295" s="0" t="str">
        <f aca="false">INDEX(Prioritization!$D:$D,MATCH($B295,Prioritization!$A:$A,0))</f>
        <v>1 - Scale-up: Saturation</v>
      </c>
      <c r="B295" s="0" t="s">
        <v>214</v>
      </c>
      <c r="C295" s="0" t="s">
        <v>316</v>
      </c>
      <c r="D295" s="0" t="s">
        <v>30</v>
      </c>
      <c r="E295" s="0" t="str">
        <f aca="false">$B295&amp;"|"&amp;$C295&amp;"|"&amp;$D295</f>
        <v>Machinga District [TYnMSwzko3z]|&lt;01|Female</v>
      </c>
      <c r="F295" s="10"/>
      <c r="G295" s="10" t="n">
        <v>9</v>
      </c>
      <c r="H295" s="10" t="n">
        <v>10</v>
      </c>
      <c r="I295" s="10" t="n">
        <v>6</v>
      </c>
      <c r="J295" s="10" t="n">
        <v>3</v>
      </c>
      <c r="K295" s="10" t="n">
        <v>9</v>
      </c>
      <c r="L295" s="10"/>
      <c r="M295" s="10" t="n">
        <v>4</v>
      </c>
      <c r="N295" s="10" t="n">
        <v>8</v>
      </c>
      <c r="O295" s="10" t="n">
        <f aca="false">IFERROR(1/(1/MAX($I295,$N295)),"")</f>
        <v>8</v>
      </c>
      <c r="P295" s="10" t="n">
        <v>9</v>
      </c>
      <c r="Q295" s="10" t="n">
        <v>10</v>
      </c>
      <c r="R295" s="10" t="n">
        <f aca="false">IF(AND(SUM($I295)=0,SUM($O295)=0),"",SUM($O295)-$I295)</f>
        <v>2</v>
      </c>
      <c r="S295" s="10" t="n">
        <f aca="false">IF(LEFT($B295,4)="_Mil","",_xlfn.IFNA(ROUND(INDEX(Spectrum!$N:$N,MATCH(RIGHT($B295,13)&amp;"|"&amp;$C295&amp;"|"&amp;$D295&amp;"|"&amp;S$14&amp;"|"&amp;"CY2022Q4",Spectrum!$R:$R,0)),0),""))</f>
        <v>1625</v>
      </c>
      <c r="T295" s="39" t="n">
        <f aca="false">IF(LEFT($B295,4)="_Mil","",_xlfn.IFNA(ROUND(INDEX(Spectrum!$N:$N,MATCH(RIGHT($B295,13)&amp;"|"&amp;$C295&amp;"|"&amp;$D295&amp;"|"&amp;T$14&amp;"|"&amp;"CY2023Q3",Spectrum!$R:$R,0)),0),""))</f>
        <v>1334</v>
      </c>
      <c r="U295" s="39" t="str">
        <f aca="false">IF(LEFT($B295,4)="_Mil","",_xlfn.IFNA(ROUND(INDEX(Spectrum!$N:$N,MATCH(RIGHT($B295,13)&amp;"|"&amp;$C295&amp;"|"&amp;$D295&amp;"|"&amp;U$14&amp;"|"&amp;"CY2023Q3",Spectrum!$R:$R,0)),0),""))</f>
        <v/>
      </c>
      <c r="V295" s="10" t="n">
        <f aca="false">IF(LEFT($B295,4)="_Mil","",_xlfn.IFNA(ROUND(INDEX(Spectrum!$N:$N,MATCH(RIGHT($B295,13)&amp;"|"&amp;$C295&amp;"|"&amp;$D295&amp;"|"&amp;V$14&amp;"|"&amp;"CY2023Q3",Spectrum!$R:$R,0)),0),""))</f>
        <v>823</v>
      </c>
      <c r="W295" s="113" t="n">
        <f aca="false">IF(LEFT($B295,4)="_Mil","",_xlfn.IFNA(INDEX(Spectrum!$N:$N,MATCH(RIGHT($B295,13)&amp;"|"&amp;$C295&amp;"|"&amp;$D295&amp;"|"&amp;W$14&amp;"|"&amp;"CY2023Q3",Spectrum!$R:$R,0)),""))</f>
        <v>1356</v>
      </c>
      <c r="X295" s="39" t="n">
        <f aca="false">IF(LEFT($B295,4)="_Mil","",_xlfn.IFNA(ROUND(INDEX(Spectrum!$N:$N,MATCH(RIGHT($B295,13)&amp;"|"&amp;$C295&amp;"|"&amp;$D295&amp;"|"&amp;X$14&amp;"|"&amp;"CY2023Q3",Spectrum!$R:$R,0)),0),""))</f>
        <v>1171</v>
      </c>
      <c r="Y295" s="88" t="str">
        <f aca="false">IF(OR(SUM($U295)=0,LEFT($B295,4)="_Mil"),"",SUM($X295)/$U295)</f>
        <v/>
      </c>
      <c r="Z295" s="39" t="n">
        <f aca="false">IF(LEFT($B295,4)="_Mil","",_xlfn.IFNA(ROUND(INDEX(Spectrum!$N:$N,MATCH(RIGHT($B295,13)&amp;"|"&amp;$C295&amp;"|"&amp;$D295&amp;"|"&amp;Z$14&amp;"|"&amp;"CY2023Q3",Spectrum!$R:$R,0)),0),""))</f>
        <v>1658</v>
      </c>
      <c r="AA295" s="88" t="n">
        <f aca="false">IF(LEFT($B295,4)="_Mil","",IFERROR(1/(1/INDEX(Spectrum!$N:$N,MATCH(RIGHT($B295,13)&amp;"|"&amp;$C295&amp;"|"&amp;$D295&amp;"|"&amp;AA$14&amp;"|"&amp;"CY2023Q3",Spectrum!$R:$R,0))),IF(SUM($U295)=0,"",SUM($Z295)/$U295)))</f>
        <v>681</v>
      </c>
      <c r="AB295" s="88" t="n">
        <f aca="false">IF(OR(LEFT($B295,4)="_Mil",SUM($X295)=0),"",SUM($Z295)/$X295)</f>
        <v>1.41588385994876</v>
      </c>
      <c r="AC295" s="10" t="n">
        <f aca="false">IF(LEFT($B295,4)="_Mil","",_xlfn.IFNA(ROUND(INDEX(Spectrum!$N:$N,MATCH(RIGHT($B295,13)&amp;"|"&amp;$C295&amp;"|"&amp;$D295&amp;"|"&amp;AC$14&amp;"|"&amp;"CY2023Q3",Spectrum!$R:$R,0)),0),""))</f>
        <v>1238</v>
      </c>
      <c r="AD295" s="10" t="str">
        <f aca="false">IF(LEFT($B295,4)="_Mil","",_xlfn.IFNA(ROUND(INDEX(Spectrum!$N:$N,MATCH(RIGHT($B295,13)&amp;"|"&amp;$C295&amp;"|"&amp;$D295&amp;"|"&amp;AD$14&amp;"|"&amp;"CY2023Q3",Spectrum!$R:$R,0)),0),""))</f>
        <v/>
      </c>
      <c r="AE295" s="88" t="n">
        <f aca="false">IF(OR(LEFT($B295,4)="_Mil",SUM($Z295)=0),"",SUM($AD295)/$Z295)</f>
        <v>0</v>
      </c>
      <c r="AF295" s="39" t="str">
        <f aca="false">IF(LEFT($B295,4)="_Mil","",_xlfn.IFNA(ROUND(INDEX(Spectrum!$N:$N,MATCH(RIGHT($B295,13)&amp;"|"&amp;$C295&amp;"|"&amp;$D295&amp;"|"&amp;AF$14&amp;"|"&amp;"CY2023Q3",Spectrum!$R:$R,0)),0),""))</f>
        <v/>
      </c>
      <c r="AG295" s="88" t="str">
        <f aca="false">IF(OR(LEFT($B295,4)="_Mil",SUM($AD295)=0),"",SUM($AF295)/$AD295)</f>
        <v/>
      </c>
      <c r="AH295" s="86" t="str">
        <f aca="false">IF(LEFT($B295,4)="_Mil","",_xlfn.IFNA(INDEX(Spectrum!$N:$N,MATCH(RIGHT($B295,13)&amp;"|"&amp;$C295&amp;"|"&amp;$D295&amp;"|"&amp;AH$14&amp;"|"&amp;"CY2023Q3",Spectrum!$R:$R,0)),""))</f>
        <v/>
      </c>
      <c r="AI295" s="10" t="str">
        <f aca="false">IF(LEFT($B295,4)="_Mil","",_xlfn.IFNA(ROUND(INDEX(Spectrum!$N:$N,MATCH(RIGHT($B295,13)&amp;"|"&amp;$C295&amp;"|"&amp;$D295&amp;"|"&amp;AI$14&amp;"|"&amp;"CY2023Q3",Spectrum!$R:$R,0)),0),""))</f>
        <v/>
      </c>
      <c r="AJ295" s="39" t="n">
        <f aca="false">IF(LEFT($B295,4)="_Mil","",_xlfn.IFNA(ROUND(INDEX(Spectrum!$N:$N,MATCH(RIGHT($B295,13)&amp;"|"&amp;$C295&amp;"|"&amp;$D295&amp;"|"&amp;AI$14&amp;"|"&amp;"CY2023Q3",Spectrum!$R:$R,0)),0),SUM($U295)+SUM($AI295)))</f>
        <v>0</v>
      </c>
      <c r="AK295" s="10" t="str">
        <f aca="false">IF(LEFT($B295,4)="_Mil","",_xlfn.IFNA(ROUND(INDEX(Spectrum!$N:$N,MATCH(RIGHT($B295,13)&amp;"|"&amp;$C295&amp;"|"&amp;$D295&amp;"|"&amp;AK$14&amp;"|"&amp;"CY2023Q3",Spectrum!$R:$R,0)),0),""))</f>
        <v/>
      </c>
      <c r="AL295" s="88" t="str">
        <f aca="false">IF(OR(LEFT($B295,4)="_Mil",$C295="&lt;01"),"",MAX(SUM($AA295),90%))</f>
        <v/>
      </c>
      <c r="AM295" s="10" t="str">
        <f aca="false">IF(OR(LEFT($B295,4)="_Mil",$C295="&lt;01"),"",ROUND(SUM($AJ295)*SUM($AL295),0))</f>
        <v/>
      </c>
      <c r="AN295" s="10" t="n">
        <f aca="false">IF($C295="&lt;01",ROUND(INDEX(EID!$P:$P,MATCH($B295,EID!$B:$B,0))/2,0),"")</f>
        <v>0</v>
      </c>
      <c r="AO295" s="10" t="n">
        <f aca="false">IF($C295="&lt;01",SUM($AN295),ROUND(SUM($AM295)*SUM($O295)/IF(SUM($Z295)=0,1,$Z295),0))</f>
        <v>0</v>
      </c>
      <c r="AP295" s="39" t="n">
        <f aca="false">IF(OR($F295="",$C295="&lt;01"),$AO295,$F295)</f>
        <v>0</v>
      </c>
      <c r="AQ295" s="39" t="n">
        <f aca="false">IF(LEFT($B295,4)="_Mil","",IF(SUM($AP295)=0,SUM($Z295),IF(OR(SUM($Z295)=0,SUM($O295)=0),MAX($AP295,$Z295),$AP295*$Z295/$O295)))</f>
        <v>1658</v>
      </c>
      <c r="AR295" s="88" t="str">
        <f aca="false">IF(OR(LEFT($B295,4)="_Mil",SUM($AJ295)=0),"",SUM($AQ295)/$AJ295)</f>
        <v/>
      </c>
      <c r="AS295" s="88" t="str">
        <f aca="false">IF($C295="&lt;01","",98%)</f>
        <v/>
      </c>
      <c r="AT295" s="88" t="str">
        <f aca="false">IF($C295="&lt;01","",98%)</f>
        <v/>
      </c>
      <c r="AU295" s="10" t="str">
        <f aca="false">IF($C295="&lt;01","",SUM($AP295)-SUM($O295))</f>
        <v/>
      </c>
      <c r="AV295" s="10" t="n">
        <f aca="false">IF($C295="&lt;01",ROUND(INDEX(EID!$N:$N,MATCH($B295,EID!$B:$B,0))/2,0),IF(SUM($AT295)=0,"",ROUND((SUM($AP295)-(SUM($O295)*SUM($AS295)))/$AT295,0)))</f>
        <v>0</v>
      </c>
      <c r="AW295" s="88" t="str">
        <f aca="false">IF($C295="&lt;01","",100%)</f>
        <v/>
      </c>
      <c r="AX295" s="39" t="n">
        <f aca="false">IF($C295="&lt;01",SUM($AV295),ROUND(SUM($AV295)*SUM($AW295),0))</f>
        <v>0</v>
      </c>
      <c r="AY295" s="114" t="str">
        <f aca="false">IF($C295="&lt;01","",70%)</f>
        <v/>
      </c>
      <c r="AZ295" s="91" t="n">
        <f aca="false">IF($C295="&lt;01",ROUND(INDEX(EID!$R:$R,MATCH($B295,EID!$B:$B,0))/2,0),ROUND(SUM($O295)+(SUM($AV295)*$AY295),0))</f>
        <v>0</v>
      </c>
      <c r="BA295" s="87" t="str">
        <f aca="false">IF($C295="&lt;01","",95%)</f>
        <v/>
      </c>
      <c r="BB295" s="5" t="n">
        <f aca="false">IF($C295="&lt;01",ROUND(INDEX(EID!$T:$T,MATCH($B295,EID!$B:$B,0))/2,0),ROUND($AZ295*$BA295,0))</f>
        <v>0</v>
      </c>
      <c r="BC295" s="91" t="n">
        <f aca="false">IF(LEFT($B295,4)="_Mil","",IF(SUM($BB295)=0,SUM($AD295),IF(OR(SUM($AP295)=0,SUM($AQ295)=0),MAX($BB295,$AD295),ROUND($BB295*$AQ295/$AP295,0))))</f>
        <v>0</v>
      </c>
      <c r="BD295" s="88" t="str">
        <f aca="false">IF($C295="&lt;01","",95%)</f>
        <v/>
      </c>
      <c r="BE295" s="39" t="n">
        <f aca="false">IF($C295="&lt;01",ROUND(INDEX(EID!$V:$V,MATCH($B295,EID!$B:$B,0))/2,0),ROUND($BD295*$BB295,0))</f>
        <v>0</v>
      </c>
      <c r="BF295" s="39" t="n">
        <f aca="false">IF(LEFT($B295,4)="_Mil","",IF(SUM($BE295)=0,SUM($AF295),IF(OR(SUM($AP295)=0,SUM($AQ295)=0),MAX($BE295,$AF295),ROUND($BE295*$AQ295/$AP295,0))))</f>
        <v>0</v>
      </c>
      <c r="BG295" s="114" t="str">
        <f aca="false">IF($C295="&lt;01","",95%)</f>
        <v/>
      </c>
      <c r="BH295" s="5" t="n">
        <f aca="false">IF($C295="&lt;01",ROUND(INDEX(EID!$L:$L,MATCH($B295,EID!$B:$B,0)),0)/2,IF(SUM($BG295)=0,"",ROUND($AX295/$BG295,0)))</f>
        <v>0</v>
      </c>
    </row>
    <row r="296" customFormat="false" ht="15" hidden="false" customHeight="false" outlineLevel="0" collapsed="false">
      <c r="A296" s="0" t="str">
        <f aca="false">INDEX(Prioritization!$D:$D,MATCH($B296,Prioritization!$A:$A,0))</f>
        <v>1 - Scale-up: Saturation</v>
      </c>
      <c r="B296" s="0" t="s">
        <v>214</v>
      </c>
      <c r="C296" s="0" t="s">
        <v>316</v>
      </c>
      <c r="D296" s="0" t="s">
        <v>48</v>
      </c>
      <c r="E296" s="0" t="str">
        <f aca="false">$B296&amp;"|"&amp;$C296&amp;"|"&amp;$D296</f>
        <v>Machinga District [TYnMSwzko3z]|&lt;01|Male</v>
      </c>
      <c r="F296" s="10"/>
      <c r="G296" s="10" t="n">
        <v>9</v>
      </c>
      <c r="H296" s="10" t="n">
        <v>10</v>
      </c>
      <c r="I296" s="10" t="n">
        <v>4</v>
      </c>
      <c r="J296" s="10" t="n">
        <v>8</v>
      </c>
      <c r="K296" s="10" t="n">
        <v>6</v>
      </c>
      <c r="L296" s="10"/>
      <c r="M296" s="10" t="n">
        <v>8</v>
      </c>
      <c r="N296" s="10" t="n">
        <v>8</v>
      </c>
      <c r="O296" s="10" t="n">
        <f aca="false">IFERROR(1/(1/MAX($I296,$N296)),"")</f>
        <v>8</v>
      </c>
      <c r="P296" s="10" t="n">
        <v>9</v>
      </c>
      <c r="Q296" s="10" t="n">
        <v>2</v>
      </c>
      <c r="R296" s="10" t="n">
        <f aca="false">IF(AND(SUM($I296)=0,SUM($O296)=0),"",SUM($O296)-$I296)</f>
        <v>4</v>
      </c>
      <c r="S296" s="10" t="n">
        <f aca="false">IF(LEFT($B296,4)="_Mil","",_xlfn.IFNA(ROUND(INDEX(Spectrum!$N:$N,MATCH(RIGHT($B296,13)&amp;"|"&amp;$C296&amp;"|"&amp;$D296&amp;"|"&amp;S$14&amp;"|"&amp;"CY2022Q4",Spectrum!$R:$R,0)),0),""))</f>
        <v>694</v>
      </c>
      <c r="T296" s="39" t="n">
        <f aca="false">IF(LEFT($B296,4)="_Mil","",_xlfn.IFNA(ROUND(INDEX(Spectrum!$N:$N,MATCH(RIGHT($B296,13)&amp;"|"&amp;$C296&amp;"|"&amp;$D296&amp;"|"&amp;T$14&amp;"|"&amp;"CY2023Q3",Spectrum!$R:$R,0)),0),""))</f>
        <v>704</v>
      </c>
      <c r="U296" s="39" t="str">
        <f aca="false">IF(LEFT($B296,4)="_Mil","",_xlfn.IFNA(ROUND(INDEX(Spectrum!$N:$N,MATCH(RIGHT($B296,13)&amp;"|"&amp;$C296&amp;"|"&amp;$D296&amp;"|"&amp;U$14&amp;"|"&amp;"CY2023Q3",Spectrum!$R:$R,0)),0),""))</f>
        <v/>
      </c>
      <c r="V296" s="10" t="n">
        <f aca="false">IF(LEFT($B296,4)="_Mil","",_xlfn.IFNA(ROUND(INDEX(Spectrum!$N:$N,MATCH(RIGHT($B296,13)&amp;"|"&amp;$C296&amp;"|"&amp;$D296&amp;"|"&amp;V$14&amp;"|"&amp;"CY2023Q3",Spectrum!$R:$R,0)),0),""))</f>
        <v>1090</v>
      </c>
      <c r="W296" s="113" t="n">
        <f aca="false">IF(LEFT($B296,4)="_Mil","",_xlfn.IFNA(INDEX(Spectrum!$N:$N,MATCH(RIGHT($B296,13)&amp;"|"&amp;$C296&amp;"|"&amp;$D296&amp;"|"&amp;W$14&amp;"|"&amp;"CY2023Q3",Spectrum!$R:$R,0)),""))</f>
        <v>1872</v>
      </c>
      <c r="X296" s="39" t="n">
        <f aca="false">IF(LEFT($B296,4)="_Mil","",_xlfn.IFNA(ROUND(INDEX(Spectrum!$N:$N,MATCH(RIGHT($B296,13)&amp;"|"&amp;$C296&amp;"|"&amp;$D296&amp;"|"&amp;X$14&amp;"|"&amp;"CY2023Q3",Spectrum!$R:$R,0)),0),""))</f>
        <v>1563</v>
      </c>
      <c r="Y296" s="88" t="str">
        <f aca="false">IF(OR(SUM($U296)=0,LEFT($B296,4)="_Mil"),"",SUM($X296)/$U296)</f>
        <v/>
      </c>
      <c r="Z296" s="39" t="n">
        <f aca="false">IF(LEFT($B296,4)="_Mil","",_xlfn.IFNA(ROUND(INDEX(Spectrum!$N:$N,MATCH(RIGHT($B296,13)&amp;"|"&amp;$C296&amp;"|"&amp;$D296&amp;"|"&amp;Z$14&amp;"|"&amp;"CY2023Q3",Spectrum!$R:$R,0)),0),""))</f>
        <v>666</v>
      </c>
      <c r="AA296" s="88" t="n">
        <f aca="false">IF(LEFT($B296,4)="_Mil","",IFERROR(1/(1/INDEX(Spectrum!$N:$N,MATCH(RIGHT($B296,13)&amp;"|"&amp;$C296&amp;"|"&amp;$D296&amp;"|"&amp;AA$14&amp;"|"&amp;"CY2023Q3",Spectrum!$R:$R,0))),IF(SUM($U296)=0,"",SUM($Z296)/$U296)))</f>
        <v>524</v>
      </c>
      <c r="AB296" s="88" t="n">
        <f aca="false">IF(OR(LEFT($B296,4)="_Mil",SUM($X296)=0),"",SUM($Z296)/$X296)</f>
        <v>0.426103646833013</v>
      </c>
      <c r="AC296" s="10" t="n">
        <f aca="false">IF(LEFT($B296,4)="_Mil","",_xlfn.IFNA(ROUND(INDEX(Spectrum!$N:$N,MATCH(RIGHT($B296,13)&amp;"|"&amp;$C296&amp;"|"&amp;$D296&amp;"|"&amp;AC$14&amp;"|"&amp;"CY2023Q3",Spectrum!$R:$R,0)),0),""))</f>
        <v>1445</v>
      </c>
      <c r="AD296" s="10" t="str">
        <f aca="false">IF(LEFT($B296,4)="_Mil","",_xlfn.IFNA(ROUND(INDEX(Spectrum!$N:$N,MATCH(RIGHT($B296,13)&amp;"|"&amp;$C296&amp;"|"&amp;$D296&amp;"|"&amp;AD$14&amp;"|"&amp;"CY2023Q3",Spectrum!$R:$R,0)),0),""))</f>
        <v/>
      </c>
      <c r="AE296" s="88" t="n">
        <f aca="false">IF(OR(LEFT($B296,4)="_Mil",SUM($Z296)=0),"",SUM($AD296)/$Z296)</f>
        <v>0</v>
      </c>
      <c r="AF296" s="39" t="str">
        <f aca="false">IF(LEFT($B296,4)="_Mil","",_xlfn.IFNA(ROUND(INDEX(Spectrum!$N:$N,MATCH(RIGHT($B296,13)&amp;"|"&amp;$C296&amp;"|"&amp;$D296&amp;"|"&amp;AF$14&amp;"|"&amp;"CY2023Q3",Spectrum!$R:$R,0)),0),""))</f>
        <v/>
      </c>
      <c r="AG296" s="88" t="str">
        <f aca="false">IF(OR(LEFT($B296,4)="_Mil",SUM($AD296)=0),"",SUM($AF296)/$AD296)</f>
        <v/>
      </c>
      <c r="AH296" s="86" t="str">
        <f aca="false">IF(LEFT($B296,4)="_Mil","",_xlfn.IFNA(INDEX(Spectrum!$N:$N,MATCH(RIGHT($B296,13)&amp;"|"&amp;$C296&amp;"|"&amp;$D296&amp;"|"&amp;AH$14&amp;"|"&amp;"CY2023Q3",Spectrum!$R:$R,0)),""))</f>
        <v/>
      </c>
      <c r="AI296" s="10" t="str">
        <f aca="false">IF(LEFT($B296,4)="_Mil","",_xlfn.IFNA(ROUND(INDEX(Spectrum!$N:$N,MATCH(RIGHT($B296,13)&amp;"|"&amp;$C296&amp;"|"&amp;$D296&amp;"|"&amp;AI$14&amp;"|"&amp;"CY2023Q3",Spectrum!$R:$R,0)),0),""))</f>
        <v/>
      </c>
      <c r="AJ296" s="39" t="n">
        <f aca="false">IF(LEFT($B296,4)="_Mil","",_xlfn.IFNA(ROUND(INDEX(Spectrum!$N:$N,MATCH(RIGHT($B296,13)&amp;"|"&amp;$C296&amp;"|"&amp;$D296&amp;"|"&amp;AI$14&amp;"|"&amp;"CY2023Q3",Spectrum!$R:$R,0)),0),SUM($U296)+SUM($AI296)))</f>
        <v>0</v>
      </c>
      <c r="AK296" s="10" t="str">
        <f aca="false">IF(LEFT($B296,4)="_Mil","",_xlfn.IFNA(ROUND(INDEX(Spectrum!$N:$N,MATCH(RIGHT($B296,13)&amp;"|"&amp;$C296&amp;"|"&amp;$D296&amp;"|"&amp;AK$14&amp;"|"&amp;"CY2023Q3",Spectrum!$R:$R,0)),0),""))</f>
        <v/>
      </c>
      <c r="AL296" s="88" t="str">
        <f aca="false">IF(OR(LEFT($B296,4)="_Mil",$C296="&lt;01"),"",MAX(SUM($AA296),90%))</f>
        <v/>
      </c>
      <c r="AM296" s="10" t="str">
        <f aca="false">IF(OR(LEFT($B296,4)="_Mil",$C296="&lt;01"),"",ROUND(SUM($AJ296)*SUM($AL296),0))</f>
        <v/>
      </c>
      <c r="AN296" s="10" t="n">
        <f aca="false">IF($C296="&lt;01",ROUND(INDEX(EID!$P:$P,MATCH($B296,EID!$B:$B,0))/2,0),"")</f>
        <v>0</v>
      </c>
      <c r="AO296" s="10" t="n">
        <f aca="false">IF($C296="&lt;01",SUM($AN296),ROUND(SUM($AM296)*SUM($O296)/IF(SUM($Z296)=0,1,$Z296),0))</f>
        <v>0</v>
      </c>
      <c r="AP296" s="39" t="n">
        <f aca="false">IF(OR($F296="",$C296="&lt;01"),$AO296,$F296)</f>
        <v>0</v>
      </c>
      <c r="AQ296" s="39" t="n">
        <f aca="false">IF(LEFT($B296,4)="_Mil","",IF(SUM($AP296)=0,SUM($Z296),IF(OR(SUM($Z296)=0,SUM($O296)=0),MAX($AP296,$Z296),$AP296*$Z296/$O296)))</f>
        <v>666</v>
      </c>
      <c r="AR296" s="88" t="str">
        <f aca="false">IF(OR(LEFT($B296,4)="_Mil",SUM($AJ296)=0),"",SUM($AQ296)/$AJ296)</f>
        <v/>
      </c>
      <c r="AS296" s="88" t="str">
        <f aca="false">IF($C296="&lt;01","",98%)</f>
        <v/>
      </c>
      <c r="AT296" s="88" t="str">
        <f aca="false">IF($C296="&lt;01","",98%)</f>
        <v/>
      </c>
      <c r="AU296" s="10" t="str">
        <f aca="false">IF($C296="&lt;01","",SUM($AP296)-SUM($O296))</f>
        <v/>
      </c>
      <c r="AV296" s="10" t="n">
        <f aca="false">IF($C296="&lt;01",ROUND(INDEX(EID!$N:$N,MATCH($B296,EID!$B:$B,0))/2,0),IF(SUM($AT296)=0,"",ROUND((SUM($AP296)-(SUM($O296)*SUM($AS296)))/$AT296,0)))</f>
        <v>0</v>
      </c>
      <c r="AW296" s="88" t="str">
        <f aca="false">IF($C296="&lt;01","",100%)</f>
        <v/>
      </c>
      <c r="AX296" s="39" t="n">
        <f aca="false">IF($C296="&lt;01",SUM($AV296),ROUND(SUM($AV296)*SUM($AW296),0))</f>
        <v>0</v>
      </c>
      <c r="AY296" s="114" t="str">
        <f aca="false">IF($C296="&lt;01","",70%)</f>
        <v/>
      </c>
      <c r="AZ296" s="91" t="n">
        <f aca="false">IF($C296="&lt;01",ROUND(INDEX(EID!$R:$R,MATCH($B296,EID!$B:$B,0))/2,0),ROUND(SUM($O296)+(SUM($AV296)*$AY296),0))</f>
        <v>0</v>
      </c>
      <c r="BA296" s="87" t="str">
        <f aca="false">IF($C296="&lt;01","",95%)</f>
        <v/>
      </c>
      <c r="BB296" s="5" t="n">
        <f aca="false">IF($C296="&lt;01",ROUND(INDEX(EID!$T:$T,MATCH($B296,EID!$B:$B,0))/2,0),ROUND($AZ296*$BA296,0))</f>
        <v>0</v>
      </c>
      <c r="BC296" s="91" t="n">
        <f aca="false">IF(LEFT($B296,4)="_Mil","",IF(SUM($BB296)=0,SUM($AD296),IF(OR(SUM($AP296)=0,SUM($AQ296)=0),MAX($BB296,$AD296),ROUND($BB296*$AQ296/$AP296,0))))</f>
        <v>0</v>
      </c>
      <c r="BD296" s="88" t="str">
        <f aca="false">IF($C296="&lt;01","",95%)</f>
        <v/>
      </c>
      <c r="BE296" s="39" t="n">
        <f aca="false">IF($C296="&lt;01",ROUND(INDEX(EID!$V:$V,MATCH($B296,EID!$B:$B,0))/2,0),ROUND($BD296*$BB296,0))</f>
        <v>0</v>
      </c>
      <c r="BF296" s="39" t="n">
        <f aca="false">IF(LEFT($B296,4)="_Mil","",IF(SUM($BE296)=0,SUM($AF296),IF(OR(SUM($AP296)=0,SUM($AQ296)=0),MAX($BE296,$AF296),ROUND($BE296*$AQ296/$AP296,0))))</f>
        <v>0</v>
      </c>
      <c r="BG296" s="114" t="str">
        <f aca="false">IF($C296="&lt;01","",95%)</f>
        <v/>
      </c>
      <c r="BH296" s="5" t="n">
        <f aca="false">IF($C296="&lt;01",ROUND(INDEX(EID!$L:$L,MATCH($B296,EID!$B:$B,0)),0)/2,IF(SUM($BG296)=0,"",ROUND($AX296/$BG296,0)))</f>
        <v>0</v>
      </c>
    </row>
    <row r="297" customFormat="false" ht="15" hidden="false" customHeight="false" outlineLevel="0" collapsed="false">
      <c r="A297" s="0" t="str">
        <f aca="false">INDEX(Prioritization!$D:$D,MATCH($B297,Prioritization!$A:$A,0))</f>
        <v>1 - Scale-up: Saturation</v>
      </c>
      <c r="B297" s="0" t="s">
        <v>214</v>
      </c>
      <c r="C297" s="0" t="s">
        <v>363</v>
      </c>
      <c r="D297" s="0" t="s">
        <v>30</v>
      </c>
      <c r="E297" s="0" t="str">
        <f aca="false">$B297&amp;"|"&amp;$C297&amp;"|"&amp;$D297</f>
        <v>Machinga District [TYnMSwzko3z]|01-09|Female</v>
      </c>
      <c r="F297" s="10"/>
      <c r="G297" s="10"/>
      <c r="H297" s="10"/>
      <c r="I297" s="10"/>
      <c r="J297" s="10"/>
      <c r="K297" s="10"/>
      <c r="L297" s="10"/>
      <c r="M297" s="10"/>
      <c r="N297" s="10"/>
      <c r="O297" s="10" t="str">
        <f aca="false">IFERROR(1/(1/MAX($I297,$N297)),"")</f>
        <v/>
      </c>
      <c r="P297" s="10"/>
      <c r="Q297" s="10"/>
      <c r="R297" s="10" t="str">
        <f aca="false">IF(AND(SUM($I297)=0,SUM($O297)=0),"",SUM($O297)-$I297)</f>
        <v/>
      </c>
      <c r="S297" s="10" t="n">
        <f aca="false">IF(LEFT($B297,4)="_Mil","",_xlfn.IFNA(ROUND(INDEX(Spectrum!$N:$N,MATCH(RIGHT($B297,13)&amp;"|"&amp;$C297&amp;"|"&amp;$D297&amp;"|"&amp;S$14&amp;"|"&amp;"CY2022Q4",Spectrum!$R:$R,0)),0),""))</f>
        <v>1533</v>
      </c>
      <c r="T297" s="39" t="n">
        <f aca="false">IF(LEFT($B297,4)="_Mil","",_xlfn.IFNA(ROUND(INDEX(Spectrum!$N:$N,MATCH(RIGHT($B297,13)&amp;"|"&amp;$C297&amp;"|"&amp;$D297&amp;"|"&amp;T$14&amp;"|"&amp;"CY2023Q3",Spectrum!$R:$R,0)),0),""))</f>
        <v>1010</v>
      </c>
      <c r="U297" s="39" t="str">
        <f aca="false">IF(LEFT($B297,4)="_Mil","",_xlfn.IFNA(ROUND(INDEX(Spectrum!$N:$N,MATCH(RIGHT($B297,13)&amp;"|"&amp;$C297&amp;"|"&amp;$D297&amp;"|"&amp;U$14&amp;"|"&amp;"CY2023Q3",Spectrum!$R:$R,0)),0),""))</f>
        <v/>
      </c>
      <c r="V297" s="10" t="n">
        <f aca="false">IF(LEFT($B297,4)="_Mil","",_xlfn.IFNA(ROUND(INDEX(Spectrum!$N:$N,MATCH(RIGHT($B297,13)&amp;"|"&amp;$C297&amp;"|"&amp;$D297&amp;"|"&amp;V$14&amp;"|"&amp;"CY2023Q3",Spectrum!$R:$R,0)),0),""))</f>
        <v>967</v>
      </c>
      <c r="W297" s="113" t="n">
        <f aca="false">IF(LEFT($B297,4)="_Mil","",_xlfn.IFNA(INDEX(Spectrum!$N:$N,MATCH(RIGHT($B297,13)&amp;"|"&amp;$C297&amp;"|"&amp;$D297&amp;"|"&amp;W$14&amp;"|"&amp;"CY2023Q3",Spectrum!$R:$R,0)),""))</f>
        <v>1689</v>
      </c>
      <c r="X297" s="39" t="n">
        <f aca="false">IF(LEFT($B297,4)="_Mil","",_xlfn.IFNA(ROUND(INDEX(Spectrum!$N:$N,MATCH(RIGHT($B297,13)&amp;"|"&amp;$C297&amp;"|"&amp;$D297&amp;"|"&amp;X$14&amp;"|"&amp;"CY2023Q3",Spectrum!$R:$R,0)),0),""))</f>
        <v>1965</v>
      </c>
      <c r="Y297" s="88" t="str">
        <f aca="false">IF(OR(SUM($U297)=0,LEFT($B297,4)="_Mil"),"",SUM($X297)/$U297)</f>
        <v/>
      </c>
      <c r="Z297" s="39" t="n">
        <f aca="false">IF(LEFT($B297,4)="_Mil","",_xlfn.IFNA(ROUND(INDEX(Spectrum!$N:$N,MATCH(RIGHT($B297,13)&amp;"|"&amp;$C297&amp;"|"&amp;$D297&amp;"|"&amp;Z$14&amp;"|"&amp;"CY2023Q3",Spectrum!$R:$R,0)),0),""))</f>
        <v>1993</v>
      </c>
      <c r="AA297" s="88" t="n">
        <f aca="false">IF(LEFT($B297,4)="_Mil","",IFERROR(1/(1/INDEX(Spectrum!$N:$N,MATCH(RIGHT($B297,13)&amp;"|"&amp;$C297&amp;"|"&amp;$D297&amp;"|"&amp;AA$14&amp;"|"&amp;"CY2023Q3",Spectrum!$R:$R,0))),IF(SUM($U297)=0,"",SUM($Z297)/$U297)))</f>
        <v>885</v>
      </c>
      <c r="AB297" s="88" t="n">
        <f aca="false">IF(OR(LEFT($B297,4)="_Mil",SUM($X297)=0),"",SUM($Z297)/$X297)</f>
        <v>1.01424936386768</v>
      </c>
      <c r="AC297" s="10" t="n">
        <f aca="false">IF(LEFT($B297,4)="_Mil","",_xlfn.IFNA(ROUND(INDEX(Spectrum!$N:$N,MATCH(RIGHT($B297,13)&amp;"|"&amp;$C297&amp;"|"&amp;$D297&amp;"|"&amp;AC$14&amp;"|"&amp;"CY2023Q3",Spectrum!$R:$R,0)),0),""))</f>
        <v>1328</v>
      </c>
      <c r="AD297" s="10" t="str">
        <f aca="false">IF(LEFT($B297,4)="_Mil","",_xlfn.IFNA(ROUND(INDEX(Spectrum!$N:$N,MATCH(RIGHT($B297,13)&amp;"|"&amp;$C297&amp;"|"&amp;$D297&amp;"|"&amp;AD$14&amp;"|"&amp;"CY2023Q3",Spectrum!$R:$R,0)),0),""))</f>
        <v/>
      </c>
      <c r="AE297" s="88" t="n">
        <f aca="false">IF(OR(LEFT($B297,4)="_Mil",SUM($Z297)=0),"",SUM($AD297)/$Z297)</f>
        <v>0</v>
      </c>
      <c r="AF297" s="39" t="str">
        <f aca="false">IF(LEFT($B297,4)="_Mil","",_xlfn.IFNA(ROUND(INDEX(Spectrum!$N:$N,MATCH(RIGHT($B297,13)&amp;"|"&amp;$C297&amp;"|"&amp;$D297&amp;"|"&amp;AF$14&amp;"|"&amp;"CY2023Q3",Spectrum!$R:$R,0)),0),""))</f>
        <v/>
      </c>
      <c r="AG297" s="88" t="str">
        <f aca="false">IF(OR(LEFT($B297,4)="_Mil",SUM($AD297)=0),"",SUM($AF297)/$AD297)</f>
        <v/>
      </c>
      <c r="AH297" s="86" t="str">
        <f aca="false">IF(LEFT($B297,4)="_Mil","",_xlfn.IFNA(INDEX(Spectrum!$N:$N,MATCH(RIGHT($B297,13)&amp;"|"&amp;$C297&amp;"|"&amp;$D297&amp;"|"&amp;AH$14&amp;"|"&amp;"CY2023Q3",Spectrum!$R:$R,0)),""))</f>
        <v/>
      </c>
      <c r="AI297" s="10" t="str">
        <f aca="false">IF(LEFT($B297,4)="_Mil","",_xlfn.IFNA(ROUND(INDEX(Spectrum!$N:$N,MATCH(RIGHT($B297,13)&amp;"|"&amp;$C297&amp;"|"&amp;$D297&amp;"|"&amp;AI$14&amp;"|"&amp;"CY2023Q3",Spectrum!$R:$R,0)),0),""))</f>
        <v/>
      </c>
      <c r="AJ297" s="39" t="n">
        <f aca="false">IF(LEFT($B297,4)="_Mil","",_xlfn.IFNA(ROUND(INDEX(Spectrum!$N:$N,MATCH(RIGHT($B297,13)&amp;"|"&amp;$C297&amp;"|"&amp;$D297&amp;"|"&amp;AI$14&amp;"|"&amp;"CY2023Q3",Spectrum!$R:$R,0)),0),SUM($U297)+SUM($AI297)))</f>
        <v>0</v>
      </c>
      <c r="AK297" s="10" t="str">
        <f aca="false">IF(LEFT($B297,4)="_Mil","",_xlfn.IFNA(ROUND(INDEX(Spectrum!$N:$N,MATCH(RIGHT($B297,13)&amp;"|"&amp;$C297&amp;"|"&amp;$D297&amp;"|"&amp;AK$14&amp;"|"&amp;"CY2023Q3",Spectrum!$R:$R,0)),0),""))</f>
        <v/>
      </c>
      <c r="AL297" s="88" t="n">
        <f aca="false">IF(OR(LEFT($B297,4)="_Mil",$C297="&lt;01"),"",MAX(SUM($AA297),90%))</f>
        <v>885</v>
      </c>
      <c r="AM297" s="10" t="n">
        <f aca="false">IF(OR(LEFT($B297,4)="_Mil",$C297="&lt;01"),"",ROUND(SUM($AJ297)*SUM($AL297),0))</f>
        <v>0</v>
      </c>
      <c r="AN297" s="10" t="str">
        <f aca="false">IF($C297="&lt;01",ROUND(INDEX(EID!$P:$P,MATCH($B297,EID!$B:$B,0))/2,0),"")</f>
        <v/>
      </c>
      <c r="AO297" s="10" t="n">
        <f aca="false">IF($C297="&lt;01",SUM($AN297),ROUND(SUM($AM297)*SUM($O297)/IF(SUM($Z297)=0,1,$Z297),0))</f>
        <v>0</v>
      </c>
      <c r="AP297" s="39" t="n">
        <f aca="false">IF(OR($F297="",$C297="&lt;01"),$AO297,$F297)</f>
        <v>0</v>
      </c>
      <c r="AQ297" s="39" t="n">
        <f aca="false">IF(LEFT($B297,4)="_Mil","",IF(SUM($AP297)=0,SUM($Z297),IF(OR(SUM($Z297)=0,SUM($O297)=0),MAX($AP297,$Z297),$AP297*$Z297/$O297)))</f>
        <v>1993</v>
      </c>
      <c r="AR297" s="88" t="str">
        <f aca="false">IF(OR(LEFT($B297,4)="_Mil",SUM($AJ297)=0),"",SUM($AQ297)/$AJ297)</f>
        <v/>
      </c>
      <c r="AS297" s="88" t="n">
        <f aca="false">IF($C297="&lt;01","",98%)</f>
        <v>0.98</v>
      </c>
      <c r="AT297" s="88" t="n">
        <f aca="false">IF($C297="&lt;01","",98%)</f>
        <v>0.98</v>
      </c>
      <c r="AU297" s="10" t="n">
        <f aca="false">IF($C297="&lt;01","",SUM($AP297)-SUM($O297))</f>
        <v>0</v>
      </c>
      <c r="AV297" s="10" t="n">
        <f aca="false">IF($C297="&lt;01",ROUND(INDEX(EID!$N:$N,MATCH($B297,EID!$B:$B,0))/2,0),IF(SUM($AT297)=0,"",ROUND((SUM($AP297)-(SUM($O297)*SUM($AS297)))/$AT297,0)))</f>
        <v>0</v>
      </c>
      <c r="AW297" s="88" t="n">
        <f aca="false">IF($C297="&lt;01","",100%)</f>
        <v>1</v>
      </c>
      <c r="AX297" s="39" t="n">
        <f aca="false">IF($C297="&lt;01",SUM($AV297),ROUND(SUM($AV297)*SUM($AW297),0))</f>
        <v>0</v>
      </c>
      <c r="AY297" s="114" t="n">
        <f aca="false">IF($C297="&lt;01","",70%)</f>
        <v>0.7</v>
      </c>
      <c r="AZ297" s="91" t="n">
        <f aca="false">IF($C297="&lt;01",ROUND(INDEX(EID!$R:$R,MATCH($B297,EID!$B:$B,0))/2,0),ROUND(SUM($O297)+(SUM($AV297)*$AY297),0))</f>
        <v>0</v>
      </c>
      <c r="BA297" s="87" t="n">
        <f aca="false">IF($C297="&lt;01","",95%)</f>
        <v>0.95</v>
      </c>
      <c r="BB297" s="5" t="n">
        <f aca="false">IF($C297="&lt;01",ROUND(INDEX(EID!$T:$T,MATCH($B297,EID!$B:$B,0))/2,0),ROUND($AZ297*$BA297,0))</f>
        <v>0</v>
      </c>
      <c r="BC297" s="91" t="n">
        <f aca="false">IF(LEFT($B297,4)="_Mil","",IF(SUM($BB297)=0,SUM($AD297),IF(OR(SUM($AP297)=0,SUM($AQ297)=0),MAX($BB297,$AD297),ROUND($BB297*$AQ297/$AP297,0))))</f>
        <v>0</v>
      </c>
      <c r="BD297" s="88" t="n">
        <f aca="false">IF($C297="&lt;01","",95%)</f>
        <v>0.95</v>
      </c>
      <c r="BE297" s="39" t="n">
        <f aca="false">IF($C297="&lt;01",ROUND(INDEX(EID!$V:$V,MATCH($B297,EID!$B:$B,0))/2,0),ROUND($BD297*$BB297,0))</f>
        <v>0</v>
      </c>
      <c r="BF297" s="39" t="n">
        <f aca="false">IF(LEFT($B297,4)="_Mil","",IF(SUM($BE297)=0,SUM($AF297),IF(OR(SUM($AP297)=0,SUM($AQ297)=0),MAX($BE297,$AF297),ROUND($BE297*$AQ297/$AP297,0))))</f>
        <v>0</v>
      </c>
      <c r="BG297" s="114" t="n">
        <f aca="false">IF($C297="&lt;01","",95%)</f>
        <v>0.95</v>
      </c>
      <c r="BH297" s="5" t="n">
        <f aca="false">IF($C297="&lt;01",ROUND(INDEX(EID!$L:$L,MATCH($B297,EID!$B:$B,0)),0)/2,IF(SUM($BG297)=0,"",ROUND($AX297/$BG297,0)))</f>
        <v>0</v>
      </c>
    </row>
    <row r="298" customFormat="false" ht="15" hidden="false" customHeight="false" outlineLevel="0" collapsed="false">
      <c r="A298" s="0" t="str">
        <f aca="false">INDEX(Prioritization!$D:$D,MATCH($B298,Prioritization!$A:$A,0))</f>
        <v>1 - Scale-up: Saturation</v>
      </c>
      <c r="B298" s="0" t="s">
        <v>214</v>
      </c>
      <c r="C298" s="0" t="s">
        <v>363</v>
      </c>
      <c r="D298" s="0" t="s">
        <v>48</v>
      </c>
      <c r="E298" s="0" t="str">
        <f aca="false">$B298&amp;"|"&amp;$C298&amp;"|"&amp;$D298</f>
        <v>Machinga District [TYnMSwzko3z]|01-09|Male</v>
      </c>
      <c r="F298" s="10"/>
      <c r="G298" s="10"/>
      <c r="H298" s="10"/>
      <c r="I298" s="10"/>
      <c r="J298" s="10"/>
      <c r="K298" s="10"/>
      <c r="L298" s="10"/>
      <c r="M298" s="10"/>
      <c r="N298" s="10"/>
      <c r="O298" s="10" t="str">
        <f aca="false">IFERROR(1/(1/MAX($I298,$N298)),"")</f>
        <v/>
      </c>
      <c r="P298" s="10"/>
      <c r="Q298" s="10"/>
      <c r="R298" s="10" t="str">
        <f aca="false">IF(AND(SUM($I298)=0,SUM($O298)=0),"",SUM($O298)-$I298)</f>
        <v/>
      </c>
      <c r="S298" s="10" t="n">
        <f aca="false">IF(LEFT($B298,4)="_Mil","",_xlfn.IFNA(ROUND(INDEX(Spectrum!$N:$N,MATCH(RIGHT($B298,13)&amp;"|"&amp;$C298&amp;"|"&amp;$D298&amp;"|"&amp;S$14&amp;"|"&amp;"CY2022Q4",Spectrum!$R:$R,0)),0),""))</f>
        <v>1290</v>
      </c>
      <c r="T298" s="39" t="n">
        <f aca="false">IF(LEFT($B298,4)="_Mil","",_xlfn.IFNA(ROUND(INDEX(Spectrum!$N:$N,MATCH(RIGHT($B298,13)&amp;"|"&amp;$C298&amp;"|"&amp;$D298&amp;"|"&amp;T$14&amp;"|"&amp;"CY2023Q3",Spectrum!$R:$R,0)),0),""))</f>
        <v>512</v>
      </c>
      <c r="U298" s="39" t="str">
        <f aca="false">IF(LEFT($B298,4)="_Mil","",_xlfn.IFNA(ROUND(INDEX(Spectrum!$N:$N,MATCH(RIGHT($B298,13)&amp;"|"&amp;$C298&amp;"|"&amp;$D298&amp;"|"&amp;U$14&amp;"|"&amp;"CY2023Q3",Spectrum!$R:$R,0)),0),""))</f>
        <v/>
      </c>
      <c r="V298" s="10" t="n">
        <f aca="false">IF(LEFT($B298,4)="_Mil","",_xlfn.IFNA(ROUND(INDEX(Spectrum!$N:$N,MATCH(RIGHT($B298,13)&amp;"|"&amp;$C298&amp;"|"&amp;$D298&amp;"|"&amp;V$14&amp;"|"&amp;"CY2023Q3",Spectrum!$R:$R,0)),0),""))</f>
        <v>989</v>
      </c>
      <c r="W298" s="113" t="n">
        <f aca="false">IF(LEFT($B298,4)="_Mil","",_xlfn.IFNA(INDEX(Spectrum!$N:$N,MATCH(RIGHT($B298,13)&amp;"|"&amp;$C298&amp;"|"&amp;$D298&amp;"|"&amp;W$14&amp;"|"&amp;"CY2023Q3",Spectrum!$R:$R,0)),""))</f>
        <v>1269</v>
      </c>
      <c r="X298" s="39" t="n">
        <f aca="false">IF(LEFT($B298,4)="_Mil","",_xlfn.IFNA(ROUND(INDEX(Spectrum!$N:$N,MATCH(RIGHT($B298,13)&amp;"|"&amp;$C298&amp;"|"&amp;$D298&amp;"|"&amp;X$14&amp;"|"&amp;"CY2023Q3",Spectrum!$R:$R,0)),0),""))</f>
        <v>1568</v>
      </c>
      <c r="Y298" s="88" t="str">
        <f aca="false">IF(OR(SUM($U298)=0,LEFT($B298,4)="_Mil"),"",SUM($X298)/$U298)</f>
        <v/>
      </c>
      <c r="Z298" s="39" t="n">
        <f aca="false">IF(LEFT($B298,4)="_Mil","",_xlfn.IFNA(ROUND(INDEX(Spectrum!$N:$N,MATCH(RIGHT($B298,13)&amp;"|"&amp;$C298&amp;"|"&amp;$D298&amp;"|"&amp;Z$14&amp;"|"&amp;"CY2023Q3",Spectrum!$R:$R,0)),0),""))</f>
        <v>1445</v>
      </c>
      <c r="AA298" s="88" t="n">
        <f aca="false">IF(LEFT($B298,4)="_Mil","",IFERROR(1/(1/INDEX(Spectrum!$N:$N,MATCH(RIGHT($B298,13)&amp;"|"&amp;$C298&amp;"|"&amp;$D298&amp;"|"&amp;AA$14&amp;"|"&amp;"CY2023Q3",Spectrum!$R:$R,0))),IF(SUM($U298)=0,"",SUM($Z298)/$U298)))</f>
        <v>1751</v>
      </c>
      <c r="AB298" s="88" t="n">
        <f aca="false">IF(OR(LEFT($B298,4)="_Mil",SUM($X298)=0),"",SUM($Z298)/$X298)</f>
        <v>0.92155612244898</v>
      </c>
      <c r="AC298" s="10" t="n">
        <f aca="false">IF(LEFT($B298,4)="_Mil","",_xlfn.IFNA(ROUND(INDEX(Spectrum!$N:$N,MATCH(RIGHT($B298,13)&amp;"|"&amp;$C298&amp;"|"&amp;$D298&amp;"|"&amp;AC$14&amp;"|"&amp;"CY2023Q3",Spectrum!$R:$R,0)),0),""))</f>
        <v>637</v>
      </c>
      <c r="AD298" s="10" t="str">
        <f aca="false">IF(LEFT($B298,4)="_Mil","",_xlfn.IFNA(ROUND(INDEX(Spectrum!$N:$N,MATCH(RIGHT($B298,13)&amp;"|"&amp;$C298&amp;"|"&amp;$D298&amp;"|"&amp;AD$14&amp;"|"&amp;"CY2023Q3",Spectrum!$R:$R,0)),0),""))</f>
        <v/>
      </c>
      <c r="AE298" s="88" t="n">
        <f aca="false">IF(OR(LEFT($B298,4)="_Mil",SUM($Z298)=0),"",SUM($AD298)/$Z298)</f>
        <v>0</v>
      </c>
      <c r="AF298" s="39" t="str">
        <f aca="false">IF(LEFT($B298,4)="_Mil","",_xlfn.IFNA(ROUND(INDEX(Spectrum!$N:$N,MATCH(RIGHT($B298,13)&amp;"|"&amp;$C298&amp;"|"&amp;$D298&amp;"|"&amp;AF$14&amp;"|"&amp;"CY2023Q3",Spectrum!$R:$R,0)),0),""))</f>
        <v/>
      </c>
      <c r="AG298" s="88" t="str">
        <f aca="false">IF(OR(LEFT($B298,4)="_Mil",SUM($AD298)=0),"",SUM($AF298)/$AD298)</f>
        <v/>
      </c>
      <c r="AH298" s="86" t="str">
        <f aca="false">IF(LEFT($B298,4)="_Mil","",_xlfn.IFNA(INDEX(Spectrum!$N:$N,MATCH(RIGHT($B298,13)&amp;"|"&amp;$C298&amp;"|"&amp;$D298&amp;"|"&amp;AH$14&amp;"|"&amp;"CY2023Q3",Spectrum!$R:$R,0)),""))</f>
        <v/>
      </c>
      <c r="AI298" s="10" t="str">
        <f aca="false">IF(LEFT($B298,4)="_Mil","",_xlfn.IFNA(ROUND(INDEX(Spectrum!$N:$N,MATCH(RIGHT($B298,13)&amp;"|"&amp;$C298&amp;"|"&amp;$D298&amp;"|"&amp;AI$14&amp;"|"&amp;"CY2023Q3",Spectrum!$R:$R,0)),0),""))</f>
        <v/>
      </c>
      <c r="AJ298" s="39" t="n">
        <f aca="false">IF(LEFT($B298,4)="_Mil","",_xlfn.IFNA(ROUND(INDEX(Spectrum!$N:$N,MATCH(RIGHT($B298,13)&amp;"|"&amp;$C298&amp;"|"&amp;$D298&amp;"|"&amp;AI$14&amp;"|"&amp;"CY2023Q3",Spectrum!$R:$R,0)),0),SUM($U298)+SUM($AI298)))</f>
        <v>0</v>
      </c>
      <c r="AK298" s="10" t="str">
        <f aca="false">IF(LEFT($B298,4)="_Mil","",_xlfn.IFNA(ROUND(INDEX(Spectrum!$N:$N,MATCH(RIGHT($B298,13)&amp;"|"&amp;$C298&amp;"|"&amp;$D298&amp;"|"&amp;AK$14&amp;"|"&amp;"CY2023Q3",Spectrum!$R:$R,0)),0),""))</f>
        <v/>
      </c>
      <c r="AL298" s="88" t="n">
        <f aca="false">IF(OR(LEFT($B298,4)="_Mil",$C298="&lt;01"),"",MAX(SUM($AA298),90%))</f>
        <v>1751</v>
      </c>
      <c r="AM298" s="10" t="n">
        <f aca="false">IF(OR(LEFT($B298,4)="_Mil",$C298="&lt;01"),"",ROUND(SUM($AJ298)*SUM($AL298),0))</f>
        <v>0</v>
      </c>
      <c r="AN298" s="10" t="str">
        <f aca="false">IF($C298="&lt;01",ROUND(INDEX(EID!$P:$P,MATCH($B298,EID!$B:$B,0))/2,0),"")</f>
        <v/>
      </c>
      <c r="AO298" s="10" t="n">
        <f aca="false">IF($C298="&lt;01",SUM($AN298),ROUND(SUM($AM298)*SUM($O298)/IF(SUM($Z298)=0,1,$Z298),0))</f>
        <v>0</v>
      </c>
      <c r="AP298" s="39" t="n">
        <f aca="false">IF(OR($F298="",$C298="&lt;01"),$AO298,$F298)</f>
        <v>0</v>
      </c>
      <c r="AQ298" s="39" t="n">
        <f aca="false">IF(LEFT($B298,4)="_Mil","",IF(SUM($AP298)=0,SUM($Z298),IF(OR(SUM($Z298)=0,SUM($O298)=0),MAX($AP298,$Z298),$AP298*$Z298/$O298)))</f>
        <v>1445</v>
      </c>
      <c r="AR298" s="88" t="str">
        <f aca="false">IF(OR(LEFT($B298,4)="_Mil",SUM($AJ298)=0),"",SUM($AQ298)/$AJ298)</f>
        <v/>
      </c>
      <c r="AS298" s="88" t="n">
        <f aca="false">IF($C298="&lt;01","",98%)</f>
        <v>0.98</v>
      </c>
      <c r="AT298" s="88" t="n">
        <f aca="false">IF($C298="&lt;01","",98%)</f>
        <v>0.98</v>
      </c>
      <c r="AU298" s="10" t="n">
        <f aca="false">IF($C298="&lt;01","",SUM($AP298)-SUM($O298))</f>
        <v>0</v>
      </c>
      <c r="AV298" s="10" t="n">
        <f aca="false">IF($C298="&lt;01",ROUND(INDEX(EID!$N:$N,MATCH($B298,EID!$B:$B,0))/2,0),IF(SUM($AT298)=0,"",ROUND((SUM($AP298)-(SUM($O298)*SUM($AS298)))/$AT298,0)))</f>
        <v>0</v>
      </c>
      <c r="AW298" s="88" t="n">
        <f aca="false">IF($C298="&lt;01","",100%)</f>
        <v>1</v>
      </c>
      <c r="AX298" s="39" t="n">
        <f aca="false">IF($C298="&lt;01",SUM($AV298),ROUND(SUM($AV298)*SUM($AW298),0))</f>
        <v>0</v>
      </c>
      <c r="AY298" s="114" t="n">
        <f aca="false">IF($C298="&lt;01","",70%)</f>
        <v>0.7</v>
      </c>
      <c r="AZ298" s="91" t="n">
        <f aca="false">IF($C298="&lt;01",ROUND(INDEX(EID!$R:$R,MATCH($B298,EID!$B:$B,0))/2,0),ROUND(SUM($O298)+(SUM($AV298)*$AY298),0))</f>
        <v>0</v>
      </c>
      <c r="BA298" s="87" t="n">
        <f aca="false">IF($C298="&lt;01","",95%)</f>
        <v>0.95</v>
      </c>
      <c r="BB298" s="5" t="n">
        <f aca="false">IF($C298="&lt;01",ROUND(INDEX(EID!$T:$T,MATCH($B298,EID!$B:$B,0))/2,0),ROUND($AZ298*$BA298,0))</f>
        <v>0</v>
      </c>
      <c r="BC298" s="91" t="n">
        <f aca="false">IF(LEFT($B298,4)="_Mil","",IF(SUM($BB298)=0,SUM($AD298),IF(OR(SUM($AP298)=0,SUM($AQ298)=0),MAX($BB298,$AD298),ROUND($BB298*$AQ298/$AP298,0))))</f>
        <v>0</v>
      </c>
      <c r="BD298" s="88" t="n">
        <f aca="false">IF($C298="&lt;01","",95%)</f>
        <v>0.95</v>
      </c>
      <c r="BE298" s="39" t="n">
        <f aca="false">IF($C298="&lt;01",ROUND(INDEX(EID!$V:$V,MATCH($B298,EID!$B:$B,0))/2,0),ROUND($BD298*$BB298,0))</f>
        <v>0</v>
      </c>
      <c r="BF298" s="39" t="n">
        <f aca="false">IF(LEFT($B298,4)="_Mil","",IF(SUM($BE298)=0,SUM($AF298),IF(OR(SUM($AP298)=0,SUM($AQ298)=0),MAX($BE298,$AF298),ROUND($BE298*$AQ298/$AP298,0))))</f>
        <v>0</v>
      </c>
      <c r="BG298" s="114" t="n">
        <f aca="false">IF($C298="&lt;01","",95%)</f>
        <v>0.95</v>
      </c>
      <c r="BH298" s="5" t="n">
        <f aca="false">IF($C298="&lt;01",ROUND(INDEX(EID!$L:$L,MATCH($B298,EID!$B:$B,0)),0)/2,IF(SUM($BG298)=0,"",ROUND($AX298/$BG298,0)))</f>
        <v>0</v>
      </c>
    </row>
    <row r="299" customFormat="false" ht="15" hidden="false" customHeight="false" outlineLevel="0" collapsed="false">
      <c r="A299" s="0" t="str">
        <f aca="false">INDEX(Prioritization!$D:$D,MATCH($B299,Prioritization!$A:$A,0))</f>
        <v>1 - Scale-up: Saturation</v>
      </c>
      <c r="B299" s="0" t="s">
        <v>214</v>
      </c>
      <c r="C299" s="0" t="s">
        <v>364</v>
      </c>
      <c r="D299" s="0" t="s">
        <v>30</v>
      </c>
      <c r="E299" s="0" t="str">
        <f aca="false">$B299&amp;"|"&amp;$C299&amp;"|"&amp;$D299</f>
        <v>Machinga District [TYnMSwzko3z]|10-14|Female</v>
      </c>
      <c r="F299" s="10"/>
      <c r="G299" s="10" t="n">
        <v>8</v>
      </c>
      <c r="H299" s="10" t="n">
        <v>6</v>
      </c>
      <c r="I299" s="10" t="n">
        <v>83</v>
      </c>
      <c r="J299" s="10" t="n">
        <v>61</v>
      </c>
      <c r="K299" s="10" t="n">
        <v>94</v>
      </c>
      <c r="L299" s="10" t="n">
        <v>1</v>
      </c>
      <c r="M299" s="10"/>
      <c r="N299" s="10" t="n">
        <v>14</v>
      </c>
      <c r="O299" s="10" t="n">
        <f aca="false">IFERROR(1/(1/MAX($I299,$N299)),"")</f>
        <v>83</v>
      </c>
      <c r="P299" s="10" t="n">
        <v>87</v>
      </c>
      <c r="Q299" s="10" t="n">
        <v>92</v>
      </c>
      <c r="R299" s="10" t="n">
        <f aca="false">IF(AND(SUM($I299)=0,SUM($O299)=0),"",SUM($O299)-$I299)</f>
        <v>0</v>
      </c>
      <c r="S299" s="10" t="n">
        <f aca="false">IF(LEFT($B299,4)="_Mil","",_xlfn.IFNA(ROUND(INDEX(Spectrum!$N:$N,MATCH(RIGHT($B299,13)&amp;"|"&amp;$C299&amp;"|"&amp;$D299&amp;"|"&amp;S$14&amp;"|"&amp;"CY2022Q4",Spectrum!$R:$R,0)),0),""))</f>
        <v>1335</v>
      </c>
      <c r="T299" s="39" t="n">
        <f aca="false">IF(LEFT($B299,4)="_Mil","",_xlfn.IFNA(ROUND(INDEX(Spectrum!$N:$N,MATCH(RIGHT($B299,13)&amp;"|"&amp;$C299&amp;"|"&amp;$D299&amp;"|"&amp;T$14&amp;"|"&amp;"CY2023Q3",Spectrum!$R:$R,0)),0),""))</f>
        <v>1048</v>
      </c>
      <c r="U299" s="39" t="str">
        <f aca="false">IF(LEFT($B299,4)="_Mil","",_xlfn.IFNA(ROUND(INDEX(Spectrum!$N:$N,MATCH(RIGHT($B299,13)&amp;"|"&amp;$C299&amp;"|"&amp;$D299&amp;"|"&amp;U$14&amp;"|"&amp;"CY2023Q3",Spectrum!$R:$R,0)),0),""))</f>
        <v/>
      </c>
      <c r="V299" s="10" t="n">
        <f aca="false">IF(LEFT($B299,4)="_Mil","",_xlfn.IFNA(ROUND(INDEX(Spectrum!$N:$N,MATCH(RIGHT($B299,13)&amp;"|"&amp;$C299&amp;"|"&amp;$D299&amp;"|"&amp;V$14&amp;"|"&amp;"CY2023Q3",Spectrum!$R:$R,0)),0),""))</f>
        <v>1504</v>
      </c>
      <c r="W299" s="113" t="n">
        <f aca="false">IF(LEFT($B299,4)="_Mil","",_xlfn.IFNA(INDEX(Spectrum!$N:$N,MATCH(RIGHT($B299,13)&amp;"|"&amp;$C299&amp;"|"&amp;$D299&amp;"|"&amp;W$14&amp;"|"&amp;"CY2023Q3",Spectrum!$R:$R,0)),""))</f>
        <v>1272</v>
      </c>
      <c r="X299" s="39" t="n">
        <f aca="false">IF(LEFT($B299,4)="_Mil","",_xlfn.IFNA(ROUND(INDEX(Spectrum!$N:$N,MATCH(RIGHT($B299,13)&amp;"|"&amp;$C299&amp;"|"&amp;$D299&amp;"|"&amp;X$14&amp;"|"&amp;"CY2023Q3",Spectrum!$R:$R,0)),0),""))</f>
        <v>1778</v>
      </c>
      <c r="Y299" s="88" t="str">
        <f aca="false">IF(OR(SUM($U299)=0,LEFT($B299,4)="_Mil"),"",SUM($X299)/$U299)</f>
        <v/>
      </c>
      <c r="Z299" s="39" t="n">
        <f aca="false">IF(LEFT($B299,4)="_Mil","",_xlfn.IFNA(ROUND(INDEX(Spectrum!$N:$N,MATCH(RIGHT($B299,13)&amp;"|"&amp;$C299&amp;"|"&amp;$D299&amp;"|"&amp;Z$14&amp;"|"&amp;"CY2023Q3",Spectrum!$R:$R,0)),0),""))</f>
        <v>1136</v>
      </c>
      <c r="AA299" s="88" t="n">
        <f aca="false">IF(LEFT($B299,4)="_Mil","",IFERROR(1/(1/INDEX(Spectrum!$N:$N,MATCH(RIGHT($B299,13)&amp;"|"&amp;$C299&amp;"|"&amp;$D299&amp;"|"&amp;AA$14&amp;"|"&amp;"CY2023Q3",Spectrum!$R:$R,0))),IF(SUM($U299)=0,"",SUM($Z299)/$U299)))</f>
        <v>1635</v>
      </c>
      <c r="AB299" s="88" t="n">
        <f aca="false">IF(OR(LEFT($B299,4)="_Mil",SUM($X299)=0),"",SUM($Z299)/$X299)</f>
        <v>0.638920134983127</v>
      </c>
      <c r="AC299" s="10" t="n">
        <f aca="false">IF(LEFT($B299,4)="_Mil","",_xlfn.IFNA(ROUND(INDEX(Spectrum!$N:$N,MATCH(RIGHT($B299,13)&amp;"|"&amp;$C299&amp;"|"&amp;$D299&amp;"|"&amp;AC$14&amp;"|"&amp;"CY2023Q3",Spectrum!$R:$R,0)),0),""))</f>
        <v>1948</v>
      </c>
      <c r="AD299" s="10" t="str">
        <f aca="false">IF(LEFT($B299,4)="_Mil","",_xlfn.IFNA(ROUND(INDEX(Spectrum!$N:$N,MATCH(RIGHT($B299,13)&amp;"|"&amp;$C299&amp;"|"&amp;$D299&amp;"|"&amp;AD$14&amp;"|"&amp;"CY2023Q3",Spectrum!$R:$R,0)),0),""))</f>
        <v/>
      </c>
      <c r="AE299" s="88" t="n">
        <f aca="false">IF(OR(LEFT($B299,4)="_Mil",SUM($Z299)=0),"",SUM($AD299)/$Z299)</f>
        <v>0</v>
      </c>
      <c r="AF299" s="39" t="str">
        <f aca="false">IF(LEFT($B299,4)="_Mil","",_xlfn.IFNA(ROUND(INDEX(Spectrum!$N:$N,MATCH(RIGHT($B299,13)&amp;"|"&amp;$C299&amp;"|"&amp;$D299&amp;"|"&amp;AF$14&amp;"|"&amp;"CY2023Q3",Spectrum!$R:$R,0)),0),""))</f>
        <v/>
      </c>
      <c r="AG299" s="88" t="str">
        <f aca="false">IF(OR(LEFT($B299,4)="_Mil",SUM($AD299)=0),"",SUM($AF299)/$AD299)</f>
        <v/>
      </c>
      <c r="AH299" s="86" t="str">
        <f aca="false">IF(LEFT($B299,4)="_Mil","",_xlfn.IFNA(INDEX(Spectrum!$N:$N,MATCH(RIGHT($B299,13)&amp;"|"&amp;$C299&amp;"|"&amp;$D299&amp;"|"&amp;AH$14&amp;"|"&amp;"CY2023Q3",Spectrum!$R:$R,0)),""))</f>
        <v/>
      </c>
      <c r="AI299" s="10" t="str">
        <f aca="false">IF(LEFT($B299,4)="_Mil","",_xlfn.IFNA(ROUND(INDEX(Spectrum!$N:$N,MATCH(RIGHT($B299,13)&amp;"|"&amp;$C299&amp;"|"&amp;$D299&amp;"|"&amp;AI$14&amp;"|"&amp;"CY2023Q3",Spectrum!$R:$R,0)),0),""))</f>
        <v/>
      </c>
      <c r="AJ299" s="39" t="n">
        <f aca="false">IF(LEFT($B299,4)="_Mil","",_xlfn.IFNA(ROUND(INDEX(Spectrum!$N:$N,MATCH(RIGHT($B299,13)&amp;"|"&amp;$C299&amp;"|"&amp;$D299&amp;"|"&amp;AI$14&amp;"|"&amp;"CY2023Q3",Spectrum!$R:$R,0)),0),SUM($U299)+SUM($AI299)))</f>
        <v>0</v>
      </c>
      <c r="AK299" s="10" t="str">
        <f aca="false">IF(LEFT($B299,4)="_Mil","",_xlfn.IFNA(ROUND(INDEX(Spectrum!$N:$N,MATCH(RIGHT($B299,13)&amp;"|"&amp;$C299&amp;"|"&amp;$D299&amp;"|"&amp;AK$14&amp;"|"&amp;"CY2023Q3",Spectrum!$R:$R,0)),0),""))</f>
        <v/>
      </c>
      <c r="AL299" s="88" t="n">
        <f aca="false">IF(OR(LEFT($B299,4)="_Mil",$C299="&lt;01"),"",MAX(SUM($AA299),90%))</f>
        <v>1635</v>
      </c>
      <c r="AM299" s="10" t="n">
        <f aca="false">IF(OR(LEFT($B299,4)="_Mil",$C299="&lt;01"),"",ROUND(SUM($AJ299)*SUM($AL299),0))</f>
        <v>0</v>
      </c>
      <c r="AN299" s="10" t="str">
        <f aca="false">IF($C299="&lt;01",ROUND(INDEX(EID!$P:$P,MATCH($B299,EID!$B:$B,0))/2,0),"")</f>
        <v/>
      </c>
      <c r="AO299" s="10" t="n">
        <f aca="false">IF($C299="&lt;01",SUM($AN299),ROUND(SUM($AM299)*SUM($O299)/IF(SUM($Z299)=0,1,$Z299),0))</f>
        <v>0</v>
      </c>
      <c r="AP299" s="39" t="n">
        <f aca="false">IF(OR($F299="",$C299="&lt;01"),$AO299,$F299)</f>
        <v>0</v>
      </c>
      <c r="AQ299" s="39" t="n">
        <f aca="false">IF(LEFT($B299,4)="_Mil","",IF(SUM($AP299)=0,SUM($Z299),IF(OR(SUM($Z299)=0,SUM($O299)=0),MAX($AP299,$Z299),$AP299*$Z299/$O299)))</f>
        <v>1136</v>
      </c>
      <c r="AR299" s="88" t="str">
        <f aca="false">IF(OR(LEFT($B299,4)="_Mil",SUM($AJ299)=0),"",SUM($AQ299)/$AJ299)</f>
        <v/>
      </c>
      <c r="AS299" s="88" t="n">
        <f aca="false">IF($C299="&lt;01","",98%)</f>
        <v>0.98</v>
      </c>
      <c r="AT299" s="88" t="n">
        <f aca="false">IF($C299="&lt;01","",98%)</f>
        <v>0.98</v>
      </c>
      <c r="AU299" s="10" t="n">
        <f aca="false">IF($C299="&lt;01","",SUM($AP299)-SUM($O299))</f>
        <v>-83</v>
      </c>
      <c r="AV299" s="10" t="n">
        <f aca="false">IF($C299="&lt;01",ROUND(INDEX(EID!$N:$N,MATCH($B299,EID!$B:$B,0))/2,0),IF(SUM($AT299)=0,"",ROUND((SUM($AP299)-(SUM($O299)*SUM($AS299)))/$AT299,0)))</f>
        <v>-83</v>
      </c>
      <c r="AW299" s="88" t="n">
        <f aca="false">IF($C299="&lt;01","",100%)</f>
        <v>1</v>
      </c>
      <c r="AX299" s="39" t="n">
        <f aca="false">IF($C299="&lt;01",SUM($AV299),ROUND(SUM($AV299)*SUM($AW299),0))</f>
        <v>-83</v>
      </c>
      <c r="AY299" s="114" t="n">
        <f aca="false">IF($C299="&lt;01","",70%)</f>
        <v>0.7</v>
      </c>
      <c r="AZ299" s="91" t="n">
        <f aca="false">IF($C299="&lt;01",ROUND(INDEX(EID!$R:$R,MATCH($B299,EID!$B:$B,0))/2,0),ROUND(SUM($O299)+(SUM($AV299)*$AY299),0))</f>
        <v>25</v>
      </c>
      <c r="BA299" s="87" t="n">
        <f aca="false">IF($C299="&lt;01","",95%)</f>
        <v>0.95</v>
      </c>
      <c r="BB299" s="5" t="n">
        <f aca="false">IF($C299="&lt;01",ROUND(INDEX(EID!$T:$T,MATCH($B299,EID!$B:$B,0))/2,0),ROUND($AZ299*$BA299,0))</f>
        <v>24</v>
      </c>
      <c r="BC299" s="91" t="n">
        <f aca="false">IF(LEFT($B299,4)="_Mil","",IF(SUM($BB299)=0,SUM($AD299),IF(OR(SUM($AP299)=0,SUM($AQ299)=0),MAX($BB299,$AD299),ROUND($BB299*$AQ299/$AP299,0))))</f>
        <v>24</v>
      </c>
      <c r="BD299" s="88" t="n">
        <f aca="false">IF($C299="&lt;01","",95%)</f>
        <v>0.95</v>
      </c>
      <c r="BE299" s="39" t="n">
        <f aca="false">IF($C299="&lt;01",ROUND(INDEX(EID!$V:$V,MATCH($B299,EID!$B:$B,0))/2,0),ROUND($BD299*$BB299,0))</f>
        <v>23</v>
      </c>
      <c r="BF299" s="39" t="n">
        <f aca="false">IF(LEFT($B299,4)="_Mil","",IF(SUM($BE299)=0,SUM($AF299),IF(OR(SUM($AP299)=0,SUM($AQ299)=0),MAX($BE299,$AF299),ROUND($BE299*$AQ299/$AP299,0))))</f>
        <v>23</v>
      </c>
      <c r="BG299" s="114" t="n">
        <f aca="false">IF($C299="&lt;01","",95%)</f>
        <v>0.95</v>
      </c>
      <c r="BH299" s="5" t="n">
        <f aca="false">IF($C299="&lt;01",ROUND(INDEX(EID!$L:$L,MATCH($B299,EID!$B:$B,0)),0)/2,IF(SUM($BG299)=0,"",ROUND($AX299/$BG299,0)))</f>
        <v>-87</v>
      </c>
    </row>
    <row r="300" customFormat="false" ht="15" hidden="false" customHeight="false" outlineLevel="0" collapsed="false">
      <c r="A300" s="0" t="str">
        <f aca="false">INDEX(Prioritization!$D:$D,MATCH($B300,Prioritization!$A:$A,0))</f>
        <v>1 - Scale-up: Saturation</v>
      </c>
      <c r="B300" s="0" t="s">
        <v>214</v>
      </c>
      <c r="C300" s="0" t="s">
        <v>364</v>
      </c>
      <c r="D300" s="0" t="s">
        <v>48</v>
      </c>
      <c r="E300" s="0" t="str">
        <f aca="false">$B300&amp;"|"&amp;$C300&amp;"|"&amp;$D300</f>
        <v>Machinga District [TYnMSwzko3z]|10-14|Male</v>
      </c>
      <c r="F300" s="10"/>
      <c r="G300" s="10" t="n">
        <v>5</v>
      </c>
      <c r="H300" s="10" t="n">
        <v>2</v>
      </c>
      <c r="I300" s="10" t="n">
        <v>28</v>
      </c>
      <c r="J300" s="10" t="n">
        <v>58</v>
      </c>
      <c r="K300" s="10" t="n">
        <v>22</v>
      </c>
      <c r="L300" s="10"/>
      <c r="M300" s="10"/>
      <c r="N300" s="10" t="n">
        <v>52</v>
      </c>
      <c r="O300" s="10" t="n">
        <f aca="false">IFERROR(1/(1/MAX($I300,$N300)),"")</f>
        <v>52</v>
      </c>
      <c r="P300" s="10" t="n">
        <v>57</v>
      </c>
      <c r="Q300" s="10" t="n">
        <v>33</v>
      </c>
      <c r="R300" s="10" t="n">
        <f aca="false">IF(AND(SUM($I300)=0,SUM($O300)=0),"",SUM($O300)-$I300)</f>
        <v>24</v>
      </c>
      <c r="S300" s="10" t="n">
        <f aca="false">IF(LEFT($B300,4)="_Mil","",_xlfn.IFNA(ROUND(INDEX(Spectrum!$N:$N,MATCH(RIGHT($B300,13)&amp;"|"&amp;$C300&amp;"|"&amp;$D300&amp;"|"&amp;S$14&amp;"|"&amp;"CY2022Q4",Spectrum!$R:$R,0)),0),""))</f>
        <v>1844</v>
      </c>
      <c r="T300" s="39" t="n">
        <f aca="false">IF(LEFT($B300,4)="_Mil","",_xlfn.IFNA(ROUND(INDEX(Spectrum!$N:$N,MATCH(RIGHT($B300,13)&amp;"|"&amp;$C300&amp;"|"&amp;$D300&amp;"|"&amp;T$14&amp;"|"&amp;"CY2023Q3",Spectrum!$R:$R,0)),0),""))</f>
        <v>1804</v>
      </c>
      <c r="U300" s="39" t="str">
        <f aca="false">IF(LEFT($B300,4)="_Mil","",_xlfn.IFNA(ROUND(INDEX(Spectrum!$N:$N,MATCH(RIGHT($B300,13)&amp;"|"&amp;$C300&amp;"|"&amp;$D300&amp;"|"&amp;U$14&amp;"|"&amp;"CY2023Q3",Spectrum!$R:$R,0)),0),""))</f>
        <v/>
      </c>
      <c r="V300" s="10" t="n">
        <f aca="false">IF(LEFT($B300,4)="_Mil","",_xlfn.IFNA(ROUND(INDEX(Spectrum!$N:$N,MATCH(RIGHT($B300,13)&amp;"|"&amp;$C300&amp;"|"&amp;$D300&amp;"|"&amp;V$14&amp;"|"&amp;"CY2023Q3",Spectrum!$R:$R,0)),0),""))</f>
        <v>1285</v>
      </c>
      <c r="W300" s="113" t="n">
        <f aca="false">IF(LEFT($B300,4)="_Mil","",_xlfn.IFNA(INDEX(Spectrum!$N:$N,MATCH(RIGHT($B300,13)&amp;"|"&amp;$C300&amp;"|"&amp;$D300&amp;"|"&amp;W$14&amp;"|"&amp;"CY2023Q3",Spectrum!$R:$R,0)),""))</f>
        <v>1500</v>
      </c>
      <c r="X300" s="39" t="n">
        <f aca="false">IF(LEFT($B300,4)="_Mil","",_xlfn.IFNA(ROUND(INDEX(Spectrum!$N:$N,MATCH(RIGHT($B300,13)&amp;"|"&amp;$C300&amp;"|"&amp;$D300&amp;"|"&amp;X$14&amp;"|"&amp;"CY2023Q3",Spectrum!$R:$R,0)),0),""))</f>
        <v>1282</v>
      </c>
      <c r="Y300" s="88" t="str">
        <f aca="false">IF(OR(SUM($U300)=0,LEFT($B300,4)="_Mil"),"",SUM($X300)/$U300)</f>
        <v/>
      </c>
      <c r="Z300" s="39" t="n">
        <f aca="false">IF(LEFT($B300,4)="_Mil","",_xlfn.IFNA(ROUND(INDEX(Spectrum!$N:$N,MATCH(RIGHT($B300,13)&amp;"|"&amp;$C300&amp;"|"&amp;$D300&amp;"|"&amp;Z$14&amp;"|"&amp;"CY2023Q3",Spectrum!$R:$R,0)),0),""))</f>
        <v>1805</v>
      </c>
      <c r="AA300" s="88" t="n">
        <f aca="false">IF(LEFT($B300,4)="_Mil","",IFERROR(1/(1/INDEX(Spectrum!$N:$N,MATCH(RIGHT($B300,13)&amp;"|"&amp;$C300&amp;"|"&amp;$D300&amp;"|"&amp;AA$14&amp;"|"&amp;"CY2023Q3",Spectrum!$R:$R,0))),IF(SUM($U300)=0,"",SUM($Z300)/$U300)))</f>
        <v>685</v>
      </c>
      <c r="AB300" s="88" t="n">
        <f aca="false">IF(OR(LEFT($B300,4)="_Mil",SUM($X300)=0),"",SUM($Z300)/$X300)</f>
        <v>1.40795631825273</v>
      </c>
      <c r="AC300" s="10" t="n">
        <f aca="false">IF(LEFT($B300,4)="_Mil","",_xlfn.IFNA(ROUND(INDEX(Spectrum!$N:$N,MATCH(RIGHT($B300,13)&amp;"|"&amp;$C300&amp;"|"&amp;$D300&amp;"|"&amp;AC$14&amp;"|"&amp;"CY2023Q3",Spectrum!$R:$R,0)),0),""))</f>
        <v>530</v>
      </c>
      <c r="AD300" s="10" t="str">
        <f aca="false">IF(LEFT($B300,4)="_Mil","",_xlfn.IFNA(ROUND(INDEX(Spectrum!$N:$N,MATCH(RIGHT($B300,13)&amp;"|"&amp;$C300&amp;"|"&amp;$D300&amp;"|"&amp;AD$14&amp;"|"&amp;"CY2023Q3",Spectrum!$R:$R,0)),0),""))</f>
        <v/>
      </c>
      <c r="AE300" s="88" t="n">
        <f aca="false">IF(OR(LEFT($B300,4)="_Mil",SUM($Z300)=0),"",SUM($AD300)/$Z300)</f>
        <v>0</v>
      </c>
      <c r="AF300" s="39" t="str">
        <f aca="false">IF(LEFT($B300,4)="_Mil","",_xlfn.IFNA(ROUND(INDEX(Spectrum!$N:$N,MATCH(RIGHT($B300,13)&amp;"|"&amp;$C300&amp;"|"&amp;$D300&amp;"|"&amp;AF$14&amp;"|"&amp;"CY2023Q3",Spectrum!$R:$R,0)),0),""))</f>
        <v/>
      </c>
      <c r="AG300" s="88" t="str">
        <f aca="false">IF(OR(LEFT($B300,4)="_Mil",SUM($AD300)=0),"",SUM($AF300)/$AD300)</f>
        <v/>
      </c>
      <c r="AH300" s="86" t="str">
        <f aca="false">IF(LEFT($B300,4)="_Mil","",_xlfn.IFNA(INDEX(Spectrum!$N:$N,MATCH(RIGHT($B300,13)&amp;"|"&amp;$C300&amp;"|"&amp;$D300&amp;"|"&amp;AH$14&amp;"|"&amp;"CY2023Q3",Spectrum!$R:$R,0)),""))</f>
        <v/>
      </c>
      <c r="AI300" s="10" t="str">
        <f aca="false">IF(LEFT($B300,4)="_Mil","",_xlfn.IFNA(ROUND(INDEX(Spectrum!$N:$N,MATCH(RIGHT($B300,13)&amp;"|"&amp;$C300&amp;"|"&amp;$D300&amp;"|"&amp;AI$14&amp;"|"&amp;"CY2023Q3",Spectrum!$R:$R,0)),0),""))</f>
        <v/>
      </c>
      <c r="AJ300" s="39" t="n">
        <f aca="false">IF(LEFT($B300,4)="_Mil","",_xlfn.IFNA(ROUND(INDEX(Spectrum!$N:$N,MATCH(RIGHT($B300,13)&amp;"|"&amp;$C300&amp;"|"&amp;$D300&amp;"|"&amp;AI$14&amp;"|"&amp;"CY2023Q3",Spectrum!$R:$R,0)),0),SUM($U300)+SUM($AI300)))</f>
        <v>0</v>
      </c>
      <c r="AK300" s="10" t="str">
        <f aca="false">IF(LEFT($B300,4)="_Mil","",_xlfn.IFNA(ROUND(INDEX(Spectrum!$N:$N,MATCH(RIGHT($B300,13)&amp;"|"&amp;$C300&amp;"|"&amp;$D300&amp;"|"&amp;AK$14&amp;"|"&amp;"CY2023Q3",Spectrum!$R:$R,0)),0),""))</f>
        <v/>
      </c>
      <c r="AL300" s="88" t="n">
        <f aca="false">IF(OR(LEFT($B300,4)="_Mil",$C300="&lt;01"),"",MAX(SUM($AA300),90%))</f>
        <v>685</v>
      </c>
      <c r="AM300" s="10" t="n">
        <f aca="false">IF(OR(LEFT($B300,4)="_Mil",$C300="&lt;01"),"",ROUND(SUM($AJ300)*SUM($AL300),0))</f>
        <v>0</v>
      </c>
      <c r="AN300" s="10" t="str">
        <f aca="false">IF($C300="&lt;01",ROUND(INDEX(EID!$P:$P,MATCH($B300,EID!$B:$B,0))/2,0),"")</f>
        <v/>
      </c>
      <c r="AO300" s="10" t="n">
        <f aca="false">IF($C300="&lt;01",SUM($AN300),ROUND(SUM($AM300)*SUM($O300)/IF(SUM($Z300)=0,1,$Z300),0))</f>
        <v>0</v>
      </c>
      <c r="AP300" s="39" t="n">
        <f aca="false">IF(OR($F300="",$C300="&lt;01"),$AO300,$F300)</f>
        <v>0</v>
      </c>
      <c r="AQ300" s="39" t="n">
        <f aca="false">IF(LEFT($B300,4)="_Mil","",IF(SUM($AP300)=0,SUM($Z300),IF(OR(SUM($Z300)=0,SUM($O300)=0),MAX($AP300,$Z300),$AP300*$Z300/$O300)))</f>
        <v>1805</v>
      </c>
      <c r="AR300" s="88" t="str">
        <f aca="false">IF(OR(LEFT($B300,4)="_Mil",SUM($AJ300)=0),"",SUM($AQ300)/$AJ300)</f>
        <v/>
      </c>
      <c r="AS300" s="88" t="n">
        <f aca="false">IF($C300="&lt;01","",98%)</f>
        <v>0.98</v>
      </c>
      <c r="AT300" s="88" t="n">
        <f aca="false">IF($C300="&lt;01","",98%)</f>
        <v>0.98</v>
      </c>
      <c r="AU300" s="10" t="n">
        <f aca="false">IF($C300="&lt;01","",SUM($AP300)-SUM($O300))</f>
        <v>-52</v>
      </c>
      <c r="AV300" s="10" t="n">
        <f aca="false">IF($C300="&lt;01",ROUND(INDEX(EID!$N:$N,MATCH($B300,EID!$B:$B,0))/2,0),IF(SUM($AT300)=0,"",ROUND((SUM($AP300)-(SUM($O300)*SUM($AS300)))/$AT300,0)))</f>
        <v>-52</v>
      </c>
      <c r="AW300" s="88" t="n">
        <f aca="false">IF($C300="&lt;01","",100%)</f>
        <v>1</v>
      </c>
      <c r="AX300" s="39" t="n">
        <f aca="false">IF($C300="&lt;01",SUM($AV300),ROUND(SUM($AV300)*SUM($AW300),0))</f>
        <v>-52</v>
      </c>
      <c r="AY300" s="114" t="n">
        <f aca="false">IF($C300="&lt;01","",70%)</f>
        <v>0.7</v>
      </c>
      <c r="AZ300" s="91" t="n">
        <f aca="false">IF($C300="&lt;01",ROUND(INDEX(EID!$R:$R,MATCH($B300,EID!$B:$B,0))/2,0),ROUND(SUM($O300)+(SUM($AV300)*$AY300),0))</f>
        <v>16</v>
      </c>
      <c r="BA300" s="87" t="n">
        <f aca="false">IF($C300="&lt;01","",95%)</f>
        <v>0.95</v>
      </c>
      <c r="BB300" s="5" t="n">
        <f aca="false">IF($C300="&lt;01",ROUND(INDEX(EID!$T:$T,MATCH($B300,EID!$B:$B,0))/2,0),ROUND($AZ300*$BA300,0))</f>
        <v>15</v>
      </c>
      <c r="BC300" s="91" t="n">
        <f aca="false">IF(LEFT($B300,4)="_Mil","",IF(SUM($BB300)=0,SUM($AD300),IF(OR(SUM($AP300)=0,SUM($AQ300)=0),MAX($BB300,$AD300),ROUND($BB300*$AQ300/$AP300,0))))</f>
        <v>15</v>
      </c>
      <c r="BD300" s="88" t="n">
        <f aca="false">IF($C300="&lt;01","",95%)</f>
        <v>0.95</v>
      </c>
      <c r="BE300" s="39" t="n">
        <f aca="false">IF($C300="&lt;01",ROUND(INDEX(EID!$V:$V,MATCH($B300,EID!$B:$B,0))/2,0),ROUND($BD300*$BB300,0))</f>
        <v>14</v>
      </c>
      <c r="BF300" s="39" t="n">
        <f aca="false">IF(LEFT($B300,4)="_Mil","",IF(SUM($BE300)=0,SUM($AF300),IF(OR(SUM($AP300)=0,SUM($AQ300)=0),MAX($BE300,$AF300),ROUND($BE300*$AQ300/$AP300,0))))</f>
        <v>14</v>
      </c>
      <c r="BG300" s="114" t="n">
        <f aca="false">IF($C300="&lt;01","",95%)</f>
        <v>0.95</v>
      </c>
      <c r="BH300" s="5" t="n">
        <f aca="false">IF($C300="&lt;01",ROUND(INDEX(EID!$L:$L,MATCH($B300,EID!$B:$B,0)),0)/2,IF(SUM($BG300)=0,"",ROUND($AX300/$BG300,0)))</f>
        <v>-55</v>
      </c>
    </row>
    <row r="301" customFormat="false" ht="15" hidden="false" customHeight="false" outlineLevel="0" collapsed="false">
      <c r="A301" s="0" t="str">
        <f aca="false">INDEX(Prioritization!$D:$D,MATCH($B301,Prioritization!$A:$A,0))</f>
        <v>1 - Scale-up: Saturation</v>
      </c>
      <c r="B301" s="0" t="s">
        <v>214</v>
      </c>
      <c r="C301" s="0" t="s">
        <v>365</v>
      </c>
      <c r="D301" s="0" t="s">
        <v>30</v>
      </c>
      <c r="E301" s="0" t="str">
        <f aca="false">$B301&amp;"|"&amp;$C301&amp;"|"&amp;$D301</f>
        <v>Machinga District [TYnMSwzko3z]|15-24|Female</v>
      </c>
      <c r="F301" s="10"/>
      <c r="G301" s="10"/>
      <c r="H301" s="10"/>
      <c r="I301" s="10"/>
      <c r="J301" s="10"/>
      <c r="K301" s="10"/>
      <c r="L301" s="10"/>
      <c r="M301" s="10"/>
      <c r="N301" s="10"/>
      <c r="O301" s="10" t="str">
        <f aca="false">IFERROR(1/(1/MAX($I301,$N301)),"")</f>
        <v/>
      </c>
      <c r="P301" s="10"/>
      <c r="Q301" s="10"/>
      <c r="R301" s="10" t="str">
        <f aca="false">IF(AND(SUM($I301)=0,SUM($O301)=0),"",SUM($O301)-$I301)</f>
        <v/>
      </c>
      <c r="S301" s="10" t="n">
        <f aca="false">IF(LEFT($B301,4)="_Mil","",_xlfn.IFNA(ROUND(INDEX(Spectrum!$N:$N,MATCH(RIGHT($B301,13)&amp;"|"&amp;$C301&amp;"|"&amp;$D301&amp;"|"&amp;S$14&amp;"|"&amp;"CY2022Q4",Spectrum!$R:$R,0)),0),""))</f>
        <v>1244</v>
      </c>
      <c r="T301" s="39" t="n">
        <f aca="false">IF(LEFT($B301,4)="_Mil","",_xlfn.IFNA(ROUND(INDEX(Spectrum!$N:$N,MATCH(RIGHT($B301,13)&amp;"|"&amp;$C301&amp;"|"&amp;$D301&amp;"|"&amp;T$14&amp;"|"&amp;"CY2023Q3",Spectrum!$R:$R,0)),0),""))</f>
        <v>610</v>
      </c>
      <c r="U301" s="39" t="str">
        <f aca="false">IF(LEFT($B301,4)="_Mil","",_xlfn.IFNA(ROUND(INDEX(Spectrum!$N:$N,MATCH(RIGHT($B301,13)&amp;"|"&amp;$C301&amp;"|"&amp;$D301&amp;"|"&amp;U$14&amp;"|"&amp;"CY2023Q3",Spectrum!$R:$R,0)),0),""))</f>
        <v/>
      </c>
      <c r="V301" s="10" t="n">
        <f aca="false">IF(LEFT($B301,4)="_Mil","",_xlfn.IFNA(ROUND(INDEX(Spectrum!$N:$N,MATCH(RIGHT($B301,13)&amp;"|"&amp;$C301&amp;"|"&amp;$D301&amp;"|"&amp;V$14&amp;"|"&amp;"CY2023Q3",Spectrum!$R:$R,0)),0),""))</f>
        <v>617</v>
      </c>
      <c r="W301" s="113" t="n">
        <f aca="false">IF(LEFT($B301,4)="_Mil","",_xlfn.IFNA(INDEX(Spectrum!$N:$N,MATCH(RIGHT($B301,13)&amp;"|"&amp;$C301&amp;"|"&amp;$D301&amp;"|"&amp;W$14&amp;"|"&amp;"CY2023Q3",Spectrum!$R:$R,0)),""))</f>
        <v>1807</v>
      </c>
      <c r="X301" s="39" t="n">
        <f aca="false">IF(LEFT($B301,4)="_Mil","",_xlfn.IFNA(ROUND(INDEX(Spectrum!$N:$N,MATCH(RIGHT($B301,13)&amp;"|"&amp;$C301&amp;"|"&amp;$D301&amp;"|"&amp;X$14&amp;"|"&amp;"CY2023Q3",Spectrum!$R:$R,0)),0),""))</f>
        <v>1130</v>
      </c>
      <c r="Y301" s="88" t="str">
        <f aca="false">IF(OR(SUM($U301)=0,LEFT($B301,4)="_Mil"),"",SUM($X301)/$U301)</f>
        <v/>
      </c>
      <c r="Z301" s="39" t="n">
        <f aca="false">IF(LEFT($B301,4)="_Mil","",_xlfn.IFNA(ROUND(INDEX(Spectrum!$N:$N,MATCH(RIGHT($B301,13)&amp;"|"&amp;$C301&amp;"|"&amp;$D301&amp;"|"&amp;Z$14&amp;"|"&amp;"CY2023Q3",Spectrum!$R:$R,0)),0),""))</f>
        <v>517</v>
      </c>
      <c r="AA301" s="88" t="n">
        <f aca="false">IF(LEFT($B301,4)="_Mil","",IFERROR(1/(1/INDEX(Spectrum!$N:$N,MATCH(RIGHT($B301,13)&amp;"|"&amp;$C301&amp;"|"&amp;$D301&amp;"|"&amp;AA$14&amp;"|"&amp;"CY2023Q3",Spectrum!$R:$R,0))),IF(SUM($U301)=0,"",SUM($Z301)/$U301)))</f>
        <v>756</v>
      </c>
      <c r="AB301" s="88" t="n">
        <f aca="false">IF(OR(LEFT($B301,4)="_Mil",SUM($X301)=0),"",SUM($Z301)/$X301)</f>
        <v>0.457522123893805</v>
      </c>
      <c r="AC301" s="10" t="n">
        <f aca="false">IF(LEFT($B301,4)="_Mil","",_xlfn.IFNA(ROUND(INDEX(Spectrum!$N:$N,MATCH(RIGHT($B301,13)&amp;"|"&amp;$C301&amp;"|"&amp;$D301&amp;"|"&amp;AC$14&amp;"|"&amp;"CY2023Q3",Spectrum!$R:$R,0)),0),""))</f>
        <v>1743</v>
      </c>
      <c r="AD301" s="10" t="str">
        <f aca="false">IF(LEFT($B301,4)="_Mil","",_xlfn.IFNA(ROUND(INDEX(Spectrum!$N:$N,MATCH(RIGHT($B301,13)&amp;"|"&amp;$C301&amp;"|"&amp;$D301&amp;"|"&amp;AD$14&amp;"|"&amp;"CY2023Q3",Spectrum!$R:$R,0)),0),""))</f>
        <v/>
      </c>
      <c r="AE301" s="88" t="n">
        <f aca="false">IF(OR(LEFT($B301,4)="_Mil",SUM($Z301)=0),"",SUM($AD301)/$Z301)</f>
        <v>0</v>
      </c>
      <c r="AF301" s="39" t="str">
        <f aca="false">IF(LEFT($B301,4)="_Mil","",_xlfn.IFNA(ROUND(INDEX(Spectrum!$N:$N,MATCH(RIGHT($B301,13)&amp;"|"&amp;$C301&amp;"|"&amp;$D301&amp;"|"&amp;AF$14&amp;"|"&amp;"CY2023Q3",Spectrum!$R:$R,0)),0),""))</f>
        <v/>
      </c>
      <c r="AG301" s="88" t="str">
        <f aca="false">IF(OR(LEFT($B301,4)="_Mil",SUM($AD301)=0),"",SUM($AF301)/$AD301)</f>
        <v/>
      </c>
      <c r="AH301" s="86" t="str">
        <f aca="false">IF(LEFT($B301,4)="_Mil","",_xlfn.IFNA(INDEX(Spectrum!$N:$N,MATCH(RIGHT($B301,13)&amp;"|"&amp;$C301&amp;"|"&amp;$D301&amp;"|"&amp;AH$14&amp;"|"&amp;"CY2023Q3",Spectrum!$R:$R,0)),""))</f>
        <v/>
      </c>
      <c r="AI301" s="10" t="str">
        <f aca="false">IF(LEFT($B301,4)="_Mil","",_xlfn.IFNA(ROUND(INDEX(Spectrum!$N:$N,MATCH(RIGHT($B301,13)&amp;"|"&amp;$C301&amp;"|"&amp;$D301&amp;"|"&amp;AI$14&amp;"|"&amp;"CY2023Q3",Spectrum!$R:$R,0)),0),""))</f>
        <v/>
      </c>
      <c r="AJ301" s="39" t="n">
        <f aca="false">IF(LEFT($B301,4)="_Mil","",_xlfn.IFNA(ROUND(INDEX(Spectrum!$N:$N,MATCH(RIGHT($B301,13)&amp;"|"&amp;$C301&amp;"|"&amp;$D301&amp;"|"&amp;AI$14&amp;"|"&amp;"CY2023Q3",Spectrum!$R:$R,0)),0),SUM($U301)+SUM($AI301)))</f>
        <v>0</v>
      </c>
      <c r="AK301" s="10" t="str">
        <f aca="false">IF(LEFT($B301,4)="_Mil","",_xlfn.IFNA(ROUND(INDEX(Spectrum!$N:$N,MATCH(RIGHT($B301,13)&amp;"|"&amp;$C301&amp;"|"&amp;$D301&amp;"|"&amp;AK$14&amp;"|"&amp;"CY2023Q3",Spectrum!$R:$R,0)),0),""))</f>
        <v/>
      </c>
      <c r="AL301" s="88" t="n">
        <f aca="false">IF(OR(LEFT($B301,4)="_Mil",$C301="&lt;01"),"",MAX(SUM($AA301),90%))</f>
        <v>756</v>
      </c>
      <c r="AM301" s="10" t="n">
        <f aca="false">IF(OR(LEFT($B301,4)="_Mil",$C301="&lt;01"),"",ROUND(SUM($AJ301)*SUM($AL301),0))</f>
        <v>0</v>
      </c>
      <c r="AN301" s="10" t="str">
        <f aca="false">IF($C301="&lt;01",ROUND(INDEX(EID!$P:$P,MATCH($B301,EID!$B:$B,0))/2,0),"")</f>
        <v/>
      </c>
      <c r="AO301" s="10" t="n">
        <f aca="false">IF($C301="&lt;01",SUM($AN301),ROUND(SUM($AM301)*SUM($O301)/IF(SUM($Z301)=0,1,$Z301),0))</f>
        <v>0</v>
      </c>
      <c r="AP301" s="39" t="n">
        <f aca="false">IF(OR($F301="",$C301="&lt;01"),$AO301,$F301)</f>
        <v>0</v>
      </c>
      <c r="AQ301" s="39" t="n">
        <f aca="false">IF(LEFT($B301,4)="_Mil","",IF(SUM($AP301)=0,SUM($Z301),IF(OR(SUM($Z301)=0,SUM($O301)=0),MAX($AP301,$Z301),$AP301*$Z301/$O301)))</f>
        <v>517</v>
      </c>
      <c r="AR301" s="88" t="str">
        <f aca="false">IF(OR(LEFT($B301,4)="_Mil",SUM($AJ301)=0),"",SUM($AQ301)/$AJ301)</f>
        <v/>
      </c>
      <c r="AS301" s="88" t="n">
        <f aca="false">IF($C301="&lt;01","",98%)</f>
        <v>0.98</v>
      </c>
      <c r="AT301" s="88" t="n">
        <f aca="false">IF($C301="&lt;01","",98%)</f>
        <v>0.98</v>
      </c>
      <c r="AU301" s="10" t="n">
        <f aca="false">IF($C301="&lt;01","",SUM($AP301)-SUM($O301))</f>
        <v>0</v>
      </c>
      <c r="AV301" s="10" t="n">
        <f aca="false">IF($C301="&lt;01",ROUND(INDEX(EID!$N:$N,MATCH($B301,EID!$B:$B,0))/2,0),IF(SUM($AT301)=0,"",ROUND((SUM($AP301)-(SUM($O301)*SUM($AS301)))/$AT301,0)))</f>
        <v>0</v>
      </c>
      <c r="AW301" s="88" t="n">
        <f aca="false">IF($C301="&lt;01","",100%)</f>
        <v>1</v>
      </c>
      <c r="AX301" s="39" t="n">
        <f aca="false">IF($C301="&lt;01",SUM($AV301),ROUND(SUM($AV301)*SUM($AW301),0))</f>
        <v>0</v>
      </c>
      <c r="AY301" s="114" t="n">
        <f aca="false">IF($C301="&lt;01","",70%)</f>
        <v>0.7</v>
      </c>
      <c r="AZ301" s="91" t="n">
        <f aca="false">IF($C301="&lt;01",ROUND(INDEX(EID!$R:$R,MATCH($B301,EID!$B:$B,0))/2,0),ROUND(SUM($O301)+(SUM($AV301)*$AY301),0))</f>
        <v>0</v>
      </c>
      <c r="BA301" s="87" t="n">
        <f aca="false">IF($C301="&lt;01","",95%)</f>
        <v>0.95</v>
      </c>
      <c r="BB301" s="5" t="n">
        <f aca="false">IF($C301="&lt;01",ROUND(INDEX(EID!$T:$T,MATCH($B301,EID!$B:$B,0))/2,0),ROUND($AZ301*$BA301,0))</f>
        <v>0</v>
      </c>
      <c r="BC301" s="91" t="n">
        <f aca="false">IF(LEFT($B301,4)="_Mil","",IF(SUM($BB301)=0,SUM($AD301),IF(OR(SUM($AP301)=0,SUM($AQ301)=0),MAX($BB301,$AD301),ROUND($BB301*$AQ301/$AP301,0))))</f>
        <v>0</v>
      </c>
      <c r="BD301" s="88" t="n">
        <f aca="false">IF($C301="&lt;01","",95%)</f>
        <v>0.95</v>
      </c>
      <c r="BE301" s="39" t="n">
        <f aca="false">IF($C301="&lt;01",ROUND(INDEX(EID!$V:$V,MATCH($B301,EID!$B:$B,0))/2,0),ROUND($BD301*$BB301,0))</f>
        <v>0</v>
      </c>
      <c r="BF301" s="39" t="n">
        <f aca="false">IF(LEFT($B301,4)="_Mil","",IF(SUM($BE301)=0,SUM($AF301),IF(OR(SUM($AP301)=0,SUM($AQ301)=0),MAX($BE301,$AF301),ROUND($BE301*$AQ301/$AP301,0))))</f>
        <v>0</v>
      </c>
      <c r="BG301" s="114" t="n">
        <f aca="false">IF($C301="&lt;01","",95%)</f>
        <v>0.95</v>
      </c>
      <c r="BH301" s="5" t="n">
        <f aca="false">IF($C301="&lt;01",ROUND(INDEX(EID!$L:$L,MATCH($B301,EID!$B:$B,0)),0)/2,IF(SUM($BG301)=0,"",ROUND($AX301/$BG301,0)))</f>
        <v>0</v>
      </c>
    </row>
    <row r="302" customFormat="false" ht="15" hidden="false" customHeight="false" outlineLevel="0" collapsed="false">
      <c r="A302" s="0" t="str">
        <f aca="false">INDEX(Prioritization!$D:$D,MATCH($B302,Prioritization!$A:$A,0))</f>
        <v>1 - Scale-up: Saturation</v>
      </c>
      <c r="B302" s="0" t="s">
        <v>214</v>
      </c>
      <c r="C302" s="0" t="s">
        <v>365</v>
      </c>
      <c r="D302" s="0" t="s">
        <v>48</v>
      </c>
      <c r="E302" s="0" t="str">
        <f aca="false">$B302&amp;"|"&amp;$C302&amp;"|"&amp;$D302</f>
        <v>Machinga District [TYnMSwzko3z]|15-24|Male</v>
      </c>
      <c r="F302" s="10"/>
      <c r="G302" s="10"/>
      <c r="H302" s="10"/>
      <c r="I302" s="10"/>
      <c r="J302" s="10"/>
      <c r="K302" s="10"/>
      <c r="L302" s="10"/>
      <c r="M302" s="10"/>
      <c r="N302" s="10"/>
      <c r="O302" s="10" t="str">
        <f aca="false">IFERROR(1/(1/MAX($I302,$N302)),"")</f>
        <v/>
      </c>
      <c r="P302" s="10"/>
      <c r="Q302" s="10"/>
      <c r="R302" s="10" t="str">
        <f aca="false">IF(AND(SUM($I302)=0,SUM($O302)=0),"",SUM($O302)-$I302)</f>
        <v/>
      </c>
      <c r="S302" s="10" t="n">
        <f aca="false">IF(LEFT($B302,4)="_Mil","",_xlfn.IFNA(ROUND(INDEX(Spectrum!$N:$N,MATCH(RIGHT($B302,13)&amp;"|"&amp;$C302&amp;"|"&amp;$D302&amp;"|"&amp;S$14&amp;"|"&amp;"CY2022Q4",Spectrum!$R:$R,0)),0),""))</f>
        <v>532</v>
      </c>
      <c r="T302" s="39" t="n">
        <f aca="false">IF(LEFT($B302,4)="_Mil","",_xlfn.IFNA(ROUND(INDEX(Spectrum!$N:$N,MATCH(RIGHT($B302,13)&amp;"|"&amp;$C302&amp;"|"&amp;$D302&amp;"|"&amp;T$14&amp;"|"&amp;"CY2023Q3",Spectrum!$R:$R,0)),0),""))</f>
        <v>1199</v>
      </c>
      <c r="U302" s="39" t="str">
        <f aca="false">IF(LEFT($B302,4)="_Mil","",_xlfn.IFNA(ROUND(INDEX(Spectrum!$N:$N,MATCH(RIGHT($B302,13)&amp;"|"&amp;$C302&amp;"|"&amp;$D302&amp;"|"&amp;U$14&amp;"|"&amp;"CY2023Q3",Spectrum!$R:$R,0)),0),""))</f>
        <v/>
      </c>
      <c r="V302" s="10" t="n">
        <f aca="false">IF(LEFT($B302,4)="_Mil","",_xlfn.IFNA(ROUND(INDEX(Spectrum!$N:$N,MATCH(RIGHT($B302,13)&amp;"|"&amp;$C302&amp;"|"&amp;$D302&amp;"|"&amp;V$14&amp;"|"&amp;"CY2023Q3",Spectrum!$R:$R,0)),0),""))</f>
        <v>1933</v>
      </c>
      <c r="W302" s="113" t="n">
        <f aca="false">IF(LEFT($B302,4)="_Mil","",_xlfn.IFNA(INDEX(Spectrum!$N:$N,MATCH(RIGHT($B302,13)&amp;"|"&amp;$C302&amp;"|"&amp;$D302&amp;"|"&amp;W$14&amp;"|"&amp;"CY2023Q3",Spectrum!$R:$R,0)),""))</f>
        <v>1194</v>
      </c>
      <c r="X302" s="39" t="n">
        <f aca="false">IF(LEFT($B302,4)="_Mil","",_xlfn.IFNA(ROUND(INDEX(Spectrum!$N:$N,MATCH(RIGHT($B302,13)&amp;"|"&amp;$C302&amp;"|"&amp;$D302&amp;"|"&amp;X$14&amp;"|"&amp;"CY2023Q3",Spectrum!$R:$R,0)),0),""))</f>
        <v>924</v>
      </c>
      <c r="Y302" s="88" t="str">
        <f aca="false">IF(OR(SUM($U302)=0,LEFT($B302,4)="_Mil"),"",SUM($X302)/$U302)</f>
        <v/>
      </c>
      <c r="Z302" s="39" t="n">
        <f aca="false">IF(LEFT($B302,4)="_Mil","",_xlfn.IFNA(ROUND(INDEX(Spectrum!$N:$N,MATCH(RIGHT($B302,13)&amp;"|"&amp;$C302&amp;"|"&amp;$D302&amp;"|"&amp;Z$14&amp;"|"&amp;"CY2023Q3",Spectrum!$R:$R,0)),0),""))</f>
        <v>856</v>
      </c>
      <c r="AA302" s="88" t="n">
        <f aca="false">IF(LEFT($B302,4)="_Mil","",IFERROR(1/(1/INDEX(Spectrum!$N:$N,MATCH(RIGHT($B302,13)&amp;"|"&amp;$C302&amp;"|"&amp;$D302&amp;"|"&amp;AA$14&amp;"|"&amp;"CY2023Q3",Spectrum!$R:$R,0))),IF(SUM($U302)=0,"",SUM($Z302)/$U302)))</f>
        <v>1565</v>
      </c>
      <c r="AB302" s="88" t="n">
        <f aca="false">IF(OR(LEFT($B302,4)="_Mil",SUM($X302)=0),"",SUM($Z302)/$X302)</f>
        <v>0.926406926406926</v>
      </c>
      <c r="AC302" s="10" t="n">
        <f aca="false">IF(LEFT($B302,4)="_Mil","",_xlfn.IFNA(ROUND(INDEX(Spectrum!$N:$N,MATCH(RIGHT($B302,13)&amp;"|"&amp;$C302&amp;"|"&amp;$D302&amp;"|"&amp;AC$14&amp;"|"&amp;"CY2023Q3",Spectrum!$R:$R,0)),0),""))</f>
        <v>763</v>
      </c>
      <c r="AD302" s="10" t="str">
        <f aca="false">IF(LEFT($B302,4)="_Mil","",_xlfn.IFNA(ROUND(INDEX(Spectrum!$N:$N,MATCH(RIGHT($B302,13)&amp;"|"&amp;$C302&amp;"|"&amp;$D302&amp;"|"&amp;AD$14&amp;"|"&amp;"CY2023Q3",Spectrum!$R:$R,0)),0),""))</f>
        <v/>
      </c>
      <c r="AE302" s="88" t="n">
        <f aca="false">IF(OR(LEFT($B302,4)="_Mil",SUM($Z302)=0),"",SUM($AD302)/$Z302)</f>
        <v>0</v>
      </c>
      <c r="AF302" s="39" t="str">
        <f aca="false">IF(LEFT($B302,4)="_Mil","",_xlfn.IFNA(ROUND(INDEX(Spectrum!$N:$N,MATCH(RIGHT($B302,13)&amp;"|"&amp;$C302&amp;"|"&amp;$D302&amp;"|"&amp;AF$14&amp;"|"&amp;"CY2023Q3",Spectrum!$R:$R,0)),0),""))</f>
        <v/>
      </c>
      <c r="AG302" s="88" t="str">
        <f aca="false">IF(OR(LEFT($B302,4)="_Mil",SUM($AD302)=0),"",SUM($AF302)/$AD302)</f>
        <v/>
      </c>
      <c r="AH302" s="86" t="str">
        <f aca="false">IF(LEFT($B302,4)="_Mil","",_xlfn.IFNA(INDEX(Spectrum!$N:$N,MATCH(RIGHT($B302,13)&amp;"|"&amp;$C302&amp;"|"&amp;$D302&amp;"|"&amp;AH$14&amp;"|"&amp;"CY2023Q3",Spectrum!$R:$R,0)),""))</f>
        <v/>
      </c>
      <c r="AI302" s="10" t="str">
        <f aca="false">IF(LEFT($B302,4)="_Mil","",_xlfn.IFNA(ROUND(INDEX(Spectrum!$N:$N,MATCH(RIGHT($B302,13)&amp;"|"&amp;$C302&amp;"|"&amp;$D302&amp;"|"&amp;AI$14&amp;"|"&amp;"CY2023Q3",Spectrum!$R:$R,0)),0),""))</f>
        <v/>
      </c>
      <c r="AJ302" s="39" t="n">
        <f aca="false">IF(LEFT($B302,4)="_Mil","",_xlfn.IFNA(ROUND(INDEX(Spectrum!$N:$N,MATCH(RIGHT($B302,13)&amp;"|"&amp;$C302&amp;"|"&amp;$D302&amp;"|"&amp;AI$14&amp;"|"&amp;"CY2023Q3",Spectrum!$R:$R,0)),0),SUM($U302)+SUM($AI302)))</f>
        <v>0</v>
      </c>
      <c r="AK302" s="10" t="str">
        <f aca="false">IF(LEFT($B302,4)="_Mil","",_xlfn.IFNA(ROUND(INDEX(Spectrum!$N:$N,MATCH(RIGHT($B302,13)&amp;"|"&amp;$C302&amp;"|"&amp;$D302&amp;"|"&amp;AK$14&amp;"|"&amp;"CY2023Q3",Spectrum!$R:$R,0)),0),""))</f>
        <v/>
      </c>
      <c r="AL302" s="88" t="n">
        <f aca="false">IF(OR(LEFT($B302,4)="_Mil",$C302="&lt;01"),"",MAX(SUM($AA302),90%))</f>
        <v>1565</v>
      </c>
      <c r="AM302" s="10" t="n">
        <f aca="false">IF(OR(LEFT($B302,4)="_Mil",$C302="&lt;01"),"",ROUND(SUM($AJ302)*SUM($AL302),0))</f>
        <v>0</v>
      </c>
      <c r="AN302" s="10" t="str">
        <f aca="false">IF($C302="&lt;01",ROUND(INDEX(EID!$P:$P,MATCH($B302,EID!$B:$B,0))/2,0),"")</f>
        <v/>
      </c>
      <c r="AO302" s="10" t="n">
        <f aca="false">IF($C302="&lt;01",SUM($AN302),ROUND(SUM($AM302)*SUM($O302)/IF(SUM($Z302)=0,1,$Z302),0))</f>
        <v>0</v>
      </c>
      <c r="AP302" s="39" t="n">
        <f aca="false">IF(OR($F302="",$C302="&lt;01"),$AO302,$F302)</f>
        <v>0</v>
      </c>
      <c r="AQ302" s="39" t="n">
        <f aca="false">IF(LEFT($B302,4)="_Mil","",IF(SUM($AP302)=0,SUM($Z302),IF(OR(SUM($Z302)=0,SUM($O302)=0),MAX($AP302,$Z302),$AP302*$Z302/$O302)))</f>
        <v>856</v>
      </c>
      <c r="AR302" s="88" t="str">
        <f aca="false">IF(OR(LEFT($B302,4)="_Mil",SUM($AJ302)=0),"",SUM($AQ302)/$AJ302)</f>
        <v/>
      </c>
      <c r="AS302" s="88" t="n">
        <f aca="false">IF($C302="&lt;01","",98%)</f>
        <v>0.98</v>
      </c>
      <c r="AT302" s="88" t="n">
        <f aca="false">IF($C302="&lt;01","",98%)</f>
        <v>0.98</v>
      </c>
      <c r="AU302" s="10" t="n">
        <f aca="false">IF($C302="&lt;01","",SUM($AP302)-SUM($O302))</f>
        <v>0</v>
      </c>
      <c r="AV302" s="10" t="n">
        <f aca="false">IF($C302="&lt;01",ROUND(INDEX(EID!$N:$N,MATCH($B302,EID!$B:$B,0))/2,0),IF(SUM($AT302)=0,"",ROUND((SUM($AP302)-(SUM($O302)*SUM($AS302)))/$AT302,0)))</f>
        <v>0</v>
      </c>
      <c r="AW302" s="88" t="n">
        <f aca="false">IF($C302="&lt;01","",100%)</f>
        <v>1</v>
      </c>
      <c r="AX302" s="39" t="n">
        <f aca="false">IF($C302="&lt;01",SUM($AV302),ROUND(SUM($AV302)*SUM($AW302),0))</f>
        <v>0</v>
      </c>
      <c r="AY302" s="114" t="n">
        <f aca="false">IF($C302="&lt;01","",70%)</f>
        <v>0.7</v>
      </c>
      <c r="AZ302" s="91" t="n">
        <f aca="false">IF($C302="&lt;01",ROUND(INDEX(EID!$R:$R,MATCH($B302,EID!$B:$B,0))/2,0),ROUND(SUM($O302)+(SUM($AV302)*$AY302),0))</f>
        <v>0</v>
      </c>
      <c r="BA302" s="87" t="n">
        <f aca="false">IF($C302="&lt;01","",95%)</f>
        <v>0.95</v>
      </c>
      <c r="BB302" s="5" t="n">
        <f aca="false">IF($C302="&lt;01",ROUND(INDEX(EID!$T:$T,MATCH($B302,EID!$B:$B,0))/2,0),ROUND($AZ302*$BA302,0))</f>
        <v>0</v>
      </c>
      <c r="BC302" s="91" t="n">
        <f aca="false">IF(LEFT($B302,4)="_Mil","",IF(SUM($BB302)=0,SUM($AD302),IF(OR(SUM($AP302)=0,SUM($AQ302)=0),MAX($BB302,$AD302),ROUND($BB302*$AQ302/$AP302,0))))</f>
        <v>0</v>
      </c>
      <c r="BD302" s="88" t="n">
        <f aca="false">IF($C302="&lt;01","",95%)</f>
        <v>0.95</v>
      </c>
      <c r="BE302" s="39" t="n">
        <f aca="false">IF($C302="&lt;01",ROUND(INDEX(EID!$V:$V,MATCH($B302,EID!$B:$B,0))/2,0),ROUND($BD302*$BB302,0))</f>
        <v>0</v>
      </c>
      <c r="BF302" s="39" t="n">
        <f aca="false">IF(LEFT($B302,4)="_Mil","",IF(SUM($BE302)=0,SUM($AF302),IF(OR(SUM($AP302)=0,SUM($AQ302)=0),MAX($BE302,$AF302),ROUND($BE302*$AQ302/$AP302,0))))</f>
        <v>0</v>
      </c>
      <c r="BG302" s="114" t="n">
        <f aca="false">IF($C302="&lt;01","",95%)</f>
        <v>0.95</v>
      </c>
      <c r="BH302" s="5" t="n">
        <f aca="false">IF($C302="&lt;01",ROUND(INDEX(EID!$L:$L,MATCH($B302,EID!$B:$B,0)),0)/2,IF(SUM($BG302)=0,"",ROUND($AX302/$BG302,0)))</f>
        <v>0</v>
      </c>
    </row>
    <row r="303" customFormat="false" ht="15" hidden="false" customHeight="false" outlineLevel="0" collapsed="false">
      <c r="A303" s="0" t="str">
        <f aca="false">INDEX(Prioritization!$D:$D,MATCH($B303,Prioritization!$A:$A,0))</f>
        <v>1 - Scale-up: Saturation</v>
      </c>
      <c r="B303" s="0" t="s">
        <v>214</v>
      </c>
      <c r="C303" s="0" t="s">
        <v>366</v>
      </c>
      <c r="D303" s="0" t="s">
        <v>30</v>
      </c>
      <c r="E303" s="0" t="str">
        <f aca="false">$B303&amp;"|"&amp;$C303&amp;"|"&amp;$D303</f>
        <v>Machinga District [TYnMSwzko3z]|25-34|Female</v>
      </c>
      <c r="F303" s="10"/>
      <c r="G303" s="10"/>
      <c r="H303" s="10"/>
      <c r="I303" s="10"/>
      <c r="J303" s="10"/>
      <c r="K303" s="10"/>
      <c r="L303" s="10"/>
      <c r="M303" s="10"/>
      <c r="N303" s="10"/>
      <c r="O303" s="10" t="str">
        <f aca="false">IFERROR(1/(1/MAX($I303,$N303)),"")</f>
        <v/>
      </c>
      <c r="P303" s="10"/>
      <c r="Q303" s="10"/>
      <c r="R303" s="10" t="str">
        <f aca="false">IF(AND(SUM($I303)=0,SUM($O303)=0),"",SUM($O303)-$I303)</f>
        <v/>
      </c>
      <c r="S303" s="10" t="n">
        <f aca="false">IF(LEFT($B303,4)="_Mil","",_xlfn.IFNA(ROUND(INDEX(Spectrum!$N:$N,MATCH(RIGHT($B303,13)&amp;"|"&amp;$C303&amp;"|"&amp;$D303&amp;"|"&amp;S$14&amp;"|"&amp;"CY2022Q4",Spectrum!$R:$R,0)),0),""))</f>
        <v>1585</v>
      </c>
      <c r="T303" s="39" t="n">
        <f aca="false">IF(LEFT($B303,4)="_Mil","",_xlfn.IFNA(ROUND(INDEX(Spectrum!$N:$N,MATCH(RIGHT($B303,13)&amp;"|"&amp;$C303&amp;"|"&amp;$D303&amp;"|"&amp;T$14&amp;"|"&amp;"CY2023Q3",Spectrum!$R:$R,0)),0),""))</f>
        <v>1209</v>
      </c>
      <c r="U303" s="39" t="str">
        <f aca="false">IF(LEFT($B303,4)="_Mil","",_xlfn.IFNA(ROUND(INDEX(Spectrum!$N:$N,MATCH(RIGHT($B303,13)&amp;"|"&amp;$C303&amp;"|"&amp;$D303&amp;"|"&amp;U$14&amp;"|"&amp;"CY2023Q3",Spectrum!$R:$R,0)),0),""))</f>
        <v/>
      </c>
      <c r="V303" s="10" t="n">
        <f aca="false">IF(LEFT($B303,4)="_Mil","",_xlfn.IFNA(ROUND(INDEX(Spectrum!$N:$N,MATCH(RIGHT($B303,13)&amp;"|"&amp;$C303&amp;"|"&amp;$D303&amp;"|"&amp;V$14&amp;"|"&amp;"CY2023Q3",Spectrum!$R:$R,0)),0),""))</f>
        <v>1098</v>
      </c>
      <c r="W303" s="113" t="n">
        <f aca="false">IF(LEFT($B303,4)="_Mil","",_xlfn.IFNA(INDEX(Spectrum!$N:$N,MATCH(RIGHT($B303,13)&amp;"|"&amp;$C303&amp;"|"&amp;$D303&amp;"|"&amp;W$14&amp;"|"&amp;"CY2023Q3",Spectrum!$R:$R,0)),""))</f>
        <v>535</v>
      </c>
      <c r="X303" s="39" t="n">
        <f aca="false">IF(LEFT($B303,4)="_Mil","",_xlfn.IFNA(ROUND(INDEX(Spectrum!$N:$N,MATCH(RIGHT($B303,13)&amp;"|"&amp;$C303&amp;"|"&amp;$D303&amp;"|"&amp;X$14&amp;"|"&amp;"CY2023Q3",Spectrum!$R:$R,0)),0),""))</f>
        <v>1693</v>
      </c>
      <c r="Y303" s="88" t="str">
        <f aca="false">IF(OR(SUM($U303)=0,LEFT($B303,4)="_Mil"),"",SUM($X303)/$U303)</f>
        <v/>
      </c>
      <c r="Z303" s="39" t="n">
        <f aca="false">IF(LEFT($B303,4)="_Mil","",_xlfn.IFNA(ROUND(INDEX(Spectrum!$N:$N,MATCH(RIGHT($B303,13)&amp;"|"&amp;$C303&amp;"|"&amp;$D303&amp;"|"&amp;Z$14&amp;"|"&amp;"CY2023Q3",Spectrum!$R:$R,0)),0),""))</f>
        <v>1140</v>
      </c>
      <c r="AA303" s="88" t="n">
        <f aca="false">IF(LEFT($B303,4)="_Mil","",IFERROR(1/(1/INDEX(Spectrum!$N:$N,MATCH(RIGHT($B303,13)&amp;"|"&amp;$C303&amp;"|"&amp;$D303&amp;"|"&amp;AA$14&amp;"|"&amp;"CY2023Q3",Spectrum!$R:$R,0))),IF(SUM($U303)=0,"",SUM($Z303)/$U303)))</f>
        <v>742</v>
      </c>
      <c r="AB303" s="88" t="n">
        <f aca="false">IF(OR(LEFT($B303,4)="_Mil",SUM($X303)=0),"",SUM($Z303)/$X303)</f>
        <v>0.67336089781453</v>
      </c>
      <c r="AC303" s="10" t="n">
        <f aca="false">IF(LEFT($B303,4)="_Mil","",_xlfn.IFNA(ROUND(INDEX(Spectrum!$N:$N,MATCH(RIGHT($B303,13)&amp;"|"&amp;$C303&amp;"|"&amp;$D303&amp;"|"&amp;AC$14&amp;"|"&amp;"CY2023Q3",Spectrum!$R:$R,0)),0),""))</f>
        <v>1619</v>
      </c>
      <c r="AD303" s="10" t="str">
        <f aca="false">IF(LEFT($B303,4)="_Mil","",_xlfn.IFNA(ROUND(INDEX(Spectrum!$N:$N,MATCH(RIGHT($B303,13)&amp;"|"&amp;$C303&amp;"|"&amp;$D303&amp;"|"&amp;AD$14&amp;"|"&amp;"CY2023Q3",Spectrum!$R:$R,0)),0),""))</f>
        <v/>
      </c>
      <c r="AE303" s="88" t="n">
        <f aca="false">IF(OR(LEFT($B303,4)="_Mil",SUM($Z303)=0),"",SUM($AD303)/$Z303)</f>
        <v>0</v>
      </c>
      <c r="AF303" s="39" t="str">
        <f aca="false">IF(LEFT($B303,4)="_Mil","",_xlfn.IFNA(ROUND(INDEX(Spectrum!$N:$N,MATCH(RIGHT($B303,13)&amp;"|"&amp;$C303&amp;"|"&amp;$D303&amp;"|"&amp;AF$14&amp;"|"&amp;"CY2023Q3",Spectrum!$R:$R,0)),0),""))</f>
        <v/>
      </c>
      <c r="AG303" s="88" t="str">
        <f aca="false">IF(OR(LEFT($B303,4)="_Mil",SUM($AD303)=0),"",SUM($AF303)/$AD303)</f>
        <v/>
      </c>
      <c r="AH303" s="86" t="str">
        <f aca="false">IF(LEFT($B303,4)="_Mil","",_xlfn.IFNA(INDEX(Spectrum!$N:$N,MATCH(RIGHT($B303,13)&amp;"|"&amp;$C303&amp;"|"&amp;$D303&amp;"|"&amp;AH$14&amp;"|"&amp;"CY2023Q3",Spectrum!$R:$R,0)),""))</f>
        <v/>
      </c>
      <c r="AI303" s="10" t="str">
        <f aca="false">IF(LEFT($B303,4)="_Mil","",_xlfn.IFNA(ROUND(INDEX(Spectrum!$N:$N,MATCH(RIGHT($B303,13)&amp;"|"&amp;$C303&amp;"|"&amp;$D303&amp;"|"&amp;AI$14&amp;"|"&amp;"CY2023Q3",Spectrum!$R:$R,0)),0),""))</f>
        <v/>
      </c>
      <c r="AJ303" s="39" t="n">
        <f aca="false">IF(LEFT($B303,4)="_Mil","",_xlfn.IFNA(ROUND(INDEX(Spectrum!$N:$N,MATCH(RIGHT($B303,13)&amp;"|"&amp;$C303&amp;"|"&amp;$D303&amp;"|"&amp;AI$14&amp;"|"&amp;"CY2023Q3",Spectrum!$R:$R,0)),0),SUM($U303)+SUM($AI303)))</f>
        <v>0</v>
      </c>
      <c r="AK303" s="10" t="str">
        <f aca="false">IF(LEFT($B303,4)="_Mil","",_xlfn.IFNA(ROUND(INDEX(Spectrum!$N:$N,MATCH(RIGHT($B303,13)&amp;"|"&amp;$C303&amp;"|"&amp;$D303&amp;"|"&amp;AK$14&amp;"|"&amp;"CY2023Q3",Spectrum!$R:$R,0)),0),""))</f>
        <v/>
      </c>
      <c r="AL303" s="88" t="n">
        <f aca="false">IF(OR(LEFT($B303,4)="_Mil",$C303="&lt;01"),"",MAX(SUM($AA303),90%))</f>
        <v>742</v>
      </c>
      <c r="AM303" s="10" t="n">
        <f aca="false">IF(OR(LEFT($B303,4)="_Mil",$C303="&lt;01"),"",ROUND(SUM($AJ303)*SUM($AL303),0))</f>
        <v>0</v>
      </c>
      <c r="AN303" s="10" t="str">
        <f aca="false">IF($C303="&lt;01",ROUND(INDEX(EID!$P:$P,MATCH($B303,EID!$B:$B,0))/2,0),"")</f>
        <v/>
      </c>
      <c r="AO303" s="10" t="n">
        <f aca="false">IF($C303="&lt;01",SUM($AN303),ROUND(SUM($AM303)*SUM($O303)/IF(SUM($Z303)=0,1,$Z303),0))</f>
        <v>0</v>
      </c>
      <c r="AP303" s="39" t="n">
        <f aca="false">IF(OR($F303="",$C303="&lt;01"),$AO303,$F303)</f>
        <v>0</v>
      </c>
      <c r="AQ303" s="39" t="n">
        <f aca="false">IF(LEFT($B303,4)="_Mil","",IF(SUM($AP303)=0,SUM($Z303),IF(OR(SUM($Z303)=0,SUM($O303)=0),MAX($AP303,$Z303),$AP303*$Z303/$O303)))</f>
        <v>1140</v>
      </c>
      <c r="AR303" s="88" t="str">
        <f aca="false">IF(OR(LEFT($B303,4)="_Mil",SUM($AJ303)=0),"",SUM($AQ303)/$AJ303)</f>
        <v/>
      </c>
      <c r="AS303" s="88" t="n">
        <f aca="false">IF($C303="&lt;01","",98%)</f>
        <v>0.98</v>
      </c>
      <c r="AT303" s="88" t="n">
        <f aca="false">IF($C303="&lt;01","",98%)</f>
        <v>0.98</v>
      </c>
      <c r="AU303" s="10" t="n">
        <f aca="false">IF($C303="&lt;01","",SUM($AP303)-SUM($O303))</f>
        <v>0</v>
      </c>
      <c r="AV303" s="10" t="n">
        <f aca="false">IF($C303="&lt;01",ROUND(INDEX(EID!$N:$N,MATCH($B303,EID!$B:$B,0))/2,0),IF(SUM($AT303)=0,"",ROUND((SUM($AP303)-(SUM($O303)*SUM($AS303)))/$AT303,0)))</f>
        <v>0</v>
      </c>
      <c r="AW303" s="88" t="n">
        <f aca="false">IF($C303="&lt;01","",100%)</f>
        <v>1</v>
      </c>
      <c r="AX303" s="39" t="n">
        <f aca="false">IF($C303="&lt;01",SUM($AV303),ROUND(SUM($AV303)*SUM($AW303),0))</f>
        <v>0</v>
      </c>
      <c r="AY303" s="114" t="n">
        <f aca="false">IF($C303="&lt;01","",70%)</f>
        <v>0.7</v>
      </c>
      <c r="AZ303" s="91" t="n">
        <f aca="false">IF($C303="&lt;01",ROUND(INDEX(EID!$R:$R,MATCH($B303,EID!$B:$B,0))/2,0),ROUND(SUM($O303)+(SUM($AV303)*$AY303),0))</f>
        <v>0</v>
      </c>
      <c r="BA303" s="87" t="n">
        <f aca="false">IF($C303="&lt;01","",95%)</f>
        <v>0.95</v>
      </c>
      <c r="BB303" s="5" t="n">
        <f aca="false">IF($C303="&lt;01",ROUND(INDEX(EID!$T:$T,MATCH($B303,EID!$B:$B,0))/2,0),ROUND($AZ303*$BA303,0))</f>
        <v>0</v>
      </c>
      <c r="BC303" s="91" t="n">
        <f aca="false">IF(LEFT($B303,4)="_Mil","",IF(SUM($BB303)=0,SUM($AD303),IF(OR(SUM($AP303)=0,SUM($AQ303)=0),MAX($BB303,$AD303),ROUND($BB303*$AQ303/$AP303,0))))</f>
        <v>0</v>
      </c>
      <c r="BD303" s="88" t="n">
        <f aca="false">IF($C303="&lt;01","",95%)</f>
        <v>0.95</v>
      </c>
      <c r="BE303" s="39" t="n">
        <f aca="false">IF($C303="&lt;01",ROUND(INDEX(EID!$V:$V,MATCH($B303,EID!$B:$B,0))/2,0),ROUND($BD303*$BB303,0))</f>
        <v>0</v>
      </c>
      <c r="BF303" s="39" t="n">
        <f aca="false">IF(LEFT($B303,4)="_Mil","",IF(SUM($BE303)=0,SUM($AF303),IF(OR(SUM($AP303)=0,SUM($AQ303)=0),MAX($BE303,$AF303),ROUND($BE303*$AQ303/$AP303,0))))</f>
        <v>0</v>
      </c>
      <c r="BG303" s="114" t="n">
        <f aca="false">IF($C303="&lt;01","",95%)</f>
        <v>0.95</v>
      </c>
      <c r="BH303" s="5" t="n">
        <f aca="false">IF($C303="&lt;01",ROUND(INDEX(EID!$L:$L,MATCH($B303,EID!$B:$B,0)),0)/2,IF(SUM($BG303)=0,"",ROUND($AX303/$BG303,0)))</f>
        <v>0</v>
      </c>
    </row>
    <row r="304" customFormat="false" ht="15" hidden="false" customHeight="false" outlineLevel="0" collapsed="false">
      <c r="A304" s="0" t="str">
        <f aca="false">INDEX(Prioritization!$D:$D,MATCH($B304,Prioritization!$A:$A,0))</f>
        <v>1 - Scale-up: Saturation</v>
      </c>
      <c r="B304" s="0" t="s">
        <v>214</v>
      </c>
      <c r="C304" s="0" t="s">
        <v>366</v>
      </c>
      <c r="D304" s="0" t="s">
        <v>48</v>
      </c>
      <c r="E304" s="0" t="str">
        <f aca="false">$B304&amp;"|"&amp;$C304&amp;"|"&amp;$D304</f>
        <v>Machinga District [TYnMSwzko3z]|25-34|Male</v>
      </c>
      <c r="F304" s="10"/>
      <c r="G304" s="10"/>
      <c r="H304" s="10"/>
      <c r="I304" s="10"/>
      <c r="J304" s="10"/>
      <c r="K304" s="10"/>
      <c r="L304" s="10"/>
      <c r="M304" s="10"/>
      <c r="N304" s="10"/>
      <c r="O304" s="10" t="str">
        <f aca="false">IFERROR(1/(1/MAX($I304,$N304)),"")</f>
        <v/>
      </c>
      <c r="P304" s="10"/>
      <c r="Q304" s="10"/>
      <c r="R304" s="10" t="str">
        <f aca="false">IF(AND(SUM($I304)=0,SUM($O304)=0),"",SUM($O304)-$I304)</f>
        <v/>
      </c>
      <c r="S304" s="10" t="n">
        <f aca="false">IF(LEFT($B304,4)="_Mil","",_xlfn.IFNA(ROUND(INDEX(Spectrum!$N:$N,MATCH(RIGHT($B304,13)&amp;"|"&amp;$C304&amp;"|"&amp;$D304&amp;"|"&amp;S$14&amp;"|"&amp;"CY2022Q4",Spectrum!$R:$R,0)),0),""))</f>
        <v>1653</v>
      </c>
      <c r="T304" s="39" t="n">
        <f aca="false">IF(LEFT($B304,4)="_Mil","",_xlfn.IFNA(ROUND(INDEX(Spectrum!$N:$N,MATCH(RIGHT($B304,13)&amp;"|"&amp;$C304&amp;"|"&amp;$D304&amp;"|"&amp;T$14&amp;"|"&amp;"CY2023Q3",Spectrum!$R:$R,0)),0),""))</f>
        <v>1565</v>
      </c>
      <c r="U304" s="39" t="str">
        <f aca="false">IF(LEFT($B304,4)="_Mil","",_xlfn.IFNA(ROUND(INDEX(Spectrum!$N:$N,MATCH(RIGHT($B304,13)&amp;"|"&amp;$C304&amp;"|"&amp;$D304&amp;"|"&amp;U$14&amp;"|"&amp;"CY2023Q3",Spectrum!$R:$R,0)),0),""))</f>
        <v/>
      </c>
      <c r="V304" s="10" t="n">
        <f aca="false">IF(LEFT($B304,4)="_Mil","",_xlfn.IFNA(ROUND(INDEX(Spectrum!$N:$N,MATCH(RIGHT($B304,13)&amp;"|"&amp;$C304&amp;"|"&amp;$D304&amp;"|"&amp;V$14&amp;"|"&amp;"CY2023Q3",Spectrum!$R:$R,0)),0),""))</f>
        <v>1766</v>
      </c>
      <c r="W304" s="113" t="n">
        <f aca="false">IF(LEFT($B304,4)="_Mil","",_xlfn.IFNA(INDEX(Spectrum!$N:$N,MATCH(RIGHT($B304,13)&amp;"|"&amp;$C304&amp;"|"&amp;$D304&amp;"|"&amp;W$14&amp;"|"&amp;"CY2023Q3",Spectrum!$R:$R,0)),""))</f>
        <v>1382</v>
      </c>
      <c r="X304" s="39" t="n">
        <f aca="false">IF(LEFT($B304,4)="_Mil","",_xlfn.IFNA(ROUND(INDEX(Spectrum!$N:$N,MATCH(RIGHT($B304,13)&amp;"|"&amp;$C304&amp;"|"&amp;$D304&amp;"|"&amp;X$14&amp;"|"&amp;"CY2023Q3",Spectrum!$R:$R,0)),0),""))</f>
        <v>1047</v>
      </c>
      <c r="Y304" s="88" t="str">
        <f aca="false">IF(OR(SUM($U304)=0,LEFT($B304,4)="_Mil"),"",SUM($X304)/$U304)</f>
        <v/>
      </c>
      <c r="Z304" s="39" t="n">
        <f aca="false">IF(LEFT($B304,4)="_Mil","",_xlfn.IFNA(ROUND(INDEX(Spectrum!$N:$N,MATCH(RIGHT($B304,13)&amp;"|"&amp;$C304&amp;"|"&amp;$D304&amp;"|"&amp;Z$14&amp;"|"&amp;"CY2023Q3",Spectrum!$R:$R,0)),0),""))</f>
        <v>575</v>
      </c>
      <c r="AA304" s="88" t="n">
        <f aca="false">IF(LEFT($B304,4)="_Mil","",IFERROR(1/(1/INDEX(Spectrum!$N:$N,MATCH(RIGHT($B304,13)&amp;"|"&amp;$C304&amp;"|"&amp;$D304&amp;"|"&amp;AA$14&amp;"|"&amp;"CY2023Q3",Spectrum!$R:$R,0))),IF(SUM($U304)=0,"",SUM($Z304)/$U304)))</f>
        <v>1897</v>
      </c>
      <c r="AB304" s="88" t="n">
        <f aca="false">IF(OR(LEFT($B304,4)="_Mil",SUM($X304)=0),"",SUM($Z304)/$X304)</f>
        <v>0.549188156638013</v>
      </c>
      <c r="AC304" s="10" t="n">
        <f aca="false">IF(LEFT($B304,4)="_Mil","",_xlfn.IFNA(ROUND(INDEX(Spectrum!$N:$N,MATCH(RIGHT($B304,13)&amp;"|"&amp;$C304&amp;"|"&amp;$D304&amp;"|"&amp;AC$14&amp;"|"&amp;"CY2023Q3",Spectrum!$R:$R,0)),0),""))</f>
        <v>519</v>
      </c>
      <c r="AD304" s="10" t="str">
        <f aca="false">IF(LEFT($B304,4)="_Mil","",_xlfn.IFNA(ROUND(INDEX(Spectrum!$N:$N,MATCH(RIGHT($B304,13)&amp;"|"&amp;$C304&amp;"|"&amp;$D304&amp;"|"&amp;AD$14&amp;"|"&amp;"CY2023Q3",Spectrum!$R:$R,0)),0),""))</f>
        <v/>
      </c>
      <c r="AE304" s="88" t="n">
        <f aca="false">IF(OR(LEFT($B304,4)="_Mil",SUM($Z304)=0),"",SUM($AD304)/$Z304)</f>
        <v>0</v>
      </c>
      <c r="AF304" s="39" t="str">
        <f aca="false">IF(LEFT($B304,4)="_Mil","",_xlfn.IFNA(ROUND(INDEX(Spectrum!$N:$N,MATCH(RIGHT($B304,13)&amp;"|"&amp;$C304&amp;"|"&amp;$D304&amp;"|"&amp;AF$14&amp;"|"&amp;"CY2023Q3",Spectrum!$R:$R,0)),0),""))</f>
        <v/>
      </c>
      <c r="AG304" s="88" t="str">
        <f aca="false">IF(OR(LEFT($B304,4)="_Mil",SUM($AD304)=0),"",SUM($AF304)/$AD304)</f>
        <v/>
      </c>
      <c r="AH304" s="86" t="str">
        <f aca="false">IF(LEFT($B304,4)="_Mil","",_xlfn.IFNA(INDEX(Spectrum!$N:$N,MATCH(RIGHT($B304,13)&amp;"|"&amp;$C304&amp;"|"&amp;$D304&amp;"|"&amp;AH$14&amp;"|"&amp;"CY2023Q3",Spectrum!$R:$R,0)),""))</f>
        <v/>
      </c>
      <c r="AI304" s="10" t="str">
        <f aca="false">IF(LEFT($B304,4)="_Mil","",_xlfn.IFNA(ROUND(INDEX(Spectrum!$N:$N,MATCH(RIGHT($B304,13)&amp;"|"&amp;$C304&amp;"|"&amp;$D304&amp;"|"&amp;AI$14&amp;"|"&amp;"CY2023Q3",Spectrum!$R:$R,0)),0),""))</f>
        <v/>
      </c>
      <c r="AJ304" s="39" t="n">
        <f aca="false">IF(LEFT($B304,4)="_Mil","",_xlfn.IFNA(ROUND(INDEX(Spectrum!$N:$N,MATCH(RIGHT($B304,13)&amp;"|"&amp;$C304&amp;"|"&amp;$D304&amp;"|"&amp;AI$14&amp;"|"&amp;"CY2023Q3",Spectrum!$R:$R,0)),0),SUM($U304)+SUM($AI304)))</f>
        <v>0</v>
      </c>
      <c r="AK304" s="10" t="str">
        <f aca="false">IF(LEFT($B304,4)="_Mil","",_xlfn.IFNA(ROUND(INDEX(Spectrum!$N:$N,MATCH(RIGHT($B304,13)&amp;"|"&amp;$C304&amp;"|"&amp;$D304&amp;"|"&amp;AK$14&amp;"|"&amp;"CY2023Q3",Spectrum!$R:$R,0)),0),""))</f>
        <v/>
      </c>
      <c r="AL304" s="88" t="n">
        <f aca="false">IF(OR(LEFT($B304,4)="_Mil",$C304="&lt;01"),"",MAX(SUM($AA304),90%))</f>
        <v>1897</v>
      </c>
      <c r="AM304" s="10" t="n">
        <f aca="false">IF(OR(LEFT($B304,4)="_Mil",$C304="&lt;01"),"",ROUND(SUM($AJ304)*SUM($AL304),0))</f>
        <v>0</v>
      </c>
      <c r="AN304" s="10" t="str">
        <f aca="false">IF($C304="&lt;01",ROUND(INDEX(EID!$P:$P,MATCH($B304,EID!$B:$B,0))/2,0),"")</f>
        <v/>
      </c>
      <c r="AO304" s="10" t="n">
        <f aca="false">IF($C304="&lt;01",SUM($AN304),ROUND(SUM($AM304)*SUM($O304)/IF(SUM($Z304)=0,1,$Z304),0))</f>
        <v>0</v>
      </c>
      <c r="AP304" s="39" t="n">
        <f aca="false">IF(OR($F304="",$C304="&lt;01"),$AO304,$F304)</f>
        <v>0</v>
      </c>
      <c r="AQ304" s="39" t="n">
        <f aca="false">IF(LEFT($B304,4)="_Mil","",IF(SUM($AP304)=0,SUM($Z304),IF(OR(SUM($Z304)=0,SUM($O304)=0),MAX($AP304,$Z304),$AP304*$Z304/$O304)))</f>
        <v>575</v>
      </c>
      <c r="AR304" s="88" t="str">
        <f aca="false">IF(OR(LEFT($B304,4)="_Mil",SUM($AJ304)=0),"",SUM($AQ304)/$AJ304)</f>
        <v/>
      </c>
      <c r="AS304" s="88" t="n">
        <f aca="false">IF($C304="&lt;01","",98%)</f>
        <v>0.98</v>
      </c>
      <c r="AT304" s="88" t="n">
        <f aca="false">IF($C304="&lt;01","",98%)</f>
        <v>0.98</v>
      </c>
      <c r="AU304" s="10" t="n">
        <f aca="false">IF($C304="&lt;01","",SUM($AP304)-SUM($O304))</f>
        <v>0</v>
      </c>
      <c r="AV304" s="10" t="n">
        <f aca="false">IF($C304="&lt;01",ROUND(INDEX(EID!$N:$N,MATCH($B304,EID!$B:$B,0))/2,0),IF(SUM($AT304)=0,"",ROUND((SUM($AP304)-(SUM($O304)*SUM($AS304)))/$AT304,0)))</f>
        <v>0</v>
      </c>
      <c r="AW304" s="88" t="n">
        <f aca="false">IF($C304="&lt;01","",100%)</f>
        <v>1</v>
      </c>
      <c r="AX304" s="39" t="n">
        <f aca="false">IF($C304="&lt;01",SUM($AV304),ROUND(SUM($AV304)*SUM($AW304),0))</f>
        <v>0</v>
      </c>
      <c r="AY304" s="114" t="n">
        <f aca="false">IF($C304="&lt;01","",70%)</f>
        <v>0.7</v>
      </c>
      <c r="AZ304" s="91" t="n">
        <f aca="false">IF($C304="&lt;01",ROUND(INDEX(EID!$R:$R,MATCH($B304,EID!$B:$B,0))/2,0),ROUND(SUM($O304)+(SUM($AV304)*$AY304),0))</f>
        <v>0</v>
      </c>
      <c r="BA304" s="87" t="n">
        <f aca="false">IF($C304="&lt;01","",95%)</f>
        <v>0.95</v>
      </c>
      <c r="BB304" s="5" t="n">
        <f aca="false">IF($C304="&lt;01",ROUND(INDEX(EID!$T:$T,MATCH($B304,EID!$B:$B,0))/2,0),ROUND($AZ304*$BA304,0))</f>
        <v>0</v>
      </c>
      <c r="BC304" s="91" t="n">
        <f aca="false">IF(LEFT($B304,4)="_Mil","",IF(SUM($BB304)=0,SUM($AD304),IF(OR(SUM($AP304)=0,SUM($AQ304)=0),MAX($BB304,$AD304),ROUND($BB304*$AQ304/$AP304,0))))</f>
        <v>0</v>
      </c>
      <c r="BD304" s="88" t="n">
        <f aca="false">IF($C304="&lt;01","",95%)</f>
        <v>0.95</v>
      </c>
      <c r="BE304" s="39" t="n">
        <f aca="false">IF($C304="&lt;01",ROUND(INDEX(EID!$V:$V,MATCH($B304,EID!$B:$B,0))/2,0),ROUND($BD304*$BB304,0))</f>
        <v>0</v>
      </c>
      <c r="BF304" s="39" t="n">
        <f aca="false">IF(LEFT($B304,4)="_Mil","",IF(SUM($BE304)=0,SUM($AF304),IF(OR(SUM($AP304)=0,SUM($AQ304)=0),MAX($BE304,$AF304),ROUND($BE304*$AQ304/$AP304,0))))</f>
        <v>0</v>
      </c>
      <c r="BG304" s="114" t="n">
        <f aca="false">IF($C304="&lt;01","",95%)</f>
        <v>0.95</v>
      </c>
      <c r="BH304" s="5" t="n">
        <f aca="false">IF($C304="&lt;01",ROUND(INDEX(EID!$L:$L,MATCH($B304,EID!$B:$B,0)),0)/2,IF(SUM($BG304)=0,"",ROUND($AX304/$BG304,0)))</f>
        <v>0</v>
      </c>
    </row>
    <row r="305" customFormat="false" ht="15" hidden="false" customHeight="false" outlineLevel="0" collapsed="false">
      <c r="A305" s="0" t="str">
        <f aca="false">INDEX(Prioritization!$D:$D,MATCH($B305,Prioritization!$A:$A,0))</f>
        <v>1 - Scale-up: Saturation</v>
      </c>
      <c r="B305" s="0" t="s">
        <v>214</v>
      </c>
      <c r="C305" s="0" t="s">
        <v>367</v>
      </c>
      <c r="D305" s="0" t="s">
        <v>30</v>
      </c>
      <c r="E305" s="0" t="str">
        <f aca="false">$B305&amp;"|"&amp;$C305&amp;"|"&amp;$D305</f>
        <v>Machinga District [TYnMSwzko3z]|35-49|Female</v>
      </c>
      <c r="F305" s="10"/>
      <c r="G305" s="10"/>
      <c r="H305" s="10"/>
      <c r="I305" s="10"/>
      <c r="J305" s="10"/>
      <c r="K305" s="10"/>
      <c r="L305" s="10"/>
      <c r="M305" s="10"/>
      <c r="N305" s="10"/>
      <c r="O305" s="10" t="str">
        <f aca="false">IFERROR(1/(1/MAX($I305,$N305)),"")</f>
        <v/>
      </c>
      <c r="P305" s="10"/>
      <c r="Q305" s="10"/>
      <c r="R305" s="10" t="str">
        <f aca="false">IF(AND(SUM($I305)=0,SUM($O305)=0),"",SUM($O305)-$I305)</f>
        <v/>
      </c>
      <c r="S305" s="10" t="n">
        <f aca="false">IF(LEFT($B305,4)="_Mil","",_xlfn.IFNA(ROUND(INDEX(Spectrum!$N:$N,MATCH(RIGHT($B305,13)&amp;"|"&amp;$C305&amp;"|"&amp;$D305&amp;"|"&amp;S$14&amp;"|"&amp;"CY2022Q4",Spectrum!$R:$R,0)),0),""))</f>
        <v>1751</v>
      </c>
      <c r="T305" s="39" t="n">
        <f aca="false">IF(LEFT($B305,4)="_Mil","",_xlfn.IFNA(ROUND(INDEX(Spectrum!$N:$N,MATCH(RIGHT($B305,13)&amp;"|"&amp;$C305&amp;"|"&amp;$D305&amp;"|"&amp;T$14&amp;"|"&amp;"CY2023Q3",Spectrum!$R:$R,0)),0),""))</f>
        <v>1015</v>
      </c>
      <c r="U305" s="39" t="str">
        <f aca="false">IF(LEFT($B305,4)="_Mil","",_xlfn.IFNA(ROUND(INDEX(Spectrum!$N:$N,MATCH(RIGHT($B305,13)&amp;"|"&amp;$C305&amp;"|"&amp;$D305&amp;"|"&amp;U$14&amp;"|"&amp;"CY2023Q3",Spectrum!$R:$R,0)),0),""))</f>
        <v/>
      </c>
      <c r="V305" s="10" t="n">
        <f aca="false">IF(LEFT($B305,4)="_Mil","",_xlfn.IFNA(ROUND(INDEX(Spectrum!$N:$N,MATCH(RIGHT($B305,13)&amp;"|"&amp;$C305&amp;"|"&amp;$D305&amp;"|"&amp;V$14&amp;"|"&amp;"CY2023Q3",Spectrum!$R:$R,0)),0),""))</f>
        <v>1536</v>
      </c>
      <c r="W305" s="113" t="n">
        <f aca="false">IF(LEFT($B305,4)="_Mil","",_xlfn.IFNA(INDEX(Spectrum!$N:$N,MATCH(RIGHT($B305,13)&amp;"|"&amp;$C305&amp;"|"&amp;$D305&amp;"|"&amp;W$14&amp;"|"&amp;"CY2023Q3",Spectrum!$R:$R,0)),""))</f>
        <v>1940</v>
      </c>
      <c r="X305" s="39" t="n">
        <f aca="false">IF(LEFT($B305,4)="_Mil","",_xlfn.IFNA(ROUND(INDEX(Spectrum!$N:$N,MATCH(RIGHT($B305,13)&amp;"|"&amp;$C305&amp;"|"&amp;$D305&amp;"|"&amp;X$14&amp;"|"&amp;"CY2023Q3",Spectrum!$R:$R,0)),0),""))</f>
        <v>1208</v>
      </c>
      <c r="Y305" s="88" t="str">
        <f aca="false">IF(OR(SUM($U305)=0,LEFT($B305,4)="_Mil"),"",SUM($X305)/$U305)</f>
        <v/>
      </c>
      <c r="Z305" s="39" t="n">
        <f aca="false">IF(LEFT($B305,4)="_Mil","",_xlfn.IFNA(ROUND(INDEX(Spectrum!$N:$N,MATCH(RIGHT($B305,13)&amp;"|"&amp;$C305&amp;"|"&amp;$D305&amp;"|"&amp;Z$14&amp;"|"&amp;"CY2023Q3",Spectrum!$R:$R,0)),0),""))</f>
        <v>1271</v>
      </c>
      <c r="AA305" s="88" t="n">
        <f aca="false">IF(LEFT($B305,4)="_Mil","",IFERROR(1/(1/INDEX(Spectrum!$N:$N,MATCH(RIGHT($B305,13)&amp;"|"&amp;$C305&amp;"|"&amp;$D305&amp;"|"&amp;AA$14&amp;"|"&amp;"CY2023Q3",Spectrum!$R:$R,0))),IF(SUM($U305)=0,"",SUM($Z305)/$U305)))</f>
        <v>1197</v>
      </c>
      <c r="AB305" s="88" t="n">
        <f aca="false">IF(OR(LEFT($B305,4)="_Mil",SUM($X305)=0),"",SUM($Z305)/$X305)</f>
        <v>1.05215231788079</v>
      </c>
      <c r="AC305" s="10" t="n">
        <f aca="false">IF(LEFT($B305,4)="_Mil","",_xlfn.IFNA(ROUND(INDEX(Spectrum!$N:$N,MATCH(RIGHT($B305,13)&amp;"|"&amp;$C305&amp;"|"&amp;$D305&amp;"|"&amp;AC$14&amp;"|"&amp;"CY2023Q3",Spectrum!$R:$R,0)),0),""))</f>
        <v>784</v>
      </c>
      <c r="AD305" s="10" t="str">
        <f aca="false">IF(LEFT($B305,4)="_Mil","",_xlfn.IFNA(ROUND(INDEX(Spectrum!$N:$N,MATCH(RIGHT($B305,13)&amp;"|"&amp;$C305&amp;"|"&amp;$D305&amp;"|"&amp;AD$14&amp;"|"&amp;"CY2023Q3",Spectrum!$R:$R,0)),0),""))</f>
        <v/>
      </c>
      <c r="AE305" s="88" t="n">
        <f aca="false">IF(OR(LEFT($B305,4)="_Mil",SUM($Z305)=0),"",SUM($AD305)/$Z305)</f>
        <v>0</v>
      </c>
      <c r="AF305" s="39" t="str">
        <f aca="false">IF(LEFT($B305,4)="_Mil","",_xlfn.IFNA(ROUND(INDEX(Spectrum!$N:$N,MATCH(RIGHT($B305,13)&amp;"|"&amp;$C305&amp;"|"&amp;$D305&amp;"|"&amp;AF$14&amp;"|"&amp;"CY2023Q3",Spectrum!$R:$R,0)),0),""))</f>
        <v/>
      </c>
      <c r="AG305" s="88" t="str">
        <f aca="false">IF(OR(LEFT($B305,4)="_Mil",SUM($AD305)=0),"",SUM($AF305)/$AD305)</f>
        <v/>
      </c>
      <c r="AH305" s="86" t="str">
        <f aca="false">IF(LEFT($B305,4)="_Mil","",_xlfn.IFNA(INDEX(Spectrum!$N:$N,MATCH(RIGHT($B305,13)&amp;"|"&amp;$C305&amp;"|"&amp;$D305&amp;"|"&amp;AH$14&amp;"|"&amp;"CY2023Q3",Spectrum!$R:$R,0)),""))</f>
        <v/>
      </c>
      <c r="AI305" s="10" t="str">
        <f aca="false">IF(LEFT($B305,4)="_Mil","",_xlfn.IFNA(ROUND(INDEX(Spectrum!$N:$N,MATCH(RIGHT($B305,13)&amp;"|"&amp;$C305&amp;"|"&amp;$D305&amp;"|"&amp;AI$14&amp;"|"&amp;"CY2023Q3",Spectrum!$R:$R,0)),0),""))</f>
        <v/>
      </c>
      <c r="AJ305" s="39" t="n">
        <f aca="false">IF(LEFT($B305,4)="_Mil","",_xlfn.IFNA(ROUND(INDEX(Spectrum!$N:$N,MATCH(RIGHT($B305,13)&amp;"|"&amp;$C305&amp;"|"&amp;$D305&amp;"|"&amp;AI$14&amp;"|"&amp;"CY2023Q3",Spectrum!$R:$R,0)),0),SUM($U305)+SUM($AI305)))</f>
        <v>0</v>
      </c>
      <c r="AK305" s="10" t="str">
        <f aca="false">IF(LEFT($B305,4)="_Mil","",_xlfn.IFNA(ROUND(INDEX(Spectrum!$N:$N,MATCH(RIGHT($B305,13)&amp;"|"&amp;$C305&amp;"|"&amp;$D305&amp;"|"&amp;AK$14&amp;"|"&amp;"CY2023Q3",Spectrum!$R:$R,0)),0),""))</f>
        <v/>
      </c>
      <c r="AL305" s="88" t="n">
        <f aca="false">IF(OR(LEFT($B305,4)="_Mil",$C305="&lt;01"),"",MAX(SUM($AA305),90%))</f>
        <v>1197</v>
      </c>
      <c r="AM305" s="10" t="n">
        <f aca="false">IF(OR(LEFT($B305,4)="_Mil",$C305="&lt;01"),"",ROUND(SUM($AJ305)*SUM($AL305),0))</f>
        <v>0</v>
      </c>
      <c r="AN305" s="10" t="str">
        <f aca="false">IF($C305="&lt;01",ROUND(INDEX(EID!$P:$P,MATCH($B305,EID!$B:$B,0))/2,0),"")</f>
        <v/>
      </c>
      <c r="AO305" s="10" t="n">
        <f aca="false">IF($C305="&lt;01",SUM($AN305),ROUND(SUM($AM305)*SUM($O305)/IF(SUM($Z305)=0,1,$Z305),0))</f>
        <v>0</v>
      </c>
      <c r="AP305" s="39" t="n">
        <f aca="false">IF(OR($F305="",$C305="&lt;01"),$AO305,$F305)</f>
        <v>0</v>
      </c>
      <c r="AQ305" s="39" t="n">
        <f aca="false">IF(LEFT($B305,4)="_Mil","",IF(SUM($AP305)=0,SUM($Z305),IF(OR(SUM($Z305)=0,SUM($O305)=0),MAX($AP305,$Z305),$AP305*$Z305/$O305)))</f>
        <v>1271</v>
      </c>
      <c r="AR305" s="88" t="str">
        <f aca="false">IF(OR(LEFT($B305,4)="_Mil",SUM($AJ305)=0),"",SUM($AQ305)/$AJ305)</f>
        <v/>
      </c>
      <c r="AS305" s="88" t="n">
        <f aca="false">IF($C305="&lt;01","",98%)</f>
        <v>0.98</v>
      </c>
      <c r="AT305" s="88" t="n">
        <f aca="false">IF($C305="&lt;01","",98%)</f>
        <v>0.98</v>
      </c>
      <c r="AU305" s="10" t="n">
        <f aca="false">IF($C305="&lt;01","",SUM($AP305)-SUM($O305))</f>
        <v>0</v>
      </c>
      <c r="AV305" s="10" t="n">
        <f aca="false">IF($C305="&lt;01",ROUND(INDEX(EID!$N:$N,MATCH($B305,EID!$B:$B,0))/2,0),IF(SUM($AT305)=0,"",ROUND((SUM($AP305)-(SUM($O305)*SUM($AS305)))/$AT305,0)))</f>
        <v>0</v>
      </c>
      <c r="AW305" s="88" t="n">
        <f aca="false">IF($C305="&lt;01","",100%)</f>
        <v>1</v>
      </c>
      <c r="AX305" s="39" t="n">
        <f aca="false">IF($C305="&lt;01",SUM($AV305),ROUND(SUM($AV305)*SUM($AW305),0))</f>
        <v>0</v>
      </c>
      <c r="AY305" s="114" t="n">
        <f aca="false">IF($C305="&lt;01","",70%)</f>
        <v>0.7</v>
      </c>
      <c r="AZ305" s="91" t="n">
        <f aca="false">IF($C305="&lt;01",ROUND(INDEX(EID!$R:$R,MATCH($B305,EID!$B:$B,0))/2,0),ROUND(SUM($O305)+(SUM($AV305)*$AY305),0))</f>
        <v>0</v>
      </c>
      <c r="BA305" s="87" t="n">
        <f aca="false">IF($C305="&lt;01","",95%)</f>
        <v>0.95</v>
      </c>
      <c r="BB305" s="5" t="n">
        <f aca="false">IF($C305="&lt;01",ROUND(INDEX(EID!$T:$T,MATCH($B305,EID!$B:$B,0))/2,0),ROUND($AZ305*$BA305,0))</f>
        <v>0</v>
      </c>
      <c r="BC305" s="91" t="n">
        <f aca="false">IF(LEFT($B305,4)="_Mil","",IF(SUM($BB305)=0,SUM($AD305),IF(OR(SUM($AP305)=0,SUM($AQ305)=0),MAX($BB305,$AD305),ROUND($BB305*$AQ305/$AP305,0))))</f>
        <v>0</v>
      </c>
      <c r="BD305" s="88" t="n">
        <f aca="false">IF($C305="&lt;01","",95%)</f>
        <v>0.95</v>
      </c>
      <c r="BE305" s="39" t="n">
        <f aca="false">IF($C305="&lt;01",ROUND(INDEX(EID!$V:$V,MATCH($B305,EID!$B:$B,0))/2,0),ROUND($BD305*$BB305,0))</f>
        <v>0</v>
      </c>
      <c r="BF305" s="39" t="n">
        <f aca="false">IF(LEFT($B305,4)="_Mil","",IF(SUM($BE305)=0,SUM($AF305),IF(OR(SUM($AP305)=0,SUM($AQ305)=0),MAX($BE305,$AF305),ROUND($BE305*$AQ305/$AP305,0))))</f>
        <v>0</v>
      </c>
      <c r="BG305" s="114" t="n">
        <f aca="false">IF($C305="&lt;01","",95%)</f>
        <v>0.95</v>
      </c>
      <c r="BH305" s="5" t="n">
        <f aca="false">IF($C305="&lt;01",ROUND(INDEX(EID!$L:$L,MATCH($B305,EID!$B:$B,0)),0)/2,IF(SUM($BG305)=0,"",ROUND($AX305/$BG305,0)))</f>
        <v>0</v>
      </c>
    </row>
    <row r="306" customFormat="false" ht="15" hidden="false" customHeight="false" outlineLevel="0" collapsed="false">
      <c r="A306" s="0" t="str">
        <f aca="false">INDEX(Prioritization!$D:$D,MATCH($B306,Prioritization!$A:$A,0))</f>
        <v>1 - Scale-up: Saturation</v>
      </c>
      <c r="B306" s="0" t="s">
        <v>214</v>
      </c>
      <c r="C306" s="0" t="s">
        <v>367</v>
      </c>
      <c r="D306" s="0" t="s">
        <v>48</v>
      </c>
      <c r="E306" s="0" t="str">
        <f aca="false">$B306&amp;"|"&amp;$C306&amp;"|"&amp;$D306</f>
        <v>Machinga District [TYnMSwzko3z]|35-49|Male</v>
      </c>
      <c r="F306" s="10"/>
      <c r="G306" s="10"/>
      <c r="H306" s="10"/>
      <c r="I306" s="10"/>
      <c r="J306" s="10"/>
      <c r="K306" s="10"/>
      <c r="L306" s="10"/>
      <c r="M306" s="10"/>
      <c r="N306" s="10"/>
      <c r="O306" s="10" t="str">
        <f aca="false">IFERROR(1/(1/MAX($I306,$N306)),"")</f>
        <v/>
      </c>
      <c r="P306" s="10"/>
      <c r="Q306" s="10"/>
      <c r="R306" s="10" t="str">
        <f aca="false">IF(AND(SUM($I306)=0,SUM($O306)=0),"",SUM($O306)-$I306)</f>
        <v/>
      </c>
      <c r="S306" s="10" t="n">
        <f aca="false">IF(LEFT($B306,4)="_Mil","",_xlfn.IFNA(ROUND(INDEX(Spectrum!$N:$N,MATCH(RIGHT($B306,13)&amp;"|"&amp;$C306&amp;"|"&amp;$D306&amp;"|"&amp;S$14&amp;"|"&amp;"CY2022Q4",Spectrum!$R:$R,0)),0),""))</f>
        <v>1530</v>
      </c>
      <c r="T306" s="39" t="n">
        <f aca="false">IF(LEFT($B306,4)="_Mil","",_xlfn.IFNA(ROUND(INDEX(Spectrum!$N:$N,MATCH(RIGHT($B306,13)&amp;"|"&amp;$C306&amp;"|"&amp;$D306&amp;"|"&amp;T$14&amp;"|"&amp;"CY2023Q3",Spectrum!$R:$R,0)),0),""))</f>
        <v>958</v>
      </c>
      <c r="U306" s="39" t="str">
        <f aca="false">IF(LEFT($B306,4)="_Mil","",_xlfn.IFNA(ROUND(INDEX(Spectrum!$N:$N,MATCH(RIGHT($B306,13)&amp;"|"&amp;$C306&amp;"|"&amp;$D306&amp;"|"&amp;U$14&amp;"|"&amp;"CY2023Q3",Spectrum!$R:$R,0)),0),""))</f>
        <v/>
      </c>
      <c r="V306" s="10" t="n">
        <f aca="false">IF(LEFT($B306,4)="_Mil","",_xlfn.IFNA(ROUND(INDEX(Spectrum!$N:$N,MATCH(RIGHT($B306,13)&amp;"|"&amp;$C306&amp;"|"&amp;$D306&amp;"|"&amp;V$14&amp;"|"&amp;"CY2023Q3",Spectrum!$R:$R,0)),0),""))</f>
        <v>1829</v>
      </c>
      <c r="W306" s="113" t="n">
        <f aca="false">IF(LEFT($B306,4)="_Mil","",_xlfn.IFNA(INDEX(Spectrum!$N:$N,MATCH(RIGHT($B306,13)&amp;"|"&amp;$C306&amp;"|"&amp;$D306&amp;"|"&amp;W$14&amp;"|"&amp;"CY2023Q3",Spectrum!$R:$R,0)),""))</f>
        <v>1547</v>
      </c>
      <c r="X306" s="39" t="n">
        <f aca="false">IF(LEFT($B306,4)="_Mil","",_xlfn.IFNA(ROUND(INDEX(Spectrum!$N:$N,MATCH(RIGHT($B306,13)&amp;"|"&amp;$C306&amp;"|"&amp;$D306&amp;"|"&amp;X$14&amp;"|"&amp;"CY2023Q3",Spectrum!$R:$R,0)),0),""))</f>
        <v>608</v>
      </c>
      <c r="Y306" s="88" t="str">
        <f aca="false">IF(OR(SUM($U306)=0,LEFT($B306,4)="_Mil"),"",SUM($X306)/$U306)</f>
        <v/>
      </c>
      <c r="Z306" s="39" t="n">
        <f aca="false">IF(LEFT($B306,4)="_Mil","",_xlfn.IFNA(ROUND(INDEX(Spectrum!$N:$N,MATCH(RIGHT($B306,13)&amp;"|"&amp;$C306&amp;"|"&amp;$D306&amp;"|"&amp;Z$14&amp;"|"&amp;"CY2023Q3",Spectrum!$R:$R,0)),0),""))</f>
        <v>1762</v>
      </c>
      <c r="AA306" s="88" t="n">
        <f aca="false">IF(LEFT($B306,4)="_Mil","",IFERROR(1/(1/INDEX(Spectrum!$N:$N,MATCH(RIGHT($B306,13)&amp;"|"&amp;$C306&amp;"|"&amp;$D306&amp;"|"&amp;AA$14&amp;"|"&amp;"CY2023Q3",Spectrum!$R:$R,0))),IF(SUM($U306)=0,"",SUM($Z306)/$U306)))</f>
        <v>1776</v>
      </c>
      <c r="AB306" s="88" t="n">
        <f aca="false">IF(OR(LEFT($B306,4)="_Mil",SUM($X306)=0),"",SUM($Z306)/$X306)</f>
        <v>2.89802631578947</v>
      </c>
      <c r="AC306" s="10" t="n">
        <f aca="false">IF(LEFT($B306,4)="_Mil","",_xlfn.IFNA(ROUND(INDEX(Spectrum!$N:$N,MATCH(RIGHT($B306,13)&amp;"|"&amp;$C306&amp;"|"&amp;$D306&amp;"|"&amp;AC$14&amp;"|"&amp;"CY2023Q3",Spectrum!$R:$R,0)),0),""))</f>
        <v>1384</v>
      </c>
      <c r="AD306" s="10" t="str">
        <f aca="false">IF(LEFT($B306,4)="_Mil","",_xlfn.IFNA(ROUND(INDEX(Spectrum!$N:$N,MATCH(RIGHT($B306,13)&amp;"|"&amp;$C306&amp;"|"&amp;$D306&amp;"|"&amp;AD$14&amp;"|"&amp;"CY2023Q3",Spectrum!$R:$R,0)),0),""))</f>
        <v/>
      </c>
      <c r="AE306" s="88" t="n">
        <f aca="false">IF(OR(LEFT($B306,4)="_Mil",SUM($Z306)=0),"",SUM($AD306)/$Z306)</f>
        <v>0</v>
      </c>
      <c r="AF306" s="39" t="str">
        <f aca="false">IF(LEFT($B306,4)="_Mil","",_xlfn.IFNA(ROUND(INDEX(Spectrum!$N:$N,MATCH(RIGHT($B306,13)&amp;"|"&amp;$C306&amp;"|"&amp;$D306&amp;"|"&amp;AF$14&amp;"|"&amp;"CY2023Q3",Spectrum!$R:$R,0)),0),""))</f>
        <v/>
      </c>
      <c r="AG306" s="88" t="str">
        <f aca="false">IF(OR(LEFT($B306,4)="_Mil",SUM($AD306)=0),"",SUM($AF306)/$AD306)</f>
        <v/>
      </c>
      <c r="AH306" s="86" t="str">
        <f aca="false">IF(LEFT($B306,4)="_Mil","",_xlfn.IFNA(INDEX(Spectrum!$N:$N,MATCH(RIGHT($B306,13)&amp;"|"&amp;$C306&amp;"|"&amp;$D306&amp;"|"&amp;AH$14&amp;"|"&amp;"CY2023Q3",Spectrum!$R:$R,0)),""))</f>
        <v/>
      </c>
      <c r="AI306" s="10" t="str">
        <f aca="false">IF(LEFT($B306,4)="_Mil","",_xlfn.IFNA(ROUND(INDEX(Spectrum!$N:$N,MATCH(RIGHT($B306,13)&amp;"|"&amp;$C306&amp;"|"&amp;$D306&amp;"|"&amp;AI$14&amp;"|"&amp;"CY2023Q3",Spectrum!$R:$R,0)),0),""))</f>
        <v/>
      </c>
      <c r="AJ306" s="39" t="n">
        <f aca="false">IF(LEFT($B306,4)="_Mil","",_xlfn.IFNA(ROUND(INDEX(Spectrum!$N:$N,MATCH(RIGHT($B306,13)&amp;"|"&amp;$C306&amp;"|"&amp;$D306&amp;"|"&amp;AI$14&amp;"|"&amp;"CY2023Q3",Spectrum!$R:$R,0)),0),SUM($U306)+SUM($AI306)))</f>
        <v>0</v>
      </c>
      <c r="AK306" s="10" t="str">
        <f aca="false">IF(LEFT($B306,4)="_Mil","",_xlfn.IFNA(ROUND(INDEX(Spectrum!$N:$N,MATCH(RIGHT($B306,13)&amp;"|"&amp;$C306&amp;"|"&amp;$D306&amp;"|"&amp;AK$14&amp;"|"&amp;"CY2023Q3",Spectrum!$R:$R,0)),0),""))</f>
        <v/>
      </c>
      <c r="AL306" s="88" t="n">
        <f aca="false">IF(OR(LEFT($B306,4)="_Mil",$C306="&lt;01"),"",MAX(SUM($AA306),90%))</f>
        <v>1776</v>
      </c>
      <c r="AM306" s="10" t="n">
        <f aca="false">IF(OR(LEFT($B306,4)="_Mil",$C306="&lt;01"),"",ROUND(SUM($AJ306)*SUM($AL306),0))</f>
        <v>0</v>
      </c>
      <c r="AN306" s="10" t="str">
        <f aca="false">IF($C306="&lt;01",ROUND(INDEX(EID!$P:$P,MATCH($B306,EID!$B:$B,0))/2,0),"")</f>
        <v/>
      </c>
      <c r="AO306" s="10" t="n">
        <f aca="false">IF($C306="&lt;01",SUM($AN306),ROUND(SUM($AM306)*SUM($O306)/IF(SUM($Z306)=0,1,$Z306),0))</f>
        <v>0</v>
      </c>
      <c r="AP306" s="39" t="n">
        <f aca="false">IF(OR($F306="",$C306="&lt;01"),$AO306,$F306)</f>
        <v>0</v>
      </c>
      <c r="AQ306" s="39" t="n">
        <f aca="false">IF(LEFT($B306,4)="_Mil","",IF(SUM($AP306)=0,SUM($Z306),IF(OR(SUM($Z306)=0,SUM($O306)=0),MAX($AP306,$Z306),$AP306*$Z306/$O306)))</f>
        <v>1762</v>
      </c>
      <c r="AR306" s="88" t="str">
        <f aca="false">IF(OR(LEFT($B306,4)="_Mil",SUM($AJ306)=0),"",SUM($AQ306)/$AJ306)</f>
        <v/>
      </c>
      <c r="AS306" s="88" t="n">
        <f aca="false">IF($C306="&lt;01","",98%)</f>
        <v>0.98</v>
      </c>
      <c r="AT306" s="88" t="n">
        <f aca="false">IF($C306="&lt;01","",98%)</f>
        <v>0.98</v>
      </c>
      <c r="AU306" s="10" t="n">
        <f aca="false">IF($C306="&lt;01","",SUM($AP306)-SUM($O306))</f>
        <v>0</v>
      </c>
      <c r="AV306" s="10" t="n">
        <f aca="false">IF($C306="&lt;01",ROUND(INDEX(EID!$N:$N,MATCH($B306,EID!$B:$B,0))/2,0),IF(SUM($AT306)=0,"",ROUND((SUM($AP306)-(SUM($O306)*SUM($AS306)))/$AT306,0)))</f>
        <v>0</v>
      </c>
      <c r="AW306" s="88" t="n">
        <f aca="false">IF($C306="&lt;01","",100%)</f>
        <v>1</v>
      </c>
      <c r="AX306" s="39" t="n">
        <f aca="false">IF($C306="&lt;01",SUM($AV306),ROUND(SUM($AV306)*SUM($AW306),0))</f>
        <v>0</v>
      </c>
      <c r="AY306" s="114" t="n">
        <f aca="false">IF($C306="&lt;01","",70%)</f>
        <v>0.7</v>
      </c>
      <c r="AZ306" s="91" t="n">
        <f aca="false">IF($C306="&lt;01",ROUND(INDEX(EID!$R:$R,MATCH($B306,EID!$B:$B,0))/2,0),ROUND(SUM($O306)+(SUM($AV306)*$AY306),0))</f>
        <v>0</v>
      </c>
      <c r="BA306" s="87" t="n">
        <f aca="false">IF($C306="&lt;01","",95%)</f>
        <v>0.95</v>
      </c>
      <c r="BB306" s="5" t="n">
        <f aca="false">IF($C306="&lt;01",ROUND(INDEX(EID!$T:$T,MATCH($B306,EID!$B:$B,0))/2,0),ROUND($AZ306*$BA306,0))</f>
        <v>0</v>
      </c>
      <c r="BC306" s="91" t="n">
        <f aca="false">IF(LEFT($B306,4)="_Mil","",IF(SUM($BB306)=0,SUM($AD306),IF(OR(SUM($AP306)=0,SUM($AQ306)=0),MAX($BB306,$AD306),ROUND($BB306*$AQ306/$AP306,0))))</f>
        <v>0</v>
      </c>
      <c r="BD306" s="88" t="n">
        <f aca="false">IF($C306="&lt;01","",95%)</f>
        <v>0.95</v>
      </c>
      <c r="BE306" s="39" t="n">
        <f aca="false">IF($C306="&lt;01",ROUND(INDEX(EID!$V:$V,MATCH($B306,EID!$B:$B,0))/2,0),ROUND($BD306*$BB306,0))</f>
        <v>0</v>
      </c>
      <c r="BF306" s="39" t="n">
        <f aca="false">IF(LEFT($B306,4)="_Mil","",IF(SUM($BE306)=0,SUM($AF306),IF(OR(SUM($AP306)=0,SUM($AQ306)=0),MAX($BE306,$AF306),ROUND($BE306*$AQ306/$AP306,0))))</f>
        <v>0</v>
      </c>
      <c r="BG306" s="114" t="n">
        <f aca="false">IF($C306="&lt;01","",95%)</f>
        <v>0.95</v>
      </c>
      <c r="BH306" s="5" t="n">
        <f aca="false">IF($C306="&lt;01",ROUND(INDEX(EID!$L:$L,MATCH($B306,EID!$B:$B,0)),0)/2,IF(SUM($BG306)=0,"",ROUND($AX306/$BG306,0)))</f>
        <v>0</v>
      </c>
    </row>
    <row r="307" customFormat="false" ht="15" hidden="false" customHeight="false" outlineLevel="0" collapsed="false">
      <c r="A307" s="0" t="str">
        <f aca="false">INDEX(Prioritization!$D:$D,MATCH($B307,Prioritization!$A:$A,0))</f>
        <v>1 - Scale-up: Saturation</v>
      </c>
      <c r="B307" s="0" t="s">
        <v>214</v>
      </c>
      <c r="C307" s="0" t="s">
        <v>368</v>
      </c>
      <c r="D307" s="0" t="s">
        <v>30</v>
      </c>
      <c r="E307" s="0" t="str">
        <f aca="false">$B307&amp;"|"&amp;$C307&amp;"|"&amp;$D307</f>
        <v>Machinga District [TYnMSwzko3z]|50+|Female</v>
      </c>
      <c r="F307" s="10"/>
      <c r="G307" s="10"/>
      <c r="H307" s="10"/>
      <c r="I307" s="10"/>
      <c r="J307" s="10"/>
      <c r="K307" s="10"/>
      <c r="L307" s="10"/>
      <c r="M307" s="10"/>
      <c r="N307" s="10"/>
      <c r="O307" s="10" t="str">
        <f aca="false">IFERROR(1/(1/MAX($I307,$N307)),"")</f>
        <v/>
      </c>
      <c r="P307" s="10"/>
      <c r="Q307" s="10"/>
      <c r="R307" s="10" t="str">
        <f aca="false">IF(AND(SUM($I307)=0,SUM($O307)=0),"",SUM($O307)-$I307)</f>
        <v/>
      </c>
      <c r="S307" s="10" t="n">
        <f aca="false">IF(LEFT($B307,4)="_Mil","",_xlfn.IFNA(ROUND(INDEX(Spectrum!$N:$N,MATCH(RIGHT($B307,13)&amp;"|"&amp;$C307&amp;"|"&amp;$D307&amp;"|"&amp;S$14&amp;"|"&amp;"CY2022Q4",Spectrum!$R:$R,0)),0),""))</f>
        <v>801</v>
      </c>
      <c r="T307" s="39" t="n">
        <f aca="false">IF(LEFT($B307,4)="_Mil","",_xlfn.IFNA(ROUND(INDEX(Spectrum!$N:$N,MATCH(RIGHT($B307,13)&amp;"|"&amp;$C307&amp;"|"&amp;$D307&amp;"|"&amp;T$14&amp;"|"&amp;"CY2023Q3",Spectrum!$R:$R,0)),0),""))</f>
        <v>1173</v>
      </c>
      <c r="U307" s="39" t="str">
        <f aca="false">IF(LEFT($B307,4)="_Mil","",_xlfn.IFNA(ROUND(INDEX(Spectrum!$N:$N,MATCH(RIGHT($B307,13)&amp;"|"&amp;$C307&amp;"|"&amp;$D307&amp;"|"&amp;U$14&amp;"|"&amp;"CY2023Q3",Spectrum!$R:$R,0)),0),""))</f>
        <v/>
      </c>
      <c r="V307" s="10" t="n">
        <f aca="false">IF(LEFT($B307,4)="_Mil","",_xlfn.IFNA(ROUND(INDEX(Spectrum!$N:$N,MATCH(RIGHT($B307,13)&amp;"|"&amp;$C307&amp;"|"&amp;$D307&amp;"|"&amp;V$14&amp;"|"&amp;"CY2023Q3",Spectrum!$R:$R,0)),0),""))</f>
        <v>1265</v>
      </c>
      <c r="W307" s="113" t="n">
        <f aca="false">IF(LEFT($B307,4)="_Mil","",_xlfn.IFNA(INDEX(Spectrum!$N:$N,MATCH(RIGHT($B307,13)&amp;"|"&amp;$C307&amp;"|"&amp;$D307&amp;"|"&amp;W$14&amp;"|"&amp;"CY2023Q3",Spectrum!$R:$R,0)),""))</f>
        <v>789</v>
      </c>
      <c r="X307" s="39" t="n">
        <f aca="false">IF(LEFT($B307,4)="_Mil","",_xlfn.IFNA(ROUND(INDEX(Spectrum!$N:$N,MATCH(RIGHT($B307,13)&amp;"|"&amp;$C307&amp;"|"&amp;$D307&amp;"|"&amp;X$14&amp;"|"&amp;"CY2023Q3",Spectrum!$R:$R,0)),0),""))</f>
        <v>1037</v>
      </c>
      <c r="Y307" s="88" t="str">
        <f aca="false">IF(OR(SUM($U307)=0,LEFT($B307,4)="_Mil"),"",SUM($X307)/$U307)</f>
        <v/>
      </c>
      <c r="Z307" s="39" t="n">
        <f aca="false">IF(LEFT($B307,4)="_Mil","",_xlfn.IFNA(ROUND(INDEX(Spectrum!$N:$N,MATCH(RIGHT($B307,13)&amp;"|"&amp;$C307&amp;"|"&amp;$D307&amp;"|"&amp;Z$14&amp;"|"&amp;"CY2023Q3",Spectrum!$R:$R,0)),0),""))</f>
        <v>1456</v>
      </c>
      <c r="AA307" s="88" t="n">
        <f aca="false">IF(LEFT($B307,4)="_Mil","",IFERROR(1/(1/INDEX(Spectrum!$N:$N,MATCH(RIGHT($B307,13)&amp;"|"&amp;$C307&amp;"|"&amp;$D307&amp;"|"&amp;AA$14&amp;"|"&amp;"CY2023Q3",Spectrum!$R:$R,0))),IF(SUM($U307)=0,"",SUM($Z307)/$U307)))</f>
        <v>1953</v>
      </c>
      <c r="AB307" s="88" t="n">
        <f aca="false">IF(OR(LEFT($B307,4)="_Mil",SUM($X307)=0),"",SUM($Z307)/$X307)</f>
        <v>1.40405014464802</v>
      </c>
      <c r="AC307" s="10" t="n">
        <f aca="false">IF(LEFT($B307,4)="_Mil","",_xlfn.IFNA(ROUND(INDEX(Spectrum!$N:$N,MATCH(RIGHT($B307,13)&amp;"|"&amp;$C307&amp;"|"&amp;$D307&amp;"|"&amp;AC$14&amp;"|"&amp;"CY2023Q3",Spectrum!$R:$R,0)),0),""))</f>
        <v>676</v>
      </c>
      <c r="AD307" s="10" t="str">
        <f aca="false">IF(LEFT($B307,4)="_Mil","",_xlfn.IFNA(ROUND(INDEX(Spectrum!$N:$N,MATCH(RIGHT($B307,13)&amp;"|"&amp;$C307&amp;"|"&amp;$D307&amp;"|"&amp;AD$14&amp;"|"&amp;"CY2023Q3",Spectrum!$R:$R,0)),0),""))</f>
        <v/>
      </c>
      <c r="AE307" s="88" t="n">
        <f aca="false">IF(OR(LEFT($B307,4)="_Mil",SUM($Z307)=0),"",SUM($AD307)/$Z307)</f>
        <v>0</v>
      </c>
      <c r="AF307" s="39" t="str">
        <f aca="false">IF(LEFT($B307,4)="_Mil","",_xlfn.IFNA(ROUND(INDEX(Spectrum!$N:$N,MATCH(RIGHT($B307,13)&amp;"|"&amp;$C307&amp;"|"&amp;$D307&amp;"|"&amp;AF$14&amp;"|"&amp;"CY2023Q3",Spectrum!$R:$R,0)),0),""))</f>
        <v/>
      </c>
      <c r="AG307" s="88" t="str">
        <f aca="false">IF(OR(LEFT($B307,4)="_Mil",SUM($AD307)=0),"",SUM($AF307)/$AD307)</f>
        <v/>
      </c>
      <c r="AH307" s="86" t="str">
        <f aca="false">IF(LEFT($B307,4)="_Mil","",_xlfn.IFNA(INDEX(Spectrum!$N:$N,MATCH(RIGHT($B307,13)&amp;"|"&amp;$C307&amp;"|"&amp;$D307&amp;"|"&amp;AH$14&amp;"|"&amp;"CY2023Q3",Spectrum!$R:$R,0)),""))</f>
        <v/>
      </c>
      <c r="AI307" s="10" t="str">
        <f aca="false">IF(LEFT($B307,4)="_Mil","",_xlfn.IFNA(ROUND(INDEX(Spectrum!$N:$N,MATCH(RIGHT($B307,13)&amp;"|"&amp;$C307&amp;"|"&amp;$D307&amp;"|"&amp;AI$14&amp;"|"&amp;"CY2023Q3",Spectrum!$R:$R,0)),0),""))</f>
        <v/>
      </c>
      <c r="AJ307" s="39" t="n">
        <f aca="false">IF(LEFT($B307,4)="_Mil","",_xlfn.IFNA(ROUND(INDEX(Spectrum!$N:$N,MATCH(RIGHT($B307,13)&amp;"|"&amp;$C307&amp;"|"&amp;$D307&amp;"|"&amp;AI$14&amp;"|"&amp;"CY2023Q3",Spectrum!$R:$R,0)),0),SUM($U307)+SUM($AI307)))</f>
        <v>0</v>
      </c>
      <c r="AK307" s="10" t="str">
        <f aca="false">IF(LEFT($B307,4)="_Mil","",_xlfn.IFNA(ROUND(INDEX(Spectrum!$N:$N,MATCH(RIGHT($B307,13)&amp;"|"&amp;$C307&amp;"|"&amp;$D307&amp;"|"&amp;AK$14&amp;"|"&amp;"CY2023Q3",Spectrum!$R:$R,0)),0),""))</f>
        <v/>
      </c>
      <c r="AL307" s="88" t="n">
        <f aca="false">IF(OR(LEFT($B307,4)="_Mil",$C307="&lt;01"),"",MAX(SUM($AA307),90%))</f>
        <v>1953</v>
      </c>
      <c r="AM307" s="10" t="n">
        <f aca="false">IF(OR(LEFT($B307,4)="_Mil",$C307="&lt;01"),"",ROUND(SUM($AJ307)*SUM($AL307),0))</f>
        <v>0</v>
      </c>
      <c r="AN307" s="10" t="str">
        <f aca="false">IF($C307="&lt;01",ROUND(INDEX(EID!$P:$P,MATCH($B307,EID!$B:$B,0))/2,0),"")</f>
        <v/>
      </c>
      <c r="AO307" s="10" t="n">
        <f aca="false">IF($C307="&lt;01",SUM($AN307),ROUND(SUM($AM307)*SUM($O307)/IF(SUM($Z307)=0,1,$Z307),0))</f>
        <v>0</v>
      </c>
      <c r="AP307" s="39" t="n">
        <f aca="false">IF(OR($F307="",$C307="&lt;01"),$AO307,$F307)</f>
        <v>0</v>
      </c>
      <c r="AQ307" s="39" t="n">
        <f aca="false">IF(LEFT($B307,4)="_Mil","",IF(SUM($AP307)=0,SUM($Z307),IF(OR(SUM($Z307)=0,SUM($O307)=0),MAX($AP307,$Z307),$AP307*$Z307/$O307)))</f>
        <v>1456</v>
      </c>
      <c r="AR307" s="88" t="str">
        <f aca="false">IF(OR(LEFT($B307,4)="_Mil",SUM($AJ307)=0),"",SUM($AQ307)/$AJ307)</f>
        <v/>
      </c>
      <c r="AS307" s="88" t="n">
        <f aca="false">IF($C307="&lt;01","",98%)</f>
        <v>0.98</v>
      </c>
      <c r="AT307" s="88" t="n">
        <f aca="false">IF($C307="&lt;01","",98%)</f>
        <v>0.98</v>
      </c>
      <c r="AU307" s="10" t="n">
        <f aca="false">IF($C307="&lt;01","",SUM($AP307)-SUM($O307))</f>
        <v>0</v>
      </c>
      <c r="AV307" s="10" t="n">
        <f aca="false">IF($C307="&lt;01",ROUND(INDEX(EID!$N:$N,MATCH($B307,EID!$B:$B,0))/2,0),IF(SUM($AT307)=0,"",ROUND((SUM($AP307)-(SUM($O307)*SUM($AS307)))/$AT307,0)))</f>
        <v>0</v>
      </c>
      <c r="AW307" s="88" t="n">
        <f aca="false">IF($C307="&lt;01","",100%)</f>
        <v>1</v>
      </c>
      <c r="AX307" s="39" t="n">
        <f aca="false">IF($C307="&lt;01",SUM($AV307),ROUND(SUM($AV307)*SUM($AW307),0))</f>
        <v>0</v>
      </c>
      <c r="AY307" s="114" t="n">
        <f aca="false">IF($C307="&lt;01","",70%)</f>
        <v>0.7</v>
      </c>
      <c r="AZ307" s="91" t="n">
        <f aca="false">IF($C307="&lt;01",ROUND(INDEX(EID!$R:$R,MATCH($B307,EID!$B:$B,0))/2,0),ROUND(SUM($O307)+(SUM($AV307)*$AY307),0))</f>
        <v>0</v>
      </c>
      <c r="BA307" s="87" t="n">
        <f aca="false">IF($C307="&lt;01","",95%)</f>
        <v>0.95</v>
      </c>
      <c r="BB307" s="5" t="n">
        <f aca="false">IF($C307="&lt;01",ROUND(INDEX(EID!$T:$T,MATCH($B307,EID!$B:$B,0))/2,0),ROUND($AZ307*$BA307,0))</f>
        <v>0</v>
      </c>
      <c r="BC307" s="91" t="n">
        <f aca="false">IF(LEFT($B307,4)="_Mil","",IF(SUM($BB307)=0,SUM($AD307),IF(OR(SUM($AP307)=0,SUM($AQ307)=0),MAX($BB307,$AD307),ROUND($BB307*$AQ307/$AP307,0))))</f>
        <v>0</v>
      </c>
      <c r="BD307" s="88" t="n">
        <f aca="false">IF($C307="&lt;01","",95%)</f>
        <v>0.95</v>
      </c>
      <c r="BE307" s="39" t="n">
        <f aca="false">IF($C307="&lt;01",ROUND(INDEX(EID!$V:$V,MATCH($B307,EID!$B:$B,0))/2,0),ROUND($BD307*$BB307,0))</f>
        <v>0</v>
      </c>
      <c r="BF307" s="39" t="n">
        <f aca="false">IF(LEFT($B307,4)="_Mil","",IF(SUM($BE307)=0,SUM($AF307),IF(OR(SUM($AP307)=0,SUM($AQ307)=0),MAX($BE307,$AF307),ROUND($BE307*$AQ307/$AP307,0))))</f>
        <v>0</v>
      </c>
      <c r="BG307" s="114" t="n">
        <f aca="false">IF($C307="&lt;01","",95%)</f>
        <v>0.95</v>
      </c>
      <c r="BH307" s="5" t="n">
        <f aca="false">IF($C307="&lt;01",ROUND(INDEX(EID!$L:$L,MATCH($B307,EID!$B:$B,0)),0)/2,IF(SUM($BG307)=0,"",ROUND($AX307/$BG307,0)))</f>
        <v>0</v>
      </c>
    </row>
    <row r="308" customFormat="false" ht="15" hidden="false" customHeight="false" outlineLevel="0" collapsed="false">
      <c r="A308" s="0" t="str">
        <f aca="false">INDEX(Prioritization!$D:$D,MATCH($B308,Prioritization!$A:$A,0))</f>
        <v>1 - Scale-up: Saturation</v>
      </c>
      <c r="B308" s="0" t="s">
        <v>214</v>
      </c>
      <c r="C308" s="0" t="s">
        <v>368</v>
      </c>
      <c r="D308" s="0" t="s">
        <v>48</v>
      </c>
      <c r="E308" s="0" t="str">
        <f aca="false">$B308&amp;"|"&amp;$C308&amp;"|"&amp;$D308</f>
        <v>Machinga District [TYnMSwzko3z]|50+|Male</v>
      </c>
      <c r="F308" s="10"/>
      <c r="G308" s="10"/>
      <c r="H308" s="10"/>
      <c r="I308" s="10"/>
      <c r="J308" s="10"/>
      <c r="K308" s="10"/>
      <c r="L308" s="10"/>
      <c r="M308" s="10"/>
      <c r="N308" s="10"/>
      <c r="O308" s="10" t="str">
        <f aca="false">IFERROR(1/(1/MAX($I308,$N308)),"")</f>
        <v/>
      </c>
      <c r="P308" s="10"/>
      <c r="Q308" s="10"/>
      <c r="R308" s="10" t="str">
        <f aca="false">IF(AND(SUM($I308)=0,SUM($O308)=0),"",SUM($O308)-$I308)</f>
        <v/>
      </c>
      <c r="S308" s="10" t="n">
        <f aca="false">IF(LEFT($B308,4)="_Mil","",_xlfn.IFNA(ROUND(INDEX(Spectrum!$N:$N,MATCH(RIGHT($B308,13)&amp;"|"&amp;$C308&amp;"|"&amp;$D308&amp;"|"&amp;S$14&amp;"|"&amp;"CY2022Q4",Spectrum!$R:$R,0)),0),""))</f>
        <v>1764</v>
      </c>
      <c r="T308" s="39" t="n">
        <f aca="false">IF(LEFT($B308,4)="_Mil","",_xlfn.IFNA(ROUND(INDEX(Spectrum!$N:$N,MATCH(RIGHT($B308,13)&amp;"|"&amp;$C308&amp;"|"&amp;$D308&amp;"|"&amp;T$14&amp;"|"&amp;"CY2023Q3",Spectrum!$R:$R,0)),0),""))</f>
        <v>1921</v>
      </c>
      <c r="U308" s="39" t="str">
        <f aca="false">IF(LEFT($B308,4)="_Mil","",_xlfn.IFNA(ROUND(INDEX(Spectrum!$N:$N,MATCH(RIGHT($B308,13)&amp;"|"&amp;$C308&amp;"|"&amp;$D308&amp;"|"&amp;U$14&amp;"|"&amp;"CY2023Q3",Spectrum!$R:$R,0)),0),""))</f>
        <v/>
      </c>
      <c r="V308" s="10" t="n">
        <f aca="false">IF(LEFT($B308,4)="_Mil","",_xlfn.IFNA(ROUND(INDEX(Spectrum!$N:$N,MATCH(RIGHT($B308,13)&amp;"|"&amp;$C308&amp;"|"&amp;$D308&amp;"|"&amp;V$14&amp;"|"&amp;"CY2023Q3",Spectrum!$R:$R,0)),0),""))</f>
        <v>1877</v>
      </c>
      <c r="W308" s="113" t="n">
        <f aca="false">IF(LEFT($B308,4)="_Mil","",_xlfn.IFNA(INDEX(Spectrum!$N:$N,MATCH(RIGHT($B308,13)&amp;"|"&amp;$C308&amp;"|"&amp;$D308&amp;"|"&amp;W$14&amp;"|"&amp;"CY2023Q3",Spectrum!$R:$R,0)),""))</f>
        <v>769</v>
      </c>
      <c r="X308" s="39" t="n">
        <f aca="false">IF(LEFT($B308,4)="_Mil","",_xlfn.IFNA(ROUND(INDEX(Spectrum!$N:$N,MATCH(RIGHT($B308,13)&amp;"|"&amp;$C308&amp;"|"&amp;$D308&amp;"|"&amp;X$14&amp;"|"&amp;"CY2023Q3",Spectrum!$R:$R,0)),0),""))</f>
        <v>843</v>
      </c>
      <c r="Y308" s="88" t="str">
        <f aca="false">IF(OR(SUM($U308)=0,LEFT($B308,4)="_Mil"),"",SUM($X308)/$U308)</f>
        <v/>
      </c>
      <c r="Z308" s="39" t="n">
        <f aca="false">IF(LEFT($B308,4)="_Mil","",_xlfn.IFNA(ROUND(INDEX(Spectrum!$N:$N,MATCH(RIGHT($B308,13)&amp;"|"&amp;$C308&amp;"|"&amp;$D308&amp;"|"&amp;Z$14&amp;"|"&amp;"CY2023Q3",Spectrum!$R:$R,0)),0),""))</f>
        <v>971</v>
      </c>
      <c r="AA308" s="88" t="n">
        <f aca="false">IF(LEFT($B308,4)="_Mil","",IFERROR(1/(1/INDEX(Spectrum!$N:$N,MATCH(RIGHT($B308,13)&amp;"|"&amp;$C308&amp;"|"&amp;$D308&amp;"|"&amp;AA$14&amp;"|"&amp;"CY2023Q3",Spectrum!$R:$R,0))),IF(SUM($U308)=0,"",SUM($Z308)/$U308)))</f>
        <v>1772</v>
      </c>
      <c r="AB308" s="88" t="n">
        <f aca="false">IF(OR(LEFT($B308,4)="_Mil",SUM($X308)=0),"",SUM($Z308)/$X308)</f>
        <v>1.15183867141163</v>
      </c>
      <c r="AC308" s="10" t="n">
        <f aca="false">IF(LEFT($B308,4)="_Mil","",_xlfn.IFNA(ROUND(INDEX(Spectrum!$N:$N,MATCH(RIGHT($B308,13)&amp;"|"&amp;$C308&amp;"|"&amp;$D308&amp;"|"&amp;AC$14&amp;"|"&amp;"CY2023Q3",Spectrum!$R:$R,0)),0),""))</f>
        <v>1058</v>
      </c>
      <c r="AD308" s="10" t="str">
        <f aca="false">IF(LEFT($B308,4)="_Mil","",_xlfn.IFNA(ROUND(INDEX(Spectrum!$N:$N,MATCH(RIGHT($B308,13)&amp;"|"&amp;$C308&amp;"|"&amp;$D308&amp;"|"&amp;AD$14&amp;"|"&amp;"CY2023Q3",Spectrum!$R:$R,0)),0),""))</f>
        <v/>
      </c>
      <c r="AE308" s="88" t="n">
        <f aca="false">IF(OR(LEFT($B308,4)="_Mil",SUM($Z308)=0),"",SUM($AD308)/$Z308)</f>
        <v>0</v>
      </c>
      <c r="AF308" s="39" t="str">
        <f aca="false">IF(LEFT($B308,4)="_Mil","",_xlfn.IFNA(ROUND(INDEX(Spectrum!$N:$N,MATCH(RIGHT($B308,13)&amp;"|"&amp;$C308&amp;"|"&amp;$D308&amp;"|"&amp;AF$14&amp;"|"&amp;"CY2023Q3",Spectrum!$R:$R,0)),0),""))</f>
        <v/>
      </c>
      <c r="AG308" s="88" t="str">
        <f aca="false">IF(OR(LEFT($B308,4)="_Mil",SUM($AD308)=0),"",SUM($AF308)/$AD308)</f>
        <v/>
      </c>
      <c r="AH308" s="86" t="str">
        <f aca="false">IF(LEFT($B308,4)="_Mil","",_xlfn.IFNA(INDEX(Spectrum!$N:$N,MATCH(RIGHT($B308,13)&amp;"|"&amp;$C308&amp;"|"&amp;$D308&amp;"|"&amp;AH$14&amp;"|"&amp;"CY2023Q3",Spectrum!$R:$R,0)),""))</f>
        <v/>
      </c>
      <c r="AI308" s="10" t="str">
        <f aca="false">IF(LEFT($B308,4)="_Mil","",_xlfn.IFNA(ROUND(INDEX(Spectrum!$N:$N,MATCH(RIGHT($B308,13)&amp;"|"&amp;$C308&amp;"|"&amp;$D308&amp;"|"&amp;AI$14&amp;"|"&amp;"CY2023Q3",Spectrum!$R:$R,0)),0),""))</f>
        <v/>
      </c>
      <c r="AJ308" s="39" t="n">
        <f aca="false">IF(LEFT($B308,4)="_Mil","",_xlfn.IFNA(ROUND(INDEX(Spectrum!$N:$N,MATCH(RIGHT($B308,13)&amp;"|"&amp;$C308&amp;"|"&amp;$D308&amp;"|"&amp;AI$14&amp;"|"&amp;"CY2023Q3",Spectrum!$R:$R,0)),0),SUM($U308)+SUM($AI308)))</f>
        <v>0</v>
      </c>
      <c r="AK308" s="10" t="str">
        <f aca="false">IF(LEFT($B308,4)="_Mil","",_xlfn.IFNA(ROUND(INDEX(Spectrum!$N:$N,MATCH(RIGHT($B308,13)&amp;"|"&amp;$C308&amp;"|"&amp;$D308&amp;"|"&amp;AK$14&amp;"|"&amp;"CY2023Q3",Spectrum!$R:$R,0)),0),""))</f>
        <v/>
      </c>
      <c r="AL308" s="88" t="n">
        <f aca="false">IF(OR(LEFT($B308,4)="_Mil",$C308="&lt;01"),"",MAX(SUM($AA308),90%))</f>
        <v>1772</v>
      </c>
      <c r="AM308" s="10" t="n">
        <f aca="false">IF(OR(LEFT($B308,4)="_Mil",$C308="&lt;01"),"",ROUND(SUM($AJ308)*SUM($AL308),0))</f>
        <v>0</v>
      </c>
      <c r="AN308" s="10" t="str">
        <f aca="false">IF($C308="&lt;01",ROUND(INDEX(EID!$P:$P,MATCH($B308,EID!$B:$B,0))/2,0),"")</f>
        <v/>
      </c>
      <c r="AO308" s="10" t="n">
        <f aca="false">IF($C308="&lt;01",SUM($AN308),ROUND(SUM($AM308)*SUM($O308)/IF(SUM($Z308)=0,1,$Z308),0))</f>
        <v>0</v>
      </c>
      <c r="AP308" s="39" t="n">
        <f aca="false">IF(OR($F308="",$C308="&lt;01"),$AO308,$F308)</f>
        <v>0</v>
      </c>
      <c r="AQ308" s="39" t="n">
        <f aca="false">IF(LEFT($B308,4)="_Mil","",IF(SUM($AP308)=0,SUM($Z308),IF(OR(SUM($Z308)=0,SUM($O308)=0),MAX($AP308,$Z308),$AP308*$Z308/$O308)))</f>
        <v>971</v>
      </c>
      <c r="AR308" s="88" t="str">
        <f aca="false">IF(OR(LEFT($B308,4)="_Mil",SUM($AJ308)=0),"",SUM($AQ308)/$AJ308)</f>
        <v/>
      </c>
      <c r="AS308" s="88" t="n">
        <f aca="false">IF($C308="&lt;01","",98%)</f>
        <v>0.98</v>
      </c>
      <c r="AT308" s="88" t="n">
        <f aca="false">IF($C308="&lt;01","",98%)</f>
        <v>0.98</v>
      </c>
      <c r="AU308" s="10" t="n">
        <f aca="false">IF($C308="&lt;01","",SUM($AP308)-SUM($O308))</f>
        <v>0</v>
      </c>
      <c r="AV308" s="10" t="n">
        <f aca="false">IF($C308="&lt;01",ROUND(INDEX(EID!$N:$N,MATCH($B308,EID!$B:$B,0))/2,0),IF(SUM($AT308)=0,"",ROUND((SUM($AP308)-(SUM($O308)*SUM($AS308)))/$AT308,0)))</f>
        <v>0</v>
      </c>
      <c r="AW308" s="88" t="n">
        <f aca="false">IF($C308="&lt;01","",100%)</f>
        <v>1</v>
      </c>
      <c r="AX308" s="39" t="n">
        <f aca="false">IF($C308="&lt;01",SUM($AV308),ROUND(SUM($AV308)*SUM($AW308),0))</f>
        <v>0</v>
      </c>
      <c r="AY308" s="114" t="n">
        <f aca="false">IF($C308="&lt;01","",70%)</f>
        <v>0.7</v>
      </c>
      <c r="AZ308" s="91" t="n">
        <f aca="false">IF($C308="&lt;01",ROUND(INDEX(EID!$R:$R,MATCH($B308,EID!$B:$B,0))/2,0),ROUND(SUM($O308)+(SUM($AV308)*$AY308),0))</f>
        <v>0</v>
      </c>
      <c r="BA308" s="87" t="n">
        <f aca="false">IF($C308="&lt;01","",95%)</f>
        <v>0.95</v>
      </c>
      <c r="BB308" s="5" t="n">
        <f aca="false">IF($C308="&lt;01",ROUND(INDEX(EID!$T:$T,MATCH($B308,EID!$B:$B,0))/2,0),ROUND($AZ308*$BA308,0))</f>
        <v>0</v>
      </c>
      <c r="BC308" s="91" t="n">
        <f aca="false">IF(LEFT($B308,4)="_Mil","",IF(SUM($BB308)=0,SUM($AD308),IF(OR(SUM($AP308)=0,SUM($AQ308)=0),MAX($BB308,$AD308),ROUND($BB308*$AQ308/$AP308,0))))</f>
        <v>0</v>
      </c>
      <c r="BD308" s="88" t="n">
        <f aca="false">IF($C308="&lt;01","",95%)</f>
        <v>0.95</v>
      </c>
      <c r="BE308" s="39" t="n">
        <f aca="false">IF($C308="&lt;01",ROUND(INDEX(EID!$V:$V,MATCH($B308,EID!$B:$B,0))/2,0),ROUND($BD308*$BB308,0))</f>
        <v>0</v>
      </c>
      <c r="BF308" s="39" t="n">
        <f aca="false">IF(LEFT($B308,4)="_Mil","",IF(SUM($BE308)=0,SUM($AF308),IF(OR(SUM($AP308)=0,SUM($AQ308)=0),MAX($BE308,$AF308),ROUND($BE308*$AQ308/$AP308,0))))</f>
        <v>0</v>
      </c>
      <c r="BG308" s="114" t="n">
        <f aca="false">IF($C308="&lt;01","",95%)</f>
        <v>0.95</v>
      </c>
      <c r="BH308" s="5" t="n">
        <f aca="false">IF($C308="&lt;01",ROUND(INDEX(EID!$L:$L,MATCH($B308,EID!$B:$B,0)),0)/2,IF(SUM($BG308)=0,"",ROUND($AX308/$BG308,0)))</f>
        <v>0</v>
      </c>
    </row>
    <row r="309" customFormat="false" ht="15" hidden="false" customHeight="false" outlineLevel="0" collapsed="false">
      <c r="A309" s="0" t="str">
        <f aca="false">INDEX(Prioritization!$D:$D,MATCH($B309,Prioritization!$A:$A,0))</f>
        <v>INVALID</v>
      </c>
      <c r="B309" s="0" t="s">
        <v>215</v>
      </c>
      <c r="C309" s="0" t="s">
        <v>316</v>
      </c>
      <c r="D309" s="0" t="s">
        <v>30</v>
      </c>
      <c r="E309" s="0" t="str">
        <f aca="false">$B309&amp;"|"&amp;$C309&amp;"|"&amp;$D309</f>
        <v>Mangochi District [lLDyBx5XyUi]|&lt;01|Female</v>
      </c>
      <c r="F309" s="10"/>
      <c r="G309" s="10" t="n">
        <v>5</v>
      </c>
      <c r="H309" s="10" t="n">
        <v>1</v>
      </c>
      <c r="I309" s="10" t="n">
        <v>5</v>
      </c>
      <c r="J309" s="10" t="n">
        <v>6</v>
      </c>
      <c r="K309" s="10" t="n">
        <v>1</v>
      </c>
      <c r="L309" s="10"/>
      <c r="M309" s="10" t="n">
        <v>5</v>
      </c>
      <c r="N309" s="10" t="n">
        <v>7</v>
      </c>
      <c r="O309" s="10" t="n">
        <f aca="false">IFERROR(1/(1/MAX($I309,$N309)),"")</f>
        <v>7</v>
      </c>
      <c r="P309" s="10" t="n">
        <v>9</v>
      </c>
      <c r="Q309" s="10" t="n">
        <v>9</v>
      </c>
      <c r="R309" s="10" t="n">
        <f aca="false">IF(AND(SUM($I309)=0,SUM($O309)=0),"",SUM($O309)-$I309)</f>
        <v>2</v>
      </c>
      <c r="S309" s="10" t="n">
        <f aca="false">IF(LEFT($B309,4)="_Mil","",_xlfn.IFNA(ROUND(INDEX(Spectrum!$N:$N,MATCH(RIGHT($B309,13)&amp;"|"&amp;$C309&amp;"|"&amp;$D309&amp;"|"&amp;S$14&amp;"|"&amp;"CY2022Q4",Spectrum!$R:$R,0)),0),""))</f>
        <v>687</v>
      </c>
      <c r="T309" s="39" t="n">
        <f aca="false">IF(LEFT($B309,4)="_Mil","",_xlfn.IFNA(ROUND(INDEX(Spectrum!$N:$N,MATCH(RIGHT($B309,13)&amp;"|"&amp;$C309&amp;"|"&amp;$D309&amp;"|"&amp;T$14&amp;"|"&amp;"CY2023Q3",Spectrum!$R:$R,0)),0),""))</f>
        <v>830</v>
      </c>
      <c r="U309" s="39" t="str">
        <f aca="false">IF(LEFT($B309,4)="_Mil","",_xlfn.IFNA(ROUND(INDEX(Spectrum!$N:$N,MATCH(RIGHT($B309,13)&amp;"|"&amp;$C309&amp;"|"&amp;$D309&amp;"|"&amp;U$14&amp;"|"&amp;"CY2023Q3",Spectrum!$R:$R,0)),0),""))</f>
        <v/>
      </c>
      <c r="V309" s="10" t="n">
        <f aca="false">IF(LEFT($B309,4)="_Mil","",_xlfn.IFNA(ROUND(INDEX(Spectrum!$N:$N,MATCH(RIGHT($B309,13)&amp;"|"&amp;$C309&amp;"|"&amp;$D309&amp;"|"&amp;V$14&amp;"|"&amp;"CY2023Q3",Spectrum!$R:$R,0)),0),""))</f>
        <v>854</v>
      </c>
      <c r="W309" s="113" t="n">
        <f aca="false">IF(LEFT($B309,4)="_Mil","",_xlfn.IFNA(INDEX(Spectrum!$N:$N,MATCH(RIGHT($B309,13)&amp;"|"&amp;$C309&amp;"|"&amp;$D309&amp;"|"&amp;W$14&amp;"|"&amp;"CY2023Q3",Spectrum!$R:$R,0)),""))</f>
        <v>1576</v>
      </c>
      <c r="X309" s="39" t="n">
        <f aca="false">IF(LEFT($B309,4)="_Mil","",_xlfn.IFNA(ROUND(INDEX(Spectrum!$N:$N,MATCH(RIGHT($B309,13)&amp;"|"&amp;$C309&amp;"|"&amp;$D309&amp;"|"&amp;X$14&amp;"|"&amp;"CY2023Q3",Spectrum!$R:$R,0)),0),""))</f>
        <v>836</v>
      </c>
      <c r="Y309" s="88" t="str">
        <f aca="false">IF(OR(SUM($U309)=0,LEFT($B309,4)="_Mil"),"",SUM($X309)/$U309)</f>
        <v/>
      </c>
      <c r="Z309" s="39" t="n">
        <f aca="false">IF(LEFT($B309,4)="_Mil","",_xlfn.IFNA(ROUND(INDEX(Spectrum!$N:$N,MATCH(RIGHT($B309,13)&amp;"|"&amp;$C309&amp;"|"&amp;$D309&amp;"|"&amp;Z$14&amp;"|"&amp;"CY2023Q3",Spectrum!$R:$R,0)),0),""))</f>
        <v>1941</v>
      </c>
      <c r="AA309" s="88" t="n">
        <f aca="false">IF(LEFT($B309,4)="_Mil","",IFERROR(1/(1/INDEX(Spectrum!$N:$N,MATCH(RIGHT($B309,13)&amp;"|"&amp;$C309&amp;"|"&amp;$D309&amp;"|"&amp;AA$14&amp;"|"&amp;"CY2023Q3",Spectrum!$R:$R,0))),IF(SUM($U309)=0,"",SUM($Z309)/$U309)))</f>
        <v>1031</v>
      </c>
      <c r="AB309" s="88" t="n">
        <f aca="false">IF(OR(LEFT($B309,4)="_Mil",SUM($X309)=0),"",SUM($Z309)/$X309)</f>
        <v>2.32177033492823</v>
      </c>
      <c r="AC309" s="10" t="n">
        <f aca="false">IF(LEFT($B309,4)="_Mil","",_xlfn.IFNA(ROUND(INDEX(Spectrum!$N:$N,MATCH(RIGHT($B309,13)&amp;"|"&amp;$C309&amp;"|"&amp;$D309&amp;"|"&amp;AC$14&amp;"|"&amp;"CY2023Q3",Spectrum!$R:$R,0)),0),""))</f>
        <v>1237</v>
      </c>
      <c r="AD309" s="10" t="str">
        <f aca="false">IF(LEFT($B309,4)="_Mil","",_xlfn.IFNA(ROUND(INDEX(Spectrum!$N:$N,MATCH(RIGHT($B309,13)&amp;"|"&amp;$C309&amp;"|"&amp;$D309&amp;"|"&amp;AD$14&amp;"|"&amp;"CY2023Q3",Spectrum!$R:$R,0)),0),""))</f>
        <v/>
      </c>
      <c r="AE309" s="88" t="n">
        <f aca="false">IF(OR(LEFT($B309,4)="_Mil",SUM($Z309)=0),"",SUM($AD309)/$Z309)</f>
        <v>0</v>
      </c>
      <c r="AF309" s="39" t="str">
        <f aca="false">IF(LEFT($B309,4)="_Mil","",_xlfn.IFNA(ROUND(INDEX(Spectrum!$N:$N,MATCH(RIGHT($B309,13)&amp;"|"&amp;$C309&amp;"|"&amp;$D309&amp;"|"&amp;AF$14&amp;"|"&amp;"CY2023Q3",Spectrum!$R:$R,0)),0),""))</f>
        <v/>
      </c>
      <c r="AG309" s="88" t="str">
        <f aca="false">IF(OR(LEFT($B309,4)="_Mil",SUM($AD309)=0),"",SUM($AF309)/$AD309)</f>
        <v/>
      </c>
      <c r="AH309" s="86" t="str">
        <f aca="false">IF(LEFT($B309,4)="_Mil","",_xlfn.IFNA(INDEX(Spectrum!$N:$N,MATCH(RIGHT($B309,13)&amp;"|"&amp;$C309&amp;"|"&amp;$D309&amp;"|"&amp;AH$14&amp;"|"&amp;"CY2023Q3",Spectrum!$R:$R,0)),""))</f>
        <v/>
      </c>
      <c r="AI309" s="10" t="str">
        <f aca="false">IF(LEFT($B309,4)="_Mil","",_xlfn.IFNA(ROUND(INDEX(Spectrum!$N:$N,MATCH(RIGHT($B309,13)&amp;"|"&amp;$C309&amp;"|"&amp;$D309&amp;"|"&amp;AI$14&amp;"|"&amp;"CY2023Q3",Spectrum!$R:$R,0)),0),""))</f>
        <v/>
      </c>
      <c r="AJ309" s="39" t="n">
        <f aca="false">IF(LEFT($B309,4)="_Mil","",_xlfn.IFNA(ROUND(INDEX(Spectrum!$N:$N,MATCH(RIGHT($B309,13)&amp;"|"&amp;$C309&amp;"|"&amp;$D309&amp;"|"&amp;AI$14&amp;"|"&amp;"CY2023Q3",Spectrum!$R:$R,0)),0),SUM($U309)+SUM($AI309)))</f>
        <v>0</v>
      </c>
      <c r="AK309" s="10" t="str">
        <f aca="false">IF(LEFT($B309,4)="_Mil","",_xlfn.IFNA(ROUND(INDEX(Spectrum!$N:$N,MATCH(RIGHT($B309,13)&amp;"|"&amp;$C309&amp;"|"&amp;$D309&amp;"|"&amp;AK$14&amp;"|"&amp;"CY2023Q3",Spectrum!$R:$R,0)),0),""))</f>
        <v/>
      </c>
      <c r="AL309" s="88" t="str">
        <f aca="false">IF(OR(LEFT($B309,4)="_Mil",$C309="&lt;01"),"",MAX(SUM($AA309),90%))</f>
        <v/>
      </c>
      <c r="AM309" s="10" t="str">
        <f aca="false">IF(OR(LEFT($B309,4)="_Mil",$C309="&lt;01"),"",ROUND(SUM($AJ309)*SUM($AL309),0))</f>
        <v/>
      </c>
      <c r="AN309" s="10" t="n">
        <f aca="false">IF($C309="&lt;01",ROUND(INDEX(EID!$P:$P,MATCH($B309,EID!$B:$B,0))/2,0),"")</f>
        <v>1</v>
      </c>
      <c r="AO309" s="10" t="n">
        <f aca="false">IF($C309="&lt;01",SUM($AN309),ROUND(SUM($AM309)*SUM($O309)/IF(SUM($Z309)=0,1,$Z309),0))</f>
        <v>1</v>
      </c>
      <c r="AP309" s="39" t="n">
        <f aca="false">IF(OR($F309="",$C309="&lt;01"),$AO309,$F309)</f>
        <v>1</v>
      </c>
      <c r="AQ309" s="39" t="n">
        <f aca="false">IF(LEFT($B309,4)="_Mil","",IF(SUM($AP309)=0,SUM($Z309),IF(OR(SUM($Z309)=0,SUM($O309)=0),MAX($AP309,$Z309),$AP309*$Z309/$O309)))</f>
        <v>277.285714285714</v>
      </c>
      <c r="AR309" s="88" t="str">
        <f aca="false">IF(OR(LEFT($B309,4)="_Mil",SUM($AJ309)=0),"",SUM($AQ309)/$AJ309)</f>
        <v/>
      </c>
      <c r="AS309" s="88" t="str">
        <f aca="false">IF($C309="&lt;01","",98%)</f>
        <v/>
      </c>
      <c r="AT309" s="88" t="str">
        <f aca="false">IF($C309="&lt;01","",98%)</f>
        <v/>
      </c>
      <c r="AU309" s="10" t="str">
        <f aca="false">IF($C309="&lt;01","",SUM($AP309)-SUM($O309))</f>
        <v/>
      </c>
      <c r="AV309" s="10" t="n">
        <f aca="false">IF($C309="&lt;01",ROUND(INDEX(EID!$N:$N,MATCH($B309,EID!$B:$B,0))/2,0),IF(SUM($AT309)=0,"",ROUND((SUM($AP309)-(SUM($O309)*SUM($AS309)))/$AT309,0)))</f>
        <v>1</v>
      </c>
      <c r="AW309" s="88" t="str">
        <f aca="false">IF($C309="&lt;01","",100%)</f>
        <v/>
      </c>
      <c r="AX309" s="39" t="n">
        <f aca="false">IF($C309="&lt;01",SUM($AV309),ROUND(SUM($AV309)*SUM($AW309),0))</f>
        <v>1</v>
      </c>
      <c r="AY309" s="114" t="str">
        <f aca="false">IF($C309="&lt;01","",70%)</f>
        <v/>
      </c>
      <c r="AZ309" s="91" t="n">
        <f aca="false">IF($C309="&lt;01",ROUND(INDEX(EID!$R:$R,MATCH($B309,EID!$B:$B,0))/2,0),ROUND(SUM($O309)+(SUM($AV309)*$AY309),0))</f>
        <v>1</v>
      </c>
      <c r="BA309" s="87" t="str">
        <f aca="false">IF($C309="&lt;01","",95%)</f>
        <v/>
      </c>
      <c r="BB309" s="5" t="n">
        <f aca="false">IF($C309="&lt;01",ROUND(INDEX(EID!$T:$T,MATCH($B309,EID!$B:$B,0))/2,0),ROUND($AZ309*$BA309,0))</f>
        <v>1</v>
      </c>
      <c r="BC309" s="91" t="n">
        <f aca="false">IF(LEFT($B309,4)="_Mil","",IF(SUM($BB309)=0,SUM($AD309),IF(OR(SUM($AP309)=0,SUM($AQ309)=0),MAX($BB309,$AD309),ROUND($BB309*$AQ309/$AP309,0))))</f>
        <v>277</v>
      </c>
      <c r="BD309" s="88" t="str">
        <f aca="false">IF($C309="&lt;01","",95%)</f>
        <v/>
      </c>
      <c r="BE309" s="39" t="n">
        <f aca="false">IF($C309="&lt;01",ROUND(INDEX(EID!$V:$V,MATCH($B309,EID!$B:$B,0))/2,0),ROUND($BD309*$BB309,0))</f>
        <v>1</v>
      </c>
      <c r="BF309" s="39" t="n">
        <f aca="false">IF(LEFT($B309,4)="_Mil","",IF(SUM($BE309)=0,SUM($AF309),IF(OR(SUM($AP309)=0,SUM($AQ309)=0),MAX($BE309,$AF309),ROUND($BE309*$AQ309/$AP309,0))))</f>
        <v>277</v>
      </c>
      <c r="BG309" s="114" t="str">
        <f aca="false">IF($C309="&lt;01","",95%)</f>
        <v/>
      </c>
      <c r="BH309" s="5" t="n">
        <f aca="false">IF($C309="&lt;01",ROUND(INDEX(EID!$L:$L,MATCH($B309,EID!$B:$B,0)),0)/2,IF(SUM($BG309)=0,"",ROUND($AX309/$BG309,0)))</f>
        <v>1</v>
      </c>
    </row>
    <row r="310" customFormat="false" ht="15" hidden="false" customHeight="false" outlineLevel="0" collapsed="false">
      <c r="A310" s="0" t="str">
        <f aca="false">INDEX(Prioritization!$D:$D,MATCH($B310,Prioritization!$A:$A,0))</f>
        <v>INVALID</v>
      </c>
      <c r="B310" s="0" t="s">
        <v>215</v>
      </c>
      <c r="C310" s="0" t="s">
        <v>316</v>
      </c>
      <c r="D310" s="0" t="s">
        <v>48</v>
      </c>
      <c r="E310" s="0" t="str">
        <f aca="false">$B310&amp;"|"&amp;$C310&amp;"|"&amp;$D310</f>
        <v>Mangochi District [lLDyBx5XyUi]|&lt;01|Male</v>
      </c>
      <c r="F310" s="10"/>
      <c r="G310" s="10" t="n">
        <v>2</v>
      </c>
      <c r="H310" s="10" t="n">
        <v>1</v>
      </c>
      <c r="I310" s="10" t="n">
        <v>6</v>
      </c>
      <c r="J310" s="10" t="n">
        <v>5</v>
      </c>
      <c r="K310" s="10" t="n">
        <v>1</v>
      </c>
      <c r="L310" s="10"/>
      <c r="M310" s="10" t="n">
        <v>2</v>
      </c>
      <c r="N310" s="10" t="n">
        <v>5</v>
      </c>
      <c r="O310" s="10" t="n">
        <f aca="false">IFERROR(1/(1/MAX($I310,$N310)),"")</f>
        <v>6</v>
      </c>
      <c r="P310" s="10" t="n">
        <v>6</v>
      </c>
      <c r="Q310" s="10" t="n">
        <v>2</v>
      </c>
      <c r="R310" s="10" t="n">
        <f aca="false">IF(AND(SUM($I310)=0,SUM($O310)=0),"",SUM($O310)-$I310)</f>
        <v>0</v>
      </c>
      <c r="S310" s="10" t="n">
        <f aca="false">IF(LEFT($B310,4)="_Mil","",_xlfn.IFNA(ROUND(INDEX(Spectrum!$N:$N,MATCH(RIGHT($B310,13)&amp;"|"&amp;$C310&amp;"|"&amp;$D310&amp;"|"&amp;S$14&amp;"|"&amp;"CY2022Q4",Spectrum!$R:$R,0)),0),""))</f>
        <v>1230</v>
      </c>
      <c r="T310" s="39" t="n">
        <f aca="false">IF(LEFT($B310,4)="_Mil","",_xlfn.IFNA(ROUND(INDEX(Spectrum!$N:$N,MATCH(RIGHT($B310,13)&amp;"|"&amp;$C310&amp;"|"&amp;$D310&amp;"|"&amp;T$14&amp;"|"&amp;"CY2023Q3",Spectrum!$R:$R,0)),0),""))</f>
        <v>1271</v>
      </c>
      <c r="U310" s="39" t="str">
        <f aca="false">IF(LEFT($B310,4)="_Mil","",_xlfn.IFNA(ROUND(INDEX(Spectrum!$N:$N,MATCH(RIGHT($B310,13)&amp;"|"&amp;$C310&amp;"|"&amp;$D310&amp;"|"&amp;U$14&amp;"|"&amp;"CY2023Q3",Spectrum!$R:$R,0)),0),""))</f>
        <v/>
      </c>
      <c r="V310" s="10" t="n">
        <f aca="false">IF(LEFT($B310,4)="_Mil","",_xlfn.IFNA(ROUND(INDEX(Spectrum!$N:$N,MATCH(RIGHT($B310,13)&amp;"|"&amp;$C310&amp;"|"&amp;$D310&amp;"|"&amp;V$14&amp;"|"&amp;"CY2023Q3",Spectrum!$R:$R,0)),0),""))</f>
        <v>1989</v>
      </c>
      <c r="W310" s="113" t="n">
        <f aca="false">IF(LEFT($B310,4)="_Mil","",_xlfn.IFNA(INDEX(Spectrum!$N:$N,MATCH(RIGHT($B310,13)&amp;"|"&amp;$C310&amp;"|"&amp;$D310&amp;"|"&amp;W$14&amp;"|"&amp;"CY2023Q3",Spectrum!$R:$R,0)),""))</f>
        <v>975</v>
      </c>
      <c r="X310" s="39" t="n">
        <f aca="false">IF(LEFT($B310,4)="_Mil","",_xlfn.IFNA(ROUND(INDEX(Spectrum!$N:$N,MATCH(RIGHT($B310,13)&amp;"|"&amp;$C310&amp;"|"&amp;$D310&amp;"|"&amp;X$14&amp;"|"&amp;"CY2023Q3",Spectrum!$R:$R,0)),0),""))</f>
        <v>1923</v>
      </c>
      <c r="Y310" s="88" t="str">
        <f aca="false">IF(OR(SUM($U310)=0,LEFT($B310,4)="_Mil"),"",SUM($X310)/$U310)</f>
        <v/>
      </c>
      <c r="Z310" s="39" t="n">
        <f aca="false">IF(LEFT($B310,4)="_Mil","",_xlfn.IFNA(ROUND(INDEX(Spectrum!$N:$N,MATCH(RIGHT($B310,13)&amp;"|"&amp;$C310&amp;"|"&amp;$D310&amp;"|"&amp;Z$14&amp;"|"&amp;"CY2023Q3",Spectrum!$R:$R,0)),0),""))</f>
        <v>1416</v>
      </c>
      <c r="AA310" s="88" t="n">
        <f aca="false">IF(LEFT($B310,4)="_Mil","",IFERROR(1/(1/INDEX(Spectrum!$N:$N,MATCH(RIGHT($B310,13)&amp;"|"&amp;$C310&amp;"|"&amp;$D310&amp;"|"&amp;AA$14&amp;"|"&amp;"CY2023Q3",Spectrum!$R:$R,0))),IF(SUM($U310)=0,"",SUM($Z310)/$U310)))</f>
        <v>1316</v>
      </c>
      <c r="AB310" s="88" t="n">
        <f aca="false">IF(OR(LEFT($B310,4)="_Mil",SUM($X310)=0),"",SUM($Z310)/$X310)</f>
        <v>0.736349453978159</v>
      </c>
      <c r="AC310" s="10" t="n">
        <f aca="false">IF(LEFT($B310,4)="_Mil","",_xlfn.IFNA(ROUND(INDEX(Spectrum!$N:$N,MATCH(RIGHT($B310,13)&amp;"|"&amp;$C310&amp;"|"&amp;$D310&amp;"|"&amp;AC$14&amp;"|"&amp;"CY2023Q3",Spectrum!$R:$R,0)),0),""))</f>
        <v>1596</v>
      </c>
      <c r="AD310" s="10" t="str">
        <f aca="false">IF(LEFT($B310,4)="_Mil","",_xlfn.IFNA(ROUND(INDEX(Spectrum!$N:$N,MATCH(RIGHT($B310,13)&amp;"|"&amp;$C310&amp;"|"&amp;$D310&amp;"|"&amp;AD$14&amp;"|"&amp;"CY2023Q3",Spectrum!$R:$R,0)),0),""))</f>
        <v/>
      </c>
      <c r="AE310" s="88" t="n">
        <f aca="false">IF(OR(LEFT($B310,4)="_Mil",SUM($Z310)=0),"",SUM($AD310)/$Z310)</f>
        <v>0</v>
      </c>
      <c r="AF310" s="39" t="str">
        <f aca="false">IF(LEFT($B310,4)="_Mil","",_xlfn.IFNA(ROUND(INDEX(Spectrum!$N:$N,MATCH(RIGHT($B310,13)&amp;"|"&amp;$C310&amp;"|"&amp;$D310&amp;"|"&amp;AF$14&amp;"|"&amp;"CY2023Q3",Spectrum!$R:$R,0)),0),""))</f>
        <v/>
      </c>
      <c r="AG310" s="88" t="str">
        <f aca="false">IF(OR(LEFT($B310,4)="_Mil",SUM($AD310)=0),"",SUM($AF310)/$AD310)</f>
        <v/>
      </c>
      <c r="AH310" s="86" t="str">
        <f aca="false">IF(LEFT($B310,4)="_Mil","",_xlfn.IFNA(INDEX(Spectrum!$N:$N,MATCH(RIGHT($B310,13)&amp;"|"&amp;$C310&amp;"|"&amp;$D310&amp;"|"&amp;AH$14&amp;"|"&amp;"CY2023Q3",Spectrum!$R:$R,0)),""))</f>
        <v/>
      </c>
      <c r="AI310" s="10" t="str">
        <f aca="false">IF(LEFT($B310,4)="_Mil","",_xlfn.IFNA(ROUND(INDEX(Spectrum!$N:$N,MATCH(RIGHT($B310,13)&amp;"|"&amp;$C310&amp;"|"&amp;$D310&amp;"|"&amp;AI$14&amp;"|"&amp;"CY2023Q3",Spectrum!$R:$R,0)),0),""))</f>
        <v/>
      </c>
      <c r="AJ310" s="39" t="n">
        <f aca="false">IF(LEFT($B310,4)="_Mil","",_xlfn.IFNA(ROUND(INDEX(Spectrum!$N:$N,MATCH(RIGHT($B310,13)&amp;"|"&amp;$C310&amp;"|"&amp;$D310&amp;"|"&amp;AI$14&amp;"|"&amp;"CY2023Q3",Spectrum!$R:$R,0)),0),SUM($U310)+SUM($AI310)))</f>
        <v>0</v>
      </c>
      <c r="AK310" s="10" t="str">
        <f aca="false">IF(LEFT($B310,4)="_Mil","",_xlfn.IFNA(ROUND(INDEX(Spectrum!$N:$N,MATCH(RIGHT($B310,13)&amp;"|"&amp;$C310&amp;"|"&amp;$D310&amp;"|"&amp;AK$14&amp;"|"&amp;"CY2023Q3",Spectrum!$R:$R,0)),0),""))</f>
        <v/>
      </c>
      <c r="AL310" s="88" t="str">
        <f aca="false">IF(OR(LEFT($B310,4)="_Mil",$C310="&lt;01"),"",MAX(SUM($AA310),90%))</f>
        <v/>
      </c>
      <c r="AM310" s="10" t="str">
        <f aca="false">IF(OR(LEFT($B310,4)="_Mil",$C310="&lt;01"),"",ROUND(SUM($AJ310)*SUM($AL310),0))</f>
        <v/>
      </c>
      <c r="AN310" s="10" t="n">
        <f aca="false">IF($C310="&lt;01",ROUND(INDEX(EID!$P:$P,MATCH($B310,EID!$B:$B,0))/2,0),"")</f>
        <v>1</v>
      </c>
      <c r="AO310" s="10" t="n">
        <f aca="false">IF($C310="&lt;01",SUM($AN310),ROUND(SUM($AM310)*SUM($O310)/IF(SUM($Z310)=0,1,$Z310),0))</f>
        <v>1</v>
      </c>
      <c r="AP310" s="39" t="n">
        <f aca="false">IF(OR($F310="",$C310="&lt;01"),$AO310,$F310)</f>
        <v>1</v>
      </c>
      <c r="AQ310" s="39" t="n">
        <f aca="false">IF(LEFT($B310,4)="_Mil","",IF(SUM($AP310)=0,SUM($Z310),IF(OR(SUM($Z310)=0,SUM($O310)=0),MAX($AP310,$Z310),$AP310*$Z310/$O310)))</f>
        <v>236</v>
      </c>
      <c r="AR310" s="88" t="str">
        <f aca="false">IF(OR(LEFT($B310,4)="_Mil",SUM($AJ310)=0),"",SUM($AQ310)/$AJ310)</f>
        <v/>
      </c>
      <c r="AS310" s="88" t="str">
        <f aca="false">IF($C310="&lt;01","",98%)</f>
        <v/>
      </c>
      <c r="AT310" s="88" t="str">
        <f aca="false">IF($C310="&lt;01","",98%)</f>
        <v/>
      </c>
      <c r="AU310" s="10" t="str">
        <f aca="false">IF($C310="&lt;01","",SUM($AP310)-SUM($O310))</f>
        <v/>
      </c>
      <c r="AV310" s="10" t="n">
        <f aca="false">IF($C310="&lt;01",ROUND(INDEX(EID!$N:$N,MATCH($B310,EID!$B:$B,0))/2,0),IF(SUM($AT310)=0,"",ROUND((SUM($AP310)-(SUM($O310)*SUM($AS310)))/$AT310,0)))</f>
        <v>1</v>
      </c>
      <c r="AW310" s="88" t="str">
        <f aca="false">IF($C310="&lt;01","",100%)</f>
        <v/>
      </c>
      <c r="AX310" s="39" t="n">
        <f aca="false">IF($C310="&lt;01",SUM($AV310),ROUND(SUM($AV310)*SUM($AW310),0))</f>
        <v>1</v>
      </c>
      <c r="AY310" s="114" t="str">
        <f aca="false">IF($C310="&lt;01","",70%)</f>
        <v/>
      </c>
      <c r="AZ310" s="91" t="n">
        <f aca="false">IF($C310="&lt;01",ROUND(INDEX(EID!$R:$R,MATCH($B310,EID!$B:$B,0))/2,0),ROUND(SUM($O310)+(SUM($AV310)*$AY310),0))</f>
        <v>1</v>
      </c>
      <c r="BA310" s="87" t="str">
        <f aca="false">IF($C310="&lt;01","",95%)</f>
        <v/>
      </c>
      <c r="BB310" s="5" t="n">
        <f aca="false">IF($C310="&lt;01",ROUND(INDEX(EID!$T:$T,MATCH($B310,EID!$B:$B,0))/2,0),ROUND($AZ310*$BA310,0))</f>
        <v>1</v>
      </c>
      <c r="BC310" s="91" t="n">
        <f aca="false">IF(LEFT($B310,4)="_Mil","",IF(SUM($BB310)=0,SUM($AD310),IF(OR(SUM($AP310)=0,SUM($AQ310)=0),MAX($BB310,$AD310),ROUND($BB310*$AQ310/$AP310,0))))</f>
        <v>236</v>
      </c>
      <c r="BD310" s="88" t="str">
        <f aca="false">IF($C310="&lt;01","",95%)</f>
        <v/>
      </c>
      <c r="BE310" s="39" t="n">
        <f aca="false">IF($C310="&lt;01",ROUND(INDEX(EID!$V:$V,MATCH($B310,EID!$B:$B,0))/2,0),ROUND($BD310*$BB310,0))</f>
        <v>1</v>
      </c>
      <c r="BF310" s="39" t="n">
        <f aca="false">IF(LEFT($B310,4)="_Mil","",IF(SUM($BE310)=0,SUM($AF310),IF(OR(SUM($AP310)=0,SUM($AQ310)=0),MAX($BE310,$AF310),ROUND($BE310*$AQ310/$AP310,0))))</f>
        <v>236</v>
      </c>
      <c r="BG310" s="114" t="str">
        <f aca="false">IF($C310="&lt;01","",95%)</f>
        <v/>
      </c>
      <c r="BH310" s="5" t="n">
        <f aca="false">IF($C310="&lt;01",ROUND(INDEX(EID!$L:$L,MATCH($B310,EID!$B:$B,0)),0)/2,IF(SUM($BG310)=0,"",ROUND($AX310/$BG310,0)))</f>
        <v>1</v>
      </c>
    </row>
    <row r="311" customFormat="false" ht="15" hidden="false" customHeight="false" outlineLevel="0" collapsed="false">
      <c r="A311" s="0" t="str">
        <f aca="false">INDEX(Prioritization!$D:$D,MATCH($B311,Prioritization!$A:$A,0))</f>
        <v>INVALID</v>
      </c>
      <c r="B311" s="0" t="s">
        <v>215</v>
      </c>
      <c r="C311" s="0" t="s">
        <v>363</v>
      </c>
      <c r="D311" s="0" t="s">
        <v>30</v>
      </c>
      <c r="E311" s="0" t="str">
        <f aca="false">$B311&amp;"|"&amp;$C311&amp;"|"&amp;$D311</f>
        <v>Mangochi District [lLDyBx5XyUi]|01-09|Female</v>
      </c>
      <c r="F311" s="10"/>
      <c r="G311" s="10"/>
      <c r="H311" s="10"/>
      <c r="I311" s="10"/>
      <c r="J311" s="10"/>
      <c r="K311" s="10"/>
      <c r="L311" s="10"/>
      <c r="M311" s="10"/>
      <c r="N311" s="10"/>
      <c r="O311" s="10" t="str">
        <f aca="false">IFERROR(1/(1/MAX($I311,$N311)),"")</f>
        <v/>
      </c>
      <c r="P311" s="10"/>
      <c r="Q311" s="10"/>
      <c r="R311" s="10" t="str">
        <f aca="false">IF(AND(SUM($I311)=0,SUM($O311)=0),"",SUM($O311)-$I311)</f>
        <v/>
      </c>
      <c r="S311" s="10" t="n">
        <f aca="false">IF(LEFT($B311,4)="_Mil","",_xlfn.IFNA(ROUND(INDEX(Spectrum!$N:$N,MATCH(RIGHT($B311,13)&amp;"|"&amp;$C311&amp;"|"&amp;$D311&amp;"|"&amp;S$14&amp;"|"&amp;"CY2022Q4",Spectrum!$R:$R,0)),0),""))</f>
        <v>704</v>
      </c>
      <c r="T311" s="39" t="n">
        <f aca="false">IF(LEFT($B311,4)="_Mil","",_xlfn.IFNA(ROUND(INDEX(Spectrum!$N:$N,MATCH(RIGHT($B311,13)&amp;"|"&amp;$C311&amp;"|"&amp;$D311&amp;"|"&amp;T$14&amp;"|"&amp;"CY2023Q3",Spectrum!$R:$R,0)),0),""))</f>
        <v>963</v>
      </c>
      <c r="U311" s="39" t="str">
        <f aca="false">IF(LEFT($B311,4)="_Mil","",_xlfn.IFNA(ROUND(INDEX(Spectrum!$N:$N,MATCH(RIGHT($B311,13)&amp;"|"&amp;$C311&amp;"|"&amp;$D311&amp;"|"&amp;U$14&amp;"|"&amp;"CY2023Q3",Spectrum!$R:$R,0)),0),""))</f>
        <v/>
      </c>
      <c r="V311" s="10" t="n">
        <f aca="false">IF(LEFT($B311,4)="_Mil","",_xlfn.IFNA(ROUND(INDEX(Spectrum!$N:$N,MATCH(RIGHT($B311,13)&amp;"|"&amp;$C311&amp;"|"&amp;$D311&amp;"|"&amp;V$14&amp;"|"&amp;"CY2023Q3",Spectrum!$R:$R,0)),0),""))</f>
        <v>1631</v>
      </c>
      <c r="W311" s="113" t="n">
        <f aca="false">IF(LEFT($B311,4)="_Mil","",_xlfn.IFNA(INDEX(Spectrum!$N:$N,MATCH(RIGHT($B311,13)&amp;"|"&amp;$C311&amp;"|"&amp;$D311&amp;"|"&amp;W$14&amp;"|"&amp;"CY2023Q3",Spectrum!$R:$R,0)),""))</f>
        <v>1578</v>
      </c>
      <c r="X311" s="39" t="n">
        <f aca="false">IF(LEFT($B311,4)="_Mil","",_xlfn.IFNA(ROUND(INDEX(Spectrum!$N:$N,MATCH(RIGHT($B311,13)&amp;"|"&amp;$C311&amp;"|"&amp;$D311&amp;"|"&amp;X$14&amp;"|"&amp;"CY2023Q3",Spectrum!$R:$R,0)),0),""))</f>
        <v>1962</v>
      </c>
      <c r="Y311" s="88" t="str">
        <f aca="false">IF(OR(SUM($U311)=0,LEFT($B311,4)="_Mil"),"",SUM($X311)/$U311)</f>
        <v/>
      </c>
      <c r="Z311" s="39" t="n">
        <f aca="false">IF(LEFT($B311,4)="_Mil","",_xlfn.IFNA(ROUND(INDEX(Spectrum!$N:$N,MATCH(RIGHT($B311,13)&amp;"|"&amp;$C311&amp;"|"&amp;$D311&amp;"|"&amp;Z$14&amp;"|"&amp;"CY2023Q3",Spectrum!$R:$R,0)),0),""))</f>
        <v>1972</v>
      </c>
      <c r="AA311" s="88" t="n">
        <f aca="false">IF(LEFT($B311,4)="_Mil","",IFERROR(1/(1/INDEX(Spectrum!$N:$N,MATCH(RIGHT($B311,13)&amp;"|"&amp;$C311&amp;"|"&amp;$D311&amp;"|"&amp;AA$14&amp;"|"&amp;"CY2023Q3",Spectrum!$R:$R,0))),IF(SUM($U311)=0,"",SUM($Z311)/$U311)))</f>
        <v>1235</v>
      </c>
      <c r="AB311" s="88" t="n">
        <f aca="false">IF(OR(LEFT($B311,4)="_Mil",SUM($X311)=0),"",SUM($Z311)/$X311)</f>
        <v>1.00509683995923</v>
      </c>
      <c r="AC311" s="10" t="n">
        <f aca="false">IF(LEFT($B311,4)="_Mil","",_xlfn.IFNA(ROUND(INDEX(Spectrum!$N:$N,MATCH(RIGHT($B311,13)&amp;"|"&amp;$C311&amp;"|"&amp;$D311&amp;"|"&amp;AC$14&amp;"|"&amp;"CY2023Q3",Spectrum!$R:$R,0)),0),""))</f>
        <v>653</v>
      </c>
      <c r="AD311" s="10" t="str">
        <f aca="false">IF(LEFT($B311,4)="_Mil","",_xlfn.IFNA(ROUND(INDEX(Spectrum!$N:$N,MATCH(RIGHT($B311,13)&amp;"|"&amp;$C311&amp;"|"&amp;$D311&amp;"|"&amp;AD$14&amp;"|"&amp;"CY2023Q3",Spectrum!$R:$R,0)),0),""))</f>
        <v/>
      </c>
      <c r="AE311" s="88" t="n">
        <f aca="false">IF(OR(LEFT($B311,4)="_Mil",SUM($Z311)=0),"",SUM($AD311)/$Z311)</f>
        <v>0</v>
      </c>
      <c r="AF311" s="39" t="str">
        <f aca="false">IF(LEFT($B311,4)="_Mil","",_xlfn.IFNA(ROUND(INDEX(Spectrum!$N:$N,MATCH(RIGHT($B311,13)&amp;"|"&amp;$C311&amp;"|"&amp;$D311&amp;"|"&amp;AF$14&amp;"|"&amp;"CY2023Q3",Spectrum!$R:$R,0)),0),""))</f>
        <v/>
      </c>
      <c r="AG311" s="88" t="str">
        <f aca="false">IF(OR(LEFT($B311,4)="_Mil",SUM($AD311)=0),"",SUM($AF311)/$AD311)</f>
        <v/>
      </c>
      <c r="AH311" s="86" t="str">
        <f aca="false">IF(LEFT($B311,4)="_Mil","",_xlfn.IFNA(INDEX(Spectrum!$N:$N,MATCH(RIGHT($B311,13)&amp;"|"&amp;$C311&amp;"|"&amp;$D311&amp;"|"&amp;AH$14&amp;"|"&amp;"CY2023Q3",Spectrum!$R:$R,0)),""))</f>
        <v/>
      </c>
      <c r="AI311" s="10" t="str">
        <f aca="false">IF(LEFT($B311,4)="_Mil","",_xlfn.IFNA(ROUND(INDEX(Spectrum!$N:$N,MATCH(RIGHT($B311,13)&amp;"|"&amp;$C311&amp;"|"&amp;$D311&amp;"|"&amp;AI$14&amp;"|"&amp;"CY2023Q3",Spectrum!$R:$R,0)),0),""))</f>
        <v/>
      </c>
      <c r="AJ311" s="39" t="n">
        <f aca="false">IF(LEFT($B311,4)="_Mil","",_xlfn.IFNA(ROUND(INDEX(Spectrum!$N:$N,MATCH(RIGHT($B311,13)&amp;"|"&amp;$C311&amp;"|"&amp;$D311&amp;"|"&amp;AI$14&amp;"|"&amp;"CY2023Q3",Spectrum!$R:$R,0)),0),SUM($U311)+SUM($AI311)))</f>
        <v>0</v>
      </c>
      <c r="AK311" s="10" t="str">
        <f aca="false">IF(LEFT($B311,4)="_Mil","",_xlfn.IFNA(ROUND(INDEX(Spectrum!$N:$N,MATCH(RIGHT($B311,13)&amp;"|"&amp;$C311&amp;"|"&amp;$D311&amp;"|"&amp;AK$14&amp;"|"&amp;"CY2023Q3",Spectrum!$R:$R,0)),0),""))</f>
        <v/>
      </c>
      <c r="AL311" s="88" t="n">
        <f aca="false">IF(OR(LEFT($B311,4)="_Mil",$C311="&lt;01"),"",MAX(SUM($AA311),90%))</f>
        <v>1235</v>
      </c>
      <c r="AM311" s="10" t="n">
        <f aca="false">IF(OR(LEFT($B311,4)="_Mil",$C311="&lt;01"),"",ROUND(SUM($AJ311)*SUM($AL311),0))</f>
        <v>0</v>
      </c>
      <c r="AN311" s="10" t="str">
        <f aca="false">IF($C311="&lt;01",ROUND(INDEX(EID!$P:$P,MATCH($B311,EID!$B:$B,0))/2,0),"")</f>
        <v/>
      </c>
      <c r="AO311" s="10" t="n">
        <f aca="false">IF($C311="&lt;01",SUM($AN311),ROUND(SUM($AM311)*SUM($O311)/IF(SUM($Z311)=0,1,$Z311),0))</f>
        <v>0</v>
      </c>
      <c r="AP311" s="39" t="n">
        <f aca="false">IF(OR($F311="",$C311="&lt;01"),$AO311,$F311)</f>
        <v>0</v>
      </c>
      <c r="AQ311" s="39" t="n">
        <f aca="false">IF(LEFT($B311,4)="_Mil","",IF(SUM($AP311)=0,SUM($Z311),IF(OR(SUM($Z311)=0,SUM($O311)=0),MAX($AP311,$Z311),$AP311*$Z311/$O311)))</f>
        <v>1972</v>
      </c>
      <c r="AR311" s="88" t="str">
        <f aca="false">IF(OR(LEFT($B311,4)="_Mil",SUM($AJ311)=0),"",SUM($AQ311)/$AJ311)</f>
        <v/>
      </c>
      <c r="AS311" s="88" t="n">
        <f aca="false">IF($C311="&lt;01","",98%)</f>
        <v>0.98</v>
      </c>
      <c r="AT311" s="88" t="n">
        <f aca="false">IF($C311="&lt;01","",98%)</f>
        <v>0.98</v>
      </c>
      <c r="AU311" s="10" t="n">
        <f aca="false">IF($C311="&lt;01","",SUM($AP311)-SUM($O311))</f>
        <v>0</v>
      </c>
      <c r="AV311" s="10" t="n">
        <f aca="false">IF($C311="&lt;01",ROUND(INDEX(EID!$N:$N,MATCH($B311,EID!$B:$B,0))/2,0),IF(SUM($AT311)=0,"",ROUND((SUM($AP311)-(SUM($O311)*SUM($AS311)))/$AT311,0)))</f>
        <v>0</v>
      </c>
      <c r="AW311" s="88" t="n">
        <f aca="false">IF($C311="&lt;01","",100%)</f>
        <v>1</v>
      </c>
      <c r="AX311" s="39" t="n">
        <f aca="false">IF($C311="&lt;01",SUM($AV311),ROUND(SUM($AV311)*SUM($AW311),0))</f>
        <v>0</v>
      </c>
      <c r="AY311" s="114" t="n">
        <f aca="false">IF($C311="&lt;01","",70%)</f>
        <v>0.7</v>
      </c>
      <c r="AZ311" s="91" t="n">
        <f aca="false">IF($C311="&lt;01",ROUND(INDEX(EID!$R:$R,MATCH($B311,EID!$B:$B,0))/2,0),ROUND(SUM($O311)+(SUM($AV311)*$AY311),0))</f>
        <v>0</v>
      </c>
      <c r="BA311" s="87" t="n">
        <f aca="false">IF($C311="&lt;01","",95%)</f>
        <v>0.95</v>
      </c>
      <c r="BB311" s="5" t="n">
        <f aca="false">IF($C311="&lt;01",ROUND(INDEX(EID!$T:$T,MATCH($B311,EID!$B:$B,0))/2,0),ROUND($AZ311*$BA311,0))</f>
        <v>0</v>
      </c>
      <c r="BC311" s="91" t="n">
        <f aca="false">IF(LEFT($B311,4)="_Mil","",IF(SUM($BB311)=0,SUM($AD311),IF(OR(SUM($AP311)=0,SUM($AQ311)=0),MAX($BB311,$AD311),ROUND($BB311*$AQ311/$AP311,0))))</f>
        <v>0</v>
      </c>
      <c r="BD311" s="88" t="n">
        <f aca="false">IF($C311="&lt;01","",95%)</f>
        <v>0.95</v>
      </c>
      <c r="BE311" s="39" t="n">
        <f aca="false">IF($C311="&lt;01",ROUND(INDEX(EID!$V:$V,MATCH($B311,EID!$B:$B,0))/2,0),ROUND($BD311*$BB311,0))</f>
        <v>0</v>
      </c>
      <c r="BF311" s="39" t="n">
        <f aca="false">IF(LEFT($B311,4)="_Mil","",IF(SUM($BE311)=0,SUM($AF311),IF(OR(SUM($AP311)=0,SUM($AQ311)=0),MAX($BE311,$AF311),ROUND($BE311*$AQ311/$AP311,0))))</f>
        <v>0</v>
      </c>
      <c r="BG311" s="114" t="n">
        <f aca="false">IF($C311="&lt;01","",95%)</f>
        <v>0.95</v>
      </c>
      <c r="BH311" s="5" t="n">
        <f aca="false">IF($C311="&lt;01",ROUND(INDEX(EID!$L:$L,MATCH($B311,EID!$B:$B,0)),0)/2,IF(SUM($BG311)=0,"",ROUND($AX311/$BG311,0)))</f>
        <v>0</v>
      </c>
    </row>
    <row r="312" customFormat="false" ht="15" hidden="false" customHeight="false" outlineLevel="0" collapsed="false">
      <c r="A312" s="0" t="str">
        <f aca="false">INDEX(Prioritization!$D:$D,MATCH($B312,Prioritization!$A:$A,0))</f>
        <v>INVALID</v>
      </c>
      <c r="B312" s="0" t="s">
        <v>215</v>
      </c>
      <c r="C312" s="0" t="s">
        <v>363</v>
      </c>
      <c r="D312" s="0" t="s">
        <v>48</v>
      </c>
      <c r="E312" s="0" t="str">
        <f aca="false">$B312&amp;"|"&amp;$C312&amp;"|"&amp;$D312</f>
        <v>Mangochi District [lLDyBx5XyUi]|01-09|Male</v>
      </c>
      <c r="F312" s="10"/>
      <c r="G312" s="10"/>
      <c r="H312" s="10"/>
      <c r="I312" s="10"/>
      <c r="J312" s="10"/>
      <c r="K312" s="10"/>
      <c r="L312" s="10"/>
      <c r="M312" s="10"/>
      <c r="N312" s="10"/>
      <c r="O312" s="10" t="str">
        <f aca="false">IFERROR(1/(1/MAX($I312,$N312)),"")</f>
        <v/>
      </c>
      <c r="P312" s="10"/>
      <c r="Q312" s="10"/>
      <c r="R312" s="10" t="str">
        <f aca="false">IF(AND(SUM($I312)=0,SUM($O312)=0),"",SUM($O312)-$I312)</f>
        <v/>
      </c>
      <c r="S312" s="10" t="n">
        <f aca="false">IF(LEFT($B312,4)="_Mil","",_xlfn.IFNA(ROUND(INDEX(Spectrum!$N:$N,MATCH(RIGHT($B312,13)&amp;"|"&amp;$C312&amp;"|"&amp;$D312&amp;"|"&amp;S$14&amp;"|"&amp;"CY2022Q4",Spectrum!$R:$R,0)),0),""))</f>
        <v>1405</v>
      </c>
      <c r="T312" s="39" t="n">
        <f aca="false">IF(LEFT($B312,4)="_Mil","",_xlfn.IFNA(ROUND(INDEX(Spectrum!$N:$N,MATCH(RIGHT($B312,13)&amp;"|"&amp;$C312&amp;"|"&amp;$D312&amp;"|"&amp;T$14&amp;"|"&amp;"CY2023Q3",Spectrum!$R:$R,0)),0),""))</f>
        <v>554</v>
      </c>
      <c r="U312" s="39" t="str">
        <f aca="false">IF(LEFT($B312,4)="_Mil","",_xlfn.IFNA(ROUND(INDEX(Spectrum!$N:$N,MATCH(RIGHT($B312,13)&amp;"|"&amp;$C312&amp;"|"&amp;$D312&amp;"|"&amp;U$14&amp;"|"&amp;"CY2023Q3",Spectrum!$R:$R,0)),0),""))</f>
        <v/>
      </c>
      <c r="V312" s="10" t="n">
        <f aca="false">IF(LEFT($B312,4)="_Mil","",_xlfn.IFNA(ROUND(INDEX(Spectrum!$N:$N,MATCH(RIGHT($B312,13)&amp;"|"&amp;$C312&amp;"|"&amp;$D312&amp;"|"&amp;V$14&amp;"|"&amp;"CY2023Q3",Spectrum!$R:$R,0)),0),""))</f>
        <v>1748</v>
      </c>
      <c r="W312" s="113" t="n">
        <f aca="false">IF(LEFT($B312,4)="_Mil","",_xlfn.IFNA(INDEX(Spectrum!$N:$N,MATCH(RIGHT($B312,13)&amp;"|"&amp;$C312&amp;"|"&amp;$D312&amp;"|"&amp;W$14&amp;"|"&amp;"CY2023Q3",Spectrum!$R:$R,0)),""))</f>
        <v>1668</v>
      </c>
      <c r="X312" s="39" t="n">
        <f aca="false">IF(LEFT($B312,4)="_Mil","",_xlfn.IFNA(ROUND(INDEX(Spectrum!$N:$N,MATCH(RIGHT($B312,13)&amp;"|"&amp;$C312&amp;"|"&amp;$D312&amp;"|"&amp;X$14&amp;"|"&amp;"CY2023Q3",Spectrum!$R:$R,0)),0),""))</f>
        <v>998</v>
      </c>
      <c r="Y312" s="88" t="str">
        <f aca="false">IF(OR(SUM($U312)=0,LEFT($B312,4)="_Mil"),"",SUM($X312)/$U312)</f>
        <v/>
      </c>
      <c r="Z312" s="39" t="n">
        <f aca="false">IF(LEFT($B312,4)="_Mil","",_xlfn.IFNA(ROUND(INDEX(Spectrum!$N:$N,MATCH(RIGHT($B312,13)&amp;"|"&amp;$C312&amp;"|"&amp;$D312&amp;"|"&amp;Z$14&amp;"|"&amp;"CY2023Q3",Spectrum!$R:$R,0)),0),""))</f>
        <v>996</v>
      </c>
      <c r="AA312" s="88" t="n">
        <f aca="false">IF(LEFT($B312,4)="_Mil","",IFERROR(1/(1/INDEX(Spectrum!$N:$N,MATCH(RIGHT($B312,13)&amp;"|"&amp;$C312&amp;"|"&amp;$D312&amp;"|"&amp;AA$14&amp;"|"&amp;"CY2023Q3",Spectrum!$R:$R,0))),IF(SUM($U312)=0,"",SUM($Z312)/$U312)))</f>
        <v>685</v>
      </c>
      <c r="AB312" s="88" t="n">
        <f aca="false">IF(OR(LEFT($B312,4)="_Mil",SUM($X312)=0),"",SUM($Z312)/$X312)</f>
        <v>0.997995991983968</v>
      </c>
      <c r="AC312" s="10" t="n">
        <f aca="false">IF(LEFT($B312,4)="_Mil","",_xlfn.IFNA(ROUND(INDEX(Spectrum!$N:$N,MATCH(RIGHT($B312,13)&amp;"|"&amp;$C312&amp;"|"&amp;$D312&amp;"|"&amp;AC$14&amp;"|"&amp;"CY2023Q3",Spectrum!$R:$R,0)),0),""))</f>
        <v>1996</v>
      </c>
      <c r="AD312" s="10" t="str">
        <f aca="false">IF(LEFT($B312,4)="_Mil","",_xlfn.IFNA(ROUND(INDEX(Spectrum!$N:$N,MATCH(RIGHT($B312,13)&amp;"|"&amp;$C312&amp;"|"&amp;$D312&amp;"|"&amp;AD$14&amp;"|"&amp;"CY2023Q3",Spectrum!$R:$R,0)),0),""))</f>
        <v/>
      </c>
      <c r="AE312" s="88" t="n">
        <f aca="false">IF(OR(LEFT($B312,4)="_Mil",SUM($Z312)=0),"",SUM($AD312)/$Z312)</f>
        <v>0</v>
      </c>
      <c r="AF312" s="39" t="str">
        <f aca="false">IF(LEFT($B312,4)="_Mil","",_xlfn.IFNA(ROUND(INDEX(Spectrum!$N:$N,MATCH(RIGHT($B312,13)&amp;"|"&amp;$C312&amp;"|"&amp;$D312&amp;"|"&amp;AF$14&amp;"|"&amp;"CY2023Q3",Spectrum!$R:$R,0)),0),""))</f>
        <v/>
      </c>
      <c r="AG312" s="88" t="str">
        <f aca="false">IF(OR(LEFT($B312,4)="_Mil",SUM($AD312)=0),"",SUM($AF312)/$AD312)</f>
        <v/>
      </c>
      <c r="AH312" s="86" t="str">
        <f aca="false">IF(LEFT($B312,4)="_Mil","",_xlfn.IFNA(INDEX(Spectrum!$N:$N,MATCH(RIGHT($B312,13)&amp;"|"&amp;$C312&amp;"|"&amp;$D312&amp;"|"&amp;AH$14&amp;"|"&amp;"CY2023Q3",Spectrum!$R:$R,0)),""))</f>
        <v/>
      </c>
      <c r="AI312" s="10" t="str">
        <f aca="false">IF(LEFT($B312,4)="_Mil","",_xlfn.IFNA(ROUND(INDEX(Spectrum!$N:$N,MATCH(RIGHT($B312,13)&amp;"|"&amp;$C312&amp;"|"&amp;$D312&amp;"|"&amp;AI$14&amp;"|"&amp;"CY2023Q3",Spectrum!$R:$R,0)),0),""))</f>
        <v/>
      </c>
      <c r="AJ312" s="39" t="n">
        <f aca="false">IF(LEFT($B312,4)="_Mil","",_xlfn.IFNA(ROUND(INDEX(Spectrum!$N:$N,MATCH(RIGHT($B312,13)&amp;"|"&amp;$C312&amp;"|"&amp;$D312&amp;"|"&amp;AI$14&amp;"|"&amp;"CY2023Q3",Spectrum!$R:$R,0)),0),SUM($U312)+SUM($AI312)))</f>
        <v>0</v>
      </c>
      <c r="AK312" s="10" t="str">
        <f aca="false">IF(LEFT($B312,4)="_Mil","",_xlfn.IFNA(ROUND(INDEX(Spectrum!$N:$N,MATCH(RIGHT($B312,13)&amp;"|"&amp;$C312&amp;"|"&amp;$D312&amp;"|"&amp;AK$14&amp;"|"&amp;"CY2023Q3",Spectrum!$R:$R,0)),0),""))</f>
        <v/>
      </c>
      <c r="AL312" s="88" t="n">
        <f aca="false">IF(OR(LEFT($B312,4)="_Mil",$C312="&lt;01"),"",MAX(SUM($AA312),90%))</f>
        <v>685</v>
      </c>
      <c r="AM312" s="10" t="n">
        <f aca="false">IF(OR(LEFT($B312,4)="_Mil",$C312="&lt;01"),"",ROUND(SUM($AJ312)*SUM($AL312),0))</f>
        <v>0</v>
      </c>
      <c r="AN312" s="10" t="str">
        <f aca="false">IF($C312="&lt;01",ROUND(INDEX(EID!$P:$P,MATCH($B312,EID!$B:$B,0))/2,0),"")</f>
        <v/>
      </c>
      <c r="AO312" s="10" t="n">
        <f aca="false">IF($C312="&lt;01",SUM($AN312),ROUND(SUM($AM312)*SUM($O312)/IF(SUM($Z312)=0,1,$Z312),0))</f>
        <v>0</v>
      </c>
      <c r="AP312" s="39" t="n">
        <f aca="false">IF(OR($F312="",$C312="&lt;01"),$AO312,$F312)</f>
        <v>0</v>
      </c>
      <c r="AQ312" s="39" t="n">
        <f aca="false">IF(LEFT($B312,4)="_Mil","",IF(SUM($AP312)=0,SUM($Z312),IF(OR(SUM($Z312)=0,SUM($O312)=0),MAX($AP312,$Z312),$AP312*$Z312/$O312)))</f>
        <v>996</v>
      </c>
      <c r="AR312" s="88" t="str">
        <f aca="false">IF(OR(LEFT($B312,4)="_Mil",SUM($AJ312)=0),"",SUM($AQ312)/$AJ312)</f>
        <v/>
      </c>
      <c r="AS312" s="88" t="n">
        <f aca="false">IF($C312="&lt;01","",98%)</f>
        <v>0.98</v>
      </c>
      <c r="AT312" s="88" t="n">
        <f aca="false">IF($C312="&lt;01","",98%)</f>
        <v>0.98</v>
      </c>
      <c r="AU312" s="10" t="n">
        <f aca="false">IF($C312="&lt;01","",SUM($AP312)-SUM($O312))</f>
        <v>0</v>
      </c>
      <c r="AV312" s="10" t="n">
        <f aca="false">IF($C312="&lt;01",ROUND(INDEX(EID!$N:$N,MATCH($B312,EID!$B:$B,0))/2,0),IF(SUM($AT312)=0,"",ROUND((SUM($AP312)-(SUM($O312)*SUM($AS312)))/$AT312,0)))</f>
        <v>0</v>
      </c>
      <c r="AW312" s="88" t="n">
        <f aca="false">IF($C312="&lt;01","",100%)</f>
        <v>1</v>
      </c>
      <c r="AX312" s="39" t="n">
        <f aca="false">IF($C312="&lt;01",SUM($AV312),ROUND(SUM($AV312)*SUM($AW312),0))</f>
        <v>0</v>
      </c>
      <c r="AY312" s="114" t="n">
        <f aca="false">IF($C312="&lt;01","",70%)</f>
        <v>0.7</v>
      </c>
      <c r="AZ312" s="91" t="n">
        <f aca="false">IF($C312="&lt;01",ROUND(INDEX(EID!$R:$R,MATCH($B312,EID!$B:$B,0))/2,0),ROUND(SUM($O312)+(SUM($AV312)*$AY312),0))</f>
        <v>0</v>
      </c>
      <c r="BA312" s="87" t="n">
        <f aca="false">IF($C312="&lt;01","",95%)</f>
        <v>0.95</v>
      </c>
      <c r="BB312" s="5" t="n">
        <f aca="false">IF($C312="&lt;01",ROUND(INDEX(EID!$T:$T,MATCH($B312,EID!$B:$B,0))/2,0),ROUND($AZ312*$BA312,0))</f>
        <v>0</v>
      </c>
      <c r="BC312" s="91" t="n">
        <f aca="false">IF(LEFT($B312,4)="_Mil","",IF(SUM($BB312)=0,SUM($AD312),IF(OR(SUM($AP312)=0,SUM($AQ312)=0),MAX($BB312,$AD312),ROUND($BB312*$AQ312/$AP312,0))))</f>
        <v>0</v>
      </c>
      <c r="BD312" s="88" t="n">
        <f aca="false">IF($C312="&lt;01","",95%)</f>
        <v>0.95</v>
      </c>
      <c r="BE312" s="39" t="n">
        <f aca="false">IF($C312="&lt;01",ROUND(INDEX(EID!$V:$V,MATCH($B312,EID!$B:$B,0))/2,0),ROUND($BD312*$BB312,0))</f>
        <v>0</v>
      </c>
      <c r="BF312" s="39" t="n">
        <f aca="false">IF(LEFT($B312,4)="_Mil","",IF(SUM($BE312)=0,SUM($AF312),IF(OR(SUM($AP312)=0,SUM($AQ312)=0),MAX($BE312,$AF312),ROUND($BE312*$AQ312/$AP312,0))))</f>
        <v>0</v>
      </c>
      <c r="BG312" s="114" t="n">
        <f aca="false">IF($C312="&lt;01","",95%)</f>
        <v>0.95</v>
      </c>
      <c r="BH312" s="5" t="n">
        <f aca="false">IF($C312="&lt;01",ROUND(INDEX(EID!$L:$L,MATCH($B312,EID!$B:$B,0)),0)/2,IF(SUM($BG312)=0,"",ROUND($AX312/$BG312,0)))</f>
        <v>0</v>
      </c>
    </row>
    <row r="313" customFormat="false" ht="15" hidden="false" customHeight="false" outlineLevel="0" collapsed="false">
      <c r="A313" s="0" t="str">
        <f aca="false">INDEX(Prioritization!$D:$D,MATCH($B313,Prioritization!$A:$A,0))</f>
        <v>INVALID</v>
      </c>
      <c r="B313" s="0" t="s">
        <v>215</v>
      </c>
      <c r="C313" s="0" t="s">
        <v>364</v>
      </c>
      <c r="D313" s="0" t="s">
        <v>30</v>
      </c>
      <c r="E313" s="0" t="str">
        <f aca="false">$B313&amp;"|"&amp;$C313&amp;"|"&amp;$D313</f>
        <v>Mangochi District [lLDyBx5XyUi]|10-14|Female</v>
      </c>
      <c r="F313" s="10"/>
      <c r="G313" s="10" t="n">
        <v>7</v>
      </c>
      <c r="H313" s="10" t="n">
        <v>2</v>
      </c>
      <c r="I313" s="10" t="n">
        <v>73</v>
      </c>
      <c r="J313" s="10" t="n">
        <v>40</v>
      </c>
      <c r="K313" s="10" t="n">
        <v>63</v>
      </c>
      <c r="L313" s="10" t="n">
        <v>1</v>
      </c>
      <c r="M313" s="10" t="n">
        <v>0</v>
      </c>
      <c r="N313" s="10" t="n">
        <v>51</v>
      </c>
      <c r="O313" s="10" t="n">
        <f aca="false">IFERROR(1/(1/MAX($I313,$N313)),"")</f>
        <v>73</v>
      </c>
      <c r="P313" s="10" t="n">
        <v>96</v>
      </c>
      <c r="Q313" s="10" t="n">
        <v>42</v>
      </c>
      <c r="R313" s="10" t="n">
        <f aca="false">IF(AND(SUM($I313)=0,SUM($O313)=0),"",SUM($O313)-$I313)</f>
        <v>0</v>
      </c>
      <c r="S313" s="10" t="n">
        <f aca="false">IF(LEFT($B313,4)="_Mil","",_xlfn.IFNA(ROUND(INDEX(Spectrum!$N:$N,MATCH(RIGHT($B313,13)&amp;"|"&amp;$C313&amp;"|"&amp;$D313&amp;"|"&amp;S$14&amp;"|"&amp;"CY2022Q4",Spectrum!$R:$R,0)),0),""))</f>
        <v>1812</v>
      </c>
      <c r="T313" s="39" t="n">
        <f aca="false">IF(LEFT($B313,4)="_Mil","",_xlfn.IFNA(ROUND(INDEX(Spectrum!$N:$N,MATCH(RIGHT($B313,13)&amp;"|"&amp;$C313&amp;"|"&amp;$D313&amp;"|"&amp;T$14&amp;"|"&amp;"CY2023Q3",Spectrum!$R:$R,0)),0),""))</f>
        <v>1252</v>
      </c>
      <c r="U313" s="39" t="str">
        <f aca="false">IF(LEFT($B313,4)="_Mil","",_xlfn.IFNA(ROUND(INDEX(Spectrum!$N:$N,MATCH(RIGHT($B313,13)&amp;"|"&amp;$C313&amp;"|"&amp;$D313&amp;"|"&amp;U$14&amp;"|"&amp;"CY2023Q3",Spectrum!$R:$R,0)),0),""))</f>
        <v/>
      </c>
      <c r="V313" s="10" t="n">
        <f aca="false">IF(LEFT($B313,4)="_Mil","",_xlfn.IFNA(ROUND(INDEX(Spectrum!$N:$N,MATCH(RIGHT($B313,13)&amp;"|"&amp;$C313&amp;"|"&amp;$D313&amp;"|"&amp;V$14&amp;"|"&amp;"CY2023Q3",Spectrum!$R:$R,0)),0),""))</f>
        <v>1956</v>
      </c>
      <c r="W313" s="113" t="n">
        <f aca="false">IF(LEFT($B313,4)="_Mil","",_xlfn.IFNA(INDEX(Spectrum!$N:$N,MATCH(RIGHT($B313,13)&amp;"|"&amp;$C313&amp;"|"&amp;$D313&amp;"|"&amp;W$14&amp;"|"&amp;"CY2023Q3",Spectrum!$R:$R,0)),""))</f>
        <v>1133</v>
      </c>
      <c r="X313" s="39" t="n">
        <f aca="false">IF(LEFT($B313,4)="_Mil","",_xlfn.IFNA(ROUND(INDEX(Spectrum!$N:$N,MATCH(RIGHT($B313,13)&amp;"|"&amp;$C313&amp;"|"&amp;$D313&amp;"|"&amp;X$14&amp;"|"&amp;"CY2023Q3",Spectrum!$R:$R,0)),0),""))</f>
        <v>1982</v>
      </c>
      <c r="Y313" s="88" t="str">
        <f aca="false">IF(OR(SUM($U313)=0,LEFT($B313,4)="_Mil"),"",SUM($X313)/$U313)</f>
        <v/>
      </c>
      <c r="Z313" s="39" t="n">
        <f aca="false">IF(LEFT($B313,4)="_Mil","",_xlfn.IFNA(ROUND(INDEX(Spectrum!$N:$N,MATCH(RIGHT($B313,13)&amp;"|"&amp;$C313&amp;"|"&amp;$D313&amp;"|"&amp;Z$14&amp;"|"&amp;"CY2023Q3",Spectrum!$R:$R,0)),0),""))</f>
        <v>879</v>
      </c>
      <c r="AA313" s="88" t="n">
        <f aca="false">IF(LEFT($B313,4)="_Mil","",IFERROR(1/(1/INDEX(Spectrum!$N:$N,MATCH(RIGHT($B313,13)&amp;"|"&amp;$C313&amp;"|"&amp;$D313&amp;"|"&amp;AA$14&amp;"|"&amp;"CY2023Q3",Spectrum!$R:$R,0))),IF(SUM($U313)=0,"",SUM($Z313)/$U313)))</f>
        <v>1988</v>
      </c>
      <c r="AB313" s="88" t="n">
        <f aca="false">IF(OR(LEFT($B313,4)="_Mil",SUM($X313)=0),"",SUM($Z313)/$X313)</f>
        <v>0.443491422805247</v>
      </c>
      <c r="AC313" s="10" t="n">
        <f aca="false">IF(LEFT($B313,4)="_Mil","",_xlfn.IFNA(ROUND(INDEX(Spectrum!$N:$N,MATCH(RIGHT($B313,13)&amp;"|"&amp;$C313&amp;"|"&amp;$D313&amp;"|"&amp;AC$14&amp;"|"&amp;"CY2023Q3",Spectrum!$R:$R,0)),0),""))</f>
        <v>1329</v>
      </c>
      <c r="AD313" s="10" t="str">
        <f aca="false">IF(LEFT($B313,4)="_Mil","",_xlfn.IFNA(ROUND(INDEX(Spectrum!$N:$N,MATCH(RIGHT($B313,13)&amp;"|"&amp;$C313&amp;"|"&amp;$D313&amp;"|"&amp;AD$14&amp;"|"&amp;"CY2023Q3",Spectrum!$R:$R,0)),0),""))</f>
        <v/>
      </c>
      <c r="AE313" s="88" t="n">
        <f aca="false">IF(OR(LEFT($B313,4)="_Mil",SUM($Z313)=0),"",SUM($AD313)/$Z313)</f>
        <v>0</v>
      </c>
      <c r="AF313" s="39" t="str">
        <f aca="false">IF(LEFT($B313,4)="_Mil","",_xlfn.IFNA(ROUND(INDEX(Spectrum!$N:$N,MATCH(RIGHT($B313,13)&amp;"|"&amp;$C313&amp;"|"&amp;$D313&amp;"|"&amp;AF$14&amp;"|"&amp;"CY2023Q3",Spectrum!$R:$R,0)),0),""))</f>
        <v/>
      </c>
      <c r="AG313" s="88" t="str">
        <f aca="false">IF(OR(LEFT($B313,4)="_Mil",SUM($AD313)=0),"",SUM($AF313)/$AD313)</f>
        <v/>
      </c>
      <c r="AH313" s="86" t="str">
        <f aca="false">IF(LEFT($B313,4)="_Mil","",_xlfn.IFNA(INDEX(Spectrum!$N:$N,MATCH(RIGHT($B313,13)&amp;"|"&amp;$C313&amp;"|"&amp;$D313&amp;"|"&amp;AH$14&amp;"|"&amp;"CY2023Q3",Spectrum!$R:$R,0)),""))</f>
        <v/>
      </c>
      <c r="AI313" s="10" t="str">
        <f aca="false">IF(LEFT($B313,4)="_Mil","",_xlfn.IFNA(ROUND(INDEX(Spectrum!$N:$N,MATCH(RIGHT($B313,13)&amp;"|"&amp;$C313&amp;"|"&amp;$D313&amp;"|"&amp;AI$14&amp;"|"&amp;"CY2023Q3",Spectrum!$R:$R,0)),0),""))</f>
        <v/>
      </c>
      <c r="AJ313" s="39" t="n">
        <f aca="false">IF(LEFT($B313,4)="_Mil","",_xlfn.IFNA(ROUND(INDEX(Spectrum!$N:$N,MATCH(RIGHT($B313,13)&amp;"|"&amp;$C313&amp;"|"&amp;$D313&amp;"|"&amp;AI$14&amp;"|"&amp;"CY2023Q3",Spectrum!$R:$R,0)),0),SUM($U313)+SUM($AI313)))</f>
        <v>0</v>
      </c>
      <c r="AK313" s="10" t="str">
        <f aca="false">IF(LEFT($B313,4)="_Mil","",_xlfn.IFNA(ROUND(INDEX(Spectrum!$N:$N,MATCH(RIGHT($B313,13)&amp;"|"&amp;$C313&amp;"|"&amp;$D313&amp;"|"&amp;AK$14&amp;"|"&amp;"CY2023Q3",Spectrum!$R:$R,0)),0),""))</f>
        <v/>
      </c>
      <c r="AL313" s="88" t="n">
        <f aca="false">IF(OR(LEFT($B313,4)="_Mil",$C313="&lt;01"),"",MAX(SUM($AA313),90%))</f>
        <v>1988</v>
      </c>
      <c r="AM313" s="10" t="n">
        <f aca="false">IF(OR(LEFT($B313,4)="_Mil",$C313="&lt;01"),"",ROUND(SUM($AJ313)*SUM($AL313),0))</f>
        <v>0</v>
      </c>
      <c r="AN313" s="10" t="str">
        <f aca="false">IF($C313="&lt;01",ROUND(INDEX(EID!$P:$P,MATCH($B313,EID!$B:$B,0))/2,0),"")</f>
        <v/>
      </c>
      <c r="AO313" s="10" t="n">
        <f aca="false">IF($C313="&lt;01",SUM($AN313),ROUND(SUM($AM313)*SUM($O313)/IF(SUM($Z313)=0,1,$Z313),0))</f>
        <v>0</v>
      </c>
      <c r="AP313" s="39" t="n">
        <f aca="false">IF(OR($F313="",$C313="&lt;01"),$AO313,$F313)</f>
        <v>0</v>
      </c>
      <c r="AQ313" s="39" t="n">
        <f aca="false">IF(LEFT($B313,4)="_Mil","",IF(SUM($AP313)=0,SUM($Z313),IF(OR(SUM($Z313)=0,SUM($O313)=0),MAX($AP313,$Z313),$AP313*$Z313/$O313)))</f>
        <v>879</v>
      </c>
      <c r="AR313" s="88" t="str">
        <f aca="false">IF(OR(LEFT($B313,4)="_Mil",SUM($AJ313)=0),"",SUM($AQ313)/$AJ313)</f>
        <v/>
      </c>
      <c r="AS313" s="88" t="n">
        <f aca="false">IF($C313="&lt;01","",98%)</f>
        <v>0.98</v>
      </c>
      <c r="AT313" s="88" t="n">
        <f aca="false">IF($C313="&lt;01","",98%)</f>
        <v>0.98</v>
      </c>
      <c r="AU313" s="10" t="n">
        <f aca="false">IF($C313="&lt;01","",SUM($AP313)-SUM($O313))</f>
        <v>-73</v>
      </c>
      <c r="AV313" s="10" t="n">
        <f aca="false">IF($C313="&lt;01",ROUND(INDEX(EID!$N:$N,MATCH($B313,EID!$B:$B,0))/2,0),IF(SUM($AT313)=0,"",ROUND((SUM($AP313)-(SUM($O313)*SUM($AS313)))/$AT313,0)))</f>
        <v>-73</v>
      </c>
      <c r="AW313" s="88" t="n">
        <f aca="false">IF($C313="&lt;01","",100%)</f>
        <v>1</v>
      </c>
      <c r="AX313" s="39" t="n">
        <f aca="false">IF($C313="&lt;01",SUM($AV313),ROUND(SUM($AV313)*SUM($AW313),0))</f>
        <v>-73</v>
      </c>
      <c r="AY313" s="114" t="n">
        <f aca="false">IF($C313="&lt;01","",70%)</f>
        <v>0.7</v>
      </c>
      <c r="AZ313" s="91" t="n">
        <f aca="false">IF($C313="&lt;01",ROUND(INDEX(EID!$R:$R,MATCH($B313,EID!$B:$B,0))/2,0),ROUND(SUM($O313)+(SUM($AV313)*$AY313),0))</f>
        <v>22</v>
      </c>
      <c r="BA313" s="87" t="n">
        <f aca="false">IF($C313="&lt;01","",95%)</f>
        <v>0.95</v>
      </c>
      <c r="BB313" s="5" t="n">
        <f aca="false">IF($C313="&lt;01",ROUND(INDEX(EID!$T:$T,MATCH($B313,EID!$B:$B,0))/2,0),ROUND($AZ313*$BA313,0))</f>
        <v>21</v>
      </c>
      <c r="BC313" s="91" t="n">
        <f aca="false">IF(LEFT($B313,4)="_Mil","",IF(SUM($BB313)=0,SUM($AD313),IF(OR(SUM($AP313)=0,SUM($AQ313)=0),MAX($BB313,$AD313),ROUND($BB313*$AQ313/$AP313,0))))</f>
        <v>21</v>
      </c>
      <c r="BD313" s="88" t="n">
        <f aca="false">IF($C313="&lt;01","",95%)</f>
        <v>0.95</v>
      </c>
      <c r="BE313" s="39" t="n">
        <f aca="false">IF($C313="&lt;01",ROUND(INDEX(EID!$V:$V,MATCH($B313,EID!$B:$B,0))/2,0),ROUND($BD313*$BB313,0))</f>
        <v>20</v>
      </c>
      <c r="BF313" s="39" t="n">
        <f aca="false">IF(LEFT($B313,4)="_Mil","",IF(SUM($BE313)=0,SUM($AF313),IF(OR(SUM($AP313)=0,SUM($AQ313)=0),MAX($BE313,$AF313),ROUND($BE313*$AQ313/$AP313,0))))</f>
        <v>20</v>
      </c>
      <c r="BG313" s="114" t="n">
        <f aca="false">IF($C313="&lt;01","",95%)</f>
        <v>0.95</v>
      </c>
      <c r="BH313" s="5" t="n">
        <f aca="false">IF($C313="&lt;01",ROUND(INDEX(EID!$L:$L,MATCH($B313,EID!$B:$B,0)),0)/2,IF(SUM($BG313)=0,"",ROUND($AX313/$BG313,0)))</f>
        <v>-77</v>
      </c>
    </row>
    <row r="314" customFormat="false" ht="15" hidden="false" customHeight="false" outlineLevel="0" collapsed="false">
      <c r="A314" s="0" t="str">
        <f aca="false">INDEX(Prioritization!$D:$D,MATCH($B314,Prioritization!$A:$A,0))</f>
        <v>INVALID</v>
      </c>
      <c r="B314" s="0" t="s">
        <v>215</v>
      </c>
      <c r="C314" s="0" t="s">
        <v>364</v>
      </c>
      <c r="D314" s="0" t="s">
        <v>48</v>
      </c>
      <c r="E314" s="0" t="str">
        <f aca="false">$B314&amp;"|"&amp;$C314&amp;"|"&amp;$D314</f>
        <v>Mangochi District [lLDyBx5XyUi]|10-14|Male</v>
      </c>
      <c r="F314" s="10"/>
      <c r="G314" s="10" t="n">
        <v>6</v>
      </c>
      <c r="H314" s="10" t="n">
        <v>7</v>
      </c>
      <c r="I314" s="10" t="n">
        <v>20</v>
      </c>
      <c r="J314" s="10" t="n">
        <v>48</v>
      </c>
      <c r="K314" s="10" t="n">
        <v>44</v>
      </c>
      <c r="L314" s="10" t="n">
        <v>8</v>
      </c>
      <c r="M314" s="10" t="n">
        <v>5</v>
      </c>
      <c r="N314" s="10" t="n">
        <v>16</v>
      </c>
      <c r="O314" s="10" t="n">
        <f aca="false">IFERROR(1/(1/MAX($I314,$N314)),"")</f>
        <v>20</v>
      </c>
      <c r="P314" s="10" t="n">
        <v>19</v>
      </c>
      <c r="Q314" s="10" t="n">
        <v>19</v>
      </c>
      <c r="R314" s="10" t="n">
        <f aca="false">IF(AND(SUM($I314)=0,SUM($O314)=0),"",SUM($O314)-$I314)</f>
        <v>0</v>
      </c>
      <c r="S314" s="10" t="n">
        <f aca="false">IF(LEFT($B314,4)="_Mil","",_xlfn.IFNA(ROUND(INDEX(Spectrum!$N:$N,MATCH(RIGHT($B314,13)&amp;"|"&amp;$C314&amp;"|"&amp;$D314&amp;"|"&amp;S$14&amp;"|"&amp;"CY2022Q4",Spectrum!$R:$R,0)),0),""))</f>
        <v>1819</v>
      </c>
      <c r="T314" s="39" t="n">
        <f aca="false">IF(LEFT($B314,4)="_Mil","",_xlfn.IFNA(ROUND(INDEX(Spectrum!$N:$N,MATCH(RIGHT($B314,13)&amp;"|"&amp;$C314&amp;"|"&amp;$D314&amp;"|"&amp;T$14&amp;"|"&amp;"CY2023Q3",Spectrum!$R:$R,0)),0),""))</f>
        <v>937</v>
      </c>
      <c r="U314" s="39" t="str">
        <f aca="false">IF(LEFT($B314,4)="_Mil","",_xlfn.IFNA(ROUND(INDEX(Spectrum!$N:$N,MATCH(RIGHT($B314,13)&amp;"|"&amp;$C314&amp;"|"&amp;$D314&amp;"|"&amp;U$14&amp;"|"&amp;"CY2023Q3",Spectrum!$R:$R,0)),0),""))</f>
        <v/>
      </c>
      <c r="V314" s="10" t="n">
        <f aca="false">IF(LEFT($B314,4)="_Mil","",_xlfn.IFNA(ROUND(INDEX(Spectrum!$N:$N,MATCH(RIGHT($B314,13)&amp;"|"&amp;$C314&amp;"|"&amp;$D314&amp;"|"&amp;V$14&amp;"|"&amp;"CY2023Q3",Spectrum!$R:$R,0)),0),""))</f>
        <v>1623</v>
      </c>
      <c r="W314" s="113" t="n">
        <f aca="false">IF(LEFT($B314,4)="_Mil","",_xlfn.IFNA(INDEX(Spectrum!$N:$N,MATCH(RIGHT($B314,13)&amp;"|"&amp;$C314&amp;"|"&amp;$D314&amp;"|"&amp;W$14&amp;"|"&amp;"CY2023Q3",Spectrum!$R:$R,0)),""))</f>
        <v>1602</v>
      </c>
      <c r="X314" s="39" t="n">
        <f aca="false">IF(LEFT($B314,4)="_Mil","",_xlfn.IFNA(ROUND(INDEX(Spectrum!$N:$N,MATCH(RIGHT($B314,13)&amp;"|"&amp;$C314&amp;"|"&amp;$D314&amp;"|"&amp;X$14&amp;"|"&amp;"CY2023Q3",Spectrum!$R:$R,0)),0),""))</f>
        <v>1041</v>
      </c>
      <c r="Y314" s="88" t="str">
        <f aca="false">IF(OR(SUM($U314)=0,LEFT($B314,4)="_Mil"),"",SUM($X314)/$U314)</f>
        <v/>
      </c>
      <c r="Z314" s="39" t="n">
        <f aca="false">IF(LEFT($B314,4)="_Mil","",_xlfn.IFNA(ROUND(INDEX(Spectrum!$N:$N,MATCH(RIGHT($B314,13)&amp;"|"&amp;$C314&amp;"|"&amp;$D314&amp;"|"&amp;Z$14&amp;"|"&amp;"CY2023Q3",Spectrum!$R:$R,0)),0),""))</f>
        <v>1912</v>
      </c>
      <c r="AA314" s="88" t="n">
        <f aca="false">IF(LEFT($B314,4)="_Mil","",IFERROR(1/(1/INDEX(Spectrum!$N:$N,MATCH(RIGHT($B314,13)&amp;"|"&amp;$C314&amp;"|"&amp;$D314&amp;"|"&amp;AA$14&amp;"|"&amp;"CY2023Q3",Spectrum!$R:$R,0))),IF(SUM($U314)=0,"",SUM($Z314)/$U314)))</f>
        <v>1681</v>
      </c>
      <c r="AB314" s="88" t="n">
        <f aca="false">IF(OR(LEFT($B314,4)="_Mil",SUM($X314)=0),"",SUM($Z314)/$X314)</f>
        <v>1.83669548511047</v>
      </c>
      <c r="AC314" s="10" t="n">
        <f aca="false">IF(LEFT($B314,4)="_Mil","",_xlfn.IFNA(ROUND(INDEX(Spectrum!$N:$N,MATCH(RIGHT($B314,13)&amp;"|"&amp;$C314&amp;"|"&amp;$D314&amp;"|"&amp;AC$14&amp;"|"&amp;"CY2023Q3",Spectrum!$R:$R,0)),0),""))</f>
        <v>1233</v>
      </c>
      <c r="AD314" s="10" t="str">
        <f aca="false">IF(LEFT($B314,4)="_Mil","",_xlfn.IFNA(ROUND(INDEX(Spectrum!$N:$N,MATCH(RIGHT($B314,13)&amp;"|"&amp;$C314&amp;"|"&amp;$D314&amp;"|"&amp;AD$14&amp;"|"&amp;"CY2023Q3",Spectrum!$R:$R,0)),0),""))</f>
        <v/>
      </c>
      <c r="AE314" s="88" t="n">
        <f aca="false">IF(OR(LEFT($B314,4)="_Mil",SUM($Z314)=0),"",SUM($AD314)/$Z314)</f>
        <v>0</v>
      </c>
      <c r="AF314" s="39" t="str">
        <f aca="false">IF(LEFT($B314,4)="_Mil","",_xlfn.IFNA(ROUND(INDEX(Spectrum!$N:$N,MATCH(RIGHT($B314,13)&amp;"|"&amp;$C314&amp;"|"&amp;$D314&amp;"|"&amp;AF$14&amp;"|"&amp;"CY2023Q3",Spectrum!$R:$R,0)),0),""))</f>
        <v/>
      </c>
      <c r="AG314" s="88" t="str">
        <f aca="false">IF(OR(LEFT($B314,4)="_Mil",SUM($AD314)=0),"",SUM($AF314)/$AD314)</f>
        <v/>
      </c>
      <c r="AH314" s="86" t="str">
        <f aca="false">IF(LEFT($B314,4)="_Mil","",_xlfn.IFNA(INDEX(Spectrum!$N:$N,MATCH(RIGHT($B314,13)&amp;"|"&amp;$C314&amp;"|"&amp;$D314&amp;"|"&amp;AH$14&amp;"|"&amp;"CY2023Q3",Spectrum!$R:$R,0)),""))</f>
        <v/>
      </c>
      <c r="AI314" s="10" t="str">
        <f aca="false">IF(LEFT($B314,4)="_Mil","",_xlfn.IFNA(ROUND(INDEX(Spectrum!$N:$N,MATCH(RIGHT($B314,13)&amp;"|"&amp;$C314&amp;"|"&amp;$D314&amp;"|"&amp;AI$14&amp;"|"&amp;"CY2023Q3",Spectrum!$R:$R,0)),0),""))</f>
        <v/>
      </c>
      <c r="AJ314" s="39" t="n">
        <f aca="false">IF(LEFT($B314,4)="_Mil","",_xlfn.IFNA(ROUND(INDEX(Spectrum!$N:$N,MATCH(RIGHT($B314,13)&amp;"|"&amp;$C314&amp;"|"&amp;$D314&amp;"|"&amp;AI$14&amp;"|"&amp;"CY2023Q3",Spectrum!$R:$R,0)),0),SUM($U314)+SUM($AI314)))</f>
        <v>0</v>
      </c>
      <c r="AK314" s="10" t="str">
        <f aca="false">IF(LEFT($B314,4)="_Mil","",_xlfn.IFNA(ROUND(INDEX(Spectrum!$N:$N,MATCH(RIGHT($B314,13)&amp;"|"&amp;$C314&amp;"|"&amp;$D314&amp;"|"&amp;AK$14&amp;"|"&amp;"CY2023Q3",Spectrum!$R:$R,0)),0),""))</f>
        <v/>
      </c>
      <c r="AL314" s="88" t="n">
        <f aca="false">IF(OR(LEFT($B314,4)="_Mil",$C314="&lt;01"),"",MAX(SUM($AA314),90%))</f>
        <v>1681</v>
      </c>
      <c r="AM314" s="10" t="n">
        <f aca="false">IF(OR(LEFT($B314,4)="_Mil",$C314="&lt;01"),"",ROUND(SUM($AJ314)*SUM($AL314),0))</f>
        <v>0</v>
      </c>
      <c r="AN314" s="10" t="str">
        <f aca="false">IF($C314="&lt;01",ROUND(INDEX(EID!$P:$P,MATCH($B314,EID!$B:$B,0))/2,0),"")</f>
        <v/>
      </c>
      <c r="AO314" s="10" t="n">
        <f aca="false">IF($C314="&lt;01",SUM($AN314),ROUND(SUM($AM314)*SUM($O314)/IF(SUM($Z314)=0,1,$Z314),0))</f>
        <v>0</v>
      </c>
      <c r="AP314" s="39" t="n">
        <f aca="false">IF(OR($F314="",$C314="&lt;01"),$AO314,$F314)</f>
        <v>0</v>
      </c>
      <c r="AQ314" s="39" t="n">
        <f aca="false">IF(LEFT($B314,4)="_Mil","",IF(SUM($AP314)=0,SUM($Z314),IF(OR(SUM($Z314)=0,SUM($O314)=0),MAX($AP314,$Z314),$AP314*$Z314/$O314)))</f>
        <v>1912</v>
      </c>
      <c r="AR314" s="88" t="str">
        <f aca="false">IF(OR(LEFT($B314,4)="_Mil",SUM($AJ314)=0),"",SUM($AQ314)/$AJ314)</f>
        <v/>
      </c>
      <c r="AS314" s="88" t="n">
        <f aca="false">IF($C314="&lt;01","",98%)</f>
        <v>0.98</v>
      </c>
      <c r="AT314" s="88" t="n">
        <f aca="false">IF($C314="&lt;01","",98%)</f>
        <v>0.98</v>
      </c>
      <c r="AU314" s="10" t="n">
        <f aca="false">IF($C314="&lt;01","",SUM($AP314)-SUM($O314))</f>
        <v>-20</v>
      </c>
      <c r="AV314" s="10" t="n">
        <f aca="false">IF($C314="&lt;01",ROUND(INDEX(EID!$N:$N,MATCH($B314,EID!$B:$B,0))/2,0),IF(SUM($AT314)=0,"",ROUND((SUM($AP314)-(SUM($O314)*SUM($AS314)))/$AT314,0)))</f>
        <v>-20</v>
      </c>
      <c r="AW314" s="88" t="n">
        <f aca="false">IF($C314="&lt;01","",100%)</f>
        <v>1</v>
      </c>
      <c r="AX314" s="39" t="n">
        <f aca="false">IF($C314="&lt;01",SUM($AV314),ROUND(SUM($AV314)*SUM($AW314),0))</f>
        <v>-20</v>
      </c>
      <c r="AY314" s="114" t="n">
        <f aca="false">IF($C314="&lt;01","",70%)</f>
        <v>0.7</v>
      </c>
      <c r="AZ314" s="91" t="n">
        <f aca="false">IF($C314="&lt;01",ROUND(INDEX(EID!$R:$R,MATCH($B314,EID!$B:$B,0))/2,0),ROUND(SUM($O314)+(SUM($AV314)*$AY314),0))</f>
        <v>6</v>
      </c>
      <c r="BA314" s="87" t="n">
        <f aca="false">IF($C314="&lt;01","",95%)</f>
        <v>0.95</v>
      </c>
      <c r="BB314" s="5" t="n">
        <f aca="false">IF($C314="&lt;01",ROUND(INDEX(EID!$T:$T,MATCH($B314,EID!$B:$B,0))/2,0),ROUND($AZ314*$BA314,0))</f>
        <v>6</v>
      </c>
      <c r="BC314" s="91" t="n">
        <f aca="false">IF(LEFT($B314,4)="_Mil","",IF(SUM($BB314)=0,SUM($AD314),IF(OR(SUM($AP314)=0,SUM($AQ314)=0),MAX($BB314,$AD314),ROUND($BB314*$AQ314/$AP314,0))))</f>
        <v>6</v>
      </c>
      <c r="BD314" s="88" t="n">
        <f aca="false">IF($C314="&lt;01","",95%)</f>
        <v>0.95</v>
      </c>
      <c r="BE314" s="39" t="n">
        <f aca="false">IF($C314="&lt;01",ROUND(INDEX(EID!$V:$V,MATCH($B314,EID!$B:$B,0))/2,0),ROUND($BD314*$BB314,0))</f>
        <v>6</v>
      </c>
      <c r="BF314" s="39" t="n">
        <f aca="false">IF(LEFT($B314,4)="_Mil","",IF(SUM($BE314)=0,SUM($AF314),IF(OR(SUM($AP314)=0,SUM($AQ314)=0),MAX($BE314,$AF314),ROUND($BE314*$AQ314/$AP314,0))))</f>
        <v>6</v>
      </c>
      <c r="BG314" s="114" t="n">
        <f aca="false">IF($C314="&lt;01","",95%)</f>
        <v>0.95</v>
      </c>
      <c r="BH314" s="5" t="n">
        <f aca="false">IF($C314="&lt;01",ROUND(INDEX(EID!$L:$L,MATCH($B314,EID!$B:$B,0)),0)/2,IF(SUM($BG314)=0,"",ROUND($AX314/$BG314,0)))</f>
        <v>-21</v>
      </c>
    </row>
    <row r="315" customFormat="false" ht="15" hidden="false" customHeight="false" outlineLevel="0" collapsed="false">
      <c r="A315" s="0" t="str">
        <f aca="false">INDEX(Prioritization!$D:$D,MATCH($B315,Prioritization!$A:$A,0))</f>
        <v>INVALID</v>
      </c>
      <c r="B315" s="0" t="s">
        <v>215</v>
      </c>
      <c r="C315" s="0" t="s">
        <v>365</v>
      </c>
      <c r="D315" s="0" t="s">
        <v>30</v>
      </c>
      <c r="E315" s="0" t="str">
        <f aca="false">$B315&amp;"|"&amp;$C315&amp;"|"&amp;$D315</f>
        <v>Mangochi District [lLDyBx5XyUi]|15-24|Female</v>
      </c>
      <c r="F315" s="10"/>
      <c r="G315" s="10"/>
      <c r="H315" s="10"/>
      <c r="I315" s="10"/>
      <c r="J315" s="10"/>
      <c r="K315" s="10"/>
      <c r="L315" s="10"/>
      <c r="M315" s="10"/>
      <c r="N315" s="10"/>
      <c r="O315" s="10" t="str">
        <f aca="false">IFERROR(1/(1/MAX($I315,$N315)),"")</f>
        <v/>
      </c>
      <c r="P315" s="10"/>
      <c r="Q315" s="10"/>
      <c r="R315" s="10" t="str">
        <f aca="false">IF(AND(SUM($I315)=0,SUM($O315)=0),"",SUM($O315)-$I315)</f>
        <v/>
      </c>
      <c r="S315" s="10" t="n">
        <f aca="false">IF(LEFT($B315,4)="_Mil","",_xlfn.IFNA(ROUND(INDEX(Spectrum!$N:$N,MATCH(RIGHT($B315,13)&amp;"|"&amp;$C315&amp;"|"&amp;$D315&amp;"|"&amp;S$14&amp;"|"&amp;"CY2022Q4",Spectrum!$R:$R,0)),0),""))</f>
        <v>1718</v>
      </c>
      <c r="T315" s="39" t="n">
        <f aca="false">IF(LEFT($B315,4)="_Mil","",_xlfn.IFNA(ROUND(INDEX(Spectrum!$N:$N,MATCH(RIGHT($B315,13)&amp;"|"&amp;$C315&amp;"|"&amp;$D315&amp;"|"&amp;T$14&amp;"|"&amp;"CY2023Q3",Spectrum!$R:$R,0)),0),""))</f>
        <v>1319</v>
      </c>
      <c r="U315" s="39" t="str">
        <f aca="false">IF(LEFT($B315,4)="_Mil","",_xlfn.IFNA(ROUND(INDEX(Spectrum!$N:$N,MATCH(RIGHT($B315,13)&amp;"|"&amp;$C315&amp;"|"&amp;$D315&amp;"|"&amp;U$14&amp;"|"&amp;"CY2023Q3",Spectrum!$R:$R,0)),0),""))</f>
        <v/>
      </c>
      <c r="V315" s="10" t="n">
        <f aca="false">IF(LEFT($B315,4)="_Mil","",_xlfn.IFNA(ROUND(INDEX(Spectrum!$N:$N,MATCH(RIGHT($B315,13)&amp;"|"&amp;$C315&amp;"|"&amp;$D315&amp;"|"&amp;V$14&amp;"|"&amp;"CY2023Q3",Spectrum!$R:$R,0)),0),""))</f>
        <v>732</v>
      </c>
      <c r="W315" s="113" t="n">
        <f aca="false">IF(LEFT($B315,4)="_Mil","",_xlfn.IFNA(INDEX(Spectrum!$N:$N,MATCH(RIGHT($B315,13)&amp;"|"&amp;$C315&amp;"|"&amp;$D315&amp;"|"&amp;W$14&amp;"|"&amp;"CY2023Q3",Spectrum!$R:$R,0)),""))</f>
        <v>1883</v>
      </c>
      <c r="X315" s="39" t="n">
        <f aca="false">IF(LEFT($B315,4)="_Mil","",_xlfn.IFNA(ROUND(INDEX(Spectrum!$N:$N,MATCH(RIGHT($B315,13)&amp;"|"&amp;$C315&amp;"|"&amp;$D315&amp;"|"&amp;X$14&amp;"|"&amp;"CY2023Q3",Spectrum!$R:$R,0)),0),""))</f>
        <v>514</v>
      </c>
      <c r="Y315" s="88" t="str">
        <f aca="false">IF(OR(SUM($U315)=0,LEFT($B315,4)="_Mil"),"",SUM($X315)/$U315)</f>
        <v/>
      </c>
      <c r="Z315" s="39" t="n">
        <f aca="false">IF(LEFT($B315,4)="_Mil","",_xlfn.IFNA(ROUND(INDEX(Spectrum!$N:$N,MATCH(RIGHT($B315,13)&amp;"|"&amp;$C315&amp;"|"&amp;$D315&amp;"|"&amp;Z$14&amp;"|"&amp;"CY2023Q3",Spectrum!$R:$R,0)),0),""))</f>
        <v>1475</v>
      </c>
      <c r="AA315" s="88" t="n">
        <f aca="false">IF(LEFT($B315,4)="_Mil","",IFERROR(1/(1/INDEX(Spectrum!$N:$N,MATCH(RIGHT($B315,13)&amp;"|"&amp;$C315&amp;"|"&amp;$D315&amp;"|"&amp;AA$14&amp;"|"&amp;"CY2023Q3",Spectrum!$R:$R,0))),IF(SUM($U315)=0,"",SUM($Z315)/$U315)))</f>
        <v>1449</v>
      </c>
      <c r="AB315" s="88" t="n">
        <f aca="false">IF(OR(LEFT($B315,4)="_Mil",SUM($X315)=0),"",SUM($Z315)/$X315)</f>
        <v>2.86964980544747</v>
      </c>
      <c r="AC315" s="10" t="n">
        <f aca="false">IF(LEFT($B315,4)="_Mil","",_xlfn.IFNA(ROUND(INDEX(Spectrum!$N:$N,MATCH(RIGHT($B315,13)&amp;"|"&amp;$C315&amp;"|"&amp;$D315&amp;"|"&amp;AC$14&amp;"|"&amp;"CY2023Q3",Spectrum!$R:$R,0)),0),""))</f>
        <v>1680</v>
      </c>
      <c r="AD315" s="10" t="str">
        <f aca="false">IF(LEFT($B315,4)="_Mil","",_xlfn.IFNA(ROUND(INDEX(Spectrum!$N:$N,MATCH(RIGHT($B315,13)&amp;"|"&amp;$C315&amp;"|"&amp;$D315&amp;"|"&amp;AD$14&amp;"|"&amp;"CY2023Q3",Spectrum!$R:$R,0)),0),""))</f>
        <v/>
      </c>
      <c r="AE315" s="88" t="n">
        <f aca="false">IF(OR(LEFT($B315,4)="_Mil",SUM($Z315)=0),"",SUM($AD315)/$Z315)</f>
        <v>0</v>
      </c>
      <c r="AF315" s="39" t="str">
        <f aca="false">IF(LEFT($B315,4)="_Mil","",_xlfn.IFNA(ROUND(INDEX(Spectrum!$N:$N,MATCH(RIGHT($B315,13)&amp;"|"&amp;$C315&amp;"|"&amp;$D315&amp;"|"&amp;AF$14&amp;"|"&amp;"CY2023Q3",Spectrum!$R:$R,0)),0),""))</f>
        <v/>
      </c>
      <c r="AG315" s="88" t="str">
        <f aca="false">IF(OR(LEFT($B315,4)="_Mil",SUM($AD315)=0),"",SUM($AF315)/$AD315)</f>
        <v/>
      </c>
      <c r="AH315" s="86" t="str">
        <f aca="false">IF(LEFT($B315,4)="_Mil","",_xlfn.IFNA(INDEX(Spectrum!$N:$N,MATCH(RIGHT($B315,13)&amp;"|"&amp;$C315&amp;"|"&amp;$D315&amp;"|"&amp;AH$14&amp;"|"&amp;"CY2023Q3",Spectrum!$R:$R,0)),""))</f>
        <v/>
      </c>
      <c r="AI315" s="10" t="str">
        <f aca="false">IF(LEFT($B315,4)="_Mil","",_xlfn.IFNA(ROUND(INDEX(Spectrum!$N:$N,MATCH(RIGHT($B315,13)&amp;"|"&amp;$C315&amp;"|"&amp;$D315&amp;"|"&amp;AI$14&amp;"|"&amp;"CY2023Q3",Spectrum!$R:$R,0)),0),""))</f>
        <v/>
      </c>
      <c r="AJ315" s="39" t="n">
        <f aca="false">IF(LEFT($B315,4)="_Mil","",_xlfn.IFNA(ROUND(INDEX(Spectrum!$N:$N,MATCH(RIGHT($B315,13)&amp;"|"&amp;$C315&amp;"|"&amp;$D315&amp;"|"&amp;AI$14&amp;"|"&amp;"CY2023Q3",Spectrum!$R:$R,0)),0),SUM($U315)+SUM($AI315)))</f>
        <v>0</v>
      </c>
      <c r="AK315" s="10" t="str">
        <f aca="false">IF(LEFT($B315,4)="_Mil","",_xlfn.IFNA(ROUND(INDEX(Spectrum!$N:$N,MATCH(RIGHT($B315,13)&amp;"|"&amp;$C315&amp;"|"&amp;$D315&amp;"|"&amp;AK$14&amp;"|"&amp;"CY2023Q3",Spectrum!$R:$R,0)),0),""))</f>
        <v/>
      </c>
      <c r="AL315" s="88" t="n">
        <f aca="false">IF(OR(LEFT($B315,4)="_Mil",$C315="&lt;01"),"",MAX(SUM($AA315),90%))</f>
        <v>1449</v>
      </c>
      <c r="AM315" s="10" t="n">
        <f aca="false">IF(OR(LEFT($B315,4)="_Mil",$C315="&lt;01"),"",ROUND(SUM($AJ315)*SUM($AL315),0))</f>
        <v>0</v>
      </c>
      <c r="AN315" s="10" t="str">
        <f aca="false">IF($C315="&lt;01",ROUND(INDEX(EID!$P:$P,MATCH($B315,EID!$B:$B,0))/2,0),"")</f>
        <v/>
      </c>
      <c r="AO315" s="10" t="n">
        <f aca="false">IF($C315="&lt;01",SUM($AN315),ROUND(SUM($AM315)*SUM($O315)/IF(SUM($Z315)=0,1,$Z315),0))</f>
        <v>0</v>
      </c>
      <c r="AP315" s="39" t="n">
        <f aca="false">IF(OR($F315="",$C315="&lt;01"),$AO315,$F315)</f>
        <v>0</v>
      </c>
      <c r="AQ315" s="39" t="n">
        <f aca="false">IF(LEFT($B315,4)="_Mil","",IF(SUM($AP315)=0,SUM($Z315),IF(OR(SUM($Z315)=0,SUM($O315)=0),MAX($AP315,$Z315),$AP315*$Z315/$O315)))</f>
        <v>1475</v>
      </c>
      <c r="AR315" s="88" t="str">
        <f aca="false">IF(OR(LEFT($B315,4)="_Mil",SUM($AJ315)=0),"",SUM($AQ315)/$AJ315)</f>
        <v/>
      </c>
      <c r="AS315" s="88" t="n">
        <f aca="false">IF($C315="&lt;01","",98%)</f>
        <v>0.98</v>
      </c>
      <c r="AT315" s="88" t="n">
        <f aca="false">IF($C315="&lt;01","",98%)</f>
        <v>0.98</v>
      </c>
      <c r="AU315" s="10" t="n">
        <f aca="false">IF($C315="&lt;01","",SUM($AP315)-SUM($O315))</f>
        <v>0</v>
      </c>
      <c r="AV315" s="10" t="n">
        <f aca="false">IF($C315="&lt;01",ROUND(INDEX(EID!$N:$N,MATCH($B315,EID!$B:$B,0))/2,0),IF(SUM($AT315)=0,"",ROUND((SUM($AP315)-(SUM($O315)*SUM($AS315)))/$AT315,0)))</f>
        <v>0</v>
      </c>
      <c r="AW315" s="88" t="n">
        <f aca="false">IF($C315="&lt;01","",100%)</f>
        <v>1</v>
      </c>
      <c r="AX315" s="39" t="n">
        <f aca="false">IF($C315="&lt;01",SUM($AV315),ROUND(SUM($AV315)*SUM($AW315),0))</f>
        <v>0</v>
      </c>
      <c r="AY315" s="114" t="n">
        <f aca="false">IF($C315="&lt;01","",70%)</f>
        <v>0.7</v>
      </c>
      <c r="AZ315" s="91" t="n">
        <f aca="false">IF($C315="&lt;01",ROUND(INDEX(EID!$R:$R,MATCH($B315,EID!$B:$B,0))/2,0),ROUND(SUM($O315)+(SUM($AV315)*$AY315),0))</f>
        <v>0</v>
      </c>
      <c r="BA315" s="87" t="n">
        <f aca="false">IF($C315="&lt;01","",95%)</f>
        <v>0.95</v>
      </c>
      <c r="BB315" s="5" t="n">
        <f aca="false">IF($C315="&lt;01",ROUND(INDEX(EID!$T:$T,MATCH($B315,EID!$B:$B,0))/2,0),ROUND($AZ315*$BA315,0))</f>
        <v>0</v>
      </c>
      <c r="BC315" s="91" t="n">
        <f aca="false">IF(LEFT($B315,4)="_Mil","",IF(SUM($BB315)=0,SUM($AD315),IF(OR(SUM($AP315)=0,SUM($AQ315)=0),MAX($BB315,$AD315),ROUND($BB315*$AQ315/$AP315,0))))</f>
        <v>0</v>
      </c>
      <c r="BD315" s="88" t="n">
        <f aca="false">IF($C315="&lt;01","",95%)</f>
        <v>0.95</v>
      </c>
      <c r="BE315" s="39" t="n">
        <f aca="false">IF($C315="&lt;01",ROUND(INDEX(EID!$V:$V,MATCH($B315,EID!$B:$B,0))/2,0),ROUND($BD315*$BB315,0))</f>
        <v>0</v>
      </c>
      <c r="BF315" s="39" t="n">
        <f aca="false">IF(LEFT($B315,4)="_Mil","",IF(SUM($BE315)=0,SUM($AF315),IF(OR(SUM($AP315)=0,SUM($AQ315)=0),MAX($BE315,$AF315),ROUND($BE315*$AQ315/$AP315,0))))</f>
        <v>0</v>
      </c>
      <c r="BG315" s="114" t="n">
        <f aca="false">IF($C315="&lt;01","",95%)</f>
        <v>0.95</v>
      </c>
      <c r="BH315" s="5" t="n">
        <f aca="false">IF($C315="&lt;01",ROUND(INDEX(EID!$L:$L,MATCH($B315,EID!$B:$B,0)),0)/2,IF(SUM($BG315)=0,"",ROUND($AX315/$BG315,0)))</f>
        <v>0</v>
      </c>
    </row>
    <row r="316" customFormat="false" ht="15" hidden="false" customHeight="false" outlineLevel="0" collapsed="false">
      <c r="A316" s="0" t="str">
        <f aca="false">INDEX(Prioritization!$D:$D,MATCH($B316,Prioritization!$A:$A,0))</f>
        <v>INVALID</v>
      </c>
      <c r="B316" s="0" t="s">
        <v>215</v>
      </c>
      <c r="C316" s="0" t="s">
        <v>365</v>
      </c>
      <c r="D316" s="0" t="s">
        <v>48</v>
      </c>
      <c r="E316" s="0" t="str">
        <f aca="false">$B316&amp;"|"&amp;$C316&amp;"|"&amp;$D316</f>
        <v>Mangochi District [lLDyBx5XyUi]|15-24|Male</v>
      </c>
      <c r="F316" s="10"/>
      <c r="G316" s="10"/>
      <c r="H316" s="10"/>
      <c r="I316" s="10"/>
      <c r="J316" s="10"/>
      <c r="K316" s="10"/>
      <c r="L316" s="10"/>
      <c r="M316" s="10"/>
      <c r="N316" s="10"/>
      <c r="O316" s="10" t="str">
        <f aca="false">IFERROR(1/(1/MAX($I316,$N316)),"")</f>
        <v/>
      </c>
      <c r="P316" s="10"/>
      <c r="Q316" s="10"/>
      <c r="R316" s="10" t="str">
        <f aca="false">IF(AND(SUM($I316)=0,SUM($O316)=0),"",SUM($O316)-$I316)</f>
        <v/>
      </c>
      <c r="S316" s="10" t="n">
        <f aca="false">IF(LEFT($B316,4)="_Mil","",_xlfn.IFNA(ROUND(INDEX(Spectrum!$N:$N,MATCH(RIGHT($B316,13)&amp;"|"&amp;$C316&amp;"|"&amp;$D316&amp;"|"&amp;S$14&amp;"|"&amp;"CY2022Q4",Spectrum!$R:$R,0)),0),""))</f>
        <v>1802</v>
      </c>
      <c r="T316" s="39" t="n">
        <f aca="false">IF(LEFT($B316,4)="_Mil","",_xlfn.IFNA(ROUND(INDEX(Spectrum!$N:$N,MATCH(RIGHT($B316,13)&amp;"|"&amp;$C316&amp;"|"&amp;$D316&amp;"|"&amp;T$14&amp;"|"&amp;"CY2023Q3",Spectrum!$R:$R,0)),0),""))</f>
        <v>1357</v>
      </c>
      <c r="U316" s="39" t="str">
        <f aca="false">IF(LEFT($B316,4)="_Mil","",_xlfn.IFNA(ROUND(INDEX(Spectrum!$N:$N,MATCH(RIGHT($B316,13)&amp;"|"&amp;$C316&amp;"|"&amp;$D316&amp;"|"&amp;U$14&amp;"|"&amp;"CY2023Q3",Spectrum!$R:$R,0)),0),""))</f>
        <v/>
      </c>
      <c r="V316" s="10" t="n">
        <f aca="false">IF(LEFT($B316,4)="_Mil","",_xlfn.IFNA(ROUND(INDEX(Spectrum!$N:$N,MATCH(RIGHT($B316,13)&amp;"|"&amp;$C316&amp;"|"&amp;$D316&amp;"|"&amp;V$14&amp;"|"&amp;"CY2023Q3",Spectrum!$R:$R,0)),0),""))</f>
        <v>1026</v>
      </c>
      <c r="W316" s="113" t="n">
        <f aca="false">IF(LEFT($B316,4)="_Mil","",_xlfn.IFNA(INDEX(Spectrum!$N:$N,MATCH(RIGHT($B316,13)&amp;"|"&amp;$C316&amp;"|"&amp;$D316&amp;"|"&amp;W$14&amp;"|"&amp;"CY2023Q3",Spectrum!$R:$R,0)),""))</f>
        <v>1736</v>
      </c>
      <c r="X316" s="39" t="n">
        <f aca="false">IF(LEFT($B316,4)="_Mil","",_xlfn.IFNA(ROUND(INDEX(Spectrum!$N:$N,MATCH(RIGHT($B316,13)&amp;"|"&amp;$C316&amp;"|"&amp;$D316&amp;"|"&amp;X$14&amp;"|"&amp;"CY2023Q3",Spectrum!$R:$R,0)),0),""))</f>
        <v>810</v>
      </c>
      <c r="Y316" s="88" t="str">
        <f aca="false">IF(OR(SUM($U316)=0,LEFT($B316,4)="_Mil"),"",SUM($X316)/$U316)</f>
        <v/>
      </c>
      <c r="Z316" s="39" t="n">
        <f aca="false">IF(LEFT($B316,4)="_Mil","",_xlfn.IFNA(ROUND(INDEX(Spectrum!$N:$N,MATCH(RIGHT($B316,13)&amp;"|"&amp;$C316&amp;"|"&amp;$D316&amp;"|"&amp;Z$14&amp;"|"&amp;"CY2023Q3",Spectrum!$R:$R,0)),0),""))</f>
        <v>1721</v>
      </c>
      <c r="AA316" s="88" t="n">
        <f aca="false">IF(LEFT($B316,4)="_Mil","",IFERROR(1/(1/INDEX(Spectrum!$N:$N,MATCH(RIGHT($B316,13)&amp;"|"&amp;$C316&amp;"|"&amp;$D316&amp;"|"&amp;AA$14&amp;"|"&amp;"CY2023Q3",Spectrum!$R:$R,0))),IF(SUM($U316)=0,"",SUM($Z316)/$U316)))</f>
        <v>1416</v>
      </c>
      <c r="AB316" s="88" t="n">
        <f aca="false">IF(OR(LEFT($B316,4)="_Mil",SUM($X316)=0),"",SUM($Z316)/$X316)</f>
        <v>2.12469135802469</v>
      </c>
      <c r="AC316" s="10" t="n">
        <f aca="false">IF(LEFT($B316,4)="_Mil","",_xlfn.IFNA(ROUND(INDEX(Spectrum!$N:$N,MATCH(RIGHT($B316,13)&amp;"|"&amp;$C316&amp;"|"&amp;$D316&amp;"|"&amp;AC$14&amp;"|"&amp;"CY2023Q3",Spectrum!$R:$R,0)),0),""))</f>
        <v>1748</v>
      </c>
      <c r="AD316" s="10" t="str">
        <f aca="false">IF(LEFT($B316,4)="_Mil","",_xlfn.IFNA(ROUND(INDEX(Spectrum!$N:$N,MATCH(RIGHT($B316,13)&amp;"|"&amp;$C316&amp;"|"&amp;$D316&amp;"|"&amp;AD$14&amp;"|"&amp;"CY2023Q3",Spectrum!$R:$R,0)),0),""))</f>
        <v/>
      </c>
      <c r="AE316" s="88" t="n">
        <f aca="false">IF(OR(LEFT($B316,4)="_Mil",SUM($Z316)=0),"",SUM($AD316)/$Z316)</f>
        <v>0</v>
      </c>
      <c r="AF316" s="39" t="str">
        <f aca="false">IF(LEFT($B316,4)="_Mil","",_xlfn.IFNA(ROUND(INDEX(Spectrum!$N:$N,MATCH(RIGHT($B316,13)&amp;"|"&amp;$C316&amp;"|"&amp;$D316&amp;"|"&amp;AF$14&amp;"|"&amp;"CY2023Q3",Spectrum!$R:$R,0)),0),""))</f>
        <v/>
      </c>
      <c r="AG316" s="88" t="str">
        <f aca="false">IF(OR(LEFT($B316,4)="_Mil",SUM($AD316)=0),"",SUM($AF316)/$AD316)</f>
        <v/>
      </c>
      <c r="AH316" s="86" t="str">
        <f aca="false">IF(LEFT($B316,4)="_Mil","",_xlfn.IFNA(INDEX(Spectrum!$N:$N,MATCH(RIGHT($B316,13)&amp;"|"&amp;$C316&amp;"|"&amp;$D316&amp;"|"&amp;AH$14&amp;"|"&amp;"CY2023Q3",Spectrum!$R:$R,0)),""))</f>
        <v/>
      </c>
      <c r="AI316" s="10" t="str">
        <f aca="false">IF(LEFT($B316,4)="_Mil","",_xlfn.IFNA(ROUND(INDEX(Spectrum!$N:$N,MATCH(RIGHT($B316,13)&amp;"|"&amp;$C316&amp;"|"&amp;$D316&amp;"|"&amp;AI$14&amp;"|"&amp;"CY2023Q3",Spectrum!$R:$R,0)),0),""))</f>
        <v/>
      </c>
      <c r="AJ316" s="39" t="n">
        <f aca="false">IF(LEFT($B316,4)="_Mil","",_xlfn.IFNA(ROUND(INDEX(Spectrum!$N:$N,MATCH(RIGHT($B316,13)&amp;"|"&amp;$C316&amp;"|"&amp;$D316&amp;"|"&amp;AI$14&amp;"|"&amp;"CY2023Q3",Spectrum!$R:$R,0)),0),SUM($U316)+SUM($AI316)))</f>
        <v>0</v>
      </c>
      <c r="AK316" s="10" t="str">
        <f aca="false">IF(LEFT($B316,4)="_Mil","",_xlfn.IFNA(ROUND(INDEX(Spectrum!$N:$N,MATCH(RIGHT($B316,13)&amp;"|"&amp;$C316&amp;"|"&amp;$D316&amp;"|"&amp;AK$14&amp;"|"&amp;"CY2023Q3",Spectrum!$R:$R,0)),0),""))</f>
        <v/>
      </c>
      <c r="AL316" s="88" t="n">
        <f aca="false">IF(OR(LEFT($B316,4)="_Mil",$C316="&lt;01"),"",MAX(SUM($AA316),90%))</f>
        <v>1416</v>
      </c>
      <c r="AM316" s="10" t="n">
        <f aca="false">IF(OR(LEFT($B316,4)="_Mil",$C316="&lt;01"),"",ROUND(SUM($AJ316)*SUM($AL316),0))</f>
        <v>0</v>
      </c>
      <c r="AN316" s="10" t="str">
        <f aca="false">IF($C316="&lt;01",ROUND(INDEX(EID!$P:$P,MATCH($B316,EID!$B:$B,0))/2,0),"")</f>
        <v/>
      </c>
      <c r="AO316" s="10" t="n">
        <f aca="false">IF($C316="&lt;01",SUM($AN316),ROUND(SUM($AM316)*SUM($O316)/IF(SUM($Z316)=0,1,$Z316),0))</f>
        <v>0</v>
      </c>
      <c r="AP316" s="39" t="n">
        <f aca="false">IF(OR($F316="",$C316="&lt;01"),$AO316,$F316)</f>
        <v>0</v>
      </c>
      <c r="AQ316" s="39" t="n">
        <f aca="false">IF(LEFT($B316,4)="_Mil","",IF(SUM($AP316)=0,SUM($Z316),IF(OR(SUM($Z316)=0,SUM($O316)=0),MAX($AP316,$Z316),$AP316*$Z316/$O316)))</f>
        <v>1721</v>
      </c>
      <c r="AR316" s="88" t="str">
        <f aca="false">IF(OR(LEFT($B316,4)="_Mil",SUM($AJ316)=0),"",SUM($AQ316)/$AJ316)</f>
        <v/>
      </c>
      <c r="AS316" s="88" t="n">
        <f aca="false">IF($C316="&lt;01","",98%)</f>
        <v>0.98</v>
      </c>
      <c r="AT316" s="88" t="n">
        <f aca="false">IF($C316="&lt;01","",98%)</f>
        <v>0.98</v>
      </c>
      <c r="AU316" s="10" t="n">
        <f aca="false">IF($C316="&lt;01","",SUM($AP316)-SUM($O316))</f>
        <v>0</v>
      </c>
      <c r="AV316" s="10" t="n">
        <f aca="false">IF($C316="&lt;01",ROUND(INDEX(EID!$N:$N,MATCH($B316,EID!$B:$B,0))/2,0),IF(SUM($AT316)=0,"",ROUND((SUM($AP316)-(SUM($O316)*SUM($AS316)))/$AT316,0)))</f>
        <v>0</v>
      </c>
      <c r="AW316" s="88" t="n">
        <f aca="false">IF($C316="&lt;01","",100%)</f>
        <v>1</v>
      </c>
      <c r="AX316" s="39" t="n">
        <f aca="false">IF($C316="&lt;01",SUM($AV316),ROUND(SUM($AV316)*SUM($AW316),0))</f>
        <v>0</v>
      </c>
      <c r="AY316" s="114" t="n">
        <f aca="false">IF($C316="&lt;01","",70%)</f>
        <v>0.7</v>
      </c>
      <c r="AZ316" s="91" t="n">
        <f aca="false">IF($C316="&lt;01",ROUND(INDEX(EID!$R:$R,MATCH($B316,EID!$B:$B,0))/2,0),ROUND(SUM($O316)+(SUM($AV316)*$AY316),0))</f>
        <v>0</v>
      </c>
      <c r="BA316" s="87" t="n">
        <f aca="false">IF($C316="&lt;01","",95%)</f>
        <v>0.95</v>
      </c>
      <c r="BB316" s="5" t="n">
        <f aca="false">IF($C316="&lt;01",ROUND(INDEX(EID!$T:$T,MATCH($B316,EID!$B:$B,0))/2,0),ROUND($AZ316*$BA316,0))</f>
        <v>0</v>
      </c>
      <c r="BC316" s="91" t="n">
        <f aca="false">IF(LEFT($B316,4)="_Mil","",IF(SUM($BB316)=0,SUM($AD316),IF(OR(SUM($AP316)=0,SUM($AQ316)=0),MAX($BB316,$AD316),ROUND($BB316*$AQ316/$AP316,0))))</f>
        <v>0</v>
      </c>
      <c r="BD316" s="88" t="n">
        <f aca="false">IF($C316="&lt;01","",95%)</f>
        <v>0.95</v>
      </c>
      <c r="BE316" s="39" t="n">
        <f aca="false">IF($C316="&lt;01",ROUND(INDEX(EID!$V:$V,MATCH($B316,EID!$B:$B,0))/2,0),ROUND($BD316*$BB316,0))</f>
        <v>0</v>
      </c>
      <c r="BF316" s="39" t="n">
        <f aca="false">IF(LEFT($B316,4)="_Mil","",IF(SUM($BE316)=0,SUM($AF316),IF(OR(SUM($AP316)=0,SUM($AQ316)=0),MAX($BE316,$AF316),ROUND($BE316*$AQ316/$AP316,0))))</f>
        <v>0</v>
      </c>
      <c r="BG316" s="114" t="n">
        <f aca="false">IF($C316="&lt;01","",95%)</f>
        <v>0.95</v>
      </c>
      <c r="BH316" s="5" t="n">
        <f aca="false">IF($C316="&lt;01",ROUND(INDEX(EID!$L:$L,MATCH($B316,EID!$B:$B,0)),0)/2,IF(SUM($BG316)=0,"",ROUND($AX316/$BG316,0)))</f>
        <v>0</v>
      </c>
    </row>
    <row r="317" customFormat="false" ht="15" hidden="false" customHeight="false" outlineLevel="0" collapsed="false">
      <c r="A317" s="0" t="str">
        <f aca="false">INDEX(Prioritization!$D:$D,MATCH($B317,Prioritization!$A:$A,0))</f>
        <v>INVALID</v>
      </c>
      <c r="B317" s="0" t="s">
        <v>215</v>
      </c>
      <c r="C317" s="0" t="s">
        <v>366</v>
      </c>
      <c r="D317" s="0" t="s">
        <v>30</v>
      </c>
      <c r="E317" s="0" t="str">
        <f aca="false">$B317&amp;"|"&amp;$C317&amp;"|"&amp;$D317</f>
        <v>Mangochi District [lLDyBx5XyUi]|25-34|Female</v>
      </c>
      <c r="F317" s="10"/>
      <c r="G317" s="10"/>
      <c r="H317" s="10"/>
      <c r="I317" s="10"/>
      <c r="J317" s="10"/>
      <c r="K317" s="10"/>
      <c r="L317" s="10"/>
      <c r="M317" s="10"/>
      <c r="N317" s="10"/>
      <c r="O317" s="10" t="str">
        <f aca="false">IFERROR(1/(1/MAX($I317,$N317)),"")</f>
        <v/>
      </c>
      <c r="P317" s="10"/>
      <c r="Q317" s="10"/>
      <c r="R317" s="10" t="str">
        <f aca="false">IF(AND(SUM($I317)=0,SUM($O317)=0),"",SUM($O317)-$I317)</f>
        <v/>
      </c>
      <c r="S317" s="10" t="n">
        <f aca="false">IF(LEFT($B317,4)="_Mil","",_xlfn.IFNA(ROUND(INDEX(Spectrum!$N:$N,MATCH(RIGHT($B317,13)&amp;"|"&amp;$C317&amp;"|"&amp;$D317&amp;"|"&amp;S$14&amp;"|"&amp;"CY2022Q4",Spectrum!$R:$R,0)),0),""))</f>
        <v>1442</v>
      </c>
      <c r="T317" s="39" t="n">
        <f aca="false">IF(LEFT($B317,4)="_Mil","",_xlfn.IFNA(ROUND(INDEX(Spectrum!$N:$N,MATCH(RIGHT($B317,13)&amp;"|"&amp;$C317&amp;"|"&amp;$D317&amp;"|"&amp;T$14&amp;"|"&amp;"CY2023Q3",Spectrum!$R:$R,0)),0),""))</f>
        <v>1690</v>
      </c>
      <c r="U317" s="39" t="str">
        <f aca="false">IF(LEFT($B317,4)="_Mil","",_xlfn.IFNA(ROUND(INDEX(Spectrum!$N:$N,MATCH(RIGHT($B317,13)&amp;"|"&amp;$C317&amp;"|"&amp;$D317&amp;"|"&amp;U$14&amp;"|"&amp;"CY2023Q3",Spectrum!$R:$R,0)),0),""))</f>
        <v/>
      </c>
      <c r="V317" s="10" t="n">
        <f aca="false">IF(LEFT($B317,4)="_Mil","",_xlfn.IFNA(ROUND(INDEX(Spectrum!$N:$N,MATCH(RIGHT($B317,13)&amp;"|"&amp;$C317&amp;"|"&amp;$D317&amp;"|"&amp;V$14&amp;"|"&amp;"CY2023Q3",Spectrum!$R:$R,0)),0),""))</f>
        <v>1334</v>
      </c>
      <c r="W317" s="113" t="n">
        <f aca="false">IF(LEFT($B317,4)="_Mil","",_xlfn.IFNA(INDEX(Spectrum!$N:$N,MATCH(RIGHT($B317,13)&amp;"|"&amp;$C317&amp;"|"&amp;$D317&amp;"|"&amp;W$14&amp;"|"&amp;"CY2023Q3",Spectrum!$R:$R,0)),""))</f>
        <v>534</v>
      </c>
      <c r="X317" s="39" t="n">
        <f aca="false">IF(LEFT($B317,4)="_Mil","",_xlfn.IFNA(ROUND(INDEX(Spectrum!$N:$N,MATCH(RIGHT($B317,13)&amp;"|"&amp;$C317&amp;"|"&amp;$D317&amp;"|"&amp;X$14&amp;"|"&amp;"CY2023Q3",Spectrum!$R:$R,0)),0),""))</f>
        <v>1932</v>
      </c>
      <c r="Y317" s="88" t="str">
        <f aca="false">IF(OR(SUM($U317)=0,LEFT($B317,4)="_Mil"),"",SUM($X317)/$U317)</f>
        <v/>
      </c>
      <c r="Z317" s="39" t="n">
        <f aca="false">IF(LEFT($B317,4)="_Mil","",_xlfn.IFNA(ROUND(INDEX(Spectrum!$N:$N,MATCH(RIGHT($B317,13)&amp;"|"&amp;$C317&amp;"|"&amp;$D317&amp;"|"&amp;Z$14&amp;"|"&amp;"CY2023Q3",Spectrum!$R:$R,0)),0),""))</f>
        <v>931</v>
      </c>
      <c r="AA317" s="88" t="n">
        <f aca="false">IF(LEFT($B317,4)="_Mil","",IFERROR(1/(1/INDEX(Spectrum!$N:$N,MATCH(RIGHT($B317,13)&amp;"|"&amp;$C317&amp;"|"&amp;$D317&amp;"|"&amp;AA$14&amp;"|"&amp;"CY2023Q3",Spectrum!$R:$R,0))),IF(SUM($U317)=0,"",SUM($Z317)/$U317)))</f>
        <v>1569</v>
      </c>
      <c r="AB317" s="88" t="n">
        <f aca="false">IF(OR(LEFT($B317,4)="_Mil",SUM($X317)=0),"",SUM($Z317)/$X317)</f>
        <v>0.481884057971014</v>
      </c>
      <c r="AC317" s="10" t="n">
        <f aca="false">IF(LEFT($B317,4)="_Mil","",_xlfn.IFNA(ROUND(INDEX(Spectrum!$N:$N,MATCH(RIGHT($B317,13)&amp;"|"&amp;$C317&amp;"|"&amp;$D317&amp;"|"&amp;AC$14&amp;"|"&amp;"CY2023Q3",Spectrum!$R:$R,0)),0),""))</f>
        <v>963</v>
      </c>
      <c r="AD317" s="10" t="str">
        <f aca="false">IF(LEFT($B317,4)="_Mil","",_xlfn.IFNA(ROUND(INDEX(Spectrum!$N:$N,MATCH(RIGHT($B317,13)&amp;"|"&amp;$C317&amp;"|"&amp;$D317&amp;"|"&amp;AD$14&amp;"|"&amp;"CY2023Q3",Spectrum!$R:$R,0)),0),""))</f>
        <v/>
      </c>
      <c r="AE317" s="88" t="n">
        <f aca="false">IF(OR(LEFT($B317,4)="_Mil",SUM($Z317)=0),"",SUM($AD317)/$Z317)</f>
        <v>0</v>
      </c>
      <c r="AF317" s="39" t="str">
        <f aca="false">IF(LEFT($B317,4)="_Mil","",_xlfn.IFNA(ROUND(INDEX(Spectrum!$N:$N,MATCH(RIGHT($B317,13)&amp;"|"&amp;$C317&amp;"|"&amp;$D317&amp;"|"&amp;AF$14&amp;"|"&amp;"CY2023Q3",Spectrum!$R:$R,0)),0),""))</f>
        <v/>
      </c>
      <c r="AG317" s="88" t="str">
        <f aca="false">IF(OR(LEFT($B317,4)="_Mil",SUM($AD317)=0),"",SUM($AF317)/$AD317)</f>
        <v/>
      </c>
      <c r="AH317" s="86" t="str">
        <f aca="false">IF(LEFT($B317,4)="_Mil","",_xlfn.IFNA(INDEX(Spectrum!$N:$N,MATCH(RIGHT($B317,13)&amp;"|"&amp;$C317&amp;"|"&amp;$D317&amp;"|"&amp;AH$14&amp;"|"&amp;"CY2023Q3",Spectrum!$R:$R,0)),""))</f>
        <v/>
      </c>
      <c r="AI317" s="10" t="str">
        <f aca="false">IF(LEFT($B317,4)="_Mil","",_xlfn.IFNA(ROUND(INDEX(Spectrum!$N:$N,MATCH(RIGHT($B317,13)&amp;"|"&amp;$C317&amp;"|"&amp;$D317&amp;"|"&amp;AI$14&amp;"|"&amp;"CY2023Q3",Spectrum!$R:$R,0)),0),""))</f>
        <v/>
      </c>
      <c r="AJ317" s="39" t="n">
        <f aca="false">IF(LEFT($B317,4)="_Mil","",_xlfn.IFNA(ROUND(INDEX(Spectrum!$N:$N,MATCH(RIGHT($B317,13)&amp;"|"&amp;$C317&amp;"|"&amp;$D317&amp;"|"&amp;AI$14&amp;"|"&amp;"CY2023Q3",Spectrum!$R:$R,0)),0),SUM($U317)+SUM($AI317)))</f>
        <v>0</v>
      </c>
      <c r="AK317" s="10" t="str">
        <f aca="false">IF(LEFT($B317,4)="_Mil","",_xlfn.IFNA(ROUND(INDEX(Spectrum!$N:$N,MATCH(RIGHT($B317,13)&amp;"|"&amp;$C317&amp;"|"&amp;$D317&amp;"|"&amp;AK$14&amp;"|"&amp;"CY2023Q3",Spectrum!$R:$R,0)),0),""))</f>
        <v/>
      </c>
      <c r="AL317" s="88" t="n">
        <f aca="false">IF(OR(LEFT($B317,4)="_Mil",$C317="&lt;01"),"",MAX(SUM($AA317),90%))</f>
        <v>1569</v>
      </c>
      <c r="AM317" s="10" t="n">
        <f aca="false">IF(OR(LEFT($B317,4)="_Mil",$C317="&lt;01"),"",ROUND(SUM($AJ317)*SUM($AL317),0))</f>
        <v>0</v>
      </c>
      <c r="AN317" s="10" t="str">
        <f aca="false">IF($C317="&lt;01",ROUND(INDEX(EID!$P:$P,MATCH($B317,EID!$B:$B,0))/2,0),"")</f>
        <v/>
      </c>
      <c r="AO317" s="10" t="n">
        <f aca="false">IF($C317="&lt;01",SUM($AN317),ROUND(SUM($AM317)*SUM($O317)/IF(SUM($Z317)=0,1,$Z317),0))</f>
        <v>0</v>
      </c>
      <c r="AP317" s="39" t="n">
        <f aca="false">IF(OR($F317="",$C317="&lt;01"),$AO317,$F317)</f>
        <v>0</v>
      </c>
      <c r="AQ317" s="39" t="n">
        <f aca="false">IF(LEFT($B317,4)="_Mil","",IF(SUM($AP317)=0,SUM($Z317),IF(OR(SUM($Z317)=0,SUM($O317)=0),MAX($AP317,$Z317),$AP317*$Z317/$O317)))</f>
        <v>931</v>
      </c>
      <c r="AR317" s="88" t="str">
        <f aca="false">IF(OR(LEFT($B317,4)="_Mil",SUM($AJ317)=0),"",SUM($AQ317)/$AJ317)</f>
        <v/>
      </c>
      <c r="AS317" s="88" t="n">
        <f aca="false">IF($C317="&lt;01","",98%)</f>
        <v>0.98</v>
      </c>
      <c r="AT317" s="88" t="n">
        <f aca="false">IF($C317="&lt;01","",98%)</f>
        <v>0.98</v>
      </c>
      <c r="AU317" s="10" t="n">
        <f aca="false">IF($C317="&lt;01","",SUM($AP317)-SUM($O317))</f>
        <v>0</v>
      </c>
      <c r="AV317" s="10" t="n">
        <f aca="false">IF($C317="&lt;01",ROUND(INDEX(EID!$N:$N,MATCH($B317,EID!$B:$B,0))/2,0),IF(SUM($AT317)=0,"",ROUND((SUM($AP317)-(SUM($O317)*SUM($AS317)))/$AT317,0)))</f>
        <v>0</v>
      </c>
      <c r="AW317" s="88" t="n">
        <f aca="false">IF($C317="&lt;01","",100%)</f>
        <v>1</v>
      </c>
      <c r="AX317" s="39" t="n">
        <f aca="false">IF($C317="&lt;01",SUM($AV317),ROUND(SUM($AV317)*SUM($AW317),0))</f>
        <v>0</v>
      </c>
      <c r="AY317" s="114" t="n">
        <f aca="false">IF($C317="&lt;01","",70%)</f>
        <v>0.7</v>
      </c>
      <c r="AZ317" s="91" t="n">
        <f aca="false">IF($C317="&lt;01",ROUND(INDEX(EID!$R:$R,MATCH($B317,EID!$B:$B,0))/2,0),ROUND(SUM($O317)+(SUM($AV317)*$AY317),0))</f>
        <v>0</v>
      </c>
      <c r="BA317" s="87" t="n">
        <f aca="false">IF($C317="&lt;01","",95%)</f>
        <v>0.95</v>
      </c>
      <c r="BB317" s="5" t="n">
        <f aca="false">IF($C317="&lt;01",ROUND(INDEX(EID!$T:$T,MATCH($B317,EID!$B:$B,0))/2,0),ROUND($AZ317*$BA317,0))</f>
        <v>0</v>
      </c>
      <c r="BC317" s="91" t="n">
        <f aca="false">IF(LEFT($B317,4)="_Mil","",IF(SUM($BB317)=0,SUM($AD317),IF(OR(SUM($AP317)=0,SUM($AQ317)=0),MAX($BB317,$AD317),ROUND($BB317*$AQ317/$AP317,0))))</f>
        <v>0</v>
      </c>
      <c r="BD317" s="88" t="n">
        <f aca="false">IF($C317="&lt;01","",95%)</f>
        <v>0.95</v>
      </c>
      <c r="BE317" s="39" t="n">
        <f aca="false">IF($C317="&lt;01",ROUND(INDEX(EID!$V:$V,MATCH($B317,EID!$B:$B,0))/2,0),ROUND($BD317*$BB317,0))</f>
        <v>0</v>
      </c>
      <c r="BF317" s="39" t="n">
        <f aca="false">IF(LEFT($B317,4)="_Mil","",IF(SUM($BE317)=0,SUM($AF317),IF(OR(SUM($AP317)=0,SUM($AQ317)=0),MAX($BE317,$AF317),ROUND($BE317*$AQ317/$AP317,0))))</f>
        <v>0</v>
      </c>
      <c r="BG317" s="114" t="n">
        <f aca="false">IF($C317="&lt;01","",95%)</f>
        <v>0.95</v>
      </c>
      <c r="BH317" s="5" t="n">
        <f aca="false">IF($C317="&lt;01",ROUND(INDEX(EID!$L:$L,MATCH($B317,EID!$B:$B,0)),0)/2,IF(SUM($BG317)=0,"",ROUND($AX317/$BG317,0)))</f>
        <v>0</v>
      </c>
    </row>
    <row r="318" customFormat="false" ht="15" hidden="false" customHeight="false" outlineLevel="0" collapsed="false">
      <c r="A318" s="0" t="str">
        <f aca="false">INDEX(Prioritization!$D:$D,MATCH($B318,Prioritization!$A:$A,0))</f>
        <v>INVALID</v>
      </c>
      <c r="B318" s="0" t="s">
        <v>215</v>
      </c>
      <c r="C318" s="0" t="s">
        <v>366</v>
      </c>
      <c r="D318" s="0" t="s">
        <v>48</v>
      </c>
      <c r="E318" s="0" t="str">
        <f aca="false">$B318&amp;"|"&amp;$C318&amp;"|"&amp;$D318</f>
        <v>Mangochi District [lLDyBx5XyUi]|25-34|Male</v>
      </c>
      <c r="F318" s="10"/>
      <c r="G318" s="10"/>
      <c r="H318" s="10"/>
      <c r="I318" s="10"/>
      <c r="J318" s="10"/>
      <c r="K318" s="10"/>
      <c r="L318" s="10"/>
      <c r="M318" s="10"/>
      <c r="N318" s="10"/>
      <c r="O318" s="10" t="str">
        <f aca="false">IFERROR(1/(1/MAX($I318,$N318)),"")</f>
        <v/>
      </c>
      <c r="P318" s="10"/>
      <c r="Q318" s="10"/>
      <c r="R318" s="10" t="str">
        <f aca="false">IF(AND(SUM($I318)=0,SUM($O318)=0),"",SUM($O318)-$I318)</f>
        <v/>
      </c>
      <c r="S318" s="10" t="n">
        <f aca="false">IF(LEFT($B318,4)="_Mil","",_xlfn.IFNA(ROUND(INDEX(Spectrum!$N:$N,MATCH(RIGHT($B318,13)&amp;"|"&amp;$C318&amp;"|"&amp;$D318&amp;"|"&amp;S$14&amp;"|"&amp;"CY2022Q4",Spectrum!$R:$R,0)),0),""))</f>
        <v>728</v>
      </c>
      <c r="T318" s="39" t="n">
        <f aca="false">IF(LEFT($B318,4)="_Mil","",_xlfn.IFNA(ROUND(INDEX(Spectrum!$N:$N,MATCH(RIGHT($B318,13)&amp;"|"&amp;$C318&amp;"|"&amp;$D318&amp;"|"&amp;T$14&amp;"|"&amp;"CY2023Q3",Spectrum!$R:$R,0)),0),""))</f>
        <v>1817</v>
      </c>
      <c r="U318" s="39" t="str">
        <f aca="false">IF(LEFT($B318,4)="_Mil","",_xlfn.IFNA(ROUND(INDEX(Spectrum!$N:$N,MATCH(RIGHT($B318,13)&amp;"|"&amp;$C318&amp;"|"&amp;$D318&amp;"|"&amp;U$14&amp;"|"&amp;"CY2023Q3",Spectrum!$R:$R,0)),0),""))</f>
        <v/>
      </c>
      <c r="V318" s="10" t="n">
        <f aca="false">IF(LEFT($B318,4)="_Mil","",_xlfn.IFNA(ROUND(INDEX(Spectrum!$N:$N,MATCH(RIGHT($B318,13)&amp;"|"&amp;$C318&amp;"|"&amp;$D318&amp;"|"&amp;V$14&amp;"|"&amp;"CY2023Q3",Spectrum!$R:$R,0)),0),""))</f>
        <v>1014</v>
      </c>
      <c r="W318" s="113" t="n">
        <f aca="false">IF(LEFT($B318,4)="_Mil","",_xlfn.IFNA(INDEX(Spectrum!$N:$N,MATCH(RIGHT($B318,13)&amp;"|"&amp;$C318&amp;"|"&amp;$D318&amp;"|"&amp;W$14&amp;"|"&amp;"CY2023Q3",Spectrum!$R:$R,0)),""))</f>
        <v>1763</v>
      </c>
      <c r="X318" s="39" t="n">
        <f aca="false">IF(LEFT($B318,4)="_Mil","",_xlfn.IFNA(ROUND(INDEX(Spectrum!$N:$N,MATCH(RIGHT($B318,13)&amp;"|"&amp;$C318&amp;"|"&amp;$D318&amp;"|"&amp;X$14&amp;"|"&amp;"CY2023Q3",Spectrum!$R:$R,0)),0),""))</f>
        <v>958</v>
      </c>
      <c r="Y318" s="88" t="str">
        <f aca="false">IF(OR(SUM($U318)=0,LEFT($B318,4)="_Mil"),"",SUM($X318)/$U318)</f>
        <v/>
      </c>
      <c r="Z318" s="39" t="n">
        <f aca="false">IF(LEFT($B318,4)="_Mil","",_xlfn.IFNA(ROUND(INDEX(Spectrum!$N:$N,MATCH(RIGHT($B318,13)&amp;"|"&amp;$C318&amp;"|"&amp;$D318&amp;"|"&amp;Z$14&amp;"|"&amp;"CY2023Q3",Spectrum!$R:$R,0)),0),""))</f>
        <v>988</v>
      </c>
      <c r="AA318" s="88" t="n">
        <f aca="false">IF(LEFT($B318,4)="_Mil","",IFERROR(1/(1/INDEX(Spectrum!$N:$N,MATCH(RIGHT($B318,13)&amp;"|"&amp;$C318&amp;"|"&amp;$D318&amp;"|"&amp;AA$14&amp;"|"&amp;"CY2023Q3",Spectrum!$R:$R,0))),IF(SUM($U318)=0,"",SUM($Z318)/$U318)))</f>
        <v>926</v>
      </c>
      <c r="AB318" s="88" t="n">
        <f aca="false">IF(OR(LEFT($B318,4)="_Mil",SUM($X318)=0),"",SUM($Z318)/$X318)</f>
        <v>1.03131524008351</v>
      </c>
      <c r="AC318" s="10" t="n">
        <f aca="false">IF(LEFT($B318,4)="_Mil","",_xlfn.IFNA(ROUND(INDEX(Spectrum!$N:$N,MATCH(RIGHT($B318,13)&amp;"|"&amp;$C318&amp;"|"&amp;$D318&amp;"|"&amp;AC$14&amp;"|"&amp;"CY2023Q3",Spectrum!$R:$R,0)),0),""))</f>
        <v>1980</v>
      </c>
      <c r="AD318" s="10" t="str">
        <f aca="false">IF(LEFT($B318,4)="_Mil","",_xlfn.IFNA(ROUND(INDEX(Spectrum!$N:$N,MATCH(RIGHT($B318,13)&amp;"|"&amp;$C318&amp;"|"&amp;$D318&amp;"|"&amp;AD$14&amp;"|"&amp;"CY2023Q3",Spectrum!$R:$R,0)),0),""))</f>
        <v/>
      </c>
      <c r="AE318" s="88" t="n">
        <f aca="false">IF(OR(LEFT($B318,4)="_Mil",SUM($Z318)=0),"",SUM($AD318)/$Z318)</f>
        <v>0</v>
      </c>
      <c r="AF318" s="39" t="str">
        <f aca="false">IF(LEFT($B318,4)="_Mil","",_xlfn.IFNA(ROUND(INDEX(Spectrum!$N:$N,MATCH(RIGHT($B318,13)&amp;"|"&amp;$C318&amp;"|"&amp;$D318&amp;"|"&amp;AF$14&amp;"|"&amp;"CY2023Q3",Spectrum!$R:$R,0)),0),""))</f>
        <v/>
      </c>
      <c r="AG318" s="88" t="str">
        <f aca="false">IF(OR(LEFT($B318,4)="_Mil",SUM($AD318)=0),"",SUM($AF318)/$AD318)</f>
        <v/>
      </c>
      <c r="AH318" s="86" t="str">
        <f aca="false">IF(LEFT($B318,4)="_Mil","",_xlfn.IFNA(INDEX(Spectrum!$N:$N,MATCH(RIGHT($B318,13)&amp;"|"&amp;$C318&amp;"|"&amp;$D318&amp;"|"&amp;AH$14&amp;"|"&amp;"CY2023Q3",Spectrum!$R:$R,0)),""))</f>
        <v/>
      </c>
      <c r="AI318" s="10" t="str">
        <f aca="false">IF(LEFT($B318,4)="_Mil","",_xlfn.IFNA(ROUND(INDEX(Spectrum!$N:$N,MATCH(RIGHT($B318,13)&amp;"|"&amp;$C318&amp;"|"&amp;$D318&amp;"|"&amp;AI$14&amp;"|"&amp;"CY2023Q3",Spectrum!$R:$R,0)),0),""))</f>
        <v/>
      </c>
      <c r="AJ318" s="39" t="n">
        <f aca="false">IF(LEFT($B318,4)="_Mil","",_xlfn.IFNA(ROUND(INDEX(Spectrum!$N:$N,MATCH(RIGHT($B318,13)&amp;"|"&amp;$C318&amp;"|"&amp;$D318&amp;"|"&amp;AI$14&amp;"|"&amp;"CY2023Q3",Spectrum!$R:$R,0)),0),SUM($U318)+SUM($AI318)))</f>
        <v>0</v>
      </c>
      <c r="AK318" s="10" t="str">
        <f aca="false">IF(LEFT($B318,4)="_Mil","",_xlfn.IFNA(ROUND(INDEX(Spectrum!$N:$N,MATCH(RIGHT($B318,13)&amp;"|"&amp;$C318&amp;"|"&amp;$D318&amp;"|"&amp;AK$14&amp;"|"&amp;"CY2023Q3",Spectrum!$R:$R,0)),0),""))</f>
        <v/>
      </c>
      <c r="AL318" s="88" t="n">
        <f aca="false">IF(OR(LEFT($B318,4)="_Mil",$C318="&lt;01"),"",MAX(SUM($AA318),90%))</f>
        <v>926</v>
      </c>
      <c r="AM318" s="10" t="n">
        <f aca="false">IF(OR(LEFT($B318,4)="_Mil",$C318="&lt;01"),"",ROUND(SUM($AJ318)*SUM($AL318),0))</f>
        <v>0</v>
      </c>
      <c r="AN318" s="10" t="str">
        <f aca="false">IF($C318="&lt;01",ROUND(INDEX(EID!$P:$P,MATCH($B318,EID!$B:$B,0))/2,0),"")</f>
        <v/>
      </c>
      <c r="AO318" s="10" t="n">
        <f aca="false">IF($C318="&lt;01",SUM($AN318),ROUND(SUM($AM318)*SUM($O318)/IF(SUM($Z318)=0,1,$Z318),0))</f>
        <v>0</v>
      </c>
      <c r="AP318" s="39" t="n">
        <f aca="false">IF(OR($F318="",$C318="&lt;01"),$AO318,$F318)</f>
        <v>0</v>
      </c>
      <c r="AQ318" s="39" t="n">
        <f aca="false">IF(LEFT($B318,4)="_Mil","",IF(SUM($AP318)=0,SUM($Z318),IF(OR(SUM($Z318)=0,SUM($O318)=0),MAX($AP318,$Z318),$AP318*$Z318/$O318)))</f>
        <v>988</v>
      </c>
      <c r="AR318" s="88" t="str">
        <f aca="false">IF(OR(LEFT($B318,4)="_Mil",SUM($AJ318)=0),"",SUM($AQ318)/$AJ318)</f>
        <v/>
      </c>
      <c r="AS318" s="88" t="n">
        <f aca="false">IF($C318="&lt;01","",98%)</f>
        <v>0.98</v>
      </c>
      <c r="AT318" s="88" t="n">
        <f aca="false">IF($C318="&lt;01","",98%)</f>
        <v>0.98</v>
      </c>
      <c r="AU318" s="10" t="n">
        <f aca="false">IF($C318="&lt;01","",SUM($AP318)-SUM($O318))</f>
        <v>0</v>
      </c>
      <c r="AV318" s="10" t="n">
        <f aca="false">IF($C318="&lt;01",ROUND(INDEX(EID!$N:$N,MATCH($B318,EID!$B:$B,0))/2,0),IF(SUM($AT318)=0,"",ROUND((SUM($AP318)-(SUM($O318)*SUM($AS318)))/$AT318,0)))</f>
        <v>0</v>
      </c>
      <c r="AW318" s="88" t="n">
        <f aca="false">IF($C318="&lt;01","",100%)</f>
        <v>1</v>
      </c>
      <c r="AX318" s="39" t="n">
        <f aca="false">IF($C318="&lt;01",SUM($AV318),ROUND(SUM($AV318)*SUM($AW318),0))</f>
        <v>0</v>
      </c>
      <c r="AY318" s="114" t="n">
        <f aca="false">IF($C318="&lt;01","",70%)</f>
        <v>0.7</v>
      </c>
      <c r="AZ318" s="91" t="n">
        <f aca="false">IF($C318="&lt;01",ROUND(INDEX(EID!$R:$R,MATCH($B318,EID!$B:$B,0))/2,0),ROUND(SUM($O318)+(SUM($AV318)*$AY318),0))</f>
        <v>0</v>
      </c>
      <c r="BA318" s="87" t="n">
        <f aca="false">IF($C318="&lt;01","",95%)</f>
        <v>0.95</v>
      </c>
      <c r="BB318" s="5" t="n">
        <f aca="false">IF($C318="&lt;01",ROUND(INDEX(EID!$T:$T,MATCH($B318,EID!$B:$B,0))/2,0),ROUND($AZ318*$BA318,0))</f>
        <v>0</v>
      </c>
      <c r="BC318" s="91" t="n">
        <f aca="false">IF(LEFT($B318,4)="_Mil","",IF(SUM($BB318)=0,SUM($AD318),IF(OR(SUM($AP318)=0,SUM($AQ318)=0),MAX($BB318,$AD318),ROUND($BB318*$AQ318/$AP318,0))))</f>
        <v>0</v>
      </c>
      <c r="BD318" s="88" t="n">
        <f aca="false">IF($C318="&lt;01","",95%)</f>
        <v>0.95</v>
      </c>
      <c r="BE318" s="39" t="n">
        <f aca="false">IF($C318="&lt;01",ROUND(INDEX(EID!$V:$V,MATCH($B318,EID!$B:$B,0))/2,0),ROUND($BD318*$BB318,0))</f>
        <v>0</v>
      </c>
      <c r="BF318" s="39" t="n">
        <f aca="false">IF(LEFT($B318,4)="_Mil","",IF(SUM($BE318)=0,SUM($AF318),IF(OR(SUM($AP318)=0,SUM($AQ318)=0),MAX($BE318,$AF318),ROUND($BE318*$AQ318/$AP318,0))))</f>
        <v>0</v>
      </c>
      <c r="BG318" s="114" t="n">
        <f aca="false">IF($C318="&lt;01","",95%)</f>
        <v>0.95</v>
      </c>
      <c r="BH318" s="5" t="n">
        <f aca="false">IF($C318="&lt;01",ROUND(INDEX(EID!$L:$L,MATCH($B318,EID!$B:$B,0)),0)/2,IF(SUM($BG318)=0,"",ROUND($AX318/$BG318,0)))</f>
        <v>0</v>
      </c>
    </row>
    <row r="319" customFormat="false" ht="15" hidden="false" customHeight="false" outlineLevel="0" collapsed="false">
      <c r="A319" s="0" t="str">
        <f aca="false">INDEX(Prioritization!$D:$D,MATCH($B319,Prioritization!$A:$A,0))</f>
        <v>INVALID</v>
      </c>
      <c r="B319" s="0" t="s">
        <v>215</v>
      </c>
      <c r="C319" s="0" t="s">
        <v>367</v>
      </c>
      <c r="D319" s="0" t="s">
        <v>30</v>
      </c>
      <c r="E319" s="0" t="str">
        <f aca="false">$B319&amp;"|"&amp;$C319&amp;"|"&amp;$D319</f>
        <v>Mangochi District [lLDyBx5XyUi]|35-49|Female</v>
      </c>
      <c r="F319" s="10"/>
      <c r="G319" s="10"/>
      <c r="H319" s="10"/>
      <c r="I319" s="10"/>
      <c r="J319" s="10"/>
      <c r="K319" s="10"/>
      <c r="L319" s="10"/>
      <c r="M319" s="10"/>
      <c r="N319" s="10"/>
      <c r="O319" s="10" t="str">
        <f aca="false">IFERROR(1/(1/MAX($I319,$N319)),"")</f>
        <v/>
      </c>
      <c r="P319" s="10"/>
      <c r="Q319" s="10"/>
      <c r="R319" s="10" t="str">
        <f aca="false">IF(AND(SUM($I319)=0,SUM($O319)=0),"",SUM($O319)-$I319)</f>
        <v/>
      </c>
      <c r="S319" s="10" t="n">
        <f aca="false">IF(LEFT($B319,4)="_Mil","",_xlfn.IFNA(ROUND(INDEX(Spectrum!$N:$N,MATCH(RIGHT($B319,13)&amp;"|"&amp;$C319&amp;"|"&amp;$D319&amp;"|"&amp;S$14&amp;"|"&amp;"CY2022Q4",Spectrum!$R:$R,0)),0),""))</f>
        <v>1087</v>
      </c>
      <c r="T319" s="39" t="n">
        <f aca="false">IF(LEFT($B319,4)="_Mil","",_xlfn.IFNA(ROUND(INDEX(Spectrum!$N:$N,MATCH(RIGHT($B319,13)&amp;"|"&amp;$C319&amp;"|"&amp;$D319&amp;"|"&amp;T$14&amp;"|"&amp;"CY2023Q3",Spectrum!$R:$R,0)),0),""))</f>
        <v>1460</v>
      </c>
      <c r="U319" s="39" t="str">
        <f aca="false">IF(LEFT($B319,4)="_Mil","",_xlfn.IFNA(ROUND(INDEX(Spectrum!$N:$N,MATCH(RIGHT($B319,13)&amp;"|"&amp;$C319&amp;"|"&amp;$D319&amp;"|"&amp;U$14&amp;"|"&amp;"CY2023Q3",Spectrum!$R:$R,0)),0),""))</f>
        <v/>
      </c>
      <c r="V319" s="10" t="n">
        <f aca="false">IF(LEFT($B319,4)="_Mil","",_xlfn.IFNA(ROUND(INDEX(Spectrum!$N:$N,MATCH(RIGHT($B319,13)&amp;"|"&amp;$C319&amp;"|"&amp;$D319&amp;"|"&amp;V$14&amp;"|"&amp;"CY2023Q3",Spectrum!$R:$R,0)),0),""))</f>
        <v>1303</v>
      </c>
      <c r="W319" s="113" t="n">
        <f aca="false">IF(LEFT($B319,4)="_Mil","",_xlfn.IFNA(INDEX(Spectrum!$N:$N,MATCH(RIGHT($B319,13)&amp;"|"&amp;$C319&amp;"|"&amp;$D319&amp;"|"&amp;W$14&amp;"|"&amp;"CY2023Q3",Spectrum!$R:$R,0)),""))</f>
        <v>1134</v>
      </c>
      <c r="X319" s="39" t="n">
        <f aca="false">IF(LEFT($B319,4)="_Mil","",_xlfn.IFNA(ROUND(INDEX(Spectrum!$N:$N,MATCH(RIGHT($B319,13)&amp;"|"&amp;$C319&amp;"|"&amp;$D319&amp;"|"&amp;X$14&amp;"|"&amp;"CY2023Q3",Spectrum!$R:$R,0)),0),""))</f>
        <v>1048</v>
      </c>
      <c r="Y319" s="88" t="str">
        <f aca="false">IF(OR(SUM($U319)=0,LEFT($B319,4)="_Mil"),"",SUM($X319)/$U319)</f>
        <v/>
      </c>
      <c r="Z319" s="39" t="n">
        <f aca="false">IF(LEFT($B319,4)="_Mil","",_xlfn.IFNA(ROUND(INDEX(Spectrum!$N:$N,MATCH(RIGHT($B319,13)&amp;"|"&amp;$C319&amp;"|"&amp;$D319&amp;"|"&amp;Z$14&amp;"|"&amp;"CY2023Q3",Spectrum!$R:$R,0)),0),""))</f>
        <v>1338</v>
      </c>
      <c r="AA319" s="88" t="n">
        <f aca="false">IF(LEFT($B319,4)="_Mil","",IFERROR(1/(1/INDEX(Spectrum!$N:$N,MATCH(RIGHT($B319,13)&amp;"|"&amp;$C319&amp;"|"&amp;$D319&amp;"|"&amp;AA$14&amp;"|"&amp;"CY2023Q3",Spectrum!$R:$R,0))),IF(SUM($U319)=0,"",SUM($Z319)/$U319)))</f>
        <v>982</v>
      </c>
      <c r="AB319" s="88" t="n">
        <f aca="false">IF(OR(LEFT($B319,4)="_Mil",SUM($X319)=0),"",SUM($Z319)/$X319)</f>
        <v>1.27671755725191</v>
      </c>
      <c r="AC319" s="10" t="n">
        <f aca="false">IF(LEFT($B319,4)="_Mil","",_xlfn.IFNA(ROUND(INDEX(Spectrum!$N:$N,MATCH(RIGHT($B319,13)&amp;"|"&amp;$C319&amp;"|"&amp;$D319&amp;"|"&amp;AC$14&amp;"|"&amp;"CY2023Q3",Spectrum!$R:$R,0)),0),""))</f>
        <v>1890</v>
      </c>
      <c r="AD319" s="10" t="str">
        <f aca="false">IF(LEFT($B319,4)="_Mil","",_xlfn.IFNA(ROUND(INDEX(Spectrum!$N:$N,MATCH(RIGHT($B319,13)&amp;"|"&amp;$C319&amp;"|"&amp;$D319&amp;"|"&amp;AD$14&amp;"|"&amp;"CY2023Q3",Spectrum!$R:$R,0)),0),""))</f>
        <v/>
      </c>
      <c r="AE319" s="88" t="n">
        <f aca="false">IF(OR(LEFT($B319,4)="_Mil",SUM($Z319)=0),"",SUM($AD319)/$Z319)</f>
        <v>0</v>
      </c>
      <c r="AF319" s="39" t="str">
        <f aca="false">IF(LEFT($B319,4)="_Mil","",_xlfn.IFNA(ROUND(INDEX(Spectrum!$N:$N,MATCH(RIGHT($B319,13)&amp;"|"&amp;$C319&amp;"|"&amp;$D319&amp;"|"&amp;AF$14&amp;"|"&amp;"CY2023Q3",Spectrum!$R:$R,0)),0),""))</f>
        <v/>
      </c>
      <c r="AG319" s="88" t="str">
        <f aca="false">IF(OR(LEFT($B319,4)="_Mil",SUM($AD319)=0),"",SUM($AF319)/$AD319)</f>
        <v/>
      </c>
      <c r="AH319" s="86" t="str">
        <f aca="false">IF(LEFT($B319,4)="_Mil","",_xlfn.IFNA(INDEX(Spectrum!$N:$N,MATCH(RIGHT($B319,13)&amp;"|"&amp;$C319&amp;"|"&amp;$D319&amp;"|"&amp;AH$14&amp;"|"&amp;"CY2023Q3",Spectrum!$R:$R,0)),""))</f>
        <v/>
      </c>
      <c r="AI319" s="10" t="str">
        <f aca="false">IF(LEFT($B319,4)="_Mil","",_xlfn.IFNA(ROUND(INDEX(Spectrum!$N:$N,MATCH(RIGHT($B319,13)&amp;"|"&amp;$C319&amp;"|"&amp;$D319&amp;"|"&amp;AI$14&amp;"|"&amp;"CY2023Q3",Spectrum!$R:$R,0)),0),""))</f>
        <v/>
      </c>
      <c r="AJ319" s="39" t="n">
        <f aca="false">IF(LEFT($B319,4)="_Mil","",_xlfn.IFNA(ROUND(INDEX(Spectrum!$N:$N,MATCH(RIGHT($B319,13)&amp;"|"&amp;$C319&amp;"|"&amp;$D319&amp;"|"&amp;AI$14&amp;"|"&amp;"CY2023Q3",Spectrum!$R:$R,0)),0),SUM($U319)+SUM($AI319)))</f>
        <v>0</v>
      </c>
      <c r="AK319" s="10" t="str">
        <f aca="false">IF(LEFT($B319,4)="_Mil","",_xlfn.IFNA(ROUND(INDEX(Spectrum!$N:$N,MATCH(RIGHT($B319,13)&amp;"|"&amp;$C319&amp;"|"&amp;$D319&amp;"|"&amp;AK$14&amp;"|"&amp;"CY2023Q3",Spectrum!$R:$R,0)),0),""))</f>
        <v/>
      </c>
      <c r="AL319" s="88" t="n">
        <f aca="false">IF(OR(LEFT($B319,4)="_Mil",$C319="&lt;01"),"",MAX(SUM($AA319),90%))</f>
        <v>982</v>
      </c>
      <c r="AM319" s="10" t="n">
        <f aca="false">IF(OR(LEFT($B319,4)="_Mil",$C319="&lt;01"),"",ROUND(SUM($AJ319)*SUM($AL319),0))</f>
        <v>0</v>
      </c>
      <c r="AN319" s="10" t="str">
        <f aca="false">IF($C319="&lt;01",ROUND(INDEX(EID!$P:$P,MATCH($B319,EID!$B:$B,0))/2,0),"")</f>
        <v/>
      </c>
      <c r="AO319" s="10" t="n">
        <f aca="false">IF($C319="&lt;01",SUM($AN319),ROUND(SUM($AM319)*SUM($O319)/IF(SUM($Z319)=0,1,$Z319),0))</f>
        <v>0</v>
      </c>
      <c r="AP319" s="39" t="n">
        <f aca="false">IF(OR($F319="",$C319="&lt;01"),$AO319,$F319)</f>
        <v>0</v>
      </c>
      <c r="AQ319" s="39" t="n">
        <f aca="false">IF(LEFT($B319,4)="_Mil","",IF(SUM($AP319)=0,SUM($Z319),IF(OR(SUM($Z319)=0,SUM($O319)=0),MAX($AP319,$Z319),$AP319*$Z319/$O319)))</f>
        <v>1338</v>
      </c>
      <c r="AR319" s="88" t="str">
        <f aca="false">IF(OR(LEFT($B319,4)="_Mil",SUM($AJ319)=0),"",SUM($AQ319)/$AJ319)</f>
        <v/>
      </c>
      <c r="AS319" s="88" t="n">
        <f aca="false">IF($C319="&lt;01","",98%)</f>
        <v>0.98</v>
      </c>
      <c r="AT319" s="88" t="n">
        <f aca="false">IF($C319="&lt;01","",98%)</f>
        <v>0.98</v>
      </c>
      <c r="AU319" s="10" t="n">
        <f aca="false">IF($C319="&lt;01","",SUM($AP319)-SUM($O319))</f>
        <v>0</v>
      </c>
      <c r="AV319" s="10" t="n">
        <f aca="false">IF($C319="&lt;01",ROUND(INDEX(EID!$N:$N,MATCH($B319,EID!$B:$B,0))/2,0),IF(SUM($AT319)=0,"",ROUND((SUM($AP319)-(SUM($O319)*SUM($AS319)))/$AT319,0)))</f>
        <v>0</v>
      </c>
      <c r="AW319" s="88" t="n">
        <f aca="false">IF($C319="&lt;01","",100%)</f>
        <v>1</v>
      </c>
      <c r="AX319" s="39" t="n">
        <f aca="false">IF($C319="&lt;01",SUM($AV319),ROUND(SUM($AV319)*SUM($AW319),0))</f>
        <v>0</v>
      </c>
      <c r="AY319" s="114" t="n">
        <f aca="false">IF($C319="&lt;01","",70%)</f>
        <v>0.7</v>
      </c>
      <c r="AZ319" s="91" t="n">
        <f aca="false">IF($C319="&lt;01",ROUND(INDEX(EID!$R:$R,MATCH($B319,EID!$B:$B,0))/2,0),ROUND(SUM($O319)+(SUM($AV319)*$AY319),0))</f>
        <v>0</v>
      </c>
      <c r="BA319" s="87" t="n">
        <f aca="false">IF($C319="&lt;01","",95%)</f>
        <v>0.95</v>
      </c>
      <c r="BB319" s="5" t="n">
        <f aca="false">IF($C319="&lt;01",ROUND(INDEX(EID!$T:$T,MATCH($B319,EID!$B:$B,0))/2,0),ROUND($AZ319*$BA319,0))</f>
        <v>0</v>
      </c>
      <c r="BC319" s="91" t="n">
        <f aca="false">IF(LEFT($B319,4)="_Mil","",IF(SUM($BB319)=0,SUM($AD319),IF(OR(SUM($AP319)=0,SUM($AQ319)=0),MAX($BB319,$AD319),ROUND($BB319*$AQ319/$AP319,0))))</f>
        <v>0</v>
      </c>
      <c r="BD319" s="88" t="n">
        <f aca="false">IF($C319="&lt;01","",95%)</f>
        <v>0.95</v>
      </c>
      <c r="BE319" s="39" t="n">
        <f aca="false">IF($C319="&lt;01",ROUND(INDEX(EID!$V:$V,MATCH($B319,EID!$B:$B,0))/2,0),ROUND($BD319*$BB319,0))</f>
        <v>0</v>
      </c>
      <c r="BF319" s="39" t="n">
        <f aca="false">IF(LEFT($B319,4)="_Mil","",IF(SUM($BE319)=0,SUM($AF319),IF(OR(SUM($AP319)=0,SUM($AQ319)=0),MAX($BE319,$AF319),ROUND($BE319*$AQ319/$AP319,0))))</f>
        <v>0</v>
      </c>
      <c r="BG319" s="114" t="n">
        <f aca="false">IF($C319="&lt;01","",95%)</f>
        <v>0.95</v>
      </c>
      <c r="BH319" s="5" t="n">
        <f aca="false">IF($C319="&lt;01",ROUND(INDEX(EID!$L:$L,MATCH($B319,EID!$B:$B,0)),0)/2,IF(SUM($BG319)=0,"",ROUND($AX319/$BG319,0)))</f>
        <v>0</v>
      </c>
    </row>
    <row r="320" customFormat="false" ht="15" hidden="false" customHeight="false" outlineLevel="0" collapsed="false">
      <c r="A320" s="0" t="str">
        <f aca="false">INDEX(Prioritization!$D:$D,MATCH($B320,Prioritization!$A:$A,0))</f>
        <v>INVALID</v>
      </c>
      <c r="B320" s="0" t="s">
        <v>215</v>
      </c>
      <c r="C320" s="0" t="s">
        <v>367</v>
      </c>
      <c r="D320" s="0" t="s">
        <v>48</v>
      </c>
      <c r="E320" s="0" t="str">
        <f aca="false">$B320&amp;"|"&amp;$C320&amp;"|"&amp;$D320</f>
        <v>Mangochi District [lLDyBx5XyUi]|35-49|Male</v>
      </c>
      <c r="F320" s="10"/>
      <c r="G320" s="10"/>
      <c r="H320" s="10"/>
      <c r="I320" s="10"/>
      <c r="J320" s="10"/>
      <c r="K320" s="10"/>
      <c r="L320" s="10"/>
      <c r="M320" s="10"/>
      <c r="N320" s="10"/>
      <c r="O320" s="10" t="str">
        <f aca="false">IFERROR(1/(1/MAX($I320,$N320)),"")</f>
        <v/>
      </c>
      <c r="P320" s="10"/>
      <c r="Q320" s="10"/>
      <c r="R320" s="10" t="str">
        <f aca="false">IF(AND(SUM($I320)=0,SUM($O320)=0),"",SUM($O320)-$I320)</f>
        <v/>
      </c>
      <c r="S320" s="10" t="n">
        <f aca="false">IF(LEFT($B320,4)="_Mil","",_xlfn.IFNA(ROUND(INDEX(Spectrum!$N:$N,MATCH(RIGHT($B320,13)&amp;"|"&amp;$C320&amp;"|"&amp;$D320&amp;"|"&amp;S$14&amp;"|"&amp;"CY2022Q4",Spectrum!$R:$R,0)),0),""))</f>
        <v>1566</v>
      </c>
      <c r="T320" s="39" t="n">
        <f aca="false">IF(LEFT($B320,4)="_Mil","",_xlfn.IFNA(ROUND(INDEX(Spectrum!$N:$N,MATCH(RIGHT($B320,13)&amp;"|"&amp;$C320&amp;"|"&amp;$D320&amp;"|"&amp;T$14&amp;"|"&amp;"CY2023Q3",Spectrum!$R:$R,0)),0),""))</f>
        <v>1281</v>
      </c>
      <c r="U320" s="39" t="str">
        <f aca="false">IF(LEFT($B320,4)="_Mil","",_xlfn.IFNA(ROUND(INDEX(Spectrum!$N:$N,MATCH(RIGHT($B320,13)&amp;"|"&amp;$C320&amp;"|"&amp;$D320&amp;"|"&amp;U$14&amp;"|"&amp;"CY2023Q3",Spectrum!$R:$R,0)),0),""))</f>
        <v/>
      </c>
      <c r="V320" s="10" t="n">
        <f aca="false">IF(LEFT($B320,4)="_Mil","",_xlfn.IFNA(ROUND(INDEX(Spectrum!$N:$N,MATCH(RIGHT($B320,13)&amp;"|"&amp;$C320&amp;"|"&amp;$D320&amp;"|"&amp;V$14&amp;"|"&amp;"CY2023Q3",Spectrum!$R:$R,0)),0),""))</f>
        <v>1163</v>
      </c>
      <c r="W320" s="113" t="n">
        <f aca="false">IF(LEFT($B320,4)="_Mil","",_xlfn.IFNA(INDEX(Spectrum!$N:$N,MATCH(RIGHT($B320,13)&amp;"|"&amp;$C320&amp;"|"&amp;$D320&amp;"|"&amp;W$14&amp;"|"&amp;"CY2023Q3",Spectrum!$R:$R,0)),""))</f>
        <v>1665</v>
      </c>
      <c r="X320" s="39" t="n">
        <f aca="false">IF(LEFT($B320,4)="_Mil","",_xlfn.IFNA(ROUND(INDEX(Spectrum!$N:$N,MATCH(RIGHT($B320,13)&amp;"|"&amp;$C320&amp;"|"&amp;$D320&amp;"|"&amp;X$14&amp;"|"&amp;"CY2023Q3",Spectrum!$R:$R,0)),0),""))</f>
        <v>1508</v>
      </c>
      <c r="Y320" s="88" t="str">
        <f aca="false">IF(OR(SUM($U320)=0,LEFT($B320,4)="_Mil"),"",SUM($X320)/$U320)</f>
        <v/>
      </c>
      <c r="Z320" s="39" t="n">
        <f aca="false">IF(LEFT($B320,4)="_Mil","",_xlfn.IFNA(ROUND(INDEX(Spectrum!$N:$N,MATCH(RIGHT($B320,13)&amp;"|"&amp;$C320&amp;"|"&amp;$D320&amp;"|"&amp;Z$14&amp;"|"&amp;"CY2023Q3",Spectrum!$R:$R,0)),0),""))</f>
        <v>1457</v>
      </c>
      <c r="AA320" s="88" t="n">
        <f aca="false">IF(LEFT($B320,4)="_Mil","",IFERROR(1/(1/INDEX(Spectrum!$N:$N,MATCH(RIGHT($B320,13)&amp;"|"&amp;$C320&amp;"|"&amp;$D320&amp;"|"&amp;AA$14&amp;"|"&amp;"CY2023Q3",Spectrum!$R:$R,0))),IF(SUM($U320)=0,"",SUM($Z320)/$U320)))</f>
        <v>1820</v>
      </c>
      <c r="AB320" s="88" t="n">
        <f aca="false">IF(OR(LEFT($B320,4)="_Mil",SUM($X320)=0),"",SUM($Z320)/$X320)</f>
        <v>0.966180371352785</v>
      </c>
      <c r="AC320" s="10" t="n">
        <f aca="false">IF(LEFT($B320,4)="_Mil","",_xlfn.IFNA(ROUND(INDEX(Spectrum!$N:$N,MATCH(RIGHT($B320,13)&amp;"|"&amp;$C320&amp;"|"&amp;$D320&amp;"|"&amp;AC$14&amp;"|"&amp;"CY2023Q3",Spectrum!$R:$R,0)),0),""))</f>
        <v>805</v>
      </c>
      <c r="AD320" s="10" t="str">
        <f aca="false">IF(LEFT($B320,4)="_Mil","",_xlfn.IFNA(ROUND(INDEX(Spectrum!$N:$N,MATCH(RIGHT($B320,13)&amp;"|"&amp;$C320&amp;"|"&amp;$D320&amp;"|"&amp;AD$14&amp;"|"&amp;"CY2023Q3",Spectrum!$R:$R,0)),0),""))</f>
        <v/>
      </c>
      <c r="AE320" s="88" t="n">
        <f aca="false">IF(OR(LEFT($B320,4)="_Mil",SUM($Z320)=0),"",SUM($AD320)/$Z320)</f>
        <v>0</v>
      </c>
      <c r="AF320" s="39" t="str">
        <f aca="false">IF(LEFT($B320,4)="_Mil","",_xlfn.IFNA(ROUND(INDEX(Spectrum!$N:$N,MATCH(RIGHT($B320,13)&amp;"|"&amp;$C320&amp;"|"&amp;$D320&amp;"|"&amp;AF$14&amp;"|"&amp;"CY2023Q3",Spectrum!$R:$R,0)),0),""))</f>
        <v/>
      </c>
      <c r="AG320" s="88" t="str">
        <f aca="false">IF(OR(LEFT($B320,4)="_Mil",SUM($AD320)=0),"",SUM($AF320)/$AD320)</f>
        <v/>
      </c>
      <c r="AH320" s="86" t="str">
        <f aca="false">IF(LEFT($B320,4)="_Mil","",_xlfn.IFNA(INDEX(Spectrum!$N:$N,MATCH(RIGHT($B320,13)&amp;"|"&amp;$C320&amp;"|"&amp;$D320&amp;"|"&amp;AH$14&amp;"|"&amp;"CY2023Q3",Spectrum!$R:$R,0)),""))</f>
        <v/>
      </c>
      <c r="AI320" s="10" t="str">
        <f aca="false">IF(LEFT($B320,4)="_Mil","",_xlfn.IFNA(ROUND(INDEX(Spectrum!$N:$N,MATCH(RIGHT($B320,13)&amp;"|"&amp;$C320&amp;"|"&amp;$D320&amp;"|"&amp;AI$14&amp;"|"&amp;"CY2023Q3",Spectrum!$R:$R,0)),0),""))</f>
        <v/>
      </c>
      <c r="AJ320" s="39" t="n">
        <f aca="false">IF(LEFT($B320,4)="_Mil","",_xlfn.IFNA(ROUND(INDEX(Spectrum!$N:$N,MATCH(RIGHT($B320,13)&amp;"|"&amp;$C320&amp;"|"&amp;$D320&amp;"|"&amp;AI$14&amp;"|"&amp;"CY2023Q3",Spectrum!$R:$R,0)),0),SUM($U320)+SUM($AI320)))</f>
        <v>0</v>
      </c>
      <c r="AK320" s="10" t="str">
        <f aca="false">IF(LEFT($B320,4)="_Mil","",_xlfn.IFNA(ROUND(INDEX(Spectrum!$N:$N,MATCH(RIGHT($B320,13)&amp;"|"&amp;$C320&amp;"|"&amp;$D320&amp;"|"&amp;AK$14&amp;"|"&amp;"CY2023Q3",Spectrum!$R:$R,0)),0),""))</f>
        <v/>
      </c>
      <c r="AL320" s="88" t="n">
        <f aca="false">IF(OR(LEFT($B320,4)="_Mil",$C320="&lt;01"),"",MAX(SUM($AA320),90%))</f>
        <v>1820</v>
      </c>
      <c r="AM320" s="10" t="n">
        <f aca="false">IF(OR(LEFT($B320,4)="_Mil",$C320="&lt;01"),"",ROUND(SUM($AJ320)*SUM($AL320),0))</f>
        <v>0</v>
      </c>
      <c r="AN320" s="10" t="str">
        <f aca="false">IF($C320="&lt;01",ROUND(INDEX(EID!$P:$P,MATCH($B320,EID!$B:$B,0))/2,0),"")</f>
        <v/>
      </c>
      <c r="AO320" s="10" t="n">
        <f aca="false">IF($C320="&lt;01",SUM($AN320),ROUND(SUM($AM320)*SUM($O320)/IF(SUM($Z320)=0,1,$Z320),0))</f>
        <v>0</v>
      </c>
      <c r="AP320" s="39" t="n">
        <f aca="false">IF(OR($F320="",$C320="&lt;01"),$AO320,$F320)</f>
        <v>0</v>
      </c>
      <c r="AQ320" s="39" t="n">
        <f aca="false">IF(LEFT($B320,4)="_Mil","",IF(SUM($AP320)=0,SUM($Z320),IF(OR(SUM($Z320)=0,SUM($O320)=0),MAX($AP320,$Z320),$AP320*$Z320/$O320)))</f>
        <v>1457</v>
      </c>
      <c r="AR320" s="88" t="str">
        <f aca="false">IF(OR(LEFT($B320,4)="_Mil",SUM($AJ320)=0),"",SUM($AQ320)/$AJ320)</f>
        <v/>
      </c>
      <c r="AS320" s="88" t="n">
        <f aca="false">IF($C320="&lt;01","",98%)</f>
        <v>0.98</v>
      </c>
      <c r="AT320" s="88" t="n">
        <f aca="false">IF($C320="&lt;01","",98%)</f>
        <v>0.98</v>
      </c>
      <c r="AU320" s="10" t="n">
        <f aca="false">IF($C320="&lt;01","",SUM($AP320)-SUM($O320))</f>
        <v>0</v>
      </c>
      <c r="AV320" s="10" t="n">
        <f aca="false">IF($C320="&lt;01",ROUND(INDEX(EID!$N:$N,MATCH($B320,EID!$B:$B,0))/2,0),IF(SUM($AT320)=0,"",ROUND((SUM($AP320)-(SUM($O320)*SUM($AS320)))/$AT320,0)))</f>
        <v>0</v>
      </c>
      <c r="AW320" s="88" t="n">
        <f aca="false">IF($C320="&lt;01","",100%)</f>
        <v>1</v>
      </c>
      <c r="AX320" s="39" t="n">
        <f aca="false">IF($C320="&lt;01",SUM($AV320),ROUND(SUM($AV320)*SUM($AW320),0))</f>
        <v>0</v>
      </c>
      <c r="AY320" s="114" t="n">
        <f aca="false">IF($C320="&lt;01","",70%)</f>
        <v>0.7</v>
      </c>
      <c r="AZ320" s="91" t="n">
        <f aca="false">IF($C320="&lt;01",ROUND(INDEX(EID!$R:$R,MATCH($B320,EID!$B:$B,0))/2,0),ROUND(SUM($O320)+(SUM($AV320)*$AY320),0))</f>
        <v>0</v>
      </c>
      <c r="BA320" s="87" t="n">
        <f aca="false">IF($C320="&lt;01","",95%)</f>
        <v>0.95</v>
      </c>
      <c r="BB320" s="5" t="n">
        <f aca="false">IF($C320="&lt;01",ROUND(INDEX(EID!$T:$T,MATCH($B320,EID!$B:$B,0))/2,0),ROUND($AZ320*$BA320,0))</f>
        <v>0</v>
      </c>
      <c r="BC320" s="91" t="n">
        <f aca="false">IF(LEFT($B320,4)="_Mil","",IF(SUM($BB320)=0,SUM($AD320),IF(OR(SUM($AP320)=0,SUM($AQ320)=0),MAX($BB320,$AD320),ROUND($BB320*$AQ320/$AP320,0))))</f>
        <v>0</v>
      </c>
      <c r="BD320" s="88" t="n">
        <f aca="false">IF($C320="&lt;01","",95%)</f>
        <v>0.95</v>
      </c>
      <c r="BE320" s="39" t="n">
        <f aca="false">IF($C320="&lt;01",ROUND(INDEX(EID!$V:$V,MATCH($B320,EID!$B:$B,0))/2,0),ROUND($BD320*$BB320,0))</f>
        <v>0</v>
      </c>
      <c r="BF320" s="39" t="n">
        <f aca="false">IF(LEFT($B320,4)="_Mil","",IF(SUM($BE320)=0,SUM($AF320),IF(OR(SUM($AP320)=0,SUM($AQ320)=0),MAX($BE320,$AF320),ROUND($BE320*$AQ320/$AP320,0))))</f>
        <v>0</v>
      </c>
      <c r="BG320" s="114" t="n">
        <f aca="false">IF($C320="&lt;01","",95%)</f>
        <v>0.95</v>
      </c>
      <c r="BH320" s="5" t="n">
        <f aca="false">IF($C320="&lt;01",ROUND(INDEX(EID!$L:$L,MATCH($B320,EID!$B:$B,0)),0)/2,IF(SUM($BG320)=0,"",ROUND($AX320/$BG320,0)))</f>
        <v>0</v>
      </c>
    </row>
    <row r="321" customFormat="false" ht="15" hidden="false" customHeight="false" outlineLevel="0" collapsed="false">
      <c r="A321" s="0" t="str">
        <f aca="false">INDEX(Prioritization!$D:$D,MATCH($B321,Prioritization!$A:$A,0))</f>
        <v>INVALID</v>
      </c>
      <c r="B321" s="0" t="s">
        <v>215</v>
      </c>
      <c r="C321" s="0" t="s">
        <v>368</v>
      </c>
      <c r="D321" s="0" t="s">
        <v>30</v>
      </c>
      <c r="E321" s="0" t="str">
        <f aca="false">$B321&amp;"|"&amp;$C321&amp;"|"&amp;$D321</f>
        <v>Mangochi District [lLDyBx5XyUi]|50+|Female</v>
      </c>
      <c r="F321" s="10"/>
      <c r="G321" s="10"/>
      <c r="H321" s="10"/>
      <c r="I321" s="10"/>
      <c r="J321" s="10"/>
      <c r="K321" s="10"/>
      <c r="L321" s="10"/>
      <c r="M321" s="10"/>
      <c r="N321" s="10"/>
      <c r="O321" s="10" t="str">
        <f aca="false">IFERROR(1/(1/MAX($I321,$N321)),"")</f>
        <v/>
      </c>
      <c r="P321" s="10"/>
      <c r="Q321" s="10"/>
      <c r="R321" s="10" t="str">
        <f aca="false">IF(AND(SUM($I321)=0,SUM($O321)=0),"",SUM($O321)-$I321)</f>
        <v/>
      </c>
      <c r="S321" s="10" t="n">
        <f aca="false">IF(LEFT($B321,4)="_Mil","",_xlfn.IFNA(ROUND(INDEX(Spectrum!$N:$N,MATCH(RIGHT($B321,13)&amp;"|"&amp;$C321&amp;"|"&amp;$D321&amp;"|"&amp;S$14&amp;"|"&amp;"CY2022Q4",Spectrum!$R:$R,0)),0),""))</f>
        <v>1224</v>
      </c>
      <c r="T321" s="39" t="n">
        <f aca="false">IF(LEFT($B321,4)="_Mil","",_xlfn.IFNA(ROUND(INDEX(Spectrum!$N:$N,MATCH(RIGHT($B321,13)&amp;"|"&amp;$C321&amp;"|"&amp;$D321&amp;"|"&amp;T$14&amp;"|"&amp;"CY2023Q3",Spectrum!$R:$R,0)),0),""))</f>
        <v>1612</v>
      </c>
      <c r="U321" s="39" t="str">
        <f aca="false">IF(LEFT($B321,4)="_Mil","",_xlfn.IFNA(ROUND(INDEX(Spectrum!$N:$N,MATCH(RIGHT($B321,13)&amp;"|"&amp;$C321&amp;"|"&amp;$D321&amp;"|"&amp;U$14&amp;"|"&amp;"CY2023Q3",Spectrum!$R:$R,0)),0),""))</f>
        <v/>
      </c>
      <c r="V321" s="10" t="n">
        <f aca="false">IF(LEFT($B321,4)="_Mil","",_xlfn.IFNA(ROUND(INDEX(Spectrum!$N:$N,MATCH(RIGHT($B321,13)&amp;"|"&amp;$C321&amp;"|"&amp;$D321&amp;"|"&amp;V$14&amp;"|"&amp;"CY2023Q3",Spectrum!$R:$R,0)),0),""))</f>
        <v>1425</v>
      </c>
      <c r="W321" s="113" t="n">
        <f aca="false">IF(LEFT($B321,4)="_Mil","",_xlfn.IFNA(INDEX(Spectrum!$N:$N,MATCH(RIGHT($B321,13)&amp;"|"&amp;$C321&amp;"|"&amp;$D321&amp;"|"&amp;W$14&amp;"|"&amp;"CY2023Q3",Spectrum!$R:$R,0)),""))</f>
        <v>1324</v>
      </c>
      <c r="X321" s="39" t="n">
        <f aca="false">IF(LEFT($B321,4)="_Mil","",_xlfn.IFNA(ROUND(INDEX(Spectrum!$N:$N,MATCH(RIGHT($B321,13)&amp;"|"&amp;$C321&amp;"|"&amp;$D321&amp;"|"&amp;X$14&amp;"|"&amp;"CY2023Q3",Spectrum!$R:$R,0)),0),""))</f>
        <v>1140</v>
      </c>
      <c r="Y321" s="88" t="str">
        <f aca="false">IF(OR(SUM($U321)=0,LEFT($B321,4)="_Mil"),"",SUM($X321)/$U321)</f>
        <v/>
      </c>
      <c r="Z321" s="39" t="n">
        <f aca="false">IF(LEFT($B321,4)="_Mil","",_xlfn.IFNA(ROUND(INDEX(Spectrum!$N:$N,MATCH(RIGHT($B321,13)&amp;"|"&amp;$C321&amp;"|"&amp;$D321&amp;"|"&amp;Z$14&amp;"|"&amp;"CY2023Q3",Spectrum!$R:$R,0)),0),""))</f>
        <v>799</v>
      </c>
      <c r="AA321" s="88" t="n">
        <f aca="false">IF(LEFT($B321,4)="_Mil","",IFERROR(1/(1/INDEX(Spectrum!$N:$N,MATCH(RIGHT($B321,13)&amp;"|"&amp;$C321&amp;"|"&amp;$D321&amp;"|"&amp;AA$14&amp;"|"&amp;"CY2023Q3",Spectrum!$R:$R,0))),IF(SUM($U321)=0,"",SUM($Z321)/$U321)))</f>
        <v>596</v>
      </c>
      <c r="AB321" s="88" t="n">
        <f aca="false">IF(OR(LEFT($B321,4)="_Mil",SUM($X321)=0),"",SUM($Z321)/$X321)</f>
        <v>0.700877192982456</v>
      </c>
      <c r="AC321" s="10" t="n">
        <f aca="false">IF(LEFT($B321,4)="_Mil","",_xlfn.IFNA(ROUND(INDEX(Spectrum!$N:$N,MATCH(RIGHT($B321,13)&amp;"|"&amp;$C321&amp;"|"&amp;$D321&amp;"|"&amp;AC$14&amp;"|"&amp;"CY2023Q3",Spectrum!$R:$R,0)),0),""))</f>
        <v>1463</v>
      </c>
      <c r="AD321" s="10" t="str">
        <f aca="false">IF(LEFT($B321,4)="_Mil","",_xlfn.IFNA(ROUND(INDEX(Spectrum!$N:$N,MATCH(RIGHT($B321,13)&amp;"|"&amp;$C321&amp;"|"&amp;$D321&amp;"|"&amp;AD$14&amp;"|"&amp;"CY2023Q3",Spectrum!$R:$R,0)),0),""))</f>
        <v/>
      </c>
      <c r="AE321" s="88" t="n">
        <f aca="false">IF(OR(LEFT($B321,4)="_Mil",SUM($Z321)=0),"",SUM($AD321)/$Z321)</f>
        <v>0</v>
      </c>
      <c r="AF321" s="39" t="str">
        <f aca="false">IF(LEFT($B321,4)="_Mil","",_xlfn.IFNA(ROUND(INDEX(Spectrum!$N:$N,MATCH(RIGHT($B321,13)&amp;"|"&amp;$C321&amp;"|"&amp;$D321&amp;"|"&amp;AF$14&amp;"|"&amp;"CY2023Q3",Spectrum!$R:$R,0)),0),""))</f>
        <v/>
      </c>
      <c r="AG321" s="88" t="str">
        <f aca="false">IF(OR(LEFT($B321,4)="_Mil",SUM($AD321)=0),"",SUM($AF321)/$AD321)</f>
        <v/>
      </c>
      <c r="AH321" s="86" t="str">
        <f aca="false">IF(LEFT($B321,4)="_Mil","",_xlfn.IFNA(INDEX(Spectrum!$N:$N,MATCH(RIGHT($B321,13)&amp;"|"&amp;$C321&amp;"|"&amp;$D321&amp;"|"&amp;AH$14&amp;"|"&amp;"CY2023Q3",Spectrum!$R:$R,0)),""))</f>
        <v/>
      </c>
      <c r="AI321" s="10" t="str">
        <f aca="false">IF(LEFT($B321,4)="_Mil","",_xlfn.IFNA(ROUND(INDEX(Spectrum!$N:$N,MATCH(RIGHT($B321,13)&amp;"|"&amp;$C321&amp;"|"&amp;$D321&amp;"|"&amp;AI$14&amp;"|"&amp;"CY2023Q3",Spectrum!$R:$R,0)),0),""))</f>
        <v/>
      </c>
      <c r="AJ321" s="39" t="n">
        <f aca="false">IF(LEFT($B321,4)="_Mil","",_xlfn.IFNA(ROUND(INDEX(Spectrum!$N:$N,MATCH(RIGHT($B321,13)&amp;"|"&amp;$C321&amp;"|"&amp;$D321&amp;"|"&amp;AI$14&amp;"|"&amp;"CY2023Q3",Spectrum!$R:$R,0)),0),SUM($U321)+SUM($AI321)))</f>
        <v>0</v>
      </c>
      <c r="AK321" s="10" t="str">
        <f aca="false">IF(LEFT($B321,4)="_Mil","",_xlfn.IFNA(ROUND(INDEX(Spectrum!$N:$N,MATCH(RIGHT($B321,13)&amp;"|"&amp;$C321&amp;"|"&amp;$D321&amp;"|"&amp;AK$14&amp;"|"&amp;"CY2023Q3",Spectrum!$R:$R,0)),0),""))</f>
        <v/>
      </c>
      <c r="AL321" s="88" t="n">
        <f aca="false">IF(OR(LEFT($B321,4)="_Mil",$C321="&lt;01"),"",MAX(SUM($AA321),90%))</f>
        <v>596</v>
      </c>
      <c r="AM321" s="10" t="n">
        <f aca="false">IF(OR(LEFT($B321,4)="_Mil",$C321="&lt;01"),"",ROUND(SUM($AJ321)*SUM($AL321),0))</f>
        <v>0</v>
      </c>
      <c r="AN321" s="10" t="str">
        <f aca="false">IF($C321="&lt;01",ROUND(INDEX(EID!$P:$P,MATCH($B321,EID!$B:$B,0))/2,0),"")</f>
        <v/>
      </c>
      <c r="AO321" s="10" t="n">
        <f aca="false">IF($C321="&lt;01",SUM($AN321),ROUND(SUM($AM321)*SUM($O321)/IF(SUM($Z321)=0,1,$Z321),0))</f>
        <v>0</v>
      </c>
      <c r="AP321" s="39" t="n">
        <f aca="false">IF(OR($F321="",$C321="&lt;01"),$AO321,$F321)</f>
        <v>0</v>
      </c>
      <c r="AQ321" s="39" t="n">
        <f aca="false">IF(LEFT($B321,4)="_Mil","",IF(SUM($AP321)=0,SUM($Z321),IF(OR(SUM($Z321)=0,SUM($O321)=0),MAX($AP321,$Z321),$AP321*$Z321/$O321)))</f>
        <v>799</v>
      </c>
      <c r="AR321" s="88" t="str">
        <f aca="false">IF(OR(LEFT($B321,4)="_Mil",SUM($AJ321)=0),"",SUM($AQ321)/$AJ321)</f>
        <v/>
      </c>
      <c r="AS321" s="88" t="n">
        <f aca="false">IF($C321="&lt;01","",98%)</f>
        <v>0.98</v>
      </c>
      <c r="AT321" s="88" t="n">
        <f aca="false">IF($C321="&lt;01","",98%)</f>
        <v>0.98</v>
      </c>
      <c r="AU321" s="10" t="n">
        <f aca="false">IF($C321="&lt;01","",SUM($AP321)-SUM($O321))</f>
        <v>0</v>
      </c>
      <c r="AV321" s="10" t="n">
        <f aca="false">IF($C321="&lt;01",ROUND(INDEX(EID!$N:$N,MATCH($B321,EID!$B:$B,0))/2,0),IF(SUM($AT321)=0,"",ROUND((SUM($AP321)-(SUM($O321)*SUM($AS321)))/$AT321,0)))</f>
        <v>0</v>
      </c>
      <c r="AW321" s="88" t="n">
        <f aca="false">IF($C321="&lt;01","",100%)</f>
        <v>1</v>
      </c>
      <c r="AX321" s="39" t="n">
        <f aca="false">IF($C321="&lt;01",SUM($AV321),ROUND(SUM($AV321)*SUM($AW321),0))</f>
        <v>0</v>
      </c>
      <c r="AY321" s="114" t="n">
        <f aca="false">IF($C321="&lt;01","",70%)</f>
        <v>0.7</v>
      </c>
      <c r="AZ321" s="91" t="n">
        <f aca="false">IF($C321="&lt;01",ROUND(INDEX(EID!$R:$R,MATCH($B321,EID!$B:$B,0))/2,0),ROUND(SUM($O321)+(SUM($AV321)*$AY321),0))</f>
        <v>0</v>
      </c>
      <c r="BA321" s="87" t="n">
        <f aca="false">IF($C321="&lt;01","",95%)</f>
        <v>0.95</v>
      </c>
      <c r="BB321" s="5" t="n">
        <f aca="false">IF($C321="&lt;01",ROUND(INDEX(EID!$T:$T,MATCH($B321,EID!$B:$B,0))/2,0),ROUND($AZ321*$BA321,0))</f>
        <v>0</v>
      </c>
      <c r="BC321" s="91" t="n">
        <f aca="false">IF(LEFT($B321,4)="_Mil","",IF(SUM($BB321)=0,SUM($AD321),IF(OR(SUM($AP321)=0,SUM($AQ321)=0),MAX($BB321,$AD321),ROUND($BB321*$AQ321/$AP321,0))))</f>
        <v>0</v>
      </c>
      <c r="BD321" s="88" t="n">
        <f aca="false">IF($C321="&lt;01","",95%)</f>
        <v>0.95</v>
      </c>
      <c r="BE321" s="39" t="n">
        <f aca="false">IF($C321="&lt;01",ROUND(INDEX(EID!$V:$V,MATCH($B321,EID!$B:$B,0))/2,0),ROUND($BD321*$BB321,0))</f>
        <v>0</v>
      </c>
      <c r="BF321" s="39" t="n">
        <f aca="false">IF(LEFT($B321,4)="_Mil","",IF(SUM($BE321)=0,SUM($AF321),IF(OR(SUM($AP321)=0,SUM($AQ321)=0),MAX($BE321,$AF321),ROUND($BE321*$AQ321/$AP321,0))))</f>
        <v>0</v>
      </c>
      <c r="BG321" s="114" t="n">
        <f aca="false">IF($C321="&lt;01","",95%)</f>
        <v>0.95</v>
      </c>
      <c r="BH321" s="5" t="n">
        <f aca="false">IF($C321="&lt;01",ROUND(INDEX(EID!$L:$L,MATCH($B321,EID!$B:$B,0)),0)/2,IF(SUM($BG321)=0,"",ROUND($AX321/$BG321,0)))</f>
        <v>0</v>
      </c>
    </row>
    <row r="322" customFormat="false" ht="15" hidden="false" customHeight="false" outlineLevel="0" collapsed="false">
      <c r="A322" s="0" t="str">
        <f aca="false">INDEX(Prioritization!$D:$D,MATCH($B322,Prioritization!$A:$A,0))</f>
        <v>INVALID</v>
      </c>
      <c r="B322" s="0" t="s">
        <v>215</v>
      </c>
      <c r="C322" s="0" t="s">
        <v>368</v>
      </c>
      <c r="D322" s="0" t="s">
        <v>48</v>
      </c>
      <c r="E322" s="0" t="str">
        <f aca="false">$B322&amp;"|"&amp;$C322&amp;"|"&amp;$D322</f>
        <v>Mangochi District [lLDyBx5XyUi]|50+|Male</v>
      </c>
      <c r="F322" s="10"/>
      <c r="G322" s="10"/>
      <c r="H322" s="10"/>
      <c r="I322" s="10"/>
      <c r="J322" s="10"/>
      <c r="K322" s="10"/>
      <c r="L322" s="10"/>
      <c r="M322" s="10"/>
      <c r="N322" s="10"/>
      <c r="O322" s="10" t="str">
        <f aca="false">IFERROR(1/(1/MAX($I322,$N322)),"")</f>
        <v/>
      </c>
      <c r="P322" s="10"/>
      <c r="Q322" s="10"/>
      <c r="R322" s="10" t="str">
        <f aca="false">IF(AND(SUM($I322)=0,SUM($O322)=0),"",SUM($O322)-$I322)</f>
        <v/>
      </c>
      <c r="S322" s="10" t="n">
        <f aca="false">IF(LEFT($B322,4)="_Mil","",_xlfn.IFNA(ROUND(INDEX(Spectrum!$N:$N,MATCH(RIGHT($B322,13)&amp;"|"&amp;$C322&amp;"|"&amp;$D322&amp;"|"&amp;S$14&amp;"|"&amp;"CY2022Q4",Spectrum!$R:$R,0)),0),""))</f>
        <v>1250</v>
      </c>
      <c r="T322" s="39" t="n">
        <f aca="false">IF(LEFT($B322,4)="_Mil","",_xlfn.IFNA(ROUND(INDEX(Spectrum!$N:$N,MATCH(RIGHT($B322,13)&amp;"|"&amp;$C322&amp;"|"&amp;$D322&amp;"|"&amp;T$14&amp;"|"&amp;"CY2023Q3",Spectrum!$R:$R,0)),0),""))</f>
        <v>1127</v>
      </c>
      <c r="U322" s="39" t="str">
        <f aca="false">IF(LEFT($B322,4)="_Mil","",_xlfn.IFNA(ROUND(INDEX(Spectrum!$N:$N,MATCH(RIGHT($B322,13)&amp;"|"&amp;$C322&amp;"|"&amp;$D322&amp;"|"&amp;U$14&amp;"|"&amp;"CY2023Q3",Spectrum!$R:$R,0)),0),""))</f>
        <v/>
      </c>
      <c r="V322" s="10" t="n">
        <f aca="false">IF(LEFT($B322,4)="_Mil","",_xlfn.IFNA(ROUND(INDEX(Spectrum!$N:$N,MATCH(RIGHT($B322,13)&amp;"|"&amp;$C322&amp;"|"&amp;$D322&amp;"|"&amp;V$14&amp;"|"&amp;"CY2023Q3",Spectrum!$R:$R,0)),0),""))</f>
        <v>875</v>
      </c>
      <c r="W322" s="113" t="n">
        <f aca="false">IF(LEFT($B322,4)="_Mil","",_xlfn.IFNA(INDEX(Spectrum!$N:$N,MATCH(RIGHT($B322,13)&amp;"|"&amp;$C322&amp;"|"&amp;$D322&amp;"|"&amp;W$14&amp;"|"&amp;"CY2023Q3",Spectrum!$R:$R,0)),""))</f>
        <v>595</v>
      </c>
      <c r="X322" s="39" t="n">
        <f aca="false">IF(LEFT($B322,4)="_Mil","",_xlfn.IFNA(ROUND(INDEX(Spectrum!$N:$N,MATCH(RIGHT($B322,13)&amp;"|"&amp;$C322&amp;"|"&amp;$D322&amp;"|"&amp;X$14&amp;"|"&amp;"CY2023Q3",Spectrum!$R:$R,0)),0),""))</f>
        <v>868</v>
      </c>
      <c r="Y322" s="88" t="str">
        <f aca="false">IF(OR(SUM($U322)=0,LEFT($B322,4)="_Mil"),"",SUM($X322)/$U322)</f>
        <v/>
      </c>
      <c r="Z322" s="39" t="n">
        <f aca="false">IF(LEFT($B322,4)="_Mil","",_xlfn.IFNA(ROUND(INDEX(Spectrum!$N:$N,MATCH(RIGHT($B322,13)&amp;"|"&amp;$C322&amp;"|"&amp;$D322&amp;"|"&amp;Z$14&amp;"|"&amp;"CY2023Q3",Spectrum!$R:$R,0)),0),""))</f>
        <v>1851</v>
      </c>
      <c r="AA322" s="88" t="n">
        <f aca="false">IF(LEFT($B322,4)="_Mil","",IFERROR(1/(1/INDEX(Spectrum!$N:$N,MATCH(RIGHT($B322,13)&amp;"|"&amp;$C322&amp;"|"&amp;$D322&amp;"|"&amp;AA$14&amp;"|"&amp;"CY2023Q3",Spectrum!$R:$R,0))),IF(SUM($U322)=0,"",SUM($Z322)/$U322)))</f>
        <v>1818</v>
      </c>
      <c r="AB322" s="88" t="n">
        <f aca="false">IF(OR(LEFT($B322,4)="_Mil",SUM($X322)=0),"",SUM($Z322)/$X322)</f>
        <v>2.13248847926267</v>
      </c>
      <c r="AC322" s="10" t="n">
        <f aca="false">IF(LEFT($B322,4)="_Mil","",_xlfn.IFNA(ROUND(INDEX(Spectrum!$N:$N,MATCH(RIGHT($B322,13)&amp;"|"&amp;$C322&amp;"|"&amp;$D322&amp;"|"&amp;AC$14&amp;"|"&amp;"CY2023Q3",Spectrum!$R:$R,0)),0),""))</f>
        <v>939</v>
      </c>
      <c r="AD322" s="10" t="str">
        <f aca="false">IF(LEFT($B322,4)="_Mil","",_xlfn.IFNA(ROUND(INDEX(Spectrum!$N:$N,MATCH(RIGHT($B322,13)&amp;"|"&amp;$C322&amp;"|"&amp;$D322&amp;"|"&amp;AD$14&amp;"|"&amp;"CY2023Q3",Spectrum!$R:$R,0)),0),""))</f>
        <v/>
      </c>
      <c r="AE322" s="88" t="n">
        <f aca="false">IF(OR(LEFT($B322,4)="_Mil",SUM($Z322)=0),"",SUM($AD322)/$Z322)</f>
        <v>0</v>
      </c>
      <c r="AF322" s="39" t="str">
        <f aca="false">IF(LEFT($B322,4)="_Mil","",_xlfn.IFNA(ROUND(INDEX(Spectrum!$N:$N,MATCH(RIGHT($B322,13)&amp;"|"&amp;$C322&amp;"|"&amp;$D322&amp;"|"&amp;AF$14&amp;"|"&amp;"CY2023Q3",Spectrum!$R:$R,0)),0),""))</f>
        <v/>
      </c>
      <c r="AG322" s="88" t="str">
        <f aca="false">IF(OR(LEFT($B322,4)="_Mil",SUM($AD322)=0),"",SUM($AF322)/$AD322)</f>
        <v/>
      </c>
      <c r="AH322" s="86" t="str">
        <f aca="false">IF(LEFT($B322,4)="_Mil","",_xlfn.IFNA(INDEX(Spectrum!$N:$N,MATCH(RIGHT($B322,13)&amp;"|"&amp;$C322&amp;"|"&amp;$D322&amp;"|"&amp;AH$14&amp;"|"&amp;"CY2023Q3",Spectrum!$R:$R,0)),""))</f>
        <v/>
      </c>
      <c r="AI322" s="10" t="str">
        <f aca="false">IF(LEFT($B322,4)="_Mil","",_xlfn.IFNA(ROUND(INDEX(Spectrum!$N:$N,MATCH(RIGHT($B322,13)&amp;"|"&amp;$C322&amp;"|"&amp;$D322&amp;"|"&amp;AI$14&amp;"|"&amp;"CY2023Q3",Spectrum!$R:$R,0)),0),""))</f>
        <v/>
      </c>
      <c r="AJ322" s="39" t="n">
        <f aca="false">IF(LEFT($B322,4)="_Mil","",_xlfn.IFNA(ROUND(INDEX(Spectrum!$N:$N,MATCH(RIGHT($B322,13)&amp;"|"&amp;$C322&amp;"|"&amp;$D322&amp;"|"&amp;AI$14&amp;"|"&amp;"CY2023Q3",Spectrum!$R:$R,0)),0),SUM($U322)+SUM($AI322)))</f>
        <v>0</v>
      </c>
      <c r="AK322" s="10" t="str">
        <f aca="false">IF(LEFT($B322,4)="_Mil","",_xlfn.IFNA(ROUND(INDEX(Spectrum!$N:$N,MATCH(RIGHT($B322,13)&amp;"|"&amp;$C322&amp;"|"&amp;$D322&amp;"|"&amp;AK$14&amp;"|"&amp;"CY2023Q3",Spectrum!$R:$R,0)),0),""))</f>
        <v/>
      </c>
      <c r="AL322" s="88" t="n">
        <f aca="false">IF(OR(LEFT($B322,4)="_Mil",$C322="&lt;01"),"",MAX(SUM($AA322),90%))</f>
        <v>1818</v>
      </c>
      <c r="AM322" s="10" t="n">
        <f aca="false">IF(OR(LEFT($B322,4)="_Mil",$C322="&lt;01"),"",ROUND(SUM($AJ322)*SUM($AL322),0))</f>
        <v>0</v>
      </c>
      <c r="AN322" s="10" t="str">
        <f aca="false">IF($C322="&lt;01",ROUND(INDEX(EID!$P:$P,MATCH($B322,EID!$B:$B,0))/2,0),"")</f>
        <v/>
      </c>
      <c r="AO322" s="10" t="n">
        <f aca="false">IF($C322="&lt;01",SUM($AN322),ROUND(SUM($AM322)*SUM($O322)/IF(SUM($Z322)=0,1,$Z322),0))</f>
        <v>0</v>
      </c>
      <c r="AP322" s="39" t="n">
        <f aca="false">IF(OR($F322="",$C322="&lt;01"),$AO322,$F322)</f>
        <v>0</v>
      </c>
      <c r="AQ322" s="39" t="n">
        <f aca="false">IF(LEFT($B322,4)="_Mil","",IF(SUM($AP322)=0,SUM($Z322),IF(OR(SUM($Z322)=0,SUM($O322)=0),MAX($AP322,$Z322),$AP322*$Z322/$O322)))</f>
        <v>1851</v>
      </c>
      <c r="AR322" s="88" t="str">
        <f aca="false">IF(OR(LEFT($B322,4)="_Mil",SUM($AJ322)=0),"",SUM($AQ322)/$AJ322)</f>
        <v/>
      </c>
      <c r="AS322" s="88" t="n">
        <f aca="false">IF($C322="&lt;01","",98%)</f>
        <v>0.98</v>
      </c>
      <c r="AT322" s="88" t="n">
        <f aca="false">IF($C322="&lt;01","",98%)</f>
        <v>0.98</v>
      </c>
      <c r="AU322" s="10" t="n">
        <f aca="false">IF($C322="&lt;01","",SUM($AP322)-SUM($O322))</f>
        <v>0</v>
      </c>
      <c r="AV322" s="10" t="n">
        <f aca="false">IF($C322="&lt;01",ROUND(INDEX(EID!$N:$N,MATCH($B322,EID!$B:$B,0))/2,0),IF(SUM($AT322)=0,"",ROUND((SUM($AP322)-(SUM($O322)*SUM($AS322)))/$AT322,0)))</f>
        <v>0</v>
      </c>
      <c r="AW322" s="88" t="n">
        <f aca="false">IF($C322="&lt;01","",100%)</f>
        <v>1</v>
      </c>
      <c r="AX322" s="39" t="n">
        <f aca="false">IF($C322="&lt;01",SUM($AV322),ROUND(SUM($AV322)*SUM($AW322),0))</f>
        <v>0</v>
      </c>
      <c r="AY322" s="114" t="n">
        <f aca="false">IF($C322="&lt;01","",70%)</f>
        <v>0.7</v>
      </c>
      <c r="AZ322" s="91" t="n">
        <f aca="false">IF($C322="&lt;01",ROUND(INDEX(EID!$R:$R,MATCH($B322,EID!$B:$B,0))/2,0),ROUND(SUM($O322)+(SUM($AV322)*$AY322),0))</f>
        <v>0</v>
      </c>
      <c r="BA322" s="87" t="n">
        <f aca="false">IF($C322="&lt;01","",95%)</f>
        <v>0.95</v>
      </c>
      <c r="BB322" s="5" t="n">
        <f aca="false">IF($C322="&lt;01",ROUND(INDEX(EID!$T:$T,MATCH($B322,EID!$B:$B,0))/2,0),ROUND($AZ322*$BA322,0))</f>
        <v>0</v>
      </c>
      <c r="BC322" s="91" t="n">
        <f aca="false">IF(LEFT($B322,4)="_Mil","",IF(SUM($BB322)=0,SUM($AD322),IF(OR(SUM($AP322)=0,SUM($AQ322)=0),MAX($BB322,$AD322),ROUND($BB322*$AQ322/$AP322,0))))</f>
        <v>0</v>
      </c>
      <c r="BD322" s="88" t="n">
        <f aca="false">IF($C322="&lt;01","",95%)</f>
        <v>0.95</v>
      </c>
      <c r="BE322" s="39" t="n">
        <f aca="false">IF($C322="&lt;01",ROUND(INDEX(EID!$V:$V,MATCH($B322,EID!$B:$B,0))/2,0),ROUND($BD322*$BB322,0))</f>
        <v>0</v>
      </c>
      <c r="BF322" s="39" t="n">
        <f aca="false">IF(LEFT($B322,4)="_Mil","",IF(SUM($BE322)=0,SUM($AF322),IF(OR(SUM($AP322)=0,SUM($AQ322)=0),MAX($BE322,$AF322),ROUND($BE322*$AQ322/$AP322,0))))</f>
        <v>0</v>
      </c>
      <c r="BG322" s="114" t="n">
        <f aca="false">IF($C322="&lt;01","",95%)</f>
        <v>0.95</v>
      </c>
      <c r="BH322" s="5" t="n">
        <f aca="false">IF($C322="&lt;01",ROUND(INDEX(EID!$L:$L,MATCH($B322,EID!$B:$B,0)),0)/2,IF(SUM($BG322)=0,"",ROUND($AX322/$BG322,0)))</f>
        <v>0</v>
      </c>
    </row>
    <row r="323" customFormat="false" ht="15" hidden="false" customHeight="false" outlineLevel="0" collapsed="false">
      <c r="A323" s="0" t="str">
        <f aca="false">INDEX(Prioritization!$D:$D,MATCH($B323,Prioritization!$A:$A,0))</f>
        <v>INVALID</v>
      </c>
      <c r="B323" s="0" t="s">
        <v>216</v>
      </c>
      <c r="C323" s="0" t="s">
        <v>316</v>
      </c>
      <c r="D323" s="0" t="s">
        <v>30</v>
      </c>
      <c r="E323" s="0" t="str">
        <f aca="false">$B323&amp;"|"&amp;$C323&amp;"|"&amp;$D323</f>
        <v>Mulanje District [umc2n1Z4wNv]|&lt;01|Female</v>
      </c>
      <c r="F323" s="10"/>
      <c r="G323" s="10" t="n">
        <v>8</v>
      </c>
      <c r="H323" s="10" t="n">
        <v>6</v>
      </c>
      <c r="I323" s="10" t="n">
        <v>5</v>
      </c>
      <c r="J323" s="10" t="n">
        <v>1</v>
      </c>
      <c r="K323" s="10" t="n">
        <v>5</v>
      </c>
      <c r="L323" s="10"/>
      <c r="M323" s="10" t="n">
        <v>8</v>
      </c>
      <c r="N323" s="10" t="n">
        <v>5</v>
      </c>
      <c r="O323" s="10" t="n">
        <f aca="false">IFERROR(1/(1/MAX($I323,$N323)),"")</f>
        <v>5</v>
      </c>
      <c r="P323" s="10" t="n">
        <v>8</v>
      </c>
      <c r="Q323" s="10" t="n">
        <v>8</v>
      </c>
      <c r="R323" s="10" t="n">
        <f aca="false">IF(AND(SUM($I323)=0,SUM($O323)=0),"",SUM($O323)-$I323)</f>
        <v>0</v>
      </c>
      <c r="S323" s="10" t="n">
        <f aca="false">IF(LEFT($B323,4)="_Mil","",_xlfn.IFNA(ROUND(INDEX(Spectrum!$N:$N,MATCH(RIGHT($B323,13)&amp;"|"&amp;$C323&amp;"|"&amp;$D323&amp;"|"&amp;S$14&amp;"|"&amp;"CY2022Q4",Spectrum!$R:$R,0)),0),""))</f>
        <v>672</v>
      </c>
      <c r="T323" s="39" t="n">
        <f aca="false">IF(LEFT($B323,4)="_Mil","",_xlfn.IFNA(ROUND(INDEX(Spectrum!$N:$N,MATCH(RIGHT($B323,13)&amp;"|"&amp;$C323&amp;"|"&amp;$D323&amp;"|"&amp;T$14&amp;"|"&amp;"CY2023Q3",Spectrum!$R:$R,0)),0),""))</f>
        <v>732</v>
      </c>
      <c r="U323" s="39" t="str">
        <f aca="false">IF(LEFT($B323,4)="_Mil","",_xlfn.IFNA(ROUND(INDEX(Spectrum!$N:$N,MATCH(RIGHT($B323,13)&amp;"|"&amp;$C323&amp;"|"&amp;$D323&amp;"|"&amp;U$14&amp;"|"&amp;"CY2023Q3",Spectrum!$R:$R,0)),0),""))</f>
        <v/>
      </c>
      <c r="V323" s="10" t="n">
        <f aca="false">IF(LEFT($B323,4)="_Mil","",_xlfn.IFNA(ROUND(INDEX(Spectrum!$N:$N,MATCH(RIGHT($B323,13)&amp;"|"&amp;$C323&amp;"|"&amp;$D323&amp;"|"&amp;V$14&amp;"|"&amp;"CY2023Q3",Spectrum!$R:$R,0)),0),""))</f>
        <v>1432</v>
      </c>
      <c r="W323" s="113" t="n">
        <f aca="false">IF(LEFT($B323,4)="_Mil","",_xlfn.IFNA(INDEX(Spectrum!$N:$N,MATCH(RIGHT($B323,13)&amp;"|"&amp;$C323&amp;"|"&amp;$D323&amp;"|"&amp;W$14&amp;"|"&amp;"CY2023Q3",Spectrum!$R:$R,0)),""))</f>
        <v>1869</v>
      </c>
      <c r="X323" s="39" t="n">
        <f aca="false">IF(LEFT($B323,4)="_Mil","",_xlfn.IFNA(ROUND(INDEX(Spectrum!$N:$N,MATCH(RIGHT($B323,13)&amp;"|"&amp;$C323&amp;"|"&amp;$D323&amp;"|"&amp;X$14&amp;"|"&amp;"CY2023Q3",Spectrum!$R:$R,0)),0),""))</f>
        <v>1519</v>
      </c>
      <c r="Y323" s="88" t="str">
        <f aca="false">IF(OR(SUM($U323)=0,LEFT($B323,4)="_Mil"),"",SUM($X323)/$U323)</f>
        <v/>
      </c>
      <c r="Z323" s="39" t="n">
        <f aca="false">IF(LEFT($B323,4)="_Mil","",_xlfn.IFNA(ROUND(INDEX(Spectrum!$N:$N,MATCH(RIGHT($B323,13)&amp;"|"&amp;$C323&amp;"|"&amp;$D323&amp;"|"&amp;Z$14&amp;"|"&amp;"CY2023Q3",Spectrum!$R:$R,0)),0),""))</f>
        <v>1009</v>
      </c>
      <c r="AA323" s="88" t="n">
        <f aca="false">IF(LEFT($B323,4)="_Mil","",IFERROR(1/(1/INDEX(Spectrum!$N:$N,MATCH(RIGHT($B323,13)&amp;"|"&amp;$C323&amp;"|"&amp;$D323&amp;"|"&amp;AA$14&amp;"|"&amp;"CY2023Q3",Spectrum!$R:$R,0))),IF(SUM($U323)=0,"",SUM($Z323)/$U323)))</f>
        <v>921</v>
      </c>
      <c r="AB323" s="88" t="n">
        <f aca="false">IF(OR(LEFT($B323,4)="_Mil",SUM($X323)=0),"",SUM($Z323)/$X323)</f>
        <v>0.664252797893351</v>
      </c>
      <c r="AC323" s="10" t="n">
        <f aca="false">IF(LEFT($B323,4)="_Mil","",_xlfn.IFNA(ROUND(INDEX(Spectrum!$N:$N,MATCH(RIGHT($B323,13)&amp;"|"&amp;$C323&amp;"|"&amp;$D323&amp;"|"&amp;AC$14&amp;"|"&amp;"CY2023Q3",Spectrum!$R:$R,0)),0),""))</f>
        <v>795</v>
      </c>
      <c r="AD323" s="10" t="str">
        <f aca="false">IF(LEFT($B323,4)="_Mil","",_xlfn.IFNA(ROUND(INDEX(Spectrum!$N:$N,MATCH(RIGHT($B323,13)&amp;"|"&amp;$C323&amp;"|"&amp;$D323&amp;"|"&amp;AD$14&amp;"|"&amp;"CY2023Q3",Spectrum!$R:$R,0)),0),""))</f>
        <v/>
      </c>
      <c r="AE323" s="88" t="n">
        <f aca="false">IF(OR(LEFT($B323,4)="_Mil",SUM($Z323)=0),"",SUM($AD323)/$Z323)</f>
        <v>0</v>
      </c>
      <c r="AF323" s="39" t="str">
        <f aca="false">IF(LEFT($B323,4)="_Mil","",_xlfn.IFNA(ROUND(INDEX(Spectrum!$N:$N,MATCH(RIGHT($B323,13)&amp;"|"&amp;$C323&amp;"|"&amp;$D323&amp;"|"&amp;AF$14&amp;"|"&amp;"CY2023Q3",Spectrum!$R:$R,0)),0),""))</f>
        <v/>
      </c>
      <c r="AG323" s="88" t="str">
        <f aca="false">IF(OR(LEFT($B323,4)="_Mil",SUM($AD323)=0),"",SUM($AF323)/$AD323)</f>
        <v/>
      </c>
      <c r="AH323" s="86" t="str">
        <f aca="false">IF(LEFT($B323,4)="_Mil","",_xlfn.IFNA(INDEX(Spectrum!$N:$N,MATCH(RIGHT($B323,13)&amp;"|"&amp;$C323&amp;"|"&amp;$D323&amp;"|"&amp;AH$14&amp;"|"&amp;"CY2023Q3",Spectrum!$R:$R,0)),""))</f>
        <v/>
      </c>
      <c r="AI323" s="10" t="str">
        <f aca="false">IF(LEFT($B323,4)="_Mil","",_xlfn.IFNA(ROUND(INDEX(Spectrum!$N:$N,MATCH(RIGHT($B323,13)&amp;"|"&amp;$C323&amp;"|"&amp;$D323&amp;"|"&amp;AI$14&amp;"|"&amp;"CY2023Q3",Spectrum!$R:$R,0)),0),""))</f>
        <v/>
      </c>
      <c r="AJ323" s="39" t="n">
        <f aca="false">IF(LEFT($B323,4)="_Mil","",_xlfn.IFNA(ROUND(INDEX(Spectrum!$N:$N,MATCH(RIGHT($B323,13)&amp;"|"&amp;$C323&amp;"|"&amp;$D323&amp;"|"&amp;AI$14&amp;"|"&amp;"CY2023Q3",Spectrum!$R:$R,0)),0),SUM($U323)+SUM($AI323)))</f>
        <v>0</v>
      </c>
      <c r="AK323" s="10" t="str">
        <f aca="false">IF(LEFT($B323,4)="_Mil","",_xlfn.IFNA(ROUND(INDEX(Spectrum!$N:$N,MATCH(RIGHT($B323,13)&amp;"|"&amp;$C323&amp;"|"&amp;$D323&amp;"|"&amp;AK$14&amp;"|"&amp;"CY2023Q3",Spectrum!$R:$R,0)),0),""))</f>
        <v/>
      </c>
      <c r="AL323" s="88" t="str">
        <f aca="false">IF(OR(LEFT($B323,4)="_Mil",$C323="&lt;01"),"",MAX(SUM($AA323),90%))</f>
        <v/>
      </c>
      <c r="AM323" s="10" t="str">
        <f aca="false">IF(OR(LEFT($B323,4)="_Mil",$C323="&lt;01"),"",ROUND(SUM($AJ323)*SUM($AL323),0))</f>
        <v/>
      </c>
      <c r="AN323" s="10" t="n">
        <f aca="false">IF($C323="&lt;01",ROUND(INDEX(EID!$P:$P,MATCH($B323,EID!$B:$B,0))/2,0),"")</f>
        <v>2</v>
      </c>
      <c r="AO323" s="10" t="n">
        <f aca="false">IF($C323="&lt;01",SUM($AN323),ROUND(SUM($AM323)*SUM($O323)/IF(SUM($Z323)=0,1,$Z323),0))</f>
        <v>2</v>
      </c>
      <c r="AP323" s="39" t="n">
        <f aca="false">IF(OR($F323="",$C323="&lt;01"),$AO323,$F323)</f>
        <v>2</v>
      </c>
      <c r="AQ323" s="39" t="n">
        <f aca="false">IF(LEFT($B323,4)="_Mil","",IF(SUM($AP323)=0,SUM($Z323),IF(OR(SUM($Z323)=0,SUM($O323)=0),MAX($AP323,$Z323),$AP323*$Z323/$O323)))</f>
        <v>403.6</v>
      </c>
      <c r="AR323" s="88" t="str">
        <f aca="false">IF(OR(LEFT($B323,4)="_Mil",SUM($AJ323)=0),"",SUM($AQ323)/$AJ323)</f>
        <v/>
      </c>
      <c r="AS323" s="88" t="str">
        <f aca="false">IF($C323="&lt;01","",98%)</f>
        <v/>
      </c>
      <c r="AT323" s="88" t="str">
        <f aca="false">IF($C323="&lt;01","",98%)</f>
        <v/>
      </c>
      <c r="AU323" s="10" t="str">
        <f aca="false">IF($C323="&lt;01","",SUM($AP323)-SUM($O323))</f>
        <v/>
      </c>
      <c r="AV323" s="10" t="n">
        <f aca="false">IF($C323="&lt;01",ROUND(INDEX(EID!$N:$N,MATCH($B323,EID!$B:$B,0))/2,0),IF(SUM($AT323)=0,"",ROUND((SUM($AP323)-(SUM($O323)*SUM($AS323)))/$AT323,0)))</f>
        <v>2</v>
      </c>
      <c r="AW323" s="88" t="str">
        <f aca="false">IF($C323="&lt;01","",100%)</f>
        <v/>
      </c>
      <c r="AX323" s="39" t="n">
        <f aca="false">IF($C323="&lt;01",SUM($AV323),ROUND(SUM($AV323)*SUM($AW323),0))</f>
        <v>2</v>
      </c>
      <c r="AY323" s="114" t="str">
        <f aca="false">IF($C323="&lt;01","",70%)</f>
        <v/>
      </c>
      <c r="AZ323" s="91" t="n">
        <f aca="false">IF($C323="&lt;01",ROUND(INDEX(EID!$R:$R,MATCH($B323,EID!$B:$B,0))/2,0),ROUND(SUM($O323)+(SUM($AV323)*$AY323),0))</f>
        <v>1</v>
      </c>
      <c r="BA323" s="87" t="str">
        <f aca="false">IF($C323="&lt;01","",95%)</f>
        <v/>
      </c>
      <c r="BB323" s="5" t="n">
        <f aca="false">IF($C323="&lt;01",ROUND(INDEX(EID!$T:$T,MATCH($B323,EID!$B:$B,0))/2,0),ROUND($AZ323*$BA323,0))</f>
        <v>1</v>
      </c>
      <c r="BC323" s="91" t="n">
        <f aca="false">IF(LEFT($B323,4)="_Mil","",IF(SUM($BB323)=0,SUM($AD323),IF(OR(SUM($AP323)=0,SUM($AQ323)=0),MAX($BB323,$AD323),ROUND($BB323*$AQ323/$AP323,0))))</f>
        <v>202</v>
      </c>
      <c r="BD323" s="88" t="str">
        <f aca="false">IF($C323="&lt;01","",95%)</f>
        <v/>
      </c>
      <c r="BE323" s="39" t="n">
        <f aca="false">IF($C323="&lt;01",ROUND(INDEX(EID!$V:$V,MATCH($B323,EID!$B:$B,0))/2,0),ROUND($BD323*$BB323,0))</f>
        <v>1</v>
      </c>
      <c r="BF323" s="39" t="n">
        <f aca="false">IF(LEFT($B323,4)="_Mil","",IF(SUM($BE323)=0,SUM($AF323),IF(OR(SUM($AP323)=0,SUM($AQ323)=0),MAX($BE323,$AF323),ROUND($BE323*$AQ323/$AP323,0))))</f>
        <v>202</v>
      </c>
      <c r="BG323" s="114" t="str">
        <f aca="false">IF($C323="&lt;01","",95%)</f>
        <v/>
      </c>
      <c r="BH323" s="5" t="n">
        <f aca="false">IF($C323="&lt;01",ROUND(INDEX(EID!$L:$L,MATCH($B323,EID!$B:$B,0)),0)/2,IF(SUM($BG323)=0,"",ROUND($AX323/$BG323,0)))</f>
        <v>1.5</v>
      </c>
    </row>
    <row r="324" customFormat="false" ht="15" hidden="false" customHeight="false" outlineLevel="0" collapsed="false">
      <c r="A324" s="0" t="str">
        <f aca="false">INDEX(Prioritization!$D:$D,MATCH($B324,Prioritization!$A:$A,0))</f>
        <v>INVALID</v>
      </c>
      <c r="B324" s="0" t="s">
        <v>216</v>
      </c>
      <c r="C324" s="0" t="s">
        <v>316</v>
      </c>
      <c r="D324" s="0" t="s">
        <v>48</v>
      </c>
      <c r="E324" s="0" t="str">
        <f aca="false">$B324&amp;"|"&amp;$C324&amp;"|"&amp;$D324</f>
        <v>Mulanje District [umc2n1Z4wNv]|&lt;01|Male</v>
      </c>
      <c r="F324" s="10"/>
      <c r="G324" s="10" t="n">
        <v>8</v>
      </c>
      <c r="H324" s="10" t="n">
        <v>10</v>
      </c>
      <c r="I324" s="10" t="n">
        <v>0</v>
      </c>
      <c r="J324" s="10" t="n">
        <v>2</v>
      </c>
      <c r="K324" s="10" t="n">
        <v>6</v>
      </c>
      <c r="L324" s="10"/>
      <c r="M324" s="10" t="n">
        <v>1</v>
      </c>
      <c r="N324" s="10" t="n">
        <v>7</v>
      </c>
      <c r="O324" s="10" t="n">
        <f aca="false">IFERROR(1/(1/MAX($I324,$N324)),"")</f>
        <v>7</v>
      </c>
      <c r="P324" s="10" t="n">
        <v>4</v>
      </c>
      <c r="Q324" s="10" t="n">
        <v>5</v>
      </c>
      <c r="R324" s="10" t="n">
        <f aca="false">IF(AND(SUM($I324)=0,SUM($O324)=0),"",SUM($O324)-$I324)</f>
        <v>7</v>
      </c>
      <c r="S324" s="10" t="n">
        <f aca="false">IF(LEFT($B324,4)="_Mil","",_xlfn.IFNA(ROUND(INDEX(Spectrum!$N:$N,MATCH(RIGHT($B324,13)&amp;"|"&amp;$C324&amp;"|"&amp;$D324&amp;"|"&amp;S$14&amp;"|"&amp;"CY2022Q4",Spectrum!$R:$R,0)),0),""))</f>
        <v>1186</v>
      </c>
      <c r="T324" s="39" t="n">
        <f aca="false">IF(LEFT($B324,4)="_Mil","",_xlfn.IFNA(ROUND(INDEX(Spectrum!$N:$N,MATCH(RIGHT($B324,13)&amp;"|"&amp;$C324&amp;"|"&amp;$D324&amp;"|"&amp;T$14&amp;"|"&amp;"CY2023Q3",Spectrum!$R:$R,0)),0),""))</f>
        <v>677</v>
      </c>
      <c r="U324" s="39" t="str">
        <f aca="false">IF(LEFT($B324,4)="_Mil","",_xlfn.IFNA(ROUND(INDEX(Spectrum!$N:$N,MATCH(RIGHT($B324,13)&amp;"|"&amp;$C324&amp;"|"&amp;$D324&amp;"|"&amp;U$14&amp;"|"&amp;"CY2023Q3",Spectrum!$R:$R,0)),0),""))</f>
        <v/>
      </c>
      <c r="V324" s="10" t="n">
        <f aca="false">IF(LEFT($B324,4)="_Mil","",_xlfn.IFNA(ROUND(INDEX(Spectrum!$N:$N,MATCH(RIGHT($B324,13)&amp;"|"&amp;$C324&amp;"|"&amp;$D324&amp;"|"&amp;V$14&amp;"|"&amp;"CY2023Q3",Spectrum!$R:$R,0)),0),""))</f>
        <v>1030</v>
      </c>
      <c r="W324" s="113" t="n">
        <f aca="false">IF(LEFT($B324,4)="_Mil","",_xlfn.IFNA(INDEX(Spectrum!$N:$N,MATCH(RIGHT($B324,13)&amp;"|"&amp;$C324&amp;"|"&amp;$D324&amp;"|"&amp;W$14&amp;"|"&amp;"CY2023Q3",Spectrum!$R:$R,0)),""))</f>
        <v>1666</v>
      </c>
      <c r="X324" s="39" t="n">
        <f aca="false">IF(LEFT($B324,4)="_Mil","",_xlfn.IFNA(ROUND(INDEX(Spectrum!$N:$N,MATCH(RIGHT($B324,13)&amp;"|"&amp;$C324&amp;"|"&amp;$D324&amp;"|"&amp;X$14&amp;"|"&amp;"CY2023Q3",Spectrum!$R:$R,0)),0),""))</f>
        <v>1714</v>
      </c>
      <c r="Y324" s="88" t="str">
        <f aca="false">IF(OR(SUM($U324)=0,LEFT($B324,4)="_Mil"),"",SUM($X324)/$U324)</f>
        <v/>
      </c>
      <c r="Z324" s="39" t="n">
        <f aca="false">IF(LEFT($B324,4)="_Mil","",_xlfn.IFNA(ROUND(INDEX(Spectrum!$N:$N,MATCH(RIGHT($B324,13)&amp;"|"&amp;$C324&amp;"|"&amp;$D324&amp;"|"&amp;Z$14&amp;"|"&amp;"CY2023Q3",Spectrum!$R:$R,0)),0),""))</f>
        <v>912</v>
      </c>
      <c r="AA324" s="88" t="n">
        <f aca="false">IF(LEFT($B324,4)="_Mil","",IFERROR(1/(1/INDEX(Spectrum!$N:$N,MATCH(RIGHT($B324,13)&amp;"|"&amp;$C324&amp;"|"&amp;$D324&amp;"|"&amp;AA$14&amp;"|"&amp;"CY2023Q3",Spectrum!$R:$R,0))),IF(SUM($U324)=0,"",SUM($Z324)/$U324)))</f>
        <v>818</v>
      </c>
      <c r="AB324" s="88" t="n">
        <f aca="false">IF(OR(LEFT($B324,4)="_Mil",SUM($X324)=0),"",SUM($Z324)/$X324)</f>
        <v>0.532088681446908</v>
      </c>
      <c r="AC324" s="10" t="n">
        <f aca="false">IF(LEFT($B324,4)="_Mil","",_xlfn.IFNA(ROUND(INDEX(Spectrum!$N:$N,MATCH(RIGHT($B324,13)&amp;"|"&amp;$C324&amp;"|"&amp;$D324&amp;"|"&amp;AC$14&amp;"|"&amp;"CY2023Q3",Spectrum!$R:$R,0)),0),""))</f>
        <v>609</v>
      </c>
      <c r="AD324" s="10" t="str">
        <f aca="false">IF(LEFT($B324,4)="_Mil","",_xlfn.IFNA(ROUND(INDEX(Spectrum!$N:$N,MATCH(RIGHT($B324,13)&amp;"|"&amp;$C324&amp;"|"&amp;$D324&amp;"|"&amp;AD$14&amp;"|"&amp;"CY2023Q3",Spectrum!$R:$R,0)),0),""))</f>
        <v/>
      </c>
      <c r="AE324" s="88" t="n">
        <f aca="false">IF(OR(LEFT($B324,4)="_Mil",SUM($Z324)=0),"",SUM($AD324)/$Z324)</f>
        <v>0</v>
      </c>
      <c r="AF324" s="39" t="str">
        <f aca="false">IF(LEFT($B324,4)="_Mil","",_xlfn.IFNA(ROUND(INDEX(Spectrum!$N:$N,MATCH(RIGHT($B324,13)&amp;"|"&amp;$C324&amp;"|"&amp;$D324&amp;"|"&amp;AF$14&amp;"|"&amp;"CY2023Q3",Spectrum!$R:$R,0)),0),""))</f>
        <v/>
      </c>
      <c r="AG324" s="88" t="str">
        <f aca="false">IF(OR(LEFT($B324,4)="_Mil",SUM($AD324)=0),"",SUM($AF324)/$AD324)</f>
        <v/>
      </c>
      <c r="AH324" s="86" t="str">
        <f aca="false">IF(LEFT($B324,4)="_Mil","",_xlfn.IFNA(INDEX(Spectrum!$N:$N,MATCH(RIGHT($B324,13)&amp;"|"&amp;$C324&amp;"|"&amp;$D324&amp;"|"&amp;AH$14&amp;"|"&amp;"CY2023Q3",Spectrum!$R:$R,0)),""))</f>
        <v/>
      </c>
      <c r="AI324" s="10" t="str">
        <f aca="false">IF(LEFT($B324,4)="_Mil","",_xlfn.IFNA(ROUND(INDEX(Spectrum!$N:$N,MATCH(RIGHT($B324,13)&amp;"|"&amp;$C324&amp;"|"&amp;$D324&amp;"|"&amp;AI$14&amp;"|"&amp;"CY2023Q3",Spectrum!$R:$R,0)),0),""))</f>
        <v/>
      </c>
      <c r="AJ324" s="39" t="n">
        <f aca="false">IF(LEFT($B324,4)="_Mil","",_xlfn.IFNA(ROUND(INDEX(Spectrum!$N:$N,MATCH(RIGHT($B324,13)&amp;"|"&amp;$C324&amp;"|"&amp;$D324&amp;"|"&amp;AI$14&amp;"|"&amp;"CY2023Q3",Spectrum!$R:$R,0)),0),SUM($U324)+SUM($AI324)))</f>
        <v>0</v>
      </c>
      <c r="AK324" s="10" t="str">
        <f aca="false">IF(LEFT($B324,4)="_Mil","",_xlfn.IFNA(ROUND(INDEX(Spectrum!$N:$N,MATCH(RIGHT($B324,13)&amp;"|"&amp;$C324&amp;"|"&amp;$D324&amp;"|"&amp;AK$14&amp;"|"&amp;"CY2023Q3",Spectrum!$R:$R,0)),0),""))</f>
        <v/>
      </c>
      <c r="AL324" s="88" t="str">
        <f aca="false">IF(OR(LEFT($B324,4)="_Mil",$C324="&lt;01"),"",MAX(SUM($AA324),90%))</f>
        <v/>
      </c>
      <c r="AM324" s="10" t="str">
        <f aca="false">IF(OR(LEFT($B324,4)="_Mil",$C324="&lt;01"),"",ROUND(SUM($AJ324)*SUM($AL324),0))</f>
        <v/>
      </c>
      <c r="AN324" s="10" t="n">
        <f aca="false">IF($C324="&lt;01",ROUND(INDEX(EID!$P:$P,MATCH($B324,EID!$B:$B,0))/2,0),"")</f>
        <v>2</v>
      </c>
      <c r="AO324" s="10" t="n">
        <f aca="false">IF($C324="&lt;01",SUM($AN324),ROUND(SUM($AM324)*SUM($O324)/IF(SUM($Z324)=0,1,$Z324),0))</f>
        <v>2</v>
      </c>
      <c r="AP324" s="39" t="n">
        <f aca="false">IF(OR($F324="",$C324="&lt;01"),$AO324,$F324)</f>
        <v>2</v>
      </c>
      <c r="AQ324" s="39" t="n">
        <f aca="false">IF(LEFT($B324,4)="_Mil","",IF(SUM($AP324)=0,SUM($Z324),IF(OR(SUM($Z324)=0,SUM($O324)=0),MAX($AP324,$Z324),$AP324*$Z324/$O324)))</f>
        <v>260.571428571429</v>
      </c>
      <c r="AR324" s="88" t="str">
        <f aca="false">IF(OR(LEFT($B324,4)="_Mil",SUM($AJ324)=0),"",SUM($AQ324)/$AJ324)</f>
        <v/>
      </c>
      <c r="AS324" s="88" t="str">
        <f aca="false">IF($C324="&lt;01","",98%)</f>
        <v/>
      </c>
      <c r="AT324" s="88" t="str">
        <f aca="false">IF($C324="&lt;01","",98%)</f>
        <v/>
      </c>
      <c r="AU324" s="10" t="str">
        <f aca="false">IF($C324="&lt;01","",SUM($AP324)-SUM($O324))</f>
        <v/>
      </c>
      <c r="AV324" s="10" t="n">
        <f aca="false">IF($C324="&lt;01",ROUND(INDEX(EID!$N:$N,MATCH($B324,EID!$B:$B,0))/2,0),IF(SUM($AT324)=0,"",ROUND((SUM($AP324)-(SUM($O324)*SUM($AS324)))/$AT324,0)))</f>
        <v>2</v>
      </c>
      <c r="AW324" s="88" t="str">
        <f aca="false">IF($C324="&lt;01","",100%)</f>
        <v/>
      </c>
      <c r="AX324" s="39" t="n">
        <f aca="false">IF($C324="&lt;01",SUM($AV324),ROUND(SUM($AV324)*SUM($AW324),0))</f>
        <v>2</v>
      </c>
      <c r="AY324" s="114" t="str">
        <f aca="false">IF($C324="&lt;01","",70%)</f>
        <v/>
      </c>
      <c r="AZ324" s="91" t="n">
        <f aca="false">IF($C324="&lt;01",ROUND(INDEX(EID!$R:$R,MATCH($B324,EID!$B:$B,0))/2,0),ROUND(SUM($O324)+(SUM($AV324)*$AY324),0))</f>
        <v>1</v>
      </c>
      <c r="BA324" s="87" t="str">
        <f aca="false">IF($C324="&lt;01","",95%)</f>
        <v/>
      </c>
      <c r="BB324" s="5" t="n">
        <f aca="false">IF($C324="&lt;01",ROUND(INDEX(EID!$T:$T,MATCH($B324,EID!$B:$B,0))/2,0),ROUND($AZ324*$BA324,0))</f>
        <v>1</v>
      </c>
      <c r="BC324" s="91" t="n">
        <f aca="false">IF(LEFT($B324,4)="_Mil","",IF(SUM($BB324)=0,SUM($AD324),IF(OR(SUM($AP324)=0,SUM($AQ324)=0),MAX($BB324,$AD324),ROUND($BB324*$AQ324/$AP324,0))))</f>
        <v>130</v>
      </c>
      <c r="BD324" s="88" t="str">
        <f aca="false">IF($C324="&lt;01","",95%)</f>
        <v/>
      </c>
      <c r="BE324" s="39" t="n">
        <f aca="false">IF($C324="&lt;01",ROUND(INDEX(EID!$V:$V,MATCH($B324,EID!$B:$B,0))/2,0),ROUND($BD324*$BB324,0))</f>
        <v>1</v>
      </c>
      <c r="BF324" s="39" t="n">
        <f aca="false">IF(LEFT($B324,4)="_Mil","",IF(SUM($BE324)=0,SUM($AF324),IF(OR(SUM($AP324)=0,SUM($AQ324)=0),MAX($BE324,$AF324),ROUND($BE324*$AQ324/$AP324,0))))</f>
        <v>130</v>
      </c>
      <c r="BG324" s="114" t="str">
        <f aca="false">IF($C324="&lt;01","",95%)</f>
        <v/>
      </c>
      <c r="BH324" s="5" t="n">
        <f aca="false">IF($C324="&lt;01",ROUND(INDEX(EID!$L:$L,MATCH($B324,EID!$B:$B,0)),0)/2,IF(SUM($BG324)=0,"",ROUND($AX324/$BG324,0)))</f>
        <v>1.5</v>
      </c>
    </row>
    <row r="325" customFormat="false" ht="15" hidden="false" customHeight="false" outlineLevel="0" collapsed="false">
      <c r="A325" s="0" t="str">
        <f aca="false">INDEX(Prioritization!$D:$D,MATCH($B325,Prioritization!$A:$A,0))</f>
        <v>INVALID</v>
      </c>
      <c r="B325" s="0" t="s">
        <v>216</v>
      </c>
      <c r="C325" s="0" t="s">
        <v>363</v>
      </c>
      <c r="D325" s="0" t="s">
        <v>30</v>
      </c>
      <c r="E325" s="0" t="str">
        <f aca="false">$B325&amp;"|"&amp;$C325&amp;"|"&amp;$D325</f>
        <v>Mulanje District [umc2n1Z4wNv]|01-09|Female</v>
      </c>
      <c r="F325" s="10"/>
      <c r="G325" s="10"/>
      <c r="H325" s="10"/>
      <c r="I325" s="10"/>
      <c r="J325" s="10"/>
      <c r="K325" s="10"/>
      <c r="L325" s="10"/>
      <c r="M325" s="10"/>
      <c r="N325" s="10"/>
      <c r="O325" s="10" t="str">
        <f aca="false">IFERROR(1/(1/MAX($I325,$N325)),"")</f>
        <v/>
      </c>
      <c r="P325" s="10"/>
      <c r="Q325" s="10"/>
      <c r="R325" s="10" t="str">
        <f aca="false">IF(AND(SUM($I325)=0,SUM($O325)=0),"",SUM($O325)-$I325)</f>
        <v/>
      </c>
      <c r="S325" s="10" t="n">
        <f aca="false">IF(LEFT($B325,4)="_Mil","",_xlfn.IFNA(ROUND(INDEX(Spectrum!$N:$N,MATCH(RIGHT($B325,13)&amp;"|"&amp;$C325&amp;"|"&amp;$D325&amp;"|"&amp;S$14&amp;"|"&amp;"CY2022Q4",Spectrum!$R:$R,0)),0),""))</f>
        <v>545</v>
      </c>
      <c r="T325" s="39" t="n">
        <f aca="false">IF(LEFT($B325,4)="_Mil","",_xlfn.IFNA(ROUND(INDEX(Spectrum!$N:$N,MATCH(RIGHT($B325,13)&amp;"|"&amp;$C325&amp;"|"&amp;$D325&amp;"|"&amp;T$14&amp;"|"&amp;"CY2023Q3",Spectrum!$R:$R,0)),0),""))</f>
        <v>1172</v>
      </c>
      <c r="U325" s="39" t="str">
        <f aca="false">IF(LEFT($B325,4)="_Mil","",_xlfn.IFNA(ROUND(INDEX(Spectrum!$N:$N,MATCH(RIGHT($B325,13)&amp;"|"&amp;$C325&amp;"|"&amp;$D325&amp;"|"&amp;U$14&amp;"|"&amp;"CY2023Q3",Spectrum!$R:$R,0)),0),""))</f>
        <v/>
      </c>
      <c r="V325" s="10" t="n">
        <f aca="false">IF(LEFT($B325,4)="_Mil","",_xlfn.IFNA(ROUND(INDEX(Spectrum!$N:$N,MATCH(RIGHT($B325,13)&amp;"|"&amp;$C325&amp;"|"&amp;$D325&amp;"|"&amp;V$14&amp;"|"&amp;"CY2023Q3",Spectrum!$R:$R,0)),0),""))</f>
        <v>1967</v>
      </c>
      <c r="W325" s="113" t="n">
        <f aca="false">IF(LEFT($B325,4)="_Mil","",_xlfn.IFNA(INDEX(Spectrum!$N:$N,MATCH(RIGHT($B325,13)&amp;"|"&amp;$C325&amp;"|"&amp;$D325&amp;"|"&amp;W$14&amp;"|"&amp;"CY2023Q3",Spectrum!$R:$R,0)),""))</f>
        <v>1047</v>
      </c>
      <c r="X325" s="39" t="n">
        <f aca="false">IF(LEFT($B325,4)="_Mil","",_xlfn.IFNA(ROUND(INDEX(Spectrum!$N:$N,MATCH(RIGHT($B325,13)&amp;"|"&amp;$C325&amp;"|"&amp;$D325&amp;"|"&amp;X$14&amp;"|"&amp;"CY2023Q3",Spectrum!$R:$R,0)),0),""))</f>
        <v>655</v>
      </c>
      <c r="Y325" s="88" t="str">
        <f aca="false">IF(OR(SUM($U325)=0,LEFT($B325,4)="_Mil"),"",SUM($X325)/$U325)</f>
        <v/>
      </c>
      <c r="Z325" s="39" t="n">
        <f aca="false">IF(LEFT($B325,4)="_Mil","",_xlfn.IFNA(ROUND(INDEX(Spectrum!$N:$N,MATCH(RIGHT($B325,13)&amp;"|"&amp;$C325&amp;"|"&amp;$D325&amp;"|"&amp;Z$14&amp;"|"&amp;"CY2023Q3",Spectrum!$R:$R,0)),0),""))</f>
        <v>1370</v>
      </c>
      <c r="AA325" s="88" t="n">
        <f aca="false">IF(LEFT($B325,4)="_Mil","",IFERROR(1/(1/INDEX(Spectrum!$N:$N,MATCH(RIGHT($B325,13)&amp;"|"&amp;$C325&amp;"|"&amp;$D325&amp;"|"&amp;AA$14&amp;"|"&amp;"CY2023Q3",Spectrum!$R:$R,0))),IF(SUM($U325)=0,"",SUM($Z325)/$U325)))</f>
        <v>1611</v>
      </c>
      <c r="AB325" s="88" t="n">
        <f aca="false">IF(OR(LEFT($B325,4)="_Mil",SUM($X325)=0),"",SUM($Z325)/$X325)</f>
        <v>2.09160305343511</v>
      </c>
      <c r="AC325" s="10" t="n">
        <f aca="false">IF(LEFT($B325,4)="_Mil","",_xlfn.IFNA(ROUND(INDEX(Spectrum!$N:$N,MATCH(RIGHT($B325,13)&amp;"|"&amp;$C325&amp;"|"&amp;$D325&amp;"|"&amp;AC$14&amp;"|"&amp;"CY2023Q3",Spectrum!$R:$R,0)),0),""))</f>
        <v>1230</v>
      </c>
      <c r="AD325" s="10" t="str">
        <f aca="false">IF(LEFT($B325,4)="_Mil","",_xlfn.IFNA(ROUND(INDEX(Spectrum!$N:$N,MATCH(RIGHT($B325,13)&amp;"|"&amp;$C325&amp;"|"&amp;$D325&amp;"|"&amp;AD$14&amp;"|"&amp;"CY2023Q3",Spectrum!$R:$R,0)),0),""))</f>
        <v/>
      </c>
      <c r="AE325" s="88" t="n">
        <f aca="false">IF(OR(LEFT($B325,4)="_Mil",SUM($Z325)=0),"",SUM($AD325)/$Z325)</f>
        <v>0</v>
      </c>
      <c r="AF325" s="39" t="str">
        <f aca="false">IF(LEFT($B325,4)="_Mil","",_xlfn.IFNA(ROUND(INDEX(Spectrum!$N:$N,MATCH(RIGHT($B325,13)&amp;"|"&amp;$C325&amp;"|"&amp;$D325&amp;"|"&amp;AF$14&amp;"|"&amp;"CY2023Q3",Spectrum!$R:$R,0)),0),""))</f>
        <v/>
      </c>
      <c r="AG325" s="88" t="str">
        <f aca="false">IF(OR(LEFT($B325,4)="_Mil",SUM($AD325)=0),"",SUM($AF325)/$AD325)</f>
        <v/>
      </c>
      <c r="AH325" s="86" t="str">
        <f aca="false">IF(LEFT($B325,4)="_Mil","",_xlfn.IFNA(INDEX(Spectrum!$N:$N,MATCH(RIGHT($B325,13)&amp;"|"&amp;$C325&amp;"|"&amp;$D325&amp;"|"&amp;AH$14&amp;"|"&amp;"CY2023Q3",Spectrum!$R:$R,0)),""))</f>
        <v/>
      </c>
      <c r="AI325" s="10" t="str">
        <f aca="false">IF(LEFT($B325,4)="_Mil","",_xlfn.IFNA(ROUND(INDEX(Spectrum!$N:$N,MATCH(RIGHT($B325,13)&amp;"|"&amp;$C325&amp;"|"&amp;$D325&amp;"|"&amp;AI$14&amp;"|"&amp;"CY2023Q3",Spectrum!$R:$R,0)),0),""))</f>
        <v/>
      </c>
      <c r="AJ325" s="39" t="n">
        <f aca="false">IF(LEFT($B325,4)="_Mil","",_xlfn.IFNA(ROUND(INDEX(Spectrum!$N:$N,MATCH(RIGHT($B325,13)&amp;"|"&amp;$C325&amp;"|"&amp;$D325&amp;"|"&amp;AI$14&amp;"|"&amp;"CY2023Q3",Spectrum!$R:$R,0)),0),SUM($U325)+SUM($AI325)))</f>
        <v>0</v>
      </c>
      <c r="AK325" s="10" t="str">
        <f aca="false">IF(LEFT($B325,4)="_Mil","",_xlfn.IFNA(ROUND(INDEX(Spectrum!$N:$N,MATCH(RIGHT($B325,13)&amp;"|"&amp;$C325&amp;"|"&amp;$D325&amp;"|"&amp;AK$14&amp;"|"&amp;"CY2023Q3",Spectrum!$R:$R,0)),0),""))</f>
        <v/>
      </c>
      <c r="AL325" s="88" t="n">
        <f aca="false">IF(OR(LEFT($B325,4)="_Mil",$C325="&lt;01"),"",MAX(SUM($AA325),90%))</f>
        <v>1611</v>
      </c>
      <c r="AM325" s="10" t="n">
        <f aca="false">IF(OR(LEFT($B325,4)="_Mil",$C325="&lt;01"),"",ROUND(SUM($AJ325)*SUM($AL325),0))</f>
        <v>0</v>
      </c>
      <c r="AN325" s="10" t="str">
        <f aca="false">IF($C325="&lt;01",ROUND(INDEX(EID!$P:$P,MATCH($B325,EID!$B:$B,0))/2,0),"")</f>
        <v/>
      </c>
      <c r="AO325" s="10" t="n">
        <f aca="false">IF($C325="&lt;01",SUM($AN325),ROUND(SUM($AM325)*SUM($O325)/IF(SUM($Z325)=0,1,$Z325),0))</f>
        <v>0</v>
      </c>
      <c r="AP325" s="39" t="n">
        <f aca="false">IF(OR($F325="",$C325="&lt;01"),$AO325,$F325)</f>
        <v>0</v>
      </c>
      <c r="AQ325" s="39" t="n">
        <f aca="false">IF(LEFT($B325,4)="_Mil","",IF(SUM($AP325)=0,SUM($Z325),IF(OR(SUM($Z325)=0,SUM($O325)=0),MAX($AP325,$Z325),$AP325*$Z325/$O325)))</f>
        <v>1370</v>
      </c>
      <c r="AR325" s="88" t="str">
        <f aca="false">IF(OR(LEFT($B325,4)="_Mil",SUM($AJ325)=0),"",SUM($AQ325)/$AJ325)</f>
        <v/>
      </c>
      <c r="AS325" s="88" t="n">
        <f aca="false">IF($C325="&lt;01","",98%)</f>
        <v>0.98</v>
      </c>
      <c r="AT325" s="88" t="n">
        <f aca="false">IF($C325="&lt;01","",98%)</f>
        <v>0.98</v>
      </c>
      <c r="AU325" s="10" t="n">
        <f aca="false">IF($C325="&lt;01","",SUM($AP325)-SUM($O325))</f>
        <v>0</v>
      </c>
      <c r="AV325" s="10" t="n">
        <f aca="false">IF($C325="&lt;01",ROUND(INDEX(EID!$N:$N,MATCH($B325,EID!$B:$B,0))/2,0),IF(SUM($AT325)=0,"",ROUND((SUM($AP325)-(SUM($O325)*SUM($AS325)))/$AT325,0)))</f>
        <v>0</v>
      </c>
      <c r="AW325" s="88" t="n">
        <f aca="false">IF($C325="&lt;01","",100%)</f>
        <v>1</v>
      </c>
      <c r="AX325" s="39" t="n">
        <f aca="false">IF($C325="&lt;01",SUM($AV325),ROUND(SUM($AV325)*SUM($AW325),0))</f>
        <v>0</v>
      </c>
      <c r="AY325" s="114" t="n">
        <f aca="false">IF($C325="&lt;01","",70%)</f>
        <v>0.7</v>
      </c>
      <c r="AZ325" s="91" t="n">
        <f aca="false">IF($C325="&lt;01",ROUND(INDEX(EID!$R:$R,MATCH($B325,EID!$B:$B,0))/2,0),ROUND(SUM($O325)+(SUM($AV325)*$AY325),0))</f>
        <v>0</v>
      </c>
      <c r="BA325" s="87" t="n">
        <f aca="false">IF($C325="&lt;01","",95%)</f>
        <v>0.95</v>
      </c>
      <c r="BB325" s="5" t="n">
        <f aca="false">IF($C325="&lt;01",ROUND(INDEX(EID!$T:$T,MATCH($B325,EID!$B:$B,0))/2,0),ROUND($AZ325*$BA325,0))</f>
        <v>0</v>
      </c>
      <c r="BC325" s="91" t="n">
        <f aca="false">IF(LEFT($B325,4)="_Mil","",IF(SUM($BB325)=0,SUM($AD325),IF(OR(SUM($AP325)=0,SUM($AQ325)=0),MAX($BB325,$AD325),ROUND($BB325*$AQ325/$AP325,0))))</f>
        <v>0</v>
      </c>
      <c r="BD325" s="88" t="n">
        <f aca="false">IF($C325="&lt;01","",95%)</f>
        <v>0.95</v>
      </c>
      <c r="BE325" s="39" t="n">
        <f aca="false">IF($C325="&lt;01",ROUND(INDEX(EID!$V:$V,MATCH($B325,EID!$B:$B,0))/2,0),ROUND($BD325*$BB325,0))</f>
        <v>0</v>
      </c>
      <c r="BF325" s="39" t="n">
        <f aca="false">IF(LEFT($B325,4)="_Mil","",IF(SUM($BE325)=0,SUM($AF325),IF(OR(SUM($AP325)=0,SUM($AQ325)=0),MAX($BE325,$AF325),ROUND($BE325*$AQ325/$AP325,0))))</f>
        <v>0</v>
      </c>
      <c r="BG325" s="114" t="n">
        <f aca="false">IF($C325="&lt;01","",95%)</f>
        <v>0.95</v>
      </c>
      <c r="BH325" s="5" t="n">
        <f aca="false">IF($C325="&lt;01",ROUND(INDEX(EID!$L:$L,MATCH($B325,EID!$B:$B,0)),0)/2,IF(SUM($BG325)=0,"",ROUND($AX325/$BG325,0)))</f>
        <v>0</v>
      </c>
    </row>
    <row r="326" customFormat="false" ht="15" hidden="false" customHeight="false" outlineLevel="0" collapsed="false">
      <c r="A326" s="0" t="str">
        <f aca="false">INDEX(Prioritization!$D:$D,MATCH($B326,Prioritization!$A:$A,0))</f>
        <v>INVALID</v>
      </c>
      <c r="B326" s="0" t="s">
        <v>216</v>
      </c>
      <c r="C326" s="0" t="s">
        <v>363</v>
      </c>
      <c r="D326" s="0" t="s">
        <v>48</v>
      </c>
      <c r="E326" s="0" t="str">
        <f aca="false">$B326&amp;"|"&amp;$C326&amp;"|"&amp;$D326</f>
        <v>Mulanje District [umc2n1Z4wNv]|01-09|Male</v>
      </c>
      <c r="F326" s="10"/>
      <c r="G326" s="10"/>
      <c r="H326" s="10"/>
      <c r="I326" s="10"/>
      <c r="J326" s="10"/>
      <c r="K326" s="10"/>
      <c r="L326" s="10"/>
      <c r="M326" s="10"/>
      <c r="N326" s="10"/>
      <c r="O326" s="10" t="str">
        <f aca="false">IFERROR(1/(1/MAX($I326,$N326)),"")</f>
        <v/>
      </c>
      <c r="P326" s="10"/>
      <c r="Q326" s="10"/>
      <c r="R326" s="10" t="str">
        <f aca="false">IF(AND(SUM($I326)=0,SUM($O326)=0),"",SUM($O326)-$I326)</f>
        <v/>
      </c>
      <c r="S326" s="10" t="n">
        <f aca="false">IF(LEFT($B326,4)="_Mil","",_xlfn.IFNA(ROUND(INDEX(Spectrum!$N:$N,MATCH(RIGHT($B326,13)&amp;"|"&amp;$C326&amp;"|"&amp;$D326&amp;"|"&amp;S$14&amp;"|"&amp;"CY2022Q4",Spectrum!$R:$R,0)),0),""))</f>
        <v>1371</v>
      </c>
      <c r="T326" s="39" t="n">
        <f aca="false">IF(LEFT($B326,4)="_Mil","",_xlfn.IFNA(ROUND(INDEX(Spectrum!$N:$N,MATCH(RIGHT($B326,13)&amp;"|"&amp;$C326&amp;"|"&amp;$D326&amp;"|"&amp;T$14&amp;"|"&amp;"CY2023Q3",Spectrum!$R:$R,0)),0),""))</f>
        <v>1426</v>
      </c>
      <c r="U326" s="39" t="str">
        <f aca="false">IF(LEFT($B326,4)="_Mil","",_xlfn.IFNA(ROUND(INDEX(Spectrum!$N:$N,MATCH(RIGHT($B326,13)&amp;"|"&amp;$C326&amp;"|"&amp;$D326&amp;"|"&amp;U$14&amp;"|"&amp;"CY2023Q3",Spectrum!$R:$R,0)),0),""))</f>
        <v/>
      </c>
      <c r="V326" s="10" t="n">
        <f aca="false">IF(LEFT($B326,4)="_Mil","",_xlfn.IFNA(ROUND(INDEX(Spectrum!$N:$N,MATCH(RIGHT($B326,13)&amp;"|"&amp;$C326&amp;"|"&amp;$D326&amp;"|"&amp;V$14&amp;"|"&amp;"CY2023Q3",Spectrum!$R:$R,0)),0),""))</f>
        <v>596</v>
      </c>
      <c r="W326" s="113" t="n">
        <f aca="false">IF(LEFT($B326,4)="_Mil","",_xlfn.IFNA(INDEX(Spectrum!$N:$N,MATCH(RIGHT($B326,13)&amp;"|"&amp;$C326&amp;"|"&amp;$D326&amp;"|"&amp;W$14&amp;"|"&amp;"CY2023Q3",Spectrum!$R:$R,0)),""))</f>
        <v>1863</v>
      </c>
      <c r="X326" s="39" t="n">
        <f aca="false">IF(LEFT($B326,4)="_Mil","",_xlfn.IFNA(ROUND(INDEX(Spectrum!$N:$N,MATCH(RIGHT($B326,13)&amp;"|"&amp;$C326&amp;"|"&amp;$D326&amp;"|"&amp;X$14&amp;"|"&amp;"CY2023Q3",Spectrum!$R:$R,0)),0),""))</f>
        <v>1053</v>
      </c>
      <c r="Y326" s="88" t="str">
        <f aca="false">IF(OR(SUM($U326)=0,LEFT($B326,4)="_Mil"),"",SUM($X326)/$U326)</f>
        <v/>
      </c>
      <c r="Z326" s="39" t="n">
        <f aca="false">IF(LEFT($B326,4)="_Mil","",_xlfn.IFNA(ROUND(INDEX(Spectrum!$N:$N,MATCH(RIGHT($B326,13)&amp;"|"&amp;$C326&amp;"|"&amp;$D326&amp;"|"&amp;Z$14&amp;"|"&amp;"CY2023Q3",Spectrum!$R:$R,0)),0),""))</f>
        <v>1194</v>
      </c>
      <c r="AA326" s="88" t="n">
        <f aca="false">IF(LEFT($B326,4)="_Mil","",IFERROR(1/(1/INDEX(Spectrum!$N:$N,MATCH(RIGHT($B326,13)&amp;"|"&amp;$C326&amp;"|"&amp;$D326&amp;"|"&amp;AA$14&amp;"|"&amp;"CY2023Q3",Spectrum!$R:$R,0))),IF(SUM($U326)=0,"",SUM($Z326)/$U326)))</f>
        <v>1664</v>
      </c>
      <c r="AB326" s="88" t="n">
        <f aca="false">IF(OR(LEFT($B326,4)="_Mil",SUM($X326)=0),"",SUM($Z326)/$X326)</f>
        <v>1.13390313390313</v>
      </c>
      <c r="AC326" s="10" t="n">
        <f aca="false">IF(LEFT($B326,4)="_Mil","",_xlfn.IFNA(ROUND(INDEX(Spectrum!$N:$N,MATCH(RIGHT($B326,13)&amp;"|"&amp;$C326&amp;"|"&amp;$D326&amp;"|"&amp;AC$14&amp;"|"&amp;"CY2023Q3",Spectrum!$R:$R,0)),0),""))</f>
        <v>717</v>
      </c>
      <c r="AD326" s="10" t="str">
        <f aca="false">IF(LEFT($B326,4)="_Mil","",_xlfn.IFNA(ROUND(INDEX(Spectrum!$N:$N,MATCH(RIGHT($B326,13)&amp;"|"&amp;$C326&amp;"|"&amp;$D326&amp;"|"&amp;AD$14&amp;"|"&amp;"CY2023Q3",Spectrum!$R:$R,0)),0),""))</f>
        <v/>
      </c>
      <c r="AE326" s="88" t="n">
        <f aca="false">IF(OR(LEFT($B326,4)="_Mil",SUM($Z326)=0),"",SUM($AD326)/$Z326)</f>
        <v>0</v>
      </c>
      <c r="AF326" s="39" t="str">
        <f aca="false">IF(LEFT($B326,4)="_Mil","",_xlfn.IFNA(ROUND(INDEX(Spectrum!$N:$N,MATCH(RIGHT($B326,13)&amp;"|"&amp;$C326&amp;"|"&amp;$D326&amp;"|"&amp;AF$14&amp;"|"&amp;"CY2023Q3",Spectrum!$R:$R,0)),0),""))</f>
        <v/>
      </c>
      <c r="AG326" s="88" t="str">
        <f aca="false">IF(OR(LEFT($B326,4)="_Mil",SUM($AD326)=0),"",SUM($AF326)/$AD326)</f>
        <v/>
      </c>
      <c r="AH326" s="86" t="str">
        <f aca="false">IF(LEFT($B326,4)="_Mil","",_xlfn.IFNA(INDEX(Spectrum!$N:$N,MATCH(RIGHT($B326,13)&amp;"|"&amp;$C326&amp;"|"&amp;$D326&amp;"|"&amp;AH$14&amp;"|"&amp;"CY2023Q3",Spectrum!$R:$R,0)),""))</f>
        <v/>
      </c>
      <c r="AI326" s="10" t="str">
        <f aca="false">IF(LEFT($B326,4)="_Mil","",_xlfn.IFNA(ROUND(INDEX(Spectrum!$N:$N,MATCH(RIGHT($B326,13)&amp;"|"&amp;$C326&amp;"|"&amp;$D326&amp;"|"&amp;AI$14&amp;"|"&amp;"CY2023Q3",Spectrum!$R:$R,0)),0),""))</f>
        <v/>
      </c>
      <c r="AJ326" s="39" t="n">
        <f aca="false">IF(LEFT($B326,4)="_Mil","",_xlfn.IFNA(ROUND(INDEX(Spectrum!$N:$N,MATCH(RIGHT($B326,13)&amp;"|"&amp;$C326&amp;"|"&amp;$D326&amp;"|"&amp;AI$14&amp;"|"&amp;"CY2023Q3",Spectrum!$R:$R,0)),0),SUM($U326)+SUM($AI326)))</f>
        <v>0</v>
      </c>
      <c r="AK326" s="10" t="str">
        <f aca="false">IF(LEFT($B326,4)="_Mil","",_xlfn.IFNA(ROUND(INDEX(Spectrum!$N:$N,MATCH(RIGHT($B326,13)&amp;"|"&amp;$C326&amp;"|"&amp;$D326&amp;"|"&amp;AK$14&amp;"|"&amp;"CY2023Q3",Spectrum!$R:$R,0)),0),""))</f>
        <v/>
      </c>
      <c r="AL326" s="88" t="n">
        <f aca="false">IF(OR(LEFT($B326,4)="_Mil",$C326="&lt;01"),"",MAX(SUM($AA326),90%))</f>
        <v>1664</v>
      </c>
      <c r="AM326" s="10" t="n">
        <f aca="false">IF(OR(LEFT($B326,4)="_Mil",$C326="&lt;01"),"",ROUND(SUM($AJ326)*SUM($AL326),0))</f>
        <v>0</v>
      </c>
      <c r="AN326" s="10" t="str">
        <f aca="false">IF($C326="&lt;01",ROUND(INDEX(EID!$P:$P,MATCH($B326,EID!$B:$B,0))/2,0),"")</f>
        <v/>
      </c>
      <c r="AO326" s="10" t="n">
        <f aca="false">IF($C326="&lt;01",SUM($AN326),ROUND(SUM($AM326)*SUM($O326)/IF(SUM($Z326)=0,1,$Z326),0))</f>
        <v>0</v>
      </c>
      <c r="AP326" s="39" t="n">
        <f aca="false">IF(OR($F326="",$C326="&lt;01"),$AO326,$F326)</f>
        <v>0</v>
      </c>
      <c r="AQ326" s="39" t="n">
        <f aca="false">IF(LEFT($B326,4)="_Mil","",IF(SUM($AP326)=0,SUM($Z326),IF(OR(SUM($Z326)=0,SUM($O326)=0),MAX($AP326,$Z326),$AP326*$Z326/$O326)))</f>
        <v>1194</v>
      </c>
      <c r="AR326" s="88" t="str">
        <f aca="false">IF(OR(LEFT($B326,4)="_Mil",SUM($AJ326)=0),"",SUM($AQ326)/$AJ326)</f>
        <v/>
      </c>
      <c r="AS326" s="88" t="n">
        <f aca="false">IF($C326="&lt;01","",98%)</f>
        <v>0.98</v>
      </c>
      <c r="AT326" s="88" t="n">
        <f aca="false">IF($C326="&lt;01","",98%)</f>
        <v>0.98</v>
      </c>
      <c r="AU326" s="10" t="n">
        <f aca="false">IF($C326="&lt;01","",SUM($AP326)-SUM($O326))</f>
        <v>0</v>
      </c>
      <c r="AV326" s="10" t="n">
        <f aca="false">IF($C326="&lt;01",ROUND(INDEX(EID!$N:$N,MATCH($B326,EID!$B:$B,0))/2,0),IF(SUM($AT326)=0,"",ROUND((SUM($AP326)-(SUM($O326)*SUM($AS326)))/$AT326,0)))</f>
        <v>0</v>
      </c>
      <c r="AW326" s="88" t="n">
        <f aca="false">IF($C326="&lt;01","",100%)</f>
        <v>1</v>
      </c>
      <c r="AX326" s="39" t="n">
        <f aca="false">IF($C326="&lt;01",SUM($AV326),ROUND(SUM($AV326)*SUM($AW326),0))</f>
        <v>0</v>
      </c>
      <c r="AY326" s="114" t="n">
        <f aca="false">IF($C326="&lt;01","",70%)</f>
        <v>0.7</v>
      </c>
      <c r="AZ326" s="91" t="n">
        <f aca="false">IF($C326="&lt;01",ROUND(INDEX(EID!$R:$R,MATCH($B326,EID!$B:$B,0))/2,0),ROUND(SUM($O326)+(SUM($AV326)*$AY326),0))</f>
        <v>0</v>
      </c>
      <c r="BA326" s="87" t="n">
        <f aca="false">IF($C326="&lt;01","",95%)</f>
        <v>0.95</v>
      </c>
      <c r="BB326" s="5" t="n">
        <f aca="false">IF($C326="&lt;01",ROUND(INDEX(EID!$T:$T,MATCH($B326,EID!$B:$B,0))/2,0),ROUND($AZ326*$BA326,0))</f>
        <v>0</v>
      </c>
      <c r="BC326" s="91" t="n">
        <f aca="false">IF(LEFT($B326,4)="_Mil","",IF(SUM($BB326)=0,SUM($AD326),IF(OR(SUM($AP326)=0,SUM($AQ326)=0),MAX($BB326,$AD326),ROUND($BB326*$AQ326/$AP326,0))))</f>
        <v>0</v>
      </c>
      <c r="BD326" s="88" t="n">
        <f aca="false">IF($C326="&lt;01","",95%)</f>
        <v>0.95</v>
      </c>
      <c r="BE326" s="39" t="n">
        <f aca="false">IF($C326="&lt;01",ROUND(INDEX(EID!$V:$V,MATCH($B326,EID!$B:$B,0))/2,0),ROUND($BD326*$BB326,0))</f>
        <v>0</v>
      </c>
      <c r="BF326" s="39" t="n">
        <f aca="false">IF(LEFT($B326,4)="_Mil","",IF(SUM($BE326)=0,SUM($AF326),IF(OR(SUM($AP326)=0,SUM($AQ326)=0),MAX($BE326,$AF326),ROUND($BE326*$AQ326/$AP326,0))))</f>
        <v>0</v>
      </c>
      <c r="BG326" s="114" t="n">
        <f aca="false">IF($C326="&lt;01","",95%)</f>
        <v>0.95</v>
      </c>
      <c r="BH326" s="5" t="n">
        <f aca="false">IF($C326="&lt;01",ROUND(INDEX(EID!$L:$L,MATCH($B326,EID!$B:$B,0)),0)/2,IF(SUM($BG326)=0,"",ROUND($AX326/$BG326,0)))</f>
        <v>0</v>
      </c>
    </row>
    <row r="327" customFormat="false" ht="15" hidden="false" customHeight="false" outlineLevel="0" collapsed="false">
      <c r="A327" s="0" t="str">
        <f aca="false">INDEX(Prioritization!$D:$D,MATCH($B327,Prioritization!$A:$A,0))</f>
        <v>INVALID</v>
      </c>
      <c r="B327" s="0" t="s">
        <v>216</v>
      </c>
      <c r="C327" s="0" t="s">
        <v>364</v>
      </c>
      <c r="D327" s="0" t="s">
        <v>30</v>
      </c>
      <c r="E327" s="0" t="str">
        <f aca="false">$B327&amp;"|"&amp;$C327&amp;"|"&amp;$D327</f>
        <v>Mulanje District [umc2n1Z4wNv]|10-14|Female</v>
      </c>
      <c r="F327" s="10"/>
      <c r="G327" s="10" t="n">
        <v>7</v>
      </c>
      <c r="H327" s="10" t="n">
        <v>8</v>
      </c>
      <c r="I327" s="10" t="n">
        <v>26</v>
      </c>
      <c r="J327" s="10" t="n">
        <v>70</v>
      </c>
      <c r="K327" s="10" t="n">
        <v>23</v>
      </c>
      <c r="L327" s="10" t="n">
        <v>47</v>
      </c>
      <c r="M327" s="10" t="n">
        <v>99</v>
      </c>
      <c r="N327" s="10" t="n">
        <v>724</v>
      </c>
      <c r="O327" s="10" t="n">
        <f aca="false">IFERROR(1/(1/MAX($I327,$N327)),"")</f>
        <v>724</v>
      </c>
      <c r="P327" s="10" t="n">
        <v>947</v>
      </c>
      <c r="Q327" s="10" t="n">
        <v>81</v>
      </c>
      <c r="R327" s="10" t="n">
        <f aca="false">IF(AND(SUM($I327)=0,SUM($O327)=0),"",SUM($O327)-$I327)</f>
        <v>698</v>
      </c>
      <c r="S327" s="10" t="n">
        <f aca="false">IF(LEFT($B327,4)="_Mil","",_xlfn.IFNA(ROUND(INDEX(Spectrum!$N:$N,MATCH(RIGHT($B327,13)&amp;"|"&amp;$C327&amp;"|"&amp;$D327&amp;"|"&amp;S$14&amp;"|"&amp;"CY2022Q4",Spectrum!$R:$R,0)),0),""))</f>
        <v>535</v>
      </c>
      <c r="T327" s="39" t="n">
        <f aca="false">IF(LEFT($B327,4)="_Mil","",_xlfn.IFNA(ROUND(INDEX(Spectrum!$N:$N,MATCH(RIGHT($B327,13)&amp;"|"&amp;$C327&amp;"|"&amp;$D327&amp;"|"&amp;T$14&amp;"|"&amp;"CY2023Q3",Spectrum!$R:$R,0)),0),""))</f>
        <v>950</v>
      </c>
      <c r="U327" s="39" t="str">
        <f aca="false">IF(LEFT($B327,4)="_Mil","",_xlfn.IFNA(ROUND(INDEX(Spectrum!$N:$N,MATCH(RIGHT($B327,13)&amp;"|"&amp;$C327&amp;"|"&amp;$D327&amp;"|"&amp;U$14&amp;"|"&amp;"CY2023Q3",Spectrum!$R:$R,0)),0),""))</f>
        <v/>
      </c>
      <c r="V327" s="10" t="n">
        <f aca="false">IF(LEFT($B327,4)="_Mil","",_xlfn.IFNA(ROUND(INDEX(Spectrum!$N:$N,MATCH(RIGHT($B327,13)&amp;"|"&amp;$C327&amp;"|"&amp;$D327&amp;"|"&amp;V$14&amp;"|"&amp;"CY2023Q3",Spectrum!$R:$R,0)),0),""))</f>
        <v>1520</v>
      </c>
      <c r="W327" s="113" t="n">
        <f aca="false">IF(LEFT($B327,4)="_Mil","",_xlfn.IFNA(INDEX(Spectrum!$N:$N,MATCH(RIGHT($B327,13)&amp;"|"&amp;$C327&amp;"|"&amp;$D327&amp;"|"&amp;W$14&amp;"|"&amp;"CY2023Q3",Spectrum!$R:$R,0)),""))</f>
        <v>1652</v>
      </c>
      <c r="X327" s="39" t="n">
        <f aca="false">IF(LEFT($B327,4)="_Mil","",_xlfn.IFNA(ROUND(INDEX(Spectrum!$N:$N,MATCH(RIGHT($B327,13)&amp;"|"&amp;$C327&amp;"|"&amp;$D327&amp;"|"&amp;X$14&amp;"|"&amp;"CY2023Q3",Spectrum!$R:$R,0)),0),""))</f>
        <v>1500</v>
      </c>
      <c r="Y327" s="88" t="str">
        <f aca="false">IF(OR(SUM($U327)=0,LEFT($B327,4)="_Mil"),"",SUM($X327)/$U327)</f>
        <v/>
      </c>
      <c r="Z327" s="39" t="n">
        <f aca="false">IF(LEFT($B327,4)="_Mil","",_xlfn.IFNA(ROUND(INDEX(Spectrum!$N:$N,MATCH(RIGHT($B327,13)&amp;"|"&amp;$C327&amp;"|"&amp;$D327&amp;"|"&amp;Z$14&amp;"|"&amp;"CY2023Q3",Spectrum!$R:$R,0)),0),""))</f>
        <v>1409</v>
      </c>
      <c r="AA327" s="88" t="n">
        <f aca="false">IF(LEFT($B327,4)="_Mil","",IFERROR(1/(1/INDEX(Spectrum!$N:$N,MATCH(RIGHT($B327,13)&amp;"|"&amp;$C327&amp;"|"&amp;$D327&amp;"|"&amp;AA$14&amp;"|"&amp;"CY2023Q3",Spectrum!$R:$R,0))),IF(SUM($U327)=0,"",SUM($Z327)/$U327)))</f>
        <v>1670</v>
      </c>
      <c r="AB327" s="88" t="n">
        <f aca="false">IF(OR(LEFT($B327,4)="_Mil",SUM($X327)=0),"",SUM($Z327)/$X327)</f>
        <v>0.939333333333333</v>
      </c>
      <c r="AC327" s="10" t="n">
        <f aca="false">IF(LEFT($B327,4)="_Mil","",_xlfn.IFNA(ROUND(INDEX(Spectrum!$N:$N,MATCH(RIGHT($B327,13)&amp;"|"&amp;$C327&amp;"|"&amp;$D327&amp;"|"&amp;AC$14&amp;"|"&amp;"CY2023Q3",Spectrum!$R:$R,0)),0),""))</f>
        <v>1311</v>
      </c>
      <c r="AD327" s="10" t="str">
        <f aca="false">IF(LEFT($B327,4)="_Mil","",_xlfn.IFNA(ROUND(INDEX(Spectrum!$N:$N,MATCH(RIGHT($B327,13)&amp;"|"&amp;$C327&amp;"|"&amp;$D327&amp;"|"&amp;AD$14&amp;"|"&amp;"CY2023Q3",Spectrum!$R:$R,0)),0),""))</f>
        <v/>
      </c>
      <c r="AE327" s="88" t="n">
        <f aca="false">IF(OR(LEFT($B327,4)="_Mil",SUM($Z327)=0),"",SUM($AD327)/$Z327)</f>
        <v>0</v>
      </c>
      <c r="AF327" s="39" t="str">
        <f aca="false">IF(LEFT($B327,4)="_Mil","",_xlfn.IFNA(ROUND(INDEX(Spectrum!$N:$N,MATCH(RIGHT($B327,13)&amp;"|"&amp;$C327&amp;"|"&amp;$D327&amp;"|"&amp;AF$14&amp;"|"&amp;"CY2023Q3",Spectrum!$R:$R,0)),0),""))</f>
        <v/>
      </c>
      <c r="AG327" s="88" t="str">
        <f aca="false">IF(OR(LEFT($B327,4)="_Mil",SUM($AD327)=0),"",SUM($AF327)/$AD327)</f>
        <v/>
      </c>
      <c r="AH327" s="86" t="str">
        <f aca="false">IF(LEFT($B327,4)="_Mil","",_xlfn.IFNA(INDEX(Spectrum!$N:$N,MATCH(RIGHT($B327,13)&amp;"|"&amp;$C327&amp;"|"&amp;$D327&amp;"|"&amp;AH$14&amp;"|"&amp;"CY2023Q3",Spectrum!$R:$R,0)),""))</f>
        <v/>
      </c>
      <c r="AI327" s="10" t="str">
        <f aca="false">IF(LEFT($B327,4)="_Mil","",_xlfn.IFNA(ROUND(INDEX(Spectrum!$N:$N,MATCH(RIGHT($B327,13)&amp;"|"&amp;$C327&amp;"|"&amp;$D327&amp;"|"&amp;AI$14&amp;"|"&amp;"CY2023Q3",Spectrum!$R:$R,0)),0),""))</f>
        <v/>
      </c>
      <c r="AJ327" s="39" t="n">
        <f aca="false">IF(LEFT($B327,4)="_Mil","",_xlfn.IFNA(ROUND(INDEX(Spectrum!$N:$N,MATCH(RIGHT($B327,13)&amp;"|"&amp;$C327&amp;"|"&amp;$D327&amp;"|"&amp;AI$14&amp;"|"&amp;"CY2023Q3",Spectrum!$R:$R,0)),0),SUM($U327)+SUM($AI327)))</f>
        <v>0</v>
      </c>
      <c r="AK327" s="10" t="str">
        <f aca="false">IF(LEFT($B327,4)="_Mil","",_xlfn.IFNA(ROUND(INDEX(Spectrum!$N:$N,MATCH(RIGHT($B327,13)&amp;"|"&amp;$C327&amp;"|"&amp;$D327&amp;"|"&amp;AK$14&amp;"|"&amp;"CY2023Q3",Spectrum!$R:$R,0)),0),""))</f>
        <v/>
      </c>
      <c r="AL327" s="88" t="n">
        <f aca="false">IF(OR(LEFT($B327,4)="_Mil",$C327="&lt;01"),"",MAX(SUM($AA327),90%))</f>
        <v>1670</v>
      </c>
      <c r="AM327" s="10" t="n">
        <f aca="false">IF(OR(LEFT($B327,4)="_Mil",$C327="&lt;01"),"",ROUND(SUM($AJ327)*SUM($AL327),0))</f>
        <v>0</v>
      </c>
      <c r="AN327" s="10" t="str">
        <f aca="false">IF($C327="&lt;01",ROUND(INDEX(EID!$P:$P,MATCH($B327,EID!$B:$B,0))/2,0),"")</f>
        <v/>
      </c>
      <c r="AO327" s="10" t="n">
        <f aca="false">IF($C327="&lt;01",SUM($AN327),ROUND(SUM($AM327)*SUM($O327)/IF(SUM($Z327)=0,1,$Z327),0))</f>
        <v>0</v>
      </c>
      <c r="AP327" s="39" t="n">
        <f aca="false">IF(OR($F327="",$C327="&lt;01"),$AO327,$F327)</f>
        <v>0</v>
      </c>
      <c r="AQ327" s="39" t="n">
        <f aca="false">IF(LEFT($B327,4)="_Mil","",IF(SUM($AP327)=0,SUM($Z327),IF(OR(SUM($Z327)=0,SUM($O327)=0),MAX($AP327,$Z327),$AP327*$Z327/$O327)))</f>
        <v>1409</v>
      </c>
      <c r="AR327" s="88" t="str">
        <f aca="false">IF(OR(LEFT($B327,4)="_Mil",SUM($AJ327)=0),"",SUM($AQ327)/$AJ327)</f>
        <v/>
      </c>
      <c r="AS327" s="88" t="n">
        <f aca="false">IF($C327="&lt;01","",98%)</f>
        <v>0.98</v>
      </c>
      <c r="AT327" s="88" t="n">
        <f aca="false">IF($C327="&lt;01","",98%)</f>
        <v>0.98</v>
      </c>
      <c r="AU327" s="10" t="n">
        <f aca="false">IF($C327="&lt;01","",SUM($AP327)-SUM($O327))</f>
        <v>-724</v>
      </c>
      <c r="AV327" s="10" t="n">
        <f aca="false">IF($C327="&lt;01",ROUND(INDEX(EID!$N:$N,MATCH($B327,EID!$B:$B,0))/2,0),IF(SUM($AT327)=0,"",ROUND((SUM($AP327)-(SUM($O327)*SUM($AS327)))/$AT327,0)))</f>
        <v>-724</v>
      </c>
      <c r="AW327" s="88" t="n">
        <f aca="false">IF($C327="&lt;01","",100%)</f>
        <v>1</v>
      </c>
      <c r="AX327" s="39" t="n">
        <f aca="false">IF($C327="&lt;01",SUM($AV327),ROUND(SUM($AV327)*SUM($AW327),0))</f>
        <v>-724</v>
      </c>
      <c r="AY327" s="114" t="n">
        <f aca="false">IF($C327="&lt;01","",70%)</f>
        <v>0.7</v>
      </c>
      <c r="AZ327" s="91" t="n">
        <f aca="false">IF($C327="&lt;01",ROUND(INDEX(EID!$R:$R,MATCH($B327,EID!$B:$B,0))/2,0),ROUND(SUM($O327)+(SUM($AV327)*$AY327),0))</f>
        <v>217</v>
      </c>
      <c r="BA327" s="87" t="n">
        <f aca="false">IF($C327="&lt;01","",95%)</f>
        <v>0.95</v>
      </c>
      <c r="BB327" s="5" t="n">
        <f aca="false">IF($C327="&lt;01",ROUND(INDEX(EID!$T:$T,MATCH($B327,EID!$B:$B,0))/2,0),ROUND($AZ327*$BA327,0))</f>
        <v>206</v>
      </c>
      <c r="BC327" s="91" t="n">
        <f aca="false">IF(LEFT($B327,4)="_Mil","",IF(SUM($BB327)=0,SUM($AD327),IF(OR(SUM($AP327)=0,SUM($AQ327)=0),MAX($BB327,$AD327),ROUND($BB327*$AQ327/$AP327,0))))</f>
        <v>206</v>
      </c>
      <c r="BD327" s="88" t="n">
        <f aca="false">IF($C327="&lt;01","",95%)</f>
        <v>0.95</v>
      </c>
      <c r="BE327" s="39" t="n">
        <f aca="false">IF($C327="&lt;01",ROUND(INDEX(EID!$V:$V,MATCH($B327,EID!$B:$B,0))/2,0),ROUND($BD327*$BB327,0))</f>
        <v>196</v>
      </c>
      <c r="BF327" s="39" t="n">
        <f aca="false">IF(LEFT($B327,4)="_Mil","",IF(SUM($BE327)=0,SUM($AF327),IF(OR(SUM($AP327)=0,SUM($AQ327)=0),MAX($BE327,$AF327),ROUND($BE327*$AQ327/$AP327,0))))</f>
        <v>196</v>
      </c>
      <c r="BG327" s="114" t="n">
        <f aca="false">IF($C327="&lt;01","",95%)</f>
        <v>0.95</v>
      </c>
      <c r="BH327" s="5" t="n">
        <f aca="false">IF($C327="&lt;01",ROUND(INDEX(EID!$L:$L,MATCH($B327,EID!$B:$B,0)),0)/2,IF(SUM($BG327)=0,"",ROUND($AX327/$BG327,0)))</f>
        <v>-762</v>
      </c>
    </row>
    <row r="328" customFormat="false" ht="15" hidden="false" customHeight="false" outlineLevel="0" collapsed="false">
      <c r="A328" s="0" t="str">
        <f aca="false">INDEX(Prioritization!$D:$D,MATCH($B328,Prioritization!$A:$A,0))</f>
        <v>INVALID</v>
      </c>
      <c r="B328" s="0" t="s">
        <v>216</v>
      </c>
      <c r="C328" s="0" t="s">
        <v>364</v>
      </c>
      <c r="D328" s="0" t="s">
        <v>48</v>
      </c>
      <c r="E328" s="0" t="str">
        <f aca="false">$B328&amp;"|"&amp;$C328&amp;"|"&amp;$D328</f>
        <v>Mulanje District [umc2n1Z4wNv]|10-14|Male</v>
      </c>
      <c r="F328" s="10"/>
      <c r="G328" s="10" t="n">
        <v>3</v>
      </c>
      <c r="H328" s="10" t="n">
        <v>2</v>
      </c>
      <c r="I328" s="10" t="n">
        <v>89</v>
      </c>
      <c r="J328" s="10" t="n">
        <v>80</v>
      </c>
      <c r="K328" s="10" t="n">
        <v>49</v>
      </c>
      <c r="L328" s="10" t="n">
        <v>52</v>
      </c>
      <c r="M328" s="10" t="n">
        <v>34</v>
      </c>
      <c r="N328" s="10" t="n">
        <v>17</v>
      </c>
      <c r="O328" s="10" t="n">
        <f aca="false">IFERROR(1/(1/MAX($I328,$N328)),"")</f>
        <v>89</v>
      </c>
      <c r="P328" s="10" t="n">
        <v>42</v>
      </c>
      <c r="Q328" s="10" t="n">
        <v>46</v>
      </c>
      <c r="R328" s="10" t="n">
        <f aca="false">IF(AND(SUM($I328)=0,SUM($O328)=0),"",SUM($O328)-$I328)</f>
        <v>0</v>
      </c>
      <c r="S328" s="10" t="n">
        <f aca="false">IF(LEFT($B328,4)="_Mil","",_xlfn.IFNA(ROUND(INDEX(Spectrum!$N:$N,MATCH(RIGHT($B328,13)&amp;"|"&amp;$C328&amp;"|"&amp;$D328&amp;"|"&amp;S$14&amp;"|"&amp;"CY2022Q4",Spectrum!$R:$R,0)),0),""))</f>
        <v>1586</v>
      </c>
      <c r="T328" s="39" t="n">
        <f aca="false">IF(LEFT($B328,4)="_Mil","",_xlfn.IFNA(ROUND(INDEX(Spectrum!$N:$N,MATCH(RIGHT($B328,13)&amp;"|"&amp;$C328&amp;"|"&amp;$D328&amp;"|"&amp;T$14&amp;"|"&amp;"CY2023Q3",Spectrum!$R:$R,0)),0),""))</f>
        <v>1053</v>
      </c>
      <c r="U328" s="39" t="str">
        <f aca="false">IF(LEFT($B328,4)="_Mil","",_xlfn.IFNA(ROUND(INDEX(Spectrum!$N:$N,MATCH(RIGHT($B328,13)&amp;"|"&amp;$C328&amp;"|"&amp;$D328&amp;"|"&amp;U$14&amp;"|"&amp;"CY2023Q3",Spectrum!$R:$R,0)),0),""))</f>
        <v/>
      </c>
      <c r="V328" s="10" t="n">
        <f aca="false">IF(LEFT($B328,4)="_Mil","",_xlfn.IFNA(ROUND(INDEX(Spectrum!$N:$N,MATCH(RIGHT($B328,13)&amp;"|"&amp;$C328&amp;"|"&amp;$D328&amp;"|"&amp;V$14&amp;"|"&amp;"CY2023Q3",Spectrum!$R:$R,0)),0),""))</f>
        <v>1910</v>
      </c>
      <c r="W328" s="113" t="n">
        <f aca="false">IF(LEFT($B328,4)="_Mil","",_xlfn.IFNA(INDEX(Spectrum!$N:$N,MATCH(RIGHT($B328,13)&amp;"|"&amp;$C328&amp;"|"&amp;$D328&amp;"|"&amp;W$14&amp;"|"&amp;"CY2023Q3",Spectrum!$R:$R,0)),""))</f>
        <v>1755</v>
      </c>
      <c r="X328" s="39" t="n">
        <f aca="false">IF(LEFT($B328,4)="_Mil","",_xlfn.IFNA(ROUND(INDEX(Spectrum!$N:$N,MATCH(RIGHT($B328,13)&amp;"|"&amp;$C328&amp;"|"&amp;$D328&amp;"|"&amp;X$14&amp;"|"&amp;"CY2023Q3",Spectrum!$R:$R,0)),0),""))</f>
        <v>1698</v>
      </c>
      <c r="Y328" s="88" t="str">
        <f aca="false">IF(OR(SUM($U328)=0,LEFT($B328,4)="_Mil"),"",SUM($X328)/$U328)</f>
        <v/>
      </c>
      <c r="Z328" s="39" t="n">
        <f aca="false">IF(LEFT($B328,4)="_Mil","",_xlfn.IFNA(ROUND(INDEX(Spectrum!$N:$N,MATCH(RIGHT($B328,13)&amp;"|"&amp;$C328&amp;"|"&amp;$D328&amp;"|"&amp;Z$14&amp;"|"&amp;"CY2023Q3",Spectrum!$R:$R,0)),0),""))</f>
        <v>626</v>
      </c>
      <c r="AA328" s="88" t="n">
        <f aca="false">IF(LEFT($B328,4)="_Mil","",IFERROR(1/(1/INDEX(Spectrum!$N:$N,MATCH(RIGHT($B328,13)&amp;"|"&amp;$C328&amp;"|"&amp;$D328&amp;"|"&amp;AA$14&amp;"|"&amp;"CY2023Q3",Spectrum!$R:$R,0))),IF(SUM($U328)=0,"",SUM($Z328)/$U328)))</f>
        <v>692</v>
      </c>
      <c r="AB328" s="88" t="n">
        <f aca="false">IF(OR(LEFT($B328,4)="_Mil",SUM($X328)=0),"",SUM($Z328)/$X328)</f>
        <v>0.36866902237927</v>
      </c>
      <c r="AC328" s="10" t="n">
        <f aca="false">IF(LEFT($B328,4)="_Mil","",_xlfn.IFNA(ROUND(INDEX(Spectrum!$N:$N,MATCH(RIGHT($B328,13)&amp;"|"&amp;$C328&amp;"|"&amp;$D328&amp;"|"&amp;AC$14&amp;"|"&amp;"CY2023Q3",Spectrum!$R:$R,0)),0),""))</f>
        <v>1337</v>
      </c>
      <c r="AD328" s="10" t="str">
        <f aca="false">IF(LEFT($B328,4)="_Mil","",_xlfn.IFNA(ROUND(INDEX(Spectrum!$N:$N,MATCH(RIGHT($B328,13)&amp;"|"&amp;$C328&amp;"|"&amp;$D328&amp;"|"&amp;AD$14&amp;"|"&amp;"CY2023Q3",Spectrum!$R:$R,0)),0),""))</f>
        <v/>
      </c>
      <c r="AE328" s="88" t="n">
        <f aca="false">IF(OR(LEFT($B328,4)="_Mil",SUM($Z328)=0),"",SUM($AD328)/$Z328)</f>
        <v>0</v>
      </c>
      <c r="AF328" s="39" t="str">
        <f aca="false">IF(LEFT($B328,4)="_Mil","",_xlfn.IFNA(ROUND(INDEX(Spectrum!$N:$N,MATCH(RIGHT($B328,13)&amp;"|"&amp;$C328&amp;"|"&amp;$D328&amp;"|"&amp;AF$14&amp;"|"&amp;"CY2023Q3",Spectrum!$R:$R,0)),0),""))</f>
        <v/>
      </c>
      <c r="AG328" s="88" t="str">
        <f aca="false">IF(OR(LEFT($B328,4)="_Mil",SUM($AD328)=0),"",SUM($AF328)/$AD328)</f>
        <v/>
      </c>
      <c r="AH328" s="86" t="str">
        <f aca="false">IF(LEFT($B328,4)="_Mil","",_xlfn.IFNA(INDEX(Spectrum!$N:$N,MATCH(RIGHT($B328,13)&amp;"|"&amp;$C328&amp;"|"&amp;$D328&amp;"|"&amp;AH$14&amp;"|"&amp;"CY2023Q3",Spectrum!$R:$R,0)),""))</f>
        <v/>
      </c>
      <c r="AI328" s="10" t="str">
        <f aca="false">IF(LEFT($B328,4)="_Mil","",_xlfn.IFNA(ROUND(INDEX(Spectrum!$N:$N,MATCH(RIGHT($B328,13)&amp;"|"&amp;$C328&amp;"|"&amp;$D328&amp;"|"&amp;AI$14&amp;"|"&amp;"CY2023Q3",Spectrum!$R:$R,0)),0),""))</f>
        <v/>
      </c>
      <c r="AJ328" s="39" t="n">
        <f aca="false">IF(LEFT($B328,4)="_Mil","",_xlfn.IFNA(ROUND(INDEX(Spectrum!$N:$N,MATCH(RIGHT($B328,13)&amp;"|"&amp;$C328&amp;"|"&amp;$D328&amp;"|"&amp;AI$14&amp;"|"&amp;"CY2023Q3",Spectrum!$R:$R,0)),0),SUM($U328)+SUM($AI328)))</f>
        <v>0</v>
      </c>
      <c r="AK328" s="10" t="str">
        <f aca="false">IF(LEFT($B328,4)="_Mil","",_xlfn.IFNA(ROUND(INDEX(Spectrum!$N:$N,MATCH(RIGHT($B328,13)&amp;"|"&amp;$C328&amp;"|"&amp;$D328&amp;"|"&amp;AK$14&amp;"|"&amp;"CY2023Q3",Spectrum!$R:$R,0)),0),""))</f>
        <v/>
      </c>
      <c r="AL328" s="88" t="n">
        <f aca="false">IF(OR(LEFT($B328,4)="_Mil",$C328="&lt;01"),"",MAX(SUM($AA328),90%))</f>
        <v>692</v>
      </c>
      <c r="AM328" s="10" t="n">
        <f aca="false">IF(OR(LEFT($B328,4)="_Mil",$C328="&lt;01"),"",ROUND(SUM($AJ328)*SUM($AL328),0))</f>
        <v>0</v>
      </c>
      <c r="AN328" s="10" t="str">
        <f aca="false">IF($C328="&lt;01",ROUND(INDEX(EID!$P:$P,MATCH($B328,EID!$B:$B,0))/2,0),"")</f>
        <v/>
      </c>
      <c r="AO328" s="10" t="n">
        <f aca="false">IF($C328="&lt;01",SUM($AN328),ROUND(SUM($AM328)*SUM($O328)/IF(SUM($Z328)=0,1,$Z328),0))</f>
        <v>0</v>
      </c>
      <c r="AP328" s="39" t="n">
        <f aca="false">IF(OR($F328="",$C328="&lt;01"),$AO328,$F328)</f>
        <v>0</v>
      </c>
      <c r="AQ328" s="39" t="n">
        <f aca="false">IF(LEFT($B328,4)="_Mil","",IF(SUM($AP328)=0,SUM($Z328),IF(OR(SUM($Z328)=0,SUM($O328)=0),MAX($AP328,$Z328),$AP328*$Z328/$O328)))</f>
        <v>626</v>
      </c>
      <c r="AR328" s="88" t="str">
        <f aca="false">IF(OR(LEFT($B328,4)="_Mil",SUM($AJ328)=0),"",SUM($AQ328)/$AJ328)</f>
        <v/>
      </c>
      <c r="AS328" s="88" t="n">
        <f aca="false">IF($C328="&lt;01","",98%)</f>
        <v>0.98</v>
      </c>
      <c r="AT328" s="88" t="n">
        <f aca="false">IF($C328="&lt;01","",98%)</f>
        <v>0.98</v>
      </c>
      <c r="AU328" s="10" t="n">
        <f aca="false">IF($C328="&lt;01","",SUM($AP328)-SUM($O328))</f>
        <v>-89</v>
      </c>
      <c r="AV328" s="10" t="n">
        <f aca="false">IF($C328="&lt;01",ROUND(INDEX(EID!$N:$N,MATCH($B328,EID!$B:$B,0))/2,0),IF(SUM($AT328)=0,"",ROUND((SUM($AP328)-(SUM($O328)*SUM($AS328)))/$AT328,0)))</f>
        <v>-89</v>
      </c>
      <c r="AW328" s="88" t="n">
        <f aca="false">IF($C328="&lt;01","",100%)</f>
        <v>1</v>
      </c>
      <c r="AX328" s="39" t="n">
        <f aca="false">IF($C328="&lt;01",SUM($AV328),ROUND(SUM($AV328)*SUM($AW328),0))</f>
        <v>-89</v>
      </c>
      <c r="AY328" s="114" t="n">
        <f aca="false">IF($C328="&lt;01","",70%)</f>
        <v>0.7</v>
      </c>
      <c r="AZ328" s="91" t="n">
        <f aca="false">IF($C328="&lt;01",ROUND(INDEX(EID!$R:$R,MATCH($B328,EID!$B:$B,0))/2,0),ROUND(SUM($O328)+(SUM($AV328)*$AY328),0))</f>
        <v>27</v>
      </c>
      <c r="BA328" s="87" t="n">
        <f aca="false">IF($C328="&lt;01","",95%)</f>
        <v>0.95</v>
      </c>
      <c r="BB328" s="5" t="n">
        <f aca="false">IF($C328="&lt;01",ROUND(INDEX(EID!$T:$T,MATCH($B328,EID!$B:$B,0))/2,0),ROUND($AZ328*$BA328,0))</f>
        <v>26</v>
      </c>
      <c r="BC328" s="91" t="n">
        <f aca="false">IF(LEFT($B328,4)="_Mil","",IF(SUM($BB328)=0,SUM($AD328),IF(OR(SUM($AP328)=0,SUM($AQ328)=0),MAX($BB328,$AD328),ROUND($BB328*$AQ328/$AP328,0))))</f>
        <v>26</v>
      </c>
      <c r="BD328" s="88" t="n">
        <f aca="false">IF($C328="&lt;01","",95%)</f>
        <v>0.95</v>
      </c>
      <c r="BE328" s="39" t="n">
        <f aca="false">IF($C328="&lt;01",ROUND(INDEX(EID!$V:$V,MATCH($B328,EID!$B:$B,0))/2,0),ROUND($BD328*$BB328,0))</f>
        <v>25</v>
      </c>
      <c r="BF328" s="39" t="n">
        <f aca="false">IF(LEFT($B328,4)="_Mil","",IF(SUM($BE328)=0,SUM($AF328),IF(OR(SUM($AP328)=0,SUM($AQ328)=0),MAX($BE328,$AF328),ROUND($BE328*$AQ328/$AP328,0))))</f>
        <v>25</v>
      </c>
      <c r="BG328" s="114" t="n">
        <f aca="false">IF($C328="&lt;01","",95%)</f>
        <v>0.95</v>
      </c>
      <c r="BH328" s="5" t="n">
        <f aca="false">IF($C328="&lt;01",ROUND(INDEX(EID!$L:$L,MATCH($B328,EID!$B:$B,0)),0)/2,IF(SUM($BG328)=0,"",ROUND($AX328/$BG328,0)))</f>
        <v>-94</v>
      </c>
    </row>
    <row r="329" customFormat="false" ht="15" hidden="false" customHeight="false" outlineLevel="0" collapsed="false">
      <c r="A329" s="0" t="str">
        <f aca="false">INDEX(Prioritization!$D:$D,MATCH($B329,Prioritization!$A:$A,0))</f>
        <v>INVALID</v>
      </c>
      <c r="B329" s="0" t="s">
        <v>216</v>
      </c>
      <c r="C329" s="0" t="s">
        <v>365</v>
      </c>
      <c r="D329" s="0" t="s">
        <v>30</v>
      </c>
      <c r="E329" s="0" t="str">
        <f aca="false">$B329&amp;"|"&amp;$C329&amp;"|"&amp;$D329</f>
        <v>Mulanje District [umc2n1Z4wNv]|15-24|Female</v>
      </c>
      <c r="F329" s="10"/>
      <c r="G329" s="10"/>
      <c r="H329" s="10"/>
      <c r="I329" s="10"/>
      <c r="J329" s="10"/>
      <c r="K329" s="10"/>
      <c r="L329" s="10"/>
      <c r="M329" s="10"/>
      <c r="N329" s="10"/>
      <c r="O329" s="10" t="str">
        <f aca="false">IFERROR(1/(1/MAX($I329,$N329)),"")</f>
        <v/>
      </c>
      <c r="P329" s="10"/>
      <c r="Q329" s="10"/>
      <c r="R329" s="10" t="str">
        <f aca="false">IF(AND(SUM($I329)=0,SUM($O329)=0),"",SUM($O329)-$I329)</f>
        <v/>
      </c>
      <c r="S329" s="10" t="n">
        <f aca="false">IF(LEFT($B329,4)="_Mil","",_xlfn.IFNA(ROUND(INDEX(Spectrum!$N:$N,MATCH(RIGHT($B329,13)&amp;"|"&amp;$C329&amp;"|"&amp;$D329&amp;"|"&amp;S$14&amp;"|"&amp;"CY2022Q4",Spectrum!$R:$R,0)),0),""))</f>
        <v>791</v>
      </c>
      <c r="T329" s="39" t="n">
        <f aca="false">IF(LEFT($B329,4)="_Mil","",_xlfn.IFNA(ROUND(INDEX(Spectrum!$N:$N,MATCH(RIGHT($B329,13)&amp;"|"&amp;$C329&amp;"|"&amp;$D329&amp;"|"&amp;T$14&amp;"|"&amp;"CY2023Q3",Spectrum!$R:$R,0)),0),""))</f>
        <v>1061</v>
      </c>
      <c r="U329" s="39" t="str">
        <f aca="false">IF(LEFT($B329,4)="_Mil","",_xlfn.IFNA(ROUND(INDEX(Spectrum!$N:$N,MATCH(RIGHT($B329,13)&amp;"|"&amp;$C329&amp;"|"&amp;$D329&amp;"|"&amp;U$14&amp;"|"&amp;"CY2023Q3",Spectrum!$R:$R,0)),0),""))</f>
        <v/>
      </c>
      <c r="V329" s="10" t="n">
        <f aca="false">IF(LEFT($B329,4)="_Mil","",_xlfn.IFNA(ROUND(INDEX(Spectrum!$N:$N,MATCH(RIGHT($B329,13)&amp;"|"&amp;$C329&amp;"|"&amp;$D329&amp;"|"&amp;V$14&amp;"|"&amp;"CY2023Q3",Spectrum!$R:$R,0)),0),""))</f>
        <v>724</v>
      </c>
      <c r="W329" s="113" t="n">
        <f aca="false">IF(LEFT($B329,4)="_Mil","",_xlfn.IFNA(INDEX(Spectrum!$N:$N,MATCH(RIGHT($B329,13)&amp;"|"&amp;$C329&amp;"|"&amp;$D329&amp;"|"&amp;W$14&amp;"|"&amp;"CY2023Q3",Spectrum!$R:$R,0)),""))</f>
        <v>1930</v>
      </c>
      <c r="X329" s="39" t="n">
        <f aca="false">IF(LEFT($B329,4)="_Mil","",_xlfn.IFNA(ROUND(INDEX(Spectrum!$N:$N,MATCH(RIGHT($B329,13)&amp;"|"&amp;$C329&amp;"|"&amp;$D329&amp;"|"&amp;X$14&amp;"|"&amp;"CY2023Q3",Spectrum!$R:$R,0)),0),""))</f>
        <v>1142</v>
      </c>
      <c r="Y329" s="88" t="str">
        <f aca="false">IF(OR(SUM($U329)=0,LEFT($B329,4)="_Mil"),"",SUM($X329)/$U329)</f>
        <v/>
      </c>
      <c r="Z329" s="39" t="n">
        <f aca="false">IF(LEFT($B329,4)="_Mil","",_xlfn.IFNA(ROUND(INDEX(Spectrum!$N:$N,MATCH(RIGHT($B329,13)&amp;"|"&amp;$C329&amp;"|"&amp;$D329&amp;"|"&amp;Z$14&amp;"|"&amp;"CY2023Q3",Spectrum!$R:$R,0)),0),""))</f>
        <v>1745</v>
      </c>
      <c r="AA329" s="88" t="n">
        <f aca="false">IF(LEFT($B329,4)="_Mil","",IFERROR(1/(1/INDEX(Spectrum!$N:$N,MATCH(RIGHT($B329,13)&amp;"|"&amp;$C329&amp;"|"&amp;$D329&amp;"|"&amp;AA$14&amp;"|"&amp;"CY2023Q3",Spectrum!$R:$R,0))),IF(SUM($U329)=0,"",SUM($Z329)/$U329)))</f>
        <v>1660</v>
      </c>
      <c r="AB329" s="88" t="n">
        <f aca="false">IF(OR(LEFT($B329,4)="_Mil",SUM($X329)=0),"",SUM($Z329)/$X329)</f>
        <v>1.52802101576182</v>
      </c>
      <c r="AC329" s="10" t="n">
        <f aca="false">IF(LEFT($B329,4)="_Mil","",_xlfn.IFNA(ROUND(INDEX(Spectrum!$N:$N,MATCH(RIGHT($B329,13)&amp;"|"&amp;$C329&amp;"|"&amp;$D329&amp;"|"&amp;AC$14&amp;"|"&amp;"CY2023Q3",Spectrum!$R:$R,0)),0),""))</f>
        <v>540</v>
      </c>
      <c r="AD329" s="10" t="str">
        <f aca="false">IF(LEFT($B329,4)="_Mil","",_xlfn.IFNA(ROUND(INDEX(Spectrum!$N:$N,MATCH(RIGHT($B329,13)&amp;"|"&amp;$C329&amp;"|"&amp;$D329&amp;"|"&amp;AD$14&amp;"|"&amp;"CY2023Q3",Spectrum!$R:$R,0)),0),""))</f>
        <v/>
      </c>
      <c r="AE329" s="88" t="n">
        <f aca="false">IF(OR(LEFT($B329,4)="_Mil",SUM($Z329)=0),"",SUM($AD329)/$Z329)</f>
        <v>0</v>
      </c>
      <c r="AF329" s="39" t="str">
        <f aca="false">IF(LEFT($B329,4)="_Mil","",_xlfn.IFNA(ROUND(INDEX(Spectrum!$N:$N,MATCH(RIGHT($B329,13)&amp;"|"&amp;$C329&amp;"|"&amp;$D329&amp;"|"&amp;AF$14&amp;"|"&amp;"CY2023Q3",Spectrum!$R:$R,0)),0),""))</f>
        <v/>
      </c>
      <c r="AG329" s="88" t="str">
        <f aca="false">IF(OR(LEFT($B329,4)="_Mil",SUM($AD329)=0),"",SUM($AF329)/$AD329)</f>
        <v/>
      </c>
      <c r="AH329" s="86" t="str">
        <f aca="false">IF(LEFT($B329,4)="_Mil","",_xlfn.IFNA(INDEX(Spectrum!$N:$N,MATCH(RIGHT($B329,13)&amp;"|"&amp;$C329&amp;"|"&amp;$D329&amp;"|"&amp;AH$14&amp;"|"&amp;"CY2023Q3",Spectrum!$R:$R,0)),""))</f>
        <v/>
      </c>
      <c r="AI329" s="10" t="str">
        <f aca="false">IF(LEFT($B329,4)="_Mil","",_xlfn.IFNA(ROUND(INDEX(Spectrum!$N:$N,MATCH(RIGHT($B329,13)&amp;"|"&amp;$C329&amp;"|"&amp;$D329&amp;"|"&amp;AI$14&amp;"|"&amp;"CY2023Q3",Spectrum!$R:$R,0)),0),""))</f>
        <v/>
      </c>
      <c r="AJ329" s="39" t="n">
        <f aca="false">IF(LEFT($B329,4)="_Mil","",_xlfn.IFNA(ROUND(INDEX(Spectrum!$N:$N,MATCH(RIGHT($B329,13)&amp;"|"&amp;$C329&amp;"|"&amp;$D329&amp;"|"&amp;AI$14&amp;"|"&amp;"CY2023Q3",Spectrum!$R:$R,0)),0),SUM($U329)+SUM($AI329)))</f>
        <v>0</v>
      </c>
      <c r="AK329" s="10" t="str">
        <f aca="false">IF(LEFT($B329,4)="_Mil","",_xlfn.IFNA(ROUND(INDEX(Spectrum!$N:$N,MATCH(RIGHT($B329,13)&amp;"|"&amp;$C329&amp;"|"&amp;$D329&amp;"|"&amp;AK$14&amp;"|"&amp;"CY2023Q3",Spectrum!$R:$R,0)),0),""))</f>
        <v/>
      </c>
      <c r="AL329" s="88" t="n">
        <f aca="false">IF(OR(LEFT($B329,4)="_Mil",$C329="&lt;01"),"",MAX(SUM($AA329),90%))</f>
        <v>1660</v>
      </c>
      <c r="AM329" s="10" t="n">
        <f aca="false">IF(OR(LEFT($B329,4)="_Mil",$C329="&lt;01"),"",ROUND(SUM($AJ329)*SUM($AL329),0))</f>
        <v>0</v>
      </c>
      <c r="AN329" s="10" t="str">
        <f aca="false">IF($C329="&lt;01",ROUND(INDEX(EID!$P:$P,MATCH($B329,EID!$B:$B,0))/2,0),"")</f>
        <v/>
      </c>
      <c r="AO329" s="10" t="n">
        <f aca="false">IF($C329="&lt;01",SUM($AN329),ROUND(SUM($AM329)*SUM($O329)/IF(SUM($Z329)=0,1,$Z329),0))</f>
        <v>0</v>
      </c>
      <c r="AP329" s="39" t="n">
        <f aca="false">IF(OR($F329="",$C329="&lt;01"),$AO329,$F329)</f>
        <v>0</v>
      </c>
      <c r="AQ329" s="39" t="n">
        <f aca="false">IF(LEFT($B329,4)="_Mil","",IF(SUM($AP329)=0,SUM($Z329),IF(OR(SUM($Z329)=0,SUM($O329)=0),MAX($AP329,$Z329),$AP329*$Z329/$O329)))</f>
        <v>1745</v>
      </c>
      <c r="AR329" s="88" t="str">
        <f aca="false">IF(OR(LEFT($B329,4)="_Mil",SUM($AJ329)=0),"",SUM($AQ329)/$AJ329)</f>
        <v/>
      </c>
      <c r="AS329" s="88" t="n">
        <f aca="false">IF($C329="&lt;01","",98%)</f>
        <v>0.98</v>
      </c>
      <c r="AT329" s="88" t="n">
        <f aca="false">IF($C329="&lt;01","",98%)</f>
        <v>0.98</v>
      </c>
      <c r="AU329" s="10" t="n">
        <f aca="false">IF($C329="&lt;01","",SUM($AP329)-SUM($O329))</f>
        <v>0</v>
      </c>
      <c r="AV329" s="10" t="n">
        <f aca="false">IF($C329="&lt;01",ROUND(INDEX(EID!$N:$N,MATCH($B329,EID!$B:$B,0))/2,0),IF(SUM($AT329)=0,"",ROUND((SUM($AP329)-(SUM($O329)*SUM($AS329)))/$AT329,0)))</f>
        <v>0</v>
      </c>
      <c r="AW329" s="88" t="n">
        <f aca="false">IF($C329="&lt;01","",100%)</f>
        <v>1</v>
      </c>
      <c r="AX329" s="39" t="n">
        <f aca="false">IF($C329="&lt;01",SUM($AV329),ROUND(SUM($AV329)*SUM($AW329),0))</f>
        <v>0</v>
      </c>
      <c r="AY329" s="114" t="n">
        <f aca="false">IF($C329="&lt;01","",70%)</f>
        <v>0.7</v>
      </c>
      <c r="AZ329" s="91" t="n">
        <f aca="false">IF($C329="&lt;01",ROUND(INDEX(EID!$R:$R,MATCH($B329,EID!$B:$B,0))/2,0),ROUND(SUM($O329)+(SUM($AV329)*$AY329),0))</f>
        <v>0</v>
      </c>
      <c r="BA329" s="87" t="n">
        <f aca="false">IF($C329="&lt;01","",95%)</f>
        <v>0.95</v>
      </c>
      <c r="BB329" s="5" t="n">
        <f aca="false">IF($C329="&lt;01",ROUND(INDEX(EID!$T:$T,MATCH($B329,EID!$B:$B,0))/2,0),ROUND($AZ329*$BA329,0))</f>
        <v>0</v>
      </c>
      <c r="BC329" s="91" t="n">
        <f aca="false">IF(LEFT($B329,4)="_Mil","",IF(SUM($BB329)=0,SUM($AD329),IF(OR(SUM($AP329)=0,SUM($AQ329)=0),MAX($BB329,$AD329),ROUND($BB329*$AQ329/$AP329,0))))</f>
        <v>0</v>
      </c>
      <c r="BD329" s="88" t="n">
        <f aca="false">IF($C329="&lt;01","",95%)</f>
        <v>0.95</v>
      </c>
      <c r="BE329" s="39" t="n">
        <f aca="false">IF($C329="&lt;01",ROUND(INDEX(EID!$V:$V,MATCH($B329,EID!$B:$B,0))/2,0),ROUND($BD329*$BB329,0))</f>
        <v>0</v>
      </c>
      <c r="BF329" s="39" t="n">
        <f aca="false">IF(LEFT($B329,4)="_Mil","",IF(SUM($BE329)=0,SUM($AF329),IF(OR(SUM($AP329)=0,SUM($AQ329)=0),MAX($BE329,$AF329),ROUND($BE329*$AQ329/$AP329,0))))</f>
        <v>0</v>
      </c>
      <c r="BG329" s="114" t="n">
        <f aca="false">IF($C329="&lt;01","",95%)</f>
        <v>0.95</v>
      </c>
      <c r="BH329" s="5" t="n">
        <f aca="false">IF($C329="&lt;01",ROUND(INDEX(EID!$L:$L,MATCH($B329,EID!$B:$B,0)),0)/2,IF(SUM($BG329)=0,"",ROUND($AX329/$BG329,0)))</f>
        <v>0</v>
      </c>
    </row>
    <row r="330" customFormat="false" ht="15" hidden="false" customHeight="false" outlineLevel="0" collapsed="false">
      <c r="A330" s="0" t="str">
        <f aca="false">INDEX(Prioritization!$D:$D,MATCH($B330,Prioritization!$A:$A,0))</f>
        <v>INVALID</v>
      </c>
      <c r="B330" s="0" t="s">
        <v>216</v>
      </c>
      <c r="C330" s="0" t="s">
        <v>365</v>
      </c>
      <c r="D330" s="0" t="s">
        <v>48</v>
      </c>
      <c r="E330" s="0" t="str">
        <f aca="false">$B330&amp;"|"&amp;$C330&amp;"|"&amp;$D330</f>
        <v>Mulanje District [umc2n1Z4wNv]|15-24|Male</v>
      </c>
      <c r="F330" s="10"/>
      <c r="G330" s="10"/>
      <c r="H330" s="10"/>
      <c r="I330" s="10"/>
      <c r="J330" s="10"/>
      <c r="K330" s="10"/>
      <c r="L330" s="10"/>
      <c r="M330" s="10"/>
      <c r="N330" s="10"/>
      <c r="O330" s="10" t="str">
        <f aca="false">IFERROR(1/(1/MAX($I330,$N330)),"")</f>
        <v/>
      </c>
      <c r="P330" s="10"/>
      <c r="Q330" s="10"/>
      <c r="R330" s="10" t="str">
        <f aca="false">IF(AND(SUM($I330)=0,SUM($O330)=0),"",SUM($O330)-$I330)</f>
        <v/>
      </c>
      <c r="S330" s="10" t="n">
        <f aca="false">IF(LEFT($B330,4)="_Mil","",_xlfn.IFNA(ROUND(INDEX(Spectrum!$N:$N,MATCH(RIGHT($B330,13)&amp;"|"&amp;$C330&amp;"|"&amp;$D330&amp;"|"&amp;S$14&amp;"|"&amp;"CY2022Q4",Spectrum!$R:$R,0)),0),""))</f>
        <v>1049</v>
      </c>
      <c r="T330" s="39" t="n">
        <f aca="false">IF(LEFT($B330,4)="_Mil","",_xlfn.IFNA(ROUND(INDEX(Spectrum!$N:$N,MATCH(RIGHT($B330,13)&amp;"|"&amp;$C330&amp;"|"&amp;$D330&amp;"|"&amp;T$14&amp;"|"&amp;"CY2023Q3",Spectrum!$R:$R,0)),0),""))</f>
        <v>1226</v>
      </c>
      <c r="U330" s="39" t="str">
        <f aca="false">IF(LEFT($B330,4)="_Mil","",_xlfn.IFNA(ROUND(INDEX(Spectrum!$N:$N,MATCH(RIGHT($B330,13)&amp;"|"&amp;$C330&amp;"|"&amp;$D330&amp;"|"&amp;U$14&amp;"|"&amp;"CY2023Q3",Spectrum!$R:$R,0)),0),""))</f>
        <v/>
      </c>
      <c r="V330" s="10" t="n">
        <f aca="false">IF(LEFT($B330,4)="_Mil","",_xlfn.IFNA(ROUND(INDEX(Spectrum!$N:$N,MATCH(RIGHT($B330,13)&amp;"|"&amp;$C330&amp;"|"&amp;$D330&amp;"|"&amp;V$14&amp;"|"&amp;"CY2023Q3",Spectrum!$R:$R,0)),0),""))</f>
        <v>1137</v>
      </c>
      <c r="W330" s="113" t="n">
        <f aca="false">IF(LEFT($B330,4)="_Mil","",_xlfn.IFNA(INDEX(Spectrum!$N:$N,MATCH(RIGHT($B330,13)&amp;"|"&amp;$C330&amp;"|"&amp;$D330&amp;"|"&amp;W$14&amp;"|"&amp;"CY2023Q3",Spectrum!$R:$R,0)),""))</f>
        <v>1543</v>
      </c>
      <c r="X330" s="39" t="n">
        <f aca="false">IF(LEFT($B330,4)="_Mil","",_xlfn.IFNA(ROUND(INDEX(Spectrum!$N:$N,MATCH(RIGHT($B330,13)&amp;"|"&amp;$C330&amp;"|"&amp;$D330&amp;"|"&amp;X$14&amp;"|"&amp;"CY2023Q3",Spectrum!$R:$R,0)),0),""))</f>
        <v>1612</v>
      </c>
      <c r="Y330" s="88" t="str">
        <f aca="false">IF(OR(SUM($U330)=0,LEFT($B330,4)="_Mil"),"",SUM($X330)/$U330)</f>
        <v/>
      </c>
      <c r="Z330" s="39" t="n">
        <f aca="false">IF(LEFT($B330,4)="_Mil","",_xlfn.IFNA(ROUND(INDEX(Spectrum!$N:$N,MATCH(RIGHT($B330,13)&amp;"|"&amp;$C330&amp;"|"&amp;$D330&amp;"|"&amp;Z$14&amp;"|"&amp;"CY2023Q3",Spectrum!$R:$R,0)),0),""))</f>
        <v>1431</v>
      </c>
      <c r="AA330" s="88" t="n">
        <f aca="false">IF(LEFT($B330,4)="_Mil","",IFERROR(1/(1/INDEX(Spectrum!$N:$N,MATCH(RIGHT($B330,13)&amp;"|"&amp;$C330&amp;"|"&amp;$D330&amp;"|"&amp;AA$14&amp;"|"&amp;"CY2023Q3",Spectrum!$R:$R,0))),IF(SUM($U330)=0,"",SUM($Z330)/$U330)))</f>
        <v>1023</v>
      </c>
      <c r="AB330" s="88" t="n">
        <f aca="false">IF(OR(LEFT($B330,4)="_Mil",SUM($X330)=0),"",SUM($Z330)/$X330)</f>
        <v>0.887717121588089</v>
      </c>
      <c r="AC330" s="10" t="n">
        <f aca="false">IF(LEFT($B330,4)="_Mil","",_xlfn.IFNA(ROUND(INDEX(Spectrum!$N:$N,MATCH(RIGHT($B330,13)&amp;"|"&amp;$C330&amp;"|"&amp;$D330&amp;"|"&amp;AC$14&amp;"|"&amp;"CY2023Q3",Spectrum!$R:$R,0)),0),""))</f>
        <v>959</v>
      </c>
      <c r="AD330" s="10" t="str">
        <f aca="false">IF(LEFT($B330,4)="_Mil","",_xlfn.IFNA(ROUND(INDEX(Spectrum!$N:$N,MATCH(RIGHT($B330,13)&amp;"|"&amp;$C330&amp;"|"&amp;$D330&amp;"|"&amp;AD$14&amp;"|"&amp;"CY2023Q3",Spectrum!$R:$R,0)),0),""))</f>
        <v/>
      </c>
      <c r="AE330" s="88" t="n">
        <f aca="false">IF(OR(LEFT($B330,4)="_Mil",SUM($Z330)=0),"",SUM($AD330)/$Z330)</f>
        <v>0</v>
      </c>
      <c r="AF330" s="39" t="str">
        <f aca="false">IF(LEFT($B330,4)="_Mil","",_xlfn.IFNA(ROUND(INDEX(Spectrum!$N:$N,MATCH(RIGHT($B330,13)&amp;"|"&amp;$C330&amp;"|"&amp;$D330&amp;"|"&amp;AF$14&amp;"|"&amp;"CY2023Q3",Spectrum!$R:$R,0)),0),""))</f>
        <v/>
      </c>
      <c r="AG330" s="88" t="str">
        <f aca="false">IF(OR(LEFT($B330,4)="_Mil",SUM($AD330)=0),"",SUM($AF330)/$AD330)</f>
        <v/>
      </c>
      <c r="AH330" s="86" t="str">
        <f aca="false">IF(LEFT($B330,4)="_Mil","",_xlfn.IFNA(INDEX(Spectrum!$N:$N,MATCH(RIGHT($B330,13)&amp;"|"&amp;$C330&amp;"|"&amp;$D330&amp;"|"&amp;AH$14&amp;"|"&amp;"CY2023Q3",Spectrum!$R:$R,0)),""))</f>
        <v/>
      </c>
      <c r="AI330" s="10" t="str">
        <f aca="false">IF(LEFT($B330,4)="_Mil","",_xlfn.IFNA(ROUND(INDEX(Spectrum!$N:$N,MATCH(RIGHT($B330,13)&amp;"|"&amp;$C330&amp;"|"&amp;$D330&amp;"|"&amp;AI$14&amp;"|"&amp;"CY2023Q3",Spectrum!$R:$R,0)),0),""))</f>
        <v/>
      </c>
      <c r="AJ330" s="39" t="n">
        <f aca="false">IF(LEFT($B330,4)="_Mil","",_xlfn.IFNA(ROUND(INDEX(Spectrum!$N:$N,MATCH(RIGHT($B330,13)&amp;"|"&amp;$C330&amp;"|"&amp;$D330&amp;"|"&amp;AI$14&amp;"|"&amp;"CY2023Q3",Spectrum!$R:$R,0)),0),SUM($U330)+SUM($AI330)))</f>
        <v>0</v>
      </c>
      <c r="AK330" s="10" t="str">
        <f aca="false">IF(LEFT($B330,4)="_Mil","",_xlfn.IFNA(ROUND(INDEX(Spectrum!$N:$N,MATCH(RIGHT($B330,13)&amp;"|"&amp;$C330&amp;"|"&amp;$D330&amp;"|"&amp;AK$14&amp;"|"&amp;"CY2023Q3",Spectrum!$R:$R,0)),0),""))</f>
        <v/>
      </c>
      <c r="AL330" s="88" t="n">
        <f aca="false">IF(OR(LEFT($B330,4)="_Mil",$C330="&lt;01"),"",MAX(SUM($AA330),90%))</f>
        <v>1023</v>
      </c>
      <c r="AM330" s="10" t="n">
        <f aca="false">IF(OR(LEFT($B330,4)="_Mil",$C330="&lt;01"),"",ROUND(SUM($AJ330)*SUM($AL330),0))</f>
        <v>0</v>
      </c>
      <c r="AN330" s="10" t="str">
        <f aca="false">IF($C330="&lt;01",ROUND(INDEX(EID!$P:$P,MATCH($B330,EID!$B:$B,0))/2,0),"")</f>
        <v/>
      </c>
      <c r="AO330" s="10" t="n">
        <f aca="false">IF($C330="&lt;01",SUM($AN330),ROUND(SUM($AM330)*SUM($O330)/IF(SUM($Z330)=0,1,$Z330),0))</f>
        <v>0</v>
      </c>
      <c r="AP330" s="39" t="n">
        <f aca="false">IF(OR($F330="",$C330="&lt;01"),$AO330,$F330)</f>
        <v>0</v>
      </c>
      <c r="AQ330" s="39" t="n">
        <f aca="false">IF(LEFT($B330,4)="_Mil","",IF(SUM($AP330)=0,SUM($Z330),IF(OR(SUM($Z330)=0,SUM($O330)=0),MAX($AP330,$Z330),$AP330*$Z330/$O330)))</f>
        <v>1431</v>
      </c>
      <c r="AR330" s="88" t="str">
        <f aca="false">IF(OR(LEFT($B330,4)="_Mil",SUM($AJ330)=0),"",SUM($AQ330)/$AJ330)</f>
        <v/>
      </c>
      <c r="AS330" s="88" t="n">
        <f aca="false">IF($C330="&lt;01","",98%)</f>
        <v>0.98</v>
      </c>
      <c r="AT330" s="88" t="n">
        <f aca="false">IF($C330="&lt;01","",98%)</f>
        <v>0.98</v>
      </c>
      <c r="AU330" s="10" t="n">
        <f aca="false">IF($C330="&lt;01","",SUM($AP330)-SUM($O330))</f>
        <v>0</v>
      </c>
      <c r="AV330" s="10" t="n">
        <f aca="false">IF($C330="&lt;01",ROUND(INDEX(EID!$N:$N,MATCH($B330,EID!$B:$B,0))/2,0),IF(SUM($AT330)=0,"",ROUND((SUM($AP330)-(SUM($O330)*SUM($AS330)))/$AT330,0)))</f>
        <v>0</v>
      </c>
      <c r="AW330" s="88" t="n">
        <f aca="false">IF($C330="&lt;01","",100%)</f>
        <v>1</v>
      </c>
      <c r="AX330" s="39" t="n">
        <f aca="false">IF($C330="&lt;01",SUM($AV330),ROUND(SUM($AV330)*SUM($AW330),0))</f>
        <v>0</v>
      </c>
      <c r="AY330" s="114" t="n">
        <f aca="false">IF($C330="&lt;01","",70%)</f>
        <v>0.7</v>
      </c>
      <c r="AZ330" s="91" t="n">
        <f aca="false">IF($C330="&lt;01",ROUND(INDEX(EID!$R:$R,MATCH($B330,EID!$B:$B,0))/2,0),ROUND(SUM($O330)+(SUM($AV330)*$AY330),0))</f>
        <v>0</v>
      </c>
      <c r="BA330" s="87" t="n">
        <f aca="false">IF($C330="&lt;01","",95%)</f>
        <v>0.95</v>
      </c>
      <c r="BB330" s="5" t="n">
        <f aca="false">IF($C330="&lt;01",ROUND(INDEX(EID!$T:$T,MATCH($B330,EID!$B:$B,0))/2,0),ROUND($AZ330*$BA330,0))</f>
        <v>0</v>
      </c>
      <c r="BC330" s="91" t="n">
        <f aca="false">IF(LEFT($B330,4)="_Mil","",IF(SUM($BB330)=0,SUM($AD330),IF(OR(SUM($AP330)=0,SUM($AQ330)=0),MAX($BB330,$AD330),ROUND($BB330*$AQ330/$AP330,0))))</f>
        <v>0</v>
      </c>
      <c r="BD330" s="88" t="n">
        <f aca="false">IF($C330="&lt;01","",95%)</f>
        <v>0.95</v>
      </c>
      <c r="BE330" s="39" t="n">
        <f aca="false">IF($C330="&lt;01",ROUND(INDEX(EID!$V:$V,MATCH($B330,EID!$B:$B,0))/2,0),ROUND($BD330*$BB330,0))</f>
        <v>0</v>
      </c>
      <c r="BF330" s="39" t="n">
        <f aca="false">IF(LEFT($B330,4)="_Mil","",IF(SUM($BE330)=0,SUM($AF330),IF(OR(SUM($AP330)=0,SUM($AQ330)=0),MAX($BE330,$AF330),ROUND($BE330*$AQ330/$AP330,0))))</f>
        <v>0</v>
      </c>
      <c r="BG330" s="114" t="n">
        <f aca="false">IF($C330="&lt;01","",95%)</f>
        <v>0.95</v>
      </c>
      <c r="BH330" s="5" t="n">
        <f aca="false">IF($C330="&lt;01",ROUND(INDEX(EID!$L:$L,MATCH($B330,EID!$B:$B,0)),0)/2,IF(SUM($BG330)=0,"",ROUND($AX330/$BG330,0)))</f>
        <v>0</v>
      </c>
    </row>
    <row r="331" customFormat="false" ht="15" hidden="false" customHeight="false" outlineLevel="0" collapsed="false">
      <c r="A331" s="0" t="str">
        <f aca="false">INDEX(Prioritization!$D:$D,MATCH($B331,Prioritization!$A:$A,0))</f>
        <v>INVALID</v>
      </c>
      <c r="B331" s="0" t="s">
        <v>216</v>
      </c>
      <c r="C331" s="0" t="s">
        <v>366</v>
      </c>
      <c r="D331" s="0" t="s">
        <v>30</v>
      </c>
      <c r="E331" s="0" t="str">
        <f aca="false">$B331&amp;"|"&amp;$C331&amp;"|"&amp;$D331</f>
        <v>Mulanje District [umc2n1Z4wNv]|25-34|Female</v>
      </c>
      <c r="F331" s="10"/>
      <c r="G331" s="10"/>
      <c r="H331" s="10"/>
      <c r="I331" s="10"/>
      <c r="J331" s="10"/>
      <c r="K331" s="10"/>
      <c r="L331" s="10"/>
      <c r="M331" s="10"/>
      <c r="N331" s="10"/>
      <c r="O331" s="10" t="str">
        <f aca="false">IFERROR(1/(1/MAX($I331,$N331)),"")</f>
        <v/>
      </c>
      <c r="P331" s="10"/>
      <c r="Q331" s="10"/>
      <c r="R331" s="10" t="str">
        <f aca="false">IF(AND(SUM($I331)=0,SUM($O331)=0),"",SUM($O331)-$I331)</f>
        <v/>
      </c>
      <c r="S331" s="10" t="n">
        <f aca="false">IF(LEFT($B331,4)="_Mil","",_xlfn.IFNA(ROUND(INDEX(Spectrum!$N:$N,MATCH(RIGHT($B331,13)&amp;"|"&amp;$C331&amp;"|"&amp;$D331&amp;"|"&amp;S$14&amp;"|"&amp;"CY2022Q4",Spectrum!$R:$R,0)),0),""))</f>
        <v>1086</v>
      </c>
      <c r="T331" s="39" t="n">
        <f aca="false">IF(LEFT($B331,4)="_Mil","",_xlfn.IFNA(ROUND(INDEX(Spectrum!$N:$N,MATCH(RIGHT($B331,13)&amp;"|"&amp;$C331&amp;"|"&amp;$D331&amp;"|"&amp;T$14&amp;"|"&amp;"CY2023Q3",Spectrum!$R:$R,0)),0),""))</f>
        <v>947</v>
      </c>
      <c r="U331" s="39" t="str">
        <f aca="false">IF(LEFT($B331,4)="_Mil","",_xlfn.IFNA(ROUND(INDEX(Spectrum!$N:$N,MATCH(RIGHT($B331,13)&amp;"|"&amp;$C331&amp;"|"&amp;$D331&amp;"|"&amp;U$14&amp;"|"&amp;"CY2023Q3",Spectrum!$R:$R,0)),0),""))</f>
        <v/>
      </c>
      <c r="V331" s="10" t="n">
        <f aca="false">IF(LEFT($B331,4)="_Mil","",_xlfn.IFNA(ROUND(INDEX(Spectrum!$N:$N,MATCH(RIGHT($B331,13)&amp;"|"&amp;$C331&amp;"|"&amp;$D331&amp;"|"&amp;V$14&amp;"|"&amp;"CY2023Q3",Spectrum!$R:$R,0)),0),""))</f>
        <v>1820</v>
      </c>
      <c r="W331" s="113" t="n">
        <f aca="false">IF(LEFT($B331,4)="_Mil","",_xlfn.IFNA(INDEX(Spectrum!$N:$N,MATCH(RIGHT($B331,13)&amp;"|"&amp;$C331&amp;"|"&amp;$D331&amp;"|"&amp;W$14&amp;"|"&amp;"CY2023Q3",Spectrum!$R:$R,0)),""))</f>
        <v>938</v>
      </c>
      <c r="X331" s="39" t="n">
        <f aca="false">IF(LEFT($B331,4)="_Mil","",_xlfn.IFNA(ROUND(INDEX(Spectrum!$N:$N,MATCH(RIGHT($B331,13)&amp;"|"&amp;$C331&amp;"|"&amp;$D331&amp;"|"&amp;X$14&amp;"|"&amp;"CY2023Q3",Spectrum!$R:$R,0)),0),""))</f>
        <v>1397</v>
      </c>
      <c r="Y331" s="88" t="str">
        <f aca="false">IF(OR(SUM($U331)=0,LEFT($B331,4)="_Mil"),"",SUM($X331)/$U331)</f>
        <v/>
      </c>
      <c r="Z331" s="39" t="n">
        <f aca="false">IF(LEFT($B331,4)="_Mil","",_xlfn.IFNA(ROUND(INDEX(Spectrum!$N:$N,MATCH(RIGHT($B331,13)&amp;"|"&amp;$C331&amp;"|"&amp;$D331&amp;"|"&amp;Z$14&amp;"|"&amp;"CY2023Q3",Spectrum!$R:$R,0)),0),""))</f>
        <v>1787</v>
      </c>
      <c r="AA331" s="88" t="n">
        <f aca="false">IF(LEFT($B331,4)="_Mil","",IFERROR(1/(1/INDEX(Spectrum!$N:$N,MATCH(RIGHT($B331,13)&amp;"|"&amp;$C331&amp;"|"&amp;$D331&amp;"|"&amp;AA$14&amp;"|"&amp;"CY2023Q3",Spectrum!$R:$R,0))),IF(SUM($U331)=0,"",SUM($Z331)/$U331)))</f>
        <v>1980</v>
      </c>
      <c r="AB331" s="88" t="n">
        <f aca="false">IF(OR(LEFT($B331,4)="_Mil",SUM($X331)=0),"",SUM($Z331)/$X331)</f>
        <v>1.27916964924839</v>
      </c>
      <c r="AC331" s="10" t="n">
        <f aca="false">IF(LEFT($B331,4)="_Mil","",_xlfn.IFNA(ROUND(INDEX(Spectrum!$N:$N,MATCH(RIGHT($B331,13)&amp;"|"&amp;$C331&amp;"|"&amp;$D331&amp;"|"&amp;AC$14&amp;"|"&amp;"CY2023Q3",Spectrum!$R:$R,0)),0),""))</f>
        <v>1820</v>
      </c>
      <c r="AD331" s="10" t="str">
        <f aca="false">IF(LEFT($B331,4)="_Mil","",_xlfn.IFNA(ROUND(INDEX(Spectrum!$N:$N,MATCH(RIGHT($B331,13)&amp;"|"&amp;$C331&amp;"|"&amp;$D331&amp;"|"&amp;AD$14&amp;"|"&amp;"CY2023Q3",Spectrum!$R:$R,0)),0),""))</f>
        <v/>
      </c>
      <c r="AE331" s="88" t="n">
        <f aca="false">IF(OR(LEFT($B331,4)="_Mil",SUM($Z331)=0),"",SUM($AD331)/$Z331)</f>
        <v>0</v>
      </c>
      <c r="AF331" s="39" t="str">
        <f aca="false">IF(LEFT($B331,4)="_Mil","",_xlfn.IFNA(ROUND(INDEX(Spectrum!$N:$N,MATCH(RIGHT($B331,13)&amp;"|"&amp;$C331&amp;"|"&amp;$D331&amp;"|"&amp;AF$14&amp;"|"&amp;"CY2023Q3",Spectrum!$R:$R,0)),0),""))</f>
        <v/>
      </c>
      <c r="AG331" s="88" t="str">
        <f aca="false">IF(OR(LEFT($B331,4)="_Mil",SUM($AD331)=0),"",SUM($AF331)/$AD331)</f>
        <v/>
      </c>
      <c r="AH331" s="86" t="str">
        <f aca="false">IF(LEFT($B331,4)="_Mil","",_xlfn.IFNA(INDEX(Spectrum!$N:$N,MATCH(RIGHT($B331,13)&amp;"|"&amp;$C331&amp;"|"&amp;$D331&amp;"|"&amp;AH$14&amp;"|"&amp;"CY2023Q3",Spectrum!$R:$R,0)),""))</f>
        <v/>
      </c>
      <c r="AI331" s="10" t="str">
        <f aca="false">IF(LEFT($B331,4)="_Mil","",_xlfn.IFNA(ROUND(INDEX(Spectrum!$N:$N,MATCH(RIGHT($B331,13)&amp;"|"&amp;$C331&amp;"|"&amp;$D331&amp;"|"&amp;AI$14&amp;"|"&amp;"CY2023Q3",Spectrum!$R:$R,0)),0),""))</f>
        <v/>
      </c>
      <c r="AJ331" s="39" t="n">
        <f aca="false">IF(LEFT($B331,4)="_Mil","",_xlfn.IFNA(ROUND(INDEX(Spectrum!$N:$N,MATCH(RIGHT($B331,13)&amp;"|"&amp;$C331&amp;"|"&amp;$D331&amp;"|"&amp;AI$14&amp;"|"&amp;"CY2023Q3",Spectrum!$R:$R,0)),0),SUM($U331)+SUM($AI331)))</f>
        <v>0</v>
      </c>
      <c r="AK331" s="10" t="str">
        <f aca="false">IF(LEFT($B331,4)="_Mil","",_xlfn.IFNA(ROUND(INDEX(Spectrum!$N:$N,MATCH(RIGHT($B331,13)&amp;"|"&amp;$C331&amp;"|"&amp;$D331&amp;"|"&amp;AK$14&amp;"|"&amp;"CY2023Q3",Spectrum!$R:$R,0)),0),""))</f>
        <v/>
      </c>
      <c r="AL331" s="88" t="n">
        <f aca="false">IF(OR(LEFT($B331,4)="_Mil",$C331="&lt;01"),"",MAX(SUM($AA331),90%))</f>
        <v>1980</v>
      </c>
      <c r="AM331" s="10" t="n">
        <f aca="false">IF(OR(LEFT($B331,4)="_Mil",$C331="&lt;01"),"",ROUND(SUM($AJ331)*SUM($AL331),0))</f>
        <v>0</v>
      </c>
      <c r="AN331" s="10" t="str">
        <f aca="false">IF($C331="&lt;01",ROUND(INDEX(EID!$P:$P,MATCH($B331,EID!$B:$B,0))/2,0),"")</f>
        <v/>
      </c>
      <c r="AO331" s="10" t="n">
        <f aca="false">IF($C331="&lt;01",SUM($AN331),ROUND(SUM($AM331)*SUM($O331)/IF(SUM($Z331)=0,1,$Z331),0))</f>
        <v>0</v>
      </c>
      <c r="AP331" s="39" t="n">
        <f aca="false">IF(OR($F331="",$C331="&lt;01"),$AO331,$F331)</f>
        <v>0</v>
      </c>
      <c r="AQ331" s="39" t="n">
        <f aca="false">IF(LEFT($B331,4)="_Mil","",IF(SUM($AP331)=0,SUM($Z331),IF(OR(SUM($Z331)=0,SUM($O331)=0),MAX($AP331,$Z331),$AP331*$Z331/$O331)))</f>
        <v>1787</v>
      </c>
      <c r="AR331" s="88" t="str">
        <f aca="false">IF(OR(LEFT($B331,4)="_Mil",SUM($AJ331)=0),"",SUM($AQ331)/$AJ331)</f>
        <v/>
      </c>
      <c r="AS331" s="88" t="n">
        <f aca="false">IF($C331="&lt;01","",98%)</f>
        <v>0.98</v>
      </c>
      <c r="AT331" s="88" t="n">
        <f aca="false">IF($C331="&lt;01","",98%)</f>
        <v>0.98</v>
      </c>
      <c r="AU331" s="10" t="n">
        <f aca="false">IF($C331="&lt;01","",SUM($AP331)-SUM($O331))</f>
        <v>0</v>
      </c>
      <c r="AV331" s="10" t="n">
        <f aca="false">IF($C331="&lt;01",ROUND(INDEX(EID!$N:$N,MATCH($B331,EID!$B:$B,0))/2,0),IF(SUM($AT331)=0,"",ROUND((SUM($AP331)-(SUM($O331)*SUM($AS331)))/$AT331,0)))</f>
        <v>0</v>
      </c>
      <c r="AW331" s="88" t="n">
        <f aca="false">IF($C331="&lt;01","",100%)</f>
        <v>1</v>
      </c>
      <c r="AX331" s="39" t="n">
        <f aca="false">IF($C331="&lt;01",SUM($AV331),ROUND(SUM($AV331)*SUM($AW331),0))</f>
        <v>0</v>
      </c>
      <c r="AY331" s="114" t="n">
        <f aca="false">IF($C331="&lt;01","",70%)</f>
        <v>0.7</v>
      </c>
      <c r="AZ331" s="91" t="n">
        <f aca="false">IF($C331="&lt;01",ROUND(INDEX(EID!$R:$R,MATCH($B331,EID!$B:$B,0))/2,0),ROUND(SUM($O331)+(SUM($AV331)*$AY331),0))</f>
        <v>0</v>
      </c>
      <c r="BA331" s="87" t="n">
        <f aca="false">IF($C331="&lt;01","",95%)</f>
        <v>0.95</v>
      </c>
      <c r="BB331" s="5" t="n">
        <f aca="false">IF($C331="&lt;01",ROUND(INDEX(EID!$T:$T,MATCH($B331,EID!$B:$B,0))/2,0),ROUND($AZ331*$BA331,0))</f>
        <v>0</v>
      </c>
      <c r="BC331" s="91" t="n">
        <f aca="false">IF(LEFT($B331,4)="_Mil","",IF(SUM($BB331)=0,SUM($AD331),IF(OR(SUM($AP331)=0,SUM($AQ331)=0),MAX($BB331,$AD331),ROUND($BB331*$AQ331/$AP331,0))))</f>
        <v>0</v>
      </c>
      <c r="BD331" s="88" t="n">
        <f aca="false">IF($C331="&lt;01","",95%)</f>
        <v>0.95</v>
      </c>
      <c r="BE331" s="39" t="n">
        <f aca="false">IF($C331="&lt;01",ROUND(INDEX(EID!$V:$V,MATCH($B331,EID!$B:$B,0))/2,0),ROUND($BD331*$BB331,0))</f>
        <v>0</v>
      </c>
      <c r="BF331" s="39" t="n">
        <f aca="false">IF(LEFT($B331,4)="_Mil","",IF(SUM($BE331)=0,SUM($AF331),IF(OR(SUM($AP331)=0,SUM($AQ331)=0),MAX($BE331,$AF331),ROUND($BE331*$AQ331/$AP331,0))))</f>
        <v>0</v>
      </c>
      <c r="BG331" s="114" t="n">
        <f aca="false">IF($C331="&lt;01","",95%)</f>
        <v>0.95</v>
      </c>
      <c r="BH331" s="5" t="n">
        <f aca="false">IF($C331="&lt;01",ROUND(INDEX(EID!$L:$L,MATCH($B331,EID!$B:$B,0)),0)/2,IF(SUM($BG331)=0,"",ROUND($AX331/$BG331,0)))</f>
        <v>0</v>
      </c>
    </row>
    <row r="332" customFormat="false" ht="15" hidden="false" customHeight="false" outlineLevel="0" collapsed="false">
      <c r="A332" s="0" t="str">
        <f aca="false">INDEX(Prioritization!$D:$D,MATCH($B332,Prioritization!$A:$A,0))</f>
        <v>INVALID</v>
      </c>
      <c r="B332" s="0" t="s">
        <v>216</v>
      </c>
      <c r="C332" s="0" t="s">
        <v>366</v>
      </c>
      <c r="D332" s="0" t="s">
        <v>48</v>
      </c>
      <c r="E332" s="0" t="str">
        <f aca="false">$B332&amp;"|"&amp;$C332&amp;"|"&amp;$D332</f>
        <v>Mulanje District [umc2n1Z4wNv]|25-34|Male</v>
      </c>
      <c r="F332" s="10"/>
      <c r="G332" s="10"/>
      <c r="H332" s="10"/>
      <c r="I332" s="10"/>
      <c r="J332" s="10"/>
      <c r="K332" s="10"/>
      <c r="L332" s="10"/>
      <c r="M332" s="10"/>
      <c r="N332" s="10"/>
      <c r="O332" s="10" t="str">
        <f aca="false">IFERROR(1/(1/MAX($I332,$N332)),"")</f>
        <v/>
      </c>
      <c r="P332" s="10"/>
      <c r="Q332" s="10"/>
      <c r="R332" s="10" t="str">
        <f aca="false">IF(AND(SUM($I332)=0,SUM($O332)=0),"",SUM($O332)-$I332)</f>
        <v/>
      </c>
      <c r="S332" s="10" t="n">
        <f aca="false">IF(LEFT($B332,4)="_Mil","",_xlfn.IFNA(ROUND(INDEX(Spectrum!$N:$N,MATCH(RIGHT($B332,13)&amp;"|"&amp;$C332&amp;"|"&amp;$D332&amp;"|"&amp;S$14&amp;"|"&amp;"CY2022Q4",Spectrum!$R:$R,0)),0),""))</f>
        <v>741</v>
      </c>
      <c r="T332" s="39" t="n">
        <f aca="false">IF(LEFT($B332,4)="_Mil","",_xlfn.IFNA(ROUND(INDEX(Spectrum!$N:$N,MATCH(RIGHT($B332,13)&amp;"|"&amp;$C332&amp;"|"&amp;$D332&amp;"|"&amp;T$14&amp;"|"&amp;"CY2023Q3",Spectrum!$R:$R,0)),0),""))</f>
        <v>1987</v>
      </c>
      <c r="U332" s="39" t="str">
        <f aca="false">IF(LEFT($B332,4)="_Mil","",_xlfn.IFNA(ROUND(INDEX(Spectrum!$N:$N,MATCH(RIGHT($B332,13)&amp;"|"&amp;$C332&amp;"|"&amp;$D332&amp;"|"&amp;U$14&amp;"|"&amp;"CY2023Q3",Spectrum!$R:$R,0)),0),""))</f>
        <v/>
      </c>
      <c r="V332" s="10" t="n">
        <f aca="false">IF(LEFT($B332,4)="_Mil","",_xlfn.IFNA(ROUND(INDEX(Spectrum!$N:$N,MATCH(RIGHT($B332,13)&amp;"|"&amp;$C332&amp;"|"&amp;$D332&amp;"|"&amp;V$14&amp;"|"&amp;"CY2023Q3",Spectrum!$R:$R,0)),0),""))</f>
        <v>694</v>
      </c>
      <c r="W332" s="113" t="n">
        <f aca="false">IF(LEFT($B332,4)="_Mil","",_xlfn.IFNA(INDEX(Spectrum!$N:$N,MATCH(RIGHT($B332,13)&amp;"|"&amp;$C332&amp;"|"&amp;$D332&amp;"|"&amp;W$14&amp;"|"&amp;"CY2023Q3",Spectrum!$R:$R,0)),""))</f>
        <v>688</v>
      </c>
      <c r="X332" s="39" t="n">
        <f aca="false">IF(LEFT($B332,4)="_Mil","",_xlfn.IFNA(ROUND(INDEX(Spectrum!$N:$N,MATCH(RIGHT($B332,13)&amp;"|"&amp;$C332&amp;"|"&amp;$D332&amp;"|"&amp;X$14&amp;"|"&amp;"CY2023Q3",Spectrum!$R:$R,0)),0),""))</f>
        <v>1282</v>
      </c>
      <c r="Y332" s="88" t="str">
        <f aca="false">IF(OR(SUM($U332)=0,LEFT($B332,4)="_Mil"),"",SUM($X332)/$U332)</f>
        <v/>
      </c>
      <c r="Z332" s="39" t="n">
        <f aca="false">IF(LEFT($B332,4)="_Mil","",_xlfn.IFNA(ROUND(INDEX(Spectrum!$N:$N,MATCH(RIGHT($B332,13)&amp;"|"&amp;$C332&amp;"|"&amp;$D332&amp;"|"&amp;Z$14&amp;"|"&amp;"CY2023Q3",Spectrum!$R:$R,0)),0),""))</f>
        <v>1583</v>
      </c>
      <c r="AA332" s="88" t="n">
        <f aca="false">IF(LEFT($B332,4)="_Mil","",IFERROR(1/(1/INDEX(Spectrum!$N:$N,MATCH(RIGHT($B332,13)&amp;"|"&amp;$C332&amp;"|"&amp;$D332&amp;"|"&amp;AA$14&amp;"|"&amp;"CY2023Q3",Spectrum!$R:$R,0))),IF(SUM($U332)=0,"",SUM($Z332)/$U332)))</f>
        <v>1972</v>
      </c>
      <c r="AB332" s="88" t="n">
        <f aca="false">IF(OR(LEFT($B332,4)="_Mil",SUM($X332)=0),"",SUM($Z332)/$X332)</f>
        <v>1.23478939157566</v>
      </c>
      <c r="AC332" s="10" t="n">
        <f aca="false">IF(LEFT($B332,4)="_Mil","",_xlfn.IFNA(ROUND(INDEX(Spectrum!$N:$N,MATCH(RIGHT($B332,13)&amp;"|"&amp;$C332&amp;"|"&amp;$D332&amp;"|"&amp;AC$14&amp;"|"&amp;"CY2023Q3",Spectrum!$R:$R,0)),0),""))</f>
        <v>715</v>
      </c>
      <c r="AD332" s="10" t="str">
        <f aca="false">IF(LEFT($B332,4)="_Mil","",_xlfn.IFNA(ROUND(INDEX(Spectrum!$N:$N,MATCH(RIGHT($B332,13)&amp;"|"&amp;$C332&amp;"|"&amp;$D332&amp;"|"&amp;AD$14&amp;"|"&amp;"CY2023Q3",Spectrum!$R:$R,0)),0),""))</f>
        <v/>
      </c>
      <c r="AE332" s="88" t="n">
        <f aca="false">IF(OR(LEFT($B332,4)="_Mil",SUM($Z332)=0),"",SUM($AD332)/$Z332)</f>
        <v>0</v>
      </c>
      <c r="AF332" s="39" t="str">
        <f aca="false">IF(LEFT($B332,4)="_Mil","",_xlfn.IFNA(ROUND(INDEX(Spectrum!$N:$N,MATCH(RIGHT($B332,13)&amp;"|"&amp;$C332&amp;"|"&amp;$D332&amp;"|"&amp;AF$14&amp;"|"&amp;"CY2023Q3",Spectrum!$R:$R,0)),0),""))</f>
        <v/>
      </c>
      <c r="AG332" s="88" t="str">
        <f aca="false">IF(OR(LEFT($B332,4)="_Mil",SUM($AD332)=0),"",SUM($AF332)/$AD332)</f>
        <v/>
      </c>
      <c r="AH332" s="86" t="str">
        <f aca="false">IF(LEFT($B332,4)="_Mil","",_xlfn.IFNA(INDEX(Spectrum!$N:$N,MATCH(RIGHT($B332,13)&amp;"|"&amp;$C332&amp;"|"&amp;$D332&amp;"|"&amp;AH$14&amp;"|"&amp;"CY2023Q3",Spectrum!$R:$R,0)),""))</f>
        <v/>
      </c>
      <c r="AI332" s="10" t="str">
        <f aca="false">IF(LEFT($B332,4)="_Mil","",_xlfn.IFNA(ROUND(INDEX(Spectrum!$N:$N,MATCH(RIGHT($B332,13)&amp;"|"&amp;$C332&amp;"|"&amp;$D332&amp;"|"&amp;AI$14&amp;"|"&amp;"CY2023Q3",Spectrum!$R:$R,0)),0),""))</f>
        <v/>
      </c>
      <c r="AJ332" s="39" t="n">
        <f aca="false">IF(LEFT($B332,4)="_Mil","",_xlfn.IFNA(ROUND(INDEX(Spectrum!$N:$N,MATCH(RIGHT($B332,13)&amp;"|"&amp;$C332&amp;"|"&amp;$D332&amp;"|"&amp;AI$14&amp;"|"&amp;"CY2023Q3",Spectrum!$R:$R,0)),0),SUM($U332)+SUM($AI332)))</f>
        <v>0</v>
      </c>
      <c r="AK332" s="10" t="str">
        <f aca="false">IF(LEFT($B332,4)="_Mil","",_xlfn.IFNA(ROUND(INDEX(Spectrum!$N:$N,MATCH(RIGHT($B332,13)&amp;"|"&amp;$C332&amp;"|"&amp;$D332&amp;"|"&amp;AK$14&amp;"|"&amp;"CY2023Q3",Spectrum!$R:$R,0)),0),""))</f>
        <v/>
      </c>
      <c r="AL332" s="88" t="n">
        <f aca="false">IF(OR(LEFT($B332,4)="_Mil",$C332="&lt;01"),"",MAX(SUM($AA332),90%))</f>
        <v>1972</v>
      </c>
      <c r="AM332" s="10" t="n">
        <f aca="false">IF(OR(LEFT($B332,4)="_Mil",$C332="&lt;01"),"",ROUND(SUM($AJ332)*SUM($AL332),0))</f>
        <v>0</v>
      </c>
      <c r="AN332" s="10" t="str">
        <f aca="false">IF($C332="&lt;01",ROUND(INDEX(EID!$P:$P,MATCH($B332,EID!$B:$B,0))/2,0),"")</f>
        <v/>
      </c>
      <c r="AO332" s="10" t="n">
        <f aca="false">IF($C332="&lt;01",SUM($AN332),ROUND(SUM($AM332)*SUM($O332)/IF(SUM($Z332)=0,1,$Z332),0))</f>
        <v>0</v>
      </c>
      <c r="AP332" s="39" t="n">
        <f aca="false">IF(OR($F332="",$C332="&lt;01"),$AO332,$F332)</f>
        <v>0</v>
      </c>
      <c r="AQ332" s="39" t="n">
        <f aca="false">IF(LEFT($B332,4)="_Mil","",IF(SUM($AP332)=0,SUM($Z332),IF(OR(SUM($Z332)=0,SUM($O332)=0),MAX($AP332,$Z332),$AP332*$Z332/$O332)))</f>
        <v>1583</v>
      </c>
      <c r="AR332" s="88" t="str">
        <f aca="false">IF(OR(LEFT($B332,4)="_Mil",SUM($AJ332)=0),"",SUM($AQ332)/$AJ332)</f>
        <v/>
      </c>
      <c r="AS332" s="88" t="n">
        <f aca="false">IF($C332="&lt;01","",98%)</f>
        <v>0.98</v>
      </c>
      <c r="AT332" s="88" t="n">
        <f aca="false">IF($C332="&lt;01","",98%)</f>
        <v>0.98</v>
      </c>
      <c r="AU332" s="10" t="n">
        <f aca="false">IF($C332="&lt;01","",SUM($AP332)-SUM($O332))</f>
        <v>0</v>
      </c>
      <c r="AV332" s="10" t="n">
        <f aca="false">IF($C332="&lt;01",ROUND(INDEX(EID!$N:$N,MATCH($B332,EID!$B:$B,0))/2,0),IF(SUM($AT332)=0,"",ROUND((SUM($AP332)-(SUM($O332)*SUM($AS332)))/$AT332,0)))</f>
        <v>0</v>
      </c>
      <c r="AW332" s="88" t="n">
        <f aca="false">IF($C332="&lt;01","",100%)</f>
        <v>1</v>
      </c>
      <c r="AX332" s="39" t="n">
        <f aca="false">IF($C332="&lt;01",SUM($AV332),ROUND(SUM($AV332)*SUM($AW332),0))</f>
        <v>0</v>
      </c>
      <c r="AY332" s="114" t="n">
        <f aca="false">IF($C332="&lt;01","",70%)</f>
        <v>0.7</v>
      </c>
      <c r="AZ332" s="91" t="n">
        <f aca="false">IF($C332="&lt;01",ROUND(INDEX(EID!$R:$R,MATCH($B332,EID!$B:$B,0))/2,0),ROUND(SUM($O332)+(SUM($AV332)*$AY332),0))</f>
        <v>0</v>
      </c>
      <c r="BA332" s="87" t="n">
        <f aca="false">IF($C332="&lt;01","",95%)</f>
        <v>0.95</v>
      </c>
      <c r="BB332" s="5" t="n">
        <f aca="false">IF($C332="&lt;01",ROUND(INDEX(EID!$T:$T,MATCH($B332,EID!$B:$B,0))/2,0),ROUND($AZ332*$BA332,0))</f>
        <v>0</v>
      </c>
      <c r="BC332" s="91" t="n">
        <f aca="false">IF(LEFT($B332,4)="_Mil","",IF(SUM($BB332)=0,SUM($AD332),IF(OR(SUM($AP332)=0,SUM($AQ332)=0),MAX($BB332,$AD332),ROUND($BB332*$AQ332/$AP332,0))))</f>
        <v>0</v>
      </c>
      <c r="BD332" s="88" t="n">
        <f aca="false">IF($C332="&lt;01","",95%)</f>
        <v>0.95</v>
      </c>
      <c r="BE332" s="39" t="n">
        <f aca="false">IF($C332="&lt;01",ROUND(INDEX(EID!$V:$V,MATCH($B332,EID!$B:$B,0))/2,0),ROUND($BD332*$BB332,0))</f>
        <v>0</v>
      </c>
      <c r="BF332" s="39" t="n">
        <f aca="false">IF(LEFT($B332,4)="_Mil","",IF(SUM($BE332)=0,SUM($AF332),IF(OR(SUM($AP332)=0,SUM($AQ332)=0),MAX($BE332,$AF332),ROUND($BE332*$AQ332/$AP332,0))))</f>
        <v>0</v>
      </c>
      <c r="BG332" s="114" t="n">
        <f aca="false">IF($C332="&lt;01","",95%)</f>
        <v>0.95</v>
      </c>
      <c r="BH332" s="5" t="n">
        <f aca="false">IF($C332="&lt;01",ROUND(INDEX(EID!$L:$L,MATCH($B332,EID!$B:$B,0)),0)/2,IF(SUM($BG332)=0,"",ROUND($AX332/$BG332,0)))</f>
        <v>0</v>
      </c>
    </row>
    <row r="333" customFormat="false" ht="15" hidden="false" customHeight="false" outlineLevel="0" collapsed="false">
      <c r="A333" s="0" t="str">
        <f aca="false">INDEX(Prioritization!$D:$D,MATCH($B333,Prioritization!$A:$A,0))</f>
        <v>INVALID</v>
      </c>
      <c r="B333" s="0" t="s">
        <v>216</v>
      </c>
      <c r="C333" s="0" t="s">
        <v>367</v>
      </c>
      <c r="D333" s="0" t="s">
        <v>30</v>
      </c>
      <c r="E333" s="0" t="str">
        <f aca="false">$B333&amp;"|"&amp;$C333&amp;"|"&amp;$D333</f>
        <v>Mulanje District [umc2n1Z4wNv]|35-49|Female</v>
      </c>
      <c r="F333" s="10"/>
      <c r="G333" s="10"/>
      <c r="H333" s="10"/>
      <c r="I333" s="10"/>
      <c r="J333" s="10"/>
      <c r="K333" s="10"/>
      <c r="L333" s="10"/>
      <c r="M333" s="10"/>
      <c r="N333" s="10"/>
      <c r="O333" s="10" t="str">
        <f aca="false">IFERROR(1/(1/MAX($I333,$N333)),"")</f>
        <v/>
      </c>
      <c r="P333" s="10"/>
      <c r="Q333" s="10"/>
      <c r="R333" s="10" t="str">
        <f aca="false">IF(AND(SUM($I333)=0,SUM($O333)=0),"",SUM($O333)-$I333)</f>
        <v/>
      </c>
      <c r="S333" s="10" t="n">
        <f aca="false">IF(LEFT($B333,4)="_Mil","",_xlfn.IFNA(ROUND(INDEX(Spectrum!$N:$N,MATCH(RIGHT($B333,13)&amp;"|"&amp;$C333&amp;"|"&amp;$D333&amp;"|"&amp;S$14&amp;"|"&amp;"CY2022Q4",Spectrum!$R:$R,0)),0),""))</f>
        <v>1696</v>
      </c>
      <c r="T333" s="39" t="n">
        <f aca="false">IF(LEFT($B333,4)="_Mil","",_xlfn.IFNA(ROUND(INDEX(Spectrum!$N:$N,MATCH(RIGHT($B333,13)&amp;"|"&amp;$C333&amp;"|"&amp;$D333&amp;"|"&amp;T$14&amp;"|"&amp;"CY2023Q3",Spectrum!$R:$R,0)),0),""))</f>
        <v>947</v>
      </c>
      <c r="U333" s="39" t="str">
        <f aca="false">IF(LEFT($B333,4)="_Mil","",_xlfn.IFNA(ROUND(INDEX(Spectrum!$N:$N,MATCH(RIGHT($B333,13)&amp;"|"&amp;$C333&amp;"|"&amp;$D333&amp;"|"&amp;U$14&amp;"|"&amp;"CY2023Q3",Spectrum!$R:$R,0)),0),""))</f>
        <v/>
      </c>
      <c r="V333" s="10" t="n">
        <f aca="false">IF(LEFT($B333,4)="_Mil","",_xlfn.IFNA(ROUND(INDEX(Spectrum!$N:$N,MATCH(RIGHT($B333,13)&amp;"|"&amp;$C333&amp;"|"&amp;$D333&amp;"|"&amp;V$14&amp;"|"&amp;"CY2023Q3",Spectrum!$R:$R,0)),0),""))</f>
        <v>1233</v>
      </c>
      <c r="W333" s="113" t="n">
        <f aca="false">IF(LEFT($B333,4)="_Mil","",_xlfn.IFNA(INDEX(Spectrum!$N:$N,MATCH(RIGHT($B333,13)&amp;"|"&amp;$C333&amp;"|"&amp;$D333&amp;"|"&amp;W$14&amp;"|"&amp;"CY2023Q3",Spectrum!$R:$R,0)),""))</f>
        <v>647</v>
      </c>
      <c r="X333" s="39" t="n">
        <f aca="false">IF(LEFT($B333,4)="_Mil","",_xlfn.IFNA(ROUND(INDEX(Spectrum!$N:$N,MATCH(RIGHT($B333,13)&amp;"|"&amp;$C333&amp;"|"&amp;$D333&amp;"|"&amp;X$14&amp;"|"&amp;"CY2023Q3",Spectrum!$R:$R,0)),0),""))</f>
        <v>1829</v>
      </c>
      <c r="Y333" s="88" t="str">
        <f aca="false">IF(OR(SUM($U333)=0,LEFT($B333,4)="_Mil"),"",SUM($X333)/$U333)</f>
        <v/>
      </c>
      <c r="Z333" s="39" t="n">
        <f aca="false">IF(LEFT($B333,4)="_Mil","",_xlfn.IFNA(ROUND(INDEX(Spectrum!$N:$N,MATCH(RIGHT($B333,13)&amp;"|"&amp;$C333&amp;"|"&amp;$D333&amp;"|"&amp;Z$14&amp;"|"&amp;"CY2023Q3",Spectrum!$R:$R,0)),0),""))</f>
        <v>1619</v>
      </c>
      <c r="AA333" s="88" t="n">
        <f aca="false">IF(LEFT($B333,4)="_Mil","",IFERROR(1/(1/INDEX(Spectrum!$N:$N,MATCH(RIGHT($B333,13)&amp;"|"&amp;$C333&amp;"|"&amp;$D333&amp;"|"&amp;AA$14&amp;"|"&amp;"CY2023Q3",Spectrum!$R:$R,0))),IF(SUM($U333)=0,"",SUM($Z333)/$U333)))</f>
        <v>783</v>
      </c>
      <c r="AB333" s="88" t="n">
        <f aca="false">IF(OR(LEFT($B333,4)="_Mil",SUM($X333)=0),"",SUM($Z333)/$X333)</f>
        <v>0.885183160196829</v>
      </c>
      <c r="AC333" s="10" t="n">
        <f aca="false">IF(LEFT($B333,4)="_Mil","",_xlfn.IFNA(ROUND(INDEX(Spectrum!$N:$N,MATCH(RIGHT($B333,13)&amp;"|"&amp;$C333&amp;"|"&amp;$D333&amp;"|"&amp;AC$14&amp;"|"&amp;"CY2023Q3",Spectrum!$R:$R,0)),0),""))</f>
        <v>531</v>
      </c>
      <c r="AD333" s="10" t="str">
        <f aca="false">IF(LEFT($B333,4)="_Mil","",_xlfn.IFNA(ROUND(INDEX(Spectrum!$N:$N,MATCH(RIGHT($B333,13)&amp;"|"&amp;$C333&amp;"|"&amp;$D333&amp;"|"&amp;AD$14&amp;"|"&amp;"CY2023Q3",Spectrum!$R:$R,0)),0),""))</f>
        <v/>
      </c>
      <c r="AE333" s="88" t="n">
        <f aca="false">IF(OR(LEFT($B333,4)="_Mil",SUM($Z333)=0),"",SUM($AD333)/$Z333)</f>
        <v>0</v>
      </c>
      <c r="AF333" s="39" t="str">
        <f aca="false">IF(LEFT($B333,4)="_Mil","",_xlfn.IFNA(ROUND(INDEX(Spectrum!$N:$N,MATCH(RIGHT($B333,13)&amp;"|"&amp;$C333&amp;"|"&amp;$D333&amp;"|"&amp;AF$14&amp;"|"&amp;"CY2023Q3",Spectrum!$R:$R,0)),0),""))</f>
        <v/>
      </c>
      <c r="AG333" s="88" t="str">
        <f aca="false">IF(OR(LEFT($B333,4)="_Mil",SUM($AD333)=0),"",SUM($AF333)/$AD333)</f>
        <v/>
      </c>
      <c r="AH333" s="86" t="str">
        <f aca="false">IF(LEFT($B333,4)="_Mil","",_xlfn.IFNA(INDEX(Spectrum!$N:$N,MATCH(RIGHT($B333,13)&amp;"|"&amp;$C333&amp;"|"&amp;$D333&amp;"|"&amp;AH$14&amp;"|"&amp;"CY2023Q3",Spectrum!$R:$R,0)),""))</f>
        <v/>
      </c>
      <c r="AI333" s="10" t="str">
        <f aca="false">IF(LEFT($B333,4)="_Mil","",_xlfn.IFNA(ROUND(INDEX(Spectrum!$N:$N,MATCH(RIGHT($B333,13)&amp;"|"&amp;$C333&amp;"|"&amp;$D333&amp;"|"&amp;AI$14&amp;"|"&amp;"CY2023Q3",Spectrum!$R:$R,0)),0),""))</f>
        <v/>
      </c>
      <c r="AJ333" s="39" t="n">
        <f aca="false">IF(LEFT($B333,4)="_Mil","",_xlfn.IFNA(ROUND(INDEX(Spectrum!$N:$N,MATCH(RIGHT($B333,13)&amp;"|"&amp;$C333&amp;"|"&amp;$D333&amp;"|"&amp;AI$14&amp;"|"&amp;"CY2023Q3",Spectrum!$R:$R,0)),0),SUM($U333)+SUM($AI333)))</f>
        <v>0</v>
      </c>
      <c r="AK333" s="10" t="str">
        <f aca="false">IF(LEFT($B333,4)="_Mil","",_xlfn.IFNA(ROUND(INDEX(Spectrum!$N:$N,MATCH(RIGHT($B333,13)&amp;"|"&amp;$C333&amp;"|"&amp;$D333&amp;"|"&amp;AK$14&amp;"|"&amp;"CY2023Q3",Spectrum!$R:$R,0)),0),""))</f>
        <v/>
      </c>
      <c r="AL333" s="88" t="n">
        <f aca="false">IF(OR(LEFT($B333,4)="_Mil",$C333="&lt;01"),"",MAX(SUM($AA333),90%))</f>
        <v>783</v>
      </c>
      <c r="AM333" s="10" t="n">
        <f aca="false">IF(OR(LEFT($B333,4)="_Mil",$C333="&lt;01"),"",ROUND(SUM($AJ333)*SUM($AL333),0))</f>
        <v>0</v>
      </c>
      <c r="AN333" s="10" t="str">
        <f aca="false">IF($C333="&lt;01",ROUND(INDEX(EID!$P:$P,MATCH($B333,EID!$B:$B,0))/2,0),"")</f>
        <v/>
      </c>
      <c r="AO333" s="10" t="n">
        <f aca="false">IF($C333="&lt;01",SUM($AN333),ROUND(SUM($AM333)*SUM($O333)/IF(SUM($Z333)=0,1,$Z333),0))</f>
        <v>0</v>
      </c>
      <c r="AP333" s="39" t="n">
        <f aca="false">IF(OR($F333="",$C333="&lt;01"),$AO333,$F333)</f>
        <v>0</v>
      </c>
      <c r="AQ333" s="39" t="n">
        <f aca="false">IF(LEFT($B333,4)="_Mil","",IF(SUM($AP333)=0,SUM($Z333),IF(OR(SUM($Z333)=0,SUM($O333)=0),MAX($AP333,$Z333),$AP333*$Z333/$O333)))</f>
        <v>1619</v>
      </c>
      <c r="AR333" s="88" t="str">
        <f aca="false">IF(OR(LEFT($B333,4)="_Mil",SUM($AJ333)=0),"",SUM($AQ333)/$AJ333)</f>
        <v/>
      </c>
      <c r="AS333" s="88" t="n">
        <f aca="false">IF($C333="&lt;01","",98%)</f>
        <v>0.98</v>
      </c>
      <c r="AT333" s="88" t="n">
        <f aca="false">IF($C333="&lt;01","",98%)</f>
        <v>0.98</v>
      </c>
      <c r="AU333" s="10" t="n">
        <f aca="false">IF($C333="&lt;01","",SUM($AP333)-SUM($O333))</f>
        <v>0</v>
      </c>
      <c r="AV333" s="10" t="n">
        <f aca="false">IF($C333="&lt;01",ROUND(INDEX(EID!$N:$N,MATCH($B333,EID!$B:$B,0))/2,0),IF(SUM($AT333)=0,"",ROUND((SUM($AP333)-(SUM($O333)*SUM($AS333)))/$AT333,0)))</f>
        <v>0</v>
      </c>
      <c r="AW333" s="88" t="n">
        <f aca="false">IF($C333="&lt;01","",100%)</f>
        <v>1</v>
      </c>
      <c r="AX333" s="39" t="n">
        <f aca="false">IF($C333="&lt;01",SUM($AV333),ROUND(SUM($AV333)*SUM($AW333),0))</f>
        <v>0</v>
      </c>
      <c r="AY333" s="114" t="n">
        <f aca="false">IF($C333="&lt;01","",70%)</f>
        <v>0.7</v>
      </c>
      <c r="AZ333" s="91" t="n">
        <f aca="false">IF($C333="&lt;01",ROUND(INDEX(EID!$R:$R,MATCH($B333,EID!$B:$B,0))/2,0),ROUND(SUM($O333)+(SUM($AV333)*$AY333),0))</f>
        <v>0</v>
      </c>
      <c r="BA333" s="87" t="n">
        <f aca="false">IF($C333="&lt;01","",95%)</f>
        <v>0.95</v>
      </c>
      <c r="BB333" s="5" t="n">
        <f aca="false">IF($C333="&lt;01",ROUND(INDEX(EID!$T:$T,MATCH($B333,EID!$B:$B,0))/2,0),ROUND($AZ333*$BA333,0))</f>
        <v>0</v>
      </c>
      <c r="BC333" s="91" t="n">
        <f aca="false">IF(LEFT($B333,4)="_Mil","",IF(SUM($BB333)=0,SUM($AD333),IF(OR(SUM($AP333)=0,SUM($AQ333)=0),MAX($BB333,$AD333),ROUND($BB333*$AQ333/$AP333,0))))</f>
        <v>0</v>
      </c>
      <c r="BD333" s="88" t="n">
        <f aca="false">IF($C333="&lt;01","",95%)</f>
        <v>0.95</v>
      </c>
      <c r="BE333" s="39" t="n">
        <f aca="false">IF($C333="&lt;01",ROUND(INDEX(EID!$V:$V,MATCH($B333,EID!$B:$B,0))/2,0),ROUND($BD333*$BB333,0))</f>
        <v>0</v>
      </c>
      <c r="BF333" s="39" t="n">
        <f aca="false">IF(LEFT($B333,4)="_Mil","",IF(SUM($BE333)=0,SUM($AF333),IF(OR(SUM($AP333)=0,SUM($AQ333)=0),MAX($BE333,$AF333),ROUND($BE333*$AQ333/$AP333,0))))</f>
        <v>0</v>
      </c>
      <c r="BG333" s="114" t="n">
        <f aca="false">IF($C333="&lt;01","",95%)</f>
        <v>0.95</v>
      </c>
      <c r="BH333" s="5" t="n">
        <f aca="false">IF($C333="&lt;01",ROUND(INDEX(EID!$L:$L,MATCH($B333,EID!$B:$B,0)),0)/2,IF(SUM($BG333)=0,"",ROUND($AX333/$BG333,0)))</f>
        <v>0</v>
      </c>
    </row>
    <row r="334" customFormat="false" ht="15" hidden="false" customHeight="false" outlineLevel="0" collapsed="false">
      <c r="A334" s="0" t="str">
        <f aca="false">INDEX(Prioritization!$D:$D,MATCH($B334,Prioritization!$A:$A,0))</f>
        <v>INVALID</v>
      </c>
      <c r="B334" s="0" t="s">
        <v>216</v>
      </c>
      <c r="C334" s="0" t="s">
        <v>367</v>
      </c>
      <c r="D334" s="0" t="s">
        <v>48</v>
      </c>
      <c r="E334" s="0" t="str">
        <f aca="false">$B334&amp;"|"&amp;$C334&amp;"|"&amp;$D334</f>
        <v>Mulanje District [umc2n1Z4wNv]|35-49|Male</v>
      </c>
      <c r="F334" s="10"/>
      <c r="G334" s="10"/>
      <c r="H334" s="10"/>
      <c r="I334" s="10"/>
      <c r="J334" s="10"/>
      <c r="K334" s="10"/>
      <c r="L334" s="10"/>
      <c r="M334" s="10"/>
      <c r="N334" s="10"/>
      <c r="O334" s="10" t="str">
        <f aca="false">IFERROR(1/(1/MAX($I334,$N334)),"")</f>
        <v/>
      </c>
      <c r="P334" s="10"/>
      <c r="Q334" s="10"/>
      <c r="R334" s="10" t="str">
        <f aca="false">IF(AND(SUM($I334)=0,SUM($O334)=0),"",SUM($O334)-$I334)</f>
        <v/>
      </c>
      <c r="S334" s="10" t="n">
        <f aca="false">IF(LEFT($B334,4)="_Mil","",_xlfn.IFNA(ROUND(INDEX(Spectrum!$N:$N,MATCH(RIGHT($B334,13)&amp;"|"&amp;$C334&amp;"|"&amp;$D334&amp;"|"&amp;S$14&amp;"|"&amp;"CY2022Q4",Spectrum!$R:$R,0)),0),""))</f>
        <v>1358</v>
      </c>
      <c r="T334" s="39" t="n">
        <f aca="false">IF(LEFT($B334,4)="_Mil","",_xlfn.IFNA(ROUND(INDEX(Spectrum!$N:$N,MATCH(RIGHT($B334,13)&amp;"|"&amp;$C334&amp;"|"&amp;$D334&amp;"|"&amp;T$14&amp;"|"&amp;"CY2023Q3",Spectrum!$R:$R,0)),0),""))</f>
        <v>696</v>
      </c>
      <c r="U334" s="39" t="str">
        <f aca="false">IF(LEFT($B334,4)="_Mil","",_xlfn.IFNA(ROUND(INDEX(Spectrum!$N:$N,MATCH(RIGHT($B334,13)&amp;"|"&amp;$C334&amp;"|"&amp;$D334&amp;"|"&amp;U$14&amp;"|"&amp;"CY2023Q3",Spectrum!$R:$R,0)),0),""))</f>
        <v/>
      </c>
      <c r="V334" s="10" t="n">
        <f aca="false">IF(LEFT($B334,4)="_Mil","",_xlfn.IFNA(ROUND(INDEX(Spectrum!$N:$N,MATCH(RIGHT($B334,13)&amp;"|"&amp;$C334&amp;"|"&amp;$D334&amp;"|"&amp;V$14&amp;"|"&amp;"CY2023Q3",Spectrum!$R:$R,0)),0),""))</f>
        <v>1922</v>
      </c>
      <c r="W334" s="113" t="n">
        <f aca="false">IF(LEFT($B334,4)="_Mil","",_xlfn.IFNA(INDEX(Spectrum!$N:$N,MATCH(RIGHT($B334,13)&amp;"|"&amp;$C334&amp;"|"&amp;$D334&amp;"|"&amp;W$14&amp;"|"&amp;"CY2023Q3",Spectrum!$R:$R,0)),""))</f>
        <v>1889</v>
      </c>
      <c r="X334" s="39" t="n">
        <f aca="false">IF(LEFT($B334,4)="_Mil","",_xlfn.IFNA(ROUND(INDEX(Spectrum!$N:$N,MATCH(RIGHT($B334,13)&amp;"|"&amp;$C334&amp;"|"&amp;$D334&amp;"|"&amp;X$14&amp;"|"&amp;"CY2023Q3",Spectrum!$R:$R,0)),0),""))</f>
        <v>1400</v>
      </c>
      <c r="Y334" s="88" t="str">
        <f aca="false">IF(OR(SUM($U334)=0,LEFT($B334,4)="_Mil"),"",SUM($X334)/$U334)</f>
        <v/>
      </c>
      <c r="Z334" s="39" t="n">
        <f aca="false">IF(LEFT($B334,4)="_Mil","",_xlfn.IFNA(ROUND(INDEX(Spectrum!$N:$N,MATCH(RIGHT($B334,13)&amp;"|"&amp;$C334&amp;"|"&amp;$D334&amp;"|"&amp;Z$14&amp;"|"&amp;"CY2023Q3",Spectrum!$R:$R,0)),0),""))</f>
        <v>1851</v>
      </c>
      <c r="AA334" s="88" t="n">
        <f aca="false">IF(LEFT($B334,4)="_Mil","",IFERROR(1/(1/INDEX(Spectrum!$N:$N,MATCH(RIGHT($B334,13)&amp;"|"&amp;$C334&amp;"|"&amp;$D334&amp;"|"&amp;AA$14&amp;"|"&amp;"CY2023Q3",Spectrum!$R:$R,0))),IF(SUM($U334)=0,"",SUM($Z334)/$U334)))</f>
        <v>849</v>
      </c>
      <c r="AB334" s="88" t="n">
        <f aca="false">IF(OR(LEFT($B334,4)="_Mil",SUM($X334)=0),"",SUM($Z334)/$X334)</f>
        <v>1.32214285714286</v>
      </c>
      <c r="AC334" s="10" t="n">
        <f aca="false">IF(LEFT($B334,4)="_Mil","",_xlfn.IFNA(ROUND(INDEX(Spectrum!$N:$N,MATCH(RIGHT($B334,13)&amp;"|"&amp;$C334&amp;"|"&amp;$D334&amp;"|"&amp;AC$14&amp;"|"&amp;"CY2023Q3",Spectrum!$R:$R,0)),0),""))</f>
        <v>1497</v>
      </c>
      <c r="AD334" s="10" t="str">
        <f aca="false">IF(LEFT($B334,4)="_Mil","",_xlfn.IFNA(ROUND(INDEX(Spectrum!$N:$N,MATCH(RIGHT($B334,13)&amp;"|"&amp;$C334&amp;"|"&amp;$D334&amp;"|"&amp;AD$14&amp;"|"&amp;"CY2023Q3",Spectrum!$R:$R,0)),0),""))</f>
        <v/>
      </c>
      <c r="AE334" s="88" t="n">
        <f aca="false">IF(OR(LEFT($B334,4)="_Mil",SUM($Z334)=0),"",SUM($AD334)/$Z334)</f>
        <v>0</v>
      </c>
      <c r="AF334" s="39" t="str">
        <f aca="false">IF(LEFT($B334,4)="_Mil","",_xlfn.IFNA(ROUND(INDEX(Spectrum!$N:$N,MATCH(RIGHT($B334,13)&amp;"|"&amp;$C334&amp;"|"&amp;$D334&amp;"|"&amp;AF$14&amp;"|"&amp;"CY2023Q3",Spectrum!$R:$R,0)),0),""))</f>
        <v/>
      </c>
      <c r="AG334" s="88" t="str">
        <f aca="false">IF(OR(LEFT($B334,4)="_Mil",SUM($AD334)=0),"",SUM($AF334)/$AD334)</f>
        <v/>
      </c>
      <c r="AH334" s="86" t="str">
        <f aca="false">IF(LEFT($B334,4)="_Mil","",_xlfn.IFNA(INDEX(Spectrum!$N:$N,MATCH(RIGHT($B334,13)&amp;"|"&amp;$C334&amp;"|"&amp;$D334&amp;"|"&amp;AH$14&amp;"|"&amp;"CY2023Q3",Spectrum!$R:$R,0)),""))</f>
        <v/>
      </c>
      <c r="AI334" s="10" t="str">
        <f aca="false">IF(LEFT($B334,4)="_Mil","",_xlfn.IFNA(ROUND(INDEX(Spectrum!$N:$N,MATCH(RIGHT($B334,13)&amp;"|"&amp;$C334&amp;"|"&amp;$D334&amp;"|"&amp;AI$14&amp;"|"&amp;"CY2023Q3",Spectrum!$R:$R,0)),0),""))</f>
        <v/>
      </c>
      <c r="AJ334" s="39" t="n">
        <f aca="false">IF(LEFT($B334,4)="_Mil","",_xlfn.IFNA(ROUND(INDEX(Spectrum!$N:$N,MATCH(RIGHT($B334,13)&amp;"|"&amp;$C334&amp;"|"&amp;$D334&amp;"|"&amp;AI$14&amp;"|"&amp;"CY2023Q3",Spectrum!$R:$R,0)),0),SUM($U334)+SUM($AI334)))</f>
        <v>0</v>
      </c>
      <c r="AK334" s="10" t="str">
        <f aca="false">IF(LEFT($B334,4)="_Mil","",_xlfn.IFNA(ROUND(INDEX(Spectrum!$N:$N,MATCH(RIGHT($B334,13)&amp;"|"&amp;$C334&amp;"|"&amp;$D334&amp;"|"&amp;AK$14&amp;"|"&amp;"CY2023Q3",Spectrum!$R:$R,0)),0),""))</f>
        <v/>
      </c>
      <c r="AL334" s="88" t="n">
        <f aca="false">IF(OR(LEFT($B334,4)="_Mil",$C334="&lt;01"),"",MAX(SUM($AA334),90%))</f>
        <v>849</v>
      </c>
      <c r="AM334" s="10" t="n">
        <f aca="false">IF(OR(LEFT($B334,4)="_Mil",$C334="&lt;01"),"",ROUND(SUM($AJ334)*SUM($AL334),0))</f>
        <v>0</v>
      </c>
      <c r="AN334" s="10" t="str">
        <f aca="false">IF($C334="&lt;01",ROUND(INDEX(EID!$P:$P,MATCH($B334,EID!$B:$B,0))/2,0),"")</f>
        <v/>
      </c>
      <c r="AO334" s="10" t="n">
        <f aca="false">IF($C334="&lt;01",SUM($AN334),ROUND(SUM($AM334)*SUM($O334)/IF(SUM($Z334)=0,1,$Z334),0))</f>
        <v>0</v>
      </c>
      <c r="AP334" s="39" t="n">
        <f aca="false">IF(OR($F334="",$C334="&lt;01"),$AO334,$F334)</f>
        <v>0</v>
      </c>
      <c r="AQ334" s="39" t="n">
        <f aca="false">IF(LEFT($B334,4)="_Mil","",IF(SUM($AP334)=0,SUM($Z334),IF(OR(SUM($Z334)=0,SUM($O334)=0),MAX($AP334,$Z334),$AP334*$Z334/$O334)))</f>
        <v>1851</v>
      </c>
      <c r="AR334" s="88" t="str">
        <f aca="false">IF(OR(LEFT($B334,4)="_Mil",SUM($AJ334)=0),"",SUM($AQ334)/$AJ334)</f>
        <v/>
      </c>
      <c r="AS334" s="88" t="n">
        <f aca="false">IF($C334="&lt;01","",98%)</f>
        <v>0.98</v>
      </c>
      <c r="AT334" s="88" t="n">
        <f aca="false">IF($C334="&lt;01","",98%)</f>
        <v>0.98</v>
      </c>
      <c r="AU334" s="10" t="n">
        <f aca="false">IF($C334="&lt;01","",SUM($AP334)-SUM($O334))</f>
        <v>0</v>
      </c>
      <c r="AV334" s="10" t="n">
        <f aca="false">IF($C334="&lt;01",ROUND(INDEX(EID!$N:$N,MATCH($B334,EID!$B:$B,0))/2,0),IF(SUM($AT334)=0,"",ROUND((SUM($AP334)-(SUM($O334)*SUM($AS334)))/$AT334,0)))</f>
        <v>0</v>
      </c>
      <c r="AW334" s="88" t="n">
        <f aca="false">IF($C334="&lt;01","",100%)</f>
        <v>1</v>
      </c>
      <c r="AX334" s="39" t="n">
        <f aca="false">IF($C334="&lt;01",SUM($AV334),ROUND(SUM($AV334)*SUM($AW334),0))</f>
        <v>0</v>
      </c>
      <c r="AY334" s="114" t="n">
        <f aca="false">IF($C334="&lt;01","",70%)</f>
        <v>0.7</v>
      </c>
      <c r="AZ334" s="91" t="n">
        <f aca="false">IF($C334="&lt;01",ROUND(INDEX(EID!$R:$R,MATCH($B334,EID!$B:$B,0))/2,0),ROUND(SUM($O334)+(SUM($AV334)*$AY334),0))</f>
        <v>0</v>
      </c>
      <c r="BA334" s="87" t="n">
        <f aca="false">IF($C334="&lt;01","",95%)</f>
        <v>0.95</v>
      </c>
      <c r="BB334" s="5" t="n">
        <f aca="false">IF($C334="&lt;01",ROUND(INDEX(EID!$T:$T,MATCH($B334,EID!$B:$B,0))/2,0),ROUND($AZ334*$BA334,0))</f>
        <v>0</v>
      </c>
      <c r="BC334" s="91" t="n">
        <f aca="false">IF(LEFT($B334,4)="_Mil","",IF(SUM($BB334)=0,SUM($AD334),IF(OR(SUM($AP334)=0,SUM($AQ334)=0),MAX($BB334,$AD334),ROUND($BB334*$AQ334/$AP334,0))))</f>
        <v>0</v>
      </c>
      <c r="BD334" s="88" t="n">
        <f aca="false">IF($C334="&lt;01","",95%)</f>
        <v>0.95</v>
      </c>
      <c r="BE334" s="39" t="n">
        <f aca="false">IF($C334="&lt;01",ROUND(INDEX(EID!$V:$V,MATCH($B334,EID!$B:$B,0))/2,0),ROUND($BD334*$BB334,0))</f>
        <v>0</v>
      </c>
      <c r="BF334" s="39" t="n">
        <f aca="false">IF(LEFT($B334,4)="_Mil","",IF(SUM($BE334)=0,SUM($AF334),IF(OR(SUM($AP334)=0,SUM($AQ334)=0),MAX($BE334,$AF334),ROUND($BE334*$AQ334/$AP334,0))))</f>
        <v>0</v>
      </c>
      <c r="BG334" s="114" t="n">
        <f aca="false">IF($C334="&lt;01","",95%)</f>
        <v>0.95</v>
      </c>
      <c r="BH334" s="5" t="n">
        <f aca="false">IF($C334="&lt;01",ROUND(INDEX(EID!$L:$L,MATCH($B334,EID!$B:$B,0)),0)/2,IF(SUM($BG334)=0,"",ROUND($AX334/$BG334,0)))</f>
        <v>0</v>
      </c>
    </row>
    <row r="335" customFormat="false" ht="15" hidden="false" customHeight="false" outlineLevel="0" collapsed="false">
      <c r="A335" s="0" t="str">
        <f aca="false">INDEX(Prioritization!$D:$D,MATCH($B335,Prioritization!$A:$A,0))</f>
        <v>INVALID</v>
      </c>
      <c r="B335" s="0" t="s">
        <v>216</v>
      </c>
      <c r="C335" s="0" t="s">
        <v>368</v>
      </c>
      <c r="D335" s="0" t="s">
        <v>30</v>
      </c>
      <c r="E335" s="0" t="str">
        <f aca="false">$B335&amp;"|"&amp;$C335&amp;"|"&amp;$D335</f>
        <v>Mulanje District [umc2n1Z4wNv]|50+|Female</v>
      </c>
      <c r="F335" s="10"/>
      <c r="G335" s="10"/>
      <c r="H335" s="10"/>
      <c r="I335" s="10"/>
      <c r="J335" s="10"/>
      <c r="K335" s="10"/>
      <c r="L335" s="10"/>
      <c r="M335" s="10"/>
      <c r="N335" s="10"/>
      <c r="O335" s="10" t="str">
        <f aca="false">IFERROR(1/(1/MAX($I335,$N335)),"")</f>
        <v/>
      </c>
      <c r="P335" s="10"/>
      <c r="Q335" s="10"/>
      <c r="R335" s="10" t="str">
        <f aca="false">IF(AND(SUM($I335)=0,SUM($O335)=0),"",SUM($O335)-$I335)</f>
        <v/>
      </c>
      <c r="S335" s="10" t="n">
        <f aca="false">IF(LEFT($B335,4)="_Mil","",_xlfn.IFNA(ROUND(INDEX(Spectrum!$N:$N,MATCH(RIGHT($B335,13)&amp;"|"&amp;$C335&amp;"|"&amp;$D335&amp;"|"&amp;S$14&amp;"|"&amp;"CY2022Q4",Spectrum!$R:$R,0)),0),""))</f>
        <v>553</v>
      </c>
      <c r="T335" s="39" t="n">
        <f aca="false">IF(LEFT($B335,4)="_Mil","",_xlfn.IFNA(ROUND(INDEX(Spectrum!$N:$N,MATCH(RIGHT($B335,13)&amp;"|"&amp;$C335&amp;"|"&amp;$D335&amp;"|"&amp;T$14&amp;"|"&amp;"CY2023Q3",Spectrum!$R:$R,0)),0),""))</f>
        <v>1949</v>
      </c>
      <c r="U335" s="39" t="str">
        <f aca="false">IF(LEFT($B335,4)="_Mil","",_xlfn.IFNA(ROUND(INDEX(Spectrum!$N:$N,MATCH(RIGHT($B335,13)&amp;"|"&amp;$C335&amp;"|"&amp;$D335&amp;"|"&amp;U$14&amp;"|"&amp;"CY2023Q3",Spectrum!$R:$R,0)),0),""))</f>
        <v/>
      </c>
      <c r="V335" s="10" t="n">
        <f aca="false">IF(LEFT($B335,4)="_Mil","",_xlfn.IFNA(ROUND(INDEX(Spectrum!$N:$N,MATCH(RIGHT($B335,13)&amp;"|"&amp;$C335&amp;"|"&amp;$D335&amp;"|"&amp;V$14&amp;"|"&amp;"CY2023Q3",Spectrum!$R:$R,0)),0),""))</f>
        <v>1928</v>
      </c>
      <c r="W335" s="113" t="n">
        <f aca="false">IF(LEFT($B335,4)="_Mil","",_xlfn.IFNA(INDEX(Spectrum!$N:$N,MATCH(RIGHT($B335,13)&amp;"|"&amp;$C335&amp;"|"&amp;$D335&amp;"|"&amp;W$14&amp;"|"&amp;"CY2023Q3",Spectrum!$R:$R,0)),""))</f>
        <v>1889</v>
      </c>
      <c r="X335" s="39" t="n">
        <f aca="false">IF(LEFT($B335,4)="_Mil","",_xlfn.IFNA(ROUND(INDEX(Spectrum!$N:$N,MATCH(RIGHT($B335,13)&amp;"|"&amp;$C335&amp;"|"&amp;$D335&amp;"|"&amp;X$14&amp;"|"&amp;"CY2023Q3",Spectrum!$R:$R,0)),0),""))</f>
        <v>906</v>
      </c>
      <c r="Y335" s="88" t="str">
        <f aca="false">IF(OR(SUM($U335)=0,LEFT($B335,4)="_Mil"),"",SUM($X335)/$U335)</f>
        <v/>
      </c>
      <c r="Z335" s="39" t="n">
        <f aca="false">IF(LEFT($B335,4)="_Mil","",_xlfn.IFNA(ROUND(INDEX(Spectrum!$N:$N,MATCH(RIGHT($B335,13)&amp;"|"&amp;$C335&amp;"|"&amp;$D335&amp;"|"&amp;Z$14&amp;"|"&amp;"CY2023Q3",Spectrum!$R:$R,0)),0),""))</f>
        <v>1838</v>
      </c>
      <c r="AA335" s="88" t="n">
        <f aca="false">IF(LEFT($B335,4)="_Mil","",IFERROR(1/(1/INDEX(Spectrum!$N:$N,MATCH(RIGHT($B335,13)&amp;"|"&amp;$C335&amp;"|"&amp;$D335&amp;"|"&amp;AA$14&amp;"|"&amp;"CY2023Q3",Spectrum!$R:$R,0))),IF(SUM($U335)=0,"",SUM($Z335)/$U335)))</f>
        <v>1352</v>
      </c>
      <c r="AB335" s="88" t="n">
        <f aca="false">IF(OR(LEFT($B335,4)="_Mil",SUM($X335)=0),"",SUM($Z335)/$X335)</f>
        <v>2.02869757174393</v>
      </c>
      <c r="AC335" s="10" t="n">
        <f aca="false">IF(LEFT($B335,4)="_Mil","",_xlfn.IFNA(ROUND(INDEX(Spectrum!$N:$N,MATCH(RIGHT($B335,13)&amp;"|"&amp;$C335&amp;"|"&amp;$D335&amp;"|"&amp;AC$14&amp;"|"&amp;"CY2023Q3",Spectrum!$R:$R,0)),0),""))</f>
        <v>1064</v>
      </c>
      <c r="AD335" s="10" t="str">
        <f aca="false">IF(LEFT($B335,4)="_Mil","",_xlfn.IFNA(ROUND(INDEX(Spectrum!$N:$N,MATCH(RIGHT($B335,13)&amp;"|"&amp;$C335&amp;"|"&amp;$D335&amp;"|"&amp;AD$14&amp;"|"&amp;"CY2023Q3",Spectrum!$R:$R,0)),0),""))</f>
        <v/>
      </c>
      <c r="AE335" s="88" t="n">
        <f aca="false">IF(OR(LEFT($B335,4)="_Mil",SUM($Z335)=0),"",SUM($AD335)/$Z335)</f>
        <v>0</v>
      </c>
      <c r="AF335" s="39" t="str">
        <f aca="false">IF(LEFT($B335,4)="_Mil","",_xlfn.IFNA(ROUND(INDEX(Spectrum!$N:$N,MATCH(RIGHT($B335,13)&amp;"|"&amp;$C335&amp;"|"&amp;$D335&amp;"|"&amp;AF$14&amp;"|"&amp;"CY2023Q3",Spectrum!$R:$R,0)),0),""))</f>
        <v/>
      </c>
      <c r="AG335" s="88" t="str">
        <f aca="false">IF(OR(LEFT($B335,4)="_Mil",SUM($AD335)=0),"",SUM($AF335)/$AD335)</f>
        <v/>
      </c>
      <c r="AH335" s="86" t="str">
        <f aca="false">IF(LEFT($B335,4)="_Mil","",_xlfn.IFNA(INDEX(Spectrum!$N:$N,MATCH(RIGHT($B335,13)&amp;"|"&amp;$C335&amp;"|"&amp;$D335&amp;"|"&amp;AH$14&amp;"|"&amp;"CY2023Q3",Spectrum!$R:$R,0)),""))</f>
        <v/>
      </c>
      <c r="AI335" s="10" t="str">
        <f aca="false">IF(LEFT($B335,4)="_Mil","",_xlfn.IFNA(ROUND(INDEX(Spectrum!$N:$N,MATCH(RIGHT($B335,13)&amp;"|"&amp;$C335&amp;"|"&amp;$D335&amp;"|"&amp;AI$14&amp;"|"&amp;"CY2023Q3",Spectrum!$R:$R,0)),0),""))</f>
        <v/>
      </c>
      <c r="AJ335" s="39" t="n">
        <f aca="false">IF(LEFT($B335,4)="_Mil","",_xlfn.IFNA(ROUND(INDEX(Spectrum!$N:$N,MATCH(RIGHT($B335,13)&amp;"|"&amp;$C335&amp;"|"&amp;$D335&amp;"|"&amp;AI$14&amp;"|"&amp;"CY2023Q3",Spectrum!$R:$R,0)),0),SUM($U335)+SUM($AI335)))</f>
        <v>0</v>
      </c>
      <c r="AK335" s="10" t="str">
        <f aca="false">IF(LEFT($B335,4)="_Mil","",_xlfn.IFNA(ROUND(INDEX(Spectrum!$N:$N,MATCH(RIGHT($B335,13)&amp;"|"&amp;$C335&amp;"|"&amp;$D335&amp;"|"&amp;AK$14&amp;"|"&amp;"CY2023Q3",Spectrum!$R:$R,0)),0),""))</f>
        <v/>
      </c>
      <c r="AL335" s="88" t="n">
        <f aca="false">IF(OR(LEFT($B335,4)="_Mil",$C335="&lt;01"),"",MAX(SUM($AA335),90%))</f>
        <v>1352</v>
      </c>
      <c r="AM335" s="10" t="n">
        <f aca="false">IF(OR(LEFT($B335,4)="_Mil",$C335="&lt;01"),"",ROUND(SUM($AJ335)*SUM($AL335),0))</f>
        <v>0</v>
      </c>
      <c r="AN335" s="10" t="str">
        <f aca="false">IF($C335="&lt;01",ROUND(INDEX(EID!$P:$P,MATCH($B335,EID!$B:$B,0))/2,0),"")</f>
        <v/>
      </c>
      <c r="AO335" s="10" t="n">
        <f aca="false">IF($C335="&lt;01",SUM($AN335),ROUND(SUM($AM335)*SUM($O335)/IF(SUM($Z335)=0,1,$Z335),0))</f>
        <v>0</v>
      </c>
      <c r="AP335" s="39" t="n">
        <f aca="false">IF(OR($F335="",$C335="&lt;01"),$AO335,$F335)</f>
        <v>0</v>
      </c>
      <c r="AQ335" s="39" t="n">
        <f aca="false">IF(LEFT($B335,4)="_Mil","",IF(SUM($AP335)=0,SUM($Z335),IF(OR(SUM($Z335)=0,SUM($O335)=0),MAX($AP335,$Z335),$AP335*$Z335/$O335)))</f>
        <v>1838</v>
      </c>
      <c r="AR335" s="88" t="str">
        <f aca="false">IF(OR(LEFT($B335,4)="_Mil",SUM($AJ335)=0),"",SUM($AQ335)/$AJ335)</f>
        <v/>
      </c>
      <c r="AS335" s="88" t="n">
        <f aca="false">IF($C335="&lt;01","",98%)</f>
        <v>0.98</v>
      </c>
      <c r="AT335" s="88" t="n">
        <f aca="false">IF($C335="&lt;01","",98%)</f>
        <v>0.98</v>
      </c>
      <c r="AU335" s="10" t="n">
        <f aca="false">IF($C335="&lt;01","",SUM($AP335)-SUM($O335))</f>
        <v>0</v>
      </c>
      <c r="AV335" s="10" t="n">
        <f aca="false">IF($C335="&lt;01",ROUND(INDEX(EID!$N:$N,MATCH($B335,EID!$B:$B,0))/2,0),IF(SUM($AT335)=0,"",ROUND((SUM($AP335)-(SUM($O335)*SUM($AS335)))/$AT335,0)))</f>
        <v>0</v>
      </c>
      <c r="AW335" s="88" t="n">
        <f aca="false">IF($C335="&lt;01","",100%)</f>
        <v>1</v>
      </c>
      <c r="AX335" s="39" t="n">
        <f aca="false">IF($C335="&lt;01",SUM($AV335),ROUND(SUM($AV335)*SUM($AW335),0))</f>
        <v>0</v>
      </c>
      <c r="AY335" s="114" t="n">
        <f aca="false">IF($C335="&lt;01","",70%)</f>
        <v>0.7</v>
      </c>
      <c r="AZ335" s="91" t="n">
        <f aca="false">IF($C335="&lt;01",ROUND(INDEX(EID!$R:$R,MATCH($B335,EID!$B:$B,0))/2,0),ROUND(SUM($O335)+(SUM($AV335)*$AY335),0))</f>
        <v>0</v>
      </c>
      <c r="BA335" s="87" t="n">
        <f aca="false">IF($C335="&lt;01","",95%)</f>
        <v>0.95</v>
      </c>
      <c r="BB335" s="5" t="n">
        <f aca="false">IF($C335="&lt;01",ROUND(INDEX(EID!$T:$T,MATCH($B335,EID!$B:$B,0))/2,0),ROUND($AZ335*$BA335,0))</f>
        <v>0</v>
      </c>
      <c r="BC335" s="91" t="n">
        <f aca="false">IF(LEFT($B335,4)="_Mil","",IF(SUM($BB335)=0,SUM($AD335),IF(OR(SUM($AP335)=0,SUM($AQ335)=0),MAX($BB335,$AD335),ROUND($BB335*$AQ335/$AP335,0))))</f>
        <v>0</v>
      </c>
      <c r="BD335" s="88" t="n">
        <f aca="false">IF($C335="&lt;01","",95%)</f>
        <v>0.95</v>
      </c>
      <c r="BE335" s="39" t="n">
        <f aca="false">IF($C335="&lt;01",ROUND(INDEX(EID!$V:$V,MATCH($B335,EID!$B:$B,0))/2,0),ROUND($BD335*$BB335,0))</f>
        <v>0</v>
      </c>
      <c r="BF335" s="39" t="n">
        <f aca="false">IF(LEFT($B335,4)="_Mil","",IF(SUM($BE335)=0,SUM($AF335),IF(OR(SUM($AP335)=0,SUM($AQ335)=0),MAX($BE335,$AF335),ROUND($BE335*$AQ335/$AP335,0))))</f>
        <v>0</v>
      </c>
      <c r="BG335" s="114" t="n">
        <f aca="false">IF($C335="&lt;01","",95%)</f>
        <v>0.95</v>
      </c>
      <c r="BH335" s="5" t="n">
        <f aca="false">IF($C335="&lt;01",ROUND(INDEX(EID!$L:$L,MATCH($B335,EID!$B:$B,0)),0)/2,IF(SUM($BG335)=0,"",ROUND($AX335/$BG335,0)))</f>
        <v>0</v>
      </c>
    </row>
    <row r="336" customFormat="false" ht="15" hidden="false" customHeight="false" outlineLevel="0" collapsed="false">
      <c r="A336" s="0" t="str">
        <f aca="false">INDEX(Prioritization!$D:$D,MATCH($B336,Prioritization!$A:$A,0))</f>
        <v>INVALID</v>
      </c>
      <c r="B336" s="0" t="s">
        <v>216</v>
      </c>
      <c r="C336" s="0" t="s">
        <v>368</v>
      </c>
      <c r="D336" s="0" t="s">
        <v>48</v>
      </c>
      <c r="E336" s="0" t="str">
        <f aca="false">$B336&amp;"|"&amp;$C336&amp;"|"&amp;$D336</f>
        <v>Mulanje District [umc2n1Z4wNv]|50+|Male</v>
      </c>
      <c r="F336" s="10"/>
      <c r="G336" s="10"/>
      <c r="H336" s="10"/>
      <c r="I336" s="10"/>
      <c r="J336" s="10"/>
      <c r="K336" s="10"/>
      <c r="L336" s="10"/>
      <c r="M336" s="10"/>
      <c r="N336" s="10"/>
      <c r="O336" s="10" t="str">
        <f aca="false">IFERROR(1/(1/MAX($I336,$N336)),"")</f>
        <v/>
      </c>
      <c r="P336" s="10"/>
      <c r="Q336" s="10"/>
      <c r="R336" s="10" t="str">
        <f aca="false">IF(AND(SUM($I336)=0,SUM($O336)=0),"",SUM($O336)-$I336)</f>
        <v/>
      </c>
      <c r="S336" s="10" t="n">
        <f aca="false">IF(LEFT($B336,4)="_Mil","",_xlfn.IFNA(ROUND(INDEX(Spectrum!$N:$N,MATCH(RIGHT($B336,13)&amp;"|"&amp;$C336&amp;"|"&amp;$D336&amp;"|"&amp;S$14&amp;"|"&amp;"CY2022Q4",Spectrum!$R:$R,0)),0),""))</f>
        <v>881</v>
      </c>
      <c r="T336" s="39" t="n">
        <f aca="false">IF(LEFT($B336,4)="_Mil","",_xlfn.IFNA(ROUND(INDEX(Spectrum!$N:$N,MATCH(RIGHT($B336,13)&amp;"|"&amp;$C336&amp;"|"&amp;$D336&amp;"|"&amp;T$14&amp;"|"&amp;"CY2023Q3",Spectrum!$R:$R,0)),0),""))</f>
        <v>1860</v>
      </c>
      <c r="U336" s="39" t="str">
        <f aca="false">IF(LEFT($B336,4)="_Mil","",_xlfn.IFNA(ROUND(INDEX(Spectrum!$N:$N,MATCH(RIGHT($B336,13)&amp;"|"&amp;$C336&amp;"|"&amp;$D336&amp;"|"&amp;U$14&amp;"|"&amp;"CY2023Q3",Spectrum!$R:$R,0)),0),""))</f>
        <v/>
      </c>
      <c r="V336" s="10" t="n">
        <f aca="false">IF(LEFT($B336,4)="_Mil","",_xlfn.IFNA(ROUND(INDEX(Spectrum!$N:$N,MATCH(RIGHT($B336,13)&amp;"|"&amp;$C336&amp;"|"&amp;$D336&amp;"|"&amp;V$14&amp;"|"&amp;"CY2023Q3",Spectrum!$R:$R,0)),0),""))</f>
        <v>579</v>
      </c>
      <c r="W336" s="113" t="n">
        <f aca="false">IF(LEFT($B336,4)="_Mil","",_xlfn.IFNA(INDEX(Spectrum!$N:$N,MATCH(RIGHT($B336,13)&amp;"|"&amp;$C336&amp;"|"&amp;$D336&amp;"|"&amp;W$14&amp;"|"&amp;"CY2023Q3",Spectrum!$R:$R,0)),""))</f>
        <v>1556</v>
      </c>
      <c r="X336" s="39" t="n">
        <f aca="false">IF(LEFT($B336,4)="_Mil","",_xlfn.IFNA(ROUND(INDEX(Spectrum!$N:$N,MATCH(RIGHT($B336,13)&amp;"|"&amp;$C336&amp;"|"&amp;$D336&amp;"|"&amp;X$14&amp;"|"&amp;"CY2023Q3",Spectrum!$R:$R,0)),0),""))</f>
        <v>1819</v>
      </c>
      <c r="Y336" s="88" t="str">
        <f aca="false">IF(OR(SUM($U336)=0,LEFT($B336,4)="_Mil"),"",SUM($X336)/$U336)</f>
        <v/>
      </c>
      <c r="Z336" s="39" t="n">
        <f aca="false">IF(LEFT($B336,4)="_Mil","",_xlfn.IFNA(ROUND(INDEX(Spectrum!$N:$N,MATCH(RIGHT($B336,13)&amp;"|"&amp;$C336&amp;"|"&amp;$D336&amp;"|"&amp;Z$14&amp;"|"&amp;"CY2023Q3",Spectrum!$R:$R,0)),0),""))</f>
        <v>1871</v>
      </c>
      <c r="AA336" s="88" t="n">
        <f aca="false">IF(LEFT($B336,4)="_Mil","",IFERROR(1/(1/INDEX(Spectrum!$N:$N,MATCH(RIGHT($B336,13)&amp;"|"&amp;$C336&amp;"|"&amp;$D336&amp;"|"&amp;AA$14&amp;"|"&amp;"CY2023Q3",Spectrum!$R:$R,0))),IF(SUM($U336)=0,"",SUM($Z336)/$U336)))</f>
        <v>996</v>
      </c>
      <c r="AB336" s="88" t="n">
        <f aca="false">IF(OR(LEFT($B336,4)="_Mil",SUM($X336)=0),"",SUM($Z336)/$X336)</f>
        <v>1.0285871357889</v>
      </c>
      <c r="AC336" s="10" t="n">
        <f aca="false">IF(LEFT($B336,4)="_Mil","",_xlfn.IFNA(ROUND(INDEX(Spectrum!$N:$N,MATCH(RIGHT($B336,13)&amp;"|"&amp;$C336&amp;"|"&amp;$D336&amp;"|"&amp;AC$14&amp;"|"&amp;"CY2023Q3",Spectrum!$R:$R,0)),0),""))</f>
        <v>1506</v>
      </c>
      <c r="AD336" s="10" t="str">
        <f aca="false">IF(LEFT($B336,4)="_Mil","",_xlfn.IFNA(ROUND(INDEX(Spectrum!$N:$N,MATCH(RIGHT($B336,13)&amp;"|"&amp;$C336&amp;"|"&amp;$D336&amp;"|"&amp;AD$14&amp;"|"&amp;"CY2023Q3",Spectrum!$R:$R,0)),0),""))</f>
        <v/>
      </c>
      <c r="AE336" s="88" t="n">
        <f aca="false">IF(OR(LEFT($B336,4)="_Mil",SUM($Z336)=0),"",SUM($AD336)/$Z336)</f>
        <v>0</v>
      </c>
      <c r="AF336" s="39" t="str">
        <f aca="false">IF(LEFT($B336,4)="_Mil","",_xlfn.IFNA(ROUND(INDEX(Spectrum!$N:$N,MATCH(RIGHT($B336,13)&amp;"|"&amp;$C336&amp;"|"&amp;$D336&amp;"|"&amp;AF$14&amp;"|"&amp;"CY2023Q3",Spectrum!$R:$R,0)),0),""))</f>
        <v/>
      </c>
      <c r="AG336" s="88" t="str">
        <f aca="false">IF(OR(LEFT($B336,4)="_Mil",SUM($AD336)=0),"",SUM($AF336)/$AD336)</f>
        <v/>
      </c>
      <c r="AH336" s="86" t="str">
        <f aca="false">IF(LEFT($B336,4)="_Mil","",_xlfn.IFNA(INDEX(Spectrum!$N:$N,MATCH(RIGHT($B336,13)&amp;"|"&amp;$C336&amp;"|"&amp;$D336&amp;"|"&amp;AH$14&amp;"|"&amp;"CY2023Q3",Spectrum!$R:$R,0)),""))</f>
        <v/>
      </c>
      <c r="AI336" s="10" t="str">
        <f aca="false">IF(LEFT($B336,4)="_Mil","",_xlfn.IFNA(ROUND(INDEX(Spectrum!$N:$N,MATCH(RIGHT($B336,13)&amp;"|"&amp;$C336&amp;"|"&amp;$D336&amp;"|"&amp;AI$14&amp;"|"&amp;"CY2023Q3",Spectrum!$R:$R,0)),0),""))</f>
        <v/>
      </c>
      <c r="AJ336" s="39" t="n">
        <f aca="false">IF(LEFT($B336,4)="_Mil","",_xlfn.IFNA(ROUND(INDEX(Spectrum!$N:$N,MATCH(RIGHT($B336,13)&amp;"|"&amp;$C336&amp;"|"&amp;$D336&amp;"|"&amp;AI$14&amp;"|"&amp;"CY2023Q3",Spectrum!$R:$R,0)),0),SUM($U336)+SUM($AI336)))</f>
        <v>0</v>
      </c>
      <c r="AK336" s="10" t="str">
        <f aca="false">IF(LEFT($B336,4)="_Mil","",_xlfn.IFNA(ROUND(INDEX(Spectrum!$N:$N,MATCH(RIGHT($B336,13)&amp;"|"&amp;$C336&amp;"|"&amp;$D336&amp;"|"&amp;AK$14&amp;"|"&amp;"CY2023Q3",Spectrum!$R:$R,0)),0),""))</f>
        <v/>
      </c>
      <c r="AL336" s="88" t="n">
        <f aca="false">IF(OR(LEFT($B336,4)="_Mil",$C336="&lt;01"),"",MAX(SUM($AA336),90%))</f>
        <v>996</v>
      </c>
      <c r="AM336" s="10" t="n">
        <f aca="false">IF(OR(LEFT($B336,4)="_Mil",$C336="&lt;01"),"",ROUND(SUM($AJ336)*SUM($AL336),0))</f>
        <v>0</v>
      </c>
      <c r="AN336" s="10" t="str">
        <f aca="false">IF($C336="&lt;01",ROUND(INDEX(EID!$P:$P,MATCH($B336,EID!$B:$B,0))/2,0),"")</f>
        <v/>
      </c>
      <c r="AO336" s="10" t="n">
        <f aca="false">IF($C336="&lt;01",SUM($AN336),ROUND(SUM($AM336)*SUM($O336)/IF(SUM($Z336)=0,1,$Z336),0))</f>
        <v>0</v>
      </c>
      <c r="AP336" s="39" t="n">
        <f aca="false">IF(OR($F336="",$C336="&lt;01"),$AO336,$F336)</f>
        <v>0</v>
      </c>
      <c r="AQ336" s="39" t="n">
        <f aca="false">IF(LEFT($B336,4)="_Mil","",IF(SUM($AP336)=0,SUM($Z336),IF(OR(SUM($Z336)=0,SUM($O336)=0),MAX($AP336,$Z336),$AP336*$Z336/$O336)))</f>
        <v>1871</v>
      </c>
      <c r="AR336" s="88" t="str">
        <f aca="false">IF(OR(LEFT($B336,4)="_Mil",SUM($AJ336)=0),"",SUM($AQ336)/$AJ336)</f>
        <v/>
      </c>
      <c r="AS336" s="88" t="n">
        <f aca="false">IF($C336="&lt;01","",98%)</f>
        <v>0.98</v>
      </c>
      <c r="AT336" s="88" t="n">
        <f aca="false">IF($C336="&lt;01","",98%)</f>
        <v>0.98</v>
      </c>
      <c r="AU336" s="10" t="n">
        <f aca="false">IF($C336="&lt;01","",SUM($AP336)-SUM($O336))</f>
        <v>0</v>
      </c>
      <c r="AV336" s="10" t="n">
        <f aca="false">IF($C336="&lt;01",ROUND(INDEX(EID!$N:$N,MATCH($B336,EID!$B:$B,0))/2,0),IF(SUM($AT336)=0,"",ROUND((SUM($AP336)-(SUM($O336)*SUM($AS336)))/$AT336,0)))</f>
        <v>0</v>
      </c>
      <c r="AW336" s="88" t="n">
        <f aca="false">IF($C336="&lt;01","",100%)</f>
        <v>1</v>
      </c>
      <c r="AX336" s="39" t="n">
        <f aca="false">IF($C336="&lt;01",SUM($AV336),ROUND(SUM($AV336)*SUM($AW336),0))</f>
        <v>0</v>
      </c>
      <c r="AY336" s="114" t="n">
        <f aca="false">IF($C336="&lt;01","",70%)</f>
        <v>0.7</v>
      </c>
      <c r="AZ336" s="91" t="n">
        <f aca="false">IF($C336="&lt;01",ROUND(INDEX(EID!$R:$R,MATCH($B336,EID!$B:$B,0))/2,0),ROUND(SUM($O336)+(SUM($AV336)*$AY336),0))</f>
        <v>0</v>
      </c>
      <c r="BA336" s="87" t="n">
        <f aca="false">IF($C336="&lt;01","",95%)</f>
        <v>0.95</v>
      </c>
      <c r="BB336" s="5" t="n">
        <f aca="false">IF($C336="&lt;01",ROUND(INDEX(EID!$T:$T,MATCH($B336,EID!$B:$B,0))/2,0),ROUND($AZ336*$BA336,0))</f>
        <v>0</v>
      </c>
      <c r="BC336" s="91" t="n">
        <f aca="false">IF(LEFT($B336,4)="_Mil","",IF(SUM($BB336)=0,SUM($AD336),IF(OR(SUM($AP336)=0,SUM($AQ336)=0),MAX($BB336,$AD336),ROUND($BB336*$AQ336/$AP336,0))))</f>
        <v>0</v>
      </c>
      <c r="BD336" s="88" t="n">
        <f aca="false">IF($C336="&lt;01","",95%)</f>
        <v>0.95</v>
      </c>
      <c r="BE336" s="39" t="n">
        <f aca="false">IF($C336="&lt;01",ROUND(INDEX(EID!$V:$V,MATCH($B336,EID!$B:$B,0))/2,0),ROUND($BD336*$BB336,0))</f>
        <v>0</v>
      </c>
      <c r="BF336" s="39" t="n">
        <f aca="false">IF(LEFT($B336,4)="_Mil","",IF(SUM($BE336)=0,SUM($AF336),IF(OR(SUM($AP336)=0,SUM($AQ336)=0),MAX($BE336,$AF336),ROUND($BE336*$AQ336/$AP336,0))))</f>
        <v>0</v>
      </c>
      <c r="BG336" s="114" t="n">
        <f aca="false">IF($C336="&lt;01","",95%)</f>
        <v>0.95</v>
      </c>
      <c r="BH336" s="5" t="n">
        <f aca="false">IF($C336="&lt;01",ROUND(INDEX(EID!$L:$L,MATCH($B336,EID!$B:$B,0)),0)/2,IF(SUM($BG336)=0,"",ROUND($AX336/$BG336,0)))</f>
        <v>0</v>
      </c>
    </row>
    <row r="337" customFormat="false" ht="15" hidden="false" customHeight="false" outlineLevel="0" collapsed="false">
      <c r="A337" s="0" t="str">
        <f aca="false">INDEX(Prioritization!$D:$D,MATCH($B337,Prioritization!$A:$A,0))</f>
        <v>INVALID</v>
      </c>
      <c r="B337" s="0" t="s">
        <v>217</v>
      </c>
      <c r="C337" s="0" t="s">
        <v>316</v>
      </c>
      <c r="D337" s="0" t="s">
        <v>30</v>
      </c>
      <c r="E337" s="0" t="str">
        <f aca="false">$B337&amp;"|"&amp;$C337&amp;"|"&amp;$D337</f>
        <v>Mwanza District [wNqJp8oRIcF]|&lt;01|Female</v>
      </c>
      <c r="F337" s="10"/>
      <c r="G337" s="10" t="n">
        <v>7</v>
      </c>
      <c r="H337" s="10" t="n">
        <v>0</v>
      </c>
      <c r="I337" s="10" t="n">
        <v>1</v>
      </c>
      <c r="J337" s="10" t="n">
        <v>7</v>
      </c>
      <c r="K337" s="10" t="n">
        <v>9</v>
      </c>
      <c r="L337" s="10"/>
      <c r="M337" s="10" t="n">
        <v>0</v>
      </c>
      <c r="N337" s="10" t="n">
        <v>1</v>
      </c>
      <c r="O337" s="10" t="n">
        <f aca="false">IFERROR(1/(1/MAX($I337,$N337)),"")</f>
        <v>1</v>
      </c>
      <c r="P337" s="10" t="n">
        <v>1</v>
      </c>
      <c r="Q337" s="10" t="n">
        <v>0</v>
      </c>
      <c r="R337" s="10" t="n">
        <f aca="false">IF(AND(SUM($I337)=0,SUM($O337)=0),"",SUM($O337)-$I337)</f>
        <v>0</v>
      </c>
      <c r="S337" s="10" t="n">
        <f aca="false">IF(LEFT($B337,4)="_Mil","",_xlfn.IFNA(ROUND(INDEX(Spectrum!$N:$N,MATCH(RIGHT($B337,13)&amp;"|"&amp;$C337&amp;"|"&amp;$D337&amp;"|"&amp;S$14&amp;"|"&amp;"CY2022Q4",Spectrum!$R:$R,0)),0),""))</f>
        <v>1364</v>
      </c>
      <c r="T337" s="39" t="n">
        <f aca="false">IF(LEFT($B337,4)="_Mil","",_xlfn.IFNA(ROUND(INDEX(Spectrum!$N:$N,MATCH(RIGHT($B337,13)&amp;"|"&amp;$C337&amp;"|"&amp;$D337&amp;"|"&amp;T$14&amp;"|"&amp;"CY2023Q3",Spectrum!$R:$R,0)),0),""))</f>
        <v>1878</v>
      </c>
      <c r="U337" s="39" t="str">
        <f aca="false">IF(LEFT($B337,4)="_Mil","",_xlfn.IFNA(ROUND(INDEX(Spectrum!$N:$N,MATCH(RIGHT($B337,13)&amp;"|"&amp;$C337&amp;"|"&amp;$D337&amp;"|"&amp;U$14&amp;"|"&amp;"CY2023Q3",Spectrum!$R:$R,0)),0),""))</f>
        <v/>
      </c>
      <c r="V337" s="10" t="n">
        <f aca="false">IF(LEFT($B337,4)="_Mil","",_xlfn.IFNA(ROUND(INDEX(Spectrum!$N:$N,MATCH(RIGHT($B337,13)&amp;"|"&amp;$C337&amp;"|"&amp;$D337&amp;"|"&amp;V$14&amp;"|"&amp;"CY2023Q3",Spectrum!$R:$R,0)),0),""))</f>
        <v>1991</v>
      </c>
      <c r="W337" s="113" t="n">
        <f aca="false">IF(LEFT($B337,4)="_Mil","",_xlfn.IFNA(INDEX(Spectrum!$N:$N,MATCH(RIGHT($B337,13)&amp;"|"&amp;$C337&amp;"|"&amp;$D337&amp;"|"&amp;W$14&amp;"|"&amp;"CY2023Q3",Spectrum!$R:$R,0)),""))</f>
        <v>1752</v>
      </c>
      <c r="X337" s="39" t="n">
        <f aca="false">IF(LEFT($B337,4)="_Mil","",_xlfn.IFNA(ROUND(INDEX(Spectrum!$N:$N,MATCH(RIGHT($B337,13)&amp;"|"&amp;$C337&amp;"|"&amp;$D337&amp;"|"&amp;X$14&amp;"|"&amp;"CY2023Q3",Spectrum!$R:$R,0)),0),""))</f>
        <v>1103</v>
      </c>
      <c r="Y337" s="88" t="str">
        <f aca="false">IF(OR(SUM($U337)=0,LEFT($B337,4)="_Mil"),"",SUM($X337)/$U337)</f>
        <v/>
      </c>
      <c r="Z337" s="39" t="n">
        <f aca="false">IF(LEFT($B337,4)="_Mil","",_xlfn.IFNA(ROUND(INDEX(Spectrum!$N:$N,MATCH(RIGHT($B337,13)&amp;"|"&amp;$C337&amp;"|"&amp;$D337&amp;"|"&amp;Z$14&amp;"|"&amp;"CY2023Q3",Spectrum!$R:$R,0)),0),""))</f>
        <v>674</v>
      </c>
      <c r="AA337" s="88" t="n">
        <f aca="false">IF(LEFT($B337,4)="_Mil","",IFERROR(1/(1/INDEX(Spectrum!$N:$N,MATCH(RIGHT($B337,13)&amp;"|"&amp;$C337&amp;"|"&amp;$D337&amp;"|"&amp;AA$14&amp;"|"&amp;"CY2023Q3",Spectrum!$R:$R,0))),IF(SUM($U337)=0,"",SUM($Z337)/$U337)))</f>
        <v>1315</v>
      </c>
      <c r="AB337" s="88" t="n">
        <f aca="false">IF(OR(LEFT($B337,4)="_Mil",SUM($X337)=0),"",SUM($Z337)/$X337)</f>
        <v>0.611060743427017</v>
      </c>
      <c r="AC337" s="10" t="n">
        <f aca="false">IF(LEFT($B337,4)="_Mil","",_xlfn.IFNA(ROUND(INDEX(Spectrum!$N:$N,MATCH(RIGHT($B337,13)&amp;"|"&amp;$C337&amp;"|"&amp;$D337&amp;"|"&amp;AC$14&amp;"|"&amp;"CY2023Q3",Spectrum!$R:$R,0)),0),""))</f>
        <v>761</v>
      </c>
      <c r="AD337" s="10" t="str">
        <f aca="false">IF(LEFT($B337,4)="_Mil","",_xlfn.IFNA(ROUND(INDEX(Spectrum!$N:$N,MATCH(RIGHT($B337,13)&amp;"|"&amp;$C337&amp;"|"&amp;$D337&amp;"|"&amp;AD$14&amp;"|"&amp;"CY2023Q3",Spectrum!$R:$R,0)),0),""))</f>
        <v/>
      </c>
      <c r="AE337" s="88" t="n">
        <f aca="false">IF(OR(LEFT($B337,4)="_Mil",SUM($Z337)=0),"",SUM($AD337)/$Z337)</f>
        <v>0</v>
      </c>
      <c r="AF337" s="39" t="str">
        <f aca="false">IF(LEFT($B337,4)="_Mil","",_xlfn.IFNA(ROUND(INDEX(Spectrum!$N:$N,MATCH(RIGHT($B337,13)&amp;"|"&amp;$C337&amp;"|"&amp;$D337&amp;"|"&amp;AF$14&amp;"|"&amp;"CY2023Q3",Spectrum!$R:$R,0)),0),""))</f>
        <v/>
      </c>
      <c r="AG337" s="88" t="str">
        <f aca="false">IF(OR(LEFT($B337,4)="_Mil",SUM($AD337)=0),"",SUM($AF337)/$AD337)</f>
        <v/>
      </c>
      <c r="AH337" s="86" t="str">
        <f aca="false">IF(LEFT($B337,4)="_Mil","",_xlfn.IFNA(INDEX(Spectrum!$N:$N,MATCH(RIGHT($B337,13)&amp;"|"&amp;$C337&amp;"|"&amp;$D337&amp;"|"&amp;AH$14&amp;"|"&amp;"CY2023Q3",Spectrum!$R:$R,0)),""))</f>
        <v/>
      </c>
      <c r="AI337" s="10" t="str">
        <f aca="false">IF(LEFT($B337,4)="_Mil","",_xlfn.IFNA(ROUND(INDEX(Spectrum!$N:$N,MATCH(RIGHT($B337,13)&amp;"|"&amp;$C337&amp;"|"&amp;$D337&amp;"|"&amp;AI$14&amp;"|"&amp;"CY2023Q3",Spectrum!$R:$R,0)),0),""))</f>
        <v/>
      </c>
      <c r="AJ337" s="39" t="n">
        <f aca="false">IF(LEFT($B337,4)="_Mil","",_xlfn.IFNA(ROUND(INDEX(Spectrum!$N:$N,MATCH(RIGHT($B337,13)&amp;"|"&amp;$C337&amp;"|"&amp;$D337&amp;"|"&amp;AI$14&amp;"|"&amp;"CY2023Q3",Spectrum!$R:$R,0)),0),SUM($U337)+SUM($AI337)))</f>
        <v>0</v>
      </c>
      <c r="AK337" s="10" t="str">
        <f aca="false">IF(LEFT($B337,4)="_Mil","",_xlfn.IFNA(ROUND(INDEX(Spectrum!$N:$N,MATCH(RIGHT($B337,13)&amp;"|"&amp;$C337&amp;"|"&amp;$D337&amp;"|"&amp;AK$14&amp;"|"&amp;"CY2023Q3",Spectrum!$R:$R,0)),0),""))</f>
        <v/>
      </c>
      <c r="AL337" s="88" t="str">
        <f aca="false">IF(OR(LEFT($B337,4)="_Mil",$C337="&lt;01"),"",MAX(SUM($AA337),90%))</f>
        <v/>
      </c>
      <c r="AM337" s="10" t="str">
        <f aca="false">IF(OR(LEFT($B337,4)="_Mil",$C337="&lt;01"),"",ROUND(SUM($AJ337)*SUM($AL337),0))</f>
        <v/>
      </c>
      <c r="AN337" s="10" t="n">
        <f aca="false">IF($C337="&lt;01",ROUND(INDEX(EID!$P:$P,MATCH($B337,EID!$B:$B,0))/2,0),"")</f>
        <v>0</v>
      </c>
      <c r="AO337" s="10" t="n">
        <f aca="false">IF($C337="&lt;01",SUM($AN337),ROUND(SUM($AM337)*SUM($O337)/IF(SUM($Z337)=0,1,$Z337),0))</f>
        <v>0</v>
      </c>
      <c r="AP337" s="39" t="n">
        <f aca="false">IF(OR($F337="",$C337="&lt;01"),$AO337,$F337)</f>
        <v>0</v>
      </c>
      <c r="AQ337" s="39" t="n">
        <f aca="false">IF(LEFT($B337,4)="_Mil","",IF(SUM($AP337)=0,SUM($Z337),IF(OR(SUM($Z337)=0,SUM($O337)=0),MAX($AP337,$Z337),$AP337*$Z337/$O337)))</f>
        <v>674</v>
      </c>
      <c r="AR337" s="88" t="str">
        <f aca="false">IF(OR(LEFT($B337,4)="_Mil",SUM($AJ337)=0),"",SUM($AQ337)/$AJ337)</f>
        <v/>
      </c>
      <c r="AS337" s="88" t="str">
        <f aca="false">IF($C337="&lt;01","",98%)</f>
        <v/>
      </c>
      <c r="AT337" s="88" t="str">
        <f aca="false">IF($C337="&lt;01","",98%)</f>
        <v/>
      </c>
      <c r="AU337" s="10" t="str">
        <f aca="false">IF($C337="&lt;01","",SUM($AP337)-SUM($O337))</f>
        <v/>
      </c>
      <c r="AV337" s="10" t="n">
        <f aca="false">IF($C337="&lt;01",ROUND(INDEX(EID!$N:$N,MATCH($B337,EID!$B:$B,0))/2,0),IF(SUM($AT337)=0,"",ROUND((SUM($AP337)-(SUM($O337)*SUM($AS337)))/$AT337,0)))</f>
        <v>0</v>
      </c>
      <c r="AW337" s="88" t="str">
        <f aca="false">IF($C337="&lt;01","",100%)</f>
        <v/>
      </c>
      <c r="AX337" s="39" t="n">
        <f aca="false">IF($C337="&lt;01",SUM($AV337),ROUND(SUM($AV337)*SUM($AW337),0))</f>
        <v>0</v>
      </c>
      <c r="AY337" s="114" t="str">
        <f aca="false">IF($C337="&lt;01","",70%)</f>
        <v/>
      </c>
      <c r="AZ337" s="91" t="n">
        <f aca="false">IF($C337="&lt;01",ROUND(INDEX(EID!$R:$R,MATCH($B337,EID!$B:$B,0))/2,0),ROUND(SUM($O337)+(SUM($AV337)*$AY337),0))</f>
        <v>0</v>
      </c>
      <c r="BA337" s="87" t="str">
        <f aca="false">IF($C337="&lt;01","",95%)</f>
        <v/>
      </c>
      <c r="BB337" s="5" t="n">
        <f aca="false">IF($C337="&lt;01",ROUND(INDEX(EID!$T:$T,MATCH($B337,EID!$B:$B,0))/2,0),ROUND($AZ337*$BA337,0))</f>
        <v>0</v>
      </c>
      <c r="BC337" s="91" t="n">
        <f aca="false">IF(LEFT($B337,4)="_Mil","",IF(SUM($BB337)=0,SUM($AD337),IF(OR(SUM($AP337)=0,SUM($AQ337)=0),MAX($BB337,$AD337),ROUND($BB337*$AQ337/$AP337,0))))</f>
        <v>0</v>
      </c>
      <c r="BD337" s="88" t="str">
        <f aca="false">IF($C337="&lt;01","",95%)</f>
        <v/>
      </c>
      <c r="BE337" s="39" t="n">
        <f aca="false">IF($C337="&lt;01",ROUND(INDEX(EID!$V:$V,MATCH($B337,EID!$B:$B,0))/2,0),ROUND($BD337*$BB337,0))</f>
        <v>0</v>
      </c>
      <c r="BF337" s="39" t="n">
        <f aca="false">IF(LEFT($B337,4)="_Mil","",IF(SUM($BE337)=0,SUM($AF337),IF(OR(SUM($AP337)=0,SUM($AQ337)=0),MAX($BE337,$AF337),ROUND($BE337*$AQ337/$AP337,0))))</f>
        <v>0</v>
      </c>
      <c r="BG337" s="114" t="str">
        <f aca="false">IF($C337="&lt;01","",95%)</f>
        <v/>
      </c>
      <c r="BH337" s="5" t="n">
        <f aca="false">IF($C337="&lt;01",ROUND(INDEX(EID!$L:$L,MATCH($B337,EID!$B:$B,0)),0)/2,IF(SUM($BG337)=0,"",ROUND($AX337/$BG337,0)))</f>
        <v>0</v>
      </c>
    </row>
    <row r="338" customFormat="false" ht="15" hidden="false" customHeight="false" outlineLevel="0" collapsed="false">
      <c r="A338" s="0" t="str">
        <f aca="false">INDEX(Prioritization!$D:$D,MATCH($B338,Prioritization!$A:$A,0))</f>
        <v>INVALID</v>
      </c>
      <c r="B338" s="0" t="s">
        <v>217</v>
      </c>
      <c r="C338" s="0" t="s">
        <v>316</v>
      </c>
      <c r="D338" s="0" t="s">
        <v>48</v>
      </c>
      <c r="E338" s="0" t="str">
        <f aca="false">$B338&amp;"|"&amp;$C338&amp;"|"&amp;$D338</f>
        <v>Mwanza District [wNqJp8oRIcF]|&lt;01|Male</v>
      </c>
      <c r="F338" s="10"/>
      <c r="G338" s="10" t="n">
        <v>2</v>
      </c>
      <c r="H338" s="10" t="n">
        <v>0</v>
      </c>
      <c r="I338" s="10" t="n">
        <v>0</v>
      </c>
      <c r="J338" s="10" t="n">
        <v>0</v>
      </c>
      <c r="K338" s="10" t="n">
        <v>1</v>
      </c>
      <c r="L338" s="10"/>
      <c r="M338" s="10" t="n">
        <v>0</v>
      </c>
      <c r="N338" s="10" t="n">
        <v>1</v>
      </c>
      <c r="O338" s="10" t="n">
        <f aca="false">IFERROR(1/(1/MAX($I338,$N338)),"")</f>
        <v>1</v>
      </c>
      <c r="P338" s="10" t="n">
        <v>1</v>
      </c>
      <c r="Q338" s="10" t="n">
        <v>0</v>
      </c>
      <c r="R338" s="10" t="n">
        <f aca="false">IF(AND(SUM($I338)=0,SUM($O338)=0),"",SUM($O338)-$I338)</f>
        <v>1</v>
      </c>
      <c r="S338" s="10" t="n">
        <f aca="false">IF(LEFT($B338,4)="_Mil","",_xlfn.IFNA(ROUND(INDEX(Spectrum!$N:$N,MATCH(RIGHT($B338,13)&amp;"|"&amp;$C338&amp;"|"&amp;$D338&amp;"|"&amp;S$14&amp;"|"&amp;"CY2022Q4",Spectrum!$R:$R,0)),0),""))</f>
        <v>657</v>
      </c>
      <c r="T338" s="39" t="n">
        <f aca="false">IF(LEFT($B338,4)="_Mil","",_xlfn.IFNA(ROUND(INDEX(Spectrum!$N:$N,MATCH(RIGHT($B338,13)&amp;"|"&amp;$C338&amp;"|"&amp;$D338&amp;"|"&amp;T$14&amp;"|"&amp;"CY2023Q3",Spectrum!$R:$R,0)),0),""))</f>
        <v>790</v>
      </c>
      <c r="U338" s="39" t="str">
        <f aca="false">IF(LEFT($B338,4)="_Mil","",_xlfn.IFNA(ROUND(INDEX(Spectrum!$N:$N,MATCH(RIGHT($B338,13)&amp;"|"&amp;$C338&amp;"|"&amp;$D338&amp;"|"&amp;U$14&amp;"|"&amp;"CY2023Q3",Spectrum!$R:$R,0)),0),""))</f>
        <v/>
      </c>
      <c r="V338" s="10" t="n">
        <f aca="false">IF(LEFT($B338,4)="_Mil","",_xlfn.IFNA(ROUND(INDEX(Spectrum!$N:$N,MATCH(RIGHT($B338,13)&amp;"|"&amp;$C338&amp;"|"&amp;$D338&amp;"|"&amp;V$14&amp;"|"&amp;"CY2023Q3",Spectrum!$R:$R,0)),0),""))</f>
        <v>1742</v>
      </c>
      <c r="W338" s="113" t="n">
        <f aca="false">IF(LEFT($B338,4)="_Mil","",_xlfn.IFNA(INDEX(Spectrum!$N:$N,MATCH(RIGHT($B338,13)&amp;"|"&amp;$C338&amp;"|"&amp;$D338&amp;"|"&amp;W$14&amp;"|"&amp;"CY2023Q3",Spectrum!$R:$R,0)),""))</f>
        <v>1835</v>
      </c>
      <c r="X338" s="39" t="n">
        <f aca="false">IF(LEFT($B338,4)="_Mil","",_xlfn.IFNA(ROUND(INDEX(Spectrum!$N:$N,MATCH(RIGHT($B338,13)&amp;"|"&amp;$C338&amp;"|"&amp;$D338&amp;"|"&amp;X$14&amp;"|"&amp;"CY2023Q3",Spectrum!$R:$R,0)),0),""))</f>
        <v>1925</v>
      </c>
      <c r="Y338" s="88" t="str">
        <f aca="false">IF(OR(SUM($U338)=0,LEFT($B338,4)="_Mil"),"",SUM($X338)/$U338)</f>
        <v/>
      </c>
      <c r="Z338" s="39" t="n">
        <f aca="false">IF(LEFT($B338,4)="_Mil","",_xlfn.IFNA(ROUND(INDEX(Spectrum!$N:$N,MATCH(RIGHT($B338,13)&amp;"|"&amp;$C338&amp;"|"&amp;$D338&amp;"|"&amp;Z$14&amp;"|"&amp;"CY2023Q3",Spectrum!$R:$R,0)),0),""))</f>
        <v>1982</v>
      </c>
      <c r="AA338" s="88" t="n">
        <f aca="false">IF(LEFT($B338,4)="_Mil","",IFERROR(1/(1/INDEX(Spectrum!$N:$N,MATCH(RIGHT($B338,13)&amp;"|"&amp;$C338&amp;"|"&amp;$D338&amp;"|"&amp;AA$14&amp;"|"&amp;"CY2023Q3",Spectrum!$R:$R,0))),IF(SUM($U338)=0,"",SUM($Z338)/$U338)))</f>
        <v>1250</v>
      </c>
      <c r="AB338" s="88" t="n">
        <f aca="false">IF(OR(LEFT($B338,4)="_Mil",SUM($X338)=0),"",SUM($Z338)/$X338)</f>
        <v>1.02961038961039</v>
      </c>
      <c r="AC338" s="10" t="n">
        <f aca="false">IF(LEFT($B338,4)="_Mil","",_xlfn.IFNA(ROUND(INDEX(Spectrum!$N:$N,MATCH(RIGHT($B338,13)&amp;"|"&amp;$C338&amp;"|"&amp;$D338&amp;"|"&amp;AC$14&amp;"|"&amp;"CY2023Q3",Spectrum!$R:$R,0)),0),""))</f>
        <v>1024</v>
      </c>
      <c r="AD338" s="10" t="str">
        <f aca="false">IF(LEFT($B338,4)="_Mil","",_xlfn.IFNA(ROUND(INDEX(Spectrum!$N:$N,MATCH(RIGHT($B338,13)&amp;"|"&amp;$C338&amp;"|"&amp;$D338&amp;"|"&amp;AD$14&amp;"|"&amp;"CY2023Q3",Spectrum!$R:$R,0)),0),""))</f>
        <v/>
      </c>
      <c r="AE338" s="88" t="n">
        <f aca="false">IF(OR(LEFT($B338,4)="_Mil",SUM($Z338)=0),"",SUM($AD338)/$Z338)</f>
        <v>0</v>
      </c>
      <c r="AF338" s="39" t="str">
        <f aca="false">IF(LEFT($B338,4)="_Mil","",_xlfn.IFNA(ROUND(INDEX(Spectrum!$N:$N,MATCH(RIGHT($B338,13)&amp;"|"&amp;$C338&amp;"|"&amp;$D338&amp;"|"&amp;AF$14&amp;"|"&amp;"CY2023Q3",Spectrum!$R:$R,0)),0),""))</f>
        <v/>
      </c>
      <c r="AG338" s="88" t="str">
        <f aca="false">IF(OR(LEFT($B338,4)="_Mil",SUM($AD338)=0),"",SUM($AF338)/$AD338)</f>
        <v/>
      </c>
      <c r="AH338" s="86" t="str">
        <f aca="false">IF(LEFT($B338,4)="_Mil","",_xlfn.IFNA(INDEX(Spectrum!$N:$N,MATCH(RIGHT($B338,13)&amp;"|"&amp;$C338&amp;"|"&amp;$D338&amp;"|"&amp;AH$14&amp;"|"&amp;"CY2023Q3",Spectrum!$R:$R,0)),""))</f>
        <v/>
      </c>
      <c r="AI338" s="10" t="str">
        <f aca="false">IF(LEFT($B338,4)="_Mil","",_xlfn.IFNA(ROUND(INDEX(Spectrum!$N:$N,MATCH(RIGHT($B338,13)&amp;"|"&amp;$C338&amp;"|"&amp;$D338&amp;"|"&amp;AI$14&amp;"|"&amp;"CY2023Q3",Spectrum!$R:$R,0)),0),""))</f>
        <v/>
      </c>
      <c r="AJ338" s="39" t="n">
        <f aca="false">IF(LEFT($B338,4)="_Mil","",_xlfn.IFNA(ROUND(INDEX(Spectrum!$N:$N,MATCH(RIGHT($B338,13)&amp;"|"&amp;$C338&amp;"|"&amp;$D338&amp;"|"&amp;AI$14&amp;"|"&amp;"CY2023Q3",Spectrum!$R:$R,0)),0),SUM($U338)+SUM($AI338)))</f>
        <v>0</v>
      </c>
      <c r="AK338" s="10" t="str">
        <f aca="false">IF(LEFT($B338,4)="_Mil","",_xlfn.IFNA(ROUND(INDEX(Spectrum!$N:$N,MATCH(RIGHT($B338,13)&amp;"|"&amp;$C338&amp;"|"&amp;$D338&amp;"|"&amp;AK$14&amp;"|"&amp;"CY2023Q3",Spectrum!$R:$R,0)),0),""))</f>
        <v/>
      </c>
      <c r="AL338" s="88" t="str">
        <f aca="false">IF(OR(LEFT($B338,4)="_Mil",$C338="&lt;01"),"",MAX(SUM($AA338),90%))</f>
        <v/>
      </c>
      <c r="AM338" s="10" t="str">
        <f aca="false">IF(OR(LEFT($B338,4)="_Mil",$C338="&lt;01"),"",ROUND(SUM($AJ338)*SUM($AL338),0))</f>
        <v/>
      </c>
      <c r="AN338" s="10" t="n">
        <f aca="false">IF($C338="&lt;01",ROUND(INDEX(EID!$P:$P,MATCH($B338,EID!$B:$B,0))/2,0),"")</f>
        <v>0</v>
      </c>
      <c r="AO338" s="10" t="n">
        <f aca="false">IF($C338="&lt;01",SUM($AN338),ROUND(SUM($AM338)*SUM($O338)/IF(SUM($Z338)=0,1,$Z338),0))</f>
        <v>0</v>
      </c>
      <c r="AP338" s="39" t="n">
        <f aca="false">IF(OR($F338="",$C338="&lt;01"),$AO338,$F338)</f>
        <v>0</v>
      </c>
      <c r="AQ338" s="39" t="n">
        <f aca="false">IF(LEFT($B338,4)="_Mil","",IF(SUM($AP338)=0,SUM($Z338),IF(OR(SUM($Z338)=0,SUM($O338)=0),MAX($AP338,$Z338),$AP338*$Z338/$O338)))</f>
        <v>1982</v>
      </c>
      <c r="AR338" s="88" t="str">
        <f aca="false">IF(OR(LEFT($B338,4)="_Mil",SUM($AJ338)=0),"",SUM($AQ338)/$AJ338)</f>
        <v/>
      </c>
      <c r="AS338" s="88" t="str">
        <f aca="false">IF($C338="&lt;01","",98%)</f>
        <v/>
      </c>
      <c r="AT338" s="88" t="str">
        <f aca="false">IF($C338="&lt;01","",98%)</f>
        <v/>
      </c>
      <c r="AU338" s="10" t="str">
        <f aca="false">IF($C338="&lt;01","",SUM($AP338)-SUM($O338))</f>
        <v/>
      </c>
      <c r="AV338" s="10" t="n">
        <f aca="false">IF($C338="&lt;01",ROUND(INDEX(EID!$N:$N,MATCH($B338,EID!$B:$B,0))/2,0),IF(SUM($AT338)=0,"",ROUND((SUM($AP338)-(SUM($O338)*SUM($AS338)))/$AT338,0)))</f>
        <v>0</v>
      </c>
      <c r="AW338" s="88" t="str">
        <f aca="false">IF($C338="&lt;01","",100%)</f>
        <v/>
      </c>
      <c r="AX338" s="39" t="n">
        <f aca="false">IF($C338="&lt;01",SUM($AV338),ROUND(SUM($AV338)*SUM($AW338),0))</f>
        <v>0</v>
      </c>
      <c r="AY338" s="114" t="str">
        <f aca="false">IF($C338="&lt;01","",70%)</f>
        <v/>
      </c>
      <c r="AZ338" s="91" t="n">
        <f aca="false">IF($C338="&lt;01",ROUND(INDEX(EID!$R:$R,MATCH($B338,EID!$B:$B,0))/2,0),ROUND(SUM($O338)+(SUM($AV338)*$AY338),0))</f>
        <v>0</v>
      </c>
      <c r="BA338" s="87" t="str">
        <f aca="false">IF($C338="&lt;01","",95%)</f>
        <v/>
      </c>
      <c r="BB338" s="5" t="n">
        <f aca="false">IF($C338="&lt;01",ROUND(INDEX(EID!$T:$T,MATCH($B338,EID!$B:$B,0))/2,0),ROUND($AZ338*$BA338,0))</f>
        <v>0</v>
      </c>
      <c r="BC338" s="91" t="n">
        <f aca="false">IF(LEFT($B338,4)="_Mil","",IF(SUM($BB338)=0,SUM($AD338),IF(OR(SUM($AP338)=0,SUM($AQ338)=0),MAX($BB338,$AD338),ROUND($BB338*$AQ338/$AP338,0))))</f>
        <v>0</v>
      </c>
      <c r="BD338" s="88" t="str">
        <f aca="false">IF($C338="&lt;01","",95%)</f>
        <v/>
      </c>
      <c r="BE338" s="39" t="n">
        <f aca="false">IF($C338="&lt;01",ROUND(INDEX(EID!$V:$V,MATCH($B338,EID!$B:$B,0))/2,0),ROUND($BD338*$BB338,0))</f>
        <v>0</v>
      </c>
      <c r="BF338" s="39" t="n">
        <f aca="false">IF(LEFT($B338,4)="_Mil","",IF(SUM($BE338)=0,SUM($AF338),IF(OR(SUM($AP338)=0,SUM($AQ338)=0),MAX($BE338,$AF338),ROUND($BE338*$AQ338/$AP338,0))))</f>
        <v>0</v>
      </c>
      <c r="BG338" s="114" t="str">
        <f aca="false">IF($C338="&lt;01","",95%)</f>
        <v/>
      </c>
      <c r="BH338" s="5" t="n">
        <f aca="false">IF($C338="&lt;01",ROUND(INDEX(EID!$L:$L,MATCH($B338,EID!$B:$B,0)),0)/2,IF(SUM($BG338)=0,"",ROUND($AX338/$BG338,0)))</f>
        <v>0</v>
      </c>
    </row>
    <row r="339" customFormat="false" ht="15" hidden="false" customHeight="false" outlineLevel="0" collapsed="false">
      <c r="A339" s="0" t="str">
        <f aca="false">INDEX(Prioritization!$D:$D,MATCH($B339,Prioritization!$A:$A,0))</f>
        <v>INVALID</v>
      </c>
      <c r="B339" s="0" t="s">
        <v>217</v>
      </c>
      <c r="C339" s="0" t="s">
        <v>363</v>
      </c>
      <c r="D339" s="0" t="s">
        <v>30</v>
      </c>
      <c r="E339" s="0" t="str">
        <f aca="false">$B339&amp;"|"&amp;$C339&amp;"|"&amp;$D339</f>
        <v>Mwanza District [wNqJp8oRIcF]|01-09|Female</v>
      </c>
      <c r="F339" s="10"/>
      <c r="G339" s="10"/>
      <c r="H339" s="10"/>
      <c r="I339" s="10"/>
      <c r="J339" s="10"/>
      <c r="K339" s="10"/>
      <c r="L339" s="10"/>
      <c r="M339" s="10"/>
      <c r="N339" s="10"/>
      <c r="O339" s="10" t="str">
        <f aca="false">IFERROR(1/(1/MAX($I339,$N339)),"")</f>
        <v/>
      </c>
      <c r="P339" s="10"/>
      <c r="Q339" s="10"/>
      <c r="R339" s="10" t="str">
        <f aca="false">IF(AND(SUM($I339)=0,SUM($O339)=0),"",SUM($O339)-$I339)</f>
        <v/>
      </c>
      <c r="S339" s="10" t="n">
        <f aca="false">IF(LEFT($B339,4)="_Mil","",_xlfn.IFNA(ROUND(INDEX(Spectrum!$N:$N,MATCH(RIGHT($B339,13)&amp;"|"&amp;$C339&amp;"|"&amp;$D339&amp;"|"&amp;S$14&amp;"|"&amp;"CY2022Q4",Spectrum!$R:$R,0)),0),""))</f>
        <v>552</v>
      </c>
      <c r="T339" s="39" t="n">
        <f aca="false">IF(LEFT($B339,4)="_Mil","",_xlfn.IFNA(ROUND(INDEX(Spectrum!$N:$N,MATCH(RIGHT($B339,13)&amp;"|"&amp;$C339&amp;"|"&amp;$D339&amp;"|"&amp;T$14&amp;"|"&amp;"CY2023Q3",Spectrum!$R:$R,0)),0),""))</f>
        <v>1180</v>
      </c>
      <c r="U339" s="39" t="str">
        <f aca="false">IF(LEFT($B339,4)="_Mil","",_xlfn.IFNA(ROUND(INDEX(Spectrum!$N:$N,MATCH(RIGHT($B339,13)&amp;"|"&amp;$C339&amp;"|"&amp;$D339&amp;"|"&amp;U$14&amp;"|"&amp;"CY2023Q3",Spectrum!$R:$R,0)),0),""))</f>
        <v/>
      </c>
      <c r="V339" s="10" t="n">
        <f aca="false">IF(LEFT($B339,4)="_Mil","",_xlfn.IFNA(ROUND(INDEX(Spectrum!$N:$N,MATCH(RIGHT($B339,13)&amp;"|"&amp;$C339&amp;"|"&amp;$D339&amp;"|"&amp;V$14&amp;"|"&amp;"CY2023Q3",Spectrum!$R:$R,0)),0),""))</f>
        <v>1620</v>
      </c>
      <c r="W339" s="113" t="n">
        <f aca="false">IF(LEFT($B339,4)="_Mil","",_xlfn.IFNA(INDEX(Spectrum!$N:$N,MATCH(RIGHT($B339,13)&amp;"|"&amp;$C339&amp;"|"&amp;$D339&amp;"|"&amp;W$14&amp;"|"&amp;"CY2023Q3",Spectrum!$R:$R,0)),""))</f>
        <v>1166</v>
      </c>
      <c r="X339" s="39" t="n">
        <f aca="false">IF(LEFT($B339,4)="_Mil","",_xlfn.IFNA(ROUND(INDEX(Spectrum!$N:$N,MATCH(RIGHT($B339,13)&amp;"|"&amp;$C339&amp;"|"&amp;$D339&amp;"|"&amp;X$14&amp;"|"&amp;"CY2023Q3",Spectrum!$R:$R,0)),0),""))</f>
        <v>1954</v>
      </c>
      <c r="Y339" s="88" t="str">
        <f aca="false">IF(OR(SUM($U339)=0,LEFT($B339,4)="_Mil"),"",SUM($X339)/$U339)</f>
        <v/>
      </c>
      <c r="Z339" s="39" t="n">
        <f aca="false">IF(LEFT($B339,4)="_Mil","",_xlfn.IFNA(ROUND(INDEX(Spectrum!$N:$N,MATCH(RIGHT($B339,13)&amp;"|"&amp;$C339&amp;"|"&amp;$D339&amp;"|"&amp;Z$14&amp;"|"&amp;"CY2023Q3",Spectrum!$R:$R,0)),0),""))</f>
        <v>819</v>
      </c>
      <c r="AA339" s="88" t="n">
        <f aca="false">IF(LEFT($B339,4)="_Mil","",IFERROR(1/(1/INDEX(Spectrum!$N:$N,MATCH(RIGHT($B339,13)&amp;"|"&amp;$C339&amp;"|"&amp;$D339&amp;"|"&amp;AA$14&amp;"|"&amp;"CY2023Q3",Spectrum!$R:$R,0))),IF(SUM($U339)=0,"",SUM($Z339)/$U339)))</f>
        <v>1944</v>
      </c>
      <c r="AB339" s="88" t="n">
        <f aca="false">IF(OR(LEFT($B339,4)="_Mil",SUM($X339)=0),"",SUM($Z339)/$X339)</f>
        <v>0.41914022517912</v>
      </c>
      <c r="AC339" s="10" t="n">
        <f aca="false">IF(LEFT($B339,4)="_Mil","",_xlfn.IFNA(ROUND(INDEX(Spectrum!$N:$N,MATCH(RIGHT($B339,13)&amp;"|"&amp;$C339&amp;"|"&amp;$D339&amp;"|"&amp;AC$14&amp;"|"&amp;"CY2023Q3",Spectrum!$R:$R,0)),0),""))</f>
        <v>1854</v>
      </c>
      <c r="AD339" s="10" t="str">
        <f aca="false">IF(LEFT($B339,4)="_Mil","",_xlfn.IFNA(ROUND(INDEX(Spectrum!$N:$N,MATCH(RIGHT($B339,13)&amp;"|"&amp;$C339&amp;"|"&amp;$D339&amp;"|"&amp;AD$14&amp;"|"&amp;"CY2023Q3",Spectrum!$R:$R,0)),0),""))</f>
        <v/>
      </c>
      <c r="AE339" s="88" t="n">
        <f aca="false">IF(OR(LEFT($B339,4)="_Mil",SUM($Z339)=0),"",SUM($AD339)/$Z339)</f>
        <v>0</v>
      </c>
      <c r="AF339" s="39" t="str">
        <f aca="false">IF(LEFT($B339,4)="_Mil","",_xlfn.IFNA(ROUND(INDEX(Spectrum!$N:$N,MATCH(RIGHT($B339,13)&amp;"|"&amp;$C339&amp;"|"&amp;$D339&amp;"|"&amp;AF$14&amp;"|"&amp;"CY2023Q3",Spectrum!$R:$R,0)),0),""))</f>
        <v/>
      </c>
      <c r="AG339" s="88" t="str">
        <f aca="false">IF(OR(LEFT($B339,4)="_Mil",SUM($AD339)=0),"",SUM($AF339)/$AD339)</f>
        <v/>
      </c>
      <c r="AH339" s="86" t="str">
        <f aca="false">IF(LEFT($B339,4)="_Mil","",_xlfn.IFNA(INDEX(Spectrum!$N:$N,MATCH(RIGHT($B339,13)&amp;"|"&amp;$C339&amp;"|"&amp;$D339&amp;"|"&amp;AH$14&amp;"|"&amp;"CY2023Q3",Spectrum!$R:$R,0)),""))</f>
        <v/>
      </c>
      <c r="AI339" s="10" t="str">
        <f aca="false">IF(LEFT($B339,4)="_Mil","",_xlfn.IFNA(ROUND(INDEX(Spectrum!$N:$N,MATCH(RIGHT($B339,13)&amp;"|"&amp;$C339&amp;"|"&amp;$D339&amp;"|"&amp;AI$14&amp;"|"&amp;"CY2023Q3",Spectrum!$R:$R,0)),0),""))</f>
        <v/>
      </c>
      <c r="AJ339" s="39" t="n">
        <f aca="false">IF(LEFT($B339,4)="_Mil","",_xlfn.IFNA(ROUND(INDEX(Spectrum!$N:$N,MATCH(RIGHT($B339,13)&amp;"|"&amp;$C339&amp;"|"&amp;$D339&amp;"|"&amp;AI$14&amp;"|"&amp;"CY2023Q3",Spectrum!$R:$R,0)),0),SUM($U339)+SUM($AI339)))</f>
        <v>0</v>
      </c>
      <c r="AK339" s="10" t="str">
        <f aca="false">IF(LEFT($B339,4)="_Mil","",_xlfn.IFNA(ROUND(INDEX(Spectrum!$N:$N,MATCH(RIGHT($B339,13)&amp;"|"&amp;$C339&amp;"|"&amp;$D339&amp;"|"&amp;AK$14&amp;"|"&amp;"CY2023Q3",Spectrum!$R:$R,0)),0),""))</f>
        <v/>
      </c>
      <c r="AL339" s="88" t="n">
        <f aca="false">IF(OR(LEFT($B339,4)="_Mil",$C339="&lt;01"),"",MAX(SUM($AA339),90%))</f>
        <v>1944</v>
      </c>
      <c r="AM339" s="10" t="n">
        <f aca="false">IF(OR(LEFT($B339,4)="_Mil",$C339="&lt;01"),"",ROUND(SUM($AJ339)*SUM($AL339),0))</f>
        <v>0</v>
      </c>
      <c r="AN339" s="10" t="str">
        <f aca="false">IF($C339="&lt;01",ROUND(INDEX(EID!$P:$P,MATCH($B339,EID!$B:$B,0))/2,0),"")</f>
        <v/>
      </c>
      <c r="AO339" s="10" t="n">
        <f aca="false">IF($C339="&lt;01",SUM($AN339),ROUND(SUM($AM339)*SUM($O339)/IF(SUM($Z339)=0,1,$Z339),0))</f>
        <v>0</v>
      </c>
      <c r="AP339" s="39" t="n">
        <f aca="false">IF(OR($F339="",$C339="&lt;01"),$AO339,$F339)</f>
        <v>0</v>
      </c>
      <c r="AQ339" s="39" t="n">
        <f aca="false">IF(LEFT($B339,4)="_Mil","",IF(SUM($AP339)=0,SUM($Z339),IF(OR(SUM($Z339)=0,SUM($O339)=0),MAX($AP339,$Z339),$AP339*$Z339/$O339)))</f>
        <v>819</v>
      </c>
      <c r="AR339" s="88" t="str">
        <f aca="false">IF(OR(LEFT($B339,4)="_Mil",SUM($AJ339)=0),"",SUM($AQ339)/$AJ339)</f>
        <v/>
      </c>
      <c r="AS339" s="88" t="n">
        <f aca="false">IF($C339="&lt;01","",98%)</f>
        <v>0.98</v>
      </c>
      <c r="AT339" s="88" t="n">
        <f aca="false">IF($C339="&lt;01","",98%)</f>
        <v>0.98</v>
      </c>
      <c r="AU339" s="10" t="n">
        <f aca="false">IF($C339="&lt;01","",SUM($AP339)-SUM($O339))</f>
        <v>0</v>
      </c>
      <c r="AV339" s="10" t="n">
        <f aca="false">IF($C339="&lt;01",ROUND(INDEX(EID!$N:$N,MATCH($B339,EID!$B:$B,0))/2,0),IF(SUM($AT339)=0,"",ROUND((SUM($AP339)-(SUM($O339)*SUM($AS339)))/$AT339,0)))</f>
        <v>0</v>
      </c>
      <c r="AW339" s="88" t="n">
        <f aca="false">IF($C339="&lt;01","",100%)</f>
        <v>1</v>
      </c>
      <c r="AX339" s="39" t="n">
        <f aca="false">IF($C339="&lt;01",SUM($AV339),ROUND(SUM($AV339)*SUM($AW339),0))</f>
        <v>0</v>
      </c>
      <c r="AY339" s="114" t="n">
        <f aca="false">IF($C339="&lt;01","",70%)</f>
        <v>0.7</v>
      </c>
      <c r="AZ339" s="91" t="n">
        <f aca="false">IF($C339="&lt;01",ROUND(INDEX(EID!$R:$R,MATCH($B339,EID!$B:$B,0))/2,0),ROUND(SUM($O339)+(SUM($AV339)*$AY339),0))</f>
        <v>0</v>
      </c>
      <c r="BA339" s="87" t="n">
        <f aca="false">IF($C339="&lt;01","",95%)</f>
        <v>0.95</v>
      </c>
      <c r="BB339" s="5" t="n">
        <f aca="false">IF($C339="&lt;01",ROUND(INDEX(EID!$T:$T,MATCH($B339,EID!$B:$B,0))/2,0),ROUND($AZ339*$BA339,0))</f>
        <v>0</v>
      </c>
      <c r="BC339" s="91" t="n">
        <f aca="false">IF(LEFT($B339,4)="_Mil","",IF(SUM($BB339)=0,SUM($AD339),IF(OR(SUM($AP339)=0,SUM($AQ339)=0),MAX($BB339,$AD339),ROUND($BB339*$AQ339/$AP339,0))))</f>
        <v>0</v>
      </c>
      <c r="BD339" s="88" t="n">
        <f aca="false">IF($C339="&lt;01","",95%)</f>
        <v>0.95</v>
      </c>
      <c r="BE339" s="39" t="n">
        <f aca="false">IF($C339="&lt;01",ROUND(INDEX(EID!$V:$V,MATCH($B339,EID!$B:$B,0))/2,0),ROUND($BD339*$BB339,0))</f>
        <v>0</v>
      </c>
      <c r="BF339" s="39" t="n">
        <f aca="false">IF(LEFT($B339,4)="_Mil","",IF(SUM($BE339)=0,SUM($AF339),IF(OR(SUM($AP339)=0,SUM($AQ339)=0),MAX($BE339,$AF339),ROUND($BE339*$AQ339/$AP339,0))))</f>
        <v>0</v>
      </c>
      <c r="BG339" s="114" t="n">
        <f aca="false">IF($C339="&lt;01","",95%)</f>
        <v>0.95</v>
      </c>
      <c r="BH339" s="5" t="n">
        <f aca="false">IF($C339="&lt;01",ROUND(INDEX(EID!$L:$L,MATCH($B339,EID!$B:$B,0)),0)/2,IF(SUM($BG339)=0,"",ROUND($AX339/$BG339,0)))</f>
        <v>0</v>
      </c>
    </row>
    <row r="340" customFormat="false" ht="15" hidden="false" customHeight="false" outlineLevel="0" collapsed="false">
      <c r="A340" s="0" t="str">
        <f aca="false">INDEX(Prioritization!$D:$D,MATCH($B340,Prioritization!$A:$A,0))</f>
        <v>INVALID</v>
      </c>
      <c r="B340" s="0" t="s">
        <v>217</v>
      </c>
      <c r="C340" s="0" t="s">
        <v>363</v>
      </c>
      <c r="D340" s="0" t="s">
        <v>48</v>
      </c>
      <c r="E340" s="0" t="str">
        <f aca="false">$B340&amp;"|"&amp;$C340&amp;"|"&amp;$D340</f>
        <v>Mwanza District [wNqJp8oRIcF]|01-09|Male</v>
      </c>
      <c r="F340" s="10"/>
      <c r="G340" s="10"/>
      <c r="H340" s="10"/>
      <c r="I340" s="10"/>
      <c r="J340" s="10"/>
      <c r="K340" s="10"/>
      <c r="L340" s="10"/>
      <c r="M340" s="10"/>
      <c r="N340" s="10"/>
      <c r="O340" s="10" t="str">
        <f aca="false">IFERROR(1/(1/MAX($I340,$N340)),"")</f>
        <v/>
      </c>
      <c r="P340" s="10"/>
      <c r="Q340" s="10"/>
      <c r="R340" s="10" t="str">
        <f aca="false">IF(AND(SUM($I340)=0,SUM($O340)=0),"",SUM($O340)-$I340)</f>
        <v/>
      </c>
      <c r="S340" s="10" t="n">
        <f aca="false">IF(LEFT($B340,4)="_Mil","",_xlfn.IFNA(ROUND(INDEX(Spectrum!$N:$N,MATCH(RIGHT($B340,13)&amp;"|"&amp;$C340&amp;"|"&amp;$D340&amp;"|"&amp;S$14&amp;"|"&amp;"CY2022Q4",Spectrum!$R:$R,0)),0),""))</f>
        <v>1364</v>
      </c>
      <c r="T340" s="39" t="n">
        <f aca="false">IF(LEFT($B340,4)="_Mil","",_xlfn.IFNA(ROUND(INDEX(Spectrum!$N:$N,MATCH(RIGHT($B340,13)&amp;"|"&amp;$C340&amp;"|"&amp;$D340&amp;"|"&amp;T$14&amp;"|"&amp;"CY2023Q3",Spectrum!$R:$R,0)),0),""))</f>
        <v>880</v>
      </c>
      <c r="U340" s="39" t="str">
        <f aca="false">IF(LEFT($B340,4)="_Mil","",_xlfn.IFNA(ROUND(INDEX(Spectrum!$N:$N,MATCH(RIGHT($B340,13)&amp;"|"&amp;$C340&amp;"|"&amp;$D340&amp;"|"&amp;U$14&amp;"|"&amp;"CY2023Q3",Spectrum!$R:$R,0)),0),""))</f>
        <v/>
      </c>
      <c r="V340" s="10" t="n">
        <f aca="false">IF(LEFT($B340,4)="_Mil","",_xlfn.IFNA(ROUND(INDEX(Spectrum!$N:$N,MATCH(RIGHT($B340,13)&amp;"|"&amp;$C340&amp;"|"&amp;$D340&amp;"|"&amp;V$14&amp;"|"&amp;"CY2023Q3",Spectrum!$R:$R,0)),0),""))</f>
        <v>1753</v>
      </c>
      <c r="W340" s="113" t="n">
        <f aca="false">IF(LEFT($B340,4)="_Mil","",_xlfn.IFNA(INDEX(Spectrum!$N:$N,MATCH(RIGHT($B340,13)&amp;"|"&amp;$C340&amp;"|"&amp;$D340&amp;"|"&amp;W$14&amp;"|"&amp;"CY2023Q3",Spectrum!$R:$R,0)),""))</f>
        <v>779</v>
      </c>
      <c r="X340" s="39" t="n">
        <f aca="false">IF(LEFT($B340,4)="_Mil","",_xlfn.IFNA(ROUND(INDEX(Spectrum!$N:$N,MATCH(RIGHT($B340,13)&amp;"|"&amp;$C340&amp;"|"&amp;$D340&amp;"|"&amp;X$14&amp;"|"&amp;"CY2023Q3",Spectrum!$R:$R,0)),0),""))</f>
        <v>834</v>
      </c>
      <c r="Y340" s="88" t="str">
        <f aca="false">IF(OR(SUM($U340)=0,LEFT($B340,4)="_Mil"),"",SUM($X340)/$U340)</f>
        <v/>
      </c>
      <c r="Z340" s="39" t="n">
        <f aca="false">IF(LEFT($B340,4)="_Mil","",_xlfn.IFNA(ROUND(INDEX(Spectrum!$N:$N,MATCH(RIGHT($B340,13)&amp;"|"&amp;$C340&amp;"|"&amp;$D340&amp;"|"&amp;Z$14&amp;"|"&amp;"CY2023Q3",Spectrum!$R:$R,0)),0),""))</f>
        <v>966</v>
      </c>
      <c r="AA340" s="88" t="n">
        <f aca="false">IF(LEFT($B340,4)="_Mil","",IFERROR(1/(1/INDEX(Spectrum!$N:$N,MATCH(RIGHT($B340,13)&amp;"|"&amp;$C340&amp;"|"&amp;$D340&amp;"|"&amp;AA$14&amp;"|"&amp;"CY2023Q3",Spectrum!$R:$R,0))),IF(SUM($U340)=0,"",SUM($Z340)/$U340)))</f>
        <v>582</v>
      </c>
      <c r="AB340" s="88" t="n">
        <f aca="false">IF(OR(LEFT($B340,4)="_Mil",SUM($X340)=0),"",SUM($Z340)/$X340)</f>
        <v>1.15827338129496</v>
      </c>
      <c r="AC340" s="10" t="n">
        <f aca="false">IF(LEFT($B340,4)="_Mil","",_xlfn.IFNA(ROUND(INDEX(Spectrum!$N:$N,MATCH(RIGHT($B340,13)&amp;"|"&amp;$C340&amp;"|"&amp;$D340&amp;"|"&amp;AC$14&amp;"|"&amp;"CY2023Q3",Spectrum!$R:$R,0)),0),""))</f>
        <v>1682</v>
      </c>
      <c r="AD340" s="10" t="str">
        <f aca="false">IF(LEFT($B340,4)="_Mil","",_xlfn.IFNA(ROUND(INDEX(Spectrum!$N:$N,MATCH(RIGHT($B340,13)&amp;"|"&amp;$C340&amp;"|"&amp;$D340&amp;"|"&amp;AD$14&amp;"|"&amp;"CY2023Q3",Spectrum!$R:$R,0)),0),""))</f>
        <v/>
      </c>
      <c r="AE340" s="88" t="n">
        <f aca="false">IF(OR(LEFT($B340,4)="_Mil",SUM($Z340)=0),"",SUM($AD340)/$Z340)</f>
        <v>0</v>
      </c>
      <c r="AF340" s="39" t="str">
        <f aca="false">IF(LEFT($B340,4)="_Mil","",_xlfn.IFNA(ROUND(INDEX(Spectrum!$N:$N,MATCH(RIGHT($B340,13)&amp;"|"&amp;$C340&amp;"|"&amp;$D340&amp;"|"&amp;AF$14&amp;"|"&amp;"CY2023Q3",Spectrum!$R:$R,0)),0),""))</f>
        <v/>
      </c>
      <c r="AG340" s="88" t="str">
        <f aca="false">IF(OR(LEFT($B340,4)="_Mil",SUM($AD340)=0),"",SUM($AF340)/$AD340)</f>
        <v/>
      </c>
      <c r="AH340" s="86" t="str">
        <f aca="false">IF(LEFT($B340,4)="_Mil","",_xlfn.IFNA(INDEX(Spectrum!$N:$N,MATCH(RIGHT($B340,13)&amp;"|"&amp;$C340&amp;"|"&amp;$D340&amp;"|"&amp;AH$14&amp;"|"&amp;"CY2023Q3",Spectrum!$R:$R,0)),""))</f>
        <v/>
      </c>
      <c r="AI340" s="10" t="str">
        <f aca="false">IF(LEFT($B340,4)="_Mil","",_xlfn.IFNA(ROUND(INDEX(Spectrum!$N:$N,MATCH(RIGHT($B340,13)&amp;"|"&amp;$C340&amp;"|"&amp;$D340&amp;"|"&amp;AI$14&amp;"|"&amp;"CY2023Q3",Spectrum!$R:$R,0)),0),""))</f>
        <v/>
      </c>
      <c r="AJ340" s="39" t="n">
        <f aca="false">IF(LEFT($B340,4)="_Mil","",_xlfn.IFNA(ROUND(INDEX(Spectrum!$N:$N,MATCH(RIGHT($B340,13)&amp;"|"&amp;$C340&amp;"|"&amp;$D340&amp;"|"&amp;AI$14&amp;"|"&amp;"CY2023Q3",Spectrum!$R:$R,0)),0),SUM($U340)+SUM($AI340)))</f>
        <v>0</v>
      </c>
      <c r="AK340" s="10" t="str">
        <f aca="false">IF(LEFT($B340,4)="_Mil","",_xlfn.IFNA(ROUND(INDEX(Spectrum!$N:$N,MATCH(RIGHT($B340,13)&amp;"|"&amp;$C340&amp;"|"&amp;$D340&amp;"|"&amp;AK$14&amp;"|"&amp;"CY2023Q3",Spectrum!$R:$R,0)),0),""))</f>
        <v/>
      </c>
      <c r="AL340" s="88" t="n">
        <f aca="false">IF(OR(LEFT($B340,4)="_Mil",$C340="&lt;01"),"",MAX(SUM($AA340),90%))</f>
        <v>582</v>
      </c>
      <c r="AM340" s="10" t="n">
        <f aca="false">IF(OR(LEFT($B340,4)="_Mil",$C340="&lt;01"),"",ROUND(SUM($AJ340)*SUM($AL340),0))</f>
        <v>0</v>
      </c>
      <c r="AN340" s="10" t="str">
        <f aca="false">IF($C340="&lt;01",ROUND(INDEX(EID!$P:$P,MATCH($B340,EID!$B:$B,0))/2,0),"")</f>
        <v/>
      </c>
      <c r="AO340" s="10" t="n">
        <f aca="false">IF($C340="&lt;01",SUM($AN340),ROUND(SUM($AM340)*SUM($O340)/IF(SUM($Z340)=0,1,$Z340),0))</f>
        <v>0</v>
      </c>
      <c r="AP340" s="39" t="n">
        <f aca="false">IF(OR($F340="",$C340="&lt;01"),$AO340,$F340)</f>
        <v>0</v>
      </c>
      <c r="AQ340" s="39" t="n">
        <f aca="false">IF(LEFT($B340,4)="_Mil","",IF(SUM($AP340)=0,SUM($Z340),IF(OR(SUM($Z340)=0,SUM($O340)=0),MAX($AP340,$Z340),$AP340*$Z340/$O340)))</f>
        <v>966</v>
      </c>
      <c r="AR340" s="88" t="str">
        <f aca="false">IF(OR(LEFT($B340,4)="_Mil",SUM($AJ340)=0),"",SUM($AQ340)/$AJ340)</f>
        <v/>
      </c>
      <c r="AS340" s="88" t="n">
        <f aca="false">IF($C340="&lt;01","",98%)</f>
        <v>0.98</v>
      </c>
      <c r="AT340" s="88" t="n">
        <f aca="false">IF($C340="&lt;01","",98%)</f>
        <v>0.98</v>
      </c>
      <c r="AU340" s="10" t="n">
        <f aca="false">IF($C340="&lt;01","",SUM($AP340)-SUM($O340))</f>
        <v>0</v>
      </c>
      <c r="AV340" s="10" t="n">
        <f aca="false">IF($C340="&lt;01",ROUND(INDEX(EID!$N:$N,MATCH($B340,EID!$B:$B,0))/2,0),IF(SUM($AT340)=0,"",ROUND((SUM($AP340)-(SUM($O340)*SUM($AS340)))/$AT340,0)))</f>
        <v>0</v>
      </c>
      <c r="AW340" s="88" t="n">
        <f aca="false">IF($C340="&lt;01","",100%)</f>
        <v>1</v>
      </c>
      <c r="AX340" s="39" t="n">
        <f aca="false">IF($C340="&lt;01",SUM($AV340),ROUND(SUM($AV340)*SUM($AW340),0))</f>
        <v>0</v>
      </c>
      <c r="AY340" s="114" t="n">
        <f aca="false">IF($C340="&lt;01","",70%)</f>
        <v>0.7</v>
      </c>
      <c r="AZ340" s="91" t="n">
        <f aca="false">IF($C340="&lt;01",ROUND(INDEX(EID!$R:$R,MATCH($B340,EID!$B:$B,0))/2,0),ROUND(SUM($O340)+(SUM($AV340)*$AY340),0))</f>
        <v>0</v>
      </c>
      <c r="BA340" s="87" t="n">
        <f aca="false">IF($C340="&lt;01","",95%)</f>
        <v>0.95</v>
      </c>
      <c r="BB340" s="5" t="n">
        <f aca="false">IF($C340="&lt;01",ROUND(INDEX(EID!$T:$T,MATCH($B340,EID!$B:$B,0))/2,0),ROUND($AZ340*$BA340,0))</f>
        <v>0</v>
      </c>
      <c r="BC340" s="91" t="n">
        <f aca="false">IF(LEFT($B340,4)="_Mil","",IF(SUM($BB340)=0,SUM($AD340),IF(OR(SUM($AP340)=0,SUM($AQ340)=0),MAX($BB340,$AD340),ROUND($BB340*$AQ340/$AP340,0))))</f>
        <v>0</v>
      </c>
      <c r="BD340" s="88" t="n">
        <f aca="false">IF($C340="&lt;01","",95%)</f>
        <v>0.95</v>
      </c>
      <c r="BE340" s="39" t="n">
        <f aca="false">IF($C340="&lt;01",ROUND(INDEX(EID!$V:$V,MATCH($B340,EID!$B:$B,0))/2,0),ROUND($BD340*$BB340,0))</f>
        <v>0</v>
      </c>
      <c r="BF340" s="39" t="n">
        <f aca="false">IF(LEFT($B340,4)="_Mil","",IF(SUM($BE340)=0,SUM($AF340),IF(OR(SUM($AP340)=0,SUM($AQ340)=0),MAX($BE340,$AF340),ROUND($BE340*$AQ340/$AP340,0))))</f>
        <v>0</v>
      </c>
      <c r="BG340" s="114" t="n">
        <f aca="false">IF($C340="&lt;01","",95%)</f>
        <v>0.95</v>
      </c>
      <c r="BH340" s="5" t="n">
        <f aca="false">IF($C340="&lt;01",ROUND(INDEX(EID!$L:$L,MATCH($B340,EID!$B:$B,0)),0)/2,IF(SUM($BG340)=0,"",ROUND($AX340/$BG340,0)))</f>
        <v>0</v>
      </c>
    </row>
    <row r="341" customFormat="false" ht="15" hidden="false" customHeight="false" outlineLevel="0" collapsed="false">
      <c r="A341" s="0" t="str">
        <f aca="false">INDEX(Prioritization!$D:$D,MATCH($B341,Prioritization!$A:$A,0))</f>
        <v>INVALID</v>
      </c>
      <c r="B341" s="0" t="s">
        <v>217</v>
      </c>
      <c r="C341" s="0" t="s">
        <v>364</v>
      </c>
      <c r="D341" s="0" t="s">
        <v>30</v>
      </c>
      <c r="E341" s="0" t="str">
        <f aca="false">$B341&amp;"|"&amp;$C341&amp;"|"&amp;$D341</f>
        <v>Mwanza District [wNqJp8oRIcF]|10-14|Female</v>
      </c>
      <c r="F341" s="10"/>
      <c r="G341" s="10" t="n">
        <v>9</v>
      </c>
      <c r="H341" s="10" t="n">
        <v>1</v>
      </c>
      <c r="I341" s="10" t="n">
        <v>8</v>
      </c>
      <c r="J341" s="10" t="n">
        <v>6</v>
      </c>
      <c r="K341" s="10" t="n">
        <v>9</v>
      </c>
      <c r="L341" s="10" t="n">
        <v>3</v>
      </c>
      <c r="M341" s="10" t="n">
        <v>10</v>
      </c>
      <c r="N341" s="10" t="n">
        <v>6</v>
      </c>
      <c r="O341" s="10" t="n">
        <f aca="false">IFERROR(1/(1/MAX($I341,$N341)),"")</f>
        <v>8</v>
      </c>
      <c r="P341" s="10" t="n">
        <v>4</v>
      </c>
      <c r="Q341" s="10" t="n">
        <v>2</v>
      </c>
      <c r="R341" s="10" t="n">
        <f aca="false">IF(AND(SUM($I341)=0,SUM($O341)=0),"",SUM($O341)-$I341)</f>
        <v>0</v>
      </c>
      <c r="S341" s="10" t="n">
        <f aca="false">IF(LEFT($B341,4)="_Mil","",_xlfn.IFNA(ROUND(INDEX(Spectrum!$N:$N,MATCH(RIGHT($B341,13)&amp;"|"&amp;$C341&amp;"|"&amp;$D341&amp;"|"&amp;S$14&amp;"|"&amp;"CY2022Q4",Spectrum!$R:$R,0)),0),""))</f>
        <v>1011</v>
      </c>
      <c r="T341" s="39" t="n">
        <f aca="false">IF(LEFT($B341,4)="_Mil","",_xlfn.IFNA(ROUND(INDEX(Spectrum!$N:$N,MATCH(RIGHT($B341,13)&amp;"|"&amp;$C341&amp;"|"&amp;$D341&amp;"|"&amp;T$14&amp;"|"&amp;"CY2023Q3",Spectrum!$R:$R,0)),0),""))</f>
        <v>842</v>
      </c>
      <c r="U341" s="39" t="str">
        <f aca="false">IF(LEFT($B341,4)="_Mil","",_xlfn.IFNA(ROUND(INDEX(Spectrum!$N:$N,MATCH(RIGHT($B341,13)&amp;"|"&amp;$C341&amp;"|"&amp;$D341&amp;"|"&amp;U$14&amp;"|"&amp;"CY2023Q3",Spectrum!$R:$R,0)),0),""))</f>
        <v/>
      </c>
      <c r="V341" s="10" t="n">
        <f aca="false">IF(LEFT($B341,4)="_Mil","",_xlfn.IFNA(ROUND(INDEX(Spectrum!$N:$N,MATCH(RIGHT($B341,13)&amp;"|"&amp;$C341&amp;"|"&amp;$D341&amp;"|"&amp;V$14&amp;"|"&amp;"CY2023Q3",Spectrum!$R:$R,0)),0),""))</f>
        <v>1557</v>
      </c>
      <c r="W341" s="113" t="n">
        <f aca="false">IF(LEFT($B341,4)="_Mil","",_xlfn.IFNA(INDEX(Spectrum!$N:$N,MATCH(RIGHT($B341,13)&amp;"|"&amp;$C341&amp;"|"&amp;$D341&amp;"|"&amp;W$14&amp;"|"&amp;"CY2023Q3",Spectrum!$R:$R,0)),""))</f>
        <v>1463</v>
      </c>
      <c r="X341" s="39" t="n">
        <f aca="false">IF(LEFT($B341,4)="_Mil","",_xlfn.IFNA(ROUND(INDEX(Spectrum!$N:$N,MATCH(RIGHT($B341,13)&amp;"|"&amp;$C341&amp;"|"&amp;$D341&amp;"|"&amp;X$14&amp;"|"&amp;"CY2023Q3",Spectrum!$R:$R,0)),0),""))</f>
        <v>1386</v>
      </c>
      <c r="Y341" s="88" t="str">
        <f aca="false">IF(OR(SUM($U341)=0,LEFT($B341,4)="_Mil"),"",SUM($X341)/$U341)</f>
        <v/>
      </c>
      <c r="Z341" s="39" t="n">
        <f aca="false">IF(LEFT($B341,4)="_Mil","",_xlfn.IFNA(ROUND(INDEX(Spectrum!$N:$N,MATCH(RIGHT($B341,13)&amp;"|"&amp;$C341&amp;"|"&amp;$D341&amp;"|"&amp;Z$14&amp;"|"&amp;"CY2023Q3",Spectrum!$R:$R,0)),0),""))</f>
        <v>1800</v>
      </c>
      <c r="AA341" s="88" t="n">
        <f aca="false">IF(LEFT($B341,4)="_Mil","",IFERROR(1/(1/INDEX(Spectrum!$N:$N,MATCH(RIGHT($B341,13)&amp;"|"&amp;$C341&amp;"|"&amp;$D341&amp;"|"&amp;AA$14&amp;"|"&amp;"CY2023Q3",Spectrum!$R:$R,0))),IF(SUM($U341)=0,"",SUM($Z341)/$U341)))</f>
        <v>918</v>
      </c>
      <c r="AB341" s="88" t="n">
        <f aca="false">IF(OR(LEFT($B341,4)="_Mil",SUM($X341)=0),"",SUM($Z341)/$X341)</f>
        <v>1.2987012987013</v>
      </c>
      <c r="AC341" s="10" t="n">
        <f aca="false">IF(LEFT($B341,4)="_Mil","",_xlfn.IFNA(ROUND(INDEX(Spectrum!$N:$N,MATCH(RIGHT($B341,13)&amp;"|"&amp;$C341&amp;"|"&amp;$D341&amp;"|"&amp;AC$14&amp;"|"&amp;"CY2023Q3",Spectrum!$R:$R,0)),0),""))</f>
        <v>840</v>
      </c>
      <c r="AD341" s="10" t="str">
        <f aca="false">IF(LEFT($B341,4)="_Mil","",_xlfn.IFNA(ROUND(INDEX(Spectrum!$N:$N,MATCH(RIGHT($B341,13)&amp;"|"&amp;$C341&amp;"|"&amp;$D341&amp;"|"&amp;AD$14&amp;"|"&amp;"CY2023Q3",Spectrum!$R:$R,0)),0),""))</f>
        <v/>
      </c>
      <c r="AE341" s="88" t="n">
        <f aca="false">IF(OR(LEFT($B341,4)="_Mil",SUM($Z341)=0),"",SUM($AD341)/$Z341)</f>
        <v>0</v>
      </c>
      <c r="AF341" s="39" t="str">
        <f aca="false">IF(LEFT($B341,4)="_Mil","",_xlfn.IFNA(ROUND(INDEX(Spectrum!$N:$N,MATCH(RIGHT($B341,13)&amp;"|"&amp;$C341&amp;"|"&amp;$D341&amp;"|"&amp;AF$14&amp;"|"&amp;"CY2023Q3",Spectrum!$R:$R,0)),0),""))</f>
        <v/>
      </c>
      <c r="AG341" s="88" t="str">
        <f aca="false">IF(OR(LEFT($B341,4)="_Mil",SUM($AD341)=0),"",SUM($AF341)/$AD341)</f>
        <v/>
      </c>
      <c r="AH341" s="86" t="str">
        <f aca="false">IF(LEFT($B341,4)="_Mil","",_xlfn.IFNA(INDEX(Spectrum!$N:$N,MATCH(RIGHT($B341,13)&amp;"|"&amp;$C341&amp;"|"&amp;$D341&amp;"|"&amp;AH$14&amp;"|"&amp;"CY2023Q3",Spectrum!$R:$R,0)),""))</f>
        <v/>
      </c>
      <c r="AI341" s="10" t="str">
        <f aca="false">IF(LEFT($B341,4)="_Mil","",_xlfn.IFNA(ROUND(INDEX(Spectrum!$N:$N,MATCH(RIGHT($B341,13)&amp;"|"&amp;$C341&amp;"|"&amp;$D341&amp;"|"&amp;AI$14&amp;"|"&amp;"CY2023Q3",Spectrum!$R:$R,0)),0),""))</f>
        <v/>
      </c>
      <c r="AJ341" s="39" t="n">
        <f aca="false">IF(LEFT($B341,4)="_Mil","",_xlfn.IFNA(ROUND(INDEX(Spectrum!$N:$N,MATCH(RIGHT($B341,13)&amp;"|"&amp;$C341&amp;"|"&amp;$D341&amp;"|"&amp;AI$14&amp;"|"&amp;"CY2023Q3",Spectrum!$R:$R,0)),0),SUM($U341)+SUM($AI341)))</f>
        <v>0</v>
      </c>
      <c r="AK341" s="10" t="str">
        <f aca="false">IF(LEFT($B341,4)="_Mil","",_xlfn.IFNA(ROUND(INDEX(Spectrum!$N:$N,MATCH(RIGHT($B341,13)&amp;"|"&amp;$C341&amp;"|"&amp;$D341&amp;"|"&amp;AK$14&amp;"|"&amp;"CY2023Q3",Spectrum!$R:$R,0)),0),""))</f>
        <v/>
      </c>
      <c r="AL341" s="88" t="n">
        <f aca="false">IF(OR(LEFT($B341,4)="_Mil",$C341="&lt;01"),"",MAX(SUM($AA341),90%))</f>
        <v>918</v>
      </c>
      <c r="AM341" s="10" t="n">
        <f aca="false">IF(OR(LEFT($B341,4)="_Mil",$C341="&lt;01"),"",ROUND(SUM($AJ341)*SUM($AL341),0))</f>
        <v>0</v>
      </c>
      <c r="AN341" s="10" t="str">
        <f aca="false">IF($C341="&lt;01",ROUND(INDEX(EID!$P:$P,MATCH($B341,EID!$B:$B,0))/2,0),"")</f>
        <v/>
      </c>
      <c r="AO341" s="10" t="n">
        <f aca="false">IF($C341="&lt;01",SUM($AN341),ROUND(SUM($AM341)*SUM($O341)/IF(SUM($Z341)=0,1,$Z341),0))</f>
        <v>0</v>
      </c>
      <c r="AP341" s="39" t="n">
        <f aca="false">IF(OR($F341="",$C341="&lt;01"),$AO341,$F341)</f>
        <v>0</v>
      </c>
      <c r="AQ341" s="39" t="n">
        <f aca="false">IF(LEFT($B341,4)="_Mil","",IF(SUM($AP341)=0,SUM($Z341),IF(OR(SUM($Z341)=0,SUM($O341)=0),MAX($AP341,$Z341),$AP341*$Z341/$O341)))</f>
        <v>1800</v>
      </c>
      <c r="AR341" s="88" t="str">
        <f aca="false">IF(OR(LEFT($B341,4)="_Mil",SUM($AJ341)=0),"",SUM($AQ341)/$AJ341)</f>
        <v/>
      </c>
      <c r="AS341" s="88" t="n">
        <f aca="false">IF($C341="&lt;01","",98%)</f>
        <v>0.98</v>
      </c>
      <c r="AT341" s="88" t="n">
        <f aca="false">IF($C341="&lt;01","",98%)</f>
        <v>0.98</v>
      </c>
      <c r="AU341" s="10" t="n">
        <f aca="false">IF($C341="&lt;01","",SUM($AP341)-SUM($O341))</f>
        <v>-8</v>
      </c>
      <c r="AV341" s="10" t="n">
        <f aca="false">IF($C341="&lt;01",ROUND(INDEX(EID!$N:$N,MATCH($B341,EID!$B:$B,0))/2,0),IF(SUM($AT341)=0,"",ROUND((SUM($AP341)-(SUM($O341)*SUM($AS341)))/$AT341,0)))</f>
        <v>-8</v>
      </c>
      <c r="AW341" s="88" t="n">
        <f aca="false">IF($C341="&lt;01","",100%)</f>
        <v>1</v>
      </c>
      <c r="AX341" s="39" t="n">
        <f aca="false">IF($C341="&lt;01",SUM($AV341),ROUND(SUM($AV341)*SUM($AW341),0))</f>
        <v>-8</v>
      </c>
      <c r="AY341" s="114" t="n">
        <f aca="false">IF($C341="&lt;01","",70%)</f>
        <v>0.7</v>
      </c>
      <c r="AZ341" s="91" t="n">
        <f aca="false">IF($C341="&lt;01",ROUND(INDEX(EID!$R:$R,MATCH($B341,EID!$B:$B,0))/2,0),ROUND(SUM($O341)+(SUM($AV341)*$AY341),0))</f>
        <v>2</v>
      </c>
      <c r="BA341" s="87" t="n">
        <f aca="false">IF($C341="&lt;01","",95%)</f>
        <v>0.95</v>
      </c>
      <c r="BB341" s="5" t="n">
        <f aca="false">IF($C341="&lt;01",ROUND(INDEX(EID!$T:$T,MATCH($B341,EID!$B:$B,0))/2,0),ROUND($AZ341*$BA341,0))</f>
        <v>2</v>
      </c>
      <c r="BC341" s="91" t="n">
        <f aca="false">IF(LEFT($B341,4)="_Mil","",IF(SUM($BB341)=0,SUM($AD341),IF(OR(SUM($AP341)=0,SUM($AQ341)=0),MAX($BB341,$AD341),ROUND($BB341*$AQ341/$AP341,0))))</f>
        <v>2</v>
      </c>
      <c r="BD341" s="88" t="n">
        <f aca="false">IF($C341="&lt;01","",95%)</f>
        <v>0.95</v>
      </c>
      <c r="BE341" s="39" t="n">
        <f aca="false">IF($C341="&lt;01",ROUND(INDEX(EID!$V:$V,MATCH($B341,EID!$B:$B,0))/2,0),ROUND($BD341*$BB341,0))</f>
        <v>2</v>
      </c>
      <c r="BF341" s="39" t="n">
        <f aca="false">IF(LEFT($B341,4)="_Mil","",IF(SUM($BE341)=0,SUM($AF341),IF(OR(SUM($AP341)=0,SUM($AQ341)=0),MAX($BE341,$AF341),ROUND($BE341*$AQ341/$AP341,0))))</f>
        <v>2</v>
      </c>
      <c r="BG341" s="114" t="n">
        <f aca="false">IF($C341="&lt;01","",95%)</f>
        <v>0.95</v>
      </c>
      <c r="BH341" s="5" t="n">
        <f aca="false">IF($C341="&lt;01",ROUND(INDEX(EID!$L:$L,MATCH($B341,EID!$B:$B,0)),0)/2,IF(SUM($BG341)=0,"",ROUND($AX341/$BG341,0)))</f>
        <v>-8</v>
      </c>
    </row>
    <row r="342" customFormat="false" ht="15" hidden="false" customHeight="false" outlineLevel="0" collapsed="false">
      <c r="A342" s="0" t="str">
        <f aca="false">INDEX(Prioritization!$D:$D,MATCH($B342,Prioritization!$A:$A,0))</f>
        <v>INVALID</v>
      </c>
      <c r="B342" s="0" t="s">
        <v>217</v>
      </c>
      <c r="C342" s="0" t="s">
        <v>364</v>
      </c>
      <c r="D342" s="0" t="s">
        <v>48</v>
      </c>
      <c r="E342" s="0" t="str">
        <f aca="false">$B342&amp;"|"&amp;$C342&amp;"|"&amp;$D342</f>
        <v>Mwanza District [wNqJp8oRIcF]|10-14|Male</v>
      </c>
      <c r="F342" s="10"/>
      <c r="G342" s="10" t="n">
        <v>6</v>
      </c>
      <c r="H342" s="10" t="n">
        <v>0</v>
      </c>
      <c r="I342" s="10" t="n">
        <v>2</v>
      </c>
      <c r="J342" s="10" t="n">
        <v>2</v>
      </c>
      <c r="K342" s="10" t="n">
        <v>4</v>
      </c>
      <c r="L342" s="10" t="n">
        <v>8</v>
      </c>
      <c r="M342" s="10" t="n">
        <v>9</v>
      </c>
      <c r="N342" s="10" t="n">
        <v>55</v>
      </c>
      <c r="O342" s="10" t="n">
        <f aca="false">IFERROR(1/(1/MAX($I342,$N342)),"")</f>
        <v>55</v>
      </c>
      <c r="P342" s="10" t="n">
        <v>2</v>
      </c>
      <c r="Q342" s="10" t="n">
        <v>3</v>
      </c>
      <c r="R342" s="10" t="n">
        <f aca="false">IF(AND(SUM($I342)=0,SUM($O342)=0),"",SUM($O342)-$I342)</f>
        <v>53</v>
      </c>
      <c r="S342" s="10" t="n">
        <f aca="false">IF(LEFT($B342,4)="_Mil","",_xlfn.IFNA(ROUND(INDEX(Spectrum!$N:$N,MATCH(RIGHT($B342,13)&amp;"|"&amp;$C342&amp;"|"&amp;$D342&amp;"|"&amp;S$14&amp;"|"&amp;"CY2022Q4",Spectrum!$R:$R,0)),0),""))</f>
        <v>1232</v>
      </c>
      <c r="T342" s="39" t="n">
        <f aca="false">IF(LEFT($B342,4)="_Mil","",_xlfn.IFNA(ROUND(INDEX(Spectrum!$N:$N,MATCH(RIGHT($B342,13)&amp;"|"&amp;$C342&amp;"|"&amp;$D342&amp;"|"&amp;T$14&amp;"|"&amp;"CY2023Q3",Spectrum!$R:$R,0)),0),""))</f>
        <v>1373</v>
      </c>
      <c r="U342" s="39" t="str">
        <f aca="false">IF(LEFT($B342,4)="_Mil","",_xlfn.IFNA(ROUND(INDEX(Spectrum!$N:$N,MATCH(RIGHT($B342,13)&amp;"|"&amp;$C342&amp;"|"&amp;$D342&amp;"|"&amp;U$14&amp;"|"&amp;"CY2023Q3",Spectrum!$R:$R,0)),0),""))</f>
        <v/>
      </c>
      <c r="V342" s="10" t="n">
        <f aca="false">IF(LEFT($B342,4)="_Mil","",_xlfn.IFNA(ROUND(INDEX(Spectrum!$N:$N,MATCH(RIGHT($B342,13)&amp;"|"&amp;$C342&amp;"|"&amp;$D342&amp;"|"&amp;V$14&amp;"|"&amp;"CY2023Q3",Spectrum!$R:$R,0)),0),""))</f>
        <v>1927</v>
      </c>
      <c r="W342" s="113" t="n">
        <f aca="false">IF(LEFT($B342,4)="_Mil","",_xlfn.IFNA(INDEX(Spectrum!$N:$N,MATCH(RIGHT($B342,13)&amp;"|"&amp;$C342&amp;"|"&amp;$D342&amp;"|"&amp;W$14&amp;"|"&amp;"CY2023Q3",Spectrum!$R:$R,0)),""))</f>
        <v>1832</v>
      </c>
      <c r="X342" s="39" t="n">
        <f aca="false">IF(LEFT($B342,4)="_Mil","",_xlfn.IFNA(ROUND(INDEX(Spectrum!$N:$N,MATCH(RIGHT($B342,13)&amp;"|"&amp;$C342&amp;"|"&amp;$D342&amp;"|"&amp;X$14&amp;"|"&amp;"CY2023Q3",Spectrum!$R:$R,0)),0),""))</f>
        <v>1744</v>
      </c>
      <c r="Y342" s="88" t="str">
        <f aca="false">IF(OR(SUM($U342)=0,LEFT($B342,4)="_Mil"),"",SUM($X342)/$U342)</f>
        <v/>
      </c>
      <c r="Z342" s="39" t="n">
        <f aca="false">IF(LEFT($B342,4)="_Mil","",_xlfn.IFNA(ROUND(INDEX(Spectrum!$N:$N,MATCH(RIGHT($B342,13)&amp;"|"&amp;$C342&amp;"|"&amp;$D342&amp;"|"&amp;Z$14&amp;"|"&amp;"CY2023Q3",Spectrum!$R:$R,0)),0),""))</f>
        <v>1136</v>
      </c>
      <c r="AA342" s="88" t="n">
        <f aca="false">IF(LEFT($B342,4)="_Mil","",IFERROR(1/(1/INDEX(Spectrum!$N:$N,MATCH(RIGHT($B342,13)&amp;"|"&amp;$C342&amp;"|"&amp;$D342&amp;"|"&amp;AA$14&amp;"|"&amp;"CY2023Q3",Spectrum!$R:$R,0))),IF(SUM($U342)=0,"",SUM($Z342)/$U342)))</f>
        <v>1859</v>
      </c>
      <c r="AB342" s="88" t="n">
        <f aca="false">IF(OR(LEFT($B342,4)="_Mil",SUM($X342)=0),"",SUM($Z342)/$X342)</f>
        <v>0.651376146788991</v>
      </c>
      <c r="AC342" s="10" t="n">
        <f aca="false">IF(LEFT($B342,4)="_Mil","",_xlfn.IFNA(ROUND(INDEX(Spectrum!$N:$N,MATCH(RIGHT($B342,13)&amp;"|"&amp;$C342&amp;"|"&amp;$D342&amp;"|"&amp;AC$14&amp;"|"&amp;"CY2023Q3",Spectrum!$R:$R,0)),0),""))</f>
        <v>1583</v>
      </c>
      <c r="AD342" s="10" t="str">
        <f aca="false">IF(LEFT($B342,4)="_Mil","",_xlfn.IFNA(ROUND(INDEX(Spectrum!$N:$N,MATCH(RIGHT($B342,13)&amp;"|"&amp;$C342&amp;"|"&amp;$D342&amp;"|"&amp;AD$14&amp;"|"&amp;"CY2023Q3",Spectrum!$R:$R,0)),0),""))</f>
        <v/>
      </c>
      <c r="AE342" s="88" t="n">
        <f aca="false">IF(OR(LEFT($B342,4)="_Mil",SUM($Z342)=0),"",SUM($AD342)/$Z342)</f>
        <v>0</v>
      </c>
      <c r="AF342" s="39" t="str">
        <f aca="false">IF(LEFT($B342,4)="_Mil","",_xlfn.IFNA(ROUND(INDEX(Spectrum!$N:$N,MATCH(RIGHT($B342,13)&amp;"|"&amp;$C342&amp;"|"&amp;$D342&amp;"|"&amp;AF$14&amp;"|"&amp;"CY2023Q3",Spectrum!$R:$R,0)),0),""))</f>
        <v/>
      </c>
      <c r="AG342" s="88" t="str">
        <f aca="false">IF(OR(LEFT($B342,4)="_Mil",SUM($AD342)=0),"",SUM($AF342)/$AD342)</f>
        <v/>
      </c>
      <c r="AH342" s="86" t="str">
        <f aca="false">IF(LEFT($B342,4)="_Mil","",_xlfn.IFNA(INDEX(Spectrum!$N:$N,MATCH(RIGHT($B342,13)&amp;"|"&amp;$C342&amp;"|"&amp;$D342&amp;"|"&amp;AH$14&amp;"|"&amp;"CY2023Q3",Spectrum!$R:$R,0)),""))</f>
        <v/>
      </c>
      <c r="AI342" s="10" t="str">
        <f aca="false">IF(LEFT($B342,4)="_Mil","",_xlfn.IFNA(ROUND(INDEX(Spectrum!$N:$N,MATCH(RIGHT($B342,13)&amp;"|"&amp;$C342&amp;"|"&amp;$D342&amp;"|"&amp;AI$14&amp;"|"&amp;"CY2023Q3",Spectrum!$R:$R,0)),0),""))</f>
        <v/>
      </c>
      <c r="AJ342" s="39" t="n">
        <f aca="false">IF(LEFT($B342,4)="_Mil","",_xlfn.IFNA(ROUND(INDEX(Spectrum!$N:$N,MATCH(RIGHT($B342,13)&amp;"|"&amp;$C342&amp;"|"&amp;$D342&amp;"|"&amp;AI$14&amp;"|"&amp;"CY2023Q3",Spectrum!$R:$R,0)),0),SUM($U342)+SUM($AI342)))</f>
        <v>0</v>
      </c>
      <c r="AK342" s="10" t="str">
        <f aca="false">IF(LEFT($B342,4)="_Mil","",_xlfn.IFNA(ROUND(INDEX(Spectrum!$N:$N,MATCH(RIGHT($B342,13)&amp;"|"&amp;$C342&amp;"|"&amp;$D342&amp;"|"&amp;AK$14&amp;"|"&amp;"CY2023Q3",Spectrum!$R:$R,0)),0),""))</f>
        <v/>
      </c>
      <c r="AL342" s="88" t="n">
        <f aca="false">IF(OR(LEFT($B342,4)="_Mil",$C342="&lt;01"),"",MAX(SUM($AA342),90%))</f>
        <v>1859</v>
      </c>
      <c r="AM342" s="10" t="n">
        <f aca="false">IF(OR(LEFT($B342,4)="_Mil",$C342="&lt;01"),"",ROUND(SUM($AJ342)*SUM($AL342),0))</f>
        <v>0</v>
      </c>
      <c r="AN342" s="10" t="str">
        <f aca="false">IF($C342="&lt;01",ROUND(INDEX(EID!$P:$P,MATCH($B342,EID!$B:$B,0))/2,0),"")</f>
        <v/>
      </c>
      <c r="AO342" s="10" t="n">
        <f aca="false">IF($C342="&lt;01",SUM($AN342),ROUND(SUM($AM342)*SUM($O342)/IF(SUM($Z342)=0,1,$Z342),0))</f>
        <v>0</v>
      </c>
      <c r="AP342" s="39" t="n">
        <f aca="false">IF(OR($F342="",$C342="&lt;01"),$AO342,$F342)</f>
        <v>0</v>
      </c>
      <c r="AQ342" s="39" t="n">
        <f aca="false">IF(LEFT($B342,4)="_Mil","",IF(SUM($AP342)=0,SUM($Z342),IF(OR(SUM($Z342)=0,SUM($O342)=0),MAX($AP342,$Z342),$AP342*$Z342/$O342)))</f>
        <v>1136</v>
      </c>
      <c r="AR342" s="88" t="str">
        <f aca="false">IF(OR(LEFT($B342,4)="_Mil",SUM($AJ342)=0),"",SUM($AQ342)/$AJ342)</f>
        <v/>
      </c>
      <c r="AS342" s="88" t="n">
        <f aca="false">IF($C342="&lt;01","",98%)</f>
        <v>0.98</v>
      </c>
      <c r="AT342" s="88" t="n">
        <f aca="false">IF($C342="&lt;01","",98%)</f>
        <v>0.98</v>
      </c>
      <c r="AU342" s="10" t="n">
        <f aca="false">IF($C342="&lt;01","",SUM($AP342)-SUM($O342))</f>
        <v>-55</v>
      </c>
      <c r="AV342" s="10" t="n">
        <f aca="false">IF($C342="&lt;01",ROUND(INDEX(EID!$N:$N,MATCH($B342,EID!$B:$B,0))/2,0),IF(SUM($AT342)=0,"",ROUND((SUM($AP342)-(SUM($O342)*SUM($AS342)))/$AT342,0)))</f>
        <v>-55</v>
      </c>
      <c r="AW342" s="88" t="n">
        <f aca="false">IF($C342="&lt;01","",100%)</f>
        <v>1</v>
      </c>
      <c r="AX342" s="39" t="n">
        <f aca="false">IF($C342="&lt;01",SUM($AV342),ROUND(SUM($AV342)*SUM($AW342),0))</f>
        <v>-55</v>
      </c>
      <c r="AY342" s="114" t="n">
        <f aca="false">IF($C342="&lt;01","",70%)</f>
        <v>0.7</v>
      </c>
      <c r="AZ342" s="91" t="n">
        <f aca="false">IF($C342="&lt;01",ROUND(INDEX(EID!$R:$R,MATCH($B342,EID!$B:$B,0))/2,0),ROUND(SUM($O342)+(SUM($AV342)*$AY342),0))</f>
        <v>17</v>
      </c>
      <c r="BA342" s="87" t="n">
        <f aca="false">IF($C342="&lt;01","",95%)</f>
        <v>0.95</v>
      </c>
      <c r="BB342" s="5" t="n">
        <f aca="false">IF($C342="&lt;01",ROUND(INDEX(EID!$T:$T,MATCH($B342,EID!$B:$B,0))/2,0),ROUND($AZ342*$BA342,0))</f>
        <v>16</v>
      </c>
      <c r="BC342" s="91" t="n">
        <f aca="false">IF(LEFT($B342,4)="_Mil","",IF(SUM($BB342)=0,SUM($AD342),IF(OR(SUM($AP342)=0,SUM($AQ342)=0),MAX($BB342,$AD342),ROUND($BB342*$AQ342/$AP342,0))))</f>
        <v>16</v>
      </c>
      <c r="BD342" s="88" t="n">
        <f aca="false">IF($C342="&lt;01","",95%)</f>
        <v>0.95</v>
      </c>
      <c r="BE342" s="39" t="n">
        <f aca="false">IF($C342="&lt;01",ROUND(INDEX(EID!$V:$V,MATCH($B342,EID!$B:$B,0))/2,0),ROUND($BD342*$BB342,0))</f>
        <v>15</v>
      </c>
      <c r="BF342" s="39" t="n">
        <f aca="false">IF(LEFT($B342,4)="_Mil","",IF(SUM($BE342)=0,SUM($AF342),IF(OR(SUM($AP342)=0,SUM($AQ342)=0),MAX($BE342,$AF342),ROUND($BE342*$AQ342/$AP342,0))))</f>
        <v>15</v>
      </c>
      <c r="BG342" s="114" t="n">
        <f aca="false">IF($C342="&lt;01","",95%)</f>
        <v>0.95</v>
      </c>
      <c r="BH342" s="5" t="n">
        <f aca="false">IF($C342="&lt;01",ROUND(INDEX(EID!$L:$L,MATCH($B342,EID!$B:$B,0)),0)/2,IF(SUM($BG342)=0,"",ROUND($AX342/$BG342,0)))</f>
        <v>-58</v>
      </c>
    </row>
    <row r="343" customFormat="false" ht="15" hidden="false" customHeight="false" outlineLevel="0" collapsed="false">
      <c r="A343" s="0" t="str">
        <f aca="false">INDEX(Prioritization!$D:$D,MATCH($B343,Prioritization!$A:$A,0))</f>
        <v>INVALID</v>
      </c>
      <c r="B343" s="0" t="s">
        <v>217</v>
      </c>
      <c r="C343" s="0" t="s">
        <v>365</v>
      </c>
      <c r="D343" s="0" t="s">
        <v>30</v>
      </c>
      <c r="E343" s="0" t="str">
        <f aca="false">$B343&amp;"|"&amp;$C343&amp;"|"&amp;$D343</f>
        <v>Mwanza District [wNqJp8oRIcF]|15-24|Female</v>
      </c>
      <c r="F343" s="10"/>
      <c r="G343" s="10"/>
      <c r="H343" s="10"/>
      <c r="I343" s="10"/>
      <c r="J343" s="10"/>
      <c r="K343" s="10"/>
      <c r="L343" s="10"/>
      <c r="M343" s="10"/>
      <c r="N343" s="10"/>
      <c r="O343" s="10" t="str">
        <f aca="false">IFERROR(1/(1/MAX($I343,$N343)),"")</f>
        <v/>
      </c>
      <c r="P343" s="10"/>
      <c r="Q343" s="10"/>
      <c r="R343" s="10" t="str">
        <f aca="false">IF(AND(SUM($I343)=0,SUM($O343)=0),"",SUM($O343)-$I343)</f>
        <v/>
      </c>
      <c r="S343" s="10" t="n">
        <f aca="false">IF(LEFT($B343,4)="_Mil","",_xlfn.IFNA(ROUND(INDEX(Spectrum!$N:$N,MATCH(RIGHT($B343,13)&amp;"|"&amp;$C343&amp;"|"&amp;$D343&amp;"|"&amp;S$14&amp;"|"&amp;"CY2022Q4",Spectrum!$R:$R,0)),0),""))</f>
        <v>1332</v>
      </c>
      <c r="T343" s="39" t="n">
        <f aca="false">IF(LEFT($B343,4)="_Mil","",_xlfn.IFNA(ROUND(INDEX(Spectrum!$N:$N,MATCH(RIGHT($B343,13)&amp;"|"&amp;$C343&amp;"|"&amp;$D343&amp;"|"&amp;T$14&amp;"|"&amp;"CY2023Q3",Spectrum!$R:$R,0)),0),""))</f>
        <v>1256</v>
      </c>
      <c r="U343" s="39" t="str">
        <f aca="false">IF(LEFT($B343,4)="_Mil","",_xlfn.IFNA(ROUND(INDEX(Spectrum!$N:$N,MATCH(RIGHT($B343,13)&amp;"|"&amp;$C343&amp;"|"&amp;$D343&amp;"|"&amp;U$14&amp;"|"&amp;"CY2023Q3",Spectrum!$R:$R,0)),0),""))</f>
        <v/>
      </c>
      <c r="V343" s="10" t="n">
        <f aca="false">IF(LEFT($B343,4)="_Mil","",_xlfn.IFNA(ROUND(INDEX(Spectrum!$N:$N,MATCH(RIGHT($B343,13)&amp;"|"&amp;$C343&amp;"|"&amp;$D343&amp;"|"&amp;V$14&amp;"|"&amp;"CY2023Q3",Spectrum!$R:$R,0)),0),""))</f>
        <v>1205</v>
      </c>
      <c r="W343" s="113" t="n">
        <f aca="false">IF(LEFT($B343,4)="_Mil","",_xlfn.IFNA(INDEX(Spectrum!$N:$N,MATCH(RIGHT($B343,13)&amp;"|"&amp;$C343&amp;"|"&amp;$D343&amp;"|"&amp;W$14&amp;"|"&amp;"CY2023Q3",Spectrum!$R:$R,0)),""))</f>
        <v>1690</v>
      </c>
      <c r="X343" s="39" t="n">
        <f aca="false">IF(LEFT($B343,4)="_Mil","",_xlfn.IFNA(ROUND(INDEX(Spectrum!$N:$N,MATCH(RIGHT($B343,13)&amp;"|"&amp;$C343&amp;"|"&amp;$D343&amp;"|"&amp;X$14&amp;"|"&amp;"CY2023Q3",Spectrum!$R:$R,0)),0),""))</f>
        <v>1131</v>
      </c>
      <c r="Y343" s="88" t="str">
        <f aca="false">IF(OR(SUM($U343)=0,LEFT($B343,4)="_Mil"),"",SUM($X343)/$U343)</f>
        <v/>
      </c>
      <c r="Z343" s="39" t="n">
        <f aca="false">IF(LEFT($B343,4)="_Mil","",_xlfn.IFNA(ROUND(INDEX(Spectrum!$N:$N,MATCH(RIGHT($B343,13)&amp;"|"&amp;$C343&amp;"|"&amp;$D343&amp;"|"&amp;Z$14&amp;"|"&amp;"CY2023Q3",Spectrum!$R:$R,0)),0),""))</f>
        <v>757</v>
      </c>
      <c r="AA343" s="88" t="n">
        <f aca="false">IF(LEFT($B343,4)="_Mil","",IFERROR(1/(1/INDEX(Spectrum!$N:$N,MATCH(RIGHT($B343,13)&amp;"|"&amp;$C343&amp;"|"&amp;$D343&amp;"|"&amp;AA$14&amp;"|"&amp;"CY2023Q3",Spectrum!$R:$R,0))),IF(SUM($U343)=0,"",SUM($Z343)/$U343)))</f>
        <v>1427</v>
      </c>
      <c r="AB343" s="88" t="n">
        <f aca="false">IF(OR(LEFT($B343,4)="_Mil",SUM($X343)=0),"",SUM($Z343)/$X343)</f>
        <v>0.669319186560566</v>
      </c>
      <c r="AC343" s="10" t="n">
        <f aca="false">IF(LEFT($B343,4)="_Mil","",_xlfn.IFNA(ROUND(INDEX(Spectrum!$N:$N,MATCH(RIGHT($B343,13)&amp;"|"&amp;$C343&amp;"|"&amp;$D343&amp;"|"&amp;AC$14&amp;"|"&amp;"CY2023Q3",Spectrum!$R:$R,0)),0),""))</f>
        <v>1172</v>
      </c>
      <c r="AD343" s="10" t="str">
        <f aca="false">IF(LEFT($B343,4)="_Mil","",_xlfn.IFNA(ROUND(INDEX(Spectrum!$N:$N,MATCH(RIGHT($B343,13)&amp;"|"&amp;$C343&amp;"|"&amp;$D343&amp;"|"&amp;AD$14&amp;"|"&amp;"CY2023Q3",Spectrum!$R:$R,0)),0),""))</f>
        <v/>
      </c>
      <c r="AE343" s="88" t="n">
        <f aca="false">IF(OR(LEFT($B343,4)="_Mil",SUM($Z343)=0),"",SUM($AD343)/$Z343)</f>
        <v>0</v>
      </c>
      <c r="AF343" s="39" t="str">
        <f aca="false">IF(LEFT($B343,4)="_Mil","",_xlfn.IFNA(ROUND(INDEX(Spectrum!$N:$N,MATCH(RIGHT($B343,13)&amp;"|"&amp;$C343&amp;"|"&amp;$D343&amp;"|"&amp;AF$14&amp;"|"&amp;"CY2023Q3",Spectrum!$R:$R,0)),0),""))</f>
        <v/>
      </c>
      <c r="AG343" s="88" t="str">
        <f aca="false">IF(OR(LEFT($B343,4)="_Mil",SUM($AD343)=0),"",SUM($AF343)/$AD343)</f>
        <v/>
      </c>
      <c r="AH343" s="86" t="str">
        <f aca="false">IF(LEFT($B343,4)="_Mil","",_xlfn.IFNA(INDEX(Spectrum!$N:$N,MATCH(RIGHT($B343,13)&amp;"|"&amp;$C343&amp;"|"&amp;$D343&amp;"|"&amp;AH$14&amp;"|"&amp;"CY2023Q3",Spectrum!$R:$R,0)),""))</f>
        <v/>
      </c>
      <c r="AI343" s="10" t="str">
        <f aca="false">IF(LEFT($B343,4)="_Mil","",_xlfn.IFNA(ROUND(INDEX(Spectrum!$N:$N,MATCH(RIGHT($B343,13)&amp;"|"&amp;$C343&amp;"|"&amp;$D343&amp;"|"&amp;AI$14&amp;"|"&amp;"CY2023Q3",Spectrum!$R:$R,0)),0),""))</f>
        <v/>
      </c>
      <c r="AJ343" s="39" t="n">
        <f aca="false">IF(LEFT($B343,4)="_Mil","",_xlfn.IFNA(ROUND(INDEX(Spectrum!$N:$N,MATCH(RIGHT($B343,13)&amp;"|"&amp;$C343&amp;"|"&amp;$D343&amp;"|"&amp;AI$14&amp;"|"&amp;"CY2023Q3",Spectrum!$R:$R,0)),0),SUM($U343)+SUM($AI343)))</f>
        <v>0</v>
      </c>
      <c r="AK343" s="10" t="str">
        <f aca="false">IF(LEFT($B343,4)="_Mil","",_xlfn.IFNA(ROUND(INDEX(Spectrum!$N:$N,MATCH(RIGHT($B343,13)&amp;"|"&amp;$C343&amp;"|"&amp;$D343&amp;"|"&amp;AK$14&amp;"|"&amp;"CY2023Q3",Spectrum!$R:$R,0)),0),""))</f>
        <v/>
      </c>
      <c r="AL343" s="88" t="n">
        <f aca="false">IF(OR(LEFT($B343,4)="_Mil",$C343="&lt;01"),"",MAX(SUM($AA343),90%))</f>
        <v>1427</v>
      </c>
      <c r="AM343" s="10" t="n">
        <f aca="false">IF(OR(LEFT($B343,4)="_Mil",$C343="&lt;01"),"",ROUND(SUM($AJ343)*SUM($AL343),0))</f>
        <v>0</v>
      </c>
      <c r="AN343" s="10" t="str">
        <f aca="false">IF($C343="&lt;01",ROUND(INDEX(EID!$P:$P,MATCH($B343,EID!$B:$B,0))/2,0),"")</f>
        <v/>
      </c>
      <c r="AO343" s="10" t="n">
        <f aca="false">IF($C343="&lt;01",SUM($AN343),ROUND(SUM($AM343)*SUM($O343)/IF(SUM($Z343)=0,1,$Z343),0))</f>
        <v>0</v>
      </c>
      <c r="AP343" s="39" t="n">
        <f aca="false">IF(OR($F343="",$C343="&lt;01"),$AO343,$F343)</f>
        <v>0</v>
      </c>
      <c r="AQ343" s="39" t="n">
        <f aca="false">IF(LEFT($B343,4)="_Mil","",IF(SUM($AP343)=0,SUM($Z343),IF(OR(SUM($Z343)=0,SUM($O343)=0),MAX($AP343,$Z343),$AP343*$Z343/$O343)))</f>
        <v>757</v>
      </c>
      <c r="AR343" s="88" t="str">
        <f aca="false">IF(OR(LEFT($B343,4)="_Mil",SUM($AJ343)=0),"",SUM($AQ343)/$AJ343)</f>
        <v/>
      </c>
      <c r="AS343" s="88" t="n">
        <f aca="false">IF($C343="&lt;01","",98%)</f>
        <v>0.98</v>
      </c>
      <c r="AT343" s="88" t="n">
        <f aca="false">IF($C343="&lt;01","",98%)</f>
        <v>0.98</v>
      </c>
      <c r="AU343" s="10" t="n">
        <f aca="false">IF($C343="&lt;01","",SUM($AP343)-SUM($O343))</f>
        <v>0</v>
      </c>
      <c r="AV343" s="10" t="n">
        <f aca="false">IF($C343="&lt;01",ROUND(INDEX(EID!$N:$N,MATCH($B343,EID!$B:$B,0))/2,0),IF(SUM($AT343)=0,"",ROUND((SUM($AP343)-(SUM($O343)*SUM($AS343)))/$AT343,0)))</f>
        <v>0</v>
      </c>
      <c r="AW343" s="88" t="n">
        <f aca="false">IF($C343="&lt;01","",100%)</f>
        <v>1</v>
      </c>
      <c r="AX343" s="39" t="n">
        <f aca="false">IF($C343="&lt;01",SUM($AV343),ROUND(SUM($AV343)*SUM($AW343),0))</f>
        <v>0</v>
      </c>
      <c r="AY343" s="114" t="n">
        <f aca="false">IF($C343="&lt;01","",70%)</f>
        <v>0.7</v>
      </c>
      <c r="AZ343" s="91" t="n">
        <f aca="false">IF($C343="&lt;01",ROUND(INDEX(EID!$R:$R,MATCH($B343,EID!$B:$B,0))/2,0),ROUND(SUM($O343)+(SUM($AV343)*$AY343),0))</f>
        <v>0</v>
      </c>
      <c r="BA343" s="87" t="n">
        <f aca="false">IF($C343="&lt;01","",95%)</f>
        <v>0.95</v>
      </c>
      <c r="BB343" s="5" t="n">
        <f aca="false">IF($C343="&lt;01",ROUND(INDEX(EID!$T:$T,MATCH($B343,EID!$B:$B,0))/2,0),ROUND($AZ343*$BA343,0))</f>
        <v>0</v>
      </c>
      <c r="BC343" s="91" t="n">
        <f aca="false">IF(LEFT($B343,4)="_Mil","",IF(SUM($BB343)=0,SUM($AD343),IF(OR(SUM($AP343)=0,SUM($AQ343)=0),MAX($BB343,$AD343),ROUND($BB343*$AQ343/$AP343,0))))</f>
        <v>0</v>
      </c>
      <c r="BD343" s="88" t="n">
        <f aca="false">IF($C343="&lt;01","",95%)</f>
        <v>0.95</v>
      </c>
      <c r="BE343" s="39" t="n">
        <f aca="false">IF($C343="&lt;01",ROUND(INDEX(EID!$V:$V,MATCH($B343,EID!$B:$B,0))/2,0),ROUND($BD343*$BB343,0))</f>
        <v>0</v>
      </c>
      <c r="BF343" s="39" t="n">
        <f aca="false">IF(LEFT($B343,4)="_Mil","",IF(SUM($BE343)=0,SUM($AF343),IF(OR(SUM($AP343)=0,SUM($AQ343)=0),MAX($BE343,$AF343),ROUND($BE343*$AQ343/$AP343,0))))</f>
        <v>0</v>
      </c>
      <c r="BG343" s="114" t="n">
        <f aca="false">IF($C343="&lt;01","",95%)</f>
        <v>0.95</v>
      </c>
      <c r="BH343" s="5" t="n">
        <f aca="false">IF($C343="&lt;01",ROUND(INDEX(EID!$L:$L,MATCH($B343,EID!$B:$B,0)),0)/2,IF(SUM($BG343)=0,"",ROUND($AX343/$BG343,0)))</f>
        <v>0</v>
      </c>
    </row>
    <row r="344" customFormat="false" ht="15" hidden="false" customHeight="false" outlineLevel="0" collapsed="false">
      <c r="A344" s="0" t="str">
        <f aca="false">INDEX(Prioritization!$D:$D,MATCH($B344,Prioritization!$A:$A,0))</f>
        <v>INVALID</v>
      </c>
      <c r="B344" s="0" t="s">
        <v>217</v>
      </c>
      <c r="C344" s="0" t="s">
        <v>365</v>
      </c>
      <c r="D344" s="0" t="s">
        <v>48</v>
      </c>
      <c r="E344" s="0" t="str">
        <f aca="false">$B344&amp;"|"&amp;$C344&amp;"|"&amp;$D344</f>
        <v>Mwanza District [wNqJp8oRIcF]|15-24|Male</v>
      </c>
      <c r="F344" s="10"/>
      <c r="G344" s="10"/>
      <c r="H344" s="10"/>
      <c r="I344" s="10"/>
      <c r="J344" s="10"/>
      <c r="K344" s="10"/>
      <c r="L344" s="10"/>
      <c r="M344" s="10"/>
      <c r="N344" s="10"/>
      <c r="O344" s="10" t="str">
        <f aca="false">IFERROR(1/(1/MAX($I344,$N344)),"")</f>
        <v/>
      </c>
      <c r="P344" s="10"/>
      <c r="Q344" s="10"/>
      <c r="R344" s="10" t="str">
        <f aca="false">IF(AND(SUM($I344)=0,SUM($O344)=0),"",SUM($O344)-$I344)</f>
        <v/>
      </c>
      <c r="S344" s="10" t="n">
        <f aca="false">IF(LEFT($B344,4)="_Mil","",_xlfn.IFNA(ROUND(INDEX(Spectrum!$N:$N,MATCH(RIGHT($B344,13)&amp;"|"&amp;$C344&amp;"|"&amp;$D344&amp;"|"&amp;S$14&amp;"|"&amp;"CY2022Q4",Spectrum!$R:$R,0)),0),""))</f>
        <v>978</v>
      </c>
      <c r="T344" s="39" t="n">
        <f aca="false">IF(LEFT($B344,4)="_Mil","",_xlfn.IFNA(ROUND(INDEX(Spectrum!$N:$N,MATCH(RIGHT($B344,13)&amp;"|"&amp;$C344&amp;"|"&amp;$D344&amp;"|"&amp;T$14&amp;"|"&amp;"CY2023Q3",Spectrum!$R:$R,0)),0),""))</f>
        <v>1538</v>
      </c>
      <c r="U344" s="39" t="str">
        <f aca="false">IF(LEFT($B344,4)="_Mil","",_xlfn.IFNA(ROUND(INDEX(Spectrum!$N:$N,MATCH(RIGHT($B344,13)&amp;"|"&amp;$C344&amp;"|"&amp;$D344&amp;"|"&amp;U$14&amp;"|"&amp;"CY2023Q3",Spectrum!$R:$R,0)),0),""))</f>
        <v/>
      </c>
      <c r="V344" s="10" t="n">
        <f aca="false">IF(LEFT($B344,4)="_Mil","",_xlfn.IFNA(ROUND(INDEX(Spectrum!$N:$N,MATCH(RIGHT($B344,13)&amp;"|"&amp;$C344&amp;"|"&amp;$D344&amp;"|"&amp;V$14&amp;"|"&amp;"CY2023Q3",Spectrum!$R:$R,0)),0),""))</f>
        <v>691</v>
      </c>
      <c r="W344" s="113" t="n">
        <f aca="false">IF(LEFT($B344,4)="_Mil","",_xlfn.IFNA(INDEX(Spectrum!$N:$N,MATCH(RIGHT($B344,13)&amp;"|"&amp;$C344&amp;"|"&amp;$D344&amp;"|"&amp;W$14&amp;"|"&amp;"CY2023Q3",Spectrum!$R:$R,0)),""))</f>
        <v>709</v>
      </c>
      <c r="X344" s="39" t="n">
        <f aca="false">IF(LEFT($B344,4)="_Mil","",_xlfn.IFNA(ROUND(INDEX(Spectrum!$N:$N,MATCH(RIGHT($B344,13)&amp;"|"&amp;$C344&amp;"|"&amp;$D344&amp;"|"&amp;X$14&amp;"|"&amp;"CY2023Q3",Spectrum!$R:$R,0)),0),""))</f>
        <v>770</v>
      </c>
      <c r="Y344" s="88" t="str">
        <f aca="false">IF(OR(SUM($U344)=0,LEFT($B344,4)="_Mil"),"",SUM($X344)/$U344)</f>
        <v/>
      </c>
      <c r="Z344" s="39" t="n">
        <f aca="false">IF(LEFT($B344,4)="_Mil","",_xlfn.IFNA(ROUND(INDEX(Spectrum!$N:$N,MATCH(RIGHT($B344,13)&amp;"|"&amp;$C344&amp;"|"&amp;$D344&amp;"|"&amp;Z$14&amp;"|"&amp;"CY2023Q3",Spectrum!$R:$R,0)),0),""))</f>
        <v>1124</v>
      </c>
      <c r="AA344" s="88" t="n">
        <f aca="false">IF(LEFT($B344,4)="_Mil","",IFERROR(1/(1/INDEX(Spectrum!$N:$N,MATCH(RIGHT($B344,13)&amp;"|"&amp;$C344&amp;"|"&amp;$D344&amp;"|"&amp;AA$14&amp;"|"&amp;"CY2023Q3",Spectrum!$R:$R,0))),IF(SUM($U344)=0,"",SUM($Z344)/$U344)))</f>
        <v>636</v>
      </c>
      <c r="AB344" s="88" t="n">
        <f aca="false">IF(OR(LEFT($B344,4)="_Mil",SUM($X344)=0),"",SUM($Z344)/$X344)</f>
        <v>1.45974025974026</v>
      </c>
      <c r="AC344" s="10" t="n">
        <f aca="false">IF(LEFT($B344,4)="_Mil","",_xlfn.IFNA(ROUND(INDEX(Spectrum!$N:$N,MATCH(RIGHT($B344,13)&amp;"|"&amp;$C344&amp;"|"&amp;$D344&amp;"|"&amp;AC$14&amp;"|"&amp;"CY2023Q3",Spectrum!$R:$R,0)),0),""))</f>
        <v>926</v>
      </c>
      <c r="AD344" s="10" t="str">
        <f aca="false">IF(LEFT($B344,4)="_Mil","",_xlfn.IFNA(ROUND(INDEX(Spectrum!$N:$N,MATCH(RIGHT($B344,13)&amp;"|"&amp;$C344&amp;"|"&amp;$D344&amp;"|"&amp;AD$14&amp;"|"&amp;"CY2023Q3",Spectrum!$R:$R,0)),0),""))</f>
        <v/>
      </c>
      <c r="AE344" s="88" t="n">
        <f aca="false">IF(OR(LEFT($B344,4)="_Mil",SUM($Z344)=0),"",SUM($AD344)/$Z344)</f>
        <v>0</v>
      </c>
      <c r="AF344" s="39" t="str">
        <f aca="false">IF(LEFT($B344,4)="_Mil","",_xlfn.IFNA(ROUND(INDEX(Spectrum!$N:$N,MATCH(RIGHT($B344,13)&amp;"|"&amp;$C344&amp;"|"&amp;$D344&amp;"|"&amp;AF$14&amp;"|"&amp;"CY2023Q3",Spectrum!$R:$R,0)),0),""))</f>
        <v/>
      </c>
      <c r="AG344" s="88" t="str">
        <f aca="false">IF(OR(LEFT($B344,4)="_Mil",SUM($AD344)=0),"",SUM($AF344)/$AD344)</f>
        <v/>
      </c>
      <c r="AH344" s="86" t="str">
        <f aca="false">IF(LEFT($B344,4)="_Mil","",_xlfn.IFNA(INDEX(Spectrum!$N:$N,MATCH(RIGHT($B344,13)&amp;"|"&amp;$C344&amp;"|"&amp;$D344&amp;"|"&amp;AH$14&amp;"|"&amp;"CY2023Q3",Spectrum!$R:$R,0)),""))</f>
        <v/>
      </c>
      <c r="AI344" s="10" t="str">
        <f aca="false">IF(LEFT($B344,4)="_Mil","",_xlfn.IFNA(ROUND(INDEX(Spectrum!$N:$N,MATCH(RIGHT($B344,13)&amp;"|"&amp;$C344&amp;"|"&amp;$D344&amp;"|"&amp;AI$14&amp;"|"&amp;"CY2023Q3",Spectrum!$R:$R,0)),0),""))</f>
        <v/>
      </c>
      <c r="AJ344" s="39" t="n">
        <f aca="false">IF(LEFT($B344,4)="_Mil","",_xlfn.IFNA(ROUND(INDEX(Spectrum!$N:$N,MATCH(RIGHT($B344,13)&amp;"|"&amp;$C344&amp;"|"&amp;$D344&amp;"|"&amp;AI$14&amp;"|"&amp;"CY2023Q3",Spectrum!$R:$R,0)),0),SUM($U344)+SUM($AI344)))</f>
        <v>0</v>
      </c>
      <c r="AK344" s="10" t="str">
        <f aca="false">IF(LEFT($B344,4)="_Mil","",_xlfn.IFNA(ROUND(INDEX(Spectrum!$N:$N,MATCH(RIGHT($B344,13)&amp;"|"&amp;$C344&amp;"|"&amp;$D344&amp;"|"&amp;AK$14&amp;"|"&amp;"CY2023Q3",Spectrum!$R:$R,0)),0),""))</f>
        <v/>
      </c>
      <c r="AL344" s="88" t="n">
        <f aca="false">IF(OR(LEFT($B344,4)="_Mil",$C344="&lt;01"),"",MAX(SUM($AA344),90%))</f>
        <v>636</v>
      </c>
      <c r="AM344" s="10" t="n">
        <f aca="false">IF(OR(LEFT($B344,4)="_Mil",$C344="&lt;01"),"",ROUND(SUM($AJ344)*SUM($AL344),0))</f>
        <v>0</v>
      </c>
      <c r="AN344" s="10" t="str">
        <f aca="false">IF($C344="&lt;01",ROUND(INDEX(EID!$P:$P,MATCH($B344,EID!$B:$B,0))/2,0),"")</f>
        <v/>
      </c>
      <c r="AO344" s="10" t="n">
        <f aca="false">IF($C344="&lt;01",SUM($AN344),ROUND(SUM($AM344)*SUM($O344)/IF(SUM($Z344)=0,1,$Z344),0))</f>
        <v>0</v>
      </c>
      <c r="AP344" s="39" t="n">
        <f aca="false">IF(OR($F344="",$C344="&lt;01"),$AO344,$F344)</f>
        <v>0</v>
      </c>
      <c r="AQ344" s="39" t="n">
        <f aca="false">IF(LEFT($B344,4)="_Mil","",IF(SUM($AP344)=0,SUM($Z344),IF(OR(SUM($Z344)=0,SUM($O344)=0),MAX($AP344,$Z344),$AP344*$Z344/$O344)))</f>
        <v>1124</v>
      </c>
      <c r="AR344" s="88" t="str">
        <f aca="false">IF(OR(LEFT($B344,4)="_Mil",SUM($AJ344)=0),"",SUM($AQ344)/$AJ344)</f>
        <v/>
      </c>
      <c r="AS344" s="88" t="n">
        <f aca="false">IF($C344="&lt;01","",98%)</f>
        <v>0.98</v>
      </c>
      <c r="AT344" s="88" t="n">
        <f aca="false">IF($C344="&lt;01","",98%)</f>
        <v>0.98</v>
      </c>
      <c r="AU344" s="10" t="n">
        <f aca="false">IF($C344="&lt;01","",SUM($AP344)-SUM($O344))</f>
        <v>0</v>
      </c>
      <c r="AV344" s="10" t="n">
        <f aca="false">IF($C344="&lt;01",ROUND(INDEX(EID!$N:$N,MATCH($B344,EID!$B:$B,0))/2,0),IF(SUM($AT344)=0,"",ROUND((SUM($AP344)-(SUM($O344)*SUM($AS344)))/$AT344,0)))</f>
        <v>0</v>
      </c>
      <c r="AW344" s="88" t="n">
        <f aca="false">IF($C344="&lt;01","",100%)</f>
        <v>1</v>
      </c>
      <c r="AX344" s="39" t="n">
        <f aca="false">IF($C344="&lt;01",SUM($AV344),ROUND(SUM($AV344)*SUM($AW344),0))</f>
        <v>0</v>
      </c>
      <c r="AY344" s="114" t="n">
        <f aca="false">IF($C344="&lt;01","",70%)</f>
        <v>0.7</v>
      </c>
      <c r="AZ344" s="91" t="n">
        <f aca="false">IF($C344="&lt;01",ROUND(INDEX(EID!$R:$R,MATCH($B344,EID!$B:$B,0))/2,0),ROUND(SUM($O344)+(SUM($AV344)*$AY344),0))</f>
        <v>0</v>
      </c>
      <c r="BA344" s="87" t="n">
        <f aca="false">IF($C344="&lt;01","",95%)</f>
        <v>0.95</v>
      </c>
      <c r="BB344" s="5" t="n">
        <f aca="false">IF($C344="&lt;01",ROUND(INDEX(EID!$T:$T,MATCH($B344,EID!$B:$B,0))/2,0),ROUND($AZ344*$BA344,0))</f>
        <v>0</v>
      </c>
      <c r="BC344" s="91" t="n">
        <f aca="false">IF(LEFT($B344,4)="_Mil","",IF(SUM($BB344)=0,SUM($AD344),IF(OR(SUM($AP344)=0,SUM($AQ344)=0),MAX($BB344,$AD344),ROUND($BB344*$AQ344/$AP344,0))))</f>
        <v>0</v>
      </c>
      <c r="BD344" s="88" t="n">
        <f aca="false">IF($C344="&lt;01","",95%)</f>
        <v>0.95</v>
      </c>
      <c r="BE344" s="39" t="n">
        <f aca="false">IF($C344="&lt;01",ROUND(INDEX(EID!$V:$V,MATCH($B344,EID!$B:$B,0))/2,0),ROUND($BD344*$BB344,0))</f>
        <v>0</v>
      </c>
      <c r="BF344" s="39" t="n">
        <f aca="false">IF(LEFT($B344,4)="_Mil","",IF(SUM($BE344)=0,SUM($AF344),IF(OR(SUM($AP344)=0,SUM($AQ344)=0),MAX($BE344,$AF344),ROUND($BE344*$AQ344/$AP344,0))))</f>
        <v>0</v>
      </c>
      <c r="BG344" s="114" t="n">
        <f aca="false">IF($C344="&lt;01","",95%)</f>
        <v>0.95</v>
      </c>
      <c r="BH344" s="5" t="n">
        <f aca="false">IF($C344="&lt;01",ROUND(INDEX(EID!$L:$L,MATCH($B344,EID!$B:$B,0)),0)/2,IF(SUM($BG344)=0,"",ROUND($AX344/$BG344,0)))</f>
        <v>0</v>
      </c>
    </row>
    <row r="345" customFormat="false" ht="15" hidden="false" customHeight="false" outlineLevel="0" collapsed="false">
      <c r="A345" s="0" t="str">
        <f aca="false">INDEX(Prioritization!$D:$D,MATCH($B345,Prioritization!$A:$A,0))</f>
        <v>INVALID</v>
      </c>
      <c r="B345" s="0" t="s">
        <v>217</v>
      </c>
      <c r="C345" s="0" t="s">
        <v>366</v>
      </c>
      <c r="D345" s="0" t="s">
        <v>30</v>
      </c>
      <c r="E345" s="0" t="str">
        <f aca="false">$B345&amp;"|"&amp;$C345&amp;"|"&amp;$D345</f>
        <v>Mwanza District [wNqJp8oRIcF]|25-34|Female</v>
      </c>
      <c r="F345" s="10"/>
      <c r="G345" s="10"/>
      <c r="H345" s="10"/>
      <c r="I345" s="10"/>
      <c r="J345" s="10"/>
      <c r="K345" s="10"/>
      <c r="L345" s="10"/>
      <c r="M345" s="10"/>
      <c r="N345" s="10"/>
      <c r="O345" s="10" t="str">
        <f aca="false">IFERROR(1/(1/MAX($I345,$N345)),"")</f>
        <v/>
      </c>
      <c r="P345" s="10"/>
      <c r="Q345" s="10"/>
      <c r="R345" s="10" t="str">
        <f aca="false">IF(AND(SUM($I345)=0,SUM($O345)=0),"",SUM($O345)-$I345)</f>
        <v/>
      </c>
      <c r="S345" s="10" t="n">
        <f aca="false">IF(LEFT($B345,4)="_Mil","",_xlfn.IFNA(ROUND(INDEX(Spectrum!$N:$N,MATCH(RIGHT($B345,13)&amp;"|"&amp;$C345&amp;"|"&amp;$D345&amp;"|"&amp;S$14&amp;"|"&amp;"CY2022Q4",Spectrum!$R:$R,0)),0),""))</f>
        <v>1614</v>
      </c>
      <c r="T345" s="39" t="n">
        <f aca="false">IF(LEFT($B345,4)="_Mil","",_xlfn.IFNA(ROUND(INDEX(Spectrum!$N:$N,MATCH(RIGHT($B345,13)&amp;"|"&amp;$C345&amp;"|"&amp;$D345&amp;"|"&amp;T$14&amp;"|"&amp;"CY2023Q3",Spectrum!$R:$R,0)),0),""))</f>
        <v>619</v>
      </c>
      <c r="U345" s="39" t="str">
        <f aca="false">IF(LEFT($B345,4)="_Mil","",_xlfn.IFNA(ROUND(INDEX(Spectrum!$N:$N,MATCH(RIGHT($B345,13)&amp;"|"&amp;$C345&amp;"|"&amp;$D345&amp;"|"&amp;U$14&amp;"|"&amp;"CY2023Q3",Spectrum!$R:$R,0)),0),""))</f>
        <v/>
      </c>
      <c r="V345" s="10" t="n">
        <f aca="false">IF(LEFT($B345,4)="_Mil","",_xlfn.IFNA(ROUND(INDEX(Spectrum!$N:$N,MATCH(RIGHT($B345,13)&amp;"|"&amp;$C345&amp;"|"&amp;$D345&amp;"|"&amp;V$14&amp;"|"&amp;"CY2023Q3",Spectrum!$R:$R,0)),0),""))</f>
        <v>1574</v>
      </c>
      <c r="W345" s="113" t="n">
        <f aca="false">IF(LEFT($B345,4)="_Mil","",_xlfn.IFNA(INDEX(Spectrum!$N:$N,MATCH(RIGHT($B345,13)&amp;"|"&amp;$C345&amp;"|"&amp;$D345&amp;"|"&amp;W$14&amp;"|"&amp;"CY2023Q3",Spectrum!$R:$R,0)),""))</f>
        <v>1468</v>
      </c>
      <c r="X345" s="39" t="n">
        <f aca="false">IF(LEFT($B345,4)="_Mil","",_xlfn.IFNA(ROUND(INDEX(Spectrum!$N:$N,MATCH(RIGHT($B345,13)&amp;"|"&amp;$C345&amp;"|"&amp;$D345&amp;"|"&amp;X$14&amp;"|"&amp;"CY2023Q3",Spectrum!$R:$R,0)),0),""))</f>
        <v>1022</v>
      </c>
      <c r="Y345" s="88" t="str">
        <f aca="false">IF(OR(SUM($U345)=0,LEFT($B345,4)="_Mil"),"",SUM($X345)/$U345)</f>
        <v/>
      </c>
      <c r="Z345" s="39" t="n">
        <f aca="false">IF(LEFT($B345,4)="_Mil","",_xlfn.IFNA(ROUND(INDEX(Spectrum!$N:$N,MATCH(RIGHT($B345,13)&amp;"|"&amp;$C345&amp;"|"&amp;$D345&amp;"|"&amp;Z$14&amp;"|"&amp;"CY2023Q3",Spectrum!$R:$R,0)),0),""))</f>
        <v>623</v>
      </c>
      <c r="AA345" s="88" t="n">
        <f aca="false">IF(LEFT($B345,4)="_Mil","",IFERROR(1/(1/INDEX(Spectrum!$N:$N,MATCH(RIGHT($B345,13)&amp;"|"&amp;$C345&amp;"|"&amp;$D345&amp;"|"&amp;AA$14&amp;"|"&amp;"CY2023Q3",Spectrum!$R:$R,0))),IF(SUM($U345)=0,"",SUM($Z345)/$U345)))</f>
        <v>935</v>
      </c>
      <c r="AB345" s="88" t="n">
        <f aca="false">IF(OR(LEFT($B345,4)="_Mil",SUM($X345)=0),"",SUM($Z345)/$X345)</f>
        <v>0.60958904109589</v>
      </c>
      <c r="AC345" s="10" t="n">
        <f aca="false">IF(LEFT($B345,4)="_Mil","",_xlfn.IFNA(ROUND(INDEX(Spectrum!$N:$N,MATCH(RIGHT($B345,13)&amp;"|"&amp;$C345&amp;"|"&amp;$D345&amp;"|"&amp;AC$14&amp;"|"&amp;"CY2023Q3",Spectrum!$R:$R,0)),0),""))</f>
        <v>1676</v>
      </c>
      <c r="AD345" s="10" t="str">
        <f aca="false">IF(LEFT($B345,4)="_Mil","",_xlfn.IFNA(ROUND(INDEX(Spectrum!$N:$N,MATCH(RIGHT($B345,13)&amp;"|"&amp;$C345&amp;"|"&amp;$D345&amp;"|"&amp;AD$14&amp;"|"&amp;"CY2023Q3",Spectrum!$R:$R,0)),0),""))</f>
        <v/>
      </c>
      <c r="AE345" s="88" t="n">
        <f aca="false">IF(OR(LEFT($B345,4)="_Mil",SUM($Z345)=0),"",SUM($AD345)/$Z345)</f>
        <v>0</v>
      </c>
      <c r="AF345" s="39" t="str">
        <f aca="false">IF(LEFT($B345,4)="_Mil","",_xlfn.IFNA(ROUND(INDEX(Spectrum!$N:$N,MATCH(RIGHT($B345,13)&amp;"|"&amp;$C345&amp;"|"&amp;$D345&amp;"|"&amp;AF$14&amp;"|"&amp;"CY2023Q3",Spectrum!$R:$R,0)),0),""))</f>
        <v/>
      </c>
      <c r="AG345" s="88" t="str">
        <f aca="false">IF(OR(LEFT($B345,4)="_Mil",SUM($AD345)=0),"",SUM($AF345)/$AD345)</f>
        <v/>
      </c>
      <c r="AH345" s="86" t="str">
        <f aca="false">IF(LEFT($B345,4)="_Mil","",_xlfn.IFNA(INDEX(Spectrum!$N:$N,MATCH(RIGHT($B345,13)&amp;"|"&amp;$C345&amp;"|"&amp;$D345&amp;"|"&amp;AH$14&amp;"|"&amp;"CY2023Q3",Spectrum!$R:$R,0)),""))</f>
        <v/>
      </c>
      <c r="AI345" s="10" t="str">
        <f aca="false">IF(LEFT($B345,4)="_Mil","",_xlfn.IFNA(ROUND(INDEX(Spectrum!$N:$N,MATCH(RIGHT($B345,13)&amp;"|"&amp;$C345&amp;"|"&amp;$D345&amp;"|"&amp;AI$14&amp;"|"&amp;"CY2023Q3",Spectrum!$R:$R,0)),0),""))</f>
        <v/>
      </c>
      <c r="AJ345" s="39" t="n">
        <f aca="false">IF(LEFT($B345,4)="_Mil","",_xlfn.IFNA(ROUND(INDEX(Spectrum!$N:$N,MATCH(RIGHT($B345,13)&amp;"|"&amp;$C345&amp;"|"&amp;$D345&amp;"|"&amp;AI$14&amp;"|"&amp;"CY2023Q3",Spectrum!$R:$R,0)),0),SUM($U345)+SUM($AI345)))</f>
        <v>0</v>
      </c>
      <c r="AK345" s="10" t="str">
        <f aca="false">IF(LEFT($B345,4)="_Mil","",_xlfn.IFNA(ROUND(INDEX(Spectrum!$N:$N,MATCH(RIGHT($B345,13)&amp;"|"&amp;$C345&amp;"|"&amp;$D345&amp;"|"&amp;AK$14&amp;"|"&amp;"CY2023Q3",Spectrum!$R:$R,0)),0),""))</f>
        <v/>
      </c>
      <c r="AL345" s="88" t="n">
        <f aca="false">IF(OR(LEFT($B345,4)="_Mil",$C345="&lt;01"),"",MAX(SUM($AA345),90%))</f>
        <v>935</v>
      </c>
      <c r="AM345" s="10" t="n">
        <f aca="false">IF(OR(LEFT($B345,4)="_Mil",$C345="&lt;01"),"",ROUND(SUM($AJ345)*SUM($AL345),0))</f>
        <v>0</v>
      </c>
      <c r="AN345" s="10" t="str">
        <f aca="false">IF($C345="&lt;01",ROUND(INDEX(EID!$P:$P,MATCH($B345,EID!$B:$B,0))/2,0),"")</f>
        <v/>
      </c>
      <c r="AO345" s="10" t="n">
        <f aca="false">IF($C345="&lt;01",SUM($AN345),ROUND(SUM($AM345)*SUM($O345)/IF(SUM($Z345)=0,1,$Z345),0))</f>
        <v>0</v>
      </c>
      <c r="AP345" s="39" t="n">
        <f aca="false">IF(OR($F345="",$C345="&lt;01"),$AO345,$F345)</f>
        <v>0</v>
      </c>
      <c r="AQ345" s="39" t="n">
        <f aca="false">IF(LEFT($B345,4)="_Mil","",IF(SUM($AP345)=0,SUM($Z345),IF(OR(SUM($Z345)=0,SUM($O345)=0),MAX($AP345,$Z345),$AP345*$Z345/$O345)))</f>
        <v>623</v>
      </c>
      <c r="AR345" s="88" t="str">
        <f aca="false">IF(OR(LEFT($B345,4)="_Mil",SUM($AJ345)=0),"",SUM($AQ345)/$AJ345)</f>
        <v/>
      </c>
      <c r="AS345" s="88" t="n">
        <f aca="false">IF($C345="&lt;01","",98%)</f>
        <v>0.98</v>
      </c>
      <c r="AT345" s="88" t="n">
        <f aca="false">IF($C345="&lt;01","",98%)</f>
        <v>0.98</v>
      </c>
      <c r="AU345" s="10" t="n">
        <f aca="false">IF($C345="&lt;01","",SUM($AP345)-SUM($O345))</f>
        <v>0</v>
      </c>
      <c r="AV345" s="10" t="n">
        <f aca="false">IF($C345="&lt;01",ROUND(INDEX(EID!$N:$N,MATCH($B345,EID!$B:$B,0))/2,0),IF(SUM($AT345)=0,"",ROUND((SUM($AP345)-(SUM($O345)*SUM($AS345)))/$AT345,0)))</f>
        <v>0</v>
      </c>
      <c r="AW345" s="88" t="n">
        <f aca="false">IF($C345="&lt;01","",100%)</f>
        <v>1</v>
      </c>
      <c r="AX345" s="39" t="n">
        <f aca="false">IF($C345="&lt;01",SUM($AV345),ROUND(SUM($AV345)*SUM($AW345),0))</f>
        <v>0</v>
      </c>
      <c r="AY345" s="114" t="n">
        <f aca="false">IF($C345="&lt;01","",70%)</f>
        <v>0.7</v>
      </c>
      <c r="AZ345" s="91" t="n">
        <f aca="false">IF($C345="&lt;01",ROUND(INDEX(EID!$R:$R,MATCH($B345,EID!$B:$B,0))/2,0),ROUND(SUM($O345)+(SUM($AV345)*$AY345),0))</f>
        <v>0</v>
      </c>
      <c r="BA345" s="87" t="n">
        <f aca="false">IF($C345="&lt;01","",95%)</f>
        <v>0.95</v>
      </c>
      <c r="BB345" s="5" t="n">
        <f aca="false">IF($C345="&lt;01",ROUND(INDEX(EID!$T:$T,MATCH($B345,EID!$B:$B,0))/2,0),ROUND($AZ345*$BA345,0))</f>
        <v>0</v>
      </c>
      <c r="BC345" s="91" t="n">
        <f aca="false">IF(LEFT($B345,4)="_Mil","",IF(SUM($BB345)=0,SUM($AD345),IF(OR(SUM($AP345)=0,SUM($AQ345)=0),MAX($BB345,$AD345),ROUND($BB345*$AQ345/$AP345,0))))</f>
        <v>0</v>
      </c>
      <c r="BD345" s="88" t="n">
        <f aca="false">IF($C345="&lt;01","",95%)</f>
        <v>0.95</v>
      </c>
      <c r="BE345" s="39" t="n">
        <f aca="false">IF($C345="&lt;01",ROUND(INDEX(EID!$V:$V,MATCH($B345,EID!$B:$B,0))/2,0),ROUND($BD345*$BB345,0))</f>
        <v>0</v>
      </c>
      <c r="BF345" s="39" t="n">
        <f aca="false">IF(LEFT($B345,4)="_Mil","",IF(SUM($BE345)=0,SUM($AF345),IF(OR(SUM($AP345)=0,SUM($AQ345)=0),MAX($BE345,$AF345),ROUND($BE345*$AQ345/$AP345,0))))</f>
        <v>0</v>
      </c>
      <c r="BG345" s="114" t="n">
        <f aca="false">IF($C345="&lt;01","",95%)</f>
        <v>0.95</v>
      </c>
      <c r="BH345" s="5" t="n">
        <f aca="false">IF($C345="&lt;01",ROUND(INDEX(EID!$L:$L,MATCH($B345,EID!$B:$B,0)),0)/2,IF(SUM($BG345)=0,"",ROUND($AX345/$BG345,0)))</f>
        <v>0</v>
      </c>
    </row>
    <row r="346" customFormat="false" ht="15" hidden="false" customHeight="false" outlineLevel="0" collapsed="false">
      <c r="A346" s="0" t="str">
        <f aca="false">INDEX(Prioritization!$D:$D,MATCH($B346,Prioritization!$A:$A,0))</f>
        <v>INVALID</v>
      </c>
      <c r="B346" s="0" t="s">
        <v>217</v>
      </c>
      <c r="C346" s="0" t="s">
        <v>366</v>
      </c>
      <c r="D346" s="0" t="s">
        <v>48</v>
      </c>
      <c r="E346" s="0" t="str">
        <f aca="false">$B346&amp;"|"&amp;$C346&amp;"|"&amp;$D346</f>
        <v>Mwanza District [wNqJp8oRIcF]|25-34|Male</v>
      </c>
      <c r="F346" s="10"/>
      <c r="G346" s="10"/>
      <c r="H346" s="10"/>
      <c r="I346" s="10"/>
      <c r="J346" s="10"/>
      <c r="K346" s="10"/>
      <c r="L346" s="10"/>
      <c r="M346" s="10"/>
      <c r="N346" s="10"/>
      <c r="O346" s="10" t="str">
        <f aca="false">IFERROR(1/(1/MAX($I346,$N346)),"")</f>
        <v/>
      </c>
      <c r="P346" s="10"/>
      <c r="Q346" s="10"/>
      <c r="R346" s="10" t="str">
        <f aca="false">IF(AND(SUM($I346)=0,SUM($O346)=0),"",SUM($O346)-$I346)</f>
        <v/>
      </c>
      <c r="S346" s="10" t="n">
        <f aca="false">IF(LEFT($B346,4)="_Mil","",_xlfn.IFNA(ROUND(INDEX(Spectrum!$N:$N,MATCH(RIGHT($B346,13)&amp;"|"&amp;$C346&amp;"|"&amp;$D346&amp;"|"&amp;S$14&amp;"|"&amp;"CY2022Q4",Spectrum!$R:$R,0)),0),""))</f>
        <v>1102</v>
      </c>
      <c r="T346" s="39" t="n">
        <f aca="false">IF(LEFT($B346,4)="_Mil","",_xlfn.IFNA(ROUND(INDEX(Spectrum!$N:$N,MATCH(RIGHT($B346,13)&amp;"|"&amp;$C346&amp;"|"&amp;$D346&amp;"|"&amp;T$14&amp;"|"&amp;"CY2023Q3",Spectrum!$R:$R,0)),0),""))</f>
        <v>1510</v>
      </c>
      <c r="U346" s="39" t="str">
        <f aca="false">IF(LEFT($B346,4)="_Mil","",_xlfn.IFNA(ROUND(INDEX(Spectrum!$N:$N,MATCH(RIGHT($B346,13)&amp;"|"&amp;$C346&amp;"|"&amp;$D346&amp;"|"&amp;U$14&amp;"|"&amp;"CY2023Q3",Spectrum!$R:$R,0)),0),""))</f>
        <v/>
      </c>
      <c r="V346" s="10" t="n">
        <f aca="false">IF(LEFT($B346,4)="_Mil","",_xlfn.IFNA(ROUND(INDEX(Spectrum!$N:$N,MATCH(RIGHT($B346,13)&amp;"|"&amp;$C346&amp;"|"&amp;$D346&amp;"|"&amp;V$14&amp;"|"&amp;"CY2023Q3",Spectrum!$R:$R,0)),0),""))</f>
        <v>1043</v>
      </c>
      <c r="W346" s="113" t="n">
        <f aca="false">IF(LEFT($B346,4)="_Mil","",_xlfn.IFNA(INDEX(Spectrum!$N:$N,MATCH(RIGHT($B346,13)&amp;"|"&amp;$C346&amp;"|"&amp;$D346&amp;"|"&amp;W$14&amp;"|"&amp;"CY2023Q3",Spectrum!$R:$R,0)),""))</f>
        <v>1486</v>
      </c>
      <c r="X346" s="39" t="n">
        <f aca="false">IF(LEFT($B346,4)="_Mil","",_xlfn.IFNA(ROUND(INDEX(Spectrum!$N:$N,MATCH(RIGHT($B346,13)&amp;"|"&amp;$C346&amp;"|"&amp;$D346&amp;"|"&amp;X$14&amp;"|"&amp;"CY2023Q3",Spectrum!$R:$R,0)),0),""))</f>
        <v>788</v>
      </c>
      <c r="Y346" s="88" t="str">
        <f aca="false">IF(OR(SUM($U346)=0,LEFT($B346,4)="_Mil"),"",SUM($X346)/$U346)</f>
        <v/>
      </c>
      <c r="Z346" s="39" t="n">
        <f aca="false">IF(LEFT($B346,4)="_Mil","",_xlfn.IFNA(ROUND(INDEX(Spectrum!$N:$N,MATCH(RIGHT($B346,13)&amp;"|"&amp;$C346&amp;"|"&amp;$D346&amp;"|"&amp;Z$14&amp;"|"&amp;"CY2023Q3",Spectrum!$R:$R,0)),0),""))</f>
        <v>559</v>
      </c>
      <c r="AA346" s="88" t="n">
        <f aca="false">IF(LEFT($B346,4)="_Mil","",IFERROR(1/(1/INDEX(Spectrum!$N:$N,MATCH(RIGHT($B346,13)&amp;"|"&amp;$C346&amp;"|"&amp;$D346&amp;"|"&amp;AA$14&amp;"|"&amp;"CY2023Q3",Spectrum!$R:$R,0))),IF(SUM($U346)=0,"",SUM($Z346)/$U346)))</f>
        <v>635</v>
      </c>
      <c r="AB346" s="88" t="n">
        <f aca="false">IF(OR(LEFT($B346,4)="_Mil",SUM($X346)=0),"",SUM($Z346)/$X346)</f>
        <v>0.709390862944162</v>
      </c>
      <c r="AC346" s="10" t="n">
        <f aca="false">IF(LEFT($B346,4)="_Mil","",_xlfn.IFNA(ROUND(INDEX(Spectrum!$N:$N,MATCH(RIGHT($B346,13)&amp;"|"&amp;$C346&amp;"|"&amp;$D346&amp;"|"&amp;AC$14&amp;"|"&amp;"CY2023Q3",Spectrum!$R:$R,0)),0),""))</f>
        <v>1880</v>
      </c>
      <c r="AD346" s="10" t="str">
        <f aca="false">IF(LEFT($B346,4)="_Mil","",_xlfn.IFNA(ROUND(INDEX(Spectrum!$N:$N,MATCH(RIGHT($B346,13)&amp;"|"&amp;$C346&amp;"|"&amp;$D346&amp;"|"&amp;AD$14&amp;"|"&amp;"CY2023Q3",Spectrum!$R:$R,0)),0),""))</f>
        <v/>
      </c>
      <c r="AE346" s="88" t="n">
        <f aca="false">IF(OR(LEFT($B346,4)="_Mil",SUM($Z346)=0),"",SUM($AD346)/$Z346)</f>
        <v>0</v>
      </c>
      <c r="AF346" s="39" t="str">
        <f aca="false">IF(LEFT($B346,4)="_Mil","",_xlfn.IFNA(ROUND(INDEX(Spectrum!$N:$N,MATCH(RIGHT($B346,13)&amp;"|"&amp;$C346&amp;"|"&amp;$D346&amp;"|"&amp;AF$14&amp;"|"&amp;"CY2023Q3",Spectrum!$R:$R,0)),0),""))</f>
        <v/>
      </c>
      <c r="AG346" s="88" t="str">
        <f aca="false">IF(OR(LEFT($B346,4)="_Mil",SUM($AD346)=0),"",SUM($AF346)/$AD346)</f>
        <v/>
      </c>
      <c r="AH346" s="86" t="str">
        <f aca="false">IF(LEFT($B346,4)="_Mil","",_xlfn.IFNA(INDEX(Spectrum!$N:$N,MATCH(RIGHT($B346,13)&amp;"|"&amp;$C346&amp;"|"&amp;$D346&amp;"|"&amp;AH$14&amp;"|"&amp;"CY2023Q3",Spectrum!$R:$R,0)),""))</f>
        <v/>
      </c>
      <c r="AI346" s="10" t="str">
        <f aca="false">IF(LEFT($B346,4)="_Mil","",_xlfn.IFNA(ROUND(INDEX(Spectrum!$N:$N,MATCH(RIGHT($B346,13)&amp;"|"&amp;$C346&amp;"|"&amp;$D346&amp;"|"&amp;AI$14&amp;"|"&amp;"CY2023Q3",Spectrum!$R:$R,0)),0),""))</f>
        <v/>
      </c>
      <c r="AJ346" s="39" t="n">
        <f aca="false">IF(LEFT($B346,4)="_Mil","",_xlfn.IFNA(ROUND(INDEX(Spectrum!$N:$N,MATCH(RIGHT($B346,13)&amp;"|"&amp;$C346&amp;"|"&amp;$D346&amp;"|"&amp;AI$14&amp;"|"&amp;"CY2023Q3",Spectrum!$R:$R,0)),0),SUM($U346)+SUM($AI346)))</f>
        <v>0</v>
      </c>
      <c r="AK346" s="10" t="str">
        <f aca="false">IF(LEFT($B346,4)="_Mil","",_xlfn.IFNA(ROUND(INDEX(Spectrum!$N:$N,MATCH(RIGHT($B346,13)&amp;"|"&amp;$C346&amp;"|"&amp;$D346&amp;"|"&amp;AK$14&amp;"|"&amp;"CY2023Q3",Spectrum!$R:$R,0)),0),""))</f>
        <v/>
      </c>
      <c r="AL346" s="88" t="n">
        <f aca="false">IF(OR(LEFT($B346,4)="_Mil",$C346="&lt;01"),"",MAX(SUM($AA346),90%))</f>
        <v>635</v>
      </c>
      <c r="AM346" s="10" t="n">
        <f aca="false">IF(OR(LEFT($B346,4)="_Mil",$C346="&lt;01"),"",ROUND(SUM($AJ346)*SUM($AL346),0))</f>
        <v>0</v>
      </c>
      <c r="AN346" s="10" t="str">
        <f aca="false">IF($C346="&lt;01",ROUND(INDEX(EID!$P:$P,MATCH($B346,EID!$B:$B,0))/2,0),"")</f>
        <v/>
      </c>
      <c r="AO346" s="10" t="n">
        <f aca="false">IF($C346="&lt;01",SUM($AN346),ROUND(SUM($AM346)*SUM($O346)/IF(SUM($Z346)=0,1,$Z346),0))</f>
        <v>0</v>
      </c>
      <c r="AP346" s="39" t="n">
        <f aca="false">IF(OR($F346="",$C346="&lt;01"),$AO346,$F346)</f>
        <v>0</v>
      </c>
      <c r="AQ346" s="39" t="n">
        <f aca="false">IF(LEFT($B346,4)="_Mil","",IF(SUM($AP346)=0,SUM($Z346),IF(OR(SUM($Z346)=0,SUM($O346)=0),MAX($AP346,$Z346),$AP346*$Z346/$O346)))</f>
        <v>559</v>
      </c>
      <c r="AR346" s="88" t="str">
        <f aca="false">IF(OR(LEFT($B346,4)="_Mil",SUM($AJ346)=0),"",SUM($AQ346)/$AJ346)</f>
        <v/>
      </c>
      <c r="AS346" s="88" t="n">
        <f aca="false">IF($C346="&lt;01","",98%)</f>
        <v>0.98</v>
      </c>
      <c r="AT346" s="88" t="n">
        <f aca="false">IF($C346="&lt;01","",98%)</f>
        <v>0.98</v>
      </c>
      <c r="AU346" s="10" t="n">
        <f aca="false">IF($C346="&lt;01","",SUM($AP346)-SUM($O346))</f>
        <v>0</v>
      </c>
      <c r="AV346" s="10" t="n">
        <f aca="false">IF($C346="&lt;01",ROUND(INDEX(EID!$N:$N,MATCH($B346,EID!$B:$B,0))/2,0),IF(SUM($AT346)=0,"",ROUND((SUM($AP346)-(SUM($O346)*SUM($AS346)))/$AT346,0)))</f>
        <v>0</v>
      </c>
      <c r="AW346" s="88" t="n">
        <f aca="false">IF($C346="&lt;01","",100%)</f>
        <v>1</v>
      </c>
      <c r="AX346" s="39" t="n">
        <f aca="false">IF($C346="&lt;01",SUM($AV346),ROUND(SUM($AV346)*SUM($AW346),0))</f>
        <v>0</v>
      </c>
      <c r="AY346" s="114" t="n">
        <f aca="false">IF($C346="&lt;01","",70%)</f>
        <v>0.7</v>
      </c>
      <c r="AZ346" s="91" t="n">
        <f aca="false">IF($C346="&lt;01",ROUND(INDEX(EID!$R:$R,MATCH($B346,EID!$B:$B,0))/2,0),ROUND(SUM($O346)+(SUM($AV346)*$AY346),0))</f>
        <v>0</v>
      </c>
      <c r="BA346" s="87" t="n">
        <f aca="false">IF($C346="&lt;01","",95%)</f>
        <v>0.95</v>
      </c>
      <c r="BB346" s="5" t="n">
        <f aca="false">IF($C346="&lt;01",ROUND(INDEX(EID!$T:$T,MATCH($B346,EID!$B:$B,0))/2,0),ROUND($AZ346*$BA346,0))</f>
        <v>0</v>
      </c>
      <c r="BC346" s="91" t="n">
        <f aca="false">IF(LEFT($B346,4)="_Mil","",IF(SUM($BB346)=0,SUM($AD346),IF(OR(SUM($AP346)=0,SUM($AQ346)=0),MAX($BB346,$AD346),ROUND($BB346*$AQ346/$AP346,0))))</f>
        <v>0</v>
      </c>
      <c r="BD346" s="88" t="n">
        <f aca="false">IF($C346="&lt;01","",95%)</f>
        <v>0.95</v>
      </c>
      <c r="BE346" s="39" t="n">
        <f aca="false">IF($C346="&lt;01",ROUND(INDEX(EID!$V:$V,MATCH($B346,EID!$B:$B,0))/2,0),ROUND($BD346*$BB346,0))</f>
        <v>0</v>
      </c>
      <c r="BF346" s="39" t="n">
        <f aca="false">IF(LEFT($B346,4)="_Mil","",IF(SUM($BE346)=0,SUM($AF346),IF(OR(SUM($AP346)=0,SUM($AQ346)=0),MAX($BE346,$AF346),ROUND($BE346*$AQ346/$AP346,0))))</f>
        <v>0</v>
      </c>
      <c r="BG346" s="114" t="n">
        <f aca="false">IF($C346="&lt;01","",95%)</f>
        <v>0.95</v>
      </c>
      <c r="BH346" s="5" t="n">
        <f aca="false">IF($C346="&lt;01",ROUND(INDEX(EID!$L:$L,MATCH($B346,EID!$B:$B,0)),0)/2,IF(SUM($BG346)=0,"",ROUND($AX346/$BG346,0)))</f>
        <v>0</v>
      </c>
    </row>
    <row r="347" customFormat="false" ht="15" hidden="false" customHeight="false" outlineLevel="0" collapsed="false">
      <c r="A347" s="0" t="str">
        <f aca="false">INDEX(Prioritization!$D:$D,MATCH($B347,Prioritization!$A:$A,0))</f>
        <v>INVALID</v>
      </c>
      <c r="B347" s="0" t="s">
        <v>217</v>
      </c>
      <c r="C347" s="0" t="s">
        <v>367</v>
      </c>
      <c r="D347" s="0" t="s">
        <v>30</v>
      </c>
      <c r="E347" s="0" t="str">
        <f aca="false">$B347&amp;"|"&amp;$C347&amp;"|"&amp;$D347</f>
        <v>Mwanza District [wNqJp8oRIcF]|35-49|Female</v>
      </c>
      <c r="F347" s="10"/>
      <c r="G347" s="10"/>
      <c r="H347" s="10"/>
      <c r="I347" s="10"/>
      <c r="J347" s="10"/>
      <c r="K347" s="10"/>
      <c r="L347" s="10"/>
      <c r="M347" s="10"/>
      <c r="N347" s="10"/>
      <c r="O347" s="10" t="str">
        <f aca="false">IFERROR(1/(1/MAX($I347,$N347)),"")</f>
        <v/>
      </c>
      <c r="P347" s="10"/>
      <c r="Q347" s="10"/>
      <c r="R347" s="10" t="str">
        <f aca="false">IF(AND(SUM($I347)=0,SUM($O347)=0),"",SUM($O347)-$I347)</f>
        <v/>
      </c>
      <c r="S347" s="10" t="n">
        <f aca="false">IF(LEFT($B347,4)="_Mil","",_xlfn.IFNA(ROUND(INDEX(Spectrum!$N:$N,MATCH(RIGHT($B347,13)&amp;"|"&amp;$C347&amp;"|"&amp;$D347&amp;"|"&amp;S$14&amp;"|"&amp;"CY2022Q4",Spectrum!$R:$R,0)),0),""))</f>
        <v>1372</v>
      </c>
      <c r="T347" s="39" t="n">
        <f aca="false">IF(LEFT($B347,4)="_Mil","",_xlfn.IFNA(ROUND(INDEX(Spectrum!$N:$N,MATCH(RIGHT($B347,13)&amp;"|"&amp;$C347&amp;"|"&amp;$D347&amp;"|"&amp;T$14&amp;"|"&amp;"CY2023Q3",Spectrum!$R:$R,0)),0),""))</f>
        <v>1684</v>
      </c>
      <c r="U347" s="39" t="str">
        <f aca="false">IF(LEFT($B347,4)="_Mil","",_xlfn.IFNA(ROUND(INDEX(Spectrum!$N:$N,MATCH(RIGHT($B347,13)&amp;"|"&amp;$C347&amp;"|"&amp;$D347&amp;"|"&amp;U$14&amp;"|"&amp;"CY2023Q3",Spectrum!$R:$R,0)),0),""))</f>
        <v/>
      </c>
      <c r="V347" s="10" t="n">
        <f aca="false">IF(LEFT($B347,4)="_Mil","",_xlfn.IFNA(ROUND(INDEX(Spectrum!$N:$N,MATCH(RIGHT($B347,13)&amp;"|"&amp;$C347&amp;"|"&amp;$D347&amp;"|"&amp;V$14&amp;"|"&amp;"CY2023Q3",Spectrum!$R:$R,0)),0),""))</f>
        <v>1238</v>
      </c>
      <c r="W347" s="113" t="n">
        <f aca="false">IF(LEFT($B347,4)="_Mil","",_xlfn.IFNA(INDEX(Spectrum!$N:$N,MATCH(RIGHT($B347,13)&amp;"|"&amp;$C347&amp;"|"&amp;$D347&amp;"|"&amp;W$14&amp;"|"&amp;"CY2023Q3",Spectrum!$R:$R,0)),""))</f>
        <v>1421</v>
      </c>
      <c r="X347" s="39" t="n">
        <f aca="false">IF(LEFT($B347,4)="_Mil","",_xlfn.IFNA(ROUND(INDEX(Spectrum!$N:$N,MATCH(RIGHT($B347,13)&amp;"|"&amp;$C347&amp;"|"&amp;$D347&amp;"|"&amp;X$14&amp;"|"&amp;"CY2023Q3",Spectrum!$R:$R,0)),0),""))</f>
        <v>1369</v>
      </c>
      <c r="Y347" s="88" t="str">
        <f aca="false">IF(OR(SUM($U347)=0,LEFT($B347,4)="_Mil"),"",SUM($X347)/$U347)</f>
        <v/>
      </c>
      <c r="Z347" s="39" t="n">
        <f aca="false">IF(LEFT($B347,4)="_Mil","",_xlfn.IFNA(ROUND(INDEX(Spectrum!$N:$N,MATCH(RIGHT($B347,13)&amp;"|"&amp;$C347&amp;"|"&amp;$D347&amp;"|"&amp;Z$14&amp;"|"&amp;"CY2023Q3",Spectrum!$R:$R,0)),0),""))</f>
        <v>1975</v>
      </c>
      <c r="AA347" s="88" t="n">
        <f aca="false">IF(LEFT($B347,4)="_Mil","",IFERROR(1/(1/INDEX(Spectrum!$N:$N,MATCH(RIGHT($B347,13)&amp;"|"&amp;$C347&amp;"|"&amp;$D347&amp;"|"&amp;AA$14&amp;"|"&amp;"CY2023Q3",Spectrum!$R:$R,0))),IF(SUM($U347)=0,"",SUM($Z347)/$U347)))</f>
        <v>1672</v>
      </c>
      <c r="AB347" s="88" t="n">
        <f aca="false">IF(OR(LEFT($B347,4)="_Mil",SUM($X347)=0),"",SUM($Z347)/$X347)</f>
        <v>1.44265887509131</v>
      </c>
      <c r="AC347" s="10" t="n">
        <f aca="false">IF(LEFT($B347,4)="_Mil","",_xlfn.IFNA(ROUND(INDEX(Spectrum!$N:$N,MATCH(RIGHT($B347,13)&amp;"|"&amp;$C347&amp;"|"&amp;$D347&amp;"|"&amp;AC$14&amp;"|"&amp;"CY2023Q3",Spectrum!$R:$R,0)),0),""))</f>
        <v>1305</v>
      </c>
      <c r="AD347" s="10" t="str">
        <f aca="false">IF(LEFT($B347,4)="_Mil","",_xlfn.IFNA(ROUND(INDEX(Spectrum!$N:$N,MATCH(RIGHT($B347,13)&amp;"|"&amp;$C347&amp;"|"&amp;$D347&amp;"|"&amp;AD$14&amp;"|"&amp;"CY2023Q3",Spectrum!$R:$R,0)),0),""))</f>
        <v/>
      </c>
      <c r="AE347" s="88" t="n">
        <f aca="false">IF(OR(LEFT($B347,4)="_Mil",SUM($Z347)=0),"",SUM($AD347)/$Z347)</f>
        <v>0</v>
      </c>
      <c r="AF347" s="39" t="str">
        <f aca="false">IF(LEFT($B347,4)="_Mil","",_xlfn.IFNA(ROUND(INDEX(Spectrum!$N:$N,MATCH(RIGHT($B347,13)&amp;"|"&amp;$C347&amp;"|"&amp;$D347&amp;"|"&amp;AF$14&amp;"|"&amp;"CY2023Q3",Spectrum!$R:$R,0)),0),""))</f>
        <v/>
      </c>
      <c r="AG347" s="88" t="str">
        <f aca="false">IF(OR(LEFT($B347,4)="_Mil",SUM($AD347)=0),"",SUM($AF347)/$AD347)</f>
        <v/>
      </c>
      <c r="AH347" s="86" t="str">
        <f aca="false">IF(LEFT($B347,4)="_Mil","",_xlfn.IFNA(INDEX(Spectrum!$N:$N,MATCH(RIGHT($B347,13)&amp;"|"&amp;$C347&amp;"|"&amp;$D347&amp;"|"&amp;AH$14&amp;"|"&amp;"CY2023Q3",Spectrum!$R:$R,0)),""))</f>
        <v/>
      </c>
      <c r="AI347" s="10" t="str">
        <f aca="false">IF(LEFT($B347,4)="_Mil","",_xlfn.IFNA(ROUND(INDEX(Spectrum!$N:$N,MATCH(RIGHT($B347,13)&amp;"|"&amp;$C347&amp;"|"&amp;$D347&amp;"|"&amp;AI$14&amp;"|"&amp;"CY2023Q3",Spectrum!$R:$R,0)),0),""))</f>
        <v/>
      </c>
      <c r="AJ347" s="39" t="n">
        <f aca="false">IF(LEFT($B347,4)="_Mil","",_xlfn.IFNA(ROUND(INDEX(Spectrum!$N:$N,MATCH(RIGHT($B347,13)&amp;"|"&amp;$C347&amp;"|"&amp;$D347&amp;"|"&amp;AI$14&amp;"|"&amp;"CY2023Q3",Spectrum!$R:$R,0)),0),SUM($U347)+SUM($AI347)))</f>
        <v>0</v>
      </c>
      <c r="AK347" s="10" t="str">
        <f aca="false">IF(LEFT($B347,4)="_Mil","",_xlfn.IFNA(ROUND(INDEX(Spectrum!$N:$N,MATCH(RIGHT($B347,13)&amp;"|"&amp;$C347&amp;"|"&amp;$D347&amp;"|"&amp;AK$14&amp;"|"&amp;"CY2023Q3",Spectrum!$R:$R,0)),0),""))</f>
        <v/>
      </c>
      <c r="AL347" s="88" t="n">
        <f aca="false">IF(OR(LEFT($B347,4)="_Mil",$C347="&lt;01"),"",MAX(SUM($AA347),90%))</f>
        <v>1672</v>
      </c>
      <c r="AM347" s="10" t="n">
        <f aca="false">IF(OR(LEFT($B347,4)="_Mil",$C347="&lt;01"),"",ROUND(SUM($AJ347)*SUM($AL347),0))</f>
        <v>0</v>
      </c>
      <c r="AN347" s="10" t="str">
        <f aca="false">IF($C347="&lt;01",ROUND(INDEX(EID!$P:$P,MATCH($B347,EID!$B:$B,0))/2,0),"")</f>
        <v/>
      </c>
      <c r="AO347" s="10" t="n">
        <f aca="false">IF($C347="&lt;01",SUM($AN347),ROUND(SUM($AM347)*SUM($O347)/IF(SUM($Z347)=0,1,$Z347),0))</f>
        <v>0</v>
      </c>
      <c r="AP347" s="39" t="n">
        <f aca="false">IF(OR($F347="",$C347="&lt;01"),$AO347,$F347)</f>
        <v>0</v>
      </c>
      <c r="AQ347" s="39" t="n">
        <f aca="false">IF(LEFT($B347,4)="_Mil","",IF(SUM($AP347)=0,SUM($Z347),IF(OR(SUM($Z347)=0,SUM($O347)=0),MAX($AP347,$Z347),$AP347*$Z347/$O347)))</f>
        <v>1975</v>
      </c>
      <c r="AR347" s="88" t="str">
        <f aca="false">IF(OR(LEFT($B347,4)="_Mil",SUM($AJ347)=0),"",SUM($AQ347)/$AJ347)</f>
        <v/>
      </c>
      <c r="AS347" s="88" t="n">
        <f aca="false">IF($C347="&lt;01","",98%)</f>
        <v>0.98</v>
      </c>
      <c r="AT347" s="88" t="n">
        <f aca="false">IF($C347="&lt;01","",98%)</f>
        <v>0.98</v>
      </c>
      <c r="AU347" s="10" t="n">
        <f aca="false">IF($C347="&lt;01","",SUM($AP347)-SUM($O347))</f>
        <v>0</v>
      </c>
      <c r="AV347" s="10" t="n">
        <f aca="false">IF($C347="&lt;01",ROUND(INDEX(EID!$N:$N,MATCH($B347,EID!$B:$B,0))/2,0),IF(SUM($AT347)=0,"",ROUND((SUM($AP347)-(SUM($O347)*SUM($AS347)))/$AT347,0)))</f>
        <v>0</v>
      </c>
      <c r="AW347" s="88" t="n">
        <f aca="false">IF($C347="&lt;01","",100%)</f>
        <v>1</v>
      </c>
      <c r="AX347" s="39" t="n">
        <f aca="false">IF($C347="&lt;01",SUM($AV347),ROUND(SUM($AV347)*SUM($AW347),0))</f>
        <v>0</v>
      </c>
      <c r="AY347" s="114" t="n">
        <f aca="false">IF($C347="&lt;01","",70%)</f>
        <v>0.7</v>
      </c>
      <c r="AZ347" s="91" t="n">
        <f aca="false">IF($C347="&lt;01",ROUND(INDEX(EID!$R:$R,MATCH($B347,EID!$B:$B,0))/2,0),ROUND(SUM($O347)+(SUM($AV347)*$AY347),0))</f>
        <v>0</v>
      </c>
      <c r="BA347" s="87" t="n">
        <f aca="false">IF($C347="&lt;01","",95%)</f>
        <v>0.95</v>
      </c>
      <c r="BB347" s="5" t="n">
        <f aca="false">IF($C347="&lt;01",ROUND(INDEX(EID!$T:$T,MATCH($B347,EID!$B:$B,0))/2,0),ROUND($AZ347*$BA347,0))</f>
        <v>0</v>
      </c>
      <c r="BC347" s="91" t="n">
        <f aca="false">IF(LEFT($B347,4)="_Mil","",IF(SUM($BB347)=0,SUM($AD347),IF(OR(SUM($AP347)=0,SUM($AQ347)=0),MAX($BB347,$AD347),ROUND($BB347*$AQ347/$AP347,0))))</f>
        <v>0</v>
      </c>
      <c r="BD347" s="88" t="n">
        <f aca="false">IF($C347="&lt;01","",95%)</f>
        <v>0.95</v>
      </c>
      <c r="BE347" s="39" t="n">
        <f aca="false">IF($C347="&lt;01",ROUND(INDEX(EID!$V:$V,MATCH($B347,EID!$B:$B,0))/2,0),ROUND($BD347*$BB347,0))</f>
        <v>0</v>
      </c>
      <c r="BF347" s="39" t="n">
        <f aca="false">IF(LEFT($B347,4)="_Mil","",IF(SUM($BE347)=0,SUM($AF347),IF(OR(SUM($AP347)=0,SUM($AQ347)=0),MAX($BE347,$AF347),ROUND($BE347*$AQ347/$AP347,0))))</f>
        <v>0</v>
      </c>
      <c r="BG347" s="114" t="n">
        <f aca="false">IF($C347="&lt;01","",95%)</f>
        <v>0.95</v>
      </c>
      <c r="BH347" s="5" t="n">
        <f aca="false">IF($C347="&lt;01",ROUND(INDEX(EID!$L:$L,MATCH($B347,EID!$B:$B,0)),0)/2,IF(SUM($BG347)=0,"",ROUND($AX347/$BG347,0)))</f>
        <v>0</v>
      </c>
    </row>
    <row r="348" customFormat="false" ht="15" hidden="false" customHeight="false" outlineLevel="0" collapsed="false">
      <c r="A348" s="0" t="str">
        <f aca="false">INDEX(Prioritization!$D:$D,MATCH($B348,Prioritization!$A:$A,0))</f>
        <v>INVALID</v>
      </c>
      <c r="B348" s="0" t="s">
        <v>217</v>
      </c>
      <c r="C348" s="0" t="s">
        <v>367</v>
      </c>
      <c r="D348" s="0" t="s">
        <v>48</v>
      </c>
      <c r="E348" s="0" t="str">
        <f aca="false">$B348&amp;"|"&amp;$C348&amp;"|"&amp;$D348</f>
        <v>Mwanza District [wNqJp8oRIcF]|35-49|Male</v>
      </c>
      <c r="F348" s="10"/>
      <c r="G348" s="10"/>
      <c r="H348" s="10"/>
      <c r="I348" s="10"/>
      <c r="J348" s="10"/>
      <c r="K348" s="10"/>
      <c r="L348" s="10"/>
      <c r="M348" s="10"/>
      <c r="N348" s="10"/>
      <c r="O348" s="10" t="str">
        <f aca="false">IFERROR(1/(1/MAX($I348,$N348)),"")</f>
        <v/>
      </c>
      <c r="P348" s="10"/>
      <c r="Q348" s="10"/>
      <c r="R348" s="10" t="str">
        <f aca="false">IF(AND(SUM($I348)=0,SUM($O348)=0),"",SUM($O348)-$I348)</f>
        <v/>
      </c>
      <c r="S348" s="10" t="n">
        <f aca="false">IF(LEFT($B348,4)="_Mil","",_xlfn.IFNA(ROUND(INDEX(Spectrum!$N:$N,MATCH(RIGHT($B348,13)&amp;"|"&amp;$C348&amp;"|"&amp;$D348&amp;"|"&amp;S$14&amp;"|"&amp;"CY2022Q4",Spectrum!$R:$R,0)),0),""))</f>
        <v>702</v>
      </c>
      <c r="T348" s="39" t="n">
        <f aca="false">IF(LEFT($B348,4)="_Mil","",_xlfn.IFNA(ROUND(INDEX(Spectrum!$N:$N,MATCH(RIGHT($B348,13)&amp;"|"&amp;$C348&amp;"|"&amp;$D348&amp;"|"&amp;T$14&amp;"|"&amp;"CY2023Q3",Spectrum!$R:$R,0)),0),""))</f>
        <v>1641</v>
      </c>
      <c r="U348" s="39" t="str">
        <f aca="false">IF(LEFT($B348,4)="_Mil","",_xlfn.IFNA(ROUND(INDEX(Spectrum!$N:$N,MATCH(RIGHT($B348,13)&amp;"|"&amp;$C348&amp;"|"&amp;$D348&amp;"|"&amp;U$14&amp;"|"&amp;"CY2023Q3",Spectrum!$R:$R,0)),0),""))</f>
        <v/>
      </c>
      <c r="V348" s="10" t="n">
        <f aca="false">IF(LEFT($B348,4)="_Mil","",_xlfn.IFNA(ROUND(INDEX(Spectrum!$N:$N,MATCH(RIGHT($B348,13)&amp;"|"&amp;$C348&amp;"|"&amp;$D348&amp;"|"&amp;V$14&amp;"|"&amp;"CY2023Q3",Spectrum!$R:$R,0)),0),""))</f>
        <v>1458</v>
      </c>
      <c r="W348" s="113" t="n">
        <f aca="false">IF(LEFT($B348,4)="_Mil","",_xlfn.IFNA(INDEX(Spectrum!$N:$N,MATCH(RIGHT($B348,13)&amp;"|"&amp;$C348&amp;"|"&amp;$D348&amp;"|"&amp;W$14&amp;"|"&amp;"CY2023Q3",Spectrum!$R:$R,0)),""))</f>
        <v>1592</v>
      </c>
      <c r="X348" s="39" t="n">
        <f aca="false">IF(LEFT($B348,4)="_Mil","",_xlfn.IFNA(ROUND(INDEX(Spectrum!$N:$N,MATCH(RIGHT($B348,13)&amp;"|"&amp;$C348&amp;"|"&amp;$D348&amp;"|"&amp;X$14&amp;"|"&amp;"CY2023Q3",Spectrum!$R:$R,0)),0),""))</f>
        <v>1875</v>
      </c>
      <c r="Y348" s="88" t="str">
        <f aca="false">IF(OR(SUM($U348)=0,LEFT($B348,4)="_Mil"),"",SUM($X348)/$U348)</f>
        <v/>
      </c>
      <c r="Z348" s="39" t="n">
        <f aca="false">IF(LEFT($B348,4)="_Mil","",_xlfn.IFNA(ROUND(INDEX(Spectrum!$N:$N,MATCH(RIGHT($B348,13)&amp;"|"&amp;$C348&amp;"|"&amp;$D348&amp;"|"&amp;Z$14&amp;"|"&amp;"CY2023Q3",Spectrum!$R:$R,0)),0),""))</f>
        <v>1322</v>
      </c>
      <c r="AA348" s="88" t="n">
        <f aca="false">IF(LEFT($B348,4)="_Mil","",IFERROR(1/(1/INDEX(Spectrum!$N:$N,MATCH(RIGHT($B348,13)&amp;"|"&amp;$C348&amp;"|"&amp;$D348&amp;"|"&amp;AA$14&amp;"|"&amp;"CY2023Q3",Spectrum!$R:$R,0))),IF(SUM($U348)=0,"",SUM($Z348)/$U348)))</f>
        <v>1010</v>
      </c>
      <c r="AB348" s="88" t="n">
        <f aca="false">IF(OR(LEFT($B348,4)="_Mil",SUM($X348)=0),"",SUM($Z348)/$X348)</f>
        <v>0.705066666666667</v>
      </c>
      <c r="AC348" s="10" t="n">
        <f aca="false">IF(LEFT($B348,4)="_Mil","",_xlfn.IFNA(ROUND(INDEX(Spectrum!$N:$N,MATCH(RIGHT($B348,13)&amp;"|"&amp;$C348&amp;"|"&amp;$D348&amp;"|"&amp;AC$14&amp;"|"&amp;"CY2023Q3",Spectrum!$R:$R,0)),0),""))</f>
        <v>1255</v>
      </c>
      <c r="AD348" s="10" t="str">
        <f aca="false">IF(LEFT($B348,4)="_Mil","",_xlfn.IFNA(ROUND(INDEX(Spectrum!$N:$N,MATCH(RIGHT($B348,13)&amp;"|"&amp;$C348&amp;"|"&amp;$D348&amp;"|"&amp;AD$14&amp;"|"&amp;"CY2023Q3",Spectrum!$R:$R,0)),0),""))</f>
        <v/>
      </c>
      <c r="AE348" s="88" t="n">
        <f aca="false">IF(OR(LEFT($B348,4)="_Mil",SUM($Z348)=0),"",SUM($AD348)/$Z348)</f>
        <v>0</v>
      </c>
      <c r="AF348" s="39" t="str">
        <f aca="false">IF(LEFT($B348,4)="_Mil","",_xlfn.IFNA(ROUND(INDEX(Spectrum!$N:$N,MATCH(RIGHT($B348,13)&amp;"|"&amp;$C348&amp;"|"&amp;$D348&amp;"|"&amp;AF$14&amp;"|"&amp;"CY2023Q3",Spectrum!$R:$R,0)),0),""))</f>
        <v/>
      </c>
      <c r="AG348" s="88" t="str">
        <f aca="false">IF(OR(LEFT($B348,4)="_Mil",SUM($AD348)=0),"",SUM($AF348)/$AD348)</f>
        <v/>
      </c>
      <c r="AH348" s="86" t="str">
        <f aca="false">IF(LEFT($B348,4)="_Mil","",_xlfn.IFNA(INDEX(Spectrum!$N:$N,MATCH(RIGHT($B348,13)&amp;"|"&amp;$C348&amp;"|"&amp;$D348&amp;"|"&amp;AH$14&amp;"|"&amp;"CY2023Q3",Spectrum!$R:$R,0)),""))</f>
        <v/>
      </c>
      <c r="AI348" s="10" t="str">
        <f aca="false">IF(LEFT($B348,4)="_Mil","",_xlfn.IFNA(ROUND(INDEX(Spectrum!$N:$N,MATCH(RIGHT($B348,13)&amp;"|"&amp;$C348&amp;"|"&amp;$D348&amp;"|"&amp;AI$14&amp;"|"&amp;"CY2023Q3",Spectrum!$R:$R,0)),0),""))</f>
        <v/>
      </c>
      <c r="AJ348" s="39" t="n">
        <f aca="false">IF(LEFT($B348,4)="_Mil","",_xlfn.IFNA(ROUND(INDEX(Spectrum!$N:$N,MATCH(RIGHT($B348,13)&amp;"|"&amp;$C348&amp;"|"&amp;$D348&amp;"|"&amp;AI$14&amp;"|"&amp;"CY2023Q3",Spectrum!$R:$R,0)),0),SUM($U348)+SUM($AI348)))</f>
        <v>0</v>
      </c>
      <c r="AK348" s="10" t="str">
        <f aca="false">IF(LEFT($B348,4)="_Mil","",_xlfn.IFNA(ROUND(INDEX(Spectrum!$N:$N,MATCH(RIGHT($B348,13)&amp;"|"&amp;$C348&amp;"|"&amp;$D348&amp;"|"&amp;AK$14&amp;"|"&amp;"CY2023Q3",Spectrum!$R:$R,0)),0),""))</f>
        <v/>
      </c>
      <c r="AL348" s="88" t="n">
        <f aca="false">IF(OR(LEFT($B348,4)="_Mil",$C348="&lt;01"),"",MAX(SUM($AA348),90%))</f>
        <v>1010</v>
      </c>
      <c r="AM348" s="10" t="n">
        <f aca="false">IF(OR(LEFT($B348,4)="_Mil",$C348="&lt;01"),"",ROUND(SUM($AJ348)*SUM($AL348),0))</f>
        <v>0</v>
      </c>
      <c r="AN348" s="10" t="str">
        <f aca="false">IF($C348="&lt;01",ROUND(INDEX(EID!$P:$P,MATCH($B348,EID!$B:$B,0))/2,0),"")</f>
        <v/>
      </c>
      <c r="AO348" s="10" t="n">
        <f aca="false">IF($C348="&lt;01",SUM($AN348),ROUND(SUM($AM348)*SUM($O348)/IF(SUM($Z348)=0,1,$Z348),0))</f>
        <v>0</v>
      </c>
      <c r="AP348" s="39" t="n">
        <f aca="false">IF(OR($F348="",$C348="&lt;01"),$AO348,$F348)</f>
        <v>0</v>
      </c>
      <c r="AQ348" s="39" t="n">
        <f aca="false">IF(LEFT($B348,4)="_Mil","",IF(SUM($AP348)=0,SUM($Z348),IF(OR(SUM($Z348)=0,SUM($O348)=0),MAX($AP348,$Z348),$AP348*$Z348/$O348)))</f>
        <v>1322</v>
      </c>
      <c r="AR348" s="88" t="str">
        <f aca="false">IF(OR(LEFT($B348,4)="_Mil",SUM($AJ348)=0),"",SUM($AQ348)/$AJ348)</f>
        <v/>
      </c>
      <c r="AS348" s="88" t="n">
        <f aca="false">IF($C348="&lt;01","",98%)</f>
        <v>0.98</v>
      </c>
      <c r="AT348" s="88" t="n">
        <f aca="false">IF($C348="&lt;01","",98%)</f>
        <v>0.98</v>
      </c>
      <c r="AU348" s="10" t="n">
        <f aca="false">IF($C348="&lt;01","",SUM($AP348)-SUM($O348))</f>
        <v>0</v>
      </c>
      <c r="AV348" s="10" t="n">
        <f aca="false">IF($C348="&lt;01",ROUND(INDEX(EID!$N:$N,MATCH($B348,EID!$B:$B,0))/2,0),IF(SUM($AT348)=0,"",ROUND((SUM($AP348)-(SUM($O348)*SUM($AS348)))/$AT348,0)))</f>
        <v>0</v>
      </c>
      <c r="AW348" s="88" t="n">
        <f aca="false">IF($C348="&lt;01","",100%)</f>
        <v>1</v>
      </c>
      <c r="AX348" s="39" t="n">
        <f aca="false">IF($C348="&lt;01",SUM($AV348),ROUND(SUM($AV348)*SUM($AW348),0))</f>
        <v>0</v>
      </c>
      <c r="AY348" s="114" t="n">
        <f aca="false">IF($C348="&lt;01","",70%)</f>
        <v>0.7</v>
      </c>
      <c r="AZ348" s="91" t="n">
        <f aca="false">IF($C348="&lt;01",ROUND(INDEX(EID!$R:$R,MATCH($B348,EID!$B:$B,0))/2,0),ROUND(SUM($O348)+(SUM($AV348)*$AY348),0))</f>
        <v>0</v>
      </c>
      <c r="BA348" s="87" t="n">
        <f aca="false">IF($C348="&lt;01","",95%)</f>
        <v>0.95</v>
      </c>
      <c r="BB348" s="5" t="n">
        <f aca="false">IF($C348="&lt;01",ROUND(INDEX(EID!$T:$T,MATCH($B348,EID!$B:$B,0))/2,0),ROUND($AZ348*$BA348,0))</f>
        <v>0</v>
      </c>
      <c r="BC348" s="91" t="n">
        <f aca="false">IF(LEFT($B348,4)="_Mil","",IF(SUM($BB348)=0,SUM($AD348),IF(OR(SUM($AP348)=0,SUM($AQ348)=0),MAX($BB348,$AD348),ROUND($BB348*$AQ348/$AP348,0))))</f>
        <v>0</v>
      </c>
      <c r="BD348" s="88" t="n">
        <f aca="false">IF($C348="&lt;01","",95%)</f>
        <v>0.95</v>
      </c>
      <c r="BE348" s="39" t="n">
        <f aca="false">IF($C348="&lt;01",ROUND(INDEX(EID!$V:$V,MATCH($B348,EID!$B:$B,0))/2,0),ROUND($BD348*$BB348,0))</f>
        <v>0</v>
      </c>
      <c r="BF348" s="39" t="n">
        <f aca="false">IF(LEFT($B348,4)="_Mil","",IF(SUM($BE348)=0,SUM($AF348),IF(OR(SUM($AP348)=0,SUM($AQ348)=0),MAX($BE348,$AF348),ROUND($BE348*$AQ348/$AP348,0))))</f>
        <v>0</v>
      </c>
      <c r="BG348" s="114" t="n">
        <f aca="false">IF($C348="&lt;01","",95%)</f>
        <v>0.95</v>
      </c>
      <c r="BH348" s="5" t="n">
        <f aca="false">IF($C348="&lt;01",ROUND(INDEX(EID!$L:$L,MATCH($B348,EID!$B:$B,0)),0)/2,IF(SUM($BG348)=0,"",ROUND($AX348/$BG348,0)))</f>
        <v>0</v>
      </c>
    </row>
    <row r="349" customFormat="false" ht="15" hidden="false" customHeight="false" outlineLevel="0" collapsed="false">
      <c r="A349" s="0" t="str">
        <f aca="false">INDEX(Prioritization!$D:$D,MATCH($B349,Prioritization!$A:$A,0))</f>
        <v>INVALID</v>
      </c>
      <c r="B349" s="0" t="s">
        <v>217</v>
      </c>
      <c r="C349" s="0" t="s">
        <v>368</v>
      </c>
      <c r="D349" s="0" t="s">
        <v>30</v>
      </c>
      <c r="E349" s="0" t="str">
        <f aca="false">$B349&amp;"|"&amp;$C349&amp;"|"&amp;$D349</f>
        <v>Mwanza District [wNqJp8oRIcF]|50+|Female</v>
      </c>
      <c r="F349" s="10"/>
      <c r="G349" s="10"/>
      <c r="H349" s="10"/>
      <c r="I349" s="10"/>
      <c r="J349" s="10"/>
      <c r="K349" s="10"/>
      <c r="L349" s="10"/>
      <c r="M349" s="10"/>
      <c r="N349" s="10"/>
      <c r="O349" s="10" t="str">
        <f aca="false">IFERROR(1/(1/MAX($I349,$N349)),"")</f>
        <v/>
      </c>
      <c r="P349" s="10"/>
      <c r="Q349" s="10"/>
      <c r="R349" s="10" t="str">
        <f aca="false">IF(AND(SUM($I349)=0,SUM($O349)=0),"",SUM($O349)-$I349)</f>
        <v/>
      </c>
      <c r="S349" s="10" t="n">
        <f aca="false">IF(LEFT($B349,4)="_Mil","",_xlfn.IFNA(ROUND(INDEX(Spectrum!$N:$N,MATCH(RIGHT($B349,13)&amp;"|"&amp;$C349&amp;"|"&amp;$D349&amp;"|"&amp;S$14&amp;"|"&amp;"CY2022Q4",Spectrum!$R:$R,0)),0),""))</f>
        <v>1245</v>
      </c>
      <c r="T349" s="39" t="n">
        <f aca="false">IF(LEFT($B349,4)="_Mil","",_xlfn.IFNA(ROUND(INDEX(Spectrum!$N:$N,MATCH(RIGHT($B349,13)&amp;"|"&amp;$C349&amp;"|"&amp;$D349&amp;"|"&amp;T$14&amp;"|"&amp;"CY2023Q3",Spectrum!$R:$R,0)),0),""))</f>
        <v>662</v>
      </c>
      <c r="U349" s="39" t="str">
        <f aca="false">IF(LEFT($B349,4)="_Mil","",_xlfn.IFNA(ROUND(INDEX(Spectrum!$N:$N,MATCH(RIGHT($B349,13)&amp;"|"&amp;$C349&amp;"|"&amp;$D349&amp;"|"&amp;U$14&amp;"|"&amp;"CY2023Q3",Spectrum!$R:$R,0)),0),""))</f>
        <v/>
      </c>
      <c r="V349" s="10" t="n">
        <f aca="false">IF(LEFT($B349,4)="_Mil","",_xlfn.IFNA(ROUND(INDEX(Spectrum!$N:$N,MATCH(RIGHT($B349,13)&amp;"|"&amp;$C349&amp;"|"&amp;$D349&amp;"|"&amp;V$14&amp;"|"&amp;"CY2023Q3",Spectrum!$R:$R,0)),0),""))</f>
        <v>1999</v>
      </c>
      <c r="W349" s="113" t="n">
        <f aca="false">IF(LEFT($B349,4)="_Mil","",_xlfn.IFNA(INDEX(Spectrum!$N:$N,MATCH(RIGHT($B349,13)&amp;"|"&amp;$C349&amp;"|"&amp;$D349&amp;"|"&amp;W$14&amp;"|"&amp;"CY2023Q3",Spectrum!$R:$R,0)),""))</f>
        <v>1975</v>
      </c>
      <c r="X349" s="39" t="n">
        <f aca="false">IF(LEFT($B349,4)="_Mil","",_xlfn.IFNA(ROUND(INDEX(Spectrum!$N:$N,MATCH(RIGHT($B349,13)&amp;"|"&amp;$C349&amp;"|"&amp;$D349&amp;"|"&amp;X$14&amp;"|"&amp;"CY2023Q3",Spectrum!$R:$R,0)),0),""))</f>
        <v>1646</v>
      </c>
      <c r="Y349" s="88" t="str">
        <f aca="false">IF(OR(SUM($U349)=0,LEFT($B349,4)="_Mil"),"",SUM($X349)/$U349)</f>
        <v/>
      </c>
      <c r="Z349" s="39" t="n">
        <f aca="false">IF(LEFT($B349,4)="_Mil","",_xlfn.IFNA(ROUND(INDEX(Spectrum!$N:$N,MATCH(RIGHT($B349,13)&amp;"|"&amp;$C349&amp;"|"&amp;$D349&amp;"|"&amp;Z$14&amp;"|"&amp;"CY2023Q3",Spectrum!$R:$R,0)),0),""))</f>
        <v>1948</v>
      </c>
      <c r="AA349" s="88" t="n">
        <f aca="false">IF(LEFT($B349,4)="_Mil","",IFERROR(1/(1/INDEX(Spectrum!$N:$N,MATCH(RIGHT($B349,13)&amp;"|"&amp;$C349&amp;"|"&amp;$D349&amp;"|"&amp;AA$14&amp;"|"&amp;"CY2023Q3",Spectrum!$R:$R,0))),IF(SUM($U349)=0,"",SUM($Z349)/$U349)))</f>
        <v>1191</v>
      </c>
      <c r="AB349" s="88" t="n">
        <f aca="false">IF(OR(LEFT($B349,4)="_Mil",SUM($X349)=0),"",SUM($Z349)/$X349)</f>
        <v>1.18347509113001</v>
      </c>
      <c r="AC349" s="10" t="n">
        <f aca="false">IF(LEFT($B349,4)="_Mil","",_xlfn.IFNA(ROUND(INDEX(Spectrum!$N:$N,MATCH(RIGHT($B349,13)&amp;"|"&amp;$C349&amp;"|"&amp;$D349&amp;"|"&amp;AC$14&amp;"|"&amp;"CY2023Q3",Spectrum!$R:$R,0)),0),""))</f>
        <v>776</v>
      </c>
      <c r="AD349" s="10" t="str">
        <f aca="false">IF(LEFT($B349,4)="_Mil","",_xlfn.IFNA(ROUND(INDEX(Spectrum!$N:$N,MATCH(RIGHT($B349,13)&amp;"|"&amp;$C349&amp;"|"&amp;$D349&amp;"|"&amp;AD$14&amp;"|"&amp;"CY2023Q3",Spectrum!$R:$R,0)),0),""))</f>
        <v/>
      </c>
      <c r="AE349" s="88" t="n">
        <f aca="false">IF(OR(LEFT($B349,4)="_Mil",SUM($Z349)=0),"",SUM($AD349)/$Z349)</f>
        <v>0</v>
      </c>
      <c r="AF349" s="39" t="str">
        <f aca="false">IF(LEFT($B349,4)="_Mil","",_xlfn.IFNA(ROUND(INDEX(Spectrum!$N:$N,MATCH(RIGHT($B349,13)&amp;"|"&amp;$C349&amp;"|"&amp;$D349&amp;"|"&amp;AF$14&amp;"|"&amp;"CY2023Q3",Spectrum!$R:$R,0)),0),""))</f>
        <v/>
      </c>
      <c r="AG349" s="88" t="str">
        <f aca="false">IF(OR(LEFT($B349,4)="_Mil",SUM($AD349)=0),"",SUM($AF349)/$AD349)</f>
        <v/>
      </c>
      <c r="AH349" s="86" t="str">
        <f aca="false">IF(LEFT($B349,4)="_Mil","",_xlfn.IFNA(INDEX(Spectrum!$N:$N,MATCH(RIGHT($B349,13)&amp;"|"&amp;$C349&amp;"|"&amp;$D349&amp;"|"&amp;AH$14&amp;"|"&amp;"CY2023Q3",Spectrum!$R:$R,0)),""))</f>
        <v/>
      </c>
      <c r="AI349" s="10" t="str">
        <f aca="false">IF(LEFT($B349,4)="_Mil","",_xlfn.IFNA(ROUND(INDEX(Spectrum!$N:$N,MATCH(RIGHT($B349,13)&amp;"|"&amp;$C349&amp;"|"&amp;$D349&amp;"|"&amp;AI$14&amp;"|"&amp;"CY2023Q3",Spectrum!$R:$R,0)),0),""))</f>
        <v/>
      </c>
      <c r="AJ349" s="39" t="n">
        <f aca="false">IF(LEFT($B349,4)="_Mil","",_xlfn.IFNA(ROUND(INDEX(Spectrum!$N:$N,MATCH(RIGHT($B349,13)&amp;"|"&amp;$C349&amp;"|"&amp;$D349&amp;"|"&amp;AI$14&amp;"|"&amp;"CY2023Q3",Spectrum!$R:$R,0)),0),SUM($U349)+SUM($AI349)))</f>
        <v>0</v>
      </c>
      <c r="AK349" s="10" t="str">
        <f aca="false">IF(LEFT($B349,4)="_Mil","",_xlfn.IFNA(ROUND(INDEX(Spectrum!$N:$N,MATCH(RIGHT($B349,13)&amp;"|"&amp;$C349&amp;"|"&amp;$D349&amp;"|"&amp;AK$14&amp;"|"&amp;"CY2023Q3",Spectrum!$R:$R,0)),0),""))</f>
        <v/>
      </c>
      <c r="AL349" s="88" t="n">
        <f aca="false">IF(OR(LEFT($B349,4)="_Mil",$C349="&lt;01"),"",MAX(SUM($AA349),90%))</f>
        <v>1191</v>
      </c>
      <c r="AM349" s="10" t="n">
        <f aca="false">IF(OR(LEFT($B349,4)="_Mil",$C349="&lt;01"),"",ROUND(SUM($AJ349)*SUM($AL349),0))</f>
        <v>0</v>
      </c>
      <c r="AN349" s="10" t="str">
        <f aca="false">IF($C349="&lt;01",ROUND(INDEX(EID!$P:$P,MATCH($B349,EID!$B:$B,0))/2,0),"")</f>
        <v/>
      </c>
      <c r="AO349" s="10" t="n">
        <f aca="false">IF($C349="&lt;01",SUM($AN349),ROUND(SUM($AM349)*SUM($O349)/IF(SUM($Z349)=0,1,$Z349),0))</f>
        <v>0</v>
      </c>
      <c r="AP349" s="39" t="n">
        <f aca="false">IF(OR($F349="",$C349="&lt;01"),$AO349,$F349)</f>
        <v>0</v>
      </c>
      <c r="AQ349" s="39" t="n">
        <f aca="false">IF(LEFT($B349,4)="_Mil","",IF(SUM($AP349)=0,SUM($Z349),IF(OR(SUM($Z349)=0,SUM($O349)=0),MAX($AP349,$Z349),$AP349*$Z349/$O349)))</f>
        <v>1948</v>
      </c>
      <c r="AR349" s="88" t="str">
        <f aca="false">IF(OR(LEFT($B349,4)="_Mil",SUM($AJ349)=0),"",SUM($AQ349)/$AJ349)</f>
        <v/>
      </c>
      <c r="AS349" s="88" t="n">
        <f aca="false">IF($C349="&lt;01","",98%)</f>
        <v>0.98</v>
      </c>
      <c r="AT349" s="88" t="n">
        <f aca="false">IF($C349="&lt;01","",98%)</f>
        <v>0.98</v>
      </c>
      <c r="AU349" s="10" t="n">
        <f aca="false">IF($C349="&lt;01","",SUM($AP349)-SUM($O349))</f>
        <v>0</v>
      </c>
      <c r="AV349" s="10" t="n">
        <f aca="false">IF($C349="&lt;01",ROUND(INDEX(EID!$N:$N,MATCH($B349,EID!$B:$B,0))/2,0),IF(SUM($AT349)=0,"",ROUND((SUM($AP349)-(SUM($O349)*SUM($AS349)))/$AT349,0)))</f>
        <v>0</v>
      </c>
      <c r="AW349" s="88" t="n">
        <f aca="false">IF($C349="&lt;01","",100%)</f>
        <v>1</v>
      </c>
      <c r="AX349" s="39" t="n">
        <f aca="false">IF($C349="&lt;01",SUM($AV349),ROUND(SUM($AV349)*SUM($AW349),0))</f>
        <v>0</v>
      </c>
      <c r="AY349" s="114" t="n">
        <f aca="false">IF($C349="&lt;01","",70%)</f>
        <v>0.7</v>
      </c>
      <c r="AZ349" s="91" t="n">
        <f aca="false">IF($C349="&lt;01",ROUND(INDEX(EID!$R:$R,MATCH($B349,EID!$B:$B,0))/2,0),ROUND(SUM($O349)+(SUM($AV349)*$AY349),0))</f>
        <v>0</v>
      </c>
      <c r="BA349" s="87" t="n">
        <f aca="false">IF($C349="&lt;01","",95%)</f>
        <v>0.95</v>
      </c>
      <c r="BB349" s="5" t="n">
        <f aca="false">IF($C349="&lt;01",ROUND(INDEX(EID!$T:$T,MATCH($B349,EID!$B:$B,0))/2,0),ROUND($AZ349*$BA349,0))</f>
        <v>0</v>
      </c>
      <c r="BC349" s="91" t="n">
        <f aca="false">IF(LEFT($B349,4)="_Mil","",IF(SUM($BB349)=0,SUM($AD349),IF(OR(SUM($AP349)=0,SUM($AQ349)=0),MAX($BB349,$AD349),ROUND($BB349*$AQ349/$AP349,0))))</f>
        <v>0</v>
      </c>
      <c r="BD349" s="88" t="n">
        <f aca="false">IF($C349="&lt;01","",95%)</f>
        <v>0.95</v>
      </c>
      <c r="BE349" s="39" t="n">
        <f aca="false">IF($C349="&lt;01",ROUND(INDEX(EID!$V:$V,MATCH($B349,EID!$B:$B,0))/2,0),ROUND($BD349*$BB349,0))</f>
        <v>0</v>
      </c>
      <c r="BF349" s="39" t="n">
        <f aca="false">IF(LEFT($B349,4)="_Mil","",IF(SUM($BE349)=0,SUM($AF349),IF(OR(SUM($AP349)=0,SUM($AQ349)=0),MAX($BE349,$AF349),ROUND($BE349*$AQ349/$AP349,0))))</f>
        <v>0</v>
      </c>
      <c r="BG349" s="114" t="n">
        <f aca="false">IF($C349="&lt;01","",95%)</f>
        <v>0.95</v>
      </c>
      <c r="BH349" s="5" t="n">
        <f aca="false">IF($C349="&lt;01",ROUND(INDEX(EID!$L:$L,MATCH($B349,EID!$B:$B,0)),0)/2,IF(SUM($BG349)=0,"",ROUND($AX349/$BG349,0)))</f>
        <v>0</v>
      </c>
    </row>
    <row r="350" customFormat="false" ht="15" hidden="false" customHeight="false" outlineLevel="0" collapsed="false">
      <c r="A350" s="0" t="str">
        <f aca="false">INDEX(Prioritization!$D:$D,MATCH($B350,Prioritization!$A:$A,0))</f>
        <v>INVALID</v>
      </c>
      <c r="B350" s="0" t="s">
        <v>217</v>
      </c>
      <c r="C350" s="0" t="s">
        <v>368</v>
      </c>
      <c r="D350" s="0" t="s">
        <v>48</v>
      </c>
      <c r="E350" s="0" t="str">
        <f aca="false">$B350&amp;"|"&amp;$C350&amp;"|"&amp;$D350</f>
        <v>Mwanza District [wNqJp8oRIcF]|50+|Male</v>
      </c>
      <c r="F350" s="10"/>
      <c r="G350" s="10"/>
      <c r="H350" s="10"/>
      <c r="I350" s="10"/>
      <c r="J350" s="10"/>
      <c r="K350" s="10"/>
      <c r="L350" s="10"/>
      <c r="M350" s="10"/>
      <c r="N350" s="10"/>
      <c r="O350" s="10" t="str">
        <f aca="false">IFERROR(1/(1/MAX($I350,$N350)),"")</f>
        <v/>
      </c>
      <c r="P350" s="10"/>
      <c r="Q350" s="10"/>
      <c r="R350" s="10" t="str">
        <f aca="false">IF(AND(SUM($I350)=0,SUM($O350)=0),"",SUM($O350)-$I350)</f>
        <v/>
      </c>
      <c r="S350" s="10" t="n">
        <f aca="false">IF(LEFT($B350,4)="_Mil","",_xlfn.IFNA(ROUND(INDEX(Spectrum!$N:$N,MATCH(RIGHT($B350,13)&amp;"|"&amp;$C350&amp;"|"&amp;$D350&amp;"|"&amp;S$14&amp;"|"&amp;"CY2022Q4",Spectrum!$R:$R,0)),0),""))</f>
        <v>1854</v>
      </c>
      <c r="T350" s="39" t="n">
        <f aca="false">IF(LEFT($B350,4)="_Mil","",_xlfn.IFNA(ROUND(INDEX(Spectrum!$N:$N,MATCH(RIGHT($B350,13)&amp;"|"&amp;$C350&amp;"|"&amp;$D350&amp;"|"&amp;T$14&amp;"|"&amp;"CY2023Q3",Spectrum!$R:$R,0)),0),""))</f>
        <v>1807</v>
      </c>
      <c r="U350" s="39" t="str">
        <f aca="false">IF(LEFT($B350,4)="_Mil","",_xlfn.IFNA(ROUND(INDEX(Spectrum!$N:$N,MATCH(RIGHT($B350,13)&amp;"|"&amp;$C350&amp;"|"&amp;$D350&amp;"|"&amp;U$14&amp;"|"&amp;"CY2023Q3",Spectrum!$R:$R,0)),0),""))</f>
        <v/>
      </c>
      <c r="V350" s="10" t="n">
        <f aca="false">IF(LEFT($B350,4)="_Mil","",_xlfn.IFNA(ROUND(INDEX(Spectrum!$N:$N,MATCH(RIGHT($B350,13)&amp;"|"&amp;$C350&amp;"|"&amp;$D350&amp;"|"&amp;V$14&amp;"|"&amp;"CY2023Q3",Spectrum!$R:$R,0)),0),""))</f>
        <v>1831</v>
      </c>
      <c r="W350" s="113" t="n">
        <f aca="false">IF(LEFT($B350,4)="_Mil","",_xlfn.IFNA(INDEX(Spectrum!$N:$N,MATCH(RIGHT($B350,13)&amp;"|"&amp;$C350&amp;"|"&amp;$D350&amp;"|"&amp;W$14&amp;"|"&amp;"CY2023Q3",Spectrum!$R:$R,0)),""))</f>
        <v>1230</v>
      </c>
      <c r="X350" s="39" t="n">
        <f aca="false">IF(LEFT($B350,4)="_Mil","",_xlfn.IFNA(ROUND(INDEX(Spectrum!$N:$N,MATCH(RIGHT($B350,13)&amp;"|"&amp;$C350&amp;"|"&amp;$D350&amp;"|"&amp;X$14&amp;"|"&amp;"CY2023Q3",Spectrum!$R:$R,0)),0),""))</f>
        <v>761</v>
      </c>
      <c r="Y350" s="88" t="str">
        <f aca="false">IF(OR(SUM($U350)=0,LEFT($B350,4)="_Mil"),"",SUM($X350)/$U350)</f>
        <v/>
      </c>
      <c r="Z350" s="39" t="n">
        <f aca="false">IF(LEFT($B350,4)="_Mil","",_xlfn.IFNA(ROUND(INDEX(Spectrum!$N:$N,MATCH(RIGHT($B350,13)&amp;"|"&amp;$C350&amp;"|"&amp;$D350&amp;"|"&amp;Z$14&amp;"|"&amp;"CY2023Q3",Spectrum!$R:$R,0)),0),""))</f>
        <v>1914</v>
      </c>
      <c r="AA350" s="88" t="n">
        <f aca="false">IF(LEFT($B350,4)="_Mil","",IFERROR(1/(1/INDEX(Spectrum!$N:$N,MATCH(RIGHT($B350,13)&amp;"|"&amp;$C350&amp;"|"&amp;$D350&amp;"|"&amp;AA$14&amp;"|"&amp;"CY2023Q3",Spectrum!$R:$R,0))),IF(SUM($U350)=0,"",SUM($Z350)/$U350)))</f>
        <v>1772</v>
      </c>
      <c r="AB350" s="88" t="n">
        <f aca="false">IF(OR(LEFT($B350,4)="_Mil",SUM($X350)=0),"",SUM($Z350)/$X350)</f>
        <v>2.51511169513798</v>
      </c>
      <c r="AC350" s="10" t="n">
        <f aca="false">IF(LEFT($B350,4)="_Mil","",_xlfn.IFNA(ROUND(INDEX(Spectrum!$N:$N,MATCH(RIGHT($B350,13)&amp;"|"&amp;$C350&amp;"|"&amp;$D350&amp;"|"&amp;AC$14&amp;"|"&amp;"CY2023Q3",Spectrum!$R:$R,0)),0),""))</f>
        <v>1308</v>
      </c>
      <c r="AD350" s="10" t="str">
        <f aca="false">IF(LEFT($B350,4)="_Mil","",_xlfn.IFNA(ROUND(INDEX(Spectrum!$N:$N,MATCH(RIGHT($B350,13)&amp;"|"&amp;$C350&amp;"|"&amp;$D350&amp;"|"&amp;AD$14&amp;"|"&amp;"CY2023Q3",Spectrum!$R:$R,0)),0),""))</f>
        <v/>
      </c>
      <c r="AE350" s="88" t="n">
        <f aca="false">IF(OR(LEFT($B350,4)="_Mil",SUM($Z350)=0),"",SUM($AD350)/$Z350)</f>
        <v>0</v>
      </c>
      <c r="AF350" s="39" t="str">
        <f aca="false">IF(LEFT($B350,4)="_Mil","",_xlfn.IFNA(ROUND(INDEX(Spectrum!$N:$N,MATCH(RIGHT($B350,13)&amp;"|"&amp;$C350&amp;"|"&amp;$D350&amp;"|"&amp;AF$14&amp;"|"&amp;"CY2023Q3",Spectrum!$R:$R,0)),0),""))</f>
        <v/>
      </c>
      <c r="AG350" s="88" t="str">
        <f aca="false">IF(OR(LEFT($B350,4)="_Mil",SUM($AD350)=0),"",SUM($AF350)/$AD350)</f>
        <v/>
      </c>
      <c r="AH350" s="86" t="str">
        <f aca="false">IF(LEFT($B350,4)="_Mil","",_xlfn.IFNA(INDEX(Spectrum!$N:$N,MATCH(RIGHT($B350,13)&amp;"|"&amp;$C350&amp;"|"&amp;$D350&amp;"|"&amp;AH$14&amp;"|"&amp;"CY2023Q3",Spectrum!$R:$R,0)),""))</f>
        <v/>
      </c>
      <c r="AI350" s="10" t="str">
        <f aca="false">IF(LEFT($B350,4)="_Mil","",_xlfn.IFNA(ROUND(INDEX(Spectrum!$N:$N,MATCH(RIGHT($B350,13)&amp;"|"&amp;$C350&amp;"|"&amp;$D350&amp;"|"&amp;AI$14&amp;"|"&amp;"CY2023Q3",Spectrum!$R:$R,0)),0),""))</f>
        <v/>
      </c>
      <c r="AJ350" s="39" t="n">
        <f aca="false">IF(LEFT($B350,4)="_Mil","",_xlfn.IFNA(ROUND(INDEX(Spectrum!$N:$N,MATCH(RIGHT($B350,13)&amp;"|"&amp;$C350&amp;"|"&amp;$D350&amp;"|"&amp;AI$14&amp;"|"&amp;"CY2023Q3",Spectrum!$R:$R,0)),0),SUM($U350)+SUM($AI350)))</f>
        <v>0</v>
      </c>
      <c r="AK350" s="10" t="str">
        <f aca="false">IF(LEFT($B350,4)="_Mil","",_xlfn.IFNA(ROUND(INDEX(Spectrum!$N:$N,MATCH(RIGHT($B350,13)&amp;"|"&amp;$C350&amp;"|"&amp;$D350&amp;"|"&amp;AK$14&amp;"|"&amp;"CY2023Q3",Spectrum!$R:$R,0)),0),""))</f>
        <v/>
      </c>
      <c r="AL350" s="88" t="n">
        <f aca="false">IF(OR(LEFT($B350,4)="_Mil",$C350="&lt;01"),"",MAX(SUM($AA350),90%))</f>
        <v>1772</v>
      </c>
      <c r="AM350" s="10" t="n">
        <f aca="false">IF(OR(LEFT($B350,4)="_Mil",$C350="&lt;01"),"",ROUND(SUM($AJ350)*SUM($AL350),0))</f>
        <v>0</v>
      </c>
      <c r="AN350" s="10" t="str">
        <f aca="false">IF($C350="&lt;01",ROUND(INDEX(EID!$P:$P,MATCH($B350,EID!$B:$B,0))/2,0),"")</f>
        <v/>
      </c>
      <c r="AO350" s="10" t="n">
        <f aca="false">IF($C350="&lt;01",SUM($AN350),ROUND(SUM($AM350)*SUM($O350)/IF(SUM($Z350)=0,1,$Z350),0))</f>
        <v>0</v>
      </c>
      <c r="AP350" s="39" t="n">
        <f aca="false">IF(OR($F350="",$C350="&lt;01"),$AO350,$F350)</f>
        <v>0</v>
      </c>
      <c r="AQ350" s="39" t="n">
        <f aca="false">IF(LEFT($B350,4)="_Mil","",IF(SUM($AP350)=0,SUM($Z350),IF(OR(SUM($Z350)=0,SUM($O350)=0),MAX($AP350,$Z350),$AP350*$Z350/$O350)))</f>
        <v>1914</v>
      </c>
      <c r="AR350" s="88" t="str">
        <f aca="false">IF(OR(LEFT($B350,4)="_Mil",SUM($AJ350)=0),"",SUM($AQ350)/$AJ350)</f>
        <v/>
      </c>
      <c r="AS350" s="88" t="n">
        <f aca="false">IF($C350="&lt;01","",98%)</f>
        <v>0.98</v>
      </c>
      <c r="AT350" s="88" t="n">
        <f aca="false">IF($C350="&lt;01","",98%)</f>
        <v>0.98</v>
      </c>
      <c r="AU350" s="10" t="n">
        <f aca="false">IF($C350="&lt;01","",SUM($AP350)-SUM($O350))</f>
        <v>0</v>
      </c>
      <c r="AV350" s="10" t="n">
        <f aca="false">IF($C350="&lt;01",ROUND(INDEX(EID!$N:$N,MATCH($B350,EID!$B:$B,0))/2,0),IF(SUM($AT350)=0,"",ROUND((SUM($AP350)-(SUM($O350)*SUM($AS350)))/$AT350,0)))</f>
        <v>0</v>
      </c>
      <c r="AW350" s="88" t="n">
        <f aca="false">IF($C350="&lt;01","",100%)</f>
        <v>1</v>
      </c>
      <c r="AX350" s="39" t="n">
        <f aca="false">IF($C350="&lt;01",SUM($AV350),ROUND(SUM($AV350)*SUM($AW350),0))</f>
        <v>0</v>
      </c>
      <c r="AY350" s="114" t="n">
        <f aca="false">IF($C350="&lt;01","",70%)</f>
        <v>0.7</v>
      </c>
      <c r="AZ350" s="91" t="n">
        <f aca="false">IF($C350="&lt;01",ROUND(INDEX(EID!$R:$R,MATCH($B350,EID!$B:$B,0))/2,0),ROUND(SUM($O350)+(SUM($AV350)*$AY350),0))</f>
        <v>0</v>
      </c>
      <c r="BA350" s="87" t="n">
        <f aca="false">IF($C350="&lt;01","",95%)</f>
        <v>0.95</v>
      </c>
      <c r="BB350" s="5" t="n">
        <f aca="false">IF($C350="&lt;01",ROUND(INDEX(EID!$T:$T,MATCH($B350,EID!$B:$B,0))/2,0),ROUND($AZ350*$BA350,0))</f>
        <v>0</v>
      </c>
      <c r="BC350" s="91" t="n">
        <f aca="false">IF(LEFT($B350,4)="_Mil","",IF(SUM($BB350)=0,SUM($AD350),IF(OR(SUM($AP350)=0,SUM($AQ350)=0),MAX($BB350,$AD350),ROUND($BB350*$AQ350/$AP350,0))))</f>
        <v>0</v>
      </c>
      <c r="BD350" s="88" t="n">
        <f aca="false">IF($C350="&lt;01","",95%)</f>
        <v>0.95</v>
      </c>
      <c r="BE350" s="39" t="n">
        <f aca="false">IF($C350="&lt;01",ROUND(INDEX(EID!$V:$V,MATCH($B350,EID!$B:$B,0))/2,0),ROUND($BD350*$BB350,0))</f>
        <v>0</v>
      </c>
      <c r="BF350" s="39" t="n">
        <f aca="false">IF(LEFT($B350,4)="_Mil","",IF(SUM($BE350)=0,SUM($AF350),IF(OR(SUM($AP350)=0,SUM($AQ350)=0),MAX($BE350,$AF350),ROUND($BE350*$AQ350/$AP350,0))))</f>
        <v>0</v>
      </c>
      <c r="BG350" s="114" t="n">
        <f aca="false">IF($C350="&lt;01","",95%)</f>
        <v>0.95</v>
      </c>
      <c r="BH350" s="5" t="n">
        <f aca="false">IF($C350="&lt;01",ROUND(INDEX(EID!$L:$L,MATCH($B350,EID!$B:$B,0)),0)/2,IF(SUM($BG350)=0,"",ROUND($AX350/$BG350,0)))</f>
        <v>0</v>
      </c>
    </row>
    <row r="351" customFormat="false" ht="15" hidden="false" customHeight="false" outlineLevel="0" collapsed="false">
      <c r="A351" s="0" t="str">
        <f aca="false">INDEX(Prioritization!$D:$D,MATCH($B351,Prioritization!$A:$A,0))</f>
        <v>INVALID</v>
      </c>
      <c r="B351" s="0" t="s">
        <v>218</v>
      </c>
      <c r="C351" s="0" t="s">
        <v>316</v>
      </c>
      <c r="D351" s="0" t="s">
        <v>30</v>
      </c>
      <c r="E351" s="0" t="str">
        <f aca="false">$B351&amp;"|"&amp;$C351&amp;"|"&amp;$D351</f>
        <v>Neno District [gwVYinjBAe9]|&lt;01|Female</v>
      </c>
      <c r="F351" s="10"/>
      <c r="G351" s="10" t="n">
        <v>6</v>
      </c>
      <c r="H351" s="10" t="n">
        <v>0</v>
      </c>
      <c r="I351" s="10" t="n">
        <v>5</v>
      </c>
      <c r="J351" s="10" t="n">
        <v>93</v>
      </c>
      <c r="K351" s="10" t="n">
        <v>53</v>
      </c>
      <c r="L351" s="10"/>
      <c r="M351" s="10" t="n">
        <v>0</v>
      </c>
      <c r="N351" s="10" t="n">
        <v>0</v>
      </c>
      <c r="O351" s="10" t="n">
        <f aca="false">IFERROR(1/(1/MAX($I351,$N351)),"")</f>
        <v>5</v>
      </c>
      <c r="P351" s="10" t="n">
        <v>0</v>
      </c>
      <c r="Q351" s="10" t="n">
        <v>0</v>
      </c>
      <c r="R351" s="10" t="n">
        <f aca="false">IF(AND(SUM($I351)=0,SUM($O351)=0),"",SUM($O351)-$I351)</f>
        <v>0</v>
      </c>
      <c r="S351" s="10" t="n">
        <f aca="false">IF(LEFT($B351,4)="_Mil","",_xlfn.IFNA(ROUND(INDEX(Spectrum!$N:$N,MATCH(RIGHT($B351,13)&amp;"|"&amp;$C351&amp;"|"&amp;$D351&amp;"|"&amp;S$14&amp;"|"&amp;"CY2022Q4",Spectrum!$R:$R,0)),0),""))</f>
        <v>1683</v>
      </c>
      <c r="T351" s="39" t="n">
        <f aca="false">IF(LEFT($B351,4)="_Mil","",_xlfn.IFNA(ROUND(INDEX(Spectrum!$N:$N,MATCH(RIGHT($B351,13)&amp;"|"&amp;$C351&amp;"|"&amp;$D351&amp;"|"&amp;T$14&amp;"|"&amp;"CY2023Q3",Spectrum!$R:$R,0)),0),""))</f>
        <v>668</v>
      </c>
      <c r="U351" s="39" t="str">
        <f aca="false">IF(LEFT($B351,4)="_Mil","",_xlfn.IFNA(ROUND(INDEX(Spectrum!$N:$N,MATCH(RIGHT($B351,13)&amp;"|"&amp;$C351&amp;"|"&amp;$D351&amp;"|"&amp;U$14&amp;"|"&amp;"CY2023Q3",Spectrum!$R:$R,0)),0),""))</f>
        <v/>
      </c>
      <c r="V351" s="10" t="n">
        <f aca="false">IF(LEFT($B351,4)="_Mil","",_xlfn.IFNA(ROUND(INDEX(Spectrum!$N:$N,MATCH(RIGHT($B351,13)&amp;"|"&amp;$C351&amp;"|"&amp;$D351&amp;"|"&amp;V$14&amp;"|"&amp;"CY2023Q3",Spectrum!$R:$R,0)),0),""))</f>
        <v>1747</v>
      </c>
      <c r="W351" s="113" t="n">
        <f aca="false">IF(LEFT($B351,4)="_Mil","",_xlfn.IFNA(INDEX(Spectrum!$N:$N,MATCH(RIGHT($B351,13)&amp;"|"&amp;$C351&amp;"|"&amp;$D351&amp;"|"&amp;W$14&amp;"|"&amp;"CY2023Q3",Spectrum!$R:$R,0)),""))</f>
        <v>1094</v>
      </c>
      <c r="X351" s="39" t="n">
        <f aca="false">IF(LEFT($B351,4)="_Mil","",_xlfn.IFNA(ROUND(INDEX(Spectrum!$N:$N,MATCH(RIGHT($B351,13)&amp;"|"&amp;$C351&amp;"|"&amp;$D351&amp;"|"&amp;X$14&amp;"|"&amp;"CY2023Q3",Spectrum!$R:$R,0)),0),""))</f>
        <v>1651</v>
      </c>
      <c r="Y351" s="88" t="str">
        <f aca="false">IF(OR(SUM($U351)=0,LEFT($B351,4)="_Mil"),"",SUM($X351)/$U351)</f>
        <v/>
      </c>
      <c r="Z351" s="39" t="n">
        <f aca="false">IF(LEFT($B351,4)="_Mil","",_xlfn.IFNA(ROUND(INDEX(Spectrum!$N:$N,MATCH(RIGHT($B351,13)&amp;"|"&amp;$C351&amp;"|"&amp;$D351&amp;"|"&amp;Z$14&amp;"|"&amp;"CY2023Q3",Spectrum!$R:$R,0)),0),""))</f>
        <v>1817</v>
      </c>
      <c r="AA351" s="88" t="n">
        <f aca="false">IF(LEFT($B351,4)="_Mil","",IFERROR(1/(1/INDEX(Spectrum!$N:$N,MATCH(RIGHT($B351,13)&amp;"|"&amp;$C351&amp;"|"&amp;$D351&amp;"|"&amp;AA$14&amp;"|"&amp;"CY2023Q3",Spectrum!$R:$R,0))),IF(SUM($U351)=0,"",SUM($Z351)/$U351)))</f>
        <v>626</v>
      </c>
      <c r="AB351" s="88" t="n">
        <f aca="false">IF(OR(LEFT($B351,4)="_Mil",SUM($X351)=0),"",SUM($Z351)/$X351)</f>
        <v>1.10054512416717</v>
      </c>
      <c r="AC351" s="10" t="n">
        <f aca="false">IF(LEFT($B351,4)="_Mil","",_xlfn.IFNA(ROUND(INDEX(Spectrum!$N:$N,MATCH(RIGHT($B351,13)&amp;"|"&amp;$C351&amp;"|"&amp;$D351&amp;"|"&amp;AC$14&amp;"|"&amp;"CY2023Q3",Spectrum!$R:$R,0)),0),""))</f>
        <v>1371</v>
      </c>
      <c r="AD351" s="10" t="str">
        <f aca="false">IF(LEFT($B351,4)="_Mil","",_xlfn.IFNA(ROUND(INDEX(Spectrum!$N:$N,MATCH(RIGHT($B351,13)&amp;"|"&amp;$C351&amp;"|"&amp;$D351&amp;"|"&amp;AD$14&amp;"|"&amp;"CY2023Q3",Spectrum!$R:$R,0)),0),""))</f>
        <v/>
      </c>
      <c r="AE351" s="88" t="n">
        <f aca="false">IF(OR(LEFT($B351,4)="_Mil",SUM($Z351)=0),"",SUM($AD351)/$Z351)</f>
        <v>0</v>
      </c>
      <c r="AF351" s="39" t="str">
        <f aca="false">IF(LEFT($B351,4)="_Mil","",_xlfn.IFNA(ROUND(INDEX(Spectrum!$N:$N,MATCH(RIGHT($B351,13)&amp;"|"&amp;$C351&amp;"|"&amp;$D351&amp;"|"&amp;AF$14&amp;"|"&amp;"CY2023Q3",Spectrum!$R:$R,0)),0),""))</f>
        <v/>
      </c>
      <c r="AG351" s="88" t="str">
        <f aca="false">IF(OR(LEFT($B351,4)="_Mil",SUM($AD351)=0),"",SUM($AF351)/$AD351)</f>
        <v/>
      </c>
      <c r="AH351" s="86" t="str">
        <f aca="false">IF(LEFT($B351,4)="_Mil","",_xlfn.IFNA(INDEX(Spectrum!$N:$N,MATCH(RIGHT($B351,13)&amp;"|"&amp;$C351&amp;"|"&amp;$D351&amp;"|"&amp;AH$14&amp;"|"&amp;"CY2023Q3",Spectrum!$R:$R,0)),""))</f>
        <v/>
      </c>
      <c r="AI351" s="10" t="str">
        <f aca="false">IF(LEFT($B351,4)="_Mil","",_xlfn.IFNA(ROUND(INDEX(Spectrum!$N:$N,MATCH(RIGHT($B351,13)&amp;"|"&amp;$C351&amp;"|"&amp;$D351&amp;"|"&amp;AI$14&amp;"|"&amp;"CY2023Q3",Spectrum!$R:$R,0)),0),""))</f>
        <v/>
      </c>
      <c r="AJ351" s="39" t="n">
        <f aca="false">IF(LEFT($B351,4)="_Mil","",_xlfn.IFNA(ROUND(INDEX(Spectrum!$N:$N,MATCH(RIGHT($B351,13)&amp;"|"&amp;$C351&amp;"|"&amp;$D351&amp;"|"&amp;AI$14&amp;"|"&amp;"CY2023Q3",Spectrum!$R:$R,0)),0),SUM($U351)+SUM($AI351)))</f>
        <v>0</v>
      </c>
      <c r="AK351" s="10" t="str">
        <f aca="false">IF(LEFT($B351,4)="_Mil","",_xlfn.IFNA(ROUND(INDEX(Spectrum!$N:$N,MATCH(RIGHT($B351,13)&amp;"|"&amp;$C351&amp;"|"&amp;$D351&amp;"|"&amp;AK$14&amp;"|"&amp;"CY2023Q3",Spectrum!$R:$R,0)),0),""))</f>
        <v/>
      </c>
      <c r="AL351" s="88" t="str">
        <f aca="false">IF(OR(LEFT($B351,4)="_Mil",$C351="&lt;01"),"",MAX(SUM($AA351),90%))</f>
        <v/>
      </c>
      <c r="AM351" s="10" t="str">
        <f aca="false">IF(OR(LEFT($B351,4)="_Mil",$C351="&lt;01"),"",ROUND(SUM($AJ351)*SUM($AL351),0))</f>
        <v/>
      </c>
      <c r="AN351" s="10" t="n">
        <f aca="false">IF($C351="&lt;01",ROUND(INDEX(EID!$P:$P,MATCH($B351,EID!$B:$B,0))/2,0),"")</f>
        <v>0</v>
      </c>
      <c r="AO351" s="10" t="n">
        <f aca="false">IF($C351="&lt;01",SUM($AN351),ROUND(SUM($AM351)*SUM($O351)/IF(SUM($Z351)=0,1,$Z351),0))</f>
        <v>0</v>
      </c>
      <c r="AP351" s="39" t="n">
        <f aca="false">IF(OR($F351="",$C351="&lt;01"),$AO351,$F351)</f>
        <v>0</v>
      </c>
      <c r="AQ351" s="39" t="n">
        <f aca="false">IF(LEFT($B351,4)="_Mil","",IF(SUM($AP351)=0,SUM($Z351),IF(OR(SUM($Z351)=0,SUM($O351)=0),MAX($AP351,$Z351),$AP351*$Z351/$O351)))</f>
        <v>1817</v>
      </c>
      <c r="AR351" s="88" t="str">
        <f aca="false">IF(OR(LEFT($B351,4)="_Mil",SUM($AJ351)=0),"",SUM($AQ351)/$AJ351)</f>
        <v/>
      </c>
      <c r="AS351" s="88" t="str">
        <f aca="false">IF($C351="&lt;01","",98%)</f>
        <v/>
      </c>
      <c r="AT351" s="88" t="str">
        <f aca="false">IF($C351="&lt;01","",98%)</f>
        <v/>
      </c>
      <c r="AU351" s="10" t="str">
        <f aca="false">IF($C351="&lt;01","",SUM($AP351)-SUM($O351))</f>
        <v/>
      </c>
      <c r="AV351" s="10" t="n">
        <f aca="false">IF($C351="&lt;01",ROUND(INDEX(EID!$N:$N,MATCH($B351,EID!$B:$B,0))/2,0),IF(SUM($AT351)=0,"",ROUND((SUM($AP351)-(SUM($O351)*SUM($AS351)))/$AT351,0)))</f>
        <v>0</v>
      </c>
      <c r="AW351" s="88" t="str">
        <f aca="false">IF($C351="&lt;01","",100%)</f>
        <v/>
      </c>
      <c r="AX351" s="39" t="n">
        <f aca="false">IF($C351="&lt;01",SUM($AV351),ROUND(SUM($AV351)*SUM($AW351),0))</f>
        <v>0</v>
      </c>
      <c r="AY351" s="114" t="str">
        <f aca="false">IF($C351="&lt;01","",70%)</f>
        <v/>
      </c>
      <c r="AZ351" s="91" t="n">
        <f aca="false">IF($C351="&lt;01",ROUND(INDEX(EID!$R:$R,MATCH($B351,EID!$B:$B,0))/2,0),ROUND(SUM($O351)+(SUM($AV351)*$AY351),0))</f>
        <v>0</v>
      </c>
      <c r="BA351" s="87" t="str">
        <f aca="false">IF($C351="&lt;01","",95%)</f>
        <v/>
      </c>
      <c r="BB351" s="5" t="n">
        <f aca="false">IF($C351="&lt;01",ROUND(INDEX(EID!$T:$T,MATCH($B351,EID!$B:$B,0))/2,0),ROUND($AZ351*$BA351,0))</f>
        <v>0</v>
      </c>
      <c r="BC351" s="91" t="n">
        <f aca="false">IF(LEFT($B351,4)="_Mil","",IF(SUM($BB351)=0,SUM($AD351),IF(OR(SUM($AP351)=0,SUM($AQ351)=0),MAX($BB351,$AD351),ROUND($BB351*$AQ351/$AP351,0))))</f>
        <v>0</v>
      </c>
      <c r="BD351" s="88" t="str">
        <f aca="false">IF($C351="&lt;01","",95%)</f>
        <v/>
      </c>
      <c r="BE351" s="39" t="n">
        <f aca="false">IF($C351="&lt;01",ROUND(INDEX(EID!$V:$V,MATCH($B351,EID!$B:$B,0))/2,0),ROUND($BD351*$BB351,0))</f>
        <v>0</v>
      </c>
      <c r="BF351" s="39" t="n">
        <f aca="false">IF(LEFT($B351,4)="_Mil","",IF(SUM($BE351)=0,SUM($AF351),IF(OR(SUM($AP351)=0,SUM($AQ351)=0),MAX($BE351,$AF351),ROUND($BE351*$AQ351/$AP351,0))))</f>
        <v>0</v>
      </c>
      <c r="BG351" s="114" t="str">
        <f aca="false">IF($C351="&lt;01","",95%)</f>
        <v/>
      </c>
      <c r="BH351" s="5" t="n">
        <f aca="false">IF($C351="&lt;01",ROUND(INDEX(EID!$L:$L,MATCH($B351,EID!$B:$B,0)),0)/2,IF(SUM($BG351)=0,"",ROUND($AX351/$BG351,0)))</f>
        <v>0</v>
      </c>
    </row>
    <row r="352" customFormat="false" ht="15" hidden="false" customHeight="false" outlineLevel="0" collapsed="false">
      <c r="A352" s="0" t="str">
        <f aca="false">INDEX(Prioritization!$D:$D,MATCH($B352,Prioritization!$A:$A,0))</f>
        <v>INVALID</v>
      </c>
      <c r="B352" s="0" t="s">
        <v>218</v>
      </c>
      <c r="C352" s="0" t="s">
        <v>316</v>
      </c>
      <c r="D352" s="0" t="s">
        <v>48</v>
      </c>
      <c r="E352" s="0" t="str">
        <f aca="false">$B352&amp;"|"&amp;$C352&amp;"|"&amp;$D352</f>
        <v>Neno District [gwVYinjBAe9]|&lt;01|Male</v>
      </c>
      <c r="F352" s="10"/>
      <c r="G352" s="10" t="n">
        <v>8</v>
      </c>
      <c r="H352" s="10" t="n">
        <v>0</v>
      </c>
      <c r="I352" s="10" t="n">
        <v>4</v>
      </c>
      <c r="J352" s="10" t="n">
        <v>10</v>
      </c>
      <c r="K352" s="10" t="n">
        <v>3</v>
      </c>
      <c r="L352" s="10"/>
      <c r="M352" s="10" t="n">
        <v>1</v>
      </c>
      <c r="N352" s="10" t="n">
        <v>1</v>
      </c>
      <c r="O352" s="10" t="n">
        <f aca="false">IFERROR(1/(1/MAX($I352,$N352)),"")</f>
        <v>4</v>
      </c>
      <c r="P352" s="10" t="n">
        <v>1</v>
      </c>
      <c r="Q352" s="10" t="n">
        <v>0</v>
      </c>
      <c r="R352" s="10" t="n">
        <f aca="false">IF(AND(SUM($I352)=0,SUM($O352)=0),"",SUM($O352)-$I352)</f>
        <v>0</v>
      </c>
      <c r="S352" s="10" t="n">
        <f aca="false">IF(LEFT($B352,4)="_Mil","",_xlfn.IFNA(ROUND(INDEX(Spectrum!$N:$N,MATCH(RIGHT($B352,13)&amp;"|"&amp;$C352&amp;"|"&amp;$D352&amp;"|"&amp;S$14&amp;"|"&amp;"CY2022Q4",Spectrum!$R:$R,0)),0),""))</f>
        <v>549</v>
      </c>
      <c r="T352" s="39" t="n">
        <f aca="false">IF(LEFT($B352,4)="_Mil","",_xlfn.IFNA(ROUND(INDEX(Spectrum!$N:$N,MATCH(RIGHT($B352,13)&amp;"|"&amp;$C352&amp;"|"&amp;$D352&amp;"|"&amp;T$14&amp;"|"&amp;"CY2023Q3",Spectrum!$R:$R,0)),0),""))</f>
        <v>1635</v>
      </c>
      <c r="U352" s="39" t="str">
        <f aca="false">IF(LEFT($B352,4)="_Mil","",_xlfn.IFNA(ROUND(INDEX(Spectrum!$N:$N,MATCH(RIGHT($B352,13)&amp;"|"&amp;$C352&amp;"|"&amp;$D352&amp;"|"&amp;U$14&amp;"|"&amp;"CY2023Q3",Spectrum!$R:$R,0)),0),""))</f>
        <v/>
      </c>
      <c r="V352" s="10" t="n">
        <f aca="false">IF(LEFT($B352,4)="_Mil","",_xlfn.IFNA(ROUND(INDEX(Spectrum!$N:$N,MATCH(RIGHT($B352,13)&amp;"|"&amp;$C352&amp;"|"&amp;$D352&amp;"|"&amp;V$14&amp;"|"&amp;"CY2023Q3",Spectrum!$R:$R,0)),0),""))</f>
        <v>1230</v>
      </c>
      <c r="W352" s="113" t="n">
        <f aca="false">IF(LEFT($B352,4)="_Mil","",_xlfn.IFNA(INDEX(Spectrum!$N:$N,MATCH(RIGHT($B352,13)&amp;"|"&amp;$C352&amp;"|"&amp;$D352&amp;"|"&amp;W$14&amp;"|"&amp;"CY2023Q3",Spectrum!$R:$R,0)),""))</f>
        <v>867</v>
      </c>
      <c r="X352" s="39" t="n">
        <f aca="false">IF(LEFT($B352,4)="_Mil","",_xlfn.IFNA(ROUND(INDEX(Spectrum!$N:$N,MATCH(RIGHT($B352,13)&amp;"|"&amp;$C352&amp;"|"&amp;$D352&amp;"|"&amp;X$14&amp;"|"&amp;"CY2023Q3",Spectrum!$R:$R,0)),0),""))</f>
        <v>816</v>
      </c>
      <c r="Y352" s="88" t="str">
        <f aca="false">IF(OR(SUM($U352)=0,LEFT($B352,4)="_Mil"),"",SUM($X352)/$U352)</f>
        <v/>
      </c>
      <c r="Z352" s="39" t="n">
        <f aca="false">IF(LEFT($B352,4)="_Mil","",_xlfn.IFNA(ROUND(INDEX(Spectrum!$N:$N,MATCH(RIGHT($B352,13)&amp;"|"&amp;$C352&amp;"|"&amp;$D352&amp;"|"&amp;Z$14&amp;"|"&amp;"CY2023Q3",Spectrum!$R:$R,0)),0),""))</f>
        <v>938</v>
      </c>
      <c r="AA352" s="88" t="n">
        <f aca="false">IF(LEFT($B352,4)="_Mil","",IFERROR(1/(1/INDEX(Spectrum!$N:$N,MATCH(RIGHT($B352,13)&amp;"|"&amp;$C352&amp;"|"&amp;$D352&amp;"|"&amp;AA$14&amp;"|"&amp;"CY2023Q3",Spectrum!$R:$R,0))),IF(SUM($U352)=0,"",SUM($Z352)/$U352)))</f>
        <v>546</v>
      </c>
      <c r="AB352" s="88" t="n">
        <f aca="false">IF(OR(LEFT($B352,4)="_Mil",SUM($X352)=0),"",SUM($Z352)/$X352)</f>
        <v>1.14950980392157</v>
      </c>
      <c r="AC352" s="10" t="n">
        <f aca="false">IF(LEFT($B352,4)="_Mil","",_xlfn.IFNA(ROUND(INDEX(Spectrum!$N:$N,MATCH(RIGHT($B352,13)&amp;"|"&amp;$C352&amp;"|"&amp;$D352&amp;"|"&amp;AC$14&amp;"|"&amp;"CY2023Q3",Spectrum!$R:$R,0)),0),""))</f>
        <v>932</v>
      </c>
      <c r="AD352" s="10" t="str">
        <f aca="false">IF(LEFT($B352,4)="_Mil","",_xlfn.IFNA(ROUND(INDEX(Spectrum!$N:$N,MATCH(RIGHT($B352,13)&amp;"|"&amp;$C352&amp;"|"&amp;$D352&amp;"|"&amp;AD$14&amp;"|"&amp;"CY2023Q3",Spectrum!$R:$R,0)),0),""))</f>
        <v/>
      </c>
      <c r="AE352" s="88" t="n">
        <f aca="false">IF(OR(LEFT($B352,4)="_Mil",SUM($Z352)=0),"",SUM($AD352)/$Z352)</f>
        <v>0</v>
      </c>
      <c r="AF352" s="39" t="str">
        <f aca="false">IF(LEFT($B352,4)="_Mil","",_xlfn.IFNA(ROUND(INDEX(Spectrum!$N:$N,MATCH(RIGHT($B352,13)&amp;"|"&amp;$C352&amp;"|"&amp;$D352&amp;"|"&amp;AF$14&amp;"|"&amp;"CY2023Q3",Spectrum!$R:$R,0)),0),""))</f>
        <v/>
      </c>
      <c r="AG352" s="88" t="str">
        <f aca="false">IF(OR(LEFT($B352,4)="_Mil",SUM($AD352)=0),"",SUM($AF352)/$AD352)</f>
        <v/>
      </c>
      <c r="AH352" s="86" t="str">
        <f aca="false">IF(LEFT($B352,4)="_Mil","",_xlfn.IFNA(INDEX(Spectrum!$N:$N,MATCH(RIGHT($B352,13)&amp;"|"&amp;$C352&amp;"|"&amp;$D352&amp;"|"&amp;AH$14&amp;"|"&amp;"CY2023Q3",Spectrum!$R:$R,0)),""))</f>
        <v/>
      </c>
      <c r="AI352" s="10" t="str">
        <f aca="false">IF(LEFT($B352,4)="_Mil","",_xlfn.IFNA(ROUND(INDEX(Spectrum!$N:$N,MATCH(RIGHT($B352,13)&amp;"|"&amp;$C352&amp;"|"&amp;$D352&amp;"|"&amp;AI$14&amp;"|"&amp;"CY2023Q3",Spectrum!$R:$R,0)),0),""))</f>
        <v/>
      </c>
      <c r="AJ352" s="39" t="n">
        <f aca="false">IF(LEFT($B352,4)="_Mil","",_xlfn.IFNA(ROUND(INDEX(Spectrum!$N:$N,MATCH(RIGHT($B352,13)&amp;"|"&amp;$C352&amp;"|"&amp;$D352&amp;"|"&amp;AI$14&amp;"|"&amp;"CY2023Q3",Spectrum!$R:$R,0)),0),SUM($U352)+SUM($AI352)))</f>
        <v>0</v>
      </c>
      <c r="AK352" s="10" t="str">
        <f aca="false">IF(LEFT($B352,4)="_Mil","",_xlfn.IFNA(ROUND(INDEX(Spectrum!$N:$N,MATCH(RIGHT($B352,13)&amp;"|"&amp;$C352&amp;"|"&amp;$D352&amp;"|"&amp;AK$14&amp;"|"&amp;"CY2023Q3",Spectrum!$R:$R,0)),0),""))</f>
        <v/>
      </c>
      <c r="AL352" s="88" t="str">
        <f aca="false">IF(OR(LEFT($B352,4)="_Mil",$C352="&lt;01"),"",MAX(SUM($AA352),90%))</f>
        <v/>
      </c>
      <c r="AM352" s="10" t="str">
        <f aca="false">IF(OR(LEFT($B352,4)="_Mil",$C352="&lt;01"),"",ROUND(SUM($AJ352)*SUM($AL352),0))</f>
        <v/>
      </c>
      <c r="AN352" s="10" t="n">
        <f aca="false">IF($C352="&lt;01",ROUND(INDEX(EID!$P:$P,MATCH($B352,EID!$B:$B,0))/2,0),"")</f>
        <v>0</v>
      </c>
      <c r="AO352" s="10" t="n">
        <f aca="false">IF($C352="&lt;01",SUM($AN352),ROUND(SUM($AM352)*SUM($O352)/IF(SUM($Z352)=0,1,$Z352),0))</f>
        <v>0</v>
      </c>
      <c r="AP352" s="39" t="n">
        <f aca="false">IF(OR($F352="",$C352="&lt;01"),$AO352,$F352)</f>
        <v>0</v>
      </c>
      <c r="AQ352" s="39" t="n">
        <f aca="false">IF(LEFT($B352,4)="_Mil","",IF(SUM($AP352)=0,SUM($Z352),IF(OR(SUM($Z352)=0,SUM($O352)=0),MAX($AP352,$Z352),$AP352*$Z352/$O352)))</f>
        <v>938</v>
      </c>
      <c r="AR352" s="88" t="str">
        <f aca="false">IF(OR(LEFT($B352,4)="_Mil",SUM($AJ352)=0),"",SUM($AQ352)/$AJ352)</f>
        <v/>
      </c>
      <c r="AS352" s="88" t="str">
        <f aca="false">IF($C352="&lt;01","",98%)</f>
        <v/>
      </c>
      <c r="AT352" s="88" t="str">
        <f aca="false">IF($C352="&lt;01","",98%)</f>
        <v/>
      </c>
      <c r="AU352" s="10" t="str">
        <f aca="false">IF($C352="&lt;01","",SUM($AP352)-SUM($O352))</f>
        <v/>
      </c>
      <c r="AV352" s="10" t="n">
        <f aca="false">IF($C352="&lt;01",ROUND(INDEX(EID!$N:$N,MATCH($B352,EID!$B:$B,0))/2,0),IF(SUM($AT352)=0,"",ROUND((SUM($AP352)-(SUM($O352)*SUM($AS352)))/$AT352,0)))</f>
        <v>0</v>
      </c>
      <c r="AW352" s="88" t="str">
        <f aca="false">IF($C352="&lt;01","",100%)</f>
        <v/>
      </c>
      <c r="AX352" s="39" t="n">
        <f aca="false">IF($C352="&lt;01",SUM($AV352),ROUND(SUM($AV352)*SUM($AW352),0))</f>
        <v>0</v>
      </c>
      <c r="AY352" s="114" t="str">
        <f aca="false">IF($C352="&lt;01","",70%)</f>
        <v/>
      </c>
      <c r="AZ352" s="91" t="n">
        <f aca="false">IF($C352="&lt;01",ROUND(INDEX(EID!$R:$R,MATCH($B352,EID!$B:$B,0))/2,0),ROUND(SUM($O352)+(SUM($AV352)*$AY352),0))</f>
        <v>0</v>
      </c>
      <c r="BA352" s="87" t="str">
        <f aca="false">IF($C352="&lt;01","",95%)</f>
        <v/>
      </c>
      <c r="BB352" s="5" t="n">
        <f aca="false">IF($C352="&lt;01",ROUND(INDEX(EID!$T:$T,MATCH($B352,EID!$B:$B,0))/2,0),ROUND($AZ352*$BA352,0))</f>
        <v>0</v>
      </c>
      <c r="BC352" s="91" t="n">
        <f aca="false">IF(LEFT($B352,4)="_Mil","",IF(SUM($BB352)=0,SUM($AD352),IF(OR(SUM($AP352)=0,SUM($AQ352)=0),MAX($BB352,$AD352),ROUND($BB352*$AQ352/$AP352,0))))</f>
        <v>0</v>
      </c>
      <c r="BD352" s="88" t="str">
        <f aca="false">IF($C352="&lt;01","",95%)</f>
        <v/>
      </c>
      <c r="BE352" s="39" t="n">
        <f aca="false">IF($C352="&lt;01",ROUND(INDEX(EID!$V:$V,MATCH($B352,EID!$B:$B,0))/2,0),ROUND($BD352*$BB352,0))</f>
        <v>0</v>
      </c>
      <c r="BF352" s="39" t="n">
        <f aca="false">IF(LEFT($B352,4)="_Mil","",IF(SUM($BE352)=0,SUM($AF352),IF(OR(SUM($AP352)=0,SUM($AQ352)=0),MAX($BE352,$AF352),ROUND($BE352*$AQ352/$AP352,0))))</f>
        <v>0</v>
      </c>
      <c r="BG352" s="114" t="str">
        <f aca="false">IF($C352="&lt;01","",95%)</f>
        <v/>
      </c>
      <c r="BH352" s="5" t="n">
        <f aca="false">IF($C352="&lt;01",ROUND(INDEX(EID!$L:$L,MATCH($B352,EID!$B:$B,0)),0)/2,IF(SUM($BG352)=0,"",ROUND($AX352/$BG352,0)))</f>
        <v>0</v>
      </c>
    </row>
    <row r="353" customFormat="false" ht="15" hidden="false" customHeight="false" outlineLevel="0" collapsed="false">
      <c r="A353" s="0" t="str">
        <f aca="false">INDEX(Prioritization!$D:$D,MATCH($B353,Prioritization!$A:$A,0))</f>
        <v>INVALID</v>
      </c>
      <c r="B353" s="0" t="s">
        <v>218</v>
      </c>
      <c r="C353" s="0" t="s">
        <v>363</v>
      </c>
      <c r="D353" s="0" t="s">
        <v>30</v>
      </c>
      <c r="E353" s="0" t="str">
        <f aca="false">$B353&amp;"|"&amp;$C353&amp;"|"&amp;$D353</f>
        <v>Neno District [gwVYinjBAe9]|01-09|Female</v>
      </c>
      <c r="F353" s="10"/>
      <c r="G353" s="10"/>
      <c r="H353" s="10"/>
      <c r="I353" s="10"/>
      <c r="J353" s="10"/>
      <c r="K353" s="10"/>
      <c r="L353" s="10"/>
      <c r="M353" s="10"/>
      <c r="N353" s="10"/>
      <c r="O353" s="10" t="str">
        <f aca="false">IFERROR(1/(1/MAX($I353,$N353)),"")</f>
        <v/>
      </c>
      <c r="P353" s="10"/>
      <c r="Q353" s="10"/>
      <c r="R353" s="10" t="str">
        <f aca="false">IF(AND(SUM($I353)=0,SUM($O353)=0),"",SUM($O353)-$I353)</f>
        <v/>
      </c>
      <c r="S353" s="10" t="n">
        <f aca="false">IF(LEFT($B353,4)="_Mil","",_xlfn.IFNA(ROUND(INDEX(Spectrum!$N:$N,MATCH(RIGHT($B353,13)&amp;"|"&amp;$C353&amp;"|"&amp;$D353&amp;"|"&amp;S$14&amp;"|"&amp;"CY2022Q4",Spectrum!$R:$R,0)),0),""))</f>
        <v>980</v>
      </c>
      <c r="T353" s="39" t="n">
        <f aca="false">IF(LEFT($B353,4)="_Mil","",_xlfn.IFNA(ROUND(INDEX(Spectrum!$N:$N,MATCH(RIGHT($B353,13)&amp;"|"&amp;$C353&amp;"|"&amp;$D353&amp;"|"&amp;T$14&amp;"|"&amp;"CY2023Q3",Spectrum!$R:$R,0)),0),""))</f>
        <v>876</v>
      </c>
      <c r="U353" s="39" t="str">
        <f aca="false">IF(LEFT($B353,4)="_Mil","",_xlfn.IFNA(ROUND(INDEX(Spectrum!$N:$N,MATCH(RIGHT($B353,13)&amp;"|"&amp;$C353&amp;"|"&amp;$D353&amp;"|"&amp;U$14&amp;"|"&amp;"CY2023Q3",Spectrum!$R:$R,0)),0),""))</f>
        <v/>
      </c>
      <c r="V353" s="10" t="n">
        <f aca="false">IF(LEFT($B353,4)="_Mil","",_xlfn.IFNA(ROUND(INDEX(Spectrum!$N:$N,MATCH(RIGHT($B353,13)&amp;"|"&amp;$C353&amp;"|"&amp;$D353&amp;"|"&amp;V$14&amp;"|"&amp;"CY2023Q3",Spectrum!$R:$R,0)),0),""))</f>
        <v>1259</v>
      </c>
      <c r="W353" s="113" t="n">
        <f aca="false">IF(LEFT($B353,4)="_Mil","",_xlfn.IFNA(INDEX(Spectrum!$N:$N,MATCH(RIGHT($B353,13)&amp;"|"&amp;$C353&amp;"|"&amp;$D353&amp;"|"&amp;W$14&amp;"|"&amp;"CY2023Q3",Spectrum!$R:$R,0)),""))</f>
        <v>1729</v>
      </c>
      <c r="X353" s="39" t="n">
        <f aca="false">IF(LEFT($B353,4)="_Mil","",_xlfn.IFNA(ROUND(INDEX(Spectrum!$N:$N,MATCH(RIGHT($B353,13)&amp;"|"&amp;$C353&amp;"|"&amp;$D353&amp;"|"&amp;X$14&amp;"|"&amp;"CY2023Q3",Spectrum!$R:$R,0)),0),""))</f>
        <v>717</v>
      </c>
      <c r="Y353" s="88" t="str">
        <f aca="false">IF(OR(SUM($U353)=0,LEFT($B353,4)="_Mil"),"",SUM($X353)/$U353)</f>
        <v/>
      </c>
      <c r="Z353" s="39" t="n">
        <f aca="false">IF(LEFT($B353,4)="_Mil","",_xlfn.IFNA(ROUND(INDEX(Spectrum!$N:$N,MATCH(RIGHT($B353,13)&amp;"|"&amp;$C353&amp;"|"&amp;$D353&amp;"|"&amp;Z$14&amp;"|"&amp;"CY2023Q3",Spectrum!$R:$R,0)),0),""))</f>
        <v>1527</v>
      </c>
      <c r="AA353" s="88" t="n">
        <f aca="false">IF(LEFT($B353,4)="_Mil","",IFERROR(1/(1/INDEX(Spectrum!$N:$N,MATCH(RIGHT($B353,13)&amp;"|"&amp;$C353&amp;"|"&amp;$D353&amp;"|"&amp;AA$14&amp;"|"&amp;"CY2023Q3",Spectrum!$R:$R,0))),IF(SUM($U353)=0,"",SUM($Z353)/$U353)))</f>
        <v>606</v>
      </c>
      <c r="AB353" s="88" t="n">
        <f aca="false">IF(OR(LEFT($B353,4)="_Mil",SUM($X353)=0),"",SUM($Z353)/$X353)</f>
        <v>2.12970711297071</v>
      </c>
      <c r="AC353" s="10" t="n">
        <f aca="false">IF(LEFT($B353,4)="_Mil","",_xlfn.IFNA(ROUND(INDEX(Spectrum!$N:$N,MATCH(RIGHT($B353,13)&amp;"|"&amp;$C353&amp;"|"&amp;$D353&amp;"|"&amp;AC$14&amp;"|"&amp;"CY2023Q3",Spectrum!$R:$R,0)),0),""))</f>
        <v>595</v>
      </c>
      <c r="AD353" s="10" t="str">
        <f aca="false">IF(LEFT($B353,4)="_Mil","",_xlfn.IFNA(ROUND(INDEX(Spectrum!$N:$N,MATCH(RIGHT($B353,13)&amp;"|"&amp;$C353&amp;"|"&amp;$D353&amp;"|"&amp;AD$14&amp;"|"&amp;"CY2023Q3",Spectrum!$R:$R,0)),0),""))</f>
        <v/>
      </c>
      <c r="AE353" s="88" t="n">
        <f aca="false">IF(OR(LEFT($B353,4)="_Mil",SUM($Z353)=0),"",SUM($AD353)/$Z353)</f>
        <v>0</v>
      </c>
      <c r="AF353" s="39" t="str">
        <f aca="false">IF(LEFT($B353,4)="_Mil","",_xlfn.IFNA(ROUND(INDEX(Spectrum!$N:$N,MATCH(RIGHT($B353,13)&amp;"|"&amp;$C353&amp;"|"&amp;$D353&amp;"|"&amp;AF$14&amp;"|"&amp;"CY2023Q3",Spectrum!$R:$R,0)),0),""))</f>
        <v/>
      </c>
      <c r="AG353" s="88" t="str">
        <f aca="false">IF(OR(LEFT($B353,4)="_Mil",SUM($AD353)=0),"",SUM($AF353)/$AD353)</f>
        <v/>
      </c>
      <c r="AH353" s="86" t="str">
        <f aca="false">IF(LEFT($B353,4)="_Mil","",_xlfn.IFNA(INDEX(Spectrum!$N:$N,MATCH(RIGHT($B353,13)&amp;"|"&amp;$C353&amp;"|"&amp;$D353&amp;"|"&amp;AH$14&amp;"|"&amp;"CY2023Q3",Spectrum!$R:$R,0)),""))</f>
        <v/>
      </c>
      <c r="AI353" s="10" t="str">
        <f aca="false">IF(LEFT($B353,4)="_Mil","",_xlfn.IFNA(ROUND(INDEX(Spectrum!$N:$N,MATCH(RIGHT($B353,13)&amp;"|"&amp;$C353&amp;"|"&amp;$D353&amp;"|"&amp;AI$14&amp;"|"&amp;"CY2023Q3",Spectrum!$R:$R,0)),0),""))</f>
        <v/>
      </c>
      <c r="AJ353" s="39" t="n">
        <f aca="false">IF(LEFT($B353,4)="_Mil","",_xlfn.IFNA(ROUND(INDEX(Spectrum!$N:$N,MATCH(RIGHT($B353,13)&amp;"|"&amp;$C353&amp;"|"&amp;$D353&amp;"|"&amp;AI$14&amp;"|"&amp;"CY2023Q3",Spectrum!$R:$R,0)),0),SUM($U353)+SUM($AI353)))</f>
        <v>0</v>
      </c>
      <c r="AK353" s="10" t="str">
        <f aca="false">IF(LEFT($B353,4)="_Mil","",_xlfn.IFNA(ROUND(INDEX(Spectrum!$N:$N,MATCH(RIGHT($B353,13)&amp;"|"&amp;$C353&amp;"|"&amp;$D353&amp;"|"&amp;AK$14&amp;"|"&amp;"CY2023Q3",Spectrum!$R:$R,0)),0),""))</f>
        <v/>
      </c>
      <c r="AL353" s="88" t="n">
        <f aca="false">IF(OR(LEFT($B353,4)="_Mil",$C353="&lt;01"),"",MAX(SUM($AA353),90%))</f>
        <v>606</v>
      </c>
      <c r="AM353" s="10" t="n">
        <f aca="false">IF(OR(LEFT($B353,4)="_Mil",$C353="&lt;01"),"",ROUND(SUM($AJ353)*SUM($AL353),0))</f>
        <v>0</v>
      </c>
      <c r="AN353" s="10" t="str">
        <f aca="false">IF($C353="&lt;01",ROUND(INDEX(EID!$P:$P,MATCH($B353,EID!$B:$B,0))/2,0),"")</f>
        <v/>
      </c>
      <c r="AO353" s="10" t="n">
        <f aca="false">IF($C353="&lt;01",SUM($AN353),ROUND(SUM($AM353)*SUM($O353)/IF(SUM($Z353)=0,1,$Z353),0))</f>
        <v>0</v>
      </c>
      <c r="AP353" s="39" t="n">
        <f aca="false">IF(OR($F353="",$C353="&lt;01"),$AO353,$F353)</f>
        <v>0</v>
      </c>
      <c r="AQ353" s="39" t="n">
        <f aca="false">IF(LEFT($B353,4)="_Mil","",IF(SUM($AP353)=0,SUM($Z353),IF(OR(SUM($Z353)=0,SUM($O353)=0),MAX($AP353,$Z353),$AP353*$Z353/$O353)))</f>
        <v>1527</v>
      </c>
      <c r="AR353" s="88" t="str">
        <f aca="false">IF(OR(LEFT($B353,4)="_Mil",SUM($AJ353)=0),"",SUM($AQ353)/$AJ353)</f>
        <v/>
      </c>
      <c r="AS353" s="88" t="n">
        <f aca="false">IF($C353="&lt;01","",98%)</f>
        <v>0.98</v>
      </c>
      <c r="AT353" s="88" t="n">
        <f aca="false">IF($C353="&lt;01","",98%)</f>
        <v>0.98</v>
      </c>
      <c r="AU353" s="10" t="n">
        <f aca="false">IF($C353="&lt;01","",SUM($AP353)-SUM($O353))</f>
        <v>0</v>
      </c>
      <c r="AV353" s="10" t="n">
        <f aca="false">IF($C353="&lt;01",ROUND(INDEX(EID!$N:$N,MATCH($B353,EID!$B:$B,0))/2,0),IF(SUM($AT353)=0,"",ROUND((SUM($AP353)-(SUM($O353)*SUM($AS353)))/$AT353,0)))</f>
        <v>0</v>
      </c>
      <c r="AW353" s="88" t="n">
        <f aca="false">IF($C353="&lt;01","",100%)</f>
        <v>1</v>
      </c>
      <c r="AX353" s="39" t="n">
        <f aca="false">IF($C353="&lt;01",SUM($AV353),ROUND(SUM($AV353)*SUM($AW353),0))</f>
        <v>0</v>
      </c>
      <c r="AY353" s="114" t="n">
        <f aca="false">IF($C353="&lt;01","",70%)</f>
        <v>0.7</v>
      </c>
      <c r="AZ353" s="91" t="n">
        <f aca="false">IF($C353="&lt;01",ROUND(INDEX(EID!$R:$R,MATCH($B353,EID!$B:$B,0))/2,0),ROUND(SUM($O353)+(SUM($AV353)*$AY353),0))</f>
        <v>0</v>
      </c>
      <c r="BA353" s="87" t="n">
        <f aca="false">IF($C353="&lt;01","",95%)</f>
        <v>0.95</v>
      </c>
      <c r="BB353" s="5" t="n">
        <f aca="false">IF($C353="&lt;01",ROUND(INDEX(EID!$T:$T,MATCH($B353,EID!$B:$B,0))/2,0),ROUND($AZ353*$BA353,0))</f>
        <v>0</v>
      </c>
      <c r="BC353" s="91" t="n">
        <f aca="false">IF(LEFT($B353,4)="_Mil","",IF(SUM($BB353)=0,SUM($AD353),IF(OR(SUM($AP353)=0,SUM($AQ353)=0),MAX($BB353,$AD353),ROUND($BB353*$AQ353/$AP353,0))))</f>
        <v>0</v>
      </c>
      <c r="BD353" s="88" t="n">
        <f aca="false">IF($C353="&lt;01","",95%)</f>
        <v>0.95</v>
      </c>
      <c r="BE353" s="39" t="n">
        <f aca="false">IF($C353="&lt;01",ROUND(INDEX(EID!$V:$V,MATCH($B353,EID!$B:$B,0))/2,0),ROUND($BD353*$BB353,0))</f>
        <v>0</v>
      </c>
      <c r="BF353" s="39" t="n">
        <f aca="false">IF(LEFT($B353,4)="_Mil","",IF(SUM($BE353)=0,SUM($AF353),IF(OR(SUM($AP353)=0,SUM($AQ353)=0),MAX($BE353,$AF353),ROUND($BE353*$AQ353/$AP353,0))))</f>
        <v>0</v>
      </c>
      <c r="BG353" s="114" t="n">
        <f aca="false">IF($C353="&lt;01","",95%)</f>
        <v>0.95</v>
      </c>
      <c r="BH353" s="5" t="n">
        <f aca="false">IF($C353="&lt;01",ROUND(INDEX(EID!$L:$L,MATCH($B353,EID!$B:$B,0)),0)/2,IF(SUM($BG353)=0,"",ROUND($AX353/$BG353,0)))</f>
        <v>0</v>
      </c>
    </row>
    <row r="354" customFormat="false" ht="15" hidden="false" customHeight="false" outlineLevel="0" collapsed="false">
      <c r="A354" s="0" t="str">
        <f aca="false">INDEX(Prioritization!$D:$D,MATCH($B354,Prioritization!$A:$A,0))</f>
        <v>INVALID</v>
      </c>
      <c r="B354" s="0" t="s">
        <v>218</v>
      </c>
      <c r="C354" s="0" t="s">
        <v>363</v>
      </c>
      <c r="D354" s="0" t="s">
        <v>48</v>
      </c>
      <c r="E354" s="0" t="str">
        <f aca="false">$B354&amp;"|"&amp;$C354&amp;"|"&amp;$D354</f>
        <v>Neno District [gwVYinjBAe9]|01-09|Male</v>
      </c>
      <c r="F354" s="10"/>
      <c r="G354" s="10"/>
      <c r="H354" s="10"/>
      <c r="I354" s="10"/>
      <c r="J354" s="10"/>
      <c r="K354" s="10"/>
      <c r="L354" s="10"/>
      <c r="M354" s="10"/>
      <c r="N354" s="10"/>
      <c r="O354" s="10" t="str">
        <f aca="false">IFERROR(1/(1/MAX($I354,$N354)),"")</f>
        <v/>
      </c>
      <c r="P354" s="10"/>
      <c r="Q354" s="10"/>
      <c r="R354" s="10" t="str">
        <f aca="false">IF(AND(SUM($I354)=0,SUM($O354)=0),"",SUM($O354)-$I354)</f>
        <v/>
      </c>
      <c r="S354" s="10" t="n">
        <f aca="false">IF(LEFT($B354,4)="_Mil","",_xlfn.IFNA(ROUND(INDEX(Spectrum!$N:$N,MATCH(RIGHT($B354,13)&amp;"|"&amp;$C354&amp;"|"&amp;$D354&amp;"|"&amp;S$14&amp;"|"&amp;"CY2022Q4",Spectrum!$R:$R,0)),0),""))</f>
        <v>1471</v>
      </c>
      <c r="T354" s="39" t="n">
        <f aca="false">IF(LEFT($B354,4)="_Mil","",_xlfn.IFNA(ROUND(INDEX(Spectrum!$N:$N,MATCH(RIGHT($B354,13)&amp;"|"&amp;$C354&amp;"|"&amp;$D354&amp;"|"&amp;T$14&amp;"|"&amp;"CY2023Q3",Spectrum!$R:$R,0)),0),""))</f>
        <v>1922</v>
      </c>
      <c r="U354" s="39" t="str">
        <f aca="false">IF(LEFT($B354,4)="_Mil","",_xlfn.IFNA(ROUND(INDEX(Spectrum!$N:$N,MATCH(RIGHT($B354,13)&amp;"|"&amp;$C354&amp;"|"&amp;$D354&amp;"|"&amp;U$14&amp;"|"&amp;"CY2023Q3",Spectrum!$R:$R,0)),0),""))</f>
        <v/>
      </c>
      <c r="V354" s="10" t="n">
        <f aca="false">IF(LEFT($B354,4)="_Mil","",_xlfn.IFNA(ROUND(INDEX(Spectrum!$N:$N,MATCH(RIGHT($B354,13)&amp;"|"&amp;$C354&amp;"|"&amp;$D354&amp;"|"&amp;V$14&amp;"|"&amp;"CY2023Q3",Spectrum!$R:$R,0)),0),""))</f>
        <v>1949</v>
      </c>
      <c r="W354" s="113" t="n">
        <f aca="false">IF(LEFT($B354,4)="_Mil","",_xlfn.IFNA(INDEX(Spectrum!$N:$N,MATCH(RIGHT($B354,13)&amp;"|"&amp;$C354&amp;"|"&amp;$D354&amp;"|"&amp;W$14&amp;"|"&amp;"CY2023Q3",Spectrum!$R:$R,0)),""))</f>
        <v>1903</v>
      </c>
      <c r="X354" s="39" t="n">
        <f aca="false">IF(LEFT($B354,4)="_Mil","",_xlfn.IFNA(ROUND(INDEX(Spectrum!$N:$N,MATCH(RIGHT($B354,13)&amp;"|"&amp;$C354&amp;"|"&amp;$D354&amp;"|"&amp;X$14&amp;"|"&amp;"CY2023Q3",Spectrum!$R:$R,0)),0),""))</f>
        <v>1850</v>
      </c>
      <c r="Y354" s="88" t="str">
        <f aca="false">IF(OR(SUM($U354)=0,LEFT($B354,4)="_Mil"),"",SUM($X354)/$U354)</f>
        <v/>
      </c>
      <c r="Z354" s="39" t="n">
        <f aca="false">IF(LEFT($B354,4)="_Mil","",_xlfn.IFNA(ROUND(INDEX(Spectrum!$N:$N,MATCH(RIGHT($B354,13)&amp;"|"&amp;$C354&amp;"|"&amp;$D354&amp;"|"&amp;Z$14&amp;"|"&amp;"CY2023Q3",Spectrum!$R:$R,0)),0),""))</f>
        <v>1157</v>
      </c>
      <c r="AA354" s="88" t="n">
        <f aca="false">IF(LEFT($B354,4)="_Mil","",IFERROR(1/(1/INDEX(Spectrum!$N:$N,MATCH(RIGHT($B354,13)&amp;"|"&amp;$C354&amp;"|"&amp;$D354&amp;"|"&amp;AA$14&amp;"|"&amp;"CY2023Q3",Spectrum!$R:$R,0))),IF(SUM($U354)=0,"",SUM($Z354)/$U354)))</f>
        <v>1144</v>
      </c>
      <c r="AB354" s="88" t="n">
        <f aca="false">IF(OR(LEFT($B354,4)="_Mil",SUM($X354)=0),"",SUM($Z354)/$X354)</f>
        <v>0.625405405405405</v>
      </c>
      <c r="AC354" s="10" t="n">
        <f aca="false">IF(LEFT($B354,4)="_Mil","",_xlfn.IFNA(ROUND(INDEX(Spectrum!$N:$N,MATCH(RIGHT($B354,13)&amp;"|"&amp;$C354&amp;"|"&amp;$D354&amp;"|"&amp;AC$14&amp;"|"&amp;"CY2023Q3",Spectrum!$R:$R,0)),0),""))</f>
        <v>1940</v>
      </c>
      <c r="AD354" s="10" t="str">
        <f aca="false">IF(LEFT($B354,4)="_Mil","",_xlfn.IFNA(ROUND(INDEX(Spectrum!$N:$N,MATCH(RIGHT($B354,13)&amp;"|"&amp;$C354&amp;"|"&amp;$D354&amp;"|"&amp;AD$14&amp;"|"&amp;"CY2023Q3",Spectrum!$R:$R,0)),0),""))</f>
        <v/>
      </c>
      <c r="AE354" s="88" t="n">
        <f aca="false">IF(OR(LEFT($B354,4)="_Mil",SUM($Z354)=0),"",SUM($AD354)/$Z354)</f>
        <v>0</v>
      </c>
      <c r="AF354" s="39" t="str">
        <f aca="false">IF(LEFT($B354,4)="_Mil","",_xlfn.IFNA(ROUND(INDEX(Spectrum!$N:$N,MATCH(RIGHT($B354,13)&amp;"|"&amp;$C354&amp;"|"&amp;$D354&amp;"|"&amp;AF$14&amp;"|"&amp;"CY2023Q3",Spectrum!$R:$R,0)),0),""))</f>
        <v/>
      </c>
      <c r="AG354" s="88" t="str">
        <f aca="false">IF(OR(LEFT($B354,4)="_Mil",SUM($AD354)=0),"",SUM($AF354)/$AD354)</f>
        <v/>
      </c>
      <c r="AH354" s="86" t="str">
        <f aca="false">IF(LEFT($B354,4)="_Mil","",_xlfn.IFNA(INDEX(Spectrum!$N:$N,MATCH(RIGHT($B354,13)&amp;"|"&amp;$C354&amp;"|"&amp;$D354&amp;"|"&amp;AH$14&amp;"|"&amp;"CY2023Q3",Spectrum!$R:$R,0)),""))</f>
        <v/>
      </c>
      <c r="AI354" s="10" t="str">
        <f aca="false">IF(LEFT($B354,4)="_Mil","",_xlfn.IFNA(ROUND(INDEX(Spectrum!$N:$N,MATCH(RIGHT($B354,13)&amp;"|"&amp;$C354&amp;"|"&amp;$D354&amp;"|"&amp;AI$14&amp;"|"&amp;"CY2023Q3",Spectrum!$R:$R,0)),0),""))</f>
        <v/>
      </c>
      <c r="AJ354" s="39" t="n">
        <f aca="false">IF(LEFT($B354,4)="_Mil","",_xlfn.IFNA(ROUND(INDEX(Spectrum!$N:$N,MATCH(RIGHT($B354,13)&amp;"|"&amp;$C354&amp;"|"&amp;$D354&amp;"|"&amp;AI$14&amp;"|"&amp;"CY2023Q3",Spectrum!$R:$R,0)),0),SUM($U354)+SUM($AI354)))</f>
        <v>0</v>
      </c>
      <c r="AK354" s="10" t="str">
        <f aca="false">IF(LEFT($B354,4)="_Mil","",_xlfn.IFNA(ROUND(INDEX(Spectrum!$N:$N,MATCH(RIGHT($B354,13)&amp;"|"&amp;$C354&amp;"|"&amp;$D354&amp;"|"&amp;AK$14&amp;"|"&amp;"CY2023Q3",Spectrum!$R:$R,0)),0),""))</f>
        <v/>
      </c>
      <c r="AL354" s="88" t="n">
        <f aca="false">IF(OR(LEFT($B354,4)="_Mil",$C354="&lt;01"),"",MAX(SUM($AA354),90%))</f>
        <v>1144</v>
      </c>
      <c r="AM354" s="10" t="n">
        <f aca="false">IF(OR(LEFT($B354,4)="_Mil",$C354="&lt;01"),"",ROUND(SUM($AJ354)*SUM($AL354),0))</f>
        <v>0</v>
      </c>
      <c r="AN354" s="10" t="str">
        <f aca="false">IF($C354="&lt;01",ROUND(INDEX(EID!$P:$P,MATCH($B354,EID!$B:$B,0))/2,0),"")</f>
        <v/>
      </c>
      <c r="AO354" s="10" t="n">
        <f aca="false">IF($C354="&lt;01",SUM($AN354),ROUND(SUM($AM354)*SUM($O354)/IF(SUM($Z354)=0,1,$Z354),0))</f>
        <v>0</v>
      </c>
      <c r="AP354" s="39" t="n">
        <f aca="false">IF(OR($F354="",$C354="&lt;01"),$AO354,$F354)</f>
        <v>0</v>
      </c>
      <c r="AQ354" s="39" t="n">
        <f aca="false">IF(LEFT($B354,4)="_Mil","",IF(SUM($AP354)=0,SUM($Z354),IF(OR(SUM($Z354)=0,SUM($O354)=0),MAX($AP354,$Z354),$AP354*$Z354/$O354)))</f>
        <v>1157</v>
      </c>
      <c r="AR354" s="88" t="str">
        <f aca="false">IF(OR(LEFT($B354,4)="_Mil",SUM($AJ354)=0),"",SUM($AQ354)/$AJ354)</f>
        <v/>
      </c>
      <c r="AS354" s="88" t="n">
        <f aca="false">IF($C354="&lt;01","",98%)</f>
        <v>0.98</v>
      </c>
      <c r="AT354" s="88" t="n">
        <f aca="false">IF($C354="&lt;01","",98%)</f>
        <v>0.98</v>
      </c>
      <c r="AU354" s="10" t="n">
        <f aca="false">IF($C354="&lt;01","",SUM($AP354)-SUM($O354))</f>
        <v>0</v>
      </c>
      <c r="AV354" s="10" t="n">
        <f aca="false">IF($C354="&lt;01",ROUND(INDEX(EID!$N:$N,MATCH($B354,EID!$B:$B,0))/2,0),IF(SUM($AT354)=0,"",ROUND((SUM($AP354)-(SUM($O354)*SUM($AS354)))/$AT354,0)))</f>
        <v>0</v>
      </c>
      <c r="AW354" s="88" t="n">
        <f aca="false">IF($C354="&lt;01","",100%)</f>
        <v>1</v>
      </c>
      <c r="AX354" s="39" t="n">
        <f aca="false">IF($C354="&lt;01",SUM($AV354),ROUND(SUM($AV354)*SUM($AW354),0))</f>
        <v>0</v>
      </c>
      <c r="AY354" s="114" t="n">
        <f aca="false">IF($C354="&lt;01","",70%)</f>
        <v>0.7</v>
      </c>
      <c r="AZ354" s="91" t="n">
        <f aca="false">IF($C354="&lt;01",ROUND(INDEX(EID!$R:$R,MATCH($B354,EID!$B:$B,0))/2,0),ROUND(SUM($O354)+(SUM($AV354)*$AY354),0))</f>
        <v>0</v>
      </c>
      <c r="BA354" s="87" t="n">
        <f aca="false">IF($C354="&lt;01","",95%)</f>
        <v>0.95</v>
      </c>
      <c r="BB354" s="5" t="n">
        <f aca="false">IF($C354="&lt;01",ROUND(INDEX(EID!$T:$T,MATCH($B354,EID!$B:$B,0))/2,0),ROUND($AZ354*$BA354,0))</f>
        <v>0</v>
      </c>
      <c r="BC354" s="91" t="n">
        <f aca="false">IF(LEFT($B354,4)="_Mil","",IF(SUM($BB354)=0,SUM($AD354),IF(OR(SUM($AP354)=0,SUM($AQ354)=0),MAX($BB354,$AD354),ROUND($BB354*$AQ354/$AP354,0))))</f>
        <v>0</v>
      </c>
      <c r="BD354" s="88" t="n">
        <f aca="false">IF($C354="&lt;01","",95%)</f>
        <v>0.95</v>
      </c>
      <c r="BE354" s="39" t="n">
        <f aca="false">IF($C354="&lt;01",ROUND(INDEX(EID!$V:$V,MATCH($B354,EID!$B:$B,0))/2,0),ROUND($BD354*$BB354,0))</f>
        <v>0</v>
      </c>
      <c r="BF354" s="39" t="n">
        <f aca="false">IF(LEFT($B354,4)="_Mil","",IF(SUM($BE354)=0,SUM($AF354),IF(OR(SUM($AP354)=0,SUM($AQ354)=0),MAX($BE354,$AF354),ROUND($BE354*$AQ354/$AP354,0))))</f>
        <v>0</v>
      </c>
      <c r="BG354" s="114" t="n">
        <f aca="false">IF($C354="&lt;01","",95%)</f>
        <v>0.95</v>
      </c>
      <c r="BH354" s="5" t="n">
        <f aca="false">IF($C354="&lt;01",ROUND(INDEX(EID!$L:$L,MATCH($B354,EID!$B:$B,0)),0)/2,IF(SUM($BG354)=0,"",ROUND($AX354/$BG354,0)))</f>
        <v>0</v>
      </c>
    </row>
    <row r="355" customFormat="false" ht="15" hidden="false" customHeight="false" outlineLevel="0" collapsed="false">
      <c r="A355" s="0" t="str">
        <f aca="false">INDEX(Prioritization!$D:$D,MATCH($B355,Prioritization!$A:$A,0))</f>
        <v>INVALID</v>
      </c>
      <c r="B355" s="0" t="s">
        <v>218</v>
      </c>
      <c r="C355" s="0" t="s">
        <v>364</v>
      </c>
      <c r="D355" s="0" t="s">
        <v>30</v>
      </c>
      <c r="E355" s="0" t="str">
        <f aca="false">$B355&amp;"|"&amp;$C355&amp;"|"&amp;$D355</f>
        <v>Neno District [gwVYinjBAe9]|10-14|Female</v>
      </c>
      <c r="F355" s="10"/>
      <c r="G355" s="10" t="n">
        <v>3</v>
      </c>
      <c r="H355" s="10" t="n">
        <v>1</v>
      </c>
      <c r="I355" s="10" t="n">
        <v>64</v>
      </c>
      <c r="J355" s="10" t="n">
        <v>13</v>
      </c>
      <c r="K355" s="10" t="n">
        <v>53</v>
      </c>
      <c r="L355" s="10" t="n">
        <v>1</v>
      </c>
      <c r="M355" s="10" t="n">
        <v>1</v>
      </c>
      <c r="N355" s="10" t="n">
        <v>51</v>
      </c>
      <c r="O355" s="10" t="n">
        <f aca="false">IFERROR(1/(1/MAX($I355,$N355)),"")</f>
        <v>64</v>
      </c>
      <c r="P355" s="10" t="n">
        <v>29</v>
      </c>
      <c r="Q355" s="10" t="n">
        <v>65</v>
      </c>
      <c r="R355" s="10" t="n">
        <f aca="false">IF(AND(SUM($I355)=0,SUM($O355)=0),"",SUM($O355)-$I355)</f>
        <v>0</v>
      </c>
      <c r="S355" s="10" t="n">
        <f aca="false">IF(LEFT($B355,4)="_Mil","",_xlfn.IFNA(ROUND(INDEX(Spectrum!$N:$N,MATCH(RIGHT($B355,13)&amp;"|"&amp;$C355&amp;"|"&amp;$D355&amp;"|"&amp;S$14&amp;"|"&amp;"CY2022Q4",Spectrum!$R:$R,0)),0),""))</f>
        <v>1783</v>
      </c>
      <c r="T355" s="39" t="n">
        <f aca="false">IF(LEFT($B355,4)="_Mil","",_xlfn.IFNA(ROUND(INDEX(Spectrum!$N:$N,MATCH(RIGHT($B355,13)&amp;"|"&amp;$C355&amp;"|"&amp;$D355&amp;"|"&amp;T$14&amp;"|"&amp;"CY2023Q3",Spectrum!$R:$R,0)),0),""))</f>
        <v>1505</v>
      </c>
      <c r="U355" s="39" t="str">
        <f aca="false">IF(LEFT($B355,4)="_Mil","",_xlfn.IFNA(ROUND(INDEX(Spectrum!$N:$N,MATCH(RIGHT($B355,13)&amp;"|"&amp;$C355&amp;"|"&amp;$D355&amp;"|"&amp;U$14&amp;"|"&amp;"CY2023Q3",Spectrum!$R:$R,0)),0),""))</f>
        <v/>
      </c>
      <c r="V355" s="10" t="n">
        <f aca="false">IF(LEFT($B355,4)="_Mil","",_xlfn.IFNA(ROUND(INDEX(Spectrum!$N:$N,MATCH(RIGHT($B355,13)&amp;"|"&amp;$C355&amp;"|"&amp;$D355&amp;"|"&amp;V$14&amp;"|"&amp;"CY2023Q3",Spectrum!$R:$R,0)),0),""))</f>
        <v>1238</v>
      </c>
      <c r="W355" s="113" t="n">
        <f aca="false">IF(LEFT($B355,4)="_Mil","",_xlfn.IFNA(INDEX(Spectrum!$N:$N,MATCH(RIGHT($B355,13)&amp;"|"&amp;$C355&amp;"|"&amp;$D355&amp;"|"&amp;W$14&amp;"|"&amp;"CY2023Q3",Spectrum!$R:$R,0)),""))</f>
        <v>685</v>
      </c>
      <c r="X355" s="39" t="n">
        <f aca="false">IF(LEFT($B355,4)="_Mil","",_xlfn.IFNA(ROUND(INDEX(Spectrum!$N:$N,MATCH(RIGHT($B355,13)&amp;"|"&amp;$C355&amp;"|"&amp;$D355&amp;"|"&amp;X$14&amp;"|"&amp;"CY2023Q3",Spectrum!$R:$R,0)),0),""))</f>
        <v>1469</v>
      </c>
      <c r="Y355" s="88" t="str">
        <f aca="false">IF(OR(SUM($U355)=0,LEFT($B355,4)="_Mil"),"",SUM($X355)/$U355)</f>
        <v/>
      </c>
      <c r="Z355" s="39" t="n">
        <f aca="false">IF(LEFT($B355,4)="_Mil","",_xlfn.IFNA(ROUND(INDEX(Spectrum!$N:$N,MATCH(RIGHT($B355,13)&amp;"|"&amp;$C355&amp;"|"&amp;$D355&amp;"|"&amp;Z$14&amp;"|"&amp;"CY2023Q3",Spectrum!$R:$R,0)),0),""))</f>
        <v>763</v>
      </c>
      <c r="AA355" s="88" t="n">
        <f aca="false">IF(LEFT($B355,4)="_Mil","",IFERROR(1/(1/INDEX(Spectrum!$N:$N,MATCH(RIGHT($B355,13)&amp;"|"&amp;$C355&amp;"|"&amp;$D355&amp;"|"&amp;AA$14&amp;"|"&amp;"CY2023Q3",Spectrum!$R:$R,0))),IF(SUM($U355)=0,"",SUM($Z355)/$U355)))</f>
        <v>574</v>
      </c>
      <c r="AB355" s="88" t="n">
        <f aca="false">IF(OR(LEFT($B355,4)="_Mil",SUM($X355)=0),"",SUM($Z355)/$X355)</f>
        <v>0.519400953029272</v>
      </c>
      <c r="AC355" s="10" t="n">
        <f aca="false">IF(LEFT($B355,4)="_Mil","",_xlfn.IFNA(ROUND(INDEX(Spectrum!$N:$N,MATCH(RIGHT($B355,13)&amp;"|"&amp;$C355&amp;"|"&amp;$D355&amp;"|"&amp;AC$14&amp;"|"&amp;"CY2023Q3",Spectrum!$R:$R,0)),0),""))</f>
        <v>1674</v>
      </c>
      <c r="AD355" s="10" t="str">
        <f aca="false">IF(LEFT($B355,4)="_Mil","",_xlfn.IFNA(ROUND(INDEX(Spectrum!$N:$N,MATCH(RIGHT($B355,13)&amp;"|"&amp;$C355&amp;"|"&amp;$D355&amp;"|"&amp;AD$14&amp;"|"&amp;"CY2023Q3",Spectrum!$R:$R,0)),0),""))</f>
        <v/>
      </c>
      <c r="AE355" s="88" t="n">
        <f aca="false">IF(OR(LEFT($B355,4)="_Mil",SUM($Z355)=0),"",SUM($AD355)/$Z355)</f>
        <v>0</v>
      </c>
      <c r="AF355" s="39" t="str">
        <f aca="false">IF(LEFT($B355,4)="_Mil","",_xlfn.IFNA(ROUND(INDEX(Spectrum!$N:$N,MATCH(RIGHT($B355,13)&amp;"|"&amp;$C355&amp;"|"&amp;$D355&amp;"|"&amp;AF$14&amp;"|"&amp;"CY2023Q3",Spectrum!$R:$R,0)),0),""))</f>
        <v/>
      </c>
      <c r="AG355" s="88" t="str">
        <f aca="false">IF(OR(LEFT($B355,4)="_Mil",SUM($AD355)=0),"",SUM($AF355)/$AD355)</f>
        <v/>
      </c>
      <c r="AH355" s="86" t="str">
        <f aca="false">IF(LEFT($B355,4)="_Mil","",_xlfn.IFNA(INDEX(Spectrum!$N:$N,MATCH(RIGHT($B355,13)&amp;"|"&amp;$C355&amp;"|"&amp;$D355&amp;"|"&amp;AH$14&amp;"|"&amp;"CY2023Q3",Spectrum!$R:$R,0)),""))</f>
        <v/>
      </c>
      <c r="AI355" s="10" t="str">
        <f aca="false">IF(LEFT($B355,4)="_Mil","",_xlfn.IFNA(ROUND(INDEX(Spectrum!$N:$N,MATCH(RIGHT($B355,13)&amp;"|"&amp;$C355&amp;"|"&amp;$D355&amp;"|"&amp;AI$14&amp;"|"&amp;"CY2023Q3",Spectrum!$R:$R,0)),0),""))</f>
        <v/>
      </c>
      <c r="AJ355" s="39" t="n">
        <f aca="false">IF(LEFT($B355,4)="_Mil","",_xlfn.IFNA(ROUND(INDEX(Spectrum!$N:$N,MATCH(RIGHT($B355,13)&amp;"|"&amp;$C355&amp;"|"&amp;$D355&amp;"|"&amp;AI$14&amp;"|"&amp;"CY2023Q3",Spectrum!$R:$R,0)),0),SUM($U355)+SUM($AI355)))</f>
        <v>0</v>
      </c>
      <c r="AK355" s="10" t="str">
        <f aca="false">IF(LEFT($B355,4)="_Mil","",_xlfn.IFNA(ROUND(INDEX(Spectrum!$N:$N,MATCH(RIGHT($B355,13)&amp;"|"&amp;$C355&amp;"|"&amp;$D355&amp;"|"&amp;AK$14&amp;"|"&amp;"CY2023Q3",Spectrum!$R:$R,0)),0),""))</f>
        <v/>
      </c>
      <c r="AL355" s="88" t="n">
        <f aca="false">IF(OR(LEFT($B355,4)="_Mil",$C355="&lt;01"),"",MAX(SUM($AA355),90%))</f>
        <v>574</v>
      </c>
      <c r="AM355" s="10" t="n">
        <f aca="false">IF(OR(LEFT($B355,4)="_Mil",$C355="&lt;01"),"",ROUND(SUM($AJ355)*SUM($AL355),0))</f>
        <v>0</v>
      </c>
      <c r="AN355" s="10" t="str">
        <f aca="false">IF($C355="&lt;01",ROUND(INDEX(EID!$P:$P,MATCH($B355,EID!$B:$B,0))/2,0),"")</f>
        <v/>
      </c>
      <c r="AO355" s="10" t="n">
        <f aca="false">IF($C355="&lt;01",SUM($AN355),ROUND(SUM($AM355)*SUM($O355)/IF(SUM($Z355)=0,1,$Z355),0))</f>
        <v>0</v>
      </c>
      <c r="AP355" s="39" t="n">
        <f aca="false">IF(OR($F355="",$C355="&lt;01"),$AO355,$F355)</f>
        <v>0</v>
      </c>
      <c r="AQ355" s="39" t="n">
        <f aca="false">IF(LEFT($B355,4)="_Mil","",IF(SUM($AP355)=0,SUM($Z355),IF(OR(SUM($Z355)=0,SUM($O355)=0),MAX($AP355,$Z355),$AP355*$Z355/$O355)))</f>
        <v>763</v>
      </c>
      <c r="AR355" s="88" t="str">
        <f aca="false">IF(OR(LEFT($B355,4)="_Mil",SUM($AJ355)=0),"",SUM($AQ355)/$AJ355)</f>
        <v/>
      </c>
      <c r="AS355" s="88" t="n">
        <f aca="false">IF($C355="&lt;01","",98%)</f>
        <v>0.98</v>
      </c>
      <c r="AT355" s="88" t="n">
        <f aca="false">IF($C355="&lt;01","",98%)</f>
        <v>0.98</v>
      </c>
      <c r="AU355" s="10" t="n">
        <f aca="false">IF($C355="&lt;01","",SUM($AP355)-SUM($O355))</f>
        <v>-64</v>
      </c>
      <c r="AV355" s="10" t="n">
        <f aca="false">IF($C355="&lt;01",ROUND(INDEX(EID!$N:$N,MATCH($B355,EID!$B:$B,0))/2,0),IF(SUM($AT355)=0,"",ROUND((SUM($AP355)-(SUM($O355)*SUM($AS355)))/$AT355,0)))</f>
        <v>-64</v>
      </c>
      <c r="AW355" s="88" t="n">
        <f aca="false">IF($C355="&lt;01","",100%)</f>
        <v>1</v>
      </c>
      <c r="AX355" s="39" t="n">
        <f aca="false">IF($C355="&lt;01",SUM($AV355),ROUND(SUM($AV355)*SUM($AW355),0))</f>
        <v>-64</v>
      </c>
      <c r="AY355" s="114" t="n">
        <f aca="false">IF($C355="&lt;01","",70%)</f>
        <v>0.7</v>
      </c>
      <c r="AZ355" s="91" t="n">
        <f aca="false">IF($C355="&lt;01",ROUND(INDEX(EID!$R:$R,MATCH($B355,EID!$B:$B,0))/2,0),ROUND(SUM($O355)+(SUM($AV355)*$AY355),0))</f>
        <v>19</v>
      </c>
      <c r="BA355" s="87" t="n">
        <f aca="false">IF($C355="&lt;01","",95%)</f>
        <v>0.95</v>
      </c>
      <c r="BB355" s="5" t="n">
        <f aca="false">IF($C355="&lt;01",ROUND(INDEX(EID!$T:$T,MATCH($B355,EID!$B:$B,0))/2,0),ROUND($AZ355*$BA355,0))</f>
        <v>18</v>
      </c>
      <c r="BC355" s="91" t="n">
        <f aca="false">IF(LEFT($B355,4)="_Mil","",IF(SUM($BB355)=0,SUM($AD355),IF(OR(SUM($AP355)=0,SUM($AQ355)=0),MAX($BB355,$AD355),ROUND($BB355*$AQ355/$AP355,0))))</f>
        <v>18</v>
      </c>
      <c r="BD355" s="88" t="n">
        <f aca="false">IF($C355="&lt;01","",95%)</f>
        <v>0.95</v>
      </c>
      <c r="BE355" s="39" t="n">
        <f aca="false">IF($C355="&lt;01",ROUND(INDEX(EID!$V:$V,MATCH($B355,EID!$B:$B,0))/2,0),ROUND($BD355*$BB355,0))</f>
        <v>17</v>
      </c>
      <c r="BF355" s="39" t="n">
        <f aca="false">IF(LEFT($B355,4)="_Mil","",IF(SUM($BE355)=0,SUM($AF355),IF(OR(SUM($AP355)=0,SUM($AQ355)=0),MAX($BE355,$AF355),ROUND($BE355*$AQ355/$AP355,0))))</f>
        <v>17</v>
      </c>
      <c r="BG355" s="114" t="n">
        <f aca="false">IF($C355="&lt;01","",95%)</f>
        <v>0.95</v>
      </c>
      <c r="BH355" s="5" t="n">
        <f aca="false">IF($C355="&lt;01",ROUND(INDEX(EID!$L:$L,MATCH($B355,EID!$B:$B,0)),0)/2,IF(SUM($BG355)=0,"",ROUND($AX355/$BG355,0)))</f>
        <v>-67</v>
      </c>
    </row>
    <row r="356" customFormat="false" ht="15" hidden="false" customHeight="false" outlineLevel="0" collapsed="false">
      <c r="A356" s="0" t="str">
        <f aca="false">INDEX(Prioritization!$D:$D,MATCH($B356,Prioritization!$A:$A,0))</f>
        <v>INVALID</v>
      </c>
      <c r="B356" s="0" t="s">
        <v>218</v>
      </c>
      <c r="C356" s="0" t="s">
        <v>364</v>
      </c>
      <c r="D356" s="0" t="s">
        <v>48</v>
      </c>
      <c r="E356" s="0" t="str">
        <f aca="false">$B356&amp;"|"&amp;$C356&amp;"|"&amp;$D356</f>
        <v>Neno District [gwVYinjBAe9]|10-14|Male</v>
      </c>
      <c r="F356" s="10"/>
      <c r="G356" s="10" t="n">
        <v>4</v>
      </c>
      <c r="H356" s="10" t="n">
        <v>0</v>
      </c>
      <c r="I356" s="10" t="n">
        <v>66</v>
      </c>
      <c r="J356" s="10" t="n">
        <v>32</v>
      </c>
      <c r="K356" s="10" t="n">
        <v>3</v>
      </c>
      <c r="L356" s="10"/>
      <c r="M356" s="10"/>
      <c r="N356" s="10" t="n">
        <v>89</v>
      </c>
      <c r="O356" s="10" t="n">
        <f aca="false">IFERROR(1/(1/MAX($I356,$N356)),"")</f>
        <v>89</v>
      </c>
      <c r="P356" s="10" t="n">
        <v>97</v>
      </c>
      <c r="Q356" s="10" t="n">
        <v>11</v>
      </c>
      <c r="R356" s="10" t="n">
        <f aca="false">IF(AND(SUM($I356)=0,SUM($O356)=0),"",SUM($O356)-$I356)</f>
        <v>23</v>
      </c>
      <c r="S356" s="10" t="n">
        <f aca="false">IF(LEFT($B356,4)="_Mil","",_xlfn.IFNA(ROUND(INDEX(Spectrum!$N:$N,MATCH(RIGHT($B356,13)&amp;"|"&amp;$C356&amp;"|"&amp;$D356&amp;"|"&amp;S$14&amp;"|"&amp;"CY2022Q4",Spectrum!$R:$R,0)),0),""))</f>
        <v>1551</v>
      </c>
      <c r="T356" s="39" t="n">
        <f aca="false">IF(LEFT($B356,4)="_Mil","",_xlfn.IFNA(ROUND(INDEX(Spectrum!$N:$N,MATCH(RIGHT($B356,13)&amp;"|"&amp;$C356&amp;"|"&amp;$D356&amp;"|"&amp;T$14&amp;"|"&amp;"CY2023Q3",Spectrum!$R:$R,0)),0),""))</f>
        <v>1960</v>
      </c>
      <c r="U356" s="39" t="str">
        <f aca="false">IF(LEFT($B356,4)="_Mil","",_xlfn.IFNA(ROUND(INDEX(Spectrum!$N:$N,MATCH(RIGHT($B356,13)&amp;"|"&amp;$C356&amp;"|"&amp;$D356&amp;"|"&amp;U$14&amp;"|"&amp;"CY2023Q3",Spectrum!$R:$R,0)),0),""))</f>
        <v/>
      </c>
      <c r="V356" s="10" t="n">
        <f aca="false">IF(LEFT($B356,4)="_Mil","",_xlfn.IFNA(ROUND(INDEX(Spectrum!$N:$N,MATCH(RIGHT($B356,13)&amp;"|"&amp;$C356&amp;"|"&amp;$D356&amp;"|"&amp;V$14&amp;"|"&amp;"CY2023Q3",Spectrum!$R:$R,0)),0),""))</f>
        <v>976</v>
      </c>
      <c r="W356" s="113" t="n">
        <f aca="false">IF(LEFT($B356,4)="_Mil","",_xlfn.IFNA(INDEX(Spectrum!$N:$N,MATCH(RIGHT($B356,13)&amp;"|"&amp;$C356&amp;"|"&amp;$D356&amp;"|"&amp;W$14&amp;"|"&amp;"CY2023Q3",Spectrum!$R:$R,0)),""))</f>
        <v>1679</v>
      </c>
      <c r="X356" s="39" t="n">
        <f aca="false">IF(LEFT($B356,4)="_Mil","",_xlfn.IFNA(ROUND(INDEX(Spectrum!$N:$N,MATCH(RIGHT($B356,13)&amp;"|"&amp;$C356&amp;"|"&amp;$D356&amp;"|"&amp;X$14&amp;"|"&amp;"CY2023Q3",Spectrum!$R:$R,0)),0),""))</f>
        <v>1294</v>
      </c>
      <c r="Y356" s="88" t="str">
        <f aca="false">IF(OR(SUM($U356)=0,LEFT($B356,4)="_Mil"),"",SUM($X356)/$U356)</f>
        <v/>
      </c>
      <c r="Z356" s="39" t="n">
        <f aca="false">IF(LEFT($B356,4)="_Mil","",_xlfn.IFNA(ROUND(INDEX(Spectrum!$N:$N,MATCH(RIGHT($B356,13)&amp;"|"&amp;$C356&amp;"|"&amp;$D356&amp;"|"&amp;Z$14&amp;"|"&amp;"CY2023Q3",Spectrum!$R:$R,0)),0),""))</f>
        <v>1908</v>
      </c>
      <c r="AA356" s="88" t="n">
        <f aca="false">IF(LEFT($B356,4)="_Mil","",IFERROR(1/(1/INDEX(Spectrum!$N:$N,MATCH(RIGHT($B356,13)&amp;"|"&amp;$C356&amp;"|"&amp;$D356&amp;"|"&amp;AA$14&amp;"|"&amp;"CY2023Q3",Spectrum!$R:$R,0))),IF(SUM($U356)=0,"",SUM($Z356)/$U356)))</f>
        <v>1598</v>
      </c>
      <c r="AB356" s="88" t="n">
        <f aca="false">IF(OR(LEFT($B356,4)="_Mil",SUM($X356)=0),"",SUM($Z356)/$X356)</f>
        <v>1.47449768160742</v>
      </c>
      <c r="AC356" s="10" t="n">
        <f aca="false">IF(LEFT($B356,4)="_Mil","",_xlfn.IFNA(ROUND(INDEX(Spectrum!$N:$N,MATCH(RIGHT($B356,13)&amp;"|"&amp;$C356&amp;"|"&amp;$D356&amp;"|"&amp;AC$14&amp;"|"&amp;"CY2023Q3",Spectrum!$R:$R,0)),0),""))</f>
        <v>1492</v>
      </c>
      <c r="AD356" s="10" t="str">
        <f aca="false">IF(LEFT($B356,4)="_Mil","",_xlfn.IFNA(ROUND(INDEX(Spectrum!$N:$N,MATCH(RIGHT($B356,13)&amp;"|"&amp;$C356&amp;"|"&amp;$D356&amp;"|"&amp;AD$14&amp;"|"&amp;"CY2023Q3",Spectrum!$R:$R,0)),0),""))</f>
        <v/>
      </c>
      <c r="AE356" s="88" t="n">
        <f aca="false">IF(OR(LEFT($B356,4)="_Mil",SUM($Z356)=0),"",SUM($AD356)/$Z356)</f>
        <v>0</v>
      </c>
      <c r="AF356" s="39" t="str">
        <f aca="false">IF(LEFT($B356,4)="_Mil","",_xlfn.IFNA(ROUND(INDEX(Spectrum!$N:$N,MATCH(RIGHT($B356,13)&amp;"|"&amp;$C356&amp;"|"&amp;$D356&amp;"|"&amp;AF$14&amp;"|"&amp;"CY2023Q3",Spectrum!$R:$R,0)),0),""))</f>
        <v/>
      </c>
      <c r="AG356" s="88" t="str">
        <f aca="false">IF(OR(LEFT($B356,4)="_Mil",SUM($AD356)=0),"",SUM($AF356)/$AD356)</f>
        <v/>
      </c>
      <c r="AH356" s="86" t="str">
        <f aca="false">IF(LEFT($B356,4)="_Mil","",_xlfn.IFNA(INDEX(Spectrum!$N:$N,MATCH(RIGHT($B356,13)&amp;"|"&amp;$C356&amp;"|"&amp;$D356&amp;"|"&amp;AH$14&amp;"|"&amp;"CY2023Q3",Spectrum!$R:$R,0)),""))</f>
        <v/>
      </c>
      <c r="AI356" s="10" t="str">
        <f aca="false">IF(LEFT($B356,4)="_Mil","",_xlfn.IFNA(ROUND(INDEX(Spectrum!$N:$N,MATCH(RIGHT($B356,13)&amp;"|"&amp;$C356&amp;"|"&amp;$D356&amp;"|"&amp;AI$14&amp;"|"&amp;"CY2023Q3",Spectrum!$R:$R,0)),0),""))</f>
        <v/>
      </c>
      <c r="AJ356" s="39" t="n">
        <f aca="false">IF(LEFT($B356,4)="_Mil","",_xlfn.IFNA(ROUND(INDEX(Spectrum!$N:$N,MATCH(RIGHT($B356,13)&amp;"|"&amp;$C356&amp;"|"&amp;$D356&amp;"|"&amp;AI$14&amp;"|"&amp;"CY2023Q3",Spectrum!$R:$R,0)),0),SUM($U356)+SUM($AI356)))</f>
        <v>0</v>
      </c>
      <c r="AK356" s="10" t="str">
        <f aca="false">IF(LEFT($B356,4)="_Mil","",_xlfn.IFNA(ROUND(INDEX(Spectrum!$N:$N,MATCH(RIGHT($B356,13)&amp;"|"&amp;$C356&amp;"|"&amp;$D356&amp;"|"&amp;AK$14&amp;"|"&amp;"CY2023Q3",Spectrum!$R:$R,0)),0),""))</f>
        <v/>
      </c>
      <c r="AL356" s="88" t="n">
        <f aca="false">IF(OR(LEFT($B356,4)="_Mil",$C356="&lt;01"),"",MAX(SUM($AA356),90%))</f>
        <v>1598</v>
      </c>
      <c r="AM356" s="10" t="n">
        <f aca="false">IF(OR(LEFT($B356,4)="_Mil",$C356="&lt;01"),"",ROUND(SUM($AJ356)*SUM($AL356),0))</f>
        <v>0</v>
      </c>
      <c r="AN356" s="10" t="str">
        <f aca="false">IF($C356="&lt;01",ROUND(INDEX(EID!$P:$P,MATCH($B356,EID!$B:$B,0))/2,0),"")</f>
        <v/>
      </c>
      <c r="AO356" s="10" t="n">
        <f aca="false">IF($C356="&lt;01",SUM($AN356),ROUND(SUM($AM356)*SUM($O356)/IF(SUM($Z356)=0,1,$Z356),0))</f>
        <v>0</v>
      </c>
      <c r="AP356" s="39" t="n">
        <f aca="false">IF(OR($F356="",$C356="&lt;01"),$AO356,$F356)</f>
        <v>0</v>
      </c>
      <c r="AQ356" s="39" t="n">
        <f aca="false">IF(LEFT($B356,4)="_Mil","",IF(SUM($AP356)=0,SUM($Z356),IF(OR(SUM($Z356)=0,SUM($O356)=0),MAX($AP356,$Z356),$AP356*$Z356/$O356)))</f>
        <v>1908</v>
      </c>
      <c r="AR356" s="88" t="str">
        <f aca="false">IF(OR(LEFT($B356,4)="_Mil",SUM($AJ356)=0),"",SUM($AQ356)/$AJ356)</f>
        <v/>
      </c>
      <c r="AS356" s="88" t="n">
        <f aca="false">IF($C356="&lt;01","",98%)</f>
        <v>0.98</v>
      </c>
      <c r="AT356" s="88" t="n">
        <f aca="false">IF($C356="&lt;01","",98%)</f>
        <v>0.98</v>
      </c>
      <c r="AU356" s="10" t="n">
        <f aca="false">IF($C356="&lt;01","",SUM($AP356)-SUM($O356))</f>
        <v>-89</v>
      </c>
      <c r="AV356" s="10" t="n">
        <f aca="false">IF($C356="&lt;01",ROUND(INDEX(EID!$N:$N,MATCH($B356,EID!$B:$B,0))/2,0),IF(SUM($AT356)=0,"",ROUND((SUM($AP356)-(SUM($O356)*SUM($AS356)))/$AT356,0)))</f>
        <v>-89</v>
      </c>
      <c r="AW356" s="88" t="n">
        <f aca="false">IF($C356="&lt;01","",100%)</f>
        <v>1</v>
      </c>
      <c r="AX356" s="39" t="n">
        <f aca="false">IF($C356="&lt;01",SUM($AV356),ROUND(SUM($AV356)*SUM($AW356),0))</f>
        <v>-89</v>
      </c>
      <c r="AY356" s="114" t="n">
        <f aca="false">IF($C356="&lt;01","",70%)</f>
        <v>0.7</v>
      </c>
      <c r="AZ356" s="91" t="n">
        <f aca="false">IF($C356="&lt;01",ROUND(INDEX(EID!$R:$R,MATCH($B356,EID!$B:$B,0))/2,0),ROUND(SUM($O356)+(SUM($AV356)*$AY356),0))</f>
        <v>27</v>
      </c>
      <c r="BA356" s="87" t="n">
        <f aca="false">IF($C356="&lt;01","",95%)</f>
        <v>0.95</v>
      </c>
      <c r="BB356" s="5" t="n">
        <f aca="false">IF($C356="&lt;01",ROUND(INDEX(EID!$T:$T,MATCH($B356,EID!$B:$B,0))/2,0),ROUND($AZ356*$BA356,0))</f>
        <v>26</v>
      </c>
      <c r="BC356" s="91" t="n">
        <f aca="false">IF(LEFT($B356,4)="_Mil","",IF(SUM($BB356)=0,SUM($AD356),IF(OR(SUM($AP356)=0,SUM($AQ356)=0),MAX($BB356,$AD356),ROUND($BB356*$AQ356/$AP356,0))))</f>
        <v>26</v>
      </c>
      <c r="BD356" s="88" t="n">
        <f aca="false">IF($C356="&lt;01","",95%)</f>
        <v>0.95</v>
      </c>
      <c r="BE356" s="39" t="n">
        <f aca="false">IF($C356="&lt;01",ROUND(INDEX(EID!$V:$V,MATCH($B356,EID!$B:$B,0))/2,0),ROUND($BD356*$BB356,0))</f>
        <v>25</v>
      </c>
      <c r="BF356" s="39" t="n">
        <f aca="false">IF(LEFT($B356,4)="_Mil","",IF(SUM($BE356)=0,SUM($AF356),IF(OR(SUM($AP356)=0,SUM($AQ356)=0),MAX($BE356,$AF356),ROUND($BE356*$AQ356/$AP356,0))))</f>
        <v>25</v>
      </c>
      <c r="BG356" s="114" t="n">
        <f aca="false">IF($C356="&lt;01","",95%)</f>
        <v>0.95</v>
      </c>
      <c r="BH356" s="5" t="n">
        <f aca="false">IF($C356="&lt;01",ROUND(INDEX(EID!$L:$L,MATCH($B356,EID!$B:$B,0)),0)/2,IF(SUM($BG356)=0,"",ROUND($AX356/$BG356,0)))</f>
        <v>-94</v>
      </c>
    </row>
    <row r="357" customFormat="false" ht="15" hidden="false" customHeight="false" outlineLevel="0" collapsed="false">
      <c r="A357" s="0" t="str">
        <f aca="false">INDEX(Prioritization!$D:$D,MATCH($B357,Prioritization!$A:$A,0))</f>
        <v>INVALID</v>
      </c>
      <c r="B357" s="0" t="s">
        <v>218</v>
      </c>
      <c r="C357" s="0" t="s">
        <v>365</v>
      </c>
      <c r="D357" s="0" t="s">
        <v>30</v>
      </c>
      <c r="E357" s="0" t="str">
        <f aca="false">$B357&amp;"|"&amp;$C357&amp;"|"&amp;$D357</f>
        <v>Neno District [gwVYinjBAe9]|15-24|Female</v>
      </c>
      <c r="F357" s="10"/>
      <c r="G357" s="10"/>
      <c r="H357" s="10"/>
      <c r="I357" s="10"/>
      <c r="J357" s="10"/>
      <c r="K357" s="10"/>
      <c r="L357" s="10"/>
      <c r="M357" s="10"/>
      <c r="N357" s="10"/>
      <c r="O357" s="10" t="str">
        <f aca="false">IFERROR(1/(1/MAX($I357,$N357)),"")</f>
        <v/>
      </c>
      <c r="P357" s="10"/>
      <c r="Q357" s="10"/>
      <c r="R357" s="10" t="str">
        <f aca="false">IF(AND(SUM($I357)=0,SUM($O357)=0),"",SUM($O357)-$I357)</f>
        <v/>
      </c>
      <c r="S357" s="10" t="n">
        <f aca="false">IF(LEFT($B357,4)="_Mil","",_xlfn.IFNA(ROUND(INDEX(Spectrum!$N:$N,MATCH(RIGHT($B357,13)&amp;"|"&amp;$C357&amp;"|"&amp;$D357&amp;"|"&amp;S$14&amp;"|"&amp;"CY2022Q4",Spectrum!$R:$R,0)),0),""))</f>
        <v>626</v>
      </c>
      <c r="T357" s="39" t="n">
        <f aca="false">IF(LEFT($B357,4)="_Mil","",_xlfn.IFNA(ROUND(INDEX(Spectrum!$N:$N,MATCH(RIGHT($B357,13)&amp;"|"&amp;$C357&amp;"|"&amp;$D357&amp;"|"&amp;T$14&amp;"|"&amp;"CY2023Q3",Spectrum!$R:$R,0)),0),""))</f>
        <v>1886</v>
      </c>
      <c r="U357" s="39" t="str">
        <f aca="false">IF(LEFT($B357,4)="_Mil","",_xlfn.IFNA(ROUND(INDEX(Spectrum!$N:$N,MATCH(RIGHT($B357,13)&amp;"|"&amp;$C357&amp;"|"&amp;$D357&amp;"|"&amp;U$14&amp;"|"&amp;"CY2023Q3",Spectrum!$R:$R,0)),0),""))</f>
        <v/>
      </c>
      <c r="V357" s="10" t="n">
        <f aca="false">IF(LEFT($B357,4)="_Mil","",_xlfn.IFNA(ROUND(INDEX(Spectrum!$N:$N,MATCH(RIGHT($B357,13)&amp;"|"&amp;$C357&amp;"|"&amp;$D357&amp;"|"&amp;V$14&amp;"|"&amp;"CY2023Q3",Spectrum!$R:$R,0)),0),""))</f>
        <v>1560</v>
      </c>
      <c r="W357" s="113" t="n">
        <f aca="false">IF(LEFT($B357,4)="_Mil","",_xlfn.IFNA(INDEX(Spectrum!$N:$N,MATCH(RIGHT($B357,13)&amp;"|"&amp;$C357&amp;"|"&amp;$D357&amp;"|"&amp;W$14&amp;"|"&amp;"CY2023Q3",Spectrum!$R:$R,0)),""))</f>
        <v>1166</v>
      </c>
      <c r="X357" s="39" t="n">
        <f aca="false">IF(LEFT($B357,4)="_Mil","",_xlfn.IFNA(ROUND(INDEX(Spectrum!$N:$N,MATCH(RIGHT($B357,13)&amp;"|"&amp;$C357&amp;"|"&amp;$D357&amp;"|"&amp;X$14&amp;"|"&amp;"CY2023Q3",Spectrum!$R:$R,0)),0),""))</f>
        <v>613</v>
      </c>
      <c r="Y357" s="88" t="str">
        <f aca="false">IF(OR(SUM($U357)=0,LEFT($B357,4)="_Mil"),"",SUM($X357)/$U357)</f>
        <v/>
      </c>
      <c r="Z357" s="39" t="n">
        <f aca="false">IF(LEFT($B357,4)="_Mil","",_xlfn.IFNA(ROUND(INDEX(Spectrum!$N:$N,MATCH(RIGHT($B357,13)&amp;"|"&amp;$C357&amp;"|"&amp;$D357&amp;"|"&amp;Z$14&amp;"|"&amp;"CY2023Q3",Spectrum!$R:$R,0)),0),""))</f>
        <v>1980</v>
      </c>
      <c r="AA357" s="88" t="n">
        <f aca="false">IF(LEFT($B357,4)="_Mil","",IFERROR(1/(1/INDEX(Spectrum!$N:$N,MATCH(RIGHT($B357,13)&amp;"|"&amp;$C357&amp;"|"&amp;$D357&amp;"|"&amp;AA$14&amp;"|"&amp;"CY2023Q3",Spectrum!$R:$R,0))),IF(SUM($U357)=0,"",SUM($Z357)/$U357)))</f>
        <v>1569</v>
      </c>
      <c r="AB357" s="88" t="n">
        <f aca="false">IF(OR(LEFT($B357,4)="_Mil",SUM($X357)=0),"",SUM($Z357)/$X357)</f>
        <v>3.2300163132137</v>
      </c>
      <c r="AC357" s="10" t="n">
        <f aca="false">IF(LEFT($B357,4)="_Mil","",_xlfn.IFNA(ROUND(INDEX(Spectrum!$N:$N,MATCH(RIGHT($B357,13)&amp;"|"&amp;$C357&amp;"|"&amp;$D357&amp;"|"&amp;AC$14&amp;"|"&amp;"CY2023Q3",Spectrum!$R:$R,0)),0),""))</f>
        <v>1569</v>
      </c>
      <c r="AD357" s="10" t="str">
        <f aca="false">IF(LEFT($B357,4)="_Mil","",_xlfn.IFNA(ROUND(INDEX(Spectrum!$N:$N,MATCH(RIGHT($B357,13)&amp;"|"&amp;$C357&amp;"|"&amp;$D357&amp;"|"&amp;AD$14&amp;"|"&amp;"CY2023Q3",Spectrum!$R:$R,0)),0),""))</f>
        <v/>
      </c>
      <c r="AE357" s="88" t="n">
        <f aca="false">IF(OR(LEFT($B357,4)="_Mil",SUM($Z357)=0),"",SUM($AD357)/$Z357)</f>
        <v>0</v>
      </c>
      <c r="AF357" s="39" t="str">
        <f aca="false">IF(LEFT($B357,4)="_Mil","",_xlfn.IFNA(ROUND(INDEX(Spectrum!$N:$N,MATCH(RIGHT($B357,13)&amp;"|"&amp;$C357&amp;"|"&amp;$D357&amp;"|"&amp;AF$14&amp;"|"&amp;"CY2023Q3",Spectrum!$R:$R,0)),0),""))</f>
        <v/>
      </c>
      <c r="AG357" s="88" t="str">
        <f aca="false">IF(OR(LEFT($B357,4)="_Mil",SUM($AD357)=0),"",SUM($AF357)/$AD357)</f>
        <v/>
      </c>
      <c r="AH357" s="86" t="str">
        <f aca="false">IF(LEFT($B357,4)="_Mil","",_xlfn.IFNA(INDEX(Spectrum!$N:$N,MATCH(RIGHT($B357,13)&amp;"|"&amp;$C357&amp;"|"&amp;$D357&amp;"|"&amp;AH$14&amp;"|"&amp;"CY2023Q3",Spectrum!$R:$R,0)),""))</f>
        <v/>
      </c>
      <c r="AI357" s="10" t="str">
        <f aca="false">IF(LEFT($B357,4)="_Mil","",_xlfn.IFNA(ROUND(INDEX(Spectrum!$N:$N,MATCH(RIGHT($B357,13)&amp;"|"&amp;$C357&amp;"|"&amp;$D357&amp;"|"&amp;AI$14&amp;"|"&amp;"CY2023Q3",Spectrum!$R:$R,0)),0),""))</f>
        <v/>
      </c>
      <c r="AJ357" s="39" t="n">
        <f aca="false">IF(LEFT($B357,4)="_Mil","",_xlfn.IFNA(ROUND(INDEX(Spectrum!$N:$N,MATCH(RIGHT($B357,13)&amp;"|"&amp;$C357&amp;"|"&amp;$D357&amp;"|"&amp;AI$14&amp;"|"&amp;"CY2023Q3",Spectrum!$R:$R,0)),0),SUM($U357)+SUM($AI357)))</f>
        <v>0</v>
      </c>
      <c r="AK357" s="10" t="str">
        <f aca="false">IF(LEFT($B357,4)="_Mil","",_xlfn.IFNA(ROUND(INDEX(Spectrum!$N:$N,MATCH(RIGHT($B357,13)&amp;"|"&amp;$C357&amp;"|"&amp;$D357&amp;"|"&amp;AK$14&amp;"|"&amp;"CY2023Q3",Spectrum!$R:$R,0)),0),""))</f>
        <v/>
      </c>
      <c r="AL357" s="88" t="n">
        <f aca="false">IF(OR(LEFT($B357,4)="_Mil",$C357="&lt;01"),"",MAX(SUM($AA357),90%))</f>
        <v>1569</v>
      </c>
      <c r="AM357" s="10" t="n">
        <f aca="false">IF(OR(LEFT($B357,4)="_Mil",$C357="&lt;01"),"",ROUND(SUM($AJ357)*SUM($AL357),0))</f>
        <v>0</v>
      </c>
      <c r="AN357" s="10" t="str">
        <f aca="false">IF($C357="&lt;01",ROUND(INDEX(EID!$P:$P,MATCH($B357,EID!$B:$B,0))/2,0),"")</f>
        <v/>
      </c>
      <c r="AO357" s="10" t="n">
        <f aca="false">IF($C357="&lt;01",SUM($AN357),ROUND(SUM($AM357)*SUM($O357)/IF(SUM($Z357)=0,1,$Z357),0))</f>
        <v>0</v>
      </c>
      <c r="AP357" s="39" t="n">
        <f aca="false">IF(OR($F357="",$C357="&lt;01"),$AO357,$F357)</f>
        <v>0</v>
      </c>
      <c r="AQ357" s="39" t="n">
        <f aca="false">IF(LEFT($B357,4)="_Mil","",IF(SUM($AP357)=0,SUM($Z357),IF(OR(SUM($Z357)=0,SUM($O357)=0),MAX($AP357,$Z357),$AP357*$Z357/$O357)))</f>
        <v>1980</v>
      </c>
      <c r="AR357" s="88" t="str">
        <f aca="false">IF(OR(LEFT($B357,4)="_Mil",SUM($AJ357)=0),"",SUM($AQ357)/$AJ357)</f>
        <v/>
      </c>
      <c r="AS357" s="88" t="n">
        <f aca="false">IF($C357="&lt;01","",98%)</f>
        <v>0.98</v>
      </c>
      <c r="AT357" s="88" t="n">
        <f aca="false">IF($C357="&lt;01","",98%)</f>
        <v>0.98</v>
      </c>
      <c r="AU357" s="10" t="n">
        <f aca="false">IF($C357="&lt;01","",SUM($AP357)-SUM($O357))</f>
        <v>0</v>
      </c>
      <c r="AV357" s="10" t="n">
        <f aca="false">IF($C357="&lt;01",ROUND(INDEX(EID!$N:$N,MATCH($B357,EID!$B:$B,0))/2,0),IF(SUM($AT357)=0,"",ROUND((SUM($AP357)-(SUM($O357)*SUM($AS357)))/$AT357,0)))</f>
        <v>0</v>
      </c>
      <c r="AW357" s="88" t="n">
        <f aca="false">IF($C357="&lt;01","",100%)</f>
        <v>1</v>
      </c>
      <c r="AX357" s="39" t="n">
        <f aca="false">IF($C357="&lt;01",SUM($AV357),ROUND(SUM($AV357)*SUM($AW357),0))</f>
        <v>0</v>
      </c>
      <c r="AY357" s="114" t="n">
        <f aca="false">IF($C357="&lt;01","",70%)</f>
        <v>0.7</v>
      </c>
      <c r="AZ357" s="91" t="n">
        <f aca="false">IF($C357="&lt;01",ROUND(INDEX(EID!$R:$R,MATCH($B357,EID!$B:$B,0))/2,0),ROUND(SUM($O357)+(SUM($AV357)*$AY357),0))</f>
        <v>0</v>
      </c>
      <c r="BA357" s="87" t="n">
        <f aca="false">IF($C357="&lt;01","",95%)</f>
        <v>0.95</v>
      </c>
      <c r="BB357" s="5" t="n">
        <f aca="false">IF($C357="&lt;01",ROUND(INDEX(EID!$T:$T,MATCH($B357,EID!$B:$B,0))/2,0),ROUND($AZ357*$BA357,0))</f>
        <v>0</v>
      </c>
      <c r="BC357" s="91" t="n">
        <f aca="false">IF(LEFT($B357,4)="_Mil","",IF(SUM($BB357)=0,SUM($AD357),IF(OR(SUM($AP357)=0,SUM($AQ357)=0),MAX($BB357,$AD357),ROUND($BB357*$AQ357/$AP357,0))))</f>
        <v>0</v>
      </c>
      <c r="BD357" s="88" t="n">
        <f aca="false">IF($C357="&lt;01","",95%)</f>
        <v>0.95</v>
      </c>
      <c r="BE357" s="39" t="n">
        <f aca="false">IF($C357="&lt;01",ROUND(INDEX(EID!$V:$V,MATCH($B357,EID!$B:$B,0))/2,0),ROUND($BD357*$BB357,0))</f>
        <v>0</v>
      </c>
      <c r="BF357" s="39" t="n">
        <f aca="false">IF(LEFT($B357,4)="_Mil","",IF(SUM($BE357)=0,SUM($AF357),IF(OR(SUM($AP357)=0,SUM($AQ357)=0),MAX($BE357,$AF357),ROUND($BE357*$AQ357/$AP357,0))))</f>
        <v>0</v>
      </c>
      <c r="BG357" s="114" t="n">
        <f aca="false">IF($C357="&lt;01","",95%)</f>
        <v>0.95</v>
      </c>
      <c r="BH357" s="5" t="n">
        <f aca="false">IF($C357="&lt;01",ROUND(INDEX(EID!$L:$L,MATCH($B357,EID!$B:$B,0)),0)/2,IF(SUM($BG357)=0,"",ROUND($AX357/$BG357,0)))</f>
        <v>0</v>
      </c>
    </row>
    <row r="358" customFormat="false" ht="15" hidden="false" customHeight="false" outlineLevel="0" collapsed="false">
      <c r="A358" s="0" t="str">
        <f aca="false">INDEX(Prioritization!$D:$D,MATCH($B358,Prioritization!$A:$A,0))</f>
        <v>INVALID</v>
      </c>
      <c r="B358" s="0" t="s">
        <v>218</v>
      </c>
      <c r="C358" s="0" t="s">
        <v>365</v>
      </c>
      <c r="D358" s="0" t="s">
        <v>48</v>
      </c>
      <c r="E358" s="0" t="str">
        <f aca="false">$B358&amp;"|"&amp;$C358&amp;"|"&amp;$D358</f>
        <v>Neno District [gwVYinjBAe9]|15-24|Male</v>
      </c>
      <c r="F358" s="10"/>
      <c r="G358" s="10"/>
      <c r="H358" s="10"/>
      <c r="I358" s="10"/>
      <c r="J358" s="10"/>
      <c r="K358" s="10"/>
      <c r="L358" s="10"/>
      <c r="M358" s="10"/>
      <c r="N358" s="10"/>
      <c r="O358" s="10" t="str">
        <f aca="false">IFERROR(1/(1/MAX($I358,$N358)),"")</f>
        <v/>
      </c>
      <c r="P358" s="10"/>
      <c r="Q358" s="10"/>
      <c r="R358" s="10" t="str">
        <f aca="false">IF(AND(SUM($I358)=0,SUM($O358)=0),"",SUM($O358)-$I358)</f>
        <v/>
      </c>
      <c r="S358" s="10" t="n">
        <f aca="false">IF(LEFT($B358,4)="_Mil","",_xlfn.IFNA(ROUND(INDEX(Spectrum!$N:$N,MATCH(RIGHT($B358,13)&amp;"|"&amp;$C358&amp;"|"&amp;$D358&amp;"|"&amp;S$14&amp;"|"&amp;"CY2022Q4",Spectrum!$R:$R,0)),0),""))</f>
        <v>1182</v>
      </c>
      <c r="T358" s="39" t="n">
        <f aca="false">IF(LEFT($B358,4)="_Mil","",_xlfn.IFNA(ROUND(INDEX(Spectrum!$N:$N,MATCH(RIGHT($B358,13)&amp;"|"&amp;$C358&amp;"|"&amp;$D358&amp;"|"&amp;T$14&amp;"|"&amp;"CY2023Q3",Spectrum!$R:$R,0)),0),""))</f>
        <v>1900</v>
      </c>
      <c r="U358" s="39" t="str">
        <f aca="false">IF(LEFT($B358,4)="_Mil","",_xlfn.IFNA(ROUND(INDEX(Spectrum!$N:$N,MATCH(RIGHT($B358,13)&amp;"|"&amp;$C358&amp;"|"&amp;$D358&amp;"|"&amp;U$14&amp;"|"&amp;"CY2023Q3",Spectrum!$R:$R,0)),0),""))</f>
        <v/>
      </c>
      <c r="V358" s="10" t="n">
        <f aca="false">IF(LEFT($B358,4)="_Mil","",_xlfn.IFNA(ROUND(INDEX(Spectrum!$N:$N,MATCH(RIGHT($B358,13)&amp;"|"&amp;$C358&amp;"|"&amp;$D358&amp;"|"&amp;V$14&amp;"|"&amp;"CY2023Q3",Spectrum!$R:$R,0)),0),""))</f>
        <v>524</v>
      </c>
      <c r="W358" s="113" t="n">
        <f aca="false">IF(LEFT($B358,4)="_Mil","",_xlfn.IFNA(INDEX(Spectrum!$N:$N,MATCH(RIGHT($B358,13)&amp;"|"&amp;$C358&amp;"|"&amp;$D358&amp;"|"&amp;W$14&amp;"|"&amp;"CY2023Q3",Spectrum!$R:$R,0)),""))</f>
        <v>545</v>
      </c>
      <c r="X358" s="39" t="n">
        <f aca="false">IF(LEFT($B358,4)="_Mil","",_xlfn.IFNA(ROUND(INDEX(Spectrum!$N:$N,MATCH(RIGHT($B358,13)&amp;"|"&amp;$C358&amp;"|"&amp;$D358&amp;"|"&amp;X$14&amp;"|"&amp;"CY2023Q3",Spectrum!$R:$R,0)),0),""))</f>
        <v>1096</v>
      </c>
      <c r="Y358" s="88" t="str">
        <f aca="false">IF(OR(SUM($U358)=0,LEFT($B358,4)="_Mil"),"",SUM($X358)/$U358)</f>
        <v/>
      </c>
      <c r="Z358" s="39" t="n">
        <f aca="false">IF(LEFT($B358,4)="_Mil","",_xlfn.IFNA(ROUND(INDEX(Spectrum!$N:$N,MATCH(RIGHT($B358,13)&amp;"|"&amp;$C358&amp;"|"&amp;$D358&amp;"|"&amp;Z$14&amp;"|"&amp;"CY2023Q3",Spectrum!$R:$R,0)),0),""))</f>
        <v>1773</v>
      </c>
      <c r="AA358" s="88" t="n">
        <f aca="false">IF(LEFT($B358,4)="_Mil","",IFERROR(1/(1/INDEX(Spectrum!$N:$N,MATCH(RIGHT($B358,13)&amp;"|"&amp;$C358&amp;"|"&amp;$D358&amp;"|"&amp;AA$14&amp;"|"&amp;"CY2023Q3",Spectrum!$R:$R,0))),IF(SUM($U358)=0,"",SUM($Z358)/$U358)))</f>
        <v>760</v>
      </c>
      <c r="AB358" s="88" t="n">
        <f aca="false">IF(OR(LEFT($B358,4)="_Mil",SUM($X358)=0),"",SUM($Z358)/$X358)</f>
        <v>1.61770072992701</v>
      </c>
      <c r="AC358" s="10" t="n">
        <f aca="false">IF(LEFT($B358,4)="_Mil","",_xlfn.IFNA(ROUND(INDEX(Spectrum!$N:$N,MATCH(RIGHT($B358,13)&amp;"|"&amp;$C358&amp;"|"&amp;$D358&amp;"|"&amp;AC$14&amp;"|"&amp;"CY2023Q3",Spectrum!$R:$R,0)),0),""))</f>
        <v>1290</v>
      </c>
      <c r="AD358" s="10" t="str">
        <f aca="false">IF(LEFT($B358,4)="_Mil","",_xlfn.IFNA(ROUND(INDEX(Spectrum!$N:$N,MATCH(RIGHT($B358,13)&amp;"|"&amp;$C358&amp;"|"&amp;$D358&amp;"|"&amp;AD$14&amp;"|"&amp;"CY2023Q3",Spectrum!$R:$R,0)),0),""))</f>
        <v/>
      </c>
      <c r="AE358" s="88" t="n">
        <f aca="false">IF(OR(LEFT($B358,4)="_Mil",SUM($Z358)=0),"",SUM($AD358)/$Z358)</f>
        <v>0</v>
      </c>
      <c r="AF358" s="39" t="str">
        <f aca="false">IF(LEFT($B358,4)="_Mil","",_xlfn.IFNA(ROUND(INDEX(Spectrum!$N:$N,MATCH(RIGHT($B358,13)&amp;"|"&amp;$C358&amp;"|"&amp;$D358&amp;"|"&amp;AF$14&amp;"|"&amp;"CY2023Q3",Spectrum!$R:$R,0)),0),""))</f>
        <v/>
      </c>
      <c r="AG358" s="88" t="str">
        <f aca="false">IF(OR(LEFT($B358,4)="_Mil",SUM($AD358)=0),"",SUM($AF358)/$AD358)</f>
        <v/>
      </c>
      <c r="AH358" s="86" t="str">
        <f aca="false">IF(LEFT($B358,4)="_Mil","",_xlfn.IFNA(INDEX(Spectrum!$N:$N,MATCH(RIGHT($B358,13)&amp;"|"&amp;$C358&amp;"|"&amp;$D358&amp;"|"&amp;AH$14&amp;"|"&amp;"CY2023Q3",Spectrum!$R:$R,0)),""))</f>
        <v/>
      </c>
      <c r="AI358" s="10" t="str">
        <f aca="false">IF(LEFT($B358,4)="_Mil","",_xlfn.IFNA(ROUND(INDEX(Spectrum!$N:$N,MATCH(RIGHT($B358,13)&amp;"|"&amp;$C358&amp;"|"&amp;$D358&amp;"|"&amp;AI$14&amp;"|"&amp;"CY2023Q3",Spectrum!$R:$R,0)),0),""))</f>
        <v/>
      </c>
      <c r="AJ358" s="39" t="n">
        <f aca="false">IF(LEFT($B358,4)="_Mil","",_xlfn.IFNA(ROUND(INDEX(Spectrum!$N:$N,MATCH(RIGHT($B358,13)&amp;"|"&amp;$C358&amp;"|"&amp;$D358&amp;"|"&amp;AI$14&amp;"|"&amp;"CY2023Q3",Spectrum!$R:$R,0)),0),SUM($U358)+SUM($AI358)))</f>
        <v>0</v>
      </c>
      <c r="AK358" s="10" t="str">
        <f aca="false">IF(LEFT($B358,4)="_Mil","",_xlfn.IFNA(ROUND(INDEX(Spectrum!$N:$N,MATCH(RIGHT($B358,13)&amp;"|"&amp;$C358&amp;"|"&amp;$D358&amp;"|"&amp;AK$14&amp;"|"&amp;"CY2023Q3",Spectrum!$R:$R,0)),0),""))</f>
        <v/>
      </c>
      <c r="AL358" s="88" t="n">
        <f aca="false">IF(OR(LEFT($B358,4)="_Mil",$C358="&lt;01"),"",MAX(SUM($AA358),90%))</f>
        <v>760</v>
      </c>
      <c r="AM358" s="10" t="n">
        <f aca="false">IF(OR(LEFT($B358,4)="_Mil",$C358="&lt;01"),"",ROUND(SUM($AJ358)*SUM($AL358),0))</f>
        <v>0</v>
      </c>
      <c r="AN358" s="10" t="str">
        <f aca="false">IF($C358="&lt;01",ROUND(INDEX(EID!$P:$P,MATCH($B358,EID!$B:$B,0))/2,0),"")</f>
        <v/>
      </c>
      <c r="AO358" s="10" t="n">
        <f aca="false">IF($C358="&lt;01",SUM($AN358),ROUND(SUM($AM358)*SUM($O358)/IF(SUM($Z358)=0,1,$Z358),0))</f>
        <v>0</v>
      </c>
      <c r="AP358" s="39" t="n">
        <f aca="false">IF(OR($F358="",$C358="&lt;01"),$AO358,$F358)</f>
        <v>0</v>
      </c>
      <c r="AQ358" s="39" t="n">
        <f aca="false">IF(LEFT($B358,4)="_Mil","",IF(SUM($AP358)=0,SUM($Z358),IF(OR(SUM($Z358)=0,SUM($O358)=0),MAX($AP358,$Z358),$AP358*$Z358/$O358)))</f>
        <v>1773</v>
      </c>
      <c r="AR358" s="88" t="str">
        <f aca="false">IF(OR(LEFT($B358,4)="_Mil",SUM($AJ358)=0),"",SUM($AQ358)/$AJ358)</f>
        <v/>
      </c>
      <c r="AS358" s="88" t="n">
        <f aca="false">IF($C358="&lt;01","",98%)</f>
        <v>0.98</v>
      </c>
      <c r="AT358" s="88" t="n">
        <f aca="false">IF($C358="&lt;01","",98%)</f>
        <v>0.98</v>
      </c>
      <c r="AU358" s="10" t="n">
        <f aca="false">IF($C358="&lt;01","",SUM($AP358)-SUM($O358))</f>
        <v>0</v>
      </c>
      <c r="AV358" s="10" t="n">
        <f aca="false">IF($C358="&lt;01",ROUND(INDEX(EID!$N:$N,MATCH($B358,EID!$B:$B,0))/2,0),IF(SUM($AT358)=0,"",ROUND((SUM($AP358)-(SUM($O358)*SUM($AS358)))/$AT358,0)))</f>
        <v>0</v>
      </c>
      <c r="AW358" s="88" t="n">
        <f aca="false">IF($C358="&lt;01","",100%)</f>
        <v>1</v>
      </c>
      <c r="AX358" s="39" t="n">
        <f aca="false">IF($C358="&lt;01",SUM($AV358),ROUND(SUM($AV358)*SUM($AW358),0))</f>
        <v>0</v>
      </c>
      <c r="AY358" s="114" t="n">
        <f aca="false">IF($C358="&lt;01","",70%)</f>
        <v>0.7</v>
      </c>
      <c r="AZ358" s="91" t="n">
        <f aca="false">IF($C358="&lt;01",ROUND(INDEX(EID!$R:$R,MATCH($B358,EID!$B:$B,0))/2,0),ROUND(SUM($O358)+(SUM($AV358)*$AY358),0))</f>
        <v>0</v>
      </c>
      <c r="BA358" s="87" t="n">
        <f aca="false">IF($C358="&lt;01","",95%)</f>
        <v>0.95</v>
      </c>
      <c r="BB358" s="5" t="n">
        <f aca="false">IF($C358="&lt;01",ROUND(INDEX(EID!$T:$T,MATCH($B358,EID!$B:$B,0))/2,0),ROUND($AZ358*$BA358,0))</f>
        <v>0</v>
      </c>
      <c r="BC358" s="91" t="n">
        <f aca="false">IF(LEFT($B358,4)="_Mil","",IF(SUM($BB358)=0,SUM($AD358),IF(OR(SUM($AP358)=0,SUM($AQ358)=0),MAX($BB358,$AD358),ROUND($BB358*$AQ358/$AP358,0))))</f>
        <v>0</v>
      </c>
      <c r="BD358" s="88" t="n">
        <f aca="false">IF($C358="&lt;01","",95%)</f>
        <v>0.95</v>
      </c>
      <c r="BE358" s="39" t="n">
        <f aca="false">IF($C358="&lt;01",ROUND(INDEX(EID!$V:$V,MATCH($B358,EID!$B:$B,0))/2,0),ROUND($BD358*$BB358,0))</f>
        <v>0</v>
      </c>
      <c r="BF358" s="39" t="n">
        <f aca="false">IF(LEFT($B358,4)="_Mil","",IF(SUM($BE358)=0,SUM($AF358),IF(OR(SUM($AP358)=0,SUM($AQ358)=0),MAX($BE358,$AF358),ROUND($BE358*$AQ358/$AP358,0))))</f>
        <v>0</v>
      </c>
      <c r="BG358" s="114" t="n">
        <f aca="false">IF($C358="&lt;01","",95%)</f>
        <v>0.95</v>
      </c>
      <c r="BH358" s="5" t="n">
        <f aca="false">IF($C358="&lt;01",ROUND(INDEX(EID!$L:$L,MATCH($B358,EID!$B:$B,0)),0)/2,IF(SUM($BG358)=0,"",ROUND($AX358/$BG358,0)))</f>
        <v>0</v>
      </c>
    </row>
    <row r="359" customFormat="false" ht="15" hidden="false" customHeight="false" outlineLevel="0" collapsed="false">
      <c r="A359" s="0" t="str">
        <f aca="false">INDEX(Prioritization!$D:$D,MATCH($B359,Prioritization!$A:$A,0))</f>
        <v>INVALID</v>
      </c>
      <c r="B359" s="0" t="s">
        <v>218</v>
      </c>
      <c r="C359" s="0" t="s">
        <v>366</v>
      </c>
      <c r="D359" s="0" t="s">
        <v>30</v>
      </c>
      <c r="E359" s="0" t="str">
        <f aca="false">$B359&amp;"|"&amp;$C359&amp;"|"&amp;$D359</f>
        <v>Neno District [gwVYinjBAe9]|25-34|Female</v>
      </c>
      <c r="F359" s="10"/>
      <c r="G359" s="10"/>
      <c r="H359" s="10"/>
      <c r="I359" s="10"/>
      <c r="J359" s="10"/>
      <c r="K359" s="10"/>
      <c r="L359" s="10"/>
      <c r="M359" s="10"/>
      <c r="N359" s="10"/>
      <c r="O359" s="10" t="str">
        <f aca="false">IFERROR(1/(1/MAX($I359,$N359)),"")</f>
        <v/>
      </c>
      <c r="P359" s="10"/>
      <c r="Q359" s="10"/>
      <c r="R359" s="10" t="str">
        <f aca="false">IF(AND(SUM($I359)=0,SUM($O359)=0),"",SUM($O359)-$I359)</f>
        <v/>
      </c>
      <c r="S359" s="10" t="n">
        <f aca="false">IF(LEFT($B359,4)="_Mil","",_xlfn.IFNA(ROUND(INDEX(Spectrum!$N:$N,MATCH(RIGHT($B359,13)&amp;"|"&amp;$C359&amp;"|"&amp;$D359&amp;"|"&amp;S$14&amp;"|"&amp;"CY2022Q4",Spectrum!$R:$R,0)),0),""))</f>
        <v>952</v>
      </c>
      <c r="T359" s="39" t="n">
        <f aca="false">IF(LEFT($B359,4)="_Mil","",_xlfn.IFNA(ROUND(INDEX(Spectrum!$N:$N,MATCH(RIGHT($B359,13)&amp;"|"&amp;$C359&amp;"|"&amp;$D359&amp;"|"&amp;T$14&amp;"|"&amp;"CY2023Q3",Spectrum!$R:$R,0)),0),""))</f>
        <v>1797</v>
      </c>
      <c r="U359" s="39" t="str">
        <f aca="false">IF(LEFT($B359,4)="_Mil","",_xlfn.IFNA(ROUND(INDEX(Spectrum!$N:$N,MATCH(RIGHT($B359,13)&amp;"|"&amp;$C359&amp;"|"&amp;$D359&amp;"|"&amp;U$14&amp;"|"&amp;"CY2023Q3",Spectrum!$R:$R,0)),0),""))</f>
        <v/>
      </c>
      <c r="V359" s="10" t="n">
        <f aca="false">IF(LEFT($B359,4)="_Mil","",_xlfn.IFNA(ROUND(INDEX(Spectrum!$N:$N,MATCH(RIGHT($B359,13)&amp;"|"&amp;$C359&amp;"|"&amp;$D359&amp;"|"&amp;V$14&amp;"|"&amp;"CY2023Q3",Spectrum!$R:$R,0)),0),""))</f>
        <v>932</v>
      </c>
      <c r="W359" s="113" t="n">
        <f aca="false">IF(LEFT($B359,4)="_Mil","",_xlfn.IFNA(INDEX(Spectrum!$N:$N,MATCH(RIGHT($B359,13)&amp;"|"&amp;$C359&amp;"|"&amp;$D359&amp;"|"&amp;W$14&amp;"|"&amp;"CY2023Q3",Spectrum!$R:$R,0)),""))</f>
        <v>1779</v>
      </c>
      <c r="X359" s="39" t="n">
        <f aca="false">IF(LEFT($B359,4)="_Mil","",_xlfn.IFNA(ROUND(INDEX(Spectrum!$N:$N,MATCH(RIGHT($B359,13)&amp;"|"&amp;$C359&amp;"|"&amp;$D359&amp;"|"&amp;X$14&amp;"|"&amp;"CY2023Q3",Spectrum!$R:$R,0)),0),""))</f>
        <v>572</v>
      </c>
      <c r="Y359" s="88" t="str">
        <f aca="false">IF(OR(SUM($U359)=0,LEFT($B359,4)="_Mil"),"",SUM($X359)/$U359)</f>
        <v/>
      </c>
      <c r="Z359" s="39" t="n">
        <f aca="false">IF(LEFT($B359,4)="_Mil","",_xlfn.IFNA(ROUND(INDEX(Spectrum!$N:$N,MATCH(RIGHT($B359,13)&amp;"|"&amp;$C359&amp;"|"&amp;$D359&amp;"|"&amp;Z$14&amp;"|"&amp;"CY2023Q3",Spectrum!$R:$R,0)),0),""))</f>
        <v>831</v>
      </c>
      <c r="AA359" s="88" t="n">
        <f aca="false">IF(LEFT($B359,4)="_Mil","",IFERROR(1/(1/INDEX(Spectrum!$N:$N,MATCH(RIGHT($B359,13)&amp;"|"&amp;$C359&amp;"|"&amp;$D359&amp;"|"&amp;AA$14&amp;"|"&amp;"CY2023Q3",Spectrum!$R:$R,0))),IF(SUM($U359)=0,"",SUM($Z359)/$U359)))</f>
        <v>1438</v>
      </c>
      <c r="AB359" s="88" t="n">
        <f aca="false">IF(OR(LEFT($B359,4)="_Mil",SUM($X359)=0),"",SUM($Z359)/$X359)</f>
        <v>1.4527972027972</v>
      </c>
      <c r="AC359" s="10" t="n">
        <f aca="false">IF(LEFT($B359,4)="_Mil","",_xlfn.IFNA(ROUND(INDEX(Spectrum!$N:$N,MATCH(RIGHT($B359,13)&amp;"|"&amp;$C359&amp;"|"&amp;$D359&amp;"|"&amp;AC$14&amp;"|"&amp;"CY2023Q3",Spectrum!$R:$R,0)),0),""))</f>
        <v>1210</v>
      </c>
      <c r="AD359" s="10" t="str">
        <f aca="false">IF(LEFT($B359,4)="_Mil","",_xlfn.IFNA(ROUND(INDEX(Spectrum!$N:$N,MATCH(RIGHT($B359,13)&amp;"|"&amp;$C359&amp;"|"&amp;$D359&amp;"|"&amp;AD$14&amp;"|"&amp;"CY2023Q3",Spectrum!$R:$R,0)),0),""))</f>
        <v/>
      </c>
      <c r="AE359" s="88" t="n">
        <f aca="false">IF(OR(LEFT($B359,4)="_Mil",SUM($Z359)=0),"",SUM($AD359)/$Z359)</f>
        <v>0</v>
      </c>
      <c r="AF359" s="39" t="str">
        <f aca="false">IF(LEFT($B359,4)="_Mil","",_xlfn.IFNA(ROUND(INDEX(Spectrum!$N:$N,MATCH(RIGHT($B359,13)&amp;"|"&amp;$C359&amp;"|"&amp;$D359&amp;"|"&amp;AF$14&amp;"|"&amp;"CY2023Q3",Spectrum!$R:$R,0)),0),""))</f>
        <v/>
      </c>
      <c r="AG359" s="88" t="str">
        <f aca="false">IF(OR(LEFT($B359,4)="_Mil",SUM($AD359)=0),"",SUM($AF359)/$AD359)</f>
        <v/>
      </c>
      <c r="AH359" s="86" t="str">
        <f aca="false">IF(LEFT($B359,4)="_Mil","",_xlfn.IFNA(INDEX(Spectrum!$N:$N,MATCH(RIGHT($B359,13)&amp;"|"&amp;$C359&amp;"|"&amp;$D359&amp;"|"&amp;AH$14&amp;"|"&amp;"CY2023Q3",Spectrum!$R:$R,0)),""))</f>
        <v/>
      </c>
      <c r="AI359" s="10" t="str">
        <f aca="false">IF(LEFT($B359,4)="_Mil","",_xlfn.IFNA(ROUND(INDEX(Spectrum!$N:$N,MATCH(RIGHT($B359,13)&amp;"|"&amp;$C359&amp;"|"&amp;$D359&amp;"|"&amp;AI$14&amp;"|"&amp;"CY2023Q3",Spectrum!$R:$R,0)),0),""))</f>
        <v/>
      </c>
      <c r="AJ359" s="39" t="n">
        <f aca="false">IF(LEFT($B359,4)="_Mil","",_xlfn.IFNA(ROUND(INDEX(Spectrum!$N:$N,MATCH(RIGHT($B359,13)&amp;"|"&amp;$C359&amp;"|"&amp;$D359&amp;"|"&amp;AI$14&amp;"|"&amp;"CY2023Q3",Spectrum!$R:$R,0)),0),SUM($U359)+SUM($AI359)))</f>
        <v>0</v>
      </c>
      <c r="AK359" s="10" t="str">
        <f aca="false">IF(LEFT($B359,4)="_Mil","",_xlfn.IFNA(ROUND(INDEX(Spectrum!$N:$N,MATCH(RIGHT($B359,13)&amp;"|"&amp;$C359&amp;"|"&amp;$D359&amp;"|"&amp;AK$14&amp;"|"&amp;"CY2023Q3",Spectrum!$R:$R,0)),0),""))</f>
        <v/>
      </c>
      <c r="AL359" s="88" t="n">
        <f aca="false">IF(OR(LEFT($B359,4)="_Mil",$C359="&lt;01"),"",MAX(SUM($AA359),90%))</f>
        <v>1438</v>
      </c>
      <c r="AM359" s="10" t="n">
        <f aca="false">IF(OR(LEFT($B359,4)="_Mil",$C359="&lt;01"),"",ROUND(SUM($AJ359)*SUM($AL359),0))</f>
        <v>0</v>
      </c>
      <c r="AN359" s="10" t="str">
        <f aca="false">IF($C359="&lt;01",ROUND(INDEX(EID!$P:$P,MATCH($B359,EID!$B:$B,0))/2,0),"")</f>
        <v/>
      </c>
      <c r="AO359" s="10" t="n">
        <f aca="false">IF($C359="&lt;01",SUM($AN359),ROUND(SUM($AM359)*SUM($O359)/IF(SUM($Z359)=0,1,$Z359),0))</f>
        <v>0</v>
      </c>
      <c r="AP359" s="39" t="n">
        <f aca="false">IF(OR($F359="",$C359="&lt;01"),$AO359,$F359)</f>
        <v>0</v>
      </c>
      <c r="AQ359" s="39" t="n">
        <f aca="false">IF(LEFT($B359,4)="_Mil","",IF(SUM($AP359)=0,SUM($Z359),IF(OR(SUM($Z359)=0,SUM($O359)=0),MAX($AP359,$Z359),$AP359*$Z359/$O359)))</f>
        <v>831</v>
      </c>
      <c r="AR359" s="88" t="str">
        <f aca="false">IF(OR(LEFT($B359,4)="_Mil",SUM($AJ359)=0),"",SUM($AQ359)/$AJ359)</f>
        <v/>
      </c>
      <c r="AS359" s="88" t="n">
        <f aca="false">IF($C359="&lt;01","",98%)</f>
        <v>0.98</v>
      </c>
      <c r="AT359" s="88" t="n">
        <f aca="false">IF($C359="&lt;01","",98%)</f>
        <v>0.98</v>
      </c>
      <c r="AU359" s="10" t="n">
        <f aca="false">IF($C359="&lt;01","",SUM($AP359)-SUM($O359))</f>
        <v>0</v>
      </c>
      <c r="AV359" s="10" t="n">
        <f aca="false">IF($C359="&lt;01",ROUND(INDEX(EID!$N:$N,MATCH($B359,EID!$B:$B,0))/2,0),IF(SUM($AT359)=0,"",ROUND((SUM($AP359)-(SUM($O359)*SUM($AS359)))/$AT359,0)))</f>
        <v>0</v>
      </c>
      <c r="AW359" s="88" t="n">
        <f aca="false">IF($C359="&lt;01","",100%)</f>
        <v>1</v>
      </c>
      <c r="AX359" s="39" t="n">
        <f aca="false">IF($C359="&lt;01",SUM($AV359),ROUND(SUM($AV359)*SUM($AW359),0))</f>
        <v>0</v>
      </c>
      <c r="AY359" s="114" t="n">
        <f aca="false">IF($C359="&lt;01","",70%)</f>
        <v>0.7</v>
      </c>
      <c r="AZ359" s="91" t="n">
        <f aca="false">IF($C359="&lt;01",ROUND(INDEX(EID!$R:$R,MATCH($B359,EID!$B:$B,0))/2,0),ROUND(SUM($O359)+(SUM($AV359)*$AY359),0))</f>
        <v>0</v>
      </c>
      <c r="BA359" s="87" t="n">
        <f aca="false">IF($C359="&lt;01","",95%)</f>
        <v>0.95</v>
      </c>
      <c r="BB359" s="5" t="n">
        <f aca="false">IF($C359="&lt;01",ROUND(INDEX(EID!$T:$T,MATCH($B359,EID!$B:$B,0))/2,0),ROUND($AZ359*$BA359,0))</f>
        <v>0</v>
      </c>
      <c r="BC359" s="91" t="n">
        <f aca="false">IF(LEFT($B359,4)="_Mil","",IF(SUM($BB359)=0,SUM($AD359),IF(OR(SUM($AP359)=0,SUM($AQ359)=0),MAX($BB359,$AD359),ROUND($BB359*$AQ359/$AP359,0))))</f>
        <v>0</v>
      </c>
      <c r="BD359" s="88" t="n">
        <f aca="false">IF($C359="&lt;01","",95%)</f>
        <v>0.95</v>
      </c>
      <c r="BE359" s="39" t="n">
        <f aca="false">IF($C359="&lt;01",ROUND(INDEX(EID!$V:$V,MATCH($B359,EID!$B:$B,0))/2,0),ROUND($BD359*$BB359,0))</f>
        <v>0</v>
      </c>
      <c r="BF359" s="39" t="n">
        <f aca="false">IF(LEFT($B359,4)="_Mil","",IF(SUM($BE359)=0,SUM($AF359),IF(OR(SUM($AP359)=0,SUM($AQ359)=0),MAX($BE359,$AF359),ROUND($BE359*$AQ359/$AP359,0))))</f>
        <v>0</v>
      </c>
      <c r="BG359" s="114" t="n">
        <f aca="false">IF($C359="&lt;01","",95%)</f>
        <v>0.95</v>
      </c>
      <c r="BH359" s="5" t="n">
        <f aca="false">IF($C359="&lt;01",ROUND(INDEX(EID!$L:$L,MATCH($B359,EID!$B:$B,0)),0)/2,IF(SUM($BG359)=0,"",ROUND($AX359/$BG359,0)))</f>
        <v>0</v>
      </c>
    </row>
    <row r="360" customFormat="false" ht="15" hidden="false" customHeight="false" outlineLevel="0" collapsed="false">
      <c r="A360" s="0" t="str">
        <f aca="false">INDEX(Prioritization!$D:$D,MATCH($B360,Prioritization!$A:$A,0))</f>
        <v>INVALID</v>
      </c>
      <c r="B360" s="0" t="s">
        <v>218</v>
      </c>
      <c r="C360" s="0" t="s">
        <v>366</v>
      </c>
      <c r="D360" s="0" t="s">
        <v>48</v>
      </c>
      <c r="E360" s="0" t="str">
        <f aca="false">$B360&amp;"|"&amp;$C360&amp;"|"&amp;$D360</f>
        <v>Neno District [gwVYinjBAe9]|25-34|Male</v>
      </c>
      <c r="F360" s="10"/>
      <c r="G360" s="10"/>
      <c r="H360" s="10"/>
      <c r="I360" s="10"/>
      <c r="J360" s="10"/>
      <c r="K360" s="10"/>
      <c r="L360" s="10"/>
      <c r="M360" s="10"/>
      <c r="N360" s="10"/>
      <c r="O360" s="10" t="str">
        <f aca="false">IFERROR(1/(1/MAX($I360,$N360)),"")</f>
        <v/>
      </c>
      <c r="P360" s="10"/>
      <c r="Q360" s="10"/>
      <c r="R360" s="10" t="str">
        <f aca="false">IF(AND(SUM($I360)=0,SUM($O360)=0),"",SUM($O360)-$I360)</f>
        <v/>
      </c>
      <c r="S360" s="10" t="n">
        <f aca="false">IF(LEFT($B360,4)="_Mil","",_xlfn.IFNA(ROUND(INDEX(Spectrum!$N:$N,MATCH(RIGHT($B360,13)&amp;"|"&amp;$C360&amp;"|"&amp;$D360&amp;"|"&amp;S$14&amp;"|"&amp;"CY2022Q4",Spectrum!$R:$R,0)),0),""))</f>
        <v>1387</v>
      </c>
      <c r="T360" s="39" t="n">
        <f aca="false">IF(LEFT($B360,4)="_Mil","",_xlfn.IFNA(ROUND(INDEX(Spectrum!$N:$N,MATCH(RIGHT($B360,13)&amp;"|"&amp;$C360&amp;"|"&amp;$D360&amp;"|"&amp;T$14&amp;"|"&amp;"CY2023Q3",Spectrum!$R:$R,0)),0),""))</f>
        <v>1220</v>
      </c>
      <c r="U360" s="39" t="str">
        <f aca="false">IF(LEFT($B360,4)="_Mil","",_xlfn.IFNA(ROUND(INDEX(Spectrum!$N:$N,MATCH(RIGHT($B360,13)&amp;"|"&amp;$C360&amp;"|"&amp;$D360&amp;"|"&amp;U$14&amp;"|"&amp;"CY2023Q3",Spectrum!$R:$R,0)),0),""))</f>
        <v/>
      </c>
      <c r="V360" s="10" t="n">
        <f aca="false">IF(LEFT($B360,4)="_Mil","",_xlfn.IFNA(ROUND(INDEX(Spectrum!$N:$N,MATCH(RIGHT($B360,13)&amp;"|"&amp;$C360&amp;"|"&amp;$D360&amp;"|"&amp;V$14&amp;"|"&amp;"CY2023Q3",Spectrum!$R:$R,0)),0),""))</f>
        <v>1742</v>
      </c>
      <c r="W360" s="113" t="n">
        <f aca="false">IF(LEFT($B360,4)="_Mil","",_xlfn.IFNA(INDEX(Spectrum!$N:$N,MATCH(RIGHT($B360,13)&amp;"|"&amp;$C360&amp;"|"&amp;$D360&amp;"|"&amp;W$14&amp;"|"&amp;"CY2023Q3",Spectrum!$R:$R,0)),""))</f>
        <v>1875</v>
      </c>
      <c r="X360" s="39" t="n">
        <f aca="false">IF(LEFT($B360,4)="_Mil","",_xlfn.IFNA(ROUND(INDEX(Spectrum!$N:$N,MATCH(RIGHT($B360,13)&amp;"|"&amp;$C360&amp;"|"&amp;$D360&amp;"|"&amp;X$14&amp;"|"&amp;"CY2023Q3",Spectrum!$R:$R,0)),0),""))</f>
        <v>612</v>
      </c>
      <c r="Y360" s="88" t="str">
        <f aca="false">IF(OR(SUM($U360)=0,LEFT($B360,4)="_Mil"),"",SUM($X360)/$U360)</f>
        <v/>
      </c>
      <c r="Z360" s="39" t="n">
        <f aca="false">IF(LEFT($B360,4)="_Mil","",_xlfn.IFNA(ROUND(INDEX(Spectrum!$N:$N,MATCH(RIGHT($B360,13)&amp;"|"&amp;$C360&amp;"|"&amp;$D360&amp;"|"&amp;Z$14&amp;"|"&amp;"CY2023Q3",Spectrum!$R:$R,0)),0),""))</f>
        <v>1310</v>
      </c>
      <c r="AA360" s="88" t="n">
        <f aca="false">IF(LEFT($B360,4)="_Mil","",IFERROR(1/(1/INDEX(Spectrum!$N:$N,MATCH(RIGHT($B360,13)&amp;"|"&amp;$C360&amp;"|"&amp;$D360&amp;"|"&amp;AA$14&amp;"|"&amp;"CY2023Q3",Spectrum!$R:$R,0))),IF(SUM($U360)=0,"",SUM($Z360)/$U360)))</f>
        <v>1491</v>
      </c>
      <c r="AB360" s="88" t="n">
        <f aca="false">IF(OR(LEFT($B360,4)="_Mil",SUM($X360)=0),"",SUM($Z360)/$X360)</f>
        <v>2.14052287581699</v>
      </c>
      <c r="AC360" s="10" t="n">
        <f aca="false">IF(LEFT($B360,4)="_Mil","",_xlfn.IFNA(ROUND(INDEX(Spectrum!$N:$N,MATCH(RIGHT($B360,13)&amp;"|"&amp;$C360&amp;"|"&amp;$D360&amp;"|"&amp;AC$14&amp;"|"&amp;"CY2023Q3",Spectrum!$R:$R,0)),0),""))</f>
        <v>771</v>
      </c>
      <c r="AD360" s="10" t="str">
        <f aca="false">IF(LEFT($B360,4)="_Mil","",_xlfn.IFNA(ROUND(INDEX(Spectrum!$N:$N,MATCH(RIGHT($B360,13)&amp;"|"&amp;$C360&amp;"|"&amp;$D360&amp;"|"&amp;AD$14&amp;"|"&amp;"CY2023Q3",Spectrum!$R:$R,0)),0),""))</f>
        <v/>
      </c>
      <c r="AE360" s="88" t="n">
        <f aca="false">IF(OR(LEFT($B360,4)="_Mil",SUM($Z360)=0),"",SUM($AD360)/$Z360)</f>
        <v>0</v>
      </c>
      <c r="AF360" s="39" t="str">
        <f aca="false">IF(LEFT($B360,4)="_Mil","",_xlfn.IFNA(ROUND(INDEX(Spectrum!$N:$N,MATCH(RIGHT($B360,13)&amp;"|"&amp;$C360&amp;"|"&amp;$D360&amp;"|"&amp;AF$14&amp;"|"&amp;"CY2023Q3",Spectrum!$R:$R,0)),0),""))</f>
        <v/>
      </c>
      <c r="AG360" s="88" t="str">
        <f aca="false">IF(OR(LEFT($B360,4)="_Mil",SUM($AD360)=0),"",SUM($AF360)/$AD360)</f>
        <v/>
      </c>
      <c r="AH360" s="86" t="str">
        <f aca="false">IF(LEFT($B360,4)="_Mil","",_xlfn.IFNA(INDEX(Spectrum!$N:$N,MATCH(RIGHT($B360,13)&amp;"|"&amp;$C360&amp;"|"&amp;$D360&amp;"|"&amp;AH$14&amp;"|"&amp;"CY2023Q3",Spectrum!$R:$R,0)),""))</f>
        <v/>
      </c>
      <c r="AI360" s="10" t="str">
        <f aca="false">IF(LEFT($B360,4)="_Mil","",_xlfn.IFNA(ROUND(INDEX(Spectrum!$N:$N,MATCH(RIGHT($B360,13)&amp;"|"&amp;$C360&amp;"|"&amp;$D360&amp;"|"&amp;AI$14&amp;"|"&amp;"CY2023Q3",Spectrum!$R:$R,0)),0),""))</f>
        <v/>
      </c>
      <c r="AJ360" s="39" t="n">
        <f aca="false">IF(LEFT($B360,4)="_Mil","",_xlfn.IFNA(ROUND(INDEX(Spectrum!$N:$N,MATCH(RIGHT($B360,13)&amp;"|"&amp;$C360&amp;"|"&amp;$D360&amp;"|"&amp;AI$14&amp;"|"&amp;"CY2023Q3",Spectrum!$R:$R,0)),0),SUM($U360)+SUM($AI360)))</f>
        <v>0</v>
      </c>
      <c r="AK360" s="10" t="str">
        <f aca="false">IF(LEFT($B360,4)="_Mil","",_xlfn.IFNA(ROUND(INDEX(Spectrum!$N:$N,MATCH(RIGHT($B360,13)&amp;"|"&amp;$C360&amp;"|"&amp;$D360&amp;"|"&amp;AK$14&amp;"|"&amp;"CY2023Q3",Spectrum!$R:$R,0)),0),""))</f>
        <v/>
      </c>
      <c r="AL360" s="88" t="n">
        <f aca="false">IF(OR(LEFT($B360,4)="_Mil",$C360="&lt;01"),"",MAX(SUM($AA360),90%))</f>
        <v>1491</v>
      </c>
      <c r="AM360" s="10" t="n">
        <f aca="false">IF(OR(LEFT($B360,4)="_Mil",$C360="&lt;01"),"",ROUND(SUM($AJ360)*SUM($AL360),0))</f>
        <v>0</v>
      </c>
      <c r="AN360" s="10" t="str">
        <f aca="false">IF($C360="&lt;01",ROUND(INDEX(EID!$P:$P,MATCH($B360,EID!$B:$B,0))/2,0),"")</f>
        <v/>
      </c>
      <c r="AO360" s="10" t="n">
        <f aca="false">IF($C360="&lt;01",SUM($AN360),ROUND(SUM($AM360)*SUM($O360)/IF(SUM($Z360)=0,1,$Z360),0))</f>
        <v>0</v>
      </c>
      <c r="AP360" s="39" t="n">
        <f aca="false">IF(OR($F360="",$C360="&lt;01"),$AO360,$F360)</f>
        <v>0</v>
      </c>
      <c r="AQ360" s="39" t="n">
        <f aca="false">IF(LEFT($B360,4)="_Mil","",IF(SUM($AP360)=0,SUM($Z360),IF(OR(SUM($Z360)=0,SUM($O360)=0),MAX($AP360,$Z360),$AP360*$Z360/$O360)))</f>
        <v>1310</v>
      </c>
      <c r="AR360" s="88" t="str">
        <f aca="false">IF(OR(LEFT($B360,4)="_Mil",SUM($AJ360)=0),"",SUM($AQ360)/$AJ360)</f>
        <v/>
      </c>
      <c r="AS360" s="88" t="n">
        <f aca="false">IF($C360="&lt;01","",98%)</f>
        <v>0.98</v>
      </c>
      <c r="AT360" s="88" t="n">
        <f aca="false">IF($C360="&lt;01","",98%)</f>
        <v>0.98</v>
      </c>
      <c r="AU360" s="10" t="n">
        <f aca="false">IF($C360="&lt;01","",SUM($AP360)-SUM($O360))</f>
        <v>0</v>
      </c>
      <c r="AV360" s="10" t="n">
        <f aca="false">IF($C360="&lt;01",ROUND(INDEX(EID!$N:$N,MATCH($B360,EID!$B:$B,0))/2,0),IF(SUM($AT360)=0,"",ROUND((SUM($AP360)-(SUM($O360)*SUM($AS360)))/$AT360,0)))</f>
        <v>0</v>
      </c>
      <c r="AW360" s="88" t="n">
        <f aca="false">IF($C360="&lt;01","",100%)</f>
        <v>1</v>
      </c>
      <c r="AX360" s="39" t="n">
        <f aca="false">IF($C360="&lt;01",SUM($AV360),ROUND(SUM($AV360)*SUM($AW360),0))</f>
        <v>0</v>
      </c>
      <c r="AY360" s="114" t="n">
        <f aca="false">IF($C360="&lt;01","",70%)</f>
        <v>0.7</v>
      </c>
      <c r="AZ360" s="91" t="n">
        <f aca="false">IF($C360="&lt;01",ROUND(INDEX(EID!$R:$R,MATCH($B360,EID!$B:$B,0))/2,0),ROUND(SUM($O360)+(SUM($AV360)*$AY360),0))</f>
        <v>0</v>
      </c>
      <c r="BA360" s="87" t="n">
        <f aca="false">IF($C360="&lt;01","",95%)</f>
        <v>0.95</v>
      </c>
      <c r="BB360" s="5" t="n">
        <f aca="false">IF($C360="&lt;01",ROUND(INDEX(EID!$T:$T,MATCH($B360,EID!$B:$B,0))/2,0),ROUND($AZ360*$BA360,0))</f>
        <v>0</v>
      </c>
      <c r="BC360" s="91" t="n">
        <f aca="false">IF(LEFT($B360,4)="_Mil","",IF(SUM($BB360)=0,SUM($AD360),IF(OR(SUM($AP360)=0,SUM($AQ360)=0),MAX($BB360,$AD360),ROUND($BB360*$AQ360/$AP360,0))))</f>
        <v>0</v>
      </c>
      <c r="BD360" s="88" t="n">
        <f aca="false">IF($C360="&lt;01","",95%)</f>
        <v>0.95</v>
      </c>
      <c r="BE360" s="39" t="n">
        <f aca="false">IF($C360="&lt;01",ROUND(INDEX(EID!$V:$V,MATCH($B360,EID!$B:$B,0))/2,0),ROUND($BD360*$BB360,0))</f>
        <v>0</v>
      </c>
      <c r="BF360" s="39" t="n">
        <f aca="false">IF(LEFT($B360,4)="_Mil","",IF(SUM($BE360)=0,SUM($AF360),IF(OR(SUM($AP360)=0,SUM($AQ360)=0),MAX($BE360,$AF360),ROUND($BE360*$AQ360/$AP360,0))))</f>
        <v>0</v>
      </c>
      <c r="BG360" s="114" t="n">
        <f aca="false">IF($C360="&lt;01","",95%)</f>
        <v>0.95</v>
      </c>
      <c r="BH360" s="5" t="n">
        <f aca="false">IF($C360="&lt;01",ROUND(INDEX(EID!$L:$L,MATCH($B360,EID!$B:$B,0)),0)/2,IF(SUM($BG360)=0,"",ROUND($AX360/$BG360,0)))</f>
        <v>0</v>
      </c>
    </row>
    <row r="361" customFormat="false" ht="15" hidden="false" customHeight="false" outlineLevel="0" collapsed="false">
      <c r="A361" s="0" t="str">
        <f aca="false">INDEX(Prioritization!$D:$D,MATCH($B361,Prioritization!$A:$A,0))</f>
        <v>INVALID</v>
      </c>
      <c r="B361" s="0" t="s">
        <v>218</v>
      </c>
      <c r="C361" s="0" t="s">
        <v>367</v>
      </c>
      <c r="D361" s="0" t="s">
        <v>30</v>
      </c>
      <c r="E361" s="0" t="str">
        <f aca="false">$B361&amp;"|"&amp;$C361&amp;"|"&amp;$D361</f>
        <v>Neno District [gwVYinjBAe9]|35-49|Female</v>
      </c>
      <c r="F361" s="10"/>
      <c r="G361" s="10"/>
      <c r="H361" s="10"/>
      <c r="I361" s="10"/>
      <c r="J361" s="10"/>
      <c r="K361" s="10"/>
      <c r="L361" s="10"/>
      <c r="M361" s="10"/>
      <c r="N361" s="10"/>
      <c r="O361" s="10" t="str">
        <f aca="false">IFERROR(1/(1/MAX($I361,$N361)),"")</f>
        <v/>
      </c>
      <c r="P361" s="10"/>
      <c r="Q361" s="10"/>
      <c r="R361" s="10" t="str">
        <f aca="false">IF(AND(SUM($I361)=0,SUM($O361)=0),"",SUM($O361)-$I361)</f>
        <v/>
      </c>
      <c r="S361" s="10" t="n">
        <f aca="false">IF(LEFT($B361,4)="_Mil","",_xlfn.IFNA(ROUND(INDEX(Spectrum!$N:$N,MATCH(RIGHT($B361,13)&amp;"|"&amp;$C361&amp;"|"&amp;$D361&amp;"|"&amp;S$14&amp;"|"&amp;"CY2022Q4",Spectrum!$R:$R,0)),0),""))</f>
        <v>1845</v>
      </c>
      <c r="T361" s="39" t="n">
        <f aca="false">IF(LEFT($B361,4)="_Mil","",_xlfn.IFNA(ROUND(INDEX(Spectrum!$N:$N,MATCH(RIGHT($B361,13)&amp;"|"&amp;$C361&amp;"|"&amp;$D361&amp;"|"&amp;T$14&amp;"|"&amp;"CY2023Q3",Spectrum!$R:$R,0)),0),""))</f>
        <v>1183</v>
      </c>
      <c r="U361" s="39" t="str">
        <f aca="false">IF(LEFT($B361,4)="_Mil","",_xlfn.IFNA(ROUND(INDEX(Spectrum!$N:$N,MATCH(RIGHT($B361,13)&amp;"|"&amp;$C361&amp;"|"&amp;$D361&amp;"|"&amp;U$14&amp;"|"&amp;"CY2023Q3",Spectrum!$R:$R,0)),0),""))</f>
        <v/>
      </c>
      <c r="V361" s="10" t="n">
        <f aca="false">IF(LEFT($B361,4)="_Mil","",_xlfn.IFNA(ROUND(INDEX(Spectrum!$N:$N,MATCH(RIGHT($B361,13)&amp;"|"&amp;$C361&amp;"|"&amp;$D361&amp;"|"&amp;V$14&amp;"|"&amp;"CY2023Q3",Spectrum!$R:$R,0)),0),""))</f>
        <v>1732</v>
      </c>
      <c r="W361" s="113" t="n">
        <f aca="false">IF(LEFT($B361,4)="_Mil","",_xlfn.IFNA(INDEX(Spectrum!$N:$N,MATCH(RIGHT($B361,13)&amp;"|"&amp;$C361&amp;"|"&amp;$D361&amp;"|"&amp;W$14&amp;"|"&amp;"CY2023Q3",Spectrum!$R:$R,0)),""))</f>
        <v>1409</v>
      </c>
      <c r="X361" s="39" t="n">
        <f aca="false">IF(LEFT($B361,4)="_Mil","",_xlfn.IFNA(ROUND(INDEX(Spectrum!$N:$N,MATCH(RIGHT($B361,13)&amp;"|"&amp;$C361&amp;"|"&amp;$D361&amp;"|"&amp;X$14&amp;"|"&amp;"CY2023Q3",Spectrum!$R:$R,0)),0),""))</f>
        <v>1216</v>
      </c>
      <c r="Y361" s="88" t="str">
        <f aca="false">IF(OR(SUM($U361)=0,LEFT($B361,4)="_Mil"),"",SUM($X361)/$U361)</f>
        <v/>
      </c>
      <c r="Z361" s="39" t="n">
        <f aca="false">IF(LEFT($B361,4)="_Mil","",_xlfn.IFNA(ROUND(INDEX(Spectrum!$N:$N,MATCH(RIGHT($B361,13)&amp;"|"&amp;$C361&amp;"|"&amp;$D361&amp;"|"&amp;Z$14&amp;"|"&amp;"CY2023Q3",Spectrum!$R:$R,0)),0),""))</f>
        <v>1407</v>
      </c>
      <c r="AA361" s="88" t="n">
        <f aca="false">IF(LEFT($B361,4)="_Mil","",IFERROR(1/(1/INDEX(Spectrum!$N:$N,MATCH(RIGHT($B361,13)&amp;"|"&amp;$C361&amp;"|"&amp;$D361&amp;"|"&amp;AA$14&amp;"|"&amp;"CY2023Q3",Spectrum!$R:$R,0))),IF(SUM($U361)=0,"",SUM($Z361)/$U361)))</f>
        <v>969</v>
      </c>
      <c r="AB361" s="88" t="n">
        <f aca="false">IF(OR(LEFT($B361,4)="_Mil",SUM($X361)=0),"",SUM($Z361)/$X361)</f>
        <v>1.15707236842105</v>
      </c>
      <c r="AC361" s="10" t="n">
        <f aca="false">IF(LEFT($B361,4)="_Mil","",_xlfn.IFNA(ROUND(INDEX(Spectrum!$N:$N,MATCH(RIGHT($B361,13)&amp;"|"&amp;$C361&amp;"|"&amp;$D361&amp;"|"&amp;AC$14&amp;"|"&amp;"CY2023Q3",Spectrum!$R:$R,0)),0),""))</f>
        <v>717</v>
      </c>
      <c r="AD361" s="10" t="str">
        <f aca="false">IF(LEFT($B361,4)="_Mil","",_xlfn.IFNA(ROUND(INDEX(Spectrum!$N:$N,MATCH(RIGHT($B361,13)&amp;"|"&amp;$C361&amp;"|"&amp;$D361&amp;"|"&amp;AD$14&amp;"|"&amp;"CY2023Q3",Spectrum!$R:$R,0)),0),""))</f>
        <v/>
      </c>
      <c r="AE361" s="88" t="n">
        <f aca="false">IF(OR(LEFT($B361,4)="_Mil",SUM($Z361)=0),"",SUM($AD361)/$Z361)</f>
        <v>0</v>
      </c>
      <c r="AF361" s="39" t="str">
        <f aca="false">IF(LEFT($B361,4)="_Mil","",_xlfn.IFNA(ROUND(INDEX(Spectrum!$N:$N,MATCH(RIGHT($B361,13)&amp;"|"&amp;$C361&amp;"|"&amp;$D361&amp;"|"&amp;AF$14&amp;"|"&amp;"CY2023Q3",Spectrum!$R:$R,0)),0),""))</f>
        <v/>
      </c>
      <c r="AG361" s="88" t="str">
        <f aca="false">IF(OR(LEFT($B361,4)="_Mil",SUM($AD361)=0),"",SUM($AF361)/$AD361)</f>
        <v/>
      </c>
      <c r="AH361" s="86" t="str">
        <f aca="false">IF(LEFT($B361,4)="_Mil","",_xlfn.IFNA(INDEX(Spectrum!$N:$N,MATCH(RIGHT($B361,13)&amp;"|"&amp;$C361&amp;"|"&amp;$D361&amp;"|"&amp;AH$14&amp;"|"&amp;"CY2023Q3",Spectrum!$R:$R,0)),""))</f>
        <v/>
      </c>
      <c r="AI361" s="10" t="str">
        <f aca="false">IF(LEFT($B361,4)="_Mil","",_xlfn.IFNA(ROUND(INDEX(Spectrum!$N:$N,MATCH(RIGHT($B361,13)&amp;"|"&amp;$C361&amp;"|"&amp;$D361&amp;"|"&amp;AI$14&amp;"|"&amp;"CY2023Q3",Spectrum!$R:$R,0)),0),""))</f>
        <v/>
      </c>
      <c r="AJ361" s="39" t="n">
        <f aca="false">IF(LEFT($B361,4)="_Mil","",_xlfn.IFNA(ROUND(INDEX(Spectrum!$N:$N,MATCH(RIGHT($B361,13)&amp;"|"&amp;$C361&amp;"|"&amp;$D361&amp;"|"&amp;AI$14&amp;"|"&amp;"CY2023Q3",Spectrum!$R:$R,0)),0),SUM($U361)+SUM($AI361)))</f>
        <v>0</v>
      </c>
      <c r="AK361" s="10" t="str">
        <f aca="false">IF(LEFT($B361,4)="_Mil","",_xlfn.IFNA(ROUND(INDEX(Spectrum!$N:$N,MATCH(RIGHT($B361,13)&amp;"|"&amp;$C361&amp;"|"&amp;$D361&amp;"|"&amp;AK$14&amp;"|"&amp;"CY2023Q3",Spectrum!$R:$R,0)),0),""))</f>
        <v/>
      </c>
      <c r="AL361" s="88" t="n">
        <f aca="false">IF(OR(LEFT($B361,4)="_Mil",$C361="&lt;01"),"",MAX(SUM($AA361),90%))</f>
        <v>969</v>
      </c>
      <c r="AM361" s="10" t="n">
        <f aca="false">IF(OR(LEFT($B361,4)="_Mil",$C361="&lt;01"),"",ROUND(SUM($AJ361)*SUM($AL361),0))</f>
        <v>0</v>
      </c>
      <c r="AN361" s="10" t="str">
        <f aca="false">IF($C361="&lt;01",ROUND(INDEX(EID!$P:$P,MATCH($B361,EID!$B:$B,0))/2,0),"")</f>
        <v/>
      </c>
      <c r="AO361" s="10" t="n">
        <f aca="false">IF($C361="&lt;01",SUM($AN361),ROUND(SUM($AM361)*SUM($O361)/IF(SUM($Z361)=0,1,$Z361),0))</f>
        <v>0</v>
      </c>
      <c r="AP361" s="39" t="n">
        <f aca="false">IF(OR($F361="",$C361="&lt;01"),$AO361,$F361)</f>
        <v>0</v>
      </c>
      <c r="AQ361" s="39" t="n">
        <f aca="false">IF(LEFT($B361,4)="_Mil","",IF(SUM($AP361)=0,SUM($Z361),IF(OR(SUM($Z361)=0,SUM($O361)=0),MAX($AP361,$Z361),$AP361*$Z361/$O361)))</f>
        <v>1407</v>
      </c>
      <c r="AR361" s="88" t="str">
        <f aca="false">IF(OR(LEFT($B361,4)="_Mil",SUM($AJ361)=0),"",SUM($AQ361)/$AJ361)</f>
        <v/>
      </c>
      <c r="AS361" s="88" t="n">
        <f aca="false">IF($C361="&lt;01","",98%)</f>
        <v>0.98</v>
      </c>
      <c r="AT361" s="88" t="n">
        <f aca="false">IF($C361="&lt;01","",98%)</f>
        <v>0.98</v>
      </c>
      <c r="AU361" s="10" t="n">
        <f aca="false">IF($C361="&lt;01","",SUM($AP361)-SUM($O361))</f>
        <v>0</v>
      </c>
      <c r="AV361" s="10" t="n">
        <f aca="false">IF($C361="&lt;01",ROUND(INDEX(EID!$N:$N,MATCH($B361,EID!$B:$B,0))/2,0),IF(SUM($AT361)=0,"",ROUND((SUM($AP361)-(SUM($O361)*SUM($AS361)))/$AT361,0)))</f>
        <v>0</v>
      </c>
      <c r="AW361" s="88" t="n">
        <f aca="false">IF($C361="&lt;01","",100%)</f>
        <v>1</v>
      </c>
      <c r="AX361" s="39" t="n">
        <f aca="false">IF($C361="&lt;01",SUM($AV361),ROUND(SUM($AV361)*SUM($AW361),0))</f>
        <v>0</v>
      </c>
      <c r="AY361" s="114" t="n">
        <f aca="false">IF($C361="&lt;01","",70%)</f>
        <v>0.7</v>
      </c>
      <c r="AZ361" s="91" t="n">
        <f aca="false">IF($C361="&lt;01",ROUND(INDEX(EID!$R:$R,MATCH($B361,EID!$B:$B,0))/2,0),ROUND(SUM($O361)+(SUM($AV361)*$AY361),0))</f>
        <v>0</v>
      </c>
      <c r="BA361" s="87" t="n">
        <f aca="false">IF($C361="&lt;01","",95%)</f>
        <v>0.95</v>
      </c>
      <c r="BB361" s="5" t="n">
        <f aca="false">IF($C361="&lt;01",ROUND(INDEX(EID!$T:$T,MATCH($B361,EID!$B:$B,0))/2,0),ROUND($AZ361*$BA361,0))</f>
        <v>0</v>
      </c>
      <c r="BC361" s="91" t="n">
        <f aca="false">IF(LEFT($B361,4)="_Mil","",IF(SUM($BB361)=0,SUM($AD361),IF(OR(SUM($AP361)=0,SUM($AQ361)=0),MAX($BB361,$AD361),ROUND($BB361*$AQ361/$AP361,0))))</f>
        <v>0</v>
      </c>
      <c r="BD361" s="88" t="n">
        <f aca="false">IF($C361="&lt;01","",95%)</f>
        <v>0.95</v>
      </c>
      <c r="BE361" s="39" t="n">
        <f aca="false">IF($C361="&lt;01",ROUND(INDEX(EID!$V:$V,MATCH($B361,EID!$B:$B,0))/2,0),ROUND($BD361*$BB361,0))</f>
        <v>0</v>
      </c>
      <c r="BF361" s="39" t="n">
        <f aca="false">IF(LEFT($B361,4)="_Mil","",IF(SUM($BE361)=0,SUM($AF361),IF(OR(SUM($AP361)=0,SUM($AQ361)=0),MAX($BE361,$AF361),ROUND($BE361*$AQ361/$AP361,0))))</f>
        <v>0</v>
      </c>
      <c r="BG361" s="114" t="n">
        <f aca="false">IF($C361="&lt;01","",95%)</f>
        <v>0.95</v>
      </c>
      <c r="BH361" s="5" t="n">
        <f aca="false">IF($C361="&lt;01",ROUND(INDEX(EID!$L:$L,MATCH($B361,EID!$B:$B,0)),0)/2,IF(SUM($BG361)=0,"",ROUND($AX361/$BG361,0)))</f>
        <v>0</v>
      </c>
    </row>
    <row r="362" customFormat="false" ht="15" hidden="false" customHeight="false" outlineLevel="0" collapsed="false">
      <c r="A362" s="0" t="str">
        <f aca="false">INDEX(Prioritization!$D:$D,MATCH($B362,Prioritization!$A:$A,0))</f>
        <v>INVALID</v>
      </c>
      <c r="B362" s="0" t="s">
        <v>218</v>
      </c>
      <c r="C362" s="0" t="s">
        <v>367</v>
      </c>
      <c r="D362" s="0" t="s">
        <v>48</v>
      </c>
      <c r="E362" s="0" t="str">
        <f aca="false">$B362&amp;"|"&amp;$C362&amp;"|"&amp;$D362</f>
        <v>Neno District [gwVYinjBAe9]|35-49|Male</v>
      </c>
      <c r="F362" s="10"/>
      <c r="G362" s="10"/>
      <c r="H362" s="10"/>
      <c r="I362" s="10"/>
      <c r="J362" s="10"/>
      <c r="K362" s="10"/>
      <c r="L362" s="10"/>
      <c r="M362" s="10"/>
      <c r="N362" s="10"/>
      <c r="O362" s="10" t="str">
        <f aca="false">IFERROR(1/(1/MAX($I362,$N362)),"")</f>
        <v/>
      </c>
      <c r="P362" s="10"/>
      <c r="Q362" s="10"/>
      <c r="R362" s="10" t="str">
        <f aca="false">IF(AND(SUM($I362)=0,SUM($O362)=0),"",SUM($O362)-$I362)</f>
        <v/>
      </c>
      <c r="S362" s="10" t="n">
        <f aca="false">IF(LEFT($B362,4)="_Mil","",_xlfn.IFNA(ROUND(INDEX(Spectrum!$N:$N,MATCH(RIGHT($B362,13)&amp;"|"&amp;$C362&amp;"|"&amp;$D362&amp;"|"&amp;S$14&amp;"|"&amp;"CY2022Q4",Spectrum!$R:$R,0)),0),""))</f>
        <v>1596</v>
      </c>
      <c r="T362" s="39" t="n">
        <f aca="false">IF(LEFT($B362,4)="_Mil","",_xlfn.IFNA(ROUND(INDEX(Spectrum!$N:$N,MATCH(RIGHT($B362,13)&amp;"|"&amp;$C362&amp;"|"&amp;$D362&amp;"|"&amp;T$14&amp;"|"&amp;"CY2023Q3",Spectrum!$R:$R,0)),0),""))</f>
        <v>1318</v>
      </c>
      <c r="U362" s="39" t="str">
        <f aca="false">IF(LEFT($B362,4)="_Mil","",_xlfn.IFNA(ROUND(INDEX(Spectrum!$N:$N,MATCH(RIGHT($B362,13)&amp;"|"&amp;$C362&amp;"|"&amp;$D362&amp;"|"&amp;U$14&amp;"|"&amp;"CY2023Q3",Spectrum!$R:$R,0)),0),""))</f>
        <v/>
      </c>
      <c r="V362" s="10" t="n">
        <f aca="false">IF(LEFT($B362,4)="_Mil","",_xlfn.IFNA(ROUND(INDEX(Spectrum!$N:$N,MATCH(RIGHT($B362,13)&amp;"|"&amp;$C362&amp;"|"&amp;$D362&amp;"|"&amp;V$14&amp;"|"&amp;"CY2023Q3",Spectrum!$R:$R,0)),0),""))</f>
        <v>1471</v>
      </c>
      <c r="W362" s="113" t="n">
        <f aca="false">IF(LEFT($B362,4)="_Mil","",_xlfn.IFNA(INDEX(Spectrum!$N:$N,MATCH(RIGHT($B362,13)&amp;"|"&amp;$C362&amp;"|"&amp;$D362&amp;"|"&amp;W$14&amp;"|"&amp;"CY2023Q3",Spectrum!$R:$R,0)),""))</f>
        <v>884</v>
      </c>
      <c r="X362" s="39" t="n">
        <f aca="false">IF(LEFT($B362,4)="_Mil","",_xlfn.IFNA(ROUND(INDEX(Spectrum!$N:$N,MATCH(RIGHT($B362,13)&amp;"|"&amp;$C362&amp;"|"&amp;$D362&amp;"|"&amp;X$14&amp;"|"&amp;"CY2023Q3",Spectrum!$R:$R,0)),0),""))</f>
        <v>1459</v>
      </c>
      <c r="Y362" s="88" t="str">
        <f aca="false">IF(OR(SUM($U362)=0,LEFT($B362,4)="_Mil"),"",SUM($X362)/$U362)</f>
        <v/>
      </c>
      <c r="Z362" s="39" t="n">
        <f aca="false">IF(LEFT($B362,4)="_Mil","",_xlfn.IFNA(ROUND(INDEX(Spectrum!$N:$N,MATCH(RIGHT($B362,13)&amp;"|"&amp;$C362&amp;"|"&amp;$D362&amp;"|"&amp;Z$14&amp;"|"&amp;"CY2023Q3",Spectrum!$R:$R,0)),0),""))</f>
        <v>571</v>
      </c>
      <c r="AA362" s="88" t="n">
        <f aca="false">IF(LEFT($B362,4)="_Mil","",IFERROR(1/(1/INDEX(Spectrum!$N:$N,MATCH(RIGHT($B362,13)&amp;"|"&amp;$C362&amp;"|"&amp;$D362&amp;"|"&amp;AA$14&amp;"|"&amp;"CY2023Q3",Spectrum!$R:$R,0))),IF(SUM($U362)=0,"",SUM($Z362)/$U362)))</f>
        <v>1386</v>
      </c>
      <c r="AB362" s="88" t="n">
        <f aca="false">IF(OR(LEFT($B362,4)="_Mil",SUM($X362)=0),"",SUM($Z362)/$X362)</f>
        <v>0.391363947909527</v>
      </c>
      <c r="AC362" s="10" t="n">
        <f aca="false">IF(LEFT($B362,4)="_Mil","",_xlfn.IFNA(ROUND(INDEX(Spectrum!$N:$N,MATCH(RIGHT($B362,13)&amp;"|"&amp;$C362&amp;"|"&amp;$D362&amp;"|"&amp;AC$14&amp;"|"&amp;"CY2023Q3",Spectrum!$R:$R,0)),0),""))</f>
        <v>1091</v>
      </c>
      <c r="AD362" s="10" t="str">
        <f aca="false">IF(LEFT($B362,4)="_Mil","",_xlfn.IFNA(ROUND(INDEX(Spectrum!$N:$N,MATCH(RIGHT($B362,13)&amp;"|"&amp;$C362&amp;"|"&amp;$D362&amp;"|"&amp;AD$14&amp;"|"&amp;"CY2023Q3",Spectrum!$R:$R,0)),0),""))</f>
        <v/>
      </c>
      <c r="AE362" s="88" t="n">
        <f aca="false">IF(OR(LEFT($B362,4)="_Mil",SUM($Z362)=0),"",SUM($AD362)/$Z362)</f>
        <v>0</v>
      </c>
      <c r="AF362" s="39" t="str">
        <f aca="false">IF(LEFT($B362,4)="_Mil","",_xlfn.IFNA(ROUND(INDEX(Spectrum!$N:$N,MATCH(RIGHT($B362,13)&amp;"|"&amp;$C362&amp;"|"&amp;$D362&amp;"|"&amp;AF$14&amp;"|"&amp;"CY2023Q3",Spectrum!$R:$R,0)),0),""))</f>
        <v/>
      </c>
      <c r="AG362" s="88" t="str">
        <f aca="false">IF(OR(LEFT($B362,4)="_Mil",SUM($AD362)=0),"",SUM($AF362)/$AD362)</f>
        <v/>
      </c>
      <c r="AH362" s="86" t="str">
        <f aca="false">IF(LEFT($B362,4)="_Mil","",_xlfn.IFNA(INDEX(Spectrum!$N:$N,MATCH(RIGHT($B362,13)&amp;"|"&amp;$C362&amp;"|"&amp;$D362&amp;"|"&amp;AH$14&amp;"|"&amp;"CY2023Q3",Spectrum!$R:$R,0)),""))</f>
        <v/>
      </c>
      <c r="AI362" s="10" t="str">
        <f aca="false">IF(LEFT($B362,4)="_Mil","",_xlfn.IFNA(ROUND(INDEX(Spectrum!$N:$N,MATCH(RIGHT($B362,13)&amp;"|"&amp;$C362&amp;"|"&amp;$D362&amp;"|"&amp;AI$14&amp;"|"&amp;"CY2023Q3",Spectrum!$R:$R,0)),0),""))</f>
        <v/>
      </c>
      <c r="AJ362" s="39" t="n">
        <f aca="false">IF(LEFT($B362,4)="_Mil","",_xlfn.IFNA(ROUND(INDEX(Spectrum!$N:$N,MATCH(RIGHT($B362,13)&amp;"|"&amp;$C362&amp;"|"&amp;$D362&amp;"|"&amp;AI$14&amp;"|"&amp;"CY2023Q3",Spectrum!$R:$R,0)),0),SUM($U362)+SUM($AI362)))</f>
        <v>0</v>
      </c>
      <c r="AK362" s="10" t="str">
        <f aca="false">IF(LEFT($B362,4)="_Mil","",_xlfn.IFNA(ROUND(INDEX(Spectrum!$N:$N,MATCH(RIGHT($B362,13)&amp;"|"&amp;$C362&amp;"|"&amp;$D362&amp;"|"&amp;AK$14&amp;"|"&amp;"CY2023Q3",Spectrum!$R:$R,0)),0),""))</f>
        <v/>
      </c>
      <c r="AL362" s="88" t="n">
        <f aca="false">IF(OR(LEFT($B362,4)="_Mil",$C362="&lt;01"),"",MAX(SUM($AA362),90%))</f>
        <v>1386</v>
      </c>
      <c r="AM362" s="10" t="n">
        <f aca="false">IF(OR(LEFT($B362,4)="_Mil",$C362="&lt;01"),"",ROUND(SUM($AJ362)*SUM($AL362),0))</f>
        <v>0</v>
      </c>
      <c r="AN362" s="10" t="str">
        <f aca="false">IF($C362="&lt;01",ROUND(INDEX(EID!$P:$P,MATCH($B362,EID!$B:$B,0))/2,0),"")</f>
        <v/>
      </c>
      <c r="AO362" s="10" t="n">
        <f aca="false">IF($C362="&lt;01",SUM($AN362),ROUND(SUM($AM362)*SUM($O362)/IF(SUM($Z362)=0,1,$Z362),0))</f>
        <v>0</v>
      </c>
      <c r="AP362" s="39" t="n">
        <f aca="false">IF(OR($F362="",$C362="&lt;01"),$AO362,$F362)</f>
        <v>0</v>
      </c>
      <c r="AQ362" s="39" t="n">
        <f aca="false">IF(LEFT($B362,4)="_Mil","",IF(SUM($AP362)=0,SUM($Z362),IF(OR(SUM($Z362)=0,SUM($O362)=0),MAX($AP362,$Z362),$AP362*$Z362/$O362)))</f>
        <v>571</v>
      </c>
      <c r="AR362" s="88" t="str">
        <f aca="false">IF(OR(LEFT($B362,4)="_Mil",SUM($AJ362)=0),"",SUM($AQ362)/$AJ362)</f>
        <v/>
      </c>
      <c r="AS362" s="88" t="n">
        <f aca="false">IF($C362="&lt;01","",98%)</f>
        <v>0.98</v>
      </c>
      <c r="AT362" s="88" t="n">
        <f aca="false">IF($C362="&lt;01","",98%)</f>
        <v>0.98</v>
      </c>
      <c r="AU362" s="10" t="n">
        <f aca="false">IF($C362="&lt;01","",SUM($AP362)-SUM($O362))</f>
        <v>0</v>
      </c>
      <c r="AV362" s="10" t="n">
        <f aca="false">IF($C362="&lt;01",ROUND(INDEX(EID!$N:$N,MATCH($B362,EID!$B:$B,0))/2,0),IF(SUM($AT362)=0,"",ROUND((SUM($AP362)-(SUM($O362)*SUM($AS362)))/$AT362,0)))</f>
        <v>0</v>
      </c>
      <c r="AW362" s="88" t="n">
        <f aca="false">IF($C362="&lt;01","",100%)</f>
        <v>1</v>
      </c>
      <c r="AX362" s="39" t="n">
        <f aca="false">IF($C362="&lt;01",SUM($AV362),ROUND(SUM($AV362)*SUM($AW362),0))</f>
        <v>0</v>
      </c>
      <c r="AY362" s="114" t="n">
        <f aca="false">IF($C362="&lt;01","",70%)</f>
        <v>0.7</v>
      </c>
      <c r="AZ362" s="91" t="n">
        <f aca="false">IF($C362="&lt;01",ROUND(INDEX(EID!$R:$R,MATCH($B362,EID!$B:$B,0))/2,0),ROUND(SUM($O362)+(SUM($AV362)*$AY362),0))</f>
        <v>0</v>
      </c>
      <c r="BA362" s="87" t="n">
        <f aca="false">IF($C362="&lt;01","",95%)</f>
        <v>0.95</v>
      </c>
      <c r="BB362" s="5" t="n">
        <f aca="false">IF($C362="&lt;01",ROUND(INDEX(EID!$T:$T,MATCH($B362,EID!$B:$B,0))/2,0),ROUND($AZ362*$BA362,0))</f>
        <v>0</v>
      </c>
      <c r="BC362" s="91" t="n">
        <f aca="false">IF(LEFT($B362,4)="_Mil","",IF(SUM($BB362)=0,SUM($AD362),IF(OR(SUM($AP362)=0,SUM($AQ362)=0),MAX($BB362,$AD362),ROUND($BB362*$AQ362/$AP362,0))))</f>
        <v>0</v>
      </c>
      <c r="BD362" s="88" t="n">
        <f aca="false">IF($C362="&lt;01","",95%)</f>
        <v>0.95</v>
      </c>
      <c r="BE362" s="39" t="n">
        <f aca="false">IF($C362="&lt;01",ROUND(INDEX(EID!$V:$V,MATCH($B362,EID!$B:$B,0))/2,0),ROUND($BD362*$BB362,0))</f>
        <v>0</v>
      </c>
      <c r="BF362" s="39" t="n">
        <f aca="false">IF(LEFT($B362,4)="_Mil","",IF(SUM($BE362)=0,SUM($AF362),IF(OR(SUM($AP362)=0,SUM($AQ362)=0),MAX($BE362,$AF362),ROUND($BE362*$AQ362/$AP362,0))))</f>
        <v>0</v>
      </c>
      <c r="BG362" s="114" t="n">
        <f aca="false">IF($C362="&lt;01","",95%)</f>
        <v>0.95</v>
      </c>
      <c r="BH362" s="5" t="n">
        <f aca="false">IF($C362="&lt;01",ROUND(INDEX(EID!$L:$L,MATCH($B362,EID!$B:$B,0)),0)/2,IF(SUM($BG362)=0,"",ROUND($AX362/$BG362,0)))</f>
        <v>0</v>
      </c>
    </row>
    <row r="363" customFormat="false" ht="15" hidden="false" customHeight="false" outlineLevel="0" collapsed="false">
      <c r="A363" s="0" t="str">
        <f aca="false">INDEX(Prioritization!$D:$D,MATCH($B363,Prioritization!$A:$A,0))</f>
        <v>INVALID</v>
      </c>
      <c r="B363" s="0" t="s">
        <v>218</v>
      </c>
      <c r="C363" s="0" t="s">
        <v>368</v>
      </c>
      <c r="D363" s="0" t="s">
        <v>30</v>
      </c>
      <c r="E363" s="0" t="str">
        <f aca="false">$B363&amp;"|"&amp;$C363&amp;"|"&amp;$D363</f>
        <v>Neno District [gwVYinjBAe9]|50+|Female</v>
      </c>
      <c r="F363" s="10"/>
      <c r="G363" s="10"/>
      <c r="H363" s="10"/>
      <c r="I363" s="10"/>
      <c r="J363" s="10"/>
      <c r="K363" s="10"/>
      <c r="L363" s="10"/>
      <c r="M363" s="10"/>
      <c r="N363" s="10"/>
      <c r="O363" s="10" t="str">
        <f aca="false">IFERROR(1/(1/MAX($I363,$N363)),"")</f>
        <v/>
      </c>
      <c r="P363" s="10"/>
      <c r="Q363" s="10"/>
      <c r="R363" s="10" t="str">
        <f aca="false">IF(AND(SUM($I363)=0,SUM($O363)=0),"",SUM($O363)-$I363)</f>
        <v/>
      </c>
      <c r="S363" s="10" t="n">
        <f aca="false">IF(LEFT($B363,4)="_Mil","",_xlfn.IFNA(ROUND(INDEX(Spectrum!$N:$N,MATCH(RIGHT($B363,13)&amp;"|"&amp;$C363&amp;"|"&amp;$D363&amp;"|"&amp;S$14&amp;"|"&amp;"CY2022Q4",Spectrum!$R:$R,0)),0),""))</f>
        <v>1752</v>
      </c>
      <c r="T363" s="39" t="n">
        <f aca="false">IF(LEFT($B363,4)="_Mil","",_xlfn.IFNA(ROUND(INDEX(Spectrum!$N:$N,MATCH(RIGHT($B363,13)&amp;"|"&amp;$C363&amp;"|"&amp;$D363&amp;"|"&amp;T$14&amp;"|"&amp;"CY2023Q3",Spectrum!$R:$R,0)),0),""))</f>
        <v>1720</v>
      </c>
      <c r="U363" s="39" t="str">
        <f aca="false">IF(LEFT($B363,4)="_Mil","",_xlfn.IFNA(ROUND(INDEX(Spectrum!$N:$N,MATCH(RIGHT($B363,13)&amp;"|"&amp;$C363&amp;"|"&amp;$D363&amp;"|"&amp;U$14&amp;"|"&amp;"CY2023Q3",Spectrum!$R:$R,0)),0),""))</f>
        <v/>
      </c>
      <c r="V363" s="10" t="n">
        <f aca="false">IF(LEFT($B363,4)="_Mil","",_xlfn.IFNA(ROUND(INDEX(Spectrum!$N:$N,MATCH(RIGHT($B363,13)&amp;"|"&amp;$C363&amp;"|"&amp;$D363&amp;"|"&amp;V$14&amp;"|"&amp;"CY2023Q3",Spectrum!$R:$R,0)),0),""))</f>
        <v>1398</v>
      </c>
      <c r="W363" s="113" t="n">
        <f aca="false">IF(LEFT($B363,4)="_Mil","",_xlfn.IFNA(INDEX(Spectrum!$N:$N,MATCH(RIGHT($B363,13)&amp;"|"&amp;$C363&amp;"|"&amp;$D363&amp;"|"&amp;W$14&amp;"|"&amp;"CY2023Q3",Spectrum!$R:$R,0)),""))</f>
        <v>1086</v>
      </c>
      <c r="X363" s="39" t="n">
        <f aca="false">IF(LEFT($B363,4)="_Mil","",_xlfn.IFNA(ROUND(INDEX(Spectrum!$N:$N,MATCH(RIGHT($B363,13)&amp;"|"&amp;$C363&amp;"|"&amp;$D363&amp;"|"&amp;X$14&amp;"|"&amp;"CY2023Q3",Spectrum!$R:$R,0)),0),""))</f>
        <v>1960</v>
      </c>
      <c r="Y363" s="88" t="str">
        <f aca="false">IF(OR(SUM($U363)=0,LEFT($B363,4)="_Mil"),"",SUM($X363)/$U363)</f>
        <v/>
      </c>
      <c r="Z363" s="39" t="n">
        <f aca="false">IF(LEFT($B363,4)="_Mil","",_xlfn.IFNA(ROUND(INDEX(Spectrum!$N:$N,MATCH(RIGHT($B363,13)&amp;"|"&amp;$C363&amp;"|"&amp;$D363&amp;"|"&amp;Z$14&amp;"|"&amp;"CY2023Q3",Spectrum!$R:$R,0)),0),""))</f>
        <v>834</v>
      </c>
      <c r="AA363" s="88" t="n">
        <f aca="false">IF(LEFT($B363,4)="_Mil","",IFERROR(1/(1/INDEX(Spectrum!$N:$N,MATCH(RIGHT($B363,13)&amp;"|"&amp;$C363&amp;"|"&amp;$D363&amp;"|"&amp;AA$14&amp;"|"&amp;"CY2023Q3",Spectrum!$R:$R,0))),IF(SUM($U363)=0,"",SUM($Z363)/$U363)))</f>
        <v>1649</v>
      </c>
      <c r="AB363" s="88" t="n">
        <f aca="false">IF(OR(LEFT($B363,4)="_Mil",SUM($X363)=0),"",SUM($Z363)/$X363)</f>
        <v>0.425510204081633</v>
      </c>
      <c r="AC363" s="10" t="n">
        <f aca="false">IF(LEFT($B363,4)="_Mil","",_xlfn.IFNA(ROUND(INDEX(Spectrum!$N:$N,MATCH(RIGHT($B363,13)&amp;"|"&amp;$C363&amp;"|"&amp;$D363&amp;"|"&amp;AC$14&amp;"|"&amp;"CY2023Q3",Spectrum!$R:$R,0)),0),""))</f>
        <v>1372</v>
      </c>
      <c r="AD363" s="10" t="str">
        <f aca="false">IF(LEFT($B363,4)="_Mil","",_xlfn.IFNA(ROUND(INDEX(Spectrum!$N:$N,MATCH(RIGHT($B363,13)&amp;"|"&amp;$C363&amp;"|"&amp;$D363&amp;"|"&amp;AD$14&amp;"|"&amp;"CY2023Q3",Spectrum!$R:$R,0)),0),""))</f>
        <v/>
      </c>
      <c r="AE363" s="88" t="n">
        <f aca="false">IF(OR(LEFT($B363,4)="_Mil",SUM($Z363)=0),"",SUM($AD363)/$Z363)</f>
        <v>0</v>
      </c>
      <c r="AF363" s="39" t="str">
        <f aca="false">IF(LEFT($B363,4)="_Mil","",_xlfn.IFNA(ROUND(INDEX(Spectrum!$N:$N,MATCH(RIGHT($B363,13)&amp;"|"&amp;$C363&amp;"|"&amp;$D363&amp;"|"&amp;AF$14&amp;"|"&amp;"CY2023Q3",Spectrum!$R:$R,0)),0),""))</f>
        <v/>
      </c>
      <c r="AG363" s="88" t="str">
        <f aca="false">IF(OR(LEFT($B363,4)="_Mil",SUM($AD363)=0),"",SUM($AF363)/$AD363)</f>
        <v/>
      </c>
      <c r="AH363" s="86" t="str">
        <f aca="false">IF(LEFT($B363,4)="_Mil","",_xlfn.IFNA(INDEX(Spectrum!$N:$N,MATCH(RIGHT($B363,13)&amp;"|"&amp;$C363&amp;"|"&amp;$D363&amp;"|"&amp;AH$14&amp;"|"&amp;"CY2023Q3",Spectrum!$R:$R,0)),""))</f>
        <v/>
      </c>
      <c r="AI363" s="10" t="str">
        <f aca="false">IF(LEFT($B363,4)="_Mil","",_xlfn.IFNA(ROUND(INDEX(Spectrum!$N:$N,MATCH(RIGHT($B363,13)&amp;"|"&amp;$C363&amp;"|"&amp;$D363&amp;"|"&amp;AI$14&amp;"|"&amp;"CY2023Q3",Spectrum!$R:$R,0)),0),""))</f>
        <v/>
      </c>
      <c r="AJ363" s="39" t="n">
        <f aca="false">IF(LEFT($B363,4)="_Mil","",_xlfn.IFNA(ROUND(INDEX(Spectrum!$N:$N,MATCH(RIGHT($B363,13)&amp;"|"&amp;$C363&amp;"|"&amp;$D363&amp;"|"&amp;AI$14&amp;"|"&amp;"CY2023Q3",Spectrum!$R:$R,0)),0),SUM($U363)+SUM($AI363)))</f>
        <v>0</v>
      </c>
      <c r="AK363" s="10" t="str">
        <f aca="false">IF(LEFT($B363,4)="_Mil","",_xlfn.IFNA(ROUND(INDEX(Spectrum!$N:$N,MATCH(RIGHT($B363,13)&amp;"|"&amp;$C363&amp;"|"&amp;$D363&amp;"|"&amp;AK$14&amp;"|"&amp;"CY2023Q3",Spectrum!$R:$R,0)),0),""))</f>
        <v/>
      </c>
      <c r="AL363" s="88" t="n">
        <f aca="false">IF(OR(LEFT($B363,4)="_Mil",$C363="&lt;01"),"",MAX(SUM($AA363),90%))</f>
        <v>1649</v>
      </c>
      <c r="AM363" s="10" t="n">
        <f aca="false">IF(OR(LEFT($B363,4)="_Mil",$C363="&lt;01"),"",ROUND(SUM($AJ363)*SUM($AL363),0))</f>
        <v>0</v>
      </c>
      <c r="AN363" s="10" t="str">
        <f aca="false">IF($C363="&lt;01",ROUND(INDEX(EID!$P:$P,MATCH($B363,EID!$B:$B,0))/2,0),"")</f>
        <v/>
      </c>
      <c r="AO363" s="10" t="n">
        <f aca="false">IF($C363="&lt;01",SUM($AN363),ROUND(SUM($AM363)*SUM($O363)/IF(SUM($Z363)=0,1,$Z363),0))</f>
        <v>0</v>
      </c>
      <c r="AP363" s="39" t="n">
        <f aca="false">IF(OR($F363="",$C363="&lt;01"),$AO363,$F363)</f>
        <v>0</v>
      </c>
      <c r="AQ363" s="39" t="n">
        <f aca="false">IF(LEFT($B363,4)="_Mil","",IF(SUM($AP363)=0,SUM($Z363),IF(OR(SUM($Z363)=0,SUM($O363)=0),MAX($AP363,$Z363),$AP363*$Z363/$O363)))</f>
        <v>834</v>
      </c>
      <c r="AR363" s="88" t="str">
        <f aca="false">IF(OR(LEFT($B363,4)="_Mil",SUM($AJ363)=0),"",SUM($AQ363)/$AJ363)</f>
        <v/>
      </c>
      <c r="AS363" s="88" t="n">
        <f aca="false">IF($C363="&lt;01","",98%)</f>
        <v>0.98</v>
      </c>
      <c r="AT363" s="88" t="n">
        <f aca="false">IF($C363="&lt;01","",98%)</f>
        <v>0.98</v>
      </c>
      <c r="AU363" s="10" t="n">
        <f aca="false">IF($C363="&lt;01","",SUM($AP363)-SUM($O363))</f>
        <v>0</v>
      </c>
      <c r="AV363" s="10" t="n">
        <f aca="false">IF($C363="&lt;01",ROUND(INDEX(EID!$N:$N,MATCH($B363,EID!$B:$B,0))/2,0),IF(SUM($AT363)=0,"",ROUND((SUM($AP363)-(SUM($O363)*SUM($AS363)))/$AT363,0)))</f>
        <v>0</v>
      </c>
      <c r="AW363" s="88" t="n">
        <f aca="false">IF($C363="&lt;01","",100%)</f>
        <v>1</v>
      </c>
      <c r="AX363" s="39" t="n">
        <f aca="false">IF($C363="&lt;01",SUM($AV363),ROUND(SUM($AV363)*SUM($AW363),0))</f>
        <v>0</v>
      </c>
      <c r="AY363" s="114" t="n">
        <f aca="false">IF($C363="&lt;01","",70%)</f>
        <v>0.7</v>
      </c>
      <c r="AZ363" s="91" t="n">
        <f aca="false">IF($C363="&lt;01",ROUND(INDEX(EID!$R:$R,MATCH($B363,EID!$B:$B,0))/2,0),ROUND(SUM($O363)+(SUM($AV363)*$AY363),0))</f>
        <v>0</v>
      </c>
      <c r="BA363" s="87" t="n">
        <f aca="false">IF($C363="&lt;01","",95%)</f>
        <v>0.95</v>
      </c>
      <c r="BB363" s="5" t="n">
        <f aca="false">IF($C363="&lt;01",ROUND(INDEX(EID!$T:$T,MATCH($B363,EID!$B:$B,0))/2,0),ROUND($AZ363*$BA363,0))</f>
        <v>0</v>
      </c>
      <c r="BC363" s="91" t="n">
        <f aca="false">IF(LEFT($B363,4)="_Mil","",IF(SUM($BB363)=0,SUM($AD363),IF(OR(SUM($AP363)=0,SUM($AQ363)=0),MAX($BB363,$AD363),ROUND($BB363*$AQ363/$AP363,0))))</f>
        <v>0</v>
      </c>
      <c r="BD363" s="88" t="n">
        <f aca="false">IF($C363="&lt;01","",95%)</f>
        <v>0.95</v>
      </c>
      <c r="BE363" s="39" t="n">
        <f aca="false">IF($C363="&lt;01",ROUND(INDEX(EID!$V:$V,MATCH($B363,EID!$B:$B,0))/2,0),ROUND($BD363*$BB363,0))</f>
        <v>0</v>
      </c>
      <c r="BF363" s="39" t="n">
        <f aca="false">IF(LEFT($B363,4)="_Mil","",IF(SUM($BE363)=0,SUM($AF363),IF(OR(SUM($AP363)=0,SUM($AQ363)=0),MAX($BE363,$AF363),ROUND($BE363*$AQ363/$AP363,0))))</f>
        <v>0</v>
      </c>
      <c r="BG363" s="114" t="n">
        <f aca="false">IF($C363="&lt;01","",95%)</f>
        <v>0.95</v>
      </c>
      <c r="BH363" s="5" t="n">
        <f aca="false">IF($C363="&lt;01",ROUND(INDEX(EID!$L:$L,MATCH($B363,EID!$B:$B,0)),0)/2,IF(SUM($BG363)=0,"",ROUND($AX363/$BG363,0)))</f>
        <v>0</v>
      </c>
    </row>
    <row r="364" customFormat="false" ht="15" hidden="false" customHeight="false" outlineLevel="0" collapsed="false">
      <c r="A364" s="0" t="str">
        <f aca="false">INDEX(Prioritization!$D:$D,MATCH($B364,Prioritization!$A:$A,0))</f>
        <v>INVALID</v>
      </c>
      <c r="B364" s="0" t="s">
        <v>218</v>
      </c>
      <c r="C364" s="0" t="s">
        <v>368</v>
      </c>
      <c r="D364" s="0" t="s">
        <v>48</v>
      </c>
      <c r="E364" s="0" t="str">
        <f aca="false">$B364&amp;"|"&amp;$C364&amp;"|"&amp;$D364</f>
        <v>Neno District [gwVYinjBAe9]|50+|Male</v>
      </c>
      <c r="F364" s="10"/>
      <c r="G364" s="10"/>
      <c r="H364" s="10"/>
      <c r="I364" s="10"/>
      <c r="J364" s="10"/>
      <c r="K364" s="10"/>
      <c r="L364" s="10"/>
      <c r="M364" s="10"/>
      <c r="N364" s="10"/>
      <c r="O364" s="10" t="str">
        <f aca="false">IFERROR(1/(1/MAX($I364,$N364)),"")</f>
        <v/>
      </c>
      <c r="P364" s="10"/>
      <c r="Q364" s="10"/>
      <c r="R364" s="10" t="str">
        <f aca="false">IF(AND(SUM($I364)=0,SUM($O364)=0),"",SUM($O364)-$I364)</f>
        <v/>
      </c>
      <c r="S364" s="10" t="n">
        <f aca="false">IF(LEFT($B364,4)="_Mil","",_xlfn.IFNA(ROUND(INDEX(Spectrum!$N:$N,MATCH(RIGHT($B364,13)&amp;"|"&amp;$C364&amp;"|"&amp;$D364&amp;"|"&amp;S$14&amp;"|"&amp;"CY2022Q4",Spectrum!$R:$R,0)),0),""))</f>
        <v>1623</v>
      </c>
      <c r="T364" s="39" t="n">
        <f aca="false">IF(LEFT($B364,4)="_Mil","",_xlfn.IFNA(ROUND(INDEX(Spectrum!$N:$N,MATCH(RIGHT($B364,13)&amp;"|"&amp;$C364&amp;"|"&amp;$D364&amp;"|"&amp;T$14&amp;"|"&amp;"CY2023Q3",Spectrum!$R:$R,0)),0),""))</f>
        <v>1059</v>
      </c>
      <c r="U364" s="39" t="str">
        <f aca="false">IF(LEFT($B364,4)="_Mil","",_xlfn.IFNA(ROUND(INDEX(Spectrum!$N:$N,MATCH(RIGHT($B364,13)&amp;"|"&amp;$C364&amp;"|"&amp;$D364&amp;"|"&amp;U$14&amp;"|"&amp;"CY2023Q3",Spectrum!$R:$R,0)),0),""))</f>
        <v/>
      </c>
      <c r="V364" s="10" t="n">
        <f aca="false">IF(LEFT($B364,4)="_Mil","",_xlfn.IFNA(ROUND(INDEX(Spectrum!$N:$N,MATCH(RIGHT($B364,13)&amp;"|"&amp;$C364&amp;"|"&amp;$D364&amp;"|"&amp;V$14&amp;"|"&amp;"CY2023Q3",Spectrum!$R:$R,0)),0),""))</f>
        <v>1839</v>
      </c>
      <c r="W364" s="113" t="n">
        <f aca="false">IF(LEFT($B364,4)="_Mil","",_xlfn.IFNA(INDEX(Spectrum!$N:$N,MATCH(RIGHT($B364,13)&amp;"|"&amp;$C364&amp;"|"&amp;$D364&amp;"|"&amp;W$14&amp;"|"&amp;"CY2023Q3",Spectrum!$R:$R,0)),""))</f>
        <v>1640</v>
      </c>
      <c r="X364" s="39" t="n">
        <f aca="false">IF(LEFT($B364,4)="_Mil","",_xlfn.IFNA(ROUND(INDEX(Spectrum!$N:$N,MATCH(RIGHT($B364,13)&amp;"|"&amp;$C364&amp;"|"&amp;$D364&amp;"|"&amp;X$14&amp;"|"&amp;"CY2023Q3",Spectrum!$R:$R,0)),0),""))</f>
        <v>1461</v>
      </c>
      <c r="Y364" s="88" t="str">
        <f aca="false">IF(OR(SUM($U364)=0,LEFT($B364,4)="_Mil"),"",SUM($X364)/$U364)</f>
        <v/>
      </c>
      <c r="Z364" s="39" t="n">
        <f aca="false">IF(LEFT($B364,4)="_Mil","",_xlfn.IFNA(ROUND(INDEX(Spectrum!$N:$N,MATCH(RIGHT($B364,13)&amp;"|"&amp;$C364&amp;"|"&amp;$D364&amp;"|"&amp;Z$14&amp;"|"&amp;"CY2023Q3",Spectrum!$R:$R,0)),0),""))</f>
        <v>1518</v>
      </c>
      <c r="AA364" s="88" t="n">
        <f aca="false">IF(LEFT($B364,4)="_Mil","",IFERROR(1/(1/INDEX(Spectrum!$N:$N,MATCH(RIGHT($B364,13)&amp;"|"&amp;$C364&amp;"|"&amp;$D364&amp;"|"&amp;AA$14&amp;"|"&amp;"CY2023Q3",Spectrum!$R:$R,0))),IF(SUM($U364)=0,"",SUM($Z364)/$U364)))</f>
        <v>1199</v>
      </c>
      <c r="AB364" s="88" t="n">
        <f aca="false">IF(OR(LEFT($B364,4)="_Mil",SUM($X364)=0),"",SUM($Z364)/$X364)</f>
        <v>1.03901437371663</v>
      </c>
      <c r="AC364" s="10" t="n">
        <f aca="false">IF(LEFT($B364,4)="_Mil","",_xlfn.IFNA(ROUND(INDEX(Spectrum!$N:$N,MATCH(RIGHT($B364,13)&amp;"|"&amp;$C364&amp;"|"&amp;$D364&amp;"|"&amp;AC$14&amp;"|"&amp;"CY2023Q3",Spectrum!$R:$R,0)),0),""))</f>
        <v>1688</v>
      </c>
      <c r="AD364" s="10" t="str">
        <f aca="false">IF(LEFT($B364,4)="_Mil","",_xlfn.IFNA(ROUND(INDEX(Spectrum!$N:$N,MATCH(RIGHT($B364,13)&amp;"|"&amp;$C364&amp;"|"&amp;$D364&amp;"|"&amp;AD$14&amp;"|"&amp;"CY2023Q3",Spectrum!$R:$R,0)),0),""))</f>
        <v/>
      </c>
      <c r="AE364" s="88" t="n">
        <f aca="false">IF(OR(LEFT($B364,4)="_Mil",SUM($Z364)=0),"",SUM($AD364)/$Z364)</f>
        <v>0</v>
      </c>
      <c r="AF364" s="39" t="str">
        <f aca="false">IF(LEFT($B364,4)="_Mil","",_xlfn.IFNA(ROUND(INDEX(Spectrum!$N:$N,MATCH(RIGHT($B364,13)&amp;"|"&amp;$C364&amp;"|"&amp;$D364&amp;"|"&amp;AF$14&amp;"|"&amp;"CY2023Q3",Spectrum!$R:$R,0)),0),""))</f>
        <v/>
      </c>
      <c r="AG364" s="88" t="str">
        <f aca="false">IF(OR(LEFT($B364,4)="_Mil",SUM($AD364)=0),"",SUM($AF364)/$AD364)</f>
        <v/>
      </c>
      <c r="AH364" s="86" t="str">
        <f aca="false">IF(LEFT($B364,4)="_Mil","",_xlfn.IFNA(INDEX(Spectrum!$N:$N,MATCH(RIGHT($B364,13)&amp;"|"&amp;$C364&amp;"|"&amp;$D364&amp;"|"&amp;AH$14&amp;"|"&amp;"CY2023Q3",Spectrum!$R:$R,0)),""))</f>
        <v/>
      </c>
      <c r="AI364" s="10" t="str">
        <f aca="false">IF(LEFT($B364,4)="_Mil","",_xlfn.IFNA(ROUND(INDEX(Spectrum!$N:$N,MATCH(RIGHT($B364,13)&amp;"|"&amp;$C364&amp;"|"&amp;$D364&amp;"|"&amp;AI$14&amp;"|"&amp;"CY2023Q3",Spectrum!$R:$R,0)),0),""))</f>
        <v/>
      </c>
      <c r="AJ364" s="39" t="n">
        <f aca="false">IF(LEFT($B364,4)="_Mil","",_xlfn.IFNA(ROUND(INDEX(Spectrum!$N:$N,MATCH(RIGHT($B364,13)&amp;"|"&amp;$C364&amp;"|"&amp;$D364&amp;"|"&amp;AI$14&amp;"|"&amp;"CY2023Q3",Spectrum!$R:$R,0)),0),SUM($U364)+SUM($AI364)))</f>
        <v>0</v>
      </c>
      <c r="AK364" s="10" t="str">
        <f aca="false">IF(LEFT($B364,4)="_Mil","",_xlfn.IFNA(ROUND(INDEX(Spectrum!$N:$N,MATCH(RIGHT($B364,13)&amp;"|"&amp;$C364&amp;"|"&amp;$D364&amp;"|"&amp;AK$14&amp;"|"&amp;"CY2023Q3",Spectrum!$R:$R,0)),0),""))</f>
        <v/>
      </c>
      <c r="AL364" s="88" t="n">
        <f aca="false">IF(OR(LEFT($B364,4)="_Mil",$C364="&lt;01"),"",MAX(SUM($AA364),90%))</f>
        <v>1199</v>
      </c>
      <c r="AM364" s="10" t="n">
        <f aca="false">IF(OR(LEFT($B364,4)="_Mil",$C364="&lt;01"),"",ROUND(SUM($AJ364)*SUM($AL364),0))</f>
        <v>0</v>
      </c>
      <c r="AN364" s="10" t="str">
        <f aca="false">IF($C364="&lt;01",ROUND(INDEX(EID!$P:$P,MATCH($B364,EID!$B:$B,0))/2,0),"")</f>
        <v/>
      </c>
      <c r="AO364" s="10" t="n">
        <f aca="false">IF($C364="&lt;01",SUM($AN364),ROUND(SUM($AM364)*SUM($O364)/IF(SUM($Z364)=0,1,$Z364),0))</f>
        <v>0</v>
      </c>
      <c r="AP364" s="39" t="n">
        <f aca="false">IF(OR($F364="",$C364="&lt;01"),$AO364,$F364)</f>
        <v>0</v>
      </c>
      <c r="AQ364" s="39" t="n">
        <f aca="false">IF(LEFT($B364,4)="_Mil","",IF(SUM($AP364)=0,SUM($Z364),IF(OR(SUM($Z364)=0,SUM($O364)=0),MAX($AP364,$Z364),$AP364*$Z364/$O364)))</f>
        <v>1518</v>
      </c>
      <c r="AR364" s="88" t="str">
        <f aca="false">IF(OR(LEFT($B364,4)="_Mil",SUM($AJ364)=0),"",SUM($AQ364)/$AJ364)</f>
        <v/>
      </c>
      <c r="AS364" s="88" t="n">
        <f aca="false">IF($C364="&lt;01","",98%)</f>
        <v>0.98</v>
      </c>
      <c r="AT364" s="88" t="n">
        <f aca="false">IF($C364="&lt;01","",98%)</f>
        <v>0.98</v>
      </c>
      <c r="AU364" s="10" t="n">
        <f aca="false">IF($C364="&lt;01","",SUM($AP364)-SUM($O364))</f>
        <v>0</v>
      </c>
      <c r="AV364" s="10" t="n">
        <f aca="false">IF($C364="&lt;01",ROUND(INDEX(EID!$N:$N,MATCH($B364,EID!$B:$B,0))/2,0),IF(SUM($AT364)=0,"",ROUND((SUM($AP364)-(SUM($O364)*SUM($AS364)))/$AT364,0)))</f>
        <v>0</v>
      </c>
      <c r="AW364" s="88" t="n">
        <f aca="false">IF($C364="&lt;01","",100%)</f>
        <v>1</v>
      </c>
      <c r="AX364" s="39" t="n">
        <f aca="false">IF($C364="&lt;01",SUM($AV364),ROUND(SUM($AV364)*SUM($AW364),0))</f>
        <v>0</v>
      </c>
      <c r="AY364" s="114" t="n">
        <f aca="false">IF($C364="&lt;01","",70%)</f>
        <v>0.7</v>
      </c>
      <c r="AZ364" s="91" t="n">
        <f aca="false">IF($C364="&lt;01",ROUND(INDEX(EID!$R:$R,MATCH($B364,EID!$B:$B,0))/2,0),ROUND(SUM($O364)+(SUM($AV364)*$AY364),0))</f>
        <v>0</v>
      </c>
      <c r="BA364" s="87" t="n">
        <f aca="false">IF($C364="&lt;01","",95%)</f>
        <v>0.95</v>
      </c>
      <c r="BB364" s="5" t="n">
        <f aca="false">IF($C364="&lt;01",ROUND(INDEX(EID!$T:$T,MATCH($B364,EID!$B:$B,0))/2,0),ROUND($AZ364*$BA364,0))</f>
        <v>0</v>
      </c>
      <c r="BC364" s="91" t="n">
        <f aca="false">IF(LEFT($B364,4)="_Mil","",IF(SUM($BB364)=0,SUM($AD364),IF(OR(SUM($AP364)=0,SUM($AQ364)=0),MAX($BB364,$AD364),ROUND($BB364*$AQ364/$AP364,0))))</f>
        <v>0</v>
      </c>
      <c r="BD364" s="88" t="n">
        <f aca="false">IF($C364="&lt;01","",95%)</f>
        <v>0.95</v>
      </c>
      <c r="BE364" s="39" t="n">
        <f aca="false">IF($C364="&lt;01",ROUND(INDEX(EID!$V:$V,MATCH($B364,EID!$B:$B,0))/2,0),ROUND($BD364*$BB364,0))</f>
        <v>0</v>
      </c>
      <c r="BF364" s="39" t="n">
        <f aca="false">IF(LEFT($B364,4)="_Mil","",IF(SUM($BE364)=0,SUM($AF364),IF(OR(SUM($AP364)=0,SUM($AQ364)=0),MAX($BE364,$AF364),ROUND($BE364*$AQ364/$AP364,0))))</f>
        <v>0</v>
      </c>
      <c r="BG364" s="114" t="n">
        <f aca="false">IF($C364="&lt;01","",95%)</f>
        <v>0.95</v>
      </c>
      <c r="BH364" s="5" t="n">
        <f aca="false">IF($C364="&lt;01",ROUND(INDEX(EID!$L:$L,MATCH($B364,EID!$B:$B,0)),0)/2,IF(SUM($BG364)=0,"",ROUND($AX364/$BG364,0)))</f>
        <v>0</v>
      </c>
    </row>
    <row r="365" customFormat="false" ht="15" hidden="false" customHeight="false" outlineLevel="0" collapsed="false">
      <c r="A365" s="0" t="str">
        <f aca="false">INDEX(Prioritization!$D:$D,MATCH($B365,Prioritization!$A:$A,0))</f>
        <v>INVALID</v>
      </c>
      <c r="B365" s="0" t="s">
        <v>219</v>
      </c>
      <c r="C365" s="0" t="s">
        <v>316</v>
      </c>
      <c r="D365" s="0" t="s">
        <v>30</v>
      </c>
      <c r="E365" s="0" t="str">
        <f aca="false">$B365&amp;"|"&amp;$C365&amp;"|"&amp;$D365</f>
        <v>Nsanje District [rpw540fmNUz]|&lt;01|Female</v>
      </c>
      <c r="F365" s="10"/>
      <c r="G365" s="10" t="n">
        <v>34</v>
      </c>
      <c r="H365" s="10" t="n">
        <v>3</v>
      </c>
      <c r="I365" s="10" t="n">
        <v>1</v>
      </c>
      <c r="J365" s="10" t="n">
        <v>3</v>
      </c>
      <c r="K365" s="10" t="n">
        <v>2</v>
      </c>
      <c r="L365" s="10"/>
      <c r="M365" s="10" t="n">
        <v>0</v>
      </c>
      <c r="N365" s="10" t="n">
        <v>0</v>
      </c>
      <c r="O365" s="10" t="n">
        <f aca="false">IFERROR(1/(1/MAX($I365,$N365)),"")</f>
        <v>1</v>
      </c>
      <c r="P365" s="10" t="n">
        <v>0</v>
      </c>
      <c r="Q365" s="10" t="n">
        <v>1</v>
      </c>
      <c r="R365" s="10" t="n">
        <f aca="false">IF(AND(SUM($I365)=0,SUM($O365)=0),"",SUM($O365)-$I365)</f>
        <v>0</v>
      </c>
      <c r="S365" s="10" t="n">
        <f aca="false">IF(LEFT($B365,4)="_Mil","",_xlfn.IFNA(ROUND(INDEX(Spectrum!$N:$N,MATCH(RIGHT($B365,13)&amp;"|"&amp;$C365&amp;"|"&amp;$D365&amp;"|"&amp;S$14&amp;"|"&amp;"CY2022Q4",Spectrum!$R:$R,0)),0),""))</f>
        <v>1188</v>
      </c>
      <c r="T365" s="39" t="n">
        <f aca="false">IF(LEFT($B365,4)="_Mil","",_xlfn.IFNA(ROUND(INDEX(Spectrum!$N:$N,MATCH(RIGHT($B365,13)&amp;"|"&amp;$C365&amp;"|"&amp;$D365&amp;"|"&amp;T$14&amp;"|"&amp;"CY2023Q3",Spectrum!$R:$R,0)),0),""))</f>
        <v>582</v>
      </c>
      <c r="U365" s="39" t="str">
        <f aca="false">IF(LEFT($B365,4)="_Mil","",_xlfn.IFNA(ROUND(INDEX(Spectrum!$N:$N,MATCH(RIGHT($B365,13)&amp;"|"&amp;$C365&amp;"|"&amp;$D365&amp;"|"&amp;U$14&amp;"|"&amp;"CY2023Q3",Spectrum!$R:$R,0)),0),""))</f>
        <v/>
      </c>
      <c r="V365" s="10" t="n">
        <f aca="false">IF(LEFT($B365,4)="_Mil","",_xlfn.IFNA(ROUND(INDEX(Spectrum!$N:$N,MATCH(RIGHT($B365,13)&amp;"|"&amp;$C365&amp;"|"&amp;$D365&amp;"|"&amp;V$14&amp;"|"&amp;"CY2023Q3",Spectrum!$R:$R,0)),0),""))</f>
        <v>733</v>
      </c>
      <c r="W365" s="113" t="n">
        <f aca="false">IF(LEFT($B365,4)="_Mil","",_xlfn.IFNA(INDEX(Spectrum!$N:$N,MATCH(RIGHT($B365,13)&amp;"|"&amp;$C365&amp;"|"&amp;$D365&amp;"|"&amp;W$14&amp;"|"&amp;"CY2023Q3",Spectrum!$R:$R,0)),""))</f>
        <v>987</v>
      </c>
      <c r="X365" s="39" t="n">
        <f aca="false">IF(LEFT($B365,4)="_Mil","",_xlfn.IFNA(ROUND(INDEX(Spectrum!$N:$N,MATCH(RIGHT($B365,13)&amp;"|"&amp;$C365&amp;"|"&amp;$D365&amp;"|"&amp;X$14&amp;"|"&amp;"CY2023Q3",Spectrum!$R:$R,0)),0),""))</f>
        <v>1693</v>
      </c>
      <c r="Y365" s="88" t="str">
        <f aca="false">IF(OR(SUM($U365)=0,LEFT($B365,4)="_Mil"),"",SUM($X365)/$U365)</f>
        <v/>
      </c>
      <c r="Z365" s="39" t="n">
        <f aca="false">IF(LEFT($B365,4)="_Mil","",_xlfn.IFNA(ROUND(INDEX(Spectrum!$N:$N,MATCH(RIGHT($B365,13)&amp;"|"&amp;$C365&amp;"|"&amp;$D365&amp;"|"&amp;Z$14&amp;"|"&amp;"CY2023Q3",Spectrum!$R:$R,0)),0),""))</f>
        <v>1849</v>
      </c>
      <c r="AA365" s="88" t="n">
        <f aca="false">IF(LEFT($B365,4)="_Mil","",IFERROR(1/(1/INDEX(Spectrum!$N:$N,MATCH(RIGHT($B365,13)&amp;"|"&amp;$C365&amp;"|"&amp;$D365&amp;"|"&amp;AA$14&amp;"|"&amp;"CY2023Q3",Spectrum!$R:$R,0))),IF(SUM($U365)=0,"",SUM($Z365)/$U365)))</f>
        <v>1246</v>
      </c>
      <c r="AB365" s="88" t="n">
        <f aca="false">IF(OR(LEFT($B365,4)="_Mil",SUM($X365)=0),"",SUM($Z365)/$X365)</f>
        <v>1.09214412285883</v>
      </c>
      <c r="AC365" s="10" t="n">
        <f aca="false">IF(LEFT($B365,4)="_Mil","",_xlfn.IFNA(ROUND(INDEX(Spectrum!$N:$N,MATCH(RIGHT($B365,13)&amp;"|"&amp;$C365&amp;"|"&amp;$D365&amp;"|"&amp;AC$14&amp;"|"&amp;"CY2023Q3",Spectrum!$R:$R,0)),0),""))</f>
        <v>606</v>
      </c>
      <c r="AD365" s="10" t="str">
        <f aca="false">IF(LEFT($B365,4)="_Mil","",_xlfn.IFNA(ROUND(INDEX(Spectrum!$N:$N,MATCH(RIGHT($B365,13)&amp;"|"&amp;$C365&amp;"|"&amp;$D365&amp;"|"&amp;AD$14&amp;"|"&amp;"CY2023Q3",Spectrum!$R:$R,0)),0),""))</f>
        <v/>
      </c>
      <c r="AE365" s="88" t="n">
        <f aca="false">IF(OR(LEFT($B365,4)="_Mil",SUM($Z365)=0),"",SUM($AD365)/$Z365)</f>
        <v>0</v>
      </c>
      <c r="AF365" s="39" t="str">
        <f aca="false">IF(LEFT($B365,4)="_Mil","",_xlfn.IFNA(ROUND(INDEX(Spectrum!$N:$N,MATCH(RIGHT($B365,13)&amp;"|"&amp;$C365&amp;"|"&amp;$D365&amp;"|"&amp;AF$14&amp;"|"&amp;"CY2023Q3",Spectrum!$R:$R,0)),0),""))</f>
        <v/>
      </c>
      <c r="AG365" s="88" t="str">
        <f aca="false">IF(OR(LEFT($B365,4)="_Mil",SUM($AD365)=0),"",SUM($AF365)/$AD365)</f>
        <v/>
      </c>
      <c r="AH365" s="86" t="str">
        <f aca="false">IF(LEFT($B365,4)="_Mil","",_xlfn.IFNA(INDEX(Spectrum!$N:$N,MATCH(RIGHT($B365,13)&amp;"|"&amp;$C365&amp;"|"&amp;$D365&amp;"|"&amp;AH$14&amp;"|"&amp;"CY2023Q3",Spectrum!$R:$R,0)),""))</f>
        <v/>
      </c>
      <c r="AI365" s="10" t="str">
        <f aca="false">IF(LEFT($B365,4)="_Mil","",_xlfn.IFNA(ROUND(INDEX(Spectrum!$N:$N,MATCH(RIGHT($B365,13)&amp;"|"&amp;$C365&amp;"|"&amp;$D365&amp;"|"&amp;AI$14&amp;"|"&amp;"CY2023Q3",Spectrum!$R:$R,0)),0),""))</f>
        <v/>
      </c>
      <c r="AJ365" s="39" t="n">
        <f aca="false">IF(LEFT($B365,4)="_Mil","",_xlfn.IFNA(ROUND(INDEX(Spectrum!$N:$N,MATCH(RIGHT($B365,13)&amp;"|"&amp;$C365&amp;"|"&amp;$D365&amp;"|"&amp;AI$14&amp;"|"&amp;"CY2023Q3",Spectrum!$R:$R,0)),0),SUM($U365)+SUM($AI365)))</f>
        <v>0</v>
      </c>
      <c r="AK365" s="10" t="str">
        <f aca="false">IF(LEFT($B365,4)="_Mil","",_xlfn.IFNA(ROUND(INDEX(Spectrum!$N:$N,MATCH(RIGHT($B365,13)&amp;"|"&amp;$C365&amp;"|"&amp;$D365&amp;"|"&amp;AK$14&amp;"|"&amp;"CY2023Q3",Spectrum!$R:$R,0)),0),""))</f>
        <v/>
      </c>
      <c r="AL365" s="88" t="str">
        <f aca="false">IF(OR(LEFT($B365,4)="_Mil",$C365="&lt;01"),"",MAX(SUM($AA365),90%))</f>
        <v/>
      </c>
      <c r="AM365" s="10" t="str">
        <f aca="false">IF(OR(LEFT($B365,4)="_Mil",$C365="&lt;01"),"",ROUND(SUM($AJ365)*SUM($AL365),0))</f>
        <v/>
      </c>
      <c r="AN365" s="10" t="n">
        <f aca="false">IF($C365="&lt;01",ROUND(INDEX(EID!$P:$P,MATCH($B365,EID!$B:$B,0))/2,0),"")</f>
        <v>0</v>
      </c>
      <c r="AO365" s="10" t="n">
        <f aca="false">IF($C365="&lt;01",SUM($AN365),ROUND(SUM($AM365)*SUM($O365)/IF(SUM($Z365)=0,1,$Z365),0))</f>
        <v>0</v>
      </c>
      <c r="AP365" s="39" t="n">
        <f aca="false">IF(OR($F365="",$C365="&lt;01"),$AO365,$F365)</f>
        <v>0</v>
      </c>
      <c r="AQ365" s="39" t="n">
        <f aca="false">IF(LEFT($B365,4)="_Mil","",IF(SUM($AP365)=0,SUM($Z365),IF(OR(SUM($Z365)=0,SUM($O365)=0),MAX($AP365,$Z365),$AP365*$Z365/$O365)))</f>
        <v>1849</v>
      </c>
      <c r="AR365" s="88" t="str">
        <f aca="false">IF(OR(LEFT($B365,4)="_Mil",SUM($AJ365)=0),"",SUM($AQ365)/$AJ365)</f>
        <v/>
      </c>
      <c r="AS365" s="88" t="str">
        <f aca="false">IF($C365="&lt;01","",98%)</f>
        <v/>
      </c>
      <c r="AT365" s="88" t="str">
        <f aca="false">IF($C365="&lt;01","",98%)</f>
        <v/>
      </c>
      <c r="AU365" s="10" t="str">
        <f aca="false">IF($C365="&lt;01","",SUM($AP365)-SUM($O365))</f>
        <v/>
      </c>
      <c r="AV365" s="10" t="n">
        <f aca="false">IF($C365="&lt;01",ROUND(INDEX(EID!$N:$N,MATCH($B365,EID!$B:$B,0))/2,0),IF(SUM($AT365)=0,"",ROUND((SUM($AP365)-(SUM($O365)*SUM($AS365)))/$AT365,0)))</f>
        <v>0</v>
      </c>
      <c r="AW365" s="88" t="str">
        <f aca="false">IF($C365="&lt;01","",100%)</f>
        <v/>
      </c>
      <c r="AX365" s="39" t="n">
        <f aca="false">IF($C365="&lt;01",SUM($AV365),ROUND(SUM($AV365)*SUM($AW365),0))</f>
        <v>0</v>
      </c>
      <c r="AY365" s="114" t="str">
        <f aca="false">IF($C365="&lt;01","",70%)</f>
        <v/>
      </c>
      <c r="AZ365" s="91" t="n">
        <f aca="false">IF($C365="&lt;01",ROUND(INDEX(EID!$R:$R,MATCH($B365,EID!$B:$B,0))/2,0),ROUND(SUM($O365)+(SUM($AV365)*$AY365),0))</f>
        <v>0</v>
      </c>
      <c r="BA365" s="87" t="str">
        <f aca="false">IF($C365="&lt;01","",95%)</f>
        <v/>
      </c>
      <c r="BB365" s="5" t="n">
        <f aca="false">IF($C365="&lt;01",ROUND(INDEX(EID!$T:$T,MATCH($B365,EID!$B:$B,0))/2,0),ROUND($AZ365*$BA365,0))</f>
        <v>0</v>
      </c>
      <c r="BC365" s="91" t="n">
        <f aca="false">IF(LEFT($B365,4)="_Mil","",IF(SUM($BB365)=0,SUM($AD365),IF(OR(SUM($AP365)=0,SUM($AQ365)=0),MAX($BB365,$AD365),ROUND($BB365*$AQ365/$AP365,0))))</f>
        <v>0</v>
      </c>
      <c r="BD365" s="88" t="str">
        <f aca="false">IF($C365="&lt;01","",95%)</f>
        <v/>
      </c>
      <c r="BE365" s="39" t="n">
        <f aca="false">IF($C365="&lt;01",ROUND(INDEX(EID!$V:$V,MATCH($B365,EID!$B:$B,0))/2,0),ROUND($BD365*$BB365,0))</f>
        <v>0</v>
      </c>
      <c r="BF365" s="39" t="n">
        <f aca="false">IF(LEFT($B365,4)="_Mil","",IF(SUM($BE365)=0,SUM($AF365),IF(OR(SUM($AP365)=0,SUM($AQ365)=0),MAX($BE365,$AF365),ROUND($BE365*$AQ365/$AP365,0))))</f>
        <v>0</v>
      </c>
      <c r="BG365" s="114" t="str">
        <f aca="false">IF($C365="&lt;01","",95%)</f>
        <v/>
      </c>
      <c r="BH365" s="5" t="n">
        <f aca="false">IF($C365="&lt;01",ROUND(INDEX(EID!$L:$L,MATCH($B365,EID!$B:$B,0)),0)/2,IF(SUM($BG365)=0,"",ROUND($AX365/$BG365,0)))</f>
        <v>0</v>
      </c>
    </row>
    <row r="366" customFormat="false" ht="15" hidden="false" customHeight="false" outlineLevel="0" collapsed="false">
      <c r="A366" s="0" t="str">
        <f aca="false">INDEX(Prioritization!$D:$D,MATCH($B366,Prioritization!$A:$A,0))</f>
        <v>INVALID</v>
      </c>
      <c r="B366" s="0" t="s">
        <v>219</v>
      </c>
      <c r="C366" s="0" t="s">
        <v>316</v>
      </c>
      <c r="D366" s="0" t="s">
        <v>48</v>
      </c>
      <c r="E366" s="0" t="str">
        <f aca="false">$B366&amp;"|"&amp;$C366&amp;"|"&amp;$D366</f>
        <v>Nsanje District [rpw540fmNUz]|&lt;01|Male</v>
      </c>
      <c r="F366" s="10"/>
      <c r="G366" s="10" t="n">
        <v>88</v>
      </c>
      <c r="H366" s="10" t="n">
        <v>1</v>
      </c>
      <c r="I366" s="10" t="n">
        <v>1</v>
      </c>
      <c r="J366" s="10" t="n">
        <v>5</v>
      </c>
      <c r="K366" s="10" t="n">
        <v>5</v>
      </c>
      <c r="L366" s="10"/>
      <c r="M366" s="10" t="n">
        <v>0</v>
      </c>
      <c r="N366" s="10" t="n">
        <v>0</v>
      </c>
      <c r="O366" s="10" t="n">
        <f aca="false">IFERROR(1/(1/MAX($I366,$N366)),"")</f>
        <v>1</v>
      </c>
      <c r="P366" s="10" t="n">
        <v>0</v>
      </c>
      <c r="Q366" s="10" t="n">
        <v>0</v>
      </c>
      <c r="R366" s="10" t="n">
        <f aca="false">IF(AND(SUM($I366)=0,SUM($O366)=0),"",SUM($O366)-$I366)</f>
        <v>0</v>
      </c>
      <c r="S366" s="10" t="n">
        <f aca="false">IF(LEFT($B366,4)="_Mil","",_xlfn.IFNA(ROUND(INDEX(Spectrum!$N:$N,MATCH(RIGHT($B366,13)&amp;"|"&amp;$C366&amp;"|"&amp;$D366&amp;"|"&amp;S$14&amp;"|"&amp;"CY2022Q4",Spectrum!$R:$R,0)),0),""))</f>
        <v>639</v>
      </c>
      <c r="T366" s="39" t="n">
        <f aca="false">IF(LEFT($B366,4)="_Mil","",_xlfn.IFNA(ROUND(INDEX(Spectrum!$N:$N,MATCH(RIGHT($B366,13)&amp;"|"&amp;$C366&amp;"|"&amp;$D366&amp;"|"&amp;T$14&amp;"|"&amp;"CY2023Q3",Spectrum!$R:$R,0)),0),""))</f>
        <v>1120</v>
      </c>
      <c r="U366" s="39" t="str">
        <f aca="false">IF(LEFT($B366,4)="_Mil","",_xlfn.IFNA(ROUND(INDEX(Spectrum!$N:$N,MATCH(RIGHT($B366,13)&amp;"|"&amp;$C366&amp;"|"&amp;$D366&amp;"|"&amp;U$14&amp;"|"&amp;"CY2023Q3",Spectrum!$R:$R,0)),0),""))</f>
        <v/>
      </c>
      <c r="V366" s="10" t="n">
        <f aca="false">IF(LEFT($B366,4)="_Mil","",_xlfn.IFNA(ROUND(INDEX(Spectrum!$N:$N,MATCH(RIGHT($B366,13)&amp;"|"&amp;$C366&amp;"|"&amp;$D366&amp;"|"&amp;V$14&amp;"|"&amp;"CY2023Q3",Spectrum!$R:$R,0)),0),""))</f>
        <v>713</v>
      </c>
      <c r="W366" s="113" t="n">
        <f aca="false">IF(LEFT($B366,4)="_Mil","",_xlfn.IFNA(INDEX(Spectrum!$N:$N,MATCH(RIGHT($B366,13)&amp;"|"&amp;$C366&amp;"|"&amp;$D366&amp;"|"&amp;W$14&amp;"|"&amp;"CY2023Q3",Spectrum!$R:$R,0)),""))</f>
        <v>1624</v>
      </c>
      <c r="X366" s="39" t="n">
        <f aca="false">IF(LEFT($B366,4)="_Mil","",_xlfn.IFNA(ROUND(INDEX(Spectrum!$N:$N,MATCH(RIGHT($B366,13)&amp;"|"&amp;$C366&amp;"|"&amp;$D366&amp;"|"&amp;X$14&amp;"|"&amp;"CY2023Q3",Spectrum!$R:$R,0)),0),""))</f>
        <v>979</v>
      </c>
      <c r="Y366" s="88" t="str">
        <f aca="false">IF(OR(SUM($U366)=0,LEFT($B366,4)="_Mil"),"",SUM($X366)/$U366)</f>
        <v/>
      </c>
      <c r="Z366" s="39" t="n">
        <f aca="false">IF(LEFT($B366,4)="_Mil","",_xlfn.IFNA(ROUND(INDEX(Spectrum!$N:$N,MATCH(RIGHT($B366,13)&amp;"|"&amp;$C366&amp;"|"&amp;$D366&amp;"|"&amp;Z$14&amp;"|"&amp;"CY2023Q3",Spectrum!$R:$R,0)),0),""))</f>
        <v>982</v>
      </c>
      <c r="AA366" s="88" t="n">
        <f aca="false">IF(LEFT($B366,4)="_Mil","",IFERROR(1/(1/INDEX(Spectrum!$N:$N,MATCH(RIGHT($B366,13)&amp;"|"&amp;$C366&amp;"|"&amp;$D366&amp;"|"&amp;AA$14&amp;"|"&amp;"CY2023Q3",Spectrum!$R:$R,0))),IF(SUM($U366)=0,"",SUM($Z366)/$U366)))</f>
        <v>790</v>
      </c>
      <c r="AB366" s="88" t="n">
        <f aca="false">IF(OR(LEFT($B366,4)="_Mil",SUM($X366)=0),"",SUM($Z366)/$X366)</f>
        <v>1.00306435137896</v>
      </c>
      <c r="AC366" s="10" t="n">
        <f aca="false">IF(LEFT($B366,4)="_Mil","",_xlfn.IFNA(ROUND(INDEX(Spectrum!$N:$N,MATCH(RIGHT($B366,13)&amp;"|"&amp;$C366&amp;"|"&amp;$D366&amp;"|"&amp;AC$14&amp;"|"&amp;"CY2023Q3",Spectrum!$R:$R,0)),0),""))</f>
        <v>1163</v>
      </c>
      <c r="AD366" s="10" t="str">
        <f aca="false">IF(LEFT($B366,4)="_Mil","",_xlfn.IFNA(ROUND(INDEX(Spectrum!$N:$N,MATCH(RIGHT($B366,13)&amp;"|"&amp;$C366&amp;"|"&amp;$D366&amp;"|"&amp;AD$14&amp;"|"&amp;"CY2023Q3",Spectrum!$R:$R,0)),0),""))</f>
        <v/>
      </c>
      <c r="AE366" s="88" t="n">
        <f aca="false">IF(OR(LEFT($B366,4)="_Mil",SUM($Z366)=0),"",SUM($AD366)/$Z366)</f>
        <v>0</v>
      </c>
      <c r="AF366" s="39" t="str">
        <f aca="false">IF(LEFT($B366,4)="_Mil","",_xlfn.IFNA(ROUND(INDEX(Spectrum!$N:$N,MATCH(RIGHT($B366,13)&amp;"|"&amp;$C366&amp;"|"&amp;$D366&amp;"|"&amp;AF$14&amp;"|"&amp;"CY2023Q3",Spectrum!$R:$R,0)),0),""))</f>
        <v/>
      </c>
      <c r="AG366" s="88" t="str">
        <f aca="false">IF(OR(LEFT($B366,4)="_Mil",SUM($AD366)=0),"",SUM($AF366)/$AD366)</f>
        <v/>
      </c>
      <c r="AH366" s="86" t="str">
        <f aca="false">IF(LEFT($B366,4)="_Mil","",_xlfn.IFNA(INDEX(Spectrum!$N:$N,MATCH(RIGHT($B366,13)&amp;"|"&amp;$C366&amp;"|"&amp;$D366&amp;"|"&amp;AH$14&amp;"|"&amp;"CY2023Q3",Spectrum!$R:$R,0)),""))</f>
        <v/>
      </c>
      <c r="AI366" s="10" t="str">
        <f aca="false">IF(LEFT($B366,4)="_Mil","",_xlfn.IFNA(ROUND(INDEX(Spectrum!$N:$N,MATCH(RIGHT($B366,13)&amp;"|"&amp;$C366&amp;"|"&amp;$D366&amp;"|"&amp;AI$14&amp;"|"&amp;"CY2023Q3",Spectrum!$R:$R,0)),0),""))</f>
        <v/>
      </c>
      <c r="AJ366" s="39" t="n">
        <f aca="false">IF(LEFT($B366,4)="_Mil","",_xlfn.IFNA(ROUND(INDEX(Spectrum!$N:$N,MATCH(RIGHT($B366,13)&amp;"|"&amp;$C366&amp;"|"&amp;$D366&amp;"|"&amp;AI$14&amp;"|"&amp;"CY2023Q3",Spectrum!$R:$R,0)),0),SUM($U366)+SUM($AI366)))</f>
        <v>0</v>
      </c>
      <c r="AK366" s="10" t="str">
        <f aca="false">IF(LEFT($B366,4)="_Mil","",_xlfn.IFNA(ROUND(INDEX(Spectrum!$N:$N,MATCH(RIGHT($B366,13)&amp;"|"&amp;$C366&amp;"|"&amp;$D366&amp;"|"&amp;AK$14&amp;"|"&amp;"CY2023Q3",Spectrum!$R:$R,0)),0),""))</f>
        <v/>
      </c>
      <c r="AL366" s="88" t="str">
        <f aca="false">IF(OR(LEFT($B366,4)="_Mil",$C366="&lt;01"),"",MAX(SUM($AA366),90%))</f>
        <v/>
      </c>
      <c r="AM366" s="10" t="str">
        <f aca="false">IF(OR(LEFT($B366,4)="_Mil",$C366="&lt;01"),"",ROUND(SUM($AJ366)*SUM($AL366),0))</f>
        <v/>
      </c>
      <c r="AN366" s="10" t="n">
        <f aca="false">IF($C366="&lt;01",ROUND(INDEX(EID!$P:$P,MATCH($B366,EID!$B:$B,0))/2,0),"")</f>
        <v>0</v>
      </c>
      <c r="AO366" s="10" t="n">
        <f aca="false">IF($C366="&lt;01",SUM($AN366),ROUND(SUM($AM366)*SUM($O366)/IF(SUM($Z366)=0,1,$Z366),0))</f>
        <v>0</v>
      </c>
      <c r="AP366" s="39" t="n">
        <f aca="false">IF(OR($F366="",$C366="&lt;01"),$AO366,$F366)</f>
        <v>0</v>
      </c>
      <c r="AQ366" s="39" t="n">
        <f aca="false">IF(LEFT($B366,4)="_Mil","",IF(SUM($AP366)=0,SUM($Z366),IF(OR(SUM($Z366)=0,SUM($O366)=0),MAX($AP366,$Z366),$AP366*$Z366/$O366)))</f>
        <v>982</v>
      </c>
      <c r="AR366" s="88" t="str">
        <f aca="false">IF(OR(LEFT($B366,4)="_Mil",SUM($AJ366)=0),"",SUM($AQ366)/$AJ366)</f>
        <v/>
      </c>
      <c r="AS366" s="88" t="str">
        <f aca="false">IF($C366="&lt;01","",98%)</f>
        <v/>
      </c>
      <c r="AT366" s="88" t="str">
        <f aca="false">IF($C366="&lt;01","",98%)</f>
        <v/>
      </c>
      <c r="AU366" s="10" t="str">
        <f aca="false">IF($C366="&lt;01","",SUM($AP366)-SUM($O366))</f>
        <v/>
      </c>
      <c r="AV366" s="10" t="n">
        <f aca="false">IF($C366="&lt;01",ROUND(INDEX(EID!$N:$N,MATCH($B366,EID!$B:$B,0))/2,0),IF(SUM($AT366)=0,"",ROUND((SUM($AP366)-(SUM($O366)*SUM($AS366)))/$AT366,0)))</f>
        <v>0</v>
      </c>
      <c r="AW366" s="88" t="str">
        <f aca="false">IF($C366="&lt;01","",100%)</f>
        <v/>
      </c>
      <c r="AX366" s="39" t="n">
        <f aca="false">IF($C366="&lt;01",SUM($AV366),ROUND(SUM($AV366)*SUM($AW366),0))</f>
        <v>0</v>
      </c>
      <c r="AY366" s="114" t="str">
        <f aca="false">IF($C366="&lt;01","",70%)</f>
        <v/>
      </c>
      <c r="AZ366" s="91" t="n">
        <f aca="false">IF($C366="&lt;01",ROUND(INDEX(EID!$R:$R,MATCH($B366,EID!$B:$B,0))/2,0),ROUND(SUM($O366)+(SUM($AV366)*$AY366),0))</f>
        <v>0</v>
      </c>
      <c r="BA366" s="87" t="str">
        <f aca="false">IF($C366="&lt;01","",95%)</f>
        <v/>
      </c>
      <c r="BB366" s="5" t="n">
        <f aca="false">IF($C366="&lt;01",ROUND(INDEX(EID!$T:$T,MATCH($B366,EID!$B:$B,0))/2,0),ROUND($AZ366*$BA366,0))</f>
        <v>0</v>
      </c>
      <c r="BC366" s="91" t="n">
        <f aca="false">IF(LEFT($B366,4)="_Mil","",IF(SUM($BB366)=0,SUM($AD366),IF(OR(SUM($AP366)=0,SUM($AQ366)=0),MAX($BB366,$AD366),ROUND($BB366*$AQ366/$AP366,0))))</f>
        <v>0</v>
      </c>
      <c r="BD366" s="88" t="str">
        <f aca="false">IF($C366="&lt;01","",95%)</f>
        <v/>
      </c>
      <c r="BE366" s="39" t="n">
        <f aca="false">IF($C366="&lt;01",ROUND(INDEX(EID!$V:$V,MATCH($B366,EID!$B:$B,0))/2,0),ROUND($BD366*$BB366,0))</f>
        <v>0</v>
      </c>
      <c r="BF366" s="39" t="n">
        <f aca="false">IF(LEFT($B366,4)="_Mil","",IF(SUM($BE366)=0,SUM($AF366),IF(OR(SUM($AP366)=0,SUM($AQ366)=0),MAX($BE366,$AF366),ROUND($BE366*$AQ366/$AP366,0))))</f>
        <v>0</v>
      </c>
      <c r="BG366" s="114" t="str">
        <f aca="false">IF($C366="&lt;01","",95%)</f>
        <v/>
      </c>
      <c r="BH366" s="5" t="n">
        <f aca="false">IF($C366="&lt;01",ROUND(INDEX(EID!$L:$L,MATCH($B366,EID!$B:$B,0)),0)/2,IF(SUM($BG366)=0,"",ROUND($AX366/$BG366,0)))</f>
        <v>0</v>
      </c>
    </row>
    <row r="367" customFormat="false" ht="15" hidden="false" customHeight="false" outlineLevel="0" collapsed="false">
      <c r="A367" s="0" t="str">
        <f aca="false">INDEX(Prioritization!$D:$D,MATCH($B367,Prioritization!$A:$A,0))</f>
        <v>INVALID</v>
      </c>
      <c r="B367" s="0" t="s">
        <v>219</v>
      </c>
      <c r="C367" s="0" t="s">
        <v>363</v>
      </c>
      <c r="D367" s="0" t="s">
        <v>30</v>
      </c>
      <c r="E367" s="0" t="str">
        <f aca="false">$B367&amp;"|"&amp;$C367&amp;"|"&amp;$D367</f>
        <v>Nsanje District [rpw540fmNUz]|01-09|Female</v>
      </c>
      <c r="F367" s="10"/>
      <c r="G367" s="10"/>
      <c r="H367" s="10"/>
      <c r="I367" s="10"/>
      <c r="J367" s="10"/>
      <c r="K367" s="10"/>
      <c r="L367" s="10"/>
      <c r="M367" s="10"/>
      <c r="N367" s="10"/>
      <c r="O367" s="10" t="str">
        <f aca="false">IFERROR(1/(1/MAX($I367,$N367)),"")</f>
        <v/>
      </c>
      <c r="P367" s="10"/>
      <c r="Q367" s="10"/>
      <c r="R367" s="10" t="str">
        <f aca="false">IF(AND(SUM($I367)=0,SUM($O367)=0),"",SUM($O367)-$I367)</f>
        <v/>
      </c>
      <c r="S367" s="10" t="n">
        <f aca="false">IF(LEFT($B367,4)="_Mil","",_xlfn.IFNA(ROUND(INDEX(Spectrum!$N:$N,MATCH(RIGHT($B367,13)&amp;"|"&amp;$C367&amp;"|"&amp;$D367&amp;"|"&amp;S$14&amp;"|"&amp;"CY2022Q4",Spectrum!$R:$R,0)),0),""))</f>
        <v>1558</v>
      </c>
      <c r="T367" s="39" t="n">
        <f aca="false">IF(LEFT($B367,4)="_Mil","",_xlfn.IFNA(ROUND(INDEX(Spectrum!$N:$N,MATCH(RIGHT($B367,13)&amp;"|"&amp;$C367&amp;"|"&amp;$D367&amp;"|"&amp;T$14&amp;"|"&amp;"CY2023Q3",Spectrum!$R:$R,0)),0),""))</f>
        <v>754</v>
      </c>
      <c r="U367" s="39" t="str">
        <f aca="false">IF(LEFT($B367,4)="_Mil","",_xlfn.IFNA(ROUND(INDEX(Spectrum!$N:$N,MATCH(RIGHT($B367,13)&amp;"|"&amp;$C367&amp;"|"&amp;$D367&amp;"|"&amp;U$14&amp;"|"&amp;"CY2023Q3",Spectrum!$R:$R,0)),0),""))</f>
        <v/>
      </c>
      <c r="V367" s="10" t="n">
        <f aca="false">IF(LEFT($B367,4)="_Mil","",_xlfn.IFNA(ROUND(INDEX(Spectrum!$N:$N,MATCH(RIGHT($B367,13)&amp;"|"&amp;$C367&amp;"|"&amp;$D367&amp;"|"&amp;V$14&amp;"|"&amp;"CY2023Q3",Spectrum!$R:$R,0)),0),""))</f>
        <v>1489</v>
      </c>
      <c r="W367" s="113" t="n">
        <f aca="false">IF(LEFT($B367,4)="_Mil","",_xlfn.IFNA(INDEX(Spectrum!$N:$N,MATCH(RIGHT($B367,13)&amp;"|"&amp;$C367&amp;"|"&amp;$D367&amp;"|"&amp;W$14&amp;"|"&amp;"CY2023Q3",Spectrum!$R:$R,0)),""))</f>
        <v>1045</v>
      </c>
      <c r="X367" s="39" t="n">
        <f aca="false">IF(LEFT($B367,4)="_Mil","",_xlfn.IFNA(ROUND(INDEX(Spectrum!$N:$N,MATCH(RIGHT($B367,13)&amp;"|"&amp;$C367&amp;"|"&amp;$D367&amp;"|"&amp;X$14&amp;"|"&amp;"CY2023Q3",Spectrum!$R:$R,0)),0),""))</f>
        <v>1253</v>
      </c>
      <c r="Y367" s="88" t="str">
        <f aca="false">IF(OR(SUM($U367)=0,LEFT($B367,4)="_Mil"),"",SUM($X367)/$U367)</f>
        <v/>
      </c>
      <c r="Z367" s="39" t="n">
        <f aca="false">IF(LEFT($B367,4)="_Mil","",_xlfn.IFNA(ROUND(INDEX(Spectrum!$N:$N,MATCH(RIGHT($B367,13)&amp;"|"&amp;$C367&amp;"|"&amp;$D367&amp;"|"&amp;Z$14&amp;"|"&amp;"CY2023Q3",Spectrum!$R:$R,0)),0),""))</f>
        <v>1552</v>
      </c>
      <c r="AA367" s="88" t="n">
        <f aca="false">IF(LEFT($B367,4)="_Mil","",IFERROR(1/(1/INDEX(Spectrum!$N:$N,MATCH(RIGHT($B367,13)&amp;"|"&amp;$C367&amp;"|"&amp;$D367&amp;"|"&amp;AA$14&amp;"|"&amp;"CY2023Q3",Spectrum!$R:$R,0))),IF(SUM($U367)=0,"",SUM($Z367)/$U367)))</f>
        <v>1844</v>
      </c>
      <c r="AB367" s="88" t="n">
        <f aca="false">IF(OR(LEFT($B367,4)="_Mil",SUM($X367)=0),"",SUM($Z367)/$X367)</f>
        <v>1.23862729449322</v>
      </c>
      <c r="AC367" s="10" t="n">
        <f aca="false">IF(LEFT($B367,4)="_Mil","",_xlfn.IFNA(ROUND(INDEX(Spectrum!$N:$N,MATCH(RIGHT($B367,13)&amp;"|"&amp;$C367&amp;"|"&amp;$D367&amp;"|"&amp;AC$14&amp;"|"&amp;"CY2023Q3",Spectrum!$R:$R,0)),0),""))</f>
        <v>1703</v>
      </c>
      <c r="AD367" s="10" t="str">
        <f aca="false">IF(LEFT($B367,4)="_Mil","",_xlfn.IFNA(ROUND(INDEX(Spectrum!$N:$N,MATCH(RIGHT($B367,13)&amp;"|"&amp;$C367&amp;"|"&amp;$D367&amp;"|"&amp;AD$14&amp;"|"&amp;"CY2023Q3",Spectrum!$R:$R,0)),0),""))</f>
        <v/>
      </c>
      <c r="AE367" s="88" t="n">
        <f aca="false">IF(OR(LEFT($B367,4)="_Mil",SUM($Z367)=0),"",SUM($AD367)/$Z367)</f>
        <v>0</v>
      </c>
      <c r="AF367" s="39" t="str">
        <f aca="false">IF(LEFT($B367,4)="_Mil","",_xlfn.IFNA(ROUND(INDEX(Spectrum!$N:$N,MATCH(RIGHT($B367,13)&amp;"|"&amp;$C367&amp;"|"&amp;$D367&amp;"|"&amp;AF$14&amp;"|"&amp;"CY2023Q3",Spectrum!$R:$R,0)),0),""))</f>
        <v/>
      </c>
      <c r="AG367" s="88" t="str">
        <f aca="false">IF(OR(LEFT($B367,4)="_Mil",SUM($AD367)=0),"",SUM($AF367)/$AD367)</f>
        <v/>
      </c>
      <c r="AH367" s="86" t="str">
        <f aca="false">IF(LEFT($B367,4)="_Mil","",_xlfn.IFNA(INDEX(Spectrum!$N:$N,MATCH(RIGHT($B367,13)&amp;"|"&amp;$C367&amp;"|"&amp;$D367&amp;"|"&amp;AH$14&amp;"|"&amp;"CY2023Q3",Spectrum!$R:$R,0)),""))</f>
        <v/>
      </c>
      <c r="AI367" s="10" t="str">
        <f aca="false">IF(LEFT($B367,4)="_Mil","",_xlfn.IFNA(ROUND(INDEX(Spectrum!$N:$N,MATCH(RIGHT($B367,13)&amp;"|"&amp;$C367&amp;"|"&amp;$D367&amp;"|"&amp;AI$14&amp;"|"&amp;"CY2023Q3",Spectrum!$R:$R,0)),0),""))</f>
        <v/>
      </c>
      <c r="AJ367" s="39" t="n">
        <f aca="false">IF(LEFT($B367,4)="_Mil","",_xlfn.IFNA(ROUND(INDEX(Spectrum!$N:$N,MATCH(RIGHT($B367,13)&amp;"|"&amp;$C367&amp;"|"&amp;$D367&amp;"|"&amp;AI$14&amp;"|"&amp;"CY2023Q3",Spectrum!$R:$R,0)),0),SUM($U367)+SUM($AI367)))</f>
        <v>0</v>
      </c>
      <c r="AK367" s="10" t="str">
        <f aca="false">IF(LEFT($B367,4)="_Mil","",_xlfn.IFNA(ROUND(INDEX(Spectrum!$N:$N,MATCH(RIGHT($B367,13)&amp;"|"&amp;$C367&amp;"|"&amp;$D367&amp;"|"&amp;AK$14&amp;"|"&amp;"CY2023Q3",Spectrum!$R:$R,0)),0),""))</f>
        <v/>
      </c>
      <c r="AL367" s="88" t="n">
        <f aca="false">IF(OR(LEFT($B367,4)="_Mil",$C367="&lt;01"),"",MAX(SUM($AA367),90%))</f>
        <v>1844</v>
      </c>
      <c r="AM367" s="10" t="n">
        <f aca="false">IF(OR(LEFT($B367,4)="_Mil",$C367="&lt;01"),"",ROUND(SUM($AJ367)*SUM($AL367),0))</f>
        <v>0</v>
      </c>
      <c r="AN367" s="10" t="str">
        <f aca="false">IF($C367="&lt;01",ROUND(INDEX(EID!$P:$P,MATCH($B367,EID!$B:$B,0))/2,0),"")</f>
        <v/>
      </c>
      <c r="AO367" s="10" t="n">
        <f aca="false">IF($C367="&lt;01",SUM($AN367),ROUND(SUM($AM367)*SUM($O367)/IF(SUM($Z367)=0,1,$Z367),0))</f>
        <v>0</v>
      </c>
      <c r="AP367" s="39" t="n">
        <f aca="false">IF(OR($F367="",$C367="&lt;01"),$AO367,$F367)</f>
        <v>0</v>
      </c>
      <c r="AQ367" s="39" t="n">
        <f aca="false">IF(LEFT($B367,4)="_Mil","",IF(SUM($AP367)=0,SUM($Z367),IF(OR(SUM($Z367)=0,SUM($O367)=0),MAX($AP367,$Z367),$AP367*$Z367/$O367)))</f>
        <v>1552</v>
      </c>
      <c r="AR367" s="88" t="str">
        <f aca="false">IF(OR(LEFT($B367,4)="_Mil",SUM($AJ367)=0),"",SUM($AQ367)/$AJ367)</f>
        <v/>
      </c>
      <c r="AS367" s="88" t="n">
        <f aca="false">IF($C367="&lt;01","",98%)</f>
        <v>0.98</v>
      </c>
      <c r="AT367" s="88" t="n">
        <f aca="false">IF($C367="&lt;01","",98%)</f>
        <v>0.98</v>
      </c>
      <c r="AU367" s="10" t="n">
        <f aca="false">IF($C367="&lt;01","",SUM($AP367)-SUM($O367))</f>
        <v>0</v>
      </c>
      <c r="AV367" s="10" t="n">
        <f aca="false">IF($C367="&lt;01",ROUND(INDEX(EID!$N:$N,MATCH($B367,EID!$B:$B,0))/2,0),IF(SUM($AT367)=0,"",ROUND((SUM($AP367)-(SUM($O367)*SUM($AS367)))/$AT367,0)))</f>
        <v>0</v>
      </c>
      <c r="AW367" s="88" t="n">
        <f aca="false">IF($C367="&lt;01","",100%)</f>
        <v>1</v>
      </c>
      <c r="AX367" s="39" t="n">
        <f aca="false">IF($C367="&lt;01",SUM($AV367),ROUND(SUM($AV367)*SUM($AW367),0))</f>
        <v>0</v>
      </c>
      <c r="AY367" s="114" t="n">
        <f aca="false">IF($C367="&lt;01","",70%)</f>
        <v>0.7</v>
      </c>
      <c r="AZ367" s="91" t="n">
        <f aca="false">IF($C367="&lt;01",ROUND(INDEX(EID!$R:$R,MATCH($B367,EID!$B:$B,0))/2,0),ROUND(SUM($O367)+(SUM($AV367)*$AY367),0))</f>
        <v>0</v>
      </c>
      <c r="BA367" s="87" t="n">
        <f aca="false">IF($C367="&lt;01","",95%)</f>
        <v>0.95</v>
      </c>
      <c r="BB367" s="5" t="n">
        <f aca="false">IF($C367="&lt;01",ROUND(INDEX(EID!$T:$T,MATCH($B367,EID!$B:$B,0))/2,0),ROUND($AZ367*$BA367,0))</f>
        <v>0</v>
      </c>
      <c r="BC367" s="91" t="n">
        <f aca="false">IF(LEFT($B367,4)="_Mil","",IF(SUM($BB367)=0,SUM($AD367),IF(OR(SUM($AP367)=0,SUM($AQ367)=0),MAX($BB367,$AD367),ROUND($BB367*$AQ367/$AP367,0))))</f>
        <v>0</v>
      </c>
      <c r="BD367" s="88" t="n">
        <f aca="false">IF($C367="&lt;01","",95%)</f>
        <v>0.95</v>
      </c>
      <c r="BE367" s="39" t="n">
        <f aca="false">IF($C367="&lt;01",ROUND(INDEX(EID!$V:$V,MATCH($B367,EID!$B:$B,0))/2,0),ROUND($BD367*$BB367,0))</f>
        <v>0</v>
      </c>
      <c r="BF367" s="39" t="n">
        <f aca="false">IF(LEFT($B367,4)="_Mil","",IF(SUM($BE367)=0,SUM($AF367),IF(OR(SUM($AP367)=0,SUM($AQ367)=0),MAX($BE367,$AF367),ROUND($BE367*$AQ367/$AP367,0))))</f>
        <v>0</v>
      </c>
      <c r="BG367" s="114" t="n">
        <f aca="false">IF($C367="&lt;01","",95%)</f>
        <v>0.95</v>
      </c>
      <c r="BH367" s="5" t="n">
        <f aca="false">IF($C367="&lt;01",ROUND(INDEX(EID!$L:$L,MATCH($B367,EID!$B:$B,0)),0)/2,IF(SUM($BG367)=0,"",ROUND($AX367/$BG367,0)))</f>
        <v>0</v>
      </c>
    </row>
    <row r="368" customFormat="false" ht="15" hidden="false" customHeight="false" outlineLevel="0" collapsed="false">
      <c r="A368" s="0" t="str">
        <f aca="false">INDEX(Prioritization!$D:$D,MATCH($B368,Prioritization!$A:$A,0))</f>
        <v>INVALID</v>
      </c>
      <c r="B368" s="0" t="s">
        <v>219</v>
      </c>
      <c r="C368" s="0" t="s">
        <v>363</v>
      </c>
      <c r="D368" s="0" t="s">
        <v>48</v>
      </c>
      <c r="E368" s="0" t="str">
        <f aca="false">$B368&amp;"|"&amp;$C368&amp;"|"&amp;$D368</f>
        <v>Nsanje District [rpw540fmNUz]|01-09|Male</v>
      </c>
      <c r="F368" s="10"/>
      <c r="G368" s="10"/>
      <c r="H368" s="10"/>
      <c r="I368" s="10"/>
      <c r="J368" s="10"/>
      <c r="K368" s="10"/>
      <c r="L368" s="10"/>
      <c r="M368" s="10"/>
      <c r="N368" s="10"/>
      <c r="O368" s="10" t="str">
        <f aca="false">IFERROR(1/(1/MAX($I368,$N368)),"")</f>
        <v/>
      </c>
      <c r="P368" s="10"/>
      <c r="Q368" s="10"/>
      <c r="R368" s="10" t="str">
        <f aca="false">IF(AND(SUM($I368)=0,SUM($O368)=0),"",SUM($O368)-$I368)</f>
        <v/>
      </c>
      <c r="S368" s="10" t="n">
        <f aca="false">IF(LEFT($B368,4)="_Mil","",_xlfn.IFNA(ROUND(INDEX(Spectrum!$N:$N,MATCH(RIGHT($B368,13)&amp;"|"&amp;$C368&amp;"|"&amp;$D368&amp;"|"&amp;S$14&amp;"|"&amp;"CY2022Q4",Spectrum!$R:$R,0)),0),""))</f>
        <v>860</v>
      </c>
      <c r="T368" s="39" t="n">
        <f aca="false">IF(LEFT($B368,4)="_Mil","",_xlfn.IFNA(ROUND(INDEX(Spectrum!$N:$N,MATCH(RIGHT($B368,13)&amp;"|"&amp;$C368&amp;"|"&amp;$D368&amp;"|"&amp;T$14&amp;"|"&amp;"CY2023Q3",Spectrum!$R:$R,0)),0),""))</f>
        <v>1574</v>
      </c>
      <c r="U368" s="39" t="str">
        <f aca="false">IF(LEFT($B368,4)="_Mil","",_xlfn.IFNA(ROUND(INDEX(Spectrum!$N:$N,MATCH(RIGHT($B368,13)&amp;"|"&amp;$C368&amp;"|"&amp;$D368&amp;"|"&amp;U$14&amp;"|"&amp;"CY2023Q3",Spectrum!$R:$R,0)),0),""))</f>
        <v/>
      </c>
      <c r="V368" s="10" t="n">
        <f aca="false">IF(LEFT($B368,4)="_Mil","",_xlfn.IFNA(ROUND(INDEX(Spectrum!$N:$N,MATCH(RIGHT($B368,13)&amp;"|"&amp;$C368&amp;"|"&amp;$D368&amp;"|"&amp;V$14&amp;"|"&amp;"CY2023Q3",Spectrum!$R:$R,0)),0),""))</f>
        <v>1179</v>
      </c>
      <c r="W368" s="113" t="n">
        <f aca="false">IF(LEFT($B368,4)="_Mil","",_xlfn.IFNA(INDEX(Spectrum!$N:$N,MATCH(RIGHT($B368,13)&amp;"|"&amp;$C368&amp;"|"&amp;$D368&amp;"|"&amp;W$14&amp;"|"&amp;"CY2023Q3",Spectrum!$R:$R,0)),""))</f>
        <v>1599</v>
      </c>
      <c r="X368" s="39" t="n">
        <f aca="false">IF(LEFT($B368,4)="_Mil","",_xlfn.IFNA(ROUND(INDEX(Spectrum!$N:$N,MATCH(RIGHT($B368,13)&amp;"|"&amp;$C368&amp;"|"&amp;$D368&amp;"|"&amp;X$14&amp;"|"&amp;"CY2023Q3",Spectrum!$R:$R,0)),0),""))</f>
        <v>1620</v>
      </c>
      <c r="Y368" s="88" t="str">
        <f aca="false">IF(OR(SUM($U368)=0,LEFT($B368,4)="_Mil"),"",SUM($X368)/$U368)</f>
        <v/>
      </c>
      <c r="Z368" s="39" t="n">
        <f aca="false">IF(LEFT($B368,4)="_Mil","",_xlfn.IFNA(ROUND(INDEX(Spectrum!$N:$N,MATCH(RIGHT($B368,13)&amp;"|"&amp;$C368&amp;"|"&amp;$D368&amp;"|"&amp;Z$14&amp;"|"&amp;"CY2023Q3",Spectrum!$R:$R,0)),0),""))</f>
        <v>1412</v>
      </c>
      <c r="AA368" s="88" t="n">
        <f aca="false">IF(LEFT($B368,4)="_Mil","",IFERROR(1/(1/INDEX(Spectrum!$N:$N,MATCH(RIGHT($B368,13)&amp;"|"&amp;$C368&amp;"|"&amp;$D368&amp;"|"&amp;AA$14&amp;"|"&amp;"CY2023Q3",Spectrum!$R:$R,0))),IF(SUM($U368)=0,"",SUM($Z368)/$U368)))</f>
        <v>928</v>
      </c>
      <c r="AB368" s="88" t="n">
        <f aca="false">IF(OR(LEFT($B368,4)="_Mil",SUM($X368)=0),"",SUM($Z368)/$X368)</f>
        <v>0.871604938271605</v>
      </c>
      <c r="AC368" s="10" t="n">
        <f aca="false">IF(LEFT($B368,4)="_Mil","",_xlfn.IFNA(ROUND(INDEX(Spectrum!$N:$N,MATCH(RIGHT($B368,13)&amp;"|"&amp;$C368&amp;"|"&amp;$D368&amp;"|"&amp;AC$14&amp;"|"&amp;"CY2023Q3",Spectrum!$R:$R,0)),0),""))</f>
        <v>593</v>
      </c>
      <c r="AD368" s="10" t="str">
        <f aca="false">IF(LEFT($B368,4)="_Mil","",_xlfn.IFNA(ROUND(INDEX(Spectrum!$N:$N,MATCH(RIGHT($B368,13)&amp;"|"&amp;$C368&amp;"|"&amp;$D368&amp;"|"&amp;AD$14&amp;"|"&amp;"CY2023Q3",Spectrum!$R:$R,0)),0),""))</f>
        <v/>
      </c>
      <c r="AE368" s="88" t="n">
        <f aca="false">IF(OR(LEFT($B368,4)="_Mil",SUM($Z368)=0),"",SUM($AD368)/$Z368)</f>
        <v>0</v>
      </c>
      <c r="AF368" s="39" t="str">
        <f aca="false">IF(LEFT($B368,4)="_Mil","",_xlfn.IFNA(ROUND(INDEX(Spectrum!$N:$N,MATCH(RIGHT($B368,13)&amp;"|"&amp;$C368&amp;"|"&amp;$D368&amp;"|"&amp;AF$14&amp;"|"&amp;"CY2023Q3",Spectrum!$R:$R,0)),0),""))</f>
        <v/>
      </c>
      <c r="AG368" s="88" t="str">
        <f aca="false">IF(OR(LEFT($B368,4)="_Mil",SUM($AD368)=0),"",SUM($AF368)/$AD368)</f>
        <v/>
      </c>
      <c r="AH368" s="86" t="str">
        <f aca="false">IF(LEFT($B368,4)="_Mil","",_xlfn.IFNA(INDEX(Spectrum!$N:$N,MATCH(RIGHT($B368,13)&amp;"|"&amp;$C368&amp;"|"&amp;$D368&amp;"|"&amp;AH$14&amp;"|"&amp;"CY2023Q3",Spectrum!$R:$R,0)),""))</f>
        <v/>
      </c>
      <c r="AI368" s="10" t="str">
        <f aca="false">IF(LEFT($B368,4)="_Mil","",_xlfn.IFNA(ROUND(INDEX(Spectrum!$N:$N,MATCH(RIGHT($B368,13)&amp;"|"&amp;$C368&amp;"|"&amp;$D368&amp;"|"&amp;AI$14&amp;"|"&amp;"CY2023Q3",Spectrum!$R:$R,0)),0),""))</f>
        <v/>
      </c>
      <c r="AJ368" s="39" t="n">
        <f aca="false">IF(LEFT($B368,4)="_Mil","",_xlfn.IFNA(ROUND(INDEX(Spectrum!$N:$N,MATCH(RIGHT($B368,13)&amp;"|"&amp;$C368&amp;"|"&amp;$D368&amp;"|"&amp;AI$14&amp;"|"&amp;"CY2023Q3",Spectrum!$R:$R,0)),0),SUM($U368)+SUM($AI368)))</f>
        <v>0</v>
      </c>
      <c r="AK368" s="10" t="str">
        <f aca="false">IF(LEFT($B368,4)="_Mil","",_xlfn.IFNA(ROUND(INDEX(Spectrum!$N:$N,MATCH(RIGHT($B368,13)&amp;"|"&amp;$C368&amp;"|"&amp;$D368&amp;"|"&amp;AK$14&amp;"|"&amp;"CY2023Q3",Spectrum!$R:$R,0)),0),""))</f>
        <v/>
      </c>
      <c r="AL368" s="88" t="n">
        <f aca="false">IF(OR(LEFT($B368,4)="_Mil",$C368="&lt;01"),"",MAX(SUM($AA368),90%))</f>
        <v>928</v>
      </c>
      <c r="AM368" s="10" t="n">
        <f aca="false">IF(OR(LEFT($B368,4)="_Mil",$C368="&lt;01"),"",ROUND(SUM($AJ368)*SUM($AL368),0))</f>
        <v>0</v>
      </c>
      <c r="AN368" s="10" t="str">
        <f aca="false">IF($C368="&lt;01",ROUND(INDEX(EID!$P:$P,MATCH($B368,EID!$B:$B,0))/2,0),"")</f>
        <v/>
      </c>
      <c r="AO368" s="10" t="n">
        <f aca="false">IF($C368="&lt;01",SUM($AN368),ROUND(SUM($AM368)*SUM($O368)/IF(SUM($Z368)=0,1,$Z368),0))</f>
        <v>0</v>
      </c>
      <c r="AP368" s="39" t="n">
        <f aca="false">IF(OR($F368="",$C368="&lt;01"),$AO368,$F368)</f>
        <v>0</v>
      </c>
      <c r="AQ368" s="39" t="n">
        <f aca="false">IF(LEFT($B368,4)="_Mil","",IF(SUM($AP368)=0,SUM($Z368),IF(OR(SUM($Z368)=0,SUM($O368)=0),MAX($AP368,$Z368),$AP368*$Z368/$O368)))</f>
        <v>1412</v>
      </c>
      <c r="AR368" s="88" t="str">
        <f aca="false">IF(OR(LEFT($B368,4)="_Mil",SUM($AJ368)=0),"",SUM($AQ368)/$AJ368)</f>
        <v/>
      </c>
      <c r="AS368" s="88" t="n">
        <f aca="false">IF($C368="&lt;01","",98%)</f>
        <v>0.98</v>
      </c>
      <c r="AT368" s="88" t="n">
        <f aca="false">IF($C368="&lt;01","",98%)</f>
        <v>0.98</v>
      </c>
      <c r="AU368" s="10" t="n">
        <f aca="false">IF($C368="&lt;01","",SUM($AP368)-SUM($O368))</f>
        <v>0</v>
      </c>
      <c r="AV368" s="10" t="n">
        <f aca="false">IF($C368="&lt;01",ROUND(INDEX(EID!$N:$N,MATCH($B368,EID!$B:$B,0))/2,0),IF(SUM($AT368)=0,"",ROUND((SUM($AP368)-(SUM($O368)*SUM($AS368)))/$AT368,0)))</f>
        <v>0</v>
      </c>
      <c r="AW368" s="88" t="n">
        <f aca="false">IF($C368="&lt;01","",100%)</f>
        <v>1</v>
      </c>
      <c r="AX368" s="39" t="n">
        <f aca="false">IF($C368="&lt;01",SUM($AV368),ROUND(SUM($AV368)*SUM($AW368),0))</f>
        <v>0</v>
      </c>
      <c r="AY368" s="114" t="n">
        <f aca="false">IF($C368="&lt;01","",70%)</f>
        <v>0.7</v>
      </c>
      <c r="AZ368" s="91" t="n">
        <f aca="false">IF($C368="&lt;01",ROUND(INDEX(EID!$R:$R,MATCH($B368,EID!$B:$B,0))/2,0),ROUND(SUM($O368)+(SUM($AV368)*$AY368),0))</f>
        <v>0</v>
      </c>
      <c r="BA368" s="87" t="n">
        <f aca="false">IF($C368="&lt;01","",95%)</f>
        <v>0.95</v>
      </c>
      <c r="BB368" s="5" t="n">
        <f aca="false">IF($C368="&lt;01",ROUND(INDEX(EID!$T:$T,MATCH($B368,EID!$B:$B,0))/2,0),ROUND($AZ368*$BA368,0))</f>
        <v>0</v>
      </c>
      <c r="BC368" s="91" t="n">
        <f aca="false">IF(LEFT($B368,4)="_Mil","",IF(SUM($BB368)=0,SUM($AD368),IF(OR(SUM($AP368)=0,SUM($AQ368)=0),MAX($BB368,$AD368),ROUND($BB368*$AQ368/$AP368,0))))</f>
        <v>0</v>
      </c>
      <c r="BD368" s="88" t="n">
        <f aca="false">IF($C368="&lt;01","",95%)</f>
        <v>0.95</v>
      </c>
      <c r="BE368" s="39" t="n">
        <f aca="false">IF($C368="&lt;01",ROUND(INDEX(EID!$V:$V,MATCH($B368,EID!$B:$B,0))/2,0),ROUND($BD368*$BB368,0))</f>
        <v>0</v>
      </c>
      <c r="BF368" s="39" t="n">
        <f aca="false">IF(LEFT($B368,4)="_Mil","",IF(SUM($BE368)=0,SUM($AF368),IF(OR(SUM($AP368)=0,SUM($AQ368)=0),MAX($BE368,$AF368),ROUND($BE368*$AQ368/$AP368,0))))</f>
        <v>0</v>
      </c>
      <c r="BG368" s="114" t="n">
        <f aca="false">IF($C368="&lt;01","",95%)</f>
        <v>0.95</v>
      </c>
      <c r="BH368" s="5" t="n">
        <f aca="false">IF($C368="&lt;01",ROUND(INDEX(EID!$L:$L,MATCH($B368,EID!$B:$B,0)),0)/2,IF(SUM($BG368)=0,"",ROUND($AX368/$BG368,0)))</f>
        <v>0</v>
      </c>
    </row>
    <row r="369" customFormat="false" ht="15" hidden="false" customHeight="false" outlineLevel="0" collapsed="false">
      <c r="A369" s="0" t="str">
        <f aca="false">INDEX(Prioritization!$D:$D,MATCH($B369,Prioritization!$A:$A,0))</f>
        <v>INVALID</v>
      </c>
      <c r="B369" s="0" t="s">
        <v>219</v>
      </c>
      <c r="C369" s="0" t="s">
        <v>364</v>
      </c>
      <c r="D369" s="0" t="s">
        <v>30</v>
      </c>
      <c r="E369" s="0" t="str">
        <f aca="false">$B369&amp;"|"&amp;$C369&amp;"|"&amp;$D369</f>
        <v>Nsanje District [rpw540fmNUz]|10-14|Female</v>
      </c>
      <c r="F369" s="10"/>
      <c r="G369" s="10" t="n">
        <v>90</v>
      </c>
      <c r="H369" s="10" t="n">
        <v>9</v>
      </c>
      <c r="I369" s="10" t="n">
        <v>56</v>
      </c>
      <c r="J369" s="10" t="n">
        <v>96</v>
      </c>
      <c r="K369" s="10" t="n">
        <v>35</v>
      </c>
      <c r="L369" s="10" t="n">
        <v>0</v>
      </c>
      <c r="M369" s="10"/>
      <c r="N369" s="10" t="n">
        <v>45</v>
      </c>
      <c r="O369" s="10" t="n">
        <f aca="false">IFERROR(1/(1/MAX($I369,$N369)),"")</f>
        <v>56</v>
      </c>
      <c r="P369" s="10" t="n">
        <v>42</v>
      </c>
      <c r="Q369" s="10" t="n">
        <v>69</v>
      </c>
      <c r="R369" s="10" t="n">
        <f aca="false">IF(AND(SUM($I369)=0,SUM($O369)=0),"",SUM($O369)-$I369)</f>
        <v>0</v>
      </c>
      <c r="S369" s="10" t="n">
        <f aca="false">IF(LEFT($B369,4)="_Mil","",_xlfn.IFNA(ROUND(INDEX(Spectrum!$N:$N,MATCH(RIGHT($B369,13)&amp;"|"&amp;$C369&amp;"|"&amp;$D369&amp;"|"&amp;S$14&amp;"|"&amp;"CY2022Q4",Spectrum!$R:$R,0)),0),""))</f>
        <v>1410</v>
      </c>
      <c r="T369" s="39" t="n">
        <f aca="false">IF(LEFT($B369,4)="_Mil","",_xlfn.IFNA(ROUND(INDEX(Spectrum!$N:$N,MATCH(RIGHT($B369,13)&amp;"|"&amp;$C369&amp;"|"&amp;$D369&amp;"|"&amp;T$14&amp;"|"&amp;"CY2023Q3",Spectrum!$R:$R,0)),0),""))</f>
        <v>765</v>
      </c>
      <c r="U369" s="39" t="str">
        <f aca="false">IF(LEFT($B369,4)="_Mil","",_xlfn.IFNA(ROUND(INDEX(Spectrum!$N:$N,MATCH(RIGHT($B369,13)&amp;"|"&amp;$C369&amp;"|"&amp;$D369&amp;"|"&amp;U$14&amp;"|"&amp;"CY2023Q3",Spectrum!$R:$R,0)),0),""))</f>
        <v/>
      </c>
      <c r="V369" s="10" t="n">
        <f aca="false">IF(LEFT($B369,4)="_Mil","",_xlfn.IFNA(ROUND(INDEX(Spectrum!$N:$N,MATCH(RIGHT($B369,13)&amp;"|"&amp;$C369&amp;"|"&amp;$D369&amp;"|"&amp;V$14&amp;"|"&amp;"CY2023Q3",Spectrum!$R:$R,0)),0),""))</f>
        <v>1488</v>
      </c>
      <c r="W369" s="113" t="n">
        <f aca="false">IF(LEFT($B369,4)="_Mil","",_xlfn.IFNA(INDEX(Spectrum!$N:$N,MATCH(RIGHT($B369,13)&amp;"|"&amp;$C369&amp;"|"&amp;$D369&amp;"|"&amp;W$14&amp;"|"&amp;"CY2023Q3",Spectrum!$R:$R,0)),""))</f>
        <v>1322</v>
      </c>
      <c r="X369" s="39" t="n">
        <f aca="false">IF(LEFT($B369,4)="_Mil","",_xlfn.IFNA(ROUND(INDEX(Spectrum!$N:$N,MATCH(RIGHT($B369,13)&amp;"|"&amp;$C369&amp;"|"&amp;$D369&amp;"|"&amp;X$14&amp;"|"&amp;"CY2023Q3",Spectrum!$R:$R,0)),0),""))</f>
        <v>1424</v>
      </c>
      <c r="Y369" s="88" t="str">
        <f aca="false">IF(OR(SUM($U369)=0,LEFT($B369,4)="_Mil"),"",SUM($X369)/$U369)</f>
        <v/>
      </c>
      <c r="Z369" s="39" t="n">
        <f aca="false">IF(LEFT($B369,4)="_Mil","",_xlfn.IFNA(ROUND(INDEX(Spectrum!$N:$N,MATCH(RIGHT($B369,13)&amp;"|"&amp;$C369&amp;"|"&amp;$D369&amp;"|"&amp;Z$14&amp;"|"&amp;"CY2023Q3",Spectrum!$R:$R,0)),0),""))</f>
        <v>1308</v>
      </c>
      <c r="AA369" s="88" t="n">
        <f aca="false">IF(LEFT($B369,4)="_Mil","",IFERROR(1/(1/INDEX(Spectrum!$N:$N,MATCH(RIGHT($B369,13)&amp;"|"&amp;$C369&amp;"|"&amp;$D369&amp;"|"&amp;AA$14&amp;"|"&amp;"CY2023Q3",Spectrum!$R:$R,0))),IF(SUM($U369)=0,"",SUM($Z369)/$U369)))</f>
        <v>767</v>
      </c>
      <c r="AB369" s="88" t="n">
        <f aca="false">IF(OR(LEFT($B369,4)="_Mil",SUM($X369)=0),"",SUM($Z369)/$X369)</f>
        <v>0.918539325842696</v>
      </c>
      <c r="AC369" s="10" t="n">
        <f aca="false">IF(LEFT($B369,4)="_Mil","",_xlfn.IFNA(ROUND(INDEX(Spectrum!$N:$N,MATCH(RIGHT($B369,13)&amp;"|"&amp;$C369&amp;"|"&amp;$D369&amp;"|"&amp;AC$14&amp;"|"&amp;"CY2023Q3",Spectrum!$R:$R,0)),0),""))</f>
        <v>665</v>
      </c>
      <c r="AD369" s="10" t="str">
        <f aca="false">IF(LEFT($B369,4)="_Mil","",_xlfn.IFNA(ROUND(INDEX(Spectrum!$N:$N,MATCH(RIGHT($B369,13)&amp;"|"&amp;$C369&amp;"|"&amp;$D369&amp;"|"&amp;AD$14&amp;"|"&amp;"CY2023Q3",Spectrum!$R:$R,0)),0),""))</f>
        <v/>
      </c>
      <c r="AE369" s="88" t="n">
        <f aca="false">IF(OR(LEFT($B369,4)="_Mil",SUM($Z369)=0),"",SUM($AD369)/$Z369)</f>
        <v>0</v>
      </c>
      <c r="AF369" s="39" t="str">
        <f aca="false">IF(LEFT($B369,4)="_Mil","",_xlfn.IFNA(ROUND(INDEX(Spectrum!$N:$N,MATCH(RIGHT($B369,13)&amp;"|"&amp;$C369&amp;"|"&amp;$D369&amp;"|"&amp;AF$14&amp;"|"&amp;"CY2023Q3",Spectrum!$R:$R,0)),0),""))</f>
        <v/>
      </c>
      <c r="AG369" s="88" t="str">
        <f aca="false">IF(OR(LEFT($B369,4)="_Mil",SUM($AD369)=0),"",SUM($AF369)/$AD369)</f>
        <v/>
      </c>
      <c r="AH369" s="86" t="str">
        <f aca="false">IF(LEFT($B369,4)="_Mil","",_xlfn.IFNA(INDEX(Spectrum!$N:$N,MATCH(RIGHT($B369,13)&amp;"|"&amp;$C369&amp;"|"&amp;$D369&amp;"|"&amp;AH$14&amp;"|"&amp;"CY2023Q3",Spectrum!$R:$R,0)),""))</f>
        <v/>
      </c>
      <c r="AI369" s="10" t="str">
        <f aca="false">IF(LEFT($B369,4)="_Mil","",_xlfn.IFNA(ROUND(INDEX(Spectrum!$N:$N,MATCH(RIGHT($B369,13)&amp;"|"&amp;$C369&amp;"|"&amp;$D369&amp;"|"&amp;AI$14&amp;"|"&amp;"CY2023Q3",Spectrum!$R:$R,0)),0),""))</f>
        <v/>
      </c>
      <c r="AJ369" s="39" t="n">
        <f aca="false">IF(LEFT($B369,4)="_Mil","",_xlfn.IFNA(ROUND(INDEX(Spectrum!$N:$N,MATCH(RIGHT($B369,13)&amp;"|"&amp;$C369&amp;"|"&amp;$D369&amp;"|"&amp;AI$14&amp;"|"&amp;"CY2023Q3",Spectrum!$R:$R,0)),0),SUM($U369)+SUM($AI369)))</f>
        <v>0</v>
      </c>
      <c r="AK369" s="10" t="str">
        <f aca="false">IF(LEFT($B369,4)="_Mil","",_xlfn.IFNA(ROUND(INDEX(Spectrum!$N:$N,MATCH(RIGHT($B369,13)&amp;"|"&amp;$C369&amp;"|"&amp;$D369&amp;"|"&amp;AK$14&amp;"|"&amp;"CY2023Q3",Spectrum!$R:$R,0)),0),""))</f>
        <v/>
      </c>
      <c r="AL369" s="88" t="n">
        <f aca="false">IF(OR(LEFT($B369,4)="_Mil",$C369="&lt;01"),"",MAX(SUM($AA369),90%))</f>
        <v>767</v>
      </c>
      <c r="AM369" s="10" t="n">
        <f aca="false">IF(OR(LEFT($B369,4)="_Mil",$C369="&lt;01"),"",ROUND(SUM($AJ369)*SUM($AL369),0))</f>
        <v>0</v>
      </c>
      <c r="AN369" s="10" t="str">
        <f aca="false">IF($C369="&lt;01",ROUND(INDEX(EID!$P:$P,MATCH($B369,EID!$B:$B,0))/2,0),"")</f>
        <v/>
      </c>
      <c r="AO369" s="10" t="n">
        <f aca="false">IF($C369="&lt;01",SUM($AN369),ROUND(SUM($AM369)*SUM($O369)/IF(SUM($Z369)=0,1,$Z369),0))</f>
        <v>0</v>
      </c>
      <c r="AP369" s="39" t="n">
        <f aca="false">IF(OR($F369="",$C369="&lt;01"),$AO369,$F369)</f>
        <v>0</v>
      </c>
      <c r="AQ369" s="39" t="n">
        <f aca="false">IF(LEFT($B369,4)="_Mil","",IF(SUM($AP369)=0,SUM($Z369),IF(OR(SUM($Z369)=0,SUM($O369)=0),MAX($AP369,$Z369),$AP369*$Z369/$O369)))</f>
        <v>1308</v>
      </c>
      <c r="AR369" s="88" t="str">
        <f aca="false">IF(OR(LEFT($B369,4)="_Mil",SUM($AJ369)=0),"",SUM($AQ369)/$AJ369)</f>
        <v/>
      </c>
      <c r="AS369" s="88" t="n">
        <f aca="false">IF($C369="&lt;01","",98%)</f>
        <v>0.98</v>
      </c>
      <c r="AT369" s="88" t="n">
        <f aca="false">IF($C369="&lt;01","",98%)</f>
        <v>0.98</v>
      </c>
      <c r="AU369" s="10" t="n">
        <f aca="false">IF($C369="&lt;01","",SUM($AP369)-SUM($O369))</f>
        <v>-56</v>
      </c>
      <c r="AV369" s="10" t="n">
        <f aca="false">IF($C369="&lt;01",ROUND(INDEX(EID!$N:$N,MATCH($B369,EID!$B:$B,0))/2,0),IF(SUM($AT369)=0,"",ROUND((SUM($AP369)-(SUM($O369)*SUM($AS369)))/$AT369,0)))</f>
        <v>-56</v>
      </c>
      <c r="AW369" s="88" t="n">
        <f aca="false">IF($C369="&lt;01","",100%)</f>
        <v>1</v>
      </c>
      <c r="AX369" s="39" t="n">
        <f aca="false">IF($C369="&lt;01",SUM($AV369),ROUND(SUM($AV369)*SUM($AW369),0))</f>
        <v>-56</v>
      </c>
      <c r="AY369" s="114" t="n">
        <f aca="false">IF($C369="&lt;01","",70%)</f>
        <v>0.7</v>
      </c>
      <c r="AZ369" s="91" t="n">
        <f aca="false">IF($C369="&lt;01",ROUND(INDEX(EID!$R:$R,MATCH($B369,EID!$B:$B,0))/2,0),ROUND(SUM($O369)+(SUM($AV369)*$AY369),0))</f>
        <v>17</v>
      </c>
      <c r="BA369" s="87" t="n">
        <f aca="false">IF($C369="&lt;01","",95%)</f>
        <v>0.95</v>
      </c>
      <c r="BB369" s="5" t="n">
        <f aca="false">IF($C369="&lt;01",ROUND(INDEX(EID!$T:$T,MATCH($B369,EID!$B:$B,0))/2,0),ROUND($AZ369*$BA369,0))</f>
        <v>16</v>
      </c>
      <c r="BC369" s="91" t="n">
        <f aca="false">IF(LEFT($B369,4)="_Mil","",IF(SUM($BB369)=0,SUM($AD369),IF(OR(SUM($AP369)=0,SUM($AQ369)=0),MAX($BB369,$AD369),ROUND($BB369*$AQ369/$AP369,0))))</f>
        <v>16</v>
      </c>
      <c r="BD369" s="88" t="n">
        <f aca="false">IF($C369="&lt;01","",95%)</f>
        <v>0.95</v>
      </c>
      <c r="BE369" s="39" t="n">
        <f aca="false">IF($C369="&lt;01",ROUND(INDEX(EID!$V:$V,MATCH($B369,EID!$B:$B,0))/2,0),ROUND($BD369*$BB369,0))</f>
        <v>15</v>
      </c>
      <c r="BF369" s="39" t="n">
        <f aca="false">IF(LEFT($B369,4)="_Mil","",IF(SUM($BE369)=0,SUM($AF369),IF(OR(SUM($AP369)=0,SUM($AQ369)=0),MAX($BE369,$AF369),ROUND($BE369*$AQ369/$AP369,0))))</f>
        <v>15</v>
      </c>
      <c r="BG369" s="114" t="n">
        <f aca="false">IF($C369="&lt;01","",95%)</f>
        <v>0.95</v>
      </c>
      <c r="BH369" s="5" t="n">
        <f aca="false">IF($C369="&lt;01",ROUND(INDEX(EID!$L:$L,MATCH($B369,EID!$B:$B,0)),0)/2,IF(SUM($BG369)=0,"",ROUND($AX369/$BG369,0)))</f>
        <v>-59</v>
      </c>
    </row>
    <row r="370" customFormat="false" ht="15" hidden="false" customHeight="false" outlineLevel="0" collapsed="false">
      <c r="A370" s="0" t="str">
        <f aca="false">INDEX(Prioritization!$D:$D,MATCH($B370,Prioritization!$A:$A,0))</f>
        <v>INVALID</v>
      </c>
      <c r="B370" s="0" t="s">
        <v>219</v>
      </c>
      <c r="C370" s="0" t="s">
        <v>364</v>
      </c>
      <c r="D370" s="0" t="s">
        <v>48</v>
      </c>
      <c r="E370" s="0" t="str">
        <f aca="false">$B370&amp;"|"&amp;$C370&amp;"|"&amp;$D370</f>
        <v>Nsanje District [rpw540fmNUz]|10-14|Male</v>
      </c>
      <c r="F370" s="10"/>
      <c r="G370" s="10" t="n">
        <v>8</v>
      </c>
      <c r="H370" s="10" t="n">
        <v>6</v>
      </c>
      <c r="I370" s="10" t="n">
        <v>65</v>
      </c>
      <c r="J370" s="10" t="n">
        <v>76</v>
      </c>
      <c r="K370" s="10" t="n">
        <v>89</v>
      </c>
      <c r="L370" s="10"/>
      <c r="M370" s="10"/>
      <c r="N370" s="10" t="n">
        <v>76</v>
      </c>
      <c r="O370" s="10" t="n">
        <f aca="false">IFERROR(1/(1/MAX($I370,$N370)),"")</f>
        <v>76</v>
      </c>
      <c r="P370" s="10" t="n">
        <v>91</v>
      </c>
      <c r="Q370" s="10" t="n">
        <v>16</v>
      </c>
      <c r="R370" s="10" t="n">
        <f aca="false">IF(AND(SUM($I370)=0,SUM($O370)=0),"",SUM($O370)-$I370)</f>
        <v>11</v>
      </c>
      <c r="S370" s="10" t="n">
        <f aca="false">IF(LEFT($B370,4)="_Mil","",_xlfn.IFNA(ROUND(INDEX(Spectrum!$N:$N,MATCH(RIGHT($B370,13)&amp;"|"&amp;$C370&amp;"|"&amp;$D370&amp;"|"&amp;S$14&amp;"|"&amp;"CY2022Q4",Spectrum!$R:$R,0)),0),""))</f>
        <v>711</v>
      </c>
      <c r="T370" s="39" t="n">
        <f aca="false">IF(LEFT($B370,4)="_Mil","",_xlfn.IFNA(ROUND(INDEX(Spectrum!$N:$N,MATCH(RIGHT($B370,13)&amp;"|"&amp;$C370&amp;"|"&amp;$D370&amp;"|"&amp;T$14&amp;"|"&amp;"CY2023Q3",Spectrum!$R:$R,0)),0),""))</f>
        <v>1241</v>
      </c>
      <c r="U370" s="39" t="str">
        <f aca="false">IF(LEFT($B370,4)="_Mil","",_xlfn.IFNA(ROUND(INDEX(Spectrum!$N:$N,MATCH(RIGHT($B370,13)&amp;"|"&amp;$C370&amp;"|"&amp;$D370&amp;"|"&amp;U$14&amp;"|"&amp;"CY2023Q3",Spectrum!$R:$R,0)),0),""))</f>
        <v/>
      </c>
      <c r="V370" s="10" t="n">
        <f aca="false">IF(LEFT($B370,4)="_Mil","",_xlfn.IFNA(ROUND(INDEX(Spectrum!$N:$N,MATCH(RIGHT($B370,13)&amp;"|"&amp;$C370&amp;"|"&amp;$D370&amp;"|"&amp;V$14&amp;"|"&amp;"CY2023Q3",Spectrum!$R:$R,0)),0),""))</f>
        <v>1395</v>
      </c>
      <c r="W370" s="113" t="n">
        <f aca="false">IF(LEFT($B370,4)="_Mil","",_xlfn.IFNA(INDEX(Spectrum!$N:$N,MATCH(RIGHT($B370,13)&amp;"|"&amp;$C370&amp;"|"&amp;$D370&amp;"|"&amp;W$14&amp;"|"&amp;"CY2023Q3",Spectrum!$R:$R,0)),""))</f>
        <v>1872</v>
      </c>
      <c r="X370" s="39" t="n">
        <f aca="false">IF(LEFT($B370,4)="_Mil","",_xlfn.IFNA(ROUND(INDEX(Spectrum!$N:$N,MATCH(RIGHT($B370,13)&amp;"|"&amp;$C370&amp;"|"&amp;$D370&amp;"|"&amp;X$14&amp;"|"&amp;"CY2023Q3",Spectrum!$R:$R,0)),0),""))</f>
        <v>658</v>
      </c>
      <c r="Y370" s="88" t="str">
        <f aca="false">IF(OR(SUM($U370)=0,LEFT($B370,4)="_Mil"),"",SUM($X370)/$U370)</f>
        <v/>
      </c>
      <c r="Z370" s="39" t="n">
        <f aca="false">IF(LEFT($B370,4)="_Mil","",_xlfn.IFNA(ROUND(INDEX(Spectrum!$N:$N,MATCH(RIGHT($B370,13)&amp;"|"&amp;$C370&amp;"|"&amp;$D370&amp;"|"&amp;Z$14&amp;"|"&amp;"CY2023Q3",Spectrum!$R:$R,0)),0),""))</f>
        <v>1250</v>
      </c>
      <c r="AA370" s="88" t="n">
        <f aca="false">IF(LEFT($B370,4)="_Mil","",IFERROR(1/(1/INDEX(Spectrum!$N:$N,MATCH(RIGHT($B370,13)&amp;"|"&amp;$C370&amp;"|"&amp;$D370&amp;"|"&amp;AA$14&amp;"|"&amp;"CY2023Q3",Spectrum!$R:$R,0))),IF(SUM($U370)=0,"",SUM($Z370)/$U370)))</f>
        <v>1797</v>
      </c>
      <c r="AB370" s="88" t="n">
        <f aca="false">IF(OR(LEFT($B370,4)="_Mil",SUM($X370)=0),"",SUM($Z370)/$X370)</f>
        <v>1.89969604863222</v>
      </c>
      <c r="AC370" s="10" t="n">
        <f aca="false">IF(LEFT($B370,4)="_Mil","",_xlfn.IFNA(ROUND(INDEX(Spectrum!$N:$N,MATCH(RIGHT($B370,13)&amp;"|"&amp;$C370&amp;"|"&amp;$D370&amp;"|"&amp;AC$14&amp;"|"&amp;"CY2023Q3",Spectrum!$R:$R,0)),0),""))</f>
        <v>1918</v>
      </c>
      <c r="AD370" s="10" t="str">
        <f aca="false">IF(LEFT($B370,4)="_Mil","",_xlfn.IFNA(ROUND(INDEX(Spectrum!$N:$N,MATCH(RIGHT($B370,13)&amp;"|"&amp;$C370&amp;"|"&amp;$D370&amp;"|"&amp;AD$14&amp;"|"&amp;"CY2023Q3",Spectrum!$R:$R,0)),0),""))</f>
        <v/>
      </c>
      <c r="AE370" s="88" t="n">
        <f aca="false">IF(OR(LEFT($B370,4)="_Mil",SUM($Z370)=0),"",SUM($AD370)/$Z370)</f>
        <v>0</v>
      </c>
      <c r="AF370" s="39" t="str">
        <f aca="false">IF(LEFT($B370,4)="_Mil","",_xlfn.IFNA(ROUND(INDEX(Spectrum!$N:$N,MATCH(RIGHT($B370,13)&amp;"|"&amp;$C370&amp;"|"&amp;$D370&amp;"|"&amp;AF$14&amp;"|"&amp;"CY2023Q3",Spectrum!$R:$R,0)),0),""))</f>
        <v/>
      </c>
      <c r="AG370" s="88" t="str">
        <f aca="false">IF(OR(LEFT($B370,4)="_Mil",SUM($AD370)=0),"",SUM($AF370)/$AD370)</f>
        <v/>
      </c>
      <c r="AH370" s="86" t="str">
        <f aca="false">IF(LEFT($B370,4)="_Mil","",_xlfn.IFNA(INDEX(Spectrum!$N:$N,MATCH(RIGHT($B370,13)&amp;"|"&amp;$C370&amp;"|"&amp;$D370&amp;"|"&amp;AH$14&amp;"|"&amp;"CY2023Q3",Spectrum!$R:$R,0)),""))</f>
        <v/>
      </c>
      <c r="AI370" s="10" t="str">
        <f aca="false">IF(LEFT($B370,4)="_Mil","",_xlfn.IFNA(ROUND(INDEX(Spectrum!$N:$N,MATCH(RIGHT($B370,13)&amp;"|"&amp;$C370&amp;"|"&amp;$D370&amp;"|"&amp;AI$14&amp;"|"&amp;"CY2023Q3",Spectrum!$R:$R,0)),0),""))</f>
        <v/>
      </c>
      <c r="AJ370" s="39" t="n">
        <f aca="false">IF(LEFT($B370,4)="_Mil","",_xlfn.IFNA(ROUND(INDEX(Spectrum!$N:$N,MATCH(RIGHT($B370,13)&amp;"|"&amp;$C370&amp;"|"&amp;$D370&amp;"|"&amp;AI$14&amp;"|"&amp;"CY2023Q3",Spectrum!$R:$R,0)),0),SUM($U370)+SUM($AI370)))</f>
        <v>0</v>
      </c>
      <c r="AK370" s="10" t="str">
        <f aca="false">IF(LEFT($B370,4)="_Mil","",_xlfn.IFNA(ROUND(INDEX(Spectrum!$N:$N,MATCH(RIGHT($B370,13)&amp;"|"&amp;$C370&amp;"|"&amp;$D370&amp;"|"&amp;AK$14&amp;"|"&amp;"CY2023Q3",Spectrum!$R:$R,0)),0),""))</f>
        <v/>
      </c>
      <c r="AL370" s="88" t="n">
        <f aca="false">IF(OR(LEFT($B370,4)="_Mil",$C370="&lt;01"),"",MAX(SUM($AA370),90%))</f>
        <v>1797</v>
      </c>
      <c r="AM370" s="10" t="n">
        <f aca="false">IF(OR(LEFT($B370,4)="_Mil",$C370="&lt;01"),"",ROUND(SUM($AJ370)*SUM($AL370),0))</f>
        <v>0</v>
      </c>
      <c r="AN370" s="10" t="str">
        <f aca="false">IF($C370="&lt;01",ROUND(INDEX(EID!$P:$P,MATCH($B370,EID!$B:$B,0))/2,0),"")</f>
        <v/>
      </c>
      <c r="AO370" s="10" t="n">
        <f aca="false">IF($C370="&lt;01",SUM($AN370),ROUND(SUM($AM370)*SUM($O370)/IF(SUM($Z370)=0,1,$Z370),0))</f>
        <v>0</v>
      </c>
      <c r="AP370" s="39" t="n">
        <f aca="false">IF(OR($F370="",$C370="&lt;01"),$AO370,$F370)</f>
        <v>0</v>
      </c>
      <c r="AQ370" s="39" t="n">
        <f aca="false">IF(LEFT($B370,4)="_Mil","",IF(SUM($AP370)=0,SUM($Z370),IF(OR(SUM($Z370)=0,SUM($O370)=0),MAX($AP370,$Z370),$AP370*$Z370/$O370)))</f>
        <v>1250</v>
      </c>
      <c r="AR370" s="88" t="str">
        <f aca="false">IF(OR(LEFT($B370,4)="_Mil",SUM($AJ370)=0),"",SUM($AQ370)/$AJ370)</f>
        <v/>
      </c>
      <c r="AS370" s="88" t="n">
        <f aca="false">IF($C370="&lt;01","",98%)</f>
        <v>0.98</v>
      </c>
      <c r="AT370" s="88" t="n">
        <f aca="false">IF($C370="&lt;01","",98%)</f>
        <v>0.98</v>
      </c>
      <c r="AU370" s="10" t="n">
        <f aca="false">IF($C370="&lt;01","",SUM($AP370)-SUM($O370))</f>
        <v>-76</v>
      </c>
      <c r="AV370" s="10" t="n">
        <f aca="false">IF($C370="&lt;01",ROUND(INDEX(EID!$N:$N,MATCH($B370,EID!$B:$B,0))/2,0),IF(SUM($AT370)=0,"",ROUND((SUM($AP370)-(SUM($O370)*SUM($AS370)))/$AT370,0)))</f>
        <v>-76</v>
      </c>
      <c r="AW370" s="88" t="n">
        <f aca="false">IF($C370="&lt;01","",100%)</f>
        <v>1</v>
      </c>
      <c r="AX370" s="39" t="n">
        <f aca="false">IF($C370="&lt;01",SUM($AV370),ROUND(SUM($AV370)*SUM($AW370),0))</f>
        <v>-76</v>
      </c>
      <c r="AY370" s="114" t="n">
        <f aca="false">IF($C370="&lt;01","",70%)</f>
        <v>0.7</v>
      </c>
      <c r="AZ370" s="91" t="n">
        <f aca="false">IF($C370="&lt;01",ROUND(INDEX(EID!$R:$R,MATCH($B370,EID!$B:$B,0))/2,0),ROUND(SUM($O370)+(SUM($AV370)*$AY370),0))</f>
        <v>23</v>
      </c>
      <c r="BA370" s="87" t="n">
        <f aca="false">IF($C370="&lt;01","",95%)</f>
        <v>0.95</v>
      </c>
      <c r="BB370" s="5" t="n">
        <f aca="false">IF($C370="&lt;01",ROUND(INDEX(EID!$T:$T,MATCH($B370,EID!$B:$B,0))/2,0),ROUND($AZ370*$BA370,0))</f>
        <v>22</v>
      </c>
      <c r="BC370" s="91" t="n">
        <f aca="false">IF(LEFT($B370,4)="_Mil","",IF(SUM($BB370)=0,SUM($AD370),IF(OR(SUM($AP370)=0,SUM($AQ370)=0),MAX($BB370,$AD370),ROUND($BB370*$AQ370/$AP370,0))))</f>
        <v>22</v>
      </c>
      <c r="BD370" s="88" t="n">
        <f aca="false">IF($C370="&lt;01","",95%)</f>
        <v>0.95</v>
      </c>
      <c r="BE370" s="39" t="n">
        <f aca="false">IF($C370="&lt;01",ROUND(INDEX(EID!$V:$V,MATCH($B370,EID!$B:$B,0))/2,0),ROUND($BD370*$BB370,0))</f>
        <v>21</v>
      </c>
      <c r="BF370" s="39" t="n">
        <f aca="false">IF(LEFT($B370,4)="_Mil","",IF(SUM($BE370)=0,SUM($AF370),IF(OR(SUM($AP370)=0,SUM($AQ370)=0),MAX($BE370,$AF370),ROUND($BE370*$AQ370/$AP370,0))))</f>
        <v>21</v>
      </c>
      <c r="BG370" s="114" t="n">
        <f aca="false">IF($C370="&lt;01","",95%)</f>
        <v>0.95</v>
      </c>
      <c r="BH370" s="5" t="n">
        <f aca="false">IF($C370="&lt;01",ROUND(INDEX(EID!$L:$L,MATCH($B370,EID!$B:$B,0)),0)/2,IF(SUM($BG370)=0,"",ROUND($AX370/$BG370,0)))</f>
        <v>-80</v>
      </c>
    </row>
    <row r="371" customFormat="false" ht="15" hidden="false" customHeight="false" outlineLevel="0" collapsed="false">
      <c r="A371" s="0" t="str">
        <f aca="false">INDEX(Prioritization!$D:$D,MATCH($B371,Prioritization!$A:$A,0))</f>
        <v>INVALID</v>
      </c>
      <c r="B371" s="0" t="s">
        <v>219</v>
      </c>
      <c r="C371" s="0" t="s">
        <v>365</v>
      </c>
      <c r="D371" s="0" t="s">
        <v>30</v>
      </c>
      <c r="E371" s="0" t="str">
        <f aca="false">$B371&amp;"|"&amp;$C371&amp;"|"&amp;$D371</f>
        <v>Nsanje District [rpw540fmNUz]|15-24|Female</v>
      </c>
      <c r="F371" s="10"/>
      <c r="G371" s="10"/>
      <c r="H371" s="10"/>
      <c r="I371" s="10"/>
      <c r="J371" s="10"/>
      <c r="K371" s="10"/>
      <c r="L371" s="10"/>
      <c r="M371" s="10"/>
      <c r="N371" s="10"/>
      <c r="O371" s="10" t="str">
        <f aca="false">IFERROR(1/(1/MAX($I371,$N371)),"")</f>
        <v/>
      </c>
      <c r="P371" s="10"/>
      <c r="Q371" s="10"/>
      <c r="R371" s="10" t="str">
        <f aca="false">IF(AND(SUM($I371)=0,SUM($O371)=0),"",SUM($O371)-$I371)</f>
        <v/>
      </c>
      <c r="S371" s="10" t="n">
        <f aca="false">IF(LEFT($B371,4)="_Mil","",_xlfn.IFNA(ROUND(INDEX(Spectrum!$N:$N,MATCH(RIGHT($B371,13)&amp;"|"&amp;$C371&amp;"|"&amp;$D371&amp;"|"&amp;S$14&amp;"|"&amp;"CY2022Q4",Spectrum!$R:$R,0)),0),""))</f>
        <v>960</v>
      </c>
      <c r="T371" s="39" t="n">
        <f aca="false">IF(LEFT($B371,4)="_Mil","",_xlfn.IFNA(ROUND(INDEX(Spectrum!$N:$N,MATCH(RIGHT($B371,13)&amp;"|"&amp;$C371&amp;"|"&amp;$D371&amp;"|"&amp;T$14&amp;"|"&amp;"CY2023Q3",Spectrum!$R:$R,0)),0),""))</f>
        <v>842</v>
      </c>
      <c r="U371" s="39" t="str">
        <f aca="false">IF(LEFT($B371,4)="_Mil","",_xlfn.IFNA(ROUND(INDEX(Spectrum!$N:$N,MATCH(RIGHT($B371,13)&amp;"|"&amp;$C371&amp;"|"&amp;$D371&amp;"|"&amp;U$14&amp;"|"&amp;"CY2023Q3",Spectrum!$R:$R,0)),0),""))</f>
        <v/>
      </c>
      <c r="V371" s="10" t="n">
        <f aca="false">IF(LEFT($B371,4)="_Mil","",_xlfn.IFNA(ROUND(INDEX(Spectrum!$N:$N,MATCH(RIGHT($B371,13)&amp;"|"&amp;$C371&amp;"|"&amp;$D371&amp;"|"&amp;V$14&amp;"|"&amp;"CY2023Q3",Spectrum!$R:$R,0)),0),""))</f>
        <v>1200</v>
      </c>
      <c r="W371" s="113" t="n">
        <f aca="false">IF(LEFT($B371,4)="_Mil","",_xlfn.IFNA(INDEX(Spectrum!$N:$N,MATCH(RIGHT($B371,13)&amp;"|"&amp;$C371&amp;"|"&amp;$D371&amp;"|"&amp;W$14&amp;"|"&amp;"CY2023Q3",Spectrum!$R:$R,0)),""))</f>
        <v>1646</v>
      </c>
      <c r="X371" s="39" t="n">
        <f aca="false">IF(LEFT($B371,4)="_Mil","",_xlfn.IFNA(ROUND(INDEX(Spectrum!$N:$N,MATCH(RIGHT($B371,13)&amp;"|"&amp;$C371&amp;"|"&amp;$D371&amp;"|"&amp;X$14&amp;"|"&amp;"CY2023Q3",Spectrum!$R:$R,0)),0),""))</f>
        <v>882</v>
      </c>
      <c r="Y371" s="88" t="str">
        <f aca="false">IF(OR(SUM($U371)=0,LEFT($B371,4)="_Mil"),"",SUM($X371)/$U371)</f>
        <v/>
      </c>
      <c r="Z371" s="39" t="n">
        <f aca="false">IF(LEFT($B371,4)="_Mil","",_xlfn.IFNA(ROUND(INDEX(Spectrum!$N:$N,MATCH(RIGHT($B371,13)&amp;"|"&amp;$C371&amp;"|"&amp;$D371&amp;"|"&amp;Z$14&amp;"|"&amp;"CY2023Q3",Spectrum!$R:$R,0)),0),""))</f>
        <v>743</v>
      </c>
      <c r="AA371" s="88" t="n">
        <f aca="false">IF(LEFT($B371,4)="_Mil","",IFERROR(1/(1/INDEX(Spectrum!$N:$N,MATCH(RIGHT($B371,13)&amp;"|"&amp;$C371&amp;"|"&amp;$D371&amp;"|"&amp;AA$14&amp;"|"&amp;"CY2023Q3",Spectrum!$R:$R,0))),IF(SUM($U371)=0,"",SUM($Z371)/$U371)))</f>
        <v>1877</v>
      </c>
      <c r="AB371" s="88" t="n">
        <f aca="false">IF(OR(LEFT($B371,4)="_Mil",SUM($X371)=0),"",SUM($Z371)/$X371)</f>
        <v>0.842403628117914</v>
      </c>
      <c r="AC371" s="10" t="n">
        <f aca="false">IF(LEFT($B371,4)="_Mil","",_xlfn.IFNA(ROUND(INDEX(Spectrum!$N:$N,MATCH(RIGHT($B371,13)&amp;"|"&amp;$C371&amp;"|"&amp;$D371&amp;"|"&amp;AC$14&amp;"|"&amp;"CY2023Q3",Spectrum!$R:$R,0)),0),""))</f>
        <v>1974</v>
      </c>
      <c r="AD371" s="10" t="str">
        <f aca="false">IF(LEFT($B371,4)="_Mil","",_xlfn.IFNA(ROUND(INDEX(Spectrum!$N:$N,MATCH(RIGHT($B371,13)&amp;"|"&amp;$C371&amp;"|"&amp;$D371&amp;"|"&amp;AD$14&amp;"|"&amp;"CY2023Q3",Spectrum!$R:$R,0)),0),""))</f>
        <v/>
      </c>
      <c r="AE371" s="88" t="n">
        <f aca="false">IF(OR(LEFT($B371,4)="_Mil",SUM($Z371)=0),"",SUM($AD371)/$Z371)</f>
        <v>0</v>
      </c>
      <c r="AF371" s="39" t="str">
        <f aca="false">IF(LEFT($B371,4)="_Mil","",_xlfn.IFNA(ROUND(INDEX(Spectrum!$N:$N,MATCH(RIGHT($B371,13)&amp;"|"&amp;$C371&amp;"|"&amp;$D371&amp;"|"&amp;AF$14&amp;"|"&amp;"CY2023Q3",Spectrum!$R:$R,0)),0),""))</f>
        <v/>
      </c>
      <c r="AG371" s="88" t="str">
        <f aca="false">IF(OR(LEFT($B371,4)="_Mil",SUM($AD371)=0),"",SUM($AF371)/$AD371)</f>
        <v/>
      </c>
      <c r="AH371" s="86" t="str">
        <f aca="false">IF(LEFT($B371,4)="_Mil","",_xlfn.IFNA(INDEX(Spectrum!$N:$N,MATCH(RIGHT($B371,13)&amp;"|"&amp;$C371&amp;"|"&amp;$D371&amp;"|"&amp;AH$14&amp;"|"&amp;"CY2023Q3",Spectrum!$R:$R,0)),""))</f>
        <v/>
      </c>
      <c r="AI371" s="10" t="str">
        <f aca="false">IF(LEFT($B371,4)="_Mil","",_xlfn.IFNA(ROUND(INDEX(Spectrum!$N:$N,MATCH(RIGHT($B371,13)&amp;"|"&amp;$C371&amp;"|"&amp;$D371&amp;"|"&amp;AI$14&amp;"|"&amp;"CY2023Q3",Spectrum!$R:$R,0)),0),""))</f>
        <v/>
      </c>
      <c r="AJ371" s="39" t="n">
        <f aca="false">IF(LEFT($B371,4)="_Mil","",_xlfn.IFNA(ROUND(INDEX(Spectrum!$N:$N,MATCH(RIGHT($B371,13)&amp;"|"&amp;$C371&amp;"|"&amp;$D371&amp;"|"&amp;AI$14&amp;"|"&amp;"CY2023Q3",Spectrum!$R:$R,0)),0),SUM($U371)+SUM($AI371)))</f>
        <v>0</v>
      </c>
      <c r="AK371" s="10" t="str">
        <f aca="false">IF(LEFT($B371,4)="_Mil","",_xlfn.IFNA(ROUND(INDEX(Spectrum!$N:$N,MATCH(RIGHT($B371,13)&amp;"|"&amp;$C371&amp;"|"&amp;$D371&amp;"|"&amp;AK$14&amp;"|"&amp;"CY2023Q3",Spectrum!$R:$R,0)),0),""))</f>
        <v/>
      </c>
      <c r="AL371" s="88" t="n">
        <f aca="false">IF(OR(LEFT($B371,4)="_Mil",$C371="&lt;01"),"",MAX(SUM($AA371),90%))</f>
        <v>1877</v>
      </c>
      <c r="AM371" s="10" t="n">
        <f aca="false">IF(OR(LEFT($B371,4)="_Mil",$C371="&lt;01"),"",ROUND(SUM($AJ371)*SUM($AL371),0))</f>
        <v>0</v>
      </c>
      <c r="AN371" s="10" t="str">
        <f aca="false">IF($C371="&lt;01",ROUND(INDEX(EID!$P:$P,MATCH($B371,EID!$B:$B,0))/2,0),"")</f>
        <v/>
      </c>
      <c r="AO371" s="10" t="n">
        <f aca="false">IF($C371="&lt;01",SUM($AN371),ROUND(SUM($AM371)*SUM($O371)/IF(SUM($Z371)=0,1,$Z371),0))</f>
        <v>0</v>
      </c>
      <c r="AP371" s="39" t="n">
        <f aca="false">IF(OR($F371="",$C371="&lt;01"),$AO371,$F371)</f>
        <v>0</v>
      </c>
      <c r="AQ371" s="39" t="n">
        <f aca="false">IF(LEFT($B371,4)="_Mil","",IF(SUM($AP371)=0,SUM($Z371),IF(OR(SUM($Z371)=0,SUM($O371)=0),MAX($AP371,$Z371),$AP371*$Z371/$O371)))</f>
        <v>743</v>
      </c>
      <c r="AR371" s="88" t="str">
        <f aca="false">IF(OR(LEFT($B371,4)="_Mil",SUM($AJ371)=0),"",SUM($AQ371)/$AJ371)</f>
        <v/>
      </c>
      <c r="AS371" s="88" t="n">
        <f aca="false">IF($C371="&lt;01","",98%)</f>
        <v>0.98</v>
      </c>
      <c r="AT371" s="88" t="n">
        <f aca="false">IF($C371="&lt;01","",98%)</f>
        <v>0.98</v>
      </c>
      <c r="AU371" s="10" t="n">
        <f aca="false">IF($C371="&lt;01","",SUM($AP371)-SUM($O371))</f>
        <v>0</v>
      </c>
      <c r="AV371" s="10" t="n">
        <f aca="false">IF($C371="&lt;01",ROUND(INDEX(EID!$N:$N,MATCH($B371,EID!$B:$B,0))/2,0),IF(SUM($AT371)=0,"",ROUND((SUM($AP371)-(SUM($O371)*SUM($AS371)))/$AT371,0)))</f>
        <v>0</v>
      </c>
      <c r="AW371" s="88" t="n">
        <f aca="false">IF($C371="&lt;01","",100%)</f>
        <v>1</v>
      </c>
      <c r="AX371" s="39" t="n">
        <f aca="false">IF($C371="&lt;01",SUM($AV371),ROUND(SUM($AV371)*SUM($AW371),0))</f>
        <v>0</v>
      </c>
      <c r="AY371" s="114" t="n">
        <f aca="false">IF($C371="&lt;01","",70%)</f>
        <v>0.7</v>
      </c>
      <c r="AZ371" s="91" t="n">
        <f aca="false">IF($C371="&lt;01",ROUND(INDEX(EID!$R:$R,MATCH($B371,EID!$B:$B,0))/2,0),ROUND(SUM($O371)+(SUM($AV371)*$AY371),0))</f>
        <v>0</v>
      </c>
      <c r="BA371" s="87" t="n">
        <f aca="false">IF($C371="&lt;01","",95%)</f>
        <v>0.95</v>
      </c>
      <c r="BB371" s="5" t="n">
        <f aca="false">IF($C371="&lt;01",ROUND(INDEX(EID!$T:$T,MATCH($B371,EID!$B:$B,0))/2,0),ROUND($AZ371*$BA371,0))</f>
        <v>0</v>
      </c>
      <c r="BC371" s="91" t="n">
        <f aca="false">IF(LEFT($B371,4)="_Mil","",IF(SUM($BB371)=0,SUM($AD371),IF(OR(SUM($AP371)=0,SUM($AQ371)=0),MAX($BB371,$AD371),ROUND($BB371*$AQ371/$AP371,0))))</f>
        <v>0</v>
      </c>
      <c r="BD371" s="88" t="n">
        <f aca="false">IF($C371="&lt;01","",95%)</f>
        <v>0.95</v>
      </c>
      <c r="BE371" s="39" t="n">
        <f aca="false">IF($C371="&lt;01",ROUND(INDEX(EID!$V:$V,MATCH($B371,EID!$B:$B,0))/2,0),ROUND($BD371*$BB371,0))</f>
        <v>0</v>
      </c>
      <c r="BF371" s="39" t="n">
        <f aca="false">IF(LEFT($B371,4)="_Mil","",IF(SUM($BE371)=0,SUM($AF371),IF(OR(SUM($AP371)=0,SUM($AQ371)=0),MAX($BE371,$AF371),ROUND($BE371*$AQ371/$AP371,0))))</f>
        <v>0</v>
      </c>
      <c r="BG371" s="114" t="n">
        <f aca="false">IF($C371="&lt;01","",95%)</f>
        <v>0.95</v>
      </c>
      <c r="BH371" s="5" t="n">
        <f aca="false">IF($C371="&lt;01",ROUND(INDEX(EID!$L:$L,MATCH($B371,EID!$B:$B,0)),0)/2,IF(SUM($BG371)=0,"",ROUND($AX371/$BG371,0)))</f>
        <v>0</v>
      </c>
    </row>
    <row r="372" customFormat="false" ht="15" hidden="false" customHeight="false" outlineLevel="0" collapsed="false">
      <c r="A372" s="0" t="str">
        <f aca="false">INDEX(Prioritization!$D:$D,MATCH($B372,Prioritization!$A:$A,0))</f>
        <v>INVALID</v>
      </c>
      <c r="B372" s="0" t="s">
        <v>219</v>
      </c>
      <c r="C372" s="0" t="s">
        <v>365</v>
      </c>
      <c r="D372" s="0" t="s">
        <v>48</v>
      </c>
      <c r="E372" s="0" t="str">
        <f aca="false">$B372&amp;"|"&amp;$C372&amp;"|"&amp;$D372</f>
        <v>Nsanje District [rpw540fmNUz]|15-24|Male</v>
      </c>
      <c r="F372" s="10"/>
      <c r="G372" s="10"/>
      <c r="H372" s="10"/>
      <c r="I372" s="10"/>
      <c r="J372" s="10"/>
      <c r="K372" s="10"/>
      <c r="L372" s="10"/>
      <c r="M372" s="10"/>
      <c r="N372" s="10"/>
      <c r="O372" s="10" t="str">
        <f aca="false">IFERROR(1/(1/MAX($I372,$N372)),"")</f>
        <v/>
      </c>
      <c r="P372" s="10"/>
      <c r="Q372" s="10"/>
      <c r="R372" s="10" t="str">
        <f aca="false">IF(AND(SUM($I372)=0,SUM($O372)=0),"",SUM($O372)-$I372)</f>
        <v/>
      </c>
      <c r="S372" s="10" t="n">
        <f aca="false">IF(LEFT($B372,4)="_Mil","",_xlfn.IFNA(ROUND(INDEX(Spectrum!$N:$N,MATCH(RIGHT($B372,13)&amp;"|"&amp;$C372&amp;"|"&amp;$D372&amp;"|"&amp;S$14&amp;"|"&amp;"CY2022Q4",Spectrum!$R:$R,0)),0),""))</f>
        <v>1379</v>
      </c>
      <c r="T372" s="39" t="n">
        <f aca="false">IF(LEFT($B372,4)="_Mil","",_xlfn.IFNA(ROUND(INDEX(Spectrum!$N:$N,MATCH(RIGHT($B372,13)&amp;"|"&amp;$C372&amp;"|"&amp;$D372&amp;"|"&amp;T$14&amp;"|"&amp;"CY2023Q3",Spectrum!$R:$R,0)),0),""))</f>
        <v>603</v>
      </c>
      <c r="U372" s="39" t="str">
        <f aca="false">IF(LEFT($B372,4)="_Mil","",_xlfn.IFNA(ROUND(INDEX(Spectrum!$N:$N,MATCH(RIGHT($B372,13)&amp;"|"&amp;$C372&amp;"|"&amp;$D372&amp;"|"&amp;U$14&amp;"|"&amp;"CY2023Q3",Spectrum!$R:$R,0)),0),""))</f>
        <v/>
      </c>
      <c r="V372" s="10" t="n">
        <f aca="false">IF(LEFT($B372,4)="_Mil","",_xlfn.IFNA(ROUND(INDEX(Spectrum!$N:$N,MATCH(RIGHT($B372,13)&amp;"|"&amp;$C372&amp;"|"&amp;$D372&amp;"|"&amp;V$14&amp;"|"&amp;"CY2023Q3",Spectrum!$R:$R,0)),0),""))</f>
        <v>1602</v>
      </c>
      <c r="W372" s="113" t="n">
        <f aca="false">IF(LEFT($B372,4)="_Mil","",_xlfn.IFNA(INDEX(Spectrum!$N:$N,MATCH(RIGHT($B372,13)&amp;"|"&amp;$C372&amp;"|"&amp;$D372&amp;"|"&amp;W$14&amp;"|"&amp;"CY2023Q3",Spectrum!$R:$R,0)),""))</f>
        <v>1620</v>
      </c>
      <c r="X372" s="39" t="n">
        <f aca="false">IF(LEFT($B372,4)="_Mil","",_xlfn.IFNA(ROUND(INDEX(Spectrum!$N:$N,MATCH(RIGHT($B372,13)&amp;"|"&amp;$C372&amp;"|"&amp;$D372&amp;"|"&amp;X$14&amp;"|"&amp;"CY2023Q3",Spectrum!$R:$R,0)),0),""))</f>
        <v>1527</v>
      </c>
      <c r="Y372" s="88" t="str">
        <f aca="false">IF(OR(SUM($U372)=0,LEFT($B372,4)="_Mil"),"",SUM($X372)/$U372)</f>
        <v/>
      </c>
      <c r="Z372" s="39" t="n">
        <f aca="false">IF(LEFT($B372,4)="_Mil","",_xlfn.IFNA(ROUND(INDEX(Spectrum!$N:$N,MATCH(RIGHT($B372,13)&amp;"|"&amp;$C372&amp;"|"&amp;$D372&amp;"|"&amp;Z$14&amp;"|"&amp;"CY2023Q3",Spectrum!$R:$R,0)),0),""))</f>
        <v>1494</v>
      </c>
      <c r="AA372" s="88" t="n">
        <f aca="false">IF(LEFT($B372,4)="_Mil","",IFERROR(1/(1/INDEX(Spectrum!$N:$N,MATCH(RIGHT($B372,13)&amp;"|"&amp;$C372&amp;"|"&amp;$D372&amp;"|"&amp;AA$14&amp;"|"&amp;"CY2023Q3",Spectrum!$R:$R,0))),IF(SUM($U372)=0,"",SUM($Z372)/$U372)))</f>
        <v>1525</v>
      </c>
      <c r="AB372" s="88" t="n">
        <f aca="false">IF(OR(LEFT($B372,4)="_Mil",SUM($X372)=0),"",SUM($Z372)/$X372)</f>
        <v>0.978388998035364</v>
      </c>
      <c r="AC372" s="10" t="n">
        <f aca="false">IF(LEFT($B372,4)="_Mil","",_xlfn.IFNA(ROUND(INDEX(Spectrum!$N:$N,MATCH(RIGHT($B372,13)&amp;"|"&amp;$C372&amp;"|"&amp;$D372&amp;"|"&amp;AC$14&amp;"|"&amp;"CY2023Q3",Spectrum!$R:$R,0)),0),""))</f>
        <v>1613</v>
      </c>
      <c r="AD372" s="10" t="str">
        <f aca="false">IF(LEFT($B372,4)="_Mil","",_xlfn.IFNA(ROUND(INDEX(Spectrum!$N:$N,MATCH(RIGHT($B372,13)&amp;"|"&amp;$C372&amp;"|"&amp;$D372&amp;"|"&amp;AD$14&amp;"|"&amp;"CY2023Q3",Spectrum!$R:$R,0)),0),""))</f>
        <v/>
      </c>
      <c r="AE372" s="88" t="n">
        <f aca="false">IF(OR(LEFT($B372,4)="_Mil",SUM($Z372)=0),"",SUM($AD372)/$Z372)</f>
        <v>0</v>
      </c>
      <c r="AF372" s="39" t="str">
        <f aca="false">IF(LEFT($B372,4)="_Mil","",_xlfn.IFNA(ROUND(INDEX(Spectrum!$N:$N,MATCH(RIGHT($B372,13)&amp;"|"&amp;$C372&amp;"|"&amp;$D372&amp;"|"&amp;AF$14&amp;"|"&amp;"CY2023Q3",Spectrum!$R:$R,0)),0),""))</f>
        <v/>
      </c>
      <c r="AG372" s="88" t="str">
        <f aca="false">IF(OR(LEFT($B372,4)="_Mil",SUM($AD372)=0),"",SUM($AF372)/$AD372)</f>
        <v/>
      </c>
      <c r="AH372" s="86" t="str">
        <f aca="false">IF(LEFT($B372,4)="_Mil","",_xlfn.IFNA(INDEX(Spectrum!$N:$N,MATCH(RIGHT($B372,13)&amp;"|"&amp;$C372&amp;"|"&amp;$D372&amp;"|"&amp;AH$14&amp;"|"&amp;"CY2023Q3",Spectrum!$R:$R,0)),""))</f>
        <v/>
      </c>
      <c r="AI372" s="10" t="str">
        <f aca="false">IF(LEFT($B372,4)="_Mil","",_xlfn.IFNA(ROUND(INDEX(Spectrum!$N:$N,MATCH(RIGHT($B372,13)&amp;"|"&amp;$C372&amp;"|"&amp;$D372&amp;"|"&amp;AI$14&amp;"|"&amp;"CY2023Q3",Spectrum!$R:$R,0)),0),""))</f>
        <v/>
      </c>
      <c r="AJ372" s="39" t="n">
        <f aca="false">IF(LEFT($B372,4)="_Mil","",_xlfn.IFNA(ROUND(INDEX(Spectrum!$N:$N,MATCH(RIGHT($B372,13)&amp;"|"&amp;$C372&amp;"|"&amp;$D372&amp;"|"&amp;AI$14&amp;"|"&amp;"CY2023Q3",Spectrum!$R:$R,0)),0),SUM($U372)+SUM($AI372)))</f>
        <v>0</v>
      </c>
      <c r="AK372" s="10" t="str">
        <f aca="false">IF(LEFT($B372,4)="_Mil","",_xlfn.IFNA(ROUND(INDEX(Spectrum!$N:$N,MATCH(RIGHT($B372,13)&amp;"|"&amp;$C372&amp;"|"&amp;$D372&amp;"|"&amp;AK$14&amp;"|"&amp;"CY2023Q3",Spectrum!$R:$R,0)),0),""))</f>
        <v/>
      </c>
      <c r="AL372" s="88" t="n">
        <f aca="false">IF(OR(LEFT($B372,4)="_Mil",$C372="&lt;01"),"",MAX(SUM($AA372),90%))</f>
        <v>1525</v>
      </c>
      <c r="AM372" s="10" t="n">
        <f aca="false">IF(OR(LEFT($B372,4)="_Mil",$C372="&lt;01"),"",ROUND(SUM($AJ372)*SUM($AL372),0))</f>
        <v>0</v>
      </c>
      <c r="AN372" s="10" t="str">
        <f aca="false">IF($C372="&lt;01",ROUND(INDEX(EID!$P:$P,MATCH($B372,EID!$B:$B,0))/2,0),"")</f>
        <v/>
      </c>
      <c r="AO372" s="10" t="n">
        <f aca="false">IF($C372="&lt;01",SUM($AN372),ROUND(SUM($AM372)*SUM($O372)/IF(SUM($Z372)=0,1,$Z372),0))</f>
        <v>0</v>
      </c>
      <c r="AP372" s="39" t="n">
        <f aca="false">IF(OR($F372="",$C372="&lt;01"),$AO372,$F372)</f>
        <v>0</v>
      </c>
      <c r="AQ372" s="39" t="n">
        <f aca="false">IF(LEFT($B372,4)="_Mil","",IF(SUM($AP372)=0,SUM($Z372),IF(OR(SUM($Z372)=0,SUM($O372)=0),MAX($AP372,$Z372),$AP372*$Z372/$O372)))</f>
        <v>1494</v>
      </c>
      <c r="AR372" s="88" t="str">
        <f aca="false">IF(OR(LEFT($B372,4)="_Mil",SUM($AJ372)=0),"",SUM($AQ372)/$AJ372)</f>
        <v/>
      </c>
      <c r="AS372" s="88" t="n">
        <f aca="false">IF($C372="&lt;01","",98%)</f>
        <v>0.98</v>
      </c>
      <c r="AT372" s="88" t="n">
        <f aca="false">IF($C372="&lt;01","",98%)</f>
        <v>0.98</v>
      </c>
      <c r="AU372" s="10" t="n">
        <f aca="false">IF($C372="&lt;01","",SUM($AP372)-SUM($O372))</f>
        <v>0</v>
      </c>
      <c r="AV372" s="10" t="n">
        <f aca="false">IF($C372="&lt;01",ROUND(INDEX(EID!$N:$N,MATCH($B372,EID!$B:$B,0))/2,0),IF(SUM($AT372)=0,"",ROUND((SUM($AP372)-(SUM($O372)*SUM($AS372)))/$AT372,0)))</f>
        <v>0</v>
      </c>
      <c r="AW372" s="88" t="n">
        <f aca="false">IF($C372="&lt;01","",100%)</f>
        <v>1</v>
      </c>
      <c r="AX372" s="39" t="n">
        <f aca="false">IF($C372="&lt;01",SUM($AV372),ROUND(SUM($AV372)*SUM($AW372),0))</f>
        <v>0</v>
      </c>
      <c r="AY372" s="114" t="n">
        <f aca="false">IF($C372="&lt;01","",70%)</f>
        <v>0.7</v>
      </c>
      <c r="AZ372" s="91" t="n">
        <f aca="false">IF($C372="&lt;01",ROUND(INDEX(EID!$R:$R,MATCH($B372,EID!$B:$B,0))/2,0),ROUND(SUM($O372)+(SUM($AV372)*$AY372),0))</f>
        <v>0</v>
      </c>
      <c r="BA372" s="87" t="n">
        <f aca="false">IF($C372="&lt;01","",95%)</f>
        <v>0.95</v>
      </c>
      <c r="BB372" s="5" t="n">
        <f aca="false">IF($C372="&lt;01",ROUND(INDEX(EID!$T:$T,MATCH($B372,EID!$B:$B,0))/2,0),ROUND($AZ372*$BA372,0))</f>
        <v>0</v>
      </c>
      <c r="BC372" s="91" t="n">
        <f aca="false">IF(LEFT($B372,4)="_Mil","",IF(SUM($BB372)=0,SUM($AD372),IF(OR(SUM($AP372)=0,SUM($AQ372)=0),MAX($BB372,$AD372),ROUND($BB372*$AQ372/$AP372,0))))</f>
        <v>0</v>
      </c>
      <c r="BD372" s="88" t="n">
        <f aca="false">IF($C372="&lt;01","",95%)</f>
        <v>0.95</v>
      </c>
      <c r="BE372" s="39" t="n">
        <f aca="false">IF($C372="&lt;01",ROUND(INDEX(EID!$V:$V,MATCH($B372,EID!$B:$B,0))/2,0),ROUND($BD372*$BB372,0))</f>
        <v>0</v>
      </c>
      <c r="BF372" s="39" t="n">
        <f aca="false">IF(LEFT($B372,4)="_Mil","",IF(SUM($BE372)=0,SUM($AF372),IF(OR(SUM($AP372)=0,SUM($AQ372)=0),MAX($BE372,$AF372),ROUND($BE372*$AQ372/$AP372,0))))</f>
        <v>0</v>
      </c>
      <c r="BG372" s="114" t="n">
        <f aca="false">IF($C372="&lt;01","",95%)</f>
        <v>0.95</v>
      </c>
      <c r="BH372" s="5" t="n">
        <f aca="false">IF($C372="&lt;01",ROUND(INDEX(EID!$L:$L,MATCH($B372,EID!$B:$B,0)),0)/2,IF(SUM($BG372)=0,"",ROUND($AX372/$BG372,0)))</f>
        <v>0</v>
      </c>
    </row>
    <row r="373" customFormat="false" ht="15" hidden="false" customHeight="false" outlineLevel="0" collapsed="false">
      <c r="A373" s="0" t="str">
        <f aca="false">INDEX(Prioritization!$D:$D,MATCH($B373,Prioritization!$A:$A,0))</f>
        <v>INVALID</v>
      </c>
      <c r="B373" s="0" t="s">
        <v>219</v>
      </c>
      <c r="C373" s="0" t="s">
        <v>366</v>
      </c>
      <c r="D373" s="0" t="s">
        <v>30</v>
      </c>
      <c r="E373" s="0" t="str">
        <f aca="false">$B373&amp;"|"&amp;$C373&amp;"|"&amp;$D373</f>
        <v>Nsanje District [rpw540fmNUz]|25-34|Female</v>
      </c>
      <c r="F373" s="10"/>
      <c r="G373" s="10"/>
      <c r="H373" s="10"/>
      <c r="I373" s="10"/>
      <c r="J373" s="10"/>
      <c r="K373" s="10"/>
      <c r="L373" s="10"/>
      <c r="M373" s="10"/>
      <c r="N373" s="10"/>
      <c r="O373" s="10" t="str">
        <f aca="false">IFERROR(1/(1/MAX($I373,$N373)),"")</f>
        <v/>
      </c>
      <c r="P373" s="10"/>
      <c r="Q373" s="10"/>
      <c r="R373" s="10" t="str">
        <f aca="false">IF(AND(SUM($I373)=0,SUM($O373)=0),"",SUM($O373)-$I373)</f>
        <v/>
      </c>
      <c r="S373" s="10" t="n">
        <f aca="false">IF(LEFT($B373,4)="_Mil","",_xlfn.IFNA(ROUND(INDEX(Spectrum!$N:$N,MATCH(RIGHT($B373,13)&amp;"|"&amp;$C373&amp;"|"&amp;$D373&amp;"|"&amp;S$14&amp;"|"&amp;"CY2022Q4",Spectrum!$R:$R,0)),0),""))</f>
        <v>1489</v>
      </c>
      <c r="T373" s="39" t="n">
        <f aca="false">IF(LEFT($B373,4)="_Mil","",_xlfn.IFNA(ROUND(INDEX(Spectrum!$N:$N,MATCH(RIGHT($B373,13)&amp;"|"&amp;$C373&amp;"|"&amp;$D373&amp;"|"&amp;T$14&amp;"|"&amp;"CY2023Q3",Spectrum!$R:$R,0)),0),""))</f>
        <v>1925</v>
      </c>
      <c r="U373" s="39" t="str">
        <f aca="false">IF(LEFT($B373,4)="_Mil","",_xlfn.IFNA(ROUND(INDEX(Spectrum!$N:$N,MATCH(RIGHT($B373,13)&amp;"|"&amp;$C373&amp;"|"&amp;$D373&amp;"|"&amp;U$14&amp;"|"&amp;"CY2023Q3",Spectrum!$R:$R,0)),0),""))</f>
        <v/>
      </c>
      <c r="V373" s="10" t="n">
        <f aca="false">IF(LEFT($B373,4)="_Mil","",_xlfn.IFNA(ROUND(INDEX(Spectrum!$N:$N,MATCH(RIGHT($B373,13)&amp;"|"&amp;$C373&amp;"|"&amp;$D373&amp;"|"&amp;V$14&amp;"|"&amp;"CY2023Q3",Spectrum!$R:$R,0)),0),""))</f>
        <v>1271</v>
      </c>
      <c r="W373" s="113" t="n">
        <f aca="false">IF(LEFT($B373,4)="_Mil","",_xlfn.IFNA(INDEX(Spectrum!$N:$N,MATCH(RIGHT($B373,13)&amp;"|"&amp;$C373&amp;"|"&amp;$D373&amp;"|"&amp;W$14&amp;"|"&amp;"CY2023Q3",Spectrum!$R:$R,0)),""))</f>
        <v>1535</v>
      </c>
      <c r="X373" s="39" t="n">
        <f aca="false">IF(LEFT($B373,4)="_Mil","",_xlfn.IFNA(ROUND(INDEX(Spectrum!$N:$N,MATCH(RIGHT($B373,13)&amp;"|"&amp;$C373&amp;"|"&amp;$D373&amp;"|"&amp;X$14&amp;"|"&amp;"CY2023Q3",Spectrum!$R:$R,0)),0),""))</f>
        <v>799</v>
      </c>
      <c r="Y373" s="88" t="str">
        <f aca="false">IF(OR(SUM($U373)=0,LEFT($B373,4)="_Mil"),"",SUM($X373)/$U373)</f>
        <v/>
      </c>
      <c r="Z373" s="39" t="n">
        <f aca="false">IF(LEFT($B373,4)="_Mil","",_xlfn.IFNA(ROUND(INDEX(Spectrum!$N:$N,MATCH(RIGHT($B373,13)&amp;"|"&amp;$C373&amp;"|"&amp;$D373&amp;"|"&amp;Z$14&amp;"|"&amp;"CY2023Q3",Spectrum!$R:$R,0)),0),""))</f>
        <v>931</v>
      </c>
      <c r="AA373" s="88" t="n">
        <f aca="false">IF(LEFT($B373,4)="_Mil","",IFERROR(1/(1/INDEX(Spectrum!$N:$N,MATCH(RIGHT($B373,13)&amp;"|"&amp;$C373&amp;"|"&amp;$D373&amp;"|"&amp;AA$14&amp;"|"&amp;"CY2023Q3",Spectrum!$R:$R,0))),IF(SUM($U373)=0,"",SUM($Z373)/$U373)))</f>
        <v>1848</v>
      </c>
      <c r="AB373" s="88" t="n">
        <f aca="false">IF(OR(LEFT($B373,4)="_Mil",SUM($X373)=0),"",SUM($Z373)/$X373)</f>
        <v>1.16520650813517</v>
      </c>
      <c r="AC373" s="10" t="n">
        <f aca="false">IF(LEFT($B373,4)="_Mil","",_xlfn.IFNA(ROUND(INDEX(Spectrum!$N:$N,MATCH(RIGHT($B373,13)&amp;"|"&amp;$C373&amp;"|"&amp;$D373&amp;"|"&amp;AC$14&amp;"|"&amp;"CY2023Q3",Spectrum!$R:$R,0)),0),""))</f>
        <v>1954</v>
      </c>
      <c r="AD373" s="10" t="str">
        <f aca="false">IF(LEFT($B373,4)="_Mil","",_xlfn.IFNA(ROUND(INDEX(Spectrum!$N:$N,MATCH(RIGHT($B373,13)&amp;"|"&amp;$C373&amp;"|"&amp;$D373&amp;"|"&amp;AD$14&amp;"|"&amp;"CY2023Q3",Spectrum!$R:$R,0)),0),""))</f>
        <v/>
      </c>
      <c r="AE373" s="88" t="n">
        <f aca="false">IF(OR(LEFT($B373,4)="_Mil",SUM($Z373)=0),"",SUM($AD373)/$Z373)</f>
        <v>0</v>
      </c>
      <c r="AF373" s="39" t="str">
        <f aca="false">IF(LEFT($B373,4)="_Mil","",_xlfn.IFNA(ROUND(INDEX(Spectrum!$N:$N,MATCH(RIGHT($B373,13)&amp;"|"&amp;$C373&amp;"|"&amp;$D373&amp;"|"&amp;AF$14&amp;"|"&amp;"CY2023Q3",Spectrum!$R:$R,0)),0),""))</f>
        <v/>
      </c>
      <c r="AG373" s="88" t="str">
        <f aca="false">IF(OR(LEFT($B373,4)="_Mil",SUM($AD373)=0),"",SUM($AF373)/$AD373)</f>
        <v/>
      </c>
      <c r="AH373" s="86" t="str">
        <f aca="false">IF(LEFT($B373,4)="_Mil","",_xlfn.IFNA(INDEX(Spectrum!$N:$N,MATCH(RIGHT($B373,13)&amp;"|"&amp;$C373&amp;"|"&amp;$D373&amp;"|"&amp;AH$14&amp;"|"&amp;"CY2023Q3",Spectrum!$R:$R,0)),""))</f>
        <v/>
      </c>
      <c r="AI373" s="10" t="str">
        <f aca="false">IF(LEFT($B373,4)="_Mil","",_xlfn.IFNA(ROUND(INDEX(Spectrum!$N:$N,MATCH(RIGHT($B373,13)&amp;"|"&amp;$C373&amp;"|"&amp;$D373&amp;"|"&amp;AI$14&amp;"|"&amp;"CY2023Q3",Spectrum!$R:$R,0)),0),""))</f>
        <v/>
      </c>
      <c r="AJ373" s="39" t="n">
        <f aca="false">IF(LEFT($B373,4)="_Mil","",_xlfn.IFNA(ROUND(INDEX(Spectrum!$N:$N,MATCH(RIGHT($B373,13)&amp;"|"&amp;$C373&amp;"|"&amp;$D373&amp;"|"&amp;AI$14&amp;"|"&amp;"CY2023Q3",Spectrum!$R:$R,0)),0),SUM($U373)+SUM($AI373)))</f>
        <v>0</v>
      </c>
      <c r="AK373" s="10" t="str">
        <f aca="false">IF(LEFT($B373,4)="_Mil","",_xlfn.IFNA(ROUND(INDEX(Spectrum!$N:$N,MATCH(RIGHT($B373,13)&amp;"|"&amp;$C373&amp;"|"&amp;$D373&amp;"|"&amp;AK$14&amp;"|"&amp;"CY2023Q3",Spectrum!$R:$R,0)),0),""))</f>
        <v/>
      </c>
      <c r="AL373" s="88" t="n">
        <f aca="false">IF(OR(LEFT($B373,4)="_Mil",$C373="&lt;01"),"",MAX(SUM($AA373),90%))</f>
        <v>1848</v>
      </c>
      <c r="AM373" s="10" t="n">
        <f aca="false">IF(OR(LEFT($B373,4)="_Mil",$C373="&lt;01"),"",ROUND(SUM($AJ373)*SUM($AL373),0))</f>
        <v>0</v>
      </c>
      <c r="AN373" s="10" t="str">
        <f aca="false">IF($C373="&lt;01",ROUND(INDEX(EID!$P:$P,MATCH($B373,EID!$B:$B,0))/2,0),"")</f>
        <v/>
      </c>
      <c r="AO373" s="10" t="n">
        <f aca="false">IF($C373="&lt;01",SUM($AN373),ROUND(SUM($AM373)*SUM($O373)/IF(SUM($Z373)=0,1,$Z373),0))</f>
        <v>0</v>
      </c>
      <c r="AP373" s="39" t="n">
        <f aca="false">IF(OR($F373="",$C373="&lt;01"),$AO373,$F373)</f>
        <v>0</v>
      </c>
      <c r="AQ373" s="39" t="n">
        <f aca="false">IF(LEFT($B373,4)="_Mil","",IF(SUM($AP373)=0,SUM($Z373),IF(OR(SUM($Z373)=0,SUM($O373)=0),MAX($AP373,$Z373),$AP373*$Z373/$O373)))</f>
        <v>931</v>
      </c>
      <c r="AR373" s="88" t="str">
        <f aca="false">IF(OR(LEFT($B373,4)="_Mil",SUM($AJ373)=0),"",SUM($AQ373)/$AJ373)</f>
        <v/>
      </c>
      <c r="AS373" s="88" t="n">
        <f aca="false">IF($C373="&lt;01","",98%)</f>
        <v>0.98</v>
      </c>
      <c r="AT373" s="88" t="n">
        <f aca="false">IF($C373="&lt;01","",98%)</f>
        <v>0.98</v>
      </c>
      <c r="AU373" s="10" t="n">
        <f aca="false">IF($C373="&lt;01","",SUM($AP373)-SUM($O373))</f>
        <v>0</v>
      </c>
      <c r="AV373" s="10" t="n">
        <f aca="false">IF($C373="&lt;01",ROUND(INDEX(EID!$N:$N,MATCH($B373,EID!$B:$B,0))/2,0),IF(SUM($AT373)=0,"",ROUND((SUM($AP373)-(SUM($O373)*SUM($AS373)))/$AT373,0)))</f>
        <v>0</v>
      </c>
      <c r="AW373" s="88" t="n">
        <f aca="false">IF($C373="&lt;01","",100%)</f>
        <v>1</v>
      </c>
      <c r="AX373" s="39" t="n">
        <f aca="false">IF($C373="&lt;01",SUM($AV373),ROUND(SUM($AV373)*SUM($AW373),0))</f>
        <v>0</v>
      </c>
      <c r="AY373" s="114" t="n">
        <f aca="false">IF($C373="&lt;01","",70%)</f>
        <v>0.7</v>
      </c>
      <c r="AZ373" s="91" t="n">
        <f aca="false">IF($C373="&lt;01",ROUND(INDEX(EID!$R:$R,MATCH($B373,EID!$B:$B,0))/2,0),ROUND(SUM($O373)+(SUM($AV373)*$AY373),0))</f>
        <v>0</v>
      </c>
      <c r="BA373" s="87" t="n">
        <f aca="false">IF($C373="&lt;01","",95%)</f>
        <v>0.95</v>
      </c>
      <c r="BB373" s="5" t="n">
        <f aca="false">IF($C373="&lt;01",ROUND(INDEX(EID!$T:$T,MATCH($B373,EID!$B:$B,0))/2,0),ROUND($AZ373*$BA373,0))</f>
        <v>0</v>
      </c>
      <c r="BC373" s="91" t="n">
        <f aca="false">IF(LEFT($B373,4)="_Mil","",IF(SUM($BB373)=0,SUM($AD373),IF(OR(SUM($AP373)=0,SUM($AQ373)=0),MAX($BB373,$AD373),ROUND($BB373*$AQ373/$AP373,0))))</f>
        <v>0</v>
      </c>
      <c r="BD373" s="88" t="n">
        <f aca="false">IF($C373="&lt;01","",95%)</f>
        <v>0.95</v>
      </c>
      <c r="BE373" s="39" t="n">
        <f aca="false">IF($C373="&lt;01",ROUND(INDEX(EID!$V:$V,MATCH($B373,EID!$B:$B,0))/2,0),ROUND($BD373*$BB373,0))</f>
        <v>0</v>
      </c>
      <c r="BF373" s="39" t="n">
        <f aca="false">IF(LEFT($B373,4)="_Mil","",IF(SUM($BE373)=0,SUM($AF373),IF(OR(SUM($AP373)=0,SUM($AQ373)=0),MAX($BE373,$AF373),ROUND($BE373*$AQ373/$AP373,0))))</f>
        <v>0</v>
      </c>
      <c r="BG373" s="114" t="n">
        <f aca="false">IF($C373="&lt;01","",95%)</f>
        <v>0.95</v>
      </c>
      <c r="BH373" s="5" t="n">
        <f aca="false">IF($C373="&lt;01",ROUND(INDEX(EID!$L:$L,MATCH($B373,EID!$B:$B,0)),0)/2,IF(SUM($BG373)=0,"",ROUND($AX373/$BG373,0)))</f>
        <v>0</v>
      </c>
    </row>
    <row r="374" customFormat="false" ht="15" hidden="false" customHeight="false" outlineLevel="0" collapsed="false">
      <c r="A374" s="0" t="str">
        <f aca="false">INDEX(Prioritization!$D:$D,MATCH($B374,Prioritization!$A:$A,0))</f>
        <v>INVALID</v>
      </c>
      <c r="B374" s="0" t="s">
        <v>219</v>
      </c>
      <c r="C374" s="0" t="s">
        <v>366</v>
      </c>
      <c r="D374" s="0" t="s">
        <v>48</v>
      </c>
      <c r="E374" s="0" t="str">
        <f aca="false">$B374&amp;"|"&amp;$C374&amp;"|"&amp;$D374</f>
        <v>Nsanje District [rpw540fmNUz]|25-34|Male</v>
      </c>
      <c r="F374" s="10"/>
      <c r="G374" s="10"/>
      <c r="H374" s="10"/>
      <c r="I374" s="10"/>
      <c r="J374" s="10"/>
      <c r="K374" s="10"/>
      <c r="L374" s="10"/>
      <c r="M374" s="10"/>
      <c r="N374" s="10"/>
      <c r="O374" s="10" t="str">
        <f aca="false">IFERROR(1/(1/MAX($I374,$N374)),"")</f>
        <v/>
      </c>
      <c r="P374" s="10"/>
      <c r="Q374" s="10"/>
      <c r="R374" s="10" t="str">
        <f aca="false">IF(AND(SUM($I374)=0,SUM($O374)=0),"",SUM($O374)-$I374)</f>
        <v/>
      </c>
      <c r="S374" s="10" t="n">
        <f aca="false">IF(LEFT($B374,4)="_Mil","",_xlfn.IFNA(ROUND(INDEX(Spectrum!$N:$N,MATCH(RIGHT($B374,13)&amp;"|"&amp;$C374&amp;"|"&amp;$D374&amp;"|"&amp;S$14&amp;"|"&amp;"CY2022Q4",Spectrum!$R:$R,0)),0),""))</f>
        <v>1670</v>
      </c>
      <c r="T374" s="39" t="n">
        <f aca="false">IF(LEFT($B374,4)="_Mil","",_xlfn.IFNA(ROUND(INDEX(Spectrum!$N:$N,MATCH(RIGHT($B374,13)&amp;"|"&amp;$C374&amp;"|"&amp;$D374&amp;"|"&amp;T$14&amp;"|"&amp;"CY2023Q3",Spectrum!$R:$R,0)),0),""))</f>
        <v>1786</v>
      </c>
      <c r="U374" s="39" t="str">
        <f aca="false">IF(LEFT($B374,4)="_Mil","",_xlfn.IFNA(ROUND(INDEX(Spectrum!$N:$N,MATCH(RIGHT($B374,13)&amp;"|"&amp;$C374&amp;"|"&amp;$D374&amp;"|"&amp;U$14&amp;"|"&amp;"CY2023Q3",Spectrum!$R:$R,0)),0),""))</f>
        <v/>
      </c>
      <c r="V374" s="10" t="n">
        <f aca="false">IF(LEFT($B374,4)="_Mil","",_xlfn.IFNA(ROUND(INDEX(Spectrum!$N:$N,MATCH(RIGHT($B374,13)&amp;"|"&amp;$C374&amp;"|"&amp;$D374&amp;"|"&amp;V$14&amp;"|"&amp;"CY2023Q3",Spectrum!$R:$R,0)),0),""))</f>
        <v>775</v>
      </c>
      <c r="W374" s="113" t="n">
        <f aca="false">IF(LEFT($B374,4)="_Mil","",_xlfn.IFNA(INDEX(Spectrum!$N:$N,MATCH(RIGHT($B374,13)&amp;"|"&amp;$C374&amp;"|"&amp;$D374&amp;"|"&amp;W$14&amp;"|"&amp;"CY2023Q3",Spectrum!$R:$R,0)),""))</f>
        <v>584</v>
      </c>
      <c r="X374" s="39" t="n">
        <f aca="false">IF(LEFT($B374,4)="_Mil","",_xlfn.IFNA(ROUND(INDEX(Spectrum!$N:$N,MATCH(RIGHT($B374,13)&amp;"|"&amp;$C374&amp;"|"&amp;$D374&amp;"|"&amp;X$14&amp;"|"&amp;"CY2023Q3",Spectrum!$R:$R,0)),0),""))</f>
        <v>1449</v>
      </c>
      <c r="Y374" s="88" t="str">
        <f aca="false">IF(OR(SUM($U374)=0,LEFT($B374,4)="_Mil"),"",SUM($X374)/$U374)</f>
        <v/>
      </c>
      <c r="Z374" s="39" t="n">
        <f aca="false">IF(LEFT($B374,4)="_Mil","",_xlfn.IFNA(ROUND(INDEX(Spectrum!$N:$N,MATCH(RIGHT($B374,13)&amp;"|"&amp;$C374&amp;"|"&amp;$D374&amp;"|"&amp;Z$14&amp;"|"&amp;"CY2023Q3",Spectrum!$R:$R,0)),0),""))</f>
        <v>1466</v>
      </c>
      <c r="AA374" s="88" t="n">
        <f aca="false">IF(LEFT($B374,4)="_Mil","",IFERROR(1/(1/INDEX(Spectrum!$N:$N,MATCH(RIGHT($B374,13)&amp;"|"&amp;$C374&amp;"|"&amp;$D374&amp;"|"&amp;AA$14&amp;"|"&amp;"CY2023Q3",Spectrum!$R:$R,0))),IF(SUM($U374)=0,"",SUM($Z374)/$U374)))</f>
        <v>1838</v>
      </c>
      <c r="AB374" s="88" t="n">
        <f aca="false">IF(OR(LEFT($B374,4)="_Mil",SUM($X374)=0),"",SUM($Z374)/$X374)</f>
        <v>1.01173222912353</v>
      </c>
      <c r="AC374" s="10" t="n">
        <f aca="false">IF(LEFT($B374,4)="_Mil","",_xlfn.IFNA(ROUND(INDEX(Spectrum!$N:$N,MATCH(RIGHT($B374,13)&amp;"|"&amp;$C374&amp;"|"&amp;$D374&amp;"|"&amp;AC$14&amp;"|"&amp;"CY2023Q3",Spectrum!$R:$R,0)),0),""))</f>
        <v>1496</v>
      </c>
      <c r="AD374" s="10" t="str">
        <f aca="false">IF(LEFT($B374,4)="_Mil","",_xlfn.IFNA(ROUND(INDEX(Spectrum!$N:$N,MATCH(RIGHT($B374,13)&amp;"|"&amp;$C374&amp;"|"&amp;$D374&amp;"|"&amp;AD$14&amp;"|"&amp;"CY2023Q3",Spectrum!$R:$R,0)),0),""))</f>
        <v/>
      </c>
      <c r="AE374" s="88" t="n">
        <f aca="false">IF(OR(LEFT($B374,4)="_Mil",SUM($Z374)=0),"",SUM($AD374)/$Z374)</f>
        <v>0</v>
      </c>
      <c r="AF374" s="39" t="str">
        <f aca="false">IF(LEFT($B374,4)="_Mil","",_xlfn.IFNA(ROUND(INDEX(Spectrum!$N:$N,MATCH(RIGHT($B374,13)&amp;"|"&amp;$C374&amp;"|"&amp;$D374&amp;"|"&amp;AF$14&amp;"|"&amp;"CY2023Q3",Spectrum!$R:$R,0)),0),""))</f>
        <v/>
      </c>
      <c r="AG374" s="88" t="str">
        <f aca="false">IF(OR(LEFT($B374,4)="_Mil",SUM($AD374)=0),"",SUM($AF374)/$AD374)</f>
        <v/>
      </c>
      <c r="AH374" s="86" t="str">
        <f aca="false">IF(LEFT($B374,4)="_Mil","",_xlfn.IFNA(INDEX(Spectrum!$N:$N,MATCH(RIGHT($B374,13)&amp;"|"&amp;$C374&amp;"|"&amp;$D374&amp;"|"&amp;AH$14&amp;"|"&amp;"CY2023Q3",Spectrum!$R:$R,0)),""))</f>
        <v/>
      </c>
      <c r="AI374" s="10" t="str">
        <f aca="false">IF(LEFT($B374,4)="_Mil","",_xlfn.IFNA(ROUND(INDEX(Spectrum!$N:$N,MATCH(RIGHT($B374,13)&amp;"|"&amp;$C374&amp;"|"&amp;$D374&amp;"|"&amp;AI$14&amp;"|"&amp;"CY2023Q3",Spectrum!$R:$R,0)),0),""))</f>
        <v/>
      </c>
      <c r="AJ374" s="39" t="n">
        <f aca="false">IF(LEFT($B374,4)="_Mil","",_xlfn.IFNA(ROUND(INDEX(Spectrum!$N:$N,MATCH(RIGHT($B374,13)&amp;"|"&amp;$C374&amp;"|"&amp;$D374&amp;"|"&amp;AI$14&amp;"|"&amp;"CY2023Q3",Spectrum!$R:$R,0)),0),SUM($U374)+SUM($AI374)))</f>
        <v>0</v>
      </c>
      <c r="AK374" s="10" t="str">
        <f aca="false">IF(LEFT($B374,4)="_Mil","",_xlfn.IFNA(ROUND(INDEX(Spectrum!$N:$N,MATCH(RIGHT($B374,13)&amp;"|"&amp;$C374&amp;"|"&amp;$D374&amp;"|"&amp;AK$14&amp;"|"&amp;"CY2023Q3",Spectrum!$R:$R,0)),0),""))</f>
        <v/>
      </c>
      <c r="AL374" s="88" t="n">
        <f aca="false">IF(OR(LEFT($B374,4)="_Mil",$C374="&lt;01"),"",MAX(SUM($AA374),90%))</f>
        <v>1838</v>
      </c>
      <c r="AM374" s="10" t="n">
        <f aca="false">IF(OR(LEFT($B374,4)="_Mil",$C374="&lt;01"),"",ROUND(SUM($AJ374)*SUM($AL374),0))</f>
        <v>0</v>
      </c>
      <c r="AN374" s="10" t="str">
        <f aca="false">IF($C374="&lt;01",ROUND(INDEX(EID!$P:$P,MATCH($B374,EID!$B:$B,0))/2,0),"")</f>
        <v/>
      </c>
      <c r="AO374" s="10" t="n">
        <f aca="false">IF($C374="&lt;01",SUM($AN374),ROUND(SUM($AM374)*SUM($O374)/IF(SUM($Z374)=0,1,$Z374),0))</f>
        <v>0</v>
      </c>
      <c r="AP374" s="39" t="n">
        <f aca="false">IF(OR($F374="",$C374="&lt;01"),$AO374,$F374)</f>
        <v>0</v>
      </c>
      <c r="AQ374" s="39" t="n">
        <f aca="false">IF(LEFT($B374,4)="_Mil","",IF(SUM($AP374)=0,SUM($Z374),IF(OR(SUM($Z374)=0,SUM($O374)=0),MAX($AP374,$Z374),$AP374*$Z374/$O374)))</f>
        <v>1466</v>
      </c>
      <c r="AR374" s="88" t="str">
        <f aca="false">IF(OR(LEFT($B374,4)="_Mil",SUM($AJ374)=0),"",SUM($AQ374)/$AJ374)</f>
        <v/>
      </c>
      <c r="AS374" s="88" t="n">
        <f aca="false">IF($C374="&lt;01","",98%)</f>
        <v>0.98</v>
      </c>
      <c r="AT374" s="88" t="n">
        <f aca="false">IF($C374="&lt;01","",98%)</f>
        <v>0.98</v>
      </c>
      <c r="AU374" s="10" t="n">
        <f aca="false">IF($C374="&lt;01","",SUM($AP374)-SUM($O374))</f>
        <v>0</v>
      </c>
      <c r="AV374" s="10" t="n">
        <f aca="false">IF($C374="&lt;01",ROUND(INDEX(EID!$N:$N,MATCH($B374,EID!$B:$B,0))/2,0),IF(SUM($AT374)=0,"",ROUND((SUM($AP374)-(SUM($O374)*SUM($AS374)))/$AT374,0)))</f>
        <v>0</v>
      </c>
      <c r="AW374" s="88" t="n">
        <f aca="false">IF($C374="&lt;01","",100%)</f>
        <v>1</v>
      </c>
      <c r="AX374" s="39" t="n">
        <f aca="false">IF($C374="&lt;01",SUM($AV374),ROUND(SUM($AV374)*SUM($AW374),0))</f>
        <v>0</v>
      </c>
      <c r="AY374" s="114" t="n">
        <f aca="false">IF($C374="&lt;01","",70%)</f>
        <v>0.7</v>
      </c>
      <c r="AZ374" s="91" t="n">
        <f aca="false">IF($C374="&lt;01",ROUND(INDEX(EID!$R:$R,MATCH($B374,EID!$B:$B,0))/2,0),ROUND(SUM($O374)+(SUM($AV374)*$AY374),0))</f>
        <v>0</v>
      </c>
      <c r="BA374" s="87" t="n">
        <f aca="false">IF($C374="&lt;01","",95%)</f>
        <v>0.95</v>
      </c>
      <c r="BB374" s="5" t="n">
        <f aca="false">IF($C374="&lt;01",ROUND(INDEX(EID!$T:$T,MATCH($B374,EID!$B:$B,0))/2,0),ROUND($AZ374*$BA374,0))</f>
        <v>0</v>
      </c>
      <c r="BC374" s="91" t="n">
        <f aca="false">IF(LEFT($B374,4)="_Mil","",IF(SUM($BB374)=0,SUM($AD374),IF(OR(SUM($AP374)=0,SUM($AQ374)=0),MAX($BB374,$AD374),ROUND($BB374*$AQ374/$AP374,0))))</f>
        <v>0</v>
      </c>
      <c r="BD374" s="88" t="n">
        <f aca="false">IF($C374="&lt;01","",95%)</f>
        <v>0.95</v>
      </c>
      <c r="BE374" s="39" t="n">
        <f aca="false">IF($C374="&lt;01",ROUND(INDEX(EID!$V:$V,MATCH($B374,EID!$B:$B,0))/2,0),ROUND($BD374*$BB374,0))</f>
        <v>0</v>
      </c>
      <c r="BF374" s="39" t="n">
        <f aca="false">IF(LEFT($B374,4)="_Mil","",IF(SUM($BE374)=0,SUM($AF374),IF(OR(SUM($AP374)=0,SUM($AQ374)=0),MAX($BE374,$AF374),ROUND($BE374*$AQ374/$AP374,0))))</f>
        <v>0</v>
      </c>
      <c r="BG374" s="114" t="n">
        <f aca="false">IF($C374="&lt;01","",95%)</f>
        <v>0.95</v>
      </c>
      <c r="BH374" s="5" t="n">
        <f aca="false">IF($C374="&lt;01",ROUND(INDEX(EID!$L:$L,MATCH($B374,EID!$B:$B,0)),0)/2,IF(SUM($BG374)=0,"",ROUND($AX374/$BG374,0)))</f>
        <v>0</v>
      </c>
    </row>
    <row r="375" customFormat="false" ht="15" hidden="false" customHeight="false" outlineLevel="0" collapsed="false">
      <c r="A375" s="0" t="str">
        <f aca="false">INDEX(Prioritization!$D:$D,MATCH($B375,Prioritization!$A:$A,0))</f>
        <v>INVALID</v>
      </c>
      <c r="B375" s="0" t="s">
        <v>219</v>
      </c>
      <c r="C375" s="0" t="s">
        <v>367</v>
      </c>
      <c r="D375" s="0" t="s">
        <v>30</v>
      </c>
      <c r="E375" s="0" t="str">
        <f aca="false">$B375&amp;"|"&amp;$C375&amp;"|"&amp;$D375</f>
        <v>Nsanje District [rpw540fmNUz]|35-49|Female</v>
      </c>
      <c r="F375" s="10"/>
      <c r="G375" s="10"/>
      <c r="H375" s="10"/>
      <c r="I375" s="10"/>
      <c r="J375" s="10"/>
      <c r="K375" s="10"/>
      <c r="L375" s="10"/>
      <c r="M375" s="10"/>
      <c r="N375" s="10"/>
      <c r="O375" s="10" t="str">
        <f aca="false">IFERROR(1/(1/MAX($I375,$N375)),"")</f>
        <v/>
      </c>
      <c r="P375" s="10"/>
      <c r="Q375" s="10"/>
      <c r="R375" s="10" t="str">
        <f aca="false">IF(AND(SUM($I375)=0,SUM($O375)=0),"",SUM($O375)-$I375)</f>
        <v/>
      </c>
      <c r="S375" s="10" t="n">
        <f aca="false">IF(LEFT($B375,4)="_Mil","",_xlfn.IFNA(ROUND(INDEX(Spectrum!$N:$N,MATCH(RIGHT($B375,13)&amp;"|"&amp;$C375&amp;"|"&amp;$D375&amp;"|"&amp;S$14&amp;"|"&amp;"CY2022Q4",Spectrum!$R:$R,0)),0),""))</f>
        <v>827</v>
      </c>
      <c r="T375" s="39" t="n">
        <f aca="false">IF(LEFT($B375,4)="_Mil","",_xlfn.IFNA(ROUND(INDEX(Spectrum!$N:$N,MATCH(RIGHT($B375,13)&amp;"|"&amp;$C375&amp;"|"&amp;$D375&amp;"|"&amp;T$14&amp;"|"&amp;"CY2023Q3",Spectrum!$R:$R,0)),0),""))</f>
        <v>1282</v>
      </c>
      <c r="U375" s="39" t="str">
        <f aca="false">IF(LEFT($B375,4)="_Mil","",_xlfn.IFNA(ROUND(INDEX(Spectrum!$N:$N,MATCH(RIGHT($B375,13)&amp;"|"&amp;$C375&amp;"|"&amp;$D375&amp;"|"&amp;U$14&amp;"|"&amp;"CY2023Q3",Spectrum!$R:$R,0)),0),""))</f>
        <v/>
      </c>
      <c r="V375" s="10" t="n">
        <f aca="false">IF(LEFT($B375,4)="_Mil","",_xlfn.IFNA(ROUND(INDEX(Spectrum!$N:$N,MATCH(RIGHT($B375,13)&amp;"|"&amp;$C375&amp;"|"&amp;$D375&amp;"|"&amp;V$14&amp;"|"&amp;"CY2023Q3",Spectrum!$R:$R,0)),0),""))</f>
        <v>1504</v>
      </c>
      <c r="W375" s="113" t="n">
        <f aca="false">IF(LEFT($B375,4)="_Mil","",_xlfn.IFNA(INDEX(Spectrum!$N:$N,MATCH(RIGHT($B375,13)&amp;"|"&amp;$C375&amp;"|"&amp;$D375&amp;"|"&amp;W$14&amp;"|"&amp;"CY2023Q3",Spectrum!$R:$R,0)),""))</f>
        <v>701</v>
      </c>
      <c r="X375" s="39" t="n">
        <f aca="false">IF(LEFT($B375,4)="_Mil","",_xlfn.IFNA(ROUND(INDEX(Spectrum!$N:$N,MATCH(RIGHT($B375,13)&amp;"|"&amp;$C375&amp;"|"&amp;$D375&amp;"|"&amp;X$14&amp;"|"&amp;"CY2023Q3",Spectrum!$R:$R,0)),0),""))</f>
        <v>1516</v>
      </c>
      <c r="Y375" s="88" t="str">
        <f aca="false">IF(OR(SUM($U375)=0,LEFT($B375,4)="_Mil"),"",SUM($X375)/$U375)</f>
        <v/>
      </c>
      <c r="Z375" s="39" t="n">
        <f aca="false">IF(LEFT($B375,4)="_Mil","",_xlfn.IFNA(ROUND(INDEX(Spectrum!$N:$N,MATCH(RIGHT($B375,13)&amp;"|"&amp;$C375&amp;"|"&amp;$D375&amp;"|"&amp;Z$14&amp;"|"&amp;"CY2023Q3",Spectrum!$R:$R,0)),0),""))</f>
        <v>1442</v>
      </c>
      <c r="AA375" s="88" t="n">
        <f aca="false">IF(LEFT($B375,4)="_Mil","",IFERROR(1/(1/INDEX(Spectrum!$N:$N,MATCH(RIGHT($B375,13)&amp;"|"&amp;$C375&amp;"|"&amp;$D375&amp;"|"&amp;AA$14&amp;"|"&amp;"CY2023Q3",Spectrum!$R:$R,0))),IF(SUM($U375)=0,"",SUM($Z375)/$U375)))</f>
        <v>1027</v>
      </c>
      <c r="AB375" s="88" t="n">
        <f aca="false">IF(OR(LEFT($B375,4)="_Mil",SUM($X375)=0),"",SUM($Z375)/$X375)</f>
        <v>0.951187335092348</v>
      </c>
      <c r="AC375" s="10" t="n">
        <f aca="false">IF(LEFT($B375,4)="_Mil","",_xlfn.IFNA(ROUND(INDEX(Spectrum!$N:$N,MATCH(RIGHT($B375,13)&amp;"|"&amp;$C375&amp;"|"&amp;$D375&amp;"|"&amp;AC$14&amp;"|"&amp;"CY2023Q3",Spectrum!$R:$R,0)),0),""))</f>
        <v>1007</v>
      </c>
      <c r="AD375" s="10" t="str">
        <f aca="false">IF(LEFT($B375,4)="_Mil","",_xlfn.IFNA(ROUND(INDEX(Spectrum!$N:$N,MATCH(RIGHT($B375,13)&amp;"|"&amp;$C375&amp;"|"&amp;$D375&amp;"|"&amp;AD$14&amp;"|"&amp;"CY2023Q3",Spectrum!$R:$R,0)),0),""))</f>
        <v/>
      </c>
      <c r="AE375" s="88" t="n">
        <f aca="false">IF(OR(LEFT($B375,4)="_Mil",SUM($Z375)=0),"",SUM($AD375)/$Z375)</f>
        <v>0</v>
      </c>
      <c r="AF375" s="39" t="str">
        <f aca="false">IF(LEFT($B375,4)="_Mil","",_xlfn.IFNA(ROUND(INDEX(Spectrum!$N:$N,MATCH(RIGHT($B375,13)&amp;"|"&amp;$C375&amp;"|"&amp;$D375&amp;"|"&amp;AF$14&amp;"|"&amp;"CY2023Q3",Spectrum!$R:$R,0)),0),""))</f>
        <v/>
      </c>
      <c r="AG375" s="88" t="str">
        <f aca="false">IF(OR(LEFT($B375,4)="_Mil",SUM($AD375)=0),"",SUM($AF375)/$AD375)</f>
        <v/>
      </c>
      <c r="AH375" s="86" t="str">
        <f aca="false">IF(LEFT($B375,4)="_Mil","",_xlfn.IFNA(INDEX(Spectrum!$N:$N,MATCH(RIGHT($B375,13)&amp;"|"&amp;$C375&amp;"|"&amp;$D375&amp;"|"&amp;AH$14&amp;"|"&amp;"CY2023Q3",Spectrum!$R:$R,0)),""))</f>
        <v/>
      </c>
      <c r="AI375" s="10" t="str">
        <f aca="false">IF(LEFT($B375,4)="_Mil","",_xlfn.IFNA(ROUND(INDEX(Spectrum!$N:$N,MATCH(RIGHT($B375,13)&amp;"|"&amp;$C375&amp;"|"&amp;$D375&amp;"|"&amp;AI$14&amp;"|"&amp;"CY2023Q3",Spectrum!$R:$R,0)),0),""))</f>
        <v/>
      </c>
      <c r="AJ375" s="39" t="n">
        <f aca="false">IF(LEFT($B375,4)="_Mil","",_xlfn.IFNA(ROUND(INDEX(Spectrum!$N:$N,MATCH(RIGHT($B375,13)&amp;"|"&amp;$C375&amp;"|"&amp;$D375&amp;"|"&amp;AI$14&amp;"|"&amp;"CY2023Q3",Spectrum!$R:$R,0)),0),SUM($U375)+SUM($AI375)))</f>
        <v>0</v>
      </c>
      <c r="AK375" s="10" t="str">
        <f aca="false">IF(LEFT($B375,4)="_Mil","",_xlfn.IFNA(ROUND(INDEX(Spectrum!$N:$N,MATCH(RIGHT($B375,13)&amp;"|"&amp;$C375&amp;"|"&amp;$D375&amp;"|"&amp;AK$14&amp;"|"&amp;"CY2023Q3",Spectrum!$R:$R,0)),0),""))</f>
        <v/>
      </c>
      <c r="AL375" s="88" t="n">
        <f aca="false">IF(OR(LEFT($B375,4)="_Mil",$C375="&lt;01"),"",MAX(SUM($AA375),90%))</f>
        <v>1027</v>
      </c>
      <c r="AM375" s="10" t="n">
        <f aca="false">IF(OR(LEFT($B375,4)="_Mil",$C375="&lt;01"),"",ROUND(SUM($AJ375)*SUM($AL375),0))</f>
        <v>0</v>
      </c>
      <c r="AN375" s="10" t="str">
        <f aca="false">IF($C375="&lt;01",ROUND(INDEX(EID!$P:$P,MATCH($B375,EID!$B:$B,0))/2,0),"")</f>
        <v/>
      </c>
      <c r="AO375" s="10" t="n">
        <f aca="false">IF($C375="&lt;01",SUM($AN375),ROUND(SUM($AM375)*SUM($O375)/IF(SUM($Z375)=0,1,$Z375),0))</f>
        <v>0</v>
      </c>
      <c r="AP375" s="39" t="n">
        <f aca="false">IF(OR($F375="",$C375="&lt;01"),$AO375,$F375)</f>
        <v>0</v>
      </c>
      <c r="AQ375" s="39" t="n">
        <f aca="false">IF(LEFT($B375,4)="_Mil","",IF(SUM($AP375)=0,SUM($Z375),IF(OR(SUM($Z375)=0,SUM($O375)=0),MAX($AP375,$Z375),$AP375*$Z375/$O375)))</f>
        <v>1442</v>
      </c>
      <c r="AR375" s="88" t="str">
        <f aca="false">IF(OR(LEFT($B375,4)="_Mil",SUM($AJ375)=0),"",SUM($AQ375)/$AJ375)</f>
        <v/>
      </c>
      <c r="AS375" s="88" t="n">
        <f aca="false">IF($C375="&lt;01","",98%)</f>
        <v>0.98</v>
      </c>
      <c r="AT375" s="88" t="n">
        <f aca="false">IF($C375="&lt;01","",98%)</f>
        <v>0.98</v>
      </c>
      <c r="AU375" s="10" t="n">
        <f aca="false">IF($C375="&lt;01","",SUM($AP375)-SUM($O375))</f>
        <v>0</v>
      </c>
      <c r="AV375" s="10" t="n">
        <f aca="false">IF($C375="&lt;01",ROUND(INDEX(EID!$N:$N,MATCH($B375,EID!$B:$B,0))/2,0),IF(SUM($AT375)=0,"",ROUND((SUM($AP375)-(SUM($O375)*SUM($AS375)))/$AT375,0)))</f>
        <v>0</v>
      </c>
      <c r="AW375" s="88" t="n">
        <f aca="false">IF($C375="&lt;01","",100%)</f>
        <v>1</v>
      </c>
      <c r="AX375" s="39" t="n">
        <f aca="false">IF($C375="&lt;01",SUM($AV375),ROUND(SUM($AV375)*SUM($AW375),0))</f>
        <v>0</v>
      </c>
      <c r="AY375" s="114" t="n">
        <f aca="false">IF($C375="&lt;01","",70%)</f>
        <v>0.7</v>
      </c>
      <c r="AZ375" s="91" t="n">
        <f aca="false">IF($C375="&lt;01",ROUND(INDEX(EID!$R:$R,MATCH($B375,EID!$B:$B,0))/2,0),ROUND(SUM($O375)+(SUM($AV375)*$AY375),0))</f>
        <v>0</v>
      </c>
      <c r="BA375" s="87" t="n">
        <f aca="false">IF($C375="&lt;01","",95%)</f>
        <v>0.95</v>
      </c>
      <c r="BB375" s="5" t="n">
        <f aca="false">IF($C375="&lt;01",ROUND(INDEX(EID!$T:$T,MATCH($B375,EID!$B:$B,0))/2,0),ROUND($AZ375*$BA375,0))</f>
        <v>0</v>
      </c>
      <c r="BC375" s="91" t="n">
        <f aca="false">IF(LEFT($B375,4)="_Mil","",IF(SUM($BB375)=0,SUM($AD375),IF(OR(SUM($AP375)=0,SUM($AQ375)=0),MAX($BB375,$AD375),ROUND($BB375*$AQ375/$AP375,0))))</f>
        <v>0</v>
      </c>
      <c r="BD375" s="88" t="n">
        <f aca="false">IF($C375="&lt;01","",95%)</f>
        <v>0.95</v>
      </c>
      <c r="BE375" s="39" t="n">
        <f aca="false">IF($C375="&lt;01",ROUND(INDEX(EID!$V:$V,MATCH($B375,EID!$B:$B,0))/2,0),ROUND($BD375*$BB375,0))</f>
        <v>0</v>
      </c>
      <c r="BF375" s="39" t="n">
        <f aca="false">IF(LEFT($B375,4)="_Mil","",IF(SUM($BE375)=0,SUM($AF375),IF(OR(SUM($AP375)=0,SUM($AQ375)=0),MAX($BE375,$AF375),ROUND($BE375*$AQ375/$AP375,0))))</f>
        <v>0</v>
      </c>
      <c r="BG375" s="114" t="n">
        <f aca="false">IF($C375="&lt;01","",95%)</f>
        <v>0.95</v>
      </c>
      <c r="BH375" s="5" t="n">
        <f aca="false">IF($C375="&lt;01",ROUND(INDEX(EID!$L:$L,MATCH($B375,EID!$B:$B,0)),0)/2,IF(SUM($BG375)=0,"",ROUND($AX375/$BG375,0)))</f>
        <v>0</v>
      </c>
    </row>
    <row r="376" customFormat="false" ht="15" hidden="false" customHeight="false" outlineLevel="0" collapsed="false">
      <c r="A376" s="0" t="str">
        <f aca="false">INDEX(Prioritization!$D:$D,MATCH($B376,Prioritization!$A:$A,0))</f>
        <v>INVALID</v>
      </c>
      <c r="B376" s="0" t="s">
        <v>219</v>
      </c>
      <c r="C376" s="0" t="s">
        <v>367</v>
      </c>
      <c r="D376" s="0" t="s">
        <v>48</v>
      </c>
      <c r="E376" s="0" t="str">
        <f aca="false">$B376&amp;"|"&amp;$C376&amp;"|"&amp;$D376</f>
        <v>Nsanje District [rpw540fmNUz]|35-49|Male</v>
      </c>
      <c r="F376" s="10"/>
      <c r="G376" s="10"/>
      <c r="H376" s="10"/>
      <c r="I376" s="10"/>
      <c r="J376" s="10"/>
      <c r="K376" s="10"/>
      <c r="L376" s="10"/>
      <c r="M376" s="10"/>
      <c r="N376" s="10"/>
      <c r="O376" s="10" t="str">
        <f aca="false">IFERROR(1/(1/MAX($I376,$N376)),"")</f>
        <v/>
      </c>
      <c r="P376" s="10"/>
      <c r="Q376" s="10"/>
      <c r="R376" s="10" t="str">
        <f aca="false">IF(AND(SUM($I376)=0,SUM($O376)=0),"",SUM($O376)-$I376)</f>
        <v/>
      </c>
      <c r="S376" s="10" t="n">
        <f aca="false">IF(LEFT($B376,4)="_Mil","",_xlfn.IFNA(ROUND(INDEX(Spectrum!$N:$N,MATCH(RIGHT($B376,13)&amp;"|"&amp;$C376&amp;"|"&amp;$D376&amp;"|"&amp;S$14&amp;"|"&amp;"CY2022Q4",Spectrum!$R:$R,0)),0),""))</f>
        <v>1778</v>
      </c>
      <c r="T376" s="39" t="n">
        <f aca="false">IF(LEFT($B376,4)="_Mil","",_xlfn.IFNA(ROUND(INDEX(Spectrum!$N:$N,MATCH(RIGHT($B376,13)&amp;"|"&amp;$C376&amp;"|"&amp;$D376&amp;"|"&amp;T$14&amp;"|"&amp;"CY2023Q3",Spectrum!$R:$R,0)),0),""))</f>
        <v>1055</v>
      </c>
      <c r="U376" s="39" t="str">
        <f aca="false">IF(LEFT($B376,4)="_Mil","",_xlfn.IFNA(ROUND(INDEX(Spectrum!$N:$N,MATCH(RIGHT($B376,13)&amp;"|"&amp;$C376&amp;"|"&amp;$D376&amp;"|"&amp;U$14&amp;"|"&amp;"CY2023Q3",Spectrum!$R:$R,0)),0),""))</f>
        <v/>
      </c>
      <c r="V376" s="10" t="n">
        <f aca="false">IF(LEFT($B376,4)="_Mil","",_xlfn.IFNA(ROUND(INDEX(Spectrum!$N:$N,MATCH(RIGHT($B376,13)&amp;"|"&amp;$C376&amp;"|"&amp;$D376&amp;"|"&amp;V$14&amp;"|"&amp;"CY2023Q3",Spectrum!$R:$R,0)),0),""))</f>
        <v>1809</v>
      </c>
      <c r="W376" s="113" t="n">
        <f aca="false">IF(LEFT($B376,4)="_Mil","",_xlfn.IFNA(INDEX(Spectrum!$N:$N,MATCH(RIGHT($B376,13)&amp;"|"&amp;$C376&amp;"|"&amp;$D376&amp;"|"&amp;W$14&amp;"|"&amp;"CY2023Q3",Spectrum!$R:$R,0)),""))</f>
        <v>527</v>
      </c>
      <c r="X376" s="39" t="n">
        <f aca="false">IF(LEFT($B376,4)="_Mil","",_xlfn.IFNA(ROUND(INDEX(Spectrum!$N:$N,MATCH(RIGHT($B376,13)&amp;"|"&amp;$C376&amp;"|"&amp;$D376&amp;"|"&amp;X$14&amp;"|"&amp;"CY2023Q3",Spectrum!$R:$R,0)),0),""))</f>
        <v>1217</v>
      </c>
      <c r="Y376" s="88" t="str">
        <f aca="false">IF(OR(SUM($U376)=0,LEFT($B376,4)="_Mil"),"",SUM($X376)/$U376)</f>
        <v/>
      </c>
      <c r="Z376" s="39" t="n">
        <f aca="false">IF(LEFT($B376,4)="_Mil","",_xlfn.IFNA(ROUND(INDEX(Spectrum!$N:$N,MATCH(RIGHT($B376,13)&amp;"|"&amp;$C376&amp;"|"&amp;$D376&amp;"|"&amp;Z$14&amp;"|"&amp;"CY2023Q3",Spectrum!$R:$R,0)),0),""))</f>
        <v>1269</v>
      </c>
      <c r="AA376" s="88" t="n">
        <f aca="false">IF(LEFT($B376,4)="_Mil","",IFERROR(1/(1/INDEX(Spectrum!$N:$N,MATCH(RIGHT($B376,13)&amp;"|"&amp;$C376&amp;"|"&amp;$D376&amp;"|"&amp;AA$14&amp;"|"&amp;"CY2023Q3",Spectrum!$R:$R,0))),IF(SUM($U376)=0,"",SUM($Z376)/$U376)))</f>
        <v>1346</v>
      </c>
      <c r="AB376" s="88" t="n">
        <f aca="false">IF(OR(LEFT($B376,4)="_Mil",SUM($X376)=0),"",SUM($Z376)/$X376)</f>
        <v>1.04272801972062</v>
      </c>
      <c r="AC376" s="10" t="n">
        <f aca="false">IF(LEFT($B376,4)="_Mil","",_xlfn.IFNA(ROUND(INDEX(Spectrum!$N:$N,MATCH(RIGHT($B376,13)&amp;"|"&amp;$C376&amp;"|"&amp;$D376&amp;"|"&amp;AC$14&amp;"|"&amp;"CY2023Q3",Spectrum!$R:$R,0)),0),""))</f>
        <v>610</v>
      </c>
      <c r="AD376" s="10" t="str">
        <f aca="false">IF(LEFT($B376,4)="_Mil","",_xlfn.IFNA(ROUND(INDEX(Spectrum!$N:$N,MATCH(RIGHT($B376,13)&amp;"|"&amp;$C376&amp;"|"&amp;$D376&amp;"|"&amp;AD$14&amp;"|"&amp;"CY2023Q3",Spectrum!$R:$R,0)),0),""))</f>
        <v/>
      </c>
      <c r="AE376" s="88" t="n">
        <f aca="false">IF(OR(LEFT($B376,4)="_Mil",SUM($Z376)=0),"",SUM($AD376)/$Z376)</f>
        <v>0</v>
      </c>
      <c r="AF376" s="39" t="str">
        <f aca="false">IF(LEFT($B376,4)="_Mil","",_xlfn.IFNA(ROUND(INDEX(Spectrum!$N:$N,MATCH(RIGHT($B376,13)&amp;"|"&amp;$C376&amp;"|"&amp;$D376&amp;"|"&amp;AF$14&amp;"|"&amp;"CY2023Q3",Spectrum!$R:$R,0)),0),""))</f>
        <v/>
      </c>
      <c r="AG376" s="88" t="str">
        <f aca="false">IF(OR(LEFT($B376,4)="_Mil",SUM($AD376)=0),"",SUM($AF376)/$AD376)</f>
        <v/>
      </c>
      <c r="AH376" s="86" t="str">
        <f aca="false">IF(LEFT($B376,4)="_Mil","",_xlfn.IFNA(INDEX(Spectrum!$N:$N,MATCH(RIGHT($B376,13)&amp;"|"&amp;$C376&amp;"|"&amp;$D376&amp;"|"&amp;AH$14&amp;"|"&amp;"CY2023Q3",Spectrum!$R:$R,0)),""))</f>
        <v/>
      </c>
      <c r="AI376" s="10" t="str">
        <f aca="false">IF(LEFT($B376,4)="_Mil","",_xlfn.IFNA(ROUND(INDEX(Spectrum!$N:$N,MATCH(RIGHT($B376,13)&amp;"|"&amp;$C376&amp;"|"&amp;$D376&amp;"|"&amp;AI$14&amp;"|"&amp;"CY2023Q3",Spectrum!$R:$R,0)),0),""))</f>
        <v/>
      </c>
      <c r="AJ376" s="39" t="n">
        <f aca="false">IF(LEFT($B376,4)="_Mil","",_xlfn.IFNA(ROUND(INDEX(Spectrum!$N:$N,MATCH(RIGHT($B376,13)&amp;"|"&amp;$C376&amp;"|"&amp;$D376&amp;"|"&amp;AI$14&amp;"|"&amp;"CY2023Q3",Spectrum!$R:$R,0)),0),SUM($U376)+SUM($AI376)))</f>
        <v>0</v>
      </c>
      <c r="AK376" s="10" t="str">
        <f aca="false">IF(LEFT($B376,4)="_Mil","",_xlfn.IFNA(ROUND(INDEX(Spectrum!$N:$N,MATCH(RIGHT($B376,13)&amp;"|"&amp;$C376&amp;"|"&amp;$D376&amp;"|"&amp;AK$14&amp;"|"&amp;"CY2023Q3",Spectrum!$R:$R,0)),0),""))</f>
        <v/>
      </c>
      <c r="AL376" s="88" t="n">
        <f aca="false">IF(OR(LEFT($B376,4)="_Mil",$C376="&lt;01"),"",MAX(SUM($AA376),90%))</f>
        <v>1346</v>
      </c>
      <c r="AM376" s="10" t="n">
        <f aca="false">IF(OR(LEFT($B376,4)="_Mil",$C376="&lt;01"),"",ROUND(SUM($AJ376)*SUM($AL376),0))</f>
        <v>0</v>
      </c>
      <c r="AN376" s="10" t="str">
        <f aca="false">IF($C376="&lt;01",ROUND(INDEX(EID!$P:$P,MATCH($B376,EID!$B:$B,0))/2,0),"")</f>
        <v/>
      </c>
      <c r="AO376" s="10" t="n">
        <f aca="false">IF($C376="&lt;01",SUM($AN376),ROUND(SUM($AM376)*SUM($O376)/IF(SUM($Z376)=0,1,$Z376),0))</f>
        <v>0</v>
      </c>
      <c r="AP376" s="39" t="n">
        <f aca="false">IF(OR($F376="",$C376="&lt;01"),$AO376,$F376)</f>
        <v>0</v>
      </c>
      <c r="AQ376" s="39" t="n">
        <f aca="false">IF(LEFT($B376,4)="_Mil","",IF(SUM($AP376)=0,SUM($Z376),IF(OR(SUM($Z376)=0,SUM($O376)=0),MAX($AP376,$Z376),$AP376*$Z376/$O376)))</f>
        <v>1269</v>
      </c>
      <c r="AR376" s="88" t="str">
        <f aca="false">IF(OR(LEFT($B376,4)="_Mil",SUM($AJ376)=0),"",SUM($AQ376)/$AJ376)</f>
        <v/>
      </c>
      <c r="AS376" s="88" t="n">
        <f aca="false">IF($C376="&lt;01","",98%)</f>
        <v>0.98</v>
      </c>
      <c r="AT376" s="88" t="n">
        <f aca="false">IF($C376="&lt;01","",98%)</f>
        <v>0.98</v>
      </c>
      <c r="AU376" s="10" t="n">
        <f aca="false">IF($C376="&lt;01","",SUM($AP376)-SUM($O376))</f>
        <v>0</v>
      </c>
      <c r="AV376" s="10" t="n">
        <f aca="false">IF($C376="&lt;01",ROUND(INDEX(EID!$N:$N,MATCH($B376,EID!$B:$B,0))/2,0),IF(SUM($AT376)=0,"",ROUND((SUM($AP376)-(SUM($O376)*SUM($AS376)))/$AT376,0)))</f>
        <v>0</v>
      </c>
      <c r="AW376" s="88" t="n">
        <f aca="false">IF($C376="&lt;01","",100%)</f>
        <v>1</v>
      </c>
      <c r="AX376" s="39" t="n">
        <f aca="false">IF($C376="&lt;01",SUM($AV376),ROUND(SUM($AV376)*SUM($AW376),0))</f>
        <v>0</v>
      </c>
      <c r="AY376" s="114" t="n">
        <f aca="false">IF($C376="&lt;01","",70%)</f>
        <v>0.7</v>
      </c>
      <c r="AZ376" s="91" t="n">
        <f aca="false">IF($C376="&lt;01",ROUND(INDEX(EID!$R:$R,MATCH($B376,EID!$B:$B,0))/2,0),ROUND(SUM($O376)+(SUM($AV376)*$AY376),0))</f>
        <v>0</v>
      </c>
      <c r="BA376" s="87" t="n">
        <f aca="false">IF($C376="&lt;01","",95%)</f>
        <v>0.95</v>
      </c>
      <c r="BB376" s="5" t="n">
        <f aca="false">IF($C376="&lt;01",ROUND(INDEX(EID!$T:$T,MATCH($B376,EID!$B:$B,0))/2,0),ROUND($AZ376*$BA376,0))</f>
        <v>0</v>
      </c>
      <c r="BC376" s="91" t="n">
        <f aca="false">IF(LEFT($B376,4)="_Mil","",IF(SUM($BB376)=0,SUM($AD376),IF(OR(SUM($AP376)=0,SUM($AQ376)=0),MAX($BB376,$AD376),ROUND($BB376*$AQ376/$AP376,0))))</f>
        <v>0</v>
      </c>
      <c r="BD376" s="88" t="n">
        <f aca="false">IF($C376="&lt;01","",95%)</f>
        <v>0.95</v>
      </c>
      <c r="BE376" s="39" t="n">
        <f aca="false">IF($C376="&lt;01",ROUND(INDEX(EID!$V:$V,MATCH($B376,EID!$B:$B,0))/2,0),ROUND($BD376*$BB376,0))</f>
        <v>0</v>
      </c>
      <c r="BF376" s="39" t="n">
        <f aca="false">IF(LEFT($B376,4)="_Mil","",IF(SUM($BE376)=0,SUM($AF376),IF(OR(SUM($AP376)=0,SUM($AQ376)=0),MAX($BE376,$AF376),ROUND($BE376*$AQ376/$AP376,0))))</f>
        <v>0</v>
      </c>
      <c r="BG376" s="114" t="n">
        <f aca="false">IF($C376="&lt;01","",95%)</f>
        <v>0.95</v>
      </c>
      <c r="BH376" s="5" t="n">
        <f aca="false">IF($C376="&lt;01",ROUND(INDEX(EID!$L:$L,MATCH($B376,EID!$B:$B,0)),0)/2,IF(SUM($BG376)=0,"",ROUND($AX376/$BG376,0)))</f>
        <v>0</v>
      </c>
    </row>
    <row r="377" customFormat="false" ht="15" hidden="false" customHeight="false" outlineLevel="0" collapsed="false">
      <c r="A377" s="0" t="str">
        <f aca="false">INDEX(Prioritization!$D:$D,MATCH($B377,Prioritization!$A:$A,0))</f>
        <v>INVALID</v>
      </c>
      <c r="B377" s="0" t="s">
        <v>219</v>
      </c>
      <c r="C377" s="0" t="s">
        <v>368</v>
      </c>
      <c r="D377" s="0" t="s">
        <v>30</v>
      </c>
      <c r="E377" s="0" t="str">
        <f aca="false">$B377&amp;"|"&amp;$C377&amp;"|"&amp;$D377</f>
        <v>Nsanje District [rpw540fmNUz]|50+|Female</v>
      </c>
      <c r="F377" s="10"/>
      <c r="G377" s="10"/>
      <c r="H377" s="10"/>
      <c r="I377" s="10"/>
      <c r="J377" s="10"/>
      <c r="K377" s="10"/>
      <c r="L377" s="10"/>
      <c r="M377" s="10"/>
      <c r="N377" s="10"/>
      <c r="O377" s="10" t="str">
        <f aca="false">IFERROR(1/(1/MAX($I377,$N377)),"")</f>
        <v/>
      </c>
      <c r="P377" s="10"/>
      <c r="Q377" s="10"/>
      <c r="R377" s="10" t="str">
        <f aca="false">IF(AND(SUM($I377)=0,SUM($O377)=0),"",SUM($O377)-$I377)</f>
        <v/>
      </c>
      <c r="S377" s="10" t="n">
        <f aca="false">IF(LEFT($B377,4)="_Mil","",_xlfn.IFNA(ROUND(INDEX(Spectrum!$N:$N,MATCH(RIGHT($B377,13)&amp;"|"&amp;$C377&amp;"|"&amp;$D377&amp;"|"&amp;S$14&amp;"|"&amp;"CY2022Q4",Spectrum!$R:$R,0)),0),""))</f>
        <v>1930</v>
      </c>
      <c r="T377" s="39" t="n">
        <f aca="false">IF(LEFT($B377,4)="_Mil","",_xlfn.IFNA(ROUND(INDEX(Spectrum!$N:$N,MATCH(RIGHT($B377,13)&amp;"|"&amp;$C377&amp;"|"&amp;$D377&amp;"|"&amp;T$14&amp;"|"&amp;"CY2023Q3",Spectrum!$R:$R,0)),0),""))</f>
        <v>599</v>
      </c>
      <c r="U377" s="39" t="str">
        <f aca="false">IF(LEFT($B377,4)="_Mil","",_xlfn.IFNA(ROUND(INDEX(Spectrum!$N:$N,MATCH(RIGHT($B377,13)&amp;"|"&amp;$C377&amp;"|"&amp;$D377&amp;"|"&amp;U$14&amp;"|"&amp;"CY2023Q3",Spectrum!$R:$R,0)),0),""))</f>
        <v/>
      </c>
      <c r="V377" s="10" t="n">
        <f aca="false">IF(LEFT($B377,4)="_Mil","",_xlfn.IFNA(ROUND(INDEX(Spectrum!$N:$N,MATCH(RIGHT($B377,13)&amp;"|"&amp;$C377&amp;"|"&amp;$D377&amp;"|"&amp;V$14&amp;"|"&amp;"CY2023Q3",Spectrum!$R:$R,0)),0),""))</f>
        <v>815</v>
      </c>
      <c r="W377" s="113" t="n">
        <f aca="false">IF(LEFT($B377,4)="_Mil","",_xlfn.IFNA(INDEX(Spectrum!$N:$N,MATCH(RIGHT($B377,13)&amp;"|"&amp;$C377&amp;"|"&amp;$D377&amp;"|"&amp;W$14&amp;"|"&amp;"CY2023Q3",Spectrum!$R:$R,0)),""))</f>
        <v>1864</v>
      </c>
      <c r="X377" s="39" t="n">
        <f aca="false">IF(LEFT($B377,4)="_Mil","",_xlfn.IFNA(ROUND(INDEX(Spectrum!$N:$N,MATCH(RIGHT($B377,13)&amp;"|"&amp;$C377&amp;"|"&amp;$D377&amp;"|"&amp;X$14&amp;"|"&amp;"CY2023Q3",Spectrum!$R:$R,0)),0),""))</f>
        <v>1791</v>
      </c>
      <c r="Y377" s="88" t="str">
        <f aca="false">IF(OR(SUM($U377)=0,LEFT($B377,4)="_Mil"),"",SUM($X377)/$U377)</f>
        <v/>
      </c>
      <c r="Z377" s="39" t="n">
        <f aca="false">IF(LEFT($B377,4)="_Mil","",_xlfn.IFNA(ROUND(INDEX(Spectrum!$N:$N,MATCH(RIGHT($B377,13)&amp;"|"&amp;$C377&amp;"|"&amp;$D377&amp;"|"&amp;Z$14&amp;"|"&amp;"CY2023Q3",Spectrum!$R:$R,0)),0),""))</f>
        <v>605</v>
      </c>
      <c r="AA377" s="88" t="n">
        <f aca="false">IF(LEFT($B377,4)="_Mil","",IFERROR(1/(1/INDEX(Spectrum!$N:$N,MATCH(RIGHT($B377,13)&amp;"|"&amp;$C377&amp;"|"&amp;$D377&amp;"|"&amp;AA$14&amp;"|"&amp;"CY2023Q3",Spectrum!$R:$R,0))),IF(SUM($U377)=0,"",SUM($Z377)/$U377)))</f>
        <v>1564</v>
      </c>
      <c r="AB377" s="88" t="n">
        <f aca="false">IF(OR(LEFT($B377,4)="_Mil",SUM($X377)=0),"",SUM($Z377)/$X377)</f>
        <v>0.337800111669458</v>
      </c>
      <c r="AC377" s="10" t="n">
        <f aca="false">IF(LEFT($B377,4)="_Mil","",_xlfn.IFNA(ROUND(INDEX(Spectrum!$N:$N,MATCH(RIGHT($B377,13)&amp;"|"&amp;$C377&amp;"|"&amp;$D377&amp;"|"&amp;AC$14&amp;"|"&amp;"CY2023Q3",Spectrum!$R:$R,0)),0),""))</f>
        <v>913</v>
      </c>
      <c r="AD377" s="10" t="str">
        <f aca="false">IF(LEFT($B377,4)="_Mil","",_xlfn.IFNA(ROUND(INDEX(Spectrum!$N:$N,MATCH(RIGHT($B377,13)&amp;"|"&amp;$C377&amp;"|"&amp;$D377&amp;"|"&amp;AD$14&amp;"|"&amp;"CY2023Q3",Spectrum!$R:$R,0)),0),""))</f>
        <v/>
      </c>
      <c r="AE377" s="88" t="n">
        <f aca="false">IF(OR(LEFT($B377,4)="_Mil",SUM($Z377)=0),"",SUM($AD377)/$Z377)</f>
        <v>0</v>
      </c>
      <c r="AF377" s="39" t="str">
        <f aca="false">IF(LEFT($B377,4)="_Mil","",_xlfn.IFNA(ROUND(INDEX(Spectrum!$N:$N,MATCH(RIGHT($B377,13)&amp;"|"&amp;$C377&amp;"|"&amp;$D377&amp;"|"&amp;AF$14&amp;"|"&amp;"CY2023Q3",Spectrum!$R:$R,0)),0),""))</f>
        <v/>
      </c>
      <c r="AG377" s="88" t="str">
        <f aca="false">IF(OR(LEFT($B377,4)="_Mil",SUM($AD377)=0),"",SUM($AF377)/$AD377)</f>
        <v/>
      </c>
      <c r="AH377" s="86" t="str">
        <f aca="false">IF(LEFT($B377,4)="_Mil","",_xlfn.IFNA(INDEX(Spectrum!$N:$N,MATCH(RIGHT($B377,13)&amp;"|"&amp;$C377&amp;"|"&amp;$D377&amp;"|"&amp;AH$14&amp;"|"&amp;"CY2023Q3",Spectrum!$R:$R,0)),""))</f>
        <v/>
      </c>
      <c r="AI377" s="10" t="str">
        <f aca="false">IF(LEFT($B377,4)="_Mil","",_xlfn.IFNA(ROUND(INDEX(Spectrum!$N:$N,MATCH(RIGHT($B377,13)&amp;"|"&amp;$C377&amp;"|"&amp;$D377&amp;"|"&amp;AI$14&amp;"|"&amp;"CY2023Q3",Spectrum!$R:$R,0)),0),""))</f>
        <v/>
      </c>
      <c r="AJ377" s="39" t="n">
        <f aca="false">IF(LEFT($B377,4)="_Mil","",_xlfn.IFNA(ROUND(INDEX(Spectrum!$N:$N,MATCH(RIGHT($B377,13)&amp;"|"&amp;$C377&amp;"|"&amp;$D377&amp;"|"&amp;AI$14&amp;"|"&amp;"CY2023Q3",Spectrum!$R:$R,0)),0),SUM($U377)+SUM($AI377)))</f>
        <v>0</v>
      </c>
      <c r="AK377" s="10" t="str">
        <f aca="false">IF(LEFT($B377,4)="_Mil","",_xlfn.IFNA(ROUND(INDEX(Spectrum!$N:$N,MATCH(RIGHT($B377,13)&amp;"|"&amp;$C377&amp;"|"&amp;$D377&amp;"|"&amp;AK$14&amp;"|"&amp;"CY2023Q3",Spectrum!$R:$R,0)),0),""))</f>
        <v/>
      </c>
      <c r="AL377" s="88" t="n">
        <f aca="false">IF(OR(LEFT($B377,4)="_Mil",$C377="&lt;01"),"",MAX(SUM($AA377),90%))</f>
        <v>1564</v>
      </c>
      <c r="AM377" s="10" t="n">
        <f aca="false">IF(OR(LEFT($B377,4)="_Mil",$C377="&lt;01"),"",ROUND(SUM($AJ377)*SUM($AL377),0))</f>
        <v>0</v>
      </c>
      <c r="AN377" s="10" t="str">
        <f aca="false">IF($C377="&lt;01",ROUND(INDEX(EID!$P:$P,MATCH($B377,EID!$B:$B,0))/2,0),"")</f>
        <v/>
      </c>
      <c r="AO377" s="10" t="n">
        <f aca="false">IF($C377="&lt;01",SUM($AN377),ROUND(SUM($AM377)*SUM($O377)/IF(SUM($Z377)=0,1,$Z377),0))</f>
        <v>0</v>
      </c>
      <c r="AP377" s="39" t="n">
        <f aca="false">IF(OR($F377="",$C377="&lt;01"),$AO377,$F377)</f>
        <v>0</v>
      </c>
      <c r="AQ377" s="39" t="n">
        <f aca="false">IF(LEFT($B377,4)="_Mil","",IF(SUM($AP377)=0,SUM($Z377),IF(OR(SUM($Z377)=0,SUM($O377)=0),MAX($AP377,$Z377),$AP377*$Z377/$O377)))</f>
        <v>605</v>
      </c>
      <c r="AR377" s="88" t="str">
        <f aca="false">IF(OR(LEFT($B377,4)="_Mil",SUM($AJ377)=0),"",SUM($AQ377)/$AJ377)</f>
        <v/>
      </c>
      <c r="AS377" s="88" t="n">
        <f aca="false">IF($C377="&lt;01","",98%)</f>
        <v>0.98</v>
      </c>
      <c r="AT377" s="88" t="n">
        <f aca="false">IF($C377="&lt;01","",98%)</f>
        <v>0.98</v>
      </c>
      <c r="AU377" s="10" t="n">
        <f aca="false">IF($C377="&lt;01","",SUM($AP377)-SUM($O377))</f>
        <v>0</v>
      </c>
      <c r="AV377" s="10" t="n">
        <f aca="false">IF($C377="&lt;01",ROUND(INDEX(EID!$N:$N,MATCH($B377,EID!$B:$B,0))/2,0),IF(SUM($AT377)=0,"",ROUND((SUM($AP377)-(SUM($O377)*SUM($AS377)))/$AT377,0)))</f>
        <v>0</v>
      </c>
      <c r="AW377" s="88" t="n">
        <f aca="false">IF($C377="&lt;01","",100%)</f>
        <v>1</v>
      </c>
      <c r="AX377" s="39" t="n">
        <f aca="false">IF($C377="&lt;01",SUM($AV377),ROUND(SUM($AV377)*SUM($AW377),0))</f>
        <v>0</v>
      </c>
      <c r="AY377" s="114" t="n">
        <f aca="false">IF($C377="&lt;01","",70%)</f>
        <v>0.7</v>
      </c>
      <c r="AZ377" s="91" t="n">
        <f aca="false">IF($C377="&lt;01",ROUND(INDEX(EID!$R:$R,MATCH($B377,EID!$B:$B,0))/2,0),ROUND(SUM($O377)+(SUM($AV377)*$AY377),0))</f>
        <v>0</v>
      </c>
      <c r="BA377" s="87" t="n">
        <f aca="false">IF($C377="&lt;01","",95%)</f>
        <v>0.95</v>
      </c>
      <c r="BB377" s="5" t="n">
        <f aca="false">IF($C377="&lt;01",ROUND(INDEX(EID!$T:$T,MATCH($B377,EID!$B:$B,0))/2,0),ROUND($AZ377*$BA377,0))</f>
        <v>0</v>
      </c>
      <c r="BC377" s="91" t="n">
        <f aca="false">IF(LEFT($B377,4)="_Mil","",IF(SUM($BB377)=0,SUM($AD377),IF(OR(SUM($AP377)=0,SUM($AQ377)=0),MAX($BB377,$AD377),ROUND($BB377*$AQ377/$AP377,0))))</f>
        <v>0</v>
      </c>
      <c r="BD377" s="88" t="n">
        <f aca="false">IF($C377="&lt;01","",95%)</f>
        <v>0.95</v>
      </c>
      <c r="BE377" s="39" t="n">
        <f aca="false">IF($C377="&lt;01",ROUND(INDEX(EID!$V:$V,MATCH($B377,EID!$B:$B,0))/2,0),ROUND($BD377*$BB377,0))</f>
        <v>0</v>
      </c>
      <c r="BF377" s="39" t="n">
        <f aca="false">IF(LEFT($B377,4)="_Mil","",IF(SUM($BE377)=0,SUM($AF377),IF(OR(SUM($AP377)=0,SUM($AQ377)=0),MAX($BE377,$AF377),ROUND($BE377*$AQ377/$AP377,0))))</f>
        <v>0</v>
      </c>
      <c r="BG377" s="114" t="n">
        <f aca="false">IF($C377="&lt;01","",95%)</f>
        <v>0.95</v>
      </c>
      <c r="BH377" s="5" t="n">
        <f aca="false">IF($C377="&lt;01",ROUND(INDEX(EID!$L:$L,MATCH($B377,EID!$B:$B,0)),0)/2,IF(SUM($BG377)=0,"",ROUND($AX377/$BG377,0)))</f>
        <v>0</v>
      </c>
    </row>
    <row r="378" customFormat="false" ht="15" hidden="false" customHeight="false" outlineLevel="0" collapsed="false">
      <c r="A378" s="0" t="str">
        <f aca="false">INDEX(Prioritization!$D:$D,MATCH($B378,Prioritization!$A:$A,0))</f>
        <v>INVALID</v>
      </c>
      <c r="B378" s="0" t="s">
        <v>219</v>
      </c>
      <c r="C378" s="0" t="s">
        <v>368</v>
      </c>
      <c r="D378" s="0" t="s">
        <v>48</v>
      </c>
      <c r="E378" s="0" t="str">
        <f aca="false">$B378&amp;"|"&amp;$C378&amp;"|"&amp;$D378</f>
        <v>Nsanje District [rpw540fmNUz]|50+|Male</v>
      </c>
      <c r="F378" s="10"/>
      <c r="G378" s="10"/>
      <c r="H378" s="10"/>
      <c r="I378" s="10"/>
      <c r="J378" s="10"/>
      <c r="K378" s="10"/>
      <c r="L378" s="10"/>
      <c r="M378" s="10"/>
      <c r="N378" s="10"/>
      <c r="O378" s="10" t="str">
        <f aca="false">IFERROR(1/(1/MAX($I378,$N378)),"")</f>
        <v/>
      </c>
      <c r="P378" s="10"/>
      <c r="Q378" s="10"/>
      <c r="R378" s="10" t="str">
        <f aca="false">IF(AND(SUM($I378)=0,SUM($O378)=0),"",SUM($O378)-$I378)</f>
        <v/>
      </c>
      <c r="S378" s="10" t="n">
        <f aca="false">IF(LEFT($B378,4)="_Mil","",_xlfn.IFNA(ROUND(INDEX(Spectrum!$N:$N,MATCH(RIGHT($B378,13)&amp;"|"&amp;$C378&amp;"|"&amp;$D378&amp;"|"&amp;S$14&amp;"|"&amp;"CY2022Q4",Spectrum!$R:$R,0)),0),""))</f>
        <v>978</v>
      </c>
      <c r="T378" s="39" t="n">
        <f aca="false">IF(LEFT($B378,4)="_Mil","",_xlfn.IFNA(ROUND(INDEX(Spectrum!$N:$N,MATCH(RIGHT($B378,13)&amp;"|"&amp;$C378&amp;"|"&amp;$D378&amp;"|"&amp;T$14&amp;"|"&amp;"CY2023Q3",Spectrum!$R:$R,0)),0),""))</f>
        <v>983</v>
      </c>
      <c r="U378" s="39" t="str">
        <f aca="false">IF(LEFT($B378,4)="_Mil","",_xlfn.IFNA(ROUND(INDEX(Spectrum!$N:$N,MATCH(RIGHT($B378,13)&amp;"|"&amp;$C378&amp;"|"&amp;$D378&amp;"|"&amp;U$14&amp;"|"&amp;"CY2023Q3",Spectrum!$R:$R,0)),0),""))</f>
        <v/>
      </c>
      <c r="V378" s="10" t="n">
        <f aca="false">IF(LEFT($B378,4)="_Mil","",_xlfn.IFNA(ROUND(INDEX(Spectrum!$N:$N,MATCH(RIGHT($B378,13)&amp;"|"&amp;$C378&amp;"|"&amp;$D378&amp;"|"&amp;V$14&amp;"|"&amp;"CY2023Q3",Spectrum!$R:$R,0)),0),""))</f>
        <v>1833</v>
      </c>
      <c r="W378" s="113" t="n">
        <f aca="false">IF(LEFT($B378,4)="_Mil","",_xlfn.IFNA(INDEX(Spectrum!$N:$N,MATCH(RIGHT($B378,13)&amp;"|"&amp;$C378&amp;"|"&amp;$D378&amp;"|"&amp;W$14&amp;"|"&amp;"CY2023Q3",Spectrum!$R:$R,0)),""))</f>
        <v>893</v>
      </c>
      <c r="X378" s="39" t="n">
        <f aca="false">IF(LEFT($B378,4)="_Mil","",_xlfn.IFNA(ROUND(INDEX(Spectrum!$N:$N,MATCH(RIGHT($B378,13)&amp;"|"&amp;$C378&amp;"|"&amp;$D378&amp;"|"&amp;X$14&amp;"|"&amp;"CY2023Q3",Spectrum!$R:$R,0)),0),""))</f>
        <v>861</v>
      </c>
      <c r="Y378" s="88" t="str">
        <f aca="false">IF(OR(SUM($U378)=0,LEFT($B378,4)="_Mil"),"",SUM($X378)/$U378)</f>
        <v/>
      </c>
      <c r="Z378" s="39" t="n">
        <f aca="false">IF(LEFT($B378,4)="_Mil","",_xlfn.IFNA(ROUND(INDEX(Spectrum!$N:$N,MATCH(RIGHT($B378,13)&amp;"|"&amp;$C378&amp;"|"&amp;$D378&amp;"|"&amp;Z$14&amp;"|"&amp;"CY2023Q3",Spectrum!$R:$R,0)),0),""))</f>
        <v>1156</v>
      </c>
      <c r="AA378" s="88" t="n">
        <f aca="false">IF(LEFT($B378,4)="_Mil","",IFERROR(1/(1/INDEX(Spectrum!$N:$N,MATCH(RIGHT($B378,13)&amp;"|"&amp;$C378&amp;"|"&amp;$D378&amp;"|"&amp;AA$14&amp;"|"&amp;"CY2023Q3",Spectrum!$R:$R,0))),IF(SUM($U378)=0,"",SUM($Z378)/$U378)))</f>
        <v>1286</v>
      </c>
      <c r="AB378" s="88" t="n">
        <f aca="false">IF(OR(LEFT($B378,4)="_Mil",SUM($X378)=0),"",SUM($Z378)/$X378)</f>
        <v>1.34262485481998</v>
      </c>
      <c r="AC378" s="10" t="n">
        <f aca="false">IF(LEFT($B378,4)="_Mil","",_xlfn.IFNA(ROUND(INDEX(Spectrum!$N:$N,MATCH(RIGHT($B378,13)&amp;"|"&amp;$C378&amp;"|"&amp;$D378&amp;"|"&amp;AC$14&amp;"|"&amp;"CY2023Q3",Spectrum!$R:$R,0)),0),""))</f>
        <v>1188</v>
      </c>
      <c r="AD378" s="10" t="str">
        <f aca="false">IF(LEFT($B378,4)="_Mil","",_xlfn.IFNA(ROUND(INDEX(Spectrum!$N:$N,MATCH(RIGHT($B378,13)&amp;"|"&amp;$C378&amp;"|"&amp;$D378&amp;"|"&amp;AD$14&amp;"|"&amp;"CY2023Q3",Spectrum!$R:$R,0)),0),""))</f>
        <v/>
      </c>
      <c r="AE378" s="88" t="n">
        <f aca="false">IF(OR(LEFT($B378,4)="_Mil",SUM($Z378)=0),"",SUM($AD378)/$Z378)</f>
        <v>0</v>
      </c>
      <c r="AF378" s="39" t="str">
        <f aca="false">IF(LEFT($B378,4)="_Mil","",_xlfn.IFNA(ROUND(INDEX(Spectrum!$N:$N,MATCH(RIGHT($B378,13)&amp;"|"&amp;$C378&amp;"|"&amp;$D378&amp;"|"&amp;AF$14&amp;"|"&amp;"CY2023Q3",Spectrum!$R:$R,0)),0),""))</f>
        <v/>
      </c>
      <c r="AG378" s="88" t="str">
        <f aca="false">IF(OR(LEFT($B378,4)="_Mil",SUM($AD378)=0),"",SUM($AF378)/$AD378)</f>
        <v/>
      </c>
      <c r="AH378" s="86" t="str">
        <f aca="false">IF(LEFT($B378,4)="_Mil","",_xlfn.IFNA(INDEX(Spectrum!$N:$N,MATCH(RIGHT($B378,13)&amp;"|"&amp;$C378&amp;"|"&amp;$D378&amp;"|"&amp;AH$14&amp;"|"&amp;"CY2023Q3",Spectrum!$R:$R,0)),""))</f>
        <v/>
      </c>
      <c r="AI378" s="10" t="str">
        <f aca="false">IF(LEFT($B378,4)="_Mil","",_xlfn.IFNA(ROUND(INDEX(Spectrum!$N:$N,MATCH(RIGHT($B378,13)&amp;"|"&amp;$C378&amp;"|"&amp;$D378&amp;"|"&amp;AI$14&amp;"|"&amp;"CY2023Q3",Spectrum!$R:$R,0)),0),""))</f>
        <v/>
      </c>
      <c r="AJ378" s="39" t="n">
        <f aca="false">IF(LEFT($B378,4)="_Mil","",_xlfn.IFNA(ROUND(INDEX(Spectrum!$N:$N,MATCH(RIGHT($B378,13)&amp;"|"&amp;$C378&amp;"|"&amp;$D378&amp;"|"&amp;AI$14&amp;"|"&amp;"CY2023Q3",Spectrum!$R:$R,0)),0),SUM($U378)+SUM($AI378)))</f>
        <v>0</v>
      </c>
      <c r="AK378" s="10" t="str">
        <f aca="false">IF(LEFT($B378,4)="_Mil","",_xlfn.IFNA(ROUND(INDEX(Spectrum!$N:$N,MATCH(RIGHT($B378,13)&amp;"|"&amp;$C378&amp;"|"&amp;$D378&amp;"|"&amp;AK$14&amp;"|"&amp;"CY2023Q3",Spectrum!$R:$R,0)),0),""))</f>
        <v/>
      </c>
      <c r="AL378" s="88" t="n">
        <f aca="false">IF(OR(LEFT($B378,4)="_Mil",$C378="&lt;01"),"",MAX(SUM($AA378),90%))</f>
        <v>1286</v>
      </c>
      <c r="AM378" s="10" t="n">
        <f aca="false">IF(OR(LEFT($B378,4)="_Mil",$C378="&lt;01"),"",ROUND(SUM($AJ378)*SUM($AL378),0))</f>
        <v>0</v>
      </c>
      <c r="AN378" s="10" t="str">
        <f aca="false">IF($C378="&lt;01",ROUND(INDEX(EID!$P:$P,MATCH($B378,EID!$B:$B,0))/2,0),"")</f>
        <v/>
      </c>
      <c r="AO378" s="10" t="n">
        <f aca="false">IF($C378="&lt;01",SUM($AN378),ROUND(SUM($AM378)*SUM($O378)/IF(SUM($Z378)=0,1,$Z378),0))</f>
        <v>0</v>
      </c>
      <c r="AP378" s="39" t="n">
        <f aca="false">IF(OR($F378="",$C378="&lt;01"),$AO378,$F378)</f>
        <v>0</v>
      </c>
      <c r="AQ378" s="39" t="n">
        <f aca="false">IF(LEFT($B378,4)="_Mil","",IF(SUM($AP378)=0,SUM($Z378),IF(OR(SUM($Z378)=0,SUM($O378)=0),MAX($AP378,$Z378),$AP378*$Z378/$O378)))</f>
        <v>1156</v>
      </c>
      <c r="AR378" s="88" t="str">
        <f aca="false">IF(OR(LEFT($B378,4)="_Mil",SUM($AJ378)=0),"",SUM($AQ378)/$AJ378)</f>
        <v/>
      </c>
      <c r="AS378" s="88" t="n">
        <f aca="false">IF($C378="&lt;01","",98%)</f>
        <v>0.98</v>
      </c>
      <c r="AT378" s="88" t="n">
        <f aca="false">IF($C378="&lt;01","",98%)</f>
        <v>0.98</v>
      </c>
      <c r="AU378" s="10" t="n">
        <f aca="false">IF($C378="&lt;01","",SUM($AP378)-SUM($O378))</f>
        <v>0</v>
      </c>
      <c r="AV378" s="10" t="n">
        <f aca="false">IF($C378="&lt;01",ROUND(INDEX(EID!$N:$N,MATCH($B378,EID!$B:$B,0))/2,0),IF(SUM($AT378)=0,"",ROUND((SUM($AP378)-(SUM($O378)*SUM($AS378)))/$AT378,0)))</f>
        <v>0</v>
      </c>
      <c r="AW378" s="88" t="n">
        <f aca="false">IF($C378="&lt;01","",100%)</f>
        <v>1</v>
      </c>
      <c r="AX378" s="39" t="n">
        <f aca="false">IF($C378="&lt;01",SUM($AV378),ROUND(SUM($AV378)*SUM($AW378),0))</f>
        <v>0</v>
      </c>
      <c r="AY378" s="114" t="n">
        <f aca="false">IF($C378="&lt;01","",70%)</f>
        <v>0.7</v>
      </c>
      <c r="AZ378" s="91" t="n">
        <f aca="false">IF($C378="&lt;01",ROUND(INDEX(EID!$R:$R,MATCH($B378,EID!$B:$B,0))/2,0),ROUND(SUM($O378)+(SUM($AV378)*$AY378),0))</f>
        <v>0</v>
      </c>
      <c r="BA378" s="87" t="n">
        <f aca="false">IF($C378="&lt;01","",95%)</f>
        <v>0.95</v>
      </c>
      <c r="BB378" s="5" t="n">
        <f aca="false">IF($C378="&lt;01",ROUND(INDEX(EID!$T:$T,MATCH($B378,EID!$B:$B,0))/2,0),ROUND($AZ378*$BA378,0))</f>
        <v>0</v>
      </c>
      <c r="BC378" s="91" t="n">
        <f aca="false">IF(LEFT($B378,4)="_Mil","",IF(SUM($BB378)=0,SUM($AD378),IF(OR(SUM($AP378)=0,SUM($AQ378)=0),MAX($BB378,$AD378),ROUND($BB378*$AQ378/$AP378,0))))</f>
        <v>0</v>
      </c>
      <c r="BD378" s="88" t="n">
        <f aca="false">IF($C378="&lt;01","",95%)</f>
        <v>0.95</v>
      </c>
      <c r="BE378" s="39" t="n">
        <f aca="false">IF($C378="&lt;01",ROUND(INDEX(EID!$V:$V,MATCH($B378,EID!$B:$B,0))/2,0),ROUND($BD378*$BB378,0))</f>
        <v>0</v>
      </c>
      <c r="BF378" s="39" t="n">
        <f aca="false">IF(LEFT($B378,4)="_Mil","",IF(SUM($BE378)=0,SUM($AF378),IF(OR(SUM($AP378)=0,SUM($AQ378)=0),MAX($BE378,$AF378),ROUND($BE378*$AQ378/$AP378,0))))</f>
        <v>0</v>
      </c>
      <c r="BG378" s="114" t="n">
        <f aca="false">IF($C378="&lt;01","",95%)</f>
        <v>0.95</v>
      </c>
      <c r="BH378" s="5" t="n">
        <f aca="false">IF($C378="&lt;01",ROUND(INDEX(EID!$L:$L,MATCH($B378,EID!$B:$B,0)),0)/2,IF(SUM($BG378)=0,"",ROUND($AX378/$BG378,0)))</f>
        <v>0</v>
      </c>
    </row>
    <row r="379" customFormat="false" ht="15" hidden="false" customHeight="false" outlineLevel="0" collapsed="false">
      <c r="A379" s="0" t="str">
        <f aca="false">INDEX(Prioritization!$D:$D,MATCH($B379,Prioritization!$A:$A,0))</f>
        <v>INVALID</v>
      </c>
      <c r="B379" s="0" t="s">
        <v>220</v>
      </c>
      <c r="C379" s="0" t="s">
        <v>316</v>
      </c>
      <c r="D379" s="0" t="s">
        <v>30</v>
      </c>
      <c r="E379" s="0" t="str">
        <f aca="false">$B379&amp;"|"&amp;$C379&amp;"|"&amp;$D379</f>
        <v>Phalombe District [AZyWpGzhcaA]|&lt;01|Female</v>
      </c>
      <c r="F379" s="10"/>
      <c r="G379" s="10" t="n">
        <v>3</v>
      </c>
      <c r="H379" s="10" t="n">
        <v>5</v>
      </c>
      <c r="I379" s="10" t="n">
        <v>1</v>
      </c>
      <c r="J379" s="10" t="n">
        <v>3</v>
      </c>
      <c r="K379" s="10" t="n">
        <v>9</v>
      </c>
      <c r="L379" s="10"/>
      <c r="M379" s="10" t="n">
        <v>0</v>
      </c>
      <c r="N379" s="10" t="n">
        <v>1</v>
      </c>
      <c r="O379" s="10" t="n">
        <f aca="false">IFERROR(1/(1/MAX($I379,$N379)),"")</f>
        <v>1</v>
      </c>
      <c r="P379" s="10" t="n">
        <v>0</v>
      </c>
      <c r="Q379" s="10" t="n">
        <v>1</v>
      </c>
      <c r="R379" s="10" t="n">
        <f aca="false">IF(AND(SUM($I379)=0,SUM($O379)=0),"",SUM($O379)-$I379)</f>
        <v>0</v>
      </c>
      <c r="S379" s="10" t="n">
        <f aca="false">IF(LEFT($B379,4)="_Mil","",_xlfn.IFNA(ROUND(INDEX(Spectrum!$N:$N,MATCH(RIGHT($B379,13)&amp;"|"&amp;$C379&amp;"|"&amp;$D379&amp;"|"&amp;S$14&amp;"|"&amp;"CY2022Q4",Spectrum!$R:$R,0)),0),""))</f>
        <v>951</v>
      </c>
      <c r="T379" s="39" t="n">
        <f aca="false">IF(LEFT($B379,4)="_Mil","",_xlfn.IFNA(ROUND(INDEX(Spectrum!$N:$N,MATCH(RIGHT($B379,13)&amp;"|"&amp;$C379&amp;"|"&amp;$D379&amp;"|"&amp;T$14&amp;"|"&amp;"CY2023Q3",Spectrum!$R:$R,0)),0),""))</f>
        <v>1045</v>
      </c>
      <c r="U379" s="39" t="str">
        <f aca="false">IF(LEFT($B379,4)="_Mil","",_xlfn.IFNA(ROUND(INDEX(Spectrum!$N:$N,MATCH(RIGHT($B379,13)&amp;"|"&amp;$C379&amp;"|"&amp;$D379&amp;"|"&amp;U$14&amp;"|"&amp;"CY2023Q3",Spectrum!$R:$R,0)),0),""))</f>
        <v/>
      </c>
      <c r="V379" s="10" t="n">
        <f aca="false">IF(LEFT($B379,4)="_Mil","",_xlfn.IFNA(ROUND(INDEX(Spectrum!$N:$N,MATCH(RIGHT($B379,13)&amp;"|"&amp;$C379&amp;"|"&amp;$D379&amp;"|"&amp;V$14&amp;"|"&amp;"CY2023Q3",Spectrum!$R:$R,0)),0),""))</f>
        <v>1945</v>
      </c>
      <c r="W379" s="113" t="n">
        <f aca="false">IF(LEFT($B379,4)="_Mil","",_xlfn.IFNA(INDEX(Spectrum!$N:$N,MATCH(RIGHT($B379,13)&amp;"|"&amp;$C379&amp;"|"&amp;$D379&amp;"|"&amp;W$14&amp;"|"&amp;"CY2023Q3",Spectrum!$R:$R,0)),""))</f>
        <v>1881</v>
      </c>
      <c r="X379" s="39" t="n">
        <f aca="false">IF(LEFT($B379,4)="_Mil","",_xlfn.IFNA(ROUND(INDEX(Spectrum!$N:$N,MATCH(RIGHT($B379,13)&amp;"|"&amp;$C379&amp;"|"&amp;$D379&amp;"|"&amp;X$14&amp;"|"&amp;"CY2023Q3",Spectrum!$R:$R,0)),0),""))</f>
        <v>883</v>
      </c>
      <c r="Y379" s="88" t="str">
        <f aca="false">IF(OR(SUM($U379)=0,LEFT($B379,4)="_Mil"),"",SUM($X379)/$U379)</f>
        <v/>
      </c>
      <c r="Z379" s="39" t="n">
        <f aca="false">IF(LEFT($B379,4)="_Mil","",_xlfn.IFNA(ROUND(INDEX(Spectrum!$N:$N,MATCH(RIGHT($B379,13)&amp;"|"&amp;$C379&amp;"|"&amp;$D379&amp;"|"&amp;Z$14&amp;"|"&amp;"CY2023Q3",Spectrum!$R:$R,0)),0),""))</f>
        <v>1468</v>
      </c>
      <c r="AA379" s="88" t="n">
        <f aca="false">IF(LEFT($B379,4)="_Mil","",IFERROR(1/(1/INDEX(Spectrum!$N:$N,MATCH(RIGHT($B379,13)&amp;"|"&amp;$C379&amp;"|"&amp;$D379&amp;"|"&amp;AA$14&amp;"|"&amp;"CY2023Q3",Spectrum!$R:$R,0))),IF(SUM($U379)=0,"",SUM($Z379)/$U379)))</f>
        <v>1004</v>
      </c>
      <c r="AB379" s="88" t="n">
        <f aca="false">IF(OR(LEFT($B379,4)="_Mil",SUM($X379)=0),"",SUM($Z379)/$X379)</f>
        <v>1.66251415628539</v>
      </c>
      <c r="AC379" s="10" t="n">
        <f aca="false">IF(LEFT($B379,4)="_Mil","",_xlfn.IFNA(ROUND(INDEX(Spectrum!$N:$N,MATCH(RIGHT($B379,13)&amp;"|"&amp;$C379&amp;"|"&amp;$D379&amp;"|"&amp;AC$14&amp;"|"&amp;"CY2023Q3",Spectrum!$R:$R,0)),0),""))</f>
        <v>1698</v>
      </c>
      <c r="AD379" s="10" t="str">
        <f aca="false">IF(LEFT($B379,4)="_Mil","",_xlfn.IFNA(ROUND(INDEX(Spectrum!$N:$N,MATCH(RIGHT($B379,13)&amp;"|"&amp;$C379&amp;"|"&amp;$D379&amp;"|"&amp;AD$14&amp;"|"&amp;"CY2023Q3",Spectrum!$R:$R,0)),0),""))</f>
        <v/>
      </c>
      <c r="AE379" s="88" t="n">
        <f aca="false">IF(OR(LEFT($B379,4)="_Mil",SUM($Z379)=0),"",SUM($AD379)/$Z379)</f>
        <v>0</v>
      </c>
      <c r="AF379" s="39" t="str">
        <f aca="false">IF(LEFT($B379,4)="_Mil","",_xlfn.IFNA(ROUND(INDEX(Spectrum!$N:$N,MATCH(RIGHT($B379,13)&amp;"|"&amp;$C379&amp;"|"&amp;$D379&amp;"|"&amp;AF$14&amp;"|"&amp;"CY2023Q3",Spectrum!$R:$R,0)),0),""))</f>
        <v/>
      </c>
      <c r="AG379" s="88" t="str">
        <f aca="false">IF(OR(LEFT($B379,4)="_Mil",SUM($AD379)=0),"",SUM($AF379)/$AD379)</f>
        <v/>
      </c>
      <c r="AH379" s="86" t="str">
        <f aca="false">IF(LEFT($B379,4)="_Mil","",_xlfn.IFNA(INDEX(Spectrum!$N:$N,MATCH(RIGHT($B379,13)&amp;"|"&amp;$C379&amp;"|"&amp;$D379&amp;"|"&amp;AH$14&amp;"|"&amp;"CY2023Q3",Spectrum!$R:$R,0)),""))</f>
        <v/>
      </c>
      <c r="AI379" s="10" t="str">
        <f aca="false">IF(LEFT($B379,4)="_Mil","",_xlfn.IFNA(ROUND(INDEX(Spectrum!$N:$N,MATCH(RIGHT($B379,13)&amp;"|"&amp;$C379&amp;"|"&amp;$D379&amp;"|"&amp;AI$14&amp;"|"&amp;"CY2023Q3",Spectrum!$R:$R,0)),0),""))</f>
        <v/>
      </c>
      <c r="AJ379" s="39" t="n">
        <f aca="false">IF(LEFT($B379,4)="_Mil","",_xlfn.IFNA(ROUND(INDEX(Spectrum!$N:$N,MATCH(RIGHT($B379,13)&amp;"|"&amp;$C379&amp;"|"&amp;$D379&amp;"|"&amp;AI$14&amp;"|"&amp;"CY2023Q3",Spectrum!$R:$R,0)),0),SUM($U379)+SUM($AI379)))</f>
        <v>0</v>
      </c>
      <c r="AK379" s="10" t="str">
        <f aca="false">IF(LEFT($B379,4)="_Mil","",_xlfn.IFNA(ROUND(INDEX(Spectrum!$N:$N,MATCH(RIGHT($B379,13)&amp;"|"&amp;$C379&amp;"|"&amp;$D379&amp;"|"&amp;AK$14&amp;"|"&amp;"CY2023Q3",Spectrum!$R:$R,0)),0),""))</f>
        <v/>
      </c>
      <c r="AL379" s="88" t="str">
        <f aca="false">IF(OR(LEFT($B379,4)="_Mil",$C379="&lt;01"),"",MAX(SUM($AA379),90%))</f>
        <v/>
      </c>
      <c r="AM379" s="10" t="str">
        <f aca="false">IF(OR(LEFT($B379,4)="_Mil",$C379="&lt;01"),"",ROUND(SUM($AJ379)*SUM($AL379),0))</f>
        <v/>
      </c>
      <c r="AN379" s="10" t="n">
        <f aca="false">IF($C379="&lt;01",ROUND(INDEX(EID!$P:$P,MATCH($B379,EID!$B:$B,0))/2,0),"")</f>
        <v>1</v>
      </c>
      <c r="AO379" s="10" t="n">
        <f aca="false">IF($C379="&lt;01",SUM($AN379),ROUND(SUM($AM379)*SUM($O379)/IF(SUM($Z379)=0,1,$Z379),0))</f>
        <v>1</v>
      </c>
      <c r="AP379" s="39" t="n">
        <f aca="false">IF(OR($F379="",$C379="&lt;01"),$AO379,$F379)</f>
        <v>1</v>
      </c>
      <c r="AQ379" s="39" t="n">
        <f aca="false">IF(LEFT($B379,4)="_Mil","",IF(SUM($AP379)=0,SUM($Z379),IF(OR(SUM($Z379)=0,SUM($O379)=0),MAX($AP379,$Z379),$AP379*$Z379/$O379)))</f>
        <v>1468</v>
      </c>
      <c r="AR379" s="88" t="str">
        <f aca="false">IF(OR(LEFT($B379,4)="_Mil",SUM($AJ379)=0),"",SUM($AQ379)/$AJ379)</f>
        <v/>
      </c>
      <c r="AS379" s="88" t="str">
        <f aca="false">IF($C379="&lt;01","",98%)</f>
        <v/>
      </c>
      <c r="AT379" s="88" t="str">
        <f aca="false">IF($C379="&lt;01","",98%)</f>
        <v/>
      </c>
      <c r="AU379" s="10" t="str">
        <f aca="false">IF($C379="&lt;01","",SUM($AP379)-SUM($O379))</f>
        <v/>
      </c>
      <c r="AV379" s="10" t="n">
        <f aca="false">IF($C379="&lt;01",ROUND(INDEX(EID!$N:$N,MATCH($B379,EID!$B:$B,0))/2,0),IF(SUM($AT379)=0,"",ROUND((SUM($AP379)-(SUM($O379)*SUM($AS379)))/$AT379,0)))</f>
        <v>1</v>
      </c>
      <c r="AW379" s="88" t="str">
        <f aca="false">IF($C379="&lt;01","",100%)</f>
        <v/>
      </c>
      <c r="AX379" s="39" t="n">
        <f aca="false">IF($C379="&lt;01",SUM($AV379),ROUND(SUM($AV379)*SUM($AW379),0))</f>
        <v>1</v>
      </c>
      <c r="AY379" s="114" t="str">
        <f aca="false">IF($C379="&lt;01","",70%)</f>
        <v/>
      </c>
      <c r="AZ379" s="91" t="n">
        <f aca="false">IF($C379="&lt;01",ROUND(INDEX(EID!$R:$R,MATCH($B379,EID!$B:$B,0))/2,0),ROUND(SUM($O379)+(SUM($AV379)*$AY379),0))</f>
        <v>1</v>
      </c>
      <c r="BA379" s="87" t="str">
        <f aca="false">IF($C379="&lt;01","",95%)</f>
        <v/>
      </c>
      <c r="BB379" s="5" t="n">
        <f aca="false">IF($C379="&lt;01",ROUND(INDEX(EID!$T:$T,MATCH($B379,EID!$B:$B,0))/2,0),ROUND($AZ379*$BA379,0))</f>
        <v>1</v>
      </c>
      <c r="BC379" s="91" t="n">
        <f aca="false">IF(LEFT($B379,4)="_Mil","",IF(SUM($BB379)=0,SUM($AD379),IF(OR(SUM($AP379)=0,SUM($AQ379)=0),MAX($BB379,$AD379),ROUND($BB379*$AQ379/$AP379,0))))</f>
        <v>1468</v>
      </c>
      <c r="BD379" s="88" t="str">
        <f aca="false">IF($C379="&lt;01","",95%)</f>
        <v/>
      </c>
      <c r="BE379" s="39" t="n">
        <f aca="false">IF($C379="&lt;01",ROUND(INDEX(EID!$V:$V,MATCH($B379,EID!$B:$B,0))/2,0),ROUND($BD379*$BB379,0))</f>
        <v>1</v>
      </c>
      <c r="BF379" s="39" t="n">
        <f aca="false">IF(LEFT($B379,4)="_Mil","",IF(SUM($BE379)=0,SUM($AF379),IF(OR(SUM($AP379)=0,SUM($AQ379)=0),MAX($BE379,$AF379),ROUND($BE379*$AQ379/$AP379,0))))</f>
        <v>1468</v>
      </c>
      <c r="BG379" s="114" t="str">
        <f aca="false">IF($C379="&lt;01","",95%)</f>
        <v/>
      </c>
      <c r="BH379" s="5" t="n">
        <f aca="false">IF($C379="&lt;01",ROUND(INDEX(EID!$L:$L,MATCH($B379,EID!$B:$B,0)),0)/2,IF(SUM($BG379)=0,"",ROUND($AX379/$BG379,0)))</f>
        <v>1</v>
      </c>
    </row>
    <row r="380" customFormat="false" ht="15" hidden="false" customHeight="false" outlineLevel="0" collapsed="false">
      <c r="A380" s="0" t="str">
        <f aca="false">INDEX(Prioritization!$D:$D,MATCH($B380,Prioritization!$A:$A,0))</f>
        <v>INVALID</v>
      </c>
      <c r="B380" s="0" t="s">
        <v>220</v>
      </c>
      <c r="C380" s="0" t="s">
        <v>316</v>
      </c>
      <c r="D380" s="0" t="s">
        <v>48</v>
      </c>
      <c r="E380" s="0" t="str">
        <f aca="false">$B380&amp;"|"&amp;$C380&amp;"|"&amp;$D380</f>
        <v>Phalombe District [AZyWpGzhcaA]|&lt;01|Male</v>
      </c>
      <c r="F380" s="10"/>
      <c r="G380" s="10" t="n">
        <v>6</v>
      </c>
      <c r="H380" s="10" t="n">
        <v>9</v>
      </c>
      <c r="I380" s="10" t="n">
        <v>1</v>
      </c>
      <c r="J380" s="10" t="n">
        <v>1</v>
      </c>
      <c r="K380" s="10" t="n">
        <v>1</v>
      </c>
      <c r="L380" s="10"/>
      <c r="M380" s="10" t="n">
        <v>0</v>
      </c>
      <c r="N380" s="10" t="n">
        <v>1</v>
      </c>
      <c r="O380" s="10" t="n">
        <f aca="false">IFERROR(1/(1/MAX($I380,$N380)),"")</f>
        <v>1</v>
      </c>
      <c r="P380" s="10" t="n">
        <v>0</v>
      </c>
      <c r="Q380" s="10" t="n">
        <v>1</v>
      </c>
      <c r="R380" s="10" t="n">
        <f aca="false">IF(AND(SUM($I380)=0,SUM($O380)=0),"",SUM($O380)-$I380)</f>
        <v>0</v>
      </c>
      <c r="S380" s="10" t="n">
        <f aca="false">IF(LEFT($B380,4)="_Mil","",_xlfn.IFNA(ROUND(INDEX(Spectrum!$N:$N,MATCH(RIGHT($B380,13)&amp;"|"&amp;$C380&amp;"|"&amp;$D380&amp;"|"&amp;S$14&amp;"|"&amp;"CY2022Q4",Spectrum!$R:$R,0)),0),""))</f>
        <v>1106</v>
      </c>
      <c r="T380" s="39" t="n">
        <f aca="false">IF(LEFT($B380,4)="_Mil","",_xlfn.IFNA(ROUND(INDEX(Spectrum!$N:$N,MATCH(RIGHT($B380,13)&amp;"|"&amp;$C380&amp;"|"&amp;$D380&amp;"|"&amp;T$14&amp;"|"&amp;"CY2023Q3",Spectrum!$R:$R,0)),0),""))</f>
        <v>641</v>
      </c>
      <c r="U380" s="39" t="str">
        <f aca="false">IF(LEFT($B380,4)="_Mil","",_xlfn.IFNA(ROUND(INDEX(Spectrum!$N:$N,MATCH(RIGHT($B380,13)&amp;"|"&amp;$C380&amp;"|"&amp;$D380&amp;"|"&amp;U$14&amp;"|"&amp;"CY2023Q3",Spectrum!$R:$R,0)),0),""))</f>
        <v/>
      </c>
      <c r="V380" s="10" t="n">
        <f aca="false">IF(LEFT($B380,4)="_Mil","",_xlfn.IFNA(ROUND(INDEX(Spectrum!$N:$N,MATCH(RIGHT($B380,13)&amp;"|"&amp;$C380&amp;"|"&amp;$D380&amp;"|"&amp;V$14&amp;"|"&amp;"CY2023Q3",Spectrum!$R:$R,0)),0),""))</f>
        <v>783</v>
      </c>
      <c r="W380" s="113" t="n">
        <f aca="false">IF(LEFT($B380,4)="_Mil","",_xlfn.IFNA(INDEX(Spectrum!$N:$N,MATCH(RIGHT($B380,13)&amp;"|"&amp;$C380&amp;"|"&amp;$D380&amp;"|"&amp;W$14&amp;"|"&amp;"CY2023Q3",Spectrum!$R:$R,0)),""))</f>
        <v>640</v>
      </c>
      <c r="X380" s="39" t="n">
        <f aca="false">IF(LEFT($B380,4)="_Mil","",_xlfn.IFNA(ROUND(INDEX(Spectrum!$N:$N,MATCH(RIGHT($B380,13)&amp;"|"&amp;$C380&amp;"|"&amp;$D380&amp;"|"&amp;X$14&amp;"|"&amp;"CY2023Q3",Spectrum!$R:$R,0)),0),""))</f>
        <v>1810</v>
      </c>
      <c r="Y380" s="88" t="str">
        <f aca="false">IF(OR(SUM($U380)=0,LEFT($B380,4)="_Mil"),"",SUM($X380)/$U380)</f>
        <v/>
      </c>
      <c r="Z380" s="39" t="n">
        <f aca="false">IF(LEFT($B380,4)="_Mil","",_xlfn.IFNA(ROUND(INDEX(Spectrum!$N:$N,MATCH(RIGHT($B380,13)&amp;"|"&amp;$C380&amp;"|"&amp;$D380&amp;"|"&amp;Z$14&amp;"|"&amp;"CY2023Q3",Spectrum!$R:$R,0)),0),""))</f>
        <v>1352</v>
      </c>
      <c r="AA380" s="88" t="n">
        <f aca="false">IF(LEFT($B380,4)="_Mil","",IFERROR(1/(1/INDEX(Spectrum!$N:$N,MATCH(RIGHT($B380,13)&amp;"|"&amp;$C380&amp;"|"&amp;$D380&amp;"|"&amp;AA$14&amp;"|"&amp;"CY2023Q3",Spectrum!$R:$R,0))),IF(SUM($U380)=0,"",SUM($Z380)/$U380)))</f>
        <v>1982</v>
      </c>
      <c r="AB380" s="88" t="n">
        <f aca="false">IF(OR(LEFT($B380,4)="_Mil",SUM($X380)=0),"",SUM($Z380)/$X380)</f>
        <v>0.746961325966851</v>
      </c>
      <c r="AC380" s="10" t="n">
        <f aca="false">IF(LEFT($B380,4)="_Mil","",_xlfn.IFNA(ROUND(INDEX(Spectrum!$N:$N,MATCH(RIGHT($B380,13)&amp;"|"&amp;$C380&amp;"|"&amp;$D380&amp;"|"&amp;AC$14&amp;"|"&amp;"CY2023Q3",Spectrum!$R:$R,0)),0),""))</f>
        <v>1472</v>
      </c>
      <c r="AD380" s="10" t="str">
        <f aca="false">IF(LEFT($B380,4)="_Mil","",_xlfn.IFNA(ROUND(INDEX(Spectrum!$N:$N,MATCH(RIGHT($B380,13)&amp;"|"&amp;$C380&amp;"|"&amp;$D380&amp;"|"&amp;AD$14&amp;"|"&amp;"CY2023Q3",Spectrum!$R:$R,0)),0),""))</f>
        <v/>
      </c>
      <c r="AE380" s="88" t="n">
        <f aca="false">IF(OR(LEFT($B380,4)="_Mil",SUM($Z380)=0),"",SUM($AD380)/$Z380)</f>
        <v>0</v>
      </c>
      <c r="AF380" s="39" t="str">
        <f aca="false">IF(LEFT($B380,4)="_Mil","",_xlfn.IFNA(ROUND(INDEX(Spectrum!$N:$N,MATCH(RIGHT($B380,13)&amp;"|"&amp;$C380&amp;"|"&amp;$D380&amp;"|"&amp;AF$14&amp;"|"&amp;"CY2023Q3",Spectrum!$R:$R,0)),0),""))</f>
        <v/>
      </c>
      <c r="AG380" s="88" t="str">
        <f aca="false">IF(OR(LEFT($B380,4)="_Mil",SUM($AD380)=0),"",SUM($AF380)/$AD380)</f>
        <v/>
      </c>
      <c r="AH380" s="86" t="str">
        <f aca="false">IF(LEFT($B380,4)="_Mil","",_xlfn.IFNA(INDEX(Spectrum!$N:$N,MATCH(RIGHT($B380,13)&amp;"|"&amp;$C380&amp;"|"&amp;$D380&amp;"|"&amp;AH$14&amp;"|"&amp;"CY2023Q3",Spectrum!$R:$R,0)),""))</f>
        <v/>
      </c>
      <c r="AI380" s="10" t="str">
        <f aca="false">IF(LEFT($B380,4)="_Mil","",_xlfn.IFNA(ROUND(INDEX(Spectrum!$N:$N,MATCH(RIGHT($B380,13)&amp;"|"&amp;$C380&amp;"|"&amp;$D380&amp;"|"&amp;AI$14&amp;"|"&amp;"CY2023Q3",Spectrum!$R:$R,0)),0),""))</f>
        <v/>
      </c>
      <c r="AJ380" s="39" t="n">
        <f aca="false">IF(LEFT($B380,4)="_Mil","",_xlfn.IFNA(ROUND(INDEX(Spectrum!$N:$N,MATCH(RIGHT($B380,13)&amp;"|"&amp;$C380&amp;"|"&amp;$D380&amp;"|"&amp;AI$14&amp;"|"&amp;"CY2023Q3",Spectrum!$R:$R,0)),0),SUM($U380)+SUM($AI380)))</f>
        <v>0</v>
      </c>
      <c r="AK380" s="10" t="str">
        <f aca="false">IF(LEFT($B380,4)="_Mil","",_xlfn.IFNA(ROUND(INDEX(Spectrum!$N:$N,MATCH(RIGHT($B380,13)&amp;"|"&amp;$C380&amp;"|"&amp;$D380&amp;"|"&amp;AK$14&amp;"|"&amp;"CY2023Q3",Spectrum!$R:$R,0)),0),""))</f>
        <v/>
      </c>
      <c r="AL380" s="88" t="str">
        <f aca="false">IF(OR(LEFT($B380,4)="_Mil",$C380="&lt;01"),"",MAX(SUM($AA380),90%))</f>
        <v/>
      </c>
      <c r="AM380" s="10" t="str">
        <f aca="false">IF(OR(LEFT($B380,4)="_Mil",$C380="&lt;01"),"",ROUND(SUM($AJ380)*SUM($AL380),0))</f>
        <v/>
      </c>
      <c r="AN380" s="10" t="n">
        <f aca="false">IF($C380="&lt;01",ROUND(INDEX(EID!$P:$P,MATCH($B380,EID!$B:$B,0))/2,0),"")</f>
        <v>1</v>
      </c>
      <c r="AO380" s="10" t="n">
        <f aca="false">IF($C380="&lt;01",SUM($AN380),ROUND(SUM($AM380)*SUM($O380)/IF(SUM($Z380)=0,1,$Z380),0))</f>
        <v>1</v>
      </c>
      <c r="AP380" s="39" t="n">
        <f aca="false">IF(OR($F380="",$C380="&lt;01"),$AO380,$F380)</f>
        <v>1</v>
      </c>
      <c r="AQ380" s="39" t="n">
        <f aca="false">IF(LEFT($B380,4)="_Mil","",IF(SUM($AP380)=0,SUM($Z380),IF(OR(SUM($Z380)=0,SUM($O380)=0),MAX($AP380,$Z380),$AP380*$Z380/$O380)))</f>
        <v>1352</v>
      </c>
      <c r="AR380" s="88" t="str">
        <f aca="false">IF(OR(LEFT($B380,4)="_Mil",SUM($AJ380)=0),"",SUM($AQ380)/$AJ380)</f>
        <v/>
      </c>
      <c r="AS380" s="88" t="str">
        <f aca="false">IF($C380="&lt;01","",98%)</f>
        <v/>
      </c>
      <c r="AT380" s="88" t="str">
        <f aca="false">IF($C380="&lt;01","",98%)</f>
        <v/>
      </c>
      <c r="AU380" s="10" t="str">
        <f aca="false">IF($C380="&lt;01","",SUM($AP380)-SUM($O380))</f>
        <v/>
      </c>
      <c r="AV380" s="10" t="n">
        <f aca="false">IF($C380="&lt;01",ROUND(INDEX(EID!$N:$N,MATCH($B380,EID!$B:$B,0))/2,0),IF(SUM($AT380)=0,"",ROUND((SUM($AP380)-(SUM($O380)*SUM($AS380)))/$AT380,0)))</f>
        <v>1</v>
      </c>
      <c r="AW380" s="88" t="str">
        <f aca="false">IF($C380="&lt;01","",100%)</f>
        <v/>
      </c>
      <c r="AX380" s="39" t="n">
        <f aca="false">IF($C380="&lt;01",SUM($AV380),ROUND(SUM($AV380)*SUM($AW380),0))</f>
        <v>1</v>
      </c>
      <c r="AY380" s="114" t="str">
        <f aca="false">IF($C380="&lt;01","",70%)</f>
        <v/>
      </c>
      <c r="AZ380" s="91" t="n">
        <f aca="false">IF($C380="&lt;01",ROUND(INDEX(EID!$R:$R,MATCH($B380,EID!$B:$B,0))/2,0),ROUND(SUM($O380)+(SUM($AV380)*$AY380),0))</f>
        <v>1</v>
      </c>
      <c r="BA380" s="87" t="str">
        <f aca="false">IF($C380="&lt;01","",95%)</f>
        <v/>
      </c>
      <c r="BB380" s="5" t="n">
        <f aca="false">IF($C380="&lt;01",ROUND(INDEX(EID!$T:$T,MATCH($B380,EID!$B:$B,0))/2,0),ROUND($AZ380*$BA380,0))</f>
        <v>1</v>
      </c>
      <c r="BC380" s="91" t="n">
        <f aca="false">IF(LEFT($B380,4)="_Mil","",IF(SUM($BB380)=0,SUM($AD380),IF(OR(SUM($AP380)=0,SUM($AQ380)=0),MAX($BB380,$AD380),ROUND($BB380*$AQ380/$AP380,0))))</f>
        <v>1352</v>
      </c>
      <c r="BD380" s="88" t="str">
        <f aca="false">IF($C380="&lt;01","",95%)</f>
        <v/>
      </c>
      <c r="BE380" s="39" t="n">
        <f aca="false">IF($C380="&lt;01",ROUND(INDEX(EID!$V:$V,MATCH($B380,EID!$B:$B,0))/2,0),ROUND($BD380*$BB380,0))</f>
        <v>1</v>
      </c>
      <c r="BF380" s="39" t="n">
        <f aca="false">IF(LEFT($B380,4)="_Mil","",IF(SUM($BE380)=0,SUM($AF380),IF(OR(SUM($AP380)=0,SUM($AQ380)=0),MAX($BE380,$AF380),ROUND($BE380*$AQ380/$AP380,0))))</f>
        <v>1352</v>
      </c>
      <c r="BG380" s="114" t="str">
        <f aca="false">IF($C380="&lt;01","",95%)</f>
        <v/>
      </c>
      <c r="BH380" s="5" t="n">
        <f aca="false">IF($C380="&lt;01",ROUND(INDEX(EID!$L:$L,MATCH($B380,EID!$B:$B,0)),0)/2,IF(SUM($BG380)=0,"",ROUND($AX380/$BG380,0)))</f>
        <v>1</v>
      </c>
    </row>
    <row r="381" customFormat="false" ht="15" hidden="false" customHeight="false" outlineLevel="0" collapsed="false">
      <c r="A381" s="0" t="str">
        <f aca="false">INDEX(Prioritization!$D:$D,MATCH($B381,Prioritization!$A:$A,0))</f>
        <v>INVALID</v>
      </c>
      <c r="B381" s="0" t="s">
        <v>220</v>
      </c>
      <c r="C381" s="0" t="s">
        <v>363</v>
      </c>
      <c r="D381" s="0" t="s">
        <v>30</v>
      </c>
      <c r="E381" s="0" t="str">
        <f aca="false">$B381&amp;"|"&amp;$C381&amp;"|"&amp;$D381</f>
        <v>Phalombe District [AZyWpGzhcaA]|01-09|Female</v>
      </c>
      <c r="F381" s="10"/>
      <c r="G381" s="10"/>
      <c r="H381" s="10"/>
      <c r="I381" s="10"/>
      <c r="J381" s="10"/>
      <c r="K381" s="10"/>
      <c r="L381" s="10"/>
      <c r="M381" s="10"/>
      <c r="N381" s="10"/>
      <c r="O381" s="10" t="str">
        <f aca="false">IFERROR(1/(1/MAX($I381,$N381)),"")</f>
        <v/>
      </c>
      <c r="P381" s="10"/>
      <c r="Q381" s="10"/>
      <c r="R381" s="10" t="str">
        <f aca="false">IF(AND(SUM($I381)=0,SUM($O381)=0),"",SUM($O381)-$I381)</f>
        <v/>
      </c>
      <c r="S381" s="10" t="n">
        <f aca="false">IF(LEFT($B381,4)="_Mil","",_xlfn.IFNA(ROUND(INDEX(Spectrum!$N:$N,MATCH(RIGHT($B381,13)&amp;"|"&amp;$C381&amp;"|"&amp;$D381&amp;"|"&amp;S$14&amp;"|"&amp;"CY2022Q4",Spectrum!$R:$R,0)),0),""))</f>
        <v>787</v>
      </c>
      <c r="T381" s="39" t="n">
        <f aca="false">IF(LEFT($B381,4)="_Mil","",_xlfn.IFNA(ROUND(INDEX(Spectrum!$N:$N,MATCH(RIGHT($B381,13)&amp;"|"&amp;$C381&amp;"|"&amp;$D381&amp;"|"&amp;T$14&amp;"|"&amp;"CY2023Q3",Spectrum!$R:$R,0)),0),""))</f>
        <v>1929</v>
      </c>
      <c r="U381" s="39" t="str">
        <f aca="false">IF(LEFT($B381,4)="_Mil","",_xlfn.IFNA(ROUND(INDEX(Spectrum!$N:$N,MATCH(RIGHT($B381,13)&amp;"|"&amp;$C381&amp;"|"&amp;$D381&amp;"|"&amp;U$14&amp;"|"&amp;"CY2023Q3",Spectrum!$R:$R,0)),0),""))</f>
        <v/>
      </c>
      <c r="V381" s="10" t="n">
        <f aca="false">IF(LEFT($B381,4)="_Mil","",_xlfn.IFNA(ROUND(INDEX(Spectrum!$N:$N,MATCH(RIGHT($B381,13)&amp;"|"&amp;$C381&amp;"|"&amp;$D381&amp;"|"&amp;V$14&amp;"|"&amp;"CY2023Q3",Spectrum!$R:$R,0)),0),""))</f>
        <v>952</v>
      </c>
      <c r="W381" s="113" t="n">
        <f aca="false">IF(LEFT($B381,4)="_Mil","",_xlfn.IFNA(INDEX(Spectrum!$N:$N,MATCH(RIGHT($B381,13)&amp;"|"&amp;$C381&amp;"|"&amp;$D381&amp;"|"&amp;W$14&amp;"|"&amp;"CY2023Q3",Spectrum!$R:$R,0)),""))</f>
        <v>691</v>
      </c>
      <c r="X381" s="39" t="n">
        <f aca="false">IF(LEFT($B381,4)="_Mil","",_xlfn.IFNA(ROUND(INDEX(Spectrum!$N:$N,MATCH(RIGHT($B381,13)&amp;"|"&amp;$C381&amp;"|"&amp;$D381&amp;"|"&amp;X$14&amp;"|"&amp;"CY2023Q3",Spectrum!$R:$R,0)),0),""))</f>
        <v>912</v>
      </c>
      <c r="Y381" s="88" t="str">
        <f aca="false">IF(OR(SUM($U381)=0,LEFT($B381,4)="_Mil"),"",SUM($X381)/$U381)</f>
        <v/>
      </c>
      <c r="Z381" s="39" t="n">
        <f aca="false">IF(LEFT($B381,4)="_Mil","",_xlfn.IFNA(ROUND(INDEX(Spectrum!$N:$N,MATCH(RIGHT($B381,13)&amp;"|"&amp;$C381&amp;"|"&amp;$D381&amp;"|"&amp;Z$14&amp;"|"&amp;"CY2023Q3",Spectrum!$R:$R,0)),0),""))</f>
        <v>1505</v>
      </c>
      <c r="AA381" s="88" t="n">
        <f aca="false">IF(LEFT($B381,4)="_Mil","",IFERROR(1/(1/INDEX(Spectrum!$N:$N,MATCH(RIGHT($B381,13)&amp;"|"&amp;$C381&amp;"|"&amp;$D381&amp;"|"&amp;AA$14&amp;"|"&amp;"CY2023Q3",Spectrum!$R:$R,0))),IF(SUM($U381)=0,"",SUM($Z381)/$U381)))</f>
        <v>1930</v>
      </c>
      <c r="AB381" s="88" t="n">
        <f aca="false">IF(OR(LEFT($B381,4)="_Mil",SUM($X381)=0),"",SUM($Z381)/$X381)</f>
        <v>1.65021929824561</v>
      </c>
      <c r="AC381" s="10" t="n">
        <f aca="false">IF(LEFT($B381,4)="_Mil","",_xlfn.IFNA(ROUND(INDEX(Spectrum!$N:$N,MATCH(RIGHT($B381,13)&amp;"|"&amp;$C381&amp;"|"&amp;$D381&amp;"|"&amp;AC$14&amp;"|"&amp;"CY2023Q3",Spectrum!$R:$R,0)),0),""))</f>
        <v>698</v>
      </c>
      <c r="AD381" s="10" t="str">
        <f aca="false">IF(LEFT($B381,4)="_Mil","",_xlfn.IFNA(ROUND(INDEX(Spectrum!$N:$N,MATCH(RIGHT($B381,13)&amp;"|"&amp;$C381&amp;"|"&amp;$D381&amp;"|"&amp;AD$14&amp;"|"&amp;"CY2023Q3",Spectrum!$R:$R,0)),0),""))</f>
        <v/>
      </c>
      <c r="AE381" s="88" t="n">
        <f aca="false">IF(OR(LEFT($B381,4)="_Mil",SUM($Z381)=0),"",SUM($AD381)/$Z381)</f>
        <v>0</v>
      </c>
      <c r="AF381" s="39" t="str">
        <f aca="false">IF(LEFT($B381,4)="_Mil","",_xlfn.IFNA(ROUND(INDEX(Spectrum!$N:$N,MATCH(RIGHT($B381,13)&amp;"|"&amp;$C381&amp;"|"&amp;$D381&amp;"|"&amp;AF$14&amp;"|"&amp;"CY2023Q3",Spectrum!$R:$R,0)),0),""))</f>
        <v/>
      </c>
      <c r="AG381" s="88" t="str">
        <f aca="false">IF(OR(LEFT($B381,4)="_Mil",SUM($AD381)=0),"",SUM($AF381)/$AD381)</f>
        <v/>
      </c>
      <c r="AH381" s="86" t="str">
        <f aca="false">IF(LEFT($B381,4)="_Mil","",_xlfn.IFNA(INDEX(Spectrum!$N:$N,MATCH(RIGHT($B381,13)&amp;"|"&amp;$C381&amp;"|"&amp;$D381&amp;"|"&amp;AH$14&amp;"|"&amp;"CY2023Q3",Spectrum!$R:$R,0)),""))</f>
        <v/>
      </c>
      <c r="AI381" s="10" t="str">
        <f aca="false">IF(LEFT($B381,4)="_Mil","",_xlfn.IFNA(ROUND(INDEX(Spectrum!$N:$N,MATCH(RIGHT($B381,13)&amp;"|"&amp;$C381&amp;"|"&amp;$D381&amp;"|"&amp;AI$14&amp;"|"&amp;"CY2023Q3",Spectrum!$R:$R,0)),0),""))</f>
        <v/>
      </c>
      <c r="AJ381" s="39" t="n">
        <f aca="false">IF(LEFT($B381,4)="_Mil","",_xlfn.IFNA(ROUND(INDEX(Spectrum!$N:$N,MATCH(RIGHT($B381,13)&amp;"|"&amp;$C381&amp;"|"&amp;$D381&amp;"|"&amp;AI$14&amp;"|"&amp;"CY2023Q3",Spectrum!$R:$R,0)),0),SUM($U381)+SUM($AI381)))</f>
        <v>0</v>
      </c>
      <c r="AK381" s="10" t="str">
        <f aca="false">IF(LEFT($B381,4)="_Mil","",_xlfn.IFNA(ROUND(INDEX(Spectrum!$N:$N,MATCH(RIGHT($B381,13)&amp;"|"&amp;$C381&amp;"|"&amp;$D381&amp;"|"&amp;AK$14&amp;"|"&amp;"CY2023Q3",Spectrum!$R:$R,0)),0),""))</f>
        <v/>
      </c>
      <c r="AL381" s="88" t="n">
        <f aca="false">IF(OR(LEFT($B381,4)="_Mil",$C381="&lt;01"),"",MAX(SUM($AA381),90%))</f>
        <v>1930</v>
      </c>
      <c r="AM381" s="10" t="n">
        <f aca="false">IF(OR(LEFT($B381,4)="_Mil",$C381="&lt;01"),"",ROUND(SUM($AJ381)*SUM($AL381),0))</f>
        <v>0</v>
      </c>
      <c r="AN381" s="10" t="str">
        <f aca="false">IF($C381="&lt;01",ROUND(INDEX(EID!$P:$P,MATCH($B381,EID!$B:$B,0))/2,0),"")</f>
        <v/>
      </c>
      <c r="AO381" s="10" t="n">
        <f aca="false">IF($C381="&lt;01",SUM($AN381),ROUND(SUM($AM381)*SUM($O381)/IF(SUM($Z381)=0,1,$Z381),0))</f>
        <v>0</v>
      </c>
      <c r="AP381" s="39" t="n">
        <f aca="false">IF(OR($F381="",$C381="&lt;01"),$AO381,$F381)</f>
        <v>0</v>
      </c>
      <c r="AQ381" s="39" t="n">
        <f aca="false">IF(LEFT($B381,4)="_Mil","",IF(SUM($AP381)=0,SUM($Z381),IF(OR(SUM($Z381)=0,SUM($O381)=0),MAX($AP381,$Z381),$AP381*$Z381/$O381)))</f>
        <v>1505</v>
      </c>
      <c r="AR381" s="88" t="str">
        <f aca="false">IF(OR(LEFT($B381,4)="_Mil",SUM($AJ381)=0),"",SUM($AQ381)/$AJ381)</f>
        <v/>
      </c>
      <c r="AS381" s="88" t="n">
        <f aca="false">IF($C381="&lt;01","",98%)</f>
        <v>0.98</v>
      </c>
      <c r="AT381" s="88" t="n">
        <f aca="false">IF($C381="&lt;01","",98%)</f>
        <v>0.98</v>
      </c>
      <c r="AU381" s="10" t="n">
        <f aca="false">IF($C381="&lt;01","",SUM($AP381)-SUM($O381))</f>
        <v>0</v>
      </c>
      <c r="AV381" s="10" t="n">
        <f aca="false">IF($C381="&lt;01",ROUND(INDEX(EID!$N:$N,MATCH($B381,EID!$B:$B,0))/2,0),IF(SUM($AT381)=0,"",ROUND((SUM($AP381)-(SUM($O381)*SUM($AS381)))/$AT381,0)))</f>
        <v>0</v>
      </c>
      <c r="AW381" s="88" t="n">
        <f aca="false">IF($C381="&lt;01","",100%)</f>
        <v>1</v>
      </c>
      <c r="AX381" s="39" t="n">
        <f aca="false">IF($C381="&lt;01",SUM($AV381),ROUND(SUM($AV381)*SUM($AW381),0))</f>
        <v>0</v>
      </c>
      <c r="AY381" s="114" t="n">
        <f aca="false">IF($C381="&lt;01","",70%)</f>
        <v>0.7</v>
      </c>
      <c r="AZ381" s="91" t="n">
        <f aca="false">IF($C381="&lt;01",ROUND(INDEX(EID!$R:$R,MATCH($B381,EID!$B:$B,0))/2,0),ROUND(SUM($O381)+(SUM($AV381)*$AY381),0))</f>
        <v>0</v>
      </c>
      <c r="BA381" s="87" t="n">
        <f aca="false">IF($C381="&lt;01","",95%)</f>
        <v>0.95</v>
      </c>
      <c r="BB381" s="5" t="n">
        <f aca="false">IF($C381="&lt;01",ROUND(INDEX(EID!$T:$T,MATCH($B381,EID!$B:$B,0))/2,0),ROUND($AZ381*$BA381,0))</f>
        <v>0</v>
      </c>
      <c r="BC381" s="91" t="n">
        <f aca="false">IF(LEFT($B381,4)="_Mil","",IF(SUM($BB381)=0,SUM($AD381),IF(OR(SUM($AP381)=0,SUM($AQ381)=0),MAX($BB381,$AD381),ROUND($BB381*$AQ381/$AP381,0))))</f>
        <v>0</v>
      </c>
      <c r="BD381" s="88" t="n">
        <f aca="false">IF($C381="&lt;01","",95%)</f>
        <v>0.95</v>
      </c>
      <c r="BE381" s="39" t="n">
        <f aca="false">IF($C381="&lt;01",ROUND(INDEX(EID!$V:$V,MATCH($B381,EID!$B:$B,0))/2,0),ROUND($BD381*$BB381,0))</f>
        <v>0</v>
      </c>
      <c r="BF381" s="39" t="n">
        <f aca="false">IF(LEFT($B381,4)="_Mil","",IF(SUM($BE381)=0,SUM($AF381),IF(OR(SUM($AP381)=0,SUM($AQ381)=0),MAX($BE381,$AF381),ROUND($BE381*$AQ381/$AP381,0))))</f>
        <v>0</v>
      </c>
      <c r="BG381" s="114" t="n">
        <f aca="false">IF($C381="&lt;01","",95%)</f>
        <v>0.95</v>
      </c>
      <c r="BH381" s="5" t="n">
        <f aca="false">IF($C381="&lt;01",ROUND(INDEX(EID!$L:$L,MATCH($B381,EID!$B:$B,0)),0)/2,IF(SUM($BG381)=0,"",ROUND($AX381/$BG381,0)))</f>
        <v>0</v>
      </c>
    </row>
    <row r="382" customFormat="false" ht="15" hidden="false" customHeight="false" outlineLevel="0" collapsed="false">
      <c r="A382" s="0" t="str">
        <f aca="false">INDEX(Prioritization!$D:$D,MATCH($B382,Prioritization!$A:$A,0))</f>
        <v>INVALID</v>
      </c>
      <c r="B382" s="0" t="s">
        <v>220</v>
      </c>
      <c r="C382" s="0" t="s">
        <v>363</v>
      </c>
      <c r="D382" s="0" t="s">
        <v>48</v>
      </c>
      <c r="E382" s="0" t="str">
        <f aca="false">$B382&amp;"|"&amp;$C382&amp;"|"&amp;$D382</f>
        <v>Phalombe District [AZyWpGzhcaA]|01-09|Male</v>
      </c>
      <c r="F382" s="10"/>
      <c r="G382" s="10"/>
      <c r="H382" s="10"/>
      <c r="I382" s="10"/>
      <c r="J382" s="10"/>
      <c r="K382" s="10"/>
      <c r="L382" s="10"/>
      <c r="M382" s="10"/>
      <c r="N382" s="10"/>
      <c r="O382" s="10" t="str">
        <f aca="false">IFERROR(1/(1/MAX($I382,$N382)),"")</f>
        <v/>
      </c>
      <c r="P382" s="10"/>
      <c r="Q382" s="10"/>
      <c r="R382" s="10" t="str">
        <f aca="false">IF(AND(SUM($I382)=0,SUM($O382)=0),"",SUM($O382)-$I382)</f>
        <v/>
      </c>
      <c r="S382" s="10" t="n">
        <f aca="false">IF(LEFT($B382,4)="_Mil","",_xlfn.IFNA(ROUND(INDEX(Spectrum!$N:$N,MATCH(RIGHT($B382,13)&amp;"|"&amp;$C382&amp;"|"&amp;$D382&amp;"|"&amp;S$14&amp;"|"&amp;"CY2022Q4",Spectrum!$R:$R,0)),0),""))</f>
        <v>884</v>
      </c>
      <c r="T382" s="39" t="n">
        <f aca="false">IF(LEFT($B382,4)="_Mil","",_xlfn.IFNA(ROUND(INDEX(Spectrum!$N:$N,MATCH(RIGHT($B382,13)&amp;"|"&amp;$C382&amp;"|"&amp;$D382&amp;"|"&amp;T$14&amp;"|"&amp;"CY2023Q3",Spectrum!$R:$R,0)),0),""))</f>
        <v>1888</v>
      </c>
      <c r="U382" s="39" t="str">
        <f aca="false">IF(LEFT($B382,4)="_Mil","",_xlfn.IFNA(ROUND(INDEX(Spectrum!$N:$N,MATCH(RIGHT($B382,13)&amp;"|"&amp;$C382&amp;"|"&amp;$D382&amp;"|"&amp;U$14&amp;"|"&amp;"CY2023Q3",Spectrum!$R:$R,0)),0),""))</f>
        <v/>
      </c>
      <c r="V382" s="10" t="n">
        <f aca="false">IF(LEFT($B382,4)="_Mil","",_xlfn.IFNA(ROUND(INDEX(Spectrum!$N:$N,MATCH(RIGHT($B382,13)&amp;"|"&amp;$C382&amp;"|"&amp;$D382&amp;"|"&amp;V$14&amp;"|"&amp;"CY2023Q3",Spectrum!$R:$R,0)),0),""))</f>
        <v>1375</v>
      </c>
      <c r="W382" s="113" t="n">
        <f aca="false">IF(LEFT($B382,4)="_Mil","",_xlfn.IFNA(INDEX(Spectrum!$N:$N,MATCH(RIGHT($B382,13)&amp;"|"&amp;$C382&amp;"|"&amp;$D382&amp;"|"&amp;W$14&amp;"|"&amp;"CY2023Q3",Spectrum!$R:$R,0)),""))</f>
        <v>1725</v>
      </c>
      <c r="X382" s="39" t="n">
        <f aca="false">IF(LEFT($B382,4)="_Mil","",_xlfn.IFNA(ROUND(INDEX(Spectrum!$N:$N,MATCH(RIGHT($B382,13)&amp;"|"&amp;$C382&amp;"|"&amp;$D382&amp;"|"&amp;X$14&amp;"|"&amp;"CY2023Q3",Spectrum!$R:$R,0)),0),""))</f>
        <v>1191</v>
      </c>
      <c r="Y382" s="88" t="str">
        <f aca="false">IF(OR(SUM($U382)=0,LEFT($B382,4)="_Mil"),"",SUM($X382)/$U382)</f>
        <v/>
      </c>
      <c r="Z382" s="39" t="n">
        <f aca="false">IF(LEFT($B382,4)="_Mil","",_xlfn.IFNA(ROUND(INDEX(Spectrum!$N:$N,MATCH(RIGHT($B382,13)&amp;"|"&amp;$C382&amp;"|"&amp;$D382&amp;"|"&amp;Z$14&amp;"|"&amp;"CY2023Q3",Spectrum!$R:$R,0)),0),""))</f>
        <v>1713</v>
      </c>
      <c r="AA382" s="88" t="n">
        <f aca="false">IF(LEFT($B382,4)="_Mil","",IFERROR(1/(1/INDEX(Spectrum!$N:$N,MATCH(RIGHT($B382,13)&amp;"|"&amp;$C382&amp;"|"&amp;$D382&amp;"|"&amp;AA$14&amp;"|"&amp;"CY2023Q3",Spectrum!$R:$R,0))),IF(SUM($U382)=0,"",SUM($Z382)/$U382)))</f>
        <v>517</v>
      </c>
      <c r="AB382" s="88" t="n">
        <f aca="false">IF(OR(LEFT($B382,4)="_Mil",SUM($X382)=0),"",SUM($Z382)/$X382)</f>
        <v>1.43828715365239</v>
      </c>
      <c r="AC382" s="10" t="n">
        <f aca="false">IF(LEFT($B382,4)="_Mil","",_xlfn.IFNA(ROUND(INDEX(Spectrum!$N:$N,MATCH(RIGHT($B382,13)&amp;"|"&amp;$C382&amp;"|"&amp;$D382&amp;"|"&amp;AC$14&amp;"|"&amp;"CY2023Q3",Spectrum!$R:$R,0)),0),""))</f>
        <v>1017</v>
      </c>
      <c r="AD382" s="10" t="str">
        <f aca="false">IF(LEFT($B382,4)="_Mil","",_xlfn.IFNA(ROUND(INDEX(Spectrum!$N:$N,MATCH(RIGHT($B382,13)&amp;"|"&amp;$C382&amp;"|"&amp;$D382&amp;"|"&amp;AD$14&amp;"|"&amp;"CY2023Q3",Spectrum!$R:$R,0)),0),""))</f>
        <v/>
      </c>
      <c r="AE382" s="88" t="n">
        <f aca="false">IF(OR(LEFT($B382,4)="_Mil",SUM($Z382)=0),"",SUM($AD382)/$Z382)</f>
        <v>0</v>
      </c>
      <c r="AF382" s="39" t="str">
        <f aca="false">IF(LEFT($B382,4)="_Mil","",_xlfn.IFNA(ROUND(INDEX(Spectrum!$N:$N,MATCH(RIGHT($B382,13)&amp;"|"&amp;$C382&amp;"|"&amp;$D382&amp;"|"&amp;AF$14&amp;"|"&amp;"CY2023Q3",Spectrum!$R:$R,0)),0),""))</f>
        <v/>
      </c>
      <c r="AG382" s="88" t="str">
        <f aca="false">IF(OR(LEFT($B382,4)="_Mil",SUM($AD382)=0),"",SUM($AF382)/$AD382)</f>
        <v/>
      </c>
      <c r="AH382" s="86" t="str">
        <f aca="false">IF(LEFT($B382,4)="_Mil","",_xlfn.IFNA(INDEX(Spectrum!$N:$N,MATCH(RIGHT($B382,13)&amp;"|"&amp;$C382&amp;"|"&amp;$D382&amp;"|"&amp;AH$14&amp;"|"&amp;"CY2023Q3",Spectrum!$R:$R,0)),""))</f>
        <v/>
      </c>
      <c r="AI382" s="10" t="str">
        <f aca="false">IF(LEFT($B382,4)="_Mil","",_xlfn.IFNA(ROUND(INDEX(Spectrum!$N:$N,MATCH(RIGHT($B382,13)&amp;"|"&amp;$C382&amp;"|"&amp;$D382&amp;"|"&amp;AI$14&amp;"|"&amp;"CY2023Q3",Spectrum!$R:$R,0)),0),""))</f>
        <v/>
      </c>
      <c r="AJ382" s="39" t="n">
        <f aca="false">IF(LEFT($B382,4)="_Mil","",_xlfn.IFNA(ROUND(INDEX(Spectrum!$N:$N,MATCH(RIGHT($B382,13)&amp;"|"&amp;$C382&amp;"|"&amp;$D382&amp;"|"&amp;AI$14&amp;"|"&amp;"CY2023Q3",Spectrum!$R:$R,0)),0),SUM($U382)+SUM($AI382)))</f>
        <v>0</v>
      </c>
      <c r="AK382" s="10" t="str">
        <f aca="false">IF(LEFT($B382,4)="_Mil","",_xlfn.IFNA(ROUND(INDEX(Spectrum!$N:$N,MATCH(RIGHT($B382,13)&amp;"|"&amp;$C382&amp;"|"&amp;$D382&amp;"|"&amp;AK$14&amp;"|"&amp;"CY2023Q3",Spectrum!$R:$R,0)),0),""))</f>
        <v/>
      </c>
      <c r="AL382" s="88" t="n">
        <f aca="false">IF(OR(LEFT($B382,4)="_Mil",$C382="&lt;01"),"",MAX(SUM($AA382),90%))</f>
        <v>517</v>
      </c>
      <c r="AM382" s="10" t="n">
        <f aca="false">IF(OR(LEFT($B382,4)="_Mil",$C382="&lt;01"),"",ROUND(SUM($AJ382)*SUM($AL382),0))</f>
        <v>0</v>
      </c>
      <c r="AN382" s="10" t="str">
        <f aca="false">IF($C382="&lt;01",ROUND(INDEX(EID!$P:$P,MATCH($B382,EID!$B:$B,0))/2,0),"")</f>
        <v/>
      </c>
      <c r="AO382" s="10" t="n">
        <f aca="false">IF($C382="&lt;01",SUM($AN382),ROUND(SUM($AM382)*SUM($O382)/IF(SUM($Z382)=0,1,$Z382),0))</f>
        <v>0</v>
      </c>
      <c r="AP382" s="39" t="n">
        <f aca="false">IF(OR($F382="",$C382="&lt;01"),$AO382,$F382)</f>
        <v>0</v>
      </c>
      <c r="AQ382" s="39" t="n">
        <f aca="false">IF(LEFT($B382,4)="_Mil","",IF(SUM($AP382)=0,SUM($Z382),IF(OR(SUM($Z382)=0,SUM($O382)=0),MAX($AP382,$Z382),$AP382*$Z382/$O382)))</f>
        <v>1713</v>
      </c>
      <c r="AR382" s="88" t="str">
        <f aca="false">IF(OR(LEFT($B382,4)="_Mil",SUM($AJ382)=0),"",SUM($AQ382)/$AJ382)</f>
        <v/>
      </c>
      <c r="AS382" s="88" t="n">
        <f aca="false">IF($C382="&lt;01","",98%)</f>
        <v>0.98</v>
      </c>
      <c r="AT382" s="88" t="n">
        <f aca="false">IF($C382="&lt;01","",98%)</f>
        <v>0.98</v>
      </c>
      <c r="AU382" s="10" t="n">
        <f aca="false">IF($C382="&lt;01","",SUM($AP382)-SUM($O382))</f>
        <v>0</v>
      </c>
      <c r="AV382" s="10" t="n">
        <f aca="false">IF($C382="&lt;01",ROUND(INDEX(EID!$N:$N,MATCH($B382,EID!$B:$B,0))/2,0),IF(SUM($AT382)=0,"",ROUND((SUM($AP382)-(SUM($O382)*SUM($AS382)))/$AT382,0)))</f>
        <v>0</v>
      </c>
      <c r="AW382" s="88" t="n">
        <f aca="false">IF($C382="&lt;01","",100%)</f>
        <v>1</v>
      </c>
      <c r="AX382" s="39" t="n">
        <f aca="false">IF($C382="&lt;01",SUM($AV382),ROUND(SUM($AV382)*SUM($AW382),0))</f>
        <v>0</v>
      </c>
      <c r="AY382" s="114" t="n">
        <f aca="false">IF($C382="&lt;01","",70%)</f>
        <v>0.7</v>
      </c>
      <c r="AZ382" s="91" t="n">
        <f aca="false">IF($C382="&lt;01",ROUND(INDEX(EID!$R:$R,MATCH($B382,EID!$B:$B,0))/2,0),ROUND(SUM($O382)+(SUM($AV382)*$AY382),0))</f>
        <v>0</v>
      </c>
      <c r="BA382" s="87" t="n">
        <f aca="false">IF($C382="&lt;01","",95%)</f>
        <v>0.95</v>
      </c>
      <c r="BB382" s="5" t="n">
        <f aca="false">IF($C382="&lt;01",ROUND(INDEX(EID!$T:$T,MATCH($B382,EID!$B:$B,0))/2,0),ROUND($AZ382*$BA382,0))</f>
        <v>0</v>
      </c>
      <c r="BC382" s="91" t="n">
        <f aca="false">IF(LEFT($B382,4)="_Mil","",IF(SUM($BB382)=0,SUM($AD382),IF(OR(SUM($AP382)=0,SUM($AQ382)=0),MAX($BB382,$AD382),ROUND($BB382*$AQ382/$AP382,0))))</f>
        <v>0</v>
      </c>
      <c r="BD382" s="88" t="n">
        <f aca="false">IF($C382="&lt;01","",95%)</f>
        <v>0.95</v>
      </c>
      <c r="BE382" s="39" t="n">
        <f aca="false">IF($C382="&lt;01",ROUND(INDEX(EID!$V:$V,MATCH($B382,EID!$B:$B,0))/2,0),ROUND($BD382*$BB382,0))</f>
        <v>0</v>
      </c>
      <c r="BF382" s="39" t="n">
        <f aca="false">IF(LEFT($B382,4)="_Mil","",IF(SUM($BE382)=0,SUM($AF382),IF(OR(SUM($AP382)=0,SUM($AQ382)=0),MAX($BE382,$AF382),ROUND($BE382*$AQ382/$AP382,0))))</f>
        <v>0</v>
      </c>
      <c r="BG382" s="114" t="n">
        <f aca="false">IF($C382="&lt;01","",95%)</f>
        <v>0.95</v>
      </c>
      <c r="BH382" s="5" t="n">
        <f aca="false">IF($C382="&lt;01",ROUND(INDEX(EID!$L:$L,MATCH($B382,EID!$B:$B,0)),0)/2,IF(SUM($BG382)=0,"",ROUND($AX382/$BG382,0)))</f>
        <v>0</v>
      </c>
    </row>
    <row r="383" customFormat="false" ht="15" hidden="false" customHeight="false" outlineLevel="0" collapsed="false">
      <c r="A383" s="0" t="str">
        <f aca="false">INDEX(Prioritization!$D:$D,MATCH($B383,Prioritization!$A:$A,0))</f>
        <v>INVALID</v>
      </c>
      <c r="B383" s="0" t="s">
        <v>220</v>
      </c>
      <c r="C383" s="0" t="s">
        <v>364</v>
      </c>
      <c r="D383" s="0" t="s">
        <v>30</v>
      </c>
      <c r="E383" s="0" t="str">
        <f aca="false">$B383&amp;"|"&amp;$C383&amp;"|"&amp;$D383</f>
        <v>Phalombe District [AZyWpGzhcaA]|10-14|Female</v>
      </c>
      <c r="F383" s="10"/>
      <c r="G383" s="10" t="n">
        <v>3</v>
      </c>
      <c r="H383" s="10" t="n">
        <v>2</v>
      </c>
      <c r="I383" s="10" t="n">
        <v>65</v>
      </c>
      <c r="J383" s="10" t="n">
        <v>69</v>
      </c>
      <c r="K383" s="10" t="n">
        <v>77</v>
      </c>
      <c r="L383" s="10" t="n">
        <v>1</v>
      </c>
      <c r="M383" s="10" t="n">
        <v>0</v>
      </c>
      <c r="N383" s="10" t="n">
        <v>63</v>
      </c>
      <c r="O383" s="10" t="n">
        <f aca="false">IFERROR(1/(1/MAX($I383,$N383)),"")</f>
        <v>65</v>
      </c>
      <c r="P383" s="10" t="n">
        <v>95</v>
      </c>
      <c r="Q383" s="10" t="n">
        <v>57</v>
      </c>
      <c r="R383" s="10" t="n">
        <f aca="false">IF(AND(SUM($I383)=0,SUM($O383)=0),"",SUM($O383)-$I383)</f>
        <v>0</v>
      </c>
      <c r="S383" s="10" t="n">
        <f aca="false">IF(LEFT($B383,4)="_Mil","",_xlfn.IFNA(ROUND(INDEX(Spectrum!$N:$N,MATCH(RIGHT($B383,13)&amp;"|"&amp;$C383&amp;"|"&amp;$D383&amp;"|"&amp;S$14&amp;"|"&amp;"CY2022Q4",Spectrum!$R:$R,0)),0),""))</f>
        <v>917</v>
      </c>
      <c r="T383" s="39" t="n">
        <f aca="false">IF(LEFT($B383,4)="_Mil","",_xlfn.IFNA(ROUND(INDEX(Spectrum!$N:$N,MATCH(RIGHT($B383,13)&amp;"|"&amp;$C383&amp;"|"&amp;$D383&amp;"|"&amp;T$14&amp;"|"&amp;"CY2023Q3",Spectrum!$R:$R,0)),0),""))</f>
        <v>678</v>
      </c>
      <c r="U383" s="39" t="str">
        <f aca="false">IF(LEFT($B383,4)="_Mil","",_xlfn.IFNA(ROUND(INDEX(Spectrum!$N:$N,MATCH(RIGHT($B383,13)&amp;"|"&amp;$C383&amp;"|"&amp;$D383&amp;"|"&amp;U$14&amp;"|"&amp;"CY2023Q3",Spectrum!$R:$R,0)),0),""))</f>
        <v/>
      </c>
      <c r="V383" s="10" t="n">
        <f aca="false">IF(LEFT($B383,4)="_Mil","",_xlfn.IFNA(ROUND(INDEX(Spectrum!$N:$N,MATCH(RIGHT($B383,13)&amp;"|"&amp;$C383&amp;"|"&amp;$D383&amp;"|"&amp;V$14&amp;"|"&amp;"CY2023Q3",Spectrum!$R:$R,0)),0),""))</f>
        <v>874</v>
      </c>
      <c r="W383" s="113" t="n">
        <f aca="false">IF(LEFT($B383,4)="_Mil","",_xlfn.IFNA(INDEX(Spectrum!$N:$N,MATCH(RIGHT($B383,13)&amp;"|"&amp;$C383&amp;"|"&amp;$D383&amp;"|"&amp;W$14&amp;"|"&amp;"CY2023Q3",Spectrum!$R:$R,0)),""))</f>
        <v>1592</v>
      </c>
      <c r="X383" s="39" t="n">
        <f aca="false">IF(LEFT($B383,4)="_Mil","",_xlfn.IFNA(ROUND(INDEX(Spectrum!$N:$N,MATCH(RIGHT($B383,13)&amp;"|"&amp;$C383&amp;"|"&amp;$D383&amp;"|"&amp;X$14&amp;"|"&amp;"CY2023Q3",Spectrum!$R:$R,0)),0),""))</f>
        <v>1244</v>
      </c>
      <c r="Y383" s="88" t="str">
        <f aca="false">IF(OR(SUM($U383)=0,LEFT($B383,4)="_Mil"),"",SUM($X383)/$U383)</f>
        <v/>
      </c>
      <c r="Z383" s="39" t="n">
        <f aca="false">IF(LEFT($B383,4)="_Mil","",_xlfn.IFNA(ROUND(INDEX(Spectrum!$N:$N,MATCH(RIGHT($B383,13)&amp;"|"&amp;$C383&amp;"|"&amp;$D383&amp;"|"&amp;Z$14&amp;"|"&amp;"CY2023Q3",Spectrum!$R:$R,0)),0),""))</f>
        <v>1484</v>
      </c>
      <c r="AA383" s="88" t="n">
        <f aca="false">IF(LEFT($B383,4)="_Mil","",IFERROR(1/(1/INDEX(Spectrum!$N:$N,MATCH(RIGHT($B383,13)&amp;"|"&amp;$C383&amp;"|"&amp;$D383&amp;"|"&amp;AA$14&amp;"|"&amp;"CY2023Q3",Spectrum!$R:$R,0))),IF(SUM($U383)=0,"",SUM($Z383)/$U383)))</f>
        <v>858</v>
      </c>
      <c r="AB383" s="88" t="n">
        <f aca="false">IF(OR(LEFT($B383,4)="_Mil",SUM($X383)=0),"",SUM($Z383)/$X383)</f>
        <v>1.19292604501608</v>
      </c>
      <c r="AC383" s="10" t="n">
        <f aca="false">IF(LEFT($B383,4)="_Mil","",_xlfn.IFNA(ROUND(INDEX(Spectrum!$N:$N,MATCH(RIGHT($B383,13)&amp;"|"&amp;$C383&amp;"|"&amp;$D383&amp;"|"&amp;AC$14&amp;"|"&amp;"CY2023Q3",Spectrum!$R:$R,0)),0),""))</f>
        <v>1306</v>
      </c>
      <c r="AD383" s="10" t="str">
        <f aca="false">IF(LEFT($B383,4)="_Mil","",_xlfn.IFNA(ROUND(INDEX(Spectrum!$N:$N,MATCH(RIGHT($B383,13)&amp;"|"&amp;$C383&amp;"|"&amp;$D383&amp;"|"&amp;AD$14&amp;"|"&amp;"CY2023Q3",Spectrum!$R:$R,0)),0),""))</f>
        <v/>
      </c>
      <c r="AE383" s="88" t="n">
        <f aca="false">IF(OR(LEFT($B383,4)="_Mil",SUM($Z383)=0),"",SUM($AD383)/$Z383)</f>
        <v>0</v>
      </c>
      <c r="AF383" s="39" t="str">
        <f aca="false">IF(LEFT($B383,4)="_Mil","",_xlfn.IFNA(ROUND(INDEX(Spectrum!$N:$N,MATCH(RIGHT($B383,13)&amp;"|"&amp;$C383&amp;"|"&amp;$D383&amp;"|"&amp;AF$14&amp;"|"&amp;"CY2023Q3",Spectrum!$R:$R,0)),0),""))</f>
        <v/>
      </c>
      <c r="AG383" s="88" t="str">
        <f aca="false">IF(OR(LEFT($B383,4)="_Mil",SUM($AD383)=0),"",SUM($AF383)/$AD383)</f>
        <v/>
      </c>
      <c r="AH383" s="86" t="str">
        <f aca="false">IF(LEFT($B383,4)="_Mil","",_xlfn.IFNA(INDEX(Spectrum!$N:$N,MATCH(RIGHT($B383,13)&amp;"|"&amp;$C383&amp;"|"&amp;$D383&amp;"|"&amp;AH$14&amp;"|"&amp;"CY2023Q3",Spectrum!$R:$R,0)),""))</f>
        <v/>
      </c>
      <c r="AI383" s="10" t="str">
        <f aca="false">IF(LEFT($B383,4)="_Mil","",_xlfn.IFNA(ROUND(INDEX(Spectrum!$N:$N,MATCH(RIGHT($B383,13)&amp;"|"&amp;$C383&amp;"|"&amp;$D383&amp;"|"&amp;AI$14&amp;"|"&amp;"CY2023Q3",Spectrum!$R:$R,0)),0),""))</f>
        <v/>
      </c>
      <c r="AJ383" s="39" t="n">
        <f aca="false">IF(LEFT($B383,4)="_Mil","",_xlfn.IFNA(ROUND(INDEX(Spectrum!$N:$N,MATCH(RIGHT($B383,13)&amp;"|"&amp;$C383&amp;"|"&amp;$D383&amp;"|"&amp;AI$14&amp;"|"&amp;"CY2023Q3",Spectrum!$R:$R,0)),0),SUM($U383)+SUM($AI383)))</f>
        <v>0</v>
      </c>
      <c r="AK383" s="10" t="str">
        <f aca="false">IF(LEFT($B383,4)="_Mil","",_xlfn.IFNA(ROUND(INDEX(Spectrum!$N:$N,MATCH(RIGHT($B383,13)&amp;"|"&amp;$C383&amp;"|"&amp;$D383&amp;"|"&amp;AK$14&amp;"|"&amp;"CY2023Q3",Spectrum!$R:$R,0)),0),""))</f>
        <v/>
      </c>
      <c r="AL383" s="88" t="n">
        <f aca="false">IF(OR(LEFT($B383,4)="_Mil",$C383="&lt;01"),"",MAX(SUM($AA383),90%))</f>
        <v>858</v>
      </c>
      <c r="AM383" s="10" t="n">
        <f aca="false">IF(OR(LEFT($B383,4)="_Mil",$C383="&lt;01"),"",ROUND(SUM($AJ383)*SUM($AL383),0))</f>
        <v>0</v>
      </c>
      <c r="AN383" s="10" t="str">
        <f aca="false">IF($C383="&lt;01",ROUND(INDEX(EID!$P:$P,MATCH($B383,EID!$B:$B,0))/2,0),"")</f>
        <v/>
      </c>
      <c r="AO383" s="10" t="n">
        <f aca="false">IF($C383="&lt;01",SUM($AN383),ROUND(SUM($AM383)*SUM($O383)/IF(SUM($Z383)=0,1,$Z383),0))</f>
        <v>0</v>
      </c>
      <c r="AP383" s="39" t="n">
        <f aca="false">IF(OR($F383="",$C383="&lt;01"),$AO383,$F383)</f>
        <v>0</v>
      </c>
      <c r="AQ383" s="39" t="n">
        <f aca="false">IF(LEFT($B383,4)="_Mil","",IF(SUM($AP383)=0,SUM($Z383),IF(OR(SUM($Z383)=0,SUM($O383)=0),MAX($AP383,$Z383),$AP383*$Z383/$O383)))</f>
        <v>1484</v>
      </c>
      <c r="AR383" s="88" t="str">
        <f aca="false">IF(OR(LEFT($B383,4)="_Mil",SUM($AJ383)=0),"",SUM($AQ383)/$AJ383)</f>
        <v/>
      </c>
      <c r="AS383" s="88" t="n">
        <f aca="false">IF($C383="&lt;01","",98%)</f>
        <v>0.98</v>
      </c>
      <c r="AT383" s="88" t="n">
        <f aca="false">IF($C383="&lt;01","",98%)</f>
        <v>0.98</v>
      </c>
      <c r="AU383" s="10" t="n">
        <f aca="false">IF($C383="&lt;01","",SUM($AP383)-SUM($O383))</f>
        <v>-65</v>
      </c>
      <c r="AV383" s="10" t="n">
        <f aca="false">IF($C383="&lt;01",ROUND(INDEX(EID!$N:$N,MATCH($B383,EID!$B:$B,0))/2,0),IF(SUM($AT383)=0,"",ROUND((SUM($AP383)-(SUM($O383)*SUM($AS383)))/$AT383,0)))</f>
        <v>-65</v>
      </c>
      <c r="AW383" s="88" t="n">
        <f aca="false">IF($C383="&lt;01","",100%)</f>
        <v>1</v>
      </c>
      <c r="AX383" s="39" t="n">
        <f aca="false">IF($C383="&lt;01",SUM($AV383),ROUND(SUM($AV383)*SUM($AW383),0))</f>
        <v>-65</v>
      </c>
      <c r="AY383" s="114" t="n">
        <f aca="false">IF($C383="&lt;01","",70%)</f>
        <v>0.7</v>
      </c>
      <c r="AZ383" s="91" t="n">
        <f aca="false">IF($C383="&lt;01",ROUND(INDEX(EID!$R:$R,MATCH($B383,EID!$B:$B,0))/2,0),ROUND(SUM($O383)+(SUM($AV383)*$AY383),0))</f>
        <v>20</v>
      </c>
      <c r="BA383" s="87" t="n">
        <f aca="false">IF($C383="&lt;01","",95%)</f>
        <v>0.95</v>
      </c>
      <c r="BB383" s="5" t="n">
        <f aca="false">IF($C383="&lt;01",ROUND(INDEX(EID!$T:$T,MATCH($B383,EID!$B:$B,0))/2,0),ROUND($AZ383*$BA383,0))</f>
        <v>19</v>
      </c>
      <c r="BC383" s="91" t="n">
        <f aca="false">IF(LEFT($B383,4)="_Mil","",IF(SUM($BB383)=0,SUM($AD383),IF(OR(SUM($AP383)=0,SUM($AQ383)=0),MAX($BB383,$AD383),ROUND($BB383*$AQ383/$AP383,0))))</f>
        <v>19</v>
      </c>
      <c r="BD383" s="88" t="n">
        <f aca="false">IF($C383="&lt;01","",95%)</f>
        <v>0.95</v>
      </c>
      <c r="BE383" s="39" t="n">
        <f aca="false">IF($C383="&lt;01",ROUND(INDEX(EID!$V:$V,MATCH($B383,EID!$B:$B,0))/2,0),ROUND($BD383*$BB383,0))</f>
        <v>18</v>
      </c>
      <c r="BF383" s="39" t="n">
        <f aca="false">IF(LEFT($B383,4)="_Mil","",IF(SUM($BE383)=0,SUM($AF383),IF(OR(SUM($AP383)=0,SUM($AQ383)=0),MAX($BE383,$AF383),ROUND($BE383*$AQ383/$AP383,0))))</f>
        <v>18</v>
      </c>
      <c r="BG383" s="114" t="n">
        <f aca="false">IF($C383="&lt;01","",95%)</f>
        <v>0.95</v>
      </c>
      <c r="BH383" s="5" t="n">
        <f aca="false">IF($C383="&lt;01",ROUND(INDEX(EID!$L:$L,MATCH($B383,EID!$B:$B,0)),0)/2,IF(SUM($BG383)=0,"",ROUND($AX383/$BG383,0)))</f>
        <v>-68</v>
      </c>
    </row>
    <row r="384" customFormat="false" ht="15" hidden="false" customHeight="false" outlineLevel="0" collapsed="false">
      <c r="A384" s="0" t="str">
        <f aca="false">INDEX(Prioritization!$D:$D,MATCH($B384,Prioritization!$A:$A,0))</f>
        <v>INVALID</v>
      </c>
      <c r="B384" s="0" t="s">
        <v>220</v>
      </c>
      <c r="C384" s="0" t="s">
        <v>364</v>
      </c>
      <c r="D384" s="0" t="s">
        <v>48</v>
      </c>
      <c r="E384" s="0" t="str">
        <f aca="false">$B384&amp;"|"&amp;$C384&amp;"|"&amp;$D384</f>
        <v>Phalombe District [AZyWpGzhcaA]|10-14|Male</v>
      </c>
      <c r="F384" s="10"/>
      <c r="G384" s="10" t="n">
        <v>5</v>
      </c>
      <c r="H384" s="10" t="n">
        <v>9</v>
      </c>
      <c r="I384" s="10" t="n">
        <v>84</v>
      </c>
      <c r="J384" s="10" t="n">
        <v>36</v>
      </c>
      <c r="K384" s="10" t="n">
        <v>44</v>
      </c>
      <c r="L384" s="10" t="n">
        <v>0</v>
      </c>
      <c r="M384" s="10" t="n">
        <v>0</v>
      </c>
      <c r="N384" s="10" t="n">
        <v>79</v>
      </c>
      <c r="O384" s="10" t="n">
        <f aca="false">IFERROR(1/(1/MAX($I384,$N384)),"")</f>
        <v>84</v>
      </c>
      <c r="P384" s="10" t="n">
        <v>41</v>
      </c>
      <c r="Q384" s="10" t="n">
        <v>54</v>
      </c>
      <c r="R384" s="10" t="n">
        <f aca="false">IF(AND(SUM($I384)=0,SUM($O384)=0),"",SUM($O384)-$I384)</f>
        <v>0</v>
      </c>
      <c r="S384" s="10" t="n">
        <f aca="false">IF(LEFT($B384,4)="_Mil","",_xlfn.IFNA(ROUND(INDEX(Spectrum!$N:$N,MATCH(RIGHT($B384,13)&amp;"|"&amp;$C384&amp;"|"&amp;$D384&amp;"|"&amp;S$14&amp;"|"&amp;"CY2022Q4",Spectrum!$R:$R,0)),0),""))</f>
        <v>1755</v>
      </c>
      <c r="T384" s="39" t="n">
        <f aca="false">IF(LEFT($B384,4)="_Mil","",_xlfn.IFNA(ROUND(INDEX(Spectrum!$N:$N,MATCH(RIGHT($B384,13)&amp;"|"&amp;$C384&amp;"|"&amp;$D384&amp;"|"&amp;T$14&amp;"|"&amp;"CY2023Q3",Spectrum!$R:$R,0)),0),""))</f>
        <v>1714</v>
      </c>
      <c r="U384" s="39" t="str">
        <f aca="false">IF(LEFT($B384,4)="_Mil","",_xlfn.IFNA(ROUND(INDEX(Spectrum!$N:$N,MATCH(RIGHT($B384,13)&amp;"|"&amp;$C384&amp;"|"&amp;$D384&amp;"|"&amp;U$14&amp;"|"&amp;"CY2023Q3",Spectrum!$R:$R,0)),0),""))</f>
        <v/>
      </c>
      <c r="V384" s="10" t="n">
        <f aca="false">IF(LEFT($B384,4)="_Mil","",_xlfn.IFNA(ROUND(INDEX(Spectrum!$N:$N,MATCH(RIGHT($B384,13)&amp;"|"&amp;$C384&amp;"|"&amp;$D384&amp;"|"&amp;V$14&amp;"|"&amp;"CY2023Q3",Spectrum!$R:$R,0)),0),""))</f>
        <v>553</v>
      </c>
      <c r="W384" s="113" t="n">
        <f aca="false">IF(LEFT($B384,4)="_Mil","",_xlfn.IFNA(INDEX(Spectrum!$N:$N,MATCH(RIGHT($B384,13)&amp;"|"&amp;$C384&amp;"|"&amp;$D384&amp;"|"&amp;W$14&amp;"|"&amp;"CY2023Q3",Spectrum!$R:$R,0)),""))</f>
        <v>1625</v>
      </c>
      <c r="X384" s="39" t="n">
        <f aca="false">IF(LEFT($B384,4)="_Mil","",_xlfn.IFNA(ROUND(INDEX(Spectrum!$N:$N,MATCH(RIGHT($B384,13)&amp;"|"&amp;$C384&amp;"|"&amp;$D384&amp;"|"&amp;X$14&amp;"|"&amp;"CY2023Q3",Spectrum!$R:$R,0)),0),""))</f>
        <v>545</v>
      </c>
      <c r="Y384" s="88" t="str">
        <f aca="false">IF(OR(SUM($U384)=0,LEFT($B384,4)="_Mil"),"",SUM($X384)/$U384)</f>
        <v/>
      </c>
      <c r="Z384" s="39" t="n">
        <f aca="false">IF(LEFT($B384,4)="_Mil","",_xlfn.IFNA(ROUND(INDEX(Spectrum!$N:$N,MATCH(RIGHT($B384,13)&amp;"|"&amp;$C384&amp;"|"&amp;$D384&amp;"|"&amp;Z$14&amp;"|"&amp;"CY2023Q3",Spectrum!$R:$R,0)),0),""))</f>
        <v>690</v>
      </c>
      <c r="AA384" s="88" t="n">
        <f aca="false">IF(LEFT($B384,4)="_Mil","",IFERROR(1/(1/INDEX(Spectrum!$N:$N,MATCH(RIGHT($B384,13)&amp;"|"&amp;$C384&amp;"|"&amp;$D384&amp;"|"&amp;AA$14&amp;"|"&amp;"CY2023Q3",Spectrum!$R:$R,0))),IF(SUM($U384)=0,"",SUM($Z384)/$U384)))</f>
        <v>1896</v>
      </c>
      <c r="AB384" s="88" t="n">
        <f aca="false">IF(OR(LEFT($B384,4)="_Mil",SUM($X384)=0),"",SUM($Z384)/$X384)</f>
        <v>1.26605504587156</v>
      </c>
      <c r="AC384" s="10" t="n">
        <f aca="false">IF(LEFT($B384,4)="_Mil","",_xlfn.IFNA(ROUND(INDEX(Spectrum!$N:$N,MATCH(RIGHT($B384,13)&amp;"|"&amp;$C384&amp;"|"&amp;$D384&amp;"|"&amp;AC$14&amp;"|"&amp;"CY2023Q3",Spectrum!$R:$R,0)),0),""))</f>
        <v>1985</v>
      </c>
      <c r="AD384" s="10" t="str">
        <f aca="false">IF(LEFT($B384,4)="_Mil","",_xlfn.IFNA(ROUND(INDEX(Spectrum!$N:$N,MATCH(RIGHT($B384,13)&amp;"|"&amp;$C384&amp;"|"&amp;$D384&amp;"|"&amp;AD$14&amp;"|"&amp;"CY2023Q3",Spectrum!$R:$R,0)),0),""))</f>
        <v/>
      </c>
      <c r="AE384" s="88" t="n">
        <f aca="false">IF(OR(LEFT($B384,4)="_Mil",SUM($Z384)=0),"",SUM($AD384)/$Z384)</f>
        <v>0</v>
      </c>
      <c r="AF384" s="39" t="str">
        <f aca="false">IF(LEFT($B384,4)="_Mil","",_xlfn.IFNA(ROUND(INDEX(Spectrum!$N:$N,MATCH(RIGHT($B384,13)&amp;"|"&amp;$C384&amp;"|"&amp;$D384&amp;"|"&amp;AF$14&amp;"|"&amp;"CY2023Q3",Spectrum!$R:$R,0)),0),""))</f>
        <v/>
      </c>
      <c r="AG384" s="88" t="str">
        <f aca="false">IF(OR(LEFT($B384,4)="_Mil",SUM($AD384)=0),"",SUM($AF384)/$AD384)</f>
        <v/>
      </c>
      <c r="AH384" s="86" t="str">
        <f aca="false">IF(LEFT($B384,4)="_Mil","",_xlfn.IFNA(INDEX(Spectrum!$N:$N,MATCH(RIGHT($B384,13)&amp;"|"&amp;$C384&amp;"|"&amp;$D384&amp;"|"&amp;AH$14&amp;"|"&amp;"CY2023Q3",Spectrum!$R:$R,0)),""))</f>
        <v/>
      </c>
      <c r="AI384" s="10" t="str">
        <f aca="false">IF(LEFT($B384,4)="_Mil","",_xlfn.IFNA(ROUND(INDEX(Spectrum!$N:$N,MATCH(RIGHT($B384,13)&amp;"|"&amp;$C384&amp;"|"&amp;$D384&amp;"|"&amp;AI$14&amp;"|"&amp;"CY2023Q3",Spectrum!$R:$R,0)),0),""))</f>
        <v/>
      </c>
      <c r="AJ384" s="39" t="n">
        <f aca="false">IF(LEFT($B384,4)="_Mil","",_xlfn.IFNA(ROUND(INDEX(Spectrum!$N:$N,MATCH(RIGHT($B384,13)&amp;"|"&amp;$C384&amp;"|"&amp;$D384&amp;"|"&amp;AI$14&amp;"|"&amp;"CY2023Q3",Spectrum!$R:$R,0)),0),SUM($U384)+SUM($AI384)))</f>
        <v>0</v>
      </c>
      <c r="AK384" s="10" t="str">
        <f aca="false">IF(LEFT($B384,4)="_Mil","",_xlfn.IFNA(ROUND(INDEX(Spectrum!$N:$N,MATCH(RIGHT($B384,13)&amp;"|"&amp;$C384&amp;"|"&amp;$D384&amp;"|"&amp;AK$14&amp;"|"&amp;"CY2023Q3",Spectrum!$R:$R,0)),0),""))</f>
        <v/>
      </c>
      <c r="AL384" s="88" t="n">
        <f aca="false">IF(OR(LEFT($B384,4)="_Mil",$C384="&lt;01"),"",MAX(SUM($AA384),90%))</f>
        <v>1896</v>
      </c>
      <c r="AM384" s="10" t="n">
        <f aca="false">IF(OR(LEFT($B384,4)="_Mil",$C384="&lt;01"),"",ROUND(SUM($AJ384)*SUM($AL384),0))</f>
        <v>0</v>
      </c>
      <c r="AN384" s="10" t="str">
        <f aca="false">IF($C384="&lt;01",ROUND(INDEX(EID!$P:$P,MATCH($B384,EID!$B:$B,0))/2,0),"")</f>
        <v/>
      </c>
      <c r="AO384" s="10" t="n">
        <f aca="false">IF($C384="&lt;01",SUM($AN384),ROUND(SUM($AM384)*SUM($O384)/IF(SUM($Z384)=0,1,$Z384),0))</f>
        <v>0</v>
      </c>
      <c r="AP384" s="39" t="n">
        <f aca="false">IF(OR($F384="",$C384="&lt;01"),$AO384,$F384)</f>
        <v>0</v>
      </c>
      <c r="AQ384" s="39" t="n">
        <f aca="false">IF(LEFT($B384,4)="_Mil","",IF(SUM($AP384)=0,SUM($Z384),IF(OR(SUM($Z384)=0,SUM($O384)=0),MAX($AP384,$Z384),$AP384*$Z384/$O384)))</f>
        <v>690</v>
      </c>
      <c r="AR384" s="88" t="str">
        <f aca="false">IF(OR(LEFT($B384,4)="_Mil",SUM($AJ384)=0),"",SUM($AQ384)/$AJ384)</f>
        <v/>
      </c>
      <c r="AS384" s="88" t="n">
        <f aca="false">IF($C384="&lt;01","",98%)</f>
        <v>0.98</v>
      </c>
      <c r="AT384" s="88" t="n">
        <f aca="false">IF($C384="&lt;01","",98%)</f>
        <v>0.98</v>
      </c>
      <c r="AU384" s="10" t="n">
        <f aca="false">IF($C384="&lt;01","",SUM($AP384)-SUM($O384))</f>
        <v>-84</v>
      </c>
      <c r="AV384" s="10" t="n">
        <f aca="false">IF($C384="&lt;01",ROUND(INDEX(EID!$N:$N,MATCH($B384,EID!$B:$B,0))/2,0),IF(SUM($AT384)=0,"",ROUND((SUM($AP384)-(SUM($O384)*SUM($AS384)))/$AT384,0)))</f>
        <v>-84</v>
      </c>
      <c r="AW384" s="88" t="n">
        <f aca="false">IF($C384="&lt;01","",100%)</f>
        <v>1</v>
      </c>
      <c r="AX384" s="39" t="n">
        <f aca="false">IF($C384="&lt;01",SUM($AV384),ROUND(SUM($AV384)*SUM($AW384),0))</f>
        <v>-84</v>
      </c>
      <c r="AY384" s="114" t="n">
        <f aca="false">IF($C384="&lt;01","",70%)</f>
        <v>0.7</v>
      </c>
      <c r="AZ384" s="91" t="n">
        <f aca="false">IF($C384="&lt;01",ROUND(INDEX(EID!$R:$R,MATCH($B384,EID!$B:$B,0))/2,0),ROUND(SUM($O384)+(SUM($AV384)*$AY384),0))</f>
        <v>25</v>
      </c>
      <c r="BA384" s="87" t="n">
        <f aca="false">IF($C384="&lt;01","",95%)</f>
        <v>0.95</v>
      </c>
      <c r="BB384" s="5" t="n">
        <f aca="false">IF($C384="&lt;01",ROUND(INDEX(EID!$T:$T,MATCH($B384,EID!$B:$B,0))/2,0),ROUND($AZ384*$BA384,0))</f>
        <v>24</v>
      </c>
      <c r="BC384" s="91" t="n">
        <f aca="false">IF(LEFT($B384,4)="_Mil","",IF(SUM($BB384)=0,SUM($AD384),IF(OR(SUM($AP384)=0,SUM($AQ384)=0),MAX($BB384,$AD384),ROUND($BB384*$AQ384/$AP384,0))))</f>
        <v>24</v>
      </c>
      <c r="BD384" s="88" t="n">
        <f aca="false">IF($C384="&lt;01","",95%)</f>
        <v>0.95</v>
      </c>
      <c r="BE384" s="39" t="n">
        <f aca="false">IF($C384="&lt;01",ROUND(INDEX(EID!$V:$V,MATCH($B384,EID!$B:$B,0))/2,0),ROUND($BD384*$BB384,0))</f>
        <v>23</v>
      </c>
      <c r="BF384" s="39" t="n">
        <f aca="false">IF(LEFT($B384,4)="_Mil","",IF(SUM($BE384)=0,SUM($AF384),IF(OR(SUM($AP384)=0,SUM($AQ384)=0),MAX($BE384,$AF384),ROUND($BE384*$AQ384/$AP384,0))))</f>
        <v>23</v>
      </c>
      <c r="BG384" s="114" t="n">
        <f aca="false">IF($C384="&lt;01","",95%)</f>
        <v>0.95</v>
      </c>
      <c r="BH384" s="5" t="n">
        <f aca="false">IF($C384="&lt;01",ROUND(INDEX(EID!$L:$L,MATCH($B384,EID!$B:$B,0)),0)/2,IF(SUM($BG384)=0,"",ROUND($AX384/$BG384,0)))</f>
        <v>-88</v>
      </c>
    </row>
    <row r="385" customFormat="false" ht="15" hidden="false" customHeight="false" outlineLevel="0" collapsed="false">
      <c r="A385" s="0" t="str">
        <f aca="false">INDEX(Prioritization!$D:$D,MATCH($B385,Prioritization!$A:$A,0))</f>
        <v>INVALID</v>
      </c>
      <c r="B385" s="0" t="s">
        <v>220</v>
      </c>
      <c r="C385" s="0" t="s">
        <v>365</v>
      </c>
      <c r="D385" s="0" t="s">
        <v>30</v>
      </c>
      <c r="E385" s="0" t="str">
        <f aca="false">$B385&amp;"|"&amp;$C385&amp;"|"&amp;$D385</f>
        <v>Phalombe District [AZyWpGzhcaA]|15-24|Female</v>
      </c>
      <c r="F385" s="10"/>
      <c r="G385" s="10"/>
      <c r="H385" s="10"/>
      <c r="I385" s="10"/>
      <c r="J385" s="10"/>
      <c r="K385" s="10"/>
      <c r="L385" s="10"/>
      <c r="M385" s="10"/>
      <c r="N385" s="10"/>
      <c r="O385" s="10" t="str">
        <f aca="false">IFERROR(1/(1/MAX($I385,$N385)),"")</f>
        <v/>
      </c>
      <c r="P385" s="10"/>
      <c r="Q385" s="10"/>
      <c r="R385" s="10" t="str">
        <f aca="false">IF(AND(SUM($I385)=0,SUM($O385)=0),"",SUM($O385)-$I385)</f>
        <v/>
      </c>
      <c r="S385" s="10" t="n">
        <f aca="false">IF(LEFT($B385,4)="_Mil","",_xlfn.IFNA(ROUND(INDEX(Spectrum!$N:$N,MATCH(RIGHT($B385,13)&amp;"|"&amp;$C385&amp;"|"&amp;$D385&amp;"|"&amp;S$14&amp;"|"&amp;"CY2022Q4",Spectrum!$R:$R,0)),0),""))</f>
        <v>735</v>
      </c>
      <c r="T385" s="39" t="n">
        <f aca="false">IF(LEFT($B385,4)="_Mil","",_xlfn.IFNA(ROUND(INDEX(Spectrum!$N:$N,MATCH(RIGHT($B385,13)&amp;"|"&amp;$C385&amp;"|"&amp;$D385&amp;"|"&amp;T$14&amp;"|"&amp;"CY2023Q3",Spectrum!$R:$R,0)),0),""))</f>
        <v>794</v>
      </c>
      <c r="U385" s="39" t="str">
        <f aca="false">IF(LEFT($B385,4)="_Mil","",_xlfn.IFNA(ROUND(INDEX(Spectrum!$N:$N,MATCH(RIGHT($B385,13)&amp;"|"&amp;$C385&amp;"|"&amp;$D385&amp;"|"&amp;U$14&amp;"|"&amp;"CY2023Q3",Spectrum!$R:$R,0)),0),""))</f>
        <v/>
      </c>
      <c r="V385" s="10" t="n">
        <f aca="false">IF(LEFT($B385,4)="_Mil","",_xlfn.IFNA(ROUND(INDEX(Spectrum!$N:$N,MATCH(RIGHT($B385,13)&amp;"|"&amp;$C385&amp;"|"&amp;$D385&amp;"|"&amp;V$14&amp;"|"&amp;"CY2023Q3",Spectrum!$R:$R,0)),0),""))</f>
        <v>564</v>
      </c>
      <c r="W385" s="113" t="n">
        <f aca="false">IF(LEFT($B385,4)="_Mil","",_xlfn.IFNA(INDEX(Spectrum!$N:$N,MATCH(RIGHT($B385,13)&amp;"|"&amp;$C385&amp;"|"&amp;$D385&amp;"|"&amp;W$14&amp;"|"&amp;"CY2023Q3",Spectrum!$R:$R,0)),""))</f>
        <v>1015</v>
      </c>
      <c r="X385" s="39" t="n">
        <f aca="false">IF(LEFT($B385,4)="_Mil","",_xlfn.IFNA(ROUND(INDEX(Spectrum!$N:$N,MATCH(RIGHT($B385,13)&amp;"|"&amp;$C385&amp;"|"&amp;$D385&amp;"|"&amp;X$14&amp;"|"&amp;"CY2023Q3",Spectrum!$R:$R,0)),0),""))</f>
        <v>1502</v>
      </c>
      <c r="Y385" s="88" t="str">
        <f aca="false">IF(OR(SUM($U385)=0,LEFT($B385,4)="_Mil"),"",SUM($X385)/$U385)</f>
        <v/>
      </c>
      <c r="Z385" s="39" t="n">
        <f aca="false">IF(LEFT($B385,4)="_Mil","",_xlfn.IFNA(ROUND(INDEX(Spectrum!$N:$N,MATCH(RIGHT($B385,13)&amp;"|"&amp;$C385&amp;"|"&amp;$D385&amp;"|"&amp;Z$14&amp;"|"&amp;"CY2023Q3",Spectrum!$R:$R,0)),0),""))</f>
        <v>652</v>
      </c>
      <c r="AA385" s="88" t="n">
        <f aca="false">IF(LEFT($B385,4)="_Mil","",IFERROR(1/(1/INDEX(Spectrum!$N:$N,MATCH(RIGHT($B385,13)&amp;"|"&amp;$C385&amp;"|"&amp;$D385&amp;"|"&amp;AA$14&amp;"|"&amp;"CY2023Q3",Spectrum!$R:$R,0))),IF(SUM($U385)=0,"",SUM($Z385)/$U385)))</f>
        <v>515</v>
      </c>
      <c r="AB385" s="88" t="n">
        <f aca="false">IF(OR(LEFT($B385,4)="_Mil",SUM($X385)=0),"",SUM($Z385)/$X385)</f>
        <v>0.434087882822903</v>
      </c>
      <c r="AC385" s="10" t="n">
        <f aca="false">IF(LEFT($B385,4)="_Mil","",_xlfn.IFNA(ROUND(INDEX(Spectrum!$N:$N,MATCH(RIGHT($B385,13)&amp;"|"&amp;$C385&amp;"|"&amp;$D385&amp;"|"&amp;AC$14&amp;"|"&amp;"CY2023Q3",Spectrum!$R:$R,0)),0),""))</f>
        <v>954</v>
      </c>
      <c r="AD385" s="10" t="str">
        <f aca="false">IF(LEFT($B385,4)="_Mil","",_xlfn.IFNA(ROUND(INDEX(Spectrum!$N:$N,MATCH(RIGHT($B385,13)&amp;"|"&amp;$C385&amp;"|"&amp;$D385&amp;"|"&amp;AD$14&amp;"|"&amp;"CY2023Q3",Spectrum!$R:$R,0)),0),""))</f>
        <v/>
      </c>
      <c r="AE385" s="88" t="n">
        <f aca="false">IF(OR(LEFT($B385,4)="_Mil",SUM($Z385)=0),"",SUM($AD385)/$Z385)</f>
        <v>0</v>
      </c>
      <c r="AF385" s="39" t="str">
        <f aca="false">IF(LEFT($B385,4)="_Mil","",_xlfn.IFNA(ROUND(INDEX(Spectrum!$N:$N,MATCH(RIGHT($B385,13)&amp;"|"&amp;$C385&amp;"|"&amp;$D385&amp;"|"&amp;AF$14&amp;"|"&amp;"CY2023Q3",Spectrum!$R:$R,0)),0),""))</f>
        <v/>
      </c>
      <c r="AG385" s="88" t="str">
        <f aca="false">IF(OR(LEFT($B385,4)="_Mil",SUM($AD385)=0),"",SUM($AF385)/$AD385)</f>
        <v/>
      </c>
      <c r="AH385" s="86" t="str">
        <f aca="false">IF(LEFT($B385,4)="_Mil","",_xlfn.IFNA(INDEX(Spectrum!$N:$N,MATCH(RIGHT($B385,13)&amp;"|"&amp;$C385&amp;"|"&amp;$D385&amp;"|"&amp;AH$14&amp;"|"&amp;"CY2023Q3",Spectrum!$R:$R,0)),""))</f>
        <v/>
      </c>
      <c r="AI385" s="10" t="str">
        <f aca="false">IF(LEFT($B385,4)="_Mil","",_xlfn.IFNA(ROUND(INDEX(Spectrum!$N:$N,MATCH(RIGHT($B385,13)&amp;"|"&amp;$C385&amp;"|"&amp;$D385&amp;"|"&amp;AI$14&amp;"|"&amp;"CY2023Q3",Spectrum!$R:$R,0)),0),""))</f>
        <v/>
      </c>
      <c r="AJ385" s="39" t="n">
        <f aca="false">IF(LEFT($B385,4)="_Mil","",_xlfn.IFNA(ROUND(INDEX(Spectrum!$N:$N,MATCH(RIGHT($B385,13)&amp;"|"&amp;$C385&amp;"|"&amp;$D385&amp;"|"&amp;AI$14&amp;"|"&amp;"CY2023Q3",Spectrum!$R:$R,0)),0),SUM($U385)+SUM($AI385)))</f>
        <v>0</v>
      </c>
      <c r="AK385" s="10" t="str">
        <f aca="false">IF(LEFT($B385,4)="_Mil","",_xlfn.IFNA(ROUND(INDEX(Spectrum!$N:$N,MATCH(RIGHT($B385,13)&amp;"|"&amp;$C385&amp;"|"&amp;$D385&amp;"|"&amp;AK$14&amp;"|"&amp;"CY2023Q3",Spectrum!$R:$R,0)),0),""))</f>
        <v/>
      </c>
      <c r="AL385" s="88" t="n">
        <f aca="false">IF(OR(LEFT($B385,4)="_Mil",$C385="&lt;01"),"",MAX(SUM($AA385),90%))</f>
        <v>515</v>
      </c>
      <c r="AM385" s="10" t="n">
        <f aca="false">IF(OR(LEFT($B385,4)="_Mil",$C385="&lt;01"),"",ROUND(SUM($AJ385)*SUM($AL385),0))</f>
        <v>0</v>
      </c>
      <c r="AN385" s="10" t="str">
        <f aca="false">IF($C385="&lt;01",ROUND(INDEX(EID!$P:$P,MATCH($B385,EID!$B:$B,0))/2,0),"")</f>
        <v/>
      </c>
      <c r="AO385" s="10" t="n">
        <f aca="false">IF($C385="&lt;01",SUM($AN385),ROUND(SUM($AM385)*SUM($O385)/IF(SUM($Z385)=0,1,$Z385),0))</f>
        <v>0</v>
      </c>
      <c r="AP385" s="39" t="n">
        <f aca="false">IF(OR($F385="",$C385="&lt;01"),$AO385,$F385)</f>
        <v>0</v>
      </c>
      <c r="AQ385" s="39" t="n">
        <f aca="false">IF(LEFT($B385,4)="_Mil","",IF(SUM($AP385)=0,SUM($Z385),IF(OR(SUM($Z385)=0,SUM($O385)=0),MAX($AP385,$Z385),$AP385*$Z385/$O385)))</f>
        <v>652</v>
      </c>
      <c r="AR385" s="88" t="str">
        <f aca="false">IF(OR(LEFT($B385,4)="_Mil",SUM($AJ385)=0),"",SUM($AQ385)/$AJ385)</f>
        <v/>
      </c>
      <c r="AS385" s="88" t="n">
        <f aca="false">IF($C385="&lt;01","",98%)</f>
        <v>0.98</v>
      </c>
      <c r="AT385" s="88" t="n">
        <f aca="false">IF($C385="&lt;01","",98%)</f>
        <v>0.98</v>
      </c>
      <c r="AU385" s="10" t="n">
        <f aca="false">IF($C385="&lt;01","",SUM($AP385)-SUM($O385))</f>
        <v>0</v>
      </c>
      <c r="AV385" s="10" t="n">
        <f aca="false">IF($C385="&lt;01",ROUND(INDEX(EID!$N:$N,MATCH($B385,EID!$B:$B,0))/2,0),IF(SUM($AT385)=0,"",ROUND((SUM($AP385)-(SUM($O385)*SUM($AS385)))/$AT385,0)))</f>
        <v>0</v>
      </c>
      <c r="AW385" s="88" t="n">
        <f aca="false">IF($C385="&lt;01","",100%)</f>
        <v>1</v>
      </c>
      <c r="AX385" s="39" t="n">
        <f aca="false">IF($C385="&lt;01",SUM($AV385),ROUND(SUM($AV385)*SUM($AW385),0))</f>
        <v>0</v>
      </c>
      <c r="AY385" s="114" t="n">
        <f aca="false">IF($C385="&lt;01","",70%)</f>
        <v>0.7</v>
      </c>
      <c r="AZ385" s="91" t="n">
        <f aca="false">IF($C385="&lt;01",ROUND(INDEX(EID!$R:$R,MATCH($B385,EID!$B:$B,0))/2,0),ROUND(SUM($O385)+(SUM($AV385)*$AY385),0))</f>
        <v>0</v>
      </c>
      <c r="BA385" s="87" t="n">
        <f aca="false">IF($C385="&lt;01","",95%)</f>
        <v>0.95</v>
      </c>
      <c r="BB385" s="5" t="n">
        <f aca="false">IF($C385="&lt;01",ROUND(INDEX(EID!$T:$T,MATCH($B385,EID!$B:$B,0))/2,0),ROUND($AZ385*$BA385,0))</f>
        <v>0</v>
      </c>
      <c r="BC385" s="91" t="n">
        <f aca="false">IF(LEFT($B385,4)="_Mil","",IF(SUM($BB385)=0,SUM($AD385),IF(OR(SUM($AP385)=0,SUM($AQ385)=0),MAX($BB385,$AD385),ROUND($BB385*$AQ385/$AP385,0))))</f>
        <v>0</v>
      </c>
      <c r="BD385" s="88" t="n">
        <f aca="false">IF($C385="&lt;01","",95%)</f>
        <v>0.95</v>
      </c>
      <c r="BE385" s="39" t="n">
        <f aca="false">IF($C385="&lt;01",ROUND(INDEX(EID!$V:$V,MATCH($B385,EID!$B:$B,0))/2,0),ROUND($BD385*$BB385,0))</f>
        <v>0</v>
      </c>
      <c r="BF385" s="39" t="n">
        <f aca="false">IF(LEFT($B385,4)="_Mil","",IF(SUM($BE385)=0,SUM($AF385),IF(OR(SUM($AP385)=0,SUM($AQ385)=0),MAX($BE385,$AF385),ROUND($BE385*$AQ385/$AP385,0))))</f>
        <v>0</v>
      </c>
      <c r="BG385" s="114" t="n">
        <f aca="false">IF($C385="&lt;01","",95%)</f>
        <v>0.95</v>
      </c>
      <c r="BH385" s="5" t="n">
        <f aca="false">IF($C385="&lt;01",ROUND(INDEX(EID!$L:$L,MATCH($B385,EID!$B:$B,0)),0)/2,IF(SUM($BG385)=0,"",ROUND($AX385/$BG385,0)))</f>
        <v>0</v>
      </c>
    </row>
    <row r="386" customFormat="false" ht="15" hidden="false" customHeight="false" outlineLevel="0" collapsed="false">
      <c r="A386" s="0" t="str">
        <f aca="false">INDEX(Prioritization!$D:$D,MATCH($B386,Prioritization!$A:$A,0))</f>
        <v>INVALID</v>
      </c>
      <c r="B386" s="0" t="s">
        <v>220</v>
      </c>
      <c r="C386" s="0" t="s">
        <v>365</v>
      </c>
      <c r="D386" s="0" t="s">
        <v>48</v>
      </c>
      <c r="E386" s="0" t="str">
        <f aca="false">$B386&amp;"|"&amp;$C386&amp;"|"&amp;$D386</f>
        <v>Phalombe District [AZyWpGzhcaA]|15-24|Male</v>
      </c>
      <c r="F386" s="10"/>
      <c r="G386" s="10"/>
      <c r="H386" s="10"/>
      <c r="I386" s="10"/>
      <c r="J386" s="10"/>
      <c r="K386" s="10"/>
      <c r="L386" s="10"/>
      <c r="M386" s="10"/>
      <c r="N386" s="10"/>
      <c r="O386" s="10" t="str">
        <f aca="false">IFERROR(1/(1/MAX($I386,$N386)),"")</f>
        <v/>
      </c>
      <c r="P386" s="10"/>
      <c r="Q386" s="10"/>
      <c r="R386" s="10" t="str">
        <f aca="false">IF(AND(SUM($I386)=0,SUM($O386)=0),"",SUM($O386)-$I386)</f>
        <v/>
      </c>
      <c r="S386" s="10" t="n">
        <f aca="false">IF(LEFT($B386,4)="_Mil","",_xlfn.IFNA(ROUND(INDEX(Spectrum!$N:$N,MATCH(RIGHT($B386,13)&amp;"|"&amp;$C386&amp;"|"&amp;$D386&amp;"|"&amp;S$14&amp;"|"&amp;"CY2022Q4",Spectrum!$R:$R,0)),0),""))</f>
        <v>829</v>
      </c>
      <c r="T386" s="39" t="n">
        <f aca="false">IF(LEFT($B386,4)="_Mil","",_xlfn.IFNA(ROUND(INDEX(Spectrum!$N:$N,MATCH(RIGHT($B386,13)&amp;"|"&amp;$C386&amp;"|"&amp;$D386&amp;"|"&amp;T$14&amp;"|"&amp;"CY2023Q3",Spectrum!$R:$R,0)),0),""))</f>
        <v>1600</v>
      </c>
      <c r="U386" s="39" t="str">
        <f aca="false">IF(LEFT($B386,4)="_Mil","",_xlfn.IFNA(ROUND(INDEX(Spectrum!$N:$N,MATCH(RIGHT($B386,13)&amp;"|"&amp;$C386&amp;"|"&amp;$D386&amp;"|"&amp;U$14&amp;"|"&amp;"CY2023Q3",Spectrum!$R:$R,0)),0),""))</f>
        <v/>
      </c>
      <c r="V386" s="10" t="n">
        <f aca="false">IF(LEFT($B386,4)="_Mil","",_xlfn.IFNA(ROUND(INDEX(Spectrum!$N:$N,MATCH(RIGHT($B386,13)&amp;"|"&amp;$C386&amp;"|"&amp;$D386&amp;"|"&amp;V$14&amp;"|"&amp;"CY2023Q3",Spectrum!$R:$R,0)),0),""))</f>
        <v>1445</v>
      </c>
      <c r="W386" s="113" t="n">
        <f aca="false">IF(LEFT($B386,4)="_Mil","",_xlfn.IFNA(INDEX(Spectrum!$N:$N,MATCH(RIGHT($B386,13)&amp;"|"&amp;$C386&amp;"|"&amp;$D386&amp;"|"&amp;W$14&amp;"|"&amp;"CY2023Q3",Spectrum!$R:$R,0)),""))</f>
        <v>602</v>
      </c>
      <c r="X386" s="39" t="n">
        <f aca="false">IF(LEFT($B386,4)="_Mil","",_xlfn.IFNA(ROUND(INDEX(Spectrum!$N:$N,MATCH(RIGHT($B386,13)&amp;"|"&amp;$C386&amp;"|"&amp;$D386&amp;"|"&amp;X$14&amp;"|"&amp;"CY2023Q3",Spectrum!$R:$R,0)),0),""))</f>
        <v>1849</v>
      </c>
      <c r="Y386" s="88" t="str">
        <f aca="false">IF(OR(SUM($U386)=0,LEFT($B386,4)="_Mil"),"",SUM($X386)/$U386)</f>
        <v/>
      </c>
      <c r="Z386" s="39" t="n">
        <f aca="false">IF(LEFT($B386,4)="_Mil","",_xlfn.IFNA(ROUND(INDEX(Spectrum!$N:$N,MATCH(RIGHT($B386,13)&amp;"|"&amp;$C386&amp;"|"&amp;$D386&amp;"|"&amp;Z$14&amp;"|"&amp;"CY2023Q3",Spectrum!$R:$R,0)),0),""))</f>
        <v>547</v>
      </c>
      <c r="AA386" s="88" t="n">
        <f aca="false">IF(LEFT($B386,4)="_Mil","",IFERROR(1/(1/INDEX(Spectrum!$N:$N,MATCH(RIGHT($B386,13)&amp;"|"&amp;$C386&amp;"|"&amp;$D386&amp;"|"&amp;AA$14&amp;"|"&amp;"CY2023Q3",Spectrum!$R:$R,0))),IF(SUM($U386)=0,"",SUM($Z386)/$U386)))</f>
        <v>1031</v>
      </c>
      <c r="AB386" s="88" t="n">
        <f aca="false">IF(OR(LEFT($B386,4)="_Mil",SUM($X386)=0),"",SUM($Z386)/$X386)</f>
        <v>0.295835586803678</v>
      </c>
      <c r="AC386" s="10" t="n">
        <f aca="false">IF(LEFT($B386,4)="_Mil","",_xlfn.IFNA(ROUND(INDEX(Spectrum!$N:$N,MATCH(RIGHT($B386,13)&amp;"|"&amp;$C386&amp;"|"&amp;$D386&amp;"|"&amp;AC$14&amp;"|"&amp;"CY2023Q3",Spectrum!$R:$R,0)),0),""))</f>
        <v>796</v>
      </c>
      <c r="AD386" s="10" t="str">
        <f aca="false">IF(LEFT($B386,4)="_Mil","",_xlfn.IFNA(ROUND(INDEX(Spectrum!$N:$N,MATCH(RIGHT($B386,13)&amp;"|"&amp;$C386&amp;"|"&amp;$D386&amp;"|"&amp;AD$14&amp;"|"&amp;"CY2023Q3",Spectrum!$R:$R,0)),0),""))</f>
        <v/>
      </c>
      <c r="AE386" s="88" t="n">
        <f aca="false">IF(OR(LEFT($B386,4)="_Mil",SUM($Z386)=0),"",SUM($AD386)/$Z386)</f>
        <v>0</v>
      </c>
      <c r="AF386" s="39" t="str">
        <f aca="false">IF(LEFT($B386,4)="_Mil","",_xlfn.IFNA(ROUND(INDEX(Spectrum!$N:$N,MATCH(RIGHT($B386,13)&amp;"|"&amp;$C386&amp;"|"&amp;$D386&amp;"|"&amp;AF$14&amp;"|"&amp;"CY2023Q3",Spectrum!$R:$R,0)),0),""))</f>
        <v/>
      </c>
      <c r="AG386" s="88" t="str">
        <f aca="false">IF(OR(LEFT($B386,4)="_Mil",SUM($AD386)=0),"",SUM($AF386)/$AD386)</f>
        <v/>
      </c>
      <c r="AH386" s="86" t="str">
        <f aca="false">IF(LEFT($B386,4)="_Mil","",_xlfn.IFNA(INDEX(Spectrum!$N:$N,MATCH(RIGHT($B386,13)&amp;"|"&amp;$C386&amp;"|"&amp;$D386&amp;"|"&amp;AH$14&amp;"|"&amp;"CY2023Q3",Spectrum!$R:$R,0)),""))</f>
        <v/>
      </c>
      <c r="AI386" s="10" t="str">
        <f aca="false">IF(LEFT($B386,4)="_Mil","",_xlfn.IFNA(ROUND(INDEX(Spectrum!$N:$N,MATCH(RIGHT($B386,13)&amp;"|"&amp;$C386&amp;"|"&amp;$D386&amp;"|"&amp;AI$14&amp;"|"&amp;"CY2023Q3",Spectrum!$R:$R,0)),0),""))</f>
        <v/>
      </c>
      <c r="AJ386" s="39" t="n">
        <f aca="false">IF(LEFT($B386,4)="_Mil","",_xlfn.IFNA(ROUND(INDEX(Spectrum!$N:$N,MATCH(RIGHT($B386,13)&amp;"|"&amp;$C386&amp;"|"&amp;$D386&amp;"|"&amp;AI$14&amp;"|"&amp;"CY2023Q3",Spectrum!$R:$R,0)),0),SUM($U386)+SUM($AI386)))</f>
        <v>0</v>
      </c>
      <c r="AK386" s="10" t="str">
        <f aca="false">IF(LEFT($B386,4)="_Mil","",_xlfn.IFNA(ROUND(INDEX(Spectrum!$N:$N,MATCH(RIGHT($B386,13)&amp;"|"&amp;$C386&amp;"|"&amp;$D386&amp;"|"&amp;AK$14&amp;"|"&amp;"CY2023Q3",Spectrum!$R:$R,0)),0),""))</f>
        <v/>
      </c>
      <c r="AL386" s="88" t="n">
        <f aca="false">IF(OR(LEFT($B386,4)="_Mil",$C386="&lt;01"),"",MAX(SUM($AA386),90%))</f>
        <v>1031</v>
      </c>
      <c r="AM386" s="10" t="n">
        <f aca="false">IF(OR(LEFT($B386,4)="_Mil",$C386="&lt;01"),"",ROUND(SUM($AJ386)*SUM($AL386),0))</f>
        <v>0</v>
      </c>
      <c r="AN386" s="10" t="str">
        <f aca="false">IF($C386="&lt;01",ROUND(INDEX(EID!$P:$P,MATCH($B386,EID!$B:$B,0))/2,0),"")</f>
        <v/>
      </c>
      <c r="AO386" s="10" t="n">
        <f aca="false">IF($C386="&lt;01",SUM($AN386),ROUND(SUM($AM386)*SUM($O386)/IF(SUM($Z386)=0,1,$Z386),0))</f>
        <v>0</v>
      </c>
      <c r="AP386" s="39" t="n">
        <f aca="false">IF(OR($F386="",$C386="&lt;01"),$AO386,$F386)</f>
        <v>0</v>
      </c>
      <c r="AQ386" s="39" t="n">
        <f aca="false">IF(LEFT($B386,4)="_Mil","",IF(SUM($AP386)=0,SUM($Z386),IF(OR(SUM($Z386)=0,SUM($O386)=0),MAX($AP386,$Z386),$AP386*$Z386/$O386)))</f>
        <v>547</v>
      </c>
      <c r="AR386" s="88" t="str">
        <f aca="false">IF(OR(LEFT($B386,4)="_Mil",SUM($AJ386)=0),"",SUM($AQ386)/$AJ386)</f>
        <v/>
      </c>
      <c r="AS386" s="88" t="n">
        <f aca="false">IF($C386="&lt;01","",98%)</f>
        <v>0.98</v>
      </c>
      <c r="AT386" s="88" t="n">
        <f aca="false">IF($C386="&lt;01","",98%)</f>
        <v>0.98</v>
      </c>
      <c r="AU386" s="10" t="n">
        <f aca="false">IF($C386="&lt;01","",SUM($AP386)-SUM($O386))</f>
        <v>0</v>
      </c>
      <c r="AV386" s="10" t="n">
        <f aca="false">IF($C386="&lt;01",ROUND(INDEX(EID!$N:$N,MATCH($B386,EID!$B:$B,0))/2,0),IF(SUM($AT386)=0,"",ROUND((SUM($AP386)-(SUM($O386)*SUM($AS386)))/$AT386,0)))</f>
        <v>0</v>
      </c>
      <c r="AW386" s="88" t="n">
        <f aca="false">IF($C386="&lt;01","",100%)</f>
        <v>1</v>
      </c>
      <c r="AX386" s="39" t="n">
        <f aca="false">IF($C386="&lt;01",SUM($AV386),ROUND(SUM($AV386)*SUM($AW386),0))</f>
        <v>0</v>
      </c>
      <c r="AY386" s="114" t="n">
        <f aca="false">IF($C386="&lt;01","",70%)</f>
        <v>0.7</v>
      </c>
      <c r="AZ386" s="91" t="n">
        <f aca="false">IF($C386="&lt;01",ROUND(INDEX(EID!$R:$R,MATCH($B386,EID!$B:$B,0))/2,0),ROUND(SUM($O386)+(SUM($AV386)*$AY386),0))</f>
        <v>0</v>
      </c>
      <c r="BA386" s="87" t="n">
        <f aca="false">IF($C386="&lt;01","",95%)</f>
        <v>0.95</v>
      </c>
      <c r="BB386" s="5" t="n">
        <f aca="false">IF($C386="&lt;01",ROUND(INDEX(EID!$T:$T,MATCH($B386,EID!$B:$B,0))/2,0),ROUND($AZ386*$BA386,0))</f>
        <v>0</v>
      </c>
      <c r="BC386" s="91" t="n">
        <f aca="false">IF(LEFT($B386,4)="_Mil","",IF(SUM($BB386)=0,SUM($AD386),IF(OR(SUM($AP386)=0,SUM($AQ386)=0),MAX($BB386,$AD386),ROUND($BB386*$AQ386/$AP386,0))))</f>
        <v>0</v>
      </c>
      <c r="BD386" s="88" t="n">
        <f aca="false">IF($C386="&lt;01","",95%)</f>
        <v>0.95</v>
      </c>
      <c r="BE386" s="39" t="n">
        <f aca="false">IF($C386="&lt;01",ROUND(INDEX(EID!$V:$V,MATCH($B386,EID!$B:$B,0))/2,0),ROUND($BD386*$BB386,0))</f>
        <v>0</v>
      </c>
      <c r="BF386" s="39" t="n">
        <f aca="false">IF(LEFT($B386,4)="_Mil","",IF(SUM($BE386)=0,SUM($AF386),IF(OR(SUM($AP386)=0,SUM($AQ386)=0),MAX($BE386,$AF386),ROUND($BE386*$AQ386/$AP386,0))))</f>
        <v>0</v>
      </c>
      <c r="BG386" s="114" t="n">
        <f aca="false">IF($C386="&lt;01","",95%)</f>
        <v>0.95</v>
      </c>
      <c r="BH386" s="5" t="n">
        <f aca="false">IF($C386="&lt;01",ROUND(INDEX(EID!$L:$L,MATCH($B386,EID!$B:$B,0)),0)/2,IF(SUM($BG386)=0,"",ROUND($AX386/$BG386,0)))</f>
        <v>0</v>
      </c>
    </row>
    <row r="387" customFormat="false" ht="15" hidden="false" customHeight="false" outlineLevel="0" collapsed="false">
      <c r="A387" s="0" t="str">
        <f aca="false">INDEX(Prioritization!$D:$D,MATCH($B387,Prioritization!$A:$A,0))</f>
        <v>INVALID</v>
      </c>
      <c r="B387" s="0" t="s">
        <v>220</v>
      </c>
      <c r="C387" s="0" t="s">
        <v>366</v>
      </c>
      <c r="D387" s="0" t="s">
        <v>30</v>
      </c>
      <c r="E387" s="0" t="str">
        <f aca="false">$B387&amp;"|"&amp;$C387&amp;"|"&amp;$D387</f>
        <v>Phalombe District [AZyWpGzhcaA]|25-34|Female</v>
      </c>
      <c r="F387" s="10"/>
      <c r="G387" s="10"/>
      <c r="H387" s="10"/>
      <c r="I387" s="10"/>
      <c r="J387" s="10"/>
      <c r="K387" s="10"/>
      <c r="L387" s="10"/>
      <c r="M387" s="10"/>
      <c r="N387" s="10"/>
      <c r="O387" s="10" t="str">
        <f aca="false">IFERROR(1/(1/MAX($I387,$N387)),"")</f>
        <v/>
      </c>
      <c r="P387" s="10"/>
      <c r="Q387" s="10"/>
      <c r="R387" s="10" t="str">
        <f aca="false">IF(AND(SUM($I387)=0,SUM($O387)=0),"",SUM($O387)-$I387)</f>
        <v/>
      </c>
      <c r="S387" s="10" t="n">
        <f aca="false">IF(LEFT($B387,4)="_Mil","",_xlfn.IFNA(ROUND(INDEX(Spectrum!$N:$N,MATCH(RIGHT($B387,13)&amp;"|"&amp;$C387&amp;"|"&amp;$D387&amp;"|"&amp;S$14&amp;"|"&amp;"CY2022Q4",Spectrum!$R:$R,0)),0),""))</f>
        <v>1254</v>
      </c>
      <c r="T387" s="39" t="n">
        <f aca="false">IF(LEFT($B387,4)="_Mil","",_xlfn.IFNA(ROUND(INDEX(Spectrum!$N:$N,MATCH(RIGHT($B387,13)&amp;"|"&amp;$C387&amp;"|"&amp;$D387&amp;"|"&amp;T$14&amp;"|"&amp;"CY2023Q3",Spectrum!$R:$R,0)),0),""))</f>
        <v>1593</v>
      </c>
      <c r="U387" s="39" t="str">
        <f aca="false">IF(LEFT($B387,4)="_Mil","",_xlfn.IFNA(ROUND(INDEX(Spectrum!$N:$N,MATCH(RIGHT($B387,13)&amp;"|"&amp;$C387&amp;"|"&amp;$D387&amp;"|"&amp;U$14&amp;"|"&amp;"CY2023Q3",Spectrum!$R:$R,0)),0),""))</f>
        <v/>
      </c>
      <c r="V387" s="10" t="n">
        <f aca="false">IF(LEFT($B387,4)="_Mil","",_xlfn.IFNA(ROUND(INDEX(Spectrum!$N:$N,MATCH(RIGHT($B387,13)&amp;"|"&amp;$C387&amp;"|"&amp;$D387&amp;"|"&amp;V$14&amp;"|"&amp;"CY2023Q3",Spectrum!$R:$R,0)),0),""))</f>
        <v>1952</v>
      </c>
      <c r="W387" s="113" t="n">
        <f aca="false">IF(LEFT($B387,4)="_Mil","",_xlfn.IFNA(INDEX(Spectrum!$N:$N,MATCH(RIGHT($B387,13)&amp;"|"&amp;$C387&amp;"|"&amp;$D387&amp;"|"&amp;W$14&amp;"|"&amp;"CY2023Q3",Spectrum!$R:$R,0)),""))</f>
        <v>1352</v>
      </c>
      <c r="X387" s="39" t="n">
        <f aca="false">IF(LEFT($B387,4)="_Mil","",_xlfn.IFNA(ROUND(INDEX(Spectrum!$N:$N,MATCH(RIGHT($B387,13)&amp;"|"&amp;$C387&amp;"|"&amp;$D387&amp;"|"&amp;X$14&amp;"|"&amp;"CY2023Q3",Spectrum!$R:$R,0)),0),""))</f>
        <v>1281</v>
      </c>
      <c r="Y387" s="88" t="str">
        <f aca="false">IF(OR(SUM($U387)=0,LEFT($B387,4)="_Mil"),"",SUM($X387)/$U387)</f>
        <v/>
      </c>
      <c r="Z387" s="39" t="n">
        <f aca="false">IF(LEFT($B387,4)="_Mil","",_xlfn.IFNA(ROUND(INDEX(Spectrum!$N:$N,MATCH(RIGHT($B387,13)&amp;"|"&amp;$C387&amp;"|"&amp;$D387&amp;"|"&amp;Z$14&amp;"|"&amp;"CY2023Q3",Spectrum!$R:$R,0)),0),""))</f>
        <v>638</v>
      </c>
      <c r="AA387" s="88" t="n">
        <f aca="false">IF(LEFT($B387,4)="_Mil","",IFERROR(1/(1/INDEX(Spectrum!$N:$N,MATCH(RIGHT($B387,13)&amp;"|"&amp;$C387&amp;"|"&amp;$D387&amp;"|"&amp;AA$14&amp;"|"&amp;"CY2023Q3",Spectrum!$R:$R,0))),IF(SUM($U387)=0,"",SUM($Z387)/$U387)))</f>
        <v>1966</v>
      </c>
      <c r="AB387" s="88" t="n">
        <f aca="false">IF(OR(LEFT($B387,4)="_Mil",SUM($X387)=0),"",SUM($Z387)/$X387)</f>
        <v>0.498048399687744</v>
      </c>
      <c r="AC387" s="10" t="n">
        <f aca="false">IF(LEFT($B387,4)="_Mil","",_xlfn.IFNA(ROUND(INDEX(Spectrum!$N:$N,MATCH(RIGHT($B387,13)&amp;"|"&amp;$C387&amp;"|"&amp;$D387&amp;"|"&amp;AC$14&amp;"|"&amp;"CY2023Q3",Spectrum!$R:$R,0)),0),""))</f>
        <v>1170</v>
      </c>
      <c r="AD387" s="10" t="str">
        <f aca="false">IF(LEFT($B387,4)="_Mil","",_xlfn.IFNA(ROUND(INDEX(Spectrum!$N:$N,MATCH(RIGHT($B387,13)&amp;"|"&amp;$C387&amp;"|"&amp;$D387&amp;"|"&amp;AD$14&amp;"|"&amp;"CY2023Q3",Spectrum!$R:$R,0)),0),""))</f>
        <v/>
      </c>
      <c r="AE387" s="88" t="n">
        <f aca="false">IF(OR(LEFT($B387,4)="_Mil",SUM($Z387)=0),"",SUM($AD387)/$Z387)</f>
        <v>0</v>
      </c>
      <c r="AF387" s="39" t="str">
        <f aca="false">IF(LEFT($B387,4)="_Mil","",_xlfn.IFNA(ROUND(INDEX(Spectrum!$N:$N,MATCH(RIGHT($B387,13)&amp;"|"&amp;$C387&amp;"|"&amp;$D387&amp;"|"&amp;AF$14&amp;"|"&amp;"CY2023Q3",Spectrum!$R:$R,0)),0),""))</f>
        <v/>
      </c>
      <c r="AG387" s="88" t="str">
        <f aca="false">IF(OR(LEFT($B387,4)="_Mil",SUM($AD387)=0),"",SUM($AF387)/$AD387)</f>
        <v/>
      </c>
      <c r="AH387" s="86" t="str">
        <f aca="false">IF(LEFT($B387,4)="_Mil","",_xlfn.IFNA(INDEX(Spectrum!$N:$N,MATCH(RIGHT($B387,13)&amp;"|"&amp;$C387&amp;"|"&amp;$D387&amp;"|"&amp;AH$14&amp;"|"&amp;"CY2023Q3",Spectrum!$R:$R,0)),""))</f>
        <v/>
      </c>
      <c r="AI387" s="10" t="str">
        <f aca="false">IF(LEFT($B387,4)="_Mil","",_xlfn.IFNA(ROUND(INDEX(Spectrum!$N:$N,MATCH(RIGHT($B387,13)&amp;"|"&amp;$C387&amp;"|"&amp;$D387&amp;"|"&amp;AI$14&amp;"|"&amp;"CY2023Q3",Spectrum!$R:$R,0)),0),""))</f>
        <v/>
      </c>
      <c r="AJ387" s="39" t="n">
        <f aca="false">IF(LEFT($B387,4)="_Mil","",_xlfn.IFNA(ROUND(INDEX(Spectrum!$N:$N,MATCH(RIGHT($B387,13)&amp;"|"&amp;$C387&amp;"|"&amp;$D387&amp;"|"&amp;AI$14&amp;"|"&amp;"CY2023Q3",Spectrum!$R:$R,0)),0),SUM($U387)+SUM($AI387)))</f>
        <v>0</v>
      </c>
      <c r="AK387" s="10" t="str">
        <f aca="false">IF(LEFT($B387,4)="_Mil","",_xlfn.IFNA(ROUND(INDEX(Spectrum!$N:$N,MATCH(RIGHT($B387,13)&amp;"|"&amp;$C387&amp;"|"&amp;$D387&amp;"|"&amp;AK$14&amp;"|"&amp;"CY2023Q3",Spectrum!$R:$R,0)),0),""))</f>
        <v/>
      </c>
      <c r="AL387" s="88" t="n">
        <f aca="false">IF(OR(LEFT($B387,4)="_Mil",$C387="&lt;01"),"",MAX(SUM($AA387),90%))</f>
        <v>1966</v>
      </c>
      <c r="AM387" s="10" t="n">
        <f aca="false">IF(OR(LEFT($B387,4)="_Mil",$C387="&lt;01"),"",ROUND(SUM($AJ387)*SUM($AL387),0))</f>
        <v>0</v>
      </c>
      <c r="AN387" s="10" t="str">
        <f aca="false">IF($C387="&lt;01",ROUND(INDEX(EID!$P:$P,MATCH($B387,EID!$B:$B,0))/2,0),"")</f>
        <v/>
      </c>
      <c r="AO387" s="10" t="n">
        <f aca="false">IF($C387="&lt;01",SUM($AN387),ROUND(SUM($AM387)*SUM($O387)/IF(SUM($Z387)=0,1,$Z387),0))</f>
        <v>0</v>
      </c>
      <c r="AP387" s="39" t="n">
        <f aca="false">IF(OR($F387="",$C387="&lt;01"),$AO387,$F387)</f>
        <v>0</v>
      </c>
      <c r="AQ387" s="39" t="n">
        <f aca="false">IF(LEFT($B387,4)="_Mil","",IF(SUM($AP387)=0,SUM($Z387),IF(OR(SUM($Z387)=0,SUM($O387)=0),MAX($AP387,$Z387),$AP387*$Z387/$O387)))</f>
        <v>638</v>
      </c>
      <c r="AR387" s="88" t="str">
        <f aca="false">IF(OR(LEFT($B387,4)="_Mil",SUM($AJ387)=0),"",SUM($AQ387)/$AJ387)</f>
        <v/>
      </c>
      <c r="AS387" s="88" t="n">
        <f aca="false">IF($C387="&lt;01","",98%)</f>
        <v>0.98</v>
      </c>
      <c r="AT387" s="88" t="n">
        <f aca="false">IF($C387="&lt;01","",98%)</f>
        <v>0.98</v>
      </c>
      <c r="AU387" s="10" t="n">
        <f aca="false">IF($C387="&lt;01","",SUM($AP387)-SUM($O387))</f>
        <v>0</v>
      </c>
      <c r="AV387" s="10" t="n">
        <f aca="false">IF($C387="&lt;01",ROUND(INDEX(EID!$N:$N,MATCH($B387,EID!$B:$B,0))/2,0),IF(SUM($AT387)=0,"",ROUND((SUM($AP387)-(SUM($O387)*SUM($AS387)))/$AT387,0)))</f>
        <v>0</v>
      </c>
      <c r="AW387" s="88" t="n">
        <f aca="false">IF($C387="&lt;01","",100%)</f>
        <v>1</v>
      </c>
      <c r="AX387" s="39" t="n">
        <f aca="false">IF($C387="&lt;01",SUM($AV387),ROUND(SUM($AV387)*SUM($AW387),0))</f>
        <v>0</v>
      </c>
      <c r="AY387" s="114" t="n">
        <f aca="false">IF($C387="&lt;01","",70%)</f>
        <v>0.7</v>
      </c>
      <c r="AZ387" s="91" t="n">
        <f aca="false">IF($C387="&lt;01",ROUND(INDEX(EID!$R:$R,MATCH($B387,EID!$B:$B,0))/2,0),ROUND(SUM($O387)+(SUM($AV387)*$AY387),0))</f>
        <v>0</v>
      </c>
      <c r="BA387" s="87" t="n">
        <f aca="false">IF($C387="&lt;01","",95%)</f>
        <v>0.95</v>
      </c>
      <c r="BB387" s="5" t="n">
        <f aca="false">IF($C387="&lt;01",ROUND(INDEX(EID!$T:$T,MATCH($B387,EID!$B:$B,0))/2,0),ROUND($AZ387*$BA387,0))</f>
        <v>0</v>
      </c>
      <c r="BC387" s="91" t="n">
        <f aca="false">IF(LEFT($B387,4)="_Mil","",IF(SUM($BB387)=0,SUM($AD387),IF(OR(SUM($AP387)=0,SUM($AQ387)=0),MAX($BB387,$AD387),ROUND($BB387*$AQ387/$AP387,0))))</f>
        <v>0</v>
      </c>
      <c r="BD387" s="88" t="n">
        <f aca="false">IF($C387="&lt;01","",95%)</f>
        <v>0.95</v>
      </c>
      <c r="BE387" s="39" t="n">
        <f aca="false">IF($C387="&lt;01",ROUND(INDEX(EID!$V:$V,MATCH($B387,EID!$B:$B,0))/2,0),ROUND($BD387*$BB387,0))</f>
        <v>0</v>
      </c>
      <c r="BF387" s="39" t="n">
        <f aca="false">IF(LEFT($B387,4)="_Mil","",IF(SUM($BE387)=0,SUM($AF387),IF(OR(SUM($AP387)=0,SUM($AQ387)=0),MAX($BE387,$AF387),ROUND($BE387*$AQ387/$AP387,0))))</f>
        <v>0</v>
      </c>
      <c r="BG387" s="114" t="n">
        <f aca="false">IF($C387="&lt;01","",95%)</f>
        <v>0.95</v>
      </c>
      <c r="BH387" s="5" t="n">
        <f aca="false">IF($C387="&lt;01",ROUND(INDEX(EID!$L:$L,MATCH($B387,EID!$B:$B,0)),0)/2,IF(SUM($BG387)=0,"",ROUND($AX387/$BG387,0)))</f>
        <v>0</v>
      </c>
    </row>
    <row r="388" customFormat="false" ht="15" hidden="false" customHeight="false" outlineLevel="0" collapsed="false">
      <c r="A388" s="0" t="str">
        <f aca="false">INDEX(Prioritization!$D:$D,MATCH($B388,Prioritization!$A:$A,0))</f>
        <v>INVALID</v>
      </c>
      <c r="B388" s="0" t="s">
        <v>220</v>
      </c>
      <c r="C388" s="0" t="s">
        <v>366</v>
      </c>
      <c r="D388" s="0" t="s">
        <v>48</v>
      </c>
      <c r="E388" s="0" t="str">
        <f aca="false">$B388&amp;"|"&amp;$C388&amp;"|"&amp;$D388</f>
        <v>Phalombe District [AZyWpGzhcaA]|25-34|Male</v>
      </c>
      <c r="F388" s="10"/>
      <c r="G388" s="10"/>
      <c r="H388" s="10"/>
      <c r="I388" s="10"/>
      <c r="J388" s="10"/>
      <c r="K388" s="10"/>
      <c r="L388" s="10"/>
      <c r="M388" s="10"/>
      <c r="N388" s="10"/>
      <c r="O388" s="10" t="str">
        <f aca="false">IFERROR(1/(1/MAX($I388,$N388)),"")</f>
        <v/>
      </c>
      <c r="P388" s="10"/>
      <c r="Q388" s="10"/>
      <c r="R388" s="10" t="str">
        <f aca="false">IF(AND(SUM($I388)=0,SUM($O388)=0),"",SUM($O388)-$I388)</f>
        <v/>
      </c>
      <c r="S388" s="10" t="n">
        <f aca="false">IF(LEFT($B388,4)="_Mil","",_xlfn.IFNA(ROUND(INDEX(Spectrum!$N:$N,MATCH(RIGHT($B388,13)&amp;"|"&amp;$C388&amp;"|"&amp;$D388&amp;"|"&amp;S$14&amp;"|"&amp;"CY2022Q4",Spectrum!$R:$R,0)),0),""))</f>
        <v>1767</v>
      </c>
      <c r="T388" s="39" t="n">
        <f aca="false">IF(LEFT($B388,4)="_Mil","",_xlfn.IFNA(ROUND(INDEX(Spectrum!$N:$N,MATCH(RIGHT($B388,13)&amp;"|"&amp;$C388&amp;"|"&amp;$D388&amp;"|"&amp;T$14&amp;"|"&amp;"CY2023Q3",Spectrum!$R:$R,0)),0),""))</f>
        <v>774</v>
      </c>
      <c r="U388" s="39" t="str">
        <f aca="false">IF(LEFT($B388,4)="_Mil","",_xlfn.IFNA(ROUND(INDEX(Spectrum!$N:$N,MATCH(RIGHT($B388,13)&amp;"|"&amp;$C388&amp;"|"&amp;$D388&amp;"|"&amp;U$14&amp;"|"&amp;"CY2023Q3",Spectrum!$R:$R,0)),0),""))</f>
        <v/>
      </c>
      <c r="V388" s="10" t="n">
        <f aca="false">IF(LEFT($B388,4)="_Mil","",_xlfn.IFNA(ROUND(INDEX(Spectrum!$N:$N,MATCH(RIGHT($B388,13)&amp;"|"&amp;$C388&amp;"|"&amp;$D388&amp;"|"&amp;V$14&amp;"|"&amp;"CY2023Q3",Spectrum!$R:$R,0)),0),""))</f>
        <v>1425</v>
      </c>
      <c r="W388" s="113" t="n">
        <f aca="false">IF(LEFT($B388,4)="_Mil","",_xlfn.IFNA(INDEX(Spectrum!$N:$N,MATCH(RIGHT($B388,13)&amp;"|"&amp;$C388&amp;"|"&amp;$D388&amp;"|"&amp;W$14&amp;"|"&amp;"CY2023Q3",Spectrum!$R:$R,0)),""))</f>
        <v>1325</v>
      </c>
      <c r="X388" s="39" t="n">
        <f aca="false">IF(LEFT($B388,4)="_Mil","",_xlfn.IFNA(ROUND(INDEX(Spectrum!$N:$N,MATCH(RIGHT($B388,13)&amp;"|"&amp;$C388&amp;"|"&amp;$D388&amp;"|"&amp;X$14&amp;"|"&amp;"CY2023Q3",Spectrum!$R:$R,0)),0),""))</f>
        <v>956</v>
      </c>
      <c r="Y388" s="88" t="str">
        <f aca="false">IF(OR(SUM($U388)=0,LEFT($B388,4)="_Mil"),"",SUM($X388)/$U388)</f>
        <v/>
      </c>
      <c r="Z388" s="39" t="n">
        <f aca="false">IF(LEFT($B388,4)="_Mil","",_xlfn.IFNA(ROUND(INDEX(Spectrum!$N:$N,MATCH(RIGHT($B388,13)&amp;"|"&amp;$C388&amp;"|"&amp;$D388&amp;"|"&amp;Z$14&amp;"|"&amp;"CY2023Q3",Spectrum!$R:$R,0)),0),""))</f>
        <v>925</v>
      </c>
      <c r="AA388" s="88" t="n">
        <f aca="false">IF(LEFT($B388,4)="_Mil","",IFERROR(1/(1/INDEX(Spectrum!$N:$N,MATCH(RIGHT($B388,13)&amp;"|"&amp;$C388&amp;"|"&amp;$D388&amp;"|"&amp;AA$14&amp;"|"&amp;"CY2023Q3",Spectrum!$R:$R,0))),IF(SUM($U388)=0,"",SUM($Z388)/$U388)))</f>
        <v>1376</v>
      </c>
      <c r="AB388" s="88" t="n">
        <f aca="false">IF(OR(LEFT($B388,4)="_Mil",SUM($X388)=0),"",SUM($Z388)/$X388)</f>
        <v>0.967573221757322</v>
      </c>
      <c r="AC388" s="10" t="n">
        <f aca="false">IF(LEFT($B388,4)="_Mil","",_xlfn.IFNA(ROUND(INDEX(Spectrum!$N:$N,MATCH(RIGHT($B388,13)&amp;"|"&amp;$C388&amp;"|"&amp;$D388&amp;"|"&amp;AC$14&amp;"|"&amp;"CY2023Q3",Spectrum!$R:$R,0)),0),""))</f>
        <v>686</v>
      </c>
      <c r="AD388" s="10" t="str">
        <f aca="false">IF(LEFT($B388,4)="_Mil","",_xlfn.IFNA(ROUND(INDEX(Spectrum!$N:$N,MATCH(RIGHT($B388,13)&amp;"|"&amp;$C388&amp;"|"&amp;$D388&amp;"|"&amp;AD$14&amp;"|"&amp;"CY2023Q3",Spectrum!$R:$R,0)),0),""))</f>
        <v/>
      </c>
      <c r="AE388" s="88" t="n">
        <f aca="false">IF(OR(LEFT($B388,4)="_Mil",SUM($Z388)=0),"",SUM($AD388)/$Z388)</f>
        <v>0</v>
      </c>
      <c r="AF388" s="39" t="str">
        <f aca="false">IF(LEFT($B388,4)="_Mil","",_xlfn.IFNA(ROUND(INDEX(Spectrum!$N:$N,MATCH(RIGHT($B388,13)&amp;"|"&amp;$C388&amp;"|"&amp;$D388&amp;"|"&amp;AF$14&amp;"|"&amp;"CY2023Q3",Spectrum!$R:$R,0)),0),""))</f>
        <v/>
      </c>
      <c r="AG388" s="88" t="str">
        <f aca="false">IF(OR(LEFT($B388,4)="_Mil",SUM($AD388)=0),"",SUM($AF388)/$AD388)</f>
        <v/>
      </c>
      <c r="AH388" s="86" t="str">
        <f aca="false">IF(LEFT($B388,4)="_Mil","",_xlfn.IFNA(INDEX(Spectrum!$N:$N,MATCH(RIGHT($B388,13)&amp;"|"&amp;$C388&amp;"|"&amp;$D388&amp;"|"&amp;AH$14&amp;"|"&amp;"CY2023Q3",Spectrum!$R:$R,0)),""))</f>
        <v/>
      </c>
      <c r="AI388" s="10" t="str">
        <f aca="false">IF(LEFT($B388,4)="_Mil","",_xlfn.IFNA(ROUND(INDEX(Spectrum!$N:$N,MATCH(RIGHT($B388,13)&amp;"|"&amp;$C388&amp;"|"&amp;$D388&amp;"|"&amp;AI$14&amp;"|"&amp;"CY2023Q3",Spectrum!$R:$R,0)),0),""))</f>
        <v/>
      </c>
      <c r="AJ388" s="39" t="n">
        <f aca="false">IF(LEFT($B388,4)="_Mil","",_xlfn.IFNA(ROUND(INDEX(Spectrum!$N:$N,MATCH(RIGHT($B388,13)&amp;"|"&amp;$C388&amp;"|"&amp;$D388&amp;"|"&amp;AI$14&amp;"|"&amp;"CY2023Q3",Spectrum!$R:$R,0)),0),SUM($U388)+SUM($AI388)))</f>
        <v>0</v>
      </c>
      <c r="AK388" s="10" t="str">
        <f aca="false">IF(LEFT($B388,4)="_Mil","",_xlfn.IFNA(ROUND(INDEX(Spectrum!$N:$N,MATCH(RIGHT($B388,13)&amp;"|"&amp;$C388&amp;"|"&amp;$D388&amp;"|"&amp;AK$14&amp;"|"&amp;"CY2023Q3",Spectrum!$R:$R,0)),0),""))</f>
        <v/>
      </c>
      <c r="AL388" s="88" t="n">
        <f aca="false">IF(OR(LEFT($B388,4)="_Mil",$C388="&lt;01"),"",MAX(SUM($AA388),90%))</f>
        <v>1376</v>
      </c>
      <c r="AM388" s="10" t="n">
        <f aca="false">IF(OR(LEFT($B388,4)="_Mil",$C388="&lt;01"),"",ROUND(SUM($AJ388)*SUM($AL388),0))</f>
        <v>0</v>
      </c>
      <c r="AN388" s="10" t="str">
        <f aca="false">IF($C388="&lt;01",ROUND(INDEX(EID!$P:$P,MATCH($B388,EID!$B:$B,0))/2,0),"")</f>
        <v/>
      </c>
      <c r="AO388" s="10" t="n">
        <f aca="false">IF($C388="&lt;01",SUM($AN388),ROUND(SUM($AM388)*SUM($O388)/IF(SUM($Z388)=0,1,$Z388),0))</f>
        <v>0</v>
      </c>
      <c r="AP388" s="39" t="n">
        <f aca="false">IF(OR($F388="",$C388="&lt;01"),$AO388,$F388)</f>
        <v>0</v>
      </c>
      <c r="AQ388" s="39" t="n">
        <f aca="false">IF(LEFT($B388,4)="_Mil","",IF(SUM($AP388)=0,SUM($Z388),IF(OR(SUM($Z388)=0,SUM($O388)=0),MAX($AP388,$Z388),$AP388*$Z388/$O388)))</f>
        <v>925</v>
      </c>
      <c r="AR388" s="88" t="str">
        <f aca="false">IF(OR(LEFT($B388,4)="_Mil",SUM($AJ388)=0),"",SUM($AQ388)/$AJ388)</f>
        <v/>
      </c>
      <c r="AS388" s="88" t="n">
        <f aca="false">IF($C388="&lt;01","",98%)</f>
        <v>0.98</v>
      </c>
      <c r="AT388" s="88" t="n">
        <f aca="false">IF($C388="&lt;01","",98%)</f>
        <v>0.98</v>
      </c>
      <c r="AU388" s="10" t="n">
        <f aca="false">IF($C388="&lt;01","",SUM($AP388)-SUM($O388))</f>
        <v>0</v>
      </c>
      <c r="AV388" s="10" t="n">
        <f aca="false">IF($C388="&lt;01",ROUND(INDEX(EID!$N:$N,MATCH($B388,EID!$B:$B,0))/2,0),IF(SUM($AT388)=0,"",ROUND((SUM($AP388)-(SUM($O388)*SUM($AS388)))/$AT388,0)))</f>
        <v>0</v>
      </c>
      <c r="AW388" s="88" t="n">
        <f aca="false">IF($C388="&lt;01","",100%)</f>
        <v>1</v>
      </c>
      <c r="AX388" s="39" t="n">
        <f aca="false">IF($C388="&lt;01",SUM($AV388),ROUND(SUM($AV388)*SUM($AW388),0))</f>
        <v>0</v>
      </c>
      <c r="AY388" s="114" t="n">
        <f aca="false">IF($C388="&lt;01","",70%)</f>
        <v>0.7</v>
      </c>
      <c r="AZ388" s="91" t="n">
        <f aca="false">IF($C388="&lt;01",ROUND(INDEX(EID!$R:$R,MATCH($B388,EID!$B:$B,0))/2,0),ROUND(SUM($O388)+(SUM($AV388)*$AY388),0))</f>
        <v>0</v>
      </c>
      <c r="BA388" s="87" t="n">
        <f aca="false">IF($C388="&lt;01","",95%)</f>
        <v>0.95</v>
      </c>
      <c r="BB388" s="5" t="n">
        <f aca="false">IF($C388="&lt;01",ROUND(INDEX(EID!$T:$T,MATCH($B388,EID!$B:$B,0))/2,0),ROUND($AZ388*$BA388,0))</f>
        <v>0</v>
      </c>
      <c r="BC388" s="91" t="n">
        <f aca="false">IF(LEFT($B388,4)="_Mil","",IF(SUM($BB388)=0,SUM($AD388),IF(OR(SUM($AP388)=0,SUM($AQ388)=0),MAX($BB388,$AD388),ROUND($BB388*$AQ388/$AP388,0))))</f>
        <v>0</v>
      </c>
      <c r="BD388" s="88" t="n">
        <f aca="false">IF($C388="&lt;01","",95%)</f>
        <v>0.95</v>
      </c>
      <c r="BE388" s="39" t="n">
        <f aca="false">IF($C388="&lt;01",ROUND(INDEX(EID!$V:$V,MATCH($B388,EID!$B:$B,0))/2,0),ROUND($BD388*$BB388,0))</f>
        <v>0</v>
      </c>
      <c r="BF388" s="39" t="n">
        <f aca="false">IF(LEFT($B388,4)="_Mil","",IF(SUM($BE388)=0,SUM($AF388),IF(OR(SUM($AP388)=0,SUM($AQ388)=0),MAX($BE388,$AF388),ROUND($BE388*$AQ388/$AP388,0))))</f>
        <v>0</v>
      </c>
      <c r="BG388" s="114" t="n">
        <f aca="false">IF($C388="&lt;01","",95%)</f>
        <v>0.95</v>
      </c>
      <c r="BH388" s="5" t="n">
        <f aca="false">IF($C388="&lt;01",ROUND(INDEX(EID!$L:$L,MATCH($B388,EID!$B:$B,0)),0)/2,IF(SUM($BG388)=0,"",ROUND($AX388/$BG388,0)))</f>
        <v>0</v>
      </c>
    </row>
    <row r="389" customFormat="false" ht="15" hidden="false" customHeight="false" outlineLevel="0" collapsed="false">
      <c r="A389" s="0" t="str">
        <f aca="false">INDEX(Prioritization!$D:$D,MATCH($B389,Prioritization!$A:$A,0))</f>
        <v>INVALID</v>
      </c>
      <c r="B389" s="0" t="s">
        <v>220</v>
      </c>
      <c r="C389" s="0" t="s">
        <v>367</v>
      </c>
      <c r="D389" s="0" t="s">
        <v>30</v>
      </c>
      <c r="E389" s="0" t="str">
        <f aca="false">$B389&amp;"|"&amp;$C389&amp;"|"&amp;$D389</f>
        <v>Phalombe District [AZyWpGzhcaA]|35-49|Female</v>
      </c>
      <c r="F389" s="10"/>
      <c r="G389" s="10"/>
      <c r="H389" s="10"/>
      <c r="I389" s="10"/>
      <c r="J389" s="10"/>
      <c r="K389" s="10"/>
      <c r="L389" s="10"/>
      <c r="M389" s="10"/>
      <c r="N389" s="10"/>
      <c r="O389" s="10" t="str">
        <f aca="false">IFERROR(1/(1/MAX($I389,$N389)),"")</f>
        <v/>
      </c>
      <c r="P389" s="10"/>
      <c r="Q389" s="10"/>
      <c r="R389" s="10" t="str">
        <f aca="false">IF(AND(SUM($I389)=0,SUM($O389)=0),"",SUM($O389)-$I389)</f>
        <v/>
      </c>
      <c r="S389" s="10" t="n">
        <f aca="false">IF(LEFT($B389,4)="_Mil","",_xlfn.IFNA(ROUND(INDEX(Spectrum!$N:$N,MATCH(RIGHT($B389,13)&amp;"|"&amp;$C389&amp;"|"&amp;$D389&amp;"|"&amp;S$14&amp;"|"&amp;"CY2022Q4",Spectrum!$R:$R,0)),0),""))</f>
        <v>1231</v>
      </c>
      <c r="T389" s="39" t="n">
        <f aca="false">IF(LEFT($B389,4)="_Mil","",_xlfn.IFNA(ROUND(INDEX(Spectrum!$N:$N,MATCH(RIGHT($B389,13)&amp;"|"&amp;$C389&amp;"|"&amp;$D389&amp;"|"&amp;T$14&amp;"|"&amp;"CY2023Q3",Spectrum!$R:$R,0)),0),""))</f>
        <v>1620</v>
      </c>
      <c r="U389" s="39" t="str">
        <f aca="false">IF(LEFT($B389,4)="_Mil","",_xlfn.IFNA(ROUND(INDEX(Spectrum!$N:$N,MATCH(RIGHT($B389,13)&amp;"|"&amp;$C389&amp;"|"&amp;$D389&amp;"|"&amp;U$14&amp;"|"&amp;"CY2023Q3",Spectrum!$R:$R,0)),0),""))</f>
        <v/>
      </c>
      <c r="V389" s="10" t="n">
        <f aca="false">IF(LEFT($B389,4)="_Mil","",_xlfn.IFNA(ROUND(INDEX(Spectrum!$N:$N,MATCH(RIGHT($B389,13)&amp;"|"&amp;$C389&amp;"|"&amp;$D389&amp;"|"&amp;V$14&amp;"|"&amp;"CY2023Q3",Spectrum!$R:$R,0)),0),""))</f>
        <v>1698</v>
      </c>
      <c r="W389" s="113" t="n">
        <f aca="false">IF(LEFT($B389,4)="_Mil","",_xlfn.IFNA(INDEX(Spectrum!$N:$N,MATCH(RIGHT($B389,13)&amp;"|"&amp;$C389&amp;"|"&amp;$D389&amp;"|"&amp;W$14&amp;"|"&amp;"CY2023Q3",Spectrum!$R:$R,0)),""))</f>
        <v>1300</v>
      </c>
      <c r="X389" s="39" t="n">
        <f aca="false">IF(LEFT($B389,4)="_Mil","",_xlfn.IFNA(ROUND(INDEX(Spectrum!$N:$N,MATCH(RIGHT($B389,13)&amp;"|"&amp;$C389&amp;"|"&amp;$D389&amp;"|"&amp;X$14&amp;"|"&amp;"CY2023Q3",Spectrum!$R:$R,0)),0),""))</f>
        <v>1973</v>
      </c>
      <c r="Y389" s="88" t="str">
        <f aca="false">IF(OR(SUM($U389)=0,LEFT($B389,4)="_Mil"),"",SUM($X389)/$U389)</f>
        <v/>
      </c>
      <c r="Z389" s="39" t="n">
        <f aca="false">IF(LEFT($B389,4)="_Mil","",_xlfn.IFNA(ROUND(INDEX(Spectrum!$N:$N,MATCH(RIGHT($B389,13)&amp;"|"&amp;$C389&amp;"|"&amp;$D389&amp;"|"&amp;Z$14&amp;"|"&amp;"CY2023Q3",Spectrum!$R:$R,0)),0),""))</f>
        <v>1981</v>
      </c>
      <c r="AA389" s="88" t="n">
        <f aca="false">IF(LEFT($B389,4)="_Mil","",IFERROR(1/(1/INDEX(Spectrum!$N:$N,MATCH(RIGHT($B389,13)&amp;"|"&amp;$C389&amp;"|"&amp;$D389&amp;"|"&amp;AA$14&amp;"|"&amp;"CY2023Q3",Spectrum!$R:$R,0))),IF(SUM($U389)=0,"",SUM($Z389)/$U389)))</f>
        <v>643</v>
      </c>
      <c r="AB389" s="88" t="n">
        <f aca="false">IF(OR(LEFT($B389,4)="_Mil",SUM($X389)=0),"",SUM($Z389)/$X389)</f>
        <v>1.00405473897618</v>
      </c>
      <c r="AC389" s="10" t="n">
        <f aca="false">IF(LEFT($B389,4)="_Mil","",_xlfn.IFNA(ROUND(INDEX(Spectrum!$N:$N,MATCH(RIGHT($B389,13)&amp;"|"&amp;$C389&amp;"|"&amp;$D389&amp;"|"&amp;AC$14&amp;"|"&amp;"CY2023Q3",Spectrum!$R:$R,0)),0),""))</f>
        <v>1913</v>
      </c>
      <c r="AD389" s="10" t="str">
        <f aca="false">IF(LEFT($B389,4)="_Mil","",_xlfn.IFNA(ROUND(INDEX(Spectrum!$N:$N,MATCH(RIGHT($B389,13)&amp;"|"&amp;$C389&amp;"|"&amp;$D389&amp;"|"&amp;AD$14&amp;"|"&amp;"CY2023Q3",Spectrum!$R:$R,0)),0),""))</f>
        <v/>
      </c>
      <c r="AE389" s="88" t="n">
        <f aca="false">IF(OR(LEFT($B389,4)="_Mil",SUM($Z389)=0),"",SUM($AD389)/$Z389)</f>
        <v>0</v>
      </c>
      <c r="AF389" s="39" t="str">
        <f aca="false">IF(LEFT($B389,4)="_Mil","",_xlfn.IFNA(ROUND(INDEX(Spectrum!$N:$N,MATCH(RIGHT($B389,13)&amp;"|"&amp;$C389&amp;"|"&amp;$D389&amp;"|"&amp;AF$14&amp;"|"&amp;"CY2023Q3",Spectrum!$R:$R,0)),0),""))</f>
        <v/>
      </c>
      <c r="AG389" s="88" t="str">
        <f aca="false">IF(OR(LEFT($B389,4)="_Mil",SUM($AD389)=0),"",SUM($AF389)/$AD389)</f>
        <v/>
      </c>
      <c r="AH389" s="86" t="str">
        <f aca="false">IF(LEFT($B389,4)="_Mil","",_xlfn.IFNA(INDEX(Spectrum!$N:$N,MATCH(RIGHT($B389,13)&amp;"|"&amp;$C389&amp;"|"&amp;$D389&amp;"|"&amp;AH$14&amp;"|"&amp;"CY2023Q3",Spectrum!$R:$R,0)),""))</f>
        <v/>
      </c>
      <c r="AI389" s="10" t="str">
        <f aca="false">IF(LEFT($B389,4)="_Mil","",_xlfn.IFNA(ROUND(INDEX(Spectrum!$N:$N,MATCH(RIGHT($B389,13)&amp;"|"&amp;$C389&amp;"|"&amp;$D389&amp;"|"&amp;AI$14&amp;"|"&amp;"CY2023Q3",Spectrum!$R:$R,0)),0),""))</f>
        <v/>
      </c>
      <c r="AJ389" s="39" t="n">
        <f aca="false">IF(LEFT($B389,4)="_Mil","",_xlfn.IFNA(ROUND(INDEX(Spectrum!$N:$N,MATCH(RIGHT($B389,13)&amp;"|"&amp;$C389&amp;"|"&amp;$D389&amp;"|"&amp;AI$14&amp;"|"&amp;"CY2023Q3",Spectrum!$R:$R,0)),0),SUM($U389)+SUM($AI389)))</f>
        <v>0</v>
      </c>
      <c r="AK389" s="10" t="str">
        <f aca="false">IF(LEFT($B389,4)="_Mil","",_xlfn.IFNA(ROUND(INDEX(Spectrum!$N:$N,MATCH(RIGHT($B389,13)&amp;"|"&amp;$C389&amp;"|"&amp;$D389&amp;"|"&amp;AK$14&amp;"|"&amp;"CY2023Q3",Spectrum!$R:$R,0)),0),""))</f>
        <v/>
      </c>
      <c r="AL389" s="88" t="n">
        <f aca="false">IF(OR(LEFT($B389,4)="_Mil",$C389="&lt;01"),"",MAX(SUM($AA389),90%))</f>
        <v>643</v>
      </c>
      <c r="AM389" s="10" t="n">
        <f aca="false">IF(OR(LEFT($B389,4)="_Mil",$C389="&lt;01"),"",ROUND(SUM($AJ389)*SUM($AL389),0))</f>
        <v>0</v>
      </c>
      <c r="AN389" s="10" t="str">
        <f aca="false">IF($C389="&lt;01",ROUND(INDEX(EID!$P:$P,MATCH($B389,EID!$B:$B,0))/2,0),"")</f>
        <v/>
      </c>
      <c r="AO389" s="10" t="n">
        <f aca="false">IF($C389="&lt;01",SUM($AN389),ROUND(SUM($AM389)*SUM($O389)/IF(SUM($Z389)=0,1,$Z389),0))</f>
        <v>0</v>
      </c>
      <c r="AP389" s="39" t="n">
        <f aca="false">IF(OR($F389="",$C389="&lt;01"),$AO389,$F389)</f>
        <v>0</v>
      </c>
      <c r="AQ389" s="39" t="n">
        <f aca="false">IF(LEFT($B389,4)="_Mil","",IF(SUM($AP389)=0,SUM($Z389),IF(OR(SUM($Z389)=0,SUM($O389)=0),MAX($AP389,$Z389),$AP389*$Z389/$O389)))</f>
        <v>1981</v>
      </c>
      <c r="AR389" s="88" t="str">
        <f aca="false">IF(OR(LEFT($B389,4)="_Mil",SUM($AJ389)=0),"",SUM($AQ389)/$AJ389)</f>
        <v/>
      </c>
      <c r="AS389" s="88" t="n">
        <f aca="false">IF($C389="&lt;01","",98%)</f>
        <v>0.98</v>
      </c>
      <c r="AT389" s="88" t="n">
        <f aca="false">IF($C389="&lt;01","",98%)</f>
        <v>0.98</v>
      </c>
      <c r="AU389" s="10" t="n">
        <f aca="false">IF($C389="&lt;01","",SUM($AP389)-SUM($O389))</f>
        <v>0</v>
      </c>
      <c r="AV389" s="10" t="n">
        <f aca="false">IF($C389="&lt;01",ROUND(INDEX(EID!$N:$N,MATCH($B389,EID!$B:$B,0))/2,0),IF(SUM($AT389)=0,"",ROUND((SUM($AP389)-(SUM($O389)*SUM($AS389)))/$AT389,0)))</f>
        <v>0</v>
      </c>
      <c r="AW389" s="88" t="n">
        <f aca="false">IF($C389="&lt;01","",100%)</f>
        <v>1</v>
      </c>
      <c r="AX389" s="39" t="n">
        <f aca="false">IF($C389="&lt;01",SUM($AV389),ROUND(SUM($AV389)*SUM($AW389),0))</f>
        <v>0</v>
      </c>
      <c r="AY389" s="114" t="n">
        <f aca="false">IF($C389="&lt;01","",70%)</f>
        <v>0.7</v>
      </c>
      <c r="AZ389" s="91" t="n">
        <f aca="false">IF($C389="&lt;01",ROUND(INDEX(EID!$R:$R,MATCH($B389,EID!$B:$B,0))/2,0),ROUND(SUM($O389)+(SUM($AV389)*$AY389),0))</f>
        <v>0</v>
      </c>
      <c r="BA389" s="87" t="n">
        <f aca="false">IF($C389="&lt;01","",95%)</f>
        <v>0.95</v>
      </c>
      <c r="BB389" s="5" t="n">
        <f aca="false">IF($C389="&lt;01",ROUND(INDEX(EID!$T:$T,MATCH($B389,EID!$B:$B,0))/2,0),ROUND($AZ389*$BA389,0))</f>
        <v>0</v>
      </c>
      <c r="BC389" s="91" t="n">
        <f aca="false">IF(LEFT($B389,4)="_Mil","",IF(SUM($BB389)=0,SUM($AD389),IF(OR(SUM($AP389)=0,SUM($AQ389)=0),MAX($BB389,$AD389),ROUND($BB389*$AQ389/$AP389,0))))</f>
        <v>0</v>
      </c>
      <c r="BD389" s="88" t="n">
        <f aca="false">IF($C389="&lt;01","",95%)</f>
        <v>0.95</v>
      </c>
      <c r="BE389" s="39" t="n">
        <f aca="false">IF($C389="&lt;01",ROUND(INDEX(EID!$V:$V,MATCH($B389,EID!$B:$B,0))/2,0),ROUND($BD389*$BB389,0))</f>
        <v>0</v>
      </c>
      <c r="BF389" s="39" t="n">
        <f aca="false">IF(LEFT($B389,4)="_Mil","",IF(SUM($BE389)=0,SUM($AF389),IF(OR(SUM($AP389)=0,SUM($AQ389)=0),MAX($BE389,$AF389),ROUND($BE389*$AQ389/$AP389,0))))</f>
        <v>0</v>
      </c>
      <c r="BG389" s="114" t="n">
        <f aca="false">IF($C389="&lt;01","",95%)</f>
        <v>0.95</v>
      </c>
      <c r="BH389" s="5" t="n">
        <f aca="false">IF($C389="&lt;01",ROUND(INDEX(EID!$L:$L,MATCH($B389,EID!$B:$B,0)),0)/2,IF(SUM($BG389)=0,"",ROUND($AX389/$BG389,0)))</f>
        <v>0</v>
      </c>
    </row>
    <row r="390" customFormat="false" ht="15" hidden="false" customHeight="false" outlineLevel="0" collapsed="false">
      <c r="A390" s="0" t="str">
        <f aca="false">INDEX(Prioritization!$D:$D,MATCH($B390,Prioritization!$A:$A,0))</f>
        <v>INVALID</v>
      </c>
      <c r="B390" s="0" t="s">
        <v>220</v>
      </c>
      <c r="C390" s="0" t="s">
        <v>367</v>
      </c>
      <c r="D390" s="0" t="s">
        <v>48</v>
      </c>
      <c r="E390" s="0" t="str">
        <f aca="false">$B390&amp;"|"&amp;$C390&amp;"|"&amp;$D390</f>
        <v>Phalombe District [AZyWpGzhcaA]|35-49|Male</v>
      </c>
      <c r="F390" s="10"/>
      <c r="G390" s="10"/>
      <c r="H390" s="10"/>
      <c r="I390" s="10"/>
      <c r="J390" s="10"/>
      <c r="K390" s="10"/>
      <c r="L390" s="10"/>
      <c r="M390" s="10"/>
      <c r="N390" s="10"/>
      <c r="O390" s="10" t="str">
        <f aca="false">IFERROR(1/(1/MAX($I390,$N390)),"")</f>
        <v/>
      </c>
      <c r="P390" s="10"/>
      <c r="Q390" s="10"/>
      <c r="R390" s="10" t="str">
        <f aca="false">IF(AND(SUM($I390)=0,SUM($O390)=0),"",SUM($O390)-$I390)</f>
        <v/>
      </c>
      <c r="S390" s="10" t="n">
        <f aca="false">IF(LEFT($B390,4)="_Mil","",_xlfn.IFNA(ROUND(INDEX(Spectrum!$N:$N,MATCH(RIGHT($B390,13)&amp;"|"&amp;$C390&amp;"|"&amp;$D390&amp;"|"&amp;S$14&amp;"|"&amp;"CY2022Q4",Spectrum!$R:$R,0)),0),""))</f>
        <v>664</v>
      </c>
      <c r="T390" s="39" t="n">
        <f aca="false">IF(LEFT($B390,4)="_Mil","",_xlfn.IFNA(ROUND(INDEX(Spectrum!$N:$N,MATCH(RIGHT($B390,13)&amp;"|"&amp;$C390&amp;"|"&amp;$D390&amp;"|"&amp;T$14&amp;"|"&amp;"CY2023Q3",Spectrum!$R:$R,0)),0),""))</f>
        <v>1355</v>
      </c>
      <c r="U390" s="39" t="str">
        <f aca="false">IF(LEFT($B390,4)="_Mil","",_xlfn.IFNA(ROUND(INDEX(Spectrum!$N:$N,MATCH(RIGHT($B390,13)&amp;"|"&amp;$C390&amp;"|"&amp;$D390&amp;"|"&amp;U$14&amp;"|"&amp;"CY2023Q3",Spectrum!$R:$R,0)),0),""))</f>
        <v/>
      </c>
      <c r="V390" s="10" t="n">
        <f aca="false">IF(LEFT($B390,4)="_Mil","",_xlfn.IFNA(ROUND(INDEX(Spectrum!$N:$N,MATCH(RIGHT($B390,13)&amp;"|"&amp;$C390&amp;"|"&amp;$D390&amp;"|"&amp;V$14&amp;"|"&amp;"CY2023Q3",Spectrum!$R:$R,0)),0),""))</f>
        <v>1916</v>
      </c>
      <c r="W390" s="113" t="n">
        <f aca="false">IF(LEFT($B390,4)="_Mil","",_xlfn.IFNA(INDEX(Spectrum!$N:$N,MATCH(RIGHT($B390,13)&amp;"|"&amp;$C390&amp;"|"&amp;$D390&amp;"|"&amp;W$14&amp;"|"&amp;"CY2023Q3",Spectrum!$R:$R,0)),""))</f>
        <v>1176</v>
      </c>
      <c r="X390" s="39" t="n">
        <f aca="false">IF(LEFT($B390,4)="_Mil","",_xlfn.IFNA(ROUND(INDEX(Spectrum!$N:$N,MATCH(RIGHT($B390,13)&amp;"|"&amp;$C390&amp;"|"&amp;$D390&amp;"|"&amp;X$14&amp;"|"&amp;"CY2023Q3",Spectrum!$R:$R,0)),0),""))</f>
        <v>537</v>
      </c>
      <c r="Y390" s="88" t="str">
        <f aca="false">IF(OR(SUM($U390)=0,LEFT($B390,4)="_Mil"),"",SUM($X390)/$U390)</f>
        <v/>
      </c>
      <c r="Z390" s="39" t="n">
        <f aca="false">IF(LEFT($B390,4)="_Mil","",_xlfn.IFNA(ROUND(INDEX(Spectrum!$N:$N,MATCH(RIGHT($B390,13)&amp;"|"&amp;$C390&amp;"|"&amp;$D390&amp;"|"&amp;Z$14&amp;"|"&amp;"CY2023Q3",Spectrum!$R:$R,0)),0),""))</f>
        <v>1134</v>
      </c>
      <c r="AA390" s="88" t="n">
        <f aca="false">IF(LEFT($B390,4)="_Mil","",IFERROR(1/(1/INDEX(Spectrum!$N:$N,MATCH(RIGHT($B390,13)&amp;"|"&amp;$C390&amp;"|"&amp;$D390&amp;"|"&amp;AA$14&amp;"|"&amp;"CY2023Q3",Spectrum!$R:$R,0))),IF(SUM($U390)=0,"",SUM($Z390)/$U390)))</f>
        <v>1029</v>
      </c>
      <c r="AB390" s="88" t="n">
        <f aca="false">IF(OR(LEFT($B390,4)="_Mil",SUM($X390)=0),"",SUM($Z390)/$X390)</f>
        <v>2.11173184357542</v>
      </c>
      <c r="AC390" s="10" t="n">
        <f aca="false">IF(LEFT($B390,4)="_Mil","",_xlfn.IFNA(ROUND(INDEX(Spectrum!$N:$N,MATCH(RIGHT($B390,13)&amp;"|"&amp;$C390&amp;"|"&amp;$D390&amp;"|"&amp;AC$14&amp;"|"&amp;"CY2023Q3",Spectrum!$R:$R,0)),0),""))</f>
        <v>1744</v>
      </c>
      <c r="AD390" s="10" t="str">
        <f aca="false">IF(LEFT($B390,4)="_Mil","",_xlfn.IFNA(ROUND(INDEX(Spectrum!$N:$N,MATCH(RIGHT($B390,13)&amp;"|"&amp;$C390&amp;"|"&amp;$D390&amp;"|"&amp;AD$14&amp;"|"&amp;"CY2023Q3",Spectrum!$R:$R,0)),0),""))</f>
        <v/>
      </c>
      <c r="AE390" s="88" t="n">
        <f aca="false">IF(OR(LEFT($B390,4)="_Mil",SUM($Z390)=0),"",SUM($AD390)/$Z390)</f>
        <v>0</v>
      </c>
      <c r="AF390" s="39" t="str">
        <f aca="false">IF(LEFT($B390,4)="_Mil","",_xlfn.IFNA(ROUND(INDEX(Spectrum!$N:$N,MATCH(RIGHT($B390,13)&amp;"|"&amp;$C390&amp;"|"&amp;$D390&amp;"|"&amp;AF$14&amp;"|"&amp;"CY2023Q3",Spectrum!$R:$R,0)),0),""))</f>
        <v/>
      </c>
      <c r="AG390" s="88" t="str">
        <f aca="false">IF(OR(LEFT($B390,4)="_Mil",SUM($AD390)=0),"",SUM($AF390)/$AD390)</f>
        <v/>
      </c>
      <c r="AH390" s="86" t="str">
        <f aca="false">IF(LEFT($B390,4)="_Mil","",_xlfn.IFNA(INDEX(Spectrum!$N:$N,MATCH(RIGHT($B390,13)&amp;"|"&amp;$C390&amp;"|"&amp;$D390&amp;"|"&amp;AH$14&amp;"|"&amp;"CY2023Q3",Spectrum!$R:$R,0)),""))</f>
        <v/>
      </c>
      <c r="AI390" s="10" t="str">
        <f aca="false">IF(LEFT($B390,4)="_Mil","",_xlfn.IFNA(ROUND(INDEX(Spectrum!$N:$N,MATCH(RIGHT($B390,13)&amp;"|"&amp;$C390&amp;"|"&amp;$D390&amp;"|"&amp;AI$14&amp;"|"&amp;"CY2023Q3",Spectrum!$R:$R,0)),0),""))</f>
        <v/>
      </c>
      <c r="AJ390" s="39" t="n">
        <f aca="false">IF(LEFT($B390,4)="_Mil","",_xlfn.IFNA(ROUND(INDEX(Spectrum!$N:$N,MATCH(RIGHT($B390,13)&amp;"|"&amp;$C390&amp;"|"&amp;$D390&amp;"|"&amp;AI$14&amp;"|"&amp;"CY2023Q3",Spectrum!$R:$R,0)),0),SUM($U390)+SUM($AI390)))</f>
        <v>0</v>
      </c>
      <c r="AK390" s="10" t="str">
        <f aca="false">IF(LEFT($B390,4)="_Mil","",_xlfn.IFNA(ROUND(INDEX(Spectrum!$N:$N,MATCH(RIGHT($B390,13)&amp;"|"&amp;$C390&amp;"|"&amp;$D390&amp;"|"&amp;AK$14&amp;"|"&amp;"CY2023Q3",Spectrum!$R:$R,0)),0),""))</f>
        <v/>
      </c>
      <c r="AL390" s="88" t="n">
        <f aca="false">IF(OR(LEFT($B390,4)="_Mil",$C390="&lt;01"),"",MAX(SUM($AA390),90%))</f>
        <v>1029</v>
      </c>
      <c r="AM390" s="10" t="n">
        <f aca="false">IF(OR(LEFT($B390,4)="_Mil",$C390="&lt;01"),"",ROUND(SUM($AJ390)*SUM($AL390),0))</f>
        <v>0</v>
      </c>
      <c r="AN390" s="10" t="str">
        <f aca="false">IF($C390="&lt;01",ROUND(INDEX(EID!$P:$P,MATCH($B390,EID!$B:$B,0))/2,0),"")</f>
        <v/>
      </c>
      <c r="AO390" s="10" t="n">
        <f aca="false">IF($C390="&lt;01",SUM($AN390),ROUND(SUM($AM390)*SUM($O390)/IF(SUM($Z390)=0,1,$Z390),0))</f>
        <v>0</v>
      </c>
      <c r="AP390" s="39" t="n">
        <f aca="false">IF(OR($F390="",$C390="&lt;01"),$AO390,$F390)</f>
        <v>0</v>
      </c>
      <c r="AQ390" s="39" t="n">
        <f aca="false">IF(LEFT($B390,4)="_Mil","",IF(SUM($AP390)=0,SUM($Z390),IF(OR(SUM($Z390)=0,SUM($O390)=0),MAX($AP390,$Z390),$AP390*$Z390/$O390)))</f>
        <v>1134</v>
      </c>
      <c r="AR390" s="88" t="str">
        <f aca="false">IF(OR(LEFT($B390,4)="_Mil",SUM($AJ390)=0),"",SUM($AQ390)/$AJ390)</f>
        <v/>
      </c>
      <c r="AS390" s="88" t="n">
        <f aca="false">IF($C390="&lt;01","",98%)</f>
        <v>0.98</v>
      </c>
      <c r="AT390" s="88" t="n">
        <f aca="false">IF($C390="&lt;01","",98%)</f>
        <v>0.98</v>
      </c>
      <c r="AU390" s="10" t="n">
        <f aca="false">IF($C390="&lt;01","",SUM($AP390)-SUM($O390))</f>
        <v>0</v>
      </c>
      <c r="AV390" s="10" t="n">
        <f aca="false">IF($C390="&lt;01",ROUND(INDEX(EID!$N:$N,MATCH($B390,EID!$B:$B,0))/2,0),IF(SUM($AT390)=0,"",ROUND((SUM($AP390)-(SUM($O390)*SUM($AS390)))/$AT390,0)))</f>
        <v>0</v>
      </c>
      <c r="AW390" s="88" t="n">
        <f aca="false">IF($C390="&lt;01","",100%)</f>
        <v>1</v>
      </c>
      <c r="AX390" s="39" t="n">
        <f aca="false">IF($C390="&lt;01",SUM($AV390),ROUND(SUM($AV390)*SUM($AW390),0))</f>
        <v>0</v>
      </c>
      <c r="AY390" s="114" t="n">
        <f aca="false">IF($C390="&lt;01","",70%)</f>
        <v>0.7</v>
      </c>
      <c r="AZ390" s="91" t="n">
        <f aca="false">IF($C390="&lt;01",ROUND(INDEX(EID!$R:$R,MATCH($B390,EID!$B:$B,0))/2,0),ROUND(SUM($O390)+(SUM($AV390)*$AY390),0))</f>
        <v>0</v>
      </c>
      <c r="BA390" s="87" t="n">
        <f aca="false">IF($C390="&lt;01","",95%)</f>
        <v>0.95</v>
      </c>
      <c r="BB390" s="5" t="n">
        <f aca="false">IF($C390="&lt;01",ROUND(INDEX(EID!$T:$T,MATCH($B390,EID!$B:$B,0))/2,0),ROUND($AZ390*$BA390,0))</f>
        <v>0</v>
      </c>
      <c r="BC390" s="91" t="n">
        <f aca="false">IF(LEFT($B390,4)="_Mil","",IF(SUM($BB390)=0,SUM($AD390),IF(OR(SUM($AP390)=0,SUM($AQ390)=0),MAX($BB390,$AD390),ROUND($BB390*$AQ390/$AP390,0))))</f>
        <v>0</v>
      </c>
      <c r="BD390" s="88" t="n">
        <f aca="false">IF($C390="&lt;01","",95%)</f>
        <v>0.95</v>
      </c>
      <c r="BE390" s="39" t="n">
        <f aca="false">IF($C390="&lt;01",ROUND(INDEX(EID!$V:$V,MATCH($B390,EID!$B:$B,0))/2,0),ROUND($BD390*$BB390,0))</f>
        <v>0</v>
      </c>
      <c r="BF390" s="39" t="n">
        <f aca="false">IF(LEFT($B390,4)="_Mil","",IF(SUM($BE390)=0,SUM($AF390),IF(OR(SUM($AP390)=0,SUM($AQ390)=0),MAX($BE390,$AF390),ROUND($BE390*$AQ390/$AP390,0))))</f>
        <v>0</v>
      </c>
      <c r="BG390" s="114" t="n">
        <f aca="false">IF($C390="&lt;01","",95%)</f>
        <v>0.95</v>
      </c>
      <c r="BH390" s="5" t="n">
        <f aca="false">IF($C390="&lt;01",ROUND(INDEX(EID!$L:$L,MATCH($B390,EID!$B:$B,0)),0)/2,IF(SUM($BG390)=0,"",ROUND($AX390/$BG390,0)))</f>
        <v>0</v>
      </c>
    </row>
    <row r="391" customFormat="false" ht="15" hidden="false" customHeight="false" outlineLevel="0" collapsed="false">
      <c r="A391" s="0" t="str">
        <f aca="false">INDEX(Prioritization!$D:$D,MATCH($B391,Prioritization!$A:$A,0))</f>
        <v>INVALID</v>
      </c>
      <c r="B391" s="0" t="s">
        <v>220</v>
      </c>
      <c r="C391" s="0" t="s">
        <v>368</v>
      </c>
      <c r="D391" s="0" t="s">
        <v>30</v>
      </c>
      <c r="E391" s="0" t="str">
        <f aca="false">$B391&amp;"|"&amp;$C391&amp;"|"&amp;$D391</f>
        <v>Phalombe District [AZyWpGzhcaA]|50+|Female</v>
      </c>
      <c r="F391" s="10"/>
      <c r="G391" s="10"/>
      <c r="H391" s="10"/>
      <c r="I391" s="10"/>
      <c r="J391" s="10"/>
      <c r="K391" s="10"/>
      <c r="L391" s="10"/>
      <c r="M391" s="10"/>
      <c r="N391" s="10"/>
      <c r="O391" s="10" t="str">
        <f aca="false">IFERROR(1/(1/MAX($I391,$N391)),"")</f>
        <v/>
      </c>
      <c r="P391" s="10"/>
      <c r="Q391" s="10"/>
      <c r="R391" s="10" t="str">
        <f aca="false">IF(AND(SUM($I391)=0,SUM($O391)=0),"",SUM($O391)-$I391)</f>
        <v/>
      </c>
      <c r="S391" s="10" t="n">
        <f aca="false">IF(LEFT($B391,4)="_Mil","",_xlfn.IFNA(ROUND(INDEX(Spectrum!$N:$N,MATCH(RIGHT($B391,13)&amp;"|"&amp;$C391&amp;"|"&amp;$D391&amp;"|"&amp;S$14&amp;"|"&amp;"CY2022Q4",Spectrum!$R:$R,0)),0),""))</f>
        <v>1965</v>
      </c>
      <c r="T391" s="39" t="n">
        <f aca="false">IF(LEFT($B391,4)="_Mil","",_xlfn.IFNA(ROUND(INDEX(Spectrum!$N:$N,MATCH(RIGHT($B391,13)&amp;"|"&amp;$C391&amp;"|"&amp;$D391&amp;"|"&amp;T$14&amp;"|"&amp;"CY2023Q3",Spectrum!$R:$R,0)),0),""))</f>
        <v>524</v>
      </c>
      <c r="U391" s="39" t="str">
        <f aca="false">IF(LEFT($B391,4)="_Mil","",_xlfn.IFNA(ROUND(INDEX(Spectrum!$N:$N,MATCH(RIGHT($B391,13)&amp;"|"&amp;$C391&amp;"|"&amp;$D391&amp;"|"&amp;U$14&amp;"|"&amp;"CY2023Q3",Spectrum!$R:$R,0)),0),""))</f>
        <v/>
      </c>
      <c r="V391" s="10" t="n">
        <f aca="false">IF(LEFT($B391,4)="_Mil","",_xlfn.IFNA(ROUND(INDEX(Spectrum!$N:$N,MATCH(RIGHT($B391,13)&amp;"|"&amp;$C391&amp;"|"&amp;$D391&amp;"|"&amp;V$14&amp;"|"&amp;"CY2023Q3",Spectrum!$R:$R,0)),0),""))</f>
        <v>606</v>
      </c>
      <c r="W391" s="113" t="n">
        <f aca="false">IF(LEFT($B391,4)="_Mil","",_xlfn.IFNA(INDEX(Spectrum!$N:$N,MATCH(RIGHT($B391,13)&amp;"|"&amp;$C391&amp;"|"&amp;$D391&amp;"|"&amp;W$14&amp;"|"&amp;"CY2023Q3",Spectrum!$R:$R,0)),""))</f>
        <v>1532</v>
      </c>
      <c r="X391" s="39" t="n">
        <f aca="false">IF(LEFT($B391,4)="_Mil","",_xlfn.IFNA(ROUND(INDEX(Spectrum!$N:$N,MATCH(RIGHT($B391,13)&amp;"|"&amp;$C391&amp;"|"&amp;$D391&amp;"|"&amp;X$14&amp;"|"&amp;"CY2023Q3",Spectrum!$R:$R,0)),0),""))</f>
        <v>1650</v>
      </c>
      <c r="Y391" s="88" t="str">
        <f aca="false">IF(OR(SUM($U391)=0,LEFT($B391,4)="_Mil"),"",SUM($X391)/$U391)</f>
        <v/>
      </c>
      <c r="Z391" s="39" t="n">
        <f aca="false">IF(LEFT($B391,4)="_Mil","",_xlfn.IFNA(ROUND(INDEX(Spectrum!$N:$N,MATCH(RIGHT($B391,13)&amp;"|"&amp;$C391&amp;"|"&amp;$D391&amp;"|"&amp;Z$14&amp;"|"&amp;"CY2023Q3",Spectrum!$R:$R,0)),0),""))</f>
        <v>962</v>
      </c>
      <c r="AA391" s="88" t="n">
        <f aca="false">IF(LEFT($B391,4)="_Mil","",IFERROR(1/(1/INDEX(Spectrum!$N:$N,MATCH(RIGHT($B391,13)&amp;"|"&amp;$C391&amp;"|"&amp;$D391&amp;"|"&amp;AA$14&amp;"|"&amp;"CY2023Q3",Spectrum!$R:$R,0))),IF(SUM($U391)=0,"",SUM($Z391)/$U391)))</f>
        <v>660</v>
      </c>
      <c r="AB391" s="88" t="n">
        <f aca="false">IF(OR(LEFT($B391,4)="_Mil",SUM($X391)=0),"",SUM($Z391)/$X391)</f>
        <v>0.583030303030303</v>
      </c>
      <c r="AC391" s="10" t="n">
        <f aca="false">IF(LEFT($B391,4)="_Mil","",_xlfn.IFNA(ROUND(INDEX(Spectrum!$N:$N,MATCH(RIGHT($B391,13)&amp;"|"&amp;$C391&amp;"|"&amp;$D391&amp;"|"&amp;AC$14&amp;"|"&amp;"CY2023Q3",Spectrum!$R:$R,0)),0),""))</f>
        <v>1130</v>
      </c>
      <c r="AD391" s="10" t="str">
        <f aca="false">IF(LEFT($B391,4)="_Mil","",_xlfn.IFNA(ROUND(INDEX(Spectrum!$N:$N,MATCH(RIGHT($B391,13)&amp;"|"&amp;$C391&amp;"|"&amp;$D391&amp;"|"&amp;AD$14&amp;"|"&amp;"CY2023Q3",Spectrum!$R:$R,0)),0),""))</f>
        <v/>
      </c>
      <c r="AE391" s="88" t="n">
        <f aca="false">IF(OR(LEFT($B391,4)="_Mil",SUM($Z391)=0),"",SUM($AD391)/$Z391)</f>
        <v>0</v>
      </c>
      <c r="AF391" s="39" t="str">
        <f aca="false">IF(LEFT($B391,4)="_Mil","",_xlfn.IFNA(ROUND(INDEX(Spectrum!$N:$N,MATCH(RIGHT($B391,13)&amp;"|"&amp;$C391&amp;"|"&amp;$D391&amp;"|"&amp;AF$14&amp;"|"&amp;"CY2023Q3",Spectrum!$R:$R,0)),0),""))</f>
        <v/>
      </c>
      <c r="AG391" s="88" t="str">
        <f aca="false">IF(OR(LEFT($B391,4)="_Mil",SUM($AD391)=0),"",SUM($AF391)/$AD391)</f>
        <v/>
      </c>
      <c r="AH391" s="86" t="str">
        <f aca="false">IF(LEFT($B391,4)="_Mil","",_xlfn.IFNA(INDEX(Spectrum!$N:$N,MATCH(RIGHT($B391,13)&amp;"|"&amp;$C391&amp;"|"&amp;$D391&amp;"|"&amp;AH$14&amp;"|"&amp;"CY2023Q3",Spectrum!$R:$R,0)),""))</f>
        <v/>
      </c>
      <c r="AI391" s="10" t="str">
        <f aca="false">IF(LEFT($B391,4)="_Mil","",_xlfn.IFNA(ROUND(INDEX(Spectrum!$N:$N,MATCH(RIGHT($B391,13)&amp;"|"&amp;$C391&amp;"|"&amp;$D391&amp;"|"&amp;AI$14&amp;"|"&amp;"CY2023Q3",Spectrum!$R:$R,0)),0),""))</f>
        <v/>
      </c>
      <c r="AJ391" s="39" t="n">
        <f aca="false">IF(LEFT($B391,4)="_Mil","",_xlfn.IFNA(ROUND(INDEX(Spectrum!$N:$N,MATCH(RIGHT($B391,13)&amp;"|"&amp;$C391&amp;"|"&amp;$D391&amp;"|"&amp;AI$14&amp;"|"&amp;"CY2023Q3",Spectrum!$R:$R,0)),0),SUM($U391)+SUM($AI391)))</f>
        <v>0</v>
      </c>
      <c r="AK391" s="10" t="str">
        <f aca="false">IF(LEFT($B391,4)="_Mil","",_xlfn.IFNA(ROUND(INDEX(Spectrum!$N:$N,MATCH(RIGHT($B391,13)&amp;"|"&amp;$C391&amp;"|"&amp;$D391&amp;"|"&amp;AK$14&amp;"|"&amp;"CY2023Q3",Spectrum!$R:$R,0)),0),""))</f>
        <v/>
      </c>
      <c r="AL391" s="88" t="n">
        <f aca="false">IF(OR(LEFT($B391,4)="_Mil",$C391="&lt;01"),"",MAX(SUM($AA391),90%))</f>
        <v>660</v>
      </c>
      <c r="AM391" s="10" t="n">
        <f aca="false">IF(OR(LEFT($B391,4)="_Mil",$C391="&lt;01"),"",ROUND(SUM($AJ391)*SUM($AL391),0))</f>
        <v>0</v>
      </c>
      <c r="AN391" s="10" t="str">
        <f aca="false">IF($C391="&lt;01",ROUND(INDEX(EID!$P:$P,MATCH($B391,EID!$B:$B,0))/2,0),"")</f>
        <v/>
      </c>
      <c r="AO391" s="10" t="n">
        <f aca="false">IF($C391="&lt;01",SUM($AN391),ROUND(SUM($AM391)*SUM($O391)/IF(SUM($Z391)=0,1,$Z391),0))</f>
        <v>0</v>
      </c>
      <c r="AP391" s="39" t="n">
        <f aca="false">IF(OR($F391="",$C391="&lt;01"),$AO391,$F391)</f>
        <v>0</v>
      </c>
      <c r="AQ391" s="39" t="n">
        <f aca="false">IF(LEFT($B391,4)="_Mil","",IF(SUM($AP391)=0,SUM($Z391),IF(OR(SUM($Z391)=0,SUM($O391)=0),MAX($AP391,$Z391),$AP391*$Z391/$O391)))</f>
        <v>962</v>
      </c>
      <c r="AR391" s="88" t="str">
        <f aca="false">IF(OR(LEFT($B391,4)="_Mil",SUM($AJ391)=0),"",SUM($AQ391)/$AJ391)</f>
        <v/>
      </c>
      <c r="AS391" s="88" t="n">
        <f aca="false">IF($C391="&lt;01","",98%)</f>
        <v>0.98</v>
      </c>
      <c r="AT391" s="88" t="n">
        <f aca="false">IF($C391="&lt;01","",98%)</f>
        <v>0.98</v>
      </c>
      <c r="AU391" s="10" t="n">
        <f aca="false">IF($C391="&lt;01","",SUM($AP391)-SUM($O391))</f>
        <v>0</v>
      </c>
      <c r="AV391" s="10" t="n">
        <f aca="false">IF($C391="&lt;01",ROUND(INDEX(EID!$N:$N,MATCH($B391,EID!$B:$B,0))/2,0),IF(SUM($AT391)=0,"",ROUND((SUM($AP391)-(SUM($O391)*SUM($AS391)))/$AT391,0)))</f>
        <v>0</v>
      </c>
      <c r="AW391" s="88" t="n">
        <f aca="false">IF($C391="&lt;01","",100%)</f>
        <v>1</v>
      </c>
      <c r="AX391" s="39" t="n">
        <f aca="false">IF($C391="&lt;01",SUM($AV391),ROUND(SUM($AV391)*SUM($AW391),0))</f>
        <v>0</v>
      </c>
      <c r="AY391" s="114" t="n">
        <f aca="false">IF($C391="&lt;01","",70%)</f>
        <v>0.7</v>
      </c>
      <c r="AZ391" s="91" t="n">
        <f aca="false">IF($C391="&lt;01",ROUND(INDEX(EID!$R:$R,MATCH($B391,EID!$B:$B,0))/2,0),ROUND(SUM($O391)+(SUM($AV391)*$AY391),0))</f>
        <v>0</v>
      </c>
      <c r="BA391" s="87" t="n">
        <f aca="false">IF($C391="&lt;01","",95%)</f>
        <v>0.95</v>
      </c>
      <c r="BB391" s="5" t="n">
        <f aca="false">IF($C391="&lt;01",ROUND(INDEX(EID!$T:$T,MATCH($B391,EID!$B:$B,0))/2,0),ROUND($AZ391*$BA391,0))</f>
        <v>0</v>
      </c>
      <c r="BC391" s="91" t="n">
        <f aca="false">IF(LEFT($B391,4)="_Mil","",IF(SUM($BB391)=0,SUM($AD391),IF(OR(SUM($AP391)=0,SUM($AQ391)=0),MAX($BB391,$AD391),ROUND($BB391*$AQ391/$AP391,0))))</f>
        <v>0</v>
      </c>
      <c r="BD391" s="88" t="n">
        <f aca="false">IF($C391="&lt;01","",95%)</f>
        <v>0.95</v>
      </c>
      <c r="BE391" s="39" t="n">
        <f aca="false">IF($C391="&lt;01",ROUND(INDEX(EID!$V:$V,MATCH($B391,EID!$B:$B,0))/2,0),ROUND($BD391*$BB391,0))</f>
        <v>0</v>
      </c>
      <c r="BF391" s="39" t="n">
        <f aca="false">IF(LEFT($B391,4)="_Mil","",IF(SUM($BE391)=0,SUM($AF391),IF(OR(SUM($AP391)=0,SUM($AQ391)=0),MAX($BE391,$AF391),ROUND($BE391*$AQ391/$AP391,0))))</f>
        <v>0</v>
      </c>
      <c r="BG391" s="114" t="n">
        <f aca="false">IF($C391="&lt;01","",95%)</f>
        <v>0.95</v>
      </c>
      <c r="BH391" s="5" t="n">
        <f aca="false">IF($C391="&lt;01",ROUND(INDEX(EID!$L:$L,MATCH($B391,EID!$B:$B,0)),0)/2,IF(SUM($BG391)=0,"",ROUND($AX391/$BG391,0)))</f>
        <v>0</v>
      </c>
    </row>
    <row r="392" customFormat="false" ht="15" hidden="false" customHeight="false" outlineLevel="0" collapsed="false">
      <c r="A392" s="0" t="str">
        <f aca="false">INDEX(Prioritization!$D:$D,MATCH($B392,Prioritization!$A:$A,0))</f>
        <v>INVALID</v>
      </c>
      <c r="B392" s="0" t="s">
        <v>220</v>
      </c>
      <c r="C392" s="0" t="s">
        <v>368</v>
      </c>
      <c r="D392" s="0" t="s">
        <v>48</v>
      </c>
      <c r="E392" s="0" t="str">
        <f aca="false">$B392&amp;"|"&amp;$C392&amp;"|"&amp;$D392</f>
        <v>Phalombe District [AZyWpGzhcaA]|50+|Male</v>
      </c>
      <c r="F392" s="10"/>
      <c r="G392" s="10"/>
      <c r="H392" s="10"/>
      <c r="I392" s="10"/>
      <c r="J392" s="10"/>
      <c r="K392" s="10"/>
      <c r="L392" s="10"/>
      <c r="M392" s="10"/>
      <c r="N392" s="10"/>
      <c r="O392" s="10" t="str">
        <f aca="false">IFERROR(1/(1/MAX($I392,$N392)),"")</f>
        <v/>
      </c>
      <c r="P392" s="10"/>
      <c r="Q392" s="10"/>
      <c r="R392" s="10" t="str">
        <f aca="false">IF(AND(SUM($I392)=0,SUM($O392)=0),"",SUM($O392)-$I392)</f>
        <v/>
      </c>
      <c r="S392" s="10" t="n">
        <f aca="false">IF(LEFT($B392,4)="_Mil","",_xlfn.IFNA(ROUND(INDEX(Spectrum!$N:$N,MATCH(RIGHT($B392,13)&amp;"|"&amp;$C392&amp;"|"&amp;$D392&amp;"|"&amp;S$14&amp;"|"&amp;"CY2022Q4",Spectrum!$R:$R,0)),0),""))</f>
        <v>744</v>
      </c>
      <c r="T392" s="39" t="n">
        <f aca="false">IF(LEFT($B392,4)="_Mil","",_xlfn.IFNA(ROUND(INDEX(Spectrum!$N:$N,MATCH(RIGHT($B392,13)&amp;"|"&amp;$C392&amp;"|"&amp;$D392&amp;"|"&amp;T$14&amp;"|"&amp;"CY2023Q3",Spectrum!$R:$R,0)),0),""))</f>
        <v>661</v>
      </c>
      <c r="U392" s="39" t="str">
        <f aca="false">IF(LEFT($B392,4)="_Mil","",_xlfn.IFNA(ROUND(INDEX(Spectrum!$N:$N,MATCH(RIGHT($B392,13)&amp;"|"&amp;$C392&amp;"|"&amp;$D392&amp;"|"&amp;U$14&amp;"|"&amp;"CY2023Q3",Spectrum!$R:$R,0)),0),""))</f>
        <v/>
      </c>
      <c r="V392" s="10" t="n">
        <f aca="false">IF(LEFT($B392,4)="_Mil","",_xlfn.IFNA(ROUND(INDEX(Spectrum!$N:$N,MATCH(RIGHT($B392,13)&amp;"|"&amp;$C392&amp;"|"&amp;$D392&amp;"|"&amp;V$14&amp;"|"&amp;"CY2023Q3",Spectrum!$R:$R,0)),0),""))</f>
        <v>790</v>
      </c>
      <c r="W392" s="113" t="n">
        <f aca="false">IF(LEFT($B392,4)="_Mil","",_xlfn.IFNA(INDEX(Spectrum!$N:$N,MATCH(RIGHT($B392,13)&amp;"|"&amp;$C392&amp;"|"&amp;$D392&amp;"|"&amp;W$14&amp;"|"&amp;"CY2023Q3",Spectrum!$R:$R,0)),""))</f>
        <v>1501</v>
      </c>
      <c r="X392" s="39" t="n">
        <f aca="false">IF(LEFT($B392,4)="_Mil","",_xlfn.IFNA(ROUND(INDEX(Spectrum!$N:$N,MATCH(RIGHT($B392,13)&amp;"|"&amp;$C392&amp;"|"&amp;$D392&amp;"|"&amp;X$14&amp;"|"&amp;"CY2023Q3",Spectrum!$R:$R,0)),0),""))</f>
        <v>1315</v>
      </c>
      <c r="Y392" s="88" t="str">
        <f aca="false">IF(OR(SUM($U392)=0,LEFT($B392,4)="_Mil"),"",SUM($X392)/$U392)</f>
        <v/>
      </c>
      <c r="Z392" s="39" t="n">
        <f aca="false">IF(LEFT($B392,4)="_Mil","",_xlfn.IFNA(ROUND(INDEX(Spectrum!$N:$N,MATCH(RIGHT($B392,13)&amp;"|"&amp;$C392&amp;"|"&amp;$D392&amp;"|"&amp;Z$14&amp;"|"&amp;"CY2023Q3",Spectrum!$R:$R,0)),0),""))</f>
        <v>1157</v>
      </c>
      <c r="AA392" s="88" t="n">
        <f aca="false">IF(LEFT($B392,4)="_Mil","",IFERROR(1/(1/INDEX(Spectrum!$N:$N,MATCH(RIGHT($B392,13)&amp;"|"&amp;$C392&amp;"|"&amp;$D392&amp;"|"&amp;AA$14&amp;"|"&amp;"CY2023Q3",Spectrum!$R:$R,0))),IF(SUM($U392)=0,"",SUM($Z392)/$U392)))</f>
        <v>1796</v>
      </c>
      <c r="AB392" s="88" t="n">
        <f aca="false">IF(OR(LEFT($B392,4)="_Mil",SUM($X392)=0),"",SUM($Z392)/$X392)</f>
        <v>0.879847908745247</v>
      </c>
      <c r="AC392" s="10" t="n">
        <f aca="false">IF(LEFT($B392,4)="_Mil","",_xlfn.IFNA(ROUND(INDEX(Spectrum!$N:$N,MATCH(RIGHT($B392,13)&amp;"|"&amp;$C392&amp;"|"&amp;$D392&amp;"|"&amp;AC$14&amp;"|"&amp;"CY2023Q3",Spectrum!$R:$R,0)),0),""))</f>
        <v>545</v>
      </c>
      <c r="AD392" s="10" t="str">
        <f aca="false">IF(LEFT($B392,4)="_Mil","",_xlfn.IFNA(ROUND(INDEX(Spectrum!$N:$N,MATCH(RIGHT($B392,13)&amp;"|"&amp;$C392&amp;"|"&amp;$D392&amp;"|"&amp;AD$14&amp;"|"&amp;"CY2023Q3",Spectrum!$R:$R,0)),0),""))</f>
        <v/>
      </c>
      <c r="AE392" s="88" t="n">
        <f aca="false">IF(OR(LEFT($B392,4)="_Mil",SUM($Z392)=0),"",SUM($AD392)/$Z392)</f>
        <v>0</v>
      </c>
      <c r="AF392" s="39" t="str">
        <f aca="false">IF(LEFT($B392,4)="_Mil","",_xlfn.IFNA(ROUND(INDEX(Spectrum!$N:$N,MATCH(RIGHT($B392,13)&amp;"|"&amp;$C392&amp;"|"&amp;$D392&amp;"|"&amp;AF$14&amp;"|"&amp;"CY2023Q3",Spectrum!$R:$R,0)),0),""))</f>
        <v/>
      </c>
      <c r="AG392" s="88" t="str">
        <f aca="false">IF(OR(LEFT($B392,4)="_Mil",SUM($AD392)=0),"",SUM($AF392)/$AD392)</f>
        <v/>
      </c>
      <c r="AH392" s="86" t="str">
        <f aca="false">IF(LEFT($B392,4)="_Mil","",_xlfn.IFNA(INDEX(Spectrum!$N:$N,MATCH(RIGHT($B392,13)&amp;"|"&amp;$C392&amp;"|"&amp;$D392&amp;"|"&amp;AH$14&amp;"|"&amp;"CY2023Q3",Spectrum!$R:$R,0)),""))</f>
        <v/>
      </c>
      <c r="AI392" s="10" t="str">
        <f aca="false">IF(LEFT($B392,4)="_Mil","",_xlfn.IFNA(ROUND(INDEX(Spectrum!$N:$N,MATCH(RIGHT($B392,13)&amp;"|"&amp;$C392&amp;"|"&amp;$D392&amp;"|"&amp;AI$14&amp;"|"&amp;"CY2023Q3",Spectrum!$R:$R,0)),0),""))</f>
        <v/>
      </c>
      <c r="AJ392" s="39" t="n">
        <f aca="false">IF(LEFT($B392,4)="_Mil","",_xlfn.IFNA(ROUND(INDEX(Spectrum!$N:$N,MATCH(RIGHT($B392,13)&amp;"|"&amp;$C392&amp;"|"&amp;$D392&amp;"|"&amp;AI$14&amp;"|"&amp;"CY2023Q3",Spectrum!$R:$R,0)),0),SUM($U392)+SUM($AI392)))</f>
        <v>0</v>
      </c>
      <c r="AK392" s="10" t="str">
        <f aca="false">IF(LEFT($B392,4)="_Mil","",_xlfn.IFNA(ROUND(INDEX(Spectrum!$N:$N,MATCH(RIGHT($B392,13)&amp;"|"&amp;$C392&amp;"|"&amp;$D392&amp;"|"&amp;AK$14&amp;"|"&amp;"CY2023Q3",Spectrum!$R:$R,0)),0),""))</f>
        <v/>
      </c>
      <c r="AL392" s="88" t="n">
        <f aca="false">IF(OR(LEFT($B392,4)="_Mil",$C392="&lt;01"),"",MAX(SUM($AA392),90%))</f>
        <v>1796</v>
      </c>
      <c r="AM392" s="10" t="n">
        <f aca="false">IF(OR(LEFT($B392,4)="_Mil",$C392="&lt;01"),"",ROUND(SUM($AJ392)*SUM($AL392),0))</f>
        <v>0</v>
      </c>
      <c r="AN392" s="10" t="str">
        <f aca="false">IF($C392="&lt;01",ROUND(INDEX(EID!$P:$P,MATCH($B392,EID!$B:$B,0))/2,0),"")</f>
        <v/>
      </c>
      <c r="AO392" s="10" t="n">
        <f aca="false">IF($C392="&lt;01",SUM($AN392),ROUND(SUM($AM392)*SUM($O392)/IF(SUM($Z392)=0,1,$Z392),0))</f>
        <v>0</v>
      </c>
      <c r="AP392" s="39" t="n">
        <f aca="false">IF(OR($F392="",$C392="&lt;01"),$AO392,$F392)</f>
        <v>0</v>
      </c>
      <c r="AQ392" s="39" t="n">
        <f aca="false">IF(LEFT($B392,4)="_Mil","",IF(SUM($AP392)=0,SUM($Z392),IF(OR(SUM($Z392)=0,SUM($O392)=0),MAX($AP392,$Z392),$AP392*$Z392/$O392)))</f>
        <v>1157</v>
      </c>
      <c r="AR392" s="88" t="str">
        <f aca="false">IF(OR(LEFT($B392,4)="_Mil",SUM($AJ392)=0),"",SUM($AQ392)/$AJ392)</f>
        <v/>
      </c>
      <c r="AS392" s="88" t="n">
        <f aca="false">IF($C392="&lt;01","",98%)</f>
        <v>0.98</v>
      </c>
      <c r="AT392" s="88" t="n">
        <f aca="false">IF($C392="&lt;01","",98%)</f>
        <v>0.98</v>
      </c>
      <c r="AU392" s="10" t="n">
        <f aca="false">IF($C392="&lt;01","",SUM($AP392)-SUM($O392))</f>
        <v>0</v>
      </c>
      <c r="AV392" s="10" t="n">
        <f aca="false">IF($C392="&lt;01",ROUND(INDEX(EID!$N:$N,MATCH($B392,EID!$B:$B,0))/2,0),IF(SUM($AT392)=0,"",ROUND((SUM($AP392)-(SUM($O392)*SUM($AS392)))/$AT392,0)))</f>
        <v>0</v>
      </c>
      <c r="AW392" s="88" t="n">
        <f aca="false">IF($C392="&lt;01","",100%)</f>
        <v>1</v>
      </c>
      <c r="AX392" s="39" t="n">
        <f aca="false">IF($C392="&lt;01",SUM($AV392),ROUND(SUM($AV392)*SUM($AW392),0))</f>
        <v>0</v>
      </c>
      <c r="AY392" s="114" t="n">
        <f aca="false">IF($C392="&lt;01","",70%)</f>
        <v>0.7</v>
      </c>
      <c r="AZ392" s="91" t="n">
        <f aca="false">IF($C392="&lt;01",ROUND(INDEX(EID!$R:$R,MATCH($B392,EID!$B:$B,0))/2,0),ROUND(SUM($O392)+(SUM($AV392)*$AY392),0))</f>
        <v>0</v>
      </c>
      <c r="BA392" s="87" t="n">
        <f aca="false">IF($C392="&lt;01","",95%)</f>
        <v>0.95</v>
      </c>
      <c r="BB392" s="5" t="n">
        <f aca="false">IF($C392="&lt;01",ROUND(INDEX(EID!$T:$T,MATCH($B392,EID!$B:$B,0))/2,0),ROUND($AZ392*$BA392,0))</f>
        <v>0</v>
      </c>
      <c r="BC392" s="91" t="n">
        <f aca="false">IF(LEFT($B392,4)="_Mil","",IF(SUM($BB392)=0,SUM($AD392),IF(OR(SUM($AP392)=0,SUM($AQ392)=0),MAX($BB392,$AD392),ROUND($BB392*$AQ392/$AP392,0))))</f>
        <v>0</v>
      </c>
      <c r="BD392" s="88" t="n">
        <f aca="false">IF($C392="&lt;01","",95%)</f>
        <v>0.95</v>
      </c>
      <c r="BE392" s="39" t="n">
        <f aca="false">IF($C392="&lt;01",ROUND(INDEX(EID!$V:$V,MATCH($B392,EID!$B:$B,0))/2,0),ROUND($BD392*$BB392,0))</f>
        <v>0</v>
      </c>
      <c r="BF392" s="39" t="n">
        <f aca="false">IF(LEFT($B392,4)="_Mil","",IF(SUM($BE392)=0,SUM($AF392),IF(OR(SUM($AP392)=0,SUM($AQ392)=0),MAX($BE392,$AF392),ROUND($BE392*$AQ392/$AP392,0))))</f>
        <v>0</v>
      </c>
      <c r="BG392" s="114" t="n">
        <f aca="false">IF($C392="&lt;01","",95%)</f>
        <v>0.95</v>
      </c>
      <c r="BH392" s="5" t="n">
        <f aca="false">IF($C392="&lt;01",ROUND(INDEX(EID!$L:$L,MATCH($B392,EID!$B:$B,0)),0)/2,IF(SUM($BG392)=0,"",ROUND($AX392/$BG392,0)))</f>
        <v>0</v>
      </c>
    </row>
    <row r="393" customFormat="false" ht="15" hidden="false" customHeight="false" outlineLevel="0" collapsed="false">
      <c r="A393" s="0" t="str">
        <f aca="false">INDEX(Prioritization!$D:$D,MATCH($B393,Prioritization!$A:$A,0))</f>
        <v>1 - Scale-up: Saturation</v>
      </c>
      <c r="B393" s="0" t="s">
        <v>221</v>
      </c>
      <c r="C393" s="0" t="s">
        <v>316</v>
      </c>
      <c r="D393" s="0" t="s">
        <v>30</v>
      </c>
      <c r="E393" s="0" t="str">
        <f aca="false">$B393&amp;"|"&amp;$C393&amp;"|"&amp;$D393</f>
        <v>Thyolo District [ul0y9diGujK]|&lt;01|Female</v>
      </c>
      <c r="F393" s="10"/>
      <c r="G393" s="10" t="n">
        <v>5</v>
      </c>
      <c r="H393" s="10" t="n">
        <v>6</v>
      </c>
      <c r="I393" s="10" t="n">
        <v>1</v>
      </c>
      <c r="J393" s="10" t="n">
        <v>4</v>
      </c>
      <c r="K393" s="10" t="n">
        <v>9</v>
      </c>
      <c r="L393" s="10"/>
      <c r="M393" s="10" t="n">
        <v>0</v>
      </c>
      <c r="N393" s="10" t="n">
        <v>0</v>
      </c>
      <c r="O393" s="10" t="n">
        <f aca="false">IFERROR(1/(1/MAX($I393,$N393)),"")</f>
        <v>1</v>
      </c>
      <c r="P393" s="10" t="n">
        <v>1</v>
      </c>
      <c r="Q393" s="10" t="n">
        <v>0</v>
      </c>
      <c r="R393" s="10" t="n">
        <f aca="false">IF(AND(SUM($I393)=0,SUM($O393)=0),"",SUM($O393)-$I393)</f>
        <v>0</v>
      </c>
      <c r="S393" s="10" t="n">
        <f aca="false">IF(LEFT($B393,4)="_Mil","",_xlfn.IFNA(ROUND(INDEX(Spectrum!$N:$N,MATCH(RIGHT($B393,13)&amp;"|"&amp;$C393&amp;"|"&amp;$D393&amp;"|"&amp;S$14&amp;"|"&amp;"CY2022Q4",Spectrum!$R:$R,0)),0),""))</f>
        <v>1758</v>
      </c>
      <c r="T393" s="39" t="n">
        <f aca="false">IF(LEFT($B393,4)="_Mil","",_xlfn.IFNA(ROUND(INDEX(Spectrum!$N:$N,MATCH(RIGHT($B393,13)&amp;"|"&amp;$C393&amp;"|"&amp;$D393&amp;"|"&amp;T$14&amp;"|"&amp;"CY2023Q3",Spectrum!$R:$R,0)),0),""))</f>
        <v>1179</v>
      </c>
      <c r="U393" s="39" t="str">
        <f aca="false">IF(LEFT($B393,4)="_Mil","",_xlfn.IFNA(ROUND(INDEX(Spectrum!$N:$N,MATCH(RIGHT($B393,13)&amp;"|"&amp;$C393&amp;"|"&amp;$D393&amp;"|"&amp;U$14&amp;"|"&amp;"CY2023Q3",Spectrum!$R:$R,0)),0),""))</f>
        <v/>
      </c>
      <c r="V393" s="10" t="n">
        <f aca="false">IF(LEFT($B393,4)="_Mil","",_xlfn.IFNA(ROUND(INDEX(Spectrum!$N:$N,MATCH(RIGHT($B393,13)&amp;"|"&amp;$C393&amp;"|"&amp;$D393&amp;"|"&amp;V$14&amp;"|"&amp;"CY2023Q3",Spectrum!$R:$R,0)),0),""))</f>
        <v>561</v>
      </c>
      <c r="W393" s="113" t="n">
        <f aca="false">IF(LEFT($B393,4)="_Mil","",_xlfn.IFNA(INDEX(Spectrum!$N:$N,MATCH(RIGHT($B393,13)&amp;"|"&amp;$C393&amp;"|"&amp;$D393&amp;"|"&amp;W$14&amp;"|"&amp;"CY2023Q3",Spectrum!$R:$R,0)),""))</f>
        <v>1228</v>
      </c>
      <c r="X393" s="39" t="n">
        <f aca="false">IF(LEFT($B393,4)="_Mil","",_xlfn.IFNA(ROUND(INDEX(Spectrum!$N:$N,MATCH(RIGHT($B393,13)&amp;"|"&amp;$C393&amp;"|"&amp;$D393&amp;"|"&amp;X$14&amp;"|"&amp;"CY2023Q3",Spectrum!$R:$R,0)),0),""))</f>
        <v>1578</v>
      </c>
      <c r="Y393" s="88" t="str">
        <f aca="false">IF(OR(SUM($U393)=0,LEFT($B393,4)="_Mil"),"",SUM($X393)/$U393)</f>
        <v/>
      </c>
      <c r="Z393" s="39" t="n">
        <f aca="false">IF(LEFT($B393,4)="_Mil","",_xlfn.IFNA(ROUND(INDEX(Spectrum!$N:$N,MATCH(RIGHT($B393,13)&amp;"|"&amp;$C393&amp;"|"&amp;$D393&amp;"|"&amp;Z$14&amp;"|"&amp;"CY2023Q3",Spectrum!$R:$R,0)),0),""))</f>
        <v>1838</v>
      </c>
      <c r="AA393" s="88" t="n">
        <f aca="false">IF(LEFT($B393,4)="_Mil","",IFERROR(1/(1/INDEX(Spectrum!$N:$N,MATCH(RIGHT($B393,13)&amp;"|"&amp;$C393&amp;"|"&amp;$D393&amp;"|"&amp;AA$14&amp;"|"&amp;"CY2023Q3",Spectrum!$R:$R,0))),IF(SUM($U393)=0,"",SUM($Z393)/$U393)))</f>
        <v>1051</v>
      </c>
      <c r="AB393" s="88" t="n">
        <f aca="false">IF(OR(LEFT($B393,4)="_Mil",SUM($X393)=0),"",SUM($Z393)/$X393)</f>
        <v>1.16476552598226</v>
      </c>
      <c r="AC393" s="10" t="n">
        <f aca="false">IF(LEFT($B393,4)="_Mil","",_xlfn.IFNA(ROUND(INDEX(Spectrum!$N:$N,MATCH(RIGHT($B393,13)&amp;"|"&amp;$C393&amp;"|"&amp;$D393&amp;"|"&amp;AC$14&amp;"|"&amp;"CY2023Q3",Spectrum!$R:$R,0)),0),""))</f>
        <v>911</v>
      </c>
      <c r="AD393" s="10" t="str">
        <f aca="false">IF(LEFT($B393,4)="_Mil","",_xlfn.IFNA(ROUND(INDEX(Spectrum!$N:$N,MATCH(RIGHT($B393,13)&amp;"|"&amp;$C393&amp;"|"&amp;$D393&amp;"|"&amp;AD$14&amp;"|"&amp;"CY2023Q3",Spectrum!$R:$R,0)),0),""))</f>
        <v/>
      </c>
      <c r="AE393" s="88" t="n">
        <f aca="false">IF(OR(LEFT($B393,4)="_Mil",SUM($Z393)=0),"",SUM($AD393)/$Z393)</f>
        <v>0</v>
      </c>
      <c r="AF393" s="39" t="str">
        <f aca="false">IF(LEFT($B393,4)="_Mil","",_xlfn.IFNA(ROUND(INDEX(Spectrum!$N:$N,MATCH(RIGHT($B393,13)&amp;"|"&amp;$C393&amp;"|"&amp;$D393&amp;"|"&amp;AF$14&amp;"|"&amp;"CY2023Q3",Spectrum!$R:$R,0)),0),""))</f>
        <v/>
      </c>
      <c r="AG393" s="88" t="str">
        <f aca="false">IF(OR(LEFT($B393,4)="_Mil",SUM($AD393)=0),"",SUM($AF393)/$AD393)</f>
        <v/>
      </c>
      <c r="AH393" s="86" t="str">
        <f aca="false">IF(LEFT($B393,4)="_Mil","",_xlfn.IFNA(INDEX(Spectrum!$N:$N,MATCH(RIGHT($B393,13)&amp;"|"&amp;$C393&amp;"|"&amp;$D393&amp;"|"&amp;AH$14&amp;"|"&amp;"CY2023Q3",Spectrum!$R:$R,0)),""))</f>
        <v/>
      </c>
      <c r="AI393" s="10" t="str">
        <f aca="false">IF(LEFT($B393,4)="_Mil","",_xlfn.IFNA(ROUND(INDEX(Spectrum!$N:$N,MATCH(RIGHT($B393,13)&amp;"|"&amp;$C393&amp;"|"&amp;$D393&amp;"|"&amp;AI$14&amp;"|"&amp;"CY2023Q3",Spectrum!$R:$R,0)),0),""))</f>
        <v/>
      </c>
      <c r="AJ393" s="39" t="n">
        <f aca="false">IF(LEFT($B393,4)="_Mil","",_xlfn.IFNA(ROUND(INDEX(Spectrum!$N:$N,MATCH(RIGHT($B393,13)&amp;"|"&amp;$C393&amp;"|"&amp;$D393&amp;"|"&amp;AI$14&amp;"|"&amp;"CY2023Q3",Spectrum!$R:$R,0)),0),SUM($U393)+SUM($AI393)))</f>
        <v>0</v>
      </c>
      <c r="AK393" s="10" t="str">
        <f aca="false">IF(LEFT($B393,4)="_Mil","",_xlfn.IFNA(ROUND(INDEX(Spectrum!$N:$N,MATCH(RIGHT($B393,13)&amp;"|"&amp;$C393&amp;"|"&amp;$D393&amp;"|"&amp;AK$14&amp;"|"&amp;"CY2023Q3",Spectrum!$R:$R,0)),0),""))</f>
        <v/>
      </c>
      <c r="AL393" s="88" t="str">
        <f aca="false">IF(OR(LEFT($B393,4)="_Mil",$C393="&lt;01"),"",MAX(SUM($AA393),90%))</f>
        <v/>
      </c>
      <c r="AM393" s="10" t="str">
        <f aca="false">IF(OR(LEFT($B393,4)="_Mil",$C393="&lt;01"),"",ROUND(SUM($AJ393)*SUM($AL393),0))</f>
        <v/>
      </c>
      <c r="AN393" s="10" t="n">
        <f aca="false">IF($C393="&lt;01",ROUND(INDEX(EID!$P:$P,MATCH($B393,EID!$B:$B,0))/2,0),"")</f>
        <v>1</v>
      </c>
      <c r="AO393" s="10" t="n">
        <f aca="false">IF($C393="&lt;01",SUM($AN393),ROUND(SUM($AM393)*SUM($O393)/IF(SUM($Z393)=0,1,$Z393),0))</f>
        <v>1</v>
      </c>
      <c r="AP393" s="39" t="n">
        <f aca="false">IF(OR($F393="",$C393="&lt;01"),$AO393,$F393)</f>
        <v>1</v>
      </c>
      <c r="AQ393" s="39" t="n">
        <f aca="false">IF(LEFT($B393,4)="_Mil","",IF(SUM($AP393)=0,SUM($Z393),IF(OR(SUM($Z393)=0,SUM($O393)=0),MAX($AP393,$Z393),$AP393*$Z393/$O393)))</f>
        <v>1838</v>
      </c>
      <c r="AR393" s="88" t="str">
        <f aca="false">IF(OR(LEFT($B393,4)="_Mil",SUM($AJ393)=0),"",SUM($AQ393)/$AJ393)</f>
        <v/>
      </c>
      <c r="AS393" s="88" t="str">
        <f aca="false">IF($C393="&lt;01","",98%)</f>
        <v/>
      </c>
      <c r="AT393" s="88" t="str">
        <f aca="false">IF($C393="&lt;01","",98%)</f>
        <v/>
      </c>
      <c r="AU393" s="10" t="str">
        <f aca="false">IF($C393="&lt;01","",SUM($AP393)-SUM($O393))</f>
        <v/>
      </c>
      <c r="AV393" s="10" t="n">
        <f aca="false">IF($C393="&lt;01",ROUND(INDEX(EID!$N:$N,MATCH($B393,EID!$B:$B,0))/2,0),IF(SUM($AT393)=0,"",ROUND((SUM($AP393)-(SUM($O393)*SUM($AS393)))/$AT393,0)))</f>
        <v>1</v>
      </c>
      <c r="AW393" s="88" t="str">
        <f aca="false">IF($C393="&lt;01","",100%)</f>
        <v/>
      </c>
      <c r="AX393" s="39" t="n">
        <f aca="false">IF($C393="&lt;01",SUM($AV393),ROUND(SUM($AV393)*SUM($AW393),0))</f>
        <v>1</v>
      </c>
      <c r="AY393" s="114" t="str">
        <f aca="false">IF($C393="&lt;01","",70%)</f>
        <v/>
      </c>
      <c r="AZ393" s="91" t="n">
        <f aca="false">IF($C393="&lt;01",ROUND(INDEX(EID!$R:$R,MATCH($B393,EID!$B:$B,0))/2,0),ROUND(SUM($O393)+(SUM($AV393)*$AY393),0))</f>
        <v>1</v>
      </c>
      <c r="BA393" s="87" t="str">
        <f aca="false">IF($C393="&lt;01","",95%)</f>
        <v/>
      </c>
      <c r="BB393" s="5" t="n">
        <f aca="false">IF($C393="&lt;01",ROUND(INDEX(EID!$T:$T,MATCH($B393,EID!$B:$B,0))/2,0),ROUND($AZ393*$BA393,0))</f>
        <v>1</v>
      </c>
      <c r="BC393" s="91" t="n">
        <f aca="false">IF(LEFT($B393,4)="_Mil","",IF(SUM($BB393)=0,SUM($AD393),IF(OR(SUM($AP393)=0,SUM($AQ393)=0),MAX($BB393,$AD393),ROUND($BB393*$AQ393/$AP393,0))))</f>
        <v>1838</v>
      </c>
      <c r="BD393" s="88" t="str">
        <f aca="false">IF($C393="&lt;01","",95%)</f>
        <v/>
      </c>
      <c r="BE393" s="39" t="n">
        <f aca="false">IF($C393="&lt;01",ROUND(INDEX(EID!$V:$V,MATCH($B393,EID!$B:$B,0))/2,0),ROUND($BD393*$BB393,0))</f>
        <v>1</v>
      </c>
      <c r="BF393" s="39" t="n">
        <f aca="false">IF(LEFT($B393,4)="_Mil","",IF(SUM($BE393)=0,SUM($AF393),IF(OR(SUM($AP393)=0,SUM($AQ393)=0),MAX($BE393,$AF393),ROUND($BE393*$AQ393/$AP393,0))))</f>
        <v>1838</v>
      </c>
      <c r="BG393" s="114" t="str">
        <f aca="false">IF($C393="&lt;01","",95%)</f>
        <v/>
      </c>
      <c r="BH393" s="5" t="n">
        <f aca="false">IF($C393="&lt;01",ROUND(INDEX(EID!$L:$L,MATCH($B393,EID!$B:$B,0)),0)/2,IF(SUM($BG393)=0,"",ROUND($AX393/$BG393,0)))</f>
        <v>1</v>
      </c>
    </row>
    <row r="394" customFormat="false" ht="15" hidden="false" customHeight="false" outlineLevel="0" collapsed="false">
      <c r="A394" s="0" t="str">
        <f aca="false">INDEX(Prioritization!$D:$D,MATCH($B394,Prioritization!$A:$A,0))</f>
        <v>1 - Scale-up: Saturation</v>
      </c>
      <c r="B394" s="0" t="s">
        <v>221</v>
      </c>
      <c r="C394" s="0" t="s">
        <v>316</v>
      </c>
      <c r="D394" s="0" t="s">
        <v>48</v>
      </c>
      <c r="E394" s="0" t="str">
        <f aca="false">$B394&amp;"|"&amp;$C394&amp;"|"&amp;$D394</f>
        <v>Thyolo District [ul0y9diGujK]|&lt;01|Male</v>
      </c>
      <c r="F394" s="10"/>
      <c r="G394" s="10" t="n">
        <v>6</v>
      </c>
      <c r="H394" s="10" t="n">
        <v>6</v>
      </c>
      <c r="I394" s="10" t="n">
        <v>1</v>
      </c>
      <c r="J394" s="10" t="n">
        <v>7</v>
      </c>
      <c r="K394" s="10" t="n">
        <v>6</v>
      </c>
      <c r="L394" s="10"/>
      <c r="M394" s="10" t="n">
        <v>0</v>
      </c>
      <c r="N394" s="10" t="n">
        <v>1</v>
      </c>
      <c r="O394" s="10" t="n">
        <f aca="false">IFERROR(1/(1/MAX($I394,$N394)),"")</f>
        <v>1</v>
      </c>
      <c r="P394" s="10" t="n">
        <v>0</v>
      </c>
      <c r="Q394" s="10" t="n">
        <v>1</v>
      </c>
      <c r="R394" s="10" t="n">
        <f aca="false">IF(AND(SUM($I394)=0,SUM($O394)=0),"",SUM($O394)-$I394)</f>
        <v>0</v>
      </c>
      <c r="S394" s="10" t="n">
        <f aca="false">IF(LEFT($B394,4)="_Mil","",_xlfn.IFNA(ROUND(INDEX(Spectrum!$N:$N,MATCH(RIGHT($B394,13)&amp;"|"&amp;$C394&amp;"|"&amp;$D394&amp;"|"&amp;S$14&amp;"|"&amp;"CY2022Q4",Spectrum!$R:$R,0)),0),""))</f>
        <v>1564</v>
      </c>
      <c r="T394" s="39" t="n">
        <f aca="false">IF(LEFT($B394,4)="_Mil","",_xlfn.IFNA(ROUND(INDEX(Spectrum!$N:$N,MATCH(RIGHT($B394,13)&amp;"|"&amp;$C394&amp;"|"&amp;$D394&amp;"|"&amp;T$14&amp;"|"&amp;"CY2023Q3",Spectrum!$R:$R,0)),0),""))</f>
        <v>918</v>
      </c>
      <c r="U394" s="39" t="str">
        <f aca="false">IF(LEFT($B394,4)="_Mil","",_xlfn.IFNA(ROUND(INDEX(Spectrum!$N:$N,MATCH(RIGHT($B394,13)&amp;"|"&amp;$C394&amp;"|"&amp;$D394&amp;"|"&amp;U$14&amp;"|"&amp;"CY2023Q3",Spectrum!$R:$R,0)),0),""))</f>
        <v/>
      </c>
      <c r="V394" s="10" t="n">
        <f aca="false">IF(LEFT($B394,4)="_Mil","",_xlfn.IFNA(ROUND(INDEX(Spectrum!$N:$N,MATCH(RIGHT($B394,13)&amp;"|"&amp;$C394&amp;"|"&amp;$D394&amp;"|"&amp;V$14&amp;"|"&amp;"CY2023Q3",Spectrum!$R:$R,0)),0),""))</f>
        <v>874</v>
      </c>
      <c r="W394" s="113" t="n">
        <f aca="false">IF(LEFT($B394,4)="_Mil","",_xlfn.IFNA(INDEX(Spectrum!$N:$N,MATCH(RIGHT($B394,13)&amp;"|"&amp;$C394&amp;"|"&amp;$D394&amp;"|"&amp;W$14&amp;"|"&amp;"CY2023Q3",Spectrum!$R:$R,0)),""))</f>
        <v>717</v>
      </c>
      <c r="X394" s="39" t="n">
        <f aca="false">IF(LEFT($B394,4)="_Mil","",_xlfn.IFNA(ROUND(INDEX(Spectrum!$N:$N,MATCH(RIGHT($B394,13)&amp;"|"&amp;$C394&amp;"|"&amp;$D394&amp;"|"&amp;X$14&amp;"|"&amp;"CY2023Q3",Spectrum!$R:$R,0)),0),""))</f>
        <v>1256</v>
      </c>
      <c r="Y394" s="88" t="str">
        <f aca="false">IF(OR(SUM($U394)=0,LEFT($B394,4)="_Mil"),"",SUM($X394)/$U394)</f>
        <v/>
      </c>
      <c r="Z394" s="39" t="n">
        <f aca="false">IF(LEFT($B394,4)="_Mil","",_xlfn.IFNA(ROUND(INDEX(Spectrum!$N:$N,MATCH(RIGHT($B394,13)&amp;"|"&amp;$C394&amp;"|"&amp;$D394&amp;"|"&amp;Z$14&amp;"|"&amp;"CY2023Q3",Spectrum!$R:$R,0)),0),""))</f>
        <v>1962</v>
      </c>
      <c r="AA394" s="88" t="n">
        <f aca="false">IF(LEFT($B394,4)="_Mil","",IFERROR(1/(1/INDEX(Spectrum!$N:$N,MATCH(RIGHT($B394,13)&amp;"|"&amp;$C394&amp;"|"&amp;$D394&amp;"|"&amp;AA$14&amp;"|"&amp;"CY2023Q3",Spectrum!$R:$R,0))),IF(SUM($U394)=0,"",SUM($Z394)/$U394)))</f>
        <v>585</v>
      </c>
      <c r="AB394" s="88" t="n">
        <f aca="false">IF(OR(LEFT($B394,4)="_Mil",SUM($X394)=0),"",SUM($Z394)/$X394)</f>
        <v>1.56210191082803</v>
      </c>
      <c r="AC394" s="10" t="n">
        <f aca="false">IF(LEFT($B394,4)="_Mil","",_xlfn.IFNA(ROUND(INDEX(Spectrum!$N:$N,MATCH(RIGHT($B394,13)&amp;"|"&amp;$C394&amp;"|"&amp;$D394&amp;"|"&amp;AC$14&amp;"|"&amp;"CY2023Q3",Spectrum!$R:$R,0)),0),""))</f>
        <v>1678</v>
      </c>
      <c r="AD394" s="10" t="str">
        <f aca="false">IF(LEFT($B394,4)="_Mil","",_xlfn.IFNA(ROUND(INDEX(Spectrum!$N:$N,MATCH(RIGHT($B394,13)&amp;"|"&amp;$C394&amp;"|"&amp;$D394&amp;"|"&amp;AD$14&amp;"|"&amp;"CY2023Q3",Spectrum!$R:$R,0)),0),""))</f>
        <v/>
      </c>
      <c r="AE394" s="88" t="n">
        <f aca="false">IF(OR(LEFT($B394,4)="_Mil",SUM($Z394)=0),"",SUM($AD394)/$Z394)</f>
        <v>0</v>
      </c>
      <c r="AF394" s="39" t="str">
        <f aca="false">IF(LEFT($B394,4)="_Mil","",_xlfn.IFNA(ROUND(INDEX(Spectrum!$N:$N,MATCH(RIGHT($B394,13)&amp;"|"&amp;$C394&amp;"|"&amp;$D394&amp;"|"&amp;AF$14&amp;"|"&amp;"CY2023Q3",Spectrum!$R:$R,0)),0),""))</f>
        <v/>
      </c>
      <c r="AG394" s="88" t="str">
        <f aca="false">IF(OR(LEFT($B394,4)="_Mil",SUM($AD394)=0),"",SUM($AF394)/$AD394)</f>
        <v/>
      </c>
      <c r="AH394" s="86" t="str">
        <f aca="false">IF(LEFT($B394,4)="_Mil","",_xlfn.IFNA(INDEX(Spectrum!$N:$N,MATCH(RIGHT($B394,13)&amp;"|"&amp;$C394&amp;"|"&amp;$D394&amp;"|"&amp;AH$14&amp;"|"&amp;"CY2023Q3",Spectrum!$R:$R,0)),""))</f>
        <v/>
      </c>
      <c r="AI394" s="10" t="str">
        <f aca="false">IF(LEFT($B394,4)="_Mil","",_xlfn.IFNA(ROUND(INDEX(Spectrum!$N:$N,MATCH(RIGHT($B394,13)&amp;"|"&amp;$C394&amp;"|"&amp;$D394&amp;"|"&amp;AI$14&amp;"|"&amp;"CY2023Q3",Spectrum!$R:$R,0)),0),""))</f>
        <v/>
      </c>
      <c r="AJ394" s="39" t="n">
        <f aca="false">IF(LEFT($B394,4)="_Mil","",_xlfn.IFNA(ROUND(INDEX(Spectrum!$N:$N,MATCH(RIGHT($B394,13)&amp;"|"&amp;$C394&amp;"|"&amp;$D394&amp;"|"&amp;AI$14&amp;"|"&amp;"CY2023Q3",Spectrum!$R:$R,0)),0),SUM($U394)+SUM($AI394)))</f>
        <v>0</v>
      </c>
      <c r="AK394" s="10" t="str">
        <f aca="false">IF(LEFT($B394,4)="_Mil","",_xlfn.IFNA(ROUND(INDEX(Spectrum!$N:$N,MATCH(RIGHT($B394,13)&amp;"|"&amp;$C394&amp;"|"&amp;$D394&amp;"|"&amp;AK$14&amp;"|"&amp;"CY2023Q3",Spectrum!$R:$R,0)),0),""))</f>
        <v/>
      </c>
      <c r="AL394" s="88" t="str">
        <f aca="false">IF(OR(LEFT($B394,4)="_Mil",$C394="&lt;01"),"",MAX(SUM($AA394),90%))</f>
        <v/>
      </c>
      <c r="AM394" s="10" t="str">
        <f aca="false">IF(OR(LEFT($B394,4)="_Mil",$C394="&lt;01"),"",ROUND(SUM($AJ394)*SUM($AL394),0))</f>
        <v/>
      </c>
      <c r="AN394" s="10" t="n">
        <f aca="false">IF($C394="&lt;01",ROUND(INDEX(EID!$P:$P,MATCH($B394,EID!$B:$B,0))/2,0),"")</f>
        <v>1</v>
      </c>
      <c r="AO394" s="10" t="n">
        <f aca="false">IF($C394="&lt;01",SUM($AN394),ROUND(SUM($AM394)*SUM($O394)/IF(SUM($Z394)=0,1,$Z394),0))</f>
        <v>1</v>
      </c>
      <c r="AP394" s="39" t="n">
        <f aca="false">IF(OR($F394="",$C394="&lt;01"),$AO394,$F394)</f>
        <v>1</v>
      </c>
      <c r="AQ394" s="39" t="n">
        <f aca="false">IF(LEFT($B394,4)="_Mil","",IF(SUM($AP394)=0,SUM($Z394),IF(OR(SUM($Z394)=0,SUM($O394)=0),MAX($AP394,$Z394),$AP394*$Z394/$O394)))</f>
        <v>1962</v>
      </c>
      <c r="AR394" s="88" t="str">
        <f aca="false">IF(OR(LEFT($B394,4)="_Mil",SUM($AJ394)=0),"",SUM($AQ394)/$AJ394)</f>
        <v/>
      </c>
      <c r="AS394" s="88" t="str">
        <f aca="false">IF($C394="&lt;01","",98%)</f>
        <v/>
      </c>
      <c r="AT394" s="88" t="str">
        <f aca="false">IF($C394="&lt;01","",98%)</f>
        <v/>
      </c>
      <c r="AU394" s="10" t="str">
        <f aca="false">IF($C394="&lt;01","",SUM($AP394)-SUM($O394))</f>
        <v/>
      </c>
      <c r="AV394" s="10" t="n">
        <f aca="false">IF($C394="&lt;01",ROUND(INDEX(EID!$N:$N,MATCH($B394,EID!$B:$B,0))/2,0),IF(SUM($AT394)=0,"",ROUND((SUM($AP394)-(SUM($O394)*SUM($AS394)))/$AT394,0)))</f>
        <v>1</v>
      </c>
      <c r="AW394" s="88" t="str">
        <f aca="false">IF($C394="&lt;01","",100%)</f>
        <v/>
      </c>
      <c r="AX394" s="39" t="n">
        <f aca="false">IF($C394="&lt;01",SUM($AV394),ROUND(SUM($AV394)*SUM($AW394),0))</f>
        <v>1</v>
      </c>
      <c r="AY394" s="114" t="str">
        <f aca="false">IF($C394="&lt;01","",70%)</f>
        <v/>
      </c>
      <c r="AZ394" s="91" t="n">
        <f aca="false">IF($C394="&lt;01",ROUND(INDEX(EID!$R:$R,MATCH($B394,EID!$B:$B,0))/2,0),ROUND(SUM($O394)+(SUM($AV394)*$AY394),0))</f>
        <v>1</v>
      </c>
      <c r="BA394" s="87" t="str">
        <f aca="false">IF($C394="&lt;01","",95%)</f>
        <v/>
      </c>
      <c r="BB394" s="5" t="n">
        <f aca="false">IF($C394="&lt;01",ROUND(INDEX(EID!$T:$T,MATCH($B394,EID!$B:$B,0))/2,0),ROUND($AZ394*$BA394,0))</f>
        <v>1</v>
      </c>
      <c r="BC394" s="91" t="n">
        <f aca="false">IF(LEFT($B394,4)="_Mil","",IF(SUM($BB394)=0,SUM($AD394),IF(OR(SUM($AP394)=0,SUM($AQ394)=0),MAX($BB394,$AD394),ROUND($BB394*$AQ394/$AP394,0))))</f>
        <v>1962</v>
      </c>
      <c r="BD394" s="88" t="str">
        <f aca="false">IF($C394="&lt;01","",95%)</f>
        <v/>
      </c>
      <c r="BE394" s="39" t="n">
        <f aca="false">IF($C394="&lt;01",ROUND(INDEX(EID!$V:$V,MATCH($B394,EID!$B:$B,0))/2,0),ROUND($BD394*$BB394,0))</f>
        <v>1</v>
      </c>
      <c r="BF394" s="39" t="n">
        <f aca="false">IF(LEFT($B394,4)="_Mil","",IF(SUM($BE394)=0,SUM($AF394),IF(OR(SUM($AP394)=0,SUM($AQ394)=0),MAX($BE394,$AF394),ROUND($BE394*$AQ394/$AP394,0))))</f>
        <v>1962</v>
      </c>
      <c r="BG394" s="114" t="str">
        <f aca="false">IF($C394="&lt;01","",95%)</f>
        <v/>
      </c>
      <c r="BH394" s="5" t="n">
        <f aca="false">IF($C394="&lt;01",ROUND(INDEX(EID!$L:$L,MATCH($B394,EID!$B:$B,0)),0)/2,IF(SUM($BG394)=0,"",ROUND($AX394/$BG394,0)))</f>
        <v>1</v>
      </c>
    </row>
    <row r="395" customFormat="false" ht="15" hidden="false" customHeight="false" outlineLevel="0" collapsed="false">
      <c r="A395" s="0" t="str">
        <f aca="false">INDEX(Prioritization!$D:$D,MATCH($B395,Prioritization!$A:$A,0))</f>
        <v>1 - Scale-up: Saturation</v>
      </c>
      <c r="B395" s="0" t="s">
        <v>221</v>
      </c>
      <c r="C395" s="0" t="s">
        <v>363</v>
      </c>
      <c r="D395" s="0" t="s">
        <v>30</v>
      </c>
      <c r="E395" s="0" t="str">
        <f aca="false">$B395&amp;"|"&amp;$C395&amp;"|"&amp;$D395</f>
        <v>Thyolo District [ul0y9diGujK]|01-09|Female</v>
      </c>
      <c r="F395" s="10"/>
      <c r="G395" s="10"/>
      <c r="H395" s="10"/>
      <c r="I395" s="10"/>
      <c r="J395" s="10"/>
      <c r="K395" s="10"/>
      <c r="L395" s="10"/>
      <c r="M395" s="10"/>
      <c r="N395" s="10"/>
      <c r="O395" s="10" t="str">
        <f aca="false">IFERROR(1/(1/MAX($I395,$N395)),"")</f>
        <v/>
      </c>
      <c r="P395" s="10"/>
      <c r="Q395" s="10"/>
      <c r="R395" s="10" t="str">
        <f aca="false">IF(AND(SUM($I395)=0,SUM($O395)=0),"",SUM($O395)-$I395)</f>
        <v/>
      </c>
      <c r="S395" s="10" t="n">
        <f aca="false">IF(LEFT($B395,4)="_Mil","",_xlfn.IFNA(ROUND(INDEX(Spectrum!$N:$N,MATCH(RIGHT($B395,13)&amp;"|"&amp;$C395&amp;"|"&amp;$D395&amp;"|"&amp;S$14&amp;"|"&amp;"CY2022Q4",Spectrum!$R:$R,0)),0),""))</f>
        <v>1370</v>
      </c>
      <c r="T395" s="39" t="n">
        <f aca="false">IF(LEFT($B395,4)="_Mil","",_xlfn.IFNA(ROUND(INDEX(Spectrum!$N:$N,MATCH(RIGHT($B395,13)&amp;"|"&amp;$C395&amp;"|"&amp;$D395&amp;"|"&amp;T$14&amp;"|"&amp;"CY2023Q3",Spectrum!$R:$R,0)),0),""))</f>
        <v>1188</v>
      </c>
      <c r="U395" s="39" t="str">
        <f aca="false">IF(LEFT($B395,4)="_Mil","",_xlfn.IFNA(ROUND(INDEX(Spectrum!$N:$N,MATCH(RIGHT($B395,13)&amp;"|"&amp;$C395&amp;"|"&amp;$D395&amp;"|"&amp;U$14&amp;"|"&amp;"CY2023Q3",Spectrum!$R:$R,0)),0),""))</f>
        <v/>
      </c>
      <c r="V395" s="10" t="n">
        <f aca="false">IF(LEFT($B395,4)="_Mil","",_xlfn.IFNA(ROUND(INDEX(Spectrum!$N:$N,MATCH(RIGHT($B395,13)&amp;"|"&amp;$C395&amp;"|"&amp;$D395&amp;"|"&amp;V$14&amp;"|"&amp;"CY2023Q3",Spectrum!$R:$R,0)),0),""))</f>
        <v>703</v>
      </c>
      <c r="W395" s="113" t="n">
        <f aca="false">IF(LEFT($B395,4)="_Mil","",_xlfn.IFNA(INDEX(Spectrum!$N:$N,MATCH(RIGHT($B395,13)&amp;"|"&amp;$C395&amp;"|"&amp;$D395&amp;"|"&amp;W$14&amp;"|"&amp;"CY2023Q3",Spectrum!$R:$R,0)),""))</f>
        <v>896</v>
      </c>
      <c r="X395" s="39" t="n">
        <f aca="false">IF(LEFT($B395,4)="_Mil","",_xlfn.IFNA(ROUND(INDEX(Spectrum!$N:$N,MATCH(RIGHT($B395,13)&amp;"|"&amp;$C395&amp;"|"&amp;$D395&amp;"|"&amp;X$14&amp;"|"&amp;"CY2023Q3",Spectrum!$R:$R,0)),0),""))</f>
        <v>727</v>
      </c>
      <c r="Y395" s="88" t="str">
        <f aca="false">IF(OR(SUM($U395)=0,LEFT($B395,4)="_Mil"),"",SUM($X395)/$U395)</f>
        <v/>
      </c>
      <c r="Z395" s="39" t="n">
        <f aca="false">IF(LEFT($B395,4)="_Mil","",_xlfn.IFNA(ROUND(INDEX(Spectrum!$N:$N,MATCH(RIGHT($B395,13)&amp;"|"&amp;$C395&amp;"|"&amp;$D395&amp;"|"&amp;Z$14&amp;"|"&amp;"CY2023Q3",Spectrum!$R:$R,0)),0),""))</f>
        <v>592</v>
      </c>
      <c r="AA395" s="88" t="n">
        <f aca="false">IF(LEFT($B395,4)="_Mil","",IFERROR(1/(1/INDEX(Spectrum!$N:$N,MATCH(RIGHT($B395,13)&amp;"|"&amp;$C395&amp;"|"&amp;$D395&amp;"|"&amp;AA$14&amp;"|"&amp;"CY2023Q3",Spectrum!$R:$R,0))),IF(SUM($U395)=0,"",SUM($Z395)/$U395)))</f>
        <v>1921</v>
      </c>
      <c r="AB395" s="88" t="n">
        <f aca="false">IF(OR(LEFT($B395,4)="_Mil",SUM($X395)=0),"",SUM($Z395)/$X395)</f>
        <v>0.814305364511692</v>
      </c>
      <c r="AC395" s="10" t="n">
        <f aca="false">IF(LEFT($B395,4)="_Mil","",_xlfn.IFNA(ROUND(INDEX(Spectrum!$N:$N,MATCH(RIGHT($B395,13)&amp;"|"&amp;$C395&amp;"|"&amp;$D395&amp;"|"&amp;AC$14&amp;"|"&amp;"CY2023Q3",Spectrum!$R:$R,0)),0),""))</f>
        <v>855</v>
      </c>
      <c r="AD395" s="10" t="str">
        <f aca="false">IF(LEFT($B395,4)="_Mil","",_xlfn.IFNA(ROUND(INDEX(Spectrum!$N:$N,MATCH(RIGHT($B395,13)&amp;"|"&amp;$C395&amp;"|"&amp;$D395&amp;"|"&amp;AD$14&amp;"|"&amp;"CY2023Q3",Spectrum!$R:$R,0)),0),""))</f>
        <v/>
      </c>
      <c r="AE395" s="88" t="n">
        <f aca="false">IF(OR(LEFT($B395,4)="_Mil",SUM($Z395)=0),"",SUM($AD395)/$Z395)</f>
        <v>0</v>
      </c>
      <c r="AF395" s="39" t="str">
        <f aca="false">IF(LEFT($B395,4)="_Mil","",_xlfn.IFNA(ROUND(INDEX(Spectrum!$N:$N,MATCH(RIGHT($B395,13)&amp;"|"&amp;$C395&amp;"|"&amp;$D395&amp;"|"&amp;AF$14&amp;"|"&amp;"CY2023Q3",Spectrum!$R:$R,0)),0),""))</f>
        <v/>
      </c>
      <c r="AG395" s="88" t="str">
        <f aca="false">IF(OR(LEFT($B395,4)="_Mil",SUM($AD395)=0),"",SUM($AF395)/$AD395)</f>
        <v/>
      </c>
      <c r="AH395" s="86" t="str">
        <f aca="false">IF(LEFT($B395,4)="_Mil","",_xlfn.IFNA(INDEX(Spectrum!$N:$N,MATCH(RIGHT($B395,13)&amp;"|"&amp;$C395&amp;"|"&amp;$D395&amp;"|"&amp;AH$14&amp;"|"&amp;"CY2023Q3",Spectrum!$R:$R,0)),""))</f>
        <v/>
      </c>
      <c r="AI395" s="10" t="str">
        <f aca="false">IF(LEFT($B395,4)="_Mil","",_xlfn.IFNA(ROUND(INDEX(Spectrum!$N:$N,MATCH(RIGHT($B395,13)&amp;"|"&amp;$C395&amp;"|"&amp;$D395&amp;"|"&amp;AI$14&amp;"|"&amp;"CY2023Q3",Spectrum!$R:$R,0)),0),""))</f>
        <v/>
      </c>
      <c r="AJ395" s="39" t="n">
        <f aca="false">IF(LEFT($B395,4)="_Mil","",_xlfn.IFNA(ROUND(INDEX(Spectrum!$N:$N,MATCH(RIGHT($B395,13)&amp;"|"&amp;$C395&amp;"|"&amp;$D395&amp;"|"&amp;AI$14&amp;"|"&amp;"CY2023Q3",Spectrum!$R:$R,0)),0),SUM($U395)+SUM($AI395)))</f>
        <v>0</v>
      </c>
      <c r="AK395" s="10" t="str">
        <f aca="false">IF(LEFT($B395,4)="_Mil","",_xlfn.IFNA(ROUND(INDEX(Spectrum!$N:$N,MATCH(RIGHT($B395,13)&amp;"|"&amp;$C395&amp;"|"&amp;$D395&amp;"|"&amp;AK$14&amp;"|"&amp;"CY2023Q3",Spectrum!$R:$R,0)),0),""))</f>
        <v/>
      </c>
      <c r="AL395" s="88" t="n">
        <f aca="false">IF(OR(LEFT($B395,4)="_Mil",$C395="&lt;01"),"",MAX(SUM($AA395),90%))</f>
        <v>1921</v>
      </c>
      <c r="AM395" s="10" t="n">
        <f aca="false">IF(OR(LEFT($B395,4)="_Mil",$C395="&lt;01"),"",ROUND(SUM($AJ395)*SUM($AL395),0))</f>
        <v>0</v>
      </c>
      <c r="AN395" s="10" t="str">
        <f aca="false">IF($C395="&lt;01",ROUND(INDEX(EID!$P:$P,MATCH($B395,EID!$B:$B,0))/2,0),"")</f>
        <v/>
      </c>
      <c r="AO395" s="10" t="n">
        <f aca="false">IF($C395="&lt;01",SUM($AN395),ROUND(SUM($AM395)*SUM($O395)/IF(SUM($Z395)=0,1,$Z395),0))</f>
        <v>0</v>
      </c>
      <c r="AP395" s="39" t="n">
        <f aca="false">IF(OR($F395="",$C395="&lt;01"),$AO395,$F395)</f>
        <v>0</v>
      </c>
      <c r="AQ395" s="39" t="n">
        <f aca="false">IF(LEFT($B395,4)="_Mil","",IF(SUM($AP395)=0,SUM($Z395),IF(OR(SUM($Z395)=0,SUM($O395)=0),MAX($AP395,$Z395),$AP395*$Z395/$O395)))</f>
        <v>592</v>
      </c>
      <c r="AR395" s="88" t="str">
        <f aca="false">IF(OR(LEFT($B395,4)="_Mil",SUM($AJ395)=0),"",SUM($AQ395)/$AJ395)</f>
        <v/>
      </c>
      <c r="AS395" s="88" t="n">
        <f aca="false">IF($C395="&lt;01","",98%)</f>
        <v>0.98</v>
      </c>
      <c r="AT395" s="88" t="n">
        <f aca="false">IF($C395="&lt;01","",98%)</f>
        <v>0.98</v>
      </c>
      <c r="AU395" s="10" t="n">
        <f aca="false">IF($C395="&lt;01","",SUM($AP395)-SUM($O395))</f>
        <v>0</v>
      </c>
      <c r="AV395" s="10" t="n">
        <f aca="false">IF($C395="&lt;01",ROUND(INDEX(EID!$N:$N,MATCH($B395,EID!$B:$B,0))/2,0),IF(SUM($AT395)=0,"",ROUND((SUM($AP395)-(SUM($O395)*SUM($AS395)))/$AT395,0)))</f>
        <v>0</v>
      </c>
      <c r="AW395" s="88" t="n">
        <f aca="false">IF($C395="&lt;01","",100%)</f>
        <v>1</v>
      </c>
      <c r="AX395" s="39" t="n">
        <f aca="false">IF($C395="&lt;01",SUM($AV395),ROUND(SUM($AV395)*SUM($AW395),0))</f>
        <v>0</v>
      </c>
      <c r="AY395" s="114" t="n">
        <f aca="false">IF($C395="&lt;01","",70%)</f>
        <v>0.7</v>
      </c>
      <c r="AZ395" s="91" t="n">
        <f aca="false">IF($C395="&lt;01",ROUND(INDEX(EID!$R:$R,MATCH($B395,EID!$B:$B,0))/2,0),ROUND(SUM($O395)+(SUM($AV395)*$AY395),0))</f>
        <v>0</v>
      </c>
      <c r="BA395" s="87" t="n">
        <f aca="false">IF($C395="&lt;01","",95%)</f>
        <v>0.95</v>
      </c>
      <c r="BB395" s="5" t="n">
        <f aca="false">IF($C395="&lt;01",ROUND(INDEX(EID!$T:$T,MATCH($B395,EID!$B:$B,0))/2,0),ROUND($AZ395*$BA395,0))</f>
        <v>0</v>
      </c>
      <c r="BC395" s="91" t="n">
        <f aca="false">IF(LEFT($B395,4)="_Mil","",IF(SUM($BB395)=0,SUM($AD395),IF(OR(SUM($AP395)=0,SUM($AQ395)=0),MAX($BB395,$AD395),ROUND($BB395*$AQ395/$AP395,0))))</f>
        <v>0</v>
      </c>
      <c r="BD395" s="88" t="n">
        <f aca="false">IF($C395="&lt;01","",95%)</f>
        <v>0.95</v>
      </c>
      <c r="BE395" s="39" t="n">
        <f aca="false">IF($C395="&lt;01",ROUND(INDEX(EID!$V:$V,MATCH($B395,EID!$B:$B,0))/2,0),ROUND($BD395*$BB395,0))</f>
        <v>0</v>
      </c>
      <c r="BF395" s="39" t="n">
        <f aca="false">IF(LEFT($B395,4)="_Mil","",IF(SUM($BE395)=0,SUM($AF395),IF(OR(SUM($AP395)=0,SUM($AQ395)=0),MAX($BE395,$AF395),ROUND($BE395*$AQ395/$AP395,0))))</f>
        <v>0</v>
      </c>
      <c r="BG395" s="114" t="n">
        <f aca="false">IF($C395="&lt;01","",95%)</f>
        <v>0.95</v>
      </c>
      <c r="BH395" s="5" t="n">
        <f aca="false">IF($C395="&lt;01",ROUND(INDEX(EID!$L:$L,MATCH($B395,EID!$B:$B,0)),0)/2,IF(SUM($BG395)=0,"",ROUND($AX395/$BG395,0)))</f>
        <v>0</v>
      </c>
    </row>
    <row r="396" customFormat="false" ht="15" hidden="false" customHeight="false" outlineLevel="0" collapsed="false">
      <c r="A396" s="0" t="str">
        <f aca="false">INDEX(Prioritization!$D:$D,MATCH($B396,Prioritization!$A:$A,0))</f>
        <v>1 - Scale-up: Saturation</v>
      </c>
      <c r="B396" s="0" t="s">
        <v>221</v>
      </c>
      <c r="C396" s="0" t="s">
        <v>363</v>
      </c>
      <c r="D396" s="0" t="s">
        <v>48</v>
      </c>
      <c r="E396" s="0" t="str">
        <f aca="false">$B396&amp;"|"&amp;$C396&amp;"|"&amp;$D396</f>
        <v>Thyolo District [ul0y9diGujK]|01-09|Male</v>
      </c>
      <c r="F396" s="10"/>
      <c r="G396" s="10"/>
      <c r="H396" s="10"/>
      <c r="I396" s="10"/>
      <c r="J396" s="10"/>
      <c r="K396" s="10"/>
      <c r="L396" s="10"/>
      <c r="M396" s="10"/>
      <c r="N396" s="10"/>
      <c r="O396" s="10" t="str">
        <f aca="false">IFERROR(1/(1/MAX($I396,$N396)),"")</f>
        <v/>
      </c>
      <c r="P396" s="10"/>
      <c r="Q396" s="10"/>
      <c r="R396" s="10" t="str">
        <f aca="false">IF(AND(SUM($I396)=0,SUM($O396)=0),"",SUM($O396)-$I396)</f>
        <v/>
      </c>
      <c r="S396" s="10" t="n">
        <f aca="false">IF(LEFT($B396,4)="_Mil","",_xlfn.IFNA(ROUND(INDEX(Spectrum!$N:$N,MATCH(RIGHT($B396,13)&amp;"|"&amp;$C396&amp;"|"&amp;$D396&amp;"|"&amp;S$14&amp;"|"&amp;"CY2022Q4",Spectrum!$R:$R,0)),0),""))</f>
        <v>1099</v>
      </c>
      <c r="T396" s="39" t="n">
        <f aca="false">IF(LEFT($B396,4)="_Mil","",_xlfn.IFNA(ROUND(INDEX(Spectrum!$N:$N,MATCH(RIGHT($B396,13)&amp;"|"&amp;$C396&amp;"|"&amp;$D396&amp;"|"&amp;T$14&amp;"|"&amp;"CY2023Q3",Spectrum!$R:$R,0)),0),""))</f>
        <v>684</v>
      </c>
      <c r="U396" s="39" t="str">
        <f aca="false">IF(LEFT($B396,4)="_Mil","",_xlfn.IFNA(ROUND(INDEX(Spectrum!$N:$N,MATCH(RIGHT($B396,13)&amp;"|"&amp;$C396&amp;"|"&amp;$D396&amp;"|"&amp;U$14&amp;"|"&amp;"CY2023Q3",Spectrum!$R:$R,0)),0),""))</f>
        <v/>
      </c>
      <c r="V396" s="10" t="n">
        <f aca="false">IF(LEFT($B396,4)="_Mil","",_xlfn.IFNA(ROUND(INDEX(Spectrum!$N:$N,MATCH(RIGHT($B396,13)&amp;"|"&amp;$C396&amp;"|"&amp;$D396&amp;"|"&amp;V$14&amp;"|"&amp;"CY2023Q3",Spectrum!$R:$R,0)),0),""))</f>
        <v>542</v>
      </c>
      <c r="W396" s="113" t="n">
        <f aca="false">IF(LEFT($B396,4)="_Mil","",_xlfn.IFNA(INDEX(Spectrum!$N:$N,MATCH(RIGHT($B396,13)&amp;"|"&amp;$C396&amp;"|"&amp;$D396&amp;"|"&amp;W$14&amp;"|"&amp;"CY2023Q3",Spectrum!$R:$R,0)),""))</f>
        <v>603</v>
      </c>
      <c r="X396" s="39" t="n">
        <f aca="false">IF(LEFT($B396,4)="_Mil","",_xlfn.IFNA(ROUND(INDEX(Spectrum!$N:$N,MATCH(RIGHT($B396,13)&amp;"|"&amp;$C396&amp;"|"&amp;$D396&amp;"|"&amp;X$14&amp;"|"&amp;"CY2023Q3",Spectrum!$R:$R,0)),0),""))</f>
        <v>730</v>
      </c>
      <c r="Y396" s="88" t="str">
        <f aca="false">IF(OR(SUM($U396)=0,LEFT($B396,4)="_Mil"),"",SUM($X396)/$U396)</f>
        <v/>
      </c>
      <c r="Z396" s="39" t="n">
        <f aca="false">IF(LEFT($B396,4)="_Mil","",_xlfn.IFNA(ROUND(INDEX(Spectrum!$N:$N,MATCH(RIGHT($B396,13)&amp;"|"&amp;$C396&amp;"|"&amp;$D396&amp;"|"&amp;Z$14&amp;"|"&amp;"CY2023Q3",Spectrum!$R:$R,0)),0),""))</f>
        <v>1921</v>
      </c>
      <c r="AA396" s="88" t="n">
        <f aca="false">IF(LEFT($B396,4)="_Mil","",IFERROR(1/(1/INDEX(Spectrum!$N:$N,MATCH(RIGHT($B396,13)&amp;"|"&amp;$C396&amp;"|"&amp;$D396&amp;"|"&amp;AA$14&amp;"|"&amp;"CY2023Q3",Spectrum!$R:$R,0))),IF(SUM($U396)=0,"",SUM($Z396)/$U396)))</f>
        <v>1426</v>
      </c>
      <c r="AB396" s="88" t="n">
        <f aca="false">IF(OR(LEFT($B396,4)="_Mil",SUM($X396)=0),"",SUM($Z396)/$X396)</f>
        <v>2.63150684931507</v>
      </c>
      <c r="AC396" s="10" t="n">
        <f aca="false">IF(LEFT($B396,4)="_Mil","",_xlfn.IFNA(ROUND(INDEX(Spectrum!$N:$N,MATCH(RIGHT($B396,13)&amp;"|"&amp;$C396&amp;"|"&amp;$D396&amp;"|"&amp;AC$14&amp;"|"&amp;"CY2023Q3",Spectrum!$R:$R,0)),0),""))</f>
        <v>1054</v>
      </c>
      <c r="AD396" s="10" t="str">
        <f aca="false">IF(LEFT($B396,4)="_Mil","",_xlfn.IFNA(ROUND(INDEX(Spectrum!$N:$N,MATCH(RIGHT($B396,13)&amp;"|"&amp;$C396&amp;"|"&amp;$D396&amp;"|"&amp;AD$14&amp;"|"&amp;"CY2023Q3",Spectrum!$R:$R,0)),0),""))</f>
        <v/>
      </c>
      <c r="AE396" s="88" t="n">
        <f aca="false">IF(OR(LEFT($B396,4)="_Mil",SUM($Z396)=0),"",SUM($AD396)/$Z396)</f>
        <v>0</v>
      </c>
      <c r="AF396" s="39" t="str">
        <f aca="false">IF(LEFT($B396,4)="_Mil","",_xlfn.IFNA(ROUND(INDEX(Spectrum!$N:$N,MATCH(RIGHT($B396,13)&amp;"|"&amp;$C396&amp;"|"&amp;$D396&amp;"|"&amp;AF$14&amp;"|"&amp;"CY2023Q3",Spectrum!$R:$R,0)),0),""))</f>
        <v/>
      </c>
      <c r="AG396" s="88" t="str">
        <f aca="false">IF(OR(LEFT($B396,4)="_Mil",SUM($AD396)=0),"",SUM($AF396)/$AD396)</f>
        <v/>
      </c>
      <c r="AH396" s="86" t="str">
        <f aca="false">IF(LEFT($B396,4)="_Mil","",_xlfn.IFNA(INDEX(Spectrum!$N:$N,MATCH(RIGHT($B396,13)&amp;"|"&amp;$C396&amp;"|"&amp;$D396&amp;"|"&amp;AH$14&amp;"|"&amp;"CY2023Q3",Spectrum!$R:$R,0)),""))</f>
        <v/>
      </c>
      <c r="AI396" s="10" t="str">
        <f aca="false">IF(LEFT($B396,4)="_Mil","",_xlfn.IFNA(ROUND(INDEX(Spectrum!$N:$N,MATCH(RIGHT($B396,13)&amp;"|"&amp;$C396&amp;"|"&amp;$D396&amp;"|"&amp;AI$14&amp;"|"&amp;"CY2023Q3",Spectrum!$R:$R,0)),0),""))</f>
        <v/>
      </c>
      <c r="AJ396" s="39" t="n">
        <f aca="false">IF(LEFT($B396,4)="_Mil","",_xlfn.IFNA(ROUND(INDEX(Spectrum!$N:$N,MATCH(RIGHT($B396,13)&amp;"|"&amp;$C396&amp;"|"&amp;$D396&amp;"|"&amp;AI$14&amp;"|"&amp;"CY2023Q3",Spectrum!$R:$R,0)),0),SUM($U396)+SUM($AI396)))</f>
        <v>0</v>
      </c>
      <c r="AK396" s="10" t="str">
        <f aca="false">IF(LEFT($B396,4)="_Mil","",_xlfn.IFNA(ROUND(INDEX(Spectrum!$N:$N,MATCH(RIGHT($B396,13)&amp;"|"&amp;$C396&amp;"|"&amp;$D396&amp;"|"&amp;AK$14&amp;"|"&amp;"CY2023Q3",Spectrum!$R:$R,0)),0),""))</f>
        <v/>
      </c>
      <c r="AL396" s="88" t="n">
        <f aca="false">IF(OR(LEFT($B396,4)="_Mil",$C396="&lt;01"),"",MAX(SUM($AA396),90%))</f>
        <v>1426</v>
      </c>
      <c r="AM396" s="10" t="n">
        <f aca="false">IF(OR(LEFT($B396,4)="_Mil",$C396="&lt;01"),"",ROUND(SUM($AJ396)*SUM($AL396),0))</f>
        <v>0</v>
      </c>
      <c r="AN396" s="10" t="str">
        <f aca="false">IF($C396="&lt;01",ROUND(INDEX(EID!$P:$P,MATCH($B396,EID!$B:$B,0))/2,0),"")</f>
        <v/>
      </c>
      <c r="AO396" s="10" t="n">
        <f aca="false">IF($C396="&lt;01",SUM($AN396),ROUND(SUM($AM396)*SUM($O396)/IF(SUM($Z396)=0,1,$Z396),0))</f>
        <v>0</v>
      </c>
      <c r="AP396" s="39" t="n">
        <f aca="false">IF(OR($F396="",$C396="&lt;01"),$AO396,$F396)</f>
        <v>0</v>
      </c>
      <c r="AQ396" s="39" t="n">
        <f aca="false">IF(LEFT($B396,4)="_Mil","",IF(SUM($AP396)=0,SUM($Z396),IF(OR(SUM($Z396)=0,SUM($O396)=0),MAX($AP396,$Z396),$AP396*$Z396/$O396)))</f>
        <v>1921</v>
      </c>
      <c r="AR396" s="88" t="str">
        <f aca="false">IF(OR(LEFT($B396,4)="_Mil",SUM($AJ396)=0),"",SUM($AQ396)/$AJ396)</f>
        <v/>
      </c>
      <c r="AS396" s="88" t="n">
        <f aca="false">IF($C396="&lt;01","",98%)</f>
        <v>0.98</v>
      </c>
      <c r="AT396" s="88" t="n">
        <f aca="false">IF($C396="&lt;01","",98%)</f>
        <v>0.98</v>
      </c>
      <c r="AU396" s="10" t="n">
        <f aca="false">IF($C396="&lt;01","",SUM($AP396)-SUM($O396))</f>
        <v>0</v>
      </c>
      <c r="AV396" s="10" t="n">
        <f aca="false">IF($C396="&lt;01",ROUND(INDEX(EID!$N:$N,MATCH($B396,EID!$B:$B,0))/2,0),IF(SUM($AT396)=0,"",ROUND((SUM($AP396)-(SUM($O396)*SUM($AS396)))/$AT396,0)))</f>
        <v>0</v>
      </c>
      <c r="AW396" s="88" t="n">
        <f aca="false">IF($C396="&lt;01","",100%)</f>
        <v>1</v>
      </c>
      <c r="AX396" s="39" t="n">
        <f aca="false">IF($C396="&lt;01",SUM($AV396),ROUND(SUM($AV396)*SUM($AW396),0))</f>
        <v>0</v>
      </c>
      <c r="AY396" s="114" t="n">
        <f aca="false">IF($C396="&lt;01","",70%)</f>
        <v>0.7</v>
      </c>
      <c r="AZ396" s="91" t="n">
        <f aca="false">IF($C396="&lt;01",ROUND(INDEX(EID!$R:$R,MATCH($B396,EID!$B:$B,0))/2,0),ROUND(SUM($O396)+(SUM($AV396)*$AY396),0))</f>
        <v>0</v>
      </c>
      <c r="BA396" s="87" t="n">
        <f aca="false">IF($C396="&lt;01","",95%)</f>
        <v>0.95</v>
      </c>
      <c r="BB396" s="5" t="n">
        <f aca="false">IF($C396="&lt;01",ROUND(INDEX(EID!$T:$T,MATCH($B396,EID!$B:$B,0))/2,0),ROUND($AZ396*$BA396,0))</f>
        <v>0</v>
      </c>
      <c r="BC396" s="91" t="n">
        <f aca="false">IF(LEFT($B396,4)="_Mil","",IF(SUM($BB396)=0,SUM($AD396),IF(OR(SUM($AP396)=0,SUM($AQ396)=0),MAX($BB396,$AD396),ROUND($BB396*$AQ396/$AP396,0))))</f>
        <v>0</v>
      </c>
      <c r="BD396" s="88" t="n">
        <f aca="false">IF($C396="&lt;01","",95%)</f>
        <v>0.95</v>
      </c>
      <c r="BE396" s="39" t="n">
        <f aca="false">IF($C396="&lt;01",ROUND(INDEX(EID!$V:$V,MATCH($B396,EID!$B:$B,0))/2,0),ROUND($BD396*$BB396,0))</f>
        <v>0</v>
      </c>
      <c r="BF396" s="39" t="n">
        <f aca="false">IF(LEFT($B396,4)="_Mil","",IF(SUM($BE396)=0,SUM($AF396),IF(OR(SUM($AP396)=0,SUM($AQ396)=0),MAX($BE396,$AF396),ROUND($BE396*$AQ396/$AP396,0))))</f>
        <v>0</v>
      </c>
      <c r="BG396" s="114" t="n">
        <f aca="false">IF($C396="&lt;01","",95%)</f>
        <v>0.95</v>
      </c>
      <c r="BH396" s="5" t="n">
        <f aca="false">IF($C396="&lt;01",ROUND(INDEX(EID!$L:$L,MATCH($B396,EID!$B:$B,0)),0)/2,IF(SUM($BG396)=0,"",ROUND($AX396/$BG396,0)))</f>
        <v>0</v>
      </c>
    </row>
    <row r="397" customFormat="false" ht="15" hidden="false" customHeight="false" outlineLevel="0" collapsed="false">
      <c r="A397" s="0" t="str">
        <f aca="false">INDEX(Prioritization!$D:$D,MATCH($B397,Prioritization!$A:$A,0))</f>
        <v>1 - Scale-up: Saturation</v>
      </c>
      <c r="B397" s="0" t="s">
        <v>221</v>
      </c>
      <c r="C397" s="0" t="s">
        <v>364</v>
      </c>
      <c r="D397" s="0" t="s">
        <v>30</v>
      </c>
      <c r="E397" s="0" t="str">
        <f aca="false">$B397&amp;"|"&amp;$C397&amp;"|"&amp;$D397</f>
        <v>Thyolo District [ul0y9diGujK]|10-14|Female</v>
      </c>
      <c r="F397" s="10"/>
      <c r="G397" s="10" t="n">
        <v>5</v>
      </c>
      <c r="H397" s="10" t="n">
        <v>7</v>
      </c>
      <c r="I397" s="10" t="n">
        <v>20</v>
      </c>
      <c r="J397" s="10" t="n">
        <v>22</v>
      </c>
      <c r="K397" s="10" t="n">
        <v>72</v>
      </c>
      <c r="L397" s="10" t="n">
        <v>59</v>
      </c>
      <c r="M397" s="10" t="n">
        <v>67</v>
      </c>
      <c r="N397" s="10" t="n">
        <v>97</v>
      </c>
      <c r="O397" s="10" t="n">
        <f aca="false">IFERROR(1/(1/MAX($I397,$N397)),"")</f>
        <v>97</v>
      </c>
      <c r="P397" s="10" t="n">
        <v>93</v>
      </c>
      <c r="Q397" s="10" t="n">
        <v>65</v>
      </c>
      <c r="R397" s="10" t="n">
        <f aca="false">IF(AND(SUM($I397)=0,SUM($O397)=0),"",SUM($O397)-$I397)</f>
        <v>77</v>
      </c>
      <c r="S397" s="10" t="n">
        <f aca="false">IF(LEFT($B397,4)="_Mil","",_xlfn.IFNA(ROUND(INDEX(Spectrum!$N:$N,MATCH(RIGHT($B397,13)&amp;"|"&amp;$C397&amp;"|"&amp;$D397&amp;"|"&amp;S$14&amp;"|"&amp;"CY2022Q4",Spectrum!$R:$R,0)),0),""))</f>
        <v>1742</v>
      </c>
      <c r="T397" s="39" t="n">
        <f aca="false">IF(LEFT($B397,4)="_Mil","",_xlfn.IFNA(ROUND(INDEX(Spectrum!$N:$N,MATCH(RIGHT($B397,13)&amp;"|"&amp;$C397&amp;"|"&amp;$D397&amp;"|"&amp;T$14&amp;"|"&amp;"CY2023Q3",Spectrum!$R:$R,0)),0),""))</f>
        <v>1158</v>
      </c>
      <c r="U397" s="39" t="str">
        <f aca="false">IF(LEFT($B397,4)="_Mil","",_xlfn.IFNA(ROUND(INDEX(Spectrum!$N:$N,MATCH(RIGHT($B397,13)&amp;"|"&amp;$C397&amp;"|"&amp;$D397&amp;"|"&amp;U$14&amp;"|"&amp;"CY2023Q3",Spectrum!$R:$R,0)),0),""))</f>
        <v/>
      </c>
      <c r="V397" s="10" t="n">
        <f aca="false">IF(LEFT($B397,4)="_Mil","",_xlfn.IFNA(ROUND(INDEX(Spectrum!$N:$N,MATCH(RIGHT($B397,13)&amp;"|"&amp;$C397&amp;"|"&amp;$D397&amp;"|"&amp;V$14&amp;"|"&amp;"CY2023Q3",Spectrum!$R:$R,0)),0),""))</f>
        <v>1883</v>
      </c>
      <c r="W397" s="113" t="n">
        <f aca="false">IF(LEFT($B397,4)="_Mil","",_xlfn.IFNA(INDEX(Spectrum!$N:$N,MATCH(RIGHT($B397,13)&amp;"|"&amp;$C397&amp;"|"&amp;$D397&amp;"|"&amp;W$14&amp;"|"&amp;"CY2023Q3",Spectrum!$R:$R,0)),""))</f>
        <v>1415</v>
      </c>
      <c r="X397" s="39" t="n">
        <f aca="false">IF(LEFT($B397,4)="_Mil","",_xlfn.IFNA(ROUND(INDEX(Spectrum!$N:$N,MATCH(RIGHT($B397,13)&amp;"|"&amp;$C397&amp;"|"&amp;$D397&amp;"|"&amp;X$14&amp;"|"&amp;"CY2023Q3",Spectrum!$R:$R,0)),0),""))</f>
        <v>1371</v>
      </c>
      <c r="Y397" s="88" t="str">
        <f aca="false">IF(OR(SUM($U397)=0,LEFT($B397,4)="_Mil"),"",SUM($X397)/$U397)</f>
        <v/>
      </c>
      <c r="Z397" s="39" t="n">
        <f aca="false">IF(LEFT($B397,4)="_Mil","",_xlfn.IFNA(ROUND(INDEX(Spectrum!$N:$N,MATCH(RIGHT($B397,13)&amp;"|"&amp;$C397&amp;"|"&amp;$D397&amp;"|"&amp;Z$14&amp;"|"&amp;"CY2023Q3",Spectrum!$R:$R,0)),0),""))</f>
        <v>601</v>
      </c>
      <c r="AA397" s="88" t="n">
        <f aca="false">IF(LEFT($B397,4)="_Mil","",IFERROR(1/(1/INDEX(Spectrum!$N:$N,MATCH(RIGHT($B397,13)&amp;"|"&amp;$C397&amp;"|"&amp;$D397&amp;"|"&amp;AA$14&amp;"|"&amp;"CY2023Q3",Spectrum!$R:$R,0))),IF(SUM($U397)=0,"",SUM($Z397)/$U397)))</f>
        <v>680</v>
      </c>
      <c r="AB397" s="88" t="n">
        <f aca="false">IF(OR(LEFT($B397,4)="_Mil",SUM($X397)=0),"",SUM($Z397)/$X397)</f>
        <v>0.438366156090445</v>
      </c>
      <c r="AC397" s="10" t="n">
        <f aca="false">IF(LEFT($B397,4)="_Mil","",_xlfn.IFNA(ROUND(INDEX(Spectrum!$N:$N,MATCH(RIGHT($B397,13)&amp;"|"&amp;$C397&amp;"|"&amp;$D397&amp;"|"&amp;AC$14&amp;"|"&amp;"CY2023Q3",Spectrum!$R:$R,0)),0),""))</f>
        <v>1779</v>
      </c>
      <c r="AD397" s="10" t="str">
        <f aca="false">IF(LEFT($B397,4)="_Mil","",_xlfn.IFNA(ROUND(INDEX(Spectrum!$N:$N,MATCH(RIGHT($B397,13)&amp;"|"&amp;$C397&amp;"|"&amp;$D397&amp;"|"&amp;AD$14&amp;"|"&amp;"CY2023Q3",Spectrum!$R:$R,0)),0),""))</f>
        <v/>
      </c>
      <c r="AE397" s="88" t="n">
        <f aca="false">IF(OR(LEFT($B397,4)="_Mil",SUM($Z397)=0),"",SUM($AD397)/$Z397)</f>
        <v>0</v>
      </c>
      <c r="AF397" s="39" t="str">
        <f aca="false">IF(LEFT($B397,4)="_Mil","",_xlfn.IFNA(ROUND(INDEX(Spectrum!$N:$N,MATCH(RIGHT($B397,13)&amp;"|"&amp;$C397&amp;"|"&amp;$D397&amp;"|"&amp;AF$14&amp;"|"&amp;"CY2023Q3",Spectrum!$R:$R,0)),0),""))</f>
        <v/>
      </c>
      <c r="AG397" s="88" t="str">
        <f aca="false">IF(OR(LEFT($B397,4)="_Mil",SUM($AD397)=0),"",SUM($AF397)/$AD397)</f>
        <v/>
      </c>
      <c r="AH397" s="86" t="str">
        <f aca="false">IF(LEFT($B397,4)="_Mil","",_xlfn.IFNA(INDEX(Spectrum!$N:$N,MATCH(RIGHT($B397,13)&amp;"|"&amp;$C397&amp;"|"&amp;$D397&amp;"|"&amp;AH$14&amp;"|"&amp;"CY2023Q3",Spectrum!$R:$R,0)),""))</f>
        <v/>
      </c>
      <c r="AI397" s="10" t="str">
        <f aca="false">IF(LEFT($B397,4)="_Mil","",_xlfn.IFNA(ROUND(INDEX(Spectrum!$N:$N,MATCH(RIGHT($B397,13)&amp;"|"&amp;$C397&amp;"|"&amp;$D397&amp;"|"&amp;AI$14&amp;"|"&amp;"CY2023Q3",Spectrum!$R:$R,0)),0),""))</f>
        <v/>
      </c>
      <c r="AJ397" s="39" t="n">
        <f aca="false">IF(LEFT($B397,4)="_Mil","",_xlfn.IFNA(ROUND(INDEX(Spectrum!$N:$N,MATCH(RIGHT($B397,13)&amp;"|"&amp;$C397&amp;"|"&amp;$D397&amp;"|"&amp;AI$14&amp;"|"&amp;"CY2023Q3",Spectrum!$R:$R,0)),0),SUM($U397)+SUM($AI397)))</f>
        <v>0</v>
      </c>
      <c r="AK397" s="10" t="str">
        <f aca="false">IF(LEFT($B397,4)="_Mil","",_xlfn.IFNA(ROUND(INDEX(Spectrum!$N:$N,MATCH(RIGHT($B397,13)&amp;"|"&amp;$C397&amp;"|"&amp;$D397&amp;"|"&amp;AK$14&amp;"|"&amp;"CY2023Q3",Spectrum!$R:$R,0)),0),""))</f>
        <v/>
      </c>
      <c r="AL397" s="88" t="n">
        <f aca="false">IF(OR(LEFT($B397,4)="_Mil",$C397="&lt;01"),"",MAX(SUM($AA397),90%))</f>
        <v>680</v>
      </c>
      <c r="AM397" s="10" t="n">
        <f aca="false">IF(OR(LEFT($B397,4)="_Mil",$C397="&lt;01"),"",ROUND(SUM($AJ397)*SUM($AL397),0))</f>
        <v>0</v>
      </c>
      <c r="AN397" s="10" t="str">
        <f aca="false">IF($C397="&lt;01",ROUND(INDEX(EID!$P:$P,MATCH($B397,EID!$B:$B,0))/2,0),"")</f>
        <v/>
      </c>
      <c r="AO397" s="10" t="n">
        <f aca="false">IF($C397="&lt;01",SUM($AN397),ROUND(SUM($AM397)*SUM($O397)/IF(SUM($Z397)=0,1,$Z397),0))</f>
        <v>0</v>
      </c>
      <c r="AP397" s="39" t="n">
        <f aca="false">IF(OR($F397="",$C397="&lt;01"),$AO397,$F397)</f>
        <v>0</v>
      </c>
      <c r="AQ397" s="39" t="n">
        <f aca="false">IF(LEFT($B397,4)="_Mil","",IF(SUM($AP397)=0,SUM($Z397),IF(OR(SUM($Z397)=0,SUM($O397)=0),MAX($AP397,$Z397),$AP397*$Z397/$O397)))</f>
        <v>601</v>
      </c>
      <c r="AR397" s="88" t="str">
        <f aca="false">IF(OR(LEFT($B397,4)="_Mil",SUM($AJ397)=0),"",SUM($AQ397)/$AJ397)</f>
        <v/>
      </c>
      <c r="AS397" s="88" t="n">
        <f aca="false">IF($C397="&lt;01","",98%)</f>
        <v>0.98</v>
      </c>
      <c r="AT397" s="88" t="n">
        <f aca="false">IF($C397="&lt;01","",98%)</f>
        <v>0.98</v>
      </c>
      <c r="AU397" s="10" t="n">
        <f aca="false">IF($C397="&lt;01","",SUM($AP397)-SUM($O397))</f>
        <v>-97</v>
      </c>
      <c r="AV397" s="10" t="n">
        <f aca="false">IF($C397="&lt;01",ROUND(INDEX(EID!$N:$N,MATCH($B397,EID!$B:$B,0))/2,0),IF(SUM($AT397)=0,"",ROUND((SUM($AP397)-(SUM($O397)*SUM($AS397)))/$AT397,0)))</f>
        <v>-97</v>
      </c>
      <c r="AW397" s="88" t="n">
        <f aca="false">IF($C397="&lt;01","",100%)</f>
        <v>1</v>
      </c>
      <c r="AX397" s="39" t="n">
        <f aca="false">IF($C397="&lt;01",SUM($AV397),ROUND(SUM($AV397)*SUM($AW397),0))</f>
        <v>-97</v>
      </c>
      <c r="AY397" s="114" t="n">
        <f aca="false">IF($C397="&lt;01","",70%)</f>
        <v>0.7</v>
      </c>
      <c r="AZ397" s="91" t="n">
        <f aca="false">IF($C397="&lt;01",ROUND(INDEX(EID!$R:$R,MATCH($B397,EID!$B:$B,0))/2,0),ROUND(SUM($O397)+(SUM($AV397)*$AY397),0))</f>
        <v>29</v>
      </c>
      <c r="BA397" s="87" t="n">
        <f aca="false">IF($C397="&lt;01","",95%)</f>
        <v>0.95</v>
      </c>
      <c r="BB397" s="5" t="n">
        <f aca="false">IF($C397="&lt;01",ROUND(INDEX(EID!$T:$T,MATCH($B397,EID!$B:$B,0))/2,0),ROUND($AZ397*$BA397,0))</f>
        <v>28</v>
      </c>
      <c r="BC397" s="91" t="n">
        <f aca="false">IF(LEFT($B397,4)="_Mil","",IF(SUM($BB397)=0,SUM($AD397),IF(OR(SUM($AP397)=0,SUM($AQ397)=0),MAX($BB397,$AD397),ROUND($BB397*$AQ397/$AP397,0))))</f>
        <v>28</v>
      </c>
      <c r="BD397" s="88" t="n">
        <f aca="false">IF($C397="&lt;01","",95%)</f>
        <v>0.95</v>
      </c>
      <c r="BE397" s="39" t="n">
        <f aca="false">IF($C397="&lt;01",ROUND(INDEX(EID!$V:$V,MATCH($B397,EID!$B:$B,0))/2,0),ROUND($BD397*$BB397,0))</f>
        <v>27</v>
      </c>
      <c r="BF397" s="39" t="n">
        <f aca="false">IF(LEFT($B397,4)="_Mil","",IF(SUM($BE397)=0,SUM($AF397),IF(OR(SUM($AP397)=0,SUM($AQ397)=0),MAX($BE397,$AF397),ROUND($BE397*$AQ397/$AP397,0))))</f>
        <v>27</v>
      </c>
      <c r="BG397" s="114" t="n">
        <f aca="false">IF($C397="&lt;01","",95%)</f>
        <v>0.95</v>
      </c>
      <c r="BH397" s="5" t="n">
        <f aca="false">IF($C397="&lt;01",ROUND(INDEX(EID!$L:$L,MATCH($B397,EID!$B:$B,0)),0)/2,IF(SUM($BG397)=0,"",ROUND($AX397/$BG397,0)))</f>
        <v>-102</v>
      </c>
    </row>
    <row r="398" customFormat="false" ht="15" hidden="false" customHeight="false" outlineLevel="0" collapsed="false">
      <c r="A398" s="0" t="str">
        <f aca="false">INDEX(Prioritization!$D:$D,MATCH($B398,Prioritization!$A:$A,0))</f>
        <v>1 - Scale-up: Saturation</v>
      </c>
      <c r="B398" s="0" t="s">
        <v>221</v>
      </c>
      <c r="C398" s="0" t="s">
        <v>364</v>
      </c>
      <c r="D398" s="0" t="s">
        <v>48</v>
      </c>
      <c r="E398" s="0" t="str">
        <f aca="false">$B398&amp;"|"&amp;$C398&amp;"|"&amp;$D398</f>
        <v>Thyolo District [ul0y9diGujK]|10-14|Male</v>
      </c>
      <c r="F398" s="10"/>
      <c r="G398" s="10" t="n">
        <v>1</v>
      </c>
      <c r="H398" s="10" t="n">
        <v>2</v>
      </c>
      <c r="I398" s="10" t="n">
        <v>38</v>
      </c>
      <c r="J398" s="10" t="n">
        <v>100</v>
      </c>
      <c r="K398" s="10" t="n">
        <v>64</v>
      </c>
      <c r="L398" s="10" t="n">
        <v>28</v>
      </c>
      <c r="M398" s="10" t="n">
        <v>99</v>
      </c>
      <c r="N398" s="10" t="n">
        <v>90</v>
      </c>
      <c r="O398" s="10" t="n">
        <f aca="false">IFERROR(1/(1/MAX($I398,$N398)),"")</f>
        <v>90</v>
      </c>
      <c r="P398" s="10" t="n">
        <v>11</v>
      </c>
      <c r="Q398" s="10" t="n">
        <v>24</v>
      </c>
      <c r="R398" s="10" t="n">
        <f aca="false">IF(AND(SUM($I398)=0,SUM($O398)=0),"",SUM($O398)-$I398)</f>
        <v>52</v>
      </c>
      <c r="S398" s="10" t="n">
        <f aca="false">IF(LEFT($B398,4)="_Mil","",_xlfn.IFNA(ROUND(INDEX(Spectrum!$N:$N,MATCH(RIGHT($B398,13)&amp;"|"&amp;$C398&amp;"|"&amp;$D398&amp;"|"&amp;S$14&amp;"|"&amp;"CY2022Q4",Spectrum!$R:$R,0)),0),""))</f>
        <v>1505</v>
      </c>
      <c r="T398" s="39" t="n">
        <f aca="false">IF(LEFT($B398,4)="_Mil","",_xlfn.IFNA(ROUND(INDEX(Spectrum!$N:$N,MATCH(RIGHT($B398,13)&amp;"|"&amp;$C398&amp;"|"&amp;$D398&amp;"|"&amp;T$14&amp;"|"&amp;"CY2023Q3",Spectrum!$R:$R,0)),0),""))</f>
        <v>1938</v>
      </c>
      <c r="U398" s="39" t="str">
        <f aca="false">IF(LEFT($B398,4)="_Mil","",_xlfn.IFNA(ROUND(INDEX(Spectrum!$N:$N,MATCH(RIGHT($B398,13)&amp;"|"&amp;$C398&amp;"|"&amp;$D398&amp;"|"&amp;U$14&amp;"|"&amp;"CY2023Q3",Spectrum!$R:$R,0)),0),""))</f>
        <v/>
      </c>
      <c r="V398" s="10" t="n">
        <f aca="false">IF(LEFT($B398,4)="_Mil","",_xlfn.IFNA(ROUND(INDEX(Spectrum!$N:$N,MATCH(RIGHT($B398,13)&amp;"|"&amp;$C398&amp;"|"&amp;$D398&amp;"|"&amp;V$14&amp;"|"&amp;"CY2023Q3",Spectrum!$R:$R,0)),0),""))</f>
        <v>1488</v>
      </c>
      <c r="W398" s="113" t="n">
        <f aca="false">IF(LEFT($B398,4)="_Mil","",_xlfn.IFNA(INDEX(Spectrum!$N:$N,MATCH(RIGHT($B398,13)&amp;"|"&amp;$C398&amp;"|"&amp;$D398&amp;"|"&amp;W$14&amp;"|"&amp;"CY2023Q3",Spectrum!$R:$R,0)),""))</f>
        <v>1673</v>
      </c>
      <c r="X398" s="39" t="n">
        <f aca="false">IF(LEFT($B398,4)="_Mil","",_xlfn.IFNA(ROUND(INDEX(Spectrum!$N:$N,MATCH(RIGHT($B398,13)&amp;"|"&amp;$C398&amp;"|"&amp;$D398&amp;"|"&amp;X$14&amp;"|"&amp;"CY2023Q3",Spectrum!$R:$R,0)),0),""))</f>
        <v>882</v>
      </c>
      <c r="Y398" s="88" t="str">
        <f aca="false">IF(OR(SUM($U398)=0,LEFT($B398,4)="_Mil"),"",SUM($X398)/$U398)</f>
        <v/>
      </c>
      <c r="Z398" s="39" t="n">
        <f aca="false">IF(LEFT($B398,4)="_Mil","",_xlfn.IFNA(ROUND(INDEX(Spectrum!$N:$N,MATCH(RIGHT($B398,13)&amp;"|"&amp;$C398&amp;"|"&amp;$D398&amp;"|"&amp;Z$14&amp;"|"&amp;"CY2023Q3",Spectrum!$R:$R,0)),0),""))</f>
        <v>522</v>
      </c>
      <c r="AA398" s="88" t="n">
        <f aca="false">IF(LEFT($B398,4)="_Mil","",IFERROR(1/(1/INDEX(Spectrum!$N:$N,MATCH(RIGHT($B398,13)&amp;"|"&amp;$C398&amp;"|"&amp;$D398&amp;"|"&amp;AA$14&amp;"|"&amp;"CY2023Q3",Spectrum!$R:$R,0))),IF(SUM($U398)=0,"",SUM($Z398)/$U398)))</f>
        <v>1575</v>
      </c>
      <c r="AB398" s="88" t="n">
        <f aca="false">IF(OR(LEFT($B398,4)="_Mil",SUM($X398)=0),"",SUM($Z398)/$X398)</f>
        <v>0.591836734693878</v>
      </c>
      <c r="AC398" s="10" t="n">
        <f aca="false">IF(LEFT($B398,4)="_Mil","",_xlfn.IFNA(ROUND(INDEX(Spectrum!$N:$N,MATCH(RIGHT($B398,13)&amp;"|"&amp;$C398&amp;"|"&amp;$D398&amp;"|"&amp;AC$14&amp;"|"&amp;"CY2023Q3",Spectrum!$R:$R,0)),0),""))</f>
        <v>1352</v>
      </c>
      <c r="AD398" s="10" t="str">
        <f aca="false">IF(LEFT($B398,4)="_Mil","",_xlfn.IFNA(ROUND(INDEX(Spectrum!$N:$N,MATCH(RIGHT($B398,13)&amp;"|"&amp;$C398&amp;"|"&amp;$D398&amp;"|"&amp;AD$14&amp;"|"&amp;"CY2023Q3",Spectrum!$R:$R,0)),0),""))</f>
        <v/>
      </c>
      <c r="AE398" s="88" t="n">
        <f aca="false">IF(OR(LEFT($B398,4)="_Mil",SUM($Z398)=0),"",SUM($AD398)/$Z398)</f>
        <v>0</v>
      </c>
      <c r="AF398" s="39" t="str">
        <f aca="false">IF(LEFT($B398,4)="_Mil","",_xlfn.IFNA(ROUND(INDEX(Spectrum!$N:$N,MATCH(RIGHT($B398,13)&amp;"|"&amp;$C398&amp;"|"&amp;$D398&amp;"|"&amp;AF$14&amp;"|"&amp;"CY2023Q3",Spectrum!$R:$R,0)),0),""))</f>
        <v/>
      </c>
      <c r="AG398" s="88" t="str">
        <f aca="false">IF(OR(LEFT($B398,4)="_Mil",SUM($AD398)=0),"",SUM($AF398)/$AD398)</f>
        <v/>
      </c>
      <c r="AH398" s="86" t="str">
        <f aca="false">IF(LEFT($B398,4)="_Mil","",_xlfn.IFNA(INDEX(Spectrum!$N:$N,MATCH(RIGHT($B398,13)&amp;"|"&amp;$C398&amp;"|"&amp;$D398&amp;"|"&amp;AH$14&amp;"|"&amp;"CY2023Q3",Spectrum!$R:$R,0)),""))</f>
        <v/>
      </c>
      <c r="AI398" s="10" t="str">
        <f aca="false">IF(LEFT($B398,4)="_Mil","",_xlfn.IFNA(ROUND(INDEX(Spectrum!$N:$N,MATCH(RIGHT($B398,13)&amp;"|"&amp;$C398&amp;"|"&amp;$D398&amp;"|"&amp;AI$14&amp;"|"&amp;"CY2023Q3",Spectrum!$R:$R,0)),0),""))</f>
        <v/>
      </c>
      <c r="AJ398" s="39" t="n">
        <f aca="false">IF(LEFT($B398,4)="_Mil","",_xlfn.IFNA(ROUND(INDEX(Spectrum!$N:$N,MATCH(RIGHT($B398,13)&amp;"|"&amp;$C398&amp;"|"&amp;$D398&amp;"|"&amp;AI$14&amp;"|"&amp;"CY2023Q3",Spectrum!$R:$R,0)),0),SUM($U398)+SUM($AI398)))</f>
        <v>0</v>
      </c>
      <c r="AK398" s="10" t="str">
        <f aca="false">IF(LEFT($B398,4)="_Mil","",_xlfn.IFNA(ROUND(INDEX(Spectrum!$N:$N,MATCH(RIGHT($B398,13)&amp;"|"&amp;$C398&amp;"|"&amp;$D398&amp;"|"&amp;AK$14&amp;"|"&amp;"CY2023Q3",Spectrum!$R:$R,0)),0),""))</f>
        <v/>
      </c>
      <c r="AL398" s="88" t="n">
        <f aca="false">IF(OR(LEFT($B398,4)="_Mil",$C398="&lt;01"),"",MAX(SUM($AA398),90%))</f>
        <v>1575</v>
      </c>
      <c r="AM398" s="10" t="n">
        <f aca="false">IF(OR(LEFT($B398,4)="_Mil",$C398="&lt;01"),"",ROUND(SUM($AJ398)*SUM($AL398),0))</f>
        <v>0</v>
      </c>
      <c r="AN398" s="10" t="str">
        <f aca="false">IF($C398="&lt;01",ROUND(INDEX(EID!$P:$P,MATCH($B398,EID!$B:$B,0))/2,0),"")</f>
        <v/>
      </c>
      <c r="AO398" s="10" t="n">
        <f aca="false">IF($C398="&lt;01",SUM($AN398),ROUND(SUM($AM398)*SUM($O398)/IF(SUM($Z398)=0,1,$Z398),0))</f>
        <v>0</v>
      </c>
      <c r="AP398" s="39" t="n">
        <f aca="false">IF(OR($F398="",$C398="&lt;01"),$AO398,$F398)</f>
        <v>0</v>
      </c>
      <c r="AQ398" s="39" t="n">
        <f aca="false">IF(LEFT($B398,4)="_Mil","",IF(SUM($AP398)=0,SUM($Z398),IF(OR(SUM($Z398)=0,SUM($O398)=0),MAX($AP398,$Z398),$AP398*$Z398/$O398)))</f>
        <v>522</v>
      </c>
      <c r="AR398" s="88" t="str">
        <f aca="false">IF(OR(LEFT($B398,4)="_Mil",SUM($AJ398)=0),"",SUM($AQ398)/$AJ398)</f>
        <v/>
      </c>
      <c r="AS398" s="88" t="n">
        <f aca="false">IF($C398="&lt;01","",98%)</f>
        <v>0.98</v>
      </c>
      <c r="AT398" s="88" t="n">
        <f aca="false">IF($C398="&lt;01","",98%)</f>
        <v>0.98</v>
      </c>
      <c r="AU398" s="10" t="n">
        <f aca="false">IF($C398="&lt;01","",SUM($AP398)-SUM($O398))</f>
        <v>-90</v>
      </c>
      <c r="AV398" s="10" t="n">
        <f aca="false">IF($C398="&lt;01",ROUND(INDEX(EID!$N:$N,MATCH($B398,EID!$B:$B,0))/2,0),IF(SUM($AT398)=0,"",ROUND((SUM($AP398)-(SUM($O398)*SUM($AS398)))/$AT398,0)))</f>
        <v>-90</v>
      </c>
      <c r="AW398" s="88" t="n">
        <f aca="false">IF($C398="&lt;01","",100%)</f>
        <v>1</v>
      </c>
      <c r="AX398" s="39" t="n">
        <f aca="false">IF($C398="&lt;01",SUM($AV398),ROUND(SUM($AV398)*SUM($AW398),0))</f>
        <v>-90</v>
      </c>
      <c r="AY398" s="114" t="n">
        <f aca="false">IF($C398="&lt;01","",70%)</f>
        <v>0.7</v>
      </c>
      <c r="AZ398" s="91" t="n">
        <f aca="false">IF($C398="&lt;01",ROUND(INDEX(EID!$R:$R,MATCH($B398,EID!$B:$B,0))/2,0),ROUND(SUM($O398)+(SUM($AV398)*$AY398),0))</f>
        <v>27</v>
      </c>
      <c r="BA398" s="87" t="n">
        <f aca="false">IF($C398="&lt;01","",95%)</f>
        <v>0.95</v>
      </c>
      <c r="BB398" s="5" t="n">
        <f aca="false">IF($C398="&lt;01",ROUND(INDEX(EID!$T:$T,MATCH($B398,EID!$B:$B,0))/2,0),ROUND($AZ398*$BA398,0))</f>
        <v>26</v>
      </c>
      <c r="BC398" s="91" t="n">
        <f aca="false">IF(LEFT($B398,4)="_Mil","",IF(SUM($BB398)=0,SUM($AD398),IF(OR(SUM($AP398)=0,SUM($AQ398)=0),MAX($BB398,$AD398),ROUND($BB398*$AQ398/$AP398,0))))</f>
        <v>26</v>
      </c>
      <c r="BD398" s="88" t="n">
        <f aca="false">IF($C398="&lt;01","",95%)</f>
        <v>0.95</v>
      </c>
      <c r="BE398" s="39" t="n">
        <f aca="false">IF($C398="&lt;01",ROUND(INDEX(EID!$V:$V,MATCH($B398,EID!$B:$B,0))/2,0),ROUND($BD398*$BB398,0))</f>
        <v>25</v>
      </c>
      <c r="BF398" s="39" t="n">
        <f aca="false">IF(LEFT($B398,4)="_Mil","",IF(SUM($BE398)=0,SUM($AF398),IF(OR(SUM($AP398)=0,SUM($AQ398)=0),MAX($BE398,$AF398),ROUND($BE398*$AQ398/$AP398,0))))</f>
        <v>25</v>
      </c>
      <c r="BG398" s="114" t="n">
        <f aca="false">IF($C398="&lt;01","",95%)</f>
        <v>0.95</v>
      </c>
      <c r="BH398" s="5" t="n">
        <f aca="false">IF($C398="&lt;01",ROUND(INDEX(EID!$L:$L,MATCH($B398,EID!$B:$B,0)),0)/2,IF(SUM($BG398)=0,"",ROUND($AX398/$BG398,0)))</f>
        <v>-95</v>
      </c>
    </row>
    <row r="399" customFormat="false" ht="15" hidden="false" customHeight="false" outlineLevel="0" collapsed="false">
      <c r="A399" s="0" t="str">
        <f aca="false">INDEX(Prioritization!$D:$D,MATCH($B399,Prioritization!$A:$A,0))</f>
        <v>1 - Scale-up: Saturation</v>
      </c>
      <c r="B399" s="0" t="s">
        <v>221</v>
      </c>
      <c r="C399" s="0" t="s">
        <v>365</v>
      </c>
      <c r="D399" s="0" t="s">
        <v>30</v>
      </c>
      <c r="E399" s="0" t="str">
        <f aca="false">$B399&amp;"|"&amp;$C399&amp;"|"&amp;$D399</f>
        <v>Thyolo District [ul0y9diGujK]|15-24|Female</v>
      </c>
      <c r="F399" s="10"/>
      <c r="G399" s="10"/>
      <c r="H399" s="10"/>
      <c r="I399" s="10"/>
      <c r="J399" s="10"/>
      <c r="K399" s="10"/>
      <c r="L399" s="10"/>
      <c r="M399" s="10"/>
      <c r="N399" s="10"/>
      <c r="O399" s="10" t="str">
        <f aca="false">IFERROR(1/(1/MAX($I399,$N399)),"")</f>
        <v/>
      </c>
      <c r="P399" s="10"/>
      <c r="Q399" s="10"/>
      <c r="R399" s="10" t="str">
        <f aca="false">IF(AND(SUM($I399)=0,SUM($O399)=0),"",SUM($O399)-$I399)</f>
        <v/>
      </c>
      <c r="S399" s="10" t="n">
        <f aca="false">IF(LEFT($B399,4)="_Mil","",_xlfn.IFNA(ROUND(INDEX(Spectrum!$N:$N,MATCH(RIGHT($B399,13)&amp;"|"&amp;$C399&amp;"|"&amp;$D399&amp;"|"&amp;S$14&amp;"|"&amp;"CY2022Q4",Spectrum!$R:$R,0)),0),""))</f>
        <v>857</v>
      </c>
      <c r="T399" s="39" t="n">
        <f aca="false">IF(LEFT($B399,4)="_Mil","",_xlfn.IFNA(ROUND(INDEX(Spectrum!$N:$N,MATCH(RIGHT($B399,13)&amp;"|"&amp;$C399&amp;"|"&amp;$D399&amp;"|"&amp;T$14&amp;"|"&amp;"CY2023Q3",Spectrum!$R:$R,0)),0),""))</f>
        <v>1269</v>
      </c>
      <c r="U399" s="39" t="str">
        <f aca="false">IF(LEFT($B399,4)="_Mil","",_xlfn.IFNA(ROUND(INDEX(Spectrum!$N:$N,MATCH(RIGHT($B399,13)&amp;"|"&amp;$C399&amp;"|"&amp;$D399&amp;"|"&amp;U$14&amp;"|"&amp;"CY2023Q3",Spectrum!$R:$R,0)),0),""))</f>
        <v/>
      </c>
      <c r="V399" s="10" t="n">
        <f aca="false">IF(LEFT($B399,4)="_Mil","",_xlfn.IFNA(ROUND(INDEX(Spectrum!$N:$N,MATCH(RIGHT($B399,13)&amp;"|"&amp;$C399&amp;"|"&amp;$D399&amp;"|"&amp;V$14&amp;"|"&amp;"CY2023Q3",Spectrum!$R:$R,0)),0),""))</f>
        <v>812</v>
      </c>
      <c r="W399" s="113" t="n">
        <f aca="false">IF(LEFT($B399,4)="_Mil","",_xlfn.IFNA(INDEX(Spectrum!$N:$N,MATCH(RIGHT($B399,13)&amp;"|"&amp;$C399&amp;"|"&amp;$D399&amp;"|"&amp;W$14&amp;"|"&amp;"CY2023Q3",Spectrum!$R:$R,0)),""))</f>
        <v>1338</v>
      </c>
      <c r="X399" s="39" t="n">
        <f aca="false">IF(LEFT($B399,4)="_Mil","",_xlfn.IFNA(ROUND(INDEX(Spectrum!$N:$N,MATCH(RIGHT($B399,13)&amp;"|"&amp;$C399&amp;"|"&amp;$D399&amp;"|"&amp;X$14&amp;"|"&amp;"CY2023Q3",Spectrum!$R:$R,0)),0),""))</f>
        <v>1191</v>
      </c>
      <c r="Y399" s="88" t="str">
        <f aca="false">IF(OR(SUM($U399)=0,LEFT($B399,4)="_Mil"),"",SUM($X399)/$U399)</f>
        <v/>
      </c>
      <c r="Z399" s="39" t="n">
        <f aca="false">IF(LEFT($B399,4)="_Mil","",_xlfn.IFNA(ROUND(INDEX(Spectrum!$N:$N,MATCH(RIGHT($B399,13)&amp;"|"&amp;$C399&amp;"|"&amp;$D399&amp;"|"&amp;Z$14&amp;"|"&amp;"CY2023Q3",Spectrum!$R:$R,0)),0),""))</f>
        <v>1841</v>
      </c>
      <c r="AA399" s="88" t="n">
        <f aca="false">IF(LEFT($B399,4)="_Mil","",IFERROR(1/(1/INDEX(Spectrum!$N:$N,MATCH(RIGHT($B399,13)&amp;"|"&amp;$C399&amp;"|"&amp;$D399&amp;"|"&amp;AA$14&amp;"|"&amp;"CY2023Q3",Spectrum!$R:$R,0))),IF(SUM($U399)=0,"",SUM($Z399)/$U399)))</f>
        <v>1462</v>
      </c>
      <c r="AB399" s="88" t="n">
        <f aca="false">IF(OR(LEFT($B399,4)="_Mil",SUM($X399)=0),"",SUM($Z399)/$X399)</f>
        <v>1.54575986565911</v>
      </c>
      <c r="AC399" s="10" t="n">
        <f aca="false">IF(LEFT($B399,4)="_Mil","",_xlfn.IFNA(ROUND(INDEX(Spectrum!$N:$N,MATCH(RIGHT($B399,13)&amp;"|"&amp;$C399&amp;"|"&amp;$D399&amp;"|"&amp;AC$14&amp;"|"&amp;"CY2023Q3",Spectrum!$R:$R,0)),0),""))</f>
        <v>947</v>
      </c>
      <c r="AD399" s="10" t="str">
        <f aca="false">IF(LEFT($B399,4)="_Mil","",_xlfn.IFNA(ROUND(INDEX(Spectrum!$N:$N,MATCH(RIGHT($B399,13)&amp;"|"&amp;$C399&amp;"|"&amp;$D399&amp;"|"&amp;AD$14&amp;"|"&amp;"CY2023Q3",Spectrum!$R:$R,0)),0),""))</f>
        <v/>
      </c>
      <c r="AE399" s="88" t="n">
        <f aca="false">IF(OR(LEFT($B399,4)="_Mil",SUM($Z399)=0),"",SUM($AD399)/$Z399)</f>
        <v>0</v>
      </c>
      <c r="AF399" s="39" t="str">
        <f aca="false">IF(LEFT($B399,4)="_Mil","",_xlfn.IFNA(ROUND(INDEX(Spectrum!$N:$N,MATCH(RIGHT($B399,13)&amp;"|"&amp;$C399&amp;"|"&amp;$D399&amp;"|"&amp;AF$14&amp;"|"&amp;"CY2023Q3",Spectrum!$R:$R,0)),0),""))</f>
        <v/>
      </c>
      <c r="AG399" s="88" t="str">
        <f aca="false">IF(OR(LEFT($B399,4)="_Mil",SUM($AD399)=0),"",SUM($AF399)/$AD399)</f>
        <v/>
      </c>
      <c r="AH399" s="86" t="str">
        <f aca="false">IF(LEFT($B399,4)="_Mil","",_xlfn.IFNA(INDEX(Spectrum!$N:$N,MATCH(RIGHT($B399,13)&amp;"|"&amp;$C399&amp;"|"&amp;$D399&amp;"|"&amp;AH$14&amp;"|"&amp;"CY2023Q3",Spectrum!$R:$R,0)),""))</f>
        <v/>
      </c>
      <c r="AI399" s="10" t="str">
        <f aca="false">IF(LEFT($B399,4)="_Mil","",_xlfn.IFNA(ROUND(INDEX(Spectrum!$N:$N,MATCH(RIGHT($B399,13)&amp;"|"&amp;$C399&amp;"|"&amp;$D399&amp;"|"&amp;AI$14&amp;"|"&amp;"CY2023Q3",Spectrum!$R:$R,0)),0),""))</f>
        <v/>
      </c>
      <c r="AJ399" s="39" t="n">
        <f aca="false">IF(LEFT($B399,4)="_Mil","",_xlfn.IFNA(ROUND(INDEX(Spectrum!$N:$N,MATCH(RIGHT($B399,13)&amp;"|"&amp;$C399&amp;"|"&amp;$D399&amp;"|"&amp;AI$14&amp;"|"&amp;"CY2023Q3",Spectrum!$R:$R,0)),0),SUM($U399)+SUM($AI399)))</f>
        <v>0</v>
      </c>
      <c r="AK399" s="10" t="str">
        <f aca="false">IF(LEFT($B399,4)="_Mil","",_xlfn.IFNA(ROUND(INDEX(Spectrum!$N:$N,MATCH(RIGHT($B399,13)&amp;"|"&amp;$C399&amp;"|"&amp;$D399&amp;"|"&amp;AK$14&amp;"|"&amp;"CY2023Q3",Spectrum!$R:$R,0)),0),""))</f>
        <v/>
      </c>
      <c r="AL399" s="88" t="n">
        <f aca="false">IF(OR(LEFT($B399,4)="_Mil",$C399="&lt;01"),"",MAX(SUM($AA399),90%))</f>
        <v>1462</v>
      </c>
      <c r="AM399" s="10" t="n">
        <f aca="false">IF(OR(LEFT($B399,4)="_Mil",$C399="&lt;01"),"",ROUND(SUM($AJ399)*SUM($AL399),0))</f>
        <v>0</v>
      </c>
      <c r="AN399" s="10" t="str">
        <f aca="false">IF($C399="&lt;01",ROUND(INDEX(EID!$P:$P,MATCH($B399,EID!$B:$B,0))/2,0),"")</f>
        <v/>
      </c>
      <c r="AO399" s="10" t="n">
        <f aca="false">IF($C399="&lt;01",SUM($AN399),ROUND(SUM($AM399)*SUM($O399)/IF(SUM($Z399)=0,1,$Z399),0))</f>
        <v>0</v>
      </c>
      <c r="AP399" s="39" t="n">
        <f aca="false">IF(OR($F399="",$C399="&lt;01"),$AO399,$F399)</f>
        <v>0</v>
      </c>
      <c r="AQ399" s="39" t="n">
        <f aca="false">IF(LEFT($B399,4)="_Mil","",IF(SUM($AP399)=0,SUM($Z399),IF(OR(SUM($Z399)=0,SUM($O399)=0),MAX($AP399,$Z399),$AP399*$Z399/$O399)))</f>
        <v>1841</v>
      </c>
      <c r="AR399" s="88" t="str">
        <f aca="false">IF(OR(LEFT($B399,4)="_Mil",SUM($AJ399)=0),"",SUM($AQ399)/$AJ399)</f>
        <v/>
      </c>
      <c r="AS399" s="88" t="n">
        <f aca="false">IF($C399="&lt;01","",98%)</f>
        <v>0.98</v>
      </c>
      <c r="AT399" s="88" t="n">
        <f aca="false">IF($C399="&lt;01","",98%)</f>
        <v>0.98</v>
      </c>
      <c r="AU399" s="10" t="n">
        <f aca="false">IF($C399="&lt;01","",SUM($AP399)-SUM($O399))</f>
        <v>0</v>
      </c>
      <c r="AV399" s="10" t="n">
        <f aca="false">IF($C399="&lt;01",ROUND(INDEX(EID!$N:$N,MATCH($B399,EID!$B:$B,0))/2,0),IF(SUM($AT399)=0,"",ROUND((SUM($AP399)-(SUM($O399)*SUM($AS399)))/$AT399,0)))</f>
        <v>0</v>
      </c>
      <c r="AW399" s="88" t="n">
        <f aca="false">IF($C399="&lt;01","",100%)</f>
        <v>1</v>
      </c>
      <c r="AX399" s="39" t="n">
        <f aca="false">IF($C399="&lt;01",SUM($AV399),ROUND(SUM($AV399)*SUM($AW399),0))</f>
        <v>0</v>
      </c>
      <c r="AY399" s="114" t="n">
        <f aca="false">IF($C399="&lt;01","",70%)</f>
        <v>0.7</v>
      </c>
      <c r="AZ399" s="91" t="n">
        <f aca="false">IF($C399="&lt;01",ROUND(INDEX(EID!$R:$R,MATCH($B399,EID!$B:$B,0))/2,0),ROUND(SUM($O399)+(SUM($AV399)*$AY399),0))</f>
        <v>0</v>
      </c>
      <c r="BA399" s="87" t="n">
        <f aca="false">IF($C399="&lt;01","",95%)</f>
        <v>0.95</v>
      </c>
      <c r="BB399" s="5" t="n">
        <f aca="false">IF($C399="&lt;01",ROUND(INDEX(EID!$T:$T,MATCH($B399,EID!$B:$B,0))/2,0),ROUND($AZ399*$BA399,0))</f>
        <v>0</v>
      </c>
      <c r="BC399" s="91" t="n">
        <f aca="false">IF(LEFT($B399,4)="_Mil","",IF(SUM($BB399)=0,SUM($AD399),IF(OR(SUM($AP399)=0,SUM($AQ399)=0),MAX($BB399,$AD399),ROUND($BB399*$AQ399/$AP399,0))))</f>
        <v>0</v>
      </c>
      <c r="BD399" s="88" t="n">
        <f aca="false">IF($C399="&lt;01","",95%)</f>
        <v>0.95</v>
      </c>
      <c r="BE399" s="39" t="n">
        <f aca="false">IF($C399="&lt;01",ROUND(INDEX(EID!$V:$V,MATCH($B399,EID!$B:$B,0))/2,0),ROUND($BD399*$BB399,0))</f>
        <v>0</v>
      </c>
      <c r="BF399" s="39" t="n">
        <f aca="false">IF(LEFT($B399,4)="_Mil","",IF(SUM($BE399)=0,SUM($AF399),IF(OR(SUM($AP399)=0,SUM($AQ399)=0),MAX($BE399,$AF399),ROUND($BE399*$AQ399/$AP399,0))))</f>
        <v>0</v>
      </c>
      <c r="BG399" s="114" t="n">
        <f aca="false">IF($C399="&lt;01","",95%)</f>
        <v>0.95</v>
      </c>
      <c r="BH399" s="5" t="n">
        <f aca="false">IF($C399="&lt;01",ROUND(INDEX(EID!$L:$L,MATCH($B399,EID!$B:$B,0)),0)/2,IF(SUM($BG399)=0,"",ROUND($AX399/$BG399,0)))</f>
        <v>0</v>
      </c>
    </row>
    <row r="400" customFormat="false" ht="15" hidden="false" customHeight="false" outlineLevel="0" collapsed="false">
      <c r="A400" s="0" t="str">
        <f aca="false">INDEX(Prioritization!$D:$D,MATCH($B400,Prioritization!$A:$A,0))</f>
        <v>1 - Scale-up: Saturation</v>
      </c>
      <c r="B400" s="0" t="s">
        <v>221</v>
      </c>
      <c r="C400" s="0" t="s">
        <v>365</v>
      </c>
      <c r="D400" s="0" t="s">
        <v>48</v>
      </c>
      <c r="E400" s="0" t="str">
        <f aca="false">$B400&amp;"|"&amp;$C400&amp;"|"&amp;$D400</f>
        <v>Thyolo District [ul0y9diGujK]|15-24|Male</v>
      </c>
      <c r="F400" s="10"/>
      <c r="G400" s="10"/>
      <c r="H400" s="10"/>
      <c r="I400" s="10"/>
      <c r="J400" s="10"/>
      <c r="K400" s="10"/>
      <c r="L400" s="10"/>
      <c r="M400" s="10"/>
      <c r="N400" s="10"/>
      <c r="O400" s="10" t="str">
        <f aca="false">IFERROR(1/(1/MAX($I400,$N400)),"")</f>
        <v/>
      </c>
      <c r="P400" s="10"/>
      <c r="Q400" s="10"/>
      <c r="R400" s="10" t="str">
        <f aca="false">IF(AND(SUM($I400)=0,SUM($O400)=0),"",SUM($O400)-$I400)</f>
        <v/>
      </c>
      <c r="S400" s="10" t="n">
        <f aca="false">IF(LEFT($B400,4)="_Mil","",_xlfn.IFNA(ROUND(INDEX(Spectrum!$N:$N,MATCH(RIGHT($B400,13)&amp;"|"&amp;$C400&amp;"|"&amp;$D400&amp;"|"&amp;S$14&amp;"|"&amp;"CY2022Q4",Spectrum!$R:$R,0)),0),""))</f>
        <v>843</v>
      </c>
      <c r="T400" s="39" t="n">
        <f aca="false">IF(LEFT($B400,4)="_Mil","",_xlfn.IFNA(ROUND(INDEX(Spectrum!$N:$N,MATCH(RIGHT($B400,13)&amp;"|"&amp;$C400&amp;"|"&amp;$D400&amp;"|"&amp;T$14&amp;"|"&amp;"CY2023Q3",Spectrum!$R:$R,0)),0),""))</f>
        <v>1129</v>
      </c>
      <c r="U400" s="39" t="str">
        <f aca="false">IF(LEFT($B400,4)="_Mil","",_xlfn.IFNA(ROUND(INDEX(Spectrum!$N:$N,MATCH(RIGHT($B400,13)&amp;"|"&amp;$C400&amp;"|"&amp;$D400&amp;"|"&amp;U$14&amp;"|"&amp;"CY2023Q3",Spectrum!$R:$R,0)),0),""))</f>
        <v/>
      </c>
      <c r="V400" s="10" t="n">
        <f aca="false">IF(LEFT($B400,4)="_Mil","",_xlfn.IFNA(ROUND(INDEX(Spectrum!$N:$N,MATCH(RIGHT($B400,13)&amp;"|"&amp;$C400&amp;"|"&amp;$D400&amp;"|"&amp;V$14&amp;"|"&amp;"CY2023Q3",Spectrum!$R:$R,0)),0),""))</f>
        <v>1518</v>
      </c>
      <c r="W400" s="113" t="n">
        <f aca="false">IF(LEFT($B400,4)="_Mil","",_xlfn.IFNA(INDEX(Spectrum!$N:$N,MATCH(RIGHT($B400,13)&amp;"|"&amp;$C400&amp;"|"&amp;$D400&amp;"|"&amp;W$14&amp;"|"&amp;"CY2023Q3",Spectrum!$R:$R,0)),""))</f>
        <v>1846</v>
      </c>
      <c r="X400" s="39" t="n">
        <f aca="false">IF(LEFT($B400,4)="_Mil","",_xlfn.IFNA(ROUND(INDEX(Spectrum!$N:$N,MATCH(RIGHT($B400,13)&amp;"|"&amp;$C400&amp;"|"&amp;$D400&amp;"|"&amp;X$14&amp;"|"&amp;"CY2023Q3",Spectrum!$R:$R,0)),0),""))</f>
        <v>1324</v>
      </c>
      <c r="Y400" s="88" t="str">
        <f aca="false">IF(OR(SUM($U400)=0,LEFT($B400,4)="_Mil"),"",SUM($X400)/$U400)</f>
        <v/>
      </c>
      <c r="Z400" s="39" t="n">
        <f aca="false">IF(LEFT($B400,4)="_Mil","",_xlfn.IFNA(ROUND(INDEX(Spectrum!$N:$N,MATCH(RIGHT($B400,13)&amp;"|"&amp;$C400&amp;"|"&amp;$D400&amp;"|"&amp;Z$14&amp;"|"&amp;"CY2023Q3",Spectrum!$R:$R,0)),0),""))</f>
        <v>1387</v>
      </c>
      <c r="AA400" s="88" t="n">
        <f aca="false">IF(LEFT($B400,4)="_Mil","",IFERROR(1/(1/INDEX(Spectrum!$N:$N,MATCH(RIGHT($B400,13)&amp;"|"&amp;$C400&amp;"|"&amp;$D400&amp;"|"&amp;AA$14&amp;"|"&amp;"CY2023Q3",Spectrum!$R:$R,0))),IF(SUM($U400)=0,"",SUM($Z400)/$U400)))</f>
        <v>1208</v>
      </c>
      <c r="AB400" s="88" t="n">
        <f aca="false">IF(OR(LEFT($B400,4)="_Mil",SUM($X400)=0),"",SUM($Z400)/$X400)</f>
        <v>1.047583081571</v>
      </c>
      <c r="AC400" s="10" t="n">
        <f aca="false">IF(LEFT($B400,4)="_Mil","",_xlfn.IFNA(ROUND(INDEX(Spectrum!$N:$N,MATCH(RIGHT($B400,13)&amp;"|"&amp;$C400&amp;"|"&amp;$D400&amp;"|"&amp;AC$14&amp;"|"&amp;"CY2023Q3",Spectrum!$R:$R,0)),0),""))</f>
        <v>595</v>
      </c>
      <c r="AD400" s="10" t="str">
        <f aca="false">IF(LEFT($B400,4)="_Mil","",_xlfn.IFNA(ROUND(INDEX(Spectrum!$N:$N,MATCH(RIGHT($B400,13)&amp;"|"&amp;$C400&amp;"|"&amp;$D400&amp;"|"&amp;AD$14&amp;"|"&amp;"CY2023Q3",Spectrum!$R:$R,0)),0),""))</f>
        <v/>
      </c>
      <c r="AE400" s="88" t="n">
        <f aca="false">IF(OR(LEFT($B400,4)="_Mil",SUM($Z400)=0),"",SUM($AD400)/$Z400)</f>
        <v>0</v>
      </c>
      <c r="AF400" s="39" t="str">
        <f aca="false">IF(LEFT($B400,4)="_Mil","",_xlfn.IFNA(ROUND(INDEX(Spectrum!$N:$N,MATCH(RIGHT($B400,13)&amp;"|"&amp;$C400&amp;"|"&amp;$D400&amp;"|"&amp;AF$14&amp;"|"&amp;"CY2023Q3",Spectrum!$R:$R,0)),0),""))</f>
        <v/>
      </c>
      <c r="AG400" s="88" t="str">
        <f aca="false">IF(OR(LEFT($B400,4)="_Mil",SUM($AD400)=0),"",SUM($AF400)/$AD400)</f>
        <v/>
      </c>
      <c r="AH400" s="86" t="str">
        <f aca="false">IF(LEFT($B400,4)="_Mil","",_xlfn.IFNA(INDEX(Spectrum!$N:$N,MATCH(RIGHT($B400,13)&amp;"|"&amp;$C400&amp;"|"&amp;$D400&amp;"|"&amp;AH$14&amp;"|"&amp;"CY2023Q3",Spectrum!$R:$R,0)),""))</f>
        <v/>
      </c>
      <c r="AI400" s="10" t="str">
        <f aca="false">IF(LEFT($B400,4)="_Mil","",_xlfn.IFNA(ROUND(INDEX(Spectrum!$N:$N,MATCH(RIGHT($B400,13)&amp;"|"&amp;$C400&amp;"|"&amp;$D400&amp;"|"&amp;AI$14&amp;"|"&amp;"CY2023Q3",Spectrum!$R:$R,0)),0),""))</f>
        <v/>
      </c>
      <c r="AJ400" s="39" t="n">
        <f aca="false">IF(LEFT($B400,4)="_Mil","",_xlfn.IFNA(ROUND(INDEX(Spectrum!$N:$N,MATCH(RIGHT($B400,13)&amp;"|"&amp;$C400&amp;"|"&amp;$D400&amp;"|"&amp;AI$14&amp;"|"&amp;"CY2023Q3",Spectrum!$R:$R,0)),0),SUM($U400)+SUM($AI400)))</f>
        <v>0</v>
      </c>
      <c r="AK400" s="10" t="str">
        <f aca="false">IF(LEFT($B400,4)="_Mil","",_xlfn.IFNA(ROUND(INDEX(Spectrum!$N:$N,MATCH(RIGHT($B400,13)&amp;"|"&amp;$C400&amp;"|"&amp;$D400&amp;"|"&amp;AK$14&amp;"|"&amp;"CY2023Q3",Spectrum!$R:$R,0)),0),""))</f>
        <v/>
      </c>
      <c r="AL400" s="88" t="n">
        <f aca="false">IF(OR(LEFT($B400,4)="_Mil",$C400="&lt;01"),"",MAX(SUM($AA400),90%))</f>
        <v>1208</v>
      </c>
      <c r="AM400" s="10" t="n">
        <f aca="false">IF(OR(LEFT($B400,4)="_Mil",$C400="&lt;01"),"",ROUND(SUM($AJ400)*SUM($AL400),0))</f>
        <v>0</v>
      </c>
      <c r="AN400" s="10" t="str">
        <f aca="false">IF($C400="&lt;01",ROUND(INDEX(EID!$P:$P,MATCH($B400,EID!$B:$B,0))/2,0),"")</f>
        <v/>
      </c>
      <c r="AO400" s="10" t="n">
        <f aca="false">IF($C400="&lt;01",SUM($AN400),ROUND(SUM($AM400)*SUM($O400)/IF(SUM($Z400)=0,1,$Z400),0))</f>
        <v>0</v>
      </c>
      <c r="AP400" s="39" t="n">
        <f aca="false">IF(OR($F400="",$C400="&lt;01"),$AO400,$F400)</f>
        <v>0</v>
      </c>
      <c r="AQ400" s="39" t="n">
        <f aca="false">IF(LEFT($B400,4)="_Mil","",IF(SUM($AP400)=0,SUM($Z400),IF(OR(SUM($Z400)=0,SUM($O400)=0),MAX($AP400,$Z400),$AP400*$Z400/$O400)))</f>
        <v>1387</v>
      </c>
      <c r="AR400" s="88" t="str">
        <f aca="false">IF(OR(LEFT($B400,4)="_Mil",SUM($AJ400)=0),"",SUM($AQ400)/$AJ400)</f>
        <v/>
      </c>
      <c r="AS400" s="88" t="n">
        <f aca="false">IF($C400="&lt;01","",98%)</f>
        <v>0.98</v>
      </c>
      <c r="AT400" s="88" t="n">
        <f aca="false">IF($C400="&lt;01","",98%)</f>
        <v>0.98</v>
      </c>
      <c r="AU400" s="10" t="n">
        <f aca="false">IF($C400="&lt;01","",SUM($AP400)-SUM($O400))</f>
        <v>0</v>
      </c>
      <c r="AV400" s="10" t="n">
        <f aca="false">IF($C400="&lt;01",ROUND(INDEX(EID!$N:$N,MATCH($B400,EID!$B:$B,0))/2,0),IF(SUM($AT400)=0,"",ROUND((SUM($AP400)-(SUM($O400)*SUM($AS400)))/$AT400,0)))</f>
        <v>0</v>
      </c>
      <c r="AW400" s="88" t="n">
        <f aca="false">IF($C400="&lt;01","",100%)</f>
        <v>1</v>
      </c>
      <c r="AX400" s="39" t="n">
        <f aca="false">IF($C400="&lt;01",SUM($AV400),ROUND(SUM($AV400)*SUM($AW400),0))</f>
        <v>0</v>
      </c>
      <c r="AY400" s="114" t="n">
        <f aca="false">IF($C400="&lt;01","",70%)</f>
        <v>0.7</v>
      </c>
      <c r="AZ400" s="91" t="n">
        <f aca="false">IF($C400="&lt;01",ROUND(INDEX(EID!$R:$R,MATCH($B400,EID!$B:$B,0))/2,0),ROUND(SUM($O400)+(SUM($AV400)*$AY400),0))</f>
        <v>0</v>
      </c>
      <c r="BA400" s="87" t="n">
        <f aca="false">IF($C400="&lt;01","",95%)</f>
        <v>0.95</v>
      </c>
      <c r="BB400" s="5" t="n">
        <f aca="false">IF($C400="&lt;01",ROUND(INDEX(EID!$T:$T,MATCH($B400,EID!$B:$B,0))/2,0),ROUND($AZ400*$BA400,0))</f>
        <v>0</v>
      </c>
      <c r="BC400" s="91" t="n">
        <f aca="false">IF(LEFT($B400,4)="_Mil","",IF(SUM($BB400)=0,SUM($AD400),IF(OR(SUM($AP400)=0,SUM($AQ400)=0),MAX($BB400,$AD400),ROUND($BB400*$AQ400/$AP400,0))))</f>
        <v>0</v>
      </c>
      <c r="BD400" s="88" t="n">
        <f aca="false">IF($C400="&lt;01","",95%)</f>
        <v>0.95</v>
      </c>
      <c r="BE400" s="39" t="n">
        <f aca="false">IF($C400="&lt;01",ROUND(INDEX(EID!$V:$V,MATCH($B400,EID!$B:$B,0))/2,0),ROUND($BD400*$BB400,0))</f>
        <v>0</v>
      </c>
      <c r="BF400" s="39" t="n">
        <f aca="false">IF(LEFT($B400,4)="_Mil","",IF(SUM($BE400)=0,SUM($AF400),IF(OR(SUM($AP400)=0,SUM($AQ400)=0),MAX($BE400,$AF400),ROUND($BE400*$AQ400/$AP400,0))))</f>
        <v>0</v>
      </c>
      <c r="BG400" s="114" t="n">
        <f aca="false">IF($C400="&lt;01","",95%)</f>
        <v>0.95</v>
      </c>
      <c r="BH400" s="5" t="n">
        <f aca="false">IF($C400="&lt;01",ROUND(INDEX(EID!$L:$L,MATCH($B400,EID!$B:$B,0)),0)/2,IF(SUM($BG400)=0,"",ROUND($AX400/$BG400,0)))</f>
        <v>0</v>
      </c>
    </row>
    <row r="401" customFormat="false" ht="15" hidden="false" customHeight="false" outlineLevel="0" collapsed="false">
      <c r="A401" s="0" t="str">
        <f aca="false">INDEX(Prioritization!$D:$D,MATCH($B401,Prioritization!$A:$A,0))</f>
        <v>1 - Scale-up: Saturation</v>
      </c>
      <c r="B401" s="0" t="s">
        <v>221</v>
      </c>
      <c r="C401" s="0" t="s">
        <v>366</v>
      </c>
      <c r="D401" s="0" t="s">
        <v>30</v>
      </c>
      <c r="E401" s="0" t="str">
        <f aca="false">$B401&amp;"|"&amp;$C401&amp;"|"&amp;$D401</f>
        <v>Thyolo District [ul0y9diGujK]|25-34|Female</v>
      </c>
      <c r="F401" s="10"/>
      <c r="G401" s="10"/>
      <c r="H401" s="10"/>
      <c r="I401" s="10"/>
      <c r="J401" s="10"/>
      <c r="K401" s="10"/>
      <c r="L401" s="10"/>
      <c r="M401" s="10"/>
      <c r="N401" s="10"/>
      <c r="O401" s="10" t="str">
        <f aca="false">IFERROR(1/(1/MAX($I401,$N401)),"")</f>
        <v/>
      </c>
      <c r="P401" s="10"/>
      <c r="Q401" s="10"/>
      <c r="R401" s="10" t="str">
        <f aca="false">IF(AND(SUM($I401)=0,SUM($O401)=0),"",SUM($O401)-$I401)</f>
        <v/>
      </c>
      <c r="S401" s="10" t="n">
        <f aca="false">IF(LEFT($B401,4)="_Mil","",_xlfn.IFNA(ROUND(INDEX(Spectrum!$N:$N,MATCH(RIGHT($B401,13)&amp;"|"&amp;$C401&amp;"|"&amp;$D401&amp;"|"&amp;S$14&amp;"|"&amp;"CY2022Q4",Spectrum!$R:$R,0)),0),""))</f>
        <v>1601</v>
      </c>
      <c r="T401" s="39" t="n">
        <f aca="false">IF(LEFT($B401,4)="_Mil","",_xlfn.IFNA(ROUND(INDEX(Spectrum!$N:$N,MATCH(RIGHT($B401,13)&amp;"|"&amp;$C401&amp;"|"&amp;$D401&amp;"|"&amp;T$14&amp;"|"&amp;"CY2023Q3",Spectrum!$R:$R,0)),0),""))</f>
        <v>1333</v>
      </c>
      <c r="U401" s="39" t="str">
        <f aca="false">IF(LEFT($B401,4)="_Mil","",_xlfn.IFNA(ROUND(INDEX(Spectrum!$N:$N,MATCH(RIGHT($B401,13)&amp;"|"&amp;$C401&amp;"|"&amp;$D401&amp;"|"&amp;U$14&amp;"|"&amp;"CY2023Q3",Spectrum!$R:$R,0)),0),""))</f>
        <v/>
      </c>
      <c r="V401" s="10" t="n">
        <f aca="false">IF(LEFT($B401,4)="_Mil","",_xlfn.IFNA(ROUND(INDEX(Spectrum!$N:$N,MATCH(RIGHT($B401,13)&amp;"|"&amp;$C401&amp;"|"&amp;$D401&amp;"|"&amp;V$14&amp;"|"&amp;"CY2023Q3",Spectrum!$R:$R,0)),0),""))</f>
        <v>1085</v>
      </c>
      <c r="W401" s="113" t="n">
        <f aca="false">IF(LEFT($B401,4)="_Mil","",_xlfn.IFNA(INDEX(Spectrum!$N:$N,MATCH(RIGHT($B401,13)&amp;"|"&amp;$C401&amp;"|"&amp;$D401&amp;"|"&amp;W$14&amp;"|"&amp;"CY2023Q3",Spectrum!$R:$R,0)),""))</f>
        <v>1486</v>
      </c>
      <c r="X401" s="39" t="n">
        <f aca="false">IF(LEFT($B401,4)="_Mil","",_xlfn.IFNA(ROUND(INDEX(Spectrum!$N:$N,MATCH(RIGHT($B401,13)&amp;"|"&amp;$C401&amp;"|"&amp;$D401&amp;"|"&amp;X$14&amp;"|"&amp;"CY2023Q3",Spectrum!$R:$R,0)),0),""))</f>
        <v>1818</v>
      </c>
      <c r="Y401" s="88" t="str">
        <f aca="false">IF(OR(SUM($U401)=0,LEFT($B401,4)="_Mil"),"",SUM($X401)/$U401)</f>
        <v/>
      </c>
      <c r="Z401" s="39" t="n">
        <f aca="false">IF(LEFT($B401,4)="_Mil","",_xlfn.IFNA(ROUND(INDEX(Spectrum!$N:$N,MATCH(RIGHT($B401,13)&amp;"|"&amp;$C401&amp;"|"&amp;$D401&amp;"|"&amp;Z$14&amp;"|"&amp;"CY2023Q3",Spectrum!$R:$R,0)),0),""))</f>
        <v>921</v>
      </c>
      <c r="AA401" s="88" t="n">
        <f aca="false">IF(LEFT($B401,4)="_Mil","",IFERROR(1/(1/INDEX(Spectrum!$N:$N,MATCH(RIGHT($B401,13)&amp;"|"&amp;$C401&amp;"|"&amp;$D401&amp;"|"&amp;AA$14&amp;"|"&amp;"CY2023Q3",Spectrum!$R:$R,0))),IF(SUM($U401)=0,"",SUM($Z401)/$U401)))</f>
        <v>1158</v>
      </c>
      <c r="AB401" s="88" t="n">
        <f aca="false">IF(OR(LEFT($B401,4)="_Mil",SUM($X401)=0),"",SUM($Z401)/$X401)</f>
        <v>0.506600660066007</v>
      </c>
      <c r="AC401" s="10" t="n">
        <f aca="false">IF(LEFT($B401,4)="_Mil","",_xlfn.IFNA(ROUND(INDEX(Spectrum!$N:$N,MATCH(RIGHT($B401,13)&amp;"|"&amp;$C401&amp;"|"&amp;$D401&amp;"|"&amp;AC$14&amp;"|"&amp;"CY2023Q3",Spectrum!$R:$R,0)),0),""))</f>
        <v>1613</v>
      </c>
      <c r="AD401" s="10" t="str">
        <f aca="false">IF(LEFT($B401,4)="_Mil","",_xlfn.IFNA(ROUND(INDEX(Spectrum!$N:$N,MATCH(RIGHT($B401,13)&amp;"|"&amp;$C401&amp;"|"&amp;$D401&amp;"|"&amp;AD$14&amp;"|"&amp;"CY2023Q3",Spectrum!$R:$R,0)),0),""))</f>
        <v/>
      </c>
      <c r="AE401" s="88" t="n">
        <f aca="false">IF(OR(LEFT($B401,4)="_Mil",SUM($Z401)=0),"",SUM($AD401)/$Z401)</f>
        <v>0</v>
      </c>
      <c r="AF401" s="39" t="str">
        <f aca="false">IF(LEFT($B401,4)="_Mil","",_xlfn.IFNA(ROUND(INDEX(Spectrum!$N:$N,MATCH(RIGHT($B401,13)&amp;"|"&amp;$C401&amp;"|"&amp;$D401&amp;"|"&amp;AF$14&amp;"|"&amp;"CY2023Q3",Spectrum!$R:$R,0)),0),""))</f>
        <v/>
      </c>
      <c r="AG401" s="88" t="str">
        <f aca="false">IF(OR(LEFT($B401,4)="_Mil",SUM($AD401)=0),"",SUM($AF401)/$AD401)</f>
        <v/>
      </c>
      <c r="AH401" s="86" t="str">
        <f aca="false">IF(LEFT($B401,4)="_Mil","",_xlfn.IFNA(INDEX(Spectrum!$N:$N,MATCH(RIGHT($B401,13)&amp;"|"&amp;$C401&amp;"|"&amp;$D401&amp;"|"&amp;AH$14&amp;"|"&amp;"CY2023Q3",Spectrum!$R:$R,0)),""))</f>
        <v/>
      </c>
      <c r="AI401" s="10" t="str">
        <f aca="false">IF(LEFT($B401,4)="_Mil","",_xlfn.IFNA(ROUND(INDEX(Spectrum!$N:$N,MATCH(RIGHT($B401,13)&amp;"|"&amp;$C401&amp;"|"&amp;$D401&amp;"|"&amp;AI$14&amp;"|"&amp;"CY2023Q3",Spectrum!$R:$R,0)),0),""))</f>
        <v/>
      </c>
      <c r="AJ401" s="39" t="n">
        <f aca="false">IF(LEFT($B401,4)="_Mil","",_xlfn.IFNA(ROUND(INDEX(Spectrum!$N:$N,MATCH(RIGHT($B401,13)&amp;"|"&amp;$C401&amp;"|"&amp;$D401&amp;"|"&amp;AI$14&amp;"|"&amp;"CY2023Q3",Spectrum!$R:$R,0)),0),SUM($U401)+SUM($AI401)))</f>
        <v>0</v>
      </c>
      <c r="AK401" s="10" t="str">
        <f aca="false">IF(LEFT($B401,4)="_Mil","",_xlfn.IFNA(ROUND(INDEX(Spectrum!$N:$N,MATCH(RIGHT($B401,13)&amp;"|"&amp;$C401&amp;"|"&amp;$D401&amp;"|"&amp;AK$14&amp;"|"&amp;"CY2023Q3",Spectrum!$R:$R,0)),0),""))</f>
        <v/>
      </c>
      <c r="AL401" s="88" t="n">
        <f aca="false">IF(OR(LEFT($B401,4)="_Mil",$C401="&lt;01"),"",MAX(SUM($AA401),90%))</f>
        <v>1158</v>
      </c>
      <c r="AM401" s="10" t="n">
        <f aca="false">IF(OR(LEFT($B401,4)="_Mil",$C401="&lt;01"),"",ROUND(SUM($AJ401)*SUM($AL401),0))</f>
        <v>0</v>
      </c>
      <c r="AN401" s="10" t="str">
        <f aca="false">IF($C401="&lt;01",ROUND(INDEX(EID!$P:$P,MATCH($B401,EID!$B:$B,0))/2,0),"")</f>
        <v/>
      </c>
      <c r="AO401" s="10" t="n">
        <f aca="false">IF($C401="&lt;01",SUM($AN401),ROUND(SUM($AM401)*SUM($O401)/IF(SUM($Z401)=0,1,$Z401),0))</f>
        <v>0</v>
      </c>
      <c r="AP401" s="39" t="n">
        <f aca="false">IF(OR($F401="",$C401="&lt;01"),$AO401,$F401)</f>
        <v>0</v>
      </c>
      <c r="AQ401" s="39" t="n">
        <f aca="false">IF(LEFT($B401,4)="_Mil","",IF(SUM($AP401)=0,SUM($Z401),IF(OR(SUM($Z401)=0,SUM($O401)=0),MAX($AP401,$Z401),$AP401*$Z401/$O401)))</f>
        <v>921</v>
      </c>
      <c r="AR401" s="88" t="str">
        <f aca="false">IF(OR(LEFT($B401,4)="_Mil",SUM($AJ401)=0),"",SUM($AQ401)/$AJ401)</f>
        <v/>
      </c>
      <c r="AS401" s="88" t="n">
        <f aca="false">IF($C401="&lt;01","",98%)</f>
        <v>0.98</v>
      </c>
      <c r="AT401" s="88" t="n">
        <f aca="false">IF($C401="&lt;01","",98%)</f>
        <v>0.98</v>
      </c>
      <c r="AU401" s="10" t="n">
        <f aca="false">IF($C401="&lt;01","",SUM($AP401)-SUM($O401))</f>
        <v>0</v>
      </c>
      <c r="AV401" s="10" t="n">
        <f aca="false">IF($C401="&lt;01",ROUND(INDEX(EID!$N:$N,MATCH($B401,EID!$B:$B,0))/2,0),IF(SUM($AT401)=0,"",ROUND((SUM($AP401)-(SUM($O401)*SUM($AS401)))/$AT401,0)))</f>
        <v>0</v>
      </c>
      <c r="AW401" s="88" t="n">
        <f aca="false">IF($C401="&lt;01","",100%)</f>
        <v>1</v>
      </c>
      <c r="AX401" s="39" t="n">
        <f aca="false">IF($C401="&lt;01",SUM($AV401),ROUND(SUM($AV401)*SUM($AW401),0))</f>
        <v>0</v>
      </c>
      <c r="AY401" s="114" t="n">
        <f aca="false">IF($C401="&lt;01","",70%)</f>
        <v>0.7</v>
      </c>
      <c r="AZ401" s="91" t="n">
        <f aca="false">IF($C401="&lt;01",ROUND(INDEX(EID!$R:$R,MATCH($B401,EID!$B:$B,0))/2,0),ROUND(SUM($O401)+(SUM($AV401)*$AY401),0))</f>
        <v>0</v>
      </c>
      <c r="BA401" s="87" t="n">
        <f aca="false">IF($C401="&lt;01","",95%)</f>
        <v>0.95</v>
      </c>
      <c r="BB401" s="5" t="n">
        <f aca="false">IF($C401="&lt;01",ROUND(INDEX(EID!$T:$T,MATCH($B401,EID!$B:$B,0))/2,0),ROUND($AZ401*$BA401,0))</f>
        <v>0</v>
      </c>
      <c r="BC401" s="91" t="n">
        <f aca="false">IF(LEFT($B401,4)="_Mil","",IF(SUM($BB401)=0,SUM($AD401),IF(OR(SUM($AP401)=0,SUM($AQ401)=0),MAX($BB401,$AD401),ROUND($BB401*$AQ401/$AP401,0))))</f>
        <v>0</v>
      </c>
      <c r="BD401" s="88" t="n">
        <f aca="false">IF($C401="&lt;01","",95%)</f>
        <v>0.95</v>
      </c>
      <c r="BE401" s="39" t="n">
        <f aca="false">IF($C401="&lt;01",ROUND(INDEX(EID!$V:$V,MATCH($B401,EID!$B:$B,0))/2,0),ROUND($BD401*$BB401,0))</f>
        <v>0</v>
      </c>
      <c r="BF401" s="39" t="n">
        <f aca="false">IF(LEFT($B401,4)="_Mil","",IF(SUM($BE401)=0,SUM($AF401),IF(OR(SUM($AP401)=0,SUM($AQ401)=0),MAX($BE401,$AF401),ROUND($BE401*$AQ401/$AP401,0))))</f>
        <v>0</v>
      </c>
      <c r="BG401" s="114" t="n">
        <f aca="false">IF($C401="&lt;01","",95%)</f>
        <v>0.95</v>
      </c>
      <c r="BH401" s="5" t="n">
        <f aca="false">IF($C401="&lt;01",ROUND(INDEX(EID!$L:$L,MATCH($B401,EID!$B:$B,0)),0)/2,IF(SUM($BG401)=0,"",ROUND($AX401/$BG401,0)))</f>
        <v>0</v>
      </c>
    </row>
    <row r="402" customFormat="false" ht="15" hidden="false" customHeight="false" outlineLevel="0" collapsed="false">
      <c r="A402" s="0" t="str">
        <f aca="false">INDEX(Prioritization!$D:$D,MATCH($B402,Prioritization!$A:$A,0))</f>
        <v>1 - Scale-up: Saturation</v>
      </c>
      <c r="B402" s="0" t="s">
        <v>221</v>
      </c>
      <c r="C402" s="0" t="s">
        <v>366</v>
      </c>
      <c r="D402" s="0" t="s">
        <v>48</v>
      </c>
      <c r="E402" s="0" t="str">
        <f aca="false">$B402&amp;"|"&amp;$C402&amp;"|"&amp;$D402</f>
        <v>Thyolo District [ul0y9diGujK]|25-34|Male</v>
      </c>
      <c r="F402" s="10"/>
      <c r="G402" s="10"/>
      <c r="H402" s="10"/>
      <c r="I402" s="10"/>
      <c r="J402" s="10"/>
      <c r="K402" s="10"/>
      <c r="L402" s="10"/>
      <c r="M402" s="10"/>
      <c r="N402" s="10"/>
      <c r="O402" s="10" t="str">
        <f aca="false">IFERROR(1/(1/MAX($I402,$N402)),"")</f>
        <v/>
      </c>
      <c r="P402" s="10"/>
      <c r="Q402" s="10"/>
      <c r="R402" s="10" t="str">
        <f aca="false">IF(AND(SUM($I402)=0,SUM($O402)=0),"",SUM($O402)-$I402)</f>
        <v/>
      </c>
      <c r="S402" s="10" t="n">
        <f aca="false">IF(LEFT($B402,4)="_Mil","",_xlfn.IFNA(ROUND(INDEX(Spectrum!$N:$N,MATCH(RIGHT($B402,13)&amp;"|"&amp;$C402&amp;"|"&amp;$D402&amp;"|"&amp;S$14&amp;"|"&amp;"CY2022Q4",Spectrum!$R:$R,0)),0),""))</f>
        <v>1553</v>
      </c>
      <c r="T402" s="39" t="n">
        <f aca="false">IF(LEFT($B402,4)="_Mil","",_xlfn.IFNA(ROUND(INDEX(Spectrum!$N:$N,MATCH(RIGHT($B402,13)&amp;"|"&amp;$C402&amp;"|"&amp;$D402&amp;"|"&amp;T$14&amp;"|"&amp;"CY2023Q3",Spectrum!$R:$R,0)),0),""))</f>
        <v>1064</v>
      </c>
      <c r="U402" s="39" t="str">
        <f aca="false">IF(LEFT($B402,4)="_Mil","",_xlfn.IFNA(ROUND(INDEX(Spectrum!$N:$N,MATCH(RIGHT($B402,13)&amp;"|"&amp;$C402&amp;"|"&amp;$D402&amp;"|"&amp;U$14&amp;"|"&amp;"CY2023Q3",Spectrum!$R:$R,0)),0),""))</f>
        <v/>
      </c>
      <c r="V402" s="10" t="n">
        <f aca="false">IF(LEFT($B402,4)="_Mil","",_xlfn.IFNA(ROUND(INDEX(Spectrum!$N:$N,MATCH(RIGHT($B402,13)&amp;"|"&amp;$C402&amp;"|"&amp;$D402&amp;"|"&amp;V$14&amp;"|"&amp;"CY2023Q3",Spectrum!$R:$R,0)),0),""))</f>
        <v>1412</v>
      </c>
      <c r="W402" s="113" t="n">
        <f aca="false">IF(LEFT($B402,4)="_Mil","",_xlfn.IFNA(INDEX(Spectrum!$N:$N,MATCH(RIGHT($B402,13)&amp;"|"&amp;$C402&amp;"|"&amp;$D402&amp;"|"&amp;W$14&amp;"|"&amp;"CY2023Q3",Spectrum!$R:$R,0)),""))</f>
        <v>1963</v>
      </c>
      <c r="X402" s="39" t="n">
        <f aca="false">IF(LEFT($B402,4)="_Mil","",_xlfn.IFNA(ROUND(INDEX(Spectrum!$N:$N,MATCH(RIGHT($B402,13)&amp;"|"&amp;$C402&amp;"|"&amp;$D402&amp;"|"&amp;X$14&amp;"|"&amp;"CY2023Q3",Spectrum!$R:$R,0)),0),""))</f>
        <v>1769</v>
      </c>
      <c r="Y402" s="88" t="str">
        <f aca="false">IF(OR(SUM($U402)=0,LEFT($B402,4)="_Mil"),"",SUM($X402)/$U402)</f>
        <v/>
      </c>
      <c r="Z402" s="39" t="n">
        <f aca="false">IF(LEFT($B402,4)="_Mil","",_xlfn.IFNA(ROUND(INDEX(Spectrum!$N:$N,MATCH(RIGHT($B402,13)&amp;"|"&amp;$C402&amp;"|"&amp;$D402&amp;"|"&amp;Z$14&amp;"|"&amp;"CY2023Q3",Spectrum!$R:$R,0)),0),""))</f>
        <v>1076</v>
      </c>
      <c r="AA402" s="88" t="n">
        <f aca="false">IF(LEFT($B402,4)="_Mil","",IFERROR(1/(1/INDEX(Spectrum!$N:$N,MATCH(RIGHT($B402,13)&amp;"|"&amp;$C402&amp;"|"&amp;$D402&amp;"|"&amp;AA$14&amp;"|"&amp;"CY2023Q3",Spectrum!$R:$R,0))),IF(SUM($U402)=0,"",SUM($Z402)/$U402)))</f>
        <v>1667</v>
      </c>
      <c r="AB402" s="88" t="n">
        <f aca="false">IF(OR(LEFT($B402,4)="_Mil",SUM($X402)=0),"",SUM($Z402)/$X402)</f>
        <v>0.608253250423968</v>
      </c>
      <c r="AC402" s="10" t="n">
        <f aca="false">IF(LEFT($B402,4)="_Mil","",_xlfn.IFNA(ROUND(INDEX(Spectrum!$N:$N,MATCH(RIGHT($B402,13)&amp;"|"&amp;$C402&amp;"|"&amp;$D402&amp;"|"&amp;AC$14&amp;"|"&amp;"CY2023Q3",Spectrum!$R:$R,0)),0),""))</f>
        <v>593</v>
      </c>
      <c r="AD402" s="10" t="str">
        <f aca="false">IF(LEFT($B402,4)="_Mil","",_xlfn.IFNA(ROUND(INDEX(Spectrum!$N:$N,MATCH(RIGHT($B402,13)&amp;"|"&amp;$C402&amp;"|"&amp;$D402&amp;"|"&amp;AD$14&amp;"|"&amp;"CY2023Q3",Spectrum!$R:$R,0)),0),""))</f>
        <v/>
      </c>
      <c r="AE402" s="88" t="n">
        <f aca="false">IF(OR(LEFT($B402,4)="_Mil",SUM($Z402)=0),"",SUM($AD402)/$Z402)</f>
        <v>0</v>
      </c>
      <c r="AF402" s="39" t="str">
        <f aca="false">IF(LEFT($B402,4)="_Mil","",_xlfn.IFNA(ROUND(INDEX(Spectrum!$N:$N,MATCH(RIGHT($B402,13)&amp;"|"&amp;$C402&amp;"|"&amp;$D402&amp;"|"&amp;AF$14&amp;"|"&amp;"CY2023Q3",Spectrum!$R:$R,0)),0),""))</f>
        <v/>
      </c>
      <c r="AG402" s="88" t="str">
        <f aca="false">IF(OR(LEFT($B402,4)="_Mil",SUM($AD402)=0),"",SUM($AF402)/$AD402)</f>
        <v/>
      </c>
      <c r="AH402" s="86" t="str">
        <f aca="false">IF(LEFT($B402,4)="_Mil","",_xlfn.IFNA(INDEX(Spectrum!$N:$N,MATCH(RIGHT($B402,13)&amp;"|"&amp;$C402&amp;"|"&amp;$D402&amp;"|"&amp;AH$14&amp;"|"&amp;"CY2023Q3",Spectrum!$R:$R,0)),""))</f>
        <v/>
      </c>
      <c r="AI402" s="10" t="str">
        <f aca="false">IF(LEFT($B402,4)="_Mil","",_xlfn.IFNA(ROUND(INDEX(Spectrum!$N:$N,MATCH(RIGHT($B402,13)&amp;"|"&amp;$C402&amp;"|"&amp;$D402&amp;"|"&amp;AI$14&amp;"|"&amp;"CY2023Q3",Spectrum!$R:$R,0)),0),""))</f>
        <v/>
      </c>
      <c r="AJ402" s="39" t="n">
        <f aca="false">IF(LEFT($B402,4)="_Mil","",_xlfn.IFNA(ROUND(INDEX(Spectrum!$N:$N,MATCH(RIGHT($B402,13)&amp;"|"&amp;$C402&amp;"|"&amp;$D402&amp;"|"&amp;AI$14&amp;"|"&amp;"CY2023Q3",Spectrum!$R:$R,0)),0),SUM($U402)+SUM($AI402)))</f>
        <v>0</v>
      </c>
      <c r="AK402" s="10" t="str">
        <f aca="false">IF(LEFT($B402,4)="_Mil","",_xlfn.IFNA(ROUND(INDEX(Spectrum!$N:$N,MATCH(RIGHT($B402,13)&amp;"|"&amp;$C402&amp;"|"&amp;$D402&amp;"|"&amp;AK$14&amp;"|"&amp;"CY2023Q3",Spectrum!$R:$R,0)),0),""))</f>
        <v/>
      </c>
      <c r="AL402" s="88" t="n">
        <f aca="false">IF(OR(LEFT($B402,4)="_Mil",$C402="&lt;01"),"",MAX(SUM($AA402),90%))</f>
        <v>1667</v>
      </c>
      <c r="AM402" s="10" t="n">
        <f aca="false">IF(OR(LEFT($B402,4)="_Mil",$C402="&lt;01"),"",ROUND(SUM($AJ402)*SUM($AL402),0))</f>
        <v>0</v>
      </c>
      <c r="AN402" s="10" t="str">
        <f aca="false">IF($C402="&lt;01",ROUND(INDEX(EID!$P:$P,MATCH($B402,EID!$B:$B,0))/2,0),"")</f>
        <v/>
      </c>
      <c r="AO402" s="10" t="n">
        <f aca="false">IF($C402="&lt;01",SUM($AN402),ROUND(SUM($AM402)*SUM($O402)/IF(SUM($Z402)=0,1,$Z402),0))</f>
        <v>0</v>
      </c>
      <c r="AP402" s="39" t="n">
        <f aca="false">IF(OR($F402="",$C402="&lt;01"),$AO402,$F402)</f>
        <v>0</v>
      </c>
      <c r="AQ402" s="39" t="n">
        <f aca="false">IF(LEFT($B402,4)="_Mil","",IF(SUM($AP402)=0,SUM($Z402),IF(OR(SUM($Z402)=0,SUM($O402)=0),MAX($AP402,$Z402),$AP402*$Z402/$O402)))</f>
        <v>1076</v>
      </c>
      <c r="AR402" s="88" t="str">
        <f aca="false">IF(OR(LEFT($B402,4)="_Mil",SUM($AJ402)=0),"",SUM($AQ402)/$AJ402)</f>
        <v/>
      </c>
      <c r="AS402" s="88" t="n">
        <f aca="false">IF($C402="&lt;01","",98%)</f>
        <v>0.98</v>
      </c>
      <c r="AT402" s="88" t="n">
        <f aca="false">IF($C402="&lt;01","",98%)</f>
        <v>0.98</v>
      </c>
      <c r="AU402" s="10" t="n">
        <f aca="false">IF($C402="&lt;01","",SUM($AP402)-SUM($O402))</f>
        <v>0</v>
      </c>
      <c r="AV402" s="10" t="n">
        <f aca="false">IF($C402="&lt;01",ROUND(INDEX(EID!$N:$N,MATCH($B402,EID!$B:$B,0))/2,0),IF(SUM($AT402)=0,"",ROUND((SUM($AP402)-(SUM($O402)*SUM($AS402)))/$AT402,0)))</f>
        <v>0</v>
      </c>
      <c r="AW402" s="88" t="n">
        <f aca="false">IF($C402="&lt;01","",100%)</f>
        <v>1</v>
      </c>
      <c r="AX402" s="39" t="n">
        <f aca="false">IF($C402="&lt;01",SUM($AV402),ROUND(SUM($AV402)*SUM($AW402),0))</f>
        <v>0</v>
      </c>
      <c r="AY402" s="114" t="n">
        <f aca="false">IF($C402="&lt;01","",70%)</f>
        <v>0.7</v>
      </c>
      <c r="AZ402" s="91" t="n">
        <f aca="false">IF($C402="&lt;01",ROUND(INDEX(EID!$R:$R,MATCH($B402,EID!$B:$B,0))/2,0),ROUND(SUM($O402)+(SUM($AV402)*$AY402),0))</f>
        <v>0</v>
      </c>
      <c r="BA402" s="87" t="n">
        <f aca="false">IF($C402="&lt;01","",95%)</f>
        <v>0.95</v>
      </c>
      <c r="BB402" s="5" t="n">
        <f aca="false">IF($C402="&lt;01",ROUND(INDEX(EID!$T:$T,MATCH($B402,EID!$B:$B,0))/2,0),ROUND($AZ402*$BA402,0))</f>
        <v>0</v>
      </c>
      <c r="BC402" s="91" t="n">
        <f aca="false">IF(LEFT($B402,4)="_Mil","",IF(SUM($BB402)=0,SUM($AD402),IF(OR(SUM($AP402)=0,SUM($AQ402)=0),MAX($BB402,$AD402),ROUND($BB402*$AQ402/$AP402,0))))</f>
        <v>0</v>
      </c>
      <c r="BD402" s="88" t="n">
        <f aca="false">IF($C402="&lt;01","",95%)</f>
        <v>0.95</v>
      </c>
      <c r="BE402" s="39" t="n">
        <f aca="false">IF($C402="&lt;01",ROUND(INDEX(EID!$V:$V,MATCH($B402,EID!$B:$B,0))/2,0),ROUND($BD402*$BB402,0))</f>
        <v>0</v>
      </c>
      <c r="BF402" s="39" t="n">
        <f aca="false">IF(LEFT($B402,4)="_Mil","",IF(SUM($BE402)=0,SUM($AF402),IF(OR(SUM($AP402)=0,SUM($AQ402)=0),MAX($BE402,$AF402),ROUND($BE402*$AQ402/$AP402,0))))</f>
        <v>0</v>
      </c>
      <c r="BG402" s="114" t="n">
        <f aca="false">IF($C402="&lt;01","",95%)</f>
        <v>0.95</v>
      </c>
      <c r="BH402" s="5" t="n">
        <f aca="false">IF($C402="&lt;01",ROUND(INDEX(EID!$L:$L,MATCH($B402,EID!$B:$B,0)),0)/2,IF(SUM($BG402)=0,"",ROUND($AX402/$BG402,0)))</f>
        <v>0</v>
      </c>
    </row>
    <row r="403" customFormat="false" ht="15" hidden="false" customHeight="false" outlineLevel="0" collapsed="false">
      <c r="A403" s="0" t="str">
        <f aca="false">INDEX(Prioritization!$D:$D,MATCH($B403,Prioritization!$A:$A,0))</f>
        <v>1 - Scale-up: Saturation</v>
      </c>
      <c r="B403" s="0" t="s">
        <v>221</v>
      </c>
      <c r="C403" s="0" t="s">
        <v>367</v>
      </c>
      <c r="D403" s="0" t="s">
        <v>30</v>
      </c>
      <c r="E403" s="0" t="str">
        <f aca="false">$B403&amp;"|"&amp;$C403&amp;"|"&amp;$D403</f>
        <v>Thyolo District [ul0y9diGujK]|35-49|Female</v>
      </c>
      <c r="F403" s="10"/>
      <c r="G403" s="10"/>
      <c r="H403" s="10"/>
      <c r="I403" s="10"/>
      <c r="J403" s="10"/>
      <c r="K403" s="10"/>
      <c r="L403" s="10"/>
      <c r="M403" s="10"/>
      <c r="N403" s="10"/>
      <c r="O403" s="10" t="str">
        <f aca="false">IFERROR(1/(1/MAX($I403,$N403)),"")</f>
        <v/>
      </c>
      <c r="P403" s="10"/>
      <c r="Q403" s="10"/>
      <c r="R403" s="10" t="str">
        <f aca="false">IF(AND(SUM($I403)=0,SUM($O403)=0),"",SUM($O403)-$I403)</f>
        <v/>
      </c>
      <c r="S403" s="10" t="n">
        <f aca="false">IF(LEFT($B403,4)="_Mil","",_xlfn.IFNA(ROUND(INDEX(Spectrum!$N:$N,MATCH(RIGHT($B403,13)&amp;"|"&amp;$C403&amp;"|"&amp;$D403&amp;"|"&amp;S$14&amp;"|"&amp;"CY2022Q4",Spectrum!$R:$R,0)),0),""))</f>
        <v>700</v>
      </c>
      <c r="T403" s="39" t="n">
        <f aca="false">IF(LEFT($B403,4)="_Mil","",_xlfn.IFNA(ROUND(INDEX(Spectrum!$N:$N,MATCH(RIGHT($B403,13)&amp;"|"&amp;$C403&amp;"|"&amp;$D403&amp;"|"&amp;T$14&amp;"|"&amp;"CY2023Q3",Spectrum!$R:$R,0)),0),""))</f>
        <v>1642</v>
      </c>
      <c r="U403" s="39" t="str">
        <f aca="false">IF(LEFT($B403,4)="_Mil","",_xlfn.IFNA(ROUND(INDEX(Spectrum!$N:$N,MATCH(RIGHT($B403,13)&amp;"|"&amp;$C403&amp;"|"&amp;$D403&amp;"|"&amp;U$14&amp;"|"&amp;"CY2023Q3",Spectrum!$R:$R,0)),0),""))</f>
        <v/>
      </c>
      <c r="V403" s="10" t="n">
        <f aca="false">IF(LEFT($B403,4)="_Mil","",_xlfn.IFNA(ROUND(INDEX(Spectrum!$N:$N,MATCH(RIGHT($B403,13)&amp;"|"&amp;$C403&amp;"|"&amp;$D403&amp;"|"&amp;V$14&amp;"|"&amp;"CY2023Q3",Spectrum!$R:$R,0)),0),""))</f>
        <v>1824</v>
      </c>
      <c r="W403" s="113" t="n">
        <f aca="false">IF(LEFT($B403,4)="_Mil","",_xlfn.IFNA(INDEX(Spectrum!$N:$N,MATCH(RIGHT($B403,13)&amp;"|"&amp;$C403&amp;"|"&amp;$D403&amp;"|"&amp;W$14&amp;"|"&amp;"CY2023Q3",Spectrum!$R:$R,0)),""))</f>
        <v>1695</v>
      </c>
      <c r="X403" s="39" t="n">
        <f aca="false">IF(LEFT($B403,4)="_Mil","",_xlfn.IFNA(ROUND(INDEX(Spectrum!$N:$N,MATCH(RIGHT($B403,13)&amp;"|"&amp;$C403&amp;"|"&amp;$D403&amp;"|"&amp;X$14&amp;"|"&amp;"CY2023Q3",Spectrum!$R:$R,0)),0),""))</f>
        <v>1887</v>
      </c>
      <c r="Y403" s="88" t="str">
        <f aca="false">IF(OR(SUM($U403)=0,LEFT($B403,4)="_Mil"),"",SUM($X403)/$U403)</f>
        <v/>
      </c>
      <c r="Z403" s="39" t="n">
        <f aca="false">IF(LEFT($B403,4)="_Mil","",_xlfn.IFNA(ROUND(INDEX(Spectrum!$N:$N,MATCH(RIGHT($B403,13)&amp;"|"&amp;$C403&amp;"|"&amp;$D403&amp;"|"&amp;Z$14&amp;"|"&amp;"CY2023Q3",Spectrum!$R:$R,0)),0),""))</f>
        <v>1630</v>
      </c>
      <c r="AA403" s="88" t="n">
        <f aca="false">IF(LEFT($B403,4)="_Mil","",IFERROR(1/(1/INDEX(Spectrum!$N:$N,MATCH(RIGHT($B403,13)&amp;"|"&amp;$C403&amp;"|"&amp;$D403&amp;"|"&amp;AA$14&amp;"|"&amp;"CY2023Q3",Spectrum!$R:$R,0))),IF(SUM($U403)=0,"",SUM($Z403)/$U403)))</f>
        <v>508</v>
      </c>
      <c r="AB403" s="88" t="n">
        <f aca="false">IF(OR(LEFT($B403,4)="_Mil",SUM($X403)=0),"",SUM($Z403)/$X403)</f>
        <v>0.86380498145204</v>
      </c>
      <c r="AC403" s="10" t="n">
        <f aca="false">IF(LEFT($B403,4)="_Mil","",_xlfn.IFNA(ROUND(INDEX(Spectrum!$N:$N,MATCH(RIGHT($B403,13)&amp;"|"&amp;$C403&amp;"|"&amp;$D403&amp;"|"&amp;AC$14&amp;"|"&amp;"CY2023Q3",Spectrum!$R:$R,0)),0),""))</f>
        <v>763</v>
      </c>
      <c r="AD403" s="10" t="str">
        <f aca="false">IF(LEFT($B403,4)="_Mil","",_xlfn.IFNA(ROUND(INDEX(Spectrum!$N:$N,MATCH(RIGHT($B403,13)&amp;"|"&amp;$C403&amp;"|"&amp;$D403&amp;"|"&amp;AD$14&amp;"|"&amp;"CY2023Q3",Spectrum!$R:$R,0)),0),""))</f>
        <v/>
      </c>
      <c r="AE403" s="88" t="n">
        <f aca="false">IF(OR(LEFT($B403,4)="_Mil",SUM($Z403)=0),"",SUM($AD403)/$Z403)</f>
        <v>0</v>
      </c>
      <c r="AF403" s="39" t="str">
        <f aca="false">IF(LEFT($B403,4)="_Mil","",_xlfn.IFNA(ROUND(INDEX(Spectrum!$N:$N,MATCH(RIGHT($B403,13)&amp;"|"&amp;$C403&amp;"|"&amp;$D403&amp;"|"&amp;AF$14&amp;"|"&amp;"CY2023Q3",Spectrum!$R:$R,0)),0),""))</f>
        <v/>
      </c>
      <c r="AG403" s="88" t="str">
        <f aca="false">IF(OR(LEFT($B403,4)="_Mil",SUM($AD403)=0),"",SUM($AF403)/$AD403)</f>
        <v/>
      </c>
      <c r="AH403" s="86" t="str">
        <f aca="false">IF(LEFT($B403,4)="_Mil","",_xlfn.IFNA(INDEX(Spectrum!$N:$N,MATCH(RIGHT($B403,13)&amp;"|"&amp;$C403&amp;"|"&amp;$D403&amp;"|"&amp;AH$14&amp;"|"&amp;"CY2023Q3",Spectrum!$R:$R,0)),""))</f>
        <v/>
      </c>
      <c r="AI403" s="10" t="str">
        <f aca="false">IF(LEFT($B403,4)="_Mil","",_xlfn.IFNA(ROUND(INDEX(Spectrum!$N:$N,MATCH(RIGHT($B403,13)&amp;"|"&amp;$C403&amp;"|"&amp;$D403&amp;"|"&amp;AI$14&amp;"|"&amp;"CY2023Q3",Spectrum!$R:$R,0)),0),""))</f>
        <v/>
      </c>
      <c r="AJ403" s="39" t="n">
        <f aca="false">IF(LEFT($B403,4)="_Mil","",_xlfn.IFNA(ROUND(INDEX(Spectrum!$N:$N,MATCH(RIGHT($B403,13)&amp;"|"&amp;$C403&amp;"|"&amp;$D403&amp;"|"&amp;AI$14&amp;"|"&amp;"CY2023Q3",Spectrum!$R:$R,0)),0),SUM($U403)+SUM($AI403)))</f>
        <v>0</v>
      </c>
      <c r="AK403" s="10" t="str">
        <f aca="false">IF(LEFT($B403,4)="_Mil","",_xlfn.IFNA(ROUND(INDEX(Spectrum!$N:$N,MATCH(RIGHT($B403,13)&amp;"|"&amp;$C403&amp;"|"&amp;$D403&amp;"|"&amp;AK$14&amp;"|"&amp;"CY2023Q3",Spectrum!$R:$R,0)),0),""))</f>
        <v/>
      </c>
      <c r="AL403" s="88" t="n">
        <f aca="false">IF(OR(LEFT($B403,4)="_Mil",$C403="&lt;01"),"",MAX(SUM($AA403),90%))</f>
        <v>508</v>
      </c>
      <c r="AM403" s="10" t="n">
        <f aca="false">IF(OR(LEFT($B403,4)="_Mil",$C403="&lt;01"),"",ROUND(SUM($AJ403)*SUM($AL403),0))</f>
        <v>0</v>
      </c>
      <c r="AN403" s="10" t="str">
        <f aca="false">IF($C403="&lt;01",ROUND(INDEX(EID!$P:$P,MATCH($B403,EID!$B:$B,0))/2,0),"")</f>
        <v/>
      </c>
      <c r="AO403" s="10" t="n">
        <f aca="false">IF($C403="&lt;01",SUM($AN403),ROUND(SUM($AM403)*SUM($O403)/IF(SUM($Z403)=0,1,$Z403),0))</f>
        <v>0</v>
      </c>
      <c r="AP403" s="39" t="n">
        <f aca="false">IF(OR($F403="",$C403="&lt;01"),$AO403,$F403)</f>
        <v>0</v>
      </c>
      <c r="AQ403" s="39" t="n">
        <f aca="false">IF(LEFT($B403,4)="_Mil","",IF(SUM($AP403)=0,SUM($Z403),IF(OR(SUM($Z403)=0,SUM($O403)=0),MAX($AP403,$Z403),$AP403*$Z403/$O403)))</f>
        <v>1630</v>
      </c>
      <c r="AR403" s="88" t="str">
        <f aca="false">IF(OR(LEFT($B403,4)="_Mil",SUM($AJ403)=0),"",SUM($AQ403)/$AJ403)</f>
        <v/>
      </c>
      <c r="AS403" s="88" t="n">
        <f aca="false">IF($C403="&lt;01","",98%)</f>
        <v>0.98</v>
      </c>
      <c r="AT403" s="88" t="n">
        <f aca="false">IF($C403="&lt;01","",98%)</f>
        <v>0.98</v>
      </c>
      <c r="AU403" s="10" t="n">
        <f aca="false">IF($C403="&lt;01","",SUM($AP403)-SUM($O403))</f>
        <v>0</v>
      </c>
      <c r="AV403" s="10" t="n">
        <f aca="false">IF($C403="&lt;01",ROUND(INDEX(EID!$N:$N,MATCH($B403,EID!$B:$B,0))/2,0),IF(SUM($AT403)=0,"",ROUND((SUM($AP403)-(SUM($O403)*SUM($AS403)))/$AT403,0)))</f>
        <v>0</v>
      </c>
      <c r="AW403" s="88" t="n">
        <f aca="false">IF($C403="&lt;01","",100%)</f>
        <v>1</v>
      </c>
      <c r="AX403" s="39" t="n">
        <f aca="false">IF($C403="&lt;01",SUM($AV403),ROUND(SUM($AV403)*SUM($AW403),0))</f>
        <v>0</v>
      </c>
      <c r="AY403" s="114" t="n">
        <f aca="false">IF($C403="&lt;01","",70%)</f>
        <v>0.7</v>
      </c>
      <c r="AZ403" s="91" t="n">
        <f aca="false">IF($C403="&lt;01",ROUND(INDEX(EID!$R:$R,MATCH($B403,EID!$B:$B,0))/2,0),ROUND(SUM($O403)+(SUM($AV403)*$AY403),0))</f>
        <v>0</v>
      </c>
      <c r="BA403" s="87" t="n">
        <f aca="false">IF($C403="&lt;01","",95%)</f>
        <v>0.95</v>
      </c>
      <c r="BB403" s="5" t="n">
        <f aca="false">IF($C403="&lt;01",ROUND(INDEX(EID!$T:$T,MATCH($B403,EID!$B:$B,0))/2,0),ROUND($AZ403*$BA403,0))</f>
        <v>0</v>
      </c>
      <c r="BC403" s="91" t="n">
        <f aca="false">IF(LEFT($B403,4)="_Mil","",IF(SUM($BB403)=0,SUM($AD403),IF(OR(SUM($AP403)=0,SUM($AQ403)=0),MAX($BB403,$AD403),ROUND($BB403*$AQ403/$AP403,0))))</f>
        <v>0</v>
      </c>
      <c r="BD403" s="88" t="n">
        <f aca="false">IF($C403="&lt;01","",95%)</f>
        <v>0.95</v>
      </c>
      <c r="BE403" s="39" t="n">
        <f aca="false">IF($C403="&lt;01",ROUND(INDEX(EID!$V:$V,MATCH($B403,EID!$B:$B,0))/2,0),ROUND($BD403*$BB403,0))</f>
        <v>0</v>
      </c>
      <c r="BF403" s="39" t="n">
        <f aca="false">IF(LEFT($B403,4)="_Mil","",IF(SUM($BE403)=0,SUM($AF403),IF(OR(SUM($AP403)=0,SUM($AQ403)=0),MAX($BE403,$AF403),ROUND($BE403*$AQ403/$AP403,0))))</f>
        <v>0</v>
      </c>
      <c r="BG403" s="114" t="n">
        <f aca="false">IF($C403="&lt;01","",95%)</f>
        <v>0.95</v>
      </c>
      <c r="BH403" s="5" t="n">
        <f aca="false">IF($C403="&lt;01",ROUND(INDEX(EID!$L:$L,MATCH($B403,EID!$B:$B,0)),0)/2,IF(SUM($BG403)=0,"",ROUND($AX403/$BG403,0)))</f>
        <v>0</v>
      </c>
    </row>
    <row r="404" customFormat="false" ht="15" hidden="false" customHeight="false" outlineLevel="0" collapsed="false">
      <c r="A404" s="0" t="str">
        <f aca="false">INDEX(Prioritization!$D:$D,MATCH($B404,Prioritization!$A:$A,0))</f>
        <v>1 - Scale-up: Saturation</v>
      </c>
      <c r="B404" s="0" t="s">
        <v>221</v>
      </c>
      <c r="C404" s="0" t="s">
        <v>367</v>
      </c>
      <c r="D404" s="0" t="s">
        <v>48</v>
      </c>
      <c r="E404" s="0" t="str">
        <f aca="false">$B404&amp;"|"&amp;$C404&amp;"|"&amp;$D404</f>
        <v>Thyolo District [ul0y9diGujK]|35-49|Male</v>
      </c>
      <c r="F404" s="10"/>
      <c r="G404" s="10"/>
      <c r="H404" s="10"/>
      <c r="I404" s="10"/>
      <c r="J404" s="10"/>
      <c r="K404" s="10"/>
      <c r="L404" s="10"/>
      <c r="M404" s="10"/>
      <c r="N404" s="10"/>
      <c r="O404" s="10" t="str">
        <f aca="false">IFERROR(1/(1/MAX($I404,$N404)),"")</f>
        <v/>
      </c>
      <c r="P404" s="10"/>
      <c r="Q404" s="10"/>
      <c r="R404" s="10" t="str">
        <f aca="false">IF(AND(SUM($I404)=0,SUM($O404)=0),"",SUM($O404)-$I404)</f>
        <v/>
      </c>
      <c r="S404" s="10" t="n">
        <f aca="false">IF(LEFT($B404,4)="_Mil","",_xlfn.IFNA(ROUND(INDEX(Spectrum!$N:$N,MATCH(RIGHT($B404,13)&amp;"|"&amp;$C404&amp;"|"&amp;$D404&amp;"|"&amp;S$14&amp;"|"&amp;"CY2022Q4",Spectrum!$R:$R,0)),0),""))</f>
        <v>1573</v>
      </c>
      <c r="T404" s="39" t="n">
        <f aca="false">IF(LEFT($B404,4)="_Mil","",_xlfn.IFNA(ROUND(INDEX(Spectrum!$N:$N,MATCH(RIGHT($B404,13)&amp;"|"&amp;$C404&amp;"|"&amp;$D404&amp;"|"&amp;T$14&amp;"|"&amp;"CY2023Q3",Spectrum!$R:$R,0)),0),""))</f>
        <v>1367</v>
      </c>
      <c r="U404" s="39" t="str">
        <f aca="false">IF(LEFT($B404,4)="_Mil","",_xlfn.IFNA(ROUND(INDEX(Spectrum!$N:$N,MATCH(RIGHT($B404,13)&amp;"|"&amp;$C404&amp;"|"&amp;$D404&amp;"|"&amp;U$14&amp;"|"&amp;"CY2023Q3",Spectrum!$R:$R,0)),0),""))</f>
        <v/>
      </c>
      <c r="V404" s="10" t="n">
        <f aca="false">IF(LEFT($B404,4)="_Mil","",_xlfn.IFNA(ROUND(INDEX(Spectrum!$N:$N,MATCH(RIGHT($B404,13)&amp;"|"&amp;$C404&amp;"|"&amp;$D404&amp;"|"&amp;V$14&amp;"|"&amp;"CY2023Q3",Spectrum!$R:$R,0)),0),""))</f>
        <v>1724</v>
      </c>
      <c r="W404" s="113" t="n">
        <f aca="false">IF(LEFT($B404,4)="_Mil","",_xlfn.IFNA(INDEX(Spectrum!$N:$N,MATCH(RIGHT($B404,13)&amp;"|"&amp;$C404&amp;"|"&amp;$D404&amp;"|"&amp;W$14&amp;"|"&amp;"CY2023Q3",Spectrum!$R:$R,0)),""))</f>
        <v>1812</v>
      </c>
      <c r="X404" s="39" t="n">
        <f aca="false">IF(LEFT($B404,4)="_Mil","",_xlfn.IFNA(ROUND(INDEX(Spectrum!$N:$N,MATCH(RIGHT($B404,13)&amp;"|"&amp;$C404&amp;"|"&amp;$D404&amp;"|"&amp;X$14&amp;"|"&amp;"CY2023Q3",Spectrum!$R:$R,0)),0),""))</f>
        <v>1857</v>
      </c>
      <c r="Y404" s="88" t="str">
        <f aca="false">IF(OR(SUM($U404)=0,LEFT($B404,4)="_Mil"),"",SUM($X404)/$U404)</f>
        <v/>
      </c>
      <c r="Z404" s="39" t="n">
        <f aca="false">IF(LEFT($B404,4)="_Mil","",_xlfn.IFNA(ROUND(INDEX(Spectrum!$N:$N,MATCH(RIGHT($B404,13)&amp;"|"&amp;$C404&amp;"|"&amp;$D404&amp;"|"&amp;Z$14&amp;"|"&amp;"CY2023Q3",Spectrum!$R:$R,0)),0),""))</f>
        <v>1525</v>
      </c>
      <c r="AA404" s="88" t="n">
        <f aca="false">IF(LEFT($B404,4)="_Mil","",IFERROR(1/(1/INDEX(Spectrum!$N:$N,MATCH(RIGHT($B404,13)&amp;"|"&amp;$C404&amp;"|"&amp;$D404&amp;"|"&amp;AA$14&amp;"|"&amp;"CY2023Q3",Spectrum!$R:$R,0))),IF(SUM($U404)=0,"",SUM($Z404)/$U404)))</f>
        <v>835</v>
      </c>
      <c r="AB404" s="88" t="n">
        <f aca="false">IF(OR(LEFT($B404,4)="_Mil",SUM($X404)=0),"",SUM($Z404)/$X404)</f>
        <v>0.821217016693592</v>
      </c>
      <c r="AC404" s="10" t="n">
        <f aca="false">IF(LEFT($B404,4)="_Mil","",_xlfn.IFNA(ROUND(INDEX(Spectrum!$N:$N,MATCH(RIGHT($B404,13)&amp;"|"&amp;$C404&amp;"|"&amp;$D404&amp;"|"&amp;AC$14&amp;"|"&amp;"CY2023Q3",Spectrum!$R:$R,0)),0),""))</f>
        <v>1922</v>
      </c>
      <c r="AD404" s="10" t="str">
        <f aca="false">IF(LEFT($B404,4)="_Mil","",_xlfn.IFNA(ROUND(INDEX(Spectrum!$N:$N,MATCH(RIGHT($B404,13)&amp;"|"&amp;$C404&amp;"|"&amp;$D404&amp;"|"&amp;AD$14&amp;"|"&amp;"CY2023Q3",Spectrum!$R:$R,0)),0),""))</f>
        <v/>
      </c>
      <c r="AE404" s="88" t="n">
        <f aca="false">IF(OR(LEFT($B404,4)="_Mil",SUM($Z404)=0),"",SUM($AD404)/$Z404)</f>
        <v>0</v>
      </c>
      <c r="AF404" s="39" t="str">
        <f aca="false">IF(LEFT($B404,4)="_Mil","",_xlfn.IFNA(ROUND(INDEX(Spectrum!$N:$N,MATCH(RIGHT($B404,13)&amp;"|"&amp;$C404&amp;"|"&amp;$D404&amp;"|"&amp;AF$14&amp;"|"&amp;"CY2023Q3",Spectrum!$R:$R,0)),0),""))</f>
        <v/>
      </c>
      <c r="AG404" s="88" t="str">
        <f aca="false">IF(OR(LEFT($B404,4)="_Mil",SUM($AD404)=0),"",SUM($AF404)/$AD404)</f>
        <v/>
      </c>
      <c r="AH404" s="86" t="str">
        <f aca="false">IF(LEFT($B404,4)="_Mil","",_xlfn.IFNA(INDEX(Spectrum!$N:$N,MATCH(RIGHT($B404,13)&amp;"|"&amp;$C404&amp;"|"&amp;$D404&amp;"|"&amp;AH$14&amp;"|"&amp;"CY2023Q3",Spectrum!$R:$R,0)),""))</f>
        <v/>
      </c>
      <c r="AI404" s="10" t="str">
        <f aca="false">IF(LEFT($B404,4)="_Mil","",_xlfn.IFNA(ROUND(INDEX(Spectrum!$N:$N,MATCH(RIGHT($B404,13)&amp;"|"&amp;$C404&amp;"|"&amp;$D404&amp;"|"&amp;AI$14&amp;"|"&amp;"CY2023Q3",Spectrum!$R:$R,0)),0),""))</f>
        <v/>
      </c>
      <c r="AJ404" s="39" t="n">
        <f aca="false">IF(LEFT($B404,4)="_Mil","",_xlfn.IFNA(ROUND(INDEX(Spectrum!$N:$N,MATCH(RIGHT($B404,13)&amp;"|"&amp;$C404&amp;"|"&amp;$D404&amp;"|"&amp;AI$14&amp;"|"&amp;"CY2023Q3",Spectrum!$R:$R,0)),0),SUM($U404)+SUM($AI404)))</f>
        <v>0</v>
      </c>
      <c r="AK404" s="10" t="str">
        <f aca="false">IF(LEFT($B404,4)="_Mil","",_xlfn.IFNA(ROUND(INDEX(Spectrum!$N:$N,MATCH(RIGHT($B404,13)&amp;"|"&amp;$C404&amp;"|"&amp;$D404&amp;"|"&amp;AK$14&amp;"|"&amp;"CY2023Q3",Spectrum!$R:$R,0)),0),""))</f>
        <v/>
      </c>
      <c r="AL404" s="88" t="n">
        <f aca="false">IF(OR(LEFT($B404,4)="_Mil",$C404="&lt;01"),"",MAX(SUM($AA404),90%))</f>
        <v>835</v>
      </c>
      <c r="AM404" s="10" t="n">
        <f aca="false">IF(OR(LEFT($B404,4)="_Mil",$C404="&lt;01"),"",ROUND(SUM($AJ404)*SUM($AL404),0))</f>
        <v>0</v>
      </c>
      <c r="AN404" s="10" t="str">
        <f aca="false">IF($C404="&lt;01",ROUND(INDEX(EID!$P:$P,MATCH($B404,EID!$B:$B,0))/2,0),"")</f>
        <v/>
      </c>
      <c r="AO404" s="10" t="n">
        <f aca="false">IF($C404="&lt;01",SUM($AN404),ROUND(SUM($AM404)*SUM($O404)/IF(SUM($Z404)=0,1,$Z404),0))</f>
        <v>0</v>
      </c>
      <c r="AP404" s="39" t="n">
        <f aca="false">IF(OR($F404="",$C404="&lt;01"),$AO404,$F404)</f>
        <v>0</v>
      </c>
      <c r="AQ404" s="39" t="n">
        <f aca="false">IF(LEFT($B404,4)="_Mil","",IF(SUM($AP404)=0,SUM($Z404),IF(OR(SUM($Z404)=0,SUM($O404)=0),MAX($AP404,$Z404),$AP404*$Z404/$O404)))</f>
        <v>1525</v>
      </c>
      <c r="AR404" s="88" t="str">
        <f aca="false">IF(OR(LEFT($B404,4)="_Mil",SUM($AJ404)=0),"",SUM($AQ404)/$AJ404)</f>
        <v/>
      </c>
      <c r="AS404" s="88" t="n">
        <f aca="false">IF($C404="&lt;01","",98%)</f>
        <v>0.98</v>
      </c>
      <c r="AT404" s="88" t="n">
        <f aca="false">IF($C404="&lt;01","",98%)</f>
        <v>0.98</v>
      </c>
      <c r="AU404" s="10" t="n">
        <f aca="false">IF($C404="&lt;01","",SUM($AP404)-SUM($O404))</f>
        <v>0</v>
      </c>
      <c r="AV404" s="10" t="n">
        <f aca="false">IF($C404="&lt;01",ROUND(INDEX(EID!$N:$N,MATCH($B404,EID!$B:$B,0))/2,0),IF(SUM($AT404)=0,"",ROUND((SUM($AP404)-(SUM($O404)*SUM($AS404)))/$AT404,0)))</f>
        <v>0</v>
      </c>
      <c r="AW404" s="88" t="n">
        <f aca="false">IF($C404="&lt;01","",100%)</f>
        <v>1</v>
      </c>
      <c r="AX404" s="39" t="n">
        <f aca="false">IF($C404="&lt;01",SUM($AV404),ROUND(SUM($AV404)*SUM($AW404),0))</f>
        <v>0</v>
      </c>
      <c r="AY404" s="114" t="n">
        <f aca="false">IF($C404="&lt;01","",70%)</f>
        <v>0.7</v>
      </c>
      <c r="AZ404" s="91" t="n">
        <f aca="false">IF($C404="&lt;01",ROUND(INDEX(EID!$R:$R,MATCH($B404,EID!$B:$B,0))/2,0),ROUND(SUM($O404)+(SUM($AV404)*$AY404),0))</f>
        <v>0</v>
      </c>
      <c r="BA404" s="87" t="n">
        <f aca="false">IF($C404="&lt;01","",95%)</f>
        <v>0.95</v>
      </c>
      <c r="BB404" s="5" t="n">
        <f aca="false">IF($C404="&lt;01",ROUND(INDEX(EID!$T:$T,MATCH($B404,EID!$B:$B,0))/2,0),ROUND($AZ404*$BA404,0))</f>
        <v>0</v>
      </c>
      <c r="BC404" s="91" t="n">
        <f aca="false">IF(LEFT($B404,4)="_Mil","",IF(SUM($BB404)=0,SUM($AD404),IF(OR(SUM($AP404)=0,SUM($AQ404)=0),MAX($BB404,$AD404),ROUND($BB404*$AQ404/$AP404,0))))</f>
        <v>0</v>
      </c>
      <c r="BD404" s="88" t="n">
        <f aca="false">IF($C404="&lt;01","",95%)</f>
        <v>0.95</v>
      </c>
      <c r="BE404" s="39" t="n">
        <f aca="false">IF($C404="&lt;01",ROUND(INDEX(EID!$V:$V,MATCH($B404,EID!$B:$B,0))/2,0),ROUND($BD404*$BB404,0))</f>
        <v>0</v>
      </c>
      <c r="BF404" s="39" t="n">
        <f aca="false">IF(LEFT($B404,4)="_Mil","",IF(SUM($BE404)=0,SUM($AF404),IF(OR(SUM($AP404)=0,SUM($AQ404)=0),MAX($BE404,$AF404),ROUND($BE404*$AQ404/$AP404,0))))</f>
        <v>0</v>
      </c>
      <c r="BG404" s="114" t="n">
        <f aca="false">IF($C404="&lt;01","",95%)</f>
        <v>0.95</v>
      </c>
      <c r="BH404" s="5" t="n">
        <f aca="false">IF($C404="&lt;01",ROUND(INDEX(EID!$L:$L,MATCH($B404,EID!$B:$B,0)),0)/2,IF(SUM($BG404)=0,"",ROUND($AX404/$BG404,0)))</f>
        <v>0</v>
      </c>
    </row>
    <row r="405" customFormat="false" ht="15" hidden="false" customHeight="false" outlineLevel="0" collapsed="false">
      <c r="A405" s="0" t="str">
        <f aca="false">INDEX(Prioritization!$D:$D,MATCH($B405,Prioritization!$A:$A,0))</f>
        <v>1 - Scale-up: Saturation</v>
      </c>
      <c r="B405" s="0" t="s">
        <v>221</v>
      </c>
      <c r="C405" s="0" t="s">
        <v>368</v>
      </c>
      <c r="D405" s="0" t="s">
        <v>30</v>
      </c>
      <c r="E405" s="0" t="str">
        <f aca="false">$B405&amp;"|"&amp;$C405&amp;"|"&amp;$D405</f>
        <v>Thyolo District [ul0y9diGujK]|50+|Female</v>
      </c>
      <c r="F405" s="10"/>
      <c r="G405" s="10"/>
      <c r="H405" s="10"/>
      <c r="I405" s="10"/>
      <c r="J405" s="10"/>
      <c r="K405" s="10"/>
      <c r="L405" s="10"/>
      <c r="M405" s="10"/>
      <c r="N405" s="10"/>
      <c r="O405" s="10" t="str">
        <f aca="false">IFERROR(1/(1/MAX($I405,$N405)),"")</f>
        <v/>
      </c>
      <c r="P405" s="10"/>
      <c r="Q405" s="10"/>
      <c r="R405" s="10" t="str">
        <f aca="false">IF(AND(SUM($I405)=0,SUM($O405)=0),"",SUM($O405)-$I405)</f>
        <v/>
      </c>
      <c r="S405" s="10" t="n">
        <f aca="false">IF(LEFT($B405,4)="_Mil","",_xlfn.IFNA(ROUND(INDEX(Spectrum!$N:$N,MATCH(RIGHT($B405,13)&amp;"|"&amp;$C405&amp;"|"&amp;$D405&amp;"|"&amp;S$14&amp;"|"&amp;"CY2022Q4",Spectrum!$R:$R,0)),0),""))</f>
        <v>706</v>
      </c>
      <c r="T405" s="39" t="n">
        <f aca="false">IF(LEFT($B405,4)="_Mil","",_xlfn.IFNA(ROUND(INDEX(Spectrum!$N:$N,MATCH(RIGHT($B405,13)&amp;"|"&amp;$C405&amp;"|"&amp;$D405&amp;"|"&amp;T$14&amp;"|"&amp;"CY2023Q3",Spectrum!$R:$R,0)),0),""))</f>
        <v>1622</v>
      </c>
      <c r="U405" s="39" t="str">
        <f aca="false">IF(LEFT($B405,4)="_Mil","",_xlfn.IFNA(ROUND(INDEX(Spectrum!$N:$N,MATCH(RIGHT($B405,13)&amp;"|"&amp;$C405&amp;"|"&amp;$D405&amp;"|"&amp;U$14&amp;"|"&amp;"CY2023Q3",Spectrum!$R:$R,0)),0),""))</f>
        <v/>
      </c>
      <c r="V405" s="10" t="n">
        <f aca="false">IF(LEFT($B405,4)="_Mil","",_xlfn.IFNA(ROUND(INDEX(Spectrum!$N:$N,MATCH(RIGHT($B405,13)&amp;"|"&amp;$C405&amp;"|"&amp;$D405&amp;"|"&amp;V$14&amp;"|"&amp;"CY2023Q3",Spectrum!$R:$R,0)),0),""))</f>
        <v>1451</v>
      </c>
      <c r="W405" s="113" t="n">
        <f aca="false">IF(LEFT($B405,4)="_Mil","",_xlfn.IFNA(INDEX(Spectrum!$N:$N,MATCH(RIGHT($B405,13)&amp;"|"&amp;$C405&amp;"|"&amp;$D405&amp;"|"&amp;W$14&amp;"|"&amp;"CY2023Q3",Spectrum!$R:$R,0)),""))</f>
        <v>1323</v>
      </c>
      <c r="X405" s="39" t="n">
        <f aca="false">IF(LEFT($B405,4)="_Mil","",_xlfn.IFNA(ROUND(INDEX(Spectrum!$N:$N,MATCH(RIGHT($B405,13)&amp;"|"&amp;$C405&amp;"|"&amp;$D405&amp;"|"&amp;X$14&amp;"|"&amp;"CY2023Q3",Spectrum!$R:$R,0)),0),""))</f>
        <v>1906</v>
      </c>
      <c r="Y405" s="88" t="str">
        <f aca="false">IF(OR(SUM($U405)=0,LEFT($B405,4)="_Mil"),"",SUM($X405)/$U405)</f>
        <v/>
      </c>
      <c r="Z405" s="39" t="n">
        <f aca="false">IF(LEFT($B405,4)="_Mil","",_xlfn.IFNA(ROUND(INDEX(Spectrum!$N:$N,MATCH(RIGHT($B405,13)&amp;"|"&amp;$C405&amp;"|"&amp;$D405&amp;"|"&amp;Z$14&amp;"|"&amp;"CY2023Q3",Spectrum!$R:$R,0)),0),""))</f>
        <v>1520</v>
      </c>
      <c r="AA405" s="88" t="n">
        <f aca="false">IF(LEFT($B405,4)="_Mil","",IFERROR(1/(1/INDEX(Spectrum!$N:$N,MATCH(RIGHT($B405,13)&amp;"|"&amp;$C405&amp;"|"&amp;$D405&amp;"|"&amp;AA$14&amp;"|"&amp;"CY2023Q3",Spectrum!$R:$R,0))),IF(SUM($U405)=0,"",SUM($Z405)/$U405)))</f>
        <v>574</v>
      </c>
      <c r="AB405" s="88" t="n">
        <f aca="false">IF(OR(LEFT($B405,4)="_Mil",SUM($X405)=0),"",SUM($Z405)/$X405)</f>
        <v>0.797481636935992</v>
      </c>
      <c r="AC405" s="10" t="n">
        <f aca="false">IF(LEFT($B405,4)="_Mil","",_xlfn.IFNA(ROUND(INDEX(Spectrum!$N:$N,MATCH(RIGHT($B405,13)&amp;"|"&amp;$C405&amp;"|"&amp;$D405&amp;"|"&amp;AC$14&amp;"|"&amp;"CY2023Q3",Spectrum!$R:$R,0)),0),""))</f>
        <v>1838</v>
      </c>
      <c r="AD405" s="10" t="str">
        <f aca="false">IF(LEFT($B405,4)="_Mil","",_xlfn.IFNA(ROUND(INDEX(Spectrum!$N:$N,MATCH(RIGHT($B405,13)&amp;"|"&amp;$C405&amp;"|"&amp;$D405&amp;"|"&amp;AD$14&amp;"|"&amp;"CY2023Q3",Spectrum!$R:$R,0)),0),""))</f>
        <v/>
      </c>
      <c r="AE405" s="88" t="n">
        <f aca="false">IF(OR(LEFT($B405,4)="_Mil",SUM($Z405)=0),"",SUM($AD405)/$Z405)</f>
        <v>0</v>
      </c>
      <c r="AF405" s="39" t="str">
        <f aca="false">IF(LEFT($B405,4)="_Mil","",_xlfn.IFNA(ROUND(INDEX(Spectrum!$N:$N,MATCH(RIGHT($B405,13)&amp;"|"&amp;$C405&amp;"|"&amp;$D405&amp;"|"&amp;AF$14&amp;"|"&amp;"CY2023Q3",Spectrum!$R:$R,0)),0),""))</f>
        <v/>
      </c>
      <c r="AG405" s="88" t="str">
        <f aca="false">IF(OR(LEFT($B405,4)="_Mil",SUM($AD405)=0),"",SUM($AF405)/$AD405)</f>
        <v/>
      </c>
      <c r="AH405" s="86" t="str">
        <f aca="false">IF(LEFT($B405,4)="_Mil","",_xlfn.IFNA(INDEX(Spectrum!$N:$N,MATCH(RIGHT($B405,13)&amp;"|"&amp;$C405&amp;"|"&amp;$D405&amp;"|"&amp;AH$14&amp;"|"&amp;"CY2023Q3",Spectrum!$R:$R,0)),""))</f>
        <v/>
      </c>
      <c r="AI405" s="10" t="str">
        <f aca="false">IF(LEFT($B405,4)="_Mil","",_xlfn.IFNA(ROUND(INDEX(Spectrum!$N:$N,MATCH(RIGHT($B405,13)&amp;"|"&amp;$C405&amp;"|"&amp;$D405&amp;"|"&amp;AI$14&amp;"|"&amp;"CY2023Q3",Spectrum!$R:$R,0)),0),""))</f>
        <v/>
      </c>
      <c r="AJ405" s="39" t="n">
        <f aca="false">IF(LEFT($B405,4)="_Mil","",_xlfn.IFNA(ROUND(INDEX(Spectrum!$N:$N,MATCH(RIGHT($B405,13)&amp;"|"&amp;$C405&amp;"|"&amp;$D405&amp;"|"&amp;AI$14&amp;"|"&amp;"CY2023Q3",Spectrum!$R:$R,0)),0),SUM($U405)+SUM($AI405)))</f>
        <v>0</v>
      </c>
      <c r="AK405" s="10" t="str">
        <f aca="false">IF(LEFT($B405,4)="_Mil","",_xlfn.IFNA(ROUND(INDEX(Spectrum!$N:$N,MATCH(RIGHT($B405,13)&amp;"|"&amp;$C405&amp;"|"&amp;$D405&amp;"|"&amp;AK$14&amp;"|"&amp;"CY2023Q3",Spectrum!$R:$R,0)),0),""))</f>
        <v/>
      </c>
      <c r="AL405" s="88" t="n">
        <f aca="false">IF(OR(LEFT($B405,4)="_Mil",$C405="&lt;01"),"",MAX(SUM($AA405),90%))</f>
        <v>574</v>
      </c>
      <c r="AM405" s="10" t="n">
        <f aca="false">IF(OR(LEFT($B405,4)="_Mil",$C405="&lt;01"),"",ROUND(SUM($AJ405)*SUM($AL405),0))</f>
        <v>0</v>
      </c>
      <c r="AN405" s="10" t="str">
        <f aca="false">IF($C405="&lt;01",ROUND(INDEX(EID!$P:$P,MATCH($B405,EID!$B:$B,0))/2,0),"")</f>
        <v/>
      </c>
      <c r="AO405" s="10" t="n">
        <f aca="false">IF($C405="&lt;01",SUM($AN405),ROUND(SUM($AM405)*SUM($O405)/IF(SUM($Z405)=0,1,$Z405),0))</f>
        <v>0</v>
      </c>
      <c r="AP405" s="39" t="n">
        <f aca="false">IF(OR($F405="",$C405="&lt;01"),$AO405,$F405)</f>
        <v>0</v>
      </c>
      <c r="AQ405" s="39" t="n">
        <f aca="false">IF(LEFT($B405,4)="_Mil","",IF(SUM($AP405)=0,SUM($Z405),IF(OR(SUM($Z405)=0,SUM($O405)=0),MAX($AP405,$Z405),$AP405*$Z405/$O405)))</f>
        <v>1520</v>
      </c>
      <c r="AR405" s="88" t="str">
        <f aca="false">IF(OR(LEFT($B405,4)="_Mil",SUM($AJ405)=0),"",SUM($AQ405)/$AJ405)</f>
        <v/>
      </c>
      <c r="AS405" s="88" t="n">
        <f aca="false">IF($C405="&lt;01","",98%)</f>
        <v>0.98</v>
      </c>
      <c r="AT405" s="88" t="n">
        <f aca="false">IF($C405="&lt;01","",98%)</f>
        <v>0.98</v>
      </c>
      <c r="AU405" s="10" t="n">
        <f aca="false">IF($C405="&lt;01","",SUM($AP405)-SUM($O405))</f>
        <v>0</v>
      </c>
      <c r="AV405" s="10" t="n">
        <f aca="false">IF($C405="&lt;01",ROUND(INDEX(EID!$N:$N,MATCH($B405,EID!$B:$B,0))/2,0),IF(SUM($AT405)=0,"",ROUND((SUM($AP405)-(SUM($O405)*SUM($AS405)))/$AT405,0)))</f>
        <v>0</v>
      </c>
      <c r="AW405" s="88" t="n">
        <f aca="false">IF($C405="&lt;01","",100%)</f>
        <v>1</v>
      </c>
      <c r="AX405" s="39" t="n">
        <f aca="false">IF($C405="&lt;01",SUM($AV405),ROUND(SUM($AV405)*SUM($AW405),0))</f>
        <v>0</v>
      </c>
      <c r="AY405" s="114" t="n">
        <f aca="false">IF($C405="&lt;01","",70%)</f>
        <v>0.7</v>
      </c>
      <c r="AZ405" s="91" t="n">
        <f aca="false">IF($C405="&lt;01",ROUND(INDEX(EID!$R:$R,MATCH($B405,EID!$B:$B,0))/2,0),ROUND(SUM($O405)+(SUM($AV405)*$AY405),0))</f>
        <v>0</v>
      </c>
      <c r="BA405" s="87" t="n">
        <f aca="false">IF($C405="&lt;01","",95%)</f>
        <v>0.95</v>
      </c>
      <c r="BB405" s="5" t="n">
        <f aca="false">IF($C405="&lt;01",ROUND(INDEX(EID!$T:$T,MATCH($B405,EID!$B:$B,0))/2,0),ROUND($AZ405*$BA405,0))</f>
        <v>0</v>
      </c>
      <c r="BC405" s="91" t="n">
        <f aca="false">IF(LEFT($B405,4)="_Mil","",IF(SUM($BB405)=0,SUM($AD405),IF(OR(SUM($AP405)=0,SUM($AQ405)=0),MAX($BB405,$AD405),ROUND($BB405*$AQ405/$AP405,0))))</f>
        <v>0</v>
      </c>
      <c r="BD405" s="88" t="n">
        <f aca="false">IF($C405="&lt;01","",95%)</f>
        <v>0.95</v>
      </c>
      <c r="BE405" s="39" t="n">
        <f aca="false">IF($C405="&lt;01",ROUND(INDEX(EID!$V:$V,MATCH($B405,EID!$B:$B,0))/2,0),ROUND($BD405*$BB405,0))</f>
        <v>0</v>
      </c>
      <c r="BF405" s="39" t="n">
        <f aca="false">IF(LEFT($B405,4)="_Mil","",IF(SUM($BE405)=0,SUM($AF405),IF(OR(SUM($AP405)=0,SUM($AQ405)=0),MAX($BE405,$AF405),ROUND($BE405*$AQ405/$AP405,0))))</f>
        <v>0</v>
      </c>
      <c r="BG405" s="114" t="n">
        <f aca="false">IF($C405="&lt;01","",95%)</f>
        <v>0.95</v>
      </c>
      <c r="BH405" s="5" t="n">
        <f aca="false">IF($C405="&lt;01",ROUND(INDEX(EID!$L:$L,MATCH($B405,EID!$B:$B,0)),0)/2,IF(SUM($BG405)=0,"",ROUND($AX405/$BG405,0)))</f>
        <v>0</v>
      </c>
    </row>
    <row r="406" customFormat="false" ht="15" hidden="false" customHeight="false" outlineLevel="0" collapsed="false">
      <c r="A406" s="0" t="str">
        <f aca="false">INDEX(Prioritization!$D:$D,MATCH($B406,Prioritization!$A:$A,0))</f>
        <v>1 - Scale-up: Saturation</v>
      </c>
      <c r="B406" s="0" t="s">
        <v>221</v>
      </c>
      <c r="C406" s="0" t="s">
        <v>368</v>
      </c>
      <c r="D406" s="0" t="s">
        <v>48</v>
      </c>
      <c r="E406" s="0" t="str">
        <f aca="false">$B406&amp;"|"&amp;$C406&amp;"|"&amp;$D406</f>
        <v>Thyolo District [ul0y9diGujK]|50+|Male</v>
      </c>
      <c r="F406" s="10"/>
      <c r="G406" s="10"/>
      <c r="H406" s="10"/>
      <c r="I406" s="10"/>
      <c r="J406" s="10"/>
      <c r="K406" s="10"/>
      <c r="L406" s="10"/>
      <c r="M406" s="10"/>
      <c r="N406" s="10"/>
      <c r="O406" s="10" t="str">
        <f aca="false">IFERROR(1/(1/MAX($I406,$N406)),"")</f>
        <v/>
      </c>
      <c r="P406" s="10"/>
      <c r="Q406" s="10"/>
      <c r="R406" s="10" t="str">
        <f aca="false">IF(AND(SUM($I406)=0,SUM($O406)=0),"",SUM($O406)-$I406)</f>
        <v/>
      </c>
      <c r="S406" s="10" t="n">
        <f aca="false">IF(LEFT($B406,4)="_Mil","",_xlfn.IFNA(ROUND(INDEX(Spectrum!$N:$N,MATCH(RIGHT($B406,13)&amp;"|"&amp;$C406&amp;"|"&amp;$D406&amp;"|"&amp;S$14&amp;"|"&amp;"CY2022Q4",Spectrum!$R:$R,0)),0),""))</f>
        <v>1226</v>
      </c>
      <c r="T406" s="39" t="n">
        <f aca="false">IF(LEFT($B406,4)="_Mil","",_xlfn.IFNA(ROUND(INDEX(Spectrum!$N:$N,MATCH(RIGHT($B406,13)&amp;"|"&amp;$C406&amp;"|"&amp;$D406&amp;"|"&amp;T$14&amp;"|"&amp;"CY2023Q3",Spectrum!$R:$R,0)),0),""))</f>
        <v>1767</v>
      </c>
      <c r="U406" s="39" t="str">
        <f aca="false">IF(LEFT($B406,4)="_Mil","",_xlfn.IFNA(ROUND(INDEX(Spectrum!$N:$N,MATCH(RIGHT($B406,13)&amp;"|"&amp;$C406&amp;"|"&amp;$D406&amp;"|"&amp;U$14&amp;"|"&amp;"CY2023Q3",Spectrum!$R:$R,0)),0),""))</f>
        <v/>
      </c>
      <c r="V406" s="10" t="n">
        <f aca="false">IF(LEFT($B406,4)="_Mil","",_xlfn.IFNA(ROUND(INDEX(Spectrum!$N:$N,MATCH(RIGHT($B406,13)&amp;"|"&amp;$C406&amp;"|"&amp;$D406&amp;"|"&amp;V$14&amp;"|"&amp;"CY2023Q3",Spectrum!$R:$R,0)),0),""))</f>
        <v>655</v>
      </c>
      <c r="W406" s="113" t="n">
        <f aca="false">IF(LEFT($B406,4)="_Mil","",_xlfn.IFNA(INDEX(Spectrum!$N:$N,MATCH(RIGHT($B406,13)&amp;"|"&amp;$C406&amp;"|"&amp;$D406&amp;"|"&amp;W$14&amp;"|"&amp;"CY2023Q3",Spectrum!$R:$R,0)),""))</f>
        <v>967</v>
      </c>
      <c r="X406" s="39" t="n">
        <f aca="false">IF(LEFT($B406,4)="_Mil","",_xlfn.IFNA(ROUND(INDEX(Spectrum!$N:$N,MATCH(RIGHT($B406,13)&amp;"|"&amp;$C406&amp;"|"&amp;$D406&amp;"|"&amp;X$14&amp;"|"&amp;"CY2023Q3",Spectrum!$R:$R,0)),0),""))</f>
        <v>555</v>
      </c>
      <c r="Y406" s="88" t="str">
        <f aca="false">IF(OR(SUM($U406)=0,LEFT($B406,4)="_Mil"),"",SUM($X406)/$U406)</f>
        <v/>
      </c>
      <c r="Z406" s="39" t="n">
        <f aca="false">IF(LEFT($B406,4)="_Mil","",_xlfn.IFNA(ROUND(INDEX(Spectrum!$N:$N,MATCH(RIGHT($B406,13)&amp;"|"&amp;$C406&amp;"|"&amp;$D406&amp;"|"&amp;Z$14&amp;"|"&amp;"CY2023Q3",Spectrum!$R:$R,0)),0),""))</f>
        <v>662</v>
      </c>
      <c r="AA406" s="88" t="n">
        <f aca="false">IF(LEFT($B406,4)="_Mil","",IFERROR(1/(1/INDEX(Spectrum!$N:$N,MATCH(RIGHT($B406,13)&amp;"|"&amp;$C406&amp;"|"&amp;$D406&amp;"|"&amp;AA$14&amp;"|"&amp;"CY2023Q3",Spectrum!$R:$R,0))),IF(SUM($U406)=0,"",SUM($Z406)/$U406)))</f>
        <v>1826</v>
      </c>
      <c r="AB406" s="88" t="n">
        <f aca="false">IF(OR(LEFT($B406,4)="_Mil",SUM($X406)=0),"",SUM($Z406)/$X406)</f>
        <v>1.19279279279279</v>
      </c>
      <c r="AC406" s="10" t="n">
        <f aca="false">IF(LEFT($B406,4)="_Mil","",_xlfn.IFNA(ROUND(INDEX(Spectrum!$N:$N,MATCH(RIGHT($B406,13)&amp;"|"&amp;$C406&amp;"|"&amp;$D406&amp;"|"&amp;AC$14&amp;"|"&amp;"CY2023Q3",Spectrum!$R:$R,0)),0),""))</f>
        <v>1373</v>
      </c>
      <c r="AD406" s="10" t="str">
        <f aca="false">IF(LEFT($B406,4)="_Mil","",_xlfn.IFNA(ROUND(INDEX(Spectrum!$N:$N,MATCH(RIGHT($B406,13)&amp;"|"&amp;$C406&amp;"|"&amp;$D406&amp;"|"&amp;AD$14&amp;"|"&amp;"CY2023Q3",Spectrum!$R:$R,0)),0),""))</f>
        <v/>
      </c>
      <c r="AE406" s="88" t="n">
        <f aca="false">IF(OR(LEFT($B406,4)="_Mil",SUM($Z406)=0),"",SUM($AD406)/$Z406)</f>
        <v>0</v>
      </c>
      <c r="AF406" s="39" t="str">
        <f aca="false">IF(LEFT($B406,4)="_Mil","",_xlfn.IFNA(ROUND(INDEX(Spectrum!$N:$N,MATCH(RIGHT($B406,13)&amp;"|"&amp;$C406&amp;"|"&amp;$D406&amp;"|"&amp;AF$14&amp;"|"&amp;"CY2023Q3",Spectrum!$R:$R,0)),0),""))</f>
        <v/>
      </c>
      <c r="AG406" s="88" t="str">
        <f aca="false">IF(OR(LEFT($B406,4)="_Mil",SUM($AD406)=0),"",SUM($AF406)/$AD406)</f>
        <v/>
      </c>
      <c r="AH406" s="86" t="str">
        <f aca="false">IF(LEFT($B406,4)="_Mil","",_xlfn.IFNA(INDEX(Spectrum!$N:$N,MATCH(RIGHT($B406,13)&amp;"|"&amp;$C406&amp;"|"&amp;$D406&amp;"|"&amp;AH$14&amp;"|"&amp;"CY2023Q3",Spectrum!$R:$R,0)),""))</f>
        <v/>
      </c>
      <c r="AI406" s="10" t="str">
        <f aca="false">IF(LEFT($B406,4)="_Mil","",_xlfn.IFNA(ROUND(INDEX(Spectrum!$N:$N,MATCH(RIGHT($B406,13)&amp;"|"&amp;$C406&amp;"|"&amp;$D406&amp;"|"&amp;AI$14&amp;"|"&amp;"CY2023Q3",Spectrum!$R:$R,0)),0),""))</f>
        <v/>
      </c>
      <c r="AJ406" s="39" t="n">
        <f aca="false">IF(LEFT($B406,4)="_Mil","",_xlfn.IFNA(ROUND(INDEX(Spectrum!$N:$N,MATCH(RIGHT($B406,13)&amp;"|"&amp;$C406&amp;"|"&amp;$D406&amp;"|"&amp;AI$14&amp;"|"&amp;"CY2023Q3",Spectrum!$R:$R,0)),0),SUM($U406)+SUM($AI406)))</f>
        <v>0</v>
      </c>
      <c r="AK406" s="10" t="str">
        <f aca="false">IF(LEFT($B406,4)="_Mil","",_xlfn.IFNA(ROUND(INDEX(Spectrum!$N:$N,MATCH(RIGHT($B406,13)&amp;"|"&amp;$C406&amp;"|"&amp;$D406&amp;"|"&amp;AK$14&amp;"|"&amp;"CY2023Q3",Spectrum!$R:$R,0)),0),""))</f>
        <v/>
      </c>
      <c r="AL406" s="88" t="n">
        <f aca="false">IF(OR(LEFT($B406,4)="_Mil",$C406="&lt;01"),"",MAX(SUM($AA406),90%))</f>
        <v>1826</v>
      </c>
      <c r="AM406" s="10" t="n">
        <f aca="false">IF(OR(LEFT($B406,4)="_Mil",$C406="&lt;01"),"",ROUND(SUM($AJ406)*SUM($AL406),0))</f>
        <v>0</v>
      </c>
      <c r="AN406" s="10" t="str">
        <f aca="false">IF($C406="&lt;01",ROUND(INDEX(EID!$P:$P,MATCH($B406,EID!$B:$B,0))/2,0),"")</f>
        <v/>
      </c>
      <c r="AO406" s="10" t="n">
        <f aca="false">IF($C406="&lt;01",SUM($AN406),ROUND(SUM($AM406)*SUM($O406)/IF(SUM($Z406)=0,1,$Z406),0))</f>
        <v>0</v>
      </c>
      <c r="AP406" s="39" t="n">
        <f aca="false">IF(OR($F406="",$C406="&lt;01"),$AO406,$F406)</f>
        <v>0</v>
      </c>
      <c r="AQ406" s="39" t="n">
        <f aca="false">IF(LEFT($B406,4)="_Mil","",IF(SUM($AP406)=0,SUM($Z406),IF(OR(SUM($Z406)=0,SUM($O406)=0),MAX($AP406,$Z406),$AP406*$Z406/$O406)))</f>
        <v>662</v>
      </c>
      <c r="AR406" s="88" t="str">
        <f aca="false">IF(OR(LEFT($B406,4)="_Mil",SUM($AJ406)=0),"",SUM($AQ406)/$AJ406)</f>
        <v/>
      </c>
      <c r="AS406" s="88" t="n">
        <f aca="false">IF($C406="&lt;01","",98%)</f>
        <v>0.98</v>
      </c>
      <c r="AT406" s="88" t="n">
        <f aca="false">IF($C406="&lt;01","",98%)</f>
        <v>0.98</v>
      </c>
      <c r="AU406" s="10" t="n">
        <f aca="false">IF($C406="&lt;01","",SUM($AP406)-SUM($O406))</f>
        <v>0</v>
      </c>
      <c r="AV406" s="10" t="n">
        <f aca="false">IF($C406="&lt;01",ROUND(INDEX(EID!$N:$N,MATCH($B406,EID!$B:$B,0))/2,0),IF(SUM($AT406)=0,"",ROUND((SUM($AP406)-(SUM($O406)*SUM($AS406)))/$AT406,0)))</f>
        <v>0</v>
      </c>
      <c r="AW406" s="88" t="n">
        <f aca="false">IF($C406="&lt;01","",100%)</f>
        <v>1</v>
      </c>
      <c r="AX406" s="39" t="n">
        <f aca="false">IF($C406="&lt;01",SUM($AV406),ROUND(SUM($AV406)*SUM($AW406),0))</f>
        <v>0</v>
      </c>
      <c r="AY406" s="114" t="n">
        <f aca="false">IF($C406="&lt;01","",70%)</f>
        <v>0.7</v>
      </c>
      <c r="AZ406" s="91" t="n">
        <f aca="false">IF($C406="&lt;01",ROUND(INDEX(EID!$R:$R,MATCH($B406,EID!$B:$B,0))/2,0),ROUND(SUM($O406)+(SUM($AV406)*$AY406),0))</f>
        <v>0</v>
      </c>
      <c r="BA406" s="87" t="n">
        <f aca="false">IF($C406="&lt;01","",95%)</f>
        <v>0.95</v>
      </c>
      <c r="BB406" s="5" t="n">
        <f aca="false">IF($C406="&lt;01",ROUND(INDEX(EID!$T:$T,MATCH($B406,EID!$B:$B,0))/2,0),ROUND($AZ406*$BA406,0))</f>
        <v>0</v>
      </c>
      <c r="BC406" s="91" t="n">
        <f aca="false">IF(LEFT($B406,4)="_Mil","",IF(SUM($BB406)=0,SUM($AD406),IF(OR(SUM($AP406)=0,SUM($AQ406)=0),MAX($BB406,$AD406),ROUND($BB406*$AQ406/$AP406,0))))</f>
        <v>0</v>
      </c>
      <c r="BD406" s="88" t="n">
        <f aca="false">IF($C406="&lt;01","",95%)</f>
        <v>0.95</v>
      </c>
      <c r="BE406" s="39" t="n">
        <f aca="false">IF($C406="&lt;01",ROUND(INDEX(EID!$V:$V,MATCH($B406,EID!$B:$B,0))/2,0),ROUND($BD406*$BB406,0))</f>
        <v>0</v>
      </c>
      <c r="BF406" s="39" t="n">
        <f aca="false">IF(LEFT($B406,4)="_Mil","",IF(SUM($BE406)=0,SUM($AF406),IF(OR(SUM($AP406)=0,SUM($AQ406)=0),MAX($BE406,$AF406),ROUND($BE406*$AQ406/$AP406,0))))</f>
        <v>0</v>
      </c>
      <c r="BG406" s="114" t="n">
        <f aca="false">IF($C406="&lt;01","",95%)</f>
        <v>0.95</v>
      </c>
      <c r="BH406" s="5" t="n">
        <f aca="false">IF($C406="&lt;01",ROUND(INDEX(EID!$L:$L,MATCH($B406,EID!$B:$B,0)),0)/2,IF(SUM($BG406)=0,"",ROUND($AX406/$BG406,0)))</f>
        <v>0</v>
      </c>
    </row>
    <row r="407" customFormat="false" ht="15" hidden="false" customHeight="false" outlineLevel="0" collapsed="false">
      <c r="A407" s="0" t="str">
        <f aca="false">INDEX(Prioritization!$D:$D,MATCH($B407,Prioritization!$A:$A,0))</f>
        <v>1 - Scale-up: Saturation</v>
      </c>
      <c r="B407" s="0" t="s">
        <v>222</v>
      </c>
      <c r="C407" s="0" t="s">
        <v>316</v>
      </c>
      <c r="D407" s="0" t="s">
        <v>30</v>
      </c>
      <c r="E407" s="0" t="str">
        <f aca="false">$B407&amp;"|"&amp;$C407&amp;"|"&amp;$D407</f>
        <v>Zomba District [fyEoGEPERdI]|&lt;01|Female</v>
      </c>
      <c r="F407" s="10"/>
      <c r="G407" s="10" t="n">
        <v>7</v>
      </c>
      <c r="H407" s="10" t="n">
        <v>9</v>
      </c>
      <c r="I407" s="10" t="n">
        <v>5</v>
      </c>
      <c r="J407" s="10" t="n">
        <v>7</v>
      </c>
      <c r="K407" s="10" t="n">
        <v>7</v>
      </c>
      <c r="L407" s="10"/>
      <c r="M407" s="10" t="n">
        <v>10</v>
      </c>
      <c r="N407" s="10" t="n">
        <v>7</v>
      </c>
      <c r="O407" s="10" t="n">
        <f aca="false">IFERROR(1/(1/MAX($I407,$N407)),"")</f>
        <v>7</v>
      </c>
      <c r="P407" s="10" t="n">
        <v>8</v>
      </c>
      <c r="Q407" s="10" t="n">
        <v>10</v>
      </c>
      <c r="R407" s="10" t="n">
        <f aca="false">IF(AND(SUM($I407)=0,SUM($O407)=0),"",SUM($O407)-$I407)</f>
        <v>2</v>
      </c>
      <c r="S407" s="10" t="n">
        <f aca="false">IF(LEFT($B407,4)="_Mil","",_xlfn.IFNA(ROUND(INDEX(Spectrum!$N:$N,MATCH(RIGHT($B407,13)&amp;"|"&amp;$C407&amp;"|"&amp;$D407&amp;"|"&amp;S$14&amp;"|"&amp;"CY2022Q4",Spectrum!$R:$R,0)),0),""))</f>
        <v>745</v>
      </c>
      <c r="T407" s="39" t="n">
        <f aca="false">IF(LEFT($B407,4)="_Mil","",_xlfn.IFNA(ROUND(INDEX(Spectrum!$N:$N,MATCH(RIGHT($B407,13)&amp;"|"&amp;$C407&amp;"|"&amp;$D407&amp;"|"&amp;T$14&amp;"|"&amp;"CY2023Q3",Spectrum!$R:$R,0)),0),""))</f>
        <v>661</v>
      </c>
      <c r="U407" s="39" t="str">
        <f aca="false">IF(LEFT($B407,4)="_Mil","",_xlfn.IFNA(ROUND(INDEX(Spectrum!$N:$N,MATCH(RIGHT($B407,13)&amp;"|"&amp;$C407&amp;"|"&amp;$D407&amp;"|"&amp;U$14&amp;"|"&amp;"CY2023Q3",Spectrum!$R:$R,0)),0),""))</f>
        <v/>
      </c>
      <c r="V407" s="10" t="n">
        <f aca="false">IF(LEFT($B407,4)="_Mil","",_xlfn.IFNA(ROUND(INDEX(Spectrum!$N:$N,MATCH(RIGHT($B407,13)&amp;"|"&amp;$C407&amp;"|"&amp;$D407&amp;"|"&amp;V$14&amp;"|"&amp;"CY2023Q3",Spectrum!$R:$R,0)),0),""))</f>
        <v>1386</v>
      </c>
      <c r="W407" s="113" t="n">
        <f aca="false">IF(LEFT($B407,4)="_Mil","",_xlfn.IFNA(INDEX(Spectrum!$N:$N,MATCH(RIGHT($B407,13)&amp;"|"&amp;$C407&amp;"|"&amp;$D407&amp;"|"&amp;W$14&amp;"|"&amp;"CY2023Q3",Spectrum!$R:$R,0)),""))</f>
        <v>804</v>
      </c>
      <c r="X407" s="39" t="n">
        <f aca="false">IF(LEFT($B407,4)="_Mil","",_xlfn.IFNA(ROUND(INDEX(Spectrum!$N:$N,MATCH(RIGHT($B407,13)&amp;"|"&amp;$C407&amp;"|"&amp;$D407&amp;"|"&amp;X$14&amp;"|"&amp;"CY2023Q3",Spectrum!$R:$R,0)),0),""))</f>
        <v>1872</v>
      </c>
      <c r="Y407" s="88" t="str">
        <f aca="false">IF(OR(SUM($U407)=0,LEFT($B407,4)="_Mil"),"",SUM($X407)/$U407)</f>
        <v/>
      </c>
      <c r="Z407" s="39" t="n">
        <f aca="false">IF(LEFT($B407,4)="_Mil","",_xlfn.IFNA(ROUND(INDEX(Spectrum!$N:$N,MATCH(RIGHT($B407,13)&amp;"|"&amp;$C407&amp;"|"&amp;$D407&amp;"|"&amp;Z$14&amp;"|"&amp;"CY2023Q3",Spectrum!$R:$R,0)),0),""))</f>
        <v>1987</v>
      </c>
      <c r="AA407" s="88" t="n">
        <f aca="false">IF(LEFT($B407,4)="_Mil","",IFERROR(1/(1/INDEX(Spectrum!$N:$N,MATCH(RIGHT($B407,13)&amp;"|"&amp;$C407&amp;"|"&amp;$D407&amp;"|"&amp;AA$14&amp;"|"&amp;"CY2023Q3",Spectrum!$R:$R,0))),IF(SUM($U407)=0,"",SUM($Z407)/$U407)))</f>
        <v>1272</v>
      </c>
      <c r="AB407" s="88" t="n">
        <f aca="false">IF(OR(LEFT($B407,4)="_Mil",SUM($X407)=0),"",SUM($Z407)/$X407)</f>
        <v>1.06143162393162</v>
      </c>
      <c r="AC407" s="10" t="n">
        <f aca="false">IF(LEFT($B407,4)="_Mil","",_xlfn.IFNA(ROUND(INDEX(Spectrum!$N:$N,MATCH(RIGHT($B407,13)&amp;"|"&amp;$C407&amp;"|"&amp;$D407&amp;"|"&amp;AC$14&amp;"|"&amp;"CY2023Q3",Spectrum!$R:$R,0)),0),""))</f>
        <v>1031</v>
      </c>
      <c r="AD407" s="10" t="str">
        <f aca="false">IF(LEFT($B407,4)="_Mil","",_xlfn.IFNA(ROUND(INDEX(Spectrum!$N:$N,MATCH(RIGHT($B407,13)&amp;"|"&amp;$C407&amp;"|"&amp;$D407&amp;"|"&amp;AD$14&amp;"|"&amp;"CY2023Q3",Spectrum!$R:$R,0)),0),""))</f>
        <v/>
      </c>
      <c r="AE407" s="88" t="n">
        <f aca="false">IF(OR(LEFT($B407,4)="_Mil",SUM($Z407)=0),"",SUM($AD407)/$Z407)</f>
        <v>0</v>
      </c>
      <c r="AF407" s="39" t="str">
        <f aca="false">IF(LEFT($B407,4)="_Mil","",_xlfn.IFNA(ROUND(INDEX(Spectrum!$N:$N,MATCH(RIGHT($B407,13)&amp;"|"&amp;$C407&amp;"|"&amp;$D407&amp;"|"&amp;AF$14&amp;"|"&amp;"CY2023Q3",Spectrum!$R:$R,0)),0),""))</f>
        <v/>
      </c>
      <c r="AG407" s="88" t="str">
        <f aca="false">IF(OR(LEFT($B407,4)="_Mil",SUM($AD407)=0),"",SUM($AF407)/$AD407)</f>
        <v/>
      </c>
      <c r="AH407" s="86" t="str">
        <f aca="false">IF(LEFT($B407,4)="_Mil","",_xlfn.IFNA(INDEX(Spectrum!$N:$N,MATCH(RIGHT($B407,13)&amp;"|"&amp;$C407&amp;"|"&amp;$D407&amp;"|"&amp;AH$14&amp;"|"&amp;"CY2023Q3",Spectrum!$R:$R,0)),""))</f>
        <v/>
      </c>
      <c r="AI407" s="10" t="str">
        <f aca="false">IF(LEFT($B407,4)="_Mil","",_xlfn.IFNA(ROUND(INDEX(Spectrum!$N:$N,MATCH(RIGHT($B407,13)&amp;"|"&amp;$C407&amp;"|"&amp;$D407&amp;"|"&amp;AI$14&amp;"|"&amp;"CY2023Q3",Spectrum!$R:$R,0)),0),""))</f>
        <v/>
      </c>
      <c r="AJ407" s="39" t="n">
        <f aca="false">IF(LEFT($B407,4)="_Mil","",_xlfn.IFNA(ROUND(INDEX(Spectrum!$N:$N,MATCH(RIGHT($B407,13)&amp;"|"&amp;$C407&amp;"|"&amp;$D407&amp;"|"&amp;AI$14&amp;"|"&amp;"CY2023Q3",Spectrum!$R:$R,0)),0),SUM($U407)+SUM($AI407)))</f>
        <v>0</v>
      </c>
      <c r="AK407" s="10" t="str">
        <f aca="false">IF(LEFT($B407,4)="_Mil","",_xlfn.IFNA(ROUND(INDEX(Spectrum!$N:$N,MATCH(RIGHT($B407,13)&amp;"|"&amp;$C407&amp;"|"&amp;$D407&amp;"|"&amp;AK$14&amp;"|"&amp;"CY2023Q3",Spectrum!$R:$R,0)),0),""))</f>
        <v/>
      </c>
      <c r="AL407" s="88" t="str">
        <f aca="false">IF(OR(LEFT($B407,4)="_Mil",$C407="&lt;01"),"",MAX(SUM($AA407),90%))</f>
        <v/>
      </c>
      <c r="AM407" s="10" t="str">
        <f aca="false">IF(OR(LEFT($B407,4)="_Mil",$C407="&lt;01"),"",ROUND(SUM($AJ407)*SUM($AL407),0))</f>
        <v/>
      </c>
      <c r="AN407" s="10" t="n">
        <f aca="false">IF($C407="&lt;01",ROUND(INDEX(EID!$P:$P,MATCH($B407,EID!$B:$B,0))/2,0),"")</f>
        <v>0</v>
      </c>
      <c r="AO407" s="10" t="n">
        <f aca="false">IF($C407="&lt;01",SUM($AN407),ROUND(SUM($AM407)*SUM($O407)/IF(SUM($Z407)=0,1,$Z407),0))</f>
        <v>0</v>
      </c>
      <c r="AP407" s="39" t="n">
        <f aca="false">IF(OR($F407="",$C407="&lt;01"),$AO407,$F407)</f>
        <v>0</v>
      </c>
      <c r="AQ407" s="39" t="n">
        <f aca="false">IF(LEFT($B407,4)="_Mil","",IF(SUM($AP407)=0,SUM($Z407),IF(OR(SUM($Z407)=0,SUM($O407)=0),MAX($AP407,$Z407),$AP407*$Z407/$O407)))</f>
        <v>1987</v>
      </c>
      <c r="AR407" s="88" t="str">
        <f aca="false">IF(OR(LEFT($B407,4)="_Mil",SUM($AJ407)=0),"",SUM($AQ407)/$AJ407)</f>
        <v/>
      </c>
      <c r="AS407" s="88" t="str">
        <f aca="false">IF($C407="&lt;01","",98%)</f>
        <v/>
      </c>
      <c r="AT407" s="88" t="str">
        <f aca="false">IF($C407="&lt;01","",98%)</f>
        <v/>
      </c>
      <c r="AU407" s="10" t="str">
        <f aca="false">IF($C407="&lt;01","",SUM($AP407)-SUM($O407))</f>
        <v/>
      </c>
      <c r="AV407" s="10" t="n">
        <f aca="false">IF($C407="&lt;01",ROUND(INDEX(EID!$N:$N,MATCH($B407,EID!$B:$B,0))/2,0),IF(SUM($AT407)=0,"",ROUND((SUM($AP407)-(SUM($O407)*SUM($AS407)))/$AT407,0)))</f>
        <v>0</v>
      </c>
      <c r="AW407" s="88" t="str">
        <f aca="false">IF($C407="&lt;01","",100%)</f>
        <v/>
      </c>
      <c r="AX407" s="39" t="n">
        <f aca="false">IF($C407="&lt;01",SUM($AV407),ROUND(SUM($AV407)*SUM($AW407),0))</f>
        <v>0</v>
      </c>
      <c r="AY407" s="114" t="str">
        <f aca="false">IF($C407="&lt;01","",70%)</f>
        <v/>
      </c>
      <c r="AZ407" s="91" t="n">
        <f aca="false">IF($C407="&lt;01",ROUND(INDEX(EID!$R:$R,MATCH($B407,EID!$B:$B,0))/2,0),ROUND(SUM($O407)+(SUM($AV407)*$AY407),0))</f>
        <v>0</v>
      </c>
      <c r="BA407" s="87" t="str">
        <f aca="false">IF($C407="&lt;01","",95%)</f>
        <v/>
      </c>
      <c r="BB407" s="5" t="n">
        <f aca="false">IF($C407="&lt;01",ROUND(INDEX(EID!$T:$T,MATCH($B407,EID!$B:$B,0))/2,0),ROUND($AZ407*$BA407,0))</f>
        <v>0</v>
      </c>
      <c r="BC407" s="91" t="n">
        <f aca="false">IF(LEFT($B407,4)="_Mil","",IF(SUM($BB407)=0,SUM($AD407),IF(OR(SUM($AP407)=0,SUM($AQ407)=0),MAX($BB407,$AD407),ROUND($BB407*$AQ407/$AP407,0))))</f>
        <v>0</v>
      </c>
      <c r="BD407" s="88" t="str">
        <f aca="false">IF($C407="&lt;01","",95%)</f>
        <v/>
      </c>
      <c r="BE407" s="39" t="n">
        <f aca="false">IF($C407="&lt;01",ROUND(INDEX(EID!$V:$V,MATCH($B407,EID!$B:$B,0))/2,0),ROUND($BD407*$BB407,0))</f>
        <v>0</v>
      </c>
      <c r="BF407" s="39" t="n">
        <f aca="false">IF(LEFT($B407,4)="_Mil","",IF(SUM($BE407)=0,SUM($AF407),IF(OR(SUM($AP407)=0,SUM($AQ407)=0),MAX($BE407,$AF407),ROUND($BE407*$AQ407/$AP407,0))))</f>
        <v>0</v>
      </c>
      <c r="BG407" s="114" t="str">
        <f aca="false">IF($C407="&lt;01","",95%)</f>
        <v/>
      </c>
      <c r="BH407" s="5" t="n">
        <f aca="false">IF($C407="&lt;01",ROUND(INDEX(EID!$L:$L,MATCH($B407,EID!$B:$B,0)),0)/2,IF(SUM($BG407)=0,"",ROUND($AX407/$BG407,0)))</f>
        <v>0</v>
      </c>
    </row>
    <row r="408" customFormat="false" ht="15" hidden="false" customHeight="false" outlineLevel="0" collapsed="false">
      <c r="A408" s="0" t="str">
        <f aca="false">INDEX(Prioritization!$D:$D,MATCH($B408,Prioritization!$A:$A,0))</f>
        <v>1 - Scale-up: Saturation</v>
      </c>
      <c r="B408" s="0" t="s">
        <v>222</v>
      </c>
      <c r="C408" s="0" t="s">
        <v>316</v>
      </c>
      <c r="D408" s="0" t="s">
        <v>48</v>
      </c>
      <c r="E408" s="0" t="str">
        <f aca="false">$B408&amp;"|"&amp;$C408&amp;"|"&amp;$D408</f>
        <v>Zomba District [fyEoGEPERdI]|&lt;01|Male</v>
      </c>
      <c r="F408" s="10"/>
      <c r="G408" s="10" t="n">
        <v>1</v>
      </c>
      <c r="H408" s="10" t="n">
        <v>5</v>
      </c>
      <c r="I408" s="10" t="n">
        <v>1</v>
      </c>
      <c r="J408" s="10" t="n">
        <v>5</v>
      </c>
      <c r="K408" s="10" t="n">
        <v>4</v>
      </c>
      <c r="L408" s="10"/>
      <c r="M408" s="10" t="n">
        <v>9</v>
      </c>
      <c r="N408" s="10" t="n">
        <v>3</v>
      </c>
      <c r="O408" s="10" t="n">
        <f aca="false">IFERROR(1/(1/MAX($I408,$N408)),"")</f>
        <v>3</v>
      </c>
      <c r="P408" s="10" t="n">
        <v>9</v>
      </c>
      <c r="Q408" s="10" t="n">
        <v>6</v>
      </c>
      <c r="R408" s="10" t="n">
        <f aca="false">IF(AND(SUM($I408)=0,SUM($O408)=0),"",SUM($O408)-$I408)</f>
        <v>2</v>
      </c>
      <c r="S408" s="10" t="n">
        <f aca="false">IF(LEFT($B408,4)="_Mil","",_xlfn.IFNA(ROUND(INDEX(Spectrum!$N:$N,MATCH(RIGHT($B408,13)&amp;"|"&amp;$C408&amp;"|"&amp;$D408&amp;"|"&amp;S$14&amp;"|"&amp;"CY2022Q4",Spectrum!$R:$R,0)),0),""))</f>
        <v>1932</v>
      </c>
      <c r="T408" s="39" t="n">
        <f aca="false">IF(LEFT($B408,4)="_Mil","",_xlfn.IFNA(ROUND(INDEX(Spectrum!$N:$N,MATCH(RIGHT($B408,13)&amp;"|"&amp;$C408&amp;"|"&amp;$D408&amp;"|"&amp;T$14&amp;"|"&amp;"CY2023Q3",Spectrum!$R:$R,0)),0),""))</f>
        <v>1582</v>
      </c>
      <c r="U408" s="39" t="str">
        <f aca="false">IF(LEFT($B408,4)="_Mil","",_xlfn.IFNA(ROUND(INDEX(Spectrum!$N:$N,MATCH(RIGHT($B408,13)&amp;"|"&amp;$C408&amp;"|"&amp;$D408&amp;"|"&amp;U$14&amp;"|"&amp;"CY2023Q3",Spectrum!$R:$R,0)),0),""))</f>
        <v/>
      </c>
      <c r="V408" s="10" t="n">
        <f aca="false">IF(LEFT($B408,4)="_Mil","",_xlfn.IFNA(ROUND(INDEX(Spectrum!$N:$N,MATCH(RIGHT($B408,13)&amp;"|"&amp;$C408&amp;"|"&amp;$D408&amp;"|"&amp;V$14&amp;"|"&amp;"CY2023Q3",Spectrum!$R:$R,0)),0),""))</f>
        <v>1637</v>
      </c>
      <c r="W408" s="113" t="n">
        <f aca="false">IF(LEFT($B408,4)="_Mil","",_xlfn.IFNA(INDEX(Spectrum!$N:$N,MATCH(RIGHT($B408,13)&amp;"|"&amp;$C408&amp;"|"&amp;$D408&amp;"|"&amp;W$14&amp;"|"&amp;"CY2023Q3",Spectrum!$R:$R,0)),""))</f>
        <v>566</v>
      </c>
      <c r="X408" s="39" t="n">
        <f aca="false">IF(LEFT($B408,4)="_Mil","",_xlfn.IFNA(ROUND(INDEX(Spectrum!$N:$N,MATCH(RIGHT($B408,13)&amp;"|"&amp;$C408&amp;"|"&amp;$D408&amp;"|"&amp;X$14&amp;"|"&amp;"CY2023Q3",Spectrum!$R:$R,0)),0),""))</f>
        <v>1703</v>
      </c>
      <c r="Y408" s="88" t="str">
        <f aca="false">IF(OR(SUM($U408)=0,LEFT($B408,4)="_Mil"),"",SUM($X408)/$U408)</f>
        <v/>
      </c>
      <c r="Z408" s="39" t="n">
        <f aca="false">IF(LEFT($B408,4)="_Mil","",_xlfn.IFNA(ROUND(INDEX(Spectrum!$N:$N,MATCH(RIGHT($B408,13)&amp;"|"&amp;$C408&amp;"|"&amp;$D408&amp;"|"&amp;Z$14&amp;"|"&amp;"CY2023Q3",Spectrum!$R:$R,0)),0),""))</f>
        <v>1047</v>
      </c>
      <c r="AA408" s="88" t="n">
        <f aca="false">IF(LEFT($B408,4)="_Mil","",IFERROR(1/(1/INDEX(Spectrum!$N:$N,MATCH(RIGHT($B408,13)&amp;"|"&amp;$C408&amp;"|"&amp;$D408&amp;"|"&amp;AA$14&amp;"|"&amp;"CY2023Q3",Spectrum!$R:$R,0))),IF(SUM($U408)=0,"",SUM($Z408)/$U408)))</f>
        <v>892</v>
      </c>
      <c r="AB408" s="88" t="n">
        <f aca="false">IF(OR(LEFT($B408,4)="_Mil",SUM($X408)=0),"",SUM($Z408)/$X408)</f>
        <v>0.614797416324134</v>
      </c>
      <c r="AC408" s="10" t="n">
        <f aca="false">IF(LEFT($B408,4)="_Mil","",_xlfn.IFNA(ROUND(INDEX(Spectrum!$N:$N,MATCH(RIGHT($B408,13)&amp;"|"&amp;$C408&amp;"|"&amp;$D408&amp;"|"&amp;AC$14&amp;"|"&amp;"CY2023Q3",Spectrum!$R:$R,0)),0),""))</f>
        <v>1263</v>
      </c>
      <c r="AD408" s="10" t="str">
        <f aca="false">IF(LEFT($B408,4)="_Mil","",_xlfn.IFNA(ROUND(INDEX(Spectrum!$N:$N,MATCH(RIGHT($B408,13)&amp;"|"&amp;$C408&amp;"|"&amp;$D408&amp;"|"&amp;AD$14&amp;"|"&amp;"CY2023Q3",Spectrum!$R:$R,0)),0),""))</f>
        <v/>
      </c>
      <c r="AE408" s="88" t="n">
        <f aca="false">IF(OR(LEFT($B408,4)="_Mil",SUM($Z408)=0),"",SUM($AD408)/$Z408)</f>
        <v>0</v>
      </c>
      <c r="AF408" s="39" t="str">
        <f aca="false">IF(LEFT($B408,4)="_Mil","",_xlfn.IFNA(ROUND(INDEX(Spectrum!$N:$N,MATCH(RIGHT($B408,13)&amp;"|"&amp;$C408&amp;"|"&amp;$D408&amp;"|"&amp;AF$14&amp;"|"&amp;"CY2023Q3",Spectrum!$R:$R,0)),0),""))</f>
        <v/>
      </c>
      <c r="AG408" s="88" t="str">
        <f aca="false">IF(OR(LEFT($B408,4)="_Mil",SUM($AD408)=0),"",SUM($AF408)/$AD408)</f>
        <v/>
      </c>
      <c r="AH408" s="86" t="str">
        <f aca="false">IF(LEFT($B408,4)="_Mil","",_xlfn.IFNA(INDEX(Spectrum!$N:$N,MATCH(RIGHT($B408,13)&amp;"|"&amp;$C408&amp;"|"&amp;$D408&amp;"|"&amp;AH$14&amp;"|"&amp;"CY2023Q3",Spectrum!$R:$R,0)),""))</f>
        <v/>
      </c>
      <c r="AI408" s="10" t="str">
        <f aca="false">IF(LEFT($B408,4)="_Mil","",_xlfn.IFNA(ROUND(INDEX(Spectrum!$N:$N,MATCH(RIGHT($B408,13)&amp;"|"&amp;$C408&amp;"|"&amp;$D408&amp;"|"&amp;AI$14&amp;"|"&amp;"CY2023Q3",Spectrum!$R:$R,0)),0),""))</f>
        <v/>
      </c>
      <c r="AJ408" s="39" t="n">
        <f aca="false">IF(LEFT($B408,4)="_Mil","",_xlfn.IFNA(ROUND(INDEX(Spectrum!$N:$N,MATCH(RIGHT($B408,13)&amp;"|"&amp;$C408&amp;"|"&amp;$D408&amp;"|"&amp;AI$14&amp;"|"&amp;"CY2023Q3",Spectrum!$R:$R,0)),0),SUM($U408)+SUM($AI408)))</f>
        <v>0</v>
      </c>
      <c r="AK408" s="10" t="str">
        <f aca="false">IF(LEFT($B408,4)="_Mil","",_xlfn.IFNA(ROUND(INDEX(Spectrum!$N:$N,MATCH(RIGHT($B408,13)&amp;"|"&amp;$C408&amp;"|"&amp;$D408&amp;"|"&amp;AK$14&amp;"|"&amp;"CY2023Q3",Spectrum!$R:$R,0)),0),""))</f>
        <v/>
      </c>
      <c r="AL408" s="88" t="str">
        <f aca="false">IF(OR(LEFT($B408,4)="_Mil",$C408="&lt;01"),"",MAX(SUM($AA408),90%))</f>
        <v/>
      </c>
      <c r="AM408" s="10" t="str">
        <f aca="false">IF(OR(LEFT($B408,4)="_Mil",$C408="&lt;01"),"",ROUND(SUM($AJ408)*SUM($AL408),0))</f>
        <v/>
      </c>
      <c r="AN408" s="10" t="n">
        <f aca="false">IF($C408="&lt;01",ROUND(INDEX(EID!$P:$P,MATCH($B408,EID!$B:$B,0))/2,0),"")</f>
        <v>0</v>
      </c>
      <c r="AO408" s="10" t="n">
        <f aca="false">IF($C408="&lt;01",SUM($AN408),ROUND(SUM($AM408)*SUM($O408)/IF(SUM($Z408)=0,1,$Z408),0))</f>
        <v>0</v>
      </c>
      <c r="AP408" s="39" t="n">
        <f aca="false">IF(OR($F408="",$C408="&lt;01"),$AO408,$F408)</f>
        <v>0</v>
      </c>
      <c r="AQ408" s="39" t="n">
        <f aca="false">IF(LEFT($B408,4)="_Mil","",IF(SUM($AP408)=0,SUM($Z408),IF(OR(SUM($Z408)=0,SUM($O408)=0),MAX($AP408,$Z408),$AP408*$Z408/$O408)))</f>
        <v>1047</v>
      </c>
      <c r="AR408" s="88" t="str">
        <f aca="false">IF(OR(LEFT($B408,4)="_Mil",SUM($AJ408)=0),"",SUM($AQ408)/$AJ408)</f>
        <v/>
      </c>
      <c r="AS408" s="88" t="str">
        <f aca="false">IF($C408="&lt;01","",98%)</f>
        <v/>
      </c>
      <c r="AT408" s="88" t="str">
        <f aca="false">IF($C408="&lt;01","",98%)</f>
        <v/>
      </c>
      <c r="AU408" s="10" t="str">
        <f aca="false">IF($C408="&lt;01","",SUM($AP408)-SUM($O408))</f>
        <v/>
      </c>
      <c r="AV408" s="10" t="n">
        <f aca="false">IF($C408="&lt;01",ROUND(INDEX(EID!$N:$N,MATCH($B408,EID!$B:$B,0))/2,0),IF(SUM($AT408)=0,"",ROUND((SUM($AP408)-(SUM($O408)*SUM($AS408)))/$AT408,0)))</f>
        <v>0</v>
      </c>
      <c r="AW408" s="88" t="str">
        <f aca="false">IF($C408="&lt;01","",100%)</f>
        <v/>
      </c>
      <c r="AX408" s="39" t="n">
        <f aca="false">IF($C408="&lt;01",SUM($AV408),ROUND(SUM($AV408)*SUM($AW408),0))</f>
        <v>0</v>
      </c>
      <c r="AY408" s="114" t="str">
        <f aca="false">IF($C408="&lt;01","",70%)</f>
        <v/>
      </c>
      <c r="AZ408" s="91" t="n">
        <f aca="false">IF($C408="&lt;01",ROUND(INDEX(EID!$R:$R,MATCH($B408,EID!$B:$B,0))/2,0),ROUND(SUM($O408)+(SUM($AV408)*$AY408),0))</f>
        <v>0</v>
      </c>
      <c r="BA408" s="87" t="str">
        <f aca="false">IF($C408="&lt;01","",95%)</f>
        <v/>
      </c>
      <c r="BB408" s="5" t="n">
        <f aca="false">IF($C408="&lt;01",ROUND(INDEX(EID!$T:$T,MATCH($B408,EID!$B:$B,0))/2,0),ROUND($AZ408*$BA408,0))</f>
        <v>0</v>
      </c>
      <c r="BC408" s="91" t="n">
        <f aca="false">IF(LEFT($B408,4)="_Mil","",IF(SUM($BB408)=0,SUM($AD408),IF(OR(SUM($AP408)=0,SUM($AQ408)=0),MAX($BB408,$AD408),ROUND($BB408*$AQ408/$AP408,0))))</f>
        <v>0</v>
      </c>
      <c r="BD408" s="88" t="str">
        <f aca="false">IF($C408="&lt;01","",95%)</f>
        <v/>
      </c>
      <c r="BE408" s="39" t="n">
        <f aca="false">IF($C408="&lt;01",ROUND(INDEX(EID!$V:$V,MATCH($B408,EID!$B:$B,0))/2,0),ROUND($BD408*$BB408,0))</f>
        <v>0</v>
      </c>
      <c r="BF408" s="39" t="n">
        <f aca="false">IF(LEFT($B408,4)="_Mil","",IF(SUM($BE408)=0,SUM($AF408),IF(OR(SUM($AP408)=0,SUM($AQ408)=0),MAX($BE408,$AF408),ROUND($BE408*$AQ408/$AP408,0))))</f>
        <v>0</v>
      </c>
      <c r="BG408" s="114" t="str">
        <f aca="false">IF($C408="&lt;01","",95%)</f>
        <v/>
      </c>
      <c r="BH408" s="5" t="n">
        <f aca="false">IF($C408="&lt;01",ROUND(INDEX(EID!$L:$L,MATCH($B408,EID!$B:$B,0)),0)/2,IF(SUM($BG408)=0,"",ROUND($AX408/$BG408,0)))</f>
        <v>0</v>
      </c>
    </row>
    <row r="409" customFormat="false" ht="15" hidden="false" customHeight="false" outlineLevel="0" collapsed="false">
      <c r="A409" s="0" t="str">
        <f aca="false">INDEX(Prioritization!$D:$D,MATCH($B409,Prioritization!$A:$A,0))</f>
        <v>1 - Scale-up: Saturation</v>
      </c>
      <c r="B409" s="0" t="s">
        <v>222</v>
      </c>
      <c r="C409" s="0" t="s">
        <v>363</v>
      </c>
      <c r="D409" s="0" t="s">
        <v>30</v>
      </c>
      <c r="E409" s="0" t="str">
        <f aca="false">$B409&amp;"|"&amp;$C409&amp;"|"&amp;$D409</f>
        <v>Zomba District [fyEoGEPERdI]|01-09|Female</v>
      </c>
      <c r="F409" s="10"/>
      <c r="G409" s="10"/>
      <c r="H409" s="10"/>
      <c r="I409" s="10"/>
      <c r="J409" s="10"/>
      <c r="K409" s="10"/>
      <c r="L409" s="10"/>
      <c r="M409" s="10"/>
      <c r="N409" s="10"/>
      <c r="O409" s="10" t="str">
        <f aca="false">IFERROR(1/(1/MAX($I409,$N409)),"")</f>
        <v/>
      </c>
      <c r="P409" s="10"/>
      <c r="Q409" s="10"/>
      <c r="R409" s="10" t="str">
        <f aca="false">IF(AND(SUM($I409)=0,SUM($O409)=0),"",SUM($O409)-$I409)</f>
        <v/>
      </c>
      <c r="S409" s="10" t="n">
        <f aca="false">IF(LEFT($B409,4)="_Mil","",_xlfn.IFNA(ROUND(INDEX(Spectrum!$N:$N,MATCH(RIGHT($B409,13)&amp;"|"&amp;$C409&amp;"|"&amp;$D409&amp;"|"&amp;S$14&amp;"|"&amp;"CY2022Q4",Spectrum!$R:$R,0)),0),""))</f>
        <v>950</v>
      </c>
      <c r="T409" s="39" t="n">
        <f aca="false">IF(LEFT($B409,4)="_Mil","",_xlfn.IFNA(ROUND(INDEX(Spectrum!$N:$N,MATCH(RIGHT($B409,13)&amp;"|"&amp;$C409&amp;"|"&amp;$D409&amp;"|"&amp;T$14&amp;"|"&amp;"CY2023Q3",Spectrum!$R:$R,0)),0),""))</f>
        <v>730</v>
      </c>
      <c r="U409" s="39" t="str">
        <f aca="false">IF(LEFT($B409,4)="_Mil","",_xlfn.IFNA(ROUND(INDEX(Spectrum!$N:$N,MATCH(RIGHT($B409,13)&amp;"|"&amp;$C409&amp;"|"&amp;$D409&amp;"|"&amp;U$14&amp;"|"&amp;"CY2023Q3",Spectrum!$R:$R,0)),0),""))</f>
        <v/>
      </c>
      <c r="V409" s="10" t="n">
        <f aca="false">IF(LEFT($B409,4)="_Mil","",_xlfn.IFNA(ROUND(INDEX(Spectrum!$N:$N,MATCH(RIGHT($B409,13)&amp;"|"&amp;$C409&amp;"|"&amp;$D409&amp;"|"&amp;V$14&amp;"|"&amp;"CY2023Q3",Spectrum!$R:$R,0)),0),""))</f>
        <v>1551</v>
      </c>
      <c r="W409" s="113" t="n">
        <f aca="false">IF(LEFT($B409,4)="_Mil","",_xlfn.IFNA(INDEX(Spectrum!$N:$N,MATCH(RIGHT($B409,13)&amp;"|"&amp;$C409&amp;"|"&amp;$D409&amp;"|"&amp;W$14&amp;"|"&amp;"CY2023Q3",Spectrum!$R:$R,0)),""))</f>
        <v>1154</v>
      </c>
      <c r="X409" s="39" t="n">
        <f aca="false">IF(LEFT($B409,4)="_Mil","",_xlfn.IFNA(ROUND(INDEX(Spectrum!$N:$N,MATCH(RIGHT($B409,13)&amp;"|"&amp;$C409&amp;"|"&amp;$D409&amp;"|"&amp;X$14&amp;"|"&amp;"CY2023Q3",Spectrum!$R:$R,0)),0),""))</f>
        <v>1867</v>
      </c>
      <c r="Y409" s="88" t="str">
        <f aca="false">IF(OR(SUM($U409)=0,LEFT($B409,4)="_Mil"),"",SUM($X409)/$U409)</f>
        <v/>
      </c>
      <c r="Z409" s="39" t="n">
        <f aca="false">IF(LEFT($B409,4)="_Mil","",_xlfn.IFNA(ROUND(INDEX(Spectrum!$N:$N,MATCH(RIGHT($B409,13)&amp;"|"&amp;$C409&amp;"|"&amp;$D409&amp;"|"&amp;Z$14&amp;"|"&amp;"CY2023Q3",Spectrum!$R:$R,0)),0),""))</f>
        <v>1934</v>
      </c>
      <c r="AA409" s="88" t="n">
        <f aca="false">IF(LEFT($B409,4)="_Mil","",IFERROR(1/(1/INDEX(Spectrum!$N:$N,MATCH(RIGHT($B409,13)&amp;"|"&amp;$C409&amp;"|"&amp;$D409&amp;"|"&amp;AA$14&amp;"|"&amp;"CY2023Q3",Spectrum!$R:$R,0))),IF(SUM($U409)=0,"",SUM($Z409)/$U409)))</f>
        <v>1618</v>
      </c>
      <c r="AB409" s="88" t="n">
        <f aca="false">IF(OR(LEFT($B409,4)="_Mil",SUM($X409)=0),"",SUM($Z409)/$X409)</f>
        <v>1.03588644884842</v>
      </c>
      <c r="AC409" s="10" t="n">
        <f aca="false">IF(LEFT($B409,4)="_Mil","",_xlfn.IFNA(ROUND(INDEX(Spectrum!$N:$N,MATCH(RIGHT($B409,13)&amp;"|"&amp;$C409&amp;"|"&amp;$D409&amp;"|"&amp;AC$14&amp;"|"&amp;"CY2023Q3",Spectrum!$R:$R,0)),0),""))</f>
        <v>1541</v>
      </c>
      <c r="AD409" s="10" t="str">
        <f aca="false">IF(LEFT($B409,4)="_Mil","",_xlfn.IFNA(ROUND(INDEX(Spectrum!$N:$N,MATCH(RIGHT($B409,13)&amp;"|"&amp;$C409&amp;"|"&amp;$D409&amp;"|"&amp;AD$14&amp;"|"&amp;"CY2023Q3",Spectrum!$R:$R,0)),0),""))</f>
        <v/>
      </c>
      <c r="AE409" s="88" t="n">
        <f aca="false">IF(OR(LEFT($B409,4)="_Mil",SUM($Z409)=0),"",SUM($AD409)/$Z409)</f>
        <v>0</v>
      </c>
      <c r="AF409" s="39" t="str">
        <f aca="false">IF(LEFT($B409,4)="_Mil","",_xlfn.IFNA(ROUND(INDEX(Spectrum!$N:$N,MATCH(RIGHT($B409,13)&amp;"|"&amp;$C409&amp;"|"&amp;$D409&amp;"|"&amp;AF$14&amp;"|"&amp;"CY2023Q3",Spectrum!$R:$R,0)),0),""))</f>
        <v/>
      </c>
      <c r="AG409" s="88" t="str">
        <f aca="false">IF(OR(LEFT($B409,4)="_Mil",SUM($AD409)=0),"",SUM($AF409)/$AD409)</f>
        <v/>
      </c>
      <c r="AH409" s="86" t="str">
        <f aca="false">IF(LEFT($B409,4)="_Mil","",_xlfn.IFNA(INDEX(Spectrum!$N:$N,MATCH(RIGHT($B409,13)&amp;"|"&amp;$C409&amp;"|"&amp;$D409&amp;"|"&amp;AH$14&amp;"|"&amp;"CY2023Q3",Spectrum!$R:$R,0)),""))</f>
        <v/>
      </c>
      <c r="AI409" s="10" t="str">
        <f aca="false">IF(LEFT($B409,4)="_Mil","",_xlfn.IFNA(ROUND(INDEX(Spectrum!$N:$N,MATCH(RIGHT($B409,13)&amp;"|"&amp;$C409&amp;"|"&amp;$D409&amp;"|"&amp;AI$14&amp;"|"&amp;"CY2023Q3",Spectrum!$R:$R,0)),0),""))</f>
        <v/>
      </c>
      <c r="AJ409" s="39" t="n">
        <f aca="false">IF(LEFT($B409,4)="_Mil","",_xlfn.IFNA(ROUND(INDEX(Spectrum!$N:$N,MATCH(RIGHT($B409,13)&amp;"|"&amp;$C409&amp;"|"&amp;$D409&amp;"|"&amp;AI$14&amp;"|"&amp;"CY2023Q3",Spectrum!$R:$R,0)),0),SUM($U409)+SUM($AI409)))</f>
        <v>0</v>
      </c>
      <c r="AK409" s="10" t="str">
        <f aca="false">IF(LEFT($B409,4)="_Mil","",_xlfn.IFNA(ROUND(INDEX(Spectrum!$N:$N,MATCH(RIGHT($B409,13)&amp;"|"&amp;$C409&amp;"|"&amp;$D409&amp;"|"&amp;AK$14&amp;"|"&amp;"CY2023Q3",Spectrum!$R:$R,0)),0),""))</f>
        <v/>
      </c>
      <c r="AL409" s="88" t="n">
        <f aca="false">IF(OR(LEFT($B409,4)="_Mil",$C409="&lt;01"),"",MAX(SUM($AA409),90%))</f>
        <v>1618</v>
      </c>
      <c r="AM409" s="10" t="n">
        <f aca="false">IF(OR(LEFT($B409,4)="_Mil",$C409="&lt;01"),"",ROUND(SUM($AJ409)*SUM($AL409),0))</f>
        <v>0</v>
      </c>
      <c r="AN409" s="10" t="str">
        <f aca="false">IF($C409="&lt;01",ROUND(INDEX(EID!$P:$P,MATCH($B409,EID!$B:$B,0))/2,0),"")</f>
        <v/>
      </c>
      <c r="AO409" s="10" t="n">
        <f aca="false">IF($C409="&lt;01",SUM($AN409),ROUND(SUM($AM409)*SUM($O409)/IF(SUM($Z409)=0,1,$Z409),0))</f>
        <v>0</v>
      </c>
      <c r="AP409" s="39" t="n">
        <f aca="false">IF(OR($F409="",$C409="&lt;01"),$AO409,$F409)</f>
        <v>0</v>
      </c>
      <c r="AQ409" s="39" t="n">
        <f aca="false">IF(LEFT($B409,4)="_Mil","",IF(SUM($AP409)=0,SUM($Z409),IF(OR(SUM($Z409)=0,SUM($O409)=0),MAX($AP409,$Z409),$AP409*$Z409/$O409)))</f>
        <v>1934</v>
      </c>
      <c r="AR409" s="88" t="str">
        <f aca="false">IF(OR(LEFT($B409,4)="_Mil",SUM($AJ409)=0),"",SUM($AQ409)/$AJ409)</f>
        <v/>
      </c>
      <c r="AS409" s="88" t="n">
        <f aca="false">IF($C409="&lt;01","",98%)</f>
        <v>0.98</v>
      </c>
      <c r="AT409" s="88" t="n">
        <f aca="false">IF($C409="&lt;01","",98%)</f>
        <v>0.98</v>
      </c>
      <c r="AU409" s="10" t="n">
        <f aca="false">IF($C409="&lt;01","",SUM($AP409)-SUM($O409))</f>
        <v>0</v>
      </c>
      <c r="AV409" s="10" t="n">
        <f aca="false">IF($C409="&lt;01",ROUND(INDEX(EID!$N:$N,MATCH($B409,EID!$B:$B,0))/2,0),IF(SUM($AT409)=0,"",ROUND((SUM($AP409)-(SUM($O409)*SUM($AS409)))/$AT409,0)))</f>
        <v>0</v>
      </c>
      <c r="AW409" s="88" t="n">
        <f aca="false">IF($C409="&lt;01","",100%)</f>
        <v>1</v>
      </c>
      <c r="AX409" s="39" t="n">
        <f aca="false">IF($C409="&lt;01",SUM($AV409),ROUND(SUM($AV409)*SUM($AW409),0))</f>
        <v>0</v>
      </c>
      <c r="AY409" s="114" t="n">
        <f aca="false">IF($C409="&lt;01","",70%)</f>
        <v>0.7</v>
      </c>
      <c r="AZ409" s="91" t="n">
        <f aca="false">IF($C409="&lt;01",ROUND(INDEX(EID!$R:$R,MATCH($B409,EID!$B:$B,0))/2,0),ROUND(SUM($O409)+(SUM($AV409)*$AY409),0))</f>
        <v>0</v>
      </c>
      <c r="BA409" s="87" t="n">
        <f aca="false">IF($C409="&lt;01","",95%)</f>
        <v>0.95</v>
      </c>
      <c r="BB409" s="5" t="n">
        <f aca="false">IF($C409="&lt;01",ROUND(INDEX(EID!$T:$T,MATCH($B409,EID!$B:$B,0))/2,0),ROUND($AZ409*$BA409,0))</f>
        <v>0</v>
      </c>
      <c r="BC409" s="91" t="n">
        <f aca="false">IF(LEFT($B409,4)="_Mil","",IF(SUM($BB409)=0,SUM($AD409),IF(OR(SUM($AP409)=0,SUM($AQ409)=0),MAX($BB409,$AD409),ROUND($BB409*$AQ409/$AP409,0))))</f>
        <v>0</v>
      </c>
      <c r="BD409" s="88" t="n">
        <f aca="false">IF($C409="&lt;01","",95%)</f>
        <v>0.95</v>
      </c>
      <c r="BE409" s="39" t="n">
        <f aca="false">IF($C409="&lt;01",ROUND(INDEX(EID!$V:$V,MATCH($B409,EID!$B:$B,0))/2,0),ROUND($BD409*$BB409,0))</f>
        <v>0</v>
      </c>
      <c r="BF409" s="39" t="n">
        <f aca="false">IF(LEFT($B409,4)="_Mil","",IF(SUM($BE409)=0,SUM($AF409),IF(OR(SUM($AP409)=0,SUM($AQ409)=0),MAX($BE409,$AF409),ROUND($BE409*$AQ409/$AP409,0))))</f>
        <v>0</v>
      </c>
      <c r="BG409" s="114" t="n">
        <f aca="false">IF($C409="&lt;01","",95%)</f>
        <v>0.95</v>
      </c>
      <c r="BH409" s="5" t="n">
        <f aca="false">IF($C409="&lt;01",ROUND(INDEX(EID!$L:$L,MATCH($B409,EID!$B:$B,0)),0)/2,IF(SUM($BG409)=0,"",ROUND($AX409/$BG409,0)))</f>
        <v>0</v>
      </c>
    </row>
    <row r="410" customFormat="false" ht="15" hidden="false" customHeight="false" outlineLevel="0" collapsed="false">
      <c r="A410" s="0" t="str">
        <f aca="false">INDEX(Prioritization!$D:$D,MATCH($B410,Prioritization!$A:$A,0))</f>
        <v>1 - Scale-up: Saturation</v>
      </c>
      <c r="B410" s="0" t="s">
        <v>222</v>
      </c>
      <c r="C410" s="0" t="s">
        <v>363</v>
      </c>
      <c r="D410" s="0" t="s">
        <v>48</v>
      </c>
      <c r="E410" s="0" t="str">
        <f aca="false">$B410&amp;"|"&amp;$C410&amp;"|"&amp;$D410</f>
        <v>Zomba District [fyEoGEPERdI]|01-09|Male</v>
      </c>
      <c r="F410" s="10"/>
      <c r="G410" s="10"/>
      <c r="H410" s="10"/>
      <c r="I410" s="10"/>
      <c r="J410" s="10"/>
      <c r="K410" s="10"/>
      <c r="L410" s="10"/>
      <c r="M410" s="10"/>
      <c r="N410" s="10"/>
      <c r="O410" s="10" t="str">
        <f aca="false">IFERROR(1/(1/MAX($I410,$N410)),"")</f>
        <v/>
      </c>
      <c r="P410" s="10"/>
      <c r="Q410" s="10"/>
      <c r="R410" s="10" t="str">
        <f aca="false">IF(AND(SUM($I410)=0,SUM($O410)=0),"",SUM($O410)-$I410)</f>
        <v/>
      </c>
      <c r="S410" s="10" t="n">
        <f aca="false">IF(LEFT($B410,4)="_Mil","",_xlfn.IFNA(ROUND(INDEX(Spectrum!$N:$N,MATCH(RIGHT($B410,13)&amp;"|"&amp;$C410&amp;"|"&amp;$D410&amp;"|"&amp;S$14&amp;"|"&amp;"CY2022Q4",Spectrum!$R:$R,0)),0),""))</f>
        <v>1158</v>
      </c>
      <c r="T410" s="39" t="n">
        <f aca="false">IF(LEFT($B410,4)="_Mil","",_xlfn.IFNA(ROUND(INDEX(Spectrum!$N:$N,MATCH(RIGHT($B410,13)&amp;"|"&amp;$C410&amp;"|"&amp;$D410&amp;"|"&amp;T$14&amp;"|"&amp;"CY2023Q3",Spectrum!$R:$R,0)),0),""))</f>
        <v>1526</v>
      </c>
      <c r="U410" s="39" t="str">
        <f aca="false">IF(LEFT($B410,4)="_Mil","",_xlfn.IFNA(ROUND(INDEX(Spectrum!$N:$N,MATCH(RIGHT($B410,13)&amp;"|"&amp;$C410&amp;"|"&amp;$D410&amp;"|"&amp;U$14&amp;"|"&amp;"CY2023Q3",Spectrum!$R:$R,0)),0),""))</f>
        <v/>
      </c>
      <c r="V410" s="10" t="n">
        <f aca="false">IF(LEFT($B410,4)="_Mil","",_xlfn.IFNA(ROUND(INDEX(Spectrum!$N:$N,MATCH(RIGHT($B410,13)&amp;"|"&amp;$C410&amp;"|"&amp;$D410&amp;"|"&amp;V$14&amp;"|"&amp;"CY2023Q3",Spectrum!$R:$R,0)),0),""))</f>
        <v>1550</v>
      </c>
      <c r="W410" s="113" t="n">
        <f aca="false">IF(LEFT($B410,4)="_Mil","",_xlfn.IFNA(INDEX(Spectrum!$N:$N,MATCH(RIGHT($B410,13)&amp;"|"&amp;$C410&amp;"|"&amp;$D410&amp;"|"&amp;W$14&amp;"|"&amp;"CY2023Q3",Spectrum!$R:$R,0)),""))</f>
        <v>1488</v>
      </c>
      <c r="X410" s="39" t="n">
        <f aca="false">IF(LEFT($B410,4)="_Mil","",_xlfn.IFNA(ROUND(INDEX(Spectrum!$N:$N,MATCH(RIGHT($B410,13)&amp;"|"&amp;$C410&amp;"|"&amp;$D410&amp;"|"&amp;X$14&amp;"|"&amp;"CY2023Q3",Spectrum!$R:$R,0)),0),""))</f>
        <v>877</v>
      </c>
      <c r="Y410" s="88" t="str">
        <f aca="false">IF(OR(SUM($U410)=0,LEFT($B410,4)="_Mil"),"",SUM($X410)/$U410)</f>
        <v/>
      </c>
      <c r="Z410" s="39" t="n">
        <f aca="false">IF(LEFT($B410,4)="_Mil","",_xlfn.IFNA(ROUND(INDEX(Spectrum!$N:$N,MATCH(RIGHT($B410,13)&amp;"|"&amp;$C410&amp;"|"&amp;$D410&amp;"|"&amp;Z$14&amp;"|"&amp;"CY2023Q3",Spectrum!$R:$R,0)),0),""))</f>
        <v>948</v>
      </c>
      <c r="AA410" s="88" t="n">
        <f aca="false">IF(LEFT($B410,4)="_Mil","",IFERROR(1/(1/INDEX(Spectrum!$N:$N,MATCH(RIGHT($B410,13)&amp;"|"&amp;$C410&amp;"|"&amp;$D410&amp;"|"&amp;AA$14&amp;"|"&amp;"CY2023Q3",Spectrum!$R:$R,0))),IF(SUM($U410)=0,"",SUM($Z410)/$U410)))</f>
        <v>1864</v>
      </c>
      <c r="AB410" s="88" t="n">
        <f aca="false">IF(OR(LEFT($B410,4)="_Mil",SUM($X410)=0),"",SUM($Z410)/$X410)</f>
        <v>1.08095781071836</v>
      </c>
      <c r="AC410" s="10" t="n">
        <f aca="false">IF(LEFT($B410,4)="_Mil","",_xlfn.IFNA(ROUND(INDEX(Spectrum!$N:$N,MATCH(RIGHT($B410,13)&amp;"|"&amp;$C410&amp;"|"&amp;$D410&amp;"|"&amp;AC$14&amp;"|"&amp;"CY2023Q3",Spectrum!$R:$R,0)),0),""))</f>
        <v>944</v>
      </c>
      <c r="AD410" s="10" t="str">
        <f aca="false">IF(LEFT($B410,4)="_Mil","",_xlfn.IFNA(ROUND(INDEX(Spectrum!$N:$N,MATCH(RIGHT($B410,13)&amp;"|"&amp;$C410&amp;"|"&amp;$D410&amp;"|"&amp;AD$14&amp;"|"&amp;"CY2023Q3",Spectrum!$R:$R,0)),0),""))</f>
        <v/>
      </c>
      <c r="AE410" s="88" t="n">
        <f aca="false">IF(OR(LEFT($B410,4)="_Mil",SUM($Z410)=0),"",SUM($AD410)/$Z410)</f>
        <v>0</v>
      </c>
      <c r="AF410" s="39" t="str">
        <f aca="false">IF(LEFT($B410,4)="_Mil","",_xlfn.IFNA(ROUND(INDEX(Spectrum!$N:$N,MATCH(RIGHT($B410,13)&amp;"|"&amp;$C410&amp;"|"&amp;$D410&amp;"|"&amp;AF$14&amp;"|"&amp;"CY2023Q3",Spectrum!$R:$R,0)),0),""))</f>
        <v/>
      </c>
      <c r="AG410" s="88" t="str">
        <f aca="false">IF(OR(LEFT($B410,4)="_Mil",SUM($AD410)=0),"",SUM($AF410)/$AD410)</f>
        <v/>
      </c>
      <c r="AH410" s="86" t="str">
        <f aca="false">IF(LEFT($B410,4)="_Mil","",_xlfn.IFNA(INDEX(Spectrum!$N:$N,MATCH(RIGHT($B410,13)&amp;"|"&amp;$C410&amp;"|"&amp;$D410&amp;"|"&amp;AH$14&amp;"|"&amp;"CY2023Q3",Spectrum!$R:$R,0)),""))</f>
        <v/>
      </c>
      <c r="AI410" s="10" t="str">
        <f aca="false">IF(LEFT($B410,4)="_Mil","",_xlfn.IFNA(ROUND(INDEX(Spectrum!$N:$N,MATCH(RIGHT($B410,13)&amp;"|"&amp;$C410&amp;"|"&amp;$D410&amp;"|"&amp;AI$14&amp;"|"&amp;"CY2023Q3",Spectrum!$R:$R,0)),0),""))</f>
        <v/>
      </c>
      <c r="AJ410" s="39" t="n">
        <f aca="false">IF(LEFT($B410,4)="_Mil","",_xlfn.IFNA(ROUND(INDEX(Spectrum!$N:$N,MATCH(RIGHT($B410,13)&amp;"|"&amp;$C410&amp;"|"&amp;$D410&amp;"|"&amp;AI$14&amp;"|"&amp;"CY2023Q3",Spectrum!$R:$R,0)),0),SUM($U410)+SUM($AI410)))</f>
        <v>0</v>
      </c>
      <c r="AK410" s="10" t="str">
        <f aca="false">IF(LEFT($B410,4)="_Mil","",_xlfn.IFNA(ROUND(INDEX(Spectrum!$N:$N,MATCH(RIGHT($B410,13)&amp;"|"&amp;$C410&amp;"|"&amp;$D410&amp;"|"&amp;AK$14&amp;"|"&amp;"CY2023Q3",Spectrum!$R:$R,0)),0),""))</f>
        <v/>
      </c>
      <c r="AL410" s="88" t="n">
        <f aca="false">IF(OR(LEFT($B410,4)="_Mil",$C410="&lt;01"),"",MAX(SUM($AA410),90%))</f>
        <v>1864</v>
      </c>
      <c r="AM410" s="10" t="n">
        <f aca="false">IF(OR(LEFT($B410,4)="_Mil",$C410="&lt;01"),"",ROUND(SUM($AJ410)*SUM($AL410),0))</f>
        <v>0</v>
      </c>
      <c r="AN410" s="10" t="str">
        <f aca="false">IF($C410="&lt;01",ROUND(INDEX(EID!$P:$P,MATCH($B410,EID!$B:$B,0))/2,0),"")</f>
        <v/>
      </c>
      <c r="AO410" s="10" t="n">
        <f aca="false">IF($C410="&lt;01",SUM($AN410),ROUND(SUM($AM410)*SUM($O410)/IF(SUM($Z410)=0,1,$Z410),0))</f>
        <v>0</v>
      </c>
      <c r="AP410" s="39" t="n">
        <f aca="false">IF(OR($F410="",$C410="&lt;01"),$AO410,$F410)</f>
        <v>0</v>
      </c>
      <c r="AQ410" s="39" t="n">
        <f aca="false">IF(LEFT($B410,4)="_Mil","",IF(SUM($AP410)=0,SUM($Z410),IF(OR(SUM($Z410)=0,SUM($O410)=0),MAX($AP410,$Z410),$AP410*$Z410/$O410)))</f>
        <v>948</v>
      </c>
      <c r="AR410" s="88" t="str">
        <f aca="false">IF(OR(LEFT($B410,4)="_Mil",SUM($AJ410)=0),"",SUM($AQ410)/$AJ410)</f>
        <v/>
      </c>
      <c r="AS410" s="88" t="n">
        <f aca="false">IF($C410="&lt;01","",98%)</f>
        <v>0.98</v>
      </c>
      <c r="AT410" s="88" t="n">
        <f aca="false">IF($C410="&lt;01","",98%)</f>
        <v>0.98</v>
      </c>
      <c r="AU410" s="10" t="n">
        <f aca="false">IF($C410="&lt;01","",SUM($AP410)-SUM($O410))</f>
        <v>0</v>
      </c>
      <c r="AV410" s="10" t="n">
        <f aca="false">IF($C410="&lt;01",ROUND(INDEX(EID!$N:$N,MATCH($B410,EID!$B:$B,0))/2,0),IF(SUM($AT410)=0,"",ROUND((SUM($AP410)-(SUM($O410)*SUM($AS410)))/$AT410,0)))</f>
        <v>0</v>
      </c>
      <c r="AW410" s="88" t="n">
        <f aca="false">IF($C410="&lt;01","",100%)</f>
        <v>1</v>
      </c>
      <c r="AX410" s="39" t="n">
        <f aca="false">IF($C410="&lt;01",SUM($AV410),ROUND(SUM($AV410)*SUM($AW410),0))</f>
        <v>0</v>
      </c>
      <c r="AY410" s="114" t="n">
        <f aca="false">IF($C410="&lt;01","",70%)</f>
        <v>0.7</v>
      </c>
      <c r="AZ410" s="91" t="n">
        <f aca="false">IF($C410="&lt;01",ROUND(INDEX(EID!$R:$R,MATCH($B410,EID!$B:$B,0))/2,0),ROUND(SUM($O410)+(SUM($AV410)*$AY410),0))</f>
        <v>0</v>
      </c>
      <c r="BA410" s="87" t="n">
        <f aca="false">IF($C410="&lt;01","",95%)</f>
        <v>0.95</v>
      </c>
      <c r="BB410" s="5" t="n">
        <f aca="false">IF($C410="&lt;01",ROUND(INDEX(EID!$T:$T,MATCH($B410,EID!$B:$B,0))/2,0),ROUND($AZ410*$BA410,0))</f>
        <v>0</v>
      </c>
      <c r="BC410" s="91" t="n">
        <f aca="false">IF(LEFT($B410,4)="_Mil","",IF(SUM($BB410)=0,SUM($AD410),IF(OR(SUM($AP410)=0,SUM($AQ410)=0),MAX($BB410,$AD410),ROUND($BB410*$AQ410/$AP410,0))))</f>
        <v>0</v>
      </c>
      <c r="BD410" s="88" t="n">
        <f aca="false">IF($C410="&lt;01","",95%)</f>
        <v>0.95</v>
      </c>
      <c r="BE410" s="39" t="n">
        <f aca="false">IF($C410="&lt;01",ROUND(INDEX(EID!$V:$V,MATCH($B410,EID!$B:$B,0))/2,0),ROUND($BD410*$BB410,0))</f>
        <v>0</v>
      </c>
      <c r="BF410" s="39" t="n">
        <f aca="false">IF(LEFT($B410,4)="_Mil","",IF(SUM($BE410)=0,SUM($AF410),IF(OR(SUM($AP410)=0,SUM($AQ410)=0),MAX($BE410,$AF410),ROUND($BE410*$AQ410/$AP410,0))))</f>
        <v>0</v>
      </c>
      <c r="BG410" s="114" t="n">
        <f aca="false">IF($C410="&lt;01","",95%)</f>
        <v>0.95</v>
      </c>
      <c r="BH410" s="5" t="n">
        <f aca="false">IF($C410="&lt;01",ROUND(INDEX(EID!$L:$L,MATCH($B410,EID!$B:$B,0)),0)/2,IF(SUM($BG410)=0,"",ROUND($AX410/$BG410,0)))</f>
        <v>0</v>
      </c>
    </row>
    <row r="411" customFormat="false" ht="15" hidden="false" customHeight="false" outlineLevel="0" collapsed="false">
      <c r="A411" s="0" t="str">
        <f aca="false">INDEX(Prioritization!$D:$D,MATCH($B411,Prioritization!$A:$A,0))</f>
        <v>1 - Scale-up: Saturation</v>
      </c>
      <c r="B411" s="0" t="s">
        <v>222</v>
      </c>
      <c r="C411" s="0" t="s">
        <v>364</v>
      </c>
      <c r="D411" s="0" t="s">
        <v>30</v>
      </c>
      <c r="E411" s="0" t="str">
        <f aca="false">$B411&amp;"|"&amp;$C411&amp;"|"&amp;$D411</f>
        <v>Zomba District [fyEoGEPERdI]|10-14|Female</v>
      </c>
      <c r="F411" s="10"/>
      <c r="G411" s="10" t="n">
        <v>5</v>
      </c>
      <c r="H411" s="10" t="n">
        <v>9</v>
      </c>
      <c r="I411" s="10" t="n">
        <v>24</v>
      </c>
      <c r="J411" s="10" t="n">
        <v>30</v>
      </c>
      <c r="K411" s="10" t="n">
        <v>47</v>
      </c>
      <c r="L411" s="10" t="n">
        <v>8</v>
      </c>
      <c r="M411" s="10" t="n">
        <v>3</v>
      </c>
      <c r="N411" s="10" t="n">
        <v>12</v>
      </c>
      <c r="O411" s="10" t="n">
        <f aca="false">IFERROR(1/(1/MAX($I411,$N411)),"")</f>
        <v>24</v>
      </c>
      <c r="P411" s="10" t="n">
        <v>31</v>
      </c>
      <c r="Q411" s="10" t="n">
        <v>32</v>
      </c>
      <c r="R411" s="10" t="n">
        <f aca="false">IF(AND(SUM($I411)=0,SUM($O411)=0),"",SUM($O411)-$I411)</f>
        <v>0</v>
      </c>
      <c r="S411" s="10" t="n">
        <f aca="false">IF(LEFT($B411,4)="_Mil","",_xlfn.IFNA(ROUND(INDEX(Spectrum!$N:$N,MATCH(RIGHT($B411,13)&amp;"|"&amp;$C411&amp;"|"&amp;$D411&amp;"|"&amp;S$14&amp;"|"&amp;"CY2022Q4",Spectrum!$R:$R,0)),0),""))</f>
        <v>1804</v>
      </c>
      <c r="T411" s="39" t="n">
        <f aca="false">IF(LEFT($B411,4)="_Mil","",_xlfn.IFNA(ROUND(INDEX(Spectrum!$N:$N,MATCH(RIGHT($B411,13)&amp;"|"&amp;$C411&amp;"|"&amp;$D411&amp;"|"&amp;T$14&amp;"|"&amp;"CY2023Q3",Spectrum!$R:$R,0)),0),""))</f>
        <v>1899</v>
      </c>
      <c r="U411" s="39" t="str">
        <f aca="false">IF(LEFT($B411,4)="_Mil","",_xlfn.IFNA(ROUND(INDEX(Spectrum!$N:$N,MATCH(RIGHT($B411,13)&amp;"|"&amp;$C411&amp;"|"&amp;$D411&amp;"|"&amp;U$14&amp;"|"&amp;"CY2023Q3",Spectrum!$R:$R,0)),0),""))</f>
        <v/>
      </c>
      <c r="V411" s="10" t="n">
        <f aca="false">IF(LEFT($B411,4)="_Mil","",_xlfn.IFNA(ROUND(INDEX(Spectrum!$N:$N,MATCH(RIGHT($B411,13)&amp;"|"&amp;$C411&amp;"|"&amp;$D411&amp;"|"&amp;V$14&amp;"|"&amp;"CY2023Q3",Spectrum!$R:$R,0)),0),""))</f>
        <v>1964</v>
      </c>
      <c r="W411" s="113" t="n">
        <f aca="false">IF(LEFT($B411,4)="_Mil","",_xlfn.IFNA(INDEX(Spectrum!$N:$N,MATCH(RIGHT($B411,13)&amp;"|"&amp;$C411&amp;"|"&amp;$D411&amp;"|"&amp;W$14&amp;"|"&amp;"CY2023Q3",Spectrum!$R:$R,0)),""))</f>
        <v>1198</v>
      </c>
      <c r="X411" s="39" t="n">
        <f aca="false">IF(LEFT($B411,4)="_Mil","",_xlfn.IFNA(ROUND(INDEX(Spectrum!$N:$N,MATCH(RIGHT($B411,13)&amp;"|"&amp;$C411&amp;"|"&amp;$D411&amp;"|"&amp;X$14&amp;"|"&amp;"CY2023Q3",Spectrum!$R:$R,0)),0),""))</f>
        <v>1567</v>
      </c>
      <c r="Y411" s="88" t="str">
        <f aca="false">IF(OR(SUM($U411)=0,LEFT($B411,4)="_Mil"),"",SUM($X411)/$U411)</f>
        <v/>
      </c>
      <c r="Z411" s="39" t="n">
        <f aca="false">IF(LEFT($B411,4)="_Mil","",_xlfn.IFNA(ROUND(INDEX(Spectrum!$N:$N,MATCH(RIGHT($B411,13)&amp;"|"&amp;$C411&amp;"|"&amp;$D411&amp;"|"&amp;Z$14&amp;"|"&amp;"CY2023Q3",Spectrum!$R:$R,0)),0),""))</f>
        <v>1900</v>
      </c>
      <c r="AA411" s="88" t="n">
        <f aca="false">IF(LEFT($B411,4)="_Mil","",IFERROR(1/(1/INDEX(Spectrum!$N:$N,MATCH(RIGHT($B411,13)&amp;"|"&amp;$C411&amp;"|"&amp;$D411&amp;"|"&amp;AA$14&amp;"|"&amp;"CY2023Q3",Spectrum!$R:$R,0))),IF(SUM($U411)=0,"",SUM($Z411)/$U411)))</f>
        <v>1522</v>
      </c>
      <c r="AB411" s="88" t="n">
        <f aca="false">IF(OR(LEFT($B411,4)="_Mil",SUM($X411)=0),"",SUM($Z411)/$X411)</f>
        <v>1.21250797702616</v>
      </c>
      <c r="AC411" s="10" t="n">
        <f aca="false">IF(LEFT($B411,4)="_Mil","",_xlfn.IFNA(ROUND(INDEX(Spectrum!$N:$N,MATCH(RIGHT($B411,13)&amp;"|"&amp;$C411&amp;"|"&amp;$D411&amp;"|"&amp;AC$14&amp;"|"&amp;"CY2023Q3",Spectrum!$R:$R,0)),0),""))</f>
        <v>1143</v>
      </c>
      <c r="AD411" s="10" t="str">
        <f aca="false">IF(LEFT($B411,4)="_Mil","",_xlfn.IFNA(ROUND(INDEX(Spectrum!$N:$N,MATCH(RIGHT($B411,13)&amp;"|"&amp;$C411&amp;"|"&amp;$D411&amp;"|"&amp;AD$14&amp;"|"&amp;"CY2023Q3",Spectrum!$R:$R,0)),0),""))</f>
        <v/>
      </c>
      <c r="AE411" s="88" t="n">
        <f aca="false">IF(OR(LEFT($B411,4)="_Mil",SUM($Z411)=0),"",SUM($AD411)/$Z411)</f>
        <v>0</v>
      </c>
      <c r="AF411" s="39" t="str">
        <f aca="false">IF(LEFT($B411,4)="_Mil","",_xlfn.IFNA(ROUND(INDEX(Spectrum!$N:$N,MATCH(RIGHT($B411,13)&amp;"|"&amp;$C411&amp;"|"&amp;$D411&amp;"|"&amp;AF$14&amp;"|"&amp;"CY2023Q3",Spectrum!$R:$R,0)),0),""))</f>
        <v/>
      </c>
      <c r="AG411" s="88" t="str">
        <f aca="false">IF(OR(LEFT($B411,4)="_Mil",SUM($AD411)=0),"",SUM($AF411)/$AD411)</f>
        <v/>
      </c>
      <c r="AH411" s="86" t="str">
        <f aca="false">IF(LEFT($B411,4)="_Mil","",_xlfn.IFNA(INDEX(Spectrum!$N:$N,MATCH(RIGHT($B411,13)&amp;"|"&amp;$C411&amp;"|"&amp;$D411&amp;"|"&amp;AH$14&amp;"|"&amp;"CY2023Q3",Spectrum!$R:$R,0)),""))</f>
        <v/>
      </c>
      <c r="AI411" s="10" t="str">
        <f aca="false">IF(LEFT($B411,4)="_Mil","",_xlfn.IFNA(ROUND(INDEX(Spectrum!$N:$N,MATCH(RIGHT($B411,13)&amp;"|"&amp;$C411&amp;"|"&amp;$D411&amp;"|"&amp;AI$14&amp;"|"&amp;"CY2023Q3",Spectrum!$R:$R,0)),0),""))</f>
        <v/>
      </c>
      <c r="AJ411" s="39" t="n">
        <f aca="false">IF(LEFT($B411,4)="_Mil","",_xlfn.IFNA(ROUND(INDEX(Spectrum!$N:$N,MATCH(RIGHT($B411,13)&amp;"|"&amp;$C411&amp;"|"&amp;$D411&amp;"|"&amp;AI$14&amp;"|"&amp;"CY2023Q3",Spectrum!$R:$R,0)),0),SUM($U411)+SUM($AI411)))</f>
        <v>0</v>
      </c>
      <c r="AK411" s="10" t="str">
        <f aca="false">IF(LEFT($B411,4)="_Mil","",_xlfn.IFNA(ROUND(INDEX(Spectrum!$N:$N,MATCH(RIGHT($B411,13)&amp;"|"&amp;$C411&amp;"|"&amp;$D411&amp;"|"&amp;AK$14&amp;"|"&amp;"CY2023Q3",Spectrum!$R:$R,0)),0),""))</f>
        <v/>
      </c>
      <c r="AL411" s="88" t="n">
        <f aca="false">IF(OR(LEFT($B411,4)="_Mil",$C411="&lt;01"),"",MAX(SUM($AA411),90%))</f>
        <v>1522</v>
      </c>
      <c r="AM411" s="10" t="n">
        <f aca="false">IF(OR(LEFT($B411,4)="_Mil",$C411="&lt;01"),"",ROUND(SUM($AJ411)*SUM($AL411),0))</f>
        <v>0</v>
      </c>
      <c r="AN411" s="10" t="str">
        <f aca="false">IF($C411="&lt;01",ROUND(INDEX(EID!$P:$P,MATCH($B411,EID!$B:$B,0))/2,0),"")</f>
        <v/>
      </c>
      <c r="AO411" s="10" t="n">
        <f aca="false">IF($C411="&lt;01",SUM($AN411),ROUND(SUM($AM411)*SUM($O411)/IF(SUM($Z411)=0,1,$Z411),0))</f>
        <v>0</v>
      </c>
      <c r="AP411" s="39" t="n">
        <f aca="false">IF(OR($F411="",$C411="&lt;01"),$AO411,$F411)</f>
        <v>0</v>
      </c>
      <c r="AQ411" s="39" t="n">
        <f aca="false">IF(LEFT($B411,4)="_Mil","",IF(SUM($AP411)=0,SUM($Z411),IF(OR(SUM($Z411)=0,SUM($O411)=0),MAX($AP411,$Z411),$AP411*$Z411/$O411)))</f>
        <v>1900</v>
      </c>
      <c r="AR411" s="88" t="str">
        <f aca="false">IF(OR(LEFT($B411,4)="_Mil",SUM($AJ411)=0),"",SUM($AQ411)/$AJ411)</f>
        <v/>
      </c>
      <c r="AS411" s="88" t="n">
        <f aca="false">IF($C411="&lt;01","",98%)</f>
        <v>0.98</v>
      </c>
      <c r="AT411" s="88" t="n">
        <f aca="false">IF($C411="&lt;01","",98%)</f>
        <v>0.98</v>
      </c>
      <c r="AU411" s="10" t="n">
        <f aca="false">IF($C411="&lt;01","",SUM($AP411)-SUM($O411))</f>
        <v>-24</v>
      </c>
      <c r="AV411" s="10" t="n">
        <f aca="false">IF($C411="&lt;01",ROUND(INDEX(EID!$N:$N,MATCH($B411,EID!$B:$B,0))/2,0),IF(SUM($AT411)=0,"",ROUND((SUM($AP411)-(SUM($O411)*SUM($AS411)))/$AT411,0)))</f>
        <v>-24</v>
      </c>
      <c r="AW411" s="88" t="n">
        <f aca="false">IF($C411="&lt;01","",100%)</f>
        <v>1</v>
      </c>
      <c r="AX411" s="39" t="n">
        <f aca="false">IF($C411="&lt;01",SUM($AV411),ROUND(SUM($AV411)*SUM($AW411),0))</f>
        <v>-24</v>
      </c>
      <c r="AY411" s="114" t="n">
        <f aca="false">IF($C411="&lt;01","",70%)</f>
        <v>0.7</v>
      </c>
      <c r="AZ411" s="91" t="n">
        <f aca="false">IF($C411="&lt;01",ROUND(INDEX(EID!$R:$R,MATCH($B411,EID!$B:$B,0))/2,0),ROUND(SUM($O411)+(SUM($AV411)*$AY411),0))</f>
        <v>7</v>
      </c>
      <c r="BA411" s="87" t="n">
        <f aca="false">IF($C411="&lt;01","",95%)</f>
        <v>0.95</v>
      </c>
      <c r="BB411" s="5" t="n">
        <f aca="false">IF($C411="&lt;01",ROUND(INDEX(EID!$T:$T,MATCH($B411,EID!$B:$B,0))/2,0),ROUND($AZ411*$BA411,0))</f>
        <v>7</v>
      </c>
      <c r="BC411" s="91" t="n">
        <f aca="false">IF(LEFT($B411,4)="_Mil","",IF(SUM($BB411)=0,SUM($AD411),IF(OR(SUM($AP411)=0,SUM($AQ411)=0),MAX($BB411,$AD411),ROUND($BB411*$AQ411/$AP411,0))))</f>
        <v>7</v>
      </c>
      <c r="BD411" s="88" t="n">
        <f aca="false">IF($C411="&lt;01","",95%)</f>
        <v>0.95</v>
      </c>
      <c r="BE411" s="39" t="n">
        <f aca="false">IF($C411="&lt;01",ROUND(INDEX(EID!$V:$V,MATCH($B411,EID!$B:$B,0))/2,0),ROUND($BD411*$BB411,0))</f>
        <v>7</v>
      </c>
      <c r="BF411" s="39" t="n">
        <f aca="false">IF(LEFT($B411,4)="_Mil","",IF(SUM($BE411)=0,SUM($AF411),IF(OR(SUM($AP411)=0,SUM($AQ411)=0),MAX($BE411,$AF411),ROUND($BE411*$AQ411/$AP411,0))))</f>
        <v>7</v>
      </c>
      <c r="BG411" s="114" t="n">
        <f aca="false">IF($C411="&lt;01","",95%)</f>
        <v>0.95</v>
      </c>
      <c r="BH411" s="5" t="n">
        <f aca="false">IF($C411="&lt;01",ROUND(INDEX(EID!$L:$L,MATCH($B411,EID!$B:$B,0)),0)/2,IF(SUM($BG411)=0,"",ROUND($AX411/$BG411,0)))</f>
        <v>-25</v>
      </c>
    </row>
    <row r="412" customFormat="false" ht="15" hidden="false" customHeight="false" outlineLevel="0" collapsed="false">
      <c r="A412" s="0" t="str">
        <f aca="false">INDEX(Prioritization!$D:$D,MATCH($B412,Prioritization!$A:$A,0))</f>
        <v>1 - Scale-up: Saturation</v>
      </c>
      <c r="B412" s="0" t="s">
        <v>222</v>
      </c>
      <c r="C412" s="0" t="s">
        <v>364</v>
      </c>
      <c r="D412" s="0" t="s">
        <v>48</v>
      </c>
      <c r="E412" s="0" t="str">
        <f aca="false">$B412&amp;"|"&amp;$C412&amp;"|"&amp;$D412</f>
        <v>Zomba District [fyEoGEPERdI]|10-14|Male</v>
      </c>
      <c r="F412" s="10"/>
      <c r="G412" s="10" t="n">
        <v>8</v>
      </c>
      <c r="H412" s="10" t="n">
        <v>2</v>
      </c>
      <c r="I412" s="10" t="n">
        <v>38</v>
      </c>
      <c r="J412" s="10" t="n">
        <v>62</v>
      </c>
      <c r="K412" s="10" t="n">
        <v>15</v>
      </c>
      <c r="L412" s="10" t="n">
        <v>3</v>
      </c>
      <c r="M412" s="10" t="n">
        <v>7</v>
      </c>
      <c r="N412" s="10" t="n">
        <v>50</v>
      </c>
      <c r="O412" s="10" t="n">
        <f aca="false">IFERROR(1/(1/MAX($I412,$N412)),"")</f>
        <v>50</v>
      </c>
      <c r="P412" s="10" t="n">
        <v>18</v>
      </c>
      <c r="Q412" s="10" t="n">
        <v>19</v>
      </c>
      <c r="R412" s="10" t="n">
        <f aca="false">IF(AND(SUM($I412)=0,SUM($O412)=0),"",SUM($O412)-$I412)</f>
        <v>12</v>
      </c>
      <c r="S412" s="10" t="n">
        <f aca="false">IF(LEFT($B412,4)="_Mil","",_xlfn.IFNA(ROUND(INDEX(Spectrum!$N:$N,MATCH(RIGHT($B412,13)&amp;"|"&amp;$C412&amp;"|"&amp;$D412&amp;"|"&amp;S$14&amp;"|"&amp;"CY2022Q4",Spectrum!$R:$R,0)),0),""))</f>
        <v>1660</v>
      </c>
      <c r="T412" s="39" t="n">
        <f aca="false">IF(LEFT($B412,4)="_Mil","",_xlfn.IFNA(ROUND(INDEX(Spectrum!$N:$N,MATCH(RIGHT($B412,13)&amp;"|"&amp;$C412&amp;"|"&amp;$D412&amp;"|"&amp;T$14&amp;"|"&amp;"CY2023Q3",Spectrum!$R:$R,0)),0),""))</f>
        <v>1327</v>
      </c>
      <c r="U412" s="39" t="str">
        <f aca="false">IF(LEFT($B412,4)="_Mil","",_xlfn.IFNA(ROUND(INDEX(Spectrum!$N:$N,MATCH(RIGHT($B412,13)&amp;"|"&amp;$C412&amp;"|"&amp;$D412&amp;"|"&amp;U$14&amp;"|"&amp;"CY2023Q3",Spectrum!$R:$R,0)),0),""))</f>
        <v/>
      </c>
      <c r="V412" s="10" t="n">
        <f aca="false">IF(LEFT($B412,4)="_Mil","",_xlfn.IFNA(ROUND(INDEX(Spectrum!$N:$N,MATCH(RIGHT($B412,13)&amp;"|"&amp;$C412&amp;"|"&amp;$D412&amp;"|"&amp;V$14&amp;"|"&amp;"CY2023Q3",Spectrum!$R:$R,0)),0),""))</f>
        <v>1695</v>
      </c>
      <c r="W412" s="113" t="n">
        <f aca="false">IF(LEFT($B412,4)="_Mil","",_xlfn.IFNA(INDEX(Spectrum!$N:$N,MATCH(RIGHT($B412,13)&amp;"|"&amp;$C412&amp;"|"&amp;$D412&amp;"|"&amp;W$14&amp;"|"&amp;"CY2023Q3",Spectrum!$R:$R,0)),""))</f>
        <v>509</v>
      </c>
      <c r="X412" s="39" t="n">
        <f aca="false">IF(LEFT($B412,4)="_Mil","",_xlfn.IFNA(ROUND(INDEX(Spectrum!$N:$N,MATCH(RIGHT($B412,13)&amp;"|"&amp;$C412&amp;"|"&amp;$D412&amp;"|"&amp;X$14&amp;"|"&amp;"CY2023Q3",Spectrum!$R:$R,0)),0),""))</f>
        <v>1107</v>
      </c>
      <c r="Y412" s="88" t="str">
        <f aca="false">IF(OR(SUM($U412)=0,LEFT($B412,4)="_Mil"),"",SUM($X412)/$U412)</f>
        <v/>
      </c>
      <c r="Z412" s="39" t="n">
        <f aca="false">IF(LEFT($B412,4)="_Mil","",_xlfn.IFNA(ROUND(INDEX(Spectrum!$N:$N,MATCH(RIGHT($B412,13)&amp;"|"&amp;$C412&amp;"|"&amp;$D412&amp;"|"&amp;Z$14&amp;"|"&amp;"CY2023Q3",Spectrum!$R:$R,0)),0),""))</f>
        <v>982</v>
      </c>
      <c r="AA412" s="88" t="n">
        <f aca="false">IF(LEFT($B412,4)="_Mil","",IFERROR(1/(1/INDEX(Spectrum!$N:$N,MATCH(RIGHT($B412,13)&amp;"|"&amp;$C412&amp;"|"&amp;$D412&amp;"|"&amp;AA$14&amp;"|"&amp;"CY2023Q3",Spectrum!$R:$R,0))),IF(SUM($U412)=0,"",SUM($Z412)/$U412)))</f>
        <v>1355</v>
      </c>
      <c r="AB412" s="88" t="n">
        <f aca="false">IF(OR(LEFT($B412,4)="_Mil",SUM($X412)=0),"",SUM($Z412)/$X412)</f>
        <v>0.887082204155375</v>
      </c>
      <c r="AC412" s="10" t="n">
        <f aca="false">IF(LEFT($B412,4)="_Mil","",_xlfn.IFNA(ROUND(INDEX(Spectrum!$N:$N,MATCH(RIGHT($B412,13)&amp;"|"&amp;$C412&amp;"|"&amp;$D412&amp;"|"&amp;AC$14&amp;"|"&amp;"CY2023Q3",Spectrum!$R:$R,0)),0),""))</f>
        <v>1218</v>
      </c>
      <c r="AD412" s="10" t="str">
        <f aca="false">IF(LEFT($B412,4)="_Mil","",_xlfn.IFNA(ROUND(INDEX(Spectrum!$N:$N,MATCH(RIGHT($B412,13)&amp;"|"&amp;$C412&amp;"|"&amp;$D412&amp;"|"&amp;AD$14&amp;"|"&amp;"CY2023Q3",Spectrum!$R:$R,0)),0),""))</f>
        <v/>
      </c>
      <c r="AE412" s="88" t="n">
        <f aca="false">IF(OR(LEFT($B412,4)="_Mil",SUM($Z412)=0),"",SUM($AD412)/$Z412)</f>
        <v>0</v>
      </c>
      <c r="AF412" s="39" t="str">
        <f aca="false">IF(LEFT($B412,4)="_Mil","",_xlfn.IFNA(ROUND(INDEX(Spectrum!$N:$N,MATCH(RIGHT($B412,13)&amp;"|"&amp;$C412&amp;"|"&amp;$D412&amp;"|"&amp;AF$14&amp;"|"&amp;"CY2023Q3",Spectrum!$R:$R,0)),0),""))</f>
        <v/>
      </c>
      <c r="AG412" s="88" t="str">
        <f aca="false">IF(OR(LEFT($B412,4)="_Mil",SUM($AD412)=0),"",SUM($AF412)/$AD412)</f>
        <v/>
      </c>
      <c r="AH412" s="86" t="str">
        <f aca="false">IF(LEFT($B412,4)="_Mil","",_xlfn.IFNA(INDEX(Spectrum!$N:$N,MATCH(RIGHT($B412,13)&amp;"|"&amp;$C412&amp;"|"&amp;$D412&amp;"|"&amp;AH$14&amp;"|"&amp;"CY2023Q3",Spectrum!$R:$R,0)),""))</f>
        <v/>
      </c>
      <c r="AI412" s="10" t="str">
        <f aca="false">IF(LEFT($B412,4)="_Mil","",_xlfn.IFNA(ROUND(INDEX(Spectrum!$N:$N,MATCH(RIGHT($B412,13)&amp;"|"&amp;$C412&amp;"|"&amp;$D412&amp;"|"&amp;AI$14&amp;"|"&amp;"CY2023Q3",Spectrum!$R:$R,0)),0),""))</f>
        <v/>
      </c>
      <c r="AJ412" s="39" t="n">
        <f aca="false">IF(LEFT($B412,4)="_Mil","",_xlfn.IFNA(ROUND(INDEX(Spectrum!$N:$N,MATCH(RIGHT($B412,13)&amp;"|"&amp;$C412&amp;"|"&amp;$D412&amp;"|"&amp;AI$14&amp;"|"&amp;"CY2023Q3",Spectrum!$R:$R,0)),0),SUM($U412)+SUM($AI412)))</f>
        <v>0</v>
      </c>
      <c r="AK412" s="10" t="str">
        <f aca="false">IF(LEFT($B412,4)="_Mil","",_xlfn.IFNA(ROUND(INDEX(Spectrum!$N:$N,MATCH(RIGHT($B412,13)&amp;"|"&amp;$C412&amp;"|"&amp;$D412&amp;"|"&amp;AK$14&amp;"|"&amp;"CY2023Q3",Spectrum!$R:$R,0)),0),""))</f>
        <v/>
      </c>
      <c r="AL412" s="88" t="n">
        <f aca="false">IF(OR(LEFT($B412,4)="_Mil",$C412="&lt;01"),"",MAX(SUM($AA412),90%))</f>
        <v>1355</v>
      </c>
      <c r="AM412" s="10" t="n">
        <f aca="false">IF(OR(LEFT($B412,4)="_Mil",$C412="&lt;01"),"",ROUND(SUM($AJ412)*SUM($AL412),0))</f>
        <v>0</v>
      </c>
      <c r="AN412" s="10" t="str">
        <f aca="false">IF($C412="&lt;01",ROUND(INDEX(EID!$P:$P,MATCH($B412,EID!$B:$B,0))/2,0),"")</f>
        <v/>
      </c>
      <c r="AO412" s="10" t="n">
        <f aca="false">IF($C412="&lt;01",SUM($AN412),ROUND(SUM($AM412)*SUM($O412)/IF(SUM($Z412)=0,1,$Z412),0))</f>
        <v>0</v>
      </c>
      <c r="AP412" s="39" t="n">
        <f aca="false">IF(OR($F412="",$C412="&lt;01"),$AO412,$F412)</f>
        <v>0</v>
      </c>
      <c r="AQ412" s="39" t="n">
        <f aca="false">IF(LEFT($B412,4)="_Mil","",IF(SUM($AP412)=0,SUM($Z412),IF(OR(SUM($Z412)=0,SUM($O412)=0),MAX($AP412,$Z412),$AP412*$Z412/$O412)))</f>
        <v>982</v>
      </c>
      <c r="AR412" s="88" t="str">
        <f aca="false">IF(OR(LEFT($B412,4)="_Mil",SUM($AJ412)=0),"",SUM($AQ412)/$AJ412)</f>
        <v/>
      </c>
      <c r="AS412" s="88" t="n">
        <f aca="false">IF($C412="&lt;01","",98%)</f>
        <v>0.98</v>
      </c>
      <c r="AT412" s="88" t="n">
        <f aca="false">IF($C412="&lt;01","",98%)</f>
        <v>0.98</v>
      </c>
      <c r="AU412" s="10" t="n">
        <f aca="false">IF($C412="&lt;01","",SUM($AP412)-SUM($O412))</f>
        <v>-50</v>
      </c>
      <c r="AV412" s="10" t="n">
        <f aca="false">IF($C412="&lt;01",ROUND(INDEX(EID!$N:$N,MATCH($B412,EID!$B:$B,0))/2,0),IF(SUM($AT412)=0,"",ROUND((SUM($AP412)-(SUM($O412)*SUM($AS412)))/$AT412,0)))</f>
        <v>-50</v>
      </c>
      <c r="AW412" s="88" t="n">
        <f aca="false">IF($C412="&lt;01","",100%)</f>
        <v>1</v>
      </c>
      <c r="AX412" s="39" t="n">
        <f aca="false">IF($C412="&lt;01",SUM($AV412),ROUND(SUM($AV412)*SUM($AW412),0))</f>
        <v>-50</v>
      </c>
      <c r="AY412" s="114" t="n">
        <f aca="false">IF($C412="&lt;01","",70%)</f>
        <v>0.7</v>
      </c>
      <c r="AZ412" s="91" t="n">
        <f aca="false">IF($C412="&lt;01",ROUND(INDEX(EID!$R:$R,MATCH($B412,EID!$B:$B,0))/2,0),ROUND(SUM($O412)+(SUM($AV412)*$AY412),0))</f>
        <v>15</v>
      </c>
      <c r="BA412" s="87" t="n">
        <f aca="false">IF($C412="&lt;01","",95%)</f>
        <v>0.95</v>
      </c>
      <c r="BB412" s="5" t="n">
        <f aca="false">IF($C412="&lt;01",ROUND(INDEX(EID!$T:$T,MATCH($B412,EID!$B:$B,0))/2,0),ROUND($AZ412*$BA412,0))</f>
        <v>14</v>
      </c>
      <c r="BC412" s="91" t="n">
        <f aca="false">IF(LEFT($B412,4)="_Mil","",IF(SUM($BB412)=0,SUM($AD412),IF(OR(SUM($AP412)=0,SUM($AQ412)=0),MAX($BB412,$AD412),ROUND($BB412*$AQ412/$AP412,0))))</f>
        <v>14</v>
      </c>
      <c r="BD412" s="88" t="n">
        <f aca="false">IF($C412="&lt;01","",95%)</f>
        <v>0.95</v>
      </c>
      <c r="BE412" s="39" t="n">
        <f aca="false">IF($C412="&lt;01",ROUND(INDEX(EID!$V:$V,MATCH($B412,EID!$B:$B,0))/2,0),ROUND($BD412*$BB412,0))</f>
        <v>13</v>
      </c>
      <c r="BF412" s="39" t="n">
        <f aca="false">IF(LEFT($B412,4)="_Mil","",IF(SUM($BE412)=0,SUM($AF412),IF(OR(SUM($AP412)=0,SUM($AQ412)=0),MAX($BE412,$AF412),ROUND($BE412*$AQ412/$AP412,0))))</f>
        <v>13</v>
      </c>
      <c r="BG412" s="114" t="n">
        <f aca="false">IF($C412="&lt;01","",95%)</f>
        <v>0.95</v>
      </c>
      <c r="BH412" s="5" t="n">
        <f aca="false">IF($C412="&lt;01",ROUND(INDEX(EID!$L:$L,MATCH($B412,EID!$B:$B,0)),0)/2,IF(SUM($BG412)=0,"",ROUND($AX412/$BG412,0)))</f>
        <v>-53</v>
      </c>
    </row>
    <row r="413" customFormat="false" ht="15" hidden="false" customHeight="false" outlineLevel="0" collapsed="false">
      <c r="A413" s="0" t="str">
        <f aca="false">INDEX(Prioritization!$D:$D,MATCH($B413,Prioritization!$A:$A,0))</f>
        <v>1 - Scale-up: Saturation</v>
      </c>
      <c r="B413" s="0" t="s">
        <v>222</v>
      </c>
      <c r="C413" s="0" t="s">
        <v>365</v>
      </c>
      <c r="D413" s="0" t="s">
        <v>30</v>
      </c>
      <c r="E413" s="0" t="str">
        <f aca="false">$B413&amp;"|"&amp;$C413&amp;"|"&amp;$D413</f>
        <v>Zomba District [fyEoGEPERdI]|15-24|Female</v>
      </c>
      <c r="F413" s="10"/>
      <c r="G413" s="10"/>
      <c r="H413" s="10"/>
      <c r="I413" s="10"/>
      <c r="J413" s="10"/>
      <c r="K413" s="10"/>
      <c r="L413" s="10"/>
      <c r="M413" s="10"/>
      <c r="N413" s="10"/>
      <c r="O413" s="10" t="str">
        <f aca="false">IFERROR(1/(1/MAX($I413,$N413)),"")</f>
        <v/>
      </c>
      <c r="P413" s="10"/>
      <c r="Q413" s="10"/>
      <c r="R413" s="10" t="str">
        <f aca="false">IF(AND(SUM($I413)=0,SUM($O413)=0),"",SUM($O413)-$I413)</f>
        <v/>
      </c>
      <c r="S413" s="10" t="n">
        <f aca="false">IF(LEFT($B413,4)="_Mil","",_xlfn.IFNA(ROUND(INDEX(Spectrum!$N:$N,MATCH(RIGHT($B413,13)&amp;"|"&amp;$C413&amp;"|"&amp;$D413&amp;"|"&amp;S$14&amp;"|"&amp;"CY2022Q4",Spectrum!$R:$R,0)),0),""))</f>
        <v>1098</v>
      </c>
      <c r="T413" s="39" t="n">
        <f aca="false">IF(LEFT($B413,4)="_Mil","",_xlfn.IFNA(ROUND(INDEX(Spectrum!$N:$N,MATCH(RIGHT($B413,13)&amp;"|"&amp;$C413&amp;"|"&amp;$D413&amp;"|"&amp;T$14&amp;"|"&amp;"CY2023Q3",Spectrum!$R:$R,0)),0),""))</f>
        <v>1475</v>
      </c>
      <c r="U413" s="39" t="str">
        <f aca="false">IF(LEFT($B413,4)="_Mil","",_xlfn.IFNA(ROUND(INDEX(Spectrum!$N:$N,MATCH(RIGHT($B413,13)&amp;"|"&amp;$C413&amp;"|"&amp;$D413&amp;"|"&amp;U$14&amp;"|"&amp;"CY2023Q3",Spectrum!$R:$R,0)),0),""))</f>
        <v/>
      </c>
      <c r="V413" s="10" t="n">
        <f aca="false">IF(LEFT($B413,4)="_Mil","",_xlfn.IFNA(ROUND(INDEX(Spectrum!$N:$N,MATCH(RIGHT($B413,13)&amp;"|"&amp;$C413&amp;"|"&amp;$D413&amp;"|"&amp;V$14&amp;"|"&amp;"CY2023Q3",Spectrum!$R:$R,0)),0),""))</f>
        <v>1251</v>
      </c>
      <c r="W413" s="113" t="n">
        <f aca="false">IF(LEFT($B413,4)="_Mil","",_xlfn.IFNA(INDEX(Spectrum!$N:$N,MATCH(RIGHT($B413,13)&amp;"|"&amp;$C413&amp;"|"&amp;$D413&amp;"|"&amp;W$14&amp;"|"&amp;"CY2023Q3",Spectrum!$R:$R,0)),""))</f>
        <v>845</v>
      </c>
      <c r="X413" s="39" t="n">
        <f aca="false">IF(LEFT($B413,4)="_Mil","",_xlfn.IFNA(ROUND(INDEX(Spectrum!$N:$N,MATCH(RIGHT($B413,13)&amp;"|"&amp;$C413&amp;"|"&amp;$D413&amp;"|"&amp;X$14&amp;"|"&amp;"CY2023Q3",Spectrum!$R:$R,0)),0),""))</f>
        <v>1762</v>
      </c>
      <c r="Y413" s="88" t="str">
        <f aca="false">IF(OR(SUM($U413)=0,LEFT($B413,4)="_Mil"),"",SUM($X413)/$U413)</f>
        <v/>
      </c>
      <c r="Z413" s="39" t="n">
        <f aca="false">IF(LEFT($B413,4)="_Mil","",_xlfn.IFNA(ROUND(INDEX(Spectrum!$N:$N,MATCH(RIGHT($B413,13)&amp;"|"&amp;$C413&amp;"|"&amp;$D413&amp;"|"&amp;Z$14&amp;"|"&amp;"CY2023Q3",Spectrum!$R:$R,0)),0),""))</f>
        <v>1673</v>
      </c>
      <c r="AA413" s="88" t="n">
        <f aca="false">IF(LEFT($B413,4)="_Mil","",IFERROR(1/(1/INDEX(Spectrum!$N:$N,MATCH(RIGHT($B413,13)&amp;"|"&amp;$C413&amp;"|"&amp;$D413&amp;"|"&amp;AA$14&amp;"|"&amp;"CY2023Q3",Spectrum!$R:$R,0))),IF(SUM($U413)=0,"",SUM($Z413)/$U413)))</f>
        <v>654</v>
      </c>
      <c r="AB413" s="88" t="n">
        <f aca="false">IF(OR(LEFT($B413,4)="_Mil",SUM($X413)=0),"",SUM($Z413)/$X413)</f>
        <v>0.949489216799092</v>
      </c>
      <c r="AC413" s="10" t="n">
        <f aca="false">IF(LEFT($B413,4)="_Mil","",_xlfn.IFNA(ROUND(INDEX(Spectrum!$N:$N,MATCH(RIGHT($B413,13)&amp;"|"&amp;$C413&amp;"|"&amp;$D413&amp;"|"&amp;AC$14&amp;"|"&amp;"CY2023Q3",Spectrum!$R:$R,0)),0),""))</f>
        <v>1199</v>
      </c>
      <c r="AD413" s="10" t="str">
        <f aca="false">IF(LEFT($B413,4)="_Mil","",_xlfn.IFNA(ROUND(INDEX(Spectrum!$N:$N,MATCH(RIGHT($B413,13)&amp;"|"&amp;$C413&amp;"|"&amp;$D413&amp;"|"&amp;AD$14&amp;"|"&amp;"CY2023Q3",Spectrum!$R:$R,0)),0),""))</f>
        <v/>
      </c>
      <c r="AE413" s="88" t="n">
        <f aca="false">IF(OR(LEFT($B413,4)="_Mil",SUM($Z413)=0),"",SUM($AD413)/$Z413)</f>
        <v>0</v>
      </c>
      <c r="AF413" s="39" t="str">
        <f aca="false">IF(LEFT($B413,4)="_Mil","",_xlfn.IFNA(ROUND(INDEX(Spectrum!$N:$N,MATCH(RIGHT($B413,13)&amp;"|"&amp;$C413&amp;"|"&amp;$D413&amp;"|"&amp;AF$14&amp;"|"&amp;"CY2023Q3",Spectrum!$R:$R,0)),0),""))</f>
        <v/>
      </c>
      <c r="AG413" s="88" t="str">
        <f aca="false">IF(OR(LEFT($B413,4)="_Mil",SUM($AD413)=0),"",SUM($AF413)/$AD413)</f>
        <v/>
      </c>
      <c r="AH413" s="86" t="str">
        <f aca="false">IF(LEFT($B413,4)="_Mil","",_xlfn.IFNA(INDEX(Spectrum!$N:$N,MATCH(RIGHT($B413,13)&amp;"|"&amp;$C413&amp;"|"&amp;$D413&amp;"|"&amp;AH$14&amp;"|"&amp;"CY2023Q3",Spectrum!$R:$R,0)),""))</f>
        <v/>
      </c>
      <c r="AI413" s="10" t="str">
        <f aca="false">IF(LEFT($B413,4)="_Mil","",_xlfn.IFNA(ROUND(INDEX(Spectrum!$N:$N,MATCH(RIGHT($B413,13)&amp;"|"&amp;$C413&amp;"|"&amp;$D413&amp;"|"&amp;AI$14&amp;"|"&amp;"CY2023Q3",Spectrum!$R:$R,0)),0),""))</f>
        <v/>
      </c>
      <c r="AJ413" s="39" t="n">
        <f aca="false">IF(LEFT($B413,4)="_Mil","",_xlfn.IFNA(ROUND(INDEX(Spectrum!$N:$N,MATCH(RIGHT($B413,13)&amp;"|"&amp;$C413&amp;"|"&amp;$D413&amp;"|"&amp;AI$14&amp;"|"&amp;"CY2023Q3",Spectrum!$R:$R,0)),0),SUM($U413)+SUM($AI413)))</f>
        <v>0</v>
      </c>
      <c r="AK413" s="10" t="str">
        <f aca="false">IF(LEFT($B413,4)="_Mil","",_xlfn.IFNA(ROUND(INDEX(Spectrum!$N:$N,MATCH(RIGHT($B413,13)&amp;"|"&amp;$C413&amp;"|"&amp;$D413&amp;"|"&amp;AK$14&amp;"|"&amp;"CY2023Q3",Spectrum!$R:$R,0)),0),""))</f>
        <v/>
      </c>
      <c r="AL413" s="88" t="n">
        <f aca="false">IF(OR(LEFT($B413,4)="_Mil",$C413="&lt;01"),"",MAX(SUM($AA413),90%))</f>
        <v>654</v>
      </c>
      <c r="AM413" s="10" t="n">
        <f aca="false">IF(OR(LEFT($B413,4)="_Mil",$C413="&lt;01"),"",ROUND(SUM($AJ413)*SUM($AL413),0))</f>
        <v>0</v>
      </c>
      <c r="AN413" s="10" t="str">
        <f aca="false">IF($C413="&lt;01",ROUND(INDEX(EID!$P:$P,MATCH($B413,EID!$B:$B,0))/2,0),"")</f>
        <v/>
      </c>
      <c r="AO413" s="10" t="n">
        <f aca="false">IF($C413="&lt;01",SUM($AN413),ROUND(SUM($AM413)*SUM($O413)/IF(SUM($Z413)=0,1,$Z413),0))</f>
        <v>0</v>
      </c>
      <c r="AP413" s="39" t="n">
        <f aca="false">IF(OR($F413="",$C413="&lt;01"),$AO413,$F413)</f>
        <v>0</v>
      </c>
      <c r="AQ413" s="39" t="n">
        <f aca="false">IF(LEFT($B413,4)="_Mil","",IF(SUM($AP413)=0,SUM($Z413),IF(OR(SUM($Z413)=0,SUM($O413)=0),MAX($AP413,$Z413),$AP413*$Z413/$O413)))</f>
        <v>1673</v>
      </c>
      <c r="AR413" s="88" t="str">
        <f aca="false">IF(OR(LEFT($B413,4)="_Mil",SUM($AJ413)=0),"",SUM($AQ413)/$AJ413)</f>
        <v/>
      </c>
      <c r="AS413" s="88" t="n">
        <f aca="false">IF($C413="&lt;01","",98%)</f>
        <v>0.98</v>
      </c>
      <c r="AT413" s="88" t="n">
        <f aca="false">IF($C413="&lt;01","",98%)</f>
        <v>0.98</v>
      </c>
      <c r="AU413" s="10" t="n">
        <f aca="false">IF($C413="&lt;01","",SUM($AP413)-SUM($O413))</f>
        <v>0</v>
      </c>
      <c r="AV413" s="10" t="n">
        <f aca="false">IF($C413="&lt;01",ROUND(INDEX(EID!$N:$N,MATCH($B413,EID!$B:$B,0))/2,0),IF(SUM($AT413)=0,"",ROUND((SUM($AP413)-(SUM($O413)*SUM($AS413)))/$AT413,0)))</f>
        <v>0</v>
      </c>
      <c r="AW413" s="88" t="n">
        <f aca="false">IF($C413="&lt;01","",100%)</f>
        <v>1</v>
      </c>
      <c r="AX413" s="39" t="n">
        <f aca="false">IF($C413="&lt;01",SUM($AV413),ROUND(SUM($AV413)*SUM($AW413),0))</f>
        <v>0</v>
      </c>
      <c r="AY413" s="114" t="n">
        <f aca="false">IF($C413="&lt;01","",70%)</f>
        <v>0.7</v>
      </c>
      <c r="AZ413" s="91" t="n">
        <f aca="false">IF($C413="&lt;01",ROUND(INDEX(EID!$R:$R,MATCH($B413,EID!$B:$B,0))/2,0),ROUND(SUM($O413)+(SUM($AV413)*$AY413),0))</f>
        <v>0</v>
      </c>
      <c r="BA413" s="87" t="n">
        <f aca="false">IF($C413="&lt;01","",95%)</f>
        <v>0.95</v>
      </c>
      <c r="BB413" s="5" t="n">
        <f aca="false">IF($C413="&lt;01",ROUND(INDEX(EID!$T:$T,MATCH($B413,EID!$B:$B,0))/2,0),ROUND($AZ413*$BA413,0))</f>
        <v>0</v>
      </c>
      <c r="BC413" s="91" t="n">
        <f aca="false">IF(LEFT($B413,4)="_Mil","",IF(SUM($BB413)=0,SUM($AD413),IF(OR(SUM($AP413)=0,SUM($AQ413)=0),MAX($BB413,$AD413),ROUND($BB413*$AQ413/$AP413,0))))</f>
        <v>0</v>
      </c>
      <c r="BD413" s="88" t="n">
        <f aca="false">IF($C413="&lt;01","",95%)</f>
        <v>0.95</v>
      </c>
      <c r="BE413" s="39" t="n">
        <f aca="false">IF($C413="&lt;01",ROUND(INDEX(EID!$V:$V,MATCH($B413,EID!$B:$B,0))/2,0),ROUND($BD413*$BB413,0))</f>
        <v>0</v>
      </c>
      <c r="BF413" s="39" t="n">
        <f aca="false">IF(LEFT($B413,4)="_Mil","",IF(SUM($BE413)=0,SUM($AF413),IF(OR(SUM($AP413)=0,SUM($AQ413)=0),MAX($BE413,$AF413),ROUND($BE413*$AQ413/$AP413,0))))</f>
        <v>0</v>
      </c>
      <c r="BG413" s="114" t="n">
        <f aca="false">IF($C413="&lt;01","",95%)</f>
        <v>0.95</v>
      </c>
      <c r="BH413" s="5" t="n">
        <f aca="false">IF($C413="&lt;01",ROUND(INDEX(EID!$L:$L,MATCH($B413,EID!$B:$B,0)),0)/2,IF(SUM($BG413)=0,"",ROUND($AX413/$BG413,0)))</f>
        <v>0</v>
      </c>
    </row>
    <row r="414" customFormat="false" ht="15" hidden="false" customHeight="false" outlineLevel="0" collapsed="false">
      <c r="A414" s="0" t="str">
        <f aca="false">INDEX(Prioritization!$D:$D,MATCH($B414,Prioritization!$A:$A,0))</f>
        <v>1 - Scale-up: Saturation</v>
      </c>
      <c r="B414" s="0" t="s">
        <v>222</v>
      </c>
      <c r="C414" s="0" t="s">
        <v>365</v>
      </c>
      <c r="D414" s="0" t="s">
        <v>48</v>
      </c>
      <c r="E414" s="0" t="str">
        <f aca="false">$B414&amp;"|"&amp;$C414&amp;"|"&amp;$D414</f>
        <v>Zomba District [fyEoGEPERdI]|15-24|Male</v>
      </c>
      <c r="F414" s="10"/>
      <c r="G414" s="10"/>
      <c r="H414" s="10"/>
      <c r="I414" s="10"/>
      <c r="J414" s="10"/>
      <c r="K414" s="10"/>
      <c r="L414" s="10"/>
      <c r="M414" s="10"/>
      <c r="N414" s="10"/>
      <c r="O414" s="10" t="str">
        <f aca="false">IFERROR(1/(1/MAX($I414,$N414)),"")</f>
        <v/>
      </c>
      <c r="P414" s="10"/>
      <c r="Q414" s="10"/>
      <c r="R414" s="10" t="str">
        <f aca="false">IF(AND(SUM($I414)=0,SUM($O414)=0),"",SUM($O414)-$I414)</f>
        <v/>
      </c>
      <c r="S414" s="10" t="n">
        <f aca="false">IF(LEFT($B414,4)="_Mil","",_xlfn.IFNA(ROUND(INDEX(Spectrum!$N:$N,MATCH(RIGHT($B414,13)&amp;"|"&amp;$C414&amp;"|"&amp;$D414&amp;"|"&amp;S$14&amp;"|"&amp;"CY2022Q4",Spectrum!$R:$R,0)),0),""))</f>
        <v>1194</v>
      </c>
      <c r="T414" s="39" t="n">
        <f aca="false">IF(LEFT($B414,4)="_Mil","",_xlfn.IFNA(ROUND(INDEX(Spectrum!$N:$N,MATCH(RIGHT($B414,13)&amp;"|"&amp;$C414&amp;"|"&amp;$D414&amp;"|"&amp;T$14&amp;"|"&amp;"CY2023Q3",Spectrum!$R:$R,0)),0),""))</f>
        <v>1345</v>
      </c>
      <c r="U414" s="39" t="str">
        <f aca="false">IF(LEFT($B414,4)="_Mil","",_xlfn.IFNA(ROUND(INDEX(Spectrum!$N:$N,MATCH(RIGHT($B414,13)&amp;"|"&amp;$C414&amp;"|"&amp;$D414&amp;"|"&amp;U$14&amp;"|"&amp;"CY2023Q3",Spectrum!$R:$R,0)),0),""))</f>
        <v/>
      </c>
      <c r="V414" s="10" t="n">
        <f aca="false">IF(LEFT($B414,4)="_Mil","",_xlfn.IFNA(ROUND(INDEX(Spectrum!$N:$N,MATCH(RIGHT($B414,13)&amp;"|"&amp;$C414&amp;"|"&amp;$D414&amp;"|"&amp;V$14&amp;"|"&amp;"CY2023Q3",Spectrum!$R:$R,0)),0),""))</f>
        <v>1618</v>
      </c>
      <c r="W414" s="113" t="n">
        <f aca="false">IF(LEFT($B414,4)="_Mil","",_xlfn.IFNA(INDEX(Spectrum!$N:$N,MATCH(RIGHT($B414,13)&amp;"|"&amp;$C414&amp;"|"&amp;$D414&amp;"|"&amp;W$14&amp;"|"&amp;"CY2023Q3",Spectrum!$R:$R,0)),""))</f>
        <v>892</v>
      </c>
      <c r="X414" s="39" t="n">
        <f aca="false">IF(LEFT($B414,4)="_Mil","",_xlfn.IFNA(ROUND(INDEX(Spectrum!$N:$N,MATCH(RIGHT($B414,13)&amp;"|"&amp;$C414&amp;"|"&amp;$D414&amp;"|"&amp;X$14&amp;"|"&amp;"CY2023Q3",Spectrum!$R:$R,0)),0),""))</f>
        <v>710</v>
      </c>
      <c r="Y414" s="88" t="str">
        <f aca="false">IF(OR(SUM($U414)=0,LEFT($B414,4)="_Mil"),"",SUM($X414)/$U414)</f>
        <v/>
      </c>
      <c r="Z414" s="39" t="n">
        <f aca="false">IF(LEFT($B414,4)="_Mil","",_xlfn.IFNA(ROUND(INDEX(Spectrum!$N:$N,MATCH(RIGHT($B414,13)&amp;"|"&amp;$C414&amp;"|"&amp;$D414&amp;"|"&amp;Z$14&amp;"|"&amp;"CY2023Q3",Spectrum!$R:$R,0)),0),""))</f>
        <v>505</v>
      </c>
      <c r="AA414" s="88" t="n">
        <f aca="false">IF(LEFT($B414,4)="_Mil","",IFERROR(1/(1/INDEX(Spectrum!$N:$N,MATCH(RIGHT($B414,13)&amp;"|"&amp;$C414&amp;"|"&amp;$D414&amp;"|"&amp;AA$14&amp;"|"&amp;"CY2023Q3",Spectrum!$R:$R,0))),IF(SUM($U414)=0,"",SUM($Z414)/$U414)))</f>
        <v>1449</v>
      </c>
      <c r="AB414" s="88" t="n">
        <f aca="false">IF(OR(LEFT($B414,4)="_Mil",SUM($X414)=0),"",SUM($Z414)/$X414)</f>
        <v>0.711267605633803</v>
      </c>
      <c r="AC414" s="10" t="n">
        <f aca="false">IF(LEFT($B414,4)="_Mil","",_xlfn.IFNA(ROUND(INDEX(Spectrum!$N:$N,MATCH(RIGHT($B414,13)&amp;"|"&amp;$C414&amp;"|"&amp;$D414&amp;"|"&amp;AC$14&amp;"|"&amp;"CY2023Q3",Spectrum!$R:$R,0)),0),""))</f>
        <v>633</v>
      </c>
      <c r="AD414" s="10" t="str">
        <f aca="false">IF(LEFT($B414,4)="_Mil","",_xlfn.IFNA(ROUND(INDEX(Spectrum!$N:$N,MATCH(RIGHT($B414,13)&amp;"|"&amp;$C414&amp;"|"&amp;$D414&amp;"|"&amp;AD$14&amp;"|"&amp;"CY2023Q3",Spectrum!$R:$R,0)),0),""))</f>
        <v/>
      </c>
      <c r="AE414" s="88" t="n">
        <f aca="false">IF(OR(LEFT($B414,4)="_Mil",SUM($Z414)=0),"",SUM($AD414)/$Z414)</f>
        <v>0</v>
      </c>
      <c r="AF414" s="39" t="str">
        <f aca="false">IF(LEFT($B414,4)="_Mil","",_xlfn.IFNA(ROUND(INDEX(Spectrum!$N:$N,MATCH(RIGHT($B414,13)&amp;"|"&amp;$C414&amp;"|"&amp;$D414&amp;"|"&amp;AF$14&amp;"|"&amp;"CY2023Q3",Spectrum!$R:$R,0)),0),""))</f>
        <v/>
      </c>
      <c r="AG414" s="88" t="str">
        <f aca="false">IF(OR(LEFT($B414,4)="_Mil",SUM($AD414)=0),"",SUM($AF414)/$AD414)</f>
        <v/>
      </c>
      <c r="AH414" s="86" t="str">
        <f aca="false">IF(LEFT($B414,4)="_Mil","",_xlfn.IFNA(INDEX(Spectrum!$N:$N,MATCH(RIGHT($B414,13)&amp;"|"&amp;$C414&amp;"|"&amp;$D414&amp;"|"&amp;AH$14&amp;"|"&amp;"CY2023Q3",Spectrum!$R:$R,0)),""))</f>
        <v/>
      </c>
      <c r="AI414" s="10" t="str">
        <f aca="false">IF(LEFT($B414,4)="_Mil","",_xlfn.IFNA(ROUND(INDEX(Spectrum!$N:$N,MATCH(RIGHT($B414,13)&amp;"|"&amp;$C414&amp;"|"&amp;$D414&amp;"|"&amp;AI$14&amp;"|"&amp;"CY2023Q3",Spectrum!$R:$R,0)),0),""))</f>
        <v/>
      </c>
      <c r="AJ414" s="39" t="n">
        <f aca="false">IF(LEFT($B414,4)="_Mil","",_xlfn.IFNA(ROUND(INDEX(Spectrum!$N:$N,MATCH(RIGHT($B414,13)&amp;"|"&amp;$C414&amp;"|"&amp;$D414&amp;"|"&amp;AI$14&amp;"|"&amp;"CY2023Q3",Spectrum!$R:$R,0)),0),SUM($U414)+SUM($AI414)))</f>
        <v>0</v>
      </c>
      <c r="AK414" s="10" t="str">
        <f aca="false">IF(LEFT($B414,4)="_Mil","",_xlfn.IFNA(ROUND(INDEX(Spectrum!$N:$N,MATCH(RIGHT($B414,13)&amp;"|"&amp;$C414&amp;"|"&amp;$D414&amp;"|"&amp;AK$14&amp;"|"&amp;"CY2023Q3",Spectrum!$R:$R,0)),0),""))</f>
        <v/>
      </c>
      <c r="AL414" s="88" t="n">
        <f aca="false">IF(OR(LEFT($B414,4)="_Mil",$C414="&lt;01"),"",MAX(SUM($AA414),90%))</f>
        <v>1449</v>
      </c>
      <c r="AM414" s="10" t="n">
        <f aca="false">IF(OR(LEFT($B414,4)="_Mil",$C414="&lt;01"),"",ROUND(SUM($AJ414)*SUM($AL414),0))</f>
        <v>0</v>
      </c>
      <c r="AN414" s="10" t="str">
        <f aca="false">IF($C414="&lt;01",ROUND(INDEX(EID!$P:$P,MATCH($B414,EID!$B:$B,0))/2,0),"")</f>
        <v/>
      </c>
      <c r="AO414" s="10" t="n">
        <f aca="false">IF($C414="&lt;01",SUM($AN414),ROUND(SUM($AM414)*SUM($O414)/IF(SUM($Z414)=0,1,$Z414),0))</f>
        <v>0</v>
      </c>
      <c r="AP414" s="39" t="n">
        <f aca="false">IF(OR($F414="",$C414="&lt;01"),$AO414,$F414)</f>
        <v>0</v>
      </c>
      <c r="AQ414" s="39" t="n">
        <f aca="false">IF(LEFT($B414,4)="_Mil","",IF(SUM($AP414)=0,SUM($Z414),IF(OR(SUM($Z414)=0,SUM($O414)=0),MAX($AP414,$Z414),$AP414*$Z414/$O414)))</f>
        <v>505</v>
      </c>
      <c r="AR414" s="88" t="str">
        <f aca="false">IF(OR(LEFT($B414,4)="_Mil",SUM($AJ414)=0),"",SUM($AQ414)/$AJ414)</f>
        <v/>
      </c>
      <c r="AS414" s="88" t="n">
        <f aca="false">IF($C414="&lt;01","",98%)</f>
        <v>0.98</v>
      </c>
      <c r="AT414" s="88" t="n">
        <f aca="false">IF($C414="&lt;01","",98%)</f>
        <v>0.98</v>
      </c>
      <c r="AU414" s="10" t="n">
        <f aca="false">IF($C414="&lt;01","",SUM($AP414)-SUM($O414))</f>
        <v>0</v>
      </c>
      <c r="AV414" s="10" t="n">
        <f aca="false">IF($C414="&lt;01",ROUND(INDEX(EID!$N:$N,MATCH($B414,EID!$B:$B,0))/2,0),IF(SUM($AT414)=0,"",ROUND((SUM($AP414)-(SUM($O414)*SUM($AS414)))/$AT414,0)))</f>
        <v>0</v>
      </c>
      <c r="AW414" s="88" t="n">
        <f aca="false">IF($C414="&lt;01","",100%)</f>
        <v>1</v>
      </c>
      <c r="AX414" s="39" t="n">
        <f aca="false">IF($C414="&lt;01",SUM($AV414),ROUND(SUM($AV414)*SUM($AW414),0))</f>
        <v>0</v>
      </c>
      <c r="AY414" s="114" t="n">
        <f aca="false">IF($C414="&lt;01","",70%)</f>
        <v>0.7</v>
      </c>
      <c r="AZ414" s="91" t="n">
        <f aca="false">IF($C414="&lt;01",ROUND(INDEX(EID!$R:$R,MATCH($B414,EID!$B:$B,0))/2,0),ROUND(SUM($O414)+(SUM($AV414)*$AY414),0))</f>
        <v>0</v>
      </c>
      <c r="BA414" s="87" t="n">
        <f aca="false">IF($C414="&lt;01","",95%)</f>
        <v>0.95</v>
      </c>
      <c r="BB414" s="5" t="n">
        <f aca="false">IF($C414="&lt;01",ROUND(INDEX(EID!$T:$T,MATCH($B414,EID!$B:$B,0))/2,0),ROUND($AZ414*$BA414,0))</f>
        <v>0</v>
      </c>
      <c r="BC414" s="91" t="n">
        <f aca="false">IF(LEFT($B414,4)="_Mil","",IF(SUM($BB414)=0,SUM($AD414),IF(OR(SUM($AP414)=0,SUM($AQ414)=0),MAX($BB414,$AD414),ROUND($BB414*$AQ414/$AP414,0))))</f>
        <v>0</v>
      </c>
      <c r="BD414" s="88" t="n">
        <f aca="false">IF($C414="&lt;01","",95%)</f>
        <v>0.95</v>
      </c>
      <c r="BE414" s="39" t="n">
        <f aca="false">IF($C414="&lt;01",ROUND(INDEX(EID!$V:$V,MATCH($B414,EID!$B:$B,0))/2,0),ROUND($BD414*$BB414,0))</f>
        <v>0</v>
      </c>
      <c r="BF414" s="39" t="n">
        <f aca="false">IF(LEFT($B414,4)="_Mil","",IF(SUM($BE414)=0,SUM($AF414),IF(OR(SUM($AP414)=0,SUM($AQ414)=0),MAX($BE414,$AF414),ROUND($BE414*$AQ414/$AP414,0))))</f>
        <v>0</v>
      </c>
      <c r="BG414" s="114" t="n">
        <f aca="false">IF($C414="&lt;01","",95%)</f>
        <v>0.95</v>
      </c>
      <c r="BH414" s="5" t="n">
        <f aca="false">IF($C414="&lt;01",ROUND(INDEX(EID!$L:$L,MATCH($B414,EID!$B:$B,0)),0)/2,IF(SUM($BG414)=0,"",ROUND($AX414/$BG414,0)))</f>
        <v>0</v>
      </c>
    </row>
    <row r="415" customFormat="false" ht="15" hidden="false" customHeight="false" outlineLevel="0" collapsed="false">
      <c r="A415" s="0" t="str">
        <f aca="false">INDEX(Prioritization!$D:$D,MATCH($B415,Prioritization!$A:$A,0))</f>
        <v>1 - Scale-up: Saturation</v>
      </c>
      <c r="B415" s="0" t="s">
        <v>222</v>
      </c>
      <c r="C415" s="0" t="s">
        <v>366</v>
      </c>
      <c r="D415" s="0" t="s">
        <v>30</v>
      </c>
      <c r="E415" s="0" t="str">
        <f aca="false">$B415&amp;"|"&amp;$C415&amp;"|"&amp;$D415</f>
        <v>Zomba District [fyEoGEPERdI]|25-34|Female</v>
      </c>
      <c r="F415" s="10"/>
      <c r="G415" s="10"/>
      <c r="H415" s="10"/>
      <c r="I415" s="10"/>
      <c r="J415" s="10"/>
      <c r="K415" s="10"/>
      <c r="L415" s="10"/>
      <c r="M415" s="10"/>
      <c r="N415" s="10"/>
      <c r="O415" s="10" t="str">
        <f aca="false">IFERROR(1/(1/MAX($I415,$N415)),"")</f>
        <v/>
      </c>
      <c r="P415" s="10"/>
      <c r="Q415" s="10"/>
      <c r="R415" s="10" t="str">
        <f aca="false">IF(AND(SUM($I415)=0,SUM($O415)=0),"",SUM($O415)-$I415)</f>
        <v/>
      </c>
      <c r="S415" s="10" t="n">
        <f aca="false">IF(LEFT($B415,4)="_Mil","",_xlfn.IFNA(ROUND(INDEX(Spectrum!$N:$N,MATCH(RIGHT($B415,13)&amp;"|"&amp;$C415&amp;"|"&amp;$D415&amp;"|"&amp;S$14&amp;"|"&amp;"CY2022Q4",Spectrum!$R:$R,0)),0),""))</f>
        <v>1564</v>
      </c>
      <c r="T415" s="39" t="n">
        <f aca="false">IF(LEFT($B415,4)="_Mil","",_xlfn.IFNA(ROUND(INDEX(Spectrum!$N:$N,MATCH(RIGHT($B415,13)&amp;"|"&amp;$C415&amp;"|"&amp;$D415&amp;"|"&amp;T$14&amp;"|"&amp;"CY2023Q3",Spectrum!$R:$R,0)),0),""))</f>
        <v>1113</v>
      </c>
      <c r="U415" s="39" t="str">
        <f aca="false">IF(LEFT($B415,4)="_Mil","",_xlfn.IFNA(ROUND(INDEX(Spectrum!$N:$N,MATCH(RIGHT($B415,13)&amp;"|"&amp;$C415&amp;"|"&amp;$D415&amp;"|"&amp;U$14&amp;"|"&amp;"CY2023Q3",Spectrum!$R:$R,0)),0),""))</f>
        <v/>
      </c>
      <c r="V415" s="10" t="n">
        <f aca="false">IF(LEFT($B415,4)="_Mil","",_xlfn.IFNA(ROUND(INDEX(Spectrum!$N:$N,MATCH(RIGHT($B415,13)&amp;"|"&amp;$C415&amp;"|"&amp;$D415&amp;"|"&amp;V$14&amp;"|"&amp;"CY2023Q3",Spectrum!$R:$R,0)),0),""))</f>
        <v>1294</v>
      </c>
      <c r="W415" s="113" t="n">
        <f aca="false">IF(LEFT($B415,4)="_Mil","",_xlfn.IFNA(INDEX(Spectrum!$N:$N,MATCH(RIGHT($B415,13)&amp;"|"&amp;$C415&amp;"|"&amp;$D415&amp;"|"&amp;W$14&amp;"|"&amp;"CY2023Q3",Spectrum!$R:$R,0)),""))</f>
        <v>707</v>
      </c>
      <c r="X415" s="39" t="n">
        <f aca="false">IF(LEFT($B415,4)="_Mil","",_xlfn.IFNA(ROUND(INDEX(Spectrum!$N:$N,MATCH(RIGHT($B415,13)&amp;"|"&amp;$C415&amp;"|"&amp;$D415&amp;"|"&amp;X$14&amp;"|"&amp;"CY2023Q3",Spectrum!$R:$R,0)),0),""))</f>
        <v>1144</v>
      </c>
      <c r="Y415" s="88" t="str">
        <f aca="false">IF(OR(SUM($U415)=0,LEFT($B415,4)="_Mil"),"",SUM($X415)/$U415)</f>
        <v/>
      </c>
      <c r="Z415" s="39" t="n">
        <f aca="false">IF(LEFT($B415,4)="_Mil","",_xlfn.IFNA(ROUND(INDEX(Spectrum!$N:$N,MATCH(RIGHT($B415,13)&amp;"|"&amp;$C415&amp;"|"&amp;$D415&amp;"|"&amp;Z$14&amp;"|"&amp;"CY2023Q3",Spectrum!$R:$R,0)),0),""))</f>
        <v>1176</v>
      </c>
      <c r="AA415" s="88" t="n">
        <f aca="false">IF(LEFT($B415,4)="_Mil","",IFERROR(1/(1/INDEX(Spectrum!$N:$N,MATCH(RIGHT($B415,13)&amp;"|"&amp;$C415&amp;"|"&amp;$D415&amp;"|"&amp;AA$14&amp;"|"&amp;"CY2023Q3",Spectrum!$R:$R,0))),IF(SUM($U415)=0,"",SUM($Z415)/$U415)))</f>
        <v>1525</v>
      </c>
      <c r="AB415" s="88" t="n">
        <f aca="false">IF(OR(LEFT($B415,4)="_Mil",SUM($X415)=0),"",SUM($Z415)/$X415)</f>
        <v>1.02797202797203</v>
      </c>
      <c r="AC415" s="10" t="n">
        <f aca="false">IF(LEFT($B415,4)="_Mil","",_xlfn.IFNA(ROUND(INDEX(Spectrum!$N:$N,MATCH(RIGHT($B415,13)&amp;"|"&amp;$C415&amp;"|"&amp;$D415&amp;"|"&amp;AC$14&amp;"|"&amp;"CY2023Q3",Spectrum!$R:$R,0)),0),""))</f>
        <v>1064</v>
      </c>
      <c r="AD415" s="10" t="str">
        <f aca="false">IF(LEFT($B415,4)="_Mil","",_xlfn.IFNA(ROUND(INDEX(Spectrum!$N:$N,MATCH(RIGHT($B415,13)&amp;"|"&amp;$C415&amp;"|"&amp;$D415&amp;"|"&amp;AD$14&amp;"|"&amp;"CY2023Q3",Spectrum!$R:$R,0)),0),""))</f>
        <v/>
      </c>
      <c r="AE415" s="88" t="n">
        <f aca="false">IF(OR(LEFT($B415,4)="_Mil",SUM($Z415)=0),"",SUM($AD415)/$Z415)</f>
        <v>0</v>
      </c>
      <c r="AF415" s="39" t="str">
        <f aca="false">IF(LEFT($B415,4)="_Mil","",_xlfn.IFNA(ROUND(INDEX(Spectrum!$N:$N,MATCH(RIGHT($B415,13)&amp;"|"&amp;$C415&amp;"|"&amp;$D415&amp;"|"&amp;AF$14&amp;"|"&amp;"CY2023Q3",Spectrum!$R:$R,0)),0),""))</f>
        <v/>
      </c>
      <c r="AG415" s="88" t="str">
        <f aca="false">IF(OR(LEFT($B415,4)="_Mil",SUM($AD415)=0),"",SUM($AF415)/$AD415)</f>
        <v/>
      </c>
      <c r="AH415" s="86" t="str">
        <f aca="false">IF(LEFT($B415,4)="_Mil","",_xlfn.IFNA(INDEX(Spectrum!$N:$N,MATCH(RIGHT($B415,13)&amp;"|"&amp;$C415&amp;"|"&amp;$D415&amp;"|"&amp;AH$14&amp;"|"&amp;"CY2023Q3",Spectrum!$R:$R,0)),""))</f>
        <v/>
      </c>
      <c r="AI415" s="10" t="str">
        <f aca="false">IF(LEFT($B415,4)="_Mil","",_xlfn.IFNA(ROUND(INDEX(Spectrum!$N:$N,MATCH(RIGHT($B415,13)&amp;"|"&amp;$C415&amp;"|"&amp;$D415&amp;"|"&amp;AI$14&amp;"|"&amp;"CY2023Q3",Spectrum!$R:$R,0)),0),""))</f>
        <v/>
      </c>
      <c r="AJ415" s="39" t="n">
        <f aca="false">IF(LEFT($B415,4)="_Mil","",_xlfn.IFNA(ROUND(INDEX(Spectrum!$N:$N,MATCH(RIGHT($B415,13)&amp;"|"&amp;$C415&amp;"|"&amp;$D415&amp;"|"&amp;AI$14&amp;"|"&amp;"CY2023Q3",Spectrum!$R:$R,0)),0),SUM($U415)+SUM($AI415)))</f>
        <v>0</v>
      </c>
      <c r="AK415" s="10" t="str">
        <f aca="false">IF(LEFT($B415,4)="_Mil","",_xlfn.IFNA(ROUND(INDEX(Spectrum!$N:$N,MATCH(RIGHT($B415,13)&amp;"|"&amp;$C415&amp;"|"&amp;$D415&amp;"|"&amp;AK$14&amp;"|"&amp;"CY2023Q3",Spectrum!$R:$R,0)),0),""))</f>
        <v/>
      </c>
      <c r="AL415" s="88" t="n">
        <f aca="false">IF(OR(LEFT($B415,4)="_Mil",$C415="&lt;01"),"",MAX(SUM($AA415),90%))</f>
        <v>1525</v>
      </c>
      <c r="AM415" s="10" t="n">
        <f aca="false">IF(OR(LEFT($B415,4)="_Mil",$C415="&lt;01"),"",ROUND(SUM($AJ415)*SUM($AL415),0))</f>
        <v>0</v>
      </c>
      <c r="AN415" s="10" t="str">
        <f aca="false">IF($C415="&lt;01",ROUND(INDEX(EID!$P:$P,MATCH($B415,EID!$B:$B,0))/2,0),"")</f>
        <v/>
      </c>
      <c r="AO415" s="10" t="n">
        <f aca="false">IF($C415="&lt;01",SUM($AN415),ROUND(SUM($AM415)*SUM($O415)/IF(SUM($Z415)=0,1,$Z415),0))</f>
        <v>0</v>
      </c>
      <c r="AP415" s="39" t="n">
        <f aca="false">IF(OR($F415="",$C415="&lt;01"),$AO415,$F415)</f>
        <v>0</v>
      </c>
      <c r="AQ415" s="39" t="n">
        <f aca="false">IF(LEFT($B415,4)="_Mil","",IF(SUM($AP415)=0,SUM($Z415),IF(OR(SUM($Z415)=0,SUM($O415)=0),MAX($AP415,$Z415),$AP415*$Z415/$O415)))</f>
        <v>1176</v>
      </c>
      <c r="AR415" s="88" t="str">
        <f aca="false">IF(OR(LEFT($B415,4)="_Mil",SUM($AJ415)=0),"",SUM($AQ415)/$AJ415)</f>
        <v/>
      </c>
      <c r="AS415" s="88" t="n">
        <f aca="false">IF($C415="&lt;01","",98%)</f>
        <v>0.98</v>
      </c>
      <c r="AT415" s="88" t="n">
        <f aca="false">IF($C415="&lt;01","",98%)</f>
        <v>0.98</v>
      </c>
      <c r="AU415" s="10" t="n">
        <f aca="false">IF($C415="&lt;01","",SUM($AP415)-SUM($O415))</f>
        <v>0</v>
      </c>
      <c r="AV415" s="10" t="n">
        <f aca="false">IF($C415="&lt;01",ROUND(INDEX(EID!$N:$N,MATCH($B415,EID!$B:$B,0))/2,0),IF(SUM($AT415)=0,"",ROUND((SUM($AP415)-(SUM($O415)*SUM($AS415)))/$AT415,0)))</f>
        <v>0</v>
      </c>
      <c r="AW415" s="88" t="n">
        <f aca="false">IF($C415="&lt;01","",100%)</f>
        <v>1</v>
      </c>
      <c r="AX415" s="39" t="n">
        <f aca="false">IF($C415="&lt;01",SUM($AV415),ROUND(SUM($AV415)*SUM($AW415),0))</f>
        <v>0</v>
      </c>
      <c r="AY415" s="114" t="n">
        <f aca="false">IF($C415="&lt;01","",70%)</f>
        <v>0.7</v>
      </c>
      <c r="AZ415" s="91" t="n">
        <f aca="false">IF($C415="&lt;01",ROUND(INDEX(EID!$R:$R,MATCH($B415,EID!$B:$B,0))/2,0),ROUND(SUM($O415)+(SUM($AV415)*$AY415),0))</f>
        <v>0</v>
      </c>
      <c r="BA415" s="87" t="n">
        <f aca="false">IF($C415="&lt;01","",95%)</f>
        <v>0.95</v>
      </c>
      <c r="BB415" s="5" t="n">
        <f aca="false">IF($C415="&lt;01",ROUND(INDEX(EID!$T:$T,MATCH($B415,EID!$B:$B,0))/2,0),ROUND($AZ415*$BA415,0))</f>
        <v>0</v>
      </c>
      <c r="BC415" s="91" t="n">
        <f aca="false">IF(LEFT($B415,4)="_Mil","",IF(SUM($BB415)=0,SUM($AD415),IF(OR(SUM($AP415)=0,SUM($AQ415)=0),MAX($BB415,$AD415),ROUND($BB415*$AQ415/$AP415,0))))</f>
        <v>0</v>
      </c>
      <c r="BD415" s="88" t="n">
        <f aca="false">IF($C415="&lt;01","",95%)</f>
        <v>0.95</v>
      </c>
      <c r="BE415" s="39" t="n">
        <f aca="false">IF($C415="&lt;01",ROUND(INDEX(EID!$V:$V,MATCH($B415,EID!$B:$B,0))/2,0),ROUND($BD415*$BB415,0))</f>
        <v>0</v>
      </c>
      <c r="BF415" s="39" t="n">
        <f aca="false">IF(LEFT($B415,4)="_Mil","",IF(SUM($BE415)=0,SUM($AF415),IF(OR(SUM($AP415)=0,SUM($AQ415)=0),MAX($BE415,$AF415),ROUND($BE415*$AQ415/$AP415,0))))</f>
        <v>0</v>
      </c>
      <c r="BG415" s="114" t="n">
        <f aca="false">IF($C415="&lt;01","",95%)</f>
        <v>0.95</v>
      </c>
      <c r="BH415" s="5" t="n">
        <f aca="false">IF($C415="&lt;01",ROUND(INDEX(EID!$L:$L,MATCH($B415,EID!$B:$B,0)),0)/2,IF(SUM($BG415)=0,"",ROUND($AX415/$BG415,0)))</f>
        <v>0</v>
      </c>
    </row>
    <row r="416" customFormat="false" ht="15" hidden="false" customHeight="false" outlineLevel="0" collapsed="false">
      <c r="A416" s="0" t="str">
        <f aca="false">INDEX(Prioritization!$D:$D,MATCH($B416,Prioritization!$A:$A,0))</f>
        <v>1 - Scale-up: Saturation</v>
      </c>
      <c r="B416" s="0" t="s">
        <v>222</v>
      </c>
      <c r="C416" s="0" t="s">
        <v>366</v>
      </c>
      <c r="D416" s="0" t="s">
        <v>48</v>
      </c>
      <c r="E416" s="0" t="str">
        <f aca="false">$B416&amp;"|"&amp;$C416&amp;"|"&amp;$D416</f>
        <v>Zomba District [fyEoGEPERdI]|25-34|Male</v>
      </c>
      <c r="F416" s="10"/>
      <c r="G416" s="10"/>
      <c r="H416" s="10"/>
      <c r="I416" s="10"/>
      <c r="J416" s="10"/>
      <c r="K416" s="10"/>
      <c r="L416" s="10"/>
      <c r="M416" s="10"/>
      <c r="N416" s="10"/>
      <c r="O416" s="10" t="str">
        <f aca="false">IFERROR(1/(1/MAX($I416,$N416)),"")</f>
        <v/>
      </c>
      <c r="P416" s="10"/>
      <c r="Q416" s="10"/>
      <c r="R416" s="10" t="str">
        <f aca="false">IF(AND(SUM($I416)=0,SUM($O416)=0),"",SUM($O416)-$I416)</f>
        <v/>
      </c>
      <c r="S416" s="10" t="n">
        <f aca="false">IF(LEFT($B416,4)="_Mil","",_xlfn.IFNA(ROUND(INDEX(Spectrum!$N:$N,MATCH(RIGHT($B416,13)&amp;"|"&amp;$C416&amp;"|"&amp;$D416&amp;"|"&amp;S$14&amp;"|"&amp;"CY2022Q4",Spectrum!$R:$R,0)),0),""))</f>
        <v>1513</v>
      </c>
      <c r="T416" s="39" t="n">
        <f aca="false">IF(LEFT($B416,4)="_Mil","",_xlfn.IFNA(ROUND(INDEX(Spectrum!$N:$N,MATCH(RIGHT($B416,13)&amp;"|"&amp;$C416&amp;"|"&amp;$D416&amp;"|"&amp;T$14&amp;"|"&amp;"CY2023Q3",Spectrum!$R:$R,0)),0),""))</f>
        <v>927</v>
      </c>
      <c r="U416" s="39" t="str">
        <f aca="false">IF(LEFT($B416,4)="_Mil","",_xlfn.IFNA(ROUND(INDEX(Spectrum!$N:$N,MATCH(RIGHT($B416,13)&amp;"|"&amp;$C416&amp;"|"&amp;$D416&amp;"|"&amp;U$14&amp;"|"&amp;"CY2023Q3",Spectrum!$R:$R,0)),0),""))</f>
        <v/>
      </c>
      <c r="V416" s="10" t="n">
        <f aca="false">IF(LEFT($B416,4)="_Mil","",_xlfn.IFNA(ROUND(INDEX(Spectrum!$N:$N,MATCH(RIGHT($B416,13)&amp;"|"&amp;$C416&amp;"|"&amp;$D416&amp;"|"&amp;V$14&amp;"|"&amp;"CY2023Q3",Spectrum!$R:$R,0)),0),""))</f>
        <v>1543</v>
      </c>
      <c r="W416" s="113" t="n">
        <f aca="false">IF(LEFT($B416,4)="_Mil","",_xlfn.IFNA(INDEX(Spectrum!$N:$N,MATCH(RIGHT($B416,13)&amp;"|"&amp;$C416&amp;"|"&amp;$D416&amp;"|"&amp;W$14&amp;"|"&amp;"CY2023Q3",Spectrum!$R:$R,0)),""))</f>
        <v>1505</v>
      </c>
      <c r="X416" s="39" t="n">
        <f aca="false">IF(LEFT($B416,4)="_Mil","",_xlfn.IFNA(ROUND(INDEX(Spectrum!$N:$N,MATCH(RIGHT($B416,13)&amp;"|"&amp;$C416&amp;"|"&amp;$D416&amp;"|"&amp;X$14&amp;"|"&amp;"CY2023Q3",Spectrum!$R:$R,0)),0),""))</f>
        <v>1100</v>
      </c>
      <c r="Y416" s="88" t="str">
        <f aca="false">IF(OR(SUM($U416)=0,LEFT($B416,4)="_Mil"),"",SUM($X416)/$U416)</f>
        <v/>
      </c>
      <c r="Z416" s="39" t="n">
        <f aca="false">IF(LEFT($B416,4)="_Mil","",_xlfn.IFNA(ROUND(INDEX(Spectrum!$N:$N,MATCH(RIGHT($B416,13)&amp;"|"&amp;$C416&amp;"|"&amp;$D416&amp;"|"&amp;Z$14&amp;"|"&amp;"CY2023Q3",Spectrum!$R:$R,0)),0),""))</f>
        <v>1554</v>
      </c>
      <c r="AA416" s="88" t="n">
        <f aca="false">IF(LEFT($B416,4)="_Mil","",IFERROR(1/(1/INDEX(Spectrum!$N:$N,MATCH(RIGHT($B416,13)&amp;"|"&amp;$C416&amp;"|"&amp;$D416&amp;"|"&amp;AA$14&amp;"|"&amp;"CY2023Q3",Spectrum!$R:$R,0))),IF(SUM($U416)=0,"",SUM($Z416)/$U416)))</f>
        <v>1332</v>
      </c>
      <c r="AB416" s="88" t="n">
        <f aca="false">IF(OR(LEFT($B416,4)="_Mil",SUM($X416)=0),"",SUM($Z416)/$X416)</f>
        <v>1.41272727272727</v>
      </c>
      <c r="AC416" s="10" t="n">
        <f aca="false">IF(LEFT($B416,4)="_Mil","",_xlfn.IFNA(ROUND(INDEX(Spectrum!$N:$N,MATCH(RIGHT($B416,13)&amp;"|"&amp;$C416&amp;"|"&amp;$D416&amp;"|"&amp;AC$14&amp;"|"&amp;"CY2023Q3",Spectrum!$R:$R,0)),0),""))</f>
        <v>918</v>
      </c>
      <c r="AD416" s="10" t="str">
        <f aca="false">IF(LEFT($B416,4)="_Mil","",_xlfn.IFNA(ROUND(INDEX(Spectrum!$N:$N,MATCH(RIGHT($B416,13)&amp;"|"&amp;$C416&amp;"|"&amp;$D416&amp;"|"&amp;AD$14&amp;"|"&amp;"CY2023Q3",Spectrum!$R:$R,0)),0),""))</f>
        <v/>
      </c>
      <c r="AE416" s="88" t="n">
        <f aca="false">IF(OR(LEFT($B416,4)="_Mil",SUM($Z416)=0),"",SUM($AD416)/$Z416)</f>
        <v>0</v>
      </c>
      <c r="AF416" s="39" t="str">
        <f aca="false">IF(LEFT($B416,4)="_Mil","",_xlfn.IFNA(ROUND(INDEX(Spectrum!$N:$N,MATCH(RIGHT($B416,13)&amp;"|"&amp;$C416&amp;"|"&amp;$D416&amp;"|"&amp;AF$14&amp;"|"&amp;"CY2023Q3",Spectrum!$R:$R,0)),0),""))</f>
        <v/>
      </c>
      <c r="AG416" s="88" t="str">
        <f aca="false">IF(OR(LEFT($B416,4)="_Mil",SUM($AD416)=0),"",SUM($AF416)/$AD416)</f>
        <v/>
      </c>
      <c r="AH416" s="86" t="str">
        <f aca="false">IF(LEFT($B416,4)="_Mil","",_xlfn.IFNA(INDEX(Spectrum!$N:$N,MATCH(RIGHT($B416,13)&amp;"|"&amp;$C416&amp;"|"&amp;$D416&amp;"|"&amp;AH$14&amp;"|"&amp;"CY2023Q3",Spectrum!$R:$R,0)),""))</f>
        <v/>
      </c>
      <c r="AI416" s="10" t="str">
        <f aca="false">IF(LEFT($B416,4)="_Mil","",_xlfn.IFNA(ROUND(INDEX(Spectrum!$N:$N,MATCH(RIGHT($B416,13)&amp;"|"&amp;$C416&amp;"|"&amp;$D416&amp;"|"&amp;AI$14&amp;"|"&amp;"CY2023Q3",Spectrum!$R:$R,0)),0),""))</f>
        <v/>
      </c>
      <c r="AJ416" s="39" t="n">
        <f aca="false">IF(LEFT($B416,4)="_Mil","",_xlfn.IFNA(ROUND(INDEX(Spectrum!$N:$N,MATCH(RIGHT($B416,13)&amp;"|"&amp;$C416&amp;"|"&amp;$D416&amp;"|"&amp;AI$14&amp;"|"&amp;"CY2023Q3",Spectrum!$R:$R,0)),0),SUM($U416)+SUM($AI416)))</f>
        <v>0</v>
      </c>
      <c r="AK416" s="10" t="str">
        <f aca="false">IF(LEFT($B416,4)="_Mil","",_xlfn.IFNA(ROUND(INDEX(Spectrum!$N:$N,MATCH(RIGHT($B416,13)&amp;"|"&amp;$C416&amp;"|"&amp;$D416&amp;"|"&amp;AK$14&amp;"|"&amp;"CY2023Q3",Spectrum!$R:$R,0)),0),""))</f>
        <v/>
      </c>
      <c r="AL416" s="88" t="n">
        <f aca="false">IF(OR(LEFT($B416,4)="_Mil",$C416="&lt;01"),"",MAX(SUM($AA416),90%))</f>
        <v>1332</v>
      </c>
      <c r="AM416" s="10" t="n">
        <f aca="false">IF(OR(LEFT($B416,4)="_Mil",$C416="&lt;01"),"",ROUND(SUM($AJ416)*SUM($AL416),0))</f>
        <v>0</v>
      </c>
      <c r="AN416" s="10" t="str">
        <f aca="false">IF($C416="&lt;01",ROUND(INDEX(EID!$P:$P,MATCH($B416,EID!$B:$B,0))/2,0),"")</f>
        <v/>
      </c>
      <c r="AO416" s="10" t="n">
        <f aca="false">IF($C416="&lt;01",SUM($AN416),ROUND(SUM($AM416)*SUM($O416)/IF(SUM($Z416)=0,1,$Z416),0))</f>
        <v>0</v>
      </c>
      <c r="AP416" s="39" t="n">
        <f aca="false">IF(OR($F416="",$C416="&lt;01"),$AO416,$F416)</f>
        <v>0</v>
      </c>
      <c r="AQ416" s="39" t="n">
        <f aca="false">IF(LEFT($B416,4)="_Mil","",IF(SUM($AP416)=0,SUM($Z416),IF(OR(SUM($Z416)=0,SUM($O416)=0),MAX($AP416,$Z416),$AP416*$Z416/$O416)))</f>
        <v>1554</v>
      </c>
      <c r="AR416" s="88" t="str">
        <f aca="false">IF(OR(LEFT($B416,4)="_Mil",SUM($AJ416)=0),"",SUM($AQ416)/$AJ416)</f>
        <v/>
      </c>
      <c r="AS416" s="88" t="n">
        <f aca="false">IF($C416="&lt;01","",98%)</f>
        <v>0.98</v>
      </c>
      <c r="AT416" s="88" t="n">
        <f aca="false">IF($C416="&lt;01","",98%)</f>
        <v>0.98</v>
      </c>
      <c r="AU416" s="10" t="n">
        <f aca="false">IF($C416="&lt;01","",SUM($AP416)-SUM($O416))</f>
        <v>0</v>
      </c>
      <c r="AV416" s="10" t="n">
        <f aca="false">IF($C416="&lt;01",ROUND(INDEX(EID!$N:$N,MATCH($B416,EID!$B:$B,0))/2,0),IF(SUM($AT416)=0,"",ROUND((SUM($AP416)-(SUM($O416)*SUM($AS416)))/$AT416,0)))</f>
        <v>0</v>
      </c>
      <c r="AW416" s="88" t="n">
        <f aca="false">IF($C416="&lt;01","",100%)</f>
        <v>1</v>
      </c>
      <c r="AX416" s="39" t="n">
        <f aca="false">IF($C416="&lt;01",SUM($AV416),ROUND(SUM($AV416)*SUM($AW416),0))</f>
        <v>0</v>
      </c>
      <c r="AY416" s="114" t="n">
        <f aca="false">IF($C416="&lt;01","",70%)</f>
        <v>0.7</v>
      </c>
      <c r="AZ416" s="91" t="n">
        <f aca="false">IF($C416="&lt;01",ROUND(INDEX(EID!$R:$R,MATCH($B416,EID!$B:$B,0))/2,0),ROUND(SUM($O416)+(SUM($AV416)*$AY416),0))</f>
        <v>0</v>
      </c>
      <c r="BA416" s="87" t="n">
        <f aca="false">IF($C416="&lt;01","",95%)</f>
        <v>0.95</v>
      </c>
      <c r="BB416" s="5" t="n">
        <f aca="false">IF($C416="&lt;01",ROUND(INDEX(EID!$T:$T,MATCH($B416,EID!$B:$B,0))/2,0),ROUND($AZ416*$BA416,0))</f>
        <v>0</v>
      </c>
      <c r="BC416" s="91" t="n">
        <f aca="false">IF(LEFT($B416,4)="_Mil","",IF(SUM($BB416)=0,SUM($AD416),IF(OR(SUM($AP416)=0,SUM($AQ416)=0),MAX($BB416,$AD416),ROUND($BB416*$AQ416/$AP416,0))))</f>
        <v>0</v>
      </c>
      <c r="BD416" s="88" t="n">
        <f aca="false">IF($C416="&lt;01","",95%)</f>
        <v>0.95</v>
      </c>
      <c r="BE416" s="39" t="n">
        <f aca="false">IF($C416="&lt;01",ROUND(INDEX(EID!$V:$V,MATCH($B416,EID!$B:$B,0))/2,0),ROUND($BD416*$BB416,0))</f>
        <v>0</v>
      </c>
      <c r="BF416" s="39" t="n">
        <f aca="false">IF(LEFT($B416,4)="_Mil","",IF(SUM($BE416)=0,SUM($AF416),IF(OR(SUM($AP416)=0,SUM($AQ416)=0),MAX($BE416,$AF416),ROUND($BE416*$AQ416/$AP416,0))))</f>
        <v>0</v>
      </c>
      <c r="BG416" s="114" t="n">
        <f aca="false">IF($C416="&lt;01","",95%)</f>
        <v>0.95</v>
      </c>
      <c r="BH416" s="5" t="n">
        <f aca="false">IF($C416="&lt;01",ROUND(INDEX(EID!$L:$L,MATCH($B416,EID!$B:$B,0)),0)/2,IF(SUM($BG416)=0,"",ROUND($AX416/$BG416,0)))</f>
        <v>0</v>
      </c>
    </row>
    <row r="417" customFormat="false" ht="15" hidden="false" customHeight="false" outlineLevel="0" collapsed="false">
      <c r="A417" s="0" t="str">
        <f aca="false">INDEX(Prioritization!$D:$D,MATCH($B417,Prioritization!$A:$A,0))</f>
        <v>1 - Scale-up: Saturation</v>
      </c>
      <c r="B417" s="0" t="s">
        <v>222</v>
      </c>
      <c r="C417" s="0" t="s">
        <v>367</v>
      </c>
      <c r="D417" s="0" t="s">
        <v>30</v>
      </c>
      <c r="E417" s="0" t="str">
        <f aca="false">$B417&amp;"|"&amp;$C417&amp;"|"&amp;$D417</f>
        <v>Zomba District [fyEoGEPERdI]|35-49|Female</v>
      </c>
      <c r="F417" s="10"/>
      <c r="G417" s="10"/>
      <c r="H417" s="10"/>
      <c r="I417" s="10"/>
      <c r="J417" s="10"/>
      <c r="K417" s="10"/>
      <c r="L417" s="10"/>
      <c r="M417" s="10"/>
      <c r="N417" s="10"/>
      <c r="O417" s="10" t="str">
        <f aca="false">IFERROR(1/(1/MAX($I417,$N417)),"")</f>
        <v/>
      </c>
      <c r="P417" s="10"/>
      <c r="Q417" s="10"/>
      <c r="R417" s="10" t="str">
        <f aca="false">IF(AND(SUM($I417)=0,SUM($O417)=0),"",SUM($O417)-$I417)</f>
        <v/>
      </c>
      <c r="S417" s="10" t="n">
        <f aca="false">IF(LEFT($B417,4)="_Mil","",_xlfn.IFNA(ROUND(INDEX(Spectrum!$N:$N,MATCH(RIGHT($B417,13)&amp;"|"&amp;$C417&amp;"|"&amp;$D417&amp;"|"&amp;S$14&amp;"|"&amp;"CY2022Q4",Spectrum!$R:$R,0)),0),""))</f>
        <v>1397</v>
      </c>
      <c r="T417" s="39" t="n">
        <f aca="false">IF(LEFT($B417,4)="_Mil","",_xlfn.IFNA(ROUND(INDEX(Spectrum!$N:$N,MATCH(RIGHT($B417,13)&amp;"|"&amp;$C417&amp;"|"&amp;$D417&amp;"|"&amp;T$14&amp;"|"&amp;"CY2023Q3",Spectrum!$R:$R,0)),0),""))</f>
        <v>1411</v>
      </c>
      <c r="U417" s="39" t="str">
        <f aca="false">IF(LEFT($B417,4)="_Mil","",_xlfn.IFNA(ROUND(INDEX(Spectrum!$N:$N,MATCH(RIGHT($B417,13)&amp;"|"&amp;$C417&amp;"|"&amp;$D417&amp;"|"&amp;U$14&amp;"|"&amp;"CY2023Q3",Spectrum!$R:$R,0)),0),""))</f>
        <v/>
      </c>
      <c r="V417" s="10" t="n">
        <f aca="false">IF(LEFT($B417,4)="_Mil","",_xlfn.IFNA(ROUND(INDEX(Spectrum!$N:$N,MATCH(RIGHT($B417,13)&amp;"|"&amp;$C417&amp;"|"&amp;$D417&amp;"|"&amp;V$14&amp;"|"&amp;"CY2023Q3",Spectrum!$R:$R,0)),0),""))</f>
        <v>694</v>
      </c>
      <c r="W417" s="113" t="n">
        <f aca="false">IF(LEFT($B417,4)="_Mil","",_xlfn.IFNA(INDEX(Spectrum!$N:$N,MATCH(RIGHT($B417,13)&amp;"|"&amp;$C417&amp;"|"&amp;$D417&amp;"|"&amp;W$14&amp;"|"&amp;"CY2023Q3",Spectrum!$R:$R,0)),""))</f>
        <v>615</v>
      </c>
      <c r="X417" s="39" t="n">
        <f aca="false">IF(LEFT($B417,4)="_Mil","",_xlfn.IFNA(ROUND(INDEX(Spectrum!$N:$N,MATCH(RIGHT($B417,13)&amp;"|"&amp;$C417&amp;"|"&amp;$D417&amp;"|"&amp;X$14&amp;"|"&amp;"CY2023Q3",Spectrum!$R:$R,0)),0),""))</f>
        <v>901</v>
      </c>
      <c r="Y417" s="88" t="str">
        <f aca="false">IF(OR(SUM($U417)=0,LEFT($B417,4)="_Mil"),"",SUM($X417)/$U417)</f>
        <v/>
      </c>
      <c r="Z417" s="39" t="n">
        <f aca="false">IF(LEFT($B417,4)="_Mil","",_xlfn.IFNA(ROUND(INDEX(Spectrum!$N:$N,MATCH(RIGHT($B417,13)&amp;"|"&amp;$C417&amp;"|"&amp;$D417&amp;"|"&amp;Z$14&amp;"|"&amp;"CY2023Q3",Spectrum!$R:$R,0)),0),""))</f>
        <v>1370</v>
      </c>
      <c r="AA417" s="88" t="n">
        <f aca="false">IF(LEFT($B417,4)="_Mil","",IFERROR(1/(1/INDEX(Spectrum!$N:$N,MATCH(RIGHT($B417,13)&amp;"|"&amp;$C417&amp;"|"&amp;$D417&amp;"|"&amp;AA$14&amp;"|"&amp;"CY2023Q3",Spectrum!$R:$R,0))),IF(SUM($U417)=0,"",SUM($Z417)/$U417)))</f>
        <v>1588</v>
      </c>
      <c r="AB417" s="88" t="n">
        <f aca="false">IF(OR(LEFT($B417,4)="_Mil",SUM($X417)=0),"",SUM($Z417)/$X417)</f>
        <v>1.52053274139845</v>
      </c>
      <c r="AC417" s="10" t="n">
        <f aca="false">IF(LEFT($B417,4)="_Mil","",_xlfn.IFNA(ROUND(INDEX(Spectrum!$N:$N,MATCH(RIGHT($B417,13)&amp;"|"&amp;$C417&amp;"|"&amp;$D417&amp;"|"&amp;AC$14&amp;"|"&amp;"CY2023Q3",Spectrum!$R:$R,0)),0),""))</f>
        <v>1533</v>
      </c>
      <c r="AD417" s="10" t="str">
        <f aca="false">IF(LEFT($B417,4)="_Mil","",_xlfn.IFNA(ROUND(INDEX(Spectrum!$N:$N,MATCH(RIGHT($B417,13)&amp;"|"&amp;$C417&amp;"|"&amp;$D417&amp;"|"&amp;AD$14&amp;"|"&amp;"CY2023Q3",Spectrum!$R:$R,0)),0),""))</f>
        <v/>
      </c>
      <c r="AE417" s="88" t="n">
        <f aca="false">IF(OR(LEFT($B417,4)="_Mil",SUM($Z417)=0),"",SUM($AD417)/$Z417)</f>
        <v>0</v>
      </c>
      <c r="AF417" s="39" t="str">
        <f aca="false">IF(LEFT($B417,4)="_Mil","",_xlfn.IFNA(ROUND(INDEX(Spectrum!$N:$N,MATCH(RIGHT($B417,13)&amp;"|"&amp;$C417&amp;"|"&amp;$D417&amp;"|"&amp;AF$14&amp;"|"&amp;"CY2023Q3",Spectrum!$R:$R,0)),0),""))</f>
        <v/>
      </c>
      <c r="AG417" s="88" t="str">
        <f aca="false">IF(OR(LEFT($B417,4)="_Mil",SUM($AD417)=0),"",SUM($AF417)/$AD417)</f>
        <v/>
      </c>
      <c r="AH417" s="86" t="str">
        <f aca="false">IF(LEFT($B417,4)="_Mil","",_xlfn.IFNA(INDEX(Spectrum!$N:$N,MATCH(RIGHT($B417,13)&amp;"|"&amp;$C417&amp;"|"&amp;$D417&amp;"|"&amp;AH$14&amp;"|"&amp;"CY2023Q3",Spectrum!$R:$R,0)),""))</f>
        <v/>
      </c>
      <c r="AI417" s="10" t="str">
        <f aca="false">IF(LEFT($B417,4)="_Mil","",_xlfn.IFNA(ROUND(INDEX(Spectrum!$N:$N,MATCH(RIGHT($B417,13)&amp;"|"&amp;$C417&amp;"|"&amp;$D417&amp;"|"&amp;AI$14&amp;"|"&amp;"CY2023Q3",Spectrum!$R:$R,0)),0),""))</f>
        <v/>
      </c>
      <c r="AJ417" s="39" t="n">
        <f aca="false">IF(LEFT($B417,4)="_Mil","",_xlfn.IFNA(ROUND(INDEX(Spectrum!$N:$N,MATCH(RIGHT($B417,13)&amp;"|"&amp;$C417&amp;"|"&amp;$D417&amp;"|"&amp;AI$14&amp;"|"&amp;"CY2023Q3",Spectrum!$R:$R,0)),0),SUM($U417)+SUM($AI417)))</f>
        <v>0</v>
      </c>
      <c r="AK417" s="10" t="str">
        <f aca="false">IF(LEFT($B417,4)="_Mil","",_xlfn.IFNA(ROUND(INDEX(Spectrum!$N:$N,MATCH(RIGHT($B417,13)&amp;"|"&amp;$C417&amp;"|"&amp;$D417&amp;"|"&amp;AK$14&amp;"|"&amp;"CY2023Q3",Spectrum!$R:$R,0)),0),""))</f>
        <v/>
      </c>
      <c r="AL417" s="88" t="n">
        <f aca="false">IF(OR(LEFT($B417,4)="_Mil",$C417="&lt;01"),"",MAX(SUM($AA417),90%))</f>
        <v>1588</v>
      </c>
      <c r="AM417" s="10" t="n">
        <f aca="false">IF(OR(LEFT($B417,4)="_Mil",$C417="&lt;01"),"",ROUND(SUM($AJ417)*SUM($AL417),0))</f>
        <v>0</v>
      </c>
      <c r="AN417" s="10" t="str">
        <f aca="false">IF($C417="&lt;01",ROUND(INDEX(EID!$P:$P,MATCH($B417,EID!$B:$B,0))/2,0),"")</f>
        <v/>
      </c>
      <c r="AO417" s="10" t="n">
        <f aca="false">IF($C417="&lt;01",SUM($AN417),ROUND(SUM($AM417)*SUM($O417)/IF(SUM($Z417)=0,1,$Z417),0))</f>
        <v>0</v>
      </c>
      <c r="AP417" s="39" t="n">
        <f aca="false">IF(OR($F417="",$C417="&lt;01"),$AO417,$F417)</f>
        <v>0</v>
      </c>
      <c r="AQ417" s="39" t="n">
        <f aca="false">IF(LEFT($B417,4)="_Mil","",IF(SUM($AP417)=0,SUM($Z417),IF(OR(SUM($Z417)=0,SUM($O417)=0),MAX($AP417,$Z417),$AP417*$Z417/$O417)))</f>
        <v>1370</v>
      </c>
      <c r="AR417" s="88" t="str">
        <f aca="false">IF(OR(LEFT($B417,4)="_Mil",SUM($AJ417)=0),"",SUM($AQ417)/$AJ417)</f>
        <v/>
      </c>
      <c r="AS417" s="88" t="n">
        <f aca="false">IF($C417="&lt;01","",98%)</f>
        <v>0.98</v>
      </c>
      <c r="AT417" s="88" t="n">
        <f aca="false">IF($C417="&lt;01","",98%)</f>
        <v>0.98</v>
      </c>
      <c r="AU417" s="10" t="n">
        <f aca="false">IF($C417="&lt;01","",SUM($AP417)-SUM($O417))</f>
        <v>0</v>
      </c>
      <c r="AV417" s="10" t="n">
        <f aca="false">IF($C417="&lt;01",ROUND(INDEX(EID!$N:$N,MATCH($B417,EID!$B:$B,0))/2,0),IF(SUM($AT417)=0,"",ROUND((SUM($AP417)-(SUM($O417)*SUM($AS417)))/$AT417,0)))</f>
        <v>0</v>
      </c>
      <c r="AW417" s="88" t="n">
        <f aca="false">IF($C417="&lt;01","",100%)</f>
        <v>1</v>
      </c>
      <c r="AX417" s="39" t="n">
        <f aca="false">IF($C417="&lt;01",SUM($AV417),ROUND(SUM($AV417)*SUM($AW417),0))</f>
        <v>0</v>
      </c>
      <c r="AY417" s="114" t="n">
        <f aca="false">IF($C417="&lt;01","",70%)</f>
        <v>0.7</v>
      </c>
      <c r="AZ417" s="91" t="n">
        <f aca="false">IF($C417="&lt;01",ROUND(INDEX(EID!$R:$R,MATCH($B417,EID!$B:$B,0))/2,0),ROUND(SUM($O417)+(SUM($AV417)*$AY417),0))</f>
        <v>0</v>
      </c>
      <c r="BA417" s="87" t="n">
        <f aca="false">IF($C417="&lt;01","",95%)</f>
        <v>0.95</v>
      </c>
      <c r="BB417" s="5" t="n">
        <f aca="false">IF($C417="&lt;01",ROUND(INDEX(EID!$T:$T,MATCH($B417,EID!$B:$B,0))/2,0),ROUND($AZ417*$BA417,0))</f>
        <v>0</v>
      </c>
      <c r="BC417" s="91" t="n">
        <f aca="false">IF(LEFT($B417,4)="_Mil","",IF(SUM($BB417)=0,SUM($AD417),IF(OR(SUM($AP417)=0,SUM($AQ417)=0),MAX($BB417,$AD417),ROUND($BB417*$AQ417/$AP417,0))))</f>
        <v>0</v>
      </c>
      <c r="BD417" s="88" t="n">
        <f aca="false">IF($C417="&lt;01","",95%)</f>
        <v>0.95</v>
      </c>
      <c r="BE417" s="39" t="n">
        <f aca="false">IF($C417="&lt;01",ROUND(INDEX(EID!$V:$V,MATCH($B417,EID!$B:$B,0))/2,0),ROUND($BD417*$BB417,0))</f>
        <v>0</v>
      </c>
      <c r="BF417" s="39" t="n">
        <f aca="false">IF(LEFT($B417,4)="_Mil","",IF(SUM($BE417)=0,SUM($AF417),IF(OR(SUM($AP417)=0,SUM($AQ417)=0),MAX($BE417,$AF417),ROUND($BE417*$AQ417/$AP417,0))))</f>
        <v>0</v>
      </c>
      <c r="BG417" s="114" t="n">
        <f aca="false">IF($C417="&lt;01","",95%)</f>
        <v>0.95</v>
      </c>
      <c r="BH417" s="5" t="n">
        <f aca="false">IF($C417="&lt;01",ROUND(INDEX(EID!$L:$L,MATCH($B417,EID!$B:$B,0)),0)/2,IF(SUM($BG417)=0,"",ROUND($AX417/$BG417,0)))</f>
        <v>0</v>
      </c>
    </row>
    <row r="418" customFormat="false" ht="15" hidden="false" customHeight="false" outlineLevel="0" collapsed="false">
      <c r="A418" s="0" t="str">
        <f aca="false">INDEX(Prioritization!$D:$D,MATCH($B418,Prioritization!$A:$A,0))</f>
        <v>1 - Scale-up: Saturation</v>
      </c>
      <c r="B418" s="0" t="s">
        <v>222</v>
      </c>
      <c r="C418" s="0" t="s">
        <v>367</v>
      </c>
      <c r="D418" s="0" t="s">
        <v>48</v>
      </c>
      <c r="E418" s="0" t="str">
        <f aca="false">$B418&amp;"|"&amp;$C418&amp;"|"&amp;$D418</f>
        <v>Zomba District [fyEoGEPERdI]|35-49|Male</v>
      </c>
      <c r="F418" s="10"/>
      <c r="G418" s="10"/>
      <c r="H418" s="10"/>
      <c r="I418" s="10"/>
      <c r="J418" s="10"/>
      <c r="K418" s="10"/>
      <c r="L418" s="10"/>
      <c r="M418" s="10"/>
      <c r="N418" s="10"/>
      <c r="O418" s="10" t="str">
        <f aca="false">IFERROR(1/(1/MAX($I418,$N418)),"")</f>
        <v/>
      </c>
      <c r="P418" s="10"/>
      <c r="Q418" s="10"/>
      <c r="R418" s="10" t="str">
        <f aca="false">IF(AND(SUM($I418)=0,SUM($O418)=0),"",SUM($O418)-$I418)</f>
        <v/>
      </c>
      <c r="S418" s="10" t="n">
        <f aca="false">IF(LEFT($B418,4)="_Mil","",_xlfn.IFNA(ROUND(INDEX(Spectrum!$N:$N,MATCH(RIGHT($B418,13)&amp;"|"&amp;$C418&amp;"|"&amp;$D418&amp;"|"&amp;S$14&amp;"|"&amp;"CY2022Q4",Spectrum!$R:$R,0)),0),""))</f>
        <v>1755</v>
      </c>
      <c r="T418" s="39" t="n">
        <f aca="false">IF(LEFT($B418,4)="_Mil","",_xlfn.IFNA(ROUND(INDEX(Spectrum!$N:$N,MATCH(RIGHT($B418,13)&amp;"|"&amp;$C418&amp;"|"&amp;$D418&amp;"|"&amp;T$14&amp;"|"&amp;"CY2023Q3",Spectrum!$R:$R,0)),0),""))</f>
        <v>1032</v>
      </c>
      <c r="U418" s="39" t="str">
        <f aca="false">IF(LEFT($B418,4)="_Mil","",_xlfn.IFNA(ROUND(INDEX(Spectrum!$N:$N,MATCH(RIGHT($B418,13)&amp;"|"&amp;$C418&amp;"|"&amp;$D418&amp;"|"&amp;U$14&amp;"|"&amp;"CY2023Q3",Spectrum!$R:$R,0)),0),""))</f>
        <v/>
      </c>
      <c r="V418" s="10" t="n">
        <f aca="false">IF(LEFT($B418,4)="_Mil","",_xlfn.IFNA(ROUND(INDEX(Spectrum!$N:$N,MATCH(RIGHT($B418,13)&amp;"|"&amp;$C418&amp;"|"&amp;$D418&amp;"|"&amp;V$14&amp;"|"&amp;"CY2023Q3",Spectrum!$R:$R,0)),0),""))</f>
        <v>944</v>
      </c>
      <c r="W418" s="113" t="n">
        <f aca="false">IF(LEFT($B418,4)="_Mil","",_xlfn.IFNA(INDEX(Spectrum!$N:$N,MATCH(RIGHT($B418,13)&amp;"|"&amp;$C418&amp;"|"&amp;$D418&amp;"|"&amp;W$14&amp;"|"&amp;"CY2023Q3",Spectrum!$R:$R,0)),""))</f>
        <v>1565</v>
      </c>
      <c r="X418" s="39" t="n">
        <f aca="false">IF(LEFT($B418,4)="_Mil","",_xlfn.IFNA(ROUND(INDEX(Spectrum!$N:$N,MATCH(RIGHT($B418,13)&amp;"|"&amp;$C418&amp;"|"&amp;$D418&amp;"|"&amp;X$14&amp;"|"&amp;"CY2023Q3",Spectrum!$R:$R,0)),0),""))</f>
        <v>1182</v>
      </c>
      <c r="Y418" s="88" t="str">
        <f aca="false">IF(OR(SUM($U418)=0,LEFT($B418,4)="_Mil"),"",SUM($X418)/$U418)</f>
        <v/>
      </c>
      <c r="Z418" s="39" t="n">
        <f aca="false">IF(LEFT($B418,4)="_Mil","",_xlfn.IFNA(ROUND(INDEX(Spectrum!$N:$N,MATCH(RIGHT($B418,13)&amp;"|"&amp;$C418&amp;"|"&amp;$D418&amp;"|"&amp;Z$14&amp;"|"&amp;"CY2023Q3",Spectrum!$R:$R,0)),0),""))</f>
        <v>1018</v>
      </c>
      <c r="AA418" s="88" t="n">
        <f aca="false">IF(LEFT($B418,4)="_Mil","",IFERROR(1/(1/INDEX(Spectrum!$N:$N,MATCH(RIGHT($B418,13)&amp;"|"&amp;$C418&amp;"|"&amp;$D418&amp;"|"&amp;AA$14&amp;"|"&amp;"CY2023Q3",Spectrum!$R:$R,0))),IF(SUM($U418)=0,"",SUM($Z418)/$U418)))</f>
        <v>1946</v>
      </c>
      <c r="AB418" s="88" t="n">
        <f aca="false">IF(OR(LEFT($B418,4)="_Mil",SUM($X418)=0),"",SUM($Z418)/$X418)</f>
        <v>0.861252115059222</v>
      </c>
      <c r="AC418" s="10" t="n">
        <f aca="false">IF(LEFT($B418,4)="_Mil","",_xlfn.IFNA(ROUND(INDEX(Spectrum!$N:$N,MATCH(RIGHT($B418,13)&amp;"|"&amp;$C418&amp;"|"&amp;$D418&amp;"|"&amp;AC$14&amp;"|"&amp;"CY2023Q3",Spectrum!$R:$R,0)),0),""))</f>
        <v>1804</v>
      </c>
      <c r="AD418" s="10" t="str">
        <f aca="false">IF(LEFT($B418,4)="_Mil","",_xlfn.IFNA(ROUND(INDEX(Spectrum!$N:$N,MATCH(RIGHT($B418,13)&amp;"|"&amp;$C418&amp;"|"&amp;$D418&amp;"|"&amp;AD$14&amp;"|"&amp;"CY2023Q3",Spectrum!$R:$R,0)),0),""))</f>
        <v/>
      </c>
      <c r="AE418" s="88" t="n">
        <f aca="false">IF(OR(LEFT($B418,4)="_Mil",SUM($Z418)=0),"",SUM($AD418)/$Z418)</f>
        <v>0</v>
      </c>
      <c r="AF418" s="39" t="str">
        <f aca="false">IF(LEFT($B418,4)="_Mil","",_xlfn.IFNA(ROUND(INDEX(Spectrum!$N:$N,MATCH(RIGHT($B418,13)&amp;"|"&amp;$C418&amp;"|"&amp;$D418&amp;"|"&amp;AF$14&amp;"|"&amp;"CY2023Q3",Spectrum!$R:$R,0)),0),""))</f>
        <v/>
      </c>
      <c r="AG418" s="88" t="str">
        <f aca="false">IF(OR(LEFT($B418,4)="_Mil",SUM($AD418)=0),"",SUM($AF418)/$AD418)</f>
        <v/>
      </c>
      <c r="AH418" s="86" t="str">
        <f aca="false">IF(LEFT($B418,4)="_Mil","",_xlfn.IFNA(INDEX(Spectrum!$N:$N,MATCH(RIGHT($B418,13)&amp;"|"&amp;$C418&amp;"|"&amp;$D418&amp;"|"&amp;AH$14&amp;"|"&amp;"CY2023Q3",Spectrum!$R:$R,0)),""))</f>
        <v/>
      </c>
      <c r="AI418" s="10" t="str">
        <f aca="false">IF(LEFT($B418,4)="_Mil","",_xlfn.IFNA(ROUND(INDEX(Spectrum!$N:$N,MATCH(RIGHT($B418,13)&amp;"|"&amp;$C418&amp;"|"&amp;$D418&amp;"|"&amp;AI$14&amp;"|"&amp;"CY2023Q3",Spectrum!$R:$R,0)),0),""))</f>
        <v/>
      </c>
      <c r="AJ418" s="39" t="n">
        <f aca="false">IF(LEFT($B418,4)="_Mil","",_xlfn.IFNA(ROUND(INDEX(Spectrum!$N:$N,MATCH(RIGHT($B418,13)&amp;"|"&amp;$C418&amp;"|"&amp;$D418&amp;"|"&amp;AI$14&amp;"|"&amp;"CY2023Q3",Spectrum!$R:$R,0)),0),SUM($U418)+SUM($AI418)))</f>
        <v>0</v>
      </c>
      <c r="AK418" s="10" t="str">
        <f aca="false">IF(LEFT($B418,4)="_Mil","",_xlfn.IFNA(ROUND(INDEX(Spectrum!$N:$N,MATCH(RIGHT($B418,13)&amp;"|"&amp;$C418&amp;"|"&amp;$D418&amp;"|"&amp;AK$14&amp;"|"&amp;"CY2023Q3",Spectrum!$R:$R,0)),0),""))</f>
        <v/>
      </c>
      <c r="AL418" s="88" t="n">
        <f aca="false">IF(OR(LEFT($B418,4)="_Mil",$C418="&lt;01"),"",MAX(SUM($AA418),90%))</f>
        <v>1946</v>
      </c>
      <c r="AM418" s="10" t="n">
        <f aca="false">IF(OR(LEFT($B418,4)="_Mil",$C418="&lt;01"),"",ROUND(SUM($AJ418)*SUM($AL418),0))</f>
        <v>0</v>
      </c>
      <c r="AN418" s="10" t="str">
        <f aca="false">IF($C418="&lt;01",ROUND(INDEX(EID!$P:$P,MATCH($B418,EID!$B:$B,0))/2,0),"")</f>
        <v/>
      </c>
      <c r="AO418" s="10" t="n">
        <f aca="false">IF($C418="&lt;01",SUM($AN418),ROUND(SUM($AM418)*SUM($O418)/IF(SUM($Z418)=0,1,$Z418),0))</f>
        <v>0</v>
      </c>
      <c r="AP418" s="39" t="n">
        <f aca="false">IF(OR($F418="",$C418="&lt;01"),$AO418,$F418)</f>
        <v>0</v>
      </c>
      <c r="AQ418" s="39" t="n">
        <f aca="false">IF(LEFT($B418,4)="_Mil","",IF(SUM($AP418)=0,SUM($Z418),IF(OR(SUM($Z418)=0,SUM($O418)=0),MAX($AP418,$Z418),$AP418*$Z418/$O418)))</f>
        <v>1018</v>
      </c>
      <c r="AR418" s="88" t="str">
        <f aca="false">IF(OR(LEFT($B418,4)="_Mil",SUM($AJ418)=0),"",SUM($AQ418)/$AJ418)</f>
        <v/>
      </c>
      <c r="AS418" s="88" t="n">
        <f aca="false">IF($C418="&lt;01","",98%)</f>
        <v>0.98</v>
      </c>
      <c r="AT418" s="88" t="n">
        <f aca="false">IF($C418="&lt;01","",98%)</f>
        <v>0.98</v>
      </c>
      <c r="AU418" s="10" t="n">
        <f aca="false">IF($C418="&lt;01","",SUM($AP418)-SUM($O418))</f>
        <v>0</v>
      </c>
      <c r="AV418" s="10" t="n">
        <f aca="false">IF($C418="&lt;01",ROUND(INDEX(EID!$N:$N,MATCH($B418,EID!$B:$B,0))/2,0),IF(SUM($AT418)=0,"",ROUND((SUM($AP418)-(SUM($O418)*SUM($AS418)))/$AT418,0)))</f>
        <v>0</v>
      </c>
      <c r="AW418" s="88" t="n">
        <f aca="false">IF($C418="&lt;01","",100%)</f>
        <v>1</v>
      </c>
      <c r="AX418" s="39" t="n">
        <f aca="false">IF($C418="&lt;01",SUM($AV418),ROUND(SUM($AV418)*SUM($AW418),0))</f>
        <v>0</v>
      </c>
      <c r="AY418" s="114" t="n">
        <f aca="false">IF($C418="&lt;01","",70%)</f>
        <v>0.7</v>
      </c>
      <c r="AZ418" s="91" t="n">
        <f aca="false">IF($C418="&lt;01",ROUND(INDEX(EID!$R:$R,MATCH($B418,EID!$B:$B,0))/2,0),ROUND(SUM($O418)+(SUM($AV418)*$AY418),0))</f>
        <v>0</v>
      </c>
      <c r="BA418" s="87" t="n">
        <f aca="false">IF($C418="&lt;01","",95%)</f>
        <v>0.95</v>
      </c>
      <c r="BB418" s="5" t="n">
        <f aca="false">IF($C418="&lt;01",ROUND(INDEX(EID!$T:$T,MATCH($B418,EID!$B:$B,0))/2,0),ROUND($AZ418*$BA418,0))</f>
        <v>0</v>
      </c>
      <c r="BC418" s="91" t="n">
        <f aca="false">IF(LEFT($B418,4)="_Mil","",IF(SUM($BB418)=0,SUM($AD418),IF(OR(SUM($AP418)=0,SUM($AQ418)=0),MAX($BB418,$AD418),ROUND($BB418*$AQ418/$AP418,0))))</f>
        <v>0</v>
      </c>
      <c r="BD418" s="88" t="n">
        <f aca="false">IF($C418="&lt;01","",95%)</f>
        <v>0.95</v>
      </c>
      <c r="BE418" s="39" t="n">
        <f aca="false">IF($C418="&lt;01",ROUND(INDEX(EID!$V:$V,MATCH($B418,EID!$B:$B,0))/2,0),ROUND($BD418*$BB418,0))</f>
        <v>0</v>
      </c>
      <c r="BF418" s="39" t="n">
        <f aca="false">IF(LEFT($B418,4)="_Mil","",IF(SUM($BE418)=0,SUM($AF418),IF(OR(SUM($AP418)=0,SUM($AQ418)=0),MAX($BE418,$AF418),ROUND($BE418*$AQ418/$AP418,0))))</f>
        <v>0</v>
      </c>
      <c r="BG418" s="114" t="n">
        <f aca="false">IF($C418="&lt;01","",95%)</f>
        <v>0.95</v>
      </c>
      <c r="BH418" s="5" t="n">
        <f aca="false">IF($C418="&lt;01",ROUND(INDEX(EID!$L:$L,MATCH($B418,EID!$B:$B,0)),0)/2,IF(SUM($BG418)=0,"",ROUND($AX418/$BG418,0)))</f>
        <v>0</v>
      </c>
    </row>
    <row r="419" customFormat="false" ht="15" hidden="false" customHeight="false" outlineLevel="0" collapsed="false">
      <c r="A419" s="0" t="str">
        <f aca="false">INDEX(Prioritization!$D:$D,MATCH($B419,Prioritization!$A:$A,0))</f>
        <v>1 - Scale-up: Saturation</v>
      </c>
      <c r="B419" s="0" t="s">
        <v>222</v>
      </c>
      <c r="C419" s="0" t="s">
        <v>368</v>
      </c>
      <c r="D419" s="0" t="s">
        <v>30</v>
      </c>
      <c r="E419" s="0" t="str">
        <f aca="false">$B419&amp;"|"&amp;$C419&amp;"|"&amp;$D419</f>
        <v>Zomba District [fyEoGEPERdI]|50+|Female</v>
      </c>
      <c r="F419" s="10"/>
      <c r="G419" s="10"/>
      <c r="H419" s="10"/>
      <c r="I419" s="10"/>
      <c r="J419" s="10"/>
      <c r="K419" s="10"/>
      <c r="L419" s="10"/>
      <c r="M419" s="10"/>
      <c r="N419" s="10"/>
      <c r="O419" s="10" t="str">
        <f aca="false">IFERROR(1/(1/MAX($I419,$N419)),"")</f>
        <v/>
      </c>
      <c r="P419" s="10"/>
      <c r="Q419" s="10"/>
      <c r="R419" s="10" t="str">
        <f aca="false">IF(AND(SUM($I419)=0,SUM($O419)=0),"",SUM($O419)-$I419)</f>
        <v/>
      </c>
      <c r="S419" s="10" t="n">
        <f aca="false">IF(LEFT($B419,4)="_Mil","",_xlfn.IFNA(ROUND(INDEX(Spectrum!$N:$N,MATCH(RIGHT($B419,13)&amp;"|"&amp;$C419&amp;"|"&amp;$D419&amp;"|"&amp;S$14&amp;"|"&amp;"CY2022Q4",Spectrum!$R:$R,0)),0),""))</f>
        <v>626</v>
      </c>
      <c r="T419" s="39" t="n">
        <f aca="false">IF(LEFT($B419,4)="_Mil","",_xlfn.IFNA(ROUND(INDEX(Spectrum!$N:$N,MATCH(RIGHT($B419,13)&amp;"|"&amp;$C419&amp;"|"&amp;$D419&amp;"|"&amp;T$14&amp;"|"&amp;"CY2023Q3",Spectrum!$R:$R,0)),0),""))</f>
        <v>1491</v>
      </c>
      <c r="U419" s="39" t="str">
        <f aca="false">IF(LEFT($B419,4)="_Mil","",_xlfn.IFNA(ROUND(INDEX(Spectrum!$N:$N,MATCH(RIGHT($B419,13)&amp;"|"&amp;$C419&amp;"|"&amp;$D419&amp;"|"&amp;U$14&amp;"|"&amp;"CY2023Q3",Spectrum!$R:$R,0)),0),""))</f>
        <v/>
      </c>
      <c r="V419" s="10" t="n">
        <f aca="false">IF(LEFT($B419,4)="_Mil","",_xlfn.IFNA(ROUND(INDEX(Spectrum!$N:$N,MATCH(RIGHT($B419,13)&amp;"|"&amp;$C419&amp;"|"&amp;$D419&amp;"|"&amp;V$14&amp;"|"&amp;"CY2023Q3",Spectrum!$R:$R,0)),0),""))</f>
        <v>513</v>
      </c>
      <c r="W419" s="113" t="n">
        <f aca="false">IF(LEFT($B419,4)="_Mil","",_xlfn.IFNA(INDEX(Spectrum!$N:$N,MATCH(RIGHT($B419,13)&amp;"|"&amp;$C419&amp;"|"&amp;$D419&amp;"|"&amp;W$14&amp;"|"&amp;"CY2023Q3",Spectrum!$R:$R,0)),""))</f>
        <v>1678</v>
      </c>
      <c r="X419" s="39" t="n">
        <f aca="false">IF(LEFT($B419,4)="_Mil","",_xlfn.IFNA(ROUND(INDEX(Spectrum!$N:$N,MATCH(RIGHT($B419,13)&amp;"|"&amp;$C419&amp;"|"&amp;$D419&amp;"|"&amp;X$14&amp;"|"&amp;"CY2023Q3",Spectrum!$R:$R,0)),0),""))</f>
        <v>1589</v>
      </c>
      <c r="Y419" s="88" t="str">
        <f aca="false">IF(OR(SUM($U419)=0,LEFT($B419,4)="_Mil"),"",SUM($X419)/$U419)</f>
        <v/>
      </c>
      <c r="Z419" s="39" t="n">
        <f aca="false">IF(LEFT($B419,4)="_Mil","",_xlfn.IFNA(ROUND(INDEX(Spectrum!$N:$N,MATCH(RIGHT($B419,13)&amp;"|"&amp;$C419&amp;"|"&amp;$D419&amp;"|"&amp;Z$14&amp;"|"&amp;"CY2023Q3",Spectrum!$R:$R,0)),0),""))</f>
        <v>1101</v>
      </c>
      <c r="AA419" s="88" t="n">
        <f aca="false">IF(LEFT($B419,4)="_Mil","",IFERROR(1/(1/INDEX(Spectrum!$N:$N,MATCH(RIGHT($B419,13)&amp;"|"&amp;$C419&amp;"|"&amp;$D419&amp;"|"&amp;AA$14&amp;"|"&amp;"CY2023Q3",Spectrum!$R:$R,0))),IF(SUM($U419)=0,"",SUM($Z419)/$U419)))</f>
        <v>1194</v>
      </c>
      <c r="AB419" s="88" t="n">
        <f aca="false">IF(OR(LEFT($B419,4)="_Mil",SUM($X419)=0),"",SUM($Z419)/$X419)</f>
        <v>0.692888609188169</v>
      </c>
      <c r="AC419" s="10" t="n">
        <f aca="false">IF(LEFT($B419,4)="_Mil","",_xlfn.IFNA(ROUND(INDEX(Spectrum!$N:$N,MATCH(RIGHT($B419,13)&amp;"|"&amp;$C419&amp;"|"&amp;$D419&amp;"|"&amp;AC$14&amp;"|"&amp;"CY2023Q3",Spectrum!$R:$R,0)),0),""))</f>
        <v>1350</v>
      </c>
      <c r="AD419" s="10" t="str">
        <f aca="false">IF(LEFT($B419,4)="_Mil","",_xlfn.IFNA(ROUND(INDEX(Spectrum!$N:$N,MATCH(RIGHT($B419,13)&amp;"|"&amp;$C419&amp;"|"&amp;$D419&amp;"|"&amp;AD$14&amp;"|"&amp;"CY2023Q3",Spectrum!$R:$R,0)),0),""))</f>
        <v/>
      </c>
      <c r="AE419" s="88" t="n">
        <f aca="false">IF(OR(LEFT($B419,4)="_Mil",SUM($Z419)=0),"",SUM($AD419)/$Z419)</f>
        <v>0</v>
      </c>
      <c r="AF419" s="39" t="str">
        <f aca="false">IF(LEFT($B419,4)="_Mil","",_xlfn.IFNA(ROUND(INDEX(Spectrum!$N:$N,MATCH(RIGHT($B419,13)&amp;"|"&amp;$C419&amp;"|"&amp;$D419&amp;"|"&amp;AF$14&amp;"|"&amp;"CY2023Q3",Spectrum!$R:$R,0)),0),""))</f>
        <v/>
      </c>
      <c r="AG419" s="88" t="str">
        <f aca="false">IF(OR(LEFT($B419,4)="_Mil",SUM($AD419)=0),"",SUM($AF419)/$AD419)</f>
        <v/>
      </c>
      <c r="AH419" s="86" t="str">
        <f aca="false">IF(LEFT($B419,4)="_Mil","",_xlfn.IFNA(INDEX(Spectrum!$N:$N,MATCH(RIGHT($B419,13)&amp;"|"&amp;$C419&amp;"|"&amp;$D419&amp;"|"&amp;AH$14&amp;"|"&amp;"CY2023Q3",Spectrum!$R:$R,0)),""))</f>
        <v/>
      </c>
      <c r="AI419" s="10" t="str">
        <f aca="false">IF(LEFT($B419,4)="_Mil","",_xlfn.IFNA(ROUND(INDEX(Spectrum!$N:$N,MATCH(RIGHT($B419,13)&amp;"|"&amp;$C419&amp;"|"&amp;$D419&amp;"|"&amp;AI$14&amp;"|"&amp;"CY2023Q3",Spectrum!$R:$R,0)),0),""))</f>
        <v/>
      </c>
      <c r="AJ419" s="39" t="n">
        <f aca="false">IF(LEFT($B419,4)="_Mil","",_xlfn.IFNA(ROUND(INDEX(Spectrum!$N:$N,MATCH(RIGHT($B419,13)&amp;"|"&amp;$C419&amp;"|"&amp;$D419&amp;"|"&amp;AI$14&amp;"|"&amp;"CY2023Q3",Spectrum!$R:$R,0)),0),SUM($U419)+SUM($AI419)))</f>
        <v>0</v>
      </c>
      <c r="AK419" s="10" t="str">
        <f aca="false">IF(LEFT($B419,4)="_Mil","",_xlfn.IFNA(ROUND(INDEX(Spectrum!$N:$N,MATCH(RIGHT($B419,13)&amp;"|"&amp;$C419&amp;"|"&amp;$D419&amp;"|"&amp;AK$14&amp;"|"&amp;"CY2023Q3",Spectrum!$R:$R,0)),0),""))</f>
        <v/>
      </c>
      <c r="AL419" s="88" t="n">
        <f aca="false">IF(OR(LEFT($B419,4)="_Mil",$C419="&lt;01"),"",MAX(SUM($AA419),90%))</f>
        <v>1194</v>
      </c>
      <c r="AM419" s="10" t="n">
        <f aca="false">IF(OR(LEFT($B419,4)="_Mil",$C419="&lt;01"),"",ROUND(SUM($AJ419)*SUM($AL419),0))</f>
        <v>0</v>
      </c>
      <c r="AN419" s="10" t="str">
        <f aca="false">IF($C419="&lt;01",ROUND(INDEX(EID!$P:$P,MATCH($B419,EID!$B:$B,0))/2,0),"")</f>
        <v/>
      </c>
      <c r="AO419" s="10" t="n">
        <f aca="false">IF($C419="&lt;01",SUM($AN419),ROUND(SUM($AM419)*SUM($O419)/IF(SUM($Z419)=0,1,$Z419),0))</f>
        <v>0</v>
      </c>
      <c r="AP419" s="39" t="n">
        <f aca="false">IF(OR($F419="",$C419="&lt;01"),$AO419,$F419)</f>
        <v>0</v>
      </c>
      <c r="AQ419" s="39" t="n">
        <f aca="false">IF(LEFT($B419,4)="_Mil","",IF(SUM($AP419)=0,SUM($Z419),IF(OR(SUM($Z419)=0,SUM($O419)=0),MAX($AP419,$Z419),$AP419*$Z419/$O419)))</f>
        <v>1101</v>
      </c>
      <c r="AR419" s="88" t="str">
        <f aca="false">IF(OR(LEFT($B419,4)="_Mil",SUM($AJ419)=0),"",SUM($AQ419)/$AJ419)</f>
        <v/>
      </c>
      <c r="AS419" s="88" t="n">
        <f aca="false">IF($C419="&lt;01","",98%)</f>
        <v>0.98</v>
      </c>
      <c r="AT419" s="88" t="n">
        <f aca="false">IF($C419="&lt;01","",98%)</f>
        <v>0.98</v>
      </c>
      <c r="AU419" s="10" t="n">
        <f aca="false">IF($C419="&lt;01","",SUM($AP419)-SUM($O419))</f>
        <v>0</v>
      </c>
      <c r="AV419" s="10" t="n">
        <f aca="false">IF($C419="&lt;01",ROUND(INDEX(EID!$N:$N,MATCH($B419,EID!$B:$B,0))/2,0),IF(SUM($AT419)=0,"",ROUND((SUM($AP419)-(SUM($O419)*SUM($AS419)))/$AT419,0)))</f>
        <v>0</v>
      </c>
      <c r="AW419" s="88" t="n">
        <f aca="false">IF($C419="&lt;01","",100%)</f>
        <v>1</v>
      </c>
      <c r="AX419" s="39" t="n">
        <f aca="false">IF($C419="&lt;01",SUM($AV419),ROUND(SUM($AV419)*SUM($AW419),0))</f>
        <v>0</v>
      </c>
      <c r="AY419" s="114" t="n">
        <f aca="false">IF($C419="&lt;01","",70%)</f>
        <v>0.7</v>
      </c>
      <c r="AZ419" s="91" t="n">
        <f aca="false">IF($C419="&lt;01",ROUND(INDEX(EID!$R:$R,MATCH($B419,EID!$B:$B,0))/2,0),ROUND(SUM($O419)+(SUM($AV419)*$AY419),0))</f>
        <v>0</v>
      </c>
      <c r="BA419" s="87" t="n">
        <f aca="false">IF($C419="&lt;01","",95%)</f>
        <v>0.95</v>
      </c>
      <c r="BB419" s="5" t="n">
        <f aca="false">IF($C419="&lt;01",ROUND(INDEX(EID!$T:$T,MATCH($B419,EID!$B:$B,0))/2,0),ROUND($AZ419*$BA419,0))</f>
        <v>0</v>
      </c>
      <c r="BC419" s="91" t="n">
        <f aca="false">IF(LEFT($B419,4)="_Mil","",IF(SUM($BB419)=0,SUM($AD419),IF(OR(SUM($AP419)=0,SUM($AQ419)=0),MAX($BB419,$AD419),ROUND($BB419*$AQ419/$AP419,0))))</f>
        <v>0</v>
      </c>
      <c r="BD419" s="88" t="n">
        <f aca="false">IF($C419="&lt;01","",95%)</f>
        <v>0.95</v>
      </c>
      <c r="BE419" s="39" t="n">
        <f aca="false">IF($C419="&lt;01",ROUND(INDEX(EID!$V:$V,MATCH($B419,EID!$B:$B,0))/2,0),ROUND($BD419*$BB419,0))</f>
        <v>0</v>
      </c>
      <c r="BF419" s="39" t="n">
        <f aca="false">IF(LEFT($B419,4)="_Mil","",IF(SUM($BE419)=0,SUM($AF419),IF(OR(SUM($AP419)=0,SUM($AQ419)=0),MAX($BE419,$AF419),ROUND($BE419*$AQ419/$AP419,0))))</f>
        <v>0</v>
      </c>
      <c r="BG419" s="114" t="n">
        <f aca="false">IF($C419="&lt;01","",95%)</f>
        <v>0.95</v>
      </c>
      <c r="BH419" s="5" t="n">
        <f aca="false">IF($C419="&lt;01",ROUND(INDEX(EID!$L:$L,MATCH($B419,EID!$B:$B,0)),0)/2,IF(SUM($BG419)=0,"",ROUND($AX419/$BG419,0)))</f>
        <v>0</v>
      </c>
    </row>
    <row r="420" customFormat="false" ht="15" hidden="false" customHeight="false" outlineLevel="0" collapsed="false">
      <c r="A420" s="0" t="str">
        <f aca="false">INDEX(Prioritization!$D:$D,MATCH($B420,Prioritization!$A:$A,0))</f>
        <v>1 - Scale-up: Saturation</v>
      </c>
      <c r="B420" s="0" t="s">
        <v>222</v>
      </c>
      <c r="C420" s="0" t="s">
        <v>368</v>
      </c>
      <c r="D420" s="0" t="s">
        <v>48</v>
      </c>
      <c r="E420" s="0" t="str">
        <f aca="false">$B420&amp;"|"&amp;$C420&amp;"|"&amp;$D420</f>
        <v>Zomba District [fyEoGEPERdI]|50+|Male</v>
      </c>
      <c r="F420" s="10"/>
      <c r="G420" s="10"/>
      <c r="H420" s="10"/>
      <c r="I420" s="10"/>
      <c r="J420" s="10"/>
      <c r="K420" s="10"/>
      <c r="L420" s="10"/>
      <c r="M420" s="10"/>
      <c r="N420" s="10"/>
      <c r="O420" s="10" t="str">
        <f aca="false">IFERROR(1/(1/MAX($I420,$N420)),"")</f>
        <v/>
      </c>
      <c r="P420" s="10"/>
      <c r="Q420" s="10"/>
      <c r="R420" s="10" t="str">
        <f aca="false">IF(AND(SUM($I420)=0,SUM($O420)=0),"",SUM($O420)-$I420)</f>
        <v/>
      </c>
      <c r="S420" s="10" t="n">
        <f aca="false">IF(LEFT($B420,4)="_Mil","",_xlfn.IFNA(ROUND(INDEX(Spectrum!$N:$N,MATCH(RIGHT($B420,13)&amp;"|"&amp;$C420&amp;"|"&amp;$D420&amp;"|"&amp;S$14&amp;"|"&amp;"CY2022Q4",Spectrum!$R:$R,0)),0),""))</f>
        <v>674</v>
      </c>
      <c r="T420" s="39" t="n">
        <f aca="false">IF(LEFT($B420,4)="_Mil","",_xlfn.IFNA(ROUND(INDEX(Spectrum!$N:$N,MATCH(RIGHT($B420,13)&amp;"|"&amp;$C420&amp;"|"&amp;$D420&amp;"|"&amp;T$14&amp;"|"&amp;"CY2023Q3",Spectrum!$R:$R,0)),0),""))</f>
        <v>677</v>
      </c>
      <c r="U420" s="39" t="str">
        <f aca="false">IF(LEFT($B420,4)="_Mil","",_xlfn.IFNA(ROUND(INDEX(Spectrum!$N:$N,MATCH(RIGHT($B420,13)&amp;"|"&amp;$C420&amp;"|"&amp;$D420&amp;"|"&amp;U$14&amp;"|"&amp;"CY2023Q3",Spectrum!$R:$R,0)),0),""))</f>
        <v/>
      </c>
      <c r="V420" s="10" t="n">
        <f aca="false">IF(LEFT($B420,4)="_Mil","",_xlfn.IFNA(ROUND(INDEX(Spectrum!$N:$N,MATCH(RIGHT($B420,13)&amp;"|"&amp;$C420&amp;"|"&amp;$D420&amp;"|"&amp;V$14&amp;"|"&amp;"CY2023Q3",Spectrum!$R:$R,0)),0),""))</f>
        <v>704</v>
      </c>
      <c r="W420" s="113" t="n">
        <f aca="false">IF(LEFT($B420,4)="_Mil","",_xlfn.IFNA(INDEX(Spectrum!$N:$N,MATCH(RIGHT($B420,13)&amp;"|"&amp;$C420&amp;"|"&amp;$D420&amp;"|"&amp;W$14&amp;"|"&amp;"CY2023Q3",Spectrum!$R:$R,0)),""))</f>
        <v>1933</v>
      </c>
      <c r="X420" s="39" t="n">
        <f aca="false">IF(LEFT($B420,4)="_Mil","",_xlfn.IFNA(ROUND(INDEX(Spectrum!$N:$N,MATCH(RIGHT($B420,13)&amp;"|"&amp;$C420&amp;"|"&amp;$D420&amp;"|"&amp;X$14&amp;"|"&amp;"CY2023Q3",Spectrum!$R:$R,0)),0),""))</f>
        <v>1602</v>
      </c>
      <c r="Y420" s="88" t="str">
        <f aca="false">IF(OR(SUM($U420)=0,LEFT($B420,4)="_Mil"),"",SUM($X420)/$U420)</f>
        <v/>
      </c>
      <c r="Z420" s="39" t="n">
        <f aca="false">IF(LEFT($B420,4)="_Mil","",_xlfn.IFNA(ROUND(INDEX(Spectrum!$N:$N,MATCH(RIGHT($B420,13)&amp;"|"&amp;$C420&amp;"|"&amp;$D420&amp;"|"&amp;Z$14&amp;"|"&amp;"CY2023Q3",Spectrum!$R:$R,0)),0),""))</f>
        <v>1689</v>
      </c>
      <c r="AA420" s="88" t="n">
        <f aca="false">IF(LEFT($B420,4)="_Mil","",IFERROR(1/(1/INDEX(Spectrum!$N:$N,MATCH(RIGHT($B420,13)&amp;"|"&amp;$C420&amp;"|"&amp;$D420&amp;"|"&amp;AA$14&amp;"|"&amp;"CY2023Q3",Spectrum!$R:$R,0))),IF(SUM($U420)=0,"",SUM($Z420)/$U420)))</f>
        <v>794</v>
      </c>
      <c r="AB420" s="88" t="n">
        <f aca="false">IF(OR(LEFT($B420,4)="_Mil",SUM($X420)=0),"",SUM($Z420)/$X420)</f>
        <v>1.05430711610487</v>
      </c>
      <c r="AC420" s="10" t="n">
        <f aca="false">IF(LEFT($B420,4)="_Mil","",_xlfn.IFNA(ROUND(INDEX(Spectrum!$N:$N,MATCH(RIGHT($B420,13)&amp;"|"&amp;$C420&amp;"|"&amp;$D420&amp;"|"&amp;AC$14&amp;"|"&amp;"CY2023Q3",Spectrum!$R:$R,0)),0),""))</f>
        <v>1906</v>
      </c>
      <c r="AD420" s="10" t="str">
        <f aca="false">IF(LEFT($B420,4)="_Mil","",_xlfn.IFNA(ROUND(INDEX(Spectrum!$N:$N,MATCH(RIGHT($B420,13)&amp;"|"&amp;$C420&amp;"|"&amp;$D420&amp;"|"&amp;AD$14&amp;"|"&amp;"CY2023Q3",Spectrum!$R:$R,0)),0),""))</f>
        <v/>
      </c>
      <c r="AE420" s="88" t="n">
        <f aca="false">IF(OR(LEFT($B420,4)="_Mil",SUM($Z420)=0),"",SUM($AD420)/$Z420)</f>
        <v>0</v>
      </c>
      <c r="AF420" s="39" t="str">
        <f aca="false">IF(LEFT($B420,4)="_Mil","",_xlfn.IFNA(ROUND(INDEX(Spectrum!$N:$N,MATCH(RIGHT($B420,13)&amp;"|"&amp;$C420&amp;"|"&amp;$D420&amp;"|"&amp;AF$14&amp;"|"&amp;"CY2023Q3",Spectrum!$R:$R,0)),0),""))</f>
        <v/>
      </c>
      <c r="AG420" s="88" t="str">
        <f aca="false">IF(OR(LEFT($B420,4)="_Mil",SUM($AD420)=0),"",SUM($AF420)/$AD420)</f>
        <v/>
      </c>
      <c r="AH420" s="86" t="str">
        <f aca="false">IF(LEFT($B420,4)="_Mil","",_xlfn.IFNA(INDEX(Spectrum!$N:$N,MATCH(RIGHT($B420,13)&amp;"|"&amp;$C420&amp;"|"&amp;$D420&amp;"|"&amp;AH$14&amp;"|"&amp;"CY2023Q3",Spectrum!$R:$R,0)),""))</f>
        <v/>
      </c>
      <c r="AI420" s="10" t="str">
        <f aca="false">IF(LEFT($B420,4)="_Mil","",_xlfn.IFNA(ROUND(INDEX(Spectrum!$N:$N,MATCH(RIGHT($B420,13)&amp;"|"&amp;$C420&amp;"|"&amp;$D420&amp;"|"&amp;AI$14&amp;"|"&amp;"CY2023Q3",Spectrum!$R:$R,0)),0),""))</f>
        <v/>
      </c>
      <c r="AJ420" s="39" t="n">
        <f aca="false">IF(LEFT($B420,4)="_Mil","",_xlfn.IFNA(ROUND(INDEX(Spectrum!$N:$N,MATCH(RIGHT($B420,13)&amp;"|"&amp;$C420&amp;"|"&amp;$D420&amp;"|"&amp;AI$14&amp;"|"&amp;"CY2023Q3",Spectrum!$R:$R,0)),0),SUM($U420)+SUM($AI420)))</f>
        <v>0</v>
      </c>
      <c r="AK420" s="10" t="str">
        <f aca="false">IF(LEFT($B420,4)="_Mil","",_xlfn.IFNA(ROUND(INDEX(Spectrum!$N:$N,MATCH(RIGHT($B420,13)&amp;"|"&amp;$C420&amp;"|"&amp;$D420&amp;"|"&amp;AK$14&amp;"|"&amp;"CY2023Q3",Spectrum!$R:$R,0)),0),""))</f>
        <v/>
      </c>
      <c r="AL420" s="88" t="n">
        <f aca="false">IF(OR(LEFT($B420,4)="_Mil",$C420="&lt;01"),"",MAX(SUM($AA420),90%))</f>
        <v>794</v>
      </c>
      <c r="AM420" s="10" t="n">
        <f aca="false">IF(OR(LEFT($B420,4)="_Mil",$C420="&lt;01"),"",ROUND(SUM($AJ420)*SUM($AL420),0))</f>
        <v>0</v>
      </c>
      <c r="AN420" s="10" t="str">
        <f aca="false">IF($C420="&lt;01",ROUND(INDEX(EID!$P:$P,MATCH($B420,EID!$B:$B,0))/2,0),"")</f>
        <v/>
      </c>
      <c r="AO420" s="10" t="n">
        <f aca="false">IF($C420="&lt;01",SUM($AN420),ROUND(SUM($AM420)*SUM($O420)/IF(SUM($Z420)=0,1,$Z420),0))</f>
        <v>0</v>
      </c>
      <c r="AP420" s="39" t="n">
        <f aca="false">IF(OR($F420="",$C420="&lt;01"),$AO420,$F420)</f>
        <v>0</v>
      </c>
      <c r="AQ420" s="39" t="n">
        <f aca="false">IF(LEFT($B420,4)="_Mil","",IF(SUM($AP420)=0,SUM($Z420),IF(OR(SUM($Z420)=0,SUM($O420)=0),MAX($AP420,$Z420),$AP420*$Z420/$O420)))</f>
        <v>1689</v>
      </c>
      <c r="AR420" s="88" t="str">
        <f aca="false">IF(OR(LEFT($B420,4)="_Mil",SUM($AJ420)=0),"",SUM($AQ420)/$AJ420)</f>
        <v/>
      </c>
      <c r="AS420" s="88" t="n">
        <f aca="false">IF($C420="&lt;01","",98%)</f>
        <v>0.98</v>
      </c>
      <c r="AT420" s="88" t="n">
        <f aca="false">IF($C420="&lt;01","",98%)</f>
        <v>0.98</v>
      </c>
      <c r="AU420" s="10" t="n">
        <f aca="false">IF($C420="&lt;01","",SUM($AP420)-SUM($O420))</f>
        <v>0</v>
      </c>
      <c r="AV420" s="10" t="n">
        <f aca="false">IF($C420="&lt;01",ROUND(INDEX(EID!$N:$N,MATCH($B420,EID!$B:$B,0))/2,0),IF(SUM($AT420)=0,"",ROUND((SUM($AP420)-(SUM($O420)*SUM($AS420)))/$AT420,0)))</f>
        <v>0</v>
      </c>
      <c r="AW420" s="88" t="n">
        <f aca="false">IF($C420="&lt;01","",100%)</f>
        <v>1</v>
      </c>
      <c r="AX420" s="39" t="n">
        <f aca="false">IF($C420="&lt;01",SUM($AV420),ROUND(SUM($AV420)*SUM($AW420),0))</f>
        <v>0</v>
      </c>
      <c r="AY420" s="114" t="n">
        <f aca="false">IF($C420="&lt;01","",70%)</f>
        <v>0.7</v>
      </c>
      <c r="AZ420" s="91" t="n">
        <f aca="false">IF($C420="&lt;01",ROUND(INDEX(EID!$R:$R,MATCH($B420,EID!$B:$B,0))/2,0),ROUND(SUM($O420)+(SUM($AV420)*$AY420),0))</f>
        <v>0</v>
      </c>
      <c r="BA420" s="87" t="n">
        <f aca="false">IF($C420="&lt;01","",95%)</f>
        <v>0.95</v>
      </c>
      <c r="BB420" s="5" t="n">
        <f aca="false">IF($C420="&lt;01",ROUND(INDEX(EID!$T:$T,MATCH($B420,EID!$B:$B,0))/2,0),ROUND($AZ420*$BA420,0))</f>
        <v>0</v>
      </c>
      <c r="BC420" s="91" t="n">
        <f aca="false">IF(LEFT($B420,4)="_Mil","",IF(SUM($BB420)=0,SUM($AD420),IF(OR(SUM($AP420)=0,SUM($AQ420)=0),MAX($BB420,$AD420),ROUND($BB420*$AQ420/$AP420,0))))</f>
        <v>0</v>
      </c>
      <c r="BD420" s="88" t="n">
        <f aca="false">IF($C420="&lt;01","",95%)</f>
        <v>0.95</v>
      </c>
      <c r="BE420" s="39" t="n">
        <f aca="false">IF($C420="&lt;01",ROUND(INDEX(EID!$V:$V,MATCH($B420,EID!$B:$B,0))/2,0),ROUND($BD420*$BB420,0))</f>
        <v>0</v>
      </c>
      <c r="BF420" s="39" t="n">
        <f aca="false">IF(LEFT($B420,4)="_Mil","",IF(SUM($BE420)=0,SUM($AF420),IF(OR(SUM($AP420)=0,SUM($AQ420)=0),MAX($BE420,$AF420),ROUND($BE420*$AQ420/$AP420,0))))</f>
        <v>0</v>
      </c>
      <c r="BG420" s="114" t="n">
        <f aca="false">IF($C420="&lt;01","",95%)</f>
        <v>0.95</v>
      </c>
      <c r="BH420" s="5" t="n">
        <f aca="false">IF($C420="&lt;01",ROUND(INDEX(EID!$L:$L,MATCH($B420,EID!$B:$B,0)),0)/2,IF(SUM($BG420)=0,"",ROUND($AX420/$BG420,0)))</f>
        <v>0</v>
      </c>
    </row>
    <row r="421" customFormat="false" ht="15" hidden="false" customHeight="false" outlineLevel="0" collapsed="false">
      <c r="AY421" s="114"/>
      <c r="AZ421" s="91"/>
      <c r="BA421" s="87"/>
      <c r="BB421" s="5"/>
      <c r="BC421" s="91"/>
      <c r="BG421" s="114"/>
      <c r="BH421" s="5"/>
    </row>
    <row r="422" customFormat="false" ht="15" hidden="false" customHeight="false" outlineLevel="0" collapsed="false">
      <c r="AY422" s="114"/>
      <c r="AZ422" s="91"/>
      <c r="BA422" s="87"/>
      <c r="BB422" s="5"/>
      <c r="BC422" s="91"/>
      <c r="BG422" s="114"/>
      <c r="BH422" s="5"/>
    </row>
    <row r="423" customFormat="false" ht="15" hidden="false" customHeight="false" outlineLevel="0" collapsed="false">
      <c r="AY423" s="114"/>
      <c r="AZ423" s="91"/>
      <c r="BA423" s="87"/>
      <c r="BB423" s="5"/>
      <c r="BC423" s="91"/>
      <c r="BG423" s="114"/>
      <c r="BH423" s="5"/>
    </row>
    <row r="424" customFormat="false" ht="15" hidden="false" customHeight="false" outlineLevel="0" collapsed="false">
      <c r="AY424" s="114"/>
      <c r="AZ424" s="91"/>
      <c r="BA424" s="87"/>
      <c r="BB424" s="5"/>
      <c r="BC424" s="91"/>
      <c r="BG424" s="114"/>
      <c r="BH424" s="5"/>
    </row>
    <row r="425" customFormat="false" ht="15" hidden="false" customHeight="false" outlineLevel="0" collapsed="false">
      <c r="AY425" s="114"/>
      <c r="AZ425" s="91"/>
      <c r="BA425" s="87"/>
      <c r="BB425" s="5"/>
      <c r="BC425" s="91"/>
      <c r="BG425" s="114"/>
      <c r="BH425" s="5"/>
    </row>
    <row r="426" customFormat="false" ht="15" hidden="false" customHeight="false" outlineLevel="0" collapsed="false">
      <c r="AY426" s="114"/>
      <c r="AZ426" s="91"/>
      <c r="BA426" s="87"/>
      <c r="BB426" s="5"/>
      <c r="BC426" s="91"/>
      <c r="BG426" s="114"/>
      <c r="BH426" s="5"/>
    </row>
    <row r="427" customFormat="false" ht="15" hidden="false" customHeight="false" outlineLevel="0" collapsed="false">
      <c r="AY427" s="114"/>
      <c r="AZ427" s="91"/>
      <c r="BA427" s="87"/>
      <c r="BB427" s="5"/>
      <c r="BC427" s="91"/>
      <c r="BG427" s="114"/>
      <c r="BH427" s="5"/>
    </row>
    <row r="428" customFormat="false" ht="15" hidden="false" customHeight="false" outlineLevel="0" collapsed="false">
      <c r="AY428" s="114"/>
      <c r="AZ428" s="91"/>
      <c r="BA428" s="87"/>
      <c r="BB428" s="5"/>
      <c r="BC428" s="91"/>
      <c r="BG428" s="114"/>
      <c r="BH428" s="5"/>
    </row>
    <row r="429" customFormat="false" ht="15" hidden="false" customHeight="false" outlineLevel="0" collapsed="false">
      <c r="AY429" s="114"/>
      <c r="AZ429" s="91"/>
      <c r="BA429" s="87"/>
      <c r="BB429" s="5"/>
      <c r="BC429" s="91"/>
      <c r="BG429" s="114"/>
      <c r="BH429" s="5"/>
    </row>
    <row r="430" customFormat="false" ht="15" hidden="false" customHeight="false" outlineLevel="0" collapsed="false">
      <c r="AY430" s="114"/>
      <c r="AZ430" s="91"/>
      <c r="BA430" s="87"/>
      <c r="BB430" s="5"/>
      <c r="BC430" s="91"/>
      <c r="BG430" s="114"/>
      <c r="BH430" s="5"/>
    </row>
    <row r="431" customFormat="false" ht="15" hidden="false" customHeight="false" outlineLevel="0" collapsed="false">
      <c r="AY431" s="114"/>
      <c r="AZ431" s="91"/>
      <c r="BA431" s="87"/>
      <c r="BB431" s="5"/>
      <c r="BC431" s="91"/>
      <c r="BG431" s="114"/>
      <c r="BH431" s="5"/>
    </row>
    <row r="432" customFormat="false" ht="15" hidden="false" customHeight="false" outlineLevel="0" collapsed="false">
      <c r="AY432" s="114"/>
      <c r="AZ432" s="91"/>
      <c r="BA432" s="87"/>
      <c r="BB432" s="5"/>
      <c r="BC432" s="91"/>
      <c r="BG432" s="114"/>
      <c r="BH432" s="5"/>
    </row>
    <row r="433" customFormat="false" ht="15" hidden="false" customHeight="false" outlineLevel="0" collapsed="false">
      <c r="AY433" s="114"/>
      <c r="AZ433" s="91"/>
      <c r="BA433" s="87"/>
      <c r="BB433" s="5"/>
      <c r="BC433" s="91"/>
      <c r="BG433" s="114"/>
      <c r="BH433" s="5"/>
    </row>
    <row r="434" customFormat="false" ht="15" hidden="false" customHeight="false" outlineLevel="0" collapsed="false">
      <c r="AY434" s="114"/>
      <c r="AZ434" s="91"/>
      <c r="BA434" s="87"/>
      <c r="BB434" s="5"/>
      <c r="BC434" s="91"/>
      <c r="BG434" s="114"/>
      <c r="BH434" s="5"/>
    </row>
    <row r="435" customFormat="false" ht="15" hidden="false" customHeight="false" outlineLevel="0" collapsed="false">
      <c r="AY435" s="114"/>
      <c r="AZ435" s="91"/>
      <c r="BA435" s="87"/>
      <c r="BB435" s="5"/>
      <c r="BC435" s="91"/>
      <c r="BG435" s="114"/>
      <c r="BH435" s="5"/>
    </row>
    <row r="436" customFormat="false" ht="15" hidden="false" customHeight="false" outlineLevel="0" collapsed="false">
      <c r="AY436" s="114"/>
      <c r="AZ436" s="91"/>
      <c r="BA436" s="87"/>
      <c r="BB436" s="5"/>
      <c r="BC436" s="91"/>
      <c r="BG436" s="114"/>
      <c r="BH436" s="5"/>
    </row>
    <row r="437" customFormat="false" ht="15" hidden="false" customHeight="false" outlineLevel="0" collapsed="false">
      <c r="AY437" s="114"/>
      <c r="AZ437" s="91"/>
      <c r="BA437" s="87"/>
      <c r="BB437" s="5"/>
      <c r="BC437" s="91"/>
      <c r="BG437" s="114"/>
      <c r="BH437" s="5"/>
    </row>
    <row r="438" customFormat="false" ht="15" hidden="false" customHeight="false" outlineLevel="0" collapsed="false">
      <c r="AY438" s="114"/>
      <c r="AZ438" s="91"/>
      <c r="BA438" s="87"/>
      <c r="BB438" s="5"/>
      <c r="BC438" s="91"/>
      <c r="BG438" s="114"/>
      <c r="BH438" s="5"/>
    </row>
    <row r="439" customFormat="false" ht="15" hidden="false" customHeight="false" outlineLevel="0" collapsed="false">
      <c r="AY439" s="114"/>
      <c r="AZ439" s="91"/>
      <c r="BA439" s="87"/>
      <c r="BB439" s="5"/>
      <c r="BC439" s="91"/>
      <c r="BG439" s="114"/>
      <c r="BH439" s="5"/>
    </row>
    <row r="440" customFormat="false" ht="15" hidden="false" customHeight="false" outlineLevel="0" collapsed="false">
      <c r="AY440" s="114"/>
      <c r="AZ440" s="91"/>
      <c r="BA440" s="87"/>
      <c r="BB440" s="5"/>
      <c r="BC440" s="91"/>
      <c r="BG440" s="114"/>
      <c r="BH440" s="5"/>
    </row>
    <row r="441" customFormat="false" ht="15" hidden="false" customHeight="false" outlineLevel="0" collapsed="false">
      <c r="AY441" s="114"/>
      <c r="AZ441" s="91"/>
      <c r="BA441" s="87"/>
      <c r="BB441" s="5"/>
      <c r="BC441" s="91"/>
      <c r="BG441" s="114"/>
      <c r="BH441" s="5"/>
    </row>
    <row r="442" customFormat="false" ht="15" hidden="false" customHeight="false" outlineLevel="0" collapsed="false">
      <c r="AY442" s="114"/>
      <c r="AZ442" s="91"/>
      <c r="BA442" s="87"/>
      <c r="BB442" s="5"/>
      <c r="BC442" s="91"/>
      <c r="BG442" s="114"/>
      <c r="BH442" s="5"/>
    </row>
    <row r="443" customFormat="false" ht="15" hidden="false" customHeight="false" outlineLevel="0" collapsed="false">
      <c r="AY443" s="114"/>
      <c r="AZ443" s="91"/>
      <c r="BA443" s="87"/>
      <c r="BB443" s="5"/>
      <c r="BC443" s="91"/>
      <c r="BG443" s="114"/>
      <c r="BH443" s="5"/>
    </row>
    <row r="444" customFormat="false" ht="15" hidden="false" customHeight="false" outlineLevel="0" collapsed="false">
      <c r="AY444" s="114"/>
      <c r="AZ444" s="91"/>
      <c r="BA444" s="87"/>
      <c r="BB444" s="5"/>
      <c r="BC444" s="91"/>
      <c r="BG444" s="114"/>
      <c r="BH444" s="5"/>
    </row>
    <row r="445" customFormat="false" ht="15" hidden="false" customHeight="false" outlineLevel="0" collapsed="false">
      <c r="AY445" s="114"/>
      <c r="AZ445" s="91"/>
      <c r="BA445" s="87"/>
      <c r="BB445" s="5"/>
      <c r="BC445" s="91"/>
      <c r="BG445" s="114"/>
      <c r="BH445" s="5"/>
    </row>
    <row r="446" customFormat="false" ht="15" hidden="false" customHeight="false" outlineLevel="0" collapsed="false">
      <c r="AY446" s="114"/>
      <c r="AZ446" s="91"/>
      <c r="BA446" s="87"/>
      <c r="BB446" s="5"/>
      <c r="BC446" s="91"/>
      <c r="BG446" s="114"/>
      <c r="BH446" s="5"/>
    </row>
    <row r="447" customFormat="false" ht="15" hidden="false" customHeight="false" outlineLevel="0" collapsed="false">
      <c r="AY447" s="114"/>
      <c r="AZ447" s="91"/>
      <c r="BA447" s="87"/>
      <c r="BB447" s="5"/>
      <c r="BC447" s="91"/>
      <c r="BG447" s="114"/>
      <c r="BH447" s="5"/>
    </row>
    <row r="448" customFormat="false" ht="15" hidden="false" customHeight="false" outlineLevel="0" collapsed="false">
      <c r="AY448" s="114"/>
      <c r="AZ448" s="91"/>
      <c r="BA448" s="87"/>
      <c r="BB448" s="5"/>
      <c r="BC448" s="91"/>
      <c r="BG448" s="114"/>
      <c r="BH448" s="5"/>
    </row>
    <row r="449" customFormat="false" ht="15" hidden="false" customHeight="false" outlineLevel="0" collapsed="false">
      <c r="AY449" s="114"/>
      <c r="AZ449" s="91"/>
      <c r="BA449" s="87"/>
      <c r="BB449" s="5"/>
      <c r="BC449" s="91"/>
      <c r="BG449" s="114"/>
      <c r="BH449" s="5"/>
    </row>
    <row r="450" customFormat="false" ht="15" hidden="false" customHeight="false" outlineLevel="0" collapsed="false">
      <c r="AY450" s="114"/>
      <c r="AZ450" s="91"/>
      <c r="BA450" s="87"/>
      <c r="BB450" s="5"/>
      <c r="BC450" s="91"/>
      <c r="BG450" s="114"/>
      <c r="BH450" s="5"/>
    </row>
    <row r="451" customFormat="false" ht="15" hidden="false" customHeight="false" outlineLevel="0" collapsed="false">
      <c r="AY451" s="114"/>
      <c r="AZ451" s="91"/>
      <c r="BA451" s="87"/>
      <c r="BB451" s="5"/>
      <c r="BC451" s="91"/>
      <c r="BG451" s="114"/>
      <c r="BH451" s="5"/>
    </row>
    <row r="452" customFormat="false" ht="15" hidden="false" customHeight="false" outlineLevel="0" collapsed="false">
      <c r="AY452" s="114"/>
      <c r="AZ452" s="91"/>
      <c r="BA452" s="87"/>
      <c r="BB452" s="5"/>
      <c r="BC452" s="91"/>
      <c r="BG452" s="114"/>
      <c r="BH452" s="5"/>
    </row>
    <row r="453" customFormat="false" ht="15" hidden="false" customHeight="false" outlineLevel="0" collapsed="false">
      <c r="AY453" s="114"/>
      <c r="AZ453" s="91"/>
      <c r="BA453" s="87"/>
      <c r="BB453" s="5"/>
      <c r="BC453" s="91"/>
      <c r="BG453" s="114"/>
      <c r="BH453" s="5"/>
    </row>
    <row r="454" customFormat="false" ht="15" hidden="false" customHeight="false" outlineLevel="0" collapsed="false">
      <c r="AY454" s="114"/>
      <c r="AZ454" s="91"/>
      <c r="BA454" s="87"/>
      <c r="BB454" s="5"/>
      <c r="BC454" s="91"/>
      <c r="BG454" s="114"/>
      <c r="BH454" s="5"/>
    </row>
    <row r="455" customFormat="false" ht="15" hidden="false" customHeight="false" outlineLevel="0" collapsed="false">
      <c r="AY455" s="114"/>
      <c r="AZ455" s="91"/>
      <c r="BA455" s="87"/>
      <c r="BB455" s="5"/>
      <c r="BC455" s="91"/>
      <c r="BG455" s="114"/>
      <c r="BH455" s="5"/>
    </row>
    <row r="456" customFormat="false" ht="15" hidden="false" customHeight="false" outlineLevel="0" collapsed="false">
      <c r="AY456" s="114"/>
      <c r="AZ456" s="91"/>
      <c r="BA456" s="87"/>
      <c r="BB456" s="5"/>
      <c r="BC456" s="91"/>
      <c r="BG456" s="114"/>
      <c r="BH456" s="5"/>
    </row>
    <row r="457" customFormat="false" ht="15" hidden="false" customHeight="false" outlineLevel="0" collapsed="false">
      <c r="AY457" s="114"/>
      <c r="AZ457" s="91"/>
      <c r="BA457" s="87"/>
      <c r="BB457" s="5"/>
      <c r="BC457" s="91"/>
      <c r="BG457" s="114"/>
      <c r="BH457" s="5"/>
    </row>
    <row r="458" customFormat="false" ht="15" hidden="false" customHeight="false" outlineLevel="0" collapsed="false">
      <c r="AY458" s="114"/>
      <c r="AZ458" s="91"/>
      <c r="BA458" s="87"/>
      <c r="BB458" s="5"/>
      <c r="BC458" s="91"/>
      <c r="BG458" s="114"/>
      <c r="BH458" s="5"/>
    </row>
    <row r="459" customFormat="false" ht="15" hidden="false" customHeight="false" outlineLevel="0" collapsed="false">
      <c r="AY459" s="114"/>
      <c r="AZ459" s="91"/>
      <c r="BA459" s="87"/>
      <c r="BB459" s="5"/>
      <c r="BC459" s="91"/>
      <c r="BG459" s="114"/>
      <c r="BH459" s="5"/>
    </row>
    <row r="460" customFormat="false" ht="15" hidden="false" customHeight="false" outlineLevel="0" collapsed="false">
      <c r="AY460" s="114"/>
      <c r="AZ460" s="91"/>
      <c r="BA460" s="87"/>
      <c r="BB460" s="5"/>
      <c r="BC460" s="91"/>
      <c r="BG460" s="114"/>
      <c r="BH460" s="5"/>
    </row>
    <row r="461" customFormat="false" ht="15" hidden="false" customHeight="false" outlineLevel="0" collapsed="false">
      <c r="AY461" s="114"/>
      <c r="AZ461" s="91"/>
      <c r="BA461" s="87"/>
      <c r="BB461" s="5"/>
      <c r="BC461" s="91"/>
      <c r="BG461" s="114"/>
      <c r="BH461" s="5"/>
    </row>
    <row r="462" customFormat="false" ht="15" hidden="false" customHeight="false" outlineLevel="0" collapsed="false">
      <c r="AY462" s="114"/>
      <c r="AZ462" s="91"/>
      <c r="BA462" s="87"/>
      <c r="BB462" s="5"/>
      <c r="BC462" s="91"/>
      <c r="BG462" s="114"/>
      <c r="BH462" s="5"/>
    </row>
    <row r="463" customFormat="false" ht="15" hidden="false" customHeight="false" outlineLevel="0" collapsed="false">
      <c r="AY463" s="114"/>
      <c r="AZ463" s="91"/>
      <c r="BA463" s="87"/>
      <c r="BB463" s="5"/>
      <c r="BC463" s="91"/>
      <c r="BG463" s="114"/>
      <c r="BH463" s="5"/>
    </row>
    <row r="464" customFormat="false" ht="15" hidden="false" customHeight="false" outlineLevel="0" collapsed="false">
      <c r="AY464" s="114"/>
      <c r="AZ464" s="91"/>
      <c r="BA464" s="87"/>
      <c r="BB464" s="5"/>
      <c r="BC464" s="91"/>
      <c r="BG464" s="114"/>
      <c r="BH464" s="5"/>
    </row>
    <row r="465" customFormat="false" ht="15" hidden="false" customHeight="false" outlineLevel="0" collapsed="false">
      <c r="AY465" s="114"/>
      <c r="AZ465" s="91"/>
      <c r="BA465" s="87"/>
      <c r="BB465" s="5"/>
      <c r="BC465" s="91"/>
      <c r="BG465" s="114"/>
      <c r="BH465" s="5"/>
    </row>
    <row r="466" customFormat="false" ht="15" hidden="false" customHeight="false" outlineLevel="0" collapsed="false">
      <c r="AY466" s="114"/>
      <c r="AZ466" s="91"/>
      <c r="BA466" s="87"/>
      <c r="BB466" s="5"/>
      <c r="BC466" s="91"/>
      <c r="BG466" s="114"/>
      <c r="BH466" s="5"/>
    </row>
    <row r="467" customFormat="false" ht="15" hidden="false" customHeight="false" outlineLevel="0" collapsed="false">
      <c r="AY467" s="114"/>
      <c r="AZ467" s="91"/>
      <c r="BA467" s="87"/>
      <c r="BB467" s="5"/>
      <c r="BC467" s="91"/>
      <c r="BG467" s="114"/>
      <c r="BH467" s="5"/>
    </row>
    <row r="468" customFormat="false" ht="15" hidden="false" customHeight="false" outlineLevel="0" collapsed="false">
      <c r="AY468" s="114"/>
      <c r="AZ468" s="91"/>
      <c r="BA468" s="87"/>
      <c r="BB468" s="5"/>
      <c r="BC468" s="91"/>
      <c r="BG468" s="114"/>
      <c r="BH468" s="5"/>
    </row>
    <row r="469" customFormat="false" ht="15" hidden="false" customHeight="false" outlineLevel="0" collapsed="false">
      <c r="AY469" s="114"/>
      <c r="AZ469" s="91"/>
      <c r="BA469" s="87"/>
      <c r="BB469" s="5"/>
      <c r="BC469" s="91"/>
      <c r="BG469" s="114"/>
      <c r="BH469" s="5"/>
    </row>
    <row r="470" customFormat="false" ht="15" hidden="false" customHeight="false" outlineLevel="0" collapsed="false">
      <c r="AY470" s="114"/>
      <c r="AZ470" s="91"/>
      <c r="BA470" s="87"/>
      <c r="BB470" s="5"/>
      <c r="BC470" s="91"/>
      <c r="BG470" s="114"/>
      <c r="BH470" s="5"/>
    </row>
    <row r="471" customFormat="false" ht="15" hidden="false" customHeight="false" outlineLevel="0" collapsed="false">
      <c r="AY471" s="114"/>
      <c r="AZ471" s="91"/>
      <c r="BA471" s="87"/>
      <c r="BB471" s="5"/>
      <c r="BC471" s="91"/>
      <c r="BG471" s="114"/>
      <c r="BH471" s="5"/>
    </row>
    <row r="472" customFormat="false" ht="15" hidden="false" customHeight="false" outlineLevel="0" collapsed="false">
      <c r="AY472" s="114"/>
      <c r="AZ472" s="91"/>
      <c r="BA472" s="87"/>
      <c r="BB472" s="5"/>
      <c r="BC472" s="91"/>
      <c r="BG472" s="114"/>
      <c r="BH472" s="5"/>
    </row>
    <row r="473" customFormat="false" ht="15" hidden="false" customHeight="false" outlineLevel="0" collapsed="false">
      <c r="AY473" s="114"/>
      <c r="AZ473" s="91"/>
      <c r="BA473" s="87"/>
      <c r="BB473" s="5"/>
      <c r="BC473" s="91"/>
      <c r="BG473" s="114"/>
      <c r="BH473" s="5"/>
    </row>
    <row r="474" customFormat="false" ht="15" hidden="false" customHeight="false" outlineLevel="0" collapsed="false">
      <c r="AY474" s="114"/>
      <c r="AZ474" s="91"/>
      <c r="BA474" s="87"/>
      <c r="BB474" s="5"/>
      <c r="BC474" s="91"/>
      <c r="BG474" s="114"/>
      <c r="BH474" s="5"/>
    </row>
    <row r="475" customFormat="false" ht="15" hidden="false" customHeight="false" outlineLevel="0" collapsed="false">
      <c r="AY475" s="114"/>
      <c r="AZ475" s="91"/>
      <c r="BA475" s="87"/>
      <c r="BB475" s="5"/>
      <c r="BC475" s="91"/>
      <c r="BG475" s="114"/>
      <c r="BH475" s="5"/>
    </row>
    <row r="476" customFormat="false" ht="15" hidden="false" customHeight="false" outlineLevel="0" collapsed="false">
      <c r="AY476" s="114"/>
      <c r="AZ476" s="91"/>
      <c r="BA476" s="87"/>
      <c r="BB476" s="5"/>
      <c r="BC476" s="91"/>
      <c r="BG476" s="114"/>
      <c r="BH476" s="5"/>
    </row>
    <row r="477" customFormat="false" ht="15" hidden="false" customHeight="false" outlineLevel="0" collapsed="false">
      <c r="AY477" s="114"/>
      <c r="AZ477" s="91"/>
      <c r="BA477" s="87"/>
      <c r="BB477" s="5"/>
      <c r="BC477" s="91"/>
      <c r="BG477" s="114"/>
      <c r="BH477" s="5"/>
    </row>
    <row r="478" customFormat="false" ht="15" hidden="false" customHeight="false" outlineLevel="0" collapsed="false">
      <c r="AY478" s="114"/>
      <c r="AZ478" s="91"/>
      <c r="BA478" s="87"/>
      <c r="BB478" s="5"/>
      <c r="BC478" s="91"/>
      <c r="BG478" s="114"/>
      <c r="BH478" s="5"/>
    </row>
    <row r="479" customFormat="false" ht="15" hidden="false" customHeight="false" outlineLevel="0" collapsed="false">
      <c r="AY479" s="114"/>
      <c r="AZ479" s="91"/>
      <c r="BA479" s="87"/>
      <c r="BB479" s="5"/>
      <c r="BC479" s="91"/>
      <c r="BG479" s="114"/>
      <c r="BH479" s="5"/>
    </row>
    <row r="480" customFormat="false" ht="15" hidden="false" customHeight="false" outlineLevel="0" collapsed="false">
      <c r="AY480" s="114"/>
      <c r="AZ480" s="91"/>
      <c r="BA480" s="87"/>
      <c r="BB480" s="5"/>
      <c r="BC480" s="91"/>
      <c r="BG480" s="114"/>
      <c r="BH480" s="5"/>
    </row>
    <row r="481" customFormat="false" ht="15" hidden="false" customHeight="false" outlineLevel="0" collapsed="false">
      <c r="AY481" s="114"/>
      <c r="AZ481" s="91"/>
      <c r="BA481" s="87"/>
      <c r="BB481" s="5"/>
      <c r="BC481" s="91"/>
      <c r="BG481" s="114"/>
      <c r="BH481" s="5"/>
    </row>
    <row r="482" customFormat="false" ht="15" hidden="false" customHeight="false" outlineLevel="0" collapsed="false">
      <c r="AY482" s="114"/>
      <c r="AZ482" s="91"/>
      <c r="BA482" s="87"/>
      <c r="BB482" s="5"/>
      <c r="BC482" s="91"/>
      <c r="BG482" s="114"/>
      <c r="BH482" s="5"/>
    </row>
    <row r="483" customFormat="false" ht="15" hidden="false" customHeight="false" outlineLevel="0" collapsed="false">
      <c r="AY483" s="114"/>
      <c r="AZ483" s="91"/>
      <c r="BA483" s="87"/>
      <c r="BB483" s="5"/>
      <c r="BC483" s="91"/>
      <c r="BG483" s="114"/>
      <c r="BH483" s="5"/>
    </row>
    <row r="484" customFormat="false" ht="15" hidden="false" customHeight="false" outlineLevel="0" collapsed="false">
      <c r="AY484" s="114"/>
      <c r="AZ484" s="91"/>
      <c r="BA484" s="87"/>
      <c r="BB484" s="5"/>
      <c r="BC484" s="91"/>
      <c r="BG484" s="114"/>
      <c r="BH484" s="5"/>
    </row>
    <row r="485" customFormat="false" ht="15" hidden="false" customHeight="false" outlineLevel="0" collapsed="false">
      <c r="AY485" s="114"/>
      <c r="AZ485" s="91"/>
      <c r="BA485" s="87"/>
      <c r="BB485" s="5"/>
      <c r="BC485" s="91"/>
      <c r="BG485" s="114"/>
      <c r="BH485" s="5"/>
    </row>
    <row r="486" customFormat="false" ht="15" hidden="false" customHeight="false" outlineLevel="0" collapsed="false">
      <c r="AY486" s="114"/>
      <c r="AZ486" s="91"/>
      <c r="BA486" s="87"/>
      <c r="BB486" s="5"/>
      <c r="BC486" s="91"/>
      <c r="BG486" s="114"/>
      <c r="BH486" s="5"/>
    </row>
    <row r="487" customFormat="false" ht="15" hidden="false" customHeight="false" outlineLevel="0" collapsed="false">
      <c r="AY487" s="114"/>
      <c r="AZ487" s="91"/>
      <c r="BA487" s="87"/>
      <c r="BB487" s="5"/>
      <c r="BC487" s="91"/>
      <c r="BG487" s="114"/>
      <c r="BH487" s="5"/>
    </row>
    <row r="488" customFormat="false" ht="15" hidden="false" customHeight="false" outlineLevel="0" collapsed="false">
      <c r="AY488" s="114"/>
      <c r="AZ488" s="91"/>
      <c r="BA488" s="87"/>
      <c r="BB488" s="5"/>
      <c r="BC488" s="91"/>
      <c r="BG488" s="114"/>
      <c r="BH488" s="5"/>
    </row>
    <row r="489" customFormat="false" ht="15" hidden="false" customHeight="false" outlineLevel="0" collapsed="false">
      <c r="AY489" s="114"/>
      <c r="AZ489" s="91"/>
      <c r="BA489" s="87"/>
      <c r="BB489" s="5"/>
      <c r="BC489" s="91"/>
      <c r="BG489" s="114"/>
      <c r="BH489" s="5"/>
    </row>
    <row r="490" customFormat="false" ht="15" hidden="false" customHeight="false" outlineLevel="0" collapsed="false">
      <c r="AY490" s="114"/>
      <c r="AZ490" s="91"/>
      <c r="BA490" s="87"/>
      <c r="BB490" s="5"/>
      <c r="BC490" s="91"/>
      <c r="BG490" s="114"/>
      <c r="BH490" s="5"/>
    </row>
    <row r="491" customFormat="false" ht="15" hidden="false" customHeight="false" outlineLevel="0" collapsed="false">
      <c r="AY491" s="114"/>
      <c r="AZ491" s="91"/>
      <c r="BA491" s="87"/>
      <c r="BB491" s="5"/>
      <c r="BC491" s="91"/>
      <c r="BG491" s="114"/>
      <c r="BH491" s="5"/>
    </row>
    <row r="492" customFormat="false" ht="15" hidden="false" customHeight="false" outlineLevel="0" collapsed="false">
      <c r="AY492" s="114"/>
      <c r="AZ492" s="91"/>
      <c r="BA492" s="87"/>
      <c r="BB492" s="5"/>
      <c r="BC492" s="91"/>
      <c r="BG492" s="114"/>
      <c r="BH492" s="5"/>
    </row>
    <row r="493" customFormat="false" ht="15" hidden="false" customHeight="false" outlineLevel="0" collapsed="false">
      <c r="AY493" s="114"/>
      <c r="AZ493" s="91"/>
      <c r="BA493" s="87"/>
      <c r="BB493" s="5"/>
      <c r="BC493" s="91"/>
      <c r="BG493" s="114"/>
      <c r="BH493" s="5"/>
    </row>
    <row r="494" customFormat="false" ht="15" hidden="false" customHeight="false" outlineLevel="0" collapsed="false">
      <c r="AY494" s="114"/>
      <c r="AZ494" s="91"/>
      <c r="BA494" s="87"/>
      <c r="BB494" s="5"/>
      <c r="BC494" s="91"/>
      <c r="BG494" s="114"/>
      <c r="BH494" s="5"/>
    </row>
    <row r="495" customFormat="false" ht="15" hidden="false" customHeight="false" outlineLevel="0" collapsed="false">
      <c r="AY495" s="114"/>
      <c r="AZ495" s="91"/>
      <c r="BA495" s="87"/>
      <c r="BB495" s="5"/>
      <c r="BC495" s="91"/>
      <c r="BG495" s="114"/>
      <c r="BH495" s="5"/>
    </row>
    <row r="496" customFormat="false" ht="15" hidden="false" customHeight="false" outlineLevel="0" collapsed="false">
      <c r="AY496" s="114"/>
      <c r="AZ496" s="91"/>
      <c r="BA496" s="87"/>
      <c r="BB496" s="5"/>
      <c r="BC496" s="91"/>
      <c r="BG496" s="114"/>
      <c r="BH496" s="5"/>
    </row>
    <row r="497" customFormat="false" ht="15" hidden="false" customHeight="false" outlineLevel="0" collapsed="false">
      <c r="AY497" s="114"/>
      <c r="AZ497" s="91"/>
      <c r="BA497" s="87"/>
      <c r="BB497" s="5"/>
      <c r="BC497" s="91"/>
      <c r="BG497" s="114"/>
      <c r="BH497" s="5"/>
    </row>
    <row r="498" customFormat="false" ht="15" hidden="false" customHeight="false" outlineLevel="0" collapsed="false">
      <c r="AY498" s="114"/>
      <c r="AZ498" s="91"/>
      <c r="BA498" s="87"/>
      <c r="BB498" s="5"/>
      <c r="BC498" s="91"/>
      <c r="BG498" s="114"/>
      <c r="BH498" s="5"/>
    </row>
    <row r="499" customFormat="false" ht="15" hidden="false" customHeight="false" outlineLevel="0" collapsed="false">
      <c r="AY499" s="114"/>
      <c r="AZ499" s="91"/>
      <c r="BA499" s="87"/>
      <c r="BB499" s="5"/>
      <c r="BC499" s="91"/>
      <c r="BG499" s="114"/>
      <c r="BH499" s="5"/>
    </row>
    <row r="500" customFormat="false" ht="15" hidden="false" customHeight="false" outlineLevel="0" collapsed="false">
      <c r="AY500" s="114"/>
      <c r="AZ500" s="91"/>
      <c r="BA500" s="87"/>
      <c r="BB500" s="5"/>
      <c r="BC500" s="91"/>
      <c r="BG500" s="114"/>
      <c r="BH500" s="5"/>
    </row>
    <row r="501" customFormat="false" ht="15" hidden="false" customHeight="false" outlineLevel="0" collapsed="false">
      <c r="AY501" s="114"/>
      <c r="AZ501" s="91"/>
      <c r="BA501" s="87"/>
      <c r="BB501" s="5"/>
      <c r="BC501" s="91"/>
      <c r="BG501" s="114"/>
      <c r="BH501" s="5"/>
    </row>
    <row r="502" customFormat="false" ht="15" hidden="false" customHeight="false" outlineLevel="0" collapsed="false">
      <c r="AY502" s="114"/>
      <c r="AZ502" s="91"/>
      <c r="BA502" s="87"/>
      <c r="BB502" s="5"/>
      <c r="BC502" s="91"/>
      <c r="BG502" s="114"/>
      <c r="BH502" s="5"/>
    </row>
    <row r="503" customFormat="false" ht="15" hidden="false" customHeight="false" outlineLevel="0" collapsed="false">
      <c r="AY503" s="114"/>
      <c r="AZ503" s="91"/>
      <c r="BA503" s="87"/>
      <c r="BB503" s="5"/>
      <c r="BC503" s="91"/>
      <c r="BG503" s="114"/>
      <c r="BH503" s="5"/>
    </row>
    <row r="504" customFormat="false" ht="15" hidden="false" customHeight="false" outlineLevel="0" collapsed="false">
      <c r="AY504" s="114"/>
      <c r="AZ504" s="91"/>
      <c r="BA504" s="87"/>
      <c r="BB504" s="5"/>
      <c r="BC504" s="91"/>
      <c r="BG504" s="114"/>
      <c r="BH504" s="5"/>
    </row>
    <row r="505" customFormat="false" ht="15" hidden="false" customHeight="false" outlineLevel="0" collapsed="false">
      <c r="AY505" s="114"/>
      <c r="AZ505" s="91"/>
      <c r="BA505" s="87"/>
      <c r="BB505" s="5"/>
      <c r="BC505" s="91"/>
      <c r="BG505" s="114"/>
      <c r="BH505" s="5"/>
    </row>
    <row r="506" customFormat="false" ht="15" hidden="false" customHeight="false" outlineLevel="0" collapsed="false">
      <c r="AY506" s="114"/>
      <c r="AZ506" s="91"/>
      <c r="BA506" s="87"/>
      <c r="BB506" s="5"/>
      <c r="BC506" s="91"/>
      <c r="BG506" s="114"/>
      <c r="BH506" s="5"/>
    </row>
    <row r="507" customFormat="false" ht="15" hidden="false" customHeight="false" outlineLevel="0" collapsed="false">
      <c r="AY507" s="114"/>
      <c r="AZ507" s="91"/>
      <c r="BA507" s="87"/>
      <c r="BB507" s="5"/>
      <c r="BC507" s="91"/>
      <c r="BG507" s="114"/>
      <c r="BH507" s="5"/>
    </row>
    <row r="508" customFormat="false" ht="15" hidden="false" customHeight="false" outlineLevel="0" collapsed="false">
      <c r="AY508" s="114"/>
      <c r="AZ508" s="91"/>
      <c r="BA508" s="87"/>
      <c r="BB508" s="5"/>
      <c r="BC508" s="91"/>
      <c r="BG508" s="114"/>
      <c r="BH508" s="5"/>
    </row>
    <row r="509" customFormat="false" ht="15" hidden="false" customHeight="false" outlineLevel="0" collapsed="false">
      <c r="AY509" s="114"/>
      <c r="AZ509" s="91"/>
      <c r="BA509" s="87"/>
      <c r="BB509" s="5"/>
      <c r="BC509" s="91"/>
      <c r="BG509" s="114"/>
      <c r="BH509" s="5"/>
    </row>
    <row r="510" customFormat="false" ht="15" hidden="false" customHeight="false" outlineLevel="0" collapsed="false">
      <c r="AY510" s="114"/>
      <c r="AZ510" s="91"/>
      <c r="BA510" s="87"/>
      <c r="BB510" s="5"/>
      <c r="BC510" s="91"/>
      <c r="BG510" s="114"/>
      <c r="BH510" s="5"/>
    </row>
    <row r="511" customFormat="false" ht="15" hidden="false" customHeight="false" outlineLevel="0" collapsed="false">
      <c r="AY511" s="114"/>
      <c r="AZ511" s="91"/>
      <c r="BA511" s="87"/>
      <c r="BB511" s="5"/>
      <c r="BC511" s="91"/>
      <c r="BG511" s="114"/>
      <c r="BH511" s="5"/>
    </row>
    <row r="512" customFormat="false" ht="15" hidden="false" customHeight="false" outlineLevel="0" collapsed="false">
      <c r="AY512" s="114"/>
      <c r="AZ512" s="91"/>
      <c r="BA512" s="87"/>
      <c r="BB512" s="5"/>
      <c r="BC512" s="91"/>
      <c r="BG512" s="114"/>
      <c r="BH512" s="5"/>
    </row>
    <row r="513" customFormat="false" ht="15" hidden="false" customHeight="false" outlineLevel="0" collapsed="false">
      <c r="AY513" s="114"/>
      <c r="AZ513" s="91"/>
      <c r="BA513" s="87"/>
      <c r="BB513" s="5"/>
      <c r="BC513" s="91"/>
      <c r="BG513" s="114"/>
      <c r="BH513" s="5"/>
    </row>
    <row r="514" customFormat="false" ht="15" hidden="false" customHeight="false" outlineLevel="0" collapsed="false">
      <c r="AY514" s="114"/>
      <c r="AZ514" s="91"/>
      <c r="BA514" s="87"/>
      <c r="BB514" s="5"/>
      <c r="BC514" s="91"/>
      <c r="BG514" s="114"/>
      <c r="BH514" s="5"/>
    </row>
    <row r="515" customFormat="false" ht="15" hidden="false" customHeight="false" outlineLevel="0" collapsed="false">
      <c r="AY515" s="114"/>
      <c r="AZ515" s="91"/>
      <c r="BA515" s="87"/>
      <c r="BB515" s="5"/>
      <c r="BC515" s="91"/>
      <c r="BG515" s="114"/>
      <c r="BH515" s="5"/>
    </row>
    <row r="516" customFormat="false" ht="15" hidden="false" customHeight="false" outlineLevel="0" collapsed="false">
      <c r="AY516" s="114"/>
      <c r="AZ516" s="91"/>
      <c r="BA516" s="87"/>
      <c r="BB516" s="5"/>
      <c r="BC516" s="91"/>
      <c r="BG516" s="114"/>
      <c r="BH516" s="5"/>
    </row>
    <row r="517" customFormat="false" ht="15" hidden="false" customHeight="false" outlineLevel="0" collapsed="false">
      <c r="AY517" s="114"/>
      <c r="AZ517" s="91"/>
      <c r="BA517" s="87"/>
      <c r="BB517" s="5"/>
      <c r="BC517" s="91"/>
      <c r="BG517" s="114"/>
      <c r="BH517" s="5"/>
    </row>
    <row r="518" customFormat="false" ht="15" hidden="false" customHeight="false" outlineLevel="0" collapsed="false">
      <c r="AY518" s="114"/>
      <c r="AZ518" s="91"/>
      <c r="BA518" s="87"/>
      <c r="BB518" s="5"/>
      <c r="BC518" s="91"/>
      <c r="BG518" s="114"/>
      <c r="BH518" s="5"/>
    </row>
    <row r="519" customFormat="false" ht="15" hidden="false" customHeight="false" outlineLevel="0" collapsed="false">
      <c r="AY519" s="114"/>
      <c r="AZ519" s="91"/>
      <c r="BA519" s="87"/>
      <c r="BB519" s="5"/>
      <c r="BC519" s="91"/>
      <c r="BG519" s="114"/>
      <c r="BH519" s="5"/>
    </row>
    <row r="520" customFormat="false" ht="15" hidden="false" customHeight="false" outlineLevel="0" collapsed="false">
      <c r="AY520" s="114"/>
      <c r="AZ520" s="91"/>
      <c r="BA520" s="87"/>
      <c r="BB520" s="5"/>
      <c r="BC520" s="91"/>
      <c r="BG520" s="114"/>
      <c r="BH520" s="5"/>
    </row>
    <row r="521" customFormat="false" ht="15" hidden="false" customHeight="false" outlineLevel="0" collapsed="false">
      <c r="AY521" s="114"/>
      <c r="AZ521" s="91"/>
      <c r="BA521" s="87"/>
      <c r="BB521" s="5"/>
      <c r="BC521" s="91"/>
      <c r="BG521" s="114"/>
      <c r="BH521" s="5"/>
    </row>
    <row r="522" customFormat="false" ht="15" hidden="false" customHeight="false" outlineLevel="0" collapsed="false">
      <c r="AY522" s="114"/>
      <c r="AZ522" s="91"/>
      <c r="BA522" s="87"/>
      <c r="BB522" s="5"/>
      <c r="BC522" s="91"/>
      <c r="BG522" s="114"/>
      <c r="BH522" s="5"/>
    </row>
    <row r="523" customFormat="false" ht="15" hidden="false" customHeight="false" outlineLevel="0" collapsed="false">
      <c r="AY523" s="114"/>
      <c r="AZ523" s="91"/>
      <c r="BA523" s="87"/>
      <c r="BB523" s="5"/>
      <c r="BC523" s="91"/>
      <c r="BG523" s="114"/>
      <c r="BH523" s="5"/>
    </row>
    <row r="524" customFormat="false" ht="15" hidden="false" customHeight="false" outlineLevel="0" collapsed="false">
      <c r="AY524" s="114"/>
      <c r="AZ524" s="91"/>
      <c r="BA524" s="87"/>
      <c r="BB524" s="5"/>
      <c r="BC524" s="91"/>
      <c r="BG524" s="114"/>
      <c r="BH524" s="5"/>
    </row>
    <row r="525" customFormat="false" ht="15" hidden="false" customHeight="false" outlineLevel="0" collapsed="false">
      <c r="AY525" s="114"/>
      <c r="AZ525" s="91"/>
      <c r="BA525" s="87"/>
      <c r="BB525" s="5"/>
      <c r="BC525" s="91"/>
      <c r="BG525" s="114"/>
      <c r="BH525" s="5"/>
    </row>
    <row r="526" customFormat="false" ht="15" hidden="false" customHeight="false" outlineLevel="0" collapsed="false">
      <c r="AY526" s="114"/>
      <c r="AZ526" s="91"/>
      <c r="BA526" s="87"/>
      <c r="BB526" s="5"/>
      <c r="BC526" s="91"/>
      <c r="BG526" s="114"/>
      <c r="BH526" s="5"/>
    </row>
    <row r="527" customFormat="false" ht="15" hidden="false" customHeight="false" outlineLevel="0" collapsed="false">
      <c r="AY527" s="114"/>
      <c r="AZ527" s="91"/>
      <c r="BA527" s="87"/>
      <c r="BB527" s="5"/>
      <c r="BC527" s="91"/>
      <c r="BG527" s="114"/>
      <c r="BH527" s="5"/>
    </row>
    <row r="528" customFormat="false" ht="15" hidden="false" customHeight="false" outlineLevel="0" collapsed="false">
      <c r="AY528" s="114"/>
      <c r="AZ528" s="91"/>
      <c r="BA528" s="87"/>
      <c r="BB528" s="5"/>
      <c r="BC528" s="91"/>
      <c r="BG528" s="114"/>
      <c r="BH528" s="5"/>
    </row>
    <row r="529" customFormat="false" ht="15" hidden="false" customHeight="false" outlineLevel="0" collapsed="false">
      <c r="AY529" s="114"/>
      <c r="AZ529" s="91"/>
      <c r="BA529" s="87"/>
      <c r="BB529" s="5"/>
      <c r="BC529" s="91"/>
      <c r="BG529" s="114"/>
      <c r="BH529" s="5"/>
    </row>
    <row r="530" customFormat="false" ht="15" hidden="false" customHeight="false" outlineLevel="0" collapsed="false">
      <c r="AY530" s="114"/>
      <c r="AZ530" s="91"/>
      <c r="BA530" s="87"/>
      <c r="BB530" s="5"/>
      <c r="BC530" s="91"/>
      <c r="BG530" s="114"/>
      <c r="BH530" s="5"/>
    </row>
    <row r="531" customFormat="false" ht="15" hidden="false" customHeight="false" outlineLevel="0" collapsed="false">
      <c r="AY531" s="114"/>
      <c r="AZ531" s="91"/>
      <c r="BA531" s="87"/>
      <c r="BB531" s="5"/>
      <c r="BC531" s="91"/>
      <c r="BG531" s="114"/>
      <c r="BH531" s="5"/>
    </row>
    <row r="532" customFormat="false" ht="15" hidden="false" customHeight="false" outlineLevel="0" collapsed="false">
      <c r="AY532" s="114"/>
      <c r="AZ532" s="91"/>
      <c r="BA532" s="87"/>
      <c r="BB532" s="5"/>
      <c r="BC532" s="91"/>
      <c r="BG532" s="114"/>
      <c r="BH532" s="5"/>
    </row>
    <row r="533" customFormat="false" ht="15" hidden="false" customHeight="false" outlineLevel="0" collapsed="false">
      <c r="AY533" s="114"/>
      <c r="AZ533" s="91"/>
      <c r="BA533" s="87"/>
      <c r="BB533" s="5"/>
      <c r="BC533" s="91"/>
      <c r="BG533" s="114"/>
      <c r="BH533" s="5"/>
    </row>
    <row r="534" customFormat="false" ht="15" hidden="false" customHeight="false" outlineLevel="0" collapsed="false">
      <c r="AY534" s="114"/>
      <c r="AZ534" s="91"/>
      <c r="BA534" s="87"/>
      <c r="BB534" s="5"/>
      <c r="BC534" s="91"/>
      <c r="BG534" s="114"/>
      <c r="BH534" s="5"/>
    </row>
    <row r="535" customFormat="false" ht="15" hidden="false" customHeight="false" outlineLevel="0" collapsed="false">
      <c r="AY535" s="114"/>
      <c r="AZ535" s="91"/>
      <c r="BA535" s="87"/>
      <c r="BB535" s="5"/>
      <c r="BC535" s="91"/>
      <c r="BG535" s="114"/>
      <c r="BH535" s="5"/>
    </row>
    <row r="536" customFormat="false" ht="15" hidden="false" customHeight="false" outlineLevel="0" collapsed="false">
      <c r="AY536" s="114"/>
      <c r="AZ536" s="91"/>
      <c r="BA536" s="87"/>
      <c r="BB536" s="5"/>
      <c r="BC536" s="91"/>
      <c r="BG536" s="114"/>
      <c r="BH536" s="5"/>
    </row>
    <row r="537" customFormat="false" ht="15" hidden="false" customHeight="false" outlineLevel="0" collapsed="false">
      <c r="AY537" s="114"/>
      <c r="AZ537" s="91"/>
      <c r="BA537" s="87"/>
      <c r="BB537" s="5"/>
      <c r="BC537" s="91"/>
      <c r="BG537" s="114"/>
      <c r="BH537" s="5"/>
    </row>
    <row r="538" customFormat="false" ht="15" hidden="false" customHeight="false" outlineLevel="0" collapsed="false">
      <c r="AY538" s="114"/>
      <c r="AZ538" s="91"/>
      <c r="BA538" s="87"/>
      <c r="BB538" s="5"/>
      <c r="BC538" s="91"/>
      <c r="BG538" s="114"/>
      <c r="BH538" s="5"/>
    </row>
    <row r="539" customFormat="false" ht="15" hidden="false" customHeight="false" outlineLevel="0" collapsed="false">
      <c r="AY539" s="114"/>
      <c r="AZ539" s="91"/>
      <c r="BA539" s="87"/>
      <c r="BB539" s="5"/>
      <c r="BC539" s="91"/>
      <c r="BG539" s="114"/>
      <c r="BH539" s="5"/>
    </row>
    <row r="540" customFormat="false" ht="15" hidden="false" customHeight="false" outlineLevel="0" collapsed="false">
      <c r="AY540" s="114"/>
      <c r="AZ540" s="91"/>
      <c r="BA540" s="87"/>
      <c r="BB540" s="5"/>
      <c r="BC540" s="91"/>
      <c r="BG540" s="114"/>
      <c r="BH540" s="5"/>
    </row>
    <row r="541" customFormat="false" ht="15" hidden="false" customHeight="false" outlineLevel="0" collapsed="false">
      <c r="AY541" s="114"/>
      <c r="AZ541" s="91"/>
      <c r="BA541" s="87"/>
      <c r="BB541" s="5"/>
      <c r="BC541" s="91"/>
      <c r="BG541" s="114"/>
      <c r="BH541" s="5"/>
    </row>
    <row r="542" customFormat="false" ht="15" hidden="false" customHeight="false" outlineLevel="0" collapsed="false">
      <c r="AY542" s="114"/>
      <c r="AZ542" s="91"/>
      <c r="BA542" s="87"/>
      <c r="BB542" s="5"/>
      <c r="BC542" s="91"/>
      <c r="BG542" s="114"/>
      <c r="BH542" s="5"/>
    </row>
    <row r="543" customFormat="false" ht="15" hidden="false" customHeight="false" outlineLevel="0" collapsed="false">
      <c r="AY543" s="114"/>
      <c r="AZ543" s="91"/>
      <c r="BA543" s="87"/>
      <c r="BB543" s="5"/>
      <c r="BC543" s="91"/>
      <c r="BG543" s="114"/>
      <c r="BH543" s="5"/>
    </row>
    <row r="544" customFormat="false" ht="15" hidden="false" customHeight="false" outlineLevel="0" collapsed="false">
      <c r="AY544" s="114"/>
      <c r="AZ544" s="91"/>
      <c r="BA544" s="87"/>
      <c r="BB544" s="5"/>
      <c r="BC544" s="91"/>
      <c r="BG544" s="114"/>
      <c r="BH544" s="5"/>
    </row>
    <row r="545" customFormat="false" ht="15" hidden="false" customHeight="false" outlineLevel="0" collapsed="false">
      <c r="AY545" s="114"/>
      <c r="AZ545" s="91"/>
      <c r="BA545" s="87"/>
      <c r="BB545" s="5"/>
      <c r="BC545" s="91"/>
      <c r="BG545" s="114"/>
      <c r="BH545" s="5"/>
    </row>
    <row r="546" customFormat="false" ht="15" hidden="false" customHeight="false" outlineLevel="0" collapsed="false">
      <c r="AY546" s="114"/>
      <c r="AZ546" s="91"/>
      <c r="BA546" s="87"/>
      <c r="BB546" s="5"/>
      <c r="BC546" s="91"/>
      <c r="BG546" s="114"/>
      <c r="BH546" s="5"/>
    </row>
    <row r="547" customFormat="false" ht="15" hidden="false" customHeight="false" outlineLevel="0" collapsed="false">
      <c r="AY547" s="114"/>
      <c r="AZ547" s="91"/>
      <c r="BA547" s="87"/>
      <c r="BB547" s="5"/>
      <c r="BC547" s="91"/>
      <c r="BG547" s="114"/>
      <c r="BH547" s="5"/>
    </row>
    <row r="548" customFormat="false" ht="15" hidden="false" customHeight="false" outlineLevel="0" collapsed="false">
      <c r="AY548" s="114"/>
      <c r="AZ548" s="91"/>
      <c r="BA548" s="87"/>
      <c r="BB548" s="5"/>
      <c r="BC548" s="91"/>
      <c r="BG548" s="114"/>
      <c r="BH548" s="5"/>
    </row>
    <row r="549" customFormat="false" ht="15" hidden="false" customHeight="false" outlineLevel="0" collapsed="false">
      <c r="AY549" s="114"/>
      <c r="AZ549" s="91"/>
      <c r="BA549" s="87"/>
      <c r="BB549" s="5"/>
      <c r="BC549" s="91"/>
      <c r="BG549" s="114"/>
      <c r="BH549" s="5"/>
    </row>
    <row r="550" customFormat="false" ht="15" hidden="false" customHeight="false" outlineLevel="0" collapsed="false">
      <c r="AY550" s="114"/>
      <c r="AZ550" s="91"/>
      <c r="BA550" s="87"/>
      <c r="BB550" s="5"/>
      <c r="BC550" s="91"/>
      <c r="BG550" s="114"/>
      <c r="BH550" s="5"/>
    </row>
    <row r="551" customFormat="false" ht="15" hidden="false" customHeight="false" outlineLevel="0" collapsed="false">
      <c r="AY551" s="114"/>
      <c r="AZ551" s="91"/>
      <c r="BA551" s="87"/>
      <c r="BB551" s="5"/>
      <c r="BC551" s="91"/>
      <c r="BG551" s="114"/>
      <c r="BH551" s="5"/>
    </row>
    <row r="552" customFormat="false" ht="15" hidden="false" customHeight="false" outlineLevel="0" collapsed="false">
      <c r="AY552" s="114"/>
      <c r="AZ552" s="91"/>
      <c r="BA552" s="87"/>
      <c r="BB552" s="5"/>
      <c r="BC552" s="91"/>
      <c r="BG552" s="114"/>
      <c r="BH552" s="5"/>
    </row>
    <row r="553" customFormat="false" ht="15" hidden="false" customHeight="false" outlineLevel="0" collapsed="false">
      <c r="AY553" s="114"/>
      <c r="AZ553" s="91"/>
      <c r="BA553" s="87"/>
      <c r="BB553" s="5"/>
      <c r="BC553" s="91"/>
      <c r="BG553" s="114"/>
      <c r="BH553" s="5"/>
    </row>
    <row r="554" customFormat="false" ht="15" hidden="false" customHeight="false" outlineLevel="0" collapsed="false">
      <c r="AY554" s="114"/>
      <c r="AZ554" s="91"/>
      <c r="BA554" s="87"/>
      <c r="BB554" s="5"/>
      <c r="BC554" s="91"/>
      <c r="BG554" s="114"/>
      <c r="BH554" s="5"/>
    </row>
    <row r="555" customFormat="false" ht="15" hidden="false" customHeight="false" outlineLevel="0" collapsed="false">
      <c r="AY555" s="114"/>
      <c r="AZ555" s="91"/>
      <c r="BA555" s="87"/>
      <c r="BB555" s="5"/>
      <c r="BC555" s="91"/>
      <c r="BG555" s="114"/>
      <c r="BH555" s="5"/>
    </row>
    <row r="556" customFormat="false" ht="15" hidden="false" customHeight="false" outlineLevel="0" collapsed="false">
      <c r="AY556" s="114"/>
      <c r="AZ556" s="91"/>
      <c r="BA556" s="87"/>
      <c r="BB556" s="5"/>
      <c r="BC556" s="91"/>
      <c r="BG556" s="114"/>
      <c r="BH556" s="5"/>
    </row>
    <row r="557" customFormat="false" ht="15" hidden="false" customHeight="false" outlineLevel="0" collapsed="false">
      <c r="AY557" s="114"/>
      <c r="AZ557" s="91"/>
      <c r="BA557" s="87"/>
      <c r="BB557" s="5"/>
      <c r="BC557" s="91"/>
      <c r="BG557" s="114"/>
      <c r="BH557" s="5"/>
    </row>
    <row r="558" customFormat="false" ht="15" hidden="false" customHeight="false" outlineLevel="0" collapsed="false">
      <c r="AY558" s="114"/>
      <c r="AZ558" s="91"/>
      <c r="BA558" s="87"/>
      <c r="BB558" s="5"/>
      <c r="BC558" s="91"/>
      <c r="BG558" s="114"/>
      <c r="BH558" s="5"/>
    </row>
    <row r="559" customFormat="false" ht="15" hidden="false" customHeight="false" outlineLevel="0" collapsed="false">
      <c r="AY559" s="114"/>
      <c r="AZ559" s="91"/>
      <c r="BA559" s="87"/>
      <c r="BB559" s="5"/>
      <c r="BC559" s="91"/>
      <c r="BG559" s="114"/>
      <c r="BH559" s="5"/>
    </row>
    <row r="560" customFormat="false" ht="15" hidden="false" customHeight="false" outlineLevel="0" collapsed="false">
      <c r="AY560" s="114"/>
      <c r="AZ560" s="91"/>
      <c r="BA560" s="87"/>
      <c r="BB560" s="5"/>
      <c r="BC560" s="91"/>
      <c r="BG560" s="114"/>
      <c r="BH560" s="5"/>
    </row>
    <row r="561" customFormat="false" ht="15" hidden="false" customHeight="false" outlineLevel="0" collapsed="false">
      <c r="AY561" s="114"/>
      <c r="AZ561" s="91"/>
      <c r="BA561" s="87"/>
      <c r="BB561" s="5"/>
      <c r="BC561" s="91"/>
      <c r="BG561" s="114"/>
      <c r="BH561" s="5"/>
    </row>
    <row r="562" customFormat="false" ht="15" hidden="false" customHeight="false" outlineLevel="0" collapsed="false">
      <c r="AY562" s="114"/>
      <c r="AZ562" s="91"/>
      <c r="BA562" s="87"/>
      <c r="BB562" s="5"/>
      <c r="BC562" s="91"/>
      <c r="BG562" s="114"/>
      <c r="BH562" s="5"/>
    </row>
    <row r="563" customFormat="false" ht="15" hidden="false" customHeight="false" outlineLevel="0" collapsed="false">
      <c r="AY563" s="114"/>
      <c r="AZ563" s="91"/>
      <c r="BA563" s="87"/>
      <c r="BB563" s="5"/>
      <c r="BC563" s="91"/>
      <c r="BG563" s="114"/>
      <c r="BH563" s="5"/>
    </row>
    <row r="564" customFormat="false" ht="15" hidden="false" customHeight="false" outlineLevel="0" collapsed="false">
      <c r="AY564" s="114"/>
      <c r="AZ564" s="91"/>
      <c r="BA564" s="87"/>
      <c r="BB564" s="5"/>
      <c r="BC564" s="91"/>
      <c r="BG564" s="114"/>
      <c r="BH564" s="5"/>
    </row>
    <row r="565" customFormat="false" ht="15" hidden="false" customHeight="false" outlineLevel="0" collapsed="false">
      <c r="AY565" s="114"/>
      <c r="AZ565" s="91"/>
      <c r="BA565" s="87"/>
      <c r="BB565" s="5"/>
      <c r="BC565" s="91"/>
      <c r="BG565" s="114"/>
      <c r="BH565" s="5"/>
    </row>
    <row r="566" customFormat="false" ht="15" hidden="false" customHeight="false" outlineLevel="0" collapsed="false">
      <c r="AY566" s="114"/>
      <c r="AZ566" s="91"/>
      <c r="BA566" s="87"/>
      <c r="BB566" s="5"/>
      <c r="BC566" s="91"/>
      <c r="BG566" s="114"/>
      <c r="BH566" s="5"/>
    </row>
    <row r="567" customFormat="false" ht="15" hidden="false" customHeight="false" outlineLevel="0" collapsed="false">
      <c r="AY567" s="114"/>
      <c r="AZ567" s="91"/>
      <c r="BA567" s="87"/>
      <c r="BB567" s="5"/>
      <c r="BC567" s="91"/>
      <c r="BG567" s="114"/>
      <c r="BH567" s="5"/>
    </row>
    <row r="568" customFormat="false" ht="15" hidden="false" customHeight="false" outlineLevel="0" collapsed="false">
      <c r="AY568" s="114"/>
      <c r="AZ568" s="91"/>
      <c r="BA568" s="87"/>
      <c r="BB568" s="5"/>
      <c r="BC568" s="91"/>
      <c r="BG568" s="114"/>
      <c r="BH568" s="5"/>
    </row>
    <row r="569" customFormat="false" ht="15" hidden="false" customHeight="false" outlineLevel="0" collapsed="false">
      <c r="AY569" s="114"/>
      <c r="AZ569" s="91"/>
      <c r="BA569" s="87"/>
      <c r="BB569" s="5"/>
      <c r="BC569" s="91"/>
      <c r="BG569" s="114"/>
      <c r="BH569" s="5"/>
    </row>
    <row r="570" customFormat="false" ht="15" hidden="false" customHeight="false" outlineLevel="0" collapsed="false">
      <c r="AY570" s="114"/>
      <c r="AZ570" s="91"/>
      <c r="BA570" s="87"/>
      <c r="BB570" s="5"/>
      <c r="BC570" s="91"/>
      <c r="BG570" s="114"/>
      <c r="BH570" s="5"/>
    </row>
    <row r="571" customFormat="false" ht="15" hidden="false" customHeight="false" outlineLevel="0" collapsed="false">
      <c r="AY571" s="114"/>
      <c r="AZ571" s="91"/>
      <c r="BA571" s="87"/>
      <c r="BB571" s="5"/>
      <c r="BC571" s="91"/>
      <c r="BG571" s="114"/>
      <c r="BH571" s="5"/>
    </row>
    <row r="572" customFormat="false" ht="15" hidden="false" customHeight="false" outlineLevel="0" collapsed="false">
      <c r="AY572" s="114"/>
      <c r="AZ572" s="91"/>
      <c r="BA572" s="87"/>
      <c r="BB572" s="5"/>
      <c r="BC572" s="91"/>
      <c r="BG572" s="114"/>
      <c r="BH572" s="5"/>
    </row>
    <row r="573" customFormat="false" ht="15" hidden="false" customHeight="false" outlineLevel="0" collapsed="false">
      <c r="AY573" s="114"/>
      <c r="AZ573" s="91"/>
      <c r="BA573" s="87"/>
      <c r="BB573" s="5"/>
      <c r="BC573" s="91"/>
      <c r="BG573" s="114"/>
      <c r="BH573" s="5"/>
    </row>
    <row r="574" customFormat="false" ht="15" hidden="false" customHeight="false" outlineLevel="0" collapsed="false">
      <c r="AY574" s="114"/>
      <c r="AZ574" s="91"/>
      <c r="BA574" s="87"/>
      <c r="BB574" s="5"/>
      <c r="BC574" s="91"/>
      <c r="BG574" s="114"/>
      <c r="BH574" s="5"/>
    </row>
    <row r="575" customFormat="false" ht="15" hidden="false" customHeight="false" outlineLevel="0" collapsed="false">
      <c r="AY575" s="114"/>
      <c r="AZ575" s="91"/>
      <c r="BA575" s="87"/>
      <c r="BB575" s="5"/>
      <c r="BC575" s="91"/>
      <c r="BG575" s="114"/>
      <c r="BH575" s="5"/>
    </row>
    <row r="576" customFormat="false" ht="15" hidden="false" customHeight="false" outlineLevel="0" collapsed="false">
      <c r="AY576" s="114"/>
      <c r="AZ576" s="91"/>
      <c r="BA576" s="87"/>
      <c r="BB576" s="5"/>
      <c r="BC576" s="91"/>
      <c r="BG576" s="114"/>
      <c r="BH576" s="5"/>
    </row>
    <row r="577" customFormat="false" ht="15" hidden="false" customHeight="false" outlineLevel="0" collapsed="false">
      <c r="AY577" s="114"/>
      <c r="AZ577" s="91"/>
      <c r="BA577" s="87"/>
      <c r="BB577" s="5"/>
      <c r="BC577" s="91"/>
      <c r="BG577" s="114"/>
      <c r="BH577" s="5"/>
    </row>
    <row r="578" customFormat="false" ht="15" hidden="false" customHeight="false" outlineLevel="0" collapsed="false">
      <c r="AY578" s="114"/>
      <c r="AZ578" s="91"/>
      <c r="BA578" s="87"/>
      <c r="BB578" s="5"/>
      <c r="BC578" s="91"/>
      <c r="BG578" s="114"/>
      <c r="BH578" s="5"/>
    </row>
    <row r="579" customFormat="false" ht="15" hidden="false" customHeight="false" outlineLevel="0" collapsed="false">
      <c r="AY579" s="114"/>
      <c r="AZ579" s="91"/>
      <c r="BA579" s="87"/>
      <c r="BB579" s="5"/>
      <c r="BC579" s="91"/>
      <c r="BG579" s="114"/>
      <c r="BH579" s="5"/>
    </row>
    <row r="580" customFormat="false" ht="15" hidden="false" customHeight="false" outlineLevel="0" collapsed="false">
      <c r="AY580" s="114"/>
      <c r="AZ580" s="91"/>
      <c r="BA580" s="87"/>
      <c r="BB580" s="5"/>
      <c r="BC580" s="91"/>
      <c r="BG580" s="114"/>
      <c r="BH580" s="5"/>
    </row>
    <row r="581" customFormat="false" ht="15" hidden="false" customHeight="false" outlineLevel="0" collapsed="false">
      <c r="AY581" s="114"/>
      <c r="AZ581" s="91"/>
      <c r="BA581" s="87"/>
      <c r="BB581" s="5"/>
      <c r="BC581" s="91"/>
      <c r="BG581" s="114"/>
      <c r="BH581" s="5"/>
    </row>
    <row r="582" customFormat="false" ht="15" hidden="false" customHeight="false" outlineLevel="0" collapsed="false">
      <c r="AY582" s="114"/>
      <c r="AZ582" s="91"/>
      <c r="BA582" s="87"/>
      <c r="BB582" s="5"/>
      <c r="BC582" s="91"/>
      <c r="BG582" s="114"/>
      <c r="BH582" s="5"/>
    </row>
    <row r="583" customFormat="false" ht="15" hidden="false" customHeight="false" outlineLevel="0" collapsed="false">
      <c r="AY583" s="114"/>
      <c r="AZ583" s="91"/>
      <c r="BA583" s="87"/>
      <c r="BB583" s="5"/>
      <c r="BC583" s="91"/>
      <c r="BG583" s="114"/>
      <c r="BH583" s="5"/>
    </row>
    <row r="584" customFormat="false" ht="15" hidden="false" customHeight="false" outlineLevel="0" collapsed="false">
      <c r="AY584" s="114"/>
      <c r="AZ584" s="91"/>
      <c r="BA584" s="87"/>
      <c r="BB584" s="5"/>
      <c r="BC584" s="91"/>
      <c r="BG584" s="114"/>
      <c r="BH584" s="5"/>
    </row>
    <row r="585" customFormat="false" ht="15" hidden="false" customHeight="false" outlineLevel="0" collapsed="false">
      <c r="AY585" s="114"/>
      <c r="AZ585" s="91"/>
      <c r="BA585" s="87"/>
      <c r="BB585" s="5"/>
      <c r="BC585" s="91"/>
      <c r="BG585" s="114"/>
      <c r="BH585" s="5"/>
    </row>
    <row r="586" customFormat="false" ht="15" hidden="false" customHeight="false" outlineLevel="0" collapsed="false">
      <c r="AY586" s="114"/>
      <c r="AZ586" s="91"/>
      <c r="BA586" s="87"/>
      <c r="BB586" s="5"/>
      <c r="BC586" s="91"/>
      <c r="BG586" s="114"/>
      <c r="BH586" s="5"/>
    </row>
    <row r="587" customFormat="false" ht="15" hidden="false" customHeight="false" outlineLevel="0" collapsed="false">
      <c r="AY587" s="114"/>
      <c r="AZ587" s="91"/>
      <c r="BA587" s="87"/>
      <c r="BB587" s="5"/>
      <c r="BC587" s="91"/>
      <c r="BG587" s="114"/>
      <c r="BH587" s="5"/>
    </row>
    <row r="588" customFormat="false" ht="15" hidden="false" customHeight="false" outlineLevel="0" collapsed="false">
      <c r="AY588" s="114"/>
      <c r="AZ588" s="91"/>
      <c r="BA588" s="87"/>
      <c r="BB588" s="5"/>
      <c r="BC588" s="91"/>
      <c r="BG588" s="114"/>
      <c r="BH588" s="5"/>
    </row>
    <row r="589" customFormat="false" ht="15" hidden="false" customHeight="false" outlineLevel="0" collapsed="false">
      <c r="AY589" s="114"/>
      <c r="AZ589" s="91"/>
      <c r="BA589" s="87"/>
      <c r="BB589" s="5"/>
      <c r="BC589" s="91"/>
      <c r="BG589" s="114"/>
      <c r="BH589" s="5"/>
    </row>
    <row r="590" customFormat="false" ht="15" hidden="false" customHeight="false" outlineLevel="0" collapsed="false">
      <c r="AY590" s="114"/>
      <c r="AZ590" s="91"/>
      <c r="BA590" s="87"/>
      <c r="BB590" s="5"/>
      <c r="BC590" s="91"/>
      <c r="BG590" s="114"/>
      <c r="BH590" s="5"/>
    </row>
    <row r="591" customFormat="false" ht="15" hidden="false" customHeight="false" outlineLevel="0" collapsed="false">
      <c r="AY591" s="114"/>
      <c r="AZ591" s="91"/>
      <c r="BA591" s="87"/>
      <c r="BB591" s="5"/>
      <c r="BC591" s="91"/>
      <c r="BG591" s="114"/>
      <c r="BH591" s="5"/>
    </row>
    <row r="592" customFormat="false" ht="15" hidden="false" customHeight="false" outlineLevel="0" collapsed="false">
      <c r="AY592" s="114"/>
      <c r="AZ592" s="91"/>
      <c r="BA592" s="87"/>
      <c r="BB592" s="5"/>
      <c r="BC592" s="91"/>
      <c r="BG592" s="114"/>
      <c r="BH592" s="5"/>
    </row>
    <row r="593" customFormat="false" ht="15" hidden="false" customHeight="false" outlineLevel="0" collapsed="false">
      <c r="AY593" s="114"/>
      <c r="AZ593" s="91"/>
      <c r="BA593" s="87"/>
      <c r="BB593" s="5"/>
      <c r="BC593" s="91"/>
      <c r="BG593" s="114"/>
      <c r="BH593" s="5"/>
    </row>
    <row r="594" customFormat="false" ht="15" hidden="false" customHeight="false" outlineLevel="0" collapsed="false">
      <c r="AY594" s="114"/>
      <c r="AZ594" s="91"/>
      <c r="BA594" s="87"/>
      <c r="BB594" s="5"/>
      <c r="BC594" s="91"/>
      <c r="BG594" s="114"/>
      <c r="BH594" s="5"/>
    </row>
    <row r="595" customFormat="false" ht="15" hidden="false" customHeight="false" outlineLevel="0" collapsed="false">
      <c r="AY595" s="114"/>
      <c r="AZ595" s="91"/>
      <c r="BA595" s="87"/>
      <c r="BB595" s="5"/>
      <c r="BC595" s="91"/>
      <c r="BG595" s="114"/>
      <c r="BH595" s="5"/>
    </row>
    <row r="596" customFormat="false" ht="15" hidden="false" customHeight="false" outlineLevel="0" collapsed="false">
      <c r="AY596" s="114"/>
      <c r="AZ596" s="91"/>
      <c r="BA596" s="87"/>
      <c r="BB596" s="5"/>
      <c r="BC596" s="91"/>
      <c r="BG596" s="114"/>
      <c r="BH596" s="5"/>
    </row>
    <row r="597" customFormat="false" ht="15" hidden="false" customHeight="false" outlineLevel="0" collapsed="false">
      <c r="AY597" s="114"/>
      <c r="AZ597" s="91"/>
      <c r="BA597" s="87"/>
      <c r="BB597" s="5"/>
      <c r="BC597" s="91"/>
      <c r="BG597" s="114"/>
      <c r="BH597" s="5"/>
    </row>
    <row r="598" customFormat="false" ht="15" hidden="false" customHeight="false" outlineLevel="0" collapsed="false">
      <c r="AY598" s="114"/>
      <c r="AZ598" s="91"/>
      <c r="BA598" s="87"/>
      <c r="BB598" s="5"/>
      <c r="BC598" s="91"/>
      <c r="BG598" s="114"/>
      <c r="BH598" s="5"/>
    </row>
    <row r="599" customFormat="false" ht="15" hidden="false" customHeight="false" outlineLevel="0" collapsed="false">
      <c r="AY599" s="114"/>
      <c r="AZ599" s="91"/>
      <c r="BA599" s="87"/>
      <c r="BB599" s="5"/>
      <c r="BC599" s="91"/>
      <c r="BG599" s="114"/>
      <c r="BH599" s="5"/>
    </row>
    <row r="600" customFormat="false" ht="15" hidden="false" customHeight="false" outlineLevel="0" collapsed="false">
      <c r="AY600" s="114"/>
      <c r="AZ600" s="91"/>
      <c r="BA600" s="87"/>
      <c r="BB600" s="5"/>
      <c r="BC600" s="91"/>
      <c r="BG600" s="114"/>
      <c r="BH600" s="5"/>
    </row>
    <row r="601" customFormat="false" ht="15" hidden="false" customHeight="false" outlineLevel="0" collapsed="false">
      <c r="AY601" s="114"/>
      <c r="AZ601" s="91"/>
      <c r="BA601" s="87"/>
      <c r="BB601" s="5"/>
      <c r="BC601" s="91"/>
      <c r="BG601" s="114"/>
      <c r="BH601" s="5"/>
    </row>
    <row r="602" customFormat="false" ht="15" hidden="false" customHeight="false" outlineLevel="0" collapsed="false">
      <c r="AY602" s="114"/>
      <c r="AZ602" s="91"/>
      <c r="BA602" s="87"/>
      <c r="BB602" s="5"/>
      <c r="BC602" s="91"/>
      <c r="BG602" s="114"/>
      <c r="BH602" s="5"/>
    </row>
    <row r="603" customFormat="false" ht="15" hidden="false" customHeight="false" outlineLevel="0" collapsed="false">
      <c r="AY603" s="114"/>
      <c r="AZ603" s="91"/>
      <c r="BA603" s="87"/>
      <c r="BB603" s="5"/>
      <c r="BC603" s="91"/>
      <c r="BG603" s="114"/>
      <c r="BH603" s="5"/>
    </row>
    <row r="604" customFormat="false" ht="15" hidden="false" customHeight="false" outlineLevel="0" collapsed="false">
      <c r="AY604" s="114"/>
      <c r="AZ604" s="91"/>
      <c r="BA604" s="87"/>
      <c r="BB604" s="5"/>
      <c r="BC604" s="91"/>
      <c r="BG604" s="114"/>
      <c r="BH604" s="5"/>
    </row>
    <row r="605" customFormat="false" ht="15" hidden="false" customHeight="false" outlineLevel="0" collapsed="false">
      <c r="AY605" s="114"/>
      <c r="AZ605" s="91"/>
      <c r="BA605" s="87"/>
      <c r="BB605" s="5"/>
      <c r="BC605" s="91"/>
      <c r="BG605" s="114"/>
      <c r="BH605" s="5"/>
    </row>
    <row r="606" customFormat="false" ht="15" hidden="false" customHeight="false" outlineLevel="0" collapsed="false">
      <c r="AY606" s="114"/>
      <c r="AZ606" s="91"/>
      <c r="BA606" s="87"/>
      <c r="BB606" s="5"/>
      <c r="BC606" s="91"/>
      <c r="BG606" s="114"/>
      <c r="BH606" s="5"/>
    </row>
    <row r="607" customFormat="false" ht="15" hidden="false" customHeight="false" outlineLevel="0" collapsed="false">
      <c r="AY607" s="114"/>
      <c r="AZ607" s="91"/>
      <c r="BA607" s="87"/>
      <c r="BB607" s="5"/>
      <c r="BC607" s="91"/>
      <c r="BG607" s="114"/>
      <c r="BH607" s="5"/>
    </row>
    <row r="608" customFormat="false" ht="15" hidden="false" customHeight="false" outlineLevel="0" collapsed="false">
      <c r="AY608" s="114"/>
      <c r="AZ608" s="91"/>
      <c r="BA608" s="87"/>
      <c r="BB608" s="5"/>
      <c r="BC608" s="91"/>
      <c r="BG608" s="114"/>
      <c r="BH608" s="5"/>
    </row>
    <row r="609" customFormat="false" ht="15" hidden="false" customHeight="false" outlineLevel="0" collapsed="false">
      <c r="AY609" s="114"/>
      <c r="AZ609" s="91"/>
      <c r="BA609" s="87"/>
      <c r="BB609" s="5"/>
      <c r="BC609" s="91"/>
      <c r="BG609" s="114"/>
      <c r="BH609" s="5"/>
    </row>
    <row r="610" customFormat="false" ht="15" hidden="false" customHeight="false" outlineLevel="0" collapsed="false">
      <c r="AY610" s="114"/>
      <c r="AZ610" s="91"/>
      <c r="BA610" s="87"/>
      <c r="BB610" s="5"/>
      <c r="BC610" s="91"/>
      <c r="BG610" s="114"/>
      <c r="BH610" s="5"/>
    </row>
    <row r="611" customFormat="false" ht="15" hidden="false" customHeight="false" outlineLevel="0" collapsed="false">
      <c r="AY611" s="114"/>
      <c r="AZ611" s="91"/>
      <c r="BA611" s="87"/>
      <c r="BB611" s="5"/>
      <c r="BC611" s="91"/>
      <c r="BG611" s="114"/>
      <c r="BH611" s="5"/>
    </row>
    <row r="612" customFormat="false" ht="15" hidden="false" customHeight="false" outlineLevel="0" collapsed="false">
      <c r="AY612" s="114"/>
      <c r="AZ612" s="91"/>
      <c r="BA612" s="87"/>
      <c r="BB612" s="5"/>
      <c r="BC612" s="91"/>
      <c r="BG612" s="114"/>
      <c r="BH612" s="5"/>
    </row>
    <row r="613" customFormat="false" ht="15" hidden="false" customHeight="false" outlineLevel="0" collapsed="false">
      <c r="AY613" s="114"/>
      <c r="AZ613" s="91"/>
      <c r="BA613" s="87"/>
      <c r="BB613" s="5"/>
      <c r="BC613" s="91"/>
      <c r="BG613" s="114"/>
      <c r="BH613" s="5"/>
    </row>
    <row r="614" customFormat="false" ht="15" hidden="false" customHeight="false" outlineLevel="0" collapsed="false">
      <c r="AY614" s="114"/>
      <c r="AZ614" s="91"/>
      <c r="BA614" s="87"/>
      <c r="BB614" s="5"/>
      <c r="BC614" s="91"/>
      <c r="BG614" s="114"/>
      <c r="BH614" s="5"/>
    </row>
    <row r="615" customFormat="false" ht="15" hidden="false" customHeight="false" outlineLevel="0" collapsed="false">
      <c r="AY615" s="114"/>
      <c r="AZ615" s="91"/>
      <c r="BA615" s="87"/>
      <c r="BB615" s="5"/>
      <c r="BC615" s="91"/>
      <c r="BG615" s="114"/>
      <c r="BH615" s="5"/>
    </row>
    <row r="616" customFormat="false" ht="15" hidden="false" customHeight="false" outlineLevel="0" collapsed="false">
      <c r="AY616" s="114"/>
      <c r="AZ616" s="91"/>
      <c r="BA616" s="87"/>
      <c r="BB616" s="5"/>
      <c r="BC616" s="91"/>
      <c r="BG616" s="114"/>
      <c r="BH616" s="5"/>
    </row>
    <row r="617" customFormat="false" ht="15" hidden="false" customHeight="false" outlineLevel="0" collapsed="false">
      <c r="AY617" s="114"/>
      <c r="AZ617" s="91"/>
      <c r="BA617" s="87"/>
      <c r="BB617" s="5"/>
      <c r="BC617" s="91"/>
      <c r="BG617" s="114"/>
      <c r="BH617" s="5"/>
    </row>
    <row r="618" customFormat="false" ht="15" hidden="false" customHeight="false" outlineLevel="0" collapsed="false">
      <c r="AY618" s="114"/>
      <c r="AZ618" s="91"/>
      <c r="BA618" s="87"/>
      <c r="BB618" s="5"/>
      <c r="BC618" s="91"/>
      <c r="BG618" s="114"/>
      <c r="BH618" s="5"/>
    </row>
    <row r="619" customFormat="false" ht="15" hidden="false" customHeight="false" outlineLevel="0" collapsed="false">
      <c r="AY619" s="114"/>
      <c r="AZ619" s="91"/>
      <c r="BA619" s="87"/>
      <c r="BB619" s="5"/>
      <c r="BC619" s="91"/>
      <c r="BG619" s="114"/>
      <c r="BH619" s="5"/>
    </row>
    <row r="620" customFormat="false" ht="15" hidden="false" customHeight="false" outlineLevel="0" collapsed="false">
      <c r="AY620" s="114"/>
      <c r="AZ620" s="91"/>
      <c r="BA620" s="87"/>
      <c r="BB620" s="5"/>
      <c r="BC620" s="91"/>
      <c r="BG620" s="114"/>
      <c r="BH620" s="5"/>
    </row>
    <row r="621" customFormat="false" ht="15" hidden="false" customHeight="false" outlineLevel="0" collapsed="false">
      <c r="AY621" s="114"/>
      <c r="AZ621" s="91"/>
      <c r="BA621" s="87"/>
      <c r="BB621" s="5"/>
      <c r="BC621" s="91"/>
      <c r="BG621" s="114"/>
      <c r="BH621" s="5"/>
    </row>
    <row r="622" customFormat="false" ht="15" hidden="false" customHeight="false" outlineLevel="0" collapsed="false">
      <c r="AY622" s="114"/>
      <c r="AZ622" s="91"/>
      <c r="BA622" s="87"/>
      <c r="BB622" s="5"/>
      <c r="BC622" s="91"/>
      <c r="BG622" s="114"/>
      <c r="BH622" s="5"/>
    </row>
    <row r="623" customFormat="false" ht="15" hidden="false" customHeight="false" outlineLevel="0" collapsed="false">
      <c r="AY623" s="114"/>
      <c r="AZ623" s="91"/>
      <c r="BA623" s="87"/>
      <c r="BB623" s="5"/>
      <c r="BC623" s="91"/>
      <c r="BG623" s="114"/>
      <c r="BH623" s="5"/>
    </row>
    <row r="624" customFormat="false" ht="15" hidden="false" customHeight="false" outlineLevel="0" collapsed="false">
      <c r="AY624" s="114"/>
      <c r="AZ624" s="91"/>
      <c r="BA624" s="87"/>
      <c r="BB624" s="5"/>
      <c r="BC624" s="91"/>
      <c r="BG624" s="114"/>
      <c r="BH624" s="5"/>
    </row>
    <row r="625" customFormat="false" ht="15" hidden="false" customHeight="false" outlineLevel="0" collapsed="false">
      <c r="AY625" s="114"/>
      <c r="AZ625" s="91"/>
      <c r="BA625" s="87"/>
      <c r="BB625" s="5"/>
      <c r="BC625" s="91"/>
      <c r="BG625" s="114"/>
      <c r="BH625" s="5"/>
    </row>
    <row r="626" customFormat="false" ht="15" hidden="false" customHeight="false" outlineLevel="0" collapsed="false">
      <c r="AY626" s="114"/>
      <c r="AZ626" s="91"/>
      <c r="BA626" s="87"/>
      <c r="BB626" s="5"/>
      <c r="BC626" s="91"/>
      <c r="BG626" s="114"/>
      <c r="BH626" s="5"/>
    </row>
    <row r="627" customFormat="false" ht="15" hidden="false" customHeight="false" outlineLevel="0" collapsed="false">
      <c r="AY627" s="114"/>
      <c r="AZ627" s="91"/>
      <c r="BA627" s="87"/>
      <c r="BB627" s="5"/>
      <c r="BC627" s="91"/>
      <c r="BG627" s="114"/>
      <c r="BH627" s="5"/>
    </row>
    <row r="628" customFormat="false" ht="15" hidden="false" customHeight="false" outlineLevel="0" collapsed="false">
      <c r="AY628" s="114"/>
      <c r="AZ628" s="91"/>
      <c r="BA628" s="87"/>
      <c r="BB628" s="5"/>
      <c r="BC628" s="91"/>
      <c r="BG628" s="114"/>
      <c r="BH628" s="5"/>
    </row>
    <row r="629" customFormat="false" ht="15" hidden="false" customHeight="false" outlineLevel="0" collapsed="false">
      <c r="AY629" s="114"/>
      <c r="AZ629" s="91"/>
      <c r="BA629" s="87"/>
      <c r="BB629" s="5"/>
      <c r="BC629" s="91"/>
      <c r="BG629" s="114"/>
      <c r="BH629" s="5"/>
    </row>
    <row r="630" customFormat="false" ht="15" hidden="false" customHeight="false" outlineLevel="0" collapsed="false">
      <c r="AY630" s="114"/>
      <c r="AZ630" s="91"/>
      <c r="BA630" s="87"/>
      <c r="BB630" s="5"/>
      <c r="BC630" s="91"/>
      <c r="BG630" s="114"/>
      <c r="BH630" s="5"/>
    </row>
    <row r="631" customFormat="false" ht="15" hidden="false" customHeight="false" outlineLevel="0" collapsed="false">
      <c r="AY631" s="114"/>
      <c r="AZ631" s="91"/>
      <c r="BA631" s="87"/>
      <c r="BB631" s="5"/>
      <c r="BC631" s="91"/>
      <c r="BG631" s="114"/>
      <c r="BH631" s="5"/>
    </row>
    <row r="632" customFormat="false" ht="15" hidden="false" customHeight="false" outlineLevel="0" collapsed="false">
      <c r="AY632" s="114"/>
      <c r="AZ632" s="91"/>
      <c r="BA632" s="87"/>
      <c r="BB632" s="5"/>
      <c r="BC632" s="91"/>
      <c r="BG632" s="114"/>
      <c r="BH632" s="5"/>
    </row>
    <row r="633" customFormat="false" ht="15" hidden="false" customHeight="false" outlineLevel="0" collapsed="false">
      <c r="AY633" s="114"/>
      <c r="AZ633" s="91"/>
      <c r="BA633" s="87"/>
      <c r="BB633" s="5"/>
      <c r="BC633" s="91"/>
      <c r="BG633" s="114"/>
      <c r="BH633" s="5"/>
    </row>
    <row r="634" customFormat="false" ht="15" hidden="false" customHeight="false" outlineLevel="0" collapsed="false">
      <c r="AY634" s="114"/>
      <c r="AZ634" s="91"/>
      <c r="BA634" s="87"/>
      <c r="BB634" s="5"/>
      <c r="BC634" s="91"/>
      <c r="BG634" s="114"/>
      <c r="BH634" s="5"/>
    </row>
    <row r="635" customFormat="false" ht="15" hidden="false" customHeight="false" outlineLevel="0" collapsed="false">
      <c r="AY635" s="114"/>
      <c r="AZ635" s="91"/>
      <c r="BA635" s="87"/>
      <c r="BB635" s="5"/>
      <c r="BC635" s="91"/>
      <c r="BG635" s="114"/>
      <c r="BH635" s="5"/>
    </row>
    <row r="636" customFormat="false" ht="15" hidden="false" customHeight="false" outlineLevel="0" collapsed="false">
      <c r="AY636" s="114"/>
      <c r="AZ636" s="91"/>
      <c r="BA636" s="87"/>
      <c r="BB636" s="5"/>
      <c r="BC636" s="91"/>
      <c r="BG636" s="114"/>
      <c r="BH636" s="5"/>
    </row>
    <row r="637" customFormat="false" ht="15" hidden="false" customHeight="false" outlineLevel="0" collapsed="false">
      <c r="AY637" s="114"/>
      <c r="AZ637" s="91"/>
      <c r="BA637" s="87"/>
      <c r="BB637" s="5"/>
      <c r="BC637" s="91"/>
      <c r="BG637" s="114"/>
      <c r="BH637" s="5"/>
    </row>
    <row r="638" customFormat="false" ht="15" hidden="false" customHeight="false" outlineLevel="0" collapsed="false">
      <c r="AY638" s="114"/>
      <c r="AZ638" s="91"/>
      <c r="BA638" s="87"/>
      <c r="BB638" s="5"/>
      <c r="BC638" s="91"/>
      <c r="BG638" s="114"/>
      <c r="BH638" s="5"/>
    </row>
    <row r="639" customFormat="false" ht="15" hidden="false" customHeight="false" outlineLevel="0" collapsed="false">
      <c r="AY639" s="114"/>
      <c r="AZ639" s="91"/>
      <c r="BA639" s="87"/>
      <c r="BB639" s="5"/>
      <c r="BC639" s="91"/>
      <c r="BG639" s="114"/>
      <c r="BH639" s="5"/>
    </row>
    <row r="640" customFormat="false" ht="15" hidden="false" customHeight="false" outlineLevel="0" collapsed="false">
      <c r="AY640" s="114"/>
      <c r="AZ640" s="91"/>
      <c r="BA640" s="87"/>
      <c r="BB640" s="5"/>
      <c r="BC640" s="91"/>
      <c r="BG640" s="114"/>
      <c r="BH640" s="5"/>
    </row>
    <row r="641" customFormat="false" ht="15" hidden="false" customHeight="false" outlineLevel="0" collapsed="false">
      <c r="AY641" s="114"/>
      <c r="AZ641" s="91"/>
      <c r="BA641" s="87"/>
      <c r="BB641" s="5"/>
      <c r="BC641" s="91"/>
      <c r="BG641" s="114"/>
      <c r="BH641" s="5"/>
    </row>
    <row r="642" customFormat="false" ht="15" hidden="false" customHeight="false" outlineLevel="0" collapsed="false">
      <c r="AY642" s="114"/>
      <c r="AZ642" s="91"/>
      <c r="BA642" s="87"/>
      <c r="BB642" s="5"/>
      <c r="BC642" s="91"/>
      <c r="BG642" s="114"/>
      <c r="BH642" s="5"/>
    </row>
    <row r="643" customFormat="false" ht="15" hidden="false" customHeight="false" outlineLevel="0" collapsed="false">
      <c r="AY643" s="114"/>
      <c r="AZ643" s="91"/>
      <c r="BA643" s="87"/>
      <c r="BB643" s="5"/>
      <c r="BC643" s="91"/>
      <c r="BG643" s="114"/>
      <c r="BH643" s="5"/>
    </row>
    <row r="644" customFormat="false" ht="15" hidden="false" customHeight="false" outlineLevel="0" collapsed="false">
      <c r="AY644" s="114"/>
      <c r="AZ644" s="91"/>
      <c r="BA644" s="87"/>
      <c r="BB644" s="5"/>
      <c r="BC644" s="91"/>
      <c r="BG644" s="114"/>
      <c r="BH644" s="5"/>
    </row>
    <row r="645" customFormat="false" ht="15" hidden="false" customHeight="false" outlineLevel="0" collapsed="false">
      <c r="AY645" s="114"/>
      <c r="AZ645" s="91"/>
      <c r="BA645" s="87"/>
      <c r="BB645" s="5"/>
      <c r="BC645" s="91"/>
      <c r="BG645" s="114"/>
      <c r="BH645" s="5"/>
    </row>
    <row r="646" customFormat="false" ht="15" hidden="false" customHeight="false" outlineLevel="0" collapsed="false">
      <c r="AY646" s="114"/>
      <c r="AZ646" s="91"/>
      <c r="BA646" s="87"/>
      <c r="BB646" s="5"/>
      <c r="BC646" s="91"/>
      <c r="BG646" s="114"/>
      <c r="BH646" s="5"/>
    </row>
    <row r="647" customFormat="false" ht="15" hidden="false" customHeight="false" outlineLevel="0" collapsed="false">
      <c r="AY647" s="114"/>
      <c r="AZ647" s="91"/>
      <c r="BA647" s="87"/>
      <c r="BB647" s="5"/>
      <c r="BC647" s="91"/>
      <c r="BG647" s="114"/>
      <c r="BH647" s="5"/>
    </row>
    <row r="648" customFormat="false" ht="15" hidden="false" customHeight="false" outlineLevel="0" collapsed="false">
      <c r="AY648" s="114"/>
      <c r="AZ648" s="91"/>
      <c r="BA648" s="87"/>
      <c r="BB648" s="5"/>
      <c r="BC648" s="91"/>
      <c r="BG648" s="114"/>
      <c r="BH648" s="5"/>
    </row>
    <row r="649" customFormat="false" ht="15" hidden="false" customHeight="false" outlineLevel="0" collapsed="false">
      <c r="AY649" s="114"/>
      <c r="AZ649" s="91"/>
      <c r="BA649" s="87"/>
      <c r="BB649" s="5"/>
      <c r="BC649" s="91"/>
      <c r="BG649" s="114"/>
      <c r="BH649" s="5"/>
    </row>
    <row r="650" customFormat="false" ht="15" hidden="false" customHeight="false" outlineLevel="0" collapsed="false">
      <c r="AY650" s="114"/>
      <c r="AZ650" s="91"/>
      <c r="BA650" s="87"/>
      <c r="BB650" s="5"/>
      <c r="BC650" s="91"/>
      <c r="BG650" s="114"/>
      <c r="BH650" s="5"/>
    </row>
    <row r="651" customFormat="false" ht="15" hidden="false" customHeight="false" outlineLevel="0" collapsed="false">
      <c r="AY651" s="114"/>
      <c r="AZ651" s="91"/>
      <c r="BA651" s="87"/>
      <c r="BB651" s="5"/>
      <c r="BC651" s="91"/>
      <c r="BG651" s="114"/>
      <c r="BH651" s="5"/>
    </row>
    <row r="652" customFormat="false" ht="15" hidden="false" customHeight="false" outlineLevel="0" collapsed="false">
      <c r="AY652" s="114"/>
      <c r="AZ652" s="91"/>
      <c r="BA652" s="87"/>
      <c r="BB652" s="5"/>
      <c r="BC652" s="91"/>
      <c r="BG652" s="114"/>
      <c r="BH652" s="5"/>
    </row>
    <row r="653" customFormat="false" ht="15" hidden="false" customHeight="false" outlineLevel="0" collapsed="false">
      <c r="AY653" s="114"/>
      <c r="AZ653" s="91"/>
      <c r="BA653" s="87"/>
      <c r="BB653" s="5"/>
      <c r="BC653" s="91"/>
      <c r="BG653" s="114"/>
      <c r="BH653" s="5"/>
    </row>
    <row r="654" customFormat="false" ht="15" hidden="false" customHeight="false" outlineLevel="0" collapsed="false">
      <c r="AY654" s="114"/>
      <c r="AZ654" s="91"/>
      <c r="BA654" s="87"/>
      <c r="BB654" s="5"/>
      <c r="BC654" s="91"/>
      <c r="BG654" s="114"/>
      <c r="BH654" s="5"/>
    </row>
    <row r="655" customFormat="false" ht="15" hidden="false" customHeight="false" outlineLevel="0" collapsed="false">
      <c r="AY655" s="114"/>
      <c r="AZ655" s="91"/>
      <c r="BA655" s="87"/>
      <c r="BB655" s="5"/>
      <c r="BC655" s="91"/>
      <c r="BG655" s="114"/>
      <c r="BH655" s="5"/>
    </row>
    <row r="656" customFormat="false" ht="15" hidden="false" customHeight="false" outlineLevel="0" collapsed="false">
      <c r="AY656" s="114"/>
      <c r="AZ656" s="91"/>
      <c r="BA656" s="87"/>
      <c r="BB656" s="5"/>
      <c r="BC656" s="91"/>
      <c r="BG656" s="114"/>
      <c r="BH656" s="5"/>
    </row>
    <row r="657" customFormat="false" ht="15" hidden="false" customHeight="false" outlineLevel="0" collapsed="false">
      <c r="AY657" s="114"/>
      <c r="AZ657" s="91"/>
      <c r="BA657" s="87"/>
      <c r="BB657" s="5"/>
      <c r="BC657" s="91"/>
      <c r="BG657" s="114"/>
      <c r="BH657" s="5"/>
    </row>
    <row r="658" customFormat="false" ht="15" hidden="false" customHeight="false" outlineLevel="0" collapsed="false">
      <c r="AY658" s="114"/>
      <c r="AZ658" s="91"/>
      <c r="BA658" s="87"/>
      <c r="BB658" s="5"/>
      <c r="BC658" s="91"/>
      <c r="BG658" s="114"/>
      <c r="BH658" s="5"/>
    </row>
    <row r="659" customFormat="false" ht="15" hidden="false" customHeight="false" outlineLevel="0" collapsed="false">
      <c r="AY659" s="114"/>
      <c r="AZ659" s="91"/>
      <c r="BA659" s="87"/>
      <c r="BB659" s="5"/>
      <c r="BC659" s="91"/>
      <c r="BG659" s="114"/>
      <c r="BH659" s="5"/>
    </row>
    <row r="660" customFormat="false" ht="15" hidden="false" customHeight="false" outlineLevel="0" collapsed="false">
      <c r="AY660" s="114"/>
      <c r="AZ660" s="91"/>
      <c r="BA660" s="87"/>
      <c r="BB660" s="5"/>
      <c r="BC660" s="91"/>
      <c r="BG660" s="114"/>
      <c r="BH660" s="5"/>
    </row>
    <row r="661" customFormat="false" ht="15" hidden="false" customHeight="false" outlineLevel="0" collapsed="false">
      <c r="AY661" s="114"/>
      <c r="AZ661" s="91"/>
      <c r="BA661" s="87"/>
      <c r="BB661" s="5"/>
      <c r="BC661" s="91"/>
      <c r="BG661" s="114"/>
      <c r="BH661" s="5"/>
    </row>
    <row r="662" customFormat="false" ht="15" hidden="false" customHeight="false" outlineLevel="0" collapsed="false">
      <c r="AY662" s="114"/>
      <c r="AZ662" s="91"/>
      <c r="BA662" s="87"/>
      <c r="BB662" s="5"/>
      <c r="BC662" s="91"/>
      <c r="BG662" s="114"/>
      <c r="BH662" s="5"/>
    </row>
    <row r="663" customFormat="false" ht="15" hidden="false" customHeight="false" outlineLevel="0" collapsed="false">
      <c r="AY663" s="114"/>
      <c r="AZ663" s="91"/>
      <c r="BA663" s="87"/>
      <c r="BB663" s="5"/>
      <c r="BC663" s="91"/>
      <c r="BG663" s="114"/>
      <c r="BH663" s="5"/>
    </row>
    <row r="664" customFormat="false" ht="15" hidden="false" customHeight="false" outlineLevel="0" collapsed="false">
      <c r="AY664" s="114"/>
      <c r="AZ664" s="91"/>
      <c r="BA664" s="87"/>
      <c r="BB664" s="5"/>
      <c r="BC664" s="91"/>
      <c r="BG664" s="114"/>
      <c r="BH664" s="5"/>
    </row>
    <row r="665" customFormat="false" ht="15" hidden="false" customHeight="false" outlineLevel="0" collapsed="false">
      <c r="AY665" s="114"/>
      <c r="AZ665" s="91"/>
      <c r="BA665" s="87"/>
      <c r="BB665" s="5"/>
      <c r="BC665" s="91"/>
      <c r="BG665" s="114"/>
      <c r="BH665" s="5"/>
    </row>
    <row r="666" customFormat="false" ht="15" hidden="false" customHeight="false" outlineLevel="0" collapsed="false">
      <c r="AY666" s="114"/>
      <c r="AZ666" s="91"/>
      <c r="BA666" s="87"/>
      <c r="BB666" s="5"/>
      <c r="BC666" s="91"/>
      <c r="BG666" s="114"/>
      <c r="BH666" s="5"/>
    </row>
    <row r="667" customFormat="false" ht="15" hidden="false" customHeight="false" outlineLevel="0" collapsed="false">
      <c r="AY667" s="114"/>
      <c r="AZ667" s="91"/>
      <c r="BA667" s="87"/>
      <c r="BB667" s="5"/>
      <c r="BC667" s="91"/>
      <c r="BG667" s="114"/>
      <c r="BH667" s="5"/>
    </row>
    <row r="668" customFormat="false" ht="15" hidden="false" customHeight="false" outlineLevel="0" collapsed="false">
      <c r="AY668" s="114"/>
      <c r="AZ668" s="91"/>
      <c r="BA668" s="87"/>
      <c r="BB668" s="5"/>
      <c r="BC668" s="91"/>
      <c r="BG668" s="114"/>
      <c r="BH668" s="5"/>
    </row>
    <row r="669" customFormat="false" ht="15" hidden="false" customHeight="false" outlineLevel="0" collapsed="false">
      <c r="AY669" s="114"/>
      <c r="AZ669" s="91"/>
      <c r="BA669" s="87"/>
      <c r="BB669" s="5"/>
      <c r="BC669" s="91"/>
      <c r="BG669" s="114"/>
      <c r="BH669" s="5"/>
    </row>
    <row r="670" customFormat="false" ht="15" hidden="false" customHeight="false" outlineLevel="0" collapsed="false">
      <c r="AY670" s="114"/>
      <c r="AZ670" s="91"/>
      <c r="BA670" s="87"/>
      <c r="BB670" s="5"/>
      <c r="BC670" s="91"/>
      <c r="BG670" s="114"/>
      <c r="BH670" s="5"/>
    </row>
    <row r="671" customFormat="false" ht="15" hidden="false" customHeight="false" outlineLevel="0" collapsed="false">
      <c r="AY671" s="114"/>
      <c r="AZ671" s="91"/>
      <c r="BA671" s="87"/>
      <c r="BB671" s="5"/>
      <c r="BC671" s="91"/>
      <c r="BG671" s="114"/>
      <c r="BH671" s="5"/>
    </row>
    <row r="672" customFormat="false" ht="15" hidden="false" customHeight="false" outlineLevel="0" collapsed="false">
      <c r="AY672" s="114"/>
      <c r="AZ672" s="91"/>
      <c r="BA672" s="87"/>
      <c r="BB672" s="5"/>
      <c r="BC672" s="91"/>
      <c r="BG672" s="114"/>
      <c r="BH672" s="5"/>
    </row>
    <row r="673" customFormat="false" ht="15" hidden="false" customHeight="false" outlineLevel="0" collapsed="false">
      <c r="AY673" s="114"/>
      <c r="AZ673" s="91"/>
      <c r="BA673" s="87"/>
      <c r="BB673" s="5"/>
      <c r="BC673" s="91"/>
      <c r="BG673" s="114"/>
      <c r="BH673" s="5"/>
    </row>
    <row r="674" customFormat="false" ht="15" hidden="false" customHeight="false" outlineLevel="0" collapsed="false">
      <c r="AY674" s="114"/>
      <c r="AZ674" s="91"/>
      <c r="BA674" s="87"/>
      <c r="BB674" s="5"/>
      <c r="BC674" s="91"/>
      <c r="BG674" s="114"/>
      <c r="BH674" s="5"/>
    </row>
    <row r="675" customFormat="false" ht="15" hidden="false" customHeight="false" outlineLevel="0" collapsed="false">
      <c r="AY675" s="114"/>
      <c r="AZ675" s="91"/>
      <c r="BA675" s="87"/>
      <c r="BB675" s="5"/>
      <c r="BC675" s="91"/>
      <c r="BG675" s="114"/>
      <c r="BH675" s="5"/>
    </row>
    <row r="676" customFormat="false" ht="15" hidden="false" customHeight="false" outlineLevel="0" collapsed="false">
      <c r="AY676" s="114"/>
      <c r="AZ676" s="91"/>
      <c r="BA676" s="87"/>
      <c r="BB676" s="5"/>
      <c r="BC676" s="91"/>
      <c r="BG676" s="114"/>
      <c r="BH676" s="5"/>
    </row>
    <row r="677" customFormat="false" ht="15" hidden="false" customHeight="false" outlineLevel="0" collapsed="false">
      <c r="AY677" s="114"/>
      <c r="AZ677" s="91"/>
      <c r="BA677" s="87"/>
      <c r="BB677" s="5"/>
      <c r="BC677" s="91"/>
      <c r="BG677" s="114"/>
      <c r="BH677" s="5"/>
    </row>
    <row r="678" customFormat="false" ht="15" hidden="false" customHeight="false" outlineLevel="0" collapsed="false">
      <c r="AY678" s="114"/>
      <c r="AZ678" s="91"/>
      <c r="BA678" s="87"/>
      <c r="BB678" s="5"/>
      <c r="BC678" s="91"/>
      <c r="BG678" s="114"/>
      <c r="BH678" s="5"/>
    </row>
    <row r="679" customFormat="false" ht="15" hidden="false" customHeight="false" outlineLevel="0" collapsed="false">
      <c r="AY679" s="114"/>
      <c r="AZ679" s="91"/>
      <c r="BA679" s="87"/>
      <c r="BB679" s="5"/>
      <c r="BC679" s="91"/>
      <c r="BG679" s="114"/>
      <c r="BH679" s="5"/>
    </row>
    <row r="680" customFormat="false" ht="15" hidden="false" customHeight="false" outlineLevel="0" collapsed="false">
      <c r="AY680" s="114"/>
      <c r="AZ680" s="91"/>
      <c r="BA680" s="87"/>
      <c r="BB680" s="5"/>
      <c r="BC680" s="91"/>
      <c r="BG680" s="114"/>
      <c r="BH680" s="5"/>
    </row>
    <row r="681" customFormat="false" ht="15" hidden="false" customHeight="false" outlineLevel="0" collapsed="false">
      <c r="AY681" s="114"/>
      <c r="AZ681" s="91"/>
      <c r="BA681" s="87"/>
      <c r="BB681" s="5"/>
      <c r="BC681" s="91"/>
      <c r="BG681" s="114"/>
      <c r="BH681" s="5"/>
    </row>
    <row r="682" customFormat="false" ht="15" hidden="false" customHeight="false" outlineLevel="0" collapsed="false">
      <c r="AY682" s="114"/>
      <c r="AZ682" s="91"/>
      <c r="BA682" s="87"/>
      <c r="BB682" s="5"/>
      <c r="BC682" s="91"/>
      <c r="BG682" s="114"/>
      <c r="BH682" s="5"/>
    </row>
    <row r="683" customFormat="false" ht="15" hidden="false" customHeight="false" outlineLevel="0" collapsed="false">
      <c r="AY683" s="114"/>
      <c r="AZ683" s="91"/>
      <c r="BA683" s="87"/>
      <c r="BB683" s="5"/>
      <c r="BC683" s="91"/>
      <c r="BG683" s="114"/>
      <c r="BH683" s="5"/>
    </row>
    <row r="684" customFormat="false" ht="15" hidden="false" customHeight="false" outlineLevel="0" collapsed="false">
      <c r="AY684" s="114"/>
      <c r="AZ684" s="91"/>
      <c r="BA684" s="87"/>
      <c r="BB684" s="5"/>
      <c r="BC684" s="91"/>
      <c r="BG684" s="114"/>
      <c r="BH684" s="5"/>
    </row>
    <row r="685" customFormat="false" ht="15" hidden="false" customHeight="false" outlineLevel="0" collapsed="false">
      <c r="AY685" s="114"/>
      <c r="AZ685" s="91"/>
      <c r="BA685" s="87"/>
      <c r="BB685" s="5"/>
      <c r="BC685" s="91"/>
      <c r="BG685" s="114"/>
      <c r="BH685" s="5"/>
    </row>
    <row r="686" customFormat="false" ht="15" hidden="false" customHeight="false" outlineLevel="0" collapsed="false">
      <c r="AY686" s="114"/>
      <c r="AZ686" s="91"/>
      <c r="BA686" s="87"/>
      <c r="BB686" s="5"/>
      <c r="BC686" s="91"/>
      <c r="BG686" s="114"/>
      <c r="BH686" s="5"/>
    </row>
    <row r="687" customFormat="false" ht="15" hidden="false" customHeight="false" outlineLevel="0" collapsed="false">
      <c r="AY687" s="114"/>
      <c r="AZ687" s="91"/>
      <c r="BA687" s="87"/>
      <c r="BB687" s="5"/>
      <c r="BC687" s="91"/>
      <c r="BG687" s="114"/>
      <c r="BH687" s="5"/>
    </row>
    <row r="688" customFormat="false" ht="15" hidden="false" customHeight="false" outlineLevel="0" collapsed="false">
      <c r="AY688" s="114"/>
      <c r="AZ688" s="91"/>
      <c r="BA688" s="87"/>
      <c r="BB688" s="5"/>
      <c r="BC688" s="91"/>
      <c r="BG688" s="114"/>
      <c r="BH688" s="5"/>
    </row>
    <row r="689" customFormat="false" ht="15" hidden="false" customHeight="false" outlineLevel="0" collapsed="false">
      <c r="AY689" s="114"/>
      <c r="AZ689" s="91"/>
      <c r="BA689" s="87"/>
      <c r="BB689" s="5"/>
      <c r="BC689" s="91"/>
      <c r="BG689" s="114"/>
      <c r="BH689" s="5"/>
    </row>
    <row r="690" customFormat="false" ht="15" hidden="false" customHeight="false" outlineLevel="0" collapsed="false">
      <c r="AY690" s="114"/>
      <c r="AZ690" s="91"/>
      <c r="BA690" s="87"/>
      <c r="BB690" s="5"/>
      <c r="BC690" s="91"/>
      <c r="BG690" s="114"/>
      <c r="BH690" s="5"/>
    </row>
    <row r="691" customFormat="false" ht="15" hidden="false" customHeight="false" outlineLevel="0" collapsed="false">
      <c r="AY691" s="114"/>
      <c r="AZ691" s="91"/>
      <c r="BA691" s="87"/>
      <c r="BB691" s="5"/>
      <c r="BC691" s="91"/>
      <c r="BG691" s="114"/>
      <c r="BH691" s="5"/>
    </row>
    <row r="692" customFormat="false" ht="15" hidden="false" customHeight="false" outlineLevel="0" collapsed="false">
      <c r="AY692" s="114"/>
      <c r="AZ692" s="91"/>
      <c r="BA692" s="87"/>
      <c r="BB692" s="5"/>
      <c r="BC692" s="91"/>
      <c r="BG692" s="114"/>
      <c r="BH692" s="5"/>
    </row>
    <row r="693" customFormat="false" ht="15" hidden="false" customHeight="false" outlineLevel="0" collapsed="false">
      <c r="AY693" s="114"/>
      <c r="AZ693" s="91"/>
      <c r="BA693" s="87"/>
      <c r="BB693" s="5"/>
      <c r="BC693" s="91"/>
      <c r="BG693" s="114"/>
      <c r="BH693" s="5"/>
    </row>
    <row r="694" customFormat="false" ht="15" hidden="false" customHeight="false" outlineLevel="0" collapsed="false">
      <c r="AY694" s="114"/>
      <c r="AZ694" s="91"/>
      <c r="BA694" s="87"/>
      <c r="BB694" s="5"/>
      <c r="BC694" s="91"/>
      <c r="BG694" s="114"/>
      <c r="BH694" s="5"/>
    </row>
    <row r="695" customFormat="false" ht="15" hidden="false" customHeight="false" outlineLevel="0" collapsed="false">
      <c r="AY695" s="114"/>
      <c r="AZ695" s="91"/>
      <c r="BA695" s="87"/>
      <c r="BB695" s="5"/>
      <c r="BC695" s="91"/>
      <c r="BG695" s="114"/>
      <c r="BH695" s="5"/>
    </row>
    <row r="696" customFormat="false" ht="15" hidden="false" customHeight="false" outlineLevel="0" collapsed="false">
      <c r="AY696" s="114"/>
      <c r="AZ696" s="91"/>
      <c r="BA696" s="87"/>
      <c r="BB696" s="5"/>
      <c r="BC696" s="91"/>
      <c r="BG696" s="114"/>
      <c r="BH696" s="5"/>
    </row>
    <row r="697" customFormat="false" ht="15" hidden="false" customHeight="false" outlineLevel="0" collapsed="false">
      <c r="AY697" s="114"/>
      <c r="AZ697" s="91"/>
      <c r="BA697" s="87"/>
      <c r="BB697" s="5"/>
      <c r="BC697" s="91"/>
      <c r="BG697" s="114"/>
      <c r="BH697" s="5"/>
    </row>
    <row r="698" customFormat="false" ht="15" hidden="false" customHeight="false" outlineLevel="0" collapsed="false">
      <c r="AY698" s="114"/>
      <c r="AZ698" s="91"/>
      <c r="BA698" s="87"/>
      <c r="BB698" s="5"/>
      <c r="BC698" s="91"/>
      <c r="BG698" s="114"/>
      <c r="BH698" s="5"/>
    </row>
    <row r="699" customFormat="false" ht="15" hidden="false" customHeight="false" outlineLevel="0" collapsed="false">
      <c r="AY699" s="114"/>
      <c r="AZ699" s="91"/>
      <c r="BA699" s="87"/>
      <c r="BB699" s="5"/>
      <c r="BC699" s="91"/>
      <c r="BG699" s="114"/>
      <c r="BH699" s="5"/>
    </row>
    <row r="700" customFormat="false" ht="15" hidden="false" customHeight="false" outlineLevel="0" collapsed="false">
      <c r="AY700" s="114"/>
      <c r="AZ700" s="91"/>
      <c r="BA700" s="87"/>
      <c r="BB700" s="5"/>
      <c r="BC700" s="91"/>
      <c r="BG700" s="114"/>
      <c r="BH700" s="5"/>
    </row>
    <row r="701" customFormat="false" ht="15" hidden="false" customHeight="false" outlineLevel="0" collapsed="false">
      <c r="AY701" s="114"/>
      <c r="AZ701" s="91"/>
      <c r="BA701" s="87"/>
      <c r="BB701" s="5"/>
      <c r="BC701" s="91"/>
      <c r="BG701" s="114"/>
      <c r="BH701" s="5"/>
    </row>
    <row r="702" customFormat="false" ht="15" hidden="false" customHeight="false" outlineLevel="0" collapsed="false">
      <c r="AY702" s="114"/>
      <c r="AZ702" s="91"/>
      <c r="BA702" s="87"/>
      <c r="BB702" s="5"/>
      <c r="BC702" s="91"/>
      <c r="BG702" s="114"/>
      <c r="BH702" s="5"/>
    </row>
    <row r="703" customFormat="false" ht="15" hidden="false" customHeight="false" outlineLevel="0" collapsed="false">
      <c r="AY703" s="114"/>
      <c r="AZ703" s="91"/>
      <c r="BA703" s="87"/>
      <c r="BB703" s="5"/>
      <c r="BC703" s="91"/>
      <c r="BG703" s="114"/>
      <c r="BH703" s="5"/>
    </row>
    <row r="704" customFormat="false" ht="15" hidden="false" customHeight="false" outlineLevel="0" collapsed="false">
      <c r="AY704" s="114"/>
      <c r="AZ704" s="91"/>
      <c r="BA704" s="87"/>
      <c r="BB704" s="5"/>
      <c r="BC704" s="91"/>
      <c r="BG704" s="114"/>
      <c r="BH704" s="5"/>
    </row>
    <row r="705" customFormat="false" ht="15" hidden="false" customHeight="false" outlineLevel="0" collapsed="false">
      <c r="AY705" s="114"/>
      <c r="AZ705" s="91"/>
      <c r="BA705" s="87"/>
      <c r="BB705" s="5"/>
      <c r="BC705" s="91"/>
      <c r="BG705" s="114"/>
      <c r="BH705" s="5"/>
    </row>
    <row r="706" customFormat="false" ht="15" hidden="false" customHeight="false" outlineLevel="0" collapsed="false">
      <c r="AY706" s="114"/>
      <c r="AZ706" s="91"/>
      <c r="BA706" s="87"/>
      <c r="BB706" s="5"/>
      <c r="BC706" s="91"/>
      <c r="BG706" s="114"/>
      <c r="BH706" s="5"/>
    </row>
    <row r="707" customFormat="false" ht="15" hidden="false" customHeight="false" outlineLevel="0" collapsed="false">
      <c r="AY707" s="114"/>
      <c r="AZ707" s="91"/>
      <c r="BA707" s="87"/>
      <c r="BB707" s="5"/>
      <c r="BC707" s="91"/>
      <c r="BG707" s="114"/>
      <c r="BH707" s="5"/>
    </row>
    <row r="708" customFormat="false" ht="15" hidden="false" customHeight="false" outlineLevel="0" collapsed="false">
      <c r="AY708" s="114"/>
      <c r="AZ708" s="91"/>
      <c r="BA708" s="87"/>
      <c r="BB708" s="5"/>
      <c r="BC708" s="91"/>
      <c r="BG708" s="114"/>
      <c r="BH708" s="5"/>
    </row>
    <row r="709" customFormat="false" ht="15" hidden="false" customHeight="false" outlineLevel="0" collapsed="false">
      <c r="AY709" s="114"/>
      <c r="AZ709" s="91"/>
      <c r="BA709" s="87"/>
      <c r="BB709" s="5"/>
      <c r="BC709" s="91"/>
      <c r="BG709" s="114"/>
      <c r="BH709" s="5"/>
    </row>
    <row r="710" customFormat="false" ht="15" hidden="false" customHeight="false" outlineLevel="0" collapsed="false">
      <c r="AY710" s="114"/>
      <c r="AZ710" s="91"/>
      <c r="BA710" s="87"/>
      <c r="BB710" s="5"/>
      <c r="BC710" s="91"/>
      <c r="BG710" s="114"/>
      <c r="BH710" s="5"/>
    </row>
    <row r="711" customFormat="false" ht="15" hidden="false" customHeight="false" outlineLevel="0" collapsed="false">
      <c r="AY711" s="114"/>
      <c r="AZ711" s="91"/>
      <c r="BA711" s="87"/>
      <c r="BB711" s="5"/>
      <c r="BC711" s="91"/>
      <c r="BG711" s="114"/>
      <c r="BH711" s="5"/>
    </row>
    <row r="712" customFormat="false" ht="15" hidden="false" customHeight="false" outlineLevel="0" collapsed="false">
      <c r="AY712" s="114"/>
      <c r="AZ712" s="91"/>
      <c r="BA712" s="87"/>
      <c r="BB712" s="5"/>
      <c r="BC712" s="91"/>
      <c r="BG712" s="114"/>
      <c r="BH712" s="5"/>
    </row>
    <row r="713" customFormat="false" ht="15" hidden="false" customHeight="false" outlineLevel="0" collapsed="false">
      <c r="AY713" s="114"/>
      <c r="AZ713" s="91"/>
      <c r="BA713" s="87"/>
      <c r="BB713" s="5"/>
      <c r="BC713" s="91"/>
      <c r="BG713" s="114"/>
      <c r="BH713" s="5"/>
    </row>
    <row r="714" customFormat="false" ht="15" hidden="false" customHeight="false" outlineLevel="0" collapsed="false">
      <c r="AY714" s="114"/>
      <c r="AZ714" s="91"/>
      <c r="BA714" s="87"/>
      <c r="BB714" s="5"/>
      <c r="BC714" s="91"/>
      <c r="BG714" s="114"/>
      <c r="BH714" s="5"/>
    </row>
    <row r="715" customFormat="false" ht="15" hidden="false" customHeight="false" outlineLevel="0" collapsed="false">
      <c r="AY715" s="114"/>
      <c r="AZ715" s="91"/>
      <c r="BA715" s="87"/>
      <c r="BB715" s="5"/>
      <c r="BC715" s="91"/>
      <c r="BG715" s="114"/>
      <c r="BH715" s="5"/>
    </row>
    <row r="716" customFormat="false" ht="15" hidden="false" customHeight="false" outlineLevel="0" collapsed="false">
      <c r="AY716" s="114"/>
      <c r="AZ716" s="91"/>
      <c r="BA716" s="87"/>
      <c r="BB716" s="5"/>
      <c r="BC716" s="91"/>
      <c r="BG716" s="114"/>
      <c r="BH716" s="5"/>
    </row>
    <row r="717" customFormat="false" ht="15" hidden="false" customHeight="false" outlineLevel="0" collapsed="false">
      <c r="AY717" s="114"/>
      <c r="AZ717" s="91"/>
      <c r="BA717" s="87"/>
      <c r="BB717" s="5"/>
      <c r="BC717" s="91"/>
      <c r="BG717" s="114"/>
      <c r="BH717" s="5"/>
    </row>
    <row r="718" customFormat="false" ht="15" hidden="false" customHeight="false" outlineLevel="0" collapsed="false">
      <c r="AY718" s="114"/>
      <c r="AZ718" s="91"/>
      <c r="BA718" s="87"/>
      <c r="BB718" s="5"/>
      <c r="BC718" s="91"/>
      <c r="BG718" s="114"/>
      <c r="BH718" s="5"/>
    </row>
    <row r="719" customFormat="false" ht="15" hidden="false" customHeight="false" outlineLevel="0" collapsed="false">
      <c r="AY719" s="114"/>
      <c r="AZ719" s="91"/>
      <c r="BA719" s="87"/>
      <c r="BB719" s="5"/>
      <c r="BC719" s="91"/>
      <c r="BG719" s="114"/>
      <c r="BH719" s="5"/>
    </row>
    <row r="720" customFormat="false" ht="15" hidden="false" customHeight="false" outlineLevel="0" collapsed="false">
      <c r="AY720" s="114"/>
      <c r="AZ720" s="91"/>
      <c r="BA720" s="87"/>
      <c r="BB720" s="5"/>
      <c r="BC720" s="91"/>
      <c r="BG720" s="114"/>
      <c r="BH720" s="5"/>
    </row>
    <row r="721" customFormat="false" ht="15" hidden="false" customHeight="false" outlineLevel="0" collapsed="false">
      <c r="AY721" s="114"/>
      <c r="AZ721" s="91"/>
      <c r="BA721" s="87"/>
      <c r="BB721" s="5"/>
      <c r="BC721" s="91"/>
      <c r="BG721" s="114"/>
      <c r="BH721" s="5"/>
    </row>
    <row r="722" customFormat="false" ht="15" hidden="false" customHeight="false" outlineLevel="0" collapsed="false">
      <c r="AY722" s="114"/>
      <c r="AZ722" s="91"/>
      <c r="BA722" s="87"/>
      <c r="BB722" s="5"/>
      <c r="BC722" s="91"/>
      <c r="BG722" s="114"/>
      <c r="BH722" s="5"/>
    </row>
    <row r="723" customFormat="false" ht="15" hidden="false" customHeight="false" outlineLevel="0" collapsed="false">
      <c r="AY723" s="114"/>
      <c r="AZ723" s="91"/>
      <c r="BA723" s="87"/>
      <c r="BB723" s="5"/>
      <c r="BC723" s="91"/>
      <c r="BG723" s="114"/>
      <c r="BH723" s="5"/>
    </row>
    <row r="724" customFormat="false" ht="15" hidden="false" customHeight="false" outlineLevel="0" collapsed="false">
      <c r="AY724" s="114"/>
      <c r="AZ724" s="91"/>
      <c r="BA724" s="87"/>
      <c r="BB724" s="5"/>
      <c r="BC724" s="91"/>
      <c r="BG724" s="114"/>
      <c r="BH724" s="5"/>
    </row>
    <row r="725" customFormat="false" ht="15" hidden="false" customHeight="false" outlineLevel="0" collapsed="false">
      <c r="AY725" s="114"/>
      <c r="AZ725" s="91"/>
      <c r="BA725" s="87"/>
      <c r="BB725" s="5"/>
      <c r="BC725" s="91"/>
      <c r="BG725" s="114"/>
      <c r="BH725" s="5"/>
    </row>
    <row r="726" customFormat="false" ht="15" hidden="false" customHeight="false" outlineLevel="0" collapsed="false">
      <c r="AY726" s="114"/>
      <c r="AZ726" s="91"/>
      <c r="BA726" s="87"/>
      <c r="BB726" s="5"/>
      <c r="BC726" s="91"/>
      <c r="BG726" s="114"/>
      <c r="BH726" s="5"/>
    </row>
    <row r="727" customFormat="false" ht="15" hidden="false" customHeight="false" outlineLevel="0" collapsed="false">
      <c r="AY727" s="114"/>
      <c r="AZ727" s="91"/>
      <c r="BA727" s="87"/>
      <c r="BB727" s="5"/>
      <c r="BC727" s="91"/>
      <c r="BG727" s="114"/>
      <c r="BH727" s="5"/>
    </row>
    <row r="728" customFormat="false" ht="15" hidden="false" customHeight="false" outlineLevel="0" collapsed="false">
      <c r="AY728" s="114"/>
      <c r="AZ728" s="91"/>
      <c r="BA728" s="87"/>
      <c r="BB728" s="5"/>
      <c r="BC728" s="91"/>
      <c r="BG728" s="114"/>
      <c r="BH728" s="5"/>
    </row>
    <row r="729" customFormat="false" ht="15" hidden="false" customHeight="false" outlineLevel="0" collapsed="false">
      <c r="AY729" s="114"/>
      <c r="AZ729" s="91"/>
      <c r="BA729" s="87"/>
      <c r="BB729" s="5"/>
      <c r="BC729" s="91"/>
      <c r="BG729" s="114"/>
      <c r="BH729" s="5"/>
    </row>
    <row r="730" customFormat="false" ht="15" hidden="false" customHeight="false" outlineLevel="0" collapsed="false">
      <c r="AY730" s="114"/>
      <c r="AZ730" s="91"/>
      <c r="BA730" s="87"/>
      <c r="BB730" s="5"/>
      <c r="BC730" s="91"/>
      <c r="BG730" s="114"/>
      <c r="BH730" s="5"/>
    </row>
    <row r="731" customFormat="false" ht="15" hidden="false" customHeight="false" outlineLevel="0" collapsed="false">
      <c r="AY731" s="114"/>
      <c r="AZ731" s="91"/>
      <c r="BA731" s="87"/>
      <c r="BB731" s="5"/>
      <c r="BC731" s="91"/>
      <c r="BG731" s="114"/>
      <c r="BH731" s="5"/>
    </row>
    <row r="732" customFormat="false" ht="15" hidden="false" customHeight="false" outlineLevel="0" collapsed="false">
      <c r="AY732" s="114"/>
      <c r="AZ732" s="91"/>
      <c r="BA732" s="87"/>
      <c r="BB732" s="5"/>
      <c r="BC732" s="91"/>
      <c r="BG732" s="114"/>
      <c r="BH732" s="5"/>
    </row>
    <row r="733" customFormat="false" ht="15" hidden="false" customHeight="false" outlineLevel="0" collapsed="false">
      <c r="AY733" s="114"/>
      <c r="AZ733" s="91"/>
      <c r="BA733" s="87"/>
      <c r="BB733" s="5"/>
      <c r="BC733" s="91"/>
      <c r="BG733" s="114"/>
      <c r="BH733" s="5"/>
    </row>
    <row r="734" customFormat="false" ht="15" hidden="false" customHeight="false" outlineLevel="0" collapsed="false">
      <c r="AY734" s="114"/>
      <c r="AZ734" s="91"/>
      <c r="BA734" s="87"/>
      <c r="BB734" s="5"/>
      <c r="BC734" s="91"/>
      <c r="BG734" s="114"/>
      <c r="BH734" s="5"/>
    </row>
    <row r="735" customFormat="false" ht="15" hidden="false" customHeight="false" outlineLevel="0" collapsed="false">
      <c r="AY735" s="114"/>
      <c r="AZ735" s="91"/>
      <c r="BA735" s="87"/>
      <c r="BB735" s="5"/>
      <c r="BC735" s="91"/>
      <c r="BG735" s="114"/>
      <c r="BH735" s="5"/>
    </row>
    <row r="736" customFormat="false" ht="15" hidden="false" customHeight="false" outlineLevel="0" collapsed="false">
      <c r="AY736" s="114"/>
      <c r="AZ736" s="91"/>
      <c r="BA736" s="87"/>
      <c r="BB736" s="5"/>
      <c r="BC736" s="91"/>
      <c r="BG736" s="114"/>
      <c r="BH736" s="5"/>
    </row>
    <row r="737" customFormat="false" ht="15" hidden="false" customHeight="false" outlineLevel="0" collapsed="false">
      <c r="AY737" s="114"/>
      <c r="AZ737" s="91"/>
      <c r="BA737" s="87"/>
      <c r="BB737" s="5"/>
      <c r="BC737" s="91"/>
      <c r="BG737" s="114"/>
      <c r="BH737" s="5"/>
    </row>
    <row r="738" customFormat="false" ht="15" hidden="false" customHeight="false" outlineLevel="0" collapsed="false">
      <c r="AY738" s="114"/>
      <c r="AZ738" s="91"/>
      <c r="BA738" s="87"/>
      <c r="BB738" s="5"/>
      <c r="BC738" s="91"/>
      <c r="BG738" s="114"/>
      <c r="BH738" s="5"/>
    </row>
    <row r="739" customFormat="false" ht="15" hidden="false" customHeight="false" outlineLevel="0" collapsed="false">
      <c r="AY739" s="114"/>
      <c r="AZ739" s="91"/>
      <c r="BA739" s="87"/>
      <c r="BB739" s="5"/>
      <c r="BC739" s="91"/>
      <c r="BG739" s="114"/>
      <c r="BH739" s="5"/>
    </row>
    <row r="740" customFormat="false" ht="15" hidden="false" customHeight="false" outlineLevel="0" collapsed="false">
      <c r="AY740" s="114"/>
      <c r="AZ740" s="91"/>
      <c r="BA740" s="87"/>
      <c r="BB740" s="5"/>
      <c r="BC740" s="91"/>
      <c r="BG740" s="114"/>
      <c r="BH740" s="5"/>
    </row>
    <row r="741" customFormat="false" ht="15" hidden="false" customHeight="false" outlineLevel="0" collapsed="false">
      <c r="AY741" s="114"/>
      <c r="AZ741" s="91"/>
      <c r="BA741" s="87"/>
      <c r="BB741" s="5"/>
      <c r="BC741" s="91"/>
      <c r="BG741" s="114"/>
      <c r="BH741" s="5"/>
    </row>
    <row r="742" customFormat="false" ht="15" hidden="false" customHeight="false" outlineLevel="0" collapsed="false">
      <c r="AY742" s="114"/>
      <c r="AZ742" s="91"/>
      <c r="BA742" s="87"/>
      <c r="BB742" s="5"/>
      <c r="BC742" s="91"/>
      <c r="BG742" s="114"/>
      <c r="BH742" s="5"/>
    </row>
    <row r="743" customFormat="false" ht="15" hidden="false" customHeight="false" outlineLevel="0" collapsed="false">
      <c r="AY743" s="114"/>
      <c r="AZ743" s="91"/>
      <c r="BA743" s="87"/>
      <c r="BB743" s="5"/>
      <c r="BC743" s="91"/>
      <c r="BG743" s="114"/>
      <c r="BH743" s="5"/>
    </row>
    <row r="744" customFormat="false" ht="15" hidden="false" customHeight="false" outlineLevel="0" collapsed="false">
      <c r="AY744" s="114"/>
      <c r="AZ744" s="91"/>
      <c r="BA744" s="87"/>
      <c r="BB744" s="5"/>
      <c r="BC744" s="91"/>
      <c r="BG744" s="114"/>
      <c r="BH744" s="5"/>
    </row>
    <row r="745" customFormat="false" ht="15" hidden="false" customHeight="false" outlineLevel="0" collapsed="false">
      <c r="AY745" s="114"/>
      <c r="AZ745" s="91"/>
      <c r="BA745" s="87"/>
      <c r="BB745" s="5"/>
      <c r="BC745" s="91"/>
      <c r="BG745" s="114"/>
      <c r="BH745" s="5"/>
    </row>
    <row r="746" customFormat="false" ht="15" hidden="false" customHeight="false" outlineLevel="0" collapsed="false">
      <c r="AY746" s="114"/>
      <c r="AZ746" s="91"/>
      <c r="BA746" s="87"/>
      <c r="BB746" s="5"/>
      <c r="BC746" s="91"/>
      <c r="BG746" s="114"/>
      <c r="BH746" s="5"/>
    </row>
    <row r="747" customFormat="false" ht="15" hidden="false" customHeight="false" outlineLevel="0" collapsed="false">
      <c r="AY747" s="114"/>
      <c r="AZ747" s="91"/>
      <c r="BA747" s="87"/>
      <c r="BB747" s="5"/>
      <c r="BC747" s="91"/>
      <c r="BG747" s="114"/>
      <c r="BH747" s="5"/>
    </row>
    <row r="748" customFormat="false" ht="15" hidden="false" customHeight="false" outlineLevel="0" collapsed="false">
      <c r="AY748" s="114"/>
      <c r="AZ748" s="91"/>
      <c r="BA748" s="87"/>
      <c r="BB748" s="5"/>
      <c r="BC748" s="91"/>
      <c r="BG748" s="114"/>
      <c r="BH748" s="5"/>
    </row>
    <row r="749" customFormat="false" ht="15" hidden="false" customHeight="false" outlineLevel="0" collapsed="false">
      <c r="AY749" s="114"/>
      <c r="AZ749" s="91"/>
      <c r="BA749" s="87"/>
      <c r="BB749" s="5"/>
      <c r="BC749" s="91"/>
      <c r="BG749" s="114"/>
      <c r="BH749" s="5"/>
    </row>
    <row r="750" customFormat="false" ht="15" hidden="false" customHeight="false" outlineLevel="0" collapsed="false">
      <c r="AY750" s="114"/>
      <c r="AZ750" s="91"/>
      <c r="BA750" s="87"/>
      <c r="BB750" s="5"/>
      <c r="BC750" s="91"/>
      <c r="BG750" s="114"/>
      <c r="BH750" s="5"/>
    </row>
    <row r="751" customFormat="false" ht="15" hidden="false" customHeight="false" outlineLevel="0" collapsed="false">
      <c r="AY751" s="114"/>
      <c r="AZ751" s="91"/>
      <c r="BA751" s="87"/>
      <c r="BB751" s="5"/>
      <c r="BC751" s="91"/>
      <c r="BG751" s="114"/>
      <c r="BH751" s="5"/>
    </row>
    <row r="752" customFormat="false" ht="15" hidden="false" customHeight="false" outlineLevel="0" collapsed="false">
      <c r="AY752" s="114"/>
      <c r="AZ752" s="91"/>
      <c r="BA752" s="87"/>
      <c r="BB752" s="5"/>
      <c r="BC752" s="91"/>
      <c r="BG752" s="114"/>
      <c r="BH752" s="5"/>
    </row>
    <row r="753" customFormat="false" ht="15" hidden="false" customHeight="false" outlineLevel="0" collapsed="false">
      <c r="AY753" s="114"/>
      <c r="AZ753" s="91"/>
      <c r="BA753" s="87"/>
      <c r="BB753" s="5"/>
      <c r="BC753" s="91"/>
      <c r="BG753" s="114"/>
      <c r="BH753" s="5"/>
    </row>
    <row r="754" customFormat="false" ht="15" hidden="false" customHeight="false" outlineLevel="0" collapsed="false">
      <c r="AY754" s="114"/>
      <c r="AZ754" s="91"/>
      <c r="BA754" s="87"/>
      <c r="BB754" s="5"/>
      <c r="BC754" s="91"/>
      <c r="BG754" s="114"/>
      <c r="BH754" s="5"/>
    </row>
    <row r="755" customFormat="false" ht="15" hidden="false" customHeight="false" outlineLevel="0" collapsed="false">
      <c r="AY755" s="114"/>
      <c r="AZ755" s="91"/>
      <c r="BA755" s="87"/>
      <c r="BB755" s="5"/>
      <c r="BC755" s="91"/>
      <c r="BG755" s="114"/>
      <c r="BH755" s="5"/>
    </row>
    <row r="756" customFormat="false" ht="15" hidden="false" customHeight="false" outlineLevel="0" collapsed="false">
      <c r="AY756" s="114"/>
      <c r="AZ756" s="91"/>
      <c r="BA756" s="87"/>
      <c r="BB756" s="5"/>
      <c r="BC756" s="91"/>
      <c r="BG756" s="114"/>
      <c r="BH756" s="5"/>
    </row>
    <row r="757" customFormat="false" ht="15" hidden="false" customHeight="false" outlineLevel="0" collapsed="false">
      <c r="AY757" s="114"/>
      <c r="AZ757" s="91"/>
      <c r="BA757" s="87"/>
      <c r="BB757" s="5"/>
      <c r="BC757" s="91"/>
      <c r="BG757" s="114"/>
      <c r="BH757" s="5"/>
    </row>
    <row r="758" customFormat="false" ht="15" hidden="false" customHeight="false" outlineLevel="0" collapsed="false">
      <c r="AY758" s="114"/>
      <c r="AZ758" s="91"/>
      <c r="BA758" s="87"/>
      <c r="BB758" s="5"/>
      <c r="BC758" s="91"/>
      <c r="BG758" s="114"/>
      <c r="BH758" s="5"/>
    </row>
    <row r="759" customFormat="false" ht="15" hidden="false" customHeight="false" outlineLevel="0" collapsed="false">
      <c r="AY759" s="114"/>
      <c r="AZ759" s="91"/>
      <c r="BA759" s="87"/>
      <c r="BB759" s="5"/>
      <c r="BC759" s="91"/>
      <c r="BG759" s="114"/>
      <c r="BH759" s="5"/>
    </row>
    <row r="760" customFormat="false" ht="15" hidden="false" customHeight="false" outlineLevel="0" collapsed="false">
      <c r="AY760" s="114"/>
      <c r="AZ760" s="91"/>
      <c r="BA760" s="87"/>
      <c r="BB760" s="5"/>
      <c r="BC760" s="91"/>
      <c r="BG760" s="114"/>
      <c r="BH760" s="5"/>
    </row>
    <row r="761" customFormat="false" ht="15" hidden="false" customHeight="false" outlineLevel="0" collapsed="false">
      <c r="AY761" s="114"/>
      <c r="AZ761" s="91"/>
      <c r="BA761" s="87"/>
      <c r="BB761" s="5"/>
      <c r="BC761" s="91"/>
      <c r="BG761" s="114"/>
      <c r="BH761" s="5"/>
    </row>
    <row r="762" customFormat="false" ht="15" hidden="false" customHeight="false" outlineLevel="0" collapsed="false">
      <c r="AY762" s="114"/>
      <c r="AZ762" s="91"/>
      <c r="BA762" s="87"/>
      <c r="BB762" s="5"/>
      <c r="BC762" s="91"/>
      <c r="BG762" s="114"/>
      <c r="BH762" s="5"/>
    </row>
    <row r="763" customFormat="false" ht="15" hidden="false" customHeight="false" outlineLevel="0" collapsed="false">
      <c r="AY763" s="114"/>
      <c r="AZ763" s="91"/>
      <c r="BA763" s="87"/>
      <c r="BB763" s="5"/>
      <c r="BC763" s="91"/>
      <c r="BG763" s="114"/>
      <c r="BH763" s="5"/>
    </row>
    <row r="764" customFormat="false" ht="15" hidden="false" customHeight="false" outlineLevel="0" collapsed="false">
      <c r="AY764" s="114"/>
      <c r="AZ764" s="91"/>
      <c r="BA764" s="87"/>
      <c r="BB764" s="5"/>
      <c r="BC764" s="91"/>
      <c r="BG764" s="114"/>
      <c r="BH764" s="5"/>
    </row>
    <row r="765" customFormat="false" ht="15" hidden="false" customHeight="false" outlineLevel="0" collapsed="false">
      <c r="AY765" s="114"/>
      <c r="AZ765" s="91"/>
      <c r="BA765" s="87"/>
      <c r="BB765" s="5"/>
      <c r="BC765" s="91"/>
      <c r="BG765" s="114"/>
      <c r="BH765" s="5"/>
    </row>
    <row r="766" customFormat="false" ht="15" hidden="false" customHeight="false" outlineLevel="0" collapsed="false">
      <c r="AY766" s="114"/>
      <c r="AZ766" s="91"/>
      <c r="BA766" s="87"/>
      <c r="BB766" s="5"/>
      <c r="BC766" s="91"/>
      <c r="BG766" s="114"/>
      <c r="BH766" s="5"/>
    </row>
    <row r="767" customFormat="false" ht="15" hidden="false" customHeight="false" outlineLevel="0" collapsed="false">
      <c r="AY767" s="114"/>
      <c r="AZ767" s="91"/>
      <c r="BA767" s="87"/>
      <c r="BB767" s="5"/>
      <c r="BC767" s="91"/>
      <c r="BG767" s="114"/>
      <c r="BH767" s="5"/>
    </row>
    <row r="768" customFormat="false" ht="15" hidden="false" customHeight="false" outlineLevel="0" collapsed="false">
      <c r="AY768" s="114"/>
      <c r="AZ768" s="91"/>
      <c r="BA768" s="87"/>
      <c r="BB768" s="5"/>
      <c r="BC768" s="91"/>
      <c r="BG768" s="114"/>
      <c r="BH768" s="5"/>
    </row>
    <row r="769" customFormat="false" ht="15" hidden="false" customHeight="false" outlineLevel="0" collapsed="false">
      <c r="AY769" s="114"/>
      <c r="AZ769" s="91"/>
      <c r="BA769" s="87"/>
      <c r="BB769" s="5"/>
      <c r="BC769" s="91"/>
      <c r="BG769" s="114"/>
      <c r="BH769" s="5"/>
    </row>
    <row r="770" customFormat="false" ht="15" hidden="false" customHeight="false" outlineLevel="0" collapsed="false">
      <c r="AY770" s="114"/>
      <c r="AZ770" s="91"/>
      <c r="BA770" s="87"/>
      <c r="BB770" s="5"/>
      <c r="BC770" s="91"/>
      <c r="BG770" s="114"/>
      <c r="BH770" s="5"/>
    </row>
    <row r="771" customFormat="false" ht="15" hidden="false" customHeight="false" outlineLevel="0" collapsed="false">
      <c r="AY771" s="114"/>
      <c r="AZ771" s="91"/>
      <c r="BA771" s="87"/>
      <c r="BB771" s="5"/>
      <c r="BC771" s="91"/>
      <c r="BG771" s="114"/>
      <c r="BH771" s="5"/>
    </row>
    <row r="772" customFormat="false" ht="15" hidden="false" customHeight="false" outlineLevel="0" collapsed="false">
      <c r="AY772" s="114"/>
      <c r="AZ772" s="91"/>
      <c r="BA772" s="87"/>
      <c r="BB772" s="5"/>
      <c r="BC772" s="91"/>
      <c r="BG772" s="114"/>
      <c r="BH772" s="5"/>
    </row>
    <row r="773" customFormat="false" ht="15" hidden="false" customHeight="false" outlineLevel="0" collapsed="false">
      <c r="AY773" s="114"/>
      <c r="AZ773" s="91"/>
      <c r="BA773" s="87"/>
      <c r="BB773" s="5"/>
      <c r="BC773" s="91"/>
      <c r="BG773" s="114"/>
      <c r="BH773" s="5"/>
    </row>
    <row r="774" customFormat="false" ht="15" hidden="false" customHeight="false" outlineLevel="0" collapsed="false">
      <c r="AY774" s="114"/>
      <c r="AZ774" s="91"/>
      <c r="BA774" s="87"/>
      <c r="BB774" s="5"/>
      <c r="BC774" s="91"/>
      <c r="BG774" s="114"/>
      <c r="BH774" s="5"/>
    </row>
    <row r="775" customFormat="false" ht="15" hidden="false" customHeight="false" outlineLevel="0" collapsed="false">
      <c r="AY775" s="114"/>
      <c r="AZ775" s="91"/>
      <c r="BA775" s="87"/>
      <c r="BB775" s="5"/>
      <c r="BC775" s="91"/>
      <c r="BG775" s="114"/>
      <c r="BH775" s="5"/>
    </row>
    <row r="776" customFormat="false" ht="15" hidden="false" customHeight="false" outlineLevel="0" collapsed="false">
      <c r="AY776" s="114"/>
      <c r="AZ776" s="91"/>
      <c r="BA776" s="87"/>
      <c r="BB776" s="5"/>
      <c r="BC776" s="91"/>
      <c r="BG776" s="114"/>
      <c r="BH776" s="5"/>
    </row>
    <row r="777" customFormat="false" ht="15" hidden="false" customHeight="false" outlineLevel="0" collapsed="false">
      <c r="AY777" s="114"/>
      <c r="AZ777" s="91"/>
      <c r="BA777" s="87"/>
      <c r="BB777" s="5"/>
      <c r="BC777" s="91"/>
      <c r="BG777" s="114"/>
      <c r="BH777" s="5"/>
    </row>
    <row r="778" customFormat="false" ht="15" hidden="false" customHeight="false" outlineLevel="0" collapsed="false">
      <c r="AY778" s="114"/>
      <c r="AZ778" s="91"/>
      <c r="BA778" s="87"/>
      <c r="BB778" s="5"/>
      <c r="BC778" s="91"/>
      <c r="BG778" s="114"/>
      <c r="BH778" s="5"/>
    </row>
    <row r="779" customFormat="false" ht="15" hidden="false" customHeight="false" outlineLevel="0" collapsed="false">
      <c r="AY779" s="114"/>
      <c r="AZ779" s="91"/>
      <c r="BA779" s="87"/>
      <c r="BB779" s="5"/>
      <c r="BC779" s="91"/>
      <c r="BG779" s="114"/>
      <c r="BH779" s="5"/>
    </row>
    <row r="780" customFormat="false" ht="15" hidden="false" customHeight="false" outlineLevel="0" collapsed="false">
      <c r="AY780" s="114"/>
      <c r="AZ780" s="91"/>
      <c r="BA780" s="87"/>
      <c r="BB780" s="5"/>
      <c r="BC780" s="91"/>
      <c r="BG780" s="114"/>
      <c r="BH780" s="5"/>
    </row>
    <row r="781" customFormat="false" ht="15" hidden="false" customHeight="false" outlineLevel="0" collapsed="false">
      <c r="AY781" s="114"/>
      <c r="AZ781" s="91"/>
      <c r="BA781" s="87"/>
      <c r="BB781" s="5"/>
      <c r="BC781" s="91"/>
      <c r="BG781" s="114"/>
      <c r="BH781" s="5"/>
    </row>
    <row r="782" customFormat="false" ht="15" hidden="false" customHeight="false" outlineLevel="0" collapsed="false">
      <c r="AY782" s="114"/>
      <c r="AZ782" s="91"/>
      <c r="BA782" s="87"/>
      <c r="BB782" s="5"/>
      <c r="BC782" s="91"/>
      <c r="BG782" s="114"/>
      <c r="BH782" s="5"/>
    </row>
    <row r="783" customFormat="false" ht="15" hidden="false" customHeight="false" outlineLevel="0" collapsed="false">
      <c r="AY783" s="114"/>
      <c r="AZ783" s="91"/>
      <c r="BA783" s="87"/>
      <c r="BB783" s="5"/>
      <c r="BC783" s="91"/>
      <c r="BG783" s="114"/>
      <c r="BH783" s="5"/>
    </row>
    <row r="784" customFormat="false" ht="15" hidden="false" customHeight="false" outlineLevel="0" collapsed="false">
      <c r="AY784" s="114"/>
      <c r="AZ784" s="91"/>
      <c r="BA784" s="87"/>
      <c r="BB784" s="5"/>
      <c r="BC784" s="91"/>
      <c r="BG784" s="114"/>
      <c r="BH784" s="5"/>
    </row>
    <row r="785" customFormat="false" ht="15" hidden="false" customHeight="false" outlineLevel="0" collapsed="false">
      <c r="AY785" s="114"/>
      <c r="AZ785" s="91"/>
      <c r="BA785" s="87"/>
      <c r="BB785" s="5"/>
      <c r="BC785" s="91"/>
      <c r="BG785" s="114"/>
      <c r="BH785" s="5"/>
    </row>
    <row r="786" customFormat="false" ht="15" hidden="false" customHeight="false" outlineLevel="0" collapsed="false">
      <c r="AY786" s="114"/>
      <c r="AZ786" s="91"/>
      <c r="BA786" s="87"/>
      <c r="BB786" s="5"/>
      <c r="BC786" s="91"/>
      <c r="BG786" s="114"/>
      <c r="BH786" s="5"/>
    </row>
    <row r="787" customFormat="false" ht="15" hidden="false" customHeight="false" outlineLevel="0" collapsed="false">
      <c r="AY787" s="114"/>
      <c r="AZ787" s="91"/>
      <c r="BA787" s="87"/>
      <c r="BB787" s="5"/>
      <c r="BC787" s="91"/>
      <c r="BG787" s="114"/>
      <c r="BH787" s="5"/>
    </row>
    <row r="788" customFormat="false" ht="15" hidden="false" customHeight="false" outlineLevel="0" collapsed="false">
      <c r="AY788" s="114"/>
      <c r="AZ788" s="91"/>
      <c r="BA788" s="87"/>
      <c r="BB788" s="5"/>
      <c r="BC788" s="91"/>
      <c r="BG788" s="114"/>
      <c r="BH788" s="5"/>
    </row>
    <row r="789" customFormat="false" ht="15" hidden="false" customHeight="false" outlineLevel="0" collapsed="false">
      <c r="AY789" s="114"/>
      <c r="AZ789" s="91"/>
      <c r="BA789" s="87"/>
      <c r="BB789" s="5"/>
      <c r="BC789" s="91"/>
      <c r="BG789" s="114"/>
      <c r="BH789" s="5"/>
    </row>
    <row r="790" customFormat="false" ht="15" hidden="false" customHeight="false" outlineLevel="0" collapsed="false">
      <c r="AY790" s="114"/>
      <c r="AZ790" s="91"/>
      <c r="BA790" s="87"/>
      <c r="BB790" s="5"/>
      <c r="BC790" s="91"/>
      <c r="BG790" s="114"/>
      <c r="BH790" s="5"/>
    </row>
    <row r="791" customFormat="false" ht="15" hidden="false" customHeight="false" outlineLevel="0" collapsed="false">
      <c r="AY791" s="114"/>
      <c r="AZ791" s="91"/>
      <c r="BA791" s="87"/>
      <c r="BB791" s="5"/>
      <c r="BC791" s="91"/>
      <c r="BG791" s="114"/>
      <c r="BH791" s="5"/>
    </row>
    <row r="792" customFormat="false" ht="15" hidden="false" customHeight="false" outlineLevel="0" collapsed="false">
      <c r="AY792" s="114"/>
      <c r="AZ792" s="91"/>
      <c r="BA792" s="87"/>
      <c r="BB792" s="5"/>
      <c r="BC792" s="91"/>
      <c r="BG792" s="114"/>
      <c r="BH792" s="5"/>
    </row>
    <row r="793" customFormat="false" ht="15" hidden="false" customHeight="false" outlineLevel="0" collapsed="false">
      <c r="AY793" s="114"/>
      <c r="AZ793" s="91"/>
      <c r="BA793" s="87"/>
      <c r="BB793" s="5"/>
      <c r="BC793" s="91"/>
      <c r="BG793" s="114"/>
      <c r="BH793" s="5"/>
    </row>
    <row r="794" customFormat="false" ht="15" hidden="false" customHeight="false" outlineLevel="0" collapsed="false">
      <c r="AY794" s="114"/>
      <c r="AZ794" s="91"/>
      <c r="BA794" s="87"/>
      <c r="BB794" s="5"/>
      <c r="BC794" s="91"/>
      <c r="BG794" s="114"/>
      <c r="BH794" s="5"/>
    </row>
    <row r="795" customFormat="false" ht="15" hidden="false" customHeight="false" outlineLevel="0" collapsed="false">
      <c r="AY795" s="114"/>
      <c r="AZ795" s="91"/>
      <c r="BA795" s="87"/>
      <c r="BB795" s="5"/>
      <c r="BC795" s="91"/>
      <c r="BG795" s="114"/>
      <c r="BH795" s="5"/>
    </row>
    <row r="796" customFormat="false" ht="15" hidden="false" customHeight="false" outlineLevel="0" collapsed="false">
      <c r="AY796" s="114"/>
      <c r="AZ796" s="91"/>
      <c r="BA796" s="87"/>
      <c r="BB796" s="5"/>
      <c r="BC796" s="91"/>
      <c r="BG796" s="114"/>
      <c r="BH796" s="5"/>
    </row>
    <row r="797" customFormat="false" ht="15" hidden="false" customHeight="false" outlineLevel="0" collapsed="false">
      <c r="AY797" s="114"/>
      <c r="AZ797" s="91"/>
      <c r="BA797" s="87"/>
      <c r="BB797" s="5"/>
      <c r="BC797" s="91"/>
      <c r="BG797" s="114"/>
      <c r="BH797" s="5"/>
    </row>
    <row r="798" customFormat="false" ht="15" hidden="false" customHeight="false" outlineLevel="0" collapsed="false">
      <c r="AY798" s="114"/>
      <c r="AZ798" s="91"/>
      <c r="BA798" s="87"/>
      <c r="BB798" s="5"/>
      <c r="BC798" s="91"/>
      <c r="BG798" s="114"/>
      <c r="BH798" s="5"/>
    </row>
    <row r="799" customFormat="false" ht="15" hidden="false" customHeight="false" outlineLevel="0" collapsed="false">
      <c r="AY799" s="114"/>
      <c r="AZ799" s="91"/>
      <c r="BA799" s="87"/>
      <c r="BB799" s="5"/>
      <c r="BC799" s="91"/>
      <c r="BG799" s="114"/>
      <c r="BH799" s="5"/>
    </row>
    <row r="800" customFormat="false" ht="15" hidden="false" customHeight="false" outlineLevel="0" collapsed="false">
      <c r="AY800" s="114"/>
      <c r="AZ800" s="91"/>
      <c r="BA800" s="87"/>
      <c r="BB800" s="5"/>
      <c r="BC800" s="91"/>
      <c r="BG800" s="114"/>
      <c r="BH800" s="5"/>
    </row>
    <row r="801" customFormat="false" ht="15" hidden="false" customHeight="false" outlineLevel="0" collapsed="false">
      <c r="AY801" s="114"/>
      <c r="AZ801" s="91"/>
      <c r="BA801" s="87"/>
      <c r="BB801" s="5"/>
      <c r="BC801" s="91"/>
      <c r="BG801" s="114"/>
      <c r="BH801" s="5"/>
    </row>
    <row r="802" customFormat="false" ht="15" hidden="false" customHeight="false" outlineLevel="0" collapsed="false">
      <c r="AY802" s="114"/>
      <c r="AZ802" s="91"/>
      <c r="BA802" s="87"/>
      <c r="BB802" s="5"/>
      <c r="BC802" s="91"/>
      <c r="BG802" s="114"/>
      <c r="BH802" s="5"/>
    </row>
    <row r="803" customFormat="false" ht="15" hidden="false" customHeight="false" outlineLevel="0" collapsed="false">
      <c r="AY803" s="114"/>
      <c r="AZ803" s="91"/>
      <c r="BA803" s="87"/>
      <c r="BB803" s="5"/>
      <c r="BC803" s="91"/>
      <c r="BG803" s="114"/>
      <c r="BH803" s="5"/>
    </row>
    <row r="804" customFormat="false" ht="15" hidden="false" customHeight="false" outlineLevel="0" collapsed="false">
      <c r="AY804" s="114"/>
      <c r="AZ804" s="91"/>
      <c r="BA804" s="87"/>
      <c r="BB804" s="5"/>
      <c r="BC804" s="91"/>
      <c r="BG804" s="114"/>
      <c r="BH804" s="5"/>
    </row>
    <row r="805" customFormat="false" ht="15" hidden="false" customHeight="false" outlineLevel="0" collapsed="false">
      <c r="AY805" s="114"/>
      <c r="AZ805" s="91"/>
      <c r="BA805" s="87"/>
      <c r="BB805" s="5"/>
      <c r="BC805" s="91"/>
      <c r="BG805" s="114"/>
      <c r="BH805" s="5"/>
    </row>
    <row r="806" customFormat="false" ht="15" hidden="false" customHeight="false" outlineLevel="0" collapsed="false">
      <c r="AY806" s="114"/>
      <c r="AZ806" s="91"/>
      <c r="BA806" s="87"/>
      <c r="BB806" s="5"/>
      <c r="BC806" s="91"/>
      <c r="BG806" s="114"/>
      <c r="BH806" s="5"/>
    </row>
    <row r="807" customFormat="false" ht="15" hidden="false" customHeight="false" outlineLevel="0" collapsed="false">
      <c r="AY807" s="114"/>
      <c r="AZ807" s="91"/>
      <c r="BA807" s="87"/>
      <c r="BB807" s="5"/>
      <c r="BC807" s="91"/>
      <c r="BG807" s="114"/>
      <c r="BH807" s="5"/>
    </row>
    <row r="808" customFormat="false" ht="15" hidden="false" customHeight="false" outlineLevel="0" collapsed="false">
      <c r="AY808" s="114"/>
      <c r="AZ808" s="91"/>
      <c r="BA808" s="87"/>
      <c r="BB808" s="5"/>
      <c r="BC808" s="91"/>
      <c r="BG808" s="114"/>
      <c r="BH808" s="5"/>
    </row>
    <row r="809" customFormat="false" ht="15" hidden="false" customHeight="false" outlineLevel="0" collapsed="false">
      <c r="AY809" s="114"/>
      <c r="AZ809" s="91"/>
      <c r="BA809" s="87"/>
      <c r="BB809" s="5"/>
      <c r="BC809" s="91"/>
      <c r="BG809" s="114"/>
      <c r="BH809" s="5"/>
    </row>
    <row r="810" customFormat="false" ht="15" hidden="false" customHeight="false" outlineLevel="0" collapsed="false">
      <c r="AY810" s="114"/>
      <c r="AZ810" s="91"/>
      <c r="BA810" s="87"/>
      <c r="BB810" s="5"/>
      <c r="BC810" s="91"/>
      <c r="BG810" s="114"/>
      <c r="BH810" s="5"/>
    </row>
    <row r="811" customFormat="false" ht="15" hidden="false" customHeight="false" outlineLevel="0" collapsed="false">
      <c r="AY811" s="114"/>
      <c r="AZ811" s="91"/>
      <c r="BA811" s="87"/>
      <c r="BB811" s="5"/>
      <c r="BC811" s="91"/>
      <c r="BG811" s="114"/>
      <c r="BH811" s="5"/>
    </row>
    <row r="812" customFormat="false" ht="15" hidden="false" customHeight="false" outlineLevel="0" collapsed="false">
      <c r="AY812" s="114"/>
      <c r="AZ812" s="91"/>
      <c r="BA812" s="87"/>
      <c r="BB812" s="5"/>
      <c r="BC812" s="91"/>
      <c r="BG812" s="114"/>
      <c r="BH812" s="5"/>
    </row>
    <row r="813" customFormat="false" ht="15" hidden="false" customHeight="false" outlineLevel="0" collapsed="false">
      <c r="AY813" s="114"/>
      <c r="AZ813" s="91"/>
      <c r="BA813" s="87"/>
      <c r="BB813" s="5"/>
      <c r="BC813" s="91"/>
      <c r="BG813" s="114"/>
      <c r="BH813" s="5"/>
    </row>
    <row r="814" customFormat="false" ht="15" hidden="false" customHeight="false" outlineLevel="0" collapsed="false">
      <c r="AY814" s="114"/>
      <c r="AZ814" s="91"/>
      <c r="BA814" s="87"/>
      <c r="BB814" s="5"/>
      <c r="BC814" s="91"/>
      <c r="BG814" s="114"/>
      <c r="BH814" s="5"/>
    </row>
    <row r="815" customFormat="false" ht="15" hidden="false" customHeight="false" outlineLevel="0" collapsed="false">
      <c r="AY815" s="114"/>
      <c r="AZ815" s="91"/>
      <c r="BA815" s="87"/>
      <c r="BB815" s="5"/>
      <c r="BC815" s="91"/>
      <c r="BG815" s="114"/>
      <c r="BH815" s="5"/>
    </row>
    <row r="816" customFormat="false" ht="15" hidden="false" customHeight="false" outlineLevel="0" collapsed="false">
      <c r="AY816" s="114"/>
      <c r="AZ816" s="91"/>
      <c r="BA816" s="87"/>
      <c r="BB816" s="5"/>
      <c r="BC816" s="91"/>
      <c r="BG816" s="114"/>
      <c r="BH816" s="5"/>
    </row>
    <row r="817" customFormat="false" ht="15" hidden="false" customHeight="false" outlineLevel="0" collapsed="false">
      <c r="AY817" s="114"/>
      <c r="AZ817" s="91"/>
      <c r="BA817" s="87"/>
      <c r="BB817" s="5"/>
      <c r="BC817" s="91"/>
      <c r="BG817" s="114"/>
      <c r="BH817" s="5"/>
    </row>
    <row r="818" customFormat="false" ht="15" hidden="false" customHeight="false" outlineLevel="0" collapsed="false">
      <c r="AY818" s="114"/>
      <c r="AZ818" s="91"/>
      <c r="BA818" s="87"/>
      <c r="BB818" s="5"/>
      <c r="BC818" s="91"/>
      <c r="BG818" s="114"/>
      <c r="BH818" s="5"/>
    </row>
    <row r="819" customFormat="false" ht="15" hidden="false" customHeight="false" outlineLevel="0" collapsed="false">
      <c r="AY819" s="114"/>
      <c r="AZ819" s="91"/>
      <c r="BA819" s="87"/>
      <c r="BB819" s="5"/>
      <c r="BC819" s="91"/>
      <c r="BG819" s="114"/>
      <c r="BH819" s="5"/>
    </row>
    <row r="820" customFormat="false" ht="15" hidden="false" customHeight="false" outlineLevel="0" collapsed="false">
      <c r="AY820" s="114"/>
      <c r="AZ820" s="91"/>
      <c r="BA820" s="87"/>
      <c r="BB820" s="5"/>
      <c r="BC820" s="91"/>
      <c r="BG820" s="114"/>
      <c r="BH820" s="5"/>
    </row>
    <row r="821" customFormat="false" ht="15" hidden="false" customHeight="false" outlineLevel="0" collapsed="false">
      <c r="AY821" s="114"/>
      <c r="AZ821" s="91"/>
      <c r="BA821" s="87"/>
      <c r="BB821" s="5"/>
      <c r="BC821" s="91"/>
      <c r="BG821" s="114"/>
      <c r="BH821" s="5"/>
    </row>
    <row r="822" customFormat="false" ht="15" hidden="false" customHeight="false" outlineLevel="0" collapsed="false">
      <c r="AY822" s="114"/>
      <c r="AZ822" s="91"/>
      <c r="BA822" s="87"/>
      <c r="BB822" s="5"/>
      <c r="BC822" s="91"/>
      <c r="BG822" s="114"/>
      <c r="BH822" s="5"/>
    </row>
    <row r="823" customFormat="false" ht="15" hidden="false" customHeight="false" outlineLevel="0" collapsed="false">
      <c r="AY823" s="114"/>
      <c r="AZ823" s="91"/>
      <c r="BA823" s="87"/>
      <c r="BB823" s="5"/>
      <c r="BC823" s="91"/>
      <c r="BG823" s="114"/>
      <c r="BH823" s="5"/>
    </row>
    <row r="824" customFormat="false" ht="15" hidden="false" customHeight="false" outlineLevel="0" collapsed="false">
      <c r="AY824" s="114"/>
      <c r="AZ824" s="91"/>
      <c r="BA824" s="87"/>
      <c r="BB824" s="5"/>
      <c r="BC824" s="91"/>
      <c r="BG824" s="114"/>
      <c r="BH824" s="5"/>
    </row>
    <row r="825" customFormat="false" ht="15" hidden="false" customHeight="false" outlineLevel="0" collapsed="false">
      <c r="AY825" s="114"/>
      <c r="AZ825" s="91"/>
      <c r="BA825" s="87"/>
      <c r="BB825" s="5"/>
      <c r="BC825" s="91"/>
      <c r="BG825" s="114"/>
      <c r="BH825" s="5"/>
    </row>
    <row r="826" customFormat="false" ht="15" hidden="false" customHeight="false" outlineLevel="0" collapsed="false">
      <c r="AY826" s="114"/>
      <c r="AZ826" s="91"/>
      <c r="BA826" s="87"/>
      <c r="BB826" s="5"/>
      <c r="BC826" s="91"/>
      <c r="BG826" s="114"/>
      <c r="BH826" s="5"/>
    </row>
    <row r="827" customFormat="false" ht="15" hidden="false" customHeight="false" outlineLevel="0" collapsed="false">
      <c r="AY827" s="114"/>
      <c r="AZ827" s="91"/>
      <c r="BA827" s="87"/>
      <c r="BB827" s="5"/>
      <c r="BC827" s="91"/>
      <c r="BG827" s="114"/>
      <c r="BH827" s="5"/>
    </row>
    <row r="828" customFormat="false" ht="15" hidden="false" customHeight="false" outlineLevel="0" collapsed="false">
      <c r="AY828" s="114"/>
      <c r="AZ828" s="91"/>
      <c r="BA828" s="87"/>
      <c r="BB828" s="5"/>
      <c r="BC828" s="91"/>
      <c r="BG828" s="114"/>
      <c r="BH828" s="5"/>
    </row>
    <row r="829" customFormat="false" ht="15" hidden="false" customHeight="false" outlineLevel="0" collapsed="false">
      <c r="AY829" s="114"/>
      <c r="AZ829" s="91"/>
      <c r="BA829" s="87"/>
      <c r="BB829" s="5"/>
      <c r="BC829" s="91"/>
      <c r="BG829" s="114"/>
      <c r="BH829" s="5"/>
    </row>
    <row r="830" customFormat="false" ht="15" hidden="false" customHeight="false" outlineLevel="0" collapsed="false">
      <c r="AY830" s="114"/>
      <c r="AZ830" s="91"/>
      <c r="BA830" s="87"/>
      <c r="BB830" s="5"/>
      <c r="BC830" s="91"/>
      <c r="BG830" s="114"/>
      <c r="BH830" s="5"/>
    </row>
    <row r="831" customFormat="false" ht="15" hidden="false" customHeight="false" outlineLevel="0" collapsed="false">
      <c r="AY831" s="114"/>
      <c r="AZ831" s="91"/>
      <c r="BA831" s="87"/>
      <c r="BB831" s="5"/>
      <c r="BC831" s="91"/>
      <c r="BG831" s="114"/>
      <c r="BH831" s="5"/>
    </row>
    <row r="832" customFormat="false" ht="15" hidden="false" customHeight="false" outlineLevel="0" collapsed="false">
      <c r="AY832" s="114"/>
      <c r="AZ832" s="91"/>
      <c r="BA832" s="87"/>
      <c r="BB832" s="5"/>
      <c r="BC832" s="91"/>
      <c r="BG832" s="114"/>
      <c r="BH832" s="5"/>
    </row>
    <row r="833" customFormat="false" ht="15" hidden="false" customHeight="false" outlineLevel="0" collapsed="false">
      <c r="AY833" s="114"/>
      <c r="AZ833" s="91"/>
      <c r="BA833" s="87"/>
      <c r="BB833" s="5"/>
      <c r="BC833" s="91"/>
      <c r="BG833" s="114"/>
      <c r="BH833" s="5"/>
    </row>
    <row r="834" customFormat="false" ht="15" hidden="false" customHeight="false" outlineLevel="0" collapsed="false">
      <c r="AY834" s="114"/>
      <c r="AZ834" s="91"/>
      <c r="BA834" s="87"/>
      <c r="BB834" s="5"/>
      <c r="BC834" s="91"/>
      <c r="BG834" s="114"/>
      <c r="BH834" s="5"/>
    </row>
    <row r="835" customFormat="false" ht="15" hidden="false" customHeight="false" outlineLevel="0" collapsed="false">
      <c r="AY835" s="114"/>
      <c r="AZ835" s="91"/>
      <c r="BA835" s="87"/>
      <c r="BB835" s="5"/>
      <c r="BC835" s="91"/>
      <c r="BG835" s="114"/>
      <c r="BH835" s="5"/>
    </row>
    <row r="836" customFormat="false" ht="15" hidden="false" customHeight="false" outlineLevel="0" collapsed="false">
      <c r="AY836" s="114"/>
      <c r="AZ836" s="91"/>
      <c r="BA836" s="87"/>
      <c r="BB836" s="5"/>
      <c r="BC836" s="91"/>
      <c r="BG836" s="114"/>
      <c r="BH836" s="5"/>
    </row>
    <row r="837" customFormat="false" ht="15" hidden="false" customHeight="false" outlineLevel="0" collapsed="false">
      <c r="AY837" s="114"/>
      <c r="AZ837" s="91"/>
      <c r="BA837" s="87"/>
      <c r="BB837" s="5"/>
      <c r="BC837" s="91"/>
      <c r="BG837" s="114"/>
      <c r="BH837" s="5"/>
    </row>
    <row r="838" customFormat="false" ht="15" hidden="false" customHeight="false" outlineLevel="0" collapsed="false">
      <c r="AY838" s="114"/>
      <c r="AZ838" s="91"/>
      <c r="BA838" s="87"/>
      <c r="BB838" s="5"/>
      <c r="BC838" s="91"/>
      <c r="BG838" s="114"/>
      <c r="BH838" s="5"/>
    </row>
    <row r="839" customFormat="false" ht="15" hidden="false" customHeight="false" outlineLevel="0" collapsed="false">
      <c r="AY839" s="114"/>
      <c r="AZ839" s="91"/>
      <c r="BA839" s="87"/>
      <c r="BB839" s="5"/>
      <c r="BC839" s="91"/>
      <c r="BG839" s="114"/>
      <c r="BH839" s="5"/>
    </row>
    <row r="840" customFormat="false" ht="15" hidden="false" customHeight="false" outlineLevel="0" collapsed="false">
      <c r="AY840" s="114"/>
      <c r="AZ840" s="91"/>
      <c r="BA840" s="87"/>
      <c r="BB840" s="5"/>
      <c r="BC840" s="91"/>
      <c r="BG840" s="114"/>
      <c r="BH840" s="5"/>
    </row>
    <row r="841" customFormat="false" ht="15" hidden="false" customHeight="false" outlineLevel="0" collapsed="false">
      <c r="AY841" s="114"/>
      <c r="AZ841" s="91"/>
      <c r="BA841" s="87"/>
      <c r="BB841" s="5"/>
      <c r="BC841" s="91"/>
      <c r="BG841" s="114"/>
      <c r="BH841" s="5"/>
    </row>
    <row r="842" customFormat="false" ht="15" hidden="false" customHeight="false" outlineLevel="0" collapsed="false">
      <c r="AY842" s="114"/>
      <c r="AZ842" s="91"/>
      <c r="BA842" s="87"/>
      <c r="BB842" s="5"/>
      <c r="BC842" s="91"/>
      <c r="BG842" s="114"/>
      <c r="BH842" s="5"/>
    </row>
    <row r="843" customFormat="false" ht="15" hidden="false" customHeight="false" outlineLevel="0" collapsed="false">
      <c r="AY843" s="114"/>
      <c r="AZ843" s="91"/>
      <c r="BA843" s="87"/>
      <c r="BB843" s="5"/>
      <c r="BC843" s="91"/>
      <c r="BG843" s="114"/>
      <c r="BH843" s="5"/>
    </row>
    <row r="844" customFormat="false" ht="15" hidden="false" customHeight="false" outlineLevel="0" collapsed="false">
      <c r="AY844" s="114"/>
      <c r="AZ844" s="91"/>
      <c r="BA844" s="87"/>
      <c r="BB844" s="5"/>
      <c r="BC844" s="91"/>
      <c r="BG844" s="114"/>
      <c r="BH844" s="5"/>
    </row>
    <row r="845" customFormat="false" ht="15" hidden="false" customHeight="false" outlineLevel="0" collapsed="false">
      <c r="AY845" s="114"/>
      <c r="AZ845" s="91"/>
      <c r="BA845" s="87"/>
      <c r="BB845" s="5"/>
      <c r="BC845" s="91"/>
      <c r="BG845" s="114"/>
      <c r="BH845" s="5"/>
    </row>
    <row r="846" customFormat="false" ht="15" hidden="false" customHeight="false" outlineLevel="0" collapsed="false">
      <c r="AY846" s="114"/>
      <c r="AZ846" s="91"/>
      <c r="BA846" s="87"/>
      <c r="BB846" s="5"/>
      <c r="BC846" s="91"/>
      <c r="BG846" s="114"/>
      <c r="BH846" s="5"/>
    </row>
    <row r="847" customFormat="false" ht="15" hidden="false" customHeight="false" outlineLevel="0" collapsed="false">
      <c r="AY847" s="114"/>
      <c r="AZ847" s="91"/>
      <c r="BA847" s="87"/>
      <c r="BB847" s="5"/>
      <c r="BC847" s="91"/>
      <c r="BG847" s="114"/>
      <c r="BH847" s="5"/>
    </row>
    <row r="848" customFormat="false" ht="15" hidden="false" customHeight="false" outlineLevel="0" collapsed="false">
      <c r="AY848" s="114"/>
      <c r="AZ848" s="91"/>
      <c r="BA848" s="87"/>
      <c r="BB848" s="5"/>
      <c r="BC848" s="91"/>
      <c r="BG848" s="114"/>
      <c r="BH848" s="5"/>
    </row>
    <row r="849" customFormat="false" ht="15" hidden="false" customHeight="false" outlineLevel="0" collapsed="false">
      <c r="AY849" s="114"/>
      <c r="AZ849" s="91"/>
      <c r="BA849" s="87"/>
      <c r="BB849" s="5"/>
      <c r="BC849" s="91"/>
      <c r="BG849" s="114"/>
      <c r="BH849" s="5"/>
    </row>
    <row r="850" customFormat="false" ht="15" hidden="false" customHeight="false" outlineLevel="0" collapsed="false">
      <c r="AY850" s="114"/>
      <c r="AZ850" s="91"/>
      <c r="BA850" s="87"/>
      <c r="BB850" s="5"/>
      <c r="BC850" s="91"/>
      <c r="BG850" s="114"/>
      <c r="BH850" s="5"/>
    </row>
    <row r="851" customFormat="false" ht="15" hidden="false" customHeight="false" outlineLevel="0" collapsed="false">
      <c r="AY851" s="114"/>
      <c r="AZ851" s="91"/>
      <c r="BA851" s="87"/>
      <c r="BB851" s="5"/>
      <c r="BC851" s="91"/>
      <c r="BG851" s="114"/>
      <c r="BH851" s="5"/>
    </row>
    <row r="852" customFormat="false" ht="15" hidden="false" customHeight="false" outlineLevel="0" collapsed="false">
      <c r="AY852" s="114"/>
      <c r="AZ852" s="91"/>
      <c r="BA852" s="87"/>
      <c r="BB852" s="5"/>
      <c r="BC852" s="91"/>
      <c r="BG852" s="114"/>
      <c r="BH852" s="5"/>
    </row>
    <row r="853" customFormat="false" ht="15" hidden="false" customHeight="false" outlineLevel="0" collapsed="false">
      <c r="AY853" s="114"/>
      <c r="AZ853" s="91"/>
      <c r="BA853" s="87"/>
      <c r="BB853" s="5"/>
      <c r="BC853" s="91"/>
      <c r="BG853" s="114"/>
      <c r="BH853" s="5"/>
    </row>
    <row r="854" customFormat="false" ht="15" hidden="false" customHeight="false" outlineLevel="0" collapsed="false">
      <c r="AY854" s="114"/>
      <c r="AZ854" s="91"/>
      <c r="BA854" s="87"/>
      <c r="BB854" s="5"/>
      <c r="BC854" s="91"/>
      <c r="BG854" s="114"/>
      <c r="BH854" s="5"/>
    </row>
    <row r="855" customFormat="false" ht="15" hidden="false" customHeight="false" outlineLevel="0" collapsed="false">
      <c r="AY855" s="114"/>
      <c r="AZ855" s="91"/>
      <c r="BA855" s="87"/>
      <c r="BB855" s="5"/>
      <c r="BC855" s="91"/>
      <c r="BG855" s="114"/>
      <c r="BH855" s="5"/>
    </row>
    <row r="856" customFormat="false" ht="15" hidden="false" customHeight="false" outlineLevel="0" collapsed="false">
      <c r="AY856" s="114"/>
      <c r="AZ856" s="91"/>
      <c r="BA856" s="87"/>
      <c r="BB856" s="5"/>
      <c r="BC856" s="91"/>
      <c r="BG856" s="114"/>
      <c r="BH856" s="5"/>
    </row>
    <row r="857" customFormat="false" ht="15" hidden="false" customHeight="false" outlineLevel="0" collapsed="false">
      <c r="AY857" s="114"/>
      <c r="AZ857" s="91"/>
      <c r="BA857" s="87"/>
      <c r="BB857" s="5"/>
      <c r="BC857" s="91"/>
      <c r="BG857" s="114"/>
      <c r="BH857" s="5"/>
    </row>
    <row r="858" customFormat="false" ht="15" hidden="false" customHeight="false" outlineLevel="0" collapsed="false">
      <c r="AY858" s="114"/>
      <c r="AZ858" s="91"/>
      <c r="BA858" s="87"/>
      <c r="BB858" s="5"/>
      <c r="BC858" s="91"/>
      <c r="BG858" s="114"/>
      <c r="BH858" s="5"/>
    </row>
    <row r="859" customFormat="false" ht="15" hidden="false" customHeight="false" outlineLevel="0" collapsed="false">
      <c r="AY859" s="114"/>
      <c r="AZ859" s="91"/>
      <c r="BA859" s="87"/>
      <c r="BB859" s="5"/>
      <c r="BC859" s="91"/>
      <c r="BG859" s="114"/>
      <c r="BH859" s="5"/>
    </row>
    <row r="860" customFormat="false" ht="15" hidden="false" customHeight="false" outlineLevel="0" collapsed="false">
      <c r="AY860" s="114"/>
      <c r="AZ860" s="91"/>
      <c r="BA860" s="87"/>
      <c r="BB860" s="5"/>
      <c r="BC860" s="91"/>
      <c r="BG860" s="114"/>
      <c r="BH860" s="5"/>
    </row>
    <row r="861" customFormat="false" ht="15" hidden="false" customHeight="false" outlineLevel="0" collapsed="false">
      <c r="AY861" s="114"/>
      <c r="AZ861" s="91"/>
      <c r="BA861" s="87"/>
      <c r="BB861" s="5"/>
      <c r="BC861" s="91"/>
      <c r="BG861" s="114"/>
      <c r="BH861" s="5"/>
    </row>
    <row r="862" customFormat="false" ht="15" hidden="false" customHeight="false" outlineLevel="0" collapsed="false">
      <c r="AY862" s="114"/>
      <c r="AZ862" s="91"/>
      <c r="BA862" s="87"/>
      <c r="BB862" s="5"/>
      <c r="BC862" s="91"/>
      <c r="BG862" s="114"/>
      <c r="BH862" s="5"/>
    </row>
    <row r="863" customFormat="false" ht="15" hidden="false" customHeight="false" outlineLevel="0" collapsed="false">
      <c r="AY863" s="114"/>
      <c r="AZ863" s="91"/>
      <c r="BA863" s="87"/>
      <c r="BB863" s="5"/>
      <c r="BC863" s="91"/>
      <c r="BG863" s="114"/>
      <c r="BH863" s="5"/>
    </row>
    <row r="864" customFormat="false" ht="15" hidden="false" customHeight="false" outlineLevel="0" collapsed="false">
      <c r="AY864" s="114"/>
      <c r="AZ864" s="91"/>
      <c r="BA864" s="87"/>
      <c r="BB864" s="5"/>
      <c r="BC864" s="91"/>
      <c r="BG864" s="114"/>
      <c r="BH864" s="5"/>
    </row>
    <row r="865" customFormat="false" ht="15" hidden="false" customHeight="false" outlineLevel="0" collapsed="false">
      <c r="AY865" s="114"/>
      <c r="AZ865" s="91"/>
      <c r="BA865" s="87"/>
      <c r="BB865" s="5"/>
      <c r="BC865" s="91"/>
      <c r="BG865" s="114"/>
      <c r="BH865" s="5"/>
    </row>
    <row r="866" customFormat="false" ht="15" hidden="false" customHeight="false" outlineLevel="0" collapsed="false">
      <c r="AY866" s="114"/>
      <c r="AZ866" s="91"/>
      <c r="BA866" s="87"/>
      <c r="BB866" s="5"/>
      <c r="BC866" s="91"/>
      <c r="BG866" s="114"/>
      <c r="BH866" s="5"/>
    </row>
    <row r="867" customFormat="false" ht="15" hidden="false" customHeight="false" outlineLevel="0" collapsed="false">
      <c r="AY867" s="114"/>
      <c r="AZ867" s="91"/>
      <c r="BA867" s="87"/>
      <c r="BB867" s="5"/>
      <c r="BC867" s="91"/>
      <c r="BG867" s="114"/>
      <c r="BH867" s="5"/>
    </row>
    <row r="868" customFormat="false" ht="15" hidden="false" customHeight="false" outlineLevel="0" collapsed="false">
      <c r="AY868" s="114"/>
      <c r="AZ868" s="91"/>
      <c r="BA868" s="87"/>
      <c r="BB868" s="5"/>
      <c r="BC868" s="91"/>
      <c r="BG868" s="114"/>
      <c r="BH868" s="5"/>
    </row>
    <row r="869" customFormat="false" ht="15" hidden="false" customHeight="false" outlineLevel="0" collapsed="false">
      <c r="AY869" s="114"/>
      <c r="AZ869" s="91"/>
      <c r="BA869" s="87"/>
      <c r="BB869" s="5"/>
      <c r="BC869" s="91"/>
      <c r="BG869" s="114"/>
      <c r="BH869" s="5"/>
    </row>
    <row r="870" customFormat="false" ht="15" hidden="false" customHeight="false" outlineLevel="0" collapsed="false">
      <c r="AY870" s="114"/>
      <c r="AZ870" s="91"/>
      <c r="BA870" s="87"/>
      <c r="BB870" s="5"/>
      <c r="BC870" s="91"/>
      <c r="BG870" s="114"/>
      <c r="BH870" s="5"/>
    </row>
    <row r="871" customFormat="false" ht="15" hidden="false" customHeight="false" outlineLevel="0" collapsed="false">
      <c r="AY871" s="114"/>
      <c r="AZ871" s="91"/>
      <c r="BA871" s="87"/>
      <c r="BB871" s="5"/>
      <c r="BC871" s="91"/>
      <c r="BG871" s="114"/>
      <c r="BH871" s="5"/>
    </row>
    <row r="872" customFormat="false" ht="15" hidden="false" customHeight="false" outlineLevel="0" collapsed="false">
      <c r="AY872" s="114"/>
      <c r="AZ872" s="91"/>
      <c r="BA872" s="87"/>
      <c r="BB872" s="5"/>
      <c r="BC872" s="91"/>
      <c r="BG872" s="114"/>
      <c r="BH872" s="5"/>
    </row>
    <row r="873" customFormat="false" ht="15" hidden="false" customHeight="false" outlineLevel="0" collapsed="false">
      <c r="AY873" s="114"/>
      <c r="AZ873" s="91"/>
      <c r="BA873" s="87"/>
      <c r="BB873" s="5"/>
      <c r="BC873" s="91"/>
      <c r="BG873" s="114"/>
      <c r="BH873" s="5"/>
    </row>
    <row r="874" customFormat="false" ht="15" hidden="false" customHeight="false" outlineLevel="0" collapsed="false">
      <c r="AY874" s="114"/>
      <c r="AZ874" s="91"/>
      <c r="BA874" s="87"/>
      <c r="BB874" s="5"/>
      <c r="BC874" s="91"/>
      <c r="BG874" s="114"/>
      <c r="BH874" s="5"/>
    </row>
    <row r="875" customFormat="false" ht="15" hidden="false" customHeight="false" outlineLevel="0" collapsed="false">
      <c r="AY875" s="114"/>
      <c r="AZ875" s="91"/>
      <c r="BA875" s="87"/>
      <c r="BB875" s="5"/>
      <c r="BC875" s="91"/>
      <c r="BG875" s="114"/>
      <c r="BH875" s="5"/>
    </row>
    <row r="876" customFormat="false" ht="15" hidden="false" customHeight="false" outlineLevel="0" collapsed="false">
      <c r="AY876" s="114"/>
      <c r="AZ876" s="91"/>
      <c r="BA876" s="87"/>
      <c r="BB876" s="5"/>
      <c r="BC876" s="91"/>
      <c r="BG876" s="114"/>
      <c r="BH876" s="5"/>
    </row>
    <row r="877" customFormat="false" ht="15" hidden="false" customHeight="false" outlineLevel="0" collapsed="false">
      <c r="AY877" s="114"/>
      <c r="AZ877" s="91"/>
      <c r="BA877" s="87"/>
      <c r="BB877" s="5"/>
      <c r="BC877" s="91"/>
      <c r="BG877" s="114"/>
      <c r="BH877" s="5"/>
    </row>
    <row r="878" customFormat="false" ht="15" hidden="false" customHeight="false" outlineLevel="0" collapsed="false">
      <c r="AY878" s="114"/>
      <c r="AZ878" s="91"/>
      <c r="BA878" s="87"/>
      <c r="BB878" s="5"/>
      <c r="BC878" s="91"/>
      <c r="BG878" s="114"/>
      <c r="BH878" s="5"/>
    </row>
    <row r="879" customFormat="false" ht="15" hidden="false" customHeight="false" outlineLevel="0" collapsed="false">
      <c r="AY879" s="114"/>
      <c r="AZ879" s="91"/>
      <c r="BA879" s="87"/>
      <c r="BB879" s="5"/>
      <c r="BC879" s="91"/>
      <c r="BG879" s="114"/>
      <c r="BH879" s="5"/>
    </row>
    <row r="880" customFormat="false" ht="15" hidden="false" customHeight="false" outlineLevel="0" collapsed="false">
      <c r="AY880" s="114"/>
      <c r="AZ880" s="91"/>
      <c r="BA880" s="87"/>
      <c r="BB880" s="5"/>
      <c r="BC880" s="91"/>
      <c r="BG880" s="114"/>
      <c r="BH880" s="5"/>
    </row>
    <row r="881" customFormat="false" ht="15" hidden="false" customHeight="false" outlineLevel="0" collapsed="false">
      <c r="AY881" s="114"/>
      <c r="AZ881" s="91"/>
      <c r="BA881" s="87"/>
      <c r="BB881" s="5"/>
      <c r="BC881" s="91"/>
      <c r="BG881" s="114"/>
      <c r="BH881" s="5"/>
    </row>
    <row r="882" customFormat="false" ht="15" hidden="false" customHeight="false" outlineLevel="0" collapsed="false">
      <c r="AY882" s="114"/>
      <c r="AZ882" s="91"/>
      <c r="BA882" s="87"/>
      <c r="BB882" s="5"/>
      <c r="BC882" s="91"/>
      <c r="BG882" s="114"/>
      <c r="BH882" s="5"/>
    </row>
    <row r="883" customFormat="false" ht="15" hidden="false" customHeight="false" outlineLevel="0" collapsed="false">
      <c r="AY883" s="114"/>
      <c r="AZ883" s="91"/>
      <c r="BA883" s="87"/>
      <c r="BB883" s="5"/>
      <c r="BC883" s="91"/>
      <c r="BG883" s="114"/>
      <c r="BH883" s="5"/>
    </row>
    <row r="884" customFormat="false" ht="15" hidden="false" customHeight="false" outlineLevel="0" collapsed="false">
      <c r="AY884" s="114"/>
      <c r="AZ884" s="91"/>
      <c r="BA884" s="87"/>
      <c r="BB884" s="5"/>
      <c r="BC884" s="91"/>
      <c r="BG884" s="114"/>
      <c r="BH884" s="5"/>
    </row>
    <row r="885" customFormat="false" ht="15" hidden="false" customHeight="false" outlineLevel="0" collapsed="false">
      <c r="AY885" s="114"/>
      <c r="AZ885" s="91"/>
      <c r="BA885" s="87"/>
      <c r="BB885" s="5"/>
      <c r="BC885" s="91"/>
      <c r="BG885" s="114"/>
      <c r="BH885" s="5"/>
    </row>
    <row r="886" customFormat="false" ht="15" hidden="false" customHeight="false" outlineLevel="0" collapsed="false">
      <c r="AY886" s="114"/>
      <c r="AZ886" s="91"/>
      <c r="BA886" s="87"/>
      <c r="BB886" s="5"/>
      <c r="BC886" s="91"/>
      <c r="BG886" s="114"/>
      <c r="BH886" s="5"/>
    </row>
    <row r="887" customFormat="false" ht="15" hidden="false" customHeight="false" outlineLevel="0" collapsed="false">
      <c r="AY887" s="114"/>
      <c r="AZ887" s="91"/>
      <c r="BA887" s="87"/>
      <c r="BB887" s="5"/>
      <c r="BC887" s="91"/>
      <c r="BG887" s="114"/>
      <c r="BH887" s="5"/>
    </row>
    <row r="888" customFormat="false" ht="15" hidden="false" customHeight="false" outlineLevel="0" collapsed="false">
      <c r="AY888" s="114"/>
      <c r="AZ888" s="91"/>
      <c r="BA888" s="87"/>
      <c r="BB888" s="5"/>
      <c r="BC888" s="91"/>
      <c r="BG888" s="114"/>
      <c r="BH888" s="5"/>
    </row>
    <row r="889" customFormat="false" ht="15" hidden="false" customHeight="false" outlineLevel="0" collapsed="false">
      <c r="AY889" s="114"/>
      <c r="AZ889" s="91"/>
      <c r="BA889" s="87"/>
      <c r="BB889" s="5"/>
      <c r="BC889" s="91"/>
      <c r="BG889" s="114"/>
      <c r="BH889" s="5"/>
    </row>
    <row r="890" customFormat="false" ht="15" hidden="false" customHeight="false" outlineLevel="0" collapsed="false">
      <c r="AY890" s="114"/>
      <c r="AZ890" s="91"/>
      <c r="BA890" s="87"/>
      <c r="BB890" s="5"/>
      <c r="BC890" s="91"/>
      <c r="BG890" s="114"/>
      <c r="BH890" s="5"/>
    </row>
    <row r="891" customFormat="false" ht="15" hidden="false" customHeight="false" outlineLevel="0" collapsed="false">
      <c r="AY891" s="114"/>
      <c r="AZ891" s="91"/>
      <c r="BA891" s="87"/>
      <c r="BB891" s="5"/>
      <c r="BC891" s="91"/>
      <c r="BG891" s="114"/>
      <c r="BH891" s="5"/>
    </row>
    <row r="892" customFormat="false" ht="15" hidden="false" customHeight="false" outlineLevel="0" collapsed="false">
      <c r="AY892" s="114"/>
      <c r="AZ892" s="91"/>
      <c r="BA892" s="87"/>
      <c r="BB892" s="5"/>
      <c r="BC892" s="91"/>
      <c r="BG892" s="114"/>
      <c r="BH892" s="5"/>
    </row>
    <row r="893" customFormat="false" ht="15" hidden="false" customHeight="false" outlineLevel="0" collapsed="false">
      <c r="AY893" s="114"/>
      <c r="AZ893" s="91"/>
      <c r="BA893" s="87"/>
      <c r="BB893" s="5"/>
      <c r="BC893" s="91"/>
      <c r="BG893" s="114"/>
      <c r="BH893" s="5"/>
    </row>
    <row r="894" customFormat="false" ht="15" hidden="false" customHeight="false" outlineLevel="0" collapsed="false">
      <c r="AY894" s="114"/>
      <c r="AZ894" s="91"/>
      <c r="BA894" s="87"/>
      <c r="BB894" s="5"/>
      <c r="BC894" s="91"/>
      <c r="BG894" s="114"/>
      <c r="BH894" s="5"/>
    </row>
    <row r="895" customFormat="false" ht="15" hidden="false" customHeight="false" outlineLevel="0" collapsed="false">
      <c r="AY895" s="114"/>
      <c r="AZ895" s="91"/>
      <c r="BA895" s="87"/>
      <c r="BB895" s="5"/>
      <c r="BC895" s="91"/>
      <c r="BG895" s="114"/>
      <c r="BH895" s="5"/>
    </row>
    <row r="896" customFormat="false" ht="15" hidden="false" customHeight="false" outlineLevel="0" collapsed="false">
      <c r="AY896" s="114"/>
      <c r="AZ896" s="91"/>
      <c r="BA896" s="87"/>
      <c r="BB896" s="5"/>
      <c r="BC896" s="91"/>
      <c r="BG896" s="114"/>
      <c r="BH896" s="5"/>
    </row>
    <row r="897" customFormat="false" ht="15" hidden="false" customHeight="false" outlineLevel="0" collapsed="false">
      <c r="AY897" s="114"/>
      <c r="AZ897" s="91"/>
      <c r="BA897" s="87"/>
      <c r="BB897" s="5"/>
      <c r="BC897" s="91"/>
      <c r="BG897" s="114"/>
      <c r="BH897" s="5"/>
    </row>
    <row r="898" customFormat="false" ht="15" hidden="false" customHeight="false" outlineLevel="0" collapsed="false">
      <c r="AY898" s="114"/>
      <c r="AZ898" s="91"/>
      <c r="BA898" s="87"/>
      <c r="BB898" s="5"/>
      <c r="BC898" s="91"/>
      <c r="BG898" s="114"/>
      <c r="BH898" s="5"/>
    </row>
    <row r="899" customFormat="false" ht="15" hidden="false" customHeight="false" outlineLevel="0" collapsed="false">
      <c r="AY899" s="114"/>
      <c r="AZ899" s="91"/>
      <c r="BA899" s="87"/>
      <c r="BB899" s="5"/>
      <c r="BC899" s="91"/>
      <c r="BG899" s="114"/>
      <c r="BH899" s="5"/>
    </row>
    <row r="900" customFormat="false" ht="15" hidden="false" customHeight="false" outlineLevel="0" collapsed="false">
      <c r="AY900" s="114"/>
      <c r="AZ900" s="91"/>
      <c r="BA900" s="87"/>
      <c r="BB900" s="5"/>
      <c r="BC900" s="91"/>
      <c r="BG900" s="114"/>
      <c r="BH900" s="5"/>
    </row>
    <row r="901" customFormat="false" ht="15" hidden="false" customHeight="false" outlineLevel="0" collapsed="false">
      <c r="AY901" s="114"/>
      <c r="AZ901" s="91"/>
      <c r="BA901" s="87"/>
      <c r="BB901" s="5"/>
      <c r="BC901" s="91"/>
      <c r="BG901" s="114"/>
      <c r="BH901" s="5"/>
    </row>
    <row r="902" customFormat="false" ht="15" hidden="false" customHeight="false" outlineLevel="0" collapsed="false">
      <c r="AY902" s="114"/>
      <c r="AZ902" s="91"/>
      <c r="BA902" s="87"/>
      <c r="BB902" s="5"/>
      <c r="BC902" s="91"/>
      <c r="BG902" s="114"/>
      <c r="BH902" s="5"/>
    </row>
    <row r="903" customFormat="false" ht="15" hidden="false" customHeight="false" outlineLevel="0" collapsed="false">
      <c r="AY903" s="114"/>
      <c r="AZ903" s="91"/>
      <c r="BA903" s="87"/>
      <c r="BB903" s="5"/>
      <c r="BC903" s="91"/>
      <c r="BG903" s="114"/>
      <c r="BH903" s="5"/>
    </row>
    <row r="904" customFormat="false" ht="15" hidden="false" customHeight="false" outlineLevel="0" collapsed="false">
      <c r="AY904" s="114"/>
      <c r="AZ904" s="91"/>
      <c r="BA904" s="87"/>
      <c r="BB904" s="5"/>
      <c r="BC904" s="91"/>
      <c r="BG904" s="114"/>
      <c r="BH904" s="5"/>
    </row>
    <row r="905" customFormat="false" ht="15" hidden="false" customHeight="false" outlineLevel="0" collapsed="false">
      <c r="AY905" s="114"/>
      <c r="AZ905" s="91"/>
      <c r="BA905" s="87"/>
      <c r="BB905" s="5"/>
      <c r="BC905" s="91"/>
      <c r="BG905" s="114"/>
      <c r="BH905" s="5"/>
    </row>
    <row r="906" customFormat="false" ht="15" hidden="false" customHeight="false" outlineLevel="0" collapsed="false">
      <c r="AY906" s="114"/>
      <c r="AZ906" s="91"/>
      <c r="BA906" s="87"/>
      <c r="BB906" s="5"/>
      <c r="BC906" s="91"/>
      <c r="BG906" s="114"/>
      <c r="BH906" s="5"/>
    </row>
    <row r="907" customFormat="false" ht="15" hidden="false" customHeight="false" outlineLevel="0" collapsed="false">
      <c r="AY907" s="114"/>
      <c r="AZ907" s="91"/>
      <c r="BA907" s="87"/>
      <c r="BB907" s="5"/>
      <c r="BC907" s="91"/>
      <c r="BG907" s="114"/>
      <c r="BH907" s="5"/>
    </row>
    <row r="908" customFormat="false" ht="15" hidden="false" customHeight="false" outlineLevel="0" collapsed="false">
      <c r="AY908" s="114"/>
      <c r="AZ908" s="91"/>
      <c r="BA908" s="87"/>
      <c r="BB908" s="5"/>
      <c r="BC908" s="91"/>
      <c r="BG908" s="114"/>
      <c r="BH908" s="5"/>
    </row>
    <row r="909" customFormat="false" ht="15" hidden="false" customHeight="false" outlineLevel="0" collapsed="false">
      <c r="AY909" s="114"/>
      <c r="AZ909" s="91"/>
      <c r="BA909" s="87"/>
      <c r="BB909" s="5"/>
      <c r="BC909" s="91"/>
      <c r="BG909" s="114"/>
      <c r="BH909" s="5"/>
    </row>
    <row r="910" customFormat="false" ht="15" hidden="false" customHeight="false" outlineLevel="0" collapsed="false">
      <c r="AY910" s="114"/>
      <c r="AZ910" s="91"/>
      <c r="BA910" s="87"/>
      <c r="BB910" s="5"/>
      <c r="BC910" s="91"/>
      <c r="BG910" s="114"/>
      <c r="BH910" s="5"/>
    </row>
    <row r="911" customFormat="false" ht="15" hidden="false" customHeight="false" outlineLevel="0" collapsed="false">
      <c r="AY911" s="114"/>
      <c r="AZ911" s="91"/>
      <c r="BA911" s="87"/>
      <c r="BB911" s="5"/>
      <c r="BC911" s="91"/>
      <c r="BG911" s="114"/>
      <c r="BH911" s="5"/>
    </row>
    <row r="912" customFormat="false" ht="15" hidden="false" customHeight="false" outlineLevel="0" collapsed="false">
      <c r="AY912" s="114"/>
      <c r="AZ912" s="91"/>
      <c r="BA912" s="87"/>
      <c r="BB912" s="5"/>
      <c r="BC912" s="91"/>
      <c r="BG912" s="114"/>
      <c r="BH912" s="5"/>
    </row>
    <row r="913" customFormat="false" ht="15" hidden="false" customHeight="false" outlineLevel="0" collapsed="false">
      <c r="AY913" s="114"/>
      <c r="AZ913" s="91"/>
      <c r="BA913" s="87"/>
      <c r="BB913" s="5"/>
      <c r="BC913" s="91"/>
      <c r="BG913" s="114"/>
      <c r="BH913" s="5"/>
    </row>
    <row r="914" customFormat="false" ht="15" hidden="false" customHeight="false" outlineLevel="0" collapsed="false">
      <c r="AY914" s="114"/>
      <c r="AZ914" s="91"/>
      <c r="BA914" s="87"/>
      <c r="BB914" s="5"/>
      <c r="BC914" s="91"/>
      <c r="BG914" s="114"/>
      <c r="BH914" s="5"/>
    </row>
    <row r="915" customFormat="false" ht="15" hidden="false" customHeight="false" outlineLevel="0" collapsed="false">
      <c r="AY915" s="114"/>
      <c r="AZ915" s="91"/>
      <c r="BA915" s="87"/>
      <c r="BB915" s="5"/>
      <c r="BC915" s="91"/>
      <c r="BG915" s="114"/>
      <c r="BH915" s="5"/>
    </row>
    <row r="916" customFormat="false" ht="15" hidden="false" customHeight="false" outlineLevel="0" collapsed="false">
      <c r="AY916" s="114"/>
      <c r="AZ916" s="91"/>
      <c r="BA916" s="87"/>
      <c r="BB916" s="5"/>
      <c r="BC916" s="91"/>
      <c r="BG916" s="114"/>
      <c r="BH916" s="5"/>
    </row>
    <row r="917" customFormat="false" ht="15" hidden="false" customHeight="false" outlineLevel="0" collapsed="false">
      <c r="AY917" s="114"/>
      <c r="AZ917" s="91"/>
      <c r="BA917" s="87"/>
      <c r="BB917" s="5"/>
      <c r="BC917" s="91"/>
      <c r="BG917" s="114"/>
      <c r="BH917" s="5"/>
    </row>
    <row r="918" customFormat="false" ht="15" hidden="false" customHeight="false" outlineLevel="0" collapsed="false">
      <c r="AY918" s="114"/>
      <c r="AZ918" s="91"/>
      <c r="BA918" s="87"/>
      <c r="BB918" s="5"/>
      <c r="BC918" s="91"/>
      <c r="BG918" s="114"/>
      <c r="BH918" s="5"/>
    </row>
    <row r="919" customFormat="false" ht="15" hidden="false" customHeight="false" outlineLevel="0" collapsed="false">
      <c r="AY919" s="114"/>
      <c r="AZ919" s="91"/>
      <c r="BA919" s="87"/>
      <c r="BB919" s="5"/>
      <c r="BC919" s="91"/>
      <c r="BG919" s="114"/>
      <c r="BH919" s="5"/>
    </row>
    <row r="920" customFormat="false" ht="15" hidden="false" customHeight="false" outlineLevel="0" collapsed="false">
      <c r="AY920" s="114"/>
      <c r="AZ920" s="91"/>
      <c r="BA920" s="87"/>
      <c r="BB920" s="5"/>
      <c r="BC920" s="91"/>
      <c r="BG920" s="114"/>
      <c r="BH920" s="5"/>
    </row>
    <row r="921" customFormat="false" ht="15" hidden="false" customHeight="false" outlineLevel="0" collapsed="false">
      <c r="AY921" s="114"/>
      <c r="AZ921" s="91"/>
      <c r="BA921" s="87"/>
      <c r="BB921" s="5"/>
      <c r="BC921" s="91"/>
      <c r="BG921" s="114"/>
      <c r="BH921" s="5"/>
    </row>
    <row r="922" customFormat="false" ht="15" hidden="false" customHeight="false" outlineLevel="0" collapsed="false">
      <c r="AY922" s="114"/>
      <c r="AZ922" s="91"/>
      <c r="BA922" s="87"/>
      <c r="BB922" s="5"/>
      <c r="BC922" s="91"/>
      <c r="BG922" s="114"/>
      <c r="BH922" s="5"/>
    </row>
    <row r="923" customFormat="false" ht="15" hidden="false" customHeight="false" outlineLevel="0" collapsed="false">
      <c r="AY923" s="114"/>
      <c r="AZ923" s="91"/>
      <c r="BA923" s="87"/>
      <c r="BB923" s="5"/>
      <c r="BC923" s="91"/>
      <c r="BG923" s="114"/>
      <c r="BH923" s="5"/>
    </row>
    <row r="924" customFormat="false" ht="15" hidden="false" customHeight="false" outlineLevel="0" collapsed="false">
      <c r="AY924" s="114"/>
      <c r="AZ924" s="91"/>
      <c r="BA924" s="87"/>
      <c r="BB924" s="5"/>
      <c r="BC924" s="91"/>
      <c r="BG924" s="114"/>
      <c r="BH924" s="5"/>
    </row>
    <row r="925" customFormat="false" ht="15" hidden="false" customHeight="false" outlineLevel="0" collapsed="false">
      <c r="AY925" s="114"/>
      <c r="AZ925" s="91"/>
      <c r="BA925" s="87"/>
      <c r="BB925" s="5"/>
      <c r="BC925" s="91"/>
      <c r="BG925" s="114"/>
      <c r="BH925" s="5"/>
    </row>
    <row r="926" customFormat="false" ht="15" hidden="false" customHeight="false" outlineLevel="0" collapsed="false">
      <c r="AY926" s="114"/>
      <c r="AZ926" s="91"/>
      <c r="BA926" s="87"/>
      <c r="BB926" s="5"/>
      <c r="BC926" s="91"/>
      <c r="BG926" s="114"/>
      <c r="BH926" s="5"/>
    </row>
    <row r="927" customFormat="false" ht="15" hidden="false" customHeight="false" outlineLevel="0" collapsed="false">
      <c r="AY927" s="114"/>
      <c r="AZ927" s="91"/>
      <c r="BA927" s="87"/>
      <c r="BB927" s="5"/>
      <c r="BC927" s="91"/>
      <c r="BG927" s="114"/>
      <c r="BH927" s="5"/>
    </row>
    <row r="928" customFormat="false" ht="15" hidden="false" customHeight="false" outlineLevel="0" collapsed="false">
      <c r="AY928" s="114"/>
      <c r="AZ928" s="91"/>
      <c r="BA928" s="87"/>
      <c r="BB928" s="5"/>
      <c r="BC928" s="91"/>
      <c r="BG928" s="114"/>
      <c r="BH928" s="5"/>
    </row>
    <row r="929" customFormat="false" ht="15" hidden="false" customHeight="false" outlineLevel="0" collapsed="false">
      <c r="AY929" s="114"/>
      <c r="AZ929" s="91"/>
      <c r="BA929" s="87"/>
      <c r="BB929" s="5"/>
      <c r="BC929" s="91"/>
      <c r="BG929" s="114"/>
      <c r="BH929" s="5"/>
    </row>
    <row r="930" customFormat="false" ht="15" hidden="false" customHeight="false" outlineLevel="0" collapsed="false">
      <c r="AY930" s="114"/>
      <c r="AZ930" s="91"/>
      <c r="BA930" s="87"/>
      <c r="BB930" s="5"/>
      <c r="BC930" s="91"/>
      <c r="BG930" s="114"/>
      <c r="BH930" s="5"/>
    </row>
    <row r="931" customFormat="false" ht="15" hidden="false" customHeight="false" outlineLevel="0" collapsed="false">
      <c r="AY931" s="114"/>
      <c r="AZ931" s="91"/>
      <c r="BA931" s="87"/>
      <c r="BB931" s="5"/>
      <c r="BC931" s="91"/>
      <c r="BG931" s="114"/>
      <c r="BH931" s="5"/>
    </row>
    <row r="932" customFormat="false" ht="15" hidden="false" customHeight="false" outlineLevel="0" collapsed="false">
      <c r="AY932" s="114"/>
      <c r="AZ932" s="91"/>
      <c r="BA932" s="87"/>
      <c r="BB932" s="5"/>
      <c r="BC932" s="91"/>
      <c r="BG932" s="114"/>
      <c r="BH932" s="5"/>
    </row>
    <row r="933" customFormat="false" ht="15" hidden="false" customHeight="false" outlineLevel="0" collapsed="false">
      <c r="AY933" s="114"/>
      <c r="AZ933" s="91"/>
      <c r="BA933" s="87"/>
      <c r="BB933" s="5"/>
      <c r="BC933" s="91"/>
      <c r="BG933" s="114"/>
      <c r="BH933" s="5"/>
    </row>
    <row r="934" customFormat="false" ht="15" hidden="false" customHeight="false" outlineLevel="0" collapsed="false">
      <c r="AY934" s="114"/>
      <c r="AZ934" s="91"/>
      <c r="BA934" s="87"/>
      <c r="BB934" s="5"/>
      <c r="BC934" s="91"/>
      <c r="BG934" s="114"/>
      <c r="BH934" s="5"/>
    </row>
    <row r="935" customFormat="false" ht="15" hidden="false" customHeight="false" outlineLevel="0" collapsed="false">
      <c r="AY935" s="114"/>
      <c r="AZ935" s="91"/>
      <c r="BA935" s="87"/>
      <c r="BB935" s="5"/>
      <c r="BC935" s="91"/>
      <c r="BG935" s="114"/>
      <c r="BH935" s="5"/>
    </row>
    <row r="936" customFormat="false" ht="15" hidden="false" customHeight="false" outlineLevel="0" collapsed="false">
      <c r="AY936" s="114"/>
      <c r="AZ936" s="91"/>
      <c r="BA936" s="87"/>
      <c r="BB936" s="5"/>
      <c r="BC936" s="91"/>
      <c r="BG936" s="114"/>
      <c r="BH936" s="5"/>
    </row>
    <row r="937" customFormat="false" ht="15" hidden="false" customHeight="false" outlineLevel="0" collapsed="false">
      <c r="AY937" s="114"/>
      <c r="AZ937" s="91"/>
      <c r="BA937" s="87"/>
      <c r="BB937" s="5"/>
      <c r="BC937" s="91"/>
      <c r="BG937" s="114"/>
      <c r="BH937" s="5"/>
    </row>
    <row r="938" customFormat="false" ht="15" hidden="false" customHeight="false" outlineLevel="0" collapsed="false">
      <c r="AY938" s="114"/>
      <c r="AZ938" s="91"/>
      <c r="BA938" s="87"/>
      <c r="BB938" s="5"/>
      <c r="BC938" s="91"/>
      <c r="BG938" s="114"/>
      <c r="BH938" s="5"/>
    </row>
    <row r="939" customFormat="false" ht="15" hidden="false" customHeight="false" outlineLevel="0" collapsed="false">
      <c r="AY939" s="114"/>
      <c r="AZ939" s="91"/>
      <c r="BA939" s="87"/>
      <c r="BB939" s="5"/>
      <c r="BC939" s="91"/>
      <c r="BG939" s="114"/>
      <c r="BH939" s="5"/>
    </row>
    <row r="940" customFormat="false" ht="15" hidden="false" customHeight="false" outlineLevel="0" collapsed="false">
      <c r="AY940" s="114"/>
      <c r="AZ940" s="91"/>
      <c r="BA940" s="87"/>
      <c r="BB940" s="5"/>
      <c r="BC940" s="91"/>
      <c r="BG940" s="114"/>
      <c r="BH940" s="5"/>
    </row>
    <row r="941" customFormat="false" ht="15" hidden="false" customHeight="false" outlineLevel="0" collapsed="false">
      <c r="AY941" s="114"/>
      <c r="AZ941" s="91"/>
      <c r="BA941" s="87"/>
      <c r="BB941" s="5"/>
      <c r="BC941" s="91"/>
      <c r="BG941" s="114"/>
      <c r="BH941" s="5"/>
    </row>
    <row r="942" customFormat="false" ht="15" hidden="false" customHeight="false" outlineLevel="0" collapsed="false">
      <c r="AY942" s="114"/>
      <c r="AZ942" s="91"/>
      <c r="BA942" s="87"/>
      <c r="BB942" s="5"/>
      <c r="BC942" s="91"/>
      <c r="BG942" s="114"/>
      <c r="BH942" s="5"/>
    </row>
    <row r="943" customFormat="false" ht="15" hidden="false" customHeight="false" outlineLevel="0" collapsed="false">
      <c r="AY943" s="114"/>
      <c r="AZ943" s="91"/>
      <c r="BA943" s="87"/>
      <c r="BB943" s="5"/>
      <c r="BC943" s="91"/>
      <c r="BG943" s="114"/>
      <c r="BH943" s="5"/>
    </row>
    <row r="944" customFormat="false" ht="15" hidden="false" customHeight="false" outlineLevel="0" collapsed="false">
      <c r="AY944" s="114"/>
      <c r="AZ944" s="91"/>
      <c r="BA944" s="87"/>
      <c r="BB944" s="5"/>
      <c r="BC944" s="91"/>
      <c r="BG944" s="114"/>
      <c r="BH944" s="5"/>
    </row>
    <row r="945" customFormat="false" ht="15" hidden="false" customHeight="false" outlineLevel="0" collapsed="false">
      <c r="AY945" s="114"/>
      <c r="AZ945" s="91"/>
      <c r="BA945" s="87"/>
      <c r="BB945" s="5"/>
      <c r="BC945" s="91"/>
      <c r="BG945" s="114"/>
      <c r="BH945" s="5"/>
    </row>
    <row r="946" customFormat="false" ht="15" hidden="false" customHeight="false" outlineLevel="0" collapsed="false">
      <c r="AY946" s="114"/>
      <c r="AZ946" s="91"/>
      <c r="BA946" s="87"/>
      <c r="BB946" s="5"/>
      <c r="BC946" s="91"/>
      <c r="BG946" s="114"/>
      <c r="BH946" s="5"/>
    </row>
    <row r="947" customFormat="false" ht="15" hidden="false" customHeight="false" outlineLevel="0" collapsed="false">
      <c r="AY947" s="114"/>
      <c r="AZ947" s="91"/>
      <c r="BA947" s="87"/>
      <c r="BB947" s="5"/>
      <c r="BC947" s="91"/>
      <c r="BG947" s="114"/>
      <c r="BH947" s="5"/>
    </row>
    <row r="948" customFormat="false" ht="15" hidden="false" customHeight="false" outlineLevel="0" collapsed="false">
      <c r="AY948" s="114"/>
      <c r="AZ948" s="91"/>
      <c r="BA948" s="87"/>
      <c r="BB948" s="5"/>
      <c r="BC948" s="91"/>
      <c r="BG948" s="114"/>
      <c r="BH948" s="5"/>
    </row>
    <row r="949" customFormat="false" ht="15" hidden="false" customHeight="false" outlineLevel="0" collapsed="false">
      <c r="AY949" s="114"/>
      <c r="AZ949" s="91"/>
      <c r="BA949" s="87"/>
      <c r="BB949" s="5"/>
      <c r="BC949" s="91"/>
      <c r="BG949" s="114"/>
      <c r="BH949" s="5"/>
    </row>
    <row r="950" customFormat="false" ht="15" hidden="false" customHeight="false" outlineLevel="0" collapsed="false">
      <c r="AY950" s="114"/>
      <c r="AZ950" s="91"/>
      <c r="BA950" s="87"/>
      <c r="BB950" s="5"/>
      <c r="BC950" s="91"/>
      <c r="BG950" s="114"/>
      <c r="BH950" s="5"/>
    </row>
    <row r="951" customFormat="false" ht="15" hidden="false" customHeight="false" outlineLevel="0" collapsed="false">
      <c r="AY951" s="114"/>
      <c r="AZ951" s="91"/>
      <c r="BA951" s="87"/>
      <c r="BB951" s="5"/>
      <c r="BC951" s="91"/>
      <c r="BG951" s="114"/>
      <c r="BH951" s="5"/>
    </row>
    <row r="952" customFormat="false" ht="15" hidden="false" customHeight="false" outlineLevel="0" collapsed="false">
      <c r="AY952" s="114"/>
      <c r="AZ952" s="91"/>
      <c r="BA952" s="87"/>
      <c r="BB952" s="5"/>
      <c r="BC952" s="91"/>
      <c r="BG952" s="114"/>
      <c r="BH952" s="5"/>
    </row>
    <row r="953" customFormat="false" ht="15" hidden="false" customHeight="false" outlineLevel="0" collapsed="false">
      <c r="AY953" s="114"/>
      <c r="AZ953" s="91"/>
      <c r="BA953" s="87"/>
      <c r="BB953" s="5"/>
      <c r="BC953" s="91"/>
      <c r="BG953" s="114"/>
      <c r="BH953" s="5"/>
    </row>
    <row r="954" customFormat="false" ht="15" hidden="false" customHeight="false" outlineLevel="0" collapsed="false">
      <c r="AY954" s="114"/>
      <c r="AZ954" s="91"/>
      <c r="BA954" s="87"/>
      <c r="BB954" s="5"/>
      <c r="BC954" s="91"/>
      <c r="BG954" s="114"/>
      <c r="BH954" s="5"/>
    </row>
    <row r="955" customFormat="false" ht="15" hidden="false" customHeight="false" outlineLevel="0" collapsed="false">
      <c r="AY955" s="114"/>
      <c r="AZ955" s="91"/>
      <c r="BA955" s="87"/>
      <c r="BB955" s="5"/>
      <c r="BC955" s="91"/>
      <c r="BG955" s="114"/>
      <c r="BH955" s="5"/>
    </row>
    <row r="956" customFormat="false" ht="15" hidden="false" customHeight="false" outlineLevel="0" collapsed="false">
      <c r="AY956" s="114"/>
      <c r="AZ956" s="91"/>
      <c r="BA956" s="87"/>
      <c r="BB956" s="5"/>
      <c r="BC956" s="91"/>
      <c r="BG956" s="114"/>
      <c r="BH956" s="5"/>
    </row>
    <row r="957" customFormat="false" ht="15" hidden="false" customHeight="false" outlineLevel="0" collapsed="false">
      <c r="AY957" s="114"/>
      <c r="AZ957" s="91"/>
      <c r="BA957" s="87"/>
      <c r="BB957" s="5"/>
      <c r="BC957" s="91"/>
      <c r="BG957" s="114"/>
      <c r="BH957" s="5"/>
    </row>
    <row r="958" customFormat="false" ht="15" hidden="false" customHeight="false" outlineLevel="0" collapsed="false">
      <c r="AY958" s="114"/>
      <c r="AZ958" s="91"/>
      <c r="BA958" s="87"/>
      <c r="BB958" s="5"/>
      <c r="BC958" s="91"/>
      <c r="BG958" s="114"/>
      <c r="BH958" s="5"/>
    </row>
    <row r="959" customFormat="false" ht="15" hidden="false" customHeight="false" outlineLevel="0" collapsed="false">
      <c r="AY959" s="114"/>
      <c r="AZ959" s="91"/>
      <c r="BA959" s="87"/>
      <c r="BB959" s="5"/>
      <c r="BC959" s="91"/>
      <c r="BG959" s="114"/>
      <c r="BH959" s="5"/>
    </row>
    <row r="960" customFormat="false" ht="15" hidden="false" customHeight="false" outlineLevel="0" collapsed="false">
      <c r="AY960" s="114"/>
      <c r="AZ960" s="91"/>
      <c r="BA960" s="87"/>
      <c r="BB960" s="5"/>
      <c r="BC960" s="91"/>
      <c r="BG960" s="114"/>
      <c r="BH960" s="5"/>
    </row>
    <row r="961" customFormat="false" ht="15" hidden="false" customHeight="false" outlineLevel="0" collapsed="false">
      <c r="AY961" s="114"/>
      <c r="AZ961" s="91"/>
      <c r="BA961" s="87"/>
      <c r="BB961" s="5"/>
      <c r="BC961" s="91"/>
      <c r="BG961" s="114"/>
      <c r="BH961" s="5"/>
    </row>
    <row r="962" customFormat="false" ht="15" hidden="false" customHeight="false" outlineLevel="0" collapsed="false">
      <c r="AY962" s="114"/>
      <c r="AZ962" s="91"/>
      <c r="BA962" s="87"/>
      <c r="BB962" s="5"/>
      <c r="BC962" s="91"/>
      <c r="BG962" s="114"/>
      <c r="BH962" s="5"/>
    </row>
    <row r="963" customFormat="false" ht="15" hidden="false" customHeight="false" outlineLevel="0" collapsed="false">
      <c r="AY963" s="114"/>
      <c r="AZ963" s="91"/>
      <c r="BA963" s="87"/>
      <c r="BB963" s="5"/>
      <c r="BC963" s="91"/>
      <c r="BG963" s="114"/>
      <c r="BH963" s="5"/>
    </row>
    <row r="964" customFormat="false" ht="15" hidden="false" customHeight="false" outlineLevel="0" collapsed="false">
      <c r="AY964" s="114"/>
      <c r="AZ964" s="91"/>
      <c r="BA964" s="87"/>
      <c r="BB964" s="5"/>
      <c r="BC964" s="91"/>
      <c r="BG964" s="114"/>
      <c r="BH964" s="5"/>
    </row>
    <row r="965" customFormat="false" ht="15" hidden="false" customHeight="false" outlineLevel="0" collapsed="false">
      <c r="AY965" s="114"/>
      <c r="AZ965" s="91"/>
      <c r="BA965" s="87"/>
      <c r="BB965" s="5"/>
      <c r="BC965" s="91"/>
      <c r="BG965" s="114"/>
      <c r="BH965" s="5"/>
    </row>
    <row r="966" customFormat="false" ht="15" hidden="false" customHeight="false" outlineLevel="0" collapsed="false">
      <c r="AY966" s="114"/>
      <c r="AZ966" s="91"/>
      <c r="BA966" s="87"/>
      <c r="BB966" s="5"/>
      <c r="BC966" s="91"/>
      <c r="BG966" s="114"/>
      <c r="BH966" s="5"/>
    </row>
    <row r="967" customFormat="false" ht="15" hidden="false" customHeight="false" outlineLevel="0" collapsed="false">
      <c r="AY967" s="114"/>
      <c r="AZ967" s="91"/>
      <c r="BA967" s="87"/>
      <c r="BB967" s="5"/>
      <c r="BC967" s="91"/>
      <c r="BG967" s="114"/>
      <c r="BH967" s="5"/>
    </row>
    <row r="968" customFormat="false" ht="15" hidden="false" customHeight="false" outlineLevel="0" collapsed="false">
      <c r="AY968" s="114"/>
      <c r="AZ968" s="91"/>
      <c r="BA968" s="87"/>
      <c r="BB968" s="5"/>
      <c r="BC968" s="91"/>
      <c r="BG968" s="114"/>
      <c r="BH968" s="5"/>
    </row>
    <row r="969" customFormat="false" ht="15" hidden="false" customHeight="false" outlineLevel="0" collapsed="false">
      <c r="AY969" s="114"/>
      <c r="AZ969" s="91"/>
      <c r="BA969" s="87"/>
      <c r="BB969" s="5"/>
      <c r="BC969" s="91"/>
      <c r="BG969" s="114"/>
      <c r="BH969" s="5"/>
    </row>
    <row r="970" customFormat="false" ht="15" hidden="false" customHeight="false" outlineLevel="0" collapsed="false">
      <c r="AY970" s="114"/>
      <c r="AZ970" s="91"/>
      <c r="BA970" s="87"/>
      <c r="BB970" s="5"/>
      <c r="BC970" s="91"/>
      <c r="BG970" s="114"/>
      <c r="BH970" s="5"/>
    </row>
    <row r="971" customFormat="false" ht="15" hidden="false" customHeight="false" outlineLevel="0" collapsed="false">
      <c r="AY971" s="114"/>
      <c r="AZ971" s="91"/>
      <c r="BA971" s="87"/>
      <c r="BB971" s="5"/>
      <c r="BC971" s="91"/>
      <c r="BG971" s="114"/>
      <c r="BH971" s="5"/>
    </row>
    <row r="972" customFormat="false" ht="15" hidden="false" customHeight="false" outlineLevel="0" collapsed="false">
      <c r="AY972" s="114"/>
      <c r="AZ972" s="91"/>
      <c r="BA972" s="87"/>
      <c r="BB972" s="5"/>
      <c r="BC972" s="91"/>
      <c r="BG972" s="114"/>
      <c r="BH972" s="5"/>
    </row>
    <row r="973" customFormat="false" ht="15" hidden="false" customHeight="false" outlineLevel="0" collapsed="false">
      <c r="AY973" s="114"/>
      <c r="AZ973" s="91"/>
      <c r="BA973" s="87"/>
      <c r="BB973" s="5"/>
      <c r="BC973" s="91"/>
      <c r="BG973" s="114"/>
      <c r="BH973" s="5"/>
    </row>
    <row r="974" customFormat="false" ht="15" hidden="false" customHeight="false" outlineLevel="0" collapsed="false">
      <c r="AY974" s="114"/>
      <c r="AZ974" s="91"/>
      <c r="BA974" s="87"/>
      <c r="BB974" s="5"/>
      <c r="BC974" s="91"/>
      <c r="BG974" s="114"/>
      <c r="BH974" s="5"/>
    </row>
    <row r="975" customFormat="false" ht="15" hidden="false" customHeight="false" outlineLevel="0" collapsed="false">
      <c r="AY975" s="114"/>
      <c r="AZ975" s="91"/>
      <c r="BA975" s="87"/>
      <c r="BB975" s="5"/>
      <c r="BC975" s="91"/>
      <c r="BG975" s="114"/>
      <c r="BH975" s="5"/>
    </row>
    <row r="976" customFormat="false" ht="15" hidden="false" customHeight="false" outlineLevel="0" collapsed="false">
      <c r="AY976" s="114"/>
      <c r="AZ976" s="91"/>
      <c r="BA976" s="87"/>
      <c r="BB976" s="5"/>
      <c r="BC976" s="91"/>
      <c r="BG976" s="114"/>
      <c r="BH976" s="5"/>
    </row>
    <row r="977" customFormat="false" ht="15" hidden="false" customHeight="false" outlineLevel="0" collapsed="false">
      <c r="AY977" s="114"/>
      <c r="AZ977" s="91"/>
      <c r="BA977" s="87"/>
      <c r="BB977" s="5"/>
      <c r="BC977" s="91"/>
      <c r="BG977" s="114"/>
      <c r="BH977" s="5"/>
    </row>
    <row r="978" customFormat="false" ht="15" hidden="false" customHeight="false" outlineLevel="0" collapsed="false">
      <c r="AY978" s="114"/>
      <c r="AZ978" s="91"/>
      <c r="BA978" s="87"/>
      <c r="BB978" s="5"/>
      <c r="BC978" s="91"/>
      <c r="BG978" s="114"/>
      <c r="BH978" s="5"/>
    </row>
    <row r="979" customFormat="false" ht="15" hidden="false" customHeight="false" outlineLevel="0" collapsed="false">
      <c r="AY979" s="114"/>
      <c r="AZ979" s="91"/>
      <c r="BA979" s="87"/>
      <c r="BB979" s="5"/>
      <c r="BC979" s="91"/>
      <c r="BG979" s="114"/>
      <c r="BH979" s="5"/>
    </row>
    <row r="980" customFormat="false" ht="15" hidden="false" customHeight="false" outlineLevel="0" collapsed="false">
      <c r="AY980" s="114"/>
      <c r="AZ980" s="91"/>
      <c r="BA980" s="87"/>
      <c r="BB980" s="5"/>
      <c r="BC980" s="91"/>
      <c r="BG980" s="114"/>
      <c r="BH980" s="5"/>
    </row>
    <row r="981" customFormat="false" ht="15" hidden="false" customHeight="false" outlineLevel="0" collapsed="false">
      <c r="AY981" s="114"/>
      <c r="AZ981" s="91"/>
      <c r="BA981" s="87"/>
      <c r="BB981" s="5"/>
      <c r="BC981" s="91"/>
      <c r="BG981" s="114"/>
      <c r="BH981" s="5"/>
    </row>
    <row r="982" customFormat="false" ht="15" hidden="false" customHeight="false" outlineLevel="0" collapsed="false">
      <c r="AY982" s="114"/>
      <c r="AZ982" s="91"/>
      <c r="BA982" s="87"/>
      <c r="BB982" s="5"/>
      <c r="BC982" s="91"/>
      <c r="BG982" s="114"/>
      <c r="BH982" s="5"/>
    </row>
    <row r="983" customFormat="false" ht="15" hidden="false" customHeight="false" outlineLevel="0" collapsed="false">
      <c r="AY983" s="114"/>
      <c r="AZ983" s="91"/>
      <c r="BA983" s="87"/>
      <c r="BB983" s="5"/>
      <c r="BC983" s="91"/>
      <c r="BG983" s="114"/>
      <c r="BH983" s="5"/>
    </row>
    <row r="984" customFormat="false" ht="15" hidden="false" customHeight="false" outlineLevel="0" collapsed="false">
      <c r="AY984" s="114"/>
      <c r="AZ984" s="91"/>
      <c r="BA984" s="87"/>
      <c r="BB984" s="5"/>
      <c r="BC984" s="91"/>
      <c r="BG984" s="114"/>
      <c r="BH984" s="5"/>
    </row>
    <row r="985" customFormat="false" ht="15" hidden="false" customHeight="false" outlineLevel="0" collapsed="false">
      <c r="AY985" s="114"/>
      <c r="AZ985" s="91"/>
      <c r="BA985" s="87"/>
      <c r="BB985" s="5"/>
      <c r="BC985" s="91"/>
      <c r="BG985" s="114"/>
      <c r="BH985" s="5"/>
    </row>
    <row r="986" customFormat="false" ht="15" hidden="false" customHeight="false" outlineLevel="0" collapsed="false">
      <c r="AY986" s="114"/>
      <c r="AZ986" s="91"/>
      <c r="BA986" s="87"/>
      <c r="BB986" s="5"/>
      <c r="BC986" s="91"/>
      <c r="BG986" s="114"/>
      <c r="BH986" s="5"/>
    </row>
    <row r="987" customFormat="false" ht="15" hidden="false" customHeight="false" outlineLevel="0" collapsed="false">
      <c r="AY987" s="114"/>
      <c r="AZ987" s="91"/>
      <c r="BA987" s="87"/>
      <c r="BB987" s="5"/>
      <c r="BC987" s="91"/>
      <c r="BG987" s="114"/>
      <c r="BH987" s="5"/>
    </row>
    <row r="988" customFormat="false" ht="15" hidden="false" customHeight="false" outlineLevel="0" collapsed="false">
      <c r="AY988" s="114"/>
      <c r="AZ988" s="91"/>
      <c r="BA988" s="87"/>
      <c r="BB988" s="5"/>
      <c r="BC988" s="91"/>
      <c r="BG988" s="114"/>
      <c r="BH988" s="5"/>
    </row>
    <row r="989" customFormat="false" ht="15" hidden="false" customHeight="false" outlineLevel="0" collapsed="false">
      <c r="AY989" s="114"/>
      <c r="AZ989" s="91"/>
      <c r="BA989" s="87"/>
      <c r="BB989" s="5"/>
      <c r="BC989" s="91"/>
      <c r="BG989" s="114"/>
      <c r="BH989" s="5"/>
    </row>
    <row r="990" customFormat="false" ht="15" hidden="false" customHeight="false" outlineLevel="0" collapsed="false">
      <c r="AY990" s="114"/>
      <c r="AZ990" s="91"/>
      <c r="BA990" s="87"/>
      <c r="BB990" s="5"/>
      <c r="BC990" s="91"/>
      <c r="BG990" s="114"/>
      <c r="BH990" s="5"/>
    </row>
    <row r="991" customFormat="false" ht="15" hidden="false" customHeight="false" outlineLevel="0" collapsed="false">
      <c r="AY991" s="114"/>
      <c r="AZ991" s="91"/>
      <c r="BA991" s="87"/>
      <c r="BB991" s="5"/>
      <c r="BC991" s="91"/>
      <c r="BG991" s="114"/>
      <c r="BH991" s="5"/>
    </row>
    <row r="992" customFormat="false" ht="15" hidden="false" customHeight="false" outlineLevel="0" collapsed="false">
      <c r="AY992" s="114"/>
      <c r="AZ992" s="91"/>
      <c r="BA992" s="87"/>
      <c r="BB992" s="5"/>
      <c r="BC992" s="91"/>
      <c r="BG992" s="114"/>
      <c r="BH992" s="5"/>
    </row>
    <row r="993" customFormat="false" ht="15" hidden="false" customHeight="false" outlineLevel="0" collapsed="false">
      <c r="AY993" s="114"/>
      <c r="AZ993" s="91"/>
      <c r="BA993" s="87"/>
      <c r="BB993" s="5"/>
      <c r="BC993" s="91"/>
      <c r="BG993" s="114"/>
      <c r="BH993" s="5"/>
    </row>
    <row r="994" customFormat="false" ht="15" hidden="false" customHeight="false" outlineLevel="0" collapsed="false">
      <c r="AY994" s="114"/>
      <c r="AZ994" s="91"/>
      <c r="BA994" s="87"/>
      <c r="BB994" s="5"/>
      <c r="BC994" s="91"/>
      <c r="BG994" s="114"/>
      <c r="BH994" s="5"/>
    </row>
    <row r="995" customFormat="false" ht="15" hidden="false" customHeight="false" outlineLevel="0" collapsed="false">
      <c r="AY995" s="114"/>
      <c r="AZ995" s="91"/>
      <c r="BA995" s="87"/>
      <c r="BB995" s="5"/>
      <c r="BC995" s="91"/>
      <c r="BG995" s="114"/>
      <c r="BH995" s="5"/>
    </row>
    <row r="996" customFormat="false" ht="15" hidden="false" customHeight="false" outlineLevel="0" collapsed="false">
      <c r="AY996" s="114"/>
      <c r="AZ996" s="91"/>
      <c r="BA996" s="87"/>
      <c r="BB996" s="5"/>
      <c r="BC996" s="91"/>
      <c r="BG996" s="114"/>
      <c r="BH996" s="5"/>
    </row>
    <row r="997" customFormat="false" ht="15" hidden="false" customHeight="false" outlineLevel="0" collapsed="false">
      <c r="AY997" s="114"/>
      <c r="AZ997" s="91"/>
      <c r="BA997" s="87"/>
      <c r="BB997" s="5"/>
      <c r="BC997" s="91"/>
      <c r="BG997" s="114"/>
      <c r="BH997" s="5"/>
    </row>
    <row r="998" customFormat="false" ht="15" hidden="false" customHeight="false" outlineLevel="0" collapsed="false">
      <c r="AY998" s="114"/>
      <c r="AZ998" s="91"/>
      <c r="BA998" s="87"/>
      <c r="BB998" s="5"/>
      <c r="BC998" s="91"/>
      <c r="BG998" s="114"/>
      <c r="BH998" s="5"/>
    </row>
    <row r="999" customFormat="false" ht="15" hidden="false" customHeight="false" outlineLevel="0" collapsed="false">
      <c r="AY999" s="114"/>
      <c r="AZ999" s="91"/>
      <c r="BA999" s="87"/>
      <c r="BB999" s="5"/>
      <c r="BC999" s="91"/>
      <c r="BG999" s="114"/>
      <c r="BH999" s="5"/>
    </row>
    <row r="1000" customFormat="false" ht="15" hidden="false" customHeight="false" outlineLevel="0" collapsed="false">
      <c r="AY1000" s="114"/>
      <c r="AZ1000" s="91"/>
      <c r="BA1000" s="87"/>
      <c r="BB1000" s="5"/>
      <c r="BC1000" s="91"/>
      <c r="BG1000" s="114"/>
      <c r="BH1000" s="5"/>
    </row>
    <row r="1001" customFormat="false" ht="15" hidden="false" customHeight="false" outlineLevel="0" collapsed="false">
      <c r="AY1001" s="114"/>
      <c r="AZ1001" s="91"/>
      <c r="BA1001" s="87"/>
      <c r="BB1001" s="5"/>
      <c r="BC1001" s="91"/>
      <c r="BG1001" s="114"/>
      <c r="BH1001" s="5"/>
    </row>
    <row r="1002" customFormat="false" ht="15" hidden="false" customHeight="false" outlineLevel="0" collapsed="false">
      <c r="AY1002" s="114"/>
      <c r="AZ1002" s="91"/>
      <c r="BA1002" s="87"/>
      <c r="BB1002" s="5"/>
      <c r="BC1002" s="91"/>
      <c r="BG1002" s="114"/>
      <c r="BH1002" s="5"/>
    </row>
    <row r="1003" customFormat="false" ht="15" hidden="false" customHeight="false" outlineLevel="0" collapsed="false">
      <c r="AY1003" s="114"/>
      <c r="AZ1003" s="91"/>
      <c r="BA1003" s="87"/>
      <c r="BB1003" s="5"/>
      <c r="BC1003" s="91"/>
      <c r="BG1003" s="114"/>
      <c r="BH1003" s="5"/>
    </row>
    <row r="1004" customFormat="false" ht="15" hidden="false" customHeight="false" outlineLevel="0" collapsed="false">
      <c r="AY1004" s="114"/>
      <c r="AZ1004" s="91"/>
      <c r="BA1004" s="87"/>
      <c r="BB1004" s="5"/>
      <c r="BC1004" s="91"/>
      <c r="BG1004" s="114"/>
      <c r="BH1004" s="5"/>
    </row>
    <row r="1005" customFormat="false" ht="15" hidden="false" customHeight="false" outlineLevel="0" collapsed="false">
      <c r="AY1005" s="114"/>
      <c r="AZ1005" s="91"/>
      <c r="BA1005" s="87"/>
      <c r="BB1005" s="5"/>
      <c r="BC1005" s="91"/>
      <c r="BG1005" s="114"/>
      <c r="BH1005" s="5"/>
    </row>
    <row r="1006" customFormat="false" ht="15" hidden="false" customHeight="false" outlineLevel="0" collapsed="false">
      <c r="AY1006" s="114"/>
      <c r="AZ1006" s="91"/>
      <c r="BA1006" s="87"/>
      <c r="BB1006" s="5"/>
      <c r="BC1006" s="91"/>
      <c r="BG1006" s="114"/>
      <c r="BH1006" s="5"/>
    </row>
    <row r="1007" customFormat="false" ht="15" hidden="false" customHeight="false" outlineLevel="0" collapsed="false">
      <c r="AY1007" s="114"/>
      <c r="AZ1007" s="91"/>
      <c r="BA1007" s="87"/>
      <c r="BB1007" s="5"/>
      <c r="BC1007" s="91"/>
      <c r="BG1007" s="114"/>
      <c r="BH1007" s="5"/>
    </row>
    <row r="1008" customFormat="false" ht="15" hidden="false" customHeight="false" outlineLevel="0" collapsed="false">
      <c r="AY1008" s="114"/>
      <c r="AZ1008" s="91"/>
      <c r="BA1008" s="87"/>
      <c r="BB1008" s="5"/>
      <c r="BC1008" s="91"/>
      <c r="BG1008" s="114"/>
      <c r="BH1008" s="5"/>
    </row>
    <row r="1009" customFormat="false" ht="15" hidden="false" customHeight="false" outlineLevel="0" collapsed="false">
      <c r="AY1009" s="114"/>
      <c r="AZ1009" s="91"/>
      <c r="BA1009" s="87"/>
      <c r="BB1009" s="5"/>
      <c r="BC1009" s="91"/>
      <c r="BG1009" s="114"/>
      <c r="BH1009" s="5"/>
    </row>
    <row r="1010" customFormat="false" ht="15" hidden="false" customHeight="false" outlineLevel="0" collapsed="false">
      <c r="AY1010" s="114"/>
      <c r="AZ1010" s="91"/>
      <c r="BA1010" s="87"/>
      <c r="BB1010" s="5"/>
      <c r="BC1010" s="91"/>
      <c r="BG1010" s="114"/>
      <c r="BH1010" s="5"/>
    </row>
    <row r="1011" customFormat="false" ht="15" hidden="false" customHeight="false" outlineLevel="0" collapsed="false">
      <c r="AY1011" s="114"/>
      <c r="AZ1011" s="91"/>
      <c r="BA1011" s="87"/>
      <c r="BB1011" s="5"/>
      <c r="BC1011" s="91"/>
      <c r="BG1011" s="114"/>
      <c r="BH1011" s="5"/>
    </row>
    <row r="1012" customFormat="false" ht="15" hidden="false" customHeight="false" outlineLevel="0" collapsed="false">
      <c r="AY1012" s="114"/>
      <c r="AZ1012" s="91"/>
      <c r="BA1012" s="87"/>
      <c r="BB1012" s="5"/>
      <c r="BC1012" s="91"/>
      <c r="BG1012" s="114"/>
      <c r="BH1012" s="5"/>
    </row>
    <row r="1013" customFormat="false" ht="15" hidden="false" customHeight="false" outlineLevel="0" collapsed="false">
      <c r="AY1013" s="114"/>
      <c r="AZ1013" s="91"/>
      <c r="BA1013" s="87"/>
      <c r="BB1013" s="5"/>
      <c r="BC1013" s="91"/>
      <c r="BG1013" s="114"/>
      <c r="BH1013" s="5"/>
    </row>
    <row r="1014" customFormat="false" ht="15" hidden="false" customHeight="false" outlineLevel="0" collapsed="false">
      <c r="AY1014" s="114"/>
      <c r="AZ1014" s="91"/>
      <c r="BA1014" s="87"/>
      <c r="BB1014" s="5"/>
      <c r="BC1014" s="91"/>
      <c r="BG1014" s="114"/>
      <c r="BH1014" s="5"/>
    </row>
    <row r="1015" customFormat="false" ht="15" hidden="false" customHeight="false" outlineLevel="0" collapsed="false">
      <c r="AY1015" s="114"/>
      <c r="AZ1015" s="91"/>
      <c r="BA1015" s="87"/>
      <c r="BB1015" s="5"/>
      <c r="BC1015" s="91"/>
      <c r="BG1015" s="114"/>
      <c r="BH1015" s="5"/>
    </row>
    <row r="1016" customFormat="false" ht="15" hidden="false" customHeight="false" outlineLevel="0" collapsed="false">
      <c r="AY1016" s="114"/>
      <c r="AZ1016" s="91"/>
      <c r="BA1016" s="87"/>
      <c r="BB1016" s="5"/>
      <c r="BC1016" s="91"/>
      <c r="BG1016" s="114"/>
      <c r="BH1016" s="5"/>
    </row>
    <row r="1017" customFormat="false" ht="15" hidden="false" customHeight="false" outlineLevel="0" collapsed="false">
      <c r="AY1017" s="114"/>
      <c r="AZ1017" s="91"/>
      <c r="BA1017" s="87"/>
      <c r="BB1017" s="5"/>
      <c r="BC1017" s="91"/>
      <c r="BG1017" s="114"/>
      <c r="BH1017" s="5"/>
    </row>
    <row r="1018" customFormat="false" ht="15" hidden="false" customHeight="false" outlineLevel="0" collapsed="false">
      <c r="AY1018" s="114"/>
      <c r="AZ1018" s="91"/>
      <c r="BA1018" s="87"/>
      <c r="BB1018" s="5"/>
      <c r="BC1018" s="91"/>
      <c r="BG1018" s="114"/>
      <c r="BH1018" s="5"/>
    </row>
    <row r="1019" customFormat="false" ht="15" hidden="false" customHeight="false" outlineLevel="0" collapsed="false">
      <c r="AY1019" s="114"/>
      <c r="AZ1019" s="91"/>
      <c r="BA1019" s="87"/>
      <c r="BB1019" s="5"/>
      <c r="BC1019" s="91"/>
      <c r="BG1019" s="114"/>
      <c r="BH1019" s="5"/>
    </row>
    <row r="1020" customFormat="false" ht="15" hidden="false" customHeight="false" outlineLevel="0" collapsed="false">
      <c r="AY1020" s="114"/>
      <c r="AZ1020" s="91"/>
      <c r="BA1020" s="87"/>
      <c r="BB1020" s="5"/>
      <c r="BC1020" s="91"/>
      <c r="BG1020" s="114"/>
      <c r="BH1020" s="5"/>
    </row>
    <row r="1021" customFormat="false" ht="15" hidden="false" customHeight="false" outlineLevel="0" collapsed="false">
      <c r="AY1021" s="114"/>
      <c r="AZ1021" s="91"/>
      <c r="BA1021" s="87"/>
      <c r="BB1021" s="5"/>
      <c r="BC1021" s="91"/>
      <c r="BG1021" s="114"/>
      <c r="BH1021" s="5"/>
    </row>
    <row r="1022" customFormat="false" ht="15" hidden="false" customHeight="false" outlineLevel="0" collapsed="false">
      <c r="AY1022" s="114"/>
      <c r="AZ1022" s="91"/>
      <c r="BA1022" s="87"/>
      <c r="BB1022" s="5"/>
      <c r="BC1022" s="91"/>
      <c r="BG1022" s="114"/>
      <c r="BH1022" s="5"/>
    </row>
    <row r="1023" customFormat="false" ht="15" hidden="false" customHeight="false" outlineLevel="0" collapsed="false">
      <c r="AY1023" s="114"/>
      <c r="AZ1023" s="91"/>
      <c r="BA1023" s="87"/>
      <c r="BB1023" s="5"/>
      <c r="BC1023" s="91"/>
      <c r="BG1023" s="114"/>
      <c r="BH1023" s="5"/>
    </row>
    <row r="1024" customFormat="false" ht="15" hidden="false" customHeight="false" outlineLevel="0" collapsed="false">
      <c r="AY1024" s="114"/>
      <c r="AZ1024" s="91"/>
      <c r="BA1024" s="87"/>
      <c r="BB1024" s="5"/>
      <c r="BC1024" s="91"/>
      <c r="BG1024" s="114"/>
      <c r="BH1024" s="5"/>
    </row>
    <row r="1025" customFormat="false" ht="15" hidden="false" customHeight="false" outlineLevel="0" collapsed="false">
      <c r="AY1025" s="114"/>
      <c r="AZ1025" s="91"/>
      <c r="BA1025" s="87"/>
      <c r="BB1025" s="5"/>
      <c r="BC1025" s="91"/>
      <c r="BG1025" s="114"/>
      <c r="BH1025" s="5"/>
    </row>
    <row r="1026" customFormat="false" ht="15" hidden="false" customHeight="false" outlineLevel="0" collapsed="false">
      <c r="AY1026" s="114"/>
      <c r="AZ1026" s="91"/>
      <c r="BA1026" s="87"/>
      <c r="BB1026" s="5"/>
      <c r="BC1026" s="91"/>
      <c r="BG1026" s="114"/>
      <c r="BH1026" s="5"/>
    </row>
    <row r="1027" customFormat="false" ht="15" hidden="false" customHeight="false" outlineLevel="0" collapsed="false">
      <c r="AY1027" s="114"/>
      <c r="AZ1027" s="91"/>
      <c r="BA1027" s="87"/>
      <c r="BB1027" s="5"/>
      <c r="BC1027" s="91"/>
      <c r="BG1027" s="114"/>
      <c r="BH1027" s="5"/>
    </row>
    <row r="1028" customFormat="false" ht="15" hidden="false" customHeight="false" outlineLevel="0" collapsed="false">
      <c r="AY1028" s="114"/>
      <c r="AZ1028" s="91"/>
      <c r="BA1028" s="87"/>
      <c r="BB1028" s="5"/>
      <c r="BC1028" s="91"/>
      <c r="BG1028" s="114"/>
      <c r="BH1028" s="5"/>
    </row>
    <row r="1029" customFormat="false" ht="15" hidden="false" customHeight="false" outlineLevel="0" collapsed="false">
      <c r="AY1029" s="114"/>
      <c r="AZ1029" s="91"/>
      <c r="BA1029" s="87"/>
      <c r="BB1029" s="5"/>
      <c r="BC1029" s="91"/>
      <c r="BG1029" s="114"/>
      <c r="BH1029" s="5"/>
    </row>
    <row r="1030" customFormat="false" ht="15" hidden="false" customHeight="false" outlineLevel="0" collapsed="false">
      <c r="AY1030" s="114"/>
      <c r="AZ1030" s="91"/>
      <c r="BA1030" s="87"/>
      <c r="BB1030" s="5"/>
      <c r="BC1030" s="91"/>
      <c r="BG1030" s="114"/>
      <c r="BH1030" s="5"/>
    </row>
    <row r="1031" customFormat="false" ht="15" hidden="false" customHeight="false" outlineLevel="0" collapsed="false">
      <c r="AY1031" s="114"/>
      <c r="AZ1031" s="91"/>
      <c r="BA1031" s="87"/>
      <c r="BB1031" s="5"/>
      <c r="BC1031" s="91"/>
      <c r="BG1031" s="114"/>
      <c r="BH1031" s="5"/>
    </row>
    <row r="1032" customFormat="false" ht="15" hidden="false" customHeight="false" outlineLevel="0" collapsed="false">
      <c r="AY1032" s="114"/>
      <c r="AZ1032" s="91"/>
      <c r="BA1032" s="87"/>
      <c r="BB1032" s="5"/>
      <c r="BC1032" s="91"/>
      <c r="BG1032" s="114"/>
      <c r="BH1032" s="5"/>
    </row>
    <row r="1033" customFormat="false" ht="15" hidden="false" customHeight="false" outlineLevel="0" collapsed="false">
      <c r="AY1033" s="114"/>
      <c r="AZ1033" s="91"/>
      <c r="BA1033" s="87"/>
      <c r="BB1033" s="5"/>
      <c r="BC1033" s="91"/>
      <c r="BG1033" s="114"/>
      <c r="BH1033" s="5"/>
    </row>
    <row r="1034" customFormat="false" ht="15" hidden="false" customHeight="false" outlineLevel="0" collapsed="false">
      <c r="AY1034" s="114"/>
      <c r="AZ1034" s="91"/>
      <c r="BA1034" s="87"/>
      <c r="BB1034" s="5"/>
      <c r="BC1034" s="91"/>
      <c r="BG1034" s="114"/>
      <c r="BH1034" s="5"/>
    </row>
    <row r="1035" customFormat="false" ht="15" hidden="false" customHeight="false" outlineLevel="0" collapsed="false">
      <c r="AY1035" s="114"/>
      <c r="AZ1035" s="91"/>
      <c r="BA1035" s="87"/>
      <c r="BB1035" s="5"/>
      <c r="BC1035" s="91"/>
      <c r="BG1035" s="114"/>
      <c r="BH1035" s="5"/>
    </row>
    <row r="1036" customFormat="false" ht="15" hidden="false" customHeight="false" outlineLevel="0" collapsed="false">
      <c r="AY1036" s="114"/>
      <c r="AZ1036" s="91"/>
      <c r="BA1036" s="87"/>
      <c r="BB1036" s="5"/>
      <c r="BC1036" s="91"/>
      <c r="BG1036" s="114"/>
      <c r="BH1036" s="5"/>
    </row>
    <row r="1037" customFormat="false" ht="15" hidden="false" customHeight="false" outlineLevel="0" collapsed="false">
      <c r="AY1037" s="114"/>
      <c r="AZ1037" s="91"/>
      <c r="BA1037" s="87"/>
      <c r="BB1037" s="5"/>
      <c r="BC1037" s="91"/>
      <c r="BG1037" s="114"/>
      <c r="BH1037" s="5"/>
    </row>
    <row r="1038" customFormat="false" ht="15" hidden="false" customHeight="false" outlineLevel="0" collapsed="false">
      <c r="AY1038" s="114"/>
      <c r="AZ1038" s="91"/>
      <c r="BA1038" s="87"/>
      <c r="BB1038" s="5"/>
      <c r="BC1038" s="91"/>
      <c r="BG1038" s="114"/>
      <c r="BH1038" s="5"/>
    </row>
    <row r="1039" customFormat="false" ht="15" hidden="false" customHeight="false" outlineLevel="0" collapsed="false">
      <c r="AY1039" s="114"/>
      <c r="AZ1039" s="91"/>
      <c r="BA1039" s="87"/>
      <c r="BB1039" s="5"/>
      <c r="BC1039" s="91"/>
      <c r="BG1039" s="114"/>
      <c r="BH1039" s="5"/>
    </row>
    <row r="1040" customFormat="false" ht="15" hidden="false" customHeight="false" outlineLevel="0" collapsed="false">
      <c r="AY1040" s="114"/>
      <c r="AZ1040" s="91"/>
      <c r="BA1040" s="87"/>
      <c r="BB1040" s="5"/>
      <c r="BC1040" s="91"/>
      <c r="BG1040" s="114"/>
      <c r="BH1040" s="5"/>
    </row>
    <row r="1041" customFormat="false" ht="15" hidden="false" customHeight="false" outlineLevel="0" collapsed="false">
      <c r="AY1041" s="114"/>
      <c r="AZ1041" s="91"/>
      <c r="BA1041" s="87"/>
      <c r="BB1041" s="5"/>
      <c r="BC1041" s="91"/>
      <c r="BG1041" s="114"/>
      <c r="BH1041" s="5"/>
    </row>
    <row r="1042" customFormat="false" ht="15" hidden="false" customHeight="false" outlineLevel="0" collapsed="false">
      <c r="AY1042" s="114"/>
      <c r="AZ1042" s="91"/>
      <c r="BA1042" s="87"/>
      <c r="BB1042" s="5"/>
      <c r="BC1042" s="91"/>
      <c r="BG1042" s="114"/>
      <c r="BH1042" s="5"/>
    </row>
    <row r="1043" customFormat="false" ht="15" hidden="false" customHeight="false" outlineLevel="0" collapsed="false">
      <c r="AY1043" s="114"/>
      <c r="AZ1043" s="91"/>
      <c r="BA1043" s="87"/>
      <c r="BB1043" s="5"/>
      <c r="BC1043" s="91"/>
      <c r="BG1043" s="114"/>
      <c r="BH1043" s="5"/>
    </row>
    <row r="1044" customFormat="false" ht="15" hidden="false" customHeight="false" outlineLevel="0" collapsed="false">
      <c r="AY1044" s="114"/>
      <c r="AZ1044" s="91"/>
      <c r="BA1044" s="87"/>
      <c r="BB1044" s="5"/>
      <c r="BC1044" s="91"/>
      <c r="BG1044" s="114"/>
      <c r="BH1044" s="5"/>
    </row>
    <row r="1045" customFormat="false" ht="15" hidden="false" customHeight="false" outlineLevel="0" collapsed="false">
      <c r="AY1045" s="114"/>
      <c r="AZ1045" s="91"/>
      <c r="BA1045" s="87"/>
      <c r="BB1045" s="5"/>
      <c r="BC1045" s="91"/>
      <c r="BG1045" s="114"/>
      <c r="BH1045" s="5"/>
    </row>
    <row r="1046" customFormat="false" ht="15" hidden="false" customHeight="false" outlineLevel="0" collapsed="false">
      <c r="AY1046" s="114"/>
      <c r="AZ1046" s="91"/>
      <c r="BA1046" s="87"/>
      <c r="BB1046" s="5"/>
      <c r="BC1046" s="91"/>
      <c r="BG1046" s="114"/>
      <c r="BH1046" s="5"/>
    </row>
    <row r="1047" customFormat="false" ht="15" hidden="false" customHeight="false" outlineLevel="0" collapsed="false">
      <c r="AY1047" s="114"/>
      <c r="AZ1047" s="91"/>
      <c r="BA1047" s="87"/>
      <c r="BB1047" s="5"/>
      <c r="BC1047" s="91"/>
      <c r="BG1047" s="114"/>
      <c r="BH1047" s="5"/>
    </row>
    <row r="1048" customFormat="false" ht="15" hidden="false" customHeight="false" outlineLevel="0" collapsed="false">
      <c r="AY1048" s="114"/>
      <c r="AZ1048" s="91"/>
      <c r="BA1048" s="87"/>
      <c r="BB1048" s="5"/>
      <c r="BC1048" s="91"/>
      <c r="BG1048" s="114"/>
      <c r="BH1048" s="5"/>
    </row>
    <row r="1049" customFormat="false" ht="15" hidden="false" customHeight="false" outlineLevel="0" collapsed="false">
      <c r="AY1049" s="114"/>
      <c r="AZ1049" s="91"/>
      <c r="BA1049" s="87"/>
      <c r="BB1049" s="5"/>
      <c r="BC1049" s="91"/>
      <c r="BG1049" s="114"/>
      <c r="BH1049" s="5"/>
    </row>
    <row r="1050" customFormat="false" ht="15" hidden="false" customHeight="false" outlineLevel="0" collapsed="false">
      <c r="AY1050" s="114"/>
      <c r="AZ1050" s="91"/>
      <c r="BA1050" s="87"/>
      <c r="BB1050" s="5"/>
      <c r="BC1050" s="91"/>
      <c r="BG1050" s="114"/>
      <c r="BH1050" s="5"/>
    </row>
    <row r="1051" customFormat="false" ht="15" hidden="false" customHeight="false" outlineLevel="0" collapsed="false">
      <c r="AY1051" s="114"/>
      <c r="AZ1051" s="91"/>
      <c r="BA1051" s="87"/>
      <c r="BB1051" s="5"/>
      <c r="BC1051" s="91"/>
      <c r="BG1051" s="114"/>
      <c r="BH1051" s="5"/>
    </row>
    <row r="1052" customFormat="false" ht="15" hidden="false" customHeight="false" outlineLevel="0" collapsed="false">
      <c r="AY1052" s="114"/>
      <c r="AZ1052" s="91"/>
      <c r="BA1052" s="87"/>
      <c r="BB1052" s="5"/>
      <c r="BC1052" s="91"/>
      <c r="BG1052" s="114"/>
      <c r="BH1052" s="5"/>
    </row>
    <row r="1053" customFormat="false" ht="15" hidden="false" customHeight="false" outlineLevel="0" collapsed="false">
      <c r="AY1053" s="114"/>
      <c r="AZ1053" s="91"/>
      <c r="BA1053" s="87"/>
      <c r="BB1053" s="5"/>
      <c r="BC1053" s="91"/>
      <c r="BG1053" s="114"/>
      <c r="BH1053" s="5"/>
    </row>
    <row r="1054" customFormat="false" ht="15" hidden="false" customHeight="false" outlineLevel="0" collapsed="false">
      <c r="AY1054" s="114"/>
      <c r="AZ1054" s="91"/>
      <c r="BA1054" s="87"/>
      <c r="BB1054" s="5"/>
      <c r="BC1054" s="91"/>
      <c r="BG1054" s="114"/>
      <c r="BH1054" s="5"/>
    </row>
    <row r="1055" customFormat="false" ht="15" hidden="false" customHeight="false" outlineLevel="0" collapsed="false">
      <c r="AY1055" s="114"/>
      <c r="AZ1055" s="91"/>
      <c r="BA1055" s="87"/>
      <c r="BB1055" s="5"/>
      <c r="BC1055" s="91"/>
      <c r="BG1055" s="114"/>
      <c r="BH1055" s="5"/>
    </row>
    <row r="1056" customFormat="false" ht="15" hidden="false" customHeight="false" outlineLevel="0" collapsed="false">
      <c r="AY1056" s="114"/>
      <c r="AZ1056" s="91"/>
      <c r="BA1056" s="87"/>
      <c r="BB1056" s="5"/>
      <c r="BC1056" s="91"/>
      <c r="BG1056" s="114"/>
      <c r="BH1056" s="5"/>
    </row>
    <row r="1057" customFormat="false" ht="15" hidden="false" customHeight="false" outlineLevel="0" collapsed="false">
      <c r="AY1057" s="114"/>
      <c r="AZ1057" s="91"/>
      <c r="BA1057" s="87"/>
      <c r="BB1057" s="5"/>
      <c r="BC1057" s="91"/>
      <c r="BG1057" s="114"/>
      <c r="BH1057" s="5"/>
    </row>
    <row r="1058" customFormat="false" ht="15" hidden="false" customHeight="false" outlineLevel="0" collapsed="false">
      <c r="AY1058" s="114"/>
      <c r="AZ1058" s="91"/>
      <c r="BA1058" s="87"/>
      <c r="BB1058" s="5"/>
      <c r="BC1058" s="91"/>
      <c r="BG1058" s="114"/>
      <c r="BH1058" s="5"/>
    </row>
    <row r="1059" customFormat="false" ht="15" hidden="false" customHeight="false" outlineLevel="0" collapsed="false">
      <c r="AY1059" s="114"/>
      <c r="AZ1059" s="91"/>
      <c r="BA1059" s="87"/>
      <c r="BB1059" s="5"/>
      <c r="BC1059" s="91"/>
      <c r="BG1059" s="114"/>
      <c r="BH1059" s="5"/>
    </row>
    <row r="1060" customFormat="false" ht="15" hidden="false" customHeight="false" outlineLevel="0" collapsed="false">
      <c r="AY1060" s="114"/>
      <c r="AZ1060" s="91"/>
      <c r="BA1060" s="87"/>
      <c r="BB1060" s="5"/>
      <c r="BC1060" s="91"/>
      <c r="BG1060" s="114"/>
      <c r="BH1060" s="5"/>
    </row>
    <row r="1061" customFormat="false" ht="15" hidden="false" customHeight="false" outlineLevel="0" collapsed="false">
      <c r="AY1061" s="114"/>
      <c r="AZ1061" s="91"/>
      <c r="BA1061" s="87"/>
      <c r="BB1061" s="5"/>
      <c r="BC1061" s="91"/>
      <c r="BG1061" s="114"/>
      <c r="BH1061" s="5"/>
    </row>
    <row r="1062" customFormat="false" ht="15" hidden="false" customHeight="false" outlineLevel="0" collapsed="false">
      <c r="AY1062" s="114"/>
      <c r="AZ1062" s="91"/>
      <c r="BA1062" s="87"/>
      <c r="BB1062" s="5"/>
      <c r="BC1062" s="91"/>
      <c r="BG1062" s="114"/>
      <c r="BH1062" s="5"/>
    </row>
    <row r="1063" customFormat="false" ht="15" hidden="false" customHeight="false" outlineLevel="0" collapsed="false">
      <c r="AY1063" s="114"/>
      <c r="AZ1063" s="91"/>
      <c r="BA1063" s="87"/>
      <c r="BB1063" s="5"/>
      <c r="BC1063" s="91"/>
      <c r="BG1063" s="114"/>
      <c r="BH1063" s="5"/>
    </row>
    <row r="1064" customFormat="false" ht="15" hidden="false" customHeight="false" outlineLevel="0" collapsed="false">
      <c r="AY1064" s="114"/>
      <c r="AZ1064" s="91"/>
      <c r="BA1064" s="87"/>
      <c r="BB1064" s="5"/>
      <c r="BC1064" s="91"/>
      <c r="BG1064" s="114"/>
      <c r="BH1064" s="5"/>
    </row>
    <row r="1065" customFormat="false" ht="15" hidden="false" customHeight="false" outlineLevel="0" collapsed="false">
      <c r="AY1065" s="114"/>
      <c r="AZ1065" s="91"/>
      <c r="BA1065" s="87"/>
      <c r="BB1065" s="5"/>
      <c r="BC1065" s="91"/>
      <c r="BG1065" s="114"/>
      <c r="BH1065" s="5"/>
    </row>
    <row r="1066" customFormat="false" ht="15" hidden="false" customHeight="false" outlineLevel="0" collapsed="false">
      <c r="AY1066" s="114"/>
      <c r="AZ1066" s="91"/>
      <c r="BA1066" s="87"/>
      <c r="BB1066" s="5"/>
      <c r="BC1066" s="91"/>
      <c r="BG1066" s="114"/>
      <c r="BH1066" s="5"/>
    </row>
    <row r="1067" customFormat="false" ht="15" hidden="false" customHeight="false" outlineLevel="0" collapsed="false">
      <c r="AY1067" s="114"/>
      <c r="AZ1067" s="91"/>
      <c r="BA1067" s="87"/>
      <c r="BB1067" s="5"/>
      <c r="BC1067" s="91"/>
      <c r="BG1067" s="114"/>
      <c r="BH1067" s="5"/>
    </row>
    <row r="1068" customFormat="false" ht="15" hidden="false" customHeight="false" outlineLevel="0" collapsed="false">
      <c r="AY1068" s="114"/>
      <c r="AZ1068" s="91"/>
      <c r="BA1068" s="87"/>
      <c r="BB1068" s="5"/>
      <c r="BC1068" s="91"/>
      <c r="BG1068" s="114"/>
      <c r="BH1068" s="5"/>
    </row>
    <row r="1069" customFormat="false" ht="15" hidden="false" customHeight="false" outlineLevel="0" collapsed="false">
      <c r="AY1069" s="114"/>
      <c r="AZ1069" s="91"/>
      <c r="BA1069" s="87"/>
      <c r="BB1069" s="5"/>
      <c r="BC1069" s="91"/>
      <c r="BG1069" s="114"/>
      <c r="BH1069" s="5"/>
    </row>
    <row r="1070" customFormat="false" ht="15" hidden="false" customHeight="false" outlineLevel="0" collapsed="false">
      <c r="AY1070" s="114"/>
      <c r="AZ1070" s="91"/>
      <c r="BA1070" s="87"/>
      <c r="BB1070" s="5"/>
      <c r="BC1070" s="91"/>
      <c r="BG1070" s="114"/>
      <c r="BH1070" s="5"/>
    </row>
    <row r="1071" customFormat="false" ht="15" hidden="false" customHeight="false" outlineLevel="0" collapsed="false">
      <c r="AY1071" s="114"/>
      <c r="AZ1071" s="91"/>
      <c r="BA1071" s="87"/>
      <c r="BB1071" s="5"/>
      <c r="BC1071" s="91"/>
      <c r="BG1071" s="114"/>
      <c r="BH1071" s="5"/>
    </row>
    <row r="1072" customFormat="false" ht="15" hidden="false" customHeight="false" outlineLevel="0" collapsed="false">
      <c r="AY1072" s="114"/>
      <c r="AZ1072" s="91"/>
      <c r="BA1072" s="87"/>
      <c r="BB1072" s="5"/>
      <c r="BC1072" s="91"/>
      <c r="BG1072" s="114"/>
      <c r="BH1072" s="5"/>
    </row>
    <row r="1073" customFormat="false" ht="15" hidden="false" customHeight="false" outlineLevel="0" collapsed="false">
      <c r="AY1073" s="114"/>
      <c r="AZ1073" s="91"/>
      <c r="BA1073" s="87"/>
      <c r="BB1073" s="5"/>
      <c r="BC1073" s="91"/>
      <c r="BG1073" s="114"/>
      <c r="BH1073" s="5"/>
    </row>
    <row r="1074" customFormat="false" ht="15" hidden="false" customHeight="false" outlineLevel="0" collapsed="false">
      <c r="AY1074" s="114"/>
      <c r="AZ1074" s="91"/>
      <c r="BA1074" s="87"/>
      <c r="BB1074" s="5"/>
      <c r="BC1074" s="91"/>
      <c r="BG1074" s="114"/>
      <c r="BH1074" s="5"/>
    </row>
    <row r="1075" customFormat="false" ht="15" hidden="false" customHeight="false" outlineLevel="0" collapsed="false">
      <c r="AY1075" s="114"/>
      <c r="AZ1075" s="91"/>
      <c r="BA1075" s="87"/>
      <c r="BB1075" s="5"/>
      <c r="BC1075" s="91"/>
      <c r="BG1075" s="114"/>
      <c r="BH1075" s="5"/>
    </row>
    <row r="1076" customFormat="false" ht="15" hidden="false" customHeight="false" outlineLevel="0" collapsed="false">
      <c r="AY1076" s="114"/>
      <c r="AZ1076" s="91"/>
      <c r="BA1076" s="87"/>
      <c r="BB1076" s="5"/>
      <c r="BC1076" s="91"/>
      <c r="BG1076" s="114"/>
      <c r="BH1076" s="5"/>
    </row>
    <row r="1077" customFormat="false" ht="15" hidden="false" customHeight="false" outlineLevel="0" collapsed="false">
      <c r="AY1077" s="114"/>
      <c r="AZ1077" s="91"/>
      <c r="BA1077" s="87"/>
      <c r="BB1077" s="5"/>
      <c r="BC1077" s="91"/>
      <c r="BG1077" s="114"/>
      <c r="BH1077" s="5"/>
    </row>
    <row r="1078" customFormat="false" ht="15" hidden="false" customHeight="false" outlineLevel="0" collapsed="false">
      <c r="AY1078" s="114"/>
      <c r="AZ1078" s="91"/>
      <c r="BA1078" s="87"/>
      <c r="BB1078" s="5"/>
      <c r="BC1078" s="91"/>
      <c r="BG1078" s="114"/>
      <c r="BH1078" s="5"/>
    </row>
    <row r="1079" customFormat="false" ht="15" hidden="false" customHeight="false" outlineLevel="0" collapsed="false">
      <c r="AY1079" s="114"/>
      <c r="AZ1079" s="91"/>
      <c r="BA1079" s="87"/>
      <c r="BB1079" s="5"/>
      <c r="BC1079" s="91"/>
      <c r="BG1079" s="114"/>
      <c r="BH1079" s="5"/>
    </row>
    <row r="1080" customFormat="false" ht="15" hidden="false" customHeight="false" outlineLevel="0" collapsed="false">
      <c r="AY1080" s="114"/>
      <c r="AZ1080" s="91"/>
      <c r="BA1080" s="87"/>
      <c r="BB1080" s="5"/>
      <c r="BC1080" s="91"/>
      <c r="BG1080" s="114"/>
      <c r="BH1080" s="5"/>
    </row>
    <row r="1081" customFormat="false" ht="15" hidden="false" customHeight="false" outlineLevel="0" collapsed="false">
      <c r="AY1081" s="114"/>
      <c r="AZ1081" s="91"/>
      <c r="BA1081" s="87"/>
      <c r="BB1081" s="5"/>
      <c r="BC1081" s="91"/>
      <c r="BG1081" s="114"/>
      <c r="BH1081" s="5"/>
    </row>
    <row r="1082" customFormat="false" ht="15" hidden="false" customHeight="false" outlineLevel="0" collapsed="false">
      <c r="AY1082" s="114"/>
      <c r="AZ1082" s="91"/>
      <c r="BA1082" s="87"/>
      <c r="BB1082" s="5"/>
      <c r="BC1082" s="91"/>
      <c r="BG1082" s="114"/>
      <c r="BH1082" s="5"/>
    </row>
    <row r="1083" customFormat="false" ht="15" hidden="false" customHeight="false" outlineLevel="0" collapsed="false">
      <c r="AY1083" s="114"/>
      <c r="AZ1083" s="91"/>
      <c r="BA1083" s="87"/>
      <c r="BB1083" s="5"/>
      <c r="BC1083" s="91"/>
      <c r="BG1083" s="114"/>
      <c r="BH1083" s="5"/>
    </row>
    <row r="1084" customFormat="false" ht="15" hidden="false" customHeight="false" outlineLevel="0" collapsed="false">
      <c r="AY1084" s="114"/>
      <c r="AZ1084" s="91"/>
      <c r="BA1084" s="87"/>
      <c r="BB1084" s="5"/>
      <c r="BC1084" s="91"/>
      <c r="BG1084" s="114"/>
      <c r="BH1084" s="5"/>
    </row>
    <row r="1085" customFormat="false" ht="15" hidden="false" customHeight="false" outlineLevel="0" collapsed="false">
      <c r="AY1085" s="114"/>
      <c r="AZ1085" s="91"/>
      <c r="BA1085" s="87"/>
      <c r="BB1085" s="5"/>
      <c r="BC1085" s="91"/>
      <c r="BG1085" s="114"/>
      <c r="BH1085" s="5"/>
    </row>
    <row r="1086" customFormat="false" ht="15" hidden="false" customHeight="false" outlineLevel="0" collapsed="false">
      <c r="AY1086" s="114"/>
      <c r="AZ1086" s="91"/>
      <c r="BA1086" s="87"/>
      <c r="BB1086" s="5"/>
      <c r="BC1086" s="91"/>
      <c r="BG1086" s="114"/>
      <c r="BH1086" s="5"/>
    </row>
    <row r="1087" customFormat="false" ht="15" hidden="false" customHeight="false" outlineLevel="0" collapsed="false">
      <c r="AY1087" s="114"/>
      <c r="AZ1087" s="91"/>
      <c r="BA1087" s="87"/>
      <c r="BB1087" s="5"/>
      <c r="BC1087" s="91"/>
      <c r="BG1087" s="114"/>
      <c r="BH1087" s="5"/>
    </row>
    <row r="1088" customFormat="false" ht="15" hidden="false" customHeight="false" outlineLevel="0" collapsed="false">
      <c r="AY1088" s="114"/>
      <c r="AZ1088" s="91"/>
      <c r="BA1088" s="87"/>
      <c r="BB1088" s="5"/>
      <c r="BC1088" s="91"/>
      <c r="BG1088" s="114"/>
      <c r="BH1088" s="5"/>
    </row>
    <row r="1089" customFormat="false" ht="15" hidden="false" customHeight="false" outlineLevel="0" collapsed="false">
      <c r="AY1089" s="114"/>
      <c r="AZ1089" s="91"/>
      <c r="BA1089" s="87"/>
      <c r="BB1089" s="5"/>
      <c r="BC1089" s="91"/>
      <c r="BG1089" s="114"/>
      <c r="BH1089" s="5"/>
    </row>
    <row r="1090" customFormat="false" ht="15" hidden="false" customHeight="false" outlineLevel="0" collapsed="false">
      <c r="AY1090" s="114"/>
      <c r="AZ1090" s="91"/>
      <c r="BA1090" s="87"/>
      <c r="BB1090" s="5"/>
      <c r="BC1090" s="91"/>
      <c r="BG1090" s="114"/>
      <c r="BH1090" s="5"/>
    </row>
    <row r="1091" customFormat="false" ht="15" hidden="false" customHeight="false" outlineLevel="0" collapsed="false">
      <c r="AY1091" s="114"/>
      <c r="AZ1091" s="91"/>
      <c r="BA1091" s="87"/>
      <c r="BB1091" s="5"/>
      <c r="BC1091" s="91"/>
      <c r="BG1091" s="114"/>
      <c r="BH1091" s="5"/>
    </row>
    <row r="1092" customFormat="false" ht="15" hidden="false" customHeight="false" outlineLevel="0" collapsed="false">
      <c r="AY1092" s="114"/>
      <c r="AZ1092" s="91"/>
      <c r="BA1092" s="87"/>
      <c r="BB1092" s="5"/>
      <c r="BC1092" s="91"/>
      <c r="BG1092" s="114"/>
      <c r="BH1092" s="5"/>
    </row>
    <row r="1093" customFormat="false" ht="15" hidden="false" customHeight="false" outlineLevel="0" collapsed="false">
      <c r="AY1093" s="114"/>
      <c r="AZ1093" s="91"/>
      <c r="BA1093" s="87"/>
      <c r="BB1093" s="5"/>
      <c r="BC1093" s="91"/>
      <c r="BG1093" s="114"/>
      <c r="BH1093" s="5"/>
    </row>
    <row r="1094" customFormat="false" ht="15" hidden="false" customHeight="false" outlineLevel="0" collapsed="false">
      <c r="AY1094" s="114"/>
      <c r="AZ1094" s="91"/>
      <c r="BA1094" s="87"/>
      <c r="BB1094" s="5"/>
      <c r="BC1094" s="91"/>
      <c r="BG1094" s="114"/>
      <c r="BH1094" s="5"/>
    </row>
    <row r="1095" customFormat="false" ht="15" hidden="false" customHeight="false" outlineLevel="0" collapsed="false">
      <c r="AY1095" s="114"/>
      <c r="AZ1095" s="91"/>
      <c r="BA1095" s="87"/>
      <c r="BB1095" s="5"/>
      <c r="BC1095" s="91"/>
      <c r="BG1095" s="114"/>
      <c r="BH1095" s="5"/>
    </row>
    <row r="1096" customFormat="false" ht="15" hidden="false" customHeight="false" outlineLevel="0" collapsed="false">
      <c r="AY1096" s="114"/>
      <c r="AZ1096" s="91"/>
      <c r="BA1096" s="87"/>
      <c r="BB1096" s="5"/>
      <c r="BC1096" s="91"/>
      <c r="BG1096" s="114"/>
      <c r="BH1096" s="5"/>
    </row>
    <row r="1097" customFormat="false" ht="15" hidden="false" customHeight="false" outlineLevel="0" collapsed="false">
      <c r="AY1097" s="114"/>
      <c r="AZ1097" s="91"/>
      <c r="BA1097" s="87"/>
      <c r="BB1097" s="5"/>
      <c r="BC1097" s="91"/>
      <c r="BG1097" s="114"/>
      <c r="BH1097" s="5"/>
    </row>
    <row r="1098" customFormat="false" ht="15" hidden="false" customHeight="false" outlineLevel="0" collapsed="false">
      <c r="AY1098" s="114"/>
      <c r="AZ1098" s="91"/>
      <c r="BA1098" s="87"/>
      <c r="BB1098" s="5"/>
      <c r="BC1098" s="91"/>
      <c r="BG1098" s="114"/>
      <c r="BH1098" s="5"/>
    </row>
    <row r="1099" customFormat="false" ht="15" hidden="false" customHeight="false" outlineLevel="0" collapsed="false">
      <c r="AY1099" s="114"/>
      <c r="AZ1099" s="91"/>
      <c r="BA1099" s="87"/>
      <c r="BB1099" s="5"/>
      <c r="BC1099" s="91"/>
      <c r="BG1099" s="114"/>
      <c r="BH1099" s="5"/>
    </row>
    <row r="1100" customFormat="false" ht="15" hidden="false" customHeight="false" outlineLevel="0" collapsed="false">
      <c r="AY1100" s="114"/>
      <c r="AZ1100" s="91"/>
      <c r="BA1100" s="87"/>
      <c r="BB1100" s="5"/>
      <c r="BC1100" s="91"/>
      <c r="BG1100" s="114"/>
      <c r="BH1100" s="5"/>
    </row>
    <row r="1101" customFormat="false" ht="15" hidden="false" customHeight="false" outlineLevel="0" collapsed="false">
      <c r="AY1101" s="114"/>
      <c r="AZ1101" s="91"/>
      <c r="BA1101" s="87"/>
      <c r="BB1101" s="5"/>
      <c r="BC1101" s="91"/>
      <c r="BG1101" s="114"/>
      <c r="BH1101" s="5"/>
    </row>
    <row r="1102" customFormat="false" ht="15" hidden="false" customHeight="false" outlineLevel="0" collapsed="false">
      <c r="AY1102" s="114"/>
      <c r="AZ1102" s="91"/>
      <c r="BA1102" s="87"/>
      <c r="BB1102" s="5"/>
      <c r="BC1102" s="91"/>
      <c r="BG1102" s="114"/>
      <c r="BH1102" s="5"/>
    </row>
    <row r="1103" customFormat="false" ht="15" hidden="false" customHeight="false" outlineLevel="0" collapsed="false">
      <c r="AY1103" s="114"/>
      <c r="AZ1103" s="91"/>
      <c r="BA1103" s="87"/>
      <c r="BB1103" s="5"/>
      <c r="BC1103" s="91"/>
      <c r="BG1103" s="114"/>
      <c r="BH1103" s="5"/>
    </row>
    <row r="1104" customFormat="false" ht="15" hidden="false" customHeight="false" outlineLevel="0" collapsed="false">
      <c r="AY1104" s="114"/>
      <c r="AZ1104" s="91"/>
      <c r="BA1104" s="87"/>
      <c r="BB1104" s="5"/>
      <c r="BC1104" s="91"/>
      <c r="BG1104" s="114"/>
      <c r="BH1104" s="5"/>
    </row>
    <row r="1105" customFormat="false" ht="15" hidden="false" customHeight="false" outlineLevel="0" collapsed="false">
      <c r="AY1105" s="114"/>
      <c r="AZ1105" s="91"/>
      <c r="BA1105" s="87"/>
      <c r="BB1105" s="5"/>
      <c r="BC1105" s="91"/>
      <c r="BG1105" s="114"/>
      <c r="BH1105" s="5"/>
    </row>
    <row r="1106" customFormat="false" ht="15" hidden="false" customHeight="false" outlineLevel="0" collapsed="false">
      <c r="AY1106" s="114"/>
      <c r="AZ1106" s="91"/>
      <c r="BA1106" s="87"/>
      <c r="BB1106" s="5"/>
      <c r="BC1106" s="91"/>
      <c r="BG1106" s="114"/>
      <c r="BH1106" s="5"/>
    </row>
    <row r="1107" customFormat="false" ht="15" hidden="false" customHeight="false" outlineLevel="0" collapsed="false">
      <c r="AY1107" s="114"/>
      <c r="AZ1107" s="91"/>
      <c r="BA1107" s="87"/>
      <c r="BB1107" s="5"/>
      <c r="BC1107" s="91"/>
      <c r="BG1107" s="114"/>
      <c r="BH1107" s="5"/>
    </row>
    <row r="1108" customFormat="false" ht="15" hidden="false" customHeight="false" outlineLevel="0" collapsed="false">
      <c r="AY1108" s="114"/>
      <c r="AZ1108" s="91"/>
      <c r="BA1108" s="87"/>
      <c r="BB1108" s="5"/>
      <c r="BC1108" s="91"/>
      <c r="BG1108" s="114"/>
      <c r="BH1108" s="5"/>
    </row>
    <row r="1109" customFormat="false" ht="15" hidden="false" customHeight="false" outlineLevel="0" collapsed="false">
      <c r="AY1109" s="114"/>
      <c r="AZ1109" s="91"/>
      <c r="BA1109" s="87"/>
      <c r="BB1109" s="5"/>
      <c r="BC1109" s="91"/>
      <c r="BG1109" s="114"/>
      <c r="BH1109" s="5"/>
    </row>
    <row r="1110" customFormat="false" ht="15" hidden="false" customHeight="false" outlineLevel="0" collapsed="false">
      <c r="AY1110" s="114"/>
      <c r="AZ1110" s="91"/>
      <c r="BA1110" s="87"/>
      <c r="BB1110" s="5"/>
      <c r="BC1110" s="91"/>
      <c r="BG1110" s="114"/>
      <c r="BH1110" s="5"/>
    </row>
    <row r="1111" customFormat="false" ht="15" hidden="false" customHeight="false" outlineLevel="0" collapsed="false">
      <c r="AY1111" s="114"/>
      <c r="AZ1111" s="91"/>
      <c r="BA1111" s="87"/>
      <c r="BB1111" s="5"/>
      <c r="BC1111" s="91"/>
      <c r="BG1111" s="114"/>
      <c r="BH1111" s="5"/>
    </row>
    <row r="1112" customFormat="false" ht="15" hidden="false" customHeight="false" outlineLevel="0" collapsed="false">
      <c r="AY1112" s="114"/>
      <c r="AZ1112" s="91"/>
      <c r="BA1112" s="87"/>
      <c r="BB1112" s="5"/>
      <c r="BC1112" s="91"/>
      <c r="BG1112" s="114"/>
      <c r="BH1112" s="5"/>
    </row>
    <row r="1113" customFormat="false" ht="15" hidden="false" customHeight="false" outlineLevel="0" collapsed="false">
      <c r="AY1113" s="114"/>
      <c r="AZ1113" s="91"/>
      <c r="BA1113" s="87"/>
      <c r="BB1113" s="5"/>
      <c r="BC1113" s="91"/>
      <c r="BG1113" s="114"/>
      <c r="BH1113" s="5"/>
    </row>
    <row r="1114" customFormat="false" ht="15" hidden="false" customHeight="false" outlineLevel="0" collapsed="false">
      <c r="AY1114" s="114"/>
      <c r="AZ1114" s="91"/>
      <c r="BA1114" s="87"/>
      <c r="BB1114" s="5"/>
      <c r="BC1114" s="91"/>
      <c r="BG1114" s="114"/>
      <c r="BH1114" s="5"/>
    </row>
    <row r="1115" customFormat="false" ht="15" hidden="false" customHeight="false" outlineLevel="0" collapsed="false">
      <c r="AY1115" s="114"/>
      <c r="AZ1115" s="91"/>
      <c r="BA1115" s="87"/>
      <c r="BB1115" s="5"/>
      <c r="BC1115" s="91"/>
      <c r="BG1115" s="114"/>
      <c r="BH1115" s="5"/>
    </row>
    <row r="1116" customFormat="false" ht="15" hidden="false" customHeight="false" outlineLevel="0" collapsed="false">
      <c r="AY1116" s="114"/>
      <c r="AZ1116" s="91"/>
      <c r="BA1116" s="87"/>
      <c r="BB1116" s="5"/>
      <c r="BC1116" s="91"/>
      <c r="BG1116" s="114"/>
      <c r="BH1116" s="5"/>
    </row>
    <row r="1117" customFormat="false" ht="15" hidden="false" customHeight="false" outlineLevel="0" collapsed="false">
      <c r="AY1117" s="114"/>
      <c r="AZ1117" s="91"/>
      <c r="BA1117" s="87"/>
      <c r="BB1117" s="5"/>
      <c r="BC1117" s="91"/>
      <c r="BG1117" s="114"/>
      <c r="BH1117" s="5"/>
    </row>
    <row r="1118" customFormat="false" ht="15" hidden="false" customHeight="false" outlineLevel="0" collapsed="false">
      <c r="AY1118" s="114"/>
      <c r="AZ1118" s="91"/>
      <c r="BA1118" s="87"/>
      <c r="BB1118" s="5"/>
      <c r="BC1118" s="91"/>
      <c r="BG1118" s="114"/>
      <c r="BH1118" s="5"/>
    </row>
    <row r="1119" customFormat="false" ht="15" hidden="false" customHeight="false" outlineLevel="0" collapsed="false">
      <c r="AY1119" s="114"/>
      <c r="AZ1119" s="91"/>
      <c r="BA1119" s="87"/>
      <c r="BB1119" s="5"/>
      <c r="BC1119" s="91"/>
      <c r="BG1119" s="114"/>
      <c r="BH1119" s="5"/>
    </row>
    <row r="1120" customFormat="false" ht="15" hidden="false" customHeight="false" outlineLevel="0" collapsed="false">
      <c r="AY1120" s="114"/>
      <c r="AZ1120" s="91"/>
      <c r="BA1120" s="87"/>
      <c r="BB1120" s="5"/>
      <c r="BC1120" s="91"/>
      <c r="BG1120" s="114"/>
      <c r="BH1120" s="5"/>
    </row>
    <row r="1121" customFormat="false" ht="15" hidden="false" customHeight="false" outlineLevel="0" collapsed="false">
      <c r="AY1121" s="114"/>
      <c r="AZ1121" s="91"/>
      <c r="BA1121" s="87"/>
      <c r="BB1121" s="5"/>
      <c r="BC1121" s="91"/>
      <c r="BG1121" s="114"/>
      <c r="BH1121" s="5"/>
    </row>
    <row r="1122" customFormat="false" ht="15" hidden="false" customHeight="false" outlineLevel="0" collapsed="false">
      <c r="AY1122" s="114"/>
      <c r="AZ1122" s="91"/>
      <c r="BA1122" s="87"/>
      <c r="BB1122" s="5"/>
      <c r="BC1122" s="91"/>
      <c r="BG1122" s="114"/>
      <c r="BH1122" s="5"/>
    </row>
    <row r="1123" customFormat="false" ht="15" hidden="false" customHeight="false" outlineLevel="0" collapsed="false">
      <c r="AY1123" s="114"/>
      <c r="AZ1123" s="91"/>
      <c r="BA1123" s="87"/>
      <c r="BB1123" s="5"/>
      <c r="BC1123" s="91"/>
      <c r="BG1123" s="114"/>
      <c r="BH1123" s="5"/>
    </row>
    <row r="1124" customFormat="false" ht="15" hidden="false" customHeight="false" outlineLevel="0" collapsed="false">
      <c r="AY1124" s="114"/>
      <c r="AZ1124" s="91"/>
      <c r="BA1124" s="87"/>
      <c r="BB1124" s="5"/>
      <c r="BC1124" s="91"/>
      <c r="BG1124" s="114"/>
      <c r="BH1124" s="5"/>
    </row>
    <row r="1125" customFormat="false" ht="15" hidden="false" customHeight="false" outlineLevel="0" collapsed="false">
      <c r="AY1125" s="114"/>
      <c r="AZ1125" s="91"/>
      <c r="BA1125" s="87"/>
      <c r="BB1125" s="5"/>
      <c r="BC1125" s="91"/>
      <c r="BG1125" s="114"/>
      <c r="BH1125" s="5"/>
    </row>
    <row r="1126" customFormat="false" ht="15" hidden="false" customHeight="false" outlineLevel="0" collapsed="false">
      <c r="AY1126" s="114"/>
      <c r="AZ1126" s="91"/>
      <c r="BA1126" s="87"/>
      <c r="BB1126" s="5"/>
      <c r="BC1126" s="91"/>
      <c r="BG1126" s="114"/>
      <c r="BH1126" s="5"/>
    </row>
    <row r="1127" customFormat="false" ht="15" hidden="false" customHeight="false" outlineLevel="0" collapsed="false">
      <c r="AY1127" s="114"/>
      <c r="AZ1127" s="91"/>
      <c r="BA1127" s="87"/>
      <c r="BB1127" s="5"/>
      <c r="BC1127" s="91"/>
      <c r="BG1127" s="114"/>
      <c r="BH1127" s="5"/>
    </row>
    <row r="1128" customFormat="false" ht="15" hidden="false" customHeight="false" outlineLevel="0" collapsed="false">
      <c r="AY1128" s="114"/>
      <c r="AZ1128" s="91"/>
      <c r="BA1128" s="87"/>
      <c r="BB1128" s="5"/>
      <c r="BC1128" s="91"/>
      <c r="BG1128" s="114"/>
      <c r="BH1128" s="5"/>
    </row>
    <row r="1129" customFormat="false" ht="15" hidden="false" customHeight="false" outlineLevel="0" collapsed="false">
      <c r="AY1129" s="114"/>
      <c r="AZ1129" s="91"/>
      <c r="BA1129" s="87"/>
      <c r="BB1129" s="5"/>
      <c r="BC1129" s="91"/>
      <c r="BG1129" s="114"/>
      <c r="BH1129" s="5"/>
    </row>
    <row r="1130" customFormat="false" ht="15" hidden="false" customHeight="false" outlineLevel="0" collapsed="false">
      <c r="AY1130" s="114"/>
      <c r="AZ1130" s="91"/>
      <c r="BA1130" s="87"/>
      <c r="BB1130" s="5"/>
      <c r="BC1130" s="91"/>
      <c r="BG1130" s="114"/>
      <c r="BH1130" s="5"/>
    </row>
    <row r="1131" customFormat="false" ht="15" hidden="false" customHeight="false" outlineLevel="0" collapsed="false">
      <c r="AY1131" s="114"/>
      <c r="AZ1131" s="91"/>
      <c r="BA1131" s="87"/>
      <c r="BB1131" s="5"/>
      <c r="BC1131" s="91"/>
      <c r="BG1131" s="114"/>
      <c r="BH1131" s="5"/>
    </row>
    <row r="1132" customFormat="false" ht="15" hidden="false" customHeight="false" outlineLevel="0" collapsed="false">
      <c r="AY1132" s="114"/>
      <c r="AZ1132" s="91"/>
      <c r="BA1132" s="87"/>
      <c r="BB1132" s="5"/>
      <c r="BC1132" s="91"/>
      <c r="BG1132" s="114"/>
      <c r="BH1132" s="5"/>
    </row>
    <row r="1133" customFormat="false" ht="15" hidden="false" customHeight="false" outlineLevel="0" collapsed="false">
      <c r="AY1133" s="114"/>
      <c r="AZ1133" s="91"/>
      <c r="BA1133" s="87"/>
      <c r="BB1133" s="5"/>
      <c r="BC1133" s="91"/>
      <c r="BG1133" s="114"/>
      <c r="BH1133" s="5"/>
    </row>
    <row r="1134" customFormat="false" ht="15" hidden="false" customHeight="false" outlineLevel="0" collapsed="false">
      <c r="AY1134" s="114"/>
      <c r="AZ1134" s="91"/>
      <c r="BA1134" s="87"/>
      <c r="BB1134" s="5"/>
      <c r="BC1134" s="91"/>
      <c r="BG1134" s="114"/>
      <c r="BH1134" s="5"/>
    </row>
    <row r="1135" customFormat="false" ht="15" hidden="false" customHeight="false" outlineLevel="0" collapsed="false">
      <c r="AY1135" s="114"/>
      <c r="AZ1135" s="91"/>
      <c r="BA1135" s="87"/>
      <c r="BB1135" s="5"/>
      <c r="BC1135" s="91"/>
      <c r="BG1135" s="114"/>
      <c r="BH1135" s="5"/>
    </row>
    <row r="1136" customFormat="false" ht="15" hidden="false" customHeight="false" outlineLevel="0" collapsed="false">
      <c r="AY1136" s="114"/>
      <c r="AZ1136" s="91"/>
      <c r="BA1136" s="87"/>
      <c r="BB1136" s="5"/>
      <c r="BC1136" s="91"/>
      <c r="BG1136" s="114"/>
      <c r="BH1136" s="5"/>
    </row>
    <row r="1137" customFormat="false" ht="15" hidden="false" customHeight="false" outlineLevel="0" collapsed="false">
      <c r="AY1137" s="114"/>
      <c r="AZ1137" s="91"/>
      <c r="BA1137" s="87"/>
      <c r="BB1137" s="5"/>
      <c r="BC1137" s="91"/>
      <c r="BG1137" s="114"/>
      <c r="BH1137" s="5"/>
    </row>
    <row r="1138" customFormat="false" ht="15" hidden="false" customHeight="false" outlineLevel="0" collapsed="false">
      <c r="AY1138" s="114"/>
      <c r="AZ1138" s="91"/>
      <c r="BA1138" s="87"/>
      <c r="BB1138" s="5"/>
      <c r="BC1138" s="91"/>
      <c r="BG1138" s="114"/>
      <c r="BH1138" s="5"/>
    </row>
    <row r="1139" customFormat="false" ht="15" hidden="false" customHeight="false" outlineLevel="0" collapsed="false">
      <c r="AY1139" s="114"/>
      <c r="AZ1139" s="91"/>
      <c r="BA1139" s="87"/>
      <c r="BB1139" s="5"/>
      <c r="BC1139" s="91"/>
      <c r="BG1139" s="114"/>
      <c r="BH1139" s="5"/>
    </row>
    <row r="1140" customFormat="false" ht="15" hidden="false" customHeight="false" outlineLevel="0" collapsed="false">
      <c r="AY1140" s="114"/>
      <c r="AZ1140" s="91"/>
      <c r="BA1140" s="87"/>
      <c r="BB1140" s="5"/>
      <c r="BC1140" s="91"/>
      <c r="BG1140" s="114"/>
      <c r="BH1140" s="5"/>
    </row>
    <row r="1141" customFormat="false" ht="15" hidden="false" customHeight="false" outlineLevel="0" collapsed="false">
      <c r="AY1141" s="114"/>
      <c r="AZ1141" s="91"/>
      <c r="BA1141" s="87"/>
      <c r="BB1141" s="5"/>
      <c r="BC1141" s="91"/>
      <c r="BG1141" s="114"/>
      <c r="BH1141" s="5"/>
    </row>
    <row r="1142" customFormat="false" ht="15" hidden="false" customHeight="false" outlineLevel="0" collapsed="false">
      <c r="AY1142" s="114"/>
      <c r="AZ1142" s="91"/>
      <c r="BA1142" s="87"/>
      <c r="BB1142" s="5"/>
      <c r="BC1142" s="91"/>
      <c r="BG1142" s="114"/>
      <c r="BH1142" s="5"/>
    </row>
    <row r="1143" customFormat="false" ht="15" hidden="false" customHeight="false" outlineLevel="0" collapsed="false">
      <c r="AY1143" s="114"/>
      <c r="AZ1143" s="91"/>
      <c r="BA1143" s="87"/>
      <c r="BB1143" s="5"/>
      <c r="BC1143" s="91"/>
      <c r="BG1143" s="114"/>
      <c r="BH1143" s="5"/>
    </row>
    <row r="1144" customFormat="false" ht="15" hidden="false" customHeight="false" outlineLevel="0" collapsed="false">
      <c r="AY1144" s="114"/>
      <c r="AZ1144" s="91"/>
      <c r="BA1144" s="87"/>
      <c r="BB1144" s="5"/>
      <c r="BC1144" s="91"/>
      <c r="BG1144" s="114"/>
      <c r="BH1144" s="5"/>
    </row>
    <row r="1145" customFormat="false" ht="15" hidden="false" customHeight="false" outlineLevel="0" collapsed="false">
      <c r="AY1145" s="114"/>
      <c r="AZ1145" s="91"/>
      <c r="BA1145" s="87"/>
      <c r="BB1145" s="5"/>
      <c r="BC1145" s="91"/>
      <c r="BG1145" s="114"/>
      <c r="BH1145" s="5"/>
    </row>
    <row r="1146" customFormat="false" ht="15" hidden="false" customHeight="false" outlineLevel="0" collapsed="false">
      <c r="AY1146" s="114"/>
      <c r="AZ1146" s="91"/>
      <c r="BA1146" s="87"/>
      <c r="BB1146" s="5"/>
      <c r="BC1146" s="91"/>
      <c r="BG1146" s="114"/>
      <c r="BH1146" s="5"/>
    </row>
    <row r="1147" customFormat="false" ht="15" hidden="false" customHeight="false" outlineLevel="0" collapsed="false">
      <c r="AY1147" s="114"/>
      <c r="AZ1147" s="91"/>
      <c r="BA1147" s="87"/>
      <c r="BB1147" s="5"/>
      <c r="BC1147" s="91"/>
      <c r="BG1147" s="114"/>
      <c r="BH1147" s="5"/>
    </row>
    <row r="1148" customFormat="false" ht="15" hidden="false" customHeight="false" outlineLevel="0" collapsed="false">
      <c r="AY1148" s="114"/>
      <c r="AZ1148" s="91"/>
      <c r="BA1148" s="87"/>
      <c r="BB1148" s="5"/>
      <c r="BC1148" s="91"/>
      <c r="BG1148" s="114"/>
      <c r="BH1148" s="5"/>
    </row>
    <row r="1149" customFormat="false" ht="15" hidden="false" customHeight="false" outlineLevel="0" collapsed="false">
      <c r="AY1149" s="114"/>
      <c r="AZ1149" s="91"/>
      <c r="BA1149" s="87"/>
      <c r="BB1149" s="5"/>
      <c r="BC1149" s="91"/>
      <c r="BG1149" s="114"/>
      <c r="BH1149" s="5"/>
    </row>
    <row r="1150" customFormat="false" ht="15" hidden="false" customHeight="false" outlineLevel="0" collapsed="false">
      <c r="AY1150" s="114"/>
      <c r="AZ1150" s="91"/>
      <c r="BA1150" s="87"/>
      <c r="BB1150" s="5"/>
      <c r="BC1150" s="91"/>
      <c r="BG1150" s="114"/>
      <c r="BH1150" s="5"/>
    </row>
    <row r="1151" customFormat="false" ht="15" hidden="false" customHeight="false" outlineLevel="0" collapsed="false">
      <c r="AY1151" s="114"/>
      <c r="AZ1151" s="91"/>
      <c r="BA1151" s="87"/>
      <c r="BB1151" s="5"/>
      <c r="BC1151" s="91"/>
      <c r="BG1151" s="114"/>
      <c r="BH1151" s="5"/>
    </row>
    <row r="1152" customFormat="false" ht="15" hidden="false" customHeight="false" outlineLevel="0" collapsed="false">
      <c r="AY1152" s="114"/>
      <c r="AZ1152" s="91"/>
      <c r="BA1152" s="87"/>
      <c r="BB1152" s="5"/>
      <c r="BC1152" s="91"/>
      <c r="BG1152" s="114"/>
      <c r="BH1152" s="5"/>
    </row>
    <row r="1153" customFormat="false" ht="15" hidden="false" customHeight="false" outlineLevel="0" collapsed="false">
      <c r="AY1153" s="114"/>
      <c r="AZ1153" s="91"/>
      <c r="BA1153" s="87"/>
      <c r="BB1153" s="5"/>
      <c r="BC1153" s="91"/>
      <c r="BG1153" s="114"/>
      <c r="BH1153" s="5"/>
    </row>
    <row r="1154" customFormat="false" ht="15" hidden="false" customHeight="false" outlineLevel="0" collapsed="false">
      <c r="AY1154" s="114"/>
      <c r="AZ1154" s="91"/>
      <c r="BA1154" s="87"/>
      <c r="BB1154" s="5"/>
      <c r="BC1154" s="91"/>
      <c r="BG1154" s="114"/>
      <c r="BH1154" s="5"/>
    </row>
    <row r="1155" customFormat="false" ht="15" hidden="false" customHeight="false" outlineLevel="0" collapsed="false">
      <c r="AY1155" s="114"/>
      <c r="AZ1155" s="91"/>
      <c r="BA1155" s="87"/>
      <c r="BB1155" s="5"/>
      <c r="BC1155" s="91"/>
      <c r="BG1155" s="114"/>
      <c r="BH1155" s="5"/>
    </row>
    <row r="1156" customFormat="false" ht="15" hidden="false" customHeight="false" outlineLevel="0" collapsed="false">
      <c r="AY1156" s="114"/>
      <c r="AZ1156" s="91"/>
      <c r="BA1156" s="87"/>
      <c r="BB1156" s="5"/>
      <c r="BC1156" s="91"/>
      <c r="BG1156" s="114"/>
      <c r="BH1156" s="5"/>
    </row>
    <row r="1157" customFormat="false" ht="15" hidden="false" customHeight="false" outlineLevel="0" collapsed="false">
      <c r="AY1157" s="114"/>
      <c r="AZ1157" s="91"/>
      <c r="BA1157" s="87"/>
      <c r="BB1157" s="5"/>
      <c r="BC1157" s="91"/>
      <c r="BG1157" s="114"/>
      <c r="BH1157" s="5"/>
    </row>
    <row r="1158" customFormat="false" ht="15" hidden="false" customHeight="false" outlineLevel="0" collapsed="false">
      <c r="AY1158" s="114"/>
      <c r="AZ1158" s="91"/>
      <c r="BA1158" s="87"/>
      <c r="BB1158" s="5"/>
      <c r="BC1158" s="91"/>
      <c r="BG1158" s="114"/>
      <c r="BH1158" s="5"/>
    </row>
    <row r="1159" customFormat="false" ht="15" hidden="false" customHeight="false" outlineLevel="0" collapsed="false">
      <c r="AY1159" s="114"/>
      <c r="AZ1159" s="91"/>
      <c r="BA1159" s="87"/>
      <c r="BB1159" s="5"/>
      <c r="BC1159" s="91"/>
      <c r="BG1159" s="114"/>
      <c r="BH1159" s="5"/>
    </row>
    <row r="1160" customFormat="false" ht="15" hidden="false" customHeight="false" outlineLevel="0" collapsed="false">
      <c r="AY1160" s="114"/>
      <c r="AZ1160" s="91"/>
      <c r="BA1160" s="87"/>
      <c r="BB1160" s="5"/>
      <c r="BC1160" s="91"/>
      <c r="BG1160" s="114"/>
      <c r="BH1160" s="5"/>
    </row>
    <row r="1161" customFormat="false" ht="15" hidden="false" customHeight="false" outlineLevel="0" collapsed="false">
      <c r="AY1161" s="114"/>
      <c r="AZ1161" s="91"/>
      <c r="BA1161" s="87"/>
      <c r="BB1161" s="5"/>
      <c r="BC1161" s="91"/>
      <c r="BG1161" s="114"/>
      <c r="BH1161" s="5"/>
    </row>
    <row r="1162" customFormat="false" ht="15" hidden="false" customHeight="false" outlineLevel="0" collapsed="false">
      <c r="AY1162" s="114"/>
      <c r="AZ1162" s="91"/>
      <c r="BA1162" s="87"/>
      <c r="BB1162" s="5"/>
      <c r="BC1162" s="91"/>
      <c r="BG1162" s="114"/>
      <c r="BH1162" s="5"/>
    </row>
    <row r="1163" customFormat="false" ht="15" hidden="false" customHeight="false" outlineLevel="0" collapsed="false">
      <c r="AY1163" s="114"/>
      <c r="AZ1163" s="91"/>
      <c r="BA1163" s="87"/>
      <c r="BB1163" s="5"/>
      <c r="BC1163" s="91"/>
      <c r="BG1163" s="114"/>
      <c r="BH1163" s="5"/>
    </row>
    <row r="1164" customFormat="false" ht="15" hidden="false" customHeight="false" outlineLevel="0" collapsed="false">
      <c r="AY1164" s="114"/>
      <c r="AZ1164" s="91"/>
      <c r="BA1164" s="87"/>
      <c r="BB1164" s="5"/>
      <c r="BC1164" s="91"/>
      <c r="BG1164" s="114"/>
      <c r="BH1164" s="5"/>
    </row>
    <row r="1165" customFormat="false" ht="15" hidden="false" customHeight="false" outlineLevel="0" collapsed="false">
      <c r="AY1165" s="114"/>
      <c r="AZ1165" s="91"/>
      <c r="BA1165" s="87"/>
      <c r="BB1165" s="5"/>
      <c r="BC1165" s="91"/>
      <c r="BG1165" s="114"/>
      <c r="BH1165" s="5"/>
    </row>
    <row r="1166" customFormat="false" ht="15" hidden="false" customHeight="false" outlineLevel="0" collapsed="false">
      <c r="AY1166" s="114"/>
      <c r="AZ1166" s="91"/>
      <c r="BA1166" s="87"/>
      <c r="BB1166" s="5"/>
      <c r="BC1166" s="91"/>
      <c r="BG1166" s="114"/>
      <c r="BH1166" s="5"/>
    </row>
    <row r="1167" customFormat="false" ht="15" hidden="false" customHeight="false" outlineLevel="0" collapsed="false">
      <c r="AY1167" s="114"/>
      <c r="AZ1167" s="91"/>
      <c r="BA1167" s="87"/>
      <c r="BB1167" s="5"/>
      <c r="BC1167" s="91"/>
      <c r="BG1167" s="114"/>
      <c r="BH1167" s="5"/>
    </row>
    <row r="1168" customFormat="false" ht="15" hidden="false" customHeight="false" outlineLevel="0" collapsed="false">
      <c r="AY1168" s="114"/>
      <c r="AZ1168" s="91"/>
      <c r="BA1168" s="87"/>
      <c r="BB1168" s="5"/>
      <c r="BC1168" s="91"/>
      <c r="BG1168" s="114"/>
      <c r="BH1168" s="5"/>
    </row>
    <row r="1169" customFormat="false" ht="15" hidden="false" customHeight="false" outlineLevel="0" collapsed="false">
      <c r="AY1169" s="114"/>
      <c r="AZ1169" s="91"/>
      <c r="BA1169" s="87"/>
      <c r="BB1169" s="5"/>
      <c r="BC1169" s="91"/>
      <c r="BG1169" s="114"/>
      <c r="BH1169" s="5"/>
    </row>
    <row r="1170" customFormat="false" ht="15" hidden="false" customHeight="false" outlineLevel="0" collapsed="false">
      <c r="AY1170" s="114"/>
      <c r="AZ1170" s="91"/>
      <c r="BA1170" s="87"/>
      <c r="BB1170" s="5"/>
      <c r="BC1170" s="91"/>
      <c r="BG1170" s="114"/>
      <c r="BH1170" s="5"/>
    </row>
    <row r="1171" customFormat="false" ht="15" hidden="false" customHeight="false" outlineLevel="0" collapsed="false">
      <c r="AY1171" s="114"/>
      <c r="AZ1171" s="91"/>
      <c r="BA1171" s="87"/>
      <c r="BB1171" s="5"/>
      <c r="BC1171" s="91"/>
      <c r="BG1171" s="114"/>
      <c r="BH1171" s="5"/>
    </row>
    <row r="1172" customFormat="false" ht="15" hidden="false" customHeight="false" outlineLevel="0" collapsed="false">
      <c r="AY1172" s="114"/>
      <c r="AZ1172" s="91"/>
      <c r="BA1172" s="87"/>
      <c r="BB1172" s="5"/>
      <c r="BC1172" s="91"/>
      <c r="BG1172" s="114"/>
      <c r="BH1172" s="5"/>
    </row>
    <row r="1173" customFormat="false" ht="15" hidden="false" customHeight="false" outlineLevel="0" collapsed="false">
      <c r="AY1173" s="114"/>
      <c r="AZ1173" s="91"/>
      <c r="BA1173" s="87"/>
      <c r="BB1173" s="5"/>
      <c r="BC1173" s="91"/>
      <c r="BG1173" s="114"/>
      <c r="BH1173" s="5"/>
    </row>
    <row r="1174" customFormat="false" ht="15" hidden="false" customHeight="false" outlineLevel="0" collapsed="false">
      <c r="AY1174" s="114"/>
      <c r="AZ1174" s="91"/>
      <c r="BA1174" s="87"/>
      <c r="BB1174" s="5"/>
      <c r="BC1174" s="91"/>
      <c r="BG1174" s="114"/>
      <c r="BH1174" s="5"/>
    </row>
    <row r="1175" customFormat="false" ht="15" hidden="false" customHeight="false" outlineLevel="0" collapsed="false">
      <c r="AY1175" s="114"/>
      <c r="AZ1175" s="91"/>
      <c r="BA1175" s="87"/>
      <c r="BB1175" s="5"/>
      <c r="BC1175" s="91"/>
      <c r="BG1175" s="114"/>
      <c r="BH1175" s="5"/>
    </row>
    <row r="1176" customFormat="false" ht="15" hidden="false" customHeight="false" outlineLevel="0" collapsed="false">
      <c r="AY1176" s="114"/>
      <c r="AZ1176" s="91"/>
      <c r="BA1176" s="87"/>
      <c r="BB1176" s="5"/>
      <c r="BC1176" s="91"/>
      <c r="BG1176" s="114"/>
      <c r="BH1176" s="5"/>
    </row>
    <row r="1177" customFormat="false" ht="15" hidden="false" customHeight="false" outlineLevel="0" collapsed="false">
      <c r="AY1177" s="114"/>
      <c r="AZ1177" s="91"/>
      <c r="BA1177" s="87"/>
      <c r="BB1177" s="5"/>
      <c r="BC1177" s="91"/>
      <c r="BG1177" s="114"/>
      <c r="BH1177" s="5"/>
    </row>
    <row r="1178" customFormat="false" ht="15" hidden="false" customHeight="false" outlineLevel="0" collapsed="false">
      <c r="AY1178" s="114"/>
      <c r="AZ1178" s="91"/>
      <c r="BA1178" s="87"/>
      <c r="BB1178" s="5"/>
      <c r="BC1178" s="91"/>
      <c r="BG1178" s="114"/>
      <c r="BH1178" s="5"/>
    </row>
    <row r="1179" customFormat="false" ht="15" hidden="false" customHeight="false" outlineLevel="0" collapsed="false">
      <c r="AY1179" s="114"/>
      <c r="AZ1179" s="91"/>
      <c r="BA1179" s="87"/>
      <c r="BB1179" s="5"/>
      <c r="BC1179" s="91"/>
      <c r="BG1179" s="114"/>
      <c r="BH1179" s="5"/>
    </row>
    <row r="1180" customFormat="false" ht="15" hidden="false" customHeight="false" outlineLevel="0" collapsed="false">
      <c r="AY1180" s="114"/>
      <c r="AZ1180" s="91"/>
      <c r="BA1180" s="87"/>
      <c r="BB1180" s="5"/>
      <c r="BC1180" s="91"/>
      <c r="BG1180" s="114"/>
      <c r="BH1180" s="5"/>
    </row>
    <row r="1181" customFormat="false" ht="15" hidden="false" customHeight="false" outlineLevel="0" collapsed="false">
      <c r="AY1181" s="114"/>
      <c r="AZ1181" s="91"/>
      <c r="BA1181" s="87"/>
      <c r="BB1181" s="5"/>
      <c r="BC1181" s="91"/>
      <c r="BG1181" s="114"/>
      <c r="BH1181" s="5"/>
    </row>
    <row r="1182" customFormat="false" ht="15" hidden="false" customHeight="false" outlineLevel="0" collapsed="false">
      <c r="AY1182" s="114"/>
      <c r="AZ1182" s="91"/>
      <c r="BA1182" s="87"/>
      <c r="BB1182" s="5"/>
      <c r="BC1182" s="91"/>
      <c r="BG1182" s="114"/>
      <c r="BH1182" s="5"/>
    </row>
    <row r="1183" customFormat="false" ht="15" hidden="false" customHeight="false" outlineLevel="0" collapsed="false">
      <c r="AY1183" s="114"/>
      <c r="AZ1183" s="91"/>
      <c r="BA1183" s="87"/>
      <c r="BB1183" s="5"/>
      <c r="BC1183" s="91"/>
      <c r="BG1183" s="114"/>
      <c r="BH1183" s="5"/>
    </row>
    <row r="1184" customFormat="false" ht="15" hidden="false" customHeight="false" outlineLevel="0" collapsed="false">
      <c r="AY1184" s="114"/>
      <c r="AZ1184" s="91"/>
      <c r="BA1184" s="87"/>
      <c r="BB1184" s="5"/>
      <c r="BC1184" s="91"/>
      <c r="BG1184" s="114"/>
      <c r="BH1184" s="5"/>
    </row>
    <row r="1185" customFormat="false" ht="15" hidden="false" customHeight="false" outlineLevel="0" collapsed="false">
      <c r="AY1185" s="114"/>
      <c r="AZ1185" s="91"/>
      <c r="BA1185" s="87"/>
      <c r="BB1185" s="5"/>
      <c r="BC1185" s="91"/>
      <c r="BG1185" s="114"/>
      <c r="BH1185" s="5"/>
    </row>
    <row r="1186" customFormat="false" ht="15" hidden="false" customHeight="false" outlineLevel="0" collapsed="false">
      <c r="AY1186" s="114"/>
      <c r="AZ1186" s="91"/>
      <c r="BA1186" s="87"/>
      <c r="BB1186" s="5"/>
      <c r="BC1186" s="91"/>
      <c r="BG1186" s="114"/>
      <c r="BH1186" s="5"/>
    </row>
    <row r="1187" customFormat="false" ht="15" hidden="false" customHeight="false" outlineLevel="0" collapsed="false">
      <c r="AY1187" s="114"/>
      <c r="AZ1187" s="91"/>
      <c r="BA1187" s="87"/>
      <c r="BB1187" s="5"/>
      <c r="BC1187" s="91"/>
      <c r="BG1187" s="114"/>
      <c r="BH1187" s="5"/>
    </row>
    <row r="1188" customFormat="false" ht="15" hidden="false" customHeight="false" outlineLevel="0" collapsed="false">
      <c r="AY1188" s="114"/>
      <c r="AZ1188" s="91"/>
      <c r="BA1188" s="87"/>
      <c r="BB1188" s="5"/>
      <c r="BC1188" s="91"/>
      <c r="BG1188" s="114"/>
      <c r="BH1188" s="5"/>
    </row>
    <row r="1189" customFormat="false" ht="15" hidden="false" customHeight="false" outlineLevel="0" collapsed="false">
      <c r="AY1189" s="114"/>
      <c r="AZ1189" s="91"/>
      <c r="BA1189" s="87"/>
      <c r="BB1189" s="5"/>
      <c r="BC1189" s="91"/>
      <c r="BG1189" s="114"/>
      <c r="BH1189" s="5"/>
    </row>
    <row r="1190" customFormat="false" ht="15" hidden="false" customHeight="false" outlineLevel="0" collapsed="false">
      <c r="AY1190" s="114"/>
      <c r="AZ1190" s="91"/>
      <c r="BA1190" s="87"/>
      <c r="BB1190" s="5"/>
      <c r="BC1190" s="91"/>
      <c r="BG1190" s="114"/>
      <c r="BH1190" s="5"/>
    </row>
    <row r="1191" customFormat="false" ht="15" hidden="false" customHeight="false" outlineLevel="0" collapsed="false">
      <c r="AY1191" s="114"/>
      <c r="AZ1191" s="91"/>
      <c r="BA1191" s="87"/>
      <c r="BB1191" s="5"/>
      <c r="BC1191" s="91"/>
      <c r="BG1191" s="114"/>
      <c r="BH1191" s="5"/>
    </row>
    <row r="1192" customFormat="false" ht="15" hidden="false" customHeight="false" outlineLevel="0" collapsed="false">
      <c r="AY1192" s="114"/>
      <c r="AZ1192" s="91"/>
      <c r="BA1192" s="87"/>
      <c r="BB1192" s="5"/>
      <c r="BC1192" s="91"/>
      <c r="BG1192" s="114"/>
      <c r="BH1192" s="5"/>
    </row>
    <row r="1193" customFormat="false" ht="15" hidden="false" customHeight="false" outlineLevel="0" collapsed="false">
      <c r="AY1193" s="114"/>
      <c r="AZ1193" s="91"/>
      <c r="BA1193" s="87"/>
      <c r="BB1193" s="5"/>
      <c r="BC1193" s="91"/>
      <c r="BG1193" s="114"/>
      <c r="BH1193" s="5"/>
    </row>
    <row r="1194" customFormat="false" ht="15" hidden="false" customHeight="false" outlineLevel="0" collapsed="false">
      <c r="AY1194" s="114"/>
      <c r="AZ1194" s="91"/>
      <c r="BA1194" s="87"/>
      <c r="BB1194" s="5"/>
      <c r="BC1194" s="91"/>
      <c r="BG1194" s="114"/>
      <c r="BH1194" s="5"/>
    </row>
    <row r="1195" customFormat="false" ht="15" hidden="false" customHeight="false" outlineLevel="0" collapsed="false">
      <c r="AY1195" s="114"/>
      <c r="AZ1195" s="91"/>
      <c r="BA1195" s="87"/>
      <c r="BB1195" s="5"/>
      <c r="BC1195" s="91"/>
      <c r="BG1195" s="114"/>
      <c r="BH1195" s="5"/>
    </row>
    <row r="1196" customFormat="false" ht="15" hidden="false" customHeight="false" outlineLevel="0" collapsed="false">
      <c r="AY1196" s="114"/>
      <c r="AZ1196" s="91"/>
      <c r="BA1196" s="87"/>
      <c r="BB1196" s="5"/>
      <c r="BC1196" s="91"/>
      <c r="BG1196" s="114"/>
      <c r="BH1196" s="5"/>
    </row>
    <row r="1197" customFormat="false" ht="15" hidden="false" customHeight="false" outlineLevel="0" collapsed="false">
      <c r="AY1197" s="114"/>
      <c r="AZ1197" s="91"/>
      <c r="BA1197" s="87"/>
      <c r="BB1197" s="5"/>
      <c r="BC1197" s="91"/>
      <c r="BG1197" s="114"/>
      <c r="BH1197" s="5"/>
    </row>
    <row r="1198" customFormat="false" ht="15" hidden="false" customHeight="false" outlineLevel="0" collapsed="false">
      <c r="AY1198" s="114"/>
      <c r="AZ1198" s="91"/>
      <c r="BA1198" s="87"/>
      <c r="BB1198" s="5"/>
      <c r="BC1198" s="91"/>
      <c r="BG1198" s="114"/>
      <c r="BH1198" s="5"/>
    </row>
    <row r="1199" customFormat="false" ht="15" hidden="false" customHeight="false" outlineLevel="0" collapsed="false">
      <c r="AY1199" s="114"/>
      <c r="AZ1199" s="91"/>
      <c r="BA1199" s="87"/>
      <c r="BB1199" s="5"/>
      <c r="BC1199" s="91"/>
      <c r="BG1199" s="114"/>
      <c r="BH1199" s="5"/>
    </row>
    <row r="1200" customFormat="false" ht="15" hidden="false" customHeight="false" outlineLevel="0" collapsed="false">
      <c r="AY1200" s="114"/>
      <c r="AZ1200" s="91"/>
      <c r="BA1200" s="87"/>
      <c r="BB1200" s="5"/>
      <c r="BC1200" s="91"/>
      <c r="BG1200" s="114"/>
      <c r="BH1200" s="5"/>
    </row>
    <row r="1201" customFormat="false" ht="15" hidden="false" customHeight="false" outlineLevel="0" collapsed="false">
      <c r="AY1201" s="114"/>
      <c r="AZ1201" s="91"/>
      <c r="BA1201" s="87"/>
      <c r="BB1201" s="5"/>
      <c r="BC1201" s="91"/>
      <c r="BG1201" s="114"/>
      <c r="BH1201" s="5"/>
    </row>
    <row r="1202" customFormat="false" ht="15" hidden="false" customHeight="false" outlineLevel="0" collapsed="false">
      <c r="AY1202" s="114"/>
      <c r="AZ1202" s="91"/>
      <c r="BA1202" s="87"/>
      <c r="BB1202" s="5"/>
      <c r="BC1202" s="91"/>
      <c r="BG1202" s="114"/>
      <c r="BH1202" s="5"/>
    </row>
    <row r="1203" customFormat="false" ht="15" hidden="false" customHeight="false" outlineLevel="0" collapsed="false">
      <c r="AY1203" s="114"/>
      <c r="AZ1203" s="91"/>
      <c r="BA1203" s="87"/>
      <c r="BB1203" s="5"/>
      <c r="BC1203" s="91"/>
      <c r="BG1203" s="114"/>
      <c r="BH1203" s="5"/>
    </row>
    <row r="1204" customFormat="false" ht="15" hidden="false" customHeight="false" outlineLevel="0" collapsed="false">
      <c r="AY1204" s="114"/>
      <c r="AZ1204" s="91"/>
      <c r="BA1204" s="87"/>
      <c r="BB1204" s="5"/>
      <c r="BC1204" s="91"/>
      <c r="BG1204" s="114"/>
      <c r="BH1204" s="5"/>
    </row>
    <row r="1205" customFormat="false" ht="15" hidden="false" customHeight="false" outlineLevel="0" collapsed="false">
      <c r="AY1205" s="114"/>
      <c r="AZ1205" s="91"/>
      <c r="BA1205" s="87"/>
      <c r="BB1205" s="5"/>
      <c r="BC1205" s="91"/>
      <c r="BG1205" s="114"/>
      <c r="BH1205" s="5"/>
    </row>
    <row r="1206" customFormat="false" ht="15" hidden="false" customHeight="false" outlineLevel="0" collapsed="false">
      <c r="AY1206" s="114"/>
      <c r="AZ1206" s="91"/>
      <c r="BA1206" s="87"/>
      <c r="BB1206" s="5"/>
      <c r="BC1206" s="91"/>
      <c r="BG1206" s="114"/>
      <c r="BH1206" s="5"/>
    </row>
    <row r="1207" customFormat="false" ht="15" hidden="false" customHeight="false" outlineLevel="0" collapsed="false">
      <c r="AY1207" s="114"/>
      <c r="AZ1207" s="91"/>
      <c r="BA1207" s="87"/>
      <c r="BB1207" s="5"/>
      <c r="BC1207" s="91"/>
      <c r="BG1207" s="114"/>
      <c r="BH1207" s="5"/>
    </row>
    <row r="1208" customFormat="false" ht="15" hidden="false" customHeight="false" outlineLevel="0" collapsed="false">
      <c r="AY1208" s="114"/>
      <c r="AZ1208" s="91"/>
      <c r="BA1208" s="87"/>
      <c r="BB1208" s="5"/>
      <c r="BC1208" s="91"/>
      <c r="BG1208" s="114"/>
      <c r="BH1208" s="5"/>
    </row>
    <row r="1209" customFormat="false" ht="15" hidden="false" customHeight="false" outlineLevel="0" collapsed="false">
      <c r="AY1209" s="114"/>
      <c r="AZ1209" s="91"/>
      <c r="BA1209" s="87"/>
      <c r="BB1209" s="5"/>
      <c r="BC1209" s="91"/>
      <c r="BG1209" s="114"/>
      <c r="BH1209" s="5"/>
    </row>
    <row r="1210" customFormat="false" ht="15" hidden="false" customHeight="false" outlineLevel="0" collapsed="false">
      <c r="AY1210" s="114"/>
      <c r="AZ1210" s="91"/>
      <c r="BA1210" s="87"/>
      <c r="BB1210" s="5"/>
      <c r="BC1210" s="91"/>
      <c r="BG1210" s="114"/>
      <c r="BH1210" s="5"/>
    </row>
    <row r="1211" customFormat="false" ht="15" hidden="false" customHeight="false" outlineLevel="0" collapsed="false">
      <c r="AY1211" s="114"/>
      <c r="AZ1211" s="91"/>
      <c r="BA1211" s="87"/>
      <c r="BB1211" s="5"/>
      <c r="BC1211" s="91"/>
      <c r="BG1211" s="114"/>
      <c r="BH1211" s="5"/>
    </row>
    <row r="1212" customFormat="false" ht="15" hidden="false" customHeight="false" outlineLevel="0" collapsed="false">
      <c r="AY1212" s="114"/>
      <c r="AZ1212" s="91"/>
      <c r="BA1212" s="87"/>
      <c r="BB1212" s="5"/>
      <c r="BC1212" s="91"/>
      <c r="BG1212" s="114"/>
      <c r="BH1212" s="5"/>
    </row>
    <row r="1213" customFormat="false" ht="15" hidden="false" customHeight="false" outlineLevel="0" collapsed="false">
      <c r="AY1213" s="114"/>
      <c r="AZ1213" s="91"/>
      <c r="BA1213" s="87"/>
      <c r="BB1213" s="5"/>
      <c r="BC1213" s="91"/>
      <c r="BG1213" s="114"/>
      <c r="BH1213" s="5"/>
    </row>
    <row r="1214" customFormat="false" ht="15" hidden="false" customHeight="false" outlineLevel="0" collapsed="false">
      <c r="AY1214" s="114"/>
      <c r="AZ1214" s="91"/>
      <c r="BA1214" s="87"/>
      <c r="BB1214" s="5"/>
      <c r="BC1214" s="91"/>
      <c r="BG1214" s="114"/>
      <c r="BH1214" s="5"/>
    </row>
    <row r="1215" customFormat="false" ht="15" hidden="false" customHeight="false" outlineLevel="0" collapsed="false">
      <c r="AY1215" s="114"/>
      <c r="AZ1215" s="91"/>
      <c r="BA1215" s="87"/>
      <c r="BB1215" s="5"/>
      <c r="BC1215" s="91"/>
      <c r="BG1215" s="114"/>
      <c r="BH1215" s="5"/>
    </row>
    <row r="1216" customFormat="false" ht="15" hidden="false" customHeight="false" outlineLevel="0" collapsed="false">
      <c r="AY1216" s="114"/>
      <c r="AZ1216" s="91"/>
      <c r="BA1216" s="87"/>
      <c r="BB1216" s="5"/>
      <c r="BC1216" s="91"/>
      <c r="BG1216" s="114"/>
      <c r="BH1216" s="5"/>
    </row>
    <row r="1217" customFormat="false" ht="15" hidden="false" customHeight="false" outlineLevel="0" collapsed="false">
      <c r="AY1217" s="114"/>
      <c r="AZ1217" s="91"/>
      <c r="BA1217" s="87"/>
      <c r="BB1217" s="5"/>
      <c r="BC1217" s="91"/>
      <c r="BG1217" s="114"/>
      <c r="BH1217" s="5"/>
    </row>
    <row r="1218" customFormat="false" ht="15" hidden="false" customHeight="false" outlineLevel="0" collapsed="false">
      <c r="AY1218" s="114"/>
      <c r="AZ1218" s="91"/>
      <c r="BA1218" s="87"/>
      <c r="BB1218" s="5"/>
      <c r="BC1218" s="91"/>
      <c r="BG1218" s="114"/>
      <c r="BH1218" s="5"/>
    </row>
    <row r="1219" customFormat="false" ht="15" hidden="false" customHeight="false" outlineLevel="0" collapsed="false">
      <c r="AY1219" s="114"/>
      <c r="AZ1219" s="91"/>
      <c r="BA1219" s="87"/>
      <c r="BB1219" s="5"/>
      <c r="BC1219" s="91"/>
      <c r="BG1219" s="114"/>
      <c r="BH1219" s="5"/>
    </row>
    <row r="1220" customFormat="false" ht="15" hidden="false" customHeight="false" outlineLevel="0" collapsed="false">
      <c r="AY1220" s="114"/>
      <c r="AZ1220" s="91"/>
      <c r="BA1220" s="87"/>
      <c r="BB1220" s="5"/>
      <c r="BC1220" s="91"/>
      <c r="BG1220" s="114"/>
      <c r="BH1220" s="5"/>
    </row>
    <row r="1221" customFormat="false" ht="15" hidden="false" customHeight="false" outlineLevel="0" collapsed="false">
      <c r="AY1221" s="114"/>
      <c r="AZ1221" s="91"/>
      <c r="BA1221" s="87"/>
      <c r="BB1221" s="5"/>
      <c r="BC1221" s="91"/>
      <c r="BG1221" s="114"/>
      <c r="BH1221" s="5"/>
    </row>
    <row r="1222" customFormat="false" ht="15" hidden="false" customHeight="false" outlineLevel="0" collapsed="false">
      <c r="AY1222" s="114"/>
      <c r="AZ1222" s="91"/>
      <c r="BA1222" s="87"/>
      <c r="BB1222" s="5"/>
      <c r="BC1222" s="91"/>
      <c r="BG1222" s="114"/>
      <c r="BH1222" s="5"/>
    </row>
    <row r="1223" customFormat="false" ht="15" hidden="false" customHeight="false" outlineLevel="0" collapsed="false">
      <c r="AY1223" s="114"/>
      <c r="AZ1223" s="91"/>
      <c r="BA1223" s="87"/>
      <c r="BB1223" s="5"/>
      <c r="BC1223" s="91"/>
      <c r="BG1223" s="114"/>
      <c r="BH1223" s="5"/>
    </row>
    <row r="1224" customFormat="false" ht="15" hidden="false" customHeight="false" outlineLevel="0" collapsed="false">
      <c r="AY1224" s="114"/>
      <c r="AZ1224" s="91"/>
      <c r="BA1224" s="87"/>
      <c r="BB1224" s="5"/>
      <c r="BC1224" s="91"/>
      <c r="BG1224" s="114"/>
      <c r="BH1224" s="5"/>
    </row>
    <row r="1225" customFormat="false" ht="15" hidden="false" customHeight="false" outlineLevel="0" collapsed="false">
      <c r="AY1225" s="114"/>
      <c r="AZ1225" s="91"/>
      <c r="BA1225" s="87"/>
      <c r="BB1225" s="5"/>
      <c r="BC1225" s="91"/>
      <c r="BG1225" s="114"/>
      <c r="BH1225" s="5"/>
    </row>
    <row r="1226" customFormat="false" ht="15" hidden="false" customHeight="false" outlineLevel="0" collapsed="false">
      <c r="AY1226" s="114"/>
      <c r="AZ1226" s="91"/>
      <c r="BA1226" s="87"/>
      <c r="BB1226" s="5"/>
      <c r="BC1226" s="91"/>
      <c r="BG1226" s="114"/>
      <c r="BH1226" s="5"/>
    </row>
    <row r="1227" customFormat="false" ht="15" hidden="false" customHeight="false" outlineLevel="0" collapsed="false">
      <c r="AY1227" s="114"/>
      <c r="AZ1227" s="91"/>
      <c r="BA1227" s="87"/>
      <c r="BB1227" s="5"/>
      <c r="BC1227" s="91"/>
      <c r="BG1227" s="114"/>
      <c r="BH1227" s="5"/>
    </row>
    <row r="1228" customFormat="false" ht="15" hidden="false" customHeight="false" outlineLevel="0" collapsed="false">
      <c r="AY1228" s="114"/>
      <c r="AZ1228" s="91"/>
      <c r="BA1228" s="87"/>
      <c r="BB1228" s="5"/>
      <c r="BC1228" s="91"/>
      <c r="BG1228" s="114"/>
      <c r="BH1228" s="5"/>
    </row>
    <row r="1229" customFormat="false" ht="15" hidden="false" customHeight="false" outlineLevel="0" collapsed="false">
      <c r="AY1229" s="114"/>
      <c r="AZ1229" s="91"/>
      <c r="BA1229" s="87"/>
      <c r="BB1229" s="5"/>
      <c r="BC1229" s="91"/>
      <c r="BG1229" s="114"/>
      <c r="BH1229" s="5"/>
    </row>
    <row r="1230" customFormat="false" ht="15" hidden="false" customHeight="false" outlineLevel="0" collapsed="false">
      <c r="AY1230" s="114"/>
      <c r="AZ1230" s="91"/>
      <c r="BA1230" s="87"/>
      <c r="BB1230" s="5"/>
      <c r="BC1230" s="91"/>
      <c r="BG1230" s="114"/>
      <c r="BH1230" s="5"/>
    </row>
    <row r="1231" customFormat="false" ht="15" hidden="false" customHeight="false" outlineLevel="0" collapsed="false">
      <c r="AY1231" s="114"/>
      <c r="AZ1231" s="91"/>
      <c r="BA1231" s="87"/>
      <c r="BB1231" s="5"/>
      <c r="BC1231" s="91"/>
      <c r="BG1231" s="114"/>
      <c r="BH1231" s="5"/>
    </row>
    <row r="1232" customFormat="false" ht="15" hidden="false" customHeight="false" outlineLevel="0" collapsed="false">
      <c r="AY1232" s="114"/>
      <c r="AZ1232" s="91"/>
      <c r="BA1232" s="87"/>
      <c r="BB1232" s="5"/>
      <c r="BC1232" s="91"/>
      <c r="BG1232" s="114"/>
      <c r="BH1232" s="5"/>
    </row>
    <row r="1233" customFormat="false" ht="15" hidden="false" customHeight="false" outlineLevel="0" collapsed="false">
      <c r="AY1233" s="114"/>
      <c r="AZ1233" s="91"/>
      <c r="BA1233" s="87"/>
      <c r="BB1233" s="5"/>
      <c r="BC1233" s="91"/>
      <c r="BG1233" s="114"/>
      <c r="BH1233" s="5"/>
    </row>
    <row r="1234" customFormat="false" ht="15" hidden="false" customHeight="false" outlineLevel="0" collapsed="false">
      <c r="AY1234" s="114"/>
      <c r="AZ1234" s="91"/>
      <c r="BA1234" s="87"/>
      <c r="BB1234" s="5"/>
      <c r="BC1234" s="91"/>
      <c r="BG1234" s="114"/>
      <c r="BH1234" s="5"/>
    </row>
    <row r="1235" customFormat="false" ht="15" hidden="false" customHeight="false" outlineLevel="0" collapsed="false">
      <c r="AY1235" s="114"/>
      <c r="AZ1235" s="91"/>
      <c r="BA1235" s="87"/>
      <c r="BB1235" s="5"/>
      <c r="BC1235" s="91"/>
      <c r="BG1235" s="114"/>
      <c r="BH1235" s="5"/>
    </row>
    <row r="1236" customFormat="false" ht="15" hidden="false" customHeight="false" outlineLevel="0" collapsed="false">
      <c r="AY1236" s="114"/>
      <c r="AZ1236" s="91"/>
      <c r="BA1236" s="87"/>
      <c r="BB1236" s="5"/>
      <c r="BC1236" s="91"/>
      <c r="BG1236" s="114"/>
      <c r="BH1236" s="5"/>
    </row>
    <row r="1237" customFormat="false" ht="15" hidden="false" customHeight="false" outlineLevel="0" collapsed="false">
      <c r="AY1237" s="114"/>
      <c r="AZ1237" s="91"/>
      <c r="BA1237" s="87"/>
      <c r="BB1237" s="5"/>
      <c r="BC1237" s="91"/>
      <c r="BG1237" s="114"/>
      <c r="BH1237" s="5"/>
    </row>
    <row r="1238" customFormat="false" ht="15" hidden="false" customHeight="false" outlineLevel="0" collapsed="false">
      <c r="AY1238" s="114"/>
      <c r="AZ1238" s="91"/>
      <c r="BA1238" s="87"/>
      <c r="BB1238" s="5"/>
      <c r="BC1238" s="91"/>
      <c r="BG1238" s="114"/>
      <c r="BH1238" s="5"/>
    </row>
    <row r="1239" customFormat="false" ht="15" hidden="false" customHeight="false" outlineLevel="0" collapsed="false">
      <c r="AY1239" s="114"/>
      <c r="AZ1239" s="91"/>
      <c r="BA1239" s="87"/>
      <c r="BB1239" s="5"/>
      <c r="BC1239" s="91"/>
      <c r="BG1239" s="114"/>
      <c r="BH1239" s="5"/>
    </row>
    <row r="1240" customFormat="false" ht="15" hidden="false" customHeight="false" outlineLevel="0" collapsed="false">
      <c r="AY1240" s="114"/>
      <c r="AZ1240" s="91"/>
      <c r="BA1240" s="87"/>
      <c r="BB1240" s="5"/>
      <c r="BC1240" s="91"/>
      <c r="BG1240" s="114"/>
      <c r="BH1240" s="5"/>
    </row>
    <row r="1241" customFormat="false" ht="15" hidden="false" customHeight="false" outlineLevel="0" collapsed="false">
      <c r="AY1241" s="114"/>
      <c r="AZ1241" s="91"/>
      <c r="BA1241" s="87"/>
      <c r="BB1241" s="5"/>
      <c r="BC1241" s="91"/>
      <c r="BG1241" s="114"/>
      <c r="BH1241" s="5"/>
    </row>
    <row r="1242" customFormat="false" ht="15" hidden="false" customHeight="false" outlineLevel="0" collapsed="false">
      <c r="AY1242" s="114"/>
      <c r="AZ1242" s="91"/>
      <c r="BA1242" s="87"/>
      <c r="BB1242" s="5"/>
      <c r="BC1242" s="91"/>
      <c r="BG1242" s="114"/>
      <c r="BH1242" s="5"/>
    </row>
    <row r="1243" customFormat="false" ht="15" hidden="false" customHeight="false" outlineLevel="0" collapsed="false">
      <c r="AY1243" s="114"/>
      <c r="AZ1243" s="91"/>
      <c r="BA1243" s="87"/>
      <c r="BB1243" s="5"/>
      <c r="BC1243" s="91"/>
      <c r="BG1243" s="114"/>
      <c r="BH1243" s="5"/>
    </row>
    <row r="1244" customFormat="false" ht="15" hidden="false" customHeight="false" outlineLevel="0" collapsed="false">
      <c r="AY1244" s="114"/>
      <c r="AZ1244" s="91"/>
      <c r="BA1244" s="87"/>
      <c r="BB1244" s="5"/>
      <c r="BC1244" s="91"/>
      <c r="BG1244" s="114"/>
      <c r="BH1244" s="5"/>
    </row>
    <row r="1245" customFormat="false" ht="15" hidden="false" customHeight="false" outlineLevel="0" collapsed="false">
      <c r="AY1245" s="114"/>
      <c r="AZ1245" s="91"/>
      <c r="BA1245" s="87"/>
      <c r="BB1245" s="5"/>
      <c r="BC1245" s="91"/>
      <c r="BG1245" s="114"/>
      <c r="BH1245" s="5"/>
    </row>
    <row r="1246" customFormat="false" ht="15" hidden="false" customHeight="false" outlineLevel="0" collapsed="false">
      <c r="AY1246" s="114"/>
      <c r="AZ1246" s="91"/>
      <c r="BA1246" s="87"/>
      <c r="BB1246" s="5"/>
      <c r="BC1246" s="91"/>
      <c r="BG1246" s="114"/>
      <c r="BH1246" s="5"/>
    </row>
    <row r="1247" customFormat="false" ht="15" hidden="false" customHeight="false" outlineLevel="0" collapsed="false">
      <c r="AY1247" s="114"/>
      <c r="AZ1247" s="91"/>
      <c r="BA1247" s="87"/>
      <c r="BB1247" s="5"/>
      <c r="BC1247" s="91"/>
      <c r="BG1247" s="114"/>
      <c r="BH1247" s="5"/>
    </row>
    <row r="1248" customFormat="false" ht="15" hidden="false" customHeight="false" outlineLevel="0" collapsed="false">
      <c r="AY1248" s="114"/>
      <c r="AZ1248" s="91"/>
      <c r="BA1248" s="87"/>
      <c r="BB1248" s="5"/>
      <c r="BC1248" s="91"/>
      <c r="BG1248" s="114"/>
      <c r="BH1248" s="5"/>
    </row>
    <row r="1249" customFormat="false" ht="15" hidden="false" customHeight="false" outlineLevel="0" collapsed="false">
      <c r="AY1249" s="114"/>
      <c r="AZ1249" s="91"/>
      <c r="BA1249" s="87"/>
      <c r="BB1249" s="5"/>
      <c r="BC1249" s="91"/>
      <c r="BG1249" s="114"/>
      <c r="BH1249" s="5"/>
    </row>
    <row r="1250" customFormat="false" ht="15" hidden="false" customHeight="false" outlineLevel="0" collapsed="false">
      <c r="AY1250" s="114"/>
      <c r="AZ1250" s="91"/>
      <c r="BA1250" s="87"/>
      <c r="BB1250" s="5"/>
      <c r="BC1250" s="91"/>
      <c r="BG1250" s="114"/>
      <c r="BH1250" s="5"/>
    </row>
    <row r="1251" customFormat="false" ht="15" hidden="false" customHeight="false" outlineLevel="0" collapsed="false">
      <c r="AY1251" s="114"/>
      <c r="AZ1251" s="91"/>
      <c r="BA1251" s="87"/>
      <c r="BB1251" s="5"/>
      <c r="BC1251" s="91"/>
      <c r="BG1251" s="114"/>
      <c r="BH1251" s="5"/>
    </row>
    <row r="1252" customFormat="false" ht="15" hidden="false" customHeight="false" outlineLevel="0" collapsed="false">
      <c r="AY1252" s="114"/>
      <c r="AZ1252" s="91"/>
      <c r="BA1252" s="87"/>
      <c r="BB1252" s="5"/>
      <c r="BC1252" s="91"/>
      <c r="BG1252" s="114"/>
      <c r="BH1252" s="5"/>
    </row>
    <row r="1253" customFormat="false" ht="15" hidden="false" customHeight="false" outlineLevel="0" collapsed="false">
      <c r="AY1253" s="114"/>
      <c r="AZ1253" s="91"/>
      <c r="BA1253" s="87"/>
      <c r="BB1253" s="5"/>
      <c r="BC1253" s="91"/>
      <c r="BG1253" s="114"/>
      <c r="BH1253" s="5"/>
    </row>
    <row r="1254" customFormat="false" ht="15" hidden="false" customHeight="false" outlineLevel="0" collapsed="false">
      <c r="AY1254" s="114"/>
      <c r="AZ1254" s="91"/>
      <c r="BA1254" s="87"/>
      <c r="BB1254" s="5"/>
      <c r="BC1254" s="91"/>
      <c r="BG1254" s="114"/>
      <c r="BH1254" s="5"/>
    </row>
    <row r="1255" customFormat="false" ht="15" hidden="false" customHeight="false" outlineLevel="0" collapsed="false">
      <c r="AY1255" s="114"/>
      <c r="AZ1255" s="91"/>
      <c r="BA1255" s="87"/>
      <c r="BB1255" s="5"/>
      <c r="BC1255" s="91"/>
      <c r="BG1255" s="114"/>
      <c r="BH1255" s="5"/>
    </row>
    <row r="1256" customFormat="false" ht="15" hidden="false" customHeight="false" outlineLevel="0" collapsed="false">
      <c r="AY1256" s="114"/>
      <c r="AZ1256" s="91"/>
      <c r="BA1256" s="87"/>
      <c r="BB1256" s="5"/>
      <c r="BC1256" s="91"/>
      <c r="BG1256" s="114"/>
      <c r="BH1256" s="5"/>
    </row>
    <row r="1257" customFormat="false" ht="15" hidden="false" customHeight="false" outlineLevel="0" collapsed="false">
      <c r="AY1257" s="114"/>
      <c r="AZ1257" s="91"/>
      <c r="BA1257" s="87"/>
      <c r="BB1257" s="5"/>
      <c r="BC1257" s="91"/>
      <c r="BG1257" s="114"/>
      <c r="BH1257" s="5"/>
    </row>
    <row r="1258" customFormat="false" ht="15" hidden="false" customHeight="false" outlineLevel="0" collapsed="false">
      <c r="AY1258" s="114"/>
      <c r="AZ1258" s="91"/>
      <c r="BA1258" s="87"/>
      <c r="BB1258" s="5"/>
      <c r="BC1258" s="91"/>
      <c r="BG1258" s="114"/>
      <c r="BH1258" s="5"/>
    </row>
    <row r="1259" customFormat="false" ht="15" hidden="false" customHeight="false" outlineLevel="0" collapsed="false">
      <c r="AY1259" s="114"/>
      <c r="AZ1259" s="91"/>
      <c r="BA1259" s="87"/>
      <c r="BB1259" s="5"/>
      <c r="BC1259" s="91"/>
      <c r="BG1259" s="114"/>
      <c r="BH1259" s="5"/>
    </row>
    <row r="1260" customFormat="false" ht="15" hidden="false" customHeight="false" outlineLevel="0" collapsed="false">
      <c r="AY1260" s="114"/>
      <c r="AZ1260" s="91"/>
      <c r="BA1260" s="87"/>
      <c r="BB1260" s="5"/>
      <c r="BC1260" s="91"/>
      <c r="BG1260" s="114"/>
      <c r="BH1260" s="5"/>
    </row>
    <row r="1261" customFormat="false" ht="15" hidden="false" customHeight="false" outlineLevel="0" collapsed="false">
      <c r="AY1261" s="114"/>
      <c r="AZ1261" s="91"/>
      <c r="BA1261" s="87"/>
      <c r="BB1261" s="5"/>
      <c r="BC1261" s="91"/>
      <c r="BG1261" s="114"/>
      <c r="BH1261" s="5"/>
    </row>
    <row r="1262" customFormat="false" ht="15" hidden="false" customHeight="false" outlineLevel="0" collapsed="false">
      <c r="AY1262" s="114"/>
      <c r="AZ1262" s="91"/>
      <c r="BA1262" s="87"/>
      <c r="BB1262" s="5"/>
      <c r="BC1262" s="91"/>
      <c r="BG1262" s="114"/>
      <c r="BH1262" s="5"/>
    </row>
    <row r="1263" customFormat="false" ht="15" hidden="false" customHeight="false" outlineLevel="0" collapsed="false">
      <c r="AY1263" s="114"/>
      <c r="AZ1263" s="91"/>
      <c r="BA1263" s="87"/>
      <c r="BB1263" s="5"/>
      <c r="BC1263" s="91"/>
      <c r="BG1263" s="114"/>
      <c r="BH1263" s="5"/>
    </row>
    <row r="1264" customFormat="false" ht="15" hidden="false" customHeight="false" outlineLevel="0" collapsed="false">
      <c r="AY1264" s="114"/>
      <c r="AZ1264" s="91"/>
      <c r="BA1264" s="87"/>
      <c r="BB1264" s="5"/>
      <c r="BC1264" s="91"/>
      <c r="BG1264" s="114"/>
      <c r="BH1264" s="5"/>
    </row>
    <row r="1265" customFormat="false" ht="15" hidden="false" customHeight="false" outlineLevel="0" collapsed="false">
      <c r="AY1265" s="114"/>
      <c r="AZ1265" s="91"/>
      <c r="BA1265" s="87"/>
      <c r="BB1265" s="5"/>
      <c r="BC1265" s="91"/>
      <c r="BG1265" s="114"/>
      <c r="BH1265" s="5"/>
    </row>
    <row r="1266" customFormat="false" ht="15" hidden="false" customHeight="false" outlineLevel="0" collapsed="false">
      <c r="AY1266" s="114"/>
      <c r="AZ1266" s="91"/>
      <c r="BA1266" s="87"/>
      <c r="BB1266" s="5"/>
      <c r="BC1266" s="91"/>
      <c r="BG1266" s="114"/>
      <c r="BH1266" s="5"/>
    </row>
    <row r="1267" customFormat="false" ht="15" hidden="false" customHeight="false" outlineLevel="0" collapsed="false">
      <c r="AY1267" s="114"/>
      <c r="AZ1267" s="91"/>
      <c r="BA1267" s="87"/>
      <c r="BB1267" s="5"/>
      <c r="BC1267" s="91"/>
      <c r="BG1267" s="114"/>
      <c r="BH1267" s="5"/>
    </row>
    <row r="1268" customFormat="false" ht="15" hidden="false" customHeight="false" outlineLevel="0" collapsed="false">
      <c r="AY1268" s="114"/>
      <c r="AZ1268" s="91"/>
      <c r="BA1268" s="87"/>
      <c r="BB1268" s="5"/>
      <c r="BC1268" s="91"/>
      <c r="BG1268" s="114"/>
      <c r="BH1268" s="5"/>
    </row>
    <row r="1269" customFormat="false" ht="15" hidden="false" customHeight="false" outlineLevel="0" collapsed="false">
      <c r="AY1269" s="114"/>
      <c r="AZ1269" s="91"/>
      <c r="BA1269" s="87"/>
      <c r="BB1269" s="5"/>
      <c r="BC1269" s="91"/>
      <c r="BG1269" s="114"/>
      <c r="BH1269" s="5"/>
    </row>
    <row r="1270" customFormat="false" ht="15" hidden="false" customHeight="false" outlineLevel="0" collapsed="false">
      <c r="AY1270" s="114"/>
      <c r="AZ1270" s="91"/>
      <c r="BA1270" s="87"/>
      <c r="BB1270" s="5"/>
      <c r="BC1270" s="91"/>
      <c r="BG1270" s="114"/>
      <c r="BH1270" s="5"/>
    </row>
    <row r="1271" customFormat="false" ht="15" hidden="false" customHeight="false" outlineLevel="0" collapsed="false">
      <c r="AY1271" s="114"/>
      <c r="AZ1271" s="91"/>
      <c r="BA1271" s="87"/>
      <c r="BB1271" s="5"/>
      <c r="BC1271" s="91"/>
      <c r="BG1271" s="114"/>
      <c r="BH1271" s="5"/>
    </row>
    <row r="1272" customFormat="false" ht="15" hidden="false" customHeight="false" outlineLevel="0" collapsed="false">
      <c r="AY1272" s="114"/>
      <c r="AZ1272" s="91"/>
      <c r="BA1272" s="87"/>
      <c r="BB1272" s="5"/>
      <c r="BC1272" s="91"/>
      <c r="BG1272" s="114"/>
      <c r="BH1272" s="5"/>
    </row>
    <row r="1273" customFormat="false" ht="15" hidden="false" customHeight="false" outlineLevel="0" collapsed="false">
      <c r="AY1273" s="114"/>
      <c r="AZ1273" s="91"/>
      <c r="BA1273" s="87"/>
      <c r="BB1273" s="5"/>
      <c r="BC1273" s="91"/>
      <c r="BG1273" s="114"/>
      <c r="BH1273" s="5"/>
    </row>
    <row r="1274" customFormat="false" ht="15" hidden="false" customHeight="false" outlineLevel="0" collapsed="false">
      <c r="AY1274" s="114"/>
      <c r="AZ1274" s="91"/>
      <c r="BA1274" s="87"/>
      <c r="BB1274" s="5"/>
      <c r="BC1274" s="91"/>
      <c r="BG1274" s="114"/>
      <c r="BH1274" s="5"/>
    </row>
    <row r="1275" customFormat="false" ht="15" hidden="false" customHeight="false" outlineLevel="0" collapsed="false">
      <c r="AY1275" s="114"/>
      <c r="AZ1275" s="91"/>
      <c r="BA1275" s="87"/>
      <c r="BB1275" s="5"/>
      <c r="BC1275" s="91"/>
      <c r="BG1275" s="114"/>
      <c r="BH1275" s="5"/>
    </row>
    <row r="1276" customFormat="false" ht="15" hidden="false" customHeight="false" outlineLevel="0" collapsed="false">
      <c r="AY1276" s="114"/>
      <c r="AZ1276" s="91"/>
      <c r="BA1276" s="87"/>
      <c r="BB1276" s="5"/>
      <c r="BC1276" s="91"/>
      <c r="BG1276" s="114"/>
      <c r="BH1276" s="5"/>
    </row>
    <row r="1277" customFormat="false" ht="15" hidden="false" customHeight="false" outlineLevel="0" collapsed="false">
      <c r="AY1277" s="114"/>
      <c r="AZ1277" s="91"/>
      <c r="BA1277" s="87"/>
      <c r="BB1277" s="5"/>
      <c r="BC1277" s="91"/>
      <c r="BG1277" s="114"/>
      <c r="BH1277" s="5"/>
    </row>
    <row r="1278" customFormat="false" ht="15" hidden="false" customHeight="false" outlineLevel="0" collapsed="false">
      <c r="AY1278" s="114"/>
      <c r="AZ1278" s="91"/>
      <c r="BA1278" s="87"/>
      <c r="BB1278" s="5"/>
      <c r="BC1278" s="91"/>
      <c r="BG1278" s="114"/>
      <c r="BH1278" s="5"/>
    </row>
    <row r="1279" customFormat="false" ht="15" hidden="false" customHeight="false" outlineLevel="0" collapsed="false">
      <c r="AY1279" s="114"/>
      <c r="AZ1279" s="91"/>
      <c r="BA1279" s="87"/>
      <c r="BB1279" s="5"/>
      <c r="BC1279" s="91"/>
      <c r="BG1279" s="114"/>
      <c r="BH1279" s="5"/>
    </row>
    <row r="1280" customFormat="false" ht="15" hidden="false" customHeight="false" outlineLevel="0" collapsed="false">
      <c r="AY1280" s="114"/>
      <c r="AZ1280" s="91"/>
      <c r="BA1280" s="87"/>
      <c r="BB1280" s="5"/>
      <c r="BC1280" s="91"/>
      <c r="BG1280" s="114"/>
      <c r="BH1280" s="5"/>
    </row>
    <row r="1281" customFormat="false" ht="15" hidden="false" customHeight="false" outlineLevel="0" collapsed="false">
      <c r="AY1281" s="114"/>
      <c r="AZ1281" s="91"/>
      <c r="BA1281" s="87"/>
      <c r="BB1281" s="5"/>
      <c r="BC1281" s="91"/>
      <c r="BG1281" s="114"/>
      <c r="BH1281" s="5"/>
    </row>
    <row r="1282" customFormat="false" ht="15" hidden="false" customHeight="false" outlineLevel="0" collapsed="false">
      <c r="AY1282" s="114"/>
      <c r="AZ1282" s="91"/>
      <c r="BA1282" s="87"/>
      <c r="BB1282" s="5"/>
      <c r="BC1282" s="91"/>
      <c r="BG1282" s="114"/>
      <c r="BH1282" s="5"/>
    </row>
    <row r="1283" customFormat="false" ht="15" hidden="false" customHeight="false" outlineLevel="0" collapsed="false">
      <c r="AY1283" s="114"/>
      <c r="AZ1283" s="91"/>
      <c r="BA1283" s="87"/>
      <c r="BB1283" s="5"/>
      <c r="BC1283" s="91"/>
      <c r="BG1283" s="114"/>
      <c r="BH1283" s="5"/>
    </row>
    <row r="1284" customFormat="false" ht="15" hidden="false" customHeight="false" outlineLevel="0" collapsed="false">
      <c r="AY1284" s="114"/>
      <c r="AZ1284" s="91"/>
      <c r="BA1284" s="87"/>
      <c r="BB1284" s="5"/>
      <c r="BC1284" s="91"/>
      <c r="BG1284" s="114"/>
      <c r="BH1284" s="5"/>
    </row>
    <row r="1285" customFormat="false" ht="15" hidden="false" customHeight="false" outlineLevel="0" collapsed="false">
      <c r="AY1285" s="114"/>
      <c r="AZ1285" s="91"/>
      <c r="BA1285" s="87"/>
      <c r="BB1285" s="5"/>
      <c r="BC1285" s="91"/>
      <c r="BG1285" s="114"/>
      <c r="BH1285" s="5"/>
    </row>
    <row r="1286" customFormat="false" ht="15" hidden="false" customHeight="false" outlineLevel="0" collapsed="false">
      <c r="AY1286" s="114"/>
      <c r="AZ1286" s="91"/>
      <c r="BA1286" s="87"/>
      <c r="BB1286" s="5"/>
      <c r="BC1286" s="91"/>
      <c r="BG1286" s="114"/>
      <c r="BH1286" s="5"/>
    </row>
    <row r="1287" customFormat="false" ht="15" hidden="false" customHeight="false" outlineLevel="0" collapsed="false">
      <c r="AY1287" s="114"/>
      <c r="AZ1287" s="91"/>
      <c r="BA1287" s="87"/>
      <c r="BB1287" s="5"/>
      <c r="BC1287" s="91"/>
      <c r="BG1287" s="114"/>
      <c r="BH1287" s="5"/>
    </row>
    <row r="1288" customFormat="false" ht="15" hidden="false" customHeight="false" outlineLevel="0" collapsed="false">
      <c r="AY1288" s="114"/>
      <c r="AZ1288" s="91"/>
      <c r="BA1288" s="87"/>
      <c r="BB1288" s="5"/>
      <c r="BC1288" s="91"/>
      <c r="BG1288" s="114"/>
      <c r="BH1288" s="5"/>
    </row>
    <row r="1289" customFormat="false" ht="15" hidden="false" customHeight="false" outlineLevel="0" collapsed="false">
      <c r="AY1289" s="114"/>
      <c r="AZ1289" s="91"/>
      <c r="BA1289" s="87"/>
      <c r="BB1289" s="5"/>
      <c r="BC1289" s="91"/>
      <c r="BG1289" s="114"/>
      <c r="BH1289" s="5"/>
    </row>
    <row r="1290" customFormat="false" ht="15" hidden="false" customHeight="false" outlineLevel="0" collapsed="false">
      <c r="AY1290" s="114"/>
      <c r="AZ1290" s="91"/>
      <c r="BA1290" s="87"/>
      <c r="BB1290" s="5"/>
      <c r="BC1290" s="91"/>
      <c r="BG1290" s="114"/>
      <c r="BH1290" s="5"/>
    </row>
    <row r="1291" customFormat="false" ht="15" hidden="false" customHeight="false" outlineLevel="0" collapsed="false">
      <c r="AY1291" s="114"/>
      <c r="AZ1291" s="91"/>
      <c r="BA1291" s="87"/>
      <c r="BB1291" s="5"/>
      <c r="BC1291" s="91"/>
      <c r="BG1291" s="114"/>
      <c r="BH1291" s="5"/>
    </row>
    <row r="1292" customFormat="false" ht="15" hidden="false" customHeight="false" outlineLevel="0" collapsed="false">
      <c r="AY1292" s="114"/>
      <c r="AZ1292" s="91"/>
      <c r="BA1292" s="87"/>
      <c r="BB1292" s="5"/>
      <c r="BC1292" s="91"/>
      <c r="BG1292" s="114"/>
      <c r="BH1292" s="5"/>
    </row>
    <row r="1293" customFormat="false" ht="15" hidden="false" customHeight="false" outlineLevel="0" collapsed="false">
      <c r="AY1293" s="114"/>
      <c r="AZ1293" s="91"/>
      <c r="BA1293" s="87"/>
      <c r="BB1293" s="5"/>
      <c r="BC1293" s="91"/>
      <c r="BG1293" s="114"/>
      <c r="BH1293" s="5"/>
    </row>
    <row r="1294" customFormat="false" ht="15" hidden="false" customHeight="false" outlineLevel="0" collapsed="false">
      <c r="AY1294" s="114"/>
      <c r="AZ1294" s="91"/>
      <c r="BA1294" s="87"/>
      <c r="BB1294" s="5"/>
      <c r="BC1294" s="91"/>
      <c r="BG1294" s="114"/>
      <c r="BH1294" s="5"/>
    </row>
    <row r="1295" customFormat="false" ht="15" hidden="false" customHeight="false" outlineLevel="0" collapsed="false">
      <c r="AY1295" s="114"/>
      <c r="AZ1295" s="91"/>
      <c r="BA1295" s="87"/>
      <c r="BB1295" s="5"/>
      <c r="BC1295" s="91"/>
      <c r="BG1295" s="114"/>
      <c r="BH1295" s="5"/>
    </row>
    <row r="1296" customFormat="false" ht="15" hidden="false" customHeight="false" outlineLevel="0" collapsed="false">
      <c r="AY1296" s="114"/>
      <c r="AZ1296" s="91"/>
      <c r="BA1296" s="87"/>
      <c r="BB1296" s="5"/>
      <c r="BC1296" s="91"/>
      <c r="BG1296" s="114"/>
      <c r="BH1296" s="5"/>
    </row>
    <row r="1297" customFormat="false" ht="15" hidden="false" customHeight="false" outlineLevel="0" collapsed="false">
      <c r="AY1297" s="114"/>
      <c r="AZ1297" s="91"/>
      <c r="BA1297" s="87"/>
      <c r="BB1297" s="5"/>
      <c r="BC1297" s="91"/>
      <c r="BG1297" s="114"/>
      <c r="BH1297" s="5"/>
    </row>
    <row r="1298" customFormat="false" ht="15" hidden="false" customHeight="false" outlineLevel="0" collapsed="false">
      <c r="AY1298" s="114"/>
      <c r="AZ1298" s="91"/>
      <c r="BA1298" s="87"/>
      <c r="BB1298" s="5"/>
      <c r="BC1298" s="91"/>
      <c r="BG1298" s="114"/>
      <c r="BH1298" s="5"/>
    </row>
    <row r="1299" customFormat="false" ht="15" hidden="false" customHeight="false" outlineLevel="0" collapsed="false">
      <c r="AY1299" s="114"/>
      <c r="AZ1299" s="91"/>
      <c r="BA1299" s="87"/>
      <c r="BB1299" s="5"/>
      <c r="BC1299" s="91"/>
      <c r="BG1299" s="114"/>
      <c r="BH1299" s="5"/>
    </row>
    <row r="1300" customFormat="false" ht="15" hidden="false" customHeight="false" outlineLevel="0" collapsed="false">
      <c r="AY1300" s="114"/>
      <c r="AZ1300" s="91"/>
      <c r="BA1300" s="87"/>
      <c r="BB1300" s="5"/>
      <c r="BC1300" s="91"/>
      <c r="BG1300" s="114"/>
      <c r="BH1300" s="5"/>
    </row>
    <row r="1301" customFormat="false" ht="15" hidden="false" customHeight="false" outlineLevel="0" collapsed="false">
      <c r="AY1301" s="114"/>
      <c r="AZ1301" s="91"/>
      <c r="BA1301" s="87"/>
      <c r="BB1301" s="5"/>
      <c r="BC1301" s="91"/>
      <c r="BG1301" s="114"/>
      <c r="BH1301" s="5"/>
    </row>
    <row r="1302" customFormat="false" ht="15" hidden="false" customHeight="false" outlineLevel="0" collapsed="false">
      <c r="AY1302" s="114"/>
      <c r="AZ1302" s="91"/>
      <c r="BA1302" s="87"/>
      <c r="BB1302" s="5"/>
      <c r="BC1302" s="91"/>
      <c r="BG1302" s="114"/>
      <c r="BH1302" s="5"/>
    </row>
    <row r="1303" customFormat="false" ht="15" hidden="false" customHeight="false" outlineLevel="0" collapsed="false">
      <c r="AY1303" s="114"/>
      <c r="AZ1303" s="91"/>
      <c r="BA1303" s="87"/>
      <c r="BB1303" s="5"/>
      <c r="BC1303" s="91"/>
      <c r="BG1303" s="114"/>
      <c r="BH1303" s="5"/>
    </row>
    <row r="1304" customFormat="false" ht="15" hidden="false" customHeight="false" outlineLevel="0" collapsed="false">
      <c r="AY1304" s="114"/>
      <c r="AZ1304" s="91"/>
      <c r="BA1304" s="87"/>
      <c r="BB1304" s="5"/>
      <c r="BC1304" s="91"/>
      <c r="BG1304" s="114"/>
      <c r="BH1304" s="5"/>
    </row>
    <row r="1305" customFormat="false" ht="15" hidden="false" customHeight="false" outlineLevel="0" collapsed="false">
      <c r="AY1305" s="114"/>
      <c r="AZ1305" s="91"/>
      <c r="BA1305" s="87"/>
      <c r="BB1305" s="5"/>
      <c r="BC1305" s="91"/>
      <c r="BG1305" s="114"/>
      <c r="BH1305" s="5"/>
    </row>
    <row r="1306" customFormat="false" ht="15" hidden="false" customHeight="false" outlineLevel="0" collapsed="false">
      <c r="AY1306" s="114"/>
      <c r="AZ1306" s="91"/>
      <c r="BA1306" s="87"/>
      <c r="BB1306" s="5"/>
      <c r="BC1306" s="91"/>
      <c r="BG1306" s="114"/>
      <c r="BH1306" s="5"/>
    </row>
    <row r="1307" customFormat="false" ht="15" hidden="false" customHeight="false" outlineLevel="0" collapsed="false">
      <c r="AY1307" s="114"/>
      <c r="AZ1307" s="91"/>
      <c r="BA1307" s="87"/>
      <c r="BB1307" s="5"/>
      <c r="BC1307" s="91"/>
      <c r="BG1307" s="114"/>
      <c r="BH1307" s="5"/>
    </row>
    <row r="1308" customFormat="false" ht="15" hidden="false" customHeight="false" outlineLevel="0" collapsed="false">
      <c r="AY1308" s="114"/>
      <c r="AZ1308" s="91"/>
      <c r="BA1308" s="87"/>
      <c r="BB1308" s="5"/>
      <c r="BC1308" s="91"/>
      <c r="BG1308" s="114"/>
      <c r="BH1308" s="5"/>
    </row>
    <row r="1309" customFormat="false" ht="15" hidden="false" customHeight="false" outlineLevel="0" collapsed="false">
      <c r="AY1309" s="114"/>
      <c r="AZ1309" s="91"/>
      <c r="BA1309" s="87"/>
      <c r="BB1309" s="5"/>
      <c r="BC1309" s="91"/>
      <c r="BG1309" s="114"/>
      <c r="BH1309" s="5"/>
    </row>
    <row r="1310" customFormat="false" ht="15" hidden="false" customHeight="false" outlineLevel="0" collapsed="false">
      <c r="AY1310" s="114"/>
      <c r="AZ1310" s="91"/>
      <c r="BA1310" s="87"/>
      <c r="BB1310" s="5"/>
      <c r="BC1310" s="91"/>
      <c r="BG1310" s="114"/>
      <c r="BH1310" s="5"/>
    </row>
    <row r="1311" customFormat="false" ht="15" hidden="false" customHeight="false" outlineLevel="0" collapsed="false">
      <c r="AY1311" s="114"/>
      <c r="AZ1311" s="91"/>
      <c r="BA1311" s="87"/>
      <c r="BB1311" s="5"/>
      <c r="BC1311" s="91"/>
      <c r="BG1311" s="114"/>
      <c r="BH1311" s="5"/>
    </row>
    <row r="1312" customFormat="false" ht="15" hidden="false" customHeight="false" outlineLevel="0" collapsed="false">
      <c r="AY1312" s="114"/>
      <c r="AZ1312" s="91"/>
      <c r="BA1312" s="87"/>
      <c r="BB1312" s="5"/>
      <c r="BC1312" s="91"/>
      <c r="BG1312" s="114"/>
      <c r="BH1312" s="5"/>
    </row>
    <row r="1313" customFormat="false" ht="15" hidden="false" customHeight="false" outlineLevel="0" collapsed="false">
      <c r="AY1313" s="114"/>
      <c r="AZ1313" s="91"/>
      <c r="BA1313" s="87"/>
      <c r="BB1313" s="5"/>
      <c r="BC1313" s="91"/>
      <c r="BG1313" s="114"/>
      <c r="BH1313" s="5"/>
    </row>
    <row r="1314" customFormat="false" ht="15" hidden="false" customHeight="false" outlineLevel="0" collapsed="false">
      <c r="AY1314" s="114"/>
      <c r="AZ1314" s="91"/>
      <c r="BA1314" s="87"/>
      <c r="BB1314" s="5"/>
      <c r="BC1314" s="91"/>
      <c r="BG1314" s="114"/>
      <c r="BH1314" s="5"/>
    </row>
    <row r="1315" customFormat="false" ht="15" hidden="false" customHeight="false" outlineLevel="0" collapsed="false">
      <c r="AY1315" s="114"/>
      <c r="AZ1315" s="91"/>
      <c r="BA1315" s="87"/>
      <c r="BB1315" s="5"/>
      <c r="BC1315" s="91"/>
      <c r="BG1315" s="114"/>
      <c r="BH1315" s="5"/>
    </row>
    <row r="1316" customFormat="false" ht="15" hidden="false" customHeight="false" outlineLevel="0" collapsed="false">
      <c r="AY1316" s="114"/>
      <c r="AZ1316" s="91"/>
      <c r="BA1316" s="87"/>
      <c r="BB1316" s="5"/>
      <c r="BC1316" s="91"/>
      <c r="BG1316" s="114"/>
      <c r="BH1316" s="5"/>
    </row>
    <row r="1317" customFormat="false" ht="15" hidden="false" customHeight="false" outlineLevel="0" collapsed="false">
      <c r="AY1317" s="114"/>
      <c r="AZ1317" s="91"/>
      <c r="BA1317" s="87"/>
      <c r="BB1317" s="5"/>
      <c r="BC1317" s="91"/>
      <c r="BG1317" s="114"/>
      <c r="BH1317" s="5"/>
    </row>
    <row r="1318" customFormat="false" ht="15" hidden="false" customHeight="false" outlineLevel="0" collapsed="false">
      <c r="AY1318" s="114"/>
      <c r="AZ1318" s="91"/>
      <c r="BA1318" s="87"/>
      <c r="BB1318" s="5"/>
      <c r="BC1318" s="91"/>
      <c r="BG1318" s="114"/>
      <c r="BH1318" s="5"/>
    </row>
    <row r="1319" customFormat="false" ht="15" hidden="false" customHeight="false" outlineLevel="0" collapsed="false">
      <c r="AY1319" s="114"/>
      <c r="AZ1319" s="91"/>
      <c r="BA1319" s="87"/>
      <c r="BB1319" s="5"/>
      <c r="BC1319" s="91"/>
      <c r="BG1319" s="114"/>
      <c r="BH1319" s="5"/>
    </row>
    <row r="1320" customFormat="false" ht="15" hidden="false" customHeight="false" outlineLevel="0" collapsed="false">
      <c r="AY1320" s="114"/>
      <c r="AZ1320" s="91"/>
      <c r="BA1320" s="87"/>
      <c r="BB1320" s="5"/>
      <c r="BC1320" s="91"/>
      <c r="BG1320" s="114"/>
      <c r="BH1320" s="5"/>
    </row>
    <row r="1321" customFormat="false" ht="15" hidden="false" customHeight="false" outlineLevel="0" collapsed="false">
      <c r="AY1321" s="114"/>
      <c r="AZ1321" s="91"/>
      <c r="BA1321" s="87"/>
      <c r="BB1321" s="5"/>
      <c r="BC1321" s="91"/>
      <c r="BG1321" s="114"/>
      <c r="BH1321" s="5"/>
    </row>
    <row r="1322" customFormat="false" ht="15" hidden="false" customHeight="false" outlineLevel="0" collapsed="false">
      <c r="AY1322" s="114"/>
      <c r="AZ1322" s="91"/>
      <c r="BA1322" s="87"/>
      <c r="BB1322" s="5"/>
      <c r="BC1322" s="91"/>
      <c r="BG1322" s="114"/>
      <c r="BH1322" s="5"/>
    </row>
    <row r="1323" customFormat="false" ht="15" hidden="false" customHeight="false" outlineLevel="0" collapsed="false">
      <c r="AY1323" s="114"/>
      <c r="AZ1323" s="91"/>
      <c r="BA1323" s="87"/>
      <c r="BB1323" s="5"/>
      <c r="BC1323" s="91"/>
      <c r="BG1323" s="114"/>
      <c r="BH1323" s="5"/>
    </row>
    <row r="1324" customFormat="false" ht="15" hidden="false" customHeight="false" outlineLevel="0" collapsed="false">
      <c r="AY1324" s="114"/>
      <c r="AZ1324" s="91"/>
      <c r="BA1324" s="87"/>
      <c r="BB1324" s="5"/>
      <c r="BC1324" s="91"/>
      <c r="BG1324" s="114"/>
      <c r="BH1324" s="5"/>
    </row>
    <row r="1325" customFormat="false" ht="15" hidden="false" customHeight="false" outlineLevel="0" collapsed="false">
      <c r="AY1325" s="114"/>
      <c r="AZ1325" s="91"/>
      <c r="BA1325" s="87"/>
      <c r="BB1325" s="5"/>
      <c r="BC1325" s="91"/>
      <c r="BG1325" s="114"/>
      <c r="BH1325" s="5"/>
    </row>
    <row r="1326" customFormat="false" ht="15" hidden="false" customHeight="false" outlineLevel="0" collapsed="false">
      <c r="AY1326" s="114"/>
      <c r="AZ1326" s="91"/>
      <c r="BA1326" s="87"/>
      <c r="BB1326" s="5"/>
      <c r="BC1326" s="91"/>
      <c r="BG1326" s="114"/>
      <c r="BH1326" s="5"/>
    </row>
    <row r="1327" customFormat="false" ht="15" hidden="false" customHeight="false" outlineLevel="0" collapsed="false">
      <c r="AY1327" s="114"/>
      <c r="AZ1327" s="91"/>
      <c r="BA1327" s="87"/>
      <c r="BB1327" s="5"/>
      <c r="BC1327" s="91"/>
      <c r="BG1327" s="114"/>
      <c r="BH1327" s="5"/>
    </row>
    <row r="1328" customFormat="false" ht="15" hidden="false" customHeight="false" outlineLevel="0" collapsed="false">
      <c r="AY1328" s="114"/>
      <c r="AZ1328" s="91"/>
      <c r="BA1328" s="87"/>
      <c r="BB1328" s="5"/>
      <c r="BC1328" s="91"/>
      <c r="BG1328" s="114"/>
      <c r="BH1328" s="5"/>
    </row>
    <row r="1329" customFormat="false" ht="15" hidden="false" customHeight="false" outlineLevel="0" collapsed="false">
      <c r="AY1329" s="114"/>
      <c r="AZ1329" s="91"/>
      <c r="BA1329" s="87"/>
      <c r="BB1329" s="5"/>
      <c r="BC1329" s="91"/>
      <c r="BG1329" s="114"/>
      <c r="BH1329" s="5"/>
    </row>
    <row r="1330" customFormat="false" ht="15" hidden="false" customHeight="false" outlineLevel="0" collapsed="false">
      <c r="AY1330" s="114"/>
      <c r="AZ1330" s="91"/>
      <c r="BA1330" s="87"/>
      <c r="BB1330" s="5"/>
      <c r="BC1330" s="91"/>
      <c r="BG1330" s="114"/>
      <c r="BH1330" s="5"/>
    </row>
    <row r="1331" customFormat="false" ht="15" hidden="false" customHeight="false" outlineLevel="0" collapsed="false">
      <c r="AY1331" s="114"/>
      <c r="AZ1331" s="91"/>
      <c r="BA1331" s="87"/>
      <c r="BB1331" s="5"/>
      <c r="BC1331" s="91"/>
      <c r="BG1331" s="114"/>
      <c r="BH1331" s="5"/>
    </row>
    <row r="1332" customFormat="false" ht="15" hidden="false" customHeight="false" outlineLevel="0" collapsed="false">
      <c r="AY1332" s="114"/>
      <c r="AZ1332" s="91"/>
      <c r="BA1332" s="87"/>
      <c r="BB1332" s="5"/>
      <c r="BC1332" s="91"/>
      <c r="BG1332" s="114"/>
      <c r="BH1332" s="5"/>
    </row>
    <row r="1333" customFormat="false" ht="15" hidden="false" customHeight="false" outlineLevel="0" collapsed="false">
      <c r="AY1333" s="114"/>
      <c r="AZ1333" s="91"/>
      <c r="BA1333" s="87"/>
      <c r="BB1333" s="5"/>
      <c r="BC1333" s="91"/>
      <c r="BG1333" s="114"/>
      <c r="BH1333" s="5"/>
    </row>
    <row r="1334" customFormat="false" ht="15" hidden="false" customHeight="false" outlineLevel="0" collapsed="false">
      <c r="AY1334" s="114"/>
      <c r="AZ1334" s="91"/>
      <c r="BA1334" s="87"/>
      <c r="BB1334" s="5"/>
      <c r="BC1334" s="91"/>
      <c r="BG1334" s="114"/>
      <c r="BH1334" s="5"/>
    </row>
    <row r="1335" customFormat="false" ht="15" hidden="false" customHeight="false" outlineLevel="0" collapsed="false">
      <c r="AY1335" s="114"/>
      <c r="AZ1335" s="91"/>
      <c r="BA1335" s="87"/>
      <c r="BB1335" s="5"/>
      <c r="BC1335" s="91"/>
      <c r="BG1335" s="114"/>
      <c r="BH1335" s="5"/>
    </row>
    <row r="1336" customFormat="false" ht="15" hidden="false" customHeight="false" outlineLevel="0" collapsed="false">
      <c r="AY1336" s="114"/>
      <c r="AZ1336" s="91"/>
      <c r="BA1336" s="87"/>
      <c r="BB1336" s="5"/>
      <c r="BC1336" s="91"/>
      <c r="BG1336" s="114"/>
      <c r="BH1336" s="5"/>
    </row>
    <row r="1337" customFormat="false" ht="15" hidden="false" customHeight="false" outlineLevel="0" collapsed="false">
      <c r="AY1337" s="114"/>
      <c r="AZ1337" s="91"/>
      <c r="BA1337" s="87"/>
      <c r="BB1337" s="5"/>
      <c r="BC1337" s="91"/>
      <c r="BG1337" s="114"/>
      <c r="BH1337" s="5"/>
    </row>
    <row r="1338" customFormat="false" ht="15" hidden="false" customHeight="false" outlineLevel="0" collapsed="false">
      <c r="AY1338" s="114"/>
      <c r="AZ1338" s="91"/>
      <c r="BA1338" s="87"/>
      <c r="BB1338" s="5"/>
      <c r="BC1338" s="91"/>
      <c r="BG1338" s="114"/>
      <c r="BH1338" s="5"/>
    </row>
    <row r="1339" customFormat="false" ht="15" hidden="false" customHeight="false" outlineLevel="0" collapsed="false">
      <c r="AY1339" s="114"/>
      <c r="AZ1339" s="91"/>
      <c r="BA1339" s="87"/>
      <c r="BB1339" s="5"/>
      <c r="BC1339" s="91"/>
      <c r="BG1339" s="114"/>
      <c r="BH1339" s="5"/>
    </row>
    <row r="1340" customFormat="false" ht="15" hidden="false" customHeight="false" outlineLevel="0" collapsed="false">
      <c r="AY1340" s="114"/>
      <c r="AZ1340" s="91"/>
      <c r="BA1340" s="87"/>
      <c r="BB1340" s="5"/>
      <c r="BC1340" s="91"/>
      <c r="BG1340" s="114"/>
      <c r="BH1340" s="5"/>
    </row>
    <row r="1341" customFormat="false" ht="15" hidden="false" customHeight="false" outlineLevel="0" collapsed="false">
      <c r="AY1341" s="114"/>
      <c r="AZ1341" s="91"/>
      <c r="BA1341" s="87"/>
      <c r="BB1341" s="5"/>
      <c r="BC1341" s="91"/>
      <c r="BG1341" s="114"/>
      <c r="BH1341" s="5"/>
    </row>
    <row r="1342" customFormat="false" ht="15" hidden="false" customHeight="false" outlineLevel="0" collapsed="false">
      <c r="AY1342" s="114"/>
      <c r="AZ1342" s="91"/>
      <c r="BA1342" s="87"/>
      <c r="BB1342" s="5"/>
      <c r="BC1342" s="91"/>
      <c r="BG1342" s="114"/>
      <c r="BH1342" s="5"/>
    </row>
    <row r="1343" customFormat="false" ht="15" hidden="false" customHeight="false" outlineLevel="0" collapsed="false">
      <c r="AY1343" s="114"/>
      <c r="AZ1343" s="91"/>
      <c r="BA1343" s="87"/>
      <c r="BB1343" s="5"/>
      <c r="BC1343" s="91"/>
      <c r="BG1343" s="114"/>
      <c r="BH1343" s="5"/>
    </row>
    <row r="1344" customFormat="false" ht="15" hidden="false" customHeight="false" outlineLevel="0" collapsed="false">
      <c r="AY1344" s="114"/>
      <c r="AZ1344" s="91"/>
      <c r="BA1344" s="87"/>
      <c r="BB1344" s="5"/>
      <c r="BC1344" s="91"/>
      <c r="BG1344" s="114"/>
      <c r="BH1344" s="5"/>
    </row>
    <row r="1345" customFormat="false" ht="15" hidden="false" customHeight="false" outlineLevel="0" collapsed="false">
      <c r="AY1345" s="114"/>
      <c r="AZ1345" s="91"/>
      <c r="BA1345" s="87"/>
      <c r="BB1345" s="5"/>
      <c r="BC1345" s="91"/>
      <c r="BG1345" s="114"/>
      <c r="BH1345" s="5"/>
    </row>
    <row r="1346" customFormat="false" ht="15" hidden="false" customHeight="false" outlineLevel="0" collapsed="false">
      <c r="AY1346" s="114"/>
      <c r="AZ1346" s="91"/>
      <c r="BA1346" s="87"/>
      <c r="BB1346" s="5"/>
      <c r="BC1346" s="91"/>
      <c r="BG1346" s="114"/>
      <c r="BH1346" s="5"/>
    </row>
    <row r="1347" customFormat="false" ht="15" hidden="false" customHeight="false" outlineLevel="0" collapsed="false">
      <c r="AY1347" s="114"/>
      <c r="AZ1347" s="91"/>
      <c r="BA1347" s="87"/>
      <c r="BB1347" s="5"/>
      <c r="BC1347" s="91"/>
      <c r="BG1347" s="114"/>
      <c r="BH1347" s="5"/>
    </row>
    <row r="1348" customFormat="false" ht="15" hidden="false" customHeight="false" outlineLevel="0" collapsed="false">
      <c r="AY1348" s="114"/>
      <c r="AZ1348" s="91"/>
      <c r="BA1348" s="87"/>
      <c r="BB1348" s="5"/>
      <c r="BC1348" s="91"/>
      <c r="BG1348" s="114"/>
      <c r="BH1348" s="5"/>
    </row>
    <row r="1349" customFormat="false" ht="15" hidden="false" customHeight="false" outlineLevel="0" collapsed="false">
      <c r="AY1349" s="114"/>
      <c r="AZ1349" s="91"/>
      <c r="BA1349" s="87"/>
      <c r="BB1349" s="5"/>
      <c r="BC1349" s="91"/>
      <c r="BG1349" s="114"/>
      <c r="BH1349" s="5"/>
    </row>
    <row r="1350" customFormat="false" ht="15" hidden="false" customHeight="false" outlineLevel="0" collapsed="false">
      <c r="AY1350" s="114"/>
      <c r="AZ1350" s="91"/>
      <c r="BA1350" s="87"/>
      <c r="BB1350" s="5"/>
      <c r="BC1350" s="91"/>
      <c r="BG1350" s="114"/>
      <c r="BH1350" s="5"/>
    </row>
    <row r="1351" customFormat="false" ht="15" hidden="false" customHeight="false" outlineLevel="0" collapsed="false">
      <c r="AY1351" s="114"/>
      <c r="AZ1351" s="91"/>
      <c r="BA1351" s="87"/>
      <c r="BB1351" s="5"/>
      <c r="BC1351" s="91"/>
      <c r="BG1351" s="114"/>
      <c r="BH1351" s="5"/>
    </row>
    <row r="1352" customFormat="false" ht="15" hidden="false" customHeight="false" outlineLevel="0" collapsed="false">
      <c r="AY1352" s="114"/>
      <c r="AZ1352" s="91"/>
      <c r="BA1352" s="87"/>
      <c r="BB1352" s="5"/>
      <c r="BC1352" s="91"/>
      <c r="BG1352" s="114"/>
      <c r="BH1352" s="5"/>
    </row>
    <row r="1353" customFormat="false" ht="15" hidden="false" customHeight="false" outlineLevel="0" collapsed="false">
      <c r="AY1353" s="114"/>
      <c r="AZ1353" s="91"/>
      <c r="BA1353" s="87"/>
      <c r="BB1353" s="5"/>
      <c r="BC1353" s="91"/>
      <c r="BG1353" s="114"/>
      <c r="BH1353" s="5"/>
    </row>
    <row r="1354" customFormat="false" ht="15" hidden="false" customHeight="false" outlineLevel="0" collapsed="false">
      <c r="AY1354" s="114"/>
      <c r="AZ1354" s="91"/>
      <c r="BA1354" s="87"/>
      <c r="BB1354" s="5"/>
      <c r="BC1354" s="91"/>
      <c r="BG1354" s="114"/>
      <c r="BH1354" s="5"/>
    </row>
    <row r="1355" customFormat="false" ht="15" hidden="false" customHeight="false" outlineLevel="0" collapsed="false">
      <c r="AY1355" s="114"/>
      <c r="AZ1355" s="91"/>
      <c r="BA1355" s="87"/>
      <c r="BB1355" s="5"/>
      <c r="BC1355" s="91"/>
      <c r="BG1355" s="114"/>
      <c r="BH1355" s="5"/>
    </row>
    <row r="1356" customFormat="false" ht="15" hidden="false" customHeight="false" outlineLevel="0" collapsed="false">
      <c r="AY1356" s="114"/>
      <c r="AZ1356" s="91"/>
      <c r="BA1356" s="87"/>
      <c r="BB1356" s="5"/>
      <c r="BC1356" s="91"/>
      <c r="BG1356" s="114"/>
      <c r="BH1356" s="5"/>
    </row>
    <row r="1357" customFormat="false" ht="15" hidden="false" customHeight="false" outlineLevel="0" collapsed="false">
      <c r="AY1357" s="114"/>
      <c r="AZ1357" s="91"/>
      <c r="BA1357" s="87"/>
      <c r="BB1357" s="5"/>
      <c r="BC1357" s="91"/>
      <c r="BG1357" s="114"/>
      <c r="BH1357" s="5"/>
    </row>
    <row r="1358" customFormat="false" ht="15" hidden="false" customHeight="false" outlineLevel="0" collapsed="false">
      <c r="AY1358" s="114"/>
      <c r="AZ1358" s="91"/>
      <c r="BA1358" s="87"/>
      <c r="BB1358" s="5"/>
      <c r="BC1358" s="91"/>
      <c r="BG1358" s="114"/>
      <c r="BH1358" s="5"/>
    </row>
    <row r="1359" customFormat="false" ht="15" hidden="false" customHeight="false" outlineLevel="0" collapsed="false">
      <c r="AY1359" s="114"/>
      <c r="AZ1359" s="91"/>
      <c r="BA1359" s="87"/>
      <c r="BB1359" s="5"/>
      <c r="BC1359" s="91"/>
      <c r="BG1359" s="114"/>
      <c r="BH1359" s="5"/>
    </row>
    <row r="1360" customFormat="false" ht="15" hidden="false" customHeight="false" outlineLevel="0" collapsed="false">
      <c r="AY1360" s="114"/>
      <c r="AZ1360" s="91"/>
      <c r="BA1360" s="87"/>
      <c r="BB1360" s="5"/>
      <c r="BC1360" s="91"/>
      <c r="BG1360" s="114"/>
      <c r="BH1360" s="5"/>
    </row>
    <row r="1361" customFormat="false" ht="15" hidden="false" customHeight="false" outlineLevel="0" collapsed="false">
      <c r="AY1361" s="114"/>
      <c r="AZ1361" s="91"/>
      <c r="BA1361" s="87"/>
      <c r="BB1361" s="5"/>
      <c r="BC1361" s="91"/>
      <c r="BG1361" s="114"/>
      <c r="BH1361" s="5"/>
    </row>
    <row r="1362" customFormat="false" ht="15" hidden="false" customHeight="false" outlineLevel="0" collapsed="false">
      <c r="AY1362" s="114"/>
      <c r="AZ1362" s="91"/>
      <c r="BA1362" s="87"/>
      <c r="BB1362" s="5"/>
      <c r="BC1362" s="91"/>
      <c r="BG1362" s="114"/>
      <c r="BH1362" s="5"/>
    </row>
    <row r="1363" customFormat="false" ht="15" hidden="false" customHeight="false" outlineLevel="0" collapsed="false">
      <c r="AY1363" s="114"/>
      <c r="AZ1363" s="91"/>
      <c r="BA1363" s="87"/>
      <c r="BB1363" s="5"/>
      <c r="BC1363" s="91"/>
      <c r="BG1363" s="114"/>
      <c r="BH1363" s="5"/>
    </row>
    <row r="1364" customFormat="false" ht="15" hidden="false" customHeight="false" outlineLevel="0" collapsed="false">
      <c r="AY1364" s="114"/>
      <c r="AZ1364" s="91"/>
      <c r="BA1364" s="87"/>
      <c r="BB1364" s="5"/>
      <c r="BC1364" s="91"/>
      <c r="BG1364" s="114"/>
      <c r="BH1364" s="5"/>
    </row>
    <row r="1365" customFormat="false" ht="15" hidden="false" customHeight="false" outlineLevel="0" collapsed="false">
      <c r="AY1365" s="114"/>
      <c r="AZ1365" s="91"/>
      <c r="BA1365" s="87"/>
      <c r="BB1365" s="5"/>
      <c r="BC1365" s="91"/>
      <c r="BG1365" s="114"/>
      <c r="BH1365" s="5"/>
    </row>
    <row r="1366" customFormat="false" ht="15" hidden="false" customHeight="false" outlineLevel="0" collapsed="false">
      <c r="AY1366" s="114"/>
      <c r="AZ1366" s="91"/>
      <c r="BA1366" s="87"/>
      <c r="BB1366" s="5"/>
      <c r="BC1366" s="91"/>
      <c r="BG1366" s="114"/>
      <c r="BH1366" s="5"/>
    </row>
    <row r="1367" customFormat="false" ht="15" hidden="false" customHeight="false" outlineLevel="0" collapsed="false">
      <c r="AY1367" s="114"/>
      <c r="AZ1367" s="91"/>
      <c r="BA1367" s="87"/>
      <c r="BB1367" s="5"/>
      <c r="BC1367" s="91"/>
      <c r="BG1367" s="114"/>
      <c r="BH1367" s="5"/>
    </row>
    <row r="1368" customFormat="false" ht="15" hidden="false" customHeight="false" outlineLevel="0" collapsed="false">
      <c r="AY1368" s="114"/>
      <c r="AZ1368" s="91"/>
      <c r="BA1368" s="87"/>
      <c r="BB1368" s="5"/>
      <c r="BC1368" s="91"/>
      <c r="BG1368" s="114"/>
      <c r="BH1368" s="5"/>
    </row>
    <row r="1369" customFormat="false" ht="15" hidden="false" customHeight="false" outlineLevel="0" collapsed="false">
      <c r="AY1369" s="114"/>
      <c r="AZ1369" s="91"/>
      <c r="BA1369" s="87"/>
      <c r="BB1369" s="5"/>
      <c r="BC1369" s="91"/>
      <c r="BG1369" s="114"/>
      <c r="BH1369" s="5"/>
    </row>
    <row r="1370" customFormat="false" ht="15" hidden="false" customHeight="false" outlineLevel="0" collapsed="false">
      <c r="AY1370" s="114"/>
      <c r="AZ1370" s="91"/>
      <c r="BA1370" s="87"/>
      <c r="BB1370" s="5"/>
      <c r="BC1370" s="91"/>
      <c r="BG1370" s="114"/>
      <c r="BH1370" s="5"/>
    </row>
    <row r="1371" customFormat="false" ht="15" hidden="false" customHeight="false" outlineLevel="0" collapsed="false">
      <c r="AY1371" s="114"/>
      <c r="AZ1371" s="91"/>
      <c r="BA1371" s="87"/>
      <c r="BB1371" s="5"/>
      <c r="BC1371" s="91"/>
      <c r="BG1371" s="114"/>
      <c r="BH1371" s="5"/>
    </row>
    <row r="1372" customFormat="false" ht="15" hidden="false" customHeight="false" outlineLevel="0" collapsed="false">
      <c r="AY1372" s="114"/>
      <c r="AZ1372" s="91"/>
      <c r="BA1372" s="87"/>
      <c r="BB1372" s="5"/>
      <c r="BC1372" s="91"/>
      <c r="BG1372" s="114"/>
      <c r="BH1372" s="5"/>
    </row>
    <row r="1373" customFormat="false" ht="15" hidden="false" customHeight="false" outlineLevel="0" collapsed="false">
      <c r="AY1373" s="114"/>
      <c r="AZ1373" s="91"/>
      <c r="BA1373" s="87"/>
      <c r="BB1373" s="5"/>
      <c r="BC1373" s="91"/>
      <c r="BG1373" s="114"/>
      <c r="BH1373" s="5"/>
    </row>
    <row r="1374" customFormat="false" ht="15" hidden="false" customHeight="false" outlineLevel="0" collapsed="false">
      <c r="AY1374" s="114"/>
      <c r="AZ1374" s="91"/>
      <c r="BA1374" s="87"/>
      <c r="BB1374" s="5"/>
      <c r="BC1374" s="91"/>
      <c r="BG1374" s="114"/>
      <c r="BH1374" s="5"/>
    </row>
    <row r="1375" customFormat="false" ht="15" hidden="false" customHeight="false" outlineLevel="0" collapsed="false">
      <c r="AY1375" s="114"/>
      <c r="AZ1375" s="91"/>
      <c r="BA1375" s="87"/>
      <c r="BB1375" s="5"/>
      <c r="BC1375" s="91"/>
      <c r="BG1375" s="114"/>
      <c r="BH1375" s="5"/>
    </row>
    <row r="1376" customFormat="false" ht="15" hidden="false" customHeight="false" outlineLevel="0" collapsed="false">
      <c r="AY1376" s="114"/>
      <c r="AZ1376" s="91"/>
      <c r="BA1376" s="87"/>
      <c r="BB1376" s="5"/>
      <c r="BC1376" s="91"/>
      <c r="BG1376" s="114"/>
      <c r="BH1376" s="5"/>
    </row>
    <row r="1377" customFormat="false" ht="15" hidden="false" customHeight="false" outlineLevel="0" collapsed="false">
      <c r="AY1377" s="114"/>
      <c r="AZ1377" s="91"/>
      <c r="BA1377" s="87"/>
      <c r="BB1377" s="5"/>
      <c r="BC1377" s="91"/>
      <c r="BG1377" s="114"/>
      <c r="BH1377" s="5"/>
    </row>
    <row r="1378" customFormat="false" ht="15" hidden="false" customHeight="false" outlineLevel="0" collapsed="false">
      <c r="AY1378" s="114"/>
      <c r="AZ1378" s="91"/>
      <c r="BA1378" s="87"/>
      <c r="BB1378" s="5"/>
      <c r="BC1378" s="91"/>
      <c r="BG1378" s="114"/>
      <c r="BH1378" s="5"/>
    </row>
    <row r="1379" customFormat="false" ht="15" hidden="false" customHeight="false" outlineLevel="0" collapsed="false">
      <c r="AY1379" s="114"/>
      <c r="AZ1379" s="91"/>
      <c r="BA1379" s="87"/>
      <c r="BB1379" s="5"/>
      <c r="BC1379" s="91"/>
      <c r="BG1379" s="114"/>
      <c r="BH1379" s="5"/>
    </row>
    <row r="1380" customFormat="false" ht="15" hidden="false" customHeight="false" outlineLevel="0" collapsed="false">
      <c r="AY1380" s="114"/>
      <c r="AZ1380" s="91"/>
      <c r="BA1380" s="87"/>
      <c r="BB1380" s="5"/>
      <c r="BC1380" s="91"/>
      <c r="BG1380" s="114"/>
      <c r="BH1380" s="5"/>
    </row>
    <row r="1381" customFormat="false" ht="15" hidden="false" customHeight="false" outlineLevel="0" collapsed="false">
      <c r="AY1381" s="114"/>
      <c r="AZ1381" s="91"/>
      <c r="BA1381" s="87"/>
      <c r="BB1381" s="5"/>
      <c r="BC1381" s="91"/>
      <c r="BG1381" s="114"/>
      <c r="BH1381" s="5"/>
    </row>
    <row r="1382" customFormat="false" ht="15" hidden="false" customHeight="false" outlineLevel="0" collapsed="false">
      <c r="AY1382" s="114"/>
      <c r="AZ1382" s="91"/>
      <c r="BA1382" s="87"/>
      <c r="BB1382" s="5"/>
      <c r="BC1382" s="91"/>
      <c r="BG1382" s="114"/>
      <c r="BH1382" s="5"/>
    </row>
    <row r="1383" customFormat="false" ht="15" hidden="false" customHeight="false" outlineLevel="0" collapsed="false">
      <c r="AY1383" s="114"/>
      <c r="AZ1383" s="91"/>
      <c r="BA1383" s="87"/>
      <c r="BB1383" s="5"/>
      <c r="BC1383" s="91"/>
      <c r="BG1383" s="114"/>
      <c r="BH1383" s="5"/>
    </row>
    <row r="1384" customFormat="false" ht="15" hidden="false" customHeight="false" outlineLevel="0" collapsed="false">
      <c r="AY1384" s="114"/>
      <c r="AZ1384" s="91"/>
      <c r="BA1384" s="87"/>
      <c r="BB1384" s="5"/>
      <c r="BC1384" s="91"/>
      <c r="BG1384" s="114"/>
      <c r="BH1384" s="5"/>
    </row>
    <row r="1385" customFormat="false" ht="15" hidden="false" customHeight="false" outlineLevel="0" collapsed="false">
      <c r="AY1385" s="114"/>
      <c r="AZ1385" s="91"/>
      <c r="BA1385" s="87"/>
      <c r="BB1385" s="5"/>
      <c r="BC1385" s="91"/>
      <c r="BG1385" s="114"/>
      <c r="BH1385" s="5"/>
    </row>
    <row r="1386" customFormat="false" ht="15" hidden="false" customHeight="false" outlineLevel="0" collapsed="false">
      <c r="AY1386" s="114"/>
      <c r="AZ1386" s="91"/>
      <c r="BA1386" s="87"/>
      <c r="BB1386" s="5"/>
      <c r="BC1386" s="91"/>
      <c r="BG1386" s="114"/>
      <c r="BH1386" s="5"/>
    </row>
    <row r="1387" customFormat="false" ht="15" hidden="false" customHeight="false" outlineLevel="0" collapsed="false">
      <c r="AY1387" s="114"/>
      <c r="AZ1387" s="91"/>
      <c r="BA1387" s="87"/>
      <c r="BB1387" s="5"/>
      <c r="BC1387" s="91"/>
      <c r="BG1387" s="114"/>
      <c r="BH1387" s="5"/>
    </row>
    <row r="1388" customFormat="false" ht="15" hidden="false" customHeight="false" outlineLevel="0" collapsed="false">
      <c r="AY1388" s="114"/>
      <c r="AZ1388" s="91"/>
      <c r="BA1388" s="87"/>
      <c r="BB1388" s="5"/>
      <c r="BC1388" s="91"/>
      <c r="BG1388" s="114"/>
      <c r="BH1388" s="5"/>
    </row>
    <row r="1389" customFormat="false" ht="15" hidden="false" customHeight="false" outlineLevel="0" collapsed="false">
      <c r="AY1389" s="114"/>
      <c r="AZ1389" s="91"/>
      <c r="BA1389" s="87"/>
      <c r="BB1389" s="5"/>
      <c r="BC1389" s="91"/>
      <c r="BG1389" s="114"/>
      <c r="BH1389" s="5"/>
    </row>
    <row r="1390" customFormat="false" ht="15" hidden="false" customHeight="false" outlineLevel="0" collapsed="false">
      <c r="AY1390" s="114"/>
      <c r="AZ1390" s="91"/>
      <c r="BA1390" s="87"/>
      <c r="BB1390" s="5"/>
      <c r="BC1390" s="91"/>
      <c r="BG1390" s="114"/>
      <c r="BH1390" s="5"/>
    </row>
    <row r="1391" customFormat="false" ht="15" hidden="false" customHeight="false" outlineLevel="0" collapsed="false">
      <c r="AY1391" s="114"/>
      <c r="AZ1391" s="91"/>
      <c r="BA1391" s="87"/>
      <c r="BB1391" s="5"/>
      <c r="BC1391" s="91"/>
      <c r="BG1391" s="114"/>
      <c r="BH1391" s="5"/>
    </row>
    <row r="1392" customFormat="false" ht="15" hidden="false" customHeight="false" outlineLevel="0" collapsed="false">
      <c r="AY1392" s="114"/>
      <c r="AZ1392" s="91"/>
      <c r="BA1392" s="87"/>
      <c r="BB1392" s="5"/>
      <c r="BC1392" s="91"/>
      <c r="BG1392" s="114"/>
      <c r="BH1392" s="5"/>
    </row>
    <row r="1393" customFormat="false" ht="15" hidden="false" customHeight="false" outlineLevel="0" collapsed="false">
      <c r="AY1393" s="114"/>
      <c r="AZ1393" s="91"/>
      <c r="BA1393" s="87"/>
      <c r="BB1393" s="5"/>
      <c r="BC1393" s="91"/>
      <c r="BG1393" s="114"/>
      <c r="BH1393" s="5"/>
    </row>
    <row r="1394" customFormat="false" ht="15" hidden="false" customHeight="false" outlineLevel="0" collapsed="false">
      <c r="AY1394" s="114"/>
      <c r="AZ1394" s="91"/>
      <c r="BA1394" s="87"/>
      <c r="BB1394" s="5"/>
      <c r="BC1394" s="91"/>
      <c r="BG1394" s="114"/>
      <c r="BH1394" s="5"/>
    </row>
    <row r="1395" customFormat="false" ht="15" hidden="false" customHeight="false" outlineLevel="0" collapsed="false">
      <c r="AY1395" s="114"/>
      <c r="AZ1395" s="91"/>
      <c r="BA1395" s="87"/>
      <c r="BB1395" s="5"/>
      <c r="BC1395" s="91"/>
      <c r="BG1395" s="114"/>
      <c r="BH1395" s="5"/>
    </row>
    <row r="1396" customFormat="false" ht="15" hidden="false" customHeight="false" outlineLevel="0" collapsed="false">
      <c r="AY1396" s="114"/>
      <c r="AZ1396" s="91"/>
      <c r="BA1396" s="87"/>
      <c r="BB1396" s="5"/>
      <c r="BC1396" s="91"/>
      <c r="BG1396" s="114"/>
      <c r="BH1396" s="5"/>
    </row>
    <row r="1397" customFormat="false" ht="15" hidden="false" customHeight="false" outlineLevel="0" collapsed="false">
      <c r="AY1397" s="114"/>
      <c r="AZ1397" s="91"/>
      <c r="BA1397" s="87"/>
      <c r="BB1397" s="5"/>
      <c r="BC1397" s="91"/>
      <c r="BG1397" s="114"/>
      <c r="BH1397" s="5"/>
    </row>
    <row r="1398" customFormat="false" ht="15" hidden="false" customHeight="false" outlineLevel="0" collapsed="false">
      <c r="AY1398" s="114"/>
      <c r="AZ1398" s="91"/>
      <c r="BA1398" s="87"/>
      <c r="BB1398" s="5"/>
      <c r="BC1398" s="91"/>
      <c r="BG1398" s="114"/>
      <c r="BH1398" s="5"/>
    </row>
    <row r="1399" customFormat="false" ht="15" hidden="false" customHeight="false" outlineLevel="0" collapsed="false">
      <c r="AY1399" s="114"/>
      <c r="AZ1399" s="91"/>
      <c r="BA1399" s="87"/>
      <c r="BB1399" s="5"/>
      <c r="BC1399" s="91"/>
      <c r="BG1399" s="114"/>
      <c r="BH1399" s="5"/>
    </row>
    <row r="1400" customFormat="false" ht="15" hidden="false" customHeight="false" outlineLevel="0" collapsed="false">
      <c r="AY1400" s="114"/>
      <c r="AZ1400" s="91"/>
      <c r="BA1400" s="87"/>
      <c r="BB1400" s="5"/>
      <c r="BC1400" s="91"/>
      <c r="BG1400" s="114"/>
      <c r="BH1400" s="5"/>
    </row>
    <row r="1401" customFormat="false" ht="15" hidden="false" customHeight="false" outlineLevel="0" collapsed="false">
      <c r="AY1401" s="114"/>
      <c r="AZ1401" s="91"/>
      <c r="BA1401" s="87"/>
      <c r="BB1401" s="5"/>
      <c r="BC1401" s="91"/>
      <c r="BG1401" s="114"/>
      <c r="BH1401" s="5"/>
    </row>
    <row r="1402" customFormat="false" ht="15" hidden="false" customHeight="false" outlineLevel="0" collapsed="false">
      <c r="AY1402" s="114"/>
      <c r="AZ1402" s="91"/>
      <c r="BA1402" s="87"/>
      <c r="BB1402" s="5"/>
      <c r="BC1402" s="91"/>
      <c r="BG1402" s="114"/>
      <c r="BH1402" s="5"/>
    </row>
    <row r="1403" customFormat="false" ht="15" hidden="false" customHeight="false" outlineLevel="0" collapsed="false">
      <c r="AY1403" s="114"/>
      <c r="AZ1403" s="91"/>
      <c r="BA1403" s="87"/>
      <c r="BB1403" s="5"/>
      <c r="BC1403" s="91"/>
      <c r="BG1403" s="114"/>
      <c r="BH1403" s="5"/>
    </row>
    <row r="1404" customFormat="false" ht="15" hidden="false" customHeight="false" outlineLevel="0" collapsed="false">
      <c r="AY1404" s="114"/>
      <c r="AZ1404" s="91"/>
      <c r="BA1404" s="87"/>
      <c r="BB1404" s="5"/>
      <c r="BC1404" s="91"/>
      <c r="BG1404" s="114"/>
      <c r="BH1404" s="5"/>
    </row>
    <row r="1405" customFormat="false" ht="15" hidden="false" customHeight="false" outlineLevel="0" collapsed="false">
      <c r="AY1405" s="114"/>
      <c r="AZ1405" s="91"/>
      <c r="BA1405" s="87"/>
      <c r="BB1405" s="5"/>
      <c r="BC1405" s="91"/>
      <c r="BG1405" s="114"/>
      <c r="BH1405" s="5"/>
    </row>
    <row r="1406" customFormat="false" ht="15" hidden="false" customHeight="false" outlineLevel="0" collapsed="false">
      <c r="AY1406" s="114"/>
      <c r="AZ1406" s="91"/>
      <c r="BA1406" s="87"/>
      <c r="BB1406" s="5"/>
      <c r="BC1406" s="91"/>
      <c r="BG1406" s="114"/>
      <c r="BH1406" s="5"/>
    </row>
    <row r="1407" customFormat="false" ht="15" hidden="false" customHeight="false" outlineLevel="0" collapsed="false">
      <c r="AY1407" s="114"/>
      <c r="AZ1407" s="91"/>
      <c r="BA1407" s="87"/>
      <c r="BB1407" s="5"/>
      <c r="BC1407" s="91"/>
      <c r="BG1407" s="114"/>
      <c r="BH1407" s="5"/>
    </row>
    <row r="1408" customFormat="false" ht="15" hidden="false" customHeight="false" outlineLevel="0" collapsed="false">
      <c r="AY1408" s="114"/>
      <c r="AZ1408" s="91"/>
      <c r="BA1408" s="87"/>
      <c r="BB1408" s="5"/>
      <c r="BC1408" s="91"/>
      <c r="BG1408" s="114"/>
      <c r="BH1408" s="5"/>
    </row>
    <row r="1409" customFormat="false" ht="15" hidden="false" customHeight="false" outlineLevel="0" collapsed="false">
      <c r="AY1409" s="114"/>
      <c r="AZ1409" s="91"/>
      <c r="BA1409" s="87"/>
      <c r="BB1409" s="5"/>
      <c r="BC1409" s="91"/>
      <c r="BG1409" s="114"/>
      <c r="BH1409" s="5"/>
    </row>
    <row r="1410" customFormat="false" ht="15" hidden="false" customHeight="false" outlineLevel="0" collapsed="false">
      <c r="AY1410" s="114"/>
      <c r="AZ1410" s="91"/>
      <c r="BA1410" s="87"/>
      <c r="BB1410" s="5"/>
      <c r="BC1410" s="91"/>
      <c r="BG1410" s="114"/>
      <c r="BH1410" s="5"/>
    </row>
    <row r="1411" customFormat="false" ht="15" hidden="false" customHeight="false" outlineLevel="0" collapsed="false">
      <c r="AY1411" s="114"/>
      <c r="AZ1411" s="91"/>
      <c r="BA1411" s="87"/>
      <c r="BB1411" s="5"/>
      <c r="BC1411" s="91"/>
      <c r="BG1411" s="114"/>
      <c r="BH1411" s="5"/>
    </row>
    <row r="1412" customFormat="false" ht="15" hidden="false" customHeight="false" outlineLevel="0" collapsed="false">
      <c r="AY1412" s="114"/>
      <c r="AZ1412" s="91"/>
      <c r="BA1412" s="87"/>
      <c r="BB1412" s="5"/>
      <c r="BC1412" s="91"/>
      <c r="BG1412" s="114"/>
      <c r="BH1412" s="5"/>
    </row>
    <row r="1413" customFormat="false" ht="15" hidden="false" customHeight="false" outlineLevel="0" collapsed="false">
      <c r="AY1413" s="114"/>
      <c r="AZ1413" s="91"/>
      <c r="BA1413" s="87"/>
      <c r="BB1413" s="5"/>
      <c r="BC1413" s="91"/>
      <c r="BG1413" s="114"/>
      <c r="BH1413" s="5"/>
    </row>
    <row r="1414" customFormat="false" ht="15" hidden="false" customHeight="false" outlineLevel="0" collapsed="false">
      <c r="AY1414" s="114"/>
      <c r="AZ1414" s="91"/>
      <c r="BA1414" s="87"/>
      <c r="BB1414" s="5"/>
      <c r="BC1414" s="91"/>
      <c r="BG1414" s="114"/>
      <c r="BH1414" s="5"/>
    </row>
    <row r="1415" customFormat="false" ht="15" hidden="false" customHeight="false" outlineLevel="0" collapsed="false">
      <c r="AY1415" s="114"/>
      <c r="AZ1415" s="91"/>
      <c r="BA1415" s="87"/>
      <c r="BB1415" s="5"/>
      <c r="BC1415" s="91"/>
      <c r="BG1415" s="114"/>
      <c r="BH1415" s="5"/>
    </row>
    <row r="1416" customFormat="false" ht="15" hidden="false" customHeight="false" outlineLevel="0" collapsed="false">
      <c r="AY1416" s="114"/>
      <c r="AZ1416" s="91"/>
      <c r="BA1416" s="87"/>
      <c r="BB1416" s="5"/>
      <c r="BC1416" s="91"/>
      <c r="BG1416" s="114"/>
      <c r="BH1416" s="5"/>
    </row>
    <row r="1417" customFormat="false" ht="15" hidden="false" customHeight="false" outlineLevel="0" collapsed="false">
      <c r="AY1417" s="114"/>
      <c r="AZ1417" s="91"/>
      <c r="BA1417" s="87"/>
      <c r="BB1417" s="5"/>
      <c r="BC1417" s="91"/>
      <c r="BG1417" s="114"/>
      <c r="BH1417" s="5"/>
    </row>
    <row r="1418" customFormat="false" ht="15" hidden="false" customHeight="false" outlineLevel="0" collapsed="false">
      <c r="AY1418" s="114"/>
      <c r="AZ1418" s="91"/>
      <c r="BA1418" s="87"/>
      <c r="BB1418" s="5"/>
      <c r="BC1418" s="91"/>
      <c r="BG1418" s="114"/>
      <c r="BH1418" s="5"/>
    </row>
    <row r="1419" customFormat="false" ht="15" hidden="false" customHeight="false" outlineLevel="0" collapsed="false">
      <c r="AY1419" s="114"/>
      <c r="AZ1419" s="91"/>
      <c r="BA1419" s="87"/>
      <c r="BB1419" s="5"/>
      <c r="BC1419" s="91"/>
      <c r="BG1419" s="114"/>
      <c r="BH1419" s="5"/>
    </row>
    <row r="1420" customFormat="false" ht="15" hidden="false" customHeight="false" outlineLevel="0" collapsed="false">
      <c r="AY1420" s="114"/>
      <c r="AZ1420" s="91"/>
      <c r="BA1420" s="87"/>
      <c r="BB1420" s="5"/>
      <c r="BC1420" s="91"/>
      <c r="BG1420" s="114"/>
      <c r="BH1420" s="5"/>
    </row>
  </sheetData>
  <mergeCells count="1">
    <mergeCell ref="A2:B3"/>
  </mergeCells>
  <conditionalFormatting sqref="O1:O1048576">
    <cfRule type="expression" priority="2" aboveAverage="0" equalAverage="0" bottom="0" percent="0" rank="0" text="" dxfId="6">
      <formula>AND($N1&lt;&gt;$O1,ISNUMBER($O1))</formula>
    </cfRule>
  </conditionalFormatting>
  <conditionalFormatting sqref="F1:BH1048576">
    <cfRule type="expression" priority="3" aboveAverage="0" equalAverage="0" bottom="0" percent="0" rank="0" text="" dxfId="7">
      <formula>AND(ISNUMBER(F1),F1&lt;0)</formula>
    </cfRule>
  </conditionalFormatting>
  <conditionalFormatting sqref="F1:F1048576 AL1:AM1048576 AS1:AT1048576 AW1:AW1048576 AY1:AY1048576 BA1:BA1048576 BD1:BD1048576 BG1:BG1048576">
    <cfRule type="expression" priority="4" aboveAverage="0" equalAverage="0" bottom="0" percent="0" rank="0" text="" dxfId="8">
      <formula>$C1="&lt;01"</formula>
    </cfRule>
  </conditionalFormatting>
  <conditionalFormatting sqref="AQ1:AR1048576 BC1:BC1048576 BF1:BF1048576 S1:AM1048576">
    <cfRule type="expression" priority="5" aboveAverage="0" equalAverage="0" bottom="0" percent="0" rank="0" text="" dxfId="9">
      <formula>AND(ROW($S1)&gt;14,$E1&lt;&gt;"",LEFT($B1,4)="_Mil")</formula>
    </cfRule>
  </conditionalFormatting>
  <conditionalFormatting sqref="AN1:AN1048576">
    <cfRule type="expression" priority="6" aboveAverage="0" equalAverage="0" bottom="0" percent="0" rank="0" text="" dxfId="10">
      <formula>AND(ROW($AN1)&gt;14,$E1&lt;&gt;"",$C1&lt;&gt;"&lt;01")</formula>
    </cfRule>
  </conditionalFormatting>
  <conditionalFormatting sqref="W1:W1048576 Y1:Y1048576 AB1:AB1048576 AE1:AE1048576 AG1:AH1048576 AS1:AT1048576 AW1:AW1048576 AY1:AY1048576 BA1:BA1048576 BD1:BD1048576 BG1:BG1048576">
    <cfRule type="expression" priority="7" aboveAverage="0" equalAverage="0" bottom="0" percent="0" rank="0" text="" dxfId="11">
      <formula>AND(ISNUMBER(W1),W1&gt;1)</formula>
    </cfRule>
  </conditionalFormatting>
  <conditionalFormatting sqref="AA1:AA1048576 AL1:AL1048576 AR1:AR1048576">
    <cfRule type="expression" priority="8" aboveAverage="0" equalAverage="0" bottom="0" percent="0" rank="0" text="" dxfId="12">
      <formula>AND(ISNUMBER(AA1),AA1&gt;1)</formula>
    </cfRule>
    <cfRule type="expression" priority="9" aboveAverage="0" equalAverage="0" bottom="0" percent="0" rank="0" text="" dxfId="13">
      <formula>AND(ISNUMBER(AA1),AA1&lt;0.9)</formula>
    </cfRule>
  </conditionalFormatting>
  <conditionalFormatting sqref="Y1:Y1048576 AB1:AB1048576 AE1:AE1048576 AG1:AG1048576 BA1:BA1048576 BD1:BD1048576 BG1:BG1048576">
    <cfRule type="expression" priority="10" aboveAverage="0" equalAverage="0" bottom="0" percent="0" rank="0" text="" dxfId="14">
      <formula>AND(ISNUMBER(Y1),Y1&lt;0.95)</formula>
    </cfRule>
  </conditionalFormatting>
  <conditionalFormatting sqref="AS1:AT1048576">
    <cfRule type="expression" priority="11" aboveAverage="0" equalAverage="0" bottom="0" percent="0" rank="0" text="" dxfId="15">
      <formula>AND(ISNUMBER(AS1),AS1&lt;0.98)</formula>
    </cfRule>
  </conditionalFormatting>
  <conditionalFormatting sqref="AW1:AW1048576">
    <cfRule type="expression" priority="12" aboveAverage="0" equalAverage="0" bottom="0" percent="0" rank="0" text="" dxfId="16">
      <formula>AND(ISNUMBER(AW1),AW1&lt;1)</formula>
    </cfRule>
  </conditionalFormatting>
  <conditionalFormatting sqref="AY1:AY1048576">
    <cfRule type="expression" priority="13" aboveAverage="0" equalAverage="0" bottom="0" percent="0" rank="0" text="" dxfId="17">
      <formula>AND(ISNUMBER(AY1),AY1&lt;0.7)</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P1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4" topLeftCell="E15" activePane="bottomRight" state="frozen"/>
      <selection pane="topLeft" activeCell="A1" activeCellId="0" sqref="A1"/>
      <selection pane="topRight" activeCell="E1" activeCellId="0" sqref="E1"/>
      <selection pane="bottomLeft" activeCell="A15" activeCellId="0" sqref="A15"/>
      <selection pane="bottomRight" activeCell="R15" activeCellId="0" sqref="R15"/>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35.5"/>
    <col collapsed="false" customWidth="true" hidden="true" outlineLevel="0" max="4" min="4" style="0" width="10.17"/>
    <col collapsed="false" customWidth="true" hidden="false" outlineLevel="0" max="42" min="5" style="0" width="11.83"/>
  </cols>
  <sheetData>
    <row r="1" customFormat="false" ht="30.75" hidden="false" customHeight="true" outlineLevel="0" collapsed="false">
      <c r="A1" s="41" t="s">
        <v>369</v>
      </c>
      <c r="B1" s="15"/>
      <c r="C1" s="15"/>
      <c r="D1" s="15"/>
      <c r="E1" s="42" t="s">
        <v>370</v>
      </c>
      <c r="F1" s="43"/>
      <c r="G1" s="44"/>
      <c r="H1" s="42" t="s">
        <v>371</v>
      </c>
      <c r="I1" s="43"/>
      <c r="J1" s="42" t="s">
        <v>372</v>
      </c>
      <c r="K1" s="43"/>
      <c r="L1" s="42" t="s">
        <v>373</v>
      </c>
      <c r="M1" s="43"/>
      <c r="N1" s="42" t="s">
        <v>242</v>
      </c>
      <c r="O1" s="18"/>
      <c r="P1" s="18"/>
      <c r="Q1" s="43"/>
      <c r="R1" s="18"/>
      <c r="S1" s="18"/>
      <c r="T1" s="42" t="s">
        <v>241</v>
      </c>
      <c r="U1" s="45"/>
      <c r="V1" s="45"/>
      <c r="W1" s="18"/>
      <c r="X1" s="18"/>
      <c r="Y1" s="47"/>
      <c r="Z1" s="43"/>
      <c r="AA1" s="48" t="s">
        <v>243</v>
      </c>
      <c r="AB1" s="43"/>
      <c r="AC1" s="45"/>
      <c r="AD1" s="43"/>
      <c r="AE1" s="48" t="s">
        <v>244</v>
      </c>
      <c r="AF1" s="43"/>
      <c r="AG1" s="42" t="s">
        <v>374</v>
      </c>
      <c r="AH1" s="18"/>
      <c r="AI1" s="47"/>
      <c r="AJ1" s="47"/>
      <c r="AK1" s="43"/>
      <c r="AL1" s="43"/>
      <c r="AM1" s="48" t="s">
        <v>375</v>
      </c>
      <c r="AN1" s="43"/>
      <c r="AO1" s="42" t="s">
        <v>376</v>
      </c>
      <c r="AP1" s="43"/>
    </row>
    <row r="2" customFormat="false" ht="18.75" hidden="false" customHeight="true" outlineLevel="0" collapsed="false">
      <c r="A2" s="22"/>
      <c r="B2" s="19"/>
      <c r="C2" s="19"/>
      <c r="D2" s="19"/>
      <c r="E2" s="55" t="s">
        <v>177</v>
      </c>
      <c r="F2" s="21" t="s">
        <v>177</v>
      </c>
      <c r="G2" s="115" t="s">
        <v>177</v>
      </c>
      <c r="H2" s="50"/>
      <c r="I2" s="21" t="s">
        <v>177</v>
      </c>
      <c r="J2" s="50"/>
      <c r="K2" s="21" t="s">
        <v>177</v>
      </c>
      <c r="L2" s="50"/>
      <c r="M2" s="21" t="s">
        <v>177</v>
      </c>
      <c r="N2" s="50"/>
      <c r="O2" s="22"/>
      <c r="P2" s="22"/>
      <c r="Q2" s="21" t="s">
        <v>177</v>
      </c>
      <c r="R2" s="116"/>
      <c r="S2" s="116"/>
      <c r="T2" s="50"/>
      <c r="U2" s="52"/>
      <c r="V2" s="52"/>
      <c r="W2" s="116"/>
      <c r="X2" s="116"/>
      <c r="Y2" s="52"/>
      <c r="Z2" s="21" t="s">
        <v>177</v>
      </c>
      <c r="AA2" s="54"/>
      <c r="AB2" s="22"/>
      <c r="AC2" s="52"/>
      <c r="AD2" s="21" t="s">
        <v>177</v>
      </c>
      <c r="AE2" s="54"/>
      <c r="AF2" s="21" t="s">
        <v>177</v>
      </c>
      <c r="AG2" s="50"/>
      <c r="AH2" s="22"/>
      <c r="AI2" s="52"/>
      <c r="AJ2" s="52"/>
      <c r="AK2" s="21" t="s">
        <v>177</v>
      </c>
      <c r="AL2" s="21" t="s">
        <v>177</v>
      </c>
      <c r="AM2" s="54"/>
      <c r="AN2" s="21" t="s">
        <v>177</v>
      </c>
      <c r="AO2" s="50"/>
      <c r="AP2" s="21" t="s">
        <v>177</v>
      </c>
    </row>
    <row r="3" customFormat="false" ht="117" hidden="false" customHeight="true" outlineLevel="0" collapsed="false">
      <c r="D3" s="117"/>
      <c r="E3" s="118" t="s">
        <v>377</v>
      </c>
      <c r="F3" s="25" t="s">
        <v>378</v>
      </c>
      <c r="G3" s="119" t="s">
        <v>379</v>
      </c>
      <c r="H3" s="24" t="s">
        <v>380</v>
      </c>
      <c r="I3" s="25" t="s">
        <v>381</v>
      </c>
      <c r="J3" s="61" t="s">
        <v>382</v>
      </c>
      <c r="K3" s="25" t="s">
        <v>383</v>
      </c>
      <c r="L3" s="61" t="s">
        <v>384</v>
      </c>
      <c r="M3" s="25" t="s">
        <v>385</v>
      </c>
      <c r="N3" s="61" t="s">
        <v>386</v>
      </c>
      <c r="O3" s="26" t="s">
        <v>387</v>
      </c>
      <c r="P3" s="62" t="s">
        <v>388</v>
      </c>
      <c r="Q3" s="25" t="s">
        <v>389</v>
      </c>
      <c r="R3" s="67" t="s">
        <v>390</v>
      </c>
      <c r="S3" s="69" t="s">
        <v>391</v>
      </c>
      <c r="T3" s="61" t="s">
        <v>392</v>
      </c>
      <c r="U3" s="65" t="s">
        <v>272</v>
      </c>
      <c r="V3" s="65" t="s">
        <v>273</v>
      </c>
      <c r="W3" s="26" t="s">
        <v>393</v>
      </c>
      <c r="X3" s="26" t="s">
        <v>275</v>
      </c>
      <c r="Y3" s="65" t="s">
        <v>276</v>
      </c>
      <c r="Z3" s="72" t="s">
        <v>394</v>
      </c>
      <c r="AA3" s="68" t="s">
        <v>278</v>
      </c>
      <c r="AB3" s="26" t="s">
        <v>279</v>
      </c>
      <c r="AC3" s="65" t="s">
        <v>280</v>
      </c>
      <c r="AD3" s="72" t="s">
        <v>395</v>
      </c>
      <c r="AE3" s="68" t="s">
        <v>283</v>
      </c>
      <c r="AF3" s="72" t="s">
        <v>396</v>
      </c>
      <c r="AG3" s="24" t="s">
        <v>397</v>
      </c>
      <c r="AH3" s="69" t="s">
        <v>398</v>
      </c>
      <c r="AI3" s="65" t="s">
        <v>286</v>
      </c>
      <c r="AJ3" s="65" t="s">
        <v>399</v>
      </c>
      <c r="AK3" s="72" t="s">
        <v>400</v>
      </c>
      <c r="AL3" s="25" t="s">
        <v>401</v>
      </c>
      <c r="AM3" s="68" t="s">
        <v>402</v>
      </c>
      <c r="AN3" s="72" t="s">
        <v>403</v>
      </c>
      <c r="AO3" s="24" t="s">
        <v>404</v>
      </c>
      <c r="AP3" s="25" t="s">
        <v>405</v>
      </c>
    </row>
    <row r="4" customFormat="false" ht="15" hidden="false" customHeight="false" outlineLevel="0" collapsed="false">
      <c r="A4" s="75"/>
      <c r="B4" s="120"/>
      <c r="C4" s="120" t="s">
        <v>288</v>
      </c>
      <c r="D4" s="120"/>
      <c r="E4" s="121" t="n">
        <f aca="false">SUBTOTAL(109,E$15:INDEX(E:E,COUNTA($B:$B)+14-COUNTA($B$1:$B$14)))</f>
        <v>0</v>
      </c>
      <c r="F4" s="82" t="n">
        <f aca="false">SUBTOTAL(109,F$15:INDEX(F:F,COUNTA($B:$B)+14-COUNTA($B$1:$B$14)))</f>
        <v>0</v>
      </c>
      <c r="G4" s="122" t="str">
        <f aca="false">IF($E$4=0,"",$F$4/$E$4)</f>
        <v/>
      </c>
      <c r="H4" s="74" t="n">
        <f aca="false">SUBTOTAL(109,H$15:INDEX(H:H,COUNTA($B:$B)+14-COUNTA($B$1:$B$14)))</f>
        <v>0</v>
      </c>
      <c r="I4" s="82" t="n">
        <f aca="false">SUBTOTAL(109,I$15:INDEX(I:I,COUNTA($B:$B)+14-COUNTA($B$1:$B$14)))</f>
        <v>0</v>
      </c>
      <c r="J4" s="121" t="n">
        <f aca="false">SUBTOTAL(109,J$15:INDEX(J:J,COUNTA($B:$B)+14-COUNTA($B$1:$B$14)))</f>
        <v>0</v>
      </c>
      <c r="K4" s="82" t="n">
        <f aca="false">SUBTOTAL(109,K$15:INDEX(K:K,COUNTA($B:$B)+14-COUNTA($B$1:$B$14)))</f>
        <v>0</v>
      </c>
      <c r="L4" s="121" t="n">
        <f aca="false">SUBTOTAL(109,L$15:INDEX(L:L,COUNTA($B:$B)+14-COUNTA($B$1:$B$14)))</f>
        <v>0</v>
      </c>
      <c r="M4" s="82" t="n">
        <f aca="false">SUBTOTAL(109,M$15:INDEX(M:M,COUNTA($B:$B)+14-COUNTA($B$1:$B$14)))</f>
        <v>0</v>
      </c>
      <c r="N4" s="76" t="n">
        <f aca="false">SUBTOTAL(109,N$15:INDEX(N:N,COUNTA($B:$B)+14-COUNTA($B$1:$B$14)))</f>
        <v>0</v>
      </c>
      <c r="O4" s="75" t="n">
        <f aca="false">SUBTOTAL(109,O$15:INDEX(O:O,COUNTA($B:$B)+14-COUNTA($B$1:$B$14)))</f>
        <v>0</v>
      </c>
      <c r="P4" s="75" t="n">
        <f aca="false">SUBTOTAL(109,P$15:INDEX(P:P,COUNTA($B:$B)+14-COUNTA($B$1:$B$14)))</f>
        <v>0</v>
      </c>
      <c r="Q4" s="82" t="n">
        <f aca="false">SUBTOTAL(109,Q$15:INDEX(Q:Q,COUNTA($B:$B)+14-COUNTA($B$1:$B$14)))</f>
        <v>0</v>
      </c>
      <c r="R4" s="73" t="n">
        <f aca="false">SUBTOTAL(109,R$15:INDEX(R:R,COUNTA($B:$B)+14-COUNTA($B$1:$B$14)))</f>
        <v>0</v>
      </c>
      <c r="S4" s="73" t="str">
        <f aca="false">IF(SUM($F4)=0,"",SUM($R4)/$F4)</f>
        <v/>
      </c>
      <c r="T4" s="76" t="n">
        <f aca="false">SUBTOTAL(109,T$15:INDEX(T:T,COUNTA($B:$B)+14-COUNTA($B$1:$B$14)))</f>
        <v>0</v>
      </c>
      <c r="U4" s="78"/>
      <c r="V4" s="78"/>
      <c r="W4" s="73" t="n">
        <f aca="false">SUBTOTAL(109,W$15:INDEX(W:W,COUNTA($B:$B)+14-COUNTA($B$1:$B$14)))</f>
        <v>0</v>
      </c>
      <c r="X4" s="73" t="n">
        <f aca="false">SUBTOTAL(109,X$15:INDEX(X:X,COUNTA($B:$B)+14-COUNTA($B$1:$B$14)))</f>
        <v>0</v>
      </c>
      <c r="Y4" s="78" t="str">
        <f aca="false">IF($X$4=0,"",$Z$4/$X$4)</f>
        <v/>
      </c>
      <c r="Z4" s="82" t="n">
        <f aca="false">SUBTOTAL(109,Z$15:INDEX(Z:Z,COUNTA($B:$B)+14-COUNTA($B$1:$B$14)))</f>
        <v>0</v>
      </c>
      <c r="AA4" s="80" t="str">
        <f aca="false">IF($X$4=0,"",($AB$4-$P$4)/$X$4)</f>
        <v/>
      </c>
      <c r="AB4" s="75" t="n">
        <f aca="false">SUBTOTAL(109,AB$15:INDEX(AB:AB,COUNTA($B:$B)+14-COUNTA($B$1:$B$14)))</f>
        <v>0</v>
      </c>
      <c r="AC4" s="78" t="str">
        <f aca="false">IF($AB$4=0,"",$AD$4/$AB$4)</f>
        <v/>
      </c>
      <c r="AD4" s="82" t="n">
        <f aca="false">SUBTOTAL(109,AD$15:INDEX(AD:AD,COUNTA($B:$B)+14-COUNTA($B$1:$B$14)))</f>
        <v>0</v>
      </c>
      <c r="AE4" s="80" t="str">
        <f aca="false">IF($AD$4=0,"",$AF$4/$AD$4)</f>
        <v/>
      </c>
      <c r="AF4" s="82" t="n">
        <f aca="false">SUBTOTAL(109,AF$15:INDEX(AF:AF,COUNTA($B:$B)+14-COUNTA($B$1:$B$14)))</f>
        <v>0</v>
      </c>
      <c r="AG4" s="74" t="n">
        <f aca="false">SUBTOTAL(109,AG$15:INDEX(AG:AG,COUNTA($B:$B)+14-COUNTA($B$1:$B$14)))</f>
        <v>0</v>
      </c>
      <c r="AH4" s="73" t="n">
        <f aca="false">SUBTOTAL(109,AH$15:INDEX(AH:AH,COUNTA($B:$B)+14-COUNTA($B$1:$B$14)))</f>
        <v>0</v>
      </c>
      <c r="AI4" s="78" t="str">
        <f aca="false">IF($AK$4=0,"",$Z$4/$AK$4)</f>
        <v/>
      </c>
      <c r="AJ4" s="78" t="str">
        <f aca="false">IF(SUM($AK$4,$AL$4)=0,"",$AK$4/SUM($AK$4,$AL$4))</f>
        <v/>
      </c>
      <c r="AK4" s="82" t="n">
        <f aca="false">SUBTOTAL(109,AK$15:INDEX(AK:AK,COUNTA($B:$B)+14-COUNTA($B$1:$B$14)))</f>
        <v>0</v>
      </c>
      <c r="AL4" s="82" t="n">
        <f aca="false">SUBTOTAL(109,AL$15:INDEX(AL:AL,COUNTA($B:$B)+14-COUNTA($B$1:$B$14)))</f>
        <v>0</v>
      </c>
      <c r="AM4" s="80" t="str">
        <f aca="false">IF($AK$4=0,"",$AN$4/$AK$4)</f>
        <v/>
      </c>
      <c r="AN4" s="82" t="n">
        <f aca="false">SUBTOTAL(109,AN$15:INDEX(AN:AN,COUNTA($B:$B)+14-COUNTA($B$1:$B$14)))</f>
        <v>0</v>
      </c>
      <c r="AO4" s="74" t="n">
        <f aca="false">SUBTOTAL(109,AO$15:INDEX(AO:AO,COUNTA($B:$B)+14-COUNTA($B$1:$B$14)))</f>
        <v>0</v>
      </c>
      <c r="AP4" s="82" t="n">
        <f aca="false">SUBTOTAL(109,AP$15:INDEX(AP:AP,COUNTA($B:$B)+14-COUNTA($B$1:$B$14)))</f>
        <v>0</v>
      </c>
    </row>
    <row r="5" customFormat="false" ht="12.8" hidden="false" customHeight="false" outlineLevel="0" collapsed="false">
      <c r="A5" s="91" t="s">
        <v>181</v>
      </c>
      <c r="B5" s="40" t="s">
        <v>181</v>
      </c>
      <c r="C5" s="40" t="s">
        <v>181</v>
      </c>
      <c r="D5" s="40" t="s">
        <v>181</v>
      </c>
      <c r="E5" s="81" t="s">
        <v>182</v>
      </c>
      <c r="F5" s="5" t="s">
        <v>182</v>
      </c>
      <c r="G5" s="123" t="s">
        <v>182</v>
      </c>
      <c r="H5" s="85" t="s">
        <v>289</v>
      </c>
      <c r="I5" s="5" t="s">
        <v>289</v>
      </c>
      <c r="J5" s="112" t="s">
        <v>289</v>
      </c>
      <c r="K5" s="5" t="s">
        <v>289</v>
      </c>
      <c r="L5" s="112" t="s">
        <v>289</v>
      </c>
      <c r="M5" s="5" t="s">
        <v>289</v>
      </c>
      <c r="N5" s="112" t="s">
        <v>289</v>
      </c>
      <c r="O5" s="91" t="s">
        <v>289</v>
      </c>
      <c r="P5" s="91" t="s">
        <v>181</v>
      </c>
      <c r="Q5" s="5" t="s">
        <v>289</v>
      </c>
      <c r="R5" s="10" t="s">
        <v>181</v>
      </c>
      <c r="S5" s="10" t="s">
        <v>181</v>
      </c>
      <c r="T5" s="112" t="s">
        <v>289</v>
      </c>
      <c r="U5" s="87" t="s">
        <v>181</v>
      </c>
      <c r="V5" s="87" t="s">
        <v>181</v>
      </c>
      <c r="W5" s="10" t="s">
        <v>181</v>
      </c>
      <c r="X5" s="10" t="s">
        <v>181</v>
      </c>
      <c r="Y5" s="87" t="s">
        <v>181</v>
      </c>
      <c r="Z5" s="5" t="s">
        <v>289</v>
      </c>
      <c r="AA5" s="114" t="s">
        <v>181</v>
      </c>
      <c r="AB5" s="91" t="s">
        <v>181</v>
      </c>
      <c r="AC5" s="87" t="s">
        <v>181</v>
      </c>
      <c r="AD5" s="5" t="s">
        <v>289</v>
      </c>
      <c r="AE5" s="114" t="s">
        <v>181</v>
      </c>
      <c r="AF5" s="5" t="s">
        <v>289</v>
      </c>
      <c r="AG5" s="85" t="s">
        <v>289</v>
      </c>
      <c r="AH5" s="10" t="s">
        <v>289</v>
      </c>
      <c r="AI5" s="87" t="s">
        <v>181</v>
      </c>
      <c r="AJ5" s="87" t="s">
        <v>181</v>
      </c>
      <c r="AK5" s="5" t="s">
        <v>289</v>
      </c>
      <c r="AL5" s="5" t="s">
        <v>289</v>
      </c>
      <c r="AM5" s="114" t="s">
        <v>181</v>
      </c>
      <c r="AN5" s="5" t="s">
        <v>289</v>
      </c>
      <c r="AO5" s="85" t="s">
        <v>289</v>
      </c>
      <c r="AP5" s="5" t="s">
        <v>289</v>
      </c>
    </row>
    <row r="6" customFormat="false" ht="12.8" hidden="false" customHeight="false" outlineLevel="0" collapsed="false">
      <c r="A6" s="91" t="s">
        <v>183</v>
      </c>
      <c r="B6" s="40" t="s">
        <v>183</v>
      </c>
      <c r="C6" s="40" t="s">
        <v>183</v>
      </c>
      <c r="D6" s="40" t="s">
        <v>183</v>
      </c>
      <c r="E6" s="81" t="s">
        <v>185</v>
      </c>
      <c r="F6" s="5" t="s">
        <v>185</v>
      </c>
      <c r="G6" s="123" t="s">
        <v>185</v>
      </c>
      <c r="H6" s="85" t="s">
        <v>184</v>
      </c>
      <c r="I6" s="5" t="s">
        <v>185</v>
      </c>
      <c r="J6" s="112" t="s">
        <v>184</v>
      </c>
      <c r="K6" s="5" t="s">
        <v>185</v>
      </c>
      <c r="L6" s="112" t="s">
        <v>184</v>
      </c>
      <c r="M6" s="5" t="s">
        <v>185</v>
      </c>
      <c r="N6" s="112" t="s">
        <v>184</v>
      </c>
      <c r="O6" s="91" t="s">
        <v>184</v>
      </c>
      <c r="P6" s="91" t="s">
        <v>291</v>
      </c>
      <c r="Q6" s="5" t="s">
        <v>185</v>
      </c>
      <c r="R6" s="10" t="s">
        <v>291</v>
      </c>
      <c r="S6" s="10" t="s">
        <v>291</v>
      </c>
      <c r="T6" s="112" t="s">
        <v>184</v>
      </c>
      <c r="U6" s="87" t="s">
        <v>291</v>
      </c>
      <c r="V6" s="87" t="s">
        <v>291</v>
      </c>
      <c r="W6" s="10" t="s">
        <v>186</v>
      </c>
      <c r="X6" s="10" t="s">
        <v>186</v>
      </c>
      <c r="Y6" s="87" t="s">
        <v>291</v>
      </c>
      <c r="Z6" s="5" t="s">
        <v>185</v>
      </c>
      <c r="AA6" s="114" t="s">
        <v>291</v>
      </c>
      <c r="AB6" s="91" t="s">
        <v>186</v>
      </c>
      <c r="AC6" s="87" t="s">
        <v>291</v>
      </c>
      <c r="AD6" s="5" t="s">
        <v>185</v>
      </c>
      <c r="AE6" s="114" t="s">
        <v>291</v>
      </c>
      <c r="AF6" s="5" t="s">
        <v>185</v>
      </c>
      <c r="AG6" s="85" t="s">
        <v>184</v>
      </c>
      <c r="AH6" s="10" t="s">
        <v>184</v>
      </c>
      <c r="AI6" s="87" t="s">
        <v>291</v>
      </c>
      <c r="AJ6" s="87" t="s">
        <v>292</v>
      </c>
      <c r="AK6" s="5" t="s">
        <v>185</v>
      </c>
      <c r="AL6" s="5" t="s">
        <v>185</v>
      </c>
      <c r="AM6" s="114" t="s">
        <v>291</v>
      </c>
      <c r="AN6" s="5" t="s">
        <v>185</v>
      </c>
      <c r="AO6" s="85" t="s">
        <v>184</v>
      </c>
      <c r="AP6" s="5" t="s">
        <v>185</v>
      </c>
    </row>
    <row r="7" customFormat="false" ht="12.8" hidden="false" customHeight="false" outlineLevel="0" collapsed="false">
      <c r="A7" s="91" t="s">
        <v>187</v>
      </c>
      <c r="B7" s="40" t="s">
        <v>187</v>
      </c>
      <c r="C7" s="40" t="s">
        <v>187</v>
      </c>
      <c r="D7" s="40" t="s">
        <v>187</v>
      </c>
      <c r="E7" s="81" t="s">
        <v>188</v>
      </c>
      <c r="F7" s="5" t="s">
        <v>188</v>
      </c>
      <c r="G7" s="123" t="s">
        <v>294</v>
      </c>
      <c r="H7" s="85" t="s">
        <v>188</v>
      </c>
      <c r="I7" s="5" t="s">
        <v>188</v>
      </c>
      <c r="J7" s="112" t="s">
        <v>188</v>
      </c>
      <c r="K7" s="5" t="s">
        <v>188</v>
      </c>
      <c r="L7" s="112" t="s">
        <v>188</v>
      </c>
      <c r="M7" s="5" t="s">
        <v>188</v>
      </c>
      <c r="N7" s="112" t="s">
        <v>188</v>
      </c>
      <c r="O7" s="91" t="s">
        <v>188</v>
      </c>
      <c r="P7" s="91" t="s">
        <v>188</v>
      </c>
      <c r="Q7" s="5" t="s">
        <v>188</v>
      </c>
      <c r="R7" s="10" t="s">
        <v>188</v>
      </c>
      <c r="S7" s="10" t="s">
        <v>188</v>
      </c>
      <c r="T7" s="112" t="s">
        <v>188</v>
      </c>
      <c r="U7" s="87" t="s">
        <v>294</v>
      </c>
      <c r="V7" s="87" t="s">
        <v>294</v>
      </c>
      <c r="W7" s="10" t="s">
        <v>188</v>
      </c>
      <c r="X7" s="10" t="s">
        <v>188</v>
      </c>
      <c r="Y7" s="87" t="s">
        <v>294</v>
      </c>
      <c r="Z7" s="5" t="s">
        <v>188</v>
      </c>
      <c r="AA7" s="114" t="s">
        <v>294</v>
      </c>
      <c r="AB7" s="91" t="s">
        <v>188</v>
      </c>
      <c r="AC7" s="87" t="s">
        <v>294</v>
      </c>
      <c r="AD7" s="5" t="s">
        <v>188</v>
      </c>
      <c r="AE7" s="114" t="s">
        <v>294</v>
      </c>
      <c r="AF7" s="5" t="s">
        <v>188</v>
      </c>
      <c r="AG7" s="85" t="s">
        <v>188</v>
      </c>
      <c r="AH7" s="10" t="s">
        <v>188</v>
      </c>
      <c r="AI7" s="87" t="s">
        <v>294</v>
      </c>
      <c r="AJ7" s="87" t="s">
        <v>294</v>
      </c>
      <c r="AK7" s="5" t="s">
        <v>188</v>
      </c>
      <c r="AL7" s="5" t="s">
        <v>188</v>
      </c>
      <c r="AM7" s="114" t="s">
        <v>294</v>
      </c>
      <c r="AN7" s="5" t="s">
        <v>188</v>
      </c>
      <c r="AO7" s="85" t="s">
        <v>188</v>
      </c>
      <c r="AP7" s="5" t="s">
        <v>188</v>
      </c>
    </row>
    <row r="8" customFormat="false" ht="12.8" hidden="false" customHeight="false" outlineLevel="0" collapsed="false">
      <c r="B8" s="40"/>
      <c r="C8" s="40"/>
      <c r="D8" s="40"/>
      <c r="E8" s="96" t="s">
        <v>406</v>
      </c>
      <c r="F8" s="97" t="s">
        <v>407</v>
      </c>
      <c r="G8" s="124" t="s">
        <v>408</v>
      </c>
      <c r="H8" s="93" t="s">
        <v>409</v>
      </c>
      <c r="I8" s="97" t="s">
        <v>409</v>
      </c>
      <c r="J8" s="125" t="s">
        <v>410</v>
      </c>
      <c r="K8" s="97" t="s">
        <v>410</v>
      </c>
      <c r="L8" s="125" t="s">
        <v>411</v>
      </c>
      <c r="M8" s="97" t="s">
        <v>411</v>
      </c>
      <c r="N8" s="125" t="s">
        <v>412</v>
      </c>
      <c r="O8" s="126" t="s">
        <v>413</v>
      </c>
      <c r="P8" s="91"/>
      <c r="Q8" s="97" t="s">
        <v>413</v>
      </c>
      <c r="R8" s="10"/>
      <c r="S8" s="10"/>
      <c r="T8" s="125" t="s">
        <v>414</v>
      </c>
      <c r="U8" s="87"/>
      <c r="V8" s="87"/>
      <c r="W8" s="10"/>
      <c r="X8" s="10"/>
      <c r="Y8" s="87"/>
      <c r="Z8" s="97" t="s">
        <v>414</v>
      </c>
      <c r="AA8" s="114"/>
      <c r="AB8" s="91"/>
      <c r="AC8" s="87"/>
      <c r="AD8" s="97" t="s">
        <v>415</v>
      </c>
      <c r="AE8" s="114"/>
      <c r="AF8" s="97" t="s">
        <v>416</v>
      </c>
      <c r="AG8" s="93" t="s">
        <v>417</v>
      </c>
      <c r="AH8" s="94" t="s">
        <v>417</v>
      </c>
      <c r="AI8" s="87"/>
      <c r="AJ8" s="87"/>
      <c r="AK8" s="97" t="s">
        <v>417</v>
      </c>
      <c r="AL8" s="97" t="s">
        <v>417</v>
      </c>
      <c r="AM8" s="114"/>
      <c r="AN8" s="97" t="s">
        <v>418</v>
      </c>
      <c r="AO8" s="125" t="s">
        <v>419</v>
      </c>
      <c r="AP8" s="97" t="s">
        <v>419</v>
      </c>
    </row>
    <row r="9" customFormat="false" ht="12.8" hidden="false" customHeight="false" outlineLevel="0" collapsed="false">
      <c r="B9" s="40"/>
      <c r="C9" s="40"/>
      <c r="D9" s="40"/>
      <c r="E9" s="96"/>
      <c r="F9" s="97"/>
      <c r="G9" s="124"/>
      <c r="H9" s="93" t="s">
        <v>420</v>
      </c>
      <c r="I9" s="97" t="s">
        <v>420</v>
      </c>
      <c r="J9" s="125" t="s">
        <v>421</v>
      </c>
      <c r="K9" s="97" t="s">
        <v>421</v>
      </c>
      <c r="L9" s="125" t="s">
        <v>422</v>
      </c>
      <c r="M9" s="97" t="s">
        <v>422</v>
      </c>
      <c r="N9" s="125" t="s">
        <v>423</v>
      </c>
      <c r="O9" s="126" t="s">
        <v>424</v>
      </c>
      <c r="P9" s="91"/>
      <c r="Q9" s="97" t="s">
        <v>424</v>
      </c>
      <c r="R9" s="10"/>
      <c r="S9" s="10"/>
      <c r="T9" s="125" t="s">
        <v>425</v>
      </c>
      <c r="U9" s="87"/>
      <c r="V9" s="87"/>
      <c r="W9" s="10"/>
      <c r="X9" s="10"/>
      <c r="Y9" s="87"/>
      <c r="Z9" s="97" t="s">
        <v>425</v>
      </c>
      <c r="AA9" s="114"/>
      <c r="AB9" s="91"/>
      <c r="AC9" s="87"/>
      <c r="AD9" s="97" t="s">
        <v>426</v>
      </c>
      <c r="AE9" s="114"/>
      <c r="AF9" s="97" t="s">
        <v>427</v>
      </c>
      <c r="AG9" s="93" t="s">
        <v>428</v>
      </c>
      <c r="AH9" s="94" t="s">
        <v>428</v>
      </c>
      <c r="AI9" s="87"/>
      <c r="AJ9" s="87"/>
      <c r="AK9" s="97" t="s">
        <v>428</v>
      </c>
      <c r="AL9" s="97" t="s">
        <v>428</v>
      </c>
      <c r="AM9" s="114"/>
      <c r="AN9" s="97" t="s">
        <v>429</v>
      </c>
      <c r="AO9" s="125" t="s">
        <v>430</v>
      </c>
      <c r="AP9" s="97" t="s">
        <v>430</v>
      </c>
    </row>
    <row r="10" customFormat="false" ht="12.8" hidden="false" customHeight="false" outlineLevel="0" collapsed="false">
      <c r="B10" s="40"/>
      <c r="C10" s="40"/>
      <c r="D10" s="40"/>
      <c r="E10" s="96"/>
      <c r="F10" s="97" t="s">
        <v>312</v>
      </c>
      <c r="G10" s="124" t="s">
        <v>312</v>
      </c>
      <c r="H10" s="93"/>
      <c r="I10" s="97"/>
      <c r="J10" s="125"/>
      <c r="K10" s="97"/>
      <c r="L10" s="125"/>
      <c r="M10" s="97"/>
      <c r="N10" s="125" t="s">
        <v>312</v>
      </c>
      <c r="O10" s="126" t="s">
        <v>312</v>
      </c>
      <c r="P10" s="91"/>
      <c r="Q10" s="97" t="s">
        <v>312</v>
      </c>
      <c r="R10" s="10"/>
      <c r="S10" s="10"/>
      <c r="T10" s="125" t="s">
        <v>312</v>
      </c>
      <c r="U10" s="87"/>
      <c r="V10" s="87"/>
      <c r="W10" s="10"/>
      <c r="X10" s="10"/>
      <c r="Y10" s="87"/>
      <c r="Z10" s="97" t="s">
        <v>312</v>
      </c>
      <c r="AA10" s="114"/>
      <c r="AB10" s="91"/>
      <c r="AC10" s="87"/>
      <c r="AD10" s="97" t="s">
        <v>312</v>
      </c>
      <c r="AE10" s="114"/>
      <c r="AF10" s="97" t="s">
        <v>312</v>
      </c>
      <c r="AG10" s="93" t="s">
        <v>312</v>
      </c>
      <c r="AH10" s="94" t="s">
        <v>431</v>
      </c>
      <c r="AI10" s="87"/>
      <c r="AJ10" s="87"/>
      <c r="AK10" s="97" t="s">
        <v>312</v>
      </c>
      <c r="AL10" s="97" t="s">
        <v>431</v>
      </c>
      <c r="AM10" s="114"/>
      <c r="AN10" s="97" t="s">
        <v>312</v>
      </c>
      <c r="AO10" s="125"/>
      <c r="AP10" s="97"/>
    </row>
    <row r="11" customFormat="false" ht="12.8" hidden="false" customHeight="false" outlineLevel="0" collapsed="false">
      <c r="B11" s="40"/>
      <c r="C11" s="40"/>
      <c r="D11" s="40"/>
      <c r="E11" s="81"/>
      <c r="F11" s="5"/>
      <c r="G11" s="123"/>
      <c r="H11" s="85"/>
      <c r="I11" s="5"/>
      <c r="J11" s="112"/>
      <c r="K11" s="5"/>
      <c r="L11" s="112"/>
      <c r="M11" s="5"/>
      <c r="N11" s="112"/>
      <c r="O11" s="91"/>
      <c r="P11" s="91"/>
      <c r="Q11" s="5"/>
      <c r="R11" s="10"/>
      <c r="S11" s="10"/>
      <c r="T11" s="112"/>
      <c r="U11" s="87"/>
      <c r="V11" s="87"/>
      <c r="W11" s="10"/>
      <c r="X11" s="10"/>
      <c r="Y11" s="87"/>
      <c r="Z11" s="5"/>
      <c r="AA11" s="114"/>
      <c r="AB11" s="91"/>
      <c r="AC11" s="87"/>
      <c r="AD11" s="5"/>
      <c r="AE11" s="114"/>
      <c r="AF11" s="5"/>
      <c r="AG11" s="85"/>
      <c r="AH11" s="10"/>
      <c r="AI11" s="87"/>
      <c r="AJ11" s="87"/>
      <c r="AK11" s="5"/>
      <c r="AL11" s="5"/>
      <c r="AM11" s="114"/>
      <c r="AN11" s="5"/>
      <c r="AO11" s="85"/>
      <c r="AP11" s="5"/>
    </row>
    <row r="12" customFormat="false" ht="12.8" hidden="false" customHeight="false" outlineLevel="0" collapsed="false">
      <c r="B12" s="40"/>
      <c r="C12" s="40"/>
      <c r="D12" s="40"/>
      <c r="E12" s="81"/>
      <c r="F12" s="5"/>
      <c r="G12" s="123"/>
      <c r="H12" s="85"/>
      <c r="I12" s="5"/>
      <c r="J12" s="112"/>
      <c r="K12" s="5"/>
      <c r="L12" s="112"/>
      <c r="M12" s="5"/>
      <c r="N12" s="112"/>
      <c r="O12" s="91"/>
      <c r="P12" s="91"/>
      <c r="Q12" s="5"/>
      <c r="R12" s="10"/>
      <c r="S12" s="10"/>
      <c r="T12" s="112"/>
      <c r="U12" s="87"/>
      <c r="V12" s="87"/>
      <c r="W12" s="10"/>
      <c r="X12" s="10"/>
      <c r="Y12" s="87"/>
      <c r="Z12" s="5"/>
      <c r="AA12" s="114"/>
      <c r="AB12" s="91"/>
      <c r="AC12" s="87"/>
      <c r="AD12" s="5"/>
      <c r="AE12" s="114"/>
      <c r="AF12" s="5"/>
      <c r="AG12" s="85"/>
      <c r="AH12" s="10"/>
      <c r="AI12" s="87"/>
      <c r="AJ12" s="87"/>
      <c r="AK12" s="5"/>
      <c r="AL12" s="5"/>
      <c r="AM12" s="114"/>
      <c r="AN12" s="5"/>
      <c r="AO12" s="85"/>
      <c r="AP12" s="5"/>
    </row>
    <row r="13" customFormat="false" ht="12.8" hidden="false" customHeight="false" outlineLevel="0" collapsed="false">
      <c r="B13" s="40"/>
      <c r="C13" s="40"/>
      <c r="D13" s="40"/>
      <c r="E13" s="81" t="s">
        <v>432</v>
      </c>
      <c r="F13" s="5" t="s">
        <v>432</v>
      </c>
      <c r="G13" s="123" t="s">
        <v>432</v>
      </c>
      <c r="H13" s="85" t="s">
        <v>432</v>
      </c>
      <c r="I13" s="5" t="s">
        <v>432</v>
      </c>
      <c r="J13" s="112" t="s">
        <v>432</v>
      </c>
      <c r="K13" s="5" t="s">
        <v>432</v>
      </c>
      <c r="L13" s="112" t="s">
        <v>432</v>
      </c>
      <c r="M13" s="5" t="s">
        <v>432</v>
      </c>
      <c r="N13" s="112" t="s">
        <v>432</v>
      </c>
      <c r="O13" s="91" t="s">
        <v>432</v>
      </c>
      <c r="P13" s="91" t="s">
        <v>432</v>
      </c>
      <c r="Q13" s="5" t="s">
        <v>432</v>
      </c>
      <c r="R13" s="10" t="s">
        <v>432</v>
      </c>
      <c r="S13" s="10" t="s">
        <v>432</v>
      </c>
      <c r="T13" s="112" t="s">
        <v>432</v>
      </c>
      <c r="U13" s="87" t="s">
        <v>432</v>
      </c>
      <c r="V13" s="87" t="s">
        <v>432</v>
      </c>
      <c r="W13" s="10" t="s">
        <v>432</v>
      </c>
      <c r="X13" s="10" t="s">
        <v>432</v>
      </c>
      <c r="Y13" s="87" t="s">
        <v>432</v>
      </c>
      <c r="Z13" s="5" t="s">
        <v>432</v>
      </c>
      <c r="AA13" s="114" t="s">
        <v>432</v>
      </c>
      <c r="AB13" s="91" t="s">
        <v>432</v>
      </c>
      <c r="AC13" s="87" t="s">
        <v>432</v>
      </c>
      <c r="AD13" s="5" t="s">
        <v>432</v>
      </c>
      <c r="AE13" s="114" t="s">
        <v>432</v>
      </c>
      <c r="AF13" s="5" t="s">
        <v>432</v>
      </c>
      <c r="AG13" s="85" t="s">
        <v>432</v>
      </c>
      <c r="AH13" s="10" t="s">
        <v>432</v>
      </c>
      <c r="AI13" s="87" t="s">
        <v>432</v>
      </c>
      <c r="AJ13" s="87" t="s">
        <v>432</v>
      </c>
      <c r="AK13" s="5" t="s">
        <v>432</v>
      </c>
      <c r="AL13" s="5" t="s">
        <v>432</v>
      </c>
      <c r="AM13" s="114" t="s">
        <v>432</v>
      </c>
      <c r="AN13" s="5" t="s">
        <v>432</v>
      </c>
      <c r="AO13" s="85" t="s">
        <v>432</v>
      </c>
      <c r="AP13" s="5" t="s">
        <v>432</v>
      </c>
    </row>
    <row r="14" customFormat="false" ht="15" hidden="false" customHeight="false" outlineLevel="0" collapsed="false">
      <c r="A14" s="100" t="s">
        <v>176</v>
      </c>
      <c r="B14" s="33" t="s">
        <v>190</v>
      </c>
      <c r="C14" s="33" t="s">
        <v>433</v>
      </c>
      <c r="D14" s="33" t="s">
        <v>20</v>
      </c>
      <c r="E14" s="106" t="s">
        <v>434</v>
      </c>
      <c r="F14" s="107" t="s">
        <v>435</v>
      </c>
      <c r="G14" s="127" t="s">
        <v>436</v>
      </c>
      <c r="H14" s="101" t="s">
        <v>437</v>
      </c>
      <c r="I14" s="107" t="s">
        <v>438</v>
      </c>
      <c r="J14" s="101" t="s">
        <v>439</v>
      </c>
      <c r="K14" s="107" t="s">
        <v>440</v>
      </c>
      <c r="L14" s="101" t="s">
        <v>441</v>
      </c>
      <c r="M14" s="107" t="s">
        <v>442</v>
      </c>
      <c r="N14" s="101" t="s">
        <v>443</v>
      </c>
      <c r="O14" s="36" t="s">
        <v>444</v>
      </c>
      <c r="P14" s="36" t="s">
        <v>445</v>
      </c>
      <c r="Q14" s="107" t="s">
        <v>446</v>
      </c>
      <c r="R14" s="36" t="s">
        <v>447</v>
      </c>
      <c r="S14" s="36" t="s">
        <v>448</v>
      </c>
      <c r="T14" s="101" t="s">
        <v>449</v>
      </c>
      <c r="U14" s="103" t="s">
        <v>450</v>
      </c>
      <c r="V14" s="103" t="s">
        <v>451</v>
      </c>
      <c r="W14" s="36" t="s">
        <v>452</v>
      </c>
      <c r="X14" s="36" t="s">
        <v>453</v>
      </c>
      <c r="Y14" s="103" t="s">
        <v>454</v>
      </c>
      <c r="Z14" s="107" t="s">
        <v>455</v>
      </c>
      <c r="AA14" s="105" t="s">
        <v>353</v>
      </c>
      <c r="AB14" s="36" t="s">
        <v>354</v>
      </c>
      <c r="AC14" s="103" t="s">
        <v>456</v>
      </c>
      <c r="AD14" s="107" t="s">
        <v>457</v>
      </c>
      <c r="AE14" s="105" t="s">
        <v>458</v>
      </c>
      <c r="AF14" s="107" t="s">
        <v>459</v>
      </c>
      <c r="AG14" s="101" t="s">
        <v>460</v>
      </c>
      <c r="AH14" s="36" t="s">
        <v>461</v>
      </c>
      <c r="AI14" s="103" t="s">
        <v>462</v>
      </c>
      <c r="AJ14" s="103" t="s">
        <v>463</v>
      </c>
      <c r="AK14" s="107" t="s">
        <v>464</v>
      </c>
      <c r="AL14" s="107" t="s">
        <v>465</v>
      </c>
      <c r="AM14" s="105" t="s">
        <v>466</v>
      </c>
      <c r="AN14" s="107" t="s">
        <v>467</v>
      </c>
      <c r="AO14" s="101" t="s">
        <v>468</v>
      </c>
      <c r="AP14" s="107" t="s">
        <v>469</v>
      </c>
    </row>
    <row r="15" customFormat="false" ht="15" hidden="false" customHeight="false" outlineLevel="0" collapsed="false">
      <c r="A15" s="91" t="str">
        <f aca="false">INDEX(Prioritization!$D:$D,MATCH($B15,Prioritization!$A:$A,0))</f>
        <v>Military</v>
      </c>
      <c r="B15" s="40" t="s">
        <v>194</v>
      </c>
      <c r="C15" s="40" t="s">
        <v>470</v>
      </c>
      <c r="D15" s="40" t="str">
        <f aca="false">B15&amp;"|"&amp;C15</f>
        <v>_Military Malawi [PQZgU9dagaH]|FSW</v>
      </c>
      <c r="E15" s="39"/>
      <c r="F15" s="39"/>
      <c r="G15" s="5"/>
      <c r="H15" s="10"/>
      <c r="I15" s="39"/>
      <c r="J15" s="10"/>
      <c r="K15" s="39"/>
      <c r="L15" s="81"/>
      <c r="M15" s="5"/>
      <c r="N15" s="85"/>
      <c r="O15" s="10"/>
      <c r="P15" s="10" t="str">
        <f aca="false">IF(MAX($N15,$O15)=0,"",MAX($N15,$O15))</f>
        <v/>
      </c>
      <c r="Q15" s="5" t="str">
        <f aca="false">IF(SUM($P15)=0,"",SUM($P15))</f>
        <v/>
      </c>
      <c r="R15" s="10"/>
      <c r="S15" s="10" t="str">
        <f aca="false">IF(SUM($F15)=0,"",SUM($R15)/$F15)</f>
        <v/>
      </c>
      <c r="T15" s="85"/>
      <c r="U15" s="88" t="n">
        <f aca="false">0.98</f>
        <v>0.98</v>
      </c>
      <c r="V15" s="88" t="n">
        <f aca="false">0.98</f>
        <v>0.98</v>
      </c>
      <c r="W15" s="91" t="str">
        <f aca="false">IF(SUM($P15,$Q15)=0,"",SUM($Q15)-SUM($P15))</f>
        <v/>
      </c>
      <c r="X15" s="91" t="str">
        <f aca="false">IFERROR(1/(1/ROUND((SUM($Q15)-(SUM($P15)*SUM($U15)))/$V15,0)),"")</f>
        <v/>
      </c>
      <c r="Y15" s="88" t="n">
        <f aca="false">1</f>
        <v>1</v>
      </c>
      <c r="Z15" s="5" t="str">
        <f aca="false">IFERROR(1/(1/ROUND(SUM($X15)*SUM($Y15),0)),"")</f>
        <v/>
      </c>
      <c r="AA15" s="114" t="n">
        <f aca="false">0.7</f>
        <v>0.7</v>
      </c>
      <c r="AB15" s="91" t="str">
        <f aca="false">IFERROR(1/(1/ROUND($P15+(SUM($X15)*$AA15),0)),"")</f>
        <v/>
      </c>
      <c r="AC15" s="87" t="n">
        <f aca="false">0.95</f>
        <v>0.95</v>
      </c>
      <c r="AD15" s="5" t="str">
        <f aca="false">IF(SUM($AB15)=0,"",ROUND($AB15*$AC15,0))</f>
        <v/>
      </c>
      <c r="AE15" s="114" t="n">
        <f aca="false">0.95</f>
        <v>0.95</v>
      </c>
      <c r="AF15" s="5" t="str">
        <f aca="false">IF(SUM($AD15)=0,"",ROUND($AD15*$AE15,0))</f>
        <v/>
      </c>
      <c r="AG15" s="10"/>
      <c r="AH15" s="10"/>
      <c r="AI15" s="88" t="n">
        <f aca="false">0.95</f>
        <v>0.95</v>
      </c>
      <c r="AJ15" s="88"/>
      <c r="AK15" s="5" t="str">
        <f aca="false">IF(SUM($Z15)=0,"",IF(AND(SUM($Z15)&gt;0,$AI15=""),"ENTER LINKAGE RATE",ROUND($Z15/$AI15,0)))</f>
        <v/>
      </c>
      <c r="AL15" s="5" t="str">
        <f aca="false">IF(SUM($AK15)=0,"",IF(AND($AK15&gt;0,$AJ15=""),"ENTER YIELD RATE",ROUND($AK15/$AJ15-$AK15,0)))</f>
        <v/>
      </c>
      <c r="AM15" s="92" t="n">
        <f aca="false">1</f>
        <v>1</v>
      </c>
      <c r="AN15" s="5" t="str">
        <f aca="false">IF(SUM($AK15)=0,"",ROUND($AK15*$AM15,0))</f>
        <v/>
      </c>
      <c r="AO15" s="10"/>
      <c r="AP15" s="39"/>
    </row>
    <row r="16" customFormat="false" ht="15" hidden="false" customHeight="false" outlineLevel="0" collapsed="false">
      <c r="A16" s="0" t="str">
        <f aca="false">INDEX(Prioritization!$D:$D,MATCH($B16,Prioritization!$A:$A,0))</f>
        <v>Military</v>
      </c>
      <c r="B16" s="0" t="s">
        <v>194</v>
      </c>
      <c r="C16" s="0" t="s">
        <v>471</v>
      </c>
      <c r="D16" s="0" t="str">
        <f aca="false">B16&amp;"|"&amp;C16</f>
        <v>_Military Malawi [PQZgU9dagaH]|MSM</v>
      </c>
      <c r="E16" s="39"/>
      <c r="F16" s="39"/>
      <c r="G16" s="39"/>
      <c r="H16" s="10"/>
      <c r="I16" s="39"/>
      <c r="J16" s="10"/>
      <c r="K16" s="39"/>
      <c r="L16" s="10"/>
      <c r="M16" s="39"/>
      <c r="N16" s="10"/>
      <c r="O16" s="10"/>
      <c r="P16" s="10" t="str">
        <f aca="false">IF(MAX($N16,$O16)=0,"",MAX($N16,$O16))</f>
        <v/>
      </c>
      <c r="Q16" s="39" t="str">
        <f aca="false">IF(SUM($P16)=0,"",SUM($P16))</f>
        <v/>
      </c>
      <c r="R16" s="10"/>
      <c r="S16" s="10" t="str">
        <f aca="false">IF(SUM($F16)=0,"",SUM($R16)/$F16)</f>
        <v/>
      </c>
      <c r="T16" s="10"/>
      <c r="U16" s="88" t="n">
        <f aca="false">0.98</f>
        <v>0.98</v>
      </c>
      <c r="V16" s="88" t="n">
        <f aca="false">0.98</f>
        <v>0.98</v>
      </c>
      <c r="W16" s="10" t="str">
        <f aca="false">IF(SUM($P16,$Q16)=0,"",SUM($Q16)-SUM($P16))</f>
        <v/>
      </c>
      <c r="X16" s="10" t="str">
        <f aca="false">IFERROR(1/(1/ROUND((SUM($Q16)-(SUM($P16)*SUM($U16)))/$V16,0)),"")</f>
        <v/>
      </c>
      <c r="Y16" s="88" t="n">
        <f aca="false">1</f>
        <v>1</v>
      </c>
      <c r="Z16" s="39" t="str">
        <f aca="false">IFERROR(1/(1/ROUND(SUM($X16)*SUM($Y16),0)),"")</f>
        <v/>
      </c>
      <c r="AA16" s="88" t="n">
        <f aca="false">0.7</f>
        <v>0.7</v>
      </c>
      <c r="AB16" s="10" t="str">
        <f aca="false">IFERROR(1/(1/ROUND($P16+(SUM($X16)*$AA16),0)),"")</f>
        <v/>
      </c>
      <c r="AC16" s="88" t="n">
        <f aca="false">0.95</f>
        <v>0.95</v>
      </c>
      <c r="AD16" s="39" t="str">
        <f aca="false">IF(SUM($AB16)=0,"",ROUND($AB16*$AC16,0))</f>
        <v/>
      </c>
      <c r="AE16" s="88" t="n">
        <f aca="false">0.95</f>
        <v>0.95</v>
      </c>
      <c r="AF16" s="39" t="str">
        <f aca="false">IF(SUM($AD16)=0,"",ROUND($AD16*$AE16,0))</f>
        <v/>
      </c>
      <c r="AG16" s="10"/>
      <c r="AH16" s="10"/>
      <c r="AI16" s="88" t="n">
        <f aca="false">0.95</f>
        <v>0.95</v>
      </c>
      <c r="AJ16" s="88"/>
      <c r="AK16" s="39" t="str">
        <f aca="false">IF(SUM($Z16)=0,"",IF(AND(SUM($Z16)&gt;0,$AI16=""),"ENTER LINKAGE RATE",ROUND($Z16/$AI16,0)))</f>
        <v/>
      </c>
      <c r="AL16" s="39" t="str">
        <f aca="false">IF(SUM($AK16)=0,"",IF(AND($AK16&gt;0,$AJ16=""),"ENTER YIELD RATE",ROUND($AK16/$AJ16-$AK16,0)))</f>
        <v/>
      </c>
      <c r="AM16" s="88" t="n">
        <f aca="false">1</f>
        <v>1</v>
      </c>
      <c r="AN16" s="39" t="str">
        <f aca="false">IF(SUM($AK16)=0,"",ROUND($AK16*$AM16,0))</f>
        <v/>
      </c>
      <c r="AO16" s="10"/>
      <c r="AP16" s="39"/>
    </row>
    <row r="17" customFormat="false" ht="15" hidden="false" customHeight="false" outlineLevel="0" collapsed="false">
      <c r="A17" s="0" t="str">
        <f aca="false">INDEX(Prioritization!$D:$D,MATCH($B17,Prioritization!$A:$A,0))</f>
        <v>Military</v>
      </c>
      <c r="B17" s="0" t="s">
        <v>194</v>
      </c>
      <c r="C17" s="0" t="s">
        <v>472</v>
      </c>
      <c r="D17" s="0" t="str">
        <f aca="false">B17&amp;"|"&amp;C17</f>
        <v>_Military Malawi [PQZgU9dagaH]|People in prisons and other enclosed settings</v>
      </c>
      <c r="E17" s="39"/>
      <c r="F17" s="39"/>
      <c r="G17" s="39"/>
      <c r="H17" s="10"/>
      <c r="I17" s="39"/>
      <c r="J17" s="10"/>
      <c r="K17" s="39"/>
      <c r="L17" s="10"/>
      <c r="M17" s="39"/>
      <c r="N17" s="10"/>
      <c r="O17" s="10"/>
      <c r="P17" s="10" t="str">
        <f aca="false">IF(MAX($N17,$O17)=0,"",MAX($N17,$O17))</f>
        <v/>
      </c>
      <c r="Q17" s="39" t="str">
        <f aca="false">IF(SUM($P17)=0,"",SUM($P17))</f>
        <v/>
      </c>
      <c r="R17" s="10"/>
      <c r="S17" s="10" t="str">
        <f aca="false">IF(SUM($F17)=0,"",SUM($R17)/$F17)</f>
        <v/>
      </c>
      <c r="T17" s="10"/>
      <c r="U17" s="88" t="n">
        <f aca="false">0.98</f>
        <v>0.98</v>
      </c>
      <c r="V17" s="88" t="n">
        <f aca="false">0.98</f>
        <v>0.98</v>
      </c>
      <c r="W17" s="10" t="str">
        <f aca="false">IF(SUM($P17,$Q17)=0,"",SUM($Q17)-SUM($P17))</f>
        <v/>
      </c>
      <c r="X17" s="10" t="str">
        <f aca="false">IFERROR(1/(1/ROUND((SUM($Q17)-(SUM($P17)*SUM($U17)))/$V17,0)),"")</f>
        <v/>
      </c>
      <c r="Y17" s="88" t="n">
        <f aca="false">1</f>
        <v>1</v>
      </c>
      <c r="Z17" s="39" t="str">
        <f aca="false">IFERROR(1/(1/ROUND(SUM($X17)*SUM($Y17),0)),"")</f>
        <v/>
      </c>
      <c r="AA17" s="88" t="n">
        <f aca="false">0.7</f>
        <v>0.7</v>
      </c>
      <c r="AB17" s="10" t="str">
        <f aca="false">IFERROR(1/(1/ROUND($P17+(SUM($X17)*$AA17),0)),"")</f>
        <v/>
      </c>
      <c r="AC17" s="88" t="n">
        <f aca="false">0.95</f>
        <v>0.95</v>
      </c>
      <c r="AD17" s="39" t="str">
        <f aca="false">IF(SUM($AB17)=0,"",ROUND($AB17*$AC17,0))</f>
        <v/>
      </c>
      <c r="AE17" s="88" t="n">
        <f aca="false">0.95</f>
        <v>0.95</v>
      </c>
      <c r="AF17" s="39" t="str">
        <f aca="false">IF(SUM($AD17)=0,"",ROUND($AD17*$AE17,0))</f>
        <v/>
      </c>
      <c r="AG17" s="10"/>
      <c r="AH17" s="10"/>
      <c r="AI17" s="88" t="n">
        <f aca="false">0.95</f>
        <v>0.95</v>
      </c>
      <c r="AJ17" s="88"/>
      <c r="AK17" s="39" t="str">
        <f aca="false">IF(SUM($Z17)=0,"",IF(AND(SUM($Z17)&gt;0,$AI17=""),"ENTER LINKAGE RATE",ROUND($Z17/$AI17,0)))</f>
        <v/>
      </c>
      <c r="AL17" s="39" t="str">
        <f aca="false">IF(SUM($AK17)=0,"",IF(AND($AK17&gt;0,$AJ17=""),"ENTER YIELD RATE",ROUND($AK17/$AJ17-$AK17,0)))</f>
        <v/>
      </c>
      <c r="AM17" s="88" t="n">
        <f aca="false">1</f>
        <v>1</v>
      </c>
      <c r="AN17" s="39" t="str">
        <f aca="false">IF(SUM($AK17)=0,"",ROUND($AK17*$AM17,0))</f>
        <v/>
      </c>
      <c r="AO17" s="10"/>
      <c r="AP17" s="39"/>
    </row>
    <row r="18" customFormat="false" ht="15" hidden="false" customHeight="false" outlineLevel="0" collapsed="false">
      <c r="A18" s="0" t="str">
        <f aca="false">INDEX(Prioritization!$D:$D,MATCH($B18,Prioritization!$A:$A,0))</f>
        <v>Military</v>
      </c>
      <c r="B18" s="0" t="s">
        <v>194</v>
      </c>
      <c r="C18" s="0" t="s">
        <v>473</v>
      </c>
      <c r="D18" s="0" t="str">
        <f aca="false">B18&amp;"|"&amp;C18</f>
        <v>_Military Malawi [PQZgU9dagaH]|PWID</v>
      </c>
      <c r="E18" s="39"/>
      <c r="F18" s="39"/>
      <c r="G18" s="39"/>
      <c r="H18" s="10"/>
      <c r="I18" s="39"/>
      <c r="J18" s="10"/>
      <c r="K18" s="39"/>
      <c r="L18" s="10"/>
      <c r="M18" s="39"/>
      <c r="N18" s="10"/>
      <c r="O18" s="10"/>
      <c r="P18" s="10" t="str">
        <f aca="false">IF(MAX($N18,$O18)=0,"",MAX($N18,$O18))</f>
        <v/>
      </c>
      <c r="Q18" s="39" t="str">
        <f aca="false">IF(SUM($P18)=0,"",SUM($P18))</f>
        <v/>
      </c>
      <c r="R18" s="10"/>
      <c r="S18" s="10" t="str">
        <f aca="false">IF(SUM($F18)=0,"",SUM($R18)/$F18)</f>
        <v/>
      </c>
      <c r="T18" s="10"/>
      <c r="U18" s="88" t="n">
        <f aca="false">0.98</f>
        <v>0.98</v>
      </c>
      <c r="V18" s="88" t="n">
        <f aca="false">0.98</f>
        <v>0.98</v>
      </c>
      <c r="W18" s="10" t="str">
        <f aca="false">IF(SUM($P18,$Q18)=0,"",SUM($Q18)-SUM($P18))</f>
        <v/>
      </c>
      <c r="X18" s="10" t="str">
        <f aca="false">IFERROR(1/(1/ROUND((SUM($Q18)-(SUM($P18)*SUM($U18)))/$V18,0)),"")</f>
        <v/>
      </c>
      <c r="Y18" s="88" t="n">
        <f aca="false">1</f>
        <v>1</v>
      </c>
      <c r="Z18" s="39" t="str">
        <f aca="false">IFERROR(1/(1/ROUND(SUM($X18)*SUM($Y18),0)),"")</f>
        <v/>
      </c>
      <c r="AA18" s="88" t="n">
        <f aca="false">0.7</f>
        <v>0.7</v>
      </c>
      <c r="AB18" s="10" t="str">
        <f aca="false">IFERROR(1/(1/ROUND($P18+(SUM($X18)*$AA18),0)),"")</f>
        <v/>
      </c>
      <c r="AC18" s="88" t="n">
        <f aca="false">0.95</f>
        <v>0.95</v>
      </c>
      <c r="AD18" s="39" t="str">
        <f aca="false">IF(SUM($AB18)=0,"",ROUND($AB18*$AC18,0))</f>
        <v/>
      </c>
      <c r="AE18" s="88" t="n">
        <f aca="false">0.95</f>
        <v>0.95</v>
      </c>
      <c r="AF18" s="39" t="str">
        <f aca="false">IF(SUM($AD18)=0,"",ROUND($AD18*$AE18,0))</f>
        <v/>
      </c>
      <c r="AG18" s="10"/>
      <c r="AH18" s="10"/>
      <c r="AI18" s="88" t="n">
        <f aca="false">0.95</f>
        <v>0.95</v>
      </c>
      <c r="AJ18" s="88"/>
      <c r="AK18" s="39" t="str">
        <f aca="false">IF(SUM($Z18)=0,"",IF(AND(SUM($Z18)&gt;0,$AI18=""),"ENTER LINKAGE RATE",ROUND($Z18/$AI18,0)))</f>
        <v/>
      </c>
      <c r="AL18" s="39" t="str">
        <f aca="false">IF(SUM($AK18)=0,"",IF(AND($AK18&gt;0,$AJ18=""),"ENTER YIELD RATE",ROUND($AK18/$AJ18-$AK18,0)))</f>
        <v/>
      </c>
      <c r="AM18" s="88" t="n">
        <f aca="false">1</f>
        <v>1</v>
      </c>
      <c r="AN18" s="39" t="str">
        <f aca="false">IF(SUM($AK18)=0,"",ROUND($AK18*$AM18,0))</f>
        <v/>
      </c>
      <c r="AO18" s="10"/>
      <c r="AP18" s="39"/>
    </row>
    <row r="19" customFormat="false" ht="15" hidden="false" customHeight="false" outlineLevel="0" collapsed="false">
      <c r="A19" s="0" t="str">
        <f aca="false">INDEX(Prioritization!$D:$D,MATCH($B19,Prioritization!$A:$A,0))</f>
        <v>Military</v>
      </c>
      <c r="B19" s="0" t="s">
        <v>194</v>
      </c>
      <c r="C19" s="0" t="s">
        <v>474</v>
      </c>
      <c r="D19" s="0" t="str">
        <f aca="false">B19&amp;"|"&amp;C19</f>
        <v>_Military Malawi [PQZgU9dagaH]|TG</v>
      </c>
      <c r="E19" s="39"/>
      <c r="F19" s="39"/>
      <c r="G19" s="39"/>
      <c r="H19" s="10"/>
      <c r="I19" s="39"/>
      <c r="J19" s="10"/>
      <c r="K19" s="39"/>
      <c r="L19" s="10"/>
      <c r="M19" s="39"/>
      <c r="N19" s="10"/>
      <c r="O19" s="10"/>
      <c r="P19" s="10" t="str">
        <f aca="false">IF(MAX($N19,$O19)=0,"",MAX($N19,$O19))</f>
        <v/>
      </c>
      <c r="Q19" s="39" t="str">
        <f aca="false">IF(SUM($P19)=0,"",SUM($P19))</f>
        <v/>
      </c>
      <c r="R19" s="10"/>
      <c r="S19" s="10" t="str">
        <f aca="false">IF(SUM($F19)=0,"",SUM($R19)/$F19)</f>
        <v/>
      </c>
      <c r="T19" s="10"/>
      <c r="U19" s="88" t="n">
        <f aca="false">0.98</f>
        <v>0.98</v>
      </c>
      <c r="V19" s="88" t="n">
        <f aca="false">0.98</f>
        <v>0.98</v>
      </c>
      <c r="W19" s="10" t="str">
        <f aca="false">IF(SUM($P19,$Q19)=0,"",SUM($Q19)-SUM($P19))</f>
        <v/>
      </c>
      <c r="X19" s="10" t="str">
        <f aca="false">IFERROR(1/(1/ROUND((SUM($Q19)-(SUM($P19)*SUM($U19)))/$V19,0)),"")</f>
        <v/>
      </c>
      <c r="Y19" s="88" t="n">
        <f aca="false">1</f>
        <v>1</v>
      </c>
      <c r="Z19" s="39" t="str">
        <f aca="false">IFERROR(1/(1/ROUND(SUM($X19)*SUM($Y19),0)),"")</f>
        <v/>
      </c>
      <c r="AA19" s="88" t="n">
        <f aca="false">0.7</f>
        <v>0.7</v>
      </c>
      <c r="AB19" s="10" t="str">
        <f aca="false">IFERROR(1/(1/ROUND($P19+(SUM($X19)*$AA19),0)),"")</f>
        <v/>
      </c>
      <c r="AC19" s="88" t="n">
        <f aca="false">0.95</f>
        <v>0.95</v>
      </c>
      <c r="AD19" s="39" t="str">
        <f aca="false">IF(SUM($AB19)=0,"",ROUND($AB19*$AC19,0))</f>
        <v/>
      </c>
      <c r="AE19" s="88" t="n">
        <f aca="false">0.95</f>
        <v>0.95</v>
      </c>
      <c r="AF19" s="39" t="str">
        <f aca="false">IF(SUM($AD19)=0,"",ROUND($AD19*$AE19,0))</f>
        <v/>
      </c>
      <c r="AG19" s="10"/>
      <c r="AH19" s="10"/>
      <c r="AI19" s="88" t="n">
        <f aca="false">0.95</f>
        <v>0.95</v>
      </c>
      <c r="AJ19" s="88"/>
      <c r="AK19" s="39" t="str">
        <f aca="false">IF(SUM($Z19)=0,"",IF(AND(SUM($Z19)&gt;0,$AI19=""),"ENTER LINKAGE RATE",ROUND($Z19/$AI19,0)))</f>
        <v/>
      </c>
      <c r="AL19" s="39" t="str">
        <f aca="false">IF(SUM($AK19)=0,"",IF(AND($AK19&gt;0,$AJ19=""),"ENTER YIELD RATE",ROUND($AK19/$AJ19-$AK19,0)))</f>
        <v/>
      </c>
      <c r="AM19" s="88" t="n">
        <f aca="false">1</f>
        <v>1</v>
      </c>
      <c r="AN19" s="39" t="str">
        <f aca="false">IF(SUM($AK19)=0,"",ROUND($AK19*$AM19,0))</f>
        <v/>
      </c>
      <c r="AO19" s="10"/>
      <c r="AP19" s="39"/>
    </row>
    <row r="20" customFormat="false" ht="15" hidden="false" customHeight="false" outlineLevel="0" collapsed="false">
      <c r="A20" s="0" t="str">
        <f aca="false">INDEX(Prioritization!$D:$D,MATCH($B20,Prioritization!$A:$A,0))</f>
        <v>1 - Scale-up: Saturation</v>
      </c>
      <c r="B20" s="0" t="s">
        <v>195</v>
      </c>
      <c r="C20" s="0" t="s">
        <v>470</v>
      </c>
      <c r="D20" s="0" t="str">
        <f aca="false">B20&amp;"|"&amp;C20</f>
        <v>Dedza District [PekKUkKHAzY]|FSW</v>
      </c>
      <c r="E20" s="39"/>
      <c r="F20" s="39"/>
      <c r="G20" s="39"/>
      <c r="H20" s="10"/>
      <c r="I20" s="39"/>
      <c r="J20" s="10"/>
      <c r="K20" s="39"/>
      <c r="L20" s="10"/>
      <c r="M20" s="39"/>
      <c r="N20" s="10"/>
      <c r="O20" s="10"/>
      <c r="P20" s="10" t="str">
        <f aca="false">IF(MAX($N20,$O20)=0,"",MAX($N20,$O20))</f>
        <v/>
      </c>
      <c r="Q20" s="39" t="str">
        <f aca="false">IF(SUM($P20)=0,"",SUM($P20))</f>
        <v/>
      </c>
      <c r="R20" s="10"/>
      <c r="S20" s="10" t="str">
        <f aca="false">IF(SUM($F20)=0,"",SUM($R20)/$F20)</f>
        <v/>
      </c>
      <c r="T20" s="10"/>
      <c r="U20" s="88" t="n">
        <f aca="false">0.98</f>
        <v>0.98</v>
      </c>
      <c r="V20" s="88" t="n">
        <f aca="false">0.98</f>
        <v>0.98</v>
      </c>
      <c r="W20" s="10" t="str">
        <f aca="false">IF(SUM($P20,$Q20)=0,"",SUM($Q20)-SUM($P20))</f>
        <v/>
      </c>
      <c r="X20" s="10" t="str">
        <f aca="false">IFERROR(1/(1/ROUND((SUM($Q20)-(SUM($P20)*SUM($U20)))/$V20,0)),"")</f>
        <v/>
      </c>
      <c r="Y20" s="88" t="n">
        <f aca="false">1</f>
        <v>1</v>
      </c>
      <c r="Z20" s="39" t="str">
        <f aca="false">IFERROR(1/(1/ROUND(SUM($X20)*SUM($Y20),0)),"")</f>
        <v/>
      </c>
      <c r="AA20" s="88" t="n">
        <f aca="false">0.7</f>
        <v>0.7</v>
      </c>
      <c r="AB20" s="10" t="str">
        <f aca="false">IFERROR(1/(1/ROUND($P20+(SUM($X20)*$AA20),0)),"")</f>
        <v/>
      </c>
      <c r="AC20" s="88" t="n">
        <f aca="false">0.95</f>
        <v>0.95</v>
      </c>
      <c r="AD20" s="39" t="str">
        <f aca="false">IF(SUM($AB20)=0,"",ROUND($AB20*$AC20,0))</f>
        <v/>
      </c>
      <c r="AE20" s="88" t="n">
        <f aca="false">0.95</f>
        <v>0.95</v>
      </c>
      <c r="AF20" s="39" t="str">
        <f aca="false">IF(SUM($AD20)=0,"",ROUND($AD20*$AE20,0))</f>
        <v/>
      </c>
      <c r="AG20" s="10"/>
      <c r="AH20" s="10"/>
      <c r="AI20" s="88" t="n">
        <f aca="false">0.95</f>
        <v>0.95</v>
      </c>
      <c r="AJ20" s="88"/>
      <c r="AK20" s="39" t="str">
        <f aca="false">IF(SUM($Z20)=0,"",IF(AND(SUM($Z20)&gt;0,$AI20=""),"ENTER LINKAGE RATE",ROUND($Z20/$AI20,0)))</f>
        <v/>
      </c>
      <c r="AL20" s="39" t="str">
        <f aca="false">IF(SUM($AK20)=0,"",IF(AND($AK20&gt;0,$AJ20=""),"ENTER YIELD RATE",ROUND($AK20/$AJ20-$AK20,0)))</f>
        <v/>
      </c>
      <c r="AM20" s="88" t="n">
        <f aca="false">1</f>
        <v>1</v>
      </c>
      <c r="AN20" s="39" t="str">
        <f aca="false">IF(SUM($AK20)=0,"",ROUND($AK20*$AM20,0))</f>
        <v/>
      </c>
      <c r="AO20" s="10"/>
      <c r="AP20" s="39"/>
    </row>
    <row r="21" customFormat="false" ht="15" hidden="false" customHeight="false" outlineLevel="0" collapsed="false">
      <c r="A21" s="0" t="str">
        <f aca="false">INDEX(Prioritization!$D:$D,MATCH($B21,Prioritization!$A:$A,0))</f>
        <v>1 - Scale-up: Saturation</v>
      </c>
      <c r="B21" s="0" t="s">
        <v>195</v>
      </c>
      <c r="C21" s="0" t="s">
        <v>471</v>
      </c>
      <c r="D21" s="0" t="str">
        <f aca="false">B21&amp;"|"&amp;C21</f>
        <v>Dedza District [PekKUkKHAzY]|MSM</v>
      </c>
      <c r="E21" s="39"/>
      <c r="F21" s="39"/>
      <c r="G21" s="39"/>
      <c r="H21" s="10"/>
      <c r="I21" s="39"/>
      <c r="J21" s="10"/>
      <c r="K21" s="39"/>
      <c r="L21" s="10"/>
      <c r="M21" s="39"/>
      <c r="N21" s="10"/>
      <c r="O21" s="10"/>
      <c r="P21" s="10" t="str">
        <f aca="false">IF(MAX($N21,$O21)=0,"",MAX($N21,$O21))</f>
        <v/>
      </c>
      <c r="Q21" s="39" t="str">
        <f aca="false">IF(SUM($P21)=0,"",SUM($P21))</f>
        <v/>
      </c>
      <c r="R21" s="10"/>
      <c r="S21" s="10" t="str">
        <f aca="false">IF(SUM($F21)=0,"",SUM($R21)/$F21)</f>
        <v/>
      </c>
      <c r="T21" s="10"/>
      <c r="U21" s="88" t="n">
        <f aca="false">0.98</f>
        <v>0.98</v>
      </c>
      <c r="V21" s="88" t="n">
        <f aca="false">0.98</f>
        <v>0.98</v>
      </c>
      <c r="W21" s="10" t="str">
        <f aca="false">IF(SUM($P21,$Q21)=0,"",SUM($Q21)-SUM($P21))</f>
        <v/>
      </c>
      <c r="X21" s="10" t="str">
        <f aca="false">IFERROR(1/(1/ROUND((SUM($Q21)-(SUM($P21)*SUM($U21)))/$V21,0)),"")</f>
        <v/>
      </c>
      <c r="Y21" s="88" t="n">
        <f aca="false">1</f>
        <v>1</v>
      </c>
      <c r="Z21" s="39" t="str">
        <f aca="false">IFERROR(1/(1/ROUND(SUM($X21)*SUM($Y21),0)),"")</f>
        <v/>
      </c>
      <c r="AA21" s="88" t="n">
        <f aca="false">0.7</f>
        <v>0.7</v>
      </c>
      <c r="AB21" s="10" t="str">
        <f aca="false">IFERROR(1/(1/ROUND($P21+(SUM($X21)*$AA21),0)),"")</f>
        <v/>
      </c>
      <c r="AC21" s="88" t="n">
        <f aca="false">0.95</f>
        <v>0.95</v>
      </c>
      <c r="AD21" s="39" t="str">
        <f aca="false">IF(SUM($AB21)=0,"",ROUND($AB21*$AC21,0))</f>
        <v/>
      </c>
      <c r="AE21" s="88" t="n">
        <f aca="false">0.95</f>
        <v>0.95</v>
      </c>
      <c r="AF21" s="39" t="str">
        <f aca="false">IF(SUM($AD21)=0,"",ROUND($AD21*$AE21,0))</f>
        <v/>
      </c>
      <c r="AG21" s="10"/>
      <c r="AH21" s="10"/>
      <c r="AI21" s="88" t="n">
        <f aca="false">0.95</f>
        <v>0.95</v>
      </c>
      <c r="AJ21" s="88"/>
      <c r="AK21" s="39" t="str">
        <f aca="false">IF(SUM($Z21)=0,"",IF(AND(SUM($Z21)&gt;0,$AI21=""),"ENTER LINKAGE RATE",ROUND($Z21/$AI21,0)))</f>
        <v/>
      </c>
      <c r="AL21" s="39" t="str">
        <f aca="false">IF(SUM($AK21)=0,"",IF(AND($AK21&gt;0,$AJ21=""),"ENTER YIELD RATE",ROUND($AK21/$AJ21-$AK21,0)))</f>
        <v/>
      </c>
      <c r="AM21" s="88" t="n">
        <f aca="false">1</f>
        <v>1</v>
      </c>
      <c r="AN21" s="39" t="str">
        <f aca="false">IF(SUM($AK21)=0,"",ROUND($AK21*$AM21,0))</f>
        <v/>
      </c>
      <c r="AO21" s="10"/>
      <c r="AP21" s="39"/>
    </row>
    <row r="22" customFormat="false" ht="15" hidden="false" customHeight="false" outlineLevel="0" collapsed="false">
      <c r="A22" s="0" t="str">
        <f aca="false">INDEX(Prioritization!$D:$D,MATCH($B22,Prioritization!$A:$A,0))</f>
        <v>1 - Scale-up: Saturation</v>
      </c>
      <c r="B22" s="0" t="s">
        <v>195</v>
      </c>
      <c r="C22" s="0" t="s">
        <v>472</v>
      </c>
      <c r="D22" s="0" t="str">
        <f aca="false">B22&amp;"|"&amp;C22</f>
        <v>Dedza District [PekKUkKHAzY]|People in prisons and other enclosed settings</v>
      </c>
      <c r="E22" s="39"/>
      <c r="F22" s="39"/>
      <c r="G22" s="39"/>
      <c r="H22" s="10"/>
      <c r="I22" s="39"/>
      <c r="J22" s="10"/>
      <c r="K22" s="39"/>
      <c r="L22" s="10" t="n">
        <v>53</v>
      </c>
      <c r="M22" s="39"/>
      <c r="N22" s="10" t="n">
        <v>1</v>
      </c>
      <c r="O22" s="10" t="n">
        <v>7</v>
      </c>
      <c r="P22" s="10" t="n">
        <f aca="false">IF(MAX($N22,$O22)=0,"",MAX($N22,$O22))</f>
        <v>7</v>
      </c>
      <c r="Q22" s="39" t="n">
        <f aca="false">IF(SUM($P22)=0,"",SUM($P22))</f>
        <v>7</v>
      </c>
      <c r="R22" s="10"/>
      <c r="S22" s="10" t="str">
        <f aca="false">IF(SUM($F22)=0,"",SUM($R22)/$F22)</f>
        <v/>
      </c>
      <c r="T22" s="10" t="n">
        <v>4</v>
      </c>
      <c r="U22" s="88" t="n">
        <f aca="false">0.98</f>
        <v>0.98</v>
      </c>
      <c r="V22" s="88" t="n">
        <f aca="false">0.98</f>
        <v>0.98</v>
      </c>
      <c r="W22" s="10" t="n">
        <f aca="false">IF(SUM($P22,$Q22)=0,"",SUM($Q22)-SUM($P22))</f>
        <v>0</v>
      </c>
      <c r="X22" s="10" t="str">
        <f aca="false">IFERROR(1/(1/ROUND((SUM($Q22)-(SUM($P22)*SUM($U22)))/$V22,0)),"")</f>
        <v/>
      </c>
      <c r="Y22" s="88" t="n">
        <f aca="false">1</f>
        <v>1</v>
      </c>
      <c r="Z22" s="39" t="str">
        <f aca="false">IFERROR(1/(1/ROUND(SUM($X22)*SUM($Y22),0)),"")</f>
        <v/>
      </c>
      <c r="AA22" s="88" t="n">
        <f aca="false">0.7</f>
        <v>0.7</v>
      </c>
      <c r="AB22" s="10" t="n">
        <f aca="false">IFERROR(1/(1/ROUND($P22+(SUM($X22)*$AA22),0)),"")</f>
        <v>7</v>
      </c>
      <c r="AC22" s="88" t="n">
        <f aca="false">0.95</f>
        <v>0.95</v>
      </c>
      <c r="AD22" s="39" t="n">
        <f aca="false">IF(SUM($AB22)=0,"",ROUND($AB22*$AC22,0))</f>
        <v>7</v>
      </c>
      <c r="AE22" s="88" t="n">
        <f aca="false">0.95</f>
        <v>0.95</v>
      </c>
      <c r="AF22" s="39" t="n">
        <f aca="false">IF(SUM($AD22)=0,"",ROUND($AD22*$AE22,0))</f>
        <v>7</v>
      </c>
      <c r="AG22" s="10" t="n">
        <v>1</v>
      </c>
      <c r="AH22" s="10" t="n">
        <v>1</v>
      </c>
      <c r="AI22" s="88" t="n">
        <f aca="false">0.95</f>
        <v>0.95</v>
      </c>
      <c r="AJ22" s="88"/>
      <c r="AK22" s="39" t="str">
        <f aca="false">IF(SUM($Z22)=0,"",IF(AND(SUM($Z22)&gt;0,$AI22=""),"ENTER LINKAGE RATE",ROUND($Z22/$AI22,0)))</f>
        <v/>
      </c>
      <c r="AL22" s="39" t="str">
        <f aca="false">IF(SUM($AK22)=0,"",IF(AND($AK22&gt;0,$AJ22=""),"ENTER YIELD RATE",ROUND($AK22/$AJ22-$AK22,0)))</f>
        <v/>
      </c>
      <c r="AM22" s="88" t="n">
        <f aca="false">1</f>
        <v>1</v>
      </c>
      <c r="AN22" s="39" t="str">
        <f aca="false">IF(SUM($AK22)=0,"",ROUND($AK22*$AM22,0))</f>
        <v/>
      </c>
      <c r="AO22" s="10" t="n">
        <v>65</v>
      </c>
      <c r="AP22" s="39"/>
    </row>
    <row r="23" customFormat="false" ht="15" hidden="false" customHeight="false" outlineLevel="0" collapsed="false">
      <c r="A23" s="0" t="str">
        <f aca="false">INDEX(Prioritization!$D:$D,MATCH($B23,Prioritization!$A:$A,0))</f>
        <v>1 - Scale-up: Saturation</v>
      </c>
      <c r="B23" s="0" t="s">
        <v>195</v>
      </c>
      <c r="C23" s="0" t="s">
        <v>473</v>
      </c>
      <c r="D23" s="0" t="str">
        <f aca="false">B23&amp;"|"&amp;C23</f>
        <v>Dedza District [PekKUkKHAzY]|PWID</v>
      </c>
      <c r="E23" s="39"/>
      <c r="F23" s="39"/>
      <c r="G23" s="39"/>
      <c r="H23" s="10"/>
      <c r="I23" s="39"/>
      <c r="J23" s="10"/>
      <c r="K23" s="39"/>
      <c r="L23" s="10"/>
      <c r="M23" s="39"/>
      <c r="N23" s="10"/>
      <c r="O23" s="10"/>
      <c r="P23" s="10" t="str">
        <f aca="false">IF(MAX($N23,$O23)=0,"",MAX($N23,$O23))</f>
        <v/>
      </c>
      <c r="Q23" s="39" t="str">
        <f aca="false">IF(SUM($P23)=0,"",SUM($P23))</f>
        <v/>
      </c>
      <c r="R23" s="10"/>
      <c r="S23" s="10" t="str">
        <f aca="false">IF(SUM($F23)=0,"",SUM($R23)/$F23)</f>
        <v/>
      </c>
      <c r="T23" s="10"/>
      <c r="U23" s="88" t="n">
        <f aca="false">0.98</f>
        <v>0.98</v>
      </c>
      <c r="V23" s="88" t="n">
        <f aca="false">0.98</f>
        <v>0.98</v>
      </c>
      <c r="W23" s="10" t="str">
        <f aca="false">IF(SUM($P23,$Q23)=0,"",SUM($Q23)-SUM($P23))</f>
        <v/>
      </c>
      <c r="X23" s="10" t="str">
        <f aca="false">IFERROR(1/(1/ROUND((SUM($Q23)-(SUM($P23)*SUM($U23)))/$V23,0)),"")</f>
        <v/>
      </c>
      <c r="Y23" s="88" t="n">
        <f aca="false">1</f>
        <v>1</v>
      </c>
      <c r="Z23" s="39" t="str">
        <f aca="false">IFERROR(1/(1/ROUND(SUM($X23)*SUM($Y23),0)),"")</f>
        <v/>
      </c>
      <c r="AA23" s="88" t="n">
        <f aca="false">0.7</f>
        <v>0.7</v>
      </c>
      <c r="AB23" s="10" t="str">
        <f aca="false">IFERROR(1/(1/ROUND($P23+(SUM($X23)*$AA23),0)),"")</f>
        <v/>
      </c>
      <c r="AC23" s="88" t="n">
        <f aca="false">0.95</f>
        <v>0.95</v>
      </c>
      <c r="AD23" s="39" t="str">
        <f aca="false">IF(SUM($AB23)=0,"",ROUND($AB23*$AC23,0))</f>
        <v/>
      </c>
      <c r="AE23" s="88" t="n">
        <f aca="false">0.95</f>
        <v>0.95</v>
      </c>
      <c r="AF23" s="39" t="str">
        <f aca="false">IF(SUM($AD23)=0,"",ROUND($AD23*$AE23,0))</f>
        <v/>
      </c>
      <c r="AG23" s="10"/>
      <c r="AH23" s="10"/>
      <c r="AI23" s="88" t="n">
        <f aca="false">0.95</f>
        <v>0.95</v>
      </c>
      <c r="AJ23" s="88"/>
      <c r="AK23" s="39" t="str">
        <f aca="false">IF(SUM($Z23)=0,"",IF(AND(SUM($Z23)&gt;0,$AI23=""),"ENTER LINKAGE RATE",ROUND($Z23/$AI23,0)))</f>
        <v/>
      </c>
      <c r="AL23" s="39" t="str">
        <f aca="false">IF(SUM($AK23)=0,"",IF(AND($AK23&gt;0,$AJ23=""),"ENTER YIELD RATE",ROUND($AK23/$AJ23-$AK23,0)))</f>
        <v/>
      </c>
      <c r="AM23" s="88" t="n">
        <f aca="false">1</f>
        <v>1</v>
      </c>
      <c r="AN23" s="39" t="str">
        <f aca="false">IF(SUM($AK23)=0,"",ROUND($AK23*$AM23,0))</f>
        <v/>
      </c>
      <c r="AO23" s="10"/>
      <c r="AP23" s="39"/>
    </row>
    <row r="24" customFormat="false" ht="15" hidden="false" customHeight="false" outlineLevel="0" collapsed="false">
      <c r="A24" s="0" t="str">
        <f aca="false">INDEX(Prioritization!$D:$D,MATCH($B24,Prioritization!$A:$A,0))</f>
        <v>1 - Scale-up: Saturation</v>
      </c>
      <c r="B24" s="0" t="s">
        <v>195</v>
      </c>
      <c r="C24" s="0" t="s">
        <v>474</v>
      </c>
      <c r="D24" s="0" t="str">
        <f aca="false">B24&amp;"|"&amp;C24</f>
        <v>Dedza District [PekKUkKHAzY]|TG</v>
      </c>
      <c r="E24" s="39"/>
      <c r="F24" s="39"/>
      <c r="G24" s="39"/>
      <c r="H24" s="10"/>
      <c r="I24" s="39"/>
      <c r="J24" s="10"/>
      <c r="K24" s="39"/>
      <c r="L24" s="10"/>
      <c r="M24" s="39"/>
      <c r="N24" s="10"/>
      <c r="O24" s="10"/>
      <c r="P24" s="10" t="str">
        <f aca="false">IF(MAX($N24,$O24)=0,"",MAX($N24,$O24))</f>
        <v/>
      </c>
      <c r="Q24" s="39" t="str">
        <f aca="false">IF(SUM($P24)=0,"",SUM($P24))</f>
        <v/>
      </c>
      <c r="R24" s="10"/>
      <c r="S24" s="10" t="str">
        <f aca="false">IF(SUM($F24)=0,"",SUM($R24)/$F24)</f>
        <v/>
      </c>
      <c r="T24" s="10"/>
      <c r="U24" s="88" t="n">
        <f aca="false">0.98</f>
        <v>0.98</v>
      </c>
      <c r="V24" s="88" t="n">
        <f aca="false">0.98</f>
        <v>0.98</v>
      </c>
      <c r="W24" s="10" t="str">
        <f aca="false">IF(SUM($P24,$Q24)=0,"",SUM($Q24)-SUM($P24))</f>
        <v/>
      </c>
      <c r="X24" s="10" t="str">
        <f aca="false">IFERROR(1/(1/ROUND((SUM($Q24)-(SUM($P24)*SUM($U24)))/$V24,0)),"")</f>
        <v/>
      </c>
      <c r="Y24" s="88" t="n">
        <f aca="false">1</f>
        <v>1</v>
      </c>
      <c r="Z24" s="39" t="str">
        <f aca="false">IFERROR(1/(1/ROUND(SUM($X24)*SUM($Y24),0)),"")</f>
        <v/>
      </c>
      <c r="AA24" s="88" t="n">
        <f aca="false">0.7</f>
        <v>0.7</v>
      </c>
      <c r="AB24" s="10" t="str">
        <f aca="false">IFERROR(1/(1/ROUND($P24+(SUM($X24)*$AA24),0)),"")</f>
        <v/>
      </c>
      <c r="AC24" s="88" t="n">
        <f aca="false">0.95</f>
        <v>0.95</v>
      </c>
      <c r="AD24" s="39" t="str">
        <f aca="false">IF(SUM($AB24)=0,"",ROUND($AB24*$AC24,0))</f>
        <v/>
      </c>
      <c r="AE24" s="88" t="n">
        <f aca="false">0.95</f>
        <v>0.95</v>
      </c>
      <c r="AF24" s="39" t="str">
        <f aca="false">IF(SUM($AD24)=0,"",ROUND($AD24*$AE24,0))</f>
        <v/>
      </c>
      <c r="AG24" s="10"/>
      <c r="AH24" s="10"/>
      <c r="AI24" s="88" t="n">
        <f aca="false">0.95</f>
        <v>0.95</v>
      </c>
      <c r="AJ24" s="88"/>
      <c r="AK24" s="39" t="str">
        <f aca="false">IF(SUM($Z24)=0,"",IF(AND(SUM($Z24)&gt;0,$AI24=""),"ENTER LINKAGE RATE",ROUND($Z24/$AI24,0)))</f>
        <v/>
      </c>
      <c r="AL24" s="39" t="str">
        <f aca="false">IF(SUM($AK24)=0,"",IF(AND($AK24&gt;0,$AJ24=""),"ENTER YIELD RATE",ROUND($AK24/$AJ24-$AK24,0)))</f>
        <v/>
      </c>
      <c r="AM24" s="88" t="n">
        <f aca="false">1</f>
        <v>1</v>
      </c>
      <c r="AN24" s="39" t="str">
        <f aca="false">IF(SUM($AK24)=0,"",ROUND($AK24*$AM24,0))</f>
        <v/>
      </c>
      <c r="AO24" s="10"/>
      <c r="AP24" s="39"/>
    </row>
    <row r="25" customFormat="false" ht="15" hidden="false" customHeight="false" outlineLevel="0" collapsed="false">
      <c r="A25" s="0" t="str">
        <f aca="false">INDEX(Prioritization!$D:$D,MATCH($B25,Prioritization!$A:$A,0))</f>
        <v>1 - Scale-up: Saturation</v>
      </c>
      <c r="B25" s="0" t="s">
        <v>196</v>
      </c>
      <c r="C25" s="0" t="s">
        <v>470</v>
      </c>
      <c r="D25" s="0" t="str">
        <f aca="false">B25&amp;"|"&amp;C25</f>
        <v>Dowa District [zphK9WV8JB4]|FSW</v>
      </c>
      <c r="E25" s="39"/>
      <c r="F25" s="39"/>
      <c r="G25" s="39"/>
      <c r="H25" s="10"/>
      <c r="I25" s="39"/>
      <c r="J25" s="10"/>
      <c r="K25" s="39"/>
      <c r="L25" s="10"/>
      <c r="M25" s="39"/>
      <c r="N25" s="10"/>
      <c r="O25" s="10"/>
      <c r="P25" s="10" t="str">
        <f aca="false">IF(MAX($N25,$O25)=0,"",MAX($N25,$O25))</f>
        <v/>
      </c>
      <c r="Q25" s="39" t="str">
        <f aca="false">IF(SUM($P25)=0,"",SUM($P25))</f>
        <v/>
      </c>
      <c r="R25" s="10"/>
      <c r="S25" s="10" t="str">
        <f aca="false">IF(SUM($F25)=0,"",SUM($R25)/$F25)</f>
        <v/>
      </c>
      <c r="T25" s="10"/>
      <c r="U25" s="88" t="n">
        <f aca="false">0.98</f>
        <v>0.98</v>
      </c>
      <c r="V25" s="88" t="n">
        <f aca="false">0.98</f>
        <v>0.98</v>
      </c>
      <c r="W25" s="10" t="str">
        <f aca="false">IF(SUM($P25,$Q25)=0,"",SUM($Q25)-SUM($P25))</f>
        <v/>
      </c>
      <c r="X25" s="10" t="str">
        <f aca="false">IFERROR(1/(1/ROUND((SUM($Q25)-(SUM($P25)*SUM($U25)))/$V25,0)),"")</f>
        <v/>
      </c>
      <c r="Y25" s="88" t="n">
        <f aca="false">1</f>
        <v>1</v>
      </c>
      <c r="Z25" s="39" t="str">
        <f aca="false">IFERROR(1/(1/ROUND(SUM($X25)*SUM($Y25),0)),"")</f>
        <v/>
      </c>
      <c r="AA25" s="88" t="n">
        <f aca="false">0.7</f>
        <v>0.7</v>
      </c>
      <c r="AB25" s="10" t="str">
        <f aca="false">IFERROR(1/(1/ROUND($P25+(SUM($X25)*$AA25),0)),"")</f>
        <v/>
      </c>
      <c r="AC25" s="88" t="n">
        <f aca="false">0.95</f>
        <v>0.95</v>
      </c>
      <c r="AD25" s="39" t="str">
        <f aca="false">IF(SUM($AB25)=0,"",ROUND($AB25*$AC25,0))</f>
        <v/>
      </c>
      <c r="AE25" s="88" t="n">
        <f aca="false">0.95</f>
        <v>0.95</v>
      </c>
      <c r="AF25" s="39" t="str">
        <f aca="false">IF(SUM($AD25)=0,"",ROUND($AD25*$AE25,0))</f>
        <v/>
      </c>
      <c r="AG25" s="10"/>
      <c r="AH25" s="10"/>
      <c r="AI25" s="88" t="n">
        <f aca="false">0.95</f>
        <v>0.95</v>
      </c>
      <c r="AJ25" s="88"/>
      <c r="AK25" s="39" t="str">
        <f aca="false">IF(SUM($Z25)=0,"",IF(AND(SUM($Z25)&gt;0,$AI25=""),"ENTER LINKAGE RATE",ROUND($Z25/$AI25,0)))</f>
        <v/>
      </c>
      <c r="AL25" s="39" t="str">
        <f aca="false">IF(SUM($AK25)=0,"",IF(AND($AK25&gt;0,$AJ25=""),"ENTER YIELD RATE",ROUND($AK25/$AJ25-$AK25,0)))</f>
        <v/>
      </c>
      <c r="AM25" s="88" t="n">
        <f aca="false">1</f>
        <v>1</v>
      </c>
      <c r="AN25" s="39" t="str">
        <f aca="false">IF(SUM($AK25)=0,"",ROUND($AK25*$AM25,0))</f>
        <v/>
      </c>
      <c r="AO25" s="10"/>
      <c r="AP25" s="39"/>
    </row>
    <row r="26" customFormat="false" ht="15" hidden="false" customHeight="false" outlineLevel="0" collapsed="false">
      <c r="A26" s="0" t="str">
        <f aca="false">INDEX(Prioritization!$D:$D,MATCH($B26,Prioritization!$A:$A,0))</f>
        <v>1 - Scale-up: Saturation</v>
      </c>
      <c r="B26" s="0" t="s">
        <v>196</v>
      </c>
      <c r="C26" s="0" t="s">
        <v>471</v>
      </c>
      <c r="D26" s="0" t="str">
        <f aca="false">B26&amp;"|"&amp;C26</f>
        <v>Dowa District [zphK9WV8JB4]|MSM</v>
      </c>
      <c r="E26" s="39"/>
      <c r="F26" s="39"/>
      <c r="G26" s="39"/>
      <c r="H26" s="10"/>
      <c r="I26" s="39"/>
      <c r="J26" s="10"/>
      <c r="K26" s="39"/>
      <c r="L26" s="10"/>
      <c r="M26" s="39"/>
      <c r="N26" s="10"/>
      <c r="O26" s="10"/>
      <c r="P26" s="10" t="str">
        <f aca="false">IF(MAX($N26,$O26)=0,"",MAX($N26,$O26))</f>
        <v/>
      </c>
      <c r="Q26" s="39" t="str">
        <f aca="false">IF(SUM($P26)=0,"",SUM($P26))</f>
        <v/>
      </c>
      <c r="R26" s="10"/>
      <c r="S26" s="10" t="str">
        <f aca="false">IF(SUM($F26)=0,"",SUM($R26)/$F26)</f>
        <v/>
      </c>
      <c r="T26" s="10"/>
      <c r="U26" s="88" t="n">
        <f aca="false">0.98</f>
        <v>0.98</v>
      </c>
      <c r="V26" s="88" t="n">
        <f aca="false">0.98</f>
        <v>0.98</v>
      </c>
      <c r="W26" s="10" t="str">
        <f aca="false">IF(SUM($P26,$Q26)=0,"",SUM($Q26)-SUM($P26))</f>
        <v/>
      </c>
      <c r="X26" s="10" t="str">
        <f aca="false">IFERROR(1/(1/ROUND((SUM($Q26)-(SUM($P26)*SUM($U26)))/$V26,0)),"")</f>
        <v/>
      </c>
      <c r="Y26" s="88" t="n">
        <f aca="false">1</f>
        <v>1</v>
      </c>
      <c r="Z26" s="39" t="str">
        <f aca="false">IFERROR(1/(1/ROUND(SUM($X26)*SUM($Y26),0)),"")</f>
        <v/>
      </c>
      <c r="AA26" s="88" t="n">
        <f aca="false">0.7</f>
        <v>0.7</v>
      </c>
      <c r="AB26" s="10" t="str">
        <f aca="false">IFERROR(1/(1/ROUND($P26+(SUM($X26)*$AA26),0)),"")</f>
        <v/>
      </c>
      <c r="AC26" s="88" t="n">
        <f aca="false">0.95</f>
        <v>0.95</v>
      </c>
      <c r="AD26" s="39" t="str">
        <f aca="false">IF(SUM($AB26)=0,"",ROUND($AB26*$AC26,0))</f>
        <v/>
      </c>
      <c r="AE26" s="88" t="n">
        <f aca="false">0.95</f>
        <v>0.95</v>
      </c>
      <c r="AF26" s="39" t="str">
        <f aca="false">IF(SUM($AD26)=0,"",ROUND($AD26*$AE26,0))</f>
        <v/>
      </c>
      <c r="AG26" s="10"/>
      <c r="AH26" s="10"/>
      <c r="AI26" s="88" t="n">
        <f aca="false">0.95</f>
        <v>0.95</v>
      </c>
      <c r="AJ26" s="88"/>
      <c r="AK26" s="39" t="str">
        <f aca="false">IF(SUM($Z26)=0,"",IF(AND(SUM($Z26)&gt;0,$AI26=""),"ENTER LINKAGE RATE",ROUND($Z26/$AI26,0)))</f>
        <v/>
      </c>
      <c r="AL26" s="39" t="str">
        <f aca="false">IF(SUM($AK26)=0,"",IF(AND($AK26&gt;0,$AJ26=""),"ENTER YIELD RATE",ROUND($AK26/$AJ26-$AK26,0)))</f>
        <v/>
      </c>
      <c r="AM26" s="88" t="n">
        <f aca="false">1</f>
        <v>1</v>
      </c>
      <c r="AN26" s="39" t="str">
        <f aca="false">IF(SUM($AK26)=0,"",ROUND($AK26*$AM26,0))</f>
        <v/>
      </c>
      <c r="AO26" s="10"/>
      <c r="AP26" s="39"/>
    </row>
    <row r="27" customFormat="false" ht="15" hidden="false" customHeight="false" outlineLevel="0" collapsed="false">
      <c r="A27" s="0" t="str">
        <f aca="false">INDEX(Prioritization!$D:$D,MATCH($B27,Prioritization!$A:$A,0))</f>
        <v>1 - Scale-up: Saturation</v>
      </c>
      <c r="B27" s="0" t="s">
        <v>196</v>
      </c>
      <c r="C27" s="0" t="s">
        <v>472</v>
      </c>
      <c r="D27" s="0" t="str">
        <f aca="false">B27&amp;"|"&amp;C27</f>
        <v>Dowa District [zphK9WV8JB4]|People in prisons and other enclosed settings</v>
      </c>
      <c r="E27" s="39"/>
      <c r="F27" s="39"/>
      <c r="G27" s="39"/>
      <c r="H27" s="10"/>
      <c r="I27" s="39"/>
      <c r="J27" s="10"/>
      <c r="K27" s="39"/>
      <c r="L27" s="10"/>
      <c r="M27" s="39"/>
      <c r="N27" s="10"/>
      <c r="O27" s="10"/>
      <c r="P27" s="10" t="str">
        <f aca="false">IF(MAX($N27,$O27)=0,"",MAX($N27,$O27))</f>
        <v/>
      </c>
      <c r="Q27" s="39" t="str">
        <f aca="false">IF(SUM($P27)=0,"",SUM($P27))</f>
        <v/>
      </c>
      <c r="R27" s="10"/>
      <c r="S27" s="10" t="str">
        <f aca="false">IF(SUM($F27)=0,"",SUM($R27)/$F27)</f>
        <v/>
      </c>
      <c r="T27" s="10"/>
      <c r="U27" s="88" t="n">
        <f aca="false">0.98</f>
        <v>0.98</v>
      </c>
      <c r="V27" s="88" t="n">
        <f aca="false">0.98</f>
        <v>0.98</v>
      </c>
      <c r="W27" s="10" t="str">
        <f aca="false">IF(SUM($P27,$Q27)=0,"",SUM($Q27)-SUM($P27))</f>
        <v/>
      </c>
      <c r="X27" s="10" t="str">
        <f aca="false">IFERROR(1/(1/ROUND((SUM($Q27)-(SUM($P27)*SUM($U27)))/$V27,0)),"")</f>
        <v/>
      </c>
      <c r="Y27" s="88" t="n">
        <f aca="false">1</f>
        <v>1</v>
      </c>
      <c r="Z27" s="39" t="str">
        <f aca="false">IFERROR(1/(1/ROUND(SUM($X27)*SUM($Y27),0)),"")</f>
        <v/>
      </c>
      <c r="AA27" s="88" t="n">
        <f aca="false">0.7</f>
        <v>0.7</v>
      </c>
      <c r="AB27" s="10" t="str">
        <f aca="false">IFERROR(1/(1/ROUND($P27+(SUM($X27)*$AA27),0)),"")</f>
        <v/>
      </c>
      <c r="AC27" s="88" t="n">
        <f aca="false">0.95</f>
        <v>0.95</v>
      </c>
      <c r="AD27" s="39" t="str">
        <f aca="false">IF(SUM($AB27)=0,"",ROUND($AB27*$AC27,0))</f>
        <v/>
      </c>
      <c r="AE27" s="88" t="n">
        <f aca="false">0.95</f>
        <v>0.95</v>
      </c>
      <c r="AF27" s="39" t="str">
        <f aca="false">IF(SUM($AD27)=0,"",ROUND($AD27*$AE27,0))</f>
        <v/>
      </c>
      <c r="AG27" s="10"/>
      <c r="AH27" s="10"/>
      <c r="AI27" s="88" t="n">
        <f aca="false">0.95</f>
        <v>0.95</v>
      </c>
      <c r="AJ27" s="88"/>
      <c r="AK27" s="39" t="str">
        <f aca="false">IF(SUM($Z27)=0,"",IF(AND(SUM($Z27)&gt;0,$AI27=""),"ENTER LINKAGE RATE",ROUND($Z27/$AI27,0)))</f>
        <v/>
      </c>
      <c r="AL27" s="39" t="str">
        <f aca="false">IF(SUM($AK27)=0,"",IF(AND($AK27&gt;0,$AJ27=""),"ENTER YIELD RATE",ROUND($AK27/$AJ27-$AK27,0)))</f>
        <v/>
      </c>
      <c r="AM27" s="88" t="n">
        <f aca="false">1</f>
        <v>1</v>
      </c>
      <c r="AN27" s="39" t="str">
        <f aca="false">IF(SUM($AK27)=0,"",ROUND($AK27*$AM27,0))</f>
        <v/>
      </c>
      <c r="AO27" s="10"/>
      <c r="AP27" s="39"/>
    </row>
    <row r="28" customFormat="false" ht="15" hidden="false" customHeight="false" outlineLevel="0" collapsed="false">
      <c r="A28" s="0" t="str">
        <f aca="false">INDEX(Prioritization!$D:$D,MATCH($B28,Prioritization!$A:$A,0))</f>
        <v>1 - Scale-up: Saturation</v>
      </c>
      <c r="B28" s="0" t="s">
        <v>196</v>
      </c>
      <c r="C28" s="0" t="s">
        <v>473</v>
      </c>
      <c r="D28" s="0" t="str">
        <f aca="false">B28&amp;"|"&amp;C28</f>
        <v>Dowa District [zphK9WV8JB4]|PWID</v>
      </c>
      <c r="E28" s="39"/>
      <c r="F28" s="39"/>
      <c r="G28" s="39"/>
      <c r="H28" s="10"/>
      <c r="I28" s="39"/>
      <c r="J28" s="10"/>
      <c r="K28" s="39"/>
      <c r="L28" s="10"/>
      <c r="M28" s="39"/>
      <c r="N28" s="10"/>
      <c r="O28" s="10"/>
      <c r="P28" s="10" t="str">
        <f aca="false">IF(MAX($N28,$O28)=0,"",MAX($N28,$O28))</f>
        <v/>
      </c>
      <c r="Q28" s="39" t="str">
        <f aca="false">IF(SUM($P28)=0,"",SUM($P28))</f>
        <v/>
      </c>
      <c r="R28" s="10"/>
      <c r="S28" s="10" t="str">
        <f aca="false">IF(SUM($F28)=0,"",SUM($R28)/$F28)</f>
        <v/>
      </c>
      <c r="T28" s="10"/>
      <c r="U28" s="88" t="n">
        <f aca="false">0.98</f>
        <v>0.98</v>
      </c>
      <c r="V28" s="88" t="n">
        <f aca="false">0.98</f>
        <v>0.98</v>
      </c>
      <c r="W28" s="10" t="str">
        <f aca="false">IF(SUM($P28,$Q28)=0,"",SUM($Q28)-SUM($P28))</f>
        <v/>
      </c>
      <c r="X28" s="10" t="str">
        <f aca="false">IFERROR(1/(1/ROUND((SUM($Q28)-(SUM($P28)*SUM($U28)))/$V28,0)),"")</f>
        <v/>
      </c>
      <c r="Y28" s="88" t="n">
        <f aca="false">1</f>
        <v>1</v>
      </c>
      <c r="Z28" s="39" t="str">
        <f aca="false">IFERROR(1/(1/ROUND(SUM($X28)*SUM($Y28),0)),"")</f>
        <v/>
      </c>
      <c r="AA28" s="88" t="n">
        <f aca="false">0.7</f>
        <v>0.7</v>
      </c>
      <c r="AB28" s="10" t="str">
        <f aca="false">IFERROR(1/(1/ROUND($P28+(SUM($X28)*$AA28),0)),"")</f>
        <v/>
      </c>
      <c r="AC28" s="88" t="n">
        <f aca="false">0.95</f>
        <v>0.95</v>
      </c>
      <c r="AD28" s="39" t="str">
        <f aca="false">IF(SUM($AB28)=0,"",ROUND($AB28*$AC28,0))</f>
        <v/>
      </c>
      <c r="AE28" s="88" t="n">
        <f aca="false">0.95</f>
        <v>0.95</v>
      </c>
      <c r="AF28" s="39" t="str">
        <f aca="false">IF(SUM($AD28)=0,"",ROUND($AD28*$AE28,0))</f>
        <v/>
      </c>
      <c r="AG28" s="10"/>
      <c r="AH28" s="10"/>
      <c r="AI28" s="88" t="n">
        <f aca="false">0.95</f>
        <v>0.95</v>
      </c>
      <c r="AJ28" s="88"/>
      <c r="AK28" s="39" t="str">
        <f aca="false">IF(SUM($Z28)=0,"",IF(AND(SUM($Z28)&gt;0,$AI28=""),"ENTER LINKAGE RATE",ROUND($Z28/$AI28,0)))</f>
        <v/>
      </c>
      <c r="AL28" s="39" t="str">
        <f aca="false">IF(SUM($AK28)=0,"",IF(AND($AK28&gt;0,$AJ28=""),"ENTER YIELD RATE",ROUND($AK28/$AJ28-$AK28,0)))</f>
        <v/>
      </c>
      <c r="AM28" s="88" t="n">
        <f aca="false">1</f>
        <v>1</v>
      </c>
      <c r="AN28" s="39" t="str">
        <f aca="false">IF(SUM($AK28)=0,"",ROUND($AK28*$AM28,0))</f>
        <v/>
      </c>
      <c r="AO28" s="10"/>
      <c r="AP28" s="39"/>
    </row>
    <row r="29" customFormat="false" ht="15" hidden="false" customHeight="false" outlineLevel="0" collapsed="false">
      <c r="A29" s="0" t="str">
        <f aca="false">INDEX(Prioritization!$D:$D,MATCH($B29,Prioritization!$A:$A,0))</f>
        <v>1 - Scale-up: Saturation</v>
      </c>
      <c r="B29" s="0" t="s">
        <v>196</v>
      </c>
      <c r="C29" s="0" t="s">
        <v>474</v>
      </c>
      <c r="D29" s="0" t="str">
        <f aca="false">B29&amp;"|"&amp;C29</f>
        <v>Dowa District [zphK9WV8JB4]|TG</v>
      </c>
      <c r="E29" s="39"/>
      <c r="F29" s="39"/>
      <c r="G29" s="39"/>
      <c r="H29" s="10"/>
      <c r="I29" s="39"/>
      <c r="J29" s="10"/>
      <c r="K29" s="39"/>
      <c r="L29" s="10"/>
      <c r="M29" s="39"/>
      <c r="N29" s="10"/>
      <c r="O29" s="10"/>
      <c r="P29" s="10" t="str">
        <f aca="false">IF(MAX($N29,$O29)=0,"",MAX($N29,$O29))</f>
        <v/>
      </c>
      <c r="Q29" s="39" t="str">
        <f aca="false">IF(SUM($P29)=0,"",SUM($P29))</f>
        <v/>
      </c>
      <c r="R29" s="10"/>
      <c r="S29" s="10" t="str">
        <f aca="false">IF(SUM($F29)=0,"",SUM($R29)/$F29)</f>
        <v/>
      </c>
      <c r="T29" s="10"/>
      <c r="U29" s="88" t="n">
        <f aca="false">0.98</f>
        <v>0.98</v>
      </c>
      <c r="V29" s="88" t="n">
        <f aca="false">0.98</f>
        <v>0.98</v>
      </c>
      <c r="W29" s="10" t="str">
        <f aca="false">IF(SUM($P29,$Q29)=0,"",SUM($Q29)-SUM($P29))</f>
        <v/>
      </c>
      <c r="X29" s="10" t="str">
        <f aca="false">IFERROR(1/(1/ROUND((SUM($Q29)-(SUM($P29)*SUM($U29)))/$V29,0)),"")</f>
        <v/>
      </c>
      <c r="Y29" s="88" t="n">
        <f aca="false">1</f>
        <v>1</v>
      </c>
      <c r="Z29" s="39" t="str">
        <f aca="false">IFERROR(1/(1/ROUND(SUM($X29)*SUM($Y29),0)),"")</f>
        <v/>
      </c>
      <c r="AA29" s="88" t="n">
        <f aca="false">0.7</f>
        <v>0.7</v>
      </c>
      <c r="AB29" s="10" t="str">
        <f aca="false">IFERROR(1/(1/ROUND($P29+(SUM($X29)*$AA29),0)),"")</f>
        <v/>
      </c>
      <c r="AC29" s="88" t="n">
        <f aca="false">0.95</f>
        <v>0.95</v>
      </c>
      <c r="AD29" s="39" t="str">
        <f aca="false">IF(SUM($AB29)=0,"",ROUND($AB29*$AC29,0))</f>
        <v/>
      </c>
      <c r="AE29" s="88" t="n">
        <f aca="false">0.95</f>
        <v>0.95</v>
      </c>
      <c r="AF29" s="39" t="str">
        <f aca="false">IF(SUM($AD29)=0,"",ROUND($AD29*$AE29,0))</f>
        <v/>
      </c>
      <c r="AG29" s="10"/>
      <c r="AH29" s="10"/>
      <c r="AI29" s="88" t="n">
        <f aca="false">0.95</f>
        <v>0.95</v>
      </c>
      <c r="AJ29" s="88"/>
      <c r="AK29" s="39" t="str">
        <f aca="false">IF(SUM($Z29)=0,"",IF(AND(SUM($Z29)&gt;0,$AI29=""),"ENTER LINKAGE RATE",ROUND($Z29/$AI29,0)))</f>
        <v/>
      </c>
      <c r="AL29" s="39" t="str">
        <f aca="false">IF(SUM($AK29)=0,"",IF(AND($AK29&gt;0,$AJ29=""),"ENTER YIELD RATE",ROUND($AK29/$AJ29-$AK29,0)))</f>
        <v/>
      </c>
      <c r="AM29" s="88" t="n">
        <f aca="false">1</f>
        <v>1</v>
      </c>
      <c r="AN29" s="39" t="str">
        <f aca="false">IF(SUM($AK29)=0,"",ROUND($AK29*$AM29,0))</f>
        <v/>
      </c>
      <c r="AO29" s="10"/>
      <c r="AP29" s="39"/>
    </row>
    <row r="30" customFormat="false" ht="15" hidden="false" customHeight="false" outlineLevel="0" collapsed="false">
      <c r="A30" s="0" t="str">
        <f aca="false">INDEX(Prioritization!$D:$D,MATCH($B30,Prioritization!$A:$A,0))</f>
        <v>INVALID</v>
      </c>
      <c r="B30" s="0" t="s">
        <v>197</v>
      </c>
      <c r="C30" s="0" t="s">
        <v>470</v>
      </c>
      <c r="D30" s="0" t="str">
        <f aca="false">B30&amp;"|"&amp;C30</f>
        <v>Kasungu District [JQKLKuVuY61]|FSW</v>
      </c>
      <c r="E30" s="39"/>
      <c r="F30" s="39"/>
      <c r="G30" s="39"/>
      <c r="H30" s="10"/>
      <c r="I30" s="39"/>
      <c r="J30" s="10"/>
      <c r="K30" s="39"/>
      <c r="L30" s="10"/>
      <c r="M30" s="39"/>
      <c r="N30" s="10"/>
      <c r="O30" s="10"/>
      <c r="P30" s="10" t="str">
        <f aca="false">IF(MAX($N30,$O30)=0,"",MAX($N30,$O30))</f>
        <v/>
      </c>
      <c r="Q30" s="39" t="str">
        <f aca="false">IF(SUM($P30)=0,"",SUM($P30))</f>
        <v/>
      </c>
      <c r="R30" s="10"/>
      <c r="S30" s="10" t="str">
        <f aca="false">IF(SUM($F30)=0,"",SUM($R30)/$F30)</f>
        <v/>
      </c>
      <c r="T30" s="10"/>
      <c r="U30" s="88" t="n">
        <f aca="false">0.98</f>
        <v>0.98</v>
      </c>
      <c r="V30" s="88" t="n">
        <f aca="false">0.98</f>
        <v>0.98</v>
      </c>
      <c r="W30" s="10" t="str">
        <f aca="false">IF(SUM($P30,$Q30)=0,"",SUM($Q30)-SUM($P30))</f>
        <v/>
      </c>
      <c r="X30" s="10" t="str">
        <f aca="false">IFERROR(1/(1/ROUND((SUM($Q30)-(SUM($P30)*SUM($U30)))/$V30,0)),"")</f>
        <v/>
      </c>
      <c r="Y30" s="88" t="n">
        <f aca="false">1</f>
        <v>1</v>
      </c>
      <c r="Z30" s="39" t="str">
        <f aca="false">IFERROR(1/(1/ROUND(SUM($X30)*SUM($Y30),0)),"")</f>
        <v/>
      </c>
      <c r="AA30" s="88" t="n">
        <f aca="false">0.7</f>
        <v>0.7</v>
      </c>
      <c r="AB30" s="10" t="str">
        <f aca="false">IFERROR(1/(1/ROUND($P30+(SUM($X30)*$AA30),0)),"")</f>
        <v/>
      </c>
      <c r="AC30" s="88" t="n">
        <f aca="false">0.95</f>
        <v>0.95</v>
      </c>
      <c r="AD30" s="39" t="str">
        <f aca="false">IF(SUM($AB30)=0,"",ROUND($AB30*$AC30,0))</f>
        <v/>
      </c>
      <c r="AE30" s="88" t="n">
        <f aca="false">0.95</f>
        <v>0.95</v>
      </c>
      <c r="AF30" s="39" t="str">
        <f aca="false">IF(SUM($AD30)=0,"",ROUND($AD30*$AE30,0))</f>
        <v/>
      </c>
      <c r="AG30" s="10"/>
      <c r="AH30" s="10"/>
      <c r="AI30" s="88" t="n">
        <f aca="false">0.95</f>
        <v>0.95</v>
      </c>
      <c r="AJ30" s="88"/>
      <c r="AK30" s="39" t="str">
        <f aca="false">IF(SUM($Z30)=0,"",IF(AND(SUM($Z30)&gt;0,$AI30=""),"ENTER LINKAGE RATE",ROUND($Z30/$AI30,0)))</f>
        <v/>
      </c>
      <c r="AL30" s="39" t="str">
        <f aca="false">IF(SUM($AK30)=0,"",IF(AND($AK30&gt;0,$AJ30=""),"ENTER YIELD RATE",ROUND($AK30/$AJ30-$AK30,0)))</f>
        <v/>
      </c>
      <c r="AM30" s="88" t="n">
        <f aca="false">1</f>
        <v>1</v>
      </c>
      <c r="AN30" s="39" t="str">
        <f aca="false">IF(SUM($AK30)=0,"",ROUND($AK30*$AM30,0))</f>
        <v/>
      </c>
      <c r="AO30" s="10"/>
      <c r="AP30" s="39"/>
    </row>
    <row r="31" customFormat="false" ht="15" hidden="false" customHeight="false" outlineLevel="0" collapsed="false">
      <c r="A31" s="0" t="str">
        <f aca="false">INDEX(Prioritization!$D:$D,MATCH($B31,Prioritization!$A:$A,0))</f>
        <v>INVALID</v>
      </c>
      <c r="B31" s="0" t="s">
        <v>197</v>
      </c>
      <c r="C31" s="0" t="s">
        <v>471</v>
      </c>
      <c r="D31" s="0" t="str">
        <f aca="false">B31&amp;"|"&amp;C31</f>
        <v>Kasungu District [JQKLKuVuY61]|MSM</v>
      </c>
      <c r="E31" s="39"/>
      <c r="F31" s="39"/>
      <c r="G31" s="39"/>
      <c r="H31" s="10"/>
      <c r="I31" s="39"/>
      <c r="J31" s="10"/>
      <c r="K31" s="39"/>
      <c r="L31" s="10"/>
      <c r="M31" s="39"/>
      <c r="N31" s="10"/>
      <c r="O31" s="10"/>
      <c r="P31" s="10" t="str">
        <f aca="false">IF(MAX($N31,$O31)=0,"",MAX($N31,$O31))</f>
        <v/>
      </c>
      <c r="Q31" s="39" t="str">
        <f aca="false">IF(SUM($P31)=0,"",SUM($P31))</f>
        <v/>
      </c>
      <c r="R31" s="10"/>
      <c r="S31" s="10" t="str">
        <f aca="false">IF(SUM($F31)=0,"",SUM($R31)/$F31)</f>
        <v/>
      </c>
      <c r="T31" s="10"/>
      <c r="U31" s="88" t="n">
        <f aca="false">0.98</f>
        <v>0.98</v>
      </c>
      <c r="V31" s="88" t="n">
        <f aca="false">0.98</f>
        <v>0.98</v>
      </c>
      <c r="W31" s="10" t="str">
        <f aca="false">IF(SUM($P31,$Q31)=0,"",SUM($Q31)-SUM($P31))</f>
        <v/>
      </c>
      <c r="X31" s="10" t="str">
        <f aca="false">IFERROR(1/(1/ROUND((SUM($Q31)-(SUM($P31)*SUM($U31)))/$V31,0)),"")</f>
        <v/>
      </c>
      <c r="Y31" s="88" t="n">
        <f aca="false">1</f>
        <v>1</v>
      </c>
      <c r="Z31" s="39" t="str">
        <f aca="false">IFERROR(1/(1/ROUND(SUM($X31)*SUM($Y31),0)),"")</f>
        <v/>
      </c>
      <c r="AA31" s="88" t="n">
        <f aca="false">0.7</f>
        <v>0.7</v>
      </c>
      <c r="AB31" s="10" t="str">
        <f aca="false">IFERROR(1/(1/ROUND($P31+(SUM($X31)*$AA31),0)),"")</f>
        <v/>
      </c>
      <c r="AC31" s="88" t="n">
        <f aca="false">0.95</f>
        <v>0.95</v>
      </c>
      <c r="AD31" s="39" t="str">
        <f aca="false">IF(SUM($AB31)=0,"",ROUND($AB31*$AC31,0))</f>
        <v/>
      </c>
      <c r="AE31" s="88" t="n">
        <f aca="false">0.95</f>
        <v>0.95</v>
      </c>
      <c r="AF31" s="39" t="str">
        <f aca="false">IF(SUM($AD31)=0,"",ROUND($AD31*$AE31,0))</f>
        <v/>
      </c>
      <c r="AG31" s="10"/>
      <c r="AH31" s="10"/>
      <c r="AI31" s="88" t="n">
        <f aca="false">0.95</f>
        <v>0.95</v>
      </c>
      <c r="AJ31" s="88"/>
      <c r="AK31" s="39" t="str">
        <f aca="false">IF(SUM($Z31)=0,"",IF(AND(SUM($Z31)&gt;0,$AI31=""),"ENTER LINKAGE RATE",ROUND($Z31/$AI31,0)))</f>
        <v/>
      </c>
      <c r="AL31" s="39" t="str">
        <f aca="false">IF(SUM($AK31)=0,"",IF(AND($AK31&gt;0,$AJ31=""),"ENTER YIELD RATE",ROUND($AK31/$AJ31-$AK31,0)))</f>
        <v/>
      </c>
      <c r="AM31" s="88" t="n">
        <f aca="false">1</f>
        <v>1</v>
      </c>
      <c r="AN31" s="39" t="str">
        <f aca="false">IF(SUM($AK31)=0,"",ROUND($AK31*$AM31,0))</f>
        <v/>
      </c>
      <c r="AO31" s="10"/>
      <c r="AP31" s="39"/>
    </row>
    <row r="32" customFormat="false" ht="15" hidden="false" customHeight="false" outlineLevel="0" collapsed="false">
      <c r="A32" s="0" t="str">
        <f aca="false">INDEX(Prioritization!$D:$D,MATCH($B32,Prioritization!$A:$A,0))</f>
        <v>INVALID</v>
      </c>
      <c r="B32" s="0" t="s">
        <v>197</v>
      </c>
      <c r="C32" s="0" t="s">
        <v>472</v>
      </c>
      <c r="D32" s="0" t="str">
        <f aca="false">B32&amp;"|"&amp;C32</f>
        <v>Kasungu District [JQKLKuVuY61]|People in prisons and other enclosed settings</v>
      </c>
      <c r="E32" s="39"/>
      <c r="F32" s="39"/>
      <c r="G32" s="39"/>
      <c r="H32" s="10"/>
      <c r="I32" s="39"/>
      <c r="J32" s="10"/>
      <c r="K32" s="39"/>
      <c r="L32" s="10"/>
      <c r="M32" s="39"/>
      <c r="N32" s="10"/>
      <c r="O32" s="10"/>
      <c r="P32" s="10" t="str">
        <f aca="false">IF(MAX($N32,$O32)=0,"",MAX($N32,$O32))</f>
        <v/>
      </c>
      <c r="Q32" s="39" t="str">
        <f aca="false">IF(SUM($P32)=0,"",SUM($P32))</f>
        <v/>
      </c>
      <c r="R32" s="10"/>
      <c r="S32" s="10" t="str">
        <f aca="false">IF(SUM($F32)=0,"",SUM($R32)/$F32)</f>
        <v/>
      </c>
      <c r="T32" s="10"/>
      <c r="U32" s="88" t="n">
        <f aca="false">0.98</f>
        <v>0.98</v>
      </c>
      <c r="V32" s="88" t="n">
        <f aca="false">0.98</f>
        <v>0.98</v>
      </c>
      <c r="W32" s="10" t="str">
        <f aca="false">IF(SUM($P32,$Q32)=0,"",SUM($Q32)-SUM($P32))</f>
        <v/>
      </c>
      <c r="X32" s="10" t="str">
        <f aca="false">IFERROR(1/(1/ROUND((SUM($Q32)-(SUM($P32)*SUM($U32)))/$V32,0)),"")</f>
        <v/>
      </c>
      <c r="Y32" s="88" t="n">
        <f aca="false">1</f>
        <v>1</v>
      </c>
      <c r="Z32" s="39" t="str">
        <f aca="false">IFERROR(1/(1/ROUND(SUM($X32)*SUM($Y32),0)),"")</f>
        <v/>
      </c>
      <c r="AA32" s="88" t="n">
        <f aca="false">0.7</f>
        <v>0.7</v>
      </c>
      <c r="AB32" s="10" t="str">
        <f aca="false">IFERROR(1/(1/ROUND($P32+(SUM($X32)*$AA32),0)),"")</f>
        <v/>
      </c>
      <c r="AC32" s="88" t="n">
        <f aca="false">0.95</f>
        <v>0.95</v>
      </c>
      <c r="AD32" s="39" t="str">
        <f aca="false">IF(SUM($AB32)=0,"",ROUND($AB32*$AC32,0))</f>
        <v/>
      </c>
      <c r="AE32" s="88" t="n">
        <f aca="false">0.95</f>
        <v>0.95</v>
      </c>
      <c r="AF32" s="39" t="str">
        <f aca="false">IF(SUM($AD32)=0,"",ROUND($AD32*$AE32,0))</f>
        <v/>
      </c>
      <c r="AG32" s="10"/>
      <c r="AH32" s="10"/>
      <c r="AI32" s="88" t="n">
        <f aca="false">0.95</f>
        <v>0.95</v>
      </c>
      <c r="AJ32" s="88"/>
      <c r="AK32" s="39" t="str">
        <f aca="false">IF(SUM($Z32)=0,"",IF(AND(SUM($Z32)&gt;0,$AI32=""),"ENTER LINKAGE RATE",ROUND($Z32/$AI32,0)))</f>
        <v/>
      </c>
      <c r="AL32" s="39" t="str">
        <f aca="false">IF(SUM($AK32)=0,"",IF(AND($AK32&gt;0,$AJ32=""),"ENTER YIELD RATE",ROUND($AK32/$AJ32-$AK32,0)))</f>
        <v/>
      </c>
      <c r="AM32" s="88" t="n">
        <f aca="false">1</f>
        <v>1</v>
      </c>
      <c r="AN32" s="39" t="str">
        <f aca="false">IF(SUM($AK32)=0,"",ROUND($AK32*$AM32,0))</f>
        <v/>
      </c>
      <c r="AO32" s="10"/>
      <c r="AP32" s="39"/>
    </row>
    <row r="33" customFormat="false" ht="15" hidden="false" customHeight="false" outlineLevel="0" collapsed="false">
      <c r="A33" s="0" t="str">
        <f aca="false">INDEX(Prioritization!$D:$D,MATCH($B33,Prioritization!$A:$A,0))</f>
        <v>INVALID</v>
      </c>
      <c r="B33" s="0" t="s">
        <v>197</v>
      </c>
      <c r="C33" s="0" t="s">
        <v>473</v>
      </c>
      <c r="D33" s="0" t="str">
        <f aca="false">B33&amp;"|"&amp;C33</f>
        <v>Kasungu District [JQKLKuVuY61]|PWID</v>
      </c>
      <c r="E33" s="39"/>
      <c r="F33" s="39"/>
      <c r="G33" s="39"/>
      <c r="H33" s="10"/>
      <c r="I33" s="39"/>
      <c r="J33" s="10"/>
      <c r="K33" s="39"/>
      <c r="L33" s="10"/>
      <c r="M33" s="39"/>
      <c r="N33" s="10"/>
      <c r="O33" s="10"/>
      <c r="P33" s="10" t="str">
        <f aca="false">IF(MAX($N33,$O33)=0,"",MAX($N33,$O33))</f>
        <v/>
      </c>
      <c r="Q33" s="39" t="str">
        <f aca="false">IF(SUM($P33)=0,"",SUM($P33))</f>
        <v/>
      </c>
      <c r="R33" s="10"/>
      <c r="S33" s="10" t="str">
        <f aca="false">IF(SUM($F33)=0,"",SUM($R33)/$F33)</f>
        <v/>
      </c>
      <c r="T33" s="10"/>
      <c r="U33" s="88" t="n">
        <f aca="false">0.98</f>
        <v>0.98</v>
      </c>
      <c r="V33" s="88" t="n">
        <f aca="false">0.98</f>
        <v>0.98</v>
      </c>
      <c r="W33" s="10" t="str">
        <f aca="false">IF(SUM($P33,$Q33)=0,"",SUM($Q33)-SUM($P33))</f>
        <v/>
      </c>
      <c r="X33" s="10" t="str">
        <f aca="false">IFERROR(1/(1/ROUND((SUM($Q33)-(SUM($P33)*SUM($U33)))/$V33,0)),"")</f>
        <v/>
      </c>
      <c r="Y33" s="88" t="n">
        <f aca="false">1</f>
        <v>1</v>
      </c>
      <c r="Z33" s="39" t="str">
        <f aca="false">IFERROR(1/(1/ROUND(SUM($X33)*SUM($Y33),0)),"")</f>
        <v/>
      </c>
      <c r="AA33" s="88" t="n">
        <f aca="false">0.7</f>
        <v>0.7</v>
      </c>
      <c r="AB33" s="10" t="str">
        <f aca="false">IFERROR(1/(1/ROUND($P33+(SUM($X33)*$AA33),0)),"")</f>
        <v/>
      </c>
      <c r="AC33" s="88" t="n">
        <f aca="false">0.95</f>
        <v>0.95</v>
      </c>
      <c r="AD33" s="39" t="str">
        <f aca="false">IF(SUM($AB33)=0,"",ROUND($AB33*$AC33,0))</f>
        <v/>
      </c>
      <c r="AE33" s="88" t="n">
        <f aca="false">0.95</f>
        <v>0.95</v>
      </c>
      <c r="AF33" s="39" t="str">
        <f aca="false">IF(SUM($AD33)=0,"",ROUND($AD33*$AE33,0))</f>
        <v/>
      </c>
      <c r="AG33" s="10"/>
      <c r="AH33" s="10"/>
      <c r="AI33" s="88" t="n">
        <f aca="false">0.95</f>
        <v>0.95</v>
      </c>
      <c r="AJ33" s="88"/>
      <c r="AK33" s="39" t="str">
        <f aca="false">IF(SUM($Z33)=0,"",IF(AND(SUM($Z33)&gt;0,$AI33=""),"ENTER LINKAGE RATE",ROUND($Z33/$AI33,0)))</f>
        <v/>
      </c>
      <c r="AL33" s="39" t="str">
        <f aca="false">IF(SUM($AK33)=0,"",IF(AND($AK33&gt;0,$AJ33=""),"ENTER YIELD RATE",ROUND($AK33/$AJ33-$AK33,0)))</f>
        <v/>
      </c>
      <c r="AM33" s="88" t="n">
        <f aca="false">1</f>
        <v>1</v>
      </c>
      <c r="AN33" s="39" t="str">
        <f aca="false">IF(SUM($AK33)=0,"",ROUND($AK33*$AM33,0))</f>
        <v/>
      </c>
      <c r="AO33" s="10"/>
      <c r="AP33" s="39"/>
    </row>
    <row r="34" customFormat="false" ht="15" hidden="false" customHeight="false" outlineLevel="0" collapsed="false">
      <c r="A34" s="0" t="str">
        <f aca="false">INDEX(Prioritization!$D:$D,MATCH($B34,Prioritization!$A:$A,0))</f>
        <v>INVALID</v>
      </c>
      <c r="B34" s="0" t="s">
        <v>197</v>
      </c>
      <c r="C34" s="0" t="s">
        <v>474</v>
      </c>
      <c r="D34" s="0" t="str">
        <f aca="false">B34&amp;"|"&amp;C34</f>
        <v>Kasungu District [JQKLKuVuY61]|TG</v>
      </c>
      <c r="E34" s="39"/>
      <c r="F34" s="39"/>
      <c r="G34" s="39"/>
      <c r="H34" s="10"/>
      <c r="I34" s="39"/>
      <c r="J34" s="10"/>
      <c r="K34" s="39"/>
      <c r="L34" s="10"/>
      <c r="M34" s="39"/>
      <c r="N34" s="10"/>
      <c r="O34" s="10"/>
      <c r="P34" s="10" t="str">
        <f aca="false">IF(MAX($N34,$O34)=0,"",MAX($N34,$O34))</f>
        <v/>
      </c>
      <c r="Q34" s="39" t="str">
        <f aca="false">IF(SUM($P34)=0,"",SUM($P34))</f>
        <v/>
      </c>
      <c r="R34" s="10"/>
      <c r="S34" s="10" t="str">
        <f aca="false">IF(SUM($F34)=0,"",SUM($R34)/$F34)</f>
        <v/>
      </c>
      <c r="T34" s="10"/>
      <c r="U34" s="88" t="n">
        <f aca="false">0.98</f>
        <v>0.98</v>
      </c>
      <c r="V34" s="88" t="n">
        <f aca="false">0.98</f>
        <v>0.98</v>
      </c>
      <c r="W34" s="10" t="str">
        <f aca="false">IF(SUM($P34,$Q34)=0,"",SUM($Q34)-SUM($P34))</f>
        <v/>
      </c>
      <c r="X34" s="10" t="str">
        <f aca="false">IFERROR(1/(1/ROUND((SUM($Q34)-(SUM($P34)*SUM($U34)))/$V34,0)),"")</f>
        <v/>
      </c>
      <c r="Y34" s="88" t="n">
        <f aca="false">1</f>
        <v>1</v>
      </c>
      <c r="Z34" s="39" t="str">
        <f aca="false">IFERROR(1/(1/ROUND(SUM($X34)*SUM($Y34),0)),"")</f>
        <v/>
      </c>
      <c r="AA34" s="88" t="n">
        <f aca="false">0.7</f>
        <v>0.7</v>
      </c>
      <c r="AB34" s="10" t="str">
        <f aca="false">IFERROR(1/(1/ROUND($P34+(SUM($X34)*$AA34),0)),"")</f>
        <v/>
      </c>
      <c r="AC34" s="88" t="n">
        <f aca="false">0.95</f>
        <v>0.95</v>
      </c>
      <c r="AD34" s="39" t="str">
        <f aca="false">IF(SUM($AB34)=0,"",ROUND($AB34*$AC34,0))</f>
        <v/>
      </c>
      <c r="AE34" s="88" t="n">
        <f aca="false">0.95</f>
        <v>0.95</v>
      </c>
      <c r="AF34" s="39" t="str">
        <f aca="false">IF(SUM($AD34)=0,"",ROUND($AD34*$AE34,0))</f>
        <v/>
      </c>
      <c r="AG34" s="10"/>
      <c r="AH34" s="10"/>
      <c r="AI34" s="88" t="n">
        <f aca="false">0.95</f>
        <v>0.95</v>
      </c>
      <c r="AJ34" s="88"/>
      <c r="AK34" s="39" t="str">
        <f aca="false">IF(SUM($Z34)=0,"",IF(AND(SUM($Z34)&gt;0,$AI34=""),"ENTER LINKAGE RATE",ROUND($Z34/$AI34,0)))</f>
        <v/>
      </c>
      <c r="AL34" s="39" t="str">
        <f aca="false">IF(SUM($AK34)=0,"",IF(AND($AK34&gt;0,$AJ34=""),"ENTER YIELD RATE",ROUND($AK34/$AJ34-$AK34,0)))</f>
        <v/>
      </c>
      <c r="AM34" s="88" t="n">
        <f aca="false">1</f>
        <v>1</v>
      </c>
      <c r="AN34" s="39" t="str">
        <f aca="false">IF(SUM($AK34)=0,"",ROUND($AK34*$AM34,0))</f>
        <v/>
      </c>
      <c r="AO34" s="10"/>
      <c r="AP34" s="39"/>
    </row>
    <row r="35" customFormat="false" ht="15" hidden="false" customHeight="false" outlineLevel="0" collapsed="false">
      <c r="A35" s="0" t="str">
        <f aca="false">INDEX(Prioritization!$D:$D,MATCH($B35,Prioritization!$A:$A,0))</f>
        <v>1 - Scale-up: Saturation</v>
      </c>
      <c r="B35" s="0" t="s">
        <v>198</v>
      </c>
      <c r="C35" s="0" t="s">
        <v>470</v>
      </c>
      <c r="D35" s="0" t="str">
        <f aca="false">B35&amp;"|"&amp;C35</f>
        <v>Lilongwe District [ScR9iFKAasW]|FSW</v>
      </c>
      <c r="E35" s="39"/>
      <c r="F35" s="39"/>
      <c r="G35" s="39"/>
      <c r="H35" s="10"/>
      <c r="I35" s="39"/>
      <c r="J35" s="10" t="n">
        <v>34</v>
      </c>
      <c r="K35" s="39"/>
      <c r="L35" s="10" t="n">
        <v>329</v>
      </c>
      <c r="M35" s="39"/>
      <c r="N35" s="10" t="n">
        <v>63</v>
      </c>
      <c r="O35" s="10" t="n">
        <v>631</v>
      </c>
      <c r="P35" s="10" t="n">
        <f aca="false">IF(MAX($N35,$O35)=0,"",MAX($N35,$O35))</f>
        <v>631</v>
      </c>
      <c r="Q35" s="39" t="n">
        <f aca="false">IF(SUM($P35)=0,"",SUM($P35))</f>
        <v>631</v>
      </c>
      <c r="R35" s="10"/>
      <c r="S35" s="10" t="str">
        <f aca="false">IF(SUM($F35)=0,"",SUM($R35)/$F35)</f>
        <v/>
      </c>
      <c r="T35" s="10" t="n">
        <v>35</v>
      </c>
      <c r="U35" s="88" t="n">
        <f aca="false">0.98</f>
        <v>0.98</v>
      </c>
      <c r="V35" s="88" t="n">
        <f aca="false">0.98</f>
        <v>0.98</v>
      </c>
      <c r="W35" s="10" t="n">
        <f aca="false">IF(SUM($P35,$Q35)=0,"",SUM($Q35)-SUM($P35))</f>
        <v>0</v>
      </c>
      <c r="X35" s="10" t="n">
        <f aca="false">IFERROR(1/(1/ROUND((SUM($Q35)-(SUM($P35)*SUM($U35)))/$V35,0)),"")</f>
        <v>13</v>
      </c>
      <c r="Y35" s="88" t="n">
        <f aca="false">1</f>
        <v>1</v>
      </c>
      <c r="Z35" s="39" t="n">
        <f aca="false">IFERROR(1/(1/ROUND(SUM($X35)*SUM($Y35),0)),"")</f>
        <v>13</v>
      </c>
      <c r="AA35" s="88" t="n">
        <f aca="false">0.7</f>
        <v>0.7</v>
      </c>
      <c r="AB35" s="10" t="n">
        <f aca="false">IFERROR(1/(1/ROUND($P35+(SUM($X35)*$AA35),0)),"")</f>
        <v>640</v>
      </c>
      <c r="AC35" s="88" t="n">
        <f aca="false">0.95</f>
        <v>0.95</v>
      </c>
      <c r="AD35" s="39" t="n">
        <f aca="false">IF(SUM($AB35)=0,"",ROUND($AB35*$AC35,0))</f>
        <v>608</v>
      </c>
      <c r="AE35" s="88" t="n">
        <f aca="false">0.95</f>
        <v>0.95</v>
      </c>
      <c r="AF35" s="39" t="n">
        <f aca="false">IF(SUM($AD35)=0,"",ROUND($AD35*$AE35,0))</f>
        <v>578</v>
      </c>
      <c r="AG35" s="10" t="n">
        <v>32</v>
      </c>
      <c r="AH35" s="10" t="n">
        <v>5</v>
      </c>
      <c r="AI35" s="88" t="n">
        <f aca="false">0.95</f>
        <v>0.95</v>
      </c>
      <c r="AJ35" s="88"/>
      <c r="AK35" s="39" t="n">
        <f aca="false">IF(SUM($Z35)=0,"",IF(AND(SUM($Z35)&gt;0,$AI35=""),"ENTER LINKAGE RATE",ROUND($Z35/$AI35,0)))</f>
        <v>14</v>
      </c>
      <c r="AL35" s="39" t="str">
        <f aca="false">IF(SUM($AK35)=0,"",IF(AND($AK35&gt;0,$AJ35=""),"ENTER YIELD RATE",ROUND($AK35/$AJ35-$AK35,0)))</f>
        <v>ENTER YIELD RATE</v>
      </c>
      <c r="AM35" s="88" t="n">
        <f aca="false">1</f>
        <v>1</v>
      </c>
      <c r="AN35" s="39" t="n">
        <f aca="false">IF(SUM($AK35)=0,"",ROUND($AK35*$AM35,0))</f>
        <v>14</v>
      </c>
      <c r="AO35" s="10" t="n">
        <v>310</v>
      </c>
      <c r="AP35" s="39"/>
    </row>
    <row r="36" customFormat="false" ht="15" hidden="false" customHeight="false" outlineLevel="0" collapsed="false">
      <c r="A36" s="0" t="str">
        <f aca="false">INDEX(Prioritization!$D:$D,MATCH($B36,Prioritization!$A:$A,0))</f>
        <v>1 - Scale-up: Saturation</v>
      </c>
      <c r="B36" s="0" t="s">
        <v>198</v>
      </c>
      <c r="C36" s="0" t="s">
        <v>471</v>
      </c>
      <c r="D36" s="0" t="str">
        <f aca="false">B36&amp;"|"&amp;C36</f>
        <v>Lilongwe District [ScR9iFKAasW]|MSM</v>
      </c>
      <c r="E36" s="39"/>
      <c r="F36" s="39"/>
      <c r="G36" s="39"/>
      <c r="H36" s="10"/>
      <c r="I36" s="39"/>
      <c r="J36" s="10" t="n">
        <v>122</v>
      </c>
      <c r="K36" s="39"/>
      <c r="L36" s="10" t="n">
        <v>672</v>
      </c>
      <c r="M36" s="39"/>
      <c r="N36" s="10" t="n">
        <v>65</v>
      </c>
      <c r="O36" s="10" t="n">
        <v>76</v>
      </c>
      <c r="P36" s="10" t="n">
        <f aca="false">IF(MAX($N36,$O36)=0,"",MAX($N36,$O36))</f>
        <v>76</v>
      </c>
      <c r="Q36" s="39" t="n">
        <f aca="false">IF(SUM($P36)=0,"",SUM($P36))</f>
        <v>76</v>
      </c>
      <c r="R36" s="10"/>
      <c r="S36" s="10" t="str">
        <f aca="false">IF(SUM($F36)=0,"",SUM($R36)/$F36)</f>
        <v/>
      </c>
      <c r="T36" s="10" t="n">
        <v>2</v>
      </c>
      <c r="U36" s="88" t="n">
        <f aca="false">0.98</f>
        <v>0.98</v>
      </c>
      <c r="V36" s="88" t="n">
        <f aca="false">0.98</f>
        <v>0.98</v>
      </c>
      <c r="W36" s="10" t="n">
        <f aca="false">IF(SUM($P36,$Q36)=0,"",SUM($Q36)-SUM($P36))</f>
        <v>0</v>
      </c>
      <c r="X36" s="10" t="n">
        <f aca="false">IFERROR(1/(1/ROUND((SUM($Q36)-(SUM($P36)*SUM($U36)))/$V36,0)),"")</f>
        <v>2</v>
      </c>
      <c r="Y36" s="88" t="n">
        <f aca="false">1</f>
        <v>1</v>
      </c>
      <c r="Z36" s="39" t="n">
        <f aca="false">IFERROR(1/(1/ROUND(SUM($X36)*SUM($Y36),0)),"")</f>
        <v>2</v>
      </c>
      <c r="AA36" s="88" t="n">
        <f aca="false">0.7</f>
        <v>0.7</v>
      </c>
      <c r="AB36" s="10" t="n">
        <f aca="false">IFERROR(1/(1/ROUND($P36+(SUM($X36)*$AA36),0)),"")</f>
        <v>77</v>
      </c>
      <c r="AC36" s="88" t="n">
        <f aca="false">0.95</f>
        <v>0.95</v>
      </c>
      <c r="AD36" s="39" t="n">
        <f aca="false">IF(SUM($AB36)=0,"",ROUND($AB36*$AC36,0))</f>
        <v>73</v>
      </c>
      <c r="AE36" s="88" t="n">
        <f aca="false">0.95</f>
        <v>0.95</v>
      </c>
      <c r="AF36" s="39" t="n">
        <f aca="false">IF(SUM($AD36)=0,"",ROUND($AD36*$AE36,0))</f>
        <v>69</v>
      </c>
      <c r="AG36" s="10" t="n">
        <v>5</v>
      </c>
      <c r="AH36" s="10" t="n">
        <v>1</v>
      </c>
      <c r="AI36" s="88" t="n">
        <f aca="false">0.95</f>
        <v>0.95</v>
      </c>
      <c r="AJ36" s="88"/>
      <c r="AK36" s="39" t="n">
        <f aca="false">IF(SUM($Z36)=0,"",IF(AND(SUM($Z36)&gt;0,$AI36=""),"ENTER LINKAGE RATE",ROUND($Z36/$AI36,0)))</f>
        <v>2</v>
      </c>
      <c r="AL36" s="39" t="str">
        <f aca="false">IF(SUM($AK36)=0,"",IF(AND($AK36&gt;0,$AJ36=""),"ENTER YIELD RATE",ROUND($AK36/$AJ36-$AK36,0)))</f>
        <v>ENTER YIELD RATE</v>
      </c>
      <c r="AM36" s="88" t="n">
        <f aca="false">1</f>
        <v>1</v>
      </c>
      <c r="AN36" s="39" t="n">
        <f aca="false">IF(SUM($AK36)=0,"",ROUND($AK36*$AM36,0))</f>
        <v>2</v>
      </c>
      <c r="AO36" s="10" t="n">
        <v>984</v>
      </c>
      <c r="AP36" s="39"/>
    </row>
    <row r="37" customFormat="false" ht="15" hidden="false" customHeight="false" outlineLevel="0" collapsed="false">
      <c r="A37" s="0" t="str">
        <f aca="false">INDEX(Prioritization!$D:$D,MATCH($B37,Prioritization!$A:$A,0))</f>
        <v>1 - Scale-up: Saturation</v>
      </c>
      <c r="B37" s="0" t="s">
        <v>198</v>
      </c>
      <c r="C37" s="0" t="s">
        <v>472</v>
      </c>
      <c r="D37" s="0" t="str">
        <f aca="false">B37&amp;"|"&amp;C37</f>
        <v>Lilongwe District [ScR9iFKAasW]|People in prisons and other enclosed settings</v>
      </c>
      <c r="E37" s="39"/>
      <c r="F37" s="39"/>
      <c r="G37" s="39"/>
      <c r="H37" s="10"/>
      <c r="I37" s="39"/>
      <c r="J37" s="10"/>
      <c r="K37" s="39"/>
      <c r="L37" s="10" t="n">
        <v>677</v>
      </c>
      <c r="M37" s="39"/>
      <c r="N37" s="10" t="n">
        <v>81</v>
      </c>
      <c r="O37" s="10" t="n">
        <v>79</v>
      </c>
      <c r="P37" s="10" t="n">
        <f aca="false">IF(MAX($N37,$O37)=0,"",MAX($N37,$O37))</f>
        <v>81</v>
      </c>
      <c r="Q37" s="39" t="n">
        <f aca="false">IF(SUM($P37)=0,"",SUM($P37))</f>
        <v>81</v>
      </c>
      <c r="R37" s="10"/>
      <c r="S37" s="10" t="str">
        <f aca="false">IF(SUM($F37)=0,"",SUM($R37)/$F37)</f>
        <v/>
      </c>
      <c r="T37" s="10" t="n">
        <v>40</v>
      </c>
      <c r="U37" s="88" t="n">
        <f aca="false">0.98</f>
        <v>0.98</v>
      </c>
      <c r="V37" s="88" t="n">
        <f aca="false">0.98</f>
        <v>0.98</v>
      </c>
      <c r="W37" s="10" t="n">
        <f aca="false">IF(SUM($P37,$Q37)=0,"",SUM($Q37)-SUM($P37))</f>
        <v>0</v>
      </c>
      <c r="X37" s="10" t="n">
        <f aca="false">IFERROR(1/(1/ROUND((SUM($Q37)-(SUM($P37)*SUM($U37)))/$V37,0)),"")</f>
        <v>2</v>
      </c>
      <c r="Y37" s="88" t="n">
        <f aca="false">1</f>
        <v>1</v>
      </c>
      <c r="Z37" s="39" t="n">
        <f aca="false">IFERROR(1/(1/ROUND(SUM($X37)*SUM($Y37),0)),"")</f>
        <v>2</v>
      </c>
      <c r="AA37" s="88" t="n">
        <f aca="false">0.7</f>
        <v>0.7</v>
      </c>
      <c r="AB37" s="10" t="n">
        <f aca="false">IFERROR(1/(1/ROUND($P37+(SUM($X37)*$AA37),0)),"")</f>
        <v>82</v>
      </c>
      <c r="AC37" s="88" t="n">
        <f aca="false">0.95</f>
        <v>0.95</v>
      </c>
      <c r="AD37" s="39" t="n">
        <f aca="false">IF(SUM($AB37)=0,"",ROUND($AB37*$AC37,0))</f>
        <v>78</v>
      </c>
      <c r="AE37" s="88" t="n">
        <f aca="false">0.95</f>
        <v>0.95</v>
      </c>
      <c r="AF37" s="39" t="n">
        <f aca="false">IF(SUM($AD37)=0,"",ROUND($AD37*$AE37,0))</f>
        <v>74</v>
      </c>
      <c r="AG37" s="10" t="n">
        <v>57</v>
      </c>
      <c r="AH37" s="10" t="n">
        <v>2</v>
      </c>
      <c r="AI37" s="88" t="n">
        <f aca="false">0.95</f>
        <v>0.95</v>
      </c>
      <c r="AJ37" s="88"/>
      <c r="AK37" s="39" t="n">
        <f aca="false">IF(SUM($Z37)=0,"",IF(AND(SUM($Z37)&gt;0,$AI37=""),"ENTER LINKAGE RATE",ROUND($Z37/$AI37,0)))</f>
        <v>2</v>
      </c>
      <c r="AL37" s="39" t="str">
        <f aca="false">IF(SUM($AK37)=0,"",IF(AND($AK37&gt;0,$AJ37=""),"ENTER YIELD RATE",ROUND($AK37/$AJ37-$AK37,0)))</f>
        <v>ENTER YIELD RATE</v>
      </c>
      <c r="AM37" s="88" t="n">
        <f aca="false">1</f>
        <v>1</v>
      </c>
      <c r="AN37" s="39" t="n">
        <f aca="false">IF(SUM($AK37)=0,"",ROUND($AK37*$AM37,0))</f>
        <v>2</v>
      </c>
      <c r="AO37" s="10" t="n">
        <v>790</v>
      </c>
      <c r="AP37" s="39"/>
    </row>
    <row r="38" customFormat="false" ht="15" hidden="false" customHeight="false" outlineLevel="0" collapsed="false">
      <c r="A38" s="0" t="str">
        <f aca="false">INDEX(Prioritization!$D:$D,MATCH($B38,Prioritization!$A:$A,0))</f>
        <v>1 - Scale-up: Saturation</v>
      </c>
      <c r="B38" s="0" t="s">
        <v>198</v>
      </c>
      <c r="C38" s="0" t="s">
        <v>473</v>
      </c>
      <c r="D38" s="0" t="str">
        <f aca="false">B38&amp;"|"&amp;C38</f>
        <v>Lilongwe District [ScR9iFKAasW]|PWID</v>
      </c>
      <c r="E38" s="39"/>
      <c r="F38" s="39"/>
      <c r="G38" s="39"/>
      <c r="H38" s="10"/>
      <c r="I38" s="39"/>
      <c r="J38" s="10"/>
      <c r="K38" s="39"/>
      <c r="L38" s="10"/>
      <c r="M38" s="39"/>
      <c r="N38" s="10"/>
      <c r="O38" s="10"/>
      <c r="P38" s="10" t="str">
        <f aca="false">IF(MAX($N38,$O38)=0,"",MAX($N38,$O38))</f>
        <v/>
      </c>
      <c r="Q38" s="39" t="str">
        <f aca="false">IF(SUM($P38)=0,"",SUM($P38))</f>
        <v/>
      </c>
      <c r="R38" s="10"/>
      <c r="S38" s="10" t="str">
        <f aca="false">IF(SUM($F38)=0,"",SUM($R38)/$F38)</f>
        <v/>
      </c>
      <c r="T38" s="10"/>
      <c r="U38" s="88" t="n">
        <f aca="false">0.98</f>
        <v>0.98</v>
      </c>
      <c r="V38" s="88" t="n">
        <f aca="false">0.98</f>
        <v>0.98</v>
      </c>
      <c r="W38" s="10" t="str">
        <f aca="false">IF(SUM($P38,$Q38)=0,"",SUM($Q38)-SUM($P38))</f>
        <v/>
      </c>
      <c r="X38" s="10" t="str">
        <f aca="false">IFERROR(1/(1/ROUND((SUM($Q38)-(SUM($P38)*SUM($U38)))/$V38,0)),"")</f>
        <v/>
      </c>
      <c r="Y38" s="88" t="n">
        <f aca="false">1</f>
        <v>1</v>
      </c>
      <c r="Z38" s="39" t="str">
        <f aca="false">IFERROR(1/(1/ROUND(SUM($X38)*SUM($Y38),0)),"")</f>
        <v/>
      </c>
      <c r="AA38" s="88" t="n">
        <f aca="false">0.7</f>
        <v>0.7</v>
      </c>
      <c r="AB38" s="10" t="str">
        <f aca="false">IFERROR(1/(1/ROUND($P38+(SUM($X38)*$AA38),0)),"")</f>
        <v/>
      </c>
      <c r="AC38" s="88" t="n">
        <f aca="false">0.95</f>
        <v>0.95</v>
      </c>
      <c r="AD38" s="39" t="str">
        <f aca="false">IF(SUM($AB38)=0,"",ROUND($AB38*$AC38,0))</f>
        <v/>
      </c>
      <c r="AE38" s="88" t="n">
        <f aca="false">0.95</f>
        <v>0.95</v>
      </c>
      <c r="AF38" s="39" t="str">
        <f aca="false">IF(SUM($AD38)=0,"",ROUND($AD38*$AE38,0))</f>
        <v/>
      </c>
      <c r="AG38" s="10"/>
      <c r="AH38" s="10"/>
      <c r="AI38" s="88" t="n">
        <f aca="false">0.95</f>
        <v>0.95</v>
      </c>
      <c r="AJ38" s="88"/>
      <c r="AK38" s="39" t="str">
        <f aca="false">IF(SUM($Z38)=0,"",IF(AND(SUM($Z38)&gt;0,$AI38=""),"ENTER LINKAGE RATE",ROUND($Z38/$AI38,0)))</f>
        <v/>
      </c>
      <c r="AL38" s="39" t="str">
        <f aca="false">IF(SUM($AK38)=0,"",IF(AND($AK38&gt;0,$AJ38=""),"ENTER YIELD RATE",ROUND($AK38/$AJ38-$AK38,0)))</f>
        <v/>
      </c>
      <c r="AM38" s="88" t="n">
        <f aca="false">1</f>
        <v>1</v>
      </c>
      <c r="AN38" s="39" t="str">
        <f aca="false">IF(SUM($AK38)=0,"",ROUND($AK38*$AM38,0))</f>
        <v/>
      </c>
      <c r="AO38" s="10"/>
      <c r="AP38" s="39"/>
    </row>
    <row r="39" customFormat="false" ht="15" hidden="false" customHeight="false" outlineLevel="0" collapsed="false">
      <c r="A39" s="0" t="str">
        <f aca="false">INDEX(Prioritization!$D:$D,MATCH($B39,Prioritization!$A:$A,0))</f>
        <v>1 - Scale-up: Saturation</v>
      </c>
      <c r="B39" s="0" t="s">
        <v>198</v>
      </c>
      <c r="C39" s="0" t="s">
        <v>474</v>
      </c>
      <c r="D39" s="0" t="str">
        <f aca="false">B39&amp;"|"&amp;C39</f>
        <v>Lilongwe District [ScR9iFKAasW]|TG</v>
      </c>
      <c r="E39" s="39"/>
      <c r="F39" s="39"/>
      <c r="G39" s="39"/>
      <c r="H39" s="10"/>
      <c r="I39" s="39"/>
      <c r="J39" s="10"/>
      <c r="K39" s="39"/>
      <c r="L39" s="10" t="n">
        <v>31</v>
      </c>
      <c r="M39" s="39"/>
      <c r="N39" s="10" t="n">
        <v>5</v>
      </c>
      <c r="O39" s="10" t="n">
        <v>4</v>
      </c>
      <c r="P39" s="10" t="n">
        <f aca="false">IF(MAX($N39,$O39)=0,"",MAX($N39,$O39))</f>
        <v>5</v>
      </c>
      <c r="Q39" s="39" t="n">
        <f aca="false">IF(SUM($P39)=0,"",SUM($P39))</f>
        <v>5</v>
      </c>
      <c r="R39" s="10"/>
      <c r="S39" s="10" t="str">
        <f aca="false">IF(SUM($F39)=0,"",SUM($R39)/$F39)</f>
        <v/>
      </c>
      <c r="T39" s="10" t="n">
        <v>5</v>
      </c>
      <c r="U39" s="88" t="n">
        <f aca="false">0.98</f>
        <v>0.98</v>
      </c>
      <c r="V39" s="88" t="n">
        <f aca="false">0.98</f>
        <v>0.98</v>
      </c>
      <c r="W39" s="10" t="n">
        <f aca="false">IF(SUM($P39,$Q39)=0,"",SUM($Q39)-SUM($P39))</f>
        <v>0</v>
      </c>
      <c r="X39" s="10" t="str">
        <f aca="false">IFERROR(1/(1/ROUND((SUM($Q39)-(SUM($P39)*SUM($U39)))/$V39,0)),"")</f>
        <v/>
      </c>
      <c r="Y39" s="88" t="n">
        <f aca="false">1</f>
        <v>1</v>
      </c>
      <c r="Z39" s="39" t="str">
        <f aca="false">IFERROR(1/(1/ROUND(SUM($X39)*SUM($Y39),0)),"")</f>
        <v/>
      </c>
      <c r="AA39" s="88" t="n">
        <f aca="false">0.7</f>
        <v>0.7</v>
      </c>
      <c r="AB39" s="10" t="n">
        <f aca="false">IFERROR(1/(1/ROUND($P39+(SUM($X39)*$AA39),0)),"")</f>
        <v>5</v>
      </c>
      <c r="AC39" s="88" t="n">
        <f aca="false">0.95</f>
        <v>0.95</v>
      </c>
      <c r="AD39" s="39" t="n">
        <f aca="false">IF(SUM($AB39)=0,"",ROUND($AB39*$AC39,0))</f>
        <v>5</v>
      </c>
      <c r="AE39" s="88" t="n">
        <f aca="false">0.95</f>
        <v>0.95</v>
      </c>
      <c r="AF39" s="39" t="n">
        <f aca="false">IF(SUM($AD39)=0,"",ROUND($AD39*$AE39,0))</f>
        <v>5</v>
      </c>
      <c r="AG39" s="10" t="n">
        <v>2</v>
      </c>
      <c r="AH39" s="10" t="n">
        <v>1</v>
      </c>
      <c r="AI39" s="88" t="n">
        <f aca="false">0.95</f>
        <v>0.95</v>
      </c>
      <c r="AJ39" s="88"/>
      <c r="AK39" s="39" t="str">
        <f aca="false">IF(SUM($Z39)=0,"",IF(AND(SUM($Z39)&gt;0,$AI39=""),"ENTER LINKAGE RATE",ROUND($Z39/$AI39,0)))</f>
        <v/>
      </c>
      <c r="AL39" s="39" t="str">
        <f aca="false">IF(SUM($AK39)=0,"",IF(AND($AK39&gt;0,$AJ39=""),"ENTER YIELD RATE",ROUND($AK39/$AJ39-$AK39,0)))</f>
        <v/>
      </c>
      <c r="AM39" s="88" t="n">
        <f aca="false">1</f>
        <v>1</v>
      </c>
      <c r="AN39" s="39" t="str">
        <f aca="false">IF(SUM($AK39)=0,"",ROUND($AK39*$AM39,0))</f>
        <v/>
      </c>
      <c r="AO39" s="10"/>
      <c r="AP39" s="39"/>
    </row>
    <row r="40" customFormat="false" ht="15" hidden="false" customHeight="false" outlineLevel="0" collapsed="false">
      <c r="A40" s="0" t="str">
        <f aca="false">INDEX(Prioritization!$D:$D,MATCH($B40,Prioritization!$A:$A,0))</f>
        <v>1 - Scale-up: Saturation</v>
      </c>
      <c r="B40" s="0" t="s">
        <v>199</v>
      </c>
      <c r="C40" s="0" t="s">
        <v>470</v>
      </c>
      <c r="D40" s="0" t="str">
        <f aca="false">B40&amp;"|"&amp;C40</f>
        <v>Mchinji District [kxuuIFpOXyO]|FSW</v>
      </c>
      <c r="E40" s="39"/>
      <c r="F40" s="39"/>
      <c r="G40" s="39"/>
      <c r="H40" s="10"/>
      <c r="I40" s="39"/>
      <c r="J40" s="10"/>
      <c r="K40" s="39"/>
      <c r="L40" s="10"/>
      <c r="M40" s="39"/>
      <c r="N40" s="10"/>
      <c r="O40" s="10"/>
      <c r="P40" s="10" t="str">
        <f aca="false">IF(MAX($N40,$O40)=0,"",MAX($N40,$O40))</f>
        <v/>
      </c>
      <c r="Q40" s="39" t="str">
        <f aca="false">IF(SUM($P40)=0,"",SUM($P40))</f>
        <v/>
      </c>
      <c r="R40" s="10"/>
      <c r="S40" s="10" t="str">
        <f aca="false">IF(SUM($F40)=0,"",SUM($R40)/$F40)</f>
        <v/>
      </c>
      <c r="T40" s="10"/>
      <c r="U40" s="88" t="n">
        <f aca="false">0.98</f>
        <v>0.98</v>
      </c>
      <c r="V40" s="88" t="n">
        <f aca="false">0.98</f>
        <v>0.98</v>
      </c>
      <c r="W40" s="10" t="str">
        <f aca="false">IF(SUM($P40,$Q40)=0,"",SUM($Q40)-SUM($P40))</f>
        <v/>
      </c>
      <c r="X40" s="10" t="str">
        <f aca="false">IFERROR(1/(1/ROUND((SUM($Q40)-(SUM($P40)*SUM($U40)))/$V40,0)),"")</f>
        <v/>
      </c>
      <c r="Y40" s="88" t="n">
        <f aca="false">1</f>
        <v>1</v>
      </c>
      <c r="Z40" s="39" t="str">
        <f aca="false">IFERROR(1/(1/ROUND(SUM($X40)*SUM($Y40),0)),"")</f>
        <v/>
      </c>
      <c r="AA40" s="88" t="n">
        <f aca="false">0.7</f>
        <v>0.7</v>
      </c>
      <c r="AB40" s="10" t="str">
        <f aca="false">IFERROR(1/(1/ROUND($P40+(SUM($X40)*$AA40),0)),"")</f>
        <v/>
      </c>
      <c r="AC40" s="88" t="n">
        <f aca="false">0.95</f>
        <v>0.95</v>
      </c>
      <c r="AD40" s="39" t="str">
        <f aca="false">IF(SUM($AB40)=0,"",ROUND($AB40*$AC40,0))</f>
        <v/>
      </c>
      <c r="AE40" s="88" t="n">
        <f aca="false">0.95</f>
        <v>0.95</v>
      </c>
      <c r="AF40" s="39" t="str">
        <f aca="false">IF(SUM($AD40)=0,"",ROUND($AD40*$AE40,0))</f>
        <v/>
      </c>
      <c r="AG40" s="10"/>
      <c r="AH40" s="10"/>
      <c r="AI40" s="88" t="n">
        <f aca="false">0.95</f>
        <v>0.95</v>
      </c>
      <c r="AJ40" s="88"/>
      <c r="AK40" s="39" t="str">
        <f aca="false">IF(SUM($Z40)=0,"",IF(AND(SUM($Z40)&gt;0,$AI40=""),"ENTER LINKAGE RATE",ROUND($Z40/$AI40,0)))</f>
        <v/>
      </c>
      <c r="AL40" s="39" t="str">
        <f aca="false">IF(SUM($AK40)=0,"",IF(AND($AK40&gt;0,$AJ40=""),"ENTER YIELD RATE",ROUND($AK40/$AJ40-$AK40,0)))</f>
        <v/>
      </c>
      <c r="AM40" s="88" t="n">
        <f aca="false">1</f>
        <v>1</v>
      </c>
      <c r="AN40" s="39" t="str">
        <f aca="false">IF(SUM($AK40)=0,"",ROUND($AK40*$AM40,0))</f>
        <v/>
      </c>
      <c r="AO40" s="10"/>
      <c r="AP40" s="39"/>
    </row>
    <row r="41" customFormat="false" ht="15" hidden="false" customHeight="false" outlineLevel="0" collapsed="false">
      <c r="A41" s="0" t="str">
        <f aca="false">INDEX(Prioritization!$D:$D,MATCH($B41,Prioritization!$A:$A,0))</f>
        <v>1 - Scale-up: Saturation</v>
      </c>
      <c r="B41" s="0" t="s">
        <v>199</v>
      </c>
      <c r="C41" s="0" t="s">
        <v>471</v>
      </c>
      <c r="D41" s="0" t="str">
        <f aca="false">B41&amp;"|"&amp;C41</f>
        <v>Mchinji District [kxuuIFpOXyO]|MSM</v>
      </c>
      <c r="E41" s="39"/>
      <c r="F41" s="39"/>
      <c r="G41" s="39"/>
      <c r="H41" s="10"/>
      <c r="I41" s="39"/>
      <c r="J41" s="10"/>
      <c r="K41" s="39"/>
      <c r="L41" s="10"/>
      <c r="M41" s="39"/>
      <c r="N41" s="10"/>
      <c r="O41" s="10"/>
      <c r="P41" s="10" t="str">
        <f aca="false">IF(MAX($N41,$O41)=0,"",MAX($N41,$O41))</f>
        <v/>
      </c>
      <c r="Q41" s="39" t="str">
        <f aca="false">IF(SUM($P41)=0,"",SUM($P41))</f>
        <v/>
      </c>
      <c r="R41" s="10"/>
      <c r="S41" s="10" t="str">
        <f aca="false">IF(SUM($F41)=0,"",SUM($R41)/$F41)</f>
        <v/>
      </c>
      <c r="T41" s="10"/>
      <c r="U41" s="88" t="n">
        <f aca="false">0.98</f>
        <v>0.98</v>
      </c>
      <c r="V41" s="88" t="n">
        <f aca="false">0.98</f>
        <v>0.98</v>
      </c>
      <c r="W41" s="10" t="str">
        <f aca="false">IF(SUM($P41,$Q41)=0,"",SUM($Q41)-SUM($P41))</f>
        <v/>
      </c>
      <c r="X41" s="10" t="str">
        <f aca="false">IFERROR(1/(1/ROUND((SUM($Q41)-(SUM($P41)*SUM($U41)))/$V41,0)),"")</f>
        <v/>
      </c>
      <c r="Y41" s="88" t="n">
        <f aca="false">1</f>
        <v>1</v>
      </c>
      <c r="Z41" s="39" t="str">
        <f aca="false">IFERROR(1/(1/ROUND(SUM($X41)*SUM($Y41),0)),"")</f>
        <v/>
      </c>
      <c r="AA41" s="88" t="n">
        <f aca="false">0.7</f>
        <v>0.7</v>
      </c>
      <c r="AB41" s="10" t="str">
        <f aca="false">IFERROR(1/(1/ROUND($P41+(SUM($X41)*$AA41),0)),"")</f>
        <v/>
      </c>
      <c r="AC41" s="88" t="n">
        <f aca="false">0.95</f>
        <v>0.95</v>
      </c>
      <c r="AD41" s="39" t="str">
        <f aca="false">IF(SUM($AB41)=0,"",ROUND($AB41*$AC41,0))</f>
        <v/>
      </c>
      <c r="AE41" s="88" t="n">
        <f aca="false">0.95</f>
        <v>0.95</v>
      </c>
      <c r="AF41" s="39" t="str">
        <f aca="false">IF(SUM($AD41)=0,"",ROUND($AD41*$AE41,0))</f>
        <v/>
      </c>
      <c r="AG41" s="10"/>
      <c r="AH41" s="10"/>
      <c r="AI41" s="88" t="n">
        <f aca="false">0.95</f>
        <v>0.95</v>
      </c>
      <c r="AJ41" s="88"/>
      <c r="AK41" s="39" t="str">
        <f aca="false">IF(SUM($Z41)=0,"",IF(AND(SUM($Z41)&gt;0,$AI41=""),"ENTER LINKAGE RATE",ROUND($Z41/$AI41,0)))</f>
        <v/>
      </c>
      <c r="AL41" s="39" t="str">
        <f aca="false">IF(SUM($AK41)=0,"",IF(AND($AK41&gt;0,$AJ41=""),"ENTER YIELD RATE",ROUND($AK41/$AJ41-$AK41,0)))</f>
        <v/>
      </c>
      <c r="AM41" s="88" t="n">
        <f aca="false">1</f>
        <v>1</v>
      </c>
      <c r="AN41" s="39" t="str">
        <f aca="false">IF(SUM($AK41)=0,"",ROUND($AK41*$AM41,0))</f>
        <v/>
      </c>
      <c r="AO41" s="10"/>
      <c r="AP41" s="39"/>
    </row>
    <row r="42" customFormat="false" ht="15" hidden="false" customHeight="false" outlineLevel="0" collapsed="false">
      <c r="A42" s="0" t="str">
        <f aca="false">INDEX(Prioritization!$D:$D,MATCH($B42,Prioritization!$A:$A,0))</f>
        <v>1 - Scale-up: Saturation</v>
      </c>
      <c r="B42" s="0" t="s">
        <v>199</v>
      </c>
      <c r="C42" s="0" t="s">
        <v>472</v>
      </c>
      <c r="D42" s="0" t="str">
        <f aca="false">B42&amp;"|"&amp;C42</f>
        <v>Mchinji District [kxuuIFpOXyO]|People in prisons and other enclosed settings</v>
      </c>
      <c r="E42" s="39"/>
      <c r="F42" s="39"/>
      <c r="G42" s="39"/>
      <c r="H42" s="10"/>
      <c r="I42" s="39"/>
      <c r="J42" s="10"/>
      <c r="K42" s="39"/>
      <c r="L42" s="10"/>
      <c r="M42" s="39"/>
      <c r="N42" s="10"/>
      <c r="O42" s="10"/>
      <c r="P42" s="10" t="str">
        <f aca="false">IF(MAX($N42,$O42)=0,"",MAX($N42,$O42))</f>
        <v/>
      </c>
      <c r="Q42" s="39" t="str">
        <f aca="false">IF(SUM($P42)=0,"",SUM($P42))</f>
        <v/>
      </c>
      <c r="R42" s="10"/>
      <c r="S42" s="10" t="str">
        <f aca="false">IF(SUM($F42)=0,"",SUM($R42)/$F42)</f>
        <v/>
      </c>
      <c r="T42" s="10"/>
      <c r="U42" s="88" t="n">
        <f aca="false">0.98</f>
        <v>0.98</v>
      </c>
      <c r="V42" s="88" t="n">
        <f aca="false">0.98</f>
        <v>0.98</v>
      </c>
      <c r="W42" s="10" t="str">
        <f aca="false">IF(SUM($P42,$Q42)=0,"",SUM($Q42)-SUM($P42))</f>
        <v/>
      </c>
      <c r="X42" s="10" t="str">
        <f aca="false">IFERROR(1/(1/ROUND((SUM($Q42)-(SUM($P42)*SUM($U42)))/$V42,0)),"")</f>
        <v/>
      </c>
      <c r="Y42" s="88" t="n">
        <f aca="false">1</f>
        <v>1</v>
      </c>
      <c r="Z42" s="39" t="str">
        <f aca="false">IFERROR(1/(1/ROUND(SUM($X42)*SUM($Y42),0)),"")</f>
        <v/>
      </c>
      <c r="AA42" s="88" t="n">
        <f aca="false">0.7</f>
        <v>0.7</v>
      </c>
      <c r="AB42" s="10" t="str">
        <f aca="false">IFERROR(1/(1/ROUND($P42+(SUM($X42)*$AA42),0)),"")</f>
        <v/>
      </c>
      <c r="AC42" s="88" t="n">
        <f aca="false">0.95</f>
        <v>0.95</v>
      </c>
      <c r="AD42" s="39" t="str">
        <f aca="false">IF(SUM($AB42)=0,"",ROUND($AB42*$AC42,0))</f>
        <v/>
      </c>
      <c r="AE42" s="88" t="n">
        <f aca="false">0.95</f>
        <v>0.95</v>
      </c>
      <c r="AF42" s="39" t="str">
        <f aca="false">IF(SUM($AD42)=0,"",ROUND($AD42*$AE42,0))</f>
        <v/>
      </c>
      <c r="AG42" s="10"/>
      <c r="AH42" s="10"/>
      <c r="AI42" s="88" t="n">
        <f aca="false">0.95</f>
        <v>0.95</v>
      </c>
      <c r="AJ42" s="88"/>
      <c r="AK42" s="39" t="str">
        <f aca="false">IF(SUM($Z42)=0,"",IF(AND(SUM($Z42)&gt;0,$AI42=""),"ENTER LINKAGE RATE",ROUND($Z42/$AI42,0)))</f>
        <v/>
      </c>
      <c r="AL42" s="39" t="str">
        <f aca="false">IF(SUM($AK42)=0,"",IF(AND($AK42&gt;0,$AJ42=""),"ENTER YIELD RATE",ROUND($AK42/$AJ42-$AK42,0)))</f>
        <v/>
      </c>
      <c r="AM42" s="88" t="n">
        <f aca="false">1</f>
        <v>1</v>
      </c>
      <c r="AN42" s="39" t="str">
        <f aca="false">IF(SUM($AK42)=0,"",ROUND($AK42*$AM42,0))</f>
        <v/>
      </c>
      <c r="AO42" s="10"/>
      <c r="AP42" s="39"/>
    </row>
    <row r="43" customFormat="false" ht="15" hidden="false" customHeight="false" outlineLevel="0" collapsed="false">
      <c r="A43" s="0" t="str">
        <f aca="false">INDEX(Prioritization!$D:$D,MATCH($B43,Prioritization!$A:$A,0))</f>
        <v>1 - Scale-up: Saturation</v>
      </c>
      <c r="B43" s="0" t="s">
        <v>199</v>
      </c>
      <c r="C43" s="0" t="s">
        <v>473</v>
      </c>
      <c r="D43" s="0" t="str">
        <f aca="false">B43&amp;"|"&amp;C43</f>
        <v>Mchinji District [kxuuIFpOXyO]|PWID</v>
      </c>
      <c r="E43" s="39"/>
      <c r="F43" s="39"/>
      <c r="G43" s="39"/>
      <c r="H43" s="10"/>
      <c r="I43" s="39"/>
      <c r="J43" s="10"/>
      <c r="K43" s="39"/>
      <c r="L43" s="10"/>
      <c r="M43" s="39"/>
      <c r="N43" s="10"/>
      <c r="O43" s="10"/>
      <c r="P43" s="10" t="str">
        <f aca="false">IF(MAX($N43,$O43)=0,"",MAX($N43,$O43))</f>
        <v/>
      </c>
      <c r="Q43" s="39" t="str">
        <f aca="false">IF(SUM($P43)=0,"",SUM($P43))</f>
        <v/>
      </c>
      <c r="R43" s="10"/>
      <c r="S43" s="10" t="str">
        <f aca="false">IF(SUM($F43)=0,"",SUM($R43)/$F43)</f>
        <v/>
      </c>
      <c r="T43" s="10"/>
      <c r="U43" s="88" t="n">
        <f aca="false">0.98</f>
        <v>0.98</v>
      </c>
      <c r="V43" s="88" t="n">
        <f aca="false">0.98</f>
        <v>0.98</v>
      </c>
      <c r="W43" s="10" t="str">
        <f aca="false">IF(SUM($P43,$Q43)=0,"",SUM($Q43)-SUM($P43))</f>
        <v/>
      </c>
      <c r="X43" s="10" t="str">
        <f aca="false">IFERROR(1/(1/ROUND((SUM($Q43)-(SUM($P43)*SUM($U43)))/$V43,0)),"")</f>
        <v/>
      </c>
      <c r="Y43" s="88" t="n">
        <f aca="false">1</f>
        <v>1</v>
      </c>
      <c r="Z43" s="39" t="str">
        <f aca="false">IFERROR(1/(1/ROUND(SUM($X43)*SUM($Y43),0)),"")</f>
        <v/>
      </c>
      <c r="AA43" s="88" t="n">
        <f aca="false">0.7</f>
        <v>0.7</v>
      </c>
      <c r="AB43" s="10" t="str">
        <f aca="false">IFERROR(1/(1/ROUND($P43+(SUM($X43)*$AA43),0)),"")</f>
        <v/>
      </c>
      <c r="AC43" s="88" t="n">
        <f aca="false">0.95</f>
        <v>0.95</v>
      </c>
      <c r="AD43" s="39" t="str">
        <f aca="false">IF(SUM($AB43)=0,"",ROUND($AB43*$AC43,0))</f>
        <v/>
      </c>
      <c r="AE43" s="88" t="n">
        <f aca="false">0.95</f>
        <v>0.95</v>
      </c>
      <c r="AF43" s="39" t="str">
        <f aca="false">IF(SUM($AD43)=0,"",ROUND($AD43*$AE43,0))</f>
        <v/>
      </c>
      <c r="AG43" s="10"/>
      <c r="AH43" s="10"/>
      <c r="AI43" s="88" t="n">
        <f aca="false">0.95</f>
        <v>0.95</v>
      </c>
      <c r="AJ43" s="88"/>
      <c r="AK43" s="39" t="str">
        <f aca="false">IF(SUM($Z43)=0,"",IF(AND(SUM($Z43)&gt;0,$AI43=""),"ENTER LINKAGE RATE",ROUND($Z43/$AI43,0)))</f>
        <v/>
      </c>
      <c r="AL43" s="39" t="str">
        <f aca="false">IF(SUM($AK43)=0,"",IF(AND($AK43&gt;0,$AJ43=""),"ENTER YIELD RATE",ROUND($AK43/$AJ43-$AK43,0)))</f>
        <v/>
      </c>
      <c r="AM43" s="88" t="n">
        <f aca="false">1</f>
        <v>1</v>
      </c>
      <c r="AN43" s="39" t="str">
        <f aca="false">IF(SUM($AK43)=0,"",ROUND($AK43*$AM43,0))</f>
        <v/>
      </c>
      <c r="AO43" s="10"/>
      <c r="AP43" s="39"/>
    </row>
    <row r="44" customFormat="false" ht="15" hidden="false" customHeight="false" outlineLevel="0" collapsed="false">
      <c r="A44" s="0" t="str">
        <f aca="false">INDEX(Prioritization!$D:$D,MATCH($B44,Prioritization!$A:$A,0))</f>
        <v>1 - Scale-up: Saturation</v>
      </c>
      <c r="B44" s="0" t="s">
        <v>199</v>
      </c>
      <c r="C44" s="0" t="s">
        <v>474</v>
      </c>
      <c r="D44" s="0" t="str">
        <f aca="false">B44&amp;"|"&amp;C44</f>
        <v>Mchinji District [kxuuIFpOXyO]|TG</v>
      </c>
      <c r="E44" s="39"/>
      <c r="F44" s="39"/>
      <c r="G44" s="39"/>
      <c r="H44" s="10"/>
      <c r="I44" s="39"/>
      <c r="J44" s="10"/>
      <c r="K44" s="39"/>
      <c r="L44" s="10"/>
      <c r="M44" s="39"/>
      <c r="N44" s="10"/>
      <c r="O44" s="10"/>
      <c r="P44" s="10" t="str">
        <f aca="false">IF(MAX($N44,$O44)=0,"",MAX($N44,$O44))</f>
        <v/>
      </c>
      <c r="Q44" s="39" t="str">
        <f aca="false">IF(SUM($P44)=0,"",SUM($P44))</f>
        <v/>
      </c>
      <c r="R44" s="10"/>
      <c r="S44" s="10" t="str">
        <f aca="false">IF(SUM($F44)=0,"",SUM($R44)/$F44)</f>
        <v/>
      </c>
      <c r="T44" s="10"/>
      <c r="U44" s="88" t="n">
        <f aca="false">0.98</f>
        <v>0.98</v>
      </c>
      <c r="V44" s="88" t="n">
        <f aca="false">0.98</f>
        <v>0.98</v>
      </c>
      <c r="W44" s="10" t="str">
        <f aca="false">IF(SUM($P44,$Q44)=0,"",SUM($Q44)-SUM($P44))</f>
        <v/>
      </c>
      <c r="X44" s="10" t="str">
        <f aca="false">IFERROR(1/(1/ROUND((SUM($Q44)-(SUM($P44)*SUM($U44)))/$V44,0)),"")</f>
        <v/>
      </c>
      <c r="Y44" s="88" t="n">
        <f aca="false">1</f>
        <v>1</v>
      </c>
      <c r="Z44" s="39" t="str">
        <f aca="false">IFERROR(1/(1/ROUND(SUM($X44)*SUM($Y44),0)),"")</f>
        <v/>
      </c>
      <c r="AA44" s="88" t="n">
        <f aca="false">0.7</f>
        <v>0.7</v>
      </c>
      <c r="AB44" s="10" t="str">
        <f aca="false">IFERROR(1/(1/ROUND($P44+(SUM($X44)*$AA44),0)),"")</f>
        <v/>
      </c>
      <c r="AC44" s="88" t="n">
        <f aca="false">0.95</f>
        <v>0.95</v>
      </c>
      <c r="AD44" s="39" t="str">
        <f aca="false">IF(SUM($AB44)=0,"",ROUND($AB44*$AC44,0))</f>
        <v/>
      </c>
      <c r="AE44" s="88" t="n">
        <f aca="false">0.95</f>
        <v>0.95</v>
      </c>
      <c r="AF44" s="39" t="str">
        <f aca="false">IF(SUM($AD44)=0,"",ROUND($AD44*$AE44,0))</f>
        <v/>
      </c>
      <c r="AG44" s="10"/>
      <c r="AH44" s="10"/>
      <c r="AI44" s="88" t="n">
        <f aca="false">0.95</f>
        <v>0.95</v>
      </c>
      <c r="AJ44" s="88"/>
      <c r="AK44" s="39" t="str">
        <f aca="false">IF(SUM($Z44)=0,"",IF(AND(SUM($Z44)&gt;0,$AI44=""),"ENTER LINKAGE RATE",ROUND($Z44/$AI44,0)))</f>
        <v/>
      </c>
      <c r="AL44" s="39" t="str">
        <f aca="false">IF(SUM($AK44)=0,"",IF(AND($AK44&gt;0,$AJ44=""),"ENTER YIELD RATE",ROUND($AK44/$AJ44-$AK44,0)))</f>
        <v/>
      </c>
      <c r="AM44" s="88" t="n">
        <f aca="false">1</f>
        <v>1</v>
      </c>
      <c r="AN44" s="39" t="str">
        <f aca="false">IF(SUM($AK44)=0,"",ROUND($AK44*$AM44,0))</f>
        <v/>
      </c>
      <c r="AO44" s="10"/>
      <c r="AP44" s="39"/>
    </row>
    <row r="45" customFormat="false" ht="15" hidden="false" customHeight="false" outlineLevel="0" collapsed="false">
      <c r="A45" s="0" t="str">
        <f aca="false">INDEX(Prioritization!$D:$D,MATCH($B45,Prioritization!$A:$A,0))</f>
        <v>1 - Scale-up: Saturation</v>
      </c>
      <c r="B45" s="0" t="s">
        <v>200</v>
      </c>
      <c r="C45" s="0" t="s">
        <v>470</v>
      </c>
      <c r="D45" s="0" t="str">
        <f aca="false">B45&amp;"|"&amp;C45</f>
        <v>Nkhotakota District [YCKiBAp8QAg]|FSW</v>
      </c>
      <c r="E45" s="39"/>
      <c r="F45" s="39"/>
      <c r="G45" s="39"/>
      <c r="H45" s="10"/>
      <c r="I45" s="39"/>
      <c r="J45" s="10"/>
      <c r="K45" s="39"/>
      <c r="L45" s="10"/>
      <c r="M45" s="39"/>
      <c r="N45" s="10"/>
      <c r="O45" s="10"/>
      <c r="P45" s="10" t="str">
        <f aca="false">IF(MAX($N45,$O45)=0,"",MAX($N45,$O45))</f>
        <v/>
      </c>
      <c r="Q45" s="39" t="str">
        <f aca="false">IF(SUM($P45)=0,"",SUM($P45))</f>
        <v/>
      </c>
      <c r="R45" s="10"/>
      <c r="S45" s="10" t="str">
        <f aca="false">IF(SUM($F45)=0,"",SUM($R45)/$F45)</f>
        <v/>
      </c>
      <c r="T45" s="10"/>
      <c r="U45" s="88" t="n">
        <f aca="false">0.98</f>
        <v>0.98</v>
      </c>
      <c r="V45" s="88" t="n">
        <f aca="false">0.98</f>
        <v>0.98</v>
      </c>
      <c r="W45" s="10" t="str">
        <f aca="false">IF(SUM($P45,$Q45)=0,"",SUM($Q45)-SUM($P45))</f>
        <v/>
      </c>
      <c r="X45" s="10" t="str">
        <f aca="false">IFERROR(1/(1/ROUND((SUM($Q45)-(SUM($P45)*SUM($U45)))/$V45,0)),"")</f>
        <v/>
      </c>
      <c r="Y45" s="88" t="n">
        <f aca="false">1</f>
        <v>1</v>
      </c>
      <c r="Z45" s="39" t="str">
        <f aca="false">IFERROR(1/(1/ROUND(SUM($X45)*SUM($Y45),0)),"")</f>
        <v/>
      </c>
      <c r="AA45" s="88" t="n">
        <f aca="false">0.7</f>
        <v>0.7</v>
      </c>
      <c r="AB45" s="10" t="str">
        <f aca="false">IFERROR(1/(1/ROUND($P45+(SUM($X45)*$AA45),0)),"")</f>
        <v/>
      </c>
      <c r="AC45" s="88" t="n">
        <f aca="false">0.95</f>
        <v>0.95</v>
      </c>
      <c r="AD45" s="39" t="str">
        <f aca="false">IF(SUM($AB45)=0,"",ROUND($AB45*$AC45,0))</f>
        <v/>
      </c>
      <c r="AE45" s="88" t="n">
        <f aca="false">0.95</f>
        <v>0.95</v>
      </c>
      <c r="AF45" s="39" t="str">
        <f aca="false">IF(SUM($AD45)=0,"",ROUND($AD45*$AE45,0))</f>
        <v/>
      </c>
      <c r="AG45" s="10"/>
      <c r="AH45" s="10"/>
      <c r="AI45" s="88" t="n">
        <f aca="false">0.95</f>
        <v>0.95</v>
      </c>
      <c r="AJ45" s="88"/>
      <c r="AK45" s="39" t="str">
        <f aca="false">IF(SUM($Z45)=0,"",IF(AND(SUM($Z45)&gt;0,$AI45=""),"ENTER LINKAGE RATE",ROUND($Z45/$AI45,0)))</f>
        <v/>
      </c>
      <c r="AL45" s="39" t="str">
        <f aca="false">IF(SUM($AK45)=0,"",IF(AND($AK45&gt;0,$AJ45=""),"ENTER YIELD RATE",ROUND($AK45/$AJ45-$AK45,0)))</f>
        <v/>
      </c>
      <c r="AM45" s="88" t="n">
        <f aca="false">1</f>
        <v>1</v>
      </c>
      <c r="AN45" s="39" t="str">
        <f aca="false">IF(SUM($AK45)=0,"",ROUND($AK45*$AM45,0))</f>
        <v/>
      </c>
      <c r="AO45" s="10"/>
      <c r="AP45" s="39"/>
    </row>
    <row r="46" customFormat="false" ht="15" hidden="false" customHeight="false" outlineLevel="0" collapsed="false">
      <c r="A46" s="0" t="str">
        <f aca="false">INDEX(Prioritization!$D:$D,MATCH($B46,Prioritization!$A:$A,0))</f>
        <v>1 - Scale-up: Saturation</v>
      </c>
      <c r="B46" s="0" t="s">
        <v>200</v>
      </c>
      <c r="C46" s="0" t="s">
        <v>471</v>
      </c>
      <c r="D46" s="0" t="str">
        <f aca="false">B46&amp;"|"&amp;C46</f>
        <v>Nkhotakota District [YCKiBAp8QAg]|MSM</v>
      </c>
      <c r="E46" s="39"/>
      <c r="F46" s="39"/>
      <c r="G46" s="39"/>
      <c r="H46" s="10"/>
      <c r="I46" s="39"/>
      <c r="J46" s="10"/>
      <c r="K46" s="39"/>
      <c r="L46" s="10"/>
      <c r="M46" s="39"/>
      <c r="N46" s="10"/>
      <c r="O46" s="10"/>
      <c r="P46" s="10" t="str">
        <f aca="false">IF(MAX($N46,$O46)=0,"",MAX($N46,$O46))</f>
        <v/>
      </c>
      <c r="Q46" s="39" t="str">
        <f aca="false">IF(SUM($P46)=0,"",SUM($P46))</f>
        <v/>
      </c>
      <c r="R46" s="10"/>
      <c r="S46" s="10" t="str">
        <f aca="false">IF(SUM($F46)=0,"",SUM($R46)/$F46)</f>
        <v/>
      </c>
      <c r="T46" s="10"/>
      <c r="U46" s="88" t="n">
        <f aca="false">0.98</f>
        <v>0.98</v>
      </c>
      <c r="V46" s="88" t="n">
        <f aca="false">0.98</f>
        <v>0.98</v>
      </c>
      <c r="W46" s="10" t="str">
        <f aca="false">IF(SUM($P46,$Q46)=0,"",SUM($Q46)-SUM($P46))</f>
        <v/>
      </c>
      <c r="X46" s="10" t="str">
        <f aca="false">IFERROR(1/(1/ROUND((SUM($Q46)-(SUM($P46)*SUM($U46)))/$V46,0)),"")</f>
        <v/>
      </c>
      <c r="Y46" s="88" t="n">
        <f aca="false">1</f>
        <v>1</v>
      </c>
      <c r="Z46" s="39" t="str">
        <f aca="false">IFERROR(1/(1/ROUND(SUM($X46)*SUM($Y46),0)),"")</f>
        <v/>
      </c>
      <c r="AA46" s="88" t="n">
        <f aca="false">0.7</f>
        <v>0.7</v>
      </c>
      <c r="AB46" s="10" t="str">
        <f aca="false">IFERROR(1/(1/ROUND($P46+(SUM($X46)*$AA46),0)),"")</f>
        <v/>
      </c>
      <c r="AC46" s="88" t="n">
        <f aca="false">0.95</f>
        <v>0.95</v>
      </c>
      <c r="AD46" s="39" t="str">
        <f aca="false">IF(SUM($AB46)=0,"",ROUND($AB46*$AC46,0))</f>
        <v/>
      </c>
      <c r="AE46" s="88" t="n">
        <f aca="false">0.95</f>
        <v>0.95</v>
      </c>
      <c r="AF46" s="39" t="str">
        <f aca="false">IF(SUM($AD46)=0,"",ROUND($AD46*$AE46,0))</f>
        <v/>
      </c>
      <c r="AG46" s="10"/>
      <c r="AH46" s="10"/>
      <c r="AI46" s="88" t="n">
        <f aca="false">0.95</f>
        <v>0.95</v>
      </c>
      <c r="AJ46" s="88"/>
      <c r="AK46" s="39" t="str">
        <f aca="false">IF(SUM($Z46)=0,"",IF(AND(SUM($Z46)&gt;0,$AI46=""),"ENTER LINKAGE RATE",ROUND($Z46/$AI46,0)))</f>
        <v/>
      </c>
      <c r="AL46" s="39" t="str">
        <f aca="false">IF(SUM($AK46)=0,"",IF(AND($AK46&gt;0,$AJ46=""),"ENTER YIELD RATE",ROUND($AK46/$AJ46-$AK46,0)))</f>
        <v/>
      </c>
      <c r="AM46" s="88" t="n">
        <f aca="false">1</f>
        <v>1</v>
      </c>
      <c r="AN46" s="39" t="str">
        <f aca="false">IF(SUM($AK46)=0,"",ROUND($AK46*$AM46,0))</f>
        <v/>
      </c>
      <c r="AO46" s="10"/>
      <c r="AP46" s="39"/>
    </row>
    <row r="47" customFormat="false" ht="15" hidden="false" customHeight="false" outlineLevel="0" collapsed="false">
      <c r="A47" s="0" t="str">
        <f aca="false">INDEX(Prioritization!$D:$D,MATCH($B47,Prioritization!$A:$A,0))</f>
        <v>1 - Scale-up: Saturation</v>
      </c>
      <c r="B47" s="0" t="s">
        <v>200</v>
      </c>
      <c r="C47" s="0" t="s">
        <v>472</v>
      </c>
      <c r="D47" s="0" t="str">
        <f aca="false">B47&amp;"|"&amp;C47</f>
        <v>Nkhotakota District [YCKiBAp8QAg]|People in prisons and other enclosed settings</v>
      </c>
      <c r="E47" s="39"/>
      <c r="F47" s="39"/>
      <c r="G47" s="39"/>
      <c r="H47" s="10"/>
      <c r="I47" s="39"/>
      <c r="J47" s="10"/>
      <c r="K47" s="39"/>
      <c r="L47" s="10"/>
      <c r="M47" s="39"/>
      <c r="N47" s="10"/>
      <c r="O47" s="10"/>
      <c r="P47" s="10" t="str">
        <f aca="false">IF(MAX($N47,$O47)=0,"",MAX($N47,$O47))</f>
        <v/>
      </c>
      <c r="Q47" s="39" t="str">
        <f aca="false">IF(SUM($P47)=0,"",SUM($P47))</f>
        <v/>
      </c>
      <c r="R47" s="10"/>
      <c r="S47" s="10" t="str">
        <f aca="false">IF(SUM($F47)=0,"",SUM($R47)/$F47)</f>
        <v/>
      </c>
      <c r="T47" s="10"/>
      <c r="U47" s="88" t="n">
        <f aca="false">0.98</f>
        <v>0.98</v>
      </c>
      <c r="V47" s="88" t="n">
        <f aca="false">0.98</f>
        <v>0.98</v>
      </c>
      <c r="W47" s="10" t="str">
        <f aca="false">IF(SUM($P47,$Q47)=0,"",SUM($Q47)-SUM($P47))</f>
        <v/>
      </c>
      <c r="X47" s="10" t="str">
        <f aca="false">IFERROR(1/(1/ROUND((SUM($Q47)-(SUM($P47)*SUM($U47)))/$V47,0)),"")</f>
        <v/>
      </c>
      <c r="Y47" s="88" t="n">
        <f aca="false">1</f>
        <v>1</v>
      </c>
      <c r="Z47" s="39" t="str">
        <f aca="false">IFERROR(1/(1/ROUND(SUM($X47)*SUM($Y47),0)),"")</f>
        <v/>
      </c>
      <c r="AA47" s="88" t="n">
        <f aca="false">0.7</f>
        <v>0.7</v>
      </c>
      <c r="AB47" s="10" t="str">
        <f aca="false">IFERROR(1/(1/ROUND($P47+(SUM($X47)*$AA47),0)),"")</f>
        <v/>
      </c>
      <c r="AC47" s="88" t="n">
        <f aca="false">0.95</f>
        <v>0.95</v>
      </c>
      <c r="AD47" s="39" t="str">
        <f aca="false">IF(SUM($AB47)=0,"",ROUND($AB47*$AC47,0))</f>
        <v/>
      </c>
      <c r="AE47" s="88" t="n">
        <f aca="false">0.95</f>
        <v>0.95</v>
      </c>
      <c r="AF47" s="39" t="str">
        <f aca="false">IF(SUM($AD47)=0,"",ROUND($AD47*$AE47,0))</f>
        <v/>
      </c>
      <c r="AG47" s="10"/>
      <c r="AH47" s="10"/>
      <c r="AI47" s="88" t="n">
        <f aca="false">0.95</f>
        <v>0.95</v>
      </c>
      <c r="AJ47" s="88"/>
      <c r="AK47" s="39" t="str">
        <f aca="false">IF(SUM($Z47)=0,"",IF(AND(SUM($Z47)&gt;0,$AI47=""),"ENTER LINKAGE RATE",ROUND($Z47/$AI47,0)))</f>
        <v/>
      </c>
      <c r="AL47" s="39" t="str">
        <f aca="false">IF(SUM($AK47)=0,"",IF(AND($AK47&gt;0,$AJ47=""),"ENTER YIELD RATE",ROUND($AK47/$AJ47-$AK47,0)))</f>
        <v/>
      </c>
      <c r="AM47" s="88" t="n">
        <f aca="false">1</f>
        <v>1</v>
      </c>
      <c r="AN47" s="39" t="str">
        <f aca="false">IF(SUM($AK47)=0,"",ROUND($AK47*$AM47,0))</f>
        <v/>
      </c>
      <c r="AO47" s="10"/>
      <c r="AP47" s="39"/>
    </row>
    <row r="48" customFormat="false" ht="15" hidden="false" customHeight="false" outlineLevel="0" collapsed="false">
      <c r="A48" s="0" t="str">
        <f aca="false">INDEX(Prioritization!$D:$D,MATCH($B48,Prioritization!$A:$A,0))</f>
        <v>1 - Scale-up: Saturation</v>
      </c>
      <c r="B48" s="0" t="s">
        <v>200</v>
      </c>
      <c r="C48" s="0" t="s">
        <v>473</v>
      </c>
      <c r="D48" s="0" t="str">
        <f aca="false">B48&amp;"|"&amp;C48</f>
        <v>Nkhotakota District [YCKiBAp8QAg]|PWID</v>
      </c>
      <c r="E48" s="39"/>
      <c r="F48" s="39"/>
      <c r="G48" s="39"/>
      <c r="H48" s="10"/>
      <c r="I48" s="39"/>
      <c r="J48" s="10"/>
      <c r="K48" s="39"/>
      <c r="L48" s="10"/>
      <c r="M48" s="39"/>
      <c r="N48" s="10"/>
      <c r="O48" s="10"/>
      <c r="P48" s="10" t="str">
        <f aca="false">IF(MAX($N48,$O48)=0,"",MAX($N48,$O48))</f>
        <v/>
      </c>
      <c r="Q48" s="39" t="str">
        <f aca="false">IF(SUM($P48)=0,"",SUM($P48))</f>
        <v/>
      </c>
      <c r="R48" s="10"/>
      <c r="S48" s="10" t="str">
        <f aca="false">IF(SUM($F48)=0,"",SUM($R48)/$F48)</f>
        <v/>
      </c>
      <c r="T48" s="10"/>
      <c r="U48" s="88" t="n">
        <f aca="false">0.98</f>
        <v>0.98</v>
      </c>
      <c r="V48" s="88" t="n">
        <f aca="false">0.98</f>
        <v>0.98</v>
      </c>
      <c r="W48" s="10" t="str">
        <f aca="false">IF(SUM($P48,$Q48)=0,"",SUM($Q48)-SUM($P48))</f>
        <v/>
      </c>
      <c r="X48" s="10" t="str">
        <f aca="false">IFERROR(1/(1/ROUND((SUM($Q48)-(SUM($P48)*SUM($U48)))/$V48,0)),"")</f>
        <v/>
      </c>
      <c r="Y48" s="88" t="n">
        <f aca="false">1</f>
        <v>1</v>
      </c>
      <c r="Z48" s="39" t="str">
        <f aca="false">IFERROR(1/(1/ROUND(SUM($X48)*SUM($Y48),0)),"")</f>
        <v/>
      </c>
      <c r="AA48" s="88" t="n">
        <f aca="false">0.7</f>
        <v>0.7</v>
      </c>
      <c r="AB48" s="10" t="str">
        <f aca="false">IFERROR(1/(1/ROUND($P48+(SUM($X48)*$AA48),0)),"")</f>
        <v/>
      </c>
      <c r="AC48" s="88" t="n">
        <f aca="false">0.95</f>
        <v>0.95</v>
      </c>
      <c r="AD48" s="39" t="str">
        <f aca="false">IF(SUM($AB48)=0,"",ROUND($AB48*$AC48,0))</f>
        <v/>
      </c>
      <c r="AE48" s="88" t="n">
        <f aca="false">0.95</f>
        <v>0.95</v>
      </c>
      <c r="AF48" s="39" t="str">
        <f aca="false">IF(SUM($AD48)=0,"",ROUND($AD48*$AE48,0))</f>
        <v/>
      </c>
      <c r="AG48" s="10"/>
      <c r="AH48" s="10"/>
      <c r="AI48" s="88" t="n">
        <f aca="false">0.95</f>
        <v>0.95</v>
      </c>
      <c r="AJ48" s="88"/>
      <c r="AK48" s="39" t="str">
        <f aca="false">IF(SUM($Z48)=0,"",IF(AND(SUM($Z48)&gt;0,$AI48=""),"ENTER LINKAGE RATE",ROUND($Z48/$AI48,0)))</f>
        <v/>
      </c>
      <c r="AL48" s="39" t="str">
        <f aca="false">IF(SUM($AK48)=0,"",IF(AND($AK48&gt;0,$AJ48=""),"ENTER YIELD RATE",ROUND($AK48/$AJ48-$AK48,0)))</f>
        <v/>
      </c>
      <c r="AM48" s="88" t="n">
        <f aca="false">1</f>
        <v>1</v>
      </c>
      <c r="AN48" s="39" t="str">
        <f aca="false">IF(SUM($AK48)=0,"",ROUND($AK48*$AM48,0))</f>
        <v/>
      </c>
      <c r="AO48" s="10"/>
      <c r="AP48" s="39"/>
    </row>
    <row r="49" customFormat="false" ht="15" hidden="false" customHeight="false" outlineLevel="0" collapsed="false">
      <c r="A49" s="0" t="str">
        <f aca="false">INDEX(Prioritization!$D:$D,MATCH($B49,Prioritization!$A:$A,0))</f>
        <v>1 - Scale-up: Saturation</v>
      </c>
      <c r="B49" s="0" t="s">
        <v>200</v>
      </c>
      <c r="C49" s="0" t="s">
        <v>474</v>
      </c>
      <c r="D49" s="0" t="str">
        <f aca="false">B49&amp;"|"&amp;C49</f>
        <v>Nkhotakota District [YCKiBAp8QAg]|TG</v>
      </c>
      <c r="E49" s="39"/>
      <c r="F49" s="39"/>
      <c r="G49" s="39"/>
      <c r="H49" s="10"/>
      <c r="I49" s="39"/>
      <c r="J49" s="10"/>
      <c r="K49" s="39"/>
      <c r="L49" s="10"/>
      <c r="M49" s="39"/>
      <c r="N49" s="10"/>
      <c r="O49" s="10"/>
      <c r="P49" s="10" t="str">
        <f aca="false">IF(MAX($N49,$O49)=0,"",MAX($N49,$O49))</f>
        <v/>
      </c>
      <c r="Q49" s="39" t="str">
        <f aca="false">IF(SUM($P49)=0,"",SUM($P49))</f>
        <v/>
      </c>
      <c r="R49" s="10"/>
      <c r="S49" s="10" t="str">
        <f aca="false">IF(SUM($F49)=0,"",SUM($R49)/$F49)</f>
        <v/>
      </c>
      <c r="T49" s="10"/>
      <c r="U49" s="88" t="n">
        <f aca="false">0.98</f>
        <v>0.98</v>
      </c>
      <c r="V49" s="88" t="n">
        <f aca="false">0.98</f>
        <v>0.98</v>
      </c>
      <c r="W49" s="10" t="str">
        <f aca="false">IF(SUM($P49,$Q49)=0,"",SUM($Q49)-SUM($P49))</f>
        <v/>
      </c>
      <c r="X49" s="10" t="str">
        <f aca="false">IFERROR(1/(1/ROUND((SUM($Q49)-(SUM($P49)*SUM($U49)))/$V49,0)),"")</f>
        <v/>
      </c>
      <c r="Y49" s="88" t="n">
        <f aca="false">1</f>
        <v>1</v>
      </c>
      <c r="Z49" s="39" t="str">
        <f aca="false">IFERROR(1/(1/ROUND(SUM($X49)*SUM($Y49),0)),"")</f>
        <v/>
      </c>
      <c r="AA49" s="88" t="n">
        <f aca="false">0.7</f>
        <v>0.7</v>
      </c>
      <c r="AB49" s="10" t="str">
        <f aca="false">IFERROR(1/(1/ROUND($P49+(SUM($X49)*$AA49),0)),"")</f>
        <v/>
      </c>
      <c r="AC49" s="88" t="n">
        <f aca="false">0.95</f>
        <v>0.95</v>
      </c>
      <c r="AD49" s="39" t="str">
        <f aca="false">IF(SUM($AB49)=0,"",ROUND($AB49*$AC49,0))</f>
        <v/>
      </c>
      <c r="AE49" s="88" t="n">
        <f aca="false">0.95</f>
        <v>0.95</v>
      </c>
      <c r="AF49" s="39" t="str">
        <f aca="false">IF(SUM($AD49)=0,"",ROUND($AD49*$AE49,0))</f>
        <v/>
      </c>
      <c r="AG49" s="10"/>
      <c r="AH49" s="10"/>
      <c r="AI49" s="88" t="n">
        <f aca="false">0.95</f>
        <v>0.95</v>
      </c>
      <c r="AJ49" s="88"/>
      <c r="AK49" s="39" t="str">
        <f aca="false">IF(SUM($Z49)=0,"",IF(AND(SUM($Z49)&gt;0,$AI49=""),"ENTER LINKAGE RATE",ROUND($Z49/$AI49,0)))</f>
        <v/>
      </c>
      <c r="AL49" s="39" t="str">
        <f aca="false">IF(SUM($AK49)=0,"",IF(AND($AK49&gt;0,$AJ49=""),"ENTER YIELD RATE",ROUND($AK49/$AJ49-$AK49,0)))</f>
        <v/>
      </c>
      <c r="AM49" s="88" t="n">
        <f aca="false">1</f>
        <v>1</v>
      </c>
      <c r="AN49" s="39" t="str">
        <f aca="false">IF(SUM($AK49)=0,"",ROUND($AK49*$AM49,0))</f>
        <v/>
      </c>
      <c r="AO49" s="10"/>
      <c r="AP49" s="39"/>
    </row>
    <row r="50" customFormat="false" ht="15" hidden="false" customHeight="false" outlineLevel="0" collapsed="false">
      <c r="A50" s="0" t="str">
        <f aca="false">INDEX(Prioritization!$D:$D,MATCH($B50,Prioritization!$A:$A,0))</f>
        <v>INVALID</v>
      </c>
      <c r="B50" s="0" t="s">
        <v>201</v>
      </c>
      <c r="C50" s="0" t="s">
        <v>470</v>
      </c>
      <c r="D50" s="0" t="str">
        <f aca="false">B50&amp;"|"&amp;C50</f>
        <v>Ntcheu District [am530wpaGvr]|FSW</v>
      </c>
      <c r="E50" s="39"/>
      <c r="F50" s="39"/>
      <c r="G50" s="39"/>
      <c r="H50" s="10"/>
      <c r="I50" s="39"/>
      <c r="J50" s="10"/>
      <c r="K50" s="39"/>
      <c r="L50" s="10"/>
      <c r="M50" s="39"/>
      <c r="N50" s="10"/>
      <c r="O50" s="10"/>
      <c r="P50" s="10" t="str">
        <f aca="false">IF(MAX($N50,$O50)=0,"",MAX($N50,$O50))</f>
        <v/>
      </c>
      <c r="Q50" s="39" t="str">
        <f aca="false">IF(SUM($P50)=0,"",SUM($P50))</f>
        <v/>
      </c>
      <c r="R50" s="10"/>
      <c r="S50" s="10" t="str">
        <f aca="false">IF(SUM($F50)=0,"",SUM($R50)/$F50)</f>
        <v/>
      </c>
      <c r="T50" s="10"/>
      <c r="U50" s="88" t="n">
        <f aca="false">0.98</f>
        <v>0.98</v>
      </c>
      <c r="V50" s="88" t="n">
        <f aca="false">0.98</f>
        <v>0.98</v>
      </c>
      <c r="W50" s="10" t="str">
        <f aca="false">IF(SUM($P50,$Q50)=0,"",SUM($Q50)-SUM($P50))</f>
        <v/>
      </c>
      <c r="X50" s="10" t="str">
        <f aca="false">IFERROR(1/(1/ROUND((SUM($Q50)-(SUM($P50)*SUM($U50)))/$V50,0)),"")</f>
        <v/>
      </c>
      <c r="Y50" s="88" t="n">
        <f aca="false">1</f>
        <v>1</v>
      </c>
      <c r="Z50" s="39" t="str">
        <f aca="false">IFERROR(1/(1/ROUND(SUM($X50)*SUM($Y50),0)),"")</f>
        <v/>
      </c>
      <c r="AA50" s="88" t="n">
        <f aca="false">0.7</f>
        <v>0.7</v>
      </c>
      <c r="AB50" s="10" t="str">
        <f aca="false">IFERROR(1/(1/ROUND($P50+(SUM($X50)*$AA50),0)),"")</f>
        <v/>
      </c>
      <c r="AC50" s="88" t="n">
        <f aca="false">0.95</f>
        <v>0.95</v>
      </c>
      <c r="AD50" s="39" t="str">
        <f aca="false">IF(SUM($AB50)=0,"",ROUND($AB50*$AC50,0))</f>
        <v/>
      </c>
      <c r="AE50" s="88" t="n">
        <f aca="false">0.95</f>
        <v>0.95</v>
      </c>
      <c r="AF50" s="39" t="str">
        <f aca="false">IF(SUM($AD50)=0,"",ROUND($AD50*$AE50,0))</f>
        <v/>
      </c>
      <c r="AG50" s="10"/>
      <c r="AH50" s="10"/>
      <c r="AI50" s="88" t="n">
        <f aca="false">0.95</f>
        <v>0.95</v>
      </c>
      <c r="AJ50" s="88"/>
      <c r="AK50" s="39" t="str">
        <f aca="false">IF(SUM($Z50)=0,"",IF(AND(SUM($Z50)&gt;0,$AI50=""),"ENTER LINKAGE RATE",ROUND($Z50/$AI50,0)))</f>
        <v/>
      </c>
      <c r="AL50" s="39" t="str">
        <f aca="false">IF(SUM($AK50)=0,"",IF(AND($AK50&gt;0,$AJ50=""),"ENTER YIELD RATE",ROUND($AK50/$AJ50-$AK50,0)))</f>
        <v/>
      </c>
      <c r="AM50" s="88" t="n">
        <f aca="false">1</f>
        <v>1</v>
      </c>
      <c r="AN50" s="39" t="str">
        <f aca="false">IF(SUM($AK50)=0,"",ROUND($AK50*$AM50,0))</f>
        <v/>
      </c>
      <c r="AO50" s="10"/>
      <c r="AP50" s="39"/>
    </row>
    <row r="51" customFormat="false" ht="15" hidden="false" customHeight="false" outlineLevel="0" collapsed="false">
      <c r="A51" s="0" t="str">
        <f aca="false">INDEX(Prioritization!$D:$D,MATCH($B51,Prioritization!$A:$A,0))</f>
        <v>INVALID</v>
      </c>
      <c r="B51" s="0" t="s">
        <v>201</v>
      </c>
      <c r="C51" s="0" t="s">
        <v>471</v>
      </c>
      <c r="D51" s="0" t="str">
        <f aca="false">B51&amp;"|"&amp;C51</f>
        <v>Ntcheu District [am530wpaGvr]|MSM</v>
      </c>
      <c r="E51" s="39"/>
      <c r="F51" s="39"/>
      <c r="G51" s="39"/>
      <c r="H51" s="10"/>
      <c r="I51" s="39"/>
      <c r="J51" s="10"/>
      <c r="K51" s="39"/>
      <c r="L51" s="10"/>
      <c r="M51" s="39"/>
      <c r="N51" s="10"/>
      <c r="O51" s="10"/>
      <c r="P51" s="10" t="str">
        <f aca="false">IF(MAX($N51,$O51)=0,"",MAX($N51,$O51))</f>
        <v/>
      </c>
      <c r="Q51" s="39" t="str">
        <f aca="false">IF(SUM($P51)=0,"",SUM($P51))</f>
        <v/>
      </c>
      <c r="R51" s="10"/>
      <c r="S51" s="10" t="str">
        <f aca="false">IF(SUM($F51)=0,"",SUM($R51)/$F51)</f>
        <v/>
      </c>
      <c r="T51" s="10"/>
      <c r="U51" s="88" t="n">
        <f aca="false">0.98</f>
        <v>0.98</v>
      </c>
      <c r="V51" s="88" t="n">
        <f aca="false">0.98</f>
        <v>0.98</v>
      </c>
      <c r="W51" s="10" t="str">
        <f aca="false">IF(SUM($P51,$Q51)=0,"",SUM($Q51)-SUM($P51))</f>
        <v/>
      </c>
      <c r="X51" s="10" t="str">
        <f aca="false">IFERROR(1/(1/ROUND((SUM($Q51)-(SUM($P51)*SUM($U51)))/$V51,0)),"")</f>
        <v/>
      </c>
      <c r="Y51" s="88" t="n">
        <f aca="false">1</f>
        <v>1</v>
      </c>
      <c r="Z51" s="39" t="str">
        <f aca="false">IFERROR(1/(1/ROUND(SUM($X51)*SUM($Y51),0)),"")</f>
        <v/>
      </c>
      <c r="AA51" s="88" t="n">
        <f aca="false">0.7</f>
        <v>0.7</v>
      </c>
      <c r="AB51" s="10" t="str">
        <f aca="false">IFERROR(1/(1/ROUND($P51+(SUM($X51)*$AA51),0)),"")</f>
        <v/>
      </c>
      <c r="AC51" s="88" t="n">
        <f aca="false">0.95</f>
        <v>0.95</v>
      </c>
      <c r="AD51" s="39" t="str">
        <f aca="false">IF(SUM($AB51)=0,"",ROUND($AB51*$AC51,0))</f>
        <v/>
      </c>
      <c r="AE51" s="88" t="n">
        <f aca="false">0.95</f>
        <v>0.95</v>
      </c>
      <c r="AF51" s="39" t="str">
        <f aca="false">IF(SUM($AD51)=0,"",ROUND($AD51*$AE51,0))</f>
        <v/>
      </c>
      <c r="AG51" s="10"/>
      <c r="AH51" s="10"/>
      <c r="AI51" s="88" t="n">
        <f aca="false">0.95</f>
        <v>0.95</v>
      </c>
      <c r="AJ51" s="88"/>
      <c r="AK51" s="39" t="str">
        <f aca="false">IF(SUM($Z51)=0,"",IF(AND(SUM($Z51)&gt;0,$AI51=""),"ENTER LINKAGE RATE",ROUND($Z51/$AI51,0)))</f>
        <v/>
      </c>
      <c r="AL51" s="39" t="str">
        <f aca="false">IF(SUM($AK51)=0,"",IF(AND($AK51&gt;0,$AJ51=""),"ENTER YIELD RATE",ROUND($AK51/$AJ51-$AK51,0)))</f>
        <v/>
      </c>
      <c r="AM51" s="88" t="n">
        <f aca="false">1</f>
        <v>1</v>
      </c>
      <c r="AN51" s="39" t="str">
        <f aca="false">IF(SUM($AK51)=0,"",ROUND($AK51*$AM51,0))</f>
        <v/>
      </c>
      <c r="AO51" s="10"/>
      <c r="AP51" s="39"/>
    </row>
    <row r="52" customFormat="false" ht="15" hidden="false" customHeight="false" outlineLevel="0" collapsed="false">
      <c r="A52" s="0" t="str">
        <f aca="false">INDEX(Prioritization!$D:$D,MATCH($B52,Prioritization!$A:$A,0))</f>
        <v>INVALID</v>
      </c>
      <c r="B52" s="0" t="s">
        <v>201</v>
      </c>
      <c r="C52" s="0" t="s">
        <v>472</v>
      </c>
      <c r="D52" s="0" t="str">
        <f aca="false">B52&amp;"|"&amp;C52</f>
        <v>Ntcheu District [am530wpaGvr]|People in prisons and other enclosed settings</v>
      </c>
      <c r="E52" s="39"/>
      <c r="F52" s="39"/>
      <c r="G52" s="39"/>
      <c r="H52" s="10"/>
      <c r="I52" s="39"/>
      <c r="J52" s="10"/>
      <c r="K52" s="39"/>
      <c r="L52" s="10" t="n">
        <v>39</v>
      </c>
      <c r="M52" s="39"/>
      <c r="N52" s="10" t="n">
        <v>7</v>
      </c>
      <c r="O52" s="10" t="n">
        <v>5</v>
      </c>
      <c r="P52" s="10" t="n">
        <f aca="false">IF(MAX($N52,$O52)=0,"",MAX($N52,$O52))</f>
        <v>7</v>
      </c>
      <c r="Q52" s="39" t="n">
        <f aca="false">IF(SUM($P52)=0,"",SUM($P52))</f>
        <v>7</v>
      </c>
      <c r="R52" s="10"/>
      <c r="S52" s="10" t="str">
        <f aca="false">IF(SUM($F52)=0,"",SUM($R52)/$F52)</f>
        <v/>
      </c>
      <c r="T52" s="10" t="n">
        <v>4</v>
      </c>
      <c r="U52" s="88" t="n">
        <f aca="false">0.98</f>
        <v>0.98</v>
      </c>
      <c r="V52" s="88" t="n">
        <f aca="false">0.98</f>
        <v>0.98</v>
      </c>
      <c r="W52" s="10" t="n">
        <f aca="false">IF(SUM($P52,$Q52)=0,"",SUM($Q52)-SUM($P52))</f>
        <v>0</v>
      </c>
      <c r="X52" s="10" t="str">
        <f aca="false">IFERROR(1/(1/ROUND((SUM($Q52)-(SUM($P52)*SUM($U52)))/$V52,0)),"")</f>
        <v/>
      </c>
      <c r="Y52" s="88" t="n">
        <f aca="false">1</f>
        <v>1</v>
      </c>
      <c r="Z52" s="39" t="str">
        <f aca="false">IFERROR(1/(1/ROUND(SUM($X52)*SUM($Y52),0)),"")</f>
        <v/>
      </c>
      <c r="AA52" s="88" t="n">
        <f aca="false">0.7</f>
        <v>0.7</v>
      </c>
      <c r="AB52" s="10" t="n">
        <f aca="false">IFERROR(1/(1/ROUND($P52+(SUM($X52)*$AA52),0)),"")</f>
        <v>7</v>
      </c>
      <c r="AC52" s="88" t="n">
        <f aca="false">0.95</f>
        <v>0.95</v>
      </c>
      <c r="AD52" s="39" t="n">
        <f aca="false">IF(SUM($AB52)=0,"",ROUND($AB52*$AC52,0))</f>
        <v>7</v>
      </c>
      <c r="AE52" s="88" t="n">
        <f aca="false">0.95</f>
        <v>0.95</v>
      </c>
      <c r="AF52" s="39" t="n">
        <f aca="false">IF(SUM($AD52)=0,"",ROUND($AD52*$AE52,0))</f>
        <v>7</v>
      </c>
      <c r="AG52" s="10" t="n">
        <v>4</v>
      </c>
      <c r="AH52" s="10" t="n">
        <v>0</v>
      </c>
      <c r="AI52" s="88" t="n">
        <f aca="false">0.95</f>
        <v>0.95</v>
      </c>
      <c r="AJ52" s="88"/>
      <c r="AK52" s="39" t="str">
        <f aca="false">IF(SUM($Z52)=0,"",IF(AND(SUM($Z52)&gt;0,$AI52=""),"ENTER LINKAGE RATE",ROUND($Z52/$AI52,0)))</f>
        <v/>
      </c>
      <c r="AL52" s="39" t="str">
        <f aca="false">IF(SUM($AK52)=0,"",IF(AND($AK52&gt;0,$AJ52=""),"ENTER YIELD RATE",ROUND($AK52/$AJ52-$AK52,0)))</f>
        <v/>
      </c>
      <c r="AM52" s="88" t="n">
        <f aca="false">1</f>
        <v>1</v>
      </c>
      <c r="AN52" s="39" t="str">
        <f aca="false">IF(SUM($AK52)=0,"",ROUND($AK52*$AM52,0))</f>
        <v/>
      </c>
      <c r="AO52" s="10" t="n">
        <v>57</v>
      </c>
      <c r="AP52" s="39"/>
    </row>
    <row r="53" customFormat="false" ht="15" hidden="false" customHeight="false" outlineLevel="0" collapsed="false">
      <c r="A53" s="0" t="str">
        <f aca="false">INDEX(Prioritization!$D:$D,MATCH($B53,Prioritization!$A:$A,0))</f>
        <v>INVALID</v>
      </c>
      <c r="B53" s="0" t="s">
        <v>201</v>
      </c>
      <c r="C53" s="0" t="s">
        <v>473</v>
      </c>
      <c r="D53" s="0" t="str">
        <f aca="false">B53&amp;"|"&amp;C53</f>
        <v>Ntcheu District [am530wpaGvr]|PWID</v>
      </c>
      <c r="E53" s="39"/>
      <c r="F53" s="39"/>
      <c r="G53" s="39"/>
      <c r="H53" s="10"/>
      <c r="I53" s="39"/>
      <c r="J53" s="10"/>
      <c r="K53" s="39"/>
      <c r="L53" s="10"/>
      <c r="M53" s="39"/>
      <c r="N53" s="10"/>
      <c r="O53" s="10"/>
      <c r="P53" s="10" t="str">
        <f aca="false">IF(MAX($N53,$O53)=0,"",MAX($N53,$O53))</f>
        <v/>
      </c>
      <c r="Q53" s="39" t="str">
        <f aca="false">IF(SUM($P53)=0,"",SUM($P53))</f>
        <v/>
      </c>
      <c r="R53" s="10"/>
      <c r="S53" s="10" t="str">
        <f aca="false">IF(SUM($F53)=0,"",SUM($R53)/$F53)</f>
        <v/>
      </c>
      <c r="T53" s="10"/>
      <c r="U53" s="88" t="n">
        <f aca="false">0.98</f>
        <v>0.98</v>
      </c>
      <c r="V53" s="88" t="n">
        <f aca="false">0.98</f>
        <v>0.98</v>
      </c>
      <c r="W53" s="10" t="str">
        <f aca="false">IF(SUM($P53,$Q53)=0,"",SUM($Q53)-SUM($P53))</f>
        <v/>
      </c>
      <c r="X53" s="10" t="str">
        <f aca="false">IFERROR(1/(1/ROUND((SUM($Q53)-(SUM($P53)*SUM($U53)))/$V53,0)),"")</f>
        <v/>
      </c>
      <c r="Y53" s="88" t="n">
        <f aca="false">1</f>
        <v>1</v>
      </c>
      <c r="Z53" s="39" t="str">
        <f aca="false">IFERROR(1/(1/ROUND(SUM($X53)*SUM($Y53),0)),"")</f>
        <v/>
      </c>
      <c r="AA53" s="88" t="n">
        <f aca="false">0.7</f>
        <v>0.7</v>
      </c>
      <c r="AB53" s="10" t="str">
        <f aca="false">IFERROR(1/(1/ROUND($P53+(SUM($X53)*$AA53),0)),"")</f>
        <v/>
      </c>
      <c r="AC53" s="88" t="n">
        <f aca="false">0.95</f>
        <v>0.95</v>
      </c>
      <c r="AD53" s="39" t="str">
        <f aca="false">IF(SUM($AB53)=0,"",ROUND($AB53*$AC53,0))</f>
        <v/>
      </c>
      <c r="AE53" s="88" t="n">
        <f aca="false">0.95</f>
        <v>0.95</v>
      </c>
      <c r="AF53" s="39" t="str">
        <f aca="false">IF(SUM($AD53)=0,"",ROUND($AD53*$AE53,0))</f>
        <v/>
      </c>
      <c r="AG53" s="10"/>
      <c r="AH53" s="10"/>
      <c r="AI53" s="88" t="n">
        <f aca="false">0.95</f>
        <v>0.95</v>
      </c>
      <c r="AJ53" s="88"/>
      <c r="AK53" s="39" t="str">
        <f aca="false">IF(SUM($Z53)=0,"",IF(AND(SUM($Z53)&gt;0,$AI53=""),"ENTER LINKAGE RATE",ROUND($Z53/$AI53,0)))</f>
        <v/>
      </c>
      <c r="AL53" s="39" t="str">
        <f aca="false">IF(SUM($AK53)=0,"",IF(AND($AK53&gt;0,$AJ53=""),"ENTER YIELD RATE",ROUND($AK53/$AJ53-$AK53,0)))</f>
        <v/>
      </c>
      <c r="AM53" s="88" t="n">
        <f aca="false">1</f>
        <v>1</v>
      </c>
      <c r="AN53" s="39" t="str">
        <f aca="false">IF(SUM($AK53)=0,"",ROUND($AK53*$AM53,0))</f>
        <v/>
      </c>
      <c r="AO53" s="10"/>
      <c r="AP53" s="39"/>
    </row>
    <row r="54" customFormat="false" ht="15" hidden="false" customHeight="false" outlineLevel="0" collapsed="false">
      <c r="A54" s="0" t="str">
        <f aca="false">INDEX(Prioritization!$D:$D,MATCH($B54,Prioritization!$A:$A,0))</f>
        <v>INVALID</v>
      </c>
      <c r="B54" s="0" t="s">
        <v>201</v>
      </c>
      <c r="C54" s="0" t="s">
        <v>474</v>
      </c>
      <c r="D54" s="0" t="str">
        <f aca="false">B54&amp;"|"&amp;C54</f>
        <v>Ntcheu District [am530wpaGvr]|TG</v>
      </c>
      <c r="E54" s="39"/>
      <c r="F54" s="39"/>
      <c r="G54" s="39"/>
      <c r="H54" s="10"/>
      <c r="I54" s="39"/>
      <c r="J54" s="10"/>
      <c r="K54" s="39"/>
      <c r="L54" s="10"/>
      <c r="M54" s="39"/>
      <c r="N54" s="10"/>
      <c r="O54" s="10"/>
      <c r="P54" s="10" t="str">
        <f aca="false">IF(MAX($N54,$O54)=0,"",MAX($N54,$O54))</f>
        <v/>
      </c>
      <c r="Q54" s="39" t="str">
        <f aca="false">IF(SUM($P54)=0,"",SUM($P54))</f>
        <v/>
      </c>
      <c r="R54" s="10"/>
      <c r="S54" s="10" t="str">
        <f aca="false">IF(SUM($F54)=0,"",SUM($R54)/$F54)</f>
        <v/>
      </c>
      <c r="T54" s="10"/>
      <c r="U54" s="88" t="n">
        <f aca="false">0.98</f>
        <v>0.98</v>
      </c>
      <c r="V54" s="88" t="n">
        <f aca="false">0.98</f>
        <v>0.98</v>
      </c>
      <c r="W54" s="10" t="str">
        <f aca="false">IF(SUM($P54,$Q54)=0,"",SUM($Q54)-SUM($P54))</f>
        <v/>
      </c>
      <c r="X54" s="10" t="str">
        <f aca="false">IFERROR(1/(1/ROUND((SUM($Q54)-(SUM($P54)*SUM($U54)))/$V54,0)),"")</f>
        <v/>
      </c>
      <c r="Y54" s="88" t="n">
        <f aca="false">1</f>
        <v>1</v>
      </c>
      <c r="Z54" s="39" t="str">
        <f aca="false">IFERROR(1/(1/ROUND(SUM($X54)*SUM($Y54),0)),"")</f>
        <v/>
      </c>
      <c r="AA54" s="88" t="n">
        <f aca="false">0.7</f>
        <v>0.7</v>
      </c>
      <c r="AB54" s="10" t="str">
        <f aca="false">IFERROR(1/(1/ROUND($P54+(SUM($X54)*$AA54),0)),"")</f>
        <v/>
      </c>
      <c r="AC54" s="88" t="n">
        <f aca="false">0.95</f>
        <v>0.95</v>
      </c>
      <c r="AD54" s="39" t="str">
        <f aca="false">IF(SUM($AB54)=0,"",ROUND($AB54*$AC54,0))</f>
        <v/>
      </c>
      <c r="AE54" s="88" t="n">
        <f aca="false">0.95</f>
        <v>0.95</v>
      </c>
      <c r="AF54" s="39" t="str">
        <f aca="false">IF(SUM($AD54)=0,"",ROUND($AD54*$AE54,0))</f>
        <v/>
      </c>
      <c r="AG54" s="10"/>
      <c r="AH54" s="10"/>
      <c r="AI54" s="88" t="n">
        <f aca="false">0.95</f>
        <v>0.95</v>
      </c>
      <c r="AJ54" s="88"/>
      <c r="AK54" s="39" t="str">
        <f aca="false">IF(SUM($Z54)=0,"",IF(AND(SUM($Z54)&gt;0,$AI54=""),"ENTER LINKAGE RATE",ROUND($Z54/$AI54,0)))</f>
        <v/>
      </c>
      <c r="AL54" s="39" t="str">
        <f aca="false">IF(SUM($AK54)=0,"",IF(AND($AK54&gt;0,$AJ54=""),"ENTER YIELD RATE",ROUND($AK54/$AJ54-$AK54,0)))</f>
        <v/>
      </c>
      <c r="AM54" s="88" t="n">
        <f aca="false">1</f>
        <v>1</v>
      </c>
      <c r="AN54" s="39" t="str">
        <f aca="false">IF(SUM($AK54)=0,"",ROUND($AK54*$AM54,0))</f>
        <v/>
      </c>
      <c r="AO54" s="10"/>
      <c r="AP54" s="39"/>
    </row>
    <row r="55" customFormat="false" ht="15" hidden="false" customHeight="false" outlineLevel="0" collapsed="false">
      <c r="A55" s="0" t="str">
        <f aca="false">INDEX(Prioritization!$D:$D,MATCH($B55,Prioritization!$A:$A,0))</f>
        <v>INVALID</v>
      </c>
      <c r="B55" s="0" t="s">
        <v>202</v>
      </c>
      <c r="C55" s="0" t="s">
        <v>470</v>
      </c>
      <c r="D55" s="0" t="str">
        <f aca="false">B55&amp;"|"&amp;C55</f>
        <v>Ntchisi District [fiRkU6gEjLz]|FSW</v>
      </c>
      <c r="E55" s="39"/>
      <c r="F55" s="39"/>
      <c r="G55" s="39"/>
      <c r="H55" s="10"/>
      <c r="I55" s="39"/>
      <c r="J55" s="10"/>
      <c r="K55" s="39"/>
      <c r="L55" s="10"/>
      <c r="M55" s="39"/>
      <c r="N55" s="10"/>
      <c r="O55" s="10"/>
      <c r="P55" s="10" t="str">
        <f aca="false">IF(MAX($N55,$O55)=0,"",MAX($N55,$O55))</f>
        <v/>
      </c>
      <c r="Q55" s="39" t="str">
        <f aca="false">IF(SUM($P55)=0,"",SUM($P55))</f>
        <v/>
      </c>
      <c r="R55" s="10"/>
      <c r="S55" s="10" t="str">
        <f aca="false">IF(SUM($F55)=0,"",SUM($R55)/$F55)</f>
        <v/>
      </c>
      <c r="T55" s="10"/>
      <c r="U55" s="88" t="n">
        <f aca="false">0.98</f>
        <v>0.98</v>
      </c>
      <c r="V55" s="88" t="n">
        <f aca="false">0.98</f>
        <v>0.98</v>
      </c>
      <c r="W55" s="10" t="str">
        <f aca="false">IF(SUM($P55,$Q55)=0,"",SUM($Q55)-SUM($P55))</f>
        <v/>
      </c>
      <c r="X55" s="10" t="str">
        <f aca="false">IFERROR(1/(1/ROUND((SUM($Q55)-(SUM($P55)*SUM($U55)))/$V55,0)),"")</f>
        <v/>
      </c>
      <c r="Y55" s="88" t="n">
        <f aca="false">1</f>
        <v>1</v>
      </c>
      <c r="Z55" s="39" t="str">
        <f aca="false">IFERROR(1/(1/ROUND(SUM($X55)*SUM($Y55),0)),"")</f>
        <v/>
      </c>
      <c r="AA55" s="88" t="n">
        <f aca="false">0.7</f>
        <v>0.7</v>
      </c>
      <c r="AB55" s="10" t="str">
        <f aca="false">IFERROR(1/(1/ROUND($P55+(SUM($X55)*$AA55),0)),"")</f>
        <v/>
      </c>
      <c r="AC55" s="88" t="n">
        <f aca="false">0.95</f>
        <v>0.95</v>
      </c>
      <c r="AD55" s="39" t="str">
        <f aca="false">IF(SUM($AB55)=0,"",ROUND($AB55*$AC55,0))</f>
        <v/>
      </c>
      <c r="AE55" s="88" t="n">
        <f aca="false">0.95</f>
        <v>0.95</v>
      </c>
      <c r="AF55" s="39" t="str">
        <f aca="false">IF(SUM($AD55)=0,"",ROUND($AD55*$AE55,0))</f>
        <v/>
      </c>
      <c r="AG55" s="10"/>
      <c r="AH55" s="10"/>
      <c r="AI55" s="88" t="n">
        <f aca="false">0.95</f>
        <v>0.95</v>
      </c>
      <c r="AJ55" s="88"/>
      <c r="AK55" s="39" t="str">
        <f aca="false">IF(SUM($Z55)=0,"",IF(AND(SUM($Z55)&gt;0,$AI55=""),"ENTER LINKAGE RATE",ROUND($Z55/$AI55,0)))</f>
        <v/>
      </c>
      <c r="AL55" s="39" t="str">
        <f aca="false">IF(SUM($AK55)=0,"",IF(AND($AK55&gt;0,$AJ55=""),"ENTER YIELD RATE",ROUND($AK55/$AJ55-$AK55,0)))</f>
        <v/>
      </c>
      <c r="AM55" s="88" t="n">
        <f aca="false">1</f>
        <v>1</v>
      </c>
      <c r="AN55" s="39" t="str">
        <f aca="false">IF(SUM($AK55)=0,"",ROUND($AK55*$AM55,0))</f>
        <v/>
      </c>
      <c r="AO55" s="10"/>
      <c r="AP55" s="39"/>
    </row>
    <row r="56" customFormat="false" ht="15" hidden="false" customHeight="false" outlineLevel="0" collapsed="false">
      <c r="A56" s="0" t="str">
        <f aca="false">INDEX(Prioritization!$D:$D,MATCH($B56,Prioritization!$A:$A,0))</f>
        <v>INVALID</v>
      </c>
      <c r="B56" s="0" t="s">
        <v>202</v>
      </c>
      <c r="C56" s="0" t="s">
        <v>471</v>
      </c>
      <c r="D56" s="0" t="str">
        <f aca="false">B56&amp;"|"&amp;C56</f>
        <v>Ntchisi District [fiRkU6gEjLz]|MSM</v>
      </c>
      <c r="E56" s="39"/>
      <c r="F56" s="39"/>
      <c r="G56" s="39"/>
      <c r="H56" s="10"/>
      <c r="I56" s="39"/>
      <c r="J56" s="10"/>
      <c r="K56" s="39"/>
      <c r="L56" s="10"/>
      <c r="M56" s="39"/>
      <c r="N56" s="10"/>
      <c r="O56" s="10"/>
      <c r="P56" s="10" t="str">
        <f aca="false">IF(MAX($N56,$O56)=0,"",MAX($N56,$O56))</f>
        <v/>
      </c>
      <c r="Q56" s="39" t="str">
        <f aca="false">IF(SUM($P56)=0,"",SUM($P56))</f>
        <v/>
      </c>
      <c r="R56" s="10"/>
      <c r="S56" s="10" t="str">
        <f aca="false">IF(SUM($F56)=0,"",SUM($R56)/$F56)</f>
        <v/>
      </c>
      <c r="T56" s="10"/>
      <c r="U56" s="88" t="n">
        <f aca="false">0.98</f>
        <v>0.98</v>
      </c>
      <c r="V56" s="88" t="n">
        <f aca="false">0.98</f>
        <v>0.98</v>
      </c>
      <c r="W56" s="10" t="str">
        <f aca="false">IF(SUM($P56,$Q56)=0,"",SUM($Q56)-SUM($P56))</f>
        <v/>
      </c>
      <c r="X56" s="10" t="str">
        <f aca="false">IFERROR(1/(1/ROUND((SUM($Q56)-(SUM($P56)*SUM($U56)))/$V56,0)),"")</f>
        <v/>
      </c>
      <c r="Y56" s="88" t="n">
        <f aca="false">1</f>
        <v>1</v>
      </c>
      <c r="Z56" s="39" t="str">
        <f aca="false">IFERROR(1/(1/ROUND(SUM($X56)*SUM($Y56),0)),"")</f>
        <v/>
      </c>
      <c r="AA56" s="88" t="n">
        <f aca="false">0.7</f>
        <v>0.7</v>
      </c>
      <c r="AB56" s="10" t="str">
        <f aca="false">IFERROR(1/(1/ROUND($P56+(SUM($X56)*$AA56),0)),"")</f>
        <v/>
      </c>
      <c r="AC56" s="88" t="n">
        <f aca="false">0.95</f>
        <v>0.95</v>
      </c>
      <c r="AD56" s="39" t="str">
        <f aca="false">IF(SUM($AB56)=0,"",ROUND($AB56*$AC56,0))</f>
        <v/>
      </c>
      <c r="AE56" s="88" t="n">
        <f aca="false">0.95</f>
        <v>0.95</v>
      </c>
      <c r="AF56" s="39" t="str">
        <f aca="false">IF(SUM($AD56)=0,"",ROUND($AD56*$AE56,0))</f>
        <v/>
      </c>
      <c r="AG56" s="10"/>
      <c r="AH56" s="10"/>
      <c r="AI56" s="88" t="n">
        <f aca="false">0.95</f>
        <v>0.95</v>
      </c>
      <c r="AJ56" s="88"/>
      <c r="AK56" s="39" t="str">
        <f aca="false">IF(SUM($Z56)=0,"",IF(AND(SUM($Z56)&gt;0,$AI56=""),"ENTER LINKAGE RATE",ROUND($Z56/$AI56,0)))</f>
        <v/>
      </c>
      <c r="AL56" s="39" t="str">
        <f aca="false">IF(SUM($AK56)=0,"",IF(AND($AK56&gt;0,$AJ56=""),"ENTER YIELD RATE",ROUND($AK56/$AJ56-$AK56,0)))</f>
        <v/>
      </c>
      <c r="AM56" s="88" t="n">
        <f aca="false">1</f>
        <v>1</v>
      </c>
      <c r="AN56" s="39" t="str">
        <f aca="false">IF(SUM($AK56)=0,"",ROUND($AK56*$AM56,0))</f>
        <v/>
      </c>
      <c r="AO56" s="10"/>
      <c r="AP56" s="39"/>
    </row>
    <row r="57" customFormat="false" ht="15" hidden="false" customHeight="false" outlineLevel="0" collapsed="false">
      <c r="A57" s="0" t="str">
        <f aca="false">INDEX(Prioritization!$D:$D,MATCH($B57,Prioritization!$A:$A,0))</f>
        <v>INVALID</v>
      </c>
      <c r="B57" s="0" t="s">
        <v>202</v>
      </c>
      <c r="C57" s="0" t="s">
        <v>472</v>
      </c>
      <c r="D57" s="0" t="str">
        <f aca="false">B57&amp;"|"&amp;C57</f>
        <v>Ntchisi District [fiRkU6gEjLz]|People in prisons and other enclosed settings</v>
      </c>
      <c r="E57" s="39"/>
      <c r="F57" s="39"/>
      <c r="G57" s="39"/>
      <c r="H57" s="10"/>
      <c r="I57" s="39"/>
      <c r="J57" s="10"/>
      <c r="K57" s="39"/>
      <c r="L57" s="10" t="n">
        <v>53</v>
      </c>
      <c r="M57" s="39"/>
      <c r="N57" s="10" t="n">
        <v>6</v>
      </c>
      <c r="O57" s="10" t="n">
        <v>8</v>
      </c>
      <c r="P57" s="10" t="n">
        <f aca="false">IF(MAX($N57,$O57)=0,"",MAX($N57,$O57))</f>
        <v>8</v>
      </c>
      <c r="Q57" s="39" t="n">
        <f aca="false">IF(SUM($P57)=0,"",SUM($P57))</f>
        <v>8</v>
      </c>
      <c r="R57" s="10"/>
      <c r="S57" s="10" t="str">
        <f aca="false">IF(SUM($F57)=0,"",SUM($R57)/$F57)</f>
        <v/>
      </c>
      <c r="T57" s="10" t="n">
        <v>7</v>
      </c>
      <c r="U57" s="88" t="n">
        <f aca="false">0.98</f>
        <v>0.98</v>
      </c>
      <c r="V57" s="88" t="n">
        <f aca="false">0.98</f>
        <v>0.98</v>
      </c>
      <c r="W57" s="10" t="n">
        <f aca="false">IF(SUM($P57,$Q57)=0,"",SUM($Q57)-SUM($P57))</f>
        <v>0</v>
      </c>
      <c r="X57" s="10" t="str">
        <f aca="false">IFERROR(1/(1/ROUND((SUM($Q57)-(SUM($P57)*SUM($U57)))/$V57,0)),"")</f>
        <v/>
      </c>
      <c r="Y57" s="88" t="n">
        <f aca="false">1</f>
        <v>1</v>
      </c>
      <c r="Z57" s="39" t="str">
        <f aca="false">IFERROR(1/(1/ROUND(SUM($X57)*SUM($Y57),0)),"")</f>
        <v/>
      </c>
      <c r="AA57" s="88" t="n">
        <f aca="false">0.7</f>
        <v>0.7</v>
      </c>
      <c r="AB57" s="10" t="n">
        <f aca="false">IFERROR(1/(1/ROUND($P57+(SUM($X57)*$AA57),0)),"")</f>
        <v>8</v>
      </c>
      <c r="AC57" s="88" t="n">
        <f aca="false">0.95</f>
        <v>0.95</v>
      </c>
      <c r="AD57" s="39" t="n">
        <f aca="false">IF(SUM($AB57)=0,"",ROUND($AB57*$AC57,0))</f>
        <v>8</v>
      </c>
      <c r="AE57" s="88" t="n">
        <f aca="false">0.95</f>
        <v>0.95</v>
      </c>
      <c r="AF57" s="39" t="n">
        <f aca="false">IF(SUM($AD57)=0,"",ROUND($AD57*$AE57,0))</f>
        <v>8</v>
      </c>
      <c r="AG57" s="10" t="n">
        <v>8</v>
      </c>
      <c r="AH57" s="10" t="n">
        <v>1</v>
      </c>
      <c r="AI57" s="88" t="n">
        <f aca="false">0.95</f>
        <v>0.95</v>
      </c>
      <c r="AJ57" s="88"/>
      <c r="AK57" s="39" t="str">
        <f aca="false">IF(SUM($Z57)=0,"",IF(AND(SUM($Z57)&gt;0,$AI57=""),"ENTER LINKAGE RATE",ROUND($Z57/$AI57,0)))</f>
        <v/>
      </c>
      <c r="AL57" s="39" t="str">
        <f aca="false">IF(SUM($AK57)=0,"",IF(AND($AK57&gt;0,$AJ57=""),"ENTER YIELD RATE",ROUND($AK57/$AJ57-$AK57,0)))</f>
        <v/>
      </c>
      <c r="AM57" s="88" t="n">
        <f aca="false">1</f>
        <v>1</v>
      </c>
      <c r="AN57" s="39" t="str">
        <f aca="false">IF(SUM($AK57)=0,"",ROUND($AK57*$AM57,0))</f>
        <v/>
      </c>
      <c r="AO57" s="10" t="n">
        <v>55</v>
      </c>
      <c r="AP57" s="39"/>
    </row>
    <row r="58" customFormat="false" ht="15" hidden="false" customHeight="false" outlineLevel="0" collapsed="false">
      <c r="A58" s="0" t="str">
        <f aca="false">INDEX(Prioritization!$D:$D,MATCH($B58,Prioritization!$A:$A,0))</f>
        <v>INVALID</v>
      </c>
      <c r="B58" s="0" t="s">
        <v>202</v>
      </c>
      <c r="C58" s="0" t="s">
        <v>473</v>
      </c>
      <c r="D58" s="0" t="str">
        <f aca="false">B58&amp;"|"&amp;C58</f>
        <v>Ntchisi District [fiRkU6gEjLz]|PWID</v>
      </c>
      <c r="E58" s="39"/>
      <c r="F58" s="39"/>
      <c r="G58" s="39"/>
      <c r="H58" s="10"/>
      <c r="I58" s="39"/>
      <c r="J58" s="10"/>
      <c r="K58" s="39"/>
      <c r="L58" s="10"/>
      <c r="M58" s="39"/>
      <c r="N58" s="10"/>
      <c r="O58" s="10"/>
      <c r="P58" s="10" t="str">
        <f aca="false">IF(MAX($N58,$O58)=0,"",MAX($N58,$O58))</f>
        <v/>
      </c>
      <c r="Q58" s="39" t="str">
        <f aca="false">IF(SUM($P58)=0,"",SUM($P58))</f>
        <v/>
      </c>
      <c r="R58" s="10"/>
      <c r="S58" s="10" t="str">
        <f aca="false">IF(SUM($F58)=0,"",SUM($R58)/$F58)</f>
        <v/>
      </c>
      <c r="T58" s="10"/>
      <c r="U58" s="88" t="n">
        <f aca="false">0.98</f>
        <v>0.98</v>
      </c>
      <c r="V58" s="88" t="n">
        <f aca="false">0.98</f>
        <v>0.98</v>
      </c>
      <c r="W58" s="10" t="str">
        <f aca="false">IF(SUM($P58,$Q58)=0,"",SUM($Q58)-SUM($P58))</f>
        <v/>
      </c>
      <c r="X58" s="10" t="str">
        <f aca="false">IFERROR(1/(1/ROUND((SUM($Q58)-(SUM($P58)*SUM($U58)))/$V58,0)),"")</f>
        <v/>
      </c>
      <c r="Y58" s="88" t="n">
        <f aca="false">1</f>
        <v>1</v>
      </c>
      <c r="Z58" s="39" t="str">
        <f aca="false">IFERROR(1/(1/ROUND(SUM($X58)*SUM($Y58),0)),"")</f>
        <v/>
      </c>
      <c r="AA58" s="88" t="n">
        <f aca="false">0.7</f>
        <v>0.7</v>
      </c>
      <c r="AB58" s="10" t="str">
        <f aca="false">IFERROR(1/(1/ROUND($P58+(SUM($X58)*$AA58),0)),"")</f>
        <v/>
      </c>
      <c r="AC58" s="88" t="n">
        <f aca="false">0.95</f>
        <v>0.95</v>
      </c>
      <c r="AD58" s="39" t="str">
        <f aca="false">IF(SUM($AB58)=0,"",ROUND($AB58*$AC58,0))</f>
        <v/>
      </c>
      <c r="AE58" s="88" t="n">
        <f aca="false">0.95</f>
        <v>0.95</v>
      </c>
      <c r="AF58" s="39" t="str">
        <f aca="false">IF(SUM($AD58)=0,"",ROUND($AD58*$AE58,0))</f>
        <v/>
      </c>
      <c r="AG58" s="10"/>
      <c r="AH58" s="10"/>
      <c r="AI58" s="88" t="n">
        <f aca="false">0.95</f>
        <v>0.95</v>
      </c>
      <c r="AJ58" s="88"/>
      <c r="AK58" s="39" t="str">
        <f aca="false">IF(SUM($Z58)=0,"",IF(AND(SUM($Z58)&gt;0,$AI58=""),"ENTER LINKAGE RATE",ROUND($Z58/$AI58,0)))</f>
        <v/>
      </c>
      <c r="AL58" s="39" t="str">
        <f aca="false">IF(SUM($AK58)=0,"",IF(AND($AK58&gt;0,$AJ58=""),"ENTER YIELD RATE",ROUND($AK58/$AJ58-$AK58,0)))</f>
        <v/>
      </c>
      <c r="AM58" s="88" t="n">
        <f aca="false">1</f>
        <v>1</v>
      </c>
      <c r="AN58" s="39" t="str">
        <f aca="false">IF(SUM($AK58)=0,"",ROUND($AK58*$AM58,0))</f>
        <v/>
      </c>
      <c r="AO58" s="10"/>
      <c r="AP58" s="39"/>
    </row>
    <row r="59" customFormat="false" ht="15" hidden="false" customHeight="false" outlineLevel="0" collapsed="false">
      <c r="A59" s="0" t="str">
        <f aca="false">INDEX(Prioritization!$D:$D,MATCH($B59,Prioritization!$A:$A,0))</f>
        <v>INVALID</v>
      </c>
      <c r="B59" s="0" t="s">
        <v>202</v>
      </c>
      <c r="C59" s="0" t="s">
        <v>474</v>
      </c>
      <c r="D59" s="0" t="str">
        <f aca="false">B59&amp;"|"&amp;C59</f>
        <v>Ntchisi District [fiRkU6gEjLz]|TG</v>
      </c>
      <c r="E59" s="39"/>
      <c r="F59" s="39"/>
      <c r="G59" s="39"/>
      <c r="H59" s="10"/>
      <c r="I59" s="39"/>
      <c r="J59" s="10"/>
      <c r="K59" s="39"/>
      <c r="L59" s="10"/>
      <c r="M59" s="39"/>
      <c r="N59" s="10"/>
      <c r="O59" s="10"/>
      <c r="P59" s="10" t="str">
        <f aca="false">IF(MAX($N59,$O59)=0,"",MAX($N59,$O59))</f>
        <v/>
      </c>
      <c r="Q59" s="39" t="str">
        <f aca="false">IF(SUM($P59)=0,"",SUM($P59))</f>
        <v/>
      </c>
      <c r="R59" s="10"/>
      <c r="S59" s="10" t="str">
        <f aca="false">IF(SUM($F59)=0,"",SUM($R59)/$F59)</f>
        <v/>
      </c>
      <c r="T59" s="10"/>
      <c r="U59" s="88" t="n">
        <f aca="false">0.98</f>
        <v>0.98</v>
      </c>
      <c r="V59" s="88" t="n">
        <f aca="false">0.98</f>
        <v>0.98</v>
      </c>
      <c r="W59" s="10" t="str">
        <f aca="false">IF(SUM($P59,$Q59)=0,"",SUM($Q59)-SUM($P59))</f>
        <v/>
      </c>
      <c r="X59" s="10" t="str">
        <f aca="false">IFERROR(1/(1/ROUND((SUM($Q59)-(SUM($P59)*SUM($U59)))/$V59,0)),"")</f>
        <v/>
      </c>
      <c r="Y59" s="88" t="n">
        <f aca="false">1</f>
        <v>1</v>
      </c>
      <c r="Z59" s="39" t="str">
        <f aca="false">IFERROR(1/(1/ROUND(SUM($X59)*SUM($Y59),0)),"")</f>
        <v/>
      </c>
      <c r="AA59" s="88" t="n">
        <f aca="false">0.7</f>
        <v>0.7</v>
      </c>
      <c r="AB59" s="10" t="str">
        <f aca="false">IFERROR(1/(1/ROUND($P59+(SUM($X59)*$AA59),0)),"")</f>
        <v/>
      </c>
      <c r="AC59" s="88" t="n">
        <f aca="false">0.95</f>
        <v>0.95</v>
      </c>
      <c r="AD59" s="39" t="str">
        <f aca="false">IF(SUM($AB59)=0,"",ROUND($AB59*$AC59,0))</f>
        <v/>
      </c>
      <c r="AE59" s="88" t="n">
        <f aca="false">0.95</f>
        <v>0.95</v>
      </c>
      <c r="AF59" s="39" t="str">
        <f aca="false">IF(SUM($AD59)=0,"",ROUND($AD59*$AE59,0))</f>
        <v/>
      </c>
      <c r="AG59" s="10"/>
      <c r="AH59" s="10"/>
      <c r="AI59" s="88" t="n">
        <f aca="false">0.95</f>
        <v>0.95</v>
      </c>
      <c r="AJ59" s="88"/>
      <c r="AK59" s="39" t="str">
        <f aca="false">IF(SUM($Z59)=0,"",IF(AND(SUM($Z59)&gt;0,$AI59=""),"ENTER LINKAGE RATE",ROUND($Z59/$AI59,0)))</f>
        <v/>
      </c>
      <c r="AL59" s="39" t="str">
        <f aca="false">IF(SUM($AK59)=0,"",IF(AND($AK59&gt;0,$AJ59=""),"ENTER YIELD RATE",ROUND($AK59/$AJ59-$AK59,0)))</f>
        <v/>
      </c>
      <c r="AM59" s="88" t="n">
        <f aca="false">1</f>
        <v>1</v>
      </c>
      <c r="AN59" s="39" t="str">
        <f aca="false">IF(SUM($AK59)=0,"",ROUND($AK59*$AM59,0))</f>
        <v/>
      </c>
      <c r="AO59" s="10"/>
      <c r="AP59" s="39"/>
    </row>
    <row r="60" customFormat="false" ht="15" hidden="false" customHeight="false" outlineLevel="0" collapsed="false">
      <c r="A60" s="0" t="str">
        <f aca="false">INDEX(Prioritization!$D:$D,MATCH($B60,Prioritization!$A:$A,0))</f>
        <v>INVALID</v>
      </c>
      <c r="B60" s="0" t="s">
        <v>203</v>
      </c>
      <c r="C60" s="0" t="s">
        <v>470</v>
      </c>
      <c r="D60" s="0" t="str">
        <f aca="false">B60&amp;"|"&amp;C60</f>
        <v>Salima District [msW2zpIN7up]|FSW</v>
      </c>
      <c r="E60" s="39"/>
      <c r="F60" s="39"/>
      <c r="G60" s="39"/>
      <c r="H60" s="10"/>
      <c r="I60" s="39"/>
      <c r="J60" s="10"/>
      <c r="K60" s="39"/>
      <c r="L60" s="10"/>
      <c r="M60" s="39"/>
      <c r="N60" s="10"/>
      <c r="O60" s="10"/>
      <c r="P60" s="10" t="str">
        <f aca="false">IF(MAX($N60,$O60)=0,"",MAX($N60,$O60))</f>
        <v/>
      </c>
      <c r="Q60" s="39" t="str">
        <f aca="false">IF(SUM($P60)=0,"",SUM($P60))</f>
        <v/>
      </c>
      <c r="R60" s="10"/>
      <c r="S60" s="10" t="str">
        <f aca="false">IF(SUM($F60)=0,"",SUM($R60)/$F60)</f>
        <v/>
      </c>
      <c r="T60" s="10"/>
      <c r="U60" s="88" t="n">
        <f aca="false">0.98</f>
        <v>0.98</v>
      </c>
      <c r="V60" s="88" t="n">
        <f aca="false">0.98</f>
        <v>0.98</v>
      </c>
      <c r="W60" s="10" t="str">
        <f aca="false">IF(SUM($P60,$Q60)=0,"",SUM($Q60)-SUM($P60))</f>
        <v/>
      </c>
      <c r="X60" s="10" t="str">
        <f aca="false">IFERROR(1/(1/ROUND((SUM($Q60)-(SUM($P60)*SUM($U60)))/$V60,0)),"")</f>
        <v/>
      </c>
      <c r="Y60" s="88" t="n">
        <f aca="false">1</f>
        <v>1</v>
      </c>
      <c r="Z60" s="39" t="str">
        <f aca="false">IFERROR(1/(1/ROUND(SUM($X60)*SUM($Y60),0)),"")</f>
        <v/>
      </c>
      <c r="AA60" s="88" t="n">
        <f aca="false">0.7</f>
        <v>0.7</v>
      </c>
      <c r="AB60" s="10" t="str">
        <f aca="false">IFERROR(1/(1/ROUND($P60+(SUM($X60)*$AA60),0)),"")</f>
        <v/>
      </c>
      <c r="AC60" s="88" t="n">
        <f aca="false">0.95</f>
        <v>0.95</v>
      </c>
      <c r="AD60" s="39" t="str">
        <f aca="false">IF(SUM($AB60)=0,"",ROUND($AB60*$AC60,0))</f>
        <v/>
      </c>
      <c r="AE60" s="88" t="n">
        <f aca="false">0.95</f>
        <v>0.95</v>
      </c>
      <c r="AF60" s="39" t="str">
        <f aca="false">IF(SUM($AD60)=0,"",ROUND($AD60*$AE60,0))</f>
        <v/>
      </c>
      <c r="AG60" s="10"/>
      <c r="AH60" s="10"/>
      <c r="AI60" s="88" t="n">
        <f aca="false">0.95</f>
        <v>0.95</v>
      </c>
      <c r="AJ60" s="88"/>
      <c r="AK60" s="39" t="str">
        <f aca="false">IF(SUM($Z60)=0,"",IF(AND(SUM($Z60)&gt;0,$AI60=""),"ENTER LINKAGE RATE",ROUND($Z60/$AI60,0)))</f>
        <v/>
      </c>
      <c r="AL60" s="39" t="str">
        <f aca="false">IF(SUM($AK60)=0,"",IF(AND($AK60&gt;0,$AJ60=""),"ENTER YIELD RATE",ROUND($AK60/$AJ60-$AK60,0)))</f>
        <v/>
      </c>
      <c r="AM60" s="88" t="n">
        <f aca="false">1</f>
        <v>1</v>
      </c>
      <c r="AN60" s="39" t="str">
        <f aca="false">IF(SUM($AK60)=0,"",ROUND($AK60*$AM60,0))</f>
        <v/>
      </c>
      <c r="AO60" s="10"/>
      <c r="AP60" s="39"/>
    </row>
    <row r="61" customFormat="false" ht="15" hidden="false" customHeight="false" outlineLevel="0" collapsed="false">
      <c r="A61" s="0" t="str">
        <f aca="false">INDEX(Prioritization!$D:$D,MATCH($B61,Prioritization!$A:$A,0))</f>
        <v>INVALID</v>
      </c>
      <c r="B61" s="0" t="s">
        <v>203</v>
      </c>
      <c r="C61" s="0" t="s">
        <v>471</v>
      </c>
      <c r="D61" s="0" t="str">
        <f aca="false">B61&amp;"|"&amp;C61</f>
        <v>Salima District [msW2zpIN7up]|MSM</v>
      </c>
      <c r="E61" s="39"/>
      <c r="F61" s="39"/>
      <c r="G61" s="39"/>
      <c r="H61" s="10"/>
      <c r="I61" s="39"/>
      <c r="J61" s="10"/>
      <c r="K61" s="39"/>
      <c r="L61" s="10"/>
      <c r="M61" s="39"/>
      <c r="N61" s="10"/>
      <c r="O61" s="10"/>
      <c r="P61" s="10" t="str">
        <f aca="false">IF(MAX($N61,$O61)=0,"",MAX($N61,$O61))</f>
        <v/>
      </c>
      <c r="Q61" s="39" t="str">
        <f aca="false">IF(SUM($P61)=0,"",SUM($P61))</f>
        <v/>
      </c>
      <c r="R61" s="10"/>
      <c r="S61" s="10" t="str">
        <f aca="false">IF(SUM($F61)=0,"",SUM($R61)/$F61)</f>
        <v/>
      </c>
      <c r="T61" s="10"/>
      <c r="U61" s="88" t="n">
        <f aca="false">0.98</f>
        <v>0.98</v>
      </c>
      <c r="V61" s="88" t="n">
        <f aca="false">0.98</f>
        <v>0.98</v>
      </c>
      <c r="W61" s="10" t="str">
        <f aca="false">IF(SUM($P61,$Q61)=0,"",SUM($Q61)-SUM($P61))</f>
        <v/>
      </c>
      <c r="X61" s="10" t="str">
        <f aca="false">IFERROR(1/(1/ROUND((SUM($Q61)-(SUM($P61)*SUM($U61)))/$V61,0)),"")</f>
        <v/>
      </c>
      <c r="Y61" s="88" t="n">
        <f aca="false">1</f>
        <v>1</v>
      </c>
      <c r="Z61" s="39" t="str">
        <f aca="false">IFERROR(1/(1/ROUND(SUM($X61)*SUM($Y61),0)),"")</f>
        <v/>
      </c>
      <c r="AA61" s="88" t="n">
        <f aca="false">0.7</f>
        <v>0.7</v>
      </c>
      <c r="AB61" s="10" t="str">
        <f aca="false">IFERROR(1/(1/ROUND($P61+(SUM($X61)*$AA61),0)),"")</f>
        <v/>
      </c>
      <c r="AC61" s="88" t="n">
        <f aca="false">0.95</f>
        <v>0.95</v>
      </c>
      <c r="AD61" s="39" t="str">
        <f aca="false">IF(SUM($AB61)=0,"",ROUND($AB61*$AC61,0))</f>
        <v/>
      </c>
      <c r="AE61" s="88" t="n">
        <f aca="false">0.95</f>
        <v>0.95</v>
      </c>
      <c r="AF61" s="39" t="str">
        <f aca="false">IF(SUM($AD61)=0,"",ROUND($AD61*$AE61,0))</f>
        <v/>
      </c>
      <c r="AG61" s="10"/>
      <c r="AH61" s="10"/>
      <c r="AI61" s="88" t="n">
        <f aca="false">0.95</f>
        <v>0.95</v>
      </c>
      <c r="AJ61" s="88"/>
      <c r="AK61" s="39" t="str">
        <f aca="false">IF(SUM($Z61)=0,"",IF(AND(SUM($Z61)&gt;0,$AI61=""),"ENTER LINKAGE RATE",ROUND($Z61/$AI61,0)))</f>
        <v/>
      </c>
      <c r="AL61" s="39" t="str">
        <f aca="false">IF(SUM($AK61)=0,"",IF(AND($AK61&gt;0,$AJ61=""),"ENTER YIELD RATE",ROUND($AK61/$AJ61-$AK61,0)))</f>
        <v/>
      </c>
      <c r="AM61" s="88" t="n">
        <f aca="false">1</f>
        <v>1</v>
      </c>
      <c r="AN61" s="39" t="str">
        <f aca="false">IF(SUM($AK61)=0,"",ROUND($AK61*$AM61,0))</f>
        <v/>
      </c>
      <c r="AO61" s="10"/>
      <c r="AP61" s="39"/>
    </row>
    <row r="62" customFormat="false" ht="15" hidden="false" customHeight="false" outlineLevel="0" collapsed="false">
      <c r="A62" s="0" t="str">
        <f aca="false">INDEX(Prioritization!$D:$D,MATCH($B62,Prioritization!$A:$A,0))</f>
        <v>INVALID</v>
      </c>
      <c r="B62" s="0" t="s">
        <v>203</v>
      </c>
      <c r="C62" s="0" t="s">
        <v>472</v>
      </c>
      <c r="D62" s="0" t="str">
        <f aca="false">B62&amp;"|"&amp;C62</f>
        <v>Salima District [msW2zpIN7up]|People in prisons and other enclosed settings</v>
      </c>
      <c r="E62" s="39"/>
      <c r="F62" s="39"/>
      <c r="G62" s="39"/>
      <c r="H62" s="10"/>
      <c r="I62" s="39"/>
      <c r="J62" s="10"/>
      <c r="K62" s="39"/>
      <c r="L62" s="10"/>
      <c r="M62" s="39"/>
      <c r="N62" s="10"/>
      <c r="O62" s="10"/>
      <c r="P62" s="10" t="str">
        <f aca="false">IF(MAX($N62,$O62)=0,"",MAX($N62,$O62))</f>
        <v/>
      </c>
      <c r="Q62" s="39" t="str">
        <f aca="false">IF(SUM($P62)=0,"",SUM($P62))</f>
        <v/>
      </c>
      <c r="R62" s="10"/>
      <c r="S62" s="10" t="str">
        <f aca="false">IF(SUM($F62)=0,"",SUM($R62)/$F62)</f>
        <v/>
      </c>
      <c r="T62" s="10"/>
      <c r="U62" s="88" t="n">
        <f aca="false">0.98</f>
        <v>0.98</v>
      </c>
      <c r="V62" s="88" t="n">
        <f aca="false">0.98</f>
        <v>0.98</v>
      </c>
      <c r="W62" s="10" t="str">
        <f aca="false">IF(SUM($P62,$Q62)=0,"",SUM($Q62)-SUM($P62))</f>
        <v/>
      </c>
      <c r="X62" s="10" t="str">
        <f aca="false">IFERROR(1/(1/ROUND((SUM($Q62)-(SUM($P62)*SUM($U62)))/$V62,0)),"")</f>
        <v/>
      </c>
      <c r="Y62" s="88" t="n">
        <f aca="false">1</f>
        <v>1</v>
      </c>
      <c r="Z62" s="39" t="str">
        <f aca="false">IFERROR(1/(1/ROUND(SUM($X62)*SUM($Y62),0)),"")</f>
        <v/>
      </c>
      <c r="AA62" s="88" t="n">
        <f aca="false">0.7</f>
        <v>0.7</v>
      </c>
      <c r="AB62" s="10" t="str">
        <f aca="false">IFERROR(1/(1/ROUND($P62+(SUM($X62)*$AA62),0)),"")</f>
        <v/>
      </c>
      <c r="AC62" s="88" t="n">
        <f aca="false">0.95</f>
        <v>0.95</v>
      </c>
      <c r="AD62" s="39" t="str">
        <f aca="false">IF(SUM($AB62)=0,"",ROUND($AB62*$AC62,0))</f>
        <v/>
      </c>
      <c r="AE62" s="88" t="n">
        <f aca="false">0.95</f>
        <v>0.95</v>
      </c>
      <c r="AF62" s="39" t="str">
        <f aca="false">IF(SUM($AD62)=0,"",ROUND($AD62*$AE62,0))</f>
        <v/>
      </c>
      <c r="AG62" s="10"/>
      <c r="AH62" s="10"/>
      <c r="AI62" s="88" t="n">
        <f aca="false">0.95</f>
        <v>0.95</v>
      </c>
      <c r="AJ62" s="88"/>
      <c r="AK62" s="39" t="str">
        <f aca="false">IF(SUM($Z62)=0,"",IF(AND(SUM($Z62)&gt;0,$AI62=""),"ENTER LINKAGE RATE",ROUND($Z62/$AI62,0)))</f>
        <v/>
      </c>
      <c r="AL62" s="39" t="str">
        <f aca="false">IF(SUM($AK62)=0,"",IF(AND($AK62&gt;0,$AJ62=""),"ENTER YIELD RATE",ROUND($AK62/$AJ62-$AK62,0)))</f>
        <v/>
      </c>
      <c r="AM62" s="88" t="n">
        <f aca="false">1</f>
        <v>1</v>
      </c>
      <c r="AN62" s="39" t="str">
        <f aca="false">IF(SUM($AK62)=0,"",ROUND($AK62*$AM62,0))</f>
        <v/>
      </c>
      <c r="AO62" s="10"/>
      <c r="AP62" s="39"/>
    </row>
    <row r="63" customFormat="false" ht="15" hidden="false" customHeight="false" outlineLevel="0" collapsed="false">
      <c r="A63" s="0" t="str">
        <f aca="false">INDEX(Prioritization!$D:$D,MATCH($B63,Prioritization!$A:$A,0))</f>
        <v>INVALID</v>
      </c>
      <c r="B63" s="0" t="s">
        <v>203</v>
      </c>
      <c r="C63" s="0" t="s">
        <v>473</v>
      </c>
      <c r="D63" s="0" t="str">
        <f aca="false">B63&amp;"|"&amp;C63</f>
        <v>Salima District [msW2zpIN7up]|PWID</v>
      </c>
      <c r="E63" s="39"/>
      <c r="F63" s="39"/>
      <c r="G63" s="39"/>
      <c r="H63" s="10"/>
      <c r="I63" s="39"/>
      <c r="J63" s="10"/>
      <c r="K63" s="39"/>
      <c r="L63" s="10"/>
      <c r="M63" s="39"/>
      <c r="N63" s="10"/>
      <c r="O63" s="10"/>
      <c r="P63" s="10" t="str">
        <f aca="false">IF(MAX($N63,$O63)=0,"",MAX($N63,$O63))</f>
        <v/>
      </c>
      <c r="Q63" s="39" t="str">
        <f aca="false">IF(SUM($P63)=0,"",SUM($P63))</f>
        <v/>
      </c>
      <c r="R63" s="10"/>
      <c r="S63" s="10" t="str">
        <f aca="false">IF(SUM($F63)=0,"",SUM($R63)/$F63)</f>
        <v/>
      </c>
      <c r="T63" s="10"/>
      <c r="U63" s="88" t="n">
        <f aca="false">0.98</f>
        <v>0.98</v>
      </c>
      <c r="V63" s="88" t="n">
        <f aca="false">0.98</f>
        <v>0.98</v>
      </c>
      <c r="W63" s="10" t="str">
        <f aca="false">IF(SUM($P63,$Q63)=0,"",SUM($Q63)-SUM($P63))</f>
        <v/>
      </c>
      <c r="X63" s="10" t="str">
        <f aca="false">IFERROR(1/(1/ROUND((SUM($Q63)-(SUM($P63)*SUM($U63)))/$V63,0)),"")</f>
        <v/>
      </c>
      <c r="Y63" s="88" t="n">
        <f aca="false">1</f>
        <v>1</v>
      </c>
      <c r="Z63" s="39" t="str">
        <f aca="false">IFERROR(1/(1/ROUND(SUM($X63)*SUM($Y63),0)),"")</f>
        <v/>
      </c>
      <c r="AA63" s="88" t="n">
        <f aca="false">0.7</f>
        <v>0.7</v>
      </c>
      <c r="AB63" s="10" t="str">
        <f aca="false">IFERROR(1/(1/ROUND($P63+(SUM($X63)*$AA63),0)),"")</f>
        <v/>
      </c>
      <c r="AC63" s="88" t="n">
        <f aca="false">0.95</f>
        <v>0.95</v>
      </c>
      <c r="AD63" s="39" t="str">
        <f aca="false">IF(SUM($AB63)=0,"",ROUND($AB63*$AC63,0))</f>
        <v/>
      </c>
      <c r="AE63" s="88" t="n">
        <f aca="false">0.95</f>
        <v>0.95</v>
      </c>
      <c r="AF63" s="39" t="str">
        <f aca="false">IF(SUM($AD63)=0,"",ROUND($AD63*$AE63,0))</f>
        <v/>
      </c>
      <c r="AG63" s="10"/>
      <c r="AH63" s="10"/>
      <c r="AI63" s="88" t="n">
        <f aca="false">0.95</f>
        <v>0.95</v>
      </c>
      <c r="AJ63" s="88"/>
      <c r="AK63" s="39" t="str">
        <f aca="false">IF(SUM($Z63)=0,"",IF(AND(SUM($Z63)&gt;0,$AI63=""),"ENTER LINKAGE RATE",ROUND($Z63/$AI63,0)))</f>
        <v/>
      </c>
      <c r="AL63" s="39" t="str">
        <f aca="false">IF(SUM($AK63)=0,"",IF(AND($AK63&gt;0,$AJ63=""),"ENTER YIELD RATE",ROUND($AK63/$AJ63-$AK63,0)))</f>
        <v/>
      </c>
      <c r="AM63" s="88" t="n">
        <f aca="false">1</f>
        <v>1</v>
      </c>
      <c r="AN63" s="39" t="str">
        <f aca="false">IF(SUM($AK63)=0,"",ROUND($AK63*$AM63,0))</f>
        <v/>
      </c>
      <c r="AO63" s="10"/>
      <c r="AP63" s="39"/>
    </row>
    <row r="64" customFormat="false" ht="15" hidden="false" customHeight="false" outlineLevel="0" collapsed="false">
      <c r="A64" s="0" t="str">
        <f aca="false">INDEX(Prioritization!$D:$D,MATCH($B64,Prioritization!$A:$A,0))</f>
        <v>INVALID</v>
      </c>
      <c r="B64" s="0" t="s">
        <v>203</v>
      </c>
      <c r="C64" s="0" t="s">
        <v>474</v>
      </c>
      <c r="D64" s="0" t="str">
        <f aca="false">B64&amp;"|"&amp;C64</f>
        <v>Salima District [msW2zpIN7up]|TG</v>
      </c>
      <c r="E64" s="39"/>
      <c r="F64" s="39"/>
      <c r="G64" s="39"/>
      <c r="H64" s="10"/>
      <c r="I64" s="39"/>
      <c r="J64" s="10"/>
      <c r="K64" s="39"/>
      <c r="L64" s="10"/>
      <c r="M64" s="39"/>
      <c r="N64" s="10"/>
      <c r="O64" s="10"/>
      <c r="P64" s="10" t="str">
        <f aca="false">IF(MAX($N64,$O64)=0,"",MAX($N64,$O64))</f>
        <v/>
      </c>
      <c r="Q64" s="39" t="str">
        <f aca="false">IF(SUM($P64)=0,"",SUM($P64))</f>
        <v/>
      </c>
      <c r="R64" s="10"/>
      <c r="S64" s="10" t="str">
        <f aca="false">IF(SUM($F64)=0,"",SUM($R64)/$F64)</f>
        <v/>
      </c>
      <c r="T64" s="10"/>
      <c r="U64" s="88" t="n">
        <f aca="false">0.98</f>
        <v>0.98</v>
      </c>
      <c r="V64" s="88" t="n">
        <f aca="false">0.98</f>
        <v>0.98</v>
      </c>
      <c r="W64" s="10" t="str">
        <f aca="false">IF(SUM($P64,$Q64)=0,"",SUM($Q64)-SUM($P64))</f>
        <v/>
      </c>
      <c r="X64" s="10" t="str">
        <f aca="false">IFERROR(1/(1/ROUND((SUM($Q64)-(SUM($P64)*SUM($U64)))/$V64,0)),"")</f>
        <v/>
      </c>
      <c r="Y64" s="88" t="n">
        <f aca="false">1</f>
        <v>1</v>
      </c>
      <c r="Z64" s="39" t="str">
        <f aca="false">IFERROR(1/(1/ROUND(SUM($X64)*SUM($Y64),0)),"")</f>
        <v/>
      </c>
      <c r="AA64" s="88" t="n">
        <f aca="false">0.7</f>
        <v>0.7</v>
      </c>
      <c r="AB64" s="10" t="str">
        <f aca="false">IFERROR(1/(1/ROUND($P64+(SUM($X64)*$AA64),0)),"")</f>
        <v/>
      </c>
      <c r="AC64" s="88" t="n">
        <f aca="false">0.95</f>
        <v>0.95</v>
      </c>
      <c r="AD64" s="39" t="str">
        <f aca="false">IF(SUM($AB64)=0,"",ROUND($AB64*$AC64,0))</f>
        <v/>
      </c>
      <c r="AE64" s="88" t="n">
        <f aca="false">0.95</f>
        <v>0.95</v>
      </c>
      <c r="AF64" s="39" t="str">
        <f aca="false">IF(SUM($AD64)=0,"",ROUND($AD64*$AE64,0))</f>
        <v/>
      </c>
      <c r="AG64" s="10"/>
      <c r="AH64" s="10"/>
      <c r="AI64" s="88" t="n">
        <f aca="false">0.95</f>
        <v>0.95</v>
      </c>
      <c r="AJ64" s="88"/>
      <c r="AK64" s="39" t="str">
        <f aca="false">IF(SUM($Z64)=0,"",IF(AND(SUM($Z64)&gt;0,$AI64=""),"ENTER LINKAGE RATE",ROUND($Z64/$AI64,0)))</f>
        <v/>
      </c>
      <c r="AL64" s="39" t="str">
        <f aca="false">IF(SUM($AK64)=0,"",IF(AND($AK64&gt;0,$AJ64=""),"ENTER YIELD RATE",ROUND($AK64/$AJ64-$AK64,0)))</f>
        <v/>
      </c>
      <c r="AM64" s="88" t="n">
        <f aca="false">1</f>
        <v>1</v>
      </c>
      <c r="AN64" s="39" t="str">
        <f aca="false">IF(SUM($AK64)=0,"",ROUND($AK64*$AM64,0))</f>
        <v/>
      </c>
      <c r="AO64" s="10"/>
      <c r="AP64" s="39"/>
    </row>
    <row r="65" customFormat="false" ht="15" hidden="false" customHeight="false" outlineLevel="0" collapsed="false">
      <c r="A65" s="0" t="str">
        <f aca="false">INDEX(Prioritization!$D:$D,MATCH($B65,Prioritization!$A:$A,0))</f>
        <v>1 - Scale-up: Saturation</v>
      </c>
      <c r="B65" s="0" t="s">
        <v>204</v>
      </c>
      <c r="C65" s="0" t="s">
        <v>470</v>
      </c>
      <c r="D65" s="0" t="str">
        <f aca="false">B65&amp;"|"&amp;C65</f>
        <v>Chitipa District [GkIwZrXy1h2]|FSW</v>
      </c>
      <c r="E65" s="39"/>
      <c r="F65" s="39"/>
      <c r="G65" s="39"/>
      <c r="H65" s="10"/>
      <c r="I65" s="39"/>
      <c r="J65" s="10"/>
      <c r="K65" s="39"/>
      <c r="L65" s="10"/>
      <c r="M65" s="39"/>
      <c r="N65" s="10"/>
      <c r="O65" s="10"/>
      <c r="P65" s="10" t="str">
        <f aca="false">IF(MAX($N65,$O65)=0,"",MAX($N65,$O65))</f>
        <v/>
      </c>
      <c r="Q65" s="39" t="str">
        <f aca="false">IF(SUM($P65)=0,"",SUM($P65))</f>
        <v/>
      </c>
      <c r="R65" s="10"/>
      <c r="S65" s="10" t="str">
        <f aca="false">IF(SUM($F65)=0,"",SUM($R65)/$F65)</f>
        <v/>
      </c>
      <c r="T65" s="10"/>
      <c r="U65" s="88" t="n">
        <f aca="false">0.98</f>
        <v>0.98</v>
      </c>
      <c r="V65" s="88" t="n">
        <f aca="false">0.98</f>
        <v>0.98</v>
      </c>
      <c r="W65" s="10" t="str">
        <f aca="false">IF(SUM($P65,$Q65)=0,"",SUM($Q65)-SUM($P65))</f>
        <v/>
      </c>
      <c r="X65" s="10" t="str">
        <f aca="false">IFERROR(1/(1/ROUND((SUM($Q65)-(SUM($P65)*SUM($U65)))/$V65,0)),"")</f>
        <v/>
      </c>
      <c r="Y65" s="88" t="n">
        <f aca="false">1</f>
        <v>1</v>
      </c>
      <c r="Z65" s="39" t="str">
        <f aca="false">IFERROR(1/(1/ROUND(SUM($X65)*SUM($Y65),0)),"")</f>
        <v/>
      </c>
      <c r="AA65" s="88" t="n">
        <f aca="false">0.7</f>
        <v>0.7</v>
      </c>
      <c r="AB65" s="10" t="str">
        <f aca="false">IFERROR(1/(1/ROUND($P65+(SUM($X65)*$AA65),0)),"")</f>
        <v/>
      </c>
      <c r="AC65" s="88" t="n">
        <f aca="false">0.95</f>
        <v>0.95</v>
      </c>
      <c r="AD65" s="39" t="str">
        <f aca="false">IF(SUM($AB65)=0,"",ROUND($AB65*$AC65,0))</f>
        <v/>
      </c>
      <c r="AE65" s="88" t="n">
        <f aca="false">0.95</f>
        <v>0.95</v>
      </c>
      <c r="AF65" s="39" t="str">
        <f aca="false">IF(SUM($AD65)=0,"",ROUND($AD65*$AE65,0))</f>
        <v/>
      </c>
      <c r="AG65" s="10"/>
      <c r="AH65" s="10"/>
      <c r="AI65" s="88" t="n">
        <f aca="false">0.95</f>
        <v>0.95</v>
      </c>
      <c r="AJ65" s="88"/>
      <c r="AK65" s="39" t="str">
        <f aca="false">IF(SUM($Z65)=0,"",IF(AND(SUM($Z65)&gt;0,$AI65=""),"ENTER LINKAGE RATE",ROUND($Z65/$AI65,0)))</f>
        <v/>
      </c>
      <c r="AL65" s="39" t="str">
        <f aca="false">IF(SUM($AK65)=0,"",IF(AND($AK65&gt;0,$AJ65=""),"ENTER YIELD RATE",ROUND($AK65/$AJ65-$AK65,0)))</f>
        <v/>
      </c>
      <c r="AM65" s="88" t="n">
        <f aca="false">1</f>
        <v>1</v>
      </c>
      <c r="AN65" s="39" t="str">
        <f aca="false">IF(SUM($AK65)=0,"",ROUND($AK65*$AM65,0))</f>
        <v/>
      </c>
      <c r="AO65" s="10"/>
      <c r="AP65" s="39"/>
    </row>
    <row r="66" customFormat="false" ht="15" hidden="false" customHeight="false" outlineLevel="0" collapsed="false">
      <c r="A66" s="0" t="str">
        <f aca="false">INDEX(Prioritization!$D:$D,MATCH($B66,Prioritization!$A:$A,0))</f>
        <v>1 - Scale-up: Saturation</v>
      </c>
      <c r="B66" s="0" t="s">
        <v>204</v>
      </c>
      <c r="C66" s="0" t="s">
        <v>471</v>
      </c>
      <c r="D66" s="0" t="str">
        <f aca="false">B66&amp;"|"&amp;C66</f>
        <v>Chitipa District [GkIwZrXy1h2]|MSM</v>
      </c>
      <c r="E66" s="39"/>
      <c r="F66" s="39"/>
      <c r="G66" s="39"/>
      <c r="H66" s="10"/>
      <c r="I66" s="39"/>
      <c r="J66" s="10"/>
      <c r="K66" s="39"/>
      <c r="L66" s="10"/>
      <c r="M66" s="39"/>
      <c r="N66" s="10"/>
      <c r="O66" s="10"/>
      <c r="P66" s="10" t="str">
        <f aca="false">IF(MAX($N66,$O66)=0,"",MAX($N66,$O66))</f>
        <v/>
      </c>
      <c r="Q66" s="39" t="str">
        <f aca="false">IF(SUM($P66)=0,"",SUM($P66))</f>
        <v/>
      </c>
      <c r="R66" s="10"/>
      <c r="S66" s="10" t="str">
        <f aca="false">IF(SUM($F66)=0,"",SUM($R66)/$F66)</f>
        <v/>
      </c>
      <c r="T66" s="10"/>
      <c r="U66" s="88" t="n">
        <f aca="false">0.98</f>
        <v>0.98</v>
      </c>
      <c r="V66" s="88" t="n">
        <f aca="false">0.98</f>
        <v>0.98</v>
      </c>
      <c r="W66" s="10" t="str">
        <f aca="false">IF(SUM($P66,$Q66)=0,"",SUM($Q66)-SUM($P66))</f>
        <v/>
      </c>
      <c r="X66" s="10" t="str">
        <f aca="false">IFERROR(1/(1/ROUND((SUM($Q66)-(SUM($P66)*SUM($U66)))/$V66,0)),"")</f>
        <v/>
      </c>
      <c r="Y66" s="88" t="n">
        <f aca="false">1</f>
        <v>1</v>
      </c>
      <c r="Z66" s="39" t="str">
        <f aca="false">IFERROR(1/(1/ROUND(SUM($X66)*SUM($Y66),0)),"")</f>
        <v/>
      </c>
      <c r="AA66" s="88" t="n">
        <f aca="false">0.7</f>
        <v>0.7</v>
      </c>
      <c r="AB66" s="10" t="str">
        <f aca="false">IFERROR(1/(1/ROUND($P66+(SUM($X66)*$AA66),0)),"")</f>
        <v/>
      </c>
      <c r="AC66" s="88" t="n">
        <f aca="false">0.95</f>
        <v>0.95</v>
      </c>
      <c r="AD66" s="39" t="str">
        <f aca="false">IF(SUM($AB66)=0,"",ROUND($AB66*$AC66,0))</f>
        <v/>
      </c>
      <c r="AE66" s="88" t="n">
        <f aca="false">0.95</f>
        <v>0.95</v>
      </c>
      <c r="AF66" s="39" t="str">
        <f aca="false">IF(SUM($AD66)=0,"",ROUND($AD66*$AE66,0))</f>
        <v/>
      </c>
      <c r="AG66" s="10"/>
      <c r="AH66" s="10"/>
      <c r="AI66" s="88" t="n">
        <f aca="false">0.95</f>
        <v>0.95</v>
      </c>
      <c r="AJ66" s="88"/>
      <c r="AK66" s="39" t="str">
        <f aca="false">IF(SUM($Z66)=0,"",IF(AND(SUM($Z66)&gt;0,$AI66=""),"ENTER LINKAGE RATE",ROUND($Z66/$AI66,0)))</f>
        <v/>
      </c>
      <c r="AL66" s="39" t="str">
        <f aca="false">IF(SUM($AK66)=0,"",IF(AND($AK66&gt;0,$AJ66=""),"ENTER YIELD RATE",ROUND($AK66/$AJ66-$AK66,0)))</f>
        <v/>
      </c>
      <c r="AM66" s="88" t="n">
        <f aca="false">1</f>
        <v>1</v>
      </c>
      <c r="AN66" s="39" t="str">
        <f aca="false">IF(SUM($AK66)=0,"",ROUND($AK66*$AM66,0))</f>
        <v/>
      </c>
      <c r="AO66" s="10"/>
      <c r="AP66" s="39"/>
    </row>
    <row r="67" customFormat="false" ht="15" hidden="false" customHeight="false" outlineLevel="0" collapsed="false">
      <c r="A67" s="0" t="str">
        <f aca="false">INDEX(Prioritization!$D:$D,MATCH($B67,Prioritization!$A:$A,0))</f>
        <v>1 - Scale-up: Saturation</v>
      </c>
      <c r="B67" s="0" t="s">
        <v>204</v>
      </c>
      <c r="C67" s="0" t="s">
        <v>472</v>
      </c>
      <c r="D67" s="0" t="str">
        <f aca="false">B67&amp;"|"&amp;C67</f>
        <v>Chitipa District [GkIwZrXy1h2]|People in prisons and other enclosed settings</v>
      </c>
      <c r="E67" s="39"/>
      <c r="F67" s="39"/>
      <c r="G67" s="39"/>
      <c r="H67" s="10"/>
      <c r="I67" s="39"/>
      <c r="J67" s="10"/>
      <c r="K67" s="39"/>
      <c r="L67" s="10"/>
      <c r="M67" s="39"/>
      <c r="N67" s="10"/>
      <c r="O67" s="10"/>
      <c r="P67" s="10" t="str">
        <f aca="false">IF(MAX($N67,$O67)=0,"",MAX($N67,$O67))</f>
        <v/>
      </c>
      <c r="Q67" s="39" t="str">
        <f aca="false">IF(SUM($P67)=0,"",SUM($P67))</f>
        <v/>
      </c>
      <c r="R67" s="10"/>
      <c r="S67" s="10" t="str">
        <f aca="false">IF(SUM($F67)=0,"",SUM($R67)/$F67)</f>
        <v/>
      </c>
      <c r="T67" s="10"/>
      <c r="U67" s="88" t="n">
        <f aca="false">0.98</f>
        <v>0.98</v>
      </c>
      <c r="V67" s="88" t="n">
        <f aca="false">0.98</f>
        <v>0.98</v>
      </c>
      <c r="W67" s="10" t="str">
        <f aca="false">IF(SUM($P67,$Q67)=0,"",SUM($Q67)-SUM($P67))</f>
        <v/>
      </c>
      <c r="X67" s="10" t="str">
        <f aca="false">IFERROR(1/(1/ROUND((SUM($Q67)-(SUM($P67)*SUM($U67)))/$V67,0)),"")</f>
        <v/>
      </c>
      <c r="Y67" s="88" t="n">
        <f aca="false">1</f>
        <v>1</v>
      </c>
      <c r="Z67" s="39" t="str">
        <f aca="false">IFERROR(1/(1/ROUND(SUM($X67)*SUM($Y67),0)),"")</f>
        <v/>
      </c>
      <c r="AA67" s="88" t="n">
        <f aca="false">0.7</f>
        <v>0.7</v>
      </c>
      <c r="AB67" s="10" t="str">
        <f aca="false">IFERROR(1/(1/ROUND($P67+(SUM($X67)*$AA67),0)),"")</f>
        <v/>
      </c>
      <c r="AC67" s="88" t="n">
        <f aca="false">0.95</f>
        <v>0.95</v>
      </c>
      <c r="AD67" s="39" t="str">
        <f aca="false">IF(SUM($AB67)=0,"",ROUND($AB67*$AC67,0))</f>
        <v/>
      </c>
      <c r="AE67" s="88" t="n">
        <f aca="false">0.95</f>
        <v>0.95</v>
      </c>
      <c r="AF67" s="39" t="str">
        <f aca="false">IF(SUM($AD67)=0,"",ROUND($AD67*$AE67,0))</f>
        <v/>
      </c>
      <c r="AG67" s="10"/>
      <c r="AH67" s="10"/>
      <c r="AI67" s="88" t="n">
        <f aca="false">0.95</f>
        <v>0.95</v>
      </c>
      <c r="AJ67" s="88"/>
      <c r="AK67" s="39" t="str">
        <f aca="false">IF(SUM($Z67)=0,"",IF(AND(SUM($Z67)&gt;0,$AI67=""),"ENTER LINKAGE RATE",ROUND($Z67/$AI67,0)))</f>
        <v/>
      </c>
      <c r="AL67" s="39" t="str">
        <f aca="false">IF(SUM($AK67)=0,"",IF(AND($AK67&gt;0,$AJ67=""),"ENTER YIELD RATE",ROUND($AK67/$AJ67-$AK67,0)))</f>
        <v/>
      </c>
      <c r="AM67" s="88" t="n">
        <f aca="false">1</f>
        <v>1</v>
      </c>
      <c r="AN67" s="39" t="str">
        <f aca="false">IF(SUM($AK67)=0,"",ROUND($AK67*$AM67,0))</f>
        <v/>
      </c>
      <c r="AO67" s="10"/>
      <c r="AP67" s="39"/>
    </row>
    <row r="68" customFormat="false" ht="15" hidden="false" customHeight="false" outlineLevel="0" collapsed="false">
      <c r="A68" s="0" t="str">
        <f aca="false">INDEX(Prioritization!$D:$D,MATCH($B68,Prioritization!$A:$A,0))</f>
        <v>1 - Scale-up: Saturation</v>
      </c>
      <c r="B68" s="0" t="s">
        <v>204</v>
      </c>
      <c r="C68" s="0" t="s">
        <v>473</v>
      </c>
      <c r="D68" s="0" t="str">
        <f aca="false">B68&amp;"|"&amp;C68</f>
        <v>Chitipa District [GkIwZrXy1h2]|PWID</v>
      </c>
      <c r="E68" s="39"/>
      <c r="F68" s="39"/>
      <c r="G68" s="39"/>
      <c r="H68" s="10"/>
      <c r="I68" s="39"/>
      <c r="J68" s="10"/>
      <c r="K68" s="39"/>
      <c r="L68" s="10"/>
      <c r="M68" s="39"/>
      <c r="N68" s="10"/>
      <c r="O68" s="10"/>
      <c r="P68" s="10" t="str">
        <f aca="false">IF(MAX($N68,$O68)=0,"",MAX($N68,$O68))</f>
        <v/>
      </c>
      <c r="Q68" s="39" t="str">
        <f aca="false">IF(SUM($P68)=0,"",SUM($P68))</f>
        <v/>
      </c>
      <c r="R68" s="10"/>
      <c r="S68" s="10" t="str">
        <f aca="false">IF(SUM($F68)=0,"",SUM($R68)/$F68)</f>
        <v/>
      </c>
      <c r="T68" s="10"/>
      <c r="U68" s="88" t="n">
        <f aca="false">0.98</f>
        <v>0.98</v>
      </c>
      <c r="V68" s="88" t="n">
        <f aca="false">0.98</f>
        <v>0.98</v>
      </c>
      <c r="W68" s="10" t="str">
        <f aca="false">IF(SUM($P68,$Q68)=0,"",SUM($Q68)-SUM($P68))</f>
        <v/>
      </c>
      <c r="X68" s="10" t="str">
        <f aca="false">IFERROR(1/(1/ROUND((SUM($Q68)-(SUM($P68)*SUM($U68)))/$V68,0)),"")</f>
        <v/>
      </c>
      <c r="Y68" s="88" t="n">
        <f aca="false">1</f>
        <v>1</v>
      </c>
      <c r="Z68" s="39" t="str">
        <f aca="false">IFERROR(1/(1/ROUND(SUM($X68)*SUM($Y68),0)),"")</f>
        <v/>
      </c>
      <c r="AA68" s="88" t="n">
        <f aca="false">0.7</f>
        <v>0.7</v>
      </c>
      <c r="AB68" s="10" t="str">
        <f aca="false">IFERROR(1/(1/ROUND($P68+(SUM($X68)*$AA68),0)),"")</f>
        <v/>
      </c>
      <c r="AC68" s="88" t="n">
        <f aca="false">0.95</f>
        <v>0.95</v>
      </c>
      <c r="AD68" s="39" t="str">
        <f aca="false">IF(SUM($AB68)=0,"",ROUND($AB68*$AC68,0))</f>
        <v/>
      </c>
      <c r="AE68" s="88" t="n">
        <f aca="false">0.95</f>
        <v>0.95</v>
      </c>
      <c r="AF68" s="39" t="str">
        <f aca="false">IF(SUM($AD68)=0,"",ROUND($AD68*$AE68,0))</f>
        <v/>
      </c>
      <c r="AG68" s="10"/>
      <c r="AH68" s="10"/>
      <c r="AI68" s="88" t="n">
        <f aca="false">0.95</f>
        <v>0.95</v>
      </c>
      <c r="AJ68" s="88"/>
      <c r="AK68" s="39" t="str">
        <f aca="false">IF(SUM($Z68)=0,"",IF(AND(SUM($Z68)&gt;0,$AI68=""),"ENTER LINKAGE RATE",ROUND($Z68/$AI68,0)))</f>
        <v/>
      </c>
      <c r="AL68" s="39" t="str">
        <f aca="false">IF(SUM($AK68)=0,"",IF(AND($AK68&gt;0,$AJ68=""),"ENTER YIELD RATE",ROUND($AK68/$AJ68-$AK68,0)))</f>
        <v/>
      </c>
      <c r="AM68" s="88" t="n">
        <f aca="false">1</f>
        <v>1</v>
      </c>
      <c r="AN68" s="39" t="str">
        <f aca="false">IF(SUM($AK68)=0,"",ROUND($AK68*$AM68,0))</f>
        <v/>
      </c>
      <c r="AO68" s="10"/>
      <c r="AP68" s="39"/>
    </row>
    <row r="69" customFormat="false" ht="15" hidden="false" customHeight="false" outlineLevel="0" collapsed="false">
      <c r="A69" s="0" t="str">
        <f aca="false">INDEX(Prioritization!$D:$D,MATCH($B69,Prioritization!$A:$A,0))</f>
        <v>1 - Scale-up: Saturation</v>
      </c>
      <c r="B69" s="0" t="s">
        <v>204</v>
      </c>
      <c r="C69" s="0" t="s">
        <v>474</v>
      </c>
      <c r="D69" s="0" t="str">
        <f aca="false">B69&amp;"|"&amp;C69</f>
        <v>Chitipa District [GkIwZrXy1h2]|TG</v>
      </c>
      <c r="E69" s="39"/>
      <c r="F69" s="39"/>
      <c r="G69" s="39"/>
      <c r="H69" s="10"/>
      <c r="I69" s="39"/>
      <c r="J69" s="10"/>
      <c r="K69" s="39"/>
      <c r="L69" s="10"/>
      <c r="M69" s="39"/>
      <c r="N69" s="10"/>
      <c r="O69" s="10"/>
      <c r="P69" s="10" t="str">
        <f aca="false">IF(MAX($N69,$O69)=0,"",MAX($N69,$O69))</f>
        <v/>
      </c>
      <c r="Q69" s="39" t="str">
        <f aca="false">IF(SUM($P69)=0,"",SUM($P69))</f>
        <v/>
      </c>
      <c r="R69" s="10"/>
      <c r="S69" s="10" t="str">
        <f aca="false">IF(SUM($F69)=0,"",SUM($R69)/$F69)</f>
        <v/>
      </c>
      <c r="T69" s="10"/>
      <c r="U69" s="88" t="n">
        <f aca="false">0.98</f>
        <v>0.98</v>
      </c>
      <c r="V69" s="88" t="n">
        <f aca="false">0.98</f>
        <v>0.98</v>
      </c>
      <c r="W69" s="10" t="str">
        <f aca="false">IF(SUM($P69,$Q69)=0,"",SUM($Q69)-SUM($P69))</f>
        <v/>
      </c>
      <c r="X69" s="10" t="str">
        <f aca="false">IFERROR(1/(1/ROUND((SUM($Q69)-(SUM($P69)*SUM($U69)))/$V69,0)),"")</f>
        <v/>
      </c>
      <c r="Y69" s="88" t="n">
        <f aca="false">1</f>
        <v>1</v>
      </c>
      <c r="Z69" s="39" t="str">
        <f aca="false">IFERROR(1/(1/ROUND(SUM($X69)*SUM($Y69),0)),"")</f>
        <v/>
      </c>
      <c r="AA69" s="88" t="n">
        <f aca="false">0.7</f>
        <v>0.7</v>
      </c>
      <c r="AB69" s="10" t="str">
        <f aca="false">IFERROR(1/(1/ROUND($P69+(SUM($X69)*$AA69),0)),"")</f>
        <v/>
      </c>
      <c r="AC69" s="88" t="n">
        <f aca="false">0.95</f>
        <v>0.95</v>
      </c>
      <c r="AD69" s="39" t="str">
        <f aca="false">IF(SUM($AB69)=0,"",ROUND($AB69*$AC69,0))</f>
        <v/>
      </c>
      <c r="AE69" s="88" t="n">
        <f aca="false">0.95</f>
        <v>0.95</v>
      </c>
      <c r="AF69" s="39" t="str">
        <f aca="false">IF(SUM($AD69)=0,"",ROUND($AD69*$AE69,0))</f>
        <v/>
      </c>
      <c r="AG69" s="10"/>
      <c r="AH69" s="10"/>
      <c r="AI69" s="88" t="n">
        <f aca="false">0.95</f>
        <v>0.95</v>
      </c>
      <c r="AJ69" s="88"/>
      <c r="AK69" s="39" t="str">
        <f aca="false">IF(SUM($Z69)=0,"",IF(AND(SUM($Z69)&gt;0,$AI69=""),"ENTER LINKAGE RATE",ROUND($Z69/$AI69,0)))</f>
        <v/>
      </c>
      <c r="AL69" s="39" t="str">
        <f aca="false">IF(SUM($AK69)=0,"",IF(AND($AK69&gt;0,$AJ69=""),"ENTER YIELD RATE",ROUND($AK69/$AJ69-$AK69,0)))</f>
        <v/>
      </c>
      <c r="AM69" s="88" t="n">
        <f aca="false">1</f>
        <v>1</v>
      </c>
      <c r="AN69" s="39" t="str">
        <f aca="false">IF(SUM($AK69)=0,"",ROUND($AK69*$AM69,0))</f>
        <v/>
      </c>
      <c r="AO69" s="10"/>
      <c r="AP69" s="39"/>
    </row>
    <row r="70" customFormat="false" ht="15" hidden="false" customHeight="false" outlineLevel="0" collapsed="false">
      <c r="A70" s="0" t="str">
        <f aca="false">INDEX(Prioritization!$D:$D,MATCH($B70,Prioritization!$A:$A,0))</f>
        <v>INVALID</v>
      </c>
      <c r="B70" s="0" t="s">
        <v>205</v>
      </c>
      <c r="C70" s="0" t="s">
        <v>470</v>
      </c>
      <c r="D70" s="0" t="str">
        <f aca="false">B70&amp;"|"&amp;C70</f>
        <v>Karonga District [cPtvxaZqXIH]|FSW</v>
      </c>
      <c r="E70" s="39"/>
      <c r="F70" s="39"/>
      <c r="G70" s="39"/>
      <c r="H70" s="10"/>
      <c r="I70" s="39"/>
      <c r="J70" s="10"/>
      <c r="K70" s="39"/>
      <c r="L70" s="10"/>
      <c r="M70" s="39"/>
      <c r="N70" s="10"/>
      <c r="O70" s="10"/>
      <c r="P70" s="10" t="str">
        <f aca="false">IF(MAX($N70,$O70)=0,"",MAX($N70,$O70))</f>
        <v/>
      </c>
      <c r="Q70" s="39" t="str">
        <f aca="false">IF(SUM($P70)=0,"",SUM($P70))</f>
        <v/>
      </c>
      <c r="R70" s="10"/>
      <c r="S70" s="10" t="str">
        <f aca="false">IF(SUM($F70)=0,"",SUM($R70)/$F70)</f>
        <v/>
      </c>
      <c r="T70" s="10"/>
      <c r="U70" s="88" t="n">
        <f aca="false">0.98</f>
        <v>0.98</v>
      </c>
      <c r="V70" s="88" t="n">
        <f aca="false">0.98</f>
        <v>0.98</v>
      </c>
      <c r="W70" s="10" t="str">
        <f aca="false">IF(SUM($P70,$Q70)=0,"",SUM($Q70)-SUM($P70))</f>
        <v/>
      </c>
      <c r="X70" s="10" t="str">
        <f aca="false">IFERROR(1/(1/ROUND((SUM($Q70)-(SUM($P70)*SUM($U70)))/$V70,0)),"")</f>
        <v/>
      </c>
      <c r="Y70" s="88" t="n">
        <f aca="false">1</f>
        <v>1</v>
      </c>
      <c r="Z70" s="39" t="str">
        <f aca="false">IFERROR(1/(1/ROUND(SUM($X70)*SUM($Y70),0)),"")</f>
        <v/>
      </c>
      <c r="AA70" s="88" t="n">
        <f aca="false">0.7</f>
        <v>0.7</v>
      </c>
      <c r="AB70" s="10" t="str">
        <f aca="false">IFERROR(1/(1/ROUND($P70+(SUM($X70)*$AA70),0)),"")</f>
        <v/>
      </c>
      <c r="AC70" s="88" t="n">
        <f aca="false">0.95</f>
        <v>0.95</v>
      </c>
      <c r="AD70" s="39" t="str">
        <f aca="false">IF(SUM($AB70)=0,"",ROUND($AB70*$AC70,0))</f>
        <v/>
      </c>
      <c r="AE70" s="88" t="n">
        <f aca="false">0.95</f>
        <v>0.95</v>
      </c>
      <c r="AF70" s="39" t="str">
        <f aca="false">IF(SUM($AD70)=0,"",ROUND($AD70*$AE70,0))</f>
        <v/>
      </c>
      <c r="AG70" s="10"/>
      <c r="AH70" s="10"/>
      <c r="AI70" s="88" t="n">
        <f aca="false">0.95</f>
        <v>0.95</v>
      </c>
      <c r="AJ70" s="88"/>
      <c r="AK70" s="39" t="str">
        <f aca="false">IF(SUM($Z70)=0,"",IF(AND(SUM($Z70)&gt;0,$AI70=""),"ENTER LINKAGE RATE",ROUND($Z70/$AI70,0)))</f>
        <v/>
      </c>
      <c r="AL70" s="39" t="str">
        <f aca="false">IF(SUM($AK70)=0,"",IF(AND($AK70&gt;0,$AJ70=""),"ENTER YIELD RATE",ROUND($AK70/$AJ70-$AK70,0)))</f>
        <v/>
      </c>
      <c r="AM70" s="88" t="n">
        <f aca="false">1</f>
        <v>1</v>
      </c>
      <c r="AN70" s="39" t="str">
        <f aca="false">IF(SUM($AK70)=0,"",ROUND($AK70*$AM70,0))</f>
        <v/>
      </c>
      <c r="AO70" s="10"/>
      <c r="AP70" s="39"/>
    </row>
    <row r="71" customFormat="false" ht="15" hidden="false" customHeight="false" outlineLevel="0" collapsed="false">
      <c r="A71" s="0" t="str">
        <f aca="false">INDEX(Prioritization!$D:$D,MATCH($B71,Prioritization!$A:$A,0))</f>
        <v>INVALID</v>
      </c>
      <c r="B71" s="0" t="s">
        <v>205</v>
      </c>
      <c r="C71" s="0" t="s">
        <v>471</v>
      </c>
      <c r="D71" s="0" t="str">
        <f aca="false">B71&amp;"|"&amp;C71</f>
        <v>Karonga District [cPtvxaZqXIH]|MSM</v>
      </c>
      <c r="E71" s="39"/>
      <c r="F71" s="39"/>
      <c r="G71" s="39"/>
      <c r="H71" s="10"/>
      <c r="I71" s="39"/>
      <c r="J71" s="10"/>
      <c r="K71" s="39"/>
      <c r="L71" s="10"/>
      <c r="M71" s="39"/>
      <c r="N71" s="10"/>
      <c r="O71" s="10"/>
      <c r="P71" s="10" t="str">
        <f aca="false">IF(MAX($N71,$O71)=0,"",MAX($N71,$O71))</f>
        <v/>
      </c>
      <c r="Q71" s="39" t="str">
        <f aca="false">IF(SUM($P71)=0,"",SUM($P71))</f>
        <v/>
      </c>
      <c r="R71" s="10"/>
      <c r="S71" s="10" t="str">
        <f aca="false">IF(SUM($F71)=0,"",SUM($R71)/$F71)</f>
        <v/>
      </c>
      <c r="T71" s="10"/>
      <c r="U71" s="88" t="n">
        <f aca="false">0.98</f>
        <v>0.98</v>
      </c>
      <c r="V71" s="88" t="n">
        <f aca="false">0.98</f>
        <v>0.98</v>
      </c>
      <c r="W71" s="10" t="str">
        <f aca="false">IF(SUM($P71,$Q71)=0,"",SUM($Q71)-SUM($P71))</f>
        <v/>
      </c>
      <c r="X71" s="10" t="str">
        <f aca="false">IFERROR(1/(1/ROUND((SUM($Q71)-(SUM($P71)*SUM($U71)))/$V71,0)),"")</f>
        <v/>
      </c>
      <c r="Y71" s="88" t="n">
        <f aca="false">1</f>
        <v>1</v>
      </c>
      <c r="Z71" s="39" t="str">
        <f aca="false">IFERROR(1/(1/ROUND(SUM($X71)*SUM($Y71),0)),"")</f>
        <v/>
      </c>
      <c r="AA71" s="88" t="n">
        <f aca="false">0.7</f>
        <v>0.7</v>
      </c>
      <c r="AB71" s="10" t="str">
        <f aca="false">IFERROR(1/(1/ROUND($P71+(SUM($X71)*$AA71),0)),"")</f>
        <v/>
      </c>
      <c r="AC71" s="88" t="n">
        <f aca="false">0.95</f>
        <v>0.95</v>
      </c>
      <c r="AD71" s="39" t="str">
        <f aca="false">IF(SUM($AB71)=0,"",ROUND($AB71*$AC71,0))</f>
        <v/>
      </c>
      <c r="AE71" s="88" t="n">
        <f aca="false">0.95</f>
        <v>0.95</v>
      </c>
      <c r="AF71" s="39" t="str">
        <f aca="false">IF(SUM($AD71)=0,"",ROUND($AD71*$AE71,0))</f>
        <v/>
      </c>
      <c r="AG71" s="10"/>
      <c r="AH71" s="10"/>
      <c r="AI71" s="88" t="n">
        <f aca="false">0.95</f>
        <v>0.95</v>
      </c>
      <c r="AJ71" s="88"/>
      <c r="AK71" s="39" t="str">
        <f aca="false">IF(SUM($Z71)=0,"",IF(AND(SUM($Z71)&gt;0,$AI71=""),"ENTER LINKAGE RATE",ROUND($Z71/$AI71,0)))</f>
        <v/>
      </c>
      <c r="AL71" s="39" t="str">
        <f aca="false">IF(SUM($AK71)=0,"",IF(AND($AK71&gt;0,$AJ71=""),"ENTER YIELD RATE",ROUND($AK71/$AJ71-$AK71,0)))</f>
        <v/>
      </c>
      <c r="AM71" s="88" t="n">
        <f aca="false">1</f>
        <v>1</v>
      </c>
      <c r="AN71" s="39" t="str">
        <f aca="false">IF(SUM($AK71)=0,"",ROUND($AK71*$AM71,0))</f>
        <v/>
      </c>
      <c r="AO71" s="10"/>
      <c r="AP71" s="39"/>
    </row>
    <row r="72" customFormat="false" ht="15" hidden="false" customHeight="false" outlineLevel="0" collapsed="false">
      <c r="A72" s="0" t="str">
        <f aca="false">INDEX(Prioritization!$D:$D,MATCH($B72,Prioritization!$A:$A,0))</f>
        <v>INVALID</v>
      </c>
      <c r="B72" s="0" t="s">
        <v>205</v>
      </c>
      <c r="C72" s="0" t="s">
        <v>472</v>
      </c>
      <c r="D72" s="0" t="str">
        <f aca="false">B72&amp;"|"&amp;C72</f>
        <v>Karonga District [cPtvxaZqXIH]|People in prisons and other enclosed settings</v>
      </c>
      <c r="E72" s="39"/>
      <c r="F72" s="39"/>
      <c r="G72" s="39"/>
      <c r="H72" s="10"/>
      <c r="I72" s="39"/>
      <c r="J72" s="10"/>
      <c r="K72" s="39"/>
      <c r="L72" s="10"/>
      <c r="M72" s="39"/>
      <c r="N72" s="10"/>
      <c r="O72" s="10"/>
      <c r="P72" s="10" t="str">
        <f aca="false">IF(MAX($N72,$O72)=0,"",MAX($N72,$O72))</f>
        <v/>
      </c>
      <c r="Q72" s="39" t="str">
        <f aca="false">IF(SUM($P72)=0,"",SUM($P72))</f>
        <v/>
      </c>
      <c r="R72" s="10"/>
      <c r="S72" s="10" t="str">
        <f aca="false">IF(SUM($F72)=0,"",SUM($R72)/$F72)</f>
        <v/>
      </c>
      <c r="T72" s="10"/>
      <c r="U72" s="88" t="n">
        <f aca="false">0.98</f>
        <v>0.98</v>
      </c>
      <c r="V72" s="88" t="n">
        <f aca="false">0.98</f>
        <v>0.98</v>
      </c>
      <c r="W72" s="10" t="str">
        <f aca="false">IF(SUM($P72,$Q72)=0,"",SUM($Q72)-SUM($P72))</f>
        <v/>
      </c>
      <c r="X72" s="10" t="str">
        <f aca="false">IFERROR(1/(1/ROUND((SUM($Q72)-(SUM($P72)*SUM($U72)))/$V72,0)),"")</f>
        <v/>
      </c>
      <c r="Y72" s="88" t="n">
        <f aca="false">1</f>
        <v>1</v>
      </c>
      <c r="Z72" s="39" t="str">
        <f aca="false">IFERROR(1/(1/ROUND(SUM($X72)*SUM($Y72),0)),"")</f>
        <v/>
      </c>
      <c r="AA72" s="88" t="n">
        <f aca="false">0.7</f>
        <v>0.7</v>
      </c>
      <c r="AB72" s="10" t="str">
        <f aca="false">IFERROR(1/(1/ROUND($P72+(SUM($X72)*$AA72),0)),"")</f>
        <v/>
      </c>
      <c r="AC72" s="88" t="n">
        <f aca="false">0.95</f>
        <v>0.95</v>
      </c>
      <c r="AD72" s="39" t="str">
        <f aca="false">IF(SUM($AB72)=0,"",ROUND($AB72*$AC72,0))</f>
        <v/>
      </c>
      <c r="AE72" s="88" t="n">
        <f aca="false">0.95</f>
        <v>0.95</v>
      </c>
      <c r="AF72" s="39" t="str">
        <f aca="false">IF(SUM($AD72)=0,"",ROUND($AD72*$AE72,0))</f>
        <v/>
      </c>
      <c r="AG72" s="10"/>
      <c r="AH72" s="10"/>
      <c r="AI72" s="88" t="n">
        <f aca="false">0.95</f>
        <v>0.95</v>
      </c>
      <c r="AJ72" s="88"/>
      <c r="AK72" s="39" t="str">
        <f aca="false">IF(SUM($Z72)=0,"",IF(AND(SUM($Z72)&gt;0,$AI72=""),"ENTER LINKAGE RATE",ROUND($Z72/$AI72,0)))</f>
        <v/>
      </c>
      <c r="AL72" s="39" t="str">
        <f aca="false">IF(SUM($AK72)=0,"",IF(AND($AK72&gt;0,$AJ72=""),"ENTER YIELD RATE",ROUND($AK72/$AJ72-$AK72,0)))</f>
        <v/>
      </c>
      <c r="AM72" s="88" t="n">
        <f aca="false">1</f>
        <v>1</v>
      </c>
      <c r="AN72" s="39" t="str">
        <f aca="false">IF(SUM($AK72)=0,"",ROUND($AK72*$AM72,0))</f>
        <v/>
      </c>
      <c r="AO72" s="10"/>
      <c r="AP72" s="39"/>
    </row>
    <row r="73" customFormat="false" ht="15" hidden="false" customHeight="false" outlineLevel="0" collapsed="false">
      <c r="A73" s="0" t="str">
        <f aca="false">INDEX(Prioritization!$D:$D,MATCH($B73,Prioritization!$A:$A,0))</f>
        <v>INVALID</v>
      </c>
      <c r="B73" s="0" t="s">
        <v>205</v>
      </c>
      <c r="C73" s="0" t="s">
        <v>473</v>
      </c>
      <c r="D73" s="0" t="str">
        <f aca="false">B73&amp;"|"&amp;C73</f>
        <v>Karonga District [cPtvxaZqXIH]|PWID</v>
      </c>
      <c r="E73" s="39"/>
      <c r="F73" s="39"/>
      <c r="G73" s="39"/>
      <c r="H73" s="10"/>
      <c r="I73" s="39"/>
      <c r="J73" s="10"/>
      <c r="K73" s="39"/>
      <c r="L73" s="10"/>
      <c r="M73" s="39"/>
      <c r="N73" s="10"/>
      <c r="O73" s="10"/>
      <c r="P73" s="10" t="str">
        <f aca="false">IF(MAX($N73,$O73)=0,"",MAX($N73,$O73))</f>
        <v/>
      </c>
      <c r="Q73" s="39" t="str">
        <f aca="false">IF(SUM($P73)=0,"",SUM($P73))</f>
        <v/>
      </c>
      <c r="R73" s="10"/>
      <c r="S73" s="10" t="str">
        <f aca="false">IF(SUM($F73)=0,"",SUM($R73)/$F73)</f>
        <v/>
      </c>
      <c r="T73" s="10"/>
      <c r="U73" s="88" t="n">
        <f aca="false">0.98</f>
        <v>0.98</v>
      </c>
      <c r="V73" s="88" t="n">
        <f aca="false">0.98</f>
        <v>0.98</v>
      </c>
      <c r="W73" s="10" t="str">
        <f aca="false">IF(SUM($P73,$Q73)=0,"",SUM($Q73)-SUM($P73))</f>
        <v/>
      </c>
      <c r="X73" s="10" t="str">
        <f aca="false">IFERROR(1/(1/ROUND((SUM($Q73)-(SUM($P73)*SUM($U73)))/$V73,0)),"")</f>
        <v/>
      </c>
      <c r="Y73" s="88" t="n">
        <f aca="false">1</f>
        <v>1</v>
      </c>
      <c r="Z73" s="39" t="str">
        <f aca="false">IFERROR(1/(1/ROUND(SUM($X73)*SUM($Y73),0)),"")</f>
        <v/>
      </c>
      <c r="AA73" s="88" t="n">
        <f aca="false">0.7</f>
        <v>0.7</v>
      </c>
      <c r="AB73" s="10" t="str">
        <f aca="false">IFERROR(1/(1/ROUND($P73+(SUM($X73)*$AA73),0)),"")</f>
        <v/>
      </c>
      <c r="AC73" s="88" t="n">
        <f aca="false">0.95</f>
        <v>0.95</v>
      </c>
      <c r="AD73" s="39" t="str">
        <f aca="false">IF(SUM($AB73)=0,"",ROUND($AB73*$AC73,0))</f>
        <v/>
      </c>
      <c r="AE73" s="88" t="n">
        <f aca="false">0.95</f>
        <v>0.95</v>
      </c>
      <c r="AF73" s="39" t="str">
        <f aca="false">IF(SUM($AD73)=0,"",ROUND($AD73*$AE73,0))</f>
        <v/>
      </c>
      <c r="AG73" s="10"/>
      <c r="AH73" s="10"/>
      <c r="AI73" s="88" t="n">
        <f aca="false">0.95</f>
        <v>0.95</v>
      </c>
      <c r="AJ73" s="88"/>
      <c r="AK73" s="39" t="str">
        <f aca="false">IF(SUM($Z73)=0,"",IF(AND(SUM($Z73)&gt;0,$AI73=""),"ENTER LINKAGE RATE",ROUND($Z73/$AI73,0)))</f>
        <v/>
      </c>
      <c r="AL73" s="39" t="str">
        <f aca="false">IF(SUM($AK73)=0,"",IF(AND($AK73&gt;0,$AJ73=""),"ENTER YIELD RATE",ROUND($AK73/$AJ73-$AK73,0)))</f>
        <v/>
      </c>
      <c r="AM73" s="88" t="n">
        <f aca="false">1</f>
        <v>1</v>
      </c>
      <c r="AN73" s="39" t="str">
        <f aca="false">IF(SUM($AK73)=0,"",ROUND($AK73*$AM73,0))</f>
        <v/>
      </c>
      <c r="AO73" s="10"/>
      <c r="AP73" s="39"/>
    </row>
    <row r="74" customFormat="false" ht="15" hidden="false" customHeight="false" outlineLevel="0" collapsed="false">
      <c r="A74" s="0" t="str">
        <f aca="false">INDEX(Prioritization!$D:$D,MATCH($B74,Prioritization!$A:$A,0))</f>
        <v>INVALID</v>
      </c>
      <c r="B74" s="0" t="s">
        <v>205</v>
      </c>
      <c r="C74" s="0" t="s">
        <v>474</v>
      </c>
      <c r="D74" s="0" t="str">
        <f aca="false">B74&amp;"|"&amp;C74</f>
        <v>Karonga District [cPtvxaZqXIH]|TG</v>
      </c>
      <c r="E74" s="39"/>
      <c r="F74" s="39"/>
      <c r="G74" s="39"/>
      <c r="H74" s="10"/>
      <c r="I74" s="39"/>
      <c r="J74" s="10"/>
      <c r="K74" s="39"/>
      <c r="L74" s="10"/>
      <c r="M74" s="39"/>
      <c r="N74" s="10"/>
      <c r="O74" s="10"/>
      <c r="P74" s="10" t="str">
        <f aca="false">IF(MAX($N74,$O74)=0,"",MAX($N74,$O74))</f>
        <v/>
      </c>
      <c r="Q74" s="39" t="str">
        <f aca="false">IF(SUM($P74)=0,"",SUM($P74))</f>
        <v/>
      </c>
      <c r="R74" s="10"/>
      <c r="S74" s="10" t="str">
        <f aca="false">IF(SUM($F74)=0,"",SUM($R74)/$F74)</f>
        <v/>
      </c>
      <c r="T74" s="10"/>
      <c r="U74" s="88" t="n">
        <f aca="false">0.98</f>
        <v>0.98</v>
      </c>
      <c r="V74" s="88" t="n">
        <f aca="false">0.98</f>
        <v>0.98</v>
      </c>
      <c r="W74" s="10" t="str">
        <f aca="false">IF(SUM($P74,$Q74)=0,"",SUM($Q74)-SUM($P74))</f>
        <v/>
      </c>
      <c r="X74" s="10" t="str">
        <f aca="false">IFERROR(1/(1/ROUND((SUM($Q74)-(SUM($P74)*SUM($U74)))/$V74,0)),"")</f>
        <v/>
      </c>
      <c r="Y74" s="88" t="n">
        <f aca="false">1</f>
        <v>1</v>
      </c>
      <c r="Z74" s="39" t="str">
        <f aca="false">IFERROR(1/(1/ROUND(SUM($X74)*SUM($Y74),0)),"")</f>
        <v/>
      </c>
      <c r="AA74" s="88" t="n">
        <f aca="false">0.7</f>
        <v>0.7</v>
      </c>
      <c r="AB74" s="10" t="str">
        <f aca="false">IFERROR(1/(1/ROUND($P74+(SUM($X74)*$AA74),0)),"")</f>
        <v/>
      </c>
      <c r="AC74" s="88" t="n">
        <f aca="false">0.95</f>
        <v>0.95</v>
      </c>
      <c r="AD74" s="39" t="str">
        <f aca="false">IF(SUM($AB74)=0,"",ROUND($AB74*$AC74,0))</f>
        <v/>
      </c>
      <c r="AE74" s="88" t="n">
        <f aca="false">0.95</f>
        <v>0.95</v>
      </c>
      <c r="AF74" s="39" t="str">
        <f aca="false">IF(SUM($AD74)=0,"",ROUND($AD74*$AE74,0))</f>
        <v/>
      </c>
      <c r="AG74" s="10"/>
      <c r="AH74" s="10"/>
      <c r="AI74" s="88" t="n">
        <f aca="false">0.95</f>
        <v>0.95</v>
      </c>
      <c r="AJ74" s="88"/>
      <c r="AK74" s="39" t="str">
        <f aca="false">IF(SUM($Z74)=0,"",IF(AND(SUM($Z74)&gt;0,$AI74=""),"ENTER LINKAGE RATE",ROUND($Z74/$AI74,0)))</f>
        <v/>
      </c>
      <c r="AL74" s="39" t="str">
        <f aca="false">IF(SUM($AK74)=0,"",IF(AND($AK74&gt;0,$AJ74=""),"ENTER YIELD RATE",ROUND($AK74/$AJ74-$AK74,0)))</f>
        <v/>
      </c>
      <c r="AM74" s="88" t="n">
        <f aca="false">1</f>
        <v>1</v>
      </c>
      <c r="AN74" s="39" t="str">
        <f aca="false">IF(SUM($AK74)=0,"",ROUND($AK74*$AM74,0))</f>
        <v/>
      </c>
      <c r="AO74" s="10"/>
      <c r="AP74" s="39"/>
    </row>
    <row r="75" customFormat="false" ht="15" hidden="false" customHeight="false" outlineLevel="0" collapsed="false">
      <c r="A75" s="0" t="str">
        <f aca="false">INDEX(Prioritization!$D:$D,MATCH($B75,Prioritization!$A:$A,0))</f>
        <v>INVALID</v>
      </c>
      <c r="B75" s="0" t="s">
        <v>206</v>
      </c>
      <c r="C75" s="0" t="s">
        <v>470</v>
      </c>
      <c r="D75" s="0" t="str">
        <f aca="false">B75&amp;"|"&amp;C75</f>
        <v>Likoma District [ZCjuwgaMB9u]|FSW</v>
      </c>
      <c r="E75" s="39"/>
      <c r="F75" s="39"/>
      <c r="G75" s="39"/>
      <c r="H75" s="10"/>
      <c r="I75" s="39"/>
      <c r="J75" s="10"/>
      <c r="K75" s="39"/>
      <c r="L75" s="10"/>
      <c r="M75" s="39"/>
      <c r="N75" s="10"/>
      <c r="O75" s="10"/>
      <c r="P75" s="10" t="str">
        <f aca="false">IF(MAX($N75,$O75)=0,"",MAX($N75,$O75))</f>
        <v/>
      </c>
      <c r="Q75" s="39" t="str">
        <f aca="false">IF(SUM($P75)=0,"",SUM($P75))</f>
        <v/>
      </c>
      <c r="R75" s="10"/>
      <c r="S75" s="10" t="str">
        <f aca="false">IF(SUM($F75)=0,"",SUM($R75)/$F75)</f>
        <v/>
      </c>
      <c r="T75" s="10"/>
      <c r="U75" s="88" t="n">
        <f aca="false">0.98</f>
        <v>0.98</v>
      </c>
      <c r="V75" s="88" t="n">
        <f aca="false">0.98</f>
        <v>0.98</v>
      </c>
      <c r="W75" s="10" t="str">
        <f aca="false">IF(SUM($P75,$Q75)=0,"",SUM($Q75)-SUM($P75))</f>
        <v/>
      </c>
      <c r="X75" s="10" t="str">
        <f aca="false">IFERROR(1/(1/ROUND((SUM($Q75)-(SUM($P75)*SUM($U75)))/$V75,0)),"")</f>
        <v/>
      </c>
      <c r="Y75" s="88" t="n">
        <f aca="false">1</f>
        <v>1</v>
      </c>
      <c r="Z75" s="39" t="str">
        <f aca="false">IFERROR(1/(1/ROUND(SUM($X75)*SUM($Y75),0)),"")</f>
        <v/>
      </c>
      <c r="AA75" s="88" t="n">
        <f aca="false">0.7</f>
        <v>0.7</v>
      </c>
      <c r="AB75" s="10" t="str">
        <f aca="false">IFERROR(1/(1/ROUND($P75+(SUM($X75)*$AA75),0)),"")</f>
        <v/>
      </c>
      <c r="AC75" s="88" t="n">
        <f aca="false">0.95</f>
        <v>0.95</v>
      </c>
      <c r="AD75" s="39" t="str">
        <f aca="false">IF(SUM($AB75)=0,"",ROUND($AB75*$AC75,0))</f>
        <v/>
      </c>
      <c r="AE75" s="88" t="n">
        <f aca="false">0.95</f>
        <v>0.95</v>
      </c>
      <c r="AF75" s="39" t="str">
        <f aca="false">IF(SUM($AD75)=0,"",ROUND($AD75*$AE75,0))</f>
        <v/>
      </c>
      <c r="AG75" s="10"/>
      <c r="AH75" s="10"/>
      <c r="AI75" s="88" t="n">
        <f aca="false">0.95</f>
        <v>0.95</v>
      </c>
      <c r="AJ75" s="88"/>
      <c r="AK75" s="39" t="str">
        <f aca="false">IF(SUM($Z75)=0,"",IF(AND(SUM($Z75)&gt;0,$AI75=""),"ENTER LINKAGE RATE",ROUND($Z75/$AI75,0)))</f>
        <v/>
      </c>
      <c r="AL75" s="39" t="str">
        <f aca="false">IF(SUM($AK75)=0,"",IF(AND($AK75&gt;0,$AJ75=""),"ENTER YIELD RATE",ROUND($AK75/$AJ75-$AK75,0)))</f>
        <v/>
      </c>
      <c r="AM75" s="88" t="n">
        <f aca="false">1</f>
        <v>1</v>
      </c>
      <c r="AN75" s="39" t="str">
        <f aca="false">IF(SUM($AK75)=0,"",ROUND($AK75*$AM75,0))</f>
        <v/>
      </c>
      <c r="AO75" s="10"/>
      <c r="AP75" s="39"/>
    </row>
    <row r="76" customFormat="false" ht="15" hidden="false" customHeight="false" outlineLevel="0" collapsed="false">
      <c r="A76" s="0" t="str">
        <f aca="false">INDEX(Prioritization!$D:$D,MATCH($B76,Prioritization!$A:$A,0))</f>
        <v>INVALID</v>
      </c>
      <c r="B76" s="0" t="s">
        <v>206</v>
      </c>
      <c r="C76" s="0" t="s">
        <v>471</v>
      </c>
      <c r="D76" s="0" t="str">
        <f aca="false">B76&amp;"|"&amp;C76</f>
        <v>Likoma District [ZCjuwgaMB9u]|MSM</v>
      </c>
      <c r="E76" s="39"/>
      <c r="F76" s="39"/>
      <c r="G76" s="39"/>
      <c r="H76" s="10"/>
      <c r="I76" s="39"/>
      <c r="J76" s="10"/>
      <c r="K76" s="39"/>
      <c r="L76" s="10"/>
      <c r="M76" s="39"/>
      <c r="N76" s="10"/>
      <c r="O76" s="10"/>
      <c r="P76" s="10" t="str">
        <f aca="false">IF(MAX($N76,$O76)=0,"",MAX($N76,$O76))</f>
        <v/>
      </c>
      <c r="Q76" s="39" t="str">
        <f aca="false">IF(SUM($P76)=0,"",SUM($P76))</f>
        <v/>
      </c>
      <c r="R76" s="10"/>
      <c r="S76" s="10" t="str">
        <f aca="false">IF(SUM($F76)=0,"",SUM($R76)/$F76)</f>
        <v/>
      </c>
      <c r="T76" s="10"/>
      <c r="U76" s="88" t="n">
        <f aca="false">0.98</f>
        <v>0.98</v>
      </c>
      <c r="V76" s="88" t="n">
        <f aca="false">0.98</f>
        <v>0.98</v>
      </c>
      <c r="W76" s="10" t="str">
        <f aca="false">IF(SUM($P76,$Q76)=0,"",SUM($Q76)-SUM($P76))</f>
        <v/>
      </c>
      <c r="X76" s="10" t="str">
        <f aca="false">IFERROR(1/(1/ROUND((SUM($Q76)-(SUM($P76)*SUM($U76)))/$V76,0)),"")</f>
        <v/>
      </c>
      <c r="Y76" s="88" t="n">
        <f aca="false">1</f>
        <v>1</v>
      </c>
      <c r="Z76" s="39" t="str">
        <f aca="false">IFERROR(1/(1/ROUND(SUM($X76)*SUM($Y76),0)),"")</f>
        <v/>
      </c>
      <c r="AA76" s="88" t="n">
        <f aca="false">0.7</f>
        <v>0.7</v>
      </c>
      <c r="AB76" s="10" t="str">
        <f aca="false">IFERROR(1/(1/ROUND($P76+(SUM($X76)*$AA76),0)),"")</f>
        <v/>
      </c>
      <c r="AC76" s="88" t="n">
        <f aca="false">0.95</f>
        <v>0.95</v>
      </c>
      <c r="AD76" s="39" t="str">
        <f aca="false">IF(SUM($AB76)=0,"",ROUND($AB76*$AC76,0))</f>
        <v/>
      </c>
      <c r="AE76" s="88" t="n">
        <f aca="false">0.95</f>
        <v>0.95</v>
      </c>
      <c r="AF76" s="39" t="str">
        <f aca="false">IF(SUM($AD76)=0,"",ROUND($AD76*$AE76,0))</f>
        <v/>
      </c>
      <c r="AG76" s="10"/>
      <c r="AH76" s="10"/>
      <c r="AI76" s="88" t="n">
        <f aca="false">0.95</f>
        <v>0.95</v>
      </c>
      <c r="AJ76" s="88"/>
      <c r="AK76" s="39" t="str">
        <f aca="false">IF(SUM($Z76)=0,"",IF(AND(SUM($Z76)&gt;0,$AI76=""),"ENTER LINKAGE RATE",ROUND($Z76/$AI76,0)))</f>
        <v/>
      </c>
      <c r="AL76" s="39" t="str">
        <f aca="false">IF(SUM($AK76)=0,"",IF(AND($AK76&gt;0,$AJ76=""),"ENTER YIELD RATE",ROUND($AK76/$AJ76-$AK76,0)))</f>
        <v/>
      </c>
      <c r="AM76" s="88" t="n">
        <f aca="false">1</f>
        <v>1</v>
      </c>
      <c r="AN76" s="39" t="str">
        <f aca="false">IF(SUM($AK76)=0,"",ROUND($AK76*$AM76,0))</f>
        <v/>
      </c>
      <c r="AO76" s="10"/>
      <c r="AP76" s="39"/>
    </row>
    <row r="77" customFormat="false" ht="15" hidden="false" customHeight="false" outlineLevel="0" collapsed="false">
      <c r="A77" s="0" t="str">
        <f aca="false">INDEX(Prioritization!$D:$D,MATCH($B77,Prioritization!$A:$A,0))</f>
        <v>INVALID</v>
      </c>
      <c r="B77" s="0" t="s">
        <v>206</v>
      </c>
      <c r="C77" s="0" t="s">
        <v>472</v>
      </c>
      <c r="D77" s="0" t="str">
        <f aca="false">B77&amp;"|"&amp;C77</f>
        <v>Likoma District [ZCjuwgaMB9u]|People in prisons and other enclosed settings</v>
      </c>
      <c r="E77" s="39"/>
      <c r="F77" s="39"/>
      <c r="G77" s="39"/>
      <c r="H77" s="10"/>
      <c r="I77" s="39"/>
      <c r="J77" s="10"/>
      <c r="K77" s="39"/>
      <c r="L77" s="10"/>
      <c r="M77" s="39"/>
      <c r="N77" s="10"/>
      <c r="O77" s="10"/>
      <c r="P77" s="10" t="str">
        <f aca="false">IF(MAX($N77,$O77)=0,"",MAX($N77,$O77))</f>
        <v/>
      </c>
      <c r="Q77" s="39" t="str">
        <f aca="false">IF(SUM($P77)=0,"",SUM($P77))</f>
        <v/>
      </c>
      <c r="R77" s="10"/>
      <c r="S77" s="10" t="str">
        <f aca="false">IF(SUM($F77)=0,"",SUM($R77)/$F77)</f>
        <v/>
      </c>
      <c r="T77" s="10"/>
      <c r="U77" s="88" t="n">
        <f aca="false">0.98</f>
        <v>0.98</v>
      </c>
      <c r="V77" s="88" t="n">
        <f aca="false">0.98</f>
        <v>0.98</v>
      </c>
      <c r="W77" s="10" t="str">
        <f aca="false">IF(SUM($P77,$Q77)=0,"",SUM($Q77)-SUM($P77))</f>
        <v/>
      </c>
      <c r="X77" s="10" t="str">
        <f aca="false">IFERROR(1/(1/ROUND((SUM($Q77)-(SUM($P77)*SUM($U77)))/$V77,0)),"")</f>
        <v/>
      </c>
      <c r="Y77" s="88" t="n">
        <f aca="false">1</f>
        <v>1</v>
      </c>
      <c r="Z77" s="39" t="str">
        <f aca="false">IFERROR(1/(1/ROUND(SUM($X77)*SUM($Y77),0)),"")</f>
        <v/>
      </c>
      <c r="AA77" s="88" t="n">
        <f aca="false">0.7</f>
        <v>0.7</v>
      </c>
      <c r="AB77" s="10" t="str">
        <f aca="false">IFERROR(1/(1/ROUND($P77+(SUM($X77)*$AA77),0)),"")</f>
        <v/>
      </c>
      <c r="AC77" s="88" t="n">
        <f aca="false">0.95</f>
        <v>0.95</v>
      </c>
      <c r="AD77" s="39" t="str">
        <f aca="false">IF(SUM($AB77)=0,"",ROUND($AB77*$AC77,0))</f>
        <v/>
      </c>
      <c r="AE77" s="88" t="n">
        <f aca="false">0.95</f>
        <v>0.95</v>
      </c>
      <c r="AF77" s="39" t="str">
        <f aca="false">IF(SUM($AD77)=0,"",ROUND($AD77*$AE77,0))</f>
        <v/>
      </c>
      <c r="AG77" s="10"/>
      <c r="AH77" s="10"/>
      <c r="AI77" s="88" t="n">
        <f aca="false">0.95</f>
        <v>0.95</v>
      </c>
      <c r="AJ77" s="88"/>
      <c r="AK77" s="39" t="str">
        <f aca="false">IF(SUM($Z77)=0,"",IF(AND(SUM($Z77)&gt;0,$AI77=""),"ENTER LINKAGE RATE",ROUND($Z77/$AI77,0)))</f>
        <v/>
      </c>
      <c r="AL77" s="39" t="str">
        <f aca="false">IF(SUM($AK77)=0,"",IF(AND($AK77&gt;0,$AJ77=""),"ENTER YIELD RATE",ROUND($AK77/$AJ77-$AK77,0)))</f>
        <v/>
      </c>
      <c r="AM77" s="88" t="n">
        <f aca="false">1</f>
        <v>1</v>
      </c>
      <c r="AN77" s="39" t="str">
        <f aca="false">IF(SUM($AK77)=0,"",ROUND($AK77*$AM77,0))</f>
        <v/>
      </c>
      <c r="AO77" s="10"/>
      <c r="AP77" s="39"/>
    </row>
    <row r="78" customFormat="false" ht="15" hidden="false" customHeight="false" outlineLevel="0" collapsed="false">
      <c r="A78" s="0" t="str">
        <f aca="false">INDEX(Prioritization!$D:$D,MATCH($B78,Prioritization!$A:$A,0))</f>
        <v>INVALID</v>
      </c>
      <c r="B78" s="0" t="s">
        <v>206</v>
      </c>
      <c r="C78" s="0" t="s">
        <v>473</v>
      </c>
      <c r="D78" s="0" t="str">
        <f aca="false">B78&amp;"|"&amp;C78</f>
        <v>Likoma District [ZCjuwgaMB9u]|PWID</v>
      </c>
      <c r="E78" s="39"/>
      <c r="F78" s="39"/>
      <c r="G78" s="39"/>
      <c r="H78" s="10"/>
      <c r="I78" s="39"/>
      <c r="J78" s="10"/>
      <c r="K78" s="39"/>
      <c r="L78" s="10"/>
      <c r="M78" s="39"/>
      <c r="N78" s="10"/>
      <c r="O78" s="10"/>
      <c r="P78" s="10" t="str">
        <f aca="false">IF(MAX($N78,$O78)=0,"",MAX($N78,$O78))</f>
        <v/>
      </c>
      <c r="Q78" s="39" t="str">
        <f aca="false">IF(SUM($P78)=0,"",SUM($P78))</f>
        <v/>
      </c>
      <c r="R78" s="10"/>
      <c r="S78" s="10" t="str">
        <f aca="false">IF(SUM($F78)=0,"",SUM($R78)/$F78)</f>
        <v/>
      </c>
      <c r="T78" s="10"/>
      <c r="U78" s="88" t="n">
        <f aca="false">0.98</f>
        <v>0.98</v>
      </c>
      <c r="V78" s="88" t="n">
        <f aca="false">0.98</f>
        <v>0.98</v>
      </c>
      <c r="W78" s="10" t="str">
        <f aca="false">IF(SUM($P78,$Q78)=0,"",SUM($Q78)-SUM($P78))</f>
        <v/>
      </c>
      <c r="X78" s="10" t="str">
        <f aca="false">IFERROR(1/(1/ROUND((SUM($Q78)-(SUM($P78)*SUM($U78)))/$V78,0)),"")</f>
        <v/>
      </c>
      <c r="Y78" s="88" t="n">
        <f aca="false">1</f>
        <v>1</v>
      </c>
      <c r="Z78" s="39" t="str">
        <f aca="false">IFERROR(1/(1/ROUND(SUM($X78)*SUM($Y78),0)),"")</f>
        <v/>
      </c>
      <c r="AA78" s="88" t="n">
        <f aca="false">0.7</f>
        <v>0.7</v>
      </c>
      <c r="AB78" s="10" t="str">
        <f aca="false">IFERROR(1/(1/ROUND($P78+(SUM($X78)*$AA78),0)),"")</f>
        <v/>
      </c>
      <c r="AC78" s="88" t="n">
        <f aca="false">0.95</f>
        <v>0.95</v>
      </c>
      <c r="AD78" s="39" t="str">
        <f aca="false">IF(SUM($AB78)=0,"",ROUND($AB78*$AC78,0))</f>
        <v/>
      </c>
      <c r="AE78" s="88" t="n">
        <f aca="false">0.95</f>
        <v>0.95</v>
      </c>
      <c r="AF78" s="39" t="str">
        <f aca="false">IF(SUM($AD78)=0,"",ROUND($AD78*$AE78,0))</f>
        <v/>
      </c>
      <c r="AG78" s="10"/>
      <c r="AH78" s="10"/>
      <c r="AI78" s="88" t="n">
        <f aca="false">0.95</f>
        <v>0.95</v>
      </c>
      <c r="AJ78" s="88"/>
      <c r="AK78" s="39" t="str">
        <f aca="false">IF(SUM($Z78)=0,"",IF(AND(SUM($Z78)&gt;0,$AI78=""),"ENTER LINKAGE RATE",ROUND($Z78/$AI78,0)))</f>
        <v/>
      </c>
      <c r="AL78" s="39" t="str">
        <f aca="false">IF(SUM($AK78)=0,"",IF(AND($AK78&gt;0,$AJ78=""),"ENTER YIELD RATE",ROUND($AK78/$AJ78-$AK78,0)))</f>
        <v/>
      </c>
      <c r="AM78" s="88" t="n">
        <f aca="false">1</f>
        <v>1</v>
      </c>
      <c r="AN78" s="39" t="str">
        <f aca="false">IF(SUM($AK78)=0,"",ROUND($AK78*$AM78,0))</f>
        <v/>
      </c>
      <c r="AO78" s="10"/>
      <c r="AP78" s="39"/>
    </row>
    <row r="79" customFormat="false" ht="15" hidden="false" customHeight="false" outlineLevel="0" collapsed="false">
      <c r="A79" s="0" t="str">
        <f aca="false">INDEX(Prioritization!$D:$D,MATCH($B79,Prioritization!$A:$A,0))</f>
        <v>INVALID</v>
      </c>
      <c r="B79" s="0" t="s">
        <v>206</v>
      </c>
      <c r="C79" s="0" t="s">
        <v>474</v>
      </c>
      <c r="D79" s="0" t="str">
        <f aca="false">B79&amp;"|"&amp;C79</f>
        <v>Likoma District [ZCjuwgaMB9u]|TG</v>
      </c>
      <c r="E79" s="39"/>
      <c r="F79" s="39"/>
      <c r="G79" s="39"/>
      <c r="H79" s="10"/>
      <c r="I79" s="39"/>
      <c r="J79" s="10"/>
      <c r="K79" s="39"/>
      <c r="L79" s="10"/>
      <c r="M79" s="39"/>
      <c r="N79" s="10"/>
      <c r="O79" s="10"/>
      <c r="P79" s="10" t="str">
        <f aca="false">IF(MAX($N79,$O79)=0,"",MAX($N79,$O79))</f>
        <v/>
      </c>
      <c r="Q79" s="39" t="str">
        <f aca="false">IF(SUM($P79)=0,"",SUM($P79))</f>
        <v/>
      </c>
      <c r="R79" s="10"/>
      <c r="S79" s="10" t="str">
        <f aca="false">IF(SUM($F79)=0,"",SUM($R79)/$F79)</f>
        <v/>
      </c>
      <c r="T79" s="10"/>
      <c r="U79" s="88" t="n">
        <f aca="false">0.98</f>
        <v>0.98</v>
      </c>
      <c r="V79" s="88" t="n">
        <f aca="false">0.98</f>
        <v>0.98</v>
      </c>
      <c r="W79" s="10" t="str">
        <f aca="false">IF(SUM($P79,$Q79)=0,"",SUM($Q79)-SUM($P79))</f>
        <v/>
      </c>
      <c r="X79" s="10" t="str">
        <f aca="false">IFERROR(1/(1/ROUND((SUM($Q79)-(SUM($P79)*SUM($U79)))/$V79,0)),"")</f>
        <v/>
      </c>
      <c r="Y79" s="88" t="n">
        <f aca="false">1</f>
        <v>1</v>
      </c>
      <c r="Z79" s="39" t="str">
        <f aca="false">IFERROR(1/(1/ROUND(SUM($X79)*SUM($Y79),0)),"")</f>
        <v/>
      </c>
      <c r="AA79" s="88" t="n">
        <f aca="false">0.7</f>
        <v>0.7</v>
      </c>
      <c r="AB79" s="10" t="str">
        <f aca="false">IFERROR(1/(1/ROUND($P79+(SUM($X79)*$AA79),0)),"")</f>
        <v/>
      </c>
      <c r="AC79" s="88" t="n">
        <f aca="false">0.95</f>
        <v>0.95</v>
      </c>
      <c r="AD79" s="39" t="str">
        <f aca="false">IF(SUM($AB79)=0,"",ROUND($AB79*$AC79,0))</f>
        <v/>
      </c>
      <c r="AE79" s="88" t="n">
        <f aca="false">0.95</f>
        <v>0.95</v>
      </c>
      <c r="AF79" s="39" t="str">
        <f aca="false">IF(SUM($AD79)=0,"",ROUND($AD79*$AE79,0))</f>
        <v/>
      </c>
      <c r="AG79" s="10"/>
      <c r="AH79" s="10"/>
      <c r="AI79" s="88" t="n">
        <f aca="false">0.95</f>
        <v>0.95</v>
      </c>
      <c r="AJ79" s="88"/>
      <c r="AK79" s="39" t="str">
        <f aca="false">IF(SUM($Z79)=0,"",IF(AND(SUM($Z79)&gt;0,$AI79=""),"ENTER LINKAGE RATE",ROUND($Z79/$AI79,0)))</f>
        <v/>
      </c>
      <c r="AL79" s="39" t="str">
        <f aca="false">IF(SUM($AK79)=0,"",IF(AND($AK79&gt;0,$AJ79=""),"ENTER YIELD RATE",ROUND($AK79/$AJ79-$AK79,0)))</f>
        <v/>
      </c>
      <c r="AM79" s="88" t="n">
        <f aca="false">1</f>
        <v>1</v>
      </c>
      <c r="AN79" s="39" t="str">
        <f aca="false">IF(SUM($AK79)=0,"",ROUND($AK79*$AM79,0))</f>
        <v/>
      </c>
      <c r="AO79" s="10"/>
      <c r="AP79" s="39"/>
    </row>
    <row r="80" customFormat="false" ht="15" hidden="false" customHeight="false" outlineLevel="0" collapsed="false">
      <c r="A80" s="0" t="str">
        <f aca="false">INDEX(Prioritization!$D:$D,MATCH($B80,Prioritization!$A:$A,0))</f>
        <v>1 - Scale-up: Saturation</v>
      </c>
      <c r="B80" s="0" t="s">
        <v>207</v>
      </c>
      <c r="C80" s="0" t="s">
        <v>470</v>
      </c>
      <c r="D80" s="0" t="str">
        <f aca="false">B80&amp;"|"&amp;C80</f>
        <v>Mzimba District [vA4NcHxfMBq]|FSW</v>
      </c>
      <c r="E80" s="39"/>
      <c r="F80" s="39"/>
      <c r="G80" s="39"/>
      <c r="H80" s="10"/>
      <c r="I80" s="39"/>
      <c r="J80" s="10" t="n">
        <v>37</v>
      </c>
      <c r="K80" s="39"/>
      <c r="L80" s="10" t="n">
        <v>161</v>
      </c>
      <c r="M80" s="39"/>
      <c r="N80" s="10" t="n">
        <v>70</v>
      </c>
      <c r="O80" s="10" t="n">
        <v>20</v>
      </c>
      <c r="P80" s="10" t="n">
        <f aca="false">IF(MAX($N80,$O80)=0,"",MAX($N80,$O80))</f>
        <v>70</v>
      </c>
      <c r="Q80" s="39" t="n">
        <f aca="false">IF(SUM($P80)=0,"",SUM($P80))</f>
        <v>70</v>
      </c>
      <c r="R80" s="10"/>
      <c r="S80" s="10" t="str">
        <f aca="false">IF(SUM($F80)=0,"",SUM($R80)/$F80)</f>
        <v/>
      </c>
      <c r="T80" s="10" t="n">
        <v>6</v>
      </c>
      <c r="U80" s="88" t="n">
        <f aca="false">0.98</f>
        <v>0.98</v>
      </c>
      <c r="V80" s="88" t="n">
        <f aca="false">0.98</f>
        <v>0.98</v>
      </c>
      <c r="W80" s="10" t="n">
        <f aca="false">IF(SUM($P80,$Q80)=0,"",SUM($Q80)-SUM($P80))</f>
        <v>0</v>
      </c>
      <c r="X80" s="10" t="n">
        <f aca="false">IFERROR(1/(1/ROUND((SUM($Q80)-(SUM($P80)*SUM($U80)))/$V80,0)),"")</f>
        <v>1</v>
      </c>
      <c r="Y80" s="88" t="n">
        <f aca="false">1</f>
        <v>1</v>
      </c>
      <c r="Z80" s="39" t="n">
        <f aca="false">IFERROR(1/(1/ROUND(SUM($X80)*SUM($Y80),0)),"")</f>
        <v>1</v>
      </c>
      <c r="AA80" s="88" t="n">
        <f aca="false">0.7</f>
        <v>0.7</v>
      </c>
      <c r="AB80" s="10" t="n">
        <f aca="false">IFERROR(1/(1/ROUND($P80+(SUM($X80)*$AA80),0)),"")</f>
        <v>71</v>
      </c>
      <c r="AC80" s="88" t="n">
        <f aca="false">0.95</f>
        <v>0.95</v>
      </c>
      <c r="AD80" s="39" t="n">
        <f aca="false">IF(SUM($AB80)=0,"",ROUND($AB80*$AC80,0))</f>
        <v>67</v>
      </c>
      <c r="AE80" s="88" t="n">
        <f aca="false">0.95</f>
        <v>0.95</v>
      </c>
      <c r="AF80" s="39" t="n">
        <f aca="false">IF(SUM($AD80)=0,"",ROUND($AD80*$AE80,0))</f>
        <v>64</v>
      </c>
      <c r="AG80" s="10" t="n">
        <v>7</v>
      </c>
      <c r="AH80" s="10" t="n">
        <v>0</v>
      </c>
      <c r="AI80" s="88" t="n">
        <f aca="false">0.95</f>
        <v>0.95</v>
      </c>
      <c r="AJ80" s="88"/>
      <c r="AK80" s="39" t="n">
        <f aca="false">IF(SUM($Z80)=0,"",IF(AND(SUM($Z80)&gt;0,$AI80=""),"ENTER LINKAGE RATE",ROUND($Z80/$AI80,0)))</f>
        <v>1</v>
      </c>
      <c r="AL80" s="39" t="str">
        <f aca="false">IF(SUM($AK80)=0,"",IF(AND($AK80&gt;0,$AJ80=""),"ENTER YIELD RATE",ROUND($AK80/$AJ80-$AK80,0)))</f>
        <v>ENTER YIELD RATE</v>
      </c>
      <c r="AM80" s="88" t="n">
        <f aca="false">1</f>
        <v>1</v>
      </c>
      <c r="AN80" s="39" t="n">
        <f aca="false">IF(SUM($AK80)=0,"",ROUND($AK80*$AM80,0))</f>
        <v>1</v>
      </c>
      <c r="AO80" s="10" t="n">
        <v>544</v>
      </c>
      <c r="AP80" s="39"/>
    </row>
    <row r="81" customFormat="false" ht="15" hidden="false" customHeight="false" outlineLevel="0" collapsed="false">
      <c r="A81" s="0" t="str">
        <f aca="false">INDEX(Prioritization!$D:$D,MATCH($B81,Prioritization!$A:$A,0))</f>
        <v>1 - Scale-up: Saturation</v>
      </c>
      <c r="B81" s="0" t="s">
        <v>207</v>
      </c>
      <c r="C81" s="0" t="s">
        <v>471</v>
      </c>
      <c r="D81" s="0" t="str">
        <f aca="false">B81&amp;"|"&amp;C81</f>
        <v>Mzimba District [vA4NcHxfMBq]|MSM</v>
      </c>
      <c r="E81" s="39"/>
      <c r="F81" s="39"/>
      <c r="G81" s="39"/>
      <c r="H81" s="10"/>
      <c r="I81" s="39"/>
      <c r="J81" s="10" t="n">
        <v>97</v>
      </c>
      <c r="K81" s="39"/>
      <c r="L81" s="10" t="n">
        <v>12</v>
      </c>
      <c r="M81" s="39"/>
      <c r="N81" s="10" t="n">
        <v>71</v>
      </c>
      <c r="O81" s="10" t="n">
        <v>77</v>
      </c>
      <c r="P81" s="10" t="n">
        <f aca="false">IF(MAX($N81,$O81)=0,"",MAX($N81,$O81))</f>
        <v>77</v>
      </c>
      <c r="Q81" s="39" t="n">
        <f aca="false">IF(SUM($P81)=0,"",SUM($P81))</f>
        <v>77</v>
      </c>
      <c r="R81" s="10"/>
      <c r="S81" s="10" t="str">
        <f aca="false">IF(SUM($F81)=0,"",SUM($R81)/$F81)</f>
        <v/>
      </c>
      <c r="T81" s="10" t="n">
        <v>2</v>
      </c>
      <c r="U81" s="88" t="n">
        <f aca="false">0.98</f>
        <v>0.98</v>
      </c>
      <c r="V81" s="88" t="n">
        <f aca="false">0.98</f>
        <v>0.98</v>
      </c>
      <c r="W81" s="10" t="n">
        <f aca="false">IF(SUM($P81,$Q81)=0,"",SUM($Q81)-SUM($P81))</f>
        <v>0</v>
      </c>
      <c r="X81" s="10" t="n">
        <f aca="false">IFERROR(1/(1/ROUND((SUM($Q81)-(SUM($P81)*SUM($U81)))/$V81,0)),"")</f>
        <v>2</v>
      </c>
      <c r="Y81" s="88" t="n">
        <f aca="false">1</f>
        <v>1</v>
      </c>
      <c r="Z81" s="39" t="n">
        <f aca="false">IFERROR(1/(1/ROUND(SUM($X81)*SUM($Y81),0)),"")</f>
        <v>2</v>
      </c>
      <c r="AA81" s="88" t="n">
        <f aca="false">0.7</f>
        <v>0.7</v>
      </c>
      <c r="AB81" s="10" t="n">
        <f aca="false">IFERROR(1/(1/ROUND($P81+(SUM($X81)*$AA81),0)),"")</f>
        <v>78</v>
      </c>
      <c r="AC81" s="88" t="n">
        <f aca="false">0.95</f>
        <v>0.95</v>
      </c>
      <c r="AD81" s="39" t="n">
        <f aca="false">IF(SUM($AB81)=0,"",ROUND($AB81*$AC81,0))</f>
        <v>74</v>
      </c>
      <c r="AE81" s="88" t="n">
        <f aca="false">0.95</f>
        <v>0.95</v>
      </c>
      <c r="AF81" s="39" t="n">
        <f aca="false">IF(SUM($AD81)=0,"",ROUND($AD81*$AE81,0))</f>
        <v>70</v>
      </c>
      <c r="AG81" s="10" t="n">
        <v>8</v>
      </c>
      <c r="AH81" s="10" t="n">
        <v>0</v>
      </c>
      <c r="AI81" s="88" t="n">
        <f aca="false">0.95</f>
        <v>0.95</v>
      </c>
      <c r="AJ81" s="88"/>
      <c r="AK81" s="39" t="n">
        <f aca="false">IF(SUM($Z81)=0,"",IF(AND(SUM($Z81)&gt;0,$AI81=""),"ENTER LINKAGE RATE",ROUND($Z81/$AI81,0)))</f>
        <v>2</v>
      </c>
      <c r="AL81" s="39" t="str">
        <f aca="false">IF(SUM($AK81)=0,"",IF(AND($AK81&gt;0,$AJ81=""),"ENTER YIELD RATE",ROUND($AK81/$AJ81-$AK81,0)))</f>
        <v>ENTER YIELD RATE</v>
      </c>
      <c r="AM81" s="88" t="n">
        <f aca="false">1</f>
        <v>1</v>
      </c>
      <c r="AN81" s="39" t="n">
        <f aca="false">IF(SUM($AK81)=0,"",ROUND($AK81*$AM81,0))</f>
        <v>2</v>
      </c>
      <c r="AO81" s="10" t="n">
        <v>86</v>
      </c>
      <c r="AP81" s="39"/>
    </row>
    <row r="82" customFormat="false" ht="15" hidden="false" customHeight="false" outlineLevel="0" collapsed="false">
      <c r="A82" s="0" t="str">
        <f aca="false">INDEX(Prioritization!$D:$D,MATCH($B82,Prioritization!$A:$A,0))</f>
        <v>1 - Scale-up: Saturation</v>
      </c>
      <c r="B82" s="0" t="s">
        <v>207</v>
      </c>
      <c r="C82" s="0" t="s">
        <v>472</v>
      </c>
      <c r="D82" s="0" t="str">
        <f aca="false">B82&amp;"|"&amp;C82</f>
        <v>Mzimba District [vA4NcHxfMBq]|People in prisons and other enclosed settings</v>
      </c>
      <c r="E82" s="39"/>
      <c r="F82" s="39"/>
      <c r="G82" s="39"/>
      <c r="H82" s="10"/>
      <c r="I82" s="39"/>
      <c r="J82" s="10"/>
      <c r="K82" s="39"/>
      <c r="L82" s="10" t="n">
        <v>745</v>
      </c>
      <c r="M82" s="39"/>
      <c r="N82" s="10" t="n">
        <v>22</v>
      </c>
      <c r="O82" s="10" t="n">
        <v>86</v>
      </c>
      <c r="P82" s="10" t="n">
        <f aca="false">IF(MAX($N82,$O82)=0,"",MAX($N82,$O82))</f>
        <v>86</v>
      </c>
      <c r="Q82" s="39" t="n">
        <f aca="false">IF(SUM($P82)=0,"",SUM($P82))</f>
        <v>86</v>
      </c>
      <c r="R82" s="10"/>
      <c r="S82" s="10" t="str">
        <f aca="false">IF(SUM($F82)=0,"",SUM($R82)/$F82)</f>
        <v/>
      </c>
      <c r="T82" s="10" t="n">
        <v>5</v>
      </c>
      <c r="U82" s="88" t="n">
        <f aca="false">0.98</f>
        <v>0.98</v>
      </c>
      <c r="V82" s="88" t="n">
        <f aca="false">0.98</f>
        <v>0.98</v>
      </c>
      <c r="W82" s="10" t="n">
        <f aca="false">IF(SUM($P82,$Q82)=0,"",SUM($Q82)-SUM($P82))</f>
        <v>0</v>
      </c>
      <c r="X82" s="10" t="n">
        <f aca="false">IFERROR(1/(1/ROUND((SUM($Q82)-(SUM($P82)*SUM($U82)))/$V82,0)),"")</f>
        <v>2</v>
      </c>
      <c r="Y82" s="88" t="n">
        <f aca="false">1</f>
        <v>1</v>
      </c>
      <c r="Z82" s="39" t="n">
        <f aca="false">IFERROR(1/(1/ROUND(SUM($X82)*SUM($Y82),0)),"")</f>
        <v>2</v>
      </c>
      <c r="AA82" s="88" t="n">
        <f aca="false">0.7</f>
        <v>0.7</v>
      </c>
      <c r="AB82" s="10" t="n">
        <f aca="false">IFERROR(1/(1/ROUND($P82+(SUM($X82)*$AA82),0)),"")</f>
        <v>87</v>
      </c>
      <c r="AC82" s="88" t="n">
        <f aca="false">0.95</f>
        <v>0.95</v>
      </c>
      <c r="AD82" s="39" t="n">
        <f aca="false">IF(SUM($AB82)=0,"",ROUND($AB82*$AC82,0))</f>
        <v>83</v>
      </c>
      <c r="AE82" s="88" t="n">
        <f aca="false">0.95</f>
        <v>0.95</v>
      </c>
      <c r="AF82" s="39" t="n">
        <f aca="false">IF(SUM($AD82)=0,"",ROUND($AD82*$AE82,0))</f>
        <v>79</v>
      </c>
      <c r="AG82" s="10" t="n">
        <v>8</v>
      </c>
      <c r="AH82" s="10" t="n">
        <v>1</v>
      </c>
      <c r="AI82" s="88" t="n">
        <f aca="false">0.95</f>
        <v>0.95</v>
      </c>
      <c r="AJ82" s="88"/>
      <c r="AK82" s="39" t="n">
        <f aca="false">IF(SUM($Z82)=0,"",IF(AND(SUM($Z82)&gt;0,$AI82=""),"ENTER LINKAGE RATE",ROUND($Z82/$AI82,0)))</f>
        <v>2</v>
      </c>
      <c r="AL82" s="39" t="str">
        <f aca="false">IF(SUM($AK82)=0,"",IF(AND($AK82&gt;0,$AJ82=""),"ENTER YIELD RATE",ROUND($AK82/$AJ82-$AK82,0)))</f>
        <v>ENTER YIELD RATE</v>
      </c>
      <c r="AM82" s="88" t="n">
        <f aca="false">1</f>
        <v>1</v>
      </c>
      <c r="AN82" s="39" t="n">
        <f aca="false">IF(SUM($AK82)=0,"",ROUND($AK82*$AM82,0))</f>
        <v>2</v>
      </c>
      <c r="AO82" s="10" t="n">
        <v>543</v>
      </c>
      <c r="AP82" s="39"/>
    </row>
    <row r="83" customFormat="false" ht="15" hidden="false" customHeight="false" outlineLevel="0" collapsed="false">
      <c r="A83" s="0" t="str">
        <f aca="false">INDEX(Prioritization!$D:$D,MATCH($B83,Prioritization!$A:$A,0))</f>
        <v>1 - Scale-up: Saturation</v>
      </c>
      <c r="B83" s="0" t="s">
        <v>207</v>
      </c>
      <c r="C83" s="0" t="s">
        <v>473</v>
      </c>
      <c r="D83" s="0" t="str">
        <f aca="false">B83&amp;"|"&amp;C83</f>
        <v>Mzimba District [vA4NcHxfMBq]|PWID</v>
      </c>
      <c r="E83" s="39"/>
      <c r="F83" s="39"/>
      <c r="G83" s="39"/>
      <c r="H83" s="10"/>
      <c r="I83" s="39"/>
      <c r="J83" s="10"/>
      <c r="K83" s="39"/>
      <c r="L83" s="10"/>
      <c r="M83" s="39"/>
      <c r="N83" s="10"/>
      <c r="O83" s="10"/>
      <c r="P83" s="10" t="str">
        <f aca="false">IF(MAX($N83,$O83)=0,"",MAX($N83,$O83))</f>
        <v/>
      </c>
      <c r="Q83" s="39" t="str">
        <f aca="false">IF(SUM($P83)=0,"",SUM($P83))</f>
        <v/>
      </c>
      <c r="R83" s="10"/>
      <c r="S83" s="10" t="str">
        <f aca="false">IF(SUM($F83)=0,"",SUM($R83)/$F83)</f>
        <v/>
      </c>
      <c r="T83" s="10"/>
      <c r="U83" s="88" t="n">
        <f aca="false">0.98</f>
        <v>0.98</v>
      </c>
      <c r="V83" s="88" t="n">
        <f aca="false">0.98</f>
        <v>0.98</v>
      </c>
      <c r="W83" s="10" t="str">
        <f aca="false">IF(SUM($P83,$Q83)=0,"",SUM($Q83)-SUM($P83))</f>
        <v/>
      </c>
      <c r="X83" s="10" t="str">
        <f aca="false">IFERROR(1/(1/ROUND((SUM($Q83)-(SUM($P83)*SUM($U83)))/$V83,0)),"")</f>
        <v/>
      </c>
      <c r="Y83" s="88" t="n">
        <f aca="false">1</f>
        <v>1</v>
      </c>
      <c r="Z83" s="39" t="str">
        <f aca="false">IFERROR(1/(1/ROUND(SUM($X83)*SUM($Y83),0)),"")</f>
        <v/>
      </c>
      <c r="AA83" s="88" t="n">
        <f aca="false">0.7</f>
        <v>0.7</v>
      </c>
      <c r="AB83" s="10" t="str">
        <f aca="false">IFERROR(1/(1/ROUND($P83+(SUM($X83)*$AA83),0)),"")</f>
        <v/>
      </c>
      <c r="AC83" s="88" t="n">
        <f aca="false">0.95</f>
        <v>0.95</v>
      </c>
      <c r="AD83" s="39" t="str">
        <f aca="false">IF(SUM($AB83)=0,"",ROUND($AB83*$AC83,0))</f>
        <v/>
      </c>
      <c r="AE83" s="88" t="n">
        <f aca="false">0.95</f>
        <v>0.95</v>
      </c>
      <c r="AF83" s="39" t="str">
        <f aca="false">IF(SUM($AD83)=0,"",ROUND($AD83*$AE83,0))</f>
        <v/>
      </c>
      <c r="AG83" s="10"/>
      <c r="AH83" s="10"/>
      <c r="AI83" s="88" t="n">
        <f aca="false">0.95</f>
        <v>0.95</v>
      </c>
      <c r="AJ83" s="88"/>
      <c r="AK83" s="39" t="str">
        <f aca="false">IF(SUM($Z83)=0,"",IF(AND(SUM($Z83)&gt;0,$AI83=""),"ENTER LINKAGE RATE",ROUND($Z83/$AI83,0)))</f>
        <v/>
      </c>
      <c r="AL83" s="39" t="str">
        <f aca="false">IF(SUM($AK83)=0,"",IF(AND($AK83&gt;0,$AJ83=""),"ENTER YIELD RATE",ROUND($AK83/$AJ83-$AK83,0)))</f>
        <v/>
      </c>
      <c r="AM83" s="88" t="n">
        <f aca="false">1</f>
        <v>1</v>
      </c>
      <c r="AN83" s="39" t="str">
        <f aca="false">IF(SUM($AK83)=0,"",ROUND($AK83*$AM83,0))</f>
        <v/>
      </c>
      <c r="AO83" s="10"/>
      <c r="AP83" s="39"/>
    </row>
    <row r="84" customFormat="false" ht="15" hidden="false" customHeight="false" outlineLevel="0" collapsed="false">
      <c r="A84" s="0" t="str">
        <f aca="false">INDEX(Prioritization!$D:$D,MATCH($B84,Prioritization!$A:$A,0))</f>
        <v>1 - Scale-up: Saturation</v>
      </c>
      <c r="B84" s="0" t="s">
        <v>207</v>
      </c>
      <c r="C84" s="0" t="s">
        <v>474</v>
      </c>
      <c r="D84" s="0" t="str">
        <f aca="false">B84&amp;"|"&amp;C84</f>
        <v>Mzimba District [vA4NcHxfMBq]|TG</v>
      </c>
      <c r="E84" s="39"/>
      <c r="F84" s="39"/>
      <c r="G84" s="39"/>
      <c r="H84" s="10"/>
      <c r="I84" s="39"/>
      <c r="J84" s="10"/>
      <c r="K84" s="39"/>
      <c r="L84" s="10" t="n">
        <v>4</v>
      </c>
      <c r="M84" s="39"/>
      <c r="N84" s="10" t="n">
        <v>1</v>
      </c>
      <c r="O84" s="10" t="n">
        <v>6</v>
      </c>
      <c r="P84" s="10" t="n">
        <f aca="false">IF(MAX($N84,$O84)=0,"",MAX($N84,$O84))</f>
        <v>6</v>
      </c>
      <c r="Q84" s="39" t="n">
        <f aca="false">IF(SUM($P84)=0,"",SUM($P84))</f>
        <v>6</v>
      </c>
      <c r="R84" s="10"/>
      <c r="S84" s="10" t="str">
        <f aca="false">IF(SUM($F84)=0,"",SUM($R84)/$F84)</f>
        <v/>
      </c>
      <c r="T84" s="10" t="n">
        <v>4</v>
      </c>
      <c r="U84" s="88" t="n">
        <f aca="false">0.98</f>
        <v>0.98</v>
      </c>
      <c r="V84" s="88" t="n">
        <f aca="false">0.98</f>
        <v>0.98</v>
      </c>
      <c r="W84" s="10" t="n">
        <f aca="false">IF(SUM($P84,$Q84)=0,"",SUM($Q84)-SUM($P84))</f>
        <v>0</v>
      </c>
      <c r="X84" s="10" t="str">
        <f aca="false">IFERROR(1/(1/ROUND((SUM($Q84)-(SUM($P84)*SUM($U84)))/$V84,0)),"")</f>
        <v/>
      </c>
      <c r="Y84" s="88" t="n">
        <f aca="false">1</f>
        <v>1</v>
      </c>
      <c r="Z84" s="39" t="str">
        <f aca="false">IFERROR(1/(1/ROUND(SUM($X84)*SUM($Y84),0)),"")</f>
        <v/>
      </c>
      <c r="AA84" s="88" t="n">
        <f aca="false">0.7</f>
        <v>0.7</v>
      </c>
      <c r="AB84" s="10" t="n">
        <f aca="false">IFERROR(1/(1/ROUND($P84+(SUM($X84)*$AA84),0)),"")</f>
        <v>6</v>
      </c>
      <c r="AC84" s="88" t="n">
        <f aca="false">0.95</f>
        <v>0.95</v>
      </c>
      <c r="AD84" s="39" t="n">
        <f aca="false">IF(SUM($AB84)=0,"",ROUND($AB84*$AC84,0))</f>
        <v>6</v>
      </c>
      <c r="AE84" s="88" t="n">
        <f aca="false">0.95</f>
        <v>0.95</v>
      </c>
      <c r="AF84" s="39" t="n">
        <f aca="false">IF(SUM($AD84)=0,"",ROUND($AD84*$AE84,0))</f>
        <v>6</v>
      </c>
      <c r="AG84" s="10" t="n">
        <v>8</v>
      </c>
      <c r="AH84" s="10" t="n">
        <v>1</v>
      </c>
      <c r="AI84" s="88" t="n">
        <f aca="false">0.95</f>
        <v>0.95</v>
      </c>
      <c r="AJ84" s="88"/>
      <c r="AK84" s="39" t="str">
        <f aca="false">IF(SUM($Z84)=0,"",IF(AND(SUM($Z84)&gt;0,$AI84=""),"ENTER LINKAGE RATE",ROUND($Z84/$AI84,0)))</f>
        <v/>
      </c>
      <c r="AL84" s="39" t="str">
        <f aca="false">IF(SUM($AK84)=0,"",IF(AND($AK84&gt;0,$AJ84=""),"ENTER YIELD RATE",ROUND($AK84/$AJ84-$AK84,0)))</f>
        <v/>
      </c>
      <c r="AM84" s="88" t="n">
        <f aca="false">1</f>
        <v>1</v>
      </c>
      <c r="AN84" s="39" t="str">
        <f aca="false">IF(SUM($AK84)=0,"",ROUND($AK84*$AM84,0))</f>
        <v/>
      </c>
      <c r="AO84" s="10"/>
      <c r="AP84" s="39"/>
    </row>
    <row r="85" customFormat="false" ht="15" hidden="false" customHeight="false" outlineLevel="0" collapsed="false">
      <c r="A85" s="0" t="str">
        <f aca="false">INDEX(Prioritization!$D:$D,MATCH($B85,Prioritization!$A:$A,0))</f>
        <v>INVALID</v>
      </c>
      <c r="B85" s="0" t="s">
        <v>208</v>
      </c>
      <c r="C85" s="0" t="s">
        <v>470</v>
      </c>
      <c r="D85" s="0" t="str">
        <f aca="false">B85&amp;"|"&amp;C85</f>
        <v>Nkhata Bay District [E7zpfyBt7Tw]|FSW</v>
      </c>
      <c r="E85" s="39"/>
      <c r="F85" s="39"/>
      <c r="G85" s="39"/>
      <c r="H85" s="10"/>
      <c r="I85" s="39"/>
      <c r="J85" s="10"/>
      <c r="K85" s="39"/>
      <c r="L85" s="10"/>
      <c r="M85" s="39"/>
      <c r="N85" s="10"/>
      <c r="O85" s="10"/>
      <c r="P85" s="10" t="str">
        <f aca="false">IF(MAX($N85,$O85)=0,"",MAX($N85,$O85))</f>
        <v/>
      </c>
      <c r="Q85" s="39" t="str">
        <f aca="false">IF(SUM($P85)=0,"",SUM($P85))</f>
        <v/>
      </c>
      <c r="R85" s="10"/>
      <c r="S85" s="10" t="str">
        <f aca="false">IF(SUM($F85)=0,"",SUM($R85)/$F85)</f>
        <v/>
      </c>
      <c r="T85" s="10"/>
      <c r="U85" s="88" t="n">
        <f aca="false">0.98</f>
        <v>0.98</v>
      </c>
      <c r="V85" s="88" t="n">
        <f aca="false">0.98</f>
        <v>0.98</v>
      </c>
      <c r="W85" s="10" t="str">
        <f aca="false">IF(SUM($P85,$Q85)=0,"",SUM($Q85)-SUM($P85))</f>
        <v/>
      </c>
      <c r="X85" s="10" t="str">
        <f aca="false">IFERROR(1/(1/ROUND((SUM($Q85)-(SUM($P85)*SUM($U85)))/$V85,0)),"")</f>
        <v/>
      </c>
      <c r="Y85" s="88" t="n">
        <f aca="false">1</f>
        <v>1</v>
      </c>
      <c r="Z85" s="39" t="str">
        <f aca="false">IFERROR(1/(1/ROUND(SUM($X85)*SUM($Y85),0)),"")</f>
        <v/>
      </c>
      <c r="AA85" s="88" t="n">
        <f aca="false">0.7</f>
        <v>0.7</v>
      </c>
      <c r="AB85" s="10" t="str">
        <f aca="false">IFERROR(1/(1/ROUND($P85+(SUM($X85)*$AA85),0)),"")</f>
        <v/>
      </c>
      <c r="AC85" s="88" t="n">
        <f aca="false">0.95</f>
        <v>0.95</v>
      </c>
      <c r="AD85" s="39" t="str">
        <f aca="false">IF(SUM($AB85)=0,"",ROUND($AB85*$AC85,0))</f>
        <v/>
      </c>
      <c r="AE85" s="88" t="n">
        <f aca="false">0.95</f>
        <v>0.95</v>
      </c>
      <c r="AF85" s="39" t="str">
        <f aca="false">IF(SUM($AD85)=0,"",ROUND($AD85*$AE85,0))</f>
        <v/>
      </c>
      <c r="AG85" s="10"/>
      <c r="AH85" s="10"/>
      <c r="AI85" s="88" t="n">
        <f aca="false">0.95</f>
        <v>0.95</v>
      </c>
      <c r="AJ85" s="88"/>
      <c r="AK85" s="39" t="str">
        <f aca="false">IF(SUM($Z85)=0,"",IF(AND(SUM($Z85)&gt;0,$AI85=""),"ENTER LINKAGE RATE",ROUND($Z85/$AI85,0)))</f>
        <v/>
      </c>
      <c r="AL85" s="39" t="str">
        <f aca="false">IF(SUM($AK85)=0,"",IF(AND($AK85&gt;0,$AJ85=""),"ENTER YIELD RATE",ROUND($AK85/$AJ85-$AK85,0)))</f>
        <v/>
      </c>
      <c r="AM85" s="88" t="n">
        <f aca="false">1</f>
        <v>1</v>
      </c>
      <c r="AN85" s="39" t="str">
        <f aca="false">IF(SUM($AK85)=0,"",ROUND($AK85*$AM85,0))</f>
        <v/>
      </c>
      <c r="AO85" s="10"/>
      <c r="AP85" s="39"/>
    </row>
    <row r="86" customFormat="false" ht="15" hidden="false" customHeight="false" outlineLevel="0" collapsed="false">
      <c r="A86" s="0" t="str">
        <f aca="false">INDEX(Prioritization!$D:$D,MATCH($B86,Prioritization!$A:$A,0))</f>
        <v>INVALID</v>
      </c>
      <c r="B86" s="0" t="s">
        <v>208</v>
      </c>
      <c r="C86" s="0" t="s">
        <v>471</v>
      </c>
      <c r="D86" s="0" t="str">
        <f aca="false">B86&amp;"|"&amp;C86</f>
        <v>Nkhata Bay District [E7zpfyBt7Tw]|MSM</v>
      </c>
      <c r="E86" s="39"/>
      <c r="F86" s="39"/>
      <c r="G86" s="39"/>
      <c r="H86" s="10"/>
      <c r="I86" s="39"/>
      <c r="J86" s="10"/>
      <c r="K86" s="39"/>
      <c r="L86" s="10"/>
      <c r="M86" s="39"/>
      <c r="N86" s="10"/>
      <c r="O86" s="10"/>
      <c r="P86" s="10" t="str">
        <f aca="false">IF(MAX($N86,$O86)=0,"",MAX($N86,$O86))</f>
        <v/>
      </c>
      <c r="Q86" s="39" t="str">
        <f aca="false">IF(SUM($P86)=0,"",SUM($P86))</f>
        <v/>
      </c>
      <c r="R86" s="10"/>
      <c r="S86" s="10" t="str">
        <f aca="false">IF(SUM($F86)=0,"",SUM($R86)/$F86)</f>
        <v/>
      </c>
      <c r="T86" s="10"/>
      <c r="U86" s="88" t="n">
        <f aca="false">0.98</f>
        <v>0.98</v>
      </c>
      <c r="V86" s="88" t="n">
        <f aca="false">0.98</f>
        <v>0.98</v>
      </c>
      <c r="W86" s="10" t="str">
        <f aca="false">IF(SUM($P86,$Q86)=0,"",SUM($Q86)-SUM($P86))</f>
        <v/>
      </c>
      <c r="X86" s="10" t="str">
        <f aca="false">IFERROR(1/(1/ROUND((SUM($Q86)-(SUM($P86)*SUM($U86)))/$V86,0)),"")</f>
        <v/>
      </c>
      <c r="Y86" s="88" t="n">
        <f aca="false">1</f>
        <v>1</v>
      </c>
      <c r="Z86" s="39" t="str">
        <f aca="false">IFERROR(1/(1/ROUND(SUM($X86)*SUM($Y86),0)),"")</f>
        <v/>
      </c>
      <c r="AA86" s="88" t="n">
        <f aca="false">0.7</f>
        <v>0.7</v>
      </c>
      <c r="AB86" s="10" t="str">
        <f aca="false">IFERROR(1/(1/ROUND($P86+(SUM($X86)*$AA86),0)),"")</f>
        <v/>
      </c>
      <c r="AC86" s="88" t="n">
        <f aca="false">0.95</f>
        <v>0.95</v>
      </c>
      <c r="AD86" s="39" t="str">
        <f aca="false">IF(SUM($AB86)=0,"",ROUND($AB86*$AC86,0))</f>
        <v/>
      </c>
      <c r="AE86" s="88" t="n">
        <f aca="false">0.95</f>
        <v>0.95</v>
      </c>
      <c r="AF86" s="39" t="str">
        <f aca="false">IF(SUM($AD86)=0,"",ROUND($AD86*$AE86,0))</f>
        <v/>
      </c>
      <c r="AG86" s="10"/>
      <c r="AH86" s="10"/>
      <c r="AI86" s="88" t="n">
        <f aca="false">0.95</f>
        <v>0.95</v>
      </c>
      <c r="AJ86" s="88"/>
      <c r="AK86" s="39" t="str">
        <f aca="false">IF(SUM($Z86)=0,"",IF(AND(SUM($Z86)&gt;0,$AI86=""),"ENTER LINKAGE RATE",ROUND($Z86/$AI86,0)))</f>
        <v/>
      </c>
      <c r="AL86" s="39" t="str">
        <f aca="false">IF(SUM($AK86)=0,"",IF(AND($AK86&gt;0,$AJ86=""),"ENTER YIELD RATE",ROUND($AK86/$AJ86-$AK86,0)))</f>
        <v/>
      </c>
      <c r="AM86" s="88" t="n">
        <f aca="false">1</f>
        <v>1</v>
      </c>
      <c r="AN86" s="39" t="str">
        <f aca="false">IF(SUM($AK86)=0,"",ROUND($AK86*$AM86,0))</f>
        <v/>
      </c>
      <c r="AO86" s="10"/>
      <c r="AP86" s="39"/>
    </row>
    <row r="87" customFormat="false" ht="15" hidden="false" customHeight="false" outlineLevel="0" collapsed="false">
      <c r="A87" s="0" t="str">
        <f aca="false">INDEX(Prioritization!$D:$D,MATCH($B87,Prioritization!$A:$A,0))</f>
        <v>INVALID</v>
      </c>
      <c r="B87" s="0" t="s">
        <v>208</v>
      </c>
      <c r="C87" s="0" t="s">
        <v>472</v>
      </c>
      <c r="D87" s="0" t="str">
        <f aca="false">B87&amp;"|"&amp;C87</f>
        <v>Nkhata Bay District [E7zpfyBt7Tw]|People in prisons and other enclosed settings</v>
      </c>
      <c r="E87" s="39"/>
      <c r="F87" s="39"/>
      <c r="G87" s="39"/>
      <c r="H87" s="10"/>
      <c r="I87" s="39"/>
      <c r="J87" s="10"/>
      <c r="K87" s="39"/>
      <c r="L87" s="10" t="n">
        <v>89</v>
      </c>
      <c r="M87" s="39"/>
      <c r="N87" s="10" t="n">
        <v>5</v>
      </c>
      <c r="O87" s="10" t="n">
        <v>7</v>
      </c>
      <c r="P87" s="10" t="n">
        <f aca="false">IF(MAX($N87,$O87)=0,"",MAX($N87,$O87))</f>
        <v>7</v>
      </c>
      <c r="Q87" s="39" t="n">
        <f aca="false">IF(SUM($P87)=0,"",SUM($P87))</f>
        <v>7</v>
      </c>
      <c r="R87" s="10"/>
      <c r="S87" s="10" t="str">
        <f aca="false">IF(SUM($F87)=0,"",SUM($R87)/$F87)</f>
        <v/>
      </c>
      <c r="T87" s="10" t="n">
        <v>2</v>
      </c>
      <c r="U87" s="88" t="n">
        <f aca="false">0.98</f>
        <v>0.98</v>
      </c>
      <c r="V87" s="88" t="n">
        <f aca="false">0.98</f>
        <v>0.98</v>
      </c>
      <c r="W87" s="10" t="n">
        <f aca="false">IF(SUM($P87,$Q87)=0,"",SUM($Q87)-SUM($P87))</f>
        <v>0</v>
      </c>
      <c r="X87" s="10" t="str">
        <f aca="false">IFERROR(1/(1/ROUND((SUM($Q87)-(SUM($P87)*SUM($U87)))/$V87,0)),"")</f>
        <v/>
      </c>
      <c r="Y87" s="88" t="n">
        <f aca="false">1</f>
        <v>1</v>
      </c>
      <c r="Z87" s="39" t="str">
        <f aca="false">IFERROR(1/(1/ROUND(SUM($X87)*SUM($Y87),0)),"")</f>
        <v/>
      </c>
      <c r="AA87" s="88" t="n">
        <f aca="false">0.7</f>
        <v>0.7</v>
      </c>
      <c r="AB87" s="10" t="n">
        <f aca="false">IFERROR(1/(1/ROUND($P87+(SUM($X87)*$AA87),0)),"")</f>
        <v>7</v>
      </c>
      <c r="AC87" s="88" t="n">
        <f aca="false">0.95</f>
        <v>0.95</v>
      </c>
      <c r="AD87" s="39" t="n">
        <f aca="false">IF(SUM($AB87)=0,"",ROUND($AB87*$AC87,0))</f>
        <v>7</v>
      </c>
      <c r="AE87" s="88" t="n">
        <f aca="false">0.95</f>
        <v>0.95</v>
      </c>
      <c r="AF87" s="39" t="n">
        <f aca="false">IF(SUM($AD87)=0,"",ROUND($AD87*$AE87,0))</f>
        <v>7</v>
      </c>
      <c r="AG87" s="10" t="n">
        <v>6</v>
      </c>
      <c r="AH87" s="10" t="n">
        <v>1</v>
      </c>
      <c r="AI87" s="88" t="n">
        <f aca="false">0.95</f>
        <v>0.95</v>
      </c>
      <c r="AJ87" s="88"/>
      <c r="AK87" s="39" t="str">
        <f aca="false">IF(SUM($Z87)=0,"",IF(AND(SUM($Z87)&gt;0,$AI87=""),"ENTER LINKAGE RATE",ROUND($Z87/$AI87,0)))</f>
        <v/>
      </c>
      <c r="AL87" s="39" t="str">
        <f aca="false">IF(SUM($AK87)=0,"",IF(AND($AK87&gt;0,$AJ87=""),"ENTER YIELD RATE",ROUND($AK87/$AJ87-$AK87,0)))</f>
        <v/>
      </c>
      <c r="AM87" s="88" t="n">
        <f aca="false">1</f>
        <v>1</v>
      </c>
      <c r="AN87" s="39" t="str">
        <f aca="false">IF(SUM($AK87)=0,"",ROUND($AK87*$AM87,0))</f>
        <v/>
      </c>
      <c r="AO87" s="10" t="n">
        <v>44</v>
      </c>
      <c r="AP87" s="39"/>
    </row>
    <row r="88" customFormat="false" ht="15" hidden="false" customHeight="false" outlineLevel="0" collapsed="false">
      <c r="A88" s="0" t="str">
        <f aca="false">INDEX(Prioritization!$D:$D,MATCH($B88,Prioritization!$A:$A,0))</f>
        <v>INVALID</v>
      </c>
      <c r="B88" s="0" t="s">
        <v>208</v>
      </c>
      <c r="C88" s="0" t="s">
        <v>473</v>
      </c>
      <c r="D88" s="0" t="str">
        <f aca="false">B88&amp;"|"&amp;C88</f>
        <v>Nkhata Bay District [E7zpfyBt7Tw]|PWID</v>
      </c>
      <c r="E88" s="39"/>
      <c r="F88" s="39"/>
      <c r="G88" s="39"/>
      <c r="H88" s="10"/>
      <c r="I88" s="39"/>
      <c r="J88" s="10"/>
      <c r="K88" s="39"/>
      <c r="L88" s="10"/>
      <c r="M88" s="39"/>
      <c r="N88" s="10"/>
      <c r="O88" s="10"/>
      <c r="P88" s="10" t="str">
        <f aca="false">IF(MAX($N88,$O88)=0,"",MAX($N88,$O88))</f>
        <v/>
      </c>
      <c r="Q88" s="39" t="str">
        <f aca="false">IF(SUM($P88)=0,"",SUM($P88))</f>
        <v/>
      </c>
      <c r="R88" s="10"/>
      <c r="S88" s="10" t="str">
        <f aca="false">IF(SUM($F88)=0,"",SUM($R88)/$F88)</f>
        <v/>
      </c>
      <c r="T88" s="10"/>
      <c r="U88" s="88" t="n">
        <f aca="false">0.98</f>
        <v>0.98</v>
      </c>
      <c r="V88" s="88" t="n">
        <f aca="false">0.98</f>
        <v>0.98</v>
      </c>
      <c r="W88" s="10" t="str">
        <f aca="false">IF(SUM($P88,$Q88)=0,"",SUM($Q88)-SUM($P88))</f>
        <v/>
      </c>
      <c r="X88" s="10" t="str">
        <f aca="false">IFERROR(1/(1/ROUND((SUM($Q88)-(SUM($P88)*SUM($U88)))/$V88,0)),"")</f>
        <v/>
      </c>
      <c r="Y88" s="88" t="n">
        <f aca="false">1</f>
        <v>1</v>
      </c>
      <c r="Z88" s="39" t="str">
        <f aca="false">IFERROR(1/(1/ROUND(SUM($X88)*SUM($Y88),0)),"")</f>
        <v/>
      </c>
      <c r="AA88" s="88" t="n">
        <f aca="false">0.7</f>
        <v>0.7</v>
      </c>
      <c r="AB88" s="10" t="str">
        <f aca="false">IFERROR(1/(1/ROUND($P88+(SUM($X88)*$AA88),0)),"")</f>
        <v/>
      </c>
      <c r="AC88" s="88" t="n">
        <f aca="false">0.95</f>
        <v>0.95</v>
      </c>
      <c r="AD88" s="39" t="str">
        <f aca="false">IF(SUM($AB88)=0,"",ROUND($AB88*$AC88,0))</f>
        <v/>
      </c>
      <c r="AE88" s="88" t="n">
        <f aca="false">0.95</f>
        <v>0.95</v>
      </c>
      <c r="AF88" s="39" t="str">
        <f aca="false">IF(SUM($AD88)=0,"",ROUND($AD88*$AE88,0))</f>
        <v/>
      </c>
      <c r="AG88" s="10"/>
      <c r="AH88" s="10"/>
      <c r="AI88" s="88" t="n">
        <f aca="false">0.95</f>
        <v>0.95</v>
      </c>
      <c r="AJ88" s="88"/>
      <c r="AK88" s="39" t="str">
        <f aca="false">IF(SUM($Z88)=0,"",IF(AND(SUM($Z88)&gt;0,$AI88=""),"ENTER LINKAGE RATE",ROUND($Z88/$AI88,0)))</f>
        <v/>
      </c>
      <c r="AL88" s="39" t="str">
        <f aca="false">IF(SUM($AK88)=0,"",IF(AND($AK88&gt;0,$AJ88=""),"ENTER YIELD RATE",ROUND($AK88/$AJ88-$AK88,0)))</f>
        <v/>
      </c>
      <c r="AM88" s="88" t="n">
        <f aca="false">1</f>
        <v>1</v>
      </c>
      <c r="AN88" s="39" t="str">
        <f aca="false">IF(SUM($AK88)=0,"",ROUND($AK88*$AM88,0))</f>
        <v/>
      </c>
      <c r="AO88" s="10"/>
      <c r="AP88" s="39"/>
    </row>
    <row r="89" customFormat="false" ht="15" hidden="false" customHeight="false" outlineLevel="0" collapsed="false">
      <c r="A89" s="0" t="str">
        <f aca="false">INDEX(Prioritization!$D:$D,MATCH($B89,Prioritization!$A:$A,0))</f>
        <v>INVALID</v>
      </c>
      <c r="B89" s="0" t="s">
        <v>208</v>
      </c>
      <c r="C89" s="0" t="s">
        <v>474</v>
      </c>
      <c r="D89" s="0" t="str">
        <f aca="false">B89&amp;"|"&amp;C89</f>
        <v>Nkhata Bay District [E7zpfyBt7Tw]|TG</v>
      </c>
      <c r="E89" s="39"/>
      <c r="F89" s="39"/>
      <c r="G89" s="39"/>
      <c r="H89" s="10"/>
      <c r="I89" s="39"/>
      <c r="J89" s="10"/>
      <c r="K89" s="39"/>
      <c r="L89" s="10"/>
      <c r="M89" s="39"/>
      <c r="N89" s="10"/>
      <c r="O89" s="10"/>
      <c r="P89" s="10" t="str">
        <f aca="false">IF(MAX($N89,$O89)=0,"",MAX($N89,$O89))</f>
        <v/>
      </c>
      <c r="Q89" s="39" t="str">
        <f aca="false">IF(SUM($P89)=0,"",SUM($P89))</f>
        <v/>
      </c>
      <c r="R89" s="10"/>
      <c r="S89" s="10" t="str">
        <f aca="false">IF(SUM($F89)=0,"",SUM($R89)/$F89)</f>
        <v/>
      </c>
      <c r="T89" s="10"/>
      <c r="U89" s="88" t="n">
        <f aca="false">0.98</f>
        <v>0.98</v>
      </c>
      <c r="V89" s="88" t="n">
        <f aca="false">0.98</f>
        <v>0.98</v>
      </c>
      <c r="W89" s="10" t="str">
        <f aca="false">IF(SUM($P89,$Q89)=0,"",SUM($Q89)-SUM($P89))</f>
        <v/>
      </c>
      <c r="X89" s="10" t="str">
        <f aca="false">IFERROR(1/(1/ROUND((SUM($Q89)-(SUM($P89)*SUM($U89)))/$V89,0)),"")</f>
        <v/>
      </c>
      <c r="Y89" s="88" t="n">
        <f aca="false">1</f>
        <v>1</v>
      </c>
      <c r="Z89" s="39" t="str">
        <f aca="false">IFERROR(1/(1/ROUND(SUM($X89)*SUM($Y89),0)),"")</f>
        <v/>
      </c>
      <c r="AA89" s="88" t="n">
        <f aca="false">0.7</f>
        <v>0.7</v>
      </c>
      <c r="AB89" s="10" t="str">
        <f aca="false">IFERROR(1/(1/ROUND($P89+(SUM($X89)*$AA89),0)),"")</f>
        <v/>
      </c>
      <c r="AC89" s="88" t="n">
        <f aca="false">0.95</f>
        <v>0.95</v>
      </c>
      <c r="AD89" s="39" t="str">
        <f aca="false">IF(SUM($AB89)=0,"",ROUND($AB89*$AC89,0))</f>
        <v/>
      </c>
      <c r="AE89" s="88" t="n">
        <f aca="false">0.95</f>
        <v>0.95</v>
      </c>
      <c r="AF89" s="39" t="str">
        <f aca="false">IF(SUM($AD89)=0,"",ROUND($AD89*$AE89,0))</f>
        <v/>
      </c>
      <c r="AG89" s="10"/>
      <c r="AH89" s="10"/>
      <c r="AI89" s="88" t="n">
        <f aca="false">0.95</f>
        <v>0.95</v>
      </c>
      <c r="AJ89" s="88"/>
      <c r="AK89" s="39" t="str">
        <f aca="false">IF(SUM($Z89)=0,"",IF(AND(SUM($Z89)&gt;0,$AI89=""),"ENTER LINKAGE RATE",ROUND($Z89/$AI89,0)))</f>
        <v/>
      </c>
      <c r="AL89" s="39" t="str">
        <f aca="false">IF(SUM($AK89)=0,"",IF(AND($AK89&gt;0,$AJ89=""),"ENTER YIELD RATE",ROUND($AK89/$AJ89-$AK89,0)))</f>
        <v/>
      </c>
      <c r="AM89" s="88" t="n">
        <f aca="false">1</f>
        <v>1</v>
      </c>
      <c r="AN89" s="39" t="str">
        <f aca="false">IF(SUM($AK89)=0,"",ROUND($AK89*$AM89,0))</f>
        <v/>
      </c>
      <c r="AO89" s="10"/>
      <c r="AP89" s="39"/>
    </row>
    <row r="90" customFormat="false" ht="15" hidden="false" customHeight="false" outlineLevel="0" collapsed="false">
      <c r="A90" s="0" t="str">
        <f aca="false">INDEX(Prioritization!$D:$D,MATCH($B90,Prioritization!$A:$A,0))</f>
        <v>INVALID</v>
      </c>
      <c r="B90" s="0" t="s">
        <v>209</v>
      </c>
      <c r="C90" s="0" t="s">
        <v>470</v>
      </c>
      <c r="D90" s="0" t="str">
        <f aca="false">B90&amp;"|"&amp;C90</f>
        <v>Rumphi District [lPTyjLi4w3d]|FSW</v>
      </c>
      <c r="E90" s="39"/>
      <c r="F90" s="39"/>
      <c r="G90" s="39"/>
      <c r="H90" s="10"/>
      <c r="I90" s="39"/>
      <c r="J90" s="10"/>
      <c r="K90" s="39"/>
      <c r="L90" s="10"/>
      <c r="M90" s="39"/>
      <c r="N90" s="10"/>
      <c r="O90" s="10"/>
      <c r="P90" s="10" t="str">
        <f aca="false">IF(MAX($N90,$O90)=0,"",MAX($N90,$O90))</f>
        <v/>
      </c>
      <c r="Q90" s="39" t="str">
        <f aca="false">IF(SUM($P90)=0,"",SUM($P90))</f>
        <v/>
      </c>
      <c r="R90" s="10"/>
      <c r="S90" s="10" t="str">
        <f aca="false">IF(SUM($F90)=0,"",SUM($R90)/$F90)</f>
        <v/>
      </c>
      <c r="T90" s="10"/>
      <c r="U90" s="88" t="n">
        <f aca="false">0.98</f>
        <v>0.98</v>
      </c>
      <c r="V90" s="88" t="n">
        <f aca="false">0.98</f>
        <v>0.98</v>
      </c>
      <c r="W90" s="10" t="str">
        <f aca="false">IF(SUM($P90,$Q90)=0,"",SUM($Q90)-SUM($P90))</f>
        <v/>
      </c>
      <c r="X90" s="10" t="str">
        <f aca="false">IFERROR(1/(1/ROUND((SUM($Q90)-(SUM($P90)*SUM($U90)))/$V90,0)),"")</f>
        <v/>
      </c>
      <c r="Y90" s="88" t="n">
        <f aca="false">1</f>
        <v>1</v>
      </c>
      <c r="Z90" s="39" t="str">
        <f aca="false">IFERROR(1/(1/ROUND(SUM($X90)*SUM($Y90),0)),"")</f>
        <v/>
      </c>
      <c r="AA90" s="88" t="n">
        <f aca="false">0.7</f>
        <v>0.7</v>
      </c>
      <c r="AB90" s="10" t="str">
        <f aca="false">IFERROR(1/(1/ROUND($P90+(SUM($X90)*$AA90),0)),"")</f>
        <v/>
      </c>
      <c r="AC90" s="88" t="n">
        <f aca="false">0.95</f>
        <v>0.95</v>
      </c>
      <c r="AD90" s="39" t="str">
        <f aca="false">IF(SUM($AB90)=0,"",ROUND($AB90*$AC90,0))</f>
        <v/>
      </c>
      <c r="AE90" s="88" t="n">
        <f aca="false">0.95</f>
        <v>0.95</v>
      </c>
      <c r="AF90" s="39" t="str">
        <f aca="false">IF(SUM($AD90)=0,"",ROUND($AD90*$AE90,0))</f>
        <v/>
      </c>
      <c r="AG90" s="10"/>
      <c r="AH90" s="10"/>
      <c r="AI90" s="88" t="n">
        <f aca="false">0.95</f>
        <v>0.95</v>
      </c>
      <c r="AJ90" s="88"/>
      <c r="AK90" s="39" t="str">
        <f aca="false">IF(SUM($Z90)=0,"",IF(AND(SUM($Z90)&gt;0,$AI90=""),"ENTER LINKAGE RATE",ROUND($Z90/$AI90,0)))</f>
        <v/>
      </c>
      <c r="AL90" s="39" t="str">
        <f aca="false">IF(SUM($AK90)=0,"",IF(AND($AK90&gt;0,$AJ90=""),"ENTER YIELD RATE",ROUND($AK90/$AJ90-$AK90,0)))</f>
        <v/>
      </c>
      <c r="AM90" s="88" t="n">
        <f aca="false">1</f>
        <v>1</v>
      </c>
      <c r="AN90" s="39" t="str">
        <f aca="false">IF(SUM($AK90)=0,"",ROUND($AK90*$AM90,0))</f>
        <v/>
      </c>
      <c r="AO90" s="10"/>
      <c r="AP90" s="39"/>
    </row>
    <row r="91" customFormat="false" ht="15" hidden="false" customHeight="false" outlineLevel="0" collapsed="false">
      <c r="A91" s="0" t="str">
        <f aca="false">INDEX(Prioritization!$D:$D,MATCH($B91,Prioritization!$A:$A,0))</f>
        <v>INVALID</v>
      </c>
      <c r="B91" s="0" t="s">
        <v>209</v>
      </c>
      <c r="C91" s="0" t="s">
        <v>471</v>
      </c>
      <c r="D91" s="0" t="str">
        <f aca="false">B91&amp;"|"&amp;C91</f>
        <v>Rumphi District [lPTyjLi4w3d]|MSM</v>
      </c>
      <c r="E91" s="39"/>
      <c r="F91" s="39"/>
      <c r="G91" s="39"/>
      <c r="H91" s="10"/>
      <c r="I91" s="39"/>
      <c r="J91" s="10"/>
      <c r="K91" s="39"/>
      <c r="L91" s="10"/>
      <c r="M91" s="39"/>
      <c r="N91" s="10"/>
      <c r="O91" s="10"/>
      <c r="P91" s="10" t="str">
        <f aca="false">IF(MAX($N91,$O91)=0,"",MAX($N91,$O91))</f>
        <v/>
      </c>
      <c r="Q91" s="39" t="str">
        <f aca="false">IF(SUM($P91)=0,"",SUM($P91))</f>
        <v/>
      </c>
      <c r="R91" s="10"/>
      <c r="S91" s="10" t="str">
        <f aca="false">IF(SUM($F91)=0,"",SUM($R91)/$F91)</f>
        <v/>
      </c>
      <c r="T91" s="10"/>
      <c r="U91" s="88" t="n">
        <f aca="false">0.98</f>
        <v>0.98</v>
      </c>
      <c r="V91" s="88" t="n">
        <f aca="false">0.98</f>
        <v>0.98</v>
      </c>
      <c r="W91" s="10" t="str">
        <f aca="false">IF(SUM($P91,$Q91)=0,"",SUM($Q91)-SUM($P91))</f>
        <v/>
      </c>
      <c r="X91" s="10" t="str">
        <f aca="false">IFERROR(1/(1/ROUND((SUM($Q91)-(SUM($P91)*SUM($U91)))/$V91,0)),"")</f>
        <v/>
      </c>
      <c r="Y91" s="88" t="n">
        <f aca="false">1</f>
        <v>1</v>
      </c>
      <c r="Z91" s="39" t="str">
        <f aca="false">IFERROR(1/(1/ROUND(SUM($X91)*SUM($Y91),0)),"")</f>
        <v/>
      </c>
      <c r="AA91" s="88" t="n">
        <f aca="false">0.7</f>
        <v>0.7</v>
      </c>
      <c r="AB91" s="10" t="str">
        <f aca="false">IFERROR(1/(1/ROUND($P91+(SUM($X91)*$AA91),0)),"")</f>
        <v/>
      </c>
      <c r="AC91" s="88" t="n">
        <f aca="false">0.95</f>
        <v>0.95</v>
      </c>
      <c r="AD91" s="39" t="str">
        <f aca="false">IF(SUM($AB91)=0,"",ROUND($AB91*$AC91,0))</f>
        <v/>
      </c>
      <c r="AE91" s="88" t="n">
        <f aca="false">0.95</f>
        <v>0.95</v>
      </c>
      <c r="AF91" s="39" t="str">
        <f aca="false">IF(SUM($AD91)=0,"",ROUND($AD91*$AE91,0))</f>
        <v/>
      </c>
      <c r="AG91" s="10"/>
      <c r="AH91" s="10"/>
      <c r="AI91" s="88" t="n">
        <f aca="false">0.95</f>
        <v>0.95</v>
      </c>
      <c r="AJ91" s="88"/>
      <c r="AK91" s="39" t="str">
        <f aca="false">IF(SUM($Z91)=0,"",IF(AND(SUM($Z91)&gt;0,$AI91=""),"ENTER LINKAGE RATE",ROUND($Z91/$AI91,0)))</f>
        <v/>
      </c>
      <c r="AL91" s="39" t="str">
        <f aca="false">IF(SUM($AK91)=0,"",IF(AND($AK91&gt;0,$AJ91=""),"ENTER YIELD RATE",ROUND($AK91/$AJ91-$AK91,0)))</f>
        <v/>
      </c>
      <c r="AM91" s="88" t="n">
        <f aca="false">1</f>
        <v>1</v>
      </c>
      <c r="AN91" s="39" t="str">
        <f aca="false">IF(SUM($AK91)=0,"",ROUND($AK91*$AM91,0))</f>
        <v/>
      </c>
      <c r="AO91" s="10"/>
      <c r="AP91" s="39"/>
    </row>
    <row r="92" customFormat="false" ht="15" hidden="false" customHeight="false" outlineLevel="0" collapsed="false">
      <c r="A92" s="0" t="str">
        <f aca="false">INDEX(Prioritization!$D:$D,MATCH($B92,Prioritization!$A:$A,0))</f>
        <v>INVALID</v>
      </c>
      <c r="B92" s="0" t="s">
        <v>209</v>
      </c>
      <c r="C92" s="0" t="s">
        <v>472</v>
      </c>
      <c r="D92" s="0" t="str">
        <f aca="false">B92&amp;"|"&amp;C92</f>
        <v>Rumphi District [lPTyjLi4w3d]|People in prisons and other enclosed settings</v>
      </c>
      <c r="E92" s="39"/>
      <c r="F92" s="39"/>
      <c r="G92" s="39"/>
      <c r="H92" s="10"/>
      <c r="I92" s="39"/>
      <c r="J92" s="10"/>
      <c r="K92" s="39"/>
      <c r="L92" s="10" t="n">
        <v>60</v>
      </c>
      <c r="M92" s="39"/>
      <c r="N92" s="10" t="n">
        <v>8</v>
      </c>
      <c r="O92" s="10" t="n">
        <v>5</v>
      </c>
      <c r="P92" s="10" t="n">
        <f aca="false">IF(MAX($N92,$O92)=0,"",MAX($N92,$O92))</f>
        <v>8</v>
      </c>
      <c r="Q92" s="39" t="n">
        <f aca="false">IF(SUM($P92)=0,"",SUM($P92))</f>
        <v>8</v>
      </c>
      <c r="R92" s="10"/>
      <c r="S92" s="10" t="str">
        <f aca="false">IF(SUM($F92)=0,"",SUM($R92)/$F92)</f>
        <v/>
      </c>
      <c r="T92" s="10" t="n">
        <v>3</v>
      </c>
      <c r="U92" s="88" t="n">
        <f aca="false">0.98</f>
        <v>0.98</v>
      </c>
      <c r="V92" s="88" t="n">
        <f aca="false">0.98</f>
        <v>0.98</v>
      </c>
      <c r="W92" s="10" t="n">
        <f aca="false">IF(SUM($P92,$Q92)=0,"",SUM($Q92)-SUM($P92))</f>
        <v>0</v>
      </c>
      <c r="X92" s="10" t="str">
        <f aca="false">IFERROR(1/(1/ROUND((SUM($Q92)-(SUM($P92)*SUM($U92)))/$V92,0)),"")</f>
        <v/>
      </c>
      <c r="Y92" s="88" t="n">
        <f aca="false">1</f>
        <v>1</v>
      </c>
      <c r="Z92" s="39" t="str">
        <f aca="false">IFERROR(1/(1/ROUND(SUM($X92)*SUM($Y92),0)),"")</f>
        <v/>
      </c>
      <c r="AA92" s="88" t="n">
        <f aca="false">0.7</f>
        <v>0.7</v>
      </c>
      <c r="AB92" s="10" t="n">
        <f aca="false">IFERROR(1/(1/ROUND($P92+(SUM($X92)*$AA92),0)),"")</f>
        <v>8</v>
      </c>
      <c r="AC92" s="88" t="n">
        <f aca="false">0.95</f>
        <v>0.95</v>
      </c>
      <c r="AD92" s="39" t="n">
        <f aca="false">IF(SUM($AB92)=0,"",ROUND($AB92*$AC92,0))</f>
        <v>8</v>
      </c>
      <c r="AE92" s="88" t="n">
        <f aca="false">0.95</f>
        <v>0.95</v>
      </c>
      <c r="AF92" s="39" t="n">
        <f aca="false">IF(SUM($AD92)=0,"",ROUND($AD92*$AE92,0))</f>
        <v>8</v>
      </c>
      <c r="AG92" s="10" t="n">
        <v>8</v>
      </c>
      <c r="AH92" s="10" t="n">
        <v>1</v>
      </c>
      <c r="AI92" s="88" t="n">
        <f aca="false">0.95</f>
        <v>0.95</v>
      </c>
      <c r="AJ92" s="88"/>
      <c r="AK92" s="39" t="str">
        <f aca="false">IF(SUM($Z92)=0,"",IF(AND(SUM($Z92)&gt;0,$AI92=""),"ENTER LINKAGE RATE",ROUND($Z92/$AI92,0)))</f>
        <v/>
      </c>
      <c r="AL92" s="39" t="str">
        <f aca="false">IF(SUM($AK92)=0,"",IF(AND($AK92&gt;0,$AJ92=""),"ENTER YIELD RATE",ROUND($AK92/$AJ92-$AK92,0)))</f>
        <v/>
      </c>
      <c r="AM92" s="88" t="n">
        <f aca="false">1</f>
        <v>1</v>
      </c>
      <c r="AN92" s="39" t="str">
        <f aca="false">IF(SUM($AK92)=0,"",ROUND($AK92*$AM92,0))</f>
        <v/>
      </c>
      <c r="AO92" s="10" t="n">
        <v>99</v>
      </c>
      <c r="AP92" s="39"/>
    </row>
    <row r="93" customFormat="false" ht="15" hidden="false" customHeight="false" outlineLevel="0" collapsed="false">
      <c r="A93" s="0" t="str">
        <f aca="false">INDEX(Prioritization!$D:$D,MATCH($B93,Prioritization!$A:$A,0))</f>
        <v>INVALID</v>
      </c>
      <c r="B93" s="0" t="s">
        <v>209</v>
      </c>
      <c r="C93" s="0" t="s">
        <v>473</v>
      </c>
      <c r="D93" s="0" t="str">
        <f aca="false">B93&amp;"|"&amp;C93</f>
        <v>Rumphi District [lPTyjLi4w3d]|PWID</v>
      </c>
      <c r="E93" s="39"/>
      <c r="F93" s="39"/>
      <c r="G93" s="39"/>
      <c r="H93" s="10"/>
      <c r="I93" s="39"/>
      <c r="J93" s="10"/>
      <c r="K93" s="39"/>
      <c r="L93" s="10"/>
      <c r="M93" s="39"/>
      <c r="N93" s="10"/>
      <c r="O93" s="10"/>
      <c r="P93" s="10" t="str">
        <f aca="false">IF(MAX($N93,$O93)=0,"",MAX($N93,$O93))</f>
        <v/>
      </c>
      <c r="Q93" s="39" t="str">
        <f aca="false">IF(SUM($P93)=0,"",SUM($P93))</f>
        <v/>
      </c>
      <c r="R93" s="10"/>
      <c r="S93" s="10" t="str">
        <f aca="false">IF(SUM($F93)=0,"",SUM($R93)/$F93)</f>
        <v/>
      </c>
      <c r="T93" s="10"/>
      <c r="U93" s="88" t="n">
        <f aca="false">0.98</f>
        <v>0.98</v>
      </c>
      <c r="V93" s="88" t="n">
        <f aca="false">0.98</f>
        <v>0.98</v>
      </c>
      <c r="W93" s="10" t="str">
        <f aca="false">IF(SUM($P93,$Q93)=0,"",SUM($Q93)-SUM($P93))</f>
        <v/>
      </c>
      <c r="X93" s="10" t="str">
        <f aca="false">IFERROR(1/(1/ROUND((SUM($Q93)-(SUM($P93)*SUM($U93)))/$V93,0)),"")</f>
        <v/>
      </c>
      <c r="Y93" s="88" t="n">
        <f aca="false">1</f>
        <v>1</v>
      </c>
      <c r="Z93" s="39" t="str">
        <f aca="false">IFERROR(1/(1/ROUND(SUM($X93)*SUM($Y93),0)),"")</f>
        <v/>
      </c>
      <c r="AA93" s="88" t="n">
        <f aca="false">0.7</f>
        <v>0.7</v>
      </c>
      <c r="AB93" s="10" t="str">
        <f aca="false">IFERROR(1/(1/ROUND($P93+(SUM($X93)*$AA93),0)),"")</f>
        <v/>
      </c>
      <c r="AC93" s="88" t="n">
        <f aca="false">0.95</f>
        <v>0.95</v>
      </c>
      <c r="AD93" s="39" t="str">
        <f aca="false">IF(SUM($AB93)=0,"",ROUND($AB93*$AC93,0))</f>
        <v/>
      </c>
      <c r="AE93" s="88" t="n">
        <f aca="false">0.95</f>
        <v>0.95</v>
      </c>
      <c r="AF93" s="39" t="str">
        <f aca="false">IF(SUM($AD93)=0,"",ROUND($AD93*$AE93,0))</f>
        <v/>
      </c>
      <c r="AG93" s="10"/>
      <c r="AH93" s="10"/>
      <c r="AI93" s="88" t="n">
        <f aca="false">0.95</f>
        <v>0.95</v>
      </c>
      <c r="AJ93" s="88"/>
      <c r="AK93" s="39" t="str">
        <f aca="false">IF(SUM($Z93)=0,"",IF(AND(SUM($Z93)&gt;0,$AI93=""),"ENTER LINKAGE RATE",ROUND($Z93/$AI93,0)))</f>
        <v/>
      </c>
      <c r="AL93" s="39" t="str">
        <f aca="false">IF(SUM($AK93)=0,"",IF(AND($AK93&gt;0,$AJ93=""),"ENTER YIELD RATE",ROUND($AK93/$AJ93-$AK93,0)))</f>
        <v/>
      </c>
      <c r="AM93" s="88" t="n">
        <f aca="false">1</f>
        <v>1</v>
      </c>
      <c r="AN93" s="39" t="str">
        <f aca="false">IF(SUM($AK93)=0,"",ROUND($AK93*$AM93,0))</f>
        <v/>
      </c>
      <c r="AO93" s="10"/>
      <c r="AP93" s="39"/>
    </row>
    <row r="94" customFormat="false" ht="15" hidden="false" customHeight="false" outlineLevel="0" collapsed="false">
      <c r="A94" s="0" t="str">
        <f aca="false">INDEX(Prioritization!$D:$D,MATCH($B94,Prioritization!$A:$A,0))</f>
        <v>INVALID</v>
      </c>
      <c r="B94" s="0" t="s">
        <v>209</v>
      </c>
      <c r="C94" s="0" t="s">
        <v>474</v>
      </c>
      <c r="D94" s="0" t="str">
        <f aca="false">B94&amp;"|"&amp;C94</f>
        <v>Rumphi District [lPTyjLi4w3d]|TG</v>
      </c>
      <c r="E94" s="39"/>
      <c r="F94" s="39"/>
      <c r="G94" s="39"/>
      <c r="H94" s="10"/>
      <c r="I94" s="39"/>
      <c r="J94" s="10"/>
      <c r="K94" s="39"/>
      <c r="L94" s="10"/>
      <c r="M94" s="39"/>
      <c r="N94" s="10"/>
      <c r="O94" s="10"/>
      <c r="P94" s="10" t="str">
        <f aca="false">IF(MAX($N94,$O94)=0,"",MAX($N94,$O94))</f>
        <v/>
      </c>
      <c r="Q94" s="39" t="str">
        <f aca="false">IF(SUM($P94)=0,"",SUM($P94))</f>
        <v/>
      </c>
      <c r="R94" s="10"/>
      <c r="S94" s="10" t="str">
        <f aca="false">IF(SUM($F94)=0,"",SUM($R94)/$F94)</f>
        <v/>
      </c>
      <c r="T94" s="10"/>
      <c r="U94" s="88" t="n">
        <f aca="false">0.98</f>
        <v>0.98</v>
      </c>
      <c r="V94" s="88" t="n">
        <f aca="false">0.98</f>
        <v>0.98</v>
      </c>
      <c r="W94" s="10" t="str">
        <f aca="false">IF(SUM($P94,$Q94)=0,"",SUM($Q94)-SUM($P94))</f>
        <v/>
      </c>
      <c r="X94" s="10" t="str">
        <f aca="false">IFERROR(1/(1/ROUND((SUM($Q94)-(SUM($P94)*SUM($U94)))/$V94,0)),"")</f>
        <v/>
      </c>
      <c r="Y94" s="88" t="n">
        <f aca="false">1</f>
        <v>1</v>
      </c>
      <c r="Z94" s="39" t="str">
        <f aca="false">IFERROR(1/(1/ROUND(SUM($X94)*SUM($Y94),0)),"")</f>
        <v/>
      </c>
      <c r="AA94" s="88" t="n">
        <f aca="false">0.7</f>
        <v>0.7</v>
      </c>
      <c r="AB94" s="10" t="str">
        <f aca="false">IFERROR(1/(1/ROUND($P94+(SUM($X94)*$AA94),0)),"")</f>
        <v/>
      </c>
      <c r="AC94" s="88" t="n">
        <f aca="false">0.95</f>
        <v>0.95</v>
      </c>
      <c r="AD94" s="39" t="str">
        <f aca="false">IF(SUM($AB94)=0,"",ROUND($AB94*$AC94,0))</f>
        <v/>
      </c>
      <c r="AE94" s="88" t="n">
        <f aca="false">0.95</f>
        <v>0.95</v>
      </c>
      <c r="AF94" s="39" t="str">
        <f aca="false">IF(SUM($AD94)=0,"",ROUND($AD94*$AE94,0))</f>
        <v/>
      </c>
      <c r="AG94" s="10"/>
      <c r="AH94" s="10"/>
      <c r="AI94" s="88" t="n">
        <f aca="false">0.95</f>
        <v>0.95</v>
      </c>
      <c r="AJ94" s="88"/>
      <c r="AK94" s="39" t="str">
        <f aca="false">IF(SUM($Z94)=0,"",IF(AND(SUM($Z94)&gt;0,$AI94=""),"ENTER LINKAGE RATE",ROUND($Z94/$AI94,0)))</f>
        <v/>
      </c>
      <c r="AL94" s="39" t="str">
        <f aca="false">IF(SUM($AK94)=0,"",IF(AND($AK94&gt;0,$AJ94=""),"ENTER YIELD RATE",ROUND($AK94/$AJ94-$AK94,0)))</f>
        <v/>
      </c>
      <c r="AM94" s="88" t="n">
        <f aca="false">1</f>
        <v>1</v>
      </c>
      <c r="AN94" s="39" t="str">
        <f aca="false">IF(SUM($AK94)=0,"",ROUND($AK94*$AM94,0))</f>
        <v/>
      </c>
      <c r="AO94" s="10"/>
      <c r="AP94" s="39"/>
    </row>
    <row r="95" customFormat="false" ht="15" hidden="false" customHeight="false" outlineLevel="0" collapsed="false">
      <c r="A95" s="0" t="str">
        <f aca="false">INDEX(Prioritization!$D:$D,MATCH($B95,Prioritization!$A:$A,0))</f>
        <v>1 - Scale-up: Saturation</v>
      </c>
      <c r="B95" s="0" t="s">
        <v>210</v>
      </c>
      <c r="C95" s="0" t="s">
        <v>470</v>
      </c>
      <c r="D95" s="0" t="str">
        <f aca="false">B95&amp;"|"&amp;C95</f>
        <v>Balaka District [ir8wuHHzoSs]|FSW</v>
      </c>
      <c r="E95" s="39"/>
      <c r="F95" s="39"/>
      <c r="G95" s="39"/>
      <c r="H95" s="10"/>
      <c r="I95" s="39"/>
      <c r="J95" s="10" t="n">
        <v>27</v>
      </c>
      <c r="K95" s="39"/>
      <c r="L95" s="10" t="n">
        <v>92</v>
      </c>
      <c r="M95" s="39"/>
      <c r="N95" s="10"/>
      <c r="O95" s="10" t="n">
        <v>94</v>
      </c>
      <c r="P95" s="10" t="n">
        <f aca="false">IF(MAX($N95,$O95)=0,"",MAX($N95,$O95))</f>
        <v>94</v>
      </c>
      <c r="Q95" s="39" t="n">
        <f aca="false">IF(SUM($P95)=0,"",SUM($P95))</f>
        <v>94</v>
      </c>
      <c r="R95" s="10"/>
      <c r="S95" s="10" t="str">
        <f aca="false">IF(SUM($F95)=0,"",SUM($R95)/$F95)</f>
        <v/>
      </c>
      <c r="T95" s="10" t="n">
        <v>6</v>
      </c>
      <c r="U95" s="88" t="n">
        <f aca="false">0.98</f>
        <v>0.98</v>
      </c>
      <c r="V95" s="88" t="n">
        <f aca="false">0.98</f>
        <v>0.98</v>
      </c>
      <c r="W95" s="10" t="n">
        <f aca="false">IF(SUM($P95,$Q95)=0,"",SUM($Q95)-SUM($P95))</f>
        <v>0</v>
      </c>
      <c r="X95" s="10" t="n">
        <f aca="false">IFERROR(1/(1/ROUND((SUM($Q95)-(SUM($P95)*SUM($U95)))/$V95,0)),"")</f>
        <v>2</v>
      </c>
      <c r="Y95" s="88" t="n">
        <f aca="false">1</f>
        <v>1</v>
      </c>
      <c r="Z95" s="39" t="n">
        <f aca="false">IFERROR(1/(1/ROUND(SUM($X95)*SUM($Y95),0)),"")</f>
        <v>2</v>
      </c>
      <c r="AA95" s="88" t="n">
        <f aca="false">0.7</f>
        <v>0.7</v>
      </c>
      <c r="AB95" s="10" t="n">
        <f aca="false">IFERROR(1/(1/ROUND($P95+(SUM($X95)*$AA95),0)),"")</f>
        <v>95</v>
      </c>
      <c r="AC95" s="88" t="n">
        <f aca="false">0.95</f>
        <v>0.95</v>
      </c>
      <c r="AD95" s="39" t="n">
        <f aca="false">IF(SUM($AB95)=0,"",ROUND($AB95*$AC95,0))</f>
        <v>90</v>
      </c>
      <c r="AE95" s="88" t="n">
        <f aca="false">0.95</f>
        <v>0.95</v>
      </c>
      <c r="AF95" s="39" t="n">
        <f aca="false">IF(SUM($AD95)=0,"",ROUND($AD95*$AE95,0))</f>
        <v>86</v>
      </c>
      <c r="AG95" s="10" t="n">
        <v>4</v>
      </c>
      <c r="AH95" s="10" t="n">
        <v>0</v>
      </c>
      <c r="AI95" s="88" t="n">
        <f aca="false">0.95</f>
        <v>0.95</v>
      </c>
      <c r="AJ95" s="88"/>
      <c r="AK95" s="39" t="n">
        <f aca="false">IF(SUM($Z95)=0,"",IF(AND(SUM($Z95)&gt;0,$AI95=""),"ENTER LINKAGE RATE",ROUND($Z95/$AI95,0)))</f>
        <v>2</v>
      </c>
      <c r="AL95" s="39" t="str">
        <f aca="false">IF(SUM($AK95)=0,"",IF(AND($AK95&gt;0,$AJ95=""),"ENTER YIELD RATE",ROUND($AK95/$AJ95-$AK95,0)))</f>
        <v>ENTER YIELD RATE</v>
      </c>
      <c r="AM95" s="88" t="n">
        <f aca="false">1</f>
        <v>1</v>
      </c>
      <c r="AN95" s="39" t="n">
        <f aca="false">IF(SUM($AK95)=0,"",ROUND($AK95*$AM95,0))</f>
        <v>2</v>
      </c>
      <c r="AO95" s="10" t="n">
        <v>69</v>
      </c>
      <c r="AP95" s="39"/>
    </row>
    <row r="96" customFormat="false" ht="15" hidden="false" customHeight="false" outlineLevel="0" collapsed="false">
      <c r="A96" s="0" t="str">
        <f aca="false">INDEX(Prioritization!$D:$D,MATCH($B96,Prioritization!$A:$A,0))</f>
        <v>1 - Scale-up: Saturation</v>
      </c>
      <c r="B96" s="0" t="s">
        <v>210</v>
      </c>
      <c r="C96" s="0" t="s">
        <v>471</v>
      </c>
      <c r="D96" s="0" t="str">
        <f aca="false">B96&amp;"|"&amp;C96</f>
        <v>Balaka District [ir8wuHHzoSs]|MSM</v>
      </c>
      <c r="E96" s="39"/>
      <c r="F96" s="39"/>
      <c r="G96" s="39"/>
      <c r="H96" s="10"/>
      <c r="I96" s="39"/>
      <c r="J96" s="10" t="n">
        <v>49</v>
      </c>
      <c r="K96" s="39"/>
      <c r="L96" s="10" t="n">
        <v>67</v>
      </c>
      <c r="M96" s="39"/>
      <c r="N96" s="10"/>
      <c r="O96" s="10" t="n">
        <v>9</v>
      </c>
      <c r="P96" s="10" t="n">
        <f aca="false">IF(MAX($N96,$O96)=0,"",MAX($N96,$O96))</f>
        <v>9</v>
      </c>
      <c r="Q96" s="39" t="n">
        <f aca="false">IF(SUM($P96)=0,"",SUM($P96))</f>
        <v>9</v>
      </c>
      <c r="R96" s="10"/>
      <c r="S96" s="10" t="str">
        <f aca="false">IF(SUM($F96)=0,"",SUM($R96)/$F96)</f>
        <v/>
      </c>
      <c r="T96" s="10" t="n">
        <v>2</v>
      </c>
      <c r="U96" s="88" t="n">
        <f aca="false">0.98</f>
        <v>0.98</v>
      </c>
      <c r="V96" s="88" t="n">
        <f aca="false">0.98</f>
        <v>0.98</v>
      </c>
      <c r="W96" s="10" t="n">
        <f aca="false">IF(SUM($P96,$Q96)=0,"",SUM($Q96)-SUM($P96))</f>
        <v>0</v>
      </c>
      <c r="X96" s="10" t="str">
        <f aca="false">IFERROR(1/(1/ROUND((SUM($Q96)-(SUM($P96)*SUM($U96)))/$V96,0)),"")</f>
        <v/>
      </c>
      <c r="Y96" s="88" t="n">
        <f aca="false">1</f>
        <v>1</v>
      </c>
      <c r="Z96" s="39" t="str">
        <f aca="false">IFERROR(1/(1/ROUND(SUM($X96)*SUM($Y96),0)),"")</f>
        <v/>
      </c>
      <c r="AA96" s="88" t="n">
        <f aca="false">0.7</f>
        <v>0.7</v>
      </c>
      <c r="AB96" s="10" t="n">
        <f aca="false">IFERROR(1/(1/ROUND($P96+(SUM($X96)*$AA96),0)),"")</f>
        <v>9</v>
      </c>
      <c r="AC96" s="88" t="n">
        <f aca="false">0.95</f>
        <v>0.95</v>
      </c>
      <c r="AD96" s="39" t="n">
        <f aca="false">IF(SUM($AB96)=0,"",ROUND($AB96*$AC96,0))</f>
        <v>9</v>
      </c>
      <c r="AE96" s="88" t="n">
        <f aca="false">0.95</f>
        <v>0.95</v>
      </c>
      <c r="AF96" s="39" t="n">
        <f aca="false">IF(SUM($AD96)=0,"",ROUND($AD96*$AE96,0))</f>
        <v>9</v>
      </c>
      <c r="AG96" s="10" t="n">
        <v>2</v>
      </c>
      <c r="AH96" s="10" t="n">
        <v>1</v>
      </c>
      <c r="AI96" s="88" t="n">
        <f aca="false">0.95</f>
        <v>0.95</v>
      </c>
      <c r="AJ96" s="88"/>
      <c r="AK96" s="39" t="str">
        <f aca="false">IF(SUM($Z96)=0,"",IF(AND(SUM($Z96)&gt;0,$AI96=""),"ENTER LINKAGE RATE",ROUND($Z96/$AI96,0)))</f>
        <v/>
      </c>
      <c r="AL96" s="39" t="str">
        <f aca="false">IF(SUM($AK96)=0,"",IF(AND($AK96&gt;0,$AJ96=""),"ENTER YIELD RATE",ROUND($AK96/$AJ96-$AK96,0)))</f>
        <v/>
      </c>
      <c r="AM96" s="88" t="n">
        <f aca="false">1</f>
        <v>1</v>
      </c>
      <c r="AN96" s="39" t="str">
        <f aca="false">IF(SUM($AK96)=0,"",ROUND($AK96*$AM96,0))</f>
        <v/>
      </c>
      <c r="AO96" s="10" t="n">
        <v>22</v>
      </c>
      <c r="AP96" s="39"/>
    </row>
    <row r="97" customFormat="false" ht="15" hidden="false" customHeight="false" outlineLevel="0" collapsed="false">
      <c r="A97" s="0" t="str">
        <f aca="false">INDEX(Prioritization!$D:$D,MATCH($B97,Prioritization!$A:$A,0))</f>
        <v>1 - Scale-up: Saturation</v>
      </c>
      <c r="B97" s="0" t="s">
        <v>210</v>
      </c>
      <c r="C97" s="0" t="s">
        <v>472</v>
      </c>
      <c r="D97" s="0" t="str">
        <f aca="false">B97&amp;"|"&amp;C97</f>
        <v>Balaka District [ir8wuHHzoSs]|People in prisons and other enclosed settings</v>
      </c>
      <c r="E97" s="39"/>
      <c r="F97" s="39"/>
      <c r="G97" s="39"/>
      <c r="H97" s="10"/>
      <c r="I97" s="39"/>
      <c r="J97" s="10"/>
      <c r="K97" s="39"/>
      <c r="L97" s="10"/>
      <c r="M97" s="39"/>
      <c r="N97" s="10"/>
      <c r="O97" s="10"/>
      <c r="P97" s="10" t="str">
        <f aca="false">IF(MAX($N97,$O97)=0,"",MAX($N97,$O97))</f>
        <v/>
      </c>
      <c r="Q97" s="39" t="str">
        <f aca="false">IF(SUM($P97)=0,"",SUM($P97))</f>
        <v/>
      </c>
      <c r="R97" s="10"/>
      <c r="S97" s="10" t="str">
        <f aca="false">IF(SUM($F97)=0,"",SUM($R97)/$F97)</f>
        <v/>
      </c>
      <c r="T97" s="10"/>
      <c r="U97" s="88" t="n">
        <f aca="false">0.98</f>
        <v>0.98</v>
      </c>
      <c r="V97" s="88" t="n">
        <f aca="false">0.98</f>
        <v>0.98</v>
      </c>
      <c r="W97" s="10" t="str">
        <f aca="false">IF(SUM($P97,$Q97)=0,"",SUM($Q97)-SUM($P97))</f>
        <v/>
      </c>
      <c r="X97" s="10" t="str">
        <f aca="false">IFERROR(1/(1/ROUND((SUM($Q97)-(SUM($P97)*SUM($U97)))/$V97,0)),"")</f>
        <v/>
      </c>
      <c r="Y97" s="88" t="n">
        <f aca="false">1</f>
        <v>1</v>
      </c>
      <c r="Z97" s="39" t="str">
        <f aca="false">IFERROR(1/(1/ROUND(SUM($X97)*SUM($Y97),0)),"")</f>
        <v/>
      </c>
      <c r="AA97" s="88" t="n">
        <f aca="false">0.7</f>
        <v>0.7</v>
      </c>
      <c r="AB97" s="10" t="str">
        <f aca="false">IFERROR(1/(1/ROUND($P97+(SUM($X97)*$AA97),0)),"")</f>
        <v/>
      </c>
      <c r="AC97" s="88" t="n">
        <f aca="false">0.95</f>
        <v>0.95</v>
      </c>
      <c r="AD97" s="39" t="str">
        <f aca="false">IF(SUM($AB97)=0,"",ROUND($AB97*$AC97,0))</f>
        <v/>
      </c>
      <c r="AE97" s="88" t="n">
        <f aca="false">0.95</f>
        <v>0.95</v>
      </c>
      <c r="AF97" s="39" t="str">
        <f aca="false">IF(SUM($AD97)=0,"",ROUND($AD97*$AE97,0))</f>
        <v/>
      </c>
      <c r="AG97" s="10"/>
      <c r="AH97" s="10"/>
      <c r="AI97" s="88" t="n">
        <f aca="false">0.95</f>
        <v>0.95</v>
      </c>
      <c r="AJ97" s="88"/>
      <c r="AK97" s="39" t="str">
        <f aca="false">IF(SUM($Z97)=0,"",IF(AND(SUM($Z97)&gt;0,$AI97=""),"ENTER LINKAGE RATE",ROUND($Z97/$AI97,0)))</f>
        <v/>
      </c>
      <c r="AL97" s="39" t="str">
        <f aca="false">IF(SUM($AK97)=0,"",IF(AND($AK97&gt;0,$AJ97=""),"ENTER YIELD RATE",ROUND($AK97/$AJ97-$AK97,0)))</f>
        <v/>
      </c>
      <c r="AM97" s="88" t="n">
        <f aca="false">1</f>
        <v>1</v>
      </c>
      <c r="AN97" s="39" t="str">
        <f aca="false">IF(SUM($AK97)=0,"",ROUND($AK97*$AM97,0))</f>
        <v/>
      </c>
      <c r="AO97" s="10"/>
      <c r="AP97" s="39"/>
    </row>
    <row r="98" customFormat="false" ht="15" hidden="false" customHeight="false" outlineLevel="0" collapsed="false">
      <c r="A98" s="0" t="str">
        <f aca="false">INDEX(Prioritization!$D:$D,MATCH($B98,Prioritization!$A:$A,0))</f>
        <v>1 - Scale-up: Saturation</v>
      </c>
      <c r="B98" s="0" t="s">
        <v>210</v>
      </c>
      <c r="C98" s="0" t="s">
        <v>473</v>
      </c>
      <c r="D98" s="0" t="str">
        <f aca="false">B98&amp;"|"&amp;C98</f>
        <v>Balaka District [ir8wuHHzoSs]|PWID</v>
      </c>
      <c r="E98" s="39"/>
      <c r="F98" s="39"/>
      <c r="G98" s="39"/>
      <c r="H98" s="10"/>
      <c r="I98" s="39"/>
      <c r="J98" s="10"/>
      <c r="K98" s="39"/>
      <c r="L98" s="10"/>
      <c r="M98" s="39"/>
      <c r="N98" s="10"/>
      <c r="O98" s="10"/>
      <c r="P98" s="10" t="str">
        <f aca="false">IF(MAX($N98,$O98)=0,"",MAX($N98,$O98))</f>
        <v/>
      </c>
      <c r="Q98" s="39" t="str">
        <f aca="false">IF(SUM($P98)=0,"",SUM($P98))</f>
        <v/>
      </c>
      <c r="R98" s="10"/>
      <c r="S98" s="10" t="str">
        <f aca="false">IF(SUM($F98)=0,"",SUM($R98)/$F98)</f>
        <v/>
      </c>
      <c r="T98" s="10"/>
      <c r="U98" s="88" t="n">
        <f aca="false">0.98</f>
        <v>0.98</v>
      </c>
      <c r="V98" s="88" t="n">
        <f aca="false">0.98</f>
        <v>0.98</v>
      </c>
      <c r="W98" s="10" t="str">
        <f aca="false">IF(SUM($P98,$Q98)=0,"",SUM($Q98)-SUM($P98))</f>
        <v/>
      </c>
      <c r="X98" s="10" t="str">
        <f aca="false">IFERROR(1/(1/ROUND((SUM($Q98)-(SUM($P98)*SUM($U98)))/$V98,0)),"")</f>
        <v/>
      </c>
      <c r="Y98" s="88" t="n">
        <f aca="false">1</f>
        <v>1</v>
      </c>
      <c r="Z98" s="39" t="str">
        <f aca="false">IFERROR(1/(1/ROUND(SUM($X98)*SUM($Y98),0)),"")</f>
        <v/>
      </c>
      <c r="AA98" s="88" t="n">
        <f aca="false">0.7</f>
        <v>0.7</v>
      </c>
      <c r="AB98" s="10" t="str">
        <f aca="false">IFERROR(1/(1/ROUND($P98+(SUM($X98)*$AA98),0)),"")</f>
        <v/>
      </c>
      <c r="AC98" s="88" t="n">
        <f aca="false">0.95</f>
        <v>0.95</v>
      </c>
      <c r="AD98" s="39" t="str">
        <f aca="false">IF(SUM($AB98)=0,"",ROUND($AB98*$AC98,0))</f>
        <v/>
      </c>
      <c r="AE98" s="88" t="n">
        <f aca="false">0.95</f>
        <v>0.95</v>
      </c>
      <c r="AF98" s="39" t="str">
        <f aca="false">IF(SUM($AD98)=0,"",ROUND($AD98*$AE98,0))</f>
        <v/>
      </c>
      <c r="AG98" s="10"/>
      <c r="AH98" s="10"/>
      <c r="AI98" s="88" t="n">
        <f aca="false">0.95</f>
        <v>0.95</v>
      </c>
      <c r="AJ98" s="88"/>
      <c r="AK98" s="39" t="str">
        <f aca="false">IF(SUM($Z98)=0,"",IF(AND(SUM($Z98)&gt;0,$AI98=""),"ENTER LINKAGE RATE",ROUND($Z98/$AI98,0)))</f>
        <v/>
      </c>
      <c r="AL98" s="39" t="str">
        <f aca="false">IF(SUM($AK98)=0,"",IF(AND($AK98&gt;0,$AJ98=""),"ENTER YIELD RATE",ROUND($AK98/$AJ98-$AK98,0)))</f>
        <v/>
      </c>
      <c r="AM98" s="88" t="n">
        <f aca="false">1</f>
        <v>1</v>
      </c>
      <c r="AN98" s="39" t="str">
        <f aca="false">IF(SUM($AK98)=0,"",ROUND($AK98*$AM98,0))</f>
        <v/>
      </c>
      <c r="AO98" s="10"/>
      <c r="AP98" s="39"/>
    </row>
    <row r="99" customFormat="false" ht="15" hidden="false" customHeight="false" outlineLevel="0" collapsed="false">
      <c r="A99" s="0" t="str">
        <f aca="false">INDEX(Prioritization!$D:$D,MATCH($B99,Prioritization!$A:$A,0))</f>
        <v>1 - Scale-up: Saturation</v>
      </c>
      <c r="B99" s="0" t="s">
        <v>210</v>
      </c>
      <c r="C99" s="0" t="s">
        <v>474</v>
      </c>
      <c r="D99" s="0" t="str">
        <f aca="false">B99&amp;"|"&amp;C99</f>
        <v>Balaka District [ir8wuHHzoSs]|TG</v>
      </c>
      <c r="E99" s="39"/>
      <c r="F99" s="39"/>
      <c r="G99" s="39"/>
      <c r="H99" s="10"/>
      <c r="I99" s="39"/>
      <c r="J99" s="10"/>
      <c r="K99" s="39"/>
      <c r="L99" s="10"/>
      <c r="M99" s="39"/>
      <c r="N99" s="10"/>
      <c r="O99" s="10"/>
      <c r="P99" s="10" t="str">
        <f aca="false">IF(MAX($N99,$O99)=0,"",MAX($N99,$O99))</f>
        <v/>
      </c>
      <c r="Q99" s="39" t="str">
        <f aca="false">IF(SUM($P99)=0,"",SUM($P99))</f>
        <v/>
      </c>
      <c r="R99" s="10"/>
      <c r="S99" s="10" t="str">
        <f aca="false">IF(SUM($F99)=0,"",SUM($R99)/$F99)</f>
        <v/>
      </c>
      <c r="T99" s="10"/>
      <c r="U99" s="88" t="n">
        <f aca="false">0.98</f>
        <v>0.98</v>
      </c>
      <c r="V99" s="88" t="n">
        <f aca="false">0.98</f>
        <v>0.98</v>
      </c>
      <c r="W99" s="10" t="str">
        <f aca="false">IF(SUM($P99,$Q99)=0,"",SUM($Q99)-SUM($P99))</f>
        <v/>
      </c>
      <c r="X99" s="10" t="str">
        <f aca="false">IFERROR(1/(1/ROUND((SUM($Q99)-(SUM($P99)*SUM($U99)))/$V99,0)),"")</f>
        <v/>
      </c>
      <c r="Y99" s="88" t="n">
        <f aca="false">1</f>
        <v>1</v>
      </c>
      <c r="Z99" s="39" t="str">
        <f aca="false">IFERROR(1/(1/ROUND(SUM($X99)*SUM($Y99),0)),"")</f>
        <v/>
      </c>
      <c r="AA99" s="88" t="n">
        <f aca="false">0.7</f>
        <v>0.7</v>
      </c>
      <c r="AB99" s="10" t="str">
        <f aca="false">IFERROR(1/(1/ROUND($P99+(SUM($X99)*$AA99),0)),"")</f>
        <v/>
      </c>
      <c r="AC99" s="88" t="n">
        <f aca="false">0.95</f>
        <v>0.95</v>
      </c>
      <c r="AD99" s="39" t="str">
        <f aca="false">IF(SUM($AB99)=0,"",ROUND($AB99*$AC99,0))</f>
        <v/>
      </c>
      <c r="AE99" s="88" t="n">
        <f aca="false">0.95</f>
        <v>0.95</v>
      </c>
      <c r="AF99" s="39" t="str">
        <f aca="false">IF(SUM($AD99)=0,"",ROUND($AD99*$AE99,0))</f>
        <v/>
      </c>
      <c r="AG99" s="10"/>
      <c r="AH99" s="10"/>
      <c r="AI99" s="88" t="n">
        <f aca="false">0.95</f>
        <v>0.95</v>
      </c>
      <c r="AJ99" s="88"/>
      <c r="AK99" s="39" t="str">
        <f aca="false">IF(SUM($Z99)=0,"",IF(AND(SUM($Z99)&gt;0,$AI99=""),"ENTER LINKAGE RATE",ROUND($Z99/$AI99,0)))</f>
        <v/>
      </c>
      <c r="AL99" s="39" t="str">
        <f aca="false">IF(SUM($AK99)=0,"",IF(AND($AK99&gt;0,$AJ99=""),"ENTER YIELD RATE",ROUND($AK99/$AJ99-$AK99,0)))</f>
        <v/>
      </c>
      <c r="AM99" s="88" t="n">
        <f aca="false">1</f>
        <v>1</v>
      </c>
      <c r="AN99" s="39" t="str">
        <f aca="false">IF(SUM($AK99)=0,"",ROUND($AK99*$AM99,0))</f>
        <v/>
      </c>
      <c r="AO99" s="10"/>
      <c r="AP99" s="39"/>
    </row>
    <row r="100" customFormat="false" ht="15" hidden="false" customHeight="false" outlineLevel="0" collapsed="false">
      <c r="A100" s="0" t="str">
        <f aca="false">INDEX(Prioritization!$D:$D,MATCH($B100,Prioritization!$A:$A,0))</f>
        <v>1 - Scale-up: Saturation</v>
      </c>
      <c r="B100" s="0" t="s">
        <v>211</v>
      </c>
      <c r="C100" s="0" t="s">
        <v>470</v>
      </c>
      <c r="D100" s="0" t="str">
        <f aca="false">B100&amp;"|"&amp;C100</f>
        <v>Blantyre District [mxqa3CDFmIT]|FSW</v>
      </c>
      <c r="E100" s="39"/>
      <c r="F100" s="39"/>
      <c r="G100" s="39"/>
      <c r="H100" s="10"/>
      <c r="I100" s="39"/>
      <c r="J100" s="10" t="n">
        <v>14</v>
      </c>
      <c r="K100" s="39"/>
      <c r="L100" s="10" t="n">
        <v>559</v>
      </c>
      <c r="M100" s="39"/>
      <c r="N100" s="10" t="n">
        <v>34</v>
      </c>
      <c r="O100" s="10" t="n">
        <v>47</v>
      </c>
      <c r="P100" s="10" t="n">
        <f aca="false">IF(MAX($N100,$O100)=0,"",MAX($N100,$O100))</f>
        <v>47</v>
      </c>
      <c r="Q100" s="39" t="n">
        <f aca="false">IF(SUM($P100)=0,"",SUM($P100))</f>
        <v>47</v>
      </c>
      <c r="R100" s="10"/>
      <c r="S100" s="10" t="str">
        <f aca="false">IF(SUM($F100)=0,"",SUM($R100)/$F100)</f>
        <v/>
      </c>
      <c r="T100" s="10" t="n">
        <v>46</v>
      </c>
      <c r="U100" s="88" t="n">
        <f aca="false">0.98</f>
        <v>0.98</v>
      </c>
      <c r="V100" s="88" t="n">
        <f aca="false">0.98</f>
        <v>0.98</v>
      </c>
      <c r="W100" s="10" t="n">
        <f aca="false">IF(SUM($P100,$Q100)=0,"",SUM($Q100)-SUM($P100))</f>
        <v>0</v>
      </c>
      <c r="X100" s="10" t="n">
        <f aca="false">IFERROR(1/(1/ROUND((SUM($Q100)-(SUM($P100)*SUM($U100)))/$V100,0)),"")</f>
        <v>1</v>
      </c>
      <c r="Y100" s="88" t="n">
        <f aca="false">1</f>
        <v>1</v>
      </c>
      <c r="Z100" s="39" t="n">
        <f aca="false">IFERROR(1/(1/ROUND(SUM($X100)*SUM($Y100),0)),"")</f>
        <v>1</v>
      </c>
      <c r="AA100" s="88" t="n">
        <f aca="false">0.7</f>
        <v>0.7</v>
      </c>
      <c r="AB100" s="10" t="n">
        <f aca="false">IFERROR(1/(1/ROUND($P100+(SUM($X100)*$AA100),0)),"")</f>
        <v>48</v>
      </c>
      <c r="AC100" s="88" t="n">
        <f aca="false">0.95</f>
        <v>0.95</v>
      </c>
      <c r="AD100" s="39" t="n">
        <f aca="false">IF(SUM($AB100)=0,"",ROUND($AB100*$AC100,0))</f>
        <v>46</v>
      </c>
      <c r="AE100" s="88" t="n">
        <f aca="false">0.95</f>
        <v>0.95</v>
      </c>
      <c r="AF100" s="39" t="n">
        <f aca="false">IF(SUM($AD100)=0,"",ROUND($AD100*$AE100,0))</f>
        <v>44</v>
      </c>
      <c r="AG100" s="10" t="n">
        <v>98</v>
      </c>
      <c r="AH100" s="10" t="n">
        <v>1</v>
      </c>
      <c r="AI100" s="88" t="n">
        <f aca="false">0.95</f>
        <v>0.95</v>
      </c>
      <c r="AJ100" s="88"/>
      <c r="AK100" s="39" t="n">
        <f aca="false">IF(SUM($Z100)=0,"",IF(AND(SUM($Z100)&gt;0,$AI100=""),"ENTER LINKAGE RATE",ROUND($Z100/$AI100,0)))</f>
        <v>1</v>
      </c>
      <c r="AL100" s="39" t="str">
        <f aca="false">IF(SUM($AK100)=0,"",IF(AND($AK100&gt;0,$AJ100=""),"ENTER YIELD RATE",ROUND($AK100/$AJ100-$AK100,0)))</f>
        <v>ENTER YIELD RATE</v>
      </c>
      <c r="AM100" s="88" t="n">
        <f aca="false">1</f>
        <v>1</v>
      </c>
      <c r="AN100" s="39" t="n">
        <f aca="false">IF(SUM($AK100)=0,"",ROUND($AK100*$AM100,0))</f>
        <v>1</v>
      </c>
      <c r="AO100" s="10" t="n">
        <v>726</v>
      </c>
      <c r="AP100" s="39"/>
    </row>
    <row r="101" customFormat="false" ht="15" hidden="false" customHeight="false" outlineLevel="0" collapsed="false">
      <c r="A101" s="0" t="str">
        <f aca="false">INDEX(Prioritization!$D:$D,MATCH($B101,Prioritization!$A:$A,0))</f>
        <v>1 - Scale-up: Saturation</v>
      </c>
      <c r="B101" s="0" t="s">
        <v>211</v>
      </c>
      <c r="C101" s="0" t="s">
        <v>471</v>
      </c>
      <c r="D101" s="0" t="str">
        <f aca="false">B101&amp;"|"&amp;C101</f>
        <v>Blantyre District [mxqa3CDFmIT]|MSM</v>
      </c>
      <c r="E101" s="39"/>
      <c r="F101" s="39"/>
      <c r="G101" s="39"/>
      <c r="H101" s="10"/>
      <c r="I101" s="39"/>
      <c r="J101" s="10" t="n">
        <v>50</v>
      </c>
      <c r="K101" s="39"/>
      <c r="L101" s="10" t="n">
        <v>489</v>
      </c>
      <c r="M101" s="39"/>
      <c r="N101" s="10" t="n">
        <v>24</v>
      </c>
      <c r="O101" s="10" t="n">
        <v>12</v>
      </c>
      <c r="P101" s="10" t="n">
        <f aca="false">IF(MAX($N101,$O101)=0,"",MAX($N101,$O101))</f>
        <v>24</v>
      </c>
      <c r="Q101" s="39" t="n">
        <f aca="false">IF(SUM($P101)=0,"",SUM($P101))</f>
        <v>24</v>
      </c>
      <c r="R101" s="10"/>
      <c r="S101" s="10" t="str">
        <f aca="false">IF(SUM($F101)=0,"",SUM($R101)/$F101)</f>
        <v/>
      </c>
      <c r="T101" s="10" t="n">
        <v>7</v>
      </c>
      <c r="U101" s="88" t="n">
        <f aca="false">0.98</f>
        <v>0.98</v>
      </c>
      <c r="V101" s="88" t="n">
        <f aca="false">0.98</f>
        <v>0.98</v>
      </c>
      <c r="W101" s="10" t="n">
        <f aca="false">IF(SUM($P101,$Q101)=0,"",SUM($Q101)-SUM($P101))</f>
        <v>0</v>
      </c>
      <c r="X101" s="10" t="str">
        <f aca="false">IFERROR(1/(1/ROUND((SUM($Q101)-(SUM($P101)*SUM($U101)))/$V101,0)),"")</f>
        <v/>
      </c>
      <c r="Y101" s="88" t="n">
        <f aca="false">1</f>
        <v>1</v>
      </c>
      <c r="Z101" s="39" t="str">
        <f aca="false">IFERROR(1/(1/ROUND(SUM($X101)*SUM($Y101),0)),"")</f>
        <v/>
      </c>
      <c r="AA101" s="88" t="n">
        <f aca="false">0.7</f>
        <v>0.7</v>
      </c>
      <c r="AB101" s="10" t="n">
        <f aca="false">IFERROR(1/(1/ROUND($P101+(SUM($X101)*$AA101),0)),"")</f>
        <v>24</v>
      </c>
      <c r="AC101" s="88" t="n">
        <f aca="false">0.95</f>
        <v>0.95</v>
      </c>
      <c r="AD101" s="39" t="n">
        <f aca="false">IF(SUM($AB101)=0,"",ROUND($AB101*$AC101,0))</f>
        <v>23</v>
      </c>
      <c r="AE101" s="88" t="n">
        <f aca="false">0.95</f>
        <v>0.95</v>
      </c>
      <c r="AF101" s="39" t="n">
        <f aca="false">IF(SUM($AD101)=0,"",ROUND($AD101*$AE101,0))</f>
        <v>22</v>
      </c>
      <c r="AG101" s="10" t="n">
        <v>7</v>
      </c>
      <c r="AH101" s="10" t="n">
        <v>1</v>
      </c>
      <c r="AI101" s="88" t="n">
        <f aca="false">0.95</f>
        <v>0.95</v>
      </c>
      <c r="AJ101" s="88"/>
      <c r="AK101" s="39" t="str">
        <f aca="false">IF(SUM($Z101)=0,"",IF(AND(SUM($Z101)&gt;0,$AI101=""),"ENTER LINKAGE RATE",ROUND($Z101/$AI101,0)))</f>
        <v/>
      </c>
      <c r="AL101" s="39" t="str">
        <f aca="false">IF(SUM($AK101)=0,"",IF(AND($AK101&gt;0,$AJ101=""),"ENTER YIELD RATE",ROUND($AK101/$AJ101-$AK101,0)))</f>
        <v/>
      </c>
      <c r="AM101" s="88" t="n">
        <f aca="false">1</f>
        <v>1</v>
      </c>
      <c r="AN101" s="39" t="str">
        <f aca="false">IF(SUM($AK101)=0,"",ROUND($AK101*$AM101,0))</f>
        <v/>
      </c>
      <c r="AO101" s="10" t="n">
        <v>871</v>
      </c>
      <c r="AP101" s="39"/>
    </row>
    <row r="102" customFormat="false" ht="15" hidden="false" customHeight="false" outlineLevel="0" collapsed="false">
      <c r="A102" s="0" t="str">
        <f aca="false">INDEX(Prioritization!$D:$D,MATCH($B102,Prioritization!$A:$A,0))</f>
        <v>1 - Scale-up: Saturation</v>
      </c>
      <c r="B102" s="0" t="s">
        <v>211</v>
      </c>
      <c r="C102" s="0" t="s">
        <v>472</v>
      </c>
      <c r="D102" s="0" t="str">
        <f aca="false">B102&amp;"|"&amp;C102</f>
        <v>Blantyre District [mxqa3CDFmIT]|People in prisons and other enclosed settings</v>
      </c>
      <c r="E102" s="39"/>
      <c r="F102" s="39"/>
      <c r="G102" s="39"/>
      <c r="H102" s="10"/>
      <c r="I102" s="39"/>
      <c r="J102" s="10"/>
      <c r="K102" s="39"/>
      <c r="L102" s="10" t="n">
        <v>525</v>
      </c>
      <c r="M102" s="39"/>
      <c r="N102" s="10" t="n">
        <v>29</v>
      </c>
      <c r="O102" s="10" t="n">
        <v>79</v>
      </c>
      <c r="P102" s="10" t="n">
        <f aca="false">IF(MAX($N102,$O102)=0,"",MAX($N102,$O102))</f>
        <v>79</v>
      </c>
      <c r="Q102" s="39" t="n">
        <f aca="false">IF(SUM($P102)=0,"",SUM($P102))</f>
        <v>79</v>
      </c>
      <c r="R102" s="10"/>
      <c r="S102" s="10" t="str">
        <f aca="false">IF(SUM($F102)=0,"",SUM($R102)/$F102)</f>
        <v/>
      </c>
      <c r="T102" s="10" t="n">
        <v>5</v>
      </c>
      <c r="U102" s="88" t="n">
        <f aca="false">0.98</f>
        <v>0.98</v>
      </c>
      <c r="V102" s="88" t="n">
        <f aca="false">0.98</f>
        <v>0.98</v>
      </c>
      <c r="W102" s="10" t="n">
        <f aca="false">IF(SUM($P102,$Q102)=0,"",SUM($Q102)-SUM($P102))</f>
        <v>0</v>
      </c>
      <c r="X102" s="10" t="n">
        <f aca="false">IFERROR(1/(1/ROUND((SUM($Q102)-(SUM($P102)*SUM($U102)))/$V102,0)),"")</f>
        <v>2</v>
      </c>
      <c r="Y102" s="88" t="n">
        <f aca="false">1</f>
        <v>1</v>
      </c>
      <c r="Z102" s="39" t="n">
        <f aca="false">IFERROR(1/(1/ROUND(SUM($X102)*SUM($Y102),0)),"")</f>
        <v>2</v>
      </c>
      <c r="AA102" s="88" t="n">
        <f aca="false">0.7</f>
        <v>0.7</v>
      </c>
      <c r="AB102" s="10" t="n">
        <f aca="false">IFERROR(1/(1/ROUND($P102+(SUM($X102)*$AA102),0)),"")</f>
        <v>80</v>
      </c>
      <c r="AC102" s="88" t="n">
        <f aca="false">0.95</f>
        <v>0.95</v>
      </c>
      <c r="AD102" s="39" t="n">
        <f aca="false">IF(SUM($AB102)=0,"",ROUND($AB102*$AC102,0))</f>
        <v>76</v>
      </c>
      <c r="AE102" s="88" t="n">
        <f aca="false">0.95</f>
        <v>0.95</v>
      </c>
      <c r="AF102" s="39" t="n">
        <f aca="false">IF(SUM($AD102)=0,"",ROUND($AD102*$AE102,0))</f>
        <v>72</v>
      </c>
      <c r="AG102" s="10" t="n">
        <v>2</v>
      </c>
      <c r="AH102" s="10" t="n">
        <v>0</v>
      </c>
      <c r="AI102" s="88" t="n">
        <f aca="false">0.95</f>
        <v>0.95</v>
      </c>
      <c r="AJ102" s="88"/>
      <c r="AK102" s="39" t="n">
        <f aca="false">IF(SUM($Z102)=0,"",IF(AND(SUM($Z102)&gt;0,$AI102=""),"ENTER LINKAGE RATE",ROUND($Z102/$AI102,0)))</f>
        <v>2</v>
      </c>
      <c r="AL102" s="39" t="str">
        <f aca="false">IF(SUM($AK102)=0,"",IF(AND($AK102&gt;0,$AJ102=""),"ENTER YIELD RATE",ROUND($AK102/$AJ102-$AK102,0)))</f>
        <v>ENTER YIELD RATE</v>
      </c>
      <c r="AM102" s="88" t="n">
        <f aca="false">1</f>
        <v>1</v>
      </c>
      <c r="AN102" s="39" t="n">
        <f aca="false">IF(SUM($AK102)=0,"",ROUND($AK102*$AM102,0))</f>
        <v>2</v>
      </c>
      <c r="AO102" s="10" t="n">
        <v>106</v>
      </c>
      <c r="AP102" s="39"/>
    </row>
    <row r="103" customFormat="false" ht="15" hidden="false" customHeight="false" outlineLevel="0" collapsed="false">
      <c r="A103" s="0" t="str">
        <f aca="false">INDEX(Prioritization!$D:$D,MATCH($B103,Prioritization!$A:$A,0))</f>
        <v>1 - Scale-up: Saturation</v>
      </c>
      <c r="B103" s="0" t="s">
        <v>211</v>
      </c>
      <c r="C103" s="0" t="s">
        <v>473</v>
      </c>
      <c r="D103" s="0" t="str">
        <f aca="false">B103&amp;"|"&amp;C103</f>
        <v>Blantyre District [mxqa3CDFmIT]|PWID</v>
      </c>
      <c r="E103" s="39"/>
      <c r="F103" s="39"/>
      <c r="G103" s="39"/>
      <c r="H103" s="10"/>
      <c r="I103" s="39"/>
      <c r="J103" s="10"/>
      <c r="K103" s="39"/>
      <c r="L103" s="10"/>
      <c r="M103" s="39"/>
      <c r="N103" s="10"/>
      <c r="O103" s="10"/>
      <c r="P103" s="10" t="str">
        <f aca="false">IF(MAX($N103,$O103)=0,"",MAX($N103,$O103))</f>
        <v/>
      </c>
      <c r="Q103" s="39" t="str">
        <f aca="false">IF(SUM($P103)=0,"",SUM($P103))</f>
        <v/>
      </c>
      <c r="R103" s="10"/>
      <c r="S103" s="10" t="str">
        <f aca="false">IF(SUM($F103)=0,"",SUM($R103)/$F103)</f>
        <v/>
      </c>
      <c r="T103" s="10"/>
      <c r="U103" s="88" t="n">
        <f aca="false">0.98</f>
        <v>0.98</v>
      </c>
      <c r="V103" s="88" t="n">
        <f aca="false">0.98</f>
        <v>0.98</v>
      </c>
      <c r="W103" s="10" t="str">
        <f aca="false">IF(SUM($P103,$Q103)=0,"",SUM($Q103)-SUM($P103))</f>
        <v/>
      </c>
      <c r="X103" s="10" t="str">
        <f aca="false">IFERROR(1/(1/ROUND((SUM($Q103)-(SUM($P103)*SUM($U103)))/$V103,0)),"")</f>
        <v/>
      </c>
      <c r="Y103" s="88" t="n">
        <f aca="false">1</f>
        <v>1</v>
      </c>
      <c r="Z103" s="39" t="str">
        <f aca="false">IFERROR(1/(1/ROUND(SUM($X103)*SUM($Y103),0)),"")</f>
        <v/>
      </c>
      <c r="AA103" s="88" t="n">
        <f aca="false">0.7</f>
        <v>0.7</v>
      </c>
      <c r="AB103" s="10" t="str">
        <f aca="false">IFERROR(1/(1/ROUND($P103+(SUM($X103)*$AA103),0)),"")</f>
        <v/>
      </c>
      <c r="AC103" s="88" t="n">
        <f aca="false">0.95</f>
        <v>0.95</v>
      </c>
      <c r="AD103" s="39" t="str">
        <f aca="false">IF(SUM($AB103)=0,"",ROUND($AB103*$AC103,0))</f>
        <v/>
      </c>
      <c r="AE103" s="88" t="n">
        <f aca="false">0.95</f>
        <v>0.95</v>
      </c>
      <c r="AF103" s="39" t="str">
        <f aca="false">IF(SUM($AD103)=0,"",ROUND($AD103*$AE103,0))</f>
        <v/>
      </c>
      <c r="AG103" s="10"/>
      <c r="AH103" s="10"/>
      <c r="AI103" s="88" t="n">
        <f aca="false">0.95</f>
        <v>0.95</v>
      </c>
      <c r="AJ103" s="88"/>
      <c r="AK103" s="39" t="str">
        <f aca="false">IF(SUM($Z103)=0,"",IF(AND(SUM($Z103)&gt;0,$AI103=""),"ENTER LINKAGE RATE",ROUND($Z103/$AI103,0)))</f>
        <v/>
      </c>
      <c r="AL103" s="39" t="str">
        <f aca="false">IF(SUM($AK103)=0,"",IF(AND($AK103&gt;0,$AJ103=""),"ENTER YIELD RATE",ROUND($AK103/$AJ103-$AK103,0)))</f>
        <v/>
      </c>
      <c r="AM103" s="88" t="n">
        <f aca="false">1</f>
        <v>1</v>
      </c>
      <c r="AN103" s="39" t="str">
        <f aca="false">IF(SUM($AK103)=0,"",ROUND($AK103*$AM103,0))</f>
        <v/>
      </c>
      <c r="AO103" s="10"/>
      <c r="AP103" s="39"/>
    </row>
    <row r="104" customFormat="false" ht="15" hidden="false" customHeight="false" outlineLevel="0" collapsed="false">
      <c r="A104" s="0" t="str">
        <f aca="false">INDEX(Prioritization!$D:$D,MATCH($B104,Prioritization!$A:$A,0))</f>
        <v>1 - Scale-up: Saturation</v>
      </c>
      <c r="B104" s="0" t="s">
        <v>211</v>
      </c>
      <c r="C104" s="0" t="s">
        <v>474</v>
      </c>
      <c r="D104" s="0" t="str">
        <f aca="false">B104&amp;"|"&amp;C104</f>
        <v>Blantyre District [mxqa3CDFmIT]|TG</v>
      </c>
      <c r="E104" s="39"/>
      <c r="F104" s="39"/>
      <c r="G104" s="39"/>
      <c r="H104" s="10"/>
      <c r="I104" s="39"/>
      <c r="J104" s="10"/>
      <c r="K104" s="39"/>
      <c r="L104" s="10" t="n">
        <v>71</v>
      </c>
      <c r="M104" s="39"/>
      <c r="N104" s="10" t="n">
        <v>4</v>
      </c>
      <c r="O104" s="10" t="n">
        <v>6</v>
      </c>
      <c r="P104" s="10" t="n">
        <f aca="false">IF(MAX($N104,$O104)=0,"",MAX($N104,$O104))</f>
        <v>6</v>
      </c>
      <c r="Q104" s="39" t="n">
        <f aca="false">IF(SUM($P104)=0,"",SUM($P104))</f>
        <v>6</v>
      </c>
      <c r="R104" s="10"/>
      <c r="S104" s="10" t="str">
        <f aca="false">IF(SUM($F104)=0,"",SUM($R104)/$F104)</f>
        <v/>
      </c>
      <c r="T104" s="10" t="n">
        <v>6</v>
      </c>
      <c r="U104" s="88" t="n">
        <f aca="false">0.98</f>
        <v>0.98</v>
      </c>
      <c r="V104" s="88" t="n">
        <f aca="false">0.98</f>
        <v>0.98</v>
      </c>
      <c r="W104" s="10" t="n">
        <f aca="false">IF(SUM($P104,$Q104)=0,"",SUM($Q104)-SUM($P104))</f>
        <v>0</v>
      </c>
      <c r="X104" s="10" t="str">
        <f aca="false">IFERROR(1/(1/ROUND((SUM($Q104)-(SUM($P104)*SUM($U104)))/$V104,0)),"")</f>
        <v/>
      </c>
      <c r="Y104" s="88" t="n">
        <f aca="false">1</f>
        <v>1</v>
      </c>
      <c r="Z104" s="39" t="str">
        <f aca="false">IFERROR(1/(1/ROUND(SUM($X104)*SUM($Y104),0)),"")</f>
        <v/>
      </c>
      <c r="AA104" s="88" t="n">
        <f aca="false">0.7</f>
        <v>0.7</v>
      </c>
      <c r="AB104" s="10" t="n">
        <f aca="false">IFERROR(1/(1/ROUND($P104+(SUM($X104)*$AA104),0)),"")</f>
        <v>6</v>
      </c>
      <c r="AC104" s="88" t="n">
        <f aca="false">0.95</f>
        <v>0.95</v>
      </c>
      <c r="AD104" s="39" t="n">
        <f aca="false">IF(SUM($AB104)=0,"",ROUND($AB104*$AC104,0))</f>
        <v>6</v>
      </c>
      <c r="AE104" s="88" t="n">
        <f aca="false">0.95</f>
        <v>0.95</v>
      </c>
      <c r="AF104" s="39" t="n">
        <f aca="false">IF(SUM($AD104)=0,"",ROUND($AD104*$AE104,0))</f>
        <v>6</v>
      </c>
      <c r="AG104" s="10" t="n">
        <v>6</v>
      </c>
      <c r="AH104" s="10" t="n">
        <v>0</v>
      </c>
      <c r="AI104" s="88" t="n">
        <f aca="false">0.95</f>
        <v>0.95</v>
      </c>
      <c r="AJ104" s="88"/>
      <c r="AK104" s="39" t="str">
        <f aca="false">IF(SUM($Z104)=0,"",IF(AND(SUM($Z104)&gt;0,$AI104=""),"ENTER LINKAGE RATE",ROUND($Z104/$AI104,0)))</f>
        <v/>
      </c>
      <c r="AL104" s="39" t="str">
        <f aca="false">IF(SUM($AK104)=0,"",IF(AND($AK104&gt;0,$AJ104=""),"ENTER YIELD RATE",ROUND($AK104/$AJ104-$AK104,0)))</f>
        <v/>
      </c>
      <c r="AM104" s="88" t="n">
        <f aca="false">1</f>
        <v>1</v>
      </c>
      <c r="AN104" s="39" t="str">
        <f aca="false">IF(SUM($AK104)=0,"",ROUND($AK104*$AM104,0))</f>
        <v/>
      </c>
      <c r="AO104" s="10"/>
      <c r="AP104" s="39"/>
    </row>
    <row r="105" customFormat="false" ht="15" hidden="false" customHeight="false" outlineLevel="0" collapsed="false">
      <c r="A105" s="0" t="str">
        <f aca="false">INDEX(Prioritization!$D:$D,MATCH($B105,Prioritization!$A:$A,0))</f>
        <v>1 - Scale-up: Saturation</v>
      </c>
      <c r="B105" s="0" t="s">
        <v>212</v>
      </c>
      <c r="C105" s="0" t="s">
        <v>470</v>
      </c>
      <c r="D105" s="0" t="str">
        <f aca="false">B105&amp;"|"&amp;C105</f>
        <v>Chikwawa District [U8c0so51kT6]|FSW</v>
      </c>
      <c r="E105" s="39"/>
      <c r="F105" s="39"/>
      <c r="G105" s="39"/>
      <c r="H105" s="10"/>
      <c r="I105" s="39"/>
      <c r="J105" s="10" t="n">
        <v>91</v>
      </c>
      <c r="K105" s="39"/>
      <c r="L105" s="10" t="n">
        <v>452</v>
      </c>
      <c r="M105" s="39"/>
      <c r="N105" s="10" t="n">
        <v>71</v>
      </c>
      <c r="O105" s="10" t="n">
        <v>86</v>
      </c>
      <c r="P105" s="10" t="n">
        <f aca="false">IF(MAX($N105,$O105)=0,"",MAX($N105,$O105))</f>
        <v>86</v>
      </c>
      <c r="Q105" s="39" t="n">
        <f aca="false">IF(SUM($P105)=0,"",SUM($P105))</f>
        <v>86</v>
      </c>
      <c r="R105" s="10"/>
      <c r="S105" s="10" t="str">
        <f aca="false">IF(SUM($F105)=0,"",SUM($R105)/$F105)</f>
        <v/>
      </c>
      <c r="T105" s="10" t="n">
        <v>4</v>
      </c>
      <c r="U105" s="88" t="n">
        <f aca="false">0.98</f>
        <v>0.98</v>
      </c>
      <c r="V105" s="88" t="n">
        <f aca="false">0.98</f>
        <v>0.98</v>
      </c>
      <c r="W105" s="10" t="n">
        <f aca="false">IF(SUM($P105,$Q105)=0,"",SUM($Q105)-SUM($P105))</f>
        <v>0</v>
      </c>
      <c r="X105" s="10" t="n">
        <f aca="false">IFERROR(1/(1/ROUND((SUM($Q105)-(SUM($P105)*SUM($U105)))/$V105,0)),"")</f>
        <v>2</v>
      </c>
      <c r="Y105" s="88" t="n">
        <f aca="false">1</f>
        <v>1</v>
      </c>
      <c r="Z105" s="39" t="n">
        <f aca="false">IFERROR(1/(1/ROUND(SUM($X105)*SUM($Y105),0)),"")</f>
        <v>2</v>
      </c>
      <c r="AA105" s="88" t="n">
        <f aca="false">0.7</f>
        <v>0.7</v>
      </c>
      <c r="AB105" s="10" t="n">
        <f aca="false">IFERROR(1/(1/ROUND($P105+(SUM($X105)*$AA105),0)),"")</f>
        <v>87</v>
      </c>
      <c r="AC105" s="88" t="n">
        <f aca="false">0.95</f>
        <v>0.95</v>
      </c>
      <c r="AD105" s="39" t="n">
        <f aca="false">IF(SUM($AB105)=0,"",ROUND($AB105*$AC105,0))</f>
        <v>83</v>
      </c>
      <c r="AE105" s="88" t="n">
        <f aca="false">0.95</f>
        <v>0.95</v>
      </c>
      <c r="AF105" s="39" t="n">
        <f aca="false">IF(SUM($AD105)=0,"",ROUND($AD105*$AE105,0))</f>
        <v>79</v>
      </c>
      <c r="AG105" s="10" t="n">
        <v>2</v>
      </c>
      <c r="AH105" s="10" t="n">
        <v>1</v>
      </c>
      <c r="AI105" s="88" t="n">
        <f aca="false">0.95</f>
        <v>0.95</v>
      </c>
      <c r="AJ105" s="88"/>
      <c r="AK105" s="39" t="n">
        <f aca="false">IF(SUM($Z105)=0,"",IF(AND(SUM($Z105)&gt;0,$AI105=""),"ENTER LINKAGE RATE",ROUND($Z105/$AI105,0)))</f>
        <v>2</v>
      </c>
      <c r="AL105" s="39" t="str">
        <f aca="false">IF(SUM($AK105)=0,"",IF(AND($AK105&gt;0,$AJ105=""),"ENTER YIELD RATE",ROUND($AK105/$AJ105-$AK105,0)))</f>
        <v>ENTER YIELD RATE</v>
      </c>
      <c r="AM105" s="88" t="n">
        <f aca="false">1</f>
        <v>1</v>
      </c>
      <c r="AN105" s="39" t="n">
        <f aca="false">IF(SUM($AK105)=0,"",ROUND($AK105*$AM105,0))</f>
        <v>2</v>
      </c>
      <c r="AO105" s="10" t="n">
        <v>39</v>
      </c>
      <c r="AP105" s="39"/>
    </row>
    <row r="106" customFormat="false" ht="15" hidden="false" customHeight="false" outlineLevel="0" collapsed="false">
      <c r="A106" s="0" t="str">
        <f aca="false">INDEX(Prioritization!$D:$D,MATCH($B106,Prioritization!$A:$A,0))</f>
        <v>1 - Scale-up: Saturation</v>
      </c>
      <c r="B106" s="0" t="s">
        <v>212</v>
      </c>
      <c r="C106" s="0" t="s">
        <v>471</v>
      </c>
      <c r="D106" s="0" t="str">
        <f aca="false">B106&amp;"|"&amp;C106</f>
        <v>Chikwawa District [U8c0so51kT6]|MSM</v>
      </c>
      <c r="E106" s="39"/>
      <c r="F106" s="39"/>
      <c r="G106" s="39"/>
      <c r="H106" s="10"/>
      <c r="I106" s="39"/>
      <c r="J106" s="10" t="n">
        <v>19</v>
      </c>
      <c r="K106" s="39"/>
      <c r="L106" s="10" t="n">
        <v>93</v>
      </c>
      <c r="M106" s="39"/>
      <c r="N106" s="10" t="n">
        <v>53</v>
      </c>
      <c r="O106" s="10" t="n">
        <v>42</v>
      </c>
      <c r="P106" s="10" t="n">
        <f aca="false">IF(MAX($N106,$O106)=0,"",MAX($N106,$O106))</f>
        <v>53</v>
      </c>
      <c r="Q106" s="39" t="n">
        <f aca="false">IF(SUM($P106)=0,"",SUM($P106))</f>
        <v>53</v>
      </c>
      <c r="R106" s="10"/>
      <c r="S106" s="10" t="str">
        <f aca="false">IF(SUM($F106)=0,"",SUM($R106)/$F106)</f>
        <v/>
      </c>
      <c r="T106" s="10" t="n">
        <v>7</v>
      </c>
      <c r="U106" s="88" t="n">
        <f aca="false">0.98</f>
        <v>0.98</v>
      </c>
      <c r="V106" s="88" t="n">
        <f aca="false">0.98</f>
        <v>0.98</v>
      </c>
      <c r="W106" s="10" t="n">
        <f aca="false">IF(SUM($P106,$Q106)=0,"",SUM($Q106)-SUM($P106))</f>
        <v>0</v>
      </c>
      <c r="X106" s="10" t="n">
        <f aca="false">IFERROR(1/(1/ROUND((SUM($Q106)-(SUM($P106)*SUM($U106)))/$V106,0)),"")</f>
        <v>1</v>
      </c>
      <c r="Y106" s="88" t="n">
        <f aca="false">1</f>
        <v>1</v>
      </c>
      <c r="Z106" s="39" t="n">
        <f aca="false">IFERROR(1/(1/ROUND(SUM($X106)*SUM($Y106),0)),"")</f>
        <v>1</v>
      </c>
      <c r="AA106" s="88" t="n">
        <f aca="false">0.7</f>
        <v>0.7</v>
      </c>
      <c r="AB106" s="10" t="n">
        <f aca="false">IFERROR(1/(1/ROUND($P106+(SUM($X106)*$AA106),0)),"")</f>
        <v>54</v>
      </c>
      <c r="AC106" s="88" t="n">
        <f aca="false">0.95</f>
        <v>0.95</v>
      </c>
      <c r="AD106" s="39" t="n">
        <f aca="false">IF(SUM($AB106)=0,"",ROUND($AB106*$AC106,0))</f>
        <v>51</v>
      </c>
      <c r="AE106" s="88" t="n">
        <f aca="false">0.95</f>
        <v>0.95</v>
      </c>
      <c r="AF106" s="39" t="n">
        <f aca="false">IF(SUM($AD106)=0,"",ROUND($AD106*$AE106,0))</f>
        <v>48</v>
      </c>
      <c r="AG106" s="10" t="n">
        <v>2</v>
      </c>
      <c r="AH106" s="10" t="n">
        <v>1</v>
      </c>
      <c r="AI106" s="88" t="n">
        <f aca="false">0.95</f>
        <v>0.95</v>
      </c>
      <c r="AJ106" s="88"/>
      <c r="AK106" s="39" t="n">
        <f aca="false">IF(SUM($Z106)=0,"",IF(AND(SUM($Z106)&gt;0,$AI106=""),"ENTER LINKAGE RATE",ROUND($Z106/$AI106,0)))</f>
        <v>1</v>
      </c>
      <c r="AL106" s="39" t="str">
        <f aca="false">IF(SUM($AK106)=0,"",IF(AND($AK106&gt;0,$AJ106=""),"ENTER YIELD RATE",ROUND($AK106/$AJ106-$AK106,0)))</f>
        <v>ENTER YIELD RATE</v>
      </c>
      <c r="AM106" s="88" t="n">
        <f aca="false">1</f>
        <v>1</v>
      </c>
      <c r="AN106" s="39" t="n">
        <f aca="false">IF(SUM($AK106)=0,"",ROUND($AK106*$AM106,0))</f>
        <v>1</v>
      </c>
      <c r="AO106" s="10" t="n">
        <v>64</v>
      </c>
      <c r="AP106" s="39"/>
    </row>
    <row r="107" customFormat="false" ht="15" hidden="false" customHeight="false" outlineLevel="0" collapsed="false">
      <c r="A107" s="0" t="str">
        <f aca="false">INDEX(Prioritization!$D:$D,MATCH($B107,Prioritization!$A:$A,0))</f>
        <v>1 - Scale-up: Saturation</v>
      </c>
      <c r="B107" s="0" t="s">
        <v>212</v>
      </c>
      <c r="C107" s="0" t="s">
        <v>472</v>
      </c>
      <c r="D107" s="0" t="str">
        <f aca="false">B107&amp;"|"&amp;C107</f>
        <v>Chikwawa District [U8c0so51kT6]|People in prisons and other enclosed settings</v>
      </c>
      <c r="E107" s="39"/>
      <c r="F107" s="39"/>
      <c r="G107" s="39"/>
      <c r="H107" s="10"/>
      <c r="I107" s="39"/>
      <c r="J107" s="10"/>
      <c r="K107" s="39"/>
      <c r="L107" s="10"/>
      <c r="M107" s="39"/>
      <c r="N107" s="10"/>
      <c r="O107" s="10"/>
      <c r="P107" s="10" t="str">
        <f aca="false">IF(MAX($N107,$O107)=0,"",MAX($N107,$O107))</f>
        <v/>
      </c>
      <c r="Q107" s="39" t="str">
        <f aca="false">IF(SUM($P107)=0,"",SUM($P107))</f>
        <v/>
      </c>
      <c r="R107" s="10"/>
      <c r="S107" s="10" t="str">
        <f aca="false">IF(SUM($F107)=0,"",SUM($R107)/$F107)</f>
        <v/>
      </c>
      <c r="T107" s="10"/>
      <c r="U107" s="88" t="n">
        <f aca="false">0.98</f>
        <v>0.98</v>
      </c>
      <c r="V107" s="88" t="n">
        <f aca="false">0.98</f>
        <v>0.98</v>
      </c>
      <c r="W107" s="10" t="str">
        <f aca="false">IF(SUM($P107,$Q107)=0,"",SUM($Q107)-SUM($P107))</f>
        <v/>
      </c>
      <c r="X107" s="10" t="str">
        <f aca="false">IFERROR(1/(1/ROUND((SUM($Q107)-(SUM($P107)*SUM($U107)))/$V107,0)),"")</f>
        <v/>
      </c>
      <c r="Y107" s="88" t="n">
        <f aca="false">1</f>
        <v>1</v>
      </c>
      <c r="Z107" s="39" t="str">
        <f aca="false">IFERROR(1/(1/ROUND(SUM($X107)*SUM($Y107),0)),"")</f>
        <v/>
      </c>
      <c r="AA107" s="88" t="n">
        <f aca="false">0.7</f>
        <v>0.7</v>
      </c>
      <c r="AB107" s="10" t="str">
        <f aca="false">IFERROR(1/(1/ROUND($P107+(SUM($X107)*$AA107),0)),"")</f>
        <v/>
      </c>
      <c r="AC107" s="88" t="n">
        <f aca="false">0.95</f>
        <v>0.95</v>
      </c>
      <c r="AD107" s="39" t="str">
        <f aca="false">IF(SUM($AB107)=0,"",ROUND($AB107*$AC107,0))</f>
        <v/>
      </c>
      <c r="AE107" s="88" t="n">
        <f aca="false">0.95</f>
        <v>0.95</v>
      </c>
      <c r="AF107" s="39" t="str">
        <f aca="false">IF(SUM($AD107)=0,"",ROUND($AD107*$AE107,0))</f>
        <v/>
      </c>
      <c r="AG107" s="10"/>
      <c r="AH107" s="10"/>
      <c r="AI107" s="88" t="n">
        <f aca="false">0.95</f>
        <v>0.95</v>
      </c>
      <c r="AJ107" s="88"/>
      <c r="AK107" s="39" t="str">
        <f aca="false">IF(SUM($Z107)=0,"",IF(AND(SUM($Z107)&gt;0,$AI107=""),"ENTER LINKAGE RATE",ROUND($Z107/$AI107,0)))</f>
        <v/>
      </c>
      <c r="AL107" s="39" t="str">
        <f aca="false">IF(SUM($AK107)=0,"",IF(AND($AK107&gt;0,$AJ107=""),"ENTER YIELD RATE",ROUND($AK107/$AJ107-$AK107,0)))</f>
        <v/>
      </c>
      <c r="AM107" s="88" t="n">
        <f aca="false">1</f>
        <v>1</v>
      </c>
      <c r="AN107" s="39" t="str">
        <f aca="false">IF(SUM($AK107)=0,"",ROUND($AK107*$AM107,0))</f>
        <v/>
      </c>
      <c r="AO107" s="10"/>
      <c r="AP107" s="39"/>
    </row>
    <row r="108" customFormat="false" ht="15" hidden="false" customHeight="false" outlineLevel="0" collapsed="false">
      <c r="A108" s="0" t="str">
        <f aca="false">INDEX(Prioritization!$D:$D,MATCH($B108,Prioritization!$A:$A,0))</f>
        <v>1 - Scale-up: Saturation</v>
      </c>
      <c r="B108" s="0" t="s">
        <v>212</v>
      </c>
      <c r="C108" s="0" t="s">
        <v>473</v>
      </c>
      <c r="D108" s="0" t="str">
        <f aca="false">B108&amp;"|"&amp;C108</f>
        <v>Chikwawa District [U8c0so51kT6]|PWID</v>
      </c>
      <c r="E108" s="39"/>
      <c r="F108" s="39"/>
      <c r="G108" s="39"/>
      <c r="H108" s="10"/>
      <c r="I108" s="39"/>
      <c r="J108" s="10"/>
      <c r="K108" s="39"/>
      <c r="L108" s="10"/>
      <c r="M108" s="39"/>
      <c r="N108" s="10"/>
      <c r="O108" s="10"/>
      <c r="P108" s="10" t="str">
        <f aca="false">IF(MAX($N108,$O108)=0,"",MAX($N108,$O108))</f>
        <v/>
      </c>
      <c r="Q108" s="39" t="str">
        <f aca="false">IF(SUM($P108)=0,"",SUM($P108))</f>
        <v/>
      </c>
      <c r="R108" s="10"/>
      <c r="S108" s="10" t="str">
        <f aca="false">IF(SUM($F108)=0,"",SUM($R108)/$F108)</f>
        <v/>
      </c>
      <c r="T108" s="10"/>
      <c r="U108" s="88" t="n">
        <f aca="false">0.98</f>
        <v>0.98</v>
      </c>
      <c r="V108" s="88" t="n">
        <f aca="false">0.98</f>
        <v>0.98</v>
      </c>
      <c r="W108" s="10" t="str">
        <f aca="false">IF(SUM($P108,$Q108)=0,"",SUM($Q108)-SUM($P108))</f>
        <v/>
      </c>
      <c r="X108" s="10" t="str">
        <f aca="false">IFERROR(1/(1/ROUND((SUM($Q108)-(SUM($P108)*SUM($U108)))/$V108,0)),"")</f>
        <v/>
      </c>
      <c r="Y108" s="88" t="n">
        <f aca="false">1</f>
        <v>1</v>
      </c>
      <c r="Z108" s="39" t="str">
        <f aca="false">IFERROR(1/(1/ROUND(SUM($X108)*SUM($Y108),0)),"")</f>
        <v/>
      </c>
      <c r="AA108" s="88" t="n">
        <f aca="false">0.7</f>
        <v>0.7</v>
      </c>
      <c r="AB108" s="10" t="str">
        <f aca="false">IFERROR(1/(1/ROUND($P108+(SUM($X108)*$AA108),0)),"")</f>
        <v/>
      </c>
      <c r="AC108" s="88" t="n">
        <f aca="false">0.95</f>
        <v>0.95</v>
      </c>
      <c r="AD108" s="39" t="str">
        <f aca="false">IF(SUM($AB108)=0,"",ROUND($AB108*$AC108,0))</f>
        <v/>
      </c>
      <c r="AE108" s="88" t="n">
        <f aca="false">0.95</f>
        <v>0.95</v>
      </c>
      <c r="AF108" s="39" t="str">
        <f aca="false">IF(SUM($AD108)=0,"",ROUND($AD108*$AE108,0))</f>
        <v/>
      </c>
      <c r="AG108" s="10"/>
      <c r="AH108" s="10"/>
      <c r="AI108" s="88" t="n">
        <f aca="false">0.95</f>
        <v>0.95</v>
      </c>
      <c r="AJ108" s="88"/>
      <c r="AK108" s="39" t="str">
        <f aca="false">IF(SUM($Z108)=0,"",IF(AND(SUM($Z108)&gt;0,$AI108=""),"ENTER LINKAGE RATE",ROUND($Z108/$AI108,0)))</f>
        <v/>
      </c>
      <c r="AL108" s="39" t="str">
        <f aca="false">IF(SUM($AK108)=0,"",IF(AND($AK108&gt;0,$AJ108=""),"ENTER YIELD RATE",ROUND($AK108/$AJ108-$AK108,0)))</f>
        <v/>
      </c>
      <c r="AM108" s="88" t="n">
        <f aca="false">1</f>
        <v>1</v>
      </c>
      <c r="AN108" s="39" t="str">
        <f aca="false">IF(SUM($AK108)=0,"",ROUND($AK108*$AM108,0))</f>
        <v/>
      </c>
      <c r="AO108" s="10"/>
      <c r="AP108" s="39"/>
    </row>
    <row r="109" customFormat="false" ht="15" hidden="false" customHeight="false" outlineLevel="0" collapsed="false">
      <c r="A109" s="0" t="str">
        <f aca="false">INDEX(Prioritization!$D:$D,MATCH($B109,Prioritization!$A:$A,0))</f>
        <v>1 - Scale-up: Saturation</v>
      </c>
      <c r="B109" s="0" t="s">
        <v>212</v>
      </c>
      <c r="C109" s="0" t="s">
        <v>474</v>
      </c>
      <c r="D109" s="0" t="str">
        <f aca="false">B109&amp;"|"&amp;C109</f>
        <v>Chikwawa District [U8c0so51kT6]|TG</v>
      </c>
      <c r="E109" s="39"/>
      <c r="F109" s="39"/>
      <c r="G109" s="39"/>
      <c r="H109" s="10"/>
      <c r="I109" s="39"/>
      <c r="J109" s="10"/>
      <c r="K109" s="39"/>
      <c r="L109" s="10"/>
      <c r="M109" s="39"/>
      <c r="N109" s="10"/>
      <c r="O109" s="10"/>
      <c r="P109" s="10" t="str">
        <f aca="false">IF(MAX($N109,$O109)=0,"",MAX($N109,$O109))</f>
        <v/>
      </c>
      <c r="Q109" s="39" t="str">
        <f aca="false">IF(SUM($P109)=0,"",SUM($P109))</f>
        <v/>
      </c>
      <c r="R109" s="10"/>
      <c r="S109" s="10" t="str">
        <f aca="false">IF(SUM($F109)=0,"",SUM($R109)/$F109)</f>
        <v/>
      </c>
      <c r="T109" s="10"/>
      <c r="U109" s="88" t="n">
        <f aca="false">0.98</f>
        <v>0.98</v>
      </c>
      <c r="V109" s="88" t="n">
        <f aca="false">0.98</f>
        <v>0.98</v>
      </c>
      <c r="W109" s="10" t="str">
        <f aca="false">IF(SUM($P109,$Q109)=0,"",SUM($Q109)-SUM($P109))</f>
        <v/>
      </c>
      <c r="X109" s="10" t="str">
        <f aca="false">IFERROR(1/(1/ROUND((SUM($Q109)-(SUM($P109)*SUM($U109)))/$V109,0)),"")</f>
        <v/>
      </c>
      <c r="Y109" s="88" t="n">
        <f aca="false">1</f>
        <v>1</v>
      </c>
      <c r="Z109" s="39" t="str">
        <f aca="false">IFERROR(1/(1/ROUND(SUM($X109)*SUM($Y109),0)),"")</f>
        <v/>
      </c>
      <c r="AA109" s="88" t="n">
        <f aca="false">0.7</f>
        <v>0.7</v>
      </c>
      <c r="AB109" s="10" t="str">
        <f aca="false">IFERROR(1/(1/ROUND($P109+(SUM($X109)*$AA109),0)),"")</f>
        <v/>
      </c>
      <c r="AC109" s="88" t="n">
        <f aca="false">0.95</f>
        <v>0.95</v>
      </c>
      <c r="AD109" s="39" t="str">
        <f aca="false">IF(SUM($AB109)=0,"",ROUND($AB109*$AC109,0))</f>
        <v/>
      </c>
      <c r="AE109" s="88" t="n">
        <f aca="false">0.95</f>
        <v>0.95</v>
      </c>
      <c r="AF109" s="39" t="str">
        <f aca="false">IF(SUM($AD109)=0,"",ROUND($AD109*$AE109,0))</f>
        <v/>
      </c>
      <c r="AG109" s="10"/>
      <c r="AH109" s="10"/>
      <c r="AI109" s="88" t="n">
        <f aca="false">0.95</f>
        <v>0.95</v>
      </c>
      <c r="AJ109" s="88"/>
      <c r="AK109" s="39" t="str">
        <f aca="false">IF(SUM($Z109)=0,"",IF(AND(SUM($Z109)&gt;0,$AI109=""),"ENTER LINKAGE RATE",ROUND($Z109/$AI109,0)))</f>
        <v/>
      </c>
      <c r="AL109" s="39" t="str">
        <f aca="false">IF(SUM($AK109)=0,"",IF(AND($AK109&gt;0,$AJ109=""),"ENTER YIELD RATE",ROUND($AK109/$AJ109-$AK109,0)))</f>
        <v/>
      </c>
      <c r="AM109" s="88" t="n">
        <f aca="false">1</f>
        <v>1</v>
      </c>
      <c r="AN109" s="39" t="str">
        <f aca="false">IF(SUM($AK109)=0,"",ROUND($AK109*$AM109,0))</f>
        <v/>
      </c>
      <c r="AO109" s="10"/>
      <c r="AP109" s="39"/>
    </row>
    <row r="110" customFormat="false" ht="15" hidden="false" customHeight="false" outlineLevel="0" collapsed="false">
      <c r="A110" s="0" t="str">
        <f aca="false">INDEX(Prioritization!$D:$D,MATCH($B110,Prioritization!$A:$A,0))</f>
        <v>1 - Scale-up: Saturation</v>
      </c>
      <c r="B110" s="0" t="s">
        <v>213</v>
      </c>
      <c r="C110" s="0" t="s">
        <v>470</v>
      </c>
      <c r="D110" s="0" t="str">
        <f aca="false">B110&amp;"|"&amp;C110</f>
        <v>Chiradzulu District [oiPR2CiVJbf]|FSW</v>
      </c>
      <c r="E110" s="39"/>
      <c r="F110" s="39"/>
      <c r="G110" s="39"/>
      <c r="H110" s="10"/>
      <c r="I110" s="39"/>
      <c r="J110" s="10" t="n">
        <v>56</v>
      </c>
      <c r="K110" s="39"/>
      <c r="L110" s="10" t="n">
        <v>95</v>
      </c>
      <c r="M110" s="39"/>
      <c r="N110" s="10" t="n">
        <v>99</v>
      </c>
      <c r="O110" s="10" t="n">
        <v>29</v>
      </c>
      <c r="P110" s="10" t="n">
        <f aca="false">IF(MAX($N110,$O110)=0,"",MAX($N110,$O110))</f>
        <v>99</v>
      </c>
      <c r="Q110" s="39" t="n">
        <f aca="false">IF(SUM($P110)=0,"",SUM($P110))</f>
        <v>99</v>
      </c>
      <c r="R110" s="10"/>
      <c r="S110" s="10" t="str">
        <f aca="false">IF(SUM($F110)=0,"",SUM($R110)/$F110)</f>
        <v/>
      </c>
      <c r="T110" s="10" t="n">
        <v>2</v>
      </c>
      <c r="U110" s="88" t="n">
        <f aca="false">0.98</f>
        <v>0.98</v>
      </c>
      <c r="V110" s="88" t="n">
        <f aca="false">0.98</f>
        <v>0.98</v>
      </c>
      <c r="W110" s="10" t="n">
        <f aca="false">IF(SUM($P110,$Q110)=0,"",SUM($Q110)-SUM($P110))</f>
        <v>0</v>
      </c>
      <c r="X110" s="10" t="n">
        <f aca="false">IFERROR(1/(1/ROUND((SUM($Q110)-(SUM($P110)*SUM($U110)))/$V110,0)),"")</f>
        <v>2</v>
      </c>
      <c r="Y110" s="88" t="n">
        <f aca="false">1</f>
        <v>1</v>
      </c>
      <c r="Z110" s="39" t="n">
        <f aca="false">IFERROR(1/(1/ROUND(SUM($X110)*SUM($Y110),0)),"")</f>
        <v>2</v>
      </c>
      <c r="AA110" s="88" t="n">
        <f aca="false">0.7</f>
        <v>0.7</v>
      </c>
      <c r="AB110" s="10" t="n">
        <f aca="false">IFERROR(1/(1/ROUND($P110+(SUM($X110)*$AA110),0)),"")</f>
        <v>100</v>
      </c>
      <c r="AC110" s="88" t="n">
        <f aca="false">0.95</f>
        <v>0.95</v>
      </c>
      <c r="AD110" s="39" t="n">
        <f aca="false">IF(SUM($AB110)=0,"",ROUND($AB110*$AC110,0))</f>
        <v>95</v>
      </c>
      <c r="AE110" s="88" t="n">
        <f aca="false">0.95</f>
        <v>0.95</v>
      </c>
      <c r="AF110" s="39" t="n">
        <f aca="false">IF(SUM($AD110)=0,"",ROUND($AD110*$AE110,0))</f>
        <v>90</v>
      </c>
      <c r="AG110" s="10" t="n">
        <v>8</v>
      </c>
      <c r="AH110" s="10" t="n">
        <v>1</v>
      </c>
      <c r="AI110" s="88" t="n">
        <f aca="false">0.95</f>
        <v>0.95</v>
      </c>
      <c r="AJ110" s="88"/>
      <c r="AK110" s="39" t="n">
        <f aca="false">IF(SUM($Z110)=0,"",IF(AND(SUM($Z110)&gt;0,$AI110=""),"ENTER LINKAGE RATE",ROUND($Z110/$AI110,0)))</f>
        <v>2</v>
      </c>
      <c r="AL110" s="39" t="str">
        <f aca="false">IF(SUM($AK110)=0,"",IF(AND($AK110&gt;0,$AJ110=""),"ENTER YIELD RATE",ROUND($AK110/$AJ110-$AK110,0)))</f>
        <v>ENTER YIELD RATE</v>
      </c>
      <c r="AM110" s="88" t="n">
        <f aca="false">1</f>
        <v>1</v>
      </c>
      <c r="AN110" s="39" t="n">
        <f aca="false">IF(SUM($AK110)=0,"",ROUND($AK110*$AM110,0))</f>
        <v>2</v>
      </c>
      <c r="AO110" s="10" t="n">
        <v>69</v>
      </c>
      <c r="AP110" s="39"/>
    </row>
    <row r="111" customFormat="false" ht="15" hidden="false" customHeight="false" outlineLevel="0" collapsed="false">
      <c r="A111" s="0" t="str">
        <f aca="false">INDEX(Prioritization!$D:$D,MATCH($B111,Prioritization!$A:$A,0))</f>
        <v>1 - Scale-up: Saturation</v>
      </c>
      <c r="B111" s="0" t="s">
        <v>213</v>
      </c>
      <c r="C111" s="0" t="s">
        <v>471</v>
      </c>
      <c r="D111" s="0" t="str">
        <f aca="false">B111&amp;"|"&amp;C111</f>
        <v>Chiradzulu District [oiPR2CiVJbf]|MSM</v>
      </c>
      <c r="E111" s="39"/>
      <c r="F111" s="39"/>
      <c r="G111" s="39"/>
      <c r="H111" s="10"/>
      <c r="I111" s="39"/>
      <c r="J111" s="10" t="n">
        <v>93</v>
      </c>
      <c r="K111" s="39"/>
      <c r="L111" s="10" t="n">
        <v>56</v>
      </c>
      <c r="M111" s="39"/>
      <c r="N111" s="10" t="n">
        <v>10</v>
      </c>
      <c r="O111" s="10" t="n">
        <v>4</v>
      </c>
      <c r="P111" s="10" t="n">
        <f aca="false">IF(MAX($N111,$O111)=0,"",MAX($N111,$O111))</f>
        <v>10</v>
      </c>
      <c r="Q111" s="39" t="n">
        <f aca="false">IF(SUM($P111)=0,"",SUM($P111))</f>
        <v>10</v>
      </c>
      <c r="R111" s="10"/>
      <c r="S111" s="10" t="str">
        <f aca="false">IF(SUM($F111)=0,"",SUM($R111)/$F111)</f>
        <v/>
      </c>
      <c r="T111" s="10" t="n">
        <v>7</v>
      </c>
      <c r="U111" s="88" t="n">
        <f aca="false">0.98</f>
        <v>0.98</v>
      </c>
      <c r="V111" s="88" t="n">
        <f aca="false">0.98</f>
        <v>0.98</v>
      </c>
      <c r="W111" s="10" t="n">
        <f aca="false">IF(SUM($P111,$Q111)=0,"",SUM($Q111)-SUM($P111))</f>
        <v>0</v>
      </c>
      <c r="X111" s="10" t="str">
        <f aca="false">IFERROR(1/(1/ROUND((SUM($Q111)-(SUM($P111)*SUM($U111)))/$V111,0)),"")</f>
        <v/>
      </c>
      <c r="Y111" s="88" t="n">
        <f aca="false">1</f>
        <v>1</v>
      </c>
      <c r="Z111" s="39" t="str">
        <f aca="false">IFERROR(1/(1/ROUND(SUM($X111)*SUM($Y111),0)),"")</f>
        <v/>
      </c>
      <c r="AA111" s="88" t="n">
        <f aca="false">0.7</f>
        <v>0.7</v>
      </c>
      <c r="AB111" s="10" t="n">
        <f aca="false">IFERROR(1/(1/ROUND($P111+(SUM($X111)*$AA111),0)),"")</f>
        <v>10</v>
      </c>
      <c r="AC111" s="88" t="n">
        <f aca="false">0.95</f>
        <v>0.95</v>
      </c>
      <c r="AD111" s="39" t="n">
        <f aca="false">IF(SUM($AB111)=0,"",ROUND($AB111*$AC111,0))</f>
        <v>10</v>
      </c>
      <c r="AE111" s="88" t="n">
        <f aca="false">0.95</f>
        <v>0.95</v>
      </c>
      <c r="AF111" s="39" t="n">
        <f aca="false">IF(SUM($AD111)=0,"",ROUND($AD111*$AE111,0))</f>
        <v>10</v>
      </c>
      <c r="AG111" s="10" t="n">
        <v>9</v>
      </c>
      <c r="AH111" s="10" t="n">
        <v>1</v>
      </c>
      <c r="AI111" s="88" t="n">
        <f aca="false">0.95</f>
        <v>0.95</v>
      </c>
      <c r="AJ111" s="88"/>
      <c r="AK111" s="39" t="str">
        <f aca="false">IF(SUM($Z111)=0,"",IF(AND(SUM($Z111)&gt;0,$AI111=""),"ENTER LINKAGE RATE",ROUND($Z111/$AI111,0)))</f>
        <v/>
      </c>
      <c r="AL111" s="39" t="str">
        <f aca="false">IF(SUM($AK111)=0,"",IF(AND($AK111&gt;0,$AJ111=""),"ENTER YIELD RATE",ROUND($AK111/$AJ111-$AK111,0)))</f>
        <v/>
      </c>
      <c r="AM111" s="88" t="n">
        <f aca="false">1</f>
        <v>1</v>
      </c>
      <c r="AN111" s="39" t="str">
        <f aca="false">IF(SUM($AK111)=0,"",ROUND($AK111*$AM111,0))</f>
        <v/>
      </c>
      <c r="AO111" s="10" t="n">
        <v>32</v>
      </c>
      <c r="AP111" s="39"/>
    </row>
    <row r="112" customFormat="false" ht="15" hidden="false" customHeight="false" outlineLevel="0" collapsed="false">
      <c r="A112" s="0" t="str">
        <f aca="false">INDEX(Prioritization!$D:$D,MATCH($B112,Prioritization!$A:$A,0))</f>
        <v>1 - Scale-up: Saturation</v>
      </c>
      <c r="B112" s="0" t="s">
        <v>213</v>
      </c>
      <c r="C112" s="0" t="s">
        <v>472</v>
      </c>
      <c r="D112" s="0" t="str">
        <f aca="false">B112&amp;"|"&amp;C112</f>
        <v>Chiradzulu District [oiPR2CiVJbf]|People in prisons and other enclosed settings</v>
      </c>
      <c r="E112" s="39"/>
      <c r="F112" s="39"/>
      <c r="G112" s="39"/>
      <c r="H112" s="10"/>
      <c r="I112" s="39"/>
      <c r="J112" s="10"/>
      <c r="K112" s="39"/>
      <c r="L112" s="10"/>
      <c r="M112" s="39"/>
      <c r="N112" s="10"/>
      <c r="O112" s="10"/>
      <c r="P112" s="10" t="str">
        <f aca="false">IF(MAX($N112,$O112)=0,"",MAX($N112,$O112))</f>
        <v/>
      </c>
      <c r="Q112" s="39" t="str">
        <f aca="false">IF(SUM($P112)=0,"",SUM($P112))</f>
        <v/>
      </c>
      <c r="R112" s="10"/>
      <c r="S112" s="10" t="str">
        <f aca="false">IF(SUM($F112)=0,"",SUM($R112)/$F112)</f>
        <v/>
      </c>
      <c r="T112" s="10"/>
      <c r="U112" s="88" t="n">
        <f aca="false">0.98</f>
        <v>0.98</v>
      </c>
      <c r="V112" s="88" t="n">
        <f aca="false">0.98</f>
        <v>0.98</v>
      </c>
      <c r="W112" s="10" t="str">
        <f aca="false">IF(SUM($P112,$Q112)=0,"",SUM($Q112)-SUM($P112))</f>
        <v/>
      </c>
      <c r="X112" s="10" t="str">
        <f aca="false">IFERROR(1/(1/ROUND((SUM($Q112)-(SUM($P112)*SUM($U112)))/$V112,0)),"")</f>
        <v/>
      </c>
      <c r="Y112" s="88" t="n">
        <f aca="false">1</f>
        <v>1</v>
      </c>
      <c r="Z112" s="39" t="str">
        <f aca="false">IFERROR(1/(1/ROUND(SUM($X112)*SUM($Y112),0)),"")</f>
        <v/>
      </c>
      <c r="AA112" s="88" t="n">
        <f aca="false">0.7</f>
        <v>0.7</v>
      </c>
      <c r="AB112" s="10" t="str">
        <f aca="false">IFERROR(1/(1/ROUND($P112+(SUM($X112)*$AA112),0)),"")</f>
        <v/>
      </c>
      <c r="AC112" s="88" t="n">
        <f aca="false">0.95</f>
        <v>0.95</v>
      </c>
      <c r="AD112" s="39" t="str">
        <f aca="false">IF(SUM($AB112)=0,"",ROUND($AB112*$AC112,0))</f>
        <v/>
      </c>
      <c r="AE112" s="88" t="n">
        <f aca="false">0.95</f>
        <v>0.95</v>
      </c>
      <c r="AF112" s="39" t="str">
        <f aca="false">IF(SUM($AD112)=0,"",ROUND($AD112*$AE112,0))</f>
        <v/>
      </c>
      <c r="AG112" s="10"/>
      <c r="AH112" s="10"/>
      <c r="AI112" s="88" t="n">
        <f aca="false">0.95</f>
        <v>0.95</v>
      </c>
      <c r="AJ112" s="88"/>
      <c r="AK112" s="39" t="str">
        <f aca="false">IF(SUM($Z112)=0,"",IF(AND(SUM($Z112)&gt;0,$AI112=""),"ENTER LINKAGE RATE",ROUND($Z112/$AI112,0)))</f>
        <v/>
      </c>
      <c r="AL112" s="39" t="str">
        <f aca="false">IF(SUM($AK112)=0,"",IF(AND($AK112&gt;0,$AJ112=""),"ENTER YIELD RATE",ROUND($AK112/$AJ112-$AK112,0)))</f>
        <v/>
      </c>
      <c r="AM112" s="88" t="n">
        <f aca="false">1</f>
        <v>1</v>
      </c>
      <c r="AN112" s="39" t="str">
        <f aca="false">IF(SUM($AK112)=0,"",ROUND($AK112*$AM112,0))</f>
        <v/>
      </c>
      <c r="AO112" s="10"/>
      <c r="AP112" s="39"/>
    </row>
    <row r="113" customFormat="false" ht="15" hidden="false" customHeight="false" outlineLevel="0" collapsed="false">
      <c r="A113" s="0" t="str">
        <f aca="false">INDEX(Prioritization!$D:$D,MATCH($B113,Prioritization!$A:$A,0))</f>
        <v>1 - Scale-up: Saturation</v>
      </c>
      <c r="B113" s="0" t="s">
        <v>213</v>
      </c>
      <c r="C113" s="0" t="s">
        <v>473</v>
      </c>
      <c r="D113" s="0" t="str">
        <f aca="false">B113&amp;"|"&amp;C113</f>
        <v>Chiradzulu District [oiPR2CiVJbf]|PWID</v>
      </c>
      <c r="E113" s="39"/>
      <c r="F113" s="39"/>
      <c r="G113" s="39"/>
      <c r="H113" s="10"/>
      <c r="I113" s="39"/>
      <c r="J113" s="10"/>
      <c r="K113" s="39"/>
      <c r="L113" s="10"/>
      <c r="M113" s="39"/>
      <c r="N113" s="10"/>
      <c r="O113" s="10"/>
      <c r="P113" s="10" t="str">
        <f aca="false">IF(MAX($N113,$O113)=0,"",MAX($N113,$O113))</f>
        <v/>
      </c>
      <c r="Q113" s="39" t="str">
        <f aca="false">IF(SUM($P113)=0,"",SUM($P113))</f>
        <v/>
      </c>
      <c r="R113" s="10"/>
      <c r="S113" s="10" t="str">
        <f aca="false">IF(SUM($F113)=0,"",SUM($R113)/$F113)</f>
        <v/>
      </c>
      <c r="T113" s="10"/>
      <c r="U113" s="88" t="n">
        <f aca="false">0.98</f>
        <v>0.98</v>
      </c>
      <c r="V113" s="88" t="n">
        <f aca="false">0.98</f>
        <v>0.98</v>
      </c>
      <c r="W113" s="10" t="str">
        <f aca="false">IF(SUM($P113,$Q113)=0,"",SUM($Q113)-SUM($P113))</f>
        <v/>
      </c>
      <c r="X113" s="10" t="str">
        <f aca="false">IFERROR(1/(1/ROUND((SUM($Q113)-(SUM($P113)*SUM($U113)))/$V113,0)),"")</f>
        <v/>
      </c>
      <c r="Y113" s="88" t="n">
        <f aca="false">1</f>
        <v>1</v>
      </c>
      <c r="Z113" s="39" t="str">
        <f aca="false">IFERROR(1/(1/ROUND(SUM($X113)*SUM($Y113),0)),"")</f>
        <v/>
      </c>
      <c r="AA113" s="88" t="n">
        <f aca="false">0.7</f>
        <v>0.7</v>
      </c>
      <c r="AB113" s="10" t="str">
        <f aca="false">IFERROR(1/(1/ROUND($P113+(SUM($X113)*$AA113),0)),"")</f>
        <v/>
      </c>
      <c r="AC113" s="88" t="n">
        <f aca="false">0.95</f>
        <v>0.95</v>
      </c>
      <c r="AD113" s="39" t="str">
        <f aca="false">IF(SUM($AB113)=0,"",ROUND($AB113*$AC113,0))</f>
        <v/>
      </c>
      <c r="AE113" s="88" t="n">
        <f aca="false">0.95</f>
        <v>0.95</v>
      </c>
      <c r="AF113" s="39" t="str">
        <f aca="false">IF(SUM($AD113)=0,"",ROUND($AD113*$AE113,0))</f>
        <v/>
      </c>
      <c r="AG113" s="10"/>
      <c r="AH113" s="10"/>
      <c r="AI113" s="88" t="n">
        <f aca="false">0.95</f>
        <v>0.95</v>
      </c>
      <c r="AJ113" s="88"/>
      <c r="AK113" s="39" t="str">
        <f aca="false">IF(SUM($Z113)=0,"",IF(AND(SUM($Z113)&gt;0,$AI113=""),"ENTER LINKAGE RATE",ROUND($Z113/$AI113,0)))</f>
        <v/>
      </c>
      <c r="AL113" s="39" t="str">
        <f aca="false">IF(SUM($AK113)=0,"",IF(AND($AK113&gt;0,$AJ113=""),"ENTER YIELD RATE",ROUND($AK113/$AJ113-$AK113,0)))</f>
        <v/>
      </c>
      <c r="AM113" s="88" t="n">
        <f aca="false">1</f>
        <v>1</v>
      </c>
      <c r="AN113" s="39" t="str">
        <f aca="false">IF(SUM($AK113)=0,"",ROUND($AK113*$AM113,0))</f>
        <v/>
      </c>
      <c r="AO113" s="10"/>
      <c r="AP113" s="39"/>
    </row>
    <row r="114" customFormat="false" ht="15" hidden="false" customHeight="false" outlineLevel="0" collapsed="false">
      <c r="A114" s="0" t="str">
        <f aca="false">INDEX(Prioritization!$D:$D,MATCH($B114,Prioritization!$A:$A,0))</f>
        <v>1 - Scale-up: Saturation</v>
      </c>
      <c r="B114" s="0" t="s">
        <v>213</v>
      </c>
      <c r="C114" s="0" t="s">
        <v>474</v>
      </c>
      <c r="D114" s="0" t="str">
        <f aca="false">B114&amp;"|"&amp;C114</f>
        <v>Chiradzulu District [oiPR2CiVJbf]|TG</v>
      </c>
      <c r="E114" s="39"/>
      <c r="F114" s="39"/>
      <c r="G114" s="39"/>
      <c r="H114" s="10"/>
      <c r="I114" s="39"/>
      <c r="J114" s="10"/>
      <c r="K114" s="39"/>
      <c r="L114" s="10"/>
      <c r="M114" s="39"/>
      <c r="N114" s="10"/>
      <c r="O114" s="10"/>
      <c r="P114" s="10" t="str">
        <f aca="false">IF(MAX($N114,$O114)=0,"",MAX($N114,$O114))</f>
        <v/>
      </c>
      <c r="Q114" s="39" t="str">
        <f aca="false">IF(SUM($P114)=0,"",SUM($P114))</f>
        <v/>
      </c>
      <c r="R114" s="10"/>
      <c r="S114" s="10" t="str">
        <f aca="false">IF(SUM($F114)=0,"",SUM($R114)/$F114)</f>
        <v/>
      </c>
      <c r="T114" s="10"/>
      <c r="U114" s="88" t="n">
        <f aca="false">0.98</f>
        <v>0.98</v>
      </c>
      <c r="V114" s="88" t="n">
        <f aca="false">0.98</f>
        <v>0.98</v>
      </c>
      <c r="W114" s="10" t="str">
        <f aca="false">IF(SUM($P114,$Q114)=0,"",SUM($Q114)-SUM($P114))</f>
        <v/>
      </c>
      <c r="X114" s="10" t="str">
        <f aca="false">IFERROR(1/(1/ROUND((SUM($Q114)-(SUM($P114)*SUM($U114)))/$V114,0)),"")</f>
        <v/>
      </c>
      <c r="Y114" s="88" t="n">
        <f aca="false">1</f>
        <v>1</v>
      </c>
      <c r="Z114" s="39" t="str">
        <f aca="false">IFERROR(1/(1/ROUND(SUM($X114)*SUM($Y114),0)),"")</f>
        <v/>
      </c>
      <c r="AA114" s="88" t="n">
        <f aca="false">0.7</f>
        <v>0.7</v>
      </c>
      <c r="AB114" s="10" t="str">
        <f aca="false">IFERROR(1/(1/ROUND($P114+(SUM($X114)*$AA114),0)),"")</f>
        <v/>
      </c>
      <c r="AC114" s="88" t="n">
        <f aca="false">0.95</f>
        <v>0.95</v>
      </c>
      <c r="AD114" s="39" t="str">
        <f aca="false">IF(SUM($AB114)=0,"",ROUND($AB114*$AC114,0))</f>
        <v/>
      </c>
      <c r="AE114" s="88" t="n">
        <f aca="false">0.95</f>
        <v>0.95</v>
      </c>
      <c r="AF114" s="39" t="str">
        <f aca="false">IF(SUM($AD114)=0,"",ROUND($AD114*$AE114,0))</f>
        <v/>
      </c>
      <c r="AG114" s="10"/>
      <c r="AH114" s="10"/>
      <c r="AI114" s="88" t="n">
        <f aca="false">0.95</f>
        <v>0.95</v>
      </c>
      <c r="AJ114" s="88"/>
      <c r="AK114" s="39" t="str">
        <f aca="false">IF(SUM($Z114)=0,"",IF(AND(SUM($Z114)&gt;0,$AI114=""),"ENTER LINKAGE RATE",ROUND($Z114/$AI114,0)))</f>
        <v/>
      </c>
      <c r="AL114" s="39" t="str">
        <f aca="false">IF(SUM($AK114)=0,"",IF(AND($AK114&gt;0,$AJ114=""),"ENTER YIELD RATE",ROUND($AK114/$AJ114-$AK114,0)))</f>
        <v/>
      </c>
      <c r="AM114" s="88" t="n">
        <f aca="false">1</f>
        <v>1</v>
      </c>
      <c r="AN114" s="39" t="str">
        <f aca="false">IF(SUM($AK114)=0,"",ROUND($AK114*$AM114,0))</f>
        <v/>
      </c>
      <c r="AO114" s="10"/>
      <c r="AP114" s="39"/>
    </row>
    <row r="115" customFormat="false" ht="15" hidden="false" customHeight="false" outlineLevel="0" collapsed="false">
      <c r="A115" s="0" t="str">
        <f aca="false">INDEX(Prioritization!$D:$D,MATCH($B115,Prioritization!$A:$A,0))</f>
        <v>1 - Scale-up: Saturation</v>
      </c>
      <c r="B115" s="0" t="s">
        <v>214</v>
      </c>
      <c r="C115" s="0" t="s">
        <v>470</v>
      </c>
      <c r="D115" s="0" t="str">
        <f aca="false">B115&amp;"|"&amp;C115</f>
        <v>Machinga District [TYnMSwzko3z]|FSW</v>
      </c>
      <c r="E115" s="39"/>
      <c r="F115" s="39"/>
      <c r="G115" s="39"/>
      <c r="H115" s="10"/>
      <c r="I115" s="39"/>
      <c r="J115" s="10" t="n">
        <v>50</v>
      </c>
      <c r="K115" s="39"/>
      <c r="L115" s="10" t="n">
        <v>932</v>
      </c>
      <c r="M115" s="39"/>
      <c r="N115" s="10"/>
      <c r="O115" s="10" t="n">
        <v>61</v>
      </c>
      <c r="P115" s="10" t="n">
        <f aca="false">IF(MAX($N115,$O115)=0,"",MAX($N115,$O115))</f>
        <v>61</v>
      </c>
      <c r="Q115" s="39" t="n">
        <f aca="false">IF(SUM($P115)=0,"",SUM($P115))</f>
        <v>61</v>
      </c>
      <c r="R115" s="10"/>
      <c r="S115" s="10" t="str">
        <f aca="false">IF(SUM($F115)=0,"",SUM($R115)/$F115)</f>
        <v/>
      </c>
      <c r="T115" s="10" t="n">
        <v>95</v>
      </c>
      <c r="U115" s="88" t="n">
        <f aca="false">0.98</f>
        <v>0.98</v>
      </c>
      <c r="V115" s="88" t="n">
        <f aca="false">0.98</f>
        <v>0.98</v>
      </c>
      <c r="W115" s="10" t="n">
        <f aca="false">IF(SUM($P115,$Q115)=0,"",SUM($Q115)-SUM($P115))</f>
        <v>0</v>
      </c>
      <c r="X115" s="10" t="n">
        <f aca="false">IFERROR(1/(1/ROUND((SUM($Q115)-(SUM($P115)*SUM($U115)))/$V115,0)),"")</f>
        <v>1</v>
      </c>
      <c r="Y115" s="88" t="n">
        <f aca="false">1</f>
        <v>1</v>
      </c>
      <c r="Z115" s="39" t="n">
        <f aca="false">IFERROR(1/(1/ROUND(SUM($X115)*SUM($Y115),0)),"")</f>
        <v>1</v>
      </c>
      <c r="AA115" s="88" t="n">
        <f aca="false">0.7</f>
        <v>0.7</v>
      </c>
      <c r="AB115" s="10" t="n">
        <f aca="false">IFERROR(1/(1/ROUND($P115+(SUM($X115)*$AA115),0)),"")</f>
        <v>62</v>
      </c>
      <c r="AC115" s="88" t="n">
        <f aca="false">0.95</f>
        <v>0.95</v>
      </c>
      <c r="AD115" s="39" t="n">
        <f aca="false">IF(SUM($AB115)=0,"",ROUND($AB115*$AC115,0))</f>
        <v>59</v>
      </c>
      <c r="AE115" s="88" t="n">
        <f aca="false">0.95</f>
        <v>0.95</v>
      </c>
      <c r="AF115" s="39" t="n">
        <f aca="false">IF(SUM($AD115)=0,"",ROUND($AD115*$AE115,0))</f>
        <v>56</v>
      </c>
      <c r="AG115" s="10" t="n">
        <v>20</v>
      </c>
      <c r="AH115" s="10" t="n">
        <v>4</v>
      </c>
      <c r="AI115" s="88" t="n">
        <f aca="false">0.95</f>
        <v>0.95</v>
      </c>
      <c r="AJ115" s="88"/>
      <c r="AK115" s="39" t="n">
        <f aca="false">IF(SUM($Z115)=0,"",IF(AND(SUM($Z115)&gt;0,$AI115=""),"ENTER LINKAGE RATE",ROUND($Z115/$AI115,0)))</f>
        <v>1</v>
      </c>
      <c r="AL115" s="39" t="str">
        <f aca="false">IF(SUM($AK115)=0,"",IF(AND($AK115&gt;0,$AJ115=""),"ENTER YIELD RATE",ROUND($AK115/$AJ115-$AK115,0)))</f>
        <v>ENTER YIELD RATE</v>
      </c>
      <c r="AM115" s="88" t="n">
        <f aca="false">1</f>
        <v>1</v>
      </c>
      <c r="AN115" s="39" t="n">
        <f aca="false">IF(SUM($AK115)=0,"",ROUND($AK115*$AM115,0))</f>
        <v>1</v>
      </c>
      <c r="AO115" s="10" t="n">
        <v>811</v>
      </c>
      <c r="AP115" s="39"/>
    </row>
    <row r="116" customFormat="false" ht="15" hidden="false" customHeight="false" outlineLevel="0" collapsed="false">
      <c r="A116" s="0" t="str">
        <f aca="false">INDEX(Prioritization!$D:$D,MATCH($B116,Prioritization!$A:$A,0))</f>
        <v>1 - Scale-up: Saturation</v>
      </c>
      <c r="B116" s="0" t="s">
        <v>214</v>
      </c>
      <c r="C116" s="0" t="s">
        <v>471</v>
      </c>
      <c r="D116" s="0" t="str">
        <f aca="false">B116&amp;"|"&amp;C116</f>
        <v>Machinga District [TYnMSwzko3z]|MSM</v>
      </c>
      <c r="E116" s="39"/>
      <c r="F116" s="39"/>
      <c r="G116" s="39"/>
      <c r="H116" s="10"/>
      <c r="I116" s="39"/>
      <c r="J116" s="10" t="n">
        <v>75</v>
      </c>
      <c r="K116" s="39"/>
      <c r="L116" s="10" t="n">
        <v>26</v>
      </c>
      <c r="M116" s="39"/>
      <c r="N116" s="10"/>
      <c r="O116" s="10" t="n">
        <v>5</v>
      </c>
      <c r="P116" s="10" t="n">
        <f aca="false">IF(MAX($N116,$O116)=0,"",MAX($N116,$O116))</f>
        <v>5</v>
      </c>
      <c r="Q116" s="39" t="n">
        <f aca="false">IF(SUM($P116)=0,"",SUM($P116))</f>
        <v>5</v>
      </c>
      <c r="R116" s="10"/>
      <c r="S116" s="10" t="str">
        <f aca="false">IF(SUM($F116)=0,"",SUM($R116)/$F116)</f>
        <v/>
      </c>
      <c r="T116" s="10" t="n">
        <v>3</v>
      </c>
      <c r="U116" s="88" t="n">
        <f aca="false">0.98</f>
        <v>0.98</v>
      </c>
      <c r="V116" s="88" t="n">
        <f aca="false">0.98</f>
        <v>0.98</v>
      </c>
      <c r="W116" s="10" t="n">
        <f aca="false">IF(SUM($P116,$Q116)=0,"",SUM($Q116)-SUM($P116))</f>
        <v>0</v>
      </c>
      <c r="X116" s="10" t="str">
        <f aca="false">IFERROR(1/(1/ROUND((SUM($Q116)-(SUM($P116)*SUM($U116)))/$V116,0)),"")</f>
        <v/>
      </c>
      <c r="Y116" s="88" t="n">
        <f aca="false">1</f>
        <v>1</v>
      </c>
      <c r="Z116" s="39" t="str">
        <f aca="false">IFERROR(1/(1/ROUND(SUM($X116)*SUM($Y116),0)),"")</f>
        <v/>
      </c>
      <c r="AA116" s="88" t="n">
        <f aca="false">0.7</f>
        <v>0.7</v>
      </c>
      <c r="AB116" s="10" t="n">
        <f aca="false">IFERROR(1/(1/ROUND($P116+(SUM($X116)*$AA116),0)),"")</f>
        <v>5</v>
      </c>
      <c r="AC116" s="88" t="n">
        <f aca="false">0.95</f>
        <v>0.95</v>
      </c>
      <c r="AD116" s="39" t="n">
        <f aca="false">IF(SUM($AB116)=0,"",ROUND($AB116*$AC116,0))</f>
        <v>5</v>
      </c>
      <c r="AE116" s="88" t="n">
        <f aca="false">0.95</f>
        <v>0.95</v>
      </c>
      <c r="AF116" s="39" t="n">
        <f aca="false">IF(SUM($AD116)=0,"",ROUND($AD116*$AE116,0))</f>
        <v>5</v>
      </c>
      <c r="AG116" s="10" t="n">
        <v>6</v>
      </c>
      <c r="AH116" s="10" t="n">
        <v>1</v>
      </c>
      <c r="AI116" s="88" t="n">
        <f aca="false">0.95</f>
        <v>0.95</v>
      </c>
      <c r="AJ116" s="88"/>
      <c r="AK116" s="39" t="str">
        <f aca="false">IF(SUM($Z116)=0,"",IF(AND(SUM($Z116)&gt;0,$AI116=""),"ENTER LINKAGE RATE",ROUND($Z116/$AI116,0)))</f>
        <v/>
      </c>
      <c r="AL116" s="39" t="str">
        <f aca="false">IF(SUM($AK116)=0,"",IF(AND($AK116&gt;0,$AJ116=""),"ENTER YIELD RATE",ROUND($AK116/$AJ116-$AK116,0)))</f>
        <v/>
      </c>
      <c r="AM116" s="88" t="n">
        <f aca="false">1</f>
        <v>1</v>
      </c>
      <c r="AN116" s="39" t="str">
        <f aca="false">IF(SUM($AK116)=0,"",ROUND($AK116*$AM116,0))</f>
        <v/>
      </c>
      <c r="AO116" s="10" t="n">
        <v>12</v>
      </c>
      <c r="AP116" s="39"/>
    </row>
    <row r="117" customFormat="false" ht="15" hidden="false" customHeight="false" outlineLevel="0" collapsed="false">
      <c r="A117" s="0" t="str">
        <f aca="false">INDEX(Prioritization!$D:$D,MATCH($B117,Prioritization!$A:$A,0))</f>
        <v>1 - Scale-up: Saturation</v>
      </c>
      <c r="B117" s="0" t="s">
        <v>214</v>
      </c>
      <c r="C117" s="0" t="s">
        <v>472</v>
      </c>
      <c r="D117" s="0" t="str">
        <f aca="false">B117&amp;"|"&amp;C117</f>
        <v>Machinga District [TYnMSwzko3z]|People in prisons and other enclosed settings</v>
      </c>
      <c r="E117" s="39"/>
      <c r="F117" s="39"/>
      <c r="G117" s="39"/>
      <c r="H117" s="10"/>
      <c r="I117" s="39"/>
      <c r="J117" s="10"/>
      <c r="K117" s="39"/>
      <c r="L117" s="10"/>
      <c r="M117" s="39"/>
      <c r="N117" s="10"/>
      <c r="O117" s="10"/>
      <c r="P117" s="10" t="str">
        <f aca="false">IF(MAX($N117,$O117)=0,"",MAX($N117,$O117))</f>
        <v/>
      </c>
      <c r="Q117" s="39" t="str">
        <f aca="false">IF(SUM($P117)=0,"",SUM($P117))</f>
        <v/>
      </c>
      <c r="R117" s="10"/>
      <c r="S117" s="10" t="str">
        <f aca="false">IF(SUM($F117)=0,"",SUM($R117)/$F117)</f>
        <v/>
      </c>
      <c r="T117" s="10"/>
      <c r="U117" s="88" t="n">
        <f aca="false">0.98</f>
        <v>0.98</v>
      </c>
      <c r="V117" s="88" t="n">
        <f aca="false">0.98</f>
        <v>0.98</v>
      </c>
      <c r="W117" s="10" t="str">
        <f aca="false">IF(SUM($P117,$Q117)=0,"",SUM($Q117)-SUM($P117))</f>
        <v/>
      </c>
      <c r="X117" s="10" t="str">
        <f aca="false">IFERROR(1/(1/ROUND((SUM($Q117)-(SUM($P117)*SUM($U117)))/$V117,0)),"")</f>
        <v/>
      </c>
      <c r="Y117" s="88" t="n">
        <f aca="false">1</f>
        <v>1</v>
      </c>
      <c r="Z117" s="39" t="str">
        <f aca="false">IFERROR(1/(1/ROUND(SUM($X117)*SUM($Y117),0)),"")</f>
        <v/>
      </c>
      <c r="AA117" s="88" t="n">
        <f aca="false">0.7</f>
        <v>0.7</v>
      </c>
      <c r="AB117" s="10" t="str">
        <f aca="false">IFERROR(1/(1/ROUND($P117+(SUM($X117)*$AA117),0)),"")</f>
        <v/>
      </c>
      <c r="AC117" s="88" t="n">
        <f aca="false">0.95</f>
        <v>0.95</v>
      </c>
      <c r="AD117" s="39" t="str">
        <f aca="false">IF(SUM($AB117)=0,"",ROUND($AB117*$AC117,0))</f>
        <v/>
      </c>
      <c r="AE117" s="88" t="n">
        <f aca="false">0.95</f>
        <v>0.95</v>
      </c>
      <c r="AF117" s="39" t="str">
        <f aca="false">IF(SUM($AD117)=0,"",ROUND($AD117*$AE117,0))</f>
        <v/>
      </c>
      <c r="AG117" s="10"/>
      <c r="AH117" s="10"/>
      <c r="AI117" s="88" t="n">
        <f aca="false">0.95</f>
        <v>0.95</v>
      </c>
      <c r="AJ117" s="88"/>
      <c r="AK117" s="39" t="str">
        <f aca="false">IF(SUM($Z117)=0,"",IF(AND(SUM($Z117)&gt;0,$AI117=""),"ENTER LINKAGE RATE",ROUND($Z117/$AI117,0)))</f>
        <v/>
      </c>
      <c r="AL117" s="39" t="str">
        <f aca="false">IF(SUM($AK117)=0,"",IF(AND($AK117&gt;0,$AJ117=""),"ENTER YIELD RATE",ROUND($AK117/$AJ117-$AK117,0)))</f>
        <v/>
      </c>
      <c r="AM117" s="88" t="n">
        <f aca="false">1</f>
        <v>1</v>
      </c>
      <c r="AN117" s="39" t="str">
        <f aca="false">IF(SUM($AK117)=0,"",ROUND($AK117*$AM117,0))</f>
        <v/>
      </c>
      <c r="AO117" s="10"/>
      <c r="AP117" s="39"/>
    </row>
    <row r="118" customFormat="false" ht="15" hidden="false" customHeight="false" outlineLevel="0" collapsed="false">
      <c r="A118" s="0" t="str">
        <f aca="false">INDEX(Prioritization!$D:$D,MATCH($B118,Prioritization!$A:$A,0))</f>
        <v>1 - Scale-up: Saturation</v>
      </c>
      <c r="B118" s="0" t="s">
        <v>214</v>
      </c>
      <c r="C118" s="0" t="s">
        <v>473</v>
      </c>
      <c r="D118" s="0" t="str">
        <f aca="false">B118&amp;"|"&amp;C118</f>
        <v>Machinga District [TYnMSwzko3z]|PWID</v>
      </c>
      <c r="E118" s="39"/>
      <c r="F118" s="39"/>
      <c r="G118" s="39"/>
      <c r="H118" s="10"/>
      <c r="I118" s="39"/>
      <c r="J118" s="10"/>
      <c r="K118" s="39"/>
      <c r="L118" s="10"/>
      <c r="M118" s="39"/>
      <c r="N118" s="10"/>
      <c r="O118" s="10"/>
      <c r="P118" s="10" t="str">
        <f aca="false">IF(MAX($N118,$O118)=0,"",MAX($N118,$O118))</f>
        <v/>
      </c>
      <c r="Q118" s="39" t="str">
        <f aca="false">IF(SUM($P118)=0,"",SUM($P118))</f>
        <v/>
      </c>
      <c r="R118" s="10"/>
      <c r="S118" s="10" t="str">
        <f aca="false">IF(SUM($F118)=0,"",SUM($R118)/$F118)</f>
        <v/>
      </c>
      <c r="T118" s="10"/>
      <c r="U118" s="88" t="n">
        <f aca="false">0.98</f>
        <v>0.98</v>
      </c>
      <c r="V118" s="88" t="n">
        <f aca="false">0.98</f>
        <v>0.98</v>
      </c>
      <c r="W118" s="10" t="str">
        <f aca="false">IF(SUM($P118,$Q118)=0,"",SUM($Q118)-SUM($P118))</f>
        <v/>
      </c>
      <c r="X118" s="10" t="str">
        <f aca="false">IFERROR(1/(1/ROUND((SUM($Q118)-(SUM($P118)*SUM($U118)))/$V118,0)),"")</f>
        <v/>
      </c>
      <c r="Y118" s="88" t="n">
        <f aca="false">1</f>
        <v>1</v>
      </c>
      <c r="Z118" s="39" t="str">
        <f aca="false">IFERROR(1/(1/ROUND(SUM($X118)*SUM($Y118),0)),"")</f>
        <v/>
      </c>
      <c r="AA118" s="88" t="n">
        <f aca="false">0.7</f>
        <v>0.7</v>
      </c>
      <c r="AB118" s="10" t="str">
        <f aca="false">IFERROR(1/(1/ROUND($P118+(SUM($X118)*$AA118),0)),"")</f>
        <v/>
      </c>
      <c r="AC118" s="88" t="n">
        <f aca="false">0.95</f>
        <v>0.95</v>
      </c>
      <c r="AD118" s="39" t="str">
        <f aca="false">IF(SUM($AB118)=0,"",ROUND($AB118*$AC118,0))</f>
        <v/>
      </c>
      <c r="AE118" s="88" t="n">
        <f aca="false">0.95</f>
        <v>0.95</v>
      </c>
      <c r="AF118" s="39" t="str">
        <f aca="false">IF(SUM($AD118)=0,"",ROUND($AD118*$AE118,0))</f>
        <v/>
      </c>
      <c r="AG118" s="10"/>
      <c r="AH118" s="10"/>
      <c r="AI118" s="88" t="n">
        <f aca="false">0.95</f>
        <v>0.95</v>
      </c>
      <c r="AJ118" s="88"/>
      <c r="AK118" s="39" t="str">
        <f aca="false">IF(SUM($Z118)=0,"",IF(AND(SUM($Z118)&gt;0,$AI118=""),"ENTER LINKAGE RATE",ROUND($Z118/$AI118,0)))</f>
        <v/>
      </c>
      <c r="AL118" s="39" t="str">
        <f aca="false">IF(SUM($AK118)=0,"",IF(AND($AK118&gt;0,$AJ118=""),"ENTER YIELD RATE",ROUND($AK118/$AJ118-$AK118,0)))</f>
        <v/>
      </c>
      <c r="AM118" s="88" t="n">
        <f aca="false">1</f>
        <v>1</v>
      </c>
      <c r="AN118" s="39" t="str">
        <f aca="false">IF(SUM($AK118)=0,"",ROUND($AK118*$AM118,0))</f>
        <v/>
      </c>
      <c r="AO118" s="10"/>
      <c r="AP118" s="39"/>
    </row>
    <row r="119" customFormat="false" ht="15" hidden="false" customHeight="false" outlineLevel="0" collapsed="false">
      <c r="A119" s="0" t="str">
        <f aca="false">INDEX(Prioritization!$D:$D,MATCH($B119,Prioritization!$A:$A,0))</f>
        <v>1 - Scale-up: Saturation</v>
      </c>
      <c r="B119" s="0" t="s">
        <v>214</v>
      </c>
      <c r="C119" s="0" t="s">
        <v>474</v>
      </c>
      <c r="D119" s="0" t="str">
        <f aca="false">B119&amp;"|"&amp;C119</f>
        <v>Machinga District [TYnMSwzko3z]|TG</v>
      </c>
      <c r="E119" s="39"/>
      <c r="F119" s="39"/>
      <c r="G119" s="39"/>
      <c r="H119" s="10"/>
      <c r="I119" s="39"/>
      <c r="J119" s="10"/>
      <c r="K119" s="39"/>
      <c r="L119" s="10"/>
      <c r="M119" s="39"/>
      <c r="N119" s="10"/>
      <c r="O119" s="10"/>
      <c r="P119" s="10" t="str">
        <f aca="false">IF(MAX($N119,$O119)=0,"",MAX($N119,$O119))</f>
        <v/>
      </c>
      <c r="Q119" s="39" t="str">
        <f aca="false">IF(SUM($P119)=0,"",SUM($P119))</f>
        <v/>
      </c>
      <c r="R119" s="10"/>
      <c r="S119" s="10" t="str">
        <f aca="false">IF(SUM($F119)=0,"",SUM($R119)/$F119)</f>
        <v/>
      </c>
      <c r="T119" s="10"/>
      <c r="U119" s="88" t="n">
        <f aca="false">0.98</f>
        <v>0.98</v>
      </c>
      <c r="V119" s="88" t="n">
        <f aca="false">0.98</f>
        <v>0.98</v>
      </c>
      <c r="W119" s="10" t="str">
        <f aca="false">IF(SUM($P119,$Q119)=0,"",SUM($Q119)-SUM($P119))</f>
        <v/>
      </c>
      <c r="X119" s="10" t="str">
        <f aca="false">IFERROR(1/(1/ROUND((SUM($Q119)-(SUM($P119)*SUM($U119)))/$V119,0)),"")</f>
        <v/>
      </c>
      <c r="Y119" s="88" t="n">
        <f aca="false">1</f>
        <v>1</v>
      </c>
      <c r="Z119" s="39" t="str">
        <f aca="false">IFERROR(1/(1/ROUND(SUM($X119)*SUM($Y119),0)),"")</f>
        <v/>
      </c>
      <c r="AA119" s="88" t="n">
        <f aca="false">0.7</f>
        <v>0.7</v>
      </c>
      <c r="AB119" s="10" t="str">
        <f aca="false">IFERROR(1/(1/ROUND($P119+(SUM($X119)*$AA119),0)),"")</f>
        <v/>
      </c>
      <c r="AC119" s="88" t="n">
        <f aca="false">0.95</f>
        <v>0.95</v>
      </c>
      <c r="AD119" s="39" t="str">
        <f aca="false">IF(SUM($AB119)=0,"",ROUND($AB119*$AC119,0))</f>
        <v/>
      </c>
      <c r="AE119" s="88" t="n">
        <f aca="false">0.95</f>
        <v>0.95</v>
      </c>
      <c r="AF119" s="39" t="str">
        <f aca="false">IF(SUM($AD119)=0,"",ROUND($AD119*$AE119,0))</f>
        <v/>
      </c>
      <c r="AG119" s="10"/>
      <c r="AH119" s="10"/>
      <c r="AI119" s="88" t="n">
        <f aca="false">0.95</f>
        <v>0.95</v>
      </c>
      <c r="AJ119" s="88"/>
      <c r="AK119" s="39" t="str">
        <f aca="false">IF(SUM($Z119)=0,"",IF(AND(SUM($Z119)&gt;0,$AI119=""),"ENTER LINKAGE RATE",ROUND($Z119/$AI119,0)))</f>
        <v/>
      </c>
      <c r="AL119" s="39" t="str">
        <f aca="false">IF(SUM($AK119)=0,"",IF(AND($AK119&gt;0,$AJ119=""),"ENTER YIELD RATE",ROUND($AK119/$AJ119-$AK119,0)))</f>
        <v/>
      </c>
      <c r="AM119" s="88" t="n">
        <f aca="false">1</f>
        <v>1</v>
      </c>
      <c r="AN119" s="39" t="str">
        <f aca="false">IF(SUM($AK119)=0,"",ROUND($AK119*$AM119,0))</f>
        <v/>
      </c>
      <c r="AO119" s="10"/>
      <c r="AP119" s="39"/>
    </row>
    <row r="120" customFormat="false" ht="15" hidden="false" customHeight="false" outlineLevel="0" collapsed="false">
      <c r="A120" s="0" t="str">
        <f aca="false">INDEX(Prioritization!$D:$D,MATCH($B120,Prioritization!$A:$A,0))</f>
        <v>INVALID</v>
      </c>
      <c r="B120" s="0" t="s">
        <v>215</v>
      </c>
      <c r="C120" s="0" t="s">
        <v>470</v>
      </c>
      <c r="D120" s="0" t="str">
        <f aca="false">B120&amp;"|"&amp;C120</f>
        <v>Mangochi District [lLDyBx5XyUi]|FSW</v>
      </c>
      <c r="E120" s="39"/>
      <c r="F120" s="39"/>
      <c r="G120" s="39"/>
      <c r="H120" s="10"/>
      <c r="I120" s="39"/>
      <c r="J120" s="10" t="n">
        <v>22</v>
      </c>
      <c r="K120" s="39"/>
      <c r="L120" s="10" t="n">
        <v>513</v>
      </c>
      <c r="M120" s="39"/>
      <c r="N120" s="10" t="n">
        <v>148</v>
      </c>
      <c r="O120" s="10" t="n">
        <v>28</v>
      </c>
      <c r="P120" s="10" t="n">
        <f aca="false">IF(MAX($N120,$O120)=0,"",MAX($N120,$O120))</f>
        <v>148</v>
      </c>
      <c r="Q120" s="39" t="n">
        <f aca="false">IF(SUM($P120)=0,"",SUM($P120))</f>
        <v>148</v>
      </c>
      <c r="R120" s="10"/>
      <c r="S120" s="10" t="str">
        <f aca="false">IF(SUM($F120)=0,"",SUM($R120)/$F120)</f>
        <v/>
      </c>
      <c r="T120" s="10" t="n">
        <v>89</v>
      </c>
      <c r="U120" s="88" t="n">
        <f aca="false">0.98</f>
        <v>0.98</v>
      </c>
      <c r="V120" s="88" t="n">
        <f aca="false">0.98</f>
        <v>0.98</v>
      </c>
      <c r="W120" s="10" t="n">
        <f aca="false">IF(SUM($P120,$Q120)=0,"",SUM($Q120)-SUM($P120))</f>
        <v>0</v>
      </c>
      <c r="X120" s="10" t="n">
        <f aca="false">IFERROR(1/(1/ROUND((SUM($Q120)-(SUM($P120)*SUM($U120)))/$V120,0)),"")</f>
        <v>3</v>
      </c>
      <c r="Y120" s="88" t="n">
        <f aca="false">1</f>
        <v>1</v>
      </c>
      <c r="Z120" s="39" t="n">
        <f aca="false">IFERROR(1/(1/ROUND(SUM($X120)*SUM($Y120),0)),"")</f>
        <v>3</v>
      </c>
      <c r="AA120" s="88" t="n">
        <f aca="false">0.7</f>
        <v>0.7</v>
      </c>
      <c r="AB120" s="10" t="n">
        <f aca="false">IFERROR(1/(1/ROUND($P120+(SUM($X120)*$AA120),0)),"")</f>
        <v>150</v>
      </c>
      <c r="AC120" s="88" t="n">
        <f aca="false">0.95</f>
        <v>0.95</v>
      </c>
      <c r="AD120" s="39" t="n">
        <f aca="false">IF(SUM($AB120)=0,"",ROUND($AB120*$AC120,0))</f>
        <v>143</v>
      </c>
      <c r="AE120" s="88" t="n">
        <f aca="false">0.95</f>
        <v>0.95</v>
      </c>
      <c r="AF120" s="39" t="n">
        <f aca="false">IF(SUM($AD120)=0,"",ROUND($AD120*$AE120,0))</f>
        <v>136</v>
      </c>
      <c r="AG120" s="10" t="n">
        <v>85</v>
      </c>
      <c r="AH120" s="10" t="n">
        <v>4</v>
      </c>
      <c r="AI120" s="88" t="n">
        <f aca="false">0.95</f>
        <v>0.95</v>
      </c>
      <c r="AJ120" s="88"/>
      <c r="AK120" s="39" t="n">
        <f aca="false">IF(SUM($Z120)=0,"",IF(AND(SUM($Z120)&gt;0,$AI120=""),"ENTER LINKAGE RATE",ROUND($Z120/$AI120,0)))</f>
        <v>3</v>
      </c>
      <c r="AL120" s="39" t="str">
        <f aca="false">IF(SUM($AK120)=0,"",IF(AND($AK120&gt;0,$AJ120=""),"ENTER YIELD RATE",ROUND($AK120/$AJ120-$AK120,0)))</f>
        <v>ENTER YIELD RATE</v>
      </c>
      <c r="AM120" s="88" t="n">
        <f aca="false">1</f>
        <v>1</v>
      </c>
      <c r="AN120" s="39" t="n">
        <f aca="false">IF(SUM($AK120)=0,"",ROUND($AK120*$AM120,0))</f>
        <v>3</v>
      </c>
      <c r="AO120" s="10" t="n">
        <v>37</v>
      </c>
      <c r="AP120" s="39"/>
    </row>
    <row r="121" customFormat="false" ht="15" hidden="false" customHeight="false" outlineLevel="0" collapsed="false">
      <c r="A121" s="0" t="str">
        <f aca="false">INDEX(Prioritization!$D:$D,MATCH($B121,Prioritization!$A:$A,0))</f>
        <v>INVALID</v>
      </c>
      <c r="B121" s="0" t="s">
        <v>215</v>
      </c>
      <c r="C121" s="0" t="s">
        <v>471</v>
      </c>
      <c r="D121" s="0" t="str">
        <f aca="false">B121&amp;"|"&amp;C121</f>
        <v>Mangochi District [lLDyBx5XyUi]|MSM</v>
      </c>
      <c r="E121" s="39"/>
      <c r="F121" s="39"/>
      <c r="G121" s="39"/>
      <c r="H121" s="10"/>
      <c r="I121" s="39"/>
      <c r="J121" s="10" t="n">
        <v>26</v>
      </c>
      <c r="K121" s="39"/>
      <c r="L121" s="10" t="n">
        <v>707</v>
      </c>
      <c r="M121" s="39"/>
      <c r="N121" s="10" t="n">
        <v>76</v>
      </c>
      <c r="O121" s="10" t="n">
        <v>30</v>
      </c>
      <c r="P121" s="10" t="n">
        <f aca="false">IF(MAX($N121,$O121)=0,"",MAX($N121,$O121))</f>
        <v>76</v>
      </c>
      <c r="Q121" s="39" t="n">
        <f aca="false">IF(SUM($P121)=0,"",SUM($P121))</f>
        <v>76</v>
      </c>
      <c r="R121" s="10"/>
      <c r="S121" s="10" t="str">
        <f aca="false">IF(SUM($F121)=0,"",SUM($R121)/$F121)</f>
        <v/>
      </c>
      <c r="T121" s="10" t="n">
        <v>98</v>
      </c>
      <c r="U121" s="88" t="n">
        <f aca="false">0.98</f>
        <v>0.98</v>
      </c>
      <c r="V121" s="88" t="n">
        <f aca="false">0.98</f>
        <v>0.98</v>
      </c>
      <c r="W121" s="10" t="n">
        <f aca="false">IF(SUM($P121,$Q121)=0,"",SUM($Q121)-SUM($P121))</f>
        <v>0</v>
      </c>
      <c r="X121" s="10" t="n">
        <f aca="false">IFERROR(1/(1/ROUND((SUM($Q121)-(SUM($P121)*SUM($U121)))/$V121,0)),"")</f>
        <v>2</v>
      </c>
      <c r="Y121" s="88" t="n">
        <f aca="false">1</f>
        <v>1</v>
      </c>
      <c r="Z121" s="39" t="n">
        <f aca="false">IFERROR(1/(1/ROUND(SUM($X121)*SUM($Y121),0)),"")</f>
        <v>2</v>
      </c>
      <c r="AA121" s="88" t="n">
        <f aca="false">0.7</f>
        <v>0.7</v>
      </c>
      <c r="AB121" s="10" t="n">
        <f aca="false">IFERROR(1/(1/ROUND($P121+(SUM($X121)*$AA121),0)),"")</f>
        <v>77</v>
      </c>
      <c r="AC121" s="88" t="n">
        <f aca="false">0.95</f>
        <v>0.95</v>
      </c>
      <c r="AD121" s="39" t="n">
        <f aca="false">IF(SUM($AB121)=0,"",ROUND($AB121*$AC121,0))</f>
        <v>73</v>
      </c>
      <c r="AE121" s="88" t="n">
        <f aca="false">0.95</f>
        <v>0.95</v>
      </c>
      <c r="AF121" s="39" t="n">
        <f aca="false">IF(SUM($AD121)=0,"",ROUND($AD121*$AE121,0))</f>
        <v>69</v>
      </c>
      <c r="AG121" s="10" t="n">
        <v>49</v>
      </c>
      <c r="AH121" s="10" t="n">
        <v>1</v>
      </c>
      <c r="AI121" s="88" t="n">
        <f aca="false">0.95</f>
        <v>0.95</v>
      </c>
      <c r="AJ121" s="88"/>
      <c r="AK121" s="39" t="n">
        <f aca="false">IF(SUM($Z121)=0,"",IF(AND(SUM($Z121)&gt;0,$AI121=""),"ENTER LINKAGE RATE",ROUND($Z121/$AI121,0)))</f>
        <v>2</v>
      </c>
      <c r="AL121" s="39" t="str">
        <f aca="false">IF(SUM($AK121)=0,"",IF(AND($AK121&gt;0,$AJ121=""),"ENTER YIELD RATE",ROUND($AK121/$AJ121-$AK121,0)))</f>
        <v>ENTER YIELD RATE</v>
      </c>
      <c r="AM121" s="88" t="n">
        <f aca="false">1</f>
        <v>1</v>
      </c>
      <c r="AN121" s="39" t="n">
        <f aca="false">IF(SUM($AK121)=0,"",ROUND($AK121*$AM121,0))</f>
        <v>2</v>
      </c>
      <c r="AO121" s="10" t="n">
        <v>98</v>
      </c>
      <c r="AP121" s="39"/>
    </row>
    <row r="122" customFormat="false" ht="15" hidden="false" customHeight="false" outlineLevel="0" collapsed="false">
      <c r="A122" s="0" t="str">
        <f aca="false">INDEX(Prioritization!$D:$D,MATCH($B122,Prioritization!$A:$A,0))</f>
        <v>INVALID</v>
      </c>
      <c r="B122" s="0" t="s">
        <v>215</v>
      </c>
      <c r="C122" s="0" t="s">
        <v>472</v>
      </c>
      <c r="D122" s="0" t="str">
        <f aca="false">B122&amp;"|"&amp;C122</f>
        <v>Mangochi District [lLDyBx5XyUi]|People in prisons and other enclosed settings</v>
      </c>
      <c r="E122" s="39"/>
      <c r="F122" s="39"/>
      <c r="G122" s="39"/>
      <c r="H122" s="10"/>
      <c r="I122" s="39"/>
      <c r="J122" s="10"/>
      <c r="K122" s="39"/>
      <c r="L122" s="10"/>
      <c r="M122" s="39"/>
      <c r="N122" s="10"/>
      <c r="O122" s="10"/>
      <c r="P122" s="10" t="str">
        <f aca="false">IF(MAX($N122,$O122)=0,"",MAX($N122,$O122))</f>
        <v/>
      </c>
      <c r="Q122" s="39" t="str">
        <f aca="false">IF(SUM($P122)=0,"",SUM($P122))</f>
        <v/>
      </c>
      <c r="R122" s="10"/>
      <c r="S122" s="10" t="str">
        <f aca="false">IF(SUM($F122)=0,"",SUM($R122)/$F122)</f>
        <v/>
      </c>
      <c r="T122" s="10"/>
      <c r="U122" s="88" t="n">
        <f aca="false">0.98</f>
        <v>0.98</v>
      </c>
      <c r="V122" s="88" t="n">
        <f aca="false">0.98</f>
        <v>0.98</v>
      </c>
      <c r="W122" s="10" t="str">
        <f aca="false">IF(SUM($P122,$Q122)=0,"",SUM($Q122)-SUM($P122))</f>
        <v/>
      </c>
      <c r="X122" s="10" t="str">
        <f aca="false">IFERROR(1/(1/ROUND((SUM($Q122)-(SUM($P122)*SUM($U122)))/$V122,0)),"")</f>
        <v/>
      </c>
      <c r="Y122" s="88" t="n">
        <f aca="false">1</f>
        <v>1</v>
      </c>
      <c r="Z122" s="39" t="str">
        <f aca="false">IFERROR(1/(1/ROUND(SUM($X122)*SUM($Y122),0)),"")</f>
        <v/>
      </c>
      <c r="AA122" s="88" t="n">
        <f aca="false">0.7</f>
        <v>0.7</v>
      </c>
      <c r="AB122" s="10" t="str">
        <f aca="false">IFERROR(1/(1/ROUND($P122+(SUM($X122)*$AA122),0)),"")</f>
        <v/>
      </c>
      <c r="AC122" s="88" t="n">
        <f aca="false">0.95</f>
        <v>0.95</v>
      </c>
      <c r="AD122" s="39" t="str">
        <f aca="false">IF(SUM($AB122)=0,"",ROUND($AB122*$AC122,0))</f>
        <v/>
      </c>
      <c r="AE122" s="88" t="n">
        <f aca="false">0.95</f>
        <v>0.95</v>
      </c>
      <c r="AF122" s="39" t="str">
        <f aca="false">IF(SUM($AD122)=0,"",ROUND($AD122*$AE122,0))</f>
        <v/>
      </c>
      <c r="AG122" s="10"/>
      <c r="AH122" s="10"/>
      <c r="AI122" s="88" t="n">
        <f aca="false">0.95</f>
        <v>0.95</v>
      </c>
      <c r="AJ122" s="88"/>
      <c r="AK122" s="39" t="str">
        <f aca="false">IF(SUM($Z122)=0,"",IF(AND(SUM($Z122)&gt;0,$AI122=""),"ENTER LINKAGE RATE",ROUND($Z122/$AI122,0)))</f>
        <v/>
      </c>
      <c r="AL122" s="39" t="str">
        <f aca="false">IF(SUM($AK122)=0,"",IF(AND($AK122&gt;0,$AJ122=""),"ENTER YIELD RATE",ROUND($AK122/$AJ122-$AK122,0)))</f>
        <v/>
      </c>
      <c r="AM122" s="88" t="n">
        <f aca="false">1</f>
        <v>1</v>
      </c>
      <c r="AN122" s="39" t="str">
        <f aca="false">IF(SUM($AK122)=0,"",ROUND($AK122*$AM122,0))</f>
        <v/>
      </c>
      <c r="AO122" s="10"/>
      <c r="AP122" s="39"/>
    </row>
    <row r="123" customFormat="false" ht="15" hidden="false" customHeight="false" outlineLevel="0" collapsed="false">
      <c r="A123" s="0" t="str">
        <f aca="false">INDEX(Prioritization!$D:$D,MATCH($B123,Prioritization!$A:$A,0))</f>
        <v>INVALID</v>
      </c>
      <c r="B123" s="0" t="s">
        <v>215</v>
      </c>
      <c r="C123" s="0" t="s">
        <v>473</v>
      </c>
      <c r="D123" s="0" t="str">
        <f aca="false">B123&amp;"|"&amp;C123</f>
        <v>Mangochi District [lLDyBx5XyUi]|PWID</v>
      </c>
      <c r="E123" s="39"/>
      <c r="F123" s="39"/>
      <c r="G123" s="39"/>
      <c r="H123" s="10"/>
      <c r="I123" s="39"/>
      <c r="J123" s="10"/>
      <c r="K123" s="39"/>
      <c r="L123" s="10"/>
      <c r="M123" s="39"/>
      <c r="N123" s="10"/>
      <c r="O123" s="10"/>
      <c r="P123" s="10" t="str">
        <f aca="false">IF(MAX($N123,$O123)=0,"",MAX($N123,$O123))</f>
        <v/>
      </c>
      <c r="Q123" s="39" t="str">
        <f aca="false">IF(SUM($P123)=0,"",SUM($P123))</f>
        <v/>
      </c>
      <c r="R123" s="10"/>
      <c r="S123" s="10" t="str">
        <f aca="false">IF(SUM($F123)=0,"",SUM($R123)/$F123)</f>
        <v/>
      </c>
      <c r="T123" s="10"/>
      <c r="U123" s="88" t="n">
        <f aca="false">0.98</f>
        <v>0.98</v>
      </c>
      <c r="V123" s="88" t="n">
        <f aca="false">0.98</f>
        <v>0.98</v>
      </c>
      <c r="W123" s="10" t="str">
        <f aca="false">IF(SUM($P123,$Q123)=0,"",SUM($Q123)-SUM($P123))</f>
        <v/>
      </c>
      <c r="X123" s="10" t="str">
        <f aca="false">IFERROR(1/(1/ROUND((SUM($Q123)-(SUM($P123)*SUM($U123)))/$V123,0)),"")</f>
        <v/>
      </c>
      <c r="Y123" s="88" t="n">
        <f aca="false">1</f>
        <v>1</v>
      </c>
      <c r="Z123" s="39" t="str">
        <f aca="false">IFERROR(1/(1/ROUND(SUM($X123)*SUM($Y123),0)),"")</f>
        <v/>
      </c>
      <c r="AA123" s="88" t="n">
        <f aca="false">0.7</f>
        <v>0.7</v>
      </c>
      <c r="AB123" s="10" t="str">
        <f aca="false">IFERROR(1/(1/ROUND($P123+(SUM($X123)*$AA123),0)),"")</f>
        <v/>
      </c>
      <c r="AC123" s="88" t="n">
        <f aca="false">0.95</f>
        <v>0.95</v>
      </c>
      <c r="AD123" s="39" t="str">
        <f aca="false">IF(SUM($AB123)=0,"",ROUND($AB123*$AC123,0))</f>
        <v/>
      </c>
      <c r="AE123" s="88" t="n">
        <f aca="false">0.95</f>
        <v>0.95</v>
      </c>
      <c r="AF123" s="39" t="str">
        <f aca="false">IF(SUM($AD123)=0,"",ROUND($AD123*$AE123,0))</f>
        <v/>
      </c>
      <c r="AG123" s="10"/>
      <c r="AH123" s="10"/>
      <c r="AI123" s="88" t="n">
        <f aca="false">0.95</f>
        <v>0.95</v>
      </c>
      <c r="AJ123" s="88"/>
      <c r="AK123" s="39" t="str">
        <f aca="false">IF(SUM($Z123)=0,"",IF(AND(SUM($Z123)&gt;0,$AI123=""),"ENTER LINKAGE RATE",ROUND($Z123/$AI123,0)))</f>
        <v/>
      </c>
      <c r="AL123" s="39" t="str">
        <f aca="false">IF(SUM($AK123)=0,"",IF(AND($AK123&gt;0,$AJ123=""),"ENTER YIELD RATE",ROUND($AK123/$AJ123-$AK123,0)))</f>
        <v/>
      </c>
      <c r="AM123" s="88" t="n">
        <f aca="false">1</f>
        <v>1</v>
      </c>
      <c r="AN123" s="39" t="str">
        <f aca="false">IF(SUM($AK123)=0,"",ROUND($AK123*$AM123,0))</f>
        <v/>
      </c>
      <c r="AO123" s="10"/>
      <c r="AP123" s="39"/>
    </row>
    <row r="124" customFormat="false" ht="15" hidden="false" customHeight="false" outlineLevel="0" collapsed="false">
      <c r="A124" s="0" t="str">
        <f aca="false">INDEX(Prioritization!$D:$D,MATCH($B124,Prioritization!$A:$A,0))</f>
        <v>INVALID</v>
      </c>
      <c r="B124" s="0" t="s">
        <v>215</v>
      </c>
      <c r="C124" s="0" t="s">
        <v>474</v>
      </c>
      <c r="D124" s="0" t="str">
        <f aca="false">B124&amp;"|"&amp;C124</f>
        <v>Mangochi District [lLDyBx5XyUi]|TG</v>
      </c>
      <c r="E124" s="39"/>
      <c r="F124" s="39"/>
      <c r="G124" s="39"/>
      <c r="H124" s="10"/>
      <c r="I124" s="39"/>
      <c r="J124" s="10"/>
      <c r="K124" s="39"/>
      <c r="L124" s="10"/>
      <c r="M124" s="39"/>
      <c r="N124" s="10" t="n">
        <v>5</v>
      </c>
      <c r="O124" s="10"/>
      <c r="P124" s="10" t="n">
        <f aca="false">IF(MAX($N124,$O124)=0,"",MAX($N124,$O124))</f>
        <v>5</v>
      </c>
      <c r="Q124" s="39" t="n">
        <f aca="false">IF(SUM($P124)=0,"",SUM($P124))</f>
        <v>5</v>
      </c>
      <c r="R124" s="10"/>
      <c r="S124" s="10" t="str">
        <f aca="false">IF(SUM($F124)=0,"",SUM($R124)/$F124)</f>
        <v/>
      </c>
      <c r="T124" s="10"/>
      <c r="U124" s="88" t="n">
        <f aca="false">0.98</f>
        <v>0.98</v>
      </c>
      <c r="V124" s="88" t="n">
        <f aca="false">0.98</f>
        <v>0.98</v>
      </c>
      <c r="W124" s="10" t="n">
        <f aca="false">IF(SUM($P124,$Q124)=0,"",SUM($Q124)-SUM($P124))</f>
        <v>0</v>
      </c>
      <c r="X124" s="10" t="str">
        <f aca="false">IFERROR(1/(1/ROUND((SUM($Q124)-(SUM($P124)*SUM($U124)))/$V124,0)),"")</f>
        <v/>
      </c>
      <c r="Y124" s="88" t="n">
        <f aca="false">1</f>
        <v>1</v>
      </c>
      <c r="Z124" s="39" t="str">
        <f aca="false">IFERROR(1/(1/ROUND(SUM($X124)*SUM($Y124),0)),"")</f>
        <v/>
      </c>
      <c r="AA124" s="88" t="n">
        <f aca="false">0.7</f>
        <v>0.7</v>
      </c>
      <c r="AB124" s="10" t="n">
        <f aca="false">IFERROR(1/(1/ROUND($P124+(SUM($X124)*$AA124),0)),"")</f>
        <v>5</v>
      </c>
      <c r="AC124" s="88" t="n">
        <f aca="false">0.95</f>
        <v>0.95</v>
      </c>
      <c r="AD124" s="39" t="n">
        <f aca="false">IF(SUM($AB124)=0,"",ROUND($AB124*$AC124,0))</f>
        <v>5</v>
      </c>
      <c r="AE124" s="88" t="n">
        <f aca="false">0.95</f>
        <v>0.95</v>
      </c>
      <c r="AF124" s="39" t="n">
        <f aca="false">IF(SUM($AD124)=0,"",ROUND($AD124*$AE124,0))</f>
        <v>5</v>
      </c>
      <c r="AG124" s="10"/>
      <c r="AH124" s="10"/>
      <c r="AI124" s="88" t="n">
        <f aca="false">0.95</f>
        <v>0.95</v>
      </c>
      <c r="AJ124" s="88"/>
      <c r="AK124" s="39" t="str">
        <f aca="false">IF(SUM($Z124)=0,"",IF(AND(SUM($Z124)&gt;0,$AI124=""),"ENTER LINKAGE RATE",ROUND($Z124/$AI124,0)))</f>
        <v/>
      </c>
      <c r="AL124" s="39" t="str">
        <f aca="false">IF(SUM($AK124)=0,"",IF(AND($AK124&gt;0,$AJ124=""),"ENTER YIELD RATE",ROUND($AK124/$AJ124-$AK124,0)))</f>
        <v/>
      </c>
      <c r="AM124" s="88" t="n">
        <f aca="false">1</f>
        <v>1</v>
      </c>
      <c r="AN124" s="39" t="str">
        <f aca="false">IF(SUM($AK124)=0,"",ROUND($AK124*$AM124,0))</f>
        <v/>
      </c>
      <c r="AO124" s="10"/>
      <c r="AP124" s="39"/>
    </row>
    <row r="125" customFormat="false" ht="15" hidden="false" customHeight="false" outlineLevel="0" collapsed="false">
      <c r="A125" s="0" t="str">
        <f aca="false">INDEX(Prioritization!$D:$D,MATCH($B125,Prioritization!$A:$A,0))</f>
        <v>INVALID</v>
      </c>
      <c r="B125" s="0" t="s">
        <v>216</v>
      </c>
      <c r="C125" s="0" t="s">
        <v>470</v>
      </c>
      <c r="D125" s="0" t="str">
        <f aca="false">B125&amp;"|"&amp;C125</f>
        <v>Mulanje District [umc2n1Z4wNv]|FSW</v>
      </c>
      <c r="E125" s="39"/>
      <c r="F125" s="39"/>
      <c r="G125" s="39"/>
      <c r="H125" s="10"/>
      <c r="I125" s="39"/>
      <c r="J125" s="10"/>
      <c r="K125" s="39"/>
      <c r="L125" s="10"/>
      <c r="M125" s="39"/>
      <c r="N125" s="10"/>
      <c r="O125" s="10"/>
      <c r="P125" s="10" t="str">
        <f aca="false">IF(MAX($N125,$O125)=0,"",MAX($N125,$O125))</f>
        <v/>
      </c>
      <c r="Q125" s="39" t="str">
        <f aca="false">IF(SUM($P125)=0,"",SUM($P125))</f>
        <v/>
      </c>
      <c r="R125" s="10"/>
      <c r="S125" s="10" t="str">
        <f aca="false">IF(SUM($F125)=0,"",SUM($R125)/$F125)</f>
        <v/>
      </c>
      <c r="T125" s="10"/>
      <c r="U125" s="88" t="n">
        <f aca="false">0.98</f>
        <v>0.98</v>
      </c>
      <c r="V125" s="88" t="n">
        <f aca="false">0.98</f>
        <v>0.98</v>
      </c>
      <c r="W125" s="10" t="str">
        <f aca="false">IF(SUM($P125,$Q125)=0,"",SUM($Q125)-SUM($P125))</f>
        <v/>
      </c>
      <c r="X125" s="10" t="str">
        <f aca="false">IFERROR(1/(1/ROUND((SUM($Q125)-(SUM($P125)*SUM($U125)))/$V125,0)),"")</f>
        <v/>
      </c>
      <c r="Y125" s="88" t="n">
        <f aca="false">1</f>
        <v>1</v>
      </c>
      <c r="Z125" s="39" t="str">
        <f aca="false">IFERROR(1/(1/ROUND(SUM($X125)*SUM($Y125),0)),"")</f>
        <v/>
      </c>
      <c r="AA125" s="88" t="n">
        <f aca="false">0.7</f>
        <v>0.7</v>
      </c>
      <c r="AB125" s="10" t="str">
        <f aca="false">IFERROR(1/(1/ROUND($P125+(SUM($X125)*$AA125),0)),"")</f>
        <v/>
      </c>
      <c r="AC125" s="88" t="n">
        <f aca="false">0.95</f>
        <v>0.95</v>
      </c>
      <c r="AD125" s="39" t="str">
        <f aca="false">IF(SUM($AB125)=0,"",ROUND($AB125*$AC125,0))</f>
        <v/>
      </c>
      <c r="AE125" s="88" t="n">
        <f aca="false">0.95</f>
        <v>0.95</v>
      </c>
      <c r="AF125" s="39" t="str">
        <f aca="false">IF(SUM($AD125)=0,"",ROUND($AD125*$AE125,0))</f>
        <v/>
      </c>
      <c r="AG125" s="10"/>
      <c r="AH125" s="10"/>
      <c r="AI125" s="88" t="n">
        <f aca="false">0.95</f>
        <v>0.95</v>
      </c>
      <c r="AJ125" s="88"/>
      <c r="AK125" s="39" t="str">
        <f aca="false">IF(SUM($Z125)=0,"",IF(AND(SUM($Z125)&gt;0,$AI125=""),"ENTER LINKAGE RATE",ROUND($Z125/$AI125,0)))</f>
        <v/>
      </c>
      <c r="AL125" s="39" t="str">
        <f aca="false">IF(SUM($AK125)=0,"",IF(AND($AK125&gt;0,$AJ125=""),"ENTER YIELD RATE",ROUND($AK125/$AJ125-$AK125,0)))</f>
        <v/>
      </c>
      <c r="AM125" s="88" t="n">
        <f aca="false">1</f>
        <v>1</v>
      </c>
      <c r="AN125" s="39" t="str">
        <f aca="false">IF(SUM($AK125)=0,"",ROUND($AK125*$AM125,0))</f>
        <v/>
      </c>
      <c r="AO125" s="10"/>
      <c r="AP125" s="39"/>
    </row>
    <row r="126" customFormat="false" ht="15" hidden="false" customHeight="false" outlineLevel="0" collapsed="false">
      <c r="A126" s="0" t="str">
        <f aca="false">INDEX(Prioritization!$D:$D,MATCH($B126,Prioritization!$A:$A,0))</f>
        <v>INVALID</v>
      </c>
      <c r="B126" s="0" t="s">
        <v>216</v>
      </c>
      <c r="C126" s="0" t="s">
        <v>471</v>
      </c>
      <c r="D126" s="0" t="str">
        <f aca="false">B126&amp;"|"&amp;C126</f>
        <v>Mulanje District [umc2n1Z4wNv]|MSM</v>
      </c>
      <c r="E126" s="39"/>
      <c r="F126" s="39"/>
      <c r="G126" s="39"/>
      <c r="H126" s="10"/>
      <c r="I126" s="39"/>
      <c r="J126" s="10"/>
      <c r="K126" s="39"/>
      <c r="L126" s="10"/>
      <c r="M126" s="39"/>
      <c r="N126" s="10"/>
      <c r="O126" s="10"/>
      <c r="P126" s="10" t="str">
        <f aca="false">IF(MAX($N126,$O126)=0,"",MAX($N126,$O126))</f>
        <v/>
      </c>
      <c r="Q126" s="39" t="str">
        <f aca="false">IF(SUM($P126)=0,"",SUM($P126))</f>
        <v/>
      </c>
      <c r="R126" s="10"/>
      <c r="S126" s="10" t="str">
        <f aca="false">IF(SUM($F126)=0,"",SUM($R126)/$F126)</f>
        <v/>
      </c>
      <c r="T126" s="10"/>
      <c r="U126" s="88" t="n">
        <f aca="false">0.98</f>
        <v>0.98</v>
      </c>
      <c r="V126" s="88" t="n">
        <f aca="false">0.98</f>
        <v>0.98</v>
      </c>
      <c r="W126" s="10" t="str">
        <f aca="false">IF(SUM($P126,$Q126)=0,"",SUM($Q126)-SUM($P126))</f>
        <v/>
      </c>
      <c r="X126" s="10" t="str">
        <f aca="false">IFERROR(1/(1/ROUND((SUM($Q126)-(SUM($P126)*SUM($U126)))/$V126,0)),"")</f>
        <v/>
      </c>
      <c r="Y126" s="88" t="n">
        <f aca="false">1</f>
        <v>1</v>
      </c>
      <c r="Z126" s="39" t="str">
        <f aca="false">IFERROR(1/(1/ROUND(SUM($X126)*SUM($Y126),0)),"")</f>
        <v/>
      </c>
      <c r="AA126" s="88" t="n">
        <f aca="false">0.7</f>
        <v>0.7</v>
      </c>
      <c r="AB126" s="10" t="str">
        <f aca="false">IFERROR(1/(1/ROUND($P126+(SUM($X126)*$AA126),0)),"")</f>
        <v/>
      </c>
      <c r="AC126" s="88" t="n">
        <f aca="false">0.95</f>
        <v>0.95</v>
      </c>
      <c r="AD126" s="39" t="str">
        <f aca="false">IF(SUM($AB126)=0,"",ROUND($AB126*$AC126,0))</f>
        <v/>
      </c>
      <c r="AE126" s="88" t="n">
        <f aca="false">0.95</f>
        <v>0.95</v>
      </c>
      <c r="AF126" s="39" t="str">
        <f aca="false">IF(SUM($AD126)=0,"",ROUND($AD126*$AE126,0))</f>
        <v/>
      </c>
      <c r="AG126" s="10"/>
      <c r="AH126" s="10"/>
      <c r="AI126" s="88" t="n">
        <f aca="false">0.95</f>
        <v>0.95</v>
      </c>
      <c r="AJ126" s="88"/>
      <c r="AK126" s="39" t="str">
        <f aca="false">IF(SUM($Z126)=0,"",IF(AND(SUM($Z126)&gt;0,$AI126=""),"ENTER LINKAGE RATE",ROUND($Z126/$AI126,0)))</f>
        <v/>
      </c>
      <c r="AL126" s="39" t="str">
        <f aca="false">IF(SUM($AK126)=0,"",IF(AND($AK126&gt;0,$AJ126=""),"ENTER YIELD RATE",ROUND($AK126/$AJ126-$AK126,0)))</f>
        <v/>
      </c>
      <c r="AM126" s="88" t="n">
        <f aca="false">1</f>
        <v>1</v>
      </c>
      <c r="AN126" s="39" t="str">
        <f aca="false">IF(SUM($AK126)=0,"",ROUND($AK126*$AM126,0))</f>
        <v/>
      </c>
      <c r="AO126" s="10"/>
      <c r="AP126" s="39"/>
    </row>
    <row r="127" customFormat="false" ht="15" hidden="false" customHeight="false" outlineLevel="0" collapsed="false">
      <c r="A127" s="0" t="str">
        <f aca="false">INDEX(Prioritization!$D:$D,MATCH($B127,Prioritization!$A:$A,0))</f>
        <v>INVALID</v>
      </c>
      <c r="B127" s="0" t="s">
        <v>216</v>
      </c>
      <c r="C127" s="0" t="s">
        <v>472</v>
      </c>
      <c r="D127" s="0" t="str">
        <f aca="false">B127&amp;"|"&amp;C127</f>
        <v>Mulanje District [umc2n1Z4wNv]|People in prisons and other enclosed settings</v>
      </c>
      <c r="E127" s="39"/>
      <c r="F127" s="39"/>
      <c r="G127" s="39"/>
      <c r="H127" s="10"/>
      <c r="I127" s="39"/>
      <c r="J127" s="10"/>
      <c r="K127" s="39"/>
      <c r="L127" s="10"/>
      <c r="M127" s="39"/>
      <c r="N127" s="10"/>
      <c r="O127" s="10"/>
      <c r="P127" s="10" t="str">
        <f aca="false">IF(MAX($N127,$O127)=0,"",MAX($N127,$O127))</f>
        <v/>
      </c>
      <c r="Q127" s="39" t="str">
        <f aca="false">IF(SUM($P127)=0,"",SUM($P127))</f>
        <v/>
      </c>
      <c r="R127" s="10"/>
      <c r="S127" s="10" t="str">
        <f aca="false">IF(SUM($F127)=0,"",SUM($R127)/$F127)</f>
        <v/>
      </c>
      <c r="T127" s="10"/>
      <c r="U127" s="88" t="n">
        <f aca="false">0.98</f>
        <v>0.98</v>
      </c>
      <c r="V127" s="88" t="n">
        <f aca="false">0.98</f>
        <v>0.98</v>
      </c>
      <c r="W127" s="10" t="str">
        <f aca="false">IF(SUM($P127,$Q127)=0,"",SUM($Q127)-SUM($P127))</f>
        <v/>
      </c>
      <c r="X127" s="10" t="str">
        <f aca="false">IFERROR(1/(1/ROUND((SUM($Q127)-(SUM($P127)*SUM($U127)))/$V127,0)),"")</f>
        <v/>
      </c>
      <c r="Y127" s="88" t="n">
        <f aca="false">1</f>
        <v>1</v>
      </c>
      <c r="Z127" s="39" t="str">
        <f aca="false">IFERROR(1/(1/ROUND(SUM($X127)*SUM($Y127),0)),"")</f>
        <v/>
      </c>
      <c r="AA127" s="88" t="n">
        <f aca="false">0.7</f>
        <v>0.7</v>
      </c>
      <c r="AB127" s="10" t="str">
        <f aca="false">IFERROR(1/(1/ROUND($P127+(SUM($X127)*$AA127),0)),"")</f>
        <v/>
      </c>
      <c r="AC127" s="88" t="n">
        <f aca="false">0.95</f>
        <v>0.95</v>
      </c>
      <c r="AD127" s="39" t="str">
        <f aca="false">IF(SUM($AB127)=0,"",ROUND($AB127*$AC127,0))</f>
        <v/>
      </c>
      <c r="AE127" s="88" t="n">
        <f aca="false">0.95</f>
        <v>0.95</v>
      </c>
      <c r="AF127" s="39" t="str">
        <f aca="false">IF(SUM($AD127)=0,"",ROUND($AD127*$AE127,0))</f>
        <v/>
      </c>
      <c r="AG127" s="10"/>
      <c r="AH127" s="10"/>
      <c r="AI127" s="88" t="n">
        <f aca="false">0.95</f>
        <v>0.95</v>
      </c>
      <c r="AJ127" s="88"/>
      <c r="AK127" s="39" t="str">
        <f aca="false">IF(SUM($Z127)=0,"",IF(AND(SUM($Z127)&gt;0,$AI127=""),"ENTER LINKAGE RATE",ROUND($Z127/$AI127,0)))</f>
        <v/>
      </c>
      <c r="AL127" s="39" t="str">
        <f aca="false">IF(SUM($AK127)=0,"",IF(AND($AK127&gt;0,$AJ127=""),"ENTER YIELD RATE",ROUND($AK127/$AJ127-$AK127,0)))</f>
        <v/>
      </c>
      <c r="AM127" s="88" t="n">
        <f aca="false">1</f>
        <v>1</v>
      </c>
      <c r="AN127" s="39" t="str">
        <f aca="false">IF(SUM($AK127)=0,"",ROUND($AK127*$AM127,0))</f>
        <v/>
      </c>
      <c r="AO127" s="10"/>
      <c r="AP127" s="39"/>
    </row>
    <row r="128" customFormat="false" ht="15" hidden="false" customHeight="false" outlineLevel="0" collapsed="false">
      <c r="A128" s="0" t="str">
        <f aca="false">INDEX(Prioritization!$D:$D,MATCH($B128,Prioritization!$A:$A,0))</f>
        <v>INVALID</v>
      </c>
      <c r="B128" s="0" t="s">
        <v>216</v>
      </c>
      <c r="C128" s="0" t="s">
        <v>473</v>
      </c>
      <c r="D128" s="0" t="str">
        <f aca="false">B128&amp;"|"&amp;C128</f>
        <v>Mulanje District [umc2n1Z4wNv]|PWID</v>
      </c>
      <c r="E128" s="39"/>
      <c r="F128" s="39"/>
      <c r="G128" s="39"/>
      <c r="H128" s="10"/>
      <c r="I128" s="39"/>
      <c r="J128" s="10"/>
      <c r="K128" s="39"/>
      <c r="L128" s="10"/>
      <c r="M128" s="39"/>
      <c r="N128" s="10"/>
      <c r="O128" s="10"/>
      <c r="P128" s="10" t="str">
        <f aca="false">IF(MAX($N128,$O128)=0,"",MAX($N128,$O128))</f>
        <v/>
      </c>
      <c r="Q128" s="39" t="str">
        <f aca="false">IF(SUM($P128)=0,"",SUM($P128))</f>
        <v/>
      </c>
      <c r="R128" s="10"/>
      <c r="S128" s="10" t="str">
        <f aca="false">IF(SUM($F128)=0,"",SUM($R128)/$F128)</f>
        <v/>
      </c>
      <c r="T128" s="10"/>
      <c r="U128" s="88" t="n">
        <f aca="false">0.98</f>
        <v>0.98</v>
      </c>
      <c r="V128" s="88" t="n">
        <f aca="false">0.98</f>
        <v>0.98</v>
      </c>
      <c r="W128" s="10" t="str">
        <f aca="false">IF(SUM($P128,$Q128)=0,"",SUM($Q128)-SUM($P128))</f>
        <v/>
      </c>
      <c r="X128" s="10" t="str">
        <f aca="false">IFERROR(1/(1/ROUND((SUM($Q128)-(SUM($P128)*SUM($U128)))/$V128,0)),"")</f>
        <v/>
      </c>
      <c r="Y128" s="88" t="n">
        <f aca="false">1</f>
        <v>1</v>
      </c>
      <c r="Z128" s="39" t="str">
        <f aca="false">IFERROR(1/(1/ROUND(SUM($X128)*SUM($Y128),0)),"")</f>
        <v/>
      </c>
      <c r="AA128" s="88" t="n">
        <f aca="false">0.7</f>
        <v>0.7</v>
      </c>
      <c r="AB128" s="10" t="str">
        <f aca="false">IFERROR(1/(1/ROUND($P128+(SUM($X128)*$AA128),0)),"")</f>
        <v/>
      </c>
      <c r="AC128" s="88" t="n">
        <f aca="false">0.95</f>
        <v>0.95</v>
      </c>
      <c r="AD128" s="39" t="str">
        <f aca="false">IF(SUM($AB128)=0,"",ROUND($AB128*$AC128,0))</f>
        <v/>
      </c>
      <c r="AE128" s="88" t="n">
        <f aca="false">0.95</f>
        <v>0.95</v>
      </c>
      <c r="AF128" s="39" t="str">
        <f aca="false">IF(SUM($AD128)=0,"",ROUND($AD128*$AE128,0))</f>
        <v/>
      </c>
      <c r="AG128" s="10"/>
      <c r="AH128" s="10"/>
      <c r="AI128" s="88" t="n">
        <f aca="false">0.95</f>
        <v>0.95</v>
      </c>
      <c r="AJ128" s="88"/>
      <c r="AK128" s="39" t="str">
        <f aca="false">IF(SUM($Z128)=0,"",IF(AND(SUM($Z128)&gt;0,$AI128=""),"ENTER LINKAGE RATE",ROUND($Z128/$AI128,0)))</f>
        <v/>
      </c>
      <c r="AL128" s="39" t="str">
        <f aca="false">IF(SUM($AK128)=0,"",IF(AND($AK128&gt;0,$AJ128=""),"ENTER YIELD RATE",ROUND($AK128/$AJ128-$AK128,0)))</f>
        <v/>
      </c>
      <c r="AM128" s="88" t="n">
        <f aca="false">1</f>
        <v>1</v>
      </c>
      <c r="AN128" s="39" t="str">
        <f aca="false">IF(SUM($AK128)=0,"",ROUND($AK128*$AM128,0))</f>
        <v/>
      </c>
      <c r="AO128" s="10"/>
      <c r="AP128" s="39"/>
    </row>
    <row r="129" customFormat="false" ht="15" hidden="false" customHeight="false" outlineLevel="0" collapsed="false">
      <c r="A129" s="0" t="str">
        <f aca="false">INDEX(Prioritization!$D:$D,MATCH($B129,Prioritization!$A:$A,0))</f>
        <v>INVALID</v>
      </c>
      <c r="B129" s="0" t="s">
        <v>216</v>
      </c>
      <c r="C129" s="0" t="s">
        <v>474</v>
      </c>
      <c r="D129" s="0" t="str">
        <f aca="false">B129&amp;"|"&amp;C129</f>
        <v>Mulanje District [umc2n1Z4wNv]|TG</v>
      </c>
      <c r="E129" s="39"/>
      <c r="F129" s="39"/>
      <c r="G129" s="39"/>
      <c r="H129" s="10"/>
      <c r="I129" s="39"/>
      <c r="J129" s="10"/>
      <c r="K129" s="39"/>
      <c r="L129" s="10"/>
      <c r="M129" s="39"/>
      <c r="N129" s="10"/>
      <c r="O129" s="10"/>
      <c r="P129" s="10" t="str">
        <f aca="false">IF(MAX($N129,$O129)=0,"",MAX($N129,$O129))</f>
        <v/>
      </c>
      <c r="Q129" s="39" t="str">
        <f aca="false">IF(SUM($P129)=0,"",SUM($P129))</f>
        <v/>
      </c>
      <c r="R129" s="10"/>
      <c r="S129" s="10" t="str">
        <f aca="false">IF(SUM($F129)=0,"",SUM($R129)/$F129)</f>
        <v/>
      </c>
      <c r="T129" s="10"/>
      <c r="U129" s="88" t="n">
        <f aca="false">0.98</f>
        <v>0.98</v>
      </c>
      <c r="V129" s="88" t="n">
        <f aca="false">0.98</f>
        <v>0.98</v>
      </c>
      <c r="W129" s="10" t="str">
        <f aca="false">IF(SUM($P129,$Q129)=0,"",SUM($Q129)-SUM($P129))</f>
        <v/>
      </c>
      <c r="X129" s="10" t="str">
        <f aca="false">IFERROR(1/(1/ROUND((SUM($Q129)-(SUM($P129)*SUM($U129)))/$V129,0)),"")</f>
        <v/>
      </c>
      <c r="Y129" s="88" t="n">
        <f aca="false">1</f>
        <v>1</v>
      </c>
      <c r="Z129" s="39" t="str">
        <f aca="false">IFERROR(1/(1/ROUND(SUM($X129)*SUM($Y129),0)),"")</f>
        <v/>
      </c>
      <c r="AA129" s="88" t="n">
        <f aca="false">0.7</f>
        <v>0.7</v>
      </c>
      <c r="AB129" s="10" t="str">
        <f aca="false">IFERROR(1/(1/ROUND($P129+(SUM($X129)*$AA129),0)),"")</f>
        <v/>
      </c>
      <c r="AC129" s="88" t="n">
        <f aca="false">0.95</f>
        <v>0.95</v>
      </c>
      <c r="AD129" s="39" t="str">
        <f aca="false">IF(SUM($AB129)=0,"",ROUND($AB129*$AC129,0))</f>
        <v/>
      </c>
      <c r="AE129" s="88" t="n">
        <f aca="false">0.95</f>
        <v>0.95</v>
      </c>
      <c r="AF129" s="39" t="str">
        <f aca="false">IF(SUM($AD129)=0,"",ROUND($AD129*$AE129,0))</f>
        <v/>
      </c>
      <c r="AG129" s="10"/>
      <c r="AH129" s="10"/>
      <c r="AI129" s="88" t="n">
        <f aca="false">0.95</f>
        <v>0.95</v>
      </c>
      <c r="AJ129" s="88"/>
      <c r="AK129" s="39" t="str">
        <f aca="false">IF(SUM($Z129)=0,"",IF(AND(SUM($Z129)&gt;0,$AI129=""),"ENTER LINKAGE RATE",ROUND($Z129/$AI129,0)))</f>
        <v/>
      </c>
      <c r="AL129" s="39" t="str">
        <f aca="false">IF(SUM($AK129)=0,"",IF(AND($AK129&gt;0,$AJ129=""),"ENTER YIELD RATE",ROUND($AK129/$AJ129-$AK129,0)))</f>
        <v/>
      </c>
      <c r="AM129" s="88" t="n">
        <f aca="false">1</f>
        <v>1</v>
      </c>
      <c r="AN129" s="39" t="str">
        <f aca="false">IF(SUM($AK129)=0,"",ROUND($AK129*$AM129,0))</f>
        <v/>
      </c>
      <c r="AO129" s="10"/>
      <c r="AP129" s="39"/>
    </row>
    <row r="130" customFormat="false" ht="15" hidden="false" customHeight="false" outlineLevel="0" collapsed="false">
      <c r="A130" s="0" t="str">
        <f aca="false">INDEX(Prioritization!$D:$D,MATCH($B130,Prioritization!$A:$A,0))</f>
        <v>INVALID</v>
      </c>
      <c r="B130" s="0" t="s">
        <v>217</v>
      </c>
      <c r="C130" s="0" t="s">
        <v>470</v>
      </c>
      <c r="D130" s="0" t="str">
        <f aca="false">B130&amp;"|"&amp;C130</f>
        <v>Mwanza District [wNqJp8oRIcF]|FSW</v>
      </c>
      <c r="E130" s="39"/>
      <c r="F130" s="39"/>
      <c r="G130" s="39"/>
      <c r="H130" s="10"/>
      <c r="I130" s="39"/>
      <c r="J130" s="10" t="n">
        <v>5</v>
      </c>
      <c r="K130" s="39"/>
      <c r="L130" s="10" t="n">
        <v>72</v>
      </c>
      <c r="M130" s="39"/>
      <c r="N130" s="10" t="n">
        <v>38</v>
      </c>
      <c r="O130" s="10" t="n">
        <v>56</v>
      </c>
      <c r="P130" s="10" t="n">
        <f aca="false">IF(MAX($N130,$O130)=0,"",MAX($N130,$O130))</f>
        <v>56</v>
      </c>
      <c r="Q130" s="39" t="n">
        <f aca="false">IF(SUM($P130)=0,"",SUM($P130))</f>
        <v>56</v>
      </c>
      <c r="R130" s="10"/>
      <c r="S130" s="10" t="str">
        <f aca="false">IF(SUM($F130)=0,"",SUM($R130)/$F130)</f>
        <v/>
      </c>
      <c r="T130" s="10" t="n">
        <v>10</v>
      </c>
      <c r="U130" s="88" t="n">
        <f aca="false">0.98</f>
        <v>0.98</v>
      </c>
      <c r="V130" s="88" t="n">
        <f aca="false">0.98</f>
        <v>0.98</v>
      </c>
      <c r="W130" s="10" t="n">
        <f aca="false">IF(SUM($P130,$Q130)=0,"",SUM($Q130)-SUM($P130))</f>
        <v>0</v>
      </c>
      <c r="X130" s="10" t="n">
        <f aca="false">IFERROR(1/(1/ROUND((SUM($Q130)-(SUM($P130)*SUM($U130)))/$V130,0)),"")</f>
        <v>1</v>
      </c>
      <c r="Y130" s="88" t="n">
        <f aca="false">1</f>
        <v>1</v>
      </c>
      <c r="Z130" s="39" t="n">
        <f aca="false">IFERROR(1/(1/ROUND(SUM($X130)*SUM($Y130),0)),"")</f>
        <v>1</v>
      </c>
      <c r="AA130" s="88" t="n">
        <f aca="false">0.7</f>
        <v>0.7</v>
      </c>
      <c r="AB130" s="10" t="n">
        <f aca="false">IFERROR(1/(1/ROUND($P130+(SUM($X130)*$AA130),0)),"")</f>
        <v>57</v>
      </c>
      <c r="AC130" s="88" t="n">
        <f aca="false">0.95</f>
        <v>0.95</v>
      </c>
      <c r="AD130" s="39" t="n">
        <f aca="false">IF(SUM($AB130)=0,"",ROUND($AB130*$AC130,0))</f>
        <v>54</v>
      </c>
      <c r="AE130" s="88" t="n">
        <f aca="false">0.95</f>
        <v>0.95</v>
      </c>
      <c r="AF130" s="39" t="n">
        <f aca="false">IF(SUM($AD130)=0,"",ROUND($AD130*$AE130,0))</f>
        <v>51</v>
      </c>
      <c r="AG130" s="10" t="n">
        <v>8</v>
      </c>
      <c r="AH130" s="10" t="n">
        <v>0</v>
      </c>
      <c r="AI130" s="88" t="n">
        <f aca="false">0.95</f>
        <v>0.95</v>
      </c>
      <c r="AJ130" s="88"/>
      <c r="AK130" s="39" t="n">
        <f aca="false">IF(SUM($Z130)=0,"",IF(AND(SUM($Z130)&gt;0,$AI130=""),"ENTER LINKAGE RATE",ROUND($Z130/$AI130,0)))</f>
        <v>1</v>
      </c>
      <c r="AL130" s="39" t="str">
        <f aca="false">IF(SUM($AK130)=0,"",IF(AND($AK130&gt;0,$AJ130=""),"ENTER YIELD RATE",ROUND($AK130/$AJ130-$AK130,0)))</f>
        <v>ENTER YIELD RATE</v>
      </c>
      <c r="AM130" s="88" t="n">
        <f aca="false">1</f>
        <v>1</v>
      </c>
      <c r="AN130" s="39" t="n">
        <f aca="false">IF(SUM($AK130)=0,"",ROUND($AK130*$AM130,0))</f>
        <v>1</v>
      </c>
      <c r="AO130" s="10" t="n">
        <v>40</v>
      </c>
      <c r="AP130" s="39"/>
    </row>
    <row r="131" customFormat="false" ht="15" hidden="false" customHeight="false" outlineLevel="0" collapsed="false">
      <c r="A131" s="0" t="str">
        <f aca="false">INDEX(Prioritization!$D:$D,MATCH($B131,Prioritization!$A:$A,0))</f>
        <v>INVALID</v>
      </c>
      <c r="B131" s="0" t="s">
        <v>217</v>
      </c>
      <c r="C131" s="0" t="s">
        <v>471</v>
      </c>
      <c r="D131" s="0" t="str">
        <f aca="false">B131&amp;"|"&amp;C131</f>
        <v>Mwanza District [wNqJp8oRIcF]|MSM</v>
      </c>
      <c r="E131" s="39"/>
      <c r="F131" s="39"/>
      <c r="G131" s="39"/>
      <c r="H131" s="10"/>
      <c r="I131" s="39"/>
      <c r="J131" s="10" t="n">
        <v>5</v>
      </c>
      <c r="K131" s="39"/>
      <c r="L131" s="10" t="n">
        <v>6</v>
      </c>
      <c r="M131" s="39"/>
      <c r="N131" s="10" t="n">
        <v>5</v>
      </c>
      <c r="O131" s="10" t="n">
        <v>8</v>
      </c>
      <c r="P131" s="10" t="n">
        <f aca="false">IF(MAX($N131,$O131)=0,"",MAX($N131,$O131))</f>
        <v>8</v>
      </c>
      <c r="Q131" s="39" t="n">
        <f aca="false">IF(SUM($P131)=0,"",SUM($P131))</f>
        <v>8</v>
      </c>
      <c r="R131" s="10"/>
      <c r="S131" s="10" t="str">
        <f aca="false">IF(SUM($F131)=0,"",SUM($R131)/$F131)</f>
        <v/>
      </c>
      <c r="T131" s="10" t="n">
        <v>1</v>
      </c>
      <c r="U131" s="88" t="n">
        <f aca="false">0.98</f>
        <v>0.98</v>
      </c>
      <c r="V131" s="88" t="n">
        <f aca="false">0.98</f>
        <v>0.98</v>
      </c>
      <c r="W131" s="10" t="n">
        <f aca="false">IF(SUM($P131,$Q131)=0,"",SUM($Q131)-SUM($P131))</f>
        <v>0</v>
      </c>
      <c r="X131" s="10" t="str">
        <f aca="false">IFERROR(1/(1/ROUND((SUM($Q131)-(SUM($P131)*SUM($U131)))/$V131,0)),"")</f>
        <v/>
      </c>
      <c r="Y131" s="88" t="n">
        <f aca="false">1</f>
        <v>1</v>
      </c>
      <c r="Z131" s="39" t="str">
        <f aca="false">IFERROR(1/(1/ROUND(SUM($X131)*SUM($Y131),0)),"")</f>
        <v/>
      </c>
      <c r="AA131" s="88" t="n">
        <f aca="false">0.7</f>
        <v>0.7</v>
      </c>
      <c r="AB131" s="10" t="n">
        <f aca="false">IFERROR(1/(1/ROUND($P131+(SUM($X131)*$AA131),0)),"")</f>
        <v>8</v>
      </c>
      <c r="AC131" s="88" t="n">
        <f aca="false">0.95</f>
        <v>0.95</v>
      </c>
      <c r="AD131" s="39" t="n">
        <f aca="false">IF(SUM($AB131)=0,"",ROUND($AB131*$AC131,0))</f>
        <v>8</v>
      </c>
      <c r="AE131" s="88" t="n">
        <f aca="false">0.95</f>
        <v>0.95</v>
      </c>
      <c r="AF131" s="39" t="n">
        <f aca="false">IF(SUM($AD131)=0,"",ROUND($AD131*$AE131,0))</f>
        <v>8</v>
      </c>
      <c r="AG131" s="10" t="n">
        <v>1</v>
      </c>
      <c r="AH131" s="10"/>
      <c r="AI131" s="88" t="n">
        <f aca="false">0.95</f>
        <v>0.95</v>
      </c>
      <c r="AJ131" s="88"/>
      <c r="AK131" s="39" t="str">
        <f aca="false">IF(SUM($Z131)=0,"",IF(AND(SUM($Z131)&gt;0,$AI131=""),"ENTER LINKAGE RATE",ROUND($Z131/$AI131,0)))</f>
        <v/>
      </c>
      <c r="AL131" s="39" t="str">
        <f aca="false">IF(SUM($AK131)=0,"",IF(AND($AK131&gt;0,$AJ131=""),"ENTER YIELD RATE",ROUND($AK131/$AJ131-$AK131,0)))</f>
        <v/>
      </c>
      <c r="AM131" s="88" t="n">
        <f aca="false">1</f>
        <v>1</v>
      </c>
      <c r="AN131" s="39" t="str">
        <f aca="false">IF(SUM($AK131)=0,"",ROUND($AK131*$AM131,0))</f>
        <v/>
      </c>
      <c r="AO131" s="10" t="n">
        <v>9</v>
      </c>
      <c r="AP131" s="39"/>
    </row>
    <row r="132" customFormat="false" ht="15" hidden="false" customHeight="false" outlineLevel="0" collapsed="false">
      <c r="A132" s="0" t="str">
        <f aca="false">INDEX(Prioritization!$D:$D,MATCH($B132,Prioritization!$A:$A,0))</f>
        <v>INVALID</v>
      </c>
      <c r="B132" s="0" t="s">
        <v>217</v>
      </c>
      <c r="C132" s="0" t="s">
        <v>472</v>
      </c>
      <c r="D132" s="0" t="str">
        <f aca="false">B132&amp;"|"&amp;C132</f>
        <v>Mwanza District [wNqJp8oRIcF]|People in prisons and other enclosed settings</v>
      </c>
      <c r="E132" s="39"/>
      <c r="F132" s="39"/>
      <c r="G132" s="39"/>
      <c r="H132" s="10"/>
      <c r="I132" s="39"/>
      <c r="J132" s="10"/>
      <c r="K132" s="39"/>
      <c r="L132" s="10" t="n">
        <v>99</v>
      </c>
      <c r="M132" s="39"/>
      <c r="N132" s="10" t="n">
        <v>3</v>
      </c>
      <c r="O132" s="10" t="n">
        <v>6</v>
      </c>
      <c r="P132" s="10" t="n">
        <f aca="false">IF(MAX($N132,$O132)=0,"",MAX($N132,$O132))</f>
        <v>6</v>
      </c>
      <c r="Q132" s="39" t="n">
        <f aca="false">IF(SUM($P132)=0,"",SUM($P132))</f>
        <v>6</v>
      </c>
      <c r="R132" s="10"/>
      <c r="S132" s="10" t="str">
        <f aca="false">IF(SUM($F132)=0,"",SUM($R132)/$F132)</f>
        <v/>
      </c>
      <c r="T132" s="10" t="n">
        <v>5</v>
      </c>
      <c r="U132" s="88" t="n">
        <f aca="false">0.98</f>
        <v>0.98</v>
      </c>
      <c r="V132" s="88" t="n">
        <f aca="false">0.98</f>
        <v>0.98</v>
      </c>
      <c r="W132" s="10" t="n">
        <f aca="false">IF(SUM($P132,$Q132)=0,"",SUM($Q132)-SUM($P132))</f>
        <v>0</v>
      </c>
      <c r="X132" s="10" t="str">
        <f aca="false">IFERROR(1/(1/ROUND((SUM($Q132)-(SUM($P132)*SUM($U132)))/$V132,0)),"")</f>
        <v/>
      </c>
      <c r="Y132" s="88" t="n">
        <f aca="false">1</f>
        <v>1</v>
      </c>
      <c r="Z132" s="39" t="str">
        <f aca="false">IFERROR(1/(1/ROUND(SUM($X132)*SUM($Y132),0)),"")</f>
        <v/>
      </c>
      <c r="AA132" s="88" t="n">
        <f aca="false">0.7</f>
        <v>0.7</v>
      </c>
      <c r="AB132" s="10" t="n">
        <f aca="false">IFERROR(1/(1/ROUND($P132+(SUM($X132)*$AA132),0)),"")</f>
        <v>6</v>
      </c>
      <c r="AC132" s="88" t="n">
        <f aca="false">0.95</f>
        <v>0.95</v>
      </c>
      <c r="AD132" s="39" t="n">
        <f aca="false">IF(SUM($AB132)=0,"",ROUND($AB132*$AC132,0))</f>
        <v>6</v>
      </c>
      <c r="AE132" s="88" t="n">
        <f aca="false">0.95</f>
        <v>0.95</v>
      </c>
      <c r="AF132" s="39" t="n">
        <f aca="false">IF(SUM($AD132)=0,"",ROUND($AD132*$AE132,0))</f>
        <v>6</v>
      </c>
      <c r="AG132" s="10" t="n">
        <v>3</v>
      </c>
      <c r="AH132" s="10" t="n">
        <v>1</v>
      </c>
      <c r="AI132" s="88" t="n">
        <f aca="false">0.95</f>
        <v>0.95</v>
      </c>
      <c r="AJ132" s="88"/>
      <c r="AK132" s="39" t="str">
        <f aca="false">IF(SUM($Z132)=0,"",IF(AND(SUM($Z132)&gt;0,$AI132=""),"ENTER LINKAGE RATE",ROUND($Z132/$AI132,0)))</f>
        <v/>
      </c>
      <c r="AL132" s="39" t="str">
        <f aca="false">IF(SUM($AK132)=0,"",IF(AND($AK132&gt;0,$AJ132=""),"ENTER YIELD RATE",ROUND($AK132/$AJ132-$AK132,0)))</f>
        <v/>
      </c>
      <c r="AM132" s="88" t="n">
        <f aca="false">1</f>
        <v>1</v>
      </c>
      <c r="AN132" s="39" t="str">
        <f aca="false">IF(SUM($AK132)=0,"",ROUND($AK132*$AM132,0))</f>
        <v/>
      </c>
      <c r="AO132" s="10" t="n">
        <v>15</v>
      </c>
      <c r="AP132" s="39"/>
    </row>
    <row r="133" customFormat="false" ht="15" hidden="false" customHeight="false" outlineLevel="0" collapsed="false">
      <c r="A133" s="0" t="str">
        <f aca="false">INDEX(Prioritization!$D:$D,MATCH($B133,Prioritization!$A:$A,0))</f>
        <v>INVALID</v>
      </c>
      <c r="B133" s="0" t="s">
        <v>217</v>
      </c>
      <c r="C133" s="0" t="s">
        <v>473</v>
      </c>
      <c r="D133" s="0" t="str">
        <f aca="false">B133&amp;"|"&amp;C133</f>
        <v>Mwanza District [wNqJp8oRIcF]|PWID</v>
      </c>
      <c r="E133" s="39"/>
      <c r="F133" s="39"/>
      <c r="G133" s="39"/>
      <c r="H133" s="10"/>
      <c r="I133" s="39"/>
      <c r="J133" s="10"/>
      <c r="K133" s="39"/>
      <c r="L133" s="10"/>
      <c r="M133" s="39"/>
      <c r="N133" s="10"/>
      <c r="O133" s="10"/>
      <c r="P133" s="10" t="str">
        <f aca="false">IF(MAX($N133,$O133)=0,"",MAX($N133,$O133))</f>
        <v/>
      </c>
      <c r="Q133" s="39" t="str">
        <f aca="false">IF(SUM($P133)=0,"",SUM($P133))</f>
        <v/>
      </c>
      <c r="R133" s="10"/>
      <c r="S133" s="10" t="str">
        <f aca="false">IF(SUM($F133)=0,"",SUM($R133)/$F133)</f>
        <v/>
      </c>
      <c r="T133" s="10"/>
      <c r="U133" s="88" t="n">
        <f aca="false">0.98</f>
        <v>0.98</v>
      </c>
      <c r="V133" s="88" t="n">
        <f aca="false">0.98</f>
        <v>0.98</v>
      </c>
      <c r="W133" s="10" t="str">
        <f aca="false">IF(SUM($P133,$Q133)=0,"",SUM($Q133)-SUM($P133))</f>
        <v/>
      </c>
      <c r="X133" s="10" t="str">
        <f aca="false">IFERROR(1/(1/ROUND((SUM($Q133)-(SUM($P133)*SUM($U133)))/$V133,0)),"")</f>
        <v/>
      </c>
      <c r="Y133" s="88" t="n">
        <f aca="false">1</f>
        <v>1</v>
      </c>
      <c r="Z133" s="39" t="str">
        <f aca="false">IFERROR(1/(1/ROUND(SUM($X133)*SUM($Y133),0)),"")</f>
        <v/>
      </c>
      <c r="AA133" s="88" t="n">
        <f aca="false">0.7</f>
        <v>0.7</v>
      </c>
      <c r="AB133" s="10" t="str">
        <f aca="false">IFERROR(1/(1/ROUND($P133+(SUM($X133)*$AA133),0)),"")</f>
        <v/>
      </c>
      <c r="AC133" s="88" t="n">
        <f aca="false">0.95</f>
        <v>0.95</v>
      </c>
      <c r="AD133" s="39" t="str">
        <f aca="false">IF(SUM($AB133)=0,"",ROUND($AB133*$AC133,0))</f>
        <v/>
      </c>
      <c r="AE133" s="88" t="n">
        <f aca="false">0.95</f>
        <v>0.95</v>
      </c>
      <c r="AF133" s="39" t="str">
        <f aca="false">IF(SUM($AD133)=0,"",ROUND($AD133*$AE133,0))</f>
        <v/>
      </c>
      <c r="AG133" s="10"/>
      <c r="AH133" s="10"/>
      <c r="AI133" s="88" t="n">
        <f aca="false">0.95</f>
        <v>0.95</v>
      </c>
      <c r="AJ133" s="88"/>
      <c r="AK133" s="39" t="str">
        <f aca="false">IF(SUM($Z133)=0,"",IF(AND(SUM($Z133)&gt;0,$AI133=""),"ENTER LINKAGE RATE",ROUND($Z133/$AI133,0)))</f>
        <v/>
      </c>
      <c r="AL133" s="39" t="str">
        <f aca="false">IF(SUM($AK133)=0,"",IF(AND($AK133&gt;0,$AJ133=""),"ENTER YIELD RATE",ROUND($AK133/$AJ133-$AK133,0)))</f>
        <v/>
      </c>
      <c r="AM133" s="88" t="n">
        <f aca="false">1</f>
        <v>1</v>
      </c>
      <c r="AN133" s="39" t="str">
        <f aca="false">IF(SUM($AK133)=0,"",ROUND($AK133*$AM133,0))</f>
        <v/>
      </c>
      <c r="AO133" s="10"/>
      <c r="AP133" s="39"/>
    </row>
    <row r="134" customFormat="false" ht="15" hidden="false" customHeight="false" outlineLevel="0" collapsed="false">
      <c r="A134" s="0" t="str">
        <f aca="false">INDEX(Prioritization!$D:$D,MATCH($B134,Prioritization!$A:$A,0))</f>
        <v>INVALID</v>
      </c>
      <c r="B134" s="0" t="s">
        <v>217</v>
      </c>
      <c r="C134" s="0" t="s">
        <v>474</v>
      </c>
      <c r="D134" s="0" t="str">
        <f aca="false">B134&amp;"|"&amp;C134</f>
        <v>Mwanza District [wNqJp8oRIcF]|TG</v>
      </c>
      <c r="E134" s="39"/>
      <c r="F134" s="39"/>
      <c r="G134" s="39"/>
      <c r="H134" s="10"/>
      <c r="I134" s="39"/>
      <c r="J134" s="10"/>
      <c r="K134" s="39"/>
      <c r="L134" s="10"/>
      <c r="M134" s="39"/>
      <c r="N134" s="10"/>
      <c r="O134" s="10"/>
      <c r="P134" s="10" t="str">
        <f aca="false">IF(MAX($N134,$O134)=0,"",MAX($N134,$O134))</f>
        <v/>
      </c>
      <c r="Q134" s="39" t="str">
        <f aca="false">IF(SUM($P134)=0,"",SUM($P134))</f>
        <v/>
      </c>
      <c r="R134" s="10"/>
      <c r="S134" s="10" t="str">
        <f aca="false">IF(SUM($F134)=0,"",SUM($R134)/$F134)</f>
        <v/>
      </c>
      <c r="T134" s="10"/>
      <c r="U134" s="88" t="n">
        <f aca="false">0.98</f>
        <v>0.98</v>
      </c>
      <c r="V134" s="88" t="n">
        <f aca="false">0.98</f>
        <v>0.98</v>
      </c>
      <c r="W134" s="10" t="str">
        <f aca="false">IF(SUM($P134,$Q134)=0,"",SUM($Q134)-SUM($P134))</f>
        <v/>
      </c>
      <c r="X134" s="10" t="str">
        <f aca="false">IFERROR(1/(1/ROUND((SUM($Q134)-(SUM($P134)*SUM($U134)))/$V134,0)),"")</f>
        <v/>
      </c>
      <c r="Y134" s="88" t="n">
        <f aca="false">1</f>
        <v>1</v>
      </c>
      <c r="Z134" s="39" t="str">
        <f aca="false">IFERROR(1/(1/ROUND(SUM($X134)*SUM($Y134),0)),"")</f>
        <v/>
      </c>
      <c r="AA134" s="88" t="n">
        <f aca="false">0.7</f>
        <v>0.7</v>
      </c>
      <c r="AB134" s="10" t="str">
        <f aca="false">IFERROR(1/(1/ROUND($P134+(SUM($X134)*$AA134),0)),"")</f>
        <v/>
      </c>
      <c r="AC134" s="88" t="n">
        <f aca="false">0.95</f>
        <v>0.95</v>
      </c>
      <c r="AD134" s="39" t="str">
        <f aca="false">IF(SUM($AB134)=0,"",ROUND($AB134*$AC134,0))</f>
        <v/>
      </c>
      <c r="AE134" s="88" t="n">
        <f aca="false">0.95</f>
        <v>0.95</v>
      </c>
      <c r="AF134" s="39" t="str">
        <f aca="false">IF(SUM($AD134)=0,"",ROUND($AD134*$AE134,0))</f>
        <v/>
      </c>
      <c r="AG134" s="10"/>
      <c r="AH134" s="10"/>
      <c r="AI134" s="88" t="n">
        <f aca="false">0.95</f>
        <v>0.95</v>
      </c>
      <c r="AJ134" s="88"/>
      <c r="AK134" s="39" t="str">
        <f aca="false">IF(SUM($Z134)=0,"",IF(AND(SUM($Z134)&gt;0,$AI134=""),"ENTER LINKAGE RATE",ROUND($Z134/$AI134,0)))</f>
        <v/>
      </c>
      <c r="AL134" s="39" t="str">
        <f aca="false">IF(SUM($AK134)=0,"",IF(AND($AK134&gt;0,$AJ134=""),"ENTER YIELD RATE",ROUND($AK134/$AJ134-$AK134,0)))</f>
        <v/>
      </c>
      <c r="AM134" s="88" t="n">
        <f aca="false">1</f>
        <v>1</v>
      </c>
      <c r="AN134" s="39" t="str">
        <f aca="false">IF(SUM($AK134)=0,"",ROUND($AK134*$AM134,0))</f>
        <v/>
      </c>
      <c r="AO134" s="10"/>
      <c r="AP134" s="39"/>
    </row>
    <row r="135" customFormat="false" ht="15" hidden="false" customHeight="false" outlineLevel="0" collapsed="false">
      <c r="A135" s="0" t="str">
        <f aca="false">INDEX(Prioritization!$D:$D,MATCH($B135,Prioritization!$A:$A,0))</f>
        <v>INVALID</v>
      </c>
      <c r="B135" s="0" t="s">
        <v>218</v>
      </c>
      <c r="C135" s="0" t="s">
        <v>470</v>
      </c>
      <c r="D135" s="0" t="str">
        <f aca="false">B135&amp;"|"&amp;C135</f>
        <v>Neno District [gwVYinjBAe9]|FSW</v>
      </c>
      <c r="E135" s="39"/>
      <c r="F135" s="39"/>
      <c r="G135" s="39"/>
      <c r="H135" s="10"/>
      <c r="I135" s="39"/>
      <c r="J135" s="10"/>
      <c r="K135" s="39"/>
      <c r="L135" s="10"/>
      <c r="M135" s="39"/>
      <c r="N135" s="10"/>
      <c r="O135" s="10"/>
      <c r="P135" s="10" t="str">
        <f aca="false">IF(MAX($N135,$O135)=0,"",MAX($N135,$O135))</f>
        <v/>
      </c>
      <c r="Q135" s="39" t="str">
        <f aca="false">IF(SUM($P135)=0,"",SUM($P135))</f>
        <v/>
      </c>
      <c r="R135" s="10"/>
      <c r="S135" s="10" t="str">
        <f aca="false">IF(SUM($F135)=0,"",SUM($R135)/$F135)</f>
        <v/>
      </c>
      <c r="T135" s="10"/>
      <c r="U135" s="88" t="n">
        <f aca="false">0.98</f>
        <v>0.98</v>
      </c>
      <c r="V135" s="88" t="n">
        <f aca="false">0.98</f>
        <v>0.98</v>
      </c>
      <c r="W135" s="10" t="str">
        <f aca="false">IF(SUM($P135,$Q135)=0,"",SUM($Q135)-SUM($P135))</f>
        <v/>
      </c>
      <c r="X135" s="10" t="str">
        <f aca="false">IFERROR(1/(1/ROUND((SUM($Q135)-(SUM($P135)*SUM($U135)))/$V135,0)),"")</f>
        <v/>
      </c>
      <c r="Y135" s="88" t="n">
        <f aca="false">1</f>
        <v>1</v>
      </c>
      <c r="Z135" s="39" t="str">
        <f aca="false">IFERROR(1/(1/ROUND(SUM($X135)*SUM($Y135),0)),"")</f>
        <v/>
      </c>
      <c r="AA135" s="88" t="n">
        <f aca="false">0.7</f>
        <v>0.7</v>
      </c>
      <c r="AB135" s="10" t="str">
        <f aca="false">IFERROR(1/(1/ROUND($P135+(SUM($X135)*$AA135),0)),"")</f>
        <v/>
      </c>
      <c r="AC135" s="88" t="n">
        <f aca="false">0.95</f>
        <v>0.95</v>
      </c>
      <c r="AD135" s="39" t="str">
        <f aca="false">IF(SUM($AB135)=0,"",ROUND($AB135*$AC135,0))</f>
        <v/>
      </c>
      <c r="AE135" s="88" t="n">
        <f aca="false">0.95</f>
        <v>0.95</v>
      </c>
      <c r="AF135" s="39" t="str">
        <f aca="false">IF(SUM($AD135)=0,"",ROUND($AD135*$AE135,0))</f>
        <v/>
      </c>
      <c r="AG135" s="10"/>
      <c r="AH135" s="10"/>
      <c r="AI135" s="88" t="n">
        <f aca="false">0.95</f>
        <v>0.95</v>
      </c>
      <c r="AJ135" s="88"/>
      <c r="AK135" s="39" t="str">
        <f aca="false">IF(SUM($Z135)=0,"",IF(AND(SUM($Z135)&gt;0,$AI135=""),"ENTER LINKAGE RATE",ROUND($Z135/$AI135,0)))</f>
        <v/>
      </c>
      <c r="AL135" s="39" t="str">
        <f aca="false">IF(SUM($AK135)=0,"",IF(AND($AK135&gt;0,$AJ135=""),"ENTER YIELD RATE",ROUND($AK135/$AJ135-$AK135,0)))</f>
        <v/>
      </c>
      <c r="AM135" s="88" t="n">
        <f aca="false">1</f>
        <v>1</v>
      </c>
      <c r="AN135" s="39" t="str">
        <f aca="false">IF(SUM($AK135)=0,"",ROUND($AK135*$AM135,0))</f>
        <v/>
      </c>
      <c r="AO135" s="10"/>
      <c r="AP135" s="39"/>
    </row>
    <row r="136" customFormat="false" ht="15" hidden="false" customHeight="false" outlineLevel="0" collapsed="false">
      <c r="A136" s="0" t="str">
        <f aca="false">INDEX(Prioritization!$D:$D,MATCH($B136,Prioritization!$A:$A,0))</f>
        <v>INVALID</v>
      </c>
      <c r="B136" s="0" t="s">
        <v>218</v>
      </c>
      <c r="C136" s="0" t="s">
        <v>471</v>
      </c>
      <c r="D136" s="0" t="str">
        <f aca="false">B136&amp;"|"&amp;C136</f>
        <v>Neno District [gwVYinjBAe9]|MSM</v>
      </c>
      <c r="E136" s="39"/>
      <c r="F136" s="39"/>
      <c r="G136" s="39"/>
      <c r="H136" s="10"/>
      <c r="I136" s="39"/>
      <c r="J136" s="10"/>
      <c r="K136" s="39"/>
      <c r="L136" s="10"/>
      <c r="M136" s="39"/>
      <c r="N136" s="10"/>
      <c r="O136" s="10"/>
      <c r="P136" s="10" t="str">
        <f aca="false">IF(MAX($N136,$O136)=0,"",MAX($N136,$O136))</f>
        <v/>
      </c>
      <c r="Q136" s="39" t="str">
        <f aca="false">IF(SUM($P136)=0,"",SUM($P136))</f>
        <v/>
      </c>
      <c r="R136" s="10"/>
      <c r="S136" s="10" t="str">
        <f aca="false">IF(SUM($F136)=0,"",SUM($R136)/$F136)</f>
        <v/>
      </c>
      <c r="T136" s="10"/>
      <c r="U136" s="88" t="n">
        <f aca="false">0.98</f>
        <v>0.98</v>
      </c>
      <c r="V136" s="88" t="n">
        <f aca="false">0.98</f>
        <v>0.98</v>
      </c>
      <c r="W136" s="10" t="str">
        <f aca="false">IF(SUM($P136,$Q136)=0,"",SUM($Q136)-SUM($P136))</f>
        <v/>
      </c>
      <c r="X136" s="10" t="str">
        <f aca="false">IFERROR(1/(1/ROUND((SUM($Q136)-(SUM($P136)*SUM($U136)))/$V136,0)),"")</f>
        <v/>
      </c>
      <c r="Y136" s="88" t="n">
        <f aca="false">1</f>
        <v>1</v>
      </c>
      <c r="Z136" s="39" t="str">
        <f aca="false">IFERROR(1/(1/ROUND(SUM($X136)*SUM($Y136),0)),"")</f>
        <v/>
      </c>
      <c r="AA136" s="88" t="n">
        <f aca="false">0.7</f>
        <v>0.7</v>
      </c>
      <c r="AB136" s="10" t="str">
        <f aca="false">IFERROR(1/(1/ROUND($P136+(SUM($X136)*$AA136),0)),"")</f>
        <v/>
      </c>
      <c r="AC136" s="88" t="n">
        <f aca="false">0.95</f>
        <v>0.95</v>
      </c>
      <c r="AD136" s="39" t="str">
        <f aca="false">IF(SUM($AB136)=0,"",ROUND($AB136*$AC136,0))</f>
        <v/>
      </c>
      <c r="AE136" s="88" t="n">
        <f aca="false">0.95</f>
        <v>0.95</v>
      </c>
      <c r="AF136" s="39" t="str">
        <f aca="false">IF(SUM($AD136)=0,"",ROUND($AD136*$AE136,0))</f>
        <v/>
      </c>
      <c r="AG136" s="10"/>
      <c r="AH136" s="10"/>
      <c r="AI136" s="88" t="n">
        <f aca="false">0.95</f>
        <v>0.95</v>
      </c>
      <c r="AJ136" s="88"/>
      <c r="AK136" s="39" t="str">
        <f aca="false">IF(SUM($Z136)=0,"",IF(AND(SUM($Z136)&gt;0,$AI136=""),"ENTER LINKAGE RATE",ROUND($Z136/$AI136,0)))</f>
        <v/>
      </c>
      <c r="AL136" s="39" t="str">
        <f aca="false">IF(SUM($AK136)=0,"",IF(AND($AK136&gt;0,$AJ136=""),"ENTER YIELD RATE",ROUND($AK136/$AJ136-$AK136,0)))</f>
        <v/>
      </c>
      <c r="AM136" s="88" t="n">
        <f aca="false">1</f>
        <v>1</v>
      </c>
      <c r="AN136" s="39" t="str">
        <f aca="false">IF(SUM($AK136)=0,"",ROUND($AK136*$AM136,0))</f>
        <v/>
      </c>
      <c r="AO136" s="10"/>
      <c r="AP136" s="39"/>
    </row>
    <row r="137" customFormat="false" ht="15" hidden="false" customHeight="false" outlineLevel="0" collapsed="false">
      <c r="A137" s="0" t="str">
        <f aca="false">INDEX(Prioritization!$D:$D,MATCH($B137,Prioritization!$A:$A,0))</f>
        <v>INVALID</v>
      </c>
      <c r="B137" s="0" t="s">
        <v>218</v>
      </c>
      <c r="C137" s="0" t="s">
        <v>472</v>
      </c>
      <c r="D137" s="0" t="str">
        <f aca="false">B137&amp;"|"&amp;C137</f>
        <v>Neno District [gwVYinjBAe9]|People in prisons and other enclosed settings</v>
      </c>
      <c r="E137" s="39"/>
      <c r="F137" s="39"/>
      <c r="G137" s="39"/>
      <c r="H137" s="10"/>
      <c r="I137" s="39"/>
      <c r="J137" s="10"/>
      <c r="K137" s="39"/>
      <c r="L137" s="10" t="n">
        <v>2</v>
      </c>
      <c r="M137" s="39"/>
      <c r="N137" s="10" t="n">
        <v>1</v>
      </c>
      <c r="O137" s="10" t="n">
        <v>4</v>
      </c>
      <c r="P137" s="10" t="n">
        <f aca="false">IF(MAX($N137,$O137)=0,"",MAX($N137,$O137))</f>
        <v>4</v>
      </c>
      <c r="Q137" s="39" t="n">
        <f aca="false">IF(SUM($P137)=0,"",SUM($P137))</f>
        <v>4</v>
      </c>
      <c r="R137" s="10"/>
      <c r="S137" s="10" t="str">
        <f aca="false">IF(SUM($F137)=0,"",SUM($R137)/$F137)</f>
        <v/>
      </c>
      <c r="T137" s="10" t="n">
        <v>0</v>
      </c>
      <c r="U137" s="88" t="n">
        <f aca="false">0.98</f>
        <v>0.98</v>
      </c>
      <c r="V137" s="88" t="n">
        <f aca="false">0.98</f>
        <v>0.98</v>
      </c>
      <c r="W137" s="10" t="n">
        <f aca="false">IF(SUM($P137,$Q137)=0,"",SUM($Q137)-SUM($P137))</f>
        <v>0</v>
      </c>
      <c r="X137" s="10" t="str">
        <f aca="false">IFERROR(1/(1/ROUND((SUM($Q137)-(SUM($P137)*SUM($U137)))/$V137,0)),"")</f>
        <v/>
      </c>
      <c r="Y137" s="88" t="n">
        <f aca="false">1</f>
        <v>1</v>
      </c>
      <c r="Z137" s="39" t="str">
        <f aca="false">IFERROR(1/(1/ROUND(SUM($X137)*SUM($Y137),0)),"")</f>
        <v/>
      </c>
      <c r="AA137" s="88" t="n">
        <f aca="false">0.7</f>
        <v>0.7</v>
      </c>
      <c r="AB137" s="10" t="n">
        <f aca="false">IFERROR(1/(1/ROUND($P137+(SUM($X137)*$AA137),0)),"")</f>
        <v>4</v>
      </c>
      <c r="AC137" s="88" t="n">
        <f aca="false">0.95</f>
        <v>0.95</v>
      </c>
      <c r="AD137" s="39" t="n">
        <f aca="false">IF(SUM($AB137)=0,"",ROUND($AB137*$AC137,0))</f>
        <v>4</v>
      </c>
      <c r="AE137" s="88" t="n">
        <f aca="false">0.95</f>
        <v>0.95</v>
      </c>
      <c r="AF137" s="39" t="n">
        <f aca="false">IF(SUM($AD137)=0,"",ROUND($AD137*$AE137,0))</f>
        <v>4</v>
      </c>
      <c r="AG137" s="10" t="n">
        <v>0</v>
      </c>
      <c r="AH137" s="10"/>
      <c r="AI137" s="88" t="n">
        <f aca="false">0.95</f>
        <v>0.95</v>
      </c>
      <c r="AJ137" s="88"/>
      <c r="AK137" s="39" t="str">
        <f aca="false">IF(SUM($Z137)=0,"",IF(AND(SUM($Z137)&gt;0,$AI137=""),"ENTER LINKAGE RATE",ROUND($Z137/$AI137,0)))</f>
        <v/>
      </c>
      <c r="AL137" s="39" t="str">
        <f aca="false">IF(SUM($AK137)=0,"",IF(AND($AK137&gt;0,$AJ137=""),"ENTER YIELD RATE",ROUND($AK137/$AJ137-$AK137,0)))</f>
        <v/>
      </c>
      <c r="AM137" s="88" t="n">
        <f aca="false">1</f>
        <v>1</v>
      </c>
      <c r="AN137" s="39" t="str">
        <f aca="false">IF(SUM($AK137)=0,"",ROUND($AK137*$AM137,0))</f>
        <v/>
      </c>
      <c r="AO137" s="10" t="n">
        <v>7</v>
      </c>
      <c r="AP137" s="39"/>
    </row>
    <row r="138" customFormat="false" ht="15" hidden="false" customHeight="false" outlineLevel="0" collapsed="false">
      <c r="A138" s="0" t="str">
        <f aca="false">INDEX(Prioritization!$D:$D,MATCH($B138,Prioritization!$A:$A,0))</f>
        <v>INVALID</v>
      </c>
      <c r="B138" s="0" t="s">
        <v>218</v>
      </c>
      <c r="C138" s="0" t="s">
        <v>473</v>
      </c>
      <c r="D138" s="0" t="str">
        <f aca="false">B138&amp;"|"&amp;C138</f>
        <v>Neno District [gwVYinjBAe9]|PWID</v>
      </c>
      <c r="E138" s="39"/>
      <c r="F138" s="39"/>
      <c r="G138" s="39"/>
      <c r="H138" s="10"/>
      <c r="I138" s="39"/>
      <c r="J138" s="10"/>
      <c r="K138" s="39"/>
      <c r="L138" s="10"/>
      <c r="M138" s="39"/>
      <c r="N138" s="10"/>
      <c r="O138" s="10"/>
      <c r="P138" s="10" t="str">
        <f aca="false">IF(MAX($N138,$O138)=0,"",MAX($N138,$O138))</f>
        <v/>
      </c>
      <c r="Q138" s="39" t="str">
        <f aca="false">IF(SUM($P138)=0,"",SUM($P138))</f>
        <v/>
      </c>
      <c r="R138" s="10"/>
      <c r="S138" s="10" t="str">
        <f aca="false">IF(SUM($F138)=0,"",SUM($R138)/$F138)</f>
        <v/>
      </c>
      <c r="T138" s="10"/>
      <c r="U138" s="88" t="n">
        <f aca="false">0.98</f>
        <v>0.98</v>
      </c>
      <c r="V138" s="88" t="n">
        <f aca="false">0.98</f>
        <v>0.98</v>
      </c>
      <c r="W138" s="10" t="str">
        <f aca="false">IF(SUM($P138,$Q138)=0,"",SUM($Q138)-SUM($P138))</f>
        <v/>
      </c>
      <c r="X138" s="10" t="str">
        <f aca="false">IFERROR(1/(1/ROUND((SUM($Q138)-(SUM($P138)*SUM($U138)))/$V138,0)),"")</f>
        <v/>
      </c>
      <c r="Y138" s="88" t="n">
        <f aca="false">1</f>
        <v>1</v>
      </c>
      <c r="Z138" s="39" t="str">
        <f aca="false">IFERROR(1/(1/ROUND(SUM($X138)*SUM($Y138),0)),"")</f>
        <v/>
      </c>
      <c r="AA138" s="88" t="n">
        <f aca="false">0.7</f>
        <v>0.7</v>
      </c>
      <c r="AB138" s="10" t="str">
        <f aca="false">IFERROR(1/(1/ROUND($P138+(SUM($X138)*$AA138),0)),"")</f>
        <v/>
      </c>
      <c r="AC138" s="88" t="n">
        <f aca="false">0.95</f>
        <v>0.95</v>
      </c>
      <c r="AD138" s="39" t="str">
        <f aca="false">IF(SUM($AB138)=0,"",ROUND($AB138*$AC138,0))</f>
        <v/>
      </c>
      <c r="AE138" s="88" t="n">
        <f aca="false">0.95</f>
        <v>0.95</v>
      </c>
      <c r="AF138" s="39" t="str">
        <f aca="false">IF(SUM($AD138)=0,"",ROUND($AD138*$AE138,0))</f>
        <v/>
      </c>
      <c r="AG138" s="10"/>
      <c r="AH138" s="10"/>
      <c r="AI138" s="88" t="n">
        <f aca="false">0.95</f>
        <v>0.95</v>
      </c>
      <c r="AJ138" s="88"/>
      <c r="AK138" s="39" t="str">
        <f aca="false">IF(SUM($Z138)=0,"",IF(AND(SUM($Z138)&gt;0,$AI138=""),"ENTER LINKAGE RATE",ROUND($Z138/$AI138,0)))</f>
        <v/>
      </c>
      <c r="AL138" s="39" t="str">
        <f aca="false">IF(SUM($AK138)=0,"",IF(AND($AK138&gt;0,$AJ138=""),"ENTER YIELD RATE",ROUND($AK138/$AJ138-$AK138,0)))</f>
        <v/>
      </c>
      <c r="AM138" s="88" t="n">
        <f aca="false">1</f>
        <v>1</v>
      </c>
      <c r="AN138" s="39" t="str">
        <f aca="false">IF(SUM($AK138)=0,"",ROUND($AK138*$AM138,0))</f>
        <v/>
      </c>
      <c r="AO138" s="10"/>
      <c r="AP138" s="39"/>
    </row>
    <row r="139" customFormat="false" ht="15" hidden="false" customHeight="false" outlineLevel="0" collapsed="false">
      <c r="A139" s="0" t="str">
        <f aca="false">INDEX(Prioritization!$D:$D,MATCH($B139,Prioritization!$A:$A,0))</f>
        <v>INVALID</v>
      </c>
      <c r="B139" s="0" t="s">
        <v>218</v>
      </c>
      <c r="C139" s="0" t="s">
        <v>474</v>
      </c>
      <c r="D139" s="0" t="str">
        <f aca="false">B139&amp;"|"&amp;C139</f>
        <v>Neno District [gwVYinjBAe9]|TG</v>
      </c>
      <c r="E139" s="39"/>
      <c r="F139" s="39"/>
      <c r="G139" s="39"/>
      <c r="H139" s="10"/>
      <c r="I139" s="39"/>
      <c r="J139" s="10"/>
      <c r="K139" s="39"/>
      <c r="L139" s="10"/>
      <c r="M139" s="39"/>
      <c r="N139" s="10"/>
      <c r="O139" s="10"/>
      <c r="P139" s="10" t="str">
        <f aca="false">IF(MAX($N139,$O139)=0,"",MAX($N139,$O139))</f>
        <v/>
      </c>
      <c r="Q139" s="39" t="str">
        <f aca="false">IF(SUM($P139)=0,"",SUM($P139))</f>
        <v/>
      </c>
      <c r="R139" s="10"/>
      <c r="S139" s="10" t="str">
        <f aca="false">IF(SUM($F139)=0,"",SUM($R139)/$F139)</f>
        <v/>
      </c>
      <c r="T139" s="10"/>
      <c r="U139" s="88" t="n">
        <f aca="false">0.98</f>
        <v>0.98</v>
      </c>
      <c r="V139" s="88" t="n">
        <f aca="false">0.98</f>
        <v>0.98</v>
      </c>
      <c r="W139" s="10" t="str">
        <f aca="false">IF(SUM($P139,$Q139)=0,"",SUM($Q139)-SUM($P139))</f>
        <v/>
      </c>
      <c r="X139" s="10" t="str">
        <f aca="false">IFERROR(1/(1/ROUND((SUM($Q139)-(SUM($P139)*SUM($U139)))/$V139,0)),"")</f>
        <v/>
      </c>
      <c r="Y139" s="88" t="n">
        <f aca="false">1</f>
        <v>1</v>
      </c>
      <c r="Z139" s="39" t="str">
        <f aca="false">IFERROR(1/(1/ROUND(SUM($X139)*SUM($Y139),0)),"")</f>
        <v/>
      </c>
      <c r="AA139" s="88" t="n">
        <f aca="false">0.7</f>
        <v>0.7</v>
      </c>
      <c r="AB139" s="10" t="str">
        <f aca="false">IFERROR(1/(1/ROUND($P139+(SUM($X139)*$AA139),0)),"")</f>
        <v/>
      </c>
      <c r="AC139" s="88" t="n">
        <f aca="false">0.95</f>
        <v>0.95</v>
      </c>
      <c r="AD139" s="39" t="str">
        <f aca="false">IF(SUM($AB139)=0,"",ROUND($AB139*$AC139,0))</f>
        <v/>
      </c>
      <c r="AE139" s="88" t="n">
        <f aca="false">0.95</f>
        <v>0.95</v>
      </c>
      <c r="AF139" s="39" t="str">
        <f aca="false">IF(SUM($AD139)=0,"",ROUND($AD139*$AE139,0))</f>
        <v/>
      </c>
      <c r="AG139" s="10"/>
      <c r="AH139" s="10"/>
      <c r="AI139" s="88" t="n">
        <f aca="false">0.95</f>
        <v>0.95</v>
      </c>
      <c r="AJ139" s="88"/>
      <c r="AK139" s="39" t="str">
        <f aca="false">IF(SUM($Z139)=0,"",IF(AND(SUM($Z139)&gt;0,$AI139=""),"ENTER LINKAGE RATE",ROUND($Z139/$AI139,0)))</f>
        <v/>
      </c>
      <c r="AL139" s="39" t="str">
        <f aca="false">IF(SUM($AK139)=0,"",IF(AND($AK139&gt;0,$AJ139=""),"ENTER YIELD RATE",ROUND($AK139/$AJ139-$AK139,0)))</f>
        <v/>
      </c>
      <c r="AM139" s="88" t="n">
        <f aca="false">1</f>
        <v>1</v>
      </c>
      <c r="AN139" s="39" t="str">
        <f aca="false">IF(SUM($AK139)=0,"",ROUND($AK139*$AM139,0))</f>
        <v/>
      </c>
      <c r="AO139" s="10"/>
      <c r="AP139" s="39"/>
    </row>
    <row r="140" customFormat="false" ht="15" hidden="false" customHeight="false" outlineLevel="0" collapsed="false">
      <c r="A140" s="0" t="str">
        <f aca="false">INDEX(Prioritization!$D:$D,MATCH($B140,Prioritization!$A:$A,0))</f>
        <v>INVALID</v>
      </c>
      <c r="B140" s="0" t="s">
        <v>219</v>
      </c>
      <c r="C140" s="0" t="s">
        <v>470</v>
      </c>
      <c r="D140" s="0" t="str">
        <f aca="false">B140&amp;"|"&amp;C140</f>
        <v>Nsanje District [rpw540fmNUz]|FSW</v>
      </c>
      <c r="E140" s="39"/>
      <c r="F140" s="39"/>
      <c r="G140" s="39"/>
      <c r="H140" s="10"/>
      <c r="I140" s="39"/>
      <c r="J140" s="10"/>
      <c r="K140" s="39"/>
      <c r="L140" s="10"/>
      <c r="M140" s="39"/>
      <c r="N140" s="10"/>
      <c r="O140" s="10"/>
      <c r="P140" s="10" t="str">
        <f aca="false">IF(MAX($N140,$O140)=0,"",MAX($N140,$O140))</f>
        <v/>
      </c>
      <c r="Q140" s="39" t="str">
        <f aca="false">IF(SUM($P140)=0,"",SUM($P140))</f>
        <v/>
      </c>
      <c r="R140" s="10"/>
      <c r="S140" s="10" t="str">
        <f aca="false">IF(SUM($F140)=0,"",SUM($R140)/$F140)</f>
        <v/>
      </c>
      <c r="T140" s="10"/>
      <c r="U140" s="88" t="n">
        <f aca="false">0.98</f>
        <v>0.98</v>
      </c>
      <c r="V140" s="88" t="n">
        <f aca="false">0.98</f>
        <v>0.98</v>
      </c>
      <c r="W140" s="10" t="str">
        <f aca="false">IF(SUM($P140,$Q140)=0,"",SUM($Q140)-SUM($P140))</f>
        <v/>
      </c>
      <c r="X140" s="10" t="str">
        <f aca="false">IFERROR(1/(1/ROUND((SUM($Q140)-(SUM($P140)*SUM($U140)))/$V140,0)),"")</f>
        <v/>
      </c>
      <c r="Y140" s="88" t="n">
        <f aca="false">1</f>
        <v>1</v>
      </c>
      <c r="Z140" s="39" t="str">
        <f aca="false">IFERROR(1/(1/ROUND(SUM($X140)*SUM($Y140),0)),"")</f>
        <v/>
      </c>
      <c r="AA140" s="88" t="n">
        <f aca="false">0.7</f>
        <v>0.7</v>
      </c>
      <c r="AB140" s="10" t="str">
        <f aca="false">IFERROR(1/(1/ROUND($P140+(SUM($X140)*$AA140),0)),"")</f>
        <v/>
      </c>
      <c r="AC140" s="88" t="n">
        <f aca="false">0.95</f>
        <v>0.95</v>
      </c>
      <c r="AD140" s="39" t="str">
        <f aca="false">IF(SUM($AB140)=0,"",ROUND($AB140*$AC140,0))</f>
        <v/>
      </c>
      <c r="AE140" s="88" t="n">
        <f aca="false">0.95</f>
        <v>0.95</v>
      </c>
      <c r="AF140" s="39" t="str">
        <f aca="false">IF(SUM($AD140)=0,"",ROUND($AD140*$AE140,0))</f>
        <v/>
      </c>
      <c r="AG140" s="10"/>
      <c r="AH140" s="10"/>
      <c r="AI140" s="88" t="n">
        <f aca="false">0.95</f>
        <v>0.95</v>
      </c>
      <c r="AJ140" s="88"/>
      <c r="AK140" s="39" t="str">
        <f aca="false">IF(SUM($Z140)=0,"",IF(AND(SUM($Z140)&gt;0,$AI140=""),"ENTER LINKAGE RATE",ROUND($Z140/$AI140,0)))</f>
        <v/>
      </c>
      <c r="AL140" s="39" t="str">
        <f aca="false">IF(SUM($AK140)=0,"",IF(AND($AK140&gt;0,$AJ140=""),"ENTER YIELD RATE",ROUND($AK140/$AJ140-$AK140,0)))</f>
        <v/>
      </c>
      <c r="AM140" s="88" t="n">
        <f aca="false">1</f>
        <v>1</v>
      </c>
      <c r="AN140" s="39" t="str">
        <f aca="false">IF(SUM($AK140)=0,"",ROUND($AK140*$AM140,0))</f>
        <v/>
      </c>
      <c r="AO140" s="10"/>
      <c r="AP140" s="39"/>
    </row>
    <row r="141" customFormat="false" ht="15" hidden="false" customHeight="false" outlineLevel="0" collapsed="false">
      <c r="A141" s="0" t="str">
        <f aca="false">INDEX(Prioritization!$D:$D,MATCH($B141,Prioritization!$A:$A,0))</f>
        <v>INVALID</v>
      </c>
      <c r="B141" s="0" t="s">
        <v>219</v>
      </c>
      <c r="C141" s="0" t="s">
        <v>471</v>
      </c>
      <c r="D141" s="0" t="str">
        <f aca="false">B141&amp;"|"&amp;C141</f>
        <v>Nsanje District [rpw540fmNUz]|MSM</v>
      </c>
      <c r="E141" s="39"/>
      <c r="F141" s="39"/>
      <c r="G141" s="39"/>
      <c r="H141" s="10"/>
      <c r="I141" s="39"/>
      <c r="J141" s="10"/>
      <c r="K141" s="39"/>
      <c r="L141" s="10"/>
      <c r="M141" s="39"/>
      <c r="N141" s="10"/>
      <c r="O141" s="10"/>
      <c r="P141" s="10" t="str">
        <f aca="false">IF(MAX($N141,$O141)=0,"",MAX($N141,$O141))</f>
        <v/>
      </c>
      <c r="Q141" s="39" t="str">
        <f aca="false">IF(SUM($P141)=0,"",SUM($P141))</f>
        <v/>
      </c>
      <c r="R141" s="10"/>
      <c r="S141" s="10" t="str">
        <f aca="false">IF(SUM($F141)=0,"",SUM($R141)/$F141)</f>
        <v/>
      </c>
      <c r="T141" s="10"/>
      <c r="U141" s="88" t="n">
        <f aca="false">0.98</f>
        <v>0.98</v>
      </c>
      <c r="V141" s="88" t="n">
        <f aca="false">0.98</f>
        <v>0.98</v>
      </c>
      <c r="W141" s="10" t="str">
        <f aca="false">IF(SUM($P141,$Q141)=0,"",SUM($Q141)-SUM($P141))</f>
        <v/>
      </c>
      <c r="X141" s="10" t="str">
        <f aca="false">IFERROR(1/(1/ROUND((SUM($Q141)-(SUM($P141)*SUM($U141)))/$V141,0)),"")</f>
        <v/>
      </c>
      <c r="Y141" s="88" t="n">
        <f aca="false">1</f>
        <v>1</v>
      </c>
      <c r="Z141" s="39" t="str">
        <f aca="false">IFERROR(1/(1/ROUND(SUM($X141)*SUM($Y141),0)),"")</f>
        <v/>
      </c>
      <c r="AA141" s="88" t="n">
        <f aca="false">0.7</f>
        <v>0.7</v>
      </c>
      <c r="AB141" s="10" t="str">
        <f aca="false">IFERROR(1/(1/ROUND($P141+(SUM($X141)*$AA141),0)),"")</f>
        <v/>
      </c>
      <c r="AC141" s="88" t="n">
        <f aca="false">0.95</f>
        <v>0.95</v>
      </c>
      <c r="AD141" s="39" t="str">
        <f aca="false">IF(SUM($AB141)=0,"",ROUND($AB141*$AC141,0))</f>
        <v/>
      </c>
      <c r="AE141" s="88" t="n">
        <f aca="false">0.95</f>
        <v>0.95</v>
      </c>
      <c r="AF141" s="39" t="str">
        <f aca="false">IF(SUM($AD141)=0,"",ROUND($AD141*$AE141,0))</f>
        <v/>
      </c>
      <c r="AG141" s="10"/>
      <c r="AH141" s="10"/>
      <c r="AI141" s="88" t="n">
        <f aca="false">0.95</f>
        <v>0.95</v>
      </c>
      <c r="AJ141" s="88"/>
      <c r="AK141" s="39" t="str">
        <f aca="false">IF(SUM($Z141)=0,"",IF(AND(SUM($Z141)&gt;0,$AI141=""),"ENTER LINKAGE RATE",ROUND($Z141/$AI141,0)))</f>
        <v/>
      </c>
      <c r="AL141" s="39" t="str">
        <f aca="false">IF(SUM($AK141)=0,"",IF(AND($AK141&gt;0,$AJ141=""),"ENTER YIELD RATE",ROUND($AK141/$AJ141-$AK141,0)))</f>
        <v/>
      </c>
      <c r="AM141" s="88" t="n">
        <f aca="false">1</f>
        <v>1</v>
      </c>
      <c r="AN141" s="39" t="str">
        <f aca="false">IF(SUM($AK141)=0,"",ROUND($AK141*$AM141,0))</f>
        <v/>
      </c>
      <c r="AO141" s="10"/>
      <c r="AP141" s="39"/>
    </row>
    <row r="142" customFormat="false" ht="15" hidden="false" customHeight="false" outlineLevel="0" collapsed="false">
      <c r="A142" s="0" t="str">
        <f aca="false">INDEX(Prioritization!$D:$D,MATCH($B142,Prioritization!$A:$A,0))</f>
        <v>INVALID</v>
      </c>
      <c r="B142" s="0" t="s">
        <v>219</v>
      </c>
      <c r="C142" s="0" t="s">
        <v>472</v>
      </c>
      <c r="D142" s="0" t="str">
        <f aca="false">B142&amp;"|"&amp;C142</f>
        <v>Nsanje District [rpw540fmNUz]|People in prisons and other enclosed settings</v>
      </c>
      <c r="E142" s="39"/>
      <c r="F142" s="39"/>
      <c r="G142" s="39"/>
      <c r="H142" s="10"/>
      <c r="I142" s="39"/>
      <c r="J142" s="10"/>
      <c r="K142" s="39"/>
      <c r="L142" s="10"/>
      <c r="M142" s="39"/>
      <c r="N142" s="10"/>
      <c r="O142" s="10"/>
      <c r="P142" s="10" t="str">
        <f aca="false">IF(MAX($N142,$O142)=0,"",MAX($N142,$O142))</f>
        <v/>
      </c>
      <c r="Q142" s="39" t="str">
        <f aca="false">IF(SUM($P142)=0,"",SUM($P142))</f>
        <v/>
      </c>
      <c r="R142" s="10"/>
      <c r="S142" s="10" t="str">
        <f aca="false">IF(SUM($F142)=0,"",SUM($R142)/$F142)</f>
        <v/>
      </c>
      <c r="T142" s="10"/>
      <c r="U142" s="88" t="n">
        <f aca="false">0.98</f>
        <v>0.98</v>
      </c>
      <c r="V142" s="88" t="n">
        <f aca="false">0.98</f>
        <v>0.98</v>
      </c>
      <c r="W142" s="10" t="str">
        <f aca="false">IF(SUM($P142,$Q142)=0,"",SUM($Q142)-SUM($P142))</f>
        <v/>
      </c>
      <c r="X142" s="10" t="str">
        <f aca="false">IFERROR(1/(1/ROUND((SUM($Q142)-(SUM($P142)*SUM($U142)))/$V142,0)),"")</f>
        <v/>
      </c>
      <c r="Y142" s="88" t="n">
        <f aca="false">1</f>
        <v>1</v>
      </c>
      <c r="Z142" s="39" t="str">
        <f aca="false">IFERROR(1/(1/ROUND(SUM($X142)*SUM($Y142),0)),"")</f>
        <v/>
      </c>
      <c r="AA142" s="88" t="n">
        <f aca="false">0.7</f>
        <v>0.7</v>
      </c>
      <c r="AB142" s="10" t="str">
        <f aca="false">IFERROR(1/(1/ROUND($P142+(SUM($X142)*$AA142),0)),"")</f>
        <v/>
      </c>
      <c r="AC142" s="88" t="n">
        <f aca="false">0.95</f>
        <v>0.95</v>
      </c>
      <c r="AD142" s="39" t="str">
        <f aca="false">IF(SUM($AB142)=0,"",ROUND($AB142*$AC142,0))</f>
        <v/>
      </c>
      <c r="AE142" s="88" t="n">
        <f aca="false">0.95</f>
        <v>0.95</v>
      </c>
      <c r="AF142" s="39" t="str">
        <f aca="false">IF(SUM($AD142)=0,"",ROUND($AD142*$AE142,0))</f>
        <v/>
      </c>
      <c r="AG142" s="10"/>
      <c r="AH142" s="10"/>
      <c r="AI142" s="88" t="n">
        <f aca="false">0.95</f>
        <v>0.95</v>
      </c>
      <c r="AJ142" s="88"/>
      <c r="AK142" s="39" t="str">
        <f aca="false">IF(SUM($Z142)=0,"",IF(AND(SUM($Z142)&gt;0,$AI142=""),"ENTER LINKAGE RATE",ROUND($Z142/$AI142,0)))</f>
        <v/>
      </c>
      <c r="AL142" s="39" t="str">
        <f aca="false">IF(SUM($AK142)=0,"",IF(AND($AK142&gt;0,$AJ142=""),"ENTER YIELD RATE",ROUND($AK142/$AJ142-$AK142,0)))</f>
        <v/>
      </c>
      <c r="AM142" s="88" t="n">
        <f aca="false">1</f>
        <v>1</v>
      </c>
      <c r="AN142" s="39" t="str">
        <f aca="false">IF(SUM($AK142)=0,"",ROUND($AK142*$AM142,0))</f>
        <v/>
      </c>
      <c r="AO142" s="10"/>
      <c r="AP142" s="39"/>
    </row>
    <row r="143" customFormat="false" ht="15" hidden="false" customHeight="false" outlineLevel="0" collapsed="false">
      <c r="A143" s="0" t="str">
        <f aca="false">INDEX(Prioritization!$D:$D,MATCH($B143,Prioritization!$A:$A,0))</f>
        <v>INVALID</v>
      </c>
      <c r="B143" s="0" t="s">
        <v>219</v>
      </c>
      <c r="C143" s="0" t="s">
        <v>473</v>
      </c>
      <c r="D143" s="0" t="str">
        <f aca="false">B143&amp;"|"&amp;C143</f>
        <v>Nsanje District [rpw540fmNUz]|PWID</v>
      </c>
      <c r="E143" s="39"/>
      <c r="F143" s="39"/>
      <c r="G143" s="39"/>
      <c r="H143" s="10"/>
      <c r="I143" s="39"/>
      <c r="J143" s="10"/>
      <c r="K143" s="39"/>
      <c r="L143" s="10"/>
      <c r="M143" s="39"/>
      <c r="N143" s="10"/>
      <c r="O143" s="10"/>
      <c r="P143" s="10" t="str">
        <f aca="false">IF(MAX($N143,$O143)=0,"",MAX($N143,$O143))</f>
        <v/>
      </c>
      <c r="Q143" s="39" t="str">
        <f aca="false">IF(SUM($P143)=0,"",SUM($P143))</f>
        <v/>
      </c>
      <c r="R143" s="10"/>
      <c r="S143" s="10" t="str">
        <f aca="false">IF(SUM($F143)=0,"",SUM($R143)/$F143)</f>
        <v/>
      </c>
      <c r="T143" s="10"/>
      <c r="U143" s="88" t="n">
        <f aca="false">0.98</f>
        <v>0.98</v>
      </c>
      <c r="V143" s="88" t="n">
        <f aca="false">0.98</f>
        <v>0.98</v>
      </c>
      <c r="W143" s="10" t="str">
        <f aca="false">IF(SUM($P143,$Q143)=0,"",SUM($Q143)-SUM($P143))</f>
        <v/>
      </c>
      <c r="X143" s="10" t="str">
        <f aca="false">IFERROR(1/(1/ROUND((SUM($Q143)-(SUM($P143)*SUM($U143)))/$V143,0)),"")</f>
        <v/>
      </c>
      <c r="Y143" s="88" t="n">
        <f aca="false">1</f>
        <v>1</v>
      </c>
      <c r="Z143" s="39" t="str">
        <f aca="false">IFERROR(1/(1/ROUND(SUM($X143)*SUM($Y143),0)),"")</f>
        <v/>
      </c>
      <c r="AA143" s="88" t="n">
        <f aca="false">0.7</f>
        <v>0.7</v>
      </c>
      <c r="AB143" s="10" t="str">
        <f aca="false">IFERROR(1/(1/ROUND($P143+(SUM($X143)*$AA143),0)),"")</f>
        <v/>
      </c>
      <c r="AC143" s="88" t="n">
        <f aca="false">0.95</f>
        <v>0.95</v>
      </c>
      <c r="AD143" s="39" t="str">
        <f aca="false">IF(SUM($AB143)=0,"",ROUND($AB143*$AC143,0))</f>
        <v/>
      </c>
      <c r="AE143" s="88" t="n">
        <f aca="false">0.95</f>
        <v>0.95</v>
      </c>
      <c r="AF143" s="39" t="str">
        <f aca="false">IF(SUM($AD143)=0,"",ROUND($AD143*$AE143,0))</f>
        <v/>
      </c>
      <c r="AG143" s="10"/>
      <c r="AH143" s="10"/>
      <c r="AI143" s="88" t="n">
        <f aca="false">0.95</f>
        <v>0.95</v>
      </c>
      <c r="AJ143" s="88"/>
      <c r="AK143" s="39" t="str">
        <f aca="false">IF(SUM($Z143)=0,"",IF(AND(SUM($Z143)&gt;0,$AI143=""),"ENTER LINKAGE RATE",ROUND($Z143/$AI143,0)))</f>
        <v/>
      </c>
      <c r="AL143" s="39" t="str">
        <f aca="false">IF(SUM($AK143)=0,"",IF(AND($AK143&gt;0,$AJ143=""),"ENTER YIELD RATE",ROUND($AK143/$AJ143-$AK143,0)))</f>
        <v/>
      </c>
      <c r="AM143" s="88" t="n">
        <f aca="false">1</f>
        <v>1</v>
      </c>
      <c r="AN143" s="39" t="str">
        <f aca="false">IF(SUM($AK143)=0,"",ROUND($AK143*$AM143,0))</f>
        <v/>
      </c>
      <c r="AO143" s="10"/>
      <c r="AP143" s="39"/>
    </row>
    <row r="144" customFormat="false" ht="15" hidden="false" customHeight="false" outlineLevel="0" collapsed="false">
      <c r="A144" s="0" t="str">
        <f aca="false">INDEX(Prioritization!$D:$D,MATCH($B144,Prioritization!$A:$A,0))</f>
        <v>INVALID</v>
      </c>
      <c r="B144" s="0" t="s">
        <v>219</v>
      </c>
      <c r="C144" s="0" t="s">
        <v>474</v>
      </c>
      <c r="D144" s="0" t="str">
        <f aca="false">B144&amp;"|"&amp;C144</f>
        <v>Nsanje District [rpw540fmNUz]|TG</v>
      </c>
      <c r="E144" s="39"/>
      <c r="F144" s="39"/>
      <c r="G144" s="39"/>
      <c r="H144" s="10"/>
      <c r="I144" s="39"/>
      <c r="J144" s="10"/>
      <c r="K144" s="39"/>
      <c r="L144" s="10"/>
      <c r="M144" s="39"/>
      <c r="N144" s="10"/>
      <c r="O144" s="10"/>
      <c r="P144" s="10" t="str">
        <f aca="false">IF(MAX($N144,$O144)=0,"",MAX($N144,$O144))</f>
        <v/>
      </c>
      <c r="Q144" s="39" t="str">
        <f aca="false">IF(SUM($P144)=0,"",SUM($P144))</f>
        <v/>
      </c>
      <c r="R144" s="10"/>
      <c r="S144" s="10" t="str">
        <f aca="false">IF(SUM($F144)=0,"",SUM($R144)/$F144)</f>
        <v/>
      </c>
      <c r="T144" s="10"/>
      <c r="U144" s="88" t="n">
        <f aca="false">0.98</f>
        <v>0.98</v>
      </c>
      <c r="V144" s="88" t="n">
        <f aca="false">0.98</f>
        <v>0.98</v>
      </c>
      <c r="W144" s="10" t="str">
        <f aca="false">IF(SUM($P144,$Q144)=0,"",SUM($Q144)-SUM($P144))</f>
        <v/>
      </c>
      <c r="X144" s="10" t="str">
        <f aca="false">IFERROR(1/(1/ROUND((SUM($Q144)-(SUM($P144)*SUM($U144)))/$V144,0)),"")</f>
        <v/>
      </c>
      <c r="Y144" s="88" t="n">
        <f aca="false">1</f>
        <v>1</v>
      </c>
      <c r="Z144" s="39" t="str">
        <f aca="false">IFERROR(1/(1/ROUND(SUM($X144)*SUM($Y144),0)),"")</f>
        <v/>
      </c>
      <c r="AA144" s="88" t="n">
        <f aca="false">0.7</f>
        <v>0.7</v>
      </c>
      <c r="AB144" s="10" t="str">
        <f aca="false">IFERROR(1/(1/ROUND($P144+(SUM($X144)*$AA144),0)),"")</f>
        <v/>
      </c>
      <c r="AC144" s="88" t="n">
        <f aca="false">0.95</f>
        <v>0.95</v>
      </c>
      <c r="AD144" s="39" t="str">
        <f aca="false">IF(SUM($AB144)=0,"",ROUND($AB144*$AC144,0))</f>
        <v/>
      </c>
      <c r="AE144" s="88" t="n">
        <f aca="false">0.95</f>
        <v>0.95</v>
      </c>
      <c r="AF144" s="39" t="str">
        <f aca="false">IF(SUM($AD144)=0,"",ROUND($AD144*$AE144,0))</f>
        <v/>
      </c>
      <c r="AG144" s="10"/>
      <c r="AH144" s="10"/>
      <c r="AI144" s="88" t="n">
        <f aca="false">0.95</f>
        <v>0.95</v>
      </c>
      <c r="AJ144" s="88"/>
      <c r="AK144" s="39" t="str">
        <f aca="false">IF(SUM($Z144)=0,"",IF(AND(SUM($Z144)&gt;0,$AI144=""),"ENTER LINKAGE RATE",ROUND($Z144/$AI144,0)))</f>
        <v/>
      </c>
      <c r="AL144" s="39" t="str">
        <f aca="false">IF(SUM($AK144)=0,"",IF(AND($AK144&gt;0,$AJ144=""),"ENTER YIELD RATE",ROUND($AK144/$AJ144-$AK144,0)))</f>
        <v/>
      </c>
      <c r="AM144" s="88" t="n">
        <f aca="false">1</f>
        <v>1</v>
      </c>
      <c r="AN144" s="39" t="str">
        <f aca="false">IF(SUM($AK144)=0,"",ROUND($AK144*$AM144,0))</f>
        <v/>
      </c>
      <c r="AO144" s="10"/>
      <c r="AP144" s="39"/>
    </row>
    <row r="145" customFormat="false" ht="15" hidden="false" customHeight="false" outlineLevel="0" collapsed="false">
      <c r="A145" s="0" t="str">
        <f aca="false">INDEX(Prioritization!$D:$D,MATCH($B145,Prioritization!$A:$A,0))</f>
        <v>INVALID</v>
      </c>
      <c r="B145" s="0" t="s">
        <v>220</v>
      </c>
      <c r="C145" s="0" t="s">
        <v>470</v>
      </c>
      <c r="D145" s="0" t="str">
        <f aca="false">B145&amp;"|"&amp;C145</f>
        <v>Phalombe District [AZyWpGzhcaA]|FSW</v>
      </c>
      <c r="E145" s="39"/>
      <c r="F145" s="39"/>
      <c r="G145" s="39"/>
      <c r="H145" s="10"/>
      <c r="I145" s="39"/>
      <c r="J145" s="10" t="n">
        <v>45</v>
      </c>
      <c r="K145" s="39"/>
      <c r="L145" s="10" t="n">
        <v>50</v>
      </c>
      <c r="M145" s="39"/>
      <c r="N145" s="10"/>
      <c r="O145" s="10" t="n">
        <v>36</v>
      </c>
      <c r="P145" s="10" t="n">
        <f aca="false">IF(MAX($N145,$O145)=0,"",MAX($N145,$O145))</f>
        <v>36</v>
      </c>
      <c r="Q145" s="39" t="n">
        <f aca="false">IF(SUM($P145)=0,"",SUM($P145))</f>
        <v>36</v>
      </c>
      <c r="R145" s="10"/>
      <c r="S145" s="10" t="str">
        <f aca="false">IF(SUM($F145)=0,"",SUM($R145)/$F145)</f>
        <v/>
      </c>
      <c r="T145" s="10" t="n">
        <v>7</v>
      </c>
      <c r="U145" s="88" t="n">
        <f aca="false">0.98</f>
        <v>0.98</v>
      </c>
      <c r="V145" s="88" t="n">
        <f aca="false">0.98</f>
        <v>0.98</v>
      </c>
      <c r="W145" s="10" t="n">
        <f aca="false">IF(SUM($P145,$Q145)=0,"",SUM($Q145)-SUM($P145))</f>
        <v>0</v>
      </c>
      <c r="X145" s="10" t="n">
        <f aca="false">IFERROR(1/(1/ROUND((SUM($Q145)-(SUM($P145)*SUM($U145)))/$V145,0)),"")</f>
        <v>1</v>
      </c>
      <c r="Y145" s="88" t="n">
        <f aca="false">1</f>
        <v>1</v>
      </c>
      <c r="Z145" s="39" t="n">
        <f aca="false">IFERROR(1/(1/ROUND(SUM($X145)*SUM($Y145),0)),"")</f>
        <v>1</v>
      </c>
      <c r="AA145" s="88" t="n">
        <f aca="false">0.7</f>
        <v>0.7</v>
      </c>
      <c r="AB145" s="10" t="n">
        <f aca="false">IFERROR(1/(1/ROUND($P145+(SUM($X145)*$AA145),0)),"")</f>
        <v>37</v>
      </c>
      <c r="AC145" s="88" t="n">
        <f aca="false">0.95</f>
        <v>0.95</v>
      </c>
      <c r="AD145" s="39" t="n">
        <f aca="false">IF(SUM($AB145)=0,"",ROUND($AB145*$AC145,0))</f>
        <v>35</v>
      </c>
      <c r="AE145" s="88" t="n">
        <f aca="false">0.95</f>
        <v>0.95</v>
      </c>
      <c r="AF145" s="39" t="n">
        <f aca="false">IF(SUM($AD145)=0,"",ROUND($AD145*$AE145,0))</f>
        <v>33</v>
      </c>
      <c r="AG145" s="10" t="n">
        <v>5</v>
      </c>
      <c r="AH145" s="10" t="n">
        <v>1</v>
      </c>
      <c r="AI145" s="88" t="n">
        <f aca="false">0.95</f>
        <v>0.95</v>
      </c>
      <c r="AJ145" s="88"/>
      <c r="AK145" s="39" t="n">
        <f aca="false">IF(SUM($Z145)=0,"",IF(AND(SUM($Z145)&gt;0,$AI145=""),"ENTER LINKAGE RATE",ROUND($Z145/$AI145,0)))</f>
        <v>1</v>
      </c>
      <c r="AL145" s="39" t="str">
        <f aca="false">IF(SUM($AK145)=0,"",IF(AND($AK145&gt;0,$AJ145=""),"ENTER YIELD RATE",ROUND($AK145/$AJ145-$AK145,0)))</f>
        <v>ENTER YIELD RATE</v>
      </c>
      <c r="AM145" s="88" t="n">
        <f aca="false">1</f>
        <v>1</v>
      </c>
      <c r="AN145" s="39" t="n">
        <f aca="false">IF(SUM($AK145)=0,"",ROUND($AK145*$AM145,0))</f>
        <v>1</v>
      </c>
      <c r="AO145" s="10" t="n">
        <v>84</v>
      </c>
      <c r="AP145" s="39"/>
    </row>
    <row r="146" customFormat="false" ht="15" hidden="false" customHeight="false" outlineLevel="0" collapsed="false">
      <c r="A146" s="0" t="str">
        <f aca="false">INDEX(Prioritization!$D:$D,MATCH($B146,Prioritization!$A:$A,0))</f>
        <v>INVALID</v>
      </c>
      <c r="B146" s="0" t="s">
        <v>220</v>
      </c>
      <c r="C146" s="0" t="s">
        <v>471</v>
      </c>
      <c r="D146" s="0" t="str">
        <f aca="false">B146&amp;"|"&amp;C146</f>
        <v>Phalombe District [AZyWpGzhcaA]|MSM</v>
      </c>
      <c r="E146" s="39"/>
      <c r="F146" s="39"/>
      <c r="G146" s="39"/>
      <c r="H146" s="10"/>
      <c r="I146" s="39"/>
      <c r="J146" s="10" t="n">
        <v>1</v>
      </c>
      <c r="K146" s="39"/>
      <c r="L146" s="10" t="n">
        <v>25</v>
      </c>
      <c r="M146" s="39"/>
      <c r="N146" s="10"/>
      <c r="O146" s="10" t="n">
        <v>8</v>
      </c>
      <c r="P146" s="10" t="n">
        <f aca="false">IF(MAX($N146,$O146)=0,"",MAX($N146,$O146))</f>
        <v>8</v>
      </c>
      <c r="Q146" s="39" t="n">
        <f aca="false">IF(SUM($P146)=0,"",SUM($P146))</f>
        <v>8</v>
      </c>
      <c r="R146" s="10"/>
      <c r="S146" s="10" t="str">
        <f aca="false">IF(SUM($F146)=0,"",SUM($R146)/$F146)</f>
        <v/>
      </c>
      <c r="T146" s="10" t="n">
        <v>2</v>
      </c>
      <c r="U146" s="88" t="n">
        <f aca="false">0.98</f>
        <v>0.98</v>
      </c>
      <c r="V146" s="88" t="n">
        <f aca="false">0.98</f>
        <v>0.98</v>
      </c>
      <c r="W146" s="10" t="n">
        <f aca="false">IF(SUM($P146,$Q146)=0,"",SUM($Q146)-SUM($P146))</f>
        <v>0</v>
      </c>
      <c r="X146" s="10" t="str">
        <f aca="false">IFERROR(1/(1/ROUND((SUM($Q146)-(SUM($P146)*SUM($U146)))/$V146,0)),"")</f>
        <v/>
      </c>
      <c r="Y146" s="88" t="n">
        <f aca="false">1</f>
        <v>1</v>
      </c>
      <c r="Z146" s="39" t="str">
        <f aca="false">IFERROR(1/(1/ROUND(SUM($X146)*SUM($Y146),0)),"")</f>
        <v/>
      </c>
      <c r="AA146" s="88" t="n">
        <f aca="false">0.7</f>
        <v>0.7</v>
      </c>
      <c r="AB146" s="10" t="n">
        <f aca="false">IFERROR(1/(1/ROUND($P146+(SUM($X146)*$AA146),0)),"")</f>
        <v>8</v>
      </c>
      <c r="AC146" s="88" t="n">
        <f aca="false">0.95</f>
        <v>0.95</v>
      </c>
      <c r="AD146" s="39" t="n">
        <f aca="false">IF(SUM($AB146)=0,"",ROUND($AB146*$AC146,0))</f>
        <v>8</v>
      </c>
      <c r="AE146" s="88" t="n">
        <f aca="false">0.95</f>
        <v>0.95</v>
      </c>
      <c r="AF146" s="39" t="n">
        <f aca="false">IF(SUM($AD146)=0,"",ROUND($AD146*$AE146,0))</f>
        <v>8</v>
      </c>
      <c r="AG146" s="10" t="n">
        <v>10</v>
      </c>
      <c r="AH146" s="10" t="n">
        <v>1</v>
      </c>
      <c r="AI146" s="88" t="n">
        <f aca="false">0.95</f>
        <v>0.95</v>
      </c>
      <c r="AJ146" s="88"/>
      <c r="AK146" s="39" t="str">
        <f aca="false">IF(SUM($Z146)=0,"",IF(AND(SUM($Z146)&gt;0,$AI146=""),"ENTER LINKAGE RATE",ROUND($Z146/$AI146,0)))</f>
        <v/>
      </c>
      <c r="AL146" s="39" t="str">
        <f aca="false">IF(SUM($AK146)=0,"",IF(AND($AK146&gt;0,$AJ146=""),"ENTER YIELD RATE",ROUND($AK146/$AJ146-$AK146,0)))</f>
        <v/>
      </c>
      <c r="AM146" s="88" t="n">
        <f aca="false">1</f>
        <v>1</v>
      </c>
      <c r="AN146" s="39" t="str">
        <f aca="false">IF(SUM($AK146)=0,"",ROUND($AK146*$AM146,0))</f>
        <v/>
      </c>
      <c r="AO146" s="10" t="n">
        <v>55</v>
      </c>
      <c r="AP146" s="39"/>
    </row>
    <row r="147" customFormat="false" ht="15" hidden="false" customHeight="false" outlineLevel="0" collapsed="false">
      <c r="A147" s="0" t="str">
        <f aca="false">INDEX(Prioritization!$D:$D,MATCH($B147,Prioritization!$A:$A,0))</f>
        <v>INVALID</v>
      </c>
      <c r="B147" s="0" t="s">
        <v>220</v>
      </c>
      <c r="C147" s="0" t="s">
        <v>472</v>
      </c>
      <c r="D147" s="0" t="str">
        <f aca="false">B147&amp;"|"&amp;C147</f>
        <v>Phalombe District [AZyWpGzhcaA]|People in prisons and other enclosed settings</v>
      </c>
      <c r="E147" s="39"/>
      <c r="F147" s="39"/>
      <c r="G147" s="39"/>
      <c r="H147" s="10"/>
      <c r="I147" s="39"/>
      <c r="J147" s="10"/>
      <c r="K147" s="39"/>
      <c r="L147" s="10"/>
      <c r="M147" s="39"/>
      <c r="N147" s="10"/>
      <c r="O147" s="10"/>
      <c r="P147" s="10" t="str">
        <f aca="false">IF(MAX($N147,$O147)=0,"",MAX($N147,$O147))</f>
        <v/>
      </c>
      <c r="Q147" s="39" t="str">
        <f aca="false">IF(SUM($P147)=0,"",SUM($P147))</f>
        <v/>
      </c>
      <c r="R147" s="10"/>
      <c r="S147" s="10" t="str">
        <f aca="false">IF(SUM($F147)=0,"",SUM($R147)/$F147)</f>
        <v/>
      </c>
      <c r="T147" s="10"/>
      <c r="U147" s="88" t="n">
        <f aca="false">0.98</f>
        <v>0.98</v>
      </c>
      <c r="V147" s="88" t="n">
        <f aca="false">0.98</f>
        <v>0.98</v>
      </c>
      <c r="W147" s="10" t="str">
        <f aca="false">IF(SUM($P147,$Q147)=0,"",SUM($Q147)-SUM($P147))</f>
        <v/>
      </c>
      <c r="X147" s="10" t="str">
        <f aca="false">IFERROR(1/(1/ROUND((SUM($Q147)-(SUM($P147)*SUM($U147)))/$V147,0)),"")</f>
        <v/>
      </c>
      <c r="Y147" s="88" t="n">
        <f aca="false">1</f>
        <v>1</v>
      </c>
      <c r="Z147" s="39" t="str">
        <f aca="false">IFERROR(1/(1/ROUND(SUM($X147)*SUM($Y147),0)),"")</f>
        <v/>
      </c>
      <c r="AA147" s="88" t="n">
        <f aca="false">0.7</f>
        <v>0.7</v>
      </c>
      <c r="AB147" s="10" t="str">
        <f aca="false">IFERROR(1/(1/ROUND($P147+(SUM($X147)*$AA147),0)),"")</f>
        <v/>
      </c>
      <c r="AC147" s="88" t="n">
        <f aca="false">0.95</f>
        <v>0.95</v>
      </c>
      <c r="AD147" s="39" t="str">
        <f aca="false">IF(SUM($AB147)=0,"",ROUND($AB147*$AC147,0))</f>
        <v/>
      </c>
      <c r="AE147" s="88" t="n">
        <f aca="false">0.95</f>
        <v>0.95</v>
      </c>
      <c r="AF147" s="39" t="str">
        <f aca="false">IF(SUM($AD147)=0,"",ROUND($AD147*$AE147,0))</f>
        <v/>
      </c>
      <c r="AG147" s="10"/>
      <c r="AH147" s="10"/>
      <c r="AI147" s="88" t="n">
        <f aca="false">0.95</f>
        <v>0.95</v>
      </c>
      <c r="AJ147" s="88"/>
      <c r="AK147" s="39" t="str">
        <f aca="false">IF(SUM($Z147)=0,"",IF(AND(SUM($Z147)&gt;0,$AI147=""),"ENTER LINKAGE RATE",ROUND($Z147/$AI147,0)))</f>
        <v/>
      </c>
      <c r="AL147" s="39" t="str">
        <f aca="false">IF(SUM($AK147)=0,"",IF(AND($AK147&gt;0,$AJ147=""),"ENTER YIELD RATE",ROUND($AK147/$AJ147-$AK147,0)))</f>
        <v/>
      </c>
      <c r="AM147" s="88" t="n">
        <f aca="false">1</f>
        <v>1</v>
      </c>
      <c r="AN147" s="39" t="str">
        <f aca="false">IF(SUM($AK147)=0,"",ROUND($AK147*$AM147,0))</f>
        <v/>
      </c>
      <c r="AO147" s="10"/>
      <c r="AP147" s="39"/>
    </row>
    <row r="148" customFormat="false" ht="15" hidden="false" customHeight="false" outlineLevel="0" collapsed="false">
      <c r="A148" s="0" t="str">
        <f aca="false">INDEX(Prioritization!$D:$D,MATCH($B148,Prioritization!$A:$A,0))</f>
        <v>INVALID</v>
      </c>
      <c r="B148" s="0" t="s">
        <v>220</v>
      </c>
      <c r="C148" s="0" t="s">
        <v>473</v>
      </c>
      <c r="D148" s="0" t="str">
        <f aca="false">B148&amp;"|"&amp;C148</f>
        <v>Phalombe District [AZyWpGzhcaA]|PWID</v>
      </c>
      <c r="E148" s="39"/>
      <c r="F148" s="39"/>
      <c r="G148" s="39"/>
      <c r="H148" s="10"/>
      <c r="I148" s="39"/>
      <c r="J148" s="10"/>
      <c r="K148" s="39"/>
      <c r="L148" s="10"/>
      <c r="M148" s="39"/>
      <c r="N148" s="10"/>
      <c r="O148" s="10"/>
      <c r="P148" s="10" t="str">
        <f aca="false">IF(MAX($N148,$O148)=0,"",MAX($N148,$O148))</f>
        <v/>
      </c>
      <c r="Q148" s="39" t="str">
        <f aca="false">IF(SUM($P148)=0,"",SUM($P148))</f>
        <v/>
      </c>
      <c r="R148" s="10"/>
      <c r="S148" s="10" t="str">
        <f aca="false">IF(SUM($F148)=0,"",SUM($R148)/$F148)</f>
        <v/>
      </c>
      <c r="T148" s="10"/>
      <c r="U148" s="88" t="n">
        <f aca="false">0.98</f>
        <v>0.98</v>
      </c>
      <c r="V148" s="88" t="n">
        <f aca="false">0.98</f>
        <v>0.98</v>
      </c>
      <c r="W148" s="10" t="str">
        <f aca="false">IF(SUM($P148,$Q148)=0,"",SUM($Q148)-SUM($P148))</f>
        <v/>
      </c>
      <c r="X148" s="10" t="str">
        <f aca="false">IFERROR(1/(1/ROUND((SUM($Q148)-(SUM($P148)*SUM($U148)))/$V148,0)),"")</f>
        <v/>
      </c>
      <c r="Y148" s="88" t="n">
        <f aca="false">1</f>
        <v>1</v>
      </c>
      <c r="Z148" s="39" t="str">
        <f aca="false">IFERROR(1/(1/ROUND(SUM($X148)*SUM($Y148),0)),"")</f>
        <v/>
      </c>
      <c r="AA148" s="88" t="n">
        <f aca="false">0.7</f>
        <v>0.7</v>
      </c>
      <c r="AB148" s="10" t="str">
        <f aca="false">IFERROR(1/(1/ROUND($P148+(SUM($X148)*$AA148),0)),"")</f>
        <v/>
      </c>
      <c r="AC148" s="88" t="n">
        <f aca="false">0.95</f>
        <v>0.95</v>
      </c>
      <c r="AD148" s="39" t="str">
        <f aca="false">IF(SUM($AB148)=0,"",ROUND($AB148*$AC148,0))</f>
        <v/>
      </c>
      <c r="AE148" s="88" t="n">
        <f aca="false">0.95</f>
        <v>0.95</v>
      </c>
      <c r="AF148" s="39" t="str">
        <f aca="false">IF(SUM($AD148)=0,"",ROUND($AD148*$AE148,0))</f>
        <v/>
      </c>
      <c r="AG148" s="10"/>
      <c r="AH148" s="10"/>
      <c r="AI148" s="88" t="n">
        <f aca="false">0.95</f>
        <v>0.95</v>
      </c>
      <c r="AJ148" s="88"/>
      <c r="AK148" s="39" t="str">
        <f aca="false">IF(SUM($Z148)=0,"",IF(AND(SUM($Z148)&gt;0,$AI148=""),"ENTER LINKAGE RATE",ROUND($Z148/$AI148,0)))</f>
        <v/>
      </c>
      <c r="AL148" s="39" t="str">
        <f aca="false">IF(SUM($AK148)=0,"",IF(AND($AK148&gt;0,$AJ148=""),"ENTER YIELD RATE",ROUND($AK148/$AJ148-$AK148,0)))</f>
        <v/>
      </c>
      <c r="AM148" s="88" t="n">
        <f aca="false">1</f>
        <v>1</v>
      </c>
      <c r="AN148" s="39" t="str">
        <f aca="false">IF(SUM($AK148)=0,"",ROUND($AK148*$AM148,0))</f>
        <v/>
      </c>
      <c r="AO148" s="10"/>
      <c r="AP148" s="39"/>
    </row>
    <row r="149" customFormat="false" ht="15" hidden="false" customHeight="false" outlineLevel="0" collapsed="false">
      <c r="A149" s="0" t="str">
        <f aca="false">INDEX(Prioritization!$D:$D,MATCH($B149,Prioritization!$A:$A,0))</f>
        <v>INVALID</v>
      </c>
      <c r="B149" s="0" t="s">
        <v>220</v>
      </c>
      <c r="C149" s="0" t="s">
        <v>474</v>
      </c>
      <c r="D149" s="0" t="str">
        <f aca="false">B149&amp;"|"&amp;C149</f>
        <v>Phalombe District [AZyWpGzhcaA]|TG</v>
      </c>
      <c r="E149" s="39"/>
      <c r="F149" s="39"/>
      <c r="G149" s="39"/>
      <c r="H149" s="10"/>
      <c r="I149" s="39"/>
      <c r="J149" s="10"/>
      <c r="K149" s="39"/>
      <c r="L149" s="10"/>
      <c r="M149" s="39"/>
      <c r="N149" s="10"/>
      <c r="O149" s="10"/>
      <c r="P149" s="10" t="str">
        <f aca="false">IF(MAX($N149,$O149)=0,"",MAX($N149,$O149))</f>
        <v/>
      </c>
      <c r="Q149" s="39" t="str">
        <f aca="false">IF(SUM($P149)=0,"",SUM($P149))</f>
        <v/>
      </c>
      <c r="R149" s="10"/>
      <c r="S149" s="10" t="str">
        <f aca="false">IF(SUM($F149)=0,"",SUM($R149)/$F149)</f>
        <v/>
      </c>
      <c r="T149" s="10"/>
      <c r="U149" s="88" t="n">
        <f aca="false">0.98</f>
        <v>0.98</v>
      </c>
      <c r="V149" s="88" t="n">
        <f aca="false">0.98</f>
        <v>0.98</v>
      </c>
      <c r="W149" s="10" t="str">
        <f aca="false">IF(SUM($P149,$Q149)=0,"",SUM($Q149)-SUM($P149))</f>
        <v/>
      </c>
      <c r="X149" s="10" t="str">
        <f aca="false">IFERROR(1/(1/ROUND((SUM($Q149)-(SUM($P149)*SUM($U149)))/$V149,0)),"")</f>
        <v/>
      </c>
      <c r="Y149" s="88" t="n">
        <f aca="false">1</f>
        <v>1</v>
      </c>
      <c r="Z149" s="39" t="str">
        <f aca="false">IFERROR(1/(1/ROUND(SUM($X149)*SUM($Y149),0)),"")</f>
        <v/>
      </c>
      <c r="AA149" s="88" t="n">
        <f aca="false">0.7</f>
        <v>0.7</v>
      </c>
      <c r="AB149" s="10" t="str">
        <f aca="false">IFERROR(1/(1/ROUND($P149+(SUM($X149)*$AA149),0)),"")</f>
        <v/>
      </c>
      <c r="AC149" s="88" t="n">
        <f aca="false">0.95</f>
        <v>0.95</v>
      </c>
      <c r="AD149" s="39" t="str">
        <f aca="false">IF(SUM($AB149)=0,"",ROUND($AB149*$AC149,0))</f>
        <v/>
      </c>
      <c r="AE149" s="88" t="n">
        <f aca="false">0.95</f>
        <v>0.95</v>
      </c>
      <c r="AF149" s="39" t="str">
        <f aca="false">IF(SUM($AD149)=0,"",ROUND($AD149*$AE149,0))</f>
        <v/>
      </c>
      <c r="AG149" s="10"/>
      <c r="AH149" s="10"/>
      <c r="AI149" s="88" t="n">
        <f aca="false">0.95</f>
        <v>0.95</v>
      </c>
      <c r="AJ149" s="88"/>
      <c r="AK149" s="39" t="str">
        <f aca="false">IF(SUM($Z149)=0,"",IF(AND(SUM($Z149)&gt;0,$AI149=""),"ENTER LINKAGE RATE",ROUND($Z149/$AI149,0)))</f>
        <v/>
      </c>
      <c r="AL149" s="39" t="str">
        <f aca="false">IF(SUM($AK149)=0,"",IF(AND($AK149&gt;0,$AJ149=""),"ENTER YIELD RATE",ROUND($AK149/$AJ149-$AK149,0)))</f>
        <v/>
      </c>
      <c r="AM149" s="88" t="n">
        <f aca="false">1</f>
        <v>1</v>
      </c>
      <c r="AN149" s="39" t="str">
        <f aca="false">IF(SUM($AK149)=0,"",ROUND($AK149*$AM149,0))</f>
        <v/>
      </c>
      <c r="AO149" s="10"/>
      <c r="AP149" s="39"/>
    </row>
    <row r="150" customFormat="false" ht="15" hidden="false" customHeight="false" outlineLevel="0" collapsed="false">
      <c r="A150" s="0" t="str">
        <f aca="false">INDEX(Prioritization!$D:$D,MATCH($B150,Prioritization!$A:$A,0))</f>
        <v>1 - Scale-up: Saturation</v>
      </c>
      <c r="B150" s="0" t="s">
        <v>221</v>
      </c>
      <c r="C150" s="0" t="s">
        <v>470</v>
      </c>
      <c r="D150" s="0" t="str">
        <f aca="false">B150&amp;"|"&amp;C150</f>
        <v>Thyolo District [ul0y9diGujK]|FSW</v>
      </c>
      <c r="E150" s="39"/>
      <c r="F150" s="39"/>
      <c r="G150" s="39"/>
      <c r="H150" s="10"/>
      <c r="I150" s="39"/>
      <c r="J150" s="10"/>
      <c r="K150" s="39"/>
      <c r="L150" s="10"/>
      <c r="M150" s="39"/>
      <c r="N150" s="10"/>
      <c r="O150" s="10"/>
      <c r="P150" s="10" t="str">
        <f aca="false">IF(MAX($N150,$O150)=0,"",MAX($N150,$O150))</f>
        <v/>
      </c>
      <c r="Q150" s="39" t="str">
        <f aca="false">IF(SUM($P150)=0,"",SUM($P150))</f>
        <v/>
      </c>
      <c r="R150" s="10"/>
      <c r="S150" s="10" t="str">
        <f aca="false">IF(SUM($F150)=0,"",SUM($R150)/$F150)</f>
        <v/>
      </c>
      <c r="T150" s="10"/>
      <c r="U150" s="88" t="n">
        <f aca="false">0.98</f>
        <v>0.98</v>
      </c>
      <c r="V150" s="88" t="n">
        <f aca="false">0.98</f>
        <v>0.98</v>
      </c>
      <c r="W150" s="10" t="str">
        <f aca="false">IF(SUM($P150,$Q150)=0,"",SUM($Q150)-SUM($P150))</f>
        <v/>
      </c>
      <c r="X150" s="10" t="str">
        <f aca="false">IFERROR(1/(1/ROUND((SUM($Q150)-(SUM($P150)*SUM($U150)))/$V150,0)),"")</f>
        <v/>
      </c>
      <c r="Y150" s="88" t="n">
        <f aca="false">1</f>
        <v>1</v>
      </c>
      <c r="Z150" s="39" t="str">
        <f aca="false">IFERROR(1/(1/ROUND(SUM($X150)*SUM($Y150),0)),"")</f>
        <v/>
      </c>
      <c r="AA150" s="88" t="n">
        <f aca="false">0.7</f>
        <v>0.7</v>
      </c>
      <c r="AB150" s="10" t="str">
        <f aca="false">IFERROR(1/(1/ROUND($P150+(SUM($X150)*$AA150),0)),"")</f>
        <v/>
      </c>
      <c r="AC150" s="88" t="n">
        <f aca="false">0.95</f>
        <v>0.95</v>
      </c>
      <c r="AD150" s="39" t="str">
        <f aca="false">IF(SUM($AB150)=0,"",ROUND($AB150*$AC150,0))</f>
        <v/>
      </c>
      <c r="AE150" s="88" t="n">
        <f aca="false">0.95</f>
        <v>0.95</v>
      </c>
      <c r="AF150" s="39" t="str">
        <f aca="false">IF(SUM($AD150)=0,"",ROUND($AD150*$AE150,0))</f>
        <v/>
      </c>
      <c r="AG150" s="10"/>
      <c r="AH150" s="10"/>
      <c r="AI150" s="88" t="n">
        <f aca="false">0.95</f>
        <v>0.95</v>
      </c>
      <c r="AJ150" s="88"/>
      <c r="AK150" s="39" t="str">
        <f aca="false">IF(SUM($Z150)=0,"",IF(AND(SUM($Z150)&gt;0,$AI150=""),"ENTER LINKAGE RATE",ROUND($Z150/$AI150,0)))</f>
        <v/>
      </c>
      <c r="AL150" s="39" t="str">
        <f aca="false">IF(SUM($AK150)=0,"",IF(AND($AK150&gt;0,$AJ150=""),"ENTER YIELD RATE",ROUND($AK150/$AJ150-$AK150,0)))</f>
        <v/>
      </c>
      <c r="AM150" s="88" t="n">
        <f aca="false">1</f>
        <v>1</v>
      </c>
      <c r="AN150" s="39" t="str">
        <f aca="false">IF(SUM($AK150)=0,"",ROUND($AK150*$AM150,0))</f>
        <v/>
      </c>
      <c r="AO150" s="10"/>
      <c r="AP150" s="39"/>
    </row>
    <row r="151" customFormat="false" ht="15" hidden="false" customHeight="false" outlineLevel="0" collapsed="false">
      <c r="A151" s="0" t="str">
        <f aca="false">INDEX(Prioritization!$D:$D,MATCH($B151,Prioritization!$A:$A,0))</f>
        <v>1 - Scale-up: Saturation</v>
      </c>
      <c r="B151" s="0" t="s">
        <v>221</v>
      </c>
      <c r="C151" s="0" t="s">
        <v>471</v>
      </c>
      <c r="D151" s="0" t="str">
        <f aca="false">B151&amp;"|"&amp;C151</f>
        <v>Thyolo District [ul0y9diGujK]|MSM</v>
      </c>
      <c r="E151" s="39"/>
      <c r="F151" s="39"/>
      <c r="G151" s="39"/>
      <c r="H151" s="10"/>
      <c r="I151" s="39"/>
      <c r="J151" s="10"/>
      <c r="K151" s="39"/>
      <c r="L151" s="10"/>
      <c r="M151" s="39"/>
      <c r="N151" s="10"/>
      <c r="O151" s="10"/>
      <c r="P151" s="10" t="str">
        <f aca="false">IF(MAX($N151,$O151)=0,"",MAX($N151,$O151))</f>
        <v/>
      </c>
      <c r="Q151" s="39" t="str">
        <f aca="false">IF(SUM($P151)=0,"",SUM($P151))</f>
        <v/>
      </c>
      <c r="R151" s="10"/>
      <c r="S151" s="10" t="str">
        <f aca="false">IF(SUM($F151)=0,"",SUM($R151)/$F151)</f>
        <v/>
      </c>
      <c r="T151" s="10"/>
      <c r="U151" s="88" t="n">
        <f aca="false">0.98</f>
        <v>0.98</v>
      </c>
      <c r="V151" s="88" t="n">
        <f aca="false">0.98</f>
        <v>0.98</v>
      </c>
      <c r="W151" s="10" t="str">
        <f aca="false">IF(SUM($P151,$Q151)=0,"",SUM($Q151)-SUM($P151))</f>
        <v/>
      </c>
      <c r="X151" s="10" t="str">
        <f aca="false">IFERROR(1/(1/ROUND((SUM($Q151)-(SUM($P151)*SUM($U151)))/$V151,0)),"")</f>
        <v/>
      </c>
      <c r="Y151" s="88" t="n">
        <f aca="false">1</f>
        <v>1</v>
      </c>
      <c r="Z151" s="39" t="str">
        <f aca="false">IFERROR(1/(1/ROUND(SUM($X151)*SUM($Y151),0)),"")</f>
        <v/>
      </c>
      <c r="AA151" s="88" t="n">
        <f aca="false">0.7</f>
        <v>0.7</v>
      </c>
      <c r="AB151" s="10" t="str">
        <f aca="false">IFERROR(1/(1/ROUND($P151+(SUM($X151)*$AA151),0)),"")</f>
        <v/>
      </c>
      <c r="AC151" s="88" t="n">
        <f aca="false">0.95</f>
        <v>0.95</v>
      </c>
      <c r="AD151" s="39" t="str">
        <f aca="false">IF(SUM($AB151)=0,"",ROUND($AB151*$AC151,0))</f>
        <v/>
      </c>
      <c r="AE151" s="88" t="n">
        <f aca="false">0.95</f>
        <v>0.95</v>
      </c>
      <c r="AF151" s="39" t="str">
        <f aca="false">IF(SUM($AD151)=0,"",ROUND($AD151*$AE151,0))</f>
        <v/>
      </c>
      <c r="AG151" s="10"/>
      <c r="AH151" s="10"/>
      <c r="AI151" s="88" t="n">
        <f aca="false">0.95</f>
        <v>0.95</v>
      </c>
      <c r="AJ151" s="88"/>
      <c r="AK151" s="39" t="str">
        <f aca="false">IF(SUM($Z151)=0,"",IF(AND(SUM($Z151)&gt;0,$AI151=""),"ENTER LINKAGE RATE",ROUND($Z151/$AI151,0)))</f>
        <v/>
      </c>
      <c r="AL151" s="39" t="str">
        <f aca="false">IF(SUM($AK151)=0,"",IF(AND($AK151&gt;0,$AJ151=""),"ENTER YIELD RATE",ROUND($AK151/$AJ151-$AK151,0)))</f>
        <v/>
      </c>
      <c r="AM151" s="88" t="n">
        <f aca="false">1</f>
        <v>1</v>
      </c>
      <c r="AN151" s="39" t="str">
        <f aca="false">IF(SUM($AK151)=0,"",ROUND($AK151*$AM151,0))</f>
        <v/>
      </c>
      <c r="AO151" s="10"/>
      <c r="AP151" s="39"/>
    </row>
    <row r="152" customFormat="false" ht="15" hidden="false" customHeight="false" outlineLevel="0" collapsed="false">
      <c r="A152" s="0" t="str">
        <f aca="false">INDEX(Prioritization!$D:$D,MATCH($B152,Prioritization!$A:$A,0))</f>
        <v>1 - Scale-up: Saturation</v>
      </c>
      <c r="B152" s="0" t="s">
        <v>221</v>
      </c>
      <c r="C152" s="0" t="s">
        <v>472</v>
      </c>
      <c r="D152" s="0" t="str">
        <f aca="false">B152&amp;"|"&amp;C152</f>
        <v>Thyolo District [ul0y9diGujK]|People in prisons and other enclosed settings</v>
      </c>
      <c r="E152" s="39"/>
      <c r="F152" s="39"/>
      <c r="G152" s="39"/>
      <c r="H152" s="10"/>
      <c r="I152" s="39"/>
      <c r="J152" s="10"/>
      <c r="K152" s="39"/>
      <c r="L152" s="10" t="n">
        <v>42</v>
      </c>
      <c r="M152" s="39"/>
      <c r="N152" s="10" t="n">
        <v>6</v>
      </c>
      <c r="O152" s="10" t="n">
        <v>6</v>
      </c>
      <c r="P152" s="10" t="n">
        <f aca="false">IF(MAX($N152,$O152)=0,"",MAX($N152,$O152))</f>
        <v>6</v>
      </c>
      <c r="Q152" s="39" t="n">
        <f aca="false">IF(SUM($P152)=0,"",SUM($P152))</f>
        <v>6</v>
      </c>
      <c r="R152" s="10"/>
      <c r="S152" s="10" t="str">
        <f aca="false">IF(SUM($F152)=0,"",SUM($R152)/$F152)</f>
        <v/>
      </c>
      <c r="T152" s="10" t="n">
        <v>10</v>
      </c>
      <c r="U152" s="88" t="n">
        <f aca="false">0.98</f>
        <v>0.98</v>
      </c>
      <c r="V152" s="88" t="n">
        <f aca="false">0.98</f>
        <v>0.98</v>
      </c>
      <c r="W152" s="10" t="n">
        <f aca="false">IF(SUM($P152,$Q152)=0,"",SUM($Q152)-SUM($P152))</f>
        <v>0</v>
      </c>
      <c r="X152" s="10" t="str">
        <f aca="false">IFERROR(1/(1/ROUND((SUM($Q152)-(SUM($P152)*SUM($U152)))/$V152,0)),"")</f>
        <v/>
      </c>
      <c r="Y152" s="88" t="n">
        <f aca="false">1</f>
        <v>1</v>
      </c>
      <c r="Z152" s="39" t="str">
        <f aca="false">IFERROR(1/(1/ROUND(SUM($X152)*SUM($Y152),0)),"")</f>
        <v/>
      </c>
      <c r="AA152" s="88" t="n">
        <f aca="false">0.7</f>
        <v>0.7</v>
      </c>
      <c r="AB152" s="10" t="n">
        <f aca="false">IFERROR(1/(1/ROUND($P152+(SUM($X152)*$AA152),0)),"")</f>
        <v>6</v>
      </c>
      <c r="AC152" s="88" t="n">
        <f aca="false">0.95</f>
        <v>0.95</v>
      </c>
      <c r="AD152" s="39" t="n">
        <f aca="false">IF(SUM($AB152)=0,"",ROUND($AB152*$AC152,0))</f>
        <v>6</v>
      </c>
      <c r="AE152" s="88" t="n">
        <f aca="false">0.95</f>
        <v>0.95</v>
      </c>
      <c r="AF152" s="39" t="n">
        <f aca="false">IF(SUM($AD152)=0,"",ROUND($AD152*$AE152,0))</f>
        <v>6</v>
      </c>
      <c r="AG152" s="10" t="n">
        <v>1</v>
      </c>
      <c r="AH152" s="10" t="n">
        <v>1</v>
      </c>
      <c r="AI152" s="88" t="n">
        <f aca="false">0.95</f>
        <v>0.95</v>
      </c>
      <c r="AJ152" s="88"/>
      <c r="AK152" s="39" t="str">
        <f aca="false">IF(SUM($Z152)=0,"",IF(AND(SUM($Z152)&gt;0,$AI152=""),"ENTER LINKAGE RATE",ROUND($Z152/$AI152,0)))</f>
        <v/>
      </c>
      <c r="AL152" s="39" t="str">
        <f aca="false">IF(SUM($AK152)=0,"",IF(AND($AK152&gt;0,$AJ152=""),"ENTER YIELD RATE",ROUND($AK152/$AJ152-$AK152,0)))</f>
        <v/>
      </c>
      <c r="AM152" s="88" t="n">
        <f aca="false">1</f>
        <v>1</v>
      </c>
      <c r="AN152" s="39" t="str">
        <f aca="false">IF(SUM($AK152)=0,"",ROUND($AK152*$AM152,0))</f>
        <v/>
      </c>
      <c r="AO152" s="10" t="n">
        <v>93</v>
      </c>
      <c r="AP152" s="39"/>
    </row>
    <row r="153" customFormat="false" ht="15" hidden="false" customHeight="false" outlineLevel="0" collapsed="false">
      <c r="A153" s="0" t="str">
        <f aca="false">INDEX(Prioritization!$D:$D,MATCH($B153,Prioritization!$A:$A,0))</f>
        <v>1 - Scale-up: Saturation</v>
      </c>
      <c r="B153" s="0" t="s">
        <v>221</v>
      </c>
      <c r="C153" s="0" t="s">
        <v>473</v>
      </c>
      <c r="D153" s="0" t="str">
        <f aca="false">B153&amp;"|"&amp;C153</f>
        <v>Thyolo District [ul0y9diGujK]|PWID</v>
      </c>
      <c r="E153" s="39"/>
      <c r="F153" s="39"/>
      <c r="G153" s="39"/>
      <c r="H153" s="10"/>
      <c r="I153" s="39"/>
      <c r="J153" s="10"/>
      <c r="K153" s="39"/>
      <c r="L153" s="10"/>
      <c r="M153" s="39"/>
      <c r="N153" s="10"/>
      <c r="O153" s="10"/>
      <c r="P153" s="10" t="str">
        <f aca="false">IF(MAX($N153,$O153)=0,"",MAX($N153,$O153))</f>
        <v/>
      </c>
      <c r="Q153" s="39" t="str">
        <f aca="false">IF(SUM($P153)=0,"",SUM($P153))</f>
        <v/>
      </c>
      <c r="R153" s="10"/>
      <c r="S153" s="10" t="str">
        <f aca="false">IF(SUM($F153)=0,"",SUM($R153)/$F153)</f>
        <v/>
      </c>
      <c r="T153" s="10"/>
      <c r="U153" s="88" t="n">
        <f aca="false">0.98</f>
        <v>0.98</v>
      </c>
      <c r="V153" s="88" t="n">
        <f aca="false">0.98</f>
        <v>0.98</v>
      </c>
      <c r="W153" s="10" t="str">
        <f aca="false">IF(SUM($P153,$Q153)=0,"",SUM($Q153)-SUM($P153))</f>
        <v/>
      </c>
      <c r="X153" s="10" t="str">
        <f aca="false">IFERROR(1/(1/ROUND((SUM($Q153)-(SUM($P153)*SUM($U153)))/$V153,0)),"")</f>
        <v/>
      </c>
      <c r="Y153" s="88" t="n">
        <f aca="false">1</f>
        <v>1</v>
      </c>
      <c r="Z153" s="39" t="str">
        <f aca="false">IFERROR(1/(1/ROUND(SUM($X153)*SUM($Y153),0)),"")</f>
        <v/>
      </c>
      <c r="AA153" s="88" t="n">
        <f aca="false">0.7</f>
        <v>0.7</v>
      </c>
      <c r="AB153" s="10" t="str">
        <f aca="false">IFERROR(1/(1/ROUND($P153+(SUM($X153)*$AA153),0)),"")</f>
        <v/>
      </c>
      <c r="AC153" s="88" t="n">
        <f aca="false">0.95</f>
        <v>0.95</v>
      </c>
      <c r="AD153" s="39" t="str">
        <f aca="false">IF(SUM($AB153)=0,"",ROUND($AB153*$AC153,0))</f>
        <v/>
      </c>
      <c r="AE153" s="88" t="n">
        <f aca="false">0.95</f>
        <v>0.95</v>
      </c>
      <c r="AF153" s="39" t="str">
        <f aca="false">IF(SUM($AD153)=0,"",ROUND($AD153*$AE153,0))</f>
        <v/>
      </c>
      <c r="AG153" s="10"/>
      <c r="AH153" s="10"/>
      <c r="AI153" s="88" t="n">
        <f aca="false">0.95</f>
        <v>0.95</v>
      </c>
      <c r="AJ153" s="88"/>
      <c r="AK153" s="39" t="str">
        <f aca="false">IF(SUM($Z153)=0,"",IF(AND(SUM($Z153)&gt;0,$AI153=""),"ENTER LINKAGE RATE",ROUND($Z153/$AI153,0)))</f>
        <v/>
      </c>
      <c r="AL153" s="39" t="str">
        <f aca="false">IF(SUM($AK153)=0,"",IF(AND($AK153&gt;0,$AJ153=""),"ENTER YIELD RATE",ROUND($AK153/$AJ153-$AK153,0)))</f>
        <v/>
      </c>
      <c r="AM153" s="88" t="n">
        <f aca="false">1</f>
        <v>1</v>
      </c>
      <c r="AN153" s="39" t="str">
        <f aca="false">IF(SUM($AK153)=0,"",ROUND($AK153*$AM153,0))</f>
        <v/>
      </c>
      <c r="AO153" s="10"/>
      <c r="AP153" s="39"/>
    </row>
    <row r="154" customFormat="false" ht="15" hidden="false" customHeight="false" outlineLevel="0" collapsed="false">
      <c r="A154" s="0" t="str">
        <f aca="false">INDEX(Prioritization!$D:$D,MATCH($B154,Prioritization!$A:$A,0))</f>
        <v>1 - Scale-up: Saturation</v>
      </c>
      <c r="B154" s="0" t="s">
        <v>221</v>
      </c>
      <c r="C154" s="0" t="s">
        <v>474</v>
      </c>
      <c r="D154" s="0" t="str">
        <f aca="false">B154&amp;"|"&amp;C154</f>
        <v>Thyolo District [ul0y9diGujK]|TG</v>
      </c>
      <c r="E154" s="39"/>
      <c r="F154" s="39"/>
      <c r="G154" s="39"/>
      <c r="H154" s="10"/>
      <c r="I154" s="39"/>
      <c r="J154" s="10"/>
      <c r="K154" s="39"/>
      <c r="L154" s="10"/>
      <c r="M154" s="39"/>
      <c r="N154" s="10"/>
      <c r="O154" s="10"/>
      <c r="P154" s="10" t="str">
        <f aca="false">IF(MAX($N154,$O154)=0,"",MAX($N154,$O154))</f>
        <v/>
      </c>
      <c r="Q154" s="39" t="str">
        <f aca="false">IF(SUM($P154)=0,"",SUM($P154))</f>
        <v/>
      </c>
      <c r="R154" s="10"/>
      <c r="S154" s="10" t="str">
        <f aca="false">IF(SUM($F154)=0,"",SUM($R154)/$F154)</f>
        <v/>
      </c>
      <c r="T154" s="10"/>
      <c r="U154" s="88" t="n">
        <f aca="false">0.98</f>
        <v>0.98</v>
      </c>
      <c r="V154" s="88" t="n">
        <f aca="false">0.98</f>
        <v>0.98</v>
      </c>
      <c r="W154" s="10" t="str">
        <f aca="false">IF(SUM($P154,$Q154)=0,"",SUM($Q154)-SUM($P154))</f>
        <v/>
      </c>
      <c r="X154" s="10" t="str">
        <f aca="false">IFERROR(1/(1/ROUND((SUM($Q154)-(SUM($P154)*SUM($U154)))/$V154,0)),"")</f>
        <v/>
      </c>
      <c r="Y154" s="88" t="n">
        <f aca="false">1</f>
        <v>1</v>
      </c>
      <c r="Z154" s="39" t="str">
        <f aca="false">IFERROR(1/(1/ROUND(SUM($X154)*SUM($Y154),0)),"")</f>
        <v/>
      </c>
      <c r="AA154" s="88" t="n">
        <f aca="false">0.7</f>
        <v>0.7</v>
      </c>
      <c r="AB154" s="10" t="str">
        <f aca="false">IFERROR(1/(1/ROUND($P154+(SUM($X154)*$AA154),0)),"")</f>
        <v/>
      </c>
      <c r="AC154" s="88" t="n">
        <f aca="false">0.95</f>
        <v>0.95</v>
      </c>
      <c r="AD154" s="39" t="str">
        <f aca="false">IF(SUM($AB154)=0,"",ROUND($AB154*$AC154,0))</f>
        <v/>
      </c>
      <c r="AE154" s="88" t="n">
        <f aca="false">0.95</f>
        <v>0.95</v>
      </c>
      <c r="AF154" s="39" t="str">
        <f aca="false">IF(SUM($AD154)=0,"",ROUND($AD154*$AE154,0))</f>
        <v/>
      </c>
      <c r="AG154" s="10"/>
      <c r="AH154" s="10"/>
      <c r="AI154" s="88" t="n">
        <f aca="false">0.95</f>
        <v>0.95</v>
      </c>
      <c r="AJ154" s="88"/>
      <c r="AK154" s="39" t="str">
        <f aca="false">IF(SUM($Z154)=0,"",IF(AND(SUM($Z154)&gt;0,$AI154=""),"ENTER LINKAGE RATE",ROUND($Z154/$AI154,0)))</f>
        <v/>
      </c>
      <c r="AL154" s="39" t="str">
        <f aca="false">IF(SUM($AK154)=0,"",IF(AND($AK154&gt;0,$AJ154=""),"ENTER YIELD RATE",ROUND($AK154/$AJ154-$AK154,0)))</f>
        <v/>
      </c>
      <c r="AM154" s="88" t="n">
        <f aca="false">1</f>
        <v>1</v>
      </c>
      <c r="AN154" s="39" t="str">
        <f aca="false">IF(SUM($AK154)=0,"",ROUND($AK154*$AM154,0))</f>
        <v/>
      </c>
      <c r="AO154" s="10"/>
      <c r="AP154" s="39"/>
    </row>
    <row r="155" customFormat="false" ht="15" hidden="false" customHeight="false" outlineLevel="0" collapsed="false">
      <c r="A155" s="0" t="str">
        <f aca="false">INDEX(Prioritization!$D:$D,MATCH($B155,Prioritization!$A:$A,0))</f>
        <v>1 - Scale-up: Saturation</v>
      </c>
      <c r="B155" s="0" t="s">
        <v>222</v>
      </c>
      <c r="C155" s="0" t="s">
        <v>470</v>
      </c>
      <c r="D155" s="0" t="str">
        <f aca="false">B155&amp;"|"&amp;C155</f>
        <v>Zomba District [fyEoGEPERdI]|FSW</v>
      </c>
      <c r="E155" s="39"/>
      <c r="F155" s="39"/>
      <c r="G155" s="39"/>
      <c r="H155" s="10"/>
      <c r="I155" s="39"/>
      <c r="J155" s="10" t="n">
        <v>26</v>
      </c>
      <c r="K155" s="39"/>
      <c r="L155" s="10" t="n">
        <v>702</v>
      </c>
      <c r="M155" s="39"/>
      <c r="N155" s="10"/>
      <c r="O155" s="10" t="n">
        <v>86</v>
      </c>
      <c r="P155" s="10" t="n">
        <f aca="false">IF(MAX($N155,$O155)=0,"",MAX($N155,$O155))</f>
        <v>86</v>
      </c>
      <c r="Q155" s="39" t="n">
        <f aca="false">IF(SUM($P155)=0,"",SUM($P155))</f>
        <v>86</v>
      </c>
      <c r="R155" s="10"/>
      <c r="S155" s="10" t="str">
        <f aca="false">IF(SUM($F155)=0,"",SUM($R155)/$F155)</f>
        <v/>
      </c>
      <c r="T155" s="10" t="n">
        <v>9</v>
      </c>
      <c r="U155" s="88" t="n">
        <f aca="false">0.98</f>
        <v>0.98</v>
      </c>
      <c r="V155" s="88" t="n">
        <f aca="false">0.98</f>
        <v>0.98</v>
      </c>
      <c r="W155" s="10" t="n">
        <f aca="false">IF(SUM($P155,$Q155)=0,"",SUM($Q155)-SUM($P155))</f>
        <v>0</v>
      </c>
      <c r="X155" s="10" t="n">
        <f aca="false">IFERROR(1/(1/ROUND((SUM($Q155)-(SUM($P155)*SUM($U155)))/$V155,0)),"")</f>
        <v>2</v>
      </c>
      <c r="Y155" s="88" t="n">
        <f aca="false">1</f>
        <v>1</v>
      </c>
      <c r="Z155" s="39" t="n">
        <f aca="false">IFERROR(1/(1/ROUND(SUM($X155)*SUM($Y155),0)),"")</f>
        <v>2</v>
      </c>
      <c r="AA155" s="88" t="n">
        <f aca="false">0.7</f>
        <v>0.7</v>
      </c>
      <c r="AB155" s="10" t="n">
        <f aca="false">IFERROR(1/(1/ROUND($P155+(SUM($X155)*$AA155),0)),"")</f>
        <v>87</v>
      </c>
      <c r="AC155" s="88" t="n">
        <f aca="false">0.95</f>
        <v>0.95</v>
      </c>
      <c r="AD155" s="39" t="n">
        <f aca="false">IF(SUM($AB155)=0,"",ROUND($AB155*$AC155,0))</f>
        <v>83</v>
      </c>
      <c r="AE155" s="88" t="n">
        <f aca="false">0.95</f>
        <v>0.95</v>
      </c>
      <c r="AF155" s="39" t="n">
        <f aca="false">IF(SUM($AD155)=0,"",ROUND($AD155*$AE155,0))</f>
        <v>79</v>
      </c>
      <c r="AG155" s="10" t="n">
        <v>2</v>
      </c>
      <c r="AH155" s="10" t="n">
        <v>0</v>
      </c>
      <c r="AI155" s="88" t="n">
        <f aca="false">0.95</f>
        <v>0.95</v>
      </c>
      <c r="AJ155" s="88"/>
      <c r="AK155" s="39" t="n">
        <f aca="false">IF(SUM($Z155)=0,"",IF(AND(SUM($Z155)&gt;0,$AI155=""),"ENTER LINKAGE RATE",ROUND($Z155/$AI155,0)))</f>
        <v>2</v>
      </c>
      <c r="AL155" s="39" t="str">
        <f aca="false">IF(SUM($AK155)=0,"",IF(AND($AK155&gt;0,$AJ155=""),"ENTER YIELD RATE",ROUND($AK155/$AJ155-$AK155,0)))</f>
        <v>ENTER YIELD RATE</v>
      </c>
      <c r="AM155" s="88" t="n">
        <f aca="false">1</f>
        <v>1</v>
      </c>
      <c r="AN155" s="39" t="n">
        <f aca="false">IF(SUM($AK155)=0,"",ROUND($AK155*$AM155,0))</f>
        <v>2</v>
      </c>
      <c r="AO155" s="10" t="n">
        <v>85</v>
      </c>
      <c r="AP155" s="39"/>
    </row>
    <row r="156" customFormat="false" ht="15" hidden="false" customHeight="false" outlineLevel="0" collapsed="false">
      <c r="A156" s="0" t="str">
        <f aca="false">INDEX(Prioritization!$D:$D,MATCH($B156,Prioritization!$A:$A,0))</f>
        <v>1 - Scale-up: Saturation</v>
      </c>
      <c r="B156" s="0" t="s">
        <v>222</v>
      </c>
      <c r="C156" s="0" t="s">
        <v>471</v>
      </c>
      <c r="D156" s="0" t="str">
        <f aca="false">B156&amp;"|"&amp;C156</f>
        <v>Zomba District [fyEoGEPERdI]|MSM</v>
      </c>
      <c r="E156" s="39"/>
      <c r="F156" s="39"/>
      <c r="G156" s="39"/>
      <c r="H156" s="10"/>
      <c r="I156" s="39"/>
      <c r="J156" s="10" t="n">
        <v>25</v>
      </c>
      <c r="K156" s="39"/>
      <c r="L156" s="10" t="n">
        <v>644</v>
      </c>
      <c r="M156" s="39"/>
      <c r="N156" s="10"/>
      <c r="O156" s="10" t="n">
        <v>52</v>
      </c>
      <c r="P156" s="10" t="n">
        <f aca="false">IF(MAX($N156,$O156)=0,"",MAX($N156,$O156))</f>
        <v>52</v>
      </c>
      <c r="Q156" s="39" t="n">
        <f aca="false">IF(SUM($P156)=0,"",SUM($P156))</f>
        <v>52</v>
      </c>
      <c r="R156" s="10"/>
      <c r="S156" s="10" t="str">
        <f aca="false">IF(SUM($F156)=0,"",SUM($R156)/$F156)</f>
        <v/>
      </c>
      <c r="T156" s="10" t="n">
        <v>78</v>
      </c>
      <c r="U156" s="88" t="n">
        <f aca="false">0.98</f>
        <v>0.98</v>
      </c>
      <c r="V156" s="88" t="n">
        <f aca="false">0.98</f>
        <v>0.98</v>
      </c>
      <c r="W156" s="10" t="n">
        <f aca="false">IF(SUM($P156,$Q156)=0,"",SUM($Q156)-SUM($P156))</f>
        <v>0</v>
      </c>
      <c r="X156" s="10" t="n">
        <f aca="false">IFERROR(1/(1/ROUND((SUM($Q156)-(SUM($P156)*SUM($U156)))/$V156,0)),"")</f>
        <v>1</v>
      </c>
      <c r="Y156" s="88" t="n">
        <f aca="false">1</f>
        <v>1</v>
      </c>
      <c r="Z156" s="39" t="n">
        <f aca="false">IFERROR(1/(1/ROUND(SUM($X156)*SUM($Y156),0)),"")</f>
        <v>1</v>
      </c>
      <c r="AA156" s="88" t="n">
        <f aca="false">0.7</f>
        <v>0.7</v>
      </c>
      <c r="AB156" s="10" t="n">
        <f aca="false">IFERROR(1/(1/ROUND($P156+(SUM($X156)*$AA156),0)),"")</f>
        <v>53</v>
      </c>
      <c r="AC156" s="88" t="n">
        <f aca="false">0.95</f>
        <v>0.95</v>
      </c>
      <c r="AD156" s="39" t="n">
        <f aca="false">IF(SUM($AB156)=0,"",ROUND($AB156*$AC156,0))</f>
        <v>50</v>
      </c>
      <c r="AE156" s="88" t="n">
        <f aca="false">0.95</f>
        <v>0.95</v>
      </c>
      <c r="AF156" s="39" t="n">
        <f aca="false">IF(SUM($AD156)=0,"",ROUND($AD156*$AE156,0))</f>
        <v>48</v>
      </c>
      <c r="AG156" s="10" t="n">
        <v>60</v>
      </c>
      <c r="AH156" s="10" t="n">
        <v>1</v>
      </c>
      <c r="AI156" s="88" t="n">
        <f aca="false">0.95</f>
        <v>0.95</v>
      </c>
      <c r="AJ156" s="88"/>
      <c r="AK156" s="39" t="n">
        <f aca="false">IF(SUM($Z156)=0,"",IF(AND(SUM($Z156)&gt;0,$AI156=""),"ENTER LINKAGE RATE",ROUND($Z156/$AI156,0)))</f>
        <v>1</v>
      </c>
      <c r="AL156" s="39" t="str">
        <f aca="false">IF(SUM($AK156)=0,"",IF(AND($AK156&gt;0,$AJ156=""),"ENTER YIELD RATE",ROUND($AK156/$AJ156-$AK156,0)))</f>
        <v>ENTER YIELD RATE</v>
      </c>
      <c r="AM156" s="88" t="n">
        <f aca="false">1</f>
        <v>1</v>
      </c>
      <c r="AN156" s="39" t="n">
        <f aca="false">IF(SUM($AK156)=0,"",ROUND($AK156*$AM156,0))</f>
        <v>1</v>
      </c>
      <c r="AO156" s="10" t="n">
        <v>363</v>
      </c>
      <c r="AP156" s="39"/>
    </row>
    <row r="157" customFormat="false" ht="15" hidden="false" customHeight="false" outlineLevel="0" collapsed="false">
      <c r="A157" s="0" t="str">
        <f aca="false">INDEX(Prioritization!$D:$D,MATCH($B157,Prioritization!$A:$A,0))</f>
        <v>1 - Scale-up: Saturation</v>
      </c>
      <c r="B157" s="0" t="s">
        <v>222</v>
      </c>
      <c r="C157" s="0" t="s">
        <v>472</v>
      </c>
      <c r="D157" s="0" t="str">
        <f aca="false">B157&amp;"|"&amp;C157</f>
        <v>Zomba District [fyEoGEPERdI]|People in prisons and other enclosed settings</v>
      </c>
      <c r="E157" s="39"/>
      <c r="F157" s="39"/>
      <c r="G157" s="39"/>
      <c r="H157" s="10"/>
      <c r="I157" s="39"/>
      <c r="J157" s="10"/>
      <c r="K157" s="39"/>
      <c r="L157" s="10" t="n">
        <v>523</v>
      </c>
      <c r="M157" s="39"/>
      <c r="N157" s="10" t="n">
        <v>93</v>
      </c>
      <c r="O157" s="10" t="n">
        <v>13</v>
      </c>
      <c r="P157" s="10" t="n">
        <f aca="false">IF(MAX($N157,$O157)=0,"",MAX($N157,$O157))</f>
        <v>93</v>
      </c>
      <c r="Q157" s="39" t="n">
        <f aca="false">IF(SUM($P157)=0,"",SUM($P157))</f>
        <v>93</v>
      </c>
      <c r="R157" s="10"/>
      <c r="S157" s="10" t="str">
        <f aca="false">IF(SUM($F157)=0,"",SUM($R157)/$F157)</f>
        <v/>
      </c>
      <c r="T157" s="10" t="n">
        <v>94</v>
      </c>
      <c r="U157" s="88" t="n">
        <f aca="false">0.98</f>
        <v>0.98</v>
      </c>
      <c r="V157" s="88" t="n">
        <f aca="false">0.98</f>
        <v>0.98</v>
      </c>
      <c r="W157" s="10" t="n">
        <f aca="false">IF(SUM($P157,$Q157)=0,"",SUM($Q157)-SUM($P157))</f>
        <v>0</v>
      </c>
      <c r="X157" s="10" t="n">
        <f aca="false">IFERROR(1/(1/ROUND((SUM($Q157)-(SUM($P157)*SUM($U157)))/$V157,0)),"")</f>
        <v>2</v>
      </c>
      <c r="Y157" s="88" t="n">
        <f aca="false">1</f>
        <v>1</v>
      </c>
      <c r="Z157" s="39" t="n">
        <f aca="false">IFERROR(1/(1/ROUND(SUM($X157)*SUM($Y157),0)),"")</f>
        <v>2</v>
      </c>
      <c r="AA157" s="88" t="n">
        <f aca="false">0.7</f>
        <v>0.7</v>
      </c>
      <c r="AB157" s="10" t="n">
        <f aca="false">IFERROR(1/(1/ROUND($P157+(SUM($X157)*$AA157),0)),"")</f>
        <v>94</v>
      </c>
      <c r="AC157" s="88" t="n">
        <f aca="false">0.95</f>
        <v>0.95</v>
      </c>
      <c r="AD157" s="39" t="n">
        <f aca="false">IF(SUM($AB157)=0,"",ROUND($AB157*$AC157,0))</f>
        <v>89</v>
      </c>
      <c r="AE157" s="88" t="n">
        <f aca="false">0.95</f>
        <v>0.95</v>
      </c>
      <c r="AF157" s="39" t="n">
        <f aca="false">IF(SUM($AD157)=0,"",ROUND($AD157*$AE157,0))</f>
        <v>85</v>
      </c>
      <c r="AG157" s="10" t="n">
        <v>73</v>
      </c>
      <c r="AH157" s="10" t="n">
        <v>0</v>
      </c>
      <c r="AI157" s="88" t="n">
        <f aca="false">0.95</f>
        <v>0.95</v>
      </c>
      <c r="AJ157" s="88"/>
      <c r="AK157" s="39" t="n">
        <f aca="false">IF(SUM($Z157)=0,"",IF(AND(SUM($Z157)&gt;0,$AI157=""),"ENTER LINKAGE RATE",ROUND($Z157/$AI157,0)))</f>
        <v>2</v>
      </c>
      <c r="AL157" s="39" t="str">
        <f aca="false">IF(SUM($AK157)=0,"",IF(AND($AK157&gt;0,$AJ157=""),"ENTER YIELD RATE",ROUND($AK157/$AJ157-$AK157,0)))</f>
        <v>ENTER YIELD RATE</v>
      </c>
      <c r="AM157" s="88" t="n">
        <f aca="false">1</f>
        <v>1</v>
      </c>
      <c r="AN157" s="39" t="n">
        <f aca="false">IF(SUM($AK157)=0,"",ROUND($AK157*$AM157,0))</f>
        <v>2</v>
      </c>
      <c r="AO157" s="10" t="n">
        <v>930</v>
      </c>
      <c r="AP157" s="39"/>
    </row>
    <row r="158" customFormat="false" ht="15" hidden="false" customHeight="false" outlineLevel="0" collapsed="false">
      <c r="A158" s="0" t="str">
        <f aca="false">INDEX(Prioritization!$D:$D,MATCH($B158,Prioritization!$A:$A,0))</f>
        <v>1 - Scale-up: Saturation</v>
      </c>
      <c r="B158" s="0" t="s">
        <v>222</v>
      </c>
      <c r="C158" s="0" t="s">
        <v>473</v>
      </c>
      <c r="D158" s="0" t="str">
        <f aca="false">B158&amp;"|"&amp;C158</f>
        <v>Zomba District [fyEoGEPERdI]|PWID</v>
      </c>
      <c r="E158" s="39"/>
      <c r="F158" s="39"/>
      <c r="G158" s="39"/>
      <c r="H158" s="10"/>
      <c r="I158" s="39"/>
      <c r="J158" s="10"/>
      <c r="K158" s="39"/>
      <c r="L158" s="10"/>
      <c r="M158" s="39"/>
      <c r="N158" s="10"/>
      <c r="O158" s="10"/>
      <c r="P158" s="10" t="str">
        <f aca="false">IF(MAX($N158,$O158)=0,"",MAX($N158,$O158))</f>
        <v/>
      </c>
      <c r="Q158" s="39" t="str">
        <f aca="false">IF(SUM($P158)=0,"",SUM($P158))</f>
        <v/>
      </c>
      <c r="R158" s="10"/>
      <c r="S158" s="10" t="str">
        <f aca="false">IF(SUM($F158)=0,"",SUM($R158)/$F158)</f>
        <v/>
      </c>
      <c r="T158" s="10"/>
      <c r="U158" s="88" t="n">
        <f aca="false">0.98</f>
        <v>0.98</v>
      </c>
      <c r="V158" s="88" t="n">
        <f aca="false">0.98</f>
        <v>0.98</v>
      </c>
      <c r="W158" s="10" t="str">
        <f aca="false">IF(SUM($P158,$Q158)=0,"",SUM($Q158)-SUM($P158))</f>
        <v/>
      </c>
      <c r="X158" s="10" t="str">
        <f aca="false">IFERROR(1/(1/ROUND((SUM($Q158)-(SUM($P158)*SUM($U158)))/$V158,0)),"")</f>
        <v/>
      </c>
      <c r="Y158" s="88" t="n">
        <f aca="false">1</f>
        <v>1</v>
      </c>
      <c r="Z158" s="39" t="str">
        <f aca="false">IFERROR(1/(1/ROUND(SUM($X158)*SUM($Y158),0)),"")</f>
        <v/>
      </c>
      <c r="AA158" s="88" t="n">
        <f aca="false">0.7</f>
        <v>0.7</v>
      </c>
      <c r="AB158" s="10" t="str">
        <f aca="false">IFERROR(1/(1/ROUND($P158+(SUM($X158)*$AA158),0)),"")</f>
        <v/>
      </c>
      <c r="AC158" s="88" t="n">
        <f aca="false">0.95</f>
        <v>0.95</v>
      </c>
      <c r="AD158" s="39" t="str">
        <f aca="false">IF(SUM($AB158)=0,"",ROUND($AB158*$AC158,0))</f>
        <v/>
      </c>
      <c r="AE158" s="88" t="n">
        <f aca="false">0.95</f>
        <v>0.95</v>
      </c>
      <c r="AF158" s="39" t="str">
        <f aca="false">IF(SUM($AD158)=0,"",ROUND($AD158*$AE158,0))</f>
        <v/>
      </c>
      <c r="AG158" s="10"/>
      <c r="AH158" s="10"/>
      <c r="AI158" s="88" t="n">
        <f aca="false">0.95</f>
        <v>0.95</v>
      </c>
      <c r="AJ158" s="88"/>
      <c r="AK158" s="39" t="str">
        <f aca="false">IF(SUM($Z158)=0,"",IF(AND(SUM($Z158)&gt;0,$AI158=""),"ENTER LINKAGE RATE",ROUND($Z158/$AI158,0)))</f>
        <v/>
      </c>
      <c r="AL158" s="39" t="str">
        <f aca="false">IF(SUM($AK158)=0,"",IF(AND($AK158&gt;0,$AJ158=""),"ENTER YIELD RATE",ROUND($AK158/$AJ158-$AK158,0)))</f>
        <v/>
      </c>
      <c r="AM158" s="88" t="n">
        <f aca="false">1</f>
        <v>1</v>
      </c>
      <c r="AN158" s="39" t="str">
        <f aca="false">IF(SUM($AK158)=0,"",ROUND($AK158*$AM158,0))</f>
        <v/>
      </c>
      <c r="AO158" s="10"/>
      <c r="AP158" s="39"/>
    </row>
    <row r="159" customFormat="false" ht="15" hidden="false" customHeight="false" outlineLevel="0" collapsed="false">
      <c r="A159" s="0" t="str">
        <f aca="false">INDEX(Prioritization!$D:$D,MATCH($B159,Prioritization!$A:$A,0))</f>
        <v>1 - Scale-up: Saturation</v>
      </c>
      <c r="B159" s="0" t="s">
        <v>222</v>
      </c>
      <c r="C159" s="0" t="s">
        <v>474</v>
      </c>
      <c r="D159" s="0" t="str">
        <f aca="false">B159&amp;"|"&amp;C159</f>
        <v>Zomba District [fyEoGEPERdI]|TG</v>
      </c>
      <c r="E159" s="39"/>
      <c r="F159" s="39"/>
      <c r="G159" s="39"/>
      <c r="H159" s="10"/>
      <c r="I159" s="39"/>
      <c r="J159" s="10"/>
      <c r="K159" s="39"/>
      <c r="L159" s="10" t="n">
        <v>2</v>
      </c>
      <c r="M159" s="39"/>
      <c r="N159" s="10"/>
      <c r="O159" s="10" t="n">
        <v>5</v>
      </c>
      <c r="P159" s="10" t="n">
        <f aca="false">IF(MAX($N159,$O159)=0,"",MAX($N159,$O159))</f>
        <v>5</v>
      </c>
      <c r="Q159" s="39" t="n">
        <f aca="false">IF(SUM($P159)=0,"",SUM($P159))</f>
        <v>5</v>
      </c>
      <c r="R159" s="10"/>
      <c r="S159" s="10" t="str">
        <f aca="false">IF(SUM($F159)=0,"",SUM($R159)/$F159)</f>
        <v/>
      </c>
      <c r="T159" s="10" t="n">
        <v>4</v>
      </c>
      <c r="U159" s="88" t="n">
        <f aca="false">0.98</f>
        <v>0.98</v>
      </c>
      <c r="V159" s="88" t="n">
        <f aca="false">0.98</f>
        <v>0.98</v>
      </c>
      <c r="W159" s="10" t="n">
        <f aca="false">IF(SUM($P159,$Q159)=0,"",SUM($Q159)-SUM($P159))</f>
        <v>0</v>
      </c>
      <c r="X159" s="10" t="str">
        <f aca="false">IFERROR(1/(1/ROUND((SUM($Q159)-(SUM($P159)*SUM($U159)))/$V159,0)),"")</f>
        <v/>
      </c>
      <c r="Y159" s="88" t="n">
        <f aca="false">1</f>
        <v>1</v>
      </c>
      <c r="Z159" s="39" t="str">
        <f aca="false">IFERROR(1/(1/ROUND(SUM($X159)*SUM($Y159),0)),"")</f>
        <v/>
      </c>
      <c r="AA159" s="88" t="n">
        <f aca="false">0.7</f>
        <v>0.7</v>
      </c>
      <c r="AB159" s="10" t="n">
        <f aca="false">IFERROR(1/(1/ROUND($P159+(SUM($X159)*$AA159),0)),"")</f>
        <v>5</v>
      </c>
      <c r="AC159" s="88" t="n">
        <f aca="false">0.95</f>
        <v>0.95</v>
      </c>
      <c r="AD159" s="39" t="n">
        <f aca="false">IF(SUM($AB159)=0,"",ROUND($AB159*$AC159,0))</f>
        <v>5</v>
      </c>
      <c r="AE159" s="88" t="n">
        <f aca="false">0.95</f>
        <v>0.95</v>
      </c>
      <c r="AF159" s="39" t="n">
        <f aca="false">IF(SUM($AD159)=0,"",ROUND($AD159*$AE159,0))</f>
        <v>5</v>
      </c>
      <c r="AG159" s="10" t="n">
        <v>2</v>
      </c>
      <c r="AH159" s="10" t="n">
        <v>1</v>
      </c>
      <c r="AI159" s="88" t="n">
        <f aca="false">0.95</f>
        <v>0.95</v>
      </c>
      <c r="AJ159" s="88"/>
      <c r="AK159" s="39" t="str">
        <f aca="false">IF(SUM($Z159)=0,"",IF(AND(SUM($Z159)&gt;0,$AI159=""),"ENTER LINKAGE RATE",ROUND($Z159/$AI159,0)))</f>
        <v/>
      </c>
      <c r="AL159" s="39" t="str">
        <f aca="false">IF(SUM($AK159)=0,"",IF(AND($AK159&gt;0,$AJ159=""),"ENTER YIELD RATE",ROUND($AK159/$AJ159-$AK159,0)))</f>
        <v/>
      </c>
      <c r="AM159" s="88" t="n">
        <f aca="false">1</f>
        <v>1</v>
      </c>
      <c r="AN159" s="39" t="str">
        <f aca="false">IF(SUM($AK159)=0,"",ROUND($AK159*$AM159,0))</f>
        <v/>
      </c>
      <c r="AO159" s="10"/>
      <c r="AP159" s="39"/>
    </row>
  </sheetData>
  <conditionalFormatting sqref="AC1:AC1048576 AE1:AE1048576 AI1:AI1048576">
    <cfRule type="expression" priority="2" aboveAverage="0" equalAverage="0" bottom="0" percent="0" rank="0" text="" dxfId="18">
      <formula>AND(ISNUMBER(AC1),SUM(AC1)&lt;95%)</formula>
    </cfRule>
  </conditionalFormatting>
  <conditionalFormatting sqref="E1:G1048576">
    <cfRule type="expression" priority="3" aboveAverage="0" equalAverage="0" bottom="0" percent="0" rank="0" text="" dxfId="19">
      <formula>LEFT($B1,4)="_Mil"</formula>
    </cfRule>
  </conditionalFormatting>
  <conditionalFormatting sqref="AA1:AA1048576">
    <cfRule type="expression" priority="4" aboveAverage="0" equalAverage="0" bottom="0" percent="0" rank="0" text="" dxfId="20">
      <formula>AND(ISNUMBER($AA1),ROUND(SUM($X1),0)&gt;0,ROUND(SUM($AA1),2)&lt;70%)</formula>
    </cfRule>
  </conditionalFormatting>
  <conditionalFormatting sqref="V1:V1048576">
    <cfRule type="expression" priority="5" aboveAverage="0" equalAverage="0" bottom="0" percent="0" rank="0" text="" dxfId="21">
      <formula>AND(ISNUMBER($V1),SUM($V1)&lt;98%)</formula>
    </cfRule>
  </conditionalFormatting>
  <conditionalFormatting sqref="E1:AP1048576">
    <cfRule type="expression" priority="6" aboveAverage="0" equalAverage="0" bottom="0" percent="0" rank="0" text="" dxfId="22">
      <formula>AND(ISNUMBER(E1),E1&lt;0)</formula>
    </cfRule>
  </conditionalFormatting>
  <conditionalFormatting sqref="G1:G1048576 U1:V1048576 Y1:Y1048576 AA1:AA1048576 AC1:AC1048576 AE1:AE1048576 AI1:AJ1048576 AM1:AM1048576">
    <cfRule type="expression" priority="7" aboveAverage="0" equalAverage="0" bottom="0" percent="0" rank="0" text="" dxfId="23">
      <formula>AND(ISNUMBER(G1),G1&gt;1)</formula>
    </cfRule>
  </conditionalFormatting>
  <conditionalFormatting sqref="Y1:Y1048576 AM1:AM1048576">
    <cfRule type="expression" priority="8" aboveAverage="0" equalAverage="0" bottom="0" percent="0" rank="0" text="" dxfId="24">
      <formula>AND(ISNUMBER(Y1),SUM(Y1)&lt;100%)</formula>
    </cfRule>
  </conditionalFormatting>
  <conditionalFormatting sqref="U1:U1048576">
    <cfRule type="expression" priority="9" aboveAverage="0" equalAverage="0" bottom="0" percent="0" rank="0" text="" dxfId="25">
      <formula>AND(ISNUMBER($U1),SUM($U1)&lt;98%)</formula>
    </cfRule>
  </conditionalFormatting>
  <conditionalFormatting sqref="AI1:AI1048576">
    <cfRule type="expression" priority="10" aboveAverage="0" equalAverage="0" bottom="0" percent="0" rank="0" text="" dxfId="26">
      <formula>AND(ROW($AI1)&gt;14,$AK1="ENTER LINKAGE RATE")</formula>
    </cfRule>
  </conditionalFormatting>
  <conditionalFormatting sqref="AJ1:AJ1048576">
    <cfRule type="expression" priority="11" aboveAverage="0" equalAverage="0" bottom="0" percent="0" rank="0" text="" dxfId="27">
      <formula>AND(ROW($AJ1)&gt;14,$AL1="ENTER YIELD RATE")</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5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4" topLeftCell="CD15" activePane="bottomRight" state="frozen"/>
      <selection pane="topLeft" activeCell="A1" activeCellId="0" sqref="A1"/>
      <selection pane="topRight" activeCell="CD1" activeCellId="0" sqref="CD1"/>
      <selection pane="bottomLeft" activeCell="A15" activeCellId="0" sqref="A15"/>
      <selection pane="bottomRight" activeCell="CQ4" activeCellId="0" sqref="CQ4"/>
    </sheetView>
  </sheetViews>
  <sheetFormatPr defaultColWidth="10.5" defaultRowHeight="15" zeroHeight="false" outlineLevelRow="0" outlineLevelCol="0"/>
  <cols>
    <col collapsed="false" customWidth="true" hidden="false" outlineLevel="0" max="1" min="1" style="0" width="14.33"/>
    <col collapsed="false" customWidth="true" hidden="false" outlineLevel="0" max="2" min="2" style="0" width="8.5"/>
    <col collapsed="false" customWidth="true" hidden="false" outlineLevel="0" max="3" min="3" style="0" width="8.83"/>
    <col collapsed="false" customWidth="true" hidden="false" outlineLevel="0" max="4" min="4" style="0" width="38.34"/>
    <col collapsed="false" customWidth="true" hidden="false" outlineLevel="0" max="159" min="5" style="0" width="11.83"/>
    <col collapsed="false" customWidth="true" hidden="false" outlineLevel="0" max="160" min="160" style="0" width="10.83"/>
  </cols>
  <sheetData>
    <row r="1" customFormat="false" ht="30.75" hidden="false" customHeight="true" outlineLevel="0" collapsed="false">
      <c r="A1" s="15" t="s">
        <v>475</v>
      </c>
      <c r="B1" s="15"/>
      <c r="C1" s="15"/>
      <c r="D1" s="15"/>
      <c r="E1" s="42" t="s">
        <v>223</v>
      </c>
      <c r="F1" s="18"/>
      <c r="G1" s="43"/>
      <c r="H1" s="18"/>
      <c r="I1" s="18"/>
      <c r="J1" s="43"/>
      <c r="K1" s="43"/>
      <c r="L1" s="47"/>
      <c r="M1" s="18"/>
      <c r="N1" s="43"/>
      <c r="O1" s="47"/>
      <c r="P1" s="18"/>
      <c r="Q1" s="47"/>
      <c r="R1" s="43"/>
      <c r="S1" s="43"/>
      <c r="T1" s="47"/>
      <c r="U1" s="47"/>
      <c r="V1" s="47"/>
      <c r="W1" s="43"/>
      <c r="X1" s="47"/>
      <c r="Y1" s="43"/>
      <c r="Z1" s="47"/>
      <c r="AA1" s="43"/>
      <c r="AB1" s="47"/>
      <c r="AC1" s="43"/>
      <c r="AD1" s="47"/>
      <c r="AE1" s="43"/>
      <c r="AF1" s="47"/>
      <c r="AG1" s="43"/>
      <c r="AH1" s="48" t="s">
        <v>476</v>
      </c>
      <c r="AI1" s="45"/>
      <c r="AJ1" s="45"/>
      <c r="AK1" s="45"/>
      <c r="AL1" s="45"/>
      <c r="AM1" s="45"/>
      <c r="AN1" s="45"/>
      <c r="AO1" s="45"/>
      <c r="AP1" s="45"/>
      <c r="AQ1" s="47"/>
      <c r="AR1" s="47"/>
      <c r="AS1" s="47"/>
      <c r="AT1" s="47"/>
      <c r="AU1" s="47"/>
      <c r="AV1" s="47"/>
      <c r="AW1" s="47"/>
      <c r="AX1" s="47"/>
      <c r="AY1" s="47"/>
      <c r="AZ1" s="45"/>
      <c r="BA1" s="42" t="s">
        <v>477</v>
      </c>
      <c r="BB1" s="45"/>
      <c r="BC1" s="45"/>
      <c r="BD1" s="43"/>
      <c r="BE1" s="128"/>
      <c r="BF1" s="43"/>
      <c r="BG1" s="45"/>
      <c r="BH1" s="128"/>
      <c r="BI1" s="18"/>
      <c r="BJ1" s="18"/>
      <c r="BK1" s="18"/>
      <c r="BL1" s="43"/>
      <c r="BM1" s="43"/>
      <c r="BN1" s="43"/>
      <c r="BO1" s="18"/>
      <c r="BP1" s="18"/>
      <c r="BQ1" s="128"/>
      <c r="BR1" s="18"/>
      <c r="BS1" s="45"/>
      <c r="BT1" s="43"/>
      <c r="BU1" s="43"/>
      <c r="BV1" s="128"/>
      <c r="BW1" s="18"/>
      <c r="BX1" s="18"/>
      <c r="BY1" s="18"/>
      <c r="BZ1" s="43"/>
      <c r="CA1" s="43"/>
      <c r="CB1" s="43"/>
      <c r="CC1" s="18"/>
      <c r="CD1" s="45"/>
      <c r="CE1" s="128"/>
      <c r="CF1" s="18"/>
      <c r="CG1" s="45"/>
      <c r="CH1" s="43"/>
      <c r="CI1" s="43"/>
      <c r="CJ1" s="128"/>
      <c r="CK1" s="18"/>
      <c r="CL1" s="18"/>
      <c r="CM1" s="18"/>
      <c r="CN1" s="18"/>
      <c r="CO1" s="18"/>
      <c r="CP1" s="18"/>
      <c r="CQ1" s="18"/>
      <c r="CR1" s="45"/>
      <c r="CS1" s="42"/>
      <c r="CT1" s="18"/>
      <c r="CU1" s="43"/>
      <c r="CV1" s="43"/>
      <c r="CW1" s="45"/>
      <c r="CX1" s="45"/>
      <c r="CY1" s="128"/>
      <c r="CZ1" s="43"/>
      <c r="DA1" s="45"/>
      <c r="DB1" s="128"/>
      <c r="DC1" s="43"/>
      <c r="DD1" s="45"/>
      <c r="DE1" s="128"/>
      <c r="DF1" s="18"/>
      <c r="DG1" s="45"/>
      <c r="DH1" s="45"/>
      <c r="DI1" s="43"/>
      <c r="DJ1" s="45"/>
      <c r="DK1" s="129"/>
      <c r="DL1" s="45"/>
      <c r="DM1" s="45"/>
      <c r="DN1" s="45"/>
      <c r="DO1" s="45"/>
      <c r="DP1" s="45"/>
      <c r="DQ1" s="43"/>
      <c r="DR1" s="43"/>
      <c r="DS1" s="43"/>
      <c r="DT1" s="43"/>
      <c r="DU1" s="128"/>
      <c r="DV1" s="45"/>
      <c r="DW1" s="45"/>
      <c r="DX1" s="45"/>
      <c r="DY1" s="43"/>
      <c r="DZ1" s="43"/>
      <c r="EA1" s="129"/>
      <c r="EB1" s="43"/>
      <c r="EC1" s="43"/>
      <c r="ED1" s="128"/>
      <c r="EE1" s="18"/>
      <c r="EF1" s="18"/>
      <c r="EG1" s="18"/>
      <c r="EH1" s="43"/>
      <c r="EI1" s="43"/>
      <c r="EJ1" s="43"/>
      <c r="EK1" s="43"/>
      <c r="EL1" s="45"/>
      <c r="EM1" s="45"/>
      <c r="EN1" s="45"/>
      <c r="EO1" s="45"/>
      <c r="EP1" s="129"/>
      <c r="EQ1" s="43"/>
      <c r="ER1" s="128"/>
      <c r="ES1" s="18"/>
      <c r="ET1" s="43"/>
      <c r="EU1" s="43"/>
      <c r="EV1" s="45"/>
      <c r="EW1" s="45"/>
      <c r="EX1" s="128"/>
      <c r="EY1" s="43"/>
      <c r="EZ1" s="45"/>
      <c r="FA1" s="128"/>
      <c r="FB1" s="43"/>
      <c r="FC1" s="45"/>
    </row>
    <row r="2" customFormat="false" ht="18.75" hidden="false" customHeight="true" outlineLevel="0" collapsed="false">
      <c r="A2" s="130" t="s">
        <v>478</v>
      </c>
      <c r="B2" s="130"/>
      <c r="C2" s="130"/>
      <c r="D2" s="131"/>
      <c r="E2" s="132" t="s">
        <v>479</v>
      </c>
      <c r="F2" s="133"/>
      <c r="G2" s="133"/>
      <c r="H2" s="133"/>
      <c r="I2" s="133"/>
      <c r="J2" s="133"/>
      <c r="K2" s="133"/>
      <c r="L2" s="134"/>
      <c r="M2" s="132" t="s">
        <v>480</v>
      </c>
      <c r="N2" s="133"/>
      <c r="O2" s="134"/>
      <c r="P2" s="135"/>
      <c r="Q2" s="134"/>
      <c r="R2" s="132" t="s">
        <v>229</v>
      </c>
      <c r="S2" s="133"/>
      <c r="T2" s="134"/>
      <c r="U2" s="136" t="s">
        <v>230</v>
      </c>
      <c r="V2" s="134"/>
      <c r="W2" s="133"/>
      <c r="X2" s="134"/>
      <c r="Y2" s="133"/>
      <c r="Z2" s="136" t="s">
        <v>231</v>
      </c>
      <c r="AA2" s="133"/>
      <c r="AB2" s="134"/>
      <c r="AC2" s="133"/>
      <c r="AD2" s="136" t="s">
        <v>481</v>
      </c>
      <c r="AE2" s="133"/>
      <c r="AF2" s="136" t="s">
        <v>233</v>
      </c>
      <c r="AG2" s="133"/>
      <c r="AH2" s="136" t="s">
        <v>482</v>
      </c>
      <c r="AI2" s="134"/>
      <c r="AJ2" s="134"/>
      <c r="AK2" s="134"/>
      <c r="AL2" s="134"/>
      <c r="AM2" s="134"/>
      <c r="AN2" s="134"/>
      <c r="AO2" s="134"/>
      <c r="AP2" s="134"/>
      <c r="AQ2" s="136" t="s">
        <v>483</v>
      </c>
      <c r="AR2" s="134"/>
      <c r="AS2" s="134"/>
      <c r="AT2" s="134"/>
      <c r="AU2" s="134"/>
      <c r="AV2" s="134"/>
      <c r="AW2" s="134"/>
      <c r="AX2" s="134"/>
      <c r="AY2" s="134"/>
      <c r="AZ2" s="134"/>
      <c r="BA2" s="132" t="s">
        <v>375</v>
      </c>
      <c r="BB2" s="134"/>
      <c r="BC2" s="134"/>
      <c r="BD2" s="133"/>
      <c r="BE2" s="132" t="s">
        <v>376</v>
      </c>
      <c r="BF2" s="133"/>
      <c r="BG2" s="52"/>
      <c r="BH2" s="132" t="s">
        <v>484</v>
      </c>
      <c r="BI2" s="22"/>
      <c r="BJ2" s="22"/>
      <c r="BK2" s="22"/>
      <c r="BL2" s="133"/>
      <c r="BM2" s="133"/>
      <c r="BN2" s="133"/>
      <c r="BO2" s="22"/>
      <c r="BP2" s="22"/>
      <c r="BQ2" s="132" t="s">
        <v>485</v>
      </c>
      <c r="BR2" s="22"/>
      <c r="BS2" s="134"/>
      <c r="BT2" s="133"/>
      <c r="BU2" s="22"/>
      <c r="BV2" s="132" t="s">
        <v>486</v>
      </c>
      <c r="BW2" s="22"/>
      <c r="BX2" s="22"/>
      <c r="BY2" s="22"/>
      <c r="BZ2" s="22"/>
      <c r="CA2" s="22"/>
      <c r="CB2" s="22"/>
      <c r="CC2" s="22"/>
      <c r="CD2" s="52"/>
      <c r="CE2" s="132" t="s">
        <v>487</v>
      </c>
      <c r="CF2" s="22"/>
      <c r="CG2" s="134"/>
      <c r="CH2" s="133"/>
      <c r="CI2" s="133"/>
      <c r="CJ2" s="132" t="s">
        <v>488</v>
      </c>
      <c r="CK2" s="22"/>
      <c r="CL2" s="22"/>
      <c r="CM2" s="22"/>
      <c r="CN2" s="22"/>
      <c r="CO2" s="22"/>
      <c r="CP2" s="22"/>
      <c r="CQ2" s="22"/>
      <c r="CR2" s="52"/>
      <c r="CS2" s="132" t="s">
        <v>489</v>
      </c>
      <c r="CT2" s="133"/>
      <c r="CU2" s="133"/>
      <c r="CV2" s="133"/>
      <c r="CW2" s="52"/>
      <c r="CX2" s="52"/>
      <c r="CY2" s="132" t="s">
        <v>490</v>
      </c>
      <c r="CZ2" s="133"/>
      <c r="DA2" s="52"/>
      <c r="DB2" s="132" t="s">
        <v>373</v>
      </c>
      <c r="DC2" s="133"/>
      <c r="DD2" s="52"/>
      <c r="DE2" s="132" t="s">
        <v>491</v>
      </c>
      <c r="DF2" s="133"/>
      <c r="DG2" s="134"/>
      <c r="DH2" s="134"/>
      <c r="DI2" s="133"/>
      <c r="DJ2" s="52"/>
      <c r="DK2" s="132" t="s">
        <v>492</v>
      </c>
      <c r="DL2" s="133"/>
      <c r="DM2" s="133"/>
      <c r="DN2" s="134"/>
      <c r="DO2" s="134"/>
      <c r="DP2" s="134"/>
      <c r="DQ2" s="133"/>
      <c r="DR2" s="133"/>
      <c r="DS2" s="133"/>
      <c r="DT2" s="133"/>
      <c r="DU2" s="132" t="s">
        <v>493</v>
      </c>
      <c r="DV2" s="134"/>
      <c r="DW2" s="134"/>
      <c r="DX2" s="134"/>
      <c r="DY2" s="133"/>
      <c r="DZ2" s="133"/>
      <c r="EA2" s="136" t="s">
        <v>494</v>
      </c>
      <c r="EB2" s="133"/>
      <c r="EC2" s="133"/>
      <c r="ED2" s="132" t="s">
        <v>495</v>
      </c>
      <c r="EE2" s="133"/>
      <c r="EF2" s="133"/>
      <c r="EG2" s="133"/>
      <c r="EH2" s="133"/>
      <c r="EI2" s="133"/>
      <c r="EJ2" s="133"/>
      <c r="EK2" s="133"/>
      <c r="EL2" s="52"/>
      <c r="EM2" s="52"/>
      <c r="EN2" s="52"/>
      <c r="EO2" s="52"/>
      <c r="EP2" s="136" t="s">
        <v>496</v>
      </c>
      <c r="EQ2" s="133"/>
      <c r="ER2" s="132" t="s">
        <v>497</v>
      </c>
      <c r="ES2" s="133"/>
      <c r="ET2" s="133"/>
      <c r="EU2" s="133"/>
      <c r="EV2" s="52"/>
      <c r="EW2" s="52"/>
      <c r="EX2" s="132" t="s">
        <v>498</v>
      </c>
      <c r="EY2" s="133"/>
      <c r="EZ2" s="52"/>
      <c r="FA2" s="132" t="s">
        <v>499</v>
      </c>
      <c r="FB2" s="133"/>
      <c r="FC2" s="52"/>
    </row>
    <row r="3" customFormat="false" ht="133.5" hidden="false" customHeight="true" outlineLevel="0" collapsed="false">
      <c r="A3" s="130"/>
      <c r="B3" s="130"/>
      <c r="C3" s="130"/>
      <c r="D3" s="131"/>
      <c r="E3" s="137" t="s">
        <v>500</v>
      </c>
      <c r="F3" s="138" t="s">
        <v>277</v>
      </c>
      <c r="G3" s="138" t="s">
        <v>224</v>
      </c>
      <c r="H3" s="138" t="s">
        <v>281</v>
      </c>
      <c r="I3" s="138" t="s">
        <v>284</v>
      </c>
      <c r="J3" s="138" t="s">
        <v>501</v>
      </c>
      <c r="K3" s="138" t="s">
        <v>502</v>
      </c>
      <c r="L3" s="139" t="s">
        <v>503</v>
      </c>
      <c r="M3" s="63" t="s">
        <v>504</v>
      </c>
      <c r="N3" s="25" t="s">
        <v>505</v>
      </c>
      <c r="O3" s="65" t="s">
        <v>506</v>
      </c>
      <c r="P3" s="26" t="s">
        <v>507</v>
      </c>
      <c r="Q3" s="65" t="s">
        <v>508</v>
      </c>
      <c r="R3" s="118" t="s">
        <v>509</v>
      </c>
      <c r="S3" s="25" t="s">
        <v>510</v>
      </c>
      <c r="T3" s="71" t="s">
        <v>511</v>
      </c>
      <c r="U3" s="68" t="s">
        <v>512</v>
      </c>
      <c r="V3" s="65" t="s">
        <v>513</v>
      </c>
      <c r="W3" s="26" t="s">
        <v>514</v>
      </c>
      <c r="X3" s="65" t="s">
        <v>515</v>
      </c>
      <c r="Y3" s="72" t="s">
        <v>516</v>
      </c>
      <c r="Z3" s="68" t="s">
        <v>517</v>
      </c>
      <c r="AA3" s="26" t="s">
        <v>518</v>
      </c>
      <c r="AB3" s="65" t="s">
        <v>519</v>
      </c>
      <c r="AC3" s="72" t="s">
        <v>520</v>
      </c>
      <c r="AD3" s="68" t="s">
        <v>521</v>
      </c>
      <c r="AE3" s="72" t="s">
        <v>522</v>
      </c>
      <c r="AF3" s="68" t="s">
        <v>523</v>
      </c>
      <c r="AG3" s="72" t="s">
        <v>524</v>
      </c>
      <c r="AH3" s="140" t="s">
        <v>525</v>
      </c>
      <c r="AI3" s="71" t="s">
        <v>526</v>
      </c>
      <c r="AJ3" s="71" t="s">
        <v>527</v>
      </c>
      <c r="AK3" s="71" t="s">
        <v>528</v>
      </c>
      <c r="AL3" s="71" t="s">
        <v>529</v>
      </c>
      <c r="AM3" s="71" t="s">
        <v>530</v>
      </c>
      <c r="AN3" s="71" t="s">
        <v>531</v>
      </c>
      <c r="AO3" s="71" t="s">
        <v>532</v>
      </c>
      <c r="AP3" s="71" t="s">
        <v>533</v>
      </c>
      <c r="AQ3" s="141" t="s">
        <v>525</v>
      </c>
      <c r="AR3" s="142" t="s">
        <v>526</v>
      </c>
      <c r="AS3" s="142" t="s">
        <v>527</v>
      </c>
      <c r="AT3" s="142" t="s">
        <v>528</v>
      </c>
      <c r="AU3" s="142" t="s">
        <v>529</v>
      </c>
      <c r="AV3" s="142" t="s">
        <v>530</v>
      </c>
      <c r="AW3" s="142" t="s">
        <v>531</v>
      </c>
      <c r="AX3" s="142" t="s">
        <v>532</v>
      </c>
      <c r="AY3" s="142" t="s">
        <v>533</v>
      </c>
      <c r="AZ3" s="71" t="s">
        <v>534</v>
      </c>
      <c r="BA3" s="61" t="s">
        <v>535</v>
      </c>
      <c r="BB3" s="71" t="s">
        <v>536</v>
      </c>
      <c r="BC3" s="65" t="s">
        <v>537</v>
      </c>
      <c r="BD3" s="72" t="s">
        <v>538</v>
      </c>
      <c r="BE3" s="61" t="s">
        <v>539</v>
      </c>
      <c r="BF3" s="25" t="s">
        <v>540</v>
      </c>
      <c r="BG3" s="71" t="s">
        <v>541</v>
      </c>
      <c r="BH3" s="61" t="s">
        <v>542</v>
      </c>
      <c r="BI3" s="26" t="s">
        <v>543</v>
      </c>
      <c r="BJ3" s="26" t="s">
        <v>544</v>
      </c>
      <c r="BK3" s="26" t="s">
        <v>545</v>
      </c>
      <c r="BL3" s="25" t="s">
        <v>546</v>
      </c>
      <c r="BM3" s="72" t="s">
        <v>547</v>
      </c>
      <c r="BN3" s="25" t="s">
        <v>548</v>
      </c>
      <c r="BO3" s="26" t="s">
        <v>549</v>
      </c>
      <c r="BP3" s="26" t="s">
        <v>550</v>
      </c>
      <c r="BQ3" s="61" t="s">
        <v>551</v>
      </c>
      <c r="BR3" s="26" t="s">
        <v>552</v>
      </c>
      <c r="BS3" s="71" t="s">
        <v>523</v>
      </c>
      <c r="BT3" s="25" t="s">
        <v>553</v>
      </c>
      <c r="BU3" s="25" t="s">
        <v>554</v>
      </c>
      <c r="BV3" s="61" t="s">
        <v>555</v>
      </c>
      <c r="BW3" s="26" t="s">
        <v>556</v>
      </c>
      <c r="BX3" s="26" t="s">
        <v>557</v>
      </c>
      <c r="BY3" s="26" t="s">
        <v>558</v>
      </c>
      <c r="BZ3" s="72" t="s">
        <v>559</v>
      </c>
      <c r="CA3" s="25" t="s">
        <v>560</v>
      </c>
      <c r="CB3" s="72" t="s">
        <v>561</v>
      </c>
      <c r="CC3" s="26" t="s">
        <v>562</v>
      </c>
      <c r="CD3" s="71" t="s">
        <v>563</v>
      </c>
      <c r="CE3" s="61" t="s">
        <v>551</v>
      </c>
      <c r="CF3" s="26" t="s">
        <v>552</v>
      </c>
      <c r="CG3" s="71" t="s">
        <v>523</v>
      </c>
      <c r="CH3" s="25" t="s">
        <v>553</v>
      </c>
      <c r="CI3" s="25" t="s">
        <v>554</v>
      </c>
      <c r="CJ3" s="61" t="s">
        <v>564</v>
      </c>
      <c r="CK3" s="26" t="s">
        <v>565</v>
      </c>
      <c r="CL3" s="26" t="s">
        <v>566</v>
      </c>
      <c r="CM3" s="26" t="s">
        <v>567</v>
      </c>
      <c r="CN3" s="26" t="s">
        <v>568</v>
      </c>
      <c r="CO3" s="62" t="s">
        <v>569</v>
      </c>
      <c r="CP3" s="26" t="s">
        <v>570</v>
      </c>
      <c r="CQ3" s="26" t="s">
        <v>571</v>
      </c>
      <c r="CR3" s="71" t="s">
        <v>572</v>
      </c>
      <c r="CS3" s="61" t="s">
        <v>573</v>
      </c>
      <c r="CT3" s="26" t="s">
        <v>574</v>
      </c>
      <c r="CU3" s="25" t="s">
        <v>575</v>
      </c>
      <c r="CV3" s="25" t="s">
        <v>576</v>
      </c>
      <c r="CW3" s="71" t="s">
        <v>577</v>
      </c>
      <c r="CX3" s="71" t="s">
        <v>578</v>
      </c>
      <c r="CY3" s="61" t="s">
        <v>579</v>
      </c>
      <c r="CZ3" s="25" t="s">
        <v>580</v>
      </c>
      <c r="DA3" s="71" t="s">
        <v>581</v>
      </c>
      <c r="DB3" s="61" t="s">
        <v>385</v>
      </c>
      <c r="DC3" s="25" t="s">
        <v>582</v>
      </c>
      <c r="DD3" s="71" t="s">
        <v>583</v>
      </c>
      <c r="DE3" s="61" t="s">
        <v>584</v>
      </c>
      <c r="DF3" s="26" t="s">
        <v>585</v>
      </c>
      <c r="DG3" s="65" t="s">
        <v>586</v>
      </c>
      <c r="DH3" s="65" t="s">
        <v>587</v>
      </c>
      <c r="DI3" s="72" t="s">
        <v>588</v>
      </c>
      <c r="DJ3" s="71" t="s">
        <v>589</v>
      </c>
      <c r="DK3" s="140" t="s">
        <v>590</v>
      </c>
      <c r="DL3" s="71" t="s">
        <v>591</v>
      </c>
      <c r="DM3" s="65" t="s">
        <v>592</v>
      </c>
      <c r="DN3" s="65" t="s">
        <v>593</v>
      </c>
      <c r="DO3" s="65" t="s">
        <v>594</v>
      </c>
      <c r="DP3" s="65" t="s">
        <v>595</v>
      </c>
      <c r="DQ3" s="72" t="s">
        <v>596</v>
      </c>
      <c r="DR3" s="72" t="s">
        <v>597</v>
      </c>
      <c r="DS3" s="72" t="s">
        <v>598</v>
      </c>
      <c r="DT3" s="72" t="s">
        <v>599</v>
      </c>
      <c r="DU3" s="63" t="s">
        <v>600</v>
      </c>
      <c r="DV3" s="65" t="s">
        <v>601</v>
      </c>
      <c r="DW3" s="65" t="s">
        <v>602</v>
      </c>
      <c r="DX3" s="65" t="s">
        <v>603</v>
      </c>
      <c r="DY3" s="72" t="s">
        <v>604</v>
      </c>
      <c r="DZ3" s="72" t="s">
        <v>605</v>
      </c>
      <c r="EA3" s="68" t="s">
        <v>606</v>
      </c>
      <c r="EB3" s="72" t="s">
        <v>607</v>
      </c>
      <c r="EC3" s="72" t="s">
        <v>608</v>
      </c>
      <c r="ED3" s="61" t="s">
        <v>609</v>
      </c>
      <c r="EE3" s="26" t="s">
        <v>610</v>
      </c>
      <c r="EF3" s="26" t="s">
        <v>611</v>
      </c>
      <c r="EG3" s="26" t="s">
        <v>612</v>
      </c>
      <c r="EH3" s="25" t="s">
        <v>613</v>
      </c>
      <c r="EI3" s="25" t="s">
        <v>614</v>
      </c>
      <c r="EJ3" s="25" t="s">
        <v>615</v>
      </c>
      <c r="EK3" s="25" t="s">
        <v>616</v>
      </c>
      <c r="EL3" s="71" t="s">
        <v>617</v>
      </c>
      <c r="EM3" s="71" t="s">
        <v>618</v>
      </c>
      <c r="EN3" s="71" t="s">
        <v>619</v>
      </c>
      <c r="EO3" s="71" t="s">
        <v>620</v>
      </c>
      <c r="EP3" s="68" t="s">
        <v>621</v>
      </c>
      <c r="EQ3" s="72" t="s">
        <v>622</v>
      </c>
      <c r="ER3" s="61" t="s">
        <v>623</v>
      </c>
      <c r="ES3" s="26" t="s">
        <v>624</v>
      </c>
      <c r="ET3" s="25" t="s">
        <v>625</v>
      </c>
      <c r="EU3" s="25" t="s">
        <v>626</v>
      </c>
      <c r="EV3" s="71" t="s">
        <v>627</v>
      </c>
      <c r="EW3" s="71" t="s">
        <v>628</v>
      </c>
      <c r="EX3" s="61" t="s">
        <v>629</v>
      </c>
      <c r="EY3" s="25" t="s">
        <v>630</v>
      </c>
      <c r="EZ3" s="71" t="s">
        <v>631</v>
      </c>
      <c r="FA3" s="61" t="s">
        <v>632</v>
      </c>
      <c r="FB3" s="25" t="s">
        <v>633</v>
      </c>
      <c r="FC3" s="71" t="s">
        <v>634</v>
      </c>
    </row>
    <row r="4" customFormat="false" ht="15" hidden="false" customHeight="false" outlineLevel="0" collapsed="false">
      <c r="B4" s="27"/>
      <c r="D4" s="27" t="s">
        <v>288</v>
      </c>
    </row>
    <row r="5" customFormat="false" ht="15" hidden="false" customHeight="false" outlineLevel="0" collapsed="false">
      <c r="A5" s="9" t="s">
        <v>181</v>
      </c>
      <c r="B5" s="9" t="s">
        <v>181</v>
      </c>
      <c r="C5" s="9" t="s">
        <v>181</v>
      </c>
      <c r="D5" s="9" t="s">
        <v>181</v>
      </c>
      <c r="E5" s="85" t="s">
        <v>181</v>
      </c>
      <c r="F5" s="10" t="s">
        <v>181</v>
      </c>
      <c r="G5" s="10" t="s">
        <v>181</v>
      </c>
      <c r="H5" s="10" t="s">
        <v>181</v>
      </c>
      <c r="I5" s="10" t="s">
        <v>181</v>
      </c>
      <c r="J5" s="10" t="s">
        <v>181</v>
      </c>
      <c r="K5" s="10" t="s">
        <v>181</v>
      </c>
      <c r="L5" s="88" t="s">
        <v>181</v>
      </c>
      <c r="M5" s="85" t="s">
        <v>181</v>
      </c>
      <c r="N5" s="5" t="s">
        <v>182</v>
      </c>
      <c r="O5" s="88" t="s">
        <v>181</v>
      </c>
      <c r="P5" s="10" t="s">
        <v>181</v>
      </c>
      <c r="Q5" s="88" t="s">
        <v>181</v>
      </c>
      <c r="R5" s="81" t="s">
        <v>289</v>
      </c>
      <c r="S5" s="5" t="s">
        <v>290</v>
      </c>
      <c r="T5" s="88" t="s">
        <v>181</v>
      </c>
      <c r="U5" s="92" t="s">
        <v>181</v>
      </c>
      <c r="V5" s="88" t="s">
        <v>181</v>
      </c>
      <c r="W5" s="10" t="s">
        <v>181</v>
      </c>
      <c r="X5" s="88" t="s">
        <v>181</v>
      </c>
      <c r="Y5" s="5" t="s">
        <v>289</v>
      </c>
      <c r="Z5" s="92" t="s">
        <v>181</v>
      </c>
      <c r="AA5" s="10" t="s">
        <v>181</v>
      </c>
      <c r="AB5" s="88" t="s">
        <v>181</v>
      </c>
      <c r="AC5" s="5" t="s">
        <v>289</v>
      </c>
      <c r="AD5" s="92" t="s">
        <v>181</v>
      </c>
      <c r="AE5" s="5" t="s">
        <v>289</v>
      </c>
      <c r="AF5" s="92" t="s">
        <v>181</v>
      </c>
      <c r="AG5" s="5" t="s">
        <v>289</v>
      </c>
      <c r="AH5" s="92" t="s">
        <v>181</v>
      </c>
      <c r="AI5" s="88" t="s">
        <v>181</v>
      </c>
      <c r="AJ5" s="88" t="s">
        <v>181</v>
      </c>
      <c r="AK5" s="88" t="s">
        <v>181</v>
      </c>
      <c r="AL5" s="88" t="s">
        <v>181</v>
      </c>
      <c r="AM5" s="88" t="s">
        <v>181</v>
      </c>
      <c r="AN5" s="88" t="s">
        <v>181</v>
      </c>
      <c r="AO5" s="88" t="s">
        <v>181</v>
      </c>
      <c r="AP5" s="88" t="s">
        <v>181</v>
      </c>
      <c r="AQ5" s="143" t="s">
        <v>289</v>
      </c>
      <c r="AR5" s="144" t="s">
        <v>289</v>
      </c>
      <c r="AS5" s="144" t="s">
        <v>289</v>
      </c>
      <c r="AT5" s="144" t="s">
        <v>289</v>
      </c>
      <c r="AU5" s="144" t="s">
        <v>289</v>
      </c>
      <c r="AV5" s="144" t="s">
        <v>289</v>
      </c>
      <c r="AW5" s="144" t="s">
        <v>289</v>
      </c>
      <c r="AX5" s="144" t="s">
        <v>289</v>
      </c>
      <c r="AY5" s="144" t="s">
        <v>289</v>
      </c>
      <c r="AZ5" s="88" t="s">
        <v>181</v>
      </c>
      <c r="BA5" s="85" t="s">
        <v>181</v>
      </c>
      <c r="BB5" s="88" t="s">
        <v>181</v>
      </c>
      <c r="BC5" s="88" t="s">
        <v>181</v>
      </c>
      <c r="BD5" s="5" t="s">
        <v>289</v>
      </c>
      <c r="BE5" s="85" t="s">
        <v>181</v>
      </c>
      <c r="BF5" s="5" t="s">
        <v>289</v>
      </c>
      <c r="BG5" s="88" t="s">
        <v>181</v>
      </c>
      <c r="BS5" s="87" t="s">
        <v>181</v>
      </c>
      <c r="BT5" s="5" t="s">
        <v>289</v>
      </c>
      <c r="BU5" s="5" t="s">
        <v>289</v>
      </c>
      <c r="CG5" s="88" t="s">
        <v>181</v>
      </c>
      <c r="CH5" s="5" t="s">
        <v>289</v>
      </c>
      <c r="CI5" s="5" t="s">
        <v>289</v>
      </c>
      <c r="CS5" s="85" t="s">
        <v>181</v>
      </c>
      <c r="CT5" s="10" t="s">
        <v>181</v>
      </c>
      <c r="CU5" s="5" t="s">
        <v>289</v>
      </c>
      <c r="CV5" s="5" t="s">
        <v>289</v>
      </c>
      <c r="CW5" s="88" t="s">
        <v>181</v>
      </c>
      <c r="CX5" s="88" t="s">
        <v>181</v>
      </c>
      <c r="CY5" s="85" t="s">
        <v>181</v>
      </c>
      <c r="CZ5" s="5" t="s">
        <v>289</v>
      </c>
      <c r="DA5" s="88" t="s">
        <v>181</v>
      </c>
      <c r="DB5" s="85" t="s">
        <v>181</v>
      </c>
      <c r="DC5" s="5" t="s">
        <v>289</v>
      </c>
      <c r="DD5" s="88" t="s">
        <v>181</v>
      </c>
      <c r="DE5" s="85" t="s">
        <v>181</v>
      </c>
      <c r="DF5" s="10" t="s">
        <v>181</v>
      </c>
      <c r="DG5" s="88" t="s">
        <v>181</v>
      </c>
      <c r="DH5" s="88" t="s">
        <v>181</v>
      </c>
      <c r="DI5" s="5" t="s">
        <v>289</v>
      </c>
      <c r="DJ5" s="88" t="s">
        <v>181</v>
      </c>
      <c r="DK5" s="92" t="s">
        <v>181</v>
      </c>
      <c r="DL5" s="88" t="s">
        <v>181</v>
      </c>
      <c r="DM5" s="88" t="s">
        <v>181</v>
      </c>
      <c r="DN5" s="88" t="s">
        <v>181</v>
      </c>
      <c r="DO5" s="88" t="s">
        <v>181</v>
      </c>
      <c r="DP5" s="88" t="s">
        <v>181</v>
      </c>
      <c r="DQ5" s="5" t="s">
        <v>289</v>
      </c>
      <c r="DR5" s="5" t="s">
        <v>289</v>
      </c>
      <c r="DS5" s="5" t="s">
        <v>289</v>
      </c>
      <c r="DT5" s="5" t="s">
        <v>289</v>
      </c>
      <c r="DU5" s="85" t="s">
        <v>181</v>
      </c>
      <c r="DV5" s="88" t="s">
        <v>181</v>
      </c>
      <c r="DW5" s="88" t="s">
        <v>181</v>
      </c>
      <c r="DX5" s="88" t="s">
        <v>181</v>
      </c>
      <c r="DY5" s="5" t="s">
        <v>289</v>
      </c>
      <c r="DZ5" s="5" t="s">
        <v>289</v>
      </c>
      <c r="EA5" s="92" t="s">
        <v>181</v>
      </c>
      <c r="EB5" s="5" t="s">
        <v>289</v>
      </c>
      <c r="EC5" s="5" t="s">
        <v>289</v>
      </c>
      <c r="ED5" s="85" t="s">
        <v>181</v>
      </c>
      <c r="EE5" s="10" t="s">
        <v>181</v>
      </c>
      <c r="EF5" s="10" t="s">
        <v>181</v>
      </c>
      <c r="EG5" s="10" t="s">
        <v>181</v>
      </c>
      <c r="EH5" s="5" t="s">
        <v>289</v>
      </c>
      <c r="EI5" s="5" t="s">
        <v>289</v>
      </c>
      <c r="EJ5" s="5" t="s">
        <v>289</v>
      </c>
      <c r="EK5" s="5" t="s">
        <v>289</v>
      </c>
      <c r="EL5" s="88" t="s">
        <v>181</v>
      </c>
      <c r="EM5" s="88" t="s">
        <v>181</v>
      </c>
      <c r="EN5" s="88" t="s">
        <v>181</v>
      </c>
      <c r="EO5" s="88" t="s">
        <v>181</v>
      </c>
      <c r="EP5" s="92" t="s">
        <v>181</v>
      </c>
      <c r="EQ5" s="5" t="s">
        <v>289</v>
      </c>
      <c r="ER5" s="85" t="s">
        <v>181</v>
      </c>
      <c r="ES5" s="10" t="s">
        <v>181</v>
      </c>
      <c r="ET5" s="5" t="s">
        <v>289</v>
      </c>
      <c r="EU5" s="5" t="s">
        <v>289</v>
      </c>
      <c r="EV5" s="88" t="s">
        <v>181</v>
      </c>
      <c r="EW5" s="88" t="s">
        <v>181</v>
      </c>
      <c r="EX5" s="85" t="s">
        <v>181</v>
      </c>
      <c r="EY5" s="5" t="s">
        <v>289</v>
      </c>
      <c r="EZ5" s="88" t="s">
        <v>181</v>
      </c>
      <c r="FA5" s="85" t="s">
        <v>181</v>
      </c>
      <c r="FB5" s="5" t="s">
        <v>289</v>
      </c>
      <c r="FC5" s="87" t="s">
        <v>181</v>
      </c>
    </row>
    <row r="6" customFormat="false" ht="15" hidden="false" customHeight="false" outlineLevel="0" collapsed="false">
      <c r="A6" s="9" t="s">
        <v>183</v>
      </c>
      <c r="B6" s="9" t="s">
        <v>183</v>
      </c>
      <c r="C6" s="9" t="s">
        <v>183</v>
      </c>
      <c r="D6" s="9" t="s">
        <v>183</v>
      </c>
      <c r="E6" s="85" t="s">
        <v>186</v>
      </c>
      <c r="F6" s="10" t="s">
        <v>186</v>
      </c>
      <c r="G6" s="10" t="s">
        <v>186</v>
      </c>
      <c r="H6" s="10" t="s">
        <v>186</v>
      </c>
      <c r="I6" s="10" t="s">
        <v>186</v>
      </c>
      <c r="J6" s="10" t="s">
        <v>186</v>
      </c>
      <c r="K6" s="10" t="s">
        <v>186</v>
      </c>
      <c r="L6" s="88" t="s">
        <v>186</v>
      </c>
      <c r="M6" s="85" t="s">
        <v>291</v>
      </c>
      <c r="N6" s="5" t="s">
        <v>185</v>
      </c>
      <c r="O6" s="88" t="s">
        <v>291</v>
      </c>
      <c r="P6" s="10" t="s">
        <v>186</v>
      </c>
      <c r="Q6" s="88" t="s">
        <v>291</v>
      </c>
      <c r="R6" s="81" t="s">
        <v>185</v>
      </c>
      <c r="S6" s="5" t="s">
        <v>185</v>
      </c>
      <c r="T6" s="88" t="s">
        <v>186</v>
      </c>
      <c r="U6" s="92" t="s">
        <v>291</v>
      </c>
      <c r="V6" s="88" t="s">
        <v>291</v>
      </c>
      <c r="W6" s="10" t="s">
        <v>186</v>
      </c>
      <c r="X6" s="88" t="s">
        <v>291</v>
      </c>
      <c r="Y6" s="5" t="s">
        <v>185</v>
      </c>
      <c r="Z6" s="92" t="s">
        <v>291</v>
      </c>
      <c r="AA6" s="10" t="s">
        <v>291</v>
      </c>
      <c r="AB6" s="88" t="s">
        <v>291</v>
      </c>
      <c r="AC6" s="5" t="s">
        <v>185</v>
      </c>
      <c r="AD6" s="92" t="s">
        <v>291</v>
      </c>
      <c r="AE6" s="5" t="s">
        <v>185</v>
      </c>
      <c r="AF6" s="92" t="s">
        <v>291</v>
      </c>
      <c r="AG6" s="5" t="s">
        <v>185</v>
      </c>
      <c r="AH6" s="92" t="s">
        <v>186</v>
      </c>
      <c r="AI6" s="88" t="s">
        <v>186</v>
      </c>
      <c r="AJ6" s="88" t="s">
        <v>186</v>
      </c>
      <c r="AK6" s="88" t="s">
        <v>186</v>
      </c>
      <c r="AL6" s="88" t="s">
        <v>186</v>
      </c>
      <c r="AM6" s="88" t="s">
        <v>186</v>
      </c>
      <c r="AN6" s="88" t="s">
        <v>186</v>
      </c>
      <c r="AO6" s="88" t="s">
        <v>186</v>
      </c>
      <c r="AP6" s="88" t="s">
        <v>186</v>
      </c>
      <c r="AQ6" s="143" t="s">
        <v>185</v>
      </c>
      <c r="AR6" s="144" t="s">
        <v>185</v>
      </c>
      <c r="AS6" s="144" t="s">
        <v>185</v>
      </c>
      <c r="AT6" s="144" t="s">
        <v>185</v>
      </c>
      <c r="AU6" s="144" t="s">
        <v>185</v>
      </c>
      <c r="AV6" s="144" t="s">
        <v>185</v>
      </c>
      <c r="AW6" s="144" t="s">
        <v>185</v>
      </c>
      <c r="AX6" s="144" t="s">
        <v>185</v>
      </c>
      <c r="AY6" s="144" t="s">
        <v>185</v>
      </c>
      <c r="AZ6" s="88" t="s">
        <v>186</v>
      </c>
      <c r="BA6" s="85" t="s">
        <v>186</v>
      </c>
      <c r="BB6" s="88" t="s">
        <v>186</v>
      </c>
      <c r="BC6" s="88" t="s">
        <v>291</v>
      </c>
      <c r="BD6" s="5" t="s">
        <v>185</v>
      </c>
      <c r="BE6" s="85" t="s">
        <v>186</v>
      </c>
      <c r="BF6" s="5" t="s">
        <v>185</v>
      </c>
      <c r="BG6" s="88" t="s">
        <v>186</v>
      </c>
      <c r="BS6" s="87" t="s">
        <v>186</v>
      </c>
      <c r="BT6" s="5" t="s">
        <v>185</v>
      </c>
      <c r="BU6" s="5" t="s">
        <v>185</v>
      </c>
      <c r="CG6" s="88" t="s">
        <v>186</v>
      </c>
      <c r="CH6" s="5" t="s">
        <v>185</v>
      </c>
      <c r="CI6" s="5" t="s">
        <v>185</v>
      </c>
      <c r="CS6" s="85" t="s">
        <v>186</v>
      </c>
      <c r="CT6" s="10" t="s">
        <v>186</v>
      </c>
      <c r="CU6" s="5" t="s">
        <v>185</v>
      </c>
      <c r="CV6" s="5" t="s">
        <v>185</v>
      </c>
      <c r="CW6" s="88" t="s">
        <v>186</v>
      </c>
      <c r="CX6" s="88" t="s">
        <v>186</v>
      </c>
      <c r="CY6" s="85" t="s">
        <v>186</v>
      </c>
      <c r="CZ6" s="5" t="s">
        <v>185</v>
      </c>
      <c r="DA6" s="88" t="s">
        <v>186</v>
      </c>
      <c r="DB6" s="85" t="s">
        <v>186</v>
      </c>
      <c r="DC6" s="5" t="s">
        <v>185</v>
      </c>
      <c r="DD6" s="88" t="s">
        <v>186</v>
      </c>
      <c r="DE6" s="85" t="s">
        <v>186</v>
      </c>
      <c r="DF6" s="10" t="s">
        <v>186</v>
      </c>
      <c r="DG6" s="88" t="s">
        <v>291</v>
      </c>
      <c r="DH6" s="88" t="s">
        <v>291</v>
      </c>
      <c r="DI6" s="5" t="s">
        <v>185</v>
      </c>
      <c r="DJ6" s="88" t="s">
        <v>186</v>
      </c>
      <c r="DK6" s="92" t="s">
        <v>186</v>
      </c>
      <c r="DL6" s="88" t="s">
        <v>186</v>
      </c>
      <c r="DM6" s="88" t="s">
        <v>291</v>
      </c>
      <c r="DN6" s="88" t="s">
        <v>291</v>
      </c>
      <c r="DO6" s="88" t="s">
        <v>291</v>
      </c>
      <c r="DP6" s="88" t="s">
        <v>291</v>
      </c>
      <c r="DQ6" s="5" t="s">
        <v>185</v>
      </c>
      <c r="DR6" s="5" t="s">
        <v>185</v>
      </c>
      <c r="DS6" s="5" t="s">
        <v>185</v>
      </c>
      <c r="DT6" s="5" t="s">
        <v>185</v>
      </c>
      <c r="DU6" s="85" t="s">
        <v>186</v>
      </c>
      <c r="DV6" s="88" t="s">
        <v>186</v>
      </c>
      <c r="DW6" s="88" t="s">
        <v>186</v>
      </c>
      <c r="DX6" s="88" t="s">
        <v>186</v>
      </c>
      <c r="DY6" s="5" t="s">
        <v>185</v>
      </c>
      <c r="DZ6" s="5" t="s">
        <v>185</v>
      </c>
      <c r="EA6" s="92" t="s">
        <v>186</v>
      </c>
      <c r="EB6" s="5" t="s">
        <v>185</v>
      </c>
      <c r="EC6" s="5" t="s">
        <v>185</v>
      </c>
      <c r="ED6" s="85" t="s">
        <v>186</v>
      </c>
      <c r="EE6" s="10" t="s">
        <v>186</v>
      </c>
      <c r="EF6" s="10" t="s">
        <v>186</v>
      </c>
      <c r="EG6" s="10" t="s">
        <v>186</v>
      </c>
      <c r="EH6" s="5" t="s">
        <v>185</v>
      </c>
      <c r="EI6" s="5" t="s">
        <v>185</v>
      </c>
      <c r="EJ6" s="5" t="s">
        <v>185</v>
      </c>
      <c r="EK6" s="5" t="s">
        <v>185</v>
      </c>
      <c r="EL6" s="88" t="s">
        <v>186</v>
      </c>
      <c r="EM6" s="88" t="s">
        <v>186</v>
      </c>
      <c r="EN6" s="88" t="s">
        <v>186</v>
      </c>
      <c r="EO6" s="88" t="s">
        <v>186</v>
      </c>
      <c r="EP6" s="92" t="s">
        <v>291</v>
      </c>
      <c r="EQ6" s="5" t="s">
        <v>185</v>
      </c>
      <c r="ER6" s="85" t="s">
        <v>186</v>
      </c>
      <c r="ES6" s="10" t="s">
        <v>186</v>
      </c>
      <c r="ET6" s="5" t="s">
        <v>185</v>
      </c>
      <c r="EU6" s="5" t="s">
        <v>185</v>
      </c>
      <c r="EV6" s="88" t="s">
        <v>186</v>
      </c>
      <c r="EW6" s="88" t="s">
        <v>186</v>
      </c>
      <c r="EX6" s="85" t="s">
        <v>186</v>
      </c>
      <c r="EY6" s="5" t="s">
        <v>185</v>
      </c>
      <c r="EZ6" s="88" t="s">
        <v>186</v>
      </c>
      <c r="FA6" s="85" t="s">
        <v>186</v>
      </c>
      <c r="FB6" s="5" t="s">
        <v>185</v>
      </c>
      <c r="FC6" s="87" t="s">
        <v>186</v>
      </c>
    </row>
    <row r="7" customFormat="false" ht="15" hidden="false" customHeight="false" outlineLevel="0" collapsed="false">
      <c r="A7" s="9" t="s">
        <v>187</v>
      </c>
      <c r="B7" s="9" t="s">
        <v>187</v>
      </c>
      <c r="C7" s="9" t="s">
        <v>187</v>
      </c>
      <c r="D7" s="9" t="s">
        <v>187</v>
      </c>
      <c r="E7" s="85" t="s">
        <v>188</v>
      </c>
      <c r="F7" s="10" t="s">
        <v>188</v>
      </c>
      <c r="G7" s="10" t="s">
        <v>188</v>
      </c>
      <c r="H7" s="10" t="s">
        <v>188</v>
      </c>
      <c r="I7" s="10" t="s">
        <v>188</v>
      </c>
      <c r="J7" s="10" t="s">
        <v>188</v>
      </c>
      <c r="K7" s="10" t="s">
        <v>188</v>
      </c>
      <c r="L7" s="88" t="s">
        <v>294</v>
      </c>
      <c r="M7" s="85" t="s">
        <v>188</v>
      </c>
      <c r="N7" s="5" t="s">
        <v>188</v>
      </c>
      <c r="O7" s="88" t="s">
        <v>294</v>
      </c>
      <c r="P7" s="10" t="s">
        <v>188</v>
      </c>
      <c r="Q7" s="88" t="s">
        <v>294</v>
      </c>
      <c r="R7" s="81" t="s">
        <v>188</v>
      </c>
      <c r="S7" s="5" t="s">
        <v>188</v>
      </c>
      <c r="T7" s="88" t="s">
        <v>294</v>
      </c>
      <c r="U7" s="92" t="s">
        <v>294</v>
      </c>
      <c r="V7" s="88" t="s">
        <v>294</v>
      </c>
      <c r="W7" s="10" t="s">
        <v>188</v>
      </c>
      <c r="X7" s="88" t="s">
        <v>294</v>
      </c>
      <c r="Y7" s="5" t="s">
        <v>188</v>
      </c>
      <c r="Z7" s="92" t="s">
        <v>294</v>
      </c>
      <c r="AA7" s="10" t="s">
        <v>188</v>
      </c>
      <c r="AB7" s="88" t="s">
        <v>294</v>
      </c>
      <c r="AC7" s="5" t="s">
        <v>188</v>
      </c>
      <c r="AD7" s="92" t="s">
        <v>294</v>
      </c>
      <c r="AE7" s="5" t="s">
        <v>188</v>
      </c>
      <c r="AF7" s="92" t="s">
        <v>294</v>
      </c>
      <c r="AG7" s="5" t="s">
        <v>188</v>
      </c>
      <c r="AH7" s="92" t="s">
        <v>294</v>
      </c>
      <c r="AI7" s="88" t="s">
        <v>294</v>
      </c>
      <c r="AJ7" s="88" t="s">
        <v>294</v>
      </c>
      <c r="AK7" s="88" t="s">
        <v>294</v>
      </c>
      <c r="AL7" s="88" t="s">
        <v>294</v>
      </c>
      <c r="AM7" s="88" t="s">
        <v>294</v>
      </c>
      <c r="AN7" s="88" t="s">
        <v>294</v>
      </c>
      <c r="AO7" s="88" t="s">
        <v>294</v>
      </c>
      <c r="AP7" s="88" t="s">
        <v>294</v>
      </c>
      <c r="AQ7" s="143" t="s">
        <v>294</v>
      </c>
      <c r="AR7" s="144" t="s">
        <v>294</v>
      </c>
      <c r="AS7" s="144" t="s">
        <v>294</v>
      </c>
      <c r="AT7" s="144" t="s">
        <v>294</v>
      </c>
      <c r="AU7" s="144" t="s">
        <v>294</v>
      </c>
      <c r="AV7" s="144" t="s">
        <v>294</v>
      </c>
      <c r="AW7" s="144" t="s">
        <v>294</v>
      </c>
      <c r="AX7" s="144" t="s">
        <v>294</v>
      </c>
      <c r="AY7" s="144" t="s">
        <v>294</v>
      </c>
      <c r="AZ7" s="88" t="s">
        <v>294</v>
      </c>
      <c r="BA7" s="85" t="s">
        <v>188</v>
      </c>
      <c r="BB7" s="88" t="s">
        <v>294</v>
      </c>
      <c r="BC7" s="88" t="s">
        <v>294</v>
      </c>
      <c r="BD7" s="5" t="s">
        <v>188</v>
      </c>
      <c r="BE7" s="85" t="s">
        <v>188</v>
      </c>
      <c r="BF7" s="5" t="s">
        <v>188</v>
      </c>
      <c r="BG7" s="88" t="s">
        <v>294</v>
      </c>
      <c r="BS7" s="87" t="s">
        <v>294</v>
      </c>
      <c r="BT7" s="5" t="s">
        <v>188</v>
      </c>
      <c r="BU7" s="5" t="s">
        <v>188</v>
      </c>
      <c r="CG7" s="88" t="s">
        <v>294</v>
      </c>
      <c r="CH7" s="5" t="s">
        <v>188</v>
      </c>
      <c r="CI7" s="5" t="s">
        <v>188</v>
      </c>
      <c r="CS7" s="85" t="s">
        <v>188</v>
      </c>
      <c r="CT7" s="10" t="s">
        <v>188</v>
      </c>
      <c r="CU7" s="5" t="s">
        <v>188</v>
      </c>
      <c r="CV7" s="5" t="s">
        <v>188</v>
      </c>
      <c r="CW7" s="88" t="s">
        <v>294</v>
      </c>
      <c r="CX7" s="88" t="s">
        <v>294</v>
      </c>
      <c r="CY7" s="85" t="s">
        <v>188</v>
      </c>
      <c r="CZ7" s="5" t="s">
        <v>188</v>
      </c>
      <c r="DA7" s="88" t="s">
        <v>294</v>
      </c>
      <c r="DB7" s="85" t="s">
        <v>188</v>
      </c>
      <c r="DC7" s="5" t="s">
        <v>188</v>
      </c>
      <c r="DD7" s="88" t="s">
        <v>294</v>
      </c>
      <c r="DE7" s="85" t="s">
        <v>188</v>
      </c>
      <c r="DF7" s="10" t="s">
        <v>294</v>
      </c>
      <c r="DG7" s="88" t="s">
        <v>294</v>
      </c>
      <c r="DH7" s="88" t="s">
        <v>294</v>
      </c>
      <c r="DI7" s="5" t="s">
        <v>188</v>
      </c>
      <c r="DJ7" s="88" t="s">
        <v>294</v>
      </c>
      <c r="DK7" s="92" t="s">
        <v>294</v>
      </c>
      <c r="DL7" s="88" t="s">
        <v>294</v>
      </c>
      <c r="DM7" s="88" t="s">
        <v>294</v>
      </c>
      <c r="DN7" s="88" t="s">
        <v>294</v>
      </c>
      <c r="DO7" s="88" t="s">
        <v>294</v>
      </c>
      <c r="DP7" s="88" t="s">
        <v>294</v>
      </c>
      <c r="DQ7" s="5" t="s">
        <v>188</v>
      </c>
      <c r="DR7" s="5" t="s">
        <v>188</v>
      </c>
      <c r="DS7" s="5" t="s">
        <v>188</v>
      </c>
      <c r="DT7" s="5" t="s">
        <v>188</v>
      </c>
      <c r="DU7" s="85" t="s">
        <v>188</v>
      </c>
      <c r="DV7" s="88" t="s">
        <v>294</v>
      </c>
      <c r="DW7" s="88" t="s">
        <v>294</v>
      </c>
      <c r="DX7" s="88" t="s">
        <v>294</v>
      </c>
      <c r="DY7" s="5" t="s">
        <v>188</v>
      </c>
      <c r="DZ7" s="5" t="s">
        <v>188</v>
      </c>
      <c r="EA7" s="92" t="s">
        <v>294</v>
      </c>
      <c r="EB7" s="5" t="s">
        <v>188</v>
      </c>
      <c r="EC7" s="5" t="s">
        <v>188</v>
      </c>
      <c r="ED7" s="85" t="s">
        <v>188</v>
      </c>
      <c r="EE7" s="10" t="s">
        <v>188</v>
      </c>
      <c r="EF7" s="10" t="s">
        <v>188</v>
      </c>
      <c r="EG7" s="10" t="s">
        <v>188</v>
      </c>
      <c r="EH7" s="5" t="s">
        <v>188</v>
      </c>
      <c r="EI7" s="5" t="s">
        <v>188</v>
      </c>
      <c r="EJ7" s="5" t="s">
        <v>188</v>
      </c>
      <c r="EK7" s="5" t="s">
        <v>188</v>
      </c>
      <c r="EL7" s="88" t="s">
        <v>294</v>
      </c>
      <c r="EM7" s="88" t="s">
        <v>294</v>
      </c>
      <c r="EN7" s="88" t="s">
        <v>294</v>
      </c>
      <c r="EO7" s="88" t="s">
        <v>294</v>
      </c>
      <c r="EP7" s="92" t="s">
        <v>294</v>
      </c>
      <c r="EQ7" s="5" t="s">
        <v>188</v>
      </c>
      <c r="ER7" s="85" t="s">
        <v>188</v>
      </c>
      <c r="ES7" s="10" t="s">
        <v>188</v>
      </c>
      <c r="ET7" s="5" t="s">
        <v>188</v>
      </c>
      <c r="EU7" s="5" t="s">
        <v>188</v>
      </c>
      <c r="EV7" s="88" t="s">
        <v>294</v>
      </c>
      <c r="EW7" s="88" t="s">
        <v>294</v>
      </c>
      <c r="EX7" s="85" t="s">
        <v>188</v>
      </c>
      <c r="EY7" s="5" t="s">
        <v>188</v>
      </c>
      <c r="EZ7" s="88" t="s">
        <v>294</v>
      </c>
      <c r="FA7" s="85" t="s">
        <v>188</v>
      </c>
      <c r="FB7" s="5" t="s">
        <v>188</v>
      </c>
      <c r="FC7" s="87" t="s">
        <v>294</v>
      </c>
    </row>
    <row r="8" customFormat="false" ht="15" hidden="false" customHeight="false" outlineLevel="0" collapsed="false">
      <c r="C8" s="9"/>
      <c r="D8" s="9"/>
      <c r="N8" s="97" t="s">
        <v>635</v>
      </c>
      <c r="R8" s="96" t="s">
        <v>636</v>
      </c>
      <c r="S8" s="97" t="s">
        <v>147</v>
      </c>
      <c r="Y8" s="97" t="s">
        <v>637</v>
      </c>
      <c r="AC8" s="97" t="s">
        <v>638</v>
      </c>
      <c r="AE8" s="97" t="s">
        <v>639</v>
      </c>
      <c r="AG8" s="97" t="s">
        <v>640</v>
      </c>
      <c r="AQ8" s="145" t="s">
        <v>641</v>
      </c>
      <c r="AR8" s="146" t="s">
        <v>642</v>
      </c>
      <c r="AS8" s="146" t="s">
        <v>643</v>
      </c>
      <c r="AT8" s="146" t="s">
        <v>644</v>
      </c>
      <c r="AU8" s="146" t="s">
        <v>645</v>
      </c>
      <c r="AV8" s="146" t="s">
        <v>646</v>
      </c>
      <c r="AW8" s="146" t="s">
        <v>647</v>
      </c>
      <c r="AX8" s="146" t="s">
        <v>648</v>
      </c>
      <c r="AY8" s="146" t="s">
        <v>649</v>
      </c>
      <c r="BD8" s="97" t="s">
        <v>650</v>
      </c>
      <c r="BF8" s="97" t="s">
        <v>651</v>
      </c>
      <c r="BS8" s="87"/>
      <c r="BT8" s="97" t="s">
        <v>652</v>
      </c>
      <c r="BU8" s="97" t="s">
        <v>652</v>
      </c>
      <c r="CD8" s="88"/>
      <c r="CG8" s="88"/>
      <c r="CH8" s="97" t="s">
        <v>653</v>
      </c>
      <c r="CI8" s="97" t="s">
        <v>653</v>
      </c>
      <c r="CR8" s="88"/>
      <c r="CU8" s="97" t="s">
        <v>654</v>
      </c>
      <c r="CV8" s="97" t="s">
        <v>655</v>
      </c>
      <c r="CZ8" s="97" t="s">
        <v>656</v>
      </c>
      <c r="DC8" s="97" t="s">
        <v>411</v>
      </c>
      <c r="DI8" s="97" t="s">
        <v>657</v>
      </c>
      <c r="DQ8" s="97" t="s">
        <v>658</v>
      </c>
      <c r="DR8" s="97" t="s">
        <v>658</v>
      </c>
      <c r="DS8" s="97" t="s">
        <v>658</v>
      </c>
      <c r="DT8" s="97" t="s">
        <v>658</v>
      </c>
      <c r="DY8" s="97" t="s">
        <v>659</v>
      </c>
      <c r="DZ8" s="97" t="s">
        <v>659</v>
      </c>
      <c r="EB8" s="97" t="s">
        <v>660</v>
      </c>
      <c r="EC8" s="97" t="s">
        <v>660</v>
      </c>
      <c r="EH8" s="97" t="s">
        <v>661</v>
      </c>
      <c r="EI8" s="97" t="s">
        <v>662</v>
      </c>
      <c r="EJ8" s="97" t="s">
        <v>663</v>
      </c>
      <c r="EK8" s="97" t="s">
        <v>663</v>
      </c>
      <c r="EQ8" s="97" t="s">
        <v>664</v>
      </c>
      <c r="ET8" s="97" t="s">
        <v>665</v>
      </c>
      <c r="EU8" s="97" t="s">
        <v>666</v>
      </c>
      <c r="EY8" s="97" t="s">
        <v>667</v>
      </c>
      <c r="FB8" s="97" t="s">
        <v>668</v>
      </c>
    </row>
    <row r="9" customFormat="false" ht="15" hidden="false" customHeight="false" outlineLevel="0" collapsed="false">
      <c r="C9" s="9"/>
      <c r="D9" s="9"/>
      <c r="N9" s="97"/>
      <c r="R9" s="96"/>
      <c r="S9" s="97"/>
      <c r="Y9" s="97"/>
      <c r="AC9" s="97"/>
      <c r="AE9" s="97"/>
      <c r="AG9" s="97"/>
      <c r="AQ9" s="145"/>
      <c r="AR9" s="146"/>
      <c r="AS9" s="146"/>
      <c r="AT9" s="146"/>
      <c r="AU9" s="146"/>
      <c r="AV9" s="146"/>
      <c r="AW9" s="146"/>
      <c r="AX9" s="146"/>
      <c r="AY9" s="146"/>
      <c r="BD9" s="97"/>
      <c r="BF9" s="97"/>
      <c r="BS9" s="87"/>
      <c r="BT9" s="97"/>
      <c r="BU9" s="97"/>
      <c r="CD9" s="88"/>
      <c r="CG9" s="88"/>
      <c r="CH9" s="97"/>
      <c r="CI9" s="97"/>
      <c r="CR9" s="88"/>
      <c r="CU9" s="97"/>
      <c r="CV9" s="97"/>
      <c r="CZ9" s="97"/>
      <c r="DC9" s="97"/>
      <c r="DI9" s="97"/>
      <c r="DQ9" s="97"/>
      <c r="DR9" s="97"/>
      <c r="DS9" s="97"/>
      <c r="DT9" s="97"/>
      <c r="DY9" s="97"/>
      <c r="DZ9" s="97"/>
      <c r="EB9" s="97"/>
      <c r="EC9" s="97"/>
      <c r="EH9" s="97"/>
      <c r="EI9" s="97"/>
      <c r="EJ9" s="97"/>
      <c r="EK9" s="97"/>
      <c r="EQ9" s="97"/>
      <c r="ET9" s="97"/>
      <c r="EU9" s="97"/>
      <c r="EY9" s="97"/>
      <c r="FB9" s="97"/>
    </row>
    <row r="10" customFormat="false" ht="15" hidden="false" customHeight="false" outlineLevel="0" collapsed="false">
      <c r="C10" s="9"/>
      <c r="D10" s="9"/>
      <c r="N10" s="97" t="s">
        <v>669</v>
      </c>
      <c r="R10" s="96" t="s">
        <v>669</v>
      </c>
      <c r="S10" s="97" t="s">
        <v>312</v>
      </c>
      <c r="Y10" s="97" t="s">
        <v>669</v>
      </c>
      <c r="AC10" s="97" t="s">
        <v>670</v>
      </c>
      <c r="AE10" s="97" t="s">
        <v>670</v>
      </c>
      <c r="AG10" s="97" t="s">
        <v>671</v>
      </c>
      <c r="AQ10" s="145" t="s">
        <v>672</v>
      </c>
      <c r="AR10" s="146" t="s">
        <v>312</v>
      </c>
      <c r="AS10" s="146" t="s">
        <v>672</v>
      </c>
      <c r="AT10" s="146" t="s">
        <v>312</v>
      </c>
      <c r="AU10" s="146" t="s">
        <v>672</v>
      </c>
      <c r="AV10" s="146" t="s">
        <v>312</v>
      </c>
      <c r="AW10" s="146" t="s">
        <v>312</v>
      </c>
      <c r="AX10" s="146" t="s">
        <v>312</v>
      </c>
      <c r="AY10" s="146" t="s">
        <v>312</v>
      </c>
      <c r="BD10" s="97" t="s">
        <v>669</v>
      </c>
      <c r="BF10" s="97"/>
      <c r="BS10" s="87"/>
      <c r="BT10" s="97" t="s">
        <v>673</v>
      </c>
      <c r="BU10" s="97" t="s">
        <v>674</v>
      </c>
      <c r="CD10" s="88"/>
      <c r="CG10" s="88"/>
      <c r="CH10" s="97" t="s">
        <v>673</v>
      </c>
      <c r="CI10" s="97" t="s">
        <v>674</v>
      </c>
      <c r="CR10" s="88"/>
      <c r="CU10" s="97"/>
      <c r="CV10" s="97"/>
      <c r="CZ10" s="97"/>
      <c r="DC10" s="97"/>
      <c r="DI10" s="97" t="s">
        <v>312</v>
      </c>
      <c r="DQ10" s="97" t="s">
        <v>675</v>
      </c>
      <c r="DR10" s="97" t="s">
        <v>676</v>
      </c>
      <c r="DS10" s="97" t="s">
        <v>677</v>
      </c>
      <c r="DT10" s="97" t="s">
        <v>678</v>
      </c>
      <c r="DY10" s="97" t="s">
        <v>673</v>
      </c>
      <c r="DZ10" s="97" t="s">
        <v>674</v>
      </c>
      <c r="EB10" s="97" t="s">
        <v>673</v>
      </c>
      <c r="EC10" s="97" t="s">
        <v>674</v>
      </c>
      <c r="EH10" s="97"/>
      <c r="EI10" s="97"/>
      <c r="EJ10" s="97" t="s">
        <v>679</v>
      </c>
      <c r="EK10" s="97" t="s">
        <v>680</v>
      </c>
      <c r="EQ10" s="97"/>
      <c r="ET10" s="97" t="s">
        <v>681</v>
      </c>
      <c r="EU10" s="97" t="s">
        <v>682</v>
      </c>
      <c r="EY10" s="97"/>
      <c r="FB10" s="97"/>
    </row>
    <row r="11" customFormat="false" ht="15" hidden="false" customHeight="false" outlineLevel="0" collapsed="false">
      <c r="C11" s="9"/>
      <c r="D11" s="9"/>
      <c r="E11" s="85" t="s">
        <v>315</v>
      </c>
      <c r="F11" s="10" t="s">
        <v>315</v>
      </c>
      <c r="G11" s="10" t="s">
        <v>315</v>
      </c>
      <c r="H11" s="10" t="s">
        <v>315</v>
      </c>
      <c r="I11" s="10" t="s">
        <v>315</v>
      </c>
      <c r="J11" s="10" t="s">
        <v>315</v>
      </c>
      <c r="K11" s="10" t="s">
        <v>315</v>
      </c>
      <c r="L11" s="88" t="s">
        <v>315</v>
      </c>
      <c r="M11" s="85" t="s">
        <v>315</v>
      </c>
      <c r="N11" s="5" t="s">
        <v>315</v>
      </c>
      <c r="O11" s="88" t="s">
        <v>315</v>
      </c>
      <c r="P11" s="10" t="s">
        <v>315</v>
      </c>
      <c r="Q11" s="88" t="s">
        <v>315</v>
      </c>
      <c r="R11" s="81" t="s">
        <v>315</v>
      </c>
      <c r="S11" s="5" t="s">
        <v>315</v>
      </c>
      <c r="T11" s="88" t="s">
        <v>315</v>
      </c>
      <c r="U11" s="92" t="s">
        <v>315</v>
      </c>
      <c r="V11" s="88" t="s">
        <v>315</v>
      </c>
      <c r="W11" s="10" t="s">
        <v>315</v>
      </c>
      <c r="X11" s="88" t="s">
        <v>315</v>
      </c>
      <c r="Y11" s="5" t="s">
        <v>315</v>
      </c>
      <c r="Z11" s="92" t="s">
        <v>315</v>
      </c>
      <c r="AA11" s="10" t="s">
        <v>315</v>
      </c>
      <c r="AB11" s="88" t="s">
        <v>315</v>
      </c>
      <c r="AC11" s="5" t="s">
        <v>315</v>
      </c>
      <c r="AD11" s="92" t="s">
        <v>315</v>
      </c>
      <c r="AE11" s="5" t="s">
        <v>315</v>
      </c>
      <c r="AF11" s="92" t="s">
        <v>315</v>
      </c>
      <c r="AG11" s="5" t="s">
        <v>315</v>
      </c>
      <c r="AH11" s="92" t="s">
        <v>683</v>
      </c>
      <c r="AI11" s="88" t="s">
        <v>683</v>
      </c>
      <c r="AJ11" s="88" t="s">
        <v>314</v>
      </c>
      <c r="AK11" s="88" t="s">
        <v>684</v>
      </c>
      <c r="AL11" s="88" t="s">
        <v>314</v>
      </c>
      <c r="AM11" s="88" t="s">
        <v>314</v>
      </c>
      <c r="AN11" s="88" t="s">
        <v>314</v>
      </c>
      <c r="AO11" s="88" t="s">
        <v>314</v>
      </c>
      <c r="AP11" s="88" t="s">
        <v>314</v>
      </c>
      <c r="AQ11" s="143" t="s">
        <v>683</v>
      </c>
      <c r="AR11" s="144" t="s">
        <v>683</v>
      </c>
      <c r="AS11" s="144" t="s">
        <v>314</v>
      </c>
      <c r="AT11" s="144" t="s">
        <v>684</v>
      </c>
      <c r="AU11" s="144" t="s">
        <v>314</v>
      </c>
      <c r="AV11" s="144" t="s">
        <v>314</v>
      </c>
      <c r="AW11" s="144" t="s">
        <v>314</v>
      </c>
      <c r="AX11" s="144" t="s">
        <v>314</v>
      </c>
      <c r="AY11" s="144" t="s">
        <v>314</v>
      </c>
      <c r="AZ11" s="88" t="s">
        <v>314</v>
      </c>
      <c r="BA11" s="85" t="s">
        <v>684</v>
      </c>
      <c r="BB11" s="88" t="s">
        <v>684</v>
      </c>
      <c r="BC11" s="88" t="s">
        <v>684</v>
      </c>
      <c r="BD11" s="5" t="s">
        <v>684</v>
      </c>
      <c r="BE11" s="85" t="s">
        <v>683</v>
      </c>
      <c r="BF11" s="5" t="s">
        <v>683</v>
      </c>
      <c r="BG11" s="88" t="s">
        <v>683</v>
      </c>
      <c r="BS11" s="87" t="s">
        <v>683</v>
      </c>
      <c r="BT11" s="5" t="s">
        <v>683</v>
      </c>
      <c r="BU11" s="5" t="s">
        <v>683</v>
      </c>
      <c r="CG11" s="88" t="s">
        <v>314</v>
      </c>
      <c r="CH11" s="5" t="s">
        <v>314</v>
      </c>
      <c r="CI11" s="5" t="s">
        <v>314</v>
      </c>
      <c r="CS11" s="85" t="s">
        <v>684</v>
      </c>
      <c r="CT11" s="10" t="s">
        <v>684</v>
      </c>
      <c r="CU11" s="5" t="s">
        <v>684</v>
      </c>
      <c r="CV11" s="5" t="s">
        <v>684</v>
      </c>
      <c r="CW11" s="88" t="s">
        <v>684</v>
      </c>
      <c r="CX11" s="88" t="s">
        <v>684</v>
      </c>
      <c r="CY11" s="85" t="s">
        <v>683</v>
      </c>
      <c r="CZ11" s="5" t="s">
        <v>683</v>
      </c>
      <c r="DA11" s="88" t="s">
        <v>683</v>
      </c>
      <c r="DE11" s="85" t="s">
        <v>685</v>
      </c>
      <c r="DF11" s="10" t="s">
        <v>685</v>
      </c>
      <c r="DG11" s="88" t="s">
        <v>685</v>
      </c>
      <c r="DH11" s="88" t="s">
        <v>685</v>
      </c>
      <c r="DI11" s="5" t="s">
        <v>685</v>
      </c>
      <c r="DJ11" s="88" t="s">
        <v>685</v>
      </c>
      <c r="DK11" s="92" t="s">
        <v>686</v>
      </c>
      <c r="DL11" s="88" t="s">
        <v>686</v>
      </c>
      <c r="DM11" s="88" t="s">
        <v>686</v>
      </c>
      <c r="DN11" s="88" t="s">
        <v>686</v>
      </c>
      <c r="DO11" s="88" t="s">
        <v>686</v>
      </c>
      <c r="DP11" s="88" t="s">
        <v>686</v>
      </c>
      <c r="DQ11" s="5" t="s">
        <v>686</v>
      </c>
      <c r="DR11" s="5" t="s">
        <v>686</v>
      </c>
      <c r="DS11" s="5" t="s">
        <v>686</v>
      </c>
      <c r="DT11" s="5" t="s">
        <v>686</v>
      </c>
      <c r="DU11" s="85" t="s">
        <v>686</v>
      </c>
      <c r="DV11" s="88" t="s">
        <v>686</v>
      </c>
      <c r="DW11" s="88" t="s">
        <v>686</v>
      </c>
      <c r="DX11" s="88" t="s">
        <v>686</v>
      </c>
      <c r="DY11" s="5" t="s">
        <v>686</v>
      </c>
      <c r="DZ11" s="5" t="s">
        <v>686</v>
      </c>
      <c r="EA11" s="92" t="s">
        <v>686</v>
      </c>
      <c r="EB11" s="5" t="s">
        <v>686</v>
      </c>
      <c r="EC11" s="5" t="s">
        <v>686</v>
      </c>
      <c r="ED11" s="85" t="s">
        <v>687</v>
      </c>
      <c r="EE11" s="10" t="s">
        <v>687</v>
      </c>
      <c r="EF11" s="10" t="s">
        <v>687</v>
      </c>
      <c r="EG11" s="10" t="s">
        <v>687</v>
      </c>
      <c r="EH11" s="5" t="s">
        <v>687</v>
      </c>
      <c r="EI11" s="5" t="s">
        <v>687</v>
      </c>
      <c r="EJ11" s="5" t="s">
        <v>687</v>
      </c>
      <c r="EK11" s="5" t="s">
        <v>687</v>
      </c>
      <c r="EL11" s="88" t="s">
        <v>687</v>
      </c>
      <c r="EM11" s="88" t="s">
        <v>687</v>
      </c>
      <c r="EN11" s="88" t="s">
        <v>687</v>
      </c>
      <c r="EO11" s="88" t="s">
        <v>687</v>
      </c>
      <c r="EP11" s="92" t="s">
        <v>688</v>
      </c>
      <c r="EQ11" s="5" t="s">
        <v>688</v>
      </c>
      <c r="ER11" s="85" t="s">
        <v>689</v>
      </c>
      <c r="ES11" s="10" t="s">
        <v>689</v>
      </c>
      <c r="ET11" s="5" t="s">
        <v>689</v>
      </c>
      <c r="EU11" s="5" t="s">
        <v>689</v>
      </c>
      <c r="EV11" s="88" t="s">
        <v>689</v>
      </c>
      <c r="EW11" s="88" t="s">
        <v>689</v>
      </c>
    </row>
    <row r="12" customFormat="false" ht="15" hidden="false" customHeight="false" outlineLevel="0" collapsed="false">
      <c r="C12" s="9"/>
      <c r="D12" s="9"/>
      <c r="E12" s="85" t="s">
        <v>317</v>
      </c>
      <c r="F12" s="10" t="s">
        <v>317</v>
      </c>
      <c r="G12" s="10" t="s">
        <v>317</v>
      </c>
      <c r="H12" s="10" t="s">
        <v>317</v>
      </c>
      <c r="I12" s="10" t="s">
        <v>317</v>
      </c>
      <c r="J12" s="10" t="s">
        <v>317</v>
      </c>
      <c r="K12" s="10" t="s">
        <v>317</v>
      </c>
      <c r="L12" s="88" t="s">
        <v>317</v>
      </c>
      <c r="M12" s="85" t="s">
        <v>317</v>
      </c>
      <c r="N12" s="5" t="s">
        <v>317</v>
      </c>
      <c r="O12" s="88" t="s">
        <v>317</v>
      </c>
      <c r="P12" s="10" t="s">
        <v>317</v>
      </c>
      <c r="Q12" s="88" t="s">
        <v>317</v>
      </c>
      <c r="R12" s="81" t="s">
        <v>317</v>
      </c>
      <c r="S12" s="5" t="s">
        <v>317</v>
      </c>
      <c r="T12" s="88" t="s">
        <v>317</v>
      </c>
      <c r="U12" s="92" t="s">
        <v>317</v>
      </c>
      <c r="V12" s="88" t="s">
        <v>317</v>
      </c>
      <c r="W12" s="10" t="s">
        <v>317</v>
      </c>
      <c r="X12" s="88" t="s">
        <v>317</v>
      </c>
      <c r="Y12" s="5" t="s">
        <v>317</v>
      </c>
      <c r="Z12" s="92" t="s">
        <v>317</v>
      </c>
      <c r="AA12" s="10" t="s">
        <v>317</v>
      </c>
      <c r="AB12" s="88" t="s">
        <v>317</v>
      </c>
      <c r="AC12" s="5" t="s">
        <v>317</v>
      </c>
      <c r="AD12" s="92" t="s">
        <v>317</v>
      </c>
      <c r="AE12" s="5" t="s">
        <v>317</v>
      </c>
      <c r="AF12" s="92" t="s">
        <v>317</v>
      </c>
      <c r="AG12" s="5" t="s">
        <v>317</v>
      </c>
      <c r="AH12" s="92" t="s">
        <v>690</v>
      </c>
      <c r="AI12" s="88" t="s">
        <v>690</v>
      </c>
      <c r="AJ12" s="88" t="s">
        <v>317</v>
      </c>
      <c r="AK12" s="88" t="s">
        <v>691</v>
      </c>
      <c r="AL12" s="88" t="s">
        <v>317</v>
      </c>
      <c r="AM12" s="88" t="s">
        <v>317</v>
      </c>
      <c r="AN12" s="88" t="s">
        <v>317</v>
      </c>
      <c r="AO12" s="88" t="s">
        <v>317</v>
      </c>
      <c r="AP12" s="88" t="s">
        <v>317</v>
      </c>
      <c r="AQ12" s="143" t="s">
        <v>690</v>
      </c>
      <c r="AR12" s="144" t="s">
        <v>690</v>
      </c>
      <c r="AS12" s="144" t="s">
        <v>317</v>
      </c>
      <c r="AT12" s="144" t="s">
        <v>691</v>
      </c>
      <c r="AU12" s="144" t="s">
        <v>317</v>
      </c>
      <c r="AV12" s="144" t="s">
        <v>317</v>
      </c>
      <c r="AW12" s="144" t="s">
        <v>317</v>
      </c>
      <c r="AX12" s="144" t="s">
        <v>317</v>
      </c>
      <c r="AY12" s="144" t="s">
        <v>317</v>
      </c>
      <c r="AZ12" s="88" t="s">
        <v>317</v>
      </c>
      <c r="BA12" s="85" t="s">
        <v>317</v>
      </c>
      <c r="BB12" s="88" t="s">
        <v>317</v>
      </c>
      <c r="BC12" s="88" t="s">
        <v>317</v>
      </c>
      <c r="BD12" s="5" t="s">
        <v>317</v>
      </c>
      <c r="BE12" s="85" t="s">
        <v>317</v>
      </c>
      <c r="BF12" s="5" t="s">
        <v>317</v>
      </c>
      <c r="BG12" s="88" t="s">
        <v>317</v>
      </c>
      <c r="BS12" s="87" t="s">
        <v>690</v>
      </c>
      <c r="BT12" s="5" t="s">
        <v>690</v>
      </c>
      <c r="BU12" s="5" t="s">
        <v>690</v>
      </c>
      <c r="CG12" s="88" t="s">
        <v>317</v>
      </c>
      <c r="CH12" s="5" t="s">
        <v>317</v>
      </c>
      <c r="CI12" s="5" t="s">
        <v>317</v>
      </c>
      <c r="CS12" s="85" t="s">
        <v>317</v>
      </c>
      <c r="CT12" s="10" t="s">
        <v>317</v>
      </c>
      <c r="CU12" s="5" t="s">
        <v>317</v>
      </c>
      <c r="CV12" s="5" t="s">
        <v>317</v>
      </c>
      <c r="CW12" s="88" t="s">
        <v>317</v>
      </c>
      <c r="CX12" s="88" t="s">
        <v>317</v>
      </c>
      <c r="CY12" s="85" t="s">
        <v>317</v>
      </c>
      <c r="CZ12" s="5" t="s">
        <v>317</v>
      </c>
      <c r="DA12" s="88" t="s">
        <v>317</v>
      </c>
      <c r="DE12" s="85" t="s">
        <v>690</v>
      </c>
      <c r="DF12" s="10" t="s">
        <v>690</v>
      </c>
      <c r="DG12" s="88" t="s">
        <v>690</v>
      </c>
      <c r="DH12" s="88" t="s">
        <v>690</v>
      </c>
      <c r="DI12" s="5" t="s">
        <v>690</v>
      </c>
      <c r="DJ12" s="88" t="s">
        <v>690</v>
      </c>
      <c r="DK12" s="92" t="s">
        <v>317</v>
      </c>
      <c r="DL12" s="88" t="s">
        <v>317</v>
      </c>
      <c r="DM12" s="88" t="s">
        <v>317</v>
      </c>
      <c r="DN12" s="88" t="s">
        <v>317</v>
      </c>
      <c r="DO12" s="88" t="s">
        <v>317</v>
      </c>
      <c r="DP12" s="88" t="s">
        <v>317</v>
      </c>
      <c r="DQ12" s="5" t="s">
        <v>317</v>
      </c>
      <c r="DR12" s="5" t="s">
        <v>317</v>
      </c>
      <c r="DS12" s="5" t="s">
        <v>317</v>
      </c>
      <c r="DT12" s="5" t="s">
        <v>317</v>
      </c>
      <c r="DU12" s="85" t="s">
        <v>317</v>
      </c>
      <c r="DV12" s="88" t="s">
        <v>317</v>
      </c>
      <c r="DW12" s="88" t="s">
        <v>317</v>
      </c>
      <c r="DX12" s="88" t="s">
        <v>317</v>
      </c>
      <c r="DY12" s="5" t="s">
        <v>317</v>
      </c>
      <c r="DZ12" s="5" t="s">
        <v>317</v>
      </c>
      <c r="EA12" s="92" t="s">
        <v>317</v>
      </c>
      <c r="EB12" s="5" t="s">
        <v>317</v>
      </c>
      <c r="EC12" s="5" t="s">
        <v>317</v>
      </c>
      <c r="ED12" s="85" t="s">
        <v>317</v>
      </c>
      <c r="EE12" s="10" t="s">
        <v>317</v>
      </c>
      <c r="EF12" s="10" t="s">
        <v>317</v>
      </c>
      <c r="EG12" s="10" t="s">
        <v>317</v>
      </c>
      <c r="EH12" s="5" t="s">
        <v>317</v>
      </c>
      <c r="EI12" s="5" t="s">
        <v>317</v>
      </c>
      <c r="EJ12" s="5" t="s">
        <v>317</v>
      </c>
      <c r="EK12" s="5" t="s">
        <v>317</v>
      </c>
      <c r="EL12" s="88" t="s">
        <v>317</v>
      </c>
      <c r="EM12" s="88" t="s">
        <v>317</v>
      </c>
      <c r="EN12" s="88" t="s">
        <v>317</v>
      </c>
      <c r="EO12" s="88" t="s">
        <v>317</v>
      </c>
      <c r="EP12" s="92" t="s">
        <v>317</v>
      </c>
      <c r="EQ12" s="5" t="s">
        <v>317</v>
      </c>
      <c r="ER12" s="85" t="s">
        <v>690</v>
      </c>
      <c r="ES12" s="10" t="s">
        <v>690</v>
      </c>
      <c r="ET12" s="5" t="s">
        <v>690</v>
      </c>
      <c r="EU12" s="5" t="s">
        <v>690</v>
      </c>
      <c r="EV12" s="88" t="s">
        <v>690</v>
      </c>
      <c r="EW12" s="88" t="s">
        <v>690</v>
      </c>
      <c r="EX12" s="85" t="s">
        <v>317</v>
      </c>
      <c r="EY12" s="5" t="s">
        <v>317</v>
      </c>
      <c r="EZ12" s="88" t="s">
        <v>317</v>
      </c>
    </row>
    <row r="13" customFormat="false" ht="15" hidden="false" customHeight="false" outlineLevel="0" collapsed="false">
      <c r="C13" s="9"/>
      <c r="D13" s="9"/>
      <c r="DB13" s="85" t="s">
        <v>432</v>
      </c>
      <c r="DC13" s="5" t="s">
        <v>432</v>
      </c>
      <c r="DD13" s="88" t="s">
        <v>432</v>
      </c>
    </row>
    <row r="14" customFormat="false" ht="15" hidden="false" customHeight="false" outlineLevel="0" collapsed="false">
      <c r="A14" s="33" t="s">
        <v>692</v>
      </c>
      <c r="B14" s="33" t="s">
        <v>318</v>
      </c>
      <c r="C14" s="33" t="s">
        <v>319</v>
      </c>
      <c r="D14" s="33" t="s">
        <v>433</v>
      </c>
      <c r="E14" s="101" t="s">
        <v>362</v>
      </c>
      <c r="F14" s="36" t="s">
        <v>352</v>
      </c>
      <c r="G14" s="36" t="s">
        <v>344</v>
      </c>
      <c r="H14" s="36" t="s">
        <v>356</v>
      </c>
      <c r="I14" s="36" t="s">
        <v>359</v>
      </c>
      <c r="J14" s="36" t="s">
        <v>166</v>
      </c>
      <c r="K14" s="36" t="s">
        <v>345</v>
      </c>
      <c r="L14" s="103" t="s">
        <v>346</v>
      </c>
      <c r="M14" s="101" t="s">
        <v>175</v>
      </c>
      <c r="N14" s="107" t="s">
        <v>172</v>
      </c>
      <c r="O14" s="103" t="s">
        <v>693</v>
      </c>
      <c r="P14" s="36" t="s">
        <v>694</v>
      </c>
      <c r="Q14" s="103" t="s">
        <v>695</v>
      </c>
      <c r="R14" s="106" t="s">
        <v>696</v>
      </c>
      <c r="S14" s="107" t="s">
        <v>697</v>
      </c>
      <c r="T14" s="103" t="s">
        <v>698</v>
      </c>
      <c r="U14" s="105" t="s">
        <v>699</v>
      </c>
      <c r="V14" s="103" t="s">
        <v>700</v>
      </c>
      <c r="W14" s="36" t="s">
        <v>701</v>
      </c>
      <c r="X14" s="103" t="s">
        <v>702</v>
      </c>
      <c r="Y14" s="107" t="s">
        <v>703</v>
      </c>
      <c r="Z14" s="105" t="s">
        <v>704</v>
      </c>
      <c r="AA14" s="36" t="s">
        <v>705</v>
      </c>
      <c r="AB14" s="103" t="s">
        <v>706</v>
      </c>
      <c r="AC14" s="107" t="s">
        <v>707</v>
      </c>
      <c r="AD14" s="105" t="s">
        <v>708</v>
      </c>
      <c r="AE14" s="107" t="s">
        <v>709</v>
      </c>
      <c r="AF14" s="105" t="s">
        <v>710</v>
      </c>
      <c r="AG14" s="107" t="s">
        <v>711</v>
      </c>
      <c r="AH14" s="105" t="s">
        <v>712</v>
      </c>
      <c r="AI14" s="103" t="s">
        <v>713</v>
      </c>
      <c r="AJ14" s="103" t="s">
        <v>714</v>
      </c>
      <c r="AK14" s="103" t="s">
        <v>715</v>
      </c>
      <c r="AL14" s="103" t="s">
        <v>716</v>
      </c>
      <c r="AM14" s="103" t="s">
        <v>717</v>
      </c>
      <c r="AN14" s="103" t="s">
        <v>718</v>
      </c>
      <c r="AO14" s="103" t="s">
        <v>719</v>
      </c>
      <c r="AP14" s="103" t="s">
        <v>720</v>
      </c>
      <c r="AQ14" s="147" t="s">
        <v>721</v>
      </c>
      <c r="AR14" s="148" t="s">
        <v>722</v>
      </c>
      <c r="AS14" s="148" t="s">
        <v>723</v>
      </c>
      <c r="AT14" s="148" t="s">
        <v>724</v>
      </c>
      <c r="AU14" s="148" t="s">
        <v>725</v>
      </c>
      <c r="AV14" s="148" t="s">
        <v>726</v>
      </c>
      <c r="AW14" s="148" t="s">
        <v>727</v>
      </c>
      <c r="AX14" s="148" t="s">
        <v>728</v>
      </c>
      <c r="AY14" s="148" t="s">
        <v>729</v>
      </c>
      <c r="AZ14" s="103" t="s">
        <v>730</v>
      </c>
      <c r="BA14" s="101" t="s">
        <v>731</v>
      </c>
      <c r="BB14" s="103" t="s">
        <v>732</v>
      </c>
      <c r="BC14" s="103" t="s">
        <v>733</v>
      </c>
      <c r="BD14" s="107" t="s">
        <v>734</v>
      </c>
      <c r="BE14" s="101" t="s">
        <v>735</v>
      </c>
      <c r="BF14" s="107" t="s">
        <v>736</v>
      </c>
      <c r="BG14" s="103" t="s">
        <v>737</v>
      </c>
      <c r="BH14" s="101"/>
      <c r="BI14" s="36"/>
      <c r="BJ14" s="36"/>
      <c r="BK14" s="36"/>
      <c r="BL14" s="107"/>
      <c r="BM14" s="107"/>
      <c r="BN14" s="107"/>
      <c r="BO14" s="36"/>
      <c r="BP14" s="36"/>
      <c r="BQ14" s="101"/>
      <c r="BR14" s="36"/>
      <c r="BS14" s="103" t="s">
        <v>738</v>
      </c>
      <c r="BT14" s="107" t="s">
        <v>739</v>
      </c>
      <c r="BU14" s="107" t="s">
        <v>740</v>
      </c>
      <c r="BV14" s="101"/>
      <c r="BW14" s="36"/>
      <c r="BX14" s="36"/>
      <c r="BY14" s="36"/>
      <c r="BZ14" s="107"/>
      <c r="CA14" s="107"/>
      <c r="CB14" s="107"/>
      <c r="CC14" s="36"/>
      <c r="CD14" s="103"/>
      <c r="CE14" s="101"/>
      <c r="CF14" s="36"/>
      <c r="CG14" s="103" t="s">
        <v>741</v>
      </c>
      <c r="CH14" s="107" t="s">
        <v>742</v>
      </c>
      <c r="CI14" s="107" t="s">
        <v>743</v>
      </c>
      <c r="CJ14" s="101"/>
      <c r="CK14" s="36"/>
      <c r="CL14" s="36"/>
      <c r="CM14" s="36"/>
      <c r="CN14" s="36"/>
      <c r="CO14" s="36"/>
      <c r="CP14" s="36"/>
      <c r="CQ14" s="36"/>
      <c r="CR14" s="103"/>
      <c r="CS14" s="101" t="s">
        <v>744</v>
      </c>
      <c r="CT14" s="36" t="s">
        <v>745</v>
      </c>
      <c r="CU14" s="107" t="s">
        <v>746</v>
      </c>
      <c r="CV14" s="107" t="s">
        <v>747</v>
      </c>
      <c r="CW14" s="103" t="s">
        <v>748</v>
      </c>
      <c r="CX14" s="103" t="s">
        <v>749</v>
      </c>
      <c r="CY14" s="101" t="s">
        <v>750</v>
      </c>
      <c r="CZ14" s="107" t="s">
        <v>751</v>
      </c>
      <c r="DA14" s="103" t="s">
        <v>752</v>
      </c>
      <c r="DB14" s="101" t="s">
        <v>442</v>
      </c>
      <c r="DC14" s="107" t="s">
        <v>753</v>
      </c>
      <c r="DD14" s="103" t="s">
        <v>754</v>
      </c>
      <c r="DE14" s="101" t="s">
        <v>755</v>
      </c>
      <c r="DF14" s="36" t="s">
        <v>756</v>
      </c>
      <c r="DG14" s="103" t="s">
        <v>757</v>
      </c>
      <c r="DH14" s="103" t="s">
        <v>758</v>
      </c>
      <c r="DI14" s="107" t="s">
        <v>759</v>
      </c>
      <c r="DJ14" s="103" t="s">
        <v>760</v>
      </c>
      <c r="DK14" s="105" t="s">
        <v>761</v>
      </c>
      <c r="DL14" s="103" t="s">
        <v>762</v>
      </c>
      <c r="DM14" s="103" t="s">
        <v>763</v>
      </c>
      <c r="DN14" s="103" t="s">
        <v>764</v>
      </c>
      <c r="DO14" s="103" t="s">
        <v>765</v>
      </c>
      <c r="DP14" s="103" t="s">
        <v>766</v>
      </c>
      <c r="DQ14" s="107" t="s">
        <v>767</v>
      </c>
      <c r="DR14" s="107" t="s">
        <v>768</v>
      </c>
      <c r="DS14" s="107" t="s">
        <v>769</v>
      </c>
      <c r="DT14" s="107" t="s">
        <v>770</v>
      </c>
      <c r="DU14" s="101" t="s">
        <v>771</v>
      </c>
      <c r="DV14" s="103" t="s">
        <v>772</v>
      </c>
      <c r="DW14" s="103" t="s">
        <v>773</v>
      </c>
      <c r="DX14" s="103" t="s">
        <v>774</v>
      </c>
      <c r="DY14" s="107" t="s">
        <v>775</v>
      </c>
      <c r="DZ14" s="107" t="s">
        <v>776</v>
      </c>
      <c r="EA14" s="105" t="s">
        <v>777</v>
      </c>
      <c r="EB14" s="107" t="s">
        <v>778</v>
      </c>
      <c r="EC14" s="107" t="s">
        <v>779</v>
      </c>
      <c r="ED14" s="101" t="s">
        <v>780</v>
      </c>
      <c r="EE14" s="36" t="s">
        <v>781</v>
      </c>
      <c r="EF14" s="36" t="s">
        <v>782</v>
      </c>
      <c r="EG14" s="36" t="s">
        <v>783</v>
      </c>
      <c r="EH14" s="107" t="s">
        <v>784</v>
      </c>
      <c r="EI14" s="107" t="s">
        <v>785</v>
      </c>
      <c r="EJ14" s="107" t="s">
        <v>786</v>
      </c>
      <c r="EK14" s="107" t="s">
        <v>787</v>
      </c>
      <c r="EL14" s="103" t="s">
        <v>788</v>
      </c>
      <c r="EM14" s="103" t="s">
        <v>789</v>
      </c>
      <c r="EN14" s="103" t="s">
        <v>790</v>
      </c>
      <c r="EO14" s="103" t="s">
        <v>791</v>
      </c>
      <c r="EP14" s="105" t="s">
        <v>792</v>
      </c>
      <c r="EQ14" s="107" t="s">
        <v>793</v>
      </c>
      <c r="ER14" s="101" t="s">
        <v>794</v>
      </c>
      <c r="ES14" s="36" t="s">
        <v>795</v>
      </c>
      <c r="ET14" s="107" t="s">
        <v>796</v>
      </c>
      <c r="EU14" s="107" t="s">
        <v>797</v>
      </c>
      <c r="EV14" s="103" t="s">
        <v>798</v>
      </c>
      <c r="EW14" s="103" t="s">
        <v>799</v>
      </c>
      <c r="EX14" s="101" t="s">
        <v>800</v>
      </c>
      <c r="EY14" s="107" t="s">
        <v>801</v>
      </c>
      <c r="EZ14" s="103" t="s">
        <v>802</v>
      </c>
      <c r="FA14" s="101" t="s">
        <v>803</v>
      </c>
      <c r="FB14" s="107" t="s">
        <v>804</v>
      </c>
      <c r="FC14" s="103" t="s">
        <v>805</v>
      </c>
    </row>
    <row r="15" customFormat="false" ht="15" hidden="false" customHeight="false" outlineLevel="0" collapsed="false">
      <c r="A15" s="0" t="s">
        <v>223</v>
      </c>
      <c r="B15" s="9" t="s">
        <v>316</v>
      </c>
      <c r="C15" s="9" t="s">
        <v>30</v>
      </c>
      <c r="D15" s="9"/>
      <c r="E15" s="85" t="n">
        <f aca="false">IFERROR(1/(1/IF($B15="&lt;01",ROUND(SUM(EID!$L:$L)/2,0),SUMIFS(HTS!$AM:$AM,HTS!$C:$C,$B15,HTS!$D:$D,$C15))),"")</f>
        <v>16</v>
      </c>
      <c r="F15" s="10" t="n">
        <f aca="false">IFERROR(1/(1/IF($B15="&lt;01",ROUND(SUM(EID!$N:$N)/2,0),SUMIFS(Cascade!$AX:$AX,Cascade!$C:$C,$B15,Cascade!$D:$D,$C15))),"")</f>
        <v>16</v>
      </c>
      <c r="G15" s="10" t="n">
        <f aca="false">IFERROR(1/(1/IF($B15="&lt;01",ROUND(SUM(EID!$P:$P)/2,0),SUMIFS(Cascade!$AP:$AP,Cascade!$C:$C,$B15,Cascade!$D:$D,$C15))),"")</f>
        <v>16</v>
      </c>
      <c r="H15" s="10" t="n">
        <f aca="false">IFERROR(1/(1/IF($B15="&lt;01",ROUND(SUM(EID!$T:$T)/2,0),SUMIFS(Cascade!$BB:$BB,Cascade!$C:$C,$B15,Cascade!$D:$D,$C15))),"")</f>
        <v>10</v>
      </c>
      <c r="I15" s="10" t="n">
        <f aca="false">IFERROR(1/(1/IF($B15="&lt;01",ROUND(SUM(EID!$V:$V)/2,0),SUMIFS(Cascade!$BE:$BE,Cascade!$C:$C,$B15,Cascade!$D:$D,$C15))),"")</f>
        <v>10</v>
      </c>
      <c r="J15" s="10" t="str">
        <f aca="false">IFERROR(1/(1/SUMIFS(Cascade!$AJ:$AJ,Cascade!$C:$C,"="&amp;$B15,Cascade!$D:$D,$C15)),"")</f>
        <v/>
      </c>
      <c r="K15" s="10" t="n">
        <f aca="false">IFERROR(1/(1/SUMIFS(Cascade!$AQ:$AQ,Cascade!$C:$C,"="&amp;$B15,Cascade!$D:$D,$C15)),"")</f>
        <v>35172.2857142857</v>
      </c>
      <c r="L15" s="88" t="str">
        <f aca="false">IF(SUM($J15)=0,"",SUM($K15)/$J15)</f>
        <v/>
      </c>
      <c r="M15" s="85" t="str">
        <f aca="false">IFERROR(1/(1/ROUND(SUMIFS(Spectrum!$N:$N,Spectrum!$Q:$Q,"="&amp;$B15,Spectrum!$K:$K,$C15,Spectrum!$G:$G,M$14,Spectrum!$M:$M,"CY2024Q3"),0)),"")</f>
        <v/>
      </c>
      <c r="N15" s="5" t="str">
        <f aca="false">IFERROR(1/(1/ROUND(SUMIFS(Spectrum!$N:$N,Spectrum!$Q:$Q,"="&amp;$B15,Spectrum!$K:$K,$C15,Spectrum!$G:$G,N$14,Spectrum!$M:$M,"CY2025Q3"),0)),IFERROR(1/(1/SUM($J15,$M15)),""))</f>
        <v/>
      </c>
      <c r="O15" s="88" t="n">
        <f aca="false">MAX(SUM($L15),90%)</f>
        <v>0.9</v>
      </c>
      <c r="P15" s="10" t="n">
        <f aca="false">IFERROR(1/(1/ROUND(IF(SUM($N15)=0,IF(SUM($J15)=0,SUM($G15)/SUM($O15),SUM($J15)),SUM($N15))*SUM($O15),0)),"")</f>
        <v>16</v>
      </c>
      <c r="Q15" s="88" t="n">
        <f aca="false">IF(SUM($K15)=0,1,SUM($G15)/$K15)</f>
        <v>1</v>
      </c>
      <c r="R15" s="81" t="n">
        <f aca="false">IFERROR(1/(1/ROUND(SUM($P15)*SUM($Q15),0)),"")</f>
        <v>16</v>
      </c>
      <c r="S15" s="5" t="n">
        <f aca="false">IFERROR(1/(1/IF(SUM($R15)=0,IF(SUM($P15)=0,SUM($K15),SUM($P15)),ROUND(SUM($R15)/IF(SUM($Q15)=0,1,SUM($Q15)),0))),"")</f>
        <v>16</v>
      </c>
      <c r="T15" s="88" t="str">
        <f aca="false">IF(SUM($N15)=0,"",SUM($S15)/$N15)</f>
        <v/>
      </c>
      <c r="U15" s="92" t="n">
        <v>0.98</v>
      </c>
      <c r="V15" s="88" t="n">
        <v>0.98</v>
      </c>
      <c r="W15" s="10" t="n">
        <f aca="false">IF(OR(SUM($V15)=0,SUM($R15)=0),"",ROUND((SUM($R15)-(SUM($G15)*SUM($U15)))/$V15,0))</f>
        <v>0</v>
      </c>
      <c r="X15" s="88" t="n">
        <v>1</v>
      </c>
      <c r="Y15" s="5" t="str">
        <f aca="false">IF(SUM($W15)=0,"",ROUND(SUM($W15)*SUM($X15),0))</f>
        <v/>
      </c>
      <c r="Z15" s="92" t="n">
        <v>0.7</v>
      </c>
      <c r="AA15" s="10" t="n">
        <f aca="false">IF(SUM($G15,$W15)=0,"",ROUND(SUM($G15)+(SUM($W15)*$Z15),0))</f>
        <v>16</v>
      </c>
      <c r="AB15" s="88" t="n">
        <v>0.95</v>
      </c>
      <c r="AC15" s="5" t="n">
        <f aca="false">IF(SUM($AA15)=0,"",ROUND($AA15*$AB15,0))</f>
        <v>15</v>
      </c>
      <c r="AD15" s="92" t="n">
        <v>0.95</v>
      </c>
      <c r="AE15" s="5" t="n">
        <f aca="false">IF(SUM($AC15)=0,"",ROUND($AD15*$AC15,0))</f>
        <v>14</v>
      </c>
      <c r="AF15" s="92" t="n">
        <v>0.95</v>
      </c>
      <c r="AG15" s="5" t="str">
        <f aca="false">IF(SUM($Y15)=0,"",ROUND($Y15/$AF15,0))</f>
        <v/>
      </c>
      <c r="AH15" s="149"/>
      <c r="AI15" s="150"/>
      <c r="AJ15" s="150"/>
      <c r="AK15" s="150"/>
      <c r="AL15" s="150"/>
      <c r="AM15" s="150"/>
      <c r="AN15" s="150"/>
      <c r="AO15" s="150"/>
      <c r="AP15" s="150"/>
      <c r="AQ15" s="151"/>
      <c r="AR15" s="152"/>
      <c r="AS15" s="152"/>
      <c r="AT15" s="152"/>
      <c r="AU15" s="152"/>
      <c r="AV15" s="152"/>
      <c r="AW15" s="152"/>
      <c r="AX15" s="152"/>
      <c r="AY15" s="152"/>
      <c r="AZ15" s="150"/>
      <c r="BA15" s="153"/>
      <c r="BB15" s="150"/>
      <c r="BC15" s="150"/>
      <c r="BD15" s="100"/>
      <c r="BE15" s="153"/>
      <c r="BF15" s="100"/>
      <c r="BG15" s="150"/>
      <c r="BH15" s="153"/>
      <c r="BI15" s="154"/>
      <c r="BJ15" s="154"/>
      <c r="BK15" s="154"/>
      <c r="BL15" s="100"/>
      <c r="BM15" s="100"/>
      <c r="BN15" s="100"/>
      <c r="BO15" s="154"/>
      <c r="BP15" s="154"/>
      <c r="BQ15" s="153"/>
      <c r="BR15" s="154"/>
      <c r="BS15" s="155"/>
      <c r="BT15" s="100"/>
      <c r="BU15" s="100"/>
      <c r="BV15" s="153"/>
      <c r="BW15" s="154"/>
      <c r="BX15" s="154"/>
      <c r="BY15" s="154"/>
      <c r="BZ15" s="100"/>
      <c r="CA15" s="100"/>
      <c r="CB15" s="100"/>
      <c r="CC15" s="154"/>
      <c r="CD15" s="150"/>
      <c r="CE15" s="153"/>
      <c r="CF15" s="154"/>
      <c r="CG15" s="150"/>
      <c r="CH15" s="100"/>
      <c r="CI15" s="100"/>
      <c r="CJ15" s="153"/>
      <c r="CK15" s="154"/>
      <c r="CL15" s="154"/>
      <c r="CM15" s="154"/>
      <c r="CN15" s="154"/>
      <c r="CO15" s="154"/>
      <c r="CP15" s="154"/>
      <c r="CQ15" s="154"/>
      <c r="CR15" s="150"/>
      <c r="CS15" s="153"/>
      <c r="CT15" s="154"/>
      <c r="CU15" s="100"/>
      <c r="CV15" s="100"/>
      <c r="CW15" s="150"/>
      <c r="CX15" s="150"/>
      <c r="CY15" s="153"/>
      <c r="CZ15" s="100"/>
      <c r="DA15" s="150"/>
      <c r="DB15" s="153"/>
      <c r="DC15" s="100"/>
      <c r="DD15" s="150"/>
      <c r="DE15" s="153"/>
      <c r="DF15" s="154"/>
      <c r="DG15" s="150"/>
      <c r="DH15" s="150"/>
      <c r="DI15" s="100"/>
      <c r="DJ15" s="150"/>
      <c r="DK15" s="149"/>
      <c r="DL15" s="150"/>
      <c r="DM15" s="150"/>
      <c r="DN15" s="150"/>
      <c r="DO15" s="150"/>
      <c r="DP15" s="150"/>
      <c r="DQ15" s="100"/>
      <c r="DR15" s="100"/>
      <c r="DS15" s="100"/>
      <c r="DT15" s="100"/>
      <c r="DU15" s="153"/>
      <c r="DV15" s="150"/>
      <c r="DW15" s="150"/>
      <c r="DX15" s="150"/>
      <c r="DY15" s="100"/>
      <c r="DZ15" s="100"/>
      <c r="EA15" s="149"/>
      <c r="EB15" s="100"/>
      <c r="EC15" s="100"/>
      <c r="ED15" s="153"/>
      <c r="EE15" s="154"/>
      <c r="EF15" s="154"/>
      <c r="EG15" s="154"/>
      <c r="EH15" s="100"/>
      <c r="EI15" s="100"/>
      <c r="EJ15" s="100"/>
      <c r="EK15" s="100"/>
      <c r="EL15" s="150"/>
      <c r="EM15" s="150"/>
      <c r="EN15" s="150"/>
      <c r="EO15" s="150"/>
      <c r="EP15" s="149"/>
      <c r="EQ15" s="100"/>
      <c r="ER15" s="153"/>
      <c r="ES15" s="154"/>
      <c r="ET15" s="100"/>
      <c r="EU15" s="100"/>
      <c r="EV15" s="150"/>
      <c r="EW15" s="150"/>
      <c r="EX15" s="153"/>
      <c r="EY15" s="100"/>
      <c r="EZ15" s="150"/>
      <c r="FA15" s="153"/>
      <c r="FB15" s="100"/>
      <c r="FC15" s="155"/>
    </row>
    <row r="16" customFormat="false" ht="15" hidden="false" customHeight="false" outlineLevel="0" collapsed="false">
      <c r="A16" s="0" t="s">
        <v>223</v>
      </c>
      <c r="B16" s="9" t="s">
        <v>316</v>
      </c>
      <c r="C16" s="0" t="s">
        <v>48</v>
      </c>
      <c r="E16" s="85" t="n">
        <f aca="false">IFERROR(1/(1/IF($B16="&lt;01",ROUND(SUM(EID!$L:$L)/2,0),SUMIFS(HTS!$AM:$AM,HTS!$C:$C,$B16,HTS!$D:$D,$C16))),"")</f>
        <v>16</v>
      </c>
      <c r="F16" s="10" t="n">
        <f aca="false">IFERROR(1/(1/IF($B16="&lt;01",ROUND(SUM(EID!$N:$N)/2,0),SUMIFS(Cascade!$AX:$AX,Cascade!$C:$C,$B16,Cascade!$D:$D,$C16))),"")</f>
        <v>16</v>
      </c>
      <c r="G16" s="10" t="n">
        <f aca="false">IFERROR(1/(1/IF($B16="&lt;01",ROUND(SUM(EID!$P:$P)/2,0),SUMIFS(Cascade!$AP:$AP,Cascade!$C:$C,$B16,Cascade!$D:$D,$C16))),"")</f>
        <v>16</v>
      </c>
      <c r="H16" s="10" t="n">
        <f aca="false">IFERROR(1/(1/IF($B16="&lt;01",ROUND(SUM(EID!$T:$T)/2,0),SUMIFS(Cascade!$BB:$BB,Cascade!$C:$C,$B16,Cascade!$D:$D,$C16))),"")</f>
        <v>10</v>
      </c>
      <c r="I16" s="10" t="n">
        <f aca="false">IFERROR(1/(1/IF($B16="&lt;01",ROUND(SUM(EID!$V:$V)/2,0),SUMIFS(Cascade!$BE:$BE,Cascade!$C:$C,$B16,Cascade!$D:$D,$C16))),"")</f>
        <v>10</v>
      </c>
      <c r="J16" s="10" t="str">
        <f aca="false">IFERROR(1/(1/SUMIFS(Cascade!$AJ:$AJ,Cascade!$C:$C,"="&amp;$B16,Cascade!$D:$D,$C16)),"")</f>
        <v/>
      </c>
      <c r="K16" s="10" t="n">
        <f aca="false">IFERROR(1/(1/SUMIFS(Cascade!$AQ:$AQ,Cascade!$C:$C,"="&amp;$B16,Cascade!$D:$D,$C16)),"")</f>
        <v>34261.1714285714</v>
      </c>
      <c r="L16" s="88" t="str">
        <f aca="false">IF(SUM($J16)=0,"",SUM($K16)/$J16)</f>
        <v/>
      </c>
      <c r="M16" s="85" t="str">
        <f aca="false">IFERROR(1/(1/ROUND(SUMIFS(Spectrum!$N:$N,Spectrum!$Q:$Q,"="&amp;$B16,Spectrum!$K:$K,$C16,Spectrum!$G:$G,M$14,Spectrum!$M:$M,"CY2024Q3"),0)),"")</f>
        <v/>
      </c>
      <c r="N16" s="5" t="str">
        <f aca="false">IFERROR(1/(1/ROUND(SUMIFS(Spectrum!$N:$N,Spectrum!$Q:$Q,"="&amp;$B16,Spectrum!$K:$K,$C16,Spectrum!$G:$G,N$14,Spectrum!$M:$M,"CY2025Q3"),0)),IFERROR(1/(1/SUM($J16,$M16)),""))</f>
        <v/>
      </c>
      <c r="O16" s="88" t="n">
        <f aca="false">MAX(SUM($L16),90%)</f>
        <v>0.9</v>
      </c>
      <c r="P16" s="10" t="n">
        <f aca="false">IFERROR(1/(1/IF(SUM($N16)=0,SUM($G16),ROUND(SUM($N16)*SUM($O16),0))),"")</f>
        <v>16</v>
      </c>
      <c r="Q16" s="88" t="n">
        <f aca="false">IF(SUM($K16)=0,1,SUM($G16)/$K16)</f>
        <v>0.000467000961521623</v>
      </c>
      <c r="R16" s="81" t="str">
        <f aca="false">IFERROR(1/(1/ROUND(SUM($P16)*SUM($Q16),0)),"")</f>
        <v/>
      </c>
      <c r="S16" s="5" t="n">
        <f aca="false">IFERROR(1/(1/IF(SUM($R16)=0,IF(SUM($P16)=0,SUM($K16),SUM($P16)),ROUND(SUM($R16)/IF(SUM($Q16)=0,1,SUM($Q16)),0))),"")</f>
        <v>16</v>
      </c>
      <c r="T16" s="88" t="str">
        <f aca="false">IF(SUM($N16)=0,"",SUM($S16)/$N16)</f>
        <v/>
      </c>
      <c r="U16" s="92" t="n">
        <v>0.98</v>
      </c>
      <c r="V16" s="88" t="n">
        <v>0.98</v>
      </c>
      <c r="W16" s="10" t="str">
        <f aca="false">IF(OR(SUM($V16)=0,SUM($R16)=0),"",ROUND((SUM($R16)-(SUM($G16)*SUM($U16)))/$V16,0))</f>
        <v/>
      </c>
      <c r="X16" s="88" t="n">
        <v>1</v>
      </c>
      <c r="Y16" s="5" t="str">
        <f aca="false">IF(SUM($W16)=0,"",ROUND(SUM($W16)*SUM($X16),0))</f>
        <v/>
      </c>
      <c r="Z16" s="92" t="n">
        <v>0.7</v>
      </c>
      <c r="AA16" s="10" t="n">
        <f aca="false">IF(SUM($G16,$W16)=0,"",ROUND(SUM($G16)+(SUM($W16)*$Z16),0))</f>
        <v>16</v>
      </c>
      <c r="AB16" s="88" t="n">
        <v>0.95</v>
      </c>
      <c r="AC16" s="5" t="n">
        <f aca="false">IF(SUM($AA16)=0,"",ROUND($AA16*$AB16,0))</f>
        <v>15</v>
      </c>
      <c r="AD16" s="92" t="n">
        <v>0.95</v>
      </c>
      <c r="AE16" s="5" t="n">
        <f aca="false">IF(SUM($AC16)=0,"",ROUND($AD16*$AC16,0))</f>
        <v>14</v>
      </c>
      <c r="AF16" s="92" t="n">
        <v>0.95</v>
      </c>
      <c r="AG16" s="5" t="str">
        <f aca="false">IF(SUM($Y16)=0,"",ROUND($Y16/$AF16,0))</f>
        <v/>
      </c>
      <c r="AH16" s="149"/>
      <c r="AI16" s="150"/>
      <c r="AJ16" s="150"/>
      <c r="AK16" s="150"/>
      <c r="AL16" s="150"/>
      <c r="AM16" s="150"/>
      <c r="AN16" s="150"/>
      <c r="AO16" s="150"/>
      <c r="AP16" s="150"/>
      <c r="AQ16" s="151"/>
      <c r="AR16" s="152"/>
      <c r="AS16" s="152"/>
      <c r="AT16" s="152"/>
      <c r="AU16" s="152"/>
      <c r="AV16" s="152"/>
      <c r="AW16" s="152"/>
      <c r="AX16" s="152"/>
      <c r="AY16" s="152"/>
      <c r="AZ16" s="150"/>
      <c r="BA16" s="153"/>
      <c r="BB16" s="150"/>
      <c r="BC16" s="150"/>
      <c r="BD16" s="100"/>
      <c r="BE16" s="153"/>
      <c r="BF16" s="100"/>
      <c r="BG16" s="150"/>
      <c r="BH16" s="153"/>
      <c r="BI16" s="154"/>
      <c r="BJ16" s="154"/>
      <c r="BK16" s="154"/>
      <c r="BL16" s="100"/>
      <c r="BM16" s="100"/>
      <c r="BN16" s="100"/>
      <c r="BO16" s="154"/>
      <c r="BP16" s="154"/>
      <c r="BQ16" s="153"/>
      <c r="BR16" s="154"/>
      <c r="BS16" s="155"/>
      <c r="BT16" s="100"/>
      <c r="BU16" s="100"/>
      <c r="BV16" s="153"/>
      <c r="BW16" s="154"/>
      <c r="BX16" s="154"/>
      <c r="BY16" s="154"/>
      <c r="BZ16" s="100"/>
      <c r="CA16" s="100"/>
      <c r="CB16" s="100"/>
      <c r="CC16" s="154"/>
      <c r="CD16" s="150"/>
      <c r="CE16" s="153"/>
      <c r="CF16" s="154"/>
      <c r="CG16" s="150"/>
      <c r="CH16" s="100"/>
      <c r="CI16" s="100"/>
      <c r="CJ16" s="153"/>
      <c r="CK16" s="154"/>
      <c r="CL16" s="154"/>
      <c r="CM16" s="154"/>
      <c r="CN16" s="154"/>
      <c r="CO16" s="154"/>
      <c r="CP16" s="154"/>
      <c r="CQ16" s="154"/>
      <c r="CR16" s="150"/>
      <c r="CS16" s="153"/>
      <c r="CT16" s="154"/>
      <c r="CU16" s="100"/>
      <c r="CV16" s="100"/>
      <c r="CW16" s="150"/>
      <c r="CX16" s="150"/>
      <c r="CY16" s="153"/>
      <c r="CZ16" s="100"/>
      <c r="DA16" s="150"/>
      <c r="DB16" s="153"/>
      <c r="DC16" s="100"/>
      <c r="DD16" s="150"/>
      <c r="DE16" s="153"/>
      <c r="DF16" s="154"/>
      <c r="DG16" s="150"/>
      <c r="DH16" s="150"/>
      <c r="DI16" s="100"/>
      <c r="DJ16" s="150"/>
      <c r="DK16" s="149"/>
      <c r="DL16" s="150"/>
      <c r="DM16" s="150"/>
      <c r="DN16" s="150"/>
      <c r="DO16" s="150"/>
      <c r="DP16" s="150"/>
      <c r="DQ16" s="100"/>
      <c r="DR16" s="100"/>
      <c r="DS16" s="100"/>
      <c r="DT16" s="100"/>
      <c r="DU16" s="153"/>
      <c r="DV16" s="150"/>
      <c r="DW16" s="150"/>
      <c r="DX16" s="150"/>
      <c r="DY16" s="100"/>
      <c r="DZ16" s="100"/>
      <c r="EA16" s="149"/>
      <c r="EB16" s="100"/>
      <c r="EC16" s="100"/>
      <c r="ED16" s="153"/>
      <c r="EE16" s="154"/>
      <c r="EF16" s="154"/>
      <c r="EG16" s="154"/>
      <c r="EH16" s="100"/>
      <c r="EI16" s="100"/>
      <c r="EJ16" s="100"/>
      <c r="EK16" s="100"/>
      <c r="EL16" s="150"/>
      <c r="EM16" s="150"/>
      <c r="EN16" s="150"/>
      <c r="EO16" s="150"/>
      <c r="EP16" s="149"/>
      <c r="EQ16" s="100"/>
      <c r="ER16" s="153"/>
      <c r="ES16" s="154"/>
      <c r="ET16" s="100"/>
      <c r="EU16" s="100"/>
      <c r="EV16" s="150"/>
      <c r="EW16" s="150"/>
      <c r="EX16" s="153"/>
      <c r="EY16" s="100"/>
      <c r="EZ16" s="150"/>
      <c r="FA16" s="153"/>
      <c r="FB16" s="100"/>
      <c r="FC16" s="155"/>
    </row>
    <row r="17" customFormat="false" ht="15" hidden="false" customHeight="false" outlineLevel="0" collapsed="false">
      <c r="A17" s="0" t="s">
        <v>223</v>
      </c>
      <c r="B17" s="9" t="s">
        <v>363</v>
      </c>
      <c r="C17" s="9" t="s">
        <v>30</v>
      </c>
      <c r="E17" s="85" t="str">
        <f aca="false">IFERROR(1/(1/IF($B17="&lt;01",ROUND(SUM(EID!$L:$L)/2,0),SUMIFS(HTS!$AM:$AM,HTS!$C:$C,$B17,HTS!$D:$D,$C17))),"")</f>
        <v/>
      </c>
      <c r="F17" s="10" t="str">
        <f aca="false">IFERROR(1/(1/IF($B17="&lt;01",ROUND(SUM(EID!$N:$N)/2,0),SUMIFS(Cascade!$AX:$AX,Cascade!$C:$C,$B17,Cascade!$D:$D,$C17))),"")</f>
        <v/>
      </c>
      <c r="G17" s="10" t="str">
        <f aca="false">IFERROR(1/(1/IF($B17="&lt;01",ROUND(SUM(EID!$P:$P)/2,0),SUMIFS(Cascade!$AP:$AP,Cascade!$C:$C,$B17,Cascade!$D:$D,$C17))),"")</f>
        <v/>
      </c>
      <c r="H17" s="10" t="str">
        <f aca="false">IFERROR(1/(1/IF($B17="&lt;01",ROUND(SUM(EID!$T:$T)/2,0),SUMIFS(Cascade!$BB:$BB,Cascade!$C:$C,$B17,Cascade!$D:$D,$C17))),"")</f>
        <v/>
      </c>
      <c r="I17" s="10" t="str">
        <f aca="false">IFERROR(1/(1/IF($B17="&lt;01",ROUND(SUM(EID!$V:$V)/2,0),SUMIFS(Cascade!$BE:$BE,Cascade!$C:$C,$B17,Cascade!$D:$D,$C17))),"")</f>
        <v/>
      </c>
      <c r="J17" s="10" t="str">
        <f aca="false">IFERROR(1/(1/SUMIFS(Cascade!$AJ:$AJ,Cascade!$C:$C,"="&amp;$B17,Cascade!$D:$D,$C17)),"")</f>
        <v/>
      </c>
      <c r="K17" s="10" t="n">
        <f aca="false">IFERROR(1/(1/SUMIFS(Cascade!$AQ:$AQ,Cascade!$C:$C,"="&amp;$B17,Cascade!$D:$D,$C17)),"")</f>
        <v>39317</v>
      </c>
      <c r="L17" s="88" t="str">
        <f aca="false">IF(SUM($J17)=0,"",SUM($K17)/$J17)</f>
        <v/>
      </c>
      <c r="M17" s="85" t="str">
        <f aca="false">IFERROR(1/(1/ROUND(SUMIFS(Spectrum!$N:$N,Spectrum!$Q:$Q,"="&amp;$B17,Spectrum!$K:$K,$C17,Spectrum!$G:$G,M$14,Spectrum!$M:$M,"CY2024Q3"),0)),"")</f>
        <v/>
      </c>
      <c r="N17" s="5" t="str">
        <f aca="false">IFERROR(1/(1/ROUND(SUMIFS(Spectrum!$N:$N,Spectrum!$Q:$Q,"="&amp;$B17,Spectrum!$K:$K,$C17,Spectrum!$G:$G,N$14,Spectrum!$M:$M,"CY2025Q3"),0)),IFERROR(1/(1/SUM($J17,$M17)),""))</f>
        <v/>
      </c>
      <c r="O17" s="88" t="n">
        <f aca="false">MAX(SUM($L17),90%)</f>
        <v>0.9</v>
      </c>
      <c r="P17" s="10" t="str">
        <f aca="false">IFERROR(1/(1/IF(SUM($N17)=0,SUM($G17),ROUND(SUM($N17)*SUM($O17),0))),"")</f>
        <v/>
      </c>
      <c r="Q17" s="88" t="n">
        <f aca="false">IF(SUM($K17)=0,1,SUM($G17)/$K17)</f>
        <v>0</v>
      </c>
      <c r="R17" s="81" t="str">
        <f aca="false">IFERROR(1/(1/ROUND(SUM($P17)*SUM($Q17),0)),"")</f>
        <v/>
      </c>
      <c r="S17" s="5" t="n">
        <f aca="false">IFERROR(1/(1/IF(SUM($R17)=0,IF(SUM($P17)=0,SUM($K17),SUM($P17)),ROUND(SUM($R17)/IF(SUM($Q17)=0,1,SUM($Q17)),0))),"")</f>
        <v>39317</v>
      </c>
      <c r="T17" s="88" t="str">
        <f aca="false">IF(SUM($N17)=0,"",SUM($S17)/$N17)</f>
        <v/>
      </c>
      <c r="U17" s="92" t="n">
        <v>0.98</v>
      </c>
      <c r="V17" s="88" t="n">
        <v>0.98</v>
      </c>
      <c r="W17" s="10" t="str">
        <f aca="false">IF(OR(SUM($V17)=0,SUM($R17)=0),"",ROUND((SUM($R17)-(SUM($G17)*SUM($U17)))/$V17,0))</f>
        <v/>
      </c>
      <c r="X17" s="88" t="n">
        <v>1</v>
      </c>
      <c r="Y17" s="5" t="str">
        <f aca="false">IF(SUM($W17)=0,"",ROUND(SUM($W17)*SUM($X17),0))</f>
        <v/>
      </c>
      <c r="Z17" s="92" t="n">
        <v>0.7</v>
      </c>
      <c r="AA17" s="10" t="str">
        <f aca="false">IF(SUM($G17,$W17)=0,"",ROUND(SUM($G17)+(SUM($W17)*$Z17),0))</f>
        <v/>
      </c>
      <c r="AB17" s="88" t="n">
        <v>0.95</v>
      </c>
      <c r="AC17" s="5" t="str">
        <f aca="false">IF(SUM($AA17)=0,"",ROUND($AA17*$AB17,0))</f>
        <v/>
      </c>
      <c r="AD17" s="92" t="n">
        <v>0.95</v>
      </c>
      <c r="AE17" s="5" t="str">
        <f aca="false">IF(SUM($AC17)=0,"",ROUND($AD17*$AC17,0))</f>
        <v/>
      </c>
      <c r="AF17" s="92" t="n">
        <v>0.95</v>
      </c>
      <c r="AG17" s="5" t="str">
        <f aca="false">IF(SUM($Y17)=0,"",ROUND($Y17/$AF17,0))</f>
        <v/>
      </c>
      <c r="AH17" s="149"/>
      <c r="AI17" s="150"/>
      <c r="AJ17" s="88" t="str">
        <f aca="false">IFERROR(1/(1/SUMIFS(TB!$P:$P,TB!$C:$C,$B17,TB!$D:$D,$C17))/SUM($E17),"")</f>
        <v/>
      </c>
      <c r="AK17" s="150"/>
      <c r="AL17" s="88" t="str">
        <f aca="false">IFERROR(1/(1/SUMIFS(HTS!$X:$X,HTS!$C:$C,$B17,HTS!$D:$D,$C17))/SUM($E17),"")</f>
        <v/>
      </c>
      <c r="AM17" s="88" t="str">
        <f aca="false">IFERROR(1/(1/SUMIFS(HTS!$AA:$AA,HTS!$C:$C,$B17,HTS!$D:$D,$C17))/SUM($E17),"")</f>
        <v/>
      </c>
      <c r="AN17" s="88" t="str">
        <f aca="false">IFERROR(1/(1/SUMIFS(HTS!$AD:$AD,HTS!$C:$C,$B17,HTS!$D:$D,$C17))/SUM($E17),"")</f>
        <v/>
      </c>
      <c r="AO17" s="88" t="str">
        <f aca="false">IFERROR(1/(1/SUMIFS(HTS!$AG:$AG,HTS!$C:$C,$B17,HTS!$D:$D,$C17))/SUM($E17),"")</f>
        <v/>
      </c>
      <c r="AP17" s="88" t="str">
        <f aca="false">IFERROR(1/(1/SUMIFS(HTS!$AJ:$AJ,HTS!$C:$C,$B17,HTS!$D:$D,$C17))/SUM($E17),"")</f>
        <v/>
      </c>
      <c r="AQ17" s="151"/>
      <c r="AR17" s="152"/>
      <c r="AS17" s="144" t="str">
        <f aca="false">AJ17</f>
        <v/>
      </c>
      <c r="AT17" s="152"/>
      <c r="AU17" s="144" t="str">
        <f aca="false">AL17</f>
        <v/>
      </c>
      <c r="AV17" s="144" t="str">
        <f aca="false">AM17</f>
        <v/>
      </c>
      <c r="AW17" s="144" t="str">
        <f aca="false">AN17</f>
        <v/>
      </c>
      <c r="AX17" s="144" t="str">
        <f aca="false">AO17</f>
        <v/>
      </c>
      <c r="AY17" s="144" t="str">
        <f aca="false">AP17</f>
        <v/>
      </c>
      <c r="AZ17" s="88" t="str">
        <f aca="false">IFERROR(1/(1/SUM(AQ17:AY17)),"")</f>
        <v/>
      </c>
      <c r="BA17" s="153"/>
      <c r="BB17" s="150"/>
      <c r="BC17" s="150"/>
      <c r="BD17" s="100"/>
      <c r="BE17" s="153"/>
      <c r="BF17" s="100"/>
      <c r="BG17" s="150"/>
      <c r="BH17" s="153"/>
      <c r="BI17" s="154"/>
      <c r="BJ17" s="154"/>
      <c r="BK17" s="154"/>
      <c r="BL17" s="100"/>
      <c r="BM17" s="100"/>
      <c r="BN17" s="100"/>
      <c r="BO17" s="154"/>
      <c r="BP17" s="154"/>
      <c r="BQ17" s="153"/>
      <c r="BR17" s="154"/>
      <c r="BS17" s="155"/>
      <c r="BT17" s="100"/>
      <c r="BU17" s="100"/>
      <c r="BV17" s="153"/>
      <c r="BW17" s="154"/>
      <c r="BX17" s="154"/>
      <c r="BY17" s="154"/>
      <c r="BZ17" s="100"/>
      <c r="CA17" s="100"/>
      <c r="CB17" s="100"/>
      <c r="CC17" s="154"/>
      <c r="CD17" s="150"/>
      <c r="CE17" s="153"/>
      <c r="CF17" s="154"/>
      <c r="CG17" s="88" t="n">
        <f aca="false">AF17</f>
        <v>0.95</v>
      </c>
      <c r="CI17" s="5" t="str">
        <f aca="false">IF(SUM($AG17)=0,"",IF(AND($AS17="",SUM($AG17)&gt;0),"&lt;- Enter Linkage Rate",ROUND($AG17*$AS17*$CG17,0)))</f>
        <v/>
      </c>
      <c r="CS17" s="153"/>
      <c r="CT17" s="154"/>
      <c r="CU17" s="100"/>
      <c r="CV17" s="100"/>
      <c r="CW17" s="150"/>
      <c r="CX17" s="150"/>
      <c r="CY17" s="153"/>
      <c r="CZ17" s="100"/>
      <c r="DA17" s="150"/>
      <c r="DB17" s="153"/>
      <c r="DC17" s="100"/>
      <c r="DD17" s="150"/>
      <c r="DE17" s="153"/>
      <c r="DF17" s="154"/>
      <c r="DG17" s="150"/>
      <c r="DH17" s="150"/>
      <c r="DI17" s="100"/>
      <c r="DJ17" s="150"/>
      <c r="DK17" s="149"/>
      <c r="DL17" s="150"/>
      <c r="DM17" s="150"/>
      <c r="DN17" s="150"/>
      <c r="DO17" s="150"/>
      <c r="DP17" s="150"/>
      <c r="DQ17" s="100"/>
      <c r="DR17" s="100"/>
      <c r="DS17" s="100"/>
      <c r="DT17" s="100"/>
      <c r="DU17" s="153"/>
      <c r="DV17" s="150"/>
      <c r="DW17" s="150"/>
      <c r="DX17" s="150"/>
      <c r="DY17" s="100"/>
      <c r="DZ17" s="100"/>
      <c r="EA17" s="149"/>
      <c r="EB17" s="100"/>
      <c r="EC17" s="100"/>
      <c r="ED17" s="153"/>
      <c r="EE17" s="154"/>
      <c r="EF17" s="154"/>
      <c r="EG17" s="154"/>
      <c r="EH17" s="100"/>
      <c r="EI17" s="100"/>
      <c r="EJ17" s="100"/>
      <c r="EK17" s="100"/>
      <c r="EL17" s="150"/>
      <c r="EM17" s="150"/>
      <c r="EN17" s="150"/>
      <c r="EO17" s="150"/>
      <c r="EP17" s="149"/>
      <c r="EQ17" s="100"/>
      <c r="ER17" s="153"/>
      <c r="ES17" s="154"/>
      <c r="ET17" s="100"/>
      <c r="EU17" s="100"/>
      <c r="EV17" s="150"/>
      <c r="EW17" s="150"/>
      <c r="EX17" s="153"/>
      <c r="EY17" s="100"/>
      <c r="EZ17" s="150"/>
      <c r="FA17" s="153"/>
      <c r="FB17" s="100"/>
      <c r="FC17" s="155"/>
    </row>
    <row r="18" customFormat="false" ht="15" hidden="false" customHeight="false" outlineLevel="0" collapsed="false">
      <c r="A18" s="0" t="s">
        <v>223</v>
      </c>
      <c r="B18" s="9" t="s">
        <v>363</v>
      </c>
      <c r="C18" s="0" t="s">
        <v>48</v>
      </c>
      <c r="E18" s="85" t="str">
        <f aca="false">IFERROR(1/(1/IF($B18="&lt;01",ROUND(SUM(EID!$L:$L)/2,0),SUMIFS(HTS!$AM:$AM,HTS!$C:$C,$B18,HTS!$D:$D,$C18))),"")</f>
        <v/>
      </c>
      <c r="F18" s="10" t="str">
        <f aca="false">IFERROR(1/(1/IF($B18="&lt;01",ROUND(SUM(EID!$N:$N)/2,0),SUMIFS(Cascade!$AX:$AX,Cascade!$C:$C,$B18,Cascade!$D:$D,$C18))),"")</f>
        <v/>
      </c>
      <c r="G18" s="10" t="str">
        <f aca="false">IFERROR(1/(1/IF($B18="&lt;01",ROUND(SUM(EID!$P:$P)/2,0),SUMIFS(Cascade!$AP:$AP,Cascade!$C:$C,$B18,Cascade!$D:$D,$C18))),"")</f>
        <v/>
      </c>
      <c r="H18" s="10" t="str">
        <f aca="false">IFERROR(1/(1/IF($B18="&lt;01",ROUND(SUM(EID!$T:$T)/2,0),SUMIFS(Cascade!$BB:$BB,Cascade!$C:$C,$B18,Cascade!$D:$D,$C18))),"")</f>
        <v/>
      </c>
      <c r="I18" s="10" t="str">
        <f aca="false">IFERROR(1/(1/IF($B18="&lt;01",ROUND(SUM(EID!$V:$V)/2,0),SUMIFS(Cascade!$BE:$BE,Cascade!$C:$C,$B18,Cascade!$D:$D,$C18))),"")</f>
        <v/>
      </c>
      <c r="J18" s="10" t="str">
        <f aca="false">IFERROR(1/(1/SUMIFS(Cascade!$AJ:$AJ,Cascade!$C:$C,"="&amp;$B18,Cascade!$D:$D,$C18)),"")</f>
        <v/>
      </c>
      <c r="K18" s="10" t="n">
        <f aca="false">IFERROR(1/(1/SUMIFS(Cascade!$AQ:$AQ,Cascade!$C:$C,"="&amp;$B18,Cascade!$D:$D,$C18)),"")</f>
        <v>38907</v>
      </c>
      <c r="L18" s="88" t="str">
        <f aca="false">IF(SUM($J18)=0,"",SUM($K18)/$J18)</f>
        <v/>
      </c>
      <c r="M18" s="85" t="str">
        <f aca="false">IFERROR(1/(1/ROUND(SUMIFS(Spectrum!$N:$N,Spectrum!$Q:$Q,"="&amp;$B18,Spectrum!$K:$K,$C18,Spectrum!$G:$G,M$14,Spectrum!$M:$M,"CY2024Q3"),0)),"")</f>
        <v/>
      </c>
      <c r="N18" s="5" t="str">
        <f aca="false">IFERROR(1/(1/ROUND(SUMIFS(Spectrum!$N:$N,Spectrum!$Q:$Q,"="&amp;$B18,Spectrum!$K:$K,$C18,Spectrum!$G:$G,N$14,Spectrum!$M:$M,"CY2025Q3"),0)),IFERROR(1/(1/SUM($J18,$M18)),""))</f>
        <v/>
      </c>
      <c r="O18" s="88" t="n">
        <f aca="false">MAX(SUM($L18),90%)</f>
        <v>0.9</v>
      </c>
      <c r="P18" s="10" t="str">
        <f aca="false">IFERROR(1/(1/IF(SUM($N18)=0,SUM($G18),ROUND(SUM($N18)*SUM($O18),0))),"")</f>
        <v/>
      </c>
      <c r="Q18" s="88" t="n">
        <f aca="false">IF(SUM($K18)=0,1,SUM($G18)/$K18)</f>
        <v>0</v>
      </c>
      <c r="R18" s="81" t="str">
        <f aca="false">IFERROR(1/(1/ROUND(SUM($P18)*SUM($Q18),0)),"")</f>
        <v/>
      </c>
      <c r="S18" s="5" t="n">
        <f aca="false">IFERROR(1/(1/IF(SUM($R18)=0,IF(SUM($P18)=0,SUM($K18),SUM($P18)),ROUND(SUM($R18)/IF(SUM($Q18)=0,1,SUM($Q18)),0))),"")</f>
        <v>38907</v>
      </c>
      <c r="T18" s="88" t="str">
        <f aca="false">IF(SUM($N18)=0,"",SUM($S18)/$N18)</f>
        <v/>
      </c>
      <c r="U18" s="92" t="n">
        <v>0.98</v>
      </c>
      <c r="V18" s="88" t="n">
        <v>0.98</v>
      </c>
      <c r="W18" s="10" t="str">
        <f aca="false">IF(OR(SUM($V18)=0,SUM($R18)=0),"",ROUND((SUM($R18)-(SUM($G18)*SUM($U18)))/$V18,0))</f>
        <v/>
      </c>
      <c r="X18" s="88" t="n">
        <v>1</v>
      </c>
      <c r="Y18" s="5" t="str">
        <f aca="false">IF(SUM($W18)=0,"",ROUND(SUM($W18)*SUM($X18),0))</f>
        <v/>
      </c>
      <c r="Z18" s="92" t="n">
        <v>0.7</v>
      </c>
      <c r="AA18" s="10" t="str">
        <f aca="false">IF(SUM($G18,$W18)=0,"",ROUND(SUM($G18)+(SUM($W18)*$Z18),0))</f>
        <v/>
      </c>
      <c r="AB18" s="88" t="n">
        <v>0.95</v>
      </c>
      <c r="AC18" s="5" t="str">
        <f aca="false">IF(SUM($AA18)=0,"",ROUND($AA18*$AB18,0))</f>
        <v/>
      </c>
      <c r="AD18" s="92" t="n">
        <v>0.95</v>
      </c>
      <c r="AE18" s="5" t="str">
        <f aca="false">IF(SUM($AC18)=0,"",ROUND($AD18*$AC18,0))</f>
        <v/>
      </c>
      <c r="AF18" s="92" t="n">
        <v>0.95</v>
      </c>
      <c r="AG18" s="5" t="str">
        <f aca="false">IF(SUM($Y18)=0,"",ROUND($Y18/$AF18,0))</f>
        <v/>
      </c>
      <c r="AH18" s="149"/>
      <c r="AI18" s="150"/>
      <c r="AJ18" s="88" t="str">
        <f aca="false">IFERROR(1/(1/SUMIFS(TB!$P:$P,TB!$C:$C,$B18,TB!$D:$D,$C18))/SUM($E18),"")</f>
        <v/>
      </c>
      <c r="AK18" s="150"/>
      <c r="AL18" s="88" t="str">
        <f aca="false">IFERROR(1/(1/SUMIFS(HTS!$X:$X,HTS!$C:$C,$B18,HTS!$D:$D,$C18))/SUM($E18),"")</f>
        <v/>
      </c>
      <c r="AM18" s="88" t="str">
        <f aca="false">IFERROR(1/(1/SUMIFS(HTS!$AA:$AA,HTS!$C:$C,$B18,HTS!$D:$D,$C18))/SUM($E18),"")</f>
        <v/>
      </c>
      <c r="AN18" s="88" t="str">
        <f aca="false">IFERROR(1/(1/SUMIFS(HTS!$AD:$AD,HTS!$C:$C,$B18,HTS!$D:$D,$C18))/SUM($E18),"")</f>
        <v/>
      </c>
      <c r="AO18" s="88" t="str">
        <f aca="false">IFERROR(1/(1/SUMIFS(HTS!$AG:$AG,HTS!$C:$C,$B18,HTS!$D:$D,$C18))/SUM($E18),"")</f>
        <v/>
      </c>
      <c r="AP18" s="88" t="str">
        <f aca="false">IFERROR(1/(1/SUMIFS(HTS!$AJ:$AJ,HTS!$C:$C,$B18,HTS!$D:$D,$C18))/SUM($E18),"")</f>
        <v/>
      </c>
      <c r="AQ18" s="151"/>
      <c r="AR18" s="152"/>
      <c r="AS18" s="144" t="str">
        <f aca="false">AJ18</f>
        <v/>
      </c>
      <c r="AT18" s="152"/>
      <c r="AU18" s="144" t="str">
        <f aca="false">AL18</f>
        <v/>
      </c>
      <c r="AV18" s="144" t="str">
        <f aca="false">AM18</f>
        <v/>
      </c>
      <c r="AW18" s="144" t="str">
        <f aca="false">AN18</f>
        <v/>
      </c>
      <c r="AX18" s="144" t="str">
        <f aca="false">AO18</f>
        <v/>
      </c>
      <c r="AY18" s="144" t="str">
        <f aca="false">AP18</f>
        <v/>
      </c>
      <c r="AZ18" s="88" t="str">
        <f aca="false">IFERROR(1/(1/SUM(AQ18:AY18)),"")</f>
        <v/>
      </c>
      <c r="BA18" s="153"/>
      <c r="BB18" s="150"/>
      <c r="BC18" s="150"/>
      <c r="BD18" s="100"/>
      <c r="BE18" s="153"/>
      <c r="BF18" s="100"/>
      <c r="BG18" s="150"/>
      <c r="BH18" s="153"/>
      <c r="BI18" s="154"/>
      <c r="BJ18" s="154"/>
      <c r="BK18" s="154"/>
      <c r="BL18" s="100"/>
      <c r="BM18" s="100"/>
      <c r="BN18" s="100"/>
      <c r="BO18" s="154"/>
      <c r="BP18" s="154"/>
      <c r="BQ18" s="153"/>
      <c r="BR18" s="154"/>
      <c r="BS18" s="155"/>
      <c r="BT18" s="100"/>
      <c r="BU18" s="100"/>
      <c r="BV18" s="153"/>
      <c r="BW18" s="154"/>
      <c r="BX18" s="154"/>
      <c r="BY18" s="154"/>
      <c r="BZ18" s="100"/>
      <c r="CA18" s="100"/>
      <c r="CB18" s="100"/>
      <c r="CC18" s="154"/>
      <c r="CD18" s="150"/>
      <c r="CE18" s="153"/>
      <c r="CF18" s="154"/>
      <c r="CG18" s="88" t="n">
        <f aca="false">AF18</f>
        <v>0.95</v>
      </c>
      <c r="CI18" s="5" t="str">
        <f aca="false">IF(SUM($AG18)=0,"",IF(AND($AS18="",SUM($AG18)&gt;0),"&lt;- Enter Linkage Rate",ROUND($AG18*$AS18*$CG18,0)))</f>
        <v/>
      </c>
      <c r="CS18" s="153"/>
      <c r="CT18" s="154"/>
      <c r="CU18" s="100"/>
      <c r="CV18" s="100"/>
      <c r="CW18" s="150"/>
      <c r="CX18" s="150"/>
      <c r="CY18" s="153"/>
      <c r="CZ18" s="100"/>
      <c r="DA18" s="150"/>
      <c r="DB18" s="153"/>
      <c r="DC18" s="100"/>
      <c r="DD18" s="150"/>
      <c r="DE18" s="153"/>
      <c r="DF18" s="154"/>
      <c r="DG18" s="150"/>
      <c r="DH18" s="150"/>
      <c r="DI18" s="100"/>
      <c r="DJ18" s="150"/>
      <c r="DK18" s="149"/>
      <c r="DL18" s="150"/>
      <c r="DM18" s="150"/>
      <c r="DN18" s="150"/>
      <c r="DO18" s="150"/>
      <c r="DP18" s="150"/>
      <c r="DQ18" s="100"/>
      <c r="DR18" s="100"/>
      <c r="DS18" s="100"/>
      <c r="DT18" s="100"/>
      <c r="DU18" s="153"/>
      <c r="DV18" s="150"/>
      <c r="DW18" s="150"/>
      <c r="DX18" s="150"/>
      <c r="DY18" s="100"/>
      <c r="DZ18" s="100"/>
      <c r="EA18" s="149"/>
      <c r="EB18" s="100"/>
      <c r="EC18" s="100"/>
      <c r="ED18" s="153"/>
      <c r="EE18" s="154"/>
      <c r="EF18" s="154"/>
      <c r="EG18" s="154"/>
      <c r="EH18" s="100"/>
      <c r="EI18" s="100"/>
      <c r="EJ18" s="100"/>
      <c r="EK18" s="100"/>
      <c r="EL18" s="150"/>
      <c r="EM18" s="150"/>
      <c r="EN18" s="150"/>
      <c r="EO18" s="150"/>
      <c r="EP18" s="149"/>
      <c r="EQ18" s="100"/>
      <c r="ER18" s="153"/>
      <c r="ES18" s="154"/>
      <c r="ET18" s="100"/>
      <c r="EU18" s="100"/>
      <c r="EV18" s="150"/>
      <c r="EW18" s="150"/>
      <c r="EX18" s="153"/>
      <c r="EY18" s="100"/>
      <c r="EZ18" s="150"/>
      <c r="FA18" s="153"/>
      <c r="FB18" s="100"/>
      <c r="FC18" s="155"/>
    </row>
    <row r="19" customFormat="false" ht="15" hidden="false" customHeight="false" outlineLevel="0" collapsed="false">
      <c r="A19" s="0" t="s">
        <v>223</v>
      </c>
      <c r="B19" s="9" t="s">
        <v>364</v>
      </c>
      <c r="C19" s="9" t="s">
        <v>30</v>
      </c>
      <c r="E19" s="85" t="n">
        <f aca="false">IFERROR(1/(1/IF($B19="&lt;01",ROUND(SUM(EID!$L:$L)/2,0),SUMIFS(HTS!$AM:$AM,HTS!$C:$C,$B19,HTS!$D:$D,$C19))),"")</f>
        <v>-3360</v>
      </c>
      <c r="F19" s="10" t="n">
        <f aca="false">IFERROR(1/(1/IF($B19="&lt;01",ROUND(SUM(EID!$N:$N)/2,0),SUMIFS(Cascade!$AX:$AX,Cascade!$C:$C,$B19,Cascade!$D:$D,$C19))),"")</f>
        <v>-2938</v>
      </c>
      <c r="G19" s="10" t="str">
        <f aca="false">IFERROR(1/(1/IF($B19="&lt;01",ROUND(SUM(EID!$P:$P)/2,0),SUMIFS(Cascade!$AP:$AP,Cascade!$C:$C,$B19,Cascade!$D:$D,$C19))),"")</f>
        <v/>
      </c>
      <c r="H19" s="10" t="n">
        <f aca="false">IFERROR(1/(1/IF($B19="&lt;01",ROUND(SUM(EID!$T:$T)/2,0),SUMIFS(Cascade!$BB:$BB,Cascade!$C:$C,$B19,Cascade!$D:$D,$C19))),"")</f>
        <v>843</v>
      </c>
      <c r="I19" s="10" t="n">
        <f aca="false">IFERROR(1/(1/IF($B19="&lt;01",ROUND(SUM(EID!$V:$V)/2,0),SUMIFS(Cascade!$BE:$BE,Cascade!$C:$C,$B19,Cascade!$D:$D,$C19))),"")</f>
        <v>804</v>
      </c>
      <c r="J19" s="10" t="str">
        <f aca="false">IFERROR(1/(1/SUMIFS(Cascade!$AJ:$AJ,Cascade!$C:$C,"="&amp;$B19,Cascade!$D:$D,$C19)),"")</f>
        <v/>
      </c>
      <c r="K19" s="10" t="n">
        <f aca="false">IFERROR(1/(1/SUMIFS(Cascade!$AQ:$AQ,Cascade!$C:$C,"="&amp;$B19,Cascade!$D:$D,$C19)),"")</f>
        <v>33121</v>
      </c>
      <c r="L19" s="88" t="str">
        <f aca="false">IF(SUM($J19)=0,"",SUM($K19)/$J19)</f>
        <v/>
      </c>
      <c r="M19" s="85" t="str">
        <f aca="false">IFERROR(1/(1/ROUND(SUMIFS(Spectrum!$N:$N,Spectrum!$Q:$Q,"="&amp;$B19,Spectrum!$K:$K,$C19,Spectrum!$G:$G,M$14,Spectrum!$M:$M,"CY2024Q3"),0)),"")</f>
        <v/>
      </c>
      <c r="N19" s="5" t="str">
        <f aca="false">IFERROR(1/(1/ROUND(SUMIFS(Spectrum!$N:$N,Spectrum!$Q:$Q,"="&amp;$B19,Spectrum!$K:$K,$C19,Spectrum!$G:$G,N$14,Spectrum!$M:$M,"CY2025Q3"),0)),IFERROR(1/(1/SUM($J19,$M19)),""))</f>
        <v/>
      </c>
      <c r="O19" s="88" t="n">
        <f aca="false">MAX(SUM($L19),90%)</f>
        <v>0.9</v>
      </c>
      <c r="P19" s="10" t="str">
        <f aca="false">IFERROR(1/(1/IF(SUM($N19)=0,SUM($G19),ROUND(SUM($N19)*SUM($O19),0))),"")</f>
        <v/>
      </c>
      <c r="Q19" s="88" t="n">
        <f aca="false">IF(SUM($K19)=0,1,SUM($G19)/$K19)</f>
        <v>0</v>
      </c>
      <c r="R19" s="81" t="str">
        <f aca="false">IFERROR(1/(1/ROUND(SUM($P19)*SUM($Q19),0)),"")</f>
        <v/>
      </c>
      <c r="S19" s="5" t="n">
        <f aca="false">IFERROR(1/(1/IF(SUM($R19)=0,IF(SUM($P19)=0,SUM($K19),SUM($P19)),ROUND(SUM($R19)/IF(SUM($Q19)=0,1,SUM($Q19)),0))),"")</f>
        <v>33121</v>
      </c>
      <c r="T19" s="88" t="str">
        <f aca="false">IF(SUM($N19)=0,"",SUM($S19)/$N19)</f>
        <v/>
      </c>
      <c r="U19" s="92" t="n">
        <v>0.98</v>
      </c>
      <c r="V19" s="88" t="n">
        <v>0.98</v>
      </c>
      <c r="W19" s="10" t="str">
        <f aca="false">IF(OR(SUM($V19)=0,SUM($R19)=0),"",ROUND((SUM($R19)-(SUM($G19)*SUM($U19)))/$V19,0))</f>
        <v/>
      </c>
      <c r="X19" s="88" t="n">
        <v>1</v>
      </c>
      <c r="Y19" s="5" t="str">
        <f aca="false">IF(SUM($W19)=0,"",ROUND(SUM($W19)*SUM($X19),0))</f>
        <v/>
      </c>
      <c r="Z19" s="92" t="n">
        <v>0.7</v>
      </c>
      <c r="AA19" s="10" t="str">
        <f aca="false">IF(SUM($G19,$W19)=0,"",ROUND(SUM($G19)+(SUM($W19)*$Z19),0))</f>
        <v/>
      </c>
      <c r="AB19" s="88" t="n">
        <v>0.95</v>
      </c>
      <c r="AC19" s="5" t="str">
        <f aca="false">IF(SUM($AA19)=0,"",ROUND($AA19*$AB19,0))</f>
        <v/>
      </c>
      <c r="AD19" s="92" t="n">
        <v>0.95</v>
      </c>
      <c r="AE19" s="5" t="str">
        <f aca="false">IF(SUM($AC19)=0,"",ROUND($AD19*$AC19,0))</f>
        <v/>
      </c>
      <c r="AF19" s="92" t="n">
        <v>0.95</v>
      </c>
      <c r="AG19" s="5" t="str">
        <f aca="false">IF(SUM($Y19)=0,"",ROUND($Y19/$AF19,0))</f>
        <v/>
      </c>
      <c r="AH19" s="92" t="n">
        <f aca="false">IFERROR(1/(1/SUMIFS(PMTCT!$AC:$AC,PMTCT!$C:$C,$B19,PMTCT!$D:$D,$C19))/SUM($E19),"")</f>
        <v>-0.00446428571428571</v>
      </c>
      <c r="AI19" s="88" t="n">
        <f aca="false">IFERROR(1/(1/SUMIFS(PMTCT!$AS:$AS,PMTCT!$C:$C,$B19,PMTCT!$D:$D,$C19))/SUM($E19),"")</f>
        <v>-0.00446428571428571</v>
      </c>
      <c r="AJ19" s="88" t="str">
        <f aca="false">IFERROR(1/(1/SUMIFS(TB!$P:$P,TB!$C:$C,$B19,TB!$D:$D,$C19))/SUM($E19),"")</f>
        <v/>
      </c>
      <c r="AK19" s="150"/>
      <c r="AL19" s="88" t="n">
        <f aca="false">IFERROR(1/(1/SUMIFS(HTS!$X:$X,HTS!$C:$C,$B19,HTS!$D:$D,$C19))/SUM($E19),"")</f>
        <v>0.552678571428571</v>
      </c>
      <c r="AM19" s="88" t="str">
        <f aca="false">IFERROR(1/(1/SUMIFS(HTS!$AA:$AA,HTS!$C:$C,$B19,HTS!$D:$D,$C19))/SUM($E19),"")</f>
        <v/>
      </c>
      <c r="AN19" s="88" t="str">
        <f aca="false">IFERROR(1/(1/SUMIFS(HTS!$AD:$AD,HTS!$C:$C,$B19,HTS!$D:$D,$C19))/SUM($E19),"")</f>
        <v/>
      </c>
      <c r="AO19" s="88" t="str">
        <f aca="false">IFERROR(1/(1/SUMIFS(HTS!$AG:$AG,HTS!$C:$C,$B19,HTS!$D:$D,$C19))/SUM($E19),"")</f>
        <v/>
      </c>
      <c r="AP19" s="88" t="n">
        <f aca="false">IFERROR(1/(1/SUMIFS(HTS!$AJ:$AJ,HTS!$C:$C,$B19,HTS!$D:$D,$C19))/SUM($E19),"")</f>
        <v>0.45625</v>
      </c>
      <c r="AQ19" s="143" t="n">
        <f aca="false">AH19</f>
        <v>-0.00446428571428571</v>
      </c>
      <c r="AR19" s="144" t="n">
        <f aca="false">AI19</f>
        <v>-0.00446428571428571</v>
      </c>
      <c r="AS19" s="144" t="str">
        <f aca="false">AJ19</f>
        <v/>
      </c>
      <c r="AT19" s="152"/>
      <c r="AU19" s="144" t="n">
        <f aca="false">AL19</f>
        <v>0.552678571428571</v>
      </c>
      <c r="AV19" s="144" t="str">
        <f aca="false">AM19</f>
        <v/>
      </c>
      <c r="AW19" s="144" t="str">
        <f aca="false">AN19</f>
        <v/>
      </c>
      <c r="AX19" s="144" t="str">
        <f aca="false">AO19</f>
        <v/>
      </c>
      <c r="AY19" s="144" t="n">
        <f aca="false">AP19</f>
        <v>0.45625</v>
      </c>
      <c r="AZ19" s="88" t="n">
        <f aca="false">IFERROR(1/(1/SUM(AQ19:AY19)),"")</f>
        <v>1</v>
      </c>
      <c r="BA19" s="153"/>
      <c r="BB19" s="150"/>
      <c r="BC19" s="150"/>
      <c r="BD19" s="100"/>
      <c r="BE19" s="85" t="n">
        <f aca="false">IFERROR(1/(1/SUMIFS(HTS!$AY:$AY,HTS!$C:$C,$B19,HTS!$D:$D,$C19)),"")</f>
        <v>10374</v>
      </c>
      <c r="BF19" s="5" t="n">
        <f aca="false">BE19</f>
        <v>10374</v>
      </c>
      <c r="BG19" s="88" t="n">
        <f aca="false">IF(SUM($BE19)=0,"",(SUM($BF19)-$BE19)/$BE19)</f>
        <v>0</v>
      </c>
      <c r="BK19" s="10" t="n">
        <f aca="false">SUM(BH19:BJ19)</f>
        <v>0</v>
      </c>
      <c r="BM19" s="5" t="n">
        <f aca="false">ROUND(SUM(AQ$19)*SUM(AG$19),0)</f>
        <v>0</v>
      </c>
      <c r="BO19" s="10" t="n">
        <f aca="false">SUM(BL19:BN19)</f>
        <v>0</v>
      </c>
      <c r="BS19" s="87" t="n">
        <f aca="false">$AF19</f>
        <v>0.95</v>
      </c>
      <c r="BU19" s="5" t="str">
        <f aca="false">IF(SUM($AG19)=0,"",IF(AND($AH19="",SUM($AG19)&gt;0),"&lt;- Enter Linkage Rate",ROUND($AG19*$AH19*$BS19,0)))</f>
        <v/>
      </c>
      <c r="CG19" s="88" t="n">
        <f aca="false">AF19</f>
        <v>0.95</v>
      </c>
      <c r="CI19" s="5" t="str">
        <f aca="false">IF(SUM($AG19)=0,"",IF(AND($AS19="",SUM($AG19)&gt;0),"&lt;- Enter Linkage Rate",ROUND($AG19*$AS19*$CG19,0)))</f>
        <v/>
      </c>
      <c r="CS19" s="153"/>
      <c r="CT19" s="154"/>
      <c r="CU19" s="100"/>
      <c r="CV19" s="100"/>
      <c r="CW19" s="150"/>
      <c r="CX19" s="150"/>
      <c r="CY19" s="85" t="n">
        <f aca="false">IFERROR(1/(1/SUMIFS(PP!$H:$H,PP!$C:$C,$B19,PP!$D:$D,$C19)),"")</f>
        <v>260</v>
      </c>
      <c r="CZ19" s="5" t="n">
        <f aca="false">CY19</f>
        <v>260</v>
      </c>
      <c r="DA19" s="88" t="n">
        <f aca="false">IF(SUM($CY19)=0,"",(SUM($CZ19)-$CY19)/$CY19)</f>
        <v>0</v>
      </c>
      <c r="DB19" s="153"/>
      <c r="DC19" s="100"/>
      <c r="DD19" s="150"/>
      <c r="DE19" s="153"/>
      <c r="DF19" s="154"/>
      <c r="DG19" s="150"/>
      <c r="DH19" s="150"/>
      <c r="DI19" s="100"/>
      <c r="DJ19" s="150"/>
      <c r="DK19" s="149"/>
      <c r="DL19" s="150"/>
      <c r="DM19" s="150"/>
      <c r="DN19" s="150"/>
      <c r="DO19" s="150"/>
      <c r="DP19" s="150"/>
      <c r="DQ19" s="100"/>
      <c r="DR19" s="100"/>
      <c r="DS19" s="100"/>
      <c r="DT19" s="100"/>
      <c r="DU19" s="153"/>
      <c r="DV19" s="150"/>
      <c r="DW19" s="150"/>
      <c r="DX19" s="150"/>
      <c r="DY19" s="100"/>
      <c r="DZ19" s="100"/>
      <c r="EA19" s="149"/>
      <c r="EB19" s="100"/>
      <c r="EC19" s="100"/>
      <c r="ED19" s="153"/>
      <c r="EE19" s="154"/>
      <c r="EF19" s="154"/>
      <c r="EG19" s="154"/>
      <c r="EH19" s="100"/>
      <c r="EI19" s="100"/>
      <c r="EJ19" s="100"/>
      <c r="EK19" s="100"/>
      <c r="EL19" s="150"/>
      <c r="EM19" s="150"/>
      <c r="EN19" s="150"/>
      <c r="EO19" s="150"/>
      <c r="EP19" s="149"/>
      <c r="EQ19" s="100"/>
      <c r="ER19" s="153"/>
      <c r="ES19" s="154"/>
      <c r="ET19" s="100"/>
      <c r="EU19" s="100"/>
      <c r="EV19" s="150"/>
      <c r="EW19" s="150"/>
      <c r="EX19" s="153"/>
      <c r="EY19" s="100"/>
      <c r="EZ19" s="150"/>
      <c r="FA19" s="153"/>
      <c r="FB19" s="100"/>
      <c r="FC19" s="155"/>
    </row>
    <row r="20" customFormat="false" ht="15" hidden="false" customHeight="false" outlineLevel="0" collapsed="false">
      <c r="A20" s="0" t="s">
        <v>223</v>
      </c>
      <c r="B20" s="9" t="s">
        <v>364</v>
      </c>
      <c r="C20" s="0" t="s">
        <v>48</v>
      </c>
      <c r="E20" s="85" t="n">
        <f aca="false">IFERROR(1/(1/IF($B20="&lt;01",ROUND(SUM(EID!$L:$L)/2,0),SUMIFS(HTS!$AM:$AM,HTS!$C:$C,$B20,HTS!$D:$D,$C20))),"")</f>
        <v>-3009</v>
      </c>
      <c r="F20" s="10" t="n">
        <f aca="false">IFERROR(1/(1/IF($B20="&lt;01",ROUND(SUM(EID!$N:$N)/2,0),SUMIFS(Cascade!$AX:$AX,Cascade!$C:$C,$B20,Cascade!$D:$D,$C20))),"")</f>
        <v>-3147</v>
      </c>
      <c r="G20" s="10" t="str">
        <f aca="false">IFERROR(1/(1/IF($B20="&lt;01",ROUND(SUM(EID!$P:$P)/2,0),SUMIFS(Cascade!$AP:$AP,Cascade!$C:$C,$B20,Cascade!$D:$D,$C20))),"")</f>
        <v/>
      </c>
      <c r="H20" s="10" t="n">
        <f aca="false">IFERROR(1/(1/IF($B20="&lt;01",ROUND(SUM(EID!$T:$T)/2,0),SUMIFS(Cascade!$BB:$BB,Cascade!$C:$C,$B20,Cascade!$D:$D,$C20))),"")</f>
        <v>901</v>
      </c>
      <c r="I20" s="10" t="n">
        <f aca="false">IFERROR(1/(1/IF($B20="&lt;01",ROUND(SUM(EID!$V:$V)/2,0),SUMIFS(Cascade!$BE:$BE,Cascade!$C:$C,$B20,Cascade!$D:$D,$C20))),"")</f>
        <v>860</v>
      </c>
      <c r="J20" s="10" t="str">
        <f aca="false">IFERROR(1/(1/SUMIFS(Cascade!$AJ:$AJ,Cascade!$C:$C,"="&amp;$B20,Cascade!$D:$D,$C20)),"")</f>
        <v/>
      </c>
      <c r="K20" s="10" t="n">
        <f aca="false">IFERROR(1/(1/SUMIFS(Cascade!$AQ:$AQ,Cascade!$C:$C,"="&amp;$B20,Cascade!$D:$D,$C20)),"")</f>
        <v>35097</v>
      </c>
      <c r="L20" s="88" t="str">
        <f aca="false">IF(SUM($J20)=0,"",SUM($K20)/$J20)</f>
        <v/>
      </c>
      <c r="M20" s="85" t="str">
        <f aca="false">IFERROR(1/(1/ROUND(SUMIFS(Spectrum!$N:$N,Spectrum!$Q:$Q,"="&amp;$B20,Spectrum!$K:$K,$C20,Spectrum!$G:$G,M$14,Spectrum!$M:$M,"CY2024Q3"),0)),"")</f>
        <v/>
      </c>
      <c r="N20" s="5" t="str">
        <f aca="false">IFERROR(1/(1/ROUND(SUMIFS(Spectrum!$N:$N,Spectrum!$Q:$Q,"="&amp;$B20,Spectrum!$K:$K,$C20,Spectrum!$G:$G,N$14,Spectrum!$M:$M,"CY2025Q3"),0)),IFERROR(1/(1/SUM($J20,$M20)),""))</f>
        <v/>
      </c>
      <c r="O20" s="88" t="n">
        <f aca="false">MAX(SUM($L20),90%)</f>
        <v>0.9</v>
      </c>
      <c r="P20" s="10" t="str">
        <f aca="false">IFERROR(1/(1/IF(SUM($N20)=0,SUM($G20),ROUND(SUM($N20)*SUM($O20),0))),"")</f>
        <v/>
      </c>
      <c r="Q20" s="88" t="n">
        <f aca="false">IF(SUM($K20)=0,1,SUM($G20)/$K20)</f>
        <v>0</v>
      </c>
      <c r="R20" s="81" t="str">
        <f aca="false">IFERROR(1/(1/ROUND(SUM($P20)*SUM($Q20),0)),"")</f>
        <v/>
      </c>
      <c r="S20" s="5" t="n">
        <f aca="false">IFERROR(1/(1/IF(SUM($R20)=0,IF(SUM($P20)=0,SUM($K20),SUM($P20)),ROUND(SUM($R20)/IF(SUM($Q20)=0,1,SUM($Q20)),0))),"")</f>
        <v>35097</v>
      </c>
      <c r="T20" s="88" t="str">
        <f aca="false">IF(SUM($N20)=0,"",SUM($S20)/$N20)</f>
        <v/>
      </c>
      <c r="U20" s="92" t="n">
        <v>0.98</v>
      </c>
      <c r="V20" s="88" t="n">
        <v>0.98</v>
      </c>
      <c r="W20" s="10" t="str">
        <f aca="false">IF(OR(SUM($V20)=0,SUM($R20)=0),"",ROUND((SUM($R20)-(SUM($G20)*SUM($U20)))/$V20,0))</f>
        <v/>
      </c>
      <c r="X20" s="88" t="n">
        <v>1</v>
      </c>
      <c r="Y20" s="5" t="str">
        <f aca="false">IF(SUM($W20)=0,"",ROUND(SUM($W20)*SUM($X20),0))</f>
        <v/>
      </c>
      <c r="Z20" s="92" t="n">
        <v>0.7</v>
      </c>
      <c r="AA20" s="10" t="str">
        <f aca="false">IF(SUM($G20,$W20)=0,"",ROUND(SUM($G20)+(SUM($W20)*$Z20),0))</f>
        <v/>
      </c>
      <c r="AB20" s="88" t="n">
        <v>0.95</v>
      </c>
      <c r="AC20" s="5" t="str">
        <f aca="false">IF(SUM($AA20)=0,"",ROUND($AA20*$AB20,0))</f>
        <v/>
      </c>
      <c r="AD20" s="92" t="n">
        <v>0.95</v>
      </c>
      <c r="AE20" s="5" t="str">
        <f aca="false">IF(SUM($AC20)=0,"",ROUND($AD20*$AC20,0))</f>
        <v/>
      </c>
      <c r="AF20" s="92" t="n">
        <v>0.95</v>
      </c>
      <c r="AG20" s="5" t="str">
        <f aca="false">IF(SUM($Y20)=0,"",ROUND($Y20/$AF20,0))</f>
        <v/>
      </c>
      <c r="AH20" s="149"/>
      <c r="AI20" s="150"/>
      <c r="AJ20" s="88" t="str">
        <f aca="false">IFERROR(1/(1/SUMIFS(TB!$P:$P,TB!$C:$C,$B20,TB!$D:$D,$C20))/SUM($E20),"")</f>
        <v/>
      </c>
      <c r="AK20" s="150"/>
      <c r="AL20" s="88" t="n">
        <f aca="false">IFERROR(1/(1/SUMIFS(HTS!$X:$X,HTS!$C:$C,$B20,HTS!$D:$D,$C20))/SUM($E20),"")</f>
        <v>0.35526753074111</v>
      </c>
      <c r="AM20" s="88" t="str">
        <f aca="false">IFERROR(1/(1/SUMIFS(HTS!$AA:$AA,HTS!$C:$C,$B20,HTS!$D:$D,$C20))/SUM($E20),"")</f>
        <v/>
      </c>
      <c r="AN20" s="88" t="str">
        <f aca="false">IFERROR(1/(1/SUMIFS(HTS!$AD:$AD,HTS!$C:$C,$B20,HTS!$D:$D,$C20))/SUM($E20),"")</f>
        <v/>
      </c>
      <c r="AO20" s="88" t="str">
        <f aca="false">IFERROR(1/(1/SUMIFS(HTS!$AG:$AG,HTS!$C:$C,$B20,HTS!$D:$D,$C20))/SUM($E20),"")</f>
        <v/>
      </c>
      <c r="AP20" s="88" t="n">
        <f aca="false">IFERROR(1/(1/SUMIFS(HTS!$AJ:$AJ,HTS!$C:$C,$B20,HTS!$D:$D,$C20))/SUM($E20),"")</f>
        <v>0.64473246925889</v>
      </c>
      <c r="AQ20" s="151"/>
      <c r="AR20" s="152"/>
      <c r="AS20" s="144" t="str">
        <f aca="false">AJ20</f>
        <v/>
      </c>
      <c r="AT20" s="152"/>
      <c r="AU20" s="144" t="n">
        <f aca="false">AL20</f>
        <v>0.35526753074111</v>
      </c>
      <c r="AV20" s="144" t="str">
        <f aca="false">AM20</f>
        <v/>
      </c>
      <c r="AW20" s="144" t="str">
        <f aca="false">AN20</f>
        <v/>
      </c>
      <c r="AX20" s="144" t="str">
        <f aca="false">AO20</f>
        <v/>
      </c>
      <c r="AY20" s="144" t="n">
        <f aca="false">AP20</f>
        <v>0.64473246925889</v>
      </c>
      <c r="AZ20" s="88" t="n">
        <f aca="false">IFERROR(1/(1/SUM(AQ20:AY20)),"")</f>
        <v>1</v>
      </c>
      <c r="BA20" s="153"/>
      <c r="BB20" s="150"/>
      <c r="BC20" s="150"/>
      <c r="BD20" s="100"/>
      <c r="BE20" s="85" t="str">
        <f aca="false">IFERROR(1/(1/SUMIFS(HTS!$AY:$AY,HTS!$C:$C,$B20,HTS!$D:$D,$C20)),"")</f>
        <v/>
      </c>
      <c r="BF20" s="5" t="str">
        <f aca="false">BE20</f>
        <v/>
      </c>
      <c r="BG20" s="88" t="str">
        <f aca="false">IF(SUM($BE20)=0,"",(SUM($BF20)-$BE20)/$BE20)</f>
        <v/>
      </c>
      <c r="BS20" s="155"/>
      <c r="BT20" s="100"/>
      <c r="BU20" s="100"/>
      <c r="BV20" s="153"/>
      <c r="BW20" s="154"/>
      <c r="BX20" s="154"/>
      <c r="BY20" s="154"/>
      <c r="BZ20" s="100"/>
      <c r="CA20" s="100"/>
      <c r="CB20" s="100"/>
      <c r="CC20" s="154"/>
      <c r="CD20" s="150"/>
      <c r="CE20" s="153"/>
      <c r="CF20" s="154"/>
      <c r="CG20" s="88" t="n">
        <f aca="false">AF20</f>
        <v>0.95</v>
      </c>
      <c r="CI20" s="5" t="str">
        <f aca="false">IF(SUM($AG20)=0,"",IF(AND($AS20="",SUM($AG20)&gt;0),"&lt;- Enter Linkage Rate",ROUND($AG20*$AS20*$CG20,0)))</f>
        <v/>
      </c>
      <c r="CS20" s="153"/>
      <c r="CT20" s="154"/>
      <c r="CU20" s="100"/>
      <c r="CV20" s="100"/>
      <c r="CW20" s="150"/>
      <c r="CX20" s="150"/>
      <c r="CY20" s="85" t="str">
        <f aca="false">IFERROR(1/(1/SUMIFS(PP!$H:$H,PP!$C:$C,$B20,PP!$D:$D,$C20)),"")</f>
        <v/>
      </c>
      <c r="CZ20" s="5" t="str">
        <f aca="false">CY20</f>
        <v/>
      </c>
      <c r="DA20" s="88" t="str">
        <f aca="false">IF(SUM($CY20)=0,"",(SUM($CZ20)-$CY20)/$CY20)</f>
        <v/>
      </c>
      <c r="DB20" s="153"/>
      <c r="DC20" s="100"/>
      <c r="DD20" s="150"/>
      <c r="DE20" s="153"/>
      <c r="DF20" s="154"/>
      <c r="DG20" s="150"/>
      <c r="DH20" s="150"/>
      <c r="DI20" s="100"/>
      <c r="DJ20" s="150"/>
      <c r="DK20" s="149"/>
      <c r="DL20" s="150"/>
      <c r="DM20" s="150"/>
      <c r="DN20" s="150"/>
      <c r="DO20" s="150"/>
      <c r="DP20" s="150"/>
      <c r="DQ20" s="100"/>
      <c r="DR20" s="100"/>
      <c r="DS20" s="100"/>
      <c r="DT20" s="100"/>
      <c r="DU20" s="153"/>
      <c r="DV20" s="150"/>
      <c r="DW20" s="150"/>
      <c r="DX20" s="150"/>
      <c r="DY20" s="100"/>
      <c r="DZ20" s="100"/>
      <c r="EA20" s="149"/>
      <c r="EB20" s="100"/>
      <c r="EC20" s="100"/>
      <c r="ED20" s="153"/>
      <c r="EE20" s="154"/>
      <c r="EF20" s="154"/>
      <c r="EG20" s="154"/>
      <c r="EH20" s="100"/>
      <c r="EI20" s="100"/>
      <c r="EJ20" s="100"/>
      <c r="EK20" s="100"/>
      <c r="EL20" s="150"/>
      <c r="EM20" s="150"/>
      <c r="EN20" s="150"/>
      <c r="EO20" s="150"/>
      <c r="EP20" s="149"/>
      <c r="EQ20" s="100"/>
      <c r="ER20" s="153"/>
      <c r="ES20" s="154"/>
      <c r="ET20" s="100"/>
      <c r="EU20" s="100"/>
      <c r="EV20" s="150"/>
      <c r="EW20" s="150"/>
      <c r="EX20" s="153"/>
      <c r="EY20" s="100"/>
      <c r="EZ20" s="150"/>
      <c r="FA20" s="153"/>
      <c r="FB20" s="100"/>
      <c r="FC20" s="155"/>
    </row>
    <row r="21" customFormat="false" ht="15" hidden="false" customHeight="false" outlineLevel="0" collapsed="false">
      <c r="A21" s="0" t="s">
        <v>223</v>
      </c>
      <c r="B21" s="9" t="s">
        <v>365</v>
      </c>
      <c r="C21" s="9" t="s">
        <v>30</v>
      </c>
      <c r="E21" s="85" t="str">
        <f aca="false">IFERROR(1/(1/IF($B21="&lt;01",ROUND(SUM(EID!$L:$L)/2,0),SUMIFS(HTS!$AM:$AM,HTS!$C:$C,$B21,HTS!$D:$D,$C21))),"")</f>
        <v/>
      </c>
      <c r="F21" s="10" t="str">
        <f aca="false">IFERROR(1/(1/IF($B21="&lt;01",ROUND(SUM(EID!$N:$N)/2,0),SUMIFS(Cascade!$AX:$AX,Cascade!$C:$C,$B21,Cascade!$D:$D,$C21))),"")</f>
        <v/>
      </c>
      <c r="G21" s="10" t="str">
        <f aca="false">IFERROR(1/(1/IF($B21="&lt;01",ROUND(SUM(EID!$P:$P)/2,0),SUMIFS(Cascade!$AP:$AP,Cascade!$C:$C,$B21,Cascade!$D:$D,$C21))),"")</f>
        <v/>
      </c>
      <c r="H21" s="10" t="str">
        <f aca="false">IFERROR(1/(1/IF($B21="&lt;01",ROUND(SUM(EID!$T:$T)/2,0),SUMIFS(Cascade!$BB:$BB,Cascade!$C:$C,$B21,Cascade!$D:$D,$C21))),"")</f>
        <v/>
      </c>
      <c r="I21" s="10" t="str">
        <f aca="false">IFERROR(1/(1/IF($B21="&lt;01",ROUND(SUM(EID!$V:$V)/2,0),SUMIFS(Cascade!$BE:$BE,Cascade!$C:$C,$B21,Cascade!$D:$D,$C21))),"")</f>
        <v/>
      </c>
      <c r="J21" s="10" t="str">
        <f aca="false">IFERROR(1/(1/SUMIFS(Cascade!$AJ:$AJ,Cascade!$C:$C,"="&amp;$B21,Cascade!$D:$D,$C21)),"")</f>
        <v/>
      </c>
      <c r="K21" s="10" t="n">
        <f aca="false">IFERROR(1/(1/SUMIFS(Cascade!$AQ:$AQ,Cascade!$C:$C,"="&amp;$B21,Cascade!$D:$D,$C21)),"")</f>
        <v>34665</v>
      </c>
      <c r="L21" s="88" t="str">
        <f aca="false">IF(SUM($J21)=0,"",SUM($K21)/$J21)</f>
        <v/>
      </c>
      <c r="M21" s="85" t="str">
        <f aca="false">IFERROR(1/(1/ROUND(SUMIFS(Spectrum!$N:$N,Spectrum!$Q:$Q,"="&amp;$B21,Spectrum!$K:$K,$C21,Spectrum!$G:$G,M$14,Spectrum!$M:$M,"CY2024Q3"),0)),"")</f>
        <v/>
      </c>
      <c r="N21" s="5" t="str">
        <f aca="false">IFERROR(1/(1/ROUND(SUMIFS(Spectrum!$N:$N,Spectrum!$Q:$Q,"="&amp;$B21,Spectrum!$K:$K,$C21,Spectrum!$G:$G,N$14,Spectrum!$M:$M,"CY2025Q3"),0)),IFERROR(1/(1/SUM($J21,$M21)),""))</f>
        <v/>
      </c>
      <c r="O21" s="88" t="n">
        <f aca="false">MAX(SUM($L21),90%)</f>
        <v>0.9</v>
      </c>
      <c r="P21" s="10" t="str">
        <f aca="false">IFERROR(1/(1/IF(SUM($N21)=0,SUM($G21),ROUND(SUM($N21)*SUM($O21),0))),"")</f>
        <v/>
      </c>
      <c r="Q21" s="88" t="n">
        <f aca="false">IF(SUM($K21)=0,1,SUM($G21)/$K21)</f>
        <v>0</v>
      </c>
      <c r="R21" s="81" t="str">
        <f aca="false">IFERROR(1/(1/ROUND(SUM($P21)*SUM($Q21),0)),"")</f>
        <v/>
      </c>
      <c r="S21" s="5" t="n">
        <f aca="false">IFERROR(1/(1/IF(SUM($R21)=0,IF(SUM($P21)=0,SUM($K21),SUM($P21)),ROUND(SUM($R21)/IF(SUM($Q21)=0,1,SUM($Q21)),0))),"")</f>
        <v>34665</v>
      </c>
      <c r="T21" s="88" t="str">
        <f aca="false">IF(SUM($N21)=0,"",SUM($S21)/$N21)</f>
        <v/>
      </c>
      <c r="U21" s="92" t="n">
        <v>0.98</v>
      </c>
      <c r="V21" s="88" t="n">
        <v>0.98</v>
      </c>
      <c r="W21" s="10" t="str">
        <f aca="false">IF(OR(SUM($V21)=0,SUM($R21)=0),"",ROUND((SUM($R21)-(SUM($G21)*SUM($U21)))/$V21,0))</f>
        <v/>
      </c>
      <c r="X21" s="88" t="n">
        <v>1</v>
      </c>
      <c r="Y21" s="5" t="str">
        <f aca="false">IF(SUM($W21)=0,"",ROUND(SUM($W21)*SUM($X21),0))</f>
        <v/>
      </c>
      <c r="Z21" s="92" t="n">
        <v>0.7</v>
      </c>
      <c r="AA21" s="10" t="str">
        <f aca="false">IF(SUM($G21,$W21)=0,"",ROUND(SUM($G21)+(SUM($W21)*$Z21),0))</f>
        <v/>
      </c>
      <c r="AB21" s="88" t="n">
        <v>0.95</v>
      </c>
      <c r="AC21" s="5" t="str">
        <f aca="false">IF(SUM($AA21)=0,"",ROUND($AA21*$AB21,0))</f>
        <v/>
      </c>
      <c r="AD21" s="92" t="n">
        <v>0.95</v>
      </c>
      <c r="AE21" s="5" t="str">
        <f aca="false">IF(SUM($AC21)=0,"",ROUND($AD21*$AC21,0))</f>
        <v/>
      </c>
      <c r="AF21" s="92" t="n">
        <v>0.95</v>
      </c>
      <c r="AG21" s="5" t="str">
        <f aca="false">IF(SUM($Y21)=0,"",ROUND($Y21/$AF21,0))</f>
        <v/>
      </c>
      <c r="AH21" s="92" t="str">
        <f aca="false">IFERROR(1/(1/SUMIFS(PMTCT!$AC:$AC,PMTCT!$C:$C,$B21,PMTCT!$D:$D,$C21))/SUM($E21),"")</f>
        <v/>
      </c>
      <c r="AI21" s="88" t="str">
        <f aca="false">IFERROR(1/(1/SUMIFS(PMTCT!$AS:$AS,PMTCT!$C:$C,$B21,PMTCT!$D:$D,$C21))/SUM($E21),"")</f>
        <v/>
      </c>
      <c r="AJ21" s="88" t="str">
        <f aca="false">IFERROR(1/(1/SUMIFS(TB!$P:$P,TB!$C:$C,$B21,TB!$D:$D,$C21))/SUM($E21),"")</f>
        <v/>
      </c>
      <c r="AK21" s="150"/>
      <c r="AL21" s="88" t="str">
        <f aca="false">IFERROR(1/(1/SUMIFS(HTS!$X:$X,HTS!$C:$C,$B21,HTS!$D:$D,$C21))/SUM($E21),"")</f>
        <v/>
      </c>
      <c r="AM21" s="88" t="str">
        <f aca="false">IFERROR(1/(1/SUMIFS(HTS!$AA:$AA,HTS!$C:$C,$B21,HTS!$D:$D,$C21))/SUM($E21),"")</f>
        <v/>
      </c>
      <c r="AN21" s="88" t="str">
        <f aca="false">IFERROR(1/(1/SUMIFS(HTS!$AD:$AD,HTS!$C:$C,$B21,HTS!$D:$D,$C21))/SUM($E21),"")</f>
        <v/>
      </c>
      <c r="AO21" s="88" t="str">
        <f aca="false">IFERROR(1/(1/SUMIFS(HTS!$AG:$AG,HTS!$C:$C,$B21,HTS!$D:$D,$C21))/SUM($E21),"")</f>
        <v/>
      </c>
      <c r="AP21" s="88" t="str">
        <f aca="false">IFERROR(1/(1/SUMIFS(HTS!$AJ:$AJ,HTS!$C:$C,$B21,HTS!$D:$D,$C21))/SUM($E21),"")</f>
        <v/>
      </c>
      <c r="AQ21" s="143" t="str">
        <f aca="false">AH21</f>
        <v/>
      </c>
      <c r="AR21" s="144" t="str">
        <f aca="false">AI21</f>
        <v/>
      </c>
      <c r="AS21" s="144" t="str">
        <f aca="false">AJ21</f>
        <v/>
      </c>
      <c r="AT21" s="152"/>
      <c r="AU21" s="144" t="str">
        <f aca="false">AL21</f>
        <v/>
      </c>
      <c r="AV21" s="144" t="str">
        <f aca="false">AM21</f>
        <v/>
      </c>
      <c r="AW21" s="144" t="str">
        <f aca="false">AN21</f>
        <v/>
      </c>
      <c r="AX21" s="144" t="str">
        <f aca="false">AO21</f>
        <v/>
      </c>
      <c r="AY21" s="144" t="str">
        <f aca="false">AP21</f>
        <v/>
      </c>
      <c r="AZ21" s="88" t="str">
        <f aca="false">IFERROR(1/(1/SUM(AQ21:AY21)),"")</f>
        <v/>
      </c>
      <c r="BA21" s="85" t="str">
        <f aca="false">IFERROR(1/(1/SUMIFS(HTS!$BA:$BA,HTS!$C:$C,$B21,HTS!$D:$D,$C21)),"")</f>
        <v/>
      </c>
      <c r="BB21" s="88" t="str">
        <f aca="false">IF(SUM($E21)=0,"",SUM($BA21)/SUM($E21))</f>
        <v/>
      </c>
      <c r="BC21" s="88" t="str">
        <f aca="false">$BB21</f>
        <v/>
      </c>
      <c r="BD21" s="5" t="str">
        <f aca="false">IF(SUM($AG21)=0,"",ROUND(SUM($BC21)*SUM($AG21),0))</f>
        <v/>
      </c>
      <c r="BE21" s="85" t="str">
        <f aca="false">IFERROR(1/(1/SUMIFS(HTS!$AY:$AY,HTS!$C:$C,$B21,HTS!$D:$D,$C21)),"")</f>
        <v/>
      </c>
      <c r="BF21" s="5" t="str">
        <f aca="false">BE21</f>
        <v/>
      </c>
      <c r="BG21" s="88" t="str">
        <f aca="false">IF(SUM($BE21)=0,"",(SUM($BF21)-$BE21)/$BE21)</f>
        <v/>
      </c>
      <c r="BS21" s="87" t="n">
        <f aca="false">$AF21</f>
        <v>0.95</v>
      </c>
      <c r="BU21" s="5" t="str">
        <f aca="false">IF(SUM($AG21)=0,"",IF(AND($AH21="",SUM($AG21)&gt;0),"&lt;- Enter Linkage Rate",ROUND($AG21*$AH21*$BS21,0)))</f>
        <v/>
      </c>
      <c r="CG21" s="88" t="n">
        <f aca="false">AF21</f>
        <v>0.95</v>
      </c>
      <c r="CI21" s="5" t="str">
        <f aca="false">IF(SUM($AG21)=0,"",IF(AND($AS21="",SUM($AG21)&gt;0),"&lt;- Enter Linkage Rate",ROUND($AG21*$AS21*$CG21,0)))</f>
        <v/>
      </c>
      <c r="CS21" s="85" t="str">
        <f aca="false">IFERROR(1/(1/SUMIFS(PrEP!$L:$L,PrEP!$C:$C,$B21,PrEP!$D:$D,$C21)),"")</f>
        <v/>
      </c>
      <c r="CT21" s="10" t="str">
        <f aca="false">IFERROR(1/(1/SUMIFS(PrEP!$O:$O,PrEP!$C:$C,$B21,PrEP!$D:$D,$C21)),"")</f>
        <v/>
      </c>
      <c r="CU21" s="5" t="str">
        <f aca="false">CS21</f>
        <v/>
      </c>
      <c r="CV21" s="5" t="str">
        <f aca="false">CT21</f>
        <v/>
      </c>
      <c r="CW21" s="88" t="str">
        <f aca="false">IF(SUM($CS21)=0,"",(SUM($CU21)-$CS21)/$CS21)</f>
        <v/>
      </c>
      <c r="CX21" s="88" t="str">
        <f aca="false">IF(SUM($CT21)=0,"",(SUM($CV21)-$CT21)/$CT21)</f>
        <v/>
      </c>
      <c r="CY21" s="85" t="str">
        <f aca="false">IFERROR(1/(1/SUMIFS(PP!$H:$H,PP!$C:$C,$B21,PP!$D:$D,$C21)),"")</f>
        <v/>
      </c>
      <c r="CZ21" s="5" t="str">
        <f aca="false">CY21</f>
        <v/>
      </c>
      <c r="DA21" s="88" t="str">
        <f aca="false">IF(SUM($CY21)=0,"",(SUM($CZ21)-$CY21)/$CY21)</f>
        <v/>
      </c>
      <c r="DB21" s="153"/>
      <c r="DC21" s="100"/>
      <c r="DD21" s="152"/>
      <c r="DE21" s="153"/>
      <c r="DF21" s="154"/>
      <c r="DG21" s="150"/>
      <c r="DH21" s="150"/>
      <c r="DI21" s="100"/>
      <c r="DJ21" s="150"/>
      <c r="DK21" s="149"/>
      <c r="DL21" s="150"/>
      <c r="DM21" s="150"/>
      <c r="DN21" s="150"/>
      <c r="DO21" s="150"/>
      <c r="DP21" s="150"/>
      <c r="DQ21" s="100"/>
      <c r="DR21" s="100"/>
      <c r="DS21" s="100"/>
      <c r="DT21" s="100"/>
      <c r="DU21" s="153"/>
      <c r="DV21" s="150"/>
      <c r="DW21" s="150"/>
      <c r="DX21" s="150"/>
      <c r="DY21" s="100"/>
      <c r="DZ21" s="100"/>
      <c r="EA21" s="149"/>
      <c r="EB21" s="100"/>
      <c r="EC21" s="100"/>
      <c r="ED21" s="153"/>
      <c r="EE21" s="154"/>
      <c r="EF21" s="154"/>
      <c r="EG21" s="154"/>
      <c r="EH21" s="100"/>
      <c r="EI21" s="100"/>
      <c r="EJ21" s="100"/>
      <c r="EK21" s="100"/>
      <c r="EL21" s="150"/>
      <c r="EM21" s="150"/>
      <c r="EN21" s="150"/>
      <c r="EO21" s="150"/>
      <c r="EP21" s="149"/>
      <c r="EQ21" s="100"/>
      <c r="ER21" s="153"/>
      <c r="ES21" s="154"/>
      <c r="ET21" s="100"/>
      <c r="EU21" s="100"/>
      <c r="EV21" s="150"/>
      <c r="EW21" s="150"/>
      <c r="EX21" s="153"/>
      <c r="EY21" s="100"/>
      <c r="EZ21" s="150"/>
      <c r="FA21" s="153"/>
      <c r="FB21" s="100"/>
      <c r="FC21" s="155"/>
    </row>
    <row r="22" customFormat="false" ht="15" hidden="false" customHeight="false" outlineLevel="0" collapsed="false">
      <c r="A22" s="0" t="s">
        <v>223</v>
      </c>
      <c r="B22" s="9" t="s">
        <v>365</v>
      </c>
      <c r="C22" s="0" t="s">
        <v>48</v>
      </c>
      <c r="E22" s="85" t="str">
        <f aca="false">IFERROR(1/(1/IF($B22="&lt;01",ROUND(SUM(EID!$L:$L)/2,0),SUMIFS(HTS!$AM:$AM,HTS!$C:$C,$B22,HTS!$D:$D,$C22))),"")</f>
        <v/>
      </c>
      <c r="F22" s="10" t="str">
        <f aca="false">IFERROR(1/(1/IF($B22="&lt;01",ROUND(SUM(EID!$N:$N)/2,0),SUMIFS(Cascade!$AX:$AX,Cascade!$C:$C,$B22,Cascade!$D:$D,$C22))),"")</f>
        <v/>
      </c>
      <c r="G22" s="10" t="str">
        <f aca="false">IFERROR(1/(1/IF($B22="&lt;01",ROUND(SUM(EID!$P:$P)/2,0),SUMIFS(Cascade!$AP:$AP,Cascade!$C:$C,$B22,Cascade!$D:$D,$C22))),"")</f>
        <v/>
      </c>
      <c r="H22" s="10" t="str">
        <f aca="false">IFERROR(1/(1/IF($B22="&lt;01",ROUND(SUM(EID!$T:$T)/2,0),SUMIFS(Cascade!$BB:$BB,Cascade!$C:$C,$B22,Cascade!$D:$D,$C22))),"")</f>
        <v/>
      </c>
      <c r="I22" s="10" t="str">
        <f aca="false">IFERROR(1/(1/IF($B22="&lt;01",ROUND(SUM(EID!$V:$V)/2,0),SUMIFS(Cascade!$BE:$BE,Cascade!$C:$C,$B22,Cascade!$D:$D,$C22))),"")</f>
        <v/>
      </c>
      <c r="J22" s="10" t="str">
        <f aca="false">IFERROR(1/(1/SUMIFS(Cascade!$AJ:$AJ,Cascade!$C:$C,"="&amp;$B22,Cascade!$D:$D,$C22)),"")</f>
        <v/>
      </c>
      <c r="K22" s="10" t="n">
        <f aca="false">IFERROR(1/(1/SUMIFS(Cascade!$AQ:$AQ,Cascade!$C:$C,"="&amp;$B22,Cascade!$D:$D,$C22)),"")</f>
        <v>31832</v>
      </c>
      <c r="L22" s="88" t="str">
        <f aca="false">IF(SUM($J22)=0,"",SUM($K22)/$J22)</f>
        <v/>
      </c>
      <c r="M22" s="85" t="str">
        <f aca="false">IFERROR(1/(1/ROUND(SUMIFS(Spectrum!$N:$N,Spectrum!$Q:$Q,"="&amp;$B22,Spectrum!$K:$K,$C22,Spectrum!$G:$G,M$14,Spectrum!$M:$M,"CY2024Q3"),0)),"")</f>
        <v/>
      </c>
      <c r="N22" s="5" t="str">
        <f aca="false">IFERROR(1/(1/ROUND(SUMIFS(Spectrum!$N:$N,Spectrum!$Q:$Q,"="&amp;$B22,Spectrum!$K:$K,$C22,Spectrum!$G:$G,N$14,Spectrum!$M:$M,"CY2025Q3"),0)),IFERROR(1/(1/SUM($J22,$M22)),""))</f>
        <v/>
      </c>
      <c r="O22" s="88" t="n">
        <f aca="false">MAX(SUM($L22),90%)</f>
        <v>0.9</v>
      </c>
      <c r="P22" s="10" t="str">
        <f aca="false">IFERROR(1/(1/IF(SUM($N22)=0,SUM($G22),ROUND(SUM($N22)*SUM($O22),0))),"")</f>
        <v/>
      </c>
      <c r="Q22" s="88" t="n">
        <f aca="false">IF(SUM($K22)=0,1,SUM($G22)/$K22)</f>
        <v>0</v>
      </c>
      <c r="R22" s="81" t="str">
        <f aca="false">IFERROR(1/(1/ROUND(SUM($P22)*SUM($Q22),0)),"")</f>
        <v/>
      </c>
      <c r="S22" s="5" t="n">
        <f aca="false">IFERROR(1/(1/IF(SUM($R22)=0,IF(SUM($P22)=0,SUM($K22),SUM($P22)),ROUND(SUM($R22)/IF(SUM($Q22)=0,1,SUM($Q22)),0))),"")</f>
        <v>31832</v>
      </c>
      <c r="T22" s="88" t="str">
        <f aca="false">IF(SUM($N22)=0,"",SUM($S22)/$N22)</f>
        <v/>
      </c>
      <c r="U22" s="92" t="n">
        <v>0.98</v>
      </c>
      <c r="V22" s="88" t="n">
        <v>0.98</v>
      </c>
      <c r="W22" s="10" t="str">
        <f aca="false">IF(OR(SUM($V22)=0,SUM($R22)=0),"",ROUND((SUM($R22)-(SUM($G22)*SUM($U22)))/$V22,0))</f>
        <v/>
      </c>
      <c r="X22" s="88" t="n">
        <v>1</v>
      </c>
      <c r="Y22" s="5" t="str">
        <f aca="false">IF(SUM($W22)=0,"",ROUND(SUM($W22)*SUM($X22),0))</f>
        <v/>
      </c>
      <c r="Z22" s="92" t="n">
        <v>0.7</v>
      </c>
      <c r="AA22" s="10" t="str">
        <f aca="false">IF(SUM($G22,$W22)=0,"",ROUND(SUM($G22)+(SUM($W22)*$Z22),0))</f>
        <v/>
      </c>
      <c r="AB22" s="88" t="n">
        <v>0.95</v>
      </c>
      <c r="AC22" s="5" t="str">
        <f aca="false">IF(SUM($AA22)=0,"",ROUND($AA22*$AB22,0))</f>
        <v/>
      </c>
      <c r="AD22" s="92" t="n">
        <v>0.95</v>
      </c>
      <c r="AE22" s="5" t="str">
        <f aca="false">IF(SUM($AC22)=0,"",ROUND($AD22*$AC22,0))</f>
        <v/>
      </c>
      <c r="AF22" s="92" t="n">
        <v>0.95</v>
      </c>
      <c r="AG22" s="5" t="str">
        <f aca="false">IF(SUM($Y22)=0,"",ROUND($Y22/$AF22,0))</f>
        <v/>
      </c>
      <c r="AH22" s="149"/>
      <c r="AI22" s="150"/>
      <c r="AJ22" s="88" t="str">
        <f aca="false">IFERROR(1/(1/SUMIFS(TB!$P:$P,TB!$C:$C,$B22,TB!$D:$D,$C22))/SUM($E22),"")</f>
        <v/>
      </c>
      <c r="AK22" s="88" t="str">
        <f aca="false">IFERROR(1/(1/SUMIFS(VMMC!$AA:$AA,VMMC!$C:$C,$B22,VMMC!$D:$D,$C22))/SUM($E22),"")</f>
        <v/>
      </c>
      <c r="AL22" s="88" t="str">
        <f aca="false">IFERROR(1/(1/SUMIFS(HTS!$X:$X,HTS!$C:$C,$B22,HTS!$D:$D,$C22))/SUM($E22),"")</f>
        <v/>
      </c>
      <c r="AM22" s="88" t="str">
        <f aca="false">IFERROR(1/(1/SUMIFS(HTS!$AA:$AA,HTS!$C:$C,$B22,HTS!$D:$D,$C22))/SUM($E22),"")</f>
        <v/>
      </c>
      <c r="AN22" s="88" t="str">
        <f aca="false">IFERROR(1/(1/SUMIFS(HTS!$AD:$AD,HTS!$C:$C,$B22,HTS!$D:$D,$C22))/SUM($E22),"")</f>
        <v/>
      </c>
      <c r="AO22" s="88" t="str">
        <f aca="false">IFERROR(1/(1/SUMIFS(HTS!$AG:$AG,HTS!$C:$C,$B22,HTS!$D:$D,$C22))/SUM($E22),"")</f>
        <v/>
      </c>
      <c r="AP22" s="88" t="str">
        <f aca="false">IFERROR(1/(1/SUMIFS(HTS!$AJ:$AJ,HTS!$C:$C,$B22,HTS!$D:$D,$C22))/SUM($E22),"")</f>
        <v/>
      </c>
      <c r="AQ22" s="151"/>
      <c r="AR22" s="152"/>
      <c r="AS22" s="144" t="str">
        <f aca="false">AJ22</f>
        <v/>
      </c>
      <c r="AT22" s="144" t="str">
        <f aca="false">AK22</f>
        <v/>
      </c>
      <c r="AU22" s="144" t="str">
        <f aca="false">AL22</f>
        <v/>
      </c>
      <c r="AV22" s="144" t="str">
        <f aca="false">AM22</f>
        <v/>
      </c>
      <c r="AW22" s="144" t="str">
        <f aca="false">AN22</f>
        <v/>
      </c>
      <c r="AX22" s="144" t="str">
        <f aca="false">AO22</f>
        <v/>
      </c>
      <c r="AY22" s="144" t="str">
        <f aca="false">AP22</f>
        <v/>
      </c>
      <c r="AZ22" s="88" t="str">
        <f aca="false">IFERROR(1/(1/SUM(AQ22:AY22)),"")</f>
        <v/>
      </c>
      <c r="BA22" s="85" t="str">
        <f aca="false">IFERROR(1/(1/SUMIFS(HTS!$BA:$BA,HTS!$C:$C,$B22,HTS!$D:$D,$C22)),"")</f>
        <v/>
      </c>
      <c r="BB22" s="88" t="str">
        <f aca="false">IF(SUM($E22)=0,"",SUM($BA22)/SUM($E22))</f>
        <v/>
      </c>
      <c r="BC22" s="88" t="str">
        <f aca="false">$BB22</f>
        <v/>
      </c>
      <c r="BD22" s="5" t="str">
        <f aca="false">IF(SUM($AG22)=0,"",ROUND(SUM($BC22)*SUM($AG22),0))</f>
        <v/>
      </c>
      <c r="BE22" s="85" t="str">
        <f aca="false">IFERROR(1/(1/SUMIFS(HTS!$AY:$AY,HTS!$C:$C,$B22,HTS!$D:$D,$C22)),"")</f>
        <v/>
      </c>
      <c r="BF22" s="5" t="str">
        <f aca="false">BE22</f>
        <v/>
      </c>
      <c r="BG22" s="88" t="str">
        <f aca="false">IF(SUM($BE22)=0,"",(SUM($BF22)-$BE22)/$BE22)</f>
        <v/>
      </c>
      <c r="BS22" s="155"/>
      <c r="BT22" s="100"/>
      <c r="BU22" s="100"/>
      <c r="BV22" s="153"/>
      <c r="BW22" s="154"/>
      <c r="BX22" s="154"/>
      <c r="BY22" s="154"/>
      <c r="BZ22" s="100"/>
      <c r="CA22" s="100"/>
      <c r="CB22" s="100"/>
      <c r="CC22" s="154"/>
      <c r="CD22" s="150"/>
      <c r="CE22" s="153"/>
      <c r="CF22" s="154"/>
      <c r="CG22" s="88" t="n">
        <f aca="false">AF22</f>
        <v>0.95</v>
      </c>
      <c r="CI22" s="5" t="str">
        <f aca="false">IF(SUM($AG22)=0,"",IF(AND($AS22="",SUM($AG22)&gt;0),"&lt;- Enter Linkage Rate",ROUND($AG22*$AS22*$CG22,0)))</f>
        <v/>
      </c>
      <c r="CS22" s="85" t="str">
        <f aca="false">IFERROR(1/(1/SUMIFS(PrEP!$L:$L,PrEP!$C:$C,$B22,PrEP!$D:$D,$C22)),"")</f>
        <v/>
      </c>
      <c r="CT22" s="10" t="str">
        <f aca="false">IFERROR(1/(1/SUMIFS(PrEP!$O:$O,PrEP!$C:$C,$B22,PrEP!$D:$D,$C22)),"")</f>
        <v/>
      </c>
      <c r="CU22" s="5" t="str">
        <f aca="false">CS22</f>
        <v/>
      </c>
      <c r="CV22" s="5" t="str">
        <f aca="false">CT22</f>
        <v/>
      </c>
      <c r="CW22" s="88" t="str">
        <f aca="false">IF(SUM($CS22)=0,"",(SUM($CU22)-$CS22)/$CS22)</f>
        <v/>
      </c>
      <c r="CX22" s="88" t="str">
        <f aca="false">IF(SUM($CT22)=0,"",(SUM($CV22)-$CT22)/$CT22)</f>
        <v/>
      </c>
      <c r="CY22" s="85" t="str">
        <f aca="false">IFERROR(1/(1/SUMIFS(PP!$H:$H,PP!$C:$C,$B22,PP!$D:$D,$C22)),"")</f>
        <v/>
      </c>
      <c r="CZ22" s="5" t="str">
        <f aca="false">CY22</f>
        <v/>
      </c>
      <c r="DA22" s="88" t="str">
        <f aca="false">IF(SUM($CY22)=0,"",(SUM($CZ22)-$CY22)/$CY22)</f>
        <v/>
      </c>
      <c r="DB22" s="153"/>
      <c r="DC22" s="100"/>
      <c r="DD22" s="152"/>
      <c r="DE22" s="153"/>
      <c r="DF22" s="154"/>
      <c r="DG22" s="150"/>
      <c r="DH22" s="150"/>
      <c r="DI22" s="100"/>
      <c r="DJ22" s="150"/>
      <c r="DK22" s="149"/>
      <c r="DL22" s="150"/>
      <c r="DM22" s="150"/>
      <c r="DN22" s="150"/>
      <c r="DO22" s="150"/>
      <c r="DP22" s="150"/>
      <c r="DQ22" s="100"/>
      <c r="DR22" s="100"/>
      <c r="DS22" s="100"/>
      <c r="DT22" s="100"/>
      <c r="DU22" s="153"/>
      <c r="DV22" s="150"/>
      <c r="DW22" s="150"/>
      <c r="DX22" s="150"/>
      <c r="DY22" s="100"/>
      <c r="DZ22" s="100"/>
      <c r="EA22" s="149"/>
      <c r="EB22" s="100"/>
      <c r="EC22" s="100"/>
      <c r="ED22" s="153"/>
      <c r="EE22" s="154"/>
      <c r="EF22" s="154"/>
      <c r="EG22" s="154"/>
      <c r="EH22" s="100"/>
      <c r="EI22" s="100"/>
      <c r="EJ22" s="100"/>
      <c r="EK22" s="100"/>
      <c r="EL22" s="150"/>
      <c r="EM22" s="150"/>
      <c r="EN22" s="150"/>
      <c r="EO22" s="150"/>
      <c r="EP22" s="149"/>
      <c r="EQ22" s="100"/>
      <c r="ER22" s="153"/>
      <c r="ES22" s="154"/>
      <c r="ET22" s="100"/>
      <c r="EU22" s="100"/>
      <c r="EV22" s="150"/>
      <c r="EW22" s="150"/>
      <c r="EX22" s="153"/>
      <c r="EY22" s="100"/>
      <c r="EZ22" s="150"/>
      <c r="FA22" s="153"/>
      <c r="FB22" s="100"/>
      <c r="FC22" s="155"/>
    </row>
    <row r="23" customFormat="false" ht="15" hidden="false" customHeight="false" outlineLevel="0" collapsed="false">
      <c r="A23" s="0" t="s">
        <v>223</v>
      </c>
      <c r="B23" s="9" t="s">
        <v>366</v>
      </c>
      <c r="C23" s="9" t="s">
        <v>30</v>
      </c>
      <c r="E23" s="85" t="str">
        <f aca="false">IFERROR(1/(1/IF($B23="&lt;01",ROUND(SUM(EID!$L:$L)/2,0),SUMIFS(HTS!$AM:$AM,HTS!$C:$C,$B23,HTS!$D:$D,$C23))),"")</f>
        <v/>
      </c>
      <c r="F23" s="10" t="str">
        <f aca="false">IFERROR(1/(1/IF($B23="&lt;01",ROUND(SUM(EID!$N:$N)/2,0),SUMIFS(Cascade!$AX:$AX,Cascade!$C:$C,$B23,Cascade!$D:$D,$C23))),"")</f>
        <v/>
      </c>
      <c r="G23" s="10" t="str">
        <f aca="false">IFERROR(1/(1/IF($B23="&lt;01",ROUND(SUM(EID!$P:$P)/2,0),SUMIFS(Cascade!$AP:$AP,Cascade!$C:$C,$B23,Cascade!$D:$D,$C23))),"")</f>
        <v/>
      </c>
      <c r="H23" s="10" t="str">
        <f aca="false">IFERROR(1/(1/IF($B23="&lt;01",ROUND(SUM(EID!$T:$T)/2,0),SUMIFS(Cascade!$BB:$BB,Cascade!$C:$C,$B23,Cascade!$D:$D,$C23))),"")</f>
        <v/>
      </c>
      <c r="I23" s="10" t="str">
        <f aca="false">IFERROR(1/(1/IF($B23="&lt;01",ROUND(SUM(EID!$V:$V)/2,0),SUMIFS(Cascade!$BE:$BE,Cascade!$C:$C,$B23,Cascade!$D:$D,$C23))),"")</f>
        <v/>
      </c>
      <c r="J23" s="10" t="str">
        <f aca="false">IFERROR(1/(1/SUMIFS(Cascade!$AJ:$AJ,Cascade!$C:$C,"="&amp;$B23,Cascade!$D:$D,$C23)),"")</f>
        <v/>
      </c>
      <c r="K23" s="10" t="n">
        <f aca="false">IFERROR(1/(1/SUMIFS(Cascade!$AQ:$AQ,Cascade!$C:$C,"="&amp;$B23,Cascade!$D:$D,$C23)),"")</f>
        <v>35818</v>
      </c>
      <c r="L23" s="88" t="str">
        <f aca="false">IF(SUM($J23)=0,"",SUM($K23)/$J23)</f>
        <v/>
      </c>
      <c r="M23" s="85" t="str">
        <f aca="false">IFERROR(1/(1/ROUND(SUMIFS(Spectrum!$N:$N,Spectrum!$Q:$Q,"="&amp;$B23,Spectrum!$K:$K,$C23,Spectrum!$G:$G,M$14,Spectrum!$M:$M,"CY2024Q3"),0)),"")</f>
        <v/>
      </c>
      <c r="N23" s="5" t="str">
        <f aca="false">IFERROR(1/(1/ROUND(SUMIFS(Spectrum!$N:$N,Spectrum!$Q:$Q,"="&amp;$B23,Spectrum!$K:$K,$C23,Spectrum!$G:$G,N$14,Spectrum!$M:$M,"CY2025Q3"),0)),IFERROR(1/(1/SUM($J23,$M23)),""))</f>
        <v/>
      </c>
      <c r="O23" s="88" t="n">
        <f aca="false">MAX(SUM($L23),90%)</f>
        <v>0.9</v>
      </c>
      <c r="P23" s="10" t="str">
        <f aca="false">IFERROR(1/(1/IF(SUM($N23)=0,SUM($G23),ROUND(SUM($N23)*SUM($O23),0))),"")</f>
        <v/>
      </c>
      <c r="Q23" s="88" t="n">
        <f aca="false">IF(SUM($K23)=0,1,SUM($G23)/$K23)</f>
        <v>0</v>
      </c>
      <c r="R23" s="81" t="str">
        <f aca="false">IFERROR(1/(1/ROUND(SUM($P23)*SUM($Q23),0)),"")</f>
        <v/>
      </c>
      <c r="S23" s="5" t="n">
        <f aca="false">IFERROR(1/(1/IF(SUM($R23)=0,IF(SUM($P23)=0,SUM($K23),SUM($P23)),ROUND(SUM($R23)/IF(SUM($Q23)=0,1,SUM($Q23)),0))),"")</f>
        <v>35818</v>
      </c>
      <c r="T23" s="88" t="str">
        <f aca="false">IF(SUM($N23)=0,"",SUM($S23)/$N23)</f>
        <v/>
      </c>
      <c r="U23" s="92" t="n">
        <v>0.98</v>
      </c>
      <c r="V23" s="88" t="n">
        <v>0.98</v>
      </c>
      <c r="W23" s="10" t="str">
        <f aca="false">IF(OR(SUM($V23)=0,SUM($R23)=0),"",ROUND((SUM($R23)-(SUM($G23)*SUM($U23)))/$V23,0))</f>
        <v/>
      </c>
      <c r="X23" s="88" t="n">
        <v>1</v>
      </c>
      <c r="Y23" s="5" t="str">
        <f aca="false">IF(SUM($W23)=0,"",ROUND(SUM($W23)*SUM($X23),0))</f>
        <v/>
      </c>
      <c r="Z23" s="92" t="n">
        <v>0.7</v>
      </c>
      <c r="AA23" s="10" t="str">
        <f aca="false">IF(SUM($G23,$W23)=0,"",ROUND(SUM($G23)+(SUM($W23)*$Z23),0))</f>
        <v/>
      </c>
      <c r="AB23" s="88" t="n">
        <v>0.95</v>
      </c>
      <c r="AC23" s="5" t="str">
        <f aca="false">IF(SUM($AA23)=0,"",ROUND($AA23*$AB23,0))</f>
        <v/>
      </c>
      <c r="AD23" s="92" t="n">
        <v>0.95</v>
      </c>
      <c r="AE23" s="5" t="str">
        <f aca="false">IF(SUM($AC23)=0,"",ROUND($AD23*$AC23,0))</f>
        <v/>
      </c>
      <c r="AF23" s="92" t="n">
        <v>0.95</v>
      </c>
      <c r="AG23" s="5" t="str">
        <f aca="false">IF(SUM($Y23)=0,"",ROUND($Y23/$AF23,0))</f>
        <v/>
      </c>
      <c r="AH23" s="92" t="str">
        <f aca="false">IFERROR(1/(1/SUMIFS(PMTCT!$AC:$AC,PMTCT!$C:$C,$B23,PMTCT!$D:$D,$C23))/SUM($E23),"")</f>
        <v/>
      </c>
      <c r="AI23" s="88" t="str">
        <f aca="false">IFERROR(1/(1/SUMIFS(PMTCT!$AS:$AS,PMTCT!$C:$C,$B23,PMTCT!$D:$D,$C23))/SUM($E23),"")</f>
        <v/>
      </c>
      <c r="AJ23" s="88" t="str">
        <f aca="false">IFERROR(1/(1/SUMIFS(TB!$P:$P,TB!$C:$C,$B23,TB!$D:$D,$C23))/SUM($E23),"")</f>
        <v/>
      </c>
      <c r="AK23" s="150"/>
      <c r="AL23" s="88" t="str">
        <f aca="false">IFERROR(1/(1/SUMIFS(HTS!$X:$X,HTS!$C:$C,$B23,HTS!$D:$D,$C23))/SUM($E23),"")</f>
        <v/>
      </c>
      <c r="AM23" s="88" t="str">
        <f aca="false">IFERROR(1/(1/SUMIFS(HTS!$AA:$AA,HTS!$C:$C,$B23,HTS!$D:$D,$C23))/SUM($E23),"")</f>
        <v/>
      </c>
      <c r="AN23" s="88" t="str">
        <f aca="false">IFERROR(1/(1/SUMIFS(HTS!$AD:$AD,HTS!$C:$C,$B23,HTS!$D:$D,$C23))/SUM($E23),"")</f>
        <v/>
      </c>
      <c r="AO23" s="88" t="str">
        <f aca="false">IFERROR(1/(1/SUMIFS(HTS!$AG:$AG,HTS!$C:$C,$B23,HTS!$D:$D,$C23))/SUM($E23),"")</f>
        <v/>
      </c>
      <c r="AP23" s="88" t="str">
        <f aca="false">IFERROR(1/(1/SUMIFS(HTS!$AJ:$AJ,HTS!$C:$C,$B23,HTS!$D:$D,$C23))/SUM($E23),"")</f>
        <v/>
      </c>
      <c r="AQ23" s="143" t="str">
        <f aca="false">AH23</f>
        <v/>
      </c>
      <c r="AR23" s="144" t="str">
        <f aca="false">AI23</f>
        <v/>
      </c>
      <c r="AS23" s="144" t="str">
        <f aca="false">AJ23</f>
        <v/>
      </c>
      <c r="AT23" s="152"/>
      <c r="AU23" s="144" t="str">
        <f aca="false">AL23</f>
        <v/>
      </c>
      <c r="AV23" s="144" t="str">
        <f aca="false">AM23</f>
        <v/>
      </c>
      <c r="AW23" s="144" t="str">
        <f aca="false">AN23</f>
        <v/>
      </c>
      <c r="AX23" s="144" t="str">
        <f aca="false">AO23</f>
        <v/>
      </c>
      <c r="AY23" s="144" t="str">
        <f aca="false">AP23</f>
        <v/>
      </c>
      <c r="AZ23" s="88" t="str">
        <f aca="false">IFERROR(1/(1/SUM(AQ23:AY23)),"")</f>
        <v/>
      </c>
      <c r="BA23" s="85" t="str">
        <f aca="false">IFERROR(1/(1/SUMIFS(HTS!$BA:$BA,HTS!$C:$C,$B23,HTS!$D:$D,$C23)),"")</f>
        <v/>
      </c>
      <c r="BB23" s="88" t="str">
        <f aca="false">IF(SUM($E23)=0,"",SUM($BA23)/SUM($E23))</f>
        <v/>
      </c>
      <c r="BC23" s="88" t="str">
        <f aca="false">$BB23</f>
        <v/>
      </c>
      <c r="BD23" s="5" t="str">
        <f aca="false">IF(SUM($AG23)=0,"",ROUND(SUM($BC23)*SUM($AG23),0))</f>
        <v/>
      </c>
      <c r="BE23" s="85" t="str">
        <f aca="false">IFERROR(1/(1/SUMIFS(HTS!$AY:$AY,HTS!$C:$C,$B23,HTS!$D:$D,$C23)),"")</f>
        <v/>
      </c>
      <c r="BF23" s="5" t="str">
        <f aca="false">BE23</f>
        <v/>
      </c>
      <c r="BG23" s="88" t="str">
        <f aca="false">IF(SUM($BE23)=0,"",(SUM($BF23)-$BE23)/$BE23)</f>
        <v/>
      </c>
      <c r="BS23" s="87" t="n">
        <f aca="false">$AF23</f>
        <v>0.95</v>
      </c>
      <c r="BU23" s="5" t="str">
        <f aca="false">IF(SUM($AG23)=0,"",IF(AND($AH23="",SUM($AG23)&gt;0),"&lt;- Enter Linkage Rate",ROUND($AG23*$AH23*$BS23,0)))</f>
        <v/>
      </c>
      <c r="CG23" s="88" t="n">
        <f aca="false">AF23</f>
        <v>0.95</v>
      </c>
      <c r="CI23" s="5" t="str">
        <f aca="false">IF(SUM($AG23)=0,"",IF(AND($AS23="",SUM($AG23)&gt;0),"&lt;- Enter Linkage Rate",ROUND($AG23*$AS23*$CG23,0)))</f>
        <v/>
      </c>
      <c r="CS23" s="85" t="str">
        <f aca="false">IFERROR(1/(1/SUMIFS(PrEP!$L:$L,PrEP!$C:$C,$B23,PrEP!$D:$D,$C23)),"")</f>
        <v/>
      </c>
      <c r="CT23" s="10" t="str">
        <f aca="false">IFERROR(1/(1/SUMIFS(PrEP!$O:$O,PrEP!$C:$C,$B23,PrEP!$D:$D,$C23)),"")</f>
        <v/>
      </c>
      <c r="CU23" s="5" t="str">
        <f aca="false">CS23</f>
        <v/>
      </c>
      <c r="CV23" s="5" t="str">
        <f aca="false">CT23</f>
        <v/>
      </c>
      <c r="CW23" s="88" t="str">
        <f aca="false">IF(SUM($CS23)=0,"",(SUM($CU23)-$CS23)/$CS23)</f>
        <v/>
      </c>
      <c r="CX23" s="88" t="str">
        <f aca="false">IF(SUM($CT23)=0,"",(SUM($CV23)-$CT23)/$CT23)</f>
        <v/>
      </c>
      <c r="CY23" s="85" t="str">
        <f aca="false">IFERROR(1/(1/SUMIFS(PP!$H:$H,PP!$C:$C,$B23,PP!$D:$D,$C23)),"")</f>
        <v/>
      </c>
      <c r="CZ23" s="5" t="str">
        <f aca="false">CY23</f>
        <v/>
      </c>
      <c r="DA23" s="88" t="str">
        <f aca="false">IF(SUM($CY23)=0,"",(SUM($CZ23)-$CY23)/$CY23)</f>
        <v/>
      </c>
      <c r="DB23" s="153"/>
      <c r="DC23" s="100"/>
      <c r="DD23" s="152"/>
      <c r="DE23" s="85" t="str">
        <f aca="false">IFERROR(1/(1/SUMIFS(CXCA!$M:$M,CXCA!$C:$C,$B23,CXCA!$D:$D,$C23)),"")</f>
        <v/>
      </c>
      <c r="DF23" s="10" t="str">
        <f aca="false">IF(SUM($DE23)=0,"",$DE23/SUM(SUMIFS(CXCA!$H:$H,CXCA!$C:$C,$B23,CXCA!$D:$D,$C23),SUMIFS(CXCA!$I:$I,CXCA!$C:$C,$B23,CXCA!$D:$D,$C23)))</f>
        <v/>
      </c>
      <c r="DG23" s="88" t="n">
        <v>0.33</v>
      </c>
      <c r="DH23" s="88" t="n">
        <v>1</v>
      </c>
      <c r="DI23" s="5" t="str">
        <f aca="false">IF(SUM($G23)=0,"",ROUND($G23*$DG23+$W23*$DH23,0))</f>
        <v/>
      </c>
      <c r="DJ23" s="88" t="str">
        <f aca="false">IF(SUM($DI23)=0,"",SUM($DI23)/(SUM($G23)+SUM($W23)))</f>
        <v/>
      </c>
      <c r="DK23" s="149"/>
      <c r="DL23" s="150"/>
      <c r="DM23" s="150"/>
      <c r="DN23" s="150"/>
      <c r="DO23" s="150"/>
      <c r="DP23" s="150"/>
      <c r="DQ23" s="100"/>
      <c r="DR23" s="100"/>
      <c r="DS23" s="100"/>
      <c r="DT23" s="100"/>
      <c r="DU23" s="153"/>
      <c r="DV23" s="150"/>
      <c r="DW23" s="150"/>
      <c r="DX23" s="150"/>
      <c r="DY23" s="100"/>
      <c r="DZ23" s="100"/>
      <c r="EA23" s="149"/>
      <c r="EB23" s="100"/>
      <c r="EC23" s="100"/>
      <c r="ED23" s="153"/>
      <c r="EE23" s="154"/>
      <c r="EF23" s="154"/>
      <c r="EG23" s="154"/>
      <c r="EH23" s="100"/>
      <c r="EI23" s="100"/>
      <c r="EJ23" s="100"/>
      <c r="EK23" s="100"/>
      <c r="EL23" s="150"/>
      <c r="EM23" s="150"/>
      <c r="EN23" s="150"/>
      <c r="EO23" s="150"/>
      <c r="EP23" s="149"/>
      <c r="EQ23" s="100"/>
      <c r="ER23" s="153"/>
      <c r="ES23" s="154"/>
      <c r="ET23" s="100"/>
      <c r="EU23" s="100"/>
      <c r="EV23" s="150"/>
      <c r="EW23" s="150"/>
      <c r="EX23" s="153"/>
      <c r="EY23" s="100"/>
      <c r="EZ23" s="150"/>
      <c r="FA23" s="153"/>
      <c r="FB23" s="100"/>
      <c r="FC23" s="155"/>
    </row>
    <row r="24" customFormat="false" ht="15" hidden="false" customHeight="false" outlineLevel="0" collapsed="false">
      <c r="A24" s="0" t="s">
        <v>223</v>
      </c>
      <c r="B24" s="9" t="s">
        <v>366</v>
      </c>
      <c r="C24" s="0" t="s">
        <v>48</v>
      </c>
      <c r="E24" s="85" t="str">
        <f aca="false">IFERROR(1/(1/IF($B24="&lt;01",ROUND(SUM(EID!$L:$L)/2,0),SUMIFS(HTS!$AM:$AM,HTS!$C:$C,$B24,HTS!$D:$D,$C24))),"")</f>
        <v/>
      </c>
      <c r="F24" s="10" t="str">
        <f aca="false">IFERROR(1/(1/IF($B24="&lt;01",ROUND(SUM(EID!$N:$N)/2,0),SUMIFS(Cascade!$AX:$AX,Cascade!$C:$C,$B24,Cascade!$D:$D,$C24))),"")</f>
        <v/>
      </c>
      <c r="G24" s="10" t="str">
        <f aca="false">IFERROR(1/(1/IF($B24="&lt;01",ROUND(SUM(EID!$P:$P)/2,0),SUMIFS(Cascade!$AP:$AP,Cascade!$C:$C,$B24,Cascade!$D:$D,$C24))),"")</f>
        <v/>
      </c>
      <c r="H24" s="10" t="str">
        <f aca="false">IFERROR(1/(1/IF($B24="&lt;01",ROUND(SUM(EID!$T:$T)/2,0),SUMIFS(Cascade!$BB:$BB,Cascade!$C:$C,$B24,Cascade!$D:$D,$C24))),"")</f>
        <v/>
      </c>
      <c r="I24" s="10" t="str">
        <f aca="false">IFERROR(1/(1/IF($B24="&lt;01",ROUND(SUM(EID!$V:$V)/2,0),SUMIFS(Cascade!$BE:$BE,Cascade!$C:$C,$B24,Cascade!$D:$D,$C24))),"")</f>
        <v/>
      </c>
      <c r="J24" s="10" t="str">
        <f aca="false">IFERROR(1/(1/SUMIFS(Cascade!$AJ:$AJ,Cascade!$C:$C,"="&amp;$B24,Cascade!$D:$D,$C24)),"")</f>
        <v/>
      </c>
      <c r="K24" s="10" t="n">
        <f aca="false">IFERROR(1/(1/SUMIFS(Cascade!$AQ:$AQ,Cascade!$C:$C,"="&amp;$B24,Cascade!$D:$D,$C24)),"")</f>
        <v>31902</v>
      </c>
      <c r="L24" s="88" t="str">
        <f aca="false">IF(SUM($J24)=0,"",SUM($K24)/$J24)</f>
        <v/>
      </c>
      <c r="M24" s="85" t="str">
        <f aca="false">IFERROR(1/(1/ROUND(SUMIFS(Spectrum!$N:$N,Spectrum!$Q:$Q,"="&amp;$B24,Spectrum!$K:$K,$C24,Spectrum!$G:$G,M$14,Spectrum!$M:$M,"CY2024Q3"),0)),"")</f>
        <v/>
      </c>
      <c r="N24" s="5" t="str">
        <f aca="false">IFERROR(1/(1/ROUND(SUMIFS(Spectrum!$N:$N,Spectrum!$Q:$Q,"="&amp;$B24,Spectrum!$K:$K,$C24,Spectrum!$G:$G,N$14,Spectrum!$M:$M,"CY2025Q3"),0)),IFERROR(1/(1/SUM($J24,$M24)),""))</f>
        <v/>
      </c>
      <c r="O24" s="88" t="n">
        <f aca="false">MAX(SUM($L24),90%)</f>
        <v>0.9</v>
      </c>
      <c r="P24" s="10" t="str">
        <f aca="false">IFERROR(1/(1/IF(SUM($N24)=0,SUM($G24),ROUND(SUM($N24)*SUM($O24),0))),"")</f>
        <v/>
      </c>
      <c r="Q24" s="88" t="n">
        <f aca="false">IF(SUM($K24)=0,1,SUM($G24)/$K24)</f>
        <v>0</v>
      </c>
      <c r="R24" s="81" t="str">
        <f aca="false">IFERROR(1/(1/ROUND(SUM($P24)*SUM($Q24),0)),"")</f>
        <v/>
      </c>
      <c r="S24" s="5" t="n">
        <f aca="false">IFERROR(1/(1/IF(SUM($R24)=0,IF(SUM($P24)=0,SUM($K24),SUM($P24)),ROUND(SUM($R24)/IF(SUM($Q24)=0,1,SUM($Q24)),0))),"")</f>
        <v>31902</v>
      </c>
      <c r="T24" s="88" t="str">
        <f aca="false">IF(SUM($N24)=0,"",SUM($S24)/$N24)</f>
        <v/>
      </c>
      <c r="U24" s="92" t="n">
        <v>0.98</v>
      </c>
      <c r="V24" s="88" t="n">
        <v>0.98</v>
      </c>
      <c r="W24" s="10" t="str">
        <f aca="false">IF(OR(SUM($V24)=0,SUM($R24)=0),"",ROUND((SUM($R24)-(SUM($G24)*SUM($U24)))/$V24,0))</f>
        <v/>
      </c>
      <c r="X24" s="88" t="n">
        <v>1</v>
      </c>
      <c r="Y24" s="5" t="str">
        <f aca="false">IF(SUM($W24)=0,"",ROUND(SUM($W24)*SUM($X24),0))</f>
        <v/>
      </c>
      <c r="Z24" s="92" t="n">
        <v>0.7</v>
      </c>
      <c r="AA24" s="10" t="str">
        <f aca="false">IF(SUM($G24,$W24)=0,"",ROUND(SUM($G24)+(SUM($W24)*$Z24),0))</f>
        <v/>
      </c>
      <c r="AB24" s="88" t="n">
        <v>0.95</v>
      </c>
      <c r="AC24" s="5" t="str">
        <f aca="false">IF(SUM($AA24)=0,"",ROUND($AA24*$AB24,0))</f>
        <v/>
      </c>
      <c r="AD24" s="92" t="n">
        <v>0.95</v>
      </c>
      <c r="AE24" s="5" t="str">
        <f aca="false">IF(SUM($AC24)=0,"",ROUND($AD24*$AC24,0))</f>
        <v/>
      </c>
      <c r="AF24" s="92" t="n">
        <v>0.95</v>
      </c>
      <c r="AG24" s="5" t="str">
        <f aca="false">IF(SUM($Y24)=0,"",ROUND($Y24/$AF24,0))</f>
        <v/>
      </c>
      <c r="AH24" s="149"/>
      <c r="AI24" s="150"/>
      <c r="AJ24" s="88" t="str">
        <f aca="false">IFERROR(1/(1/SUMIFS(TB!$P:$P,TB!$C:$C,$B24,TB!$D:$D,$C24))/SUM($E24),"")</f>
        <v/>
      </c>
      <c r="AK24" s="88" t="str">
        <f aca="false">IFERROR(1/(1/SUMIFS(VMMC!$AA:$AA,VMMC!$C:$C,$B24,VMMC!$D:$D,$C24))/SUM($E24),"")</f>
        <v/>
      </c>
      <c r="AL24" s="88" t="str">
        <f aca="false">IFERROR(1/(1/SUMIFS(HTS!$X:$X,HTS!$C:$C,$B24,HTS!$D:$D,$C24))/SUM($E24),"")</f>
        <v/>
      </c>
      <c r="AM24" s="88" t="str">
        <f aca="false">IFERROR(1/(1/SUMIFS(HTS!$AA:$AA,HTS!$C:$C,$B24,HTS!$D:$D,$C24))/SUM($E24),"")</f>
        <v/>
      </c>
      <c r="AN24" s="88" t="str">
        <f aca="false">IFERROR(1/(1/SUMIFS(HTS!$AD:$AD,HTS!$C:$C,$B24,HTS!$D:$D,$C24))/SUM($E24),"")</f>
        <v/>
      </c>
      <c r="AO24" s="88" t="str">
        <f aca="false">IFERROR(1/(1/SUMIFS(HTS!$AG:$AG,HTS!$C:$C,$B24,HTS!$D:$D,$C24))/SUM($E24),"")</f>
        <v/>
      </c>
      <c r="AP24" s="88" t="str">
        <f aca="false">IFERROR(1/(1/SUMIFS(HTS!$AJ:$AJ,HTS!$C:$C,$B24,HTS!$D:$D,$C24))/SUM($E24),"")</f>
        <v/>
      </c>
      <c r="AQ24" s="151"/>
      <c r="AR24" s="152"/>
      <c r="AS24" s="144" t="str">
        <f aca="false">AJ24</f>
        <v/>
      </c>
      <c r="AT24" s="144" t="str">
        <f aca="false">AK24</f>
        <v/>
      </c>
      <c r="AU24" s="144" t="str">
        <f aca="false">AL24</f>
        <v/>
      </c>
      <c r="AV24" s="144" t="str">
        <f aca="false">AM24</f>
        <v/>
      </c>
      <c r="AW24" s="144" t="str">
        <f aca="false">AN24</f>
        <v/>
      </c>
      <c r="AX24" s="144" t="str">
        <f aca="false">AO24</f>
        <v/>
      </c>
      <c r="AY24" s="144" t="str">
        <f aca="false">AP24</f>
        <v/>
      </c>
      <c r="AZ24" s="88" t="str">
        <f aca="false">IFERROR(1/(1/SUM(AQ24:AY24)),"")</f>
        <v/>
      </c>
      <c r="BA24" s="85" t="str">
        <f aca="false">IFERROR(1/(1/SUMIFS(HTS!$BA:$BA,HTS!$C:$C,$B24,HTS!$D:$D,$C24)),"")</f>
        <v/>
      </c>
      <c r="BB24" s="88" t="str">
        <f aca="false">IF(SUM($E24)=0,"",SUM($BA24)/SUM($E24))</f>
        <v/>
      </c>
      <c r="BC24" s="88" t="str">
        <f aca="false">$BB24</f>
        <v/>
      </c>
      <c r="BD24" s="5" t="str">
        <f aca="false">IF(SUM($AG24)=0,"",ROUND(SUM($BC24)*SUM($AG24),0))</f>
        <v/>
      </c>
      <c r="BE24" s="85" t="str">
        <f aca="false">IFERROR(1/(1/SUMIFS(HTS!$AY:$AY,HTS!$C:$C,$B24,HTS!$D:$D,$C24)),"")</f>
        <v/>
      </c>
      <c r="BF24" s="5" t="str">
        <f aca="false">BE24</f>
        <v/>
      </c>
      <c r="BG24" s="88" t="str">
        <f aca="false">IF(SUM($BE24)=0,"",(SUM($BF24)-$BE24)/$BE24)</f>
        <v/>
      </c>
      <c r="BS24" s="155"/>
      <c r="BT24" s="100"/>
      <c r="BU24" s="100"/>
      <c r="BV24" s="153"/>
      <c r="BW24" s="154"/>
      <c r="BX24" s="154"/>
      <c r="BY24" s="154"/>
      <c r="BZ24" s="100"/>
      <c r="CA24" s="100"/>
      <c r="CB24" s="100"/>
      <c r="CC24" s="154"/>
      <c r="CD24" s="150"/>
      <c r="CE24" s="153"/>
      <c r="CF24" s="154"/>
      <c r="CG24" s="88" t="n">
        <f aca="false">AF24</f>
        <v>0.95</v>
      </c>
      <c r="CI24" s="5" t="str">
        <f aca="false">IF(SUM($AG24)=0,"",IF(AND($AS24="",SUM($AG24)&gt;0),"&lt;- Enter Linkage Rate",ROUND($AG24*$AS24*$CG24,0)))</f>
        <v/>
      </c>
      <c r="CS24" s="85" t="str">
        <f aca="false">IFERROR(1/(1/SUMIFS(PrEP!$L:$L,PrEP!$C:$C,$B24,PrEP!$D:$D,$C24)),"")</f>
        <v/>
      </c>
      <c r="CT24" s="10" t="str">
        <f aca="false">IFERROR(1/(1/SUMIFS(PrEP!$O:$O,PrEP!$C:$C,$B24,PrEP!$D:$D,$C24)),"")</f>
        <v/>
      </c>
      <c r="CU24" s="5" t="str">
        <f aca="false">CS24</f>
        <v/>
      </c>
      <c r="CV24" s="5" t="str">
        <f aca="false">CT24</f>
        <v/>
      </c>
      <c r="CW24" s="88" t="str">
        <f aca="false">IF(SUM($CS24)=0,"",(SUM($CU24)-$CS24)/$CS24)</f>
        <v/>
      </c>
      <c r="CX24" s="88" t="str">
        <f aca="false">IF(SUM($CT24)=0,"",(SUM($CV24)-$CT24)/$CT24)</f>
        <v/>
      </c>
      <c r="CY24" s="85" t="str">
        <f aca="false">IFERROR(1/(1/SUMIFS(PP!$H:$H,PP!$C:$C,$B24,PP!$D:$D,$C24)),"")</f>
        <v/>
      </c>
      <c r="CZ24" s="5" t="str">
        <f aca="false">CY24</f>
        <v/>
      </c>
      <c r="DA24" s="88" t="str">
        <f aca="false">IF(SUM($CY24)=0,"",(SUM($CZ24)-$CY24)/$CY24)</f>
        <v/>
      </c>
      <c r="DB24" s="153"/>
      <c r="DC24" s="100"/>
      <c r="DD24" s="152"/>
      <c r="DE24" s="153"/>
      <c r="DF24" s="154"/>
      <c r="DG24" s="150"/>
      <c r="DH24" s="150"/>
      <c r="DI24" s="100"/>
      <c r="DJ24" s="150"/>
      <c r="DK24" s="149"/>
      <c r="DL24" s="150"/>
      <c r="DM24" s="150"/>
      <c r="DN24" s="150"/>
      <c r="DO24" s="150"/>
      <c r="DP24" s="150"/>
      <c r="DQ24" s="100"/>
      <c r="DR24" s="100"/>
      <c r="DS24" s="100"/>
      <c r="DT24" s="100"/>
      <c r="DU24" s="153"/>
      <c r="DV24" s="150"/>
      <c r="DW24" s="150"/>
      <c r="DX24" s="150"/>
      <c r="DY24" s="100"/>
      <c r="DZ24" s="100"/>
      <c r="EA24" s="149"/>
      <c r="EB24" s="100"/>
      <c r="EC24" s="100"/>
      <c r="ED24" s="153"/>
      <c r="EE24" s="154"/>
      <c r="EF24" s="154"/>
      <c r="EG24" s="154"/>
      <c r="EH24" s="100"/>
      <c r="EI24" s="100"/>
      <c r="EJ24" s="100"/>
      <c r="EK24" s="100"/>
      <c r="EL24" s="150"/>
      <c r="EM24" s="150"/>
      <c r="EN24" s="150"/>
      <c r="EO24" s="150"/>
      <c r="EP24" s="149"/>
      <c r="EQ24" s="100"/>
      <c r="ER24" s="153"/>
      <c r="ES24" s="154"/>
      <c r="ET24" s="100"/>
      <c r="EU24" s="100"/>
      <c r="EV24" s="150"/>
      <c r="EW24" s="150"/>
      <c r="EX24" s="153"/>
      <c r="EY24" s="100"/>
      <c r="EZ24" s="150"/>
      <c r="FA24" s="153"/>
      <c r="FB24" s="100"/>
      <c r="FC24" s="155"/>
    </row>
    <row r="25" customFormat="false" ht="15" hidden="false" customHeight="false" outlineLevel="0" collapsed="false">
      <c r="A25" s="0" t="s">
        <v>223</v>
      </c>
      <c r="B25" s="9" t="s">
        <v>367</v>
      </c>
      <c r="C25" s="9" t="s">
        <v>30</v>
      </c>
      <c r="E25" s="85" t="str">
        <f aca="false">IFERROR(1/(1/IF($B25="&lt;01",ROUND(SUM(EID!$L:$L)/2,0),SUMIFS(HTS!$AM:$AM,HTS!$C:$C,$B25,HTS!$D:$D,$C25))),"")</f>
        <v/>
      </c>
      <c r="F25" s="10" t="str">
        <f aca="false">IFERROR(1/(1/IF($B25="&lt;01",ROUND(SUM(EID!$N:$N)/2,0),SUMIFS(Cascade!$AX:$AX,Cascade!$C:$C,$B25,Cascade!$D:$D,$C25))),"")</f>
        <v/>
      </c>
      <c r="G25" s="10" t="str">
        <f aca="false">IFERROR(1/(1/IF($B25="&lt;01",ROUND(SUM(EID!$P:$P)/2,0),SUMIFS(Cascade!$AP:$AP,Cascade!$C:$C,$B25,Cascade!$D:$D,$C25))),"")</f>
        <v/>
      </c>
      <c r="H25" s="10" t="str">
        <f aca="false">IFERROR(1/(1/IF($B25="&lt;01",ROUND(SUM(EID!$T:$T)/2,0),SUMIFS(Cascade!$BB:$BB,Cascade!$C:$C,$B25,Cascade!$D:$D,$C25))),"")</f>
        <v/>
      </c>
      <c r="I25" s="10" t="str">
        <f aca="false">IFERROR(1/(1/IF($B25="&lt;01",ROUND(SUM(EID!$V:$V)/2,0),SUMIFS(Cascade!$BE:$BE,Cascade!$C:$C,$B25,Cascade!$D:$D,$C25))),"")</f>
        <v/>
      </c>
      <c r="J25" s="10" t="str">
        <f aca="false">IFERROR(1/(1/SUMIFS(Cascade!$AJ:$AJ,Cascade!$C:$C,"="&amp;$B25,Cascade!$D:$D,$C25)),"")</f>
        <v/>
      </c>
      <c r="K25" s="10" t="n">
        <f aca="false">IFERROR(1/(1/SUMIFS(Cascade!$AQ:$AQ,Cascade!$C:$C,"="&amp;$B25,Cascade!$D:$D,$C25)),"")</f>
        <v>37739</v>
      </c>
      <c r="L25" s="88" t="str">
        <f aca="false">IF(SUM($J25)=0,"",SUM($K25)/$J25)</f>
        <v/>
      </c>
      <c r="M25" s="85" t="str">
        <f aca="false">IFERROR(1/(1/ROUND(SUMIFS(Spectrum!$N:$N,Spectrum!$Q:$Q,"="&amp;$B25,Spectrum!$K:$K,$C25,Spectrum!$G:$G,M$14,Spectrum!$M:$M,"CY2024Q3"),0)),"")</f>
        <v/>
      </c>
      <c r="N25" s="5" t="str">
        <f aca="false">IFERROR(1/(1/ROUND(SUMIFS(Spectrum!$N:$N,Spectrum!$Q:$Q,"="&amp;$B25,Spectrum!$K:$K,$C25,Spectrum!$G:$G,N$14,Spectrum!$M:$M,"CY2025Q3"),0)),IFERROR(1/(1/SUM($J25,$M25)),""))</f>
        <v/>
      </c>
      <c r="O25" s="88" t="n">
        <f aca="false">MAX(SUM($L25),90%)</f>
        <v>0.9</v>
      </c>
      <c r="P25" s="10" t="str">
        <f aca="false">IFERROR(1/(1/IF(SUM($N25)=0,SUM($G25),ROUND(SUM($N25)*SUM($O25),0))),"")</f>
        <v/>
      </c>
      <c r="Q25" s="88" t="n">
        <f aca="false">IF(SUM($K25)=0,1,SUM($G25)/$K25)</f>
        <v>0</v>
      </c>
      <c r="R25" s="81" t="str">
        <f aca="false">IFERROR(1/(1/ROUND(SUM($P25)*SUM($Q25),0)),"")</f>
        <v/>
      </c>
      <c r="S25" s="5" t="n">
        <f aca="false">IFERROR(1/(1/IF(SUM($R25)=0,IF(SUM($P25)=0,SUM($K25),SUM($P25)),ROUND(SUM($R25)/IF(SUM($Q25)=0,1,SUM($Q25)),0))),"")</f>
        <v>37739</v>
      </c>
      <c r="T25" s="88" t="str">
        <f aca="false">IF(SUM($N25)=0,"",SUM($S25)/$N25)</f>
        <v/>
      </c>
      <c r="U25" s="92" t="n">
        <v>0.98</v>
      </c>
      <c r="V25" s="88" t="n">
        <v>0.98</v>
      </c>
      <c r="W25" s="10" t="str">
        <f aca="false">IF(OR(SUM($V25)=0,SUM($R25)=0),"",ROUND((SUM($R25)-(SUM($G25)*SUM($U25)))/$V25,0))</f>
        <v/>
      </c>
      <c r="X25" s="88" t="n">
        <v>1</v>
      </c>
      <c r="Y25" s="5" t="str">
        <f aca="false">IF(SUM($W25)=0,"",ROUND(SUM($W25)*SUM($X25),0))</f>
        <v/>
      </c>
      <c r="Z25" s="92" t="n">
        <v>0.7</v>
      </c>
      <c r="AA25" s="10" t="str">
        <f aca="false">IF(SUM($G25,$W25)=0,"",ROUND(SUM($G25)+(SUM($W25)*$Z25),0))</f>
        <v/>
      </c>
      <c r="AB25" s="88" t="n">
        <v>0.95</v>
      </c>
      <c r="AC25" s="5" t="str">
        <f aca="false">IF(SUM($AA25)=0,"",ROUND($AA25*$AB25,0))</f>
        <v/>
      </c>
      <c r="AD25" s="92" t="n">
        <v>0.95</v>
      </c>
      <c r="AE25" s="5" t="str">
        <f aca="false">IF(SUM($AC25)=0,"",ROUND($AD25*$AC25,0))</f>
        <v/>
      </c>
      <c r="AF25" s="92" t="n">
        <v>0.95</v>
      </c>
      <c r="AG25" s="5" t="str">
        <f aca="false">IF(SUM($Y25)=0,"",ROUND($Y25/$AF25,0))</f>
        <v/>
      </c>
      <c r="AH25" s="92" t="str">
        <f aca="false">IFERROR(1/(1/SUMIFS(PMTCT!$AC:$AC,PMTCT!$C:$C,$B25,PMTCT!$D:$D,$C25))/SUM($E25),"")</f>
        <v/>
      </c>
      <c r="AI25" s="88" t="str">
        <f aca="false">IFERROR(1/(1/SUMIFS(PMTCT!$AS:$AS,PMTCT!$C:$C,$B25,PMTCT!$D:$D,$C25))/SUM($E25),"")</f>
        <v/>
      </c>
      <c r="AJ25" s="88" t="str">
        <f aca="false">IFERROR(1/(1/SUMIFS(TB!$P:$P,TB!$C:$C,$B25,TB!$D:$D,$C25))/SUM($E25),"")</f>
        <v/>
      </c>
      <c r="AK25" s="150"/>
      <c r="AL25" s="88" t="str">
        <f aca="false">IFERROR(1/(1/SUMIFS(HTS!$X:$X,HTS!$C:$C,$B25,HTS!$D:$D,$C25))/SUM($E25),"")</f>
        <v/>
      </c>
      <c r="AM25" s="88" t="str">
        <f aca="false">IFERROR(1/(1/SUMIFS(HTS!$AA:$AA,HTS!$C:$C,$B25,HTS!$D:$D,$C25))/SUM($E25),"")</f>
        <v/>
      </c>
      <c r="AN25" s="88" t="str">
        <f aca="false">IFERROR(1/(1/SUMIFS(HTS!$AD:$AD,HTS!$C:$C,$B25,HTS!$D:$D,$C25))/SUM($E25),"")</f>
        <v/>
      </c>
      <c r="AO25" s="88" t="str">
        <f aca="false">IFERROR(1/(1/SUMIFS(HTS!$AG:$AG,HTS!$C:$C,$B25,HTS!$D:$D,$C25))/SUM($E25),"")</f>
        <v/>
      </c>
      <c r="AP25" s="88" t="str">
        <f aca="false">IFERROR(1/(1/SUMIFS(HTS!$AJ:$AJ,HTS!$C:$C,$B25,HTS!$D:$D,$C25))/SUM($E25),"")</f>
        <v/>
      </c>
      <c r="AQ25" s="143" t="str">
        <f aca="false">AH25</f>
        <v/>
      </c>
      <c r="AR25" s="144" t="str">
        <f aca="false">AI25</f>
        <v/>
      </c>
      <c r="AS25" s="144" t="str">
        <f aca="false">AJ25</f>
        <v/>
      </c>
      <c r="AT25" s="152"/>
      <c r="AU25" s="144" t="str">
        <f aca="false">AL25</f>
        <v/>
      </c>
      <c r="AV25" s="144" t="str">
        <f aca="false">AM25</f>
        <v/>
      </c>
      <c r="AW25" s="144" t="str">
        <f aca="false">AN25</f>
        <v/>
      </c>
      <c r="AX25" s="144" t="str">
        <f aca="false">AO25</f>
        <v/>
      </c>
      <c r="AY25" s="144" t="str">
        <f aca="false">AP25</f>
        <v/>
      </c>
      <c r="AZ25" s="88" t="str">
        <f aca="false">IFERROR(1/(1/SUM(AQ25:AY25)),"")</f>
        <v/>
      </c>
      <c r="BA25" s="85" t="str">
        <f aca="false">IFERROR(1/(1/SUMIFS(HTS!$BA:$BA,HTS!$C:$C,$B25,HTS!$D:$D,$C25)),"")</f>
        <v/>
      </c>
      <c r="BB25" s="88" t="str">
        <f aca="false">IF(SUM($E25)=0,"",SUM($BA25)/SUM($E25))</f>
        <v/>
      </c>
      <c r="BC25" s="88" t="str">
        <f aca="false">$BB25</f>
        <v/>
      </c>
      <c r="BD25" s="5" t="str">
        <f aca="false">IF(SUM($AG25)=0,"",ROUND(SUM($BC25)*SUM($AG25),0))</f>
        <v/>
      </c>
      <c r="BE25" s="85" t="str">
        <f aca="false">IFERROR(1/(1/SUMIFS(HTS!$AY:$AY,HTS!$C:$C,$B25,HTS!$D:$D,$C25)),"")</f>
        <v/>
      </c>
      <c r="BF25" s="5" t="str">
        <f aca="false">BE25</f>
        <v/>
      </c>
      <c r="BG25" s="88" t="str">
        <f aca="false">IF(SUM($BE25)=0,"",(SUM($BF25)-$BE25)/$BE25)</f>
        <v/>
      </c>
      <c r="BS25" s="87" t="n">
        <f aca="false">$AF25</f>
        <v>0.95</v>
      </c>
      <c r="BU25" s="5" t="str">
        <f aca="false">IF(SUM($AG25)=0,"",IF(AND($AH25="",SUM($AG25)&gt;0),"&lt;- Enter Linkage Rate",ROUND($AG25*$AH25*$BS25,0)))</f>
        <v/>
      </c>
      <c r="CG25" s="88" t="n">
        <f aca="false">AF25</f>
        <v>0.95</v>
      </c>
      <c r="CI25" s="5" t="str">
        <f aca="false">IF(SUM($AG25)=0,"",IF(AND($AS25="",SUM($AG25)&gt;0),"&lt;- Enter Linkage Rate",ROUND($AG25*$AS25*$CG25,0)))</f>
        <v/>
      </c>
      <c r="CS25" s="85" t="str">
        <f aca="false">IFERROR(1/(1/SUMIFS(PrEP!$L:$L,PrEP!$C:$C,$B25,PrEP!$D:$D,$C25)),"")</f>
        <v/>
      </c>
      <c r="CT25" s="10" t="str">
        <f aca="false">IFERROR(1/(1/SUMIFS(PrEP!$O:$O,PrEP!$C:$C,$B25,PrEP!$D:$D,$C25)),"")</f>
        <v/>
      </c>
      <c r="CU25" s="5" t="str">
        <f aca="false">CS25</f>
        <v/>
      </c>
      <c r="CV25" s="5" t="str">
        <f aca="false">CT25</f>
        <v/>
      </c>
      <c r="CW25" s="88" t="str">
        <f aca="false">IF(SUM($CS25)=0,"",(SUM($CU25)-$CS25)/$CS25)</f>
        <v/>
      </c>
      <c r="CX25" s="88" t="str">
        <f aca="false">IF(SUM($CT25)=0,"",(SUM($CV25)-$CT25)/$CT25)</f>
        <v/>
      </c>
      <c r="CY25" s="85" t="str">
        <f aca="false">IFERROR(1/(1/SUMIFS(PP!$H:$H,PP!$C:$C,$B25,PP!$D:$D,$C25)),"")</f>
        <v/>
      </c>
      <c r="CZ25" s="5" t="str">
        <f aca="false">CY25</f>
        <v/>
      </c>
      <c r="DA25" s="88" t="str">
        <f aca="false">IF(SUM($CY25)=0,"",(SUM($CZ25)-$CY25)/$CY25)</f>
        <v/>
      </c>
      <c r="DB25" s="153"/>
      <c r="DC25" s="100"/>
      <c r="DD25" s="152"/>
      <c r="DE25" s="85" t="str">
        <f aca="false">IFERROR(1/(1/SUMIFS(CXCA!$M:$M,CXCA!$C:$C,$B25,CXCA!$D:$D,$C25)),"")</f>
        <v/>
      </c>
      <c r="DF25" s="10" t="str">
        <f aca="false">IF(SUM($DE25)=0,"",$DE25/SUM(SUMIFS(CXCA!$H:$H,CXCA!$C:$C,$B25,CXCA!$D:$D,$C25),SUMIFS(CXCA!$I:$I,CXCA!$C:$C,$B25,CXCA!$D:$D,$C25)))</f>
        <v/>
      </c>
      <c r="DG25" s="88" t="n">
        <v>0.33</v>
      </c>
      <c r="DH25" s="88" t="n">
        <v>1</v>
      </c>
      <c r="DI25" s="5" t="str">
        <f aca="false">IF(SUM($G25)=0,"",ROUND($G25*$DG25+$W25*$DH25,0))</f>
        <v/>
      </c>
      <c r="DJ25" s="88" t="str">
        <f aca="false">IF(SUM($DI25)=0,"",SUM($DI25)/(SUM($G25)+SUM($W25)))</f>
        <v/>
      </c>
      <c r="DK25" s="149"/>
      <c r="DL25" s="150"/>
      <c r="DM25" s="150"/>
      <c r="DN25" s="150"/>
      <c r="DO25" s="150"/>
      <c r="DP25" s="150"/>
      <c r="DQ25" s="100"/>
      <c r="DR25" s="100"/>
      <c r="DS25" s="100"/>
      <c r="DT25" s="100"/>
      <c r="DU25" s="153"/>
      <c r="DV25" s="150"/>
      <c r="DW25" s="150"/>
      <c r="DX25" s="150"/>
      <c r="DY25" s="100"/>
      <c r="DZ25" s="100"/>
      <c r="EA25" s="149"/>
      <c r="EB25" s="100"/>
      <c r="EC25" s="100"/>
      <c r="ED25" s="153"/>
      <c r="EE25" s="154"/>
      <c r="EF25" s="154"/>
      <c r="EG25" s="154"/>
      <c r="EH25" s="100"/>
      <c r="EI25" s="100"/>
      <c r="EJ25" s="100"/>
      <c r="EK25" s="100"/>
      <c r="EL25" s="150"/>
      <c r="EM25" s="150"/>
      <c r="EN25" s="150"/>
      <c r="EO25" s="150"/>
      <c r="EP25" s="149"/>
      <c r="EQ25" s="100"/>
      <c r="ER25" s="153"/>
      <c r="ES25" s="154"/>
      <c r="ET25" s="100"/>
      <c r="EU25" s="100"/>
      <c r="EV25" s="150"/>
      <c r="EW25" s="150"/>
      <c r="EX25" s="153"/>
      <c r="EY25" s="100"/>
      <c r="EZ25" s="150"/>
      <c r="FA25" s="153"/>
      <c r="FB25" s="100"/>
      <c r="FC25" s="155"/>
    </row>
    <row r="26" customFormat="false" ht="15" hidden="false" customHeight="false" outlineLevel="0" collapsed="false">
      <c r="A26" s="0" t="s">
        <v>223</v>
      </c>
      <c r="B26" s="9" t="s">
        <v>367</v>
      </c>
      <c r="C26" s="0" t="s">
        <v>48</v>
      </c>
      <c r="E26" s="85" t="str">
        <f aca="false">IFERROR(1/(1/IF($B26="&lt;01",ROUND(SUM(EID!$L:$L)/2,0),SUMIFS(HTS!$AM:$AM,HTS!$C:$C,$B26,HTS!$D:$D,$C26))),"")</f>
        <v/>
      </c>
      <c r="F26" s="10" t="str">
        <f aca="false">IFERROR(1/(1/IF($B26="&lt;01",ROUND(SUM(EID!$N:$N)/2,0),SUMIFS(Cascade!$AX:$AX,Cascade!$C:$C,$B26,Cascade!$D:$D,$C26))),"")</f>
        <v/>
      </c>
      <c r="G26" s="10" t="str">
        <f aca="false">IFERROR(1/(1/IF($B26="&lt;01",ROUND(SUM(EID!$P:$P)/2,0),SUMIFS(Cascade!$AP:$AP,Cascade!$C:$C,$B26,Cascade!$D:$D,$C26))),"")</f>
        <v/>
      </c>
      <c r="H26" s="10" t="str">
        <f aca="false">IFERROR(1/(1/IF($B26="&lt;01",ROUND(SUM(EID!$T:$T)/2,0),SUMIFS(Cascade!$BB:$BB,Cascade!$C:$C,$B26,Cascade!$D:$D,$C26))),"")</f>
        <v/>
      </c>
      <c r="I26" s="10" t="str">
        <f aca="false">IFERROR(1/(1/IF($B26="&lt;01",ROUND(SUM(EID!$V:$V)/2,0),SUMIFS(Cascade!$BE:$BE,Cascade!$C:$C,$B26,Cascade!$D:$D,$C26))),"")</f>
        <v/>
      </c>
      <c r="J26" s="10" t="str">
        <f aca="false">IFERROR(1/(1/SUMIFS(Cascade!$AJ:$AJ,Cascade!$C:$C,"="&amp;$B26,Cascade!$D:$D,$C26)),"")</f>
        <v/>
      </c>
      <c r="K26" s="10" t="n">
        <f aca="false">IFERROR(1/(1/SUMIFS(Cascade!$AQ:$AQ,Cascade!$C:$C,"="&amp;$B26,Cascade!$D:$D,$C26)),"")</f>
        <v>37717</v>
      </c>
      <c r="L26" s="88" t="str">
        <f aca="false">IF(SUM($J26)=0,"",SUM($K26)/$J26)</f>
        <v/>
      </c>
      <c r="M26" s="85" t="str">
        <f aca="false">IFERROR(1/(1/ROUND(SUMIFS(Spectrum!$N:$N,Spectrum!$Q:$Q,"="&amp;$B26,Spectrum!$K:$K,$C26,Spectrum!$G:$G,M$14,Spectrum!$M:$M,"CY2024Q3"),0)),"")</f>
        <v/>
      </c>
      <c r="N26" s="5" t="str">
        <f aca="false">IFERROR(1/(1/ROUND(SUMIFS(Spectrum!$N:$N,Spectrum!$Q:$Q,"="&amp;$B26,Spectrum!$K:$K,$C26,Spectrum!$G:$G,N$14,Spectrum!$M:$M,"CY2025Q3"),0)),IFERROR(1/(1/SUM($J26,$M26)),""))</f>
        <v/>
      </c>
      <c r="O26" s="88" t="n">
        <f aca="false">MAX(SUM($L26),90%)</f>
        <v>0.9</v>
      </c>
      <c r="P26" s="10" t="str">
        <f aca="false">IFERROR(1/(1/IF(SUM($N26)=0,SUM($G26),ROUND(SUM($N26)*SUM($O26),0))),"")</f>
        <v/>
      </c>
      <c r="Q26" s="88" t="n">
        <f aca="false">IF(SUM($K26)=0,1,SUM($G26)/$K26)</f>
        <v>0</v>
      </c>
      <c r="R26" s="81" t="str">
        <f aca="false">IFERROR(1/(1/ROUND(SUM($P26)*SUM($Q26),0)),"")</f>
        <v/>
      </c>
      <c r="S26" s="5" t="n">
        <f aca="false">IFERROR(1/(1/IF(SUM($R26)=0,IF(SUM($P26)=0,SUM($K26),SUM($P26)),ROUND(SUM($R26)/IF(SUM($Q26)=0,1,SUM($Q26)),0))),"")</f>
        <v>37717</v>
      </c>
      <c r="T26" s="88" t="str">
        <f aca="false">IF(SUM($N26)=0,"",SUM($S26)/$N26)</f>
        <v/>
      </c>
      <c r="U26" s="92" t="n">
        <v>0.98</v>
      </c>
      <c r="V26" s="88" t="n">
        <v>0.98</v>
      </c>
      <c r="W26" s="10" t="str">
        <f aca="false">IF(OR(SUM($V26)=0,SUM($R26)=0),"",ROUND((SUM($R26)-(SUM($G26)*SUM($U26)))/$V26,0))</f>
        <v/>
      </c>
      <c r="X26" s="88" t="n">
        <v>1</v>
      </c>
      <c r="Y26" s="5" t="str">
        <f aca="false">IF(SUM($W26)=0,"",ROUND(SUM($W26)*SUM($X26),0))</f>
        <v/>
      </c>
      <c r="Z26" s="92" t="n">
        <v>0.7</v>
      </c>
      <c r="AA26" s="10" t="str">
        <f aca="false">IF(SUM($G26,$W26)=0,"",ROUND(SUM($G26)+(SUM($W26)*$Z26),0))</f>
        <v/>
      </c>
      <c r="AB26" s="88" t="n">
        <v>0.95</v>
      </c>
      <c r="AC26" s="5" t="str">
        <f aca="false">IF(SUM($AA26)=0,"",ROUND($AA26*$AB26,0))</f>
        <v/>
      </c>
      <c r="AD26" s="92" t="n">
        <v>0.95</v>
      </c>
      <c r="AE26" s="5" t="str">
        <f aca="false">IF(SUM($AC26)=0,"",ROUND($AD26*$AC26,0))</f>
        <v/>
      </c>
      <c r="AF26" s="92" t="n">
        <v>0.95</v>
      </c>
      <c r="AG26" s="5" t="str">
        <f aca="false">IF(SUM($Y26)=0,"",ROUND($Y26/$AF26,0))</f>
        <v/>
      </c>
      <c r="AH26" s="149"/>
      <c r="AI26" s="150"/>
      <c r="AJ26" s="88" t="str">
        <f aca="false">IFERROR(1/(1/SUMIFS(TB!$P:$P,TB!$C:$C,$B26,TB!$D:$D,$C26))/SUM($E26),"")</f>
        <v/>
      </c>
      <c r="AK26" s="88" t="str">
        <f aca="false">IFERROR(1/(1/SUMIFS(VMMC!$AA:$AA,VMMC!$C:$C,$B26,VMMC!$D:$D,$C26))/SUM($E26),"")</f>
        <v/>
      </c>
      <c r="AL26" s="88" t="str">
        <f aca="false">IFERROR(1/(1/SUMIFS(HTS!$X:$X,HTS!$C:$C,$B26,HTS!$D:$D,$C26))/SUM($E26),"")</f>
        <v/>
      </c>
      <c r="AM26" s="88" t="str">
        <f aca="false">IFERROR(1/(1/SUMIFS(HTS!$AA:$AA,HTS!$C:$C,$B26,HTS!$D:$D,$C26))/SUM($E26),"")</f>
        <v/>
      </c>
      <c r="AN26" s="88" t="str">
        <f aca="false">IFERROR(1/(1/SUMIFS(HTS!$AD:$AD,HTS!$C:$C,$B26,HTS!$D:$D,$C26))/SUM($E26),"")</f>
        <v/>
      </c>
      <c r="AO26" s="88" t="str">
        <f aca="false">IFERROR(1/(1/SUMIFS(HTS!$AG:$AG,HTS!$C:$C,$B26,HTS!$D:$D,$C26))/SUM($E26),"")</f>
        <v/>
      </c>
      <c r="AP26" s="88" t="str">
        <f aca="false">IFERROR(1/(1/SUMIFS(HTS!$AJ:$AJ,HTS!$C:$C,$B26,HTS!$D:$D,$C26))/SUM($E26),"")</f>
        <v/>
      </c>
      <c r="AQ26" s="151"/>
      <c r="AR26" s="152"/>
      <c r="AS26" s="144" t="str">
        <f aca="false">AJ26</f>
        <v/>
      </c>
      <c r="AT26" s="144" t="str">
        <f aca="false">AK26</f>
        <v/>
      </c>
      <c r="AU26" s="144" t="str">
        <f aca="false">AL26</f>
        <v/>
      </c>
      <c r="AV26" s="144" t="str">
        <f aca="false">AM26</f>
        <v/>
      </c>
      <c r="AW26" s="144" t="str">
        <f aca="false">AN26</f>
        <v/>
      </c>
      <c r="AX26" s="144" t="str">
        <f aca="false">AO26</f>
        <v/>
      </c>
      <c r="AY26" s="144" t="str">
        <f aca="false">AP26</f>
        <v/>
      </c>
      <c r="AZ26" s="88" t="str">
        <f aca="false">IFERROR(1/(1/SUM(AQ26:AY26)),"")</f>
        <v/>
      </c>
      <c r="BA26" s="85" t="str">
        <f aca="false">IFERROR(1/(1/SUMIFS(HTS!$BA:$BA,HTS!$C:$C,$B26,HTS!$D:$D,$C26)),"")</f>
        <v/>
      </c>
      <c r="BB26" s="88" t="str">
        <f aca="false">IF(SUM($E26)=0,"",SUM($BA26)/SUM($E26))</f>
        <v/>
      </c>
      <c r="BC26" s="88" t="str">
        <f aca="false">$BB26</f>
        <v/>
      </c>
      <c r="BD26" s="5" t="str">
        <f aca="false">IF(SUM($AG26)=0,"",ROUND(SUM($BC26)*SUM($AG26),0))</f>
        <v/>
      </c>
      <c r="BE26" s="85" t="str">
        <f aca="false">IFERROR(1/(1/SUMIFS(HTS!$AY:$AY,HTS!$C:$C,$B26,HTS!$D:$D,$C26)),"")</f>
        <v/>
      </c>
      <c r="BF26" s="5" t="str">
        <f aca="false">BE26</f>
        <v/>
      </c>
      <c r="BG26" s="88" t="str">
        <f aca="false">IF(SUM($BE26)=0,"",(SUM($BF26)-$BE26)/$BE26)</f>
        <v/>
      </c>
      <c r="BS26" s="155"/>
      <c r="BT26" s="100"/>
      <c r="BU26" s="100"/>
      <c r="BV26" s="153"/>
      <c r="BW26" s="154"/>
      <c r="BX26" s="154"/>
      <c r="BY26" s="154"/>
      <c r="BZ26" s="100"/>
      <c r="CA26" s="100"/>
      <c r="CB26" s="100"/>
      <c r="CC26" s="154"/>
      <c r="CD26" s="150"/>
      <c r="CE26" s="153"/>
      <c r="CF26" s="154"/>
      <c r="CG26" s="88" t="n">
        <f aca="false">AF26</f>
        <v>0.95</v>
      </c>
      <c r="CI26" s="5" t="str">
        <f aca="false">IF(SUM($AG26)=0,"",IF(AND($AS26="",SUM($AG26)&gt;0),"&lt;- Enter Linkage Rate",ROUND($AG26*$AS26*$CG26,0)))</f>
        <v/>
      </c>
      <c r="CS26" s="85" t="str">
        <f aca="false">IFERROR(1/(1/SUMIFS(PrEP!$L:$L,PrEP!$C:$C,$B26,PrEP!$D:$D,$C26)),"")</f>
        <v/>
      </c>
      <c r="CT26" s="10" t="str">
        <f aca="false">IFERROR(1/(1/SUMIFS(PrEP!$O:$O,PrEP!$C:$C,$B26,PrEP!$D:$D,$C26)),"")</f>
        <v/>
      </c>
      <c r="CU26" s="5" t="str">
        <f aca="false">CS26</f>
        <v/>
      </c>
      <c r="CV26" s="5" t="str">
        <f aca="false">CT26</f>
        <v/>
      </c>
      <c r="CW26" s="88" t="str">
        <f aca="false">IF(SUM($CS26)=0,"",(SUM($CU26)-$CS26)/$CS26)</f>
        <v/>
      </c>
      <c r="CX26" s="88" t="str">
        <f aca="false">IF(SUM($CT26)=0,"",(SUM($CV26)-$CT26)/$CT26)</f>
        <v/>
      </c>
      <c r="CY26" s="85" t="str">
        <f aca="false">IFERROR(1/(1/SUMIFS(PP!$H:$H,PP!$C:$C,$B26,PP!$D:$D,$C26)),"")</f>
        <v/>
      </c>
      <c r="CZ26" s="5" t="str">
        <f aca="false">CY26</f>
        <v/>
      </c>
      <c r="DA26" s="88" t="str">
        <f aca="false">IF(SUM($CY26)=0,"",(SUM($CZ26)-$CY26)/$CY26)</f>
        <v/>
      </c>
      <c r="DB26" s="153"/>
      <c r="DC26" s="100"/>
      <c r="DD26" s="152"/>
      <c r="DE26" s="153"/>
      <c r="DF26" s="154"/>
      <c r="DG26" s="150"/>
      <c r="DH26" s="150"/>
      <c r="DI26" s="100"/>
      <c r="DJ26" s="150"/>
      <c r="DK26" s="149"/>
      <c r="DL26" s="150"/>
      <c r="DM26" s="150"/>
      <c r="DN26" s="150"/>
      <c r="DO26" s="150"/>
      <c r="DP26" s="150"/>
      <c r="DQ26" s="100"/>
      <c r="DR26" s="100"/>
      <c r="DS26" s="100"/>
      <c r="DT26" s="100"/>
      <c r="DU26" s="153"/>
      <c r="DV26" s="150"/>
      <c r="DW26" s="150"/>
      <c r="DX26" s="150"/>
      <c r="DY26" s="100"/>
      <c r="DZ26" s="100"/>
      <c r="EA26" s="149"/>
      <c r="EB26" s="100"/>
      <c r="EC26" s="100"/>
      <c r="ED26" s="153"/>
      <c r="EE26" s="154"/>
      <c r="EF26" s="154"/>
      <c r="EG26" s="154"/>
      <c r="EH26" s="100"/>
      <c r="EI26" s="100"/>
      <c r="EJ26" s="100"/>
      <c r="EK26" s="100"/>
      <c r="EL26" s="150"/>
      <c r="EM26" s="150"/>
      <c r="EN26" s="150"/>
      <c r="EO26" s="150"/>
      <c r="EP26" s="149"/>
      <c r="EQ26" s="100"/>
      <c r="ER26" s="153"/>
      <c r="ES26" s="154"/>
      <c r="ET26" s="100"/>
      <c r="EU26" s="100"/>
      <c r="EV26" s="150"/>
      <c r="EW26" s="150"/>
      <c r="EX26" s="153"/>
      <c r="EY26" s="100"/>
      <c r="EZ26" s="150"/>
      <c r="FA26" s="153"/>
      <c r="FB26" s="100"/>
      <c r="FC26" s="155"/>
    </row>
    <row r="27" customFormat="false" ht="15" hidden="false" customHeight="false" outlineLevel="0" collapsed="false">
      <c r="A27" s="0" t="s">
        <v>223</v>
      </c>
      <c r="B27" s="9" t="s">
        <v>368</v>
      </c>
      <c r="C27" s="9" t="s">
        <v>30</v>
      </c>
      <c r="E27" s="85" t="str">
        <f aca="false">IFERROR(1/(1/IF($B27="&lt;01",ROUND(SUM(EID!$L:$L)/2,0),SUMIFS(HTS!$AM:$AM,HTS!$C:$C,$B27,HTS!$D:$D,$C27))),"")</f>
        <v/>
      </c>
      <c r="F27" s="10" t="str">
        <f aca="false">IFERROR(1/(1/IF($B27="&lt;01",ROUND(SUM(EID!$N:$N)/2,0),SUMIFS(Cascade!$AX:$AX,Cascade!$C:$C,$B27,Cascade!$D:$D,$C27))),"")</f>
        <v/>
      </c>
      <c r="G27" s="10" t="str">
        <f aca="false">IFERROR(1/(1/IF($B27="&lt;01",ROUND(SUM(EID!$P:$P)/2,0),SUMIFS(Cascade!$AP:$AP,Cascade!$C:$C,$B27,Cascade!$D:$D,$C27))),"")</f>
        <v/>
      </c>
      <c r="H27" s="10" t="str">
        <f aca="false">IFERROR(1/(1/IF($B27="&lt;01",ROUND(SUM(EID!$T:$T)/2,0),SUMIFS(Cascade!$BB:$BB,Cascade!$C:$C,$B27,Cascade!$D:$D,$C27))),"")</f>
        <v/>
      </c>
      <c r="I27" s="10" t="str">
        <f aca="false">IFERROR(1/(1/IF($B27="&lt;01",ROUND(SUM(EID!$V:$V)/2,0),SUMIFS(Cascade!$BE:$BE,Cascade!$C:$C,$B27,Cascade!$D:$D,$C27))),"")</f>
        <v/>
      </c>
      <c r="J27" s="10" t="str">
        <f aca="false">IFERROR(1/(1/SUMIFS(Cascade!$AJ:$AJ,Cascade!$C:$C,"="&amp;$B27,Cascade!$D:$D,$C27)),"")</f>
        <v/>
      </c>
      <c r="K27" s="10" t="n">
        <f aca="false">IFERROR(1/(1/SUMIFS(Cascade!$AQ:$AQ,Cascade!$C:$C,"="&amp;$B27,Cascade!$D:$D,$C27)),"")</f>
        <v>34683</v>
      </c>
      <c r="L27" s="88" t="str">
        <f aca="false">IF(SUM($J27)=0,"",SUM($K27)/$J27)</f>
        <v/>
      </c>
      <c r="M27" s="85" t="str">
        <f aca="false">IFERROR(1/(1/ROUND(SUMIFS(Spectrum!$N:$N,Spectrum!$Q:$Q,"="&amp;$B27,Spectrum!$K:$K,$C27,Spectrum!$G:$G,M$14,Spectrum!$M:$M,"CY2024Q3"),0)),"")</f>
        <v/>
      </c>
      <c r="N27" s="5" t="str">
        <f aca="false">IFERROR(1/(1/ROUND(SUMIFS(Spectrum!$N:$N,Spectrum!$Q:$Q,"="&amp;$B27,Spectrum!$K:$K,$C27,Spectrum!$G:$G,N$14,Spectrum!$M:$M,"CY2025Q3"),0)),IFERROR(1/(1/SUM($J27,$M27)),""))</f>
        <v/>
      </c>
      <c r="O27" s="88" t="n">
        <f aca="false">MAX(SUM($L27),90%)</f>
        <v>0.9</v>
      </c>
      <c r="P27" s="10" t="str">
        <f aca="false">IFERROR(1/(1/IF(SUM($N27)=0,SUM($G27),ROUND(SUM($N27)*SUM($O27),0))),"")</f>
        <v/>
      </c>
      <c r="Q27" s="88" t="n">
        <f aca="false">IF(SUM($K27)=0,1,SUM($G27)/$K27)</f>
        <v>0</v>
      </c>
      <c r="R27" s="81" t="str">
        <f aca="false">IFERROR(1/(1/ROUND(SUM($P27)*SUM($Q27),0)),"")</f>
        <v/>
      </c>
      <c r="S27" s="5" t="n">
        <f aca="false">IFERROR(1/(1/IF(SUM($R27)=0,IF(SUM($P27)=0,SUM($K27),SUM($P27)),ROUND(SUM($R27)/IF(SUM($Q27)=0,1,SUM($Q27)),0))),"")</f>
        <v>34683</v>
      </c>
      <c r="T27" s="88" t="str">
        <f aca="false">IF(SUM($N27)=0,"",SUM($S27)/$N27)</f>
        <v/>
      </c>
      <c r="U27" s="92" t="n">
        <v>0.98</v>
      </c>
      <c r="V27" s="88" t="n">
        <v>0.98</v>
      </c>
      <c r="W27" s="10" t="str">
        <f aca="false">IF(OR(SUM($V27)=0,SUM($R27)=0),"",ROUND((SUM($R27)-(SUM($G27)*SUM($U27)))/$V27,0))</f>
        <v/>
      </c>
      <c r="X27" s="88" t="n">
        <v>1</v>
      </c>
      <c r="Y27" s="5" t="str">
        <f aca="false">IF(SUM($W27)=0,"",ROUND(SUM($W27)*SUM($X27),0))</f>
        <v/>
      </c>
      <c r="Z27" s="92" t="n">
        <v>0.7</v>
      </c>
      <c r="AA27" s="10" t="str">
        <f aca="false">IF(SUM($G27,$W27)=0,"",ROUND(SUM($G27)+(SUM($W27)*$Z27),0))</f>
        <v/>
      </c>
      <c r="AB27" s="88" t="n">
        <v>0.95</v>
      </c>
      <c r="AC27" s="5" t="str">
        <f aca="false">IF(SUM($AA27)=0,"",ROUND($AA27*$AB27,0))</f>
        <v/>
      </c>
      <c r="AD27" s="92" t="n">
        <v>0.95</v>
      </c>
      <c r="AE27" s="5" t="str">
        <f aca="false">IF(SUM($AC27)=0,"",ROUND($AD27*$AC27,0))</f>
        <v/>
      </c>
      <c r="AF27" s="92" t="n">
        <v>0.95</v>
      </c>
      <c r="AG27" s="5" t="str">
        <f aca="false">IF(SUM($Y27)=0,"",ROUND($Y27/$AF27,0))</f>
        <v/>
      </c>
      <c r="AH27" s="92" t="str">
        <f aca="false">IFERROR(1/(1/SUMIFS(PMTCT!$AC:$AC,PMTCT!$C:$C,$B27,PMTCT!$D:$D,$C27))/SUM($E27),"")</f>
        <v/>
      </c>
      <c r="AI27" s="88" t="str">
        <f aca="false">IFERROR(1/(1/SUMIFS(PMTCT!$AS:$AS,PMTCT!$C:$C,$B27,PMTCT!$D:$D,$C27))/SUM($E27),"")</f>
        <v/>
      </c>
      <c r="AJ27" s="88" t="str">
        <f aca="false">IFERROR(1/(1/SUMIFS(TB!$P:$P,TB!$C:$C,$B27,TB!$D:$D,$C27))/SUM($E27),"")</f>
        <v/>
      </c>
      <c r="AK27" s="150"/>
      <c r="AL27" s="88" t="str">
        <f aca="false">IFERROR(1/(1/SUMIFS(HTS!$X:$X,HTS!$C:$C,$B27,HTS!$D:$D,$C27))/SUM($E27),"")</f>
        <v/>
      </c>
      <c r="AM27" s="88" t="str">
        <f aca="false">IFERROR(1/(1/SUMIFS(HTS!$AA:$AA,HTS!$C:$C,$B27,HTS!$D:$D,$C27))/SUM($E27),"")</f>
        <v/>
      </c>
      <c r="AN27" s="88" t="str">
        <f aca="false">IFERROR(1/(1/SUMIFS(HTS!$AD:$AD,HTS!$C:$C,$B27,HTS!$D:$D,$C27))/SUM($E27),"")</f>
        <v/>
      </c>
      <c r="AO27" s="88" t="str">
        <f aca="false">IFERROR(1/(1/SUMIFS(HTS!$AG:$AG,HTS!$C:$C,$B27,HTS!$D:$D,$C27))/SUM($E27),"")</f>
        <v/>
      </c>
      <c r="AP27" s="88" t="str">
        <f aca="false">IFERROR(1/(1/SUMIFS(HTS!$AJ:$AJ,HTS!$C:$C,$B27,HTS!$D:$D,$C27))/SUM($E27),"")</f>
        <v/>
      </c>
      <c r="AQ27" s="143" t="str">
        <f aca="false">AH27</f>
        <v/>
      </c>
      <c r="AR27" s="144" t="str">
        <f aca="false">AI27</f>
        <v/>
      </c>
      <c r="AS27" s="144" t="str">
        <f aca="false">AJ27</f>
        <v/>
      </c>
      <c r="AT27" s="152"/>
      <c r="AU27" s="144" t="str">
        <f aca="false">AL27</f>
        <v/>
      </c>
      <c r="AV27" s="144" t="str">
        <f aca="false">AM27</f>
        <v/>
      </c>
      <c r="AW27" s="144" t="str">
        <f aca="false">AN27</f>
        <v/>
      </c>
      <c r="AX27" s="144" t="str">
        <f aca="false">AO27</f>
        <v/>
      </c>
      <c r="AY27" s="144" t="str">
        <f aca="false">AP27</f>
        <v/>
      </c>
      <c r="AZ27" s="88" t="str">
        <f aca="false">IFERROR(1/(1/SUM(AQ27:AY27)),"")</f>
        <v/>
      </c>
      <c r="BA27" s="85" t="str">
        <f aca="false">IFERROR(1/(1/SUMIFS(HTS!$BA:$BA,HTS!$C:$C,$B27,HTS!$D:$D,$C27)),"")</f>
        <v/>
      </c>
      <c r="BB27" s="88" t="str">
        <f aca="false">IF(SUM($E27)=0,"",SUM($BA27)/SUM($E27))</f>
        <v/>
      </c>
      <c r="BC27" s="88" t="str">
        <f aca="false">$BB27</f>
        <v/>
      </c>
      <c r="BD27" s="5" t="str">
        <f aca="false">IF(SUM($AG27)=0,"",ROUND(SUM($BC27)*SUM($AG27),0))</f>
        <v/>
      </c>
      <c r="BE27" s="85" t="n">
        <f aca="false">IFERROR(1/(1/SUMIFS(HTS!$AY:$AY,HTS!$C:$C,$B27,HTS!$D:$D,$C27)),"")</f>
        <v>3363</v>
      </c>
      <c r="BF27" s="5" t="n">
        <f aca="false">BE27</f>
        <v>3363</v>
      </c>
      <c r="BG27" s="88" t="n">
        <f aca="false">IF(SUM($BE27)=0,"",(SUM($BF27)-$BE27)/$BE27)</f>
        <v>0</v>
      </c>
      <c r="BS27" s="87" t="n">
        <f aca="false">$AF27</f>
        <v>0.95</v>
      </c>
      <c r="BU27" s="5" t="str">
        <f aca="false">IF(SUM($AG27)=0,"",IF(AND($AH27="",SUM($AG27)&gt;0),"&lt;- Enter Linkage Rate",ROUND($AG27*$AH27*$BS27,0)))</f>
        <v/>
      </c>
      <c r="CG27" s="88" t="n">
        <f aca="false">AF27</f>
        <v>0.95</v>
      </c>
      <c r="CI27" s="5" t="str">
        <f aca="false">IF(SUM($AG27)=0,"",IF(AND($AS27="",SUM($AG27)&gt;0),"&lt;- Enter Linkage Rate",ROUND($AG27*$AS27*$CG27,0)))</f>
        <v/>
      </c>
      <c r="CS27" s="85" t="n">
        <f aca="false">IFERROR(1/(1/SUMIFS(PrEP!$L:$L,PrEP!$C:$C,$B27,PrEP!$D:$D,$C27)),"")</f>
        <v>34</v>
      </c>
      <c r="CT27" s="10" t="str">
        <f aca="false">IFERROR(1/(1/SUMIFS(PrEP!$O:$O,PrEP!$C:$C,$B27,PrEP!$D:$D,$C27)),"")</f>
        <v/>
      </c>
      <c r="CU27" s="5" t="n">
        <f aca="false">CS27</f>
        <v>34</v>
      </c>
      <c r="CV27" s="5" t="str">
        <f aca="false">CT27</f>
        <v/>
      </c>
      <c r="CW27" s="88" t="n">
        <f aca="false">IF(SUM($CS27)=0,"",(SUM($CU27)-$CS27)/$CS27)</f>
        <v>0</v>
      </c>
      <c r="CX27" s="88" t="str">
        <f aca="false">IF(SUM($CT27)=0,"",(SUM($CV27)-$CT27)/$CT27)</f>
        <v/>
      </c>
      <c r="CY27" s="85" t="n">
        <f aca="false">IFERROR(1/(1/SUMIFS(PP!$H:$H,PP!$C:$C,$B27,PP!$D:$D,$C27)),"")</f>
        <v>155</v>
      </c>
      <c r="CZ27" s="5" t="n">
        <f aca="false">CY27</f>
        <v>155</v>
      </c>
      <c r="DA27" s="88" t="n">
        <f aca="false">IF(SUM($CY27)=0,"",(SUM($CZ27)-$CY27)/$CY27)</f>
        <v>0</v>
      </c>
      <c r="DB27" s="153"/>
      <c r="DC27" s="100"/>
      <c r="DD27" s="152"/>
      <c r="DE27" s="153"/>
      <c r="DF27" s="154"/>
      <c r="DG27" s="150"/>
      <c r="DH27" s="150"/>
      <c r="DI27" s="100"/>
      <c r="DJ27" s="150"/>
      <c r="DK27" s="149"/>
      <c r="DL27" s="150"/>
      <c r="DM27" s="150"/>
      <c r="DN27" s="150"/>
      <c r="DO27" s="150"/>
      <c r="DP27" s="150"/>
      <c r="DQ27" s="100"/>
      <c r="DR27" s="100"/>
      <c r="DS27" s="100"/>
      <c r="DT27" s="100"/>
      <c r="DU27" s="153"/>
      <c r="DV27" s="150"/>
      <c r="DW27" s="150"/>
      <c r="DX27" s="150"/>
      <c r="DY27" s="100"/>
      <c r="DZ27" s="100"/>
      <c r="EA27" s="149"/>
      <c r="EB27" s="100"/>
      <c r="EC27" s="100"/>
      <c r="ED27" s="153"/>
      <c r="EE27" s="154"/>
      <c r="EF27" s="154"/>
      <c r="EG27" s="154"/>
      <c r="EH27" s="100"/>
      <c r="EI27" s="100"/>
      <c r="EJ27" s="100"/>
      <c r="EK27" s="100"/>
      <c r="EL27" s="150"/>
      <c r="EM27" s="150"/>
      <c r="EN27" s="150"/>
      <c r="EO27" s="150"/>
      <c r="EP27" s="149"/>
      <c r="EQ27" s="100"/>
      <c r="ER27" s="153"/>
      <c r="ES27" s="154"/>
      <c r="ET27" s="100"/>
      <c r="EU27" s="100"/>
      <c r="EV27" s="150"/>
      <c r="EW27" s="150"/>
      <c r="EX27" s="153"/>
      <c r="EY27" s="100"/>
      <c r="EZ27" s="150"/>
      <c r="FA27" s="153"/>
      <c r="FB27" s="100"/>
      <c r="FC27" s="155"/>
    </row>
    <row r="28" customFormat="false" ht="15" hidden="false" customHeight="false" outlineLevel="0" collapsed="false">
      <c r="A28" s="0" t="s">
        <v>223</v>
      </c>
      <c r="B28" s="9" t="s">
        <v>368</v>
      </c>
      <c r="C28" s="0" t="s">
        <v>48</v>
      </c>
      <c r="E28" s="85" t="str">
        <f aca="false">IFERROR(1/(1/IF($B28="&lt;01",ROUND(SUM(EID!$L:$L)/2,0),SUMIFS(HTS!$AM:$AM,HTS!$C:$C,$B28,HTS!$D:$D,$C28))),"")</f>
        <v/>
      </c>
      <c r="F28" s="10" t="str">
        <f aca="false">IFERROR(1/(1/IF($B28="&lt;01",ROUND(SUM(EID!$N:$N)/2,0),SUMIFS(Cascade!$AX:$AX,Cascade!$C:$C,$B28,Cascade!$D:$D,$C28))),"")</f>
        <v/>
      </c>
      <c r="G28" s="10" t="str">
        <f aca="false">IFERROR(1/(1/IF($B28="&lt;01",ROUND(SUM(EID!$P:$P)/2,0),SUMIFS(Cascade!$AP:$AP,Cascade!$C:$C,$B28,Cascade!$D:$D,$C28))),"")</f>
        <v/>
      </c>
      <c r="H28" s="10" t="str">
        <f aca="false">IFERROR(1/(1/IF($B28="&lt;01",ROUND(SUM(EID!$T:$T)/2,0),SUMIFS(Cascade!$BB:$BB,Cascade!$C:$C,$B28,Cascade!$D:$D,$C28))),"")</f>
        <v/>
      </c>
      <c r="I28" s="10" t="str">
        <f aca="false">IFERROR(1/(1/IF($B28="&lt;01",ROUND(SUM(EID!$V:$V)/2,0),SUMIFS(Cascade!$BE:$BE,Cascade!$C:$C,$B28,Cascade!$D:$D,$C28))),"")</f>
        <v/>
      </c>
      <c r="J28" s="10" t="str">
        <f aca="false">IFERROR(1/(1/SUMIFS(Cascade!$AJ:$AJ,Cascade!$C:$C,"="&amp;$B28,Cascade!$D:$D,$C28)),"")</f>
        <v/>
      </c>
      <c r="K28" s="10" t="n">
        <f aca="false">IFERROR(1/(1/SUMIFS(Cascade!$AQ:$AQ,Cascade!$C:$C,"="&amp;$B28,Cascade!$D:$D,$C28)),"")</f>
        <v>38938</v>
      </c>
      <c r="L28" s="88" t="str">
        <f aca="false">IF(SUM($J28)=0,"",SUM($K28)/$J28)</f>
        <v/>
      </c>
      <c r="M28" s="85" t="str">
        <f aca="false">IFERROR(1/(1/ROUND(SUMIFS(Spectrum!$N:$N,Spectrum!$Q:$Q,"="&amp;$B28,Spectrum!$K:$K,$C28,Spectrum!$G:$G,M$14,Spectrum!$M:$M,"CY2024Q3"),0)),"")</f>
        <v/>
      </c>
      <c r="N28" s="5" t="str">
        <f aca="false">IFERROR(1/(1/ROUND(SUMIFS(Spectrum!$N:$N,Spectrum!$Q:$Q,"="&amp;$B28,Spectrum!$K:$K,$C28,Spectrum!$G:$G,N$14,Spectrum!$M:$M,"CY2025Q3"),0)),IFERROR(1/(1/SUM($J28,$M28)),""))</f>
        <v/>
      </c>
      <c r="O28" s="88" t="n">
        <f aca="false">MAX(SUM($L28),90%)</f>
        <v>0.9</v>
      </c>
      <c r="P28" s="10" t="str">
        <f aca="false">IFERROR(1/(1/IF(SUM($N28)=0,SUM($G28),ROUND(SUM($N28)*SUM($O28),0))),"")</f>
        <v/>
      </c>
      <c r="Q28" s="88" t="n">
        <f aca="false">IF(SUM($K28)=0,1,SUM($G28)/$K28)</f>
        <v>0</v>
      </c>
      <c r="R28" s="81" t="str">
        <f aca="false">IFERROR(1/(1/ROUND(SUM($P28)*SUM($Q28),0)),"")</f>
        <v/>
      </c>
      <c r="S28" s="5" t="n">
        <f aca="false">IFERROR(1/(1/IF(SUM($R28)=0,IF(SUM($P28)=0,SUM($K28),SUM($P28)),ROUND(SUM($R28)/IF(SUM($Q28)=0,1,SUM($Q28)),0))),"")</f>
        <v>38938</v>
      </c>
      <c r="T28" s="88" t="str">
        <f aca="false">IF(SUM($N28)=0,"",SUM($S28)/$N28)</f>
        <v/>
      </c>
      <c r="U28" s="92" t="n">
        <v>0.98</v>
      </c>
      <c r="V28" s="88" t="n">
        <v>0.98</v>
      </c>
      <c r="W28" s="10" t="str">
        <f aca="false">IF(OR(SUM($V28)=0,SUM($R28)=0),"",ROUND((SUM($R28)-(SUM($G28)*SUM($U28)))/$V28,0))</f>
        <v/>
      </c>
      <c r="X28" s="88" t="n">
        <v>1</v>
      </c>
      <c r="Y28" s="5" t="str">
        <f aca="false">IF(SUM($W28)=0,"",ROUND(SUM($W28)*SUM($X28),0))</f>
        <v/>
      </c>
      <c r="Z28" s="92" t="n">
        <v>0.7</v>
      </c>
      <c r="AA28" s="10" t="str">
        <f aca="false">IF(SUM($G28,$W28)=0,"",ROUND(SUM($G28)+(SUM($W28)*$Z28),0))</f>
        <v/>
      </c>
      <c r="AB28" s="88" t="n">
        <v>0.95</v>
      </c>
      <c r="AC28" s="5" t="str">
        <f aca="false">IF(SUM($AA28)=0,"",ROUND($AA28*$AB28,0))</f>
        <v/>
      </c>
      <c r="AD28" s="92" t="n">
        <v>0.95</v>
      </c>
      <c r="AE28" s="5" t="str">
        <f aca="false">IF(SUM($AC28)=0,"",ROUND($AD28*$AC28,0))</f>
        <v/>
      </c>
      <c r="AF28" s="92" t="n">
        <v>0.95</v>
      </c>
      <c r="AG28" s="5" t="str">
        <f aca="false">IF(SUM($Y28)=0,"",ROUND($Y28/$AF28,0))</f>
        <v/>
      </c>
      <c r="AH28" s="149"/>
      <c r="AI28" s="150"/>
      <c r="AJ28" s="88" t="str">
        <f aca="false">IFERROR(1/(1/SUMIFS(TB!$P:$P,TB!$C:$C,$B28,TB!$D:$D,$C28))/SUM($E28),"")</f>
        <v/>
      </c>
      <c r="AK28" s="88" t="str">
        <f aca="false">IFERROR(1/(1/SUMIFS(VMMC!$AA:$AA,VMMC!$C:$C,$B28,VMMC!$D:$D,$C28))/SUM($E28),"")</f>
        <v/>
      </c>
      <c r="AL28" s="88" t="str">
        <f aca="false">IFERROR(1/(1/SUMIFS(HTS!$X:$X,HTS!$C:$C,$B28,HTS!$D:$D,$C28))/SUM($E28),"")</f>
        <v/>
      </c>
      <c r="AM28" s="88" t="str">
        <f aca="false">IFERROR(1/(1/SUMIFS(HTS!$AA:$AA,HTS!$C:$C,$B28,HTS!$D:$D,$C28))/SUM($E28),"")</f>
        <v/>
      </c>
      <c r="AN28" s="88" t="str">
        <f aca="false">IFERROR(1/(1/SUMIFS(HTS!$AD:$AD,HTS!$C:$C,$B28,HTS!$D:$D,$C28))/SUM($E28),"")</f>
        <v/>
      </c>
      <c r="AO28" s="88" t="str">
        <f aca="false">IFERROR(1/(1/SUMIFS(HTS!$AG:$AG,HTS!$C:$C,$B28,HTS!$D:$D,$C28))/SUM($E28),"")</f>
        <v/>
      </c>
      <c r="AP28" s="88" t="str">
        <f aca="false">IFERROR(1/(1/SUMIFS(HTS!$AJ:$AJ,HTS!$C:$C,$B28,HTS!$D:$D,$C28))/SUM($E28),"")</f>
        <v/>
      </c>
      <c r="AQ28" s="151"/>
      <c r="AR28" s="152"/>
      <c r="AS28" s="144" t="str">
        <f aca="false">AJ28</f>
        <v/>
      </c>
      <c r="AT28" s="144" t="str">
        <f aca="false">AK28</f>
        <v/>
      </c>
      <c r="AU28" s="144" t="str">
        <f aca="false">AL28</f>
        <v/>
      </c>
      <c r="AV28" s="144" t="str">
        <f aca="false">AM28</f>
        <v/>
      </c>
      <c r="AW28" s="144" t="str">
        <f aca="false">AN28</f>
        <v/>
      </c>
      <c r="AX28" s="144" t="str">
        <f aca="false">AO28</f>
        <v/>
      </c>
      <c r="AY28" s="144" t="str">
        <f aca="false">AP28</f>
        <v/>
      </c>
      <c r="AZ28" s="88" t="str">
        <f aca="false">IFERROR(1/(1/SUM(AQ28:AY28)),"")</f>
        <v/>
      </c>
      <c r="BA28" s="85" t="str">
        <f aca="false">IFERROR(1/(1/SUMIFS(HTS!$BA:$BA,HTS!$C:$C,$B28,HTS!$D:$D,$C28)),"")</f>
        <v/>
      </c>
      <c r="BB28" s="88" t="str">
        <f aca="false">IF(SUM($E28)=0,"",SUM($BA28)/SUM($E28))</f>
        <v/>
      </c>
      <c r="BC28" s="88" t="str">
        <f aca="false">$BB28</f>
        <v/>
      </c>
      <c r="BD28" s="5" t="str">
        <f aca="false">IF(SUM($AG28)=0,"",ROUND(SUM($BC28)*SUM($AG28),0))</f>
        <v/>
      </c>
      <c r="BE28" s="85" t="n">
        <f aca="false">IFERROR(1/(1/SUMIFS(HTS!$AY:$AY,HTS!$C:$C,$B28,HTS!$D:$D,$C28)),"")</f>
        <v>3855</v>
      </c>
      <c r="BF28" s="5" t="n">
        <f aca="false">BE28</f>
        <v>3855</v>
      </c>
      <c r="BG28" s="88" t="n">
        <f aca="false">IF(SUM($BE28)=0,"",(SUM($BF28)-$BE28)/$BE28)</f>
        <v>0</v>
      </c>
      <c r="BS28" s="155"/>
      <c r="BT28" s="100"/>
      <c r="BU28" s="100"/>
      <c r="BV28" s="153"/>
      <c r="BW28" s="154"/>
      <c r="BX28" s="154"/>
      <c r="BY28" s="154"/>
      <c r="BZ28" s="100"/>
      <c r="CA28" s="100"/>
      <c r="CB28" s="100"/>
      <c r="CC28" s="154"/>
      <c r="CD28" s="150"/>
      <c r="CE28" s="153"/>
      <c r="CF28" s="154"/>
      <c r="CG28" s="88" t="n">
        <f aca="false">AF28</f>
        <v>0.95</v>
      </c>
      <c r="CI28" s="5" t="str">
        <f aca="false">IF(SUM($AG28)=0,"",IF(AND($AS28="",SUM($AG28)&gt;0),"&lt;- Enter Linkage Rate",ROUND($AG28*$AS28*$CG28,0)))</f>
        <v/>
      </c>
      <c r="CS28" s="85" t="n">
        <f aca="false">IFERROR(1/(1/SUMIFS(PrEP!$L:$L,PrEP!$C:$C,$B28,PrEP!$D:$D,$C28)),"")</f>
        <v>116</v>
      </c>
      <c r="CT28" s="10" t="str">
        <f aca="false">IFERROR(1/(1/SUMIFS(PrEP!$O:$O,PrEP!$C:$C,$B28,PrEP!$D:$D,$C28)),"")</f>
        <v/>
      </c>
      <c r="CU28" s="5" t="n">
        <f aca="false">CS28</f>
        <v>116</v>
      </c>
      <c r="CV28" s="5" t="str">
        <f aca="false">CT28</f>
        <v/>
      </c>
      <c r="CW28" s="88" t="n">
        <f aca="false">IF(SUM($CS28)=0,"",(SUM($CU28)-$CS28)/$CS28)</f>
        <v>0</v>
      </c>
      <c r="CX28" s="88" t="str">
        <f aca="false">IF(SUM($CT28)=0,"",(SUM($CV28)-$CT28)/$CT28)</f>
        <v/>
      </c>
      <c r="CY28" s="85" t="n">
        <f aca="false">IFERROR(1/(1/SUMIFS(PP!$H:$H,PP!$C:$C,$B28,PP!$D:$D,$C28)),"")</f>
        <v>102</v>
      </c>
      <c r="CZ28" s="5" t="n">
        <f aca="false">CY28</f>
        <v>102</v>
      </c>
      <c r="DA28" s="88" t="n">
        <f aca="false">IF(SUM($CY28)=0,"",(SUM($CZ28)-$CY28)/$CY28)</f>
        <v>0</v>
      </c>
      <c r="DB28" s="153"/>
      <c r="DC28" s="100"/>
      <c r="DD28" s="152"/>
      <c r="DE28" s="153"/>
      <c r="DF28" s="154"/>
      <c r="DG28" s="150"/>
      <c r="DH28" s="150"/>
      <c r="DI28" s="100"/>
      <c r="DJ28" s="150"/>
      <c r="DK28" s="149"/>
      <c r="DL28" s="150"/>
      <c r="DM28" s="150"/>
      <c r="DN28" s="150"/>
      <c r="DO28" s="150"/>
      <c r="DP28" s="150"/>
      <c r="DQ28" s="100"/>
      <c r="DR28" s="100"/>
      <c r="DS28" s="100"/>
      <c r="DT28" s="100"/>
      <c r="DU28" s="153"/>
      <c r="DV28" s="150"/>
      <c r="DW28" s="150"/>
      <c r="DX28" s="150"/>
      <c r="DY28" s="100"/>
      <c r="DZ28" s="100"/>
      <c r="EA28" s="149"/>
      <c r="EB28" s="100"/>
      <c r="EC28" s="100"/>
      <c r="ED28" s="153"/>
      <c r="EE28" s="154"/>
      <c r="EF28" s="154"/>
      <c r="EG28" s="154"/>
      <c r="EH28" s="100"/>
      <c r="EI28" s="100"/>
      <c r="EJ28" s="100"/>
      <c r="EK28" s="100"/>
      <c r="EL28" s="150"/>
      <c r="EM28" s="150"/>
      <c r="EN28" s="150"/>
      <c r="EO28" s="150"/>
      <c r="EP28" s="149"/>
      <c r="EQ28" s="100"/>
      <c r="ER28" s="153"/>
      <c r="ES28" s="154"/>
      <c r="ET28" s="100"/>
      <c r="EU28" s="100"/>
      <c r="EV28" s="150"/>
      <c r="EW28" s="150"/>
      <c r="EX28" s="153"/>
      <c r="EY28" s="100"/>
      <c r="EZ28" s="150"/>
      <c r="FA28" s="153"/>
      <c r="FB28" s="100"/>
      <c r="FC28" s="155"/>
    </row>
    <row r="29" customFormat="false" ht="15" hidden="false" customHeight="false" outlineLevel="0" collapsed="false">
      <c r="A29" s="0" t="s">
        <v>369</v>
      </c>
      <c r="D29" s="0" t="s">
        <v>470</v>
      </c>
      <c r="E29" s="85" t="n">
        <f aca="false">IFERROR(1/(1/SUMIFS(KP!$AK:$AK,KP!$C:$C,$D29)),"")</f>
        <v>30</v>
      </c>
      <c r="F29" s="10" t="n">
        <f aca="false">IFERROR(1/(1/SUMIFS(KP!$Z:$Z,KP!$C:$C,$D29)),"")</f>
        <v>29</v>
      </c>
      <c r="G29" s="10" t="n">
        <f aca="false">IFERROR(1/(1/SUMIFS(KP!$Q:$Q,KP!$C:$C,$D29)),"")</f>
        <v>1414</v>
      </c>
      <c r="H29" s="10" t="n">
        <f aca="false">IFERROR(1/(1/SUMIFS(KP!$AD:$AD,KP!$C:$C,$D29)),"")</f>
        <v>1363</v>
      </c>
      <c r="I29" s="10" t="n">
        <f aca="false">IFERROR(1/(1/SUMIFS(KP!$AF:$AF,KP!$C:$C,$D29)),"")</f>
        <v>1296</v>
      </c>
      <c r="J29" s="10" t="str">
        <f aca="false">IFERROR(1/(1/SUMIFS(KP!$F:$F,KP!$C:$C,$D29)),"")</f>
        <v/>
      </c>
      <c r="K29" s="154"/>
      <c r="L29" s="150"/>
      <c r="N29" s="5" t="str">
        <f aca="false">IFERROR(1/(1/SUM($J29)+SUM($M29)),"")</f>
        <v/>
      </c>
      <c r="O29" s="88" t="n">
        <f aca="false">MAX(SUM($L29),90%)</f>
        <v>0.9</v>
      </c>
      <c r="P29" s="10" t="n">
        <f aca="false">IFERROR(1/(1/IF(SUM($N29)=0,SUM($G29),ROUND(SUM($N29)*SUM($O29),0))),"")</f>
        <v>1414</v>
      </c>
      <c r="Q29" s="88" t="n">
        <f aca="false">IF(SUM($K29)=0,1,SUM($G29)/$K29)</f>
        <v>1</v>
      </c>
      <c r="R29" s="81" t="n">
        <f aca="false">IFERROR(1/(1/ROUND(SUM($P29)*SUM($Q29),0)),"")</f>
        <v>1414</v>
      </c>
      <c r="S29" s="5" t="n">
        <f aca="false">IFERROR(1/(1/IF(SUM($R29)=0,IF(SUM($P29)=0,SUM($K29),SUM($P29)),ROUND(SUM($R29)/IF(SUM($Q29)=0,1,SUM($Q29)),0))),"")</f>
        <v>1414</v>
      </c>
      <c r="T29" s="88" t="str">
        <f aca="false">IF(SUM($N29)=0,"",SUM($S29)/$N29)</f>
        <v/>
      </c>
      <c r="U29" s="92" t="n">
        <v>0.98</v>
      </c>
      <c r="V29" s="88" t="n">
        <v>0.98</v>
      </c>
      <c r="W29" s="10" t="n">
        <f aca="false">IF(OR(SUM($V29)=0,SUM($R29)=0),"",ROUND((SUM($R29)-(SUM($G29)*SUM($U29)))/$V29,0))</f>
        <v>29</v>
      </c>
      <c r="X29" s="88" t="n">
        <v>1</v>
      </c>
      <c r="Y29" s="5" t="n">
        <f aca="false">IF(SUM($W29)=0,"",ROUND(SUM($W29)*SUM($X29),0))</f>
        <v>29</v>
      </c>
      <c r="Z29" s="92" t="n">
        <v>0.7</v>
      </c>
      <c r="AA29" s="10" t="n">
        <f aca="false">IF(SUM($G29,$W29)=0,"",ROUND(SUM($G29)+(SUM($W29)*$Z29),0))</f>
        <v>1434</v>
      </c>
      <c r="AB29" s="88" t="n">
        <v>0.95</v>
      </c>
      <c r="AC29" s="5" t="n">
        <f aca="false">IF(SUM($AA29)=0,"",ROUND($AA29*$AB29,0))</f>
        <v>1362</v>
      </c>
      <c r="AD29" s="92" t="n">
        <v>0.95</v>
      </c>
      <c r="AE29" s="5" t="n">
        <f aca="false">IF(SUM($AC29)=0,"",ROUND($AD29*$AC29,0))</f>
        <v>1294</v>
      </c>
      <c r="AF29" s="92" t="n">
        <v>0.95</v>
      </c>
      <c r="AG29" s="5" t="n">
        <f aca="false">IF(SUM($Y29)=0,"",ROUND($Y29/$AF29,0))</f>
        <v>31</v>
      </c>
      <c r="AH29" s="149"/>
      <c r="AI29" s="150"/>
      <c r="AJ29" s="150"/>
      <c r="AK29" s="150"/>
      <c r="AL29" s="150"/>
      <c r="AM29" s="150"/>
      <c r="AN29" s="150"/>
      <c r="AO29" s="150"/>
      <c r="AP29" s="150"/>
      <c r="AQ29" s="151"/>
      <c r="AR29" s="152"/>
      <c r="AS29" s="152"/>
      <c r="AT29" s="152"/>
      <c r="AU29" s="152"/>
      <c r="AV29" s="152"/>
      <c r="AW29" s="152"/>
      <c r="AX29" s="152"/>
      <c r="AY29" s="152"/>
      <c r="AZ29" s="150"/>
      <c r="BA29" s="85" t="n">
        <f aca="false">IFERROR(1/(1/SUMIFS(KP!$AN:$AN,KP!$C:$C,$D29)),"")</f>
        <v>30</v>
      </c>
      <c r="BB29" s="88" t="n">
        <f aca="false">IF(SUM($E29)=0,"",SUM($BA29)/SUM($E29))</f>
        <v>1</v>
      </c>
      <c r="BC29" s="88" t="n">
        <f aca="false">$BB29</f>
        <v>1</v>
      </c>
      <c r="BD29" s="5" t="n">
        <f aca="false">IF(SUM($AG29)=0,"",ROUND(SUM($BC29)*SUM($AG29),0))</f>
        <v>31</v>
      </c>
      <c r="BE29" s="85" t="str">
        <f aca="false">IFERROR(1/(1/SUMIFS(KP!$AP:$AP,KP!$C:$C,$D29)),"")</f>
        <v/>
      </c>
      <c r="BF29" s="5" t="str">
        <f aca="false">BE29</f>
        <v/>
      </c>
      <c r="BG29" s="88" t="str">
        <f aca="false">IF(SUM($BE29)=0,"",(SUM($BF29)-$BE29)/$BE29)</f>
        <v/>
      </c>
      <c r="BS29" s="155"/>
      <c r="BT29" s="100"/>
      <c r="BU29" s="100"/>
      <c r="BV29" s="153"/>
      <c r="BW29" s="154"/>
      <c r="BX29" s="154"/>
      <c r="BY29" s="154"/>
      <c r="BZ29" s="100"/>
      <c r="CA29" s="100"/>
      <c r="CB29" s="100"/>
      <c r="CC29" s="154"/>
      <c r="CD29" s="150"/>
      <c r="CE29" s="153"/>
      <c r="CF29" s="154"/>
      <c r="CG29" s="150"/>
      <c r="CH29" s="100"/>
      <c r="CI29" s="100"/>
      <c r="CJ29" s="153"/>
      <c r="CK29" s="154"/>
      <c r="CL29" s="154"/>
      <c r="CM29" s="154"/>
      <c r="CN29" s="154"/>
      <c r="CO29" s="154"/>
      <c r="CP29" s="154"/>
      <c r="CQ29" s="154"/>
      <c r="CR29" s="150"/>
      <c r="CS29" s="85" t="str">
        <f aca="false">IFERROR(1/(1/SUMIFS(KP!$K:$K,KP!$C:$C,$D29)),"")</f>
        <v/>
      </c>
      <c r="CT29" s="10" t="str">
        <f aca="false">IFERROR(1/(1/SUMIFS(KP!$I:$I,KP!$C:$C,$D29)),"")</f>
        <v/>
      </c>
      <c r="CU29" s="5" t="str">
        <f aca="false">CS29</f>
        <v/>
      </c>
      <c r="CV29" s="5" t="str">
        <f aca="false">CT29</f>
        <v/>
      </c>
      <c r="CW29" s="88" t="str">
        <f aca="false">IF(SUM($CS29)=0,"",(SUM($CU29)-$CS29)/$CS29)</f>
        <v/>
      </c>
      <c r="CX29" s="88" t="str">
        <f aca="false">IF(SUM($CT29)=0,"",(SUM($CV29)-$CT29)/$CT29)</f>
        <v/>
      </c>
      <c r="CY29" s="153"/>
      <c r="CZ29" s="100"/>
      <c r="DA29" s="150"/>
      <c r="DB29" s="85" t="str">
        <f aca="false">IFERROR(1/(1/SUMIFS(KP!$M:$M,KP!$C:$C,$D29)),"")</f>
        <v/>
      </c>
      <c r="DC29" s="5" t="str">
        <f aca="false">DB29</f>
        <v/>
      </c>
      <c r="DD29" s="88" t="str">
        <f aca="false">IF(SUM($DB29)=0,"",(SUM($DC29)-$DB29)/$DB29)</f>
        <v/>
      </c>
      <c r="DE29" s="153"/>
      <c r="DF29" s="154"/>
      <c r="DG29" s="150"/>
      <c r="DH29" s="150"/>
      <c r="DI29" s="100"/>
      <c r="DJ29" s="150"/>
      <c r="DK29" s="149"/>
      <c r="DL29" s="150"/>
      <c r="DM29" s="150"/>
      <c r="DN29" s="150"/>
      <c r="DO29" s="150"/>
      <c r="DP29" s="150"/>
      <c r="DQ29" s="100"/>
      <c r="DR29" s="100"/>
      <c r="DS29" s="100"/>
      <c r="DT29" s="100"/>
      <c r="DU29" s="153"/>
      <c r="DV29" s="150"/>
      <c r="DW29" s="150"/>
      <c r="DX29" s="150"/>
      <c r="DY29" s="100"/>
      <c r="DZ29" s="100"/>
      <c r="EA29" s="149"/>
      <c r="EB29" s="100"/>
      <c r="EC29" s="100"/>
      <c r="ED29" s="153"/>
      <c r="EE29" s="154"/>
      <c r="EF29" s="154"/>
      <c r="EG29" s="154"/>
      <c r="EH29" s="100"/>
      <c r="EI29" s="100"/>
      <c r="EJ29" s="100"/>
      <c r="EK29" s="100"/>
      <c r="EL29" s="150"/>
      <c r="EM29" s="150"/>
      <c r="EN29" s="150"/>
      <c r="EO29" s="150"/>
      <c r="EP29" s="149"/>
      <c r="EQ29" s="100"/>
      <c r="ER29" s="153"/>
      <c r="ES29" s="154"/>
      <c r="ET29" s="100"/>
      <c r="EU29" s="100"/>
      <c r="EV29" s="150"/>
      <c r="EW29" s="150"/>
      <c r="EX29" s="153"/>
      <c r="EY29" s="100"/>
      <c r="EZ29" s="150"/>
      <c r="FA29" s="153"/>
      <c r="FB29" s="100"/>
      <c r="FC29" s="155"/>
    </row>
    <row r="30" customFormat="false" ht="15" hidden="false" customHeight="false" outlineLevel="0" collapsed="false">
      <c r="A30" s="0" t="s">
        <v>369</v>
      </c>
      <c r="D30" s="0" t="s">
        <v>471</v>
      </c>
      <c r="E30" s="85" t="n">
        <f aca="false">IFERROR(1/(1/SUMIFS(KP!$AK:$AK,KP!$C:$C,$D30)),"")</f>
        <v>8</v>
      </c>
      <c r="F30" s="10" t="n">
        <f aca="false">IFERROR(1/(1/SUMIFS(KP!$Z:$Z,KP!$C:$C,$D30)),"")</f>
        <v>8</v>
      </c>
      <c r="G30" s="10" t="n">
        <f aca="false">IFERROR(1/(1/SUMIFS(KP!$Q:$Q,KP!$C:$C,$D30)),"")</f>
        <v>398</v>
      </c>
      <c r="H30" s="10" t="n">
        <f aca="false">IFERROR(1/(1/SUMIFS(KP!$AD:$AD,KP!$C:$C,$D30)),"")</f>
        <v>384</v>
      </c>
      <c r="I30" s="10" t="n">
        <f aca="false">IFERROR(1/(1/SUMIFS(KP!$AF:$AF,KP!$C:$C,$D30)),"")</f>
        <v>366</v>
      </c>
      <c r="J30" s="10" t="str">
        <f aca="false">IFERROR(1/(1/SUMIFS(KP!$F:$F,KP!$C:$C,$D30)),"")</f>
        <v/>
      </c>
      <c r="K30" s="154"/>
      <c r="L30" s="150"/>
      <c r="N30" s="5" t="str">
        <f aca="false">IFERROR(1/(1/SUM($J30)+SUM($M30)),"")</f>
        <v/>
      </c>
      <c r="O30" s="88" t="n">
        <f aca="false">MAX(SUM($L30),90%)</f>
        <v>0.9</v>
      </c>
      <c r="P30" s="10" t="n">
        <f aca="false">IFERROR(1/(1/IF(SUM($N30)=0,SUM($G30),ROUND(SUM($N30)*SUM($O30),0))),"")</f>
        <v>398</v>
      </c>
      <c r="Q30" s="88" t="n">
        <f aca="false">IF(SUM($K30)=0,1,SUM($G30)/$K30)</f>
        <v>1</v>
      </c>
      <c r="R30" s="81" t="n">
        <f aca="false">IFERROR(1/(1/ROUND(SUM($P30)*SUM($Q30),0)),"")</f>
        <v>398</v>
      </c>
      <c r="S30" s="5" t="n">
        <f aca="false">IFERROR(1/(1/IF(SUM($R30)=0,IF(SUM($P30)=0,SUM($K30),SUM($P30)),ROUND(SUM($R30)/IF(SUM($Q30)=0,1,SUM($Q30)),0))),"")</f>
        <v>398</v>
      </c>
      <c r="T30" s="88" t="str">
        <f aca="false">IF(SUM($N30)=0,"",SUM($S30)/$N30)</f>
        <v/>
      </c>
      <c r="U30" s="92" t="n">
        <v>0.98</v>
      </c>
      <c r="V30" s="88" t="n">
        <v>0.98</v>
      </c>
      <c r="W30" s="10" t="n">
        <f aca="false">IF(OR(SUM($V30)=0,SUM($R30)=0),"",ROUND((SUM($R30)-(SUM($G30)*SUM($U30)))/$V30,0))</f>
        <v>8</v>
      </c>
      <c r="X30" s="88" t="n">
        <v>1</v>
      </c>
      <c r="Y30" s="5" t="n">
        <f aca="false">IF(SUM($W30)=0,"",ROUND(SUM($W30)*SUM($X30),0))</f>
        <v>8</v>
      </c>
      <c r="Z30" s="92" t="n">
        <v>0.7</v>
      </c>
      <c r="AA30" s="10" t="n">
        <f aca="false">IF(SUM($G30,$W30)=0,"",ROUND(SUM($G30)+(SUM($W30)*$Z30),0))</f>
        <v>404</v>
      </c>
      <c r="AB30" s="88" t="n">
        <v>0.95</v>
      </c>
      <c r="AC30" s="5" t="n">
        <f aca="false">IF(SUM($AA30)=0,"",ROUND($AA30*$AB30,0))</f>
        <v>384</v>
      </c>
      <c r="AD30" s="92" t="n">
        <v>0.95</v>
      </c>
      <c r="AE30" s="5" t="n">
        <f aca="false">IF(SUM($AC30)=0,"",ROUND($AD30*$AC30,0))</f>
        <v>365</v>
      </c>
      <c r="AF30" s="92" t="n">
        <v>0.95</v>
      </c>
      <c r="AG30" s="5" t="n">
        <f aca="false">IF(SUM($Y30)=0,"",ROUND($Y30/$AF30,0))</f>
        <v>8</v>
      </c>
      <c r="AH30" s="149"/>
      <c r="AI30" s="150"/>
      <c r="AJ30" s="150"/>
      <c r="AK30" s="150"/>
      <c r="AL30" s="150"/>
      <c r="AM30" s="150"/>
      <c r="AN30" s="150"/>
      <c r="AO30" s="150"/>
      <c r="AP30" s="150"/>
      <c r="AQ30" s="151"/>
      <c r="AR30" s="152"/>
      <c r="AS30" s="152"/>
      <c r="AT30" s="152"/>
      <c r="AU30" s="152"/>
      <c r="AV30" s="152"/>
      <c r="AW30" s="152"/>
      <c r="AX30" s="152"/>
      <c r="AY30" s="152"/>
      <c r="AZ30" s="150"/>
      <c r="BA30" s="85" t="n">
        <f aca="false">IFERROR(1/(1/SUMIFS(KP!$AN:$AN,KP!$C:$C,$D30)),"")</f>
        <v>8</v>
      </c>
      <c r="BB30" s="88" t="n">
        <f aca="false">IF(SUM($E30)=0,"",SUM($BA30)/SUM($E30))</f>
        <v>1</v>
      </c>
      <c r="BC30" s="88" t="n">
        <f aca="false">$BB30</f>
        <v>1</v>
      </c>
      <c r="BD30" s="5" t="n">
        <f aca="false">IF(SUM($AG30)=0,"",ROUND(SUM($BC30)*SUM($AG30),0))</f>
        <v>8</v>
      </c>
      <c r="BE30" s="85" t="str">
        <f aca="false">IFERROR(1/(1/SUMIFS(KP!$AP:$AP,KP!$C:$C,$D30)),"")</f>
        <v/>
      </c>
      <c r="BF30" s="5" t="str">
        <f aca="false">BE30</f>
        <v/>
      </c>
      <c r="BG30" s="88" t="str">
        <f aca="false">IF(SUM($BE30)=0,"",(SUM($BF30)-$BE30)/$BE30)</f>
        <v/>
      </c>
      <c r="BS30" s="155"/>
      <c r="BT30" s="100"/>
      <c r="BU30" s="100"/>
      <c r="BV30" s="153"/>
      <c r="BW30" s="154"/>
      <c r="BX30" s="154"/>
      <c r="BY30" s="154"/>
      <c r="BZ30" s="100"/>
      <c r="CA30" s="100"/>
      <c r="CB30" s="100"/>
      <c r="CC30" s="154"/>
      <c r="CD30" s="150"/>
      <c r="CE30" s="153"/>
      <c r="CF30" s="154"/>
      <c r="CG30" s="150"/>
      <c r="CH30" s="100"/>
      <c r="CI30" s="100"/>
      <c r="CJ30" s="153"/>
      <c r="CK30" s="154"/>
      <c r="CL30" s="154"/>
      <c r="CM30" s="154"/>
      <c r="CN30" s="154"/>
      <c r="CO30" s="154"/>
      <c r="CP30" s="154"/>
      <c r="CQ30" s="154"/>
      <c r="CR30" s="150"/>
      <c r="CS30" s="85" t="str">
        <f aca="false">IFERROR(1/(1/SUMIFS(KP!$K:$K,KP!$C:$C,$D30)),"")</f>
        <v/>
      </c>
      <c r="CT30" s="10" t="str">
        <f aca="false">IFERROR(1/(1/SUMIFS(KP!$I:$I,KP!$C:$C,$D30)),"")</f>
        <v/>
      </c>
      <c r="CU30" s="5" t="str">
        <f aca="false">CS30</f>
        <v/>
      </c>
      <c r="CV30" s="5" t="str">
        <f aca="false">CT30</f>
        <v/>
      </c>
      <c r="CW30" s="88" t="str">
        <f aca="false">IF(SUM($CS30)=0,"",(SUM($CU30)-$CS30)/$CS30)</f>
        <v/>
      </c>
      <c r="CX30" s="88" t="str">
        <f aca="false">IF(SUM($CT30)=0,"",(SUM($CV30)-$CT30)/$CT30)</f>
        <v/>
      </c>
      <c r="CY30" s="153"/>
      <c r="CZ30" s="100"/>
      <c r="DA30" s="150"/>
      <c r="DB30" s="85" t="str">
        <f aca="false">IFERROR(1/(1/SUMIFS(KP!$M:$M,KP!$C:$C,$D30)),"")</f>
        <v/>
      </c>
      <c r="DC30" s="5" t="str">
        <f aca="false">DB30</f>
        <v/>
      </c>
      <c r="DD30" s="88" t="str">
        <f aca="false">IF(SUM($DB30)=0,"",(SUM($DC30)-$DB30)/$DB30)</f>
        <v/>
      </c>
      <c r="DE30" s="153"/>
      <c r="DF30" s="154"/>
      <c r="DG30" s="150"/>
      <c r="DH30" s="150"/>
      <c r="DI30" s="100"/>
      <c r="DJ30" s="150"/>
      <c r="DK30" s="149"/>
      <c r="DL30" s="150"/>
      <c r="DM30" s="150"/>
      <c r="DN30" s="150"/>
      <c r="DO30" s="150"/>
      <c r="DP30" s="150"/>
      <c r="DQ30" s="100"/>
      <c r="DR30" s="100"/>
      <c r="DS30" s="100"/>
      <c r="DT30" s="100"/>
      <c r="DU30" s="153"/>
      <c r="DV30" s="150"/>
      <c r="DW30" s="150"/>
      <c r="DX30" s="150"/>
      <c r="DY30" s="100"/>
      <c r="DZ30" s="100"/>
      <c r="EA30" s="149"/>
      <c r="EB30" s="100"/>
      <c r="EC30" s="100"/>
      <c r="ED30" s="153"/>
      <c r="EE30" s="154"/>
      <c r="EF30" s="154"/>
      <c r="EG30" s="154"/>
      <c r="EH30" s="100"/>
      <c r="EI30" s="100"/>
      <c r="EJ30" s="100"/>
      <c r="EK30" s="100"/>
      <c r="EL30" s="150"/>
      <c r="EM30" s="150"/>
      <c r="EN30" s="150"/>
      <c r="EO30" s="150"/>
      <c r="EP30" s="149"/>
      <c r="EQ30" s="100"/>
      <c r="ER30" s="153"/>
      <c r="ES30" s="154"/>
      <c r="ET30" s="100"/>
      <c r="EU30" s="100"/>
      <c r="EV30" s="150"/>
      <c r="EW30" s="150"/>
      <c r="EX30" s="153"/>
      <c r="EY30" s="100"/>
      <c r="EZ30" s="150"/>
      <c r="FA30" s="153"/>
      <c r="FB30" s="100"/>
      <c r="FC30" s="155"/>
    </row>
    <row r="31" customFormat="false" ht="15" hidden="false" customHeight="false" outlineLevel="0" collapsed="false">
      <c r="A31" s="0" t="s">
        <v>369</v>
      </c>
      <c r="D31" s="0" t="s">
        <v>472</v>
      </c>
      <c r="E31" s="85" t="n">
        <f aca="false">IFERROR(1/(1/SUMIFS(KP!$AK:$AK,KP!$C:$C,$D31)),"")</f>
        <v>8</v>
      </c>
      <c r="F31" s="10" t="n">
        <f aca="false">IFERROR(1/(1/SUMIFS(KP!$Z:$Z,KP!$C:$C,$D31)),"")</f>
        <v>8</v>
      </c>
      <c r="G31" s="10" t="n">
        <f aca="false">IFERROR(1/(1/SUMIFS(KP!$Q:$Q,KP!$C:$C,$D31)),"")</f>
        <v>392</v>
      </c>
      <c r="H31" s="10" t="n">
        <f aca="false">IFERROR(1/(1/SUMIFS(KP!$AD:$AD,KP!$C:$C,$D31)),"")</f>
        <v>379</v>
      </c>
      <c r="I31" s="10" t="n">
        <f aca="false">IFERROR(1/(1/SUMIFS(KP!$AF:$AF,KP!$C:$C,$D31)),"")</f>
        <v>363</v>
      </c>
      <c r="J31" s="10" t="str">
        <f aca="false">IFERROR(1/(1/SUMIFS(KP!$F:$F,KP!$C:$C,$D31)),"")</f>
        <v/>
      </c>
      <c r="K31" s="154"/>
      <c r="L31" s="150"/>
      <c r="N31" s="5" t="str">
        <f aca="false">IFERROR(1/(1/SUM($J31)+SUM($M31)),"")</f>
        <v/>
      </c>
      <c r="O31" s="88" t="n">
        <f aca="false">MAX(SUM($L31),90%)</f>
        <v>0.9</v>
      </c>
      <c r="P31" s="10" t="n">
        <f aca="false">IFERROR(1/(1/IF(SUM($N31)=0,SUM($G31),ROUND(SUM($N31)*SUM($O31),0))),"")</f>
        <v>392</v>
      </c>
      <c r="Q31" s="88" t="n">
        <f aca="false">IF(SUM($K31)=0,1,SUM($G31)/$K31)</f>
        <v>1</v>
      </c>
      <c r="R31" s="81" t="n">
        <f aca="false">IFERROR(1/(1/ROUND(SUM($P31)*SUM($Q31),0)),"")</f>
        <v>392</v>
      </c>
      <c r="S31" s="5" t="n">
        <f aca="false">IFERROR(1/(1/IF(SUM($R31)=0,IF(SUM($P31)=0,SUM($K31),SUM($P31)),ROUND(SUM($R31)/IF(SUM($Q31)=0,1,SUM($Q31)),0))),"")</f>
        <v>392</v>
      </c>
      <c r="T31" s="88" t="str">
        <f aca="false">IF(SUM($N31)=0,"",SUM($S31)/$N31)</f>
        <v/>
      </c>
      <c r="U31" s="92" t="n">
        <v>0.98</v>
      </c>
      <c r="V31" s="88" t="n">
        <v>0.98</v>
      </c>
      <c r="W31" s="10" t="n">
        <f aca="false">IF(OR(SUM($V31)=0,SUM($R31)=0),"",ROUND((SUM($R31)-(SUM($G31)*SUM($U31)))/$V31,0))</f>
        <v>8</v>
      </c>
      <c r="X31" s="88" t="n">
        <v>1</v>
      </c>
      <c r="Y31" s="5" t="n">
        <f aca="false">IF(SUM($W31)=0,"",ROUND(SUM($W31)*SUM($X31),0))</f>
        <v>8</v>
      </c>
      <c r="Z31" s="92" t="n">
        <v>0.7</v>
      </c>
      <c r="AA31" s="10" t="n">
        <f aca="false">IF(SUM($G31,$W31)=0,"",ROUND(SUM($G31)+(SUM($W31)*$Z31),0))</f>
        <v>398</v>
      </c>
      <c r="AB31" s="88" t="n">
        <v>0.95</v>
      </c>
      <c r="AC31" s="5" t="n">
        <f aca="false">IF(SUM($AA31)=0,"",ROUND($AA31*$AB31,0))</f>
        <v>378</v>
      </c>
      <c r="AD31" s="92" t="n">
        <v>0.95</v>
      </c>
      <c r="AE31" s="5" t="n">
        <f aca="false">IF(SUM($AC31)=0,"",ROUND($AD31*$AC31,0))</f>
        <v>359</v>
      </c>
      <c r="AF31" s="92" t="n">
        <v>0.95</v>
      </c>
      <c r="AG31" s="5" t="n">
        <f aca="false">IF(SUM($Y31)=0,"",ROUND($Y31/$AF31,0))</f>
        <v>8</v>
      </c>
      <c r="AH31" s="149"/>
      <c r="AI31" s="150"/>
      <c r="AJ31" s="150"/>
      <c r="AK31" s="150"/>
      <c r="AL31" s="150"/>
      <c r="AM31" s="150"/>
      <c r="AN31" s="150"/>
      <c r="AO31" s="150"/>
      <c r="AP31" s="150"/>
      <c r="AQ31" s="151"/>
      <c r="AR31" s="152"/>
      <c r="AS31" s="152"/>
      <c r="AT31" s="152"/>
      <c r="AU31" s="152"/>
      <c r="AV31" s="152"/>
      <c r="AW31" s="152"/>
      <c r="AX31" s="152"/>
      <c r="AY31" s="152"/>
      <c r="AZ31" s="150"/>
      <c r="BA31" s="85" t="n">
        <f aca="false">IFERROR(1/(1/SUMIFS(KP!$AN:$AN,KP!$C:$C,$D31)),"")</f>
        <v>8</v>
      </c>
      <c r="BB31" s="88" t="n">
        <f aca="false">IF(SUM($E31)=0,"",SUM($BA31)/SUM($E31))</f>
        <v>1</v>
      </c>
      <c r="BC31" s="88" t="n">
        <f aca="false">$BB31</f>
        <v>1</v>
      </c>
      <c r="BD31" s="5" t="n">
        <f aca="false">IF(SUM($AG31)=0,"",ROUND(SUM($BC31)*SUM($AG31),0))</f>
        <v>8</v>
      </c>
      <c r="BE31" s="85" t="str">
        <f aca="false">IFERROR(1/(1/SUMIFS(KP!$AP:$AP,KP!$C:$C,$D31)),"")</f>
        <v/>
      </c>
      <c r="BF31" s="5" t="str">
        <f aca="false">BE31</f>
        <v/>
      </c>
      <c r="BG31" s="88" t="str">
        <f aca="false">IF(SUM($BE31)=0,"",(SUM($BF31)-$BE31)/$BE31)</f>
        <v/>
      </c>
      <c r="BS31" s="155"/>
      <c r="BT31" s="100"/>
      <c r="BU31" s="100"/>
      <c r="BV31" s="153"/>
      <c r="BW31" s="154"/>
      <c r="BX31" s="154"/>
      <c r="BY31" s="154"/>
      <c r="BZ31" s="100"/>
      <c r="CA31" s="100"/>
      <c r="CB31" s="100"/>
      <c r="CC31" s="154"/>
      <c r="CD31" s="150"/>
      <c r="CE31" s="153"/>
      <c r="CF31" s="154"/>
      <c r="CG31" s="150"/>
      <c r="CH31" s="100"/>
      <c r="CI31" s="100"/>
      <c r="CJ31" s="153"/>
      <c r="CK31" s="154"/>
      <c r="CL31" s="154"/>
      <c r="CM31" s="154"/>
      <c r="CN31" s="154"/>
      <c r="CO31" s="154"/>
      <c r="CP31" s="154"/>
      <c r="CQ31" s="154"/>
      <c r="CR31" s="150"/>
      <c r="CS31" s="85" t="str">
        <f aca="false">IFERROR(1/(1/SUMIFS(KP!$K:$K,KP!$C:$C,$D31)),"")</f>
        <v/>
      </c>
      <c r="CT31" s="10" t="str">
        <f aca="false">IFERROR(1/(1/SUMIFS(KP!$I:$I,KP!$C:$C,$D31)),"")</f>
        <v/>
      </c>
      <c r="CU31" s="5" t="str">
        <f aca="false">CS31</f>
        <v/>
      </c>
      <c r="CV31" s="5" t="str">
        <f aca="false">CT31</f>
        <v/>
      </c>
      <c r="CW31" s="88" t="str">
        <f aca="false">IF(SUM($CS31)=0,"",(SUM($CU31)-$CS31)/$CS31)</f>
        <v/>
      </c>
      <c r="CX31" s="88" t="str">
        <f aca="false">IF(SUM($CT31)=0,"",(SUM($CV31)-$CT31)/$CT31)</f>
        <v/>
      </c>
      <c r="CY31" s="153"/>
      <c r="CZ31" s="100"/>
      <c r="DA31" s="150"/>
      <c r="DB31" s="85" t="str">
        <f aca="false">IFERROR(1/(1/SUMIFS(KP!$M:$M,KP!$C:$C,$D31)),"")</f>
        <v/>
      </c>
      <c r="DC31" s="5" t="str">
        <f aca="false">DB31</f>
        <v/>
      </c>
      <c r="DD31" s="88" t="str">
        <f aca="false">IF(SUM($DB31)=0,"",(SUM($DC31)-$DB31)/$DB31)</f>
        <v/>
      </c>
      <c r="DE31" s="153"/>
      <c r="DF31" s="154"/>
      <c r="DG31" s="150"/>
      <c r="DH31" s="150"/>
      <c r="DI31" s="100"/>
      <c r="DJ31" s="150"/>
      <c r="DK31" s="149"/>
      <c r="DL31" s="150"/>
      <c r="DM31" s="150"/>
      <c r="DN31" s="150"/>
      <c r="DO31" s="150"/>
      <c r="DP31" s="150"/>
      <c r="DQ31" s="100"/>
      <c r="DR31" s="100"/>
      <c r="DS31" s="100"/>
      <c r="DT31" s="100"/>
      <c r="DU31" s="153"/>
      <c r="DV31" s="150"/>
      <c r="DW31" s="150"/>
      <c r="DX31" s="150"/>
      <c r="DY31" s="100"/>
      <c r="DZ31" s="100"/>
      <c r="EA31" s="149"/>
      <c r="EB31" s="100"/>
      <c r="EC31" s="100"/>
      <c r="ED31" s="153"/>
      <c r="EE31" s="154"/>
      <c r="EF31" s="154"/>
      <c r="EG31" s="154"/>
      <c r="EH31" s="100"/>
      <c r="EI31" s="100"/>
      <c r="EJ31" s="100"/>
      <c r="EK31" s="100"/>
      <c r="EL31" s="150"/>
      <c r="EM31" s="150"/>
      <c r="EN31" s="150"/>
      <c r="EO31" s="150"/>
      <c r="EP31" s="149"/>
      <c r="EQ31" s="100"/>
      <c r="ER31" s="153"/>
      <c r="ES31" s="154"/>
      <c r="ET31" s="100"/>
      <c r="EU31" s="100"/>
      <c r="EV31" s="150"/>
      <c r="EW31" s="150"/>
      <c r="EX31" s="153"/>
      <c r="EY31" s="100"/>
      <c r="EZ31" s="150"/>
      <c r="FA31" s="153"/>
      <c r="FB31" s="100"/>
      <c r="FC31" s="155"/>
    </row>
    <row r="32" customFormat="false" ht="15" hidden="false" customHeight="false" outlineLevel="0" collapsed="false">
      <c r="A32" s="0" t="s">
        <v>369</v>
      </c>
      <c r="D32" s="0" t="s">
        <v>473</v>
      </c>
      <c r="E32" s="85" t="str">
        <f aca="false">IFERROR(1/(1/SUMIFS(KP!$AK:$AK,KP!$C:$C,$D32)),"")</f>
        <v/>
      </c>
      <c r="F32" s="10" t="str">
        <f aca="false">IFERROR(1/(1/SUMIFS(KP!$Z:$Z,KP!$C:$C,$D32)),"")</f>
        <v/>
      </c>
      <c r="G32" s="10" t="str">
        <f aca="false">IFERROR(1/(1/SUMIFS(KP!$Q:$Q,KP!$C:$C,$D32)),"")</f>
        <v/>
      </c>
      <c r="H32" s="10" t="str">
        <f aca="false">IFERROR(1/(1/SUMIFS(KP!$AD:$AD,KP!$C:$C,$D32)),"")</f>
        <v/>
      </c>
      <c r="I32" s="10" t="str">
        <f aca="false">IFERROR(1/(1/SUMIFS(KP!$AF:$AF,KP!$C:$C,$D32)),"")</f>
        <v/>
      </c>
      <c r="J32" s="10" t="str">
        <f aca="false">IFERROR(1/(1/SUMIFS(KP!$F:$F,KP!$C:$C,$D32)),"")</f>
        <v/>
      </c>
      <c r="K32" s="154"/>
      <c r="L32" s="150"/>
      <c r="N32" s="5" t="str">
        <f aca="false">IFERROR(1/(1/SUM($J32)+SUM($M32)),"")</f>
        <v/>
      </c>
      <c r="O32" s="88" t="n">
        <f aca="false">MAX(SUM($L32),90%)</f>
        <v>0.9</v>
      </c>
      <c r="P32" s="10" t="str">
        <f aca="false">IFERROR(1/(1/IF(SUM($N32)=0,SUM($G32),ROUND(SUM($N32)*SUM($O32),0))),"")</f>
        <v/>
      </c>
      <c r="Q32" s="88" t="n">
        <f aca="false">IF(SUM($K32)=0,1,SUM($G32)/$K32)</f>
        <v>1</v>
      </c>
      <c r="R32" s="81" t="str">
        <f aca="false">IFERROR(1/(1/ROUND(SUM($P32)*SUM($Q32),0)),"")</f>
        <v/>
      </c>
      <c r="S32" s="5" t="str">
        <f aca="false">IFERROR(1/(1/IF(SUM($R32)=0,IF(SUM($P32)=0,SUM($K32),SUM($P32)),ROUND(SUM($R32)/IF(SUM($Q32)=0,1,SUM($Q32)),0))),"")</f>
        <v/>
      </c>
      <c r="T32" s="88" t="str">
        <f aca="false">IF(SUM($N32)=0,"",SUM($S32)/$N32)</f>
        <v/>
      </c>
      <c r="U32" s="92" t="n">
        <v>0.98</v>
      </c>
      <c r="V32" s="88" t="n">
        <v>0.98</v>
      </c>
      <c r="W32" s="10" t="str">
        <f aca="false">IF(OR(SUM($V32)=0,SUM($R32)=0),"",ROUND((SUM($R32)-(SUM($G32)*SUM($U32)))/$V32,0))</f>
        <v/>
      </c>
      <c r="X32" s="88" t="n">
        <v>1</v>
      </c>
      <c r="Y32" s="5" t="str">
        <f aca="false">IF(SUM($W32)=0,"",ROUND(SUM($W32)*SUM($X32),0))</f>
        <v/>
      </c>
      <c r="Z32" s="92" t="n">
        <v>0.7</v>
      </c>
      <c r="AA32" s="10" t="str">
        <f aca="false">IF(SUM($G32,$W32)=0,"",ROUND(SUM($G32)+(SUM($W32)*$Z32),0))</f>
        <v/>
      </c>
      <c r="AB32" s="88" t="n">
        <v>0.95</v>
      </c>
      <c r="AC32" s="5" t="str">
        <f aca="false">IF(SUM($AA32)=0,"",ROUND($AA32*$AB32,0))</f>
        <v/>
      </c>
      <c r="AD32" s="92" t="n">
        <v>0.95</v>
      </c>
      <c r="AE32" s="5" t="str">
        <f aca="false">IF(SUM($AC32)=0,"",ROUND($AD32*$AC32,0))</f>
        <v/>
      </c>
      <c r="AF32" s="92" t="n">
        <v>0.95</v>
      </c>
      <c r="AG32" s="5" t="str">
        <f aca="false">IF(SUM($Y32)=0,"",ROUND($Y32/$AF32,0))</f>
        <v/>
      </c>
      <c r="AH32" s="149"/>
      <c r="AI32" s="150"/>
      <c r="AJ32" s="150"/>
      <c r="AK32" s="150"/>
      <c r="AL32" s="150"/>
      <c r="AM32" s="150"/>
      <c r="AN32" s="150"/>
      <c r="AO32" s="150"/>
      <c r="AP32" s="150"/>
      <c r="AQ32" s="151"/>
      <c r="AR32" s="152"/>
      <c r="AS32" s="152"/>
      <c r="AT32" s="152"/>
      <c r="AU32" s="152"/>
      <c r="AV32" s="152"/>
      <c r="AW32" s="152"/>
      <c r="AX32" s="152"/>
      <c r="AY32" s="152"/>
      <c r="AZ32" s="150"/>
      <c r="BA32" s="85" t="str">
        <f aca="false">IFERROR(1/(1/SUMIFS(KP!$AN:$AN,KP!$C:$C,$D32)),"")</f>
        <v/>
      </c>
      <c r="BB32" s="88" t="str">
        <f aca="false">IF(SUM($E32)=0,"",SUM($BA32)/SUM($E32))</f>
        <v/>
      </c>
      <c r="BC32" s="88" t="str">
        <f aca="false">$BB32</f>
        <v/>
      </c>
      <c r="BD32" s="5" t="str">
        <f aca="false">IF(SUM($AG32)=0,"",ROUND(SUM($BC32)*SUM($AG32),0))</f>
        <v/>
      </c>
      <c r="BE32" s="85" t="str">
        <f aca="false">IFERROR(1/(1/SUMIFS(KP!$AP:$AP,KP!$C:$C,$D32)),"")</f>
        <v/>
      </c>
      <c r="BF32" s="5" t="str">
        <f aca="false">BE32</f>
        <v/>
      </c>
      <c r="BG32" s="88" t="str">
        <f aca="false">IF(SUM($BE32)=0,"",(SUM($BF32)-$BE32)/$BE32)</f>
        <v/>
      </c>
      <c r="BS32" s="155"/>
      <c r="BT32" s="100"/>
      <c r="BU32" s="100"/>
      <c r="BV32" s="153"/>
      <c r="BW32" s="154"/>
      <c r="BX32" s="154"/>
      <c r="BY32" s="154"/>
      <c r="BZ32" s="100"/>
      <c r="CA32" s="100"/>
      <c r="CB32" s="100"/>
      <c r="CC32" s="154"/>
      <c r="CD32" s="150"/>
      <c r="CE32" s="153"/>
      <c r="CF32" s="154"/>
      <c r="CG32" s="150"/>
      <c r="CH32" s="100"/>
      <c r="CI32" s="100"/>
      <c r="CJ32" s="153"/>
      <c r="CK32" s="154"/>
      <c r="CL32" s="154"/>
      <c r="CM32" s="154"/>
      <c r="CN32" s="154"/>
      <c r="CO32" s="154"/>
      <c r="CP32" s="154"/>
      <c r="CQ32" s="154"/>
      <c r="CR32" s="150"/>
      <c r="CS32" s="85" t="str">
        <f aca="false">IFERROR(1/(1/SUMIFS(KP!$K:$K,KP!$C:$C,$D32)),"")</f>
        <v/>
      </c>
      <c r="CT32" s="10" t="str">
        <f aca="false">IFERROR(1/(1/SUMIFS(KP!$I:$I,KP!$C:$C,$D32)),"")</f>
        <v/>
      </c>
      <c r="CU32" s="5" t="str">
        <f aca="false">CS32</f>
        <v/>
      </c>
      <c r="CV32" s="5" t="str">
        <f aca="false">CT32</f>
        <v/>
      </c>
      <c r="CW32" s="88" t="str">
        <f aca="false">IF(SUM($CS32)=0,"",(SUM($CU32)-$CS32)/$CS32)</f>
        <v/>
      </c>
      <c r="CX32" s="88" t="str">
        <f aca="false">IF(SUM($CT32)=0,"",(SUM($CV32)-$CT32)/$CT32)</f>
        <v/>
      </c>
      <c r="CY32" s="153"/>
      <c r="CZ32" s="100"/>
      <c r="DA32" s="150"/>
      <c r="DB32" s="85" t="str">
        <f aca="false">IFERROR(1/(1/SUMIFS(KP!$M:$M,KP!$C:$C,$D32)),"")</f>
        <v/>
      </c>
      <c r="DC32" s="5" t="str">
        <f aca="false">DB32</f>
        <v/>
      </c>
      <c r="DD32" s="88" t="str">
        <f aca="false">IF(SUM($DB32)=0,"",(SUM($DC32)-$DB32)/$DB32)</f>
        <v/>
      </c>
      <c r="DE32" s="153"/>
      <c r="DF32" s="154"/>
      <c r="DG32" s="150"/>
      <c r="DH32" s="150"/>
      <c r="DI32" s="100"/>
      <c r="DJ32" s="150"/>
      <c r="DK32" s="149"/>
      <c r="DL32" s="150"/>
      <c r="DM32" s="150"/>
      <c r="DN32" s="150"/>
      <c r="DO32" s="150"/>
      <c r="DP32" s="150"/>
      <c r="DQ32" s="100"/>
      <c r="DR32" s="100"/>
      <c r="DS32" s="100"/>
      <c r="DT32" s="100"/>
      <c r="DU32" s="153"/>
      <c r="DV32" s="150"/>
      <c r="DW32" s="150"/>
      <c r="DX32" s="150"/>
      <c r="DY32" s="100"/>
      <c r="DZ32" s="100"/>
      <c r="EA32" s="149"/>
      <c r="EB32" s="100"/>
      <c r="EC32" s="100"/>
      <c r="ED32" s="153"/>
      <c r="EE32" s="154"/>
      <c r="EF32" s="154"/>
      <c r="EG32" s="154"/>
      <c r="EH32" s="100"/>
      <c r="EI32" s="100"/>
      <c r="EJ32" s="100"/>
      <c r="EK32" s="100"/>
      <c r="EL32" s="150"/>
      <c r="EM32" s="150"/>
      <c r="EN32" s="150"/>
      <c r="EO32" s="150"/>
      <c r="EP32" s="149"/>
      <c r="EQ32" s="100"/>
      <c r="ER32" s="153"/>
      <c r="ES32" s="154"/>
      <c r="ET32" s="100"/>
      <c r="EU32" s="100"/>
      <c r="EV32" s="150"/>
      <c r="EW32" s="150"/>
      <c r="EX32" s="153"/>
      <c r="EY32" s="100"/>
      <c r="EZ32" s="150"/>
      <c r="FA32" s="153"/>
      <c r="FB32" s="100"/>
      <c r="FC32" s="155"/>
    </row>
    <row r="33" customFormat="false" ht="15" hidden="false" customHeight="false" outlineLevel="0" collapsed="false">
      <c r="A33" s="0" t="s">
        <v>369</v>
      </c>
      <c r="D33" s="0" t="s">
        <v>474</v>
      </c>
      <c r="E33" s="85" t="str">
        <f aca="false">IFERROR(1/(1/SUMIFS(KP!$AK:$AK,KP!$C:$C,$D33)),"")</f>
        <v/>
      </c>
      <c r="F33" s="10" t="str">
        <f aca="false">IFERROR(1/(1/SUMIFS(KP!$Z:$Z,KP!$C:$C,$D33)),"")</f>
        <v/>
      </c>
      <c r="G33" s="10" t="n">
        <f aca="false">IFERROR(1/(1/SUMIFS(KP!$Q:$Q,KP!$C:$C,$D33)),"")</f>
        <v>27</v>
      </c>
      <c r="H33" s="10" t="n">
        <f aca="false">IFERROR(1/(1/SUMIFS(KP!$AD:$AD,KP!$C:$C,$D33)),"")</f>
        <v>27</v>
      </c>
      <c r="I33" s="10" t="n">
        <f aca="false">IFERROR(1/(1/SUMIFS(KP!$AF:$AF,KP!$C:$C,$D33)),"")</f>
        <v>27</v>
      </c>
      <c r="J33" s="10" t="str">
        <f aca="false">IFERROR(1/(1/SUMIFS(KP!$F:$F,KP!$C:$C,$D33)),"")</f>
        <v/>
      </c>
      <c r="K33" s="154"/>
      <c r="L33" s="150"/>
      <c r="N33" s="5" t="str">
        <f aca="false">IFERROR(1/(1/SUM($J33)+SUM($M33)),"")</f>
        <v/>
      </c>
      <c r="O33" s="88" t="n">
        <f aca="false">MAX(SUM($L33),90%)</f>
        <v>0.9</v>
      </c>
      <c r="P33" s="10" t="n">
        <f aca="false">IFERROR(1/(1/IF(SUM($N33)=0,SUM($G33),ROUND(SUM($N33)*SUM($O33),0))),"")</f>
        <v>27</v>
      </c>
      <c r="Q33" s="88" t="n">
        <f aca="false">IF(SUM($K33)=0,1,SUM($G33)/$K33)</f>
        <v>1</v>
      </c>
      <c r="R33" s="81" t="n">
        <f aca="false">IFERROR(1/(1/ROUND(SUM($P33)*SUM($Q33),0)),"")</f>
        <v>27</v>
      </c>
      <c r="S33" s="5" t="n">
        <f aca="false">IFERROR(1/(1/IF(SUM($R33)=0,IF(SUM($P33)=0,SUM($K33),SUM($P33)),ROUND(SUM($R33)/IF(SUM($Q33)=0,1,SUM($Q33)),0))),"")</f>
        <v>27</v>
      </c>
      <c r="T33" s="88" t="str">
        <f aca="false">IF(SUM($N33)=0,"",SUM($S33)/$N33)</f>
        <v/>
      </c>
      <c r="U33" s="92" t="n">
        <v>0.98</v>
      </c>
      <c r="V33" s="88" t="n">
        <v>0.98</v>
      </c>
      <c r="W33" s="10" t="n">
        <f aca="false">IF(OR(SUM($V33)=0,SUM($R33)=0),"",ROUND((SUM($R33)-(SUM($G33)*SUM($U33)))/$V33,0))</f>
        <v>1</v>
      </c>
      <c r="X33" s="88" t="n">
        <v>1</v>
      </c>
      <c r="Y33" s="5" t="n">
        <f aca="false">IF(SUM($W33)=0,"",ROUND(SUM($W33)*SUM($X33),0))</f>
        <v>1</v>
      </c>
      <c r="Z33" s="92" t="n">
        <v>0.7</v>
      </c>
      <c r="AA33" s="10" t="n">
        <f aca="false">IF(SUM($G33,$W33)=0,"",ROUND(SUM($G33)+(SUM($W33)*$Z33),0))</f>
        <v>28</v>
      </c>
      <c r="AB33" s="88" t="n">
        <v>0.95</v>
      </c>
      <c r="AC33" s="5" t="n">
        <f aca="false">IF(SUM($AA33)=0,"",ROUND($AA33*$AB33,0))</f>
        <v>27</v>
      </c>
      <c r="AD33" s="92" t="n">
        <v>0.95</v>
      </c>
      <c r="AE33" s="5" t="n">
        <f aca="false">IF(SUM($AC33)=0,"",ROUND($AD33*$AC33,0))</f>
        <v>26</v>
      </c>
      <c r="AF33" s="92" t="n">
        <v>0.95</v>
      </c>
      <c r="AG33" s="5" t="n">
        <f aca="false">IF(SUM($Y33)=0,"",ROUND($Y33/$AF33,0))</f>
        <v>1</v>
      </c>
      <c r="AH33" s="149"/>
      <c r="AI33" s="150"/>
      <c r="AJ33" s="150"/>
      <c r="AK33" s="150"/>
      <c r="AL33" s="150"/>
      <c r="AM33" s="150"/>
      <c r="AN33" s="150"/>
      <c r="AO33" s="150"/>
      <c r="AP33" s="150"/>
      <c r="AQ33" s="151"/>
      <c r="AR33" s="152"/>
      <c r="AS33" s="152"/>
      <c r="AT33" s="152"/>
      <c r="AU33" s="152"/>
      <c r="AV33" s="152"/>
      <c r="AW33" s="152"/>
      <c r="AX33" s="152"/>
      <c r="AY33" s="152"/>
      <c r="AZ33" s="150"/>
      <c r="BA33" s="85" t="str">
        <f aca="false">IFERROR(1/(1/SUMIFS(KP!$AN:$AN,KP!$C:$C,$D33)),"")</f>
        <v/>
      </c>
      <c r="BB33" s="88" t="str">
        <f aca="false">IF(SUM($E33)=0,"",SUM($BA33)/SUM($E33))</f>
        <v/>
      </c>
      <c r="BC33" s="88" t="str">
        <f aca="false">$BB33</f>
        <v/>
      </c>
      <c r="BD33" s="5" t="n">
        <f aca="false">IF(SUM($AG33)=0,"",ROUND(SUM($BC33)*SUM($AG33),0))</f>
        <v>0</v>
      </c>
      <c r="BE33" s="85" t="str">
        <f aca="false">IFERROR(1/(1/SUMIFS(KP!$AP:$AP,KP!$C:$C,$D33)),"")</f>
        <v/>
      </c>
      <c r="BF33" s="5" t="str">
        <f aca="false">BE33</f>
        <v/>
      </c>
      <c r="BG33" s="88" t="str">
        <f aca="false">IF(SUM($BE33)=0,"",(SUM($BF33)-$BE33)/$BE33)</f>
        <v/>
      </c>
      <c r="BS33" s="155"/>
      <c r="BT33" s="100"/>
      <c r="BU33" s="100"/>
      <c r="BV33" s="153"/>
      <c r="BW33" s="154"/>
      <c r="BX33" s="154"/>
      <c r="BY33" s="154"/>
      <c r="BZ33" s="100"/>
      <c r="CA33" s="100"/>
      <c r="CB33" s="100"/>
      <c r="CC33" s="154"/>
      <c r="CD33" s="150"/>
      <c r="CE33" s="153"/>
      <c r="CF33" s="154"/>
      <c r="CG33" s="150"/>
      <c r="CH33" s="100"/>
      <c r="CI33" s="100"/>
      <c r="CJ33" s="153"/>
      <c r="CK33" s="154"/>
      <c r="CL33" s="154"/>
      <c r="CM33" s="154"/>
      <c r="CN33" s="154"/>
      <c r="CO33" s="154"/>
      <c r="CP33" s="154"/>
      <c r="CQ33" s="154"/>
      <c r="CR33" s="150"/>
      <c r="CS33" s="85" t="str">
        <f aca="false">IFERROR(1/(1/SUMIFS(KP!$K:$K,KP!$C:$C,$D33)),"")</f>
        <v/>
      </c>
      <c r="CT33" s="10" t="str">
        <f aca="false">IFERROR(1/(1/SUMIFS(KP!$I:$I,KP!$C:$C,$D33)),"")</f>
        <v/>
      </c>
      <c r="CU33" s="5" t="str">
        <f aca="false">CS33</f>
        <v/>
      </c>
      <c r="CV33" s="5" t="str">
        <f aca="false">CT33</f>
        <v/>
      </c>
      <c r="CW33" s="88" t="str">
        <f aca="false">IF(SUM($CS33)=0,"",(SUM($CU33)-$CS33)/$CS33)</f>
        <v/>
      </c>
      <c r="CX33" s="88" t="str">
        <f aca="false">IF(SUM($CT33)=0,"",(SUM($CV33)-$CT33)/$CT33)</f>
        <v/>
      </c>
      <c r="CY33" s="153"/>
      <c r="CZ33" s="100"/>
      <c r="DA33" s="150"/>
      <c r="DB33" s="85" t="str">
        <f aca="false">IFERROR(1/(1/SUMIFS(KP!$M:$M,KP!$C:$C,$D33)),"")</f>
        <v/>
      </c>
      <c r="DC33" s="5" t="str">
        <f aca="false">DB33</f>
        <v/>
      </c>
      <c r="DD33" s="88" t="str">
        <f aca="false">IF(SUM($DB33)=0,"",(SUM($DC33)-$DB33)/$DB33)</f>
        <v/>
      </c>
      <c r="DE33" s="153"/>
      <c r="DF33" s="154"/>
      <c r="DG33" s="150"/>
      <c r="DH33" s="150"/>
      <c r="DI33" s="100"/>
      <c r="DJ33" s="150"/>
      <c r="DK33" s="149"/>
      <c r="DL33" s="150"/>
      <c r="DM33" s="150"/>
      <c r="DN33" s="150"/>
      <c r="DO33" s="150"/>
      <c r="DP33" s="150"/>
      <c r="DQ33" s="100"/>
      <c r="DR33" s="100"/>
      <c r="DS33" s="100"/>
      <c r="DT33" s="100"/>
      <c r="DU33" s="153"/>
      <c r="DV33" s="150"/>
      <c r="DW33" s="150"/>
      <c r="DX33" s="150"/>
      <c r="DY33" s="100"/>
      <c r="DZ33" s="100"/>
      <c r="EA33" s="149"/>
      <c r="EB33" s="100"/>
      <c r="EC33" s="100"/>
      <c r="ED33" s="153"/>
      <c r="EE33" s="154"/>
      <c r="EF33" s="154"/>
      <c r="EG33" s="154"/>
      <c r="EH33" s="100"/>
      <c r="EI33" s="100"/>
      <c r="EJ33" s="100"/>
      <c r="EK33" s="100"/>
      <c r="EL33" s="150"/>
      <c r="EM33" s="150"/>
      <c r="EN33" s="150"/>
      <c r="EO33" s="150"/>
      <c r="EP33" s="149"/>
      <c r="EQ33" s="100"/>
      <c r="ER33" s="153"/>
      <c r="ES33" s="154"/>
      <c r="ET33" s="100"/>
      <c r="EU33" s="100"/>
      <c r="EV33" s="150"/>
      <c r="EW33" s="150"/>
      <c r="EX33" s="153"/>
      <c r="EY33" s="100"/>
      <c r="EZ33" s="150"/>
      <c r="FA33" s="153"/>
      <c r="FB33" s="100"/>
      <c r="FC33" s="155"/>
    </row>
    <row r="34" customFormat="false" ht="15" hidden="false" customHeight="false" outlineLevel="0" collapsed="false">
      <c r="A34" s="0" t="s">
        <v>806</v>
      </c>
      <c r="B34" s="9" t="s">
        <v>807</v>
      </c>
      <c r="C34" s="0" t="s">
        <v>30</v>
      </c>
      <c r="E34" s="154"/>
      <c r="F34" s="154"/>
      <c r="G34" s="154"/>
      <c r="H34" s="154"/>
      <c r="I34" s="154"/>
      <c r="J34" s="154"/>
      <c r="K34" s="154"/>
      <c r="L34" s="154"/>
      <c r="M34" s="153"/>
      <c r="N34" s="154"/>
      <c r="O34" s="154"/>
      <c r="P34" s="154"/>
      <c r="Q34" s="154"/>
      <c r="R34" s="153"/>
      <c r="S34" s="154"/>
      <c r="T34" s="154"/>
      <c r="U34" s="153"/>
      <c r="V34" s="154"/>
      <c r="W34" s="154"/>
      <c r="X34" s="154"/>
      <c r="Y34" s="154"/>
      <c r="Z34" s="153"/>
      <c r="AA34" s="154"/>
      <c r="AB34" s="154"/>
      <c r="AC34" s="154"/>
      <c r="AD34" s="153"/>
      <c r="AE34" s="154"/>
      <c r="AF34" s="153"/>
      <c r="AG34" s="154"/>
      <c r="AH34" s="149"/>
      <c r="AI34" s="150"/>
      <c r="AJ34" s="150"/>
      <c r="AK34" s="150"/>
      <c r="AL34" s="150"/>
      <c r="AM34" s="150"/>
      <c r="AN34" s="150"/>
      <c r="AO34" s="150"/>
      <c r="AP34" s="150"/>
      <c r="AQ34" s="151"/>
      <c r="AR34" s="152"/>
      <c r="AS34" s="152"/>
      <c r="AT34" s="152"/>
      <c r="AU34" s="152"/>
      <c r="AV34" s="152"/>
      <c r="AW34" s="152"/>
      <c r="AX34" s="152"/>
      <c r="AY34" s="152"/>
      <c r="AZ34" s="150"/>
      <c r="BA34" s="153"/>
      <c r="BB34" s="150"/>
      <c r="BC34" s="150"/>
      <c r="BD34" s="154"/>
      <c r="BE34" s="153"/>
      <c r="BF34" s="154"/>
      <c r="BG34" s="154"/>
      <c r="BH34" s="153"/>
      <c r="BI34" s="154"/>
      <c r="BJ34" s="154"/>
      <c r="BK34" s="154"/>
      <c r="BL34" s="100"/>
      <c r="BM34" s="100"/>
      <c r="BN34" s="100"/>
      <c r="BO34" s="154"/>
      <c r="BP34" s="154"/>
      <c r="BQ34" s="153"/>
      <c r="BR34" s="154"/>
      <c r="BS34" s="155"/>
      <c r="BT34" s="154"/>
      <c r="BU34" s="154"/>
      <c r="BV34" s="153"/>
      <c r="BW34" s="154"/>
      <c r="BX34" s="154"/>
      <c r="BY34" s="154"/>
      <c r="BZ34" s="154"/>
      <c r="CA34" s="154"/>
      <c r="CB34" s="154"/>
      <c r="CC34" s="154"/>
      <c r="CD34" s="150"/>
      <c r="CE34" s="153"/>
      <c r="CF34" s="154"/>
      <c r="CG34" s="150"/>
      <c r="CH34" s="154"/>
      <c r="CI34" s="154"/>
      <c r="CJ34" s="153"/>
      <c r="CK34" s="154"/>
      <c r="CL34" s="154"/>
      <c r="CM34" s="154"/>
      <c r="CN34" s="154"/>
      <c r="CO34" s="154"/>
      <c r="CP34" s="154"/>
      <c r="CQ34" s="154"/>
      <c r="CR34" s="150"/>
      <c r="CS34" s="153"/>
      <c r="CT34" s="154"/>
      <c r="CU34" s="154"/>
      <c r="CV34" s="154"/>
      <c r="CW34" s="154"/>
      <c r="CX34" s="154"/>
      <c r="CY34" s="153"/>
      <c r="CZ34" s="100"/>
      <c r="DA34" s="150"/>
      <c r="DB34" s="153"/>
      <c r="DC34" s="154"/>
      <c r="DD34" s="154"/>
      <c r="DE34" s="153"/>
      <c r="DF34" s="154"/>
      <c r="DG34" s="150"/>
      <c r="DH34" s="150"/>
      <c r="DI34" s="100"/>
      <c r="DJ34" s="150"/>
      <c r="DK34" s="92" t="n">
        <f aca="false">IFERROR(SUM(SUMIFS(TX_TB_PREV!$N:$N,TX_TB_PREV!$C:$C,"="&amp;$B34,TX_TB_PREV!$D:$D,$C34),SUMIFS(TX_TB_PREV!$O:$O,TX_TB_PREV!$C:$C,"="&amp;$B34,TX_TB_PREV!$D:$D,$C34))/SUMIFS(TX_TB_PREV!$G:$G,TX_TB_PREV!$C:$C,"="&amp;$B34,TX_TB_PREV!$D:$D,$C34),"")</f>
        <v>1</v>
      </c>
      <c r="DL34" s="88" t="n">
        <f aca="false">IFERROR(SUM(SUMIFS(TX_TB_PREV!$L:$L,TX_TB_PREV!$C:$C,"="&amp;$B34,TX_TB_PREV!$D:$D,$C34),SUMIFS(TX_TB_PREV!$M:$M,TX_TB_PREV!$C:$C,"="&amp;$B34,TX_TB_PREV!$D:$D,$C34))/SUMIFS(TX_TB_PREV!$F:$F,TX_TB_PREV!$C:$C,"="&amp;$B34,TX_TB_PREV!$D:$D,$C34),"")</f>
        <v>1</v>
      </c>
      <c r="DM34" s="88" t="n">
        <v>1</v>
      </c>
      <c r="DN34" s="88" t="n">
        <v>1</v>
      </c>
      <c r="DO34" s="88" t="n">
        <f aca="false">IFERROR(SUMIFS(TX_TB_PREV!$N:$N,TX_TB_PREV!$C:$C,"="&amp;$B34,TX_TB_PREV!$D:$D,$C34)/SUM(SUMIFS(TX_TB_PREV!$N:$N,TX_TB_PREV!$C:$C,"="&amp;$B34,TX_TB_PREV!$D:$D,$C34),SUMIFS(TX_TB_PREV!$O:$O,TX_TB_PREV!$C:$C,"="&amp;$B34,TX_TB_PREV!$D:$D,$C34)),"")</f>
        <v>0</v>
      </c>
      <c r="DP34" s="88" t="n">
        <f aca="false">IFERROR(SUMIFS(TX_TB_PREV!$L:$L,TX_TB_PREV!$C:$C,"="&amp;$B34,TX_TB_PREV!$D:$D,$C34)/SUM(SUMIFS(TX_TB_PREV!$L:$L,TX_TB_PREV!$C:$C,"="&amp;$B34,TX_TB_PREV!$D:$D,$C34),SUMIFS(TX_TB_PREV!$M:$M,TX_TB_PREV!$C:$C,"="&amp;$B34,TX_TB_PREV!$D:$D,$C34)),"")</f>
        <v>0</v>
      </c>
      <c r="DQ34" s="5" t="n">
        <f aca="false" t="array" ref="DQ34:DQ34">IFERROR(ROUND(SUM(SUMIFS($G:$G,$B:$B,IF($B34="&lt;15",{"&lt;01","01-09","10-14"},{"15-24","24-34","35-49","50+"}),$C:$C,$C34))*$DM34*$DO34,0),"")</f>
        <v>0</v>
      </c>
      <c r="DR34" s="5" t="n">
        <f aca="false" t="array" ref="DR34:DR34">IFERROR(ROUND(SUM(SUMIFS($G:$G,$B:$B,IF($B34="&lt;15",{"&lt;01","01-09","10-14"},{"15-24","24-34","35-49","50+"}),$C:$C,$C34))*$DM34,0)-$DQ34,"")</f>
        <v>0</v>
      </c>
      <c r="DS34" s="5" t="n">
        <f aca="false" t="array" ref="DS34:DS34">IFERROR(ROUND(SUM(SUMIFS($W:$W,$B:$B,IF($B34="&lt;15",{"&lt;01","01-09","10-14"},{"15-24","24-34","35-49","50+"}),$C:$C,$C34))*$DN34*$DP34,0),"")</f>
        <v>0</v>
      </c>
      <c r="DT34" s="5" t="n">
        <f aca="false" t="array" ref="DT34:DT34">IFERROR(ROUND(SUM(SUMIFS($W:$W,$B:$B,IF($B34="&lt;15",{"&lt;01","01-09","10-14"},{"15-24","24-34","35-49","50+"}),$C:$C,$C34))*$DN34,0)-$DS34,"")</f>
        <v>0</v>
      </c>
      <c r="DU34" s="85" t="str">
        <f aca="false">IFERROR(1/(1/SUM(SUMIFS(TX_TB_PREV!$S:$S,TX_TB_PREV!$C:$C,"="&amp;$B34,TX_TB_PREV!$D:$D,$C34),SUMIFS(TX_TB_PREV!$Z:$Z,TX_TB_PREV!$C:$C,"="&amp;$B34,TX_TB_PREV!$D:$D,$C34),SUMIFS(TX_TB_PREV!$AA:$AA,TX_TB_PREV!$C:$C,"="&amp;$B34,TX_TB_PREV!$D:$D,$C34))),"")</f>
        <v/>
      </c>
      <c r="DV34" s="88" t="str">
        <f aca="false" t="array" ref="DV34:DV34">IFERROR(MIN($DU34/SUM(SUMIFS($G:$G,$B:$B,IF($B34="&lt;15",{"&lt;01","01-09","10-14"},{"15-24","24-34","35-49","50+"}),$C:$C,$C34)),1),"")</f>
        <v/>
      </c>
      <c r="DW34" s="88" t="n">
        <v>1</v>
      </c>
      <c r="DX34" s="88" t="n">
        <v>1</v>
      </c>
      <c r="DY34" s="5" t="str">
        <f aca="false">IF(SUM($DR34)=0,"",IF($DV34="","ENTER ELIGIBILITY RATE",IF($DW34 = "","ENTER INITIATION RATE",ROUND($DR34*$DV34*$DW34,0))))</f>
        <v/>
      </c>
      <c r="DZ34" s="5" t="str">
        <f aca="false">IF(SUM($DT34)=0,"",IF($DX34="","ENTER INITIATION RATE",ROUND($DT34*$DX34,0)))</f>
        <v/>
      </c>
      <c r="EA34" s="92" t="n">
        <v>0.9</v>
      </c>
      <c r="EB34" s="5" t="str">
        <f aca="false">IF(SUM($DY34)=0,"",IF($EA34="","ENTER COMPLETION RATE",ROUND($DY34*$EA34,0)))</f>
        <v/>
      </c>
      <c r="EC34" s="5" t="str">
        <f aca="false">IF(SUM($DZ34)=0,"",IF($EA34="","ENTER COMPLETION RATE",ROUND($DZ34*$EA34,0)))</f>
        <v/>
      </c>
      <c r="ED34" s="153"/>
      <c r="EE34" s="154"/>
      <c r="EF34" s="154"/>
      <c r="EG34" s="154"/>
      <c r="EH34" s="100"/>
      <c r="EI34" s="100"/>
      <c r="EJ34" s="100"/>
      <c r="EK34" s="100"/>
      <c r="EL34" s="150"/>
      <c r="EM34" s="150"/>
      <c r="EN34" s="150"/>
      <c r="EO34" s="150"/>
      <c r="EP34" s="149"/>
      <c r="EQ34" s="100"/>
      <c r="ER34" s="153"/>
      <c r="ES34" s="154"/>
      <c r="ET34" s="100"/>
      <c r="EU34" s="100"/>
      <c r="EV34" s="150"/>
      <c r="EW34" s="150"/>
      <c r="EX34" s="153"/>
      <c r="EY34" s="100"/>
      <c r="EZ34" s="150"/>
      <c r="FA34" s="153"/>
      <c r="FB34" s="100"/>
      <c r="FC34" s="155"/>
    </row>
    <row r="35" customFormat="false" ht="15" hidden="false" customHeight="false" outlineLevel="0" collapsed="false">
      <c r="A35" s="0" t="s">
        <v>806</v>
      </c>
      <c r="B35" s="9" t="s">
        <v>807</v>
      </c>
      <c r="C35" s="0" t="s">
        <v>48</v>
      </c>
      <c r="E35" s="154"/>
      <c r="F35" s="154"/>
      <c r="G35" s="154"/>
      <c r="H35" s="154"/>
      <c r="I35" s="154"/>
      <c r="J35" s="154"/>
      <c r="K35" s="154"/>
      <c r="L35" s="154"/>
      <c r="M35" s="153"/>
      <c r="N35" s="154"/>
      <c r="O35" s="154"/>
      <c r="P35" s="154"/>
      <c r="Q35" s="154"/>
      <c r="R35" s="153"/>
      <c r="S35" s="154"/>
      <c r="T35" s="154"/>
      <c r="U35" s="153"/>
      <c r="V35" s="154"/>
      <c r="W35" s="154"/>
      <c r="X35" s="154"/>
      <c r="Y35" s="154"/>
      <c r="Z35" s="153"/>
      <c r="AA35" s="154"/>
      <c r="AB35" s="154"/>
      <c r="AC35" s="154"/>
      <c r="AD35" s="153"/>
      <c r="AE35" s="154"/>
      <c r="AF35" s="153"/>
      <c r="AG35" s="154"/>
      <c r="AH35" s="149"/>
      <c r="AI35" s="150"/>
      <c r="AJ35" s="150"/>
      <c r="AK35" s="150"/>
      <c r="AL35" s="150"/>
      <c r="AM35" s="150"/>
      <c r="AN35" s="150"/>
      <c r="AO35" s="150"/>
      <c r="AP35" s="150"/>
      <c r="AQ35" s="151"/>
      <c r="AR35" s="152"/>
      <c r="AS35" s="152"/>
      <c r="AT35" s="152"/>
      <c r="AU35" s="152"/>
      <c r="AV35" s="152"/>
      <c r="AW35" s="152"/>
      <c r="AX35" s="152"/>
      <c r="AY35" s="152"/>
      <c r="AZ35" s="150"/>
      <c r="BA35" s="153"/>
      <c r="BB35" s="150"/>
      <c r="BC35" s="150"/>
      <c r="BD35" s="154"/>
      <c r="BE35" s="153"/>
      <c r="BF35" s="154"/>
      <c r="BG35" s="154"/>
      <c r="BH35" s="153"/>
      <c r="BI35" s="154"/>
      <c r="BJ35" s="154"/>
      <c r="BK35" s="154"/>
      <c r="BL35" s="100"/>
      <c r="BM35" s="100"/>
      <c r="BN35" s="100"/>
      <c r="BO35" s="154"/>
      <c r="BP35" s="154"/>
      <c r="BQ35" s="153"/>
      <c r="BR35" s="154"/>
      <c r="BS35" s="155"/>
      <c r="BT35" s="154"/>
      <c r="BU35" s="154"/>
      <c r="BV35" s="153"/>
      <c r="BW35" s="154"/>
      <c r="BX35" s="154"/>
      <c r="BY35" s="154"/>
      <c r="BZ35" s="154"/>
      <c r="CA35" s="154"/>
      <c r="CB35" s="154"/>
      <c r="CC35" s="154"/>
      <c r="CD35" s="150"/>
      <c r="CE35" s="153"/>
      <c r="CF35" s="154"/>
      <c r="CG35" s="150"/>
      <c r="CH35" s="154"/>
      <c r="CI35" s="154"/>
      <c r="CJ35" s="153"/>
      <c r="CK35" s="154"/>
      <c r="CL35" s="154"/>
      <c r="CM35" s="154"/>
      <c r="CN35" s="154"/>
      <c r="CO35" s="154"/>
      <c r="CP35" s="154"/>
      <c r="CQ35" s="154"/>
      <c r="CR35" s="150"/>
      <c r="CS35" s="153"/>
      <c r="CT35" s="154"/>
      <c r="CU35" s="154"/>
      <c r="CV35" s="154"/>
      <c r="CW35" s="154"/>
      <c r="CX35" s="154"/>
      <c r="CY35" s="153"/>
      <c r="CZ35" s="100"/>
      <c r="DA35" s="150"/>
      <c r="DB35" s="153"/>
      <c r="DC35" s="154"/>
      <c r="DD35" s="154"/>
      <c r="DE35" s="153"/>
      <c r="DF35" s="154"/>
      <c r="DG35" s="150"/>
      <c r="DH35" s="150"/>
      <c r="DI35" s="100"/>
      <c r="DJ35" s="150"/>
      <c r="DK35" s="92" t="n">
        <f aca="false">IFERROR(SUM(SUMIFS(TX_TB_PREV!$N:$N,TX_TB_PREV!$C:$C,"="&amp;$B35,TX_TB_PREV!$D:$D,$C35),SUMIFS(TX_TB_PREV!$O:$O,TX_TB_PREV!$C:$C,"="&amp;$B35,TX_TB_PREV!$D:$D,$C35))/SUMIFS(TX_TB_PREV!$G:$G,TX_TB_PREV!$C:$C,"="&amp;$B35,TX_TB_PREV!$D:$D,$C35),"")</f>
        <v>1</v>
      </c>
      <c r="DL35" s="88" t="n">
        <f aca="false">IFERROR(SUM(SUMIFS(TX_TB_PREV!$L:$L,TX_TB_PREV!$C:$C,"="&amp;$B35,TX_TB_PREV!$D:$D,$C35),SUMIFS(TX_TB_PREV!$M:$M,TX_TB_PREV!$C:$C,"="&amp;$B35,TX_TB_PREV!$D:$D,$C35))/SUMIFS(TX_TB_PREV!$F:$F,TX_TB_PREV!$C:$C,"="&amp;$B35,TX_TB_PREV!$D:$D,$C35),"")</f>
        <v>1</v>
      </c>
      <c r="DM35" s="88" t="n">
        <v>1</v>
      </c>
      <c r="DN35" s="88" t="n">
        <v>1</v>
      </c>
      <c r="DO35" s="88" t="n">
        <f aca="false">IFERROR(SUMIFS(TX_TB_PREV!$N:$N,TX_TB_PREV!$C:$C,"="&amp;$B35,TX_TB_PREV!$D:$D,$C35)/SUM(SUMIFS(TX_TB_PREV!$N:$N,TX_TB_PREV!$C:$C,"="&amp;$B35,TX_TB_PREV!$D:$D,$C35),SUMIFS(TX_TB_PREV!$O:$O,TX_TB_PREV!$C:$C,"="&amp;$B35,TX_TB_PREV!$D:$D,$C35)),"")</f>
        <v>0</v>
      </c>
      <c r="DP35" s="88" t="n">
        <f aca="false">IFERROR(SUMIFS(TX_TB_PREV!$L:$L,TX_TB_PREV!$C:$C,"="&amp;$B35,TX_TB_PREV!$D:$D,$C35)/SUM(SUMIFS(TX_TB_PREV!$L:$L,TX_TB_PREV!$C:$C,"="&amp;$B35,TX_TB_PREV!$D:$D,$C35),SUMIFS(TX_TB_PREV!$M:$M,TX_TB_PREV!$C:$C,"="&amp;$B35,TX_TB_PREV!$D:$D,$C35)),"")</f>
        <v>0</v>
      </c>
      <c r="DQ35" s="5" t="n">
        <f aca="false" t="array" ref="DQ35:DQ35">IFERROR(ROUND(SUM(SUMIFS($G:$G,$B:$B,IF($B35="&lt;15",{"&lt;01","01-09","10-14"},{"15-24","24-34","35-49","50+"}),$C:$C,$C35))*$DM35*$DO35,0),"")</f>
        <v>0</v>
      </c>
      <c r="DR35" s="5" t="n">
        <f aca="false" t="array" ref="DR35:DR35">IFERROR(ROUND(SUM(SUMIFS($G:$G,$B:$B,IF($B35="&lt;15",{"&lt;01","01-09","10-14"},{"15-24","24-34","35-49","50+"}),$C:$C,$C35))*$DM35,0)-$DQ35,"")</f>
        <v>0</v>
      </c>
      <c r="DS35" s="5" t="n">
        <f aca="false" t="array" ref="DS35:DS35">IFERROR(ROUND(SUM(SUMIFS($G:$G,$B:$B,IF($B35="&lt;15",{"&lt;01","01-09","10-14"},{"15-24","24-34","35-49","50+"}),$C:$C,$C35))*$DM35,0)-$DQ35,"")</f>
        <v>0</v>
      </c>
      <c r="DT35" s="5" t="n">
        <f aca="false" t="array" ref="DT35:DT35">IFERROR(ROUND(SUM(SUMIFS($W:$W,$B:$B,IF($B35="&lt;15",{"&lt;01","01-09","10-14"},{"15-24","24-34","35-49","50+"}),$C:$C,$C35))*$DN35,0)-$DS35,"")</f>
        <v>0</v>
      </c>
      <c r="DU35" s="85" t="str">
        <f aca="false">IFERROR(1/(1/SUM(SUMIFS(TX_TB_PREV!$S:$S,TX_TB_PREV!$C:$C,"="&amp;$B35,TX_TB_PREV!$D:$D,$C35),SUMIFS(TX_TB_PREV!$Z:$Z,TX_TB_PREV!$C:$C,"="&amp;$B35,TX_TB_PREV!$D:$D,$C35),SUMIFS(TX_TB_PREV!$AA:$AA,TX_TB_PREV!$C:$C,"="&amp;$B35,TX_TB_PREV!$D:$D,$C35))),"")</f>
        <v/>
      </c>
      <c r="DV35" s="88" t="str">
        <f aca="false" t="array" ref="DV35:DV35">IFERROR(MIN($DU35/SUM(SUMIFS($G:$G,$B:$B,IF($B35="&lt;15",{"&lt;01","01-09","10-14"},{"15-24","24-34","35-49","50+"}),$C:$C,$C35)),1),"")</f>
        <v/>
      </c>
      <c r="DW35" s="88" t="n">
        <v>1</v>
      </c>
      <c r="DX35" s="88" t="n">
        <v>1</v>
      </c>
      <c r="DY35" s="5" t="str">
        <f aca="false">IF(SUM($DR35)=0,"",IF($DV35="","ENTER ELIGIBILITY RATE",IF($DW35 = "","ENTER INITIATION RATE",ROUND($DR35*$DV35*$DW35,0))))</f>
        <v/>
      </c>
      <c r="DZ35" s="5" t="str">
        <f aca="false">IF(SUM($DT35)=0,"",IF($DX35="","ENTER INITIATION RATE",ROUND($DT35*$DX35,0)))</f>
        <v/>
      </c>
      <c r="EA35" s="92" t="n">
        <v>0.9</v>
      </c>
      <c r="EB35" s="5" t="str">
        <f aca="false">IF(SUM($DY35)=0,"",IF($EA35="","ENTER COMPLETION RATE",ROUND($DY35*$EA35,0)))</f>
        <v/>
      </c>
      <c r="EC35" s="5" t="str">
        <f aca="false">IF(SUM($DZ35)=0,"",IF($EA35="","ENTER COMPLETION RATE",ROUND($DZ35*$EA35,0)))</f>
        <v/>
      </c>
      <c r="ED35" s="153"/>
      <c r="EE35" s="154"/>
      <c r="EF35" s="154"/>
      <c r="EG35" s="154"/>
      <c r="EH35" s="100"/>
      <c r="EI35" s="100"/>
      <c r="EJ35" s="100"/>
      <c r="EK35" s="100"/>
      <c r="EL35" s="150"/>
      <c r="EM35" s="150"/>
      <c r="EN35" s="150"/>
      <c r="EO35" s="150"/>
      <c r="EP35" s="149"/>
      <c r="EQ35" s="100"/>
      <c r="ER35" s="153"/>
      <c r="ES35" s="154"/>
      <c r="ET35" s="100"/>
      <c r="EU35" s="100"/>
      <c r="EV35" s="150"/>
      <c r="EW35" s="150"/>
      <c r="EX35" s="153"/>
      <c r="EY35" s="100"/>
      <c r="EZ35" s="150"/>
      <c r="FA35" s="153"/>
      <c r="FB35" s="100"/>
      <c r="FC35" s="155"/>
    </row>
    <row r="36" customFormat="false" ht="15" hidden="false" customHeight="false" outlineLevel="0" collapsed="false">
      <c r="A36" s="0" t="s">
        <v>806</v>
      </c>
      <c r="B36" s="9" t="s">
        <v>808</v>
      </c>
      <c r="C36" s="0" t="s">
        <v>30</v>
      </c>
      <c r="E36" s="154"/>
      <c r="F36" s="154"/>
      <c r="G36" s="154"/>
      <c r="H36" s="154"/>
      <c r="I36" s="154"/>
      <c r="J36" s="154"/>
      <c r="K36" s="154"/>
      <c r="L36" s="154"/>
      <c r="M36" s="153"/>
      <c r="N36" s="154"/>
      <c r="O36" s="154"/>
      <c r="P36" s="154"/>
      <c r="Q36" s="154"/>
      <c r="R36" s="153"/>
      <c r="S36" s="154"/>
      <c r="T36" s="154"/>
      <c r="U36" s="153"/>
      <c r="V36" s="154"/>
      <c r="W36" s="154"/>
      <c r="X36" s="154"/>
      <c r="Y36" s="154"/>
      <c r="Z36" s="153"/>
      <c r="AA36" s="154"/>
      <c r="AB36" s="154"/>
      <c r="AC36" s="154"/>
      <c r="AD36" s="153"/>
      <c r="AE36" s="154"/>
      <c r="AF36" s="153"/>
      <c r="AG36" s="154"/>
      <c r="AH36" s="149"/>
      <c r="AI36" s="150"/>
      <c r="AJ36" s="150"/>
      <c r="AK36" s="150"/>
      <c r="AL36" s="150"/>
      <c r="AM36" s="150"/>
      <c r="AN36" s="150"/>
      <c r="AO36" s="150"/>
      <c r="AP36" s="150"/>
      <c r="AQ36" s="151"/>
      <c r="AR36" s="152"/>
      <c r="AS36" s="152"/>
      <c r="AT36" s="152"/>
      <c r="AU36" s="152"/>
      <c r="AV36" s="152"/>
      <c r="AW36" s="152"/>
      <c r="AX36" s="152"/>
      <c r="AY36" s="152"/>
      <c r="AZ36" s="150"/>
      <c r="BA36" s="153"/>
      <c r="BB36" s="150"/>
      <c r="BC36" s="150"/>
      <c r="BD36" s="154"/>
      <c r="BE36" s="153"/>
      <c r="BF36" s="154"/>
      <c r="BG36" s="154"/>
      <c r="BH36" s="153"/>
      <c r="BI36" s="154"/>
      <c r="BJ36" s="154"/>
      <c r="BK36" s="154"/>
      <c r="BL36" s="100"/>
      <c r="BM36" s="100"/>
      <c r="BN36" s="100"/>
      <c r="BO36" s="154"/>
      <c r="BP36" s="154"/>
      <c r="BQ36" s="153"/>
      <c r="BR36" s="154"/>
      <c r="BS36" s="155"/>
      <c r="BT36" s="154"/>
      <c r="BU36" s="154"/>
      <c r="BV36" s="153"/>
      <c r="BW36" s="154"/>
      <c r="BX36" s="154"/>
      <c r="BY36" s="154"/>
      <c r="BZ36" s="154"/>
      <c r="CA36" s="154"/>
      <c r="CB36" s="154"/>
      <c r="CC36" s="154"/>
      <c r="CD36" s="150"/>
      <c r="CE36" s="153"/>
      <c r="CF36" s="154"/>
      <c r="CG36" s="150"/>
      <c r="CH36" s="154"/>
      <c r="CI36" s="154"/>
      <c r="CJ36" s="153"/>
      <c r="CK36" s="154"/>
      <c r="CL36" s="154"/>
      <c r="CM36" s="154"/>
      <c r="CN36" s="154"/>
      <c r="CO36" s="154"/>
      <c r="CP36" s="154"/>
      <c r="CQ36" s="154"/>
      <c r="CR36" s="150"/>
      <c r="CS36" s="153"/>
      <c r="CT36" s="154"/>
      <c r="CU36" s="154"/>
      <c r="CV36" s="154"/>
      <c r="CW36" s="154"/>
      <c r="CX36" s="154"/>
      <c r="CY36" s="153"/>
      <c r="CZ36" s="100"/>
      <c r="DA36" s="150"/>
      <c r="DB36" s="153"/>
      <c r="DC36" s="154"/>
      <c r="DD36" s="154"/>
      <c r="DE36" s="153"/>
      <c r="DF36" s="154"/>
      <c r="DG36" s="150"/>
      <c r="DH36" s="150"/>
      <c r="DI36" s="100"/>
      <c r="DJ36" s="150"/>
      <c r="DK36" s="92" t="str">
        <f aca="false">IFERROR(SUM(SUMIFS(TX_TB_PREV!$N:$N,TX_TB_PREV!$C:$C,"="&amp;$B36,TX_TB_PREV!$D:$D,$C36),SUMIFS(TX_TB_PREV!$O:$O,TX_TB_PREV!$C:$C,"="&amp;$B36,TX_TB_PREV!$D:$D,$C36))/SUMIFS(TX_TB_PREV!$G:$G,TX_TB_PREV!$C:$C,"="&amp;$B36,TX_TB_PREV!$D:$D,$C36),"")</f>
        <v/>
      </c>
      <c r="DL36" s="88" t="str">
        <f aca="false">IFERROR(SUM(SUMIFS(TX_TB_PREV!$L:$L,TX_TB_PREV!$C:$C,"="&amp;$B36,TX_TB_PREV!$D:$D,$C36),SUMIFS(TX_TB_PREV!$M:$M,TX_TB_PREV!$C:$C,"="&amp;$B36,TX_TB_PREV!$D:$D,$C36))/SUMIFS(TX_TB_PREV!$F:$F,TX_TB_PREV!$C:$C,"="&amp;$B36,TX_TB_PREV!$D:$D,$C36),"")</f>
        <v/>
      </c>
      <c r="DM36" s="88" t="n">
        <v>1</v>
      </c>
      <c r="DN36" s="88" t="n">
        <v>1</v>
      </c>
      <c r="DO36" s="88" t="str">
        <f aca="false">IFERROR(SUMIFS(TX_TB_PREV!$N:$N,TX_TB_PREV!$C:$C,"="&amp;$B36,TX_TB_PREV!$D:$D,$C36)/SUM(SUMIFS(TX_TB_PREV!$N:$N,TX_TB_PREV!$C:$C,"="&amp;$B36,TX_TB_PREV!$D:$D,$C36),SUMIFS(TX_TB_PREV!$O:$O,TX_TB_PREV!$C:$C,"="&amp;$B36,TX_TB_PREV!$D:$D,$C36)),"")</f>
        <v/>
      </c>
      <c r="DP36" s="88" t="str">
        <f aca="false">IFERROR(SUMIFS(TX_TB_PREV!$L:$L,TX_TB_PREV!$C:$C,"="&amp;$B36,TX_TB_PREV!$D:$D,$C36)/SUM(SUMIFS(TX_TB_PREV!$L:$L,TX_TB_PREV!$C:$C,"="&amp;$B36,TX_TB_PREV!$D:$D,$C36),SUMIFS(TX_TB_PREV!$M:$M,TX_TB_PREV!$C:$C,"="&amp;$B36,TX_TB_PREV!$D:$D,$C36)),"")</f>
        <v/>
      </c>
      <c r="DQ36" s="5" t="str">
        <f aca="false" t="array" ref="DQ36:DQ36">IFERROR(ROUND(SUM(SUMIFS($G:$G,$B:$B,IF($B36="&lt;15",{"&lt;01","01-09","10-14"},{"15-24","24-34","35-49","50+"}),$C:$C,$C36))*$DM36*$DO36,0),"")</f>
        <v/>
      </c>
      <c r="DR36" s="5" t="str">
        <f aca="false" t="array" ref="DR36:DR36">IFERROR(ROUND(SUM(SUMIFS($G:$G,$B:$B,IF($B36="&lt;15",{"&lt;01","01-09","10-14"},{"15-24","24-34","35-49","50+"}),$C:$C,$C36))*$DM36,0)-$DQ36,"")</f>
        <v/>
      </c>
      <c r="DS36" s="5" t="str">
        <f aca="false" t="array" ref="DS36:DS36">IFERROR(ROUND(SUM(SUMIFS($G:$G,$B:$B,IF($B36="&lt;15",{"&lt;01","01-09","10-14"},{"15-24","24-34","35-49","50+"}),$C:$C,$C36))*$DM36,0)-$DQ36,"")</f>
        <v/>
      </c>
      <c r="DT36" s="5" t="str">
        <f aca="false" t="array" ref="DT36:DT36">IFERROR(ROUND(SUM(SUMIFS($W:$W,$B:$B,IF($B36="&lt;15",{"&lt;01","01-09","10-14"},{"15-24","24-34","35-49","50+"}),$C:$C,$C36))*$DN36,0)-$DS36,"")</f>
        <v/>
      </c>
      <c r="DU36" s="85" t="n">
        <f aca="false">IFERROR(1/(1/SUM(SUMIFS(TX_TB_PREV!$S:$S,TX_TB_PREV!$C:$C,"="&amp;$B36,TX_TB_PREV!$D:$D,$C36),SUMIFS(TX_TB_PREV!$Z:$Z,TX_TB_PREV!$C:$C,"="&amp;$B36,TX_TB_PREV!$D:$D,$C36),SUMIFS(TX_TB_PREV!$AA:$AA,TX_TB_PREV!$C:$C,"="&amp;$B36,TX_TB_PREV!$D:$D,$C36))),"")</f>
        <v>29543</v>
      </c>
      <c r="DV36" s="88" t="str">
        <f aca="false" t="array" ref="DV36:DV36">IFERROR(MIN($DU36/SUM(SUMIFS($G:$G,$B:$B,IF($B36="&lt;15",{"&lt;01","01-09","10-14"},{"15-24","24-34","35-49","50+"}),$C:$C,$C36)),1),"")</f>
        <v/>
      </c>
      <c r="DW36" s="88" t="n">
        <v>1</v>
      </c>
      <c r="DX36" s="88" t="n">
        <v>1</v>
      </c>
      <c r="DY36" s="5" t="str">
        <f aca="false">IF(SUM($DR36)=0,"",IF($DV36="","ENTER ELIGIBILITY RATE",IF($DW36 = "","ENTER INITIATION RATE",ROUND($DR36*$DV36*$DW36,0))))</f>
        <v/>
      </c>
      <c r="DZ36" s="5" t="str">
        <f aca="false">IF(SUM($DT36)=0,"",IF($DX36="","ENTER INITIATION RATE",ROUND($DT36*$DX36,0)))</f>
        <v/>
      </c>
      <c r="EA36" s="92" t="n">
        <v>0.9</v>
      </c>
      <c r="EB36" s="5" t="str">
        <f aca="false">IF(SUM($DY36)=0,"",IF($EA36="","ENTER COMPLETION RATE",ROUND($DY36*$EA36,0)))</f>
        <v/>
      </c>
      <c r="EC36" s="5" t="str">
        <f aca="false">IF(SUM($DZ36)=0,"",IF($EA36="","ENTER COMPLETION RATE",ROUND($DZ36*$EA36,0)))</f>
        <v/>
      </c>
      <c r="ED36" s="153"/>
      <c r="EE36" s="154"/>
      <c r="EF36" s="154"/>
      <c r="EG36" s="154"/>
      <c r="EH36" s="100"/>
      <c r="EI36" s="100"/>
      <c r="EJ36" s="100"/>
      <c r="EK36" s="100"/>
      <c r="EL36" s="150"/>
      <c r="EM36" s="150"/>
      <c r="EN36" s="150"/>
      <c r="EO36" s="150"/>
      <c r="EP36" s="149"/>
      <c r="EQ36" s="100"/>
      <c r="ER36" s="153"/>
      <c r="ES36" s="154"/>
      <c r="ET36" s="100"/>
      <c r="EU36" s="100"/>
      <c r="EV36" s="150"/>
      <c r="EW36" s="150"/>
      <c r="EX36" s="153"/>
      <c r="EY36" s="100"/>
      <c r="EZ36" s="150"/>
      <c r="FA36" s="153"/>
      <c r="FB36" s="100"/>
      <c r="FC36" s="155"/>
    </row>
    <row r="37" customFormat="false" ht="15" hidden="false" customHeight="false" outlineLevel="0" collapsed="false">
      <c r="A37" s="0" t="s">
        <v>806</v>
      </c>
      <c r="B37" s="9" t="s">
        <v>808</v>
      </c>
      <c r="C37" s="0" t="s">
        <v>48</v>
      </c>
      <c r="E37" s="154"/>
      <c r="F37" s="154"/>
      <c r="G37" s="154"/>
      <c r="H37" s="154"/>
      <c r="I37" s="154"/>
      <c r="J37" s="154"/>
      <c r="K37" s="154"/>
      <c r="L37" s="154"/>
      <c r="M37" s="153"/>
      <c r="N37" s="154"/>
      <c r="O37" s="154"/>
      <c r="P37" s="154"/>
      <c r="Q37" s="154"/>
      <c r="R37" s="153"/>
      <c r="S37" s="154"/>
      <c r="T37" s="154"/>
      <c r="U37" s="153"/>
      <c r="V37" s="154"/>
      <c r="W37" s="154"/>
      <c r="X37" s="154"/>
      <c r="Y37" s="154"/>
      <c r="Z37" s="153"/>
      <c r="AA37" s="154"/>
      <c r="AB37" s="154"/>
      <c r="AC37" s="154"/>
      <c r="AD37" s="153"/>
      <c r="AE37" s="154"/>
      <c r="AF37" s="153"/>
      <c r="AG37" s="154"/>
      <c r="AH37" s="149"/>
      <c r="AI37" s="150"/>
      <c r="AJ37" s="150"/>
      <c r="AK37" s="150"/>
      <c r="AL37" s="150"/>
      <c r="AM37" s="150"/>
      <c r="AN37" s="150"/>
      <c r="AO37" s="150"/>
      <c r="AP37" s="150"/>
      <c r="AQ37" s="151"/>
      <c r="AR37" s="152"/>
      <c r="AS37" s="152"/>
      <c r="AT37" s="152"/>
      <c r="AU37" s="152"/>
      <c r="AV37" s="152"/>
      <c r="AW37" s="152"/>
      <c r="AX37" s="152"/>
      <c r="AY37" s="152"/>
      <c r="AZ37" s="150"/>
      <c r="BA37" s="153"/>
      <c r="BB37" s="150"/>
      <c r="BC37" s="150"/>
      <c r="BD37" s="154"/>
      <c r="BE37" s="153"/>
      <c r="BF37" s="154"/>
      <c r="BG37" s="154"/>
      <c r="BH37" s="153"/>
      <c r="BI37" s="154"/>
      <c r="BJ37" s="154"/>
      <c r="BK37" s="154"/>
      <c r="BL37" s="100"/>
      <c r="BM37" s="100"/>
      <c r="BN37" s="100"/>
      <c r="BO37" s="154"/>
      <c r="BP37" s="154"/>
      <c r="BQ37" s="153"/>
      <c r="BR37" s="154"/>
      <c r="BS37" s="155"/>
      <c r="BT37" s="154"/>
      <c r="BU37" s="154"/>
      <c r="BV37" s="153"/>
      <c r="BW37" s="154"/>
      <c r="BX37" s="154"/>
      <c r="BY37" s="154"/>
      <c r="BZ37" s="154"/>
      <c r="CA37" s="154"/>
      <c r="CB37" s="154"/>
      <c r="CC37" s="154"/>
      <c r="CD37" s="150"/>
      <c r="CE37" s="153"/>
      <c r="CF37" s="154"/>
      <c r="CG37" s="150"/>
      <c r="CH37" s="154"/>
      <c r="CI37" s="154"/>
      <c r="CJ37" s="153"/>
      <c r="CK37" s="154"/>
      <c r="CL37" s="154"/>
      <c r="CM37" s="154"/>
      <c r="CN37" s="154"/>
      <c r="CO37" s="154"/>
      <c r="CP37" s="154"/>
      <c r="CQ37" s="154"/>
      <c r="CR37" s="150"/>
      <c r="CS37" s="153"/>
      <c r="CT37" s="154"/>
      <c r="CU37" s="154"/>
      <c r="CV37" s="154"/>
      <c r="CW37" s="154"/>
      <c r="CX37" s="154"/>
      <c r="CY37" s="153"/>
      <c r="CZ37" s="100"/>
      <c r="DA37" s="150"/>
      <c r="DB37" s="153"/>
      <c r="DC37" s="154"/>
      <c r="DD37" s="154"/>
      <c r="DE37" s="153"/>
      <c r="DF37" s="154"/>
      <c r="DG37" s="150"/>
      <c r="DH37" s="150"/>
      <c r="DI37" s="100"/>
      <c r="DJ37" s="150"/>
      <c r="DK37" s="92" t="str">
        <f aca="false">IFERROR(SUM(SUMIFS(TX_TB_PREV!$N:$N,TX_TB_PREV!$C:$C,"="&amp;$B37,TX_TB_PREV!$D:$D,$C37),SUMIFS(TX_TB_PREV!$O:$O,TX_TB_PREV!$C:$C,"="&amp;$B37,TX_TB_PREV!$D:$D,$C37))/SUMIFS(TX_TB_PREV!$G:$G,TX_TB_PREV!$C:$C,"="&amp;$B37,TX_TB_PREV!$D:$D,$C37),"")</f>
        <v/>
      </c>
      <c r="DL37" s="88" t="str">
        <f aca="false">IFERROR(SUM(SUMIFS(TX_TB_PREV!$L:$L,TX_TB_PREV!$C:$C,"="&amp;$B37,TX_TB_PREV!$D:$D,$C37),SUMIFS(TX_TB_PREV!$M:$M,TX_TB_PREV!$C:$C,"="&amp;$B37,TX_TB_PREV!$D:$D,$C37))/SUMIFS(TX_TB_PREV!$F:$F,TX_TB_PREV!$C:$C,"="&amp;$B37,TX_TB_PREV!$D:$D,$C37),"")</f>
        <v/>
      </c>
      <c r="DM37" s="88" t="n">
        <v>1</v>
      </c>
      <c r="DN37" s="88" t="n">
        <v>1</v>
      </c>
      <c r="DO37" s="88" t="str">
        <f aca="false">IFERROR(SUMIFS(TX_TB_PREV!$N:$N,TX_TB_PREV!$C:$C,"="&amp;$B37,TX_TB_PREV!$D:$D,$C37)/SUM(SUMIFS(TX_TB_PREV!$N:$N,TX_TB_PREV!$C:$C,"="&amp;$B37,TX_TB_PREV!$D:$D,$C37),SUMIFS(TX_TB_PREV!$O:$O,TX_TB_PREV!$C:$C,"="&amp;$B37,TX_TB_PREV!$D:$D,$C37)),"")</f>
        <v/>
      </c>
      <c r="DP37" s="88" t="str">
        <f aca="false">IFERROR(SUMIFS(TX_TB_PREV!$L:$L,TX_TB_PREV!$C:$C,"="&amp;$B37,TX_TB_PREV!$D:$D,$C37)/SUM(SUMIFS(TX_TB_PREV!$L:$L,TX_TB_PREV!$C:$C,"="&amp;$B37,TX_TB_PREV!$D:$D,$C37),SUMIFS(TX_TB_PREV!$M:$M,TX_TB_PREV!$C:$C,"="&amp;$B37,TX_TB_PREV!$D:$D,$C37)),"")</f>
        <v/>
      </c>
      <c r="DQ37" s="5" t="str">
        <f aca="false" t="array" ref="DQ37:DQ37">IFERROR(ROUND(SUM(SUMIFS($G:$G,$B:$B,IF($B37="&lt;15",{"&lt;01","01-09","10-14"},{"15-24","24-34","35-49","50+"}),$C:$C,$C37))*$DM37*$DO37,0),"")</f>
        <v/>
      </c>
      <c r="DR37" s="5" t="str">
        <f aca="false" t="array" ref="DR37:DR37">IFERROR(ROUND(SUM(SUMIFS($G:$G,$B:$B,IF($B37="&lt;15",{"&lt;01","01-09","10-14"},{"15-24","24-34","35-49","50+"}),$C:$C,$C37))*$DM37,0)-$DQ37,"")</f>
        <v/>
      </c>
      <c r="DS37" s="5" t="str">
        <f aca="false" t="array" ref="DS37:DS37">IFERROR(ROUND(SUM(SUMIFS($G:$G,$B:$B,IF($B37="&lt;15",{"&lt;01","01-09","10-14"},{"15-24","24-34","35-49","50+"}),$C:$C,$C37))*$DM37,0)-$DQ37,"")</f>
        <v/>
      </c>
      <c r="DT37" s="5" t="str">
        <f aca="false" t="array" ref="DT37:DT37">IFERROR(ROUND(SUM(SUMIFS($W:$W,$B:$B,IF($B37="&lt;15",{"&lt;01","01-09","10-14"},{"15-24","24-34","35-49","50+"}),$C:$C,$C37))*$DN37,0)-$DS37,"")</f>
        <v/>
      </c>
      <c r="DU37" s="85" t="n">
        <f aca="false">IFERROR(1/(1/SUM(SUMIFS(TX_TB_PREV!$S:$S,TX_TB_PREV!$C:$C,"="&amp;$B37,TX_TB_PREV!$D:$D,$C37),SUMIFS(TX_TB_PREV!$Z:$Z,TX_TB_PREV!$C:$C,"="&amp;$B37,TX_TB_PREV!$D:$D,$C37),SUMIFS(TX_TB_PREV!$AA:$AA,TX_TB_PREV!$C:$C,"="&amp;$B37,TX_TB_PREV!$D:$D,$C37))),"")</f>
        <v>20715</v>
      </c>
      <c r="DV37" s="88" t="str">
        <f aca="false" t="array" ref="DV37:DV37">IFERROR(MIN($DU37/SUM(SUMIFS($G:$G,$B:$B,IF($B37="&lt;15",{"&lt;01","01-09","10-14"},{"15-24","24-34","35-49","50+"}),$C:$C,$C37)),1),"")</f>
        <v/>
      </c>
      <c r="DW37" s="88" t="n">
        <v>1</v>
      </c>
      <c r="DX37" s="88" t="n">
        <v>1</v>
      </c>
      <c r="DY37" s="5" t="str">
        <f aca="false">IF(SUM($DR37)=0,"",IF($DV37="","ENTER ELIGIBILITY RATE",IF($DW37 = "","ENTER INITIATION RATE",ROUND($DR37*$DV37*$DW37,0))))</f>
        <v/>
      </c>
      <c r="DZ37" s="5" t="str">
        <f aca="false">IF(SUM($DT37)=0,"",IF($DX37="","ENTER INITIATION RATE",ROUND($DT37*$DX37,0)))</f>
        <v/>
      </c>
      <c r="EA37" s="92" t="n">
        <v>0.9</v>
      </c>
      <c r="EB37" s="5" t="str">
        <f aca="false">IF(SUM($DY37)=0,"",IF($EA37="","ENTER COMPLETION RATE",ROUND($DY37*$EA37,0)))</f>
        <v/>
      </c>
      <c r="EC37" s="5" t="str">
        <f aca="false">IF(SUM($DZ37)=0,"",IF($EA37="","ENTER COMPLETION RATE",ROUND($DZ37*$EA37,0)))</f>
        <v/>
      </c>
      <c r="ED37" s="153"/>
      <c r="EE37" s="154"/>
      <c r="EF37" s="154"/>
      <c r="EG37" s="154"/>
      <c r="EH37" s="100"/>
      <c r="EI37" s="100"/>
      <c r="EJ37" s="100"/>
      <c r="EK37" s="100"/>
      <c r="EL37" s="150"/>
      <c r="EM37" s="150"/>
      <c r="EN37" s="150"/>
      <c r="EO37" s="150"/>
      <c r="EP37" s="149"/>
      <c r="EQ37" s="100"/>
      <c r="ER37" s="153"/>
      <c r="ES37" s="154"/>
      <c r="ET37" s="100"/>
      <c r="EU37" s="100"/>
      <c r="EV37" s="150"/>
      <c r="EW37" s="150"/>
      <c r="EX37" s="153"/>
      <c r="EY37" s="100"/>
      <c r="EZ37" s="150"/>
      <c r="FA37" s="153"/>
      <c r="FB37" s="100"/>
      <c r="FC37" s="155"/>
    </row>
    <row r="38" customFormat="false" ht="15" hidden="false" customHeight="false" outlineLevel="0" collapsed="false">
      <c r="A38" s="0" t="s">
        <v>809</v>
      </c>
      <c r="B38" s="9" t="s">
        <v>316</v>
      </c>
      <c r="C38" s="0" t="s">
        <v>30</v>
      </c>
      <c r="E38" s="154"/>
      <c r="F38" s="154"/>
      <c r="G38" s="154"/>
      <c r="H38" s="154"/>
      <c r="I38" s="154"/>
      <c r="J38" s="154"/>
      <c r="K38" s="154"/>
      <c r="L38" s="154"/>
      <c r="M38" s="153"/>
      <c r="N38" s="154"/>
      <c r="O38" s="154"/>
      <c r="P38" s="154"/>
      <c r="Q38" s="154"/>
      <c r="R38" s="153"/>
      <c r="S38" s="154"/>
      <c r="T38" s="154"/>
      <c r="U38" s="153"/>
      <c r="V38" s="154"/>
      <c r="W38" s="154"/>
      <c r="X38" s="154"/>
      <c r="Y38" s="154"/>
      <c r="Z38" s="153"/>
      <c r="AA38" s="154"/>
      <c r="AB38" s="154"/>
      <c r="AC38" s="154"/>
      <c r="AD38" s="153"/>
      <c r="AE38" s="154"/>
      <c r="AF38" s="153"/>
      <c r="AG38" s="154"/>
      <c r="AH38" s="149"/>
      <c r="AI38" s="150"/>
      <c r="AJ38" s="150"/>
      <c r="AK38" s="150"/>
      <c r="AL38" s="150"/>
      <c r="AM38" s="150"/>
      <c r="AN38" s="150"/>
      <c r="AO38" s="150"/>
      <c r="AP38" s="150"/>
      <c r="AQ38" s="151"/>
      <c r="AR38" s="152"/>
      <c r="AS38" s="152"/>
      <c r="AT38" s="152"/>
      <c r="AU38" s="152"/>
      <c r="AV38" s="152"/>
      <c r="AW38" s="152"/>
      <c r="AX38" s="152"/>
      <c r="AY38" s="152"/>
      <c r="AZ38" s="150"/>
      <c r="BA38" s="153"/>
      <c r="BB38" s="150"/>
      <c r="BC38" s="150"/>
      <c r="BD38" s="154"/>
      <c r="BE38" s="153"/>
      <c r="BF38" s="154"/>
      <c r="BG38" s="154"/>
      <c r="BH38" s="153"/>
      <c r="BI38" s="154"/>
      <c r="BJ38" s="154"/>
      <c r="BK38" s="154"/>
      <c r="BL38" s="100"/>
      <c r="BM38" s="100"/>
      <c r="BN38" s="100"/>
      <c r="BO38" s="154"/>
      <c r="BP38" s="154"/>
      <c r="BQ38" s="153"/>
      <c r="BR38" s="154"/>
      <c r="BS38" s="155"/>
      <c r="BT38" s="154"/>
      <c r="BU38" s="154"/>
      <c r="BV38" s="153"/>
      <c r="BW38" s="154"/>
      <c r="BX38" s="154"/>
      <c r="BY38" s="154"/>
      <c r="BZ38" s="154"/>
      <c r="CA38" s="154"/>
      <c r="CB38" s="154"/>
      <c r="CC38" s="154"/>
      <c r="CD38" s="150"/>
      <c r="CE38" s="153"/>
      <c r="CF38" s="154"/>
      <c r="CG38" s="150"/>
      <c r="CH38" s="154"/>
      <c r="CI38" s="154"/>
      <c r="CJ38" s="153"/>
      <c r="CK38" s="154"/>
      <c r="CL38" s="154"/>
      <c r="CM38" s="154"/>
      <c r="CN38" s="154"/>
      <c r="CO38" s="154"/>
      <c r="CP38" s="154"/>
      <c r="CQ38" s="154"/>
      <c r="CR38" s="150"/>
      <c r="CS38" s="153"/>
      <c r="CT38" s="154"/>
      <c r="CU38" s="154"/>
      <c r="CV38" s="154"/>
      <c r="CW38" s="154"/>
      <c r="CX38" s="154"/>
      <c r="CY38" s="153"/>
      <c r="CZ38" s="100"/>
      <c r="DA38" s="150"/>
      <c r="DB38" s="153"/>
      <c r="DC38" s="154"/>
      <c r="DD38" s="154"/>
      <c r="DE38" s="153"/>
      <c r="DF38" s="154"/>
      <c r="DG38" s="150"/>
      <c r="DH38" s="150"/>
      <c r="DI38" s="100"/>
      <c r="DJ38" s="150"/>
      <c r="DK38" s="153"/>
      <c r="DL38" s="154"/>
      <c r="DM38" s="154"/>
      <c r="DN38" s="154"/>
      <c r="DO38" s="154"/>
      <c r="DP38" s="154"/>
      <c r="DQ38" s="154"/>
      <c r="DR38" s="154"/>
      <c r="DS38" s="154"/>
      <c r="DT38" s="154"/>
      <c r="DU38" s="153"/>
      <c r="DV38" s="150"/>
      <c r="DW38" s="150"/>
      <c r="DX38" s="150"/>
      <c r="DY38" s="154"/>
      <c r="DZ38" s="154"/>
      <c r="EA38" s="149"/>
      <c r="EB38" s="154"/>
      <c r="EC38" s="154"/>
      <c r="ED38" s="85" t="str">
        <f aca="false">IFERROR(1/(1/SUMIFS(OVC!$O:$O,OVC!$C:$C,"="&amp;$B38,OVC!$D:$D,$C38)),"")</f>
        <v/>
      </c>
      <c r="EE38" s="10" t="str">
        <f aca="false">IFERROR(1/(1/SUMIFS(OVC!$P:$P,OVC!$C:$C,"="&amp;$B38,OVC!$D:$D,$C38)),"")</f>
        <v/>
      </c>
      <c r="EF38" s="10" t="n">
        <f aca="false">IFERROR(1/(1/SUMIFS(OVC!$Q:$Q,OVC!$C:$C,"="&amp;$B38,OVC!$D:$D,$C38)),"")</f>
        <v>105</v>
      </c>
      <c r="EG38" s="10" t="n">
        <f aca="false">IFERROR(1/(1/SUMIFS(OVC!$R:$R,OVC!$C:$C,"="&amp;$B38,OVC!$D:$D,$C38)),"")</f>
        <v>423</v>
      </c>
      <c r="EH38" s="5" t="str">
        <f aca="false">$ED38</f>
        <v/>
      </c>
      <c r="EI38" s="5" t="str">
        <f aca="false">$EE38</f>
        <v/>
      </c>
      <c r="EJ38" s="5" t="n">
        <f aca="false">$EF38</f>
        <v>105</v>
      </c>
      <c r="EK38" s="5" t="n">
        <f aca="false">$EG38</f>
        <v>423</v>
      </c>
      <c r="EL38" s="88" t="str">
        <f aca="false">IF(SUM($ED38)=0,"",(SUM($EH38)-$ED38)/$ED38)</f>
        <v/>
      </c>
      <c r="EM38" s="88" t="str">
        <f aca="false">IF(SUM($EE38)=0,"",(SUM($EI38)-$EE38)/$EE38)</f>
        <v/>
      </c>
      <c r="EN38" s="88" t="n">
        <f aca="false">IF(SUM($EF38)=0,"",(SUM($EJ38)-$EF38)/$EF38)</f>
        <v>0</v>
      </c>
      <c r="EO38" s="88" t="n">
        <f aca="false">IF(SUM($EG38)=0,"",(SUM($EK38)-$EG38)/$EG38)</f>
        <v>0</v>
      </c>
      <c r="EP38" s="92" t="n">
        <f aca="false">IF(OR($B38="18+",$B38="18-20",SUM($EJ38,$EK38)=0),"",100%)</f>
        <v>1</v>
      </c>
      <c r="EQ38" s="5" t="n">
        <f aca="false">IF(OR($C38="18+",$C38="18-20",SUM($EJ38,$EK38)=0),"",ROUND(SUM($EJ38,$EK38)*$EP38,0))</f>
        <v>528</v>
      </c>
      <c r="ER38" s="153"/>
      <c r="ES38" s="154"/>
      <c r="ET38" s="100"/>
      <c r="EU38" s="100"/>
      <c r="EV38" s="150"/>
      <c r="EW38" s="150"/>
      <c r="EX38" s="153"/>
      <c r="EY38" s="100"/>
      <c r="EZ38" s="150"/>
      <c r="FA38" s="153"/>
      <c r="FB38" s="100"/>
      <c r="FC38" s="155"/>
    </row>
    <row r="39" customFormat="false" ht="15" hidden="false" customHeight="false" outlineLevel="0" collapsed="false">
      <c r="A39" s="0" t="s">
        <v>809</v>
      </c>
      <c r="B39" s="9" t="s">
        <v>316</v>
      </c>
      <c r="C39" s="0" t="s">
        <v>48</v>
      </c>
      <c r="E39" s="154"/>
      <c r="F39" s="154"/>
      <c r="G39" s="154"/>
      <c r="H39" s="154"/>
      <c r="I39" s="154"/>
      <c r="J39" s="154"/>
      <c r="K39" s="154"/>
      <c r="L39" s="154"/>
      <c r="M39" s="153"/>
      <c r="N39" s="154"/>
      <c r="O39" s="154"/>
      <c r="P39" s="154"/>
      <c r="Q39" s="154"/>
      <c r="R39" s="153"/>
      <c r="S39" s="154"/>
      <c r="T39" s="154"/>
      <c r="U39" s="153"/>
      <c r="V39" s="154"/>
      <c r="W39" s="154"/>
      <c r="X39" s="154"/>
      <c r="Y39" s="154"/>
      <c r="Z39" s="153"/>
      <c r="AA39" s="154"/>
      <c r="AB39" s="154"/>
      <c r="AC39" s="154"/>
      <c r="AD39" s="153"/>
      <c r="AE39" s="154"/>
      <c r="AF39" s="153"/>
      <c r="AG39" s="154"/>
      <c r="AH39" s="149"/>
      <c r="AI39" s="150"/>
      <c r="AJ39" s="150"/>
      <c r="AK39" s="150"/>
      <c r="AL39" s="150"/>
      <c r="AM39" s="150"/>
      <c r="AN39" s="150"/>
      <c r="AO39" s="150"/>
      <c r="AP39" s="150"/>
      <c r="AQ39" s="151"/>
      <c r="AR39" s="152"/>
      <c r="AS39" s="152"/>
      <c r="AT39" s="152"/>
      <c r="AU39" s="152"/>
      <c r="AV39" s="152"/>
      <c r="AW39" s="152"/>
      <c r="AX39" s="152"/>
      <c r="AY39" s="152"/>
      <c r="AZ39" s="150"/>
      <c r="BA39" s="153"/>
      <c r="BB39" s="150"/>
      <c r="BC39" s="150"/>
      <c r="BD39" s="154"/>
      <c r="BE39" s="153"/>
      <c r="BF39" s="154"/>
      <c r="BG39" s="154"/>
      <c r="BH39" s="153"/>
      <c r="BI39" s="154"/>
      <c r="BJ39" s="154"/>
      <c r="BK39" s="154"/>
      <c r="BL39" s="100"/>
      <c r="BM39" s="100"/>
      <c r="BN39" s="100"/>
      <c r="BO39" s="154"/>
      <c r="BP39" s="154"/>
      <c r="BQ39" s="153"/>
      <c r="BR39" s="154"/>
      <c r="BS39" s="155"/>
      <c r="BT39" s="154"/>
      <c r="BU39" s="154"/>
      <c r="BV39" s="153"/>
      <c r="BW39" s="154"/>
      <c r="BX39" s="154"/>
      <c r="BY39" s="154"/>
      <c r="BZ39" s="154"/>
      <c r="CA39" s="154"/>
      <c r="CB39" s="154"/>
      <c r="CC39" s="154"/>
      <c r="CD39" s="150"/>
      <c r="CE39" s="153"/>
      <c r="CF39" s="154"/>
      <c r="CG39" s="150"/>
      <c r="CH39" s="154"/>
      <c r="CI39" s="154"/>
      <c r="CJ39" s="153"/>
      <c r="CK39" s="154"/>
      <c r="CL39" s="154"/>
      <c r="CM39" s="154"/>
      <c r="CN39" s="154"/>
      <c r="CO39" s="154"/>
      <c r="CP39" s="154"/>
      <c r="CQ39" s="154"/>
      <c r="CR39" s="150"/>
      <c r="CS39" s="153"/>
      <c r="CT39" s="154"/>
      <c r="CU39" s="154"/>
      <c r="CV39" s="154"/>
      <c r="CW39" s="154"/>
      <c r="CX39" s="154"/>
      <c r="CY39" s="153"/>
      <c r="CZ39" s="100"/>
      <c r="DA39" s="150"/>
      <c r="DB39" s="153"/>
      <c r="DC39" s="154"/>
      <c r="DD39" s="154"/>
      <c r="DE39" s="153"/>
      <c r="DF39" s="154"/>
      <c r="DG39" s="150"/>
      <c r="DH39" s="150"/>
      <c r="DI39" s="100"/>
      <c r="DJ39" s="150"/>
      <c r="DK39" s="153"/>
      <c r="DL39" s="154"/>
      <c r="DM39" s="154"/>
      <c r="DN39" s="154"/>
      <c r="DO39" s="154"/>
      <c r="DP39" s="154"/>
      <c r="DQ39" s="154"/>
      <c r="DR39" s="154"/>
      <c r="DS39" s="154"/>
      <c r="DT39" s="154"/>
      <c r="DU39" s="153"/>
      <c r="DV39" s="150"/>
      <c r="DW39" s="150"/>
      <c r="DX39" s="150"/>
      <c r="DY39" s="154"/>
      <c r="DZ39" s="154"/>
      <c r="EA39" s="149"/>
      <c r="EB39" s="154"/>
      <c r="EC39" s="154"/>
      <c r="ED39" s="85" t="str">
        <f aca="false">IFERROR(1/(1/SUMIFS(OVC!$O:$O,OVC!$C:$C,"="&amp;$B39,OVC!$D:$D,$C39)),"")</f>
        <v/>
      </c>
      <c r="EE39" s="10" t="str">
        <f aca="false">IFERROR(1/(1/SUMIFS(OVC!$P:$P,OVC!$C:$C,"="&amp;$B39,OVC!$D:$D,$C39)),"")</f>
        <v/>
      </c>
      <c r="EF39" s="10" t="n">
        <f aca="false">IFERROR(1/(1/SUMIFS(OVC!$Q:$Q,OVC!$C:$C,"="&amp;$B39,OVC!$D:$D,$C39)),"")</f>
        <v>111</v>
      </c>
      <c r="EG39" s="10" t="n">
        <f aca="false">IFERROR(1/(1/SUMIFS(OVC!$R:$R,OVC!$C:$C,"="&amp;$B39,OVC!$D:$D,$C39)),"")</f>
        <v>437</v>
      </c>
      <c r="EH39" s="5" t="str">
        <f aca="false">$ED39</f>
        <v/>
      </c>
      <c r="EI39" s="5" t="str">
        <f aca="false">$EE39</f>
        <v/>
      </c>
      <c r="EJ39" s="5" t="n">
        <f aca="false">$EF39</f>
        <v>111</v>
      </c>
      <c r="EK39" s="5" t="n">
        <f aca="false">$EG39</f>
        <v>437</v>
      </c>
      <c r="EL39" s="88" t="str">
        <f aca="false">IF(SUM($ED39)=0,"",(SUM($EH39)-$ED39)/$ED39)</f>
        <v/>
      </c>
      <c r="EM39" s="88" t="str">
        <f aca="false">IF(SUM($EE39)=0,"",(SUM($EI39)-$EE39)/$EE39)</f>
        <v/>
      </c>
      <c r="EN39" s="88" t="n">
        <f aca="false">IF(SUM($EF39)=0,"",(SUM($EJ39)-$EF39)/$EF39)</f>
        <v>0</v>
      </c>
      <c r="EO39" s="88" t="n">
        <f aca="false">IF(SUM($EG39)=0,"",(SUM($EK39)-$EG39)/$EG39)</f>
        <v>0</v>
      </c>
      <c r="EP39" s="92" t="n">
        <f aca="false">IF(OR($B39="18+",$B39="18-20",SUM($EJ39,$EK39)=0),"",100%)</f>
        <v>1</v>
      </c>
      <c r="EQ39" s="5" t="n">
        <f aca="false">IF(OR($C39="18+",$C39="18-20",SUM($EJ39,$EK39)=0),"",ROUND(SUM($EJ39,$EK39)*$EP39,0))</f>
        <v>548</v>
      </c>
      <c r="ER39" s="153"/>
      <c r="ES39" s="154"/>
      <c r="ET39" s="100"/>
      <c r="EU39" s="100"/>
      <c r="EV39" s="150"/>
      <c r="EW39" s="150"/>
      <c r="EX39" s="153"/>
      <c r="EY39" s="100"/>
      <c r="EZ39" s="150"/>
      <c r="FA39" s="153"/>
      <c r="FB39" s="100"/>
      <c r="FC39" s="155"/>
    </row>
    <row r="40" customFormat="false" ht="15" hidden="false" customHeight="false" outlineLevel="0" collapsed="false">
      <c r="A40" s="0" t="s">
        <v>809</v>
      </c>
      <c r="B40" s="9" t="s">
        <v>810</v>
      </c>
      <c r="C40" s="0" t="s">
        <v>30</v>
      </c>
      <c r="E40" s="154"/>
      <c r="F40" s="154"/>
      <c r="G40" s="154"/>
      <c r="H40" s="154"/>
      <c r="I40" s="154"/>
      <c r="J40" s="154"/>
      <c r="K40" s="154"/>
      <c r="L40" s="154"/>
      <c r="M40" s="153"/>
      <c r="N40" s="154"/>
      <c r="O40" s="154"/>
      <c r="P40" s="154"/>
      <c r="Q40" s="154"/>
      <c r="R40" s="153"/>
      <c r="S40" s="154"/>
      <c r="T40" s="154"/>
      <c r="U40" s="153"/>
      <c r="V40" s="154"/>
      <c r="W40" s="154"/>
      <c r="X40" s="154"/>
      <c r="Y40" s="154"/>
      <c r="Z40" s="153"/>
      <c r="AA40" s="154"/>
      <c r="AB40" s="154"/>
      <c r="AC40" s="154"/>
      <c r="AD40" s="153"/>
      <c r="AE40" s="154"/>
      <c r="AF40" s="153"/>
      <c r="AG40" s="154"/>
      <c r="AH40" s="149"/>
      <c r="AI40" s="150"/>
      <c r="AJ40" s="150"/>
      <c r="AK40" s="150"/>
      <c r="AL40" s="150"/>
      <c r="AM40" s="150"/>
      <c r="AN40" s="150"/>
      <c r="AO40" s="150"/>
      <c r="AP40" s="150"/>
      <c r="AQ40" s="151"/>
      <c r="AR40" s="152"/>
      <c r="AS40" s="152"/>
      <c r="AT40" s="152"/>
      <c r="AU40" s="152"/>
      <c r="AV40" s="152"/>
      <c r="AW40" s="152"/>
      <c r="AX40" s="152"/>
      <c r="AY40" s="152"/>
      <c r="AZ40" s="150"/>
      <c r="BA40" s="153"/>
      <c r="BB40" s="150"/>
      <c r="BC40" s="150"/>
      <c r="BD40" s="154"/>
      <c r="BE40" s="153"/>
      <c r="BF40" s="154"/>
      <c r="BG40" s="154"/>
      <c r="BH40" s="153"/>
      <c r="BI40" s="154"/>
      <c r="BJ40" s="154"/>
      <c r="BK40" s="154"/>
      <c r="BL40" s="100"/>
      <c r="BM40" s="100"/>
      <c r="BN40" s="100"/>
      <c r="BO40" s="154"/>
      <c r="BP40" s="154"/>
      <c r="BQ40" s="153"/>
      <c r="BR40" s="154"/>
      <c r="BS40" s="155"/>
      <c r="BT40" s="154"/>
      <c r="BU40" s="154"/>
      <c r="BV40" s="153"/>
      <c r="BW40" s="154"/>
      <c r="BX40" s="154"/>
      <c r="BY40" s="154"/>
      <c r="BZ40" s="154"/>
      <c r="CA40" s="154"/>
      <c r="CB40" s="154"/>
      <c r="CC40" s="154"/>
      <c r="CD40" s="150"/>
      <c r="CE40" s="153"/>
      <c r="CF40" s="154"/>
      <c r="CG40" s="150"/>
      <c r="CH40" s="154"/>
      <c r="CI40" s="154"/>
      <c r="CJ40" s="153"/>
      <c r="CK40" s="154"/>
      <c r="CL40" s="154"/>
      <c r="CM40" s="154"/>
      <c r="CN40" s="154"/>
      <c r="CO40" s="154"/>
      <c r="CP40" s="154"/>
      <c r="CQ40" s="154"/>
      <c r="CR40" s="150"/>
      <c r="CS40" s="153"/>
      <c r="CT40" s="154"/>
      <c r="CU40" s="154"/>
      <c r="CV40" s="154"/>
      <c r="CW40" s="154"/>
      <c r="CX40" s="154"/>
      <c r="CY40" s="153"/>
      <c r="CZ40" s="100"/>
      <c r="DA40" s="150"/>
      <c r="DB40" s="153"/>
      <c r="DC40" s="154"/>
      <c r="DD40" s="154"/>
      <c r="DE40" s="153"/>
      <c r="DF40" s="154"/>
      <c r="DG40" s="150"/>
      <c r="DH40" s="150"/>
      <c r="DI40" s="100"/>
      <c r="DJ40" s="150"/>
      <c r="DK40" s="153"/>
      <c r="DL40" s="154"/>
      <c r="DM40" s="154"/>
      <c r="DN40" s="154"/>
      <c r="DO40" s="154"/>
      <c r="DP40" s="154"/>
      <c r="DQ40" s="154"/>
      <c r="DR40" s="154"/>
      <c r="DS40" s="154"/>
      <c r="DT40" s="154"/>
      <c r="DU40" s="153"/>
      <c r="DV40" s="150"/>
      <c r="DW40" s="150"/>
      <c r="DX40" s="150"/>
      <c r="DY40" s="154"/>
      <c r="DZ40" s="154"/>
      <c r="EA40" s="149"/>
      <c r="EB40" s="154"/>
      <c r="EC40" s="154"/>
      <c r="ED40" s="85" t="str">
        <f aca="false">IFERROR(1/(1/SUMIFS(OVC!$O:$O,OVC!$C:$C,"="&amp;$B40,OVC!$D:$D,$C40)),"")</f>
        <v/>
      </c>
      <c r="EE40" s="10" t="str">
        <f aca="false">IFERROR(1/(1/SUMIFS(OVC!$P:$P,OVC!$C:$C,"="&amp;$B40,OVC!$D:$D,$C40)),"")</f>
        <v/>
      </c>
      <c r="EF40" s="10" t="n">
        <f aca="false">IFERROR(1/(1/SUMIFS(OVC!$Q:$Q,OVC!$C:$C,"="&amp;$B40,OVC!$D:$D,$C40)),"")</f>
        <v>370</v>
      </c>
      <c r="EG40" s="10" t="n">
        <f aca="false">IFERROR(1/(1/SUMIFS(OVC!$R:$R,OVC!$C:$C,"="&amp;$B40,OVC!$D:$D,$C40)),"")</f>
        <v>1475</v>
      </c>
      <c r="EH40" s="5" t="str">
        <f aca="false">$ED40</f>
        <v/>
      </c>
      <c r="EI40" s="5" t="str">
        <f aca="false">$EE40</f>
        <v/>
      </c>
      <c r="EJ40" s="5" t="n">
        <f aca="false">$EF40</f>
        <v>370</v>
      </c>
      <c r="EK40" s="5" t="n">
        <f aca="false">$EG40</f>
        <v>1475</v>
      </c>
      <c r="EL40" s="88" t="str">
        <f aca="false">IF(SUM($ED40)=0,"",(SUM($EH40)-$ED40)/$ED40)</f>
        <v/>
      </c>
      <c r="EM40" s="88" t="str">
        <f aca="false">IF(SUM($EE40)=0,"",(SUM($EI40)-$EE40)/$EE40)</f>
        <v/>
      </c>
      <c r="EN40" s="88" t="n">
        <f aca="false">IF(SUM($EF40)=0,"",(SUM($EJ40)-$EF40)/$EF40)</f>
        <v>0</v>
      </c>
      <c r="EO40" s="88" t="n">
        <f aca="false">IF(SUM($EG40)=0,"",(SUM($EK40)-$EG40)/$EG40)</f>
        <v>0</v>
      </c>
      <c r="EP40" s="92" t="n">
        <f aca="false">IF(OR($B40="18+",$B40="18-20",SUM($EJ40,$EK40)=0),"",100%)</f>
        <v>1</v>
      </c>
      <c r="EQ40" s="5" t="n">
        <f aca="false">IF(OR($C40="18+",$C40="18-20",SUM($EJ40,$EK40)=0),"",ROUND(SUM($EJ40,$EK40)*$EP40,0))</f>
        <v>1845</v>
      </c>
      <c r="ER40" s="153"/>
      <c r="ES40" s="154"/>
      <c r="ET40" s="100"/>
      <c r="EU40" s="100"/>
      <c r="EV40" s="150"/>
      <c r="EW40" s="150"/>
      <c r="EX40" s="153"/>
      <c r="EY40" s="100"/>
      <c r="EZ40" s="150"/>
      <c r="FA40" s="153"/>
      <c r="FB40" s="100"/>
      <c r="FC40" s="155"/>
    </row>
    <row r="41" customFormat="false" ht="15" hidden="false" customHeight="false" outlineLevel="0" collapsed="false">
      <c r="A41" s="0" t="s">
        <v>809</v>
      </c>
      <c r="B41" s="9" t="s">
        <v>810</v>
      </c>
      <c r="C41" s="0" t="s">
        <v>48</v>
      </c>
      <c r="E41" s="154"/>
      <c r="F41" s="154"/>
      <c r="G41" s="154"/>
      <c r="H41" s="154"/>
      <c r="I41" s="154"/>
      <c r="J41" s="154"/>
      <c r="K41" s="154"/>
      <c r="L41" s="154"/>
      <c r="M41" s="153"/>
      <c r="N41" s="154"/>
      <c r="O41" s="154"/>
      <c r="P41" s="154"/>
      <c r="Q41" s="154"/>
      <c r="R41" s="153"/>
      <c r="S41" s="154"/>
      <c r="T41" s="154"/>
      <c r="U41" s="153"/>
      <c r="V41" s="154"/>
      <c r="W41" s="154"/>
      <c r="X41" s="154"/>
      <c r="Y41" s="154"/>
      <c r="Z41" s="153"/>
      <c r="AA41" s="154"/>
      <c r="AB41" s="154"/>
      <c r="AC41" s="154"/>
      <c r="AD41" s="153"/>
      <c r="AE41" s="154"/>
      <c r="AF41" s="153"/>
      <c r="AG41" s="154"/>
      <c r="AH41" s="149"/>
      <c r="AI41" s="150"/>
      <c r="AJ41" s="150"/>
      <c r="AK41" s="150"/>
      <c r="AL41" s="150"/>
      <c r="AM41" s="150"/>
      <c r="AN41" s="150"/>
      <c r="AO41" s="150"/>
      <c r="AP41" s="150"/>
      <c r="AQ41" s="151"/>
      <c r="AR41" s="152"/>
      <c r="AS41" s="152"/>
      <c r="AT41" s="152"/>
      <c r="AU41" s="152"/>
      <c r="AV41" s="152"/>
      <c r="AW41" s="152"/>
      <c r="AX41" s="152"/>
      <c r="AY41" s="152"/>
      <c r="AZ41" s="150"/>
      <c r="BA41" s="153"/>
      <c r="BB41" s="150"/>
      <c r="BC41" s="150"/>
      <c r="BD41" s="154"/>
      <c r="BE41" s="153"/>
      <c r="BF41" s="154"/>
      <c r="BG41" s="154"/>
      <c r="BH41" s="153"/>
      <c r="BI41" s="154"/>
      <c r="BJ41" s="154"/>
      <c r="BK41" s="154"/>
      <c r="BL41" s="100"/>
      <c r="BM41" s="100"/>
      <c r="BN41" s="100"/>
      <c r="BO41" s="154"/>
      <c r="BP41" s="154"/>
      <c r="BQ41" s="153"/>
      <c r="BR41" s="154"/>
      <c r="BS41" s="155"/>
      <c r="BT41" s="154"/>
      <c r="BU41" s="154"/>
      <c r="BV41" s="153"/>
      <c r="BW41" s="154"/>
      <c r="BX41" s="154"/>
      <c r="BY41" s="154"/>
      <c r="BZ41" s="154"/>
      <c r="CA41" s="154"/>
      <c r="CB41" s="154"/>
      <c r="CC41" s="154"/>
      <c r="CD41" s="150"/>
      <c r="CE41" s="153"/>
      <c r="CF41" s="154"/>
      <c r="CG41" s="150"/>
      <c r="CH41" s="154"/>
      <c r="CI41" s="154"/>
      <c r="CJ41" s="153"/>
      <c r="CK41" s="154"/>
      <c r="CL41" s="154"/>
      <c r="CM41" s="154"/>
      <c r="CN41" s="154"/>
      <c r="CO41" s="154"/>
      <c r="CP41" s="154"/>
      <c r="CQ41" s="154"/>
      <c r="CR41" s="150"/>
      <c r="CS41" s="153"/>
      <c r="CT41" s="154"/>
      <c r="CU41" s="154"/>
      <c r="CV41" s="154"/>
      <c r="CW41" s="154"/>
      <c r="CX41" s="154"/>
      <c r="CY41" s="153"/>
      <c r="CZ41" s="100"/>
      <c r="DA41" s="150"/>
      <c r="DB41" s="153"/>
      <c r="DC41" s="154"/>
      <c r="DD41" s="154"/>
      <c r="DE41" s="153"/>
      <c r="DF41" s="154"/>
      <c r="DG41" s="150"/>
      <c r="DH41" s="150"/>
      <c r="DI41" s="100"/>
      <c r="DJ41" s="150"/>
      <c r="DK41" s="153"/>
      <c r="DL41" s="154"/>
      <c r="DM41" s="154"/>
      <c r="DN41" s="154"/>
      <c r="DO41" s="154"/>
      <c r="DP41" s="154"/>
      <c r="DQ41" s="154"/>
      <c r="DR41" s="154"/>
      <c r="DS41" s="154"/>
      <c r="DT41" s="154"/>
      <c r="DU41" s="153"/>
      <c r="DV41" s="150"/>
      <c r="DW41" s="150"/>
      <c r="DX41" s="150"/>
      <c r="DY41" s="154"/>
      <c r="DZ41" s="154"/>
      <c r="EA41" s="149"/>
      <c r="EB41" s="154"/>
      <c r="EC41" s="154"/>
      <c r="ED41" s="85" t="str">
        <f aca="false">IFERROR(1/(1/SUMIFS(OVC!$O:$O,OVC!$C:$C,"="&amp;$B41,OVC!$D:$D,$C41)),"")</f>
        <v/>
      </c>
      <c r="EE41" s="10" t="str">
        <f aca="false">IFERROR(1/(1/SUMIFS(OVC!$P:$P,OVC!$C:$C,"="&amp;$B41,OVC!$D:$D,$C41)),"")</f>
        <v/>
      </c>
      <c r="EF41" s="10" t="n">
        <f aca="false">IFERROR(1/(1/SUMIFS(OVC!$Q:$Q,OVC!$C:$C,"="&amp;$B41,OVC!$D:$D,$C41)),"")</f>
        <v>353</v>
      </c>
      <c r="EG41" s="10" t="n">
        <f aca="false">IFERROR(1/(1/SUMIFS(OVC!$R:$R,OVC!$C:$C,"="&amp;$B41,OVC!$D:$D,$C41)),"")</f>
        <v>1412</v>
      </c>
      <c r="EH41" s="5" t="str">
        <f aca="false">$ED41</f>
        <v/>
      </c>
      <c r="EI41" s="5" t="str">
        <f aca="false">$EE41</f>
        <v/>
      </c>
      <c r="EJ41" s="5" t="n">
        <f aca="false">$EF41</f>
        <v>353</v>
      </c>
      <c r="EK41" s="5" t="n">
        <f aca="false">$EG41</f>
        <v>1412</v>
      </c>
      <c r="EL41" s="88" t="str">
        <f aca="false">IF(SUM($ED41)=0,"",(SUM($EH41)-$ED41)/$ED41)</f>
        <v/>
      </c>
      <c r="EM41" s="88" t="str">
        <f aca="false">IF(SUM($EE41)=0,"",(SUM($EI41)-$EE41)/$EE41)</f>
        <v/>
      </c>
      <c r="EN41" s="88" t="n">
        <f aca="false">IF(SUM($EF41)=0,"",(SUM($EJ41)-$EF41)/$EF41)</f>
        <v>0</v>
      </c>
      <c r="EO41" s="88" t="n">
        <f aca="false">IF(SUM($EG41)=0,"",(SUM($EK41)-$EG41)/$EG41)</f>
        <v>0</v>
      </c>
      <c r="EP41" s="92" t="n">
        <f aca="false">IF(OR($B41="18+",$B41="18-20",SUM($EJ41,$EK41)=0),"",100%)</f>
        <v>1</v>
      </c>
      <c r="EQ41" s="5" t="n">
        <f aca="false">IF(OR($C41="18+",$C41="18-20",SUM($EJ41,$EK41)=0),"",ROUND(SUM($EJ41,$EK41)*$EP41,0))</f>
        <v>1765</v>
      </c>
      <c r="ER41" s="153"/>
      <c r="ES41" s="154"/>
      <c r="ET41" s="100"/>
      <c r="EU41" s="100"/>
      <c r="EV41" s="150"/>
      <c r="EW41" s="150"/>
      <c r="EX41" s="153"/>
      <c r="EY41" s="100"/>
      <c r="EZ41" s="150"/>
      <c r="FA41" s="153"/>
      <c r="FB41" s="100"/>
      <c r="FC41" s="155"/>
    </row>
    <row r="42" customFormat="false" ht="15" hidden="false" customHeight="false" outlineLevel="0" collapsed="false">
      <c r="A42" s="0" t="s">
        <v>809</v>
      </c>
      <c r="B42" s="9" t="s">
        <v>811</v>
      </c>
      <c r="C42" s="0" t="s">
        <v>30</v>
      </c>
      <c r="E42" s="154"/>
      <c r="F42" s="154"/>
      <c r="G42" s="154"/>
      <c r="H42" s="154"/>
      <c r="I42" s="154"/>
      <c r="J42" s="154"/>
      <c r="K42" s="154"/>
      <c r="L42" s="154"/>
      <c r="M42" s="153"/>
      <c r="N42" s="154"/>
      <c r="O42" s="154"/>
      <c r="P42" s="154"/>
      <c r="Q42" s="154"/>
      <c r="R42" s="153"/>
      <c r="S42" s="154"/>
      <c r="T42" s="154"/>
      <c r="U42" s="153"/>
      <c r="V42" s="154"/>
      <c r="W42" s="154"/>
      <c r="X42" s="154"/>
      <c r="Y42" s="154"/>
      <c r="Z42" s="153"/>
      <c r="AA42" s="154"/>
      <c r="AB42" s="154"/>
      <c r="AC42" s="154"/>
      <c r="AD42" s="153"/>
      <c r="AE42" s="154"/>
      <c r="AF42" s="153"/>
      <c r="AG42" s="154"/>
      <c r="AH42" s="149"/>
      <c r="AI42" s="150"/>
      <c r="AJ42" s="150"/>
      <c r="AK42" s="150"/>
      <c r="AL42" s="150"/>
      <c r="AM42" s="150"/>
      <c r="AN42" s="150"/>
      <c r="AO42" s="150"/>
      <c r="AP42" s="150"/>
      <c r="AQ42" s="151"/>
      <c r="AR42" s="152"/>
      <c r="AS42" s="152"/>
      <c r="AT42" s="152"/>
      <c r="AU42" s="152"/>
      <c r="AV42" s="152"/>
      <c r="AW42" s="152"/>
      <c r="AX42" s="152"/>
      <c r="AY42" s="152"/>
      <c r="AZ42" s="150"/>
      <c r="BA42" s="153"/>
      <c r="BB42" s="150"/>
      <c r="BC42" s="150"/>
      <c r="BD42" s="154"/>
      <c r="BE42" s="153"/>
      <c r="BF42" s="154"/>
      <c r="BG42" s="154"/>
      <c r="BH42" s="153"/>
      <c r="BI42" s="154"/>
      <c r="BJ42" s="154"/>
      <c r="BK42" s="154"/>
      <c r="BL42" s="100"/>
      <c r="BM42" s="100"/>
      <c r="BN42" s="100"/>
      <c r="BO42" s="154"/>
      <c r="BP42" s="154"/>
      <c r="BQ42" s="153"/>
      <c r="BR42" s="154"/>
      <c r="BS42" s="155"/>
      <c r="BT42" s="154"/>
      <c r="BU42" s="154"/>
      <c r="BV42" s="153"/>
      <c r="BW42" s="154"/>
      <c r="BX42" s="154"/>
      <c r="BY42" s="154"/>
      <c r="BZ42" s="154"/>
      <c r="CA42" s="154"/>
      <c r="CB42" s="154"/>
      <c r="CC42" s="154"/>
      <c r="CD42" s="150"/>
      <c r="CE42" s="153"/>
      <c r="CF42" s="154"/>
      <c r="CG42" s="150"/>
      <c r="CH42" s="154"/>
      <c r="CI42" s="154"/>
      <c r="CJ42" s="153"/>
      <c r="CK42" s="154"/>
      <c r="CL42" s="154"/>
      <c r="CM42" s="154"/>
      <c r="CN42" s="154"/>
      <c r="CO42" s="154"/>
      <c r="CP42" s="154"/>
      <c r="CQ42" s="154"/>
      <c r="CR42" s="150"/>
      <c r="CS42" s="153"/>
      <c r="CT42" s="154"/>
      <c r="CU42" s="154"/>
      <c r="CV42" s="154"/>
      <c r="CW42" s="154"/>
      <c r="CX42" s="154"/>
      <c r="CY42" s="153"/>
      <c r="CZ42" s="100"/>
      <c r="DA42" s="150"/>
      <c r="DB42" s="153"/>
      <c r="DC42" s="154"/>
      <c r="DD42" s="154"/>
      <c r="DE42" s="153"/>
      <c r="DF42" s="154"/>
      <c r="DG42" s="150"/>
      <c r="DH42" s="150"/>
      <c r="DI42" s="100"/>
      <c r="DJ42" s="150"/>
      <c r="DK42" s="153"/>
      <c r="DL42" s="154"/>
      <c r="DM42" s="154"/>
      <c r="DN42" s="154"/>
      <c r="DO42" s="154"/>
      <c r="DP42" s="154"/>
      <c r="DQ42" s="154"/>
      <c r="DR42" s="154"/>
      <c r="DS42" s="154"/>
      <c r="DT42" s="154"/>
      <c r="DU42" s="153"/>
      <c r="DV42" s="150"/>
      <c r="DW42" s="150"/>
      <c r="DX42" s="150"/>
      <c r="DY42" s="154"/>
      <c r="DZ42" s="154"/>
      <c r="EA42" s="149"/>
      <c r="EB42" s="154"/>
      <c r="EC42" s="154"/>
      <c r="ED42" s="85" t="str">
        <f aca="false">IFERROR(1/(1/SUMIFS(OVC!$O:$O,OVC!$C:$C,"="&amp;$B42,OVC!$D:$D,$C42)),"")</f>
        <v/>
      </c>
      <c r="EE42" s="10" t="str">
        <f aca="false">IFERROR(1/(1/SUMIFS(OVC!$P:$P,OVC!$C:$C,"="&amp;$B42,OVC!$D:$D,$C42)),"")</f>
        <v/>
      </c>
      <c r="EF42" s="10" t="n">
        <f aca="false">IFERROR(1/(1/SUMIFS(OVC!$Q:$Q,OVC!$C:$C,"="&amp;$B42,OVC!$D:$D,$C42)),"")</f>
        <v>594</v>
      </c>
      <c r="EG42" s="10" t="n">
        <f aca="false">IFERROR(1/(1/SUMIFS(OVC!$R:$R,OVC!$C:$C,"="&amp;$B42,OVC!$D:$D,$C42)),"")</f>
        <v>2382</v>
      </c>
      <c r="EH42" s="5" t="str">
        <f aca="false">$ED42</f>
        <v/>
      </c>
      <c r="EI42" s="5" t="str">
        <f aca="false">$EE42</f>
        <v/>
      </c>
      <c r="EJ42" s="5" t="n">
        <f aca="false">$EF42</f>
        <v>594</v>
      </c>
      <c r="EK42" s="5" t="n">
        <f aca="false">$EG42</f>
        <v>2382</v>
      </c>
      <c r="EL42" s="88" t="str">
        <f aca="false">IF(SUM($ED42)=0,"",(SUM($EH42)-$ED42)/$ED42)</f>
        <v/>
      </c>
      <c r="EM42" s="88" t="str">
        <f aca="false">IF(SUM($EE42)=0,"",(SUM($EI42)-$EE42)/$EE42)</f>
        <v/>
      </c>
      <c r="EN42" s="88" t="n">
        <f aca="false">IF(SUM($EF42)=0,"",(SUM($EJ42)-$EF42)/$EF42)</f>
        <v>0</v>
      </c>
      <c r="EO42" s="88" t="n">
        <f aca="false">IF(SUM($EG42)=0,"",(SUM($EK42)-$EG42)/$EG42)</f>
        <v>0</v>
      </c>
      <c r="EP42" s="92" t="n">
        <f aca="false">IF(OR($B42="18+",$B42="18-20",SUM($EJ42,$EK42)=0),"",100%)</f>
        <v>1</v>
      </c>
      <c r="EQ42" s="5" t="n">
        <f aca="false">IF(OR($C42="18+",$C42="18-20",SUM($EJ42,$EK42)=0),"",ROUND(SUM($EJ42,$EK42)*$EP42,0))</f>
        <v>2976</v>
      </c>
      <c r="ER42" s="153"/>
      <c r="ES42" s="154"/>
      <c r="ET42" s="100"/>
      <c r="EU42" s="100"/>
      <c r="EV42" s="150"/>
      <c r="EW42" s="150"/>
      <c r="EX42" s="153"/>
      <c r="EY42" s="100"/>
      <c r="EZ42" s="150"/>
      <c r="FA42" s="153"/>
      <c r="FB42" s="100"/>
      <c r="FC42" s="155"/>
    </row>
    <row r="43" customFormat="false" ht="15" hidden="false" customHeight="false" outlineLevel="0" collapsed="false">
      <c r="A43" s="0" t="s">
        <v>809</v>
      </c>
      <c r="B43" s="9" t="s">
        <v>811</v>
      </c>
      <c r="C43" s="0" t="s">
        <v>48</v>
      </c>
      <c r="E43" s="154"/>
      <c r="F43" s="154"/>
      <c r="G43" s="154"/>
      <c r="H43" s="154"/>
      <c r="I43" s="154"/>
      <c r="J43" s="154"/>
      <c r="K43" s="154"/>
      <c r="L43" s="154"/>
      <c r="M43" s="153"/>
      <c r="N43" s="154"/>
      <c r="O43" s="154"/>
      <c r="P43" s="154"/>
      <c r="Q43" s="154"/>
      <c r="R43" s="153"/>
      <c r="S43" s="154"/>
      <c r="T43" s="154"/>
      <c r="U43" s="153"/>
      <c r="V43" s="154"/>
      <c r="W43" s="154"/>
      <c r="X43" s="154"/>
      <c r="Y43" s="154"/>
      <c r="Z43" s="153"/>
      <c r="AA43" s="154"/>
      <c r="AB43" s="154"/>
      <c r="AC43" s="154"/>
      <c r="AD43" s="153"/>
      <c r="AE43" s="154"/>
      <c r="AF43" s="153"/>
      <c r="AG43" s="154"/>
      <c r="AH43" s="149"/>
      <c r="AI43" s="150"/>
      <c r="AJ43" s="150"/>
      <c r="AK43" s="150"/>
      <c r="AL43" s="150"/>
      <c r="AM43" s="150"/>
      <c r="AN43" s="150"/>
      <c r="AO43" s="150"/>
      <c r="AP43" s="150"/>
      <c r="AQ43" s="151"/>
      <c r="AR43" s="152"/>
      <c r="AS43" s="152"/>
      <c r="AT43" s="152"/>
      <c r="AU43" s="152"/>
      <c r="AV43" s="152"/>
      <c r="AW43" s="152"/>
      <c r="AX43" s="152"/>
      <c r="AY43" s="152"/>
      <c r="AZ43" s="150"/>
      <c r="BA43" s="153"/>
      <c r="BB43" s="150"/>
      <c r="BC43" s="150"/>
      <c r="BD43" s="154"/>
      <c r="BE43" s="153"/>
      <c r="BF43" s="154"/>
      <c r="BG43" s="154"/>
      <c r="BH43" s="153"/>
      <c r="BI43" s="154"/>
      <c r="BJ43" s="154"/>
      <c r="BK43" s="154"/>
      <c r="BL43" s="100"/>
      <c r="BM43" s="100"/>
      <c r="BN43" s="100"/>
      <c r="BO43" s="154"/>
      <c r="BP43" s="154"/>
      <c r="BQ43" s="153"/>
      <c r="BR43" s="154"/>
      <c r="BS43" s="155"/>
      <c r="BT43" s="154"/>
      <c r="BU43" s="154"/>
      <c r="BV43" s="153"/>
      <c r="BW43" s="154"/>
      <c r="BX43" s="154"/>
      <c r="BY43" s="154"/>
      <c r="BZ43" s="154"/>
      <c r="CA43" s="154"/>
      <c r="CB43" s="154"/>
      <c r="CC43" s="154"/>
      <c r="CD43" s="150"/>
      <c r="CE43" s="153"/>
      <c r="CF43" s="154"/>
      <c r="CG43" s="150"/>
      <c r="CH43" s="154"/>
      <c r="CI43" s="154"/>
      <c r="CJ43" s="153"/>
      <c r="CK43" s="154"/>
      <c r="CL43" s="154"/>
      <c r="CM43" s="154"/>
      <c r="CN43" s="154"/>
      <c r="CO43" s="154"/>
      <c r="CP43" s="154"/>
      <c r="CQ43" s="154"/>
      <c r="CR43" s="150"/>
      <c r="CS43" s="153"/>
      <c r="CT43" s="154"/>
      <c r="CU43" s="154"/>
      <c r="CV43" s="154"/>
      <c r="CW43" s="154"/>
      <c r="CX43" s="154"/>
      <c r="CY43" s="153"/>
      <c r="CZ43" s="100"/>
      <c r="DA43" s="150"/>
      <c r="DB43" s="153"/>
      <c r="DC43" s="154"/>
      <c r="DD43" s="154"/>
      <c r="DE43" s="153"/>
      <c r="DF43" s="154"/>
      <c r="DG43" s="150"/>
      <c r="DH43" s="150"/>
      <c r="DI43" s="100"/>
      <c r="DJ43" s="150"/>
      <c r="DK43" s="153"/>
      <c r="DL43" s="154"/>
      <c r="DM43" s="154"/>
      <c r="DN43" s="154"/>
      <c r="DO43" s="154"/>
      <c r="DP43" s="154"/>
      <c r="DQ43" s="154"/>
      <c r="DR43" s="154"/>
      <c r="DS43" s="154"/>
      <c r="DT43" s="154"/>
      <c r="DU43" s="153"/>
      <c r="DV43" s="150"/>
      <c r="DW43" s="150"/>
      <c r="DX43" s="150"/>
      <c r="DY43" s="154"/>
      <c r="DZ43" s="154"/>
      <c r="EA43" s="149"/>
      <c r="EB43" s="154"/>
      <c r="EC43" s="154"/>
      <c r="ED43" s="85" t="str">
        <f aca="false">IFERROR(1/(1/SUMIFS(OVC!$O:$O,OVC!$C:$C,"="&amp;$B43,OVC!$D:$D,$C43)),"")</f>
        <v/>
      </c>
      <c r="EE43" s="10" t="str">
        <f aca="false">IFERROR(1/(1/SUMIFS(OVC!$P:$P,OVC!$C:$C,"="&amp;$B43,OVC!$D:$D,$C43)),"")</f>
        <v/>
      </c>
      <c r="EF43" s="10" t="n">
        <f aca="false">IFERROR(1/(1/SUMIFS(OVC!$Q:$Q,OVC!$C:$C,"="&amp;$B43,OVC!$D:$D,$C43)),"")</f>
        <v>387</v>
      </c>
      <c r="EG43" s="10" t="n">
        <f aca="false">IFERROR(1/(1/SUMIFS(OVC!$R:$R,OVC!$C:$C,"="&amp;$B43,OVC!$D:$D,$C43)),"")</f>
        <v>1549</v>
      </c>
      <c r="EH43" s="5" t="str">
        <f aca="false">$ED43</f>
        <v/>
      </c>
      <c r="EI43" s="5" t="str">
        <f aca="false">$EE43</f>
        <v/>
      </c>
      <c r="EJ43" s="5" t="n">
        <f aca="false">$EF43</f>
        <v>387</v>
      </c>
      <c r="EK43" s="5" t="n">
        <f aca="false">$EG43</f>
        <v>1549</v>
      </c>
      <c r="EL43" s="88" t="str">
        <f aca="false">IF(SUM($ED43)=0,"",(SUM($EH43)-$ED43)/$ED43)</f>
        <v/>
      </c>
      <c r="EM43" s="88" t="str">
        <f aca="false">IF(SUM($EE43)=0,"",(SUM($EI43)-$EE43)/$EE43)</f>
        <v/>
      </c>
      <c r="EN43" s="88" t="n">
        <f aca="false">IF(SUM($EF43)=0,"",(SUM($EJ43)-$EF43)/$EF43)</f>
        <v>0</v>
      </c>
      <c r="EO43" s="88" t="n">
        <f aca="false">IF(SUM($EG43)=0,"",(SUM($EK43)-$EG43)/$EG43)</f>
        <v>0</v>
      </c>
      <c r="EP43" s="92" t="n">
        <f aca="false">IF(OR($B43="18+",$B43="18-20",SUM($EJ43,$EK43)=0),"",100%)</f>
        <v>1</v>
      </c>
      <c r="EQ43" s="5" t="n">
        <f aca="false">IF(OR($C43="18+",$C43="18-20",SUM($EJ43,$EK43)=0),"",ROUND(SUM($EJ43,$EK43)*$EP43,0))</f>
        <v>1936</v>
      </c>
      <c r="ER43" s="153"/>
      <c r="ES43" s="154"/>
      <c r="ET43" s="100"/>
      <c r="EU43" s="100"/>
      <c r="EV43" s="150"/>
      <c r="EW43" s="150"/>
      <c r="EX43" s="153"/>
      <c r="EY43" s="100"/>
      <c r="EZ43" s="150"/>
      <c r="FA43" s="153"/>
      <c r="FB43" s="100"/>
      <c r="FC43" s="155"/>
    </row>
    <row r="44" customFormat="false" ht="15" hidden="false" customHeight="false" outlineLevel="0" collapsed="false">
      <c r="A44" s="0" t="s">
        <v>809</v>
      </c>
      <c r="B44" s="9" t="s">
        <v>364</v>
      </c>
      <c r="C44" s="0" t="s">
        <v>30</v>
      </c>
      <c r="E44" s="154"/>
      <c r="F44" s="154"/>
      <c r="G44" s="154"/>
      <c r="H44" s="154"/>
      <c r="I44" s="154"/>
      <c r="J44" s="154"/>
      <c r="K44" s="154"/>
      <c r="L44" s="154"/>
      <c r="M44" s="153"/>
      <c r="N44" s="154"/>
      <c r="O44" s="154"/>
      <c r="P44" s="154"/>
      <c r="Q44" s="154"/>
      <c r="R44" s="153"/>
      <c r="S44" s="154"/>
      <c r="T44" s="154"/>
      <c r="U44" s="153"/>
      <c r="V44" s="154"/>
      <c r="W44" s="154"/>
      <c r="X44" s="154"/>
      <c r="Y44" s="154"/>
      <c r="Z44" s="153"/>
      <c r="AA44" s="154"/>
      <c r="AB44" s="154"/>
      <c r="AC44" s="154"/>
      <c r="AD44" s="153"/>
      <c r="AE44" s="154"/>
      <c r="AF44" s="153"/>
      <c r="AG44" s="154"/>
      <c r="AH44" s="149"/>
      <c r="AI44" s="150"/>
      <c r="AJ44" s="150"/>
      <c r="AK44" s="150"/>
      <c r="AL44" s="150"/>
      <c r="AM44" s="150"/>
      <c r="AN44" s="150"/>
      <c r="AO44" s="150"/>
      <c r="AP44" s="150"/>
      <c r="AQ44" s="151"/>
      <c r="AR44" s="152"/>
      <c r="AS44" s="152"/>
      <c r="AT44" s="152"/>
      <c r="AU44" s="152"/>
      <c r="AV44" s="152"/>
      <c r="AW44" s="152"/>
      <c r="AX44" s="152"/>
      <c r="AY44" s="152"/>
      <c r="AZ44" s="150"/>
      <c r="BA44" s="153"/>
      <c r="BB44" s="150"/>
      <c r="BC44" s="150"/>
      <c r="BD44" s="154"/>
      <c r="BE44" s="153"/>
      <c r="BF44" s="154"/>
      <c r="BG44" s="154"/>
      <c r="BH44" s="153"/>
      <c r="BI44" s="154"/>
      <c r="BJ44" s="154"/>
      <c r="BK44" s="154"/>
      <c r="BL44" s="100"/>
      <c r="BM44" s="100"/>
      <c r="BN44" s="100"/>
      <c r="BO44" s="154"/>
      <c r="BP44" s="154"/>
      <c r="BQ44" s="153"/>
      <c r="BR44" s="154"/>
      <c r="BS44" s="155"/>
      <c r="BT44" s="154"/>
      <c r="BU44" s="154"/>
      <c r="BV44" s="153"/>
      <c r="BW44" s="154"/>
      <c r="BX44" s="154"/>
      <c r="BY44" s="154"/>
      <c r="BZ44" s="154"/>
      <c r="CA44" s="154"/>
      <c r="CB44" s="154"/>
      <c r="CC44" s="154"/>
      <c r="CD44" s="150"/>
      <c r="CE44" s="153"/>
      <c r="CF44" s="154"/>
      <c r="CG44" s="150"/>
      <c r="CH44" s="154"/>
      <c r="CI44" s="154"/>
      <c r="CJ44" s="153"/>
      <c r="CK44" s="154"/>
      <c r="CL44" s="154"/>
      <c r="CM44" s="154"/>
      <c r="CN44" s="154"/>
      <c r="CO44" s="154"/>
      <c r="CP44" s="154"/>
      <c r="CQ44" s="154"/>
      <c r="CR44" s="150"/>
      <c r="CS44" s="153"/>
      <c r="CT44" s="154"/>
      <c r="CU44" s="154"/>
      <c r="CV44" s="154"/>
      <c r="CW44" s="154"/>
      <c r="CX44" s="154"/>
      <c r="CY44" s="153"/>
      <c r="CZ44" s="100"/>
      <c r="DA44" s="150"/>
      <c r="DB44" s="153"/>
      <c r="DC44" s="154"/>
      <c r="DD44" s="154"/>
      <c r="DE44" s="153"/>
      <c r="DF44" s="154"/>
      <c r="DG44" s="150"/>
      <c r="DH44" s="150"/>
      <c r="DI44" s="100"/>
      <c r="DJ44" s="150"/>
      <c r="DK44" s="153"/>
      <c r="DL44" s="154"/>
      <c r="DM44" s="154"/>
      <c r="DN44" s="154"/>
      <c r="DO44" s="154"/>
      <c r="DP44" s="154"/>
      <c r="DQ44" s="154"/>
      <c r="DR44" s="154"/>
      <c r="DS44" s="154"/>
      <c r="DT44" s="154"/>
      <c r="DU44" s="153"/>
      <c r="DV44" s="150"/>
      <c r="DW44" s="150"/>
      <c r="DX44" s="150"/>
      <c r="DY44" s="154"/>
      <c r="DZ44" s="154"/>
      <c r="EA44" s="149"/>
      <c r="EB44" s="154"/>
      <c r="EC44" s="154"/>
      <c r="ED44" s="85" t="str">
        <f aca="false">IFERROR(1/(1/SUMIFS(OVC!$O:$O,OVC!$C:$C,"="&amp;$B44,OVC!$D:$D,$C44)),"")</f>
        <v/>
      </c>
      <c r="EE44" s="10" t="str">
        <f aca="false">IFERROR(1/(1/SUMIFS(OVC!$P:$P,OVC!$C:$C,"="&amp;$B44,OVC!$D:$D,$C44)),"")</f>
        <v/>
      </c>
      <c r="EF44" s="10" t="n">
        <f aca="false">IFERROR(1/(1/SUMIFS(OVC!$Q:$Q,OVC!$C:$C,"="&amp;$B44,OVC!$D:$D,$C44)),"")</f>
        <v>1160</v>
      </c>
      <c r="EG44" s="10" t="n">
        <f aca="false">IFERROR(1/(1/SUMIFS(OVC!$R:$R,OVC!$C:$C,"="&amp;$B44,OVC!$D:$D,$C44)),"")</f>
        <v>4628</v>
      </c>
      <c r="EH44" s="5" t="str">
        <f aca="false">$ED44</f>
        <v/>
      </c>
      <c r="EI44" s="5" t="str">
        <f aca="false">$EE44</f>
        <v/>
      </c>
      <c r="EJ44" s="5" t="n">
        <f aca="false">$EF44</f>
        <v>1160</v>
      </c>
      <c r="EK44" s="5" t="n">
        <f aca="false">$EG44</f>
        <v>4628</v>
      </c>
      <c r="EL44" s="88" t="str">
        <f aca="false">IF(SUM($ED44)=0,"",(SUM($EH44)-$ED44)/$ED44)</f>
        <v/>
      </c>
      <c r="EM44" s="88" t="str">
        <f aca="false">IF(SUM($EE44)=0,"",(SUM($EI44)-$EE44)/$EE44)</f>
        <v/>
      </c>
      <c r="EN44" s="88" t="n">
        <f aca="false">IF(SUM($EF44)=0,"",(SUM($EJ44)-$EF44)/$EF44)</f>
        <v>0</v>
      </c>
      <c r="EO44" s="88" t="n">
        <f aca="false">IF(SUM($EG44)=0,"",(SUM($EK44)-$EG44)/$EG44)</f>
        <v>0</v>
      </c>
      <c r="EP44" s="92" t="n">
        <f aca="false">IF(OR($B44="18+",$B44="18-20",SUM($EJ44,$EK44)=0),"",100%)</f>
        <v>1</v>
      </c>
      <c r="EQ44" s="5" t="n">
        <f aca="false">IF(OR($C44="18+",$C44="18-20",SUM($EJ44,$EK44)=0),"",ROUND(SUM($EJ44,$EK44)*$EP44,0))</f>
        <v>5788</v>
      </c>
      <c r="ER44" s="153"/>
      <c r="ES44" s="154"/>
      <c r="ET44" s="100"/>
      <c r="EU44" s="100"/>
      <c r="EV44" s="150"/>
      <c r="EW44" s="150"/>
      <c r="EX44" s="153"/>
      <c r="EY44" s="100"/>
      <c r="EZ44" s="150"/>
      <c r="FA44" s="153"/>
      <c r="FB44" s="100"/>
      <c r="FC44" s="155"/>
    </row>
    <row r="45" customFormat="false" ht="15" hidden="false" customHeight="false" outlineLevel="0" collapsed="false">
      <c r="A45" s="0" t="s">
        <v>809</v>
      </c>
      <c r="B45" s="9" t="s">
        <v>364</v>
      </c>
      <c r="C45" s="0" t="s">
        <v>48</v>
      </c>
      <c r="E45" s="154"/>
      <c r="F45" s="154"/>
      <c r="G45" s="154"/>
      <c r="H45" s="154"/>
      <c r="I45" s="154"/>
      <c r="J45" s="154"/>
      <c r="K45" s="154"/>
      <c r="L45" s="154"/>
      <c r="M45" s="153"/>
      <c r="N45" s="154"/>
      <c r="O45" s="154"/>
      <c r="P45" s="154"/>
      <c r="Q45" s="154"/>
      <c r="R45" s="153"/>
      <c r="S45" s="154"/>
      <c r="T45" s="154"/>
      <c r="U45" s="153"/>
      <c r="V45" s="154"/>
      <c r="W45" s="154"/>
      <c r="X45" s="154"/>
      <c r="Y45" s="154"/>
      <c r="Z45" s="153"/>
      <c r="AA45" s="154"/>
      <c r="AB45" s="154"/>
      <c r="AC45" s="154"/>
      <c r="AD45" s="153"/>
      <c r="AE45" s="154"/>
      <c r="AF45" s="153"/>
      <c r="AG45" s="154"/>
      <c r="AH45" s="149"/>
      <c r="AI45" s="150"/>
      <c r="AJ45" s="150"/>
      <c r="AK45" s="150"/>
      <c r="AL45" s="150"/>
      <c r="AM45" s="150"/>
      <c r="AN45" s="150"/>
      <c r="AO45" s="150"/>
      <c r="AP45" s="150"/>
      <c r="AQ45" s="151"/>
      <c r="AR45" s="152"/>
      <c r="AS45" s="152"/>
      <c r="AT45" s="152"/>
      <c r="AU45" s="152"/>
      <c r="AV45" s="152"/>
      <c r="AW45" s="152"/>
      <c r="AX45" s="152"/>
      <c r="AY45" s="152"/>
      <c r="AZ45" s="150"/>
      <c r="BA45" s="153"/>
      <c r="BB45" s="150"/>
      <c r="BC45" s="150"/>
      <c r="BD45" s="154"/>
      <c r="BE45" s="153"/>
      <c r="BF45" s="154"/>
      <c r="BG45" s="154"/>
      <c r="BH45" s="153"/>
      <c r="BI45" s="154"/>
      <c r="BJ45" s="154"/>
      <c r="BK45" s="154"/>
      <c r="BL45" s="100"/>
      <c r="BM45" s="100"/>
      <c r="BN45" s="100"/>
      <c r="BO45" s="154"/>
      <c r="BP45" s="154"/>
      <c r="BQ45" s="153"/>
      <c r="BR45" s="154"/>
      <c r="BS45" s="155"/>
      <c r="BT45" s="154"/>
      <c r="BU45" s="154"/>
      <c r="BV45" s="153"/>
      <c r="BW45" s="154"/>
      <c r="BX45" s="154"/>
      <c r="BY45" s="154"/>
      <c r="BZ45" s="154"/>
      <c r="CA45" s="154"/>
      <c r="CB45" s="154"/>
      <c r="CC45" s="154"/>
      <c r="CD45" s="150"/>
      <c r="CE45" s="153"/>
      <c r="CF45" s="154"/>
      <c r="CG45" s="150"/>
      <c r="CH45" s="154"/>
      <c r="CI45" s="154"/>
      <c r="CJ45" s="153"/>
      <c r="CK45" s="154"/>
      <c r="CL45" s="154"/>
      <c r="CM45" s="154"/>
      <c r="CN45" s="154"/>
      <c r="CO45" s="154"/>
      <c r="CP45" s="154"/>
      <c r="CQ45" s="154"/>
      <c r="CR45" s="150"/>
      <c r="CS45" s="153"/>
      <c r="CT45" s="154"/>
      <c r="CU45" s="154"/>
      <c r="CV45" s="154"/>
      <c r="CW45" s="154"/>
      <c r="CX45" s="154"/>
      <c r="CY45" s="153"/>
      <c r="CZ45" s="100"/>
      <c r="DA45" s="150"/>
      <c r="DB45" s="153"/>
      <c r="DC45" s="154"/>
      <c r="DD45" s="154"/>
      <c r="DE45" s="153"/>
      <c r="DF45" s="154"/>
      <c r="DG45" s="150"/>
      <c r="DH45" s="150"/>
      <c r="DI45" s="100"/>
      <c r="DJ45" s="150"/>
      <c r="DK45" s="153"/>
      <c r="DL45" s="154"/>
      <c r="DM45" s="154"/>
      <c r="DN45" s="154"/>
      <c r="DO45" s="154"/>
      <c r="DP45" s="154"/>
      <c r="DQ45" s="154"/>
      <c r="DR45" s="154"/>
      <c r="DS45" s="154"/>
      <c r="DT45" s="154"/>
      <c r="DU45" s="153"/>
      <c r="DV45" s="150"/>
      <c r="DW45" s="150"/>
      <c r="DX45" s="150"/>
      <c r="DY45" s="154"/>
      <c r="DZ45" s="154"/>
      <c r="EA45" s="149"/>
      <c r="EB45" s="154"/>
      <c r="EC45" s="154"/>
      <c r="ED45" s="85" t="str">
        <f aca="false">IFERROR(1/(1/SUMIFS(OVC!$O:$O,OVC!$C:$C,"="&amp;$B45,OVC!$D:$D,$C45)),"")</f>
        <v/>
      </c>
      <c r="EE45" s="10" t="str">
        <f aca="false">IFERROR(1/(1/SUMIFS(OVC!$P:$P,OVC!$C:$C,"="&amp;$B45,OVC!$D:$D,$C45)),"")</f>
        <v/>
      </c>
      <c r="EF45" s="10" t="n">
        <f aca="false">IFERROR(1/(1/SUMIFS(OVC!$Q:$Q,OVC!$C:$C,"="&amp;$B45,OVC!$D:$D,$C45)),"")</f>
        <v>1028</v>
      </c>
      <c r="EG45" s="10" t="n">
        <f aca="false">IFERROR(1/(1/SUMIFS(OVC!$R:$R,OVC!$C:$C,"="&amp;$B45,OVC!$D:$D,$C45)),"")</f>
        <v>4101</v>
      </c>
      <c r="EH45" s="5" t="str">
        <f aca="false">$ED45</f>
        <v/>
      </c>
      <c r="EI45" s="5" t="str">
        <f aca="false">$EE45</f>
        <v/>
      </c>
      <c r="EJ45" s="5" t="n">
        <f aca="false">$EF45</f>
        <v>1028</v>
      </c>
      <c r="EK45" s="5" t="n">
        <f aca="false">$EG45</f>
        <v>4101</v>
      </c>
      <c r="EL45" s="88" t="str">
        <f aca="false">IF(SUM($ED45)=0,"",(SUM($EH45)-$ED45)/$ED45)</f>
        <v/>
      </c>
      <c r="EM45" s="88" t="str">
        <f aca="false">IF(SUM($EE45)=0,"",(SUM($EI45)-$EE45)/$EE45)</f>
        <v/>
      </c>
      <c r="EN45" s="88" t="n">
        <f aca="false">IF(SUM($EF45)=0,"",(SUM($EJ45)-$EF45)/$EF45)</f>
        <v>0</v>
      </c>
      <c r="EO45" s="88" t="n">
        <f aca="false">IF(SUM($EG45)=0,"",(SUM($EK45)-$EG45)/$EG45)</f>
        <v>0</v>
      </c>
      <c r="EP45" s="92" t="n">
        <f aca="false">IF(OR($B45="18+",$B45="18-20",SUM($EJ45,$EK45)=0),"",100%)</f>
        <v>1</v>
      </c>
      <c r="EQ45" s="5" t="n">
        <f aca="false">IF(OR($C45="18+",$C45="18-20",SUM($EJ45,$EK45)=0),"",ROUND(SUM($EJ45,$EK45)*$EP45,0))</f>
        <v>5129</v>
      </c>
      <c r="ER45" s="153"/>
      <c r="ES45" s="154"/>
      <c r="ET45" s="100"/>
      <c r="EU45" s="100"/>
      <c r="EV45" s="150"/>
      <c r="EW45" s="150"/>
      <c r="EX45" s="153"/>
      <c r="EY45" s="100"/>
      <c r="EZ45" s="150"/>
      <c r="FA45" s="153"/>
      <c r="FB45" s="100"/>
      <c r="FC45" s="155"/>
    </row>
    <row r="46" customFormat="false" ht="15" hidden="false" customHeight="false" outlineLevel="0" collapsed="false">
      <c r="A46" s="0" t="s">
        <v>809</v>
      </c>
      <c r="B46" s="9" t="s">
        <v>812</v>
      </c>
      <c r="C46" s="0" t="s">
        <v>30</v>
      </c>
      <c r="E46" s="154"/>
      <c r="F46" s="154"/>
      <c r="G46" s="154"/>
      <c r="H46" s="154"/>
      <c r="I46" s="154"/>
      <c r="J46" s="154"/>
      <c r="K46" s="154"/>
      <c r="L46" s="154"/>
      <c r="M46" s="153"/>
      <c r="N46" s="154"/>
      <c r="O46" s="154"/>
      <c r="P46" s="154"/>
      <c r="Q46" s="154"/>
      <c r="R46" s="153"/>
      <c r="S46" s="154"/>
      <c r="T46" s="154"/>
      <c r="U46" s="153"/>
      <c r="V46" s="154"/>
      <c r="W46" s="154"/>
      <c r="X46" s="154"/>
      <c r="Y46" s="154"/>
      <c r="Z46" s="153"/>
      <c r="AA46" s="154"/>
      <c r="AB46" s="154"/>
      <c r="AC46" s="154"/>
      <c r="AD46" s="153"/>
      <c r="AE46" s="154"/>
      <c r="AF46" s="153"/>
      <c r="AG46" s="154"/>
      <c r="AH46" s="149"/>
      <c r="AI46" s="150"/>
      <c r="AJ46" s="150"/>
      <c r="AK46" s="150"/>
      <c r="AL46" s="150"/>
      <c r="AM46" s="150"/>
      <c r="AN46" s="150"/>
      <c r="AO46" s="150"/>
      <c r="AP46" s="150"/>
      <c r="AQ46" s="151"/>
      <c r="AR46" s="152"/>
      <c r="AS46" s="152"/>
      <c r="AT46" s="152"/>
      <c r="AU46" s="152"/>
      <c r="AV46" s="152"/>
      <c r="AW46" s="152"/>
      <c r="AX46" s="152"/>
      <c r="AY46" s="152"/>
      <c r="AZ46" s="150"/>
      <c r="BA46" s="153"/>
      <c r="BB46" s="150"/>
      <c r="BC46" s="150"/>
      <c r="BD46" s="154"/>
      <c r="BE46" s="153"/>
      <c r="BF46" s="154"/>
      <c r="BG46" s="154"/>
      <c r="BH46" s="153"/>
      <c r="BI46" s="154"/>
      <c r="BJ46" s="154"/>
      <c r="BK46" s="154"/>
      <c r="BL46" s="100"/>
      <c r="BM46" s="100"/>
      <c r="BN46" s="100"/>
      <c r="BO46" s="154"/>
      <c r="BP46" s="154"/>
      <c r="BQ46" s="153"/>
      <c r="BR46" s="154"/>
      <c r="BS46" s="155"/>
      <c r="BT46" s="154"/>
      <c r="BU46" s="154"/>
      <c r="BV46" s="153"/>
      <c r="BW46" s="154"/>
      <c r="BX46" s="154"/>
      <c r="BY46" s="154"/>
      <c r="BZ46" s="154"/>
      <c r="CA46" s="154"/>
      <c r="CB46" s="154"/>
      <c r="CC46" s="154"/>
      <c r="CD46" s="150"/>
      <c r="CE46" s="153"/>
      <c r="CF46" s="154"/>
      <c r="CG46" s="150"/>
      <c r="CH46" s="154"/>
      <c r="CI46" s="154"/>
      <c r="CJ46" s="153"/>
      <c r="CK46" s="154"/>
      <c r="CL46" s="154"/>
      <c r="CM46" s="154"/>
      <c r="CN46" s="154"/>
      <c r="CO46" s="154"/>
      <c r="CP46" s="154"/>
      <c r="CQ46" s="154"/>
      <c r="CR46" s="150"/>
      <c r="CS46" s="153"/>
      <c r="CT46" s="154"/>
      <c r="CU46" s="154"/>
      <c r="CV46" s="154"/>
      <c r="CW46" s="154"/>
      <c r="CX46" s="154"/>
      <c r="CY46" s="153"/>
      <c r="CZ46" s="100"/>
      <c r="DA46" s="150"/>
      <c r="DB46" s="153"/>
      <c r="DC46" s="154"/>
      <c r="DD46" s="154"/>
      <c r="DE46" s="153"/>
      <c r="DF46" s="154"/>
      <c r="DG46" s="150"/>
      <c r="DH46" s="150"/>
      <c r="DI46" s="100"/>
      <c r="DJ46" s="150"/>
      <c r="DK46" s="153"/>
      <c r="DL46" s="154"/>
      <c r="DM46" s="154"/>
      <c r="DN46" s="154"/>
      <c r="DO46" s="154"/>
      <c r="DP46" s="154"/>
      <c r="DQ46" s="154"/>
      <c r="DR46" s="154"/>
      <c r="DS46" s="154"/>
      <c r="DT46" s="154"/>
      <c r="DU46" s="153"/>
      <c r="DV46" s="150"/>
      <c r="DW46" s="150"/>
      <c r="DX46" s="150"/>
      <c r="DY46" s="154"/>
      <c r="DZ46" s="154"/>
      <c r="EA46" s="149"/>
      <c r="EB46" s="154"/>
      <c r="EC46" s="154"/>
      <c r="ED46" s="85" t="str">
        <f aca="false">IFERROR(1/(1/SUMIFS(OVC!$O:$O,OVC!$C:$C,"="&amp;$B46,OVC!$D:$D,$C46)),"")</f>
        <v/>
      </c>
      <c r="EE46" s="10" t="str">
        <f aca="false">IFERROR(1/(1/SUMIFS(OVC!$P:$P,OVC!$C:$C,"="&amp;$B46,OVC!$D:$D,$C46)),"")</f>
        <v/>
      </c>
      <c r="EF46" s="10" t="n">
        <f aca="false">IFERROR(1/(1/SUMIFS(OVC!$Q:$Q,OVC!$C:$C,"="&amp;$B46,OVC!$D:$D,$C46)),"")</f>
        <v>2050</v>
      </c>
      <c r="EG46" s="10" t="n">
        <f aca="false">IFERROR(1/(1/SUMIFS(OVC!$R:$R,OVC!$C:$C,"="&amp;$B46,OVC!$D:$D,$C46)),"")</f>
        <v>8198</v>
      </c>
      <c r="EH46" s="5" t="str">
        <f aca="false">$ED46</f>
        <v/>
      </c>
      <c r="EI46" s="5" t="str">
        <f aca="false">$EE46</f>
        <v/>
      </c>
      <c r="EJ46" s="5" t="n">
        <f aca="false">$EF46</f>
        <v>2050</v>
      </c>
      <c r="EK46" s="5" t="n">
        <f aca="false">$EG46</f>
        <v>8198</v>
      </c>
      <c r="EL46" s="88" t="str">
        <f aca="false">IF(SUM($ED46)=0,"",(SUM($EH46)-$ED46)/$ED46)</f>
        <v/>
      </c>
      <c r="EM46" s="88" t="str">
        <f aca="false">IF(SUM($EE46)=0,"",(SUM($EI46)-$EE46)/$EE46)</f>
        <v/>
      </c>
      <c r="EN46" s="88" t="n">
        <f aca="false">IF(SUM($EF46)=0,"",(SUM($EJ46)-$EF46)/$EF46)</f>
        <v>0</v>
      </c>
      <c r="EO46" s="88" t="n">
        <f aca="false">IF(SUM($EG46)=0,"",(SUM($EK46)-$EG46)/$EG46)</f>
        <v>0</v>
      </c>
      <c r="EP46" s="92" t="n">
        <f aca="false">IF(OR($B46="18+",$B46="18-20",SUM($EJ46,$EK46)=0),"",100%)</f>
        <v>1</v>
      </c>
      <c r="EQ46" s="5" t="n">
        <f aca="false">IF(OR($C46="18+",$C46="18-20",SUM($EJ46,$EK46)=0),"",ROUND(SUM($EJ46,$EK46)*$EP46,0))</f>
        <v>10248</v>
      </c>
      <c r="ER46" s="153"/>
      <c r="ES46" s="154"/>
      <c r="ET46" s="100"/>
      <c r="EU46" s="100"/>
      <c r="EV46" s="150"/>
      <c r="EW46" s="150"/>
      <c r="EX46" s="153"/>
      <c r="EY46" s="100"/>
      <c r="EZ46" s="150"/>
      <c r="FA46" s="153"/>
      <c r="FB46" s="100"/>
      <c r="FC46" s="155"/>
    </row>
    <row r="47" customFormat="false" ht="15" hidden="false" customHeight="false" outlineLevel="0" collapsed="false">
      <c r="A47" s="0" t="s">
        <v>809</v>
      </c>
      <c r="B47" s="9" t="s">
        <v>812</v>
      </c>
      <c r="C47" s="0" t="s">
        <v>48</v>
      </c>
      <c r="E47" s="154"/>
      <c r="F47" s="154"/>
      <c r="G47" s="154"/>
      <c r="H47" s="154"/>
      <c r="I47" s="154"/>
      <c r="J47" s="154"/>
      <c r="K47" s="154"/>
      <c r="L47" s="154"/>
      <c r="M47" s="153"/>
      <c r="N47" s="154"/>
      <c r="O47" s="154"/>
      <c r="P47" s="154"/>
      <c r="Q47" s="154"/>
      <c r="R47" s="153"/>
      <c r="S47" s="154"/>
      <c r="T47" s="154"/>
      <c r="U47" s="153"/>
      <c r="V47" s="154"/>
      <c r="W47" s="154"/>
      <c r="X47" s="154"/>
      <c r="Y47" s="154"/>
      <c r="Z47" s="153"/>
      <c r="AA47" s="154"/>
      <c r="AB47" s="154"/>
      <c r="AC47" s="154"/>
      <c r="AD47" s="153"/>
      <c r="AE47" s="154"/>
      <c r="AF47" s="153"/>
      <c r="AG47" s="154"/>
      <c r="AH47" s="149"/>
      <c r="AI47" s="150"/>
      <c r="AJ47" s="150"/>
      <c r="AK47" s="150"/>
      <c r="AL47" s="150"/>
      <c r="AM47" s="150"/>
      <c r="AN47" s="150"/>
      <c r="AO47" s="150"/>
      <c r="AP47" s="150"/>
      <c r="AQ47" s="151"/>
      <c r="AR47" s="152"/>
      <c r="AS47" s="152"/>
      <c r="AT47" s="152"/>
      <c r="AU47" s="152"/>
      <c r="AV47" s="152"/>
      <c r="AW47" s="152"/>
      <c r="AX47" s="152"/>
      <c r="AY47" s="152"/>
      <c r="AZ47" s="150"/>
      <c r="BA47" s="153"/>
      <c r="BB47" s="150"/>
      <c r="BC47" s="150"/>
      <c r="BD47" s="154"/>
      <c r="BE47" s="153"/>
      <c r="BF47" s="154"/>
      <c r="BG47" s="154"/>
      <c r="BH47" s="153"/>
      <c r="BI47" s="154"/>
      <c r="BJ47" s="154"/>
      <c r="BK47" s="154"/>
      <c r="BL47" s="100"/>
      <c r="BM47" s="100"/>
      <c r="BN47" s="100"/>
      <c r="BO47" s="154"/>
      <c r="BP47" s="154"/>
      <c r="BQ47" s="153"/>
      <c r="BR47" s="154"/>
      <c r="BS47" s="155"/>
      <c r="BT47" s="154"/>
      <c r="BU47" s="154"/>
      <c r="BV47" s="153"/>
      <c r="BW47" s="154"/>
      <c r="BX47" s="154"/>
      <c r="BY47" s="154"/>
      <c r="BZ47" s="154"/>
      <c r="CA47" s="154"/>
      <c r="CB47" s="154"/>
      <c r="CC47" s="154"/>
      <c r="CD47" s="150"/>
      <c r="CE47" s="153"/>
      <c r="CF47" s="154"/>
      <c r="CG47" s="150"/>
      <c r="CH47" s="154"/>
      <c r="CI47" s="154"/>
      <c r="CJ47" s="153"/>
      <c r="CK47" s="154"/>
      <c r="CL47" s="154"/>
      <c r="CM47" s="154"/>
      <c r="CN47" s="154"/>
      <c r="CO47" s="154"/>
      <c r="CP47" s="154"/>
      <c r="CQ47" s="154"/>
      <c r="CR47" s="150"/>
      <c r="CS47" s="153"/>
      <c r="CT47" s="154"/>
      <c r="CU47" s="154"/>
      <c r="CV47" s="154"/>
      <c r="CW47" s="154"/>
      <c r="CX47" s="154"/>
      <c r="CY47" s="153"/>
      <c r="CZ47" s="100"/>
      <c r="DA47" s="150"/>
      <c r="DB47" s="153"/>
      <c r="DC47" s="154"/>
      <c r="DD47" s="154"/>
      <c r="DE47" s="153"/>
      <c r="DF47" s="154"/>
      <c r="DG47" s="150"/>
      <c r="DH47" s="150"/>
      <c r="DI47" s="100"/>
      <c r="DJ47" s="150"/>
      <c r="DK47" s="153"/>
      <c r="DL47" s="154"/>
      <c r="DM47" s="154"/>
      <c r="DN47" s="154"/>
      <c r="DO47" s="154"/>
      <c r="DP47" s="154"/>
      <c r="DQ47" s="154"/>
      <c r="DR47" s="154"/>
      <c r="DS47" s="154"/>
      <c r="DT47" s="154"/>
      <c r="DU47" s="153"/>
      <c r="DV47" s="150"/>
      <c r="DW47" s="150"/>
      <c r="DX47" s="150"/>
      <c r="DY47" s="154"/>
      <c r="DZ47" s="154"/>
      <c r="EA47" s="149"/>
      <c r="EB47" s="154"/>
      <c r="EC47" s="154"/>
      <c r="ED47" s="85" t="str">
        <f aca="false">IFERROR(1/(1/SUMIFS(OVC!$O:$O,OVC!$C:$C,"="&amp;$B47,OVC!$D:$D,$C47)),"")</f>
        <v/>
      </c>
      <c r="EE47" s="10" t="str">
        <f aca="false">IFERROR(1/(1/SUMIFS(OVC!$P:$P,OVC!$C:$C,"="&amp;$B47,OVC!$D:$D,$C47)),"")</f>
        <v/>
      </c>
      <c r="EF47" s="10" t="n">
        <f aca="false">IFERROR(1/(1/SUMIFS(OVC!$Q:$Q,OVC!$C:$C,"="&amp;$B47,OVC!$D:$D,$C47)),"")</f>
        <v>215</v>
      </c>
      <c r="EG47" s="10" t="n">
        <f aca="false">IFERROR(1/(1/SUMIFS(OVC!$R:$R,OVC!$C:$C,"="&amp;$B47,OVC!$D:$D,$C47)),"")</f>
        <v>853</v>
      </c>
      <c r="EH47" s="5" t="str">
        <f aca="false">$ED47</f>
        <v/>
      </c>
      <c r="EI47" s="5" t="str">
        <f aca="false">$EE47</f>
        <v/>
      </c>
      <c r="EJ47" s="5" t="n">
        <f aca="false">$EF47</f>
        <v>215</v>
      </c>
      <c r="EK47" s="5" t="n">
        <f aca="false">$EG47</f>
        <v>853</v>
      </c>
      <c r="EL47" s="88" t="str">
        <f aca="false">IF(SUM($ED47)=0,"",(SUM($EH47)-$ED47)/$ED47)</f>
        <v/>
      </c>
      <c r="EM47" s="88" t="str">
        <f aca="false">IF(SUM($EE47)=0,"",(SUM($EI47)-$EE47)/$EE47)</f>
        <v/>
      </c>
      <c r="EN47" s="88" t="n">
        <f aca="false">IF(SUM($EF47)=0,"",(SUM($EJ47)-$EF47)/$EF47)</f>
        <v>0</v>
      </c>
      <c r="EO47" s="88" t="n">
        <f aca="false">IF(SUM($EG47)=0,"",(SUM($EK47)-$EG47)/$EG47)</f>
        <v>0</v>
      </c>
      <c r="EP47" s="92" t="n">
        <f aca="false">IF(OR($B47="18+",$B47="18-20",SUM($EJ47,$EK47)=0),"",100%)</f>
        <v>1</v>
      </c>
      <c r="EQ47" s="5" t="n">
        <f aca="false">IF(OR($C47="18+",$C47="18-20",SUM($EJ47,$EK47)=0),"",ROUND(SUM($EJ47,$EK47)*$EP47,0))</f>
        <v>1068</v>
      </c>
      <c r="ER47" s="153"/>
      <c r="ES47" s="154"/>
      <c r="ET47" s="100"/>
      <c r="EU47" s="100"/>
      <c r="EV47" s="150"/>
      <c r="EW47" s="150"/>
      <c r="EX47" s="153"/>
      <c r="EY47" s="100"/>
      <c r="EZ47" s="150"/>
      <c r="FA47" s="153"/>
      <c r="FB47" s="100"/>
      <c r="FC47" s="155"/>
    </row>
    <row r="48" customFormat="false" ht="15" hidden="false" customHeight="false" outlineLevel="0" collapsed="false">
      <c r="A48" s="0" t="s">
        <v>809</v>
      </c>
      <c r="B48" s="9" t="s">
        <v>813</v>
      </c>
      <c r="C48" s="0" t="s">
        <v>30</v>
      </c>
      <c r="E48" s="154"/>
      <c r="F48" s="154"/>
      <c r="G48" s="154"/>
      <c r="H48" s="154"/>
      <c r="I48" s="154"/>
      <c r="J48" s="154"/>
      <c r="K48" s="154"/>
      <c r="L48" s="154"/>
      <c r="M48" s="153"/>
      <c r="N48" s="154"/>
      <c r="O48" s="154"/>
      <c r="P48" s="154"/>
      <c r="Q48" s="154"/>
      <c r="R48" s="153"/>
      <c r="S48" s="154"/>
      <c r="T48" s="154"/>
      <c r="U48" s="153"/>
      <c r="V48" s="154"/>
      <c r="W48" s="154"/>
      <c r="X48" s="154"/>
      <c r="Y48" s="154"/>
      <c r="Z48" s="153"/>
      <c r="AA48" s="154"/>
      <c r="AB48" s="154"/>
      <c r="AC48" s="154"/>
      <c r="AD48" s="153"/>
      <c r="AE48" s="154"/>
      <c r="AF48" s="153"/>
      <c r="AG48" s="154"/>
      <c r="AH48" s="149"/>
      <c r="AI48" s="150"/>
      <c r="AJ48" s="150"/>
      <c r="AK48" s="150"/>
      <c r="AL48" s="150"/>
      <c r="AM48" s="150"/>
      <c r="AN48" s="150"/>
      <c r="AO48" s="150"/>
      <c r="AP48" s="150"/>
      <c r="AQ48" s="151"/>
      <c r="AR48" s="152"/>
      <c r="AS48" s="152"/>
      <c r="AT48" s="152"/>
      <c r="AU48" s="152"/>
      <c r="AV48" s="152"/>
      <c r="AW48" s="152"/>
      <c r="AX48" s="152"/>
      <c r="AY48" s="152"/>
      <c r="AZ48" s="150"/>
      <c r="BA48" s="153"/>
      <c r="BB48" s="150"/>
      <c r="BC48" s="150"/>
      <c r="BD48" s="154"/>
      <c r="BE48" s="153"/>
      <c r="BF48" s="154"/>
      <c r="BG48" s="154"/>
      <c r="BH48" s="153"/>
      <c r="BI48" s="154"/>
      <c r="BJ48" s="154"/>
      <c r="BK48" s="154"/>
      <c r="BL48" s="100"/>
      <c r="BM48" s="100"/>
      <c r="BN48" s="100"/>
      <c r="BO48" s="154"/>
      <c r="BP48" s="154"/>
      <c r="BQ48" s="153"/>
      <c r="BR48" s="154"/>
      <c r="BS48" s="155"/>
      <c r="BT48" s="154"/>
      <c r="BU48" s="154"/>
      <c r="BV48" s="153"/>
      <c r="BW48" s="154"/>
      <c r="BX48" s="154"/>
      <c r="BY48" s="154"/>
      <c r="BZ48" s="154"/>
      <c r="CA48" s="154"/>
      <c r="CB48" s="154"/>
      <c r="CC48" s="154"/>
      <c r="CD48" s="150"/>
      <c r="CE48" s="153"/>
      <c r="CF48" s="154"/>
      <c r="CG48" s="150"/>
      <c r="CH48" s="154"/>
      <c r="CI48" s="154"/>
      <c r="CJ48" s="153"/>
      <c r="CK48" s="154"/>
      <c r="CL48" s="154"/>
      <c r="CM48" s="154"/>
      <c r="CN48" s="154"/>
      <c r="CO48" s="154"/>
      <c r="CP48" s="154"/>
      <c r="CQ48" s="154"/>
      <c r="CR48" s="150"/>
      <c r="CS48" s="153"/>
      <c r="CT48" s="154"/>
      <c r="CU48" s="154"/>
      <c r="CV48" s="154"/>
      <c r="CW48" s="154"/>
      <c r="CX48" s="154"/>
      <c r="CY48" s="153"/>
      <c r="CZ48" s="100"/>
      <c r="DA48" s="150"/>
      <c r="DB48" s="153"/>
      <c r="DC48" s="154"/>
      <c r="DD48" s="154"/>
      <c r="DE48" s="153"/>
      <c r="DF48" s="154"/>
      <c r="DG48" s="150"/>
      <c r="DH48" s="150"/>
      <c r="DI48" s="100"/>
      <c r="DJ48" s="150"/>
      <c r="DK48" s="153"/>
      <c r="DL48" s="154"/>
      <c r="DM48" s="154"/>
      <c r="DN48" s="154"/>
      <c r="DO48" s="154"/>
      <c r="DP48" s="154"/>
      <c r="DQ48" s="154"/>
      <c r="DR48" s="154"/>
      <c r="DS48" s="154"/>
      <c r="DT48" s="154"/>
      <c r="DU48" s="153"/>
      <c r="DV48" s="150"/>
      <c r="DW48" s="150"/>
      <c r="DX48" s="150"/>
      <c r="DY48" s="154"/>
      <c r="DZ48" s="154"/>
      <c r="EA48" s="149"/>
      <c r="EB48" s="154"/>
      <c r="EC48" s="154"/>
      <c r="ED48" s="85" t="str">
        <f aca="false">IFERROR(1/(1/SUMIFS(OVC!$O:$O,OVC!$C:$C,"="&amp;$B48,OVC!$D:$D,$C48)),"")</f>
        <v/>
      </c>
      <c r="EE48" s="10" t="str">
        <f aca="false">IFERROR(1/(1/SUMIFS(OVC!$P:$P,OVC!$C:$C,"="&amp;$B48,OVC!$D:$D,$C48)),"")</f>
        <v/>
      </c>
      <c r="EF48" s="10" t="n">
        <f aca="false">IFERROR(1/(1/SUMIFS(OVC!$Q:$Q,OVC!$C:$C,"="&amp;$B48,OVC!$D:$D,$C48)),"")</f>
        <v>10</v>
      </c>
      <c r="EG48" s="10" t="n">
        <f aca="false">IFERROR(1/(1/SUMIFS(OVC!$R:$R,OVC!$C:$C,"="&amp;$B48,OVC!$D:$D,$C48)),"")</f>
        <v>32</v>
      </c>
      <c r="EH48" s="5" t="str">
        <f aca="false">$ED48</f>
        <v/>
      </c>
      <c r="EI48" s="5" t="str">
        <f aca="false">$EE48</f>
        <v/>
      </c>
      <c r="EJ48" s="5" t="n">
        <f aca="false">$EF48</f>
        <v>10</v>
      </c>
      <c r="EK48" s="5" t="n">
        <f aca="false">$EG48</f>
        <v>32</v>
      </c>
      <c r="EL48" s="88" t="str">
        <f aca="false">IF(SUM($ED48)=0,"",(SUM($EH48)-$ED48)/$ED48)</f>
        <v/>
      </c>
      <c r="EM48" s="88" t="str">
        <f aca="false">IF(SUM($EE48)=0,"",(SUM($EI48)-$EE48)/$EE48)</f>
        <v/>
      </c>
      <c r="EN48" s="88" t="n">
        <f aca="false">IF(SUM($EF48)=0,"",(SUM($EJ48)-$EF48)/$EF48)</f>
        <v>0</v>
      </c>
      <c r="EO48" s="88" t="n">
        <f aca="false">IF(SUM($EG48)=0,"",(SUM($EK48)-$EG48)/$EG48)</f>
        <v>0</v>
      </c>
      <c r="EP48" s="149"/>
      <c r="EQ48" s="100"/>
      <c r="ER48" s="153"/>
      <c r="ES48" s="154"/>
      <c r="ET48" s="100"/>
      <c r="EU48" s="100"/>
      <c r="EV48" s="150"/>
      <c r="EW48" s="150"/>
      <c r="EX48" s="153"/>
      <c r="EY48" s="100"/>
      <c r="EZ48" s="150"/>
      <c r="FA48" s="153"/>
      <c r="FB48" s="100"/>
      <c r="FC48" s="155"/>
    </row>
    <row r="49" customFormat="false" ht="15" hidden="false" customHeight="false" outlineLevel="0" collapsed="false">
      <c r="A49" s="0" t="s">
        <v>809</v>
      </c>
      <c r="B49" s="9" t="s">
        <v>813</v>
      </c>
      <c r="C49" s="0" t="s">
        <v>48</v>
      </c>
      <c r="E49" s="154"/>
      <c r="F49" s="154"/>
      <c r="G49" s="154"/>
      <c r="H49" s="154"/>
      <c r="I49" s="154"/>
      <c r="J49" s="154"/>
      <c r="K49" s="154"/>
      <c r="L49" s="154"/>
      <c r="M49" s="153"/>
      <c r="N49" s="154"/>
      <c r="O49" s="154"/>
      <c r="P49" s="154"/>
      <c r="Q49" s="154"/>
      <c r="R49" s="153"/>
      <c r="S49" s="154"/>
      <c r="T49" s="154"/>
      <c r="U49" s="153"/>
      <c r="V49" s="154"/>
      <c r="W49" s="154"/>
      <c r="X49" s="154"/>
      <c r="Y49" s="154"/>
      <c r="Z49" s="153"/>
      <c r="AA49" s="154"/>
      <c r="AB49" s="154"/>
      <c r="AC49" s="154"/>
      <c r="AD49" s="153"/>
      <c r="AE49" s="154"/>
      <c r="AF49" s="153"/>
      <c r="AG49" s="154"/>
      <c r="AH49" s="149"/>
      <c r="AI49" s="150"/>
      <c r="AJ49" s="150"/>
      <c r="AK49" s="150"/>
      <c r="AL49" s="150"/>
      <c r="AM49" s="150"/>
      <c r="AN49" s="150"/>
      <c r="AO49" s="150"/>
      <c r="AP49" s="150"/>
      <c r="AQ49" s="151"/>
      <c r="AR49" s="152"/>
      <c r="AS49" s="152"/>
      <c r="AT49" s="152"/>
      <c r="AU49" s="152"/>
      <c r="AV49" s="152"/>
      <c r="AW49" s="152"/>
      <c r="AX49" s="152"/>
      <c r="AY49" s="152"/>
      <c r="AZ49" s="150"/>
      <c r="BA49" s="153"/>
      <c r="BB49" s="150"/>
      <c r="BC49" s="150"/>
      <c r="BD49" s="154"/>
      <c r="BE49" s="153"/>
      <c r="BF49" s="154"/>
      <c r="BG49" s="154"/>
      <c r="BH49" s="153"/>
      <c r="BI49" s="154"/>
      <c r="BJ49" s="154"/>
      <c r="BK49" s="154"/>
      <c r="BL49" s="100"/>
      <c r="BM49" s="100"/>
      <c r="BN49" s="100"/>
      <c r="BO49" s="154"/>
      <c r="BP49" s="154"/>
      <c r="BQ49" s="153"/>
      <c r="BR49" s="154"/>
      <c r="BS49" s="155"/>
      <c r="BT49" s="154"/>
      <c r="BU49" s="154"/>
      <c r="BV49" s="153"/>
      <c r="BW49" s="154"/>
      <c r="BX49" s="154"/>
      <c r="BY49" s="154"/>
      <c r="BZ49" s="154"/>
      <c r="CA49" s="154"/>
      <c r="CB49" s="154"/>
      <c r="CC49" s="154"/>
      <c r="CD49" s="150"/>
      <c r="CE49" s="153"/>
      <c r="CF49" s="154"/>
      <c r="CG49" s="150"/>
      <c r="CH49" s="154"/>
      <c r="CI49" s="154"/>
      <c r="CJ49" s="153"/>
      <c r="CK49" s="154"/>
      <c r="CL49" s="154"/>
      <c r="CM49" s="154"/>
      <c r="CN49" s="154"/>
      <c r="CO49" s="154"/>
      <c r="CP49" s="154"/>
      <c r="CQ49" s="154"/>
      <c r="CR49" s="150"/>
      <c r="CS49" s="153"/>
      <c r="CT49" s="154"/>
      <c r="CU49" s="154"/>
      <c r="CV49" s="154"/>
      <c r="CW49" s="154"/>
      <c r="CX49" s="154"/>
      <c r="CY49" s="153"/>
      <c r="CZ49" s="100"/>
      <c r="DA49" s="150"/>
      <c r="DB49" s="153"/>
      <c r="DC49" s="154"/>
      <c r="DD49" s="154"/>
      <c r="DE49" s="153"/>
      <c r="DF49" s="154"/>
      <c r="DG49" s="150"/>
      <c r="DH49" s="150"/>
      <c r="DI49" s="100"/>
      <c r="DJ49" s="150"/>
      <c r="DK49" s="153"/>
      <c r="DL49" s="154"/>
      <c r="DM49" s="154"/>
      <c r="DN49" s="154"/>
      <c r="DO49" s="154"/>
      <c r="DP49" s="154"/>
      <c r="DQ49" s="154"/>
      <c r="DR49" s="154"/>
      <c r="DS49" s="154"/>
      <c r="DT49" s="154"/>
      <c r="DU49" s="153"/>
      <c r="DV49" s="150"/>
      <c r="DW49" s="150"/>
      <c r="DX49" s="150"/>
      <c r="DY49" s="154"/>
      <c r="DZ49" s="154"/>
      <c r="EA49" s="149"/>
      <c r="EB49" s="154"/>
      <c r="EC49" s="154"/>
      <c r="ED49" s="85" t="str">
        <f aca="false">IFERROR(1/(1/SUMIFS(OVC!$O:$O,OVC!$C:$C,"="&amp;$B49,OVC!$D:$D,$C49)),"")</f>
        <v/>
      </c>
      <c r="EE49" s="10" t="str">
        <f aca="false">IFERROR(1/(1/SUMIFS(OVC!$P:$P,OVC!$C:$C,"="&amp;$B49,OVC!$D:$D,$C49)),"")</f>
        <v/>
      </c>
      <c r="EF49" s="10" t="n">
        <f aca="false">IFERROR(1/(1/SUMIFS(OVC!$Q:$Q,OVC!$C:$C,"="&amp;$B49,OVC!$D:$D,$C49)),"")</f>
        <v>9</v>
      </c>
      <c r="EG49" s="10" t="n">
        <f aca="false">IFERROR(1/(1/SUMIFS(OVC!$R:$R,OVC!$C:$C,"="&amp;$B49,OVC!$D:$D,$C49)),"")</f>
        <v>39</v>
      </c>
      <c r="EH49" s="5" t="str">
        <f aca="false">$ED49</f>
        <v/>
      </c>
      <c r="EI49" s="5" t="str">
        <f aca="false">$EE49</f>
        <v/>
      </c>
      <c r="EJ49" s="5" t="n">
        <f aca="false">$EF49</f>
        <v>9</v>
      </c>
      <c r="EK49" s="5" t="n">
        <f aca="false">$EG49</f>
        <v>39</v>
      </c>
      <c r="EL49" s="88" t="str">
        <f aca="false">IF(SUM($ED49)=0,"",(SUM($EH49)-$ED49)/$ED49)</f>
        <v/>
      </c>
      <c r="EM49" s="88" t="str">
        <f aca="false">IF(SUM($EE49)=0,"",(SUM($EI49)-$EE49)/$EE49)</f>
        <v/>
      </c>
      <c r="EN49" s="88" t="n">
        <f aca="false">IF(SUM($EF49)=0,"",(SUM($EJ49)-$EF49)/$EF49)</f>
        <v>0</v>
      </c>
      <c r="EO49" s="88" t="n">
        <f aca="false">IF(SUM($EG49)=0,"",(SUM($EK49)-$EG49)/$EG49)</f>
        <v>0</v>
      </c>
      <c r="EP49" s="149"/>
      <c r="EQ49" s="100"/>
      <c r="ER49" s="153"/>
      <c r="ES49" s="154"/>
      <c r="ET49" s="100"/>
      <c r="EU49" s="100"/>
      <c r="EV49" s="150"/>
      <c r="EW49" s="150"/>
      <c r="EX49" s="153"/>
      <c r="EY49" s="100"/>
      <c r="EZ49" s="150"/>
      <c r="FA49" s="153"/>
      <c r="FB49" s="100"/>
      <c r="FC49" s="155"/>
    </row>
    <row r="50" customFormat="false" ht="15" hidden="false" customHeight="false" outlineLevel="0" collapsed="false">
      <c r="A50" s="0" t="s">
        <v>809</v>
      </c>
      <c r="B50" s="9" t="s">
        <v>814</v>
      </c>
      <c r="C50" s="0" t="s">
        <v>30</v>
      </c>
      <c r="E50" s="154"/>
      <c r="F50" s="154"/>
      <c r="G50" s="154"/>
      <c r="H50" s="154"/>
      <c r="I50" s="154"/>
      <c r="J50" s="154"/>
      <c r="K50" s="154"/>
      <c r="L50" s="154"/>
      <c r="M50" s="153"/>
      <c r="N50" s="154"/>
      <c r="O50" s="154"/>
      <c r="P50" s="154"/>
      <c r="Q50" s="154"/>
      <c r="R50" s="153"/>
      <c r="S50" s="154"/>
      <c r="T50" s="154"/>
      <c r="U50" s="153"/>
      <c r="V50" s="154"/>
      <c r="W50" s="154"/>
      <c r="X50" s="154"/>
      <c r="Y50" s="154"/>
      <c r="Z50" s="153"/>
      <c r="AA50" s="154"/>
      <c r="AB50" s="154"/>
      <c r="AC50" s="154"/>
      <c r="AD50" s="153"/>
      <c r="AE50" s="154"/>
      <c r="AF50" s="153"/>
      <c r="AG50" s="154"/>
      <c r="AH50" s="149"/>
      <c r="AI50" s="150"/>
      <c r="AJ50" s="150"/>
      <c r="AK50" s="150"/>
      <c r="AL50" s="150"/>
      <c r="AM50" s="150"/>
      <c r="AN50" s="150"/>
      <c r="AO50" s="150"/>
      <c r="AP50" s="150"/>
      <c r="AQ50" s="151"/>
      <c r="AR50" s="152"/>
      <c r="AS50" s="152"/>
      <c r="AT50" s="152"/>
      <c r="AU50" s="152"/>
      <c r="AV50" s="152"/>
      <c r="AW50" s="152"/>
      <c r="AX50" s="152"/>
      <c r="AY50" s="152"/>
      <c r="AZ50" s="150"/>
      <c r="BA50" s="153"/>
      <c r="BB50" s="150"/>
      <c r="BC50" s="150"/>
      <c r="BD50" s="154"/>
      <c r="BE50" s="153"/>
      <c r="BF50" s="154"/>
      <c r="BG50" s="154"/>
      <c r="BH50" s="153"/>
      <c r="BI50" s="154"/>
      <c r="BJ50" s="154"/>
      <c r="BK50" s="154"/>
      <c r="BL50" s="100"/>
      <c r="BM50" s="100"/>
      <c r="BN50" s="100"/>
      <c r="BO50" s="154"/>
      <c r="BP50" s="154"/>
      <c r="BQ50" s="153"/>
      <c r="BR50" s="154"/>
      <c r="BS50" s="155"/>
      <c r="BT50" s="154"/>
      <c r="BU50" s="154"/>
      <c r="BV50" s="153"/>
      <c r="BW50" s="154"/>
      <c r="BX50" s="154"/>
      <c r="BY50" s="154"/>
      <c r="BZ50" s="154"/>
      <c r="CA50" s="154"/>
      <c r="CB50" s="154"/>
      <c r="CC50" s="154"/>
      <c r="CD50" s="150"/>
      <c r="CE50" s="153"/>
      <c r="CF50" s="154"/>
      <c r="CG50" s="150"/>
      <c r="CH50" s="154"/>
      <c r="CI50" s="154"/>
      <c r="CJ50" s="153"/>
      <c r="CK50" s="154"/>
      <c r="CL50" s="154"/>
      <c r="CM50" s="154"/>
      <c r="CN50" s="154"/>
      <c r="CO50" s="154"/>
      <c r="CP50" s="154"/>
      <c r="CQ50" s="154"/>
      <c r="CR50" s="150"/>
      <c r="CS50" s="153"/>
      <c r="CT50" s="154"/>
      <c r="CU50" s="154"/>
      <c r="CV50" s="154"/>
      <c r="CW50" s="154"/>
      <c r="CX50" s="154"/>
      <c r="CY50" s="153"/>
      <c r="CZ50" s="100"/>
      <c r="DA50" s="150"/>
      <c r="DB50" s="153"/>
      <c r="DC50" s="154"/>
      <c r="DD50" s="154"/>
      <c r="DE50" s="153"/>
      <c r="DF50" s="154"/>
      <c r="DG50" s="150"/>
      <c r="DH50" s="150"/>
      <c r="DI50" s="100"/>
      <c r="DJ50" s="150"/>
      <c r="DK50" s="153"/>
      <c r="DL50" s="154"/>
      <c r="DM50" s="154"/>
      <c r="DN50" s="154"/>
      <c r="DO50" s="154"/>
      <c r="DP50" s="154"/>
      <c r="DQ50" s="154"/>
      <c r="DR50" s="154"/>
      <c r="DS50" s="154"/>
      <c r="DT50" s="154"/>
      <c r="DU50" s="153"/>
      <c r="DV50" s="150"/>
      <c r="DW50" s="150"/>
      <c r="DX50" s="150"/>
      <c r="DY50" s="154"/>
      <c r="DZ50" s="154"/>
      <c r="EA50" s="149"/>
      <c r="EB50" s="154"/>
      <c r="EC50" s="154"/>
      <c r="ED50" s="85" t="str">
        <f aca="false">IFERROR(1/(1/SUMIFS(OVC!$O:$O,OVC!$C:$C,"="&amp;$B50,OVC!$D:$D,$C50)),"")</f>
        <v/>
      </c>
      <c r="EE50" s="10" t="str">
        <f aca="false">IFERROR(1/(1/SUMIFS(OVC!$P:$P,OVC!$C:$C,"="&amp;$B50,OVC!$D:$D,$C50)),"")</f>
        <v/>
      </c>
      <c r="EF50" s="10" t="n">
        <f aca="false">IFERROR(1/(1/SUMIFS(OVC!$Q:$Q,OVC!$C:$C,"="&amp;$B50,OVC!$D:$D,$C50)),"")</f>
        <v>944</v>
      </c>
      <c r="EG50" s="10" t="n">
        <f aca="false">IFERROR(1/(1/SUMIFS(OVC!$R:$R,OVC!$C:$C,"="&amp;$B50,OVC!$D:$D,$C50)),"")</f>
        <v>3775</v>
      </c>
      <c r="EH50" s="5" t="str">
        <f aca="false">$ED50</f>
        <v/>
      </c>
      <c r="EI50" s="5" t="str">
        <f aca="false">$EE50</f>
        <v/>
      </c>
      <c r="EJ50" s="5" t="n">
        <f aca="false">$EF50</f>
        <v>944</v>
      </c>
      <c r="EK50" s="5" t="n">
        <f aca="false">$EG50</f>
        <v>3775</v>
      </c>
      <c r="EL50" s="88" t="str">
        <f aca="false">IF(SUM($ED50)=0,"",(SUM($EH50)-$ED50)/$ED50)</f>
        <v/>
      </c>
      <c r="EM50" s="88" t="str">
        <f aca="false">IF(SUM($EE50)=0,"",(SUM($EI50)-$EE50)/$EE50)</f>
        <v/>
      </c>
      <c r="EN50" s="88" t="n">
        <f aca="false">IF(SUM($EF50)=0,"",(SUM($EJ50)-$EF50)/$EF50)</f>
        <v>0</v>
      </c>
      <c r="EO50" s="88" t="n">
        <f aca="false">IF(SUM($EG50)=0,"",(SUM($EK50)-$EG50)/$EG50)</f>
        <v>0</v>
      </c>
      <c r="EP50" s="149"/>
      <c r="EQ50" s="100"/>
      <c r="ER50" s="153"/>
      <c r="ES50" s="154"/>
      <c r="ET50" s="100"/>
      <c r="EU50" s="100"/>
      <c r="EV50" s="150"/>
      <c r="EW50" s="150"/>
      <c r="EX50" s="153"/>
      <c r="EY50" s="100"/>
      <c r="EZ50" s="150"/>
      <c r="FA50" s="153"/>
      <c r="FB50" s="100"/>
      <c r="FC50" s="155"/>
    </row>
    <row r="51" customFormat="false" ht="15" hidden="false" customHeight="false" outlineLevel="0" collapsed="false">
      <c r="A51" s="0" t="s">
        <v>809</v>
      </c>
      <c r="B51" s="9" t="s">
        <v>814</v>
      </c>
      <c r="C51" s="0" t="s">
        <v>48</v>
      </c>
      <c r="E51" s="154"/>
      <c r="F51" s="154"/>
      <c r="G51" s="154"/>
      <c r="H51" s="154"/>
      <c r="I51" s="154"/>
      <c r="J51" s="154"/>
      <c r="K51" s="154"/>
      <c r="L51" s="154"/>
      <c r="M51" s="153"/>
      <c r="N51" s="154"/>
      <c r="O51" s="154"/>
      <c r="P51" s="154"/>
      <c r="Q51" s="154"/>
      <c r="R51" s="153"/>
      <c r="S51" s="154"/>
      <c r="T51" s="154"/>
      <c r="U51" s="153"/>
      <c r="V51" s="154"/>
      <c r="W51" s="154"/>
      <c r="X51" s="154"/>
      <c r="Y51" s="154"/>
      <c r="Z51" s="153"/>
      <c r="AA51" s="154"/>
      <c r="AB51" s="154"/>
      <c r="AC51" s="154"/>
      <c r="AD51" s="153"/>
      <c r="AE51" s="154"/>
      <c r="AF51" s="153"/>
      <c r="AG51" s="154"/>
      <c r="AH51" s="149"/>
      <c r="AI51" s="150"/>
      <c r="AJ51" s="150"/>
      <c r="AK51" s="150"/>
      <c r="AL51" s="150"/>
      <c r="AM51" s="150"/>
      <c r="AN51" s="150"/>
      <c r="AO51" s="150"/>
      <c r="AP51" s="150"/>
      <c r="AQ51" s="151"/>
      <c r="AR51" s="152"/>
      <c r="AS51" s="152"/>
      <c r="AT51" s="152"/>
      <c r="AU51" s="152"/>
      <c r="AV51" s="152"/>
      <c r="AW51" s="152"/>
      <c r="AX51" s="152"/>
      <c r="AY51" s="152"/>
      <c r="AZ51" s="150"/>
      <c r="BA51" s="153"/>
      <c r="BB51" s="150"/>
      <c r="BC51" s="150"/>
      <c r="BD51" s="154"/>
      <c r="BE51" s="153"/>
      <c r="BF51" s="154"/>
      <c r="BG51" s="154"/>
      <c r="BH51" s="153"/>
      <c r="BI51" s="154"/>
      <c r="BJ51" s="154"/>
      <c r="BK51" s="154"/>
      <c r="BL51" s="100"/>
      <c r="BM51" s="100"/>
      <c r="BN51" s="100"/>
      <c r="BO51" s="154"/>
      <c r="BP51" s="154"/>
      <c r="BQ51" s="153"/>
      <c r="BR51" s="154"/>
      <c r="BS51" s="155"/>
      <c r="BT51" s="154"/>
      <c r="BU51" s="154"/>
      <c r="BV51" s="153"/>
      <c r="BW51" s="154"/>
      <c r="BX51" s="154"/>
      <c r="BY51" s="154"/>
      <c r="BZ51" s="154"/>
      <c r="CA51" s="154"/>
      <c r="CB51" s="154"/>
      <c r="CC51" s="154"/>
      <c r="CD51" s="150"/>
      <c r="CE51" s="153"/>
      <c r="CF51" s="154"/>
      <c r="CG51" s="150"/>
      <c r="CH51" s="154"/>
      <c r="CI51" s="154"/>
      <c r="CJ51" s="153"/>
      <c r="CK51" s="154"/>
      <c r="CL51" s="154"/>
      <c r="CM51" s="154"/>
      <c r="CN51" s="154"/>
      <c r="CO51" s="154"/>
      <c r="CP51" s="154"/>
      <c r="CQ51" s="154"/>
      <c r="CR51" s="150"/>
      <c r="CS51" s="153"/>
      <c r="CT51" s="154"/>
      <c r="CU51" s="154"/>
      <c r="CV51" s="154"/>
      <c r="CW51" s="154"/>
      <c r="CX51" s="154"/>
      <c r="CY51" s="153"/>
      <c r="CZ51" s="100"/>
      <c r="DA51" s="150"/>
      <c r="DB51" s="153"/>
      <c r="DC51" s="154"/>
      <c r="DD51" s="154"/>
      <c r="DE51" s="153"/>
      <c r="DF51" s="154"/>
      <c r="DG51" s="150"/>
      <c r="DH51" s="150"/>
      <c r="DI51" s="100"/>
      <c r="DJ51" s="150"/>
      <c r="DK51" s="153"/>
      <c r="DL51" s="154"/>
      <c r="DM51" s="154"/>
      <c r="DN51" s="154"/>
      <c r="DO51" s="154"/>
      <c r="DP51" s="154"/>
      <c r="DQ51" s="154"/>
      <c r="DR51" s="154"/>
      <c r="DS51" s="154"/>
      <c r="DT51" s="154"/>
      <c r="DU51" s="153"/>
      <c r="DV51" s="150"/>
      <c r="DW51" s="150"/>
      <c r="DX51" s="150"/>
      <c r="DY51" s="154"/>
      <c r="DZ51" s="154"/>
      <c r="EA51" s="149"/>
      <c r="EB51" s="154"/>
      <c r="EC51" s="154"/>
      <c r="ED51" s="85" t="str">
        <f aca="false">IFERROR(1/(1/SUMIFS(OVC!$O:$O,OVC!$C:$C,"="&amp;$B51,OVC!$D:$D,$C51)),"")</f>
        <v/>
      </c>
      <c r="EE51" s="10" t="str">
        <f aca="false">IFERROR(1/(1/SUMIFS(OVC!$P:$P,OVC!$C:$C,"="&amp;$B51,OVC!$D:$D,$C51)),"")</f>
        <v/>
      </c>
      <c r="EF51" s="10" t="n">
        <f aca="false">IFERROR(1/(1/SUMIFS(OVC!$Q:$Q,OVC!$C:$C,"="&amp;$B51,OVC!$D:$D,$C51)),"")</f>
        <v>93</v>
      </c>
      <c r="EG51" s="10" t="n">
        <f aca="false">IFERROR(1/(1/SUMIFS(OVC!$R:$R,OVC!$C:$C,"="&amp;$B51,OVC!$D:$D,$C51)),"")</f>
        <v>370</v>
      </c>
      <c r="EH51" s="5" t="str">
        <f aca="false">$ED51</f>
        <v/>
      </c>
      <c r="EI51" s="5" t="str">
        <f aca="false">$EE51</f>
        <v/>
      </c>
      <c r="EJ51" s="5" t="n">
        <f aca="false">$EF51</f>
        <v>93</v>
      </c>
      <c r="EK51" s="5" t="n">
        <f aca="false">$EG51</f>
        <v>370</v>
      </c>
      <c r="EL51" s="88" t="str">
        <f aca="false">IF(SUM($ED51)=0,"",(SUM($EH51)-$ED51)/$ED51)</f>
        <v/>
      </c>
      <c r="EM51" s="88" t="str">
        <f aca="false">IF(SUM($EE51)=0,"",(SUM($EI51)-$EE51)/$EE51)</f>
        <v/>
      </c>
      <c r="EN51" s="88" t="n">
        <f aca="false">IF(SUM($EF51)=0,"",(SUM($EJ51)-$EF51)/$EF51)</f>
        <v>0</v>
      </c>
      <c r="EO51" s="88" t="n">
        <f aca="false">IF(SUM($EG51)=0,"",(SUM($EK51)-$EG51)/$EG51)</f>
        <v>0</v>
      </c>
      <c r="EP51" s="149"/>
      <c r="EQ51" s="100"/>
      <c r="ER51" s="153"/>
      <c r="ES51" s="154"/>
      <c r="ET51" s="100"/>
      <c r="EU51" s="100"/>
      <c r="EV51" s="150"/>
      <c r="EW51" s="150"/>
      <c r="EX51" s="153"/>
      <c r="EY51" s="100"/>
      <c r="EZ51" s="150"/>
      <c r="FA51" s="153"/>
      <c r="FB51" s="100"/>
      <c r="FC51" s="155"/>
    </row>
    <row r="52" customFormat="false" ht="15" hidden="false" customHeight="false" outlineLevel="0" collapsed="false">
      <c r="A52" s="0" t="s">
        <v>815</v>
      </c>
      <c r="B52" s="9" t="s">
        <v>364</v>
      </c>
      <c r="C52" s="0" t="s">
        <v>30</v>
      </c>
      <c r="E52" s="153"/>
      <c r="F52" s="154"/>
      <c r="G52" s="154"/>
      <c r="H52" s="154"/>
      <c r="I52" s="154"/>
      <c r="J52" s="154"/>
      <c r="K52" s="154"/>
      <c r="L52" s="150"/>
      <c r="M52" s="153"/>
      <c r="N52" s="100"/>
      <c r="O52" s="150"/>
      <c r="P52" s="154"/>
      <c r="Q52" s="150"/>
      <c r="R52" s="156"/>
      <c r="S52" s="100"/>
      <c r="T52" s="150"/>
      <c r="U52" s="149"/>
      <c r="V52" s="150"/>
      <c r="W52" s="154"/>
      <c r="X52" s="150"/>
      <c r="Y52" s="100"/>
      <c r="Z52" s="149"/>
      <c r="AA52" s="154"/>
      <c r="AB52" s="150"/>
      <c r="AC52" s="100"/>
      <c r="AD52" s="149"/>
      <c r="AE52" s="100"/>
      <c r="AF52" s="149"/>
      <c r="AG52" s="100"/>
      <c r="AH52" s="149"/>
      <c r="AI52" s="150"/>
      <c r="AJ52" s="150"/>
      <c r="AK52" s="150"/>
      <c r="AL52" s="150"/>
      <c r="AM52" s="150"/>
      <c r="AN52" s="150"/>
      <c r="AO52" s="150"/>
      <c r="AP52" s="150"/>
      <c r="AQ52" s="151"/>
      <c r="AR52" s="152"/>
      <c r="AS52" s="152"/>
      <c r="AT52" s="152"/>
      <c r="AU52" s="152"/>
      <c r="AV52" s="152"/>
      <c r="AW52" s="152"/>
      <c r="AX52" s="152"/>
      <c r="AY52" s="152"/>
      <c r="AZ52" s="150"/>
      <c r="BA52" s="153"/>
      <c r="BB52" s="150"/>
      <c r="BC52" s="150"/>
      <c r="BD52" s="100"/>
      <c r="BE52" s="153"/>
      <c r="BF52" s="100"/>
      <c r="BG52" s="150"/>
      <c r="BH52" s="153"/>
      <c r="BI52" s="154"/>
      <c r="BJ52" s="154"/>
      <c r="BK52" s="154"/>
      <c r="BL52" s="100"/>
      <c r="BM52" s="100"/>
      <c r="BN52" s="100"/>
      <c r="BO52" s="154"/>
      <c r="BP52" s="154"/>
      <c r="BQ52" s="153"/>
      <c r="BR52" s="154"/>
      <c r="BS52" s="155"/>
      <c r="BT52" s="100"/>
      <c r="BU52" s="100"/>
      <c r="BV52" s="153"/>
      <c r="BW52" s="154"/>
      <c r="BX52" s="154"/>
      <c r="BY52" s="154"/>
      <c r="BZ52" s="100"/>
      <c r="CA52" s="100"/>
      <c r="CB52" s="100"/>
      <c r="CC52" s="154"/>
      <c r="CD52" s="150"/>
      <c r="CE52" s="153"/>
      <c r="CF52" s="154"/>
      <c r="CG52" s="150"/>
      <c r="CH52" s="100"/>
      <c r="CI52" s="100"/>
      <c r="CJ52" s="153"/>
      <c r="CK52" s="154"/>
      <c r="CL52" s="154"/>
      <c r="CM52" s="154"/>
      <c r="CN52" s="154"/>
      <c r="CO52" s="154"/>
      <c r="CP52" s="154"/>
      <c r="CQ52" s="154"/>
      <c r="CR52" s="150"/>
      <c r="CS52" s="153"/>
      <c r="CT52" s="154"/>
      <c r="CU52" s="100"/>
      <c r="CV52" s="100"/>
      <c r="CW52" s="150"/>
      <c r="CX52" s="150"/>
      <c r="CY52" s="153"/>
      <c r="CZ52" s="100"/>
      <c r="DA52" s="150"/>
      <c r="DB52" s="153"/>
      <c r="DC52" s="100"/>
      <c r="DD52" s="150"/>
      <c r="DE52" s="153"/>
      <c r="DF52" s="154"/>
      <c r="DG52" s="150"/>
      <c r="DH52" s="150"/>
      <c r="DI52" s="100"/>
      <c r="DJ52" s="150"/>
      <c r="DK52" s="149"/>
      <c r="DL52" s="150"/>
      <c r="DM52" s="150"/>
      <c r="DN52" s="150"/>
      <c r="DO52" s="150"/>
      <c r="DP52" s="150"/>
      <c r="DQ52" s="100"/>
      <c r="DR52" s="100"/>
      <c r="DS52" s="100"/>
      <c r="DT52" s="100"/>
      <c r="DU52" s="153"/>
      <c r="DV52" s="150"/>
      <c r="DW52" s="150"/>
      <c r="DX52" s="150"/>
      <c r="DY52" s="100"/>
      <c r="DZ52" s="100"/>
      <c r="EA52" s="149"/>
      <c r="EB52" s="100"/>
      <c r="EC52" s="100"/>
      <c r="ED52" s="153"/>
      <c r="EE52" s="154"/>
      <c r="EF52" s="154"/>
      <c r="EG52" s="154"/>
      <c r="EH52" s="100"/>
      <c r="EI52" s="100"/>
      <c r="EJ52" s="100"/>
      <c r="EK52" s="100"/>
      <c r="EL52" s="150"/>
      <c r="EM52" s="150"/>
      <c r="EN52" s="150"/>
      <c r="EO52" s="150"/>
      <c r="EP52" s="149"/>
      <c r="EQ52" s="100"/>
      <c r="ER52" s="85" t="str">
        <f aca="false">IFERROR(1/(1/SUMIFS(AGYW!$S:$S,AGYW!$C:$C,$B52,AGYW!$D:$D,$C52)),"")</f>
        <v/>
      </c>
      <c r="ES52" s="10" t="str">
        <f aca="false">IFERROR(1/(1/SUMIFS(AGYW!$T:$T,AGYW!$C:$C,$B52,AGYW!$D:$D,$C52)),"")</f>
        <v/>
      </c>
      <c r="ET52" s="5" t="str">
        <f aca="false">$ER52</f>
        <v/>
      </c>
      <c r="EU52" s="5" t="str">
        <f aca="false">$ES52</f>
        <v/>
      </c>
      <c r="EV52" s="88" t="str">
        <f aca="false">IF(SUM($ER52)=0,"",(SUM($ET52)-$ER52)/$ER52)</f>
        <v/>
      </c>
      <c r="EW52" s="88" t="str">
        <f aca="false">IF(SUM($ES52)=0,"",(SUM($EU52)-$ES52)/$ES52)</f>
        <v/>
      </c>
      <c r="EX52" s="153"/>
      <c r="EY52" s="100"/>
      <c r="EZ52" s="150"/>
      <c r="FA52" s="153"/>
      <c r="FB52" s="100"/>
      <c r="FC52" s="155"/>
    </row>
    <row r="53" customFormat="false" ht="15" hidden="false" customHeight="false" outlineLevel="0" collapsed="false">
      <c r="A53" s="0" t="s">
        <v>815</v>
      </c>
      <c r="B53" s="9" t="s">
        <v>816</v>
      </c>
      <c r="C53" s="0" t="s">
        <v>30</v>
      </c>
      <c r="E53" s="153"/>
      <c r="F53" s="154"/>
      <c r="G53" s="154"/>
      <c r="H53" s="154"/>
      <c r="I53" s="154"/>
      <c r="J53" s="154"/>
      <c r="K53" s="154"/>
      <c r="L53" s="150"/>
      <c r="M53" s="153"/>
      <c r="N53" s="100"/>
      <c r="O53" s="150"/>
      <c r="P53" s="154"/>
      <c r="Q53" s="150"/>
      <c r="R53" s="156"/>
      <c r="S53" s="100"/>
      <c r="T53" s="150"/>
      <c r="U53" s="149"/>
      <c r="V53" s="150"/>
      <c r="W53" s="154"/>
      <c r="X53" s="150"/>
      <c r="Y53" s="100"/>
      <c r="Z53" s="149"/>
      <c r="AA53" s="154"/>
      <c r="AB53" s="150"/>
      <c r="AC53" s="100"/>
      <c r="AD53" s="149"/>
      <c r="AE53" s="100"/>
      <c r="AF53" s="149"/>
      <c r="AG53" s="100"/>
      <c r="AH53" s="149"/>
      <c r="AI53" s="150"/>
      <c r="AJ53" s="150"/>
      <c r="AK53" s="150"/>
      <c r="AL53" s="150"/>
      <c r="AM53" s="150"/>
      <c r="AN53" s="150"/>
      <c r="AO53" s="150"/>
      <c r="AP53" s="150"/>
      <c r="AQ53" s="151"/>
      <c r="AR53" s="152"/>
      <c r="AS53" s="152"/>
      <c r="AT53" s="152"/>
      <c r="AU53" s="152"/>
      <c r="AV53" s="152"/>
      <c r="AW53" s="152"/>
      <c r="AX53" s="152"/>
      <c r="AY53" s="152"/>
      <c r="AZ53" s="150"/>
      <c r="BA53" s="153"/>
      <c r="BB53" s="150"/>
      <c r="BC53" s="150"/>
      <c r="BD53" s="100"/>
      <c r="BE53" s="153"/>
      <c r="BF53" s="100"/>
      <c r="BG53" s="150"/>
      <c r="BH53" s="153"/>
      <c r="BI53" s="154"/>
      <c r="BJ53" s="154"/>
      <c r="BK53" s="154"/>
      <c r="BL53" s="100"/>
      <c r="BM53" s="100"/>
      <c r="BN53" s="100"/>
      <c r="BO53" s="154"/>
      <c r="BP53" s="154"/>
      <c r="BQ53" s="153"/>
      <c r="BR53" s="154"/>
      <c r="BS53" s="155"/>
      <c r="BT53" s="100"/>
      <c r="BU53" s="100"/>
      <c r="BV53" s="153"/>
      <c r="BW53" s="154"/>
      <c r="BX53" s="154"/>
      <c r="BY53" s="154"/>
      <c r="BZ53" s="100"/>
      <c r="CA53" s="100"/>
      <c r="CB53" s="100"/>
      <c r="CC53" s="154"/>
      <c r="CD53" s="150"/>
      <c r="CE53" s="153"/>
      <c r="CF53" s="154"/>
      <c r="CG53" s="150"/>
      <c r="CH53" s="100"/>
      <c r="CI53" s="100"/>
      <c r="CJ53" s="153"/>
      <c r="CK53" s="154"/>
      <c r="CL53" s="154"/>
      <c r="CM53" s="154"/>
      <c r="CN53" s="154"/>
      <c r="CO53" s="154"/>
      <c r="CP53" s="154"/>
      <c r="CQ53" s="154"/>
      <c r="CR53" s="150"/>
      <c r="CS53" s="153"/>
      <c r="CT53" s="154"/>
      <c r="CU53" s="100"/>
      <c r="CV53" s="100"/>
      <c r="CW53" s="150"/>
      <c r="CX53" s="150"/>
      <c r="CY53" s="153"/>
      <c r="CZ53" s="100"/>
      <c r="DA53" s="150"/>
      <c r="DB53" s="153"/>
      <c r="DC53" s="100"/>
      <c r="DD53" s="150"/>
      <c r="DE53" s="153"/>
      <c r="DF53" s="154"/>
      <c r="DG53" s="150"/>
      <c r="DH53" s="150"/>
      <c r="DI53" s="100"/>
      <c r="DJ53" s="150"/>
      <c r="DK53" s="149"/>
      <c r="DL53" s="150"/>
      <c r="DM53" s="150"/>
      <c r="DN53" s="150"/>
      <c r="DO53" s="150"/>
      <c r="DP53" s="150"/>
      <c r="DQ53" s="100"/>
      <c r="DR53" s="100"/>
      <c r="DS53" s="100"/>
      <c r="DT53" s="100"/>
      <c r="DU53" s="153"/>
      <c r="DV53" s="150"/>
      <c r="DW53" s="150"/>
      <c r="DX53" s="150"/>
      <c r="DY53" s="100"/>
      <c r="DZ53" s="100"/>
      <c r="EA53" s="149"/>
      <c r="EB53" s="100"/>
      <c r="EC53" s="100"/>
      <c r="ED53" s="153"/>
      <c r="EE53" s="154"/>
      <c r="EF53" s="154"/>
      <c r="EG53" s="154"/>
      <c r="EH53" s="100"/>
      <c r="EI53" s="100"/>
      <c r="EJ53" s="100"/>
      <c r="EK53" s="100"/>
      <c r="EL53" s="150"/>
      <c r="EM53" s="150"/>
      <c r="EN53" s="150"/>
      <c r="EO53" s="150"/>
      <c r="EP53" s="149"/>
      <c r="EQ53" s="100"/>
      <c r="ER53" s="85" t="str">
        <f aca="false">IFERROR(1/(1/SUMIFS(AGYW!$S:$S,AGYW!$C:$C,$B53,AGYW!$D:$D,$C53)),"")</f>
        <v/>
      </c>
      <c r="ES53" s="10" t="str">
        <f aca="false">IFERROR(1/(1/SUMIFS(AGYW!$T:$T,AGYW!$C:$C,$B53,AGYW!$D:$D,$C53)),"")</f>
        <v/>
      </c>
      <c r="ET53" s="5" t="str">
        <f aca="false">$ER53</f>
        <v/>
      </c>
      <c r="EU53" s="5" t="str">
        <f aca="false">$ES53</f>
        <v/>
      </c>
      <c r="EV53" s="88" t="str">
        <f aca="false">IF(SUM($ER53)=0,"",(SUM($ET53)-$ER53)/$ER53)</f>
        <v/>
      </c>
      <c r="EW53" s="88" t="str">
        <f aca="false">IF(SUM($ES53)=0,"",(SUM($EU53)-$ES53)/$ES53)</f>
        <v/>
      </c>
      <c r="EX53" s="153"/>
      <c r="EY53" s="100"/>
      <c r="EZ53" s="150"/>
      <c r="FA53" s="153"/>
      <c r="FB53" s="100"/>
      <c r="FC53" s="155"/>
    </row>
    <row r="54" customFormat="false" ht="15" hidden="false" customHeight="false" outlineLevel="0" collapsed="false">
      <c r="A54" s="0" t="s">
        <v>815</v>
      </c>
      <c r="B54" s="9" t="s">
        <v>817</v>
      </c>
      <c r="C54" s="0" t="s">
        <v>30</v>
      </c>
      <c r="E54" s="153"/>
      <c r="F54" s="154"/>
      <c r="G54" s="154"/>
      <c r="H54" s="154"/>
      <c r="I54" s="154"/>
      <c r="J54" s="154"/>
      <c r="K54" s="154"/>
      <c r="L54" s="150"/>
      <c r="M54" s="153"/>
      <c r="N54" s="100"/>
      <c r="O54" s="150"/>
      <c r="P54" s="154"/>
      <c r="Q54" s="150"/>
      <c r="R54" s="156"/>
      <c r="S54" s="100"/>
      <c r="T54" s="150"/>
      <c r="U54" s="149"/>
      <c r="V54" s="150"/>
      <c r="W54" s="154"/>
      <c r="X54" s="150"/>
      <c r="Y54" s="100"/>
      <c r="Z54" s="149"/>
      <c r="AA54" s="154"/>
      <c r="AB54" s="150"/>
      <c r="AC54" s="100"/>
      <c r="AD54" s="149"/>
      <c r="AE54" s="100"/>
      <c r="AF54" s="149"/>
      <c r="AG54" s="100"/>
      <c r="AH54" s="149"/>
      <c r="AI54" s="150"/>
      <c r="AJ54" s="150"/>
      <c r="AK54" s="150"/>
      <c r="AL54" s="150"/>
      <c r="AM54" s="150"/>
      <c r="AN54" s="150"/>
      <c r="AO54" s="150"/>
      <c r="AP54" s="150"/>
      <c r="AQ54" s="151"/>
      <c r="AR54" s="152"/>
      <c r="AS54" s="152"/>
      <c r="AT54" s="152"/>
      <c r="AU54" s="152"/>
      <c r="AV54" s="152"/>
      <c r="AW54" s="152"/>
      <c r="AX54" s="152"/>
      <c r="AY54" s="152"/>
      <c r="AZ54" s="150"/>
      <c r="BA54" s="153"/>
      <c r="BB54" s="150"/>
      <c r="BC54" s="150"/>
      <c r="BD54" s="100"/>
      <c r="BE54" s="153"/>
      <c r="BF54" s="100"/>
      <c r="BG54" s="150"/>
      <c r="BH54" s="153"/>
      <c r="BI54" s="154"/>
      <c r="BJ54" s="154"/>
      <c r="BK54" s="154"/>
      <c r="BL54" s="100"/>
      <c r="BM54" s="100"/>
      <c r="BN54" s="100"/>
      <c r="BO54" s="154"/>
      <c r="BP54" s="154"/>
      <c r="BQ54" s="153"/>
      <c r="BR54" s="154"/>
      <c r="BS54" s="155"/>
      <c r="BT54" s="100"/>
      <c r="BU54" s="100"/>
      <c r="BV54" s="153"/>
      <c r="BW54" s="154"/>
      <c r="BX54" s="154"/>
      <c r="BY54" s="154"/>
      <c r="BZ54" s="100"/>
      <c r="CA54" s="100"/>
      <c r="CB54" s="100"/>
      <c r="CC54" s="154"/>
      <c r="CD54" s="150"/>
      <c r="CE54" s="153"/>
      <c r="CF54" s="154"/>
      <c r="CG54" s="150"/>
      <c r="CH54" s="100"/>
      <c r="CI54" s="100"/>
      <c r="CJ54" s="153"/>
      <c r="CK54" s="154"/>
      <c r="CL54" s="154"/>
      <c r="CM54" s="154"/>
      <c r="CN54" s="154"/>
      <c r="CO54" s="154"/>
      <c r="CP54" s="154"/>
      <c r="CQ54" s="154"/>
      <c r="CR54" s="150"/>
      <c r="CS54" s="153"/>
      <c r="CT54" s="154"/>
      <c r="CU54" s="100"/>
      <c r="CV54" s="100"/>
      <c r="CW54" s="150"/>
      <c r="CX54" s="150"/>
      <c r="CY54" s="153"/>
      <c r="CZ54" s="100"/>
      <c r="DA54" s="150"/>
      <c r="DB54" s="153"/>
      <c r="DC54" s="100"/>
      <c r="DD54" s="150"/>
      <c r="DE54" s="153"/>
      <c r="DF54" s="154"/>
      <c r="DG54" s="150"/>
      <c r="DH54" s="150"/>
      <c r="DI54" s="100"/>
      <c r="DJ54" s="150"/>
      <c r="DK54" s="149"/>
      <c r="DL54" s="150"/>
      <c r="DM54" s="150"/>
      <c r="DN54" s="150"/>
      <c r="DO54" s="150"/>
      <c r="DP54" s="150"/>
      <c r="DQ54" s="100"/>
      <c r="DR54" s="100"/>
      <c r="DS54" s="100"/>
      <c r="DT54" s="100"/>
      <c r="DU54" s="153"/>
      <c r="DV54" s="150"/>
      <c r="DW54" s="150"/>
      <c r="DX54" s="150"/>
      <c r="DY54" s="100"/>
      <c r="DZ54" s="100"/>
      <c r="EA54" s="149"/>
      <c r="EB54" s="100"/>
      <c r="EC54" s="100"/>
      <c r="ED54" s="153"/>
      <c r="EE54" s="154"/>
      <c r="EF54" s="154"/>
      <c r="EG54" s="154"/>
      <c r="EH54" s="100"/>
      <c r="EI54" s="100"/>
      <c r="EJ54" s="100"/>
      <c r="EK54" s="100"/>
      <c r="EL54" s="150"/>
      <c r="EM54" s="150"/>
      <c r="EN54" s="150"/>
      <c r="EO54" s="150"/>
      <c r="EP54" s="149"/>
      <c r="EQ54" s="100"/>
      <c r="ER54" s="85" t="str">
        <f aca="false">IFERROR(1/(1/SUMIFS(AGYW!$S:$S,AGYW!$C:$C,$B54,AGYW!$D:$D,$C54)),"")</f>
        <v/>
      </c>
      <c r="ES54" s="10" t="str">
        <f aca="false">IFERROR(1/(1/SUMIFS(AGYW!$T:$T,AGYW!$C:$C,$B54,AGYW!$D:$D,$C54)),"")</f>
        <v/>
      </c>
      <c r="ET54" s="5" t="str">
        <f aca="false">$ER54</f>
        <v/>
      </c>
      <c r="EU54" s="5" t="str">
        <f aca="false">$ES54</f>
        <v/>
      </c>
      <c r="EV54" s="88" t="str">
        <f aca="false">IF(SUM($ER54)=0,"",(SUM($ET54)-$ER54)/$ER54)</f>
        <v/>
      </c>
      <c r="EW54" s="88" t="str">
        <f aca="false">IF(SUM($ES54)=0,"",(SUM($EU54)-$ES54)/$ES54)</f>
        <v/>
      </c>
      <c r="EX54" s="153"/>
      <c r="EY54" s="100"/>
      <c r="EZ54" s="150"/>
      <c r="FA54" s="153"/>
      <c r="FB54" s="100"/>
      <c r="FC54" s="155"/>
    </row>
    <row r="55" customFormat="false" ht="15" hidden="false" customHeight="false" outlineLevel="0" collapsed="false">
      <c r="A55" s="0" t="s">
        <v>815</v>
      </c>
      <c r="B55" s="9" t="s">
        <v>818</v>
      </c>
      <c r="C55" s="0" t="s">
        <v>30</v>
      </c>
      <c r="E55" s="153"/>
      <c r="F55" s="154"/>
      <c r="G55" s="154"/>
      <c r="H55" s="154"/>
      <c r="I55" s="154"/>
      <c r="J55" s="154"/>
      <c r="K55" s="154"/>
      <c r="L55" s="150"/>
      <c r="M55" s="153"/>
      <c r="N55" s="100"/>
      <c r="O55" s="150"/>
      <c r="P55" s="154"/>
      <c r="Q55" s="150"/>
      <c r="R55" s="156"/>
      <c r="S55" s="100"/>
      <c r="T55" s="150"/>
      <c r="U55" s="149"/>
      <c r="V55" s="150"/>
      <c r="W55" s="154"/>
      <c r="X55" s="150"/>
      <c r="Y55" s="100"/>
      <c r="Z55" s="149"/>
      <c r="AA55" s="154"/>
      <c r="AB55" s="150"/>
      <c r="AC55" s="100"/>
      <c r="AD55" s="149"/>
      <c r="AE55" s="100"/>
      <c r="AF55" s="149"/>
      <c r="AG55" s="100"/>
      <c r="AH55" s="149"/>
      <c r="AI55" s="150"/>
      <c r="AJ55" s="150"/>
      <c r="AK55" s="150"/>
      <c r="AL55" s="150"/>
      <c r="AM55" s="150"/>
      <c r="AN55" s="150"/>
      <c r="AO55" s="150"/>
      <c r="AP55" s="150"/>
      <c r="AQ55" s="151"/>
      <c r="AR55" s="152"/>
      <c r="AS55" s="152"/>
      <c r="AT55" s="152"/>
      <c r="AU55" s="152"/>
      <c r="AV55" s="152"/>
      <c r="AW55" s="152"/>
      <c r="AX55" s="152"/>
      <c r="AY55" s="152"/>
      <c r="AZ55" s="150"/>
      <c r="BA55" s="153"/>
      <c r="BB55" s="150"/>
      <c r="BC55" s="150"/>
      <c r="BD55" s="100"/>
      <c r="BE55" s="153"/>
      <c r="BF55" s="100"/>
      <c r="BG55" s="150"/>
      <c r="BH55" s="153"/>
      <c r="BI55" s="154"/>
      <c r="BJ55" s="154"/>
      <c r="BK55" s="154"/>
      <c r="BL55" s="100"/>
      <c r="BM55" s="100"/>
      <c r="BN55" s="100"/>
      <c r="BO55" s="154"/>
      <c r="BP55" s="154"/>
      <c r="BQ55" s="153"/>
      <c r="BR55" s="154"/>
      <c r="BS55" s="155"/>
      <c r="BT55" s="100"/>
      <c r="BU55" s="100"/>
      <c r="BV55" s="153"/>
      <c r="BW55" s="154"/>
      <c r="BX55" s="154"/>
      <c r="BY55" s="154"/>
      <c r="BZ55" s="100"/>
      <c r="CA55" s="100"/>
      <c r="CB55" s="100"/>
      <c r="CC55" s="154"/>
      <c r="CD55" s="150"/>
      <c r="CE55" s="153"/>
      <c r="CF55" s="154"/>
      <c r="CG55" s="150"/>
      <c r="CH55" s="100"/>
      <c r="CI55" s="100"/>
      <c r="CJ55" s="153"/>
      <c r="CK55" s="154"/>
      <c r="CL55" s="154"/>
      <c r="CM55" s="154"/>
      <c r="CN55" s="154"/>
      <c r="CO55" s="154"/>
      <c r="CP55" s="154"/>
      <c r="CQ55" s="154"/>
      <c r="CR55" s="150"/>
      <c r="CS55" s="153"/>
      <c r="CT55" s="154"/>
      <c r="CU55" s="100"/>
      <c r="CV55" s="100"/>
      <c r="CW55" s="150"/>
      <c r="CX55" s="150"/>
      <c r="CY55" s="153"/>
      <c r="CZ55" s="100"/>
      <c r="DA55" s="150"/>
      <c r="DB55" s="153"/>
      <c r="DC55" s="100"/>
      <c r="DD55" s="150"/>
      <c r="DE55" s="153"/>
      <c r="DF55" s="154"/>
      <c r="DG55" s="150"/>
      <c r="DH55" s="150"/>
      <c r="DI55" s="100"/>
      <c r="DJ55" s="150"/>
      <c r="DK55" s="149"/>
      <c r="DL55" s="150"/>
      <c r="DM55" s="150"/>
      <c r="DN55" s="150"/>
      <c r="DO55" s="150"/>
      <c r="DP55" s="150"/>
      <c r="DQ55" s="100"/>
      <c r="DR55" s="100"/>
      <c r="DS55" s="100"/>
      <c r="DT55" s="100"/>
      <c r="DU55" s="153"/>
      <c r="DV55" s="150"/>
      <c r="DW55" s="150"/>
      <c r="DX55" s="150"/>
      <c r="DY55" s="100"/>
      <c r="DZ55" s="100"/>
      <c r="EA55" s="149"/>
      <c r="EB55" s="100"/>
      <c r="EC55" s="100"/>
      <c r="ED55" s="153"/>
      <c r="EE55" s="154"/>
      <c r="EF55" s="154"/>
      <c r="EG55" s="154"/>
      <c r="EH55" s="100"/>
      <c r="EI55" s="100"/>
      <c r="EJ55" s="100"/>
      <c r="EK55" s="100"/>
      <c r="EL55" s="150"/>
      <c r="EM55" s="150"/>
      <c r="EN55" s="150"/>
      <c r="EO55" s="150"/>
      <c r="EP55" s="149"/>
      <c r="EQ55" s="100"/>
      <c r="ER55" s="85" t="str">
        <f aca="false">IFERROR(1/(1/SUMIFS(AGYW!$S:$S,AGYW!$C:$C,$B55,AGYW!$D:$D,$C55)),"")</f>
        <v/>
      </c>
      <c r="ES55" s="10" t="str">
        <f aca="false">IFERROR(1/(1/SUMIFS(AGYW!$T:$T,AGYW!$C:$C,$B55,AGYW!$D:$D,$C55)),"")</f>
        <v/>
      </c>
      <c r="ET55" s="5" t="str">
        <f aca="false">$ER55</f>
        <v/>
      </c>
      <c r="EU55" s="5" t="str">
        <f aca="false">$ES55</f>
        <v/>
      </c>
      <c r="EV55" s="88" t="str">
        <f aca="false">IF(SUM($ER55)=0,"",(SUM($ET55)-$ER55)/$ER55)</f>
        <v/>
      </c>
      <c r="EW55" s="88" t="str">
        <f aca="false">IF(SUM($ES55)=0,"",(SUM($EU55)-$ES55)/$ES55)</f>
        <v/>
      </c>
      <c r="EX55" s="153"/>
      <c r="EY55" s="100"/>
      <c r="EZ55" s="150"/>
      <c r="FA55" s="153"/>
      <c r="FB55" s="100"/>
      <c r="FC55" s="155"/>
    </row>
    <row r="56" customFormat="false" ht="15" hidden="false" customHeight="false" outlineLevel="0" collapsed="false">
      <c r="A56" s="0" t="s">
        <v>498</v>
      </c>
      <c r="C56" s="0" t="s">
        <v>30</v>
      </c>
      <c r="E56" s="153"/>
      <c r="F56" s="154"/>
      <c r="G56" s="154"/>
      <c r="H56" s="154"/>
      <c r="I56" s="154"/>
      <c r="J56" s="154"/>
      <c r="K56" s="154"/>
      <c r="L56" s="150"/>
      <c r="M56" s="153"/>
      <c r="N56" s="100"/>
      <c r="O56" s="150"/>
      <c r="P56" s="154"/>
      <c r="Q56" s="150"/>
      <c r="R56" s="156"/>
      <c r="S56" s="100"/>
      <c r="T56" s="150"/>
      <c r="U56" s="149"/>
      <c r="V56" s="150"/>
      <c r="W56" s="154"/>
      <c r="X56" s="150"/>
      <c r="Y56" s="100"/>
      <c r="Z56" s="149"/>
      <c r="AA56" s="154"/>
      <c r="AB56" s="150"/>
      <c r="AC56" s="100"/>
      <c r="AD56" s="149"/>
      <c r="AE56" s="100"/>
      <c r="AF56" s="149"/>
      <c r="AG56" s="100"/>
      <c r="AH56" s="149"/>
      <c r="AI56" s="150"/>
      <c r="AJ56" s="150"/>
      <c r="AK56" s="150"/>
      <c r="AL56" s="150"/>
      <c r="AM56" s="150"/>
      <c r="AN56" s="150"/>
      <c r="AO56" s="150"/>
      <c r="AP56" s="150"/>
      <c r="AQ56" s="151"/>
      <c r="AR56" s="152"/>
      <c r="AS56" s="152"/>
      <c r="AT56" s="152"/>
      <c r="AU56" s="152"/>
      <c r="AV56" s="152"/>
      <c r="AW56" s="152"/>
      <c r="AX56" s="152"/>
      <c r="AY56" s="152"/>
      <c r="AZ56" s="150"/>
      <c r="BA56" s="153"/>
      <c r="BB56" s="150"/>
      <c r="BC56" s="150"/>
      <c r="BD56" s="100"/>
      <c r="BE56" s="153"/>
      <c r="BF56" s="100"/>
      <c r="BG56" s="150"/>
      <c r="BH56" s="153"/>
      <c r="BI56" s="154"/>
      <c r="BJ56" s="154"/>
      <c r="BK56" s="154"/>
      <c r="BL56" s="100"/>
      <c r="BM56" s="100"/>
      <c r="BN56" s="100"/>
      <c r="BO56" s="154"/>
      <c r="BP56" s="154"/>
      <c r="BQ56" s="153"/>
      <c r="BR56" s="154"/>
      <c r="BS56" s="155"/>
      <c r="BT56" s="100"/>
      <c r="BU56" s="100"/>
      <c r="BV56" s="153"/>
      <c r="BW56" s="154"/>
      <c r="BX56" s="154"/>
      <c r="BY56" s="154"/>
      <c r="BZ56" s="100"/>
      <c r="CA56" s="100"/>
      <c r="CB56" s="100"/>
      <c r="CC56" s="154"/>
      <c r="CD56" s="150"/>
      <c r="CE56" s="153"/>
      <c r="CF56" s="154"/>
      <c r="CG56" s="150"/>
      <c r="CH56" s="100"/>
      <c r="CI56" s="100"/>
      <c r="CJ56" s="153"/>
      <c r="CK56" s="154"/>
      <c r="CL56" s="154"/>
      <c r="CM56" s="154"/>
      <c r="CN56" s="154"/>
      <c r="CO56" s="154"/>
      <c r="CP56" s="154"/>
      <c r="CQ56" s="154"/>
      <c r="CR56" s="150"/>
      <c r="CS56" s="153"/>
      <c r="CT56" s="154"/>
      <c r="CU56" s="100"/>
      <c r="CV56" s="100"/>
      <c r="CW56" s="150"/>
      <c r="CX56" s="150"/>
      <c r="CY56" s="153"/>
      <c r="CZ56" s="100"/>
      <c r="DA56" s="150"/>
      <c r="DB56" s="153"/>
      <c r="DC56" s="100"/>
      <c r="DD56" s="150"/>
      <c r="DE56" s="153"/>
      <c r="DF56" s="154"/>
      <c r="DG56" s="150"/>
      <c r="DH56" s="150"/>
      <c r="DI56" s="100"/>
      <c r="DJ56" s="150"/>
      <c r="DK56" s="149"/>
      <c r="DL56" s="150"/>
      <c r="DM56" s="150"/>
      <c r="DN56" s="150"/>
      <c r="DO56" s="150"/>
      <c r="DP56" s="150"/>
      <c r="DQ56" s="100"/>
      <c r="DR56" s="100"/>
      <c r="DS56" s="100"/>
      <c r="DT56" s="100"/>
      <c r="DU56" s="153"/>
      <c r="DV56" s="150"/>
      <c r="DW56" s="150"/>
      <c r="DX56" s="150"/>
      <c r="DY56" s="100"/>
      <c r="DZ56" s="100"/>
      <c r="EA56" s="149"/>
      <c r="EB56" s="100"/>
      <c r="EC56" s="100"/>
      <c r="ED56" s="153"/>
      <c r="EE56" s="154"/>
      <c r="EF56" s="154"/>
      <c r="EG56" s="154"/>
      <c r="EH56" s="100"/>
      <c r="EI56" s="100"/>
      <c r="EJ56" s="100"/>
      <c r="EK56" s="100"/>
      <c r="EL56" s="150"/>
      <c r="EM56" s="150"/>
      <c r="EN56" s="150"/>
      <c r="EO56" s="150"/>
      <c r="EP56" s="149"/>
      <c r="EQ56" s="100"/>
      <c r="ER56" s="153"/>
      <c r="ES56" s="154"/>
      <c r="ET56" s="100"/>
      <c r="EU56" s="100"/>
      <c r="EV56" s="150"/>
      <c r="EW56" s="150"/>
      <c r="EX56" s="85" t="str">
        <f aca="false">IFERROR(1/(1/SUMIFS(KP_MAT!$J:$J,KP_MAT!$C:$C,$C56)),"")</f>
        <v/>
      </c>
      <c r="EY56" s="5" t="str">
        <f aca="false">$EX56</f>
        <v/>
      </c>
      <c r="EZ56" s="88" t="str">
        <f aca="false">IF(SUM($EX56)=0,"",(SUM($EY56)-$EX56)/$EX56)</f>
        <v/>
      </c>
      <c r="FA56" s="153"/>
      <c r="FB56" s="100"/>
      <c r="FC56" s="155"/>
    </row>
    <row r="57" customFormat="false" ht="15" hidden="false" customHeight="false" outlineLevel="0" collapsed="false">
      <c r="A57" s="0" t="s">
        <v>498</v>
      </c>
      <c r="C57" s="0" t="s">
        <v>48</v>
      </c>
      <c r="E57" s="153"/>
      <c r="F57" s="154"/>
      <c r="G57" s="154"/>
      <c r="H57" s="154"/>
      <c r="I57" s="154"/>
      <c r="J57" s="154"/>
      <c r="K57" s="154"/>
      <c r="L57" s="150"/>
      <c r="M57" s="153"/>
      <c r="N57" s="100"/>
      <c r="O57" s="150"/>
      <c r="P57" s="154"/>
      <c r="Q57" s="150"/>
      <c r="R57" s="156"/>
      <c r="S57" s="100"/>
      <c r="T57" s="150"/>
      <c r="U57" s="149"/>
      <c r="V57" s="150"/>
      <c r="W57" s="154"/>
      <c r="X57" s="150"/>
      <c r="Y57" s="100"/>
      <c r="Z57" s="149"/>
      <c r="AA57" s="154"/>
      <c r="AB57" s="150"/>
      <c r="AC57" s="100"/>
      <c r="AD57" s="149"/>
      <c r="AE57" s="100"/>
      <c r="AF57" s="149"/>
      <c r="AG57" s="100"/>
      <c r="AH57" s="149"/>
      <c r="AI57" s="150"/>
      <c r="AJ57" s="150"/>
      <c r="AK57" s="150"/>
      <c r="AL57" s="150"/>
      <c r="AM57" s="150"/>
      <c r="AN57" s="150"/>
      <c r="AO57" s="150"/>
      <c r="AP57" s="150"/>
      <c r="AQ57" s="151"/>
      <c r="AR57" s="152"/>
      <c r="AS57" s="152"/>
      <c r="AT57" s="152"/>
      <c r="AU57" s="152"/>
      <c r="AV57" s="152"/>
      <c r="AW57" s="152"/>
      <c r="AX57" s="152"/>
      <c r="AY57" s="152"/>
      <c r="AZ57" s="150"/>
      <c r="BA57" s="153"/>
      <c r="BB57" s="150"/>
      <c r="BC57" s="150"/>
      <c r="BD57" s="100"/>
      <c r="BE57" s="153"/>
      <c r="BF57" s="100"/>
      <c r="BG57" s="150"/>
      <c r="BH57" s="153"/>
      <c r="BI57" s="154"/>
      <c r="BJ57" s="154"/>
      <c r="BK57" s="154"/>
      <c r="BL57" s="100"/>
      <c r="BM57" s="100"/>
      <c r="BN57" s="100"/>
      <c r="BO57" s="154"/>
      <c r="BP57" s="154"/>
      <c r="BQ57" s="153"/>
      <c r="BR57" s="154"/>
      <c r="BS57" s="155"/>
      <c r="BT57" s="100"/>
      <c r="BU57" s="100"/>
      <c r="BV57" s="153"/>
      <c r="BW57" s="154"/>
      <c r="BX57" s="154"/>
      <c r="BY57" s="154"/>
      <c r="BZ57" s="100"/>
      <c r="CA57" s="100"/>
      <c r="CB57" s="100"/>
      <c r="CC57" s="154"/>
      <c r="CD57" s="150"/>
      <c r="CE57" s="153"/>
      <c r="CF57" s="154"/>
      <c r="CG57" s="150"/>
      <c r="CH57" s="100"/>
      <c r="CI57" s="100"/>
      <c r="CJ57" s="153"/>
      <c r="CK57" s="154"/>
      <c r="CL57" s="154"/>
      <c r="CM57" s="154"/>
      <c r="CN57" s="154"/>
      <c r="CO57" s="154"/>
      <c r="CP57" s="154"/>
      <c r="CQ57" s="154"/>
      <c r="CR57" s="150"/>
      <c r="CS57" s="153"/>
      <c r="CT57" s="154"/>
      <c r="CU57" s="100"/>
      <c r="CV57" s="100"/>
      <c r="CW57" s="150"/>
      <c r="CX57" s="150"/>
      <c r="CY57" s="153"/>
      <c r="CZ57" s="100"/>
      <c r="DA57" s="150"/>
      <c r="DB57" s="153"/>
      <c r="DC57" s="100"/>
      <c r="DD57" s="150"/>
      <c r="DE57" s="153"/>
      <c r="DF57" s="154"/>
      <c r="DG57" s="150"/>
      <c r="DH57" s="150"/>
      <c r="DI57" s="100"/>
      <c r="DJ57" s="150"/>
      <c r="DK57" s="149"/>
      <c r="DL57" s="150"/>
      <c r="DM57" s="150"/>
      <c r="DN57" s="150"/>
      <c r="DO57" s="150"/>
      <c r="DP57" s="150"/>
      <c r="DQ57" s="100"/>
      <c r="DR57" s="100"/>
      <c r="DS57" s="100"/>
      <c r="DT57" s="100"/>
      <c r="DU57" s="153"/>
      <c r="DV57" s="150"/>
      <c r="DW57" s="150"/>
      <c r="DX57" s="150"/>
      <c r="DY57" s="100"/>
      <c r="DZ57" s="100"/>
      <c r="EA57" s="149"/>
      <c r="EB57" s="100"/>
      <c r="EC57" s="100"/>
      <c r="ED57" s="153"/>
      <c r="EE57" s="154"/>
      <c r="EF57" s="154"/>
      <c r="EG57" s="154"/>
      <c r="EH57" s="100"/>
      <c r="EI57" s="100"/>
      <c r="EJ57" s="100"/>
      <c r="EK57" s="100"/>
      <c r="EL57" s="150"/>
      <c r="EM57" s="150"/>
      <c r="EN57" s="150"/>
      <c r="EO57" s="150"/>
      <c r="EP57" s="149"/>
      <c r="EQ57" s="100"/>
      <c r="ER57" s="153"/>
      <c r="ES57" s="154"/>
      <c r="ET57" s="100"/>
      <c r="EU57" s="100"/>
      <c r="EV57" s="150"/>
      <c r="EW57" s="150"/>
      <c r="EX57" s="85" t="str">
        <f aca="false">IFERROR(1/(1/SUMIFS(KP_MAT!$J:$J,KP_MAT!$C:$C,$C57)),"")</f>
        <v/>
      </c>
      <c r="EY57" s="5" t="str">
        <f aca="false">$EX57</f>
        <v/>
      </c>
      <c r="EZ57" s="88" t="str">
        <f aca="false">IF(SUM($EX57)=0,"",(SUM($EY57)-$EX57)/$EX57)</f>
        <v/>
      </c>
      <c r="FA57" s="153"/>
      <c r="FB57" s="100"/>
      <c r="FC57" s="155"/>
    </row>
    <row r="58" customFormat="false" ht="15" hidden="false" customHeight="false" outlineLevel="0" collapsed="false">
      <c r="A58" s="0" t="s">
        <v>819</v>
      </c>
      <c r="E58" s="153"/>
      <c r="F58" s="154"/>
      <c r="G58" s="154"/>
      <c r="H58" s="154"/>
      <c r="I58" s="154"/>
      <c r="J58" s="154"/>
      <c r="K58" s="154"/>
      <c r="L58" s="150"/>
      <c r="M58" s="153"/>
      <c r="N58" s="100"/>
      <c r="O58" s="150"/>
      <c r="P58" s="154"/>
      <c r="Q58" s="150"/>
      <c r="R58" s="156"/>
      <c r="S58" s="100"/>
      <c r="T58" s="150"/>
      <c r="U58" s="149"/>
      <c r="V58" s="150"/>
      <c r="W58" s="154"/>
      <c r="X58" s="150"/>
      <c r="Y58" s="100"/>
      <c r="Z58" s="149"/>
      <c r="AA58" s="154"/>
      <c r="AB58" s="150"/>
      <c r="AC58" s="100"/>
      <c r="AD58" s="149"/>
      <c r="AE58" s="100"/>
      <c r="AF58" s="149"/>
      <c r="AG58" s="100"/>
      <c r="AH58" s="149"/>
      <c r="AI58" s="150"/>
      <c r="AJ58" s="150"/>
      <c r="AK58" s="150"/>
      <c r="AL58" s="150"/>
      <c r="AM58" s="150"/>
      <c r="AN58" s="150"/>
      <c r="AO58" s="150"/>
      <c r="AP58" s="150"/>
      <c r="AQ58" s="151"/>
      <c r="AR58" s="152"/>
      <c r="AS58" s="152"/>
      <c r="AT58" s="152"/>
      <c r="AU58" s="152"/>
      <c r="AV58" s="152"/>
      <c r="AW58" s="152"/>
      <c r="AX58" s="152"/>
      <c r="AY58" s="152"/>
      <c r="AZ58" s="150"/>
      <c r="BA58" s="153"/>
      <c r="BB58" s="150"/>
      <c r="BC58" s="150"/>
      <c r="BD58" s="100"/>
      <c r="BE58" s="153"/>
      <c r="BF58" s="100"/>
      <c r="BG58" s="150"/>
      <c r="BH58" s="153"/>
      <c r="BI58" s="154"/>
      <c r="BJ58" s="154"/>
      <c r="BK58" s="154"/>
      <c r="BL58" s="100"/>
      <c r="BM58" s="100"/>
      <c r="BN58" s="100"/>
      <c r="BO58" s="154"/>
      <c r="BP58" s="154"/>
      <c r="BQ58" s="153"/>
      <c r="BR58" s="154"/>
      <c r="BS58" s="155"/>
      <c r="BT58" s="100"/>
      <c r="BU58" s="100"/>
      <c r="BV58" s="153"/>
      <c r="BW58" s="154"/>
      <c r="BX58" s="154"/>
      <c r="BY58" s="154"/>
      <c r="BZ58" s="100"/>
      <c r="CA58" s="100"/>
      <c r="CB58" s="100"/>
      <c r="CC58" s="154"/>
      <c r="CD58" s="150"/>
      <c r="CE58" s="153"/>
      <c r="CF58" s="154"/>
      <c r="CG58" s="150"/>
      <c r="CH58" s="100"/>
      <c r="CI58" s="100"/>
      <c r="CJ58" s="153"/>
      <c r="CK58" s="154"/>
      <c r="CL58" s="154"/>
      <c r="CM58" s="154"/>
      <c r="CN58" s="154"/>
      <c r="CO58" s="154"/>
      <c r="CP58" s="154"/>
      <c r="CQ58" s="154"/>
      <c r="CR58" s="150"/>
      <c r="CS58" s="153"/>
      <c r="CT58" s="154"/>
      <c r="CU58" s="100"/>
      <c r="CV58" s="100"/>
      <c r="CW58" s="150"/>
      <c r="CX58" s="150"/>
      <c r="CY58" s="153"/>
      <c r="CZ58" s="100"/>
      <c r="DA58" s="150"/>
      <c r="DB58" s="153"/>
      <c r="DC58" s="100"/>
      <c r="DD58" s="150"/>
      <c r="DE58" s="153"/>
      <c r="DF58" s="154"/>
      <c r="DG58" s="150"/>
      <c r="DH58" s="150"/>
      <c r="DI58" s="100"/>
      <c r="DJ58" s="150"/>
      <c r="DK58" s="149"/>
      <c r="DL58" s="150"/>
      <c r="DM58" s="150"/>
      <c r="DN58" s="150"/>
      <c r="DO58" s="150"/>
      <c r="DP58" s="150"/>
      <c r="DQ58" s="150"/>
      <c r="DR58" s="150"/>
      <c r="DS58" s="150"/>
      <c r="DT58" s="150"/>
      <c r="DU58" s="149"/>
      <c r="DV58" s="150"/>
      <c r="DW58" s="150"/>
      <c r="DX58" s="150"/>
      <c r="DY58" s="150"/>
      <c r="DZ58" s="150"/>
      <c r="EA58" s="149"/>
      <c r="EB58" s="150"/>
      <c r="EC58" s="150"/>
      <c r="ED58" s="153"/>
      <c r="EE58" s="154"/>
      <c r="EF58" s="154"/>
      <c r="EG58" s="154"/>
      <c r="EH58" s="100"/>
      <c r="EI58" s="100"/>
      <c r="EJ58" s="100"/>
      <c r="EK58" s="100"/>
      <c r="EL58" s="150"/>
      <c r="EM58" s="150"/>
      <c r="EN58" s="150"/>
      <c r="EO58" s="150"/>
      <c r="EP58" s="149"/>
      <c r="EQ58" s="100"/>
      <c r="ER58" s="153"/>
      <c r="ES58" s="154"/>
      <c r="ET58" s="100"/>
      <c r="EU58" s="100"/>
      <c r="EV58" s="150"/>
      <c r="EW58" s="150"/>
      <c r="EX58" s="153"/>
      <c r="EY58" s="100"/>
      <c r="EZ58" s="150"/>
      <c r="FA58" s="85" t="n">
        <f aca="false">IFERROR(1/(1/SUM(GEND!$G:$H)),"")</f>
        <v>2016</v>
      </c>
      <c r="FC58" s="87" t="n">
        <f aca="false">IF(SUM($FA58)=0,"",(SUM($FB58)-$FA58)/$FA58)</f>
        <v>-1</v>
      </c>
    </row>
  </sheetData>
  <mergeCells count="1">
    <mergeCell ref="A2:C3"/>
  </mergeCells>
  <conditionalFormatting sqref="AQ1:AY1048576">
    <cfRule type="expression" priority="2" aboveAverage="0" equalAverage="0" bottom="0" percent="0" rank="0" text="" dxfId="28">
      <formula>AND(ISNUMBER(AQ1),AQ1&lt;&gt;AH1)</formula>
    </cfRule>
  </conditionalFormatting>
  <conditionalFormatting sqref="AZ1:AZ1048576">
    <cfRule type="expression" priority="3" aboveAverage="0" equalAverage="0" bottom="0" percent="0" rank="0" text="" dxfId="29">
      <formula>AND(ISNUMBER($AZ1),SUM($AG1)&lt;&gt;0,$AZ1&lt;&gt;1)</formula>
    </cfRule>
  </conditionalFormatting>
  <hyperlinks>
    <hyperlink ref="E3" location="Cascade!BE:BE" display="Total Positives (FY24)"/>
    <hyperlink ref="F3" location="Cascade!AU:AU" display="TX_NEW&#10;(FY24)"/>
    <hyperlink ref="G3" location="Cascade!AM:AM" display="TX_CURR (FY24)"/>
    <hyperlink ref="H3" location="Cascade!AY:AY" display="TX_PVLS (D) Routine (FY24)"/>
    <hyperlink ref="I3" location="Cascade!BB:BB" display="TX_PVLS (N) Routine (FY24)"/>
    <hyperlink ref="J3" location="Cascade!AH:AH" display="PLHIV&#10;(FY24)"/>
    <hyperlink ref="K3" location="Cascade!AN:AN" display="P.C. # on ART&#10;(FY24)"/>
    <hyperlink ref="L3" location="Cascade!AO:AO" display="P.C. ART Coverage (ART/PLHIV)&#10;(FY24)&#10;(%)"/>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A1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AB15" activePane="bottomRight" state="frozen"/>
      <selection pane="topLeft" activeCell="A1" activeCellId="0" sqref="A1"/>
      <selection pane="topRight" activeCell="AB1" activeCellId="0" sqref="AB1"/>
      <selection pane="bottomLeft" activeCell="A15" activeCellId="0" sqref="A15"/>
      <selection pane="bottomRight" activeCell="AJ3" activeCellId="0" sqref="AJ3"/>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15.5"/>
    <col collapsed="false" customWidth="true" hidden="false" outlineLevel="0" max="53" min="6" style="0" width="11.83"/>
  </cols>
  <sheetData>
    <row r="1" customFormat="false" ht="30.75" hidden="false" customHeight="true" outlineLevel="0" collapsed="false">
      <c r="A1" s="41" t="s">
        <v>820</v>
      </c>
      <c r="C1" s="15"/>
      <c r="D1" s="15"/>
      <c r="E1" s="15"/>
      <c r="F1" s="42" t="s">
        <v>821</v>
      </c>
      <c r="G1" s="18"/>
      <c r="H1" s="157"/>
      <c r="I1" s="18"/>
      <c r="J1" s="45"/>
      <c r="K1" s="18"/>
      <c r="L1" s="18"/>
      <c r="M1" s="18"/>
      <c r="N1" s="18"/>
      <c r="O1" s="18"/>
      <c r="P1" s="18"/>
      <c r="Q1" s="18"/>
      <c r="R1" s="42" t="s">
        <v>822</v>
      </c>
      <c r="S1" s="47"/>
      <c r="T1" s="43"/>
      <c r="U1" s="47"/>
      <c r="V1" s="43"/>
      <c r="W1" s="48" t="s">
        <v>823</v>
      </c>
      <c r="X1" s="47"/>
      <c r="Y1" s="47"/>
      <c r="Z1" s="47"/>
      <c r="AA1" s="43"/>
      <c r="AB1" s="43"/>
      <c r="AC1" s="43"/>
      <c r="AD1" s="43"/>
      <c r="AE1" s="42" t="s">
        <v>824</v>
      </c>
      <c r="AF1" s="43"/>
      <c r="AG1" s="43"/>
      <c r="AH1" s="43"/>
      <c r="AI1" s="48" t="s">
        <v>825</v>
      </c>
      <c r="AJ1" s="43"/>
      <c r="AK1" s="43"/>
      <c r="AL1" s="42" t="s">
        <v>826</v>
      </c>
      <c r="AM1" s="43"/>
      <c r="AN1" s="43"/>
      <c r="AO1" s="42" t="s">
        <v>827</v>
      </c>
      <c r="AP1" s="47"/>
      <c r="AQ1" s="47"/>
      <c r="AR1" s="47"/>
      <c r="AS1" s="43"/>
      <c r="AT1" s="43"/>
      <c r="AU1" s="43"/>
      <c r="AV1" s="42" t="s">
        <v>828</v>
      </c>
      <c r="AW1" s="43"/>
      <c r="AX1" s="43"/>
      <c r="AY1" s="43"/>
      <c r="AZ1" s="43"/>
      <c r="BA1" s="43"/>
    </row>
    <row r="2" customFormat="false" ht="18.75" hidden="false" customHeight="true" outlineLevel="0" collapsed="false">
      <c r="A2" s="158" t="s">
        <v>829</v>
      </c>
      <c r="B2" s="158"/>
      <c r="D2" s="19"/>
      <c r="E2" s="19"/>
      <c r="F2" s="50"/>
      <c r="G2" s="22"/>
      <c r="H2" s="51"/>
      <c r="I2" s="22"/>
      <c r="J2" s="52"/>
      <c r="K2" s="22"/>
      <c r="L2" s="22"/>
      <c r="M2" s="22"/>
      <c r="N2" s="22"/>
      <c r="O2" s="22"/>
      <c r="P2" s="22"/>
      <c r="Q2" s="22"/>
      <c r="R2" s="50"/>
      <c r="S2" s="52"/>
      <c r="T2" s="21" t="s">
        <v>177</v>
      </c>
      <c r="U2" s="52"/>
      <c r="V2" s="21" t="s">
        <v>177</v>
      </c>
      <c r="W2" s="54"/>
      <c r="X2" s="52"/>
      <c r="Y2" s="52"/>
      <c r="Z2" s="52"/>
      <c r="AA2" s="21" t="s">
        <v>177</v>
      </c>
      <c r="AB2" s="21" t="s">
        <v>177</v>
      </c>
      <c r="AC2" s="21" t="s">
        <v>177</v>
      </c>
      <c r="AD2" s="21" t="s">
        <v>177</v>
      </c>
      <c r="AE2" s="55" t="s">
        <v>177</v>
      </c>
      <c r="AF2" s="21" t="s">
        <v>177</v>
      </c>
      <c r="AG2" s="21" t="s">
        <v>177</v>
      </c>
      <c r="AH2" s="21" t="s">
        <v>177</v>
      </c>
      <c r="AI2" s="54"/>
      <c r="AJ2" s="21" t="s">
        <v>177</v>
      </c>
      <c r="AK2" s="21" t="s">
        <v>177</v>
      </c>
      <c r="AL2" s="55" t="s">
        <v>177</v>
      </c>
      <c r="AM2" s="21" t="s">
        <v>177</v>
      </c>
      <c r="AN2" s="21" t="s">
        <v>177</v>
      </c>
      <c r="AO2" s="50"/>
      <c r="AP2" s="52"/>
      <c r="AQ2" s="52"/>
      <c r="AR2" s="52"/>
      <c r="AS2" s="21" t="s">
        <v>177</v>
      </c>
      <c r="AT2" s="21" t="s">
        <v>177</v>
      </c>
      <c r="AU2" s="22"/>
      <c r="AV2" s="50"/>
      <c r="AW2" s="22"/>
      <c r="AX2" s="22"/>
      <c r="AY2" s="22"/>
      <c r="AZ2" s="22"/>
      <c r="BA2" s="22"/>
    </row>
    <row r="3" customFormat="false" ht="117" hidden="false" customHeight="true" outlineLevel="0" collapsed="false">
      <c r="A3" s="158"/>
      <c r="B3" s="158"/>
      <c r="D3" s="23"/>
      <c r="E3" s="23"/>
      <c r="F3" s="137" t="s">
        <v>830</v>
      </c>
      <c r="G3" s="138" t="s">
        <v>831</v>
      </c>
      <c r="H3" s="159" t="s">
        <v>379</v>
      </c>
      <c r="I3" s="138" t="s">
        <v>832</v>
      </c>
      <c r="J3" s="139" t="s">
        <v>833</v>
      </c>
      <c r="K3" s="62" t="s">
        <v>834</v>
      </c>
      <c r="L3" s="62" t="s">
        <v>835</v>
      </c>
      <c r="M3" s="62" t="s">
        <v>836</v>
      </c>
      <c r="N3" s="62" t="s">
        <v>837</v>
      </c>
      <c r="O3" s="62" t="s">
        <v>838</v>
      </c>
      <c r="P3" s="62" t="s">
        <v>839</v>
      </c>
      <c r="Q3" s="62" t="s">
        <v>840</v>
      </c>
      <c r="R3" s="24" t="s">
        <v>841</v>
      </c>
      <c r="S3" s="160" t="s">
        <v>842</v>
      </c>
      <c r="T3" s="72" t="s">
        <v>843</v>
      </c>
      <c r="U3" s="160" t="s">
        <v>844</v>
      </c>
      <c r="V3" s="72" t="s">
        <v>845</v>
      </c>
      <c r="W3" s="161" t="s">
        <v>846</v>
      </c>
      <c r="X3" s="160" t="s">
        <v>847</v>
      </c>
      <c r="Y3" s="162" t="s">
        <v>848</v>
      </c>
      <c r="Z3" s="160" t="s">
        <v>849</v>
      </c>
      <c r="AA3" s="72" t="s">
        <v>545</v>
      </c>
      <c r="AB3" s="72" t="s">
        <v>542</v>
      </c>
      <c r="AC3" s="72" t="s">
        <v>543</v>
      </c>
      <c r="AD3" s="72" t="s">
        <v>544</v>
      </c>
      <c r="AE3" s="118" t="s">
        <v>850</v>
      </c>
      <c r="AF3" s="25" t="s">
        <v>851</v>
      </c>
      <c r="AG3" s="25" t="s">
        <v>852</v>
      </c>
      <c r="AH3" s="25" t="s">
        <v>853</v>
      </c>
      <c r="AI3" s="140" t="s">
        <v>286</v>
      </c>
      <c r="AJ3" s="72" t="s">
        <v>551</v>
      </c>
      <c r="AK3" s="72" t="s">
        <v>552</v>
      </c>
      <c r="AL3" s="118" t="s">
        <v>854</v>
      </c>
      <c r="AM3" s="25" t="s">
        <v>855</v>
      </c>
      <c r="AN3" s="25" t="s">
        <v>856</v>
      </c>
      <c r="AO3" s="63" t="s">
        <v>857</v>
      </c>
      <c r="AP3" s="71" t="s">
        <v>858</v>
      </c>
      <c r="AQ3" s="65" t="s">
        <v>859</v>
      </c>
      <c r="AR3" s="71" t="s">
        <v>286</v>
      </c>
      <c r="AS3" s="72" t="s">
        <v>860</v>
      </c>
      <c r="AT3" s="72" t="s">
        <v>861</v>
      </c>
      <c r="AU3" s="69" t="s">
        <v>862</v>
      </c>
      <c r="AV3" s="24" t="s">
        <v>863</v>
      </c>
      <c r="AW3" s="138" t="s">
        <v>864</v>
      </c>
      <c r="AX3" s="138" t="s">
        <v>865</v>
      </c>
      <c r="AY3" s="138" t="s">
        <v>866</v>
      </c>
      <c r="AZ3" s="138" t="s">
        <v>867</v>
      </c>
      <c r="BA3" s="69" t="s">
        <v>868</v>
      </c>
    </row>
    <row r="4" customFormat="false" ht="15" hidden="false" customHeight="false" outlineLevel="0" collapsed="false">
      <c r="B4" s="27"/>
      <c r="C4" s="27"/>
      <c r="D4" s="27" t="s">
        <v>288</v>
      </c>
      <c r="E4" s="27"/>
      <c r="F4" s="76" t="n">
        <f aca="false">SUBTOTAL(109,F$15:INDEX(F:F,COUNTA($B:$B)+14-COUNTA($B$1:$B$14)))</f>
        <v>0</v>
      </c>
      <c r="G4" s="75" t="n">
        <f aca="false">SUBTOTAL(109,G$15:INDEX(G:G,COUNTA($B:$B)+14-COUNTA($B$1:$B$14)))</f>
        <v>0</v>
      </c>
      <c r="H4" s="77" t="str">
        <f aca="false">IF($F$4=0,"",$G4/$F4)</f>
        <v/>
      </c>
      <c r="I4" s="75" t="n">
        <f aca="false">SUBTOTAL(109,I$15:INDEX(I:I,COUNTA($B:$B)+14-COUNTA($B$1:$B$14)))</f>
        <v>0</v>
      </c>
      <c r="J4" s="78" t="str">
        <f aca="false">IF($G$4=0,"",$I4/$G4)</f>
        <v/>
      </c>
      <c r="K4" s="75" t="n">
        <f aca="false">SUBTOTAL(109,K$15:INDEX(K:K,COUNTA($B:$B)+14-COUNTA($B$1:$B$14)))</f>
        <v>0</v>
      </c>
      <c r="L4" s="75" t="n">
        <f aca="false">SUBTOTAL(109,L$15:INDEX(L:L,COUNTA($B:$B)+14-COUNTA($B$1:$B$14)))</f>
        <v>0</v>
      </c>
      <c r="M4" s="75" t="n">
        <f aca="false">SUBTOTAL(109,M$15:INDEX(M:M,COUNTA($B:$B)+14-COUNTA($B$1:$B$14)))</f>
        <v>0</v>
      </c>
      <c r="N4" s="75" t="n">
        <f aca="false">SUBTOTAL(109,N$15:INDEX(N:N,COUNTA($B:$B)+14-COUNTA($B$1:$B$14)))</f>
        <v>0</v>
      </c>
      <c r="O4" s="75" t="n">
        <f aca="false">SUBTOTAL(109,O$15:INDEX(O:O,COUNTA($B:$B)+14-COUNTA($B$1:$B$14)))</f>
        <v>0</v>
      </c>
      <c r="P4" s="75" t="n">
        <f aca="false">SUBTOTAL(109,P$15:INDEX(P:P,COUNTA($B:$B)+14-COUNTA($B$1:$B$14)))</f>
        <v>0</v>
      </c>
      <c r="Q4" s="75" t="n">
        <f aca="false">SUBTOTAL(109,Q$15:INDEX(Q:Q,COUNTA($B:$B)+14-COUNTA($B$1:$B$14)))</f>
        <v>0</v>
      </c>
      <c r="R4" s="76" t="n">
        <f aca="false">SUBTOTAL(109,R$15:INDEX(R:R,COUNTA($B:$B)+14-COUNTA($B$1:$B$14)))</f>
        <v>0</v>
      </c>
      <c r="S4" s="84" t="str">
        <f aca="false">IF(SUM($R$4)=0,"",$T$4/$R$4-1)</f>
        <v/>
      </c>
      <c r="T4" s="82" t="n">
        <f aca="false">SUBTOTAL(109,T$15:INDEX(T:T,COUNTA($B:$B)+14-COUNTA($B$1:$B$14)))</f>
        <v>0</v>
      </c>
      <c r="U4" s="84" t="str">
        <f aca="false">IF($V$4=0,"",$T$4/$V$4)</f>
        <v/>
      </c>
      <c r="V4" s="82" t="n">
        <f aca="false">SUBTOTAL(109,V$15:INDEX(V:V,COUNTA($B:$B)+14-COUNTA($B$1:$B$14)))</f>
        <v>0</v>
      </c>
      <c r="W4" s="83"/>
      <c r="X4" s="84" t="str">
        <f aca="false">IF($AA$4=0,"",$AB$4/$AA$4)</f>
        <v/>
      </c>
      <c r="Y4" s="84"/>
      <c r="Z4" s="84" t="str">
        <f aca="false">IF($AA$4=0,"",$AC$4/($AA$4-$AB$4))</f>
        <v/>
      </c>
      <c r="AA4" s="82" t="n">
        <f aca="false">SUBTOTAL(109,AA$15:INDEX(AA:AA,COUNTA($B:$B)+14-COUNTA($B$1:$B$14)))</f>
        <v>0</v>
      </c>
      <c r="AB4" s="163" t="n">
        <f aca="false">IF(COUNTIF(AB$15:INDEX($AB:$AB,COUNTA($B:$B)+14-COUNTA($B$1:$B$14)),"&lt;0")&gt;0,"RESOLVE NEGATIVES",SUBTOTAL(109,AB$15:INDEX(AB:AB,COUNTA($B:$B)+14-COUNTA($B$1:$B$14))))</f>
        <v>0</v>
      </c>
      <c r="AC4" s="82" t="n">
        <f aca="false">SUBTOTAL(109,AC$15:INDEX(AC:AC,COUNTA($B:$B)+14-COUNTA($B$1:$B$14)))</f>
        <v>0</v>
      </c>
      <c r="AD4" s="82" t="n">
        <f aca="false">SUBTOTAL(109,AD$15:INDEX(AD:AD,COUNTA($B:$B)+14-COUNTA($B$1:$B$14)))</f>
        <v>0</v>
      </c>
      <c r="AE4" s="121" t="n">
        <f aca="false">SUBTOTAL(109,AE$15:INDEX(AE:AE,COUNTA($B:$B)+14-COUNTA($B$1:$B$14)))</f>
        <v>0</v>
      </c>
      <c r="AF4" s="82" t="n">
        <f aca="false">SUBTOTAL(109,AF$15:INDEX(AF:AF,COUNTA($B:$B)+14-COUNTA($B$1:$B$14)))</f>
        <v>0</v>
      </c>
      <c r="AG4" s="82" t="n">
        <f aca="false">SUBTOTAL(109,AG$15:INDEX(AG:AG,COUNTA($B:$B)+14-COUNTA($B$1:$B$14)))</f>
        <v>0</v>
      </c>
      <c r="AH4" s="82" t="n">
        <f aca="false">SUBTOTAL(109,AH$15:INDEX(AH:AH,COUNTA($B:$B)+14-COUNTA($B$1:$B$14)))</f>
        <v>0</v>
      </c>
      <c r="AI4" s="83" t="str">
        <f aca="false">IF($AC$4=0,"",$AK$4/$AC$4)</f>
        <v/>
      </c>
      <c r="AJ4" s="82" t="n">
        <f aca="false">SUBTOTAL(109,AJ$15:INDEX(AJ:AJ,COUNTA($B:$B)+14-COUNTA($B$1:$B$14)))</f>
        <v>0</v>
      </c>
      <c r="AK4" s="82" t="n">
        <f aca="false">SUBTOTAL(109,AK$15:INDEX(AK:AK,COUNTA($B:$B)+14-COUNTA($B$1:$B$14)))</f>
        <v>0</v>
      </c>
      <c r="AL4" s="121" t="n">
        <f aca="false">SUBTOTAL(109,AL$15:INDEX(AL:AL,COUNTA($B:$B)+14-COUNTA($B$1:$B$14)))</f>
        <v>0</v>
      </c>
      <c r="AM4" s="82" t="n">
        <f aca="false">SUBTOTAL(109,AM$15:INDEX(AM:AM,COUNTA($B:$B)+14-COUNTA($B$1:$B$14)))</f>
        <v>0</v>
      </c>
      <c r="AN4" s="82" t="n">
        <f aca="false">SUBTOTAL(109,AN$15:INDEX(AN:AN,COUNTA($B:$B)+14-COUNTA($B$1:$B$14)))</f>
        <v>0</v>
      </c>
      <c r="AO4" s="76" t="n">
        <f aca="false">SUBTOTAL(109,AO$15:INDEX(AO:AO,COUNTA($B:$B)+14-COUNTA($B$1:$B$14)))</f>
        <v>0</v>
      </c>
      <c r="AP4" s="164"/>
      <c r="AQ4" s="164" t="str">
        <f aca="false">IF($AO$4=0,"",$AS$4/$AO$4)</f>
        <v/>
      </c>
      <c r="AR4" s="164" t="str">
        <f aca="false">IF($AS$4=0,"",$AU$4/$AS$4)</f>
        <v/>
      </c>
      <c r="AS4" s="82" t="n">
        <f aca="false">SUBTOTAL(109,AS$15:INDEX(AS:AS,COUNTA($B:$B)+14-COUNTA($B$1:$B$14)))</f>
        <v>0</v>
      </c>
      <c r="AT4" s="82" t="n">
        <f aca="false">SUBTOTAL(109,AT$15:INDEX(AT:AT,COUNTA($B:$B)+14-COUNTA($B$1:$B$14)))</f>
        <v>0</v>
      </c>
      <c r="AU4" s="75" t="n">
        <f aca="false">SUBTOTAL(109,AU$15:INDEX(AU:AU,COUNTA($B:$B)+14-COUNTA($B$1:$B$14)))</f>
        <v>0</v>
      </c>
      <c r="AV4" s="76" t="n">
        <f aca="false">SUBTOTAL(109,AV$15:INDEX(AV:AV,COUNTA($B:$B)+14-COUNTA($B$1:$B$14)))</f>
        <v>0</v>
      </c>
      <c r="AW4" s="75" t="n">
        <f aca="false">SUBTOTAL(109,AW$15:INDEX(AW:AW,COUNTA($B:$B)+14-COUNTA($B$1:$B$14)))</f>
        <v>0</v>
      </c>
      <c r="AX4" s="10" t="n">
        <f aca="false">SUBTOTAL(109,AX$15:INDEX(AX:AX,COUNTA($B:$B)+14-COUNTA($B$1:$B$14)))</f>
        <v>0</v>
      </c>
      <c r="AY4" s="10" t="n">
        <f aca="false">SUBTOTAL(109,AY$15:INDEX(AY:AY,COUNTA($B:$B)+14-COUNTA($B$1:$B$14)))</f>
        <v>0</v>
      </c>
      <c r="AZ4" s="10" t="n">
        <f aca="false">SUBTOTAL(109,AZ$15:INDEX(AZ:AZ,COUNTA($B:$B)+14-COUNTA($B$1:$B$14)))</f>
        <v>0</v>
      </c>
      <c r="BA4" s="10" t="n">
        <f aca="false">SUBTOTAL(109,BA$15:INDEX(BA:BA,COUNTA($B:$B)+14-COUNTA($B$1:$B$14)))</f>
        <v>0</v>
      </c>
    </row>
    <row r="5" customFormat="false" ht="12.8" hidden="false" customHeight="false" outlineLevel="0" collapsed="false">
      <c r="A5" s="0" t="s">
        <v>181</v>
      </c>
      <c r="B5" s="9" t="s">
        <v>181</v>
      </c>
      <c r="C5" s="9" t="s">
        <v>181</v>
      </c>
      <c r="D5" s="9" t="s">
        <v>181</v>
      </c>
      <c r="E5" s="9" t="s">
        <v>181</v>
      </c>
      <c r="F5" s="85" t="s">
        <v>181</v>
      </c>
      <c r="G5" s="10" t="s">
        <v>181</v>
      </c>
      <c r="H5" s="86" t="s">
        <v>181</v>
      </c>
      <c r="I5" s="10" t="s">
        <v>181</v>
      </c>
      <c r="J5" s="88" t="s">
        <v>181</v>
      </c>
      <c r="K5" s="10" t="s">
        <v>290</v>
      </c>
      <c r="L5" s="10" t="s">
        <v>290</v>
      </c>
      <c r="M5" s="10" t="s">
        <v>290</v>
      </c>
      <c r="N5" s="10" t="s">
        <v>290</v>
      </c>
      <c r="O5" s="10" t="s">
        <v>290</v>
      </c>
      <c r="P5" s="10" t="s">
        <v>290</v>
      </c>
      <c r="Q5" s="10" t="s">
        <v>290</v>
      </c>
      <c r="R5" s="85" t="s">
        <v>289</v>
      </c>
      <c r="S5" s="88" t="s">
        <v>181</v>
      </c>
      <c r="T5" s="5" t="s">
        <v>289</v>
      </c>
      <c r="U5" s="88" t="s">
        <v>181</v>
      </c>
      <c r="V5" s="5" t="s">
        <v>290</v>
      </c>
      <c r="W5" s="92" t="s">
        <v>181</v>
      </c>
      <c r="X5" s="88" t="s">
        <v>181</v>
      </c>
      <c r="Y5" s="88" t="s">
        <v>181</v>
      </c>
      <c r="Z5" s="88" t="s">
        <v>181</v>
      </c>
      <c r="AA5" s="5" t="s">
        <v>181</v>
      </c>
      <c r="AB5" s="165" t="s">
        <v>289</v>
      </c>
      <c r="AC5" s="5" t="s">
        <v>289</v>
      </c>
      <c r="AD5" s="5" t="s">
        <v>289</v>
      </c>
      <c r="AE5" s="81" t="s">
        <v>181</v>
      </c>
      <c r="AF5" s="5" t="s">
        <v>290</v>
      </c>
      <c r="AG5" s="5" t="s">
        <v>290</v>
      </c>
      <c r="AH5" s="5" t="s">
        <v>290</v>
      </c>
      <c r="AI5" s="92" t="s">
        <v>181</v>
      </c>
      <c r="AJ5" s="5" t="s">
        <v>289</v>
      </c>
      <c r="AK5" s="5" t="s">
        <v>289</v>
      </c>
      <c r="AL5" s="81" t="s">
        <v>290</v>
      </c>
      <c r="AM5" s="5" t="s">
        <v>290</v>
      </c>
      <c r="AN5" s="5" t="s">
        <v>290</v>
      </c>
      <c r="AO5" s="85" t="s">
        <v>181</v>
      </c>
      <c r="AP5" s="88" t="s">
        <v>181</v>
      </c>
      <c r="AQ5" s="88" t="s">
        <v>181</v>
      </c>
      <c r="AR5" s="88" t="s">
        <v>181</v>
      </c>
      <c r="AS5" s="5" t="s">
        <v>289</v>
      </c>
      <c r="AT5" s="5" t="s">
        <v>289</v>
      </c>
      <c r="AU5" s="10" t="s">
        <v>181</v>
      </c>
      <c r="AV5" s="85" t="s">
        <v>181</v>
      </c>
      <c r="AW5" s="10" t="s">
        <v>181</v>
      </c>
      <c r="AX5" s="10" t="s">
        <v>181</v>
      </c>
      <c r="AY5" s="10" t="s">
        <v>181</v>
      </c>
      <c r="AZ5" s="10" t="s">
        <v>181</v>
      </c>
      <c r="BA5" s="10" t="s">
        <v>181</v>
      </c>
    </row>
    <row r="6" customFormat="false" ht="12.8" hidden="false" customHeight="false" outlineLevel="0" collapsed="false">
      <c r="A6" s="0" t="s">
        <v>183</v>
      </c>
      <c r="B6" s="9" t="s">
        <v>183</v>
      </c>
      <c r="C6" s="9" t="s">
        <v>183</v>
      </c>
      <c r="D6" s="9" t="s">
        <v>183</v>
      </c>
      <c r="E6" s="9" t="s">
        <v>183</v>
      </c>
      <c r="F6" s="85" t="s">
        <v>186</v>
      </c>
      <c r="G6" s="10" t="s">
        <v>186</v>
      </c>
      <c r="H6" s="86" t="s">
        <v>186</v>
      </c>
      <c r="I6" s="10" t="s">
        <v>186</v>
      </c>
      <c r="J6" s="88" t="s">
        <v>186</v>
      </c>
      <c r="K6" s="10" t="s">
        <v>185</v>
      </c>
      <c r="L6" s="10" t="s">
        <v>185</v>
      </c>
      <c r="M6" s="10" t="s">
        <v>185</v>
      </c>
      <c r="N6" s="10" t="s">
        <v>185</v>
      </c>
      <c r="O6" s="10" t="s">
        <v>185</v>
      </c>
      <c r="P6" s="10" t="s">
        <v>185</v>
      </c>
      <c r="Q6" s="10" t="s">
        <v>185</v>
      </c>
      <c r="R6" s="85" t="s">
        <v>184</v>
      </c>
      <c r="S6" s="88" t="s">
        <v>291</v>
      </c>
      <c r="T6" s="5" t="s">
        <v>185</v>
      </c>
      <c r="U6" s="88" t="s">
        <v>291</v>
      </c>
      <c r="V6" s="5" t="s">
        <v>185</v>
      </c>
      <c r="W6" s="92" t="s">
        <v>292</v>
      </c>
      <c r="X6" s="88" t="s">
        <v>291</v>
      </c>
      <c r="Y6" s="88" t="s">
        <v>292</v>
      </c>
      <c r="Z6" s="88" t="s">
        <v>291</v>
      </c>
      <c r="AA6" s="5" t="s">
        <v>186</v>
      </c>
      <c r="AB6" s="165" t="s">
        <v>185</v>
      </c>
      <c r="AC6" s="5" t="s">
        <v>185</v>
      </c>
      <c r="AD6" s="5" t="s">
        <v>185</v>
      </c>
      <c r="AE6" s="81" t="s">
        <v>291</v>
      </c>
      <c r="AF6" s="5" t="s">
        <v>185</v>
      </c>
      <c r="AG6" s="5" t="s">
        <v>185</v>
      </c>
      <c r="AH6" s="5" t="s">
        <v>185</v>
      </c>
      <c r="AI6" s="92" t="s">
        <v>186</v>
      </c>
      <c r="AJ6" s="5" t="s">
        <v>185</v>
      </c>
      <c r="AK6" s="5" t="s">
        <v>185</v>
      </c>
      <c r="AL6" s="81" t="s">
        <v>185</v>
      </c>
      <c r="AM6" s="5" t="s">
        <v>185</v>
      </c>
      <c r="AN6" s="5" t="s">
        <v>185</v>
      </c>
      <c r="AO6" s="85" t="s">
        <v>291</v>
      </c>
      <c r="AP6" s="88" t="s">
        <v>292</v>
      </c>
      <c r="AQ6" s="88" t="s">
        <v>291</v>
      </c>
      <c r="AR6" s="88" t="s">
        <v>186</v>
      </c>
      <c r="AS6" s="5" t="s">
        <v>185</v>
      </c>
      <c r="AT6" s="5" t="s">
        <v>185</v>
      </c>
      <c r="AU6" s="10" t="s">
        <v>186</v>
      </c>
      <c r="AV6" s="85" t="s">
        <v>186</v>
      </c>
      <c r="AW6" s="10" t="s">
        <v>186</v>
      </c>
      <c r="AX6" s="10" t="s">
        <v>186</v>
      </c>
      <c r="AY6" s="10" t="s">
        <v>186</v>
      </c>
      <c r="AZ6" s="10" t="s">
        <v>186</v>
      </c>
      <c r="BA6" s="10" t="s">
        <v>186</v>
      </c>
    </row>
    <row r="7" customFormat="false" ht="12.8" hidden="false" customHeight="false" outlineLevel="0" collapsed="false">
      <c r="A7" s="0" t="s">
        <v>187</v>
      </c>
      <c r="B7" s="9" t="s">
        <v>187</v>
      </c>
      <c r="C7" s="9" t="s">
        <v>187</v>
      </c>
      <c r="D7" s="9" t="s">
        <v>187</v>
      </c>
      <c r="E7" s="9" t="s">
        <v>187</v>
      </c>
      <c r="F7" s="85" t="s">
        <v>188</v>
      </c>
      <c r="G7" s="10" t="s">
        <v>188</v>
      </c>
      <c r="H7" s="86" t="s">
        <v>294</v>
      </c>
      <c r="I7" s="10" t="s">
        <v>188</v>
      </c>
      <c r="J7" s="88" t="s">
        <v>294</v>
      </c>
      <c r="K7" s="10" t="s">
        <v>188</v>
      </c>
      <c r="L7" s="10" t="s">
        <v>188</v>
      </c>
      <c r="M7" s="10" t="s">
        <v>188</v>
      </c>
      <c r="N7" s="10" t="s">
        <v>188</v>
      </c>
      <c r="O7" s="10" t="s">
        <v>188</v>
      </c>
      <c r="P7" s="10" t="s">
        <v>188</v>
      </c>
      <c r="Q7" s="10" t="s">
        <v>188</v>
      </c>
      <c r="R7" s="85" t="s">
        <v>188</v>
      </c>
      <c r="S7" s="88" t="s">
        <v>294</v>
      </c>
      <c r="T7" s="5" t="s">
        <v>188</v>
      </c>
      <c r="U7" s="88" t="s">
        <v>294</v>
      </c>
      <c r="V7" s="5" t="s">
        <v>188</v>
      </c>
      <c r="W7" s="92" t="s">
        <v>294</v>
      </c>
      <c r="X7" s="88" t="s">
        <v>294</v>
      </c>
      <c r="Y7" s="88" t="s">
        <v>294</v>
      </c>
      <c r="Z7" s="88" t="s">
        <v>294</v>
      </c>
      <c r="AA7" s="5" t="s">
        <v>188</v>
      </c>
      <c r="AB7" s="165" t="s">
        <v>188</v>
      </c>
      <c r="AC7" s="5" t="s">
        <v>188</v>
      </c>
      <c r="AD7" s="5" t="s">
        <v>188</v>
      </c>
      <c r="AE7" s="81" t="s">
        <v>188</v>
      </c>
      <c r="AF7" s="5" t="s">
        <v>188</v>
      </c>
      <c r="AG7" s="5" t="s">
        <v>188</v>
      </c>
      <c r="AH7" s="5" t="s">
        <v>188</v>
      </c>
      <c r="AI7" s="92" t="s">
        <v>294</v>
      </c>
      <c r="AJ7" s="5" t="s">
        <v>188</v>
      </c>
      <c r="AK7" s="5" t="s">
        <v>188</v>
      </c>
      <c r="AL7" s="81" t="s">
        <v>188</v>
      </c>
      <c r="AM7" s="5" t="s">
        <v>188</v>
      </c>
      <c r="AN7" s="5" t="s">
        <v>188</v>
      </c>
      <c r="AO7" s="85" t="s">
        <v>188</v>
      </c>
      <c r="AP7" s="88" t="s">
        <v>294</v>
      </c>
      <c r="AQ7" s="88" t="s">
        <v>294</v>
      </c>
      <c r="AR7" s="88" t="s">
        <v>294</v>
      </c>
      <c r="AS7" s="5" t="s">
        <v>188</v>
      </c>
      <c r="AT7" s="5" t="s">
        <v>188</v>
      </c>
      <c r="AU7" s="10" t="s">
        <v>188</v>
      </c>
      <c r="AV7" s="85" t="s">
        <v>188</v>
      </c>
      <c r="AW7" s="10" t="s">
        <v>188</v>
      </c>
      <c r="AX7" s="10" t="s">
        <v>188</v>
      </c>
      <c r="AY7" s="10" t="s">
        <v>188</v>
      </c>
      <c r="AZ7" s="10" t="s">
        <v>188</v>
      </c>
      <c r="BA7" s="10" t="s">
        <v>188</v>
      </c>
    </row>
    <row r="8" customFormat="false" ht="12.8" hidden="false" customHeight="false" outlineLevel="0" collapsed="false">
      <c r="F8" s="85"/>
      <c r="G8" s="10"/>
      <c r="H8" s="86"/>
      <c r="I8" s="10"/>
      <c r="J8" s="88"/>
      <c r="K8" s="94" t="s">
        <v>869</v>
      </c>
      <c r="L8" s="94" t="s">
        <v>870</v>
      </c>
      <c r="M8" s="94" t="s">
        <v>870</v>
      </c>
      <c r="N8" s="94" t="s">
        <v>870</v>
      </c>
      <c r="O8" s="94" t="s">
        <v>871</v>
      </c>
      <c r="P8" s="94" t="s">
        <v>872</v>
      </c>
      <c r="Q8" s="94" t="s">
        <v>872</v>
      </c>
      <c r="R8" s="93" t="s">
        <v>873</v>
      </c>
      <c r="S8" s="88"/>
      <c r="T8" s="97" t="s">
        <v>873</v>
      </c>
      <c r="U8" s="88"/>
      <c r="V8" s="97" t="s">
        <v>869</v>
      </c>
      <c r="AB8" s="166" t="s">
        <v>641</v>
      </c>
      <c r="AC8" s="97" t="s">
        <v>641</v>
      </c>
      <c r="AD8" s="97" t="s">
        <v>641</v>
      </c>
      <c r="AF8" s="97" t="s">
        <v>870</v>
      </c>
      <c r="AG8" s="97" t="s">
        <v>870</v>
      </c>
      <c r="AH8" s="97" t="s">
        <v>870</v>
      </c>
      <c r="AI8" s="92"/>
      <c r="AJ8" s="97" t="s">
        <v>652</v>
      </c>
      <c r="AK8" s="97" t="s">
        <v>652</v>
      </c>
      <c r="AL8" s="96" t="s">
        <v>871</v>
      </c>
      <c r="AM8" s="97" t="s">
        <v>872</v>
      </c>
      <c r="AN8" s="97" t="s">
        <v>872</v>
      </c>
      <c r="AP8" s="88"/>
      <c r="AQ8" s="88"/>
      <c r="AR8" s="88"/>
      <c r="AS8" s="97" t="s">
        <v>642</v>
      </c>
      <c r="AT8" s="97" t="s">
        <v>642</v>
      </c>
    </row>
    <row r="9" customFormat="false" ht="12.8" hidden="false" customHeight="false" outlineLevel="0" collapsed="false">
      <c r="F9" s="85"/>
      <c r="G9" s="10"/>
      <c r="H9" s="86"/>
      <c r="I9" s="10"/>
      <c r="J9" s="88"/>
      <c r="K9" s="94"/>
      <c r="L9" s="94"/>
      <c r="M9" s="94"/>
      <c r="N9" s="94"/>
      <c r="O9" s="94"/>
      <c r="P9" s="94"/>
      <c r="Q9" s="94"/>
      <c r="R9" s="93" t="s">
        <v>874</v>
      </c>
      <c r="S9" s="88"/>
      <c r="T9" s="97" t="s">
        <v>874</v>
      </c>
      <c r="U9" s="88"/>
      <c r="V9" s="97"/>
      <c r="AB9" s="166" t="s">
        <v>875</v>
      </c>
      <c r="AC9" s="97" t="s">
        <v>875</v>
      </c>
      <c r="AD9" s="97" t="s">
        <v>875</v>
      </c>
      <c r="AF9" s="97"/>
      <c r="AG9" s="97"/>
      <c r="AH9" s="97"/>
      <c r="AI9" s="92"/>
      <c r="AJ9" s="97" t="s">
        <v>876</v>
      </c>
      <c r="AK9" s="97" t="s">
        <v>876</v>
      </c>
      <c r="AL9" s="96"/>
      <c r="AM9" s="97"/>
      <c r="AN9" s="97"/>
      <c r="AP9" s="88"/>
      <c r="AQ9" s="88"/>
      <c r="AR9" s="88"/>
      <c r="AS9" s="97" t="s">
        <v>877</v>
      </c>
      <c r="AT9" s="97" t="s">
        <v>877</v>
      </c>
    </row>
    <row r="10" customFormat="false" ht="12.8" hidden="false" customHeight="false" outlineLevel="0" collapsed="false">
      <c r="F10" s="85"/>
      <c r="G10" s="10"/>
      <c r="H10" s="86"/>
      <c r="I10" s="10"/>
      <c r="J10" s="88"/>
      <c r="K10" s="94"/>
      <c r="L10" s="94" t="s">
        <v>878</v>
      </c>
      <c r="M10" s="94" t="s">
        <v>672</v>
      </c>
      <c r="N10" s="94" t="s">
        <v>879</v>
      </c>
      <c r="O10" s="94" t="s">
        <v>312</v>
      </c>
      <c r="P10" s="94" t="s">
        <v>673</v>
      </c>
      <c r="Q10" s="94" t="s">
        <v>674</v>
      </c>
      <c r="R10" s="93"/>
      <c r="S10" s="88"/>
      <c r="T10" s="97"/>
      <c r="U10" s="88"/>
      <c r="V10" s="97"/>
      <c r="AB10" s="166" t="s">
        <v>878</v>
      </c>
      <c r="AC10" s="97" t="s">
        <v>672</v>
      </c>
      <c r="AD10" s="97" t="s">
        <v>879</v>
      </c>
      <c r="AF10" s="97" t="s">
        <v>878</v>
      </c>
      <c r="AG10" s="97" t="s">
        <v>672</v>
      </c>
      <c r="AH10" s="97" t="s">
        <v>879</v>
      </c>
      <c r="AI10" s="92"/>
      <c r="AJ10" s="97" t="s">
        <v>673</v>
      </c>
      <c r="AK10" s="97" t="s">
        <v>674</v>
      </c>
      <c r="AL10" s="96" t="s">
        <v>312</v>
      </c>
      <c r="AM10" s="97" t="s">
        <v>673</v>
      </c>
      <c r="AN10" s="97" t="s">
        <v>674</v>
      </c>
      <c r="AP10" s="88"/>
      <c r="AQ10" s="88"/>
      <c r="AR10" s="88"/>
      <c r="AS10" s="97" t="s">
        <v>312</v>
      </c>
      <c r="AT10" s="97" t="s">
        <v>431</v>
      </c>
    </row>
    <row r="11" customFormat="false" ht="12.8" hidden="false" customHeight="false" outlineLevel="0" collapsed="false">
      <c r="F11" s="85" t="s">
        <v>683</v>
      </c>
      <c r="G11" s="10" t="s">
        <v>683</v>
      </c>
      <c r="H11" s="86" t="s">
        <v>683</v>
      </c>
      <c r="I11" s="10" t="s">
        <v>683</v>
      </c>
      <c r="J11" s="88" t="s">
        <v>683</v>
      </c>
      <c r="K11" s="10" t="s">
        <v>683</v>
      </c>
      <c r="L11" s="10" t="s">
        <v>683</v>
      </c>
      <c r="M11" s="10" t="s">
        <v>683</v>
      </c>
      <c r="N11" s="10" t="s">
        <v>683</v>
      </c>
      <c r="O11" s="10" t="s">
        <v>683</v>
      </c>
      <c r="P11" s="10" t="s">
        <v>683</v>
      </c>
      <c r="Q11" s="10" t="s">
        <v>683</v>
      </c>
      <c r="R11" s="85" t="s">
        <v>683</v>
      </c>
      <c r="S11" s="88" t="s">
        <v>683</v>
      </c>
      <c r="T11" s="5" t="s">
        <v>683</v>
      </c>
      <c r="U11" s="88" t="s">
        <v>683</v>
      </c>
      <c r="V11" s="5" t="s">
        <v>683</v>
      </c>
      <c r="W11" s="92" t="s">
        <v>683</v>
      </c>
      <c r="X11" s="88" t="s">
        <v>683</v>
      </c>
      <c r="Y11" s="88" t="s">
        <v>683</v>
      </c>
      <c r="Z11" s="88" t="s">
        <v>683</v>
      </c>
      <c r="AA11" s="5" t="s">
        <v>683</v>
      </c>
      <c r="AB11" s="165" t="s">
        <v>683</v>
      </c>
      <c r="AC11" s="5" t="s">
        <v>683</v>
      </c>
      <c r="AD11" s="5" t="s">
        <v>683</v>
      </c>
      <c r="AE11" s="81" t="s">
        <v>683</v>
      </c>
      <c r="AF11" s="5" t="s">
        <v>683</v>
      </c>
      <c r="AG11" s="5" t="s">
        <v>683</v>
      </c>
      <c r="AH11" s="5" t="s">
        <v>683</v>
      </c>
      <c r="AI11" s="92" t="s">
        <v>683</v>
      </c>
      <c r="AJ11" s="5" t="s">
        <v>683</v>
      </c>
      <c r="AK11" s="5" t="s">
        <v>683</v>
      </c>
      <c r="AL11" s="81" t="s">
        <v>683</v>
      </c>
      <c r="AM11" s="5" t="s">
        <v>683</v>
      </c>
      <c r="AN11" s="5" t="s">
        <v>683</v>
      </c>
      <c r="AO11" s="85" t="s">
        <v>683</v>
      </c>
      <c r="AP11" s="88" t="s">
        <v>683</v>
      </c>
      <c r="AQ11" s="88" t="s">
        <v>683</v>
      </c>
      <c r="AR11" s="88" t="s">
        <v>683</v>
      </c>
      <c r="AS11" s="5" t="s">
        <v>683</v>
      </c>
      <c r="AT11" s="5" t="s">
        <v>683</v>
      </c>
      <c r="AU11" s="10" t="s">
        <v>683</v>
      </c>
      <c r="AV11" s="85" t="s">
        <v>683</v>
      </c>
      <c r="AW11" s="10" t="s">
        <v>683</v>
      </c>
      <c r="AX11" s="10" t="s">
        <v>683</v>
      </c>
      <c r="AY11" s="10" t="s">
        <v>683</v>
      </c>
      <c r="AZ11" s="10" t="s">
        <v>683</v>
      </c>
      <c r="BA11" s="10" t="s">
        <v>683</v>
      </c>
    </row>
    <row r="12" customFormat="false" ht="12.8" hidden="false" customHeight="false" outlineLevel="0" collapsed="false">
      <c r="F12" s="85" t="s">
        <v>690</v>
      </c>
      <c r="G12" s="10" t="s">
        <v>690</v>
      </c>
      <c r="H12" s="86" t="s">
        <v>690</v>
      </c>
      <c r="I12" s="10" t="s">
        <v>690</v>
      </c>
      <c r="J12" s="88" t="s">
        <v>690</v>
      </c>
      <c r="K12" s="10" t="s">
        <v>690</v>
      </c>
      <c r="L12" s="10" t="s">
        <v>690</v>
      </c>
      <c r="M12" s="10" t="s">
        <v>690</v>
      </c>
      <c r="N12" s="10" t="s">
        <v>690</v>
      </c>
      <c r="O12" s="10" t="s">
        <v>690</v>
      </c>
      <c r="P12" s="10" t="s">
        <v>690</v>
      </c>
      <c r="Q12" s="10" t="s">
        <v>690</v>
      </c>
      <c r="R12" s="85" t="s">
        <v>690</v>
      </c>
      <c r="S12" s="88" t="s">
        <v>690</v>
      </c>
      <c r="T12" s="5" t="s">
        <v>690</v>
      </c>
      <c r="U12" s="88" t="s">
        <v>690</v>
      </c>
      <c r="V12" s="5" t="s">
        <v>690</v>
      </c>
      <c r="W12" s="92" t="s">
        <v>690</v>
      </c>
      <c r="X12" s="88" t="s">
        <v>690</v>
      </c>
      <c r="Y12" s="88" t="s">
        <v>690</v>
      </c>
      <c r="Z12" s="88" t="s">
        <v>690</v>
      </c>
      <c r="AA12" s="5" t="s">
        <v>690</v>
      </c>
      <c r="AB12" s="165" t="s">
        <v>690</v>
      </c>
      <c r="AC12" s="5" t="s">
        <v>690</v>
      </c>
      <c r="AD12" s="5" t="s">
        <v>690</v>
      </c>
      <c r="AE12" s="81" t="s">
        <v>690</v>
      </c>
      <c r="AF12" s="5" t="s">
        <v>690</v>
      </c>
      <c r="AG12" s="5" t="s">
        <v>690</v>
      </c>
      <c r="AH12" s="5" t="s">
        <v>690</v>
      </c>
      <c r="AI12" s="92" t="s">
        <v>690</v>
      </c>
      <c r="AJ12" s="5" t="s">
        <v>690</v>
      </c>
      <c r="AK12" s="5" t="s">
        <v>690</v>
      </c>
      <c r="AL12" s="81" t="s">
        <v>690</v>
      </c>
      <c r="AM12" s="5" t="s">
        <v>690</v>
      </c>
      <c r="AN12" s="5" t="s">
        <v>690</v>
      </c>
      <c r="AO12" s="85" t="s">
        <v>690</v>
      </c>
      <c r="AP12" s="88" t="s">
        <v>690</v>
      </c>
      <c r="AQ12" s="88" t="s">
        <v>690</v>
      </c>
      <c r="AR12" s="88" t="s">
        <v>690</v>
      </c>
      <c r="AS12" s="5" t="s">
        <v>690</v>
      </c>
      <c r="AT12" s="5" t="s">
        <v>690</v>
      </c>
      <c r="AU12" s="10" t="s">
        <v>690</v>
      </c>
      <c r="AV12" s="85" t="s">
        <v>690</v>
      </c>
      <c r="AW12" s="10" t="s">
        <v>690</v>
      </c>
      <c r="AX12" s="10" t="s">
        <v>690</v>
      </c>
      <c r="AY12" s="10" t="s">
        <v>690</v>
      </c>
      <c r="AZ12" s="10" t="s">
        <v>690</v>
      </c>
      <c r="BA12" s="10" t="s">
        <v>690</v>
      </c>
    </row>
    <row r="13" customFormat="false" ht="12.8" hidden="false" customHeight="false" outlineLevel="0" collapsed="false">
      <c r="F13" s="85"/>
      <c r="G13" s="10"/>
      <c r="H13" s="86"/>
      <c r="I13" s="10"/>
      <c r="J13" s="88"/>
      <c r="K13" s="10"/>
      <c r="L13" s="10"/>
      <c r="M13" s="10"/>
      <c r="N13" s="10"/>
      <c r="O13" s="10"/>
      <c r="P13" s="10"/>
      <c r="Q13" s="10"/>
      <c r="R13" s="85"/>
      <c r="T13" s="5"/>
      <c r="V13" s="5"/>
      <c r="AI13" s="92"/>
      <c r="AP13" s="88"/>
      <c r="AQ13" s="88"/>
      <c r="AR13" s="88"/>
    </row>
    <row r="14" customFormat="false" ht="15" hidden="false" customHeight="false" outlineLevel="0" collapsed="false">
      <c r="A14" s="100" t="s">
        <v>176</v>
      </c>
      <c r="B14" s="33" t="s">
        <v>190</v>
      </c>
      <c r="C14" s="33" t="s">
        <v>318</v>
      </c>
      <c r="D14" s="33" t="s">
        <v>319</v>
      </c>
      <c r="E14" s="33" t="s">
        <v>20</v>
      </c>
      <c r="F14" s="101" t="s">
        <v>138</v>
      </c>
      <c r="G14" s="36" t="s">
        <v>333</v>
      </c>
      <c r="H14" s="102" t="s">
        <v>141</v>
      </c>
      <c r="I14" s="36" t="s">
        <v>146</v>
      </c>
      <c r="J14" s="103" t="s">
        <v>145</v>
      </c>
      <c r="K14" s="36" t="s">
        <v>154</v>
      </c>
      <c r="L14" s="36" t="s">
        <v>880</v>
      </c>
      <c r="M14" s="36" t="s">
        <v>163</v>
      </c>
      <c r="N14" s="36" t="s">
        <v>164</v>
      </c>
      <c r="O14" s="36" t="s">
        <v>156</v>
      </c>
      <c r="P14" s="36" t="s">
        <v>158</v>
      </c>
      <c r="Q14" s="36" t="s">
        <v>160</v>
      </c>
      <c r="R14" s="101" t="s">
        <v>881</v>
      </c>
      <c r="S14" s="103" t="s">
        <v>882</v>
      </c>
      <c r="T14" s="36" t="s">
        <v>883</v>
      </c>
      <c r="U14" s="103" t="s">
        <v>884</v>
      </c>
      <c r="V14" s="36" t="s">
        <v>885</v>
      </c>
      <c r="W14" s="105" t="s">
        <v>886</v>
      </c>
      <c r="X14" s="103" t="s">
        <v>887</v>
      </c>
      <c r="Y14" s="103" t="s">
        <v>888</v>
      </c>
      <c r="Z14" s="103" t="s">
        <v>889</v>
      </c>
      <c r="AA14" s="107" t="s">
        <v>890</v>
      </c>
      <c r="AB14" s="36" t="s">
        <v>891</v>
      </c>
      <c r="AC14" s="107" t="s">
        <v>892</v>
      </c>
      <c r="AD14" s="36" t="s">
        <v>893</v>
      </c>
      <c r="AE14" s="101" t="s">
        <v>894</v>
      </c>
      <c r="AF14" s="36" t="s">
        <v>895</v>
      </c>
      <c r="AG14" s="36" t="s">
        <v>896</v>
      </c>
      <c r="AH14" s="36" t="s">
        <v>897</v>
      </c>
      <c r="AI14" s="105" t="s">
        <v>898</v>
      </c>
      <c r="AJ14" s="36" t="s">
        <v>899</v>
      </c>
      <c r="AK14" s="36" t="s">
        <v>900</v>
      </c>
      <c r="AL14" s="101" t="s">
        <v>901</v>
      </c>
      <c r="AM14" s="36" t="s">
        <v>902</v>
      </c>
      <c r="AN14" s="36" t="s">
        <v>903</v>
      </c>
      <c r="AO14" s="101" t="s">
        <v>904</v>
      </c>
      <c r="AP14" s="103" t="s">
        <v>905</v>
      </c>
      <c r="AQ14" s="103" t="s">
        <v>906</v>
      </c>
      <c r="AR14" s="103" t="s">
        <v>907</v>
      </c>
      <c r="AS14" s="107" t="s">
        <v>908</v>
      </c>
      <c r="AT14" s="107" t="s">
        <v>909</v>
      </c>
      <c r="AU14" s="36" t="s">
        <v>910</v>
      </c>
      <c r="AV14" s="101" t="s">
        <v>911</v>
      </c>
      <c r="AW14" s="36" t="s">
        <v>912</v>
      </c>
      <c r="AX14" s="36" t="s">
        <v>913</v>
      </c>
      <c r="AY14" s="36" t="s">
        <v>914</v>
      </c>
      <c r="AZ14" s="36" t="s">
        <v>915</v>
      </c>
      <c r="BA14" s="36" t="s">
        <v>916</v>
      </c>
    </row>
    <row r="15" customFormat="false" ht="15" hidden="false" customHeight="false" outlineLevel="0" collapsed="false">
      <c r="A15" s="0" t="str">
        <f aca="false">INDEX(Prioritization!$D:$D,MATCH($B15,Prioritization!$A:$A,0))</f>
        <v>Military</v>
      </c>
      <c r="B15" s="0" t="s">
        <v>194</v>
      </c>
      <c r="C15" s="0" t="s">
        <v>364</v>
      </c>
      <c r="D15" s="0" t="s">
        <v>30</v>
      </c>
      <c r="E15" s="9" t="str">
        <f aca="false">B15&amp;"|"&amp;C15&amp;"|"&amp;D15</f>
        <v>_Military Malawi [PQZgU9dagaH]|10-14|Female</v>
      </c>
      <c r="F15" s="85" t="str">
        <f aca="false">IF(LEFT($B15,4)="_Mil","",INDEX(Cascade!$T:$T,MATCH($E15,Cascade!$E:$E,0)))</f>
        <v/>
      </c>
      <c r="G15" s="10" t="str">
        <f aca="false">IF(LEFT($B15,4)="_Mil","",INDEX(Cascade!$U:$U,MATCH($E15,Cascade!$E:$E,0)))</f>
        <v/>
      </c>
      <c r="H15" s="86" t="str">
        <f aca="false">IF(LEFT($B15,4)="_Mil","",INDEX(Cascade!$W:$W,MATCH($E15,Cascade!$E:$E,0)))</f>
        <v/>
      </c>
      <c r="I15" s="10" t="str">
        <f aca="false">IF(LEFT($B15,4)="_Mil","",INDEX(Cascade!$Z:$Z,MATCH($E15,Cascade!$E:$E,0)))</f>
        <v/>
      </c>
      <c r="J15" s="88" t="str">
        <f aca="false">IF(LEFT($B15,4)="_Mil","",INDEX(Cascade!$AA:$AA,MATCH($E15,Cascade!$E:$E,0)))</f>
        <v/>
      </c>
      <c r="K15" s="5" t="str">
        <f aca="false">IF(LEFT($B15,4)="_Mil","",_xlfn.IFNA(ROUND(INDEX(Spectrum!$N:$N,MATCH(RIGHT($B15,13)&amp;"|"&amp;$C15&amp;"|"&amp;$D15&amp;"|"&amp;K$14&amp;"|"&amp;"CY2023Q3",Spectrum!$R:$R,0)),0),""))</f>
        <v/>
      </c>
      <c r="L15" s="5" t="str">
        <f aca="false">IF(LEFT($B15,4)="_Mil","",_xlfn.IFNA(ROUND(INDEX(Spectrum!$N:$N,MATCH(RIGHT($B15,13)&amp;"|"&amp;$C15&amp;"|"&amp;$D15&amp;"|"&amp;L$14&amp;"|"&amp;"CY2023Q3",Spectrum!$R:$R,0)),0),""))</f>
        <v/>
      </c>
      <c r="M15" s="5" t="str">
        <f aca="false">IF(LEFT($B15,4)="_Mil","",_xlfn.IFNA(ROUND(INDEX(Spectrum!$N:$N,MATCH(RIGHT($B15,13)&amp;"|"&amp;$C15&amp;"|"&amp;$D15&amp;"|"&amp;M$14&amp;"|"&amp;"CY2023Q3",Spectrum!$R:$R,0)),0),""))</f>
        <v/>
      </c>
      <c r="N15" s="5" t="str">
        <f aca="false">IF(LEFT($B15,4)="_Mil","",_xlfn.IFNA(ROUND(INDEX(Spectrum!$N:$N,MATCH(RIGHT($B15,13)&amp;"|"&amp;$C15&amp;"|"&amp;$D15&amp;"|"&amp;N$14&amp;"|"&amp;"CY2023Q3",Spectrum!$R:$R,0)),0),""))</f>
        <v/>
      </c>
      <c r="O15" s="5" t="str">
        <f aca="false">IF(LEFT($B15,4)="_Mil","",_xlfn.IFNA(ROUND(INDEX(Spectrum!$N:$N,MATCH(RIGHT($B15,13)&amp;"|"&amp;$C15&amp;"|"&amp;$D15&amp;"|"&amp;O$14&amp;"|"&amp;"CY2023Q3",Spectrum!$R:$R,0)),0),""))</f>
        <v/>
      </c>
      <c r="P15" s="5" t="str">
        <f aca="false">IF(LEFT($B15,4)="_Mil","",_xlfn.IFNA(ROUND(INDEX(Spectrum!$N:$N,MATCH(RIGHT($B15,13)&amp;"|"&amp;$C15&amp;"|"&amp;$D15&amp;"|"&amp;P$14&amp;"|"&amp;"CY2023Q3",Spectrum!$R:$R,0)),0),""))</f>
        <v/>
      </c>
      <c r="Q15" s="5" t="str">
        <f aca="false">IF(LEFT($B15,4)="_Mil","",_xlfn.IFNA(ROUND(INDEX(Spectrum!$N:$N,MATCH(RIGHT($B15,13)&amp;"|"&amp;$C15&amp;"|"&amp;$D15&amp;"|"&amp;Q$14&amp;"|"&amp;"CY2022Q3",Spectrum!$R:$R,0)),0),""))</f>
        <v/>
      </c>
      <c r="R15" s="10" t="n">
        <v>6</v>
      </c>
      <c r="S15" s="88" t="n">
        <f aca="false">0</f>
        <v>0</v>
      </c>
      <c r="T15" s="5" t="n">
        <f aca="false">IF(SUM($R15)=0,"",ROUND($R15*(1+$S15),0))</f>
        <v>6</v>
      </c>
      <c r="U15" s="88" t="str">
        <f aca="false">IF(LEFT($B15,4)="_Mil","",IF(SUM($K15)=0,IF(SUM($R15)=0,"",1),MIN($R15/$K15,1)))</f>
        <v/>
      </c>
      <c r="V15" s="5" t="str">
        <f aca="false">IF(OR(SUM($T15)=0,LEFT($B15,4)="_Mil"),"",ROUND($T15/$U15,0))</f>
        <v/>
      </c>
      <c r="W15" s="88"/>
      <c r="X15" s="88" t="str">
        <f aca="false">IF(SUM($K15,$W15)=0,"",MAX(IFERROR(SUM($L15)/$K15,0),SUM($W15)))</f>
        <v/>
      </c>
      <c r="Y15" s="88"/>
      <c r="Z15" s="88" t="str">
        <f aca="false">IF(SUM($K15,$Y15)=0,"",MIN(SUM($Y15),IFERROR(SUM($M15)/(SUM($K15)-SUM($L15)),1)))</f>
        <v/>
      </c>
      <c r="AA15" s="5" t="n">
        <f aca="false">$T15</f>
        <v>6</v>
      </c>
      <c r="AB15" s="5" t="str">
        <f aca="false">IF(SUM($AA15)=0,"",IF(AND(SUM($AA15)&gt;0,$X15=""),"ENTER KNOWN POSITIVITY RATE",ROUND($AA15*$X15,0)))</f>
        <v>ENTER KNOWN POSITIVITY RATE</v>
      </c>
      <c r="AC15" s="5" t="str">
        <f aca="false">IF(SUM($AA15)=0,"",IF(AND((SUM($AA15)-SUM($AB15))&gt;0,$Z15=""),"ENTER YIELD RATE",ROUND(($AA15-SUM($AB15))*$Z15,0)))</f>
        <v>ENTER YIELD RATE</v>
      </c>
      <c r="AD15" s="5" t="n">
        <f aca="false">IF(SUM($AA15)=0,"",$AA15-SUM($AB15)-SUM($AC15))</f>
        <v>6</v>
      </c>
      <c r="AE15" s="81" t="str">
        <f aca="false">$V15</f>
        <v/>
      </c>
      <c r="AF15" s="5" t="str">
        <f aca="false">IF(SUM($AE15)=0,"",ROUND($AE15*SUM($X15),0))</f>
        <v/>
      </c>
      <c r="AG15" s="5" t="str">
        <f aca="false">IF(SUM($AE15)=0,"",ROUND(($AE15-SUM($AF15))*SUM($Z15),0))</f>
        <v/>
      </c>
      <c r="AH15" s="5" t="str">
        <f aca="false">IF(SUM($AE15)=0,"",$AE15-SUM($AF15)-SUM($AG15))</f>
        <v/>
      </c>
      <c r="AI15" s="92" t="str">
        <f aca="false">IF(SUM($AC15)=0,"",INDEX(Cascade!$BG:$BG,MATCH($E15,Cascade!$E:$E,0)))</f>
        <v/>
      </c>
      <c r="AJ15" s="5" t="str">
        <f aca="false">$AB15</f>
        <v>ENTER KNOWN POSITIVITY RATE</v>
      </c>
      <c r="AK15" s="5" t="str">
        <f aca="false">IF(SUM($AC15)=0,"",IF(AND($AI15="",SUM($AC15)&gt;0),"&lt;- Enter Linkage Rate",ROUND($AC15*$AI15,0)))</f>
        <v/>
      </c>
      <c r="AL15" s="81" t="str">
        <f aca="false">IF(SUM($AF15,$AG15)=0,"",SUM($AF15,$AG15))</f>
        <v/>
      </c>
      <c r="AM15" s="5" t="str">
        <f aca="false">$AF15</f>
        <v/>
      </c>
      <c r="AN15" s="5" t="str">
        <f aca="false">IF(SUM($AG15)=0,"",ROUND($AG15*SUM($AI15),0))</f>
        <v/>
      </c>
      <c r="AO15" s="85" t="n">
        <f aca="false">IFERROR(1/(1/MAX(SUM($T15)-SUM($AB15,$AC15),$AD15)),"")</f>
        <v>6</v>
      </c>
      <c r="AP15" s="88"/>
      <c r="AQ15" s="88" t="str">
        <f aca="false">IF($AP15="","",$AP15)</f>
        <v/>
      </c>
      <c r="AR15" s="88" t="n">
        <f aca="false">IF(SUM($AO15)=0,"",INDEX(Cascade!$BG:$BG,MATCH($E15,Cascade!$E:$E,0)))</f>
        <v>0.95</v>
      </c>
      <c r="AS15" s="5" t="str">
        <f aca="false">IF(SUM($AO15)=0,"",IF(AND(SUM($AO15)&gt;0,$AQ15=""),"ENTER YIELD RATE",ROUND($AO15*$AQ15,0)))</f>
        <v>ENTER YIELD RATE</v>
      </c>
      <c r="AT15" s="5" t="n">
        <f aca="false">IF(SUM($AO15)=0,"",$AO15-SUM($AS15))</f>
        <v>6</v>
      </c>
      <c r="AU15" s="10" t="str">
        <f aca="false">IF(SUM($AS15)=0,"",ROUND($AS15*$AR15,0))</f>
        <v/>
      </c>
      <c r="AV15" s="85" t="str">
        <f aca="false">IFERROR(1/(1/SUM($AC15,$AB15,$AS15)),"")</f>
        <v/>
      </c>
      <c r="AW15" s="10" t="n">
        <f aca="false">IFERROR(1/(1/INDEX(Cascade!$BH:$BH,MATCH($E15,Cascade!$E:$E,0))),"")</f>
        <v>-47</v>
      </c>
      <c r="AX15" s="10" t="str">
        <f aca="false">IF(SUM($AC15)=0,"",$AC15)</f>
        <v/>
      </c>
      <c r="AY15" s="10" t="str">
        <f aca="false">IF(SUM($AS15)=0,"",$AS15)</f>
        <v/>
      </c>
      <c r="AZ15" s="10" t="str">
        <f aca="false">IFERROR(1/(1/INDEX(TB!$P:$P,MATCH($E15,TB!$E:$E,0))),"")</f>
        <v/>
      </c>
      <c r="BA15" s="10" t="n">
        <f aca="false">IFERROR(1/(1/(SUM($AW15)-SUM($AX15:$AZ15))),"")</f>
        <v>-47</v>
      </c>
    </row>
    <row r="16" customFormat="false" ht="15" hidden="false" customHeight="false" outlineLevel="0" collapsed="false">
      <c r="A16" s="0" t="str">
        <f aca="false">INDEX(Prioritization!$D:$D,MATCH($B16,Prioritization!$A:$A,0))</f>
        <v>Military</v>
      </c>
      <c r="B16" s="0" t="s">
        <v>194</v>
      </c>
      <c r="C16" s="0" t="s">
        <v>365</v>
      </c>
      <c r="D16" s="0" t="s">
        <v>30</v>
      </c>
      <c r="E16" s="0" t="str">
        <f aca="false">B16&amp;"|"&amp;C16&amp;"|"&amp;D16</f>
        <v>_Military Malawi [PQZgU9dagaH]|15-24|Female</v>
      </c>
      <c r="F16" s="10" t="str">
        <f aca="false">IF(LEFT($B16,4)="_Mil","",INDEX(Cascade!$T:$T,MATCH($E16,Cascade!$E:$E,0)))</f>
        <v/>
      </c>
      <c r="G16" s="10" t="str">
        <f aca="false">IF(LEFT($B16,4)="_Mil","",INDEX(Cascade!$U:$U,MATCH($E16,Cascade!$E:$E,0)))</f>
        <v/>
      </c>
      <c r="H16" s="86" t="str">
        <f aca="false">IF(LEFT($B16,4)="_Mil","",INDEX(Cascade!$W:$W,MATCH($E16,Cascade!$E:$E,0)))</f>
        <v/>
      </c>
      <c r="I16" s="10" t="str">
        <f aca="false">IF(LEFT($B16,4)="_Mil","",INDEX(Cascade!$Z:$Z,MATCH($E16,Cascade!$E:$E,0)))</f>
        <v/>
      </c>
      <c r="J16" s="88" t="str">
        <f aca="false">IF(LEFT($B16,4)="_Mil","",INDEX(Cascade!$AA:$AA,MATCH($E16,Cascade!$E:$E,0)))</f>
        <v/>
      </c>
      <c r="K16" s="39" t="str">
        <f aca="false">IF(LEFT($B16,4)="_Mil","",_xlfn.IFNA(ROUND(INDEX(Spectrum!$N:$N,MATCH(RIGHT($B16,13)&amp;"|"&amp;$C16&amp;"|"&amp;$D16&amp;"|"&amp;K$14&amp;"|"&amp;"CY2023Q3",Spectrum!$R:$R,0)),0),""))</f>
        <v/>
      </c>
      <c r="L16" s="39" t="str">
        <f aca="false">IF(LEFT($B16,4)="_Mil","",_xlfn.IFNA(ROUND(INDEX(Spectrum!$N:$N,MATCH(RIGHT($B16,13)&amp;"|"&amp;$C16&amp;"|"&amp;$D16&amp;"|"&amp;L$14&amp;"|"&amp;"CY2023Q3",Spectrum!$R:$R,0)),0),""))</f>
        <v/>
      </c>
      <c r="M16" s="39" t="str">
        <f aca="false">IF(LEFT($B16,4)="_Mil","",_xlfn.IFNA(ROUND(INDEX(Spectrum!$N:$N,MATCH(RIGHT($B16,13)&amp;"|"&amp;$C16&amp;"|"&amp;$D16&amp;"|"&amp;M$14&amp;"|"&amp;"CY2023Q3",Spectrum!$R:$R,0)),0),""))</f>
        <v/>
      </c>
      <c r="N16" s="39" t="str">
        <f aca="false">IF(LEFT($B16,4)="_Mil","",_xlfn.IFNA(ROUND(INDEX(Spectrum!$N:$N,MATCH(RIGHT($B16,13)&amp;"|"&amp;$C16&amp;"|"&amp;$D16&amp;"|"&amp;N$14&amp;"|"&amp;"CY2023Q3",Spectrum!$R:$R,0)),0),""))</f>
        <v/>
      </c>
      <c r="O16" s="39" t="str">
        <f aca="false">IF(LEFT($B16,4)="_Mil","",_xlfn.IFNA(ROUND(INDEX(Spectrum!$N:$N,MATCH(RIGHT($B16,13)&amp;"|"&amp;$C16&amp;"|"&amp;$D16&amp;"|"&amp;O$14&amp;"|"&amp;"CY2023Q3",Spectrum!$R:$R,0)),0),""))</f>
        <v/>
      </c>
      <c r="P16" s="39" t="str">
        <f aca="false">IF(LEFT($B16,4)="_Mil","",_xlfn.IFNA(ROUND(INDEX(Spectrum!$N:$N,MATCH(RIGHT($B16,13)&amp;"|"&amp;$C16&amp;"|"&amp;$D16&amp;"|"&amp;P$14&amp;"|"&amp;"CY2023Q3",Spectrum!$R:$R,0)),0),""))</f>
        <v/>
      </c>
      <c r="Q16" s="39" t="str">
        <f aca="false">IF(LEFT($B16,4)="_Mil","",_xlfn.IFNA(ROUND(INDEX(Spectrum!$N:$N,MATCH(RIGHT($B16,13)&amp;"|"&amp;$C16&amp;"|"&amp;$D16&amp;"|"&amp;Q$14&amp;"|"&amp;"CY2022Q3",Spectrum!$R:$R,0)),0),""))</f>
        <v/>
      </c>
      <c r="R16" s="10"/>
      <c r="S16" s="88" t="n">
        <f aca="false">0</f>
        <v>0</v>
      </c>
      <c r="T16" s="39" t="str">
        <f aca="false">IF(SUM($R16)=0,"",ROUND($R16*(1+$S16),0))</f>
        <v/>
      </c>
      <c r="U16" s="88" t="str">
        <f aca="false">IF(LEFT($B16,4)="_Mil","",IF(SUM($K16)=0,IF(SUM($R16)=0,"",1),MIN($R16/$K16,1)))</f>
        <v/>
      </c>
      <c r="V16" s="39" t="str">
        <f aca="false">IF(OR(SUM($T16)=0,LEFT($B16,4)="_Mil"),"",ROUND($T16/$U16,0))</f>
        <v/>
      </c>
      <c r="W16" s="88"/>
      <c r="X16" s="88" t="str">
        <f aca="false">IF(SUM($K16,$W16)=0,"",MAX(IFERROR(SUM($L16)/$K16,0),SUM($W16)))</f>
        <v/>
      </c>
      <c r="Y16" s="88"/>
      <c r="Z16" s="88" t="str">
        <f aca="false">IF(SUM($K16,$Y16)=0,"",MIN(SUM($Y16),IFERROR(SUM($M16)/(SUM($K16)-SUM($L16)),1)))</f>
        <v/>
      </c>
      <c r="AA16" s="10" t="str">
        <f aca="false">$T16</f>
        <v/>
      </c>
      <c r="AB16" s="5" t="str">
        <f aca="false">IF(SUM($AA16)=0,"",IF(AND(SUM($AA16)&gt;0,$X16=""),"ENTER KNOWN POSITIVITY RATE",ROUND($AA16*$X16,0)))</f>
        <v/>
      </c>
      <c r="AC16" s="39" t="str">
        <f aca="false">IF(SUM($AA16)=0,"",IF(AND((SUM($AA16)-SUM($AB16))&gt;0,$Z16=""),"ENTER YIELD RATE",ROUND(($AA16-SUM($AB16))*$Z16,0)))</f>
        <v/>
      </c>
      <c r="AD16" s="39" t="str">
        <f aca="false">IF(SUM($AA16)=0,"",$AA16-SUM($AB16)-SUM($AC16))</f>
        <v/>
      </c>
      <c r="AE16" s="10" t="str">
        <f aca="false">$V16</f>
        <v/>
      </c>
      <c r="AF16" s="39" t="str">
        <f aca="false">IF(SUM($AE16)=0,"",ROUND($AE16*SUM($X16),0))</f>
        <v/>
      </c>
      <c r="AG16" s="39" t="str">
        <f aca="false">IF(SUM($AE16)=0,"",ROUND(($AE16-SUM($AF16))*SUM($Z16),0))</f>
        <v/>
      </c>
      <c r="AH16" s="39" t="str">
        <f aca="false">IF(SUM($AE16)=0,"",$AE16-SUM($AF16)-SUM($AG16))</f>
        <v/>
      </c>
      <c r="AI16" s="88" t="str">
        <f aca="false">IF(SUM($AC16)=0,"",INDEX(Cascade!$BG:$BG,MATCH($E16,Cascade!$E:$E,0)))</f>
        <v/>
      </c>
      <c r="AJ16" s="39" t="str">
        <f aca="false">$AB16</f>
        <v/>
      </c>
      <c r="AK16" s="39" t="str">
        <f aca="false">IF(SUM($AC16)=0,"",IF(AND($AI16="",SUM($AC16)&gt;0),"&lt;- Enter Linkage Rate",ROUND($AC16*$AI16,0)))</f>
        <v/>
      </c>
      <c r="AL16" s="39" t="str">
        <f aca="false">IF(SUM($AF16,$AG16)=0,"",SUM($AF16,$AG16))</f>
        <v/>
      </c>
      <c r="AM16" s="39" t="str">
        <f aca="false">$AF16</f>
        <v/>
      </c>
      <c r="AN16" s="39" t="str">
        <f aca="false">IF(SUM($AG16)=0,"",ROUND($AG16*SUM($AI16),0))</f>
        <v/>
      </c>
      <c r="AO16" s="10" t="str">
        <f aca="false">IFERROR(1/(1/MAX(SUM($T16)-SUM($AB16,$AC16),$AD16)),"")</f>
        <v/>
      </c>
      <c r="AP16" s="88"/>
      <c r="AQ16" s="88" t="str">
        <f aca="false">IF($AP16="","",$AP16)</f>
        <v/>
      </c>
      <c r="AR16" s="88" t="str">
        <f aca="false">IF(SUM($AO16)=0,"",INDEX(Cascade!$BG:$BG,MATCH($E16,Cascade!$E:$E,0)))</f>
        <v/>
      </c>
      <c r="AS16" s="39" t="str">
        <f aca="false">IF(SUM($AO16)=0,"",IF(AND(SUM($AO16)&gt;0,$AQ16=""),"ENTER YIELD RATE",ROUND($AO16*$AQ16,0)))</f>
        <v/>
      </c>
      <c r="AT16" s="39" t="str">
        <f aca="false">IF(SUM($AO16)=0,"",$AO16-SUM($AS16))</f>
        <v/>
      </c>
      <c r="AU16" s="10" t="str">
        <f aca="false">IF(SUM($AS16)=0,"",ROUND($AS16*$AR16,0))</f>
        <v/>
      </c>
      <c r="AV16" s="10" t="str">
        <f aca="false">IFERROR(1/(1/SUM($AC16,$AB16,$AS16)),"")</f>
        <v/>
      </c>
      <c r="AW16" s="10" t="str">
        <f aca="false">IFERROR(1/(1/INDEX(Cascade!$BH:$BH,MATCH($E16,Cascade!$E:$E,0))),"")</f>
        <v/>
      </c>
      <c r="AX16" s="10" t="str">
        <f aca="false">IF(SUM($AC16)=0,"",$AC16)</f>
        <v/>
      </c>
      <c r="AY16" s="10" t="str">
        <f aca="false">IF(SUM($AS16)=0,"",$AS16)</f>
        <v/>
      </c>
      <c r="AZ16" s="10" t="str">
        <f aca="false">IFERROR(1/(1/INDEX(TB!$P:$P,MATCH($E16,TB!$E:$E,0))),"")</f>
        <v/>
      </c>
      <c r="BA16" s="10" t="str">
        <f aca="false">IFERROR(1/(1/(SUM($AW16)-SUM($AX16:$AZ16))),"")</f>
        <v/>
      </c>
    </row>
    <row r="17" customFormat="false" ht="15" hidden="false" customHeight="false" outlineLevel="0" collapsed="false">
      <c r="A17" s="0" t="str">
        <f aca="false">INDEX(Prioritization!$D:$D,MATCH($B17,Prioritization!$A:$A,0))</f>
        <v>Military</v>
      </c>
      <c r="B17" s="0" t="s">
        <v>194</v>
      </c>
      <c r="C17" s="0" t="s">
        <v>366</v>
      </c>
      <c r="D17" s="0" t="s">
        <v>30</v>
      </c>
      <c r="E17" s="0" t="str">
        <f aca="false">B17&amp;"|"&amp;C17&amp;"|"&amp;D17</f>
        <v>_Military Malawi [PQZgU9dagaH]|25-34|Female</v>
      </c>
      <c r="F17" s="10" t="str">
        <f aca="false">IF(LEFT($B17,4)="_Mil","",INDEX(Cascade!$T:$T,MATCH($E17,Cascade!$E:$E,0)))</f>
        <v/>
      </c>
      <c r="G17" s="10" t="str">
        <f aca="false">IF(LEFT($B17,4)="_Mil","",INDEX(Cascade!$U:$U,MATCH($E17,Cascade!$E:$E,0)))</f>
        <v/>
      </c>
      <c r="H17" s="86" t="str">
        <f aca="false">IF(LEFT($B17,4)="_Mil","",INDEX(Cascade!$W:$W,MATCH($E17,Cascade!$E:$E,0)))</f>
        <v/>
      </c>
      <c r="I17" s="10" t="str">
        <f aca="false">IF(LEFT($B17,4)="_Mil","",INDEX(Cascade!$Z:$Z,MATCH($E17,Cascade!$E:$E,0)))</f>
        <v/>
      </c>
      <c r="J17" s="88" t="str">
        <f aca="false">IF(LEFT($B17,4)="_Mil","",INDEX(Cascade!$AA:$AA,MATCH($E17,Cascade!$E:$E,0)))</f>
        <v/>
      </c>
      <c r="K17" s="39" t="str">
        <f aca="false">IF(LEFT($B17,4)="_Mil","",_xlfn.IFNA(ROUND(INDEX(Spectrum!$N:$N,MATCH(RIGHT($B17,13)&amp;"|"&amp;$C17&amp;"|"&amp;$D17&amp;"|"&amp;K$14&amp;"|"&amp;"CY2023Q3",Spectrum!$R:$R,0)),0),""))</f>
        <v/>
      </c>
      <c r="L17" s="39" t="str">
        <f aca="false">IF(LEFT($B17,4)="_Mil","",_xlfn.IFNA(ROUND(INDEX(Spectrum!$N:$N,MATCH(RIGHT($B17,13)&amp;"|"&amp;$C17&amp;"|"&amp;$D17&amp;"|"&amp;L$14&amp;"|"&amp;"CY2023Q3",Spectrum!$R:$R,0)),0),""))</f>
        <v/>
      </c>
      <c r="M17" s="39" t="str">
        <f aca="false">IF(LEFT($B17,4)="_Mil","",_xlfn.IFNA(ROUND(INDEX(Spectrum!$N:$N,MATCH(RIGHT($B17,13)&amp;"|"&amp;$C17&amp;"|"&amp;$D17&amp;"|"&amp;M$14&amp;"|"&amp;"CY2023Q3",Spectrum!$R:$R,0)),0),""))</f>
        <v/>
      </c>
      <c r="N17" s="39" t="str">
        <f aca="false">IF(LEFT($B17,4)="_Mil","",_xlfn.IFNA(ROUND(INDEX(Spectrum!$N:$N,MATCH(RIGHT($B17,13)&amp;"|"&amp;$C17&amp;"|"&amp;$D17&amp;"|"&amp;N$14&amp;"|"&amp;"CY2023Q3",Spectrum!$R:$R,0)),0),""))</f>
        <v/>
      </c>
      <c r="O17" s="39" t="str">
        <f aca="false">IF(LEFT($B17,4)="_Mil","",_xlfn.IFNA(ROUND(INDEX(Spectrum!$N:$N,MATCH(RIGHT($B17,13)&amp;"|"&amp;$C17&amp;"|"&amp;$D17&amp;"|"&amp;O$14&amp;"|"&amp;"CY2023Q3",Spectrum!$R:$R,0)),0),""))</f>
        <v/>
      </c>
      <c r="P17" s="39" t="str">
        <f aca="false">IF(LEFT($B17,4)="_Mil","",_xlfn.IFNA(ROUND(INDEX(Spectrum!$N:$N,MATCH(RIGHT($B17,13)&amp;"|"&amp;$C17&amp;"|"&amp;$D17&amp;"|"&amp;P$14&amp;"|"&amp;"CY2023Q3",Spectrum!$R:$R,0)),0),""))</f>
        <v/>
      </c>
      <c r="Q17" s="39" t="str">
        <f aca="false">IF(LEFT($B17,4)="_Mil","",_xlfn.IFNA(ROUND(INDEX(Spectrum!$N:$N,MATCH(RIGHT($B17,13)&amp;"|"&amp;$C17&amp;"|"&amp;$D17&amp;"|"&amp;Q$14&amp;"|"&amp;"CY2022Q3",Spectrum!$R:$R,0)),0),""))</f>
        <v/>
      </c>
      <c r="R17" s="10"/>
      <c r="S17" s="88" t="n">
        <f aca="false">0</f>
        <v>0</v>
      </c>
      <c r="T17" s="39" t="str">
        <f aca="false">IF(SUM($R17)=0,"",ROUND($R17*(1+$S17),0))</f>
        <v/>
      </c>
      <c r="U17" s="88" t="str">
        <f aca="false">IF(LEFT($B17,4)="_Mil","",IF(SUM($K17)=0,IF(SUM($R17)=0,"",1),MIN($R17/$K17,1)))</f>
        <v/>
      </c>
      <c r="V17" s="39" t="str">
        <f aca="false">IF(OR(SUM($T17)=0,LEFT($B17,4)="_Mil"),"",ROUND($T17/$U17,0))</f>
        <v/>
      </c>
      <c r="W17" s="88"/>
      <c r="X17" s="88" t="str">
        <f aca="false">IF(SUM($K17,$W17)=0,"",MAX(IFERROR(SUM($L17)/$K17,0),SUM($W17)))</f>
        <v/>
      </c>
      <c r="Y17" s="88"/>
      <c r="Z17" s="88" t="str">
        <f aca="false">IF(SUM($K17,$Y17)=0,"",MIN(SUM($Y17),IFERROR(SUM($M17)/(SUM($K17)-SUM($L17)),1)))</f>
        <v/>
      </c>
      <c r="AA17" s="10" t="str">
        <f aca="false">$T17</f>
        <v/>
      </c>
      <c r="AB17" s="39" t="str">
        <f aca="false">IF(SUM($AA17)=0,"",IF(AND(SUM($AA17)&gt;0,$X17=""),"ENTER KNOWN POSITIVITY RATE",ROUND($AA17*$X17,0)))</f>
        <v/>
      </c>
      <c r="AC17" s="39" t="str">
        <f aca="false">IF(SUM($AA17)=0,"",IF(AND((SUM($AA17)-SUM($AB17))&gt;0,$Z17=""),"ENTER YIELD RATE",ROUND(($AA17-SUM($AB17))*$Z17,0)))</f>
        <v/>
      </c>
      <c r="AD17" s="39" t="str">
        <f aca="false">IF(SUM($AA17)=0,"",$AA17-SUM($AB17)-SUM($AC17))</f>
        <v/>
      </c>
      <c r="AE17" s="10" t="str">
        <f aca="false">$V17</f>
        <v/>
      </c>
      <c r="AF17" s="39" t="str">
        <f aca="false">IF(SUM($AE17)=0,"",ROUND($AE17*SUM($X17),0))</f>
        <v/>
      </c>
      <c r="AG17" s="39" t="str">
        <f aca="false">IF(SUM($AE17)=0,"",ROUND(($AE17-SUM($AF17))*SUM($Z17),0))</f>
        <v/>
      </c>
      <c r="AH17" s="39" t="str">
        <f aca="false">IF(SUM($AE17)=0,"",$AE17-SUM($AF17)-SUM($AG17))</f>
        <v/>
      </c>
      <c r="AI17" s="88" t="str">
        <f aca="false">IF(SUM($AC17)=0,"",INDEX(Cascade!$BG:$BG,MATCH($E17,Cascade!$E:$E,0)))</f>
        <v/>
      </c>
      <c r="AJ17" s="39" t="str">
        <f aca="false">$AB17</f>
        <v/>
      </c>
      <c r="AK17" s="39" t="str">
        <f aca="false">IF(SUM($AC17)=0,"",IF(AND($AI17="",SUM($AC17)&gt;0),"&lt;- Enter Linkage Rate",ROUND($AC17*$AI17,0)))</f>
        <v/>
      </c>
      <c r="AL17" s="39" t="str">
        <f aca="false">IF(SUM($AF17,$AG17)=0,"",SUM($AF17,$AG17))</f>
        <v/>
      </c>
      <c r="AM17" s="39" t="str">
        <f aca="false">$AF17</f>
        <v/>
      </c>
      <c r="AN17" s="39" t="str">
        <f aca="false">IF(SUM($AG17)=0,"",ROUND($AG17*SUM($AI17),0))</f>
        <v/>
      </c>
      <c r="AO17" s="10" t="str">
        <f aca="false">IFERROR(1/(1/MAX(SUM($T17)-SUM($AB17,$AC17),$AD17)),"")</f>
        <v/>
      </c>
      <c r="AP17" s="88"/>
      <c r="AQ17" s="88" t="str">
        <f aca="false">IF($AP17="","",$AP17)</f>
        <v/>
      </c>
      <c r="AR17" s="88" t="str">
        <f aca="false">IF(SUM($AO17)=0,"",INDEX(Cascade!$BG:$BG,MATCH($E17,Cascade!$E:$E,0)))</f>
        <v/>
      </c>
      <c r="AS17" s="39" t="str">
        <f aca="false">IF(SUM($AO17)=0,"",IF(AND(SUM($AO17)&gt;0,$AQ17=""),"ENTER YIELD RATE",ROUND($AO17*$AQ17,0)))</f>
        <v/>
      </c>
      <c r="AT17" s="39" t="str">
        <f aca="false">IF(SUM($AO17)=0,"",$AO17-SUM($AS17))</f>
        <v/>
      </c>
      <c r="AU17" s="10" t="str">
        <f aca="false">IF(SUM($AS17)=0,"",ROUND($AS17*$AR17,0))</f>
        <v/>
      </c>
      <c r="AV17" s="10" t="str">
        <f aca="false">IFERROR(1/(1/SUM($AC17,$AB17,$AS17)),"")</f>
        <v/>
      </c>
      <c r="AW17" s="10" t="str">
        <f aca="false">IFERROR(1/(1/INDEX(Cascade!$BH:$BH,MATCH($E17,Cascade!$E:$E,0))),"")</f>
        <v/>
      </c>
      <c r="AX17" s="10" t="str">
        <f aca="false">IF(SUM($AC17)=0,"",$AC17)</f>
        <v/>
      </c>
      <c r="AY17" s="10" t="str">
        <f aca="false">IF(SUM($AS17)=0,"",$AS17)</f>
        <v/>
      </c>
      <c r="AZ17" s="10" t="str">
        <f aca="false">IFERROR(1/(1/INDEX(TB!$P:$P,MATCH($E17,TB!$E:$E,0))),"")</f>
        <v/>
      </c>
      <c r="BA17" s="10" t="str">
        <f aca="false">IFERROR(1/(1/(SUM($AW17)-SUM($AX17:$AZ17))),"")</f>
        <v/>
      </c>
    </row>
    <row r="18" customFormat="false" ht="15" hidden="false" customHeight="false" outlineLevel="0" collapsed="false">
      <c r="A18" s="0" t="str">
        <f aca="false">INDEX(Prioritization!$D:$D,MATCH($B18,Prioritization!$A:$A,0))</f>
        <v>Military</v>
      </c>
      <c r="B18" s="0" t="s">
        <v>194</v>
      </c>
      <c r="C18" s="0" t="s">
        <v>367</v>
      </c>
      <c r="D18" s="0" t="s">
        <v>30</v>
      </c>
      <c r="E18" s="0" t="str">
        <f aca="false">B18&amp;"|"&amp;C18&amp;"|"&amp;D18</f>
        <v>_Military Malawi [PQZgU9dagaH]|35-49|Female</v>
      </c>
      <c r="F18" s="10" t="str">
        <f aca="false">IF(LEFT($B18,4)="_Mil","",INDEX(Cascade!$T:$T,MATCH($E18,Cascade!$E:$E,0)))</f>
        <v/>
      </c>
      <c r="G18" s="10" t="str">
        <f aca="false">IF(LEFT($B18,4)="_Mil","",INDEX(Cascade!$U:$U,MATCH($E18,Cascade!$E:$E,0)))</f>
        <v/>
      </c>
      <c r="H18" s="86" t="str">
        <f aca="false">IF(LEFT($B18,4)="_Mil","",INDEX(Cascade!$W:$W,MATCH($E18,Cascade!$E:$E,0)))</f>
        <v/>
      </c>
      <c r="I18" s="10" t="str">
        <f aca="false">IF(LEFT($B18,4)="_Mil","",INDEX(Cascade!$Z:$Z,MATCH($E18,Cascade!$E:$E,0)))</f>
        <v/>
      </c>
      <c r="J18" s="88" t="str">
        <f aca="false">IF(LEFT($B18,4)="_Mil","",INDEX(Cascade!$AA:$AA,MATCH($E18,Cascade!$E:$E,0)))</f>
        <v/>
      </c>
      <c r="K18" s="39" t="str">
        <f aca="false">IF(LEFT($B18,4)="_Mil","",_xlfn.IFNA(ROUND(INDEX(Spectrum!$N:$N,MATCH(RIGHT($B18,13)&amp;"|"&amp;$C18&amp;"|"&amp;$D18&amp;"|"&amp;K$14&amp;"|"&amp;"CY2023Q3",Spectrum!$R:$R,0)),0),""))</f>
        <v/>
      </c>
      <c r="L18" s="39" t="str">
        <f aca="false">IF(LEFT($B18,4)="_Mil","",_xlfn.IFNA(ROUND(INDEX(Spectrum!$N:$N,MATCH(RIGHT($B18,13)&amp;"|"&amp;$C18&amp;"|"&amp;$D18&amp;"|"&amp;L$14&amp;"|"&amp;"CY2023Q3",Spectrum!$R:$R,0)),0),""))</f>
        <v/>
      </c>
      <c r="M18" s="39" t="str">
        <f aca="false">IF(LEFT($B18,4)="_Mil","",_xlfn.IFNA(ROUND(INDEX(Spectrum!$N:$N,MATCH(RIGHT($B18,13)&amp;"|"&amp;$C18&amp;"|"&amp;$D18&amp;"|"&amp;M$14&amp;"|"&amp;"CY2023Q3",Spectrum!$R:$R,0)),0),""))</f>
        <v/>
      </c>
      <c r="N18" s="39" t="str">
        <f aca="false">IF(LEFT($B18,4)="_Mil","",_xlfn.IFNA(ROUND(INDEX(Spectrum!$N:$N,MATCH(RIGHT($B18,13)&amp;"|"&amp;$C18&amp;"|"&amp;$D18&amp;"|"&amp;N$14&amp;"|"&amp;"CY2023Q3",Spectrum!$R:$R,0)),0),""))</f>
        <v/>
      </c>
      <c r="O18" s="39" t="str">
        <f aca="false">IF(LEFT($B18,4)="_Mil","",_xlfn.IFNA(ROUND(INDEX(Spectrum!$N:$N,MATCH(RIGHT($B18,13)&amp;"|"&amp;$C18&amp;"|"&amp;$D18&amp;"|"&amp;O$14&amp;"|"&amp;"CY2023Q3",Spectrum!$R:$R,0)),0),""))</f>
        <v/>
      </c>
      <c r="P18" s="39" t="str">
        <f aca="false">IF(LEFT($B18,4)="_Mil","",_xlfn.IFNA(ROUND(INDEX(Spectrum!$N:$N,MATCH(RIGHT($B18,13)&amp;"|"&amp;$C18&amp;"|"&amp;$D18&amp;"|"&amp;P$14&amp;"|"&amp;"CY2023Q3",Spectrum!$R:$R,0)),0),""))</f>
        <v/>
      </c>
      <c r="Q18" s="39" t="str">
        <f aca="false">IF(LEFT($B18,4)="_Mil","",_xlfn.IFNA(ROUND(INDEX(Spectrum!$N:$N,MATCH(RIGHT($B18,13)&amp;"|"&amp;$C18&amp;"|"&amp;$D18&amp;"|"&amp;Q$14&amp;"|"&amp;"CY2022Q3",Spectrum!$R:$R,0)),0),""))</f>
        <v/>
      </c>
      <c r="R18" s="10"/>
      <c r="S18" s="88" t="n">
        <f aca="false">0</f>
        <v>0</v>
      </c>
      <c r="T18" s="39" t="str">
        <f aca="false">IF(SUM($R18)=0,"",ROUND($R18*(1+$S18),0))</f>
        <v/>
      </c>
      <c r="U18" s="88" t="str">
        <f aca="false">IF(LEFT($B18,4)="_Mil","",IF(SUM($K18)=0,IF(SUM($R18)=0,"",1),MIN($R18/$K18,1)))</f>
        <v/>
      </c>
      <c r="V18" s="39" t="str">
        <f aca="false">IF(OR(SUM($T18)=0,LEFT($B18,4)="_Mil"),"",ROUND($T18/$U18,0))</f>
        <v/>
      </c>
      <c r="W18" s="88"/>
      <c r="X18" s="88" t="str">
        <f aca="false">IF(SUM($K18,$W18)=0,"",MAX(IFERROR(SUM($L18)/$K18,0),SUM($W18)))</f>
        <v/>
      </c>
      <c r="Y18" s="88"/>
      <c r="Z18" s="88" t="str">
        <f aca="false">IF(SUM($K18,$Y18)=0,"",MIN(SUM($Y18),IFERROR(SUM($M18)/(SUM($K18)-SUM($L18)),1)))</f>
        <v/>
      </c>
      <c r="AA18" s="10" t="str">
        <f aca="false">$T18</f>
        <v/>
      </c>
      <c r="AB18" s="39" t="str">
        <f aca="false">IF(SUM($AA18)=0,"",IF(AND(SUM($AA18)&gt;0,$X18=""),"ENTER KNOWN POSITIVITY RATE",ROUND($AA18*$X18,0)))</f>
        <v/>
      </c>
      <c r="AC18" s="39" t="str">
        <f aca="false">IF(SUM($AA18)=0,"",IF(AND((SUM($AA18)-SUM($AB18))&gt;0,$Z18=""),"ENTER YIELD RATE",ROUND(($AA18-SUM($AB18))*$Z18,0)))</f>
        <v/>
      </c>
      <c r="AD18" s="39" t="str">
        <f aca="false">IF(SUM($AA18)=0,"",$AA18-SUM($AB18)-SUM($AC18))</f>
        <v/>
      </c>
      <c r="AE18" s="10" t="str">
        <f aca="false">$V18</f>
        <v/>
      </c>
      <c r="AF18" s="39" t="str">
        <f aca="false">IF(SUM($AE18)=0,"",ROUND($AE18*SUM($X18),0))</f>
        <v/>
      </c>
      <c r="AG18" s="39" t="str">
        <f aca="false">IF(SUM($AE18)=0,"",ROUND(($AE18-SUM($AF18))*SUM($Z18),0))</f>
        <v/>
      </c>
      <c r="AH18" s="39" t="str">
        <f aca="false">IF(SUM($AE18)=0,"",$AE18-SUM($AF18)-SUM($AG18))</f>
        <v/>
      </c>
      <c r="AI18" s="88" t="str">
        <f aca="false">IF(SUM($AC18)=0,"",INDEX(Cascade!$BG:$BG,MATCH($E18,Cascade!$E:$E,0)))</f>
        <v/>
      </c>
      <c r="AJ18" s="39" t="str">
        <f aca="false">$AB18</f>
        <v/>
      </c>
      <c r="AK18" s="39" t="str">
        <f aca="false">IF(SUM($AC18)=0,"",IF(AND($AI18="",SUM($AC18)&gt;0),"&lt;- Enter Linkage Rate",ROUND($AC18*$AI18,0)))</f>
        <v/>
      </c>
      <c r="AL18" s="39" t="str">
        <f aca="false">IF(SUM($AF18,$AG18)=0,"",SUM($AF18,$AG18))</f>
        <v/>
      </c>
      <c r="AM18" s="39" t="str">
        <f aca="false">$AF18</f>
        <v/>
      </c>
      <c r="AN18" s="39" t="str">
        <f aca="false">IF(SUM($AG18)=0,"",ROUND($AG18*SUM($AI18),0))</f>
        <v/>
      </c>
      <c r="AO18" s="10" t="str">
        <f aca="false">IFERROR(1/(1/MAX(SUM($T18)-SUM($AB18,$AC18),$AD18)),"")</f>
        <v/>
      </c>
      <c r="AP18" s="88"/>
      <c r="AQ18" s="88" t="str">
        <f aca="false">IF($AP18="","",$AP18)</f>
        <v/>
      </c>
      <c r="AR18" s="88" t="str">
        <f aca="false">IF(SUM($AO18)=0,"",INDEX(Cascade!$BG:$BG,MATCH($E18,Cascade!$E:$E,0)))</f>
        <v/>
      </c>
      <c r="AS18" s="39" t="str">
        <f aca="false">IF(SUM($AO18)=0,"",IF(AND(SUM($AO18)&gt;0,$AQ18=""),"ENTER YIELD RATE",ROUND($AO18*$AQ18,0)))</f>
        <v/>
      </c>
      <c r="AT18" s="39" t="str">
        <f aca="false">IF(SUM($AO18)=0,"",$AO18-SUM($AS18))</f>
        <v/>
      </c>
      <c r="AU18" s="10" t="str">
        <f aca="false">IF(SUM($AS18)=0,"",ROUND($AS18*$AR18,0))</f>
        <v/>
      </c>
      <c r="AV18" s="10" t="str">
        <f aca="false">IFERROR(1/(1/SUM($AC18,$AB18,$AS18)),"")</f>
        <v/>
      </c>
      <c r="AW18" s="10" t="str">
        <f aca="false">IFERROR(1/(1/INDEX(Cascade!$BH:$BH,MATCH($E18,Cascade!$E:$E,0))),"")</f>
        <v/>
      </c>
      <c r="AX18" s="10" t="str">
        <f aca="false">IF(SUM($AC18)=0,"",$AC18)</f>
        <v/>
      </c>
      <c r="AY18" s="10" t="str">
        <f aca="false">IF(SUM($AS18)=0,"",$AS18)</f>
        <v/>
      </c>
      <c r="AZ18" s="10" t="str">
        <f aca="false">IFERROR(1/(1/INDEX(TB!$P:$P,MATCH($E18,TB!$E:$E,0))),"")</f>
        <v/>
      </c>
      <c r="BA18" s="10" t="str">
        <f aca="false">IFERROR(1/(1/(SUM($AW18)-SUM($AX18:$AZ18))),"")</f>
        <v/>
      </c>
    </row>
    <row r="19" customFormat="false" ht="15" hidden="false" customHeight="false" outlineLevel="0" collapsed="false">
      <c r="A19" s="0" t="str">
        <f aca="false">INDEX(Prioritization!$D:$D,MATCH($B19,Prioritization!$A:$A,0))</f>
        <v>Military</v>
      </c>
      <c r="B19" s="0" t="s">
        <v>194</v>
      </c>
      <c r="C19" s="0" t="s">
        <v>368</v>
      </c>
      <c r="D19" s="0" t="s">
        <v>30</v>
      </c>
      <c r="E19" s="0" t="str">
        <f aca="false">B19&amp;"|"&amp;C19&amp;"|"&amp;D19</f>
        <v>_Military Malawi [PQZgU9dagaH]|50+|Female</v>
      </c>
      <c r="F19" s="10" t="str">
        <f aca="false">IF(LEFT($B19,4)="_Mil","",INDEX(Cascade!$T:$T,MATCH($E19,Cascade!$E:$E,0)))</f>
        <v/>
      </c>
      <c r="G19" s="10" t="str">
        <f aca="false">IF(LEFT($B19,4)="_Mil","",INDEX(Cascade!$U:$U,MATCH($E19,Cascade!$E:$E,0)))</f>
        <v/>
      </c>
      <c r="H19" s="86" t="str">
        <f aca="false">IF(LEFT($B19,4)="_Mil","",INDEX(Cascade!$W:$W,MATCH($E19,Cascade!$E:$E,0)))</f>
        <v/>
      </c>
      <c r="I19" s="10" t="str">
        <f aca="false">IF(LEFT($B19,4)="_Mil","",INDEX(Cascade!$Z:$Z,MATCH($E19,Cascade!$E:$E,0)))</f>
        <v/>
      </c>
      <c r="J19" s="88" t="str">
        <f aca="false">IF(LEFT($B19,4)="_Mil","",INDEX(Cascade!$AA:$AA,MATCH($E19,Cascade!$E:$E,0)))</f>
        <v/>
      </c>
      <c r="K19" s="39" t="str">
        <f aca="false">IF(LEFT($B19,4)="_Mil","",_xlfn.IFNA(ROUND(INDEX(Spectrum!$N:$N,MATCH(RIGHT($B19,13)&amp;"|"&amp;$C19&amp;"|"&amp;$D19&amp;"|"&amp;K$14&amp;"|"&amp;"CY2023Q3",Spectrum!$R:$R,0)),0),""))</f>
        <v/>
      </c>
      <c r="L19" s="39" t="str">
        <f aca="false">IF(LEFT($B19,4)="_Mil","",_xlfn.IFNA(ROUND(INDEX(Spectrum!$N:$N,MATCH(RIGHT($B19,13)&amp;"|"&amp;$C19&amp;"|"&amp;$D19&amp;"|"&amp;L$14&amp;"|"&amp;"CY2023Q3",Spectrum!$R:$R,0)),0),""))</f>
        <v/>
      </c>
      <c r="M19" s="39" t="str">
        <f aca="false">IF(LEFT($B19,4)="_Mil","",_xlfn.IFNA(ROUND(INDEX(Spectrum!$N:$N,MATCH(RIGHT($B19,13)&amp;"|"&amp;$C19&amp;"|"&amp;$D19&amp;"|"&amp;M$14&amp;"|"&amp;"CY2023Q3",Spectrum!$R:$R,0)),0),""))</f>
        <v/>
      </c>
      <c r="N19" s="39" t="str">
        <f aca="false">IF(LEFT($B19,4)="_Mil","",_xlfn.IFNA(ROUND(INDEX(Spectrum!$N:$N,MATCH(RIGHT($B19,13)&amp;"|"&amp;$C19&amp;"|"&amp;$D19&amp;"|"&amp;N$14&amp;"|"&amp;"CY2023Q3",Spectrum!$R:$R,0)),0),""))</f>
        <v/>
      </c>
      <c r="O19" s="39" t="str">
        <f aca="false">IF(LEFT($B19,4)="_Mil","",_xlfn.IFNA(ROUND(INDEX(Spectrum!$N:$N,MATCH(RIGHT($B19,13)&amp;"|"&amp;$C19&amp;"|"&amp;$D19&amp;"|"&amp;O$14&amp;"|"&amp;"CY2023Q3",Spectrum!$R:$R,0)),0),""))</f>
        <v/>
      </c>
      <c r="P19" s="39" t="str">
        <f aca="false">IF(LEFT($B19,4)="_Mil","",_xlfn.IFNA(ROUND(INDEX(Spectrum!$N:$N,MATCH(RIGHT($B19,13)&amp;"|"&amp;$C19&amp;"|"&amp;$D19&amp;"|"&amp;P$14&amp;"|"&amp;"CY2023Q3",Spectrum!$R:$R,0)),0),""))</f>
        <v/>
      </c>
      <c r="Q19" s="39" t="str">
        <f aca="false">IF(LEFT($B19,4)="_Mil","",_xlfn.IFNA(ROUND(INDEX(Spectrum!$N:$N,MATCH(RIGHT($B19,13)&amp;"|"&amp;$C19&amp;"|"&amp;$D19&amp;"|"&amp;Q$14&amp;"|"&amp;"CY2022Q3",Spectrum!$R:$R,0)),0),""))</f>
        <v/>
      </c>
      <c r="R19" s="10"/>
      <c r="S19" s="88" t="n">
        <f aca="false">0</f>
        <v>0</v>
      </c>
      <c r="T19" s="39" t="str">
        <f aca="false">IF(SUM($R19)=0,"",ROUND($R19*(1+$S19),0))</f>
        <v/>
      </c>
      <c r="U19" s="88" t="str">
        <f aca="false">IF(LEFT($B19,4)="_Mil","",IF(SUM($K19)=0,IF(SUM($R19)=0,"",1),MIN($R19/$K19,1)))</f>
        <v/>
      </c>
      <c r="V19" s="39" t="str">
        <f aca="false">IF(OR(SUM($T19)=0,LEFT($B19,4)="_Mil"),"",ROUND($T19/$U19,0))</f>
        <v/>
      </c>
      <c r="W19" s="88"/>
      <c r="X19" s="88" t="str">
        <f aca="false">IF(SUM($K19,$W19)=0,"",MAX(IFERROR(SUM($L19)/$K19,0),SUM($W19)))</f>
        <v/>
      </c>
      <c r="Y19" s="88"/>
      <c r="Z19" s="88" t="str">
        <f aca="false">IF(SUM($K19,$Y19)=0,"",MIN(SUM($Y19),IFERROR(SUM($M19)/(SUM($K19)-SUM($L19)),1)))</f>
        <v/>
      </c>
      <c r="AA19" s="10" t="str">
        <f aca="false">$T19</f>
        <v/>
      </c>
      <c r="AB19" s="39" t="str">
        <f aca="false">IF(SUM($AA19)=0,"",IF(AND(SUM($AA19)&gt;0,$X19=""),"ENTER KNOWN POSITIVITY RATE",ROUND($AA19*$X19,0)))</f>
        <v/>
      </c>
      <c r="AC19" s="39" t="str">
        <f aca="false">IF(SUM($AA19)=0,"",IF(AND((SUM($AA19)-SUM($AB19))&gt;0,$Z19=""),"ENTER YIELD RATE",ROUND(($AA19-SUM($AB19))*$Z19,0)))</f>
        <v/>
      </c>
      <c r="AD19" s="39" t="str">
        <f aca="false">IF(SUM($AA19)=0,"",$AA19-SUM($AB19)-SUM($AC19))</f>
        <v/>
      </c>
      <c r="AE19" s="10" t="str">
        <f aca="false">$V19</f>
        <v/>
      </c>
      <c r="AF19" s="39" t="str">
        <f aca="false">IF(SUM($AE19)=0,"",ROUND($AE19*SUM($X19),0))</f>
        <v/>
      </c>
      <c r="AG19" s="39" t="str">
        <f aca="false">IF(SUM($AE19)=0,"",ROUND(($AE19-SUM($AF19))*SUM($Z19),0))</f>
        <v/>
      </c>
      <c r="AH19" s="39" t="str">
        <f aca="false">IF(SUM($AE19)=0,"",$AE19-SUM($AF19)-SUM($AG19))</f>
        <v/>
      </c>
      <c r="AI19" s="88" t="str">
        <f aca="false">IF(SUM($AC19)=0,"",INDEX(Cascade!$BG:$BG,MATCH($E19,Cascade!$E:$E,0)))</f>
        <v/>
      </c>
      <c r="AJ19" s="39" t="str">
        <f aca="false">$AB19</f>
        <v/>
      </c>
      <c r="AK19" s="39" t="str">
        <f aca="false">IF(SUM($AC19)=0,"",IF(AND($AI19="",SUM($AC19)&gt;0),"&lt;- Enter Linkage Rate",ROUND($AC19*$AI19,0)))</f>
        <v/>
      </c>
      <c r="AL19" s="39" t="str">
        <f aca="false">IF(SUM($AF19,$AG19)=0,"",SUM($AF19,$AG19))</f>
        <v/>
      </c>
      <c r="AM19" s="39" t="str">
        <f aca="false">$AF19</f>
        <v/>
      </c>
      <c r="AN19" s="39" t="str">
        <f aca="false">IF(SUM($AG19)=0,"",ROUND($AG19*SUM($AI19),0))</f>
        <v/>
      </c>
      <c r="AO19" s="10" t="str">
        <f aca="false">IFERROR(1/(1/MAX(SUM($T19)-SUM($AB19,$AC19),$AD19)),"")</f>
        <v/>
      </c>
      <c r="AP19" s="88"/>
      <c r="AQ19" s="88" t="str">
        <f aca="false">IF($AP19="","",$AP19)</f>
        <v/>
      </c>
      <c r="AR19" s="88" t="str">
        <f aca="false">IF(SUM($AO19)=0,"",INDEX(Cascade!$BG:$BG,MATCH($E19,Cascade!$E:$E,0)))</f>
        <v/>
      </c>
      <c r="AS19" s="39" t="str">
        <f aca="false">IF(SUM($AO19)=0,"",IF(AND(SUM($AO19)&gt;0,$AQ19=""),"ENTER YIELD RATE",ROUND($AO19*$AQ19,0)))</f>
        <v/>
      </c>
      <c r="AT19" s="39" t="str">
        <f aca="false">IF(SUM($AO19)=0,"",$AO19-SUM($AS19))</f>
        <v/>
      </c>
      <c r="AU19" s="10" t="str">
        <f aca="false">IF(SUM($AS19)=0,"",ROUND($AS19*$AR19,0))</f>
        <v/>
      </c>
      <c r="AV19" s="10" t="str">
        <f aca="false">IFERROR(1/(1/SUM($AC19,$AB19,$AS19)),"")</f>
        <v/>
      </c>
      <c r="AW19" s="10" t="str">
        <f aca="false">IFERROR(1/(1/INDEX(Cascade!$BH:$BH,MATCH($E19,Cascade!$E:$E,0))),"")</f>
        <v/>
      </c>
      <c r="AX19" s="10" t="str">
        <f aca="false">IF(SUM($AC19)=0,"",$AC19)</f>
        <v/>
      </c>
      <c r="AY19" s="10" t="str">
        <f aca="false">IF(SUM($AS19)=0,"",$AS19)</f>
        <v/>
      </c>
      <c r="AZ19" s="10" t="str">
        <f aca="false">IFERROR(1/(1/INDEX(TB!$P:$P,MATCH($E19,TB!$E:$E,0))),"")</f>
        <v/>
      </c>
      <c r="BA19" s="10" t="str">
        <f aca="false">IFERROR(1/(1/(SUM($AW19)-SUM($AX19:$AZ19))),"")</f>
        <v/>
      </c>
    </row>
    <row r="20" customFormat="false" ht="15" hidden="false" customHeight="false" outlineLevel="0" collapsed="false">
      <c r="A20" s="0" t="str">
        <f aca="false">INDEX(Prioritization!$D:$D,MATCH($B20,Prioritization!$A:$A,0))</f>
        <v>1 - Scale-up: Saturation</v>
      </c>
      <c r="B20" s="0" t="s">
        <v>195</v>
      </c>
      <c r="C20" s="0" t="s">
        <v>364</v>
      </c>
      <c r="D20" s="0" t="s">
        <v>30</v>
      </c>
      <c r="E20" s="0" t="str">
        <f aca="false">B20&amp;"|"&amp;C20&amp;"|"&amp;D20</f>
        <v>Dedza District [PekKUkKHAzY]|10-14|Female</v>
      </c>
      <c r="F20" s="10" t="n">
        <f aca="false">IF(LEFT($B20,4)="_Mil","",INDEX(Cascade!$T:$T,MATCH($E20,Cascade!$E:$E,0)))</f>
        <v>1272</v>
      </c>
      <c r="G20" s="10" t="str">
        <f aca="false">IF(LEFT($B20,4)="_Mil","",INDEX(Cascade!$U:$U,MATCH($E20,Cascade!$E:$E,0)))</f>
        <v/>
      </c>
      <c r="H20" s="86" t="n">
        <f aca="false">IF(LEFT($B20,4)="_Mil","",INDEX(Cascade!$W:$W,MATCH($E20,Cascade!$E:$E,0)))</f>
        <v>945</v>
      </c>
      <c r="I20" s="10" t="n">
        <f aca="false">IF(LEFT($B20,4)="_Mil","",INDEX(Cascade!$Z:$Z,MATCH($E20,Cascade!$E:$E,0)))</f>
        <v>1555</v>
      </c>
      <c r="J20" s="88" t="n">
        <f aca="false">IF(LEFT($B20,4)="_Mil","",INDEX(Cascade!$AA:$AA,MATCH($E20,Cascade!$E:$E,0)))</f>
        <v>1044</v>
      </c>
      <c r="K20" s="39" t="str">
        <f aca="false">IF(LEFT($B20,4)="_Mil","",_xlfn.IFNA(ROUND(INDEX(Spectrum!$N:$N,MATCH(RIGHT($B20,13)&amp;"|"&amp;$C20&amp;"|"&amp;$D20&amp;"|"&amp;K$14&amp;"|"&amp;"CY2023Q3",Spectrum!$R:$R,0)),0),""))</f>
        <v/>
      </c>
      <c r="L20" s="39" t="str">
        <f aca="false">IF(LEFT($B20,4)="_Mil","",_xlfn.IFNA(ROUND(INDEX(Spectrum!$N:$N,MATCH(RIGHT($B20,13)&amp;"|"&amp;$C20&amp;"|"&amp;$D20&amp;"|"&amp;L$14&amp;"|"&amp;"CY2023Q3",Spectrum!$R:$R,0)),0),""))</f>
        <v/>
      </c>
      <c r="M20" s="39" t="str">
        <f aca="false">IF(LEFT($B20,4)="_Mil","",_xlfn.IFNA(ROUND(INDEX(Spectrum!$N:$N,MATCH(RIGHT($B20,13)&amp;"|"&amp;$C20&amp;"|"&amp;$D20&amp;"|"&amp;M$14&amp;"|"&amp;"CY2023Q3",Spectrum!$R:$R,0)),0),""))</f>
        <v/>
      </c>
      <c r="N20" s="39" t="str">
        <f aca="false">IF(LEFT($B20,4)="_Mil","",_xlfn.IFNA(ROUND(INDEX(Spectrum!$N:$N,MATCH(RIGHT($B20,13)&amp;"|"&amp;$C20&amp;"|"&amp;$D20&amp;"|"&amp;N$14&amp;"|"&amp;"CY2023Q3",Spectrum!$R:$R,0)),0),""))</f>
        <v/>
      </c>
      <c r="O20" s="39" t="str">
        <f aca="false">IF(LEFT($B20,4)="_Mil","",_xlfn.IFNA(ROUND(INDEX(Spectrum!$N:$N,MATCH(RIGHT($B20,13)&amp;"|"&amp;$C20&amp;"|"&amp;$D20&amp;"|"&amp;O$14&amp;"|"&amp;"CY2023Q3",Spectrum!$R:$R,0)),0),""))</f>
        <v/>
      </c>
      <c r="P20" s="39" t="str">
        <f aca="false">IF(LEFT($B20,4)="_Mil","",_xlfn.IFNA(ROUND(INDEX(Spectrum!$N:$N,MATCH(RIGHT($B20,13)&amp;"|"&amp;$C20&amp;"|"&amp;$D20&amp;"|"&amp;P$14&amp;"|"&amp;"CY2023Q3",Spectrum!$R:$R,0)),0),""))</f>
        <v/>
      </c>
      <c r="Q20" s="39" t="str">
        <f aca="false">IF(LEFT($B20,4)="_Mil","",_xlfn.IFNA(ROUND(INDEX(Spectrum!$N:$N,MATCH(RIGHT($B20,13)&amp;"|"&amp;$C20&amp;"|"&amp;$D20&amp;"|"&amp;Q$14&amp;"|"&amp;"CY2022Q3",Spectrum!$R:$R,0)),0),""))</f>
        <v/>
      </c>
      <c r="R20" s="10" t="n">
        <v>3</v>
      </c>
      <c r="S20" s="88" t="n">
        <f aca="false">0</f>
        <v>0</v>
      </c>
      <c r="T20" s="39" t="n">
        <f aca="false">IF(SUM($R20)=0,"",ROUND($R20*(1+$S20),0))</f>
        <v>3</v>
      </c>
      <c r="U20" s="88" t="n">
        <f aca="false">IF(LEFT($B20,4)="_Mil","",IF(SUM($K20)=0,IF(SUM($R20)=0,"",1),MIN($R20/$K20,1)))</f>
        <v>1</v>
      </c>
      <c r="V20" s="39" t="n">
        <f aca="false">IF(OR(SUM($T20)=0,LEFT($B20,4)="_Mil"),"",ROUND($T20/$U20,0))</f>
        <v>3</v>
      </c>
      <c r="W20" s="88"/>
      <c r="X20" s="88" t="str">
        <f aca="false">IF(SUM($K20,$W20)=0,"",MAX(IFERROR(SUM($L20)/$K20,0),SUM($W20)))</f>
        <v/>
      </c>
      <c r="Y20" s="88"/>
      <c r="Z20" s="88" t="str">
        <f aca="false">IF(SUM($K20,$Y20)=0,"",MIN(SUM($Y20),IFERROR(SUM($M20)/(SUM($K20)-SUM($L20)),1)))</f>
        <v/>
      </c>
      <c r="AA20" s="10" t="n">
        <f aca="false">$T20</f>
        <v>3</v>
      </c>
      <c r="AB20" s="39" t="str">
        <f aca="false">IF(SUM($AA20)=0,"",IF(AND(SUM($AA20)&gt;0,$X20=""),"ENTER KNOWN POSITIVITY RATE",ROUND($AA20*$X20,0)))</f>
        <v>ENTER KNOWN POSITIVITY RATE</v>
      </c>
      <c r="AC20" s="39" t="str">
        <f aca="false">IF(SUM($AA20)=0,"",IF(AND((SUM($AA20)-SUM($AB20))&gt;0,$Z20=""),"ENTER YIELD RATE",ROUND(($AA20-SUM($AB20))*$Z20,0)))</f>
        <v>ENTER YIELD RATE</v>
      </c>
      <c r="AD20" s="39" t="n">
        <f aca="false">IF(SUM($AA20)=0,"",$AA20-SUM($AB20)-SUM($AC20))</f>
        <v>3</v>
      </c>
      <c r="AE20" s="10" t="n">
        <f aca="false">$V20</f>
        <v>3</v>
      </c>
      <c r="AF20" s="39" t="n">
        <f aca="false">IF(SUM($AE20)=0,"",ROUND($AE20*SUM($X20),0))</f>
        <v>0</v>
      </c>
      <c r="AG20" s="39" t="n">
        <f aca="false">IF(SUM($AE20)=0,"",ROUND(($AE20-SUM($AF20))*SUM($Z20),0))</f>
        <v>0</v>
      </c>
      <c r="AH20" s="39" t="n">
        <f aca="false">IF(SUM($AE20)=0,"",$AE20-SUM($AF20)-SUM($AG20))</f>
        <v>3</v>
      </c>
      <c r="AI20" s="88" t="str">
        <f aca="false">IF(SUM($AC20)=0,"",INDEX(Cascade!$BG:$BG,MATCH($E20,Cascade!$E:$E,0)))</f>
        <v/>
      </c>
      <c r="AJ20" s="39" t="str">
        <f aca="false">$AB20</f>
        <v>ENTER KNOWN POSITIVITY RATE</v>
      </c>
      <c r="AK20" s="39" t="str">
        <f aca="false">IF(SUM($AC20)=0,"",IF(AND($AI20="",SUM($AC20)&gt;0),"&lt;- Enter Linkage Rate",ROUND($AC20*$AI20,0)))</f>
        <v/>
      </c>
      <c r="AL20" s="39" t="str">
        <f aca="false">IF(SUM($AF20,$AG20)=0,"",SUM($AF20,$AG20))</f>
        <v/>
      </c>
      <c r="AM20" s="39" t="n">
        <f aca="false">$AF20</f>
        <v>0</v>
      </c>
      <c r="AN20" s="39" t="str">
        <f aca="false">IF(SUM($AG20)=0,"",ROUND($AG20*SUM($AI20),0))</f>
        <v/>
      </c>
      <c r="AO20" s="10" t="n">
        <f aca="false">IFERROR(1/(1/MAX(SUM($T20)-SUM($AB20,$AC20),$AD20)),"")</f>
        <v>3</v>
      </c>
      <c r="AP20" s="88"/>
      <c r="AQ20" s="88" t="str">
        <f aca="false">IF($AP20="","",$AP20)</f>
        <v/>
      </c>
      <c r="AR20" s="88" t="n">
        <f aca="false">IF(SUM($AO20)=0,"",INDEX(Cascade!$BG:$BG,MATCH($E20,Cascade!$E:$E,0)))</f>
        <v>0.95</v>
      </c>
      <c r="AS20" s="39" t="str">
        <f aca="false">IF(SUM($AO20)=0,"",IF(AND(SUM($AO20)&gt;0,$AQ20=""),"ENTER YIELD RATE",ROUND($AO20*$AQ20,0)))</f>
        <v>ENTER YIELD RATE</v>
      </c>
      <c r="AT20" s="39" t="n">
        <f aca="false">IF(SUM($AO20)=0,"",$AO20-SUM($AS20))</f>
        <v>3</v>
      </c>
      <c r="AU20" s="10" t="str">
        <f aca="false">IF(SUM($AS20)=0,"",ROUND($AS20*$AR20,0))</f>
        <v/>
      </c>
      <c r="AV20" s="10" t="str">
        <f aca="false">IFERROR(1/(1/SUM($AC20,$AB20,$AS20)),"")</f>
        <v/>
      </c>
      <c r="AW20" s="10" t="n">
        <f aca="false">IFERROR(1/(1/INDEX(Cascade!$BH:$BH,MATCH($E20,Cascade!$E:$E,0))),"")</f>
        <v>-76</v>
      </c>
      <c r="AX20" s="10" t="str">
        <f aca="false">IF(SUM($AC20)=0,"",$AC20)</f>
        <v/>
      </c>
      <c r="AY20" s="10" t="str">
        <f aca="false">IF(SUM($AS20)=0,"",$AS20)</f>
        <v/>
      </c>
      <c r="AZ20" s="10" t="str">
        <f aca="false">IFERROR(1/(1/INDEX(TB!$P:$P,MATCH($E20,TB!$E:$E,0))),"")</f>
        <v/>
      </c>
      <c r="BA20" s="10" t="n">
        <f aca="false">IFERROR(1/(1/(SUM($AW20)-SUM($AX20:$AZ20))),"")</f>
        <v>-76</v>
      </c>
    </row>
    <row r="21" customFormat="false" ht="15" hidden="false" customHeight="false" outlineLevel="0" collapsed="false">
      <c r="A21" s="0" t="str">
        <f aca="false">INDEX(Prioritization!$D:$D,MATCH($B21,Prioritization!$A:$A,0))</f>
        <v>1 - Scale-up: Saturation</v>
      </c>
      <c r="B21" s="0" t="s">
        <v>195</v>
      </c>
      <c r="C21" s="0" t="s">
        <v>365</v>
      </c>
      <c r="D21" s="0" t="s">
        <v>30</v>
      </c>
      <c r="E21" s="0" t="str">
        <f aca="false">B21&amp;"|"&amp;C21&amp;"|"&amp;D21</f>
        <v>Dedza District [PekKUkKHAzY]|15-24|Female</v>
      </c>
      <c r="F21" s="10" t="n">
        <f aca="false">IF(LEFT($B21,4)="_Mil","",INDEX(Cascade!$T:$T,MATCH($E21,Cascade!$E:$E,0)))</f>
        <v>1410</v>
      </c>
      <c r="G21" s="10" t="str">
        <f aca="false">IF(LEFT($B21,4)="_Mil","",INDEX(Cascade!$U:$U,MATCH($E21,Cascade!$E:$E,0)))</f>
        <v/>
      </c>
      <c r="H21" s="86" t="n">
        <f aca="false">IF(LEFT($B21,4)="_Mil","",INDEX(Cascade!$W:$W,MATCH($E21,Cascade!$E:$E,0)))</f>
        <v>939</v>
      </c>
      <c r="I21" s="10" t="n">
        <f aca="false">IF(LEFT($B21,4)="_Mil","",INDEX(Cascade!$Z:$Z,MATCH($E21,Cascade!$E:$E,0)))</f>
        <v>1869</v>
      </c>
      <c r="J21" s="88" t="n">
        <f aca="false">IF(LEFT($B21,4)="_Mil","",INDEX(Cascade!$AA:$AA,MATCH($E21,Cascade!$E:$E,0)))</f>
        <v>1089</v>
      </c>
      <c r="K21" s="39" t="n">
        <f aca="false">IF(LEFT($B21,4)="_Mil","",_xlfn.IFNA(ROUND(INDEX(Spectrum!$N:$N,MATCH(RIGHT($B21,13)&amp;"|"&amp;$C21&amp;"|"&amp;$D21&amp;"|"&amp;K$14&amp;"|"&amp;"CY2023Q3",Spectrum!$R:$R,0)),0),""))</f>
        <v>814</v>
      </c>
      <c r="L21" s="39" t="str">
        <f aca="false">IF(LEFT($B21,4)="_Mil","",_xlfn.IFNA(ROUND(INDEX(Spectrum!$N:$N,MATCH(RIGHT($B21,13)&amp;"|"&amp;$C21&amp;"|"&amp;$D21&amp;"|"&amp;L$14&amp;"|"&amp;"CY2023Q3",Spectrum!$R:$R,0)),0),""))</f>
        <v/>
      </c>
      <c r="M21" s="39" t="n">
        <f aca="false">IF(LEFT($B21,4)="_Mil","",_xlfn.IFNA(ROUND(INDEX(Spectrum!$N:$N,MATCH(RIGHT($B21,13)&amp;"|"&amp;$C21&amp;"|"&amp;$D21&amp;"|"&amp;M$14&amp;"|"&amp;"CY2023Q3",Spectrum!$R:$R,0)),0),""))</f>
        <v>1239</v>
      </c>
      <c r="N21" s="39" t="n">
        <f aca="false">IF(LEFT($B21,4)="_Mil","",_xlfn.IFNA(ROUND(INDEX(Spectrum!$N:$N,MATCH(RIGHT($B21,13)&amp;"|"&amp;$C21&amp;"|"&amp;$D21&amp;"|"&amp;N$14&amp;"|"&amp;"CY2023Q3",Spectrum!$R:$R,0)),0),""))</f>
        <v>1749</v>
      </c>
      <c r="O21" s="39" t="n">
        <f aca="false">IF(LEFT($B21,4)="_Mil","",_xlfn.IFNA(ROUND(INDEX(Spectrum!$N:$N,MATCH(RIGHT($B21,13)&amp;"|"&amp;$C21&amp;"|"&amp;$D21&amp;"|"&amp;O$14&amp;"|"&amp;"CY2023Q3",Spectrum!$R:$R,0)),0),""))</f>
        <v>630</v>
      </c>
      <c r="P21" s="39" t="n">
        <f aca="false">IF(LEFT($B21,4)="_Mil","",_xlfn.IFNA(ROUND(INDEX(Spectrum!$N:$N,MATCH(RIGHT($B21,13)&amp;"|"&amp;$C21&amp;"|"&amp;$D21&amp;"|"&amp;P$14&amp;"|"&amp;"CY2023Q3",Spectrum!$R:$R,0)),0),""))</f>
        <v>1890</v>
      </c>
      <c r="Q21" s="39" t="str">
        <f aca="false">IF(LEFT($B21,4)="_Mil","",_xlfn.IFNA(ROUND(INDEX(Spectrum!$N:$N,MATCH(RIGHT($B21,13)&amp;"|"&amp;$C21&amp;"|"&amp;$D21&amp;"|"&amp;Q$14&amp;"|"&amp;"CY2022Q3",Spectrum!$R:$R,0)),0),""))</f>
        <v/>
      </c>
      <c r="R21" s="10"/>
      <c r="S21" s="88" t="n">
        <f aca="false">0</f>
        <v>0</v>
      </c>
      <c r="T21" s="39" t="str">
        <f aca="false">IF(SUM($R21)=0,"",ROUND($R21*(1+$S21),0))</f>
        <v/>
      </c>
      <c r="U21" s="88" t="n">
        <f aca="false">IF(LEFT($B21,4)="_Mil","",IF(SUM($K21)=0,IF(SUM($R21)=0,"",1),MIN($R21/$K21,1)))</f>
        <v>0</v>
      </c>
      <c r="V21" s="39" t="str">
        <f aca="false">IF(OR(SUM($T21)=0,LEFT($B21,4)="_Mil"),"",ROUND($T21/$U21,0))</f>
        <v/>
      </c>
      <c r="W21" s="88"/>
      <c r="X21" s="88" t="n">
        <f aca="false">IF(SUM($K21,$W21)=0,"",MAX(IFERROR(SUM($L21)/$K21,0),SUM($W21)))</f>
        <v>0</v>
      </c>
      <c r="Y21" s="88"/>
      <c r="Z21" s="88" t="n">
        <f aca="false">IF(SUM($K21,$Y21)=0,"",MIN(SUM($Y21),IFERROR(SUM($M21)/(SUM($K21)-SUM($L21)),1)))</f>
        <v>0</v>
      </c>
      <c r="AA21" s="10" t="str">
        <f aca="false">$T21</f>
        <v/>
      </c>
      <c r="AB21" s="39" t="str">
        <f aca="false">IF(SUM($AA21)=0,"",IF(AND(SUM($AA21)&gt;0,$X21=""),"ENTER KNOWN POSITIVITY RATE",ROUND($AA21*$X21,0)))</f>
        <v/>
      </c>
      <c r="AC21" s="39" t="str">
        <f aca="false">IF(SUM($AA21)=0,"",IF(AND((SUM($AA21)-SUM($AB21))&gt;0,$Z21=""),"ENTER YIELD RATE",ROUND(($AA21-SUM($AB21))*$Z21,0)))</f>
        <v/>
      </c>
      <c r="AD21" s="39" t="str">
        <f aca="false">IF(SUM($AA21)=0,"",$AA21-SUM($AB21)-SUM($AC21))</f>
        <v/>
      </c>
      <c r="AE21" s="10" t="str">
        <f aca="false">$V21</f>
        <v/>
      </c>
      <c r="AF21" s="39" t="str">
        <f aca="false">IF(SUM($AE21)=0,"",ROUND($AE21*SUM($X21),0))</f>
        <v/>
      </c>
      <c r="AG21" s="39" t="str">
        <f aca="false">IF(SUM($AE21)=0,"",ROUND(($AE21-SUM($AF21))*SUM($Z21),0))</f>
        <v/>
      </c>
      <c r="AH21" s="39" t="str">
        <f aca="false">IF(SUM($AE21)=0,"",$AE21-SUM($AF21)-SUM($AG21))</f>
        <v/>
      </c>
      <c r="AI21" s="88" t="str">
        <f aca="false">IF(SUM($AC21)=0,"",INDEX(Cascade!$BG:$BG,MATCH($E21,Cascade!$E:$E,0)))</f>
        <v/>
      </c>
      <c r="AJ21" s="39" t="str">
        <f aca="false">$AB21</f>
        <v/>
      </c>
      <c r="AK21" s="39" t="str">
        <f aca="false">IF(SUM($AC21)=0,"",IF(AND($AI21="",SUM($AC21)&gt;0),"&lt;- Enter Linkage Rate",ROUND($AC21*$AI21,0)))</f>
        <v/>
      </c>
      <c r="AL21" s="39" t="str">
        <f aca="false">IF(SUM($AF21,$AG21)=0,"",SUM($AF21,$AG21))</f>
        <v/>
      </c>
      <c r="AM21" s="39" t="str">
        <f aca="false">$AF21</f>
        <v/>
      </c>
      <c r="AN21" s="39" t="str">
        <f aca="false">IF(SUM($AG21)=0,"",ROUND($AG21*SUM($AI21),0))</f>
        <v/>
      </c>
      <c r="AO21" s="10" t="str">
        <f aca="false">IFERROR(1/(1/MAX(SUM($T21)-SUM($AB21,$AC21),$AD21)),"")</f>
        <v/>
      </c>
      <c r="AP21" s="88"/>
      <c r="AQ21" s="88" t="str">
        <f aca="false">IF($AP21="","",$AP21)</f>
        <v/>
      </c>
      <c r="AR21" s="88" t="str">
        <f aca="false">IF(SUM($AO21)=0,"",INDEX(Cascade!$BG:$BG,MATCH($E21,Cascade!$E:$E,0)))</f>
        <v/>
      </c>
      <c r="AS21" s="39" t="str">
        <f aca="false">IF(SUM($AO21)=0,"",IF(AND(SUM($AO21)&gt;0,$AQ21=""),"ENTER YIELD RATE",ROUND($AO21*$AQ21,0)))</f>
        <v/>
      </c>
      <c r="AT21" s="39" t="str">
        <f aca="false">IF(SUM($AO21)=0,"",$AO21-SUM($AS21))</f>
        <v/>
      </c>
      <c r="AU21" s="10" t="str">
        <f aca="false">IF(SUM($AS21)=0,"",ROUND($AS21*$AR21,0))</f>
        <v/>
      </c>
      <c r="AV21" s="10" t="str">
        <f aca="false">IFERROR(1/(1/SUM($AC21,$AB21,$AS21)),"")</f>
        <v/>
      </c>
      <c r="AW21" s="10" t="str">
        <f aca="false">IFERROR(1/(1/INDEX(Cascade!$BH:$BH,MATCH($E21,Cascade!$E:$E,0))),"")</f>
        <v/>
      </c>
      <c r="AX21" s="10" t="str">
        <f aca="false">IF(SUM($AC21)=0,"",$AC21)</f>
        <v/>
      </c>
      <c r="AY21" s="10" t="str">
        <f aca="false">IF(SUM($AS21)=0,"",$AS21)</f>
        <v/>
      </c>
      <c r="AZ21" s="10" t="str">
        <f aca="false">IFERROR(1/(1/INDEX(TB!$P:$P,MATCH($E21,TB!$E:$E,0))),"")</f>
        <v/>
      </c>
      <c r="BA21" s="10" t="str">
        <f aca="false">IFERROR(1/(1/(SUM($AW21)-SUM($AX21:$AZ21))),"")</f>
        <v/>
      </c>
    </row>
    <row r="22" customFormat="false" ht="15" hidden="false" customHeight="false" outlineLevel="0" collapsed="false">
      <c r="A22" s="0" t="str">
        <f aca="false">INDEX(Prioritization!$D:$D,MATCH($B22,Prioritization!$A:$A,0))</f>
        <v>1 - Scale-up: Saturation</v>
      </c>
      <c r="B22" s="0" t="s">
        <v>195</v>
      </c>
      <c r="C22" s="0" t="s">
        <v>366</v>
      </c>
      <c r="D22" s="0" t="s">
        <v>30</v>
      </c>
      <c r="E22" s="0" t="str">
        <f aca="false">B22&amp;"|"&amp;C22&amp;"|"&amp;D22</f>
        <v>Dedza District [PekKUkKHAzY]|25-34|Female</v>
      </c>
      <c r="F22" s="10" t="n">
        <f aca="false">IF(LEFT($B22,4)="_Mil","",INDEX(Cascade!$T:$T,MATCH($E22,Cascade!$E:$E,0)))</f>
        <v>1954</v>
      </c>
      <c r="G22" s="10" t="str">
        <f aca="false">IF(LEFT($B22,4)="_Mil","",INDEX(Cascade!$U:$U,MATCH($E22,Cascade!$E:$E,0)))</f>
        <v/>
      </c>
      <c r="H22" s="86" t="n">
        <f aca="false">IF(LEFT($B22,4)="_Mil","",INDEX(Cascade!$W:$W,MATCH($E22,Cascade!$E:$E,0)))</f>
        <v>909</v>
      </c>
      <c r="I22" s="10" t="n">
        <f aca="false">IF(LEFT($B22,4)="_Mil","",INDEX(Cascade!$Z:$Z,MATCH($E22,Cascade!$E:$E,0)))</f>
        <v>1045</v>
      </c>
      <c r="J22" s="88" t="n">
        <f aca="false">IF(LEFT($B22,4)="_Mil","",INDEX(Cascade!$AA:$AA,MATCH($E22,Cascade!$E:$E,0)))</f>
        <v>835</v>
      </c>
      <c r="K22" s="39" t="n">
        <f aca="false">IF(LEFT($B22,4)="_Mil","",_xlfn.IFNA(ROUND(INDEX(Spectrum!$N:$N,MATCH(RIGHT($B22,13)&amp;"|"&amp;$C22&amp;"|"&amp;$D22&amp;"|"&amp;K$14&amp;"|"&amp;"CY2023Q3",Spectrum!$R:$R,0)),0),""))</f>
        <v>1775</v>
      </c>
      <c r="L22" s="39" t="str">
        <f aca="false">IF(LEFT($B22,4)="_Mil","",_xlfn.IFNA(ROUND(INDEX(Spectrum!$N:$N,MATCH(RIGHT($B22,13)&amp;"|"&amp;$C22&amp;"|"&amp;$D22&amp;"|"&amp;L$14&amp;"|"&amp;"CY2023Q3",Spectrum!$R:$R,0)),0),""))</f>
        <v/>
      </c>
      <c r="M22" s="39" t="n">
        <f aca="false">IF(LEFT($B22,4)="_Mil","",_xlfn.IFNA(ROUND(INDEX(Spectrum!$N:$N,MATCH(RIGHT($B22,13)&amp;"|"&amp;$C22&amp;"|"&amp;$D22&amp;"|"&amp;M$14&amp;"|"&amp;"CY2023Q3",Spectrum!$R:$R,0)),0),""))</f>
        <v>1295</v>
      </c>
      <c r="N22" s="39" t="n">
        <f aca="false">IF(LEFT($B22,4)="_Mil","",_xlfn.IFNA(ROUND(INDEX(Spectrum!$N:$N,MATCH(RIGHT($B22,13)&amp;"|"&amp;$C22&amp;"|"&amp;$D22&amp;"|"&amp;N$14&amp;"|"&amp;"CY2023Q3",Spectrum!$R:$R,0)),0),""))</f>
        <v>1055</v>
      </c>
      <c r="O22" s="39" t="n">
        <f aca="false">IF(LEFT($B22,4)="_Mil","",_xlfn.IFNA(ROUND(INDEX(Spectrum!$N:$N,MATCH(RIGHT($B22,13)&amp;"|"&amp;$C22&amp;"|"&amp;$D22&amp;"|"&amp;O$14&amp;"|"&amp;"CY2023Q3",Spectrum!$R:$R,0)),0),""))</f>
        <v>1659</v>
      </c>
      <c r="P22" s="39" t="n">
        <f aca="false">IF(LEFT($B22,4)="_Mil","",_xlfn.IFNA(ROUND(INDEX(Spectrum!$N:$N,MATCH(RIGHT($B22,13)&amp;"|"&amp;$C22&amp;"|"&amp;$D22&amp;"|"&amp;P$14&amp;"|"&amp;"CY2023Q3",Spectrum!$R:$R,0)),0),""))</f>
        <v>1449</v>
      </c>
      <c r="Q22" s="39" t="str">
        <f aca="false">IF(LEFT($B22,4)="_Mil","",_xlfn.IFNA(ROUND(INDEX(Spectrum!$N:$N,MATCH(RIGHT($B22,13)&amp;"|"&amp;$C22&amp;"|"&amp;$D22&amp;"|"&amp;Q$14&amp;"|"&amp;"CY2022Q3",Spectrum!$R:$R,0)),0),""))</f>
        <v/>
      </c>
      <c r="R22" s="10"/>
      <c r="S22" s="88" t="n">
        <f aca="false">0</f>
        <v>0</v>
      </c>
      <c r="T22" s="39" t="str">
        <f aca="false">IF(SUM($R22)=0,"",ROUND($R22*(1+$S22),0))</f>
        <v/>
      </c>
      <c r="U22" s="88" t="n">
        <f aca="false">IF(LEFT($B22,4)="_Mil","",IF(SUM($K22)=0,IF(SUM($R22)=0,"",1),MIN($R22/$K22,1)))</f>
        <v>0</v>
      </c>
      <c r="V22" s="39" t="str">
        <f aca="false">IF(OR(SUM($T22)=0,LEFT($B22,4)="_Mil"),"",ROUND($T22/$U22,0))</f>
        <v/>
      </c>
      <c r="W22" s="88"/>
      <c r="X22" s="88" t="n">
        <f aca="false">IF(SUM($K22,$W22)=0,"",MAX(IFERROR(SUM($L22)/$K22,0),SUM($W22)))</f>
        <v>0</v>
      </c>
      <c r="Y22" s="88"/>
      <c r="Z22" s="88" t="n">
        <f aca="false">IF(SUM($K22,$Y22)=0,"",MIN(SUM($Y22),IFERROR(SUM($M22)/(SUM($K22)-SUM($L22)),1)))</f>
        <v>0</v>
      </c>
      <c r="AA22" s="10" t="str">
        <f aca="false">$T22</f>
        <v/>
      </c>
      <c r="AB22" s="39" t="str">
        <f aca="false">IF(SUM($AA22)=0,"",IF(AND(SUM($AA22)&gt;0,$X22=""),"ENTER KNOWN POSITIVITY RATE",ROUND($AA22*$X22,0)))</f>
        <v/>
      </c>
      <c r="AC22" s="39" t="str">
        <f aca="false">IF(SUM($AA22)=0,"",IF(AND((SUM($AA22)-SUM($AB22))&gt;0,$Z22=""),"ENTER YIELD RATE",ROUND(($AA22-SUM($AB22))*$Z22,0)))</f>
        <v/>
      </c>
      <c r="AD22" s="39" t="str">
        <f aca="false">IF(SUM($AA22)=0,"",$AA22-SUM($AB22)-SUM($AC22))</f>
        <v/>
      </c>
      <c r="AE22" s="10" t="str">
        <f aca="false">$V22</f>
        <v/>
      </c>
      <c r="AF22" s="39" t="str">
        <f aca="false">IF(SUM($AE22)=0,"",ROUND($AE22*SUM($X22),0))</f>
        <v/>
      </c>
      <c r="AG22" s="39" t="str">
        <f aca="false">IF(SUM($AE22)=0,"",ROUND(($AE22-SUM($AF22))*SUM($Z22),0))</f>
        <v/>
      </c>
      <c r="AH22" s="39" t="str">
        <f aca="false">IF(SUM($AE22)=0,"",$AE22-SUM($AF22)-SUM($AG22))</f>
        <v/>
      </c>
      <c r="AI22" s="88" t="str">
        <f aca="false">IF(SUM($AC22)=0,"",INDEX(Cascade!$BG:$BG,MATCH($E22,Cascade!$E:$E,0)))</f>
        <v/>
      </c>
      <c r="AJ22" s="39" t="str">
        <f aca="false">$AB22</f>
        <v/>
      </c>
      <c r="AK22" s="39" t="str">
        <f aca="false">IF(SUM($AC22)=0,"",IF(AND($AI22="",SUM($AC22)&gt;0),"&lt;- Enter Linkage Rate",ROUND($AC22*$AI22,0)))</f>
        <v/>
      </c>
      <c r="AL22" s="39" t="str">
        <f aca="false">IF(SUM($AF22,$AG22)=0,"",SUM($AF22,$AG22))</f>
        <v/>
      </c>
      <c r="AM22" s="39" t="str">
        <f aca="false">$AF22</f>
        <v/>
      </c>
      <c r="AN22" s="39" t="str">
        <f aca="false">IF(SUM($AG22)=0,"",ROUND($AG22*SUM($AI22),0))</f>
        <v/>
      </c>
      <c r="AO22" s="10" t="str">
        <f aca="false">IFERROR(1/(1/MAX(SUM($T22)-SUM($AB22,$AC22),$AD22)),"")</f>
        <v/>
      </c>
      <c r="AP22" s="88"/>
      <c r="AQ22" s="88" t="str">
        <f aca="false">IF($AP22="","",$AP22)</f>
        <v/>
      </c>
      <c r="AR22" s="88" t="str">
        <f aca="false">IF(SUM($AO22)=0,"",INDEX(Cascade!$BG:$BG,MATCH($E22,Cascade!$E:$E,0)))</f>
        <v/>
      </c>
      <c r="AS22" s="39" t="str">
        <f aca="false">IF(SUM($AO22)=0,"",IF(AND(SUM($AO22)&gt;0,$AQ22=""),"ENTER YIELD RATE",ROUND($AO22*$AQ22,0)))</f>
        <v/>
      </c>
      <c r="AT22" s="39" t="str">
        <f aca="false">IF(SUM($AO22)=0,"",$AO22-SUM($AS22))</f>
        <v/>
      </c>
      <c r="AU22" s="10" t="str">
        <f aca="false">IF(SUM($AS22)=0,"",ROUND($AS22*$AR22,0))</f>
        <v/>
      </c>
      <c r="AV22" s="10" t="str">
        <f aca="false">IFERROR(1/(1/SUM($AC22,$AB22,$AS22)),"")</f>
        <v/>
      </c>
      <c r="AW22" s="10" t="str">
        <f aca="false">IFERROR(1/(1/INDEX(Cascade!$BH:$BH,MATCH($E22,Cascade!$E:$E,0))),"")</f>
        <v/>
      </c>
      <c r="AX22" s="10" t="str">
        <f aca="false">IF(SUM($AC22)=0,"",$AC22)</f>
        <v/>
      </c>
      <c r="AY22" s="10" t="str">
        <f aca="false">IF(SUM($AS22)=0,"",$AS22)</f>
        <v/>
      </c>
      <c r="AZ22" s="10" t="str">
        <f aca="false">IFERROR(1/(1/INDEX(TB!$P:$P,MATCH($E22,TB!$E:$E,0))),"")</f>
        <v/>
      </c>
      <c r="BA22" s="10" t="str">
        <f aca="false">IFERROR(1/(1/(SUM($AW22)-SUM($AX22:$AZ22))),"")</f>
        <v/>
      </c>
    </row>
    <row r="23" customFormat="false" ht="15" hidden="false" customHeight="false" outlineLevel="0" collapsed="false">
      <c r="A23" s="0" t="str">
        <f aca="false">INDEX(Prioritization!$D:$D,MATCH($B23,Prioritization!$A:$A,0))</f>
        <v>1 - Scale-up: Saturation</v>
      </c>
      <c r="B23" s="0" t="s">
        <v>195</v>
      </c>
      <c r="C23" s="0" t="s">
        <v>367</v>
      </c>
      <c r="D23" s="0" t="s">
        <v>30</v>
      </c>
      <c r="E23" s="0" t="str">
        <f aca="false">B23&amp;"|"&amp;C23&amp;"|"&amp;D23</f>
        <v>Dedza District [PekKUkKHAzY]|35-49|Female</v>
      </c>
      <c r="F23" s="10" t="n">
        <f aca="false">IF(LEFT($B23,4)="_Mil","",INDEX(Cascade!$T:$T,MATCH($E23,Cascade!$E:$E,0)))</f>
        <v>1065</v>
      </c>
      <c r="G23" s="10" t="str">
        <f aca="false">IF(LEFT($B23,4)="_Mil","",INDEX(Cascade!$U:$U,MATCH($E23,Cascade!$E:$E,0)))</f>
        <v/>
      </c>
      <c r="H23" s="86" t="n">
        <f aca="false">IF(LEFT($B23,4)="_Mil","",INDEX(Cascade!$W:$W,MATCH($E23,Cascade!$E:$E,0)))</f>
        <v>1692</v>
      </c>
      <c r="I23" s="10" t="n">
        <f aca="false">IF(LEFT($B23,4)="_Mil","",INDEX(Cascade!$Z:$Z,MATCH($E23,Cascade!$E:$E,0)))</f>
        <v>1435</v>
      </c>
      <c r="J23" s="88" t="n">
        <f aca="false">IF(LEFT($B23,4)="_Mil","",INDEX(Cascade!$AA:$AA,MATCH($E23,Cascade!$E:$E,0)))</f>
        <v>1942</v>
      </c>
      <c r="K23" s="39" t="n">
        <f aca="false">IF(LEFT($B23,4)="_Mil","",_xlfn.IFNA(ROUND(INDEX(Spectrum!$N:$N,MATCH(RIGHT($B23,13)&amp;"|"&amp;$C23&amp;"|"&amp;$D23&amp;"|"&amp;K$14&amp;"|"&amp;"CY2023Q3",Spectrum!$R:$R,0)),0),""))</f>
        <v>1230</v>
      </c>
      <c r="L23" s="39" t="str">
        <f aca="false">IF(LEFT($B23,4)="_Mil","",_xlfn.IFNA(ROUND(INDEX(Spectrum!$N:$N,MATCH(RIGHT($B23,13)&amp;"|"&amp;$C23&amp;"|"&amp;$D23&amp;"|"&amp;L$14&amp;"|"&amp;"CY2023Q3",Spectrum!$R:$R,0)),0),""))</f>
        <v/>
      </c>
      <c r="M23" s="39" t="n">
        <f aca="false">IF(LEFT($B23,4)="_Mil","",_xlfn.IFNA(ROUND(INDEX(Spectrum!$N:$N,MATCH(RIGHT($B23,13)&amp;"|"&amp;$C23&amp;"|"&amp;$D23&amp;"|"&amp;M$14&amp;"|"&amp;"CY2023Q3",Spectrum!$R:$R,0)),0),""))</f>
        <v>739</v>
      </c>
      <c r="N23" s="39" t="n">
        <f aca="false">IF(LEFT($B23,4)="_Mil","",_xlfn.IFNA(ROUND(INDEX(Spectrum!$N:$N,MATCH(RIGHT($B23,13)&amp;"|"&amp;$C23&amp;"|"&amp;$D23&amp;"|"&amp;N$14&amp;"|"&amp;"CY2023Q3",Spectrum!$R:$R,0)),0),""))</f>
        <v>712</v>
      </c>
      <c r="O23" s="39" t="n">
        <f aca="false">IF(LEFT($B23,4)="_Mil","",_xlfn.IFNA(ROUND(INDEX(Spectrum!$N:$N,MATCH(RIGHT($B23,13)&amp;"|"&amp;$C23&amp;"|"&amp;$D23&amp;"|"&amp;O$14&amp;"|"&amp;"CY2023Q3",Spectrum!$R:$R,0)),0),""))</f>
        <v>1675</v>
      </c>
      <c r="P23" s="39" t="n">
        <f aca="false">IF(LEFT($B23,4)="_Mil","",_xlfn.IFNA(ROUND(INDEX(Spectrum!$N:$N,MATCH(RIGHT($B23,13)&amp;"|"&amp;$C23&amp;"|"&amp;$D23&amp;"|"&amp;P$14&amp;"|"&amp;"CY2023Q3",Spectrum!$R:$R,0)),0),""))</f>
        <v>741</v>
      </c>
      <c r="Q23" s="39" t="str">
        <f aca="false">IF(LEFT($B23,4)="_Mil","",_xlfn.IFNA(ROUND(INDEX(Spectrum!$N:$N,MATCH(RIGHT($B23,13)&amp;"|"&amp;$C23&amp;"|"&amp;$D23&amp;"|"&amp;Q$14&amp;"|"&amp;"CY2022Q3",Spectrum!$R:$R,0)),0),""))</f>
        <v/>
      </c>
      <c r="R23" s="10"/>
      <c r="S23" s="88" t="n">
        <f aca="false">0</f>
        <v>0</v>
      </c>
      <c r="T23" s="39" t="str">
        <f aca="false">IF(SUM($R23)=0,"",ROUND($R23*(1+$S23),0))</f>
        <v/>
      </c>
      <c r="U23" s="88" t="n">
        <f aca="false">IF(LEFT($B23,4)="_Mil","",IF(SUM($K23)=0,IF(SUM($R23)=0,"",1),MIN($R23/$K23,1)))</f>
        <v>0</v>
      </c>
      <c r="V23" s="39" t="str">
        <f aca="false">IF(OR(SUM($T23)=0,LEFT($B23,4)="_Mil"),"",ROUND($T23/$U23,0))</f>
        <v/>
      </c>
      <c r="W23" s="88"/>
      <c r="X23" s="88" t="n">
        <f aca="false">IF(SUM($K23,$W23)=0,"",MAX(IFERROR(SUM($L23)/$K23,0),SUM($W23)))</f>
        <v>0</v>
      </c>
      <c r="Y23" s="88"/>
      <c r="Z23" s="88" t="n">
        <f aca="false">IF(SUM($K23,$Y23)=0,"",MIN(SUM($Y23),IFERROR(SUM($M23)/(SUM($K23)-SUM($L23)),1)))</f>
        <v>0</v>
      </c>
      <c r="AA23" s="10" t="str">
        <f aca="false">$T23</f>
        <v/>
      </c>
      <c r="AB23" s="39" t="str">
        <f aca="false">IF(SUM($AA23)=0,"",IF(AND(SUM($AA23)&gt;0,$X23=""),"ENTER KNOWN POSITIVITY RATE",ROUND($AA23*$X23,0)))</f>
        <v/>
      </c>
      <c r="AC23" s="39" t="str">
        <f aca="false">IF(SUM($AA23)=0,"",IF(AND((SUM($AA23)-SUM($AB23))&gt;0,$Z23=""),"ENTER YIELD RATE",ROUND(($AA23-SUM($AB23))*$Z23,0)))</f>
        <v/>
      </c>
      <c r="AD23" s="39" t="str">
        <f aca="false">IF(SUM($AA23)=0,"",$AA23-SUM($AB23)-SUM($AC23))</f>
        <v/>
      </c>
      <c r="AE23" s="10" t="str">
        <f aca="false">$V23</f>
        <v/>
      </c>
      <c r="AF23" s="39" t="str">
        <f aca="false">IF(SUM($AE23)=0,"",ROUND($AE23*SUM($X23),0))</f>
        <v/>
      </c>
      <c r="AG23" s="39" t="str">
        <f aca="false">IF(SUM($AE23)=0,"",ROUND(($AE23-SUM($AF23))*SUM($Z23),0))</f>
        <v/>
      </c>
      <c r="AH23" s="39" t="str">
        <f aca="false">IF(SUM($AE23)=0,"",$AE23-SUM($AF23)-SUM($AG23))</f>
        <v/>
      </c>
      <c r="AI23" s="88" t="str">
        <f aca="false">IF(SUM($AC23)=0,"",INDEX(Cascade!$BG:$BG,MATCH($E23,Cascade!$E:$E,0)))</f>
        <v/>
      </c>
      <c r="AJ23" s="39" t="str">
        <f aca="false">$AB23</f>
        <v/>
      </c>
      <c r="AK23" s="39" t="str">
        <f aca="false">IF(SUM($AC23)=0,"",IF(AND($AI23="",SUM($AC23)&gt;0),"&lt;- Enter Linkage Rate",ROUND($AC23*$AI23,0)))</f>
        <v/>
      </c>
      <c r="AL23" s="39" t="str">
        <f aca="false">IF(SUM($AF23,$AG23)=0,"",SUM($AF23,$AG23))</f>
        <v/>
      </c>
      <c r="AM23" s="39" t="str">
        <f aca="false">$AF23</f>
        <v/>
      </c>
      <c r="AN23" s="39" t="str">
        <f aca="false">IF(SUM($AG23)=0,"",ROUND($AG23*SUM($AI23),0))</f>
        <v/>
      </c>
      <c r="AO23" s="10" t="str">
        <f aca="false">IFERROR(1/(1/MAX(SUM($T23)-SUM($AB23,$AC23),$AD23)),"")</f>
        <v/>
      </c>
      <c r="AP23" s="88"/>
      <c r="AQ23" s="88" t="str">
        <f aca="false">IF($AP23="","",$AP23)</f>
        <v/>
      </c>
      <c r="AR23" s="88" t="str">
        <f aca="false">IF(SUM($AO23)=0,"",INDEX(Cascade!$BG:$BG,MATCH($E23,Cascade!$E:$E,0)))</f>
        <v/>
      </c>
      <c r="AS23" s="39" t="str">
        <f aca="false">IF(SUM($AO23)=0,"",IF(AND(SUM($AO23)&gt;0,$AQ23=""),"ENTER YIELD RATE",ROUND($AO23*$AQ23,0)))</f>
        <v/>
      </c>
      <c r="AT23" s="39" t="str">
        <f aca="false">IF(SUM($AO23)=0,"",$AO23-SUM($AS23))</f>
        <v/>
      </c>
      <c r="AU23" s="10" t="str">
        <f aca="false">IF(SUM($AS23)=0,"",ROUND($AS23*$AR23,0))</f>
        <v/>
      </c>
      <c r="AV23" s="10" t="str">
        <f aca="false">IFERROR(1/(1/SUM($AC23,$AB23,$AS23)),"")</f>
        <v/>
      </c>
      <c r="AW23" s="10" t="str">
        <f aca="false">IFERROR(1/(1/INDEX(Cascade!$BH:$BH,MATCH($E23,Cascade!$E:$E,0))),"")</f>
        <v/>
      </c>
      <c r="AX23" s="10" t="str">
        <f aca="false">IF(SUM($AC23)=0,"",$AC23)</f>
        <v/>
      </c>
      <c r="AY23" s="10" t="str">
        <f aca="false">IF(SUM($AS23)=0,"",$AS23)</f>
        <v/>
      </c>
      <c r="AZ23" s="10" t="str">
        <f aca="false">IFERROR(1/(1/INDEX(TB!$P:$P,MATCH($E23,TB!$E:$E,0))),"")</f>
        <v/>
      </c>
      <c r="BA23" s="10" t="str">
        <f aca="false">IFERROR(1/(1/(SUM($AW23)-SUM($AX23:$AZ23))),"")</f>
        <v/>
      </c>
    </row>
    <row r="24" customFormat="false" ht="15" hidden="false" customHeight="false" outlineLevel="0" collapsed="false">
      <c r="A24" s="0" t="str">
        <f aca="false">INDEX(Prioritization!$D:$D,MATCH($B24,Prioritization!$A:$A,0))</f>
        <v>1 - Scale-up: Saturation</v>
      </c>
      <c r="B24" s="0" t="s">
        <v>195</v>
      </c>
      <c r="C24" s="0" t="s">
        <v>368</v>
      </c>
      <c r="D24" s="0" t="s">
        <v>30</v>
      </c>
      <c r="E24" s="0" t="str">
        <f aca="false">B24&amp;"|"&amp;C24&amp;"|"&amp;D24</f>
        <v>Dedza District [PekKUkKHAzY]|50+|Female</v>
      </c>
      <c r="F24" s="10" t="n">
        <f aca="false">IF(LEFT($B24,4)="_Mil","",INDEX(Cascade!$T:$T,MATCH($E24,Cascade!$E:$E,0)))</f>
        <v>1004</v>
      </c>
      <c r="G24" s="10" t="str">
        <f aca="false">IF(LEFT($B24,4)="_Mil","",INDEX(Cascade!$U:$U,MATCH($E24,Cascade!$E:$E,0)))</f>
        <v/>
      </c>
      <c r="H24" s="86" t="n">
        <f aca="false">IF(LEFT($B24,4)="_Mil","",INDEX(Cascade!$W:$W,MATCH($E24,Cascade!$E:$E,0)))</f>
        <v>1642</v>
      </c>
      <c r="I24" s="10" t="n">
        <f aca="false">IF(LEFT($B24,4)="_Mil","",INDEX(Cascade!$Z:$Z,MATCH($E24,Cascade!$E:$E,0)))</f>
        <v>1587</v>
      </c>
      <c r="J24" s="88" t="n">
        <f aca="false">IF(LEFT($B24,4)="_Mil","",INDEX(Cascade!$AA:$AA,MATCH($E24,Cascade!$E:$E,0)))</f>
        <v>873</v>
      </c>
      <c r="K24" s="39" t="str">
        <f aca="false">IF(LEFT($B24,4)="_Mil","",_xlfn.IFNA(ROUND(INDEX(Spectrum!$N:$N,MATCH(RIGHT($B24,13)&amp;"|"&amp;$C24&amp;"|"&amp;$D24&amp;"|"&amp;K$14&amp;"|"&amp;"CY2023Q3",Spectrum!$R:$R,0)),0),""))</f>
        <v/>
      </c>
      <c r="L24" s="39" t="str">
        <f aca="false">IF(LEFT($B24,4)="_Mil","",_xlfn.IFNA(ROUND(INDEX(Spectrum!$N:$N,MATCH(RIGHT($B24,13)&amp;"|"&amp;$C24&amp;"|"&amp;$D24&amp;"|"&amp;L$14&amp;"|"&amp;"CY2023Q3",Spectrum!$R:$R,0)),0),""))</f>
        <v/>
      </c>
      <c r="M24" s="39" t="str">
        <f aca="false">IF(LEFT($B24,4)="_Mil","",_xlfn.IFNA(ROUND(INDEX(Spectrum!$N:$N,MATCH(RIGHT($B24,13)&amp;"|"&amp;$C24&amp;"|"&amp;$D24&amp;"|"&amp;M$14&amp;"|"&amp;"CY2023Q3",Spectrum!$R:$R,0)),0),""))</f>
        <v/>
      </c>
      <c r="N24" s="39" t="str">
        <f aca="false">IF(LEFT($B24,4)="_Mil","",_xlfn.IFNA(ROUND(INDEX(Spectrum!$N:$N,MATCH(RIGHT($B24,13)&amp;"|"&amp;$C24&amp;"|"&amp;$D24&amp;"|"&amp;N$14&amp;"|"&amp;"CY2023Q3",Spectrum!$R:$R,0)),0),""))</f>
        <v/>
      </c>
      <c r="O24" s="39" t="str">
        <f aca="false">IF(LEFT($B24,4)="_Mil","",_xlfn.IFNA(ROUND(INDEX(Spectrum!$N:$N,MATCH(RIGHT($B24,13)&amp;"|"&amp;$C24&amp;"|"&amp;$D24&amp;"|"&amp;O$14&amp;"|"&amp;"CY2023Q3",Spectrum!$R:$R,0)),0),""))</f>
        <v/>
      </c>
      <c r="P24" s="39" t="str">
        <f aca="false">IF(LEFT($B24,4)="_Mil","",_xlfn.IFNA(ROUND(INDEX(Spectrum!$N:$N,MATCH(RIGHT($B24,13)&amp;"|"&amp;$C24&amp;"|"&amp;$D24&amp;"|"&amp;P$14&amp;"|"&amp;"CY2023Q3",Spectrum!$R:$R,0)),0),""))</f>
        <v/>
      </c>
      <c r="Q24" s="39" t="str">
        <f aca="false">IF(LEFT($B24,4)="_Mil","",_xlfn.IFNA(ROUND(INDEX(Spectrum!$N:$N,MATCH(RIGHT($B24,13)&amp;"|"&amp;$C24&amp;"|"&amp;$D24&amp;"|"&amp;Q$14&amp;"|"&amp;"CY2022Q3",Spectrum!$R:$R,0)),0),""))</f>
        <v/>
      </c>
      <c r="R24" s="10"/>
      <c r="S24" s="88" t="n">
        <f aca="false">0</f>
        <v>0</v>
      </c>
      <c r="T24" s="39" t="str">
        <f aca="false">IF(SUM($R24)=0,"",ROUND($R24*(1+$S24),0))</f>
        <v/>
      </c>
      <c r="U24" s="88" t="str">
        <f aca="false">IF(LEFT($B24,4)="_Mil","",IF(SUM($K24)=0,IF(SUM($R24)=0,"",1),MIN($R24/$K24,1)))</f>
        <v/>
      </c>
      <c r="V24" s="39" t="str">
        <f aca="false">IF(OR(SUM($T24)=0,LEFT($B24,4)="_Mil"),"",ROUND($T24/$U24,0))</f>
        <v/>
      </c>
      <c r="W24" s="88"/>
      <c r="X24" s="88" t="str">
        <f aca="false">IF(SUM($K24,$W24)=0,"",MAX(IFERROR(SUM($L24)/$K24,0),SUM($W24)))</f>
        <v/>
      </c>
      <c r="Y24" s="88"/>
      <c r="Z24" s="88" t="str">
        <f aca="false">IF(SUM($K24,$Y24)=0,"",MIN(SUM($Y24),IFERROR(SUM($M24)/(SUM($K24)-SUM($L24)),1)))</f>
        <v/>
      </c>
      <c r="AA24" s="10" t="str">
        <f aca="false">$T24</f>
        <v/>
      </c>
      <c r="AB24" s="39" t="str">
        <f aca="false">IF(SUM($AA24)=0,"",IF(AND(SUM($AA24)&gt;0,$X24=""),"ENTER KNOWN POSITIVITY RATE",ROUND($AA24*$X24,0)))</f>
        <v/>
      </c>
      <c r="AC24" s="39" t="str">
        <f aca="false">IF(SUM($AA24)=0,"",IF(AND((SUM($AA24)-SUM($AB24))&gt;0,$Z24=""),"ENTER YIELD RATE",ROUND(($AA24-SUM($AB24))*$Z24,0)))</f>
        <v/>
      </c>
      <c r="AD24" s="39" t="str">
        <f aca="false">IF(SUM($AA24)=0,"",$AA24-SUM($AB24)-SUM($AC24))</f>
        <v/>
      </c>
      <c r="AE24" s="10" t="str">
        <f aca="false">$V24</f>
        <v/>
      </c>
      <c r="AF24" s="39" t="str">
        <f aca="false">IF(SUM($AE24)=0,"",ROUND($AE24*SUM($X24),0))</f>
        <v/>
      </c>
      <c r="AG24" s="39" t="str">
        <f aca="false">IF(SUM($AE24)=0,"",ROUND(($AE24-SUM($AF24))*SUM($Z24),0))</f>
        <v/>
      </c>
      <c r="AH24" s="39" t="str">
        <f aca="false">IF(SUM($AE24)=0,"",$AE24-SUM($AF24)-SUM($AG24))</f>
        <v/>
      </c>
      <c r="AI24" s="88" t="str">
        <f aca="false">IF(SUM($AC24)=0,"",INDEX(Cascade!$BG:$BG,MATCH($E24,Cascade!$E:$E,0)))</f>
        <v/>
      </c>
      <c r="AJ24" s="39" t="str">
        <f aca="false">$AB24</f>
        <v/>
      </c>
      <c r="AK24" s="39" t="str">
        <f aca="false">IF(SUM($AC24)=0,"",IF(AND($AI24="",SUM($AC24)&gt;0),"&lt;- Enter Linkage Rate",ROUND($AC24*$AI24,0)))</f>
        <v/>
      </c>
      <c r="AL24" s="39" t="str">
        <f aca="false">IF(SUM($AF24,$AG24)=0,"",SUM($AF24,$AG24))</f>
        <v/>
      </c>
      <c r="AM24" s="39" t="str">
        <f aca="false">$AF24</f>
        <v/>
      </c>
      <c r="AN24" s="39" t="str">
        <f aca="false">IF(SUM($AG24)=0,"",ROUND($AG24*SUM($AI24),0))</f>
        <v/>
      </c>
      <c r="AO24" s="10" t="str">
        <f aca="false">IFERROR(1/(1/MAX(SUM($T24)-SUM($AB24,$AC24),$AD24)),"")</f>
        <v/>
      </c>
      <c r="AP24" s="88"/>
      <c r="AQ24" s="88" t="str">
        <f aca="false">IF($AP24="","",$AP24)</f>
        <v/>
      </c>
      <c r="AR24" s="88" t="str">
        <f aca="false">IF(SUM($AO24)=0,"",INDEX(Cascade!$BG:$BG,MATCH($E24,Cascade!$E:$E,0)))</f>
        <v/>
      </c>
      <c r="AS24" s="39" t="str">
        <f aca="false">IF(SUM($AO24)=0,"",IF(AND(SUM($AO24)&gt;0,$AQ24=""),"ENTER YIELD RATE",ROUND($AO24*$AQ24,0)))</f>
        <v/>
      </c>
      <c r="AT24" s="39" t="str">
        <f aca="false">IF(SUM($AO24)=0,"",$AO24-SUM($AS24))</f>
        <v/>
      </c>
      <c r="AU24" s="10" t="str">
        <f aca="false">IF(SUM($AS24)=0,"",ROUND($AS24*$AR24,0))</f>
        <v/>
      </c>
      <c r="AV24" s="10" t="str">
        <f aca="false">IFERROR(1/(1/SUM($AC24,$AB24,$AS24)),"")</f>
        <v/>
      </c>
      <c r="AW24" s="10" t="str">
        <f aca="false">IFERROR(1/(1/INDEX(Cascade!$BH:$BH,MATCH($E24,Cascade!$E:$E,0))),"")</f>
        <v/>
      </c>
      <c r="AX24" s="10" t="str">
        <f aca="false">IF(SUM($AC24)=0,"",$AC24)</f>
        <v/>
      </c>
      <c r="AY24" s="10" t="str">
        <f aca="false">IF(SUM($AS24)=0,"",$AS24)</f>
        <v/>
      </c>
      <c r="AZ24" s="10" t="str">
        <f aca="false">IFERROR(1/(1/INDEX(TB!$P:$P,MATCH($E24,TB!$E:$E,0))),"")</f>
        <v/>
      </c>
      <c r="BA24" s="10" t="str">
        <f aca="false">IFERROR(1/(1/(SUM($AW24)-SUM($AX24:$AZ24))),"")</f>
        <v/>
      </c>
    </row>
    <row r="25" customFormat="false" ht="15" hidden="false" customHeight="false" outlineLevel="0" collapsed="false">
      <c r="A25" s="0" t="str">
        <f aca="false">INDEX(Prioritization!$D:$D,MATCH($B25,Prioritization!$A:$A,0))</f>
        <v>1 - Scale-up: Saturation</v>
      </c>
      <c r="B25" s="0" t="s">
        <v>196</v>
      </c>
      <c r="C25" s="0" t="s">
        <v>364</v>
      </c>
      <c r="D25" s="0" t="s">
        <v>30</v>
      </c>
      <c r="E25" s="0" t="str">
        <f aca="false">B25&amp;"|"&amp;C25&amp;"|"&amp;D25</f>
        <v>Dowa District [zphK9WV8JB4]|10-14|Female</v>
      </c>
      <c r="F25" s="10" t="n">
        <f aca="false">IF(LEFT($B25,4)="_Mil","",INDEX(Cascade!$T:$T,MATCH($E25,Cascade!$E:$E,0)))</f>
        <v>884</v>
      </c>
      <c r="G25" s="10" t="str">
        <f aca="false">IF(LEFT($B25,4)="_Mil","",INDEX(Cascade!$U:$U,MATCH($E25,Cascade!$E:$E,0)))</f>
        <v/>
      </c>
      <c r="H25" s="86" t="n">
        <f aca="false">IF(LEFT($B25,4)="_Mil","",INDEX(Cascade!$W:$W,MATCH($E25,Cascade!$E:$E,0)))</f>
        <v>1550</v>
      </c>
      <c r="I25" s="10" t="n">
        <f aca="false">IF(LEFT($B25,4)="_Mil","",INDEX(Cascade!$Z:$Z,MATCH($E25,Cascade!$E:$E,0)))</f>
        <v>820</v>
      </c>
      <c r="J25" s="88" t="n">
        <f aca="false">IF(LEFT($B25,4)="_Mil","",INDEX(Cascade!$AA:$AA,MATCH($E25,Cascade!$E:$E,0)))</f>
        <v>1756</v>
      </c>
      <c r="K25" s="39" t="str">
        <f aca="false">IF(LEFT($B25,4)="_Mil","",_xlfn.IFNA(ROUND(INDEX(Spectrum!$N:$N,MATCH(RIGHT($B25,13)&amp;"|"&amp;$C25&amp;"|"&amp;$D25&amp;"|"&amp;K$14&amp;"|"&amp;"CY2023Q3",Spectrum!$R:$R,0)),0),""))</f>
        <v/>
      </c>
      <c r="L25" s="39" t="str">
        <f aca="false">IF(LEFT($B25,4)="_Mil","",_xlfn.IFNA(ROUND(INDEX(Spectrum!$N:$N,MATCH(RIGHT($B25,13)&amp;"|"&amp;$C25&amp;"|"&amp;$D25&amp;"|"&amp;L$14&amp;"|"&amp;"CY2023Q3",Spectrum!$R:$R,0)),0),""))</f>
        <v/>
      </c>
      <c r="M25" s="39" t="str">
        <f aca="false">IF(LEFT($B25,4)="_Mil","",_xlfn.IFNA(ROUND(INDEX(Spectrum!$N:$N,MATCH(RIGHT($B25,13)&amp;"|"&amp;$C25&amp;"|"&amp;$D25&amp;"|"&amp;M$14&amp;"|"&amp;"CY2023Q3",Spectrum!$R:$R,0)),0),""))</f>
        <v/>
      </c>
      <c r="N25" s="39" t="str">
        <f aca="false">IF(LEFT($B25,4)="_Mil","",_xlfn.IFNA(ROUND(INDEX(Spectrum!$N:$N,MATCH(RIGHT($B25,13)&amp;"|"&amp;$C25&amp;"|"&amp;$D25&amp;"|"&amp;N$14&amp;"|"&amp;"CY2023Q3",Spectrum!$R:$R,0)),0),""))</f>
        <v/>
      </c>
      <c r="O25" s="39" t="str">
        <f aca="false">IF(LEFT($B25,4)="_Mil","",_xlfn.IFNA(ROUND(INDEX(Spectrum!$N:$N,MATCH(RIGHT($B25,13)&amp;"|"&amp;$C25&amp;"|"&amp;$D25&amp;"|"&amp;O$14&amp;"|"&amp;"CY2023Q3",Spectrum!$R:$R,0)),0),""))</f>
        <v/>
      </c>
      <c r="P25" s="39" t="str">
        <f aca="false">IF(LEFT($B25,4)="_Mil","",_xlfn.IFNA(ROUND(INDEX(Spectrum!$N:$N,MATCH(RIGHT($B25,13)&amp;"|"&amp;$C25&amp;"|"&amp;$D25&amp;"|"&amp;P$14&amp;"|"&amp;"CY2023Q3",Spectrum!$R:$R,0)),0),""))</f>
        <v/>
      </c>
      <c r="Q25" s="39" t="str">
        <f aca="false">IF(LEFT($B25,4)="_Mil","",_xlfn.IFNA(ROUND(INDEX(Spectrum!$N:$N,MATCH(RIGHT($B25,13)&amp;"|"&amp;$C25&amp;"|"&amp;$D25&amp;"|"&amp;Q$14&amp;"|"&amp;"CY2022Q3",Spectrum!$R:$R,0)),0),""))</f>
        <v/>
      </c>
      <c r="R25" s="10" t="n">
        <v>7</v>
      </c>
      <c r="S25" s="88" t="n">
        <f aca="false">0</f>
        <v>0</v>
      </c>
      <c r="T25" s="39" t="n">
        <f aca="false">IF(SUM($R25)=0,"",ROUND($R25*(1+$S25),0))</f>
        <v>7</v>
      </c>
      <c r="U25" s="88" t="n">
        <f aca="false">IF(LEFT($B25,4)="_Mil","",IF(SUM($K25)=0,IF(SUM($R25)=0,"",1),MIN($R25/$K25,1)))</f>
        <v>1</v>
      </c>
      <c r="V25" s="39" t="n">
        <f aca="false">IF(OR(SUM($T25)=0,LEFT($B25,4)="_Mil"),"",ROUND($T25/$U25,0))</f>
        <v>7</v>
      </c>
      <c r="W25" s="88"/>
      <c r="X25" s="88" t="str">
        <f aca="false">IF(SUM($K25,$W25)=0,"",MAX(IFERROR(SUM($L25)/$K25,0),SUM($W25)))</f>
        <v/>
      </c>
      <c r="Y25" s="88"/>
      <c r="Z25" s="88" t="str">
        <f aca="false">IF(SUM($K25,$Y25)=0,"",MIN(SUM($Y25),IFERROR(SUM($M25)/(SUM($K25)-SUM($L25)),1)))</f>
        <v/>
      </c>
      <c r="AA25" s="10" t="n">
        <f aca="false">$T25</f>
        <v>7</v>
      </c>
      <c r="AB25" s="39" t="str">
        <f aca="false">IF(SUM($AA25)=0,"",IF(AND(SUM($AA25)&gt;0,$X25=""),"ENTER KNOWN POSITIVITY RATE",ROUND($AA25*$X25,0)))</f>
        <v>ENTER KNOWN POSITIVITY RATE</v>
      </c>
      <c r="AC25" s="39" t="str">
        <f aca="false">IF(SUM($AA25)=0,"",IF(AND((SUM($AA25)-SUM($AB25))&gt;0,$Z25=""),"ENTER YIELD RATE",ROUND(($AA25-SUM($AB25))*$Z25,0)))</f>
        <v>ENTER YIELD RATE</v>
      </c>
      <c r="AD25" s="39" t="n">
        <f aca="false">IF(SUM($AA25)=0,"",$AA25-SUM($AB25)-SUM($AC25))</f>
        <v>7</v>
      </c>
      <c r="AE25" s="10" t="n">
        <f aca="false">$V25</f>
        <v>7</v>
      </c>
      <c r="AF25" s="39" t="n">
        <f aca="false">IF(SUM($AE25)=0,"",ROUND($AE25*SUM($X25),0))</f>
        <v>0</v>
      </c>
      <c r="AG25" s="39" t="n">
        <f aca="false">IF(SUM($AE25)=0,"",ROUND(($AE25-SUM($AF25))*SUM($Z25),0))</f>
        <v>0</v>
      </c>
      <c r="AH25" s="39" t="n">
        <f aca="false">IF(SUM($AE25)=0,"",$AE25-SUM($AF25)-SUM($AG25))</f>
        <v>7</v>
      </c>
      <c r="AI25" s="88" t="str">
        <f aca="false">IF(SUM($AC25)=0,"",INDEX(Cascade!$BG:$BG,MATCH($E25,Cascade!$E:$E,0)))</f>
        <v/>
      </c>
      <c r="AJ25" s="39" t="str">
        <f aca="false">$AB25</f>
        <v>ENTER KNOWN POSITIVITY RATE</v>
      </c>
      <c r="AK25" s="39" t="str">
        <f aca="false">IF(SUM($AC25)=0,"",IF(AND($AI25="",SUM($AC25)&gt;0),"&lt;- Enter Linkage Rate",ROUND($AC25*$AI25,0)))</f>
        <v/>
      </c>
      <c r="AL25" s="39" t="str">
        <f aca="false">IF(SUM($AF25,$AG25)=0,"",SUM($AF25,$AG25))</f>
        <v/>
      </c>
      <c r="AM25" s="39" t="n">
        <f aca="false">$AF25</f>
        <v>0</v>
      </c>
      <c r="AN25" s="39" t="str">
        <f aca="false">IF(SUM($AG25)=0,"",ROUND($AG25*SUM($AI25),0))</f>
        <v/>
      </c>
      <c r="AO25" s="10" t="n">
        <f aca="false">IFERROR(1/(1/MAX(SUM($T25)-SUM($AB25,$AC25),$AD25)),"")</f>
        <v>7</v>
      </c>
      <c r="AP25" s="88"/>
      <c r="AQ25" s="88" t="str">
        <f aca="false">IF($AP25="","",$AP25)</f>
        <v/>
      </c>
      <c r="AR25" s="88" t="n">
        <f aca="false">IF(SUM($AO25)=0,"",INDEX(Cascade!$BG:$BG,MATCH($E25,Cascade!$E:$E,0)))</f>
        <v>0.95</v>
      </c>
      <c r="AS25" s="39" t="str">
        <f aca="false">IF(SUM($AO25)=0,"",IF(AND(SUM($AO25)&gt;0,$AQ25=""),"ENTER YIELD RATE",ROUND($AO25*$AQ25,0)))</f>
        <v>ENTER YIELD RATE</v>
      </c>
      <c r="AT25" s="39" t="n">
        <f aca="false">IF(SUM($AO25)=0,"",$AO25-SUM($AS25))</f>
        <v>7</v>
      </c>
      <c r="AU25" s="10" t="str">
        <f aca="false">IF(SUM($AS25)=0,"",ROUND($AS25*$AR25,0))</f>
        <v/>
      </c>
      <c r="AV25" s="10" t="str">
        <f aca="false">IFERROR(1/(1/SUM($AC25,$AB25,$AS25)),"")</f>
        <v/>
      </c>
      <c r="AW25" s="10" t="n">
        <f aca="false">IFERROR(1/(1/INDEX(Cascade!$BH:$BH,MATCH($E25,Cascade!$E:$E,0))),"")</f>
        <v>-85</v>
      </c>
      <c r="AX25" s="10" t="str">
        <f aca="false">IF(SUM($AC25)=0,"",$AC25)</f>
        <v/>
      </c>
      <c r="AY25" s="10" t="str">
        <f aca="false">IF(SUM($AS25)=0,"",$AS25)</f>
        <v/>
      </c>
      <c r="AZ25" s="10" t="str">
        <f aca="false">IFERROR(1/(1/INDEX(TB!$P:$P,MATCH($E25,TB!$E:$E,0))),"")</f>
        <v/>
      </c>
      <c r="BA25" s="10" t="n">
        <f aca="false">IFERROR(1/(1/(SUM($AW25)-SUM($AX25:$AZ25))),"")</f>
        <v>-85</v>
      </c>
    </row>
    <row r="26" customFormat="false" ht="15" hidden="false" customHeight="false" outlineLevel="0" collapsed="false">
      <c r="A26" s="0" t="str">
        <f aca="false">INDEX(Prioritization!$D:$D,MATCH($B26,Prioritization!$A:$A,0))</f>
        <v>1 - Scale-up: Saturation</v>
      </c>
      <c r="B26" s="0" t="s">
        <v>196</v>
      </c>
      <c r="C26" s="0" t="s">
        <v>365</v>
      </c>
      <c r="D26" s="0" t="s">
        <v>30</v>
      </c>
      <c r="E26" s="0" t="str">
        <f aca="false">B26&amp;"|"&amp;C26&amp;"|"&amp;D26</f>
        <v>Dowa District [zphK9WV8JB4]|15-24|Female</v>
      </c>
      <c r="F26" s="10" t="n">
        <f aca="false">IF(LEFT($B26,4)="_Mil","",INDEX(Cascade!$T:$T,MATCH($E26,Cascade!$E:$E,0)))</f>
        <v>924</v>
      </c>
      <c r="G26" s="10" t="str">
        <f aca="false">IF(LEFT($B26,4)="_Mil","",INDEX(Cascade!$U:$U,MATCH($E26,Cascade!$E:$E,0)))</f>
        <v/>
      </c>
      <c r="H26" s="86" t="n">
        <f aca="false">IF(LEFT($B26,4)="_Mil","",INDEX(Cascade!$W:$W,MATCH($E26,Cascade!$E:$E,0)))</f>
        <v>1645</v>
      </c>
      <c r="I26" s="10" t="n">
        <f aca="false">IF(LEFT($B26,4)="_Mil","",INDEX(Cascade!$Z:$Z,MATCH($E26,Cascade!$E:$E,0)))</f>
        <v>1168</v>
      </c>
      <c r="J26" s="88" t="n">
        <f aca="false">IF(LEFT($B26,4)="_Mil","",INDEX(Cascade!$AA:$AA,MATCH($E26,Cascade!$E:$E,0)))</f>
        <v>1568</v>
      </c>
      <c r="K26" s="39" t="n">
        <f aca="false">IF(LEFT($B26,4)="_Mil","",_xlfn.IFNA(ROUND(INDEX(Spectrum!$N:$N,MATCH(RIGHT($B26,13)&amp;"|"&amp;$C26&amp;"|"&amp;$D26&amp;"|"&amp;K$14&amp;"|"&amp;"CY2023Q3",Spectrum!$R:$R,0)),0),""))</f>
        <v>941</v>
      </c>
      <c r="L26" s="39" t="str">
        <f aca="false">IF(LEFT($B26,4)="_Mil","",_xlfn.IFNA(ROUND(INDEX(Spectrum!$N:$N,MATCH(RIGHT($B26,13)&amp;"|"&amp;$C26&amp;"|"&amp;$D26&amp;"|"&amp;L$14&amp;"|"&amp;"CY2023Q3",Spectrum!$R:$R,0)),0),""))</f>
        <v/>
      </c>
      <c r="M26" s="39" t="n">
        <f aca="false">IF(LEFT($B26,4)="_Mil","",_xlfn.IFNA(ROUND(INDEX(Spectrum!$N:$N,MATCH(RIGHT($B26,13)&amp;"|"&amp;$C26&amp;"|"&amp;$D26&amp;"|"&amp;M$14&amp;"|"&amp;"CY2023Q3",Spectrum!$R:$R,0)),0),""))</f>
        <v>903</v>
      </c>
      <c r="N26" s="39" t="n">
        <f aca="false">IF(LEFT($B26,4)="_Mil","",_xlfn.IFNA(ROUND(INDEX(Spectrum!$N:$N,MATCH(RIGHT($B26,13)&amp;"|"&amp;$C26&amp;"|"&amp;$D26&amp;"|"&amp;N$14&amp;"|"&amp;"CY2023Q3",Spectrum!$R:$R,0)),0),""))</f>
        <v>1303</v>
      </c>
      <c r="O26" s="39" t="n">
        <f aca="false">IF(LEFT($B26,4)="_Mil","",_xlfn.IFNA(ROUND(INDEX(Spectrum!$N:$N,MATCH(RIGHT($B26,13)&amp;"|"&amp;$C26&amp;"|"&amp;$D26&amp;"|"&amp;O$14&amp;"|"&amp;"CY2023Q3",Spectrum!$R:$R,0)),0),""))</f>
        <v>1422</v>
      </c>
      <c r="P26" s="39" t="n">
        <f aca="false">IF(LEFT($B26,4)="_Mil","",_xlfn.IFNA(ROUND(INDEX(Spectrum!$N:$N,MATCH(RIGHT($B26,13)&amp;"|"&amp;$C26&amp;"|"&amp;$D26&amp;"|"&amp;P$14&amp;"|"&amp;"CY2023Q3",Spectrum!$R:$R,0)),0),""))</f>
        <v>1018</v>
      </c>
      <c r="Q26" s="39" t="str">
        <f aca="false">IF(LEFT($B26,4)="_Mil","",_xlfn.IFNA(ROUND(INDEX(Spectrum!$N:$N,MATCH(RIGHT($B26,13)&amp;"|"&amp;$C26&amp;"|"&amp;$D26&amp;"|"&amp;Q$14&amp;"|"&amp;"CY2022Q3",Spectrum!$R:$R,0)),0),""))</f>
        <v/>
      </c>
      <c r="R26" s="10"/>
      <c r="S26" s="88" t="n">
        <f aca="false">0</f>
        <v>0</v>
      </c>
      <c r="T26" s="39" t="str">
        <f aca="false">IF(SUM($R26)=0,"",ROUND($R26*(1+$S26),0))</f>
        <v/>
      </c>
      <c r="U26" s="88" t="n">
        <f aca="false">IF(LEFT($B26,4)="_Mil","",IF(SUM($K26)=0,IF(SUM($R26)=0,"",1),MIN($R26/$K26,1)))</f>
        <v>0</v>
      </c>
      <c r="V26" s="39" t="str">
        <f aca="false">IF(OR(SUM($T26)=0,LEFT($B26,4)="_Mil"),"",ROUND($T26/$U26,0))</f>
        <v/>
      </c>
      <c r="W26" s="88"/>
      <c r="X26" s="88" t="n">
        <f aca="false">IF(SUM($K26,$W26)=0,"",MAX(IFERROR(SUM($L26)/$K26,0),SUM($W26)))</f>
        <v>0</v>
      </c>
      <c r="Y26" s="88"/>
      <c r="Z26" s="88" t="n">
        <f aca="false">IF(SUM($K26,$Y26)=0,"",MIN(SUM($Y26),IFERROR(SUM($M26)/(SUM($K26)-SUM($L26)),1)))</f>
        <v>0</v>
      </c>
      <c r="AA26" s="10" t="str">
        <f aca="false">$T26</f>
        <v/>
      </c>
      <c r="AB26" s="39" t="str">
        <f aca="false">IF(SUM($AA26)=0,"",IF(AND(SUM($AA26)&gt;0,$X26=""),"ENTER KNOWN POSITIVITY RATE",ROUND($AA26*$X26,0)))</f>
        <v/>
      </c>
      <c r="AC26" s="39" t="str">
        <f aca="false">IF(SUM($AA26)=0,"",IF(AND((SUM($AA26)-SUM($AB26))&gt;0,$Z26=""),"ENTER YIELD RATE",ROUND(($AA26-SUM($AB26))*$Z26,0)))</f>
        <v/>
      </c>
      <c r="AD26" s="39" t="str">
        <f aca="false">IF(SUM($AA26)=0,"",$AA26-SUM($AB26)-SUM($AC26))</f>
        <v/>
      </c>
      <c r="AE26" s="10" t="str">
        <f aca="false">$V26</f>
        <v/>
      </c>
      <c r="AF26" s="39" t="str">
        <f aca="false">IF(SUM($AE26)=0,"",ROUND($AE26*SUM($X26),0))</f>
        <v/>
      </c>
      <c r="AG26" s="39" t="str">
        <f aca="false">IF(SUM($AE26)=0,"",ROUND(($AE26-SUM($AF26))*SUM($Z26),0))</f>
        <v/>
      </c>
      <c r="AH26" s="39" t="str">
        <f aca="false">IF(SUM($AE26)=0,"",$AE26-SUM($AF26)-SUM($AG26))</f>
        <v/>
      </c>
      <c r="AI26" s="88" t="str">
        <f aca="false">IF(SUM($AC26)=0,"",INDEX(Cascade!$BG:$BG,MATCH($E26,Cascade!$E:$E,0)))</f>
        <v/>
      </c>
      <c r="AJ26" s="39" t="str">
        <f aca="false">$AB26</f>
        <v/>
      </c>
      <c r="AK26" s="39" t="str">
        <f aca="false">IF(SUM($AC26)=0,"",IF(AND($AI26="",SUM($AC26)&gt;0),"&lt;- Enter Linkage Rate",ROUND($AC26*$AI26,0)))</f>
        <v/>
      </c>
      <c r="AL26" s="39" t="str">
        <f aca="false">IF(SUM($AF26,$AG26)=0,"",SUM($AF26,$AG26))</f>
        <v/>
      </c>
      <c r="AM26" s="39" t="str">
        <f aca="false">$AF26</f>
        <v/>
      </c>
      <c r="AN26" s="39" t="str">
        <f aca="false">IF(SUM($AG26)=0,"",ROUND($AG26*SUM($AI26),0))</f>
        <v/>
      </c>
      <c r="AO26" s="10" t="str">
        <f aca="false">IFERROR(1/(1/MAX(SUM($T26)-SUM($AB26,$AC26),$AD26)),"")</f>
        <v/>
      </c>
      <c r="AP26" s="88"/>
      <c r="AQ26" s="88" t="str">
        <f aca="false">IF($AP26="","",$AP26)</f>
        <v/>
      </c>
      <c r="AR26" s="88" t="str">
        <f aca="false">IF(SUM($AO26)=0,"",INDEX(Cascade!$BG:$BG,MATCH($E26,Cascade!$E:$E,0)))</f>
        <v/>
      </c>
      <c r="AS26" s="39" t="str">
        <f aca="false">IF(SUM($AO26)=0,"",IF(AND(SUM($AO26)&gt;0,$AQ26=""),"ENTER YIELD RATE",ROUND($AO26*$AQ26,0)))</f>
        <v/>
      </c>
      <c r="AT26" s="39" t="str">
        <f aca="false">IF(SUM($AO26)=0,"",$AO26-SUM($AS26))</f>
        <v/>
      </c>
      <c r="AU26" s="10" t="str">
        <f aca="false">IF(SUM($AS26)=0,"",ROUND($AS26*$AR26,0))</f>
        <v/>
      </c>
      <c r="AV26" s="10" t="str">
        <f aca="false">IFERROR(1/(1/SUM($AC26,$AB26,$AS26)),"")</f>
        <v/>
      </c>
      <c r="AW26" s="10" t="str">
        <f aca="false">IFERROR(1/(1/INDEX(Cascade!$BH:$BH,MATCH($E26,Cascade!$E:$E,0))),"")</f>
        <v/>
      </c>
      <c r="AX26" s="10" t="str">
        <f aca="false">IF(SUM($AC26)=0,"",$AC26)</f>
        <v/>
      </c>
      <c r="AY26" s="10" t="str">
        <f aca="false">IF(SUM($AS26)=0,"",$AS26)</f>
        <v/>
      </c>
      <c r="AZ26" s="10" t="str">
        <f aca="false">IFERROR(1/(1/INDEX(TB!$P:$P,MATCH($E26,TB!$E:$E,0))),"")</f>
        <v/>
      </c>
      <c r="BA26" s="10" t="str">
        <f aca="false">IFERROR(1/(1/(SUM($AW26)-SUM($AX26:$AZ26))),"")</f>
        <v/>
      </c>
    </row>
    <row r="27" customFormat="false" ht="15" hidden="false" customHeight="false" outlineLevel="0" collapsed="false">
      <c r="A27" s="0" t="str">
        <f aca="false">INDEX(Prioritization!$D:$D,MATCH($B27,Prioritization!$A:$A,0))</f>
        <v>1 - Scale-up: Saturation</v>
      </c>
      <c r="B27" s="0" t="s">
        <v>196</v>
      </c>
      <c r="C27" s="0" t="s">
        <v>366</v>
      </c>
      <c r="D27" s="0" t="s">
        <v>30</v>
      </c>
      <c r="E27" s="0" t="str">
        <f aca="false">B27&amp;"|"&amp;C27&amp;"|"&amp;D27</f>
        <v>Dowa District [zphK9WV8JB4]|25-34|Female</v>
      </c>
      <c r="F27" s="10" t="n">
        <f aca="false">IF(LEFT($B27,4)="_Mil","",INDEX(Cascade!$T:$T,MATCH($E27,Cascade!$E:$E,0)))</f>
        <v>1916</v>
      </c>
      <c r="G27" s="10" t="str">
        <f aca="false">IF(LEFT($B27,4)="_Mil","",INDEX(Cascade!$U:$U,MATCH($E27,Cascade!$E:$E,0)))</f>
        <v/>
      </c>
      <c r="H27" s="86" t="n">
        <f aca="false">IF(LEFT($B27,4)="_Mil","",INDEX(Cascade!$W:$W,MATCH($E27,Cascade!$E:$E,0)))</f>
        <v>1117</v>
      </c>
      <c r="I27" s="10" t="n">
        <f aca="false">IF(LEFT($B27,4)="_Mil","",INDEX(Cascade!$Z:$Z,MATCH($E27,Cascade!$E:$E,0)))</f>
        <v>1240</v>
      </c>
      <c r="J27" s="88" t="n">
        <f aca="false">IF(LEFT($B27,4)="_Mil","",INDEX(Cascade!$AA:$AA,MATCH($E27,Cascade!$E:$E,0)))</f>
        <v>1569</v>
      </c>
      <c r="K27" s="39" t="n">
        <f aca="false">IF(LEFT($B27,4)="_Mil","",_xlfn.IFNA(ROUND(INDEX(Spectrum!$N:$N,MATCH(RIGHT($B27,13)&amp;"|"&amp;$C27&amp;"|"&amp;$D27&amp;"|"&amp;K$14&amp;"|"&amp;"CY2023Q3",Spectrum!$R:$R,0)),0),""))</f>
        <v>1097</v>
      </c>
      <c r="L27" s="39" t="str">
        <f aca="false">IF(LEFT($B27,4)="_Mil","",_xlfn.IFNA(ROUND(INDEX(Spectrum!$N:$N,MATCH(RIGHT($B27,13)&amp;"|"&amp;$C27&amp;"|"&amp;$D27&amp;"|"&amp;L$14&amp;"|"&amp;"CY2023Q3",Spectrum!$R:$R,0)),0),""))</f>
        <v/>
      </c>
      <c r="M27" s="39" t="n">
        <f aca="false">IF(LEFT($B27,4)="_Mil","",_xlfn.IFNA(ROUND(INDEX(Spectrum!$N:$N,MATCH(RIGHT($B27,13)&amp;"|"&amp;$C27&amp;"|"&amp;$D27&amp;"|"&amp;M$14&amp;"|"&amp;"CY2023Q3",Spectrum!$R:$R,0)),0),""))</f>
        <v>1662</v>
      </c>
      <c r="N27" s="39" t="n">
        <f aca="false">IF(LEFT($B27,4)="_Mil","",_xlfn.IFNA(ROUND(INDEX(Spectrum!$N:$N,MATCH(RIGHT($B27,13)&amp;"|"&amp;$C27&amp;"|"&amp;$D27&amp;"|"&amp;N$14&amp;"|"&amp;"CY2023Q3",Spectrum!$R:$R,0)),0),""))</f>
        <v>1313</v>
      </c>
      <c r="O27" s="39" t="n">
        <f aca="false">IF(LEFT($B27,4)="_Mil","",_xlfn.IFNA(ROUND(INDEX(Spectrum!$N:$N,MATCH(RIGHT($B27,13)&amp;"|"&amp;$C27&amp;"|"&amp;$D27&amp;"|"&amp;O$14&amp;"|"&amp;"CY2023Q3",Spectrum!$R:$R,0)),0),""))</f>
        <v>1973</v>
      </c>
      <c r="P27" s="39" t="n">
        <f aca="false">IF(LEFT($B27,4)="_Mil","",_xlfn.IFNA(ROUND(INDEX(Spectrum!$N:$N,MATCH(RIGHT($B27,13)&amp;"|"&amp;$C27&amp;"|"&amp;$D27&amp;"|"&amp;P$14&amp;"|"&amp;"CY2023Q3",Spectrum!$R:$R,0)),0),""))</f>
        <v>683</v>
      </c>
      <c r="Q27" s="39" t="str">
        <f aca="false">IF(LEFT($B27,4)="_Mil","",_xlfn.IFNA(ROUND(INDEX(Spectrum!$N:$N,MATCH(RIGHT($B27,13)&amp;"|"&amp;$C27&amp;"|"&amp;$D27&amp;"|"&amp;Q$14&amp;"|"&amp;"CY2022Q3",Spectrum!$R:$R,0)),0),""))</f>
        <v/>
      </c>
      <c r="R27" s="10"/>
      <c r="S27" s="88" t="n">
        <f aca="false">0</f>
        <v>0</v>
      </c>
      <c r="T27" s="39" t="str">
        <f aca="false">IF(SUM($R27)=0,"",ROUND($R27*(1+$S27),0))</f>
        <v/>
      </c>
      <c r="U27" s="88" t="n">
        <f aca="false">IF(LEFT($B27,4)="_Mil","",IF(SUM($K27)=0,IF(SUM($R27)=0,"",1),MIN($R27/$K27,1)))</f>
        <v>0</v>
      </c>
      <c r="V27" s="39" t="str">
        <f aca="false">IF(OR(SUM($T27)=0,LEFT($B27,4)="_Mil"),"",ROUND($T27/$U27,0))</f>
        <v/>
      </c>
      <c r="W27" s="88"/>
      <c r="X27" s="88" t="n">
        <f aca="false">IF(SUM($K27,$W27)=0,"",MAX(IFERROR(SUM($L27)/$K27,0),SUM($W27)))</f>
        <v>0</v>
      </c>
      <c r="Y27" s="88"/>
      <c r="Z27" s="88" t="n">
        <f aca="false">IF(SUM($K27,$Y27)=0,"",MIN(SUM($Y27),IFERROR(SUM($M27)/(SUM($K27)-SUM($L27)),1)))</f>
        <v>0</v>
      </c>
      <c r="AA27" s="10" t="str">
        <f aca="false">$T27</f>
        <v/>
      </c>
      <c r="AB27" s="39" t="str">
        <f aca="false">IF(SUM($AA27)=0,"",IF(AND(SUM($AA27)&gt;0,$X27=""),"ENTER KNOWN POSITIVITY RATE",ROUND($AA27*$X27,0)))</f>
        <v/>
      </c>
      <c r="AC27" s="39" t="str">
        <f aca="false">IF(SUM($AA27)=0,"",IF(AND((SUM($AA27)-SUM($AB27))&gt;0,$Z27=""),"ENTER YIELD RATE",ROUND(($AA27-SUM($AB27))*$Z27,0)))</f>
        <v/>
      </c>
      <c r="AD27" s="39" t="str">
        <f aca="false">IF(SUM($AA27)=0,"",$AA27-SUM($AB27)-SUM($AC27))</f>
        <v/>
      </c>
      <c r="AE27" s="10" t="str">
        <f aca="false">$V27</f>
        <v/>
      </c>
      <c r="AF27" s="39" t="str">
        <f aca="false">IF(SUM($AE27)=0,"",ROUND($AE27*SUM($X27),0))</f>
        <v/>
      </c>
      <c r="AG27" s="39" t="str">
        <f aca="false">IF(SUM($AE27)=0,"",ROUND(($AE27-SUM($AF27))*SUM($Z27),0))</f>
        <v/>
      </c>
      <c r="AH27" s="39" t="str">
        <f aca="false">IF(SUM($AE27)=0,"",$AE27-SUM($AF27)-SUM($AG27))</f>
        <v/>
      </c>
      <c r="AI27" s="88" t="str">
        <f aca="false">IF(SUM($AC27)=0,"",INDEX(Cascade!$BG:$BG,MATCH($E27,Cascade!$E:$E,0)))</f>
        <v/>
      </c>
      <c r="AJ27" s="39" t="str">
        <f aca="false">$AB27</f>
        <v/>
      </c>
      <c r="AK27" s="39" t="str">
        <f aca="false">IF(SUM($AC27)=0,"",IF(AND($AI27="",SUM($AC27)&gt;0),"&lt;- Enter Linkage Rate",ROUND($AC27*$AI27,0)))</f>
        <v/>
      </c>
      <c r="AL27" s="39" t="str">
        <f aca="false">IF(SUM($AF27,$AG27)=0,"",SUM($AF27,$AG27))</f>
        <v/>
      </c>
      <c r="AM27" s="39" t="str">
        <f aca="false">$AF27</f>
        <v/>
      </c>
      <c r="AN27" s="39" t="str">
        <f aca="false">IF(SUM($AG27)=0,"",ROUND($AG27*SUM($AI27),0))</f>
        <v/>
      </c>
      <c r="AO27" s="10" t="str">
        <f aca="false">IFERROR(1/(1/MAX(SUM($T27)-SUM($AB27,$AC27),$AD27)),"")</f>
        <v/>
      </c>
      <c r="AP27" s="88"/>
      <c r="AQ27" s="88" t="str">
        <f aca="false">IF($AP27="","",$AP27)</f>
        <v/>
      </c>
      <c r="AR27" s="88" t="str">
        <f aca="false">IF(SUM($AO27)=0,"",INDEX(Cascade!$BG:$BG,MATCH($E27,Cascade!$E:$E,0)))</f>
        <v/>
      </c>
      <c r="AS27" s="39" t="str">
        <f aca="false">IF(SUM($AO27)=0,"",IF(AND(SUM($AO27)&gt;0,$AQ27=""),"ENTER YIELD RATE",ROUND($AO27*$AQ27,0)))</f>
        <v/>
      </c>
      <c r="AT27" s="39" t="str">
        <f aca="false">IF(SUM($AO27)=0,"",$AO27-SUM($AS27))</f>
        <v/>
      </c>
      <c r="AU27" s="10" t="str">
        <f aca="false">IF(SUM($AS27)=0,"",ROUND($AS27*$AR27,0))</f>
        <v/>
      </c>
      <c r="AV27" s="10" t="str">
        <f aca="false">IFERROR(1/(1/SUM($AC27,$AB27,$AS27)),"")</f>
        <v/>
      </c>
      <c r="AW27" s="10" t="str">
        <f aca="false">IFERROR(1/(1/INDEX(Cascade!$BH:$BH,MATCH($E27,Cascade!$E:$E,0))),"")</f>
        <v/>
      </c>
      <c r="AX27" s="10" t="str">
        <f aca="false">IF(SUM($AC27)=0,"",$AC27)</f>
        <v/>
      </c>
      <c r="AY27" s="10" t="str">
        <f aca="false">IF(SUM($AS27)=0,"",$AS27)</f>
        <v/>
      </c>
      <c r="AZ27" s="10" t="str">
        <f aca="false">IFERROR(1/(1/INDEX(TB!$P:$P,MATCH($E27,TB!$E:$E,0))),"")</f>
        <v/>
      </c>
      <c r="BA27" s="10" t="str">
        <f aca="false">IFERROR(1/(1/(SUM($AW27)-SUM($AX27:$AZ27))),"")</f>
        <v/>
      </c>
    </row>
    <row r="28" customFormat="false" ht="15" hidden="false" customHeight="false" outlineLevel="0" collapsed="false">
      <c r="A28" s="0" t="str">
        <f aca="false">INDEX(Prioritization!$D:$D,MATCH($B28,Prioritization!$A:$A,0))</f>
        <v>1 - Scale-up: Saturation</v>
      </c>
      <c r="B28" s="0" t="s">
        <v>196</v>
      </c>
      <c r="C28" s="0" t="s">
        <v>367</v>
      </c>
      <c r="D28" s="0" t="s">
        <v>30</v>
      </c>
      <c r="E28" s="0" t="str">
        <f aca="false">B28&amp;"|"&amp;C28&amp;"|"&amp;D28</f>
        <v>Dowa District [zphK9WV8JB4]|35-49|Female</v>
      </c>
      <c r="F28" s="10" t="n">
        <f aca="false">IF(LEFT($B28,4)="_Mil","",INDEX(Cascade!$T:$T,MATCH($E28,Cascade!$E:$E,0)))</f>
        <v>1881</v>
      </c>
      <c r="G28" s="10" t="str">
        <f aca="false">IF(LEFT($B28,4)="_Mil","",INDEX(Cascade!$U:$U,MATCH($E28,Cascade!$E:$E,0)))</f>
        <v/>
      </c>
      <c r="H28" s="86" t="n">
        <f aca="false">IF(LEFT($B28,4)="_Mil","",INDEX(Cascade!$W:$W,MATCH($E28,Cascade!$E:$E,0)))</f>
        <v>590</v>
      </c>
      <c r="I28" s="10" t="n">
        <f aca="false">IF(LEFT($B28,4)="_Mil","",INDEX(Cascade!$Z:$Z,MATCH($E28,Cascade!$E:$E,0)))</f>
        <v>773</v>
      </c>
      <c r="J28" s="88" t="n">
        <f aca="false">IF(LEFT($B28,4)="_Mil","",INDEX(Cascade!$AA:$AA,MATCH($E28,Cascade!$E:$E,0)))</f>
        <v>606</v>
      </c>
      <c r="K28" s="39" t="n">
        <f aca="false">IF(LEFT($B28,4)="_Mil","",_xlfn.IFNA(ROUND(INDEX(Spectrum!$N:$N,MATCH(RIGHT($B28,13)&amp;"|"&amp;$C28&amp;"|"&amp;$D28&amp;"|"&amp;K$14&amp;"|"&amp;"CY2023Q3",Spectrum!$R:$R,0)),0),""))</f>
        <v>1468</v>
      </c>
      <c r="L28" s="39" t="str">
        <f aca="false">IF(LEFT($B28,4)="_Mil","",_xlfn.IFNA(ROUND(INDEX(Spectrum!$N:$N,MATCH(RIGHT($B28,13)&amp;"|"&amp;$C28&amp;"|"&amp;$D28&amp;"|"&amp;L$14&amp;"|"&amp;"CY2023Q3",Spectrum!$R:$R,0)),0),""))</f>
        <v/>
      </c>
      <c r="M28" s="39" t="n">
        <f aca="false">IF(LEFT($B28,4)="_Mil","",_xlfn.IFNA(ROUND(INDEX(Spectrum!$N:$N,MATCH(RIGHT($B28,13)&amp;"|"&amp;$C28&amp;"|"&amp;$D28&amp;"|"&amp;M$14&amp;"|"&amp;"CY2023Q3",Spectrum!$R:$R,0)),0),""))</f>
        <v>1513</v>
      </c>
      <c r="N28" s="39" t="n">
        <f aca="false">IF(LEFT($B28,4)="_Mil","",_xlfn.IFNA(ROUND(INDEX(Spectrum!$N:$N,MATCH(RIGHT($B28,13)&amp;"|"&amp;$C28&amp;"|"&amp;$D28&amp;"|"&amp;N$14&amp;"|"&amp;"CY2023Q3",Spectrum!$R:$R,0)),0),""))</f>
        <v>1910</v>
      </c>
      <c r="O28" s="39" t="n">
        <f aca="false">IF(LEFT($B28,4)="_Mil","",_xlfn.IFNA(ROUND(INDEX(Spectrum!$N:$N,MATCH(RIGHT($B28,13)&amp;"|"&amp;$C28&amp;"|"&amp;$D28&amp;"|"&amp;O$14&amp;"|"&amp;"CY2023Q3",Spectrum!$R:$R,0)),0),""))</f>
        <v>791</v>
      </c>
      <c r="P28" s="39" t="n">
        <f aca="false">IF(LEFT($B28,4)="_Mil","",_xlfn.IFNA(ROUND(INDEX(Spectrum!$N:$N,MATCH(RIGHT($B28,13)&amp;"|"&amp;$C28&amp;"|"&amp;$D28&amp;"|"&amp;P$14&amp;"|"&amp;"CY2023Q3",Spectrum!$R:$R,0)),0),""))</f>
        <v>1985</v>
      </c>
      <c r="Q28" s="39" t="str">
        <f aca="false">IF(LEFT($B28,4)="_Mil","",_xlfn.IFNA(ROUND(INDEX(Spectrum!$N:$N,MATCH(RIGHT($B28,13)&amp;"|"&amp;$C28&amp;"|"&amp;$D28&amp;"|"&amp;Q$14&amp;"|"&amp;"CY2022Q3",Spectrum!$R:$R,0)),0),""))</f>
        <v/>
      </c>
      <c r="R28" s="10"/>
      <c r="S28" s="88" t="n">
        <f aca="false">0</f>
        <v>0</v>
      </c>
      <c r="T28" s="39" t="str">
        <f aca="false">IF(SUM($R28)=0,"",ROUND($R28*(1+$S28),0))</f>
        <v/>
      </c>
      <c r="U28" s="88" t="n">
        <f aca="false">IF(LEFT($B28,4)="_Mil","",IF(SUM($K28)=0,IF(SUM($R28)=0,"",1),MIN($R28/$K28,1)))</f>
        <v>0</v>
      </c>
      <c r="V28" s="39" t="str">
        <f aca="false">IF(OR(SUM($T28)=0,LEFT($B28,4)="_Mil"),"",ROUND($T28/$U28,0))</f>
        <v/>
      </c>
      <c r="W28" s="88"/>
      <c r="X28" s="88" t="n">
        <f aca="false">IF(SUM($K28,$W28)=0,"",MAX(IFERROR(SUM($L28)/$K28,0),SUM($W28)))</f>
        <v>0</v>
      </c>
      <c r="Y28" s="88"/>
      <c r="Z28" s="88" t="n">
        <f aca="false">IF(SUM($K28,$Y28)=0,"",MIN(SUM($Y28),IFERROR(SUM($M28)/(SUM($K28)-SUM($L28)),1)))</f>
        <v>0</v>
      </c>
      <c r="AA28" s="10" t="str">
        <f aca="false">$T28</f>
        <v/>
      </c>
      <c r="AB28" s="39" t="str">
        <f aca="false">IF(SUM($AA28)=0,"",IF(AND(SUM($AA28)&gt;0,$X28=""),"ENTER KNOWN POSITIVITY RATE",ROUND($AA28*$X28,0)))</f>
        <v/>
      </c>
      <c r="AC28" s="39" t="str">
        <f aca="false">IF(SUM($AA28)=0,"",IF(AND((SUM($AA28)-SUM($AB28))&gt;0,$Z28=""),"ENTER YIELD RATE",ROUND(($AA28-SUM($AB28))*$Z28,0)))</f>
        <v/>
      </c>
      <c r="AD28" s="39" t="str">
        <f aca="false">IF(SUM($AA28)=0,"",$AA28-SUM($AB28)-SUM($AC28))</f>
        <v/>
      </c>
      <c r="AE28" s="10" t="str">
        <f aca="false">$V28</f>
        <v/>
      </c>
      <c r="AF28" s="39" t="str">
        <f aca="false">IF(SUM($AE28)=0,"",ROUND($AE28*SUM($X28),0))</f>
        <v/>
      </c>
      <c r="AG28" s="39" t="str">
        <f aca="false">IF(SUM($AE28)=0,"",ROUND(($AE28-SUM($AF28))*SUM($Z28),0))</f>
        <v/>
      </c>
      <c r="AH28" s="39" t="str">
        <f aca="false">IF(SUM($AE28)=0,"",$AE28-SUM($AF28)-SUM($AG28))</f>
        <v/>
      </c>
      <c r="AI28" s="88" t="str">
        <f aca="false">IF(SUM($AC28)=0,"",INDEX(Cascade!$BG:$BG,MATCH($E28,Cascade!$E:$E,0)))</f>
        <v/>
      </c>
      <c r="AJ28" s="39" t="str">
        <f aca="false">$AB28</f>
        <v/>
      </c>
      <c r="AK28" s="39" t="str">
        <f aca="false">IF(SUM($AC28)=0,"",IF(AND($AI28="",SUM($AC28)&gt;0),"&lt;- Enter Linkage Rate",ROUND($AC28*$AI28,0)))</f>
        <v/>
      </c>
      <c r="AL28" s="39" t="str">
        <f aca="false">IF(SUM($AF28,$AG28)=0,"",SUM($AF28,$AG28))</f>
        <v/>
      </c>
      <c r="AM28" s="39" t="str">
        <f aca="false">$AF28</f>
        <v/>
      </c>
      <c r="AN28" s="39" t="str">
        <f aca="false">IF(SUM($AG28)=0,"",ROUND($AG28*SUM($AI28),0))</f>
        <v/>
      </c>
      <c r="AO28" s="10" t="str">
        <f aca="false">IFERROR(1/(1/MAX(SUM($T28)-SUM($AB28,$AC28),$AD28)),"")</f>
        <v/>
      </c>
      <c r="AP28" s="88"/>
      <c r="AQ28" s="88" t="str">
        <f aca="false">IF($AP28="","",$AP28)</f>
        <v/>
      </c>
      <c r="AR28" s="88" t="str">
        <f aca="false">IF(SUM($AO28)=0,"",INDEX(Cascade!$BG:$BG,MATCH($E28,Cascade!$E:$E,0)))</f>
        <v/>
      </c>
      <c r="AS28" s="39" t="str">
        <f aca="false">IF(SUM($AO28)=0,"",IF(AND(SUM($AO28)&gt;0,$AQ28=""),"ENTER YIELD RATE",ROUND($AO28*$AQ28,0)))</f>
        <v/>
      </c>
      <c r="AT28" s="39" t="str">
        <f aca="false">IF(SUM($AO28)=0,"",$AO28-SUM($AS28))</f>
        <v/>
      </c>
      <c r="AU28" s="10" t="str">
        <f aca="false">IF(SUM($AS28)=0,"",ROUND($AS28*$AR28,0))</f>
        <v/>
      </c>
      <c r="AV28" s="10" t="str">
        <f aca="false">IFERROR(1/(1/SUM($AC28,$AB28,$AS28)),"")</f>
        <v/>
      </c>
      <c r="AW28" s="10" t="str">
        <f aca="false">IFERROR(1/(1/INDEX(Cascade!$BH:$BH,MATCH($E28,Cascade!$E:$E,0))),"")</f>
        <v/>
      </c>
      <c r="AX28" s="10" t="str">
        <f aca="false">IF(SUM($AC28)=0,"",$AC28)</f>
        <v/>
      </c>
      <c r="AY28" s="10" t="str">
        <f aca="false">IF(SUM($AS28)=0,"",$AS28)</f>
        <v/>
      </c>
      <c r="AZ28" s="10" t="str">
        <f aca="false">IFERROR(1/(1/INDEX(TB!$P:$P,MATCH($E28,TB!$E:$E,0))),"")</f>
        <v/>
      </c>
      <c r="BA28" s="10" t="str">
        <f aca="false">IFERROR(1/(1/(SUM($AW28)-SUM($AX28:$AZ28))),"")</f>
        <v/>
      </c>
    </row>
    <row r="29" customFormat="false" ht="15" hidden="false" customHeight="false" outlineLevel="0" collapsed="false">
      <c r="A29" s="0" t="str">
        <f aca="false">INDEX(Prioritization!$D:$D,MATCH($B29,Prioritization!$A:$A,0))</f>
        <v>1 - Scale-up: Saturation</v>
      </c>
      <c r="B29" s="0" t="s">
        <v>196</v>
      </c>
      <c r="C29" s="0" t="s">
        <v>368</v>
      </c>
      <c r="D29" s="0" t="s">
        <v>30</v>
      </c>
      <c r="E29" s="0" t="str">
        <f aca="false">B29&amp;"|"&amp;C29&amp;"|"&amp;D29</f>
        <v>Dowa District [zphK9WV8JB4]|50+|Female</v>
      </c>
      <c r="F29" s="10" t="n">
        <f aca="false">IF(LEFT($B29,4)="_Mil","",INDEX(Cascade!$T:$T,MATCH($E29,Cascade!$E:$E,0)))</f>
        <v>915</v>
      </c>
      <c r="G29" s="10" t="str">
        <f aca="false">IF(LEFT($B29,4)="_Mil","",INDEX(Cascade!$U:$U,MATCH($E29,Cascade!$E:$E,0)))</f>
        <v/>
      </c>
      <c r="H29" s="86" t="n">
        <f aca="false">IF(LEFT($B29,4)="_Mil","",INDEX(Cascade!$W:$W,MATCH($E29,Cascade!$E:$E,0)))</f>
        <v>621</v>
      </c>
      <c r="I29" s="10" t="n">
        <f aca="false">IF(LEFT($B29,4)="_Mil","",INDEX(Cascade!$Z:$Z,MATCH($E29,Cascade!$E:$E,0)))</f>
        <v>1336</v>
      </c>
      <c r="J29" s="88" t="n">
        <f aca="false">IF(LEFT($B29,4)="_Mil","",INDEX(Cascade!$AA:$AA,MATCH($E29,Cascade!$E:$E,0)))</f>
        <v>838</v>
      </c>
      <c r="K29" s="39" t="str">
        <f aca="false">IF(LEFT($B29,4)="_Mil","",_xlfn.IFNA(ROUND(INDEX(Spectrum!$N:$N,MATCH(RIGHT($B29,13)&amp;"|"&amp;$C29&amp;"|"&amp;$D29&amp;"|"&amp;K$14&amp;"|"&amp;"CY2023Q3",Spectrum!$R:$R,0)),0),""))</f>
        <v/>
      </c>
      <c r="L29" s="39" t="str">
        <f aca="false">IF(LEFT($B29,4)="_Mil","",_xlfn.IFNA(ROUND(INDEX(Spectrum!$N:$N,MATCH(RIGHT($B29,13)&amp;"|"&amp;$C29&amp;"|"&amp;$D29&amp;"|"&amp;L$14&amp;"|"&amp;"CY2023Q3",Spectrum!$R:$R,0)),0),""))</f>
        <v/>
      </c>
      <c r="M29" s="39" t="str">
        <f aca="false">IF(LEFT($B29,4)="_Mil","",_xlfn.IFNA(ROUND(INDEX(Spectrum!$N:$N,MATCH(RIGHT($B29,13)&amp;"|"&amp;$C29&amp;"|"&amp;$D29&amp;"|"&amp;M$14&amp;"|"&amp;"CY2023Q3",Spectrum!$R:$R,0)),0),""))</f>
        <v/>
      </c>
      <c r="N29" s="39" t="str">
        <f aca="false">IF(LEFT($B29,4)="_Mil","",_xlfn.IFNA(ROUND(INDEX(Spectrum!$N:$N,MATCH(RIGHT($B29,13)&amp;"|"&amp;$C29&amp;"|"&amp;$D29&amp;"|"&amp;N$14&amp;"|"&amp;"CY2023Q3",Spectrum!$R:$R,0)),0),""))</f>
        <v/>
      </c>
      <c r="O29" s="39" t="str">
        <f aca="false">IF(LEFT($B29,4)="_Mil","",_xlfn.IFNA(ROUND(INDEX(Spectrum!$N:$N,MATCH(RIGHT($B29,13)&amp;"|"&amp;$C29&amp;"|"&amp;$D29&amp;"|"&amp;O$14&amp;"|"&amp;"CY2023Q3",Spectrum!$R:$R,0)),0),""))</f>
        <v/>
      </c>
      <c r="P29" s="39" t="str">
        <f aca="false">IF(LEFT($B29,4)="_Mil","",_xlfn.IFNA(ROUND(INDEX(Spectrum!$N:$N,MATCH(RIGHT($B29,13)&amp;"|"&amp;$C29&amp;"|"&amp;$D29&amp;"|"&amp;P$14&amp;"|"&amp;"CY2023Q3",Spectrum!$R:$R,0)),0),""))</f>
        <v/>
      </c>
      <c r="Q29" s="39" t="str">
        <f aca="false">IF(LEFT($B29,4)="_Mil","",_xlfn.IFNA(ROUND(INDEX(Spectrum!$N:$N,MATCH(RIGHT($B29,13)&amp;"|"&amp;$C29&amp;"|"&amp;$D29&amp;"|"&amp;Q$14&amp;"|"&amp;"CY2022Q3",Spectrum!$R:$R,0)),0),""))</f>
        <v/>
      </c>
      <c r="R29" s="10"/>
      <c r="S29" s="88" t="n">
        <f aca="false">0</f>
        <v>0</v>
      </c>
      <c r="T29" s="39" t="str">
        <f aca="false">IF(SUM($R29)=0,"",ROUND($R29*(1+$S29),0))</f>
        <v/>
      </c>
      <c r="U29" s="88" t="str">
        <f aca="false">IF(LEFT($B29,4)="_Mil","",IF(SUM($K29)=0,IF(SUM($R29)=0,"",1),MIN($R29/$K29,1)))</f>
        <v/>
      </c>
      <c r="V29" s="39" t="str">
        <f aca="false">IF(OR(SUM($T29)=0,LEFT($B29,4)="_Mil"),"",ROUND($T29/$U29,0))</f>
        <v/>
      </c>
      <c r="W29" s="88"/>
      <c r="X29" s="88" t="str">
        <f aca="false">IF(SUM($K29,$W29)=0,"",MAX(IFERROR(SUM($L29)/$K29,0),SUM($W29)))</f>
        <v/>
      </c>
      <c r="Y29" s="88"/>
      <c r="Z29" s="88" t="str">
        <f aca="false">IF(SUM($K29,$Y29)=0,"",MIN(SUM($Y29),IFERROR(SUM($M29)/(SUM($K29)-SUM($L29)),1)))</f>
        <v/>
      </c>
      <c r="AA29" s="10" t="str">
        <f aca="false">$T29</f>
        <v/>
      </c>
      <c r="AB29" s="39" t="str">
        <f aca="false">IF(SUM($AA29)=0,"",IF(AND(SUM($AA29)&gt;0,$X29=""),"ENTER KNOWN POSITIVITY RATE",ROUND($AA29*$X29,0)))</f>
        <v/>
      </c>
      <c r="AC29" s="39" t="str">
        <f aca="false">IF(SUM($AA29)=0,"",IF(AND((SUM($AA29)-SUM($AB29))&gt;0,$Z29=""),"ENTER YIELD RATE",ROUND(($AA29-SUM($AB29))*$Z29,0)))</f>
        <v/>
      </c>
      <c r="AD29" s="39" t="str">
        <f aca="false">IF(SUM($AA29)=0,"",$AA29-SUM($AB29)-SUM($AC29))</f>
        <v/>
      </c>
      <c r="AE29" s="10" t="str">
        <f aca="false">$V29</f>
        <v/>
      </c>
      <c r="AF29" s="39" t="str">
        <f aca="false">IF(SUM($AE29)=0,"",ROUND($AE29*SUM($X29),0))</f>
        <v/>
      </c>
      <c r="AG29" s="39" t="str">
        <f aca="false">IF(SUM($AE29)=0,"",ROUND(($AE29-SUM($AF29))*SUM($Z29),0))</f>
        <v/>
      </c>
      <c r="AH29" s="39" t="str">
        <f aca="false">IF(SUM($AE29)=0,"",$AE29-SUM($AF29)-SUM($AG29))</f>
        <v/>
      </c>
      <c r="AI29" s="88" t="str">
        <f aca="false">IF(SUM($AC29)=0,"",INDEX(Cascade!$BG:$BG,MATCH($E29,Cascade!$E:$E,0)))</f>
        <v/>
      </c>
      <c r="AJ29" s="39" t="str">
        <f aca="false">$AB29</f>
        <v/>
      </c>
      <c r="AK29" s="39" t="str">
        <f aca="false">IF(SUM($AC29)=0,"",IF(AND($AI29="",SUM($AC29)&gt;0),"&lt;- Enter Linkage Rate",ROUND($AC29*$AI29,0)))</f>
        <v/>
      </c>
      <c r="AL29" s="39" t="str">
        <f aca="false">IF(SUM($AF29,$AG29)=0,"",SUM($AF29,$AG29))</f>
        <v/>
      </c>
      <c r="AM29" s="39" t="str">
        <f aca="false">$AF29</f>
        <v/>
      </c>
      <c r="AN29" s="39" t="str">
        <f aca="false">IF(SUM($AG29)=0,"",ROUND($AG29*SUM($AI29),0))</f>
        <v/>
      </c>
      <c r="AO29" s="10" t="str">
        <f aca="false">IFERROR(1/(1/MAX(SUM($T29)-SUM($AB29,$AC29),$AD29)),"")</f>
        <v/>
      </c>
      <c r="AP29" s="88"/>
      <c r="AQ29" s="88" t="str">
        <f aca="false">IF($AP29="","",$AP29)</f>
        <v/>
      </c>
      <c r="AR29" s="88" t="str">
        <f aca="false">IF(SUM($AO29)=0,"",INDEX(Cascade!$BG:$BG,MATCH($E29,Cascade!$E:$E,0)))</f>
        <v/>
      </c>
      <c r="AS29" s="39" t="str">
        <f aca="false">IF(SUM($AO29)=0,"",IF(AND(SUM($AO29)&gt;0,$AQ29=""),"ENTER YIELD RATE",ROUND($AO29*$AQ29,0)))</f>
        <v/>
      </c>
      <c r="AT29" s="39" t="str">
        <f aca="false">IF(SUM($AO29)=0,"",$AO29-SUM($AS29))</f>
        <v/>
      </c>
      <c r="AU29" s="10" t="str">
        <f aca="false">IF(SUM($AS29)=0,"",ROUND($AS29*$AR29,0))</f>
        <v/>
      </c>
      <c r="AV29" s="10" t="str">
        <f aca="false">IFERROR(1/(1/SUM($AC29,$AB29,$AS29)),"")</f>
        <v/>
      </c>
      <c r="AW29" s="10" t="str">
        <f aca="false">IFERROR(1/(1/INDEX(Cascade!$BH:$BH,MATCH($E29,Cascade!$E:$E,0))),"")</f>
        <v/>
      </c>
      <c r="AX29" s="10" t="str">
        <f aca="false">IF(SUM($AC29)=0,"",$AC29)</f>
        <v/>
      </c>
      <c r="AY29" s="10" t="str">
        <f aca="false">IF(SUM($AS29)=0,"",$AS29)</f>
        <v/>
      </c>
      <c r="AZ29" s="10" t="str">
        <f aca="false">IFERROR(1/(1/INDEX(TB!$P:$P,MATCH($E29,TB!$E:$E,0))),"")</f>
        <v/>
      </c>
      <c r="BA29" s="10" t="str">
        <f aca="false">IFERROR(1/(1/(SUM($AW29)-SUM($AX29:$AZ29))),"")</f>
        <v/>
      </c>
    </row>
    <row r="30" customFormat="false" ht="15" hidden="false" customHeight="false" outlineLevel="0" collapsed="false">
      <c r="A30" s="0" t="str">
        <f aca="false">INDEX(Prioritization!$D:$D,MATCH($B30,Prioritization!$A:$A,0))</f>
        <v>INVALID</v>
      </c>
      <c r="B30" s="0" t="s">
        <v>197</v>
      </c>
      <c r="C30" s="0" t="s">
        <v>364</v>
      </c>
      <c r="D30" s="0" t="s">
        <v>30</v>
      </c>
      <c r="E30" s="0" t="str">
        <f aca="false">B30&amp;"|"&amp;C30&amp;"|"&amp;D30</f>
        <v>Kasungu District [JQKLKuVuY61]|10-14|Female</v>
      </c>
      <c r="F30" s="10" t="n">
        <f aca="false">IF(LEFT($B30,4)="_Mil","",INDEX(Cascade!$T:$T,MATCH($E30,Cascade!$E:$E,0)))</f>
        <v>1308</v>
      </c>
      <c r="G30" s="10" t="str">
        <f aca="false">IF(LEFT($B30,4)="_Mil","",INDEX(Cascade!$U:$U,MATCH($E30,Cascade!$E:$E,0)))</f>
        <v/>
      </c>
      <c r="H30" s="86" t="n">
        <f aca="false">IF(LEFT($B30,4)="_Mil","",INDEX(Cascade!$W:$W,MATCH($E30,Cascade!$E:$E,0)))</f>
        <v>1824</v>
      </c>
      <c r="I30" s="10" t="n">
        <f aca="false">IF(LEFT($B30,4)="_Mil","",INDEX(Cascade!$Z:$Z,MATCH($E30,Cascade!$E:$E,0)))</f>
        <v>1606</v>
      </c>
      <c r="J30" s="88" t="n">
        <f aca="false">IF(LEFT($B30,4)="_Mil","",INDEX(Cascade!$AA:$AA,MATCH($E30,Cascade!$E:$E,0)))</f>
        <v>1612</v>
      </c>
      <c r="K30" s="39" t="str">
        <f aca="false">IF(LEFT($B30,4)="_Mil","",_xlfn.IFNA(ROUND(INDEX(Spectrum!$N:$N,MATCH(RIGHT($B30,13)&amp;"|"&amp;$C30&amp;"|"&amp;$D30&amp;"|"&amp;K$14&amp;"|"&amp;"CY2023Q3",Spectrum!$R:$R,0)),0),""))</f>
        <v/>
      </c>
      <c r="L30" s="39" t="str">
        <f aca="false">IF(LEFT($B30,4)="_Mil","",_xlfn.IFNA(ROUND(INDEX(Spectrum!$N:$N,MATCH(RIGHT($B30,13)&amp;"|"&amp;$C30&amp;"|"&amp;$D30&amp;"|"&amp;L$14&amp;"|"&amp;"CY2023Q3",Spectrum!$R:$R,0)),0),""))</f>
        <v/>
      </c>
      <c r="M30" s="39" t="str">
        <f aca="false">IF(LEFT($B30,4)="_Mil","",_xlfn.IFNA(ROUND(INDEX(Spectrum!$N:$N,MATCH(RIGHT($B30,13)&amp;"|"&amp;$C30&amp;"|"&amp;$D30&amp;"|"&amp;M$14&amp;"|"&amp;"CY2023Q3",Spectrum!$R:$R,0)),0),""))</f>
        <v/>
      </c>
      <c r="N30" s="39" t="str">
        <f aca="false">IF(LEFT($B30,4)="_Mil","",_xlfn.IFNA(ROUND(INDEX(Spectrum!$N:$N,MATCH(RIGHT($B30,13)&amp;"|"&amp;$C30&amp;"|"&amp;$D30&amp;"|"&amp;N$14&amp;"|"&amp;"CY2023Q3",Spectrum!$R:$R,0)),0),""))</f>
        <v/>
      </c>
      <c r="O30" s="39" t="str">
        <f aca="false">IF(LEFT($B30,4)="_Mil","",_xlfn.IFNA(ROUND(INDEX(Spectrum!$N:$N,MATCH(RIGHT($B30,13)&amp;"|"&amp;$C30&amp;"|"&amp;$D30&amp;"|"&amp;O$14&amp;"|"&amp;"CY2023Q3",Spectrum!$R:$R,0)),0),""))</f>
        <v/>
      </c>
      <c r="P30" s="39" t="str">
        <f aca="false">IF(LEFT($B30,4)="_Mil","",_xlfn.IFNA(ROUND(INDEX(Spectrum!$N:$N,MATCH(RIGHT($B30,13)&amp;"|"&amp;$C30&amp;"|"&amp;$D30&amp;"|"&amp;P$14&amp;"|"&amp;"CY2023Q3",Spectrum!$R:$R,0)),0),""))</f>
        <v/>
      </c>
      <c r="Q30" s="39" t="str">
        <f aca="false">IF(LEFT($B30,4)="_Mil","",_xlfn.IFNA(ROUND(INDEX(Spectrum!$N:$N,MATCH(RIGHT($B30,13)&amp;"|"&amp;$C30&amp;"|"&amp;$D30&amp;"|"&amp;Q$14&amp;"|"&amp;"CY2022Q3",Spectrum!$R:$R,0)),0),""))</f>
        <v/>
      </c>
      <c r="R30" s="10" t="n">
        <v>8</v>
      </c>
      <c r="S30" s="88" t="n">
        <f aca="false">0</f>
        <v>0</v>
      </c>
      <c r="T30" s="39" t="n">
        <f aca="false">IF(SUM($R30)=0,"",ROUND($R30*(1+$S30),0))</f>
        <v>8</v>
      </c>
      <c r="U30" s="88" t="n">
        <f aca="false">IF(LEFT($B30,4)="_Mil","",IF(SUM($K30)=0,IF(SUM($R30)=0,"",1),MIN($R30/$K30,1)))</f>
        <v>1</v>
      </c>
      <c r="V30" s="39" t="n">
        <f aca="false">IF(OR(SUM($T30)=0,LEFT($B30,4)="_Mil"),"",ROUND($T30/$U30,0))</f>
        <v>8</v>
      </c>
      <c r="W30" s="88"/>
      <c r="X30" s="88" t="str">
        <f aca="false">IF(SUM($K30,$W30)=0,"",MAX(IFERROR(SUM($L30)/$K30,0),SUM($W30)))</f>
        <v/>
      </c>
      <c r="Y30" s="88"/>
      <c r="Z30" s="88" t="str">
        <f aca="false">IF(SUM($K30,$Y30)=0,"",MIN(SUM($Y30),IFERROR(SUM($M30)/(SUM($K30)-SUM($L30)),1)))</f>
        <v/>
      </c>
      <c r="AA30" s="10" t="n">
        <f aca="false">$T30</f>
        <v>8</v>
      </c>
      <c r="AB30" s="39" t="str">
        <f aca="false">IF(SUM($AA30)=0,"",IF(AND(SUM($AA30)&gt;0,$X30=""),"ENTER KNOWN POSITIVITY RATE",ROUND($AA30*$X30,0)))</f>
        <v>ENTER KNOWN POSITIVITY RATE</v>
      </c>
      <c r="AC30" s="39" t="str">
        <f aca="false">IF(SUM($AA30)=0,"",IF(AND((SUM($AA30)-SUM($AB30))&gt;0,$Z30=""),"ENTER YIELD RATE",ROUND(($AA30-SUM($AB30))*$Z30,0)))</f>
        <v>ENTER YIELD RATE</v>
      </c>
      <c r="AD30" s="39" t="n">
        <f aca="false">IF(SUM($AA30)=0,"",$AA30-SUM($AB30)-SUM($AC30))</f>
        <v>8</v>
      </c>
      <c r="AE30" s="10" t="n">
        <f aca="false">$V30</f>
        <v>8</v>
      </c>
      <c r="AF30" s="39" t="n">
        <f aca="false">IF(SUM($AE30)=0,"",ROUND($AE30*SUM($X30),0))</f>
        <v>0</v>
      </c>
      <c r="AG30" s="39" t="n">
        <f aca="false">IF(SUM($AE30)=0,"",ROUND(($AE30-SUM($AF30))*SUM($Z30),0))</f>
        <v>0</v>
      </c>
      <c r="AH30" s="39" t="n">
        <f aca="false">IF(SUM($AE30)=0,"",$AE30-SUM($AF30)-SUM($AG30))</f>
        <v>8</v>
      </c>
      <c r="AI30" s="88" t="str">
        <f aca="false">IF(SUM($AC30)=0,"",INDEX(Cascade!$BG:$BG,MATCH($E30,Cascade!$E:$E,0)))</f>
        <v/>
      </c>
      <c r="AJ30" s="39" t="str">
        <f aca="false">$AB30</f>
        <v>ENTER KNOWN POSITIVITY RATE</v>
      </c>
      <c r="AK30" s="39" t="str">
        <f aca="false">IF(SUM($AC30)=0,"",IF(AND($AI30="",SUM($AC30)&gt;0),"&lt;- Enter Linkage Rate",ROUND($AC30*$AI30,0)))</f>
        <v/>
      </c>
      <c r="AL30" s="39" t="str">
        <f aca="false">IF(SUM($AF30,$AG30)=0,"",SUM($AF30,$AG30))</f>
        <v/>
      </c>
      <c r="AM30" s="39" t="n">
        <f aca="false">$AF30</f>
        <v>0</v>
      </c>
      <c r="AN30" s="39" t="str">
        <f aca="false">IF(SUM($AG30)=0,"",ROUND($AG30*SUM($AI30),0))</f>
        <v/>
      </c>
      <c r="AO30" s="10" t="n">
        <f aca="false">IFERROR(1/(1/MAX(SUM($T30)-SUM($AB30,$AC30),$AD30)),"")</f>
        <v>8</v>
      </c>
      <c r="AP30" s="88"/>
      <c r="AQ30" s="88" t="str">
        <f aca="false">IF($AP30="","",$AP30)</f>
        <v/>
      </c>
      <c r="AR30" s="88" t="n">
        <f aca="false">IF(SUM($AO30)=0,"",INDEX(Cascade!$BG:$BG,MATCH($E30,Cascade!$E:$E,0)))</f>
        <v>0.95</v>
      </c>
      <c r="AS30" s="39" t="str">
        <f aca="false">IF(SUM($AO30)=0,"",IF(AND(SUM($AO30)&gt;0,$AQ30=""),"ENTER YIELD RATE",ROUND($AO30*$AQ30,0)))</f>
        <v>ENTER YIELD RATE</v>
      </c>
      <c r="AT30" s="39" t="n">
        <f aca="false">IF(SUM($AO30)=0,"",$AO30-SUM($AS30))</f>
        <v>8</v>
      </c>
      <c r="AU30" s="10" t="str">
        <f aca="false">IF(SUM($AS30)=0,"",ROUND($AS30*$AR30,0))</f>
        <v/>
      </c>
      <c r="AV30" s="10" t="str">
        <f aca="false">IFERROR(1/(1/SUM($AC30,$AB30,$AS30)),"")</f>
        <v/>
      </c>
      <c r="AW30" s="10" t="n">
        <f aca="false">IFERROR(1/(1/INDEX(Cascade!$BH:$BH,MATCH($E30,Cascade!$E:$E,0))),"")</f>
        <v>-93</v>
      </c>
      <c r="AX30" s="10" t="str">
        <f aca="false">IF(SUM($AC30)=0,"",$AC30)</f>
        <v/>
      </c>
      <c r="AY30" s="10" t="str">
        <f aca="false">IF(SUM($AS30)=0,"",$AS30)</f>
        <v/>
      </c>
      <c r="AZ30" s="10" t="str">
        <f aca="false">IFERROR(1/(1/INDEX(TB!$P:$P,MATCH($E30,TB!$E:$E,0))),"")</f>
        <v/>
      </c>
      <c r="BA30" s="10" t="n">
        <f aca="false">IFERROR(1/(1/(SUM($AW30)-SUM($AX30:$AZ30))),"")</f>
        <v>-93</v>
      </c>
    </row>
    <row r="31" customFormat="false" ht="15" hidden="false" customHeight="false" outlineLevel="0" collapsed="false">
      <c r="A31" s="0" t="str">
        <f aca="false">INDEX(Prioritization!$D:$D,MATCH($B31,Prioritization!$A:$A,0))</f>
        <v>INVALID</v>
      </c>
      <c r="B31" s="0" t="s">
        <v>197</v>
      </c>
      <c r="C31" s="0" t="s">
        <v>365</v>
      </c>
      <c r="D31" s="0" t="s">
        <v>30</v>
      </c>
      <c r="E31" s="0" t="str">
        <f aca="false">B31&amp;"|"&amp;C31&amp;"|"&amp;D31</f>
        <v>Kasungu District [JQKLKuVuY61]|15-24|Female</v>
      </c>
      <c r="F31" s="10" t="n">
        <f aca="false">IF(LEFT($B31,4)="_Mil","",INDEX(Cascade!$T:$T,MATCH($E31,Cascade!$E:$E,0)))</f>
        <v>1478</v>
      </c>
      <c r="G31" s="10" t="str">
        <f aca="false">IF(LEFT($B31,4)="_Mil","",INDEX(Cascade!$U:$U,MATCH($E31,Cascade!$E:$E,0)))</f>
        <v/>
      </c>
      <c r="H31" s="86" t="n">
        <f aca="false">IF(LEFT($B31,4)="_Mil","",INDEX(Cascade!$W:$W,MATCH($E31,Cascade!$E:$E,0)))</f>
        <v>1393</v>
      </c>
      <c r="I31" s="10" t="n">
        <f aca="false">IF(LEFT($B31,4)="_Mil","",INDEX(Cascade!$Z:$Z,MATCH($E31,Cascade!$E:$E,0)))</f>
        <v>649</v>
      </c>
      <c r="J31" s="88" t="n">
        <f aca="false">IF(LEFT($B31,4)="_Mil","",INDEX(Cascade!$AA:$AA,MATCH($E31,Cascade!$E:$E,0)))</f>
        <v>1973</v>
      </c>
      <c r="K31" s="39" t="n">
        <f aca="false">IF(LEFT($B31,4)="_Mil","",_xlfn.IFNA(ROUND(INDEX(Spectrum!$N:$N,MATCH(RIGHT($B31,13)&amp;"|"&amp;$C31&amp;"|"&amp;$D31&amp;"|"&amp;K$14&amp;"|"&amp;"CY2023Q3",Spectrum!$R:$R,0)),0),""))</f>
        <v>790</v>
      </c>
      <c r="L31" s="39" t="str">
        <f aca="false">IF(LEFT($B31,4)="_Mil","",_xlfn.IFNA(ROUND(INDEX(Spectrum!$N:$N,MATCH(RIGHT($B31,13)&amp;"|"&amp;$C31&amp;"|"&amp;$D31&amp;"|"&amp;L$14&amp;"|"&amp;"CY2023Q3",Spectrum!$R:$R,0)),0),""))</f>
        <v/>
      </c>
      <c r="M31" s="39" t="n">
        <f aca="false">IF(LEFT($B31,4)="_Mil","",_xlfn.IFNA(ROUND(INDEX(Spectrum!$N:$N,MATCH(RIGHT($B31,13)&amp;"|"&amp;$C31&amp;"|"&amp;$D31&amp;"|"&amp;M$14&amp;"|"&amp;"CY2023Q3",Spectrum!$R:$R,0)),0),""))</f>
        <v>687</v>
      </c>
      <c r="N31" s="39" t="n">
        <f aca="false">IF(LEFT($B31,4)="_Mil","",_xlfn.IFNA(ROUND(INDEX(Spectrum!$N:$N,MATCH(RIGHT($B31,13)&amp;"|"&amp;$C31&amp;"|"&amp;$D31&amp;"|"&amp;N$14&amp;"|"&amp;"CY2023Q3",Spectrum!$R:$R,0)),0),""))</f>
        <v>1248</v>
      </c>
      <c r="O31" s="39" t="n">
        <f aca="false">IF(LEFT($B31,4)="_Mil","",_xlfn.IFNA(ROUND(INDEX(Spectrum!$N:$N,MATCH(RIGHT($B31,13)&amp;"|"&amp;$C31&amp;"|"&amp;$D31&amp;"|"&amp;O$14&amp;"|"&amp;"CY2023Q3",Spectrum!$R:$R,0)),0),""))</f>
        <v>1088</v>
      </c>
      <c r="P31" s="39" t="n">
        <f aca="false">IF(LEFT($B31,4)="_Mil","",_xlfn.IFNA(ROUND(INDEX(Spectrum!$N:$N,MATCH(RIGHT($B31,13)&amp;"|"&amp;$C31&amp;"|"&amp;$D31&amp;"|"&amp;P$14&amp;"|"&amp;"CY2023Q3",Spectrum!$R:$R,0)),0),""))</f>
        <v>911</v>
      </c>
      <c r="Q31" s="39" t="str">
        <f aca="false">IF(LEFT($B31,4)="_Mil","",_xlfn.IFNA(ROUND(INDEX(Spectrum!$N:$N,MATCH(RIGHT($B31,13)&amp;"|"&amp;$C31&amp;"|"&amp;$D31&amp;"|"&amp;Q$14&amp;"|"&amp;"CY2022Q3",Spectrum!$R:$R,0)),0),""))</f>
        <v/>
      </c>
      <c r="R31" s="10"/>
      <c r="S31" s="88" t="n">
        <f aca="false">0</f>
        <v>0</v>
      </c>
      <c r="T31" s="39" t="str">
        <f aca="false">IF(SUM($R31)=0,"",ROUND($R31*(1+$S31),0))</f>
        <v/>
      </c>
      <c r="U31" s="88" t="n">
        <f aca="false">IF(LEFT($B31,4)="_Mil","",IF(SUM($K31)=0,IF(SUM($R31)=0,"",1),MIN($R31/$K31,1)))</f>
        <v>0</v>
      </c>
      <c r="V31" s="39" t="str">
        <f aca="false">IF(OR(SUM($T31)=0,LEFT($B31,4)="_Mil"),"",ROUND($T31/$U31,0))</f>
        <v/>
      </c>
      <c r="W31" s="88"/>
      <c r="X31" s="88" t="n">
        <f aca="false">IF(SUM($K31,$W31)=0,"",MAX(IFERROR(SUM($L31)/$K31,0),SUM($W31)))</f>
        <v>0</v>
      </c>
      <c r="Y31" s="88"/>
      <c r="Z31" s="88" t="n">
        <f aca="false">IF(SUM($K31,$Y31)=0,"",MIN(SUM($Y31),IFERROR(SUM($M31)/(SUM($K31)-SUM($L31)),1)))</f>
        <v>0</v>
      </c>
      <c r="AA31" s="10" t="str">
        <f aca="false">$T31</f>
        <v/>
      </c>
      <c r="AB31" s="39" t="str">
        <f aca="false">IF(SUM($AA31)=0,"",IF(AND(SUM($AA31)&gt;0,$X31=""),"ENTER KNOWN POSITIVITY RATE",ROUND($AA31*$X31,0)))</f>
        <v/>
      </c>
      <c r="AC31" s="39" t="str">
        <f aca="false">IF(SUM($AA31)=0,"",IF(AND((SUM($AA31)-SUM($AB31))&gt;0,$Z31=""),"ENTER YIELD RATE",ROUND(($AA31-SUM($AB31))*$Z31,0)))</f>
        <v/>
      </c>
      <c r="AD31" s="39" t="str">
        <f aca="false">IF(SUM($AA31)=0,"",$AA31-SUM($AB31)-SUM($AC31))</f>
        <v/>
      </c>
      <c r="AE31" s="10" t="str">
        <f aca="false">$V31</f>
        <v/>
      </c>
      <c r="AF31" s="39" t="str">
        <f aca="false">IF(SUM($AE31)=0,"",ROUND($AE31*SUM($X31),0))</f>
        <v/>
      </c>
      <c r="AG31" s="39" t="str">
        <f aca="false">IF(SUM($AE31)=0,"",ROUND(($AE31-SUM($AF31))*SUM($Z31),0))</f>
        <v/>
      </c>
      <c r="AH31" s="39" t="str">
        <f aca="false">IF(SUM($AE31)=0,"",$AE31-SUM($AF31)-SUM($AG31))</f>
        <v/>
      </c>
      <c r="AI31" s="88" t="str">
        <f aca="false">IF(SUM($AC31)=0,"",INDEX(Cascade!$BG:$BG,MATCH($E31,Cascade!$E:$E,0)))</f>
        <v/>
      </c>
      <c r="AJ31" s="39" t="str">
        <f aca="false">$AB31</f>
        <v/>
      </c>
      <c r="AK31" s="39" t="str">
        <f aca="false">IF(SUM($AC31)=0,"",IF(AND($AI31="",SUM($AC31)&gt;0),"&lt;- Enter Linkage Rate",ROUND($AC31*$AI31,0)))</f>
        <v/>
      </c>
      <c r="AL31" s="39" t="str">
        <f aca="false">IF(SUM($AF31,$AG31)=0,"",SUM($AF31,$AG31))</f>
        <v/>
      </c>
      <c r="AM31" s="39" t="str">
        <f aca="false">$AF31</f>
        <v/>
      </c>
      <c r="AN31" s="39" t="str">
        <f aca="false">IF(SUM($AG31)=0,"",ROUND($AG31*SUM($AI31),0))</f>
        <v/>
      </c>
      <c r="AO31" s="10" t="str">
        <f aca="false">IFERROR(1/(1/MAX(SUM($T31)-SUM($AB31,$AC31),$AD31)),"")</f>
        <v/>
      </c>
      <c r="AP31" s="88"/>
      <c r="AQ31" s="88" t="str">
        <f aca="false">IF($AP31="","",$AP31)</f>
        <v/>
      </c>
      <c r="AR31" s="88" t="str">
        <f aca="false">IF(SUM($AO31)=0,"",INDEX(Cascade!$BG:$BG,MATCH($E31,Cascade!$E:$E,0)))</f>
        <v/>
      </c>
      <c r="AS31" s="39" t="str">
        <f aca="false">IF(SUM($AO31)=0,"",IF(AND(SUM($AO31)&gt;0,$AQ31=""),"ENTER YIELD RATE",ROUND($AO31*$AQ31,0)))</f>
        <v/>
      </c>
      <c r="AT31" s="39" t="str">
        <f aca="false">IF(SUM($AO31)=0,"",$AO31-SUM($AS31))</f>
        <v/>
      </c>
      <c r="AU31" s="10" t="str">
        <f aca="false">IF(SUM($AS31)=0,"",ROUND($AS31*$AR31,0))</f>
        <v/>
      </c>
      <c r="AV31" s="10" t="str">
        <f aca="false">IFERROR(1/(1/SUM($AC31,$AB31,$AS31)),"")</f>
        <v/>
      </c>
      <c r="AW31" s="10" t="str">
        <f aca="false">IFERROR(1/(1/INDEX(Cascade!$BH:$BH,MATCH($E31,Cascade!$E:$E,0))),"")</f>
        <v/>
      </c>
      <c r="AX31" s="10" t="str">
        <f aca="false">IF(SUM($AC31)=0,"",$AC31)</f>
        <v/>
      </c>
      <c r="AY31" s="10" t="str">
        <f aca="false">IF(SUM($AS31)=0,"",$AS31)</f>
        <v/>
      </c>
      <c r="AZ31" s="10" t="str">
        <f aca="false">IFERROR(1/(1/INDEX(TB!$P:$P,MATCH($E31,TB!$E:$E,0))),"")</f>
        <v/>
      </c>
      <c r="BA31" s="10" t="str">
        <f aca="false">IFERROR(1/(1/(SUM($AW31)-SUM($AX31:$AZ31))),"")</f>
        <v/>
      </c>
    </row>
    <row r="32" customFormat="false" ht="15" hidden="false" customHeight="false" outlineLevel="0" collapsed="false">
      <c r="A32" s="0" t="str">
        <f aca="false">INDEX(Prioritization!$D:$D,MATCH($B32,Prioritization!$A:$A,0))</f>
        <v>INVALID</v>
      </c>
      <c r="B32" s="0" t="s">
        <v>197</v>
      </c>
      <c r="C32" s="0" t="s">
        <v>366</v>
      </c>
      <c r="D32" s="0" t="s">
        <v>30</v>
      </c>
      <c r="E32" s="0" t="str">
        <f aca="false">B32&amp;"|"&amp;C32&amp;"|"&amp;D32</f>
        <v>Kasungu District [JQKLKuVuY61]|25-34|Female</v>
      </c>
      <c r="F32" s="10" t="n">
        <f aca="false">IF(LEFT($B32,4)="_Mil","",INDEX(Cascade!$T:$T,MATCH($E32,Cascade!$E:$E,0)))</f>
        <v>657</v>
      </c>
      <c r="G32" s="10" t="str">
        <f aca="false">IF(LEFT($B32,4)="_Mil","",INDEX(Cascade!$U:$U,MATCH($E32,Cascade!$E:$E,0)))</f>
        <v/>
      </c>
      <c r="H32" s="86" t="n">
        <f aca="false">IF(LEFT($B32,4)="_Mil","",INDEX(Cascade!$W:$W,MATCH($E32,Cascade!$E:$E,0)))</f>
        <v>1103</v>
      </c>
      <c r="I32" s="10" t="n">
        <f aca="false">IF(LEFT($B32,4)="_Mil","",INDEX(Cascade!$Z:$Z,MATCH($E32,Cascade!$E:$E,0)))</f>
        <v>1823</v>
      </c>
      <c r="J32" s="88" t="n">
        <f aca="false">IF(LEFT($B32,4)="_Mil","",INDEX(Cascade!$AA:$AA,MATCH($E32,Cascade!$E:$E,0)))</f>
        <v>1159</v>
      </c>
      <c r="K32" s="39" t="n">
        <f aca="false">IF(LEFT($B32,4)="_Mil","",_xlfn.IFNA(ROUND(INDEX(Spectrum!$N:$N,MATCH(RIGHT($B32,13)&amp;"|"&amp;$C32&amp;"|"&amp;$D32&amp;"|"&amp;K$14&amp;"|"&amp;"CY2023Q3",Spectrum!$R:$R,0)),0),""))</f>
        <v>938</v>
      </c>
      <c r="L32" s="39" t="str">
        <f aca="false">IF(LEFT($B32,4)="_Mil","",_xlfn.IFNA(ROUND(INDEX(Spectrum!$N:$N,MATCH(RIGHT($B32,13)&amp;"|"&amp;$C32&amp;"|"&amp;$D32&amp;"|"&amp;L$14&amp;"|"&amp;"CY2023Q3",Spectrum!$R:$R,0)),0),""))</f>
        <v/>
      </c>
      <c r="M32" s="39" t="n">
        <f aca="false">IF(LEFT($B32,4)="_Mil","",_xlfn.IFNA(ROUND(INDEX(Spectrum!$N:$N,MATCH(RIGHT($B32,13)&amp;"|"&amp;$C32&amp;"|"&amp;$D32&amp;"|"&amp;M$14&amp;"|"&amp;"CY2023Q3",Spectrum!$R:$R,0)),0),""))</f>
        <v>770</v>
      </c>
      <c r="N32" s="39" t="n">
        <f aca="false">IF(LEFT($B32,4)="_Mil","",_xlfn.IFNA(ROUND(INDEX(Spectrum!$N:$N,MATCH(RIGHT($B32,13)&amp;"|"&amp;$C32&amp;"|"&amp;$D32&amp;"|"&amp;N$14&amp;"|"&amp;"CY2023Q3",Spectrum!$R:$R,0)),0),""))</f>
        <v>908</v>
      </c>
      <c r="O32" s="39" t="n">
        <f aca="false">IF(LEFT($B32,4)="_Mil","",_xlfn.IFNA(ROUND(INDEX(Spectrum!$N:$N,MATCH(RIGHT($B32,13)&amp;"|"&amp;$C32&amp;"|"&amp;$D32&amp;"|"&amp;O$14&amp;"|"&amp;"CY2023Q3",Spectrum!$R:$R,0)),0),""))</f>
        <v>719</v>
      </c>
      <c r="P32" s="39" t="n">
        <f aca="false">IF(LEFT($B32,4)="_Mil","",_xlfn.IFNA(ROUND(INDEX(Spectrum!$N:$N,MATCH(RIGHT($B32,13)&amp;"|"&amp;$C32&amp;"|"&amp;$D32&amp;"|"&amp;P$14&amp;"|"&amp;"CY2023Q3",Spectrum!$R:$R,0)),0),""))</f>
        <v>957</v>
      </c>
      <c r="Q32" s="39" t="str">
        <f aca="false">IF(LEFT($B32,4)="_Mil","",_xlfn.IFNA(ROUND(INDEX(Spectrum!$N:$N,MATCH(RIGHT($B32,13)&amp;"|"&amp;$C32&amp;"|"&amp;$D32&amp;"|"&amp;Q$14&amp;"|"&amp;"CY2022Q3",Spectrum!$R:$R,0)),0),""))</f>
        <v/>
      </c>
      <c r="R32" s="10"/>
      <c r="S32" s="88" t="n">
        <f aca="false">0</f>
        <v>0</v>
      </c>
      <c r="T32" s="39" t="str">
        <f aca="false">IF(SUM($R32)=0,"",ROUND($R32*(1+$S32),0))</f>
        <v/>
      </c>
      <c r="U32" s="88" t="n">
        <f aca="false">IF(LEFT($B32,4)="_Mil","",IF(SUM($K32)=0,IF(SUM($R32)=0,"",1),MIN($R32/$K32,1)))</f>
        <v>0</v>
      </c>
      <c r="V32" s="39" t="str">
        <f aca="false">IF(OR(SUM($T32)=0,LEFT($B32,4)="_Mil"),"",ROUND($T32/$U32,0))</f>
        <v/>
      </c>
      <c r="W32" s="88"/>
      <c r="X32" s="88" t="n">
        <f aca="false">IF(SUM($K32,$W32)=0,"",MAX(IFERROR(SUM($L32)/$K32,0),SUM($W32)))</f>
        <v>0</v>
      </c>
      <c r="Y32" s="88"/>
      <c r="Z32" s="88" t="n">
        <f aca="false">IF(SUM($K32,$Y32)=0,"",MIN(SUM($Y32),IFERROR(SUM($M32)/(SUM($K32)-SUM($L32)),1)))</f>
        <v>0</v>
      </c>
      <c r="AA32" s="10" t="str">
        <f aca="false">$T32</f>
        <v/>
      </c>
      <c r="AB32" s="39" t="str">
        <f aca="false">IF(SUM($AA32)=0,"",IF(AND(SUM($AA32)&gt;0,$X32=""),"ENTER KNOWN POSITIVITY RATE",ROUND($AA32*$X32,0)))</f>
        <v/>
      </c>
      <c r="AC32" s="39" t="str">
        <f aca="false">IF(SUM($AA32)=0,"",IF(AND((SUM($AA32)-SUM($AB32))&gt;0,$Z32=""),"ENTER YIELD RATE",ROUND(($AA32-SUM($AB32))*$Z32,0)))</f>
        <v/>
      </c>
      <c r="AD32" s="39" t="str">
        <f aca="false">IF(SUM($AA32)=0,"",$AA32-SUM($AB32)-SUM($AC32))</f>
        <v/>
      </c>
      <c r="AE32" s="10" t="str">
        <f aca="false">$V32</f>
        <v/>
      </c>
      <c r="AF32" s="39" t="str">
        <f aca="false">IF(SUM($AE32)=0,"",ROUND($AE32*SUM($X32),0))</f>
        <v/>
      </c>
      <c r="AG32" s="39" t="str">
        <f aca="false">IF(SUM($AE32)=0,"",ROUND(($AE32-SUM($AF32))*SUM($Z32),0))</f>
        <v/>
      </c>
      <c r="AH32" s="39" t="str">
        <f aca="false">IF(SUM($AE32)=0,"",$AE32-SUM($AF32)-SUM($AG32))</f>
        <v/>
      </c>
      <c r="AI32" s="88" t="str">
        <f aca="false">IF(SUM($AC32)=0,"",INDEX(Cascade!$BG:$BG,MATCH($E32,Cascade!$E:$E,0)))</f>
        <v/>
      </c>
      <c r="AJ32" s="39" t="str">
        <f aca="false">$AB32</f>
        <v/>
      </c>
      <c r="AK32" s="39" t="str">
        <f aca="false">IF(SUM($AC32)=0,"",IF(AND($AI32="",SUM($AC32)&gt;0),"&lt;- Enter Linkage Rate",ROUND($AC32*$AI32,0)))</f>
        <v/>
      </c>
      <c r="AL32" s="39" t="str">
        <f aca="false">IF(SUM($AF32,$AG32)=0,"",SUM($AF32,$AG32))</f>
        <v/>
      </c>
      <c r="AM32" s="39" t="str">
        <f aca="false">$AF32</f>
        <v/>
      </c>
      <c r="AN32" s="39" t="str">
        <f aca="false">IF(SUM($AG32)=0,"",ROUND($AG32*SUM($AI32),0))</f>
        <v/>
      </c>
      <c r="AO32" s="10" t="str">
        <f aca="false">IFERROR(1/(1/MAX(SUM($T32)-SUM($AB32,$AC32),$AD32)),"")</f>
        <v/>
      </c>
      <c r="AP32" s="88"/>
      <c r="AQ32" s="88" t="str">
        <f aca="false">IF($AP32="","",$AP32)</f>
        <v/>
      </c>
      <c r="AR32" s="88" t="str">
        <f aca="false">IF(SUM($AO32)=0,"",INDEX(Cascade!$BG:$BG,MATCH($E32,Cascade!$E:$E,0)))</f>
        <v/>
      </c>
      <c r="AS32" s="39" t="str">
        <f aca="false">IF(SUM($AO32)=0,"",IF(AND(SUM($AO32)&gt;0,$AQ32=""),"ENTER YIELD RATE",ROUND($AO32*$AQ32,0)))</f>
        <v/>
      </c>
      <c r="AT32" s="39" t="str">
        <f aca="false">IF(SUM($AO32)=0,"",$AO32-SUM($AS32))</f>
        <v/>
      </c>
      <c r="AU32" s="10" t="str">
        <f aca="false">IF(SUM($AS32)=0,"",ROUND($AS32*$AR32,0))</f>
        <v/>
      </c>
      <c r="AV32" s="10" t="str">
        <f aca="false">IFERROR(1/(1/SUM($AC32,$AB32,$AS32)),"")</f>
        <v/>
      </c>
      <c r="AW32" s="10" t="str">
        <f aca="false">IFERROR(1/(1/INDEX(Cascade!$BH:$BH,MATCH($E32,Cascade!$E:$E,0))),"")</f>
        <v/>
      </c>
      <c r="AX32" s="10" t="str">
        <f aca="false">IF(SUM($AC32)=0,"",$AC32)</f>
        <v/>
      </c>
      <c r="AY32" s="10" t="str">
        <f aca="false">IF(SUM($AS32)=0,"",$AS32)</f>
        <v/>
      </c>
      <c r="AZ32" s="10" t="str">
        <f aca="false">IFERROR(1/(1/INDEX(TB!$P:$P,MATCH($E32,TB!$E:$E,0))),"")</f>
        <v/>
      </c>
      <c r="BA32" s="10" t="str">
        <f aca="false">IFERROR(1/(1/(SUM($AW32)-SUM($AX32:$AZ32))),"")</f>
        <v/>
      </c>
    </row>
    <row r="33" customFormat="false" ht="15" hidden="false" customHeight="false" outlineLevel="0" collapsed="false">
      <c r="A33" s="0" t="str">
        <f aca="false">INDEX(Prioritization!$D:$D,MATCH($B33,Prioritization!$A:$A,0))</f>
        <v>INVALID</v>
      </c>
      <c r="B33" s="0" t="s">
        <v>197</v>
      </c>
      <c r="C33" s="0" t="s">
        <v>367</v>
      </c>
      <c r="D33" s="0" t="s">
        <v>30</v>
      </c>
      <c r="E33" s="0" t="str">
        <f aca="false">B33&amp;"|"&amp;C33&amp;"|"&amp;D33</f>
        <v>Kasungu District [JQKLKuVuY61]|35-49|Female</v>
      </c>
      <c r="F33" s="10" t="n">
        <f aca="false">IF(LEFT($B33,4)="_Mil","",INDEX(Cascade!$T:$T,MATCH($E33,Cascade!$E:$E,0)))</f>
        <v>1514</v>
      </c>
      <c r="G33" s="10" t="str">
        <f aca="false">IF(LEFT($B33,4)="_Mil","",INDEX(Cascade!$U:$U,MATCH($E33,Cascade!$E:$E,0)))</f>
        <v/>
      </c>
      <c r="H33" s="86" t="n">
        <f aca="false">IF(LEFT($B33,4)="_Mil","",INDEX(Cascade!$W:$W,MATCH($E33,Cascade!$E:$E,0)))</f>
        <v>1656</v>
      </c>
      <c r="I33" s="10" t="n">
        <f aca="false">IF(LEFT($B33,4)="_Mil","",INDEX(Cascade!$Z:$Z,MATCH($E33,Cascade!$E:$E,0)))</f>
        <v>1508</v>
      </c>
      <c r="J33" s="88" t="n">
        <f aca="false">IF(LEFT($B33,4)="_Mil","",INDEX(Cascade!$AA:$AA,MATCH($E33,Cascade!$E:$E,0)))</f>
        <v>1063</v>
      </c>
      <c r="K33" s="39" t="n">
        <f aca="false">IF(LEFT($B33,4)="_Mil","",_xlfn.IFNA(ROUND(INDEX(Spectrum!$N:$N,MATCH(RIGHT($B33,13)&amp;"|"&amp;$C33&amp;"|"&amp;$D33&amp;"|"&amp;K$14&amp;"|"&amp;"CY2023Q3",Spectrum!$R:$R,0)),0),""))</f>
        <v>1413</v>
      </c>
      <c r="L33" s="39" t="str">
        <f aca="false">IF(LEFT($B33,4)="_Mil","",_xlfn.IFNA(ROUND(INDEX(Spectrum!$N:$N,MATCH(RIGHT($B33,13)&amp;"|"&amp;$C33&amp;"|"&amp;$D33&amp;"|"&amp;L$14&amp;"|"&amp;"CY2023Q3",Spectrum!$R:$R,0)),0),""))</f>
        <v/>
      </c>
      <c r="M33" s="39" t="n">
        <f aca="false">IF(LEFT($B33,4)="_Mil","",_xlfn.IFNA(ROUND(INDEX(Spectrum!$N:$N,MATCH(RIGHT($B33,13)&amp;"|"&amp;$C33&amp;"|"&amp;$D33&amp;"|"&amp;M$14&amp;"|"&amp;"CY2023Q3",Spectrum!$R:$R,0)),0),""))</f>
        <v>1857</v>
      </c>
      <c r="N33" s="39" t="n">
        <f aca="false">IF(LEFT($B33,4)="_Mil","",_xlfn.IFNA(ROUND(INDEX(Spectrum!$N:$N,MATCH(RIGHT($B33,13)&amp;"|"&amp;$C33&amp;"|"&amp;$D33&amp;"|"&amp;N$14&amp;"|"&amp;"CY2023Q3",Spectrum!$R:$R,0)),0),""))</f>
        <v>1850</v>
      </c>
      <c r="O33" s="39" t="n">
        <f aca="false">IF(LEFT($B33,4)="_Mil","",_xlfn.IFNA(ROUND(INDEX(Spectrum!$N:$N,MATCH(RIGHT($B33,13)&amp;"|"&amp;$C33&amp;"|"&amp;$D33&amp;"|"&amp;O$14&amp;"|"&amp;"CY2023Q3",Spectrum!$R:$R,0)),0),""))</f>
        <v>848</v>
      </c>
      <c r="P33" s="39" t="n">
        <f aca="false">IF(LEFT($B33,4)="_Mil","",_xlfn.IFNA(ROUND(INDEX(Spectrum!$N:$N,MATCH(RIGHT($B33,13)&amp;"|"&amp;$C33&amp;"|"&amp;$D33&amp;"|"&amp;P$14&amp;"|"&amp;"CY2023Q3",Spectrum!$R:$R,0)),0),""))</f>
        <v>1109</v>
      </c>
      <c r="Q33" s="39" t="str">
        <f aca="false">IF(LEFT($B33,4)="_Mil","",_xlfn.IFNA(ROUND(INDEX(Spectrum!$N:$N,MATCH(RIGHT($B33,13)&amp;"|"&amp;$C33&amp;"|"&amp;$D33&amp;"|"&amp;Q$14&amp;"|"&amp;"CY2022Q3",Spectrum!$R:$R,0)),0),""))</f>
        <v/>
      </c>
      <c r="R33" s="10"/>
      <c r="S33" s="88" t="n">
        <f aca="false">0</f>
        <v>0</v>
      </c>
      <c r="T33" s="39" t="str">
        <f aca="false">IF(SUM($R33)=0,"",ROUND($R33*(1+$S33),0))</f>
        <v/>
      </c>
      <c r="U33" s="88" t="n">
        <f aca="false">IF(LEFT($B33,4)="_Mil","",IF(SUM($K33)=0,IF(SUM($R33)=0,"",1),MIN($R33/$K33,1)))</f>
        <v>0</v>
      </c>
      <c r="V33" s="39" t="str">
        <f aca="false">IF(OR(SUM($T33)=0,LEFT($B33,4)="_Mil"),"",ROUND($T33/$U33,0))</f>
        <v/>
      </c>
      <c r="W33" s="88"/>
      <c r="X33" s="88" t="n">
        <f aca="false">IF(SUM($K33,$W33)=0,"",MAX(IFERROR(SUM($L33)/$K33,0),SUM($W33)))</f>
        <v>0</v>
      </c>
      <c r="Y33" s="88"/>
      <c r="Z33" s="88" t="n">
        <f aca="false">IF(SUM($K33,$Y33)=0,"",MIN(SUM($Y33),IFERROR(SUM($M33)/(SUM($K33)-SUM($L33)),1)))</f>
        <v>0</v>
      </c>
      <c r="AA33" s="10" t="str">
        <f aca="false">$T33</f>
        <v/>
      </c>
      <c r="AB33" s="39" t="str">
        <f aca="false">IF(SUM($AA33)=0,"",IF(AND(SUM($AA33)&gt;0,$X33=""),"ENTER KNOWN POSITIVITY RATE",ROUND($AA33*$X33,0)))</f>
        <v/>
      </c>
      <c r="AC33" s="39" t="str">
        <f aca="false">IF(SUM($AA33)=0,"",IF(AND((SUM($AA33)-SUM($AB33))&gt;0,$Z33=""),"ENTER YIELD RATE",ROUND(($AA33-SUM($AB33))*$Z33,0)))</f>
        <v/>
      </c>
      <c r="AD33" s="39" t="str">
        <f aca="false">IF(SUM($AA33)=0,"",$AA33-SUM($AB33)-SUM($AC33))</f>
        <v/>
      </c>
      <c r="AE33" s="10" t="str">
        <f aca="false">$V33</f>
        <v/>
      </c>
      <c r="AF33" s="39" t="str">
        <f aca="false">IF(SUM($AE33)=0,"",ROUND($AE33*SUM($X33),0))</f>
        <v/>
      </c>
      <c r="AG33" s="39" t="str">
        <f aca="false">IF(SUM($AE33)=0,"",ROUND(($AE33-SUM($AF33))*SUM($Z33),0))</f>
        <v/>
      </c>
      <c r="AH33" s="39" t="str">
        <f aca="false">IF(SUM($AE33)=0,"",$AE33-SUM($AF33)-SUM($AG33))</f>
        <v/>
      </c>
      <c r="AI33" s="88" t="str">
        <f aca="false">IF(SUM($AC33)=0,"",INDEX(Cascade!$BG:$BG,MATCH($E33,Cascade!$E:$E,0)))</f>
        <v/>
      </c>
      <c r="AJ33" s="39" t="str">
        <f aca="false">$AB33</f>
        <v/>
      </c>
      <c r="AK33" s="39" t="str">
        <f aca="false">IF(SUM($AC33)=0,"",IF(AND($AI33="",SUM($AC33)&gt;0),"&lt;- Enter Linkage Rate",ROUND($AC33*$AI33,0)))</f>
        <v/>
      </c>
      <c r="AL33" s="39" t="str">
        <f aca="false">IF(SUM($AF33,$AG33)=0,"",SUM($AF33,$AG33))</f>
        <v/>
      </c>
      <c r="AM33" s="39" t="str">
        <f aca="false">$AF33</f>
        <v/>
      </c>
      <c r="AN33" s="39" t="str">
        <f aca="false">IF(SUM($AG33)=0,"",ROUND($AG33*SUM($AI33),0))</f>
        <v/>
      </c>
      <c r="AO33" s="10" t="str">
        <f aca="false">IFERROR(1/(1/MAX(SUM($T33)-SUM($AB33,$AC33),$AD33)),"")</f>
        <v/>
      </c>
      <c r="AP33" s="88"/>
      <c r="AQ33" s="88" t="str">
        <f aca="false">IF($AP33="","",$AP33)</f>
        <v/>
      </c>
      <c r="AR33" s="88" t="str">
        <f aca="false">IF(SUM($AO33)=0,"",INDEX(Cascade!$BG:$BG,MATCH($E33,Cascade!$E:$E,0)))</f>
        <v/>
      </c>
      <c r="AS33" s="39" t="str">
        <f aca="false">IF(SUM($AO33)=0,"",IF(AND(SUM($AO33)&gt;0,$AQ33=""),"ENTER YIELD RATE",ROUND($AO33*$AQ33,0)))</f>
        <v/>
      </c>
      <c r="AT33" s="39" t="str">
        <f aca="false">IF(SUM($AO33)=0,"",$AO33-SUM($AS33))</f>
        <v/>
      </c>
      <c r="AU33" s="10" t="str">
        <f aca="false">IF(SUM($AS33)=0,"",ROUND($AS33*$AR33,0))</f>
        <v/>
      </c>
      <c r="AV33" s="10" t="str">
        <f aca="false">IFERROR(1/(1/SUM($AC33,$AB33,$AS33)),"")</f>
        <v/>
      </c>
      <c r="AW33" s="10" t="str">
        <f aca="false">IFERROR(1/(1/INDEX(Cascade!$BH:$BH,MATCH($E33,Cascade!$E:$E,0))),"")</f>
        <v/>
      </c>
      <c r="AX33" s="10" t="str">
        <f aca="false">IF(SUM($AC33)=0,"",$AC33)</f>
        <v/>
      </c>
      <c r="AY33" s="10" t="str">
        <f aca="false">IF(SUM($AS33)=0,"",$AS33)</f>
        <v/>
      </c>
      <c r="AZ33" s="10" t="str">
        <f aca="false">IFERROR(1/(1/INDEX(TB!$P:$P,MATCH($E33,TB!$E:$E,0))),"")</f>
        <v/>
      </c>
      <c r="BA33" s="10" t="str">
        <f aca="false">IFERROR(1/(1/(SUM($AW33)-SUM($AX33:$AZ33))),"")</f>
        <v/>
      </c>
    </row>
    <row r="34" customFormat="false" ht="15" hidden="false" customHeight="false" outlineLevel="0" collapsed="false">
      <c r="A34" s="0" t="str">
        <f aca="false">INDEX(Prioritization!$D:$D,MATCH($B34,Prioritization!$A:$A,0))</f>
        <v>INVALID</v>
      </c>
      <c r="B34" s="0" t="s">
        <v>197</v>
      </c>
      <c r="C34" s="0" t="s">
        <v>368</v>
      </c>
      <c r="D34" s="0" t="s">
        <v>30</v>
      </c>
      <c r="E34" s="0" t="str">
        <f aca="false">B34&amp;"|"&amp;C34&amp;"|"&amp;D34</f>
        <v>Kasungu District [JQKLKuVuY61]|50+|Female</v>
      </c>
      <c r="F34" s="10" t="n">
        <f aca="false">IF(LEFT($B34,4)="_Mil","",INDEX(Cascade!$T:$T,MATCH($E34,Cascade!$E:$E,0)))</f>
        <v>1737</v>
      </c>
      <c r="G34" s="10" t="str">
        <f aca="false">IF(LEFT($B34,4)="_Mil","",INDEX(Cascade!$U:$U,MATCH($E34,Cascade!$E:$E,0)))</f>
        <v/>
      </c>
      <c r="H34" s="86" t="n">
        <f aca="false">IF(LEFT($B34,4)="_Mil","",INDEX(Cascade!$W:$W,MATCH($E34,Cascade!$E:$E,0)))</f>
        <v>627</v>
      </c>
      <c r="I34" s="10" t="n">
        <f aca="false">IF(LEFT($B34,4)="_Mil","",INDEX(Cascade!$Z:$Z,MATCH($E34,Cascade!$E:$E,0)))</f>
        <v>1622</v>
      </c>
      <c r="J34" s="88" t="n">
        <f aca="false">IF(LEFT($B34,4)="_Mil","",INDEX(Cascade!$AA:$AA,MATCH($E34,Cascade!$E:$E,0)))</f>
        <v>1446</v>
      </c>
      <c r="K34" s="39" t="str">
        <f aca="false">IF(LEFT($B34,4)="_Mil","",_xlfn.IFNA(ROUND(INDEX(Spectrum!$N:$N,MATCH(RIGHT($B34,13)&amp;"|"&amp;$C34&amp;"|"&amp;$D34&amp;"|"&amp;K$14&amp;"|"&amp;"CY2023Q3",Spectrum!$R:$R,0)),0),""))</f>
        <v/>
      </c>
      <c r="L34" s="39" t="str">
        <f aca="false">IF(LEFT($B34,4)="_Mil","",_xlfn.IFNA(ROUND(INDEX(Spectrum!$N:$N,MATCH(RIGHT($B34,13)&amp;"|"&amp;$C34&amp;"|"&amp;$D34&amp;"|"&amp;L$14&amp;"|"&amp;"CY2023Q3",Spectrum!$R:$R,0)),0),""))</f>
        <v/>
      </c>
      <c r="M34" s="39" t="str">
        <f aca="false">IF(LEFT($B34,4)="_Mil","",_xlfn.IFNA(ROUND(INDEX(Spectrum!$N:$N,MATCH(RIGHT($B34,13)&amp;"|"&amp;$C34&amp;"|"&amp;$D34&amp;"|"&amp;M$14&amp;"|"&amp;"CY2023Q3",Spectrum!$R:$R,0)),0),""))</f>
        <v/>
      </c>
      <c r="N34" s="39" t="str">
        <f aca="false">IF(LEFT($B34,4)="_Mil","",_xlfn.IFNA(ROUND(INDEX(Spectrum!$N:$N,MATCH(RIGHT($B34,13)&amp;"|"&amp;$C34&amp;"|"&amp;$D34&amp;"|"&amp;N$14&amp;"|"&amp;"CY2023Q3",Spectrum!$R:$R,0)),0),""))</f>
        <v/>
      </c>
      <c r="O34" s="39" t="str">
        <f aca="false">IF(LEFT($B34,4)="_Mil","",_xlfn.IFNA(ROUND(INDEX(Spectrum!$N:$N,MATCH(RIGHT($B34,13)&amp;"|"&amp;$C34&amp;"|"&amp;$D34&amp;"|"&amp;O$14&amp;"|"&amp;"CY2023Q3",Spectrum!$R:$R,0)),0),""))</f>
        <v/>
      </c>
      <c r="P34" s="39" t="str">
        <f aca="false">IF(LEFT($B34,4)="_Mil","",_xlfn.IFNA(ROUND(INDEX(Spectrum!$N:$N,MATCH(RIGHT($B34,13)&amp;"|"&amp;$C34&amp;"|"&amp;$D34&amp;"|"&amp;P$14&amp;"|"&amp;"CY2023Q3",Spectrum!$R:$R,0)),0),""))</f>
        <v/>
      </c>
      <c r="Q34" s="39" t="str">
        <f aca="false">IF(LEFT($B34,4)="_Mil","",_xlfn.IFNA(ROUND(INDEX(Spectrum!$N:$N,MATCH(RIGHT($B34,13)&amp;"|"&amp;$C34&amp;"|"&amp;$D34&amp;"|"&amp;Q$14&amp;"|"&amp;"CY2022Q3",Spectrum!$R:$R,0)),0),""))</f>
        <v/>
      </c>
      <c r="R34" s="10"/>
      <c r="S34" s="88" t="n">
        <f aca="false">0</f>
        <v>0</v>
      </c>
      <c r="T34" s="39" t="str">
        <f aca="false">IF(SUM($R34)=0,"",ROUND($R34*(1+$S34),0))</f>
        <v/>
      </c>
      <c r="U34" s="88" t="str">
        <f aca="false">IF(LEFT($B34,4)="_Mil","",IF(SUM($K34)=0,IF(SUM($R34)=0,"",1),MIN($R34/$K34,1)))</f>
        <v/>
      </c>
      <c r="V34" s="39" t="str">
        <f aca="false">IF(OR(SUM($T34)=0,LEFT($B34,4)="_Mil"),"",ROUND($T34/$U34,0))</f>
        <v/>
      </c>
      <c r="W34" s="88"/>
      <c r="X34" s="88" t="str">
        <f aca="false">IF(SUM($K34,$W34)=0,"",MAX(IFERROR(SUM($L34)/$K34,0),SUM($W34)))</f>
        <v/>
      </c>
      <c r="Y34" s="88"/>
      <c r="Z34" s="88" t="str">
        <f aca="false">IF(SUM($K34,$Y34)=0,"",MIN(SUM($Y34),IFERROR(SUM($M34)/(SUM($K34)-SUM($L34)),1)))</f>
        <v/>
      </c>
      <c r="AA34" s="10" t="str">
        <f aca="false">$T34</f>
        <v/>
      </c>
      <c r="AB34" s="39" t="str">
        <f aca="false">IF(SUM($AA34)=0,"",IF(AND(SUM($AA34)&gt;0,$X34=""),"ENTER KNOWN POSITIVITY RATE",ROUND($AA34*$X34,0)))</f>
        <v/>
      </c>
      <c r="AC34" s="39" t="str">
        <f aca="false">IF(SUM($AA34)=0,"",IF(AND((SUM($AA34)-SUM($AB34))&gt;0,$Z34=""),"ENTER YIELD RATE",ROUND(($AA34-SUM($AB34))*$Z34,0)))</f>
        <v/>
      </c>
      <c r="AD34" s="39" t="str">
        <f aca="false">IF(SUM($AA34)=0,"",$AA34-SUM($AB34)-SUM($AC34))</f>
        <v/>
      </c>
      <c r="AE34" s="10" t="str">
        <f aca="false">$V34</f>
        <v/>
      </c>
      <c r="AF34" s="39" t="str">
        <f aca="false">IF(SUM($AE34)=0,"",ROUND($AE34*SUM($X34),0))</f>
        <v/>
      </c>
      <c r="AG34" s="39" t="str">
        <f aca="false">IF(SUM($AE34)=0,"",ROUND(($AE34-SUM($AF34))*SUM($Z34),0))</f>
        <v/>
      </c>
      <c r="AH34" s="39" t="str">
        <f aca="false">IF(SUM($AE34)=0,"",$AE34-SUM($AF34)-SUM($AG34))</f>
        <v/>
      </c>
      <c r="AI34" s="88" t="str">
        <f aca="false">IF(SUM($AC34)=0,"",INDEX(Cascade!$BG:$BG,MATCH($E34,Cascade!$E:$E,0)))</f>
        <v/>
      </c>
      <c r="AJ34" s="39" t="str">
        <f aca="false">$AB34</f>
        <v/>
      </c>
      <c r="AK34" s="39" t="str">
        <f aca="false">IF(SUM($AC34)=0,"",IF(AND($AI34="",SUM($AC34)&gt;0),"&lt;- Enter Linkage Rate",ROUND($AC34*$AI34,0)))</f>
        <v/>
      </c>
      <c r="AL34" s="39" t="str">
        <f aca="false">IF(SUM($AF34,$AG34)=0,"",SUM($AF34,$AG34))</f>
        <v/>
      </c>
      <c r="AM34" s="39" t="str">
        <f aca="false">$AF34</f>
        <v/>
      </c>
      <c r="AN34" s="39" t="str">
        <f aca="false">IF(SUM($AG34)=0,"",ROUND($AG34*SUM($AI34),0))</f>
        <v/>
      </c>
      <c r="AO34" s="10" t="str">
        <f aca="false">IFERROR(1/(1/MAX(SUM($T34)-SUM($AB34,$AC34),$AD34)),"")</f>
        <v/>
      </c>
      <c r="AP34" s="88"/>
      <c r="AQ34" s="88" t="str">
        <f aca="false">IF($AP34="","",$AP34)</f>
        <v/>
      </c>
      <c r="AR34" s="88" t="str">
        <f aca="false">IF(SUM($AO34)=0,"",INDEX(Cascade!$BG:$BG,MATCH($E34,Cascade!$E:$E,0)))</f>
        <v/>
      </c>
      <c r="AS34" s="39" t="str">
        <f aca="false">IF(SUM($AO34)=0,"",IF(AND(SUM($AO34)&gt;0,$AQ34=""),"ENTER YIELD RATE",ROUND($AO34*$AQ34,0)))</f>
        <v/>
      </c>
      <c r="AT34" s="39" t="str">
        <f aca="false">IF(SUM($AO34)=0,"",$AO34-SUM($AS34))</f>
        <v/>
      </c>
      <c r="AU34" s="10" t="str">
        <f aca="false">IF(SUM($AS34)=0,"",ROUND($AS34*$AR34,0))</f>
        <v/>
      </c>
      <c r="AV34" s="10" t="str">
        <f aca="false">IFERROR(1/(1/SUM($AC34,$AB34,$AS34)),"")</f>
        <v/>
      </c>
      <c r="AW34" s="10" t="str">
        <f aca="false">IFERROR(1/(1/INDEX(Cascade!$BH:$BH,MATCH($E34,Cascade!$E:$E,0))),"")</f>
        <v/>
      </c>
      <c r="AX34" s="10" t="str">
        <f aca="false">IF(SUM($AC34)=0,"",$AC34)</f>
        <v/>
      </c>
      <c r="AY34" s="10" t="str">
        <f aca="false">IF(SUM($AS34)=0,"",$AS34)</f>
        <v/>
      </c>
      <c r="AZ34" s="10" t="str">
        <f aca="false">IFERROR(1/(1/INDEX(TB!$P:$P,MATCH($E34,TB!$E:$E,0))),"")</f>
        <v/>
      </c>
      <c r="BA34" s="10" t="str">
        <f aca="false">IFERROR(1/(1/(SUM($AW34)-SUM($AX34:$AZ34))),"")</f>
        <v/>
      </c>
    </row>
    <row r="35" customFormat="false" ht="15" hidden="false" customHeight="false" outlineLevel="0" collapsed="false">
      <c r="A35" s="0" t="str">
        <f aca="false">INDEX(Prioritization!$D:$D,MATCH($B35,Prioritization!$A:$A,0))</f>
        <v>1 - Scale-up: Saturation</v>
      </c>
      <c r="B35" s="0" t="s">
        <v>198</v>
      </c>
      <c r="C35" s="0" t="s">
        <v>364</v>
      </c>
      <c r="D35" s="0" t="s">
        <v>30</v>
      </c>
      <c r="E35" s="0" t="str">
        <f aca="false">B35&amp;"|"&amp;C35&amp;"|"&amp;D35</f>
        <v>Lilongwe District [ScR9iFKAasW]|10-14|Female</v>
      </c>
      <c r="F35" s="10" t="n">
        <f aca="false">IF(LEFT($B35,4)="_Mil","",INDEX(Cascade!$T:$T,MATCH($E35,Cascade!$E:$E,0)))</f>
        <v>1687</v>
      </c>
      <c r="G35" s="10" t="str">
        <f aca="false">IF(LEFT($B35,4)="_Mil","",INDEX(Cascade!$U:$U,MATCH($E35,Cascade!$E:$E,0)))</f>
        <v/>
      </c>
      <c r="H35" s="86" t="n">
        <f aca="false">IF(LEFT($B35,4)="_Mil","",INDEX(Cascade!$W:$W,MATCH($E35,Cascade!$E:$E,0)))</f>
        <v>1552</v>
      </c>
      <c r="I35" s="10" t="n">
        <f aca="false">IF(LEFT($B35,4)="_Mil","",INDEX(Cascade!$Z:$Z,MATCH($E35,Cascade!$E:$E,0)))</f>
        <v>1466</v>
      </c>
      <c r="J35" s="88" t="n">
        <f aca="false">IF(LEFT($B35,4)="_Mil","",INDEX(Cascade!$AA:$AA,MATCH($E35,Cascade!$E:$E,0)))</f>
        <v>1545</v>
      </c>
      <c r="K35" s="39" t="str">
        <f aca="false">IF(LEFT($B35,4)="_Mil","",_xlfn.IFNA(ROUND(INDEX(Spectrum!$N:$N,MATCH(RIGHT($B35,13)&amp;"|"&amp;$C35&amp;"|"&amp;$D35&amp;"|"&amp;K$14&amp;"|"&amp;"CY2023Q3",Spectrum!$R:$R,0)),0),""))</f>
        <v/>
      </c>
      <c r="L35" s="39" t="str">
        <f aca="false">IF(LEFT($B35,4)="_Mil","",_xlfn.IFNA(ROUND(INDEX(Spectrum!$N:$N,MATCH(RIGHT($B35,13)&amp;"|"&amp;$C35&amp;"|"&amp;$D35&amp;"|"&amp;L$14&amp;"|"&amp;"CY2023Q3",Spectrum!$R:$R,0)),0),""))</f>
        <v/>
      </c>
      <c r="M35" s="39" t="str">
        <f aca="false">IF(LEFT($B35,4)="_Mil","",_xlfn.IFNA(ROUND(INDEX(Spectrum!$N:$N,MATCH(RIGHT($B35,13)&amp;"|"&amp;$C35&amp;"|"&amp;$D35&amp;"|"&amp;M$14&amp;"|"&amp;"CY2023Q3",Spectrum!$R:$R,0)),0),""))</f>
        <v/>
      </c>
      <c r="N35" s="39" t="str">
        <f aca="false">IF(LEFT($B35,4)="_Mil","",_xlfn.IFNA(ROUND(INDEX(Spectrum!$N:$N,MATCH(RIGHT($B35,13)&amp;"|"&amp;$C35&amp;"|"&amp;$D35&amp;"|"&amp;N$14&amp;"|"&amp;"CY2023Q3",Spectrum!$R:$R,0)),0),""))</f>
        <v/>
      </c>
      <c r="O35" s="39" t="str">
        <f aca="false">IF(LEFT($B35,4)="_Mil","",_xlfn.IFNA(ROUND(INDEX(Spectrum!$N:$N,MATCH(RIGHT($B35,13)&amp;"|"&amp;$C35&amp;"|"&amp;$D35&amp;"|"&amp;O$14&amp;"|"&amp;"CY2023Q3",Spectrum!$R:$R,0)),0),""))</f>
        <v/>
      </c>
      <c r="P35" s="39" t="str">
        <f aca="false">IF(LEFT($B35,4)="_Mil","",_xlfn.IFNA(ROUND(INDEX(Spectrum!$N:$N,MATCH(RIGHT($B35,13)&amp;"|"&amp;$C35&amp;"|"&amp;$D35&amp;"|"&amp;P$14&amp;"|"&amp;"CY2023Q3",Spectrum!$R:$R,0)),0),""))</f>
        <v/>
      </c>
      <c r="Q35" s="39" t="str">
        <f aca="false">IF(LEFT($B35,4)="_Mil","",_xlfn.IFNA(ROUND(INDEX(Spectrum!$N:$N,MATCH(RIGHT($B35,13)&amp;"|"&amp;$C35&amp;"|"&amp;$D35&amp;"|"&amp;Q$14&amp;"|"&amp;"CY2022Q3",Spectrum!$R:$R,0)),0),""))</f>
        <v/>
      </c>
      <c r="R35" s="10" t="n">
        <v>19</v>
      </c>
      <c r="S35" s="88" t="n">
        <f aca="false">0</f>
        <v>0</v>
      </c>
      <c r="T35" s="39" t="n">
        <f aca="false">IF(SUM($R35)=0,"",ROUND($R35*(1+$S35),0))</f>
        <v>19</v>
      </c>
      <c r="U35" s="88" t="n">
        <f aca="false">IF(LEFT($B35,4)="_Mil","",IF(SUM($K35)=0,IF(SUM($R35)=0,"",1),MIN($R35/$K35,1)))</f>
        <v>1</v>
      </c>
      <c r="V35" s="39" t="n">
        <f aca="false">IF(OR(SUM($T35)=0,LEFT($B35,4)="_Mil"),"",ROUND($T35/$U35,0))</f>
        <v>19</v>
      </c>
      <c r="W35" s="88"/>
      <c r="X35" s="88" t="str">
        <f aca="false">IF(SUM($K35,$W35)=0,"",MAX(IFERROR(SUM($L35)/$K35,0),SUM($W35)))</f>
        <v/>
      </c>
      <c r="Y35" s="88"/>
      <c r="Z35" s="88" t="str">
        <f aca="false">IF(SUM($K35,$Y35)=0,"",MIN(SUM($Y35),IFERROR(SUM($M35)/(SUM($K35)-SUM($L35)),1)))</f>
        <v/>
      </c>
      <c r="AA35" s="10" t="n">
        <f aca="false">$T35</f>
        <v>19</v>
      </c>
      <c r="AB35" s="39" t="str">
        <f aca="false">IF(SUM($AA35)=0,"",IF(AND(SUM($AA35)&gt;0,$X35=""),"ENTER KNOWN POSITIVITY RATE",ROUND($AA35*$X35,0)))</f>
        <v>ENTER KNOWN POSITIVITY RATE</v>
      </c>
      <c r="AC35" s="39" t="str">
        <f aca="false">IF(SUM($AA35)=0,"",IF(AND((SUM($AA35)-SUM($AB35))&gt;0,$Z35=""),"ENTER YIELD RATE",ROUND(($AA35-SUM($AB35))*$Z35,0)))</f>
        <v>ENTER YIELD RATE</v>
      </c>
      <c r="AD35" s="39" t="n">
        <f aca="false">IF(SUM($AA35)=0,"",$AA35-SUM($AB35)-SUM($AC35))</f>
        <v>19</v>
      </c>
      <c r="AE35" s="10" t="n">
        <f aca="false">$V35</f>
        <v>19</v>
      </c>
      <c r="AF35" s="39" t="n">
        <f aca="false">IF(SUM($AE35)=0,"",ROUND($AE35*SUM($X35),0))</f>
        <v>0</v>
      </c>
      <c r="AG35" s="39" t="n">
        <f aca="false">IF(SUM($AE35)=0,"",ROUND(($AE35-SUM($AF35))*SUM($Z35),0))</f>
        <v>0</v>
      </c>
      <c r="AH35" s="39" t="n">
        <f aca="false">IF(SUM($AE35)=0,"",$AE35-SUM($AF35)-SUM($AG35))</f>
        <v>19</v>
      </c>
      <c r="AI35" s="88" t="str">
        <f aca="false">IF(SUM($AC35)=0,"",INDEX(Cascade!$BG:$BG,MATCH($E35,Cascade!$E:$E,0)))</f>
        <v/>
      </c>
      <c r="AJ35" s="39" t="str">
        <f aca="false">$AB35</f>
        <v>ENTER KNOWN POSITIVITY RATE</v>
      </c>
      <c r="AK35" s="39" t="str">
        <f aca="false">IF(SUM($AC35)=0,"",IF(AND($AI35="",SUM($AC35)&gt;0),"&lt;- Enter Linkage Rate",ROUND($AC35*$AI35,0)))</f>
        <v/>
      </c>
      <c r="AL35" s="39" t="str">
        <f aca="false">IF(SUM($AF35,$AG35)=0,"",SUM($AF35,$AG35))</f>
        <v/>
      </c>
      <c r="AM35" s="39" t="n">
        <f aca="false">$AF35</f>
        <v>0</v>
      </c>
      <c r="AN35" s="39" t="str">
        <f aca="false">IF(SUM($AG35)=0,"",ROUND($AG35*SUM($AI35),0))</f>
        <v/>
      </c>
      <c r="AO35" s="10" t="n">
        <f aca="false">IFERROR(1/(1/MAX(SUM($T35)-SUM($AB35,$AC35),$AD35)),"")</f>
        <v>19</v>
      </c>
      <c r="AP35" s="88" t="n">
        <v>0.743211035151035</v>
      </c>
      <c r="AQ35" s="88" t="n">
        <f aca="false">IF($AP35="","",$AP35)</f>
        <v>0.743211035151035</v>
      </c>
      <c r="AR35" s="88" t="n">
        <f aca="false">IF(SUM($AO35)=0,"",INDEX(Cascade!$BG:$BG,MATCH($E35,Cascade!$E:$E,0)))</f>
        <v>0.95</v>
      </c>
      <c r="AS35" s="39" t="n">
        <f aca="false">IF(SUM($AO35)=0,"",IF(AND(SUM($AO35)&gt;0,$AQ35=""),"ENTER YIELD RATE",ROUND($AO35*$AQ35,0)))</f>
        <v>14</v>
      </c>
      <c r="AT35" s="39" t="n">
        <f aca="false">IF(SUM($AO35)=0,"",$AO35-SUM($AS35))</f>
        <v>5</v>
      </c>
      <c r="AU35" s="10" t="n">
        <f aca="false">IF(SUM($AS35)=0,"",ROUND($AS35*$AR35,0))</f>
        <v>13</v>
      </c>
      <c r="AV35" s="10" t="n">
        <f aca="false">IFERROR(1/(1/SUM($AC35,$AB35,$AS35)),"")</f>
        <v>14</v>
      </c>
      <c r="AW35" s="10" t="n">
        <f aca="false">IFERROR(1/(1/INDEX(Cascade!$BH:$BH,MATCH($E35,Cascade!$E:$E,0))),"")</f>
        <v>-431</v>
      </c>
      <c r="AX35" s="10" t="str">
        <f aca="false">IF(SUM($AC35)=0,"",$AC35)</f>
        <v/>
      </c>
      <c r="AY35" s="10" t="n">
        <f aca="false">IF(SUM($AS35)=0,"",$AS35)</f>
        <v>14</v>
      </c>
      <c r="AZ35" s="10" t="str">
        <f aca="false">IFERROR(1/(1/INDEX(TB!$P:$P,MATCH($E35,TB!$E:$E,0))),"")</f>
        <v/>
      </c>
      <c r="BA35" s="10" t="n">
        <f aca="false">IFERROR(1/(1/(SUM($AW35)-SUM($AX35:$AZ35))),"")</f>
        <v>-445</v>
      </c>
    </row>
    <row r="36" customFormat="false" ht="15" hidden="false" customHeight="false" outlineLevel="0" collapsed="false">
      <c r="A36" s="0" t="str">
        <f aca="false">INDEX(Prioritization!$D:$D,MATCH($B36,Prioritization!$A:$A,0))</f>
        <v>1 - Scale-up: Saturation</v>
      </c>
      <c r="B36" s="0" t="s">
        <v>198</v>
      </c>
      <c r="C36" s="0" t="s">
        <v>365</v>
      </c>
      <c r="D36" s="0" t="s">
        <v>30</v>
      </c>
      <c r="E36" s="0" t="str">
        <f aca="false">B36&amp;"|"&amp;C36&amp;"|"&amp;D36</f>
        <v>Lilongwe District [ScR9iFKAasW]|15-24|Female</v>
      </c>
      <c r="F36" s="10" t="n">
        <f aca="false">IF(LEFT($B36,4)="_Mil","",INDEX(Cascade!$T:$T,MATCH($E36,Cascade!$E:$E,0)))</f>
        <v>1885</v>
      </c>
      <c r="G36" s="10" t="str">
        <f aca="false">IF(LEFT($B36,4)="_Mil","",INDEX(Cascade!$U:$U,MATCH($E36,Cascade!$E:$E,0)))</f>
        <v/>
      </c>
      <c r="H36" s="86" t="n">
        <f aca="false">IF(LEFT($B36,4)="_Mil","",INDEX(Cascade!$W:$W,MATCH($E36,Cascade!$E:$E,0)))</f>
        <v>1802</v>
      </c>
      <c r="I36" s="10" t="n">
        <f aca="false">IF(LEFT($B36,4)="_Mil","",INDEX(Cascade!$Z:$Z,MATCH($E36,Cascade!$E:$E,0)))</f>
        <v>563</v>
      </c>
      <c r="J36" s="88" t="n">
        <f aca="false">IF(LEFT($B36,4)="_Mil","",INDEX(Cascade!$AA:$AA,MATCH($E36,Cascade!$E:$E,0)))</f>
        <v>1520</v>
      </c>
      <c r="K36" s="39" t="n">
        <f aca="false">IF(LEFT($B36,4)="_Mil","",_xlfn.IFNA(ROUND(INDEX(Spectrum!$N:$N,MATCH(RIGHT($B36,13)&amp;"|"&amp;$C36&amp;"|"&amp;$D36&amp;"|"&amp;K$14&amp;"|"&amp;"CY2023Q3",Spectrum!$R:$R,0)),0),""))</f>
        <v>555</v>
      </c>
      <c r="L36" s="39" t="str">
        <f aca="false">IF(LEFT($B36,4)="_Mil","",_xlfn.IFNA(ROUND(INDEX(Spectrum!$N:$N,MATCH(RIGHT($B36,13)&amp;"|"&amp;$C36&amp;"|"&amp;$D36&amp;"|"&amp;L$14&amp;"|"&amp;"CY2023Q3",Spectrum!$R:$R,0)),0),""))</f>
        <v/>
      </c>
      <c r="M36" s="39" t="n">
        <f aca="false">IF(LEFT($B36,4)="_Mil","",_xlfn.IFNA(ROUND(INDEX(Spectrum!$N:$N,MATCH(RIGHT($B36,13)&amp;"|"&amp;$C36&amp;"|"&amp;$D36&amp;"|"&amp;M$14&amp;"|"&amp;"CY2023Q3",Spectrum!$R:$R,0)),0),""))</f>
        <v>1767</v>
      </c>
      <c r="N36" s="39" t="n">
        <f aca="false">IF(LEFT($B36,4)="_Mil","",_xlfn.IFNA(ROUND(INDEX(Spectrum!$N:$N,MATCH(RIGHT($B36,13)&amp;"|"&amp;$C36&amp;"|"&amp;$D36&amp;"|"&amp;N$14&amp;"|"&amp;"CY2023Q3",Spectrum!$R:$R,0)),0),""))</f>
        <v>970</v>
      </c>
      <c r="O36" s="39" t="n">
        <f aca="false">IF(LEFT($B36,4)="_Mil","",_xlfn.IFNA(ROUND(INDEX(Spectrum!$N:$N,MATCH(RIGHT($B36,13)&amp;"|"&amp;$C36&amp;"|"&amp;$D36&amp;"|"&amp;O$14&amp;"|"&amp;"CY2023Q3",Spectrum!$R:$R,0)),0),""))</f>
        <v>1745</v>
      </c>
      <c r="P36" s="39" t="n">
        <f aca="false">IF(LEFT($B36,4)="_Mil","",_xlfn.IFNA(ROUND(INDEX(Spectrum!$N:$N,MATCH(RIGHT($B36,13)&amp;"|"&amp;$C36&amp;"|"&amp;$D36&amp;"|"&amp;P$14&amp;"|"&amp;"CY2023Q3",Spectrum!$R:$R,0)),0),""))</f>
        <v>1584</v>
      </c>
      <c r="Q36" s="39" t="str">
        <f aca="false">IF(LEFT($B36,4)="_Mil","",_xlfn.IFNA(ROUND(INDEX(Spectrum!$N:$N,MATCH(RIGHT($B36,13)&amp;"|"&amp;$C36&amp;"|"&amp;$D36&amp;"|"&amp;Q$14&amp;"|"&amp;"CY2022Q3",Spectrum!$R:$R,0)),0),""))</f>
        <v/>
      </c>
      <c r="R36" s="10"/>
      <c r="S36" s="88" t="n">
        <f aca="false">0</f>
        <v>0</v>
      </c>
      <c r="T36" s="39" t="str">
        <f aca="false">IF(SUM($R36)=0,"",ROUND($R36*(1+$S36),0))</f>
        <v/>
      </c>
      <c r="U36" s="88" t="n">
        <f aca="false">IF(LEFT($B36,4)="_Mil","",IF(SUM($K36)=0,IF(SUM($R36)=0,"",1),MIN($R36/$K36,1)))</f>
        <v>0</v>
      </c>
      <c r="V36" s="39" t="str">
        <f aca="false">IF(OR(SUM($T36)=0,LEFT($B36,4)="_Mil"),"",ROUND($T36/$U36,0))</f>
        <v/>
      </c>
      <c r="W36" s="88"/>
      <c r="X36" s="88" t="n">
        <f aca="false">IF(SUM($K36,$W36)=0,"",MAX(IFERROR(SUM($L36)/$K36,0),SUM($W36)))</f>
        <v>0</v>
      </c>
      <c r="Y36" s="88"/>
      <c r="Z36" s="88" t="n">
        <f aca="false">IF(SUM($K36,$Y36)=0,"",MIN(SUM($Y36),IFERROR(SUM($M36)/(SUM($K36)-SUM($L36)),1)))</f>
        <v>0</v>
      </c>
      <c r="AA36" s="10" t="str">
        <f aca="false">$T36</f>
        <v/>
      </c>
      <c r="AB36" s="39" t="str">
        <f aca="false">IF(SUM($AA36)=0,"",IF(AND(SUM($AA36)&gt;0,$X36=""),"ENTER KNOWN POSITIVITY RATE",ROUND($AA36*$X36,0)))</f>
        <v/>
      </c>
      <c r="AC36" s="39" t="str">
        <f aca="false">IF(SUM($AA36)=0,"",IF(AND((SUM($AA36)-SUM($AB36))&gt;0,$Z36=""),"ENTER YIELD RATE",ROUND(($AA36-SUM($AB36))*$Z36,0)))</f>
        <v/>
      </c>
      <c r="AD36" s="39" t="str">
        <f aca="false">IF(SUM($AA36)=0,"",$AA36-SUM($AB36)-SUM($AC36))</f>
        <v/>
      </c>
      <c r="AE36" s="10" t="str">
        <f aca="false">$V36</f>
        <v/>
      </c>
      <c r="AF36" s="39" t="str">
        <f aca="false">IF(SUM($AE36)=0,"",ROUND($AE36*SUM($X36),0))</f>
        <v/>
      </c>
      <c r="AG36" s="39" t="str">
        <f aca="false">IF(SUM($AE36)=0,"",ROUND(($AE36-SUM($AF36))*SUM($Z36),0))</f>
        <v/>
      </c>
      <c r="AH36" s="39" t="str">
        <f aca="false">IF(SUM($AE36)=0,"",$AE36-SUM($AF36)-SUM($AG36))</f>
        <v/>
      </c>
      <c r="AI36" s="88" t="str">
        <f aca="false">IF(SUM($AC36)=0,"",INDEX(Cascade!$BG:$BG,MATCH($E36,Cascade!$E:$E,0)))</f>
        <v/>
      </c>
      <c r="AJ36" s="39" t="str">
        <f aca="false">$AB36</f>
        <v/>
      </c>
      <c r="AK36" s="39" t="str">
        <f aca="false">IF(SUM($AC36)=0,"",IF(AND($AI36="",SUM($AC36)&gt;0),"&lt;- Enter Linkage Rate",ROUND($AC36*$AI36,0)))</f>
        <v/>
      </c>
      <c r="AL36" s="39" t="str">
        <f aca="false">IF(SUM($AF36,$AG36)=0,"",SUM($AF36,$AG36))</f>
        <v/>
      </c>
      <c r="AM36" s="39" t="str">
        <f aca="false">$AF36</f>
        <v/>
      </c>
      <c r="AN36" s="39" t="str">
        <f aca="false">IF(SUM($AG36)=0,"",ROUND($AG36*SUM($AI36),0))</f>
        <v/>
      </c>
      <c r="AO36" s="10" t="str">
        <f aca="false">IFERROR(1/(1/MAX(SUM($T36)-SUM($AB36,$AC36),$AD36)),"")</f>
        <v/>
      </c>
      <c r="AP36" s="88"/>
      <c r="AQ36" s="88" t="str">
        <f aca="false">IF($AP36="","",$AP36)</f>
        <v/>
      </c>
      <c r="AR36" s="88" t="str">
        <f aca="false">IF(SUM($AO36)=0,"",INDEX(Cascade!$BG:$BG,MATCH($E36,Cascade!$E:$E,0)))</f>
        <v/>
      </c>
      <c r="AS36" s="39" t="str">
        <f aca="false">IF(SUM($AO36)=0,"",IF(AND(SUM($AO36)&gt;0,$AQ36=""),"ENTER YIELD RATE",ROUND($AO36*$AQ36,0)))</f>
        <v/>
      </c>
      <c r="AT36" s="39" t="str">
        <f aca="false">IF(SUM($AO36)=0,"",$AO36-SUM($AS36))</f>
        <v/>
      </c>
      <c r="AU36" s="10" t="str">
        <f aca="false">IF(SUM($AS36)=0,"",ROUND($AS36*$AR36,0))</f>
        <v/>
      </c>
      <c r="AV36" s="10" t="str">
        <f aca="false">IFERROR(1/(1/SUM($AC36,$AB36,$AS36)),"")</f>
        <v/>
      </c>
      <c r="AW36" s="10" t="str">
        <f aca="false">IFERROR(1/(1/INDEX(Cascade!$BH:$BH,MATCH($E36,Cascade!$E:$E,0))),"")</f>
        <v/>
      </c>
      <c r="AX36" s="10" t="str">
        <f aca="false">IF(SUM($AC36)=0,"",$AC36)</f>
        <v/>
      </c>
      <c r="AY36" s="10" t="str">
        <f aca="false">IF(SUM($AS36)=0,"",$AS36)</f>
        <v/>
      </c>
      <c r="AZ36" s="10" t="str">
        <f aca="false">IFERROR(1/(1/INDEX(TB!$P:$P,MATCH($E36,TB!$E:$E,0))),"")</f>
        <v/>
      </c>
      <c r="BA36" s="10" t="str">
        <f aca="false">IFERROR(1/(1/(SUM($AW36)-SUM($AX36:$AZ36))),"")</f>
        <v/>
      </c>
    </row>
    <row r="37" customFormat="false" ht="15" hidden="false" customHeight="false" outlineLevel="0" collapsed="false">
      <c r="A37" s="0" t="str">
        <f aca="false">INDEX(Prioritization!$D:$D,MATCH($B37,Prioritization!$A:$A,0))</f>
        <v>1 - Scale-up: Saturation</v>
      </c>
      <c r="B37" s="0" t="s">
        <v>198</v>
      </c>
      <c r="C37" s="0" t="s">
        <v>366</v>
      </c>
      <c r="D37" s="0" t="s">
        <v>30</v>
      </c>
      <c r="E37" s="0" t="str">
        <f aca="false">B37&amp;"|"&amp;C37&amp;"|"&amp;D37</f>
        <v>Lilongwe District [ScR9iFKAasW]|25-34|Female</v>
      </c>
      <c r="F37" s="10" t="n">
        <f aca="false">IF(LEFT($B37,4)="_Mil","",INDEX(Cascade!$T:$T,MATCH($E37,Cascade!$E:$E,0)))</f>
        <v>1646</v>
      </c>
      <c r="G37" s="10" t="str">
        <f aca="false">IF(LEFT($B37,4)="_Mil","",INDEX(Cascade!$U:$U,MATCH($E37,Cascade!$E:$E,0)))</f>
        <v/>
      </c>
      <c r="H37" s="86" t="n">
        <f aca="false">IF(LEFT($B37,4)="_Mil","",INDEX(Cascade!$W:$W,MATCH($E37,Cascade!$E:$E,0)))</f>
        <v>812</v>
      </c>
      <c r="I37" s="10" t="n">
        <f aca="false">IF(LEFT($B37,4)="_Mil","",INDEX(Cascade!$Z:$Z,MATCH($E37,Cascade!$E:$E,0)))</f>
        <v>1500</v>
      </c>
      <c r="J37" s="88" t="n">
        <f aca="false">IF(LEFT($B37,4)="_Mil","",INDEX(Cascade!$AA:$AA,MATCH($E37,Cascade!$E:$E,0)))</f>
        <v>1656</v>
      </c>
      <c r="K37" s="39" t="n">
        <f aca="false">IF(LEFT($B37,4)="_Mil","",_xlfn.IFNA(ROUND(INDEX(Spectrum!$N:$N,MATCH(RIGHT($B37,13)&amp;"|"&amp;$C37&amp;"|"&amp;$D37&amp;"|"&amp;K$14&amp;"|"&amp;"CY2023Q3",Spectrum!$R:$R,0)),0),""))</f>
        <v>1491</v>
      </c>
      <c r="L37" s="39" t="str">
        <f aca="false">IF(LEFT($B37,4)="_Mil","",_xlfn.IFNA(ROUND(INDEX(Spectrum!$N:$N,MATCH(RIGHT($B37,13)&amp;"|"&amp;$C37&amp;"|"&amp;$D37&amp;"|"&amp;L$14&amp;"|"&amp;"CY2023Q3",Spectrum!$R:$R,0)),0),""))</f>
        <v/>
      </c>
      <c r="M37" s="39" t="n">
        <f aca="false">IF(LEFT($B37,4)="_Mil","",_xlfn.IFNA(ROUND(INDEX(Spectrum!$N:$N,MATCH(RIGHT($B37,13)&amp;"|"&amp;$C37&amp;"|"&amp;$D37&amp;"|"&amp;M$14&amp;"|"&amp;"CY2023Q3",Spectrum!$R:$R,0)),0),""))</f>
        <v>1885</v>
      </c>
      <c r="N37" s="39" t="n">
        <f aca="false">IF(LEFT($B37,4)="_Mil","",_xlfn.IFNA(ROUND(INDEX(Spectrum!$N:$N,MATCH(RIGHT($B37,13)&amp;"|"&amp;$C37&amp;"|"&amp;$D37&amp;"|"&amp;N$14&amp;"|"&amp;"CY2023Q3",Spectrum!$R:$R,0)),0),""))</f>
        <v>2000</v>
      </c>
      <c r="O37" s="39" t="n">
        <f aca="false">IF(LEFT($B37,4)="_Mil","",_xlfn.IFNA(ROUND(INDEX(Spectrum!$N:$N,MATCH(RIGHT($B37,13)&amp;"|"&amp;$C37&amp;"|"&amp;$D37&amp;"|"&amp;O$14&amp;"|"&amp;"CY2023Q3",Spectrum!$R:$R,0)),0),""))</f>
        <v>1511</v>
      </c>
      <c r="P37" s="39" t="n">
        <f aca="false">IF(LEFT($B37,4)="_Mil","",_xlfn.IFNA(ROUND(INDEX(Spectrum!$N:$N,MATCH(RIGHT($B37,13)&amp;"|"&amp;$C37&amp;"|"&amp;$D37&amp;"|"&amp;P$14&amp;"|"&amp;"CY2023Q3",Spectrum!$R:$R,0)),0),""))</f>
        <v>1455</v>
      </c>
      <c r="Q37" s="39" t="str">
        <f aca="false">IF(LEFT($B37,4)="_Mil","",_xlfn.IFNA(ROUND(INDEX(Spectrum!$N:$N,MATCH(RIGHT($B37,13)&amp;"|"&amp;$C37&amp;"|"&amp;$D37&amp;"|"&amp;Q$14&amp;"|"&amp;"CY2022Q3",Spectrum!$R:$R,0)),0),""))</f>
        <v/>
      </c>
      <c r="R37" s="10"/>
      <c r="S37" s="88" t="n">
        <f aca="false">0</f>
        <v>0</v>
      </c>
      <c r="T37" s="39" t="str">
        <f aca="false">IF(SUM($R37)=0,"",ROUND($R37*(1+$S37),0))</f>
        <v/>
      </c>
      <c r="U37" s="88" t="n">
        <f aca="false">IF(LEFT($B37,4)="_Mil","",IF(SUM($K37)=0,IF(SUM($R37)=0,"",1),MIN($R37/$K37,1)))</f>
        <v>0</v>
      </c>
      <c r="V37" s="39" t="str">
        <f aca="false">IF(OR(SUM($T37)=0,LEFT($B37,4)="_Mil"),"",ROUND($T37/$U37,0))</f>
        <v/>
      </c>
      <c r="W37" s="88"/>
      <c r="X37" s="88" t="n">
        <f aca="false">IF(SUM($K37,$W37)=0,"",MAX(IFERROR(SUM($L37)/$K37,0),SUM($W37)))</f>
        <v>0</v>
      </c>
      <c r="Y37" s="88"/>
      <c r="Z37" s="88" t="n">
        <f aca="false">IF(SUM($K37,$Y37)=0,"",MIN(SUM($Y37),IFERROR(SUM($M37)/(SUM($K37)-SUM($L37)),1)))</f>
        <v>0</v>
      </c>
      <c r="AA37" s="10" t="str">
        <f aca="false">$T37</f>
        <v/>
      </c>
      <c r="AB37" s="39" t="str">
        <f aca="false">IF(SUM($AA37)=0,"",IF(AND(SUM($AA37)&gt;0,$X37=""),"ENTER KNOWN POSITIVITY RATE",ROUND($AA37*$X37,0)))</f>
        <v/>
      </c>
      <c r="AC37" s="39" t="str">
        <f aca="false">IF(SUM($AA37)=0,"",IF(AND((SUM($AA37)-SUM($AB37))&gt;0,$Z37=""),"ENTER YIELD RATE",ROUND(($AA37-SUM($AB37))*$Z37,0)))</f>
        <v/>
      </c>
      <c r="AD37" s="39" t="str">
        <f aca="false">IF(SUM($AA37)=0,"",$AA37-SUM($AB37)-SUM($AC37))</f>
        <v/>
      </c>
      <c r="AE37" s="10" t="str">
        <f aca="false">$V37</f>
        <v/>
      </c>
      <c r="AF37" s="39" t="str">
        <f aca="false">IF(SUM($AE37)=0,"",ROUND($AE37*SUM($X37),0))</f>
        <v/>
      </c>
      <c r="AG37" s="39" t="str">
        <f aca="false">IF(SUM($AE37)=0,"",ROUND(($AE37-SUM($AF37))*SUM($Z37),0))</f>
        <v/>
      </c>
      <c r="AH37" s="39" t="str">
        <f aca="false">IF(SUM($AE37)=0,"",$AE37-SUM($AF37)-SUM($AG37))</f>
        <v/>
      </c>
      <c r="AI37" s="88" t="str">
        <f aca="false">IF(SUM($AC37)=0,"",INDEX(Cascade!$BG:$BG,MATCH($E37,Cascade!$E:$E,0)))</f>
        <v/>
      </c>
      <c r="AJ37" s="39" t="str">
        <f aca="false">$AB37</f>
        <v/>
      </c>
      <c r="AK37" s="39" t="str">
        <f aca="false">IF(SUM($AC37)=0,"",IF(AND($AI37="",SUM($AC37)&gt;0),"&lt;- Enter Linkage Rate",ROUND($AC37*$AI37,0)))</f>
        <v/>
      </c>
      <c r="AL37" s="39" t="str">
        <f aca="false">IF(SUM($AF37,$AG37)=0,"",SUM($AF37,$AG37))</f>
        <v/>
      </c>
      <c r="AM37" s="39" t="str">
        <f aca="false">$AF37</f>
        <v/>
      </c>
      <c r="AN37" s="39" t="str">
        <f aca="false">IF(SUM($AG37)=0,"",ROUND($AG37*SUM($AI37),0))</f>
        <v/>
      </c>
      <c r="AO37" s="10" t="str">
        <f aca="false">IFERROR(1/(1/MAX(SUM($T37)-SUM($AB37,$AC37),$AD37)),"")</f>
        <v/>
      </c>
      <c r="AP37" s="88"/>
      <c r="AQ37" s="88" t="str">
        <f aca="false">IF($AP37="","",$AP37)</f>
        <v/>
      </c>
      <c r="AR37" s="88" t="str">
        <f aca="false">IF(SUM($AO37)=0,"",INDEX(Cascade!$BG:$BG,MATCH($E37,Cascade!$E:$E,0)))</f>
        <v/>
      </c>
      <c r="AS37" s="39" t="str">
        <f aca="false">IF(SUM($AO37)=0,"",IF(AND(SUM($AO37)&gt;0,$AQ37=""),"ENTER YIELD RATE",ROUND($AO37*$AQ37,0)))</f>
        <v/>
      </c>
      <c r="AT37" s="39" t="str">
        <f aca="false">IF(SUM($AO37)=0,"",$AO37-SUM($AS37))</f>
        <v/>
      </c>
      <c r="AU37" s="10" t="str">
        <f aca="false">IF(SUM($AS37)=0,"",ROUND($AS37*$AR37,0))</f>
        <v/>
      </c>
      <c r="AV37" s="10" t="str">
        <f aca="false">IFERROR(1/(1/SUM($AC37,$AB37,$AS37)),"")</f>
        <v/>
      </c>
      <c r="AW37" s="10" t="str">
        <f aca="false">IFERROR(1/(1/INDEX(Cascade!$BH:$BH,MATCH($E37,Cascade!$E:$E,0))),"")</f>
        <v/>
      </c>
      <c r="AX37" s="10" t="str">
        <f aca="false">IF(SUM($AC37)=0,"",$AC37)</f>
        <v/>
      </c>
      <c r="AY37" s="10" t="str">
        <f aca="false">IF(SUM($AS37)=0,"",$AS37)</f>
        <v/>
      </c>
      <c r="AZ37" s="10" t="str">
        <f aca="false">IFERROR(1/(1/INDEX(TB!$P:$P,MATCH($E37,TB!$E:$E,0))),"")</f>
        <v/>
      </c>
      <c r="BA37" s="10" t="str">
        <f aca="false">IFERROR(1/(1/(SUM($AW37)-SUM($AX37:$AZ37))),"")</f>
        <v/>
      </c>
    </row>
    <row r="38" customFormat="false" ht="15" hidden="false" customHeight="false" outlineLevel="0" collapsed="false">
      <c r="A38" s="0" t="str">
        <f aca="false">INDEX(Prioritization!$D:$D,MATCH($B38,Prioritization!$A:$A,0))</f>
        <v>1 - Scale-up: Saturation</v>
      </c>
      <c r="B38" s="0" t="s">
        <v>198</v>
      </c>
      <c r="C38" s="0" t="s">
        <v>367</v>
      </c>
      <c r="D38" s="0" t="s">
        <v>30</v>
      </c>
      <c r="E38" s="0" t="str">
        <f aca="false">B38&amp;"|"&amp;C38&amp;"|"&amp;D38</f>
        <v>Lilongwe District [ScR9iFKAasW]|35-49|Female</v>
      </c>
      <c r="F38" s="10" t="n">
        <f aca="false">IF(LEFT($B38,4)="_Mil","",INDEX(Cascade!$T:$T,MATCH($E38,Cascade!$E:$E,0)))</f>
        <v>1574</v>
      </c>
      <c r="G38" s="10" t="str">
        <f aca="false">IF(LEFT($B38,4)="_Mil","",INDEX(Cascade!$U:$U,MATCH($E38,Cascade!$E:$E,0)))</f>
        <v/>
      </c>
      <c r="H38" s="86" t="n">
        <f aca="false">IF(LEFT($B38,4)="_Mil","",INDEX(Cascade!$W:$W,MATCH($E38,Cascade!$E:$E,0)))</f>
        <v>1781</v>
      </c>
      <c r="I38" s="10" t="n">
        <f aca="false">IF(LEFT($B38,4)="_Mil","",INDEX(Cascade!$Z:$Z,MATCH($E38,Cascade!$E:$E,0)))</f>
        <v>1104</v>
      </c>
      <c r="J38" s="88" t="n">
        <f aca="false">IF(LEFT($B38,4)="_Mil","",INDEX(Cascade!$AA:$AA,MATCH($E38,Cascade!$E:$E,0)))</f>
        <v>1181</v>
      </c>
      <c r="K38" s="39" t="n">
        <f aca="false">IF(LEFT($B38,4)="_Mil","",_xlfn.IFNA(ROUND(INDEX(Spectrum!$N:$N,MATCH(RIGHT($B38,13)&amp;"|"&amp;$C38&amp;"|"&amp;$D38&amp;"|"&amp;K$14&amp;"|"&amp;"CY2023Q3",Spectrum!$R:$R,0)),0),""))</f>
        <v>1313</v>
      </c>
      <c r="L38" s="39" t="str">
        <f aca="false">IF(LEFT($B38,4)="_Mil","",_xlfn.IFNA(ROUND(INDEX(Spectrum!$N:$N,MATCH(RIGHT($B38,13)&amp;"|"&amp;$C38&amp;"|"&amp;$D38&amp;"|"&amp;L$14&amp;"|"&amp;"CY2023Q3",Spectrum!$R:$R,0)),0),""))</f>
        <v/>
      </c>
      <c r="M38" s="39" t="n">
        <f aca="false">IF(LEFT($B38,4)="_Mil","",_xlfn.IFNA(ROUND(INDEX(Spectrum!$N:$N,MATCH(RIGHT($B38,13)&amp;"|"&amp;$C38&amp;"|"&amp;$D38&amp;"|"&amp;M$14&amp;"|"&amp;"CY2023Q3",Spectrum!$R:$R,0)),0),""))</f>
        <v>1620</v>
      </c>
      <c r="N38" s="39" t="n">
        <f aca="false">IF(LEFT($B38,4)="_Mil","",_xlfn.IFNA(ROUND(INDEX(Spectrum!$N:$N,MATCH(RIGHT($B38,13)&amp;"|"&amp;$C38&amp;"|"&amp;$D38&amp;"|"&amp;N$14&amp;"|"&amp;"CY2023Q3",Spectrum!$R:$R,0)),0),""))</f>
        <v>897</v>
      </c>
      <c r="O38" s="39" t="n">
        <f aca="false">IF(LEFT($B38,4)="_Mil","",_xlfn.IFNA(ROUND(INDEX(Spectrum!$N:$N,MATCH(RIGHT($B38,13)&amp;"|"&amp;$C38&amp;"|"&amp;$D38&amp;"|"&amp;O$14&amp;"|"&amp;"CY2023Q3",Spectrum!$R:$R,0)),0),""))</f>
        <v>585</v>
      </c>
      <c r="P38" s="39" t="n">
        <f aca="false">IF(LEFT($B38,4)="_Mil","",_xlfn.IFNA(ROUND(INDEX(Spectrum!$N:$N,MATCH(RIGHT($B38,13)&amp;"|"&amp;$C38&amp;"|"&amp;$D38&amp;"|"&amp;P$14&amp;"|"&amp;"CY2023Q3",Spectrum!$R:$R,0)),0),""))</f>
        <v>912</v>
      </c>
      <c r="Q38" s="39" t="str">
        <f aca="false">IF(LEFT($B38,4)="_Mil","",_xlfn.IFNA(ROUND(INDEX(Spectrum!$N:$N,MATCH(RIGHT($B38,13)&amp;"|"&amp;$C38&amp;"|"&amp;$D38&amp;"|"&amp;Q$14&amp;"|"&amp;"CY2022Q3",Spectrum!$R:$R,0)),0),""))</f>
        <v/>
      </c>
      <c r="R38" s="10"/>
      <c r="S38" s="88" t="n">
        <f aca="false">0</f>
        <v>0</v>
      </c>
      <c r="T38" s="39" t="str">
        <f aca="false">IF(SUM($R38)=0,"",ROUND($R38*(1+$S38),0))</f>
        <v/>
      </c>
      <c r="U38" s="88" t="n">
        <f aca="false">IF(LEFT($B38,4)="_Mil","",IF(SUM($K38)=0,IF(SUM($R38)=0,"",1),MIN($R38/$K38,1)))</f>
        <v>0</v>
      </c>
      <c r="V38" s="39" t="str">
        <f aca="false">IF(OR(SUM($T38)=0,LEFT($B38,4)="_Mil"),"",ROUND($T38/$U38,0))</f>
        <v/>
      </c>
      <c r="W38" s="88"/>
      <c r="X38" s="88" t="n">
        <f aca="false">IF(SUM($K38,$W38)=0,"",MAX(IFERROR(SUM($L38)/$K38,0),SUM($W38)))</f>
        <v>0</v>
      </c>
      <c r="Y38" s="88"/>
      <c r="Z38" s="88" t="n">
        <f aca="false">IF(SUM($K38,$Y38)=0,"",MIN(SUM($Y38),IFERROR(SUM($M38)/(SUM($K38)-SUM($L38)),1)))</f>
        <v>0</v>
      </c>
      <c r="AA38" s="10" t="str">
        <f aca="false">$T38</f>
        <v/>
      </c>
      <c r="AB38" s="39" t="str">
        <f aca="false">IF(SUM($AA38)=0,"",IF(AND(SUM($AA38)&gt;0,$X38=""),"ENTER KNOWN POSITIVITY RATE",ROUND($AA38*$X38,0)))</f>
        <v/>
      </c>
      <c r="AC38" s="39" t="str">
        <f aca="false">IF(SUM($AA38)=0,"",IF(AND((SUM($AA38)-SUM($AB38))&gt;0,$Z38=""),"ENTER YIELD RATE",ROUND(($AA38-SUM($AB38))*$Z38,0)))</f>
        <v/>
      </c>
      <c r="AD38" s="39" t="str">
        <f aca="false">IF(SUM($AA38)=0,"",$AA38-SUM($AB38)-SUM($AC38))</f>
        <v/>
      </c>
      <c r="AE38" s="10" t="str">
        <f aca="false">$V38</f>
        <v/>
      </c>
      <c r="AF38" s="39" t="str">
        <f aca="false">IF(SUM($AE38)=0,"",ROUND($AE38*SUM($X38),0))</f>
        <v/>
      </c>
      <c r="AG38" s="39" t="str">
        <f aca="false">IF(SUM($AE38)=0,"",ROUND(($AE38-SUM($AF38))*SUM($Z38),0))</f>
        <v/>
      </c>
      <c r="AH38" s="39" t="str">
        <f aca="false">IF(SUM($AE38)=0,"",$AE38-SUM($AF38)-SUM($AG38))</f>
        <v/>
      </c>
      <c r="AI38" s="88" t="str">
        <f aca="false">IF(SUM($AC38)=0,"",INDEX(Cascade!$BG:$BG,MATCH($E38,Cascade!$E:$E,0)))</f>
        <v/>
      </c>
      <c r="AJ38" s="39" t="str">
        <f aca="false">$AB38</f>
        <v/>
      </c>
      <c r="AK38" s="39" t="str">
        <f aca="false">IF(SUM($AC38)=0,"",IF(AND($AI38="",SUM($AC38)&gt;0),"&lt;- Enter Linkage Rate",ROUND($AC38*$AI38,0)))</f>
        <v/>
      </c>
      <c r="AL38" s="39" t="str">
        <f aca="false">IF(SUM($AF38,$AG38)=0,"",SUM($AF38,$AG38))</f>
        <v/>
      </c>
      <c r="AM38" s="39" t="str">
        <f aca="false">$AF38</f>
        <v/>
      </c>
      <c r="AN38" s="39" t="str">
        <f aca="false">IF(SUM($AG38)=0,"",ROUND($AG38*SUM($AI38),0))</f>
        <v/>
      </c>
      <c r="AO38" s="10" t="str">
        <f aca="false">IFERROR(1/(1/MAX(SUM($T38)-SUM($AB38,$AC38),$AD38)),"")</f>
        <v/>
      </c>
      <c r="AP38" s="88"/>
      <c r="AQ38" s="88" t="str">
        <f aca="false">IF($AP38="","",$AP38)</f>
        <v/>
      </c>
      <c r="AR38" s="88" t="str">
        <f aca="false">IF(SUM($AO38)=0,"",INDEX(Cascade!$BG:$BG,MATCH($E38,Cascade!$E:$E,0)))</f>
        <v/>
      </c>
      <c r="AS38" s="39" t="str">
        <f aca="false">IF(SUM($AO38)=0,"",IF(AND(SUM($AO38)&gt;0,$AQ38=""),"ENTER YIELD RATE",ROUND($AO38*$AQ38,0)))</f>
        <v/>
      </c>
      <c r="AT38" s="39" t="str">
        <f aca="false">IF(SUM($AO38)=0,"",$AO38-SUM($AS38))</f>
        <v/>
      </c>
      <c r="AU38" s="10" t="str">
        <f aca="false">IF(SUM($AS38)=0,"",ROUND($AS38*$AR38,0))</f>
        <v/>
      </c>
      <c r="AV38" s="10" t="str">
        <f aca="false">IFERROR(1/(1/SUM($AC38,$AB38,$AS38)),"")</f>
        <v/>
      </c>
      <c r="AW38" s="10" t="str">
        <f aca="false">IFERROR(1/(1/INDEX(Cascade!$BH:$BH,MATCH($E38,Cascade!$E:$E,0))),"")</f>
        <v/>
      </c>
      <c r="AX38" s="10" t="str">
        <f aca="false">IF(SUM($AC38)=0,"",$AC38)</f>
        <v/>
      </c>
      <c r="AY38" s="10" t="str">
        <f aca="false">IF(SUM($AS38)=0,"",$AS38)</f>
        <v/>
      </c>
      <c r="AZ38" s="10" t="str">
        <f aca="false">IFERROR(1/(1/INDEX(TB!$P:$P,MATCH($E38,TB!$E:$E,0))),"")</f>
        <v/>
      </c>
      <c r="BA38" s="10" t="str">
        <f aca="false">IFERROR(1/(1/(SUM($AW38)-SUM($AX38:$AZ38))),"")</f>
        <v/>
      </c>
    </row>
    <row r="39" customFormat="false" ht="15" hidden="false" customHeight="false" outlineLevel="0" collapsed="false">
      <c r="A39" s="0" t="str">
        <f aca="false">INDEX(Prioritization!$D:$D,MATCH($B39,Prioritization!$A:$A,0))</f>
        <v>1 - Scale-up: Saturation</v>
      </c>
      <c r="B39" s="0" t="s">
        <v>198</v>
      </c>
      <c r="C39" s="0" t="s">
        <v>368</v>
      </c>
      <c r="D39" s="0" t="s">
        <v>30</v>
      </c>
      <c r="E39" s="0" t="str">
        <f aca="false">B39&amp;"|"&amp;C39&amp;"|"&amp;D39</f>
        <v>Lilongwe District [ScR9iFKAasW]|50+|Female</v>
      </c>
      <c r="F39" s="10" t="n">
        <f aca="false">IF(LEFT($B39,4)="_Mil","",INDEX(Cascade!$T:$T,MATCH($E39,Cascade!$E:$E,0)))</f>
        <v>1581</v>
      </c>
      <c r="G39" s="10" t="str">
        <f aca="false">IF(LEFT($B39,4)="_Mil","",INDEX(Cascade!$U:$U,MATCH($E39,Cascade!$E:$E,0)))</f>
        <v/>
      </c>
      <c r="H39" s="86" t="n">
        <f aca="false">IF(LEFT($B39,4)="_Mil","",INDEX(Cascade!$W:$W,MATCH($E39,Cascade!$E:$E,0)))</f>
        <v>1836</v>
      </c>
      <c r="I39" s="10" t="n">
        <f aca="false">IF(LEFT($B39,4)="_Mil","",INDEX(Cascade!$Z:$Z,MATCH($E39,Cascade!$E:$E,0)))</f>
        <v>1370</v>
      </c>
      <c r="J39" s="88" t="n">
        <f aca="false">IF(LEFT($B39,4)="_Mil","",INDEX(Cascade!$AA:$AA,MATCH($E39,Cascade!$E:$E,0)))</f>
        <v>1925</v>
      </c>
      <c r="K39" s="39" t="str">
        <f aca="false">IF(LEFT($B39,4)="_Mil","",_xlfn.IFNA(ROUND(INDEX(Spectrum!$N:$N,MATCH(RIGHT($B39,13)&amp;"|"&amp;$C39&amp;"|"&amp;$D39&amp;"|"&amp;K$14&amp;"|"&amp;"CY2023Q3",Spectrum!$R:$R,0)),0),""))</f>
        <v/>
      </c>
      <c r="L39" s="39" t="str">
        <f aca="false">IF(LEFT($B39,4)="_Mil","",_xlfn.IFNA(ROUND(INDEX(Spectrum!$N:$N,MATCH(RIGHT($B39,13)&amp;"|"&amp;$C39&amp;"|"&amp;$D39&amp;"|"&amp;L$14&amp;"|"&amp;"CY2023Q3",Spectrum!$R:$R,0)),0),""))</f>
        <v/>
      </c>
      <c r="M39" s="39" t="str">
        <f aca="false">IF(LEFT($B39,4)="_Mil","",_xlfn.IFNA(ROUND(INDEX(Spectrum!$N:$N,MATCH(RIGHT($B39,13)&amp;"|"&amp;$C39&amp;"|"&amp;$D39&amp;"|"&amp;M$14&amp;"|"&amp;"CY2023Q3",Spectrum!$R:$R,0)),0),""))</f>
        <v/>
      </c>
      <c r="N39" s="39" t="str">
        <f aca="false">IF(LEFT($B39,4)="_Mil","",_xlfn.IFNA(ROUND(INDEX(Spectrum!$N:$N,MATCH(RIGHT($B39,13)&amp;"|"&amp;$C39&amp;"|"&amp;$D39&amp;"|"&amp;N$14&amp;"|"&amp;"CY2023Q3",Spectrum!$R:$R,0)),0),""))</f>
        <v/>
      </c>
      <c r="O39" s="39" t="str">
        <f aca="false">IF(LEFT($B39,4)="_Mil","",_xlfn.IFNA(ROUND(INDEX(Spectrum!$N:$N,MATCH(RIGHT($B39,13)&amp;"|"&amp;$C39&amp;"|"&amp;$D39&amp;"|"&amp;O$14&amp;"|"&amp;"CY2023Q3",Spectrum!$R:$R,0)),0),""))</f>
        <v/>
      </c>
      <c r="P39" s="39" t="str">
        <f aca="false">IF(LEFT($B39,4)="_Mil","",_xlfn.IFNA(ROUND(INDEX(Spectrum!$N:$N,MATCH(RIGHT($B39,13)&amp;"|"&amp;$C39&amp;"|"&amp;$D39&amp;"|"&amp;P$14&amp;"|"&amp;"CY2023Q3",Spectrum!$R:$R,0)),0),""))</f>
        <v/>
      </c>
      <c r="Q39" s="39" t="str">
        <f aca="false">IF(LEFT($B39,4)="_Mil","",_xlfn.IFNA(ROUND(INDEX(Spectrum!$N:$N,MATCH(RIGHT($B39,13)&amp;"|"&amp;$C39&amp;"|"&amp;$D39&amp;"|"&amp;Q$14&amp;"|"&amp;"CY2022Q3",Spectrum!$R:$R,0)),0),""))</f>
        <v/>
      </c>
      <c r="R39" s="10"/>
      <c r="S39" s="88" t="n">
        <f aca="false">0</f>
        <v>0</v>
      </c>
      <c r="T39" s="39" t="str">
        <f aca="false">IF(SUM($R39)=0,"",ROUND($R39*(1+$S39),0))</f>
        <v/>
      </c>
      <c r="U39" s="88" t="str">
        <f aca="false">IF(LEFT($B39,4)="_Mil","",IF(SUM($K39)=0,IF(SUM($R39)=0,"",1),MIN($R39/$K39,1)))</f>
        <v/>
      </c>
      <c r="V39" s="39" t="str">
        <f aca="false">IF(OR(SUM($T39)=0,LEFT($B39,4)="_Mil"),"",ROUND($T39/$U39,0))</f>
        <v/>
      </c>
      <c r="W39" s="88"/>
      <c r="X39" s="88" t="str">
        <f aca="false">IF(SUM($K39,$W39)=0,"",MAX(IFERROR(SUM($L39)/$K39,0),SUM($W39)))</f>
        <v/>
      </c>
      <c r="Y39" s="88"/>
      <c r="Z39" s="88" t="str">
        <f aca="false">IF(SUM($K39,$Y39)=0,"",MIN(SUM($Y39),IFERROR(SUM($M39)/(SUM($K39)-SUM($L39)),1)))</f>
        <v/>
      </c>
      <c r="AA39" s="10" t="str">
        <f aca="false">$T39</f>
        <v/>
      </c>
      <c r="AB39" s="39" t="str">
        <f aca="false">IF(SUM($AA39)=0,"",IF(AND(SUM($AA39)&gt;0,$X39=""),"ENTER KNOWN POSITIVITY RATE",ROUND($AA39*$X39,0)))</f>
        <v/>
      </c>
      <c r="AC39" s="39" t="str">
        <f aca="false">IF(SUM($AA39)=0,"",IF(AND((SUM($AA39)-SUM($AB39))&gt;0,$Z39=""),"ENTER YIELD RATE",ROUND(($AA39-SUM($AB39))*$Z39,0)))</f>
        <v/>
      </c>
      <c r="AD39" s="39" t="str">
        <f aca="false">IF(SUM($AA39)=0,"",$AA39-SUM($AB39)-SUM($AC39))</f>
        <v/>
      </c>
      <c r="AE39" s="10" t="str">
        <f aca="false">$V39</f>
        <v/>
      </c>
      <c r="AF39" s="39" t="str">
        <f aca="false">IF(SUM($AE39)=0,"",ROUND($AE39*SUM($X39),0))</f>
        <v/>
      </c>
      <c r="AG39" s="39" t="str">
        <f aca="false">IF(SUM($AE39)=0,"",ROUND(($AE39-SUM($AF39))*SUM($Z39),0))</f>
        <v/>
      </c>
      <c r="AH39" s="39" t="str">
        <f aca="false">IF(SUM($AE39)=0,"",$AE39-SUM($AF39)-SUM($AG39))</f>
        <v/>
      </c>
      <c r="AI39" s="88" t="str">
        <f aca="false">IF(SUM($AC39)=0,"",INDEX(Cascade!$BG:$BG,MATCH($E39,Cascade!$E:$E,0)))</f>
        <v/>
      </c>
      <c r="AJ39" s="39" t="str">
        <f aca="false">$AB39</f>
        <v/>
      </c>
      <c r="AK39" s="39" t="str">
        <f aca="false">IF(SUM($AC39)=0,"",IF(AND($AI39="",SUM($AC39)&gt;0),"&lt;- Enter Linkage Rate",ROUND($AC39*$AI39,0)))</f>
        <v/>
      </c>
      <c r="AL39" s="39" t="str">
        <f aca="false">IF(SUM($AF39,$AG39)=0,"",SUM($AF39,$AG39))</f>
        <v/>
      </c>
      <c r="AM39" s="39" t="str">
        <f aca="false">$AF39</f>
        <v/>
      </c>
      <c r="AN39" s="39" t="str">
        <f aca="false">IF(SUM($AG39)=0,"",ROUND($AG39*SUM($AI39),0))</f>
        <v/>
      </c>
      <c r="AO39" s="10" t="str">
        <f aca="false">IFERROR(1/(1/MAX(SUM($T39)-SUM($AB39,$AC39),$AD39)),"")</f>
        <v/>
      </c>
      <c r="AP39" s="88"/>
      <c r="AQ39" s="88" t="str">
        <f aca="false">IF($AP39="","",$AP39)</f>
        <v/>
      </c>
      <c r="AR39" s="88" t="str">
        <f aca="false">IF(SUM($AO39)=0,"",INDEX(Cascade!$BG:$BG,MATCH($E39,Cascade!$E:$E,0)))</f>
        <v/>
      </c>
      <c r="AS39" s="39" t="str">
        <f aca="false">IF(SUM($AO39)=0,"",IF(AND(SUM($AO39)&gt;0,$AQ39=""),"ENTER YIELD RATE",ROUND($AO39*$AQ39,0)))</f>
        <v/>
      </c>
      <c r="AT39" s="39" t="str">
        <f aca="false">IF(SUM($AO39)=0,"",$AO39-SUM($AS39))</f>
        <v/>
      </c>
      <c r="AU39" s="10" t="str">
        <f aca="false">IF(SUM($AS39)=0,"",ROUND($AS39*$AR39,0))</f>
        <v/>
      </c>
      <c r="AV39" s="10" t="str">
        <f aca="false">IFERROR(1/(1/SUM($AC39,$AB39,$AS39)),"")</f>
        <v/>
      </c>
      <c r="AW39" s="10" t="str">
        <f aca="false">IFERROR(1/(1/INDEX(Cascade!$BH:$BH,MATCH($E39,Cascade!$E:$E,0))),"")</f>
        <v/>
      </c>
      <c r="AX39" s="10" t="str">
        <f aca="false">IF(SUM($AC39)=0,"",$AC39)</f>
        <v/>
      </c>
      <c r="AY39" s="10" t="str">
        <f aca="false">IF(SUM($AS39)=0,"",$AS39)</f>
        <v/>
      </c>
      <c r="AZ39" s="10" t="str">
        <f aca="false">IFERROR(1/(1/INDEX(TB!$P:$P,MATCH($E39,TB!$E:$E,0))),"")</f>
        <v/>
      </c>
      <c r="BA39" s="10" t="str">
        <f aca="false">IFERROR(1/(1/(SUM($AW39)-SUM($AX39:$AZ39))),"")</f>
        <v/>
      </c>
    </row>
    <row r="40" customFormat="false" ht="15" hidden="false" customHeight="false" outlineLevel="0" collapsed="false">
      <c r="A40" s="0" t="str">
        <f aca="false">INDEX(Prioritization!$D:$D,MATCH($B40,Prioritization!$A:$A,0))</f>
        <v>1 - Scale-up: Saturation</v>
      </c>
      <c r="B40" s="0" t="s">
        <v>199</v>
      </c>
      <c r="C40" s="0" t="s">
        <v>364</v>
      </c>
      <c r="D40" s="0" t="s">
        <v>30</v>
      </c>
      <c r="E40" s="0" t="str">
        <f aca="false">B40&amp;"|"&amp;C40&amp;"|"&amp;D40</f>
        <v>Mchinji District [kxuuIFpOXyO]|10-14|Female</v>
      </c>
      <c r="F40" s="10" t="n">
        <f aca="false">IF(LEFT($B40,4)="_Mil","",INDEX(Cascade!$T:$T,MATCH($E40,Cascade!$E:$E,0)))</f>
        <v>1546</v>
      </c>
      <c r="G40" s="10" t="str">
        <f aca="false">IF(LEFT($B40,4)="_Mil","",INDEX(Cascade!$U:$U,MATCH($E40,Cascade!$E:$E,0)))</f>
        <v/>
      </c>
      <c r="H40" s="86" t="n">
        <f aca="false">IF(LEFT($B40,4)="_Mil","",INDEX(Cascade!$W:$W,MATCH($E40,Cascade!$E:$E,0)))</f>
        <v>1287</v>
      </c>
      <c r="I40" s="10" t="n">
        <f aca="false">IF(LEFT($B40,4)="_Mil","",INDEX(Cascade!$Z:$Z,MATCH($E40,Cascade!$E:$E,0)))</f>
        <v>851</v>
      </c>
      <c r="J40" s="88" t="n">
        <f aca="false">IF(LEFT($B40,4)="_Mil","",INDEX(Cascade!$AA:$AA,MATCH($E40,Cascade!$E:$E,0)))</f>
        <v>911</v>
      </c>
      <c r="K40" s="39" t="str">
        <f aca="false">IF(LEFT($B40,4)="_Mil","",_xlfn.IFNA(ROUND(INDEX(Spectrum!$N:$N,MATCH(RIGHT($B40,13)&amp;"|"&amp;$C40&amp;"|"&amp;$D40&amp;"|"&amp;K$14&amp;"|"&amp;"CY2023Q3",Spectrum!$R:$R,0)),0),""))</f>
        <v/>
      </c>
      <c r="L40" s="39" t="str">
        <f aca="false">IF(LEFT($B40,4)="_Mil","",_xlfn.IFNA(ROUND(INDEX(Spectrum!$N:$N,MATCH(RIGHT($B40,13)&amp;"|"&amp;$C40&amp;"|"&amp;$D40&amp;"|"&amp;L$14&amp;"|"&amp;"CY2023Q3",Spectrum!$R:$R,0)),0),""))</f>
        <v/>
      </c>
      <c r="M40" s="39" t="str">
        <f aca="false">IF(LEFT($B40,4)="_Mil","",_xlfn.IFNA(ROUND(INDEX(Spectrum!$N:$N,MATCH(RIGHT($B40,13)&amp;"|"&amp;$C40&amp;"|"&amp;$D40&amp;"|"&amp;M$14&amp;"|"&amp;"CY2023Q3",Spectrum!$R:$R,0)),0),""))</f>
        <v/>
      </c>
      <c r="N40" s="39" t="str">
        <f aca="false">IF(LEFT($B40,4)="_Mil","",_xlfn.IFNA(ROUND(INDEX(Spectrum!$N:$N,MATCH(RIGHT($B40,13)&amp;"|"&amp;$C40&amp;"|"&amp;$D40&amp;"|"&amp;N$14&amp;"|"&amp;"CY2023Q3",Spectrum!$R:$R,0)),0),""))</f>
        <v/>
      </c>
      <c r="O40" s="39" t="str">
        <f aca="false">IF(LEFT($B40,4)="_Mil","",_xlfn.IFNA(ROUND(INDEX(Spectrum!$N:$N,MATCH(RIGHT($B40,13)&amp;"|"&amp;$C40&amp;"|"&amp;$D40&amp;"|"&amp;O$14&amp;"|"&amp;"CY2023Q3",Spectrum!$R:$R,0)),0),""))</f>
        <v/>
      </c>
      <c r="P40" s="39" t="str">
        <f aca="false">IF(LEFT($B40,4)="_Mil","",_xlfn.IFNA(ROUND(INDEX(Spectrum!$N:$N,MATCH(RIGHT($B40,13)&amp;"|"&amp;$C40&amp;"|"&amp;$D40&amp;"|"&amp;P$14&amp;"|"&amp;"CY2023Q3",Spectrum!$R:$R,0)),0),""))</f>
        <v/>
      </c>
      <c r="Q40" s="39" t="str">
        <f aca="false">IF(LEFT($B40,4)="_Mil","",_xlfn.IFNA(ROUND(INDEX(Spectrum!$N:$N,MATCH(RIGHT($B40,13)&amp;"|"&amp;$C40&amp;"|"&amp;$D40&amp;"|"&amp;Q$14&amp;"|"&amp;"CY2022Q3",Spectrum!$R:$R,0)),0),""))</f>
        <v/>
      </c>
      <c r="R40" s="10" t="n">
        <v>7</v>
      </c>
      <c r="S40" s="88" t="n">
        <f aca="false">0</f>
        <v>0</v>
      </c>
      <c r="T40" s="39" t="n">
        <f aca="false">IF(SUM($R40)=0,"",ROUND($R40*(1+$S40),0))</f>
        <v>7</v>
      </c>
      <c r="U40" s="88" t="n">
        <f aca="false">IF(LEFT($B40,4)="_Mil","",IF(SUM($K40)=0,IF(SUM($R40)=0,"",1),MIN($R40/$K40,1)))</f>
        <v>1</v>
      </c>
      <c r="V40" s="39" t="n">
        <f aca="false">IF(OR(SUM($T40)=0,LEFT($B40,4)="_Mil"),"",ROUND($T40/$U40,0))</f>
        <v>7</v>
      </c>
      <c r="W40" s="88"/>
      <c r="X40" s="88" t="str">
        <f aca="false">IF(SUM($K40,$W40)=0,"",MAX(IFERROR(SUM($L40)/$K40,0),SUM($W40)))</f>
        <v/>
      </c>
      <c r="Y40" s="88"/>
      <c r="Z40" s="88" t="str">
        <f aca="false">IF(SUM($K40,$Y40)=0,"",MIN(SUM($Y40),IFERROR(SUM($M40)/(SUM($K40)-SUM($L40)),1)))</f>
        <v/>
      </c>
      <c r="AA40" s="10" t="n">
        <f aca="false">$T40</f>
        <v>7</v>
      </c>
      <c r="AB40" s="39" t="str">
        <f aca="false">IF(SUM($AA40)=0,"",IF(AND(SUM($AA40)&gt;0,$X40=""),"ENTER KNOWN POSITIVITY RATE",ROUND($AA40*$X40,0)))</f>
        <v>ENTER KNOWN POSITIVITY RATE</v>
      </c>
      <c r="AC40" s="39" t="str">
        <f aca="false">IF(SUM($AA40)=0,"",IF(AND((SUM($AA40)-SUM($AB40))&gt;0,$Z40=""),"ENTER YIELD RATE",ROUND(($AA40-SUM($AB40))*$Z40,0)))</f>
        <v>ENTER YIELD RATE</v>
      </c>
      <c r="AD40" s="39" t="n">
        <f aca="false">IF(SUM($AA40)=0,"",$AA40-SUM($AB40)-SUM($AC40))</f>
        <v>7</v>
      </c>
      <c r="AE40" s="10" t="n">
        <f aca="false">$V40</f>
        <v>7</v>
      </c>
      <c r="AF40" s="39" t="n">
        <f aca="false">IF(SUM($AE40)=0,"",ROUND($AE40*SUM($X40),0))</f>
        <v>0</v>
      </c>
      <c r="AG40" s="39" t="n">
        <f aca="false">IF(SUM($AE40)=0,"",ROUND(($AE40-SUM($AF40))*SUM($Z40),0))</f>
        <v>0</v>
      </c>
      <c r="AH40" s="39" t="n">
        <f aca="false">IF(SUM($AE40)=0,"",$AE40-SUM($AF40)-SUM($AG40))</f>
        <v>7</v>
      </c>
      <c r="AI40" s="88" t="str">
        <f aca="false">IF(SUM($AC40)=0,"",INDEX(Cascade!$BG:$BG,MATCH($E40,Cascade!$E:$E,0)))</f>
        <v/>
      </c>
      <c r="AJ40" s="39" t="str">
        <f aca="false">$AB40</f>
        <v>ENTER KNOWN POSITIVITY RATE</v>
      </c>
      <c r="AK40" s="39" t="str">
        <f aca="false">IF(SUM($AC40)=0,"",IF(AND($AI40="",SUM($AC40)&gt;0),"&lt;- Enter Linkage Rate",ROUND($AC40*$AI40,0)))</f>
        <v/>
      </c>
      <c r="AL40" s="39" t="str">
        <f aca="false">IF(SUM($AF40,$AG40)=0,"",SUM($AF40,$AG40))</f>
        <v/>
      </c>
      <c r="AM40" s="39" t="n">
        <f aca="false">$AF40</f>
        <v>0</v>
      </c>
      <c r="AN40" s="39" t="str">
        <f aca="false">IF(SUM($AG40)=0,"",ROUND($AG40*SUM($AI40),0))</f>
        <v/>
      </c>
      <c r="AO40" s="10" t="n">
        <f aca="false">IFERROR(1/(1/MAX(SUM($T40)-SUM($AB40,$AC40),$AD40)),"")</f>
        <v>7</v>
      </c>
      <c r="AP40" s="88"/>
      <c r="AQ40" s="88" t="str">
        <f aca="false">IF($AP40="","",$AP40)</f>
        <v/>
      </c>
      <c r="AR40" s="88" t="n">
        <f aca="false">IF(SUM($AO40)=0,"",INDEX(Cascade!$BG:$BG,MATCH($E40,Cascade!$E:$E,0)))</f>
        <v>0.95</v>
      </c>
      <c r="AS40" s="39" t="str">
        <f aca="false">IF(SUM($AO40)=0,"",IF(AND(SUM($AO40)&gt;0,$AQ40=""),"ENTER YIELD RATE",ROUND($AO40*$AQ40,0)))</f>
        <v>ENTER YIELD RATE</v>
      </c>
      <c r="AT40" s="39" t="n">
        <f aca="false">IF(SUM($AO40)=0,"",$AO40-SUM($AS40))</f>
        <v>7</v>
      </c>
      <c r="AU40" s="10" t="str">
        <f aca="false">IF(SUM($AS40)=0,"",ROUND($AS40*$AR40,0))</f>
        <v/>
      </c>
      <c r="AV40" s="10" t="str">
        <f aca="false">IFERROR(1/(1/SUM($AC40,$AB40,$AS40)),"")</f>
        <v/>
      </c>
      <c r="AW40" s="10" t="n">
        <f aca="false">IFERROR(1/(1/INDEX(Cascade!$BH:$BH,MATCH($E40,Cascade!$E:$E,0))),"")</f>
        <v>-75</v>
      </c>
      <c r="AX40" s="10" t="str">
        <f aca="false">IF(SUM($AC40)=0,"",$AC40)</f>
        <v/>
      </c>
      <c r="AY40" s="10" t="str">
        <f aca="false">IF(SUM($AS40)=0,"",$AS40)</f>
        <v/>
      </c>
      <c r="AZ40" s="10" t="str">
        <f aca="false">IFERROR(1/(1/INDEX(TB!$P:$P,MATCH($E40,TB!$E:$E,0))),"")</f>
        <v/>
      </c>
      <c r="BA40" s="10" t="n">
        <f aca="false">IFERROR(1/(1/(SUM($AW40)-SUM($AX40:$AZ40))),"")</f>
        <v>-75</v>
      </c>
    </row>
    <row r="41" customFormat="false" ht="15" hidden="false" customHeight="false" outlineLevel="0" collapsed="false">
      <c r="A41" s="0" t="str">
        <f aca="false">INDEX(Prioritization!$D:$D,MATCH($B41,Prioritization!$A:$A,0))</f>
        <v>1 - Scale-up: Saturation</v>
      </c>
      <c r="B41" s="0" t="s">
        <v>199</v>
      </c>
      <c r="C41" s="0" t="s">
        <v>365</v>
      </c>
      <c r="D41" s="0" t="s">
        <v>30</v>
      </c>
      <c r="E41" s="0" t="str">
        <f aca="false">B41&amp;"|"&amp;C41&amp;"|"&amp;D41</f>
        <v>Mchinji District [kxuuIFpOXyO]|15-24|Female</v>
      </c>
      <c r="F41" s="10" t="n">
        <f aca="false">IF(LEFT($B41,4)="_Mil","",INDEX(Cascade!$T:$T,MATCH($E41,Cascade!$E:$E,0)))</f>
        <v>794</v>
      </c>
      <c r="G41" s="10" t="str">
        <f aca="false">IF(LEFT($B41,4)="_Mil","",INDEX(Cascade!$U:$U,MATCH($E41,Cascade!$E:$E,0)))</f>
        <v/>
      </c>
      <c r="H41" s="86" t="n">
        <f aca="false">IF(LEFT($B41,4)="_Mil","",INDEX(Cascade!$W:$W,MATCH($E41,Cascade!$E:$E,0)))</f>
        <v>1193</v>
      </c>
      <c r="I41" s="10" t="n">
        <f aca="false">IF(LEFT($B41,4)="_Mil","",INDEX(Cascade!$Z:$Z,MATCH($E41,Cascade!$E:$E,0)))</f>
        <v>647</v>
      </c>
      <c r="J41" s="88" t="n">
        <f aca="false">IF(LEFT($B41,4)="_Mil","",INDEX(Cascade!$AA:$AA,MATCH($E41,Cascade!$E:$E,0)))</f>
        <v>1889</v>
      </c>
      <c r="K41" s="39" t="n">
        <f aca="false">IF(LEFT($B41,4)="_Mil","",_xlfn.IFNA(ROUND(INDEX(Spectrum!$N:$N,MATCH(RIGHT($B41,13)&amp;"|"&amp;$C41&amp;"|"&amp;$D41&amp;"|"&amp;K$14&amp;"|"&amp;"CY2023Q3",Spectrum!$R:$R,0)),0),""))</f>
        <v>775</v>
      </c>
      <c r="L41" s="39" t="str">
        <f aca="false">IF(LEFT($B41,4)="_Mil","",_xlfn.IFNA(ROUND(INDEX(Spectrum!$N:$N,MATCH(RIGHT($B41,13)&amp;"|"&amp;$C41&amp;"|"&amp;$D41&amp;"|"&amp;L$14&amp;"|"&amp;"CY2023Q3",Spectrum!$R:$R,0)),0),""))</f>
        <v/>
      </c>
      <c r="M41" s="39" t="n">
        <f aca="false">IF(LEFT($B41,4)="_Mil","",_xlfn.IFNA(ROUND(INDEX(Spectrum!$N:$N,MATCH(RIGHT($B41,13)&amp;"|"&amp;$C41&amp;"|"&amp;$D41&amp;"|"&amp;M$14&amp;"|"&amp;"CY2023Q3",Spectrum!$R:$R,0)),0),""))</f>
        <v>673</v>
      </c>
      <c r="N41" s="39" t="n">
        <f aca="false">IF(LEFT($B41,4)="_Mil","",_xlfn.IFNA(ROUND(INDEX(Spectrum!$N:$N,MATCH(RIGHT($B41,13)&amp;"|"&amp;$C41&amp;"|"&amp;$D41&amp;"|"&amp;N$14&amp;"|"&amp;"CY2023Q3",Spectrum!$R:$R,0)),0),""))</f>
        <v>922</v>
      </c>
      <c r="O41" s="39" t="n">
        <f aca="false">IF(LEFT($B41,4)="_Mil","",_xlfn.IFNA(ROUND(INDEX(Spectrum!$N:$N,MATCH(RIGHT($B41,13)&amp;"|"&amp;$C41&amp;"|"&amp;$D41&amp;"|"&amp;O$14&amp;"|"&amp;"CY2023Q3",Spectrum!$R:$R,0)),0),""))</f>
        <v>793</v>
      </c>
      <c r="P41" s="39" t="n">
        <f aca="false">IF(LEFT($B41,4)="_Mil","",_xlfn.IFNA(ROUND(INDEX(Spectrum!$N:$N,MATCH(RIGHT($B41,13)&amp;"|"&amp;$C41&amp;"|"&amp;$D41&amp;"|"&amp;P$14&amp;"|"&amp;"CY2023Q3",Spectrum!$R:$R,0)),0),""))</f>
        <v>1158</v>
      </c>
      <c r="Q41" s="39" t="str">
        <f aca="false">IF(LEFT($B41,4)="_Mil","",_xlfn.IFNA(ROUND(INDEX(Spectrum!$N:$N,MATCH(RIGHT($B41,13)&amp;"|"&amp;$C41&amp;"|"&amp;$D41&amp;"|"&amp;Q$14&amp;"|"&amp;"CY2022Q3",Spectrum!$R:$R,0)),0),""))</f>
        <v/>
      </c>
      <c r="R41" s="10"/>
      <c r="S41" s="88" t="n">
        <f aca="false">0</f>
        <v>0</v>
      </c>
      <c r="T41" s="39" t="str">
        <f aca="false">IF(SUM($R41)=0,"",ROUND($R41*(1+$S41),0))</f>
        <v/>
      </c>
      <c r="U41" s="88" t="n">
        <f aca="false">IF(LEFT($B41,4)="_Mil","",IF(SUM($K41)=0,IF(SUM($R41)=0,"",1),MIN($R41/$K41,1)))</f>
        <v>0</v>
      </c>
      <c r="V41" s="39" t="str">
        <f aca="false">IF(OR(SUM($T41)=0,LEFT($B41,4)="_Mil"),"",ROUND($T41/$U41,0))</f>
        <v/>
      </c>
      <c r="W41" s="88"/>
      <c r="X41" s="88" t="n">
        <f aca="false">IF(SUM($K41,$W41)=0,"",MAX(IFERROR(SUM($L41)/$K41,0),SUM($W41)))</f>
        <v>0</v>
      </c>
      <c r="Y41" s="88"/>
      <c r="Z41" s="88" t="n">
        <f aca="false">IF(SUM($K41,$Y41)=0,"",MIN(SUM($Y41),IFERROR(SUM($M41)/(SUM($K41)-SUM($L41)),1)))</f>
        <v>0</v>
      </c>
      <c r="AA41" s="10" t="str">
        <f aca="false">$T41</f>
        <v/>
      </c>
      <c r="AB41" s="39" t="str">
        <f aca="false">IF(SUM($AA41)=0,"",IF(AND(SUM($AA41)&gt;0,$X41=""),"ENTER KNOWN POSITIVITY RATE",ROUND($AA41*$X41,0)))</f>
        <v/>
      </c>
      <c r="AC41" s="39" t="str">
        <f aca="false">IF(SUM($AA41)=0,"",IF(AND((SUM($AA41)-SUM($AB41))&gt;0,$Z41=""),"ENTER YIELD RATE",ROUND(($AA41-SUM($AB41))*$Z41,0)))</f>
        <v/>
      </c>
      <c r="AD41" s="39" t="str">
        <f aca="false">IF(SUM($AA41)=0,"",$AA41-SUM($AB41)-SUM($AC41))</f>
        <v/>
      </c>
      <c r="AE41" s="10" t="str">
        <f aca="false">$V41</f>
        <v/>
      </c>
      <c r="AF41" s="39" t="str">
        <f aca="false">IF(SUM($AE41)=0,"",ROUND($AE41*SUM($X41),0))</f>
        <v/>
      </c>
      <c r="AG41" s="39" t="str">
        <f aca="false">IF(SUM($AE41)=0,"",ROUND(($AE41-SUM($AF41))*SUM($Z41),0))</f>
        <v/>
      </c>
      <c r="AH41" s="39" t="str">
        <f aca="false">IF(SUM($AE41)=0,"",$AE41-SUM($AF41)-SUM($AG41))</f>
        <v/>
      </c>
      <c r="AI41" s="88" t="str">
        <f aca="false">IF(SUM($AC41)=0,"",INDEX(Cascade!$BG:$BG,MATCH($E41,Cascade!$E:$E,0)))</f>
        <v/>
      </c>
      <c r="AJ41" s="39" t="str">
        <f aca="false">$AB41</f>
        <v/>
      </c>
      <c r="AK41" s="39" t="str">
        <f aca="false">IF(SUM($AC41)=0,"",IF(AND($AI41="",SUM($AC41)&gt;0),"&lt;- Enter Linkage Rate",ROUND($AC41*$AI41,0)))</f>
        <v/>
      </c>
      <c r="AL41" s="39" t="str">
        <f aca="false">IF(SUM($AF41,$AG41)=0,"",SUM($AF41,$AG41))</f>
        <v/>
      </c>
      <c r="AM41" s="39" t="str">
        <f aca="false">$AF41</f>
        <v/>
      </c>
      <c r="AN41" s="39" t="str">
        <f aca="false">IF(SUM($AG41)=0,"",ROUND($AG41*SUM($AI41),0))</f>
        <v/>
      </c>
      <c r="AO41" s="10" t="str">
        <f aca="false">IFERROR(1/(1/MAX(SUM($T41)-SUM($AB41,$AC41),$AD41)),"")</f>
        <v/>
      </c>
      <c r="AP41" s="88"/>
      <c r="AQ41" s="88" t="str">
        <f aca="false">IF($AP41="","",$AP41)</f>
        <v/>
      </c>
      <c r="AR41" s="88" t="str">
        <f aca="false">IF(SUM($AO41)=0,"",INDEX(Cascade!$BG:$BG,MATCH($E41,Cascade!$E:$E,0)))</f>
        <v/>
      </c>
      <c r="AS41" s="39" t="str">
        <f aca="false">IF(SUM($AO41)=0,"",IF(AND(SUM($AO41)&gt;0,$AQ41=""),"ENTER YIELD RATE",ROUND($AO41*$AQ41,0)))</f>
        <v/>
      </c>
      <c r="AT41" s="39" t="str">
        <f aca="false">IF(SUM($AO41)=0,"",$AO41-SUM($AS41))</f>
        <v/>
      </c>
      <c r="AU41" s="10" t="str">
        <f aca="false">IF(SUM($AS41)=0,"",ROUND($AS41*$AR41,0))</f>
        <v/>
      </c>
      <c r="AV41" s="10" t="str">
        <f aca="false">IFERROR(1/(1/SUM($AC41,$AB41,$AS41)),"")</f>
        <v/>
      </c>
      <c r="AW41" s="10" t="str">
        <f aca="false">IFERROR(1/(1/INDEX(Cascade!$BH:$BH,MATCH($E41,Cascade!$E:$E,0))),"")</f>
        <v/>
      </c>
      <c r="AX41" s="10" t="str">
        <f aca="false">IF(SUM($AC41)=0,"",$AC41)</f>
        <v/>
      </c>
      <c r="AY41" s="10" t="str">
        <f aca="false">IF(SUM($AS41)=0,"",$AS41)</f>
        <v/>
      </c>
      <c r="AZ41" s="10" t="str">
        <f aca="false">IFERROR(1/(1/INDEX(TB!$P:$P,MATCH($E41,TB!$E:$E,0))),"")</f>
        <v/>
      </c>
      <c r="BA41" s="10" t="str">
        <f aca="false">IFERROR(1/(1/(SUM($AW41)-SUM($AX41:$AZ41))),"")</f>
        <v/>
      </c>
    </row>
    <row r="42" customFormat="false" ht="15" hidden="false" customHeight="false" outlineLevel="0" collapsed="false">
      <c r="A42" s="0" t="str">
        <f aca="false">INDEX(Prioritization!$D:$D,MATCH($B42,Prioritization!$A:$A,0))</f>
        <v>1 - Scale-up: Saturation</v>
      </c>
      <c r="B42" s="0" t="s">
        <v>199</v>
      </c>
      <c r="C42" s="0" t="s">
        <v>366</v>
      </c>
      <c r="D42" s="0" t="s">
        <v>30</v>
      </c>
      <c r="E42" s="0" t="str">
        <f aca="false">B42&amp;"|"&amp;C42&amp;"|"&amp;D42</f>
        <v>Mchinji District [kxuuIFpOXyO]|25-34|Female</v>
      </c>
      <c r="F42" s="10" t="n">
        <f aca="false">IF(LEFT($B42,4)="_Mil","",INDEX(Cascade!$T:$T,MATCH($E42,Cascade!$E:$E,0)))</f>
        <v>904</v>
      </c>
      <c r="G42" s="10" t="str">
        <f aca="false">IF(LEFT($B42,4)="_Mil","",INDEX(Cascade!$U:$U,MATCH($E42,Cascade!$E:$E,0)))</f>
        <v/>
      </c>
      <c r="H42" s="86" t="n">
        <f aca="false">IF(LEFT($B42,4)="_Mil","",INDEX(Cascade!$W:$W,MATCH($E42,Cascade!$E:$E,0)))</f>
        <v>834</v>
      </c>
      <c r="I42" s="10" t="n">
        <f aca="false">IF(LEFT($B42,4)="_Mil","",INDEX(Cascade!$Z:$Z,MATCH($E42,Cascade!$E:$E,0)))</f>
        <v>1943</v>
      </c>
      <c r="J42" s="88" t="n">
        <f aca="false">IF(LEFT($B42,4)="_Mil","",INDEX(Cascade!$AA:$AA,MATCH($E42,Cascade!$E:$E,0)))</f>
        <v>1744</v>
      </c>
      <c r="K42" s="39" t="n">
        <f aca="false">IF(LEFT($B42,4)="_Mil","",_xlfn.IFNA(ROUND(INDEX(Spectrum!$N:$N,MATCH(RIGHT($B42,13)&amp;"|"&amp;$C42&amp;"|"&amp;$D42&amp;"|"&amp;K$14&amp;"|"&amp;"CY2023Q3",Spectrum!$R:$R,0)),0),""))</f>
        <v>985</v>
      </c>
      <c r="L42" s="39" t="str">
        <f aca="false">IF(LEFT($B42,4)="_Mil","",_xlfn.IFNA(ROUND(INDEX(Spectrum!$N:$N,MATCH(RIGHT($B42,13)&amp;"|"&amp;$C42&amp;"|"&amp;$D42&amp;"|"&amp;L$14&amp;"|"&amp;"CY2023Q3",Spectrum!$R:$R,0)),0),""))</f>
        <v/>
      </c>
      <c r="M42" s="39" t="n">
        <f aca="false">IF(LEFT($B42,4)="_Mil","",_xlfn.IFNA(ROUND(INDEX(Spectrum!$N:$N,MATCH(RIGHT($B42,13)&amp;"|"&amp;$C42&amp;"|"&amp;$D42&amp;"|"&amp;M$14&amp;"|"&amp;"CY2023Q3",Spectrum!$R:$R,0)),0),""))</f>
        <v>858</v>
      </c>
      <c r="N42" s="39" t="n">
        <f aca="false">IF(LEFT($B42,4)="_Mil","",_xlfn.IFNA(ROUND(INDEX(Spectrum!$N:$N,MATCH(RIGHT($B42,13)&amp;"|"&amp;$C42&amp;"|"&amp;$D42&amp;"|"&amp;N$14&amp;"|"&amp;"CY2023Q3",Spectrum!$R:$R,0)),0),""))</f>
        <v>1655</v>
      </c>
      <c r="O42" s="39" t="n">
        <f aca="false">IF(LEFT($B42,4)="_Mil","",_xlfn.IFNA(ROUND(INDEX(Spectrum!$N:$N,MATCH(RIGHT($B42,13)&amp;"|"&amp;$C42&amp;"|"&amp;$D42&amp;"|"&amp;O$14&amp;"|"&amp;"CY2023Q3",Spectrum!$R:$R,0)),0),""))</f>
        <v>640</v>
      </c>
      <c r="P42" s="39" t="n">
        <f aca="false">IF(LEFT($B42,4)="_Mil","",_xlfn.IFNA(ROUND(INDEX(Spectrum!$N:$N,MATCH(RIGHT($B42,13)&amp;"|"&amp;$C42&amp;"|"&amp;$D42&amp;"|"&amp;P$14&amp;"|"&amp;"CY2023Q3",Spectrum!$R:$R,0)),0),""))</f>
        <v>686</v>
      </c>
      <c r="Q42" s="39" t="str">
        <f aca="false">IF(LEFT($B42,4)="_Mil","",_xlfn.IFNA(ROUND(INDEX(Spectrum!$N:$N,MATCH(RIGHT($B42,13)&amp;"|"&amp;$C42&amp;"|"&amp;$D42&amp;"|"&amp;Q$14&amp;"|"&amp;"CY2022Q3",Spectrum!$R:$R,0)),0),""))</f>
        <v/>
      </c>
      <c r="R42" s="10"/>
      <c r="S42" s="88" t="n">
        <f aca="false">0</f>
        <v>0</v>
      </c>
      <c r="T42" s="39" t="str">
        <f aca="false">IF(SUM($R42)=0,"",ROUND($R42*(1+$S42),0))</f>
        <v/>
      </c>
      <c r="U42" s="88" t="n">
        <f aca="false">IF(LEFT($B42,4)="_Mil","",IF(SUM($K42)=0,IF(SUM($R42)=0,"",1),MIN($R42/$K42,1)))</f>
        <v>0</v>
      </c>
      <c r="V42" s="39" t="str">
        <f aca="false">IF(OR(SUM($T42)=0,LEFT($B42,4)="_Mil"),"",ROUND($T42/$U42,0))</f>
        <v/>
      </c>
      <c r="W42" s="88"/>
      <c r="X42" s="88" t="n">
        <f aca="false">IF(SUM($K42,$W42)=0,"",MAX(IFERROR(SUM($L42)/$K42,0),SUM($W42)))</f>
        <v>0</v>
      </c>
      <c r="Y42" s="88"/>
      <c r="Z42" s="88" t="n">
        <f aca="false">IF(SUM($K42,$Y42)=0,"",MIN(SUM($Y42),IFERROR(SUM($M42)/(SUM($K42)-SUM($L42)),1)))</f>
        <v>0</v>
      </c>
      <c r="AA42" s="10" t="str">
        <f aca="false">$T42</f>
        <v/>
      </c>
      <c r="AB42" s="39" t="str">
        <f aca="false">IF(SUM($AA42)=0,"",IF(AND(SUM($AA42)&gt;0,$X42=""),"ENTER KNOWN POSITIVITY RATE",ROUND($AA42*$X42,0)))</f>
        <v/>
      </c>
      <c r="AC42" s="39" t="str">
        <f aca="false">IF(SUM($AA42)=0,"",IF(AND((SUM($AA42)-SUM($AB42))&gt;0,$Z42=""),"ENTER YIELD RATE",ROUND(($AA42-SUM($AB42))*$Z42,0)))</f>
        <v/>
      </c>
      <c r="AD42" s="39" t="str">
        <f aca="false">IF(SUM($AA42)=0,"",$AA42-SUM($AB42)-SUM($AC42))</f>
        <v/>
      </c>
      <c r="AE42" s="10" t="str">
        <f aca="false">$V42</f>
        <v/>
      </c>
      <c r="AF42" s="39" t="str">
        <f aca="false">IF(SUM($AE42)=0,"",ROUND($AE42*SUM($X42),0))</f>
        <v/>
      </c>
      <c r="AG42" s="39" t="str">
        <f aca="false">IF(SUM($AE42)=0,"",ROUND(($AE42-SUM($AF42))*SUM($Z42),0))</f>
        <v/>
      </c>
      <c r="AH42" s="39" t="str">
        <f aca="false">IF(SUM($AE42)=0,"",$AE42-SUM($AF42)-SUM($AG42))</f>
        <v/>
      </c>
      <c r="AI42" s="88" t="str">
        <f aca="false">IF(SUM($AC42)=0,"",INDEX(Cascade!$BG:$BG,MATCH($E42,Cascade!$E:$E,0)))</f>
        <v/>
      </c>
      <c r="AJ42" s="39" t="str">
        <f aca="false">$AB42</f>
        <v/>
      </c>
      <c r="AK42" s="39" t="str">
        <f aca="false">IF(SUM($AC42)=0,"",IF(AND($AI42="",SUM($AC42)&gt;0),"&lt;- Enter Linkage Rate",ROUND($AC42*$AI42,0)))</f>
        <v/>
      </c>
      <c r="AL42" s="39" t="str">
        <f aca="false">IF(SUM($AF42,$AG42)=0,"",SUM($AF42,$AG42))</f>
        <v/>
      </c>
      <c r="AM42" s="39" t="str">
        <f aca="false">$AF42</f>
        <v/>
      </c>
      <c r="AN42" s="39" t="str">
        <f aca="false">IF(SUM($AG42)=0,"",ROUND($AG42*SUM($AI42),0))</f>
        <v/>
      </c>
      <c r="AO42" s="10" t="str">
        <f aca="false">IFERROR(1/(1/MAX(SUM($T42)-SUM($AB42,$AC42),$AD42)),"")</f>
        <v/>
      </c>
      <c r="AP42" s="88"/>
      <c r="AQ42" s="88" t="str">
        <f aca="false">IF($AP42="","",$AP42)</f>
        <v/>
      </c>
      <c r="AR42" s="88" t="str">
        <f aca="false">IF(SUM($AO42)=0,"",INDEX(Cascade!$BG:$BG,MATCH($E42,Cascade!$E:$E,0)))</f>
        <v/>
      </c>
      <c r="AS42" s="39" t="str">
        <f aca="false">IF(SUM($AO42)=0,"",IF(AND(SUM($AO42)&gt;0,$AQ42=""),"ENTER YIELD RATE",ROUND($AO42*$AQ42,0)))</f>
        <v/>
      </c>
      <c r="AT42" s="39" t="str">
        <f aca="false">IF(SUM($AO42)=0,"",$AO42-SUM($AS42))</f>
        <v/>
      </c>
      <c r="AU42" s="10" t="str">
        <f aca="false">IF(SUM($AS42)=0,"",ROUND($AS42*$AR42,0))</f>
        <v/>
      </c>
      <c r="AV42" s="10" t="str">
        <f aca="false">IFERROR(1/(1/SUM($AC42,$AB42,$AS42)),"")</f>
        <v/>
      </c>
      <c r="AW42" s="10" t="str">
        <f aca="false">IFERROR(1/(1/INDEX(Cascade!$BH:$BH,MATCH($E42,Cascade!$E:$E,0))),"")</f>
        <v/>
      </c>
      <c r="AX42" s="10" t="str">
        <f aca="false">IF(SUM($AC42)=0,"",$AC42)</f>
        <v/>
      </c>
      <c r="AY42" s="10" t="str">
        <f aca="false">IF(SUM($AS42)=0,"",$AS42)</f>
        <v/>
      </c>
      <c r="AZ42" s="10" t="str">
        <f aca="false">IFERROR(1/(1/INDEX(TB!$P:$P,MATCH($E42,TB!$E:$E,0))),"")</f>
        <v/>
      </c>
      <c r="BA42" s="10" t="str">
        <f aca="false">IFERROR(1/(1/(SUM($AW42)-SUM($AX42:$AZ42))),"")</f>
        <v/>
      </c>
    </row>
    <row r="43" customFormat="false" ht="15" hidden="false" customHeight="false" outlineLevel="0" collapsed="false">
      <c r="A43" s="0" t="str">
        <f aca="false">INDEX(Prioritization!$D:$D,MATCH($B43,Prioritization!$A:$A,0))</f>
        <v>1 - Scale-up: Saturation</v>
      </c>
      <c r="B43" s="0" t="s">
        <v>199</v>
      </c>
      <c r="C43" s="0" t="s">
        <v>367</v>
      </c>
      <c r="D43" s="0" t="s">
        <v>30</v>
      </c>
      <c r="E43" s="0" t="str">
        <f aca="false">B43&amp;"|"&amp;C43&amp;"|"&amp;D43</f>
        <v>Mchinji District [kxuuIFpOXyO]|35-49|Female</v>
      </c>
      <c r="F43" s="10" t="n">
        <f aca="false">IF(LEFT($B43,4)="_Mil","",INDEX(Cascade!$T:$T,MATCH($E43,Cascade!$E:$E,0)))</f>
        <v>1652</v>
      </c>
      <c r="G43" s="10" t="str">
        <f aca="false">IF(LEFT($B43,4)="_Mil","",INDEX(Cascade!$U:$U,MATCH($E43,Cascade!$E:$E,0)))</f>
        <v/>
      </c>
      <c r="H43" s="86" t="n">
        <f aca="false">IF(LEFT($B43,4)="_Mil","",INDEX(Cascade!$W:$W,MATCH($E43,Cascade!$E:$E,0)))</f>
        <v>677</v>
      </c>
      <c r="I43" s="10" t="n">
        <f aca="false">IF(LEFT($B43,4)="_Mil","",INDEX(Cascade!$Z:$Z,MATCH($E43,Cascade!$E:$E,0)))</f>
        <v>1767</v>
      </c>
      <c r="J43" s="88" t="n">
        <f aca="false">IF(LEFT($B43,4)="_Mil","",INDEX(Cascade!$AA:$AA,MATCH($E43,Cascade!$E:$E,0)))</f>
        <v>647</v>
      </c>
      <c r="K43" s="39" t="n">
        <f aca="false">IF(LEFT($B43,4)="_Mil","",_xlfn.IFNA(ROUND(INDEX(Spectrum!$N:$N,MATCH(RIGHT($B43,13)&amp;"|"&amp;$C43&amp;"|"&amp;$D43&amp;"|"&amp;K$14&amp;"|"&amp;"CY2023Q3",Spectrum!$R:$R,0)),0),""))</f>
        <v>1540</v>
      </c>
      <c r="L43" s="39" t="str">
        <f aca="false">IF(LEFT($B43,4)="_Mil","",_xlfn.IFNA(ROUND(INDEX(Spectrum!$N:$N,MATCH(RIGHT($B43,13)&amp;"|"&amp;$C43&amp;"|"&amp;$D43&amp;"|"&amp;L$14&amp;"|"&amp;"CY2023Q3",Spectrum!$R:$R,0)),0),""))</f>
        <v/>
      </c>
      <c r="M43" s="39" t="n">
        <f aca="false">IF(LEFT($B43,4)="_Mil","",_xlfn.IFNA(ROUND(INDEX(Spectrum!$N:$N,MATCH(RIGHT($B43,13)&amp;"|"&amp;$C43&amp;"|"&amp;$D43&amp;"|"&amp;M$14&amp;"|"&amp;"CY2023Q3",Spectrum!$R:$R,0)),0),""))</f>
        <v>1032</v>
      </c>
      <c r="N43" s="39" t="n">
        <f aca="false">IF(LEFT($B43,4)="_Mil","",_xlfn.IFNA(ROUND(INDEX(Spectrum!$N:$N,MATCH(RIGHT($B43,13)&amp;"|"&amp;$C43&amp;"|"&amp;$D43&amp;"|"&amp;N$14&amp;"|"&amp;"CY2023Q3",Spectrum!$R:$R,0)),0),""))</f>
        <v>1218</v>
      </c>
      <c r="O43" s="39" t="n">
        <f aca="false">IF(LEFT($B43,4)="_Mil","",_xlfn.IFNA(ROUND(INDEX(Spectrum!$N:$N,MATCH(RIGHT($B43,13)&amp;"|"&amp;$C43&amp;"|"&amp;$D43&amp;"|"&amp;O$14&amp;"|"&amp;"CY2023Q3",Spectrum!$R:$R,0)),0),""))</f>
        <v>720</v>
      </c>
      <c r="P43" s="39" t="n">
        <f aca="false">IF(LEFT($B43,4)="_Mil","",_xlfn.IFNA(ROUND(INDEX(Spectrum!$N:$N,MATCH(RIGHT($B43,13)&amp;"|"&amp;$C43&amp;"|"&amp;$D43&amp;"|"&amp;P$14&amp;"|"&amp;"CY2023Q3",Spectrum!$R:$R,0)),0),""))</f>
        <v>1283</v>
      </c>
      <c r="Q43" s="39" t="str">
        <f aca="false">IF(LEFT($B43,4)="_Mil","",_xlfn.IFNA(ROUND(INDEX(Spectrum!$N:$N,MATCH(RIGHT($B43,13)&amp;"|"&amp;$C43&amp;"|"&amp;$D43&amp;"|"&amp;Q$14&amp;"|"&amp;"CY2022Q3",Spectrum!$R:$R,0)),0),""))</f>
        <v/>
      </c>
      <c r="R43" s="10"/>
      <c r="S43" s="88" t="n">
        <f aca="false">0</f>
        <v>0</v>
      </c>
      <c r="T43" s="39" t="str">
        <f aca="false">IF(SUM($R43)=0,"",ROUND($R43*(1+$S43),0))</f>
        <v/>
      </c>
      <c r="U43" s="88" t="n">
        <f aca="false">IF(LEFT($B43,4)="_Mil","",IF(SUM($K43)=0,IF(SUM($R43)=0,"",1),MIN($R43/$K43,1)))</f>
        <v>0</v>
      </c>
      <c r="V43" s="39" t="str">
        <f aca="false">IF(OR(SUM($T43)=0,LEFT($B43,4)="_Mil"),"",ROUND($T43/$U43,0))</f>
        <v/>
      </c>
      <c r="W43" s="88"/>
      <c r="X43" s="88" t="n">
        <f aca="false">IF(SUM($K43,$W43)=0,"",MAX(IFERROR(SUM($L43)/$K43,0),SUM($W43)))</f>
        <v>0</v>
      </c>
      <c r="Y43" s="88"/>
      <c r="Z43" s="88" t="n">
        <f aca="false">IF(SUM($K43,$Y43)=0,"",MIN(SUM($Y43),IFERROR(SUM($M43)/(SUM($K43)-SUM($L43)),1)))</f>
        <v>0</v>
      </c>
      <c r="AA43" s="10" t="str">
        <f aca="false">$T43</f>
        <v/>
      </c>
      <c r="AB43" s="39" t="str">
        <f aca="false">IF(SUM($AA43)=0,"",IF(AND(SUM($AA43)&gt;0,$X43=""),"ENTER KNOWN POSITIVITY RATE",ROUND($AA43*$X43,0)))</f>
        <v/>
      </c>
      <c r="AC43" s="39" t="str">
        <f aca="false">IF(SUM($AA43)=0,"",IF(AND((SUM($AA43)-SUM($AB43))&gt;0,$Z43=""),"ENTER YIELD RATE",ROUND(($AA43-SUM($AB43))*$Z43,0)))</f>
        <v/>
      </c>
      <c r="AD43" s="39" t="str">
        <f aca="false">IF(SUM($AA43)=0,"",$AA43-SUM($AB43)-SUM($AC43))</f>
        <v/>
      </c>
      <c r="AE43" s="10" t="str">
        <f aca="false">$V43</f>
        <v/>
      </c>
      <c r="AF43" s="39" t="str">
        <f aca="false">IF(SUM($AE43)=0,"",ROUND($AE43*SUM($X43),0))</f>
        <v/>
      </c>
      <c r="AG43" s="39" t="str">
        <f aca="false">IF(SUM($AE43)=0,"",ROUND(($AE43-SUM($AF43))*SUM($Z43),0))</f>
        <v/>
      </c>
      <c r="AH43" s="39" t="str">
        <f aca="false">IF(SUM($AE43)=0,"",$AE43-SUM($AF43)-SUM($AG43))</f>
        <v/>
      </c>
      <c r="AI43" s="88" t="str">
        <f aca="false">IF(SUM($AC43)=0,"",INDEX(Cascade!$BG:$BG,MATCH($E43,Cascade!$E:$E,0)))</f>
        <v/>
      </c>
      <c r="AJ43" s="39" t="str">
        <f aca="false">$AB43</f>
        <v/>
      </c>
      <c r="AK43" s="39" t="str">
        <f aca="false">IF(SUM($AC43)=0,"",IF(AND($AI43="",SUM($AC43)&gt;0),"&lt;- Enter Linkage Rate",ROUND($AC43*$AI43,0)))</f>
        <v/>
      </c>
      <c r="AL43" s="39" t="str">
        <f aca="false">IF(SUM($AF43,$AG43)=0,"",SUM($AF43,$AG43))</f>
        <v/>
      </c>
      <c r="AM43" s="39" t="str">
        <f aca="false">$AF43</f>
        <v/>
      </c>
      <c r="AN43" s="39" t="str">
        <f aca="false">IF(SUM($AG43)=0,"",ROUND($AG43*SUM($AI43),0))</f>
        <v/>
      </c>
      <c r="AO43" s="10" t="str">
        <f aca="false">IFERROR(1/(1/MAX(SUM($T43)-SUM($AB43,$AC43),$AD43)),"")</f>
        <v/>
      </c>
      <c r="AP43" s="88"/>
      <c r="AQ43" s="88" t="str">
        <f aca="false">IF($AP43="","",$AP43)</f>
        <v/>
      </c>
      <c r="AR43" s="88" t="str">
        <f aca="false">IF(SUM($AO43)=0,"",INDEX(Cascade!$BG:$BG,MATCH($E43,Cascade!$E:$E,0)))</f>
        <v/>
      </c>
      <c r="AS43" s="39" t="str">
        <f aca="false">IF(SUM($AO43)=0,"",IF(AND(SUM($AO43)&gt;0,$AQ43=""),"ENTER YIELD RATE",ROUND($AO43*$AQ43,0)))</f>
        <v/>
      </c>
      <c r="AT43" s="39" t="str">
        <f aca="false">IF(SUM($AO43)=0,"",$AO43-SUM($AS43))</f>
        <v/>
      </c>
      <c r="AU43" s="10" t="str">
        <f aca="false">IF(SUM($AS43)=0,"",ROUND($AS43*$AR43,0))</f>
        <v/>
      </c>
      <c r="AV43" s="10" t="str">
        <f aca="false">IFERROR(1/(1/SUM($AC43,$AB43,$AS43)),"")</f>
        <v/>
      </c>
      <c r="AW43" s="10" t="str">
        <f aca="false">IFERROR(1/(1/INDEX(Cascade!$BH:$BH,MATCH($E43,Cascade!$E:$E,0))),"")</f>
        <v/>
      </c>
      <c r="AX43" s="10" t="str">
        <f aca="false">IF(SUM($AC43)=0,"",$AC43)</f>
        <v/>
      </c>
      <c r="AY43" s="10" t="str">
        <f aca="false">IF(SUM($AS43)=0,"",$AS43)</f>
        <v/>
      </c>
      <c r="AZ43" s="10" t="str">
        <f aca="false">IFERROR(1/(1/INDEX(TB!$P:$P,MATCH($E43,TB!$E:$E,0))),"")</f>
        <v/>
      </c>
      <c r="BA43" s="10" t="str">
        <f aca="false">IFERROR(1/(1/(SUM($AW43)-SUM($AX43:$AZ43))),"")</f>
        <v/>
      </c>
    </row>
    <row r="44" customFormat="false" ht="15" hidden="false" customHeight="false" outlineLevel="0" collapsed="false">
      <c r="A44" s="0" t="str">
        <f aca="false">INDEX(Prioritization!$D:$D,MATCH($B44,Prioritization!$A:$A,0))</f>
        <v>1 - Scale-up: Saturation</v>
      </c>
      <c r="B44" s="0" t="s">
        <v>199</v>
      </c>
      <c r="C44" s="0" t="s">
        <v>368</v>
      </c>
      <c r="D44" s="0" t="s">
        <v>30</v>
      </c>
      <c r="E44" s="0" t="str">
        <f aca="false">B44&amp;"|"&amp;C44&amp;"|"&amp;D44</f>
        <v>Mchinji District [kxuuIFpOXyO]|50+|Female</v>
      </c>
      <c r="F44" s="10" t="n">
        <f aca="false">IF(LEFT($B44,4)="_Mil","",INDEX(Cascade!$T:$T,MATCH($E44,Cascade!$E:$E,0)))</f>
        <v>1826</v>
      </c>
      <c r="G44" s="10" t="str">
        <f aca="false">IF(LEFT($B44,4)="_Mil","",INDEX(Cascade!$U:$U,MATCH($E44,Cascade!$E:$E,0)))</f>
        <v/>
      </c>
      <c r="H44" s="86" t="n">
        <f aca="false">IF(LEFT($B44,4)="_Mil","",INDEX(Cascade!$W:$W,MATCH($E44,Cascade!$E:$E,0)))</f>
        <v>1133</v>
      </c>
      <c r="I44" s="10" t="n">
        <f aca="false">IF(LEFT($B44,4)="_Mil","",INDEX(Cascade!$Z:$Z,MATCH($E44,Cascade!$E:$E,0)))</f>
        <v>1686</v>
      </c>
      <c r="J44" s="88" t="n">
        <f aca="false">IF(LEFT($B44,4)="_Mil","",INDEX(Cascade!$AA:$AA,MATCH($E44,Cascade!$E:$E,0)))</f>
        <v>1492</v>
      </c>
      <c r="K44" s="39" t="str">
        <f aca="false">IF(LEFT($B44,4)="_Mil","",_xlfn.IFNA(ROUND(INDEX(Spectrum!$N:$N,MATCH(RIGHT($B44,13)&amp;"|"&amp;$C44&amp;"|"&amp;$D44&amp;"|"&amp;K$14&amp;"|"&amp;"CY2023Q3",Spectrum!$R:$R,0)),0),""))</f>
        <v/>
      </c>
      <c r="L44" s="39" t="str">
        <f aca="false">IF(LEFT($B44,4)="_Mil","",_xlfn.IFNA(ROUND(INDEX(Spectrum!$N:$N,MATCH(RIGHT($B44,13)&amp;"|"&amp;$C44&amp;"|"&amp;$D44&amp;"|"&amp;L$14&amp;"|"&amp;"CY2023Q3",Spectrum!$R:$R,0)),0),""))</f>
        <v/>
      </c>
      <c r="M44" s="39" t="str">
        <f aca="false">IF(LEFT($B44,4)="_Mil","",_xlfn.IFNA(ROUND(INDEX(Spectrum!$N:$N,MATCH(RIGHT($B44,13)&amp;"|"&amp;$C44&amp;"|"&amp;$D44&amp;"|"&amp;M$14&amp;"|"&amp;"CY2023Q3",Spectrum!$R:$R,0)),0),""))</f>
        <v/>
      </c>
      <c r="N44" s="39" t="str">
        <f aca="false">IF(LEFT($B44,4)="_Mil","",_xlfn.IFNA(ROUND(INDEX(Spectrum!$N:$N,MATCH(RIGHT($B44,13)&amp;"|"&amp;$C44&amp;"|"&amp;$D44&amp;"|"&amp;N$14&amp;"|"&amp;"CY2023Q3",Spectrum!$R:$R,0)),0),""))</f>
        <v/>
      </c>
      <c r="O44" s="39" t="str">
        <f aca="false">IF(LEFT($B44,4)="_Mil","",_xlfn.IFNA(ROUND(INDEX(Spectrum!$N:$N,MATCH(RIGHT($B44,13)&amp;"|"&amp;$C44&amp;"|"&amp;$D44&amp;"|"&amp;O$14&amp;"|"&amp;"CY2023Q3",Spectrum!$R:$R,0)),0),""))</f>
        <v/>
      </c>
      <c r="P44" s="39" t="str">
        <f aca="false">IF(LEFT($B44,4)="_Mil","",_xlfn.IFNA(ROUND(INDEX(Spectrum!$N:$N,MATCH(RIGHT($B44,13)&amp;"|"&amp;$C44&amp;"|"&amp;$D44&amp;"|"&amp;P$14&amp;"|"&amp;"CY2023Q3",Spectrum!$R:$R,0)),0),""))</f>
        <v/>
      </c>
      <c r="Q44" s="39" t="str">
        <f aca="false">IF(LEFT($B44,4)="_Mil","",_xlfn.IFNA(ROUND(INDEX(Spectrum!$N:$N,MATCH(RIGHT($B44,13)&amp;"|"&amp;$C44&amp;"|"&amp;$D44&amp;"|"&amp;Q$14&amp;"|"&amp;"CY2022Q3",Spectrum!$R:$R,0)),0),""))</f>
        <v/>
      </c>
      <c r="R44" s="10"/>
      <c r="S44" s="88" t="n">
        <f aca="false">0</f>
        <v>0</v>
      </c>
      <c r="T44" s="39" t="str">
        <f aca="false">IF(SUM($R44)=0,"",ROUND($R44*(1+$S44),0))</f>
        <v/>
      </c>
      <c r="U44" s="88" t="str">
        <f aca="false">IF(LEFT($B44,4)="_Mil","",IF(SUM($K44)=0,IF(SUM($R44)=0,"",1),MIN($R44/$K44,1)))</f>
        <v/>
      </c>
      <c r="V44" s="39" t="str">
        <f aca="false">IF(OR(SUM($T44)=0,LEFT($B44,4)="_Mil"),"",ROUND($T44/$U44,0))</f>
        <v/>
      </c>
      <c r="W44" s="88"/>
      <c r="X44" s="88" t="str">
        <f aca="false">IF(SUM($K44,$W44)=0,"",MAX(IFERROR(SUM($L44)/$K44,0),SUM($W44)))</f>
        <v/>
      </c>
      <c r="Y44" s="88"/>
      <c r="Z44" s="88" t="str">
        <f aca="false">IF(SUM($K44,$Y44)=0,"",MIN(SUM($Y44),IFERROR(SUM($M44)/(SUM($K44)-SUM($L44)),1)))</f>
        <v/>
      </c>
      <c r="AA44" s="10" t="str">
        <f aca="false">$T44</f>
        <v/>
      </c>
      <c r="AB44" s="39" t="str">
        <f aca="false">IF(SUM($AA44)=0,"",IF(AND(SUM($AA44)&gt;0,$X44=""),"ENTER KNOWN POSITIVITY RATE",ROUND($AA44*$X44,0)))</f>
        <v/>
      </c>
      <c r="AC44" s="39" t="str">
        <f aca="false">IF(SUM($AA44)=0,"",IF(AND((SUM($AA44)-SUM($AB44))&gt;0,$Z44=""),"ENTER YIELD RATE",ROUND(($AA44-SUM($AB44))*$Z44,0)))</f>
        <v/>
      </c>
      <c r="AD44" s="39" t="str">
        <f aca="false">IF(SUM($AA44)=0,"",$AA44-SUM($AB44)-SUM($AC44))</f>
        <v/>
      </c>
      <c r="AE44" s="10" t="str">
        <f aca="false">$V44</f>
        <v/>
      </c>
      <c r="AF44" s="39" t="str">
        <f aca="false">IF(SUM($AE44)=0,"",ROUND($AE44*SUM($X44),0))</f>
        <v/>
      </c>
      <c r="AG44" s="39" t="str">
        <f aca="false">IF(SUM($AE44)=0,"",ROUND(($AE44-SUM($AF44))*SUM($Z44),0))</f>
        <v/>
      </c>
      <c r="AH44" s="39" t="str">
        <f aca="false">IF(SUM($AE44)=0,"",$AE44-SUM($AF44)-SUM($AG44))</f>
        <v/>
      </c>
      <c r="AI44" s="88" t="str">
        <f aca="false">IF(SUM($AC44)=0,"",INDEX(Cascade!$BG:$BG,MATCH($E44,Cascade!$E:$E,0)))</f>
        <v/>
      </c>
      <c r="AJ44" s="39" t="str">
        <f aca="false">$AB44</f>
        <v/>
      </c>
      <c r="AK44" s="39" t="str">
        <f aca="false">IF(SUM($AC44)=0,"",IF(AND($AI44="",SUM($AC44)&gt;0),"&lt;- Enter Linkage Rate",ROUND($AC44*$AI44,0)))</f>
        <v/>
      </c>
      <c r="AL44" s="39" t="str">
        <f aca="false">IF(SUM($AF44,$AG44)=0,"",SUM($AF44,$AG44))</f>
        <v/>
      </c>
      <c r="AM44" s="39" t="str">
        <f aca="false">$AF44</f>
        <v/>
      </c>
      <c r="AN44" s="39" t="str">
        <f aca="false">IF(SUM($AG44)=0,"",ROUND($AG44*SUM($AI44),0))</f>
        <v/>
      </c>
      <c r="AO44" s="10" t="str">
        <f aca="false">IFERROR(1/(1/MAX(SUM($T44)-SUM($AB44,$AC44),$AD44)),"")</f>
        <v/>
      </c>
      <c r="AP44" s="88"/>
      <c r="AQ44" s="88" t="str">
        <f aca="false">IF($AP44="","",$AP44)</f>
        <v/>
      </c>
      <c r="AR44" s="88" t="str">
        <f aca="false">IF(SUM($AO44)=0,"",INDEX(Cascade!$BG:$BG,MATCH($E44,Cascade!$E:$E,0)))</f>
        <v/>
      </c>
      <c r="AS44" s="39" t="str">
        <f aca="false">IF(SUM($AO44)=0,"",IF(AND(SUM($AO44)&gt;0,$AQ44=""),"ENTER YIELD RATE",ROUND($AO44*$AQ44,0)))</f>
        <v/>
      </c>
      <c r="AT44" s="39" t="str">
        <f aca="false">IF(SUM($AO44)=0,"",$AO44-SUM($AS44))</f>
        <v/>
      </c>
      <c r="AU44" s="10" t="str">
        <f aca="false">IF(SUM($AS44)=0,"",ROUND($AS44*$AR44,0))</f>
        <v/>
      </c>
      <c r="AV44" s="10" t="str">
        <f aca="false">IFERROR(1/(1/SUM($AC44,$AB44,$AS44)),"")</f>
        <v/>
      </c>
      <c r="AW44" s="10" t="str">
        <f aca="false">IFERROR(1/(1/INDEX(Cascade!$BH:$BH,MATCH($E44,Cascade!$E:$E,0))),"")</f>
        <v/>
      </c>
      <c r="AX44" s="10" t="str">
        <f aca="false">IF(SUM($AC44)=0,"",$AC44)</f>
        <v/>
      </c>
      <c r="AY44" s="10" t="str">
        <f aca="false">IF(SUM($AS44)=0,"",$AS44)</f>
        <v/>
      </c>
      <c r="AZ44" s="10" t="str">
        <f aca="false">IFERROR(1/(1/INDEX(TB!$P:$P,MATCH($E44,TB!$E:$E,0))),"")</f>
        <v/>
      </c>
      <c r="BA44" s="10" t="str">
        <f aca="false">IFERROR(1/(1/(SUM($AW44)-SUM($AX44:$AZ44))),"")</f>
        <v/>
      </c>
    </row>
    <row r="45" customFormat="false" ht="15" hidden="false" customHeight="false" outlineLevel="0" collapsed="false">
      <c r="A45" s="0" t="str">
        <f aca="false">INDEX(Prioritization!$D:$D,MATCH($B45,Prioritization!$A:$A,0))</f>
        <v>1 - Scale-up: Saturation</v>
      </c>
      <c r="B45" s="0" t="s">
        <v>200</v>
      </c>
      <c r="C45" s="0" t="s">
        <v>364</v>
      </c>
      <c r="D45" s="0" t="s">
        <v>30</v>
      </c>
      <c r="E45" s="0" t="str">
        <f aca="false">B45&amp;"|"&amp;C45&amp;"|"&amp;D45</f>
        <v>Nkhotakota District [YCKiBAp8QAg]|10-14|Female</v>
      </c>
      <c r="F45" s="10" t="n">
        <f aca="false">IF(LEFT($B45,4)="_Mil","",INDEX(Cascade!$T:$T,MATCH($E45,Cascade!$E:$E,0)))</f>
        <v>1523</v>
      </c>
      <c r="G45" s="10" t="str">
        <f aca="false">IF(LEFT($B45,4)="_Mil","",INDEX(Cascade!$U:$U,MATCH($E45,Cascade!$E:$E,0)))</f>
        <v/>
      </c>
      <c r="H45" s="86" t="n">
        <f aca="false">IF(LEFT($B45,4)="_Mil","",INDEX(Cascade!$W:$W,MATCH($E45,Cascade!$E:$E,0)))</f>
        <v>1754</v>
      </c>
      <c r="I45" s="10" t="n">
        <f aca="false">IF(LEFT($B45,4)="_Mil","",INDEX(Cascade!$Z:$Z,MATCH($E45,Cascade!$E:$E,0)))</f>
        <v>1398</v>
      </c>
      <c r="J45" s="88" t="n">
        <f aca="false">IF(LEFT($B45,4)="_Mil","",INDEX(Cascade!$AA:$AA,MATCH($E45,Cascade!$E:$E,0)))</f>
        <v>1913</v>
      </c>
      <c r="K45" s="39" t="str">
        <f aca="false">IF(LEFT($B45,4)="_Mil","",_xlfn.IFNA(ROUND(INDEX(Spectrum!$N:$N,MATCH(RIGHT($B45,13)&amp;"|"&amp;$C45&amp;"|"&amp;$D45&amp;"|"&amp;K$14&amp;"|"&amp;"CY2023Q3",Spectrum!$R:$R,0)),0),""))</f>
        <v/>
      </c>
      <c r="L45" s="39" t="str">
        <f aca="false">IF(LEFT($B45,4)="_Mil","",_xlfn.IFNA(ROUND(INDEX(Spectrum!$N:$N,MATCH(RIGHT($B45,13)&amp;"|"&amp;$C45&amp;"|"&amp;$D45&amp;"|"&amp;L$14&amp;"|"&amp;"CY2023Q3",Spectrum!$R:$R,0)),0),""))</f>
        <v/>
      </c>
      <c r="M45" s="39" t="str">
        <f aca="false">IF(LEFT($B45,4)="_Mil","",_xlfn.IFNA(ROUND(INDEX(Spectrum!$N:$N,MATCH(RIGHT($B45,13)&amp;"|"&amp;$C45&amp;"|"&amp;$D45&amp;"|"&amp;M$14&amp;"|"&amp;"CY2023Q3",Spectrum!$R:$R,0)),0),""))</f>
        <v/>
      </c>
      <c r="N45" s="39" t="str">
        <f aca="false">IF(LEFT($B45,4)="_Mil","",_xlfn.IFNA(ROUND(INDEX(Spectrum!$N:$N,MATCH(RIGHT($B45,13)&amp;"|"&amp;$C45&amp;"|"&amp;$D45&amp;"|"&amp;N$14&amp;"|"&amp;"CY2023Q3",Spectrum!$R:$R,0)),0),""))</f>
        <v/>
      </c>
      <c r="O45" s="39" t="str">
        <f aca="false">IF(LEFT($B45,4)="_Mil","",_xlfn.IFNA(ROUND(INDEX(Spectrum!$N:$N,MATCH(RIGHT($B45,13)&amp;"|"&amp;$C45&amp;"|"&amp;$D45&amp;"|"&amp;O$14&amp;"|"&amp;"CY2023Q3",Spectrum!$R:$R,0)),0),""))</f>
        <v/>
      </c>
      <c r="P45" s="39" t="str">
        <f aca="false">IF(LEFT($B45,4)="_Mil","",_xlfn.IFNA(ROUND(INDEX(Spectrum!$N:$N,MATCH(RIGHT($B45,13)&amp;"|"&amp;$C45&amp;"|"&amp;$D45&amp;"|"&amp;P$14&amp;"|"&amp;"CY2023Q3",Spectrum!$R:$R,0)),0),""))</f>
        <v/>
      </c>
      <c r="Q45" s="39" t="str">
        <f aca="false">IF(LEFT($B45,4)="_Mil","",_xlfn.IFNA(ROUND(INDEX(Spectrum!$N:$N,MATCH(RIGHT($B45,13)&amp;"|"&amp;$C45&amp;"|"&amp;$D45&amp;"|"&amp;Q$14&amp;"|"&amp;"CY2022Q3",Spectrum!$R:$R,0)),0),""))</f>
        <v/>
      </c>
      <c r="R45" s="10" t="n">
        <v>2</v>
      </c>
      <c r="S45" s="88" t="n">
        <f aca="false">0</f>
        <v>0</v>
      </c>
      <c r="T45" s="39" t="n">
        <f aca="false">IF(SUM($R45)=0,"",ROUND($R45*(1+$S45),0))</f>
        <v>2</v>
      </c>
      <c r="U45" s="88" t="n">
        <f aca="false">IF(LEFT($B45,4)="_Mil","",IF(SUM($K45)=0,IF(SUM($R45)=0,"",1),MIN($R45/$K45,1)))</f>
        <v>1</v>
      </c>
      <c r="V45" s="39" t="n">
        <f aca="false">IF(OR(SUM($T45)=0,LEFT($B45,4)="_Mil"),"",ROUND($T45/$U45,0))</f>
        <v>2</v>
      </c>
      <c r="W45" s="88"/>
      <c r="X45" s="88" t="str">
        <f aca="false">IF(SUM($K45,$W45)=0,"",MAX(IFERROR(SUM($L45)/$K45,0),SUM($W45)))</f>
        <v/>
      </c>
      <c r="Y45" s="88"/>
      <c r="Z45" s="88" t="str">
        <f aca="false">IF(SUM($K45,$Y45)=0,"",MIN(SUM($Y45),IFERROR(SUM($M45)/(SUM($K45)-SUM($L45)),1)))</f>
        <v/>
      </c>
      <c r="AA45" s="10" t="n">
        <f aca="false">$T45</f>
        <v>2</v>
      </c>
      <c r="AB45" s="39" t="str">
        <f aca="false">IF(SUM($AA45)=0,"",IF(AND(SUM($AA45)&gt;0,$X45=""),"ENTER KNOWN POSITIVITY RATE",ROUND($AA45*$X45,0)))</f>
        <v>ENTER KNOWN POSITIVITY RATE</v>
      </c>
      <c r="AC45" s="39" t="str">
        <f aca="false">IF(SUM($AA45)=0,"",IF(AND((SUM($AA45)-SUM($AB45))&gt;0,$Z45=""),"ENTER YIELD RATE",ROUND(($AA45-SUM($AB45))*$Z45,0)))</f>
        <v>ENTER YIELD RATE</v>
      </c>
      <c r="AD45" s="39" t="n">
        <f aca="false">IF(SUM($AA45)=0,"",$AA45-SUM($AB45)-SUM($AC45))</f>
        <v>2</v>
      </c>
      <c r="AE45" s="10" t="n">
        <f aca="false">$V45</f>
        <v>2</v>
      </c>
      <c r="AF45" s="39" t="n">
        <f aca="false">IF(SUM($AE45)=0,"",ROUND($AE45*SUM($X45),0))</f>
        <v>0</v>
      </c>
      <c r="AG45" s="39" t="n">
        <f aca="false">IF(SUM($AE45)=0,"",ROUND(($AE45-SUM($AF45))*SUM($Z45),0))</f>
        <v>0</v>
      </c>
      <c r="AH45" s="39" t="n">
        <f aca="false">IF(SUM($AE45)=0,"",$AE45-SUM($AF45)-SUM($AG45))</f>
        <v>2</v>
      </c>
      <c r="AI45" s="88" t="str">
        <f aca="false">IF(SUM($AC45)=0,"",INDEX(Cascade!$BG:$BG,MATCH($E45,Cascade!$E:$E,0)))</f>
        <v/>
      </c>
      <c r="AJ45" s="39" t="str">
        <f aca="false">$AB45</f>
        <v>ENTER KNOWN POSITIVITY RATE</v>
      </c>
      <c r="AK45" s="39" t="str">
        <f aca="false">IF(SUM($AC45)=0,"",IF(AND($AI45="",SUM($AC45)&gt;0),"&lt;- Enter Linkage Rate",ROUND($AC45*$AI45,0)))</f>
        <v/>
      </c>
      <c r="AL45" s="39" t="str">
        <f aca="false">IF(SUM($AF45,$AG45)=0,"",SUM($AF45,$AG45))</f>
        <v/>
      </c>
      <c r="AM45" s="39" t="n">
        <f aca="false">$AF45</f>
        <v>0</v>
      </c>
      <c r="AN45" s="39" t="str">
        <f aca="false">IF(SUM($AG45)=0,"",ROUND($AG45*SUM($AI45),0))</f>
        <v/>
      </c>
      <c r="AO45" s="10" t="n">
        <f aca="false">IFERROR(1/(1/MAX(SUM($T45)-SUM($AB45,$AC45),$AD45)),"")</f>
        <v>2</v>
      </c>
      <c r="AP45" s="88"/>
      <c r="AQ45" s="88" t="str">
        <f aca="false">IF($AP45="","",$AP45)</f>
        <v/>
      </c>
      <c r="AR45" s="88" t="n">
        <f aca="false">IF(SUM($AO45)=0,"",INDEX(Cascade!$BG:$BG,MATCH($E45,Cascade!$E:$E,0)))</f>
        <v>0.95</v>
      </c>
      <c r="AS45" s="39" t="str">
        <f aca="false">IF(SUM($AO45)=0,"",IF(AND(SUM($AO45)&gt;0,$AQ45=""),"ENTER YIELD RATE",ROUND($AO45*$AQ45,0)))</f>
        <v>ENTER YIELD RATE</v>
      </c>
      <c r="AT45" s="39" t="n">
        <f aca="false">IF(SUM($AO45)=0,"",$AO45-SUM($AS45))</f>
        <v>2</v>
      </c>
      <c r="AU45" s="10" t="str">
        <f aca="false">IF(SUM($AS45)=0,"",ROUND($AS45*$AR45,0))</f>
        <v/>
      </c>
      <c r="AV45" s="10" t="str">
        <f aca="false">IFERROR(1/(1/SUM($AC45,$AB45,$AS45)),"")</f>
        <v/>
      </c>
      <c r="AW45" s="10" t="n">
        <f aca="false">IFERROR(1/(1/INDEX(Cascade!$BH:$BH,MATCH($E45,Cascade!$E:$E,0))),"")</f>
        <v>-86</v>
      </c>
      <c r="AX45" s="10" t="str">
        <f aca="false">IF(SUM($AC45)=0,"",$AC45)</f>
        <v/>
      </c>
      <c r="AY45" s="10" t="str">
        <f aca="false">IF(SUM($AS45)=0,"",$AS45)</f>
        <v/>
      </c>
      <c r="AZ45" s="10" t="str">
        <f aca="false">IFERROR(1/(1/INDEX(TB!$P:$P,MATCH($E45,TB!$E:$E,0))),"")</f>
        <v/>
      </c>
      <c r="BA45" s="10" t="n">
        <f aca="false">IFERROR(1/(1/(SUM($AW45)-SUM($AX45:$AZ45))),"")</f>
        <v>-86</v>
      </c>
    </row>
    <row r="46" customFormat="false" ht="15" hidden="false" customHeight="false" outlineLevel="0" collapsed="false">
      <c r="A46" s="0" t="str">
        <f aca="false">INDEX(Prioritization!$D:$D,MATCH($B46,Prioritization!$A:$A,0))</f>
        <v>1 - Scale-up: Saturation</v>
      </c>
      <c r="B46" s="0" t="s">
        <v>200</v>
      </c>
      <c r="C46" s="0" t="s">
        <v>365</v>
      </c>
      <c r="D46" s="0" t="s">
        <v>30</v>
      </c>
      <c r="E46" s="0" t="str">
        <f aca="false">B46&amp;"|"&amp;C46&amp;"|"&amp;D46</f>
        <v>Nkhotakota District [YCKiBAp8QAg]|15-24|Female</v>
      </c>
      <c r="F46" s="10" t="n">
        <f aca="false">IF(LEFT($B46,4)="_Mil","",INDEX(Cascade!$T:$T,MATCH($E46,Cascade!$E:$E,0)))</f>
        <v>1599</v>
      </c>
      <c r="G46" s="10" t="str">
        <f aca="false">IF(LEFT($B46,4)="_Mil","",INDEX(Cascade!$U:$U,MATCH($E46,Cascade!$E:$E,0)))</f>
        <v/>
      </c>
      <c r="H46" s="86" t="n">
        <f aca="false">IF(LEFT($B46,4)="_Mil","",INDEX(Cascade!$W:$W,MATCH($E46,Cascade!$E:$E,0)))</f>
        <v>1616</v>
      </c>
      <c r="I46" s="10" t="n">
        <f aca="false">IF(LEFT($B46,4)="_Mil","",INDEX(Cascade!$Z:$Z,MATCH($E46,Cascade!$E:$E,0)))</f>
        <v>1116</v>
      </c>
      <c r="J46" s="88" t="n">
        <f aca="false">IF(LEFT($B46,4)="_Mil","",INDEX(Cascade!$AA:$AA,MATCH($E46,Cascade!$E:$E,0)))</f>
        <v>607</v>
      </c>
      <c r="K46" s="39" t="n">
        <f aca="false">IF(LEFT($B46,4)="_Mil","",_xlfn.IFNA(ROUND(INDEX(Spectrum!$N:$N,MATCH(RIGHT($B46,13)&amp;"|"&amp;$C46&amp;"|"&amp;$D46&amp;"|"&amp;K$14&amp;"|"&amp;"CY2023Q3",Spectrum!$R:$R,0)),0),""))</f>
        <v>1919</v>
      </c>
      <c r="L46" s="39" t="str">
        <f aca="false">IF(LEFT($B46,4)="_Mil","",_xlfn.IFNA(ROUND(INDEX(Spectrum!$N:$N,MATCH(RIGHT($B46,13)&amp;"|"&amp;$C46&amp;"|"&amp;$D46&amp;"|"&amp;L$14&amp;"|"&amp;"CY2023Q3",Spectrum!$R:$R,0)),0),""))</f>
        <v/>
      </c>
      <c r="M46" s="39" t="n">
        <f aca="false">IF(LEFT($B46,4)="_Mil","",_xlfn.IFNA(ROUND(INDEX(Spectrum!$N:$N,MATCH(RIGHT($B46,13)&amp;"|"&amp;$C46&amp;"|"&amp;$D46&amp;"|"&amp;M$14&amp;"|"&amp;"CY2023Q3",Spectrum!$R:$R,0)),0),""))</f>
        <v>1721</v>
      </c>
      <c r="N46" s="39" t="n">
        <f aca="false">IF(LEFT($B46,4)="_Mil","",_xlfn.IFNA(ROUND(INDEX(Spectrum!$N:$N,MATCH(RIGHT($B46,13)&amp;"|"&amp;$C46&amp;"|"&amp;$D46&amp;"|"&amp;N$14&amp;"|"&amp;"CY2023Q3",Spectrum!$R:$R,0)),0),""))</f>
        <v>784</v>
      </c>
      <c r="O46" s="39" t="n">
        <f aca="false">IF(LEFT($B46,4)="_Mil","",_xlfn.IFNA(ROUND(INDEX(Spectrum!$N:$N,MATCH(RIGHT($B46,13)&amp;"|"&amp;$C46&amp;"|"&amp;$D46&amp;"|"&amp;O$14&amp;"|"&amp;"CY2023Q3",Spectrum!$R:$R,0)),0),""))</f>
        <v>591</v>
      </c>
      <c r="P46" s="39" t="n">
        <f aca="false">IF(LEFT($B46,4)="_Mil","",_xlfn.IFNA(ROUND(INDEX(Spectrum!$N:$N,MATCH(RIGHT($B46,13)&amp;"|"&amp;$C46&amp;"|"&amp;$D46&amp;"|"&amp;P$14&amp;"|"&amp;"CY2023Q3",Spectrum!$R:$R,0)),0),""))</f>
        <v>869</v>
      </c>
      <c r="Q46" s="39" t="str">
        <f aca="false">IF(LEFT($B46,4)="_Mil","",_xlfn.IFNA(ROUND(INDEX(Spectrum!$N:$N,MATCH(RIGHT($B46,13)&amp;"|"&amp;$C46&amp;"|"&amp;$D46&amp;"|"&amp;Q$14&amp;"|"&amp;"CY2022Q3",Spectrum!$R:$R,0)),0),""))</f>
        <v/>
      </c>
      <c r="R46" s="10"/>
      <c r="S46" s="88" t="n">
        <f aca="false">0</f>
        <v>0</v>
      </c>
      <c r="T46" s="39" t="str">
        <f aca="false">IF(SUM($R46)=0,"",ROUND($R46*(1+$S46),0))</f>
        <v/>
      </c>
      <c r="U46" s="88" t="n">
        <f aca="false">IF(LEFT($B46,4)="_Mil","",IF(SUM($K46)=0,IF(SUM($R46)=0,"",1),MIN($R46/$K46,1)))</f>
        <v>0</v>
      </c>
      <c r="V46" s="39" t="str">
        <f aca="false">IF(OR(SUM($T46)=0,LEFT($B46,4)="_Mil"),"",ROUND($T46/$U46,0))</f>
        <v/>
      </c>
      <c r="W46" s="88"/>
      <c r="X46" s="88" t="n">
        <f aca="false">IF(SUM($K46,$W46)=0,"",MAX(IFERROR(SUM($L46)/$K46,0),SUM($W46)))</f>
        <v>0</v>
      </c>
      <c r="Y46" s="88"/>
      <c r="Z46" s="88" t="n">
        <f aca="false">IF(SUM($K46,$Y46)=0,"",MIN(SUM($Y46),IFERROR(SUM($M46)/(SUM($K46)-SUM($L46)),1)))</f>
        <v>0</v>
      </c>
      <c r="AA46" s="10" t="str">
        <f aca="false">$T46</f>
        <v/>
      </c>
      <c r="AB46" s="39" t="str">
        <f aca="false">IF(SUM($AA46)=0,"",IF(AND(SUM($AA46)&gt;0,$X46=""),"ENTER KNOWN POSITIVITY RATE",ROUND($AA46*$X46,0)))</f>
        <v/>
      </c>
      <c r="AC46" s="39" t="str">
        <f aca="false">IF(SUM($AA46)=0,"",IF(AND((SUM($AA46)-SUM($AB46))&gt;0,$Z46=""),"ENTER YIELD RATE",ROUND(($AA46-SUM($AB46))*$Z46,0)))</f>
        <v/>
      </c>
      <c r="AD46" s="39" t="str">
        <f aca="false">IF(SUM($AA46)=0,"",$AA46-SUM($AB46)-SUM($AC46))</f>
        <v/>
      </c>
      <c r="AE46" s="10" t="str">
        <f aca="false">$V46</f>
        <v/>
      </c>
      <c r="AF46" s="39" t="str">
        <f aca="false">IF(SUM($AE46)=0,"",ROUND($AE46*SUM($X46),0))</f>
        <v/>
      </c>
      <c r="AG46" s="39" t="str">
        <f aca="false">IF(SUM($AE46)=0,"",ROUND(($AE46-SUM($AF46))*SUM($Z46),0))</f>
        <v/>
      </c>
      <c r="AH46" s="39" t="str">
        <f aca="false">IF(SUM($AE46)=0,"",$AE46-SUM($AF46)-SUM($AG46))</f>
        <v/>
      </c>
      <c r="AI46" s="88" t="str">
        <f aca="false">IF(SUM($AC46)=0,"",INDEX(Cascade!$BG:$BG,MATCH($E46,Cascade!$E:$E,0)))</f>
        <v/>
      </c>
      <c r="AJ46" s="39" t="str">
        <f aca="false">$AB46</f>
        <v/>
      </c>
      <c r="AK46" s="39" t="str">
        <f aca="false">IF(SUM($AC46)=0,"",IF(AND($AI46="",SUM($AC46)&gt;0),"&lt;- Enter Linkage Rate",ROUND($AC46*$AI46,0)))</f>
        <v/>
      </c>
      <c r="AL46" s="39" t="str">
        <f aca="false">IF(SUM($AF46,$AG46)=0,"",SUM($AF46,$AG46))</f>
        <v/>
      </c>
      <c r="AM46" s="39" t="str">
        <f aca="false">$AF46</f>
        <v/>
      </c>
      <c r="AN46" s="39" t="str">
        <f aca="false">IF(SUM($AG46)=0,"",ROUND($AG46*SUM($AI46),0))</f>
        <v/>
      </c>
      <c r="AO46" s="10" t="str">
        <f aca="false">IFERROR(1/(1/MAX(SUM($T46)-SUM($AB46,$AC46),$AD46)),"")</f>
        <v/>
      </c>
      <c r="AP46" s="88"/>
      <c r="AQ46" s="88" t="str">
        <f aca="false">IF($AP46="","",$AP46)</f>
        <v/>
      </c>
      <c r="AR46" s="88" t="str">
        <f aca="false">IF(SUM($AO46)=0,"",INDEX(Cascade!$BG:$BG,MATCH($E46,Cascade!$E:$E,0)))</f>
        <v/>
      </c>
      <c r="AS46" s="39" t="str">
        <f aca="false">IF(SUM($AO46)=0,"",IF(AND(SUM($AO46)&gt;0,$AQ46=""),"ENTER YIELD RATE",ROUND($AO46*$AQ46,0)))</f>
        <v/>
      </c>
      <c r="AT46" s="39" t="str">
        <f aca="false">IF(SUM($AO46)=0,"",$AO46-SUM($AS46))</f>
        <v/>
      </c>
      <c r="AU46" s="10" t="str">
        <f aca="false">IF(SUM($AS46)=0,"",ROUND($AS46*$AR46,0))</f>
        <v/>
      </c>
      <c r="AV46" s="10" t="str">
        <f aca="false">IFERROR(1/(1/SUM($AC46,$AB46,$AS46)),"")</f>
        <v/>
      </c>
      <c r="AW46" s="10" t="str">
        <f aca="false">IFERROR(1/(1/INDEX(Cascade!$BH:$BH,MATCH($E46,Cascade!$E:$E,0))),"")</f>
        <v/>
      </c>
      <c r="AX46" s="10" t="str">
        <f aca="false">IF(SUM($AC46)=0,"",$AC46)</f>
        <v/>
      </c>
      <c r="AY46" s="10" t="str">
        <f aca="false">IF(SUM($AS46)=0,"",$AS46)</f>
        <v/>
      </c>
      <c r="AZ46" s="10" t="str">
        <f aca="false">IFERROR(1/(1/INDEX(TB!$P:$P,MATCH($E46,TB!$E:$E,0))),"")</f>
        <v/>
      </c>
      <c r="BA46" s="10" t="str">
        <f aca="false">IFERROR(1/(1/(SUM($AW46)-SUM($AX46:$AZ46))),"")</f>
        <v/>
      </c>
    </row>
    <row r="47" customFormat="false" ht="15" hidden="false" customHeight="false" outlineLevel="0" collapsed="false">
      <c r="A47" s="0" t="str">
        <f aca="false">INDEX(Prioritization!$D:$D,MATCH($B47,Prioritization!$A:$A,0))</f>
        <v>1 - Scale-up: Saturation</v>
      </c>
      <c r="B47" s="0" t="s">
        <v>200</v>
      </c>
      <c r="C47" s="0" t="s">
        <v>366</v>
      </c>
      <c r="D47" s="0" t="s">
        <v>30</v>
      </c>
      <c r="E47" s="0" t="str">
        <f aca="false">B47&amp;"|"&amp;C47&amp;"|"&amp;D47</f>
        <v>Nkhotakota District [YCKiBAp8QAg]|25-34|Female</v>
      </c>
      <c r="F47" s="10" t="n">
        <f aca="false">IF(LEFT($B47,4)="_Mil","",INDEX(Cascade!$T:$T,MATCH($E47,Cascade!$E:$E,0)))</f>
        <v>1237</v>
      </c>
      <c r="G47" s="10" t="str">
        <f aca="false">IF(LEFT($B47,4)="_Mil","",INDEX(Cascade!$U:$U,MATCH($E47,Cascade!$E:$E,0)))</f>
        <v/>
      </c>
      <c r="H47" s="86" t="n">
        <f aca="false">IF(LEFT($B47,4)="_Mil","",INDEX(Cascade!$W:$W,MATCH($E47,Cascade!$E:$E,0)))</f>
        <v>1905</v>
      </c>
      <c r="I47" s="10" t="n">
        <f aca="false">IF(LEFT($B47,4)="_Mil","",INDEX(Cascade!$Z:$Z,MATCH($E47,Cascade!$E:$E,0)))</f>
        <v>1564</v>
      </c>
      <c r="J47" s="88" t="n">
        <f aca="false">IF(LEFT($B47,4)="_Mil","",INDEX(Cascade!$AA:$AA,MATCH($E47,Cascade!$E:$E,0)))</f>
        <v>990</v>
      </c>
      <c r="K47" s="39" t="n">
        <f aca="false">IF(LEFT($B47,4)="_Mil","",_xlfn.IFNA(ROUND(INDEX(Spectrum!$N:$N,MATCH(RIGHT($B47,13)&amp;"|"&amp;$C47&amp;"|"&amp;$D47&amp;"|"&amp;K$14&amp;"|"&amp;"CY2023Q3",Spectrum!$R:$R,0)),0),""))</f>
        <v>600</v>
      </c>
      <c r="L47" s="39" t="str">
        <f aca="false">IF(LEFT($B47,4)="_Mil","",_xlfn.IFNA(ROUND(INDEX(Spectrum!$N:$N,MATCH(RIGHT($B47,13)&amp;"|"&amp;$C47&amp;"|"&amp;$D47&amp;"|"&amp;L$14&amp;"|"&amp;"CY2023Q3",Spectrum!$R:$R,0)),0),""))</f>
        <v/>
      </c>
      <c r="M47" s="39" t="n">
        <f aca="false">IF(LEFT($B47,4)="_Mil","",_xlfn.IFNA(ROUND(INDEX(Spectrum!$N:$N,MATCH(RIGHT($B47,13)&amp;"|"&amp;$C47&amp;"|"&amp;$D47&amp;"|"&amp;M$14&amp;"|"&amp;"CY2023Q3",Spectrum!$R:$R,0)),0),""))</f>
        <v>1847</v>
      </c>
      <c r="N47" s="39" t="n">
        <f aca="false">IF(LEFT($B47,4)="_Mil","",_xlfn.IFNA(ROUND(INDEX(Spectrum!$N:$N,MATCH(RIGHT($B47,13)&amp;"|"&amp;$C47&amp;"|"&amp;$D47&amp;"|"&amp;N$14&amp;"|"&amp;"CY2023Q3",Spectrum!$R:$R,0)),0),""))</f>
        <v>1011</v>
      </c>
      <c r="O47" s="39" t="n">
        <f aca="false">IF(LEFT($B47,4)="_Mil","",_xlfn.IFNA(ROUND(INDEX(Spectrum!$N:$N,MATCH(RIGHT($B47,13)&amp;"|"&amp;$C47&amp;"|"&amp;$D47&amp;"|"&amp;O$14&amp;"|"&amp;"CY2023Q3",Spectrum!$R:$R,0)),0),""))</f>
        <v>1138</v>
      </c>
      <c r="P47" s="39" t="n">
        <f aca="false">IF(LEFT($B47,4)="_Mil","",_xlfn.IFNA(ROUND(INDEX(Spectrum!$N:$N,MATCH(RIGHT($B47,13)&amp;"|"&amp;$C47&amp;"|"&amp;$D47&amp;"|"&amp;P$14&amp;"|"&amp;"CY2023Q3",Spectrum!$R:$R,0)),0),""))</f>
        <v>1362</v>
      </c>
      <c r="Q47" s="39" t="str">
        <f aca="false">IF(LEFT($B47,4)="_Mil","",_xlfn.IFNA(ROUND(INDEX(Spectrum!$N:$N,MATCH(RIGHT($B47,13)&amp;"|"&amp;$C47&amp;"|"&amp;$D47&amp;"|"&amp;Q$14&amp;"|"&amp;"CY2022Q3",Spectrum!$R:$R,0)),0),""))</f>
        <v/>
      </c>
      <c r="R47" s="10"/>
      <c r="S47" s="88" t="n">
        <f aca="false">0</f>
        <v>0</v>
      </c>
      <c r="T47" s="39" t="str">
        <f aca="false">IF(SUM($R47)=0,"",ROUND($R47*(1+$S47),0))</f>
        <v/>
      </c>
      <c r="U47" s="88" t="n">
        <f aca="false">IF(LEFT($B47,4)="_Mil","",IF(SUM($K47)=0,IF(SUM($R47)=0,"",1),MIN($R47/$K47,1)))</f>
        <v>0</v>
      </c>
      <c r="V47" s="39" t="str">
        <f aca="false">IF(OR(SUM($T47)=0,LEFT($B47,4)="_Mil"),"",ROUND($T47/$U47,0))</f>
        <v/>
      </c>
      <c r="W47" s="88"/>
      <c r="X47" s="88" t="n">
        <f aca="false">IF(SUM($K47,$W47)=0,"",MAX(IFERROR(SUM($L47)/$K47,0),SUM($W47)))</f>
        <v>0</v>
      </c>
      <c r="Y47" s="88"/>
      <c r="Z47" s="88" t="n">
        <f aca="false">IF(SUM($K47,$Y47)=0,"",MIN(SUM($Y47),IFERROR(SUM($M47)/(SUM($K47)-SUM($L47)),1)))</f>
        <v>0</v>
      </c>
      <c r="AA47" s="10" t="str">
        <f aca="false">$T47</f>
        <v/>
      </c>
      <c r="AB47" s="39" t="str">
        <f aca="false">IF(SUM($AA47)=0,"",IF(AND(SUM($AA47)&gt;0,$X47=""),"ENTER KNOWN POSITIVITY RATE",ROUND($AA47*$X47,0)))</f>
        <v/>
      </c>
      <c r="AC47" s="39" t="str">
        <f aca="false">IF(SUM($AA47)=0,"",IF(AND((SUM($AA47)-SUM($AB47))&gt;0,$Z47=""),"ENTER YIELD RATE",ROUND(($AA47-SUM($AB47))*$Z47,0)))</f>
        <v/>
      </c>
      <c r="AD47" s="39" t="str">
        <f aca="false">IF(SUM($AA47)=0,"",$AA47-SUM($AB47)-SUM($AC47))</f>
        <v/>
      </c>
      <c r="AE47" s="10" t="str">
        <f aca="false">$V47</f>
        <v/>
      </c>
      <c r="AF47" s="39" t="str">
        <f aca="false">IF(SUM($AE47)=0,"",ROUND($AE47*SUM($X47),0))</f>
        <v/>
      </c>
      <c r="AG47" s="39" t="str">
        <f aca="false">IF(SUM($AE47)=0,"",ROUND(($AE47-SUM($AF47))*SUM($Z47),0))</f>
        <v/>
      </c>
      <c r="AH47" s="39" t="str">
        <f aca="false">IF(SUM($AE47)=0,"",$AE47-SUM($AF47)-SUM($AG47))</f>
        <v/>
      </c>
      <c r="AI47" s="88" t="str">
        <f aca="false">IF(SUM($AC47)=0,"",INDEX(Cascade!$BG:$BG,MATCH($E47,Cascade!$E:$E,0)))</f>
        <v/>
      </c>
      <c r="AJ47" s="39" t="str">
        <f aca="false">$AB47</f>
        <v/>
      </c>
      <c r="AK47" s="39" t="str">
        <f aca="false">IF(SUM($AC47)=0,"",IF(AND($AI47="",SUM($AC47)&gt;0),"&lt;- Enter Linkage Rate",ROUND($AC47*$AI47,0)))</f>
        <v/>
      </c>
      <c r="AL47" s="39" t="str">
        <f aca="false">IF(SUM($AF47,$AG47)=0,"",SUM($AF47,$AG47))</f>
        <v/>
      </c>
      <c r="AM47" s="39" t="str">
        <f aca="false">$AF47</f>
        <v/>
      </c>
      <c r="AN47" s="39" t="str">
        <f aca="false">IF(SUM($AG47)=0,"",ROUND($AG47*SUM($AI47),0))</f>
        <v/>
      </c>
      <c r="AO47" s="10" t="str">
        <f aca="false">IFERROR(1/(1/MAX(SUM($T47)-SUM($AB47,$AC47),$AD47)),"")</f>
        <v/>
      </c>
      <c r="AP47" s="88"/>
      <c r="AQ47" s="88" t="str">
        <f aca="false">IF($AP47="","",$AP47)</f>
        <v/>
      </c>
      <c r="AR47" s="88" t="str">
        <f aca="false">IF(SUM($AO47)=0,"",INDEX(Cascade!$BG:$BG,MATCH($E47,Cascade!$E:$E,0)))</f>
        <v/>
      </c>
      <c r="AS47" s="39" t="str">
        <f aca="false">IF(SUM($AO47)=0,"",IF(AND(SUM($AO47)&gt;0,$AQ47=""),"ENTER YIELD RATE",ROUND($AO47*$AQ47,0)))</f>
        <v/>
      </c>
      <c r="AT47" s="39" t="str">
        <f aca="false">IF(SUM($AO47)=0,"",$AO47-SUM($AS47))</f>
        <v/>
      </c>
      <c r="AU47" s="10" t="str">
        <f aca="false">IF(SUM($AS47)=0,"",ROUND($AS47*$AR47,0))</f>
        <v/>
      </c>
      <c r="AV47" s="10" t="str">
        <f aca="false">IFERROR(1/(1/SUM($AC47,$AB47,$AS47)),"")</f>
        <v/>
      </c>
      <c r="AW47" s="10" t="str">
        <f aca="false">IFERROR(1/(1/INDEX(Cascade!$BH:$BH,MATCH($E47,Cascade!$E:$E,0))),"")</f>
        <v/>
      </c>
      <c r="AX47" s="10" t="str">
        <f aca="false">IF(SUM($AC47)=0,"",$AC47)</f>
        <v/>
      </c>
      <c r="AY47" s="10" t="str">
        <f aca="false">IF(SUM($AS47)=0,"",$AS47)</f>
        <v/>
      </c>
      <c r="AZ47" s="10" t="str">
        <f aca="false">IFERROR(1/(1/INDEX(TB!$P:$P,MATCH($E47,TB!$E:$E,0))),"")</f>
        <v/>
      </c>
      <c r="BA47" s="10" t="str">
        <f aca="false">IFERROR(1/(1/(SUM($AW47)-SUM($AX47:$AZ47))),"")</f>
        <v/>
      </c>
    </row>
    <row r="48" customFormat="false" ht="15" hidden="false" customHeight="false" outlineLevel="0" collapsed="false">
      <c r="A48" s="0" t="str">
        <f aca="false">INDEX(Prioritization!$D:$D,MATCH($B48,Prioritization!$A:$A,0))</f>
        <v>1 - Scale-up: Saturation</v>
      </c>
      <c r="B48" s="0" t="s">
        <v>200</v>
      </c>
      <c r="C48" s="0" t="s">
        <v>367</v>
      </c>
      <c r="D48" s="0" t="s">
        <v>30</v>
      </c>
      <c r="E48" s="0" t="str">
        <f aca="false">B48&amp;"|"&amp;C48&amp;"|"&amp;D48</f>
        <v>Nkhotakota District [YCKiBAp8QAg]|35-49|Female</v>
      </c>
      <c r="F48" s="10" t="n">
        <f aca="false">IF(LEFT($B48,4)="_Mil","",INDEX(Cascade!$T:$T,MATCH($E48,Cascade!$E:$E,0)))</f>
        <v>1440</v>
      </c>
      <c r="G48" s="10" t="str">
        <f aca="false">IF(LEFT($B48,4)="_Mil","",INDEX(Cascade!$U:$U,MATCH($E48,Cascade!$E:$E,0)))</f>
        <v/>
      </c>
      <c r="H48" s="86" t="n">
        <f aca="false">IF(LEFT($B48,4)="_Mil","",INDEX(Cascade!$W:$W,MATCH($E48,Cascade!$E:$E,0)))</f>
        <v>1121</v>
      </c>
      <c r="I48" s="10" t="n">
        <f aca="false">IF(LEFT($B48,4)="_Mil","",INDEX(Cascade!$Z:$Z,MATCH($E48,Cascade!$E:$E,0)))</f>
        <v>652</v>
      </c>
      <c r="J48" s="88" t="n">
        <f aca="false">IF(LEFT($B48,4)="_Mil","",INDEX(Cascade!$AA:$AA,MATCH($E48,Cascade!$E:$E,0)))</f>
        <v>667</v>
      </c>
      <c r="K48" s="39" t="n">
        <f aca="false">IF(LEFT($B48,4)="_Mil","",_xlfn.IFNA(ROUND(INDEX(Spectrum!$N:$N,MATCH(RIGHT($B48,13)&amp;"|"&amp;$C48&amp;"|"&amp;$D48&amp;"|"&amp;K$14&amp;"|"&amp;"CY2023Q3",Spectrum!$R:$R,0)),0),""))</f>
        <v>505</v>
      </c>
      <c r="L48" s="39" t="str">
        <f aca="false">IF(LEFT($B48,4)="_Mil","",_xlfn.IFNA(ROUND(INDEX(Spectrum!$N:$N,MATCH(RIGHT($B48,13)&amp;"|"&amp;$C48&amp;"|"&amp;$D48&amp;"|"&amp;L$14&amp;"|"&amp;"CY2023Q3",Spectrum!$R:$R,0)),0),""))</f>
        <v/>
      </c>
      <c r="M48" s="39" t="n">
        <f aca="false">IF(LEFT($B48,4)="_Mil","",_xlfn.IFNA(ROUND(INDEX(Spectrum!$N:$N,MATCH(RIGHT($B48,13)&amp;"|"&amp;$C48&amp;"|"&amp;$D48&amp;"|"&amp;M$14&amp;"|"&amp;"CY2023Q3",Spectrum!$R:$R,0)),0),""))</f>
        <v>802</v>
      </c>
      <c r="N48" s="39" t="n">
        <f aca="false">IF(LEFT($B48,4)="_Mil","",_xlfn.IFNA(ROUND(INDEX(Spectrum!$N:$N,MATCH(RIGHT($B48,13)&amp;"|"&amp;$C48&amp;"|"&amp;$D48&amp;"|"&amp;N$14&amp;"|"&amp;"CY2023Q3",Spectrum!$R:$R,0)),0),""))</f>
        <v>797</v>
      </c>
      <c r="O48" s="39" t="n">
        <f aca="false">IF(LEFT($B48,4)="_Mil","",_xlfn.IFNA(ROUND(INDEX(Spectrum!$N:$N,MATCH(RIGHT($B48,13)&amp;"|"&amp;$C48&amp;"|"&amp;$D48&amp;"|"&amp;O$14&amp;"|"&amp;"CY2023Q3",Spectrum!$R:$R,0)),0),""))</f>
        <v>1345</v>
      </c>
      <c r="P48" s="39" t="n">
        <f aca="false">IF(LEFT($B48,4)="_Mil","",_xlfn.IFNA(ROUND(INDEX(Spectrum!$N:$N,MATCH(RIGHT($B48,13)&amp;"|"&amp;$C48&amp;"|"&amp;$D48&amp;"|"&amp;P$14&amp;"|"&amp;"CY2023Q3",Spectrum!$R:$R,0)),0),""))</f>
        <v>1611</v>
      </c>
      <c r="Q48" s="39" t="str">
        <f aca="false">IF(LEFT($B48,4)="_Mil","",_xlfn.IFNA(ROUND(INDEX(Spectrum!$N:$N,MATCH(RIGHT($B48,13)&amp;"|"&amp;$C48&amp;"|"&amp;$D48&amp;"|"&amp;Q$14&amp;"|"&amp;"CY2022Q3",Spectrum!$R:$R,0)),0),""))</f>
        <v/>
      </c>
      <c r="R48" s="10"/>
      <c r="S48" s="88" t="n">
        <f aca="false">0</f>
        <v>0</v>
      </c>
      <c r="T48" s="39" t="str">
        <f aca="false">IF(SUM($R48)=0,"",ROUND($R48*(1+$S48),0))</f>
        <v/>
      </c>
      <c r="U48" s="88" t="n">
        <f aca="false">IF(LEFT($B48,4)="_Mil","",IF(SUM($K48)=0,IF(SUM($R48)=0,"",1),MIN($R48/$K48,1)))</f>
        <v>0</v>
      </c>
      <c r="V48" s="39" t="str">
        <f aca="false">IF(OR(SUM($T48)=0,LEFT($B48,4)="_Mil"),"",ROUND($T48/$U48,0))</f>
        <v/>
      </c>
      <c r="W48" s="88"/>
      <c r="X48" s="88" t="n">
        <f aca="false">IF(SUM($K48,$W48)=0,"",MAX(IFERROR(SUM($L48)/$K48,0),SUM($W48)))</f>
        <v>0</v>
      </c>
      <c r="Y48" s="88"/>
      <c r="Z48" s="88" t="n">
        <f aca="false">IF(SUM($K48,$Y48)=0,"",MIN(SUM($Y48),IFERROR(SUM($M48)/(SUM($K48)-SUM($L48)),1)))</f>
        <v>0</v>
      </c>
      <c r="AA48" s="10" t="str">
        <f aca="false">$T48</f>
        <v/>
      </c>
      <c r="AB48" s="39" t="str">
        <f aca="false">IF(SUM($AA48)=0,"",IF(AND(SUM($AA48)&gt;0,$X48=""),"ENTER KNOWN POSITIVITY RATE",ROUND($AA48*$X48,0)))</f>
        <v/>
      </c>
      <c r="AC48" s="39" t="str">
        <f aca="false">IF(SUM($AA48)=0,"",IF(AND((SUM($AA48)-SUM($AB48))&gt;0,$Z48=""),"ENTER YIELD RATE",ROUND(($AA48-SUM($AB48))*$Z48,0)))</f>
        <v/>
      </c>
      <c r="AD48" s="39" t="str">
        <f aca="false">IF(SUM($AA48)=0,"",$AA48-SUM($AB48)-SUM($AC48))</f>
        <v/>
      </c>
      <c r="AE48" s="10" t="str">
        <f aca="false">$V48</f>
        <v/>
      </c>
      <c r="AF48" s="39" t="str">
        <f aca="false">IF(SUM($AE48)=0,"",ROUND($AE48*SUM($X48),0))</f>
        <v/>
      </c>
      <c r="AG48" s="39" t="str">
        <f aca="false">IF(SUM($AE48)=0,"",ROUND(($AE48-SUM($AF48))*SUM($Z48),0))</f>
        <v/>
      </c>
      <c r="AH48" s="39" t="str">
        <f aca="false">IF(SUM($AE48)=0,"",$AE48-SUM($AF48)-SUM($AG48))</f>
        <v/>
      </c>
      <c r="AI48" s="88" t="str">
        <f aca="false">IF(SUM($AC48)=0,"",INDEX(Cascade!$BG:$BG,MATCH($E48,Cascade!$E:$E,0)))</f>
        <v/>
      </c>
      <c r="AJ48" s="39" t="str">
        <f aca="false">$AB48</f>
        <v/>
      </c>
      <c r="AK48" s="39" t="str">
        <f aca="false">IF(SUM($AC48)=0,"",IF(AND($AI48="",SUM($AC48)&gt;0),"&lt;- Enter Linkage Rate",ROUND($AC48*$AI48,0)))</f>
        <v/>
      </c>
      <c r="AL48" s="39" t="str">
        <f aca="false">IF(SUM($AF48,$AG48)=0,"",SUM($AF48,$AG48))</f>
        <v/>
      </c>
      <c r="AM48" s="39" t="str">
        <f aca="false">$AF48</f>
        <v/>
      </c>
      <c r="AN48" s="39" t="str">
        <f aca="false">IF(SUM($AG48)=0,"",ROUND($AG48*SUM($AI48),0))</f>
        <v/>
      </c>
      <c r="AO48" s="10" t="str">
        <f aca="false">IFERROR(1/(1/MAX(SUM($T48)-SUM($AB48,$AC48),$AD48)),"")</f>
        <v/>
      </c>
      <c r="AP48" s="88"/>
      <c r="AQ48" s="88" t="str">
        <f aca="false">IF($AP48="","",$AP48)</f>
        <v/>
      </c>
      <c r="AR48" s="88" t="str">
        <f aca="false">IF(SUM($AO48)=0,"",INDEX(Cascade!$BG:$BG,MATCH($E48,Cascade!$E:$E,0)))</f>
        <v/>
      </c>
      <c r="AS48" s="39" t="str">
        <f aca="false">IF(SUM($AO48)=0,"",IF(AND(SUM($AO48)&gt;0,$AQ48=""),"ENTER YIELD RATE",ROUND($AO48*$AQ48,0)))</f>
        <v/>
      </c>
      <c r="AT48" s="39" t="str">
        <f aca="false">IF(SUM($AO48)=0,"",$AO48-SUM($AS48))</f>
        <v/>
      </c>
      <c r="AU48" s="10" t="str">
        <f aca="false">IF(SUM($AS48)=0,"",ROUND($AS48*$AR48,0))</f>
        <v/>
      </c>
      <c r="AV48" s="10" t="str">
        <f aca="false">IFERROR(1/(1/SUM($AC48,$AB48,$AS48)),"")</f>
        <v/>
      </c>
      <c r="AW48" s="10" t="str">
        <f aca="false">IFERROR(1/(1/INDEX(Cascade!$BH:$BH,MATCH($E48,Cascade!$E:$E,0))),"")</f>
        <v/>
      </c>
      <c r="AX48" s="10" t="str">
        <f aca="false">IF(SUM($AC48)=0,"",$AC48)</f>
        <v/>
      </c>
      <c r="AY48" s="10" t="str">
        <f aca="false">IF(SUM($AS48)=0,"",$AS48)</f>
        <v/>
      </c>
      <c r="AZ48" s="10" t="str">
        <f aca="false">IFERROR(1/(1/INDEX(TB!$P:$P,MATCH($E48,TB!$E:$E,0))),"")</f>
        <v/>
      </c>
      <c r="BA48" s="10" t="str">
        <f aca="false">IFERROR(1/(1/(SUM($AW48)-SUM($AX48:$AZ48))),"")</f>
        <v/>
      </c>
    </row>
    <row r="49" customFormat="false" ht="15" hidden="false" customHeight="false" outlineLevel="0" collapsed="false">
      <c r="A49" s="0" t="str">
        <f aca="false">INDEX(Prioritization!$D:$D,MATCH($B49,Prioritization!$A:$A,0))</f>
        <v>1 - Scale-up: Saturation</v>
      </c>
      <c r="B49" s="0" t="s">
        <v>200</v>
      </c>
      <c r="C49" s="0" t="s">
        <v>368</v>
      </c>
      <c r="D49" s="0" t="s">
        <v>30</v>
      </c>
      <c r="E49" s="0" t="str">
        <f aca="false">B49&amp;"|"&amp;C49&amp;"|"&amp;D49</f>
        <v>Nkhotakota District [YCKiBAp8QAg]|50+|Female</v>
      </c>
      <c r="F49" s="10" t="n">
        <f aca="false">IF(LEFT($B49,4)="_Mil","",INDEX(Cascade!$T:$T,MATCH($E49,Cascade!$E:$E,0)))</f>
        <v>728</v>
      </c>
      <c r="G49" s="10" t="str">
        <f aca="false">IF(LEFT($B49,4)="_Mil","",INDEX(Cascade!$U:$U,MATCH($E49,Cascade!$E:$E,0)))</f>
        <v/>
      </c>
      <c r="H49" s="86" t="n">
        <f aca="false">IF(LEFT($B49,4)="_Mil","",INDEX(Cascade!$W:$W,MATCH($E49,Cascade!$E:$E,0)))</f>
        <v>774</v>
      </c>
      <c r="I49" s="10" t="n">
        <f aca="false">IF(LEFT($B49,4)="_Mil","",INDEX(Cascade!$Z:$Z,MATCH($E49,Cascade!$E:$E,0)))</f>
        <v>1301</v>
      </c>
      <c r="J49" s="88" t="n">
        <f aca="false">IF(LEFT($B49,4)="_Mil","",INDEX(Cascade!$AA:$AA,MATCH($E49,Cascade!$E:$E,0)))</f>
        <v>842</v>
      </c>
      <c r="K49" s="39" t="str">
        <f aca="false">IF(LEFT($B49,4)="_Mil","",_xlfn.IFNA(ROUND(INDEX(Spectrum!$N:$N,MATCH(RIGHT($B49,13)&amp;"|"&amp;$C49&amp;"|"&amp;$D49&amp;"|"&amp;K$14&amp;"|"&amp;"CY2023Q3",Spectrum!$R:$R,0)),0),""))</f>
        <v/>
      </c>
      <c r="L49" s="39" t="str">
        <f aca="false">IF(LEFT($B49,4)="_Mil","",_xlfn.IFNA(ROUND(INDEX(Spectrum!$N:$N,MATCH(RIGHT($B49,13)&amp;"|"&amp;$C49&amp;"|"&amp;$D49&amp;"|"&amp;L$14&amp;"|"&amp;"CY2023Q3",Spectrum!$R:$R,0)),0),""))</f>
        <v/>
      </c>
      <c r="M49" s="39" t="str">
        <f aca="false">IF(LEFT($B49,4)="_Mil","",_xlfn.IFNA(ROUND(INDEX(Spectrum!$N:$N,MATCH(RIGHT($B49,13)&amp;"|"&amp;$C49&amp;"|"&amp;$D49&amp;"|"&amp;M$14&amp;"|"&amp;"CY2023Q3",Spectrum!$R:$R,0)),0),""))</f>
        <v/>
      </c>
      <c r="N49" s="39" t="str">
        <f aca="false">IF(LEFT($B49,4)="_Mil","",_xlfn.IFNA(ROUND(INDEX(Spectrum!$N:$N,MATCH(RIGHT($B49,13)&amp;"|"&amp;$C49&amp;"|"&amp;$D49&amp;"|"&amp;N$14&amp;"|"&amp;"CY2023Q3",Spectrum!$R:$R,0)),0),""))</f>
        <v/>
      </c>
      <c r="O49" s="39" t="str">
        <f aca="false">IF(LEFT($B49,4)="_Mil","",_xlfn.IFNA(ROUND(INDEX(Spectrum!$N:$N,MATCH(RIGHT($B49,13)&amp;"|"&amp;$C49&amp;"|"&amp;$D49&amp;"|"&amp;O$14&amp;"|"&amp;"CY2023Q3",Spectrum!$R:$R,0)),0),""))</f>
        <v/>
      </c>
      <c r="P49" s="39" t="str">
        <f aca="false">IF(LEFT($B49,4)="_Mil","",_xlfn.IFNA(ROUND(INDEX(Spectrum!$N:$N,MATCH(RIGHT($B49,13)&amp;"|"&amp;$C49&amp;"|"&amp;$D49&amp;"|"&amp;P$14&amp;"|"&amp;"CY2023Q3",Spectrum!$R:$R,0)),0),""))</f>
        <v/>
      </c>
      <c r="Q49" s="39" t="str">
        <f aca="false">IF(LEFT($B49,4)="_Mil","",_xlfn.IFNA(ROUND(INDEX(Spectrum!$N:$N,MATCH(RIGHT($B49,13)&amp;"|"&amp;$C49&amp;"|"&amp;$D49&amp;"|"&amp;Q$14&amp;"|"&amp;"CY2022Q3",Spectrum!$R:$R,0)),0),""))</f>
        <v/>
      </c>
      <c r="R49" s="10"/>
      <c r="S49" s="88" t="n">
        <f aca="false">0</f>
        <v>0</v>
      </c>
      <c r="T49" s="39" t="str">
        <f aca="false">IF(SUM($R49)=0,"",ROUND($R49*(1+$S49),0))</f>
        <v/>
      </c>
      <c r="U49" s="88" t="str">
        <f aca="false">IF(LEFT($B49,4)="_Mil","",IF(SUM($K49)=0,IF(SUM($R49)=0,"",1),MIN($R49/$K49,1)))</f>
        <v/>
      </c>
      <c r="V49" s="39" t="str">
        <f aca="false">IF(OR(SUM($T49)=0,LEFT($B49,4)="_Mil"),"",ROUND($T49/$U49,0))</f>
        <v/>
      </c>
      <c r="W49" s="88"/>
      <c r="X49" s="88" t="str">
        <f aca="false">IF(SUM($K49,$W49)=0,"",MAX(IFERROR(SUM($L49)/$K49,0),SUM($W49)))</f>
        <v/>
      </c>
      <c r="Y49" s="88"/>
      <c r="Z49" s="88" t="str">
        <f aca="false">IF(SUM($K49,$Y49)=0,"",MIN(SUM($Y49),IFERROR(SUM($M49)/(SUM($K49)-SUM($L49)),1)))</f>
        <v/>
      </c>
      <c r="AA49" s="10" t="str">
        <f aca="false">$T49</f>
        <v/>
      </c>
      <c r="AB49" s="39" t="str">
        <f aca="false">IF(SUM($AA49)=0,"",IF(AND(SUM($AA49)&gt;0,$X49=""),"ENTER KNOWN POSITIVITY RATE",ROUND($AA49*$X49,0)))</f>
        <v/>
      </c>
      <c r="AC49" s="39" t="str">
        <f aca="false">IF(SUM($AA49)=0,"",IF(AND((SUM($AA49)-SUM($AB49))&gt;0,$Z49=""),"ENTER YIELD RATE",ROUND(($AA49-SUM($AB49))*$Z49,0)))</f>
        <v/>
      </c>
      <c r="AD49" s="39" t="str">
        <f aca="false">IF(SUM($AA49)=0,"",$AA49-SUM($AB49)-SUM($AC49))</f>
        <v/>
      </c>
      <c r="AE49" s="10" t="str">
        <f aca="false">$V49</f>
        <v/>
      </c>
      <c r="AF49" s="39" t="str">
        <f aca="false">IF(SUM($AE49)=0,"",ROUND($AE49*SUM($X49),0))</f>
        <v/>
      </c>
      <c r="AG49" s="39" t="str">
        <f aca="false">IF(SUM($AE49)=0,"",ROUND(($AE49-SUM($AF49))*SUM($Z49),0))</f>
        <v/>
      </c>
      <c r="AH49" s="39" t="str">
        <f aca="false">IF(SUM($AE49)=0,"",$AE49-SUM($AF49)-SUM($AG49))</f>
        <v/>
      </c>
      <c r="AI49" s="88" t="str">
        <f aca="false">IF(SUM($AC49)=0,"",INDEX(Cascade!$BG:$BG,MATCH($E49,Cascade!$E:$E,0)))</f>
        <v/>
      </c>
      <c r="AJ49" s="39" t="str">
        <f aca="false">$AB49</f>
        <v/>
      </c>
      <c r="AK49" s="39" t="str">
        <f aca="false">IF(SUM($AC49)=0,"",IF(AND($AI49="",SUM($AC49)&gt;0),"&lt;- Enter Linkage Rate",ROUND($AC49*$AI49,0)))</f>
        <v/>
      </c>
      <c r="AL49" s="39" t="str">
        <f aca="false">IF(SUM($AF49,$AG49)=0,"",SUM($AF49,$AG49))</f>
        <v/>
      </c>
      <c r="AM49" s="39" t="str">
        <f aca="false">$AF49</f>
        <v/>
      </c>
      <c r="AN49" s="39" t="str">
        <f aca="false">IF(SUM($AG49)=0,"",ROUND($AG49*SUM($AI49),0))</f>
        <v/>
      </c>
      <c r="AO49" s="10" t="str">
        <f aca="false">IFERROR(1/(1/MAX(SUM($T49)-SUM($AB49,$AC49),$AD49)),"")</f>
        <v/>
      </c>
      <c r="AP49" s="88"/>
      <c r="AQ49" s="88" t="str">
        <f aca="false">IF($AP49="","",$AP49)</f>
        <v/>
      </c>
      <c r="AR49" s="88" t="str">
        <f aca="false">IF(SUM($AO49)=0,"",INDEX(Cascade!$BG:$BG,MATCH($E49,Cascade!$E:$E,0)))</f>
        <v/>
      </c>
      <c r="AS49" s="39" t="str">
        <f aca="false">IF(SUM($AO49)=0,"",IF(AND(SUM($AO49)&gt;0,$AQ49=""),"ENTER YIELD RATE",ROUND($AO49*$AQ49,0)))</f>
        <v/>
      </c>
      <c r="AT49" s="39" t="str">
        <f aca="false">IF(SUM($AO49)=0,"",$AO49-SUM($AS49))</f>
        <v/>
      </c>
      <c r="AU49" s="10" t="str">
        <f aca="false">IF(SUM($AS49)=0,"",ROUND($AS49*$AR49,0))</f>
        <v/>
      </c>
      <c r="AV49" s="10" t="str">
        <f aca="false">IFERROR(1/(1/SUM($AC49,$AB49,$AS49)),"")</f>
        <v/>
      </c>
      <c r="AW49" s="10" t="str">
        <f aca="false">IFERROR(1/(1/INDEX(Cascade!$BH:$BH,MATCH($E49,Cascade!$E:$E,0))),"")</f>
        <v/>
      </c>
      <c r="AX49" s="10" t="str">
        <f aca="false">IF(SUM($AC49)=0,"",$AC49)</f>
        <v/>
      </c>
      <c r="AY49" s="10" t="str">
        <f aca="false">IF(SUM($AS49)=0,"",$AS49)</f>
        <v/>
      </c>
      <c r="AZ49" s="10" t="str">
        <f aca="false">IFERROR(1/(1/INDEX(TB!$P:$P,MATCH($E49,TB!$E:$E,0))),"")</f>
        <v/>
      </c>
      <c r="BA49" s="10" t="str">
        <f aca="false">IFERROR(1/(1/(SUM($AW49)-SUM($AX49:$AZ49))),"")</f>
        <v/>
      </c>
    </row>
    <row r="50" customFormat="false" ht="15" hidden="false" customHeight="false" outlineLevel="0" collapsed="false">
      <c r="A50" s="0" t="str">
        <f aca="false">INDEX(Prioritization!$D:$D,MATCH($B50,Prioritization!$A:$A,0))</f>
        <v>INVALID</v>
      </c>
      <c r="B50" s="0" t="s">
        <v>201</v>
      </c>
      <c r="C50" s="0" t="s">
        <v>364</v>
      </c>
      <c r="D50" s="0" t="s">
        <v>30</v>
      </c>
      <c r="E50" s="0" t="str">
        <f aca="false">B50&amp;"|"&amp;C50&amp;"|"&amp;D50</f>
        <v>Ntcheu District [am530wpaGvr]|10-14|Female</v>
      </c>
      <c r="F50" s="10" t="n">
        <f aca="false">IF(LEFT($B50,4)="_Mil","",INDEX(Cascade!$T:$T,MATCH($E50,Cascade!$E:$E,0)))</f>
        <v>1395</v>
      </c>
      <c r="G50" s="10" t="str">
        <f aca="false">IF(LEFT($B50,4)="_Mil","",INDEX(Cascade!$U:$U,MATCH($E50,Cascade!$E:$E,0)))</f>
        <v/>
      </c>
      <c r="H50" s="86" t="n">
        <f aca="false">IF(LEFT($B50,4)="_Mil","",INDEX(Cascade!$W:$W,MATCH($E50,Cascade!$E:$E,0)))</f>
        <v>768</v>
      </c>
      <c r="I50" s="10" t="n">
        <f aca="false">IF(LEFT($B50,4)="_Mil","",INDEX(Cascade!$Z:$Z,MATCH($E50,Cascade!$E:$E,0)))</f>
        <v>822</v>
      </c>
      <c r="J50" s="88" t="n">
        <f aca="false">IF(LEFT($B50,4)="_Mil","",INDEX(Cascade!$AA:$AA,MATCH($E50,Cascade!$E:$E,0)))</f>
        <v>1730</v>
      </c>
      <c r="K50" s="39" t="str">
        <f aca="false">IF(LEFT($B50,4)="_Mil","",_xlfn.IFNA(ROUND(INDEX(Spectrum!$N:$N,MATCH(RIGHT($B50,13)&amp;"|"&amp;$C50&amp;"|"&amp;$D50&amp;"|"&amp;K$14&amp;"|"&amp;"CY2023Q3",Spectrum!$R:$R,0)),0),""))</f>
        <v/>
      </c>
      <c r="L50" s="39" t="str">
        <f aca="false">IF(LEFT($B50,4)="_Mil","",_xlfn.IFNA(ROUND(INDEX(Spectrum!$N:$N,MATCH(RIGHT($B50,13)&amp;"|"&amp;$C50&amp;"|"&amp;$D50&amp;"|"&amp;L$14&amp;"|"&amp;"CY2023Q3",Spectrum!$R:$R,0)),0),""))</f>
        <v/>
      </c>
      <c r="M50" s="39" t="str">
        <f aca="false">IF(LEFT($B50,4)="_Mil","",_xlfn.IFNA(ROUND(INDEX(Spectrum!$N:$N,MATCH(RIGHT($B50,13)&amp;"|"&amp;$C50&amp;"|"&amp;$D50&amp;"|"&amp;M$14&amp;"|"&amp;"CY2023Q3",Spectrum!$R:$R,0)),0),""))</f>
        <v/>
      </c>
      <c r="N50" s="39" t="str">
        <f aca="false">IF(LEFT($B50,4)="_Mil","",_xlfn.IFNA(ROUND(INDEX(Spectrum!$N:$N,MATCH(RIGHT($B50,13)&amp;"|"&amp;$C50&amp;"|"&amp;$D50&amp;"|"&amp;N$14&amp;"|"&amp;"CY2023Q3",Spectrum!$R:$R,0)),0),""))</f>
        <v/>
      </c>
      <c r="O50" s="39" t="str">
        <f aca="false">IF(LEFT($B50,4)="_Mil","",_xlfn.IFNA(ROUND(INDEX(Spectrum!$N:$N,MATCH(RIGHT($B50,13)&amp;"|"&amp;$C50&amp;"|"&amp;$D50&amp;"|"&amp;O$14&amp;"|"&amp;"CY2023Q3",Spectrum!$R:$R,0)),0),""))</f>
        <v/>
      </c>
      <c r="P50" s="39" t="str">
        <f aca="false">IF(LEFT($B50,4)="_Mil","",_xlfn.IFNA(ROUND(INDEX(Spectrum!$N:$N,MATCH(RIGHT($B50,13)&amp;"|"&amp;$C50&amp;"|"&amp;$D50&amp;"|"&amp;P$14&amp;"|"&amp;"CY2023Q3",Spectrum!$R:$R,0)),0),""))</f>
        <v/>
      </c>
      <c r="Q50" s="39" t="str">
        <f aca="false">IF(LEFT($B50,4)="_Mil","",_xlfn.IFNA(ROUND(INDEX(Spectrum!$N:$N,MATCH(RIGHT($B50,13)&amp;"|"&amp;$C50&amp;"|"&amp;$D50&amp;"|"&amp;Q$14&amp;"|"&amp;"CY2022Q3",Spectrum!$R:$R,0)),0),""))</f>
        <v/>
      </c>
      <c r="R50" s="10" t="n">
        <v>7</v>
      </c>
      <c r="S50" s="88" t="n">
        <f aca="false">0</f>
        <v>0</v>
      </c>
      <c r="T50" s="39" t="n">
        <f aca="false">IF(SUM($R50)=0,"",ROUND($R50*(1+$S50),0))</f>
        <v>7</v>
      </c>
      <c r="U50" s="88" t="n">
        <f aca="false">IF(LEFT($B50,4)="_Mil","",IF(SUM($K50)=0,IF(SUM($R50)=0,"",1),MIN($R50/$K50,1)))</f>
        <v>1</v>
      </c>
      <c r="V50" s="39" t="n">
        <f aca="false">IF(OR(SUM($T50)=0,LEFT($B50,4)="_Mil"),"",ROUND($T50/$U50,0))</f>
        <v>7</v>
      </c>
      <c r="W50" s="88"/>
      <c r="X50" s="88" t="str">
        <f aca="false">IF(SUM($K50,$W50)=0,"",MAX(IFERROR(SUM($L50)/$K50,0),SUM($W50)))</f>
        <v/>
      </c>
      <c r="Y50" s="88"/>
      <c r="Z50" s="88" t="str">
        <f aca="false">IF(SUM($K50,$Y50)=0,"",MIN(SUM($Y50),IFERROR(SUM($M50)/(SUM($K50)-SUM($L50)),1)))</f>
        <v/>
      </c>
      <c r="AA50" s="10" t="n">
        <f aca="false">$T50</f>
        <v>7</v>
      </c>
      <c r="AB50" s="39" t="str">
        <f aca="false">IF(SUM($AA50)=0,"",IF(AND(SUM($AA50)&gt;0,$X50=""),"ENTER KNOWN POSITIVITY RATE",ROUND($AA50*$X50,0)))</f>
        <v>ENTER KNOWN POSITIVITY RATE</v>
      </c>
      <c r="AC50" s="39" t="str">
        <f aca="false">IF(SUM($AA50)=0,"",IF(AND((SUM($AA50)-SUM($AB50))&gt;0,$Z50=""),"ENTER YIELD RATE",ROUND(($AA50-SUM($AB50))*$Z50,0)))</f>
        <v>ENTER YIELD RATE</v>
      </c>
      <c r="AD50" s="39" t="n">
        <f aca="false">IF(SUM($AA50)=0,"",$AA50-SUM($AB50)-SUM($AC50))</f>
        <v>7</v>
      </c>
      <c r="AE50" s="10" t="n">
        <f aca="false">$V50</f>
        <v>7</v>
      </c>
      <c r="AF50" s="39" t="n">
        <f aca="false">IF(SUM($AE50)=0,"",ROUND($AE50*SUM($X50),0))</f>
        <v>0</v>
      </c>
      <c r="AG50" s="39" t="n">
        <f aca="false">IF(SUM($AE50)=0,"",ROUND(($AE50-SUM($AF50))*SUM($Z50),0))</f>
        <v>0</v>
      </c>
      <c r="AH50" s="39" t="n">
        <f aca="false">IF(SUM($AE50)=0,"",$AE50-SUM($AF50)-SUM($AG50))</f>
        <v>7</v>
      </c>
      <c r="AI50" s="88" t="str">
        <f aca="false">IF(SUM($AC50)=0,"",INDEX(Cascade!$BG:$BG,MATCH($E50,Cascade!$E:$E,0)))</f>
        <v/>
      </c>
      <c r="AJ50" s="39" t="str">
        <f aca="false">$AB50</f>
        <v>ENTER KNOWN POSITIVITY RATE</v>
      </c>
      <c r="AK50" s="39" t="str">
        <f aca="false">IF(SUM($AC50)=0,"",IF(AND($AI50="",SUM($AC50)&gt;0),"&lt;- Enter Linkage Rate",ROUND($AC50*$AI50,0)))</f>
        <v/>
      </c>
      <c r="AL50" s="39" t="str">
        <f aca="false">IF(SUM($AF50,$AG50)=0,"",SUM($AF50,$AG50))</f>
        <v/>
      </c>
      <c r="AM50" s="39" t="n">
        <f aca="false">$AF50</f>
        <v>0</v>
      </c>
      <c r="AN50" s="39" t="str">
        <f aca="false">IF(SUM($AG50)=0,"",ROUND($AG50*SUM($AI50),0))</f>
        <v/>
      </c>
      <c r="AO50" s="10" t="n">
        <f aca="false">IFERROR(1/(1/MAX(SUM($T50)-SUM($AB50,$AC50),$AD50)),"")</f>
        <v>7</v>
      </c>
      <c r="AP50" s="88"/>
      <c r="AQ50" s="88" t="str">
        <f aca="false">IF($AP50="","",$AP50)</f>
        <v/>
      </c>
      <c r="AR50" s="88" t="n">
        <f aca="false">IF(SUM($AO50)=0,"",INDEX(Cascade!$BG:$BG,MATCH($E50,Cascade!$E:$E,0)))</f>
        <v>0.95</v>
      </c>
      <c r="AS50" s="39" t="str">
        <f aca="false">IF(SUM($AO50)=0,"",IF(AND(SUM($AO50)&gt;0,$AQ50=""),"ENTER YIELD RATE",ROUND($AO50*$AQ50,0)))</f>
        <v>ENTER YIELD RATE</v>
      </c>
      <c r="AT50" s="39" t="n">
        <f aca="false">IF(SUM($AO50)=0,"",$AO50-SUM($AS50))</f>
        <v>7</v>
      </c>
      <c r="AU50" s="10" t="str">
        <f aca="false">IF(SUM($AS50)=0,"",ROUND($AS50*$AR50,0))</f>
        <v/>
      </c>
      <c r="AV50" s="10" t="str">
        <f aca="false">IFERROR(1/(1/SUM($AC50,$AB50,$AS50)),"")</f>
        <v/>
      </c>
      <c r="AW50" s="10" t="n">
        <f aca="false">IFERROR(1/(1/INDEX(Cascade!$BH:$BH,MATCH($E50,Cascade!$E:$E,0))),"")</f>
        <v>-84</v>
      </c>
      <c r="AX50" s="10" t="str">
        <f aca="false">IF(SUM($AC50)=0,"",$AC50)</f>
        <v/>
      </c>
      <c r="AY50" s="10" t="str">
        <f aca="false">IF(SUM($AS50)=0,"",$AS50)</f>
        <v/>
      </c>
      <c r="AZ50" s="10" t="str">
        <f aca="false">IFERROR(1/(1/INDEX(TB!$P:$P,MATCH($E50,TB!$E:$E,0))),"")</f>
        <v/>
      </c>
      <c r="BA50" s="10" t="n">
        <f aca="false">IFERROR(1/(1/(SUM($AW50)-SUM($AX50:$AZ50))),"")</f>
        <v>-84</v>
      </c>
    </row>
    <row r="51" customFormat="false" ht="15" hidden="false" customHeight="false" outlineLevel="0" collapsed="false">
      <c r="A51" s="0" t="str">
        <f aca="false">INDEX(Prioritization!$D:$D,MATCH($B51,Prioritization!$A:$A,0))</f>
        <v>INVALID</v>
      </c>
      <c r="B51" s="0" t="s">
        <v>201</v>
      </c>
      <c r="C51" s="0" t="s">
        <v>365</v>
      </c>
      <c r="D51" s="0" t="s">
        <v>30</v>
      </c>
      <c r="E51" s="0" t="str">
        <f aca="false">B51&amp;"|"&amp;C51&amp;"|"&amp;D51</f>
        <v>Ntcheu District [am530wpaGvr]|15-24|Female</v>
      </c>
      <c r="F51" s="10" t="n">
        <f aca="false">IF(LEFT($B51,4)="_Mil","",INDEX(Cascade!$T:$T,MATCH($E51,Cascade!$E:$E,0)))</f>
        <v>1559</v>
      </c>
      <c r="G51" s="10" t="str">
        <f aca="false">IF(LEFT($B51,4)="_Mil","",INDEX(Cascade!$U:$U,MATCH($E51,Cascade!$E:$E,0)))</f>
        <v/>
      </c>
      <c r="H51" s="86" t="n">
        <f aca="false">IF(LEFT($B51,4)="_Mil","",INDEX(Cascade!$W:$W,MATCH($E51,Cascade!$E:$E,0)))</f>
        <v>655</v>
      </c>
      <c r="I51" s="10" t="n">
        <f aca="false">IF(LEFT($B51,4)="_Mil","",INDEX(Cascade!$Z:$Z,MATCH($E51,Cascade!$E:$E,0)))</f>
        <v>1039</v>
      </c>
      <c r="J51" s="88" t="n">
        <f aca="false">IF(LEFT($B51,4)="_Mil","",INDEX(Cascade!$AA:$AA,MATCH($E51,Cascade!$E:$E,0)))</f>
        <v>1897</v>
      </c>
      <c r="K51" s="39" t="n">
        <f aca="false">IF(LEFT($B51,4)="_Mil","",_xlfn.IFNA(ROUND(INDEX(Spectrum!$N:$N,MATCH(RIGHT($B51,13)&amp;"|"&amp;$C51&amp;"|"&amp;$D51&amp;"|"&amp;K$14&amp;"|"&amp;"CY2023Q3",Spectrum!$R:$R,0)),0),""))</f>
        <v>563</v>
      </c>
      <c r="L51" s="39" t="str">
        <f aca="false">IF(LEFT($B51,4)="_Mil","",_xlfn.IFNA(ROUND(INDEX(Spectrum!$N:$N,MATCH(RIGHT($B51,13)&amp;"|"&amp;$C51&amp;"|"&amp;$D51&amp;"|"&amp;L$14&amp;"|"&amp;"CY2023Q3",Spectrum!$R:$R,0)),0),""))</f>
        <v/>
      </c>
      <c r="M51" s="39" t="n">
        <f aca="false">IF(LEFT($B51,4)="_Mil","",_xlfn.IFNA(ROUND(INDEX(Spectrum!$N:$N,MATCH(RIGHT($B51,13)&amp;"|"&amp;$C51&amp;"|"&amp;$D51&amp;"|"&amp;M$14&amp;"|"&amp;"CY2023Q3",Spectrum!$R:$R,0)),0),""))</f>
        <v>1741</v>
      </c>
      <c r="N51" s="39" t="n">
        <f aca="false">IF(LEFT($B51,4)="_Mil","",_xlfn.IFNA(ROUND(INDEX(Spectrum!$N:$N,MATCH(RIGHT($B51,13)&amp;"|"&amp;$C51&amp;"|"&amp;$D51&amp;"|"&amp;N$14&amp;"|"&amp;"CY2023Q3",Spectrum!$R:$R,0)),0),""))</f>
        <v>1822</v>
      </c>
      <c r="O51" s="39" t="n">
        <f aca="false">IF(LEFT($B51,4)="_Mil","",_xlfn.IFNA(ROUND(INDEX(Spectrum!$N:$N,MATCH(RIGHT($B51,13)&amp;"|"&amp;$C51&amp;"|"&amp;$D51&amp;"|"&amp;O$14&amp;"|"&amp;"CY2023Q3",Spectrum!$R:$R,0)),0),""))</f>
        <v>826</v>
      </c>
      <c r="P51" s="39" t="n">
        <f aca="false">IF(LEFT($B51,4)="_Mil","",_xlfn.IFNA(ROUND(INDEX(Spectrum!$N:$N,MATCH(RIGHT($B51,13)&amp;"|"&amp;$C51&amp;"|"&amp;$D51&amp;"|"&amp;P$14&amp;"|"&amp;"CY2023Q3",Spectrum!$R:$R,0)),0),""))</f>
        <v>1269</v>
      </c>
      <c r="Q51" s="39" t="str">
        <f aca="false">IF(LEFT($B51,4)="_Mil","",_xlfn.IFNA(ROUND(INDEX(Spectrum!$N:$N,MATCH(RIGHT($B51,13)&amp;"|"&amp;$C51&amp;"|"&amp;$D51&amp;"|"&amp;Q$14&amp;"|"&amp;"CY2022Q3",Spectrum!$R:$R,0)),0),""))</f>
        <v/>
      </c>
      <c r="R51" s="10"/>
      <c r="S51" s="88" t="n">
        <f aca="false">0</f>
        <v>0</v>
      </c>
      <c r="T51" s="39" t="str">
        <f aca="false">IF(SUM($R51)=0,"",ROUND($R51*(1+$S51),0))</f>
        <v/>
      </c>
      <c r="U51" s="88" t="n">
        <f aca="false">IF(LEFT($B51,4)="_Mil","",IF(SUM($K51)=0,IF(SUM($R51)=0,"",1),MIN($R51/$K51,1)))</f>
        <v>0</v>
      </c>
      <c r="V51" s="39" t="str">
        <f aca="false">IF(OR(SUM($T51)=0,LEFT($B51,4)="_Mil"),"",ROUND($T51/$U51,0))</f>
        <v/>
      </c>
      <c r="W51" s="88"/>
      <c r="X51" s="88" t="n">
        <f aca="false">IF(SUM($K51,$W51)=0,"",MAX(IFERROR(SUM($L51)/$K51,0),SUM($W51)))</f>
        <v>0</v>
      </c>
      <c r="Y51" s="88"/>
      <c r="Z51" s="88" t="n">
        <f aca="false">IF(SUM($K51,$Y51)=0,"",MIN(SUM($Y51),IFERROR(SUM($M51)/(SUM($K51)-SUM($L51)),1)))</f>
        <v>0</v>
      </c>
      <c r="AA51" s="10" t="str">
        <f aca="false">$T51</f>
        <v/>
      </c>
      <c r="AB51" s="39" t="str">
        <f aca="false">IF(SUM($AA51)=0,"",IF(AND(SUM($AA51)&gt;0,$X51=""),"ENTER KNOWN POSITIVITY RATE",ROUND($AA51*$X51,0)))</f>
        <v/>
      </c>
      <c r="AC51" s="39" t="str">
        <f aca="false">IF(SUM($AA51)=0,"",IF(AND((SUM($AA51)-SUM($AB51))&gt;0,$Z51=""),"ENTER YIELD RATE",ROUND(($AA51-SUM($AB51))*$Z51,0)))</f>
        <v/>
      </c>
      <c r="AD51" s="39" t="str">
        <f aca="false">IF(SUM($AA51)=0,"",$AA51-SUM($AB51)-SUM($AC51))</f>
        <v/>
      </c>
      <c r="AE51" s="10" t="str">
        <f aca="false">$V51</f>
        <v/>
      </c>
      <c r="AF51" s="39" t="str">
        <f aca="false">IF(SUM($AE51)=0,"",ROUND($AE51*SUM($X51),0))</f>
        <v/>
      </c>
      <c r="AG51" s="39" t="str">
        <f aca="false">IF(SUM($AE51)=0,"",ROUND(($AE51-SUM($AF51))*SUM($Z51),0))</f>
        <v/>
      </c>
      <c r="AH51" s="39" t="str">
        <f aca="false">IF(SUM($AE51)=0,"",$AE51-SUM($AF51)-SUM($AG51))</f>
        <v/>
      </c>
      <c r="AI51" s="88" t="str">
        <f aca="false">IF(SUM($AC51)=0,"",INDEX(Cascade!$BG:$BG,MATCH($E51,Cascade!$E:$E,0)))</f>
        <v/>
      </c>
      <c r="AJ51" s="39" t="str">
        <f aca="false">$AB51</f>
        <v/>
      </c>
      <c r="AK51" s="39" t="str">
        <f aca="false">IF(SUM($AC51)=0,"",IF(AND($AI51="",SUM($AC51)&gt;0),"&lt;- Enter Linkage Rate",ROUND($AC51*$AI51,0)))</f>
        <v/>
      </c>
      <c r="AL51" s="39" t="str">
        <f aca="false">IF(SUM($AF51,$AG51)=0,"",SUM($AF51,$AG51))</f>
        <v/>
      </c>
      <c r="AM51" s="39" t="str">
        <f aca="false">$AF51</f>
        <v/>
      </c>
      <c r="AN51" s="39" t="str">
        <f aca="false">IF(SUM($AG51)=0,"",ROUND($AG51*SUM($AI51),0))</f>
        <v/>
      </c>
      <c r="AO51" s="10" t="str">
        <f aca="false">IFERROR(1/(1/MAX(SUM($T51)-SUM($AB51,$AC51),$AD51)),"")</f>
        <v/>
      </c>
      <c r="AP51" s="88"/>
      <c r="AQ51" s="88" t="str">
        <f aca="false">IF($AP51="","",$AP51)</f>
        <v/>
      </c>
      <c r="AR51" s="88" t="str">
        <f aca="false">IF(SUM($AO51)=0,"",INDEX(Cascade!$BG:$BG,MATCH($E51,Cascade!$E:$E,0)))</f>
        <v/>
      </c>
      <c r="AS51" s="39" t="str">
        <f aca="false">IF(SUM($AO51)=0,"",IF(AND(SUM($AO51)&gt;0,$AQ51=""),"ENTER YIELD RATE",ROUND($AO51*$AQ51,0)))</f>
        <v/>
      </c>
      <c r="AT51" s="39" t="str">
        <f aca="false">IF(SUM($AO51)=0,"",$AO51-SUM($AS51))</f>
        <v/>
      </c>
      <c r="AU51" s="10" t="str">
        <f aca="false">IF(SUM($AS51)=0,"",ROUND($AS51*$AR51,0))</f>
        <v/>
      </c>
      <c r="AV51" s="10" t="str">
        <f aca="false">IFERROR(1/(1/SUM($AC51,$AB51,$AS51)),"")</f>
        <v/>
      </c>
      <c r="AW51" s="10" t="str">
        <f aca="false">IFERROR(1/(1/INDEX(Cascade!$BH:$BH,MATCH($E51,Cascade!$E:$E,0))),"")</f>
        <v/>
      </c>
      <c r="AX51" s="10" t="str">
        <f aca="false">IF(SUM($AC51)=0,"",$AC51)</f>
        <v/>
      </c>
      <c r="AY51" s="10" t="str">
        <f aca="false">IF(SUM($AS51)=0,"",$AS51)</f>
        <v/>
      </c>
      <c r="AZ51" s="10" t="str">
        <f aca="false">IFERROR(1/(1/INDEX(TB!$P:$P,MATCH($E51,TB!$E:$E,0))),"")</f>
        <v/>
      </c>
      <c r="BA51" s="10" t="str">
        <f aca="false">IFERROR(1/(1/(SUM($AW51)-SUM($AX51:$AZ51))),"")</f>
        <v/>
      </c>
    </row>
    <row r="52" customFormat="false" ht="15" hidden="false" customHeight="false" outlineLevel="0" collapsed="false">
      <c r="A52" s="0" t="str">
        <f aca="false">INDEX(Prioritization!$D:$D,MATCH($B52,Prioritization!$A:$A,0))</f>
        <v>INVALID</v>
      </c>
      <c r="B52" s="0" t="s">
        <v>201</v>
      </c>
      <c r="C52" s="0" t="s">
        <v>366</v>
      </c>
      <c r="D52" s="0" t="s">
        <v>30</v>
      </c>
      <c r="E52" s="0" t="str">
        <f aca="false">B52&amp;"|"&amp;C52&amp;"|"&amp;D52</f>
        <v>Ntcheu District [am530wpaGvr]|25-34|Female</v>
      </c>
      <c r="F52" s="10" t="n">
        <f aca="false">IF(LEFT($B52,4)="_Mil","",INDEX(Cascade!$T:$T,MATCH($E52,Cascade!$E:$E,0)))</f>
        <v>1284</v>
      </c>
      <c r="G52" s="10" t="str">
        <f aca="false">IF(LEFT($B52,4)="_Mil","",INDEX(Cascade!$U:$U,MATCH($E52,Cascade!$E:$E,0)))</f>
        <v/>
      </c>
      <c r="H52" s="86" t="n">
        <f aca="false">IF(LEFT($B52,4)="_Mil","",INDEX(Cascade!$W:$W,MATCH($E52,Cascade!$E:$E,0)))</f>
        <v>1893</v>
      </c>
      <c r="I52" s="10" t="n">
        <f aca="false">IF(LEFT($B52,4)="_Mil","",INDEX(Cascade!$Z:$Z,MATCH($E52,Cascade!$E:$E,0)))</f>
        <v>1932</v>
      </c>
      <c r="J52" s="88" t="n">
        <f aca="false">IF(LEFT($B52,4)="_Mil","",INDEX(Cascade!$AA:$AA,MATCH($E52,Cascade!$E:$E,0)))</f>
        <v>1115</v>
      </c>
      <c r="K52" s="39" t="n">
        <f aca="false">IF(LEFT($B52,4)="_Mil","",_xlfn.IFNA(ROUND(INDEX(Spectrum!$N:$N,MATCH(RIGHT($B52,13)&amp;"|"&amp;$C52&amp;"|"&amp;$D52&amp;"|"&amp;K$14&amp;"|"&amp;"CY2023Q3",Spectrum!$R:$R,0)),0),""))</f>
        <v>592</v>
      </c>
      <c r="L52" s="39" t="str">
        <f aca="false">IF(LEFT($B52,4)="_Mil","",_xlfn.IFNA(ROUND(INDEX(Spectrum!$N:$N,MATCH(RIGHT($B52,13)&amp;"|"&amp;$C52&amp;"|"&amp;$D52&amp;"|"&amp;L$14&amp;"|"&amp;"CY2023Q3",Spectrum!$R:$R,0)),0),""))</f>
        <v/>
      </c>
      <c r="M52" s="39" t="n">
        <f aca="false">IF(LEFT($B52,4)="_Mil","",_xlfn.IFNA(ROUND(INDEX(Spectrum!$N:$N,MATCH(RIGHT($B52,13)&amp;"|"&amp;$C52&amp;"|"&amp;$D52&amp;"|"&amp;M$14&amp;"|"&amp;"CY2023Q3",Spectrum!$R:$R,0)),0),""))</f>
        <v>1777</v>
      </c>
      <c r="N52" s="39" t="n">
        <f aca="false">IF(LEFT($B52,4)="_Mil","",_xlfn.IFNA(ROUND(INDEX(Spectrum!$N:$N,MATCH(RIGHT($B52,13)&amp;"|"&amp;$C52&amp;"|"&amp;$D52&amp;"|"&amp;N$14&amp;"|"&amp;"CY2023Q3",Spectrum!$R:$R,0)),0),""))</f>
        <v>1548</v>
      </c>
      <c r="O52" s="39" t="n">
        <f aca="false">IF(LEFT($B52,4)="_Mil","",_xlfn.IFNA(ROUND(INDEX(Spectrum!$N:$N,MATCH(RIGHT($B52,13)&amp;"|"&amp;$C52&amp;"|"&amp;$D52&amp;"|"&amp;O$14&amp;"|"&amp;"CY2023Q3",Spectrum!$R:$R,0)),0),""))</f>
        <v>999</v>
      </c>
      <c r="P52" s="39" t="n">
        <f aca="false">IF(LEFT($B52,4)="_Mil","",_xlfn.IFNA(ROUND(INDEX(Spectrum!$N:$N,MATCH(RIGHT($B52,13)&amp;"|"&amp;$C52&amp;"|"&amp;$D52&amp;"|"&amp;P$14&amp;"|"&amp;"CY2023Q3",Spectrum!$R:$R,0)),0),""))</f>
        <v>894</v>
      </c>
      <c r="Q52" s="39" t="str">
        <f aca="false">IF(LEFT($B52,4)="_Mil","",_xlfn.IFNA(ROUND(INDEX(Spectrum!$N:$N,MATCH(RIGHT($B52,13)&amp;"|"&amp;$C52&amp;"|"&amp;$D52&amp;"|"&amp;Q$14&amp;"|"&amp;"CY2022Q3",Spectrum!$R:$R,0)),0),""))</f>
        <v/>
      </c>
      <c r="R52" s="10"/>
      <c r="S52" s="88" t="n">
        <f aca="false">0</f>
        <v>0</v>
      </c>
      <c r="T52" s="39" t="str">
        <f aca="false">IF(SUM($R52)=0,"",ROUND($R52*(1+$S52),0))</f>
        <v/>
      </c>
      <c r="U52" s="88" t="n">
        <f aca="false">IF(LEFT($B52,4)="_Mil","",IF(SUM($K52)=0,IF(SUM($R52)=0,"",1),MIN($R52/$K52,1)))</f>
        <v>0</v>
      </c>
      <c r="V52" s="39" t="str">
        <f aca="false">IF(OR(SUM($T52)=0,LEFT($B52,4)="_Mil"),"",ROUND($T52/$U52,0))</f>
        <v/>
      </c>
      <c r="W52" s="88"/>
      <c r="X52" s="88" t="n">
        <f aca="false">IF(SUM($K52,$W52)=0,"",MAX(IFERROR(SUM($L52)/$K52,0),SUM($W52)))</f>
        <v>0</v>
      </c>
      <c r="Y52" s="88"/>
      <c r="Z52" s="88" t="n">
        <f aca="false">IF(SUM($K52,$Y52)=0,"",MIN(SUM($Y52),IFERROR(SUM($M52)/(SUM($K52)-SUM($L52)),1)))</f>
        <v>0</v>
      </c>
      <c r="AA52" s="10" t="str">
        <f aca="false">$T52</f>
        <v/>
      </c>
      <c r="AB52" s="39" t="str">
        <f aca="false">IF(SUM($AA52)=0,"",IF(AND(SUM($AA52)&gt;0,$X52=""),"ENTER KNOWN POSITIVITY RATE",ROUND($AA52*$X52,0)))</f>
        <v/>
      </c>
      <c r="AC52" s="39" t="str">
        <f aca="false">IF(SUM($AA52)=0,"",IF(AND((SUM($AA52)-SUM($AB52))&gt;0,$Z52=""),"ENTER YIELD RATE",ROUND(($AA52-SUM($AB52))*$Z52,0)))</f>
        <v/>
      </c>
      <c r="AD52" s="39" t="str">
        <f aca="false">IF(SUM($AA52)=0,"",$AA52-SUM($AB52)-SUM($AC52))</f>
        <v/>
      </c>
      <c r="AE52" s="10" t="str">
        <f aca="false">$V52</f>
        <v/>
      </c>
      <c r="AF52" s="39" t="str">
        <f aca="false">IF(SUM($AE52)=0,"",ROUND($AE52*SUM($X52),0))</f>
        <v/>
      </c>
      <c r="AG52" s="39" t="str">
        <f aca="false">IF(SUM($AE52)=0,"",ROUND(($AE52-SUM($AF52))*SUM($Z52),0))</f>
        <v/>
      </c>
      <c r="AH52" s="39" t="str">
        <f aca="false">IF(SUM($AE52)=0,"",$AE52-SUM($AF52)-SUM($AG52))</f>
        <v/>
      </c>
      <c r="AI52" s="88" t="str">
        <f aca="false">IF(SUM($AC52)=0,"",INDEX(Cascade!$BG:$BG,MATCH($E52,Cascade!$E:$E,0)))</f>
        <v/>
      </c>
      <c r="AJ52" s="39" t="str">
        <f aca="false">$AB52</f>
        <v/>
      </c>
      <c r="AK52" s="39" t="str">
        <f aca="false">IF(SUM($AC52)=0,"",IF(AND($AI52="",SUM($AC52)&gt;0),"&lt;- Enter Linkage Rate",ROUND($AC52*$AI52,0)))</f>
        <v/>
      </c>
      <c r="AL52" s="39" t="str">
        <f aca="false">IF(SUM($AF52,$AG52)=0,"",SUM($AF52,$AG52))</f>
        <v/>
      </c>
      <c r="AM52" s="39" t="str">
        <f aca="false">$AF52</f>
        <v/>
      </c>
      <c r="AN52" s="39" t="str">
        <f aca="false">IF(SUM($AG52)=0,"",ROUND($AG52*SUM($AI52),0))</f>
        <v/>
      </c>
      <c r="AO52" s="10" t="str">
        <f aca="false">IFERROR(1/(1/MAX(SUM($T52)-SUM($AB52,$AC52),$AD52)),"")</f>
        <v/>
      </c>
      <c r="AP52" s="88"/>
      <c r="AQ52" s="88" t="str">
        <f aca="false">IF($AP52="","",$AP52)</f>
        <v/>
      </c>
      <c r="AR52" s="88" t="str">
        <f aca="false">IF(SUM($AO52)=0,"",INDEX(Cascade!$BG:$BG,MATCH($E52,Cascade!$E:$E,0)))</f>
        <v/>
      </c>
      <c r="AS52" s="39" t="str">
        <f aca="false">IF(SUM($AO52)=0,"",IF(AND(SUM($AO52)&gt;0,$AQ52=""),"ENTER YIELD RATE",ROUND($AO52*$AQ52,0)))</f>
        <v/>
      </c>
      <c r="AT52" s="39" t="str">
        <f aca="false">IF(SUM($AO52)=0,"",$AO52-SUM($AS52))</f>
        <v/>
      </c>
      <c r="AU52" s="10" t="str">
        <f aca="false">IF(SUM($AS52)=0,"",ROUND($AS52*$AR52,0))</f>
        <v/>
      </c>
      <c r="AV52" s="10" t="str">
        <f aca="false">IFERROR(1/(1/SUM($AC52,$AB52,$AS52)),"")</f>
        <v/>
      </c>
      <c r="AW52" s="10" t="str">
        <f aca="false">IFERROR(1/(1/INDEX(Cascade!$BH:$BH,MATCH($E52,Cascade!$E:$E,0))),"")</f>
        <v/>
      </c>
      <c r="AX52" s="10" t="str">
        <f aca="false">IF(SUM($AC52)=0,"",$AC52)</f>
        <v/>
      </c>
      <c r="AY52" s="10" t="str">
        <f aca="false">IF(SUM($AS52)=0,"",$AS52)</f>
        <v/>
      </c>
      <c r="AZ52" s="10" t="str">
        <f aca="false">IFERROR(1/(1/INDEX(TB!$P:$P,MATCH($E52,TB!$E:$E,0))),"")</f>
        <v/>
      </c>
      <c r="BA52" s="10" t="str">
        <f aca="false">IFERROR(1/(1/(SUM($AW52)-SUM($AX52:$AZ52))),"")</f>
        <v/>
      </c>
    </row>
    <row r="53" customFormat="false" ht="15" hidden="false" customHeight="false" outlineLevel="0" collapsed="false">
      <c r="A53" s="0" t="str">
        <f aca="false">INDEX(Prioritization!$D:$D,MATCH($B53,Prioritization!$A:$A,0))</f>
        <v>INVALID</v>
      </c>
      <c r="B53" s="0" t="s">
        <v>201</v>
      </c>
      <c r="C53" s="0" t="s">
        <v>367</v>
      </c>
      <c r="D53" s="0" t="s">
        <v>30</v>
      </c>
      <c r="E53" s="0" t="str">
        <f aca="false">B53&amp;"|"&amp;C53&amp;"|"&amp;D53</f>
        <v>Ntcheu District [am530wpaGvr]|35-49|Female</v>
      </c>
      <c r="F53" s="10" t="n">
        <f aca="false">IF(LEFT($B53,4)="_Mil","",INDEX(Cascade!$T:$T,MATCH($E53,Cascade!$E:$E,0)))</f>
        <v>874</v>
      </c>
      <c r="G53" s="10" t="str">
        <f aca="false">IF(LEFT($B53,4)="_Mil","",INDEX(Cascade!$U:$U,MATCH($E53,Cascade!$E:$E,0)))</f>
        <v/>
      </c>
      <c r="H53" s="86" t="n">
        <f aca="false">IF(LEFT($B53,4)="_Mil","",INDEX(Cascade!$W:$W,MATCH($E53,Cascade!$E:$E,0)))</f>
        <v>715</v>
      </c>
      <c r="I53" s="10" t="n">
        <f aca="false">IF(LEFT($B53,4)="_Mil","",INDEX(Cascade!$Z:$Z,MATCH($E53,Cascade!$E:$E,0)))</f>
        <v>1606</v>
      </c>
      <c r="J53" s="88" t="n">
        <f aca="false">IF(LEFT($B53,4)="_Mil","",INDEX(Cascade!$AA:$AA,MATCH($E53,Cascade!$E:$E,0)))</f>
        <v>1338</v>
      </c>
      <c r="K53" s="39" t="n">
        <f aca="false">IF(LEFT($B53,4)="_Mil","",_xlfn.IFNA(ROUND(INDEX(Spectrum!$N:$N,MATCH(RIGHT($B53,13)&amp;"|"&amp;$C53&amp;"|"&amp;$D53&amp;"|"&amp;K$14&amp;"|"&amp;"CY2023Q3",Spectrum!$R:$R,0)),0),""))</f>
        <v>1128</v>
      </c>
      <c r="L53" s="39" t="str">
        <f aca="false">IF(LEFT($B53,4)="_Mil","",_xlfn.IFNA(ROUND(INDEX(Spectrum!$N:$N,MATCH(RIGHT($B53,13)&amp;"|"&amp;$C53&amp;"|"&amp;$D53&amp;"|"&amp;L$14&amp;"|"&amp;"CY2023Q3",Spectrum!$R:$R,0)),0),""))</f>
        <v/>
      </c>
      <c r="M53" s="39" t="n">
        <f aca="false">IF(LEFT($B53,4)="_Mil","",_xlfn.IFNA(ROUND(INDEX(Spectrum!$N:$N,MATCH(RIGHT($B53,13)&amp;"|"&amp;$C53&amp;"|"&amp;$D53&amp;"|"&amp;M$14&amp;"|"&amp;"CY2023Q3",Spectrum!$R:$R,0)),0),""))</f>
        <v>1409</v>
      </c>
      <c r="N53" s="39" t="n">
        <f aca="false">IF(LEFT($B53,4)="_Mil","",_xlfn.IFNA(ROUND(INDEX(Spectrum!$N:$N,MATCH(RIGHT($B53,13)&amp;"|"&amp;$C53&amp;"|"&amp;$D53&amp;"|"&amp;N$14&amp;"|"&amp;"CY2023Q3",Spectrum!$R:$R,0)),0),""))</f>
        <v>690</v>
      </c>
      <c r="O53" s="39" t="n">
        <f aca="false">IF(LEFT($B53,4)="_Mil","",_xlfn.IFNA(ROUND(INDEX(Spectrum!$N:$N,MATCH(RIGHT($B53,13)&amp;"|"&amp;$C53&amp;"|"&amp;$D53&amp;"|"&amp;O$14&amp;"|"&amp;"CY2023Q3",Spectrum!$R:$R,0)),0),""))</f>
        <v>1906</v>
      </c>
      <c r="P53" s="39" t="n">
        <f aca="false">IF(LEFT($B53,4)="_Mil","",_xlfn.IFNA(ROUND(INDEX(Spectrum!$N:$N,MATCH(RIGHT($B53,13)&amp;"|"&amp;$C53&amp;"|"&amp;$D53&amp;"|"&amp;P$14&amp;"|"&amp;"CY2023Q3",Spectrum!$R:$R,0)),0),""))</f>
        <v>1017</v>
      </c>
      <c r="Q53" s="39" t="str">
        <f aca="false">IF(LEFT($B53,4)="_Mil","",_xlfn.IFNA(ROUND(INDEX(Spectrum!$N:$N,MATCH(RIGHT($B53,13)&amp;"|"&amp;$C53&amp;"|"&amp;$D53&amp;"|"&amp;Q$14&amp;"|"&amp;"CY2022Q3",Spectrum!$R:$R,0)),0),""))</f>
        <v/>
      </c>
      <c r="R53" s="10"/>
      <c r="S53" s="88" t="n">
        <f aca="false">0</f>
        <v>0</v>
      </c>
      <c r="T53" s="39" t="str">
        <f aca="false">IF(SUM($R53)=0,"",ROUND($R53*(1+$S53),0))</f>
        <v/>
      </c>
      <c r="U53" s="88" t="n">
        <f aca="false">IF(LEFT($B53,4)="_Mil","",IF(SUM($K53)=0,IF(SUM($R53)=0,"",1),MIN($R53/$K53,1)))</f>
        <v>0</v>
      </c>
      <c r="V53" s="39" t="str">
        <f aca="false">IF(OR(SUM($T53)=0,LEFT($B53,4)="_Mil"),"",ROUND($T53/$U53,0))</f>
        <v/>
      </c>
      <c r="W53" s="88"/>
      <c r="X53" s="88" t="n">
        <f aca="false">IF(SUM($K53,$W53)=0,"",MAX(IFERROR(SUM($L53)/$K53,0),SUM($W53)))</f>
        <v>0</v>
      </c>
      <c r="Y53" s="88"/>
      <c r="Z53" s="88" t="n">
        <f aca="false">IF(SUM($K53,$Y53)=0,"",MIN(SUM($Y53),IFERROR(SUM($M53)/(SUM($K53)-SUM($L53)),1)))</f>
        <v>0</v>
      </c>
      <c r="AA53" s="10" t="str">
        <f aca="false">$T53</f>
        <v/>
      </c>
      <c r="AB53" s="39" t="str">
        <f aca="false">IF(SUM($AA53)=0,"",IF(AND(SUM($AA53)&gt;0,$X53=""),"ENTER KNOWN POSITIVITY RATE",ROUND($AA53*$X53,0)))</f>
        <v/>
      </c>
      <c r="AC53" s="39" t="str">
        <f aca="false">IF(SUM($AA53)=0,"",IF(AND((SUM($AA53)-SUM($AB53))&gt;0,$Z53=""),"ENTER YIELD RATE",ROUND(($AA53-SUM($AB53))*$Z53,0)))</f>
        <v/>
      </c>
      <c r="AD53" s="39" t="str">
        <f aca="false">IF(SUM($AA53)=0,"",$AA53-SUM($AB53)-SUM($AC53))</f>
        <v/>
      </c>
      <c r="AE53" s="10" t="str">
        <f aca="false">$V53</f>
        <v/>
      </c>
      <c r="AF53" s="39" t="str">
        <f aca="false">IF(SUM($AE53)=0,"",ROUND($AE53*SUM($X53),0))</f>
        <v/>
      </c>
      <c r="AG53" s="39" t="str">
        <f aca="false">IF(SUM($AE53)=0,"",ROUND(($AE53-SUM($AF53))*SUM($Z53),0))</f>
        <v/>
      </c>
      <c r="AH53" s="39" t="str">
        <f aca="false">IF(SUM($AE53)=0,"",$AE53-SUM($AF53)-SUM($AG53))</f>
        <v/>
      </c>
      <c r="AI53" s="88" t="str">
        <f aca="false">IF(SUM($AC53)=0,"",INDEX(Cascade!$BG:$BG,MATCH($E53,Cascade!$E:$E,0)))</f>
        <v/>
      </c>
      <c r="AJ53" s="39" t="str">
        <f aca="false">$AB53</f>
        <v/>
      </c>
      <c r="AK53" s="39" t="str">
        <f aca="false">IF(SUM($AC53)=0,"",IF(AND($AI53="",SUM($AC53)&gt;0),"&lt;- Enter Linkage Rate",ROUND($AC53*$AI53,0)))</f>
        <v/>
      </c>
      <c r="AL53" s="39" t="str">
        <f aca="false">IF(SUM($AF53,$AG53)=0,"",SUM($AF53,$AG53))</f>
        <v/>
      </c>
      <c r="AM53" s="39" t="str">
        <f aca="false">$AF53</f>
        <v/>
      </c>
      <c r="AN53" s="39" t="str">
        <f aca="false">IF(SUM($AG53)=0,"",ROUND($AG53*SUM($AI53),0))</f>
        <v/>
      </c>
      <c r="AO53" s="10" t="str">
        <f aca="false">IFERROR(1/(1/MAX(SUM($T53)-SUM($AB53,$AC53),$AD53)),"")</f>
        <v/>
      </c>
      <c r="AP53" s="88"/>
      <c r="AQ53" s="88" t="str">
        <f aca="false">IF($AP53="","",$AP53)</f>
        <v/>
      </c>
      <c r="AR53" s="88" t="str">
        <f aca="false">IF(SUM($AO53)=0,"",INDEX(Cascade!$BG:$BG,MATCH($E53,Cascade!$E:$E,0)))</f>
        <v/>
      </c>
      <c r="AS53" s="39" t="str">
        <f aca="false">IF(SUM($AO53)=0,"",IF(AND(SUM($AO53)&gt;0,$AQ53=""),"ENTER YIELD RATE",ROUND($AO53*$AQ53,0)))</f>
        <v/>
      </c>
      <c r="AT53" s="39" t="str">
        <f aca="false">IF(SUM($AO53)=0,"",$AO53-SUM($AS53))</f>
        <v/>
      </c>
      <c r="AU53" s="10" t="str">
        <f aca="false">IF(SUM($AS53)=0,"",ROUND($AS53*$AR53,0))</f>
        <v/>
      </c>
      <c r="AV53" s="10" t="str">
        <f aca="false">IFERROR(1/(1/SUM($AC53,$AB53,$AS53)),"")</f>
        <v/>
      </c>
      <c r="AW53" s="10" t="str">
        <f aca="false">IFERROR(1/(1/INDEX(Cascade!$BH:$BH,MATCH($E53,Cascade!$E:$E,0))),"")</f>
        <v/>
      </c>
      <c r="AX53" s="10" t="str">
        <f aca="false">IF(SUM($AC53)=0,"",$AC53)</f>
        <v/>
      </c>
      <c r="AY53" s="10" t="str">
        <f aca="false">IF(SUM($AS53)=0,"",$AS53)</f>
        <v/>
      </c>
      <c r="AZ53" s="10" t="str">
        <f aca="false">IFERROR(1/(1/INDEX(TB!$P:$P,MATCH($E53,TB!$E:$E,0))),"")</f>
        <v/>
      </c>
      <c r="BA53" s="10" t="str">
        <f aca="false">IFERROR(1/(1/(SUM($AW53)-SUM($AX53:$AZ53))),"")</f>
        <v/>
      </c>
    </row>
    <row r="54" customFormat="false" ht="15" hidden="false" customHeight="false" outlineLevel="0" collapsed="false">
      <c r="A54" s="0" t="str">
        <f aca="false">INDEX(Prioritization!$D:$D,MATCH($B54,Prioritization!$A:$A,0))</f>
        <v>INVALID</v>
      </c>
      <c r="B54" s="0" t="s">
        <v>201</v>
      </c>
      <c r="C54" s="0" t="s">
        <v>368</v>
      </c>
      <c r="D54" s="0" t="s">
        <v>30</v>
      </c>
      <c r="E54" s="0" t="str">
        <f aca="false">B54&amp;"|"&amp;C54&amp;"|"&amp;D54</f>
        <v>Ntcheu District [am530wpaGvr]|50+|Female</v>
      </c>
      <c r="F54" s="10" t="n">
        <f aca="false">IF(LEFT($B54,4)="_Mil","",INDEX(Cascade!$T:$T,MATCH($E54,Cascade!$E:$E,0)))</f>
        <v>1391</v>
      </c>
      <c r="G54" s="10" t="str">
        <f aca="false">IF(LEFT($B54,4)="_Mil","",INDEX(Cascade!$U:$U,MATCH($E54,Cascade!$E:$E,0)))</f>
        <v/>
      </c>
      <c r="H54" s="86" t="n">
        <f aca="false">IF(LEFT($B54,4)="_Mil","",INDEX(Cascade!$W:$W,MATCH($E54,Cascade!$E:$E,0)))</f>
        <v>928</v>
      </c>
      <c r="I54" s="10" t="n">
        <f aca="false">IF(LEFT($B54,4)="_Mil","",INDEX(Cascade!$Z:$Z,MATCH($E54,Cascade!$E:$E,0)))</f>
        <v>726</v>
      </c>
      <c r="J54" s="88" t="n">
        <f aca="false">IF(LEFT($B54,4)="_Mil","",INDEX(Cascade!$AA:$AA,MATCH($E54,Cascade!$E:$E,0)))</f>
        <v>1518</v>
      </c>
      <c r="K54" s="39" t="str">
        <f aca="false">IF(LEFT($B54,4)="_Mil","",_xlfn.IFNA(ROUND(INDEX(Spectrum!$N:$N,MATCH(RIGHT($B54,13)&amp;"|"&amp;$C54&amp;"|"&amp;$D54&amp;"|"&amp;K$14&amp;"|"&amp;"CY2023Q3",Spectrum!$R:$R,0)),0),""))</f>
        <v/>
      </c>
      <c r="L54" s="39" t="str">
        <f aca="false">IF(LEFT($B54,4)="_Mil","",_xlfn.IFNA(ROUND(INDEX(Spectrum!$N:$N,MATCH(RIGHT($B54,13)&amp;"|"&amp;$C54&amp;"|"&amp;$D54&amp;"|"&amp;L$14&amp;"|"&amp;"CY2023Q3",Spectrum!$R:$R,0)),0),""))</f>
        <v/>
      </c>
      <c r="M54" s="39" t="str">
        <f aca="false">IF(LEFT($B54,4)="_Mil","",_xlfn.IFNA(ROUND(INDEX(Spectrum!$N:$N,MATCH(RIGHT($B54,13)&amp;"|"&amp;$C54&amp;"|"&amp;$D54&amp;"|"&amp;M$14&amp;"|"&amp;"CY2023Q3",Spectrum!$R:$R,0)),0),""))</f>
        <v/>
      </c>
      <c r="N54" s="39" t="str">
        <f aca="false">IF(LEFT($B54,4)="_Mil","",_xlfn.IFNA(ROUND(INDEX(Spectrum!$N:$N,MATCH(RIGHT($B54,13)&amp;"|"&amp;$C54&amp;"|"&amp;$D54&amp;"|"&amp;N$14&amp;"|"&amp;"CY2023Q3",Spectrum!$R:$R,0)),0),""))</f>
        <v/>
      </c>
      <c r="O54" s="39" t="str">
        <f aca="false">IF(LEFT($B54,4)="_Mil","",_xlfn.IFNA(ROUND(INDEX(Spectrum!$N:$N,MATCH(RIGHT($B54,13)&amp;"|"&amp;$C54&amp;"|"&amp;$D54&amp;"|"&amp;O$14&amp;"|"&amp;"CY2023Q3",Spectrum!$R:$R,0)),0),""))</f>
        <v/>
      </c>
      <c r="P54" s="39" t="str">
        <f aca="false">IF(LEFT($B54,4)="_Mil","",_xlfn.IFNA(ROUND(INDEX(Spectrum!$N:$N,MATCH(RIGHT($B54,13)&amp;"|"&amp;$C54&amp;"|"&amp;$D54&amp;"|"&amp;P$14&amp;"|"&amp;"CY2023Q3",Spectrum!$R:$R,0)),0),""))</f>
        <v/>
      </c>
      <c r="Q54" s="39" t="str">
        <f aca="false">IF(LEFT($B54,4)="_Mil","",_xlfn.IFNA(ROUND(INDEX(Spectrum!$N:$N,MATCH(RIGHT($B54,13)&amp;"|"&amp;$C54&amp;"|"&amp;$D54&amp;"|"&amp;Q$14&amp;"|"&amp;"CY2022Q3",Spectrum!$R:$R,0)),0),""))</f>
        <v/>
      </c>
      <c r="R54" s="10"/>
      <c r="S54" s="88" t="n">
        <f aca="false">0</f>
        <v>0</v>
      </c>
      <c r="T54" s="39" t="str">
        <f aca="false">IF(SUM($R54)=0,"",ROUND($R54*(1+$S54),0))</f>
        <v/>
      </c>
      <c r="U54" s="88" t="str">
        <f aca="false">IF(LEFT($B54,4)="_Mil","",IF(SUM($K54)=0,IF(SUM($R54)=0,"",1),MIN($R54/$K54,1)))</f>
        <v/>
      </c>
      <c r="V54" s="39" t="str">
        <f aca="false">IF(OR(SUM($T54)=0,LEFT($B54,4)="_Mil"),"",ROUND($T54/$U54,0))</f>
        <v/>
      </c>
      <c r="W54" s="88"/>
      <c r="X54" s="88" t="str">
        <f aca="false">IF(SUM($K54,$W54)=0,"",MAX(IFERROR(SUM($L54)/$K54,0),SUM($W54)))</f>
        <v/>
      </c>
      <c r="Y54" s="88"/>
      <c r="Z54" s="88" t="str">
        <f aca="false">IF(SUM($K54,$Y54)=0,"",MIN(SUM($Y54),IFERROR(SUM($M54)/(SUM($K54)-SUM($L54)),1)))</f>
        <v/>
      </c>
      <c r="AA54" s="10" t="str">
        <f aca="false">$T54</f>
        <v/>
      </c>
      <c r="AB54" s="39" t="str">
        <f aca="false">IF(SUM($AA54)=0,"",IF(AND(SUM($AA54)&gt;0,$X54=""),"ENTER KNOWN POSITIVITY RATE",ROUND($AA54*$X54,0)))</f>
        <v/>
      </c>
      <c r="AC54" s="39" t="str">
        <f aca="false">IF(SUM($AA54)=0,"",IF(AND((SUM($AA54)-SUM($AB54))&gt;0,$Z54=""),"ENTER YIELD RATE",ROUND(($AA54-SUM($AB54))*$Z54,0)))</f>
        <v/>
      </c>
      <c r="AD54" s="39" t="str">
        <f aca="false">IF(SUM($AA54)=0,"",$AA54-SUM($AB54)-SUM($AC54))</f>
        <v/>
      </c>
      <c r="AE54" s="10" t="str">
        <f aca="false">$V54</f>
        <v/>
      </c>
      <c r="AF54" s="39" t="str">
        <f aca="false">IF(SUM($AE54)=0,"",ROUND($AE54*SUM($X54),0))</f>
        <v/>
      </c>
      <c r="AG54" s="39" t="str">
        <f aca="false">IF(SUM($AE54)=0,"",ROUND(($AE54-SUM($AF54))*SUM($Z54),0))</f>
        <v/>
      </c>
      <c r="AH54" s="39" t="str">
        <f aca="false">IF(SUM($AE54)=0,"",$AE54-SUM($AF54)-SUM($AG54))</f>
        <v/>
      </c>
      <c r="AI54" s="88" t="str">
        <f aca="false">IF(SUM($AC54)=0,"",INDEX(Cascade!$BG:$BG,MATCH($E54,Cascade!$E:$E,0)))</f>
        <v/>
      </c>
      <c r="AJ54" s="39" t="str">
        <f aca="false">$AB54</f>
        <v/>
      </c>
      <c r="AK54" s="39" t="str">
        <f aca="false">IF(SUM($AC54)=0,"",IF(AND($AI54="",SUM($AC54)&gt;0),"&lt;- Enter Linkage Rate",ROUND($AC54*$AI54,0)))</f>
        <v/>
      </c>
      <c r="AL54" s="39" t="str">
        <f aca="false">IF(SUM($AF54,$AG54)=0,"",SUM($AF54,$AG54))</f>
        <v/>
      </c>
      <c r="AM54" s="39" t="str">
        <f aca="false">$AF54</f>
        <v/>
      </c>
      <c r="AN54" s="39" t="str">
        <f aca="false">IF(SUM($AG54)=0,"",ROUND($AG54*SUM($AI54),0))</f>
        <v/>
      </c>
      <c r="AO54" s="10" t="str">
        <f aca="false">IFERROR(1/(1/MAX(SUM($T54)-SUM($AB54,$AC54),$AD54)),"")</f>
        <v/>
      </c>
      <c r="AP54" s="88"/>
      <c r="AQ54" s="88" t="str">
        <f aca="false">IF($AP54="","",$AP54)</f>
        <v/>
      </c>
      <c r="AR54" s="88" t="str">
        <f aca="false">IF(SUM($AO54)=0,"",INDEX(Cascade!$BG:$BG,MATCH($E54,Cascade!$E:$E,0)))</f>
        <v/>
      </c>
      <c r="AS54" s="39" t="str">
        <f aca="false">IF(SUM($AO54)=0,"",IF(AND(SUM($AO54)&gt;0,$AQ54=""),"ENTER YIELD RATE",ROUND($AO54*$AQ54,0)))</f>
        <v/>
      </c>
      <c r="AT54" s="39" t="str">
        <f aca="false">IF(SUM($AO54)=0,"",$AO54-SUM($AS54))</f>
        <v/>
      </c>
      <c r="AU54" s="10" t="str">
        <f aca="false">IF(SUM($AS54)=0,"",ROUND($AS54*$AR54,0))</f>
        <v/>
      </c>
      <c r="AV54" s="10" t="str">
        <f aca="false">IFERROR(1/(1/SUM($AC54,$AB54,$AS54)),"")</f>
        <v/>
      </c>
      <c r="AW54" s="10" t="str">
        <f aca="false">IFERROR(1/(1/INDEX(Cascade!$BH:$BH,MATCH($E54,Cascade!$E:$E,0))),"")</f>
        <v/>
      </c>
      <c r="AX54" s="10" t="str">
        <f aca="false">IF(SUM($AC54)=0,"",$AC54)</f>
        <v/>
      </c>
      <c r="AY54" s="10" t="str">
        <f aca="false">IF(SUM($AS54)=0,"",$AS54)</f>
        <v/>
      </c>
      <c r="AZ54" s="10" t="str">
        <f aca="false">IFERROR(1/(1/INDEX(TB!$P:$P,MATCH($E54,TB!$E:$E,0))),"")</f>
        <v/>
      </c>
      <c r="BA54" s="10" t="str">
        <f aca="false">IFERROR(1/(1/(SUM($AW54)-SUM($AX54:$AZ54))),"")</f>
        <v/>
      </c>
    </row>
    <row r="55" customFormat="false" ht="15" hidden="false" customHeight="false" outlineLevel="0" collapsed="false">
      <c r="A55" s="0" t="str">
        <f aca="false">INDEX(Prioritization!$D:$D,MATCH($B55,Prioritization!$A:$A,0))</f>
        <v>INVALID</v>
      </c>
      <c r="B55" s="0" t="s">
        <v>202</v>
      </c>
      <c r="C55" s="0" t="s">
        <v>364</v>
      </c>
      <c r="D55" s="0" t="s">
        <v>30</v>
      </c>
      <c r="E55" s="0" t="str">
        <f aca="false">B55&amp;"|"&amp;C55&amp;"|"&amp;D55</f>
        <v>Ntchisi District [fiRkU6gEjLz]|10-14|Female</v>
      </c>
      <c r="F55" s="10" t="n">
        <f aca="false">IF(LEFT($B55,4)="_Mil","",INDEX(Cascade!$T:$T,MATCH($E55,Cascade!$E:$E,0)))</f>
        <v>610</v>
      </c>
      <c r="G55" s="10" t="str">
        <f aca="false">IF(LEFT($B55,4)="_Mil","",INDEX(Cascade!$U:$U,MATCH($E55,Cascade!$E:$E,0)))</f>
        <v/>
      </c>
      <c r="H55" s="86" t="n">
        <f aca="false">IF(LEFT($B55,4)="_Mil","",INDEX(Cascade!$W:$W,MATCH($E55,Cascade!$E:$E,0)))</f>
        <v>1056</v>
      </c>
      <c r="I55" s="10" t="n">
        <f aca="false">IF(LEFT($B55,4)="_Mil","",INDEX(Cascade!$Z:$Z,MATCH($E55,Cascade!$E:$E,0)))</f>
        <v>574</v>
      </c>
      <c r="J55" s="88" t="n">
        <f aca="false">IF(LEFT($B55,4)="_Mil","",INDEX(Cascade!$AA:$AA,MATCH($E55,Cascade!$E:$E,0)))</f>
        <v>1332</v>
      </c>
      <c r="K55" s="39" t="str">
        <f aca="false">IF(LEFT($B55,4)="_Mil","",_xlfn.IFNA(ROUND(INDEX(Spectrum!$N:$N,MATCH(RIGHT($B55,13)&amp;"|"&amp;$C55&amp;"|"&amp;$D55&amp;"|"&amp;K$14&amp;"|"&amp;"CY2023Q3",Spectrum!$R:$R,0)),0),""))</f>
        <v/>
      </c>
      <c r="L55" s="39" t="str">
        <f aca="false">IF(LEFT($B55,4)="_Mil","",_xlfn.IFNA(ROUND(INDEX(Spectrum!$N:$N,MATCH(RIGHT($B55,13)&amp;"|"&amp;$C55&amp;"|"&amp;$D55&amp;"|"&amp;L$14&amp;"|"&amp;"CY2023Q3",Spectrum!$R:$R,0)),0),""))</f>
        <v/>
      </c>
      <c r="M55" s="39" t="str">
        <f aca="false">IF(LEFT($B55,4)="_Mil","",_xlfn.IFNA(ROUND(INDEX(Spectrum!$N:$N,MATCH(RIGHT($B55,13)&amp;"|"&amp;$C55&amp;"|"&amp;$D55&amp;"|"&amp;M$14&amp;"|"&amp;"CY2023Q3",Spectrum!$R:$R,0)),0),""))</f>
        <v/>
      </c>
      <c r="N55" s="39" t="str">
        <f aca="false">IF(LEFT($B55,4)="_Mil","",_xlfn.IFNA(ROUND(INDEX(Spectrum!$N:$N,MATCH(RIGHT($B55,13)&amp;"|"&amp;$C55&amp;"|"&amp;$D55&amp;"|"&amp;N$14&amp;"|"&amp;"CY2023Q3",Spectrum!$R:$R,0)),0),""))</f>
        <v/>
      </c>
      <c r="O55" s="39" t="str">
        <f aca="false">IF(LEFT($B55,4)="_Mil","",_xlfn.IFNA(ROUND(INDEX(Spectrum!$N:$N,MATCH(RIGHT($B55,13)&amp;"|"&amp;$C55&amp;"|"&amp;$D55&amp;"|"&amp;O$14&amp;"|"&amp;"CY2023Q3",Spectrum!$R:$R,0)),0),""))</f>
        <v/>
      </c>
      <c r="P55" s="39" t="str">
        <f aca="false">IF(LEFT($B55,4)="_Mil","",_xlfn.IFNA(ROUND(INDEX(Spectrum!$N:$N,MATCH(RIGHT($B55,13)&amp;"|"&amp;$C55&amp;"|"&amp;$D55&amp;"|"&amp;P$14&amp;"|"&amp;"CY2023Q3",Spectrum!$R:$R,0)),0),""))</f>
        <v/>
      </c>
      <c r="Q55" s="39" t="str">
        <f aca="false">IF(LEFT($B55,4)="_Mil","",_xlfn.IFNA(ROUND(INDEX(Spectrum!$N:$N,MATCH(RIGHT($B55,13)&amp;"|"&amp;$C55&amp;"|"&amp;$D55&amp;"|"&amp;Q$14&amp;"|"&amp;"CY2022Q3",Spectrum!$R:$R,0)),0),""))</f>
        <v/>
      </c>
      <c r="R55" s="10" t="n">
        <v>5</v>
      </c>
      <c r="S55" s="88" t="n">
        <f aca="false">0</f>
        <v>0</v>
      </c>
      <c r="T55" s="39" t="n">
        <f aca="false">IF(SUM($R55)=0,"",ROUND($R55*(1+$S55),0))</f>
        <v>5</v>
      </c>
      <c r="U55" s="88" t="n">
        <f aca="false">IF(LEFT($B55,4)="_Mil","",IF(SUM($K55)=0,IF(SUM($R55)=0,"",1),MIN($R55/$K55,1)))</f>
        <v>1</v>
      </c>
      <c r="V55" s="39" t="n">
        <f aca="false">IF(OR(SUM($T55)=0,LEFT($B55,4)="_Mil"),"",ROUND($T55/$U55,0))</f>
        <v>5</v>
      </c>
      <c r="W55" s="88"/>
      <c r="X55" s="88" t="str">
        <f aca="false">IF(SUM($K55,$W55)=0,"",MAX(IFERROR(SUM($L55)/$K55,0),SUM($W55)))</f>
        <v/>
      </c>
      <c r="Y55" s="88"/>
      <c r="Z55" s="88" t="str">
        <f aca="false">IF(SUM($K55,$Y55)=0,"",MIN(SUM($Y55),IFERROR(SUM($M55)/(SUM($K55)-SUM($L55)),1)))</f>
        <v/>
      </c>
      <c r="AA55" s="10" t="n">
        <f aca="false">$T55</f>
        <v>5</v>
      </c>
      <c r="AB55" s="39" t="str">
        <f aca="false">IF(SUM($AA55)=0,"",IF(AND(SUM($AA55)&gt;0,$X55=""),"ENTER KNOWN POSITIVITY RATE",ROUND($AA55*$X55,0)))</f>
        <v>ENTER KNOWN POSITIVITY RATE</v>
      </c>
      <c r="AC55" s="39" t="str">
        <f aca="false">IF(SUM($AA55)=0,"",IF(AND((SUM($AA55)-SUM($AB55))&gt;0,$Z55=""),"ENTER YIELD RATE",ROUND(($AA55-SUM($AB55))*$Z55,0)))</f>
        <v>ENTER YIELD RATE</v>
      </c>
      <c r="AD55" s="39" t="n">
        <f aca="false">IF(SUM($AA55)=0,"",$AA55-SUM($AB55)-SUM($AC55))</f>
        <v>5</v>
      </c>
      <c r="AE55" s="10" t="n">
        <f aca="false">$V55</f>
        <v>5</v>
      </c>
      <c r="AF55" s="39" t="n">
        <f aca="false">IF(SUM($AE55)=0,"",ROUND($AE55*SUM($X55),0))</f>
        <v>0</v>
      </c>
      <c r="AG55" s="39" t="n">
        <f aca="false">IF(SUM($AE55)=0,"",ROUND(($AE55-SUM($AF55))*SUM($Z55),0))</f>
        <v>0</v>
      </c>
      <c r="AH55" s="39" t="n">
        <f aca="false">IF(SUM($AE55)=0,"",$AE55-SUM($AF55)-SUM($AG55))</f>
        <v>5</v>
      </c>
      <c r="AI55" s="88" t="str">
        <f aca="false">IF(SUM($AC55)=0,"",INDEX(Cascade!$BG:$BG,MATCH($E55,Cascade!$E:$E,0)))</f>
        <v/>
      </c>
      <c r="AJ55" s="39" t="str">
        <f aca="false">$AB55</f>
        <v>ENTER KNOWN POSITIVITY RATE</v>
      </c>
      <c r="AK55" s="39" t="str">
        <f aca="false">IF(SUM($AC55)=0,"",IF(AND($AI55="",SUM($AC55)&gt;0),"&lt;- Enter Linkage Rate",ROUND($AC55*$AI55,0)))</f>
        <v/>
      </c>
      <c r="AL55" s="39" t="str">
        <f aca="false">IF(SUM($AF55,$AG55)=0,"",SUM($AF55,$AG55))</f>
        <v/>
      </c>
      <c r="AM55" s="39" t="n">
        <f aca="false">$AF55</f>
        <v>0</v>
      </c>
      <c r="AN55" s="39" t="str">
        <f aca="false">IF(SUM($AG55)=0,"",ROUND($AG55*SUM($AI55),0))</f>
        <v/>
      </c>
      <c r="AO55" s="10" t="n">
        <f aca="false">IFERROR(1/(1/MAX(SUM($T55)-SUM($AB55,$AC55),$AD55)),"")</f>
        <v>5</v>
      </c>
      <c r="AP55" s="88"/>
      <c r="AQ55" s="88" t="str">
        <f aca="false">IF($AP55="","",$AP55)</f>
        <v/>
      </c>
      <c r="AR55" s="88" t="n">
        <f aca="false">IF(SUM($AO55)=0,"",INDEX(Cascade!$BG:$BG,MATCH($E55,Cascade!$E:$E,0)))</f>
        <v>0.95</v>
      </c>
      <c r="AS55" s="39" t="str">
        <f aca="false">IF(SUM($AO55)=0,"",IF(AND(SUM($AO55)&gt;0,$AQ55=""),"ENTER YIELD RATE",ROUND($AO55*$AQ55,0)))</f>
        <v>ENTER YIELD RATE</v>
      </c>
      <c r="AT55" s="39" t="n">
        <f aca="false">IF(SUM($AO55)=0,"",$AO55-SUM($AS55))</f>
        <v>5</v>
      </c>
      <c r="AU55" s="10" t="str">
        <f aca="false">IF(SUM($AS55)=0,"",ROUND($AS55*$AR55,0))</f>
        <v/>
      </c>
      <c r="AV55" s="10" t="str">
        <f aca="false">IFERROR(1/(1/SUM($AC55,$AB55,$AS55)),"")</f>
        <v/>
      </c>
      <c r="AW55" s="10" t="n">
        <f aca="false">IFERROR(1/(1/INDEX(Cascade!$BH:$BH,MATCH($E55,Cascade!$E:$E,0))),"")</f>
        <v>-7</v>
      </c>
      <c r="AX55" s="10" t="str">
        <f aca="false">IF(SUM($AC55)=0,"",$AC55)</f>
        <v/>
      </c>
      <c r="AY55" s="10" t="str">
        <f aca="false">IF(SUM($AS55)=0,"",$AS55)</f>
        <v/>
      </c>
      <c r="AZ55" s="10" t="str">
        <f aca="false">IFERROR(1/(1/INDEX(TB!$P:$P,MATCH($E55,TB!$E:$E,0))),"")</f>
        <v/>
      </c>
      <c r="BA55" s="10" t="n">
        <f aca="false">IFERROR(1/(1/(SUM($AW55)-SUM($AX55:$AZ55))),"")</f>
        <v>-7</v>
      </c>
    </row>
    <row r="56" customFormat="false" ht="15" hidden="false" customHeight="false" outlineLevel="0" collapsed="false">
      <c r="A56" s="0" t="str">
        <f aca="false">INDEX(Prioritization!$D:$D,MATCH($B56,Prioritization!$A:$A,0))</f>
        <v>INVALID</v>
      </c>
      <c r="B56" s="0" t="s">
        <v>202</v>
      </c>
      <c r="C56" s="0" t="s">
        <v>365</v>
      </c>
      <c r="D56" s="0" t="s">
        <v>30</v>
      </c>
      <c r="E56" s="0" t="str">
        <f aca="false">B56&amp;"|"&amp;C56&amp;"|"&amp;D56</f>
        <v>Ntchisi District [fiRkU6gEjLz]|15-24|Female</v>
      </c>
      <c r="F56" s="10" t="n">
        <f aca="false">IF(LEFT($B56,4)="_Mil","",INDEX(Cascade!$T:$T,MATCH($E56,Cascade!$E:$E,0)))</f>
        <v>677</v>
      </c>
      <c r="G56" s="10" t="str">
        <f aca="false">IF(LEFT($B56,4)="_Mil","",INDEX(Cascade!$U:$U,MATCH($E56,Cascade!$E:$E,0)))</f>
        <v/>
      </c>
      <c r="H56" s="86" t="n">
        <f aca="false">IF(LEFT($B56,4)="_Mil","",INDEX(Cascade!$W:$W,MATCH($E56,Cascade!$E:$E,0)))</f>
        <v>633</v>
      </c>
      <c r="I56" s="10" t="n">
        <f aca="false">IF(LEFT($B56,4)="_Mil","",INDEX(Cascade!$Z:$Z,MATCH($E56,Cascade!$E:$E,0)))</f>
        <v>639</v>
      </c>
      <c r="J56" s="88" t="n">
        <f aca="false">IF(LEFT($B56,4)="_Mil","",INDEX(Cascade!$AA:$AA,MATCH($E56,Cascade!$E:$E,0)))</f>
        <v>630</v>
      </c>
      <c r="K56" s="39" t="n">
        <f aca="false">IF(LEFT($B56,4)="_Mil","",_xlfn.IFNA(ROUND(INDEX(Spectrum!$N:$N,MATCH(RIGHT($B56,13)&amp;"|"&amp;$C56&amp;"|"&amp;$D56&amp;"|"&amp;K$14&amp;"|"&amp;"CY2023Q3",Spectrum!$R:$R,0)),0),""))</f>
        <v>681</v>
      </c>
      <c r="L56" s="39" t="str">
        <f aca="false">IF(LEFT($B56,4)="_Mil","",_xlfn.IFNA(ROUND(INDEX(Spectrum!$N:$N,MATCH(RIGHT($B56,13)&amp;"|"&amp;$C56&amp;"|"&amp;$D56&amp;"|"&amp;L$14&amp;"|"&amp;"CY2023Q3",Spectrum!$R:$R,0)),0),""))</f>
        <v/>
      </c>
      <c r="M56" s="39" t="n">
        <f aca="false">IF(LEFT($B56,4)="_Mil","",_xlfn.IFNA(ROUND(INDEX(Spectrum!$N:$N,MATCH(RIGHT($B56,13)&amp;"|"&amp;$C56&amp;"|"&amp;$D56&amp;"|"&amp;M$14&amp;"|"&amp;"CY2023Q3",Spectrum!$R:$R,0)),0),""))</f>
        <v>703</v>
      </c>
      <c r="N56" s="39" t="n">
        <f aca="false">IF(LEFT($B56,4)="_Mil","",_xlfn.IFNA(ROUND(INDEX(Spectrum!$N:$N,MATCH(RIGHT($B56,13)&amp;"|"&amp;$C56&amp;"|"&amp;$D56&amp;"|"&amp;N$14&amp;"|"&amp;"CY2023Q3",Spectrum!$R:$R,0)),0),""))</f>
        <v>1664</v>
      </c>
      <c r="O56" s="39" t="n">
        <f aca="false">IF(LEFT($B56,4)="_Mil","",_xlfn.IFNA(ROUND(INDEX(Spectrum!$N:$N,MATCH(RIGHT($B56,13)&amp;"|"&amp;$C56&amp;"|"&amp;$D56&amp;"|"&amp;O$14&amp;"|"&amp;"CY2023Q3",Spectrum!$R:$R,0)),0),""))</f>
        <v>995</v>
      </c>
      <c r="P56" s="39" t="n">
        <f aca="false">IF(LEFT($B56,4)="_Mil","",_xlfn.IFNA(ROUND(INDEX(Spectrum!$N:$N,MATCH(RIGHT($B56,13)&amp;"|"&amp;$C56&amp;"|"&amp;$D56&amp;"|"&amp;P$14&amp;"|"&amp;"CY2023Q3",Spectrum!$R:$R,0)),0),""))</f>
        <v>1254</v>
      </c>
      <c r="Q56" s="39" t="str">
        <f aca="false">IF(LEFT($B56,4)="_Mil","",_xlfn.IFNA(ROUND(INDEX(Spectrum!$N:$N,MATCH(RIGHT($B56,13)&amp;"|"&amp;$C56&amp;"|"&amp;$D56&amp;"|"&amp;Q$14&amp;"|"&amp;"CY2022Q3",Spectrum!$R:$R,0)),0),""))</f>
        <v/>
      </c>
      <c r="R56" s="10"/>
      <c r="S56" s="88" t="n">
        <f aca="false">0</f>
        <v>0</v>
      </c>
      <c r="T56" s="39" t="str">
        <f aca="false">IF(SUM($R56)=0,"",ROUND($R56*(1+$S56),0))</f>
        <v/>
      </c>
      <c r="U56" s="88" t="n">
        <f aca="false">IF(LEFT($B56,4)="_Mil","",IF(SUM($K56)=0,IF(SUM($R56)=0,"",1),MIN($R56/$K56,1)))</f>
        <v>0</v>
      </c>
      <c r="V56" s="39" t="str">
        <f aca="false">IF(OR(SUM($T56)=0,LEFT($B56,4)="_Mil"),"",ROUND($T56/$U56,0))</f>
        <v/>
      </c>
      <c r="W56" s="88"/>
      <c r="X56" s="88" t="n">
        <f aca="false">IF(SUM($K56,$W56)=0,"",MAX(IFERROR(SUM($L56)/$K56,0),SUM($W56)))</f>
        <v>0</v>
      </c>
      <c r="Y56" s="88"/>
      <c r="Z56" s="88" t="n">
        <f aca="false">IF(SUM($K56,$Y56)=0,"",MIN(SUM($Y56),IFERROR(SUM($M56)/(SUM($K56)-SUM($L56)),1)))</f>
        <v>0</v>
      </c>
      <c r="AA56" s="10" t="str">
        <f aca="false">$T56</f>
        <v/>
      </c>
      <c r="AB56" s="39" t="str">
        <f aca="false">IF(SUM($AA56)=0,"",IF(AND(SUM($AA56)&gt;0,$X56=""),"ENTER KNOWN POSITIVITY RATE",ROUND($AA56*$X56,0)))</f>
        <v/>
      </c>
      <c r="AC56" s="39" t="str">
        <f aca="false">IF(SUM($AA56)=0,"",IF(AND((SUM($AA56)-SUM($AB56))&gt;0,$Z56=""),"ENTER YIELD RATE",ROUND(($AA56-SUM($AB56))*$Z56,0)))</f>
        <v/>
      </c>
      <c r="AD56" s="39" t="str">
        <f aca="false">IF(SUM($AA56)=0,"",$AA56-SUM($AB56)-SUM($AC56))</f>
        <v/>
      </c>
      <c r="AE56" s="10" t="str">
        <f aca="false">$V56</f>
        <v/>
      </c>
      <c r="AF56" s="39" t="str">
        <f aca="false">IF(SUM($AE56)=0,"",ROUND($AE56*SUM($X56),0))</f>
        <v/>
      </c>
      <c r="AG56" s="39" t="str">
        <f aca="false">IF(SUM($AE56)=0,"",ROUND(($AE56-SUM($AF56))*SUM($Z56),0))</f>
        <v/>
      </c>
      <c r="AH56" s="39" t="str">
        <f aca="false">IF(SUM($AE56)=0,"",$AE56-SUM($AF56)-SUM($AG56))</f>
        <v/>
      </c>
      <c r="AI56" s="88" t="str">
        <f aca="false">IF(SUM($AC56)=0,"",INDEX(Cascade!$BG:$BG,MATCH($E56,Cascade!$E:$E,0)))</f>
        <v/>
      </c>
      <c r="AJ56" s="39" t="str">
        <f aca="false">$AB56</f>
        <v/>
      </c>
      <c r="AK56" s="39" t="str">
        <f aca="false">IF(SUM($AC56)=0,"",IF(AND($AI56="",SUM($AC56)&gt;0),"&lt;- Enter Linkage Rate",ROUND($AC56*$AI56,0)))</f>
        <v/>
      </c>
      <c r="AL56" s="39" t="str">
        <f aca="false">IF(SUM($AF56,$AG56)=0,"",SUM($AF56,$AG56))</f>
        <v/>
      </c>
      <c r="AM56" s="39" t="str">
        <f aca="false">$AF56</f>
        <v/>
      </c>
      <c r="AN56" s="39" t="str">
        <f aca="false">IF(SUM($AG56)=0,"",ROUND($AG56*SUM($AI56),0))</f>
        <v/>
      </c>
      <c r="AO56" s="10" t="str">
        <f aca="false">IFERROR(1/(1/MAX(SUM($T56)-SUM($AB56,$AC56),$AD56)),"")</f>
        <v/>
      </c>
      <c r="AP56" s="88"/>
      <c r="AQ56" s="88" t="str">
        <f aca="false">IF($AP56="","",$AP56)</f>
        <v/>
      </c>
      <c r="AR56" s="88" t="str">
        <f aca="false">IF(SUM($AO56)=0,"",INDEX(Cascade!$BG:$BG,MATCH($E56,Cascade!$E:$E,0)))</f>
        <v/>
      </c>
      <c r="AS56" s="39" t="str">
        <f aca="false">IF(SUM($AO56)=0,"",IF(AND(SUM($AO56)&gt;0,$AQ56=""),"ENTER YIELD RATE",ROUND($AO56*$AQ56,0)))</f>
        <v/>
      </c>
      <c r="AT56" s="39" t="str">
        <f aca="false">IF(SUM($AO56)=0,"",$AO56-SUM($AS56))</f>
        <v/>
      </c>
      <c r="AU56" s="10" t="str">
        <f aca="false">IF(SUM($AS56)=0,"",ROUND($AS56*$AR56,0))</f>
        <v/>
      </c>
      <c r="AV56" s="10" t="str">
        <f aca="false">IFERROR(1/(1/SUM($AC56,$AB56,$AS56)),"")</f>
        <v/>
      </c>
      <c r="AW56" s="10" t="str">
        <f aca="false">IFERROR(1/(1/INDEX(Cascade!$BH:$BH,MATCH($E56,Cascade!$E:$E,0))),"")</f>
        <v/>
      </c>
      <c r="AX56" s="10" t="str">
        <f aca="false">IF(SUM($AC56)=0,"",$AC56)</f>
        <v/>
      </c>
      <c r="AY56" s="10" t="str">
        <f aca="false">IF(SUM($AS56)=0,"",$AS56)</f>
        <v/>
      </c>
      <c r="AZ56" s="10" t="str">
        <f aca="false">IFERROR(1/(1/INDEX(TB!$P:$P,MATCH($E56,TB!$E:$E,0))),"")</f>
        <v/>
      </c>
      <c r="BA56" s="10" t="str">
        <f aca="false">IFERROR(1/(1/(SUM($AW56)-SUM($AX56:$AZ56))),"")</f>
        <v/>
      </c>
    </row>
    <row r="57" customFormat="false" ht="15" hidden="false" customHeight="false" outlineLevel="0" collapsed="false">
      <c r="A57" s="0" t="str">
        <f aca="false">INDEX(Prioritization!$D:$D,MATCH($B57,Prioritization!$A:$A,0))</f>
        <v>INVALID</v>
      </c>
      <c r="B57" s="0" t="s">
        <v>202</v>
      </c>
      <c r="C57" s="0" t="s">
        <v>366</v>
      </c>
      <c r="D57" s="0" t="s">
        <v>30</v>
      </c>
      <c r="E57" s="0" t="str">
        <f aca="false">B57&amp;"|"&amp;C57&amp;"|"&amp;D57</f>
        <v>Ntchisi District [fiRkU6gEjLz]|25-34|Female</v>
      </c>
      <c r="F57" s="10" t="n">
        <f aca="false">IF(LEFT($B57,4)="_Mil","",INDEX(Cascade!$T:$T,MATCH($E57,Cascade!$E:$E,0)))</f>
        <v>1015</v>
      </c>
      <c r="G57" s="10" t="str">
        <f aca="false">IF(LEFT($B57,4)="_Mil","",INDEX(Cascade!$U:$U,MATCH($E57,Cascade!$E:$E,0)))</f>
        <v/>
      </c>
      <c r="H57" s="86" t="n">
        <f aca="false">IF(LEFT($B57,4)="_Mil","",INDEX(Cascade!$W:$W,MATCH($E57,Cascade!$E:$E,0)))</f>
        <v>699</v>
      </c>
      <c r="I57" s="10" t="n">
        <f aca="false">IF(LEFT($B57,4)="_Mil","",INDEX(Cascade!$Z:$Z,MATCH($E57,Cascade!$E:$E,0)))</f>
        <v>1075</v>
      </c>
      <c r="J57" s="88" t="n">
        <f aca="false">IF(LEFT($B57,4)="_Mil","",INDEX(Cascade!$AA:$AA,MATCH($E57,Cascade!$E:$E,0)))</f>
        <v>1180</v>
      </c>
      <c r="K57" s="39" t="n">
        <f aca="false">IF(LEFT($B57,4)="_Mil","",_xlfn.IFNA(ROUND(INDEX(Spectrum!$N:$N,MATCH(RIGHT($B57,13)&amp;"|"&amp;$C57&amp;"|"&amp;$D57&amp;"|"&amp;K$14&amp;"|"&amp;"CY2023Q3",Spectrum!$R:$R,0)),0),""))</f>
        <v>1407</v>
      </c>
      <c r="L57" s="39" t="str">
        <f aca="false">IF(LEFT($B57,4)="_Mil","",_xlfn.IFNA(ROUND(INDEX(Spectrum!$N:$N,MATCH(RIGHT($B57,13)&amp;"|"&amp;$C57&amp;"|"&amp;$D57&amp;"|"&amp;L$14&amp;"|"&amp;"CY2023Q3",Spectrum!$R:$R,0)),0),""))</f>
        <v/>
      </c>
      <c r="M57" s="39" t="n">
        <f aca="false">IF(LEFT($B57,4)="_Mil","",_xlfn.IFNA(ROUND(INDEX(Spectrum!$N:$N,MATCH(RIGHT($B57,13)&amp;"|"&amp;$C57&amp;"|"&amp;$D57&amp;"|"&amp;M$14&amp;"|"&amp;"CY2023Q3",Spectrum!$R:$R,0)),0),""))</f>
        <v>1516</v>
      </c>
      <c r="N57" s="39" t="n">
        <f aca="false">IF(LEFT($B57,4)="_Mil","",_xlfn.IFNA(ROUND(INDEX(Spectrum!$N:$N,MATCH(RIGHT($B57,13)&amp;"|"&amp;$C57&amp;"|"&amp;$D57&amp;"|"&amp;N$14&amp;"|"&amp;"CY2023Q3",Spectrum!$R:$R,0)),0),""))</f>
        <v>1007</v>
      </c>
      <c r="O57" s="39" t="n">
        <f aca="false">IF(LEFT($B57,4)="_Mil","",_xlfn.IFNA(ROUND(INDEX(Spectrum!$N:$N,MATCH(RIGHT($B57,13)&amp;"|"&amp;$C57&amp;"|"&amp;$D57&amp;"|"&amp;O$14&amp;"|"&amp;"CY2023Q3",Spectrum!$R:$R,0)),0),""))</f>
        <v>1891</v>
      </c>
      <c r="P57" s="39" t="n">
        <f aca="false">IF(LEFT($B57,4)="_Mil","",_xlfn.IFNA(ROUND(INDEX(Spectrum!$N:$N,MATCH(RIGHT($B57,13)&amp;"|"&amp;$C57&amp;"|"&amp;$D57&amp;"|"&amp;P$14&amp;"|"&amp;"CY2023Q3",Spectrum!$R:$R,0)),0),""))</f>
        <v>500</v>
      </c>
      <c r="Q57" s="39" t="str">
        <f aca="false">IF(LEFT($B57,4)="_Mil","",_xlfn.IFNA(ROUND(INDEX(Spectrum!$N:$N,MATCH(RIGHT($B57,13)&amp;"|"&amp;$C57&amp;"|"&amp;$D57&amp;"|"&amp;Q$14&amp;"|"&amp;"CY2022Q3",Spectrum!$R:$R,0)),0),""))</f>
        <v/>
      </c>
      <c r="R57" s="10"/>
      <c r="S57" s="88" t="n">
        <f aca="false">0</f>
        <v>0</v>
      </c>
      <c r="T57" s="39" t="str">
        <f aca="false">IF(SUM($R57)=0,"",ROUND($R57*(1+$S57),0))</f>
        <v/>
      </c>
      <c r="U57" s="88" t="n">
        <f aca="false">IF(LEFT($B57,4)="_Mil","",IF(SUM($K57)=0,IF(SUM($R57)=0,"",1),MIN($R57/$K57,1)))</f>
        <v>0</v>
      </c>
      <c r="V57" s="39" t="str">
        <f aca="false">IF(OR(SUM($T57)=0,LEFT($B57,4)="_Mil"),"",ROUND($T57/$U57,0))</f>
        <v/>
      </c>
      <c r="W57" s="88"/>
      <c r="X57" s="88" t="n">
        <f aca="false">IF(SUM($K57,$W57)=0,"",MAX(IFERROR(SUM($L57)/$K57,0),SUM($W57)))</f>
        <v>0</v>
      </c>
      <c r="Y57" s="88"/>
      <c r="Z57" s="88" t="n">
        <f aca="false">IF(SUM($K57,$Y57)=0,"",MIN(SUM($Y57),IFERROR(SUM($M57)/(SUM($K57)-SUM($L57)),1)))</f>
        <v>0</v>
      </c>
      <c r="AA57" s="10" t="str">
        <f aca="false">$T57</f>
        <v/>
      </c>
      <c r="AB57" s="39" t="str">
        <f aca="false">IF(SUM($AA57)=0,"",IF(AND(SUM($AA57)&gt;0,$X57=""),"ENTER KNOWN POSITIVITY RATE",ROUND($AA57*$X57,0)))</f>
        <v/>
      </c>
      <c r="AC57" s="39" t="str">
        <f aca="false">IF(SUM($AA57)=0,"",IF(AND((SUM($AA57)-SUM($AB57))&gt;0,$Z57=""),"ENTER YIELD RATE",ROUND(($AA57-SUM($AB57))*$Z57,0)))</f>
        <v/>
      </c>
      <c r="AD57" s="39" t="str">
        <f aca="false">IF(SUM($AA57)=0,"",$AA57-SUM($AB57)-SUM($AC57))</f>
        <v/>
      </c>
      <c r="AE57" s="10" t="str">
        <f aca="false">$V57</f>
        <v/>
      </c>
      <c r="AF57" s="39" t="str">
        <f aca="false">IF(SUM($AE57)=0,"",ROUND($AE57*SUM($X57),0))</f>
        <v/>
      </c>
      <c r="AG57" s="39" t="str">
        <f aca="false">IF(SUM($AE57)=0,"",ROUND(($AE57-SUM($AF57))*SUM($Z57),0))</f>
        <v/>
      </c>
      <c r="AH57" s="39" t="str">
        <f aca="false">IF(SUM($AE57)=0,"",$AE57-SUM($AF57)-SUM($AG57))</f>
        <v/>
      </c>
      <c r="AI57" s="88" t="str">
        <f aca="false">IF(SUM($AC57)=0,"",INDEX(Cascade!$BG:$BG,MATCH($E57,Cascade!$E:$E,0)))</f>
        <v/>
      </c>
      <c r="AJ57" s="39" t="str">
        <f aca="false">$AB57</f>
        <v/>
      </c>
      <c r="AK57" s="39" t="str">
        <f aca="false">IF(SUM($AC57)=0,"",IF(AND($AI57="",SUM($AC57)&gt;0),"&lt;- Enter Linkage Rate",ROUND($AC57*$AI57,0)))</f>
        <v/>
      </c>
      <c r="AL57" s="39" t="str">
        <f aca="false">IF(SUM($AF57,$AG57)=0,"",SUM($AF57,$AG57))</f>
        <v/>
      </c>
      <c r="AM57" s="39" t="str">
        <f aca="false">$AF57</f>
        <v/>
      </c>
      <c r="AN57" s="39" t="str">
        <f aca="false">IF(SUM($AG57)=0,"",ROUND($AG57*SUM($AI57),0))</f>
        <v/>
      </c>
      <c r="AO57" s="10" t="str">
        <f aca="false">IFERROR(1/(1/MAX(SUM($T57)-SUM($AB57,$AC57),$AD57)),"")</f>
        <v/>
      </c>
      <c r="AP57" s="88"/>
      <c r="AQ57" s="88" t="str">
        <f aca="false">IF($AP57="","",$AP57)</f>
        <v/>
      </c>
      <c r="AR57" s="88" t="str">
        <f aca="false">IF(SUM($AO57)=0,"",INDEX(Cascade!$BG:$BG,MATCH($E57,Cascade!$E:$E,0)))</f>
        <v/>
      </c>
      <c r="AS57" s="39" t="str">
        <f aca="false">IF(SUM($AO57)=0,"",IF(AND(SUM($AO57)&gt;0,$AQ57=""),"ENTER YIELD RATE",ROUND($AO57*$AQ57,0)))</f>
        <v/>
      </c>
      <c r="AT57" s="39" t="str">
        <f aca="false">IF(SUM($AO57)=0,"",$AO57-SUM($AS57))</f>
        <v/>
      </c>
      <c r="AU57" s="10" t="str">
        <f aca="false">IF(SUM($AS57)=0,"",ROUND($AS57*$AR57,0))</f>
        <v/>
      </c>
      <c r="AV57" s="10" t="str">
        <f aca="false">IFERROR(1/(1/SUM($AC57,$AB57,$AS57)),"")</f>
        <v/>
      </c>
      <c r="AW57" s="10" t="str">
        <f aca="false">IFERROR(1/(1/INDEX(Cascade!$BH:$BH,MATCH($E57,Cascade!$E:$E,0))),"")</f>
        <v/>
      </c>
      <c r="AX57" s="10" t="str">
        <f aca="false">IF(SUM($AC57)=0,"",$AC57)</f>
        <v/>
      </c>
      <c r="AY57" s="10" t="str">
        <f aca="false">IF(SUM($AS57)=0,"",$AS57)</f>
        <v/>
      </c>
      <c r="AZ57" s="10" t="str">
        <f aca="false">IFERROR(1/(1/INDEX(TB!$P:$P,MATCH($E57,TB!$E:$E,0))),"")</f>
        <v/>
      </c>
      <c r="BA57" s="10" t="str">
        <f aca="false">IFERROR(1/(1/(SUM($AW57)-SUM($AX57:$AZ57))),"")</f>
        <v/>
      </c>
    </row>
    <row r="58" customFormat="false" ht="15" hidden="false" customHeight="false" outlineLevel="0" collapsed="false">
      <c r="A58" s="0" t="str">
        <f aca="false">INDEX(Prioritization!$D:$D,MATCH($B58,Prioritization!$A:$A,0))</f>
        <v>INVALID</v>
      </c>
      <c r="B58" s="0" t="s">
        <v>202</v>
      </c>
      <c r="C58" s="0" t="s">
        <v>367</v>
      </c>
      <c r="D58" s="0" t="s">
        <v>30</v>
      </c>
      <c r="E58" s="0" t="str">
        <f aca="false">B58&amp;"|"&amp;C58&amp;"|"&amp;D58</f>
        <v>Ntchisi District [fiRkU6gEjLz]|35-49|Female</v>
      </c>
      <c r="F58" s="10" t="n">
        <f aca="false">IF(LEFT($B58,4)="_Mil","",INDEX(Cascade!$T:$T,MATCH($E58,Cascade!$E:$E,0)))</f>
        <v>769</v>
      </c>
      <c r="G58" s="10" t="str">
        <f aca="false">IF(LEFT($B58,4)="_Mil","",INDEX(Cascade!$U:$U,MATCH($E58,Cascade!$E:$E,0)))</f>
        <v/>
      </c>
      <c r="H58" s="86" t="n">
        <f aca="false">IF(LEFT($B58,4)="_Mil","",INDEX(Cascade!$W:$W,MATCH($E58,Cascade!$E:$E,0)))</f>
        <v>546</v>
      </c>
      <c r="I58" s="10" t="n">
        <f aca="false">IF(LEFT($B58,4)="_Mil","",INDEX(Cascade!$Z:$Z,MATCH($E58,Cascade!$E:$E,0)))</f>
        <v>886</v>
      </c>
      <c r="J58" s="88" t="n">
        <f aca="false">IF(LEFT($B58,4)="_Mil","",INDEX(Cascade!$AA:$AA,MATCH($E58,Cascade!$E:$E,0)))</f>
        <v>711</v>
      </c>
      <c r="K58" s="39" t="n">
        <f aca="false">IF(LEFT($B58,4)="_Mil","",_xlfn.IFNA(ROUND(INDEX(Spectrum!$N:$N,MATCH(RIGHT($B58,13)&amp;"|"&amp;$C58&amp;"|"&amp;$D58&amp;"|"&amp;K$14&amp;"|"&amp;"CY2023Q3",Spectrum!$R:$R,0)),0),""))</f>
        <v>977</v>
      </c>
      <c r="L58" s="39" t="str">
        <f aca="false">IF(LEFT($B58,4)="_Mil","",_xlfn.IFNA(ROUND(INDEX(Spectrum!$N:$N,MATCH(RIGHT($B58,13)&amp;"|"&amp;$C58&amp;"|"&amp;$D58&amp;"|"&amp;L$14&amp;"|"&amp;"CY2023Q3",Spectrum!$R:$R,0)),0),""))</f>
        <v/>
      </c>
      <c r="M58" s="39" t="n">
        <f aca="false">IF(LEFT($B58,4)="_Mil","",_xlfn.IFNA(ROUND(INDEX(Spectrum!$N:$N,MATCH(RIGHT($B58,13)&amp;"|"&amp;$C58&amp;"|"&amp;$D58&amp;"|"&amp;M$14&amp;"|"&amp;"CY2023Q3",Spectrum!$R:$R,0)),0),""))</f>
        <v>1320</v>
      </c>
      <c r="N58" s="39" t="n">
        <f aca="false">IF(LEFT($B58,4)="_Mil","",_xlfn.IFNA(ROUND(INDEX(Spectrum!$N:$N,MATCH(RIGHT($B58,13)&amp;"|"&amp;$C58&amp;"|"&amp;$D58&amp;"|"&amp;N$14&amp;"|"&amp;"CY2023Q3",Spectrum!$R:$R,0)),0),""))</f>
        <v>1424</v>
      </c>
      <c r="O58" s="39" t="n">
        <f aca="false">IF(LEFT($B58,4)="_Mil","",_xlfn.IFNA(ROUND(INDEX(Spectrum!$N:$N,MATCH(RIGHT($B58,13)&amp;"|"&amp;$C58&amp;"|"&amp;$D58&amp;"|"&amp;O$14&amp;"|"&amp;"CY2023Q3",Spectrum!$R:$R,0)),0),""))</f>
        <v>1492</v>
      </c>
      <c r="P58" s="39" t="n">
        <f aca="false">IF(LEFT($B58,4)="_Mil","",_xlfn.IFNA(ROUND(INDEX(Spectrum!$N:$N,MATCH(RIGHT($B58,13)&amp;"|"&amp;$C58&amp;"|"&amp;$D58&amp;"|"&amp;P$14&amp;"|"&amp;"CY2023Q3",Spectrum!$R:$R,0)),0),""))</f>
        <v>972</v>
      </c>
      <c r="Q58" s="39" t="str">
        <f aca="false">IF(LEFT($B58,4)="_Mil","",_xlfn.IFNA(ROUND(INDEX(Spectrum!$N:$N,MATCH(RIGHT($B58,13)&amp;"|"&amp;$C58&amp;"|"&amp;$D58&amp;"|"&amp;Q$14&amp;"|"&amp;"CY2022Q3",Spectrum!$R:$R,0)),0),""))</f>
        <v/>
      </c>
      <c r="R58" s="10"/>
      <c r="S58" s="88" t="n">
        <f aca="false">0</f>
        <v>0</v>
      </c>
      <c r="T58" s="39" t="str">
        <f aca="false">IF(SUM($R58)=0,"",ROUND($R58*(1+$S58),0))</f>
        <v/>
      </c>
      <c r="U58" s="88" t="n">
        <f aca="false">IF(LEFT($B58,4)="_Mil","",IF(SUM($K58)=0,IF(SUM($R58)=0,"",1),MIN($R58/$K58,1)))</f>
        <v>0</v>
      </c>
      <c r="V58" s="39" t="str">
        <f aca="false">IF(OR(SUM($T58)=0,LEFT($B58,4)="_Mil"),"",ROUND($T58/$U58,0))</f>
        <v/>
      </c>
      <c r="W58" s="88"/>
      <c r="X58" s="88" t="n">
        <f aca="false">IF(SUM($K58,$W58)=0,"",MAX(IFERROR(SUM($L58)/$K58,0),SUM($W58)))</f>
        <v>0</v>
      </c>
      <c r="Y58" s="88"/>
      <c r="Z58" s="88" t="n">
        <f aca="false">IF(SUM($K58,$Y58)=0,"",MIN(SUM($Y58),IFERROR(SUM($M58)/(SUM($K58)-SUM($L58)),1)))</f>
        <v>0</v>
      </c>
      <c r="AA58" s="10" t="str">
        <f aca="false">$T58</f>
        <v/>
      </c>
      <c r="AB58" s="39" t="str">
        <f aca="false">IF(SUM($AA58)=0,"",IF(AND(SUM($AA58)&gt;0,$X58=""),"ENTER KNOWN POSITIVITY RATE",ROUND($AA58*$X58,0)))</f>
        <v/>
      </c>
      <c r="AC58" s="39" t="str">
        <f aca="false">IF(SUM($AA58)=0,"",IF(AND((SUM($AA58)-SUM($AB58))&gt;0,$Z58=""),"ENTER YIELD RATE",ROUND(($AA58-SUM($AB58))*$Z58,0)))</f>
        <v/>
      </c>
      <c r="AD58" s="39" t="str">
        <f aca="false">IF(SUM($AA58)=0,"",$AA58-SUM($AB58)-SUM($AC58))</f>
        <v/>
      </c>
      <c r="AE58" s="10" t="str">
        <f aca="false">$V58</f>
        <v/>
      </c>
      <c r="AF58" s="39" t="str">
        <f aca="false">IF(SUM($AE58)=0,"",ROUND($AE58*SUM($X58),0))</f>
        <v/>
      </c>
      <c r="AG58" s="39" t="str">
        <f aca="false">IF(SUM($AE58)=0,"",ROUND(($AE58-SUM($AF58))*SUM($Z58),0))</f>
        <v/>
      </c>
      <c r="AH58" s="39" t="str">
        <f aca="false">IF(SUM($AE58)=0,"",$AE58-SUM($AF58)-SUM($AG58))</f>
        <v/>
      </c>
      <c r="AI58" s="88" t="str">
        <f aca="false">IF(SUM($AC58)=0,"",INDEX(Cascade!$BG:$BG,MATCH($E58,Cascade!$E:$E,0)))</f>
        <v/>
      </c>
      <c r="AJ58" s="39" t="str">
        <f aca="false">$AB58</f>
        <v/>
      </c>
      <c r="AK58" s="39" t="str">
        <f aca="false">IF(SUM($AC58)=0,"",IF(AND($AI58="",SUM($AC58)&gt;0),"&lt;- Enter Linkage Rate",ROUND($AC58*$AI58,0)))</f>
        <v/>
      </c>
      <c r="AL58" s="39" t="str">
        <f aca="false">IF(SUM($AF58,$AG58)=0,"",SUM($AF58,$AG58))</f>
        <v/>
      </c>
      <c r="AM58" s="39" t="str">
        <f aca="false">$AF58</f>
        <v/>
      </c>
      <c r="AN58" s="39" t="str">
        <f aca="false">IF(SUM($AG58)=0,"",ROUND($AG58*SUM($AI58),0))</f>
        <v/>
      </c>
      <c r="AO58" s="10" t="str">
        <f aca="false">IFERROR(1/(1/MAX(SUM($T58)-SUM($AB58,$AC58),$AD58)),"")</f>
        <v/>
      </c>
      <c r="AP58" s="88"/>
      <c r="AQ58" s="88" t="str">
        <f aca="false">IF($AP58="","",$AP58)</f>
        <v/>
      </c>
      <c r="AR58" s="88" t="str">
        <f aca="false">IF(SUM($AO58)=0,"",INDEX(Cascade!$BG:$BG,MATCH($E58,Cascade!$E:$E,0)))</f>
        <v/>
      </c>
      <c r="AS58" s="39" t="str">
        <f aca="false">IF(SUM($AO58)=0,"",IF(AND(SUM($AO58)&gt;0,$AQ58=""),"ENTER YIELD RATE",ROUND($AO58*$AQ58,0)))</f>
        <v/>
      </c>
      <c r="AT58" s="39" t="str">
        <f aca="false">IF(SUM($AO58)=0,"",$AO58-SUM($AS58))</f>
        <v/>
      </c>
      <c r="AU58" s="10" t="str">
        <f aca="false">IF(SUM($AS58)=0,"",ROUND($AS58*$AR58,0))</f>
        <v/>
      </c>
      <c r="AV58" s="10" t="str">
        <f aca="false">IFERROR(1/(1/SUM($AC58,$AB58,$AS58)),"")</f>
        <v/>
      </c>
      <c r="AW58" s="10" t="str">
        <f aca="false">IFERROR(1/(1/INDEX(Cascade!$BH:$BH,MATCH($E58,Cascade!$E:$E,0))),"")</f>
        <v/>
      </c>
      <c r="AX58" s="10" t="str">
        <f aca="false">IF(SUM($AC58)=0,"",$AC58)</f>
        <v/>
      </c>
      <c r="AY58" s="10" t="str">
        <f aca="false">IF(SUM($AS58)=0,"",$AS58)</f>
        <v/>
      </c>
      <c r="AZ58" s="10" t="str">
        <f aca="false">IFERROR(1/(1/INDEX(TB!$P:$P,MATCH($E58,TB!$E:$E,0))),"")</f>
        <v/>
      </c>
      <c r="BA58" s="10" t="str">
        <f aca="false">IFERROR(1/(1/(SUM($AW58)-SUM($AX58:$AZ58))),"")</f>
        <v/>
      </c>
    </row>
    <row r="59" customFormat="false" ht="15" hidden="false" customHeight="false" outlineLevel="0" collapsed="false">
      <c r="A59" s="0" t="str">
        <f aca="false">INDEX(Prioritization!$D:$D,MATCH($B59,Prioritization!$A:$A,0))</f>
        <v>INVALID</v>
      </c>
      <c r="B59" s="0" t="s">
        <v>202</v>
      </c>
      <c r="C59" s="0" t="s">
        <v>368</v>
      </c>
      <c r="D59" s="0" t="s">
        <v>30</v>
      </c>
      <c r="E59" s="0" t="str">
        <f aca="false">B59&amp;"|"&amp;C59&amp;"|"&amp;D59</f>
        <v>Ntchisi District [fiRkU6gEjLz]|50+|Female</v>
      </c>
      <c r="F59" s="10" t="n">
        <f aca="false">IF(LEFT($B59,4)="_Mil","",INDEX(Cascade!$T:$T,MATCH($E59,Cascade!$E:$E,0)))</f>
        <v>1519</v>
      </c>
      <c r="G59" s="10" t="str">
        <f aca="false">IF(LEFT($B59,4)="_Mil","",INDEX(Cascade!$U:$U,MATCH($E59,Cascade!$E:$E,0)))</f>
        <v/>
      </c>
      <c r="H59" s="86" t="n">
        <f aca="false">IF(LEFT($B59,4)="_Mil","",INDEX(Cascade!$W:$W,MATCH($E59,Cascade!$E:$E,0)))</f>
        <v>1732</v>
      </c>
      <c r="I59" s="10" t="n">
        <f aca="false">IF(LEFT($B59,4)="_Mil","",INDEX(Cascade!$Z:$Z,MATCH($E59,Cascade!$E:$E,0)))</f>
        <v>1569</v>
      </c>
      <c r="J59" s="88" t="n">
        <f aca="false">IF(LEFT($B59,4)="_Mil","",INDEX(Cascade!$AA:$AA,MATCH($E59,Cascade!$E:$E,0)))</f>
        <v>1492</v>
      </c>
      <c r="K59" s="39" t="str">
        <f aca="false">IF(LEFT($B59,4)="_Mil","",_xlfn.IFNA(ROUND(INDEX(Spectrum!$N:$N,MATCH(RIGHT($B59,13)&amp;"|"&amp;$C59&amp;"|"&amp;$D59&amp;"|"&amp;K$14&amp;"|"&amp;"CY2023Q3",Spectrum!$R:$R,0)),0),""))</f>
        <v/>
      </c>
      <c r="L59" s="39" t="str">
        <f aca="false">IF(LEFT($B59,4)="_Mil","",_xlfn.IFNA(ROUND(INDEX(Spectrum!$N:$N,MATCH(RIGHT($B59,13)&amp;"|"&amp;$C59&amp;"|"&amp;$D59&amp;"|"&amp;L$14&amp;"|"&amp;"CY2023Q3",Spectrum!$R:$R,0)),0),""))</f>
        <v/>
      </c>
      <c r="M59" s="39" t="str">
        <f aca="false">IF(LEFT($B59,4)="_Mil","",_xlfn.IFNA(ROUND(INDEX(Spectrum!$N:$N,MATCH(RIGHT($B59,13)&amp;"|"&amp;$C59&amp;"|"&amp;$D59&amp;"|"&amp;M$14&amp;"|"&amp;"CY2023Q3",Spectrum!$R:$R,0)),0),""))</f>
        <v/>
      </c>
      <c r="N59" s="39" t="str">
        <f aca="false">IF(LEFT($B59,4)="_Mil","",_xlfn.IFNA(ROUND(INDEX(Spectrum!$N:$N,MATCH(RIGHT($B59,13)&amp;"|"&amp;$C59&amp;"|"&amp;$D59&amp;"|"&amp;N$14&amp;"|"&amp;"CY2023Q3",Spectrum!$R:$R,0)),0),""))</f>
        <v/>
      </c>
      <c r="O59" s="39" t="str">
        <f aca="false">IF(LEFT($B59,4)="_Mil","",_xlfn.IFNA(ROUND(INDEX(Spectrum!$N:$N,MATCH(RIGHT($B59,13)&amp;"|"&amp;$C59&amp;"|"&amp;$D59&amp;"|"&amp;O$14&amp;"|"&amp;"CY2023Q3",Spectrum!$R:$R,0)),0),""))</f>
        <v/>
      </c>
      <c r="P59" s="39" t="str">
        <f aca="false">IF(LEFT($B59,4)="_Mil","",_xlfn.IFNA(ROUND(INDEX(Spectrum!$N:$N,MATCH(RIGHT($B59,13)&amp;"|"&amp;$C59&amp;"|"&amp;$D59&amp;"|"&amp;P$14&amp;"|"&amp;"CY2023Q3",Spectrum!$R:$R,0)),0),""))</f>
        <v/>
      </c>
      <c r="Q59" s="39" t="str">
        <f aca="false">IF(LEFT($B59,4)="_Mil","",_xlfn.IFNA(ROUND(INDEX(Spectrum!$N:$N,MATCH(RIGHT($B59,13)&amp;"|"&amp;$C59&amp;"|"&amp;$D59&amp;"|"&amp;Q$14&amp;"|"&amp;"CY2022Q3",Spectrum!$R:$R,0)),0),""))</f>
        <v/>
      </c>
      <c r="R59" s="10"/>
      <c r="S59" s="88" t="n">
        <f aca="false">0</f>
        <v>0</v>
      </c>
      <c r="T59" s="39" t="str">
        <f aca="false">IF(SUM($R59)=0,"",ROUND($R59*(1+$S59),0))</f>
        <v/>
      </c>
      <c r="U59" s="88" t="str">
        <f aca="false">IF(LEFT($B59,4)="_Mil","",IF(SUM($K59)=0,IF(SUM($R59)=0,"",1),MIN($R59/$K59,1)))</f>
        <v/>
      </c>
      <c r="V59" s="39" t="str">
        <f aca="false">IF(OR(SUM($T59)=0,LEFT($B59,4)="_Mil"),"",ROUND($T59/$U59,0))</f>
        <v/>
      </c>
      <c r="W59" s="88"/>
      <c r="X59" s="88" t="str">
        <f aca="false">IF(SUM($K59,$W59)=0,"",MAX(IFERROR(SUM($L59)/$K59,0),SUM($W59)))</f>
        <v/>
      </c>
      <c r="Y59" s="88"/>
      <c r="Z59" s="88" t="str">
        <f aca="false">IF(SUM($K59,$Y59)=0,"",MIN(SUM($Y59),IFERROR(SUM($M59)/(SUM($K59)-SUM($L59)),1)))</f>
        <v/>
      </c>
      <c r="AA59" s="10" t="str">
        <f aca="false">$T59</f>
        <v/>
      </c>
      <c r="AB59" s="39" t="str">
        <f aca="false">IF(SUM($AA59)=0,"",IF(AND(SUM($AA59)&gt;0,$X59=""),"ENTER KNOWN POSITIVITY RATE",ROUND($AA59*$X59,0)))</f>
        <v/>
      </c>
      <c r="AC59" s="39" t="str">
        <f aca="false">IF(SUM($AA59)=0,"",IF(AND((SUM($AA59)-SUM($AB59))&gt;0,$Z59=""),"ENTER YIELD RATE",ROUND(($AA59-SUM($AB59))*$Z59,0)))</f>
        <v/>
      </c>
      <c r="AD59" s="39" t="str">
        <f aca="false">IF(SUM($AA59)=0,"",$AA59-SUM($AB59)-SUM($AC59))</f>
        <v/>
      </c>
      <c r="AE59" s="10" t="str">
        <f aca="false">$V59</f>
        <v/>
      </c>
      <c r="AF59" s="39" t="str">
        <f aca="false">IF(SUM($AE59)=0,"",ROUND($AE59*SUM($X59),0))</f>
        <v/>
      </c>
      <c r="AG59" s="39" t="str">
        <f aca="false">IF(SUM($AE59)=0,"",ROUND(($AE59-SUM($AF59))*SUM($Z59),0))</f>
        <v/>
      </c>
      <c r="AH59" s="39" t="str">
        <f aca="false">IF(SUM($AE59)=0,"",$AE59-SUM($AF59)-SUM($AG59))</f>
        <v/>
      </c>
      <c r="AI59" s="88" t="str">
        <f aca="false">IF(SUM($AC59)=0,"",INDEX(Cascade!$BG:$BG,MATCH($E59,Cascade!$E:$E,0)))</f>
        <v/>
      </c>
      <c r="AJ59" s="39" t="str">
        <f aca="false">$AB59</f>
        <v/>
      </c>
      <c r="AK59" s="39" t="str">
        <f aca="false">IF(SUM($AC59)=0,"",IF(AND($AI59="",SUM($AC59)&gt;0),"&lt;- Enter Linkage Rate",ROUND($AC59*$AI59,0)))</f>
        <v/>
      </c>
      <c r="AL59" s="39" t="str">
        <f aca="false">IF(SUM($AF59,$AG59)=0,"",SUM($AF59,$AG59))</f>
        <v/>
      </c>
      <c r="AM59" s="39" t="str">
        <f aca="false">$AF59</f>
        <v/>
      </c>
      <c r="AN59" s="39" t="str">
        <f aca="false">IF(SUM($AG59)=0,"",ROUND($AG59*SUM($AI59),0))</f>
        <v/>
      </c>
      <c r="AO59" s="10" t="str">
        <f aca="false">IFERROR(1/(1/MAX(SUM($T59)-SUM($AB59,$AC59),$AD59)),"")</f>
        <v/>
      </c>
      <c r="AP59" s="88"/>
      <c r="AQ59" s="88" t="str">
        <f aca="false">IF($AP59="","",$AP59)</f>
        <v/>
      </c>
      <c r="AR59" s="88" t="str">
        <f aca="false">IF(SUM($AO59)=0,"",INDEX(Cascade!$BG:$BG,MATCH($E59,Cascade!$E:$E,0)))</f>
        <v/>
      </c>
      <c r="AS59" s="39" t="str">
        <f aca="false">IF(SUM($AO59)=0,"",IF(AND(SUM($AO59)&gt;0,$AQ59=""),"ENTER YIELD RATE",ROUND($AO59*$AQ59,0)))</f>
        <v/>
      </c>
      <c r="AT59" s="39" t="str">
        <f aca="false">IF(SUM($AO59)=0,"",$AO59-SUM($AS59))</f>
        <v/>
      </c>
      <c r="AU59" s="10" t="str">
        <f aca="false">IF(SUM($AS59)=0,"",ROUND($AS59*$AR59,0))</f>
        <v/>
      </c>
      <c r="AV59" s="10" t="str">
        <f aca="false">IFERROR(1/(1/SUM($AC59,$AB59,$AS59)),"")</f>
        <v/>
      </c>
      <c r="AW59" s="10" t="str">
        <f aca="false">IFERROR(1/(1/INDEX(Cascade!$BH:$BH,MATCH($E59,Cascade!$E:$E,0))),"")</f>
        <v/>
      </c>
      <c r="AX59" s="10" t="str">
        <f aca="false">IF(SUM($AC59)=0,"",$AC59)</f>
        <v/>
      </c>
      <c r="AY59" s="10" t="str">
        <f aca="false">IF(SUM($AS59)=0,"",$AS59)</f>
        <v/>
      </c>
      <c r="AZ59" s="10" t="str">
        <f aca="false">IFERROR(1/(1/INDEX(TB!$P:$P,MATCH($E59,TB!$E:$E,0))),"")</f>
        <v/>
      </c>
      <c r="BA59" s="10" t="str">
        <f aca="false">IFERROR(1/(1/(SUM($AW59)-SUM($AX59:$AZ59))),"")</f>
        <v/>
      </c>
    </row>
    <row r="60" customFormat="false" ht="15" hidden="false" customHeight="false" outlineLevel="0" collapsed="false">
      <c r="A60" s="0" t="str">
        <f aca="false">INDEX(Prioritization!$D:$D,MATCH($B60,Prioritization!$A:$A,0))</f>
        <v>INVALID</v>
      </c>
      <c r="B60" s="0" t="s">
        <v>203</v>
      </c>
      <c r="C60" s="0" t="s">
        <v>364</v>
      </c>
      <c r="D60" s="0" t="s">
        <v>30</v>
      </c>
      <c r="E60" s="0" t="str">
        <f aca="false">B60&amp;"|"&amp;C60&amp;"|"&amp;D60</f>
        <v>Salima District [msW2zpIN7up]|10-14|Female</v>
      </c>
      <c r="F60" s="10" t="n">
        <f aca="false">IF(LEFT($B60,4)="_Mil","",INDEX(Cascade!$T:$T,MATCH($E60,Cascade!$E:$E,0)))</f>
        <v>1441</v>
      </c>
      <c r="G60" s="10" t="str">
        <f aca="false">IF(LEFT($B60,4)="_Mil","",INDEX(Cascade!$U:$U,MATCH($E60,Cascade!$E:$E,0)))</f>
        <v/>
      </c>
      <c r="H60" s="86" t="n">
        <f aca="false">IF(LEFT($B60,4)="_Mil","",INDEX(Cascade!$W:$W,MATCH($E60,Cascade!$E:$E,0)))</f>
        <v>1937</v>
      </c>
      <c r="I60" s="10" t="n">
        <f aca="false">IF(LEFT($B60,4)="_Mil","",INDEX(Cascade!$Z:$Z,MATCH($E60,Cascade!$E:$E,0)))</f>
        <v>922</v>
      </c>
      <c r="J60" s="88" t="n">
        <f aca="false">IF(LEFT($B60,4)="_Mil","",INDEX(Cascade!$AA:$AA,MATCH($E60,Cascade!$E:$E,0)))</f>
        <v>842</v>
      </c>
      <c r="K60" s="39" t="str">
        <f aca="false">IF(LEFT($B60,4)="_Mil","",_xlfn.IFNA(ROUND(INDEX(Spectrum!$N:$N,MATCH(RIGHT($B60,13)&amp;"|"&amp;$C60&amp;"|"&amp;$D60&amp;"|"&amp;K$14&amp;"|"&amp;"CY2023Q3",Spectrum!$R:$R,0)),0),""))</f>
        <v/>
      </c>
      <c r="L60" s="39" t="str">
        <f aca="false">IF(LEFT($B60,4)="_Mil","",_xlfn.IFNA(ROUND(INDEX(Spectrum!$N:$N,MATCH(RIGHT($B60,13)&amp;"|"&amp;$C60&amp;"|"&amp;$D60&amp;"|"&amp;L$14&amp;"|"&amp;"CY2023Q3",Spectrum!$R:$R,0)),0),""))</f>
        <v/>
      </c>
      <c r="M60" s="39" t="str">
        <f aca="false">IF(LEFT($B60,4)="_Mil","",_xlfn.IFNA(ROUND(INDEX(Spectrum!$N:$N,MATCH(RIGHT($B60,13)&amp;"|"&amp;$C60&amp;"|"&amp;$D60&amp;"|"&amp;M$14&amp;"|"&amp;"CY2023Q3",Spectrum!$R:$R,0)),0),""))</f>
        <v/>
      </c>
      <c r="N60" s="39" t="str">
        <f aca="false">IF(LEFT($B60,4)="_Mil","",_xlfn.IFNA(ROUND(INDEX(Spectrum!$N:$N,MATCH(RIGHT($B60,13)&amp;"|"&amp;$C60&amp;"|"&amp;$D60&amp;"|"&amp;N$14&amp;"|"&amp;"CY2023Q3",Spectrum!$R:$R,0)),0),""))</f>
        <v/>
      </c>
      <c r="O60" s="39" t="str">
        <f aca="false">IF(LEFT($B60,4)="_Mil","",_xlfn.IFNA(ROUND(INDEX(Spectrum!$N:$N,MATCH(RIGHT($B60,13)&amp;"|"&amp;$C60&amp;"|"&amp;$D60&amp;"|"&amp;O$14&amp;"|"&amp;"CY2023Q3",Spectrum!$R:$R,0)),0),""))</f>
        <v/>
      </c>
      <c r="P60" s="39" t="str">
        <f aca="false">IF(LEFT($B60,4)="_Mil","",_xlfn.IFNA(ROUND(INDEX(Spectrum!$N:$N,MATCH(RIGHT($B60,13)&amp;"|"&amp;$C60&amp;"|"&amp;$D60&amp;"|"&amp;P$14&amp;"|"&amp;"CY2023Q3",Spectrum!$R:$R,0)),0),""))</f>
        <v/>
      </c>
      <c r="Q60" s="39" t="str">
        <f aca="false">IF(LEFT($B60,4)="_Mil","",_xlfn.IFNA(ROUND(INDEX(Spectrum!$N:$N,MATCH(RIGHT($B60,13)&amp;"|"&amp;$C60&amp;"|"&amp;$D60&amp;"|"&amp;Q$14&amp;"|"&amp;"CY2022Q3",Spectrum!$R:$R,0)),0),""))</f>
        <v/>
      </c>
      <c r="R60" s="10" t="n">
        <v>10</v>
      </c>
      <c r="S60" s="88" t="n">
        <f aca="false">0</f>
        <v>0</v>
      </c>
      <c r="T60" s="39" t="n">
        <f aca="false">IF(SUM($R60)=0,"",ROUND($R60*(1+$S60),0))</f>
        <v>10</v>
      </c>
      <c r="U60" s="88" t="n">
        <f aca="false">IF(LEFT($B60,4)="_Mil","",IF(SUM($K60)=0,IF(SUM($R60)=0,"",1),MIN($R60/$K60,1)))</f>
        <v>1</v>
      </c>
      <c r="V60" s="39" t="n">
        <f aca="false">IF(OR(SUM($T60)=0,LEFT($B60,4)="_Mil"),"",ROUND($T60/$U60,0))</f>
        <v>10</v>
      </c>
      <c r="W60" s="88"/>
      <c r="X60" s="88" t="str">
        <f aca="false">IF(SUM($K60,$W60)=0,"",MAX(IFERROR(SUM($L60)/$K60,0),SUM($W60)))</f>
        <v/>
      </c>
      <c r="Y60" s="88"/>
      <c r="Z60" s="88" t="str">
        <f aca="false">IF(SUM($K60,$Y60)=0,"",MIN(SUM($Y60),IFERROR(SUM($M60)/(SUM($K60)-SUM($L60)),1)))</f>
        <v/>
      </c>
      <c r="AA60" s="10" t="n">
        <f aca="false">$T60</f>
        <v>10</v>
      </c>
      <c r="AB60" s="39" t="str">
        <f aca="false">IF(SUM($AA60)=0,"",IF(AND(SUM($AA60)&gt;0,$X60=""),"ENTER KNOWN POSITIVITY RATE",ROUND($AA60*$X60,0)))</f>
        <v>ENTER KNOWN POSITIVITY RATE</v>
      </c>
      <c r="AC60" s="39" t="str">
        <f aca="false">IF(SUM($AA60)=0,"",IF(AND((SUM($AA60)-SUM($AB60))&gt;0,$Z60=""),"ENTER YIELD RATE",ROUND(($AA60-SUM($AB60))*$Z60,0)))</f>
        <v>ENTER YIELD RATE</v>
      </c>
      <c r="AD60" s="39" t="n">
        <f aca="false">IF(SUM($AA60)=0,"",$AA60-SUM($AB60)-SUM($AC60))</f>
        <v>10</v>
      </c>
      <c r="AE60" s="10" t="n">
        <f aca="false">$V60</f>
        <v>10</v>
      </c>
      <c r="AF60" s="39" t="n">
        <f aca="false">IF(SUM($AE60)=0,"",ROUND($AE60*SUM($X60),0))</f>
        <v>0</v>
      </c>
      <c r="AG60" s="39" t="n">
        <f aca="false">IF(SUM($AE60)=0,"",ROUND(($AE60-SUM($AF60))*SUM($Z60),0))</f>
        <v>0</v>
      </c>
      <c r="AH60" s="39" t="n">
        <f aca="false">IF(SUM($AE60)=0,"",$AE60-SUM($AF60)-SUM($AG60))</f>
        <v>10</v>
      </c>
      <c r="AI60" s="88" t="str">
        <f aca="false">IF(SUM($AC60)=0,"",INDEX(Cascade!$BG:$BG,MATCH($E60,Cascade!$E:$E,0)))</f>
        <v/>
      </c>
      <c r="AJ60" s="39" t="str">
        <f aca="false">$AB60</f>
        <v>ENTER KNOWN POSITIVITY RATE</v>
      </c>
      <c r="AK60" s="39" t="str">
        <f aca="false">IF(SUM($AC60)=0,"",IF(AND($AI60="",SUM($AC60)&gt;0),"&lt;- Enter Linkage Rate",ROUND($AC60*$AI60,0)))</f>
        <v/>
      </c>
      <c r="AL60" s="39" t="str">
        <f aca="false">IF(SUM($AF60,$AG60)=0,"",SUM($AF60,$AG60))</f>
        <v/>
      </c>
      <c r="AM60" s="39" t="n">
        <f aca="false">$AF60</f>
        <v>0</v>
      </c>
      <c r="AN60" s="39" t="str">
        <f aca="false">IF(SUM($AG60)=0,"",ROUND($AG60*SUM($AI60),0))</f>
        <v/>
      </c>
      <c r="AO60" s="10" t="n">
        <f aca="false">IFERROR(1/(1/MAX(SUM($T60)-SUM($AB60,$AC60),$AD60)),"")</f>
        <v>10</v>
      </c>
      <c r="AP60" s="88"/>
      <c r="AQ60" s="88" t="str">
        <f aca="false">IF($AP60="","",$AP60)</f>
        <v/>
      </c>
      <c r="AR60" s="88" t="n">
        <f aca="false">IF(SUM($AO60)=0,"",INDEX(Cascade!$BG:$BG,MATCH($E60,Cascade!$E:$E,0)))</f>
        <v>0.95</v>
      </c>
      <c r="AS60" s="39" t="str">
        <f aca="false">IF(SUM($AO60)=0,"",IF(AND(SUM($AO60)&gt;0,$AQ60=""),"ENTER YIELD RATE",ROUND($AO60*$AQ60,0)))</f>
        <v>ENTER YIELD RATE</v>
      </c>
      <c r="AT60" s="39" t="n">
        <f aca="false">IF(SUM($AO60)=0,"",$AO60-SUM($AS60))</f>
        <v>10</v>
      </c>
      <c r="AU60" s="10" t="str">
        <f aca="false">IF(SUM($AS60)=0,"",ROUND($AS60*$AR60,0))</f>
        <v/>
      </c>
      <c r="AV60" s="10" t="str">
        <f aca="false">IFERROR(1/(1/SUM($AC60,$AB60,$AS60)),"")</f>
        <v/>
      </c>
      <c r="AW60" s="10" t="n">
        <f aca="false">IFERROR(1/(1/INDEX(Cascade!$BH:$BH,MATCH($E60,Cascade!$E:$E,0))),"")</f>
        <v>-82</v>
      </c>
      <c r="AX60" s="10" t="str">
        <f aca="false">IF(SUM($AC60)=0,"",$AC60)</f>
        <v/>
      </c>
      <c r="AY60" s="10" t="str">
        <f aca="false">IF(SUM($AS60)=0,"",$AS60)</f>
        <v/>
      </c>
      <c r="AZ60" s="10" t="str">
        <f aca="false">IFERROR(1/(1/INDEX(TB!$P:$P,MATCH($E60,TB!$E:$E,0))),"")</f>
        <v/>
      </c>
      <c r="BA60" s="10" t="n">
        <f aca="false">IFERROR(1/(1/(SUM($AW60)-SUM($AX60:$AZ60))),"")</f>
        <v>-82</v>
      </c>
    </row>
    <row r="61" customFormat="false" ht="15" hidden="false" customHeight="false" outlineLevel="0" collapsed="false">
      <c r="A61" s="0" t="str">
        <f aca="false">INDEX(Prioritization!$D:$D,MATCH($B61,Prioritization!$A:$A,0))</f>
        <v>INVALID</v>
      </c>
      <c r="B61" s="0" t="s">
        <v>203</v>
      </c>
      <c r="C61" s="0" t="s">
        <v>365</v>
      </c>
      <c r="D61" s="0" t="s">
        <v>30</v>
      </c>
      <c r="E61" s="0" t="str">
        <f aca="false">B61&amp;"|"&amp;C61&amp;"|"&amp;D61</f>
        <v>Salima District [msW2zpIN7up]|15-24|Female</v>
      </c>
      <c r="F61" s="10" t="n">
        <f aca="false">IF(LEFT($B61,4)="_Mil","",INDEX(Cascade!$T:$T,MATCH($E61,Cascade!$E:$E,0)))</f>
        <v>500</v>
      </c>
      <c r="G61" s="10" t="str">
        <f aca="false">IF(LEFT($B61,4)="_Mil","",INDEX(Cascade!$U:$U,MATCH($E61,Cascade!$E:$E,0)))</f>
        <v/>
      </c>
      <c r="H61" s="86" t="n">
        <f aca="false">IF(LEFT($B61,4)="_Mil","",INDEX(Cascade!$W:$W,MATCH($E61,Cascade!$E:$E,0)))</f>
        <v>1947</v>
      </c>
      <c r="I61" s="10" t="n">
        <f aca="false">IF(LEFT($B61,4)="_Mil","",INDEX(Cascade!$Z:$Z,MATCH($E61,Cascade!$E:$E,0)))</f>
        <v>1397</v>
      </c>
      <c r="J61" s="88" t="n">
        <f aca="false">IF(LEFT($B61,4)="_Mil","",INDEX(Cascade!$AA:$AA,MATCH($E61,Cascade!$E:$E,0)))</f>
        <v>1176</v>
      </c>
      <c r="K61" s="39" t="n">
        <f aca="false">IF(LEFT($B61,4)="_Mil","",_xlfn.IFNA(ROUND(INDEX(Spectrum!$N:$N,MATCH(RIGHT($B61,13)&amp;"|"&amp;$C61&amp;"|"&amp;$D61&amp;"|"&amp;K$14&amp;"|"&amp;"CY2023Q3",Spectrum!$R:$R,0)),0),""))</f>
        <v>1251</v>
      </c>
      <c r="L61" s="39" t="str">
        <f aca="false">IF(LEFT($B61,4)="_Mil","",_xlfn.IFNA(ROUND(INDEX(Spectrum!$N:$N,MATCH(RIGHT($B61,13)&amp;"|"&amp;$C61&amp;"|"&amp;$D61&amp;"|"&amp;L$14&amp;"|"&amp;"CY2023Q3",Spectrum!$R:$R,0)),0),""))</f>
        <v/>
      </c>
      <c r="M61" s="39" t="n">
        <f aca="false">IF(LEFT($B61,4)="_Mil","",_xlfn.IFNA(ROUND(INDEX(Spectrum!$N:$N,MATCH(RIGHT($B61,13)&amp;"|"&amp;$C61&amp;"|"&amp;$D61&amp;"|"&amp;M$14&amp;"|"&amp;"CY2023Q3",Spectrum!$R:$R,0)),0),""))</f>
        <v>1049</v>
      </c>
      <c r="N61" s="39" t="n">
        <f aca="false">IF(LEFT($B61,4)="_Mil","",_xlfn.IFNA(ROUND(INDEX(Spectrum!$N:$N,MATCH(RIGHT($B61,13)&amp;"|"&amp;$C61&amp;"|"&amp;$D61&amp;"|"&amp;N$14&amp;"|"&amp;"CY2023Q3",Spectrum!$R:$R,0)),0),""))</f>
        <v>1333</v>
      </c>
      <c r="O61" s="39" t="n">
        <f aca="false">IF(LEFT($B61,4)="_Mil","",_xlfn.IFNA(ROUND(INDEX(Spectrum!$N:$N,MATCH(RIGHT($B61,13)&amp;"|"&amp;$C61&amp;"|"&amp;$D61&amp;"|"&amp;O$14&amp;"|"&amp;"CY2023Q3",Spectrum!$R:$R,0)),0),""))</f>
        <v>1484</v>
      </c>
      <c r="P61" s="39" t="n">
        <f aca="false">IF(LEFT($B61,4)="_Mil","",_xlfn.IFNA(ROUND(INDEX(Spectrum!$N:$N,MATCH(RIGHT($B61,13)&amp;"|"&amp;$C61&amp;"|"&amp;$D61&amp;"|"&amp;P$14&amp;"|"&amp;"CY2023Q3",Spectrum!$R:$R,0)),0),""))</f>
        <v>1317</v>
      </c>
      <c r="Q61" s="39" t="str">
        <f aca="false">IF(LEFT($B61,4)="_Mil","",_xlfn.IFNA(ROUND(INDEX(Spectrum!$N:$N,MATCH(RIGHT($B61,13)&amp;"|"&amp;$C61&amp;"|"&amp;$D61&amp;"|"&amp;Q$14&amp;"|"&amp;"CY2022Q3",Spectrum!$R:$R,0)),0),""))</f>
        <v/>
      </c>
      <c r="R61" s="10"/>
      <c r="S61" s="88" t="n">
        <f aca="false">0</f>
        <v>0</v>
      </c>
      <c r="T61" s="39" t="str">
        <f aca="false">IF(SUM($R61)=0,"",ROUND($R61*(1+$S61),0))</f>
        <v/>
      </c>
      <c r="U61" s="88" t="n">
        <f aca="false">IF(LEFT($B61,4)="_Mil","",IF(SUM($K61)=0,IF(SUM($R61)=0,"",1),MIN($R61/$K61,1)))</f>
        <v>0</v>
      </c>
      <c r="V61" s="39" t="str">
        <f aca="false">IF(OR(SUM($T61)=0,LEFT($B61,4)="_Mil"),"",ROUND($T61/$U61,0))</f>
        <v/>
      </c>
      <c r="W61" s="88"/>
      <c r="X61" s="88" t="n">
        <f aca="false">IF(SUM($K61,$W61)=0,"",MAX(IFERROR(SUM($L61)/$K61,0),SUM($W61)))</f>
        <v>0</v>
      </c>
      <c r="Y61" s="88"/>
      <c r="Z61" s="88" t="n">
        <f aca="false">IF(SUM($K61,$Y61)=0,"",MIN(SUM($Y61),IFERROR(SUM($M61)/(SUM($K61)-SUM($L61)),1)))</f>
        <v>0</v>
      </c>
      <c r="AA61" s="10" t="str">
        <f aca="false">$T61</f>
        <v/>
      </c>
      <c r="AB61" s="39" t="str">
        <f aca="false">IF(SUM($AA61)=0,"",IF(AND(SUM($AA61)&gt;0,$X61=""),"ENTER KNOWN POSITIVITY RATE",ROUND($AA61*$X61,0)))</f>
        <v/>
      </c>
      <c r="AC61" s="39" t="str">
        <f aca="false">IF(SUM($AA61)=0,"",IF(AND((SUM($AA61)-SUM($AB61))&gt;0,$Z61=""),"ENTER YIELD RATE",ROUND(($AA61-SUM($AB61))*$Z61,0)))</f>
        <v/>
      </c>
      <c r="AD61" s="39" t="str">
        <f aca="false">IF(SUM($AA61)=0,"",$AA61-SUM($AB61)-SUM($AC61))</f>
        <v/>
      </c>
      <c r="AE61" s="10" t="str">
        <f aca="false">$V61</f>
        <v/>
      </c>
      <c r="AF61" s="39" t="str">
        <f aca="false">IF(SUM($AE61)=0,"",ROUND($AE61*SUM($X61),0))</f>
        <v/>
      </c>
      <c r="AG61" s="39" t="str">
        <f aca="false">IF(SUM($AE61)=0,"",ROUND(($AE61-SUM($AF61))*SUM($Z61),0))</f>
        <v/>
      </c>
      <c r="AH61" s="39" t="str">
        <f aca="false">IF(SUM($AE61)=0,"",$AE61-SUM($AF61)-SUM($AG61))</f>
        <v/>
      </c>
      <c r="AI61" s="88" t="str">
        <f aca="false">IF(SUM($AC61)=0,"",INDEX(Cascade!$BG:$BG,MATCH($E61,Cascade!$E:$E,0)))</f>
        <v/>
      </c>
      <c r="AJ61" s="39" t="str">
        <f aca="false">$AB61</f>
        <v/>
      </c>
      <c r="AK61" s="39" t="str">
        <f aca="false">IF(SUM($AC61)=0,"",IF(AND($AI61="",SUM($AC61)&gt;0),"&lt;- Enter Linkage Rate",ROUND($AC61*$AI61,0)))</f>
        <v/>
      </c>
      <c r="AL61" s="39" t="str">
        <f aca="false">IF(SUM($AF61,$AG61)=0,"",SUM($AF61,$AG61))</f>
        <v/>
      </c>
      <c r="AM61" s="39" t="str">
        <f aca="false">$AF61</f>
        <v/>
      </c>
      <c r="AN61" s="39" t="str">
        <f aca="false">IF(SUM($AG61)=0,"",ROUND($AG61*SUM($AI61),0))</f>
        <v/>
      </c>
      <c r="AO61" s="10" t="str">
        <f aca="false">IFERROR(1/(1/MAX(SUM($T61)-SUM($AB61,$AC61),$AD61)),"")</f>
        <v/>
      </c>
      <c r="AP61" s="88"/>
      <c r="AQ61" s="88" t="str">
        <f aca="false">IF($AP61="","",$AP61)</f>
        <v/>
      </c>
      <c r="AR61" s="88" t="str">
        <f aca="false">IF(SUM($AO61)=0,"",INDEX(Cascade!$BG:$BG,MATCH($E61,Cascade!$E:$E,0)))</f>
        <v/>
      </c>
      <c r="AS61" s="39" t="str">
        <f aca="false">IF(SUM($AO61)=0,"",IF(AND(SUM($AO61)&gt;0,$AQ61=""),"ENTER YIELD RATE",ROUND($AO61*$AQ61,0)))</f>
        <v/>
      </c>
      <c r="AT61" s="39" t="str">
        <f aca="false">IF(SUM($AO61)=0,"",$AO61-SUM($AS61))</f>
        <v/>
      </c>
      <c r="AU61" s="10" t="str">
        <f aca="false">IF(SUM($AS61)=0,"",ROUND($AS61*$AR61,0))</f>
        <v/>
      </c>
      <c r="AV61" s="10" t="str">
        <f aca="false">IFERROR(1/(1/SUM($AC61,$AB61,$AS61)),"")</f>
        <v/>
      </c>
      <c r="AW61" s="10" t="str">
        <f aca="false">IFERROR(1/(1/INDEX(Cascade!$BH:$BH,MATCH($E61,Cascade!$E:$E,0))),"")</f>
        <v/>
      </c>
      <c r="AX61" s="10" t="str">
        <f aca="false">IF(SUM($AC61)=0,"",$AC61)</f>
        <v/>
      </c>
      <c r="AY61" s="10" t="str">
        <f aca="false">IF(SUM($AS61)=0,"",$AS61)</f>
        <v/>
      </c>
      <c r="AZ61" s="10" t="str">
        <f aca="false">IFERROR(1/(1/INDEX(TB!$P:$P,MATCH($E61,TB!$E:$E,0))),"")</f>
        <v/>
      </c>
      <c r="BA61" s="10" t="str">
        <f aca="false">IFERROR(1/(1/(SUM($AW61)-SUM($AX61:$AZ61))),"")</f>
        <v/>
      </c>
    </row>
    <row r="62" customFormat="false" ht="15" hidden="false" customHeight="false" outlineLevel="0" collapsed="false">
      <c r="A62" s="0" t="str">
        <f aca="false">INDEX(Prioritization!$D:$D,MATCH($B62,Prioritization!$A:$A,0))</f>
        <v>INVALID</v>
      </c>
      <c r="B62" s="0" t="s">
        <v>203</v>
      </c>
      <c r="C62" s="0" t="s">
        <v>366</v>
      </c>
      <c r="D62" s="0" t="s">
        <v>30</v>
      </c>
      <c r="E62" s="0" t="str">
        <f aca="false">B62&amp;"|"&amp;C62&amp;"|"&amp;D62</f>
        <v>Salima District [msW2zpIN7up]|25-34|Female</v>
      </c>
      <c r="F62" s="10" t="n">
        <f aca="false">IF(LEFT($B62,4)="_Mil","",INDEX(Cascade!$T:$T,MATCH($E62,Cascade!$E:$E,0)))</f>
        <v>1415</v>
      </c>
      <c r="G62" s="10" t="str">
        <f aca="false">IF(LEFT($B62,4)="_Mil","",INDEX(Cascade!$U:$U,MATCH($E62,Cascade!$E:$E,0)))</f>
        <v/>
      </c>
      <c r="H62" s="86" t="n">
        <f aca="false">IF(LEFT($B62,4)="_Mil","",INDEX(Cascade!$W:$W,MATCH($E62,Cascade!$E:$E,0)))</f>
        <v>1128</v>
      </c>
      <c r="I62" s="10" t="n">
        <f aca="false">IF(LEFT($B62,4)="_Mil","",INDEX(Cascade!$Z:$Z,MATCH($E62,Cascade!$E:$E,0)))</f>
        <v>961</v>
      </c>
      <c r="J62" s="88" t="n">
        <f aca="false">IF(LEFT($B62,4)="_Mil","",INDEX(Cascade!$AA:$AA,MATCH($E62,Cascade!$E:$E,0)))</f>
        <v>1721</v>
      </c>
      <c r="K62" s="39" t="n">
        <f aca="false">IF(LEFT($B62,4)="_Mil","",_xlfn.IFNA(ROUND(INDEX(Spectrum!$N:$N,MATCH(RIGHT($B62,13)&amp;"|"&amp;$C62&amp;"|"&amp;$D62&amp;"|"&amp;K$14&amp;"|"&amp;"CY2023Q3",Spectrum!$R:$R,0)),0),""))</f>
        <v>1748</v>
      </c>
      <c r="L62" s="39" t="str">
        <f aca="false">IF(LEFT($B62,4)="_Mil","",_xlfn.IFNA(ROUND(INDEX(Spectrum!$N:$N,MATCH(RIGHT($B62,13)&amp;"|"&amp;$C62&amp;"|"&amp;$D62&amp;"|"&amp;L$14&amp;"|"&amp;"CY2023Q3",Spectrum!$R:$R,0)),0),""))</f>
        <v/>
      </c>
      <c r="M62" s="39" t="n">
        <f aca="false">IF(LEFT($B62,4)="_Mil","",_xlfn.IFNA(ROUND(INDEX(Spectrum!$N:$N,MATCH(RIGHT($B62,13)&amp;"|"&amp;$C62&amp;"|"&amp;$D62&amp;"|"&amp;M$14&amp;"|"&amp;"CY2023Q3",Spectrum!$R:$R,0)),0),""))</f>
        <v>1658</v>
      </c>
      <c r="N62" s="39" t="n">
        <f aca="false">IF(LEFT($B62,4)="_Mil","",_xlfn.IFNA(ROUND(INDEX(Spectrum!$N:$N,MATCH(RIGHT($B62,13)&amp;"|"&amp;$C62&amp;"|"&amp;$D62&amp;"|"&amp;N$14&amp;"|"&amp;"CY2023Q3",Spectrum!$R:$R,0)),0),""))</f>
        <v>1391</v>
      </c>
      <c r="O62" s="39" t="n">
        <f aca="false">IF(LEFT($B62,4)="_Mil","",_xlfn.IFNA(ROUND(INDEX(Spectrum!$N:$N,MATCH(RIGHT($B62,13)&amp;"|"&amp;$C62&amp;"|"&amp;$D62&amp;"|"&amp;O$14&amp;"|"&amp;"CY2023Q3",Spectrum!$R:$R,0)),0),""))</f>
        <v>1370</v>
      </c>
      <c r="P62" s="39" t="n">
        <f aca="false">IF(LEFT($B62,4)="_Mil","",_xlfn.IFNA(ROUND(INDEX(Spectrum!$N:$N,MATCH(RIGHT($B62,13)&amp;"|"&amp;$C62&amp;"|"&amp;$D62&amp;"|"&amp;P$14&amp;"|"&amp;"CY2023Q3",Spectrum!$R:$R,0)),0),""))</f>
        <v>1189</v>
      </c>
      <c r="Q62" s="39" t="str">
        <f aca="false">IF(LEFT($B62,4)="_Mil","",_xlfn.IFNA(ROUND(INDEX(Spectrum!$N:$N,MATCH(RIGHT($B62,13)&amp;"|"&amp;$C62&amp;"|"&amp;$D62&amp;"|"&amp;Q$14&amp;"|"&amp;"CY2022Q3",Spectrum!$R:$R,0)),0),""))</f>
        <v/>
      </c>
      <c r="R62" s="10"/>
      <c r="S62" s="88" t="n">
        <f aca="false">0</f>
        <v>0</v>
      </c>
      <c r="T62" s="39" t="str">
        <f aca="false">IF(SUM($R62)=0,"",ROUND($R62*(1+$S62),0))</f>
        <v/>
      </c>
      <c r="U62" s="88" t="n">
        <f aca="false">IF(LEFT($B62,4)="_Mil","",IF(SUM($K62)=0,IF(SUM($R62)=0,"",1),MIN($R62/$K62,1)))</f>
        <v>0</v>
      </c>
      <c r="V62" s="39" t="str">
        <f aca="false">IF(OR(SUM($T62)=0,LEFT($B62,4)="_Mil"),"",ROUND($T62/$U62,0))</f>
        <v/>
      </c>
      <c r="W62" s="88"/>
      <c r="X62" s="88" t="n">
        <f aca="false">IF(SUM($K62,$W62)=0,"",MAX(IFERROR(SUM($L62)/$K62,0),SUM($W62)))</f>
        <v>0</v>
      </c>
      <c r="Y62" s="88"/>
      <c r="Z62" s="88" t="n">
        <f aca="false">IF(SUM($K62,$Y62)=0,"",MIN(SUM($Y62),IFERROR(SUM($M62)/(SUM($K62)-SUM($L62)),1)))</f>
        <v>0</v>
      </c>
      <c r="AA62" s="10" t="str">
        <f aca="false">$T62</f>
        <v/>
      </c>
      <c r="AB62" s="39" t="str">
        <f aca="false">IF(SUM($AA62)=0,"",IF(AND(SUM($AA62)&gt;0,$X62=""),"ENTER KNOWN POSITIVITY RATE",ROUND($AA62*$X62,0)))</f>
        <v/>
      </c>
      <c r="AC62" s="39" t="str">
        <f aca="false">IF(SUM($AA62)=0,"",IF(AND((SUM($AA62)-SUM($AB62))&gt;0,$Z62=""),"ENTER YIELD RATE",ROUND(($AA62-SUM($AB62))*$Z62,0)))</f>
        <v/>
      </c>
      <c r="AD62" s="39" t="str">
        <f aca="false">IF(SUM($AA62)=0,"",$AA62-SUM($AB62)-SUM($AC62))</f>
        <v/>
      </c>
      <c r="AE62" s="10" t="str">
        <f aca="false">$V62</f>
        <v/>
      </c>
      <c r="AF62" s="39" t="str">
        <f aca="false">IF(SUM($AE62)=0,"",ROUND($AE62*SUM($X62),0))</f>
        <v/>
      </c>
      <c r="AG62" s="39" t="str">
        <f aca="false">IF(SUM($AE62)=0,"",ROUND(($AE62-SUM($AF62))*SUM($Z62),0))</f>
        <v/>
      </c>
      <c r="AH62" s="39" t="str">
        <f aca="false">IF(SUM($AE62)=0,"",$AE62-SUM($AF62)-SUM($AG62))</f>
        <v/>
      </c>
      <c r="AI62" s="88" t="str">
        <f aca="false">IF(SUM($AC62)=0,"",INDEX(Cascade!$BG:$BG,MATCH($E62,Cascade!$E:$E,0)))</f>
        <v/>
      </c>
      <c r="AJ62" s="39" t="str">
        <f aca="false">$AB62</f>
        <v/>
      </c>
      <c r="AK62" s="39" t="str">
        <f aca="false">IF(SUM($AC62)=0,"",IF(AND($AI62="",SUM($AC62)&gt;0),"&lt;- Enter Linkage Rate",ROUND($AC62*$AI62,0)))</f>
        <v/>
      </c>
      <c r="AL62" s="39" t="str">
        <f aca="false">IF(SUM($AF62,$AG62)=0,"",SUM($AF62,$AG62))</f>
        <v/>
      </c>
      <c r="AM62" s="39" t="str">
        <f aca="false">$AF62</f>
        <v/>
      </c>
      <c r="AN62" s="39" t="str">
        <f aca="false">IF(SUM($AG62)=0,"",ROUND($AG62*SUM($AI62),0))</f>
        <v/>
      </c>
      <c r="AO62" s="10" t="str">
        <f aca="false">IFERROR(1/(1/MAX(SUM($T62)-SUM($AB62,$AC62),$AD62)),"")</f>
        <v/>
      </c>
      <c r="AP62" s="88"/>
      <c r="AQ62" s="88" t="str">
        <f aca="false">IF($AP62="","",$AP62)</f>
        <v/>
      </c>
      <c r="AR62" s="88" t="str">
        <f aca="false">IF(SUM($AO62)=0,"",INDEX(Cascade!$BG:$BG,MATCH($E62,Cascade!$E:$E,0)))</f>
        <v/>
      </c>
      <c r="AS62" s="39" t="str">
        <f aca="false">IF(SUM($AO62)=0,"",IF(AND(SUM($AO62)&gt;0,$AQ62=""),"ENTER YIELD RATE",ROUND($AO62*$AQ62,0)))</f>
        <v/>
      </c>
      <c r="AT62" s="39" t="str">
        <f aca="false">IF(SUM($AO62)=0,"",$AO62-SUM($AS62))</f>
        <v/>
      </c>
      <c r="AU62" s="10" t="str">
        <f aca="false">IF(SUM($AS62)=0,"",ROUND($AS62*$AR62,0))</f>
        <v/>
      </c>
      <c r="AV62" s="10" t="str">
        <f aca="false">IFERROR(1/(1/SUM($AC62,$AB62,$AS62)),"")</f>
        <v/>
      </c>
      <c r="AW62" s="10" t="str">
        <f aca="false">IFERROR(1/(1/INDEX(Cascade!$BH:$BH,MATCH($E62,Cascade!$E:$E,0))),"")</f>
        <v/>
      </c>
      <c r="AX62" s="10" t="str">
        <f aca="false">IF(SUM($AC62)=0,"",$AC62)</f>
        <v/>
      </c>
      <c r="AY62" s="10" t="str">
        <f aca="false">IF(SUM($AS62)=0,"",$AS62)</f>
        <v/>
      </c>
      <c r="AZ62" s="10" t="str">
        <f aca="false">IFERROR(1/(1/INDEX(TB!$P:$P,MATCH($E62,TB!$E:$E,0))),"")</f>
        <v/>
      </c>
      <c r="BA62" s="10" t="str">
        <f aca="false">IFERROR(1/(1/(SUM($AW62)-SUM($AX62:$AZ62))),"")</f>
        <v/>
      </c>
    </row>
    <row r="63" customFormat="false" ht="15" hidden="false" customHeight="false" outlineLevel="0" collapsed="false">
      <c r="A63" s="0" t="str">
        <f aca="false">INDEX(Prioritization!$D:$D,MATCH($B63,Prioritization!$A:$A,0))</f>
        <v>INVALID</v>
      </c>
      <c r="B63" s="0" t="s">
        <v>203</v>
      </c>
      <c r="C63" s="0" t="s">
        <v>367</v>
      </c>
      <c r="D63" s="0" t="s">
        <v>30</v>
      </c>
      <c r="E63" s="0" t="str">
        <f aca="false">B63&amp;"|"&amp;C63&amp;"|"&amp;D63</f>
        <v>Salima District [msW2zpIN7up]|35-49|Female</v>
      </c>
      <c r="F63" s="10" t="n">
        <f aca="false">IF(LEFT($B63,4)="_Mil","",INDEX(Cascade!$T:$T,MATCH($E63,Cascade!$E:$E,0)))</f>
        <v>1393</v>
      </c>
      <c r="G63" s="10" t="str">
        <f aca="false">IF(LEFT($B63,4)="_Mil","",INDEX(Cascade!$U:$U,MATCH($E63,Cascade!$E:$E,0)))</f>
        <v/>
      </c>
      <c r="H63" s="86" t="n">
        <f aca="false">IF(LEFT($B63,4)="_Mil","",INDEX(Cascade!$W:$W,MATCH($E63,Cascade!$E:$E,0)))</f>
        <v>1962</v>
      </c>
      <c r="I63" s="10" t="n">
        <f aca="false">IF(LEFT($B63,4)="_Mil","",INDEX(Cascade!$Z:$Z,MATCH($E63,Cascade!$E:$E,0)))</f>
        <v>1881</v>
      </c>
      <c r="J63" s="88" t="n">
        <f aca="false">IF(LEFT($B63,4)="_Mil","",INDEX(Cascade!$AA:$AA,MATCH($E63,Cascade!$E:$E,0)))</f>
        <v>1206</v>
      </c>
      <c r="K63" s="39" t="n">
        <f aca="false">IF(LEFT($B63,4)="_Mil","",_xlfn.IFNA(ROUND(INDEX(Spectrum!$N:$N,MATCH(RIGHT($B63,13)&amp;"|"&amp;$C63&amp;"|"&amp;$D63&amp;"|"&amp;K$14&amp;"|"&amp;"CY2023Q3",Spectrum!$R:$R,0)),0),""))</f>
        <v>1692</v>
      </c>
      <c r="L63" s="39" t="str">
        <f aca="false">IF(LEFT($B63,4)="_Mil","",_xlfn.IFNA(ROUND(INDEX(Spectrum!$N:$N,MATCH(RIGHT($B63,13)&amp;"|"&amp;$C63&amp;"|"&amp;$D63&amp;"|"&amp;L$14&amp;"|"&amp;"CY2023Q3",Spectrum!$R:$R,0)),0),""))</f>
        <v/>
      </c>
      <c r="M63" s="39" t="n">
        <f aca="false">IF(LEFT($B63,4)="_Mil","",_xlfn.IFNA(ROUND(INDEX(Spectrum!$N:$N,MATCH(RIGHT($B63,13)&amp;"|"&amp;$C63&amp;"|"&amp;$D63&amp;"|"&amp;M$14&amp;"|"&amp;"CY2023Q3",Spectrum!$R:$R,0)),0),""))</f>
        <v>1157</v>
      </c>
      <c r="N63" s="39" t="n">
        <f aca="false">IF(LEFT($B63,4)="_Mil","",_xlfn.IFNA(ROUND(INDEX(Spectrum!$N:$N,MATCH(RIGHT($B63,13)&amp;"|"&amp;$C63&amp;"|"&amp;$D63&amp;"|"&amp;N$14&amp;"|"&amp;"CY2023Q3",Spectrum!$R:$R,0)),0),""))</f>
        <v>1242</v>
      </c>
      <c r="O63" s="39" t="n">
        <f aca="false">IF(LEFT($B63,4)="_Mil","",_xlfn.IFNA(ROUND(INDEX(Spectrum!$N:$N,MATCH(RIGHT($B63,13)&amp;"|"&amp;$C63&amp;"|"&amp;$D63&amp;"|"&amp;O$14&amp;"|"&amp;"CY2023Q3",Spectrum!$R:$R,0)),0),""))</f>
        <v>615</v>
      </c>
      <c r="P63" s="39" t="n">
        <f aca="false">IF(LEFT($B63,4)="_Mil","",_xlfn.IFNA(ROUND(INDEX(Spectrum!$N:$N,MATCH(RIGHT($B63,13)&amp;"|"&amp;$C63&amp;"|"&amp;$D63&amp;"|"&amp;P$14&amp;"|"&amp;"CY2023Q3",Spectrum!$R:$R,0)),0),""))</f>
        <v>1843</v>
      </c>
      <c r="Q63" s="39" t="str">
        <f aca="false">IF(LEFT($B63,4)="_Mil","",_xlfn.IFNA(ROUND(INDEX(Spectrum!$N:$N,MATCH(RIGHT($B63,13)&amp;"|"&amp;$C63&amp;"|"&amp;$D63&amp;"|"&amp;Q$14&amp;"|"&amp;"CY2022Q3",Spectrum!$R:$R,0)),0),""))</f>
        <v/>
      </c>
      <c r="R63" s="10"/>
      <c r="S63" s="88" t="n">
        <f aca="false">0</f>
        <v>0</v>
      </c>
      <c r="T63" s="39" t="str">
        <f aca="false">IF(SUM($R63)=0,"",ROUND($R63*(1+$S63),0))</f>
        <v/>
      </c>
      <c r="U63" s="88" t="n">
        <f aca="false">IF(LEFT($B63,4)="_Mil","",IF(SUM($K63)=0,IF(SUM($R63)=0,"",1),MIN($R63/$K63,1)))</f>
        <v>0</v>
      </c>
      <c r="V63" s="39" t="str">
        <f aca="false">IF(OR(SUM($T63)=0,LEFT($B63,4)="_Mil"),"",ROUND($T63/$U63,0))</f>
        <v/>
      </c>
      <c r="W63" s="88"/>
      <c r="X63" s="88" t="n">
        <f aca="false">IF(SUM($K63,$W63)=0,"",MAX(IFERROR(SUM($L63)/$K63,0),SUM($W63)))</f>
        <v>0</v>
      </c>
      <c r="Y63" s="88"/>
      <c r="Z63" s="88" t="n">
        <f aca="false">IF(SUM($K63,$Y63)=0,"",MIN(SUM($Y63),IFERROR(SUM($M63)/(SUM($K63)-SUM($L63)),1)))</f>
        <v>0</v>
      </c>
      <c r="AA63" s="10" t="str">
        <f aca="false">$T63</f>
        <v/>
      </c>
      <c r="AB63" s="39" t="str">
        <f aca="false">IF(SUM($AA63)=0,"",IF(AND(SUM($AA63)&gt;0,$X63=""),"ENTER KNOWN POSITIVITY RATE",ROUND($AA63*$X63,0)))</f>
        <v/>
      </c>
      <c r="AC63" s="39" t="str">
        <f aca="false">IF(SUM($AA63)=0,"",IF(AND((SUM($AA63)-SUM($AB63))&gt;0,$Z63=""),"ENTER YIELD RATE",ROUND(($AA63-SUM($AB63))*$Z63,0)))</f>
        <v/>
      </c>
      <c r="AD63" s="39" t="str">
        <f aca="false">IF(SUM($AA63)=0,"",$AA63-SUM($AB63)-SUM($AC63))</f>
        <v/>
      </c>
      <c r="AE63" s="10" t="str">
        <f aca="false">$V63</f>
        <v/>
      </c>
      <c r="AF63" s="39" t="str">
        <f aca="false">IF(SUM($AE63)=0,"",ROUND($AE63*SUM($X63),0))</f>
        <v/>
      </c>
      <c r="AG63" s="39" t="str">
        <f aca="false">IF(SUM($AE63)=0,"",ROUND(($AE63-SUM($AF63))*SUM($Z63),0))</f>
        <v/>
      </c>
      <c r="AH63" s="39" t="str">
        <f aca="false">IF(SUM($AE63)=0,"",$AE63-SUM($AF63)-SUM($AG63))</f>
        <v/>
      </c>
      <c r="AI63" s="88" t="str">
        <f aca="false">IF(SUM($AC63)=0,"",INDEX(Cascade!$BG:$BG,MATCH($E63,Cascade!$E:$E,0)))</f>
        <v/>
      </c>
      <c r="AJ63" s="39" t="str">
        <f aca="false">$AB63</f>
        <v/>
      </c>
      <c r="AK63" s="39" t="str">
        <f aca="false">IF(SUM($AC63)=0,"",IF(AND($AI63="",SUM($AC63)&gt;0),"&lt;- Enter Linkage Rate",ROUND($AC63*$AI63,0)))</f>
        <v/>
      </c>
      <c r="AL63" s="39" t="str">
        <f aca="false">IF(SUM($AF63,$AG63)=0,"",SUM($AF63,$AG63))</f>
        <v/>
      </c>
      <c r="AM63" s="39" t="str">
        <f aca="false">$AF63</f>
        <v/>
      </c>
      <c r="AN63" s="39" t="str">
        <f aca="false">IF(SUM($AG63)=0,"",ROUND($AG63*SUM($AI63),0))</f>
        <v/>
      </c>
      <c r="AO63" s="10" t="str">
        <f aca="false">IFERROR(1/(1/MAX(SUM($T63)-SUM($AB63,$AC63),$AD63)),"")</f>
        <v/>
      </c>
      <c r="AP63" s="88"/>
      <c r="AQ63" s="88" t="str">
        <f aca="false">IF($AP63="","",$AP63)</f>
        <v/>
      </c>
      <c r="AR63" s="88" t="str">
        <f aca="false">IF(SUM($AO63)=0,"",INDEX(Cascade!$BG:$BG,MATCH($E63,Cascade!$E:$E,0)))</f>
        <v/>
      </c>
      <c r="AS63" s="39" t="str">
        <f aca="false">IF(SUM($AO63)=0,"",IF(AND(SUM($AO63)&gt;0,$AQ63=""),"ENTER YIELD RATE",ROUND($AO63*$AQ63,0)))</f>
        <v/>
      </c>
      <c r="AT63" s="39" t="str">
        <f aca="false">IF(SUM($AO63)=0,"",$AO63-SUM($AS63))</f>
        <v/>
      </c>
      <c r="AU63" s="10" t="str">
        <f aca="false">IF(SUM($AS63)=0,"",ROUND($AS63*$AR63,0))</f>
        <v/>
      </c>
      <c r="AV63" s="10" t="str">
        <f aca="false">IFERROR(1/(1/SUM($AC63,$AB63,$AS63)),"")</f>
        <v/>
      </c>
      <c r="AW63" s="10" t="str">
        <f aca="false">IFERROR(1/(1/INDEX(Cascade!$BH:$BH,MATCH($E63,Cascade!$E:$E,0))),"")</f>
        <v/>
      </c>
      <c r="AX63" s="10" t="str">
        <f aca="false">IF(SUM($AC63)=0,"",$AC63)</f>
        <v/>
      </c>
      <c r="AY63" s="10" t="str">
        <f aca="false">IF(SUM($AS63)=0,"",$AS63)</f>
        <v/>
      </c>
      <c r="AZ63" s="10" t="str">
        <f aca="false">IFERROR(1/(1/INDEX(TB!$P:$P,MATCH($E63,TB!$E:$E,0))),"")</f>
        <v/>
      </c>
      <c r="BA63" s="10" t="str">
        <f aca="false">IFERROR(1/(1/(SUM($AW63)-SUM($AX63:$AZ63))),"")</f>
        <v/>
      </c>
    </row>
    <row r="64" customFormat="false" ht="15" hidden="false" customHeight="false" outlineLevel="0" collapsed="false">
      <c r="A64" s="0" t="str">
        <f aca="false">INDEX(Prioritization!$D:$D,MATCH($B64,Prioritization!$A:$A,0))</f>
        <v>INVALID</v>
      </c>
      <c r="B64" s="0" t="s">
        <v>203</v>
      </c>
      <c r="C64" s="0" t="s">
        <v>368</v>
      </c>
      <c r="D64" s="0" t="s">
        <v>30</v>
      </c>
      <c r="E64" s="0" t="str">
        <f aca="false">B64&amp;"|"&amp;C64&amp;"|"&amp;D64</f>
        <v>Salima District [msW2zpIN7up]|50+|Female</v>
      </c>
      <c r="F64" s="10" t="n">
        <f aca="false">IF(LEFT($B64,4)="_Mil","",INDEX(Cascade!$T:$T,MATCH($E64,Cascade!$E:$E,0)))</f>
        <v>1473</v>
      </c>
      <c r="G64" s="10" t="str">
        <f aca="false">IF(LEFT($B64,4)="_Mil","",INDEX(Cascade!$U:$U,MATCH($E64,Cascade!$E:$E,0)))</f>
        <v/>
      </c>
      <c r="H64" s="86" t="n">
        <f aca="false">IF(LEFT($B64,4)="_Mil","",INDEX(Cascade!$W:$W,MATCH($E64,Cascade!$E:$E,0)))</f>
        <v>838</v>
      </c>
      <c r="I64" s="10" t="n">
        <f aca="false">IF(LEFT($B64,4)="_Mil","",INDEX(Cascade!$Z:$Z,MATCH($E64,Cascade!$E:$E,0)))</f>
        <v>1509</v>
      </c>
      <c r="J64" s="88" t="n">
        <f aca="false">IF(LEFT($B64,4)="_Mil","",INDEX(Cascade!$AA:$AA,MATCH($E64,Cascade!$E:$E,0)))</f>
        <v>1991</v>
      </c>
      <c r="K64" s="39" t="str">
        <f aca="false">IF(LEFT($B64,4)="_Mil","",_xlfn.IFNA(ROUND(INDEX(Spectrum!$N:$N,MATCH(RIGHT($B64,13)&amp;"|"&amp;$C64&amp;"|"&amp;$D64&amp;"|"&amp;K$14&amp;"|"&amp;"CY2023Q3",Spectrum!$R:$R,0)),0),""))</f>
        <v/>
      </c>
      <c r="L64" s="39" t="str">
        <f aca="false">IF(LEFT($B64,4)="_Mil","",_xlfn.IFNA(ROUND(INDEX(Spectrum!$N:$N,MATCH(RIGHT($B64,13)&amp;"|"&amp;$C64&amp;"|"&amp;$D64&amp;"|"&amp;L$14&amp;"|"&amp;"CY2023Q3",Spectrum!$R:$R,0)),0),""))</f>
        <v/>
      </c>
      <c r="M64" s="39" t="str">
        <f aca="false">IF(LEFT($B64,4)="_Mil","",_xlfn.IFNA(ROUND(INDEX(Spectrum!$N:$N,MATCH(RIGHT($B64,13)&amp;"|"&amp;$C64&amp;"|"&amp;$D64&amp;"|"&amp;M$14&amp;"|"&amp;"CY2023Q3",Spectrum!$R:$R,0)),0),""))</f>
        <v/>
      </c>
      <c r="N64" s="39" t="str">
        <f aca="false">IF(LEFT($B64,4)="_Mil","",_xlfn.IFNA(ROUND(INDEX(Spectrum!$N:$N,MATCH(RIGHT($B64,13)&amp;"|"&amp;$C64&amp;"|"&amp;$D64&amp;"|"&amp;N$14&amp;"|"&amp;"CY2023Q3",Spectrum!$R:$R,0)),0),""))</f>
        <v/>
      </c>
      <c r="O64" s="39" t="str">
        <f aca="false">IF(LEFT($B64,4)="_Mil","",_xlfn.IFNA(ROUND(INDEX(Spectrum!$N:$N,MATCH(RIGHT($B64,13)&amp;"|"&amp;$C64&amp;"|"&amp;$D64&amp;"|"&amp;O$14&amp;"|"&amp;"CY2023Q3",Spectrum!$R:$R,0)),0),""))</f>
        <v/>
      </c>
      <c r="P64" s="39" t="str">
        <f aca="false">IF(LEFT($B64,4)="_Mil","",_xlfn.IFNA(ROUND(INDEX(Spectrum!$N:$N,MATCH(RIGHT($B64,13)&amp;"|"&amp;$C64&amp;"|"&amp;$D64&amp;"|"&amp;P$14&amp;"|"&amp;"CY2023Q3",Spectrum!$R:$R,0)),0),""))</f>
        <v/>
      </c>
      <c r="Q64" s="39" t="str">
        <f aca="false">IF(LEFT($B64,4)="_Mil","",_xlfn.IFNA(ROUND(INDEX(Spectrum!$N:$N,MATCH(RIGHT($B64,13)&amp;"|"&amp;$C64&amp;"|"&amp;$D64&amp;"|"&amp;Q$14&amp;"|"&amp;"CY2022Q3",Spectrum!$R:$R,0)),0),""))</f>
        <v/>
      </c>
      <c r="R64" s="10"/>
      <c r="S64" s="88" t="n">
        <f aca="false">0</f>
        <v>0</v>
      </c>
      <c r="T64" s="39" t="str">
        <f aca="false">IF(SUM($R64)=0,"",ROUND($R64*(1+$S64),0))</f>
        <v/>
      </c>
      <c r="U64" s="88" t="str">
        <f aca="false">IF(LEFT($B64,4)="_Mil","",IF(SUM($K64)=0,IF(SUM($R64)=0,"",1),MIN($R64/$K64,1)))</f>
        <v/>
      </c>
      <c r="V64" s="39" t="str">
        <f aca="false">IF(OR(SUM($T64)=0,LEFT($B64,4)="_Mil"),"",ROUND($T64/$U64,0))</f>
        <v/>
      </c>
      <c r="W64" s="88"/>
      <c r="X64" s="88" t="str">
        <f aca="false">IF(SUM($K64,$W64)=0,"",MAX(IFERROR(SUM($L64)/$K64,0),SUM($W64)))</f>
        <v/>
      </c>
      <c r="Y64" s="88"/>
      <c r="Z64" s="88" t="str">
        <f aca="false">IF(SUM($K64,$Y64)=0,"",MIN(SUM($Y64),IFERROR(SUM($M64)/(SUM($K64)-SUM($L64)),1)))</f>
        <v/>
      </c>
      <c r="AA64" s="10" t="str">
        <f aca="false">$T64</f>
        <v/>
      </c>
      <c r="AB64" s="39" t="str">
        <f aca="false">IF(SUM($AA64)=0,"",IF(AND(SUM($AA64)&gt;0,$X64=""),"ENTER KNOWN POSITIVITY RATE",ROUND($AA64*$X64,0)))</f>
        <v/>
      </c>
      <c r="AC64" s="39" t="str">
        <f aca="false">IF(SUM($AA64)=0,"",IF(AND((SUM($AA64)-SUM($AB64))&gt;0,$Z64=""),"ENTER YIELD RATE",ROUND(($AA64-SUM($AB64))*$Z64,0)))</f>
        <v/>
      </c>
      <c r="AD64" s="39" t="str">
        <f aca="false">IF(SUM($AA64)=0,"",$AA64-SUM($AB64)-SUM($AC64))</f>
        <v/>
      </c>
      <c r="AE64" s="10" t="str">
        <f aca="false">$V64</f>
        <v/>
      </c>
      <c r="AF64" s="39" t="str">
        <f aca="false">IF(SUM($AE64)=0,"",ROUND($AE64*SUM($X64),0))</f>
        <v/>
      </c>
      <c r="AG64" s="39" t="str">
        <f aca="false">IF(SUM($AE64)=0,"",ROUND(($AE64-SUM($AF64))*SUM($Z64),0))</f>
        <v/>
      </c>
      <c r="AH64" s="39" t="str">
        <f aca="false">IF(SUM($AE64)=0,"",$AE64-SUM($AF64)-SUM($AG64))</f>
        <v/>
      </c>
      <c r="AI64" s="88" t="str">
        <f aca="false">IF(SUM($AC64)=0,"",INDEX(Cascade!$BG:$BG,MATCH($E64,Cascade!$E:$E,0)))</f>
        <v/>
      </c>
      <c r="AJ64" s="39" t="str">
        <f aca="false">$AB64</f>
        <v/>
      </c>
      <c r="AK64" s="39" t="str">
        <f aca="false">IF(SUM($AC64)=0,"",IF(AND($AI64="",SUM($AC64)&gt;0),"&lt;- Enter Linkage Rate",ROUND($AC64*$AI64,0)))</f>
        <v/>
      </c>
      <c r="AL64" s="39" t="str">
        <f aca="false">IF(SUM($AF64,$AG64)=0,"",SUM($AF64,$AG64))</f>
        <v/>
      </c>
      <c r="AM64" s="39" t="str">
        <f aca="false">$AF64</f>
        <v/>
      </c>
      <c r="AN64" s="39" t="str">
        <f aca="false">IF(SUM($AG64)=0,"",ROUND($AG64*SUM($AI64),0))</f>
        <v/>
      </c>
      <c r="AO64" s="10" t="str">
        <f aca="false">IFERROR(1/(1/MAX(SUM($T64)-SUM($AB64,$AC64),$AD64)),"")</f>
        <v/>
      </c>
      <c r="AP64" s="88"/>
      <c r="AQ64" s="88" t="str">
        <f aca="false">IF($AP64="","",$AP64)</f>
        <v/>
      </c>
      <c r="AR64" s="88" t="str">
        <f aca="false">IF(SUM($AO64)=0,"",INDEX(Cascade!$BG:$BG,MATCH($E64,Cascade!$E:$E,0)))</f>
        <v/>
      </c>
      <c r="AS64" s="39" t="str">
        <f aca="false">IF(SUM($AO64)=0,"",IF(AND(SUM($AO64)&gt;0,$AQ64=""),"ENTER YIELD RATE",ROUND($AO64*$AQ64,0)))</f>
        <v/>
      </c>
      <c r="AT64" s="39" t="str">
        <f aca="false">IF(SUM($AO64)=0,"",$AO64-SUM($AS64))</f>
        <v/>
      </c>
      <c r="AU64" s="10" t="str">
        <f aca="false">IF(SUM($AS64)=0,"",ROUND($AS64*$AR64,0))</f>
        <v/>
      </c>
      <c r="AV64" s="10" t="str">
        <f aca="false">IFERROR(1/(1/SUM($AC64,$AB64,$AS64)),"")</f>
        <v/>
      </c>
      <c r="AW64" s="10" t="str">
        <f aca="false">IFERROR(1/(1/INDEX(Cascade!$BH:$BH,MATCH($E64,Cascade!$E:$E,0))),"")</f>
        <v/>
      </c>
      <c r="AX64" s="10" t="str">
        <f aca="false">IF(SUM($AC64)=0,"",$AC64)</f>
        <v/>
      </c>
      <c r="AY64" s="10" t="str">
        <f aca="false">IF(SUM($AS64)=0,"",$AS64)</f>
        <v/>
      </c>
      <c r="AZ64" s="10" t="str">
        <f aca="false">IFERROR(1/(1/INDEX(TB!$P:$P,MATCH($E64,TB!$E:$E,0))),"")</f>
        <v/>
      </c>
      <c r="BA64" s="10" t="str">
        <f aca="false">IFERROR(1/(1/(SUM($AW64)-SUM($AX64:$AZ64))),"")</f>
        <v/>
      </c>
    </row>
    <row r="65" customFormat="false" ht="15" hidden="false" customHeight="false" outlineLevel="0" collapsed="false">
      <c r="A65" s="0" t="str">
        <f aca="false">INDEX(Prioritization!$D:$D,MATCH($B65,Prioritization!$A:$A,0))</f>
        <v>1 - Scale-up: Saturation</v>
      </c>
      <c r="B65" s="0" t="s">
        <v>204</v>
      </c>
      <c r="C65" s="0" t="s">
        <v>364</v>
      </c>
      <c r="D65" s="0" t="s">
        <v>30</v>
      </c>
      <c r="E65" s="0" t="str">
        <f aca="false">B65&amp;"|"&amp;C65&amp;"|"&amp;D65</f>
        <v>Chitipa District [GkIwZrXy1h2]|10-14|Female</v>
      </c>
      <c r="F65" s="10" t="n">
        <f aca="false">IF(LEFT($B65,4)="_Mil","",INDEX(Cascade!$T:$T,MATCH($E65,Cascade!$E:$E,0)))</f>
        <v>1643</v>
      </c>
      <c r="G65" s="10" t="str">
        <f aca="false">IF(LEFT($B65,4)="_Mil","",INDEX(Cascade!$U:$U,MATCH($E65,Cascade!$E:$E,0)))</f>
        <v/>
      </c>
      <c r="H65" s="86" t="n">
        <f aca="false">IF(LEFT($B65,4)="_Mil","",INDEX(Cascade!$W:$W,MATCH($E65,Cascade!$E:$E,0)))</f>
        <v>1822</v>
      </c>
      <c r="I65" s="10" t="n">
        <f aca="false">IF(LEFT($B65,4)="_Mil","",INDEX(Cascade!$Z:$Z,MATCH($E65,Cascade!$E:$E,0)))</f>
        <v>1055</v>
      </c>
      <c r="J65" s="88" t="n">
        <f aca="false">IF(LEFT($B65,4)="_Mil","",INDEX(Cascade!$AA:$AA,MATCH($E65,Cascade!$E:$E,0)))</f>
        <v>1803</v>
      </c>
      <c r="K65" s="39" t="str">
        <f aca="false">IF(LEFT($B65,4)="_Mil","",_xlfn.IFNA(ROUND(INDEX(Spectrum!$N:$N,MATCH(RIGHT($B65,13)&amp;"|"&amp;$C65&amp;"|"&amp;$D65&amp;"|"&amp;K$14&amp;"|"&amp;"CY2023Q3",Spectrum!$R:$R,0)),0),""))</f>
        <v/>
      </c>
      <c r="L65" s="39" t="str">
        <f aca="false">IF(LEFT($B65,4)="_Mil","",_xlfn.IFNA(ROUND(INDEX(Spectrum!$N:$N,MATCH(RIGHT($B65,13)&amp;"|"&amp;$C65&amp;"|"&amp;$D65&amp;"|"&amp;L$14&amp;"|"&amp;"CY2023Q3",Spectrum!$R:$R,0)),0),""))</f>
        <v/>
      </c>
      <c r="M65" s="39" t="str">
        <f aca="false">IF(LEFT($B65,4)="_Mil","",_xlfn.IFNA(ROUND(INDEX(Spectrum!$N:$N,MATCH(RIGHT($B65,13)&amp;"|"&amp;$C65&amp;"|"&amp;$D65&amp;"|"&amp;M$14&amp;"|"&amp;"CY2023Q3",Spectrum!$R:$R,0)),0),""))</f>
        <v/>
      </c>
      <c r="N65" s="39" t="str">
        <f aca="false">IF(LEFT($B65,4)="_Mil","",_xlfn.IFNA(ROUND(INDEX(Spectrum!$N:$N,MATCH(RIGHT($B65,13)&amp;"|"&amp;$C65&amp;"|"&amp;$D65&amp;"|"&amp;N$14&amp;"|"&amp;"CY2023Q3",Spectrum!$R:$R,0)),0),""))</f>
        <v/>
      </c>
      <c r="O65" s="39" t="str">
        <f aca="false">IF(LEFT($B65,4)="_Mil","",_xlfn.IFNA(ROUND(INDEX(Spectrum!$N:$N,MATCH(RIGHT($B65,13)&amp;"|"&amp;$C65&amp;"|"&amp;$D65&amp;"|"&amp;O$14&amp;"|"&amp;"CY2023Q3",Spectrum!$R:$R,0)),0),""))</f>
        <v/>
      </c>
      <c r="P65" s="39" t="str">
        <f aca="false">IF(LEFT($B65,4)="_Mil","",_xlfn.IFNA(ROUND(INDEX(Spectrum!$N:$N,MATCH(RIGHT($B65,13)&amp;"|"&amp;$C65&amp;"|"&amp;$D65&amp;"|"&amp;P$14&amp;"|"&amp;"CY2023Q3",Spectrum!$R:$R,0)),0),""))</f>
        <v/>
      </c>
      <c r="Q65" s="39" t="str">
        <f aca="false">IF(LEFT($B65,4)="_Mil","",_xlfn.IFNA(ROUND(INDEX(Spectrum!$N:$N,MATCH(RIGHT($B65,13)&amp;"|"&amp;$C65&amp;"|"&amp;$D65&amp;"|"&amp;Q$14&amp;"|"&amp;"CY2022Q3",Spectrum!$R:$R,0)),0),""))</f>
        <v/>
      </c>
      <c r="R65" s="10" t="n">
        <v>1</v>
      </c>
      <c r="S65" s="88" t="n">
        <f aca="false">0</f>
        <v>0</v>
      </c>
      <c r="T65" s="39" t="n">
        <f aca="false">IF(SUM($R65)=0,"",ROUND($R65*(1+$S65),0))</f>
        <v>1</v>
      </c>
      <c r="U65" s="88" t="n">
        <f aca="false">IF(LEFT($B65,4)="_Mil","",IF(SUM($K65)=0,IF(SUM($R65)=0,"",1),MIN($R65/$K65,1)))</f>
        <v>1</v>
      </c>
      <c r="V65" s="39" t="n">
        <f aca="false">IF(OR(SUM($T65)=0,LEFT($B65,4)="_Mil"),"",ROUND($T65/$U65,0))</f>
        <v>1</v>
      </c>
      <c r="W65" s="88"/>
      <c r="X65" s="88" t="str">
        <f aca="false">IF(SUM($K65,$W65)=0,"",MAX(IFERROR(SUM($L65)/$K65,0),SUM($W65)))</f>
        <v/>
      </c>
      <c r="Y65" s="88"/>
      <c r="Z65" s="88" t="str">
        <f aca="false">IF(SUM($K65,$Y65)=0,"",MIN(SUM($Y65),IFERROR(SUM($M65)/(SUM($K65)-SUM($L65)),1)))</f>
        <v/>
      </c>
      <c r="AA65" s="10" t="n">
        <f aca="false">$T65</f>
        <v>1</v>
      </c>
      <c r="AB65" s="39" t="str">
        <f aca="false">IF(SUM($AA65)=0,"",IF(AND(SUM($AA65)&gt;0,$X65=""),"ENTER KNOWN POSITIVITY RATE",ROUND($AA65*$X65,0)))</f>
        <v>ENTER KNOWN POSITIVITY RATE</v>
      </c>
      <c r="AC65" s="39" t="str">
        <f aca="false">IF(SUM($AA65)=0,"",IF(AND((SUM($AA65)-SUM($AB65))&gt;0,$Z65=""),"ENTER YIELD RATE",ROUND(($AA65-SUM($AB65))*$Z65,0)))</f>
        <v>ENTER YIELD RATE</v>
      </c>
      <c r="AD65" s="39" t="n">
        <f aca="false">IF(SUM($AA65)=0,"",$AA65-SUM($AB65)-SUM($AC65))</f>
        <v>1</v>
      </c>
      <c r="AE65" s="10" t="n">
        <f aca="false">$V65</f>
        <v>1</v>
      </c>
      <c r="AF65" s="39" t="n">
        <f aca="false">IF(SUM($AE65)=0,"",ROUND($AE65*SUM($X65),0))</f>
        <v>0</v>
      </c>
      <c r="AG65" s="39" t="n">
        <f aca="false">IF(SUM($AE65)=0,"",ROUND(($AE65-SUM($AF65))*SUM($Z65),0))</f>
        <v>0</v>
      </c>
      <c r="AH65" s="39" t="n">
        <f aca="false">IF(SUM($AE65)=0,"",$AE65-SUM($AF65)-SUM($AG65))</f>
        <v>1</v>
      </c>
      <c r="AI65" s="88" t="str">
        <f aca="false">IF(SUM($AC65)=0,"",INDEX(Cascade!$BG:$BG,MATCH($E65,Cascade!$E:$E,0)))</f>
        <v/>
      </c>
      <c r="AJ65" s="39" t="str">
        <f aca="false">$AB65</f>
        <v>ENTER KNOWN POSITIVITY RATE</v>
      </c>
      <c r="AK65" s="39" t="str">
        <f aca="false">IF(SUM($AC65)=0,"",IF(AND($AI65="",SUM($AC65)&gt;0),"&lt;- Enter Linkage Rate",ROUND($AC65*$AI65,0)))</f>
        <v/>
      </c>
      <c r="AL65" s="39" t="str">
        <f aca="false">IF(SUM($AF65,$AG65)=0,"",SUM($AF65,$AG65))</f>
        <v/>
      </c>
      <c r="AM65" s="39" t="n">
        <f aca="false">$AF65</f>
        <v>0</v>
      </c>
      <c r="AN65" s="39" t="str">
        <f aca="false">IF(SUM($AG65)=0,"",ROUND($AG65*SUM($AI65),0))</f>
        <v/>
      </c>
      <c r="AO65" s="10" t="n">
        <f aca="false">IFERROR(1/(1/MAX(SUM($T65)-SUM($AB65,$AC65),$AD65)),"")</f>
        <v>1</v>
      </c>
      <c r="AP65" s="88"/>
      <c r="AQ65" s="88" t="str">
        <f aca="false">IF($AP65="","",$AP65)</f>
        <v/>
      </c>
      <c r="AR65" s="88" t="n">
        <f aca="false">IF(SUM($AO65)=0,"",INDEX(Cascade!$BG:$BG,MATCH($E65,Cascade!$E:$E,0)))</f>
        <v>0.95</v>
      </c>
      <c r="AS65" s="39" t="str">
        <f aca="false">IF(SUM($AO65)=0,"",IF(AND(SUM($AO65)&gt;0,$AQ65=""),"ENTER YIELD RATE",ROUND($AO65*$AQ65,0)))</f>
        <v>ENTER YIELD RATE</v>
      </c>
      <c r="AT65" s="39" t="n">
        <f aca="false">IF(SUM($AO65)=0,"",$AO65-SUM($AS65))</f>
        <v>1</v>
      </c>
      <c r="AU65" s="10" t="str">
        <f aca="false">IF(SUM($AS65)=0,"",ROUND($AS65*$AR65,0))</f>
        <v/>
      </c>
      <c r="AV65" s="10" t="str">
        <f aca="false">IFERROR(1/(1/SUM($AC65,$AB65,$AS65)),"")</f>
        <v/>
      </c>
      <c r="AW65" s="10" t="n">
        <f aca="false">IFERROR(1/(1/INDEX(Cascade!$BH:$BH,MATCH($E65,Cascade!$E:$E,0))),"")</f>
        <v>-6</v>
      </c>
      <c r="AX65" s="10" t="str">
        <f aca="false">IF(SUM($AC65)=0,"",$AC65)</f>
        <v/>
      </c>
      <c r="AY65" s="10" t="str">
        <f aca="false">IF(SUM($AS65)=0,"",$AS65)</f>
        <v/>
      </c>
      <c r="AZ65" s="10" t="str">
        <f aca="false">IFERROR(1/(1/INDEX(TB!$P:$P,MATCH($E65,TB!$E:$E,0))),"")</f>
        <v/>
      </c>
      <c r="BA65" s="10" t="n">
        <f aca="false">IFERROR(1/(1/(SUM($AW65)-SUM($AX65:$AZ65))),"")</f>
        <v>-6</v>
      </c>
    </row>
    <row r="66" customFormat="false" ht="15" hidden="false" customHeight="false" outlineLevel="0" collapsed="false">
      <c r="A66" s="0" t="str">
        <f aca="false">INDEX(Prioritization!$D:$D,MATCH($B66,Prioritization!$A:$A,0))</f>
        <v>1 - Scale-up: Saturation</v>
      </c>
      <c r="B66" s="0" t="s">
        <v>204</v>
      </c>
      <c r="C66" s="0" t="s">
        <v>365</v>
      </c>
      <c r="D66" s="0" t="s">
        <v>30</v>
      </c>
      <c r="E66" s="0" t="str">
        <f aca="false">B66&amp;"|"&amp;C66&amp;"|"&amp;D66</f>
        <v>Chitipa District [GkIwZrXy1h2]|15-24|Female</v>
      </c>
      <c r="F66" s="10" t="n">
        <f aca="false">IF(LEFT($B66,4)="_Mil","",INDEX(Cascade!$T:$T,MATCH($E66,Cascade!$E:$E,0)))</f>
        <v>1807</v>
      </c>
      <c r="G66" s="10" t="str">
        <f aca="false">IF(LEFT($B66,4)="_Mil","",INDEX(Cascade!$U:$U,MATCH($E66,Cascade!$E:$E,0)))</f>
        <v/>
      </c>
      <c r="H66" s="86" t="n">
        <f aca="false">IF(LEFT($B66,4)="_Mil","",INDEX(Cascade!$W:$W,MATCH($E66,Cascade!$E:$E,0)))</f>
        <v>1369</v>
      </c>
      <c r="I66" s="10" t="n">
        <f aca="false">IF(LEFT($B66,4)="_Mil","",INDEX(Cascade!$Z:$Z,MATCH($E66,Cascade!$E:$E,0)))</f>
        <v>1814</v>
      </c>
      <c r="J66" s="88" t="n">
        <f aca="false">IF(LEFT($B66,4)="_Mil","",INDEX(Cascade!$AA:$AA,MATCH($E66,Cascade!$E:$E,0)))</f>
        <v>1790</v>
      </c>
      <c r="K66" s="39" t="n">
        <f aca="false">IF(LEFT($B66,4)="_Mil","",_xlfn.IFNA(ROUND(INDEX(Spectrum!$N:$N,MATCH(RIGHT($B66,13)&amp;"|"&amp;$C66&amp;"|"&amp;$D66&amp;"|"&amp;K$14&amp;"|"&amp;"CY2023Q3",Spectrum!$R:$R,0)),0),""))</f>
        <v>1304</v>
      </c>
      <c r="L66" s="39" t="str">
        <f aca="false">IF(LEFT($B66,4)="_Mil","",_xlfn.IFNA(ROUND(INDEX(Spectrum!$N:$N,MATCH(RIGHT($B66,13)&amp;"|"&amp;$C66&amp;"|"&amp;$D66&amp;"|"&amp;L$14&amp;"|"&amp;"CY2023Q3",Spectrum!$R:$R,0)),0),""))</f>
        <v/>
      </c>
      <c r="M66" s="39" t="n">
        <f aca="false">IF(LEFT($B66,4)="_Mil","",_xlfn.IFNA(ROUND(INDEX(Spectrum!$N:$N,MATCH(RIGHT($B66,13)&amp;"|"&amp;$C66&amp;"|"&amp;$D66&amp;"|"&amp;M$14&amp;"|"&amp;"CY2023Q3",Spectrum!$R:$R,0)),0),""))</f>
        <v>1349</v>
      </c>
      <c r="N66" s="39" t="n">
        <f aca="false">IF(LEFT($B66,4)="_Mil","",_xlfn.IFNA(ROUND(INDEX(Spectrum!$N:$N,MATCH(RIGHT($B66,13)&amp;"|"&amp;$C66&amp;"|"&amp;$D66&amp;"|"&amp;N$14&amp;"|"&amp;"CY2023Q3",Spectrum!$R:$R,0)),0),""))</f>
        <v>1584</v>
      </c>
      <c r="O66" s="39" t="n">
        <f aca="false">IF(LEFT($B66,4)="_Mil","",_xlfn.IFNA(ROUND(INDEX(Spectrum!$N:$N,MATCH(RIGHT($B66,13)&amp;"|"&amp;$C66&amp;"|"&amp;$D66&amp;"|"&amp;O$14&amp;"|"&amp;"CY2023Q3",Spectrum!$R:$R,0)),0),""))</f>
        <v>899</v>
      </c>
      <c r="P66" s="39" t="n">
        <f aca="false">IF(LEFT($B66,4)="_Mil","",_xlfn.IFNA(ROUND(INDEX(Spectrum!$N:$N,MATCH(RIGHT($B66,13)&amp;"|"&amp;$C66&amp;"|"&amp;$D66&amp;"|"&amp;P$14&amp;"|"&amp;"CY2023Q3",Spectrum!$R:$R,0)),0),""))</f>
        <v>1569</v>
      </c>
      <c r="Q66" s="39" t="str">
        <f aca="false">IF(LEFT($B66,4)="_Mil","",_xlfn.IFNA(ROUND(INDEX(Spectrum!$N:$N,MATCH(RIGHT($B66,13)&amp;"|"&amp;$C66&amp;"|"&amp;$D66&amp;"|"&amp;Q$14&amp;"|"&amp;"CY2022Q3",Spectrum!$R:$R,0)),0),""))</f>
        <v/>
      </c>
      <c r="R66" s="10"/>
      <c r="S66" s="88" t="n">
        <f aca="false">0</f>
        <v>0</v>
      </c>
      <c r="T66" s="39" t="str">
        <f aca="false">IF(SUM($R66)=0,"",ROUND($R66*(1+$S66),0))</f>
        <v/>
      </c>
      <c r="U66" s="88" t="n">
        <f aca="false">IF(LEFT($B66,4)="_Mil","",IF(SUM($K66)=0,IF(SUM($R66)=0,"",1),MIN($R66/$K66,1)))</f>
        <v>0</v>
      </c>
      <c r="V66" s="39" t="str">
        <f aca="false">IF(OR(SUM($T66)=0,LEFT($B66,4)="_Mil"),"",ROUND($T66/$U66,0))</f>
        <v/>
      </c>
      <c r="W66" s="88"/>
      <c r="X66" s="88" t="n">
        <f aca="false">IF(SUM($K66,$W66)=0,"",MAX(IFERROR(SUM($L66)/$K66,0),SUM($W66)))</f>
        <v>0</v>
      </c>
      <c r="Y66" s="88"/>
      <c r="Z66" s="88" t="n">
        <f aca="false">IF(SUM($K66,$Y66)=0,"",MIN(SUM($Y66),IFERROR(SUM($M66)/(SUM($K66)-SUM($L66)),1)))</f>
        <v>0</v>
      </c>
      <c r="AA66" s="10" t="str">
        <f aca="false">$T66</f>
        <v/>
      </c>
      <c r="AB66" s="39" t="str">
        <f aca="false">IF(SUM($AA66)=0,"",IF(AND(SUM($AA66)&gt;0,$X66=""),"ENTER KNOWN POSITIVITY RATE",ROUND($AA66*$X66,0)))</f>
        <v/>
      </c>
      <c r="AC66" s="39" t="str">
        <f aca="false">IF(SUM($AA66)=0,"",IF(AND((SUM($AA66)-SUM($AB66))&gt;0,$Z66=""),"ENTER YIELD RATE",ROUND(($AA66-SUM($AB66))*$Z66,0)))</f>
        <v/>
      </c>
      <c r="AD66" s="39" t="str">
        <f aca="false">IF(SUM($AA66)=0,"",$AA66-SUM($AB66)-SUM($AC66))</f>
        <v/>
      </c>
      <c r="AE66" s="10" t="str">
        <f aca="false">$V66</f>
        <v/>
      </c>
      <c r="AF66" s="39" t="str">
        <f aca="false">IF(SUM($AE66)=0,"",ROUND($AE66*SUM($X66),0))</f>
        <v/>
      </c>
      <c r="AG66" s="39" t="str">
        <f aca="false">IF(SUM($AE66)=0,"",ROUND(($AE66-SUM($AF66))*SUM($Z66),0))</f>
        <v/>
      </c>
      <c r="AH66" s="39" t="str">
        <f aca="false">IF(SUM($AE66)=0,"",$AE66-SUM($AF66)-SUM($AG66))</f>
        <v/>
      </c>
      <c r="AI66" s="88" t="str">
        <f aca="false">IF(SUM($AC66)=0,"",INDEX(Cascade!$BG:$BG,MATCH($E66,Cascade!$E:$E,0)))</f>
        <v/>
      </c>
      <c r="AJ66" s="39" t="str">
        <f aca="false">$AB66</f>
        <v/>
      </c>
      <c r="AK66" s="39" t="str">
        <f aca="false">IF(SUM($AC66)=0,"",IF(AND($AI66="",SUM($AC66)&gt;0),"&lt;- Enter Linkage Rate",ROUND($AC66*$AI66,0)))</f>
        <v/>
      </c>
      <c r="AL66" s="39" t="str">
        <f aca="false">IF(SUM($AF66,$AG66)=0,"",SUM($AF66,$AG66))</f>
        <v/>
      </c>
      <c r="AM66" s="39" t="str">
        <f aca="false">$AF66</f>
        <v/>
      </c>
      <c r="AN66" s="39" t="str">
        <f aca="false">IF(SUM($AG66)=0,"",ROUND($AG66*SUM($AI66),0))</f>
        <v/>
      </c>
      <c r="AO66" s="10" t="str">
        <f aca="false">IFERROR(1/(1/MAX(SUM($T66)-SUM($AB66,$AC66),$AD66)),"")</f>
        <v/>
      </c>
      <c r="AP66" s="88"/>
      <c r="AQ66" s="88" t="str">
        <f aca="false">IF($AP66="","",$AP66)</f>
        <v/>
      </c>
      <c r="AR66" s="88" t="str">
        <f aca="false">IF(SUM($AO66)=0,"",INDEX(Cascade!$BG:$BG,MATCH($E66,Cascade!$E:$E,0)))</f>
        <v/>
      </c>
      <c r="AS66" s="39" t="str">
        <f aca="false">IF(SUM($AO66)=0,"",IF(AND(SUM($AO66)&gt;0,$AQ66=""),"ENTER YIELD RATE",ROUND($AO66*$AQ66,0)))</f>
        <v/>
      </c>
      <c r="AT66" s="39" t="str">
        <f aca="false">IF(SUM($AO66)=0,"",$AO66-SUM($AS66))</f>
        <v/>
      </c>
      <c r="AU66" s="10" t="str">
        <f aca="false">IF(SUM($AS66)=0,"",ROUND($AS66*$AR66,0))</f>
        <v/>
      </c>
      <c r="AV66" s="10" t="str">
        <f aca="false">IFERROR(1/(1/SUM($AC66,$AB66,$AS66)),"")</f>
        <v/>
      </c>
      <c r="AW66" s="10" t="str">
        <f aca="false">IFERROR(1/(1/INDEX(Cascade!$BH:$BH,MATCH($E66,Cascade!$E:$E,0))),"")</f>
        <v/>
      </c>
      <c r="AX66" s="10" t="str">
        <f aca="false">IF(SUM($AC66)=0,"",$AC66)</f>
        <v/>
      </c>
      <c r="AY66" s="10" t="str">
        <f aca="false">IF(SUM($AS66)=0,"",$AS66)</f>
        <v/>
      </c>
      <c r="AZ66" s="10" t="str">
        <f aca="false">IFERROR(1/(1/INDEX(TB!$P:$P,MATCH($E66,TB!$E:$E,0))),"")</f>
        <v/>
      </c>
      <c r="BA66" s="10" t="str">
        <f aca="false">IFERROR(1/(1/(SUM($AW66)-SUM($AX66:$AZ66))),"")</f>
        <v/>
      </c>
    </row>
    <row r="67" customFormat="false" ht="15" hidden="false" customHeight="false" outlineLevel="0" collapsed="false">
      <c r="A67" s="0" t="str">
        <f aca="false">INDEX(Prioritization!$D:$D,MATCH($B67,Prioritization!$A:$A,0))</f>
        <v>1 - Scale-up: Saturation</v>
      </c>
      <c r="B67" s="0" t="s">
        <v>204</v>
      </c>
      <c r="C67" s="0" t="s">
        <v>366</v>
      </c>
      <c r="D67" s="0" t="s">
        <v>30</v>
      </c>
      <c r="E67" s="0" t="str">
        <f aca="false">B67&amp;"|"&amp;C67&amp;"|"&amp;D67</f>
        <v>Chitipa District [GkIwZrXy1h2]|25-34|Female</v>
      </c>
      <c r="F67" s="10" t="n">
        <f aca="false">IF(LEFT($B67,4)="_Mil","",INDEX(Cascade!$T:$T,MATCH($E67,Cascade!$E:$E,0)))</f>
        <v>1936</v>
      </c>
      <c r="G67" s="10" t="str">
        <f aca="false">IF(LEFT($B67,4)="_Mil","",INDEX(Cascade!$U:$U,MATCH($E67,Cascade!$E:$E,0)))</f>
        <v/>
      </c>
      <c r="H67" s="86" t="n">
        <f aca="false">IF(LEFT($B67,4)="_Mil","",INDEX(Cascade!$W:$W,MATCH($E67,Cascade!$E:$E,0)))</f>
        <v>771</v>
      </c>
      <c r="I67" s="10" t="n">
        <f aca="false">IF(LEFT($B67,4)="_Mil","",INDEX(Cascade!$Z:$Z,MATCH($E67,Cascade!$E:$E,0)))</f>
        <v>1268</v>
      </c>
      <c r="J67" s="88" t="n">
        <f aca="false">IF(LEFT($B67,4)="_Mil","",INDEX(Cascade!$AA:$AA,MATCH($E67,Cascade!$E:$E,0)))</f>
        <v>739</v>
      </c>
      <c r="K67" s="39" t="n">
        <f aca="false">IF(LEFT($B67,4)="_Mil","",_xlfn.IFNA(ROUND(INDEX(Spectrum!$N:$N,MATCH(RIGHT($B67,13)&amp;"|"&amp;$C67&amp;"|"&amp;$D67&amp;"|"&amp;K$14&amp;"|"&amp;"CY2023Q3",Spectrum!$R:$R,0)),0),""))</f>
        <v>569</v>
      </c>
      <c r="L67" s="39" t="str">
        <f aca="false">IF(LEFT($B67,4)="_Mil","",_xlfn.IFNA(ROUND(INDEX(Spectrum!$N:$N,MATCH(RIGHT($B67,13)&amp;"|"&amp;$C67&amp;"|"&amp;$D67&amp;"|"&amp;L$14&amp;"|"&amp;"CY2023Q3",Spectrum!$R:$R,0)),0),""))</f>
        <v/>
      </c>
      <c r="M67" s="39" t="n">
        <f aca="false">IF(LEFT($B67,4)="_Mil","",_xlfn.IFNA(ROUND(INDEX(Spectrum!$N:$N,MATCH(RIGHT($B67,13)&amp;"|"&amp;$C67&amp;"|"&amp;$D67&amp;"|"&amp;M$14&amp;"|"&amp;"CY2023Q3",Spectrum!$R:$R,0)),0),""))</f>
        <v>905</v>
      </c>
      <c r="N67" s="39" t="n">
        <f aca="false">IF(LEFT($B67,4)="_Mil","",_xlfn.IFNA(ROUND(INDEX(Spectrum!$N:$N,MATCH(RIGHT($B67,13)&amp;"|"&amp;$C67&amp;"|"&amp;$D67&amp;"|"&amp;N$14&amp;"|"&amp;"CY2023Q3",Spectrum!$R:$R,0)),0),""))</f>
        <v>1301</v>
      </c>
      <c r="O67" s="39" t="n">
        <f aca="false">IF(LEFT($B67,4)="_Mil","",_xlfn.IFNA(ROUND(INDEX(Spectrum!$N:$N,MATCH(RIGHT($B67,13)&amp;"|"&amp;$C67&amp;"|"&amp;$D67&amp;"|"&amp;O$14&amp;"|"&amp;"CY2023Q3",Spectrum!$R:$R,0)),0),""))</f>
        <v>1417</v>
      </c>
      <c r="P67" s="39" t="n">
        <f aca="false">IF(LEFT($B67,4)="_Mil","",_xlfn.IFNA(ROUND(INDEX(Spectrum!$N:$N,MATCH(RIGHT($B67,13)&amp;"|"&amp;$C67&amp;"|"&amp;$D67&amp;"|"&amp;P$14&amp;"|"&amp;"CY2023Q3",Spectrum!$R:$R,0)),0),""))</f>
        <v>849</v>
      </c>
      <c r="Q67" s="39" t="str">
        <f aca="false">IF(LEFT($B67,4)="_Mil","",_xlfn.IFNA(ROUND(INDEX(Spectrum!$N:$N,MATCH(RIGHT($B67,13)&amp;"|"&amp;$C67&amp;"|"&amp;$D67&amp;"|"&amp;Q$14&amp;"|"&amp;"CY2022Q3",Spectrum!$R:$R,0)),0),""))</f>
        <v/>
      </c>
      <c r="R67" s="10"/>
      <c r="S67" s="88" t="n">
        <f aca="false">0</f>
        <v>0</v>
      </c>
      <c r="T67" s="39" t="str">
        <f aca="false">IF(SUM($R67)=0,"",ROUND($R67*(1+$S67),0))</f>
        <v/>
      </c>
      <c r="U67" s="88" t="n">
        <f aca="false">IF(LEFT($B67,4)="_Mil","",IF(SUM($K67)=0,IF(SUM($R67)=0,"",1),MIN($R67/$K67,1)))</f>
        <v>0</v>
      </c>
      <c r="V67" s="39" t="str">
        <f aca="false">IF(OR(SUM($T67)=0,LEFT($B67,4)="_Mil"),"",ROUND($T67/$U67,0))</f>
        <v/>
      </c>
      <c r="W67" s="88"/>
      <c r="X67" s="88" t="n">
        <f aca="false">IF(SUM($K67,$W67)=0,"",MAX(IFERROR(SUM($L67)/$K67,0),SUM($W67)))</f>
        <v>0</v>
      </c>
      <c r="Y67" s="88"/>
      <c r="Z67" s="88" t="n">
        <f aca="false">IF(SUM($K67,$Y67)=0,"",MIN(SUM($Y67),IFERROR(SUM($M67)/(SUM($K67)-SUM($L67)),1)))</f>
        <v>0</v>
      </c>
      <c r="AA67" s="10" t="str">
        <f aca="false">$T67</f>
        <v/>
      </c>
      <c r="AB67" s="39" t="str">
        <f aca="false">IF(SUM($AA67)=0,"",IF(AND(SUM($AA67)&gt;0,$X67=""),"ENTER KNOWN POSITIVITY RATE",ROUND($AA67*$X67,0)))</f>
        <v/>
      </c>
      <c r="AC67" s="39" t="str">
        <f aca="false">IF(SUM($AA67)=0,"",IF(AND((SUM($AA67)-SUM($AB67))&gt;0,$Z67=""),"ENTER YIELD RATE",ROUND(($AA67-SUM($AB67))*$Z67,0)))</f>
        <v/>
      </c>
      <c r="AD67" s="39" t="str">
        <f aca="false">IF(SUM($AA67)=0,"",$AA67-SUM($AB67)-SUM($AC67))</f>
        <v/>
      </c>
      <c r="AE67" s="10" t="str">
        <f aca="false">$V67</f>
        <v/>
      </c>
      <c r="AF67" s="39" t="str">
        <f aca="false">IF(SUM($AE67)=0,"",ROUND($AE67*SUM($X67),0))</f>
        <v/>
      </c>
      <c r="AG67" s="39" t="str">
        <f aca="false">IF(SUM($AE67)=0,"",ROUND(($AE67-SUM($AF67))*SUM($Z67),0))</f>
        <v/>
      </c>
      <c r="AH67" s="39" t="str">
        <f aca="false">IF(SUM($AE67)=0,"",$AE67-SUM($AF67)-SUM($AG67))</f>
        <v/>
      </c>
      <c r="AI67" s="88" t="str">
        <f aca="false">IF(SUM($AC67)=0,"",INDEX(Cascade!$BG:$BG,MATCH($E67,Cascade!$E:$E,0)))</f>
        <v/>
      </c>
      <c r="AJ67" s="39" t="str">
        <f aca="false">$AB67</f>
        <v/>
      </c>
      <c r="AK67" s="39" t="str">
        <f aca="false">IF(SUM($AC67)=0,"",IF(AND($AI67="",SUM($AC67)&gt;0),"&lt;- Enter Linkage Rate",ROUND($AC67*$AI67,0)))</f>
        <v/>
      </c>
      <c r="AL67" s="39" t="str">
        <f aca="false">IF(SUM($AF67,$AG67)=0,"",SUM($AF67,$AG67))</f>
        <v/>
      </c>
      <c r="AM67" s="39" t="str">
        <f aca="false">$AF67</f>
        <v/>
      </c>
      <c r="AN67" s="39" t="str">
        <f aca="false">IF(SUM($AG67)=0,"",ROUND($AG67*SUM($AI67),0))</f>
        <v/>
      </c>
      <c r="AO67" s="10" t="str">
        <f aca="false">IFERROR(1/(1/MAX(SUM($T67)-SUM($AB67,$AC67),$AD67)),"")</f>
        <v/>
      </c>
      <c r="AP67" s="88"/>
      <c r="AQ67" s="88" t="str">
        <f aca="false">IF($AP67="","",$AP67)</f>
        <v/>
      </c>
      <c r="AR67" s="88" t="str">
        <f aca="false">IF(SUM($AO67)=0,"",INDEX(Cascade!$BG:$BG,MATCH($E67,Cascade!$E:$E,0)))</f>
        <v/>
      </c>
      <c r="AS67" s="39" t="str">
        <f aca="false">IF(SUM($AO67)=0,"",IF(AND(SUM($AO67)&gt;0,$AQ67=""),"ENTER YIELD RATE",ROUND($AO67*$AQ67,0)))</f>
        <v/>
      </c>
      <c r="AT67" s="39" t="str">
        <f aca="false">IF(SUM($AO67)=0,"",$AO67-SUM($AS67))</f>
        <v/>
      </c>
      <c r="AU67" s="10" t="str">
        <f aca="false">IF(SUM($AS67)=0,"",ROUND($AS67*$AR67,0))</f>
        <v/>
      </c>
      <c r="AV67" s="10" t="str">
        <f aca="false">IFERROR(1/(1/SUM($AC67,$AB67,$AS67)),"")</f>
        <v/>
      </c>
      <c r="AW67" s="10" t="str">
        <f aca="false">IFERROR(1/(1/INDEX(Cascade!$BH:$BH,MATCH($E67,Cascade!$E:$E,0))),"")</f>
        <v/>
      </c>
      <c r="AX67" s="10" t="str">
        <f aca="false">IF(SUM($AC67)=0,"",$AC67)</f>
        <v/>
      </c>
      <c r="AY67" s="10" t="str">
        <f aca="false">IF(SUM($AS67)=0,"",$AS67)</f>
        <v/>
      </c>
      <c r="AZ67" s="10" t="str">
        <f aca="false">IFERROR(1/(1/INDEX(TB!$P:$P,MATCH($E67,TB!$E:$E,0))),"")</f>
        <v/>
      </c>
      <c r="BA67" s="10" t="str">
        <f aca="false">IFERROR(1/(1/(SUM($AW67)-SUM($AX67:$AZ67))),"")</f>
        <v/>
      </c>
    </row>
    <row r="68" customFormat="false" ht="15" hidden="false" customHeight="false" outlineLevel="0" collapsed="false">
      <c r="A68" s="0" t="str">
        <f aca="false">INDEX(Prioritization!$D:$D,MATCH($B68,Prioritization!$A:$A,0))</f>
        <v>1 - Scale-up: Saturation</v>
      </c>
      <c r="B68" s="0" t="s">
        <v>204</v>
      </c>
      <c r="C68" s="0" t="s">
        <v>367</v>
      </c>
      <c r="D68" s="0" t="s">
        <v>30</v>
      </c>
      <c r="E68" s="0" t="str">
        <f aca="false">B68&amp;"|"&amp;C68&amp;"|"&amp;D68</f>
        <v>Chitipa District [GkIwZrXy1h2]|35-49|Female</v>
      </c>
      <c r="F68" s="10" t="n">
        <f aca="false">IF(LEFT($B68,4)="_Mil","",INDEX(Cascade!$T:$T,MATCH($E68,Cascade!$E:$E,0)))</f>
        <v>708</v>
      </c>
      <c r="G68" s="10" t="str">
        <f aca="false">IF(LEFT($B68,4)="_Mil","",INDEX(Cascade!$U:$U,MATCH($E68,Cascade!$E:$E,0)))</f>
        <v/>
      </c>
      <c r="H68" s="86" t="n">
        <f aca="false">IF(LEFT($B68,4)="_Mil","",INDEX(Cascade!$W:$W,MATCH($E68,Cascade!$E:$E,0)))</f>
        <v>1179</v>
      </c>
      <c r="I68" s="10" t="n">
        <f aca="false">IF(LEFT($B68,4)="_Mil","",INDEX(Cascade!$Z:$Z,MATCH($E68,Cascade!$E:$E,0)))</f>
        <v>786</v>
      </c>
      <c r="J68" s="88" t="n">
        <f aca="false">IF(LEFT($B68,4)="_Mil","",INDEX(Cascade!$AA:$AA,MATCH($E68,Cascade!$E:$E,0)))</f>
        <v>1516</v>
      </c>
      <c r="K68" s="39" t="n">
        <f aca="false">IF(LEFT($B68,4)="_Mil","",_xlfn.IFNA(ROUND(INDEX(Spectrum!$N:$N,MATCH(RIGHT($B68,13)&amp;"|"&amp;$C68&amp;"|"&amp;$D68&amp;"|"&amp;K$14&amp;"|"&amp;"CY2023Q3",Spectrum!$R:$R,0)),0),""))</f>
        <v>1084</v>
      </c>
      <c r="L68" s="39" t="str">
        <f aca="false">IF(LEFT($B68,4)="_Mil","",_xlfn.IFNA(ROUND(INDEX(Spectrum!$N:$N,MATCH(RIGHT($B68,13)&amp;"|"&amp;$C68&amp;"|"&amp;$D68&amp;"|"&amp;L$14&amp;"|"&amp;"CY2023Q3",Spectrum!$R:$R,0)),0),""))</f>
        <v/>
      </c>
      <c r="M68" s="39" t="n">
        <f aca="false">IF(LEFT($B68,4)="_Mil","",_xlfn.IFNA(ROUND(INDEX(Spectrum!$N:$N,MATCH(RIGHT($B68,13)&amp;"|"&amp;$C68&amp;"|"&amp;$D68&amp;"|"&amp;M$14&amp;"|"&amp;"CY2023Q3",Spectrum!$R:$R,0)),0),""))</f>
        <v>1423</v>
      </c>
      <c r="N68" s="39" t="n">
        <f aca="false">IF(LEFT($B68,4)="_Mil","",_xlfn.IFNA(ROUND(INDEX(Spectrum!$N:$N,MATCH(RIGHT($B68,13)&amp;"|"&amp;$C68&amp;"|"&amp;$D68&amp;"|"&amp;N$14&amp;"|"&amp;"CY2023Q3",Spectrum!$R:$R,0)),0),""))</f>
        <v>794</v>
      </c>
      <c r="O68" s="39" t="n">
        <f aca="false">IF(LEFT($B68,4)="_Mil","",_xlfn.IFNA(ROUND(INDEX(Spectrum!$N:$N,MATCH(RIGHT($B68,13)&amp;"|"&amp;$C68&amp;"|"&amp;$D68&amp;"|"&amp;O$14&amp;"|"&amp;"CY2023Q3",Spectrum!$R:$R,0)),0),""))</f>
        <v>1516</v>
      </c>
      <c r="P68" s="39" t="n">
        <f aca="false">IF(LEFT($B68,4)="_Mil","",_xlfn.IFNA(ROUND(INDEX(Spectrum!$N:$N,MATCH(RIGHT($B68,13)&amp;"|"&amp;$C68&amp;"|"&amp;$D68&amp;"|"&amp;P$14&amp;"|"&amp;"CY2023Q3",Spectrum!$R:$R,0)),0),""))</f>
        <v>1299</v>
      </c>
      <c r="Q68" s="39" t="str">
        <f aca="false">IF(LEFT($B68,4)="_Mil","",_xlfn.IFNA(ROUND(INDEX(Spectrum!$N:$N,MATCH(RIGHT($B68,13)&amp;"|"&amp;$C68&amp;"|"&amp;$D68&amp;"|"&amp;Q$14&amp;"|"&amp;"CY2022Q3",Spectrum!$R:$R,0)),0),""))</f>
        <v/>
      </c>
      <c r="R68" s="10"/>
      <c r="S68" s="88" t="n">
        <f aca="false">0</f>
        <v>0</v>
      </c>
      <c r="T68" s="39" t="str">
        <f aca="false">IF(SUM($R68)=0,"",ROUND($R68*(1+$S68),0))</f>
        <v/>
      </c>
      <c r="U68" s="88" t="n">
        <f aca="false">IF(LEFT($B68,4)="_Mil","",IF(SUM($K68)=0,IF(SUM($R68)=0,"",1),MIN($R68/$K68,1)))</f>
        <v>0</v>
      </c>
      <c r="V68" s="39" t="str">
        <f aca="false">IF(OR(SUM($T68)=0,LEFT($B68,4)="_Mil"),"",ROUND($T68/$U68,0))</f>
        <v/>
      </c>
      <c r="W68" s="88"/>
      <c r="X68" s="88" t="n">
        <f aca="false">IF(SUM($K68,$W68)=0,"",MAX(IFERROR(SUM($L68)/$K68,0),SUM($W68)))</f>
        <v>0</v>
      </c>
      <c r="Y68" s="88"/>
      <c r="Z68" s="88" t="n">
        <f aca="false">IF(SUM($K68,$Y68)=0,"",MIN(SUM($Y68),IFERROR(SUM($M68)/(SUM($K68)-SUM($L68)),1)))</f>
        <v>0</v>
      </c>
      <c r="AA68" s="10" t="str">
        <f aca="false">$T68</f>
        <v/>
      </c>
      <c r="AB68" s="39" t="str">
        <f aca="false">IF(SUM($AA68)=0,"",IF(AND(SUM($AA68)&gt;0,$X68=""),"ENTER KNOWN POSITIVITY RATE",ROUND($AA68*$X68,0)))</f>
        <v/>
      </c>
      <c r="AC68" s="39" t="str">
        <f aca="false">IF(SUM($AA68)=0,"",IF(AND((SUM($AA68)-SUM($AB68))&gt;0,$Z68=""),"ENTER YIELD RATE",ROUND(($AA68-SUM($AB68))*$Z68,0)))</f>
        <v/>
      </c>
      <c r="AD68" s="39" t="str">
        <f aca="false">IF(SUM($AA68)=0,"",$AA68-SUM($AB68)-SUM($AC68))</f>
        <v/>
      </c>
      <c r="AE68" s="10" t="str">
        <f aca="false">$V68</f>
        <v/>
      </c>
      <c r="AF68" s="39" t="str">
        <f aca="false">IF(SUM($AE68)=0,"",ROUND($AE68*SUM($X68),0))</f>
        <v/>
      </c>
      <c r="AG68" s="39" t="str">
        <f aca="false">IF(SUM($AE68)=0,"",ROUND(($AE68-SUM($AF68))*SUM($Z68),0))</f>
        <v/>
      </c>
      <c r="AH68" s="39" t="str">
        <f aca="false">IF(SUM($AE68)=0,"",$AE68-SUM($AF68)-SUM($AG68))</f>
        <v/>
      </c>
      <c r="AI68" s="88" t="str">
        <f aca="false">IF(SUM($AC68)=0,"",INDEX(Cascade!$BG:$BG,MATCH($E68,Cascade!$E:$E,0)))</f>
        <v/>
      </c>
      <c r="AJ68" s="39" t="str">
        <f aca="false">$AB68</f>
        <v/>
      </c>
      <c r="AK68" s="39" t="str">
        <f aca="false">IF(SUM($AC68)=0,"",IF(AND($AI68="",SUM($AC68)&gt;0),"&lt;- Enter Linkage Rate",ROUND($AC68*$AI68,0)))</f>
        <v/>
      </c>
      <c r="AL68" s="39" t="str">
        <f aca="false">IF(SUM($AF68,$AG68)=0,"",SUM($AF68,$AG68))</f>
        <v/>
      </c>
      <c r="AM68" s="39" t="str">
        <f aca="false">$AF68</f>
        <v/>
      </c>
      <c r="AN68" s="39" t="str">
        <f aca="false">IF(SUM($AG68)=0,"",ROUND($AG68*SUM($AI68),0))</f>
        <v/>
      </c>
      <c r="AO68" s="10" t="str">
        <f aca="false">IFERROR(1/(1/MAX(SUM($T68)-SUM($AB68,$AC68),$AD68)),"")</f>
        <v/>
      </c>
      <c r="AP68" s="88"/>
      <c r="AQ68" s="88" t="str">
        <f aca="false">IF($AP68="","",$AP68)</f>
        <v/>
      </c>
      <c r="AR68" s="88" t="str">
        <f aca="false">IF(SUM($AO68)=0,"",INDEX(Cascade!$BG:$BG,MATCH($E68,Cascade!$E:$E,0)))</f>
        <v/>
      </c>
      <c r="AS68" s="39" t="str">
        <f aca="false">IF(SUM($AO68)=0,"",IF(AND(SUM($AO68)&gt;0,$AQ68=""),"ENTER YIELD RATE",ROUND($AO68*$AQ68,0)))</f>
        <v/>
      </c>
      <c r="AT68" s="39" t="str">
        <f aca="false">IF(SUM($AO68)=0,"",$AO68-SUM($AS68))</f>
        <v/>
      </c>
      <c r="AU68" s="10" t="str">
        <f aca="false">IF(SUM($AS68)=0,"",ROUND($AS68*$AR68,0))</f>
        <v/>
      </c>
      <c r="AV68" s="10" t="str">
        <f aca="false">IFERROR(1/(1/SUM($AC68,$AB68,$AS68)),"")</f>
        <v/>
      </c>
      <c r="AW68" s="10" t="str">
        <f aca="false">IFERROR(1/(1/INDEX(Cascade!$BH:$BH,MATCH($E68,Cascade!$E:$E,0))),"")</f>
        <v/>
      </c>
      <c r="AX68" s="10" t="str">
        <f aca="false">IF(SUM($AC68)=0,"",$AC68)</f>
        <v/>
      </c>
      <c r="AY68" s="10" t="str">
        <f aca="false">IF(SUM($AS68)=0,"",$AS68)</f>
        <v/>
      </c>
      <c r="AZ68" s="10" t="str">
        <f aca="false">IFERROR(1/(1/INDEX(TB!$P:$P,MATCH($E68,TB!$E:$E,0))),"")</f>
        <v/>
      </c>
      <c r="BA68" s="10" t="str">
        <f aca="false">IFERROR(1/(1/(SUM($AW68)-SUM($AX68:$AZ68))),"")</f>
        <v/>
      </c>
    </row>
    <row r="69" customFormat="false" ht="15" hidden="false" customHeight="false" outlineLevel="0" collapsed="false">
      <c r="A69" s="0" t="str">
        <f aca="false">INDEX(Prioritization!$D:$D,MATCH($B69,Prioritization!$A:$A,0))</f>
        <v>1 - Scale-up: Saturation</v>
      </c>
      <c r="B69" s="0" t="s">
        <v>204</v>
      </c>
      <c r="C69" s="0" t="s">
        <v>368</v>
      </c>
      <c r="D69" s="0" t="s">
        <v>30</v>
      </c>
      <c r="E69" s="0" t="str">
        <f aca="false">B69&amp;"|"&amp;C69&amp;"|"&amp;D69</f>
        <v>Chitipa District [GkIwZrXy1h2]|50+|Female</v>
      </c>
      <c r="F69" s="10" t="n">
        <f aca="false">IF(LEFT($B69,4)="_Mil","",INDEX(Cascade!$T:$T,MATCH($E69,Cascade!$E:$E,0)))</f>
        <v>1175</v>
      </c>
      <c r="G69" s="10" t="str">
        <f aca="false">IF(LEFT($B69,4)="_Mil","",INDEX(Cascade!$U:$U,MATCH($E69,Cascade!$E:$E,0)))</f>
        <v/>
      </c>
      <c r="H69" s="86" t="n">
        <f aca="false">IF(LEFT($B69,4)="_Mil","",INDEX(Cascade!$W:$W,MATCH($E69,Cascade!$E:$E,0)))</f>
        <v>1183</v>
      </c>
      <c r="I69" s="10" t="n">
        <f aca="false">IF(LEFT($B69,4)="_Mil","",INDEX(Cascade!$Z:$Z,MATCH($E69,Cascade!$E:$E,0)))</f>
        <v>1050</v>
      </c>
      <c r="J69" s="88" t="n">
        <f aca="false">IF(LEFT($B69,4)="_Mil","",INDEX(Cascade!$AA:$AA,MATCH($E69,Cascade!$E:$E,0)))</f>
        <v>868</v>
      </c>
      <c r="K69" s="39" t="str">
        <f aca="false">IF(LEFT($B69,4)="_Mil","",_xlfn.IFNA(ROUND(INDEX(Spectrum!$N:$N,MATCH(RIGHT($B69,13)&amp;"|"&amp;$C69&amp;"|"&amp;$D69&amp;"|"&amp;K$14&amp;"|"&amp;"CY2023Q3",Spectrum!$R:$R,0)),0),""))</f>
        <v/>
      </c>
      <c r="L69" s="39" t="str">
        <f aca="false">IF(LEFT($B69,4)="_Mil","",_xlfn.IFNA(ROUND(INDEX(Spectrum!$N:$N,MATCH(RIGHT($B69,13)&amp;"|"&amp;$C69&amp;"|"&amp;$D69&amp;"|"&amp;L$14&amp;"|"&amp;"CY2023Q3",Spectrum!$R:$R,0)),0),""))</f>
        <v/>
      </c>
      <c r="M69" s="39" t="str">
        <f aca="false">IF(LEFT($B69,4)="_Mil","",_xlfn.IFNA(ROUND(INDEX(Spectrum!$N:$N,MATCH(RIGHT($B69,13)&amp;"|"&amp;$C69&amp;"|"&amp;$D69&amp;"|"&amp;M$14&amp;"|"&amp;"CY2023Q3",Spectrum!$R:$R,0)),0),""))</f>
        <v/>
      </c>
      <c r="N69" s="39" t="str">
        <f aca="false">IF(LEFT($B69,4)="_Mil","",_xlfn.IFNA(ROUND(INDEX(Spectrum!$N:$N,MATCH(RIGHT($B69,13)&amp;"|"&amp;$C69&amp;"|"&amp;$D69&amp;"|"&amp;N$14&amp;"|"&amp;"CY2023Q3",Spectrum!$R:$R,0)),0),""))</f>
        <v/>
      </c>
      <c r="O69" s="39" t="str">
        <f aca="false">IF(LEFT($B69,4)="_Mil","",_xlfn.IFNA(ROUND(INDEX(Spectrum!$N:$N,MATCH(RIGHT($B69,13)&amp;"|"&amp;$C69&amp;"|"&amp;$D69&amp;"|"&amp;O$14&amp;"|"&amp;"CY2023Q3",Spectrum!$R:$R,0)),0),""))</f>
        <v/>
      </c>
      <c r="P69" s="39" t="str">
        <f aca="false">IF(LEFT($B69,4)="_Mil","",_xlfn.IFNA(ROUND(INDEX(Spectrum!$N:$N,MATCH(RIGHT($B69,13)&amp;"|"&amp;$C69&amp;"|"&amp;$D69&amp;"|"&amp;P$14&amp;"|"&amp;"CY2023Q3",Spectrum!$R:$R,0)),0),""))</f>
        <v/>
      </c>
      <c r="Q69" s="39" t="str">
        <f aca="false">IF(LEFT($B69,4)="_Mil","",_xlfn.IFNA(ROUND(INDEX(Spectrum!$N:$N,MATCH(RIGHT($B69,13)&amp;"|"&amp;$C69&amp;"|"&amp;$D69&amp;"|"&amp;Q$14&amp;"|"&amp;"CY2022Q3",Spectrum!$R:$R,0)),0),""))</f>
        <v/>
      </c>
      <c r="R69" s="10"/>
      <c r="S69" s="88" t="n">
        <f aca="false">0</f>
        <v>0</v>
      </c>
      <c r="T69" s="39" t="str">
        <f aca="false">IF(SUM($R69)=0,"",ROUND($R69*(1+$S69),0))</f>
        <v/>
      </c>
      <c r="U69" s="88" t="str">
        <f aca="false">IF(LEFT($B69,4)="_Mil","",IF(SUM($K69)=0,IF(SUM($R69)=0,"",1),MIN($R69/$K69,1)))</f>
        <v/>
      </c>
      <c r="V69" s="39" t="str">
        <f aca="false">IF(OR(SUM($T69)=0,LEFT($B69,4)="_Mil"),"",ROUND($T69/$U69,0))</f>
        <v/>
      </c>
      <c r="W69" s="88"/>
      <c r="X69" s="88" t="str">
        <f aca="false">IF(SUM($K69,$W69)=0,"",MAX(IFERROR(SUM($L69)/$K69,0),SUM($W69)))</f>
        <v/>
      </c>
      <c r="Y69" s="88"/>
      <c r="Z69" s="88" t="str">
        <f aca="false">IF(SUM($K69,$Y69)=0,"",MIN(SUM($Y69),IFERROR(SUM($M69)/(SUM($K69)-SUM($L69)),1)))</f>
        <v/>
      </c>
      <c r="AA69" s="10" t="str">
        <f aca="false">$T69</f>
        <v/>
      </c>
      <c r="AB69" s="39" t="str">
        <f aca="false">IF(SUM($AA69)=0,"",IF(AND(SUM($AA69)&gt;0,$X69=""),"ENTER KNOWN POSITIVITY RATE",ROUND($AA69*$X69,0)))</f>
        <v/>
      </c>
      <c r="AC69" s="39" t="str">
        <f aca="false">IF(SUM($AA69)=0,"",IF(AND((SUM($AA69)-SUM($AB69))&gt;0,$Z69=""),"ENTER YIELD RATE",ROUND(($AA69-SUM($AB69))*$Z69,0)))</f>
        <v/>
      </c>
      <c r="AD69" s="39" t="str">
        <f aca="false">IF(SUM($AA69)=0,"",$AA69-SUM($AB69)-SUM($AC69))</f>
        <v/>
      </c>
      <c r="AE69" s="10" t="str">
        <f aca="false">$V69</f>
        <v/>
      </c>
      <c r="AF69" s="39" t="str">
        <f aca="false">IF(SUM($AE69)=0,"",ROUND($AE69*SUM($X69),0))</f>
        <v/>
      </c>
      <c r="AG69" s="39" t="str">
        <f aca="false">IF(SUM($AE69)=0,"",ROUND(($AE69-SUM($AF69))*SUM($Z69),0))</f>
        <v/>
      </c>
      <c r="AH69" s="39" t="str">
        <f aca="false">IF(SUM($AE69)=0,"",$AE69-SUM($AF69)-SUM($AG69))</f>
        <v/>
      </c>
      <c r="AI69" s="88" t="str">
        <f aca="false">IF(SUM($AC69)=0,"",INDEX(Cascade!$BG:$BG,MATCH($E69,Cascade!$E:$E,0)))</f>
        <v/>
      </c>
      <c r="AJ69" s="39" t="str">
        <f aca="false">$AB69</f>
        <v/>
      </c>
      <c r="AK69" s="39" t="str">
        <f aca="false">IF(SUM($AC69)=0,"",IF(AND($AI69="",SUM($AC69)&gt;0),"&lt;- Enter Linkage Rate",ROUND($AC69*$AI69,0)))</f>
        <v/>
      </c>
      <c r="AL69" s="39" t="str">
        <f aca="false">IF(SUM($AF69,$AG69)=0,"",SUM($AF69,$AG69))</f>
        <v/>
      </c>
      <c r="AM69" s="39" t="str">
        <f aca="false">$AF69</f>
        <v/>
      </c>
      <c r="AN69" s="39" t="str">
        <f aca="false">IF(SUM($AG69)=0,"",ROUND($AG69*SUM($AI69),0))</f>
        <v/>
      </c>
      <c r="AO69" s="10" t="str">
        <f aca="false">IFERROR(1/(1/MAX(SUM($T69)-SUM($AB69,$AC69),$AD69)),"")</f>
        <v/>
      </c>
      <c r="AP69" s="88"/>
      <c r="AQ69" s="88" t="str">
        <f aca="false">IF($AP69="","",$AP69)</f>
        <v/>
      </c>
      <c r="AR69" s="88" t="str">
        <f aca="false">IF(SUM($AO69)=0,"",INDEX(Cascade!$BG:$BG,MATCH($E69,Cascade!$E:$E,0)))</f>
        <v/>
      </c>
      <c r="AS69" s="39" t="str">
        <f aca="false">IF(SUM($AO69)=0,"",IF(AND(SUM($AO69)&gt;0,$AQ69=""),"ENTER YIELD RATE",ROUND($AO69*$AQ69,0)))</f>
        <v/>
      </c>
      <c r="AT69" s="39" t="str">
        <f aca="false">IF(SUM($AO69)=0,"",$AO69-SUM($AS69))</f>
        <v/>
      </c>
      <c r="AU69" s="10" t="str">
        <f aca="false">IF(SUM($AS69)=0,"",ROUND($AS69*$AR69,0))</f>
        <v/>
      </c>
      <c r="AV69" s="10" t="str">
        <f aca="false">IFERROR(1/(1/SUM($AC69,$AB69,$AS69)),"")</f>
        <v/>
      </c>
      <c r="AW69" s="10" t="str">
        <f aca="false">IFERROR(1/(1/INDEX(Cascade!$BH:$BH,MATCH($E69,Cascade!$E:$E,0))),"")</f>
        <v/>
      </c>
      <c r="AX69" s="10" t="str">
        <f aca="false">IF(SUM($AC69)=0,"",$AC69)</f>
        <v/>
      </c>
      <c r="AY69" s="10" t="str">
        <f aca="false">IF(SUM($AS69)=0,"",$AS69)</f>
        <v/>
      </c>
      <c r="AZ69" s="10" t="str">
        <f aca="false">IFERROR(1/(1/INDEX(TB!$P:$P,MATCH($E69,TB!$E:$E,0))),"")</f>
        <v/>
      </c>
      <c r="BA69" s="10" t="str">
        <f aca="false">IFERROR(1/(1/(SUM($AW69)-SUM($AX69:$AZ69))),"")</f>
        <v/>
      </c>
    </row>
    <row r="70" customFormat="false" ht="15" hidden="false" customHeight="false" outlineLevel="0" collapsed="false">
      <c r="A70" s="0" t="str">
        <f aca="false">INDEX(Prioritization!$D:$D,MATCH($B70,Prioritization!$A:$A,0))</f>
        <v>INVALID</v>
      </c>
      <c r="B70" s="0" t="s">
        <v>205</v>
      </c>
      <c r="C70" s="0" t="s">
        <v>364</v>
      </c>
      <c r="D70" s="0" t="s">
        <v>30</v>
      </c>
      <c r="E70" s="0" t="str">
        <f aca="false">B70&amp;"|"&amp;C70&amp;"|"&amp;D70</f>
        <v>Karonga District [cPtvxaZqXIH]|10-14|Female</v>
      </c>
      <c r="F70" s="10" t="n">
        <f aca="false">IF(LEFT($B70,4)="_Mil","",INDEX(Cascade!$T:$T,MATCH($E70,Cascade!$E:$E,0)))</f>
        <v>1865</v>
      </c>
      <c r="G70" s="10" t="str">
        <f aca="false">IF(LEFT($B70,4)="_Mil","",INDEX(Cascade!$U:$U,MATCH($E70,Cascade!$E:$E,0)))</f>
        <v/>
      </c>
      <c r="H70" s="86" t="n">
        <f aca="false">IF(LEFT($B70,4)="_Mil","",INDEX(Cascade!$W:$W,MATCH($E70,Cascade!$E:$E,0)))</f>
        <v>1834</v>
      </c>
      <c r="I70" s="10" t="n">
        <f aca="false">IF(LEFT($B70,4)="_Mil","",INDEX(Cascade!$Z:$Z,MATCH($E70,Cascade!$E:$E,0)))</f>
        <v>1850</v>
      </c>
      <c r="J70" s="88" t="n">
        <f aca="false">IF(LEFT($B70,4)="_Mil","",INDEX(Cascade!$AA:$AA,MATCH($E70,Cascade!$E:$E,0)))</f>
        <v>1487</v>
      </c>
      <c r="K70" s="39" t="str">
        <f aca="false">IF(LEFT($B70,4)="_Mil","",_xlfn.IFNA(ROUND(INDEX(Spectrum!$N:$N,MATCH(RIGHT($B70,13)&amp;"|"&amp;$C70&amp;"|"&amp;$D70&amp;"|"&amp;K$14&amp;"|"&amp;"CY2023Q3",Spectrum!$R:$R,0)),0),""))</f>
        <v/>
      </c>
      <c r="L70" s="39" t="str">
        <f aca="false">IF(LEFT($B70,4)="_Mil","",_xlfn.IFNA(ROUND(INDEX(Spectrum!$N:$N,MATCH(RIGHT($B70,13)&amp;"|"&amp;$C70&amp;"|"&amp;$D70&amp;"|"&amp;L$14&amp;"|"&amp;"CY2023Q3",Spectrum!$R:$R,0)),0),""))</f>
        <v/>
      </c>
      <c r="M70" s="39" t="str">
        <f aca="false">IF(LEFT($B70,4)="_Mil","",_xlfn.IFNA(ROUND(INDEX(Spectrum!$N:$N,MATCH(RIGHT($B70,13)&amp;"|"&amp;$C70&amp;"|"&amp;$D70&amp;"|"&amp;M$14&amp;"|"&amp;"CY2023Q3",Spectrum!$R:$R,0)),0),""))</f>
        <v/>
      </c>
      <c r="N70" s="39" t="str">
        <f aca="false">IF(LEFT($B70,4)="_Mil","",_xlfn.IFNA(ROUND(INDEX(Spectrum!$N:$N,MATCH(RIGHT($B70,13)&amp;"|"&amp;$C70&amp;"|"&amp;$D70&amp;"|"&amp;N$14&amp;"|"&amp;"CY2023Q3",Spectrum!$R:$R,0)),0),""))</f>
        <v/>
      </c>
      <c r="O70" s="39" t="str">
        <f aca="false">IF(LEFT($B70,4)="_Mil","",_xlfn.IFNA(ROUND(INDEX(Spectrum!$N:$N,MATCH(RIGHT($B70,13)&amp;"|"&amp;$C70&amp;"|"&amp;$D70&amp;"|"&amp;O$14&amp;"|"&amp;"CY2023Q3",Spectrum!$R:$R,0)),0),""))</f>
        <v/>
      </c>
      <c r="P70" s="39" t="str">
        <f aca="false">IF(LEFT($B70,4)="_Mil","",_xlfn.IFNA(ROUND(INDEX(Spectrum!$N:$N,MATCH(RIGHT($B70,13)&amp;"|"&amp;$C70&amp;"|"&amp;$D70&amp;"|"&amp;P$14&amp;"|"&amp;"CY2023Q3",Spectrum!$R:$R,0)),0),""))</f>
        <v/>
      </c>
      <c r="Q70" s="39" t="str">
        <f aca="false">IF(LEFT($B70,4)="_Mil","",_xlfn.IFNA(ROUND(INDEX(Spectrum!$N:$N,MATCH(RIGHT($B70,13)&amp;"|"&amp;$C70&amp;"|"&amp;$D70&amp;"|"&amp;Q$14&amp;"|"&amp;"CY2022Q3",Spectrum!$R:$R,0)),0),""))</f>
        <v/>
      </c>
      <c r="R70" s="10" t="n">
        <v>5</v>
      </c>
      <c r="S70" s="88" t="n">
        <f aca="false">0</f>
        <v>0</v>
      </c>
      <c r="T70" s="39" t="n">
        <f aca="false">IF(SUM($R70)=0,"",ROUND($R70*(1+$S70),0))</f>
        <v>5</v>
      </c>
      <c r="U70" s="88" t="n">
        <f aca="false">IF(LEFT($B70,4)="_Mil","",IF(SUM($K70)=0,IF(SUM($R70)=0,"",1),MIN($R70/$K70,1)))</f>
        <v>1</v>
      </c>
      <c r="V70" s="39" t="n">
        <f aca="false">IF(OR(SUM($T70)=0,LEFT($B70,4)="_Mil"),"",ROUND($T70/$U70,0))</f>
        <v>5</v>
      </c>
      <c r="W70" s="88"/>
      <c r="X70" s="88" t="str">
        <f aca="false">IF(SUM($K70,$W70)=0,"",MAX(IFERROR(SUM($L70)/$K70,0),SUM($W70)))</f>
        <v/>
      </c>
      <c r="Y70" s="88"/>
      <c r="Z70" s="88" t="str">
        <f aca="false">IF(SUM($K70,$Y70)=0,"",MIN(SUM($Y70),IFERROR(SUM($M70)/(SUM($K70)-SUM($L70)),1)))</f>
        <v/>
      </c>
      <c r="AA70" s="10" t="n">
        <f aca="false">$T70</f>
        <v>5</v>
      </c>
      <c r="AB70" s="39" t="str">
        <f aca="false">IF(SUM($AA70)=0,"",IF(AND(SUM($AA70)&gt;0,$X70=""),"ENTER KNOWN POSITIVITY RATE",ROUND($AA70*$X70,0)))</f>
        <v>ENTER KNOWN POSITIVITY RATE</v>
      </c>
      <c r="AC70" s="39" t="str">
        <f aca="false">IF(SUM($AA70)=0,"",IF(AND((SUM($AA70)-SUM($AB70))&gt;0,$Z70=""),"ENTER YIELD RATE",ROUND(($AA70-SUM($AB70))*$Z70,0)))</f>
        <v>ENTER YIELD RATE</v>
      </c>
      <c r="AD70" s="39" t="n">
        <f aca="false">IF(SUM($AA70)=0,"",$AA70-SUM($AB70)-SUM($AC70))</f>
        <v>5</v>
      </c>
      <c r="AE70" s="10" t="n">
        <f aca="false">$V70</f>
        <v>5</v>
      </c>
      <c r="AF70" s="39" t="n">
        <f aca="false">IF(SUM($AE70)=0,"",ROUND($AE70*SUM($X70),0))</f>
        <v>0</v>
      </c>
      <c r="AG70" s="39" t="n">
        <f aca="false">IF(SUM($AE70)=0,"",ROUND(($AE70-SUM($AF70))*SUM($Z70),0))</f>
        <v>0</v>
      </c>
      <c r="AH70" s="39" t="n">
        <f aca="false">IF(SUM($AE70)=0,"",$AE70-SUM($AF70)-SUM($AG70))</f>
        <v>5</v>
      </c>
      <c r="AI70" s="88" t="str">
        <f aca="false">IF(SUM($AC70)=0,"",INDEX(Cascade!$BG:$BG,MATCH($E70,Cascade!$E:$E,0)))</f>
        <v/>
      </c>
      <c r="AJ70" s="39" t="str">
        <f aca="false">$AB70</f>
        <v>ENTER KNOWN POSITIVITY RATE</v>
      </c>
      <c r="AK70" s="39" t="str">
        <f aca="false">IF(SUM($AC70)=0,"",IF(AND($AI70="",SUM($AC70)&gt;0),"&lt;- Enter Linkage Rate",ROUND($AC70*$AI70,0)))</f>
        <v/>
      </c>
      <c r="AL70" s="39" t="str">
        <f aca="false">IF(SUM($AF70,$AG70)=0,"",SUM($AF70,$AG70))</f>
        <v/>
      </c>
      <c r="AM70" s="39" t="n">
        <f aca="false">$AF70</f>
        <v>0</v>
      </c>
      <c r="AN70" s="39" t="str">
        <f aca="false">IF(SUM($AG70)=0,"",ROUND($AG70*SUM($AI70),0))</f>
        <v/>
      </c>
      <c r="AO70" s="10" t="n">
        <f aca="false">IFERROR(1/(1/MAX(SUM($T70)-SUM($AB70,$AC70),$AD70)),"")</f>
        <v>5</v>
      </c>
      <c r="AP70" s="88"/>
      <c r="AQ70" s="88" t="str">
        <f aca="false">IF($AP70="","",$AP70)</f>
        <v/>
      </c>
      <c r="AR70" s="88" t="n">
        <f aca="false">IF(SUM($AO70)=0,"",INDEX(Cascade!$BG:$BG,MATCH($E70,Cascade!$E:$E,0)))</f>
        <v>0.95</v>
      </c>
      <c r="AS70" s="39" t="str">
        <f aca="false">IF(SUM($AO70)=0,"",IF(AND(SUM($AO70)&gt;0,$AQ70=""),"ENTER YIELD RATE",ROUND($AO70*$AQ70,0)))</f>
        <v>ENTER YIELD RATE</v>
      </c>
      <c r="AT70" s="39" t="n">
        <f aca="false">IF(SUM($AO70)=0,"",$AO70-SUM($AS70))</f>
        <v>5</v>
      </c>
      <c r="AU70" s="10" t="str">
        <f aca="false">IF(SUM($AS70)=0,"",ROUND($AS70*$AR70,0))</f>
        <v/>
      </c>
      <c r="AV70" s="10" t="str">
        <f aca="false">IFERROR(1/(1/SUM($AC70,$AB70,$AS70)),"")</f>
        <v/>
      </c>
      <c r="AW70" s="10" t="n">
        <f aca="false">IFERROR(1/(1/INDEX(Cascade!$BH:$BH,MATCH($E70,Cascade!$E:$E,0))),"")</f>
        <v>-96</v>
      </c>
      <c r="AX70" s="10" t="str">
        <f aca="false">IF(SUM($AC70)=0,"",$AC70)</f>
        <v/>
      </c>
      <c r="AY70" s="10" t="str">
        <f aca="false">IF(SUM($AS70)=0,"",$AS70)</f>
        <v/>
      </c>
      <c r="AZ70" s="10" t="str">
        <f aca="false">IFERROR(1/(1/INDEX(TB!$P:$P,MATCH($E70,TB!$E:$E,0))),"")</f>
        <v/>
      </c>
      <c r="BA70" s="10" t="n">
        <f aca="false">IFERROR(1/(1/(SUM($AW70)-SUM($AX70:$AZ70))),"")</f>
        <v>-96</v>
      </c>
    </row>
    <row r="71" customFormat="false" ht="15" hidden="false" customHeight="false" outlineLevel="0" collapsed="false">
      <c r="A71" s="0" t="str">
        <f aca="false">INDEX(Prioritization!$D:$D,MATCH($B71,Prioritization!$A:$A,0))</f>
        <v>INVALID</v>
      </c>
      <c r="B71" s="0" t="s">
        <v>205</v>
      </c>
      <c r="C71" s="0" t="s">
        <v>365</v>
      </c>
      <c r="D71" s="0" t="s">
        <v>30</v>
      </c>
      <c r="E71" s="0" t="str">
        <f aca="false">B71&amp;"|"&amp;C71&amp;"|"&amp;D71</f>
        <v>Karonga District [cPtvxaZqXIH]|15-24|Female</v>
      </c>
      <c r="F71" s="10" t="n">
        <f aca="false">IF(LEFT($B71,4)="_Mil","",INDEX(Cascade!$T:$T,MATCH($E71,Cascade!$E:$E,0)))</f>
        <v>1202</v>
      </c>
      <c r="G71" s="10" t="str">
        <f aca="false">IF(LEFT($B71,4)="_Mil","",INDEX(Cascade!$U:$U,MATCH($E71,Cascade!$E:$E,0)))</f>
        <v/>
      </c>
      <c r="H71" s="86" t="n">
        <f aca="false">IF(LEFT($B71,4)="_Mil","",INDEX(Cascade!$W:$W,MATCH($E71,Cascade!$E:$E,0)))</f>
        <v>1330</v>
      </c>
      <c r="I71" s="10" t="n">
        <f aca="false">IF(LEFT($B71,4)="_Mil","",INDEX(Cascade!$Z:$Z,MATCH($E71,Cascade!$E:$E,0)))</f>
        <v>1627</v>
      </c>
      <c r="J71" s="88" t="n">
        <f aca="false">IF(LEFT($B71,4)="_Mil","",INDEX(Cascade!$AA:$AA,MATCH($E71,Cascade!$E:$E,0)))</f>
        <v>1022</v>
      </c>
      <c r="K71" s="39" t="n">
        <f aca="false">IF(LEFT($B71,4)="_Mil","",_xlfn.IFNA(ROUND(INDEX(Spectrum!$N:$N,MATCH(RIGHT($B71,13)&amp;"|"&amp;$C71&amp;"|"&amp;$D71&amp;"|"&amp;K$14&amp;"|"&amp;"CY2023Q3",Spectrum!$R:$R,0)),0),""))</f>
        <v>1419</v>
      </c>
      <c r="L71" s="39" t="str">
        <f aca="false">IF(LEFT($B71,4)="_Mil","",_xlfn.IFNA(ROUND(INDEX(Spectrum!$N:$N,MATCH(RIGHT($B71,13)&amp;"|"&amp;$C71&amp;"|"&amp;$D71&amp;"|"&amp;L$14&amp;"|"&amp;"CY2023Q3",Spectrum!$R:$R,0)),0),""))</f>
        <v/>
      </c>
      <c r="M71" s="39" t="n">
        <f aca="false">IF(LEFT($B71,4)="_Mil","",_xlfn.IFNA(ROUND(INDEX(Spectrum!$N:$N,MATCH(RIGHT($B71,13)&amp;"|"&amp;$C71&amp;"|"&amp;$D71&amp;"|"&amp;M$14&amp;"|"&amp;"CY2023Q3",Spectrum!$R:$R,0)),0),""))</f>
        <v>1867</v>
      </c>
      <c r="N71" s="39" t="n">
        <f aca="false">IF(LEFT($B71,4)="_Mil","",_xlfn.IFNA(ROUND(INDEX(Spectrum!$N:$N,MATCH(RIGHT($B71,13)&amp;"|"&amp;$C71&amp;"|"&amp;$D71&amp;"|"&amp;N$14&amp;"|"&amp;"CY2023Q3",Spectrum!$R:$R,0)),0),""))</f>
        <v>651</v>
      </c>
      <c r="O71" s="39" t="n">
        <f aca="false">IF(LEFT($B71,4)="_Mil","",_xlfn.IFNA(ROUND(INDEX(Spectrum!$N:$N,MATCH(RIGHT($B71,13)&amp;"|"&amp;$C71&amp;"|"&amp;$D71&amp;"|"&amp;O$14&amp;"|"&amp;"CY2023Q3",Spectrum!$R:$R,0)),0),""))</f>
        <v>1073</v>
      </c>
      <c r="P71" s="39" t="n">
        <f aca="false">IF(LEFT($B71,4)="_Mil","",_xlfn.IFNA(ROUND(INDEX(Spectrum!$N:$N,MATCH(RIGHT($B71,13)&amp;"|"&amp;$C71&amp;"|"&amp;$D71&amp;"|"&amp;P$14&amp;"|"&amp;"CY2023Q3",Spectrum!$R:$R,0)),0),""))</f>
        <v>601</v>
      </c>
      <c r="Q71" s="39" t="str">
        <f aca="false">IF(LEFT($B71,4)="_Mil","",_xlfn.IFNA(ROUND(INDEX(Spectrum!$N:$N,MATCH(RIGHT($B71,13)&amp;"|"&amp;$C71&amp;"|"&amp;$D71&amp;"|"&amp;Q$14&amp;"|"&amp;"CY2022Q3",Spectrum!$R:$R,0)),0),""))</f>
        <v/>
      </c>
      <c r="R71" s="10"/>
      <c r="S71" s="88" t="n">
        <f aca="false">0</f>
        <v>0</v>
      </c>
      <c r="T71" s="39" t="str">
        <f aca="false">IF(SUM($R71)=0,"",ROUND($R71*(1+$S71),0))</f>
        <v/>
      </c>
      <c r="U71" s="88" t="n">
        <f aca="false">IF(LEFT($B71,4)="_Mil","",IF(SUM($K71)=0,IF(SUM($R71)=0,"",1),MIN($R71/$K71,1)))</f>
        <v>0</v>
      </c>
      <c r="V71" s="39" t="str">
        <f aca="false">IF(OR(SUM($T71)=0,LEFT($B71,4)="_Mil"),"",ROUND($T71/$U71,0))</f>
        <v/>
      </c>
      <c r="W71" s="88"/>
      <c r="X71" s="88" t="n">
        <f aca="false">IF(SUM($K71,$W71)=0,"",MAX(IFERROR(SUM($L71)/$K71,0),SUM($W71)))</f>
        <v>0</v>
      </c>
      <c r="Y71" s="88"/>
      <c r="Z71" s="88" t="n">
        <f aca="false">IF(SUM($K71,$Y71)=0,"",MIN(SUM($Y71),IFERROR(SUM($M71)/(SUM($K71)-SUM($L71)),1)))</f>
        <v>0</v>
      </c>
      <c r="AA71" s="10" t="str">
        <f aca="false">$T71</f>
        <v/>
      </c>
      <c r="AB71" s="39" t="str">
        <f aca="false">IF(SUM($AA71)=0,"",IF(AND(SUM($AA71)&gt;0,$X71=""),"ENTER KNOWN POSITIVITY RATE",ROUND($AA71*$X71,0)))</f>
        <v/>
      </c>
      <c r="AC71" s="39" t="str">
        <f aca="false">IF(SUM($AA71)=0,"",IF(AND((SUM($AA71)-SUM($AB71))&gt;0,$Z71=""),"ENTER YIELD RATE",ROUND(($AA71-SUM($AB71))*$Z71,0)))</f>
        <v/>
      </c>
      <c r="AD71" s="39" t="str">
        <f aca="false">IF(SUM($AA71)=0,"",$AA71-SUM($AB71)-SUM($AC71))</f>
        <v/>
      </c>
      <c r="AE71" s="10" t="str">
        <f aca="false">$V71</f>
        <v/>
      </c>
      <c r="AF71" s="39" t="str">
        <f aca="false">IF(SUM($AE71)=0,"",ROUND($AE71*SUM($X71),0))</f>
        <v/>
      </c>
      <c r="AG71" s="39" t="str">
        <f aca="false">IF(SUM($AE71)=0,"",ROUND(($AE71-SUM($AF71))*SUM($Z71),0))</f>
        <v/>
      </c>
      <c r="AH71" s="39" t="str">
        <f aca="false">IF(SUM($AE71)=0,"",$AE71-SUM($AF71)-SUM($AG71))</f>
        <v/>
      </c>
      <c r="AI71" s="88" t="str">
        <f aca="false">IF(SUM($AC71)=0,"",INDEX(Cascade!$BG:$BG,MATCH($E71,Cascade!$E:$E,0)))</f>
        <v/>
      </c>
      <c r="AJ71" s="39" t="str">
        <f aca="false">$AB71</f>
        <v/>
      </c>
      <c r="AK71" s="39" t="str">
        <f aca="false">IF(SUM($AC71)=0,"",IF(AND($AI71="",SUM($AC71)&gt;0),"&lt;- Enter Linkage Rate",ROUND($AC71*$AI71,0)))</f>
        <v/>
      </c>
      <c r="AL71" s="39" t="str">
        <f aca="false">IF(SUM($AF71,$AG71)=0,"",SUM($AF71,$AG71))</f>
        <v/>
      </c>
      <c r="AM71" s="39" t="str">
        <f aca="false">$AF71</f>
        <v/>
      </c>
      <c r="AN71" s="39" t="str">
        <f aca="false">IF(SUM($AG71)=0,"",ROUND($AG71*SUM($AI71),0))</f>
        <v/>
      </c>
      <c r="AO71" s="10" t="str">
        <f aca="false">IFERROR(1/(1/MAX(SUM($T71)-SUM($AB71,$AC71),$AD71)),"")</f>
        <v/>
      </c>
      <c r="AP71" s="88"/>
      <c r="AQ71" s="88" t="str">
        <f aca="false">IF($AP71="","",$AP71)</f>
        <v/>
      </c>
      <c r="AR71" s="88" t="str">
        <f aca="false">IF(SUM($AO71)=0,"",INDEX(Cascade!$BG:$BG,MATCH($E71,Cascade!$E:$E,0)))</f>
        <v/>
      </c>
      <c r="AS71" s="39" t="str">
        <f aca="false">IF(SUM($AO71)=0,"",IF(AND(SUM($AO71)&gt;0,$AQ71=""),"ENTER YIELD RATE",ROUND($AO71*$AQ71,0)))</f>
        <v/>
      </c>
      <c r="AT71" s="39" t="str">
        <f aca="false">IF(SUM($AO71)=0,"",$AO71-SUM($AS71))</f>
        <v/>
      </c>
      <c r="AU71" s="10" t="str">
        <f aca="false">IF(SUM($AS71)=0,"",ROUND($AS71*$AR71,0))</f>
        <v/>
      </c>
      <c r="AV71" s="10" t="str">
        <f aca="false">IFERROR(1/(1/SUM($AC71,$AB71,$AS71)),"")</f>
        <v/>
      </c>
      <c r="AW71" s="10" t="str">
        <f aca="false">IFERROR(1/(1/INDEX(Cascade!$BH:$BH,MATCH($E71,Cascade!$E:$E,0))),"")</f>
        <v/>
      </c>
      <c r="AX71" s="10" t="str">
        <f aca="false">IF(SUM($AC71)=0,"",$AC71)</f>
        <v/>
      </c>
      <c r="AY71" s="10" t="str">
        <f aca="false">IF(SUM($AS71)=0,"",$AS71)</f>
        <v/>
      </c>
      <c r="AZ71" s="10" t="str">
        <f aca="false">IFERROR(1/(1/INDEX(TB!$P:$P,MATCH($E71,TB!$E:$E,0))),"")</f>
        <v/>
      </c>
      <c r="BA71" s="10" t="str">
        <f aca="false">IFERROR(1/(1/(SUM($AW71)-SUM($AX71:$AZ71))),"")</f>
        <v/>
      </c>
    </row>
    <row r="72" customFormat="false" ht="15" hidden="false" customHeight="false" outlineLevel="0" collapsed="false">
      <c r="A72" s="0" t="str">
        <f aca="false">INDEX(Prioritization!$D:$D,MATCH($B72,Prioritization!$A:$A,0))</f>
        <v>INVALID</v>
      </c>
      <c r="B72" s="0" t="s">
        <v>205</v>
      </c>
      <c r="C72" s="0" t="s">
        <v>366</v>
      </c>
      <c r="D72" s="0" t="s">
        <v>30</v>
      </c>
      <c r="E72" s="0" t="str">
        <f aca="false">B72&amp;"|"&amp;C72&amp;"|"&amp;D72</f>
        <v>Karonga District [cPtvxaZqXIH]|25-34|Female</v>
      </c>
      <c r="F72" s="10" t="n">
        <f aca="false">IF(LEFT($B72,4)="_Mil","",INDEX(Cascade!$T:$T,MATCH($E72,Cascade!$E:$E,0)))</f>
        <v>905</v>
      </c>
      <c r="G72" s="10" t="str">
        <f aca="false">IF(LEFT($B72,4)="_Mil","",INDEX(Cascade!$U:$U,MATCH($E72,Cascade!$E:$E,0)))</f>
        <v/>
      </c>
      <c r="H72" s="86" t="n">
        <f aca="false">IF(LEFT($B72,4)="_Mil","",INDEX(Cascade!$W:$W,MATCH($E72,Cascade!$E:$E,0)))</f>
        <v>1493</v>
      </c>
      <c r="I72" s="10" t="n">
        <f aca="false">IF(LEFT($B72,4)="_Mil","",INDEX(Cascade!$Z:$Z,MATCH($E72,Cascade!$E:$E,0)))</f>
        <v>1672</v>
      </c>
      <c r="J72" s="88" t="n">
        <f aca="false">IF(LEFT($B72,4)="_Mil","",INDEX(Cascade!$AA:$AA,MATCH($E72,Cascade!$E:$E,0)))</f>
        <v>1236</v>
      </c>
      <c r="K72" s="39" t="n">
        <f aca="false">IF(LEFT($B72,4)="_Mil","",_xlfn.IFNA(ROUND(INDEX(Spectrum!$N:$N,MATCH(RIGHT($B72,13)&amp;"|"&amp;$C72&amp;"|"&amp;$D72&amp;"|"&amp;K$14&amp;"|"&amp;"CY2023Q3",Spectrum!$R:$R,0)),0),""))</f>
        <v>1454</v>
      </c>
      <c r="L72" s="39" t="str">
        <f aca="false">IF(LEFT($B72,4)="_Mil","",_xlfn.IFNA(ROUND(INDEX(Spectrum!$N:$N,MATCH(RIGHT($B72,13)&amp;"|"&amp;$C72&amp;"|"&amp;$D72&amp;"|"&amp;L$14&amp;"|"&amp;"CY2023Q3",Spectrum!$R:$R,0)),0),""))</f>
        <v/>
      </c>
      <c r="M72" s="39" t="n">
        <f aca="false">IF(LEFT($B72,4)="_Mil","",_xlfn.IFNA(ROUND(INDEX(Spectrum!$N:$N,MATCH(RIGHT($B72,13)&amp;"|"&amp;$C72&amp;"|"&amp;$D72&amp;"|"&amp;M$14&amp;"|"&amp;"CY2023Q3",Spectrum!$R:$R,0)),0),""))</f>
        <v>1640</v>
      </c>
      <c r="N72" s="39" t="n">
        <f aca="false">IF(LEFT($B72,4)="_Mil","",_xlfn.IFNA(ROUND(INDEX(Spectrum!$N:$N,MATCH(RIGHT($B72,13)&amp;"|"&amp;$C72&amp;"|"&amp;$D72&amp;"|"&amp;N$14&amp;"|"&amp;"CY2023Q3",Spectrum!$R:$R,0)),0),""))</f>
        <v>1740</v>
      </c>
      <c r="O72" s="39" t="n">
        <f aca="false">IF(LEFT($B72,4)="_Mil","",_xlfn.IFNA(ROUND(INDEX(Spectrum!$N:$N,MATCH(RIGHT($B72,13)&amp;"|"&amp;$C72&amp;"|"&amp;$D72&amp;"|"&amp;O$14&amp;"|"&amp;"CY2023Q3",Spectrum!$R:$R,0)),0),""))</f>
        <v>1103</v>
      </c>
      <c r="P72" s="39" t="n">
        <f aca="false">IF(LEFT($B72,4)="_Mil","",_xlfn.IFNA(ROUND(INDEX(Spectrum!$N:$N,MATCH(RIGHT($B72,13)&amp;"|"&amp;$C72&amp;"|"&amp;$D72&amp;"|"&amp;P$14&amp;"|"&amp;"CY2023Q3",Spectrum!$R:$R,0)),0),""))</f>
        <v>1061</v>
      </c>
      <c r="Q72" s="39" t="str">
        <f aca="false">IF(LEFT($B72,4)="_Mil","",_xlfn.IFNA(ROUND(INDEX(Spectrum!$N:$N,MATCH(RIGHT($B72,13)&amp;"|"&amp;$C72&amp;"|"&amp;$D72&amp;"|"&amp;Q$14&amp;"|"&amp;"CY2022Q3",Spectrum!$R:$R,0)),0),""))</f>
        <v/>
      </c>
      <c r="R72" s="10"/>
      <c r="S72" s="88" t="n">
        <f aca="false">0</f>
        <v>0</v>
      </c>
      <c r="T72" s="39" t="str">
        <f aca="false">IF(SUM($R72)=0,"",ROUND($R72*(1+$S72),0))</f>
        <v/>
      </c>
      <c r="U72" s="88" t="n">
        <f aca="false">IF(LEFT($B72,4)="_Mil","",IF(SUM($K72)=0,IF(SUM($R72)=0,"",1),MIN($R72/$K72,1)))</f>
        <v>0</v>
      </c>
      <c r="V72" s="39" t="str">
        <f aca="false">IF(OR(SUM($T72)=0,LEFT($B72,4)="_Mil"),"",ROUND($T72/$U72,0))</f>
        <v/>
      </c>
      <c r="W72" s="88"/>
      <c r="X72" s="88" t="n">
        <f aca="false">IF(SUM($K72,$W72)=0,"",MAX(IFERROR(SUM($L72)/$K72,0),SUM($W72)))</f>
        <v>0</v>
      </c>
      <c r="Y72" s="88"/>
      <c r="Z72" s="88" t="n">
        <f aca="false">IF(SUM($K72,$Y72)=0,"",MIN(SUM($Y72),IFERROR(SUM($M72)/(SUM($K72)-SUM($L72)),1)))</f>
        <v>0</v>
      </c>
      <c r="AA72" s="10" t="str">
        <f aca="false">$T72</f>
        <v/>
      </c>
      <c r="AB72" s="39" t="str">
        <f aca="false">IF(SUM($AA72)=0,"",IF(AND(SUM($AA72)&gt;0,$X72=""),"ENTER KNOWN POSITIVITY RATE",ROUND($AA72*$X72,0)))</f>
        <v/>
      </c>
      <c r="AC72" s="39" t="str">
        <f aca="false">IF(SUM($AA72)=0,"",IF(AND((SUM($AA72)-SUM($AB72))&gt;0,$Z72=""),"ENTER YIELD RATE",ROUND(($AA72-SUM($AB72))*$Z72,0)))</f>
        <v/>
      </c>
      <c r="AD72" s="39" t="str">
        <f aca="false">IF(SUM($AA72)=0,"",$AA72-SUM($AB72)-SUM($AC72))</f>
        <v/>
      </c>
      <c r="AE72" s="10" t="str">
        <f aca="false">$V72</f>
        <v/>
      </c>
      <c r="AF72" s="39" t="str">
        <f aca="false">IF(SUM($AE72)=0,"",ROUND($AE72*SUM($X72),0))</f>
        <v/>
      </c>
      <c r="AG72" s="39" t="str">
        <f aca="false">IF(SUM($AE72)=0,"",ROUND(($AE72-SUM($AF72))*SUM($Z72),0))</f>
        <v/>
      </c>
      <c r="AH72" s="39" t="str">
        <f aca="false">IF(SUM($AE72)=0,"",$AE72-SUM($AF72)-SUM($AG72))</f>
        <v/>
      </c>
      <c r="AI72" s="88" t="str">
        <f aca="false">IF(SUM($AC72)=0,"",INDEX(Cascade!$BG:$BG,MATCH($E72,Cascade!$E:$E,0)))</f>
        <v/>
      </c>
      <c r="AJ72" s="39" t="str">
        <f aca="false">$AB72</f>
        <v/>
      </c>
      <c r="AK72" s="39" t="str">
        <f aca="false">IF(SUM($AC72)=0,"",IF(AND($AI72="",SUM($AC72)&gt;0),"&lt;- Enter Linkage Rate",ROUND($AC72*$AI72,0)))</f>
        <v/>
      </c>
      <c r="AL72" s="39" t="str">
        <f aca="false">IF(SUM($AF72,$AG72)=0,"",SUM($AF72,$AG72))</f>
        <v/>
      </c>
      <c r="AM72" s="39" t="str">
        <f aca="false">$AF72</f>
        <v/>
      </c>
      <c r="AN72" s="39" t="str">
        <f aca="false">IF(SUM($AG72)=0,"",ROUND($AG72*SUM($AI72),0))</f>
        <v/>
      </c>
      <c r="AO72" s="10" t="str">
        <f aca="false">IFERROR(1/(1/MAX(SUM($T72)-SUM($AB72,$AC72),$AD72)),"")</f>
        <v/>
      </c>
      <c r="AP72" s="88"/>
      <c r="AQ72" s="88" t="str">
        <f aca="false">IF($AP72="","",$AP72)</f>
        <v/>
      </c>
      <c r="AR72" s="88" t="str">
        <f aca="false">IF(SUM($AO72)=0,"",INDEX(Cascade!$BG:$BG,MATCH($E72,Cascade!$E:$E,0)))</f>
        <v/>
      </c>
      <c r="AS72" s="39" t="str">
        <f aca="false">IF(SUM($AO72)=0,"",IF(AND(SUM($AO72)&gt;0,$AQ72=""),"ENTER YIELD RATE",ROUND($AO72*$AQ72,0)))</f>
        <v/>
      </c>
      <c r="AT72" s="39" t="str">
        <f aca="false">IF(SUM($AO72)=0,"",$AO72-SUM($AS72))</f>
        <v/>
      </c>
      <c r="AU72" s="10" t="str">
        <f aca="false">IF(SUM($AS72)=0,"",ROUND($AS72*$AR72,0))</f>
        <v/>
      </c>
      <c r="AV72" s="10" t="str">
        <f aca="false">IFERROR(1/(1/SUM($AC72,$AB72,$AS72)),"")</f>
        <v/>
      </c>
      <c r="AW72" s="10" t="str">
        <f aca="false">IFERROR(1/(1/INDEX(Cascade!$BH:$BH,MATCH($E72,Cascade!$E:$E,0))),"")</f>
        <v/>
      </c>
      <c r="AX72" s="10" t="str">
        <f aca="false">IF(SUM($AC72)=0,"",$AC72)</f>
        <v/>
      </c>
      <c r="AY72" s="10" t="str">
        <f aca="false">IF(SUM($AS72)=0,"",$AS72)</f>
        <v/>
      </c>
      <c r="AZ72" s="10" t="str">
        <f aca="false">IFERROR(1/(1/INDEX(TB!$P:$P,MATCH($E72,TB!$E:$E,0))),"")</f>
        <v/>
      </c>
      <c r="BA72" s="10" t="str">
        <f aca="false">IFERROR(1/(1/(SUM($AW72)-SUM($AX72:$AZ72))),"")</f>
        <v/>
      </c>
    </row>
    <row r="73" customFormat="false" ht="15" hidden="false" customHeight="false" outlineLevel="0" collapsed="false">
      <c r="A73" s="0" t="str">
        <f aca="false">INDEX(Prioritization!$D:$D,MATCH($B73,Prioritization!$A:$A,0))</f>
        <v>INVALID</v>
      </c>
      <c r="B73" s="0" t="s">
        <v>205</v>
      </c>
      <c r="C73" s="0" t="s">
        <v>367</v>
      </c>
      <c r="D73" s="0" t="s">
        <v>30</v>
      </c>
      <c r="E73" s="0" t="str">
        <f aca="false">B73&amp;"|"&amp;C73&amp;"|"&amp;D73</f>
        <v>Karonga District [cPtvxaZqXIH]|35-49|Female</v>
      </c>
      <c r="F73" s="10" t="n">
        <f aca="false">IF(LEFT($B73,4)="_Mil","",INDEX(Cascade!$T:$T,MATCH($E73,Cascade!$E:$E,0)))</f>
        <v>1416</v>
      </c>
      <c r="G73" s="10" t="str">
        <f aca="false">IF(LEFT($B73,4)="_Mil","",INDEX(Cascade!$U:$U,MATCH($E73,Cascade!$E:$E,0)))</f>
        <v/>
      </c>
      <c r="H73" s="86" t="n">
        <f aca="false">IF(LEFT($B73,4)="_Mil","",INDEX(Cascade!$W:$W,MATCH($E73,Cascade!$E:$E,0)))</f>
        <v>1992</v>
      </c>
      <c r="I73" s="10" t="n">
        <f aca="false">IF(LEFT($B73,4)="_Mil","",INDEX(Cascade!$Z:$Z,MATCH($E73,Cascade!$E:$E,0)))</f>
        <v>1315</v>
      </c>
      <c r="J73" s="88" t="n">
        <f aca="false">IF(LEFT($B73,4)="_Mil","",INDEX(Cascade!$AA:$AA,MATCH($E73,Cascade!$E:$E,0)))</f>
        <v>1838</v>
      </c>
      <c r="K73" s="39" t="n">
        <f aca="false">IF(LEFT($B73,4)="_Mil","",_xlfn.IFNA(ROUND(INDEX(Spectrum!$N:$N,MATCH(RIGHT($B73,13)&amp;"|"&amp;$C73&amp;"|"&amp;$D73&amp;"|"&amp;K$14&amp;"|"&amp;"CY2023Q3",Spectrum!$R:$R,0)),0),""))</f>
        <v>868</v>
      </c>
      <c r="L73" s="39" t="str">
        <f aca="false">IF(LEFT($B73,4)="_Mil","",_xlfn.IFNA(ROUND(INDEX(Spectrum!$N:$N,MATCH(RIGHT($B73,13)&amp;"|"&amp;$C73&amp;"|"&amp;$D73&amp;"|"&amp;L$14&amp;"|"&amp;"CY2023Q3",Spectrum!$R:$R,0)),0),""))</f>
        <v/>
      </c>
      <c r="M73" s="39" t="n">
        <f aca="false">IF(LEFT($B73,4)="_Mil","",_xlfn.IFNA(ROUND(INDEX(Spectrum!$N:$N,MATCH(RIGHT($B73,13)&amp;"|"&amp;$C73&amp;"|"&amp;$D73&amp;"|"&amp;M$14&amp;"|"&amp;"CY2023Q3",Spectrum!$R:$R,0)),0),""))</f>
        <v>1287</v>
      </c>
      <c r="N73" s="39" t="n">
        <f aca="false">IF(LEFT($B73,4)="_Mil","",_xlfn.IFNA(ROUND(INDEX(Spectrum!$N:$N,MATCH(RIGHT($B73,13)&amp;"|"&amp;$C73&amp;"|"&amp;$D73&amp;"|"&amp;N$14&amp;"|"&amp;"CY2023Q3",Spectrum!$R:$R,0)),0),""))</f>
        <v>922</v>
      </c>
      <c r="O73" s="39" t="n">
        <f aca="false">IF(LEFT($B73,4)="_Mil","",_xlfn.IFNA(ROUND(INDEX(Spectrum!$N:$N,MATCH(RIGHT($B73,13)&amp;"|"&amp;$C73&amp;"|"&amp;$D73&amp;"|"&amp;O$14&amp;"|"&amp;"CY2023Q3",Spectrum!$R:$R,0)),0),""))</f>
        <v>771</v>
      </c>
      <c r="P73" s="39" t="n">
        <f aca="false">IF(LEFT($B73,4)="_Mil","",_xlfn.IFNA(ROUND(INDEX(Spectrum!$N:$N,MATCH(RIGHT($B73,13)&amp;"|"&amp;$C73&amp;"|"&amp;$D73&amp;"|"&amp;P$14&amp;"|"&amp;"CY2023Q3",Spectrum!$R:$R,0)),0),""))</f>
        <v>1763</v>
      </c>
      <c r="Q73" s="39" t="str">
        <f aca="false">IF(LEFT($B73,4)="_Mil","",_xlfn.IFNA(ROUND(INDEX(Spectrum!$N:$N,MATCH(RIGHT($B73,13)&amp;"|"&amp;$C73&amp;"|"&amp;$D73&amp;"|"&amp;Q$14&amp;"|"&amp;"CY2022Q3",Spectrum!$R:$R,0)),0),""))</f>
        <v/>
      </c>
      <c r="R73" s="10"/>
      <c r="S73" s="88" t="n">
        <f aca="false">0</f>
        <v>0</v>
      </c>
      <c r="T73" s="39" t="str">
        <f aca="false">IF(SUM($R73)=0,"",ROUND($R73*(1+$S73),0))</f>
        <v/>
      </c>
      <c r="U73" s="88" t="n">
        <f aca="false">IF(LEFT($B73,4)="_Mil","",IF(SUM($K73)=0,IF(SUM($R73)=0,"",1),MIN($R73/$K73,1)))</f>
        <v>0</v>
      </c>
      <c r="V73" s="39" t="str">
        <f aca="false">IF(OR(SUM($T73)=0,LEFT($B73,4)="_Mil"),"",ROUND($T73/$U73,0))</f>
        <v/>
      </c>
      <c r="W73" s="88"/>
      <c r="X73" s="88" t="n">
        <f aca="false">IF(SUM($K73,$W73)=0,"",MAX(IFERROR(SUM($L73)/$K73,0),SUM($W73)))</f>
        <v>0</v>
      </c>
      <c r="Y73" s="88"/>
      <c r="Z73" s="88" t="n">
        <f aca="false">IF(SUM($K73,$Y73)=0,"",MIN(SUM($Y73),IFERROR(SUM($M73)/(SUM($K73)-SUM($L73)),1)))</f>
        <v>0</v>
      </c>
      <c r="AA73" s="10" t="str">
        <f aca="false">$T73</f>
        <v/>
      </c>
      <c r="AB73" s="39" t="str">
        <f aca="false">IF(SUM($AA73)=0,"",IF(AND(SUM($AA73)&gt;0,$X73=""),"ENTER KNOWN POSITIVITY RATE",ROUND($AA73*$X73,0)))</f>
        <v/>
      </c>
      <c r="AC73" s="39" t="str">
        <f aca="false">IF(SUM($AA73)=0,"",IF(AND((SUM($AA73)-SUM($AB73))&gt;0,$Z73=""),"ENTER YIELD RATE",ROUND(($AA73-SUM($AB73))*$Z73,0)))</f>
        <v/>
      </c>
      <c r="AD73" s="39" t="str">
        <f aca="false">IF(SUM($AA73)=0,"",$AA73-SUM($AB73)-SUM($AC73))</f>
        <v/>
      </c>
      <c r="AE73" s="10" t="str">
        <f aca="false">$V73</f>
        <v/>
      </c>
      <c r="AF73" s="39" t="str">
        <f aca="false">IF(SUM($AE73)=0,"",ROUND($AE73*SUM($X73),0))</f>
        <v/>
      </c>
      <c r="AG73" s="39" t="str">
        <f aca="false">IF(SUM($AE73)=0,"",ROUND(($AE73-SUM($AF73))*SUM($Z73),0))</f>
        <v/>
      </c>
      <c r="AH73" s="39" t="str">
        <f aca="false">IF(SUM($AE73)=0,"",$AE73-SUM($AF73)-SUM($AG73))</f>
        <v/>
      </c>
      <c r="AI73" s="88" t="str">
        <f aca="false">IF(SUM($AC73)=0,"",INDEX(Cascade!$BG:$BG,MATCH($E73,Cascade!$E:$E,0)))</f>
        <v/>
      </c>
      <c r="AJ73" s="39" t="str">
        <f aca="false">$AB73</f>
        <v/>
      </c>
      <c r="AK73" s="39" t="str">
        <f aca="false">IF(SUM($AC73)=0,"",IF(AND($AI73="",SUM($AC73)&gt;0),"&lt;- Enter Linkage Rate",ROUND($AC73*$AI73,0)))</f>
        <v/>
      </c>
      <c r="AL73" s="39" t="str">
        <f aca="false">IF(SUM($AF73,$AG73)=0,"",SUM($AF73,$AG73))</f>
        <v/>
      </c>
      <c r="AM73" s="39" t="str">
        <f aca="false">$AF73</f>
        <v/>
      </c>
      <c r="AN73" s="39" t="str">
        <f aca="false">IF(SUM($AG73)=0,"",ROUND($AG73*SUM($AI73),0))</f>
        <v/>
      </c>
      <c r="AO73" s="10" t="str">
        <f aca="false">IFERROR(1/(1/MAX(SUM($T73)-SUM($AB73,$AC73),$AD73)),"")</f>
        <v/>
      </c>
      <c r="AP73" s="88"/>
      <c r="AQ73" s="88" t="str">
        <f aca="false">IF($AP73="","",$AP73)</f>
        <v/>
      </c>
      <c r="AR73" s="88" t="str">
        <f aca="false">IF(SUM($AO73)=0,"",INDEX(Cascade!$BG:$BG,MATCH($E73,Cascade!$E:$E,0)))</f>
        <v/>
      </c>
      <c r="AS73" s="39" t="str">
        <f aca="false">IF(SUM($AO73)=0,"",IF(AND(SUM($AO73)&gt;0,$AQ73=""),"ENTER YIELD RATE",ROUND($AO73*$AQ73,0)))</f>
        <v/>
      </c>
      <c r="AT73" s="39" t="str">
        <f aca="false">IF(SUM($AO73)=0,"",$AO73-SUM($AS73))</f>
        <v/>
      </c>
      <c r="AU73" s="10" t="str">
        <f aca="false">IF(SUM($AS73)=0,"",ROUND($AS73*$AR73,0))</f>
        <v/>
      </c>
      <c r="AV73" s="10" t="str">
        <f aca="false">IFERROR(1/(1/SUM($AC73,$AB73,$AS73)),"")</f>
        <v/>
      </c>
      <c r="AW73" s="10" t="str">
        <f aca="false">IFERROR(1/(1/INDEX(Cascade!$BH:$BH,MATCH($E73,Cascade!$E:$E,0))),"")</f>
        <v/>
      </c>
      <c r="AX73" s="10" t="str">
        <f aca="false">IF(SUM($AC73)=0,"",$AC73)</f>
        <v/>
      </c>
      <c r="AY73" s="10" t="str">
        <f aca="false">IF(SUM($AS73)=0,"",$AS73)</f>
        <v/>
      </c>
      <c r="AZ73" s="10" t="str">
        <f aca="false">IFERROR(1/(1/INDEX(TB!$P:$P,MATCH($E73,TB!$E:$E,0))),"")</f>
        <v/>
      </c>
      <c r="BA73" s="10" t="str">
        <f aca="false">IFERROR(1/(1/(SUM($AW73)-SUM($AX73:$AZ73))),"")</f>
        <v/>
      </c>
    </row>
    <row r="74" customFormat="false" ht="15" hidden="false" customHeight="false" outlineLevel="0" collapsed="false">
      <c r="A74" s="0" t="str">
        <f aca="false">INDEX(Prioritization!$D:$D,MATCH($B74,Prioritization!$A:$A,0))</f>
        <v>INVALID</v>
      </c>
      <c r="B74" s="0" t="s">
        <v>205</v>
      </c>
      <c r="C74" s="0" t="s">
        <v>368</v>
      </c>
      <c r="D74" s="0" t="s">
        <v>30</v>
      </c>
      <c r="E74" s="0" t="str">
        <f aca="false">B74&amp;"|"&amp;C74&amp;"|"&amp;D74</f>
        <v>Karonga District [cPtvxaZqXIH]|50+|Female</v>
      </c>
      <c r="F74" s="10" t="n">
        <f aca="false">IF(LEFT($B74,4)="_Mil","",INDEX(Cascade!$T:$T,MATCH($E74,Cascade!$E:$E,0)))</f>
        <v>1745</v>
      </c>
      <c r="G74" s="10" t="str">
        <f aca="false">IF(LEFT($B74,4)="_Mil","",INDEX(Cascade!$U:$U,MATCH($E74,Cascade!$E:$E,0)))</f>
        <v/>
      </c>
      <c r="H74" s="86" t="n">
        <f aca="false">IF(LEFT($B74,4)="_Mil","",INDEX(Cascade!$W:$W,MATCH($E74,Cascade!$E:$E,0)))</f>
        <v>1324</v>
      </c>
      <c r="I74" s="10" t="n">
        <f aca="false">IF(LEFT($B74,4)="_Mil","",INDEX(Cascade!$Z:$Z,MATCH($E74,Cascade!$E:$E,0)))</f>
        <v>526</v>
      </c>
      <c r="J74" s="88" t="n">
        <f aca="false">IF(LEFT($B74,4)="_Mil","",INDEX(Cascade!$AA:$AA,MATCH($E74,Cascade!$E:$E,0)))</f>
        <v>1027</v>
      </c>
      <c r="K74" s="39" t="str">
        <f aca="false">IF(LEFT($B74,4)="_Mil","",_xlfn.IFNA(ROUND(INDEX(Spectrum!$N:$N,MATCH(RIGHT($B74,13)&amp;"|"&amp;$C74&amp;"|"&amp;$D74&amp;"|"&amp;K$14&amp;"|"&amp;"CY2023Q3",Spectrum!$R:$R,0)),0),""))</f>
        <v/>
      </c>
      <c r="L74" s="39" t="str">
        <f aca="false">IF(LEFT($B74,4)="_Mil","",_xlfn.IFNA(ROUND(INDEX(Spectrum!$N:$N,MATCH(RIGHT($B74,13)&amp;"|"&amp;$C74&amp;"|"&amp;$D74&amp;"|"&amp;L$14&amp;"|"&amp;"CY2023Q3",Spectrum!$R:$R,0)),0),""))</f>
        <v/>
      </c>
      <c r="M74" s="39" t="str">
        <f aca="false">IF(LEFT($B74,4)="_Mil","",_xlfn.IFNA(ROUND(INDEX(Spectrum!$N:$N,MATCH(RIGHT($B74,13)&amp;"|"&amp;$C74&amp;"|"&amp;$D74&amp;"|"&amp;M$14&amp;"|"&amp;"CY2023Q3",Spectrum!$R:$R,0)),0),""))</f>
        <v/>
      </c>
      <c r="N74" s="39" t="str">
        <f aca="false">IF(LEFT($B74,4)="_Mil","",_xlfn.IFNA(ROUND(INDEX(Spectrum!$N:$N,MATCH(RIGHT($B74,13)&amp;"|"&amp;$C74&amp;"|"&amp;$D74&amp;"|"&amp;N$14&amp;"|"&amp;"CY2023Q3",Spectrum!$R:$R,0)),0),""))</f>
        <v/>
      </c>
      <c r="O74" s="39" t="str">
        <f aca="false">IF(LEFT($B74,4)="_Mil","",_xlfn.IFNA(ROUND(INDEX(Spectrum!$N:$N,MATCH(RIGHT($B74,13)&amp;"|"&amp;$C74&amp;"|"&amp;$D74&amp;"|"&amp;O$14&amp;"|"&amp;"CY2023Q3",Spectrum!$R:$R,0)),0),""))</f>
        <v/>
      </c>
      <c r="P74" s="39" t="str">
        <f aca="false">IF(LEFT($B74,4)="_Mil","",_xlfn.IFNA(ROUND(INDEX(Spectrum!$N:$N,MATCH(RIGHT($B74,13)&amp;"|"&amp;$C74&amp;"|"&amp;$D74&amp;"|"&amp;P$14&amp;"|"&amp;"CY2023Q3",Spectrum!$R:$R,0)),0),""))</f>
        <v/>
      </c>
      <c r="Q74" s="39" t="str">
        <f aca="false">IF(LEFT($B74,4)="_Mil","",_xlfn.IFNA(ROUND(INDEX(Spectrum!$N:$N,MATCH(RIGHT($B74,13)&amp;"|"&amp;$C74&amp;"|"&amp;$D74&amp;"|"&amp;Q$14&amp;"|"&amp;"CY2022Q3",Spectrum!$R:$R,0)),0),""))</f>
        <v/>
      </c>
      <c r="R74" s="10"/>
      <c r="S74" s="88" t="n">
        <f aca="false">0</f>
        <v>0</v>
      </c>
      <c r="T74" s="39" t="str">
        <f aca="false">IF(SUM($R74)=0,"",ROUND($R74*(1+$S74),0))</f>
        <v/>
      </c>
      <c r="U74" s="88" t="str">
        <f aca="false">IF(LEFT($B74,4)="_Mil","",IF(SUM($K74)=0,IF(SUM($R74)=0,"",1),MIN($R74/$K74,1)))</f>
        <v/>
      </c>
      <c r="V74" s="39" t="str">
        <f aca="false">IF(OR(SUM($T74)=0,LEFT($B74,4)="_Mil"),"",ROUND($T74/$U74,0))</f>
        <v/>
      </c>
      <c r="W74" s="88"/>
      <c r="X74" s="88" t="str">
        <f aca="false">IF(SUM($K74,$W74)=0,"",MAX(IFERROR(SUM($L74)/$K74,0),SUM($W74)))</f>
        <v/>
      </c>
      <c r="Y74" s="88"/>
      <c r="Z74" s="88" t="str">
        <f aca="false">IF(SUM($K74,$Y74)=0,"",MIN(SUM($Y74),IFERROR(SUM($M74)/(SUM($K74)-SUM($L74)),1)))</f>
        <v/>
      </c>
      <c r="AA74" s="10" t="str">
        <f aca="false">$T74</f>
        <v/>
      </c>
      <c r="AB74" s="39" t="str">
        <f aca="false">IF(SUM($AA74)=0,"",IF(AND(SUM($AA74)&gt;0,$X74=""),"ENTER KNOWN POSITIVITY RATE",ROUND($AA74*$X74,0)))</f>
        <v/>
      </c>
      <c r="AC74" s="39" t="str">
        <f aca="false">IF(SUM($AA74)=0,"",IF(AND((SUM($AA74)-SUM($AB74))&gt;0,$Z74=""),"ENTER YIELD RATE",ROUND(($AA74-SUM($AB74))*$Z74,0)))</f>
        <v/>
      </c>
      <c r="AD74" s="39" t="str">
        <f aca="false">IF(SUM($AA74)=0,"",$AA74-SUM($AB74)-SUM($AC74))</f>
        <v/>
      </c>
      <c r="AE74" s="10" t="str">
        <f aca="false">$V74</f>
        <v/>
      </c>
      <c r="AF74" s="39" t="str">
        <f aca="false">IF(SUM($AE74)=0,"",ROUND($AE74*SUM($X74),0))</f>
        <v/>
      </c>
      <c r="AG74" s="39" t="str">
        <f aca="false">IF(SUM($AE74)=0,"",ROUND(($AE74-SUM($AF74))*SUM($Z74),0))</f>
        <v/>
      </c>
      <c r="AH74" s="39" t="str">
        <f aca="false">IF(SUM($AE74)=0,"",$AE74-SUM($AF74)-SUM($AG74))</f>
        <v/>
      </c>
      <c r="AI74" s="88" t="str">
        <f aca="false">IF(SUM($AC74)=0,"",INDEX(Cascade!$BG:$BG,MATCH($E74,Cascade!$E:$E,0)))</f>
        <v/>
      </c>
      <c r="AJ74" s="39" t="str">
        <f aca="false">$AB74</f>
        <v/>
      </c>
      <c r="AK74" s="39" t="str">
        <f aca="false">IF(SUM($AC74)=0,"",IF(AND($AI74="",SUM($AC74)&gt;0),"&lt;- Enter Linkage Rate",ROUND($AC74*$AI74,0)))</f>
        <v/>
      </c>
      <c r="AL74" s="39" t="str">
        <f aca="false">IF(SUM($AF74,$AG74)=0,"",SUM($AF74,$AG74))</f>
        <v/>
      </c>
      <c r="AM74" s="39" t="str">
        <f aca="false">$AF74</f>
        <v/>
      </c>
      <c r="AN74" s="39" t="str">
        <f aca="false">IF(SUM($AG74)=0,"",ROUND($AG74*SUM($AI74),0))</f>
        <v/>
      </c>
      <c r="AO74" s="10" t="str">
        <f aca="false">IFERROR(1/(1/MAX(SUM($T74)-SUM($AB74,$AC74),$AD74)),"")</f>
        <v/>
      </c>
      <c r="AP74" s="88"/>
      <c r="AQ74" s="88" t="str">
        <f aca="false">IF($AP74="","",$AP74)</f>
        <v/>
      </c>
      <c r="AR74" s="88" t="str">
        <f aca="false">IF(SUM($AO74)=0,"",INDEX(Cascade!$BG:$BG,MATCH($E74,Cascade!$E:$E,0)))</f>
        <v/>
      </c>
      <c r="AS74" s="39" t="str">
        <f aca="false">IF(SUM($AO74)=0,"",IF(AND(SUM($AO74)&gt;0,$AQ74=""),"ENTER YIELD RATE",ROUND($AO74*$AQ74,0)))</f>
        <v/>
      </c>
      <c r="AT74" s="39" t="str">
        <f aca="false">IF(SUM($AO74)=0,"",$AO74-SUM($AS74))</f>
        <v/>
      </c>
      <c r="AU74" s="10" t="str">
        <f aca="false">IF(SUM($AS74)=0,"",ROUND($AS74*$AR74,0))</f>
        <v/>
      </c>
      <c r="AV74" s="10" t="str">
        <f aca="false">IFERROR(1/(1/SUM($AC74,$AB74,$AS74)),"")</f>
        <v/>
      </c>
      <c r="AW74" s="10" t="str">
        <f aca="false">IFERROR(1/(1/INDEX(Cascade!$BH:$BH,MATCH($E74,Cascade!$E:$E,0))),"")</f>
        <v/>
      </c>
      <c r="AX74" s="10" t="str">
        <f aca="false">IF(SUM($AC74)=0,"",$AC74)</f>
        <v/>
      </c>
      <c r="AY74" s="10" t="str">
        <f aca="false">IF(SUM($AS74)=0,"",$AS74)</f>
        <v/>
      </c>
      <c r="AZ74" s="10" t="str">
        <f aca="false">IFERROR(1/(1/INDEX(TB!$P:$P,MATCH($E74,TB!$E:$E,0))),"")</f>
        <v/>
      </c>
      <c r="BA74" s="10" t="str">
        <f aca="false">IFERROR(1/(1/(SUM($AW74)-SUM($AX74:$AZ74))),"")</f>
        <v/>
      </c>
    </row>
    <row r="75" customFormat="false" ht="15" hidden="false" customHeight="false" outlineLevel="0" collapsed="false">
      <c r="A75" s="0" t="str">
        <f aca="false">INDEX(Prioritization!$D:$D,MATCH($B75,Prioritization!$A:$A,0))</f>
        <v>INVALID</v>
      </c>
      <c r="B75" s="0" t="s">
        <v>206</v>
      </c>
      <c r="C75" s="0" t="s">
        <v>364</v>
      </c>
      <c r="D75" s="0" t="s">
        <v>30</v>
      </c>
      <c r="E75" s="0" t="str">
        <f aca="false">B75&amp;"|"&amp;C75&amp;"|"&amp;D75</f>
        <v>Likoma District [ZCjuwgaMB9u]|10-14|Female</v>
      </c>
      <c r="F75" s="10" t="n">
        <f aca="false">IF(LEFT($B75,4)="_Mil","",INDEX(Cascade!$T:$T,MATCH($E75,Cascade!$E:$E,0)))</f>
        <v>1619</v>
      </c>
      <c r="G75" s="10" t="str">
        <f aca="false">IF(LEFT($B75,4)="_Mil","",INDEX(Cascade!$U:$U,MATCH($E75,Cascade!$E:$E,0)))</f>
        <v/>
      </c>
      <c r="H75" s="86" t="n">
        <f aca="false">IF(LEFT($B75,4)="_Mil","",INDEX(Cascade!$W:$W,MATCH($E75,Cascade!$E:$E,0)))</f>
        <v>1595</v>
      </c>
      <c r="I75" s="10" t="n">
        <f aca="false">IF(LEFT($B75,4)="_Mil","",INDEX(Cascade!$Z:$Z,MATCH($E75,Cascade!$E:$E,0)))</f>
        <v>1028</v>
      </c>
      <c r="J75" s="88" t="n">
        <f aca="false">IF(LEFT($B75,4)="_Mil","",INDEX(Cascade!$AA:$AA,MATCH($E75,Cascade!$E:$E,0)))</f>
        <v>1054</v>
      </c>
      <c r="K75" s="39" t="str">
        <f aca="false">IF(LEFT($B75,4)="_Mil","",_xlfn.IFNA(ROUND(INDEX(Spectrum!$N:$N,MATCH(RIGHT($B75,13)&amp;"|"&amp;$C75&amp;"|"&amp;$D75&amp;"|"&amp;K$14&amp;"|"&amp;"CY2023Q3",Spectrum!$R:$R,0)),0),""))</f>
        <v/>
      </c>
      <c r="L75" s="39" t="str">
        <f aca="false">IF(LEFT($B75,4)="_Mil","",_xlfn.IFNA(ROUND(INDEX(Spectrum!$N:$N,MATCH(RIGHT($B75,13)&amp;"|"&amp;$C75&amp;"|"&amp;$D75&amp;"|"&amp;L$14&amp;"|"&amp;"CY2023Q3",Spectrum!$R:$R,0)),0),""))</f>
        <v/>
      </c>
      <c r="M75" s="39" t="str">
        <f aca="false">IF(LEFT($B75,4)="_Mil","",_xlfn.IFNA(ROUND(INDEX(Spectrum!$N:$N,MATCH(RIGHT($B75,13)&amp;"|"&amp;$C75&amp;"|"&amp;$D75&amp;"|"&amp;M$14&amp;"|"&amp;"CY2023Q3",Spectrum!$R:$R,0)),0),""))</f>
        <v/>
      </c>
      <c r="N75" s="39" t="str">
        <f aca="false">IF(LEFT($B75,4)="_Mil","",_xlfn.IFNA(ROUND(INDEX(Spectrum!$N:$N,MATCH(RIGHT($B75,13)&amp;"|"&amp;$C75&amp;"|"&amp;$D75&amp;"|"&amp;N$14&amp;"|"&amp;"CY2023Q3",Spectrum!$R:$R,0)),0),""))</f>
        <v/>
      </c>
      <c r="O75" s="39" t="str">
        <f aca="false">IF(LEFT($B75,4)="_Mil","",_xlfn.IFNA(ROUND(INDEX(Spectrum!$N:$N,MATCH(RIGHT($B75,13)&amp;"|"&amp;$C75&amp;"|"&amp;$D75&amp;"|"&amp;O$14&amp;"|"&amp;"CY2023Q3",Spectrum!$R:$R,0)),0),""))</f>
        <v/>
      </c>
      <c r="P75" s="39" t="str">
        <f aca="false">IF(LEFT($B75,4)="_Mil","",_xlfn.IFNA(ROUND(INDEX(Spectrum!$N:$N,MATCH(RIGHT($B75,13)&amp;"|"&amp;$C75&amp;"|"&amp;$D75&amp;"|"&amp;P$14&amp;"|"&amp;"CY2023Q3",Spectrum!$R:$R,0)),0),""))</f>
        <v/>
      </c>
      <c r="Q75" s="39" t="str">
        <f aca="false">IF(LEFT($B75,4)="_Mil","",_xlfn.IFNA(ROUND(INDEX(Spectrum!$N:$N,MATCH(RIGHT($B75,13)&amp;"|"&amp;$C75&amp;"|"&amp;$D75&amp;"|"&amp;Q$14&amp;"|"&amp;"CY2022Q3",Spectrum!$R:$R,0)),0),""))</f>
        <v/>
      </c>
      <c r="R75" s="10" t="n">
        <v>0</v>
      </c>
      <c r="S75" s="88" t="n">
        <f aca="false">0</f>
        <v>0</v>
      </c>
      <c r="T75" s="39" t="str">
        <f aca="false">IF(SUM($R75)=0,"",ROUND($R75*(1+$S75),0))</f>
        <v/>
      </c>
      <c r="U75" s="88" t="str">
        <f aca="false">IF(LEFT($B75,4)="_Mil","",IF(SUM($K75)=0,IF(SUM($R75)=0,"",1),MIN($R75/$K75,1)))</f>
        <v/>
      </c>
      <c r="V75" s="39" t="str">
        <f aca="false">IF(OR(SUM($T75)=0,LEFT($B75,4)="_Mil"),"",ROUND($T75/$U75,0))</f>
        <v/>
      </c>
      <c r="W75" s="88"/>
      <c r="X75" s="88" t="str">
        <f aca="false">IF(SUM($K75,$W75)=0,"",MAX(IFERROR(SUM($L75)/$K75,0),SUM($W75)))</f>
        <v/>
      </c>
      <c r="Y75" s="88"/>
      <c r="Z75" s="88" t="str">
        <f aca="false">IF(SUM($K75,$Y75)=0,"",MIN(SUM($Y75),IFERROR(SUM($M75)/(SUM($K75)-SUM($L75)),1)))</f>
        <v/>
      </c>
      <c r="AA75" s="10" t="str">
        <f aca="false">$T75</f>
        <v/>
      </c>
      <c r="AB75" s="39" t="str">
        <f aca="false">IF(SUM($AA75)=0,"",IF(AND(SUM($AA75)&gt;0,$X75=""),"ENTER KNOWN POSITIVITY RATE",ROUND($AA75*$X75,0)))</f>
        <v/>
      </c>
      <c r="AC75" s="39" t="str">
        <f aca="false">IF(SUM($AA75)=0,"",IF(AND((SUM($AA75)-SUM($AB75))&gt;0,$Z75=""),"ENTER YIELD RATE",ROUND(($AA75-SUM($AB75))*$Z75,0)))</f>
        <v/>
      </c>
      <c r="AD75" s="39" t="str">
        <f aca="false">IF(SUM($AA75)=0,"",$AA75-SUM($AB75)-SUM($AC75))</f>
        <v/>
      </c>
      <c r="AE75" s="10" t="str">
        <f aca="false">$V75</f>
        <v/>
      </c>
      <c r="AF75" s="39" t="str">
        <f aca="false">IF(SUM($AE75)=0,"",ROUND($AE75*SUM($X75),0))</f>
        <v/>
      </c>
      <c r="AG75" s="39" t="str">
        <f aca="false">IF(SUM($AE75)=0,"",ROUND(($AE75-SUM($AF75))*SUM($Z75),0))</f>
        <v/>
      </c>
      <c r="AH75" s="39" t="str">
        <f aca="false">IF(SUM($AE75)=0,"",$AE75-SUM($AF75)-SUM($AG75))</f>
        <v/>
      </c>
      <c r="AI75" s="88" t="str">
        <f aca="false">IF(SUM($AC75)=0,"",INDEX(Cascade!$BG:$BG,MATCH($E75,Cascade!$E:$E,0)))</f>
        <v/>
      </c>
      <c r="AJ75" s="39" t="str">
        <f aca="false">$AB75</f>
        <v/>
      </c>
      <c r="AK75" s="39" t="str">
        <f aca="false">IF(SUM($AC75)=0,"",IF(AND($AI75="",SUM($AC75)&gt;0),"&lt;- Enter Linkage Rate",ROUND($AC75*$AI75,0)))</f>
        <v/>
      </c>
      <c r="AL75" s="39" t="str">
        <f aca="false">IF(SUM($AF75,$AG75)=0,"",SUM($AF75,$AG75))</f>
        <v/>
      </c>
      <c r="AM75" s="39" t="str">
        <f aca="false">$AF75</f>
        <v/>
      </c>
      <c r="AN75" s="39" t="str">
        <f aca="false">IF(SUM($AG75)=0,"",ROUND($AG75*SUM($AI75),0))</f>
        <v/>
      </c>
      <c r="AO75" s="10" t="str">
        <f aca="false">IFERROR(1/(1/MAX(SUM($T75)-SUM($AB75,$AC75),$AD75)),"")</f>
        <v/>
      </c>
      <c r="AP75" s="88"/>
      <c r="AQ75" s="88" t="str">
        <f aca="false">IF($AP75="","",$AP75)</f>
        <v/>
      </c>
      <c r="AR75" s="88" t="str">
        <f aca="false">IF(SUM($AO75)=0,"",INDEX(Cascade!$BG:$BG,MATCH($E75,Cascade!$E:$E,0)))</f>
        <v/>
      </c>
      <c r="AS75" s="39" t="str">
        <f aca="false">IF(SUM($AO75)=0,"",IF(AND(SUM($AO75)&gt;0,$AQ75=""),"ENTER YIELD RATE",ROUND($AO75*$AQ75,0)))</f>
        <v/>
      </c>
      <c r="AT75" s="39" t="str">
        <f aca="false">IF(SUM($AO75)=0,"",$AO75-SUM($AS75))</f>
        <v/>
      </c>
      <c r="AU75" s="10" t="str">
        <f aca="false">IF(SUM($AS75)=0,"",ROUND($AS75*$AR75,0))</f>
        <v/>
      </c>
      <c r="AV75" s="10" t="str">
        <f aca="false">IFERROR(1/(1/SUM($AC75,$AB75,$AS75)),"")</f>
        <v/>
      </c>
      <c r="AW75" s="10" t="n">
        <f aca="false">IFERROR(1/(1/INDEX(Cascade!$BH:$BH,MATCH($E75,Cascade!$E:$E,0))),"")</f>
        <v>-5</v>
      </c>
      <c r="AX75" s="10" t="str">
        <f aca="false">IF(SUM($AC75)=0,"",$AC75)</f>
        <v/>
      </c>
      <c r="AY75" s="10" t="str">
        <f aca="false">IF(SUM($AS75)=0,"",$AS75)</f>
        <v/>
      </c>
      <c r="AZ75" s="10" t="str">
        <f aca="false">IFERROR(1/(1/INDEX(TB!$P:$P,MATCH($E75,TB!$E:$E,0))),"")</f>
        <v/>
      </c>
      <c r="BA75" s="10" t="n">
        <f aca="false">IFERROR(1/(1/(SUM($AW75)-SUM($AX75:$AZ75))),"")</f>
        <v>-5</v>
      </c>
    </row>
    <row r="76" customFormat="false" ht="15" hidden="false" customHeight="false" outlineLevel="0" collapsed="false">
      <c r="A76" s="0" t="str">
        <f aca="false">INDEX(Prioritization!$D:$D,MATCH($B76,Prioritization!$A:$A,0))</f>
        <v>INVALID</v>
      </c>
      <c r="B76" s="0" t="s">
        <v>206</v>
      </c>
      <c r="C76" s="0" t="s">
        <v>365</v>
      </c>
      <c r="D76" s="0" t="s">
        <v>30</v>
      </c>
      <c r="E76" s="0" t="str">
        <f aca="false">B76&amp;"|"&amp;C76&amp;"|"&amp;D76</f>
        <v>Likoma District [ZCjuwgaMB9u]|15-24|Female</v>
      </c>
      <c r="F76" s="10" t="n">
        <f aca="false">IF(LEFT($B76,4)="_Mil","",INDEX(Cascade!$T:$T,MATCH($E76,Cascade!$E:$E,0)))</f>
        <v>1154</v>
      </c>
      <c r="G76" s="10" t="str">
        <f aca="false">IF(LEFT($B76,4)="_Mil","",INDEX(Cascade!$U:$U,MATCH($E76,Cascade!$E:$E,0)))</f>
        <v/>
      </c>
      <c r="H76" s="86" t="n">
        <f aca="false">IF(LEFT($B76,4)="_Mil","",INDEX(Cascade!$W:$W,MATCH($E76,Cascade!$E:$E,0)))</f>
        <v>974</v>
      </c>
      <c r="I76" s="10" t="n">
        <f aca="false">IF(LEFT($B76,4)="_Mil","",INDEX(Cascade!$Z:$Z,MATCH($E76,Cascade!$E:$E,0)))</f>
        <v>701</v>
      </c>
      <c r="J76" s="88" t="n">
        <f aca="false">IF(LEFT($B76,4)="_Mil","",INDEX(Cascade!$AA:$AA,MATCH($E76,Cascade!$E:$E,0)))</f>
        <v>953</v>
      </c>
      <c r="K76" s="39" t="n">
        <f aca="false">IF(LEFT($B76,4)="_Mil","",_xlfn.IFNA(ROUND(INDEX(Spectrum!$N:$N,MATCH(RIGHT($B76,13)&amp;"|"&amp;$C76&amp;"|"&amp;$D76&amp;"|"&amp;K$14&amp;"|"&amp;"CY2023Q3",Spectrum!$R:$R,0)),0),""))</f>
        <v>1217</v>
      </c>
      <c r="L76" s="39" t="str">
        <f aca="false">IF(LEFT($B76,4)="_Mil","",_xlfn.IFNA(ROUND(INDEX(Spectrum!$N:$N,MATCH(RIGHT($B76,13)&amp;"|"&amp;$C76&amp;"|"&amp;$D76&amp;"|"&amp;L$14&amp;"|"&amp;"CY2023Q3",Spectrum!$R:$R,0)),0),""))</f>
        <v/>
      </c>
      <c r="M76" s="39" t="n">
        <f aca="false">IF(LEFT($B76,4)="_Mil","",_xlfn.IFNA(ROUND(INDEX(Spectrum!$N:$N,MATCH(RIGHT($B76,13)&amp;"|"&amp;$C76&amp;"|"&amp;$D76&amp;"|"&amp;M$14&amp;"|"&amp;"CY2023Q3",Spectrum!$R:$R,0)),0),""))</f>
        <v>1079</v>
      </c>
      <c r="N76" s="39" t="n">
        <f aca="false">IF(LEFT($B76,4)="_Mil","",_xlfn.IFNA(ROUND(INDEX(Spectrum!$N:$N,MATCH(RIGHT($B76,13)&amp;"|"&amp;$C76&amp;"|"&amp;$D76&amp;"|"&amp;N$14&amp;"|"&amp;"CY2023Q3",Spectrum!$R:$R,0)),0),""))</f>
        <v>1672</v>
      </c>
      <c r="O76" s="39" t="n">
        <f aca="false">IF(LEFT($B76,4)="_Mil","",_xlfn.IFNA(ROUND(INDEX(Spectrum!$N:$N,MATCH(RIGHT($B76,13)&amp;"|"&amp;$C76&amp;"|"&amp;$D76&amp;"|"&amp;O$14&amp;"|"&amp;"CY2023Q3",Spectrum!$R:$R,0)),0),""))</f>
        <v>1710</v>
      </c>
      <c r="P76" s="39" t="n">
        <f aca="false">IF(LEFT($B76,4)="_Mil","",_xlfn.IFNA(ROUND(INDEX(Spectrum!$N:$N,MATCH(RIGHT($B76,13)&amp;"|"&amp;$C76&amp;"|"&amp;$D76&amp;"|"&amp;P$14&amp;"|"&amp;"CY2023Q3",Spectrum!$R:$R,0)),0),""))</f>
        <v>1572</v>
      </c>
      <c r="Q76" s="39" t="str">
        <f aca="false">IF(LEFT($B76,4)="_Mil","",_xlfn.IFNA(ROUND(INDEX(Spectrum!$N:$N,MATCH(RIGHT($B76,13)&amp;"|"&amp;$C76&amp;"|"&amp;$D76&amp;"|"&amp;Q$14&amp;"|"&amp;"CY2022Q3",Spectrum!$R:$R,0)),0),""))</f>
        <v/>
      </c>
      <c r="R76" s="10"/>
      <c r="S76" s="88" t="n">
        <f aca="false">0</f>
        <v>0</v>
      </c>
      <c r="T76" s="39" t="str">
        <f aca="false">IF(SUM($R76)=0,"",ROUND($R76*(1+$S76),0))</f>
        <v/>
      </c>
      <c r="U76" s="88" t="n">
        <f aca="false">IF(LEFT($B76,4)="_Mil","",IF(SUM($K76)=0,IF(SUM($R76)=0,"",1),MIN($R76/$K76,1)))</f>
        <v>0</v>
      </c>
      <c r="V76" s="39" t="str">
        <f aca="false">IF(OR(SUM($T76)=0,LEFT($B76,4)="_Mil"),"",ROUND($T76/$U76,0))</f>
        <v/>
      </c>
      <c r="W76" s="88"/>
      <c r="X76" s="88" t="n">
        <f aca="false">IF(SUM($K76,$W76)=0,"",MAX(IFERROR(SUM($L76)/$K76,0),SUM($W76)))</f>
        <v>0</v>
      </c>
      <c r="Y76" s="88"/>
      <c r="Z76" s="88" t="n">
        <f aca="false">IF(SUM($K76,$Y76)=0,"",MIN(SUM($Y76),IFERROR(SUM($M76)/(SUM($K76)-SUM($L76)),1)))</f>
        <v>0</v>
      </c>
      <c r="AA76" s="10" t="str">
        <f aca="false">$T76</f>
        <v/>
      </c>
      <c r="AB76" s="39" t="str">
        <f aca="false">IF(SUM($AA76)=0,"",IF(AND(SUM($AA76)&gt;0,$X76=""),"ENTER KNOWN POSITIVITY RATE",ROUND($AA76*$X76,0)))</f>
        <v/>
      </c>
      <c r="AC76" s="39" t="str">
        <f aca="false">IF(SUM($AA76)=0,"",IF(AND((SUM($AA76)-SUM($AB76))&gt;0,$Z76=""),"ENTER YIELD RATE",ROUND(($AA76-SUM($AB76))*$Z76,0)))</f>
        <v/>
      </c>
      <c r="AD76" s="39" t="str">
        <f aca="false">IF(SUM($AA76)=0,"",$AA76-SUM($AB76)-SUM($AC76))</f>
        <v/>
      </c>
      <c r="AE76" s="10" t="str">
        <f aca="false">$V76</f>
        <v/>
      </c>
      <c r="AF76" s="39" t="str">
        <f aca="false">IF(SUM($AE76)=0,"",ROUND($AE76*SUM($X76),0))</f>
        <v/>
      </c>
      <c r="AG76" s="39" t="str">
        <f aca="false">IF(SUM($AE76)=0,"",ROUND(($AE76-SUM($AF76))*SUM($Z76),0))</f>
        <v/>
      </c>
      <c r="AH76" s="39" t="str">
        <f aca="false">IF(SUM($AE76)=0,"",$AE76-SUM($AF76)-SUM($AG76))</f>
        <v/>
      </c>
      <c r="AI76" s="88" t="str">
        <f aca="false">IF(SUM($AC76)=0,"",INDEX(Cascade!$BG:$BG,MATCH($E76,Cascade!$E:$E,0)))</f>
        <v/>
      </c>
      <c r="AJ76" s="39" t="str">
        <f aca="false">$AB76</f>
        <v/>
      </c>
      <c r="AK76" s="39" t="str">
        <f aca="false">IF(SUM($AC76)=0,"",IF(AND($AI76="",SUM($AC76)&gt;0),"&lt;- Enter Linkage Rate",ROUND($AC76*$AI76,0)))</f>
        <v/>
      </c>
      <c r="AL76" s="39" t="str">
        <f aca="false">IF(SUM($AF76,$AG76)=0,"",SUM($AF76,$AG76))</f>
        <v/>
      </c>
      <c r="AM76" s="39" t="str">
        <f aca="false">$AF76</f>
        <v/>
      </c>
      <c r="AN76" s="39" t="str">
        <f aca="false">IF(SUM($AG76)=0,"",ROUND($AG76*SUM($AI76),0))</f>
        <v/>
      </c>
      <c r="AO76" s="10" t="str">
        <f aca="false">IFERROR(1/(1/MAX(SUM($T76)-SUM($AB76,$AC76),$AD76)),"")</f>
        <v/>
      </c>
      <c r="AP76" s="88"/>
      <c r="AQ76" s="88" t="str">
        <f aca="false">IF($AP76="","",$AP76)</f>
        <v/>
      </c>
      <c r="AR76" s="88" t="str">
        <f aca="false">IF(SUM($AO76)=0,"",INDEX(Cascade!$BG:$BG,MATCH($E76,Cascade!$E:$E,0)))</f>
        <v/>
      </c>
      <c r="AS76" s="39" t="str">
        <f aca="false">IF(SUM($AO76)=0,"",IF(AND(SUM($AO76)&gt;0,$AQ76=""),"ENTER YIELD RATE",ROUND($AO76*$AQ76,0)))</f>
        <v/>
      </c>
      <c r="AT76" s="39" t="str">
        <f aca="false">IF(SUM($AO76)=0,"",$AO76-SUM($AS76))</f>
        <v/>
      </c>
      <c r="AU76" s="10" t="str">
        <f aca="false">IF(SUM($AS76)=0,"",ROUND($AS76*$AR76,0))</f>
        <v/>
      </c>
      <c r="AV76" s="10" t="str">
        <f aca="false">IFERROR(1/(1/SUM($AC76,$AB76,$AS76)),"")</f>
        <v/>
      </c>
      <c r="AW76" s="10" t="str">
        <f aca="false">IFERROR(1/(1/INDEX(Cascade!$BH:$BH,MATCH($E76,Cascade!$E:$E,0))),"")</f>
        <v/>
      </c>
      <c r="AX76" s="10" t="str">
        <f aca="false">IF(SUM($AC76)=0,"",$AC76)</f>
        <v/>
      </c>
      <c r="AY76" s="10" t="str">
        <f aca="false">IF(SUM($AS76)=0,"",$AS76)</f>
        <v/>
      </c>
      <c r="AZ76" s="10" t="str">
        <f aca="false">IFERROR(1/(1/INDEX(TB!$P:$P,MATCH($E76,TB!$E:$E,0))),"")</f>
        <v/>
      </c>
      <c r="BA76" s="10" t="str">
        <f aca="false">IFERROR(1/(1/(SUM($AW76)-SUM($AX76:$AZ76))),"")</f>
        <v/>
      </c>
    </row>
    <row r="77" customFormat="false" ht="15" hidden="false" customHeight="false" outlineLevel="0" collapsed="false">
      <c r="A77" s="0" t="str">
        <f aca="false">INDEX(Prioritization!$D:$D,MATCH($B77,Prioritization!$A:$A,0))</f>
        <v>INVALID</v>
      </c>
      <c r="B77" s="0" t="s">
        <v>206</v>
      </c>
      <c r="C77" s="0" t="s">
        <v>366</v>
      </c>
      <c r="D77" s="0" t="s">
        <v>30</v>
      </c>
      <c r="E77" s="0" t="str">
        <f aca="false">B77&amp;"|"&amp;C77&amp;"|"&amp;D77</f>
        <v>Likoma District [ZCjuwgaMB9u]|25-34|Female</v>
      </c>
      <c r="F77" s="10" t="n">
        <f aca="false">IF(LEFT($B77,4)="_Mil","",INDEX(Cascade!$T:$T,MATCH($E77,Cascade!$E:$E,0)))</f>
        <v>865</v>
      </c>
      <c r="G77" s="10" t="str">
        <f aca="false">IF(LEFT($B77,4)="_Mil","",INDEX(Cascade!$U:$U,MATCH($E77,Cascade!$E:$E,0)))</f>
        <v/>
      </c>
      <c r="H77" s="86" t="n">
        <f aca="false">IF(LEFT($B77,4)="_Mil","",INDEX(Cascade!$W:$W,MATCH($E77,Cascade!$E:$E,0)))</f>
        <v>1175</v>
      </c>
      <c r="I77" s="10" t="n">
        <f aca="false">IF(LEFT($B77,4)="_Mil","",INDEX(Cascade!$Z:$Z,MATCH($E77,Cascade!$E:$E,0)))</f>
        <v>1199</v>
      </c>
      <c r="J77" s="88" t="n">
        <f aca="false">IF(LEFT($B77,4)="_Mil","",INDEX(Cascade!$AA:$AA,MATCH($E77,Cascade!$E:$E,0)))</f>
        <v>507</v>
      </c>
      <c r="K77" s="39" t="n">
        <f aca="false">IF(LEFT($B77,4)="_Mil","",_xlfn.IFNA(ROUND(INDEX(Spectrum!$N:$N,MATCH(RIGHT($B77,13)&amp;"|"&amp;$C77&amp;"|"&amp;$D77&amp;"|"&amp;K$14&amp;"|"&amp;"CY2023Q3",Spectrum!$R:$R,0)),0),""))</f>
        <v>1005</v>
      </c>
      <c r="L77" s="39" t="str">
        <f aca="false">IF(LEFT($B77,4)="_Mil","",_xlfn.IFNA(ROUND(INDEX(Spectrum!$N:$N,MATCH(RIGHT($B77,13)&amp;"|"&amp;$C77&amp;"|"&amp;$D77&amp;"|"&amp;L$14&amp;"|"&amp;"CY2023Q3",Spectrum!$R:$R,0)),0),""))</f>
        <v/>
      </c>
      <c r="M77" s="39" t="n">
        <f aca="false">IF(LEFT($B77,4)="_Mil","",_xlfn.IFNA(ROUND(INDEX(Spectrum!$N:$N,MATCH(RIGHT($B77,13)&amp;"|"&amp;$C77&amp;"|"&amp;$D77&amp;"|"&amp;M$14&amp;"|"&amp;"CY2023Q3",Spectrum!$R:$R,0)),0),""))</f>
        <v>1667</v>
      </c>
      <c r="N77" s="39" t="n">
        <f aca="false">IF(LEFT($B77,4)="_Mil","",_xlfn.IFNA(ROUND(INDEX(Spectrum!$N:$N,MATCH(RIGHT($B77,13)&amp;"|"&amp;$C77&amp;"|"&amp;$D77&amp;"|"&amp;N$14&amp;"|"&amp;"CY2023Q3",Spectrum!$R:$R,0)),0),""))</f>
        <v>785</v>
      </c>
      <c r="O77" s="39" t="n">
        <f aca="false">IF(LEFT($B77,4)="_Mil","",_xlfn.IFNA(ROUND(INDEX(Spectrum!$N:$N,MATCH(RIGHT($B77,13)&amp;"|"&amp;$C77&amp;"|"&amp;$D77&amp;"|"&amp;O$14&amp;"|"&amp;"CY2023Q3",Spectrum!$R:$R,0)),0),""))</f>
        <v>1845</v>
      </c>
      <c r="P77" s="39" t="n">
        <f aca="false">IF(LEFT($B77,4)="_Mil","",_xlfn.IFNA(ROUND(INDEX(Spectrum!$N:$N,MATCH(RIGHT($B77,13)&amp;"|"&amp;$C77&amp;"|"&amp;$D77&amp;"|"&amp;P$14&amp;"|"&amp;"CY2023Q3",Spectrum!$R:$R,0)),0),""))</f>
        <v>994</v>
      </c>
      <c r="Q77" s="39" t="str">
        <f aca="false">IF(LEFT($B77,4)="_Mil","",_xlfn.IFNA(ROUND(INDEX(Spectrum!$N:$N,MATCH(RIGHT($B77,13)&amp;"|"&amp;$C77&amp;"|"&amp;$D77&amp;"|"&amp;Q$14&amp;"|"&amp;"CY2022Q3",Spectrum!$R:$R,0)),0),""))</f>
        <v/>
      </c>
      <c r="R77" s="10"/>
      <c r="S77" s="88" t="n">
        <f aca="false">0</f>
        <v>0</v>
      </c>
      <c r="T77" s="39" t="str">
        <f aca="false">IF(SUM($R77)=0,"",ROUND($R77*(1+$S77),0))</f>
        <v/>
      </c>
      <c r="U77" s="88" t="n">
        <f aca="false">IF(LEFT($B77,4)="_Mil","",IF(SUM($K77)=0,IF(SUM($R77)=0,"",1),MIN($R77/$K77,1)))</f>
        <v>0</v>
      </c>
      <c r="V77" s="39" t="str">
        <f aca="false">IF(OR(SUM($T77)=0,LEFT($B77,4)="_Mil"),"",ROUND($T77/$U77,0))</f>
        <v/>
      </c>
      <c r="W77" s="88"/>
      <c r="X77" s="88" t="n">
        <f aca="false">IF(SUM($K77,$W77)=0,"",MAX(IFERROR(SUM($L77)/$K77,0),SUM($W77)))</f>
        <v>0</v>
      </c>
      <c r="Y77" s="88"/>
      <c r="Z77" s="88" t="n">
        <f aca="false">IF(SUM($K77,$Y77)=0,"",MIN(SUM($Y77),IFERROR(SUM($M77)/(SUM($K77)-SUM($L77)),1)))</f>
        <v>0</v>
      </c>
      <c r="AA77" s="10" t="str">
        <f aca="false">$T77</f>
        <v/>
      </c>
      <c r="AB77" s="39" t="str">
        <f aca="false">IF(SUM($AA77)=0,"",IF(AND(SUM($AA77)&gt;0,$X77=""),"ENTER KNOWN POSITIVITY RATE",ROUND($AA77*$X77,0)))</f>
        <v/>
      </c>
      <c r="AC77" s="39" t="str">
        <f aca="false">IF(SUM($AA77)=0,"",IF(AND((SUM($AA77)-SUM($AB77))&gt;0,$Z77=""),"ENTER YIELD RATE",ROUND(($AA77-SUM($AB77))*$Z77,0)))</f>
        <v/>
      </c>
      <c r="AD77" s="39" t="str">
        <f aca="false">IF(SUM($AA77)=0,"",$AA77-SUM($AB77)-SUM($AC77))</f>
        <v/>
      </c>
      <c r="AE77" s="10" t="str">
        <f aca="false">$V77</f>
        <v/>
      </c>
      <c r="AF77" s="39" t="str">
        <f aca="false">IF(SUM($AE77)=0,"",ROUND($AE77*SUM($X77),0))</f>
        <v/>
      </c>
      <c r="AG77" s="39" t="str">
        <f aca="false">IF(SUM($AE77)=0,"",ROUND(($AE77-SUM($AF77))*SUM($Z77),0))</f>
        <v/>
      </c>
      <c r="AH77" s="39" t="str">
        <f aca="false">IF(SUM($AE77)=0,"",$AE77-SUM($AF77)-SUM($AG77))</f>
        <v/>
      </c>
      <c r="AI77" s="88" t="str">
        <f aca="false">IF(SUM($AC77)=0,"",INDEX(Cascade!$BG:$BG,MATCH($E77,Cascade!$E:$E,0)))</f>
        <v/>
      </c>
      <c r="AJ77" s="39" t="str">
        <f aca="false">$AB77</f>
        <v/>
      </c>
      <c r="AK77" s="39" t="str">
        <f aca="false">IF(SUM($AC77)=0,"",IF(AND($AI77="",SUM($AC77)&gt;0),"&lt;- Enter Linkage Rate",ROUND($AC77*$AI77,0)))</f>
        <v/>
      </c>
      <c r="AL77" s="39" t="str">
        <f aca="false">IF(SUM($AF77,$AG77)=0,"",SUM($AF77,$AG77))</f>
        <v/>
      </c>
      <c r="AM77" s="39" t="str">
        <f aca="false">$AF77</f>
        <v/>
      </c>
      <c r="AN77" s="39" t="str">
        <f aca="false">IF(SUM($AG77)=0,"",ROUND($AG77*SUM($AI77),0))</f>
        <v/>
      </c>
      <c r="AO77" s="10" t="str">
        <f aca="false">IFERROR(1/(1/MAX(SUM($T77)-SUM($AB77,$AC77),$AD77)),"")</f>
        <v/>
      </c>
      <c r="AP77" s="88"/>
      <c r="AQ77" s="88" t="str">
        <f aca="false">IF($AP77="","",$AP77)</f>
        <v/>
      </c>
      <c r="AR77" s="88" t="str">
        <f aca="false">IF(SUM($AO77)=0,"",INDEX(Cascade!$BG:$BG,MATCH($E77,Cascade!$E:$E,0)))</f>
        <v/>
      </c>
      <c r="AS77" s="39" t="str">
        <f aca="false">IF(SUM($AO77)=0,"",IF(AND(SUM($AO77)&gt;0,$AQ77=""),"ENTER YIELD RATE",ROUND($AO77*$AQ77,0)))</f>
        <v/>
      </c>
      <c r="AT77" s="39" t="str">
        <f aca="false">IF(SUM($AO77)=0,"",$AO77-SUM($AS77))</f>
        <v/>
      </c>
      <c r="AU77" s="10" t="str">
        <f aca="false">IF(SUM($AS77)=0,"",ROUND($AS77*$AR77,0))</f>
        <v/>
      </c>
      <c r="AV77" s="10" t="str">
        <f aca="false">IFERROR(1/(1/SUM($AC77,$AB77,$AS77)),"")</f>
        <v/>
      </c>
      <c r="AW77" s="10" t="str">
        <f aca="false">IFERROR(1/(1/INDEX(Cascade!$BH:$BH,MATCH($E77,Cascade!$E:$E,0))),"")</f>
        <v/>
      </c>
      <c r="AX77" s="10" t="str">
        <f aca="false">IF(SUM($AC77)=0,"",$AC77)</f>
        <v/>
      </c>
      <c r="AY77" s="10" t="str">
        <f aca="false">IF(SUM($AS77)=0,"",$AS77)</f>
        <v/>
      </c>
      <c r="AZ77" s="10" t="str">
        <f aca="false">IFERROR(1/(1/INDEX(TB!$P:$P,MATCH($E77,TB!$E:$E,0))),"")</f>
        <v/>
      </c>
      <c r="BA77" s="10" t="str">
        <f aca="false">IFERROR(1/(1/(SUM($AW77)-SUM($AX77:$AZ77))),"")</f>
        <v/>
      </c>
    </row>
    <row r="78" customFormat="false" ht="15" hidden="false" customHeight="false" outlineLevel="0" collapsed="false">
      <c r="A78" s="0" t="str">
        <f aca="false">INDEX(Prioritization!$D:$D,MATCH($B78,Prioritization!$A:$A,0))</f>
        <v>INVALID</v>
      </c>
      <c r="B78" s="0" t="s">
        <v>206</v>
      </c>
      <c r="C78" s="0" t="s">
        <v>367</v>
      </c>
      <c r="D78" s="0" t="s">
        <v>30</v>
      </c>
      <c r="E78" s="0" t="str">
        <f aca="false">B78&amp;"|"&amp;C78&amp;"|"&amp;D78</f>
        <v>Likoma District [ZCjuwgaMB9u]|35-49|Female</v>
      </c>
      <c r="F78" s="10" t="n">
        <f aca="false">IF(LEFT($B78,4)="_Mil","",INDEX(Cascade!$T:$T,MATCH($E78,Cascade!$E:$E,0)))</f>
        <v>1334</v>
      </c>
      <c r="G78" s="10" t="str">
        <f aca="false">IF(LEFT($B78,4)="_Mil","",INDEX(Cascade!$U:$U,MATCH($E78,Cascade!$E:$E,0)))</f>
        <v/>
      </c>
      <c r="H78" s="86" t="n">
        <f aca="false">IF(LEFT($B78,4)="_Mil","",INDEX(Cascade!$W:$W,MATCH($E78,Cascade!$E:$E,0)))</f>
        <v>1895</v>
      </c>
      <c r="I78" s="10" t="n">
        <f aca="false">IF(LEFT($B78,4)="_Mil","",INDEX(Cascade!$Z:$Z,MATCH($E78,Cascade!$E:$E,0)))</f>
        <v>927</v>
      </c>
      <c r="J78" s="88" t="n">
        <f aca="false">IF(LEFT($B78,4)="_Mil","",INDEX(Cascade!$AA:$AA,MATCH($E78,Cascade!$E:$E,0)))</f>
        <v>727</v>
      </c>
      <c r="K78" s="39" t="n">
        <f aca="false">IF(LEFT($B78,4)="_Mil","",_xlfn.IFNA(ROUND(INDEX(Spectrum!$N:$N,MATCH(RIGHT($B78,13)&amp;"|"&amp;$C78&amp;"|"&amp;$D78&amp;"|"&amp;K$14&amp;"|"&amp;"CY2023Q3",Spectrum!$R:$R,0)),0),""))</f>
        <v>1638</v>
      </c>
      <c r="L78" s="39" t="str">
        <f aca="false">IF(LEFT($B78,4)="_Mil","",_xlfn.IFNA(ROUND(INDEX(Spectrum!$N:$N,MATCH(RIGHT($B78,13)&amp;"|"&amp;$C78&amp;"|"&amp;$D78&amp;"|"&amp;L$14&amp;"|"&amp;"CY2023Q3",Spectrum!$R:$R,0)),0),""))</f>
        <v/>
      </c>
      <c r="M78" s="39" t="n">
        <f aca="false">IF(LEFT($B78,4)="_Mil","",_xlfn.IFNA(ROUND(INDEX(Spectrum!$N:$N,MATCH(RIGHT($B78,13)&amp;"|"&amp;$C78&amp;"|"&amp;$D78&amp;"|"&amp;M$14&amp;"|"&amp;"CY2023Q3",Spectrum!$R:$R,0)),0),""))</f>
        <v>835</v>
      </c>
      <c r="N78" s="39" t="n">
        <f aca="false">IF(LEFT($B78,4)="_Mil","",_xlfn.IFNA(ROUND(INDEX(Spectrum!$N:$N,MATCH(RIGHT($B78,13)&amp;"|"&amp;$C78&amp;"|"&amp;$D78&amp;"|"&amp;N$14&amp;"|"&amp;"CY2023Q3",Spectrum!$R:$R,0)),0),""))</f>
        <v>1347</v>
      </c>
      <c r="O78" s="39" t="n">
        <f aca="false">IF(LEFT($B78,4)="_Mil","",_xlfn.IFNA(ROUND(INDEX(Spectrum!$N:$N,MATCH(RIGHT($B78,13)&amp;"|"&amp;$C78&amp;"|"&amp;$D78&amp;"|"&amp;O$14&amp;"|"&amp;"CY2023Q3",Spectrum!$R:$R,0)),0),""))</f>
        <v>1220</v>
      </c>
      <c r="P78" s="39" t="n">
        <f aca="false">IF(LEFT($B78,4)="_Mil","",_xlfn.IFNA(ROUND(INDEX(Spectrum!$N:$N,MATCH(RIGHT($B78,13)&amp;"|"&amp;$C78&amp;"|"&amp;$D78&amp;"|"&amp;P$14&amp;"|"&amp;"CY2023Q3",Spectrum!$R:$R,0)),0),""))</f>
        <v>953</v>
      </c>
      <c r="Q78" s="39" t="str">
        <f aca="false">IF(LEFT($B78,4)="_Mil","",_xlfn.IFNA(ROUND(INDEX(Spectrum!$N:$N,MATCH(RIGHT($B78,13)&amp;"|"&amp;$C78&amp;"|"&amp;$D78&amp;"|"&amp;Q$14&amp;"|"&amp;"CY2022Q3",Spectrum!$R:$R,0)),0),""))</f>
        <v/>
      </c>
      <c r="R78" s="10"/>
      <c r="S78" s="88" t="n">
        <f aca="false">0</f>
        <v>0</v>
      </c>
      <c r="T78" s="39" t="str">
        <f aca="false">IF(SUM($R78)=0,"",ROUND($R78*(1+$S78),0))</f>
        <v/>
      </c>
      <c r="U78" s="88" t="n">
        <f aca="false">IF(LEFT($B78,4)="_Mil","",IF(SUM($K78)=0,IF(SUM($R78)=0,"",1),MIN($R78/$K78,1)))</f>
        <v>0</v>
      </c>
      <c r="V78" s="39" t="str">
        <f aca="false">IF(OR(SUM($T78)=0,LEFT($B78,4)="_Mil"),"",ROUND($T78/$U78,0))</f>
        <v/>
      </c>
      <c r="W78" s="88"/>
      <c r="X78" s="88" t="n">
        <f aca="false">IF(SUM($K78,$W78)=0,"",MAX(IFERROR(SUM($L78)/$K78,0),SUM($W78)))</f>
        <v>0</v>
      </c>
      <c r="Y78" s="88"/>
      <c r="Z78" s="88" t="n">
        <f aca="false">IF(SUM($K78,$Y78)=0,"",MIN(SUM($Y78),IFERROR(SUM($M78)/(SUM($K78)-SUM($L78)),1)))</f>
        <v>0</v>
      </c>
      <c r="AA78" s="10" t="str">
        <f aca="false">$T78</f>
        <v/>
      </c>
      <c r="AB78" s="39" t="str">
        <f aca="false">IF(SUM($AA78)=0,"",IF(AND(SUM($AA78)&gt;0,$X78=""),"ENTER KNOWN POSITIVITY RATE",ROUND($AA78*$X78,0)))</f>
        <v/>
      </c>
      <c r="AC78" s="39" t="str">
        <f aca="false">IF(SUM($AA78)=0,"",IF(AND((SUM($AA78)-SUM($AB78))&gt;0,$Z78=""),"ENTER YIELD RATE",ROUND(($AA78-SUM($AB78))*$Z78,0)))</f>
        <v/>
      </c>
      <c r="AD78" s="39" t="str">
        <f aca="false">IF(SUM($AA78)=0,"",$AA78-SUM($AB78)-SUM($AC78))</f>
        <v/>
      </c>
      <c r="AE78" s="10" t="str">
        <f aca="false">$V78</f>
        <v/>
      </c>
      <c r="AF78" s="39" t="str">
        <f aca="false">IF(SUM($AE78)=0,"",ROUND($AE78*SUM($X78),0))</f>
        <v/>
      </c>
      <c r="AG78" s="39" t="str">
        <f aca="false">IF(SUM($AE78)=0,"",ROUND(($AE78-SUM($AF78))*SUM($Z78),0))</f>
        <v/>
      </c>
      <c r="AH78" s="39" t="str">
        <f aca="false">IF(SUM($AE78)=0,"",$AE78-SUM($AF78)-SUM($AG78))</f>
        <v/>
      </c>
      <c r="AI78" s="88" t="str">
        <f aca="false">IF(SUM($AC78)=0,"",INDEX(Cascade!$BG:$BG,MATCH($E78,Cascade!$E:$E,0)))</f>
        <v/>
      </c>
      <c r="AJ78" s="39" t="str">
        <f aca="false">$AB78</f>
        <v/>
      </c>
      <c r="AK78" s="39" t="str">
        <f aca="false">IF(SUM($AC78)=0,"",IF(AND($AI78="",SUM($AC78)&gt;0),"&lt;- Enter Linkage Rate",ROUND($AC78*$AI78,0)))</f>
        <v/>
      </c>
      <c r="AL78" s="39" t="str">
        <f aca="false">IF(SUM($AF78,$AG78)=0,"",SUM($AF78,$AG78))</f>
        <v/>
      </c>
      <c r="AM78" s="39" t="str">
        <f aca="false">$AF78</f>
        <v/>
      </c>
      <c r="AN78" s="39" t="str">
        <f aca="false">IF(SUM($AG78)=0,"",ROUND($AG78*SUM($AI78),0))</f>
        <v/>
      </c>
      <c r="AO78" s="10" t="str">
        <f aca="false">IFERROR(1/(1/MAX(SUM($T78)-SUM($AB78,$AC78),$AD78)),"")</f>
        <v/>
      </c>
      <c r="AP78" s="88"/>
      <c r="AQ78" s="88" t="str">
        <f aca="false">IF($AP78="","",$AP78)</f>
        <v/>
      </c>
      <c r="AR78" s="88" t="str">
        <f aca="false">IF(SUM($AO78)=0,"",INDEX(Cascade!$BG:$BG,MATCH($E78,Cascade!$E:$E,0)))</f>
        <v/>
      </c>
      <c r="AS78" s="39" t="str">
        <f aca="false">IF(SUM($AO78)=0,"",IF(AND(SUM($AO78)&gt;0,$AQ78=""),"ENTER YIELD RATE",ROUND($AO78*$AQ78,0)))</f>
        <v/>
      </c>
      <c r="AT78" s="39" t="str">
        <f aca="false">IF(SUM($AO78)=0,"",$AO78-SUM($AS78))</f>
        <v/>
      </c>
      <c r="AU78" s="10" t="str">
        <f aca="false">IF(SUM($AS78)=0,"",ROUND($AS78*$AR78,0))</f>
        <v/>
      </c>
      <c r="AV78" s="10" t="str">
        <f aca="false">IFERROR(1/(1/SUM($AC78,$AB78,$AS78)),"")</f>
        <v/>
      </c>
      <c r="AW78" s="10" t="str">
        <f aca="false">IFERROR(1/(1/INDEX(Cascade!$BH:$BH,MATCH($E78,Cascade!$E:$E,0))),"")</f>
        <v/>
      </c>
      <c r="AX78" s="10" t="str">
        <f aca="false">IF(SUM($AC78)=0,"",$AC78)</f>
        <v/>
      </c>
      <c r="AY78" s="10" t="str">
        <f aca="false">IF(SUM($AS78)=0,"",$AS78)</f>
        <v/>
      </c>
      <c r="AZ78" s="10" t="str">
        <f aca="false">IFERROR(1/(1/INDEX(TB!$P:$P,MATCH($E78,TB!$E:$E,0))),"")</f>
        <v/>
      </c>
      <c r="BA78" s="10" t="str">
        <f aca="false">IFERROR(1/(1/(SUM($AW78)-SUM($AX78:$AZ78))),"")</f>
        <v/>
      </c>
    </row>
    <row r="79" customFormat="false" ht="15" hidden="false" customHeight="false" outlineLevel="0" collapsed="false">
      <c r="A79" s="0" t="str">
        <f aca="false">INDEX(Prioritization!$D:$D,MATCH($B79,Prioritization!$A:$A,0))</f>
        <v>INVALID</v>
      </c>
      <c r="B79" s="0" t="s">
        <v>206</v>
      </c>
      <c r="C79" s="0" t="s">
        <v>368</v>
      </c>
      <c r="D79" s="0" t="s">
        <v>30</v>
      </c>
      <c r="E79" s="0" t="str">
        <f aca="false">B79&amp;"|"&amp;C79&amp;"|"&amp;D79</f>
        <v>Likoma District [ZCjuwgaMB9u]|50+|Female</v>
      </c>
      <c r="F79" s="10" t="n">
        <f aca="false">IF(LEFT($B79,4)="_Mil","",INDEX(Cascade!$T:$T,MATCH($E79,Cascade!$E:$E,0)))</f>
        <v>1495</v>
      </c>
      <c r="G79" s="10" t="str">
        <f aca="false">IF(LEFT($B79,4)="_Mil","",INDEX(Cascade!$U:$U,MATCH($E79,Cascade!$E:$E,0)))</f>
        <v/>
      </c>
      <c r="H79" s="86" t="n">
        <f aca="false">IF(LEFT($B79,4)="_Mil","",INDEX(Cascade!$W:$W,MATCH($E79,Cascade!$E:$E,0)))</f>
        <v>1443</v>
      </c>
      <c r="I79" s="10" t="n">
        <f aca="false">IF(LEFT($B79,4)="_Mil","",INDEX(Cascade!$Z:$Z,MATCH($E79,Cascade!$E:$E,0)))</f>
        <v>773</v>
      </c>
      <c r="J79" s="88" t="n">
        <f aca="false">IF(LEFT($B79,4)="_Mil","",INDEX(Cascade!$AA:$AA,MATCH($E79,Cascade!$E:$E,0)))</f>
        <v>1261</v>
      </c>
      <c r="K79" s="39" t="str">
        <f aca="false">IF(LEFT($B79,4)="_Mil","",_xlfn.IFNA(ROUND(INDEX(Spectrum!$N:$N,MATCH(RIGHT($B79,13)&amp;"|"&amp;$C79&amp;"|"&amp;$D79&amp;"|"&amp;K$14&amp;"|"&amp;"CY2023Q3",Spectrum!$R:$R,0)),0),""))</f>
        <v/>
      </c>
      <c r="L79" s="39" t="str">
        <f aca="false">IF(LEFT($B79,4)="_Mil","",_xlfn.IFNA(ROUND(INDEX(Spectrum!$N:$N,MATCH(RIGHT($B79,13)&amp;"|"&amp;$C79&amp;"|"&amp;$D79&amp;"|"&amp;L$14&amp;"|"&amp;"CY2023Q3",Spectrum!$R:$R,0)),0),""))</f>
        <v/>
      </c>
      <c r="M79" s="39" t="str">
        <f aca="false">IF(LEFT($B79,4)="_Mil","",_xlfn.IFNA(ROUND(INDEX(Spectrum!$N:$N,MATCH(RIGHT($B79,13)&amp;"|"&amp;$C79&amp;"|"&amp;$D79&amp;"|"&amp;M$14&amp;"|"&amp;"CY2023Q3",Spectrum!$R:$R,0)),0),""))</f>
        <v/>
      </c>
      <c r="N79" s="39" t="str">
        <f aca="false">IF(LEFT($B79,4)="_Mil","",_xlfn.IFNA(ROUND(INDEX(Spectrum!$N:$N,MATCH(RIGHT($B79,13)&amp;"|"&amp;$C79&amp;"|"&amp;$D79&amp;"|"&amp;N$14&amp;"|"&amp;"CY2023Q3",Spectrum!$R:$R,0)),0),""))</f>
        <v/>
      </c>
      <c r="O79" s="39" t="str">
        <f aca="false">IF(LEFT($B79,4)="_Mil","",_xlfn.IFNA(ROUND(INDEX(Spectrum!$N:$N,MATCH(RIGHT($B79,13)&amp;"|"&amp;$C79&amp;"|"&amp;$D79&amp;"|"&amp;O$14&amp;"|"&amp;"CY2023Q3",Spectrum!$R:$R,0)),0),""))</f>
        <v/>
      </c>
      <c r="P79" s="39" t="str">
        <f aca="false">IF(LEFT($B79,4)="_Mil","",_xlfn.IFNA(ROUND(INDEX(Spectrum!$N:$N,MATCH(RIGHT($B79,13)&amp;"|"&amp;$C79&amp;"|"&amp;$D79&amp;"|"&amp;P$14&amp;"|"&amp;"CY2023Q3",Spectrum!$R:$R,0)),0),""))</f>
        <v/>
      </c>
      <c r="Q79" s="39" t="str">
        <f aca="false">IF(LEFT($B79,4)="_Mil","",_xlfn.IFNA(ROUND(INDEX(Spectrum!$N:$N,MATCH(RIGHT($B79,13)&amp;"|"&amp;$C79&amp;"|"&amp;$D79&amp;"|"&amp;Q$14&amp;"|"&amp;"CY2022Q3",Spectrum!$R:$R,0)),0),""))</f>
        <v/>
      </c>
      <c r="R79" s="10"/>
      <c r="S79" s="88" t="n">
        <f aca="false">0</f>
        <v>0</v>
      </c>
      <c r="T79" s="39" t="str">
        <f aca="false">IF(SUM($R79)=0,"",ROUND($R79*(1+$S79),0))</f>
        <v/>
      </c>
      <c r="U79" s="88" t="str">
        <f aca="false">IF(LEFT($B79,4)="_Mil","",IF(SUM($K79)=0,IF(SUM($R79)=0,"",1),MIN($R79/$K79,1)))</f>
        <v/>
      </c>
      <c r="V79" s="39" t="str">
        <f aca="false">IF(OR(SUM($T79)=0,LEFT($B79,4)="_Mil"),"",ROUND($T79/$U79,0))</f>
        <v/>
      </c>
      <c r="W79" s="88"/>
      <c r="X79" s="88" t="str">
        <f aca="false">IF(SUM($K79,$W79)=0,"",MAX(IFERROR(SUM($L79)/$K79,0),SUM($W79)))</f>
        <v/>
      </c>
      <c r="Y79" s="88"/>
      <c r="Z79" s="88" t="str">
        <f aca="false">IF(SUM($K79,$Y79)=0,"",MIN(SUM($Y79),IFERROR(SUM($M79)/(SUM($K79)-SUM($L79)),1)))</f>
        <v/>
      </c>
      <c r="AA79" s="10" t="str">
        <f aca="false">$T79</f>
        <v/>
      </c>
      <c r="AB79" s="39" t="str">
        <f aca="false">IF(SUM($AA79)=0,"",IF(AND(SUM($AA79)&gt;0,$X79=""),"ENTER KNOWN POSITIVITY RATE",ROUND($AA79*$X79,0)))</f>
        <v/>
      </c>
      <c r="AC79" s="39" t="str">
        <f aca="false">IF(SUM($AA79)=0,"",IF(AND((SUM($AA79)-SUM($AB79))&gt;0,$Z79=""),"ENTER YIELD RATE",ROUND(($AA79-SUM($AB79))*$Z79,0)))</f>
        <v/>
      </c>
      <c r="AD79" s="39" t="str">
        <f aca="false">IF(SUM($AA79)=0,"",$AA79-SUM($AB79)-SUM($AC79))</f>
        <v/>
      </c>
      <c r="AE79" s="10" t="str">
        <f aca="false">$V79</f>
        <v/>
      </c>
      <c r="AF79" s="39" t="str">
        <f aca="false">IF(SUM($AE79)=0,"",ROUND($AE79*SUM($X79),0))</f>
        <v/>
      </c>
      <c r="AG79" s="39" t="str">
        <f aca="false">IF(SUM($AE79)=0,"",ROUND(($AE79-SUM($AF79))*SUM($Z79),0))</f>
        <v/>
      </c>
      <c r="AH79" s="39" t="str">
        <f aca="false">IF(SUM($AE79)=0,"",$AE79-SUM($AF79)-SUM($AG79))</f>
        <v/>
      </c>
      <c r="AI79" s="88" t="str">
        <f aca="false">IF(SUM($AC79)=0,"",INDEX(Cascade!$BG:$BG,MATCH($E79,Cascade!$E:$E,0)))</f>
        <v/>
      </c>
      <c r="AJ79" s="39" t="str">
        <f aca="false">$AB79</f>
        <v/>
      </c>
      <c r="AK79" s="39" t="str">
        <f aca="false">IF(SUM($AC79)=0,"",IF(AND($AI79="",SUM($AC79)&gt;0),"&lt;- Enter Linkage Rate",ROUND($AC79*$AI79,0)))</f>
        <v/>
      </c>
      <c r="AL79" s="39" t="str">
        <f aca="false">IF(SUM($AF79,$AG79)=0,"",SUM($AF79,$AG79))</f>
        <v/>
      </c>
      <c r="AM79" s="39" t="str">
        <f aca="false">$AF79</f>
        <v/>
      </c>
      <c r="AN79" s="39" t="str">
        <f aca="false">IF(SUM($AG79)=0,"",ROUND($AG79*SUM($AI79),0))</f>
        <v/>
      </c>
      <c r="AO79" s="10" t="str">
        <f aca="false">IFERROR(1/(1/MAX(SUM($T79)-SUM($AB79,$AC79),$AD79)),"")</f>
        <v/>
      </c>
      <c r="AP79" s="88"/>
      <c r="AQ79" s="88" t="str">
        <f aca="false">IF($AP79="","",$AP79)</f>
        <v/>
      </c>
      <c r="AR79" s="88" t="str">
        <f aca="false">IF(SUM($AO79)=0,"",INDEX(Cascade!$BG:$BG,MATCH($E79,Cascade!$E:$E,0)))</f>
        <v/>
      </c>
      <c r="AS79" s="39" t="str">
        <f aca="false">IF(SUM($AO79)=0,"",IF(AND(SUM($AO79)&gt;0,$AQ79=""),"ENTER YIELD RATE",ROUND($AO79*$AQ79,0)))</f>
        <v/>
      </c>
      <c r="AT79" s="39" t="str">
        <f aca="false">IF(SUM($AO79)=0,"",$AO79-SUM($AS79))</f>
        <v/>
      </c>
      <c r="AU79" s="10" t="str">
        <f aca="false">IF(SUM($AS79)=0,"",ROUND($AS79*$AR79,0))</f>
        <v/>
      </c>
      <c r="AV79" s="10" t="str">
        <f aca="false">IFERROR(1/(1/SUM($AC79,$AB79,$AS79)),"")</f>
        <v/>
      </c>
      <c r="AW79" s="10" t="str">
        <f aca="false">IFERROR(1/(1/INDEX(Cascade!$BH:$BH,MATCH($E79,Cascade!$E:$E,0))),"")</f>
        <v/>
      </c>
      <c r="AX79" s="10" t="str">
        <f aca="false">IF(SUM($AC79)=0,"",$AC79)</f>
        <v/>
      </c>
      <c r="AY79" s="10" t="str">
        <f aca="false">IF(SUM($AS79)=0,"",$AS79)</f>
        <v/>
      </c>
      <c r="AZ79" s="10" t="str">
        <f aca="false">IFERROR(1/(1/INDEX(TB!$P:$P,MATCH($E79,TB!$E:$E,0))),"")</f>
        <v/>
      </c>
      <c r="BA79" s="10" t="str">
        <f aca="false">IFERROR(1/(1/(SUM($AW79)-SUM($AX79:$AZ79))),"")</f>
        <v/>
      </c>
    </row>
    <row r="80" customFormat="false" ht="15" hidden="false" customHeight="false" outlineLevel="0" collapsed="false">
      <c r="A80" s="0" t="str">
        <f aca="false">INDEX(Prioritization!$D:$D,MATCH($B80,Prioritization!$A:$A,0))</f>
        <v>1 - Scale-up: Saturation</v>
      </c>
      <c r="B80" s="0" t="s">
        <v>207</v>
      </c>
      <c r="C80" s="0" t="s">
        <v>364</v>
      </c>
      <c r="D80" s="0" t="s">
        <v>30</v>
      </c>
      <c r="E80" s="0" t="str">
        <f aca="false">B80&amp;"|"&amp;C80&amp;"|"&amp;D80</f>
        <v>Mzimba District [vA4NcHxfMBq]|10-14|Female</v>
      </c>
      <c r="F80" s="10" t="n">
        <f aca="false">IF(LEFT($B80,4)="_Mil","",INDEX(Cascade!$T:$T,MATCH($E80,Cascade!$E:$E,0)))</f>
        <v>1909</v>
      </c>
      <c r="G80" s="10" t="str">
        <f aca="false">IF(LEFT($B80,4)="_Mil","",INDEX(Cascade!$U:$U,MATCH($E80,Cascade!$E:$E,0)))</f>
        <v/>
      </c>
      <c r="H80" s="86" t="n">
        <f aca="false">IF(LEFT($B80,4)="_Mil","",INDEX(Cascade!$W:$W,MATCH($E80,Cascade!$E:$E,0)))</f>
        <v>1365</v>
      </c>
      <c r="I80" s="10" t="n">
        <f aca="false">IF(LEFT($B80,4)="_Mil","",INDEX(Cascade!$Z:$Z,MATCH($E80,Cascade!$E:$E,0)))</f>
        <v>1213</v>
      </c>
      <c r="J80" s="88" t="n">
        <f aca="false">IF(LEFT($B80,4)="_Mil","",INDEX(Cascade!$AA:$AA,MATCH($E80,Cascade!$E:$E,0)))</f>
        <v>1946</v>
      </c>
      <c r="K80" s="39" t="str">
        <f aca="false">IF(LEFT($B80,4)="_Mil","",_xlfn.IFNA(ROUND(INDEX(Spectrum!$N:$N,MATCH(RIGHT($B80,13)&amp;"|"&amp;$C80&amp;"|"&amp;$D80&amp;"|"&amp;K$14&amp;"|"&amp;"CY2023Q3",Spectrum!$R:$R,0)),0),""))</f>
        <v/>
      </c>
      <c r="L80" s="39" t="str">
        <f aca="false">IF(LEFT($B80,4)="_Mil","",_xlfn.IFNA(ROUND(INDEX(Spectrum!$N:$N,MATCH(RIGHT($B80,13)&amp;"|"&amp;$C80&amp;"|"&amp;$D80&amp;"|"&amp;L$14&amp;"|"&amp;"CY2023Q3",Spectrum!$R:$R,0)),0),""))</f>
        <v/>
      </c>
      <c r="M80" s="39" t="str">
        <f aca="false">IF(LEFT($B80,4)="_Mil","",_xlfn.IFNA(ROUND(INDEX(Spectrum!$N:$N,MATCH(RIGHT($B80,13)&amp;"|"&amp;$C80&amp;"|"&amp;$D80&amp;"|"&amp;M$14&amp;"|"&amp;"CY2023Q3",Spectrum!$R:$R,0)),0),""))</f>
        <v/>
      </c>
      <c r="N80" s="39" t="str">
        <f aca="false">IF(LEFT($B80,4)="_Mil","",_xlfn.IFNA(ROUND(INDEX(Spectrum!$N:$N,MATCH(RIGHT($B80,13)&amp;"|"&amp;$C80&amp;"|"&amp;$D80&amp;"|"&amp;N$14&amp;"|"&amp;"CY2023Q3",Spectrum!$R:$R,0)),0),""))</f>
        <v/>
      </c>
      <c r="O80" s="39" t="str">
        <f aca="false">IF(LEFT($B80,4)="_Mil","",_xlfn.IFNA(ROUND(INDEX(Spectrum!$N:$N,MATCH(RIGHT($B80,13)&amp;"|"&amp;$C80&amp;"|"&amp;$D80&amp;"|"&amp;O$14&amp;"|"&amp;"CY2023Q3",Spectrum!$R:$R,0)),0),""))</f>
        <v/>
      </c>
      <c r="P80" s="39" t="str">
        <f aca="false">IF(LEFT($B80,4)="_Mil","",_xlfn.IFNA(ROUND(INDEX(Spectrum!$N:$N,MATCH(RIGHT($B80,13)&amp;"|"&amp;$C80&amp;"|"&amp;$D80&amp;"|"&amp;P$14&amp;"|"&amp;"CY2023Q3",Spectrum!$R:$R,0)),0),""))</f>
        <v/>
      </c>
      <c r="Q80" s="39" t="str">
        <f aca="false">IF(LEFT($B80,4)="_Mil","",_xlfn.IFNA(ROUND(INDEX(Spectrum!$N:$N,MATCH(RIGHT($B80,13)&amp;"|"&amp;$C80&amp;"|"&amp;$D80&amp;"|"&amp;Q$14&amp;"|"&amp;"CY2022Q3",Spectrum!$R:$R,0)),0),""))</f>
        <v/>
      </c>
      <c r="R80" s="10" t="n">
        <v>7</v>
      </c>
      <c r="S80" s="88" t="n">
        <f aca="false">0</f>
        <v>0</v>
      </c>
      <c r="T80" s="39" t="n">
        <f aca="false">IF(SUM($R80)=0,"",ROUND($R80*(1+$S80),0))</f>
        <v>7</v>
      </c>
      <c r="U80" s="88" t="n">
        <f aca="false">IF(LEFT($B80,4)="_Mil","",IF(SUM($K80)=0,IF(SUM($R80)=0,"",1),MIN($R80/$K80,1)))</f>
        <v>1</v>
      </c>
      <c r="V80" s="39" t="n">
        <f aca="false">IF(OR(SUM($T80)=0,LEFT($B80,4)="_Mil"),"",ROUND($T80/$U80,0))</f>
        <v>7</v>
      </c>
      <c r="W80" s="88"/>
      <c r="X80" s="88" t="str">
        <f aca="false">IF(SUM($K80,$W80)=0,"",MAX(IFERROR(SUM($L80)/$K80,0),SUM($W80)))</f>
        <v/>
      </c>
      <c r="Y80" s="88"/>
      <c r="Z80" s="88" t="str">
        <f aca="false">IF(SUM($K80,$Y80)=0,"",MIN(SUM($Y80),IFERROR(SUM($M80)/(SUM($K80)-SUM($L80)),1)))</f>
        <v/>
      </c>
      <c r="AA80" s="10" t="n">
        <f aca="false">$T80</f>
        <v>7</v>
      </c>
      <c r="AB80" s="39" t="str">
        <f aca="false">IF(SUM($AA80)=0,"",IF(AND(SUM($AA80)&gt;0,$X80=""),"ENTER KNOWN POSITIVITY RATE",ROUND($AA80*$X80,0)))</f>
        <v>ENTER KNOWN POSITIVITY RATE</v>
      </c>
      <c r="AC80" s="39" t="str">
        <f aca="false">IF(SUM($AA80)=0,"",IF(AND((SUM($AA80)-SUM($AB80))&gt;0,$Z80=""),"ENTER YIELD RATE",ROUND(($AA80-SUM($AB80))*$Z80,0)))</f>
        <v>ENTER YIELD RATE</v>
      </c>
      <c r="AD80" s="39" t="n">
        <f aca="false">IF(SUM($AA80)=0,"",$AA80-SUM($AB80)-SUM($AC80))</f>
        <v>7</v>
      </c>
      <c r="AE80" s="10" t="n">
        <f aca="false">$V80</f>
        <v>7</v>
      </c>
      <c r="AF80" s="39" t="n">
        <f aca="false">IF(SUM($AE80)=0,"",ROUND($AE80*SUM($X80),0))</f>
        <v>0</v>
      </c>
      <c r="AG80" s="39" t="n">
        <f aca="false">IF(SUM($AE80)=0,"",ROUND(($AE80-SUM($AF80))*SUM($Z80),0))</f>
        <v>0</v>
      </c>
      <c r="AH80" s="39" t="n">
        <f aca="false">IF(SUM($AE80)=0,"",$AE80-SUM($AF80)-SUM($AG80))</f>
        <v>7</v>
      </c>
      <c r="AI80" s="88" t="str">
        <f aca="false">IF(SUM($AC80)=0,"",INDEX(Cascade!$BG:$BG,MATCH($E80,Cascade!$E:$E,0)))</f>
        <v/>
      </c>
      <c r="AJ80" s="39" t="str">
        <f aca="false">$AB80</f>
        <v>ENTER KNOWN POSITIVITY RATE</v>
      </c>
      <c r="AK80" s="39" t="str">
        <f aca="false">IF(SUM($AC80)=0,"",IF(AND($AI80="",SUM($AC80)&gt;0),"&lt;- Enter Linkage Rate",ROUND($AC80*$AI80,0)))</f>
        <v/>
      </c>
      <c r="AL80" s="39" t="str">
        <f aca="false">IF(SUM($AF80,$AG80)=0,"",SUM($AF80,$AG80))</f>
        <v/>
      </c>
      <c r="AM80" s="39" t="n">
        <f aca="false">$AF80</f>
        <v>0</v>
      </c>
      <c r="AN80" s="39" t="str">
        <f aca="false">IF(SUM($AG80)=0,"",ROUND($AG80*SUM($AI80),0))</f>
        <v/>
      </c>
      <c r="AO80" s="10" t="n">
        <f aca="false">IFERROR(1/(1/MAX(SUM($T80)-SUM($AB80,$AC80),$AD80)),"")</f>
        <v>7</v>
      </c>
      <c r="AP80" s="88"/>
      <c r="AQ80" s="88" t="str">
        <f aca="false">IF($AP80="","",$AP80)</f>
        <v/>
      </c>
      <c r="AR80" s="88" t="n">
        <f aca="false">IF(SUM($AO80)=0,"",INDEX(Cascade!$BG:$BG,MATCH($E80,Cascade!$E:$E,0)))</f>
        <v>0.95</v>
      </c>
      <c r="AS80" s="39" t="str">
        <f aca="false">IF(SUM($AO80)=0,"",IF(AND(SUM($AO80)&gt;0,$AQ80=""),"ENTER YIELD RATE",ROUND($AO80*$AQ80,0)))</f>
        <v>ENTER YIELD RATE</v>
      </c>
      <c r="AT80" s="39" t="n">
        <f aca="false">IF(SUM($AO80)=0,"",$AO80-SUM($AS80))</f>
        <v>7</v>
      </c>
      <c r="AU80" s="10" t="str">
        <f aca="false">IF(SUM($AS80)=0,"",ROUND($AS80*$AR80,0))</f>
        <v/>
      </c>
      <c r="AV80" s="10" t="str">
        <f aca="false">IFERROR(1/(1/SUM($AC80,$AB80,$AS80)),"")</f>
        <v/>
      </c>
      <c r="AW80" s="10" t="n">
        <f aca="false">IFERROR(1/(1/INDEX(Cascade!$BH:$BH,MATCH($E80,Cascade!$E:$E,0))),"")</f>
        <v>-98</v>
      </c>
      <c r="AX80" s="10" t="str">
        <f aca="false">IF(SUM($AC80)=0,"",$AC80)</f>
        <v/>
      </c>
      <c r="AY80" s="10" t="str">
        <f aca="false">IF(SUM($AS80)=0,"",$AS80)</f>
        <v/>
      </c>
      <c r="AZ80" s="10" t="str">
        <f aca="false">IFERROR(1/(1/INDEX(TB!$P:$P,MATCH($E80,TB!$E:$E,0))),"")</f>
        <v/>
      </c>
      <c r="BA80" s="10" t="n">
        <f aca="false">IFERROR(1/(1/(SUM($AW80)-SUM($AX80:$AZ80))),"")</f>
        <v>-98</v>
      </c>
    </row>
    <row r="81" customFormat="false" ht="15" hidden="false" customHeight="false" outlineLevel="0" collapsed="false">
      <c r="A81" s="0" t="str">
        <f aca="false">INDEX(Prioritization!$D:$D,MATCH($B81,Prioritization!$A:$A,0))</f>
        <v>1 - Scale-up: Saturation</v>
      </c>
      <c r="B81" s="0" t="s">
        <v>207</v>
      </c>
      <c r="C81" s="0" t="s">
        <v>365</v>
      </c>
      <c r="D81" s="0" t="s">
        <v>30</v>
      </c>
      <c r="E81" s="0" t="str">
        <f aca="false">B81&amp;"|"&amp;C81&amp;"|"&amp;D81</f>
        <v>Mzimba District [vA4NcHxfMBq]|15-24|Female</v>
      </c>
      <c r="F81" s="10" t="n">
        <f aca="false">IF(LEFT($B81,4)="_Mil","",INDEX(Cascade!$T:$T,MATCH($E81,Cascade!$E:$E,0)))</f>
        <v>1732</v>
      </c>
      <c r="G81" s="10" t="str">
        <f aca="false">IF(LEFT($B81,4)="_Mil","",INDEX(Cascade!$U:$U,MATCH($E81,Cascade!$E:$E,0)))</f>
        <v/>
      </c>
      <c r="H81" s="86" t="n">
        <f aca="false">IF(LEFT($B81,4)="_Mil","",INDEX(Cascade!$W:$W,MATCH($E81,Cascade!$E:$E,0)))</f>
        <v>1095</v>
      </c>
      <c r="I81" s="10" t="n">
        <f aca="false">IF(LEFT($B81,4)="_Mil","",INDEX(Cascade!$Z:$Z,MATCH($E81,Cascade!$E:$E,0)))</f>
        <v>1827</v>
      </c>
      <c r="J81" s="88" t="n">
        <f aca="false">IF(LEFT($B81,4)="_Mil","",INDEX(Cascade!$AA:$AA,MATCH($E81,Cascade!$E:$E,0)))</f>
        <v>765</v>
      </c>
      <c r="K81" s="39" t="n">
        <f aca="false">IF(LEFT($B81,4)="_Mil","",_xlfn.IFNA(ROUND(INDEX(Spectrum!$N:$N,MATCH(RIGHT($B81,13)&amp;"|"&amp;$C81&amp;"|"&amp;$D81&amp;"|"&amp;K$14&amp;"|"&amp;"CY2023Q3",Spectrum!$R:$R,0)),0),""))</f>
        <v>1490</v>
      </c>
      <c r="L81" s="39" t="str">
        <f aca="false">IF(LEFT($B81,4)="_Mil","",_xlfn.IFNA(ROUND(INDEX(Spectrum!$N:$N,MATCH(RIGHT($B81,13)&amp;"|"&amp;$C81&amp;"|"&amp;$D81&amp;"|"&amp;L$14&amp;"|"&amp;"CY2023Q3",Spectrum!$R:$R,0)),0),""))</f>
        <v/>
      </c>
      <c r="M81" s="39" t="n">
        <f aca="false">IF(LEFT($B81,4)="_Mil","",_xlfn.IFNA(ROUND(INDEX(Spectrum!$N:$N,MATCH(RIGHT($B81,13)&amp;"|"&amp;$C81&amp;"|"&amp;$D81&amp;"|"&amp;M$14&amp;"|"&amp;"CY2023Q3",Spectrum!$R:$R,0)),0),""))</f>
        <v>1215</v>
      </c>
      <c r="N81" s="39" t="n">
        <f aca="false">IF(LEFT($B81,4)="_Mil","",_xlfn.IFNA(ROUND(INDEX(Spectrum!$N:$N,MATCH(RIGHT($B81,13)&amp;"|"&amp;$C81&amp;"|"&amp;$D81&amp;"|"&amp;N$14&amp;"|"&amp;"CY2023Q3",Spectrum!$R:$R,0)),0),""))</f>
        <v>1524</v>
      </c>
      <c r="O81" s="39" t="n">
        <f aca="false">IF(LEFT($B81,4)="_Mil","",_xlfn.IFNA(ROUND(INDEX(Spectrum!$N:$N,MATCH(RIGHT($B81,13)&amp;"|"&amp;$C81&amp;"|"&amp;$D81&amp;"|"&amp;O$14&amp;"|"&amp;"CY2023Q3",Spectrum!$R:$R,0)),0),""))</f>
        <v>1279</v>
      </c>
      <c r="P81" s="39" t="n">
        <f aca="false">IF(LEFT($B81,4)="_Mil","",_xlfn.IFNA(ROUND(INDEX(Spectrum!$N:$N,MATCH(RIGHT($B81,13)&amp;"|"&amp;$C81&amp;"|"&amp;$D81&amp;"|"&amp;P$14&amp;"|"&amp;"CY2023Q3",Spectrum!$R:$R,0)),0),""))</f>
        <v>1563</v>
      </c>
      <c r="Q81" s="39" t="str">
        <f aca="false">IF(LEFT($B81,4)="_Mil","",_xlfn.IFNA(ROUND(INDEX(Spectrum!$N:$N,MATCH(RIGHT($B81,13)&amp;"|"&amp;$C81&amp;"|"&amp;$D81&amp;"|"&amp;Q$14&amp;"|"&amp;"CY2022Q3",Spectrum!$R:$R,0)),0),""))</f>
        <v/>
      </c>
      <c r="R81" s="10"/>
      <c r="S81" s="88" t="n">
        <f aca="false">0</f>
        <v>0</v>
      </c>
      <c r="T81" s="39" t="str">
        <f aca="false">IF(SUM($R81)=0,"",ROUND($R81*(1+$S81),0))</f>
        <v/>
      </c>
      <c r="U81" s="88" t="n">
        <f aca="false">IF(LEFT($B81,4)="_Mil","",IF(SUM($K81)=0,IF(SUM($R81)=0,"",1),MIN($R81/$K81,1)))</f>
        <v>0</v>
      </c>
      <c r="V81" s="39" t="str">
        <f aca="false">IF(OR(SUM($T81)=0,LEFT($B81,4)="_Mil"),"",ROUND($T81/$U81,0))</f>
        <v/>
      </c>
      <c r="W81" s="88"/>
      <c r="X81" s="88" t="n">
        <f aca="false">IF(SUM($K81,$W81)=0,"",MAX(IFERROR(SUM($L81)/$K81,0),SUM($W81)))</f>
        <v>0</v>
      </c>
      <c r="Y81" s="88"/>
      <c r="Z81" s="88" t="n">
        <f aca="false">IF(SUM($K81,$Y81)=0,"",MIN(SUM($Y81),IFERROR(SUM($M81)/(SUM($K81)-SUM($L81)),1)))</f>
        <v>0</v>
      </c>
      <c r="AA81" s="10" t="str">
        <f aca="false">$T81</f>
        <v/>
      </c>
      <c r="AB81" s="39" t="str">
        <f aca="false">IF(SUM($AA81)=0,"",IF(AND(SUM($AA81)&gt;0,$X81=""),"ENTER KNOWN POSITIVITY RATE",ROUND($AA81*$X81,0)))</f>
        <v/>
      </c>
      <c r="AC81" s="39" t="str">
        <f aca="false">IF(SUM($AA81)=0,"",IF(AND((SUM($AA81)-SUM($AB81))&gt;0,$Z81=""),"ENTER YIELD RATE",ROUND(($AA81-SUM($AB81))*$Z81,0)))</f>
        <v/>
      </c>
      <c r="AD81" s="39" t="str">
        <f aca="false">IF(SUM($AA81)=0,"",$AA81-SUM($AB81)-SUM($AC81))</f>
        <v/>
      </c>
      <c r="AE81" s="10" t="str">
        <f aca="false">$V81</f>
        <v/>
      </c>
      <c r="AF81" s="39" t="str">
        <f aca="false">IF(SUM($AE81)=0,"",ROUND($AE81*SUM($X81),0))</f>
        <v/>
      </c>
      <c r="AG81" s="39" t="str">
        <f aca="false">IF(SUM($AE81)=0,"",ROUND(($AE81-SUM($AF81))*SUM($Z81),0))</f>
        <v/>
      </c>
      <c r="AH81" s="39" t="str">
        <f aca="false">IF(SUM($AE81)=0,"",$AE81-SUM($AF81)-SUM($AG81))</f>
        <v/>
      </c>
      <c r="AI81" s="88" t="str">
        <f aca="false">IF(SUM($AC81)=0,"",INDEX(Cascade!$BG:$BG,MATCH($E81,Cascade!$E:$E,0)))</f>
        <v/>
      </c>
      <c r="AJ81" s="39" t="str">
        <f aca="false">$AB81</f>
        <v/>
      </c>
      <c r="AK81" s="39" t="str">
        <f aca="false">IF(SUM($AC81)=0,"",IF(AND($AI81="",SUM($AC81)&gt;0),"&lt;- Enter Linkage Rate",ROUND($AC81*$AI81,0)))</f>
        <v/>
      </c>
      <c r="AL81" s="39" t="str">
        <f aca="false">IF(SUM($AF81,$AG81)=0,"",SUM($AF81,$AG81))</f>
        <v/>
      </c>
      <c r="AM81" s="39" t="str">
        <f aca="false">$AF81</f>
        <v/>
      </c>
      <c r="AN81" s="39" t="str">
        <f aca="false">IF(SUM($AG81)=0,"",ROUND($AG81*SUM($AI81),0))</f>
        <v/>
      </c>
      <c r="AO81" s="10" t="str">
        <f aca="false">IFERROR(1/(1/MAX(SUM($T81)-SUM($AB81,$AC81),$AD81)),"")</f>
        <v/>
      </c>
      <c r="AP81" s="88"/>
      <c r="AQ81" s="88" t="str">
        <f aca="false">IF($AP81="","",$AP81)</f>
        <v/>
      </c>
      <c r="AR81" s="88" t="str">
        <f aca="false">IF(SUM($AO81)=0,"",INDEX(Cascade!$BG:$BG,MATCH($E81,Cascade!$E:$E,0)))</f>
        <v/>
      </c>
      <c r="AS81" s="39" t="str">
        <f aca="false">IF(SUM($AO81)=0,"",IF(AND(SUM($AO81)&gt;0,$AQ81=""),"ENTER YIELD RATE",ROUND($AO81*$AQ81,0)))</f>
        <v/>
      </c>
      <c r="AT81" s="39" t="str">
        <f aca="false">IF(SUM($AO81)=0,"",$AO81-SUM($AS81))</f>
        <v/>
      </c>
      <c r="AU81" s="10" t="str">
        <f aca="false">IF(SUM($AS81)=0,"",ROUND($AS81*$AR81,0))</f>
        <v/>
      </c>
      <c r="AV81" s="10" t="str">
        <f aca="false">IFERROR(1/(1/SUM($AC81,$AB81,$AS81)),"")</f>
        <v/>
      </c>
      <c r="AW81" s="10" t="str">
        <f aca="false">IFERROR(1/(1/INDEX(Cascade!$BH:$BH,MATCH($E81,Cascade!$E:$E,0))),"")</f>
        <v/>
      </c>
      <c r="AX81" s="10" t="str">
        <f aca="false">IF(SUM($AC81)=0,"",$AC81)</f>
        <v/>
      </c>
      <c r="AY81" s="10" t="str">
        <f aca="false">IF(SUM($AS81)=0,"",$AS81)</f>
        <v/>
      </c>
      <c r="AZ81" s="10" t="str">
        <f aca="false">IFERROR(1/(1/INDEX(TB!$P:$P,MATCH($E81,TB!$E:$E,0))),"")</f>
        <v/>
      </c>
      <c r="BA81" s="10" t="str">
        <f aca="false">IFERROR(1/(1/(SUM($AW81)-SUM($AX81:$AZ81))),"")</f>
        <v/>
      </c>
    </row>
    <row r="82" customFormat="false" ht="15" hidden="false" customHeight="false" outlineLevel="0" collapsed="false">
      <c r="A82" s="0" t="str">
        <f aca="false">INDEX(Prioritization!$D:$D,MATCH($B82,Prioritization!$A:$A,0))</f>
        <v>1 - Scale-up: Saturation</v>
      </c>
      <c r="B82" s="0" t="s">
        <v>207</v>
      </c>
      <c r="C82" s="0" t="s">
        <v>366</v>
      </c>
      <c r="D82" s="0" t="s">
        <v>30</v>
      </c>
      <c r="E82" s="0" t="str">
        <f aca="false">B82&amp;"|"&amp;C82&amp;"|"&amp;D82</f>
        <v>Mzimba District [vA4NcHxfMBq]|25-34|Female</v>
      </c>
      <c r="F82" s="10" t="n">
        <f aca="false">IF(LEFT($B82,4)="_Mil","",INDEX(Cascade!$T:$T,MATCH($E82,Cascade!$E:$E,0)))</f>
        <v>593</v>
      </c>
      <c r="G82" s="10" t="str">
        <f aca="false">IF(LEFT($B82,4)="_Mil","",INDEX(Cascade!$U:$U,MATCH($E82,Cascade!$E:$E,0)))</f>
        <v/>
      </c>
      <c r="H82" s="86" t="n">
        <f aca="false">IF(LEFT($B82,4)="_Mil","",INDEX(Cascade!$W:$W,MATCH($E82,Cascade!$E:$E,0)))</f>
        <v>1543</v>
      </c>
      <c r="I82" s="10" t="n">
        <f aca="false">IF(LEFT($B82,4)="_Mil","",INDEX(Cascade!$Z:$Z,MATCH($E82,Cascade!$E:$E,0)))</f>
        <v>1917</v>
      </c>
      <c r="J82" s="88" t="n">
        <f aca="false">IF(LEFT($B82,4)="_Mil","",INDEX(Cascade!$AA:$AA,MATCH($E82,Cascade!$E:$E,0)))</f>
        <v>1569</v>
      </c>
      <c r="K82" s="39" t="n">
        <f aca="false">IF(LEFT($B82,4)="_Mil","",_xlfn.IFNA(ROUND(INDEX(Spectrum!$N:$N,MATCH(RIGHT($B82,13)&amp;"|"&amp;$C82&amp;"|"&amp;$D82&amp;"|"&amp;K$14&amp;"|"&amp;"CY2023Q3",Spectrum!$R:$R,0)),0),""))</f>
        <v>631</v>
      </c>
      <c r="L82" s="39" t="str">
        <f aca="false">IF(LEFT($B82,4)="_Mil","",_xlfn.IFNA(ROUND(INDEX(Spectrum!$N:$N,MATCH(RIGHT($B82,13)&amp;"|"&amp;$C82&amp;"|"&amp;$D82&amp;"|"&amp;L$14&amp;"|"&amp;"CY2023Q3",Spectrum!$R:$R,0)),0),""))</f>
        <v/>
      </c>
      <c r="M82" s="39" t="n">
        <f aca="false">IF(LEFT($B82,4)="_Mil","",_xlfn.IFNA(ROUND(INDEX(Spectrum!$N:$N,MATCH(RIGHT($B82,13)&amp;"|"&amp;$C82&amp;"|"&amp;$D82&amp;"|"&amp;M$14&amp;"|"&amp;"CY2023Q3",Spectrum!$R:$R,0)),0),""))</f>
        <v>541</v>
      </c>
      <c r="N82" s="39" t="n">
        <f aca="false">IF(LEFT($B82,4)="_Mil","",_xlfn.IFNA(ROUND(INDEX(Spectrum!$N:$N,MATCH(RIGHT($B82,13)&amp;"|"&amp;$C82&amp;"|"&amp;$D82&amp;"|"&amp;N$14&amp;"|"&amp;"CY2023Q3",Spectrum!$R:$R,0)),0),""))</f>
        <v>1193</v>
      </c>
      <c r="O82" s="39" t="n">
        <f aca="false">IF(LEFT($B82,4)="_Mil","",_xlfn.IFNA(ROUND(INDEX(Spectrum!$N:$N,MATCH(RIGHT($B82,13)&amp;"|"&amp;$C82&amp;"|"&amp;$D82&amp;"|"&amp;O$14&amp;"|"&amp;"CY2023Q3",Spectrum!$R:$R,0)),0),""))</f>
        <v>1834</v>
      </c>
      <c r="P82" s="39" t="n">
        <f aca="false">IF(LEFT($B82,4)="_Mil","",_xlfn.IFNA(ROUND(INDEX(Spectrum!$N:$N,MATCH(RIGHT($B82,13)&amp;"|"&amp;$C82&amp;"|"&amp;$D82&amp;"|"&amp;P$14&amp;"|"&amp;"CY2023Q3",Spectrum!$R:$R,0)),0),""))</f>
        <v>1446</v>
      </c>
      <c r="Q82" s="39" t="str">
        <f aca="false">IF(LEFT($B82,4)="_Mil","",_xlfn.IFNA(ROUND(INDEX(Spectrum!$N:$N,MATCH(RIGHT($B82,13)&amp;"|"&amp;$C82&amp;"|"&amp;$D82&amp;"|"&amp;Q$14&amp;"|"&amp;"CY2022Q3",Spectrum!$R:$R,0)),0),""))</f>
        <v/>
      </c>
      <c r="R82" s="10"/>
      <c r="S82" s="88" t="n">
        <f aca="false">0</f>
        <v>0</v>
      </c>
      <c r="T82" s="39" t="str">
        <f aca="false">IF(SUM($R82)=0,"",ROUND($R82*(1+$S82),0))</f>
        <v/>
      </c>
      <c r="U82" s="88" t="n">
        <f aca="false">IF(LEFT($B82,4)="_Mil","",IF(SUM($K82)=0,IF(SUM($R82)=0,"",1),MIN($R82/$K82,1)))</f>
        <v>0</v>
      </c>
      <c r="V82" s="39" t="str">
        <f aca="false">IF(OR(SUM($T82)=0,LEFT($B82,4)="_Mil"),"",ROUND($T82/$U82,0))</f>
        <v/>
      </c>
      <c r="W82" s="88"/>
      <c r="X82" s="88" t="n">
        <f aca="false">IF(SUM($K82,$W82)=0,"",MAX(IFERROR(SUM($L82)/$K82,0),SUM($W82)))</f>
        <v>0</v>
      </c>
      <c r="Y82" s="88"/>
      <c r="Z82" s="88" t="n">
        <f aca="false">IF(SUM($K82,$Y82)=0,"",MIN(SUM($Y82),IFERROR(SUM($M82)/(SUM($K82)-SUM($L82)),1)))</f>
        <v>0</v>
      </c>
      <c r="AA82" s="10" t="str">
        <f aca="false">$T82</f>
        <v/>
      </c>
      <c r="AB82" s="39" t="str">
        <f aca="false">IF(SUM($AA82)=0,"",IF(AND(SUM($AA82)&gt;0,$X82=""),"ENTER KNOWN POSITIVITY RATE",ROUND($AA82*$X82,0)))</f>
        <v/>
      </c>
      <c r="AC82" s="39" t="str">
        <f aca="false">IF(SUM($AA82)=0,"",IF(AND((SUM($AA82)-SUM($AB82))&gt;0,$Z82=""),"ENTER YIELD RATE",ROUND(($AA82-SUM($AB82))*$Z82,0)))</f>
        <v/>
      </c>
      <c r="AD82" s="39" t="str">
        <f aca="false">IF(SUM($AA82)=0,"",$AA82-SUM($AB82)-SUM($AC82))</f>
        <v/>
      </c>
      <c r="AE82" s="10" t="str">
        <f aca="false">$V82</f>
        <v/>
      </c>
      <c r="AF82" s="39" t="str">
        <f aca="false">IF(SUM($AE82)=0,"",ROUND($AE82*SUM($X82),0))</f>
        <v/>
      </c>
      <c r="AG82" s="39" t="str">
        <f aca="false">IF(SUM($AE82)=0,"",ROUND(($AE82-SUM($AF82))*SUM($Z82),0))</f>
        <v/>
      </c>
      <c r="AH82" s="39" t="str">
        <f aca="false">IF(SUM($AE82)=0,"",$AE82-SUM($AF82)-SUM($AG82))</f>
        <v/>
      </c>
      <c r="AI82" s="88" t="str">
        <f aca="false">IF(SUM($AC82)=0,"",INDEX(Cascade!$BG:$BG,MATCH($E82,Cascade!$E:$E,0)))</f>
        <v/>
      </c>
      <c r="AJ82" s="39" t="str">
        <f aca="false">$AB82</f>
        <v/>
      </c>
      <c r="AK82" s="39" t="str">
        <f aca="false">IF(SUM($AC82)=0,"",IF(AND($AI82="",SUM($AC82)&gt;0),"&lt;- Enter Linkage Rate",ROUND($AC82*$AI82,0)))</f>
        <v/>
      </c>
      <c r="AL82" s="39" t="str">
        <f aca="false">IF(SUM($AF82,$AG82)=0,"",SUM($AF82,$AG82))</f>
        <v/>
      </c>
      <c r="AM82" s="39" t="str">
        <f aca="false">$AF82</f>
        <v/>
      </c>
      <c r="AN82" s="39" t="str">
        <f aca="false">IF(SUM($AG82)=0,"",ROUND($AG82*SUM($AI82),0))</f>
        <v/>
      </c>
      <c r="AO82" s="10" t="str">
        <f aca="false">IFERROR(1/(1/MAX(SUM($T82)-SUM($AB82,$AC82),$AD82)),"")</f>
        <v/>
      </c>
      <c r="AP82" s="88"/>
      <c r="AQ82" s="88" t="str">
        <f aca="false">IF($AP82="","",$AP82)</f>
        <v/>
      </c>
      <c r="AR82" s="88" t="str">
        <f aca="false">IF(SUM($AO82)=0,"",INDEX(Cascade!$BG:$BG,MATCH($E82,Cascade!$E:$E,0)))</f>
        <v/>
      </c>
      <c r="AS82" s="39" t="str">
        <f aca="false">IF(SUM($AO82)=0,"",IF(AND(SUM($AO82)&gt;0,$AQ82=""),"ENTER YIELD RATE",ROUND($AO82*$AQ82,0)))</f>
        <v/>
      </c>
      <c r="AT82" s="39" t="str">
        <f aca="false">IF(SUM($AO82)=0,"",$AO82-SUM($AS82))</f>
        <v/>
      </c>
      <c r="AU82" s="10" t="str">
        <f aca="false">IF(SUM($AS82)=0,"",ROUND($AS82*$AR82,0))</f>
        <v/>
      </c>
      <c r="AV82" s="10" t="str">
        <f aca="false">IFERROR(1/(1/SUM($AC82,$AB82,$AS82)),"")</f>
        <v/>
      </c>
      <c r="AW82" s="10" t="str">
        <f aca="false">IFERROR(1/(1/INDEX(Cascade!$BH:$BH,MATCH($E82,Cascade!$E:$E,0))),"")</f>
        <v/>
      </c>
      <c r="AX82" s="10" t="str">
        <f aca="false">IF(SUM($AC82)=0,"",$AC82)</f>
        <v/>
      </c>
      <c r="AY82" s="10" t="str">
        <f aca="false">IF(SUM($AS82)=0,"",$AS82)</f>
        <v/>
      </c>
      <c r="AZ82" s="10" t="str">
        <f aca="false">IFERROR(1/(1/INDEX(TB!$P:$P,MATCH($E82,TB!$E:$E,0))),"")</f>
        <v/>
      </c>
      <c r="BA82" s="10" t="str">
        <f aca="false">IFERROR(1/(1/(SUM($AW82)-SUM($AX82:$AZ82))),"")</f>
        <v/>
      </c>
    </row>
    <row r="83" customFormat="false" ht="15" hidden="false" customHeight="false" outlineLevel="0" collapsed="false">
      <c r="A83" s="0" t="str">
        <f aca="false">INDEX(Prioritization!$D:$D,MATCH($B83,Prioritization!$A:$A,0))</f>
        <v>1 - Scale-up: Saturation</v>
      </c>
      <c r="B83" s="0" t="s">
        <v>207</v>
      </c>
      <c r="C83" s="0" t="s">
        <v>367</v>
      </c>
      <c r="D83" s="0" t="s">
        <v>30</v>
      </c>
      <c r="E83" s="0" t="str">
        <f aca="false">B83&amp;"|"&amp;C83&amp;"|"&amp;D83</f>
        <v>Mzimba District [vA4NcHxfMBq]|35-49|Female</v>
      </c>
      <c r="F83" s="10" t="n">
        <f aca="false">IF(LEFT($B83,4)="_Mil","",INDEX(Cascade!$T:$T,MATCH($E83,Cascade!$E:$E,0)))</f>
        <v>1178</v>
      </c>
      <c r="G83" s="10" t="str">
        <f aca="false">IF(LEFT($B83,4)="_Mil","",INDEX(Cascade!$U:$U,MATCH($E83,Cascade!$E:$E,0)))</f>
        <v/>
      </c>
      <c r="H83" s="86" t="n">
        <f aca="false">IF(LEFT($B83,4)="_Mil","",INDEX(Cascade!$W:$W,MATCH($E83,Cascade!$E:$E,0)))</f>
        <v>1121</v>
      </c>
      <c r="I83" s="10" t="n">
        <f aca="false">IF(LEFT($B83,4)="_Mil","",INDEX(Cascade!$Z:$Z,MATCH($E83,Cascade!$E:$E,0)))</f>
        <v>1804</v>
      </c>
      <c r="J83" s="88" t="n">
        <f aca="false">IF(LEFT($B83,4)="_Mil","",INDEX(Cascade!$AA:$AA,MATCH($E83,Cascade!$E:$E,0)))</f>
        <v>918</v>
      </c>
      <c r="K83" s="39" t="n">
        <f aca="false">IF(LEFT($B83,4)="_Mil","",_xlfn.IFNA(ROUND(INDEX(Spectrum!$N:$N,MATCH(RIGHT($B83,13)&amp;"|"&amp;$C83&amp;"|"&amp;$D83&amp;"|"&amp;K$14&amp;"|"&amp;"CY2023Q3",Spectrum!$R:$R,0)),0),""))</f>
        <v>1133</v>
      </c>
      <c r="L83" s="39" t="str">
        <f aca="false">IF(LEFT($B83,4)="_Mil","",_xlfn.IFNA(ROUND(INDEX(Spectrum!$N:$N,MATCH(RIGHT($B83,13)&amp;"|"&amp;$C83&amp;"|"&amp;$D83&amp;"|"&amp;L$14&amp;"|"&amp;"CY2023Q3",Spectrum!$R:$R,0)),0),""))</f>
        <v/>
      </c>
      <c r="M83" s="39" t="n">
        <f aca="false">IF(LEFT($B83,4)="_Mil","",_xlfn.IFNA(ROUND(INDEX(Spectrum!$N:$N,MATCH(RIGHT($B83,13)&amp;"|"&amp;$C83&amp;"|"&amp;$D83&amp;"|"&amp;M$14&amp;"|"&amp;"CY2023Q3",Spectrum!$R:$R,0)),0),""))</f>
        <v>1600</v>
      </c>
      <c r="N83" s="39" t="n">
        <f aca="false">IF(LEFT($B83,4)="_Mil","",_xlfn.IFNA(ROUND(INDEX(Spectrum!$N:$N,MATCH(RIGHT($B83,13)&amp;"|"&amp;$C83&amp;"|"&amp;$D83&amp;"|"&amp;N$14&amp;"|"&amp;"CY2023Q3",Spectrum!$R:$R,0)),0),""))</f>
        <v>909</v>
      </c>
      <c r="O83" s="39" t="n">
        <f aca="false">IF(LEFT($B83,4)="_Mil","",_xlfn.IFNA(ROUND(INDEX(Spectrum!$N:$N,MATCH(RIGHT($B83,13)&amp;"|"&amp;$C83&amp;"|"&amp;$D83&amp;"|"&amp;O$14&amp;"|"&amp;"CY2023Q3",Spectrum!$R:$R,0)),0),""))</f>
        <v>540</v>
      </c>
      <c r="P83" s="39" t="n">
        <f aca="false">IF(LEFT($B83,4)="_Mil","",_xlfn.IFNA(ROUND(INDEX(Spectrum!$N:$N,MATCH(RIGHT($B83,13)&amp;"|"&amp;$C83&amp;"|"&amp;$D83&amp;"|"&amp;P$14&amp;"|"&amp;"CY2023Q3",Spectrum!$R:$R,0)),0),""))</f>
        <v>1924</v>
      </c>
      <c r="Q83" s="39" t="str">
        <f aca="false">IF(LEFT($B83,4)="_Mil","",_xlfn.IFNA(ROUND(INDEX(Spectrum!$N:$N,MATCH(RIGHT($B83,13)&amp;"|"&amp;$C83&amp;"|"&amp;$D83&amp;"|"&amp;Q$14&amp;"|"&amp;"CY2022Q3",Spectrum!$R:$R,0)),0),""))</f>
        <v/>
      </c>
      <c r="R83" s="10"/>
      <c r="S83" s="88" t="n">
        <f aca="false">0</f>
        <v>0</v>
      </c>
      <c r="T83" s="39" t="str">
        <f aca="false">IF(SUM($R83)=0,"",ROUND($R83*(1+$S83),0))</f>
        <v/>
      </c>
      <c r="U83" s="88" t="n">
        <f aca="false">IF(LEFT($B83,4)="_Mil","",IF(SUM($K83)=0,IF(SUM($R83)=0,"",1),MIN($R83/$K83,1)))</f>
        <v>0</v>
      </c>
      <c r="V83" s="39" t="str">
        <f aca="false">IF(OR(SUM($T83)=0,LEFT($B83,4)="_Mil"),"",ROUND($T83/$U83,0))</f>
        <v/>
      </c>
      <c r="W83" s="88"/>
      <c r="X83" s="88" t="n">
        <f aca="false">IF(SUM($K83,$W83)=0,"",MAX(IFERROR(SUM($L83)/$K83,0),SUM($W83)))</f>
        <v>0</v>
      </c>
      <c r="Y83" s="88"/>
      <c r="Z83" s="88" t="n">
        <f aca="false">IF(SUM($K83,$Y83)=0,"",MIN(SUM($Y83),IFERROR(SUM($M83)/(SUM($K83)-SUM($L83)),1)))</f>
        <v>0</v>
      </c>
      <c r="AA83" s="10" t="str">
        <f aca="false">$T83</f>
        <v/>
      </c>
      <c r="AB83" s="39" t="str">
        <f aca="false">IF(SUM($AA83)=0,"",IF(AND(SUM($AA83)&gt;0,$X83=""),"ENTER KNOWN POSITIVITY RATE",ROUND($AA83*$X83,0)))</f>
        <v/>
      </c>
      <c r="AC83" s="39" t="str">
        <f aca="false">IF(SUM($AA83)=0,"",IF(AND((SUM($AA83)-SUM($AB83))&gt;0,$Z83=""),"ENTER YIELD RATE",ROUND(($AA83-SUM($AB83))*$Z83,0)))</f>
        <v/>
      </c>
      <c r="AD83" s="39" t="str">
        <f aca="false">IF(SUM($AA83)=0,"",$AA83-SUM($AB83)-SUM($AC83))</f>
        <v/>
      </c>
      <c r="AE83" s="10" t="str">
        <f aca="false">$V83</f>
        <v/>
      </c>
      <c r="AF83" s="39" t="str">
        <f aca="false">IF(SUM($AE83)=0,"",ROUND($AE83*SUM($X83),0))</f>
        <v/>
      </c>
      <c r="AG83" s="39" t="str">
        <f aca="false">IF(SUM($AE83)=0,"",ROUND(($AE83-SUM($AF83))*SUM($Z83),0))</f>
        <v/>
      </c>
      <c r="AH83" s="39" t="str">
        <f aca="false">IF(SUM($AE83)=0,"",$AE83-SUM($AF83)-SUM($AG83))</f>
        <v/>
      </c>
      <c r="AI83" s="88" t="str">
        <f aca="false">IF(SUM($AC83)=0,"",INDEX(Cascade!$BG:$BG,MATCH($E83,Cascade!$E:$E,0)))</f>
        <v/>
      </c>
      <c r="AJ83" s="39" t="str">
        <f aca="false">$AB83</f>
        <v/>
      </c>
      <c r="AK83" s="39" t="str">
        <f aca="false">IF(SUM($AC83)=0,"",IF(AND($AI83="",SUM($AC83)&gt;0),"&lt;- Enter Linkage Rate",ROUND($AC83*$AI83,0)))</f>
        <v/>
      </c>
      <c r="AL83" s="39" t="str">
        <f aca="false">IF(SUM($AF83,$AG83)=0,"",SUM($AF83,$AG83))</f>
        <v/>
      </c>
      <c r="AM83" s="39" t="str">
        <f aca="false">$AF83</f>
        <v/>
      </c>
      <c r="AN83" s="39" t="str">
        <f aca="false">IF(SUM($AG83)=0,"",ROUND($AG83*SUM($AI83),0))</f>
        <v/>
      </c>
      <c r="AO83" s="10" t="str">
        <f aca="false">IFERROR(1/(1/MAX(SUM($T83)-SUM($AB83,$AC83),$AD83)),"")</f>
        <v/>
      </c>
      <c r="AP83" s="88"/>
      <c r="AQ83" s="88" t="str">
        <f aca="false">IF($AP83="","",$AP83)</f>
        <v/>
      </c>
      <c r="AR83" s="88" t="str">
        <f aca="false">IF(SUM($AO83)=0,"",INDEX(Cascade!$BG:$BG,MATCH($E83,Cascade!$E:$E,0)))</f>
        <v/>
      </c>
      <c r="AS83" s="39" t="str">
        <f aca="false">IF(SUM($AO83)=0,"",IF(AND(SUM($AO83)&gt;0,$AQ83=""),"ENTER YIELD RATE",ROUND($AO83*$AQ83,0)))</f>
        <v/>
      </c>
      <c r="AT83" s="39" t="str">
        <f aca="false">IF(SUM($AO83)=0,"",$AO83-SUM($AS83))</f>
        <v/>
      </c>
      <c r="AU83" s="10" t="str">
        <f aca="false">IF(SUM($AS83)=0,"",ROUND($AS83*$AR83,0))</f>
        <v/>
      </c>
      <c r="AV83" s="10" t="str">
        <f aca="false">IFERROR(1/(1/SUM($AC83,$AB83,$AS83)),"")</f>
        <v/>
      </c>
      <c r="AW83" s="10" t="str">
        <f aca="false">IFERROR(1/(1/INDEX(Cascade!$BH:$BH,MATCH($E83,Cascade!$E:$E,0))),"")</f>
        <v/>
      </c>
      <c r="AX83" s="10" t="str">
        <f aca="false">IF(SUM($AC83)=0,"",$AC83)</f>
        <v/>
      </c>
      <c r="AY83" s="10" t="str">
        <f aca="false">IF(SUM($AS83)=0,"",$AS83)</f>
        <v/>
      </c>
      <c r="AZ83" s="10" t="str">
        <f aca="false">IFERROR(1/(1/INDEX(TB!$P:$P,MATCH($E83,TB!$E:$E,0))),"")</f>
        <v/>
      </c>
      <c r="BA83" s="10" t="str">
        <f aca="false">IFERROR(1/(1/(SUM($AW83)-SUM($AX83:$AZ83))),"")</f>
        <v/>
      </c>
    </row>
    <row r="84" customFormat="false" ht="15" hidden="false" customHeight="false" outlineLevel="0" collapsed="false">
      <c r="A84" s="0" t="str">
        <f aca="false">INDEX(Prioritization!$D:$D,MATCH($B84,Prioritization!$A:$A,0))</f>
        <v>1 - Scale-up: Saturation</v>
      </c>
      <c r="B84" s="0" t="s">
        <v>207</v>
      </c>
      <c r="C84" s="0" t="s">
        <v>368</v>
      </c>
      <c r="D84" s="0" t="s">
        <v>30</v>
      </c>
      <c r="E84" s="0" t="str">
        <f aca="false">B84&amp;"|"&amp;C84&amp;"|"&amp;D84</f>
        <v>Mzimba District [vA4NcHxfMBq]|50+|Female</v>
      </c>
      <c r="F84" s="10" t="n">
        <f aca="false">IF(LEFT($B84,4)="_Mil","",INDEX(Cascade!$T:$T,MATCH($E84,Cascade!$E:$E,0)))</f>
        <v>1385</v>
      </c>
      <c r="G84" s="10" t="str">
        <f aca="false">IF(LEFT($B84,4)="_Mil","",INDEX(Cascade!$U:$U,MATCH($E84,Cascade!$E:$E,0)))</f>
        <v/>
      </c>
      <c r="H84" s="86" t="n">
        <f aca="false">IF(LEFT($B84,4)="_Mil","",INDEX(Cascade!$W:$W,MATCH($E84,Cascade!$E:$E,0)))</f>
        <v>1596</v>
      </c>
      <c r="I84" s="10" t="n">
        <f aca="false">IF(LEFT($B84,4)="_Mil","",INDEX(Cascade!$Z:$Z,MATCH($E84,Cascade!$E:$E,0)))</f>
        <v>1051</v>
      </c>
      <c r="J84" s="88" t="n">
        <f aca="false">IF(LEFT($B84,4)="_Mil","",INDEX(Cascade!$AA:$AA,MATCH($E84,Cascade!$E:$E,0)))</f>
        <v>1687</v>
      </c>
      <c r="K84" s="39" t="str">
        <f aca="false">IF(LEFT($B84,4)="_Mil","",_xlfn.IFNA(ROUND(INDEX(Spectrum!$N:$N,MATCH(RIGHT($B84,13)&amp;"|"&amp;$C84&amp;"|"&amp;$D84&amp;"|"&amp;K$14&amp;"|"&amp;"CY2023Q3",Spectrum!$R:$R,0)),0),""))</f>
        <v/>
      </c>
      <c r="L84" s="39" t="str">
        <f aca="false">IF(LEFT($B84,4)="_Mil","",_xlfn.IFNA(ROUND(INDEX(Spectrum!$N:$N,MATCH(RIGHT($B84,13)&amp;"|"&amp;$C84&amp;"|"&amp;$D84&amp;"|"&amp;L$14&amp;"|"&amp;"CY2023Q3",Spectrum!$R:$R,0)),0),""))</f>
        <v/>
      </c>
      <c r="M84" s="39" t="str">
        <f aca="false">IF(LEFT($B84,4)="_Mil","",_xlfn.IFNA(ROUND(INDEX(Spectrum!$N:$N,MATCH(RIGHT($B84,13)&amp;"|"&amp;$C84&amp;"|"&amp;$D84&amp;"|"&amp;M$14&amp;"|"&amp;"CY2023Q3",Spectrum!$R:$R,0)),0),""))</f>
        <v/>
      </c>
      <c r="N84" s="39" t="str">
        <f aca="false">IF(LEFT($B84,4)="_Mil","",_xlfn.IFNA(ROUND(INDEX(Spectrum!$N:$N,MATCH(RIGHT($B84,13)&amp;"|"&amp;$C84&amp;"|"&amp;$D84&amp;"|"&amp;N$14&amp;"|"&amp;"CY2023Q3",Spectrum!$R:$R,0)),0),""))</f>
        <v/>
      </c>
      <c r="O84" s="39" t="str">
        <f aca="false">IF(LEFT($B84,4)="_Mil","",_xlfn.IFNA(ROUND(INDEX(Spectrum!$N:$N,MATCH(RIGHT($B84,13)&amp;"|"&amp;$C84&amp;"|"&amp;$D84&amp;"|"&amp;O$14&amp;"|"&amp;"CY2023Q3",Spectrum!$R:$R,0)),0),""))</f>
        <v/>
      </c>
      <c r="P84" s="39" t="str">
        <f aca="false">IF(LEFT($B84,4)="_Mil","",_xlfn.IFNA(ROUND(INDEX(Spectrum!$N:$N,MATCH(RIGHT($B84,13)&amp;"|"&amp;$C84&amp;"|"&amp;$D84&amp;"|"&amp;P$14&amp;"|"&amp;"CY2023Q3",Spectrum!$R:$R,0)),0),""))</f>
        <v/>
      </c>
      <c r="Q84" s="39" t="str">
        <f aca="false">IF(LEFT($B84,4)="_Mil","",_xlfn.IFNA(ROUND(INDEX(Spectrum!$N:$N,MATCH(RIGHT($B84,13)&amp;"|"&amp;$C84&amp;"|"&amp;$D84&amp;"|"&amp;Q$14&amp;"|"&amp;"CY2022Q3",Spectrum!$R:$R,0)),0),""))</f>
        <v/>
      </c>
      <c r="R84" s="10"/>
      <c r="S84" s="88" t="n">
        <f aca="false">0</f>
        <v>0</v>
      </c>
      <c r="T84" s="39" t="str">
        <f aca="false">IF(SUM($R84)=0,"",ROUND($R84*(1+$S84),0))</f>
        <v/>
      </c>
      <c r="U84" s="88" t="str">
        <f aca="false">IF(LEFT($B84,4)="_Mil","",IF(SUM($K84)=0,IF(SUM($R84)=0,"",1),MIN($R84/$K84,1)))</f>
        <v/>
      </c>
      <c r="V84" s="39" t="str">
        <f aca="false">IF(OR(SUM($T84)=0,LEFT($B84,4)="_Mil"),"",ROUND($T84/$U84,0))</f>
        <v/>
      </c>
      <c r="W84" s="88"/>
      <c r="X84" s="88" t="str">
        <f aca="false">IF(SUM($K84,$W84)=0,"",MAX(IFERROR(SUM($L84)/$K84,0),SUM($W84)))</f>
        <v/>
      </c>
      <c r="Y84" s="88"/>
      <c r="Z84" s="88" t="str">
        <f aca="false">IF(SUM($K84,$Y84)=0,"",MIN(SUM($Y84),IFERROR(SUM($M84)/(SUM($K84)-SUM($L84)),1)))</f>
        <v/>
      </c>
      <c r="AA84" s="10" t="str">
        <f aca="false">$T84</f>
        <v/>
      </c>
      <c r="AB84" s="39" t="str">
        <f aca="false">IF(SUM($AA84)=0,"",IF(AND(SUM($AA84)&gt;0,$X84=""),"ENTER KNOWN POSITIVITY RATE",ROUND($AA84*$X84,0)))</f>
        <v/>
      </c>
      <c r="AC84" s="39" t="str">
        <f aca="false">IF(SUM($AA84)=0,"",IF(AND((SUM($AA84)-SUM($AB84))&gt;0,$Z84=""),"ENTER YIELD RATE",ROUND(($AA84-SUM($AB84))*$Z84,0)))</f>
        <v/>
      </c>
      <c r="AD84" s="39" t="str">
        <f aca="false">IF(SUM($AA84)=0,"",$AA84-SUM($AB84)-SUM($AC84))</f>
        <v/>
      </c>
      <c r="AE84" s="10" t="str">
        <f aca="false">$V84</f>
        <v/>
      </c>
      <c r="AF84" s="39" t="str">
        <f aca="false">IF(SUM($AE84)=0,"",ROUND($AE84*SUM($X84),0))</f>
        <v/>
      </c>
      <c r="AG84" s="39" t="str">
        <f aca="false">IF(SUM($AE84)=0,"",ROUND(($AE84-SUM($AF84))*SUM($Z84),0))</f>
        <v/>
      </c>
      <c r="AH84" s="39" t="str">
        <f aca="false">IF(SUM($AE84)=0,"",$AE84-SUM($AF84)-SUM($AG84))</f>
        <v/>
      </c>
      <c r="AI84" s="88" t="str">
        <f aca="false">IF(SUM($AC84)=0,"",INDEX(Cascade!$BG:$BG,MATCH($E84,Cascade!$E:$E,0)))</f>
        <v/>
      </c>
      <c r="AJ84" s="39" t="str">
        <f aca="false">$AB84</f>
        <v/>
      </c>
      <c r="AK84" s="39" t="str">
        <f aca="false">IF(SUM($AC84)=0,"",IF(AND($AI84="",SUM($AC84)&gt;0),"&lt;- Enter Linkage Rate",ROUND($AC84*$AI84,0)))</f>
        <v/>
      </c>
      <c r="AL84" s="39" t="str">
        <f aca="false">IF(SUM($AF84,$AG84)=0,"",SUM($AF84,$AG84))</f>
        <v/>
      </c>
      <c r="AM84" s="39" t="str">
        <f aca="false">$AF84</f>
        <v/>
      </c>
      <c r="AN84" s="39" t="str">
        <f aca="false">IF(SUM($AG84)=0,"",ROUND($AG84*SUM($AI84),0))</f>
        <v/>
      </c>
      <c r="AO84" s="10" t="str">
        <f aca="false">IFERROR(1/(1/MAX(SUM($T84)-SUM($AB84,$AC84),$AD84)),"")</f>
        <v/>
      </c>
      <c r="AP84" s="88"/>
      <c r="AQ84" s="88" t="str">
        <f aca="false">IF($AP84="","",$AP84)</f>
        <v/>
      </c>
      <c r="AR84" s="88" t="str">
        <f aca="false">IF(SUM($AO84)=0,"",INDEX(Cascade!$BG:$BG,MATCH($E84,Cascade!$E:$E,0)))</f>
        <v/>
      </c>
      <c r="AS84" s="39" t="str">
        <f aca="false">IF(SUM($AO84)=0,"",IF(AND(SUM($AO84)&gt;0,$AQ84=""),"ENTER YIELD RATE",ROUND($AO84*$AQ84,0)))</f>
        <v/>
      </c>
      <c r="AT84" s="39" t="str">
        <f aca="false">IF(SUM($AO84)=0,"",$AO84-SUM($AS84))</f>
        <v/>
      </c>
      <c r="AU84" s="10" t="str">
        <f aca="false">IF(SUM($AS84)=0,"",ROUND($AS84*$AR84,0))</f>
        <v/>
      </c>
      <c r="AV84" s="10" t="str">
        <f aca="false">IFERROR(1/(1/SUM($AC84,$AB84,$AS84)),"")</f>
        <v/>
      </c>
      <c r="AW84" s="10" t="str">
        <f aca="false">IFERROR(1/(1/INDEX(Cascade!$BH:$BH,MATCH($E84,Cascade!$E:$E,0))),"")</f>
        <v/>
      </c>
      <c r="AX84" s="10" t="str">
        <f aca="false">IF(SUM($AC84)=0,"",$AC84)</f>
        <v/>
      </c>
      <c r="AY84" s="10" t="str">
        <f aca="false">IF(SUM($AS84)=0,"",$AS84)</f>
        <v/>
      </c>
      <c r="AZ84" s="10" t="str">
        <f aca="false">IFERROR(1/(1/INDEX(TB!$P:$P,MATCH($E84,TB!$E:$E,0))),"")</f>
        <v/>
      </c>
      <c r="BA84" s="10" t="str">
        <f aca="false">IFERROR(1/(1/(SUM($AW84)-SUM($AX84:$AZ84))),"")</f>
        <v/>
      </c>
    </row>
    <row r="85" customFormat="false" ht="15" hidden="false" customHeight="false" outlineLevel="0" collapsed="false">
      <c r="A85" s="0" t="str">
        <f aca="false">INDEX(Prioritization!$D:$D,MATCH($B85,Prioritization!$A:$A,0))</f>
        <v>INVALID</v>
      </c>
      <c r="B85" s="0" t="s">
        <v>208</v>
      </c>
      <c r="C85" s="0" t="s">
        <v>364</v>
      </c>
      <c r="D85" s="0" t="s">
        <v>30</v>
      </c>
      <c r="E85" s="0" t="str">
        <f aca="false">B85&amp;"|"&amp;C85&amp;"|"&amp;D85</f>
        <v>Nkhata Bay District [E7zpfyBt7Tw]|10-14|Female</v>
      </c>
      <c r="F85" s="10" t="n">
        <f aca="false">IF(LEFT($B85,4)="_Mil","",INDEX(Cascade!$T:$T,MATCH($E85,Cascade!$E:$E,0)))</f>
        <v>830</v>
      </c>
      <c r="G85" s="10" t="str">
        <f aca="false">IF(LEFT($B85,4)="_Mil","",INDEX(Cascade!$U:$U,MATCH($E85,Cascade!$E:$E,0)))</f>
        <v/>
      </c>
      <c r="H85" s="86" t="n">
        <f aca="false">IF(LEFT($B85,4)="_Mil","",INDEX(Cascade!$W:$W,MATCH($E85,Cascade!$E:$E,0)))</f>
        <v>744</v>
      </c>
      <c r="I85" s="10" t="n">
        <f aca="false">IF(LEFT($B85,4)="_Mil","",INDEX(Cascade!$Z:$Z,MATCH($E85,Cascade!$E:$E,0)))</f>
        <v>1560</v>
      </c>
      <c r="J85" s="88" t="n">
        <f aca="false">IF(LEFT($B85,4)="_Mil","",INDEX(Cascade!$AA:$AA,MATCH($E85,Cascade!$E:$E,0)))</f>
        <v>1348</v>
      </c>
      <c r="K85" s="39" t="str">
        <f aca="false">IF(LEFT($B85,4)="_Mil","",_xlfn.IFNA(ROUND(INDEX(Spectrum!$N:$N,MATCH(RIGHT($B85,13)&amp;"|"&amp;$C85&amp;"|"&amp;$D85&amp;"|"&amp;K$14&amp;"|"&amp;"CY2023Q3",Spectrum!$R:$R,0)),0),""))</f>
        <v/>
      </c>
      <c r="L85" s="39" t="str">
        <f aca="false">IF(LEFT($B85,4)="_Mil","",_xlfn.IFNA(ROUND(INDEX(Spectrum!$N:$N,MATCH(RIGHT($B85,13)&amp;"|"&amp;$C85&amp;"|"&amp;$D85&amp;"|"&amp;L$14&amp;"|"&amp;"CY2023Q3",Spectrum!$R:$R,0)),0),""))</f>
        <v/>
      </c>
      <c r="M85" s="39" t="str">
        <f aca="false">IF(LEFT($B85,4)="_Mil","",_xlfn.IFNA(ROUND(INDEX(Spectrum!$N:$N,MATCH(RIGHT($B85,13)&amp;"|"&amp;$C85&amp;"|"&amp;$D85&amp;"|"&amp;M$14&amp;"|"&amp;"CY2023Q3",Spectrum!$R:$R,0)),0),""))</f>
        <v/>
      </c>
      <c r="N85" s="39" t="str">
        <f aca="false">IF(LEFT($B85,4)="_Mil","",_xlfn.IFNA(ROUND(INDEX(Spectrum!$N:$N,MATCH(RIGHT($B85,13)&amp;"|"&amp;$C85&amp;"|"&amp;$D85&amp;"|"&amp;N$14&amp;"|"&amp;"CY2023Q3",Spectrum!$R:$R,0)),0),""))</f>
        <v/>
      </c>
      <c r="O85" s="39" t="str">
        <f aca="false">IF(LEFT($B85,4)="_Mil","",_xlfn.IFNA(ROUND(INDEX(Spectrum!$N:$N,MATCH(RIGHT($B85,13)&amp;"|"&amp;$C85&amp;"|"&amp;$D85&amp;"|"&amp;O$14&amp;"|"&amp;"CY2023Q3",Spectrum!$R:$R,0)),0),""))</f>
        <v/>
      </c>
      <c r="P85" s="39" t="str">
        <f aca="false">IF(LEFT($B85,4)="_Mil","",_xlfn.IFNA(ROUND(INDEX(Spectrum!$N:$N,MATCH(RIGHT($B85,13)&amp;"|"&amp;$C85&amp;"|"&amp;$D85&amp;"|"&amp;P$14&amp;"|"&amp;"CY2023Q3",Spectrum!$R:$R,0)),0),""))</f>
        <v/>
      </c>
      <c r="Q85" s="39" t="str">
        <f aca="false">IF(LEFT($B85,4)="_Mil","",_xlfn.IFNA(ROUND(INDEX(Spectrum!$N:$N,MATCH(RIGHT($B85,13)&amp;"|"&amp;$C85&amp;"|"&amp;$D85&amp;"|"&amp;Q$14&amp;"|"&amp;"CY2022Q3",Spectrum!$R:$R,0)),0),""))</f>
        <v/>
      </c>
      <c r="R85" s="10" t="n">
        <v>4</v>
      </c>
      <c r="S85" s="88" t="n">
        <f aca="false">0</f>
        <v>0</v>
      </c>
      <c r="T85" s="39" t="n">
        <f aca="false">IF(SUM($R85)=0,"",ROUND($R85*(1+$S85),0))</f>
        <v>4</v>
      </c>
      <c r="U85" s="88" t="n">
        <f aca="false">IF(LEFT($B85,4)="_Mil","",IF(SUM($K85)=0,IF(SUM($R85)=0,"",1),MIN($R85/$K85,1)))</f>
        <v>1</v>
      </c>
      <c r="V85" s="39" t="n">
        <f aca="false">IF(OR(SUM($T85)=0,LEFT($B85,4)="_Mil"),"",ROUND($T85/$U85,0))</f>
        <v>4</v>
      </c>
      <c r="W85" s="88"/>
      <c r="X85" s="88" t="str">
        <f aca="false">IF(SUM($K85,$W85)=0,"",MAX(IFERROR(SUM($L85)/$K85,0),SUM($W85)))</f>
        <v/>
      </c>
      <c r="Y85" s="88"/>
      <c r="Z85" s="88" t="str">
        <f aca="false">IF(SUM($K85,$Y85)=0,"",MIN(SUM($Y85),IFERROR(SUM($M85)/(SUM($K85)-SUM($L85)),1)))</f>
        <v/>
      </c>
      <c r="AA85" s="10" t="n">
        <f aca="false">$T85</f>
        <v>4</v>
      </c>
      <c r="AB85" s="39" t="str">
        <f aca="false">IF(SUM($AA85)=0,"",IF(AND(SUM($AA85)&gt;0,$X85=""),"ENTER KNOWN POSITIVITY RATE",ROUND($AA85*$X85,0)))</f>
        <v>ENTER KNOWN POSITIVITY RATE</v>
      </c>
      <c r="AC85" s="39" t="str">
        <f aca="false">IF(SUM($AA85)=0,"",IF(AND((SUM($AA85)-SUM($AB85))&gt;0,$Z85=""),"ENTER YIELD RATE",ROUND(($AA85-SUM($AB85))*$Z85,0)))</f>
        <v>ENTER YIELD RATE</v>
      </c>
      <c r="AD85" s="39" t="n">
        <f aca="false">IF(SUM($AA85)=0,"",$AA85-SUM($AB85)-SUM($AC85))</f>
        <v>4</v>
      </c>
      <c r="AE85" s="10" t="n">
        <f aca="false">$V85</f>
        <v>4</v>
      </c>
      <c r="AF85" s="39" t="n">
        <f aca="false">IF(SUM($AE85)=0,"",ROUND($AE85*SUM($X85),0))</f>
        <v>0</v>
      </c>
      <c r="AG85" s="39" t="n">
        <f aca="false">IF(SUM($AE85)=0,"",ROUND(($AE85-SUM($AF85))*SUM($Z85),0))</f>
        <v>0</v>
      </c>
      <c r="AH85" s="39" t="n">
        <f aca="false">IF(SUM($AE85)=0,"",$AE85-SUM($AF85)-SUM($AG85))</f>
        <v>4</v>
      </c>
      <c r="AI85" s="88" t="str">
        <f aca="false">IF(SUM($AC85)=0,"",INDEX(Cascade!$BG:$BG,MATCH($E85,Cascade!$E:$E,0)))</f>
        <v/>
      </c>
      <c r="AJ85" s="39" t="str">
        <f aca="false">$AB85</f>
        <v>ENTER KNOWN POSITIVITY RATE</v>
      </c>
      <c r="AK85" s="39" t="str">
        <f aca="false">IF(SUM($AC85)=0,"",IF(AND($AI85="",SUM($AC85)&gt;0),"&lt;- Enter Linkage Rate",ROUND($AC85*$AI85,0)))</f>
        <v/>
      </c>
      <c r="AL85" s="39" t="str">
        <f aca="false">IF(SUM($AF85,$AG85)=0,"",SUM($AF85,$AG85))</f>
        <v/>
      </c>
      <c r="AM85" s="39" t="n">
        <f aca="false">$AF85</f>
        <v>0</v>
      </c>
      <c r="AN85" s="39" t="str">
        <f aca="false">IF(SUM($AG85)=0,"",ROUND($AG85*SUM($AI85),0))</f>
        <v/>
      </c>
      <c r="AO85" s="10" t="n">
        <f aca="false">IFERROR(1/(1/MAX(SUM($T85)-SUM($AB85,$AC85),$AD85)),"")</f>
        <v>4</v>
      </c>
      <c r="AP85" s="88"/>
      <c r="AQ85" s="88" t="str">
        <f aca="false">IF($AP85="","",$AP85)</f>
        <v/>
      </c>
      <c r="AR85" s="88" t="n">
        <f aca="false">IF(SUM($AO85)=0,"",INDEX(Cascade!$BG:$BG,MATCH($E85,Cascade!$E:$E,0)))</f>
        <v>0.95</v>
      </c>
      <c r="AS85" s="39" t="str">
        <f aca="false">IF(SUM($AO85)=0,"",IF(AND(SUM($AO85)&gt;0,$AQ85=""),"ENTER YIELD RATE",ROUND($AO85*$AQ85,0)))</f>
        <v>ENTER YIELD RATE</v>
      </c>
      <c r="AT85" s="39" t="n">
        <f aca="false">IF(SUM($AO85)=0,"",$AO85-SUM($AS85))</f>
        <v>4</v>
      </c>
      <c r="AU85" s="10" t="str">
        <f aca="false">IF(SUM($AS85)=0,"",ROUND($AS85*$AR85,0))</f>
        <v/>
      </c>
      <c r="AV85" s="10" t="str">
        <f aca="false">IFERROR(1/(1/SUM($AC85,$AB85,$AS85)),"")</f>
        <v/>
      </c>
      <c r="AW85" s="10" t="n">
        <f aca="false">IFERROR(1/(1/INDEX(Cascade!$BH:$BH,MATCH($E85,Cascade!$E:$E,0))),"")</f>
        <v>-76</v>
      </c>
      <c r="AX85" s="10" t="str">
        <f aca="false">IF(SUM($AC85)=0,"",$AC85)</f>
        <v/>
      </c>
      <c r="AY85" s="10" t="str">
        <f aca="false">IF(SUM($AS85)=0,"",$AS85)</f>
        <v/>
      </c>
      <c r="AZ85" s="10" t="str">
        <f aca="false">IFERROR(1/(1/INDEX(TB!$P:$P,MATCH($E85,TB!$E:$E,0))),"")</f>
        <v/>
      </c>
      <c r="BA85" s="10" t="n">
        <f aca="false">IFERROR(1/(1/(SUM($AW85)-SUM($AX85:$AZ85))),"")</f>
        <v>-76</v>
      </c>
    </row>
    <row r="86" customFormat="false" ht="15" hidden="false" customHeight="false" outlineLevel="0" collapsed="false">
      <c r="A86" s="0" t="str">
        <f aca="false">INDEX(Prioritization!$D:$D,MATCH($B86,Prioritization!$A:$A,0))</f>
        <v>INVALID</v>
      </c>
      <c r="B86" s="0" t="s">
        <v>208</v>
      </c>
      <c r="C86" s="0" t="s">
        <v>365</v>
      </c>
      <c r="D86" s="0" t="s">
        <v>30</v>
      </c>
      <c r="E86" s="0" t="str">
        <f aca="false">B86&amp;"|"&amp;C86&amp;"|"&amp;D86</f>
        <v>Nkhata Bay District [E7zpfyBt7Tw]|15-24|Female</v>
      </c>
      <c r="F86" s="10" t="n">
        <f aca="false">IF(LEFT($B86,4)="_Mil","",INDEX(Cascade!$T:$T,MATCH($E86,Cascade!$E:$E,0)))</f>
        <v>1878</v>
      </c>
      <c r="G86" s="10" t="str">
        <f aca="false">IF(LEFT($B86,4)="_Mil","",INDEX(Cascade!$U:$U,MATCH($E86,Cascade!$E:$E,0)))</f>
        <v/>
      </c>
      <c r="H86" s="86" t="n">
        <f aca="false">IF(LEFT($B86,4)="_Mil","",INDEX(Cascade!$W:$W,MATCH($E86,Cascade!$E:$E,0)))</f>
        <v>717</v>
      </c>
      <c r="I86" s="10" t="n">
        <f aca="false">IF(LEFT($B86,4)="_Mil","",INDEX(Cascade!$Z:$Z,MATCH($E86,Cascade!$E:$E,0)))</f>
        <v>1439</v>
      </c>
      <c r="J86" s="88" t="n">
        <f aca="false">IF(LEFT($B86,4)="_Mil","",INDEX(Cascade!$AA:$AA,MATCH($E86,Cascade!$E:$E,0)))</f>
        <v>1731</v>
      </c>
      <c r="K86" s="39" t="n">
        <f aca="false">IF(LEFT($B86,4)="_Mil","",_xlfn.IFNA(ROUND(INDEX(Spectrum!$N:$N,MATCH(RIGHT($B86,13)&amp;"|"&amp;$C86&amp;"|"&amp;$D86&amp;"|"&amp;K$14&amp;"|"&amp;"CY2023Q3",Spectrum!$R:$R,0)),0),""))</f>
        <v>1525</v>
      </c>
      <c r="L86" s="39" t="str">
        <f aca="false">IF(LEFT($B86,4)="_Mil","",_xlfn.IFNA(ROUND(INDEX(Spectrum!$N:$N,MATCH(RIGHT($B86,13)&amp;"|"&amp;$C86&amp;"|"&amp;$D86&amp;"|"&amp;L$14&amp;"|"&amp;"CY2023Q3",Spectrum!$R:$R,0)),0),""))</f>
        <v/>
      </c>
      <c r="M86" s="39" t="n">
        <f aca="false">IF(LEFT($B86,4)="_Mil","",_xlfn.IFNA(ROUND(INDEX(Spectrum!$N:$N,MATCH(RIGHT($B86,13)&amp;"|"&amp;$C86&amp;"|"&amp;$D86&amp;"|"&amp;M$14&amp;"|"&amp;"CY2023Q3",Spectrum!$R:$R,0)),0),""))</f>
        <v>545</v>
      </c>
      <c r="N86" s="39" t="n">
        <f aca="false">IF(LEFT($B86,4)="_Mil","",_xlfn.IFNA(ROUND(INDEX(Spectrum!$N:$N,MATCH(RIGHT($B86,13)&amp;"|"&amp;$C86&amp;"|"&amp;$D86&amp;"|"&amp;N$14&amp;"|"&amp;"CY2023Q3",Spectrum!$R:$R,0)),0),""))</f>
        <v>953</v>
      </c>
      <c r="O86" s="39" t="n">
        <f aca="false">IF(LEFT($B86,4)="_Mil","",_xlfn.IFNA(ROUND(INDEX(Spectrum!$N:$N,MATCH(RIGHT($B86,13)&amp;"|"&amp;$C86&amp;"|"&amp;$D86&amp;"|"&amp;O$14&amp;"|"&amp;"CY2023Q3",Spectrum!$R:$R,0)),0),""))</f>
        <v>623</v>
      </c>
      <c r="P86" s="39" t="n">
        <f aca="false">IF(LEFT($B86,4)="_Mil","",_xlfn.IFNA(ROUND(INDEX(Spectrum!$N:$N,MATCH(RIGHT($B86,13)&amp;"|"&amp;$C86&amp;"|"&amp;$D86&amp;"|"&amp;P$14&amp;"|"&amp;"CY2023Q3",Spectrum!$R:$R,0)),0),""))</f>
        <v>658</v>
      </c>
      <c r="Q86" s="39" t="str">
        <f aca="false">IF(LEFT($B86,4)="_Mil","",_xlfn.IFNA(ROUND(INDEX(Spectrum!$N:$N,MATCH(RIGHT($B86,13)&amp;"|"&amp;$C86&amp;"|"&amp;$D86&amp;"|"&amp;Q$14&amp;"|"&amp;"CY2022Q3",Spectrum!$R:$R,0)),0),""))</f>
        <v/>
      </c>
      <c r="R86" s="10"/>
      <c r="S86" s="88" t="n">
        <f aca="false">0</f>
        <v>0</v>
      </c>
      <c r="T86" s="39" t="str">
        <f aca="false">IF(SUM($R86)=0,"",ROUND($R86*(1+$S86),0))</f>
        <v/>
      </c>
      <c r="U86" s="88" t="n">
        <f aca="false">IF(LEFT($B86,4)="_Mil","",IF(SUM($K86)=0,IF(SUM($R86)=0,"",1),MIN($R86/$K86,1)))</f>
        <v>0</v>
      </c>
      <c r="V86" s="39" t="str">
        <f aca="false">IF(OR(SUM($T86)=0,LEFT($B86,4)="_Mil"),"",ROUND($T86/$U86,0))</f>
        <v/>
      </c>
      <c r="W86" s="88"/>
      <c r="X86" s="88" t="n">
        <f aca="false">IF(SUM($K86,$W86)=0,"",MAX(IFERROR(SUM($L86)/$K86,0),SUM($W86)))</f>
        <v>0</v>
      </c>
      <c r="Y86" s="88"/>
      <c r="Z86" s="88" t="n">
        <f aca="false">IF(SUM($K86,$Y86)=0,"",MIN(SUM($Y86),IFERROR(SUM($M86)/(SUM($K86)-SUM($L86)),1)))</f>
        <v>0</v>
      </c>
      <c r="AA86" s="10" t="str">
        <f aca="false">$T86</f>
        <v/>
      </c>
      <c r="AB86" s="39" t="str">
        <f aca="false">IF(SUM($AA86)=0,"",IF(AND(SUM($AA86)&gt;0,$X86=""),"ENTER KNOWN POSITIVITY RATE",ROUND($AA86*$X86,0)))</f>
        <v/>
      </c>
      <c r="AC86" s="39" t="str">
        <f aca="false">IF(SUM($AA86)=0,"",IF(AND((SUM($AA86)-SUM($AB86))&gt;0,$Z86=""),"ENTER YIELD RATE",ROUND(($AA86-SUM($AB86))*$Z86,0)))</f>
        <v/>
      </c>
      <c r="AD86" s="39" t="str">
        <f aca="false">IF(SUM($AA86)=0,"",$AA86-SUM($AB86)-SUM($AC86))</f>
        <v/>
      </c>
      <c r="AE86" s="10" t="str">
        <f aca="false">$V86</f>
        <v/>
      </c>
      <c r="AF86" s="39" t="str">
        <f aca="false">IF(SUM($AE86)=0,"",ROUND($AE86*SUM($X86),0))</f>
        <v/>
      </c>
      <c r="AG86" s="39" t="str">
        <f aca="false">IF(SUM($AE86)=0,"",ROUND(($AE86-SUM($AF86))*SUM($Z86),0))</f>
        <v/>
      </c>
      <c r="AH86" s="39" t="str">
        <f aca="false">IF(SUM($AE86)=0,"",$AE86-SUM($AF86)-SUM($AG86))</f>
        <v/>
      </c>
      <c r="AI86" s="88" t="str">
        <f aca="false">IF(SUM($AC86)=0,"",INDEX(Cascade!$BG:$BG,MATCH($E86,Cascade!$E:$E,0)))</f>
        <v/>
      </c>
      <c r="AJ86" s="39" t="str">
        <f aca="false">$AB86</f>
        <v/>
      </c>
      <c r="AK86" s="39" t="str">
        <f aca="false">IF(SUM($AC86)=0,"",IF(AND($AI86="",SUM($AC86)&gt;0),"&lt;- Enter Linkage Rate",ROUND($AC86*$AI86,0)))</f>
        <v/>
      </c>
      <c r="AL86" s="39" t="str">
        <f aca="false">IF(SUM($AF86,$AG86)=0,"",SUM($AF86,$AG86))</f>
        <v/>
      </c>
      <c r="AM86" s="39" t="str">
        <f aca="false">$AF86</f>
        <v/>
      </c>
      <c r="AN86" s="39" t="str">
        <f aca="false">IF(SUM($AG86)=0,"",ROUND($AG86*SUM($AI86),0))</f>
        <v/>
      </c>
      <c r="AO86" s="10" t="str">
        <f aca="false">IFERROR(1/(1/MAX(SUM($T86)-SUM($AB86,$AC86),$AD86)),"")</f>
        <v/>
      </c>
      <c r="AP86" s="88"/>
      <c r="AQ86" s="88" t="str">
        <f aca="false">IF($AP86="","",$AP86)</f>
        <v/>
      </c>
      <c r="AR86" s="88" t="str">
        <f aca="false">IF(SUM($AO86)=0,"",INDEX(Cascade!$BG:$BG,MATCH($E86,Cascade!$E:$E,0)))</f>
        <v/>
      </c>
      <c r="AS86" s="39" t="str">
        <f aca="false">IF(SUM($AO86)=0,"",IF(AND(SUM($AO86)&gt;0,$AQ86=""),"ENTER YIELD RATE",ROUND($AO86*$AQ86,0)))</f>
        <v/>
      </c>
      <c r="AT86" s="39" t="str">
        <f aca="false">IF(SUM($AO86)=0,"",$AO86-SUM($AS86))</f>
        <v/>
      </c>
      <c r="AU86" s="10" t="str">
        <f aca="false">IF(SUM($AS86)=0,"",ROUND($AS86*$AR86,0))</f>
        <v/>
      </c>
      <c r="AV86" s="10" t="str">
        <f aca="false">IFERROR(1/(1/SUM($AC86,$AB86,$AS86)),"")</f>
        <v/>
      </c>
      <c r="AW86" s="10" t="str">
        <f aca="false">IFERROR(1/(1/INDEX(Cascade!$BH:$BH,MATCH($E86,Cascade!$E:$E,0))),"")</f>
        <v/>
      </c>
      <c r="AX86" s="10" t="str">
        <f aca="false">IF(SUM($AC86)=0,"",$AC86)</f>
        <v/>
      </c>
      <c r="AY86" s="10" t="str">
        <f aca="false">IF(SUM($AS86)=0,"",$AS86)</f>
        <v/>
      </c>
      <c r="AZ86" s="10" t="str">
        <f aca="false">IFERROR(1/(1/INDEX(TB!$P:$P,MATCH($E86,TB!$E:$E,0))),"")</f>
        <v/>
      </c>
      <c r="BA86" s="10" t="str">
        <f aca="false">IFERROR(1/(1/(SUM($AW86)-SUM($AX86:$AZ86))),"")</f>
        <v/>
      </c>
    </row>
    <row r="87" customFormat="false" ht="15" hidden="false" customHeight="false" outlineLevel="0" collapsed="false">
      <c r="A87" s="0" t="str">
        <f aca="false">INDEX(Prioritization!$D:$D,MATCH($B87,Prioritization!$A:$A,0))</f>
        <v>INVALID</v>
      </c>
      <c r="B87" s="0" t="s">
        <v>208</v>
      </c>
      <c r="C87" s="0" t="s">
        <v>366</v>
      </c>
      <c r="D87" s="0" t="s">
        <v>30</v>
      </c>
      <c r="E87" s="0" t="str">
        <f aca="false">B87&amp;"|"&amp;C87&amp;"|"&amp;D87</f>
        <v>Nkhata Bay District [E7zpfyBt7Tw]|25-34|Female</v>
      </c>
      <c r="F87" s="10" t="n">
        <f aca="false">IF(LEFT($B87,4)="_Mil","",INDEX(Cascade!$T:$T,MATCH($E87,Cascade!$E:$E,0)))</f>
        <v>795</v>
      </c>
      <c r="G87" s="10" t="str">
        <f aca="false">IF(LEFT($B87,4)="_Mil","",INDEX(Cascade!$U:$U,MATCH($E87,Cascade!$E:$E,0)))</f>
        <v/>
      </c>
      <c r="H87" s="86" t="n">
        <f aca="false">IF(LEFT($B87,4)="_Mil","",INDEX(Cascade!$W:$W,MATCH($E87,Cascade!$E:$E,0)))</f>
        <v>1859</v>
      </c>
      <c r="I87" s="10" t="n">
        <f aca="false">IF(LEFT($B87,4)="_Mil","",INDEX(Cascade!$Z:$Z,MATCH($E87,Cascade!$E:$E,0)))</f>
        <v>1692</v>
      </c>
      <c r="J87" s="88" t="n">
        <f aca="false">IF(LEFT($B87,4)="_Mil","",INDEX(Cascade!$AA:$AA,MATCH($E87,Cascade!$E:$E,0)))</f>
        <v>2000</v>
      </c>
      <c r="K87" s="39" t="n">
        <f aca="false">IF(LEFT($B87,4)="_Mil","",_xlfn.IFNA(ROUND(INDEX(Spectrum!$N:$N,MATCH(RIGHT($B87,13)&amp;"|"&amp;$C87&amp;"|"&amp;$D87&amp;"|"&amp;K$14&amp;"|"&amp;"CY2023Q3",Spectrum!$R:$R,0)),0),""))</f>
        <v>552</v>
      </c>
      <c r="L87" s="39" t="str">
        <f aca="false">IF(LEFT($B87,4)="_Mil","",_xlfn.IFNA(ROUND(INDEX(Spectrum!$N:$N,MATCH(RIGHT($B87,13)&amp;"|"&amp;$C87&amp;"|"&amp;$D87&amp;"|"&amp;L$14&amp;"|"&amp;"CY2023Q3",Spectrum!$R:$R,0)),0),""))</f>
        <v/>
      </c>
      <c r="M87" s="39" t="n">
        <f aca="false">IF(LEFT($B87,4)="_Mil","",_xlfn.IFNA(ROUND(INDEX(Spectrum!$N:$N,MATCH(RIGHT($B87,13)&amp;"|"&amp;$C87&amp;"|"&amp;$D87&amp;"|"&amp;M$14&amp;"|"&amp;"CY2023Q3",Spectrum!$R:$R,0)),0),""))</f>
        <v>1581</v>
      </c>
      <c r="N87" s="39" t="n">
        <f aca="false">IF(LEFT($B87,4)="_Mil","",_xlfn.IFNA(ROUND(INDEX(Spectrum!$N:$N,MATCH(RIGHT($B87,13)&amp;"|"&amp;$C87&amp;"|"&amp;$D87&amp;"|"&amp;N$14&amp;"|"&amp;"CY2023Q3",Spectrum!$R:$R,0)),0),""))</f>
        <v>1030</v>
      </c>
      <c r="O87" s="39" t="n">
        <f aca="false">IF(LEFT($B87,4)="_Mil","",_xlfn.IFNA(ROUND(INDEX(Spectrum!$N:$N,MATCH(RIGHT($B87,13)&amp;"|"&amp;$C87&amp;"|"&amp;$D87&amp;"|"&amp;O$14&amp;"|"&amp;"CY2023Q3",Spectrum!$R:$R,0)),0),""))</f>
        <v>1475</v>
      </c>
      <c r="P87" s="39" t="n">
        <f aca="false">IF(LEFT($B87,4)="_Mil","",_xlfn.IFNA(ROUND(INDEX(Spectrum!$N:$N,MATCH(RIGHT($B87,13)&amp;"|"&amp;$C87&amp;"|"&amp;$D87&amp;"|"&amp;P$14&amp;"|"&amp;"CY2023Q3",Spectrum!$R:$R,0)),0),""))</f>
        <v>978</v>
      </c>
      <c r="Q87" s="39" t="str">
        <f aca="false">IF(LEFT($B87,4)="_Mil","",_xlfn.IFNA(ROUND(INDEX(Spectrum!$N:$N,MATCH(RIGHT($B87,13)&amp;"|"&amp;$C87&amp;"|"&amp;$D87&amp;"|"&amp;Q$14&amp;"|"&amp;"CY2022Q3",Spectrum!$R:$R,0)),0),""))</f>
        <v/>
      </c>
      <c r="R87" s="10"/>
      <c r="S87" s="88" t="n">
        <f aca="false">0</f>
        <v>0</v>
      </c>
      <c r="T87" s="39" t="str">
        <f aca="false">IF(SUM($R87)=0,"",ROUND($R87*(1+$S87),0))</f>
        <v/>
      </c>
      <c r="U87" s="88" t="n">
        <f aca="false">IF(LEFT($B87,4)="_Mil","",IF(SUM($K87)=0,IF(SUM($R87)=0,"",1),MIN($R87/$K87,1)))</f>
        <v>0</v>
      </c>
      <c r="V87" s="39" t="str">
        <f aca="false">IF(OR(SUM($T87)=0,LEFT($B87,4)="_Mil"),"",ROUND($T87/$U87,0))</f>
        <v/>
      </c>
      <c r="W87" s="88"/>
      <c r="X87" s="88" t="n">
        <f aca="false">IF(SUM($K87,$W87)=0,"",MAX(IFERROR(SUM($L87)/$K87,0),SUM($W87)))</f>
        <v>0</v>
      </c>
      <c r="Y87" s="88"/>
      <c r="Z87" s="88" t="n">
        <f aca="false">IF(SUM($K87,$Y87)=0,"",MIN(SUM($Y87),IFERROR(SUM($M87)/(SUM($K87)-SUM($L87)),1)))</f>
        <v>0</v>
      </c>
      <c r="AA87" s="10" t="str">
        <f aca="false">$T87</f>
        <v/>
      </c>
      <c r="AB87" s="39" t="str">
        <f aca="false">IF(SUM($AA87)=0,"",IF(AND(SUM($AA87)&gt;0,$X87=""),"ENTER KNOWN POSITIVITY RATE",ROUND($AA87*$X87,0)))</f>
        <v/>
      </c>
      <c r="AC87" s="39" t="str">
        <f aca="false">IF(SUM($AA87)=0,"",IF(AND((SUM($AA87)-SUM($AB87))&gt;0,$Z87=""),"ENTER YIELD RATE",ROUND(($AA87-SUM($AB87))*$Z87,0)))</f>
        <v/>
      </c>
      <c r="AD87" s="39" t="str">
        <f aca="false">IF(SUM($AA87)=0,"",$AA87-SUM($AB87)-SUM($AC87))</f>
        <v/>
      </c>
      <c r="AE87" s="10" t="str">
        <f aca="false">$V87</f>
        <v/>
      </c>
      <c r="AF87" s="39" t="str">
        <f aca="false">IF(SUM($AE87)=0,"",ROUND($AE87*SUM($X87),0))</f>
        <v/>
      </c>
      <c r="AG87" s="39" t="str">
        <f aca="false">IF(SUM($AE87)=0,"",ROUND(($AE87-SUM($AF87))*SUM($Z87),0))</f>
        <v/>
      </c>
      <c r="AH87" s="39" t="str">
        <f aca="false">IF(SUM($AE87)=0,"",$AE87-SUM($AF87)-SUM($AG87))</f>
        <v/>
      </c>
      <c r="AI87" s="88" t="str">
        <f aca="false">IF(SUM($AC87)=0,"",INDEX(Cascade!$BG:$BG,MATCH($E87,Cascade!$E:$E,0)))</f>
        <v/>
      </c>
      <c r="AJ87" s="39" t="str">
        <f aca="false">$AB87</f>
        <v/>
      </c>
      <c r="AK87" s="39" t="str">
        <f aca="false">IF(SUM($AC87)=0,"",IF(AND($AI87="",SUM($AC87)&gt;0),"&lt;- Enter Linkage Rate",ROUND($AC87*$AI87,0)))</f>
        <v/>
      </c>
      <c r="AL87" s="39" t="str">
        <f aca="false">IF(SUM($AF87,$AG87)=0,"",SUM($AF87,$AG87))</f>
        <v/>
      </c>
      <c r="AM87" s="39" t="str">
        <f aca="false">$AF87</f>
        <v/>
      </c>
      <c r="AN87" s="39" t="str">
        <f aca="false">IF(SUM($AG87)=0,"",ROUND($AG87*SUM($AI87),0))</f>
        <v/>
      </c>
      <c r="AO87" s="10" t="str">
        <f aca="false">IFERROR(1/(1/MAX(SUM($T87)-SUM($AB87,$AC87),$AD87)),"")</f>
        <v/>
      </c>
      <c r="AP87" s="88"/>
      <c r="AQ87" s="88" t="str">
        <f aca="false">IF($AP87="","",$AP87)</f>
        <v/>
      </c>
      <c r="AR87" s="88" t="str">
        <f aca="false">IF(SUM($AO87)=0,"",INDEX(Cascade!$BG:$BG,MATCH($E87,Cascade!$E:$E,0)))</f>
        <v/>
      </c>
      <c r="AS87" s="39" t="str">
        <f aca="false">IF(SUM($AO87)=0,"",IF(AND(SUM($AO87)&gt;0,$AQ87=""),"ENTER YIELD RATE",ROUND($AO87*$AQ87,0)))</f>
        <v/>
      </c>
      <c r="AT87" s="39" t="str">
        <f aca="false">IF(SUM($AO87)=0,"",$AO87-SUM($AS87))</f>
        <v/>
      </c>
      <c r="AU87" s="10" t="str">
        <f aca="false">IF(SUM($AS87)=0,"",ROUND($AS87*$AR87,0))</f>
        <v/>
      </c>
      <c r="AV87" s="10" t="str">
        <f aca="false">IFERROR(1/(1/SUM($AC87,$AB87,$AS87)),"")</f>
        <v/>
      </c>
      <c r="AW87" s="10" t="str">
        <f aca="false">IFERROR(1/(1/INDEX(Cascade!$BH:$BH,MATCH($E87,Cascade!$E:$E,0))),"")</f>
        <v/>
      </c>
      <c r="AX87" s="10" t="str">
        <f aca="false">IF(SUM($AC87)=0,"",$AC87)</f>
        <v/>
      </c>
      <c r="AY87" s="10" t="str">
        <f aca="false">IF(SUM($AS87)=0,"",$AS87)</f>
        <v/>
      </c>
      <c r="AZ87" s="10" t="str">
        <f aca="false">IFERROR(1/(1/INDEX(TB!$P:$P,MATCH($E87,TB!$E:$E,0))),"")</f>
        <v/>
      </c>
      <c r="BA87" s="10" t="str">
        <f aca="false">IFERROR(1/(1/(SUM($AW87)-SUM($AX87:$AZ87))),"")</f>
        <v/>
      </c>
    </row>
    <row r="88" customFormat="false" ht="15" hidden="false" customHeight="false" outlineLevel="0" collapsed="false">
      <c r="A88" s="0" t="str">
        <f aca="false">INDEX(Prioritization!$D:$D,MATCH($B88,Prioritization!$A:$A,0))</f>
        <v>INVALID</v>
      </c>
      <c r="B88" s="0" t="s">
        <v>208</v>
      </c>
      <c r="C88" s="0" t="s">
        <v>367</v>
      </c>
      <c r="D88" s="0" t="s">
        <v>30</v>
      </c>
      <c r="E88" s="0" t="str">
        <f aca="false">B88&amp;"|"&amp;C88&amp;"|"&amp;D88</f>
        <v>Nkhata Bay District [E7zpfyBt7Tw]|35-49|Female</v>
      </c>
      <c r="F88" s="10" t="n">
        <f aca="false">IF(LEFT($B88,4)="_Mil","",INDEX(Cascade!$T:$T,MATCH($E88,Cascade!$E:$E,0)))</f>
        <v>1315</v>
      </c>
      <c r="G88" s="10" t="str">
        <f aca="false">IF(LEFT($B88,4)="_Mil","",INDEX(Cascade!$U:$U,MATCH($E88,Cascade!$E:$E,0)))</f>
        <v/>
      </c>
      <c r="H88" s="86" t="n">
        <f aca="false">IF(LEFT($B88,4)="_Mil","",INDEX(Cascade!$W:$W,MATCH($E88,Cascade!$E:$E,0)))</f>
        <v>811</v>
      </c>
      <c r="I88" s="10" t="n">
        <f aca="false">IF(LEFT($B88,4)="_Mil","",INDEX(Cascade!$Z:$Z,MATCH($E88,Cascade!$E:$E,0)))</f>
        <v>1275</v>
      </c>
      <c r="J88" s="88" t="n">
        <f aca="false">IF(LEFT($B88,4)="_Mil","",INDEX(Cascade!$AA:$AA,MATCH($E88,Cascade!$E:$E,0)))</f>
        <v>665</v>
      </c>
      <c r="K88" s="39" t="n">
        <f aca="false">IF(LEFT($B88,4)="_Mil","",_xlfn.IFNA(ROUND(INDEX(Spectrum!$N:$N,MATCH(RIGHT($B88,13)&amp;"|"&amp;$C88&amp;"|"&amp;$D88&amp;"|"&amp;K$14&amp;"|"&amp;"CY2023Q3",Spectrum!$R:$R,0)),0),""))</f>
        <v>1592</v>
      </c>
      <c r="L88" s="39" t="str">
        <f aca="false">IF(LEFT($B88,4)="_Mil","",_xlfn.IFNA(ROUND(INDEX(Spectrum!$N:$N,MATCH(RIGHT($B88,13)&amp;"|"&amp;$C88&amp;"|"&amp;$D88&amp;"|"&amp;L$14&amp;"|"&amp;"CY2023Q3",Spectrum!$R:$R,0)),0),""))</f>
        <v/>
      </c>
      <c r="M88" s="39" t="n">
        <f aca="false">IF(LEFT($B88,4)="_Mil","",_xlfn.IFNA(ROUND(INDEX(Spectrum!$N:$N,MATCH(RIGHT($B88,13)&amp;"|"&amp;$C88&amp;"|"&amp;$D88&amp;"|"&amp;M$14&amp;"|"&amp;"CY2023Q3",Spectrum!$R:$R,0)),0),""))</f>
        <v>1745</v>
      </c>
      <c r="N88" s="39" t="n">
        <f aca="false">IF(LEFT($B88,4)="_Mil","",_xlfn.IFNA(ROUND(INDEX(Spectrum!$N:$N,MATCH(RIGHT($B88,13)&amp;"|"&amp;$C88&amp;"|"&amp;$D88&amp;"|"&amp;N$14&amp;"|"&amp;"CY2023Q3",Spectrum!$R:$R,0)),0),""))</f>
        <v>1520</v>
      </c>
      <c r="O88" s="39" t="n">
        <f aca="false">IF(LEFT($B88,4)="_Mil","",_xlfn.IFNA(ROUND(INDEX(Spectrum!$N:$N,MATCH(RIGHT($B88,13)&amp;"|"&amp;$C88&amp;"|"&amp;$D88&amp;"|"&amp;O$14&amp;"|"&amp;"CY2023Q3",Spectrum!$R:$R,0)),0),""))</f>
        <v>1807</v>
      </c>
      <c r="P88" s="39" t="n">
        <f aca="false">IF(LEFT($B88,4)="_Mil","",_xlfn.IFNA(ROUND(INDEX(Spectrum!$N:$N,MATCH(RIGHT($B88,13)&amp;"|"&amp;$C88&amp;"|"&amp;$D88&amp;"|"&amp;P$14&amp;"|"&amp;"CY2023Q3",Spectrum!$R:$R,0)),0),""))</f>
        <v>1462</v>
      </c>
      <c r="Q88" s="39" t="str">
        <f aca="false">IF(LEFT($B88,4)="_Mil","",_xlfn.IFNA(ROUND(INDEX(Spectrum!$N:$N,MATCH(RIGHT($B88,13)&amp;"|"&amp;$C88&amp;"|"&amp;$D88&amp;"|"&amp;Q$14&amp;"|"&amp;"CY2022Q3",Spectrum!$R:$R,0)),0),""))</f>
        <v/>
      </c>
      <c r="R88" s="10"/>
      <c r="S88" s="88" t="n">
        <f aca="false">0</f>
        <v>0</v>
      </c>
      <c r="T88" s="39" t="str">
        <f aca="false">IF(SUM($R88)=0,"",ROUND($R88*(1+$S88),0))</f>
        <v/>
      </c>
      <c r="U88" s="88" t="n">
        <f aca="false">IF(LEFT($B88,4)="_Mil","",IF(SUM($K88)=0,IF(SUM($R88)=0,"",1),MIN($R88/$K88,1)))</f>
        <v>0</v>
      </c>
      <c r="V88" s="39" t="str">
        <f aca="false">IF(OR(SUM($T88)=0,LEFT($B88,4)="_Mil"),"",ROUND($T88/$U88,0))</f>
        <v/>
      </c>
      <c r="W88" s="88"/>
      <c r="X88" s="88" t="n">
        <f aca="false">IF(SUM($K88,$W88)=0,"",MAX(IFERROR(SUM($L88)/$K88,0),SUM($W88)))</f>
        <v>0</v>
      </c>
      <c r="Y88" s="88"/>
      <c r="Z88" s="88" t="n">
        <f aca="false">IF(SUM($K88,$Y88)=0,"",MIN(SUM($Y88),IFERROR(SUM($M88)/(SUM($K88)-SUM($L88)),1)))</f>
        <v>0</v>
      </c>
      <c r="AA88" s="10" t="str">
        <f aca="false">$T88</f>
        <v/>
      </c>
      <c r="AB88" s="39" t="str">
        <f aca="false">IF(SUM($AA88)=0,"",IF(AND(SUM($AA88)&gt;0,$X88=""),"ENTER KNOWN POSITIVITY RATE",ROUND($AA88*$X88,0)))</f>
        <v/>
      </c>
      <c r="AC88" s="39" t="str">
        <f aca="false">IF(SUM($AA88)=0,"",IF(AND((SUM($AA88)-SUM($AB88))&gt;0,$Z88=""),"ENTER YIELD RATE",ROUND(($AA88-SUM($AB88))*$Z88,0)))</f>
        <v/>
      </c>
      <c r="AD88" s="39" t="str">
        <f aca="false">IF(SUM($AA88)=0,"",$AA88-SUM($AB88)-SUM($AC88))</f>
        <v/>
      </c>
      <c r="AE88" s="10" t="str">
        <f aca="false">$V88</f>
        <v/>
      </c>
      <c r="AF88" s="39" t="str">
        <f aca="false">IF(SUM($AE88)=0,"",ROUND($AE88*SUM($X88),0))</f>
        <v/>
      </c>
      <c r="AG88" s="39" t="str">
        <f aca="false">IF(SUM($AE88)=0,"",ROUND(($AE88-SUM($AF88))*SUM($Z88),0))</f>
        <v/>
      </c>
      <c r="AH88" s="39" t="str">
        <f aca="false">IF(SUM($AE88)=0,"",$AE88-SUM($AF88)-SUM($AG88))</f>
        <v/>
      </c>
      <c r="AI88" s="88" t="str">
        <f aca="false">IF(SUM($AC88)=0,"",INDEX(Cascade!$BG:$BG,MATCH($E88,Cascade!$E:$E,0)))</f>
        <v/>
      </c>
      <c r="AJ88" s="39" t="str">
        <f aca="false">$AB88</f>
        <v/>
      </c>
      <c r="AK88" s="39" t="str">
        <f aca="false">IF(SUM($AC88)=0,"",IF(AND($AI88="",SUM($AC88)&gt;0),"&lt;- Enter Linkage Rate",ROUND($AC88*$AI88,0)))</f>
        <v/>
      </c>
      <c r="AL88" s="39" t="str">
        <f aca="false">IF(SUM($AF88,$AG88)=0,"",SUM($AF88,$AG88))</f>
        <v/>
      </c>
      <c r="AM88" s="39" t="str">
        <f aca="false">$AF88</f>
        <v/>
      </c>
      <c r="AN88" s="39" t="str">
        <f aca="false">IF(SUM($AG88)=0,"",ROUND($AG88*SUM($AI88),0))</f>
        <v/>
      </c>
      <c r="AO88" s="10" t="str">
        <f aca="false">IFERROR(1/(1/MAX(SUM($T88)-SUM($AB88,$AC88),$AD88)),"")</f>
        <v/>
      </c>
      <c r="AP88" s="88"/>
      <c r="AQ88" s="88" t="str">
        <f aca="false">IF($AP88="","",$AP88)</f>
        <v/>
      </c>
      <c r="AR88" s="88" t="str">
        <f aca="false">IF(SUM($AO88)=0,"",INDEX(Cascade!$BG:$BG,MATCH($E88,Cascade!$E:$E,0)))</f>
        <v/>
      </c>
      <c r="AS88" s="39" t="str">
        <f aca="false">IF(SUM($AO88)=0,"",IF(AND(SUM($AO88)&gt;0,$AQ88=""),"ENTER YIELD RATE",ROUND($AO88*$AQ88,0)))</f>
        <v/>
      </c>
      <c r="AT88" s="39" t="str">
        <f aca="false">IF(SUM($AO88)=0,"",$AO88-SUM($AS88))</f>
        <v/>
      </c>
      <c r="AU88" s="10" t="str">
        <f aca="false">IF(SUM($AS88)=0,"",ROUND($AS88*$AR88,0))</f>
        <v/>
      </c>
      <c r="AV88" s="10" t="str">
        <f aca="false">IFERROR(1/(1/SUM($AC88,$AB88,$AS88)),"")</f>
        <v/>
      </c>
      <c r="AW88" s="10" t="str">
        <f aca="false">IFERROR(1/(1/INDEX(Cascade!$BH:$BH,MATCH($E88,Cascade!$E:$E,0))),"")</f>
        <v/>
      </c>
      <c r="AX88" s="10" t="str">
        <f aca="false">IF(SUM($AC88)=0,"",$AC88)</f>
        <v/>
      </c>
      <c r="AY88" s="10" t="str">
        <f aca="false">IF(SUM($AS88)=0,"",$AS88)</f>
        <v/>
      </c>
      <c r="AZ88" s="10" t="str">
        <f aca="false">IFERROR(1/(1/INDEX(TB!$P:$P,MATCH($E88,TB!$E:$E,0))),"")</f>
        <v/>
      </c>
      <c r="BA88" s="10" t="str">
        <f aca="false">IFERROR(1/(1/(SUM($AW88)-SUM($AX88:$AZ88))),"")</f>
        <v/>
      </c>
    </row>
    <row r="89" customFormat="false" ht="15" hidden="false" customHeight="false" outlineLevel="0" collapsed="false">
      <c r="A89" s="0" t="str">
        <f aca="false">INDEX(Prioritization!$D:$D,MATCH($B89,Prioritization!$A:$A,0))</f>
        <v>INVALID</v>
      </c>
      <c r="B89" s="0" t="s">
        <v>208</v>
      </c>
      <c r="C89" s="0" t="s">
        <v>368</v>
      </c>
      <c r="D89" s="0" t="s">
        <v>30</v>
      </c>
      <c r="E89" s="0" t="str">
        <f aca="false">B89&amp;"|"&amp;C89&amp;"|"&amp;D89</f>
        <v>Nkhata Bay District [E7zpfyBt7Tw]|50+|Female</v>
      </c>
      <c r="F89" s="10" t="n">
        <f aca="false">IF(LEFT($B89,4)="_Mil","",INDEX(Cascade!$T:$T,MATCH($E89,Cascade!$E:$E,0)))</f>
        <v>1406</v>
      </c>
      <c r="G89" s="10" t="str">
        <f aca="false">IF(LEFT($B89,4)="_Mil","",INDEX(Cascade!$U:$U,MATCH($E89,Cascade!$E:$E,0)))</f>
        <v/>
      </c>
      <c r="H89" s="86" t="n">
        <f aca="false">IF(LEFT($B89,4)="_Mil","",INDEX(Cascade!$W:$W,MATCH($E89,Cascade!$E:$E,0)))</f>
        <v>1237</v>
      </c>
      <c r="I89" s="10" t="n">
        <f aca="false">IF(LEFT($B89,4)="_Mil","",INDEX(Cascade!$Z:$Z,MATCH($E89,Cascade!$E:$E,0)))</f>
        <v>591</v>
      </c>
      <c r="J89" s="88" t="n">
        <f aca="false">IF(LEFT($B89,4)="_Mil","",INDEX(Cascade!$AA:$AA,MATCH($E89,Cascade!$E:$E,0)))</f>
        <v>1564</v>
      </c>
      <c r="K89" s="39" t="str">
        <f aca="false">IF(LEFT($B89,4)="_Mil","",_xlfn.IFNA(ROUND(INDEX(Spectrum!$N:$N,MATCH(RIGHT($B89,13)&amp;"|"&amp;$C89&amp;"|"&amp;$D89&amp;"|"&amp;K$14&amp;"|"&amp;"CY2023Q3",Spectrum!$R:$R,0)),0),""))</f>
        <v/>
      </c>
      <c r="L89" s="39" t="str">
        <f aca="false">IF(LEFT($B89,4)="_Mil","",_xlfn.IFNA(ROUND(INDEX(Spectrum!$N:$N,MATCH(RIGHT($B89,13)&amp;"|"&amp;$C89&amp;"|"&amp;$D89&amp;"|"&amp;L$14&amp;"|"&amp;"CY2023Q3",Spectrum!$R:$R,0)),0),""))</f>
        <v/>
      </c>
      <c r="M89" s="39" t="str">
        <f aca="false">IF(LEFT($B89,4)="_Mil","",_xlfn.IFNA(ROUND(INDEX(Spectrum!$N:$N,MATCH(RIGHT($B89,13)&amp;"|"&amp;$C89&amp;"|"&amp;$D89&amp;"|"&amp;M$14&amp;"|"&amp;"CY2023Q3",Spectrum!$R:$R,0)),0),""))</f>
        <v/>
      </c>
      <c r="N89" s="39" t="str">
        <f aca="false">IF(LEFT($B89,4)="_Mil","",_xlfn.IFNA(ROUND(INDEX(Spectrum!$N:$N,MATCH(RIGHT($B89,13)&amp;"|"&amp;$C89&amp;"|"&amp;$D89&amp;"|"&amp;N$14&amp;"|"&amp;"CY2023Q3",Spectrum!$R:$R,0)),0),""))</f>
        <v/>
      </c>
      <c r="O89" s="39" t="str">
        <f aca="false">IF(LEFT($B89,4)="_Mil","",_xlfn.IFNA(ROUND(INDEX(Spectrum!$N:$N,MATCH(RIGHT($B89,13)&amp;"|"&amp;$C89&amp;"|"&amp;$D89&amp;"|"&amp;O$14&amp;"|"&amp;"CY2023Q3",Spectrum!$R:$R,0)),0),""))</f>
        <v/>
      </c>
      <c r="P89" s="39" t="str">
        <f aca="false">IF(LEFT($B89,4)="_Mil","",_xlfn.IFNA(ROUND(INDEX(Spectrum!$N:$N,MATCH(RIGHT($B89,13)&amp;"|"&amp;$C89&amp;"|"&amp;$D89&amp;"|"&amp;P$14&amp;"|"&amp;"CY2023Q3",Spectrum!$R:$R,0)),0),""))</f>
        <v/>
      </c>
      <c r="Q89" s="39" t="str">
        <f aca="false">IF(LEFT($B89,4)="_Mil","",_xlfn.IFNA(ROUND(INDEX(Spectrum!$N:$N,MATCH(RIGHT($B89,13)&amp;"|"&amp;$C89&amp;"|"&amp;$D89&amp;"|"&amp;Q$14&amp;"|"&amp;"CY2022Q3",Spectrum!$R:$R,0)),0),""))</f>
        <v/>
      </c>
      <c r="R89" s="10"/>
      <c r="S89" s="88" t="n">
        <f aca="false">0</f>
        <v>0</v>
      </c>
      <c r="T89" s="39" t="str">
        <f aca="false">IF(SUM($R89)=0,"",ROUND($R89*(1+$S89),0))</f>
        <v/>
      </c>
      <c r="U89" s="88" t="str">
        <f aca="false">IF(LEFT($B89,4)="_Mil","",IF(SUM($K89)=0,IF(SUM($R89)=0,"",1),MIN($R89/$K89,1)))</f>
        <v/>
      </c>
      <c r="V89" s="39" t="str">
        <f aca="false">IF(OR(SUM($T89)=0,LEFT($B89,4)="_Mil"),"",ROUND($T89/$U89,0))</f>
        <v/>
      </c>
      <c r="W89" s="88"/>
      <c r="X89" s="88" t="str">
        <f aca="false">IF(SUM($K89,$W89)=0,"",MAX(IFERROR(SUM($L89)/$K89,0),SUM($W89)))</f>
        <v/>
      </c>
      <c r="Y89" s="88"/>
      <c r="Z89" s="88" t="str">
        <f aca="false">IF(SUM($K89,$Y89)=0,"",MIN(SUM($Y89),IFERROR(SUM($M89)/(SUM($K89)-SUM($L89)),1)))</f>
        <v/>
      </c>
      <c r="AA89" s="10" t="str">
        <f aca="false">$T89</f>
        <v/>
      </c>
      <c r="AB89" s="39" t="str">
        <f aca="false">IF(SUM($AA89)=0,"",IF(AND(SUM($AA89)&gt;0,$X89=""),"ENTER KNOWN POSITIVITY RATE",ROUND($AA89*$X89,0)))</f>
        <v/>
      </c>
      <c r="AC89" s="39" t="str">
        <f aca="false">IF(SUM($AA89)=0,"",IF(AND((SUM($AA89)-SUM($AB89))&gt;0,$Z89=""),"ENTER YIELD RATE",ROUND(($AA89-SUM($AB89))*$Z89,0)))</f>
        <v/>
      </c>
      <c r="AD89" s="39" t="str">
        <f aca="false">IF(SUM($AA89)=0,"",$AA89-SUM($AB89)-SUM($AC89))</f>
        <v/>
      </c>
      <c r="AE89" s="10" t="str">
        <f aca="false">$V89</f>
        <v/>
      </c>
      <c r="AF89" s="39" t="str">
        <f aca="false">IF(SUM($AE89)=0,"",ROUND($AE89*SUM($X89),0))</f>
        <v/>
      </c>
      <c r="AG89" s="39" t="str">
        <f aca="false">IF(SUM($AE89)=0,"",ROUND(($AE89-SUM($AF89))*SUM($Z89),0))</f>
        <v/>
      </c>
      <c r="AH89" s="39" t="str">
        <f aca="false">IF(SUM($AE89)=0,"",$AE89-SUM($AF89)-SUM($AG89))</f>
        <v/>
      </c>
      <c r="AI89" s="88" t="str">
        <f aca="false">IF(SUM($AC89)=0,"",INDEX(Cascade!$BG:$BG,MATCH($E89,Cascade!$E:$E,0)))</f>
        <v/>
      </c>
      <c r="AJ89" s="39" t="str">
        <f aca="false">$AB89</f>
        <v/>
      </c>
      <c r="AK89" s="39" t="str">
        <f aca="false">IF(SUM($AC89)=0,"",IF(AND($AI89="",SUM($AC89)&gt;0),"&lt;- Enter Linkage Rate",ROUND($AC89*$AI89,0)))</f>
        <v/>
      </c>
      <c r="AL89" s="39" t="str">
        <f aca="false">IF(SUM($AF89,$AG89)=0,"",SUM($AF89,$AG89))</f>
        <v/>
      </c>
      <c r="AM89" s="39" t="str">
        <f aca="false">$AF89</f>
        <v/>
      </c>
      <c r="AN89" s="39" t="str">
        <f aca="false">IF(SUM($AG89)=0,"",ROUND($AG89*SUM($AI89),0))</f>
        <v/>
      </c>
      <c r="AO89" s="10" t="str">
        <f aca="false">IFERROR(1/(1/MAX(SUM($T89)-SUM($AB89,$AC89),$AD89)),"")</f>
        <v/>
      </c>
      <c r="AP89" s="88"/>
      <c r="AQ89" s="88" t="str">
        <f aca="false">IF($AP89="","",$AP89)</f>
        <v/>
      </c>
      <c r="AR89" s="88" t="str">
        <f aca="false">IF(SUM($AO89)=0,"",INDEX(Cascade!$BG:$BG,MATCH($E89,Cascade!$E:$E,0)))</f>
        <v/>
      </c>
      <c r="AS89" s="39" t="str">
        <f aca="false">IF(SUM($AO89)=0,"",IF(AND(SUM($AO89)&gt;0,$AQ89=""),"ENTER YIELD RATE",ROUND($AO89*$AQ89,0)))</f>
        <v/>
      </c>
      <c r="AT89" s="39" t="str">
        <f aca="false">IF(SUM($AO89)=0,"",$AO89-SUM($AS89))</f>
        <v/>
      </c>
      <c r="AU89" s="10" t="str">
        <f aca="false">IF(SUM($AS89)=0,"",ROUND($AS89*$AR89,0))</f>
        <v/>
      </c>
      <c r="AV89" s="10" t="str">
        <f aca="false">IFERROR(1/(1/SUM($AC89,$AB89,$AS89)),"")</f>
        <v/>
      </c>
      <c r="AW89" s="10" t="str">
        <f aca="false">IFERROR(1/(1/INDEX(Cascade!$BH:$BH,MATCH($E89,Cascade!$E:$E,0))),"")</f>
        <v/>
      </c>
      <c r="AX89" s="10" t="str">
        <f aca="false">IF(SUM($AC89)=0,"",$AC89)</f>
        <v/>
      </c>
      <c r="AY89" s="10" t="str">
        <f aca="false">IF(SUM($AS89)=0,"",$AS89)</f>
        <v/>
      </c>
      <c r="AZ89" s="10" t="str">
        <f aca="false">IFERROR(1/(1/INDEX(TB!$P:$P,MATCH($E89,TB!$E:$E,0))),"")</f>
        <v/>
      </c>
      <c r="BA89" s="10" t="str">
        <f aca="false">IFERROR(1/(1/(SUM($AW89)-SUM($AX89:$AZ89))),"")</f>
        <v/>
      </c>
    </row>
    <row r="90" customFormat="false" ht="15" hidden="false" customHeight="false" outlineLevel="0" collapsed="false">
      <c r="A90" s="0" t="str">
        <f aca="false">INDEX(Prioritization!$D:$D,MATCH($B90,Prioritization!$A:$A,0))</f>
        <v>INVALID</v>
      </c>
      <c r="B90" s="0" t="s">
        <v>209</v>
      </c>
      <c r="C90" s="0" t="s">
        <v>364</v>
      </c>
      <c r="D90" s="0" t="s">
        <v>30</v>
      </c>
      <c r="E90" s="0" t="str">
        <f aca="false">B90&amp;"|"&amp;C90&amp;"|"&amp;D90</f>
        <v>Rumphi District [lPTyjLi4w3d]|10-14|Female</v>
      </c>
      <c r="F90" s="10" t="n">
        <f aca="false">IF(LEFT($B90,4)="_Mil","",INDEX(Cascade!$T:$T,MATCH($E90,Cascade!$E:$E,0)))</f>
        <v>767</v>
      </c>
      <c r="G90" s="10" t="str">
        <f aca="false">IF(LEFT($B90,4)="_Mil","",INDEX(Cascade!$U:$U,MATCH($E90,Cascade!$E:$E,0)))</f>
        <v/>
      </c>
      <c r="H90" s="86" t="n">
        <f aca="false">IF(LEFT($B90,4)="_Mil","",INDEX(Cascade!$W:$W,MATCH($E90,Cascade!$E:$E,0)))</f>
        <v>1983</v>
      </c>
      <c r="I90" s="10" t="n">
        <f aca="false">IF(LEFT($B90,4)="_Mil","",INDEX(Cascade!$Z:$Z,MATCH($E90,Cascade!$E:$E,0)))</f>
        <v>546</v>
      </c>
      <c r="J90" s="88" t="n">
        <f aca="false">IF(LEFT($B90,4)="_Mil","",INDEX(Cascade!$AA:$AA,MATCH($E90,Cascade!$E:$E,0)))</f>
        <v>1448</v>
      </c>
      <c r="K90" s="39" t="str">
        <f aca="false">IF(LEFT($B90,4)="_Mil","",_xlfn.IFNA(ROUND(INDEX(Spectrum!$N:$N,MATCH(RIGHT($B90,13)&amp;"|"&amp;$C90&amp;"|"&amp;$D90&amp;"|"&amp;K$14&amp;"|"&amp;"CY2023Q3",Spectrum!$R:$R,0)),0),""))</f>
        <v/>
      </c>
      <c r="L90" s="39" t="str">
        <f aca="false">IF(LEFT($B90,4)="_Mil","",_xlfn.IFNA(ROUND(INDEX(Spectrum!$N:$N,MATCH(RIGHT($B90,13)&amp;"|"&amp;$C90&amp;"|"&amp;$D90&amp;"|"&amp;L$14&amp;"|"&amp;"CY2023Q3",Spectrum!$R:$R,0)),0),""))</f>
        <v/>
      </c>
      <c r="M90" s="39" t="str">
        <f aca="false">IF(LEFT($B90,4)="_Mil","",_xlfn.IFNA(ROUND(INDEX(Spectrum!$N:$N,MATCH(RIGHT($B90,13)&amp;"|"&amp;$C90&amp;"|"&amp;$D90&amp;"|"&amp;M$14&amp;"|"&amp;"CY2023Q3",Spectrum!$R:$R,0)),0),""))</f>
        <v/>
      </c>
      <c r="N90" s="39" t="str">
        <f aca="false">IF(LEFT($B90,4)="_Mil","",_xlfn.IFNA(ROUND(INDEX(Spectrum!$N:$N,MATCH(RIGHT($B90,13)&amp;"|"&amp;$C90&amp;"|"&amp;$D90&amp;"|"&amp;N$14&amp;"|"&amp;"CY2023Q3",Spectrum!$R:$R,0)),0),""))</f>
        <v/>
      </c>
      <c r="O90" s="39" t="str">
        <f aca="false">IF(LEFT($B90,4)="_Mil","",_xlfn.IFNA(ROUND(INDEX(Spectrum!$N:$N,MATCH(RIGHT($B90,13)&amp;"|"&amp;$C90&amp;"|"&amp;$D90&amp;"|"&amp;O$14&amp;"|"&amp;"CY2023Q3",Spectrum!$R:$R,0)),0),""))</f>
        <v/>
      </c>
      <c r="P90" s="39" t="str">
        <f aca="false">IF(LEFT($B90,4)="_Mil","",_xlfn.IFNA(ROUND(INDEX(Spectrum!$N:$N,MATCH(RIGHT($B90,13)&amp;"|"&amp;$C90&amp;"|"&amp;$D90&amp;"|"&amp;P$14&amp;"|"&amp;"CY2023Q3",Spectrum!$R:$R,0)),0),""))</f>
        <v/>
      </c>
      <c r="Q90" s="39" t="str">
        <f aca="false">IF(LEFT($B90,4)="_Mil","",_xlfn.IFNA(ROUND(INDEX(Spectrum!$N:$N,MATCH(RIGHT($B90,13)&amp;"|"&amp;$C90&amp;"|"&amp;$D90&amp;"|"&amp;Q$14&amp;"|"&amp;"CY2022Q3",Spectrum!$R:$R,0)),0),""))</f>
        <v/>
      </c>
      <c r="R90" s="10" t="n">
        <v>9</v>
      </c>
      <c r="S90" s="88" t="n">
        <f aca="false">0</f>
        <v>0</v>
      </c>
      <c r="T90" s="39" t="n">
        <f aca="false">IF(SUM($R90)=0,"",ROUND($R90*(1+$S90),0))</f>
        <v>9</v>
      </c>
      <c r="U90" s="88" t="n">
        <f aca="false">IF(LEFT($B90,4)="_Mil","",IF(SUM($K90)=0,IF(SUM($R90)=0,"",1),MIN($R90/$K90,1)))</f>
        <v>1</v>
      </c>
      <c r="V90" s="39" t="n">
        <f aca="false">IF(OR(SUM($T90)=0,LEFT($B90,4)="_Mil"),"",ROUND($T90/$U90,0))</f>
        <v>9</v>
      </c>
      <c r="W90" s="88"/>
      <c r="X90" s="88" t="str">
        <f aca="false">IF(SUM($K90,$W90)=0,"",MAX(IFERROR(SUM($L90)/$K90,0),SUM($W90)))</f>
        <v/>
      </c>
      <c r="Y90" s="88"/>
      <c r="Z90" s="88" t="str">
        <f aca="false">IF(SUM($K90,$Y90)=0,"",MIN(SUM($Y90),IFERROR(SUM($M90)/(SUM($K90)-SUM($L90)),1)))</f>
        <v/>
      </c>
      <c r="AA90" s="10" t="n">
        <f aca="false">$T90</f>
        <v>9</v>
      </c>
      <c r="AB90" s="39" t="str">
        <f aca="false">IF(SUM($AA90)=0,"",IF(AND(SUM($AA90)&gt;0,$X90=""),"ENTER KNOWN POSITIVITY RATE",ROUND($AA90*$X90,0)))</f>
        <v>ENTER KNOWN POSITIVITY RATE</v>
      </c>
      <c r="AC90" s="39" t="str">
        <f aca="false">IF(SUM($AA90)=0,"",IF(AND((SUM($AA90)-SUM($AB90))&gt;0,$Z90=""),"ENTER YIELD RATE",ROUND(($AA90-SUM($AB90))*$Z90,0)))</f>
        <v>ENTER YIELD RATE</v>
      </c>
      <c r="AD90" s="39" t="n">
        <f aca="false">IF(SUM($AA90)=0,"",$AA90-SUM($AB90)-SUM($AC90))</f>
        <v>9</v>
      </c>
      <c r="AE90" s="10" t="n">
        <f aca="false">$V90</f>
        <v>9</v>
      </c>
      <c r="AF90" s="39" t="n">
        <f aca="false">IF(SUM($AE90)=0,"",ROUND($AE90*SUM($X90),0))</f>
        <v>0</v>
      </c>
      <c r="AG90" s="39" t="n">
        <f aca="false">IF(SUM($AE90)=0,"",ROUND(($AE90-SUM($AF90))*SUM($Z90),0))</f>
        <v>0</v>
      </c>
      <c r="AH90" s="39" t="n">
        <f aca="false">IF(SUM($AE90)=0,"",$AE90-SUM($AF90)-SUM($AG90))</f>
        <v>9</v>
      </c>
      <c r="AI90" s="88" t="str">
        <f aca="false">IF(SUM($AC90)=0,"",INDEX(Cascade!$BG:$BG,MATCH($E90,Cascade!$E:$E,0)))</f>
        <v/>
      </c>
      <c r="AJ90" s="39" t="str">
        <f aca="false">$AB90</f>
        <v>ENTER KNOWN POSITIVITY RATE</v>
      </c>
      <c r="AK90" s="39" t="str">
        <f aca="false">IF(SUM($AC90)=0,"",IF(AND($AI90="",SUM($AC90)&gt;0),"&lt;- Enter Linkage Rate",ROUND($AC90*$AI90,0)))</f>
        <v/>
      </c>
      <c r="AL90" s="39" t="str">
        <f aca="false">IF(SUM($AF90,$AG90)=0,"",SUM($AF90,$AG90))</f>
        <v/>
      </c>
      <c r="AM90" s="39" t="n">
        <f aca="false">$AF90</f>
        <v>0</v>
      </c>
      <c r="AN90" s="39" t="str">
        <f aca="false">IF(SUM($AG90)=0,"",ROUND($AG90*SUM($AI90),0))</f>
        <v/>
      </c>
      <c r="AO90" s="10" t="n">
        <f aca="false">IFERROR(1/(1/MAX(SUM($T90)-SUM($AB90,$AC90),$AD90)),"")</f>
        <v>9</v>
      </c>
      <c r="AP90" s="88"/>
      <c r="AQ90" s="88" t="str">
        <f aca="false">IF($AP90="","",$AP90)</f>
        <v/>
      </c>
      <c r="AR90" s="88" t="n">
        <f aca="false">IF(SUM($AO90)=0,"",INDEX(Cascade!$BG:$BG,MATCH($E90,Cascade!$E:$E,0)))</f>
        <v>0.95</v>
      </c>
      <c r="AS90" s="39" t="str">
        <f aca="false">IF(SUM($AO90)=0,"",IF(AND(SUM($AO90)&gt;0,$AQ90=""),"ENTER YIELD RATE",ROUND($AO90*$AQ90,0)))</f>
        <v>ENTER YIELD RATE</v>
      </c>
      <c r="AT90" s="39" t="n">
        <f aca="false">IF(SUM($AO90)=0,"",$AO90-SUM($AS90))</f>
        <v>9</v>
      </c>
      <c r="AU90" s="10" t="str">
        <f aca="false">IF(SUM($AS90)=0,"",ROUND($AS90*$AR90,0))</f>
        <v/>
      </c>
      <c r="AV90" s="10" t="str">
        <f aca="false">IFERROR(1/(1/SUM($AC90,$AB90,$AS90)),"")</f>
        <v/>
      </c>
      <c r="AW90" s="10" t="n">
        <f aca="false">IFERROR(1/(1/INDEX(Cascade!$BH:$BH,MATCH($E90,Cascade!$E:$E,0))),"")</f>
        <v>-63</v>
      </c>
      <c r="AX90" s="10" t="str">
        <f aca="false">IF(SUM($AC90)=0,"",$AC90)</f>
        <v/>
      </c>
      <c r="AY90" s="10" t="str">
        <f aca="false">IF(SUM($AS90)=0,"",$AS90)</f>
        <v/>
      </c>
      <c r="AZ90" s="10" t="str">
        <f aca="false">IFERROR(1/(1/INDEX(TB!$P:$P,MATCH($E90,TB!$E:$E,0))),"")</f>
        <v/>
      </c>
      <c r="BA90" s="10" t="n">
        <f aca="false">IFERROR(1/(1/(SUM($AW90)-SUM($AX90:$AZ90))),"")</f>
        <v>-63</v>
      </c>
    </row>
    <row r="91" customFormat="false" ht="15" hidden="false" customHeight="false" outlineLevel="0" collapsed="false">
      <c r="A91" s="0" t="str">
        <f aca="false">INDEX(Prioritization!$D:$D,MATCH($B91,Prioritization!$A:$A,0))</f>
        <v>INVALID</v>
      </c>
      <c r="B91" s="0" t="s">
        <v>209</v>
      </c>
      <c r="C91" s="0" t="s">
        <v>365</v>
      </c>
      <c r="D91" s="0" t="s">
        <v>30</v>
      </c>
      <c r="E91" s="0" t="str">
        <f aca="false">B91&amp;"|"&amp;C91&amp;"|"&amp;D91</f>
        <v>Rumphi District [lPTyjLi4w3d]|15-24|Female</v>
      </c>
      <c r="F91" s="10" t="n">
        <f aca="false">IF(LEFT($B91,4)="_Mil","",INDEX(Cascade!$T:$T,MATCH($E91,Cascade!$E:$E,0)))</f>
        <v>896</v>
      </c>
      <c r="G91" s="10" t="str">
        <f aca="false">IF(LEFT($B91,4)="_Mil","",INDEX(Cascade!$U:$U,MATCH($E91,Cascade!$E:$E,0)))</f>
        <v/>
      </c>
      <c r="H91" s="86" t="n">
        <f aca="false">IF(LEFT($B91,4)="_Mil","",INDEX(Cascade!$W:$W,MATCH($E91,Cascade!$E:$E,0)))</f>
        <v>647</v>
      </c>
      <c r="I91" s="10" t="n">
        <f aca="false">IF(LEFT($B91,4)="_Mil","",INDEX(Cascade!$Z:$Z,MATCH($E91,Cascade!$E:$E,0)))</f>
        <v>1189</v>
      </c>
      <c r="J91" s="88" t="n">
        <f aca="false">IF(LEFT($B91,4)="_Mil","",INDEX(Cascade!$AA:$AA,MATCH($E91,Cascade!$E:$E,0)))</f>
        <v>1175</v>
      </c>
      <c r="K91" s="39" t="n">
        <f aca="false">IF(LEFT($B91,4)="_Mil","",_xlfn.IFNA(ROUND(INDEX(Spectrum!$N:$N,MATCH(RIGHT($B91,13)&amp;"|"&amp;$C91&amp;"|"&amp;$D91&amp;"|"&amp;K$14&amp;"|"&amp;"CY2023Q3",Spectrum!$R:$R,0)),0),""))</f>
        <v>1027</v>
      </c>
      <c r="L91" s="39" t="str">
        <f aca="false">IF(LEFT($B91,4)="_Mil","",_xlfn.IFNA(ROUND(INDEX(Spectrum!$N:$N,MATCH(RIGHT($B91,13)&amp;"|"&amp;$C91&amp;"|"&amp;$D91&amp;"|"&amp;L$14&amp;"|"&amp;"CY2023Q3",Spectrum!$R:$R,0)),0),""))</f>
        <v/>
      </c>
      <c r="M91" s="39" t="n">
        <f aca="false">IF(LEFT($B91,4)="_Mil","",_xlfn.IFNA(ROUND(INDEX(Spectrum!$N:$N,MATCH(RIGHT($B91,13)&amp;"|"&amp;$C91&amp;"|"&amp;$D91&amp;"|"&amp;M$14&amp;"|"&amp;"CY2023Q3",Spectrum!$R:$R,0)),0),""))</f>
        <v>1729</v>
      </c>
      <c r="N91" s="39" t="n">
        <f aca="false">IF(LEFT($B91,4)="_Mil","",_xlfn.IFNA(ROUND(INDEX(Spectrum!$N:$N,MATCH(RIGHT($B91,13)&amp;"|"&amp;$C91&amp;"|"&amp;$D91&amp;"|"&amp;N$14&amp;"|"&amp;"CY2023Q3",Spectrum!$R:$R,0)),0),""))</f>
        <v>1797</v>
      </c>
      <c r="O91" s="39" t="n">
        <f aca="false">IF(LEFT($B91,4)="_Mil","",_xlfn.IFNA(ROUND(INDEX(Spectrum!$N:$N,MATCH(RIGHT($B91,13)&amp;"|"&amp;$C91&amp;"|"&amp;$D91&amp;"|"&amp;O$14&amp;"|"&amp;"CY2023Q3",Spectrum!$R:$R,0)),0),""))</f>
        <v>1459</v>
      </c>
      <c r="P91" s="39" t="n">
        <f aca="false">IF(LEFT($B91,4)="_Mil","",_xlfn.IFNA(ROUND(INDEX(Spectrum!$N:$N,MATCH(RIGHT($B91,13)&amp;"|"&amp;$C91&amp;"|"&amp;$D91&amp;"|"&amp;P$14&amp;"|"&amp;"CY2023Q3",Spectrum!$R:$R,0)),0),""))</f>
        <v>1553</v>
      </c>
      <c r="Q91" s="39" t="str">
        <f aca="false">IF(LEFT($B91,4)="_Mil","",_xlfn.IFNA(ROUND(INDEX(Spectrum!$N:$N,MATCH(RIGHT($B91,13)&amp;"|"&amp;$C91&amp;"|"&amp;$D91&amp;"|"&amp;Q$14&amp;"|"&amp;"CY2022Q3",Spectrum!$R:$R,0)),0),""))</f>
        <v/>
      </c>
      <c r="R91" s="10"/>
      <c r="S91" s="88" t="n">
        <f aca="false">0</f>
        <v>0</v>
      </c>
      <c r="T91" s="39" t="str">
        <f aca="false">IF(SUM($R91)=0,"",ROUND($R91*(1+$S91),0))</f>
        <v/>
      </c>
      <c r="U91" s="88" t="n">
        <f aca="false">IF(LEFT($B91,4)="_Mil","",IF(SUM($K91)=0,IF(SUM($R91)=0,"",1),MIN($R91/$K91,1)))</f>
        <v>0</v>
      </c>
      <c r="V91" s="39" t="str">
        <f aca="false">IF(OR(SUM($T91)=0,LEFT($B91,4)="_Mil"),"",ROUND($T91/$U91,0))</f>
        <v/>
      </c>
      <c r="W91" s="88"/>
      <c r="X91" s="88" t="n">
        <f aca="false">IF(SUM($K91,$W91)=0,"",MAX(IFERROR(SUM($L91)/$K91,0),SUM($W91)))</f>
        <v>0</v>
      </c>
      <c r="Y91" s="88"/>
      <c r="Z91" s="88" t="n">
        <f aca="false">IF(SUM($K91,$Y91)=0,"",MIN(SUM($Y91),IFERROR(SUM($M91)/(SUM($K91)-SUM($L91)),1)))</f>
        <v>0</v>
      </c>
      <c r="AA91" s="10" t="str">
        <f aca="false">$T91</f>
        <v/>
      </c>
      <c r="AB91" s="39" t="str">
        <f aca="false">IF(SUM($AA91)=0,"",IF(AND(SUM($AA91)&gt;0,$X91=""),"ENTER KNOWN POSITIVITY RATE",ROUND($AA91*$X91,0)))</f>
        <v/>
      </c>
      <c r="AC91" s="39" t="str">
        <f aca="false">IF(SUM($AA91)=0,"",IF(AND((SUM($AA91)-SUM($AB91))&gt;0,$Z91=""),"ENTER YIELD RATE",ROUND(($AA91-SUM($AB91))*$Z91,0)))</f>
        <v/>
      </c>
      <c r="AD91" s="39" t="str">
        <f aca="false">IF(SUM($AA91)=0,"",$AA91-SUM($AB91)-SUM($AC91))</f>
        <v/>
      </c>
      <c r="AE91" s="10" t="str">
        <f aca="false">$V91</f>
        <v/>
      </c>
      <c r="AF91" s="39" t="str">
        <f aca="false">IF(SUM($AE91)=0,"",ROUND($AE91*SUM($X91),0))</f>
        <v/>
      </c>
      <c r="AG91" s="39" t="str">
        <f aca="false">IF(SUM($AE91)=0,"",ROUND(($AE91-SUM($AF91))*SUM($Z91),0))</f>
        <v/>
      </c>
      <c r="AH91" s="39" t="str">
        <f aca="false">IF(SUM($AE91)=0,"",$AE91-SUM($AF91)-SUM($AG91))</f>
        <v/>
      </c>
      <c r="AI91" s="88" t="str">
        <f aca="false">IF(SUM($AC91)=0,"",INDEX(Cascade!$BG:$BG,MATCH($E91,Cascade!$E:$E,0)))</f>
        <v/>
      </c>
      <c r="AJ91" s="39" t="str">
        <f aca="false">$AB91</f>
        <v/>
      </c>
      <c r="AK91" s="39" t="str">
        <f aca="false">IF(SUM($AC91)=0,"",IF(AND($AI91="",SUM($AC91)&gt;0),"&lt;- Enter Linkage Rate",ROUND($AC91*$AI91,0)))</f>
        <v/>
      </c>
      <c r="AL91" s="39" t="str">
        <f aca="false">IF(SUM($AF91,$AG91)=0,"",SUM($AF91,$AG91))</f>
        <v/>
      </c>
      <c r="AM91" s="39" t="str">
        <f aca="false">$AF91</f>
        <v/>
      </c>
      <c r="AN91" s="39" t="str">
        <f aca="false">IF(SUM($AG91)=0,"",ROUND($AG91*SUM($AI91),0))</f>
        <v/>
      </c>
      <c r="AO91" s="10" t="str">
        <f aca="false">IFERROR(1/(1/MAX(SUM($T91)-SUM($AB91,$AC91),$AD91)),"")</f>
        <v/>
      </c>
      <c r="AP91" s="88"/>
      <c r="AQ91" s="88" t="str">
        <f aca="false">IF($AP91="","",$AP91)</f>
        <v/>
      </c>
      <c r="AR91" s="88" t="str">
        <f aca="false">IF(SUM($AO91)=0,"",INDEX(Cascade!$BG:$BG,MATCH($E91,Cascade!$E:$E,0)))</f>
        <v/>
      </c>
      <c r="AS91" s="39" t="str">
        <f aca="false">IF(SUM($AO91)=0,"",IF(AND(SUM($AO91)&gt;0,$AQ91=""),"ENTER YIELD RATE",ROUND($AO91*$AQ91,0)))</f>
        <v/>
      </c>
      <c r="AT91" s="39" t="str">
        <f aca="false">IF(SUM($AO91)=0,"",$AO91-SUM($AS91))</f>
        <v/>
      </c>
      <c r="AU91" s="10" t="str">
        <f aca="false">IF(SUM($AS91)=0,"",ROUND($AS91*$AR91,0))</f>
        <v/>
      </c>
      <c r="AV91" s="10" t="str">
        <f aca="false">IFERROR(1/(1/SUM($AC91,$AB91,$AS91)),"")</f>
        <v/>
      </c>
      <c r="AW91" s="10" t="str">
        <f aca="false">IFERROR(1/(1/INDEX(Cascade!$BH:$BH,MATCH($E91,Cascade!$E:$E,0))),"")</f>
        <v/>
      </c>
      <c r="AX91" s="10" t="str">
        <f aca="false">IF(SUM($AC91)=0,"",$AC91)</f>
        <v/>
      </c>
      <c r="AY91" s="10" t="str">
        <f aca="false">IF(SUM($AS91)=0,"",$AS91)</f>
        <v/>
      </c>
      <c r="AZ91" s="10" t="str">
        <f aca="false">IFERROR(1/(1/INDEX(TB!$P:$P,MATCH($E91,TB!$E:$E,0))),"")</f>
        <v/>
      </c>
      <c r="BA91" s="10" t="str">
        <f aca="false">IFERROR(1/(1/(SUM($AW91)-SUM($AX91:$AZ91))),"")</f>
        <v/>
      </c>
    </row>
    <row r="92" customFormat="false" ht="15" hidden="false" customHeight="false" outlineLevel="0" collapsed="false">
      <c r="A92" s="0" t="str">
        <f aca="false">INDEX(Prioritization!$D:$D,MATCH($B92,Prioritization!$A:$A,0))</f>
        <v>INVALID</v>
      </c>
      <c r="B92" s="0" t="s">
        <v>209</v>
      </c>
      <c r="C92" s="0" t="s">
        <v>366</v>
      </c>
      <c r="D92" s="0" t="s">
        <v>30</v>
      </c>
      <c r="E92" s="0" t="str">
        <f aca="false">B92&amp;"|"&amp;C92&amp;"|"&amp;D92</f>
        <v>Rumphi District [lPTyjLi4w3d]|25-34|Female</v>
      </c>
      <c r="F92" s="10" t="n">
        <f aca="false">IF(LEFT($B92,4)="_Mil","",INDEX(Cascade!$T:$T,MATCH($E92,Cascade!$E:$E,0)))</f>
        <v>1885</v>
      </c>
      <c r="G92" s="10" t="str">
        <f aca="false">IF(LEFT($B92,4)="_Mil","",INDEX(Cascade!$U:$U,MATCH($E92,Cascade!$E:$E,0)))</f>
        <v/>
      </c>
      <c r="H92" s="86" t="n">
        <f aca="false">IF(LEFT($B92,4)="_Mil","",INDEX(Cascade!$W:$W,MATCH($E92,Cascade!$E:$E,0)))</f>
        <v>986</v>
      </c>
      <c r="I92" s="10" t="n">
        <f aca="false">IF(LEFT($B92,4)="_Mil","",INDEX(Cascade!$Z:$Z,MATCH($E92,Cascade!$E:$E,0)))</f>
        <v>1882</v>
      </c>
      <c r="J92" s="88" t="n">
        <f aca="false">IF(LEFT($B92,4)="_Mil","",INDEX(Cascade!$AA:$AA,MATCH($E92,Cascade!$E:$E,0)))</f>
        <v>1520</v>
      </c>
      <c r="K92" s="39" t="n">
        <f aca="false">IF(LEFT($B92,4)="_Mil","",_xlfn.IFNA(ROUND(INDEX(Spectrum!$N:$N,MATCH(RIGHT($B92,13)&amp;"|"&amp;$C92&amp;"|"&amp;$D92&amp;"|"&amp;K$14&amp;"|"&amp;"CY2023Q3",Spectrum!$R:$R,0)),0),""))</f>
        <v>768</v>
      </c>
      <c r="L92" s="39" t="str">
        <f aca="false">IF(LEFT($B92,4)="_Mil","",_xlfn.IFNA(ROUND(INDEX(Spectrum!$N:$N,MATCH(RIGHT($B92,13)&amp;"|"&amp;$C92&amp;"|"&amp;$D92&amp;"|"&amp;L$14&amp;"|"&amp;"CY2023Q3",Spectrum!$R:$R,0)),0),""))</f>
        <v/>
      </c>
      <c r="M92" s="39" t="n">
        <f aca="false">IF(LEFT($B92,4)="_Mil","",_xlfn.IFNA(ROUND(INDEX(Spectrum!$N:$N,MATCH(RIGHT($B92,13)&amp;"|"&amp;$C92&amp;"|"&amp;$D92&amp;"|"&amp;M$14&amp;"|"&amp;"CY2023Q3",Spectrum!$R:$R,0)),0),""))</f>
        <v>1780</v>
      </c>
      <c r="N92" s="39" t="n">
        <f aca="false">IF(LEFT($B92,4)="_Mil","",_xlfn.IFNA(ROUND(INDEX(Spectrum!$N:$N,MATCH(RIGHT($B92,13)&amp;"|"&amp;$C92&amp;"|"&amp;$D92&amp;"|"&amp;N$14&amp;"|"&amp;"CY2023Q3",Spectrum!$R:$R,0)),0),""))</f>
        <v>1047</v>
      </c>
      <c r="O92" s="39" t="n">
        <f aca="false">IF(LEFT($B92,4)="_Mil","",_xlfn.IFNA(ROUND(INDEX(Spectrum!$N:$N,MATCH(RIGHT($B92,13)&amp;"|"&amp;$C92&amp;"|"&amp;$D92&amp;"|"&amp;O$14&amp;"|"&amp;"CY2023Q3",Spectrum!$R:$R,0)),0),""))</f>
        <v>677</v>
      </c>
      <c r="P92" s="39" t="n">
        <f aca="false">IF(LEFT($B92,4)="_Mil","",_xlfn.IFNA(ROUND(INDEX(Spectrum!$N:$N,MATCH(RIGHT($B92,13)&amp;"|"&amp;$C92&amp;"|"&amp;$D92&amp;"|"&amp;P$14&amp;"|"&amp;"CY2023Q3",Spectrum!$R:$R,0)),0),""))</f>
        <v>988</v>
      </c>
      <c r="Q92" s="39" t="str">
        <f aca="false">IF(LEFT($B92,4)="_Mil","",_xlfn.IFNA(ROUND(INDEX(Spectrum!$N:$N,MATCH(RIGHT($B92,13)&amp;"|"&amp;$C92&amp;"|"&amp;$D92&amp;"|"&amp;Q$14&amp;"|"&amp;"CY2022Q3",Spectrum!$R:$R,0)),0),""))</f>
        <v/>
      </c>
      <c r="R92" s="10"/>
      <c r="S92" s="88" t="n">
        <f aca="false">0</f>
        <v>0</v>
      </c>
      <c r="T92" s="39" t="str">
        <f aca="false">IF(SUM($R92)=0,"",ROUND($R92*(1+$S92),0))</f>
        <v/>
      </c>
      <c r="U92" s="88" t="n">
        <f aca="false">IF(LEFT($B92,4)="_Mil","",IF(SUM($K92)=0,IF(SUM($R92)=0,"",1),MIN($R92/$K92,1)))</f>
        <v>0</v>
      </c>
      <c r="V92" s="39" t="str">
        <f aca="false">IF(OR(SUM($T92)=0,LEFT($B92,4)="_Mil"),"",ROUND($T92/$U92,0))</f>
        <v/>
      </c>
      <c r="W92" s="88"/>
      <c r="X92" s="88" t="n">
        <f aca="false">IF(SUM($K92,$W92)=0,"",MAX(IFERROR(SUM($L92)/$K92,0),SUM($W92)))</f>
        <v>0</v>
      </c>
      <c r="Y92" s="88"/>
      <c r="Z92" s="88" t="n">
        <f aca="false">IF(SUM($K92,$Y92)=0,"",MIN(SUM($Y92),IFERROR(SUM($M92)/(SUM($K92)-SUM($L92)),1)))</f>
        <v>0</v>
      </c>
      <c r="AA92" s="10" t="str">
        <f aca="false">$T92</f>
        <v/>
      </c>
      <c r="AB92" s="39" t="str">
        <f aca="false">IF(SUM($AA92)=0,"",IF(AND(SUM($AA92)&gt;0,$X92=""),"ENTER KNOWN POSITIVITY RATE",ROUND($AA92*$X92,0)))</f>
        <v/>
      </c>
      <c r="AC92" s="39" t="str">
        <f aca="false">IF(SUM($AA92)=0,"",IF(AND((SUM($AA92)-SUM($AB92))&gt;0,$Z92=""),"ENTER YIELD RATE",ROUND(($AA92-SUM($AB92))*$Z92,0)))</f>
        <v/>
      </c>
      <c r="AD92" s="39" t="str">
        <f aca="false">IF(SUM($AA92)=0,"",$AA92-SUM($AB92)-SUM($AC92))</f>
        <v/>
      </c>
      <c r="AE92" s="10" t="str">
        <f aca="false">$V92</f>
        <v/>
      </c>
      <c r="AF92" s="39" t="str">
        <f aca="false">IF(SUM($AE92)=0,"",ROUND($AE92*SUM($X92),0))</f>
        <v/>
      </c>
      <c r="AG92" s="39" t="str">
        <f aca="false">IF(SUM($AE92)=0,"",ROUND(($AE92-SUM($AF92))*SUM($Z92),0))</f>
        <v/>
      </c>
      <c r="AH92" s="39" t="str">
        <f aca="false">IF(SUM($AE92)=0,"",$AE92-SUM($AF92)-SUM($AG92))</f>
        <v/>
      </c>
      <c r="AI92" s="88" t="str">
        <f aca="false">IF(SUM($AC92)=0,"",INDEX(Cascade!$BG:$BG,MATCH($E92,Cascade!$E:$E,0)))</f>
        <v/>
      </c>
      <c r="AJ92" s="39" t="str">
        <f aca="false">$AB92</f>
        <v/>
      </c>
      <c r="AK92" s="39" t="str">
        <f aca="false">IF(SUM($AC92)=0,"",IF(AND($AI92="",SUM($AC92)&gt;0),"&lt;- Enter Linkage Rate",ROUND($AC92*$AI92,0)))</f>
        <v/>
      </c>
      <c r="AL92" s="39" t="str">
        <f aca="false">IF(SUM($AF92,$AG92)=0,"",SUM($AF92,$AG92))</f>
        <v/>
      </c>
      <c r="AM92" s="39" t="str">
        <f aca="false">$AF92</f>
        <v/>
      </c>
      <c r="AN92" s="39" t="str">
        <f aca="false">IF(SUM($AG92)=0,"",ROUND($AG92*SUM($AI92),0))</f>
        <v/>
      </c>
      <c r="AO92" s="10" t="str">
        <f aca="false">IFERROR(1/(1/MAX(SUM($T92)-SUM($AB92,$AC92),$AD92)),"")</f>
        <v/>
      </c>
      <c r="AP92" s="88"/>
      <c r="AQ92" s="88" t="str">
        <f aca="false">IF($AP92="","",$AP92)</f>
        <v/>
      </c>
      <c r="AR92" s="88" t="str">
        <f aca="false">IF(SUM($AO92)=0,"",INDEX(Cascade!$BG:$BG,MATCH($E92,Cascade!$E:$E,0)))</f>
        <v/>
      </c>
      <c r="AS92" s="39" t="str">
        <f aca="false">IF(SUM($AO92)=0,"",IF(AND(SUM($AO92)&gt;0,$AQ92=""),"ENTER YIELD RATE",ROUND($AO92*$AQ92,0)))</f>
        <v/>
      </c>
      <c r="AT92" s="39" t="str">
        <f aca="false">IF(SUM($AO92)=0,"",$AO92-SUM($AS92))</f>
        <v/>
      </c>
      <c r="AU92" s="10" t="str">
        <f aca="false">IF(SUM($AS92)=0,"",ROUND($AS92*$AR92,0))</f>
        <v/>
      </c>
      <c r="AV92" s="10" t="str">
        <f aca="false">IFERROR(1/(1/SUM($AC92,$AB92,$AS92)),"")</f>
        <v/>
      </c>
      <c r="AW92" s="10" t="str">
        <f aca="false">IFERROR(1/(1/INDEX(Cascade!$BH:$BH,MATCH($E92,Cascade!$E:$E,0))),"")</f>
        <v/>
      </c>
      <c r="AX92" s="10" t="str">
        <f aca="false">IF(SUM($AC92)=0,"",$AC92)</f>
        <v/>
      </c>
      <c r="AY92" s="10" t="str">
        <f aca="false">IF(SUM($AS92)=0,"",$AS92)</f>
        <v/>
      </c>
      <c r="AZ92" s="10" t="str">
        <f aca="false">IFERROR(1/(1/INDEX(TB!$P:$P,MATCH($E92,TB!$E:$E,0))),"")</f>
        <v/>
      </c>
      <c r="BA92" s="10" t="str">
        <f aca="false">IFERROR(1/(1/(SUM($AW92)-SUM($AX92:$AZ92))),"")</f>
        <v/>
      </c>
    </row>
    <row r="93" customFormat="false" ht="15" hidden="false" customHeight="false" outlineLevel="0" collapsed="false">
      <c r="A93" s="0" t="str">
        <f aca="false">INDEX(Prioritization!$D:$D,MATCH($B93,Prioritization!$A:$A,0))</f>
        <v>INVALID</v>
      </c>
      <c r="B93" s="0" t="s">
        <v>209</v>
      </c>
      <c r="C93" s="0" t="s">
        <v>367</v>
      </c>
      <c r="D93" s="0" t="s">
        <v>30</v>
      </c>
      <c r="E93" s="0" t="str">
        <f aca="false">B93&amp;"|"&amp;C93&amp;"|"&amp;D93</f>
        <v>Rumphi District [lPTyjLi4w3d]|35-49|Female</v>
      </c>
      <c r="F93" s="10" t="n">
        <f aca="false">IF(LEFT($B93,4)="_Mil","",INDEX(Cascade!$T:$T,MATCH($E93,Cascade!$E:$E,0)))</f>
        <v>870</v>
      </c>
      <c r="G93" s="10" t="str">
        <f aca="false">IF(LEFT($B93,4)="_Mil","",INDEX(Cascade!$U:$U,MATCH($E93,Cascade!$E:$E,0)))</f>
        <v/>
      </c>
      <c r="H93" s="86" t="n">
        <f aca="false">IF(LEFT($B93,4)="_Mil","",INDEX(Cascade!$W:$W,MATCH($E93,Cascade!$E:$E,0)))</f>
        <v>1716</v>
      </c>
      <c r="I93" s="10" t="n">
        <f aca="false">IF(LEFT($B93,4)="_Mil","",INDEX(Cascade!$Z:$Z,MATCH($E93,Cascade!$E:$E,0)))</f>
        <v>653</v>
      </c>
      <c r="J93" s="88" t="n">
        <f aca="false">IF(LEFT($B93,4)="_Mil","",INDEX(Cascade!$AA:$AA,MATCH($E93,Cascade!$E:$E,0)))</f>
        <v>971</v>
      </c>
      <c r="K93" s="39" t="n">
        <f aca="false">IF(LEFT($B93,4)="_Mil","",_xlfn.IFNA(ROUND(INDEX(Spectrum!$N:$N,MATCH(RIGHT($B93,13)&amp;"|"&amp;$C93&amp;"|"&amp;$D93&amp;"|"&amp;K$14&amp;"|"&amp;"CY2023Q3",Spectrum!$R:$R,0)),0),""))</f>
        <v>1096</v>
      </c>
      <c r="L93" s="39" t="str">
        <f aca="false">IF(LEFT($B93,4)="_Mil","",_xlfn.IFNA(ROUND(INDEX(Spectrum!$N:$N,MATCH(RIGHT($B93,13)&amp;"|"&amp;$C93&amp;"|"&amp;$D93&amp;"|"&amp;L$14&amp;"|"&amp;"CY2023Q3",Spectrum!$R:$R,0)),0),""))</f>
        <v/>
      </c>
      <c r="M93" s="39" t="n">
        <f aca="false">IF(LEFT($B93,4)="_Mil","",_xlfn.IFNA(ROUND(INDEX(Spectrum!$N:$N,MATCH(RIGHT($B93,13)&amp;"|"&amp;$C93&amp;"|"&amp;$D93&amp;"|"&amp;M$14&amp;"|"&amp;"CY2023Q3",Spectrum!$R:$R,0)),0),""))</f>
        <v>929</v>
      </c>
      <c r="N93" s="39" t="n">
        <f aca="false">IF(LEFT($B93,4)="_Mil","",_xlfn.IFNA(ROUND(INDEX(Spectrum!$N:$N,MATCH(RIGHT($B93,13)&amp;"|"&amp;$C93&amp;"|"&amp;$D93&amp;"|"&amp;N$14&amp;"|"&amp;"CY2023Q3",Spectrum!$R:$R,0)),0),""))</f>
        <v>1002</v>
      </c>
      <c r="O93" s="39" t="n">
        <f aca="false">IF(LEFT($B93,4)="_Mil","",_xlfn.IFNA(ROUND(INDEX(Spectrum!$N:$N,MATCH(RIGHT($B93,13)&amp;"|"&amp;$C93&amp;"|"&amp;$D93&amp;"|"&amp;O$14&amp;"|"&amp;"CY2023Q3",Spectrum!$R:$R,0)),0),""))</f>
        <v>838</v>
      </c>
      <c r="P93" s="39" t="n">
        <f aca="false">IF(LEFT($B93,4)="_Mil","",_xlfn.IFNA(ROUND(INDEX(Spectrum!$N:$N,MATCH(RIGHT($B93,13)&amp;"|"&amp;$C93&amp;"|"&amp;$D93&amp;"|"&amp;P$14&amp;"|"&amp;"CY2023Q3",Spectrum!$R:$R,0)),0),""))</f>
        <v>1069</v>
      </c>
      <c r="Q93" s="39" t="str">
        <f aca="false">IF(LEFT($B93,4)="_Mil","",_xlfn.IFNA(ROUND(INDEX(Spectrum!$N:$N,MATCH(RIGHT($B93,13)&amp;"|"&amp;$C93&amp;"|"&amp;$D93&amp;"|"&amp;Q$14&amp;"|"&amp;"CY2022Q3",Spectrum!$R:$R,0)),0),""))</f>
        <v/>
      </c>
      <c r="R93" s="10"/>
      <c r="S93" s="88" t="n">
        <f aca="false">0</f>
        <v>0</v>
      </c>
      <c r="T93" s="39" t="str">
        <f aca="false">IF(SUM($R93)=0,"",ROUND($R93*(1+$S93),0))</f>
        <v/>
      </c>
      <c r="U93" s="88" t="n">
        <f aca="false">IF(LEFT($B93,4)="_Mil","",IF(SUM($K93)=0,IF(SUM($R93)=0,"",1),MIN($R93/$K93,1)))</f>
        <v>0</v>
      </c>
      <c r="V93" s="39" t="str">
        <f aca="false">IF(OR(SUM($T93)=0,LEFT($B93,4)="_Mil"),"",ROUND($T93/$U93,0))</f>
        <v/>
      </c>
      <c r="W93" s="88"/>
      <c r="X93" s="88" t="n">
        <f aca="false">IF(SUM($K93,$W93)=0,"",MAX(IFERROR(SUM($L93)/$K93,0),SUM($W93)))</f>
        <v>0</v>
      </c>
      <c r="Y93" s="88"/>
      <c r="Z93" s="88" t="n">
        <f aca="false">IF(SUM($K93,$Y93)=0,"",MIN(SUM($Y93),IFERROR(SUM($M93)/(SUM($K93)-SUM($L93)),1)))</f>
        <v>0</v>
      </c>
      <c r="AA93" s="10" t="str">
        <f aca="false">$T93</f>
        <v/>
      </c>
      <c r="AB93" s="39" t="str">
        <f aca="false">IF(SUM($AA93)=0,"",IF(AND(SUM($AA93)&gt;0,$X93=""),"ENTER KNOWN POSITIVITY RATE",ROUND($AA93*$X93,0)))</f>
        <v/>
      </c>
      <c r="AC93" s="39" t="str">
        <f aca="false">IF(SUM($AA93)=0,"",IF(AND((SUM($AA93)-SUM($AB93))&gt;0,$Z93=""),"ENTER YIELD RATE",ROUND(($AA93-SUM($AB93))*$Z93,0)))</f>
        <v/>
      </c>
      <c r="AD93" s="39" t="str">
        <f aca="false">IF(SUM($AA93)=0,"",$AA93-SUM($AB93)-SUM($AC93))</f>
        <v/>
      </c>
      <c r="AE93" s="10" t="str">
        <f aca="false">$V93</f>
        <v/>
      </c>
      <c r="AF93" s="39" t="str">
        <f aca="false">IF(SUM($AE93)=0,"",ROUND($AE93*SUM($X93),0))</f>
        <v/>
      </c>
      <c r="AG93" s="39" t="str">
        <f aca="false">IF(SUM($AE93)=0,"",ROUND(($AE93-SUM($AF93))*SUM($Z93),0))</f>
        <v/>
      </c>
      <c r="AH93" s="39" t="str">
        <f aca="false">IF(SUM($AE93)=0,"",$AE93-SUM($AF93)-SUM($AG93))</f>
        <v/>
      </c>
      <c r="AI93" s="88" t="str">
        <f aca="false">IF(SUM($AC93)=0,"",INDEX(Cascade!$BG:$BG,MATCH($E93,Cascade!$E:$E,0)))</f>
        <v/>
      </c>
      <c r="AJ93" s="39" t="str">
        <f aca="false">$AB93</f>
        <v/>
      </c>
      <c r="AK93" s="39" t="str">
        <f aca="false">IF(SUM($AC93)=0,"",IF(AND($AI93="",SUM($AC93)&gt;0),"&lt;- Enter Linkage Rate",ROUND($AC93*$AI93,0)))</f>
        <v/>
      </c>
      <c r="AL93" s="39" t="str">
        <f aca="false">IF(SUM($AF93,$AG93)=0,"",SUM($AF93,$AG93))</f>
        <v/>
      </c>
      <c r="AM93" s="39" t="str">
        <f aca="false">$AF93</f>
        <v/>
      </c>
      <c r="AN93" s="39" t="str">
        <f aca="false">IF(SUM($AG93)=0,"",ROUND($AG93*SUM($AI93),0))</f>
        <v/>
      </c>
      <c r="AO93" s="10" t="str">
        <f aca="false">IFERROR(1/(1/MAX(SUM($T93)-SUM($AB93,$AC93),$AD93)),"")</f>
        <v/>
      </c>
      <c r="AP93" s="88"/>
      <c r="AQ93" s="88" t="str">
        <f aca="false">IF($AP93="","",$AP93)</f>
        <v/>
      </c>
      <c r="AR93" s="88" t="str">
        <f aca="false">IF(SUM($AO93)=0,"",INDEX(Cascade!$BG:$BG,MATCH($E93,Cascade!$E:$E,0)))</f>
        <v/>
      </c>
      <c r="AS93" s="39" t="str">
        <f aca="false">IF(SUM($AO93)=0,"",IF(AND(SUM($AO93)&gt;0,$AQ93=""),"ENTER YIELD RATE",ROUND($AO93*$AQ93,0)))</f>
        <v/>
      </c>
      <c r="AT93" s="39" t="str">
        <f aca="false">IF(SUM($AO93)=0,"",$AO93-SUM($AS93))</f>
        <v/>
      </c>
      <c r="AU93" s="10" t="str">
        <f aca="false">IF(SUM($AS93)=0,"",ROUND($AS93*$AR93,0))</f>
        <v/>
      </c>
      <c r="AV93" s="10" t="str">
        <f aca="false">IFERROR(1/(1/SUM($AC93,$AB93,$AS93)),"")</f>
        <v/>
      </c>
      <c r="AW93" s="10" t="str">
        <f aca="false">IFERROR(1/(1/INDEX(Cascade!$BH:$BH,MATCH($E93,Cascade!$E:$E,0))),"")</f>
        <v/>
      </c>
      <c r="AX93" s="10" t="str">
        <f aca="false">IF(SUM($AC93)=0,"",$AC93)</f>
        <v/>
      </c>
      <c r="AY93" s="10" t="str">
        <f aca="false">IF(SUM($AS93)=0,"",$AS93)</f>
        <v/>
      </c>
      <c r="AZ93" s="10" t="str">
        <f aca="false">IFERROR(1/(1/INDEX(TB!$P:$P,MATCH($E93,TB!$E:$E,0))),"")</f>
        <v/>
      </c>
      <c r="BA93" s="10" t="str">
        <f aca="false">IFERROR(1/(1/(SUM($AW93)-SUM($AX93:$AZ93))),"")</f>
        <v/>
      </c>
    </row>
    <row r="94" customFormat="false" ht="15" hidden="false" customHeight="false" outlineLevel="0" collapsed="false">
      <c r="A94" s="0" t="str">
        <f aca="false">INDEX(Prioritization!$D:$D,MATCH($B94,Prioritization!$A:$A,0))</f>
        <v>INVALID</v>
      </c>
      <c r="B94" s="0" t="s">
        <v>209</v>
      </c>
      <c r="C94" s="0" t="s">
        <v>368</v>
      </c>
      <c r="D94" s="0" t="s">
        <v>30</v>
      </c>
      <c r="E94" s="0" t="str">
        <f aca="false">B94&amp;"|"&amp;C94&amp;"|"&amp;D94</f>
        <v>Rumphi District [lPTyjLi4w3d]|50+|Female</v>
      </c>
      <c r="F94" s="10" t="n">
        <f aca="false">IF(LEFT($B94,4)="_Mil","",INDEX(Cascade!$T:$T,MATCH($E94,Cascade!$E:$E,0)))</f>
        <v>1895</v>
      </c>
      <c r="G94" s="10" t="str">
        <f aca="false">IF(LEFT($B94,4)="_Mil","",INDEX(Cascade!$U:$U,MATCH($E94,Cascade!$E:$E,0)))</f>
        <v/>
      </c>
      <c r="H94" s="86" t="n">
        <f aca="false">IF(LEFT($B94,4)="_Mil","",INDEX(Cascade!$W:$W,MATCH($E94,Cascade!$E:$E,0)))</f>
        <v>932</v>
      </c>
      <c r="I94" s="10" t="n">
        <f aca="false">IF(LEFT($B94,4)="_Mil","",INDEX(Cascade!$Z:$Z,MATCH($E94,Cascade!$E:$E,0)))</f>
        <v>895</v>
      </c>
      <c r="J94" s="88" t="n">
        <f aca="false">IF(LEFT($B94,4)="_Mil","",INDEX(Cascade!$AA:$AA,MATCH($E94,Cascade!$E:$E,0)))</f>
        <v>1370</v>
      </c>
      <c r="K94" s="39" t="str">
        <f aca="false">IF(LEFT($B94,4)="_Mil","",_xlfn.IFNA(ROUND(INDEX(Spectrum!$N:$N,MATCH(RIGHT($B94,13)&amp;"|"&amp;$C94&amp;"|"&amp;$D94&amp;"|"&amp;K$14&amp;"|"&amp;"CY2023Q3",Spectrum!$R:$R,0)),0),""))</f>
        <v/>
      </c>
      <c r="L94" s="39" t="str">
        <f aca="false">IF(LEFT($B94,4)="_Mil","",_xlfn.IFNA(ROUND(INDEX(Spectrum!$N:$N,MATCH(RIGHT($B94,13)&amp;"|"&amp;$C94&amp;"|"&amp;$D94&amp;"|"&amp;L$14&amp;"|"&amp;"CY2023Q3",Spectrum!$R:$R,0)),0),""))</f>
        <v/>
      </c>
      <c r="M94" s="39" t="str">
        <f aca="false">IF(LEFT($B94,4)="_Mil","",_xlfn.IFNA(ROUND(INDEX(Spectrum!$N:$N,MATCH(RIGHT($B94,13)&amp;"|"&amp;$C94&amp;"|"&amp;$D94&amp;"|"&amp;M$14&amp;"|"&amp;"CY2023Q3",Spectrum!$R:$R,0)),0),""))</f>
        <v/>
      </c>
      <c r="N94" s="39" t="str">
        <f aca="false">IF(LEFT($B94,4)="_Mil","",_xlfn.IFNA(ROUND(INDEX(Spectrum!$N:$N,MATCH(RIGHT($B94,13)&amp;"|"&amp;$C94&amp;"|"&amp;$D94&amp;"|"&amp;N$14&amp;"|"&amp;"CY2023Q3",Spectrum!$R:$R,0)),0),""))</f>
        <v/>
      </c>
      <c r="O94" s="39" t="str">
        <f aca="false">IF(LEFT($B94,4)="_Mil","",_xlfn.IFNA(ROUND(INDEX(Spectrum!$N:$N,MATCH(RIGHT($B94,13)&amp;"|"&amp;$C94&amp;"|"&amp;$D94&amp;"|"&amp;O$14&amp;"|"&amp;"CY2023Q3",Spectrum!$R:$R,0)),0),""))</f>
        <v/>
      </c>
      <c r="P94" s="39" t="str">
        <f aca="false">IF(LEFT($B94,4)="_Mil","",_xlfn.IFNA(ROUND(INDEX(Spectrum!$N:$N,MATCH(RIGHT($B94,13)&amp;"|"&amp;$C94&amp;"|"&amp;$D94&amp;"|"&amp;P$14&amp;"|"&amp;"CY2023Q3",Spectrum!$R:$R,0)),0),""))</f>
        <v/>
      </c>
      <c r="Q94" s="39" t="str">
        <f aca="false">IF(LEFT($B94,4)="_Mil","",_xlfn.IFNA(ROUND(INDEX(Spectrum!$N:$N,MATCH(RIGHT($B94,13)&amp;"|"&amp;$C94&amp;"|"&amp;$D94&amp;"|"&amp;Q$14&amp;"|"&amp;"CY2022Q3",Spectrum!$R:$R,0)),0),""))</f>
        <v/>
      </c>
      <c r="R94" s="10"/>
      <c r="S94" s="88" t="n">
        <f aca="false">0</f>
        <v>0</v>
      </c>
      <c r="T94" s="39" t="str">
        <f aca="false">IF(SUM($R94)=0,"",ROUND($R94*(1+$S94),0))</f>
        <v/>
      </c>
      <c r="U94" s="88" t="str">
        <f aca="false">IF(LEFT($B94,4)="_Mil","",IF(SUM($K94)=0,IF(SUM($R94)=0,"",1),MIN($R94/$K94,1)))</f>
        <v/>
      </c>
      <c r="V94" s="39" t="str">
        <f aca="false">IF(OR(SUM($T94)=0,LEFT($B94,4)="_Mil"),"",ROUND($T94/$U94,0))</f>
        <v/>
      </c>
      <c r="W94" s="88"/>
      <c r="X94" s="88" t="str">
        <f aca="false">IF(SUM($K94,$W94)=0,"",MAX(IFERROR(SUM($L94)/$K94,0),SUM($W94)))</f>
        <v/>
      </c>
      <c r="Y94" s="88"/>
      <c r="Z94" s="88" t="str">
        <f aca="false">IF(SUM($K94,$Y94)=0,"",MIN(SUM($Y94),IFERROR(SUM($M94)/(SUM($K94)-SUM($L94)),1)))</f>
        <v/>
      </c>
      <c r="AA94" s="10" t="str">
        <f aca="false">$T94</f>
        <v/>
      </c>
      <c r="AB94" s="39" t="str">
        <f aca="false">IF(SUM($AA94)=0,"",IF(AND(SUM($AA94)&gt;0,$X94=""),"ENTER KNOWN POSITIVITY RATE",ROUND($AA94*$X94,0)))</f>
        <v/>
      </c>
      <c r="AC94" s="39" t="str">
        <f aca="false">IF(SUM($AA94)=0,"",IF(AND((SUM($AA94)-SUM($AB94))&gt;0,$Z94=""),"ENTER YIELD RATE",ROUND(($AA94-SUM($AB94))*$Z94,0)))</f>
        <v/>
      </c>
      <c r="AD94" s="39" t="str">
        <f aca="false">IF(SUM($AA94)=0,"",$AA94-SUM($AB94)-SUM($AC94))</f>
        <v/>
      </c>
      <c r="AE94" s="10" t="str">
        <f aca="false">$V94</f>
        <v/>
      </c>
      <c r="AF94" s="39" t="str">
        <f aca="false">IF(SUM($AE94)=0,"",ROUND($AE94*SUM($X94),0))</f>
        <v/>
      </c>
      <c r="AG94" s="39" t="str">
        <f aca="false">IF(SUM($AE94)=0,"",ROUND(($AE94-SUM($AF94))*SUM($Z94),0))</f>
        <v/>
      </c>
      <c r="AH94" s="39" t="str">
        <f aca="false">IF(SUM($AE94)=0,"",$AE94-SUM($AF94)-SUM($AG94))</f>
        <v/>
      </c>
      <c r="AI94" s="88" t="str">
        <f aca="false">IF(SUM($AC94)=0,"",INDEX(Cascade!$BG:$BG,MATCH($E94,Cascade!$E:$E,0)))</f>
        <v/>
      </c>
      <c r="AJ94" s="39" t="str">
        <f aca="false">$AB94</f>
        <v/>
      </c>
      <c r="AK94" s="39" t="str">
        <f aca="false">IF(SUM($AC94)=0,"",IF(AND($AI94="",SUM($AC94)&gt;0),"&lt;- Enter Linkage Rate",ROUND($AC94*$AI94,0)))</f>
        <v/>
      </c>
      <c r="AL94" s="39" t="str">
        <f aca="false">IF(SUM($AF94,$AG94)=0,"",SUM($AF94,$AG94))</f>
        <v/>
      </c>
      <c r="AM94" s="39" t="str">
        <f aca="false">$AF94</f>
        <v/>
      </c>
      <c r="AN94" s="39" t="str">
        <f aca="false">IF(SUM($AG94)=0,"",ROUND($AG94*SUM($AI94),0))</f>
        <v/>
      </c>
      <c r="AO94" s="10" t="str">
        <f aca="false">IFERROR(1/(1/MAX(SUM($T94)-SUM($AB94,$AC94),$AD94)),"")</f>
        <v/>
      </c>
      <c r="AP94" s="88"/>
      <c r="AQ94" s="88" t="str">
        <f aca="false">IF($AP94="","",$AP94)</f>
        <v/>
      </c>
      <c r="AR94" s="88" t="str">
        <f aca="false">IF(SUM($AO94)=0,"",INDEX(Cascade!$BG:$BG,MATCH($E94,Cascade!$E:$E,0)))</f>
        <v/>
      </c>
      <c r="AS94" s="39" t="str">
        <f aca="false">IF(SUM($AO94)=0,"",IF(AND(SUM($AO94)&gt;0,$AQ94=""),"ENTER YIELD RATE",ROUND($AO94*$AQ94,0)))</f>
        <v/>
      </c>
      <c r="AT94" s="39" t="str">
        <f aca="false">IF(SUM($AO94)=0,"",$AO94-SUM($AS94))</f>
        <v/>
      </c>
      <c r="AU94" s="10" t="str">
        <f aca="false">IF(SUM($AS94)=0,"",ROUND($AS94*$AR94,0))</f>
        <v/>
      </c>
      <c r="AV94" s="10" t="str">
        <f aca="false">IFERROR(1/(1/SUM($AC94,$AB94,$AS94)),"")</f>
        <v/>
      </c>
      <c r="AW94" s="10" t="str">
        <f aca="false">IFERROR(1/(1/INDEX(Cascade!$BH:$BH,MATCH($E94,Cascade!$E:$E,0))),"")</f>
        <v/>
      </c>
      <c r="AX94" s="10" t="str">
        <f aca="false">IF(SUM($AC94)=0,"",$AC94)</f>
        <v/>
      </c>
      <c r="AY94" s="10" t="str">
        <f aca="false">IF(SUM($AS94)=0,"",$AS94)</f>
        <v/>
      </c>
      <c r="AZ94" s="10" t="str">
        <f aca="false">IFERROR(1/(1/INDEX(TB!$P:$P,MATCH($E94,TB!$E:$E,0))),"")</f>
        <v/>
      </c>
      <c r="BA94" s="10" t="str">
        <f aca="false">IFERROR(1/(1/(SUM($AW94)-SUM($AX94:$AZ94))),"")</f>
        <v/>
      </c>
    </row>
    <row r="95" customFormat="false" ht="15" hidden="false" customHeight="false" outlineLevel="0" collapsed="false">
      <c r="A95" s="0" t="str">
        <f aca="false">INDEX(Prioritization!$D:$D,MATCH($B95,Prioritization!$A:$A,0))</f>
        <v>1 - Scale-up: Saturation</v>
      </c>
      <c r="B95" s="0" t="s">
        <v>210</v>
      </c>
      <c r="C95" s="0" t="s">
        <v>364</v>
      </c>
      <c r="D95" s="0" t="s">
        <v>30</v>
      </c>
      <c r="E95" s="0" t="str">
        <f aca="false">B95&amp;"|"&amp;C95&amp;"|"&amp;D95</f>
        <v>Balaka District [ir8wuHHzoSs]|10-14|Female</v>
      </c>
      <c r="F95" s="10" t="n">
        <f aca="false">IF(LEFT($B95,4)="_Mil","",INDEX(Cascade!$T:$T,MATCH($E95,Cascade!$E:$E,0)))</f>
        <v>819</v>
      </c>
      <c r="G95" s="10" t="str">
        <f aca="false">IF(LEFT($B95,4)="_Mil","",INDEX(Cascade!$U:$U,MATCH($E95,Cascade!$E:$E,0)))</f>
        <v/>
      </c>
      <c r="H95" s="86" t="n">
        <f aca="false">IF(LEFT($B95,4)="_Mil","",INDEX(Cascade!$W:$W,MATCH($E95,Cascade!$E:$E,0)))</f>
        <v>1085</v>
      </c>
      <c r="I95" s="10" t="n">
        <f aca="false">IF(LEFT($B95,4)="_Mil","",INDEX(Cascade!$Z:$Z,MATCH($E95,Cascade!$E:$E,0)))</f>
        <v>1579</v>
      </c>
      <c r="J95" s="88" t="n">
        <f aca="false">IF(LEFT($B95,4)="_Mil","",INDEX(Cascade!$AA:$AA,MATCH($E95,Cascade!$E:$E,0)))</f>
        <v>698</v>
      </c>
      <c r="K95" s="39" t="str">
        <f aca="false">IF(LEFT($B95,4)="_Mil","",_xlfn.IFNA(ROUND(INDEX(Spectrum!$N:$N,MATCH(RIGHT($B95,13)&amp;"|"&amp;$C95&amp;"|"&amp;$D95&amp;"|"&amp;K$14&amp;"|"&amp;"CY2023Q3",Spectrum!$R:$R,0)),0),""))</f>
        <v/>
      </c>
      <c r="L95" s="39" t="str">
        <f aca="false">IF(LEFT($B95,4)="_Mil","",_xlfn.IFNA(ROUND(INDEX(Spectrum!$N:$N,MATCH(RIGHT($B95,13)&amp;"|"&amp;$C95&amp;"|"&amp;$D95&amp;"|"&amp;L$14&amp;"|"&amp;"CY2023Q3",Spectrum!$R:$R,0)),0),""))</f>
        <v/>
      </c>
      <c r="M95" s="39" t="str">
        <f aca="false">IF(LEFT($B95,4)="_Mil","",_xlfn.IFNA(ROUND(INDEX(Spectrum!$N:$N,MATCH(RIGHT($B95,13)&amp;"|"&amp;$C95&amp;"|"&amp;$D95&amp;"|"&amp;M$14&amp;"|"&amp;"CY2023Q3",Spectrum!$R:$R,0)),0),""))</f>
        <v/>
      </c>
      <c r="N95" s="39" t="str">
        <f aca="false">IF(LEFT($B95,4)="_Mil","",_xlfn.IFNA(ROUND(INDEX(Spectrum!$N:$N,MATCH(RIGHT($B95,13)&amp;"|"&amp;$C95&amp;"|"&amp;$D95&amp;"|"&amp;N$14&amp;"|"&amp;"CY2023Q3",Spectrum!$R:$R,0)),0),""))</f>
        <v/>
      </c>
      <c r="O95" s="39" t="str">
        <f aca="false">IF(LEFT($B95,4)="_Mil","",_xlfn.IFNA(ROUND(INDEX(Spectrum!$N:$N,MATCH(RIGHT($B95,13)&amp;"|"&amp;$C95&amp;"|"&amp;$D95&amp;"|"&amp;O$14&amp;"|"&amp;"CY2023Q3",Spectrum!$R:$R,0)),0),""))</f>
        <v/>
      </c>
      <c r="P95" s="39" t="str">
        <f aca="false">IF(LEFT($B95,4)="_Mil","",_xlfn.IFNA(ROUND(INDEX(Spectrum!$N:$N,MATCH(RIGHT($B95,13)&amp;"|"&amp;$C95&amp;"|"&amp;$D95&amp;"|"&amp;P$14&amp;"|"&amp;"CY2023Q3",Spectrum!$R:$R,0)),0),""))</f>
        <v/>
      </c>
      <c r="Q95" s="39" t="str">
        <f aca="false">IF(LEFT($B95,4)="_Mil","",_xlfn.IFNA(ROUND(INDEX(Spectrum!$N:$N,MATCH(RIGHT($B95,13)&amp;"|"&amp;$C95&amp;"|"&amp;$D95&amp;"|"&amp;Q$14&amp;"|"&amp;"CY2022Q3",Spectrum!$R:$R,0)),0),""))</f>
        <v/>
      </c>
      <c r="R95" s="10" t="n">
        <v>5</v>
      </c>
      <c r="S95" s="88" t="n">
        <f aca="false">0</f>
        <v>0</v>
      </c>
      <c r="T95" s="39" t="n">
        <f aca="false">IF(SUM($R95)=0,"",ROUND($R95*(1+$S95),0))</f>
        <v>5</v>
      </c>
      <c r="U95" s="88" t="n">
        <f aca="false">IF(LEFT($B95,4)="_Mil","",IF(SUM($K95)=0,IF(SUM($R95)=0,"",1),MIN($R95/$K95,1)))</f>
        <v>1</v>
      </c>
      <c r="V95" s="39" t="n">
        <f aca="false">IF(OR(SUM($T95)=0,LEFT($B95,4)="_Mil"),"",ROUND($T95/$U95,0))</f>
        <v>5</v>
      </c>
      <c r="W95" s="88" t="n">
        <v>0.771265823161229</v>
      </c>
      <c r="X95" s="88" t="n">
        <f aca="false">IF(SUM($K95,$W95)=0,"",MAX(IFERROR(SUM($L95)/$K95,0),SUM($W95)))</f>
        <v>0.771265823161229</v>
      </c>
      <c r="Y95" s="88"/>
      <c r="Z95" s="88" t="str">
        <f aca="false">IF(SUM($K95,$Y95)=0,"",MIN(SUM($Y95),IFERROR(SUM($M95)/(SUM($K95)-SUM($L95)),1)))</f>
        <v/>
      </c>
      <c r="AA95" s="10" t="n">
        <f aca="false">$T95</f>
        <v>5</v>
      </c>
      <c r="AB95" s="39" t="n">
        <f aca="false">IF(SUM($AA95)=0,"",IF(AND(SUM($AA95)&gt;0,$X95=""),"ENTER KNOWN POSITIVITY RATE",ROUND($AA95*$X95,0)))</f>
        <v>4</v>
      </c>
      <c r="AC95" s="39" t="str">
        <f aca="false">IF(SUM($AA95)=0,"",IF(AND((SUM($AA95)-SUM($AB95))&gt;0,$Z95=""),"ENTER YIELD RATE",ROUND(($AA95-SUM($AB95))*$Z95,0)))</f>
        <v>ENTER YIELD RATE</v>
      </c>
      <c r="AD95" s="39" t="n">
        <f aca="false">IF(SUM($AA95)=0,"",$AA95-SUM($AB95)-SUM($AC95))</f>
        <v>1</v>
      </c>
      <c r="AE95" s="10" t="n">
        <f aca="false">$V95</f>
        <v>5</v>
      </c>
      <c r="AF95" s="39" t="n">
        <f aca="false">IF(SUM($AE95)=0,"",ROUND($AE95*SUM($X95),0))</f>
        <v>4</v>
      </c>
      <c r="AG95" s="39" t="n">
        <f aca="false">IF(SUM($AE95)=0,"",ROUND(($AE95-SUM($AF95))*SUM($Z95),0))</f>
        <v>0</v>
      </c>
      <c r="AH95" s="39" t="n">
        <f aca="false">IF(SUM($AE95)=0,"",$AE95-SUM($AF95)-SUM($AG95))</f>
        <v>1</v>
      </c>
      <c r="AI95" s="88" t="str">
        <f aca="false">IF(SUM($AC95)=0,"",INDEX(Cascade!$BG:$BG,MATCH($E95,Cascade!$E:$E,0)))</f>
        <v/>
      </c>
      <c r="AJ95" s="39" t="n">
        <f aca="false">$AB95</f>
        <v>4</v>
      </c>
      <c r="AK95" s="39" t="str">
        <f aca="false">IF(SUM($AC95)=0,"",IF(AND($AI95="",SUM($AC95)&gt;0),"&lt;- Enter Linkage Rate",ROUND($AC95*$AI95,0)))</f>
        <v/>
      </c>
      <c r="AL95" s="39" t="n">
        <f aca="false">IF(SUM($AF95,$AG95)=0,"",SUM($AF95,$AG95))</f>
        <v>4</v>
      </c>
      <c r="AM95" s="39" t="n">
        <f aca="false">$AF95</f>
        <v>4</v>
      </c>
      <c r="AN95" s="39" t="str">
        <f aca="false">IF(SUM($AG95)=0,"",ROUND($AG95*SUM($AI95),0))</f>
        <v/>
      </c>
      <c r="AO95" s="10" t="n">
        <f aca="false">IFERROR(1/(1/MAX(SUM($T95)-SUM($AB95,$AC95),$AD95)),"")</f>
        <v>1</v>
      </c>
      <c r="AP95" s="88"/>
      <c r="AQ95" s="88" t="str">
        <f aca="false">IF($AP95="","",$AP95)</f>
        <v/>
      </c>
      <c r="AR95" s="88" t="n">
        <f aca="false">IF(SUM($AO95)=0,"",INDEX(Cascade!$BG:$BG,MATCH($E95,Cascade!$E:$E,0)))</f>
        <v>0.95</v>
      </c>
      <c r="AS95" s="39" t="str">
        <f aca="false">IF(SUM($AO95)=0,"",IF(AND(SUM($AO95)&gt;0,$AQ95=""),"ENTER YIELD RATE",ROUND($AO95*$AQ95,0)))</f>
        <v>ENTER YIELD RATE</v>
      </c>
      <c r="AT95" s="39" t="n">
        <f aca="false">IF(SUM($AO95)=0,"",$AO95-SUM($AS95))</f>
        <v>1</v>
      </c>
      <c r="AU95" s="10" t="str">
        <f aca="false">IF(SUM($AS95)=0,"",ROUND($AS95*$AR95,0))</f>
        <v/>
      </c>
      <c r="AV95" s="10" t="n">
        <f aca="false">IFERROR(1/(1/SUM($AC95,$AB95,$AS95)),"")</f>
        <v>4</v>
      </c>
      <c r="AW95" s="10" t="n">
        <f aca="false">IFERROR(1/(1/INDEX(Cascade!$BH:$BH,MATCH($E95,Cascade!$E:$E,0))),"")</f>
        <v>-97</v>
      </c>
      <c r="AX95" s="10" t="str">
        <f aca="false">IF(SUM($AC95)=0,"",$AC95)</f>
        <v/>
      </c>
      <c r="AY95" s="10" t="str">
        <f aca="false">IF(SUM($AS95)=0,"",$AS95)</f>
        <v/>
      </c>
      <c r="AZ95" s="10" t="str">
        <f aca="false">IFERROR(1/(1/INDEX(TB!$P:$P,MATCH($E95,TB!$E:$E,0))),"")</f>
        <v/>
      </c>
      <c r="BA95" s="10" t="n">
        <f aca="false">IFERROR(1/(1/(SUM($AW95)-SUM($AX95:$AZ95))),"")</f>
        <v>-97</v>
      </c>
    </row>
    <row r="96" customFormat="false" ht="15" hidden="false" customHeight="false" outlineLevel="0" collapsed="false">
      <c r="A96" s="0" t="str">
        <f aca="false">INDEX(Prioritization!$D:$D,MATCH($B96,Prioritization!$A:$A,0))</f>
        <v>1 - Scale-up: Saturation</v>
      </c>
      <c r="B96" s="0" t="s">
        <v>210</v>
      </c>
      <c r="C96" s="0" t="s">
        <v>365</v>
      </c>
      <c r="D96" s="0" t="s">
        <v>30</v>
      </c>
      <c r="E96" s="0" t="str">
        <f aca="false">B96&amp;"|"&amp;C96&amp;"|"&amp;D96</f>
        <v>Balaka District [ir8wuHHzoSs]|15-24|Female</v>
      </c>
      <c r="F96" s="10" t="n">
        <f aca="false">IF(LEFT($B96,4)="_Mil","",INDEX(Cascade!$T:$T,MATCH($E96,Cascade!$E:$E,0)))</f>
        <v>957</v>
      </c>
      <c r="G96" s="10" t="str">
        <f aca="false">IF(LEFT($B96,4)="_Mil","",INDEX(Cascade!$U:$U,MATCH($E96,Cascade!$E:$E,0)))</f>
        <v/>
      </c>
      <c r="H96" s="86" t="n">
        <f aca="false">IF(LEFT($B96,4)="_Mil","",INDEX(Cascade!$W:$W,MATCH($E96,Cascade!$E:$E,0)))</f>
        <v>1392</v>
      </c>
      <c r="I96" s="10" t="n">
        <f aca="false">IF(LEFT($B96,4)="_Mil","",INDEX(Cascade!$Z:$Z,MATCH($E96,Cascade!$E:$E,0)))</f>
        <v>1718</v>
      </c>
      <c r="J96" s="88" t="n">
        <f aca="false">IF(LEFT($B96,4)="_Mil","",INDEX(Cascade!$AA:$AA,MATCH($E96,Cascade!$E:$E,0)))</f>
        <v>1157</v>
      </c>
      <c r="K96" s="39" t="n">
        <f aca="false">IF(LEFT($B96,4)="_Mil","",_xlfn.IFNA(ROUND(INDEX(Spectrum!$N:$N,MATCH(RIGHT($B96,13)&amp;"|"&amp;$C96&amp;"|"&amp;$D96&amp;"|"&amp;K$14&amp;"|"&amp;"CY2023Q3",Spectrum!$R:$R,0)),0),""))</f>
        <v>812</v>
      </c>
      <c r="L96" s="39" t="str">
        <f aca="false">IF(LEFT($B96,4)="_Mil","",_xlfn.IFNA(ROUND(INDEX(Spectrum!$N:$N,MATCH(RIGHT($B96,13)&amp;"|"&amp;$C96&amp;"|"&amp;$D96&amp;"|"&amp;L$14&amp;"|"&amp;"CY2023Q3",Spectrum!$R:$R,0)),0),""))</f>
        <v/>
      </c>
      <c r="M96" s="39" t="n">
        <f aca="false">IF(LEFT($B96,4)="_Mil","",_xlfn.IFNA(ROUND(INDEX(Spectrum!$N:$N,MATCH(RIGHT($B96,13)&amp;"|"&amp;$C96&amp;"|"&amp;$D96&amp;"|"&amp;M$14&amp;"|"&amp;"CY2023Q3",Spectrum!$R:$R,0)),0),""))</f>
        <v>1070</v>
      </c>
      <c r="N96" s="39" t="n">
        <f aca="false">IF(LEFT($B96,4)="_Mil","",_xlfn.IFNA(ROUND(INDEX(Spectrum!$N:$N,MATCH(RIGHT($B96,13)&amp;"|"&amp;$C96&amp;"|"&amp;$D96&amp;"|"&amp;N$14&amp;"|"&amp;"CY2023Q3",Spectrum!$R:$R,0)),0),""))</f>
        <v>1636</v>
      </c>
      <c r="O96" s="39" t="n">
        <f aca="false">IF(LEFT($B96,4)="_Mil","",_xlfn.IFNA(ROUND(INDEX(Spectrum!$N:$N,MATCH(RIGHT($B96,13)&amp;"|"&amp;$C96&amp;"|"&amp;$D96&amp;"|"&amp;O$14&amp;"|"&amp;"CY2023Q3",Spectrum!$R:$R,0)),0),""))</f>
        <v>539</v>
      </c>
      <c r="P96" s="39" t="n">
        <f aca="false">IF(LEFT($B96,4)="_Mil","",_xlfn.IFNA(ROUND(INDEX(Spectrum!$N:$N,MATCH(RIGHT($B96,13)&amp;"|"&amp;$C96&amp;"|"&amp;$D96&amp;"|"&amp;P$14&amp;"|"&amp;"CY2023Q3",Spectrum!$R:$R,0)),0),""))</f>
        <v>1847</v>
      </c>
      <c r="Q96" s="39" t="str">
        <f aca="false">IF(LEFT($B96,4)="_Mil","",_xlfn.IFNA(ROUND(INDEX(Spectrum!$N:$N,MATCH(RIGHT($B96,13)&amp;"|"&amp;$C96&amp;"|"&amp;$D96&amp;"|"&amp;Q$14&amp;"|"&amp;"CY2022Q3",Spectrum!$R:$R,0)),0),""))</f>
        <v/>
      </c>
      <c r="R96" s="10"/>
      <c r="S96" s="88" t="n">
        <f aca="false">0</f>
        <v>0</v>
      </c>
      <c r="T96" s="39" t="str">
        <f aca="false">IF(SUM($R96)=0,"",ROUND($R96*(1+$S96),0))</f>
        <v/>
      </c>
      <c r="U96" s="88" t="n">
        <f aca="false">IF(LEFT($B96,4)="_Mil","",IF(SUM($K96)=0,IF(SUM($R96)=0,"",1),MIN($R96/$K96,1)))</f>
        <v>0</v>
      </c>
      <c r="V96" s="39" t="str">
        <f aca="false">IF(OR(SUM($T96)=0,LEFT($B96,4)="_Mil"),"",ROUND($T96/$U96,0))</f>
        <v/>
      </c>
      <c r="W96" s="88"/>
      <c r="X96" s="88" t="n">
        <f aca="false">IF(SUM($K96,$W96)=0,"",MAX(IFERROR(SUM($L96)/$K96,0),SUM($W96)))</f>
        <v>0</v>
      </c>
      <c r="Y96" s="88"/>
      <c r="Z96" s="88" t="n">
        <f aca="false">IF(SUM($K96,$Y96)=0,"",MIN(SUM($Y96),IFERROR(SUM($M96)/(SUM($K96)-SUM($L96)),1)))</f>
        <v>0</v>
      </c>
      <c r="AA96" s="10" t="str">
        <f aca="false">$T96</f>
        <v/>
      </c>
      <c r="AB96" s="39" t="str">
        <f aca="false">IF(SUM($AA96)=0,"",IF(AND(SUM($AA96)&gt;0,$X96=""),"ENTER KNOWN POSITIVITY RATE",ROUND($AA96*$X96,0)))</f>
        <v/>
      </c>
      <c r="AC96" s="39" t="str">
        <f aca="false">IF(SUM($AA96)=0,"",IF(AND((SUM($AA96)-SUM($AB96))&gt;0,$Z96=""),"ENTER YIELD RATE",ROUND(($AA96-SUM($AB96))*$Z96,0)))</f>
        <v/>
      </c>
      <c r="AD96" s="39" t="str">
        <f aca="false">IF(SUM($AA96)=0,"",$AA96-SUM($AB96)-SUM($AC96))</f>
        <v/>
      </c>
      <c r="AE96" s="10" t="str">
        <f aca="false">$V96</f>
        <v/>
      </c>
      <c r="AF96" s="39" t="str">
        <f aca="false">IF(SUM($AE96)=0,"",ROUND($AE96*SUM($X96),0))</f>
        <v/>
      </c>
      <c r="AG96" s="39" t="str">
        <f aca="false">IF(SUM($AE96)=0,"",ROUND(($AE96-SUM($AF96))*SUM($Z96),0))</f>
        <v/>
      </c>
      <c r="AH96" s="39" t="str">
        <f aca="false">IF(SUM($AE96)=0,"",$AE96-SUM($AF96)-SUM($AG96))</f>
        <v/>
      </c>
      <c r="AI96" s="88" t="str">
        <f aca="false">IF(SUM($AC96)=0,"",INDEX(Cascade!$BG:$BG,MATCH($E96,Cascade!$E:$E,0)))</f>
        <v/>
      </c>
      <c r="AJ96" s="39" t="str">
        <f aca="false">$AB96</f>
        <v/>
      </c>
      <c r="AK96" s="39" t="str">
        <f aca="false">IF(SUM($AC96)=0,"",IF(AND($AI96="",SUM($AC96)&gt;0),"&lt;- Enter Linkage Rate",ROUND($AC96*$AI96,0)))</f>
        <v/>
      </c>
      <c r="AL96" s="39" t="str">
        <f aca="false">IF(SUM($AF96,$AG96)=0,"",SUM($AF96,$AG96))</f>
        <v/>
      </c>
      <c r="AM96" s="39" t="str">
        <f aca="false">$AF96</f>
        <v/>
      </c>
      <c r="AN96" s="39" t="str">
        <f aca="false">IF(SUM($AG96)=0,"",ROUND($AG96*SUM($AI96),0))</f>
        <v/>
      </c>
      <c r="AO96" s="10" t="str">
        <f aca="false">IFERROR(1/(1/MAX(SUM($T96)-SUM($AB96,$AC96),$AD96)),"")</f>
        <v/>
      </c>
      <c r="AP96" s="88"/>
      <c r="AQ96" s="88" t="str">
        <f aca="false">IF($AP96="","",$AP96)</f>
        <v/>
      </c>
      <c r="AR96" s="88" t="str">
        <f aca="false">IF(SUM($AO96)=0,"",INDEX(Cascade!$BG:$BG,MATCH($E96,Cascade!$E:$E,0)))</f>
        <v/>
      </c>
      <c r="AS96" s="39" t="str">
        <f aca="false">IF(SUM($AO96)=0,"",IF(AND(SUM($AO96)&gt;0,$AQ96=""),"ENTER YIELD RATE",ROUND($AO96*$AQ96,0)))</f>
        <v/>
      </c>
      <c r="AT96" s="39" t="str">
        <f aca="false">IF(SUM($AO96)=0,"",$AO96-SUM($AS96))</f>
        <v/>
      </c>
      <c r="AU96" s="10" t="str">
        <f aca="false">IF(SUM($AS96)=0,"",ROUND($AS96*$AR96,0))</f>
        <v/>
      </c>
      <c r="AV96" s="10" t="str">
        <f aca="false">IFERROR(1/(1/SUM($AC96,$AB96,$AS96)),"")</f>
        <v/>
      </c>
      <c r="AW96" s="10" t="str">
        <f aca="false">IFERROR(1/(1/INDEX(Cascade!$BH:$BH,MATCH($E96,Cascade!$E:$E,0))),"")</f>
        <v/>
      </c>
      <c r="AX96" s="10" t="str">
        <f aca="false">IF(SUM($AC96)=0,"",$AC96)</f>
        <v/>
      </c>
      <c r="AY96" s="10" t="str">
        <f aca="false">IF(SUM($AS96)=0,"",$AS96)</f>
        <v/>
      </c>
      <c r="AZ96" s="10" t="str">
        <f aca="false">IFERROR(1/(1/INDEX(TB!$P:$P,MATCH($E96,TB!$E:$E,0))),"")</f>
        <v/>
      </c>
      <c r="BA96" s="10" t="str">
        <f aca="false">IFERROR(1/(1/(SUM($AW96)-SUM($AX96:$AZ96))),"")</f>
        <v/>
      </c>
    </row>
    <row r="97" customFormat="false" ht="15" hidden="false" customHeight="false" outlineLevel="0" collapsed="false">
      <c r="A97" s="0" t="str">
        <f aca="false">INDEX(Prioritization!$D:$D,MATCH($B97,Prioritization!$A:$A,0))</f>
        <v>1 - Scale-up: Saturation</v>
      </c>
      <c r="B97" s="0" t="s">
        <v>210</v>
      </c>
      <c r="C97" s="0" t="s">
        <v>366</v>
      </c>
      <c r="D97" s="0" t="s">
        <v>30</v>
      </c>
      <c r="E97" s="0" t="str">
        <f aca="false">B97&amp;"|"&amp;C97&amp;"|"&amp;D97</f>
        <v>Balaka District [ir8wuHHzoSs]|25-34|Female</v>
      </c>
      <c r="F97" s="10" t="n">
        <f aca="false">IF(LEFT($B97,4)="_Mil","",INDEX(Cascade!$T:$T,MATCH($E97,Cascade!$E:$E,0)))</f>
        <v>1592</v>
      </c>
      <c r="G97" s="10" t="str">
        <f aca="false">IF(LEFT($B97,4)="_Mil","",INDEX(Cascade!$U:$U,MATCH($E97,Cascade!$E:$E,0)))</f>
        <v/>
      </c>
      <c r="H97" s="86" t="n">
        <f aca="false">IF(LEFT($B97,4)="_Mil","",INDEX(Cascade!$W:$W,MATCH($E97,Cascade!$E:$E,0)))</f>
        <v>1233</v>
      </c>
      <c r="I97" s="10" t="n">
        <f aca="false">IF(LEFT($B97,4)="_Mil","",INDEX(Cascade!$Z:$Z,MATCH($E97,Cascade!$E:$E,0)))</f>
        <v>577</v>
      </c>
      <c r="J97" s="88" t="n">
        <f aca="false">IF(LEFT($B97,4)="_Mil","",INDEX(Cascade!$AA:$AA,MATCH($E97,Cascade!$E:$E,0)))</f>
        <v>1496</v>
      </c>
      <c r="K97" s="39" t="n">
        <f aca="false">IF(LEFT($B97,4)="_Mil","",_xlfn.IFNA(ROUND(INDEX(Spectrum!$N:$N,MATCH(RIGHT($B97,13)&amp;"|"&amp;$C97&amp;"|"&amp;$D97&amp;"|"&amp;K$14&amp;"|"&amp;"CY2023Q3",Spectrum!$R:$R,0)),0),""))</f>
        <v>1180</v>
      </c>
      <c r="L97" s="39" t="str">
        <f aca="false">IF(LEFT($B97,4)="_Mil","",_xlfn.IFNA(ROUND(INDEX(Spectrum!$N:$N,MATCH(RIGHT($B97,13)&amp;"|"&amp;$C97&amp;"|"&amp;$D97&amp;"|"&amp;L$14&amp;"|"&amp;"CY2023Q3",Spectrum!$R:$R,0)),0),""))</f>
        <v/>
      </c>
      <c r="M97" s="39" t="n">
        <f aca="false">IF(LEFT($B97,4)="_Mil","",_xlfn.IFNA(ROUND(INDEX(Spectrum!$N:$N,MATCH(RIGHT($B97,13)&amp;"|"&amp;$C97&amp;"|"&amp;$D97&amp;"|"&amp;M$14&amp;"|"&amp;"CY2023Q3",Spectrum!$R:$R,0)),0),""))</f>
        <v>583</v>
      </c>
      <c r="N97" s="39" t="n">
        <f aca="false">IF(LEFT($B97,4)="_Mil","",_xlfn.IFNA(ROUND(INDEX(Spectrum!$N:$N,MATCH(RIGHT($B97,13)&amp;"|"&amp;$C97&amp;"|"&amp;$D97&amp;"|"&amp;N$14&amp;"|"&amp;"CY2023Q3",Spectrum!$R:$R,0)),0),""))</f>
        <v>688</v>
      </c>
      <c r="O97" s="39" t="n">
        <f aca="false">IF(LEFT($B97,4)="_Mil","",_xlfn.IFNA(ROUND(INDEX(Spectrum!$N:$N,MATCH(RIGHT($B97,13)&amp;"|"&amp;$C97&amp;"|"&amp;$D97&amp;"|"&amp;O$14&amp;"|"&amp;"CY2023Q3",Spectrum!$R:$R,0)),0),""))</f>
        <v>1414</v>
      </c>
      <c r="P97" s="39" t="n">
        <f aca="false">IF(LEFT($B97,4)="_Mil","",_xlfn.IFNA(ROUND(INDEX(Spectrum!$N:$N,MATCH(RIGHT($B97,13)&amp;"|"&amp;$C97&amp;"|"&amp;$D97&amp;"|"&amp;P$14&amp;"|"&amp;"CY2023Q3",Spectrum!$R:$R,0)),0),""))</f>
        <v>1215</v>
      </c>
      <c r="Q97" s="39" t="str">
        <f aca="false">IF(LEFT($B97,4)="_Mil","",_xlfn.IFNA(ROUND(INDEX(Spectrum!$N:$N,MATCH(RIGHT($B97,13)&amp;"|"&amp;$C97&amp;"|"&amp;$D97&amp;"|"&amp;Q$14&amp;"|"&amp;"CY2022Q3",Spectrum!$R:$R,0)),0),""))</f>
        <v/>
      </c>
      <c r="R97" s="10"/>
      <c r="S97" s="88" t="n">
        <f aca="false">0</f>
        <v>0</v>
      </c>
      <c r="T97" s="39" t="str">
        <f aca="false">IF(SUM($R97)=0,"",ROUND($R97*(1+$S97),0))</f>
        <v/>
      </c>
      <c r="U97" s="88" t="n">
        <f aca="false">IF(LEFT($B97,4)="_Mil","",IF(SUM($K97)=0,IF(SUM($R97)=0,"",1),MIN($R97/$K97,1)))</f>
        <v>0</v>
      </c>
      <c r="V97" s="39" t="str">
        <f aca="false">IF(OR(SUM($T97)=0,LEFT($B97,4)="_Mil"),"",ROUND($T97/$U97,0))</f>
        <v/>
      </c>
      <c r="W97" s="88"/>
      <c r="X97" s="88" t="n">
        <f aca="false">IF(SUM($K97,$W97)=0,"",MAX(IFERROR(SUM($L97)/$K97,0),SUM($W97)))</f>
        <v>0</v>
      </c>
      <c r="Y97" s="88"/>
      <c r="Z97" s="88" t="n">
        <f aca="false">IF(SUM($K97,$Y97)=0,"",MIN(SUM($Y97),IFERROR(SUM($M97)/(SUM($K97)-SUM($L97)),1)))</f>
        <v>0</v>
      </c>
      <c r="AA97" s="10" t="str">
        <f aca="false">$T97</f>
        <v/>
      </c>
      <c r="AB97" s="39" t="str">
        <f aca="false">IF(SUM($AA97)=0,"",IF(AND(SUM($AA97)&gt;0,$X97=""),"ENTER KNOWN POSITIVITY RATE",ROUND($AA97*$X97,0)))</f>
        <v/>
      </c>
      <c r="AC97" s="39" t="str">
        <f aca="false">IF(SUM($AA97)=0,"",IF(AND((SUM($AA97)-SUM($AB97))&gt;0,$Z97=""),"ENTER YIELD RATE",ROUND(($AA97-SUM($AB97))*$Z97,0)))</f>
        <v/>
      </c>
      <c r="AD97" s="39" t="str">
        <f aca="false">IF(SUM($AA97)=0,"",$AA97-SUM($AB97)-SUM($AC97))</f>
        <v/>
      </c>
      <c r="AE97" s="10" t="str">
        <f aca="false">$V97</f>
        <v/>
      </c>
      <c r="AF97" s="39" t="str">
        <f aca="false">IF(SUM($AE97)=0,"",ROUND($AE97*SUM($X97),0))</f>
        <v/>
      </c>
      <c r="AG97" s="39" t="str">
        <f aca="false">IF(SUM($AE97)=0,"",ROUND(($AE97-SUM($AF97))*SUM($Z97),0))</f>
        <v/>
      </c>
      <c r="AH97" s="39" t="str">
        <f aca="false">IF(SUM($AE97)=0,"",$AE97-SUM($AF97)-SUM($AG97))</f>
        <v/>
      </c>
      <c r="AI97" s="88" t="str">
        <f aca="false">IF(SUM($AC97)=0,"",INDEX(Cascade!$BG:$BG,MATCH($E97,Cascade!$E:$E,0)))</f>
        <v/>
      </c>
      <c r="AJ97" s="39" t="str">
        <f aca="false">$AB97</f>
        <v/>
      </c>
      <c r="AK97" s="39" t="str">
        <f aca="false">IF(SUM($AC97)=0,"",IF(AND($AI97="",SUM($AC97)&gt;0),"&lt;- Enter Linkage Rate",ROUND($AC97*$AI97,0)))</f>
        <v/>
      </c>
      <c r="AL97" s="39" t="str">
        <f aca="false">IF(SUM($AF97,$AG97)=0,"",SUM($AF97,$AG97))</f>
        <v/>
      </c>
      <c r="AM97" s="39" t="str">
        <f aca="false">$AF97</f>
        <v/>
      </c>
      <c r="AN97" s="39" t="str">
        <f aca="false">IF(SUM($AG97)=0,"",ROUND($AG97*SUM($AI97),0))</f>
        <v/>
      </c>
      <c r="AO97" s="10" t="str">
        <f aca="false">IFERROR(1/(1/MAX(SUM($T97)-SUM($AB97,$AC97),$AD97)),"")</f>
        <v/>
      </c>
      <c r="AP97" s="88"/>
      <c r="AQ97" s="88" t="str">
        <f aca="false">IF($AP97="","",$AP97)</f>
        <v/>
      </c>
      <c r="AR97" s="88" t="str">
        <f aca="false">IF(SUM($AO97)=0,"",INDEX(Cascade!$BG:$BG,MATCH($E97,Cascade!$E:$E,0)))</f>
        <v/>
      </c>
      <c r="AS97" s="39" t="str">
        <f aca="false">IF(SUM($AO97)=0,"",IF(AND(SUM($AO97)&gt;0,$AQ97=""),"ENTER YIELD RATE",ROUND($AO97*$AQ97,0)))</f>
        <v/>
      </c>
      <c r="AT97" s="39" t="str">
        <f aca="false">IF(SUM($AO97)=0,"",$AO97-SUM($AS97))</f>
        <v/>
      </c>
      <c r="AU97" s="10" t="str">
        <f aca="false">IF(SUM($AS97)=0,"",ROUND($AS97*$AR97,0))</f>
        <v/>
      </c>
      <c r="AV97" s="10" t="str">
        <f aca="false">IFERROR(1/(1/SUM($AC97,$AB97,$AS97)),"")</f>
        <v/>
      </c>
      <c r="AW97" s="10" t="str">
        <f aca="false">IFERROR(1/(1/INDEX(Cascade!$BH:$BH,MATCH($E97,Cascade!$E:$E,0))),"")</f>
        <v/>
      </c>
      <c r="AX97" s="10" t="str">
        <f aca="false">IF(SUM($AC97)=0,"",$AC97)</f>
        <v/>
      </c>
      <c r="AY97" s="10" t="str">
        <f aca="false">IF(SUM($AS97)=0,"",$AS97)</f>
        <v/>
      </c>
      <c r="AZ97" s="10" t="str">
        <f aca="false">IFERROR(1/(1/INDEX(TB!$P:$P,MATCH($E97,TB!$E:$E,0))),"")</f>
        <v/>
      </c>
      <c r="BA97" s="10" t="str">
        <f aca="false">IFERROR(1/(1/(SUM($AW97)-SUM($AX97:$AZ97))),"")</f>
        <v/>
      </c>
    </row>
    <row r="98" customFormat="false" ht="15" hidden="false" customHeight="false" outlineLevel="0" collapsed="false">
      <c r="A98" s="0" t="str">
        <f aca="false">INDEX(Prioritization!$D:$D,MATCH($B98,Prioritization!$A:$A,0))</f>
        <v>1 - Scale-up: Saturation</v>
      </c>
      <c r="B98" s="0" t="s">
        <v>210</v>
      </c>
      <c r="C98" s="0" t="s">
        <v>367</v>
      </c>
      <c r="D98" s="0" t="s">
        <v>30</v>
      </c>
      <c r="E98" s="0" t="str">
        <f aca="false">B98&amp;"|"&amp;C98&amp;"|"&amp;D98</f>
        <v>Balaka District [ir8wuHHzoSs]|35-49|Female</v>
      </c>
      <c r="F98" s="10" t="n">
        <f aca="false">IF(LEFT($B98,4)="_Mil","",INDEX(Cascade!$T:$T,MATCH($E98,Cascade!$E:$E,0)))</f>
        <v>1224</v>
      </c>
      <c r="G98" s="10" t="str">
        <f aca="false">IF(LEFT($B98,4)="_Mil","",INDEX(Cascade!$U:$U,MATCH($E98,Cascade!$E:$E,0)))</f>
        <v/>
      </c>
      <c r="H98" s="86" t="n">
        <f aca="false">IF(LEFT($B98,4)="_Mil","",INDEX(Cascade!$W:$W,MATCH($E98,Cascade!$E:$E,0)))</f>
        <v>1757</v>
      </c>
      <c r="I98" s="10" t="n">
        <f aca="false">IF(LEFT($B98,4)="_Mil","",INDEX(Cascade!$Z:$Z,MATCH($E98,Cascade!$E:$E,0)))</f>
        <v>1095</v>
      </c>
      <c r="J98" s="88" t="n">
        <f aca="false">IF(LEFT($B98,4)="_Mil","",INDEX(Cascade!$AA:$AA,MATCH($E98,Cascade!$E:$E,0)))</f>
        <v>522</v>
      </c>
      <c r="K98" s="39" t="n">
        <f aca="false">IF(LEFT($B98,4)="_Mil","",_xlfn.IFNA(ROUND(INDEX(Spectrum!$N:$N,MATCH(RIGHT($B98,13)&amp;"|"&amp;$C98&amp;"|"&amp;$D98&amp;"|"&amp;K$14&amp;"|"&amp;"CY2023Q3",Spectrum!$R:$R,0)),0),""))</f>
        <v>1479</v>
      </c>
      <c r="L98" s="39" t="str">
        <f aca="false">IF(LEFT($B98,4)="_Mil","",_xlfn.IFNA(ROUND(INDEX(Spectrum!$N:$N,MATCH(RIGHT($B98,13)&amp;"|"&amp;$C98&amp;"|"&amp;$D98&amp;"|"&amp;L$14&amp;"|"&amp;"CY2023Q3",Spectrum!$R:$R,0)),0),""))</f>
        <v/>
      </c>
      <c r="M98" s="39" t="n">
        <f aca="false">IF(LEFT($B98,4)="_Mil","",_xlfn.IFNA(ROUND(INDEX(Spectrum!$N:$N,MATCH(RIGHT($B98,13)&amp;"|"&amp;$C98&amp;"|"&amp;$D98&amp;"|"&amp;M$14&amp;"|"&amp;"CY2023Q3",Spectrum!$R:$R,0)),0),""))</f>
        <v>1340</v>
      </c>
      <c r="N98" s="39" t="n">
        <f aca="false">IF(LEFT($B98,4)="_Mil","",_xlfn.IFNA(ROUND(INDEX(Spectrum!$N:$N,MATCH(RIGHT($B98,13)&amp;"|"&amp;$C98&amp;"|"&amp;$D98&amp;"|"&amp;N$14&amp;"|"&amp;"CY2023Q3",Spectrum!$R:$R,0)),0),""))</f>
        <v>575</v>
      </c>
      <c r="O98" s="39" t="n">
        <f aca="false">IF(LEFT($B98,4)="_Mil","",_xlfn.IFNA(ROUND(INDEX(Spectrum!$N:$N,MATCH(RIGHT($B98,13)&amp;"|"&amp;$C98&amp;"|"&amp;$D98&amp;"|"&amp;O$14&amp;"|"&amp;"CY2023Q3",Spectrum!$R:$R,0)),0),""))</f>
        <v>678</v>
      </c>
      <c r="P98" s="39" t="n">
        <f aca="false">IF(LEFT($B98,4)="_Mil","",_xlfn.IFNA(ROUND(INDEX(Spectrum!$N:$N,MATCH(RIGHT($B98,13)&amp;"|"&amp;$C98&amp;"|"&amp;$D98&amp;"|"&amp;P$14&amp;"|"&amp;"CY2023Q3",Spectrum!$R:$R,0)),0),""))</f>
        <v>1574</v>
      </c>
      <c r="Q98" s="39" t="str">
        <f aca="false">IF(LEFT($B98,4)="_Mil","",_xlfn.IFNA(ROUND(INDEX(Spectrum!$N:$N,MATCH(RIGHT($B98,13)&amp;"|"&amp;$C98&amp;"|"&amp;$D98&amp;"|"&amp;Q$14&amp;"|"&amp;"CY2022Q3",Spectrum!$R:$R,0)),0),""))</f>
        <v/>
      </c>
      <c r="R98" s="10"/>
      <c r="S98" s="88" t="n">
        <f aca="false">0</f>
        <v>0</v>
      </c>
      <c r="T98" s="39" t="str">
        <f aca="false">IF(SUM($R98)=0,"",ROUND($R98*(1+$S98),0))</f>
        <v/>
      </c>
      <c r="U98" s="88" t="n">
        <f aca="false">IF(LEFT($B98,4)="_Mil","",IF(SUM($K98)=0,IF(SUM($R98)=0,"",1),MIN($R98/$K98,1)))</f>
        <v>0</v>
      </c>
      <c r="V98" s="39" t="str">
        <f aca="false">IF(OR(SUM($T98)=0,LEFT($B98,4)="_Mil"),"",ROUND($T98/$U98,0))</f>
        <v/>
      </c>
      <c r="W98" s="88"/>
      <c r="X98" s="88" t="n">
        <f aca="false">IF(SUM($K98,$W98)=0,"",MAX(IFERROR(SUM($L98)/$K98,0),SUM($W98)))</f>
        <v>0</v>
      </c>
      <c r="Y98" s="88"/>
      <c r="Z98" s="88" t="n">
        <f aca="false">IF(SUM($K98,$Y98)=0,"",MIN(SUM($Y98),IFERROR(SUM($M98)/(SUM($K98)-SUM($L98)),1)))</f>
        <v>0</v>
      </c>
      <c r="AA98" s="10" t="str">
        <f aca="false">$T98</f>
        <v/>
      </c>
      <c r="AB98" s="39" t="str">
        <f aca="false">IF(SUM($AA98)=0,"",IF(AND(SUM($AA98)&gt;0,$X98=""),"ENTER KNOWN POSITIVITY RATE",ROUND($AA98*$X98,0)))</f>
        <v/>
      </c>
      <c r="AC98" s="39" t="str">
        <f aca="false">IF(SUM($AA98)=0,"",IF(AND((SUM($AA98)-SUM($AB98))&gt;0,$Z98=""),"ENTER YIELD RATE",ROUND(($AA98-SUM($AB98))*$Z98,0)))</f>
        <v/>
      </c>
      <c r="AD98" s="39" t="str">
        <f aca="false">IF(SUM($AA98)=0,"",$AA98-SUM($AB98)-SUM($AC98))</f>
        <v/>
      </c>
      <c r="AE98" s="10" t="str">
        <f aca="false">$V98</f>
        <v/>
      </c>
      <c r="AF98" s="39" t="str">
        <f aca="false">IF(SUM($AE98)=0,"",ROUND($AE98*SUM($X98),0))</f>
        <v/>
      </c>
      <c r="AG98" s="39" t="str">
        <f aca="false">IF(SUM($AE98)=0,"",ROUND(($AE98-SUM($AF98))*SUM($Z98),0))</f>
        <v/>
      </c>
      <c r="AH98" s="39" t="str">
        <f aca="false">IF(SUM($AE98)=0,"",$AE98-SUM($AF98)-SUM($AG98))</f>
        <v/>
      </c>
      <c r="AI98" s="88" t="str">
        <f aca="false">IF(SUM($AC98)=0,"",INDEX(Cascade!$BG:$BG,MATCH($E98,Cascade!$E:$E,0)))</f>
        <v/>
      </c>
      <c r="AJ98" s="39" t="str">
        <f aca="false">$AB98</f>
        <v/>
      </c>
      <c r="AK98" s="39" t="str">
        <f aca="false">IF(SUM($AC98)=0,"",IF(AND($AI98="",SUM($AC98)&gt;0),"&lt;- Enter Linkage Rate",ROUND($AC98*$AI98,0)))</f>
        <v/>
      </c>
      <c r="AL98" s="39" t="str">
        <f aca="false">IF(SUM($AF98,$AG98)=0,"",SUM($AF98,$AG98))</f>
        <v/>
      </c>
      <c r="AM98" s="39" t="str">
        <f aca="false">$AF98</f>
        <v/>
      </c>
      <c r="AN98" s="39" t="str">
        <f aca="false">IF(SUM($AG98)=0,"",ROUND($AG98*SUM($AI98),0))</f>
        <v/>
      </c>
      <c r="AO98" s="10" t="str">
        <f aca="false">IFERROR(1/(1/MAX(SUM($T98)-SUM($AB98,$AC98),$AD98)),"")</f>
        <v/>
      </c>
      <c r="AP98" s="88"/>
      <c r="AQ98" s="88" t="str">
        <f aca="false">IF($AP98="","",$AP98)</f>
        <v/>
      </c>
      <c r="AR98" s="88" t="str">
        <f aca="false">IF(SUM($AO98)=0,"",INDEX(Cascade!$BG:$BG,MATCH($E98,Cascade!$E:$E,0)))</f>
        <v/>
      </c>
      <c r="AS98" s="39" t="str">
        <f aca="false">IF(SUM($AO98)=0,"",IF(AND(SUM($AO98)&gt;0,$AQ98=""),"ENTER YIELD RATE",ROUND($AO98*$AQ98,0)))</f>
        <v/>
      </c>
      <c r="AT98" s="39" t="str">
        <f aca="false">IF(SUM($AO98)=0,"",$AO98-SUM($AS98))</f>
        <v/>
      </c>
      <c r="AU98" s="10" t="str">
        <f aca="false">IF(SUM($AS98)=0,"",ROUND($AS98*$AR98,0))</f>
        <v/>
      </c>
      <c r="AV98" s="10" t="str">
        <f aca="false">IFERROR(1/(1/SUM($AC98,$AB98,$AS98)),"")</f>
        <v/>
      </c>
      <c r="AW98" s="10" t="str">
        <f aca="false">IFERROR(1/(1/INDEX(Cascade!$BH:$BH,MATCH($E98,Cascade!$E:$E,0))),"")</f>
        <v/>
      </c>
      <c r="AX98" s="10" t="str">
        <f aca="false">IF(SUM($AC98)=0,"",$AC98)</f>
        <v/>
      </c>
      <c r="AY98" s="10" t="str">
        <f aca="false">IF(SUM($AS98)=0,"",$AS98)</f>
        <v/>
      </c>
      <c r="AZ98" s="10" t="str">
        <f aca="false">IFERROR(1/(1/INDEX(TB!$P:$P,MATCH($E98,TB!$E:$E,0))),"")</f>
        <v/>
      </c>
      <c r="BA98" s="10" t="str">
        <f aca="false">IFERROR(1/(1/(SUM($AW98)-SUM($AX98:$AZ98))),"")</f>
        <v/>
      </c>
    </row>
    <row r="99" customFormat="false" ht="15" hidden="false" customHeight="false" outlineLevel="0" collapsed="false">
      <c r="A99" s="0" t="str">
        <f aca="false">INDEX(Prioritization!$D:$D,MATCH($B99,Prioritization!$A:$A,0))</f>
        <v>1 - Scale-up: Saturation</v>
      </c>
      <c r="B99" s="0" t="s">
        <v>210</v>
      </c>
      <c r="C99" s="0" t="s">
        <v>368</v>
      </c>
      <c r="D99" s="0" t="s">
        <v>30</v>
      </c>
      <c r="E99" s="0" t="str">
        <f aca="false">B99&amp;"|"&amp;C99&amp;"|"&amp;D99</f>
        <v>Balaka District [ir8wuHHzoSs]|50+|Female</v>
      </c>
      <c r="F99" s="10" t="n">
        <f aca="false">IF(LEFT($B99,4)="_Mil","",INDEX(Cascade!$T:$T,MATCH($E99,Cascade!$E:$E,0)))</f>
        <v>1618</v>
      </c>
      <c r="G99" s="10" t="str">
        <f aca="false">IF(LEFT($B99,4)="_Mil","",INDEX(Cascade!$U:$U,MATCH($E99,Cascade!$E:$E,0)))</f>
        <v/>
      </c>
      <c r="H99" s="86" t="n">
        <f aca="false">IF(LEFT($B99,4)="_Mil","",INDEX(Cascade!$W:$W,MATCH($E99,Cascade!$E:$E,0)))</f>
        <v>1737</v>
      </c>
      <c r="I99" s="10" t="n">
        <f aca="false">IF(LEFT($B99,4)="_Mil","",INDEX(Cascade!$Z:$Z,MATCH($E99,Cascade!$E:$E,0)))</f>
        <v>1236</v>
      </c>
      <c r="J99" s="88" t="n">
        <f aca="false">IF(LEFT($B99,4)="_Mil","",INDEX(Cascade!$AA:$AA,MATCH($E99,Cascade!$E:$E,0)))</f>
        <v>1763</v>
      </c>
      <c r="K99" s="39" t="str">
        <f aca="false">IF(LEFT($B99,4)="_Mil","",_xlfn.IFNA(ROUND(INDEX(Spectrum!$N:$N,MATCH(RIGHT($B99,13)&amp;"|"&amp;$C99&amp;"|"&amp;$D99&amp;"|"&amp;K$14&amp;"|"&amp;"CY2023Q3",Spectrum!$R:$R,0)),0),""))</f>
        <v/>
      </c>
      <c r="L99" s="39" t="str">
        <f aca="false">IF(LEFT($B99,4)="_Mil","",_xlfn.IFNA(ROUND(INDEX(Spectrum!$N:$N,MATCH(RIGHT($B99,13)&amp;"|"&amp;$C99&amp;"|"&amp;$D99&amp;"|"&amp;L$14&amp;"|"&amp;"CY2023Q3",Spectrum!$R:$R,0)),0),""))</f>
        <v/>
      </c>
      <c r="M99" s="39" t="str">
        <f aca="false">IF(LEFT($B99,4)="_Mil","",_xlfn.IFNA(ROUND(INDEX(Spectrum!$N:$N,MATCH(RIGHT($B99,13)&amp;"|"&amp;$C99&amp;"|"&amp;$D99&amp;"|"&amp;M$14&amp;"|"&amp;"CY2023Q3",Spectrum!$R:$R,0)),0),""))</f>
        <v/>
      </c>
      <c r="N99" s="39" t="str">
        <f aca="false">IF(LEFT($B99,4)="_Mil","",_xlfn.IFNA(ROUND(INDEX(Spectrum!$N:$N,MATCH(RIGHT($B99,13)&amp;"|"&amp;$C99&amp;"|"&amp;$D99&amp;"|"&amp;N$14&amp;"|"&amp;"CY2023Q3",Spectrum!$R:$R,0)),0),""))</f>
        <v/>
      </c>
      <c r="O99" s="39" t="str">
        <f aca="false">IF(LEFT($B99,4)="_Mil","",_xlfn.IFNA(ROUND(INDEX(Spectrum!$N:$N,MATCH(RIGHT($B99,13)&amp;"|"&amp;$C99&amp;"|"&amp;$D99&amp;"|"&amp;O$14&amp;"|"&amp;"CY2023Q3",Spectrum!$R:$R,0)),0),""))</f>
        <v/>
      </c>
      <c r="P99" s="39" t="str">
        <f aca="false">IF(LEFT($B99,4)="_Mil","",_xlfn.IFNA(ROUND(INDEX(Spectrum!$N:$N,MATCH(RIGHT($B99,13)&amp;"|"&amp;$C99&amp;"|"&amp;$D99&amp;"|"&amp;P$14&amp;"|"&amp;"CY2023Q3",Spectrum!$R:$R,0)),0),""))</f>
        <v/>
      </c>
      <c r="Q99" s="39" t="str">
        <f aca="false">IF(LEFT($B99,4)="_Mil","",_xlfn.IFNA(ROUND(INDEX(Spectrum!$N:$N,MATCH(RIGHT($B99,13)&amp;"|"&amp;$C99&amp;"|"&amp;$D99&amp;"|"&amp;Q$14&amp;"|"&amp;"CY2022Q3",Spectrum!$R:$R,0)),0),""))</f>
        <v/>
      </c>
      <c r="R99" s="10"/>
      <c r="S99" s="88" t="n">
        <f aca="false">0</f>
        <v>0</v>
      </c>
      <c r="T99" s="39" t="str">
        <f aca="false">IF(SUM($R99)=0,"",ROUND($R99*(1+$S99),0))</f>
        <v/>
      </c>
      <c r="U99" s="88" t="str">
        <f aca="false">IF(LEFT($B99,4)="_Mil","",IF(SUM($K99)=0,IF(SUM($R99)=0,"",1),MIN($R99/$K99,1)))</f>
        <v/>
      </c>
      <c r="V99" s="39" t="str">
        <f aca="false">IF(OR(SUM($T99)=0,LEFT($B99,4)="_Mil"),"",ROUND($T99/$U99,0))</f>
        <v/>
      </c>
      <c r="W99" s="88"/>
      <c r="X99" s="88" t="str">
        <f aca="false">IF(SUM($K99,$W99)=0,"",MAX(IFERROR(SUM($L99)/$K99,0),SUM($W99)))</f>
        <v/>
      </c>
      <c r="Y99" s="88"/>
      <c r="Z99" s="88" t="str">
        <f aca="false">IF(SUM($K99,$Y99)=0,"",MIN(SUM($Y99),IFERROR(SUM($M99)/(SUM($K99)-SUM($L99)),1)))</f>
        <v/>
      </c>
      <c r="AA99" s="10" t="str">
        <f aca="false">$T99</f>
        <v/>
      </c>
      <c r="AB99" s="39" t="str">
        <f aca="false">IF(SUM($AA99)=0,"",IF(AND(SUM($AA99)&gt;0,$X99=""),"ENTER KNOWN POSITIVITY RATE",ROUND($AA99*$X99,0)))</f>
        <v/>
      </c>
      <c r="AC99" s="39" t="str">
        <f aca="false">IF(SUM($AA99)=0,"",IF(AND((SUM($AA99)-SUM($AB99))&gt;0,$Z99=""),"ENTER YIELD RATE",ROUND(($AA99-SUM($AB99))*$Z99,0)))</f>
        <v/>
      </c>
      <c r="AD99" s="39" t="str">
        <f aca="false">IF(SUM($AA99)=0,"",$AA99-SUM($AB99)-SUM($AC99))</f>
        <v/>
      </c>
      <c r="AE99" s="10" t="str">
        <f aca="false">$V99</f>
        <v/>
      </c>
      <c r="AF99" s="39" t="str">
        <f aca="false">IF(SUM($AE99)=0,"",ROUND($AE99*SUM($X99),0))</f>
        <v/>
      </c>
      <c r="AG99" s="39" t="str">
        <f aca="false">IF(SUM($AE99)=0,"",ROUND(($AE99-SUM($AF99))*SUM($Z99),0))</f>
        <v/>
      </c>
      <c r="AH99" s="39" t="str">
        <f aca="false">IF(SUM($AE99)=0,"",$AE99-SUM($AF99)-SUM($AG99))</f>
        <v/>
      </c>
      <c r="AI99" s="88" t="str">
        <f aca="false">IF(SUM($AC99)=0,"",INDEX(Cascade!$BG:$BG,MATCH($E99,Cascade!$E:$E,0)))</f>
        <v/>
      </c>
      <c r="AJ99" s="39" t="str">
        <f aca="false">$AB99</f>
        <v/>
      </c>
      <c r="AK99" s="39" t="str">
        <f aca="false">IF(SUM($AC99)=0,"",IF(AND($AI99="",SUM($AC99)&gt;0),"&lt;- Enter Linkage Rate",ROUND($AC99*$AI99,0)))</f>
        <v/>
      </c>
      <c r="AL99" s="39" t="str">
        <f aca="false">IF(SUM($AF99,$AG99)=0,"",SUM($AF99,$AG99))</f>
        <v/>
      </c>
      <c r="AM99" s="39" t="str">
        <f aca="false">$AF99</f>
        <v/>
      </c>
      <c r="AN99" s="39" t="str">
        <f aca="false">IF(SUM($AG99)=0,"",ROUND($AG99*SUM($AI99),0))</f>
        <v/>
      </c>
      <c r="AO99" s="10" t="str">
        <f aca="false">IFERROR(1/(1/MAX(SUM($T99)-SUM($AB99,$AC99),$AD99)),"")</f>
        <v/>
      </c>
      <c r="AP99" s="88"/>
      <c r="AQ99" s="88" t="str">
        <f aca="false">IF($AP99="","",$AP99)</f>
        <v/>
      </c>
      <c r="AR99" s="88" t="str">
        <f aca="false">IF(SUM($AO99)=0,"",INDEX(Cascade!$BG:$BG,MATCH($E99,Cascade!$E:$E,0)))</f>
        <v/>
      </c>
      <c r="AS99" s="39" t="str">
        <f aca="false">IF(SUM($AO99)=0,"",IF(AND(SUM($AO99)&gt;0,$AQ99=""),"ENTER YIELD RATE",ROUND($AO99*$AQ99,0)))</f>
        <v/>
      </c>
      <c r="AT99" s="39" t="str">
        <f aca="false">IF(SUM($AO99)=0,"",$AO99-SUM($AS99))</f>
        <v/>
      </c>
      <c r="AU99" s="10" t="str">
        <f aca="false">IF(SUM($AS99)=0,"",ROUND($AS99*$AR99,0))</f>
        <v/>
      </c>
      <c r="AV99" s="10" t="str">
        <f aca="false">IFERROR(1/(1/SUM($AC99,$AB99,$AS99)),"")</f>
        <v/>
      </c>
      <c r="AW99" s="10" t="str">
        <f aca="false">IFERROR(1/(1/INDEX(Cascade!$BH:$BH,MATCH($E99,Cascade!$E:$E,0))),"")</f>
        <v/>
      </c>
      <c r="AX99" s="10" t="str">
        <f aca="false">IF(SUM($AC99)=0,"",$AC99)</f>
        <v/>
      </c>
      <c r="AY99" s="10" t="str">
        <f aca="false">IF(SUM($AS99)=0,"",$AS99)</f>
        <v/>
      </c>
      <c r="AZ99" s="10" t="str">
        <f aca="false">IFERROR(1/(1/INDEX(TB!$P:$P,MATCH($E99,TB!$E:$E,0))),"")</f>
        <v/>
      </c>
      <c r="BA99" s="10" t="str">
        <f aca="false">IFERROR(1/(1/(SUM($AW99)-SUM($AX99:$AZ99))),"")</f>
        <v/>
      </c>
    </row>
    <row r="100" customFormat="false" ht="15" hidden="false" customHeight="false" outlineLevel="0" collapsed="false">
      <c r="A100" s="0" t="str">
        <f aca="false">INDEX(Prioritization!$D:$D,MATCH($B100,Prioritization!$A:$A,0))</f>
        <v>1 - Scale-up: Saturation</v>
      </c>
      <c r="B100" s="0" t="s">
        <v>211</v>
      </c>
      <c r="C100" s="0" t="s">
        <v>364</v>
      </c>
      <c r="D100" s="0" t="s">
        <v>30</v>
      </c>
      <c r="E100" s="0" t="str">
        <f aca="false">B100&amp;"|"&amp;C100&amp;"|"&amp;D100</f>
        <v>Blantyre District [mxqa3CDFmIT]|10-14|Female</v>
      </c>
      <c r="F100" s="10" t="n">
        <f aca="false">IF(LEFT($B100,4)="_Mil","",INDEX(Cascade!$T:$T,MATCH($E100,Cascade!$E:$E,0)))</f>
        <v>1508</v>
      </c>
      <c r="G100" s="10" t="str">
        <f aca="false">IF(LEFT($B100,4)="_Mil","",INDEX(Cascade!$U:$U,MATCH($E100,Cascade!$E:$E,0)))</f>
        <v/>
      </c>
      <c r="H100" s="86" t="n">
        <f aca="false">IF(LEFT($B100,4)="_Mil","",INDEX(Cascade!$W:$W,MATCH($E100,Cascade!$E:$E,0)))</f>
        <v>849</v>
      </c>
      <c r="I100" s="10" t="n">
        <f aca="false">IF(LEFT($B100,4)="_Mil","",INDEX(Cascade!$Z:$Z,MATCH($E100,Cascade!$E:$E,0)))</f>
        <v>1168</v>
      </c>
      <c r="J100" s="88" t="n">
        <f aca="false">IF(LEFT($B100,4)="_Mil","",INDEX(Cascade!$AA:$AA,MATCH($E100,Cascade!$E:$E,0)))</f>
        <v>628</v>
      </c>
      <c r="K100" s="39" t="str">
        <f aca="false">IF(LEFT($B100,4)="_Mil","",_xlfn.IFNA(ROUND(INDEX(Spectrum!$N:$N,MATCH(RIGHT($B100,13)&amp;"|"&amp;$C100&amp;"|"&amp;$D100&amp;"|"&amp;K$14&amp;"|"&amp;"CY2023Q3",Spectrum!$R:$R,0)),0),""))</f>
        <v/>
      </c>
      <c r="L100" s="39" t="str">
        <f aca="false">IF(LEFT($B100,4)="_Mil","",_xlfn.IFNA(ROUND(INDEX(Spectrum!$N:$N,MATCH(RIGHT($B100,13)&amp;"|"&amp;$C100&amp;"|"&amp;$D100&amp;"|"&amp;L$14&amp;"|"&amp;"CY2023Q3",Spectrum!$R:$R,0)),0),""))</f>
        <v/>
      </c>
      <c r="M100" s="39" t="str">
        <f aca="false">IF(LEFT($B100,4)="_Mil","",_xlfn.IFNA(ROUND(INDEX(Spectrum!$N:$N,MATCH(RIGHT($B100,13)&amp;"|"&amp;$C100&amp;"|"&amp;$D100&amp;"|"&amp;M$14&amp;"|"&amp;"CY2023Q3",Spectrum!$R:$R,0)),0),""))</f>
        <v/>
      </c>
      <c r="N100" s="39" t="str">
        <f aca="false">IF(LEFT($B100,4)="_Mil","",_xlfn.IFNA(ROUND(INDEX(Spectrum!$N:$N,MATCH(RIGHT($B100,13)&amp;"|"&amp;$C100&amp;"|"&amp;$D100&amp;"|"&amp;N$14&amp;"|"&amp;"CY2023Q3",Spectrum!$R:$R,0)),0),""))</f>
        <v/>
      </c>
      <c r="O100" s="39" t="str">
        <f aca="false">IF(LEFT($B100,4)="_Mil","",_xlfn.IFNA(ROUND(INDEX(Spectrum!$N:$N,MATCH(RIGHT($B100,13)&amp;"|"&amp;$C100&amp;"|"&amp;$D100&amp;"|"&amp;O$14&amp;"|"&amp;"CY2023Q3",Spectrum!$R:$R,0)),0),""))</f>
        <v/>
      </c>
      <c r="P100" s="39" t="str">
        <f aca="false">IF(LEFT($B100,4)="_Mil","",_xlfn.IFNA(ROUND(INDEX(Spectrum!$N:$N,MATCH(RIGHT($B100,13)&amp;"|"&amp;$C100&amp;"|"&amp;$D100&amp;"|"&amp;P$14&amp;"|"&amp;"CY2023Q3",Spectrum!$R:$R,0)),0),""))</f>
        <v/>
      </c>
      <c r="Q100" s="39" t="str">
        <f aca="false">IF(LEFT($B100,4)="_Mil","",_xlfn.IFNA(ROUND(INDEX(Spectrum!$N:$N,MATCH(RIGHT($B100,13)&amp;"|"&amp;$C100&amp;"|"&amp;$D100&amp;"|"&amp;Q$14&amp;"|"&amp;"CY2022Q3",Spectrum!$R:$R,0)),0),""))</f>
        <v/>
      </c>
      <c r="R100" s="10" t="n">
        <v>9</v>
      </c>
      <c r="S100" s="88" t="n">
        <f aca="false">0</f>
        <v>0</v>
      </c>
      <c r="T100" s="39" t="n">
        <f aca="false">IF(SUM($R100)=0,"",ROUND($R100*(1+$S100),0))</f>
        <v>9</v>
      </c>
      <c r="U100" s="88" t="n">
        <f aca="false">IF(LEFT($B100,4)="_Mil","",IF(SUM($K100)=0,IF(SUM($R100)=0,"",1),MIN($R100/$K100,1)))</f>
        <v>1</v>
      </c>
      <c r="V100" s="39" t="n">
        <f aca="false">IF(OR(SUM($T100)=0,LEFT($B100,4)="_Mil"),"",ROUND($T100/$U100,0))</f>
        <v>9</v>
      </c>
      <c r="W100" s="88" t="n">
        <v>0.731602223357186</v>
      </c>
      <c r="X100" s="88" t="n">
        <f aca="false">IF(SUM($K100,$W100)=0,"",MAX(IFERROR(SUM($L100)/$K100,0),SUM($W100)))</f>
        <v>0.731602223357186</v>
      </c>
      <c r="Y100" s="88" t="n">
        <v>0.615250785369426</v>
      </c>
      <c r="Z100" s="88" t="n">
        <f aca="false">IF(SUM($K100,$Y100)=0,"",MIN(SUM($Y100),IFERROR(SUM($M100)/(SUM($K100)-SUM($L100)),1)))</f>
        <v>0.615250785369426</v>
      </c>
      <c r="AA100" s="10" t="n">
        <f aca="false">$T100</f>
        <v>9</v>
      </c>
      <c r="AB100" s="39" t="n">
        <f aca="false">IF(SUM($AA100)=0,"",IF(AND(SUM($AA100)&gt;0,$X100=""),"ENTER KNOWN POSITIVITY RATE",ROUND($AA100*$X100,0)))</f>
        <v>7</v>
      </c>
      <c r="AC100" s="39" t="n">
        <f aca="false">IF(SUM($AA100)=0,"",IF(AND((SUM($AA100)-SUM($AB100))&gt;0,$Z100=""),"ENTER YIELD RATE",ROUND(($AA100-SUM($AB100))*$Z100,0)))</f>
        <v>1</v>
      </c>
      <c r="AD100" s="39" t="n">
        <f aca="false">IF(SUM($AA100)=0,"",$AA100-SUM($AB100)-SUM($AC100))</f>
        <v>1</v>
      </c>
      <c r="AE100" s="10" t="n">
        <f aca="false">$V100</f>
        <v>9</v>
      </c>
      <c r="AF100" s="39" t="n">
        <f aca="false">IF(SUM($AE100)=0,"",ROUND($AE100*SUM($X100),0))</f>
        <v>7</v>
      </c>
      <c r="AG100" s="39" t="n">
        <f aca="false">IF(SUM($AE100)=0,"",ROUND(($AE100-SUM($AF100))*SUM($Z100),0))</f>
        <v>1</v>
      </c>
      <c r="AH100" s="39" t="n">
        <f aca="false">IF(SUM($AE100)=0,"",$AE100-SUM($AF100)-SUM($AG100))</f>
        <v>1</v>
      </c>
      <c r="AI100" s="88" t="n">
        <f aca="false">IF(SUM($AC100)=0,"",INDEX(Cascade!$BG:$BG,MATCH($E100,Cascade!$E:$E,0)))</f>
        <v>0.95</v>
      </c>
      <c r="AJ100" s="39" t="n">
        <f aca="false">$AB100</f>
        <v>7</v>
      </c>
      <c r="AK100" s="39" t="n">
        <f aca="false">IF(SUM($AC100)=0,"",IF(AND($AI100="",SUM($AC100)&gt;0),"&lt;- Enter Linkage Rate",ROUND($AC100*$AI100,0)))</f>
        <v>1</v>
      </c>
      <c r="AL100" s="39" t="n">
        <f aca="false">IF(SUM($AF100,$AG100)=0,"",SUM($AF100,$AG100))</f>
        <v>8</v>
      </c>
      <c r="AM100" s="39" t="n">
        <f aca="false">$AF100</f>
        <v>7</v>
      </c>
      <c r="AN100" s="39" t="n">
        <f aca="false">IF(SUM($AG100)=0,"",ROUND($AG100*SUM($AI100),0))</f>
        <v>1</v>
      </c>
      <c r="AO100" s="10" t="n">
        <f aca="false">IFERROR(1/(1/MAX(SUM($T100)-SUM($AB100,$AC100),$AD100)),"")</f>
        <v>1</v>
      </c>
      <c r="AP100" s="88" t="n">
        <v>0.871647506719455</v>
      </c>
      <c r="AQ100" s="88" t="n">
        <f aca="false">IF($AP100="","",$AP100)</f>
        <v>0.871647506719455</v>
      </c>
      <c r="AR100" s="88" t="n">
        <f aca="false">IF(SUM($AO100)=0,"",INDEX(Cascade!$BG:$BG,MATCH($E100,Cascade!$E:$E,0)))</f>
        <v>0.95</v>
      </c>
      <c r="AS100" s="39" t="n">
        <f aca="false">IF(SUM($AO100)=0,"",IF(AND(SUM($AO100)&gt;0,$AQ100=""),"ENTER YIELD RATE",ROUND($AO100*$AQ100,0)))</f>
        <v>1</v>
      </c>
      <c r="AT100" s="39" t="n">
        <f aca="false">IF(SUM($AO100)=0,"",$AO100-SUM($AS100))</f>
        <v>0</v>
      </c>
      <c r="AU100" s="10" t="n">
        <f aca="false">IF(SUM($AS100)=0,"",ROUND($AS100*$AR100,0))</f>
        <v>1</v>
      </c>
      <c r="AV100" s="10" t="n">
        <f aca="false">IFERROR(1/(1/SUM($AC100,$AB100,$AS100)),"")</f>
        <v>9</v>
      </c>
      <c r="AW100" s="10" t="n">
        <f aca="false">IFERROR(1/(1/INDEX(Cascade!$BH:$BH,MATCH($E100,Cascade!$E:$E,0))),"")</f>
        <v>-208</v>
      </c>
      <c r="AX100" s="10" t="n">
        <f aca="false">IF(SUM($AC100)=0,"",$AC100)</f>
        <v>1</v>
      </c>
      <c r="AY100" s="10" t="n">
        <f aca="false">IF(SUM($AS100)=0,"",$AS100)</f>
        <v>1</v>
      </c>
      <c r="AZ100" s="10" t="str">
        <f aca="false">IFERROR(1/(1/INDEX(TB!$P:$P,MATCH($E100,TB!$E:$E,0))),"")</f>
        <v/>
      </c>
      <c r="BA100" s="10" t="n">
        <f aca="false">IFERROR(1/(1/(SUM($AW100)-SUM($AX100:$AZ100))),"")</f>
        <v>-210</v>
      </c>
    </row>
    <row r="101" customFormat="false" ht="15" hidden="false" customHeight="false" outlineLevel="0" collapsed="false">
      <c r="A101" s="0" t="str">
        <f aca="false">INDEX(Prioritization!$D:$D,MATCH($B101,Prioritization!$A:$A,0))</f>
        <v>1 - Scale-up: Saturation</v>
      </c>
      <c r="B101" s="0" t="s">
        <v>211</v>
      </c>
      <c r="C101" s="0" t="s">
        <v>365</v>
      </c>
      <c r="D101" s="0" t="s">
        <v>30</v>
      </c>
      <c r="E101" s="0" t="str">
        <f aca="false">B101&amp;"|"&amp;C101&amp;"|"&amp;D101</f>
        <v>Blantyre District [mxqa3CDFmIT]|15-24|Female</v>
      </c>
      <c r="F101" s="10" t="n">
        <f aca="false">IF(LEFT($B101,4)="_Mil","",INDEX(Cascade!$T:$T,MATCH($E101,Cascade!$E:$E,0)))</f>
        <v>1328</v>
      </c>
      <c r="G101" s="10" t="str">
        <f aca="false">IF(LEFT($B101,4)="_Mil","",INDEX(Cascade!$U:$U,MATCH($E101,Cascade!$E:$E,0)))</f>
        <v/>
      </c>
      <c r="H101" s="86" t="n">
        <f aca="false">IF(LEFT($B101,4)="_Mil","",INDEX(Cascade!$W:$W,MATCH($E101,Cascade!$E:$E,0)))</f>
        <v>1376</v>
      </c>
      <c r="I101" s="10" t="n">
        <f aca="false">IF(LEFT($B101,4)="_Mil","",INDEX(Cascade!$Z:$Z,MATCH($E101,Cascade!$E:$E,0)))</f>
        <v>1435</v>
      </c>
      <c r="J101" s="88" t="n">
        <f aca="false">IF(LEFT($B101,4)="_Mil","",INDEX(Cascade!$AA:$AA,MATCH($E101,Cascade!$E:$E,0)))</f>
        <v>534</v>
      </c>
      <c r="K101" s="39" t="n">
        <f aca="false">IF(LEFT($B101,4)="_Mil","",_xlfn.IFNA(ROUND(INDEX(Spectrum!$N:$N,MATCH(RIGHT($B101,13)&amp;"|"&amp;$C101&amp;"|"&amp;$D101&amp;"|"&amp;K$14&amp;"|"&amp;"CY2023Q3",Spectrum!$R:$R,0)),0),""))</f>
        <v>917</v>
      </c>
      <c r="L101" s="39" t="str">
        <f aca="false">IF(LEFT($B101,4)="_Mil","",_xlfn.IFNA(ROUND(INDEX(Spectrum!$N:$N,MATCH(RIGHT($B101,13)&amp;"|"&amp;$C101&amp;"|"&amp;$D101&amp;"|"&amp;L$14&amp;"|"&amp;"CY2023Q3",Spectrum!$R:$R,0)),0),""))</f>
        <v/>
      </c>
      <c r="M101" s="39" t="n">
        <f aca="false">IF(LEFT($B101,4)="_Mil","",_xlfn.IFNA(ROUND(INDEX(Spectrum!$N:$N,MATCH(RIGHT($B101,13)&amp;"|"&amp;$C101&amp;"|"&amp;$D101&amp;"|"&amp;M$14&amp;"|"&amp;"CY2023Q3",Spectrum!$R:$R,0)),0),""))</f>
        <v>669</v>
      </c>
      <c r="N101" s="39" t="n">
        <f aca="false">IF(LEFT($B101,4)="_Mil","",_xlfn.IFNA(ROUND(INDEX(Spectrum!$N:$N,MATCH(RIGHT($B101,13)&amp;"|"&amp;$C101&amp;"|"&amp;$D101&amp;"|"&amp;N$14&amp;"|"&amp;"CY2023Q3",Spectrum!$R:$R,0)),0),""))</f>
        <v>524</v>
      </c>
      <c r="O101" s="39" t="n">
        <f aca="false">IF(LEFT($B101,4)="_Mil","",_xlfn.IFNA(ROUND(INDEX(Spectrum!$N:$N,MATCH(RIGHT($B101,13)&amp;"|"&amp;$C101&amp;"|"&amp;$D101&amp;"|"&amp;O$14&amp;"|"&amp;"CY2023Q3",Spectrum!$R:$R,0)),0),""))</f>
        <v>722</v>
      </c>
      <c r="P101" s="39" t="n">
        <f aca="false">IF(LEFT($B101,4)="_Mil","",_xlfn.IFNA(ROUND(INDEX(Spectrum!$N:$N,MATCH(RIGHT($B101,13)&amp;"|"&amp;$C101&amp;"|"&amp;$D101&amp;"|"&amp;P$14&amp;"|"&amp;"CY2023Q3",Spectrum!$R:$R,0)),0),""))</f>
        <v>1548</v>
      </c>
      <c r="Q101" s="39" t="str">
        <f aca="false">IF(LEFT($B101,4)="_Mil","",_xlfn.IFNA(ROUND(INDEX(Spectrum!$N:$N,MATCH(RIGHT($B101,13)&amp;"|"&amp;$C101&amp;"|"&amp;$D101&amp;"|"&amp;Q$14&amp;"|"&amp;"CY2022Q3",Spectrum!$R:$R,0)),0),""))</f>
        <v/>
      </c>
      <c r="R101" s="10"/>
      <c r="S101" s="88" t="n">
        <f aca="false">0</f>
        <v>0</v>
      </c>
      <c r="T101" s="39" t="str">
        <f aca="false">IF(SUM($R101)=0,"",ROUND($R101*(1+$S101),0))</f>
        <v/>
      </c>
      <c r="U101" s="88" t="n">
        <f aca="false">IF(LEFT($B101,4)="_Mil","",IF(SUM($K101)=0,IF(SUM($R101)=0,"",1),MIN($R101/$K101,1)))</f>
        <v>0</v>
      </c>
      <c r="V101" s="39" t="str">
        <f aca="false">IF(OR(SUM($T101)=0,LEFT($B101,4)="_Mil"),"",ROUND($T101/$U101,0))</f>
        <v/>
      </c>
      <c r="W101" s="88"/>
      <c r="X101" s="88" t="n">
        <f aca="false">IF(SUM($K101,$W101)=0,"",MAX(IFERROR(SUM($L101)/$K101,0),SUM($W101)))</f>
        <v>0</v>
      </c>
      <c r="Y101" s="88"/>
      <c r="Z101" s="88" t="n">
        <f aca="false">IF(SUM($K101,$Y101)=0,"",MIN(SUM($Y101),IFERROR(SUM($M101)/(SUM($K101)-SUM($L101)),1)))</f>
        <v>0</v>
      </c>
      <c r="AA101" s="10" t="str">
        <f aca="false">$T101</f>
        <v/>
      </c>
      <c r="AB101" s="39" t="str">
        <f aca="false">IF(SUM($AA101)=0,"",IF(AND(SUM($AA101)&gt;0,$X101=""),"ENTER KNOWN POSITIVITY RATE",ROUND($AA101*$X101,0)))</f>
        <v/>
      </c>
      <c r="AC101" s="39" t="str">
        <f aca="false">IF(SUM($AA101)=0,"",IF(AND((SUM($AA101)-SUM($AB101))&gt;0,$Z101=""),"ENTER YIELD RATE",ROUND(($AA101-SUM($AB101))*$Z101,0)))</f>
        <v/>
      </c>
      <c r="AD101" s="39" t="str">
        <f aca="false">IF(SUM($AA101)=0,"",$AA101-SUM($AB101)-SUM($AC101))</f>
        <v/>
      </c>
      <c r="AE101" s="10" t="str">
        <f aca="false">$V101</f>
        <v/>
      </c>
      <c r="AF101" s="39" t="str">
        <f aca="false">IF(SUM($AE101)=0,"",ROUND($AE101*SUM($X101),0))</f>
        <v/>
      </c>
      <c r="AG101" s="39" t="str">
        <f aca="false">IF(SUM($AE101)=0,"",ROUND(($AE101-SUM($AF101))*SUM($Z101),0))</f>
        <v/>
      </c>
      <c r="AH101" s="39" t="str">
        <f aca="false">IF(SUM($AE101)=0,"",$AE101-SUM($AF101)-SUM($AG101))</f>
        <v/>
      </c>
      <c r="AI101" s="88" t="str">
        <f aca="false">IF(SUM($AC101)=0,"",INDEX(Cascade!$BG:$BG,MATCH($E101,Cascade!$E:$E,0)))</f>
        <v/>
      </c>
      <c r="AJ101" s="39" t="str">
        <f aca="false">$AB101</f>
        <v/>
      </c>
      <c r="AK101" s="39" t="str">
        <f aca="false">IF(SUM($AC101)=0,"",IF(AND($AI101="",SUM($AC101)&gt;0),"&lt;- Enter Linkage Rate",ROUND($AC101*$AI101,0)))</f>
        <v/>
      </c>
      <c r="AL101" s="39" t="str">
        <f aca="false">IF(SUM($AF101,$AG101)=0,"",SUM($AF101,$AG101))</f>
        <v/>
      </c>
      <c r="AM101" s="39" t="str">
        <f aca="false">$AF101</f>
        <v/>
      </c>
      <c r="AN101" s="39" t="str">
        <f aca="false">IF(SUM($AG101)=0,"",ROUND($AG101*SUM($AI101),0))</f>
        <v/>
      </c>
      <c r="AO101" s="10" t="str">
        <f aca="false">IFERROR(1/(1/MAX(SUM($T101)-SUM($AB101,$AC101),$AD101)),"")</f>
        <v/>
      </c>
      <c r="AP101" s="88"/>
      <c r="AQ101" s="88" t="str">
        <f aca="false">IF($AP101="","",$AP101)</f>
        <v/>
      </c>
      <c r="AR101" s="88" t="str">
        <f aca="false">IF(SUM($AO101)=0,"",INDEX(Cascade!$BG:$BG,MATCH($E101,Cascade!$E:$E,0)))</f>
        <v/>
      </c>
      <c r="AS101" s="39" t="str">
        <f aca="false">IF(SUM($AO101)=0,"",IF(AND(SUM($AO101)&gt;0,$AQ101=""),"ENTER YIELD RATE",ROUND($AO101*$AQ101,0)))</f>
        <v/>
      </c>
      <c r="AT101" s="39" t="str">
        <f aca="false">IF(SUM($AO101)=0,"",$AO101-SUM($AS101))</f>
        <v/>
      </c>
      <c r="AU101" s="10" t="str">
        <f aca="false">IF(SUM($AS101)=0,"",ROUND($AS101*$AR101,0))</f>
        <v/>
      </c>
      <c r="AV101" s="10" t="str">
        <f aca="false">IFERROR(1/(1/SUM($AC101,$AB101,$AS101)),"")</f>
        <v/>
      </c>
      <c r="AW101" s="10" t="str">
        <f aca="false">IFERROR(1/(1/INDEX(Cascade!$BH:$BH,MATCH($E101,Cascade!$E:$E,0))),"")</f>
        <v/>
      </c>
      <c r="AX101" s="10" t="str">
        <f aca="false">IF(SUM($AC101)=0,"",$AC101)</f>
        <v/>
      </c>
      <c r="AY101" s="10" t="str">
        <f aca="false">IF(SUM($AS101)=0,"",$AS101)</f>
        <v/>
      </c>
      <c r="AZ101" s="10" t="str">
        <f aca="false">IFERROR(1/(1/INDEX(TB!$P:$P,MATCH($E101,TB!$E:$E,0))),"")</f>
        <v/>
      </c>
      <c r="BA101" s="10" t="str">
        <f aca="false">IFERROR(1/(1/(SUM($AW101)-SUM($AX101:$AZ101))),"")</f>
        <v/>
      </c>
    </row>
    <row r="102" customFormat="false" ht="15" hidden="false" customHeight="false" outlineLevel="0" collapsed="false">
      <c r="A102" s="0" t="str">
        <f aca="false">INDEX(Prioritization!$D:$D,MATCH($B102,Prioritization!$A:$A,0))</f>
        <v>1 - Scale-up: Saturation</v>
      </c>
      <c r="B102" s="0" t="s">
        <v>211</v>
      </c>
      <c r="C102" s="0" t="s">
        <v>366</v>
      </c>
      <c r="D102" s="0" t="s">
        <v>30</v>
      </c>
      <c r="E102" s="0" t="str">
        <f aca="false">B102&amp;"|"&amp;C102&amp;"|"&amp;D102</f>
        <v>Blantyre District [mxqa3CDFmIT]|25-34|Female</v>
      </c>
      <c r="F102" s="10" t="n">
        <f aca="false">IF(LEFT($B102,4)="_Mil","",INDEX(Cascade!$T:$T,MATCH($E102,Cascade!$E:$E,0)))</f>
        <v>1285</v>
      </c>
      <c r="G102" s="10" t="str">
        <f aca="false">IF(LEFT($B102,4)="_Mil","",INDEX(Cascade!$U:$U,MATCH($E102,Cascade!$E:$E,0)))</f>
        <v/>
      </c>
      <c r="H102" s="86" t="n">
        <f aca="false">IF(LEFT($B102,4)="_Mil","",INDEX(Cascade!$W:$W,MATCH($E102,Cascade!$E:$E,0)))</f>
        <v>1300</v>
      </c>
      <c r="I102" s="10" t="n">
        <f aca="false">IF(LEFT($B102,4)="_Mil","",INDEX(Cascade!$Z:$Z,MATCH($E102,Cascade!$E:$E,0)))</f>
        <v>1381</v>
      </c>
      <c r="J102" s="88" t="n">
        <f aca="false">IF(LEFT($B102,4)="_Mil","",INDEX(Cascade!$AA:$AA,MATCH($E102,Cascade!$E:$E,0)))</f>
        <v>553</v>
      </c>
      <c r="K102" s="39" t="n">
        <f aca="false">IF(LEFT($B102,4)="_Mil","",_xlfn.IFNA(ROUND(INDEX(Spectrum!$N:$N,MATCH(RIGHT($B102,13)&amp;"|"&amp;$C102&amp;"|"&amp;$D102&amp;"|"&amp;K$14&amp;"|"&amp;"CY2023Q3",Spectrum!$R:$R,0)),0),""))</f>
        <v>1696</v>
      </c>
      <c r="L102" s="39" t="str">
        <f aca="false">IF(LEFT($B102,4)="_Mil","",_xlfn.IFNA(ROUND(INDEX(Spectrum!$N:$N,MATCH(RIGHT($B102,13)&amp;"|"&amp;$C102&amp;"|"&amp;$D102&amp;"|"&amp;L$14&amp;"|"&amp;"CY2023Q3",Spectrum!$R:$R,0)),0),""))</f>
        <v/>
      </c>
      <c r="M102" s="39" t="n">
        <f aca="false">IF(LEFT($B102,4)="_Mil","",_xlfn.IFNA(ROUND(INDEX(Spectrum!$N:$N,MATCH(RIGHT($B102,13)&amp;"|"&amp;$C102&amp;"|"&amp;$D102&amp;"|"&amp;M$14&amp;"|"&amp;"CY2023Q3",Spectrum!$R:$R,0)),0),""))</f>
        <v>814</v>
      </c>
      <c r="N102" s="39" t="n">
        <f aca="false">IF(LEFT($B102,4)="_Mil","",_xlfn.IFNA(ROUND(INDEX(Spectrum!$N:$N,MATCH(RIGHT($B102,13)&amp;"|"&amp;$C102&amp;"|"&amp;$D102&amp;"|"&amp;N$14&amp;"|"&amp;"CY2023Q3",Spectrum!$R:$R,0)),0),""))</f>
        <v>1502</v>
      </c>
      <c r="O102" s="39" t="n">
        <f aca="false">IF(LEFT($B102,4)="_Mil","",_xlfn.IFNA(ROUND(INDEX(Spectrum!$N:$N,MATCH(RIGHT($B102,13)&amp;"|"&amp;$C102&amp;"|"&amp;$D102&amp;"|"&amp;O$14&amp;"|"&amp;"CY2023Q3",Spectrum!$R:$R,0)),0),""))</f>
        <v>698</v>
      </c>
      <c r="P102" s="39" t="n">
        <f aca="false">IF(LEFT($B102,4)="_Mil","",_xlfn.IFNA(ROUND(INDEX(Spectrum!$N:$N,MATCH(RIGHT($B102,13)&amp;"|"&amp;$C102&amp;"|"&amp;$D102&amp;"|"&amp;P$14&amp;"|"&amp;"CY2023Q3",Spectrum!$R:$R,0)),0),""))</f>
        <v>900</v>
      </c>
      <c r="Q102" s="39" t="str">
        <f aca="false">IF(LEFT($B102,4)="_Mil","",_xlfn.IFNA(ROUND(INDEX(Spectrum!$N:$N,MATCH(RIGHT($B102,13)&amp;"|"&amp;$C102&amp;"|"&amp;$D102&amp;"|"&amp;Q$14&amp;"|"&amp;"CY2022Q3",Spectrum!$R:$R,0)),0),""))</f>
        <v/>
      </c>
      <c r="R102" s="10"/>
      <c r="S102" s="88" t="n">
        <f aca="false">0</f>
        <v>0</v>
      </c>
      <c r="T102" s="39" t="str">
        <f aca="false">IF(SUM($R102)=0,"",ROUND($R102*(1+$S102),0))</f>
        <v/>
      </c>
      <c r="U102" s="88" t="n">
        <f aca="false">IF(LEFT($B102,4)="_Mil","",IF(SUM($K102)=0,IF(SUM($R102)=0,"",1),MIN($R102/$K102,1)))</f>
        <v>0</v>
      </c>
      <c r="V102" s="39" t="str">
        <f aca="false">IF(OR(SUM($T102)=0,LEFT($B102,4)="_Mil"),"",ROUND($T102/$U102,0))</f>
        <v/>
      </c>
      <c r="W102" s="88"/>
      <c r="X102" s="88" t="n">
        <f aca="false">IF(SUM($K102,$W102)=0,"",MAX(IFERROR(SUM($L102)/$K102,0),SUM($W102)))</f>
        <v>0</v>
      </c>
      <c r="Y102" s="88"/>
      <c r="Z102" s="88" t="n">
        <f aca="false">IF(SUM($K102,$Y102)=0,"",MIN(SUM($Y102),IFERROR(SUM($M102)/(SUM($K102)-SUM($L102)),1)))</f>
        <v>0</v>
      </c>
      <c r="AA102" s="10" t="str">
        <f aca="false">$T102</f>
        <v/>
      </c>
      <c r="AB102" s="39" t="str">
        <f aca="false">IF(SUM($AA102)=0,"",IF(AND(SUM($AA102)&gt;0,$X102=""),"ENTER KNOWN POSITIVITY RATE",ROUND($AA102*$X102,0)))</f>
        <v/>
      </c>
      <c r="AC102" s="39" t="str">
        <f aca="false">IF(SUM($AA102)=0,"",IF(AND((SUM($AA102)-SUM($AB102))&gt;0,$Z102=""),"ENTER YIELD RATE",ROUND(($AA102-SUM($AB102))*$Z102,0)))</f>
        <v/>
      </c>
      <c r="AD102" s="39" t="str">
        <f aca="false">IF(SUM($AA102)=0,"",$AA102-SUM($AB102)-SUM($AC102))</f>
        <v/>
      </c>
      <c r="AE102" s="10" t="str">
        <f aca="false">$V102</f>
        <v/>
      </c>
      <c r="AF102" s="39" t="str">
        <f aca="false">IF(SUM($AE102)=0,"",ROUND($AE102*SUM($X102),0))</f>
        <v/>
      </c>
      <c r="AG102" s="39" t="str">
        <f aca="false">IF(SUM($AE102)=0,"",ROUND(($AE102-SUM($AF102))*SUM($Z102),0))</f>
        <v/>
      </c>
      <c r="AH102" s="39" t="str">
        <f aca="false">IF(SUM($AE102)=0,"",$AE102-SUM($AF102)-SUM($AG102))</f>
        <v/>
      </c>
      <c r="AI102" s="88" t="str">
        <f aca="false">IF(SUM($AC102)=0,"",INDEX(Cascade!$BG:$BG,MATCH($E102,Cascade!$E:$E,0)))</f>
        <v/>
      </c>
      <c r="AJ102" s="39" t="str">
        <f aca="false">$AB102</f>
        <v/>
      </c>
      <c r="AK102" s="39" t="str">
        <f aca="false">IF(SUM($AC102)=0,"",IF(AND($AI102="",SUM($AC102)&gt;0),"&lt;- Enter Linkage Rate",ROUND($AC102*$AI102,0)))</f>
        <v/>
      </c>
      <c r="AL102" s="39" t="str">
        <f aca="false">IF(SUM($AF102,$AG102)=0,"",SUM($AF102,$AG102))</f>
        <v/>
      </c>
      <c r="AM102" s="39" t="str">
        <f aca="false">$AF102</f>
        <v/>
      </c>
      <c r="AN102" s="39" t="str">
        <f aca="false">IF(SUM($AG102)=0,"",ROUND($AG102*SUM($AI102),0))</f>
        <v/>
      </c>
      <c r="AO102" s="10" t="str">
        <f aca="false">IFERROR(1/(1/MAX(SUM($T102)-SUM($AB102,$AC102),$AD102)),"")</f>
        <v/>
      </c>
      <c r="AP102" s="88"/>
      <c r="AQ102" s="88" t="str">
        <f aca="false">IF($AP102="","",$AP102)</f>
        <v/>
      </c>
      <c r="AR102" s="88" t="str">
        <f aca="false">IF(SUM($AO102)=0,"",INDEX(Cascade!$BG:$BG,MATCH($E102,Cascade!$E:$E,0)))</f>
        <v/>
      </c>
      <c r="AS102" s="39" t="str">
        <f aca="false">IF(SUM($AO102)=0,"",IF(AND(SUM($AO102)&gt;0,$AQ102=""),"ENTER YIELD RATE",ROUND($AO102*$AQ102,0)))</f>
        <v/>
      </c>
      <c r="AT102" s="39" t="str">
        <f aca="false">IF(SUM($AO102)=0,"",$AO102-SUM($AS102))</f>
        <v/>
      </c>
      <c r="AU102" s="10" t="str">
        <f aca="false">IF(SUM($AS102)=0,"",ROUND($AS102*$AR102,0))</f>
        <v/>
      </c>
      <c r="AV102" s="10" t="str">
        <f aca="false">IFERROR(1/(1/SUM($AC102,$AB102,$AS102)),"")</f>
        <v/>
      </c>
      <c r="AW102" s="10" t="str">
        <f aca="false">IFERROR(1/(1/INDEX(Cascade!$BH:$BH,MATCH($E102,Cascade!$E:$E,0))),"")</f>
        <v/>
      </c>
      <c r="AX102" s="10" t="str">
        <f aca="false">IF(SUM($AC102)=0,"",$AC102)</f>
        <v/>
      </c>
      <c r="AY102" s="10" t="str">
        <f aca="false">IF(SUM($AS102)=0,"",$AS102)</f>
        <v/>
      </c>
      <c r="AZ102" s="10" t="str">
        <f aca="false">IFERROR(1/(1/INDEX(TB!$P:$P,MATCH($E102,TB!$E:$E,0))),"")</f>
        <v/>
      </c>
      <c r="BA102" s="10" t="str">
        <f aca="false">IFERROR(1/(1/(SUM($AW102)-SUM($AX102:$AZ102))),"")</f>
        <v/>
      </c>
    </row>
    <row r="103" customFormat="false" ht="15" hidden="false" customHeight="false" outlineLevel="0" collapsed="false">
      <c r="A103" s="0" t="str">
        <f aca="false">INDEX(Prioritization!$D:$D,MATCH($B103,Prioritization!$A:$A,0))</f>
        <v>1 - Scale-up: Saturation</v>
      </c>
      <c r="B103" s="0" t="s">
        <v>211</v>
      </c>
      <c r="C103" s="0" t="s">
        <v>367</v>
      </c>
      <c r="D103" s="0" t="s">
        <v>30</v>
      </c>
      <c r="E103" s="0" t="str">
        <f aca="false">B103&amp;"|"&amp;C103&amp;"|"&amp;D103</f>
        <v>Blantyre District [mxqa3CDFmIT]|35-49|Female</v>
      </c>
      <c r="F103" s="10" t="n">
        <f aca="false">IF(LEFT($B103,4)="_Mil","",INDEX(Cascade!$T:$T,MATCH($E103,Cascade!$E:$E,0)))</f>
        <v>1860</v>
      </c>
      <c r="G103" s="10" t="str">
        <f aca="false">IF(LEFT($B103,4)="_Mil","",INDEX(Cascade!$U:$U,MATCH($E103,Cascade!$E:$E,0)))</f>
        <v/>
      </c>
      <c r="H103" s="86" t="n">
        <f aca="false">IF(LEFT($B103,4)="_Mil","",INDEX(Cascade!$W:$W,MATCH($E103,Cascade!$E:$E,0)))</f>
        <v>1101</v>
      </c>
      <c r="I103" s="10" t="n">
        <f aca="false">IF(LEFT($B103,4)="_Mil","",INDEX(Cascade!$Z:$Z,MATCH($E103,Cascade!$E:$E,0)))</f>
        <v>1388</v>
      </c>
      <c r="J103" s="88" t="n">
        <f aca="false">IF(LEFT($B103,4)="_Mil","",INDEX(Cascade!$AA:$AA,MATCH($E103,Cascade!$E:$E,0)))</f>
        <v>1227</v>
      </c>
      <c r="K103" s="39" t="n">
        <f aca="false">IF(LEFT($B103,4)="_Mil","",_xlfn.IFNA(ROUND(INDEX(Spectrum!$N:$N,MATCH(RIGHT($B103,13)&amp;"|"&amp;$C103&amp;"|"&amp;$D103&amp;"|"&amp;K$14&amp;"|"&amp;"CY2023Q3",Spectrum!$R:$R,0)),0),""))</f>
        <v>833</v>
      </c>
      <c r="L103" s="39" t="str">
        <f aca="false">IF(LEFT($B103,4)="_Mil","",_xlfn.IFNA(ROUND(INDEX(Spectrum!$N:$N,MATCH(RIGHT($B103,13)&amp;"|"&amp;$C103&amp;"|"&amp;$D103&amp;"|"&amp;L$14&amp;"|"&amp;"CY2023Q3",Spectrum!$R:$R,0)),0),""))</f>
        <v/>
      </c>
      <c r="M103" s="39" t="n">
        <f aca="false">IF(LEFT($B103,4)="_Mil","",_xlfn.IFNA(ROUND(INDEX(Spectrum!$N:$N,MATCH(RIGHT($B103,13)&amp;"|"&amp;$C103&amp;"|"&amp;$D103&amp;"|"&amp;M$14&amp;"|"&amp;"CY2023Q3",Spectrum!$R:$R,0)),0),""))</f>
        <v>1569</v>
      </c>
      <c r="N103" s="39" t="n">
        <f aca="false">IF(LEFT($B103,4)="_Mil","",_xlfn.IFNA(ROUND(INDEX(Spectrum!$N:$N,MATCH(RIGHT($B103,13)&amp;"|"&amp;$C103&amp;"|"&amp;$D103&amp;"|"&amp;N$14&amp;"|"&amp;"CY2023Q3",Spectrum!$R:$R,0)),0),""))</f>
        <v>835</v>
      </c>
      <c r="O103" s="39" t="n">
        <f aca="false">IF(LEFT($B103,4)="_Mil","",_xlfn.IFNA(ROUND(INDEX(Spectrum!$N:$N,MATCH(RIGHT($B103,13)&amp;"|"&amp;$C103&amp;"|"&amp;$D103&amp;"|"&amp;O$14&amp;"|"&amp;"CY2023Q3",Spectrum!$R:$R,0)),0),""))</f>
        <v>1035</v>
      </c>
      <c r="P103" s="39" t="n">
        <f aca="false">IF(LEFT($B103,4)="_Mil","",_xlfn.IFNA(ROUND(INDEX(Spectrum!$N:$N,MATCH(RIGHT($B103,13)&amp;"|"&amp;$C103&amp;"|"&amp;$D103&amp;"|"&amp;P$14&amp;"|"&amp;"CY2023Q3",Spectrum!$R:$R,0)),0),""))</f>
        <v>1811</v>
      </c>
      <c r="Q103" s="39" t="str">
        <f aca="false">IF(LEFT($B103,4)="_Mil","",_xlfn.IFNA(ROUND(INDEX(Spectrum!$N:$N,MATCH(RIGHT($B103,13)&amp;"|"&amp;$C103&amp;"|"&amp;$D103&amp;"|"&amp;Q$14&amp;"|"&amp;"CY2022Q3",Spectrum!$R:$R,0)),0),""))</f>
        <v/>
      </c>
      <c r="R103" s="10"/>
      <c r="S103" s="88" t="n">
        <f aca="false">0</f>
        <v>0</v>
      </c>
      <c r="T103" s="39" t="str">
        <f aca="false">IF(SUM($R103)=0,"",ROUND($R103*(1+$S103),0))</f>
        <v/>
      </c>
      <c r="U103" s="88" t="n">
        <f aca="false">IF(LEFT($B103,4)="_Mil","",IF(SUM($K103)=0,IF(SUM($R103)=0,"",1),MIN($R103/$K103,1)))</f>
        <v>0</v>
      </c>
      <c r="V103" s="39" t="str">
        <f aca="false">IF(OR(SUM($T103)=0,LEFT($B103,4)="_Mil"),"",ROUND($T103/$U103,0))</f>
        <v/>
      </c>
      <c r="W103" s="88"/>
      <c r="X103" s="88" t="n">
        <f aca="false">IF(SUM($K103,$W103)=0,"",MAX(IFERROR(SUM($L103)/$K103,0),SUM($W103)))</f>
        <v>0</v>
      </c>
      <c r="Y103" s="88"/>
      <c r="Z103" s="88" t="n">
        <f aca="false">IF(SUM($K103,$Y103)=0,"",MIN(SUM($Y103),IFERROR(SUM($M103)/(SUM($K103)-SUM($L103)),1)))</f>
        <v>0</v>
      </c>
      <c r="AA103" s="10" t="str">
        <f aca="false">$T103</f>
        <v/>
      </c>
      <c r="AB103" s="39" t="str">
        <f aca="false">IF(SUM($AA103)=0,"",IF(AND(SUM($AA103)&gt;0,$X103=""),"ENTER KNOWN POSITIVITY RATE",ROUND($AA103*$X103,0)))</f>
        <v/>
      </c>
      <c r="AC103" s="39" t="str">
        <f aca="false">IF(SUM($AA103)=0,"",IF(AND((SUM($AA103)-SUM($AB103))&gt;0,$Z103=""),"ENTER YIELD RATE",ROUND(($AA103-SUM($AB103))*$Z103,0)))</f>
        <v/>
      </c>
      <c r="AD103" s="39" t="str">
        <f aca="false">IF(SUM($AA103)=0,"",$AA103-SUM($AB103)-SUM($AC103))</f>
        <v/>
      </c>
      <c r="AE103" s="10" t="str">
        <f aca="false">$V103</f>
        <v/>
      </c>
      <c r="AF103" s="39" t="str">
        <f aca="false">IF(SUM($AE103)=0,"",ROUND($AE103*SUM($X103),0))</f>
        <v/>
      </c>
      <c r="AG103" s="39" t="str">
        <f aca="false">IF(SUM($AE103)=0,"",ROUND(($AE103-SUM($AF103))*SUM($Z103),0))</f>
        <v/>
      </c>
      <c r="AH103" s="39" t="str">
        <f aca="false">IF(SUM($AE103)=0,"",$AE103-SUM($AF103)-SUM($AG103))</f>
        <v/>
      </c>
      <c r="AI103" s="88" t="str">
        <f aca="false">IF(SUM($AC103)=0,"",INDEX(Cascade!$BG:$BG,MATCH($E103,Cascade!$E:$E,0)))</f>
        <v/>
      </c>
      <c r="AJ103" s="39" t="str">
        <f aca="false">$AB103</f>
        <v/>
      </c>
      <c r="AK103" s="39" t="str">
        <f aca="false">IF(SUM($AC103)=0,"",IF(AND($AI103="",SUM($AC103)&gt;0),"&lt;- Enter Linkage Rate",ROUND($AC103*$AI103,0)))</f>
        <v/>
      </c>
      <c r="AL103" s="39" t="str">
        <f aca="false">IF(SUM($AF103,$AG103)=0,"",SUM($AF103,$AG103))</f>
        <v/>
      </c>
      <c r="AM103" s="39" t="str">
        <f aca="false">$AF103</f>
        <v/>
      </c>
      <c r="AN103" s="39" t="str">
        <f aca="false">IF(SUM($AG103)=0,"",ROUND($AG103*SUM($AI103),0))</f>
        <v/>
      </c>
      <c r="AO103" s="10" t="str">
        <f aca="false">IFERROR(1/(1/MAX(SUM($T103)-SUM($AB103,$AC103),$AD103)),"")</f>
        <v/>
      </c>
      <c r="AP103" s="88"/>
      <c r="AQ103" s="88" t="str">
        <f aca="false">IF($AP103="","",$AP103)</f>
        <v/>
      </c>
      <c r="AR103" s="88" t="str">
        <f aca="false">IF(SUM($AO103)=0,"",INDEX(Cascade!$BG:$BG,MATCH($E103,Cascade!$E:$E,0)))</f>
        <v/>
      </c>
      <c r="AS103" s="39" t="str">
        <f aca="false">IF(SUM($AO103)=0,"",IF(AND(SUM($AO103)&gt;0,$AQ103=""),"ENTER YIELD RATE",ROUND($AO103*$AQ103,0)))</f>
        <v/>
      </c>
      <c r="AT103" s="39" t="str">
        <f aca="false">IF(SUM($AO103)=0,"",$AO103-SUM($AS103))</f>
        <v/>
      </c>
      <c r="AU103" s="10" t="str">
        <f aca="false">IF(SUM($AS103)=0,"",ROUND($AS103*$AR103,0))</f>
        <v/>
      </c>
      <c r="AV103" s="10" t="str">
        <f aca="false">IFERROR(1/(1/SUM($AC103,$AB103,$AS103)),"")</f>
        <v/>
      </c>
      <c r="AW103" s="10" t="str">
        <f aca="false">IFERROR(1/(1/INDEX(Cascade!$BH:$BH,MATCH($E103,Cascade!$E:$E,0))),"")</f>
        <v/>
      </c>
      <c r="AX103" s="10" t="str">
        <f aca="false">IF(SUM($AC103)=0,"",$AC103)</f>
        <v/>
      </c>
      <c r="AY103" s="10" t="str">
        <f aca="false">IF(SUM($AS103)=0,"",$AS103)</f>
        <v/>
      </c>
      <c r="AZ103" s="10" t="str">
        <f aca="false">IFERROR(1/(1/INDEX(TB!$P:$P,MATCH($E103,TB!$E:$E,0))),"")</f>
        <v/>
      </c>
      <c r="BA103" s="10" t="str">
        <f aca="false">IFERROR(1/(1/(SUM($AW103)-SUM($AX103:$AZ103))),"")</f>
        <v/>
      </c>
    </row>
    <row r="104" customFormat="false" ht="15" hidden="false" customHeight="false" outlineLevel="0" collapsed="false">
      <c r="A104" s="0" t="str">
        <f aca="false">INDEX(Prioritization!$D:$D,MATCH($B104,Prioritization!$A:$A,0))</f>
        <v>1 - Scale-up: Saturation</v>
      </c>
      <c r="B104" s="0" t="s">
        <v>211</v>
      </c>
      <c r="C104" s="0" t="s">
        <v>368</v>
      </c>
      <c r="D104" s="0" t="s">
        <v>30</v>
      </c>
      <c r="E104" s="0" t="str">
        <f aca="false">B104&amp;"|"&amp;C104&amp;"|"&amp;D104</f>
        <v>Blantyre District [mxqa3CDFmIT]|50+|Female</v>
      </c>
      <c r="F104" s="10" t="n">
        <f aca="false">IF(LEFT($B104,4)="_Mil","",INDEX(Cascade!$T:$T,MATCH($E104,Cascade!$E:$E,0)))</f>
        <v>1918</v>
      </c>
      <c r="G104" s="10" t="str">
        <f aca="false">IF(LEFT($B104,4)="_Mil","",INDEX(Cascade!$U:$U,MATCH($E104,Cascade!$E:$E,0)))</f>
        <v/>
      </c>
      <c r="H104" s="86" t="n">
        <f aca="false">IF(LEFT($B104,4)="_Mil","",INDEX(Cascade!$W:$W,MATCH($E104,Cascade!$E:$E,0)))</f>
        <v>1987</v>
      </c>
      <c r="I104" s="10" t="n">
        <f aca="false">IF(LEFT($B104,4)="_Mil","",INDEX(Cascade!$Z:$Z,MATCH($E104,Cascade!$E:$E,0)))</f>
        <v>1496</v>
      </c>
      <c r="J104" s="88" t="n">
        <f aca="false">IF(LEFT($B104,4)="_Mil","",INDEX(Cascade!$AA:$AA,MATCH($E104,Cascade!$E:$E,0)))</f>
        <v>673</v>
      </c>
      <c r="K104" s="39" t="str">
        <f aca="false">IF(LEFT($B104,4)="_Mil","",_xlfn.IFNA(ROUND(INDEX(Spectrum!$N:$N,MATCH(RIGHT($B104,13)&amp;"|"&amp;$C104&amp;"|"&amp;$D104&amp;"|"&amp;K$14&amp;"|"&amp;"CY2023Q3",Spectrum!$R:$R,0)),0),""))</f>
        <v/>
      </c>
      <c r="L104" s="39" t="str">
        <f aca="false">IF(LEFT($B104,4)="_Mil","",_xlfn.IFNA(ROUND(INDEX(Spectrum!$N:$N,MATCH(RIGHT($B104,13)&amp;"|"&amp;$C104&amp;"|"&amp;$D104&amp;"|"&amp;L$14&amp;"|"&amp;"CY2023Q3",Spectrum!$R:$R,0)),0),""))</f>
        <v/>
      </c>
      <c r="M104" s="39" t="str">
        <f aca="false">IF(LEFT($B104,4)="_Mil","",_xlfn.IFNA(ROUND(INDEX(Spectrum!$N:$N,MATCH(RIGHT($B104,13)&amp;"|"&amp;$C104&amp;"|"&amp;$D104&amp;"|"&amp;M$14&amp;"|"&amp;"CY2023Q3",Spectrum!$R:$R,0)),0),""))</f>
        <v/>
      </c>
      <c r="N104" s="39" t="str">
        <f aca="false">IF(LEFT($B104,4)="_Mil","",_xlfn.IFNA(ROUND(INDEX(Spectrum!$N:$N,MATCH(RIGHT($B104,13)&amp;"|"&amp;$C104&amp;"|"&amp;$D104&amp;"|"&amp;N$14&amp;"|"&amp;"CY2023Q3",Spectrum!$R:$R,0)),0),""))</f>
        <v/>
      </c>
      <c r="O104" s="39" t="str">
        <f aca="false">IF(LEFT($B104,4)="_Mil","",_xlfn.IFNA(ROUND(INDEX(Spectrum!$N:$N,MATCH(RIGHT($B104,13)&amp;"|"&amp;$C104&amp;"|"&amp;$D104&amp;"|"&amp;O$14&amp;"|"&amp;"CY2023Q3",Spectrum!$R:$R,0)),0),""))</f>
        <v/>
      </c>
      <c r="P104" s="39" t="str">
        <f aca="false">IF(LEFT($B104,4)="_Mil","",_xlfn.IFNA(ROUND(INDEX(Spectrum!$N:$N,MATCH(RIGHT($B104,13)&amp;"|"&amp;$C104&amp;"|"&amp;$D104&amp;"|"&amp;P$14&amp;"|"&amp;"CY2023Q3",Spectrum!$R:$R,0)),0),""))</f>
        <v/>
      </c>
      <c r="Q104" s="39" t="str">
        <f aca="false">IF(LEFT($B104,4)="_Mil","",_xlfn.IFNA(ROUND(INDEX(Spectrum!$N:$N,MATCH(RIGHT($B104,13)&amp;"|"&amp;$C104&amp;"|"&amp;$D104&amp;"|"&amp;Q$14&amp;"|"&amp;"CY2022Q3",Spectrum!$R:$R,0)),0),""))</f>
        <v/>
      </c>
      <c r="R104" s="10"/>
      <c r="S104" s="88" t="n">
        <f aca="false">0</f>
        <v>0</v>
      </c>
      <c r="T104" s="39" t="str">
        <f aca="false">IF(SUM($R104)=0,"",ROUND($R104*(1+$S104),0))</f>
        <v/>
      </c>
      <c r="U104" s="88" t="str">
        <f aca="false">IF(LEFT($B104,4)="_Mil","",IF(SUM($K104)=0,IF(SUM($R104)=0,"",1),MIN($R104/$K104,1)))</f>
        <v/>
      </c>
      <c r="V104" s="39" t="str">
        <f aca="false">IF(OR(SUM($T104)=0,LEFT($B104,4)="_Mil"),"",ROUND($T104/$U104,0))</f>
        <v/>
      </c>
      <c r="W104" s="88"/>
      <c r="X104" s="88" t="str">
        <f aca="false">IF(SUM($K104,$W104)=0,"",MAX(IFERROR(SUM($L104)/$K104,0),SUM($W104)))</f>
        <v/>
      </c>
      <c r="Y104" s="88"/>
      <c r="Z104" s="88" t="str">
        <f aca="false">IF(SUM($K104,$Y104)=0,"",MIN(SUM($Y104),IFERROR(SUM($M104)/(SUM($K104)-SUM($L104)),1)))</f>
        <v/>
      </c>
      <c r="AA104" s="10" t="str">
        <f aca="false">$T104</f>
        <v/>
      </c>
      <c r="AB104" s="39" t="str">
        <f aca="false">IF(SUM($AA104)=0,"",IF(AND(SUM($AA104)&gt;0,$X104=""),"ENTER KNOWN POSITIVITY RATE",ROUND($AA104*$X104,0)))</f>
        <v/>
      </c>
      <c r="AC104" s="39" t="str">
        <f aca="false">IF(SUM($AA104)=0,"",IF(AND((SUM($AA104)-SUM($AB104))&gt;0,$Z104=""),"ENTER YIELD RATE",ROUND(($AA104-SUM($AB104))*$Z104,0)))</f>
        <v/>
      </c>
      <c r="AD104" s="39" t="str">
        <f aca="false">IF(SUM($AA104)=0,"",$AA104-SUM($AB104)-SUM($AC104))</f>
        <v/>
      </c>
      <c r="AE104" s="10" t="str">
        <f aca="false">$V104</f>
        <v/>
      </c>
      <c r="AF104" s="39" t="str">
        <f aca="false">IF(SUM($AE104)=0,"",ROUND($AE104*SUM($X104),0))</f>
        <v/>
      </c>
      <c r="AG104" s="39" t="str">
        <f aca="false">IF(SUM($AE104)=0,"",ROUND(($AE104-SUM($AF104))*SUM($Z104),0))</f>
        <v/>
      </c>
      <c r="AH104" s="39" t="str">
        <f aca="false">IF(SUM($AE104)=0,"",$AE104-SUM($AF104)-SUM($AG104))</f>
        <v/>
      </c>
      <c r="AI104" s="88" t="str">
        <f aca="false">IF(SUM($AC104)=0,"",INDEX(Cascade!$BG:$BG,MATCH($E104,Cascade!$E:$E,0)))</f>
        <v/>
      </c>
      <c r="AJ104" s="39" t="str">
        <f aca="false">$AB104</f>
        <v/>
      </c>
      <c r="AK104" s="39" t="str">
        <f aca="false">IF(SUM($AC104)=0,"",IF(AND($AI104="",SUM($AC104)&gt;0),"&lt;- Enter Linkage Rate",ROUND($AC104*$AI104,0)))</f>
        <v/>
      </c>
      <c r="AL104" s="39" t="str">
        <f aca="false">IF(SUM($AF104,$AG104)=0,"",SUM($AF104,$AG104))</f>
        <v/>
      </c>
      <c r="AM104" s="39" t="str">
        <f aca="false">$AF104</f>
        <v/>
      </c>
      <c r="AN104" s="39" t="str">
        <f aca="false">IF(SUM($AG104)=0,"",ROUND($AG104*SUM($AI104),0))</f>
        <v/>
      </c>
      <c r="AO104" s="10" t="str">
        <f aca="false">IFERROR(1/(1/MAX(SUM($T104)-SUM($AB104,$AC104),$AD104)),"")</f>
        <v/>
      </c>
      <c r="AP104" s="88"/>
      <c r="AQ104" s="88" t="str">
        <f aca="false">IF($AP104="","",$AP104)</f>
        <v/>
      </c>
      <c r="AR104" s="88" t="str">
        <f aca="false">IF(SUM($AO104)=0,"",INDEX(Cascade!$BG:$BG,MATCH($E104,Cascade!$E:$E,0)))</f>
        <v/>
      </c>
      <c r="AS104" s="39" t="str">
        <f aca="false">IF(SUM($AO104)=0,"",IF(AND(SUM($AO104)&gt;0,$AQ104=""),"ENTER YIELD RATE",ROUND($AO104*$AQ104,0)))</f>
        <v/>
      </c>
      <c r="AT104" s="39" t="str">
        <f aca="false">IF(SUM($AO104)=0,"",$AO104-SUM($AS104))</f>
        <v/>
      </c>
      <c r="AU104" s="10" t="str">
        <f aca="false">IF(SUM($AS104)=0,"",ROUND($AS104*$AR104,0))</f>
        <v/>
      </c>
      <c r="AV104" s="10" t="str">
        <f aca="false">IFERROR(1/(1/SUM($AC104,$AB104,$AS104)),"")</f>
        <v/>
      </c>
      <c r="AW104" s="10" t="str">
        <f aca="false">IFERROR(1/(1/INDEX(Cascade!$BH:$BH,MATCH($E104,Cascade!$E:$E,0))),"")</f>
        <v/>
      </c>
      <c r="AX104" s="10" t="str">
        <f aca="false">IF(SUM($AC104)=0,"",$AC104)</f>
        <v/>
      </c>
      <c r="AY104" s="10" t="str">
        <f aca="false">IF(SUM($AS104)=0,"",$AS104)</f>
        <v/>
      </c>
      <c r="AZ104" s="10" t="str">
        <f aca="false">IFERROR(1/(1/INDEX(TB!$P:$P,MATCH($E104,TB!$E:$E,0))),"")</f>
        <v/>
      </c>
      <c r="BA104" s="10" t="str">
        <f aca="false">IFERROR(1/(1/(SUM($AW104)-SUM($AX104:$AZ104))),"")</f>
        <v/>
      </c>
    </row>
    <row r="105" customFormat="false" ht="15" hidden="false" customHeight="false" outlineLevel="0" collapsed="false">
      <c r="A105" s="0" t="str">
        <f aca="false">INDEX(Prioritization!$D:$D,MATCH($B105,Prioritization!$A:$A,0))</f>
        <v>1 - Scale-up: Saturation</v>
      </c>
      <c r="B105" s="0" t="s">
        <v>212</v>
      </c>
      <c r="C105" s="0" t="s">
        <v>364</v>
      </c>
      <c r="D105" s="0" t="s">
        <v>30</v>
      </c>
      <c r="E105" s="0" t="str">
        <f aca="false">B105&amp;"|"&amp;C105&amp;"|"&amp;D105</f>
        <v>Chikwawa District [U8c0so51kT6]|10-14|Female</v>
      </c>
      <c r="F105" s="10" t="n">
        <f aca="false">IF(LEFT($B105,4)="_Mil","",INDEX(Cascade!$T:$T,MATCH($E105,Cascade!$E:$E,0)))</f>
        <v>1063</v>
      </c>
      <c r="G105" s="10" t="str">
        <f aca="false">IF(LEFT($B105,4)="_Mil","",INDEX(Cascade!$U:$U,MATCH($E105,Cascade!$E:$E,0)))</f>
        <v/>
      </c>
      <c r="H105" s="86" t="n">
        <f aca="false">IF(LEFT($B105,4)="_Mil","",INDEX(Cascade!$W:$W,MATCH($E105,Cascade!$E:$E,0)))</f>
        <v>1531</v>
      </c>
      <c r="I105" s="10" t="n">
        <f aca="false">IF(LEFT($B105,4)="_Mil","",INDEX(Cascade!$Z:$Z,MATCH($E105,Cascade!$E:$E,0)))</f>
        <v>850</v>
      </c>
      <c r="J105" s="88" t="n">
        <f aca="false">IF(LEFT($B105,4)="_Mil","",INDEX(Cascade!$AA:$AA,MATCH($E105,Cascade!$E:$E,0)))</f>
        <v>1243</v>
      </c>
      <c r="K105" s="39" t="str">
        <f aca="false">IF(LEFT($B105,4)="_Mil","",_xlfn.IFNA(ROUND(INDEX(Spectrum!$N:$N,MATCH(RIGHT($B105,13)&amp;"|"&amp;$C105&amp;"|"&amp;$D105&amp;"|"&amp;K$14&amp;"|"&amp;"CY2023Q3",Spectrum!$R:$R,0)),0),""))</f>
        <v/>
      </c>
      <c r="L105" s="39" t="str">
        <f aca="false">IF(LEFT($B105,4)="_Mil","",_xlfn.IFNA(ROUND(INDEX(Spectrum!$N:$N,MATCH(RIGHT($B105,13)&amp;"|"&amp;$C105&amp;"|"&amp;$D105&amp;"|"&amp;L$14&amp;"|"&amp;"CY2023Q3",Spectrum!$R:$R,0)),0),""))</f>
        <v/>
      </c>
      <c r="M105" s="39" t="str">
        <f aca="false">IF(LEFT($B105,4)="_Mil","",_xlfn.IFNA(ROUND(INDEX(Spectrum!$N:$N,MATCH(RIGHT($B105,13)&amp;"|"&amp;$C105&amp;"|"&amp;$D105&amp;"|"&amp;M$14&amp;"|"&amp;"CY2023Q3",Spectrum!$R:$R,0)),0),""))</f>
        <v/>
      </c>
      <c r="N105" s="39" t="str">
        <f aca="false">IF(LEFT($B105,4)="_Mil","",_xlfn.IFNA(ROUND(INDEX(Spectrum!$N:$N,MATCH(RIGHT($B105,13)&amp;"|"&amp;$C105&amp;"|"&amp;$D105&amp;"|"&amp;N$14&amp;"|"&amp;"CY2023Q3",Spectrum!$R:$R,0)),0),""))</f>
        <v/>
      </c>
      <c r="O105" s="39" t="str">
        <f aca="false">IF(LEFT($B105,4)="_Mil","",_xlfn.IFNA(ROUND(INDEX(Spectrum!$N:$N,MATCH(RIGHT($B105,13)&amp;"|"&amp;$C105&amp;"|"&amp;$D105&amp;"|"&amp;O$14&amp;"|"&amp;"CY2023Q3",Spectrum!$R:$R,0)),0),""))</f>
        <v/>
      </c>
      <c r="P105" s="39" t="str">
        <f aca="false">IF(LEFT($B105,4)="_Mil","",_xlfn.IFNA(ROUND(INDEX(Spectrum!$N:$N,MATCH(RIGHT($B105,13)&amp;"|"&amp;$C105&amp;"|"&amp;$D105&amp;"|"&amp;P$14&amp;"|"&amp;"CY2023Q3",Spectrum!$R:$R,0)),0),""))</f>
        <v/>
      </c>
      <c r="Q105" s="39" t="str">
        <f aca="false">IF(LEFT($B105,4)="_Mil","",_xlfn.IFNA(ROUND(INDEX(Spectrum!$N:$N,MATCH(RIGHT($B105,13)&amp;"|"&amp;$C105&amp;"|"&amp;$D105&amp;"|"&amp;Q$14&amp;"|"&amp;"CY2022Q3",Spectrum!$R:$R,0)),0),""))</f>
        <v/>
      </c>
      <c r="R105" s="10" t="n">
        <v>8</v>
      </c>
      <c r="S105" s="88" t="n">
        <f aca="false">0</f>
        <v>0</v>
      </c>
      <c r="T105" s="39" t="n">
        <f aca="false">IF(SUM($R105)=0,"",ROUND($R105*(1+$S105),0))</f>
        <v>8</v>
      </c>
      <c r="U105" s="88" t="n">
        <f aca="false">IF(LEFT($B105,4)="_Mil","",IF(SUM($K105)=0,IF(SUM($R105)=0,"",1),MIN($R105/$K105,1)))</f>
        <v>1</v>
      </c>
      <c r="V105" s="39" t="n">
        <f aca="false">IF(OR(SUM($T105)=0,LEFT($B105,4)="_Mil"),"",ROUND($T105/$U105,0))</f>
        <v>8</v>
      </c>
      <c r="W105" s="88" t="n">
        <v>0.523529081838205</v>
      </c>
      <c r="X105" s="88" t="n">
        <f aca="false">IF(SUM($K105,$W105)=0,"",MAX(IFERROR(SUM($L105)/$K105,0),SUM($W105)))</f>
        <v>0.523529081838205</v>
      </c>
      <c r="Y105" s="88" t="n">
        <v>0.939458002336323</v>
      </c>
      <c r="Z105" s="88" t="n">
        <f aca="false">IF(SUM($K105,$Y105)=0,"",MIN(SUM($Y105),IFERROR(SUM($M105)/(SUM($K105)-SUM($L105)),1)))</f>
        <v>0.939458002336323</v>
      </c>
      <c r="AA105" s="10" t="n">
        <f aca="false">$T105</f>
        <v>8</v>
      </c>
      <c r="AB105" s="39" t="n">
        <f aca="false">IF(SUM($AA105)=0,"",IF(AND(SUM($AA105)&gt;0,$X105=""),"ENTER KNOWN POSITIVITY RATE",ROUND($AA105*$X105,0)))</f>
        <v>4</v>
      </c>
      <c r="AC105" s="39" t="n">
        <f aca="false">IF(SUM($AA105)=0,"",IF(AND((SUM($AA105)-SUM($AB105))&gt;0,$Z105=""),"ENTER YIELD RATE",ROUND(($AA105-SUM($AB105))*$Z105,0)))</f>
        <v>4</v>
      </c>
      <c r="AD105" s="39" t="n">
        <f aca="false">IF(SUM($AA105)=0,"",$AA105-SUM($AB105)-SUM($AC105))</f>
        <v>0</v>
      </c>
      <c r="AE105" s="10" t="n">
        <f aca="false">$V105</f>
        <v>8</v>
      </c>
      <c r="AF105" s="39" t="n">
        <f aca="false">IF(SUM($AE105)=0,"",ROUND($AE105*SUM($X105),0))</f>
        <v>4</v>
      </c>
      <c r="AG105" s="39" t="n">
        <f aca="false">IF(SUM($AE105)=0,"",ROUND(($AE105-SUM($AF105))*SUM($Z105),0))</f>
        <v>4</v>
      </c>
      <c r="AH105" s="39" t="n">
        <f aca="false">IF(SUM($AE105)=0,"",$AE105-SUM($AF105)-SUM($AG105))</f>
        <v>0</v>
      </c>
      <c r="AI105" s="88" t="n">
        <f aca="false">IF(SUM($AC105)=0,"",INDEX(Cascade!$BG:$BG,MATCH($E105,Cascade!$E:$E,0)))</f>
        <v>0.95</v>
      </c>
      <c r="AJ105" s="39" t="n">
        <f aca="false">$AB105</f>
        <v>4</v>
      </c>
      <c r="AK105" s="39" t="n">
        <f aca="false">IF(SUM($AC105)=0,"",IF(AND($AI105="",SUM($AC105)&gt;0),"&lt;- Enter Linkage Rate",ROUND($AC105*$AI105,0)))</f>
        <v>4</v>
      </c>
      <c r="AL105" s="39" t="n">
        <f aca="false">IF(SUM($AF105,$AG105)=0,"",SUM($AF105,$AG105))</f>
        <v>8</v>
      </c>
      <c r="AM105" s="39" t="n">
        <f aca="false">$AF105</f>
        <v>4</v>
      </c>
      <c r="AN105" s="39" t="n">
        <f aca="false">IF(SUM($AG105)=0,"",ROUND($AG105*SUM($AI105),0))</f>
        <v>4</v>
      </c>
      <c r="AO105" s="10" t="str">
        <f aca="false">IFERROR(1/(1/MAX(SUM($T105)-SUM($AB105,$AC105),$AD105)),"")</f>
        <v/>
      </c>
      <c r="AP105" s="88"/>
      <c r="AQ105" s="88" t="str">
        <f aca="false">IF($AP105="","",$AP105)</f>
        <v/>
      </c>
      <c r="AR105" s="88" t="str">
        <f aca="false">IF(SUM($AO105)=0,"",INDEX(Cascade!$BG:$BG,MATCH($E105,Cascade!$E:$E,0)))</f>
        <v/>
      </c>
      <c r="AS105" s="39" t="str">
        <f aca="false">IF(SUM($AO105)=0,"",IF(AND(SUM($AO105)&gt;0,$AQ105=""),"ENTER YIELD RATE",ROUND($AO105*$AQ105,0)))</f>
        <v/>
      </c>
      <c r="AT105" s="39" t="str">
        <f aca="false">IF(SUM($AO105)=0,"",$AO105-SUM($AS105))</f>
        <v/>
      </c>
      <c r="AU105" s="10" t="str">
        <f aca="false">IF(SUM($AS105)=0,"",ROUND($AS105*$AR105,0))</f>
        <v/>
      </c>
      <c r="AV105" s="10" t="n">
        <f aca="false">IFERROR(1/(1/SUM($AC105,$AB105,$AS105)),"")</f>
        <v>8</v>
      </c>
      <c r="AW105" s="10" t="n">
        <f aca="false">IFERROR(1/(1/INDEX(Cascade!$BH:$BH,MATCH($E105,Cascade!$E:$E,0))),"")</f>
        <v>-94</v>
      </c>
      <c r="AX105" s="10" t="n">
        <f aca="false">IF(SUM($AC105)=0,"",$AC105)</f>
        <v>4</v>
      </c>
      <c r="AY105" s="10" t="str">
        <f aca="false">IF(SUM($AS105)=0,"",$AS105)</f>
        <v/>
      </c>
      <c r="AZ105" s="10" t="str">
        <f aca="false">IFERROR(1/(1/INDEX(TB!$P:$P,MATCH($E105,TB!$E:$E,0))),"")</f>
        <v/>
      </c>
      <c r="BA105" s="10" t="n">
        <f aca="false">IFERROR(1/(1/(SUM($AW105)-SUM($AX105:$AZ105))),"")</f>
        <v>-98</v>
      </c>
    </row>
    <row r="106" customFormat="false" ht="15" hidden="false" customHeight="false" outlineLevel="0" collapsed="false">
      <c r="A106" s="0" t="str">
        <f aca="false">INDEX(Prioritization!$D:$D,MATCH($B106,Prioritization!$A:$A,0))</f>
        <v>1 - Scale-up: Saturation</v>
      </c>
      <c r="B106" s="0" t="s">
        <v>212</v>
      </c>
      <c r="C106" s="0" t="s">
        <v>365</v>
      </c>
      <c r="D106" s="0" t="s">
        <v>30</v>
      </c>
      <c r="E106" s="0" t="str">
        <f aca="false">B106&amp;"|"&amp;C106&amp;"|"&amp;D106</f>
        <v>Chikwawa District [U8c0so51kT6]|15-24|Female</v>
      </c>
      <c r="F106" s="10" t="n">
        <f aca="false">IF(LEFT($B106,4)="_Mil","",INDEX(Cascade!$T:$T,MATCH($E106,Cascade!$E:$E,0)))</f>
        <v>1222</v>
      </c>
      <c r="G106" s="10" t="str">
        <f aca="false">IF(LEFT($B106,4)="_Mil","",INDEX(Cascade!$U:$U,MATCH($E106,Cascade!$E:$E,0)))</f>
        <v/>
      </c>
      <c r="H106" s="86" t="n">
        <f aca="false">IF(LEFT($B106,4)="_Mil","",INDEX(Cascade!$W:$W,MATCH($E106,Cascade!$E:$E,0)))</f>
        <v>956</v>
      </c>
      <c r="I106" s="10" t="n">
        <f aca="false">IF(LEFT($B106,4)="_Mil","",INDEX(Cascade!$Z:$Z,MATCH($E106,Cascade!$E:$E,0)))</f>
        <v>1603</v>
      </c>
      <c r="J106" s="88" t="n">
        <f aca="false">IF(LEFT($B106,4)="_Mil","",INDEX(Cascade!$AA:$AA,MATCH($E106,Cascade!$E:$E,0)))</f>
        <v>800</v>
      </c>
      <c r="K106" s="39" t="n">
        <f aca="false">IF(LEFT($B106,4)="_Mil","",_xlfn.IFNA(ROUND(INDEX(Spectrum!$N:$N,MATCH(RIGHT($B106,13)&amp;"|"&amp;$C106&amp;"|"&amp;$D106&amp;"|"&amp;K$14&amp;"|"&amp;"CY2023Q3",Spectrum!$R:$R,0)),0),""))</f>
        <v>1018</v>
      </c>
      <c r="L106" s="39" t="str">
        <f aca="false">IF(LEFT($B106,4)="_Mil","",_xlfn.IFNA(ROUND(INDEX(Spectrum!$N:$N,MATCH(RIGHT($B106,13)&amp;"|"&amp;$C106&amp;"|"&amp;$D106&amp;"|"&amp;L$14&amp;"|"&amp;"CY2023Q3",Spectrum!$R:$R,0)),0),""))</f>
        <v/>
      </c>
      <c r="M106" s="39" t="n">
        <f aca="false">IF(LEFT($B106,4)="_Mil","",_xlfn.IFNA(ROUND(INDEX(Spectrum!$N:$N,MATCH(RIGHT($B106,13)&amp;"|"&amp;$C106&amp;"|"&amp;$D106&amp;"|"&amp;M$14&amp;"|"&amp;"CY2023Q3",Spectrum!$R:$R,0)),0),""))</f>
        <v>1430</v>
      </c>
      <c r="N106" s="39" t="n">
        <f aca="false">IF(LEFT($B106,4)="_Mil","",_xlfn.IFNA(ROUND(INDEX(Spectrum!$N:$N,MATCH(RIGHT($B106,13)&amp;"|"&amp;$C106&amp;"|"&amp;$D106&amp;"|"&amp;N$14&amp;"|"&amp;"CY2023Q3",Spectrum!$R:$R,0)),0),""))</f>
        <v>977</v>
      </c>
      <c r="O106" s="39" t="n">
        <f aca="false">IF(LEFT($B106,4)="_Mil","",_xlfn.IFNA(ROUND(INDEX(Spectrum!$N:$N,MATCH(RIGHT($B106,13)&amp;"|"&amp;$C106&amp;"|"&amp;$D106&amp;"|"&amp;O$14&amp;"|"&amp;"CY2023Q3",Spectrum!$R:$R,0)),0),""))</f>
        <v>1612</v>
      </c>
      <c r="P106" s="39" t="n">
        <f aca="false">IF(LEFT($B106,4)="_Mil","",_xlfn.IFNA(ROUND(INDEX(Spectrum!$N:$N,MATCH(RIGHT($B106,13)&amp;"|"&amp;$C106&amp;"|"&amp;$D106&amp;"|"&amp;P$14&amp;"|"&amp;"CY2023Q3",Spectrum!$R:$R,0)),0),""))</f>
        <v>1817</v>
      </c>
      <c r="Q106" s="39" t="str">
        <f aca="false">IF(LEFT($B106,4)="_Mil","",_xlfn.IFNA(ROUND(INDEX(Spectrum!$N:$N,MATCH(RIGHT($B106,13)&amp;"|"&amp;$C106&amp;"|"&amp;$D106&amp;"|"&amp;Q$14&amp;"|"&amp;"CY2022Q3",Spectrum!$R:$R,0)),0),""))</f>
        <v/>
      </c>
      <c r="R106" s="10"/>
      <c r="S106" s="88" t="n">
        <f aca="false">0</f>
        <v>0</v>
      </c>
      <c r="T106" s="39" t="str">
        <f aca="false">IF(SUM($R106)=0,"",ROUND($R106*(1+$S106),0))</f>
        <v/>
      </c>
      <c r="U106" s="88" t="n">
        <f aca="false">IF(LEFT($B106,4)="_Mil","",IF(SUM($K106)=0,IF(SUM($R106)=0,"",1),MIN($R106/$K106,1)))</f>
        <v>0</v>
      </c>
      <c r="V106" s="39" t="str">
        <f aca="false">IF(OR(SUM($T106)=0,LEFT($B106,4)="_Mil"),"",ROUND($T106/$U106,0))</f>
        <v/>
      </c>
      <c r="W106" s="88"/>
      <c r="X106" s="88" t="n">
        <f aca="false">IF(SUM($K106,$W106)=0,"",MAX(IFERROR(SUM($L106)/$K106,0),SUM($W106)))</f>
        <v>0</v>
      </c>
      <c r="Y106" s="88"/>
      <c r="Z106" s="88" t="n">
        <f aca="false">IF(SUM($K106,$Y106)=0,"",MIN(SUM($Y106),IFERROR(SUM($M106)/(SUM($K106)-SUM($L106)),1)))</f>
        <v>0</v>
      </c>
      <c r="AA106" s="10" t="str">
        <f aca="false">$T106</f>
        <v/>
      </c>
      <c r="AB106" s="39" t="str">
        <f aca="false">IF(SUM($AA106)=0,"",IF(AND(SUM($AA106)&gt;0,$X106=""),"ENTER KNOWN POSITIVITY RATE",ROUND($AA106*$X106,0)))</f>
        <v/>
      </c>
      <c r="AC106" s="39" t="str">
        <f aca="false">IF(SUM($AA106)=0,"",IF(AND((SUM($AA106)-SUM($AB106))&gt;0,$Z106=""),"ENTER YIELD RATE",ROUND(($AA106-SUM($AB106))*$Z106,0)))</f>
        <v/>
      </c>
      <c r="AD106" s="39" t="str">
        <f aca="false">IF(SUM($AA106)=0,"",$AA106-SUM($AB106)-SUM($AC106))</f>
        <v/>
      </c>
      <c r="AE106" s="10" t="str">
        <f aca="false">$V106</f>
        <v/>
      </c>
      <c r="AF106" s="39" t="str">
        <f aca="false">IF(SUM($AE106)=0,"",ROUND($AE106*SUM($X106),0))</f>
        <v/>
      </c>
      <c r="AG106" s="39" t="str">
        <f aca="false">IF(SUM($AE106)=0,"",ROUND(($AE106-SUM($AF106))*SUM($Z106),0))</f>
        <v/>
      </c>
      <c r="AH106" s="39" t="str">
        <f aca="false">IF(SUM($AE106)=0,"",$AE106-SUM($AF106)-SUM($AG106))</f>
        <v/>
      </c>
      <c r="AI106" s="88" t="str">
        <f aca="false">IF(SUM($AC106)=0,"",INDEX(Cascade!$BG:$BG,MATCH($E106,Cascade!$E:$E,0)))</f>
        <v/>
      </c>
      <c r="AJ106" s="39" t="str">
        <f aca="false">$AB106</f>
        <v/>
      </c>
      <c r="AK106" s="39" t="str">
        <f aca="false">IF(SUM($AC106)=0,"",IF(AND($AI106="",SUM($AC106)&gt;0),"&lt;- Enter Linkage Rate",ROUND($AC106*$AI106,0)))</f>
        <v/>
      </c>
      <c r="AL106" s="39" t="str">
        <f aca="false">IF(SUM($AF106,$AG106)=0,"",SUM($AF106,$AG106))</f>
        <v/>
      </c>
      <c r="AM106" s="39" t="str">
        <f aca="false">$AF106</f>
        <v/>
      </c>
      <c r="AN106" s="39" t="str">
        <f aca="false">IF(SUM($AG106)=0,"",ROUND($AG106*SUM($AI106),0))</f>
        <v/>
      </c>
      <c r="AO106" s="10" t="str">
        <f aca="false">IFERROR(1/(1/MAX(SUM($T106)-SUM($AB106,$AC106),$AD106)),"")</f>
        <v/>
      </c>
      <c r="AP106" s="88"/>
      <c r="AQ106" s="88" t="str">
        <f aca="false">IF($AP106="","",$AP106)</f>
        <v/>
      </c>
      <c r="AR106" s="88" t="str">
        <f aca="false">IF(SUM($AO106)=0,"",INDEX(Cascade!$BG:$BG,MATCH($E106,Cascade!$E:$E,0)))</f>
        <v/>
      </c>
      <c r="AS106" s="39" t="str">
        <f aca="false">IF(SUM($AO106)=0,"",IF(AND(SUM($AO106)&gt;0,$AQ106=""),"ENTER YIELD RATE",ROUND($AO106*$AQ106,0)))</f>
        <v/>
      </c>
      <c r="AT106" s="39" t="str">
        <f aca="false">IF(SUM($AO106)=0,"",$AO106-SUM($AS106))</f>
        <v/>
      </c>
      <c r="AU106" s="10" t="str">
        <f aca="false">IF(SUM($AS106)=0,"",ROUND($AS106*$AR106,0))</f>
        <v/>
      </c>
      <c r="AV106" s="10" t="str">
        <f aca="false">IFERROR(1/(1/SUM($AC106,$AB106,$AS106)),"")</f>
        <v/>
      </c>
      <c r="AW106" s="10" t="str">
        <f aca="false">IFERROR(1/(1/INDEX(Cascade!$BH:$BH,MATCH($E106,Cascade!$E:$E,0))),"")</f>
        <v/>
      </c>
      <c r="AX106" s="10" t="str">
        <f aca="false">IF(SUM($AC106)=0,"",$AC106)</f>
        <v/>
      </c>
      <c r="AY106" s="10" t="str">
        <f aca="false">IF(SUM($AS106)=0,"",$AS106)</f>
        <v/>
      </c>
      <c r="AZ106" s="10" t="str">
        <f aca="false">IFERROR(1/(1/INDEX(TB!$P:$P,MATCH($E106,TB!$E:$E,0))),"")</f>
        <v/>
      </c>
      <c r="BA106" s="10" t="str">
        <f aca="false">IFERROR(1/(1/(SUM($AW106)-SUM($AX106:$AZ106))),"")</f>
        <v/>
      </c>
    </row>
    <row r="107" customFormat="false" ht="15" hidden="false" customHeight="false" outlineLevel="0" collapsed="false">
      <c r="A107" s="0" t="str">
        <f aca="false">INDEX(Prioritization!$D:$D,MATCH($B107,Prioritization!$A:$A,0))</f>
        <v>1 - Scale-up: Saturation</v>
      </c>
      <c r="B107" s="0" t="s">
        <v>212</v>
      </c>
      <c r="C107" s="0" t="s">
        <v>366</v>
      </c>
      <c r="D107" s="0" t="s">
        <v>30</v>
      </c>
      <c r="E107" s="0" t="str">
        <f aca="false">B107&amp;"|"&amp;C107&amp;"|"&amp;D107</f>
        <v>Chikwawa District [U8c0so51kT6]|25-34|Female</v>
      </c>
      <c r="F107" s="10" t="n">
        <f aca="false">IF(LEFT($B107,4)="_Mil","",INDEX(Cascade!$T:$T,MATCH($E107,Cascade!$E:$E,0)))</f>
        <v>1032</v>
      </c>
      <c r="G107" s="10" t="str">
        <f aca="false">IF(LEFT($B107,4)="_Mil","",INDEX(Cascade!$U:$U,MATCH($E107,Cascade!$E:$E,0)))</f>
        <v/>
      </c>
      <c r="H107" s="86" t="n">
        <f aca="false">IF(LEFT($B107,4)="_Mil","",INDEX(Cascade!$W:$W,MATCH($E107,Cascade!$E:$E,0)))</f>
        <v>1086</v>
      </c>
      <c r="I107" s="10" t="n">
        <f aca="false">IF(LEFT($B107,4)="_Mil","",INDEX(Cascade!$Z:$Z,MATCH($E107,Cascade!$E:$E,0)))</f>
        <v>793</v>
      </c>
      <c r="J107" s="88" t="n">
        <f aca="false">IF(LEFT($B107,4)="_Mil","",INDEX(Cascade!$AA:$AA,MATCH($E107,Cascade!$E:$E,0)))</f>
        <v>885</v>
      </c>
      <c r="K107" s="39" t="n">
        <f aca="false">IF(LEFT($B107,4)="_Mil","",_xlfn.IFNA(ROUND(INDEX(Spectrum!$N:$N,MATCH(RIGHT($B107,13)&amp;"|"&amp;$C107&amp;"|"&amp;$D107&amp;"|"&amp;K$14&amp;"|"&amp;"CY2023Q3",Spectrum!$R:$R,0)),0),""))</f>
        <v>1401</v>
      </c>
      <c r="L107" s="39" t="str">
        <f aca="false">IF(LEFT($B107,4)="_Mil","",_xlfn.IFNA(ROUND(INDEX(Spectrum!$N:$N,MATCH(RIGHT($B107,13)&amp;"|"&amp;$C107&amp;"|"&amp;$D107&amp;"|"&amp;L$14&amp;"|"&amp;"CY2023Q3",Spectrum!$R:$R,0)),0),""))</f>
        <v/>
      </c>
      <c r="M107" s="39" t="n">
        <f aca="false">IF(LEFT($B107,4)="_Mil","",_xlfn.IFNA(ROUND(INDEX(Spectrum!$N:$N,MATCH(RIGHT($B107,13)&amp;"|"&amp;$C107&amp;"|"&amp;$D107&amp;"|"&amp;M$14&amp;"|"&amp;"CY2023Q3",Spectrum!$R:$R,0)),0),""))</f>
        <v>775</v>
      </c>
      <c r="N107" s="39" t="n">
        <f aca="false">IF(LEFT($B107,4)="_Mil","",_xlfn.IFNA(ROUND(INDEX(Spectrum!$N:$N,MATCH(RIGHT($B107,13)&amp;"|"&amp;$C107&amp;"|"&amp;$D107&amp;"|"&amp;N$14&amp;"|"&amp;"CY2023Q3",Spectrum!$R:$R,0)),0),""))</f>
        <v>768</v>
      </c>
      <c r="O107" s="39" t="n">
        <f aca="false">IF(LEFT($B107,4)="_Mil","",_xlfn.IFNA(ROUND(INDEX(Spectrum!$N:$N,MATCH(RIGHT($B107,13)&amp;"|"&amp;$C107&amp;"|"&amp;$D107&amp;"|"&amp;O$14&amp;"|"&amp;"CY2023Q3",Spectrum!$R:$R,0)),0),""))</f>
        <v>1218</v>
      </c>
      <c r="P107" s="39" t="n">
        <f aca="false">IF(LEFT($B107,4)="_Mil","",_xlfn.IFNA(ROUND(INDEX(Spectrum!$N:$N,MATCH(RIGHT($B107,13)&amp;"|"&amp;$C107&amp;"|"&amp;$D107&amp;"|"&amp;P$14&amp;"|"&amp;"CY2023Q3",Spectrum!$R:$R,0)),0),""))</f>
        <v>506</v>
      </c>
      <c r="Q107" s="39" t="str">
        <f aca="false">IF(LEFT($B107,4)="_Mil","",_xlfn.IFNA(ROUND(INDEX(Spectrum!$N:$N,MATCH(RIGHT($B107,13)&amp;"|"&amp;$C107&amp;"|"&amp;$D107&amp;"|"&amp;Q$14&amp;"|"&amp;"CY2022Q3",Spectrum!$R:$R,0)),0),""))</f>
        <v/>
      </c>
      <c r="R107" s="10"/>
      <c r="S107" s="88" t="n">
        <f aca="false">0</f>
        <v>0</v>
      </c>
      <c r="T107" s="39" t="str">
        <f aca="false">IF(SUM($R107)=0,"",ROUND($R107*(1+$S107),0))</f>
        <v/>
      </c>
      <c r="U107" s="88" t="n">
        <f aca="false">IF(LEFT($B107,4)="_Mil","",IF(SUM($K107)=0,IF(SUM($R107)=0,"",1),MIN($R107/$K107,1)))</f>
        <v>0</v>
      </c>
      <c r="V107" s="39" t="str">
        <f aca="false">IF(OR(SUM($T107)=0,LEFT($B107,4)="_Mil"),"",ROUND($T107/$U107,0))</f>
        <v/>
      </c>
      <c r="W107" s="88"/>
      <c r="X107" s="88" t="n">
        <f aca="false">IF(SUM($K107,$W107)=0,"",MAX(IFERROR(SUM($L107)/$K107,0),SUM($W107)))</f>
        <v>0</v>
      </c>
      <c r="Y107" s="88"/>
      <c r="Z107" s="88" t="n">
        <f aca="false">IF(SUM($K107,$Y107)=0,"",MIN(SUM($Y107),IFERROR(SUM($M107)/(SUM($K107)-SUM($L107)),1)))</f>
        <v>0</v>
      </c>
      <c r="AA107" s="10" t="str">
        <f aca="false">$T107</f>
        <v/>
      </c>
      <c r="AB107" s="39" t="str">
        <f aca="false">IF(SUM($AA107)=0,"",IF(AND(SUM($AA107)&gt;0,$X107=""),"ENTER KNOWN POSITIVITY RATE",ROUND($AA107*$X107,0)))</f>
        <v/>
      </c>
      <c r="AC107" s="39" t="str">
        <f aca="false">IF(SUM($AA107)=0,"",IF(AND((SUM($AA107)-SUM($AB107))&gt;0,$Z107=""),"ENTER YIELD RATE",ROUND(($AA107-SUM($AB107))*$Z107,0)))</f>
        <v/>
      </c>
      <c r="AD107" s="39" t="str">
        <f aca="false">IF(SUM($AA107)=0,"",$AA107-SUM($AB107)-SUM($AC107))</f>
        <v/>
      </c>
      <c r="AE107" s="10" t="str">
        <f aca="false">$V107</f>
        <v/>
      </c>
      <c r="AF107" s="39" t="str">
        <f aca="false">IF(SUM($AE107)=0,"",ROUND($AE107*SUM($X107),0))</f>
        <v/>
      </c>
      <c r="AG107" s="39" t="str">
        <f aca="false">IF(SUM($AE107)=0,"",ROUND(($AE107-SUM($AF107))*SUM($Z107),0))</f>
        <v/>
      </c>
      <c r="AH107" s="39" t="str">
        <f aca="false">IF(SUM($AE107)=0,"",$AE107-SUM($AF107)-SUM($AG107))</f>
        <v/>
      </c>
      <c r="AI107" s="88" t="str">
        <f aca="false">IF(SUM($AC107)=0,"",INDEX(Cascade!$BG:$BG,MATCH($E107,Cascade!$E:$E,0)))</f>
        <v/>
      </c>
      <c r="AJ107" s="39" t="str">
        <f aca="false">$AB107</f>
        <v/>
      </c>
      <c r="AK107" s="39" t="str">
        <f aca="false">IF(SUM($AC107)=0,"",IF(AND($AI107="",SUM($AC107)&gt;0),"&lt;- Enter Linkage Rate",ROUND($AC107*$AI107,0)))</f>
        <v/>
      </c>
      <c r="AL107" s="39" t="str">
        <f aca="false">IF(SUM($AF107,$AG107)=0,"",SUM($AF107,$AG107))</f>
        <v/>
      </c>
      <c r="AM107" s="39" t="str">
        <f aca="false">$AF107</f>
        <v/>
      </c>
      <c r="AN107" s="39" t="str">
        <f aca="false">IF(SUM($AG107)=0,"",ROUND($AG107*SUM($AI107),0))</f>
        <v/>
      </c>
      <c r="AO107" s="10" t="str">
        <f aca="false">IFERROR(1/(1/MAX(SUM($T107)-SUM($AB107,$AC107),$AD107)),"")</f>
        <v/>
      </c>
      <c r="AP107" s="88"/>
      <c r="AQ107" s="88" t="str">
        <f aca="false">IF($AP107="","",$AP107)</f>
        <v/>
      </c>
      <c r="AR107" s="88" t="str">
        <f aca="false">IF(SUM($AO107)=0,"",INDEX(Cascade!$BG:$BG,MATCH($E107,Cascade!$E:$E,0)))</f>
        <v/>
      </c>
      <c r="AS107" s="39" t="str">
        <f aca="false">IF(SUM($AO107)=0,"",IF(AND(SUM($AO107)&gt;0,$AQ107=""),"ENTER YIELD RATE",ROUND($AO107*$AQ107,0)))</f>
        <v/>
      </c>
      <c r="AT107" s="39" t="str">
        <f aca="false">IF(SUM($AO107)=0,"",$AO107-SUM($AS107))</f>
        <v/>
      </c>
      <c r="AU107" s="10" t="str">
        <f aca="false">IF(SUM($AS107)=0,"",ROUND($AS107*$AR107,0))</f>
        <v/>
      </c>
      <c r="AV107" s="10" t="str">
        <f aca="false">IFERROR(1/(1/SUM($AC107,$AB107,$AS107)),"")</f>
        <v/>
      </c>
      <c r="AW107" s="10" t="str">
        <f aca="false">IFERROR(1/(1/INDEX(Cascade!$BH:$BH,MATCH($E107,Cascade!$E:$E,0))),"")</f>
        <v/>
      </c>
      <c r="AX107" s="10" t="str">
        <f aca="false">IF(SUM($AC107)=0,"",$AC107)</f>
        <v/>
      </c>
      <c r="AY107" s="10" t="str">
        <f aca="false">IF(SUM($AS107)=0,"",$AS107)</f>
        <v/>
      </c>
      <c r="AZ107" s="10" t="str">
        <f aca="false">IFERROR(1/(1/INDEX(TB!$P:$P,MATCH($E107,TB!$E:$E,0))),"")</f>
        <v/>
      </c>
      <c r="BA107" s="10" t="str">
        <f aca="false">IFERROR(1/(1/(SUM($AW107)-SUM($AX107:$AZ107))),"")</f>
        <v/>
      </c>
    </row>
    <row r="108" customFormat="false" ht="15" hidden="false" customHeight="false" outlineLevel="0" collapsed="false">
      <c r="A108" s="0" t="str">
        <f aca="false">INDEX(Prioritization!$D:$D,MATCH($B108,Prioritization!$A:$A,0))</f>
        <v>1 - Scale-up: Saturation</v>
      </c>
      <c r="B108" s="0" t="s">
        <v>212</v>
      </c>
      <c r="C108" s="0" t="s">
        <v>367</v>
      </c>
      <c r="D108" s="0" t="s">
        <v>30</v>
      </c>
      <c r="E108" s="0" t="str">
        <f aca="false">B108&amp;"|"&amp;C108&amp;"|"&amp;D108</f>
        <v>Chikwawa District [U8c0so51kT6]|35-49|Female</v>
      </c>
      <c r="F108" s="10" t="n">
        <f aca="false">IF(LEFT($B108,4)="_Mil","",INDEX(Cascade!$T:$T,MATCH($E108,Cascade!$E:$E,0)))</f>
        <v>1445</v>
      </c>
      <c r="G108" s="10" t="str">
        <f aca="false">IF(LEFT($B108,4)="_Mil","",INDEX(Cascade!$U:$U,MATCH($E108,Cascade!$E:$E,0)))</f>
        <v/>
      </c>
      <c r="H108" s="86" t="n">
        <f aca="false">IF(LEFT($B108,4)="_Mil","",INDEX(Cascade!$W:$W,MATCH($E108,Cascade!$E:$E,0)))</f>
        <v>1441</v>
      </c>
      <c r="I108" s="10" t="n">
        <f aca="false">IF(LEFT($B108,4)="_Mil","",INDEX(Cascade!$Z:$Z,MATCH($E108,Cascade!$E:$E,0)))</f>
        <v>1414</v>
      </c>
      <c r="J108" s="88" t="n">
        <f aca="false">IF(LEFT($B108,4)="_Mil","",INDEX(Cascade!$AA:$AA,MATCH($E108,Cascade!$E:$E,0)))</f>
        <v>1024</v>
      </c>
      <c r="K108" s="39" t="n">
        <f aca="false">IF(LEFT($B108,4)="_Mil","",_xlfn.IFNA(ROUND(INDEX(Spectrum!$N:$N,MATCH(RIGHT($B108,13)&amp;"|"&amp;$C108&amp;"|"&amp;$D108&amp;"|"&amp;K$14&amp;"|"&amp;"CY2023Q3",Spectrum!$R:$R,0)),0),""))</f>
        <v>1287</v>
      </c>
      <c r="L108" s="39" t="str">
        <f aca="false">IF(LEFT($B108,4)="_Mil","",_xlfn.IFNA(ROUND(INDEX(Spectrum!$N:$N,MATCH(RIGHT($B108,13)&amp;"|"&amp;$C108&amp;"|"&amp;$D108&amp;"|"&amp;L$14&amp;"|"&amp;"CY2023Q3",Spectrum!$R:$R,0)),0),""))</f>
        <v/>
      </c>
      <c r="M108" s="39" t="n">
        <f aca="false">IF(LEFT($B108,4)="_Mil","",_xlfn.IFNA(ROUND(INDEX(Spectrum!$N:$N,MATCH(RIGHT($B108,13)&amp;"|"&amp;$C108&amp;"|"&amp;$D108&amp;"|"&amp;M$14&amp;"|"&amp;"CY2023Q3",Spectrum!$R:$R,0)),0),""))</f>
        <v>1795</v>
      </c>
      <c r="N108" s="39" t="n">
        <f aca="false">IF(LEFT($B108,4)="_Mil","",_xlfn.IFNA(ROUND(INDEX(Spectrum!$N:$N,MATCH(RIGHT($B108,13)&amp;"|"&amp;$C108&amp;"|"&amp;$D108&amp;"|"&amp;N$14&amp;"|"&amp;"CY2023Q3",Spectrum!$R:$R,0)),0),""))</f>
        <v>1239</v>
      </c>
      <c r="O108" s="39" t="n">
        <f aca="false">IF(LEFT($B108,4)="_Mil","",_xlfn.IFNA(ROUND(INDEX(Spectrum!$N:$N,MATCH(RIGHT($B108,13)&amp;"|"&amp;$C108&amp;"|"&amp;$D108&amp;"|"&amp;O$14&amp;"|"&amp;"CY2023Q3",Spectrum!$R:$R,0)),0),""))</f>
        <v>1581</v>
      </c>
      <c r="P108" s="39" t="n">
        <f aca="false">IF(LEFT($B108,4)="_Mil","",_xlfn.IFNA(ROUND(INDEX(Spectrum!$N:$N,MATCH(RIGHT($B108,13)&amp;"|"&amp;$C108&amp;"|"&amp;$D108&amp;"|"&amp;P$14&amp;"|"&amp;"CY2023Q3",Spectrum!$R:$R,0)),0),""))</f>
        <v>1975</v>
      </c>
      <c r="Q108" s="39" t="str">
        <f aca="false">IF(LEFT($B108,4)="_Mil","",_xlfn.IFNA(ROUND(INDEX(Spectrum!$N:$N,MATCH(RIGHT($B108,13)&amp;"|"&amp;$C108&amp;"|"&amp;$D108&amp;"|"&amp;Q$14&amp;"|"&amp;"CY2022Q3",Spectrum!$R:$R,0)),0),""))</f>
        <v/>
      </c>
      <c r="R108" s="10"/>
      <c r="S108" s="88" t="n">
        <f aca="false">0</f>
        <v>0</v>
      </c>
      <c r="T108" s="39" t="str">
        <f aca="false">IF(SUM($R108)=0,"",ROUND($R108*(1+$S108),0))</f>
        <v/>
      </c>
      <c r="U108" s="88" t="n">
        <f aca="false">IF(LEFT($B108,4)="_Mil","",IF(SUM($K108)=0,IF(SUM($R108)=0,"",1),MIN($R108/$K108,1)))</f>
        <v>0</v>
      </c>
      <c r="V108" s="39" t="str">
        <f aca="false">IF(OR(SUM($T108)=0,LEFT($B108,4)="_Mil"),"",ROUND($T108/$U108,0))</f>
        <v/>
      </c>
      <c r="W108" s="88"/>
      <c r="X108" s="88" t="n">
        <f aca="false">IF(SUM($K108,$W108)=0,"",MAX(IFERROR(SUM($L108)/$K108,0),SUM($W108)))</f>
        <v>0</v>
      </c>
      <c r="Y108" s="88"/>
      <c r="Z108" s="88" t="n">
        <f aca="false">IF(SUM($K108,$Y108)=0,"",MIN(SUM($Y108),IFERROR(SUM($M108)/(SUM($K108)-SUM($L108)),1)))</f>
        <v>0</v>
      </c>
      <c r="AA108" s="10" t="str">
        <f aca="false">$T108</f>
        <v/>
      </c>
      <c r="AB108" s="39" t="str">
        <f aca="false">IF(SUM($AA108)=0,"",IF(AND(SUM($AA108)&gt;0,$X108=""),"ENTER KNOWN POSITIVITY RATE",ROUND($AA108*$X108,0)))</f>
        <v/>
      </c>
      <c r="AC108" s="39" t="str">
        <f aca="false">IF(SUM($AA108)=0,"",IF(AND((SUM($AA108)-SUM($AB108))&gt;0,$Z108=""),"ENTER YIELD RATE",ROUND(($AA108-SUM($AB108))*$Z108,0)))</f>
        <v/>
      </c>
      <c r="AD108" s="39" t="str">
        <f aca="false">IF(SUM($AA108)=0,"",$AA108-SUM($AB108)-SUM($AC108))</f>
        <v/>
      </c>
      <c r="AE108" s="10" t="str">
        <f aca="false">$V108</f>
        <v/>
      </c>
      <c r="AF108" s="39" t="str">
        <f aca="false">IF(SUM($AE108)=0,"",ROUND($AE108*SUM($X108),0))</f>
        <v/>
      </c>
      <c r="AG108" s="39" t="str">
        <f aca="false">IF(SUM($AE108)=0,"",ROUND(($AE108-SUM($AF108))*SUM($Z108),0))</f>
        <v/>
      </c>
      <c r="AH108" s="39" t="str">
        <f aca="false">IF(SUM($AE108)=0,"",$AE108-SUM($AF108)-SUM($AG108))</f>
        <v/>
      </c>
      <c r="AI108" s="88" t="str">
        <f aca="false">IF(SUM($AC108)=0,"",INDEX(Cascade!$BG:$BG,MATCH($E108,Cascade!$E:$E,0)))</f>
        <v/>
      </c>
      <c r="AJ108" s="39" t="str">
        <f aca="false">$AB108</f>
        <v/>
      </c>
      <c r="AK108" s="39" t="str">
        <f aca="false">IF(SUM($AC108)=0,"",IF(AND($AI108="",SUM($AC108)&gt;0),"&lt;- Enter Linkage Rate",ROUND($AC108*$AI108,0)))</f>
        <v/>
      </c>
      <c r="AL108" s="39" t="str">
        <f aca="false">IF(SUM($AF108,$AG108)=0,"",SUM($AF108,$AG108))</f>
        <v/>
      </c>
      <c r="AM108" s="39" t="str">
        <f aca="false">$AF108</f>
        <v/>
      </c>
      <c r="AN108" s="39" t="str">
        <f aca="false">IF(SUM($AG108)=0,"",ROUND($AG108*SUM($AI108),0))</f>
        <v/>
      </c>
      <c r="AO108" s="10" t="str">
        <f aca="false">IFERROR(1/(1/MAX(SUM($T108)-SUM($AB108,$AC108),$AD108)),"")</f>
        <v/>
      </c>
      <c r="AP108" s="88"/>
      <c r="AQ108" s="88" t="str">
        <f aca="false">IF($AP108="","",$AP108)</f>
        <v/>
      </c>
      <c r="AR108" s="88" t="str">
        <f aca="false">IF(SUM($AO108)=0,"",INDEX(Cascade!$BG:$BG,MATCH($E108,Cascade!$E:$E,0)))</f>
        <v/>
      </c>
      <c r="AS108" s="39" t="str">
        <f aca="false">IF(SUM($AO108)=0,"",IF(AND(SUM($AO108)&gt;0,$AQ108=""),"ENTER YIELD RATE",ROUND($AO108*$AQ108,0)))</f>
        <v/>
      </c>
      <c r="AT108" s="39" t="str">
        <f aca="false">IF(SUM($AO108)=0,"",$AO108-SUM($AS108))</f>
        <v/>
      </c>
      <c r="AU108" s="10" t="str">
        <f aca="false">IF(SUM($AS108)=0,"",ROUND($AS108*$AR108,0))</f>
        <v/>
      </c>
      <c r="AV108" s="10" t="str">
        <f aca="false">IFERROR(1/(1/SUM($AC108,$AB108,$AS108)),"")</f>
        <v/>
      </c>
      <c r="AW108" s="10" t="str">
        <f aca="false">IFERROR(1/(1/INDEX(Cascade!$BH:$BH,MATCH($E108,Cascade!$E:$E,0))),"")</f>
        <v/>
      </c>
      <c r="AX108" s="10" t="str">
        <f aca="false">IF(SUM($AC108)=0,"",$AC108)</f>
        <v/>
      </c>
      <c r="AY108" s="10" t="str">
        <f aca="false">IF(SUM($AS108)=0,"",$AS108)</f>
        <v/>
      </c>
      <c r="AZ108" s="10" t="str">
        <f aca="false">IFERROR(1/(1/INDEX(TB!$P:$P,MATCH($E108,TB!$E:$E,0))),"")</f>
        <v/>
      </c>
      <c r="BA108" s="10" t="str">
        <f aca="false">IFERROR(1/(1/(SUM($AW108)-SUM($AX108:$AZ108))),"")</f>
        <v/>
      </c>
    </row>
    <row r="109" customFormat="false" ht="15" hidden="false" customHeight="false" outlineLevel="0" collapsed="false">
      <c r="A109" s="0" t="str">
        <f aca="false">INDEX(Prioritization!$D:$D,MATCH($B109,Prioritization!$A:$A,0))</f>
        <v>1 - Scale-up: Saturation</v>
      </c>
      <c r="B109" s="0" t="s">
        <v>212</v>
      </c>
      <c r="C109" s="0" t="s">
        <v>368</v>
      </c>
      <c r="D109" s="0" t="s">
        <v>30</v>
      </c>
      <c r="E109" s="0" t="str">
        <f aca="false">B109&amp;"|"&amp;C109&amp;"|"&amp;D109</f>
        <v>Chikwawa District [U8c0so51kT6]|50+|Female</v>
      </c>
      <c r="F109" s="10" t="n">
        <f aca="false">IF(LEFT($B109,4)="_Mil","",INDEX(Cascade!$T:$T,MATCH($E109,Cascade!$E:$E,0)))</f>
        <v>1018</v>
      </c>
      <c r="G109" s="10" t="str">
        <f aca="false">IF(LEFT($B109,4)="_Mil","",INDEX(Cascade!$U:$U,MATCH($E109,Cascade!$E:$E,0)))</f>
        <v/>
      </c>
      <c r="H109" s="86" t="n">
        <f aca="false">IF(LEFT($B109,4)="_Mil","",INDEX(Cascade!$W:$W,MATCH($E109,Cascade!$E:$E,0)))</f>
        <v>1347</v>
      </c>
      <c r="I109" s="10" t="n">
        <f aca="false">IF(LEFT($B109,4)="_Mil","",INDEX(Cascade!$Z:$Z,MATCH($E109,Cascade!$E:$E,0)))</f>
        <v>1631</v>
      </c>
      <c r="J109" s="88" t="n">
        <f aca="false">IF(LEFT($B109,4)="_Mil","",INDEX(Cascade!$AA:$AA,MATCH($E109,Cascade!$E:$E,0)))</f>
        <v>1469</v>
      </c>
      <c r="K109" s="39" t="str">
        <f aca="false">IF(LEFT($B109,4)="_Mil","",_xlfn.IFNA(ROUND(INDEX(Spectrum!$N:$N,MATCH(RIGHT($B109,13)&amp;"|"&amp;$C109&amp;"|"&amp;$D109&amp;"|"&amp;K$14&amp;"|"&amp;"CY2023Q3",Spectrum!$R:$R,0)),0),""))</f>
        <v/>
      </c>
      <c r="L109" s="39" t="str">
        <f aca="false">IF(LEFT($B109,4)="_Mil","",_xlfn.IFNA(ROUND(INDEX(Spectrum!$N:$N,MATCH(RIGHT($B109,13)&amp;"|"&amp;$C109&amp;"|"&amp;$D109&amp;"|"&amp;L$14&amp;"|"&amp;"CY2023Q3",Spectrum!$R:$R,0)),0),""))</f>
        <v/>
      </c>
      <c r="M109" s="39" t="str">
        <f aca="false">IF(LEFT($B109,4)="_Mil","",_xlfn.IFNA(ROUND(INDEX(Spectrum!$N:$N,MATCH(RIGHT($B109,13)&amp;"|"&amp;$C109&amp;"|"&amp;$D109&amp;"|"&amp;M$14&amp;"|"&amp;"CY2023Q3",Spectrum!$R:$R,0)),0),""))</f>
        <v/>
      </c>
      <c r="N109" s="39" t="str">
        <f aca="false">IF(LEFT($B109,4)="_Mil","",_xlfn.IFNA(ROUND(INDEX(Spectrum!$N:$N,MATCH(RIGHT($B109,13)&amp;"|"&amp;$C109&amp;"|"&amp;$D109&amp;"|"&amp;N$14&amp;"|"&amp;"CY2023Q3",Spectrum!$R:$R,0)),0),""))</f>
        <v/>
      </c>
      <c r="O109" s="39" t="str">
        <f aca="false">IF(LEFT($B109,4)="_Mil","",_xlfn.IFNA(ROUND(INDEX(Spectrum!$N:$N,MATCH(RIGHT($B109,13)&amp;"|"&amp;$C109&amp;"|"&amp;$D109&amp;"|"&amp;O$14&amp;"|"&amp;"CY2023Q3",Spectrum!$R:$R,0)),0),""))</f>
        <v/>
      </c>
      <c r="P109" s="39" t="str">
        <f aca="false">IF(LEFT($B109,4)="_Mil","",_xlfn.IFNA(ROUND(INDEX(Spectrum!$N:$N,MATCH(RIGHT($B109,13)&amp;"|"&amp;$C109&amp;"|"&amp;$D109&amp;"|"&amp;P$14&amp;"|"&amp;"CY2023Q3",Spectrum!$R:$R,0)),0),""))</f>
        <v/>
      </c>
      <c r="Q109" s="39" t="str">
        <f aca="false">IF(LEFT($B109,4)="_Mil","",_xlfn.IFNA(ROUND(INDEX(Spectrum!$N:$N,MATCH(RIGHT($B109,13)&amp;"|"&amp;$C109&amp;"|"&amp;$D109&amp;"|"&amp;Q$14&amp;"|"&amp;"CY2022Q3",Spectrum!$R:$R,0)),0),""))</f>
        <v/>
      </c>
      <c r="R109" s="10"/>
      <c r="S109" s="88" t="n">
        <f aca="false">0</f>
        <v>0</v>
      </c>
      <c r="T109" s="39" t="str">
        <f aca="false">IF(SUM($R109)=0,"",ROUND($R109*(1+$S109),0))</f>
        <v/>
      </c>
      <c r="U109" s="88" t="str">
        <f aca="false">IF(LEFT($B109,4)="_Mil","",IF(SUM($K109)=0,IF(SUM($R109)=0,"",1),MIN($R109/$K109,1)))</f>
        <v/>
      </c>
      <c r="V109" s="39" t="str">
        <f aca="false">IF(OR(SUM($T109)=0,LEFT($B109,4)="_Mil"),"",ROUND($T109/$U109,0))</f>
        <v/>
      </c>
      <c r="W109" s="88"/>
      <c r="X109" s="88" t="str">
        <f aca="false">IF(SUM($K109,$W109)=0,"",MAX(IFERROR(SUM($L109)/$K109,0),SUM($W109)))</f>
        <v/>
      </c>
      <c r="Y109" s="88"/>
      <c r="Z109" s="88" t="str">
        <f aca="false">IF(SUM($K109,$Y109)=0,"",MIN(SUM($Y109),IFERROR(SUM($M109)/(SUM($K109)-SUM($L109)),1)))</f>
        <v/>
      </c>
      <c r="AA109" s="10" t="str">
        <f aca="false">$T109</f>
        <v/>
      </c>
      <c r="AB109" s="39" t="str">
        <f aca="false">IF(SUM($AA109)=0,"",IF(AND(SUM($AA109)&gt;0,$X109=""),"ENTER KNOWN POSITIVITY RATE",ROUND($AA109*$X109,0)))</f>
        <v/>
      </c>
      <c r="AC109" s="39" t="str">
        <f aca="false">IF(SUM($AA109)=0,"",IF(AND((SUM($AA109)-SUM($AB109))&gt;0,$Z109=""),"ENTER YIELD RATE",ROUND(($AA109-SUM($AB109))*$Z109,0)))</f>
        <v/>
      </c>
      <c r="AD109" s="39" t="str">
        <f aca="false">IF(SUM($AA109)=0,"",$AA109-SUM($AB109)-SUM($AC109))</f>
        <v/>
      </c>
      <c r="AE109" s="10" t="str">
        <f aca="false">$V109</f>
        <v/>
      </c>
      <c r="AF109" s="39" t="str">
        <f aca="false">IF(SUM($AE109)=0,"",ROUND($AE109*SUM($X109),0))</f>
        <v/>
      </c>
      <c r="AG109" s="39" t="str">
        <f aca="false">IF(SUM($AE109)=0,"",ROUND(($AE109-SUM($AF109))*SUM($Z109),0))</f>
        <v/>
      </c>
      <c r="AH109" s="39" t="str">
        <f aca="false">IF(SUM($AE109)=0,"",$AE109-SUM($AF109)-SUM($AG109))</f>
        <v/>
      </c>
      <c r="AI109" s="88" t="str">
        <f aca="false">IF(SUM($AC109)=0,"",INDEX(Cascade!$BG:$BG,MATCH($E109,Cascade!$E:$E,0)))</f>
        <v/>
      </c>
      <c r="AJ109" s="39" t="str">
        <f aca="false">$AB109</f>
        <v/>
      </c>
      <c r="AK109" s="39" t="str">
        <f aca="false">IF(SUM($AC109)=0,"",IF(AND($AI109="",SUM($AC109)&gt;0),"&lt;- Enter Linkage Rate",ROUND($AC109*$AI109,0)))</f>
        <v/>
      </c>
      <c r="AL109" s="39" t="str">
        <f aca="false">IF(SUM($AF109,$AG109)=0,"",SUM($AF109,$AG109))</f>
        <v/>
      </c>
      <c r="AM109" s="39" t="str">
        <f aca="false">$AF109</f>
        <v/>
      </c>
      <c r="AN109" s="39" t="str">
        <f aca="false">IF(SUM($AG109)=0,"",ROUND($AG109*SUM($AI109),0))</f>
        <v/>
      </c>
      <c r="AO109" s="10" t="str">
        <f aca="false">IFERROR(1/(1/MAX(SUM($T109)-SUM($AB109,$AC109),$AD109)),"")</f>
        <v/>
      </c>
      <c r="AP109" s="88"/>
      <c r="AQ109" s="88" t="str">
        <f aca="false">IF($AP109="","",$AP109)</f>
        <v/>
      </c>
      <c r="AR109" s="88" t="str">
        <f aca="false">IF(SUM($AO109)=0,"",INDEX(Cascade!$BG:$BG,MATCH($E109,Cascade!$E:$E,0)))</f>
        <v/>
      </c>
      <c r="AS109" s="39" t="str">
        <f aca="false">IF(SUM($AO109)=0,"",IF(AND(SUM($AO109)&gt;0,$AQ109=""),"ENTER YIELD RATE",ROUND($AO109*$AQ109,0)))</f>
        <v/>
      </c>
      <c r="AT109" s="39" t="str">
        <f aca="false">IF(SUM($AO109)=0,"",$AO109-SUM($AS109))</f>
        <v/>
      </c>
      <c r="AU109" s="10" t="str">
        <f aca="false">IF(SUM($AS109)=0,"",ROUND($AS109*$AR109,0))</f>
        <v/>
      </c>
      <c r="AV109" s="10" t="str">
        <f aca="false">IFERROR(1/(1/SUM($AC109,$AB109,$AS109)),"")</f>
        <v/>
      </c>
      <c r="AW109" s="10" t="str">
        <f aca="false">IFERROR(1/(1/INDEX(Cascade!$BH:$BH,MATCH($E109,Cascade!$E:$E,0))),"")</f>
        <v/>
      </c>
      <c r="AX109" s="10" t="str">
        <f aca="false">IF(SUM($AC109)=0,"",$AC109)</f>
        <v/>
      </c>
      <c r="AY109" s="10" t="str">
        <f aca="false">IF(SUM($AS109)=0,"",$AS109)</f>
        <v/>
      </c>
      <c r="AZ109" s="10" t="str">
        <f aca="false">IFERROR(1/(1/INDEX(TB!$P:$P,MATCH($E109,TB!$E:$E,0))),"")</f>
        <v/>
      </c>
      <c r="BA109" s="10" t="str">
        <f aca="false">IFERROR(1/(1/(SUM($AW109)-SUM($AX109:$AZ109))),"")</f>
        <v/>
      </c>
    </row>
    <row r="110" customFormat="false" ht="15" hidden="false" customHeight="false" outlineLevel="0" collapsed="false">
      <c r="A110" s="0" t="str">
        <f aca="false">INDEX(Prioritization!$D:$D,MATCH($B110,Prioritization!$A:$A,0))</f>
        <v>1 - Scale-up: Saturation</v>
      </c>
      <c r="B110" s="0" t="s">
        <v>213</v>
      </c>
      <c r="C110" s="0" t="s">
        <v>364</v>
      </c>
      <c r="D110" s="0" t="s">
        <v>30</v>
      </c>
      <c r="E110" s="0" t="str">
        <f aca="false">B110&amp;"|"&amp;C110&amp;"|"&amp;D110</f>
        <v>Chiradzulu District [oiPR2CiVJbf]|10-14|Female</v>
      </c>
      <c r="F110" s="10" t="n">
        <f aca="false">IF(LEFT($B110,4)="_Mil","",INDEX(Cascade!$T:$T,MATCH($E110,Cascade!$E:$E,0)))</f>
        <v>1439</v>
      </c>
      <c r="G110" s="10" t="str">
        <f aca="false">IF(LEFT($B110,4)="_Mil","",INDEX(Cascade!$U:$U,MATCH($E110,Cascade!$E:$E,0)))</f>
        <v/>
      </c>
      <c r="H110" s="86" t="n">
        <f aca="false">IF(LEFT($B110,4)="_Mil","",INDEX(Cascade!$W:$W,MATCH($E110,Cascade!$E:$E,0)))</f>
        <v>1248</v>
      </c>
      <c r="I110" s="10" t="n">
        <f aca="false">IF(LEFT($B110,4)="_Mil","",INDEX(Cascade!$Z:$Z,MATCH($E110,Cascade!$E:$E,0)))</f>
        <v>978</v>
      </c>
      <c r="J110" s="88" t="n">
        <f aca="false">IF(LEFT($B110,4)="_Mil","",INDEX(Cascade!$AA:$AA,MATCH($E110,Cascade!$E:$E,0)))</f>
        <v>1675</v>
      </c>
      <c r="K110" s="39" t="str">
        <f aca="false">IF(LEFT($B110,4)="_Mil","",_xlfn.IFNA(ROUND(INDEX(Spectrum!$N:$N,MATCH(RIGHT($B110,13)&amp;"|"&amp;$C110&amp;"|"&amp;$D110&amp;"|"&amp;K$14&amp;"|"&amp;"CY2023Q3",Spectrum!$R:$R,0)),0),""))</f>
        <v/>
      </c>
      <c r="L110" s="39" t="str">
        <f aca="false">IF(LEFT($B110,4)="_Mil","",_xlfn.IFNA(ROUND(INDEX(Spectrum!$N:$N,MATCH(RIGHT($B110,13)&amp;"|"&amp;$C110&amp;"|"&amp;$D110&amp;"|"&amp;L$14&amp;"|"&amp;"CY2023Q3",Spectrum!$R:$R,0)),0),""))</f>
        <v/>
      </c>
      <c r="M110" s="39" t="str">
        <f aca="false">IF(LEFT($B110,4)="_Mil","",_xlfn.IFNA(ROUND(INDEX(Spectrum!$N:$N,MATCH(RIGHT($B110,13)&amp;"|"&amp;$C110&amp;"|"&amp;$D110&amp;"|"&amp;M$14&amp;"|"&amp;"CY2023Q3",Spectrum!$R:$R,0)),0),""))</f>
        <v/>
      </c>
      <c r="N110" s="39" t="str">
        <f aca="false">IF(LEFT($B110,4)="_Mil","",_xlfn.IFNA(ROUND(INDEX(Spectrum!$N:$N,MATCH(RIGHT($B110,13)&amp;"|"&amp;$C110&amp;"|"&amp;$D110&amp;"|"&amp;N$14&amp;"|"&amp;"CY2023Q3",Spectrum!$R:$R,0)),0),""))</f>
        <v/>
      </c>
      <c r="O110" s="39" t="str">
        <f aca="false">IF(LEFT($B110,4)="_Mil","",_xlfn.IFNA(ROUND(INDEX(Spectrum!$N:$N,MATCH(RIGHT($B110,13)&amp;"|"&amp;$C110&amp;"|"&amp;$D110&amp;"|"&amp;O$14&amp;"|"&amp;"CY2023Q3",Spectrum!$R:$R,0)),0),""))</f>
        <v/>
      </c>
      <c r="P110" s="39" t="str">
        <f aca="false">IF(LEFT($B110,4)="_Mil","",_xlfn.IFNA(ROUND(INDEX(Spectrum!$N:$N,MATCH(RIGHT($B110,13)&amp;"|"&amp;$C110&amp;"|"&amp;$D110&amp;"|"&amp;P$14&amp;"|"&amp;"CY2023Q3",Spectrum!$R:$R,0)),0),""))</f>
        <v/>
      </c>
      <c r="Q110" s="39" t="str">
        <f aca="false">IF(LEFT($B110,4)="_Mil","",_xlfn.IFNA(ROUND(INDEX(Spectrum!$N:$N,MATCH(RIGHT($B110,13)&amp;"|"&amp;$C110&amp;"|"&amp;$D110&amp;"|"&amp;Q$14&amp;"|"&amp;"CY2022Q3",Spectrum!$R:$R,0)),0),""))</f>
        <v/>
      </c>
      <c r="R110" s="10" t="n">
        <v>6</v>
      </c>
      <c r="S110" s="88" t="n">
        <f aca="false">0</f>
        <v>0</v>
      </c>
      <c r="T110" s="39" t="n">
        <f aca="false">IF(SUM($R110)=0,"",ROUND($R110*(1+$S110),0))</f>
        <v>6</v>
      </c>
      <c r="U110" s="88" t="n">
        <f aca="false">IF(LEFT($B110,4)="_Mil","",IF(SUM($K110)=0,IF(SUM($R110)=0,"",1),MIN($R110/$K110,1)))</f>
        <v>1</v>
      </c>
      <c r="V110" s="39" t="n">
        <f aca="false">IF(OR(SUM($T110)=0,LEFT($B110,4)="_Mil"),"",ROUND($T110/$U110,0))</f>
        <v>6</v>
      </c>
      <c r="W110" s="88"/>
      <c r="X110" s="88" t="str">
        <f aca="false">IF(SUM($K110,$W110)=0,"",MAX(IFERROR(SUM($L110)/$K110,0),SUM($W110)))</f>
        <v/>
      </c>
      <c r="Y110" s="88" t="n">
        <v>0.000110351014882326</v>
      </c>
      <c r="Z110" s="88" t="n">
        <f aca="false">IF(SUM($K110,$Y110)=0,"",MIN(SUM($Y110),IFERROR(SUM($M110)/(SUM($K110)-SUM($L110)),1)))</f>
        <v>0.000110351014882326</v>
      </c>
      <c r="AA110" s="10" t="n">
        <f aca="false">$T110</f>
        <v>6</v>
      </c>
      <c r="AB110" s="39" t="str">
        <f aca="false">IF(SUM($AA110)=0,"",IF(AND(SUM($AA110)&gt;0,$X110=""),"ENTER KNOWN POSITIVITY RATE",ROUND($AA110*$X110,0)))</f>
        <v>ENTER KNOWN POSITIVITY RATE</v>
      </c>
      <c r="AC110" s="39" t="n">
        <f aca="false">IF(SUM($AA110)=0,"",IF(AND((SUM($AA110)-SUM($AB110))&gt;0,$Z110=""),"ENTER YIELD RATE",ROUND(($AA110-SUM($AB110))*$Z110,0)))</f>
        <v>0</v>
      </c>
      <c r="AD110" s="39" t="n">
        <f aca="false">IF(SUM($AA110)=0,"",$AA110-SUM($AB110)-SUM($AC110))</f>
        <v>6</v>
      </c>
      <c r="AE110" s="10" t="n">
        <f aca="false">$V110</f>
        <v>6</v>
      </c>
      <c r="AF110" s="39" t="n">
        <f aca="false">IF(SUM($AE110)=0,"",ROUND($AE110*SUM($X110),0))</f>
        <v>0</v>
      </c>
      <c r="AG110" s="39" t="n">
        <f aca="false">IF(SUM($AE110)=0,"",ROUND(($AE110-SUM($AF110))*SUM($Z110),0))</f>
        <v>0</v>
      </c>
      <c r="AH110" s="39" t="n">
        <f aca="false">IF(SUM($AE110)=0,"",$AE110-SUM($AF110)-SUM($AG110))</f>
        <v>6</v>
      </c>
      <c r="AI110" s="88" t="str">
        <f aca="false">IF(SUM($AC110)=0,"",INDEX(Cascade!$BG:$BG,MATCH($E110,Cascade!$E:$E,0)))</f>
        <v/>
      </c>
      <c r="AJ110" s="39" t="str">
        <f aca="false">$AB110</f>
        <v>ENTER KNOWN POSITIVITY RATE</v>
      </c>
      <c r="AK110" s="39" t="str">
        <f aca="false">IF(SUM($AC110)=0,"",IF(AND($AI110="",SUM($AC110)&gt;0),"&lt;- Enter Linkage Rate",ROUND($AC110*$AI110,0)))</f>
        <v/>
      </c>
      <c r="AL110" s="39" t="str">
        <f aca="false">IF(SUM($AF110,$AG110)=0,"",SUM($AF110,$AG110))</f>
        <v/>
      </c>
      <c r="AM110" s="39" t="n">
        <f aca="false">$AF110</f>
        <v>0</v>
      </c>
      <c r="AN110" s="39" t="str">
        <f aca="false">IF(SUM($AG110)=0,"",ROUND($AG110*SUM($AI110),0))</f>
        <v/>
      </c>
      <c r="AO110" s="10" t="n">
        <f aca="false">IFERROR(1/(1/MAX(SUM($T110)-SUM($AB110,$AC110),$AD110)),"")</f>
        <v>6</v>
      </c>
      <c r="AP110" s="88"/>
      <c r="AQ110" s="88" t="str">
        <f aca="false">IF($AP110="","",$AP110)</f>
        <v/>
      </c>
      <c r="AR110" s="88" t="n">
        <f aca="false">IF(SUM($AO110)=0,"",INDEX(Cascade!$BG:$BG,MATCH($E110,Cascade!$E:$E,0)))</f>
        <v>0.95</v>
      </c>
      <c r="AS110" s="39" t="str">
        <f aca="false">IF(SUM($AO110)=0,"",IF(AND(SUM($AO110)&gt;0,$AQ110=""),"ENTER YIELD RATE",ROUND($AO110*$AQ110,0)))</f>
        <v>ENTER YIELD RATE</v>
      </c>
      <c r="AT110" s="39" t="n">
        <f aca="false">IF(SUM($AO110)=0,"",$AO110-SUM($AS110))</f>
        <v>6</v>
      </c>
      <c r="AU110" s="10" t="str">
        <f aca="false">IF(SUM($AS110)=0,"",ROUND($AS110*$AR110,0))</f>
        <v/>
      </c>
      <c r="AV110" s="10" t="str">
        <f aca="false">IFERROR(1/(1/SUM($AC110,$AB110,$AS110)),"")</f>
        <v/>
      </c>
      <c r="AW110" s="10" t="n">
        <f aca="false">IFERROR(1/(1/INDEX(Cascade!$BH:$BH,MATCH($E110,Cascade!$E:$E,0))),"")</f>
        <v>-26</v>
      </c>
      <c r="AX110" s="10" t="str">
        <f aca="false">IF(SUM($AC110)=0,"",$AC110)</f>
        <v/>
      </c>
      <c r="AY110" s="10" t="str">
        <f aca="false">IF(SUM($AS110)=0,"",$AS110)</f>
        <v/>
      </c>
      <c r="AZ110" s="10" t="str">
        <f aca="false">IFERROR(1/(1/INDEX(TB!$P:$P,MATCH($E110,TB!$E:$E,0))),"")</f>
        <v/>
      </c>
      <c r="BA110" s="10" t="n">
        <f aca="false">IFERROR(1/(1/(SUM($AW110)-SUM($AX110:$AZ110))),"")</f>
        <v>-26</v>
      </c>
    </row>
    <row r="111" customFormat="false" ht="15" hidden="false" customHeight="false" outlineLevel="0" collapsed="false">
      <c r="A111" s="0" t="str">
        <f aca="false">INDEX(Prioritization!$D:$D,MATCH($B111,Prioritization!$A:$A,0))</f>
        <v>1 - Scale-up: Saturation</v>
      </c>
      <c r="B111" s="0" t="s">
        <v>213</v>
      </c>
      <c r="C111" s="0" t="s">
        <v>365</v>
      </c>
      <c r="D111" s="0" t="s">
        <v>30</v>
      </c>
      <c r="E111" s="0" t="str">
        <f aca="false">B111&amp;"|"&amp;C111&amp;"|"&amp;D111</f>
        <v>Chiradzulu District [oiPR2CiVJbf]|15-24|Female</v>
      </c>
      <c r="F111" s="10" t="n">
        <f aca="false">IF(LEFT($B111,4)="_Mil","",INDEX(Cascade!$T:$T,MATCH($E111,Cascade!$E:$E,0)))</f>
        <v>873</v>
      </c>
      <c r="G111" s="10" t="str">
        <f aca="false">IF(LEFT($B111,4)="_Mil","",INDEX(Cascade!$U:$U,MATCH($E111,Cascade!$E:$E,0)))</f>
        <v/>
      </c>
      <c r="H111" s="86" t="n">
        <f aca="false">IF(LEFT($B111,4)="_Mil","",INDEX(Cascade!$W:$W,MATCH($E111,Cascade!$E:$E,0)))</f>
        <v>1019</v>
      </c>
      <c r="I111" s="10" t="n">
        <f aca="false">IF(LEFT($B111,4)="_Mil","",INDEX(Cascade!$Z:$Z,MATCH($E111,Cascade!$E:$E,0)))</f>
        <v>842</v>
      </c>
      <c r="J111" s="88" t="n">
        <f aca="false">IF(LEFT($B111,4)="_Mil","",INDEX(Cascade!$AA:$AA,MATCH($E111,Cascade!$E:$E,0)))</f>
        <v>1181</v>
      </c>
      <c r="K111" s="39" t="n">
        <f aca="false">IF(LEFT($B111,4)="_Mil","",_xlfn.IFNA(ROUND(INDEX(Spectrum!$N:$N,MATCH(RIGHT($B111,13)&amp;"|"&amp;$C111&amp;"|"&amp;$D111&amp;"|"&amp;K$14&amp;"|"&amp;"CY2023Q3",Spectrum!$R:$R,0)),0),""))</f>
        <v>1333</v>
      </c>
      <c r="L111" s="39" t="str">
        <f aca="false">IF(LEFT($B111,4)="_Mil","",_xlfn.IFNA(ROUND(INDEX(Spectrum!$N:$N,MATCH(RIGHT($B111,13)&amp;"|"&amp;$C111&amp;"|"&amp;$D111&amp;"|"&amp;L$14&amp;"|"&amp;"CY2023Q3",Spectrum!$R:$R,0)),0),""))</f>
        <v/>
      </c>
      <c r="M111" s="39" t="n">
        <f aca="false">IF(LEFT($B111,4)="_Mil","",_xlfn.IFNA(ROUND(INDEX(Spectrum!$N:$N,MATCH(RIGHT($B111,13)&amp;"|"&amp;$C111&amp;"|"&amp;$D111&amp;"|"&amp;M$14&amp;"|"&amp;"CY2023Q3",Spectrum!$R:$R,0)),0),""))</f>
        <v>1149</v>
      </c>
      <c r="N111" s="39" t="n">
        <f aca="false">IF(LEFT($B111,4)="_Mil","",_xlfn.IFNA(ROUND(INDEX(Spectrum!$N:$N,MATCH(RIGHT($B111,13)&amp;"|"&amp;$C111&amp;"|"&amp;$D111&amp;"|"&amp;N$14&amp;"|"&amp;"CY2023Q3",Spectrum!$R:$R,0)),0),""))</f>
        <v>1786</v>
      </c>
      <c r="O111" s="39" t="n">
        <f aca="false">IF(LEFT($B111,4)="_Mil","",_xlfn.IFNA(ROUND(INDEX(Spectrum!$N:$N,MATCH(RIGHT($B111,13)&amp;"|"&amp;$C111&amp;"|"&amp;$D111&amp;"|"&amp;O$14&amp;"|"&amp;"CY2023Q3",Spectrum!$R:$R,0)),0),""))</f>
        <v>1582</v>
      </c>
      <c r="P111" s="39" t="n">
        <f aca="false">IF(LEFT($B111,4)="_Mil","",_xlfn.IFNA(ROUND(INDEX(Spectrum!$N:$N,MATCH(RIGHT($B111,13)&amp;"|"&amp;$C111&amp;"|"&amp;$D111&amp;"|"&amp;P$14&amp;"|"&amp;"CY2023Q3",Spectrum!$R:$R,0)),0),""))</f>
        <v>1531</v>
      </c>
      <c r="Q111" s="39" t="str">
        <f aca="false">IF(LEFT($B111,4)="_Mil","",_xlfn.IFNA(ROUND(INDEX(Spectrum!$N:$N,MATCH(RIGHT($B111,13)&amp;"|"&amp;$C111&amp;"|"&amp;$D111&amp;"|"&amp;Q$14&amp;"|"&amp;"CY2022Q3",Spectrum!$R:$R,0)),0),""))</f>
        <v/>
      </c>
      <c r="R111" s="10"/>
      <c r="S111" s="88" t="n">
        <f aca="false">0</f>
        <v>0</v>
      </c>
      <c r="T111" s="39" t="str">
        <f aca="false">IF(SUM($R111)=0,"",ROUND($R111*(1+$S111),0))</f>
        <v/>
      </c>
      <c r="U111" s="88" t="n">
        <f aca="false">IF(LEFT($B111,4)="_Mil","",IF(SUM($K111)=0,IF(SUM($R111)=0,"",1),MIN($R111/$K111,1)))</f>
        <v>0</v>
      </c>
      <c r="V111" s="39" t="str">
        <f aca="false">IF(OR(SUM($T111)=0,LEFT($B111,4)="_Mil"),"",ROUND($T111/$U111,0))</f>
        <v/>
      </c>
      <c r="W111" s="88"/>
      <c r="X111" s="88" t="n">
        <f aca="false">IF(SUM($K111,$W111)=0,"",MAX(IFERROR(SUM($L111)/$K111,0),SUM($W111)))</f>
        <v>0</v>
      </c>
      <c r="Y111" s="88"/>
      <c r="Z111" s="88" t="n">
        <f aca="false">IF(SUM($K111,$Y111)=0,"",MIN(SUM($Y111),IFERROR(SUM($M111)/(SUM($K111)-SUM($L111)),1)))</f>
        <v>0</v>
      </c>
      <c r="AA111" s="10" t="str">
        <f aca="false">$T111</f>
        <v/>
      </c>
      <c r="AB111" s="39" t="str">
        <f aca="false">IF(SUM($AA111)=0,"",IF(AND(SUM($AA111)&gt;0,$X111=""),"ENTER KNOWN POSITIVITY RATE",ROUND($AA111*$X111,0)))</f>
        <v/>
      </c>
      <c r="AC111" s="39" t="str">
        <f aca="false">IF(SUM($AA111)=0,"",IF(AND((SUM($AA111)-SUM($AB111))&gt;0,$Z111=""),"ENTER YIELD RATE",ROUND(($AA111-SUM($AB111))*$Z111,0)))</f>
        <v/>
      </c>
      <c r="AD111" s="39" t="str">
        <f aca="false">IF(SUM($AA111)=0,"",$AA111-SUM($AB111)-SUM($AC111))</f>
        <v/>
      </c>
      <c r="AE111" s="10" t="str">
        <f aca="false">$V111</f>
        <v/>
      </c>
      <c r="AF111" s="39" t="str">
        <f aca="false">IF(SUM($AE111)=0,"",ROUND($AE111*SUM($X111),0))</f>
        <v/>
      </c>
      <c r="AG111" s="39" t="str">
        <f aca="false">IF(SUM($AE111)=0,"",ROUND(($AE111-SUM($AF111))*SUM($Z111),0))</f>
        <v/>
      </c>
      <c r="AH111" s="39" t="str">
        <f aca="false">IF(SUM($AE111)=0,"",$AE111-SUM($AF111)-SUM($AG111))</f>
        <v/>
      </c>
      <c r="AI111" s="88" t="str">
        <f aca="false">IF(SUM($AC111)=0,"",INDEX(Cascade!$BG:$BG,MATCH($E111,Cascade!$E:$E,0)))</f>
        <v/>
      </c>
      <c r="AJ111" s="39" t="str">
        <f aca="false">$AB111</f>
        <v/>
      </c>
      <c r="AK111" s="39" t="str">
        <f aca="false">IF(SUM($AC111)=0,"",IF(AND($AI111="",SUM($AC111)&gt;0),"&lt;- Enter Linkage Rate",ROUND($AC111*$AI111,0)))</f>
        <v/>
      </c>
      <c r="AL111" s="39" t="str">
        <f aca="false">IF(SUM($AF111,$AG111)=0,"",SUM($AF111,$AG111))</f>
        <v/>
      </c>
      <c r="AM111" s="39" t="str">
        <f aca="false">$AF111</f>
        <v/>
      </c>
      <c r="AN111" s="39" t="str">
        <f aca="false">IF(SUM($AG111)=0,"",ROUND($AG111*SUM($AI111),0))</f>
        <v/>
      </c>
      <c r="AO111" s="10" t="str">
        <f aca="false">IFERROR(1/(1/MAX(SUM($T111)-SUM($AB111,$AC111),$AD111)),"")</f>
        <v/>
      </c>
      <c r="AP111" s="88"/>
      <c r="AQ111" s="88" t="str">
        <f aca="false">IF($AP111="","",$AP111)</f>
        <v/>
      </c>
      <c r="AR111" s="88" t="str">
        <f aca="false">IF(SUM($AO111)=0,"",INDEX(Cascade!$BG:$BG,MATCH($E111,Cascade!$E:$E,0)))</f>
        <v/>
      </c>
      <c r="AS111" s="39" t="str">
        <f aca="false">IF(SUM($AO111)=0,"",IF(AND(SUM($AO111)&gt;0,$AQ111=""),"ENTER YIELD RATE",ROUND($AO111*$AQ111,0)))</f>
        <v/>
      </c>
      <c r="AT111" s="39" t="str">
        <f aca="false">IF(SUM($AO111)=0,"",$AO111-SUM($AS111))</f>
        <v/>
      </c>
      <c r="AU111" s="10" t="str">
        <f aca="false">IF(SUM($AS111)=0,"",ROUND($AS111*$AR111,0))</f>
        <v/>
      </c>
      <c r="AV111" s="10" t="str">
        <f aca="false">IFERROR(1/(1/SUM($AC111,$AB111,$AS111)),"")</f>
        <v/>
      </c>
      <c r="AW111" s="10" t="str">
        <f aca="false">IFERROR(1/(1/INDEX(Cascade!$BH:$BH,MATCH($E111,Cascade!$E:$E,0))),"")</f>
        <v/>
      </c>
      <c r="AX111" s="10" t="str">
        <f aca="false">IF(SUM($AC111)=0,"",$AC111)</f>
        <v/>
      </c>
      <c r="AY111" s="10" t="str">
        <f aca="false">IF(SUM($AS111)=0,"",$AS111)</f>
        <v/>
      </c>
      <c r="AZ111" s="10" t="str">
        <f aca="false">IFERROR(1/(1/INDEX(TB!$P:$P,MATCH($E111,TB!$E:$E,0))),"")</f>
        <v/>
      </c>
      <c r="BA111" s="10" t="str">
        <f aca="false">IFERROR(1/(1/(SUM($AW111)-SUM($AX111:$AZ111))),"")</f>
        <v/>
      </c>
    </row>
    <row r="112" customFormat="false" ht="15" hidden="false" customHeight="false" outlineLevel="0" collapsed="false">
      <c r="A112" s="0" t="str">
        <f aca="false">INDEX(Prioritization!$D:$D,MATCH($B112,Prioritization!$A:$A,0))</f>
        <v>1 - Scale-up: Saturation</v>
      </c>
      <c r="B112" s="0" t="s">
        <v>213</v>
      </c>
      <c r="C112" s="0" t="s">
        <v>366</v>
      </c>
      <c r="D112" s="0" t="s">
        <v>30</v>
      </c>
      <c r="E112" s="0" t="str">
        <f aca="false">B112&amp;"|"&amp;C112&amp;"|"&amp;D112</f>
        <v>Chiradzulu District [oiPR2CiVJbf]|25-34|Female</v>
      </c>
      <c r="F112" s="10" t="n">
        <f aca="false">IF(LEFT($B112,4)="_Mil","",INDEX(Cascade!$T:$T,MATCH($E112,Cascade!$E:$E,0)))</f>
        <v>1090</v>
      </c>
      <c r="G112" s="10" t="str">
        <f aca="false">IF(LEFT($B112,4)="_Mil","",INDEX(Cascade!$U:$U,MATCH($E112,Cascade!$E:$E,0)))</f>
        <v/>
      </c>
      <c r="H112" s="86" t="n">
        <f aca="false">IF(LEFT($B112,4)="_Mil","",INDEX(Cascade!$W:$W,MATCH($E112,Cascade!$E:$E,0)))</f>
        <v>702</v>
      </c>
      <c r="I112" s="10" t="n">
        <f aca="false">IF(LEFT($B112,4)="_Mil","",INDEX(Cascade!$Z:$Z,MATCH($E112,Cascade!$E:$E,0)))</f>
        <v>1376</v>
      </c>
      <c r="J112" s="88" t="n">
        <f aca="false">IF(LEFT($B112,4)="_Mil","",INDEX(Cascade!$AA:$AA,MATCH($E112,Cascade!$E:$E,0)))</f>
        <v>873</v>
      </c>
      <c r="K112" s="39" t="n">
        <f aca="false">IF(LEFT($B112,4)="_Mil","",_xlfn.IFNA(ROUND(INDEX(Spectrum!$N:$N,MATCH(RIGHT($B112,13)&amp;"|"&amp;$C112&amp;"|"&amp;$D112&amp;"|"&amp;K$14&amp;"|"&amp;"CY2023Q3",Spectrum!$R:$R,0)),0),""))</f>
        <v>1617</v>
      </c>
      <c r="L112" s="39" t="str">
        <f aca="false">IF(LEFT($B112,4)="_Mil","",_xlfn.IFNA(ROUND(INDEX(Spectrum!$N:$N,MATCH(RIGHT($B112,13)&amp;"|"&amp;$C112&amp;"|"&amp;$D112&amp;"|"&amp;L$14&amp;"|"&amp;"CY2023Q3",Spectrum!$R:$R,0)),0),""))</f>
        <v/>
      </c>
      <c r="M112" s="39" t="n">
        <f aca="false">IF(LEFT($B112,4)="_Mil","",_xlfn.IFNA(ROUND(INDEX(Spectrum!$N:$N,MATCH(RIGHT($B112,13)&amp;"|"&amp;$C112&amp;"|"&amp;$D112&amp;"|"&amp;M$14&amp;"|"&amp;"CY2023Q3",Spectrum!$R:$R,0)),0),""))</f>
        <v>1519</v>
      </c>
      <c r="N112" s="39" t="n">
        <f aca="false">IF(LEFT($B112,4)="_Mil","",_xlfn.IFNA(ROUND(INDEX(Spectrum!$N:$N,MATCH(RIGHT($B112,13)&amp;"|"&amp;$C112&amp;"|"&amp;$D112&amp;"|"&amp;N$14&amp;"|"&amp;"CY2023Q3",Spectrum!$R:$R,0)),0),""))</f>
        <v>1312</v>
      </c>
      <c r="O112" s="39" t="n">
        <f aca="false">IF(LEFT($B112,4)="_Mil","",_xlfn.IFNA(ROUND(INDEX(Spectrum!$N:$N,MATCH(RIGHT($B112,13)&amp;"|"&amp;$C112&amp;"|"&amp;$D112&amp;"|"&amp;O$14&amp;"|"&amp;"CY2023Q3",Spectrum!$R:$R,0)),0),""))</f>
        <v>748</v>
      </c>
      <c r="P112" s="39" t="n">
        <f aca="false">IF(LEFT($B112,4)="_Mil","",_xlfn.IFNA(ROUND(INDEX(Spectrum!$N:$N,MATCH(RIGHT($B112,13)&amp;"|"&amp;$C112&amp;"|"&amp;$D112&amp;"|"&amp;P$14&amp;"|"&amp;"CY2023Q3",Spectrum!$R:$R,0)),0),""))</f>
        <v>1487</v>
      </c>
      <c r="Q112" s="39" t="str">
        <f aca="false">IF(LEFT($B112,4)="_Mil","",_xlfn.IFNA(ROUND(INDEX(Spectrum!$N:$N,MATCH(RIGHT($B112,13)&amp;"|"&amp;$C112&amp;"|"&amp;$D112&amp;"|"&amp;Q$14&amp;"|"&amp;"CY2022Q3",Spectrum!$R:$R,0)),0),""))</f>
        <v/>
      </c>
      <c r="R112" s="10"/>
      <c r="S112" s="88" t="n">
        <f aca="false">0</f>
        <v>0</v>
      </c>
      <c r="T112" s="39" t="str">
        <f aca="false">IF(SUM($R112)=0,"",ROUND($R112*(1+$S112),0))</f>
        <v/>
      </c>
      <c r="U112" s="88" t="n">
        <f aca="false">IF(LEFT($B112,4)="_Mil","",IF(SUM($K112)=0,IF(SUM($R112)=0,"",1),MIN($R112/$K112,1)))</f>
        <v>0</v>
      </c>
      <c r="V112" s="39" t="str">
        <f aca="false">IF(OR(SUM($T112)=0,LEFT($B112,4)="_Mil"),"",ROUND($T112/$U112,0))</f>
        <v/>
      </c>
      <c r="W112" s="88"/>
      <c r="X112" s="88" t="n">
        <f aca="false">IF(SUM($K112,$W112)=0,"",MAX(IFERROR(SUM($L112)/$K112,0),SUM($W112)))</f>
        <v>0</v>
      </c>
      <c r="Y112" s="88"/>
      <c r="Z112" s="88" t="n">
        <f aca="false">IF(SUM($K112,$Y112)=0,"",MIN(SUM($Y112),IFERROR(SUM($M112)/(SUM($K112)-SUM($L112)),1)))</f>
        <v>0</v>
      </c>
      <c r="AA112" s="10" t="str">
        <f aca="false">$T112</f>
        <v/>
      </c>
      <c r="AB112" s="39" t="str">
        <f aca="false">IF(SUM($AA112)=0,"",IF(AND(SUM($AA112)&gt;0,$X112=""),"ENTER KNOWN POSITIVITY RATE",ROUND($AA112*$X112,0)))</f>
        <v/>
      </c>
      <c r="AC112" s="39" t="str">
        <f aca="false">IF(SUM($AA112)=0,"",IF(AND((SUM($AA112)-SUM($AB112))&gt;0,$Z112=""),"ENTER YIELD RATE",ROUND(($AA112-SUM($AB112))*$Z112,0)))</f>
        <v/>
      </c>
      <c r="AD112" s="39" t="str">
        <f aca="false">IF(SUM($AA112)=0,"",$AA112-SUM($AB112)-SUM($AC112))</f>
        <v/>
      </c>
      <c r="AE112" s="10" t="str">
        <f aca="false">$V112</f>
        <v/>
      </c>
      <c r="AF112" s="39" t="str">
        <f aca="false">IF(SUM($AE112)=0,"",ROUND($AE112*SUM($X112),0))</f>
        <v/>
      </c>
      <c r="AG112" s="39" t="str">
        <f aca="false">IF(SUM($AE112)=0,"",ROUND(($AE112-SUM($AF112))*SUM($Z112),0))</f>
        <v/>
      </c>
      <c r="AH112" s="39" t="str">
        <f aca="false">IF(SUM($AE112)=0,"",$AE112-SUM($AF112)-SUM($AG112))</f>
        <v/>
      </c>
      <c r="AI112" s="88" t="str">
        <f aca="false">IF(SUM($AC112)=0,"",INDEX(Cascade!$BG:$BG,MATCH($E112,Cascade!$E:$E,0)))</f>
        <v/>
      </c>
      <c r="AJ112" s="39" t="str">
        <f aca="false">$AB112</f>
        <v/>
      </c>
      <c r="AK112" s="39" t="str">
        <f aca="false">IF(SUM($AC112)=0,"",IF(AND($AI112="",SUM($AC112)&gt;0),"&lt;- Enter Linkage Rate",ROUND($AC112*$AI112,0)))</f>
        <v/>
      </c>
      <c r="AL112" s="39" t="str">
        <f aca="false">IF(SUM($AF112,$AG112)=0,"",SUM($AF112,$AG112))</f>
        <v/>
      </c>
      <c r="AM112" s="39" t="str">
        <f aca="false">$AF112</f>
        <v/>
      </c>
      <c r="AN112" s="39" t="str">
        <f aca="false">IF(SUM($AG112)=0,"",ROUND($AG112*SUM($AI112),0))</f>
        <v/>
      </c>
      <c r="AO112" s="10" t="str">
        <f aca="false">IFERROR(1/(1/MAX(SUM($T112)-SUM($AB112,$AC112),$AD112)),"")</f>
        <v/>
      </c>
      <c r="AP112" s="88"/>
      <c r="AQ112" s="88" t="str">
        <f aca="false">IF($AP112="","",$AP112)</f>
        <v/>
      </c>
      <c r="AR112" s="88" t="str">
        <f aca="false">IF(SUM($AO112)=0,"",INDEX(Cascade!$BG:$BG,MATCH($E112,Cascade!$E:$E,0)))</f>
        <v/>
      </c>
      <c r="AS112" s="39" t="str">
        <f aca="false">IF(SUM($AO112)=0,"",IF(AND(SUM($AO112)&gt;0,$AQ112=""),"ENTER YIELD RATE",ROUND($AO112*$AQ112,0)))</f>
        <v/>
      </c>
      <c r="AT112" s="39" t="str">
        <f aca="false">IF(SUM($AO112)=0,"",$AO112-SUM($AS112))</f>
        <v/>
      </c>
      <c r="AU112" s="10" t="str">
        <f aca="false">IF(SUM($AS112)=0,"",ROUND($AS112*$AR112,0))</f>
        <v/>
      </c>
      <c r="AV112" s="10" t="str">
        <f aca="false">IFERROR(1/(1/SUM($AC112,$AB112,$AS112)),"")</f>
        <v/>
      </c>
      <c r="AW112" s="10" t="str">
        <f aca="false">IFERROR(1/(1/INDEX(Cascade!$BH:$BH,MATCH($E112,Cascade!$E:$E,0))),"")</f>
        <v/>
      </c>
      <c r="AX112" s="10" t="str">
        <f aca="false">IF(SUM($AC112)=0,"",$AC112)</f>
        <v/>
      </c>
      <c r="AY112" s="10" t="str">
        <f aca="false">IF(SUM($AS112)=0,"",$AS112)</f>
        <v/>
      </c>
      <c r="AZ112" s="10" t="str">
        <f aca="false">IFERROR(1/(1/INDEX(TB!$P:$P,MATCH($E112,TB!$E:$E,0))),"")</f>
        <v/>
      </c>
      <c r="BA112" s="10" t="str">
        <f aca="false">IFERROR(1/(1/(SUM($AW112)-SUM($AX112:$AZ112))),"")</f>
        <v/>
      </c>
    </row>
    <row r="113" customFormat="false" ht="15" hidden="false" customHeight="false" outlineLevel="0" collapsed="false">
      <c r="A113" s="0" t="str">
        <f aca="false">INDEX(Prioritization!$D:$D,MATCH($B113,Prioritization!$A:$A,0))</f>
        <v>1 - Scale-up: Saturation</v>
      </c>
      <c r="B113" s="0" t="s">
        <v>213</v>
      </c>
      <c r="C113" s="0" t="s">
        <v>367</v>
      </c>
      <c r="D113" s="0" t="s">
        <v>30</v>
      </c>
      <c r="E113" s="0" t="str">
        <f aca="false">B113&amp;"|"&amp;C113&amp;"|"&amp;D113</f>
        <v>Chiradzulu District [oiPR2CiVJbf]|35-49|Female</v>
      </c>
      <c r="F113" s="10" t="n">
        <f aca="false">IF(LEFT($B113,4)="_Mil","",INDEX(Cascade!$T:$T,MATCH($E113,Cascade!$E:$E,0)))</f>
        <v>852</v>
      </c>
      <c r="G113" s="10" t="str">
        <f aca="false">IF(LEFT($B113,4)="_Mil","",INDEX(Cascade!$U:$U,MATCH($E113,Cascade!$E:$E,0)))</f>
        <v/>
      </c>
      <c r="H113" s="86" t="n">
        <f aca="false">IF(LEFT($B113,4)="_Mil","",INDEX(Cascade!$W:$W,MATCH($E113,Cascade!$E:$E,0)))</f>
        <v>948</v>
      </c>
      <c r="I113" s="10" t="n">
        <f aca="false">IF(LEFT($B113,4)="_Mil","",INDEX(Cascade!$Z:$Z,MATCH($E113,Cascade!$E:$E,0)))</f>
        <v>1437</v>
      </c>
      <c r="J113" s="88" t="n">
        <f aca="false">IF(LEFT($B113,4)="_Mil","",INDEX(Cascade!$AA:$AA,MATCH($E113,Cascade!$E:$E,0)))</f>
        <v>1122</v>
      </c>
      <c r="K113" s="39" t="n">
        <f aca="false">IF(LEFT($B113,4)="_Mil","",_xlfn.IFNA(ROUND(INDEX(Spectrum!$N:$N,MATCH(RIGHT($B113,13)&amp;"|"&amp;$C113&amp;"|"&amp;$D113&amp;"|"&amp;K$14&amp;"|"&amp;"CY2023Q3",Spectrum!$R:$R,0)),0),""))</f>
        <v>1794</v>
      </c>
      <c r="L113" s="39" t="str">
        <f aca="false">IF(LEFT($B113,4)="_Mil","",_xlfn.IFNA(ROUND(INDEX(Spectrum!$N:$N,MATCH(RIGHT($B113,13)&amp;"|"&amp;$C113&amp;"|"&amp;$D113&amp;"|"&amp;L$14&amp;"|"&amp;"CY2023Q3",Spectrum!$R:$R,0)),0),""))</f>
        <v/>
      </c>
      <c r="M113" s="39" t="n">
        <f aca="false">IF(LEFT($B113,4)="_Mil","",_xlfn.IFNA(ROUND(INDEX(Spectrum!$N:$N,MATCH(RIGHT($B113,13)&amp;"|"&amp;$C113&amp;"|"&amp;$D113&amp;"|"&amp;M$14&amp;"|"&amp;"CY2023Q3",Spectrum!$R:$R,0)),0),""))</f>
        <v>1255</v>
      </c>
      <c r="N113" s="39" t="n">
        <f aca="false">IF(LEFT($B113,4)="_Mil","",_xlfn.IFNA(ROUND(INDEX(Spectrum!$N:$N,MATCH(RIGHT($B113,13)&amp;"|"&amp;$C113&amp;"|"&amp;$D113&amp;"|"&amp;N$14&amp;"|"&amp;"CY2023Q3",Spectrum!$R:$R,0)),0),""))</f>
        <v>1631</v>
      </c>
      <c r="O113" s="39" t="n">
        <f aca="false">IF(LEFT($B113,4)="_Mil","",_xlfn.IFNA(ROUND(INDEX(Spectrum!$N:$N,MATCH(RIGHT($B113,13)&amp;"|"&amp;$C113&amp;"|"&amp;$D113&amp;"|"&amp;O$14&amp;"|"&amp;"CY2023Q3",Spectrum!$R:$R,0)),0),""))</f>
        <v>940</v>
      </c>
      <c r="P113" s="39" t="n">
        <f aca="false">IF(LEFT($B113,4)="_Mil","",_xlfn.IFNA(ROUND(INDEX(Spectrum!$N:$N,MATCH(RIGHT($B113,13)&amp;"|"&amp;$C113&amp;"|"&amp;$D113&amp;"|"&amp;P$14&amp;"|"&amp;"CY2023Q3",Spectrum!$R:$R,0)),0),""))</f>
        <v>1256</v>
      </c>
      <c r="Q113" s="39" t="str">
        <f aca="false">IF(LEFT($B113,4)="_Mil","",_xlfn.IFNA(ROUND(INDEX(Spectrum!$N:$N,MATCH(RIGHT($B113,13)&amp;"|"&amp;$C113&amp;"|"&amp;$D113&amp;"|"&amp;Q$14&amp;"|"&amp;"CY2022Q3",Spectrum!$R:$R,0)),0),""))</f>
        <v/>
      </c>
      <c r="R113" s="10"/>
      <c r="S113" s="88" t="n">
        <f aca="false">0</f>
        <v>0</v>
      </c>
      <c r="T113" s="39" t="str">
        <f aca="false">IF(SUM($R113)=0,"",ROUND($R113*(1+$S113),0))</f>
        <v/>
      </c>
      <c r="U113" s="88" t="n">
        <f aca="false">IF(LEFT($B113,4)="_Mil","",IF(SUM($K113)=0,IF(SUM($R113)=0,"",1),MIN($R113/$K113,1)))</f>
        <v>0</v>
      </c>
      <c r="V113" s="39" t="str">
        <f aca="false">IF(OR(SUM($T113)=0,LEFT($B113,4)="_Mil"),"",ROUND($T113/$U113,0))</f>
        <v/>
      </c>
      <c r="W113" s="88"/>
      <c r="X113" s="88" t="n">
        <f aca="false">IF(SUM($K113,$W113)=0,"",MAX(IFERROR(SUM($L113)/$K113,0),SUM($W113)))</f>
        <v>0</v>
      </c>
      <c r="Y113" s="88"/>
      <c r="Z113" s="88" t="n">
        <f aca="false">IF(SUM($K113,$Y113)=0,"",MIN(SUM($Y113),IFERROR(SUM($M113)/(SUM($K113)-SUM($L113)),1)))</f>
        <v>0</v>
      </c>
      <c r="AA113" s="10" t="str">
        <f aca="false">$T113</f>
        <v/>
      </c>
      <c r="AB113" s="39" t="str">
        <f aca="false">IF(SUM($AA113)=0,"",IF(AND(SUM($AA113)&gt;0,$X113=""),"ENTER KNOWN POSITIVITY RATE",ROUND($AA113*$X113,0)))</f>
        <v/>
      </c>
      <c r="AC113" s="39" t="str">
        <f aca="false">IF(SUM($AA113)=0,"",IF(AND((SUM($AA113)-SUM($AB113))&gt;0,$Z113=""),"ENTER YIELD RATE",ROUND(($AA113-SUM($AB113))*$Z113,0)))</f>
        <v/>
      </c>
      <c r="AD113" s="39" t="str">
        <f aca="false">IF(SUM($AA113)=0,"",$AA113-SUM($AB113)-SUM($AC113))</f>
        <v/>
      </c>
      <c r="AE113" s="10" t="str">
        <f aca="false">$V113</f>
        <v/>
      </c>
      <c r="AF113" s="39" t="str">
        <f aca="false">IF(SUM($AE113)=0,"",ROUND($AE113*SUM($X113),0))</f>
        <v/>
      </c>
      <c r="AG113" s="39" t="str">
        <f aca="false">IF(SUM($AE113)=0,"",ROUND(($AE113-SUM($AF113))*SUM($Z113),0))</f>
        <v/>
      </c>
      <c r="AH113" s="39" t="str">
        <f aca="false">IF(SUM($AE113)=0,"",$AE113-SUM($AF113)-SUM($AG113))</f>
        <v/>
      </c>
      <c r="AI113" s="88" t="str">
        <f aca="false">IF(SUM($AC113)=0,"",INDEX(Cascade!$BG:$BG,MATCH($E113,Cascade!$E:$E,0)))</f>
        <v/>
      </c>
      <c r="AJ113" s="39" t="str">
        <f aca="false">$AB113</f>
        <v/>
      </c>
      <c r="AK113" s="39" t="str">
        <f aca="false">IF(SUM($AC113)=0,"",IF(AND($AI113="",SUM($AC113)&gt;0),"&lt;- Enter Linkage Rate",ROUND($AC113*$AI113,0)))</f>
        <v/>
      </c>
      <c r="AL113" s="39" t="str">
        <f aca="false">IF(SUM($AF113,$AG113)=0,"",SUM($AF113,$AG113))</f>
        <v/>
      </c>
      <c r="AM113" s="39" t="str">
        <f aca="false">$AF113</f>
        <v/>
      </c>
      <c r="AN113" s="39" t="str">
        <f aca="false">IF(SUM($AG113)=0,"",ROUND($AG113*SUM($AI113),0))</f>
        <v/>
      </c>
      <c r="AO113" s="10" t="str">
        <f aca="false">IFERROR(1/(1/MAX(SUM($T113)-SUM($AB113,$AC113),$AD113)),"")</f>
        <v/>
      </c>
      <c r="AP113" s="88"/>
      <c r="AQ113" s="88" t="str">
        <f aca="false">IF($AP113="","",$AP113)</f>
        <v/>
      </c>
      <c r="AR113" s="88" t="str">
        <f aca="false">IF(SUM($AO113)=0,"",INDEX(Cascade!$BG:$BG,MATCH($E113,Cascade!$E:$E,0)))</f>
        <v/>
      </c>
      <c r="AS113" s="39" t="str">
        <f aca="false">IF(SUM($AO113)=0,"",IF(AND(SUM($AO113)&gt;0,$AQ113=""),"ENTER YIELD RATE",ROUND($AO113*$AQ113,0)))</f>
        <v/>
      </c>
      <c r="AT113" s="39" t="str">
        <f aca="false">IF(SUM($AO113)=0,"",$AO113-SUM($AS113))</f>
        <v/>
      </c>
      <c r="AU113" s="10" t="str">
        <f aca="false">IF(SUM($AS113)=0,"",ROUND($AS113*$AR113,0))</f>
        <v/>
      </c>
      <c r="AV113" s="10" t="str">
        <f aca="false">IFERROR(1/(1/SUM($AC113,$AB113,$AS113)),"")</f>
        <v/>
      </c>
      <c r="AW113" s="10" t="str">
        <f aca="false">IFERROR(1/(1/INDEX(Cascade!$BH:$BH,MATCH($E113,Cascade!$E:$E,0))),"")</f>
        <v/>
      </c>
      <c r="AX113" s="10" t="str">
        <f aca="false">IF(SUM($AC113)=0,"",$AC113)</f>
        <v/>
      </c>
      <c r="AY113" s="10" t="str">
        <f aca="false">IF(SUM($AS113)=0,"",$AS113)</f>
        <v/>
      </c>
      <c r="AZ113" s="10" t="str">
        <f aca="false">IFERROR(1/(1/INDEX(TB!$P:$P,MATCH($E113,TB!$E:$E,0))),"")</f>
        <v/>
      </c>
      <c r="BA113" s="10" t="str">
        <f aca="false">IFERROR(1/(1/(SUM($AW113)-SUM($AX113:$AZ113))),"")</f>
        <v/>
      </c>
    </row>
    <row r="114" customFormat="false" ht="15" hidden="false" customHeight="false" outlineLevel="0" collapsed="false">
      <c r="A114" s="0" t="str">
        <f aca="false">INDEX(Prioritization!$D:$D,MATCH($B114,Prioritization!$A:$A,0))</f>
        <v>1 - Scale-up: Saturation</v>
      </c>
      <c r="B114" s="0" t="s">
        <v>213</v>
      </c>
      <c r="C114" s="0" t="s">
        <v>368</v>
      </c>
      <c r="D114" s="0" t="s">
        <v>30</v>
      </c>
      <c r="E114" s="0" t="str">
        <f aca="false">B114&amp;"|"&amp;C114&amp;"|"&amp;D114</f>
        <v>Chiradzulu District [oiPR2CiVJbf]|50+|Female</v>
      </c>
      <c r="F114" s="10" t="n">
        <f aca="false">IF(LEFT($B114,4)="_Mil","",INDEX(Cascade!$T:$T,MATCH($E114,Cascade!$E:$E,0)))</f>
        <v>1061</v>
      </c>
      <c r="G114" s="10" t="str">
        <f aca="false">IF(LEFT($B114,4)="_Mil","",INDEX(Cascade!$U:$U,MATCH($E114,Cascade!$E:$E,0)))</f>
        <v/>
      </c>
      <c r="H114" s="86" t="n">
        <f aca="false">IF(LEFT($B114,4)="_Mil","",INDEX(Cascade!$W:$W,MATCH($E114,Cascade!$E:$E,0)))</f>
        <v>1422</v>
      </c>
      <c r="I114" s="10" t="n">
        <f aca="false">IF(LEFT($B114,4)="_Mil","",INDEX(Cascade!$Z:$Z,MATCH($E114,Cascade!$E:$E,0)))</f>
        <v>1665</v>
      </c>
      <c r="J114" s="88" t="n">
        <f aca="false">IF(LEFT($B114,4)="_Mil","",INDEX(Cascade!$AA:$AA,MATCH($E114,Cascade!$E:$E,0)))</f>
        <v>1159</v>
      </c>
      <c r="K114" s="39" t="str">
        <f aca="false">IF(LEFT($B114,4)="_Mil","",_xlfn.IFNA(ROUND(INDEX(Spectrum!$N:$N,MATCH(RIGHT($B114,13)&amp;"|"&amp;$C114&amp;"|"&amp;$D114&amp;"|"&amp;K$14&amp;"|"&amp;"CY2023Q3",Spectrum!$R:$R,0)),0),""))</f>
        <v/>
      </c>
      <c r="L114" s="39" t="str">
        <f aca="false">IF(LEFT($B114,4)="_Mil","",_xlfn.IFNA(ROUND(INDEX(Spectrum!$N:$N,MATCH(RIGHT($B114,13)&amp;"|"&amp;$C114&amp;"|"&amp;$D114&amp;"|"&amp;L$14&amp;"|"&amp;"CY2023Q3",Spectrum!$R:$R,0)),0),""))</f>
        <v/>
      </c>
      <c r="M114" s="39" t="str">
        <f aca="false">IF(LEFT($B114,4)="_Mil","",_xlfn.IFNA(ROUND(INDEX(Spectrum!$N:$N,MATCH(RIGHT($B114,13)&amp;"|"&amp;$C114&amp;"|"&amp;$D114&amp;"|"&amp;M$14&amp;"|"&amp;"CY2023Q3",Spectrum!$R:$R,0)),0),""))</f>
        <v/>
      </c>
      <c r="N114" s="39" t="str">
        <f aca="false">IF(LEFT($B114,4)="_Mil","",_xlfn.IFNA(ROUND(INDEX(Spectrum!$N:$N,MATCH(RIGHT($B114,13)&amp;"|"&amp;$C114&amp;"|"&amp;$D114&amp;"|"&amp;N$14&amp;"|"&amp;"CY2023Q3",Spectrum!$R:$R,0)),0),""))</f>
        <v/>
      </c>
      <c r="O114" s="39" t="str">
        <f aca="false">IF(LEFT($B114,4)="_Mil","",_xlfn.IFNA(ROUND(INDEX(Spectrum!$N:$N,MATCH(RIGHT($B114,13)&amp;"|"&amp;$C114&amp;"|"&amp;$D114&amp;"|"&amp;O$14&amp;"|"&amp;"CY2023Q3",Spectrum!$R:$R,0)),0),""))</f>
        <v/>
      </c>
      <c r="P114" s="39" t="str">
        <f aca="false">IF(LEFT($B114,4)="_Mil","",_xlfn.IFNA(ROUND(INDEX(Spectrum!$N:$N,MATCH(RIGHT($B114,13)&amp;"|"&amp;$C114&amp;"|"&amp;$D114&amp;"|"&amp;P$14&amp;"|"&amp;"CY2023Q3",Spectrum!$R:$R,0)),0),""))</f>
        <v/>
      </c>
      <c r="Q114" s="39" t="str">
        <f aca="false">IF(LEFT($B114,4)="_Mil","",_xlfn.IFNA(ROUND(INDEX(Spectrum!$N:$N,MATCH(RIGHT($B114,13)&amp;"|"&amp;$C114&amp;"|"&amp;$D114&amp;"|"&amp;Q$14&amp;"|"&amp;"CY2022Q3",Spectrum!$R:$R,0)),0),""))</f>
        <v/>
      </c>
      <c r="R114" s="10"/>
      <c r="S114" s="88" t="n">
        <f aca="false">0</f>
        <v>0</v>
      </c>
      <c r="T114" s="39" t="str">
        <f aca="false">IF(SUM($R114)=0,"",ROUND($R114*(1+$S114),0))</f>
        <v/>
      </c>
      <c r="U114" s="88" t="str">
        <f aca="false">IF(LEFT($B114,4)="_Mil","",IF(SUM($K114)=0,IF(SUM($R114)=0,"",1),MIN($R114/$K114,1)))</f>
        <v/>
      </c>
      <c r="V114" s="39" t="str">
        <f aca="false">IF(OR(SUM($T114)=0,LEFT($B114,4)="_Mil"),"",ROUND($T114/$U114,0))</f>
        <v/>
      </c>
      <c r="W114" s="88"/>
      <c r="X114" s="88" t="str">
        <f aca="false">IF(SUM($K114,$W114)=0,"",MAX(IFERROR(SUM($L114)/$K114,0),SUM($W114)))</f>
        <v/>
      </c>
      <c r="Y114" s="88"/>
      <c r="Z114" s="88" t="str">
        <f aca="false">IF(SUM($K114,$Y114)=0,"",MIN(SUM($Y114),IFERROR(SUM($M114)/(SUM($K114)-SUM($L114)),1)))</f>
        <v/>
      </c>
      <c r="AA114" s="10" t="str">
        <f aca="false">$T114</f>
        <v/>
      </c>
      <c r="AB114" s="39" t="str">
        <f aca="false">IF(SUM($AA114)=0,"",IF(AND(SUM($AA114)&gt;0,$X114=""),"ENTER KNOWN POSITIVITY RATE",ROUND($AA114*$X114,0)))</f>
        <v/>
      </c>
      <c r="AC114" s="39" t="str">
        <f aca="false">IF(SUM($AA114)=0,"",IF(AND((SUM($AA114)-SUM($AB114))&gt;0,$Z114=""),"ENTER YIELD RATE",ROUND(($AA114-SUM($AB114))*$Z114,0)))</f>
        <v/>
      </c>
      <c r="AD114" s="39" t="str">
        <f aca="false">IF(SUM($AA114)=0,"",$AA114-SUM($AB114)-SUM($AC114))</f>
        <v/>
      </c>
      <c r="AE114" s="10" t="str">
        <f aca="false">$V114</f>
        <v/>
      </c>
      <c r="AF114" s="39" t="str">
        <f aca="false">IF(SUM($AE114)=0,"",ROUND($AE114*SUM($X114),0))</f>
        <v/>
      </c>
      <c r="AG114" s="39" t="str">
        <f aca="false">IF(SUM($AE114)=0,"",ROUND(($AE114-SUM($AF114))*SUM($Z114),0))</f>
        <v/>
      </c>
      <c r="AH114" s="39" t="str">
        <f aca="false">IF(SUM($AE114)=0,"",$AE114-SUM($AF114)-SUM($AG114))</f>
        <v/>
      </c>
      <c r="AI114" s="88" t="str">
        <f aca="false">IF(SUM($AC114)=0,"",INDEX(Cascade!$BG:$BG,MATCH($E114,Cascade!$E:$E,0)))</f>
        <v/>
      </c>
      <c r="AJ114" s="39" t="str">
        <f aca="false">$AB114</f>
        <v/>
      </c>
      <c r="AK114" s="39" t="str">
        <f aca="false">IF(SUM($AC114)=0,"",IF(AND($AI114="",SUM($AC114)&gt;0),"&lt;- Enter Linkage Rate",ROUND($AC114*$AI114,0)))</f>
        <v/>
      </c>
      <c r="AL114" s="39" t="str">
        <f aca="false">IF(SUM($AF114,$AG114)=0,"",SUM($AF114,$AG114))</f>
        <v/>
      </c>
      <c r="AM114" s="39" t="str">
        <f aca="false">$AF114</f>
        <v/>
      </c>
      <c r="AN114" s="39" t="str">
        <f aca="false">IF(SUM($AG114)=0,"",ROUND($AG114*SUM($AI114),0))</f>
        <v/>
      </c>
      <c r="AO114" s="10" t="str">
        <f aca="false">IFERROR(1/(1/MAX(SUM($T114)-SUM($AB114,$AC114),$AD114)),"")</f>
        <v/>
      </c>
      <c r="AP114" s="88"/>
      <c r="AQ114" s="88" t="str">
        <f aca="false">IF($AP114="","",$AP114)</f>
        <v/>
      </c>
      <c r="AR114" s="88" t="str">
        <f aca="false">IF(SUM($AO114)=0,"",INDEX(Cascade!$BG:$BG,MATCH($E114,Cascade!$E:$E,0)))</f>
        <v/>
      </c>
      <c r="AS114" s="39" t="str">
        <f aca="false">IF(SUM($AO114)=0,"",IF(AND(SUM($AO114)&gt;0,$AQ114=""),"ENTER YIELD RATE",ROUND($AO114*$AQ114,0)))</f>
        <v/>
      </c>
      <c r="AT114" s="39" t="str">
        <f aca="false">IF(SUM($AO114)=0,"",$AO114-SUM($AS114))</f>
        <v/>
      </c>
      <c r="AU114" s="10" t="str">
        <f aca="false">IF(SUM($AS114)=0,"",ROUND($AS114*$AR114,0))</f>
        <v/>
      </c>
      <c r="AV114" s="10" t="str">
        <f aca="false">IFERROR(1/(1/SUM($AC114,$AB114,$AS114)),"")</f>
        <v/>
      </c>
      <c r="AW114" s="10" t="str">
        <f aca="false">IFERROR(1/(1/INDEX(Cascade!$BH:$BH,MATCH($E114,Cascade!$E:$E,0))),"")</f>
        <v/>
      </c>
      <c r="AX114" s="10" t="str">
        <f aca="false">IF(SUM($AC114)=0,"",$AC114)</f>
        <v/>
      </c>
      <c r="AY114" s="10" t="str">
        <f aca="false">IF(SUM($AS114)=0,"",$AS114)</f>
        <v/>
      </c>
      <c r="AZ114" s="10" t="str">
        <f aca="false">IFERROR(1/(1/INDEX(TB!$P:$P,MATCH($E114,TB!$E:$E,0))),"")</f>
        <v/>
      </c>
      <c r="BA114" s="10" t="str">
        <f aca="false">IFERROR(1/(1/(SUM($AW114)-SUM($AX114:$AZ114))),"")</f>
        <v/>
      </c>
    </row>
    <row r="115" customFormat="false" ht="15" hidden="false" customHeight="false" outlineLevel="0" collapsed="false">
      <c r="A115" s="0" t="str">
        <f aca="false">INDEX(Prioritization!$D:$D,MATCH($B115,Prioritization!$A:$A,0))</f>
        <v>1 - Scale-up: Saturation</v>
      </c>
      <c r="B115" s="0" t="s">
        <v>214</v>
      </c>
      <c r="C115" s="0" t="s">
        <v>364</v>
      </c>
      <c r="D115" s="0" t="s">
        <v>30</v>
      </c>
      <c r="E115" s="0" t="str">
        <f aca="false">B115&amp;"|"&amp;C115&amp;"|"&amp;D115</f>
        <v>Machinga District [TYnMSwzko3z]|10-14|Female</v>
      </c>
      <c r="F115" s="10" t="n">
        <f aca="false">IF(LEFT($B115,4)="_Mil","",INDEX(Cascade!$T:$T,MATCH($E115,Cascade!$E:$E,0)))</f>
        <v>1048</v>
      </c>
      <c r="G115" s="10" t="str">
        <f aca="false">IF(LEFT($B115,4)="_Mil","",INDEX(Cascade!$U:$U,MATCH($E115,Cascade!$E:$E,0)))</f>
        <v/>
      </c>
      <c r="H115" s="86" t="n">
        <f aca="false">IF(LEFT($B115,4)="_Mil","",INDEX(Cascade!$W:$W,MATCH($E115,Cascade!$E:$E,0)))</f>
        <v>1272</v>
      </c>
      <c r="I115" s="10" t="n">
        <f aca="false">IF(LEFT($B115,4)="_Mil","",INDEX(Cascade!$Z:$Z,MATCH($E115,Cascade!$E:$E,0)))</f>
        <v>1136</v>
      </c>
      <c r="J115" s="88" t="n">
        <f aca="false">IF(LEFT($B115,4)="_Mil","",INDEX(Cascade!$AA:$AA,MATCH($E115,Cascade!$E:$E,0)))</f>
        <v>1635</v>
      </c>
      <c r="K115" s="39" t="str">
        <f aca="false">IF(LEFT($B115,4)="_Mil","",_xlfn.IFNA(ROUND(INDEX(Spectrum!$N:$N,MATCH(RIGHT($B115,13)&amp;"|"&amp;$C115&amp;"|"&amp;$D115&amp;"|"&amp;K$14&amp;"|"&amp;"CY2023Q3",Spectrum!$R:$R,0)),0),""))</f>
        <v/>
      </c>
      <c r="L115" s="39" t="str">
        <f aca="false">IF(LEFT($B115,4)="_Mil","",_xlfn.IFNA(ROUND(INDEX(Spectrum!$N:$N,MATCH(RIGHT($B115,13)&amp;"|"&amp;$C115&amp;"|"&amp;$D115&amp;"|"&amp;L$14&amp;"|"&amp;"CY2023Q3",Spectrum!$R:$R,0)),0),""))</f>
        <v/>
      </c>
      <c r="M115" s="39" t="str">
        <f aca="false">IF(LEFT($B115,4)="_Mil","",_xlfn.IFNA(ROUND(INDEX(Spectrum!$N:$N,MATCH(RIGHT($B115,13)&amp;"|"&amp;$C115&amp;"|"&amp;$D115&amp;"|"&amp;M$14&amp;"|"&amp;"CY2023Q3",Spectrum!$R:$R,0)),0),""))</f>
        <v/>
      </c>
      <c r="N115" s="39" t="str">
        <f aca="false">IF(LEFT($B115,4)="_Mil","",_xlfn.IFNA(ROUND(INDEX(Spectrum!$N:$N,MATCH(RIGHT($B115,13)&amp;"|"&amp;$C115&amp;"|"&amp;$D115&amp;"|"&amp;N$14&amp;"|"&amp;"CY2023Q3",Spectrum!$R:$R,0)),0),""))</f>
        <v/>
      </c>
      <c r="O115" s="39" t="str">
        <f aca="false">IF(LEFT($B115,4)="_Mil","",_xlfn.IFNA(ROUND(INDEX(Spectrum!$N:$N,MATCH(RIGHT($B115,13)&amp;"|"&amp;$C115&amp;"|"&amp;$D115&amp;"|"&amp;O$14&amp;"|"&amp;"CY2023Q3",Spectrum!$R:$R,0)),0),""))</f>
        <v/>
      </c>
      <c r="P115" s="39" t="str">
        <f aca="false">IF(LEFT($B115,4)="_Mil","",_xlfn.IFNA(ROUND(INDEX(Spectrum!$N:$N,MATCH(RIGHT($B115,13)&amp;"|"&amp;$C115&amp;"|"&amp;$D115&amp;"|"&amp;P$14&amp;"|"&amp;"CY2023Q3",Spectrum!$R:$R,0)),0),""))</f>
        <v/>
      </c>
      <c r="Q115" s="39" t="str">
        <f aca="false">IF(LEFT($B115,4)="_Mil","",_xlfn.IFNA(ROUND(INDEX(Spectrum!$N:$N,MATCH(RIGHT($B115,13)&amp;"|"&amp;$C115&amp;"|"&amp;$D115&amp;"|"&amp;Q$14&amp;"|"&amp;"CY2022Q3",Spectrum!$R:$R,0)),0),""))</f>
        <v/>
      </c>
      <c r="R115" s="10" t="n">
        <v>9</v>
      </c>
      <c r="S115" s="88" t="n">
        <f aca="false">0</f>
        <v>0</v>
      </c>
      <c r="T115" s="39" t="n">
        <f aca="false">IF(SUM($R115)=0,"",ROUND($R115*(1+$S115),0))</f>
        <v>9</v>
      </c>
      <c r="U115" s="88" t="n">
        <f aca="false">IF(LEFT($B115,4)="_Mil","",IF(SUM($K115)=0,IF(SUM($R115)=0,"",1),MIN($R115/$K115,1)))</f>
        <v>1</v>
      </c>
      <c r="V115" s="39" t="n">
        <f aca="false">IF(OR(SUM($T115)=0,LEFT($B115,4)="_Mil"),"",ROUND($T115/$U115,0))</f>
        <v>9</v>
      </c>
      <c r="W115" s="88"/>
      <c r="X115" s="88" t="str">
        <f aca="false">IF(SUM($K115,$W115)=0,"",MAX(IFERROR(SUM($L115)/$K115,0),SUM($W115)))</f>
        <v/>
      </c>
      <c r="Y115" s="88"/>
      <c r="Z115" s="88" t="str">
        <f aca="false">IF(SUM($K115,$Y115)=0,"",MIN(SUM($Y115),IFERROR(SUM($M115)/(SUM($K115)-SUM($L115)),1)))</f>
        <v/>
      </c>
      <c r="AA115" s="10" t="n">
        <f aca="false">$T115</f>
        <v>9</v>
      </c>
      <c r="AB115" s="39" t="str">
        <f aca="false">IF(SUM($AA115)=0,"",IF(AND(SUM($AA115)&gt;0,$X115=""),"ENTER KNOWN POSITIVITY RATE",ROUND($AA115*$X115,0)))</f>
        <v>ENTER KNOWN POSITIVITY RATE</v>
      </c>
      <c r="AC115" s="39" t="str">
        <f aca="false">IF(SUM($AA115)=0,"",IF(AND((SUM($AA115)-SUM($AB115))&gt;0,$Z115=""),"ENTER YIELD RATE",ROUND(($AA115-SUM($AB115))*$Z115,0)))</f>
        <v>ENTER YIELD RATE</v>
      </c>
      <c r="AD115" s="39" t="n">
        <f aca="false">IF(SUM($AA115)=0,"",$AA115-SUM($AB115)-SUM($AC115))</f>
        <v>9</v>
      </c>
      <c r="AE115" s="10" t="n">
        <f aca="false">$V115</f>
        <v>9</v>
      </c>
      <c r="AF115" s="39" t="n">
        <f aca="false">IF(SUM($AE115)=0,"",ROUND($AE115*SUM($X115),0))</f>
        <v>0</v>
      </c>
      <c r="AG115" s="39" t="n">
        <f aca="false">IF(SUM($AE115)=0,"",ROUND(($AE115-SUM($AF115))*SUM($Z115),0))</f>
        <v>0</v>
      </c>
      <c r="AH115" s="39" t="n">
        <f aca="false">IF(SUM($AE115)=0,"",$AE115-SUM($AF115)-SUM($AG115))</f>
        <v>9</v>
      </c>
      <c r="AI115" s="88" t="str">
        <f aca="false">IF(SUM($AC115)=0,"",INDEX(Cascade!$BG:$BG,MATCH($E115,Cascade!$E:$E,0)))</f>
        <v/>
      </c>
      <c r="AJ115" s="39" t="str">
        <f aca="false">$AB115</f>
        <v>ENTER KNOWN POSITIVITY RATE</v>
      </c>
      <c r="AK115" s="39" t="str">
        <f aca="false">IF(SUM($AC115)=0,"",IF(AND($AI115="",SUM($AC115)&gt;0),"&lt;- Enter Linkage Rate",ROUND($AC115*$AI115,0)))</f>
        <v/>
      </c>
      <c r="AL115" s="39" t="str">
        <f aca="false">IF(SUM($AF115,$AG115)=0,"",SUM($AF115,$AG115))</f>
        <v/>
      </c>
      <c r="AM115" s="39" t="n">
        <f aca="false">$AF115</f>
        <v>0</v>
      </c>
      <c r="AN115" s="39" t="str">
        <f aca="false">IF(SUM($AG115)=0,"",ROUND($AG115*SUM($AI115),0))</f>
        <v/>
      </c>
      <c r="AO115" s="10" t="n">
        <f aca="false">IFERROR(1/(1/MAX(SUM($T115)-SUM($AB115,$AC115),$AD115)),"")</f>
        <v>9</v>
      </c>
      <c r="AP115" s="88"/>
      <c r="AQ115" s="88" t="str">
        <f aca="false">IF($AP115="","",$AP115)</f>
        <v/>
      </c>
      <c r="AR115" s="88" t="n">
        <f aca="false">IF(SUM($AO115)=0,"",INDEX(Cascade!$BG:$BG,MATCH($E115,Cascade!$E:$E,0)))</f>
        <v>0.95</v>
      </c>
      <c r="AS115" s="39" t="str">
        <f aca="false">IF(SUM($AO115)=0,"",IF(AND(SUM($AO115)&gt;0,$AQ115=""),"ENTER YIELD RATE",ROUND($AO115*$AQ115,0)))</f>
        <v>ENTER YIELD RATE</v>
      </c>
      <c r="AT115" s="39" t="n">
        <f aca="false">IF(SUM($AO115)=0,"",$AO115-SUM($AS115))</f>
        <v>9</v>
      </c>
      <c r="AU115" s="10" t="str">
        <f aca="false">IF(SUM($AS115)=0,"",ROUND($AS115*$AR115,0))</f>
        <v/>
      </c>
      <c r="AV115" s="10" t="str">
        <f aca="false">IFERROR(1/(1/SUM($AC115,$AB115,$AS115)),"")</f>
        <v/>
      </c>
      <c r="AW115" s="10" t="n">
        <f aca="false">IFERROR(1/(1/INDEX(Cascade!$BH:$BH,MATCH($E115,Cascade!$E:$E,0))),"")</f>
        <v>-87</v>
      </c>
      <c r="AX115" s="10" t="str">
        <f aca="false">IF(SUM($AC115)=0,"",$AC115)</f>
        <v/>
      </c>
      <c r="AY115" s="10" t="str">
        <f aca="false">IF(SUM($AS115)=0,"",$AS115)</f>
        <v/>
      </c>
      <c r="AZ115" s="10" t="str">
        <f aca="false">IFERROR(1/(1/INDEX(TB!$P:$P,MATCH($E115,TB!$E:$E,0))),"")</f>
        <v/>
      </c>
      <c r="BA115" s="10" t="n">
        <f aca="false">IFERROR(1/(1/(SUM($AW115)-SUM($AX115:$AZ115))),"")</f>
        <v>-87</v>
      </c>
    </row>
    <row r="116" customFormat="false" ht="15" hidden="false" customHeight="false" outlineLevel="0" collapsed="false">
      <c r="A116" s="0" t="str">
        <f aca="false">INDEX(Prioritization!$D:$D,MATCH($B116,Prioritization!$A:$A,0))</f>
        <v>1 - Scale-up: Saturation</v>
      </c>
      <c r="B116" s="0" t="s">
        <v>214</v>
      </c>
      <c r="C116" s="0" t="s">
        <v>365</v>
      </c>
      <c r="D116" s="0" t="s">
        <v>30</v>
      </c>
      <c r="E116" s="0" t="str">
        <f aca="false">B116&amp;"|"&amp;C116&amp;"|"&amp;D116</f>
        <v>Machinga District [TYnMSwzko3z]|15-24|Female</v>
      </c>
      <c r="F116" s="10" t="n">
        <f aca="false">IF(LEFT($B116,4)="_Mil","",INDEX(Cascade!$T:$T,MATCH($E116,Cascade!$E:$E,0)))</f>
        <v>610</v>
      </c>
      <c r="G116" s="10" t="str">
        <f aca="false">IF(LEFT($B116,4)="_Mil","",INDEX(Cascade!$U:$U,MATCH($E116,Cascade!$E:$E,0)))</f>
        <v/>
      </c>
      <c r="H116" s="86" t="n">
        <f aca="false">IF(LEFT($B116,4)="_Mil","",INDEX(Cascade!$W:$W,MATCH($E116,Cascade!$E:$E,0)))</f>
        <v>1807</v>
      </c>
      <c r="I116" s="10" t="n">
        <f aca="false">IF(LEFT($B116,4)="_Mil","",INDEX(Cascade!$Z:$Z,MATCH($E116,Cascade!$E:$E,0)))</f>
        <v>517</v>
      </c>
      <c r="J116" s="88" t="n">
        <f aca="false">IF(LEFT($B116,4)="_Mil","",INDEX(Cascade!$AA:$AA,MATCH($E116,Cascade!$E:$E,0)))</f>
        <v>756</v>
      </c>
      <c r="K116" s="39" t="n">
        <f aca="false">IF(LEFT($B116,4)="_Mil","",_xlfn.IFNA(ROUND(INDEX(Spectrum!$N:$N,MATCH(RIGHT($B116,13)&amp;"|"&amp;$C116&amp;"|"&amp;$D116&amp;"|"&amp;K$14&amp;"|"&amp;"CY2023Q3",Spectrum!$R:$R,0)),0),""))</f>
        <v>1991</v>
      </c>
      <c r="L116" s="39" t="str">
        <f aca="false">IF(LEFT($B116,4)="_Mil","",_xlfn.IFNA(ROUND(INDEX(Spectrum!$N:$N,MATCH(RIGHT($B116,13)&amp;"|"&amp;$C116&amp;"|"&amp;$D116&amp;"|"&amp;L$14&amp;"|"&amp;"CY2023Q3",Spectrum!$R:$R,0)),0),""))</f>
        <v/>
      </c>
      <c r="M116" s="39" t="n">
        <f aca="false">IF(LEFT($B116,4)="_Mil","",_xlfn.IFNA(ROUND(INDEX(Spectrum!$N:$N,MATCH(RIGHT($B116,13)&amp;"|"&amp;$C116&amp;"|"&amp;$D116&amp;"|"&amp;M$14&amp;"|"&amp;"CY2023Q3",Spectrum!$R:$R,0)),0),""))</f>
        <v>1443</v>
      </c>
      <c r="N116" s="39" t="n">
        <f aca="false">IF(LEFT($B116,4)="_Mil","",_xlfn.IFNA(ROUND(INDEX(Spectrum!$N:$N,MATCH(RIGHT($B116,13)&amp;"|"&amp;$C116&amp;"|"&amp;$D116&amp;"|"&amp;N$14&amp;"|"&amp;"CY2023Q3",Spectrum!$R:$R,0)),0),""))</f>
        <v>1240</v>
      </c>
      <c r="O116" s="39" t="n">
        <f aca="false">IF(LEFT($B116,4)="_Mil","",_xlfn.IFNA(ROUND(INDEX(Spectrum!$N:$N,MATCH(RIGHT($B116,13)&amp;"|"&amp;$C116&amp;"|"&amp;$D116&amp;"|"&amp;O$14&amp;"|"&amp;"CY2023Q3",Spectrum!$R:$R,0)),0),""))</f>
        <v>1516</v>
      </c>
      <c r="P116" s="39" t="n">
        <f aca="false">IF(LEFT($B116,4)="_Mil","",_xlfn.IFNA(ROUND(INDEX(Spectrum!$N:$N,MATCH(RIGHT($B116,13)&amp;"|"&amp;$C116&amp;"|"&amp;$D116&amp;"|"&amp;P$14&amp;"|"&amp;"CY2023Q3",Spectrum!$R:$R,0)),0),""))</f>
        <v>788</v>
      </c>
      <c r="Q116" s="39" t="str">
        <f aca="false">IF(LEFT($B116,4)="_Mil","",_xlfn.IFNA(ROUND(INDEX(Spectrum!$N:$N,MATCH(RIGHT($B116,13)&amp;"|"&amp;$C116&amp;"|"&amp;$D116&amp;"|"&amp;Q$14&amp;"|"&amp;"CY2022Q3",Spectrum!$R:$R,0)),0),""))</f>
        <v/>
      </c>
      <c r="R116" s="10"/>
      <c r="S116" s="88" t="n">
        <f aca="false">0</f>
        <v>0</v>
      </c>
      <c r="T116" s="39" t="str">
        <f aca="false">IF(SUM($R116)=0,"",ROUND($R116*(1+$S116),0))</f>
        <v/>
      </c>
      <c r="U116" s="88" t="n">
        <f aca="false">IF(LEFT($B116,4)="_Mil","",IF(SUM($K116)=0,IF(SUM($R116)=0,"",1),MIN($R116/$K116,1)))</f>
        <v>0</v>
      </c>
      <c r="V116" s="39" t="str">
        <f aca="false">IF(OR(SUM($T116)=0,LEFT($B116,4)="_Mil"),"",ROUND($T116/$U116,0))</f>
        <v/>
      </c>
      <c r="W116" s="88"/>
      <c r="X116" s="88" t="n">
        <f aca="false">IF(SUM($K116,$W116)=0,"",MAX(IFERROR(SUM($L116)/$K116,0),SUM($W116)))</f>
        <v>0</v>
      </c>
      <c r="Y116" s="88"/>
      <c r="Z116" s="88" t="n">
        <f aca="false">IF(SUM($K116,$Y116)=0,"",MIN(SUM($Y116),IFERROR(SUM($M116)/(SUM($K116)-SUM($L116)),1)))</f>
        <v>0</v>
      </c>
      <c r="AA116" s="10" t="str">
        <f aca="false">$T116</f>
        <v/>
      </c>
      <c r="AB116" s="39" t="str">
        <f aca="false">IF(SUM($AA116)=0,"",IF(AND(SUM($AA116)&gt;0,$X116=""),"ENTER KNOWN POSITIVITY RATE",ROUND($AA116*$X116,0)))</f>
        <v/>
      </c>
      <c r="AC116" s="39" t="str">
        <f aca="false">IF(SUM($AA116)=0,"",IF(AND((SUM($AA116)-SUM($AB116))&gt;0,$Z116=""),"ENTER YIELD RATE",ROUND(($AA116-SUM($AB116))*$Z116,0)))</f>
        <v/>
      </c>
      <c r="AD116" s="39" t="str">
        <f aca="false">IF(SUM($AA116)=0,"",$AA116-SUM($AB116)-SUM($AC116))</f>
        <v/>
      </c>
      <c r="AE116" s="10" t="str">
        <f aca="false">$V116</f>
        <v/>
      </c>
      <c r="AF116" s="39" t="str">
        <f aca="false">IF(SUM($AE116)=0,"",ROUND($AE116*SUM($X116),0))</f>
        <v/>
      </c>
      <c r="AG116" s="39" t="str">
        <f aca="false">IF(SUM($AE116)=0,"",ROUND(($AE116-SUM($AF116))*SUM($Z116),0))</f>
        <v/>
      </c>
      <c r="AH116" s="39" t="str">
        <f aca="false">IF(SUM($AE116)=0,"",$AE116-SUM($AF116)-SUM($AG116))</f>
        <v/>
      </c>
      <c r="AI116" s="88" t="str">
        <f aca="false">IF(SUM($AC116)=0,"",INDEX(Cascade!$BG:$BG,MATCH($E116,Cascade!$E:$E,0)))</f>
        <v/>
      </c>
      <c r="AJ116" s="39" t="str">
        <f aca="false">$AB116</f>
        <v/>
      </c>
      <c r="AK116" s="39" t="str">
        <f aca="false">IF(SUM($AC116)=0,"",IF(AND($AI116="",SUM($AC116)&gt;0),"&lt;- Enter Linkage Rate",ROUND($AC116*$AI116,0)))</f>
        <v/>
      </c>
      <c r="AL116" s="39" t="str">
        <f aca="false">IF(SUM($AF116,$AG116)=0,"",SUM($AF116,$AG116))</f>
        <v/>
      </c>
      <c r="AM116" s="39" t="str">
        <f aca="false">$AF116</f>
        <v/>
      </c>
      <c r="AN116" s="39" t="str">
        <f aca="false">IF(SUM($AG116)=0,"",ROUND($AG116*SUM($AI116),0))</f>
        <v/>
      </c>
      <c r="AO116" s="10" t="str">
        <f aca="false">IFERROR(1/(1/MAX(SUM($T116)-SUM($AB116,$AC116),$AD116)),"")</f>
        <v/>
      </c>
      <c r="AP116" s="88"/>
      <c r="AQ116" s="88" t="str">
        <f aca="false">IF($AP116="","",$AP116)</f>
        <v/>
      </c>
      <c r="AR116" s="88" t="str">
        <f aca="false">IF(SUM($AO116)=0,"",INDEX(Cascade!$BG:$BG,MATCH($E116,Cascade!$E:$E,0)))</f>
        <v/>
      </c>
      <c r="AS116" s="39" t="str">
        <f aca="false">IF(SUM($AO116)=0,"",IF(AND(SUM($AO116)&gt;0,$AQ116=""),"ENTER YIELD RATE",ROUND($AO116*$AQ116,0)))</f>
        <v/>
      </c>
      <c r="AT116" s="39" t="str">
        <f aca="false">IF(SUM($AO116)=0,"",$AO116-SUM($AS116))</f>
        <v/>
      </c>
      <c r="AU116" s="10" t="str">
        <f aca="false">IF(SUM($AS116)=0,"",ROUND($AS116*$AR116,0))</f>
        <v/>
      </c>
      <c r="AV116" s="10" t="str">
        <f aca="false">IFERROR(1/(1/SUM($AC116,$AB116,$AS116)),"")</f>
        <v/>
      </c>
      <c r="AW116" s="10" t="str">
        <f aca="false">IFERROR(1/(1/INDEX(Cascade!$BH:$BH,MATCH($E116,Cascade!$E:$E,0))),"")</f>
        <v/>
      </c>
      <c r="AX116" s="10" t="str">
        <f aca="false">IF(SUM($AC116)=0,"",$AC116)</f>
        <v/>
      </c>
      <c r="AY116" s="10" t="str">
        <f aca="false">IF(SUM($AS116)=0,"",$AS116)</f>
        <v/>
      </c>
      <c r="AZ116" s="10" t="str">
        <f aca="false">IFERROR(1/(1/INDEX(TB!$P:$P,MATCH($E116,TB!$E:$E,0))),"")</f>
        <v/>
      </c>
      <c r="BA116" s="10" t="str">
        <f aca="false">IFERROR(1/(1/(SUM($AW116)-SUM($AX116:$AZ116))),"")</f>
        <v/>
      </c>
    </row>
    <row r="117" customFormat="false" ht="15" hidden="false" customHeight="false" outlineLevel="0" collapsed="false">
      <c r="A117" s="0" t="str">
        <f aca="false">INDEX(Prioritization!$D:$D,MATCH($B117,Prioritization!$A:$A,0))</f>
        <v>1 - Scale-up: Saturation</v>
      </c>
      <c r="B117" s="0" t="s">
        <v>214</v>
      </c>
      <c r="C117" s="0" t="s">
        <v>366</v>
      </c>
      <c r="D117" s="0" t="s">
        <v>30</v>
      </c>
      <c r="E117" s="0" t="str">
        <f aca="false">B117&amp;"|"&amp;C117&amp;"|"&amp;D117</f>
        <v>Machinga District [TYnMSwzko3z]|25-34|Female</v>
      </c>
      <c r="F117" s="10" t="n">
        <f aca="false">IF(LEFT($B117,4)="_Mil","",INDEX(Cascade!$T:$T,MATCH($E117,Cascade!$E:$E,0)))</f>
        <v>1209</v>
      </c>
      <c r="G117" s="10" t="str">
        <f aca="false">IF(LEFT($B117,4)="_Mil","",INDEX(Cascade!$U:$U,MATCH($E117,Cascade!$E:$E,0)))</f>
        <v/>
      </c>
      <c r="H117" s="86" t="n">
        <f aca="false">IF(LEFT($B117,4)="_Mil","",INDEX(Cascade!$W:$W,MATCH($E117,Cascade!$E:$E,0)))</f>
        <v>535</v>
      </c>
      <c r="I117" s="10" t="n">
        <f aca="false">IF(LEFT($B117,4)="_Mil","",INDEX(Cascade!$Z:$Z,MATCH($E117,Cascade!$E:$E,0)))</f>
        <v>1140</v>
      </c>
      <c r="J117" s="88" t="n">
        <f aca="false">IF(LEFT($B117,4)="_Mil","",INDEX(Cascade!$AA:$AA,MATCH($E117,Cascade!$E:$E,0)))</f>
        <v>742</v>
      </c>
      <c r="K117" s="39" t="n">
        <f aca="false">IF(LEFT($B117,4)="_Mil","",_xlfn.IFNA(ROUND(INDEX(Spectrum!$N:$N,MATCH(RIGHT($B117,13)&amp;"|"&amp;$C117&amp;"|"&amp;$D117&amp;"|"&amp;K$14&amp;"|"&amp;"CY2023Q3",Spectrum!$R:$R,0)),0),""))</f>
        <v>851</v>
      </c>
      <c r="L117" s="39" t="str">
        <f aca="false">IF(LEFT($B117,4)="_Mil","",_xlfn.IFNA(ROUND(INDEX(Spectrum!$N:$N,MATCH(RIGHT($B117,13)&amp;"|"&amp;$C117&amp;"|"&amp;$D117&amp;"|"&amp;L$14&amp;"|"&amp;"CY2023Q3",Spectrum!$R:$R,0)),0),""))</f>
        <v/>
      </c>
      <c r="M117" s="39" t="n">
        <f aca="false">IF(LEFT($B117,4)="_Mil","",_xlfn.IFNA(ROUND(INDEX(Spectrum!$N:$N,MATCH(RIGHT($B117,13)&amp;"|"&amp;$C117&amp;"|"&amp;$D117&amp;"|"&amp;M$14&amp;"|"&amp;"CY2023Q3",Spectrum!$R:$R,0)),0),""))</f>
        <v>1930</v>
      </c>
      <c r="N117" s="39" t="n">
        <f aca="false">IF(LEFT($B117,4)="_Mil","",_xlfn.IFNA(ROUND(INDEX(Spectrum!$N:$N,MATCH(RIGHT($B117,13)&amp;"|"&amp;$C117&amp;"|"&amp;$D117&amp;"|"&amp;N$14&amp;"|"&amp;"CY2023Q3",Spectrum!$R:$R,0)),0),""))</f>
        <v>1069</v>
      </c>
      <c r="O117" s="39" t="n">
        <f aca="false">IF(LEFT($B117,4)="_Mil","",_xlfn.IFNA(ROUND(INDEX(Spectrum!$N:$N,MATCH(RIGHT($B117,13)&amp;"|"&amp;$C117&amp;"|"&amp;$D117&amp;"|"&amp;O$14&amp;"|"&amp;"CY2023Q3",Spectrum!$R:$R,0)),0),""))</f>
        <v>849</v>
      </c>
      <c r="P117" s="39" t="n">
        <f aca="false">IF(LEFT($B117,4)="_Mil","",_xlfn.IFNA(ROUND(INDEX(Spectrum!$N:$N,MATCH(RIGHT($B117,13)&amp;"|"&amp;$C117&amp;"|"&amp;$D117&amp;"|"&amp;P$14&amp;"|"&amp;"CY2023Q3",Spectrum!$R:$R,0)),0),""))</f>
        <v>1700</v>
      </c>
      <c r="Q117" s="39" t="str">
        <f aca="false">IF(LEFT($B117,4)="_Mil","",_xlfn.IFNA(ROUND(INDEX(Spectrum!$N:$N,MATCH(RIGHT($B117,13)&amp;"|"&amp;$C117&amp;"|"&amp;$D117&amp;"|"&amp;Q$14&amp;"|"&amp;"CY2022Q3",Spectrum!$R:$R,0)),0),""))</f>
        <v/>
      </c>
      <c r="R117" s="10"/>
      <c r="S117" s="88" t="n">
        <f aca="false">0</f>
        <v>0</v>
      </c>
      <c r="T117" s="39" t="str">
        <f aca="false">IF(SUM($R117)=0,"",ROUND($R117*(1+$S117),0))</f>
        <v/>
      </c>
      <c r="U117" s="88" t="n">
        <f aca="false">IF(LEFT($B117,4)="_Mil","",IF(SUM($K117)=0,IF(SUM($R117)=0,"",1),MIN($R117/$K117,1)))</f>
        <v>0</v>
      </c>
      <c r="V117" s="39" t="str">
        <f aca="false">IF(OR(SUM($T117)=0,LEFT($B117,4)="_Mil"),"",ROUND($T117/$U117,0))</f>
        <v/>
      </c>
      <c r="W117" s="88"/>
      <c r="X117" s="88" t="n">
        <f aca="false">IF(SUM($K117,$W117)=0,"",MAX(IFERROR(SUM($L117)/$K117,0),SUM($W117)))</f>
        <v>0</v>
      </c>
      <c r="Y117" s="88"/>
      <c r="Z117" s="88" t="n">
        <f aca="false">IF(SUM($K117,$Y117)=0,"",MIN(SUM($Y117),IFERROR(SUM($M117)/(SUM($K117)-SUM($L117)),1)))</f>
        <v>0</v>
      </c>
      <c r="AA117" s="10" t="str">
        <f aca="false">$T117</f>
        <v/>
      </c>
      <c r="AB117" s="39" t="str">
        <f aca="false">IF(SUM($AA117)=0,"",IF(AND(SUM($AA117)&gt;0,$X117=""),"ENTER KNOWN POSITIVITY RATE",ROUND($AA117*$X117,0)))</f>
        <v/>
      </c>
      <c r="AC117" s="39" t="str">
        <f aca="false">IF(SUM($AA117)=0,"",IF(AND((SUM($AA117)-SUM($AB117))&gt;0,$Z117=""),"ENTER YIELD RATE",ROUND(($AA117-SUM($AB117))*$Z117,0)))</f>
        <v/>
      </c>
      <c r="AD117" s="39" t="str">
        <f aca="false">IF(SUM($AA117)=0,"",$AA117-SUM($AB117)-SUM($AC117))</f>
        <v/>
      </c>
      <c r="AE117" s="10" t="str">
        <f aca="false">$V117</f>
        <v/>
      </c>
      <c r="AF117" s="39" t="str">
        <f aca="false">IF(SUM($AE117)=0,"",ROUND($AE117*SUM($X117),0))</f>
        <v/>
      </c>
      <c r="AG117" s="39" t="str">
        <f aca="false">IF(SUM($AE117)=0,"",ROUND(($AE117-SUM($AF117))*SUM($Z117),0))</f>
        <v/>
      </c>
      <c r="AH117" s="39" t="str">
        <f aca="false">IF(SUM($AE117)=0,"",$AE117-SUM($AF117)-SUM($AG117))</f>
        <v/>
      </c>
      <c r="AI117" s="88" t="str">
        <f aca="false">IF(SUM($AC117)=0,"",INDEX(Cascade!$BG:$BG,MATCH($E117,Cascade!$E:$E,0)))</f>
        <v/>
      </c>
      <c r="AJ117" s="39" t="str">
        <f aca="false">$AB117</f>
        <v/>
      </c>
      <c r="AK117" s="39" t="str">
        <f aca="false">IF(SUM($AC117)=0,"",IF(AND($AI117="",SUM($AC117)&gt;0),"&lt;- Enter Linkage Rate",ROUND($AC117*$AI117,0)))</f>
        <v/>
      </c>
      <c r="AL117" s="39" t="str">
        <f aca="false">IF(SUM($AF117,$AG117)=0,"",SUM($AF117,$AG117))</f>
        <v/>
      </c>
      <c r="AM117" s="39" t="str">
        <f aca="false">$AF117</f>
        <v/>
      </c>
      <c r="AN117" s="39" t="str">
        <f aca="false">IF(SUM($AG117)=0,"",ROUND($AG117*SUM($AI117),0))</f>
        <v/>
      </c>
      <c r="AO117" s="10" t="str">
        <f aca="false">IFERROR(1/(1/MAX(SUM($T117)-SUM($AB117,$AC117),$AD117)),"")</f>
        <v/>
      </c>
      <c r="AP117" s="88"/>
      <c r="AQ117" s="88" t="str">
        <f aca="false">IF($AP117="","",$AP117)</f>
        <v/>
      </c>
      <c r="AR117" s="88" t="str">
        <f aca="false">IF(SUM($AO117)=0,"",INDEX(Cascade!$BG:$BG,MATCH($E117,Cascade!$E:$E,0)))</f>
        <v/>
      </c>
      <c r="AS117" s="39" t="str">
        <f aca="false">IF(SUM($AO117)=0,"",IF(AND(SUM($AO117)&gt;0,$AQ117=""),"ENTER YIELD RATE",ROUND($AO117*$AQ117,0)))</f>
        <v/>
      </c>
      <c r="AT117" s="39" t="str">
        <f aca="false">IF(SUM($AO117)=0,"",$AO117-SUM($AS117))</f>
        <v/>
      </c>
      <c r="AU117" s="10" t="str">
        <f aca="false">IF(SUM($AS117)=0,"",ROUND($AS117*$AR117,0))</f>
        <v/>
      </c>
      <c r="AV117" s="10" t="str">
        <f aca="false">IFERROR(1/(1/SUM($AC117,$AB117,$AS117)),"")</f>
        <v/>
      </c>
      <c r="AW117" s="10" t="str">
        <f aca="false">IFERROR(1/(1/INDEX(Cascade!$BH:$BH,MATCH($E117,Cascade!$E:$E,0))),"")</f>
        <v/>
      </c>
      <c r="AX117" s="10" t="str">
        <f aca="false">IF(SUM($AC117)=0,"",$AC117)</f>
        <v/>
      </c>
      <c r="AY117" s="10" t="str">
        <f aca="false">IF(SUM($AS117)=0,"",$AS117)</f>
        <v/>
      </c>
      <c r="AZ117" s="10" t="str">
        <f aca="false">IFERROR(1/(1/INDEX(TB!$P:$P,MATCH($E117,TB!$E:$E,0))),"")</f>
        <v/>
      </c>
      <c r="BA117" s="10" t="str">
        <f aca="false">IFERROR(1/(1/(SUM($AW117)-SUM($AX117:$AZ117))),"")</f>
        <v/>
      </c>
    </row>
    <row r="118" customFormat="false" ht="15" hidden="false" customHeight="false" outlineLevel="0" collapsed="false">
      <c r="A118" s="0" t="str">
        <f aca="false">INDEX(Prioritization!$D:$D,MATCH($B118,Prioritization!$A:$A,0))</f>
        <v>1 - Scale-up: Saturation</v>
      </c>
      <c r="B118" s="0" t="s">
        <v>214</v>
      </c>
      <c r="C118" s="0" t="s">
        <v>367</v>
      </c>
      <c r="D118" s="0" t="s">
        <v>30</v>
      </c>
      <c r="E118" s="0" t="str">
        <f aca="false">B118&amp;"|"&amp;C118&amp;"|"&amp;D118</f>
        <v>Machinga District [TYnMSwzko3z]|35-49|Female</v>
      </c>
      <c r="F118" s="10" t="n">
        <f aca="false">IF(LEFT($B118,4)="_Mil","",INDEX(Cascade!$T:$T,MATCH($E118,Cascade!$E:$E,0)))</f>
        <v>1015</v>
      </c>
      <c r="G118" s="10" t="str">
        <f aca="false">IF(LEFT($B118,4)="_Mil","",INDEX(Cascade!$U:$U,MATCH($E118,Cascade!$E:$E,0)))</f>
        <v/>
      </c>
      <c r="H118" s="86" t="n">
        <f aca="false">IF(LEFT($B118,4)="_Mil","",INDEX(Cascade!$W:$W,MATCH($E118,Cascade!$E:$E,0)))</f>
        <v>1940</v>
      </c>
      <c r="I118" s="10" t="n">
        <f aca="false">IF(LEFT($B118,4)="_Mil","",INDEX(Cascade!$Z:$Z,MATCH($E118,Cascade!$E:$E,0)))</f>
        <v>1271</v>
      </c>
      <c r="J118" s="88" t="n">
        <f aca="false">IF(LEFT($B118,4)="_Mil","",INDEX(Cascade!$AA:$AA,MATCH($E118,Cascade!$E:$E,0)))</f>
        <v>1197</v>
      </c>
      <c r="K118" s="39" t="n">
        <f aca="false">IF(LEFT($B118,4)="_Mil","",_xlfn.IFNA(ROUND(INDEX(Spectrum!$N:$N,MATCH(RIGHT($B118,13)&amp;"|"&amp;$C118&amp;"|"&amp;$D118&amp;"|"&amp;K$14&amp;"|"&amp;"CY2023Q3",Spectrum!$R:$R,0)),0),""))</f>
        <v>1447</v>
      </c>
      <c r="L118" s="39" t="str">
        <f aca="false">IF(LEFT($B118,4)="_Mil","",_xlfn.IFNA(ROUND(INDEX(Spectrum!$N:$N,MATCH(RIGHT($B118,13)&amp;"|"&amp;$C118&amp;"|"&amp;$D118&amp;"|"&amp;L$14&amp;"|"&amp;"CY2023Q3",Spectrum!$R:$R,0)),0),""))</f>
        <v/>
      </c>
      <c r="M118" s="39" t="n">
        <f aca="false">IF(LEFT($B118,4)="_Mil","",_xlfn.IFNA(ROUND(INDEX(Spectrum!$N:$N,MATCH(RIGHT($B118,13)&amp;"|"&amp;$C118&amp;"|"&amp;$D118&amp;"|"&amp;M$14&amp;"|"&amp;"CY2023Q3",Spectrum!$R:$R,0)),0),""))</f>
        <v>1995</v>
      </c>
      <c r="N118" s="39" t="n">
        <f aca="false">IF(LEFT($B118,4)="_Mil","",_xlfn.IFNA(ROUND(INDEX(Spectrum!$N:$N,MATCH(RIGHT($B118,13)&amp;"|"&amp;$C118&amp;"|"&amp;$D118&amp;"|"&amp;N$14&amp;"|"&amp;"CY2023Q3",Spectrum!$R:$R,0)),0),""))</f>
        <v>1544</v>
      </c>
      <c r="O118" s="39" t="n">
        <f aca="false">IF(LEFT($B118,4)="_Mil","",_xlfn.IFNA(ROUND(INDEX(Spectrum!$N:$N,MATCH(RIGHT($B118,13)&amp;"|"&amp;$C118&amp;"|"&amp;$D118&amp;"|"&amp;O$14&amp;"|"&amp;"CY2023Q3",Spectrum!$R:$R,0)),0),""))</f>
        <v>1875</v>
      </c>
      <c r="P118" s="39" t="n">
        <f aca="false">IF(LEFT($B118,4)="_Mil","",_xlfn.IFNA(ROUND(INDEX(Spectrum!$N:$N,MATCH(RIGHT($B118,13)&amp;"|"&amp;$C118&amp;"|"&amp;$D118&amp;"|"&amp;P$14&amp;"|"&amp;"CY2023Q3",Spectrum!$R:$R,0)),0),""))</f>
        <v>1818</v>
      </c>
      <c r="Q118" s="39" t="str">
        <f aca="false">IF(LEFT($B118,4)="_Mil","",_xlfn.IFNA(ROUND(INDEX(Spectrum!$N:$N,MATCH(RIGHT($B118,13)&amp;"|"&amp;$C118&amp;"|"&amp;$D118&amp;"|"&amp;Q$14&amp;"|"&amp;"CY2022Q3",Spectrum!$R:$R,0)),0),""))</f>
        <v/>
      </c>
      <c r="R118" s="10"/>
      <c r="S118" s="88" t="n">
        <f aca="false">0</f>
        <v>0</v>
      </c>
      <c r="T118" s="39" t="str">
        <f aca="false">IF(SUM($R118)=0,"",ROUND($R118*(1+$S118),0))</f>
        <v/>
      </c>
      <c r="U118" s="88" t="n">
        <f aca="false">IF(LEFT($B118,4)="_Mil","",IF(SUM($K118)=0,IF(SUM($R118)=0,"",1),MIN($R118/$K118,1)))</f>
        <v>0</v>
      </c>
      <c r="V118" s="39" t="str">
        <f aca="false">IF(OR(SUM($T118)=0,LEFT($B118,4)="_Mil"),"",ROUND($T118/$U118,0))</f>
        <v/>
      </c>
      <c r="W118" s="88"/>
      <c r="X118" s="88" t="n">
        <f aca="false">IF(SUM($K118,$W118)=0,"",MAX(IFERROR(SUM($L118)/$K118,0),SUM($W118)))</f>
        <v>0</v>
      </c>
      <c r="Y118" s="88"/>
      <c r="Z118" s="88" t="n">
        <f aca="false">IF(SUM($K118,$Y118)=0,"",MIN(SUM($Y118),IFERROR(SUM($M118)/(SUM($K118)-SUM($L118)),1)))</f>
        <v>0</v>
      </c>
      <c r="AA118" s="10" t="str">
        <f aca="false">$T118</f>
        <v/>
      </c>
      <c r="AB118" s="39" t="str">
        <f aca="false">IF(SUM($AA118)=0,"",IF(AND(SUM($AA118)&gt;0,$X118=""),"ENTER KNOWN POSITIVITY RATE",ROUND($AA118*$X118,0)))</f>
        <v/>
      </c>
      <c r="AC118" s="39" t="str">
        <f aca="false">IF(SUM($AA118)=0,"",IF(AND((SUM($AA118)-SUM($AB118))&gt;0,$Z118=""),"ENTER YIELD RATE",ROUND(($AA118-SUM($AB118))*$Z118,0)))</f>
        <v/>
      </c>
      <c r="AD118" s="39" t="str">
        <f aca="false">IF(SUM($AA118)=0,"",$AA118-SUM($AB118)-SUM($AC118))</f>
        <v/>
      </c>
      <c r="AE118" s="10" t="str">
        <f aca="false">$V118</f>
        <v/>
      </c>
      <c r="AF118" s="39" t="str">
        <f aca="false">IF(SUM($AE118)=0,"",ROUND($AE118*SUM($X118),0))</f>
        <v/>
      </c>
      <c r="AG118" s="39" t="str">
        <f aca="false">IF(SUM($AE118)=0,"",ROUND(($AE118-SUM($AF118))*SUM($Z118),0))</f>
        <v/>
      </c>
      <c r="AH118" s="39" t="str">
        <f aca="false">IF(SUM($AE118)=0,"",$AE118-SUM($AF118)-SUM($AG118))</f>
        <v/>
      </c>
      <c r="AI118" s="88" t="str">
        <f aca="false">IF(SUM($AC118)=0,"",INDEX(Cascade!$BG:$BG,MATCH($E118,Cascade!$E:$E,0)))</f>
        <v/>
      </c>
      <c r="AJ118" s="39" t="str">
        <f aca="false">$AB118</f>
        <v/>
      </c>
      <c r="AK118" s="39" t="str">
        <f aca="false">IF(SUM($AC118)=0,"",IF(AND($AI118="",SUM($AC118)&gt;0),"&lt;- Enter Linkage Rate",ROUND($AC118*$AI118,0)))</f>
        <v/>
      </c>
      <c r="AL118" s="39" t="str">
        <f aca="false">IF(SUM($AF118,$AG118)=0,"",SUM($AF118,$AG118))</f>
        <v/>
      </c>
      <c r="AM118" s="39" t="str">
        <f aca="false">$AF118</f>
        <v/>
      </c>
      <c r="AN118" s="39" t="str">
        <f aca="false">IF(SUM($AG118)=0,"",ROUND($AG118*SUM($AI118),0))</f>
        <v/>
      </c>
      <c r="AO118" s="10" t="str">
        <f aca="false">IFERROR(1/(1/MAX(SUM($T118)-SUM($AB118,$AC118),$AD118)),"")</f>
        <v/>
      </c>
      <c r="AP118" s="88"/>
      <c r="AQ118" s="88" t="str">
        <f aca="false">IF($AP118="","",$AP118)</f>
        <v/>
      </c>
      <c r="AR118" s="88" t="str">
        <f aca="false">IF(SUM($AO118)=0,"",INDEX(Cascade!$BG:$BG,MATCH($E118,Cascade!$E:$E,0)))</f>
        <v/>
      </c>
      <c r="AS118" s="39" t="str">
        <f aca="false">IF(SUM($AO118)=0,"",IF(AND(SUM($AO118)&gt;0,$AQ118=""),"ENTER YIELD RATE",ROUND($AO118*$AQ118,0)))</f>
        <v/>
      </c>
      <c r="AT118" s="39" t="str">
        <f aca="false">IF(SUM($AO118)=0,"",$AO118-SUM($AS118))</f>
        <v/>
      </c>
      <c r="AU118" s="10" t="str">
        <f aca="false">IF(SUM($AS118)=0,"",ROUND($AS118*$AR118,0))</f>
        <v/>
      </c>
      <c r="AV118" s="10" t="str">
        <f aca="false">IFERROR(1/(1/SUM($AC118,$AB118,$AS118)),"")</f>
        <v/>
      </c>
      <c r="AW118" s="10" t="str">
        <f aca="false">IFERROR(1/(1/INDEX(Cascade!$BH:$BH,MATCH($E118,Cascade!$E:$E,0))),"")</f>
        <v/>
      </c>
      <c r="AX118" s="10" t="str">
        <f aca="false">IF(SUM($AC118)=0,"",$AC118)</f>
        <v/>
      </c>
      <c r="AY118" s="10" t="str">
        <f aca="false">IF(SUM($AS118)=0,"",$AS118)</f>
        <v/>
      </c>
      <c r="AZ118" s="10" t="str">
        <f aca="false">IFERROR(1/(1/INDEX(TB!$P:$P,MATCH($E118,TB!$E:$E,0))),"")</f>
        <v/>
      </c>
      <c r="BA118" s="10" t="str">
        <f aca="false">IFERROR(1/(1/(SUM($AW118)-SUM($AX118:$AZ118))),"")</f>
        <v/>
      </c>
    </row>
    <row r="119" customFormat="false" ht="15" hidden="false" customHeight="false" outlineLevel="0" collapsed="false">
      <c r="A119" s="0" t="str">
        <f aca="false">INDEX(Prioritization!$D:$D,MATCH($B119,Prioritization!$A:$A,0))</f>
        <v>1 - Scale-up: Saturation</v>
      </c>
      <c r="B119" s="0" t="s">
        <v>214</v>
      </c>
      <c r="C119" s="0" t="s">
        <v>368</v>
      </c>
      <c r="D119" s="0" t="s">
        <v>30</v>
      </c>
      <c r="E119" s="0" t="str">
        <f aca="false">B119&amp;"|"&amp;C119&amp;"|"&amp;D119</f>
        <v>Machinga District [TYnMSwzko3z]|50+|Female</v>
      </c>
      <c r="F119" s="10" t="n">
        <f aca="false">IF(LEFT($B119,4)="_Mil","",INDEX(Cascade!$T:$T,MATCH($E119,Cascade!$E:$E,0)))</f>
        <v>1173</v>
      </c>
      <c r="G119" s="10" t="str">
        <f aca="false">IF(LEFT($B119,4)="_Mil","",INDEX(Cascade!$U:$U,MATCH($E119,Cascade!$E:$E,0)))</f>
        <v/>
      </c>
      <c r="H119" s="86" t="n">
        <f aca="false">IF(LEFT($B119,4)="_Mil","",INDEX(Cascade!$W:$W,MATCH($E119,Cascade!$E:$E,0)))</f>
        <v>789</v>
      </c>
      <c r="I119" s="10" t="n">
        <f aca="false">IF(LEFT($B119,4)="_Mil","",INDEX(Cascade!$Z:$Z,MATCH($E119,Cascade!$E:$E,0)))</f>
        <v>1456</v>
      </c>
      <c r="J119" s="88" t="n">
        <f aca="false">IF(LEFT($B119,4)="_Mil","",INDEX(Cascade!$AA:$AA,MATCH($E119,Cascade!$E:$E,0)))</f>
        <v>1953</v>
      </c>
      <c r="K119" s="39" t="str">
        <f aca="false">IF(LEFT($B119,4)="_Mil","",_xlfn.IFNA(ROUND(INDEX(Spectrum!$N:$N,MATCH(RIGHT($B119,13)&amp;"|"&amp;$C119&amp;"|"&amp;$D119&amp;"|"&amp;K$14&amp;"|"&amp;"CY2023Q3",Spectrum!$R:$R,0)),0),""))</f>
        <v/>
      </c>
      <c r="L119" s="39" t="str">
        <f aca="false">IF(LEFT($B119,4)="_Mil","",_xlfn.IFNA(ROUND(INDEX(Spectrum!$N:$N,MATCH(RIGHT($B119,13)&amp;"|"&amp;$C119&amp;"|"&amp;$D119&amp;"|"&amp;L$14&amp;"|"&amp;"CY2023Q3",Spectrum!$R:$R,0)),0),""))</f>
        <v/>
      </c>
      <c r="M119" s="39" t="str">
        <f aca="false">IF(LEFT($B119,4)="_Mil","",_xlfn.IFNA(ROUND(INDEX(Spectrum!$N:$N,MATCH(RIGHT($B119,13)&amp;"|"&amp;$C119&amp;"|"&amp;$D119&amp;"|"&amp;M$14&amp;"|"&amp;"CY2023Q3",Spectrum!$R:$R,0)),0),""))</f>
        <v/>
      </c>
      <c r="N119" s="39" t="str">
        <f aca="false">IF(LEFT($B119,4)="_Mil","",_xlfn.IFNA(ROUND(INDEX(Spectrum!$N:$N,MATCH(RIGHT($B119,13)&amp;"|"&amp;$C119&amp;"|"&amp;$D119&amp;"|"&amp;N$14&amp;"|"&amp;"CY2023Q3",Spectrum!$R:$R,0)),0),""))</f>
        <v/>
      </c>
      <c r="O119" s="39" t="str">
        <f aca="false">IF(LEFT($B119,4)="_Mil","",_xlfn.IFNA(ROUND(INDEX(Spectrum!$N:$N,MATCH(RIGHT($B119,13)&amp;"|"&amp;$C119&amp;"|"&amp;$D119&amp;"|"&amp;O$14&amp;"|"&amp;"CY2023Q3",Spectrum!$R:$R,0)),0),""))</f>
        <v/>
      </c>
      <c r="P119" s="39" t="str">
        <f aca="false">IF(LEFT($B119,4)="_Mil","",_xlfn.IFNA(ROUND(INDEX(Spectrum!$N:$N,MATCH(RIGHT($B119,13)&amp;"|"&amp;$C119&amp;"|"&amp;$D119&amp;"|"&amp;P$14&amp;"|"&amp;"CY2023Q3",Spectrum!$R:$R,0)),0),""))</f>
        <v/>
      </c>
      <c r="Q119" s="39" t="str">
        <f aca="false">IF(LEFT($B119,4)="_Mil","",_xlfn.IFNA(ROUND(INDEX(Spectrum!$N:$N,MATCH(RIGHT($B119,13)&amp;"|"&amp;$C119&amp;"|"&amp;$D119&amp;"|"&amp;Q$14&amp;"|"&amp;"CY2022Q3",Spectrum!$R:$R,0)),0),""))</f>
        <v/>
      </c>
      <c r="R119" s="10"/>
      <c r="S119" s="88" t="n">
        <f aca="false">0</f>
        <v>0</v>
      </c>
      <c r="T119" s="39" t="str">
        <f aca="false">IF(SUM($R119)=0,"",ROUND($R119*(1+$S119),0))</f>
        <v/>
      </c>
      <c r="U119" s="88" t="str">
        <f aca="false">IF(LEFT($B119,4)="_Mil","",IF(SUM($K119)=0,IF(SUM($R119)=0,"",1),MIN($R119/$K119,1)))</f>
        <v/>
      </c>
      <c r="V119" s="39" t="str">
        <f aca="false">IF(OR(SUM($T119)=0,LEFT($B119,4)="_Mil"),"",ROUND($T119/$U119,0))</f>
        <v/>
      </c>
      <c r="W119" s="88"/>
      <c r="X119" s="88" t="str">
        <f aca="false">IF(SUM($K119,$W119)=0,"",MAX(IFERROR(SUM($L119)/$K119,0),SUM($W119)))</f>
        <v/>
      </c>
      <c r="Y119" s="88"/>
      <c r="Z119" s="88" t="str">
        <f aca="false">IF(SUM($K119,$Y119)=0,"",MIN(SUM($Y119),IFERROR(SUM($M119)/(SUM($K119)-SUM($L119)),1)))</f>
        <v/>
      </c>
      <c r="AA119" s="10" t="str">
        <f aca="false">$T119</f>
        <v/>
      </c>
      <c r="AB119" s="39" t="str">
        <f aca="false">IF(SUM($AA119)=0,"",IF(AND(SUM($AA119)&gt;0,$X119=""),"ENTER KNOWN POSITIVITY RATE",ROUND($AA119*$X119,0)))</f>
        <v/>
      </c>
      <c r="AC119" s="39" t="str">
        <f aca="false">IF(SUM($AA119)=0,"",IF(AND((SUM($AA119)-SUM($AB119))&gt;0,$Z119=""),"ENTER YIELD RATE",ROUND(($AA119-SUM($AB119))*$Z119,0)))</f>
        <v/>
      </c>
      <c r="AD119" s="39" t="str">
        <f aca="false">IF(SUM($AA119)=0,"",$AA119-SUM($AB119)-SUM($AC119))</f>
        <v/>
      </c>
      <c r="AE119" s="10" t="str">
        <f aca="false">$V119</f>
        <v/>
      </c>
      <c r="AF119" s="39" t="str">
        <f aca="false">IF(SUM($AE119)=0,"",ROUND($AE119*SUM($X119),0))</f>
        <v/>
      </c>
      <c r="AG119" s="39" t="str">
        <f aca="false">IF(SUM($AE119)=0,"",ROUND(($AE119-SUM($AF119))*SUM($Z119),0))</f>
        <v/>
      </c>
      <c r="AH119" s="39" t="str">
        <f aca="false">IF(SUM($AE119)=0,"",$AE119-SUM($AF119)-SUM($AG119))</f>
        <v/>
      </c>
      <c r="AI119" s="88" t="str">
        <f aca="false">IF(SUM($AC119)=0,"",INDEX(Cascade!$BG:$BG,MATCH($E119,Cascade!$E:$E,0)))</f>
        <v/>
      </c>
      <c r="AJ119" s="39" t="str">
        <f aca="false">$AB119</f>
        <v/>
      </c>
      <c r="AK119" s="39" t="str">
        <f aca="false">IF(SUM($AC119)=0,"",IF(AND($AI119="",SUM($AC119)&gt;0),"&lt;- Enter Linkage Rate",ROUND($AC119*$AI119,0)))</f>
        <v/>
      </c>
      <c r="AL119" s="39" t="str">
        <f aca="false">IF(SUM($AF119,$AG119)=0,"",SUM($AF119,$AG119))</f>
        <v/>
      </c>
      <c r="AM119" s="39" t="str">
        <f aca="false">$AF119</f>
        <v/>
      </c>
      <c r="AN119" s="39" t="str">
        <f aca="false">IF(SUM($AG119)=0,"",ROUND($AG119*SUM($AI119),0))</f>
        <v/>
      </c>
      <c r="AO119" s="10" t="str">
        <f aca="false">IFERROR(1/(1/MAX(SUM($T119)-SUM($AB119,$AC119),$AD119)),"")</f>
        <v/>
      </c>
      <c r="AP119" s="88"/>
      <c r="AQ119" s="88" t="str">
        <f aca="false">IF($AP119="","",$AP119)</f>
        <v/>
      </c>
      <c r="AR119" s="88" t="str">
        <f aca="false">IF(SUM($AO119)=0,"",INDEX(Cascade!$BG:$BG,MATCH($E119,Cascade!$E:$E,0)))</f>
        <v/>
      </c>
      <c r="AS119" s="39" t="str">
        <f aca="false">IF(SUM($AO119)=0,"",IF(AND(SUM($AO119)&gt;0,$AQ119=""),"ENTER YIELD RATE",ROUND($AO119*$AQ119,0)))</f>
        <v/>
      </c>
      <c r="AT119" s="39" t="str">
        <f aca="false">IF(SUM($AO119)=0,"",$AO119-SUM($AS119))</f>
        <v/>
      </c>
      <c r="AU119" s="10" t="str">
        <f aca="false">IF(SUM($AS119)=0,"",ROUND($AS119*$AR119,0))</f>
        <v/>
      </c>
      <c r="AV119" s="10" t="str">
        <f aca="false">IFERROR(1/(1/SUM($AC119,$AB119,$AS119)),"")</f>
        <v/>
      </c>
      <c r="AW119" s="10" t="str">
        <f aca="false">IFERROR(1/(1/INDEX(Cascade!$BH:$BH,MATCH($E119,Cascade!$E:$E,0))),"")</f>
        <v/>
      </c>
      <c r="AX119" s="10" t="str">
        <f aca="false">IF(SUM($AC119)=0,"",$AC119)</f>
        <v/>
      </c>
      <c r="AY119" s="10" t="str">
        <f aca="false">IF(SUM($AS119)=0,"",$AS119)</f>
        <v/>
      </c>
      <c r="AZ119" s="10" t="str">
        <f aca="false">IFERROR(1/(1/INDEX(TB!$P:$P,MATCH($E119,TB!$E:$E,0))),"")</f>
        <v/>
      </c>
      <c r="BA119" s="10" t="str">
        <f aca="false">IFERROR(1/(1/(SUM($AW119)-SUM($AX119:$AZ119))),"")</f>
        <v/>
      </c>
    </row>
    <row r="120" customFormat="false" ht="15" hidden="false" customHeight="false" outlineLevel="0" collapsed="false">
      <c r="A120" s="0" t="str">
        <f aca="false">INDEX(Prioritization!$D:$D,MATCH($B120,Prioritization!$A:$A,0))</f>
        <v>INVALID</v>
      </c>
      <c r="B120" s="0" t="s">
        <v>215</v>
      </c>
      <c r="C120" s="0" t="s">
        <v>364</v>
      </c>
      <c r="D120" s="0" t="s">
        <v>30</v>
      </c>
      <c r="E120" s="0" t="str">
        <f aca="false">B120&amp;"|"&amp;C120&amp;"|"&amp;D120</f>
        <v>Mangochi District [lLDyBx5XyUi]|10-14|Female</v>
      </c>
      <c r="F120" s="10" t="n">
        <f aca="false">IF(LEFT($B120,4)="_Mil","",INDEX(Cascade!$T:$T,MATCH($E120,Cascade!$E:$E,0)))</f>
        <v>1252</v>
      </c>
      <c r="G120" s="10" t="str">
        <f aca="false">IF(LEFT($B120,4)="_Mil","",INDEX(Cascade!$U:$U,MATCH($E120,Cascade!$E:$E,0)))</f>
        <v/>
      </c>
      <c r="H120" s="86" t="n">
        <f aca="false">IF(LEFT($B120,4)="_Mil","",INDEX(Cascade!$W:$W,MATCH($E120,Cascade!$E:$E,0)))</f>
        <v>1133</v>
      </c>
      <c r="I120" s="10" t="n">
        <f aca="false">IF(LEFT($B120,4)="_Mil","",INDEX(Cascade!$Z:$Z,MATCH($E120,Cascade!$E:$E,0)))</f>
        <v>879</v>
      </c>
      <c r="J120" s="88" t="n">
        <f aca="false">IF(LEFT($B120,4)="_Mil","",INDEX(Cascade!$AA:$AA,MATCH($E120,Cascade!$E:$E,0)))</f>
        <v>1988</v>
      </c>
      <c r="K120" s="39" t="str">
        <f aca="false">IF(LEFT($B120,4)="_Mil","",_xlfn.IFNA(ROUND(INDEX(Spectrum!$N:$N,MATCH(RIGHT($B120,13)&amp;"|"&amp;$C120&amp;"|"&amp;$D120&amp;"|"&amp;K$14&amp;"|"&amp;"CY2023Q3",Spectrum!$R:$R,0)),0),""))</f>
        <v/>
      </c>
      <c r="L120" s="39" t="str">
        <f aca="false">IF(LEFT($B120,4)="_Mil","",_xlfn.IFNA(ROUND(INDEX(Spectrum!$N:$N,MATCH(RIGHT($B120,13)&amp;"|"&amp;$C120&amp;"|"&amp;$D120&amp;"|"&amp;L$14&amp;"|"&amp;"CY2023Q3",Spectrum!$R:$R,0)),0),""))</f>
        <v/>
      </c>
      <c r="M120" s="39" t="str">
        <f aca="false">IF(LEFT($B120,4)="_Mil","",_xlfn.IFNA(ROUND(INDEX(Spectrum!$N:$N,MATCH(RIGHT($B120,13)&amp;"|"&amp;$C120&amp;"|"&amp;$D120&amp;"|"&amp;M$14&amp;"|"&amp;"CY2023Q3",Spectrum!$R:$R,0)),0),""))</f>
        <v/>
      </c>
      <c r="N120" s="39" t="str">
        <f aca="false">IF(LEFT($B120,4)="_Mil","",_xlfn.IFNA(ROUND(INDEX(Spectrum!$N:$N,MATCH(RIGHT($B120,13)&amp;"|"&amp;$C120&amp;"|"&amp;$D120&amp;"|"&amp;N$14&amp;"|"&amp;"CY2023Q3",Spectrum!$R:$R,0)),0),""))</f>
        <v/>
      </c>
      <c r="O120" s="39" t="str">
        <f aca="false">IF(LEFT($B120,4)="_Mil","",_xlfn.IFNA(ROUND(INDEX(Spectrum!$N:$N,MATCH(RIGHT($B120,13)&amp;"|"&amp;$C120&amp;"|"&amp;$D120&amp;"|"&amp;O$14&amp;"|"&amp;"CY2023Q3",Spectrum!$R:$R,0)),0),""))</f>
        <v/>
      </c>
      <c r="P120" s="39" t="str">
        <f aca="false">IF(LEFT($B120,4)="_Mil","",_xlfn.IFNA(ROUND(INDEX(Spectrum!$N:$N,MATCH(RIGHT($B120,13)&amp;"|"&amp;$C120&amp;"|"&amp;$D120&amp;"|"&amp;P$14&amp;"|"&amp;"CY2023Q3",Spectrum!$R:$R,0)),0),""))</f>
        <v/>
      </c>
      <c r="Q120" s="39" t="str">
        <f aca="false">IF(LEFT($B120,4)="_Mil","",_xlfn.IFNA(ROUND(INDEX(Spectrum!$N:$N,MATCH(RIGHT($B120,13)&amp;"|"&amp;$C120&amp;"|"&amp;$D120&amp;"|"&amp;Q$14&amp;"|"&amp;"CY2022Q3",Spectrum!$R:$R,0)),0),""))</f>
        <v/>
      </c>
      <c r="R120" s="10" t="n">
        <v>78</v>
      </c>
      <c r="S120" s="88" t="n">
        <f aca="false">0</f>
        <v>0</v>
      </c>
      <c r="T120" s="39" t="n">
        <f aca="false">IF(SUM($R120)=0,"",ROUND($R120*(1+$S120),0))</f>
        <v>78</v>
      </c>
      <c r="U120" s="88" t="n">
        <f aca="false">IF(LEFT($B120,4)="_Mil","",IF(SUM($K120)=0,IF(SUM($R120)=0,"",1),MIN($R120/$K120,1)))</f>
        <v>1</v>
      </c>
      <c r="V120" s="39" t="n">
        <f aca="false">IF(OR(SUM($T120)=0,LEFT($B120,4)="_Mil"),"",ROUND($T120/$U120,0))</f>
        <v>78</v>
      </c>
      <c r="W120" s="88" t="n">
        <v>0.223691334249452</v>
      </c>
      <c r="X120" s="88" t="n">
        <f aca="false">IF(SUM($K120,$W120)=0,"",MAX(IFERROR(SUM($L120)/$K120,0),SUM($W120)))</f>
        <v>0.223691334249452</v>
      </c>
      <c r="Y120" s="88" t="n">
        <v>0.0607291727792472</v>
      </c>
      <c r="Z120" s="88" t="n">
        <f aca="false">IF(SUM($K120,$Y120)=0,"",MIN(SUM($Y120),IFERROR(SUM($M120)/(SUM($K120)-SUM($L120)),1)))</f>
        <v>0.0607291727792472</v>
      </c>
      <c r="AA120" s="10" t="n">
        <f aca="false">$T120</f>
        <v>78</v>
      </c>
      <c r="AB120" s="39" t="n">
        <f aca="false">IF(SUM($AA120)=0,"",IF(AND(SUM($AA120)&gt;0,$X120=""),"ENTER KNOWN POSITIVITY RATE",ROUND($AA120*$X120,0)))</f>
        <v>17</v>
      </c>
      <c r="AC120" s="39" t="n">
        <f aca="false">IF(SUM($AA120)=0,"",IF(AND((SUM($AA120)-SUM($AB120))&gt;0,$Z120=""),"ENTER YIELD RATE",ROUND(($AA120-SUM($AB120))*$Z120,0)))</f>
        <v>4</v>
      </c>
      <c r="AD120" s="39" t="n">
        <f aca="false">IF(SUM($AA120)=0,"",$AA120-SUM($AB120)-SUM($AC120))</f>
        <v>57</v>
      </c>
      <c r="AE120" s="10" t="n">
        <f aca="false">$V120</f>
        <v>78</v>
      </c>
      <c r="AF120" s="39" t="n">
        <f aca="false">IF(SUM($AE120)=0,"",ROUND($AE120*SUM($X120),0))</f>
        <v>17</v>
      </c>
      <c r="AG120" s="39" t="n">
        <f aca="false">IF(SUM($AE120)=0,"",ROUND(($AE120-SUM($AF120))*SUM($Z120),0))</f>
        <v>4</v>
      </c>
      <c r="AH120" s="39" t="n">
        <f aca="false">IF(SUM($AE120)=0,"",$AE120-SUM($AF120)-SUM($AG120))</f>
        <v>57</v>
      </c>
      <c r="AI120" s="88" t="n">
        <f aca="false">IF(SUM($AC120)=0,"",INDEX(Cascade!$BG:$BG,MATCH($E120,Cascade!$E:$E,0)))</f>
        <v>0.95</v>
      </c>
      <c r="AJ120" s="39" t="n">
        <f aca="false">$AB120</f>
        <v>17</v>
      </c>
      <c r="AK120" s="39" t="n">
        <f aca="false">IF(SUM($AC120)=0,"",IF(AND($AI120="",SUM($AC120)&gt;0),"&lt;- Enter Linkage Rate",ROUND($AC120*$AI120,0)))</f>
        <v>4</v>
      </c>
      <c r="AL120" s="39" t="n">
        <f aca="false">IF(SUM($AF120,$AG120)=0,"",SUM($AF120,$AG120))</f>
        <v>21</v>
      </c>
      <c r="AM120" s="39" t="n">
        <f aca="false">$AF120</f>
        <v>17</v>
      </c>
      <c r="AN120" s="39" t="n">
        <f aca="false">IF(SUM($AG120)=0,"",ROUND($AG120*SUM($AI120),0))</f>
        <v>4</v>
      </c>
      <c r="AO120" s="10" t="n">
        <f aca="false">IFERROR(1/(1/MAX(SUM($T120)-SUM($AB120,$AC120),$AD120)),"")</f>
        <v>57</v>
      </c>
      <c r="AP120" s="88"/>
      <c r="AQ120" s="88" t="str">
        <f aca="false">IF($AP120="","",$AP120)</f>
        <v/>
      </c>
      <c r="AR120" s="88" t="n">
        <f aca="false">IF(SUM($AO120)=0,"",INDEX(Cascade!$BG:$BG,MATCH($E120,Cascade!$E:$E,0)))</f>
        <v>0.95</v>
      </c>
      <c r="AS120" s="39" t="str">
        <f aca="false">IF(SUM($AO120)=0,"",IF(AND(SUM($AO120)&gt;0,$AQ120=""),"ENTER YIELD RATE",ROUND($AO120*$AQ120,0)))</f>
        <v>ENTER YIELD RATE</v>
      </c>
      <c r="AT120" s="39" t="n">
        <f aca="false">IF(SUM($AO120)=0,"",$AO120-SUM($AS120))</f>
        <v>57</v>
      </c>
      <c r="AU120" s="10" t="str">
        <f aca="false">IF(SUM($AS120)=0,"",ROUND($AS120*$AR120,0))</f>
        <v/>
      </c>
      <c r="AV120" s="10" t="n">
        <f aca="false">IFERROR(1/(1/SUM($AC120,$AB120,$AS120)),"")</f>
        <v>21</v>
      </c>
      <c r="AW120" s="10" t="n">
        <f aca="false">IFERROR(1/(1/INDEX(Cascade!$BH:$BH,MATCH($E120,Cascade!$E:$E,0))),"")</f>
        <v>-77</v>
      </c>
      <c r="AX120" s="10" t="n">
        <f aca="false">IF(SUM($AC120)=0,"",$AC120)</f>
        <v>4</v>
      </c>
      <c r="AY120" s="10" t="str">
        <f aca="false">IF(SUM($AS120)=0,"",$AS120)</f>
        <v/>
      </c>
      <c r="AZ120" s="10" t="str">
        <f aca="false">IFERROR(1/(1/INDEX(TB!$P:$P,MATCH($E120,TB!$E:$E,0))),"")</f>
        <v/>
      </c>
      <c r="BA120" s="10" t="n">
        <f aca="false">IFERROR(1/(1/(SUM($AW120)-SUM($AX120:$AZ120))),"")</f>
        <v>-81</v>
      </c>
    </row>
    <row r="121" customFormat="false" ht="15" hidden="false" customHeight="false" outlineLevel="0" collapsed="false">
      <c r="A121" s="0" t="str">
        <f aca="false">INDEX(Prioritization!$D:$D,MATCH($B121,Prioritization!$A:$A,0))</f>
        <v>INVALID</v>
      </c>
      <c r="B121" s="0" t="s">
        <v>215</v>
      </c>
      <c r="C121" s="0" t="s">
        <v>365</v>
      </c>
      <c r="D121" s="0" t="s">
        <v>30</v>
      </c>
      <c r="E121" s="0" t="str">
        <f aca="false">B121&amp;"|"&amp;C121&amp;"|"&amp;D121</f>
        <v>Mangochi District [lLDyBx5XyUi]|15-24|Female</v>
      </c>
      <c r="F121" s="10" t="n">
        <f aca="false">IF(LEFT($B121,4)="_Mil","",INDEX(Cascade!$T:$T,MATCH($E121,Cascade!$E:$E,0)))</f>
        <v>1319</v>
      </c>
      <c r="G121" s="10" t="str">
        <f aca="false">IF(LEFT($B121,4)="_Mil","",INDEX(Cascade!$U:$U,MATCH($E121,Cascade!$E:$E,0)))</f>
        <v/>
      </c>
      <c r="H121" s="86" t="n">
        <f aca="false">IF(LEFT($B121,4)="_Mil","",INDEX(Cascade!$W:$W,MATCH($E121,Cascade!$E:$E,0)))</f>
        <v>1883</v>
      </c>
      <c r="I121" s="10" t="n">
        <f aca="false">IF(LEFT($B121,4)="_Mil","",INDEX(Cascade!$Z:$Z,MATCH($E121,Cascade!$E:$E,0)))</f>
        <v>1475</v>
      </c>
      <c r="J121" s="88" t="n">
        <f aca="false">IF(LEFT($B121,4)="_Mil","",INDEX(Cascade!$AA:$AA,MATCH($E121,Cascade!$E:$E,0)))</f>
        <v>1449</v>
      </c>
      <c r="K121" s="39" t="n">
        <f aca="false">IF(LEFT($B121,4)="_Mil","",_xlfn.IFNA(ROUND(INDEX(Spectrum!$N:$N,MATCH(RIGHT($B121,13)&amp;"|"&amp;$C121&amp;"|"&amp;$D121&amp;"|"&amp;K$14&amp;"|"&amp;"CY2023Q3",Spectrum!$R:$R,0)),0),""))</f>
        <v>1129</v>
      </c>
      <c r="L121" s="39" t="str">
        <f aca="false">IF(LEFT($B121,4)="_Mil","",_xlfn.IFNA(ROUND(INDEX(Spectrum!$N:$N,MATCH(RIGHT($B121,13)&amp;"|"&amp;$C121&amp;"|"&amp;$D121&amp;"|"&amp;L$14&amp;"|"&amp;"CY2023Q3",Spectrum!$R:$R,0)),0),""))</f>
        <v/>
      </c>
      <c r="M121" s="39" t="n">
        <f aca="false">IF(LEFT($B121,4)="_Mil","",_xlfn.IFNA(ROUND(INDEX(Spectrum!$N:$N,MATCH(RIGHT($B121,13)&amp;"|"&amp;$C121&amp;"|"&amp;$D121&amp;"|"&amp;M$14&amp;"|"&amp;"CY2023Q3",Spectrum!$R:$R,0)),0),""))</f>
        <v>1071</v>
      </c>
      <c r="N121" s="39" t="n">
        <f aca="false">IF(LEFT($B121,4)="_Mil","",_xlfn.IFNA(ROUND(INDEX(Spectrum!$N:$N,MATCH(RIGHT($B121,13)&amp;"|"&amp;$C121&amp;"|"&amp;$D121&amp;"|"&amp;N$14&amp;"|"&amp;"CY2023Q3",Spectrum!$R:$R,0)),0),""))</f>
        <v>865</v>
      </c>
      <c r="O121" s="39" t="n">
        <f aca="false">IF(LEFT($B121,4)="_Mil","",_xlfn.IFNA(ROUND(INDEX(Spectrum!$N:$N,MATCH(RIGHT($B121,13)&amp;"|"&amp;$C121&amp;"|"&amp;$D121&amp;"|"&amp;O$14&amp;"|"&amp;"CY2023Q3",Spectrum!$R:$R,0)),0),""))</f>
        <v>1159</v>
      </c>
      <c r="P121" s="39" t="n">
        <f aca="false">IF(LEFT($B121,4)="_Mil","",_xlfn.IFNA(ROUND(INDEX(Spectrum!$N:$N,MATCH(RIGHT($B121,13)&amp;"|"&amp;$C121&amp;"|"&amp;$D121&amp;"|"&amp;P$14&amp;"|"&amp;"CY2023Q3",Spectrum!$R:$R,0)),0),""))</f>
        <v>992</v>
      </c>
      <c r="Q121" s="39" t="str">
        <f aca="false">IF(LEFT($B121,4)="_Mil","",_xlfn.IFNA(ROUND(INDEX(Spectrum!$N:$N,MATCH(RIGHT($B121,13)&amp;"|"&amp;$C121&amp;"|"&amp;$D121&amp;"|"&amp;Q$14&amp;"|"&amp;"CY2022Q3",Spectrum!$R:$R,0)),0),""))</f>
        <v/>
      </c>
      <c r="R121" s="10"/>
      <c r="S121" s="88" t="n">
        <f aca="false">0</f>
        <v>0</v>
      </c>
      <c r="T121" s="39" t="str">
        <f aca="false">IF(SUM($R121)=0,"",ROUND($R121*(1+$S121),0))</f>
        <v/>
      </c>
      <c r="U121" s="88" t="n">
        <f aca="false">IF(LEFT($B121,4)="_Mil","",IF(SUM($K121)=0,IF(SUM($R121)=0,"",1),MIN($R121/$K121,1)))</f>
        <v>0</v>
      </c>
      <c r="V121" s="39" t="str">
        <f aca="false">IF(OR(SUM($T121)=0,LEFT($B121,4)="_Mil"),"",ROUND($T121/$U121,0))</f>
        <v/>
      </c>
      <c r="W121" s="88"/>
      <c r="X121" s="88" t="n">
        <f aca="false">IF(SUM($K121,$W121)=0,"",MAX(IFERROR(SUM($L121)/$K121,0),SUM($W121)))</f>
        <v>0</v>
      </c>
      <c r="Y121" s="88"/>
      <c r="Z121" s="88" t="n">
        <f aca="false">IF(SUM($K121,$Y121)=0,"",MIN(SUM($Y121),IFERROR(SUM($M121)/(SUM($K121)-SUM($L121)),1)))</f>
        <v>0</v>
      </c>
      <c r="AA121" s="10" t="str">
        <f aca="false">$T121</f>
        <v/>
      </c>
      <c r="AB121" s="39" t="str">
        <f aca="false">IF(SUM($AA121)=0,"",IF(AND(SUM($AA121)&gt;0,$X121=""),"ENTER KNOWN POSITIVITY RATE",ROUND($AA121*$X121,0)))</f>
        <v/>
      </c>
      <c r="AC121" s="39" t="str">
        <f aca="false">IF(SUM($AA121)=0,"",IF(AND((SUM($AA121)-SUM($AB121))&gt;0,$Z121=""),"ENTER YIELD RATE",ROUND(($AA121-SUM($AB121))*$Z121,0)))</f>
        <v/>
      </c>
      <c r="AD121" s="39" t="str">
        <f aca="false">IF(SUM($AA121)=0,"",$AA121-SUM($AB121)-SUM($AC121))</f>
        <v/>
      </c>
      <c r="AE121" s="10" t="str">
        <f aca="false">$V121</f>
        <v/>
      </c>
      <c r="AF121" s="39" t="str">
        <f aca="false">IF(SUM($AE121)=0,"",ROUND($AE121*SUM($X121),0))</f>
        <v/>
      </c>
      <c r="AG121" s="39" t="str">
        <f aca="false">IF(SUM($AE121)=0,"",ROUND(($AE121-SUM($AF121))*SUM($Z121),0))</f>
        <v/>
      </c>
      <c r="AH121" s="39" t="str">
        <f aca="false">IF(SUM($AE121)=0,"",$AE121-SUM($AF121)-SUM($AG121))</f>
        <v/>
      </c>
      <c r="AI121" s="88" t="str">
        <f aca="false">IF(SUM($AC121)=0,"",INDEX(Cascade!$BG:$BG,MATCH($E121,Cascade!$E:$E,0)))</f>
        <v/>
      </c>
      <c r="AJ121" s="39" t="str">
        <f aca="false">$AB121</f>
        <v/>
      </c>
      <c r="AK121" s="39" t="str">
        <f aca="false">IF(SUM($AC121)=0,"",IF(AND($AI121="",SUM($AC121)&gt;0),"&lt;- Enter Linkage Rate",ROUND($AC121*$AI121,0)))</f>
        <v/>
      </c>
      <c r="AL121" s="39" t="str">
        <f aca="false">IF(SUM($AF121,$AG121)=0,"",SUM($AF121,$AG121))</f>
        <v/>
      </c>
      <c r="AM121" s="39" t="str">
        <f aca="false">$AF121</f>
        <v/>
      </c>
      <c r="AN121" s="39" t="str">
        <f aca="false">IF(SUM($AG121)=0,"",ROUND($AG121*SUM($AI121),0))</f>
        <v/>
      </c>
      <c r="AO121" s="10" t="str">
        <f aca="false">IFERROR(1/(1/MAX(SUM($T121)-SUM($AB121,$AC121),$AD121)),"")</f>
        <v/>
      </c>
      <c r="AP121" s="88"/>
      <c r="AQ121" s="88" t="str">
        <f aca="false">IF($AP121="","",$AP121)</f>
        <v/>
      </c>
      <c r="AR121" s="88" t="str">
        <f aca="false">IF(SUM($AO121)=0,"",INDEX(Cascade!$BG:$BG,MATCH($E121,Cascade!$E:$E,0)))</f>
        <v/>
      </c>
      <c r="AS121" s="39" t="str">
        <f aca="false">IF(SUM($AO121)=0,"",IF(AND(SUM($AO121)&gt;0,$AQ121=""),"ENTER YIELD RATE",ROUND($AO121*$AQ121,0)))</f>
        <v/>
      </c>
      <c r="AT121" s="39" t="str">
        <f aca="false">IF(SUM($AO121)=0,"",$AO121-SUM($AS121))</f>
        <v/>
      </c>
      <c r="AU121" s="10" t="str">
        <f aca="false">IF(SUM($AS121)=0,"",ROUND($AS121*$AR121,0))</f>
        <v/>
      </c>
      <c r="AV121" s="10" t="str">
        <f aca="false">IFERROR(1/(1/SUM($AC121,$AB121,$AS121)),"")</f>
        <v/>
      </c>
      <c r="AW121" s="10" t="str">
        <f aca="false">IFERROR(1/(1/INDEX(Cascade!$BH:$BH,MATCH($E121,Cascade!$E:$E,0))),"")</f>
        <v/>
      </c>
      <c r="AX121" s="10" t="str">
        <f aca="false">IF(SUM($AC121)=0,"",$AC121)</f>
        <v/>
      </c>
      <c r="AY121" s="10" t="str">
        <f aca="false">IF(SUM($AS121)=0,"",$AS121)</f>
        <v/>
      </c>
      <c r="AZ121" s="10" t="str">
        <f aca="false">IFERROR(1/(1/INDEX(TB!$P:$P,MATCH($E121,TB!$E:$E,0))),"")</f>
        <v/>
      </c>
      <c r="BA121" s="10" t="str">
        <f aca="false">IFERROR(1/(1/(SUM($AW121)-SUM($AX121:$AZ121))),"")</f>
        <v/>
      </c>
    </row>
    <row r="122" customFormat="false" ht="15" hidden="false" customHeight="false" outlineLevel="0" collapsed="false">
      <c r="A122" s="0" t="str">
        <f aca="false">INDEX(Prioritization!$D:$D,MATCH($B122,Prioritization!$A:$A,0))</f>
        <v>INVALID</v>
      </c>
      <c r="B122" s="0" t="s">
        <v>215</v>
      </c>
      <c r="C122" s="0" t="s">
        <v>366</v>
      </c>
      <c r="D122" s="0" t="s">
        <v>30</v>
      </c>
      <c r="E122" s="0" t="str">
        <f aca="false">B122&amp;"|"&amp;C122&amp;"|"&amp;D122</f>
        <v>Mangochi District [lLDyBx5XyUi]|25-34|Female</v>
      </c>
      <c r="F122" s="10" t="n">
        <f aca="false">IF(LEFT($B122,4)="_Mil","",INDEX(Cascade!$T:$T,MATCH($E122,Cascade!$E:$E,0)))</f>
        <v>1690</v>
      </c>
      <c r="G122" s="10" t="str">
        <f aca="false">IF(LEFT($B122,4)="_Mil","",INDEX(Cascade!$U:$U,MATCH($E122,Cascade!$E:$E,0)))</f>
        <v/>
      </c>
      <c r="H122" s="86" t="n">
        <f aca="false">IF(LEFT($B122,4)="_Mil","",INDEX(Cascade!$W:$W,MATCH($E122,Cascade!$E:$E,0)))</f>
        <v>534</v>
      </c>
      <c r="I122" s="10" t="n">
        <f aca="false">IF(LEFT($B122,4)="_Mil","",INDEX(Cascade!$Z:$Z,MATCH($E122,Cascade!$E:$E,0)))</f>
        <v>931</v>
      </c>
      <c r="J122" s="88" t="n">
        <f aca="false">IF(LEFT($B122,4)="_Mil","",INDEX(Cascade!$AA:$AA,MATCH($E122,Cascade!$E:$E,0)))</f>
        <v>1569</v>
      </c>
      <c r="K122" s="39" t="n">
        <f aca="false">IF(LEFT($B122,4)="_Mil","",_xlfn.IFNA(ROUND(INDEX(Spectrum!$N:$N,MATCH(RIGHT($B122,13)&amp;"|"&amp;$C122&amp;"|"&amp;$D122&amp;"|"&amp;K$14&amp;"|"&amp;"CY2023Q3",Spectrum!$R:$R,0)),0),""))</f>
        <v>984</v>
      </c>
      <c r="L122" s="39" t="str">
        <f aca="false">IF(LEFT($B122,4)="_Mil","",_xlfn.IFNA(ROUND(INDEX(Spectrum!$N:$N,MATCH(RIGHT($B122,13)&amp;"|"&amp;$C122&amp;"|"&amp;$D122&amp;"|"&amp;L$14&amp;"|"&amp;"CY2023Q3",Spectrum!$R:$R,0)),0),""))</f>
        <v/>
      </c>
      <c r="M122" s="39" t="n">
        <f aca="false">IF(LEFT($B122,4)="_Mil","",_xlfn.IFNA(ROUND(INDEX(Spectrum!$N:$N,MATCH(RIGHT($B122,13)&amp;"|"&amp;$C122&amp;"|"&amp;$D122&amp;"|"&amp;M$14&amp;"|"&amp;"CY2023Q3",Spectrum!$R:$R,0)),0),""))</f>
        <v>1858</v>
      </c>
      <c r="N122" s="39" t="n">
        <f aca="false">IF(LEFT($B122,4)="_Mil","",_xlfn.IFNA(ROUND(INDEX(Spectrum!$N:$N,MATCH(RIGHT($B122,13)&amp;"|"&amp;$C122&amp;"|"&amp;$D122&amp;"|"&amp;N$14&amp;"|"&amp;"CY2023Q3",Spectrum!$R:$R,0)),0),""))</f>
        <v>698</v>
      </c>
      <c r="O122" s="39" t="n">
        <f aca="false">IF(LEFT($B122,4)="_Mil","",_xlfn.IFNA(ROUND(INDEX(Spectrum!$N:$N,MATCH(RIGHT($B122,13)&amp;"|"&amp;$C122&amp;"|"&amp;$D122&amp;"|"&amp;O$14&amp;"|"&amp;"CY2023Q3",Spectrum!$R:$R,0)),0),""))</f>
        <v>997</v>
      </c>
      <c r="P122" s="39" t="n">
        <f aca="false">IF(LEFT($B122,4)="_Mil","",_xlfn.IFNA(ROUND(INDEX(Spectrum!$N:$N,MATCH(RIGHT($B122,13)&amp;"|"&amp;$C122&amp;"|"&amp;$D122&amp;"|"&amp;P$14&amp;"|"&amp;"CY2023Q3",Spectrum!$R:$R,0)),0),""))</f>
        <v>1590</v>
      </c>
      <c r="Q122" s="39" t="str">
        <f aca="false">IF(LEFT($B122,4)="_Mil","",_xlfn.IFNA(ROUND(INDEX(Spectrum!$N:$N,MATCH(RIGHT($B122,13)&amp;"|"&amp;$C122&amp;"|"&amp;$D122&amp;"|"&amp;Q$14&amp;"|"&amp;"CY2022Q3",Spectrum!$R:$R,0)),0),""))</f>
        <v/>
      </c>
      <c r="R122" s="10"/>
      <c r="S122" s="88" t="n">
        <f aca="false">0</f>
        <v>0</v>
      </c>
      <c r="T122" s="39" t="str">
        <f aca="false">IF(SUM($R122)=0,"",ROUND($R122*(1+$S122),0))</f>
        <v/>
      </c>
      <c r="U122" s="88" t="n">
        <f aca="false">IF(LEFT($B122,4)="_Mil","",IF(SUM($K122)=0,IF(SUM($R122)=0,"",1),MIN($R122/$K122,1)))</f>
        <v>0</v>
      </c>
      <c r="V122" s="39" t="str">
        <f aca="false">IF(OR(SUM($T122)=0,LEFT($B122,4)="_Mil"),"",ROUND($T122/$U122,0))</f>
        <v/>
      </c>
      <c r="W122" s="88"/>
      <c r="X122" s="88" t="n">
        <f aca="false">IF(SUM($K122,$W122)=0,"",MAX(IFERROR(SUM($L122)/$K122,0),SUM($W122)))</f>
        <v>0</v>
      </c>
      <c r="Y122" s="88"/>
      <c r="Z122" s="88" t="n">
        <f aca="false">IF(SUM($K122,$Y122)=0,"",MIN(SUM($Y122),IFERROR(SUM($M122)/(SUM($K122)-SUM($L122)),1)))</f>
        <v>0</v>
      </c>
      <c r="AA122" s="10" t="str">
        <f aca="false">$T122</f>
        <v/>
      </c>
      <c r="AB122" s="39" t="str">
        <f aca="false">IF(SUM($AA122)=0,"",IF(AND(SUM($AA122)&gt;0,$X122=""),"ENTER KNOWN POSITIVITY RATE",ROUND($AA122*$X122,0)))</f>
        <v/>
      </c>
      <c r="AC122" s="39" t="str">
        <f aca="false">IF(SUM($AA122)=0,"",IF(AND((SUM($AA122)-SUM($AB122))&gt;0,$Z122=""),"ENTER YIELD RATE",ROUND(($AA122-SUM($AB122))*$Z122,0)))</f>
        <v/>
      </c>
      <c r="AD122" s="39" t="str">
        <f aca="false">IF(SUM($AA122)=0,"",$AA122-SUM($AB122)-SUM($AC122))</f>
        <v/>
      </c>
      <c r="AE122" s="10" t="str">
        <f aca="false">$V122</f>
        <v/>
      </c>
      <c r="AF122" s="39" t="str">
        <f aca="false">IF(SUM($AE122)=0,"",ROUND($AE122*SUM($X122),0))</f>
        <v/>
      </c>
      <c r="AG122" s="39" t="str">
        <f aca="false">IF(SUM($AE122)=0,"",ROUND(($AE122-SUM($AF122))*SUM($Z122),0))</f>
        <v/>
      </c>
      <c r="AH122" s="39" t="str">
        <f aca="false">IF(SUM($AE122)=0,"",$AE122-SUM($AF122)-SUM($AG122))</f>
        <v/>
      </c>
      <c r="AI122" s="88" t="str">
        <f aca="false">IF(SUM($AC122)=0,"",INDEX(Cascade!$BG:$BG,MATCH($E122,Cascade!$E:$E,0)))</f>
        <v/>
      </c>
      <c r="AJ122" s="39" t="str">
        <f aca="false">$AB122</f>
        <v/>
      </c>
      <c r="AK122" s="39" t="str">
        <f aca="false">IF(SUM($AC122)=0,"",IF(AND($AI122="",SUM($AC122)&gt;0),"&lt;- Enter Linkage Rate",ROUND($AC122*$AI122,0)))</f>
        <v/>
      </c>
      <c r="AL122" s="39" t="str">
        <f aca="false">IF(SUM($AF122,$AG122)=0,"",SUM($AF122,$AG122))</f>
        <v/>
      </c>
      <c r="AM122" s="39" t="str">
        <f aca="false">$AF122</f>
        <v/>
      </c>
      <c r="AN122" s="39" t="str">
        <f aca="false">IF(SUM($AG122)=0,"",ROUND($AG122*SUM($AI122),0))</f>
        <v/>
      </c>
      <c r="AO122" s="10" t="str">
        <f aca="false">IFERROR(1/(1/MAX(SUM($T122)-SUM($AB122,$AC122),$AD122)),"")</f>
        <v/>
      </c>
      <c r="AP122" s="88"/>
      <c r="AQ122" s="88" t="str">
        <f aca="false">IF($AP122="","",$AP122)</f>
        <v/>
      </c>
      <c r="AR122" s="88" t="str">
        <f aca="false">IF(SUM($AO122)=0,"",INDEX(Cascade!$BG:$BG,MATCH($E122,Cascade!$E:$E,0)))</f>
        <v/>
      </c>
      <c r="AS122" s="39" t="str">
        <f aca="false">IF(SUM($AO122)=0,"",IF(AND(SUM($AO122)&gt;0,$AQ122=""),"ENTER YIELD RATE",ROUND($AO122*$AQ122,0)))</f>
        <v/>
      </c>
      <c r="AT122" s="39" t="str">
        <f aca="false">IF(SUM($AO122)=0,"",$AO122-SUM($AS122))</f>
        <v/>
      </c>
      <c r="AU122" s="10" t="str">
        <f aca="false">IF(SUM($AS122)=0,"",ROUND($AS122*$AR122,0))</f>
        <v/>
      </c>
      <c r="AV122" s="10" t="str">
        <f aca="false">IFERROR(1/(1/SUM($AC122,$AB122,$AS122)),"")</f>
        <v/>
      </c>
      <c r="AW122" s="10" t="str">
        <f aca="false">IFERROR(1/(1/INDEX(Cascade!$BH:$BH,MATCH($E122,Cascade!$E:$E,0))),"")</f>
        <v/>
      </c>
      <c r="AX122" s="10" t="str">
        <f aca="false">IF(SUM($AC122)=0,"",$AC122)</f>
        <v/>
      </c>
      <c r="AY122" s="10" t="str">
        <f aca="false">IF(SUM($AS122)=0,"",$AS122)</f>
        <v/>
      </c>
      <c r="AZ122" s="10" t="str">
        <f aca="false">IFERROR(1/(1/INDEX(TB!$P:$P,MATCH($E122,TB!$E:$E,0))),"")</f>
        <v/>
      </c>
      <c r="BA122" s="10" t="str">
        <f aca="false">IFERROR(1/(1/(SUM($AW122)-SUM($AX122:$AZ122))),"")</f>
        <v/>
      </c>
    </row>
    <row r="123" customFormat="false" ht="15" hidden="false" customHeight="false" outlineLevel="0" collapsed="false">
      <c r="A123" s="0" t="str">
        <f aca="false">INDEX(Prioritization!$D:$D,MATCH($B123,Prioritization!$A:$A,0))</f>
        <v>INVALID</v>
      </c>
      <c r="B123" s="0" t="s">
        <v>215</v>
      </c>
      <c r="C123" s="0" t="s">
        <v>367</v>
      </c>
      <c r="D123" s="0" t="s">
        <v>30</v>
      </c>
      <c r="E123" s="0" t="str">
        <f aca="false">B123&amp;"|"&amp;C123&amp;"|"&amp;D123</f>
        <v>Mangochi District [lLDyBx5XyUi]|35-49|Female</v>
      </c>
      <c r="F123" s="10" t="n">
        <f aca="false">IF(LEFT($B123,4)="_Mil","",INDEX(Cascade!$T:$T,MATCH($E123,Cascade!$E:$E,0)))</f>
        <v>1460</v>
      </c>
      <c r="G123" s="10" t="str">
        <f aca="false">IF(LEFT($B123,4)="_Mil","",INDEX(Cascade!$U:$U,MATCH($E123,Cascade!$E:$E,0)))</f>
        <v/>
      </c>
      <c r="H123" s="86" t="n">
        <f aca="false">IF(LEFT($B123,4)="_Mil","",INDEX(Cascade!$W:$W,MATCH($E123,Cascade!$E:$E,0)))</f>
        <v>1134</v>
      </c>
      <c r="I123" s="10" t="n">
        <f aca="false">IF(LEFT($B123,4)="_Mil","",INDEX(Cascade!$Z:$Z,MATCH($E123,Cascade!$E:$E,0)))</f>
        <v>1338</v>
      </c>
      <c r="J123" s="88" t="n">
        <f aca="false">IF(LEFT($B123,4)="_Mil","",INDEX(Cascade!$AA:$AA,MATCH($E123,Cascade!$E:$E,0)))</f>
        <v>982</v>
      </c>
      <c r="K123" s="39" t="n">
        <f aca="false">IF(LEFT($B123,4)="_Mil","",_xlfn.IFNA(ROUND(INDEX(Spectrum!$N:$N,MATCH(RIGHT($B123,13)&amp;"|"&amp;$C123&amp;"|"&amp;$D123&amp;"|"&amp;K$14&amp;"|"&amp;"CY2023Q3",Spectrum!$R:$R,0)),0),""))</f>
        <v>593</v>
      </c>
      <c r="L123" s="39" t="str">
        <f aca="false">IF(LEFT($B123,4)="_Mil","",_xlfn.IFNA(ROUND(INDEX(Spectrum!$N:$N,MATCH(RIGHT($B123,13)&amp;"|"&amp;$C123&amp;"|"&amp;$D123&amp;"|"&amp;L$14&amp;"|"&amp;"CY2023Q3",Spectrum!$R:$R,0)),0),""))</f>
        <v/>
      </c>
      <c r="M123" s="39" t="n">
        <f aca="false">IF(LEFT($B123,4)="_Mil","",_xlfn.IFNA(ROUND(INDEX(Spectrum!$N:$N,MATCH(RIGHT($B123,13)&amp;"|"&amp;$C123&amp;"|"&amp;$D123&amp;"|"&amp;M$14&amp;"|"&amp;"CY2023Q3",Spectrum!$R:$R,0)),0),""))</f>
        <v>1903</v>
      </c>
      <c r="N123" s="39" t="n">
        <f aca="false">IF(LEFT($B123,4)="_Mil","",_xlfn.IFNA(ROUND(INDEX(Spectrum!$N:$N,MATCH(RIGHT($B123,13)&amp;"|"&amp;$C123&amp;"|"&amp;$D123&amp;"|"&amp;N$14&amp;"|"&amp;"CY2023Q3",Spectrum!$R:$R,0)),0),""))</f>
        <v>988</v>
      </c>
      <c r="O123" s="39" t="n">
        <f aca="false">IF(LEFT($B123,4)="_Mil","",_xlfn.IFNA(ROUND(INDEX(Spectrum!$N:$N,MATCH(RIGHT($B123,13)&amp;"|"&amp;$C123&amp;"|"&amp;$D123&amp;"|"&amp;O$14&amp;"|"&amp;"CY2023Q3",Spectrum!$R:$R,0)),0),""))</f>
        <v>1303</v>
      </c>
      <c r="P123" s="39" t="n">
        <f aca="false">IF(LEFT($B123,4)="_Mil","",_xlfn.IFNA(ROUND(INDEX(Spectrum!$N:$N,MATCH(RIGHT($B123,13)&amp;"|"&amp;$C123&amp;"|"&amp;$D123&amp;"|"&amp;P$14&amp;"|"&amp;"CY2023Q3",Spectrum!$R:$R,0)),0),""))</f>
        <v>614</v>
      </c>
      <c r="Q123" s="39" t="str">
        <f aca="false">IF(LEFT($B123,4)="_Mil","",_xlfn.IFNA(ROUND(INDEX(Spectrum!$N:$N,MATCH(RIGHT($B123,13)&amp;"|"&amp;$C123&amp;"|"&amp;$D123&amp;"|"&amp;Q$14&amp;"|"&amp;"CY2022Q3",Spectrum!$R:$R,0)),0),""))</f>
        <v/>
      </c>
      <c r="R123" s="10"/>
      <c r="S123" s="88" t="n">
        <f aca="false">0</f>
        <v>0</v>
      </c>
      <c r="T123" s="39" t="str">
        <f aca="false">IF(SUM($R123)=0,"",ROUND($R123*(1+$S123),0))</f>
        <v/>
      </c>
      <c r="U123" s="88" t="n">
        <f aca="false">IF(LEFT($B123,4)="_Mil","",IF(SUM($K123)=0,IF(SUM($R123)=0,"",1),MIN($R123/$K123,1)))</f>
        <v>0</v>
      </c>
      <c r="V123" s="39" t="str">
        <f aca="false">IF(OR(SUM($T123)=0,LEFT($B123,4)="_Mil"),"",ROUND($T123/$U123,0))</f>
        <v/>
      </c>
      <c r="W123" s="88"/>
      <c r="X123" s="88" t="n">
        <f aca="false">IF(SUM($K123,$W123)=0,"",MAX(IFERROR(SUM($L123)/$K123,0),SUM($W123)))</f>
        <v>0</v>
      </c>
      <c r="Y123" s="88"/>
      <c r="Z123" s="88" t="n">
        <f aca="false">IF(SUM($K123,$Y123)=0,"",MIN(SUM($Y123),IFERROR(SUM($M123)/(SUM($K123)-SUM($L123)),1)))</f>
        <v>0</v>
      </c>
      <c r="AA123" s="10" t="str">
        <f aca="false">$T123</f>
        <v/>
      </c>
      <c r="AB123" s="39" t="str">
        <f aca="false">IF(SUM($AA123)=0,"",IF(AND(SUM($AA123)&gt;0,$X123=""),"ENTER KNOWN POSITIVITY RATE",ROUND($AA123*$X123,0)))</f>
        <v/>
      </c>
      <c r="AC123" s="39" t="str">
        <f aca="false">IF(SUM($AA123)=0,"",IF(AND((SUM($AA123)-SUM($AB123))&gt;0,$Z123=""),"ENTER YIELD RATE",ROUND(($AA123-SUM($AB123))*$Z123,0)))</f>
        <v/>
      </c>
      <c r="AD123" s="39" t="str">
        <f aca="false">IF(SUM($AA123)=0,"",$AA123-SUM($AB123)-SUM($AC123))</f>
        <v/>
      </c>
      <c r="AE123" s="10" t="str">
        <f aca="false">$V123</f>
        <v/>
      </c>
      <c r="AF123" s="39" t="str">
        <f aca="false">IF(SUM($AE123)=0,"",ROUND($AE123*SUM($X123),0))</f>
        <v/>
      </c>
      <c r="AG123" s="39" t="str">
        <f aca="false">IF(SUM($AE123)=0,"",ROUND(($AE123-SUM($AF123))*SUM($Z123),0))</f>
        <v/>
      </c>
      <c r="AH123" s="39" t="str">
        <f aca="false">IF(SUM($AE123)=0,"",$AE123-SUM($AF123)-SUM($AG123))</f>
        <v/>
      </c>
      <c r="AI123" s="88" t="str">
        <f aca="false">IF(SUM($AC123)=0,"",INDEX(Cascade!$BG:$BG,MATCH($E123,Cascade!$E:$E,0)))</f>
        <v/>
      </c>
      <c r="AJ123" s="39" t="str">
        <f aca="false">$AB123</f>
        <v/>
      </c>
      <c r="AK123" s="39" t="str">
        <f aca="false">IF(SUM($AC123)=0,"",IF(AND($AI123="",SUM($AC123)&gt;0),"&lt;- Enter Linkage Rate",ROUND($AC123*$AI123,0)))</f>
        <v/>
      </c>
      <c r="AL123" s="39" t="str">
        <f aca="false">IF(SUM($AF123,$AG123)=0,"",SUM($AF123,$AG123))</f>
        <v/>
      </c>
      <c r="AM123" s="39" t="str">
        <f aca="false">$AF123</f>
        <v/>
      </c>
      <c r="AN123" s="39" t="str">
        <f aca="false">IF(SUM($AG123)=0,"",ROUND($AG123*SUM($AI123),0))</f>
        <v/>
      </c>
      <c r="AO123" s="10" t="str">
        <f aca="false">IFERROR(1/(1/MAX(SUM($T123)-SUM($AB123,$AC123),$AD123)),"")</f>
        <v/>
      </c>
      <c r="AP123" s="88"/>
      <c r="AQ123" s="88" t="str">
        <f aca="false">IF($AP123="","",$AP123)</f>
        <v/>
      </c>
      <c r="AR123" s="88" t="str">
        <f aca="false">IF(SUM($AO123)=0,"",INDEX(Cascade!$BG:$BG,MATCH($E123,Cascade!$E:$E,0)))</f>
        <v/>
      </c>
      <c r="AS123" s="39" t="str">
        <f aca="false">IF(SUM($AO123)=0,"",IF(AND(SUM($AO123)&gt;0,$AQ123=""),"ENTER YIELD RATE",ROUND($AO123*$AQ123,0)))</f>
        <v/>
      </c>
      <c r="AT123" s="39" t="str">
        <f aca="false">IF(SUM($AO123)=0,"",$AO123-SUM($AS123))</f>
        <v/>
      </c>
      <c r="AU123" s="10" t="str">
        <f aca="false">IF(SUM($AS123)=0,"",ROUND($AS123*$AR123,0))</f>
        <v/>
      </c>
      <c r="AV123" s="10" t="str">
        <f aca="false">IFERROR(1/(1/SUM($AC123,$AB123,$AS123)),"")</f>
        <v/>
      </c>
      <c r="AW123" s="10" t="str">
        <f aca="false">IFERROR(1/(1/INDEX(Cascade!$BH:$BH,MATCH($E123,Cascade!$E:$E,0))),"")</f>
        <v/>
      </c>
      <c r="AX123" s="10" t="str">
        <f aca="false">IF(SUM($AC123)=0,"",$AC123)</f>
        <v/>
      </c>
      <c r="AY123" s="10" t="str">
        <f aca="false">IF(SUM($AS123)=0,"",$AS123)</f>
        <v/>
      </c>
      <c r="AZ123" s="10" t="str">
        <f aca="false">IFERROR(1/(1/INDEX(TB!$P:$P,MATCH($E123,TB!$E:$E,0))),"")</f>
        <v/>
      </c>
      <c r="BA123" s="10" t="str">
        <f aca="false">IFERROR(1/(1/(SUM($AW123)-SUM($AX123:$AZ123))),"")</f>
        <v/>
      </c>
    </row>
    <row r="124" customFormat="false" ht="15" hidden="false" customHeight="false" outlineLevel="0" collapsed="false">
      <c r="A124" s="0" t="str">
        <f aca="false">INDEX(Prioritization!$D:$D,MATCH($B124,Prioritization!$A:$A,0))</f>
        <v>INVALID</v>
      </c>
      <c r="B124" s="0" t="s">
        <v>215</v>
      </c>
      <c r="C124" s="0" t="s">
        <v>368</v>
      </c>
      <c r="D124" s="0" t="s">
        <v>30</v>
      </c>
      <c r="E124" s="0" t="str">
        <f aca="false">B124&amp;"|"&amp;C124&amp;"|"&amp;D124</f>
        <v>Mangochi District [lLDyBx5XyUi]|50+|Female</v>
      </c>
      <c r="F124" s="10" t="n">
        <f aca="false">IF(LEFT($B124,4)="_Mil","",INDEX(Cascade!$T:$T,MATCH($E124,Cascade!$E:$E,0)))</f>
        <v>1612</v>
      </c>
      <c r="G124" s="10" t="str">
        <f aca="false">IF(LEFT($B124,4)="_Mil","",INDEX(Cascade!$U:$U,MATCH($E124,Cascade!$E:$E,0)))</f>
        <v/>
      </c>
      <c r="H124" s="86" t="n">
        <f aca="false">IF(LEFT($B124,4)="_Mil","",INDEX(Cascade!$W:$W,MATCH($E124,Cascade!$E:$E,0)))</f>
        <v>1324</v>
      </c>
      <c r="I124" s="10" t="n">
        <f aca="false">IF(LEFT($B124,4)="_Mil","",INDEX(Cascade!$Z:$Z,MATCH($E124,Cascade!$E:$E,0)))</f>
        <v>799</v>
      </c>
      <c r="J124" s="88" t="n">
        <f aca="false">IF(LEFT($B124,4)="_Mil","",INDEX(Cascade!$AA:$AA,MATCH($E124,Cascade!$E:$E,0)))</f>
        <v>596</v>
      </c>
      <c r="K124" s="39" t="str">
        <f aca="false">IF(LEFT($B124,4)="_Mil","",_xlfn.IFNA(ROUND(INDEX(Spectrum!$N:$N,MATCH(RIGHT($B124,13)&amp;"|"&amp;$C124&amp;"|"&amp;$D124&amp;"|"&amp;K$14&amp;"|"&amp;"CY2023Q3",Spectrum!$R:$R,0)),0),""))</f>
        <v/>
      </c>
      <c r="L124" s="39" t="str">
        <f aca="false">IF(LEFT($B124,4)="_Mil","",_xlfn.IFNA(ROUND(INDEX(Spectrum!$N:$N,MATCH(RIGHT($B124,13)&amp;"|"&amp;$C124&amp;"|"&amp;$D124&amp;"|"&amp;L$14&amp;"|"&amp;"CY2023Q3",Spectrum!$R:$R,0)),0),""))</f>
        <v/>
      </c>
      <c r="M124" s="39" t="str">
        <f aca="false">IF(LEFT($B124,4)="_Mil","",_xlfn.IFNA(ROUND(INDEX(Spectrum!$N:$N,MATCH(RIGHT($B124,13)&amp;"|"&amp;$C124&amp;"|"&amp;$D124&amp;"|"&amp;M$14&amp;"|"&amp;"CY2023Q3",Spectrum!$R:$R,0)),0),""))</f>
        <v/>
      </c>
      <c r="N124" s="39" t="str">
        <f aca="false">IF(LEFT($B124,4)="_Mil","",_xlfn.IFNA(ROUND(INDEX(Spectrum!$N:$N,MATCH(RIGHT($B124,13)&amp;"|"&amp;$C124&amp;"|"&amp;$D124&amp;"|"&amp;N$14&amp;"|"&amp;"CY2023Q3",Spectrum!$R:$R,0)),0),""))</f>
        <v/>
      </c>
      <c r="O124" s="39" t="str">
        <f aca="false">IF(LEFT($B124,4)="_Mil","",_xlfn.IFNA(ROUND(INDEX(Spectrum!$N:$N,MATCH(RIGHT($B124,13)&amp;"|"&amp;$C124&amp;"|"&amp;$D124&amp;"|"&amp;O$14&amp;"|"&amp;"CY2023Q3",Spectrum!$R:$R,0)),0),""))</f>
        <v/>
      </c>
      <c r="P124" s="39" t="str">
        <f aca="false">IF(LEFT($B124,4)="_Mil","",_xlfn.IFNA(ROUND(INDEX(Spectrum!$N:$N,MATCH(RIGHT($B124,13)&amp;"|"&amp;$C124&amp;"|"&amp;$D124&amp;"|"&amp;P$14&amp;"|"&amp;"CY2023Q3",Spectrum!$R:$R,0)),0),""))</f>
        <v/>
      </c>
      <c r="Q124" s="39" t="str">
        <f aca="false">IF(LEFT($B124,4)="_Mil","",_xlfn.IFNA(ROUND(INDEX(Spectrum!$N:$N,MATCH(RIGHT($B124,13)&amp;"|"&amp;$C124&amp;"|"&amp;$D124&amp;"|"&amp;Q$14&amp;"|"&amp;"CY2022Q3",Spectrum!$R:$R,0)),0),""))</f>
        <v/>
      </c>
      <c r="R124" s="10"/>
      <c r="S124" s="88" t="n">
        <f aca="false">0</f>
        <v>0</v>
      </c>
      <c r="T124" s="39" t="str">
        <f aca="false">IF(SUM($R124)=0,"",ROUND($R124*(1+$S124),0))</f>
        <v/>
      </c>
      <c r="U124" s="88" t="str">
        <f aca="false">IF(LEFT($B124,4)="_Mil","",IF(SUM($K124)=0,IF(SUM($R124)=0,"",1),MIN($R124/$K124,1)))</f>
        <v/>
      </c>
      <c r="V124" s="39" t="str">
        <f aca="false">IF(OR(SUM($T124)=0,LEFT($B124,4)="_Mil"),"",ROUND($T124/$U124,0))</f>
        <v/>
      </c>
      <c r="W124" s="88"/>
      <c r="X124" s="88" t="str">
        <f aca="false">IF(SUM($K124,$W124)=0,"",MAX(IFERROR(SUM($L124)/$K124,0),SUM($W124)))</f>
        <v/>
      </c>
      <c r="Y124" s="88"/>
      <c r="Z124" s="88" t="str">
        <f aca="false">IF(SUM($K124,$Y124)=0,"",MIN(SUM($Y124),IFERROR(SUM($M124)/(SUM($K124)-SUM($L124)),1)))</f>
        <v/>
      </c>
      <c r="AA124" s="10" t="str">
        <f aca="false">$T124</f>
        <v/>
      </c>
      <c r="AB124" s="39" t="str">
        <f aca="false">IF(SUM($AA124)=0,"",IF(AND(SUM($AA124)&gt;0,$X124=""),"ENTER KNOWN POSITIVITY RATE",ROUND($AA124*$X124,0)))</f>
        <v/>
      </c>
      <c r="AC124" s="39" t="str">
        <f aca="false">IF(SUM($AA124)=0,"",IF(AND((SUM($AA124)-SUM($AB124))&gt;0,$Z124=""),"ENTER YIELD RATE",ROUND(($AA124-SUM($AB124))*$Z124,0)))</f>
        <v/>
      </c>
      <c r="AD124" s="39" t="str">
        <f aca="false">IF(SUM($AA124)=0,"",$AA124-SUM($AB124)-SUM($AC124))</f>
        <v/>
      </c>
      <c r="AE124" s="10" t="str">
        <f aca="false">$V124</f>
        <v/>
      </c>
      <c r="AF124" s="39" t="str">
        <f aca="false">IF(SUM($AE124)=0,"",ROUND($AE124*SUM($X124),0))</f>
        <v/>
      </c>
      <c r="AG124" s="39" t="str">
        <f aca="false">IF(SUM($AE124)=0,"",ROUND(($AE124-SUM($AF124))*SUM($Z124),0))</f>
        <v/>
      </c>
      <c r="AH124" s="39" t="str">
        <f aca="false">IF(SUM($AE124)=0,"",$AE124-SUM($AF124)-SUM($AG124))</f>
        <v/>
      </c>
      <c r="AI124" s="88" t="str">
        <f aca="false">IF(SUM($AC124)=0,"",INDEX(Cascade!$BG:$BG,MATCH($E124,Cascade!$E:$E,0)))</f>
        <v/>
      </c>
      <c r="AJ124" s="39" t="str">
        <f aca="false">$AB124</f>
        <v/>
      </c>
      <c r="AK124" s="39" t="str">
        <f aca="false">IF(SUM($AC124)=0,"",IF(AND($AI124="",SUM($AC124)&gt;0),"&lt;- Enter Linkage Rate",ROUND($AC124*$AI124,0)))</f>
        <v/>
      </c>
      <c r="AL124" s="39" t="str">
        <f aca="false">IF(SUM($AF124,$AG124)=0,"",SUM($AF124,$AG124))</f>
        <v/>
      </c>
      <c r="AM124" s="39" t="str">
        <f aca="false">$AF124</f>
        <v/>
      </c>
      <c r="AN124" s="39" t="str">
        <f aca="false">IF(SUM($AG124)=0,"",ROUND($AG124*SUM($AI124),0))</f>
        <v/>
      </c>
      <c r="AO124" s="10" t="str">
        <f aca="false">IFERROR(1/(1/MAX(SUM($T124)-SUM($AB124,$AC124),$AD124)),"")</f>
        <v/>
      </c>
      <c r="AP124" s="88"/>
      <c r="AQ124" s="88" t="str">
        <f aca="false">IF($AP124="","",$AP124)</f>
        <v/>
      </c>
      <c r="AR124" s="88" t="str">
        <f aca="false">IF(SUM($AO124)=0,"",INDEX(Cascade!$BG:$BG,MATCH($E124,Cascade!$E:$E,0)))</f>
        <v/>
      </c>
      <c r="AS124" s="39" t="str">
        <f aca="false">IF(SUM($AO124)=0,"",IF(AND(SUM($AO124)&gt;0,$AQ124=""),"ENTER YIELD RATE",ROUND($AO124*$AQ124,0)))</f>
        <v/>
      </c>
      <c r="AT124" s="39" t="str">
        <f aca="false">IF(SUM($AO124)=0,"",$AO124-SUM($AS124))</f>
        <v/>
      </c>
      <c r="AU124" s="10" t="str">
        <f aca="false">IF(SUM($AS124)=0,"",ROUND($AS124*$AR124,0))</f>
        <v/>
      </c>
      <c r="AV124" s="10" t="str">
        <f aca="false">IFERROR(1/(1/SUM($AC124,$AB124,$AS124)),"")</f>
        <v/>
      </c>
      <c r="AW124" s="10" t="str">
        <f aca="false">IFERROR(1/(1/INDEX(Cascade!$BH:$BH,MATCH($E124,Cascade!$E:$E,0))),"")</f>
        <v/>
      </c>
      <c r="AX124" s="10" t="str">
        <f aca="false">IF(SUM($AC124)=0,"",$AC124)</f>
        <v/>
      </c>
      <c r="AY124" s="10" t="str">
        <f aca="false">IF(SUM($AS124)=0,"",$AS124)</f>
        <v/>
      </c>
      <c r="AZ124" s="10" t="str">
        <f aca="false">IFERROR(1/(1/INDEX(TB!$P:$P,MATCH($E124,TB!$E:$E,0))),"")</f>
        <v/>
      </c>
      <c r="BA124" s="10" t="str">
        <f aca="false">IFERROR(1/(1/(SUM($AW124)-SUM($AX124:$AZ124))),"")</f>
        <v/>
      </c>
    </row>
    <row r="125" customFormat="false" ht="15" hidden="false" customHeight="false" outlineLevel="0" collapsed="false">
      <c r="A125" s="0" t="str">
        <f aca="false">INDEX(Prioritization!$D:$D,MATCH($B125,Prioritization!$A:$A,0))</f>
        <v>INVALID</v>
      </c>
      <c r="B125" s="0" t="s">
        <v>216</v>
      </c>
      <c r="C125" s="0" t="s">
        <v>364</v>
      </c>
      <c r="D125" s="0" t="s">
        <v>30</v>
      </c>
      <c r="E125" s="0" t="str">
        <f aca="false">B125&amp;"|"&amp;C125&amp;"|"&amp;D125</f>
        <v>Mulanje District [umc2n1Z4wNv]|10-14|Female</v>
      </c>
      <c r="F125" s="10" t="n">
        <f aca="false">IF(LEFT($B125,4)="_Mil","",INDEX(Cascade!$T:$T,MATCH($E125,Cascade!$E:$E,0)))</f>
        <v>950</v>
      </c>
      <c r="G125" s="10" t="str">
        <f aca="false">IF(LEFT($B125,4)="_Mil","",INDEX(Cascade!$U:$U,MATCH($E125,Cascade!$E:$E,0)))</f>
        <v/>
      </c>
      <c r="H125" s="86" t="n">
        <f aca="false">IF(LEFT($B125,4)="_Mil","",INDEX(Cascade!$W:$W,MATCH($E125,Cascade!$E:$E,0)))</f>
        <v>1652</v>
      </c>
      <c r="I125" s="10" t="n">
        <f aca="false">IF(LEFT($B125,4)="_Mil","",INDEX(Cascade!$Z:$Z,MATCH($E125,Cascade!$E:$E,0)))</f>
        <v>1409</v>
      </c>
      <c r="J125" s="88" t="n">
        <f aca="false">IF(LEFT($B125,4)="_Mil","",INDEX(Cascade!$AA:$AA,MATCH($E125,Cascade!$E:$E,0)))</f>
        <v>1670</v>
      </c>
      <c r="K125" s="39" t="str">
        <f aca="false">IF(LEFT($B125,4)="_Mil","",_xlfn.IFNA(ROUND(INDEX(Spectrum!$N:$N,MATCH(RIGHT($B125,13)&amp;"|"&amp;$C125&amp;"|"&amp;$D125&amp;"|"&amp;K$14&amp;"|"&amp;"CY2023Q3",Spectrum!$R:$R,0)),0),""))</f>
        <v/>
      </c>
      <c r="L125" s="39" t="str">
        <f aca="false">IF(LEFT($B125,4)="_Mil","",_xlfn.IFNA(ROUND(INDEX(Spectrum!$N:$N,MATCH(RIGHT($B125,13)&amp;"|"&amp;$C125&amp;"|"&amp;$D125&amp;"|"&amp;L$14&amp;"|"&amp;"CY2023Q3",Spectrum!$R:$R,0)),0),""))</f>
        <v/>
      </c>
      <c r="M125" s="39" t="str">
        <f aca="false">IF(LEFT($B125,4)="_Mil","",_xlfn.IFNA(ROUND(INDEX(Spectrum!$N:$N,MATCH(RIGHT($B125,13)&amp;"|"&amp;$C125&amp;"|"&amp;$D125&amp;"|"&amp;M$14&amp;"|"&amp;"CY2023Q3",Spectrum!$R:$R,0)),0),""))</f>
        <v/>
      </c>
      <c r="N125" s="39" t="str">
        <f aca="false">IF(LEFT($B125,4)="_Mil","",_xlfn.IFNA(ROUND(INDEX(Spectrum!$N:$N,MATCH(RIGHT($B125,13)&amp;"|"&amp;$C125&amp;"|"&amp;$D125&amp;"|"&amp;N$14&amp;"|"&amp;"CY2023Q3",Spectrum!$R:$R,0)),0),""))</f>
        <v/>
      </c>
      <c r="O125" s="39" t="str">
        <f aca="false">IF(LEFT($B125,4)="_Mil","",_xlfn.IFNA(ROUND(INDEX(Spectrum!$N:$N,MATCH(RIGHT($B125,13)&amp;"|"&amp;$C125&amp;"|"&amp;$D125&amp;"|"&amp;O$14&amp;"|"&amp;"CY2023Q3",Spectrum!$R:$R,0)),0),""))</f>
        <v/>
      </c>
      <c r="P125" s="39" t="str">
        <f aca="false">IF(LEFT($B125,4)="_Mil","",_xlfn.IFNA(ROUND(INDEX(Spectrum!$N:$N,MATCH(RIGHT($B125,13)&amp;"|"&amp;$C125&amp;"|"&amp;$D125&amp;"|"&amp;P$14&amp;"|"&amp;"CY2023Q3",Spectrum!$R:$R,0)),0),""))</f>
        <v/>
      </c>
      <c r="Q125" s="39" t="str">
        <f aca="false">IF(LEFT($B125,4)="_Mil","",_xlfn.IFNA(ROUND(INDEX(Spectrum!$N:$N,MATCH(RIGHT($B125,13)&amp;"|"&amp;$C125&amp;"|"&amp;$D125&amp;"|"&amp;Q$14&amp;"|"&amp;"CY2022Q3",Spectrum!$R:$R,0)),0),""))</f>
        <v/>
      </c>
      <c r="R125" s="10" t="n">
        <v>8</v>
      </c>
      <c r="S125" s="88" t="n">
        <f aca="false">0</f>
        <v>0</v>
      </c>
      <c r="T125" s="39" t="n">
        <f aca="false">IF(SUM($R125)=0,"",ROUND($R125*(1+$S125),0))</f>
        <v>8</v>
      </c>
      <c r="U125" s="88" t="n">
        <f aca="false">IF(LEFT($B125,4)="_Mil","",IF(SUM($K125)=0,IF(SUM($R125)=0,"",1),MIN($R125/$K125,1)))</f>
        <v>1</v>
      </c>
      <c r="V125" s="39" t="n">
        <f aca="false">IF(OR(SUM($T125)=0,LEFT($B125,4)="_Mil"),"",ROUND($T125/$U125,0))</f>
        <v>8</v>
      </c>
      <c r="W125" s="88" t="n">
        <v>0.351028808392584</v>
      </c>
      <c r="X125" s="88" t="n">
        <f aca="false">IF(SUM($K125,$W125)=0,"",MAX(IFERROR(SUM($L125)/$K125,0),SUM($W125)))</f>
        <v>0.351028808392584</v>
      </c>
      <c r="Y125" s="88" t="n">
        <v>0.973254006588832</v>
      </c>
      <c r="Z125" s="88" t="n">
        <f aca="false">IF(SUM($K125,$Y125)=0,"",MIN(SUM($Y125),IFERROR(SUM($M125)/(SUM($K125)-SUM($L125)),1)))</f>
        <v>0.973254006588832</v>
      </c>
      <c r="AA125" s="10" t="n">
        <f aca="false">$T125</f>
        <v>8</v>
      </c>
      <c r="AB125" s="39" t="n">
        <f aca="false">IF(SUM($AA125)=0,"",IF(AND(SUM($AA125)&gt;0,$X125=""),"ENTER KNOWN POSITIVITY RATE",ROUND($AA125*$X125,0)))</f>
        <v>3</v>
      </c>
      <c r="AC125" s="39" t="n">
        <f aca="false">IF(SUM($AA125)=0,"",IF(AND((SUM($AA125)-SUM($AB125))&gt;0,$Z125=""),"ENTER YIELD RATE",ROUND(($AA125-SUM($AB125))*$Z125,0)))</f>
        <v>5</v>
      </c>
      <c r="AD125" s="39" t="n">
        <f aca="false">IF(SUM($AA125)=0,"",$AA125-SUM($AB125)-SUM($AC125))</f>
        <v>0</v>
      </c>
      <c r="AE125" s="10" t="n">
        <f aca="false">$V125</f>
        <v>8</v>
      </c>
      <c r="AF125" s="39" t="n">
        <f aca="false">IF(SUM($AE125)=0,"",ROUND($AE125*SUM($X125),0))</f>
        <v>3</v>
      </c>
      <c r="AG125" s="39" t="n">
        <f aca="false">IF(SUM($AE125)=0,"",ROUND(($AE125-SUM($AF125))*SUM($Z125),0))</f>
        <v>5</v>
      </c>
      <c r="AH125" s="39" t="n">
        <f aca="false">IF(SUM($AE125)=0,"",$AE125-SUM($AF125)-SUM($AG125))</f>
        <v>0</v>
      </c>
      <c r="AI125" s="88" t="n">
        <f aca="false">IF(SUM($AC125)=0,"",INDEX(Cascade!$BG:$BG,MATCH($E125,Cascade!$E:$E,0)))</f>
        <v>0.95</v>
      </c>
      <c r="AJ125" s="39" t="n">
        <f aca="false">$AB125</f>
        <v>3</v>
      </c>
      <c r="AK125" s="39" t="n">
        <f aca="false">IF(SUM($AC125)=0,"",IF(AND($AI125="",SUM($AC125)&gt;0),"&lt;- Enter Linkage Rate",ROUND($AC125*$AI125,0)))</f>
        <v>5</v>
      </c>
      <c r="AL125" s="39" t="n">
        <f aca="false">IF(SUM($AF125,$AG125)=0,"",SUM($AF125,$AG125))</f>
        <v>8</v>
      </c>
      <c r="AM125" s="39" t="n">
        <f aca="false">$AF125</f>
        <v>3</v>
      </c>
      <c r="AN125" s="39" t="n">
        <f aca="false">IF(SUM($AG125)=0,"",ROUND($AG125*SUM($AI125),0))</f>
        <v>5</v>
      </c>
      <c r="AO125" s="10" t="str">
        <f aca="false">IFERROR(1/(1/MAX(SUM($T125)-SUM($AB125,$AC125),$AD125)),"")</f>
        <v/>
      </c>
      <c r="AP125" s="88"/>
      <c r="AQ125" s="88" t="str">
        <f aca="false">IF($AP125="","",$AP125)</f>
        <v/>
      </c>
      <c r="AR125" s="88" t="str">
        <f aca="false">IF(SUM($AO125)=0,"",INDEX(Cascade!$BG:$BG,MATCH($E125,Cascade!$E:$E,0)))</f>
        <v/>
      </c>
      <c r="AS125" s="39" t="str">
        <f aca="false">IF(SUM($AO125)=0,"",IF(AND(SUM($AO125)&gt;0,$AQ125=""),"ENTER YIELD RATE",ROUND($AO125*$AQ125,0)))</f>
        <v/>
      </c>
      <c r="AT125" s="39" t="str">
        <f aca="false">IF(SUM($AO125)=0,"",$AO125-SUM($AS125))</f>
        <v/>
      </c>
      <c r="AU125" s="10" t="str">
        <f aca="false">IF(SUM($AS125)=0,"",ROUND($AS125*$AR125,0))</f>
        <v/>
      </c>
      <c r="AV125" s="10" t="n">
        <f aca="false">IFERROR(1/(1/SUM($AC125,$AB125,$AS125)),"")</f>
        <v>8</v>
      </c>
      <c r="AW125" s="10" t="n">
        <f aca="false">IFERROR(1/(1/INDEX(Cascade!$BH:$BH,MATCH($E125,Cascade!$E:$E,0))),"")</f>
        <v>-762</v>
      </c>
      <c r="AX125" s="10" t="n">
        <f aca="false">IF(SUM($AC125)=0,"",$AC125)</f>
        <v>5</v>
      </c>
      <c r="AY125" s="10" t="str">
        <f aca="false">IF(SUM($AS125)=0,"",$AS125)</f>
        <v/>
      </c>
      <c r="AZ125" s="10" t="str">
        <f aca="false">IFERROR(1/(1/INDEX(TB!$P:$P,MATCH($E125,TB!$E:$E,0))),"")</f>
        <v/>
      </c>
      <c r="BA125" s="10" t="n">
        <f aca="false">IFERROR(1/(1/(SUM($AW125)-SUM($AX125:$AZ125))),"")</f>
        <v>-767</v>
      </c>
    </row>
    <row r="126" customFormat="false" ht="15" hidden="false" customHeight="false" outlineLevel="0" collapsed="false">
      <c r="A126" s="0" t="str">
        <f aca="false">INDEX(Prioritization!$D:$D,MATCH($B126,Prioritization!$A:$A,0))</f>
        <v>INVALID</v>
      </c>
      <c r="B126" s="0" t="s">
        <v>216</v>
      </c>
      <c r="C126" s="0" t="s">
        <v>365</v>
      </c>
      <c r="D126" s="0" t="s">
        <v>30</v>
      </c>
      <c r="E126" s="0" t="str">
        <f aca="false">B126&amp;"|"&amp;C126&amp;"|"&amp;D126</f>
        <v>Mulanje District [umc2n1Z4wNv]|15-24|Female</v>
      </c>
      <c r="F126" s="10" t="n">
        <f aca="false">IF(LEFT($B126,4)="_Mil","",INDEX(Cascade!$T:$T,MATCH($E126,Cascade!$E:$E,0)))</f>
        <v>1061</v>
      </c>
      <c r="G126" s="10" t="str">
        <f aca="false">IF(LEFT($B126,4)="_Mil","",INDEX(Cascade!$U:$U,MATCH($E126,Cascade!$E:$E,0)))</f>
        <v/>
      </c>
      <c r="H126" s="86" t="n">
        <f aca="false">IF(LEFT($B126,4)="_Mil","",INDEX(Cascade!$W:$W,MATCH($E126,Cascade!$E:$E,0)))</f>
        <v>1930</v>
      </c>
      <c r="I126" s="10" t="n">
        <f aca="false">IF(LEFT($B126,4)="_Mil","",INDEX(Cascade!$Z:$Z,MATCH($E126,Cascade!$E:$E,0)))</f>
        <v>1745</v>
      </c>
      <c r="J126" s="88" t="n">
        <f aca="false">IF(LEFT($B126,4)="_Mil","",INDEX(Cascade!$AA:$AA,MATCH($E126,Cascade!$E:$E,0)))</f>
        <v>1660</v>
      </c>
      <c r="K126" s="39" t="n">
        <f aca="false">IF(LEFT($B126,4)="_Mil","",_xlfn.IFNA(ROUND(INDEX(Spectrum!$N:$N,MATCH(RIGHT($B126,13)&amp;"|"&amp;$C126&amp;"|"&amp;$D126&amp;"|"&amp;K$14&amp;"|"&amp;"CY2023Q3",Spectrum!$R:$R,0)),0),""))</f>
        <v>1395</v>
      </c>
      <c r="L126" s="39" t="str">
        <f aca="false">IF(LEFT($B126,4)="_Mil","",_xlfn.IFNA(ROUND(INDEX(Spectrum!$N:$N,MATCH(RIGHT($B126,13)&amp;"|"&amp;$C126&amp;"|"&amp;$D126&amp;"|"&amp;L$14&amp;"|"&amp;"CY2023Q3",Spectrum!$R:$R,0)),0),""))</f>
        <v/>
      </c>
      <c r="M126" s="39" t="n">
        <f aca="false">IF(LEFT($B126,4)="_Mil","",_xlfn.IFNA(ROUND(INDEX(Spectrum!$N:$N,MATCH(RIGHT($B126,13)&amp;"|"&amp;$C126&amp;"|"&amp;$D126&amp;"|"&amp;M$14&amp;"|"&amp;"CY2023Q3",Spectrum!$R:$R,0)),0),""))</f>
        <v>1569</v>
      </c>
      <c r="N126" s="39" t="n">
        <f aca="false">IF(LEFT($B126,4)="_Mil","",_xlfn.IFNA(ROUND(INDEX(Spectrum!$N:$N,MATCH(RIGHT($B126,13)&amp;"|"&amp;$C126&amp;"|"&amp;$D126&amp;"|"&amp;N$14&amp;"|"&amp;"CY2023Q3",Spectrum!$R:$R,0)),0),""))</f>
        <v>1458</v>
      </c>
      <c r="O126" s="39" t="n">
        <f aca="false">IF(LEFT($B126,4)="_Mil","",_xlfn.IFNA(ROUND(INDEX(Spectrum!$N:$N,MATCH(RIGHT($B126,13)&amp;"|"&amp;$C126&amp;"|"&amp;$D126&amp;"|"&amp;O$14&amp;"|"&amp;"CY2023Q3",Spectrum!$R:$R,0)),0),""))</f>
        <v>742</v>
      </c>
      <c r="P126" s="39" t="n">
        <f aca="false">IF(LEFT($B126,4)="_Mil","",_xlfn.IFNA(ROUND(INDEX(Spectrum!$N:$N,MATCH(RIGHT($B126,13)&amp;"|"&amp;$C126&amp;"|"&amp;$D126&amp;"|"&amp;P$14&amp;"|"&amp;"CY2023Q3",Spectrum!$R:$R,0)),0),""))</f>
        <v>1664</v>
      </c>
      <c r="Q126" s="39" t="str">
        <f aca="false">IF(LEFT($B126,4)="_Mil","",_xlfn.IFNA(ROUND(INDEX(Spectrum!$N:$N,MATCH(RIGHT($B126,13)&amp;"|"&amp;$C126&amp;"|"&amp;$D126&amp;"|"&amp;Q$14&amp;"|"&amp;"CY2022Q3",Spectrum!$R:$R,0)),0),""))</f>
        <v/>
      </c>
      <c r="R126" s="10"/>
      <c r="S126" s="88" t="n">
        <f aca="false">0</f>
        <v>0</v>
      </c>
      <c r="T126" s="39" t="str">
        <f aca="false">IF(SUM($R126)=0,"",ROUND($R126*(1+$S126),0))</f>
        <v/>
      </c>
      <c r="U126" s="88" t="n">
        <f aca="false">IF(LEFT($B126,4)="_Mil","",IF(SUM($K126)=0,IF(SUM($R126)=0,"",1),MIN($R126/$K126,1)))</f>
        <v>0</v>
      </c>
      <c r="V126" s="39" t="str">
        <f aca="false">IF(OR(SUM($T126)=0,LEFT($B126,4)="_Mil"),"",ROUND($T126/$U126,0))</f>
        <v/>
      </c>
      <c r="W126" s="88"/>
      <c r="X126" s="88" t="n">
        <f aca="false">IF(SUM($K126,$W126)=0,"",MAX(IFERROR(SUM($L126)/$K126,0),SUM($W126)))</f>
        <v>0</v>
      </c>
      <c r="Y126" s="88"/>
      <c r="Z126" s="88" t="n">
        <f aca="false">IF(SUM($K126,$Y126)=0,"",MIN(SUM($Y126),IFERROR(SUM($M126)/(SUM($K126)-SUM($L126)),1)))</f>
        <v>0</v>
      </c>
      <c r="AA126" s="10" t="str">
        <f aca="false">$T126</f>
        <v/>
      </c>
      <c r="AB126" s="39" t="str">
        <f aca="false">IF(SUM($AA126)=0,"",IF(AND(SUM($AA126)&gt;0,$X126=""),"ENTER KNOWN POSITIVITY RATE",ROUND($AA126*$X126,0)))</f>
        <v/>
      </c>
      <c r="AC126" s="39" t="str">
        <f aca="false">IF(SUM($AA126)=0,"",IF(AND((SUM($AA126)-SUM($AB126))&gt;0,$Z126=""),"ENTER YIELD RATE",ROUND(($AA126-SUM($AB126))*$Z126,0)))</f>
        <v/>
      </c>
      <c r="AD126" s="39" t="str">
        <f aca="false">IF(SUM($AA126)=0,"",$AA126-SUM($AB126)-SUM($AC126))</f>
        <v/>
      </c>
      <c r="AE126" s="10" t="str">
        <f aca="false">$V126</f>
        <v/>
      </c>
      <c r="AF126" s="39" t="str">
        <f aca="false">IF(SUM($AE126)=0,"",ROUND($AE126*SUM($X126),0))</f>
        <v/>
      </c>
      <c r="AG126" s="39" t="str">
        <f aca="false">IF(SUM($AE126)=0,"",ROUND(($AE126-SUM($AF126))*SUM($Z126),0))</f>
        <v/>
      </c>
      <c r="AH126" s="39" t="str">
        <f aca="false">IF(SUM($AE126)=0,"",$AE126-SUM($AF126)-SUM($AG126))</f>
        <v/>
      </c>
      <c r="AI126" s="88" t="str">
        <f aca="false">IF(SUM($AC126)=0,"",INDEX(Cascade!$BG:$BG,MATCH($E126,Cascade!$E:$E,0)))</f>
        <v/>
      </c>
      <c r="AJ126" s="39" t="str">
        <f aca="false">$AB126</f>
        <v/>
      </c>
      <c r="AK126" s="39" t="str">
        <f aca="false">IF(SUM($AC126)=0,"",IF(AND($AI126="",SUM($AC126)&gt;0),"&lt;- Enter Linkage Rate",ROUND($AC126*$AI126,0)))</f>
        <v/>
      </c>
      <c r="AL126" s="39" t="str">
        <f aca="false">IF(SUM($AF126,$AG126)=0,"",SUM($AF126,$AG126))</f>
        <v/>
      </c>
      <c r="AM126" s="39" t="str">
        <f aca="false">$AF126</f>
        <v/>
      </c>
      <c r="AN126" s="39" t="str">
        <f aca="false">IF(SUM($AG126)=0,"",ROUND($AG126*SUM($AI126),0))</f>
        <v/>
      </c>
      <c r="AO126" s="10" t="str">
        <f aca="false">IFERROR(1/(1/MAX(SUM($T126)-SUM($AB126,$AC126),$AD126)),"")</f>
        <v/>
      </c>
      <c r="AP126" s="88"/>
      <c r="AQ126" s="88" t="str">
        <f aca="false">IF($AP126="","",$AP126)</f>
        <v/>
      </c>
      <c r="AR126" s="88" t="str">
        <f aca="false">IF(SUM($AO126)=0,"",INDEX(Cascade!$BG:$BG,MATCH($E126,Cascade!$E:$E,0)))</f>
        <v/>
      </c>
      <c r="AS126" s="39" t="str">
        <f aca="false">IF(SUM($AO126)=0,"",IF(AND(SUM($AO126)&gt;0,$AQ126=""),"ENTER YIELD RATE",ROUND($AO126*$AQ126,0)))</f>
        <v/>
      </c>
      <c r="AT126" s="39" t="str">
        <f aca="false">IF(SUM($AO126)=0,"",$AO126-SUM($AS126))</f>
        <v/>
      </c>
      <c r="AU126" s="10" t="str">
        <f aca="false">IF(SUM($AS126)=0,"",ROUND($AS126*$AR126,0))</f>
        <v/>
      </c>
      <c r="AV126" s="10" t="str">
        <f aca="false">IFERROR(1/(1/SUM($AC126,$AB126,$AS126)),"")</f>
        <v/>
      </c>
      <c r="AW126" s="10" t="str">
        <f aca="false">IFERROR(1/(1/INDEX(Cascade!$BH:$BH,MATCH($E126,Cascade!$E:$E,0))),"")</f>
        <v/>
      </c>
      <c r="AX126" s="10" t="str">
        <f aca="false">IF(SUM($AC126)=0,"",$AC126)</f>
        <v/>
      </c>
      <c r="AY126" s="10" t="str">
        <f aca="false">IF(SUM($AS126)=0,"",$AS126)</f>
        <v/>
      </c>
      <c r="AZ126" s="10" t="str">
        <f aca="false">IFERROR(1/(1/INDEX(TB!$P:$P,MATCH($E126,TB!$E:$E,0))),"")</f>
        <v/>
      </c>
      <c r="BA126" s="10" t="str">
        <f aca="false">IFERROR(1/(1/(SUM($AW126)-SUM($AX126:$AZ126))),"")</f>
        <v/>
      </c>
    </row>
    <row r="127" customFormat="false" ht="15" hidden="false" customHeight="false" outlineLevel="0" collapsed="false">
      <c r="A127" s="0" t="str">
        <f aca="false">INDEX(Prioritization!$D:$D,MATCH($B127,Prioritization!$A:$A,0))</f>
        <v>INVALID</v>
      </c>
      <c r="B127" s="0" t="s">
        <v>216</v>
      </c>
      <c r="C127" s="0" t="s">
        <v>366</v>
      </c>
      <c r="D127" s="0" t="s">
        <v>30</v>
      </c>
      <c r="E127" s="0" t="str">
        <f aca="false">B127&amp;"|"&amp;C127&amp;"|"&amp;D127</f>
        <v>Mulanje District [umc2n1Z4wNv]|25-34|Female</v>
      </c>
      <c r="F127" s="10" t="n">
        <f aca="false">IF(LEFT($B127,4)="_Mil","",INDEX(Cascade!$T:$T,MATCH($E127,Cascade!$E:$E,0)))</f>
        <v>947</v>
      </c>
      <c r="G127" s="10" t="str">
        <f aca="false">IF(LEFT($B127,4)="_Mil","",INDEX(Cascade!$U:$U,MATCH($E127,Cascade!$E:$E,0)))</f>
        <v/>
      </c>
      <c r="H127" s="86" t="n">
        <f aca="false">IF(LEFT($B127,4)="_Mil","",INDEX(Cascade!$W:$W,MATCH($E127,Cascade!$E:$E,0)))</f>
        <v>938</v>
      </c>
      <c r="I127" s="10" t="n">
        <f aca="false">IF(LEFT($B127,4)="_Mil","",INDEX(Cascade!$Z:$Z,MATCH($E127,Cascade!$E:$E,0)))</f>
        <v>1787</v>
      </c>
      <c r="J127" s="88" t="n">
        <f aca="false">IF(LEFT($B127,4)="_Mil","",INDEX(Cascade!$AA:$AA,MATCH($E127,Cascade!$E:$E,0)))</f>
        <v>1980</v>
      </c>
      <c r="K127" s="39" t="n">
        <f aca="false">IF(LEFT($B127,4)="_Mil","",_xlfn.IFNA(ROUND(INDEX(Spectrum!$N:$N,MATCH(RIGHT($B127,13)&amp;"|"&amp;$C127&amp;"|"&amp;$D127&amp;"|"&amp;K$14&amp;"|"&amp;"CY2023Q3",Spectrum!$R:$R,0)),0),""))</f>
        <v>1693</v>
      </c>
      <c r="L127" s="39" t="str">
        <f aca="false">IF(LEFT($B127,4)="_Mil","",_xlfn.IFNA(ROUND(INDEX(Spectrum!$N:$N,MATCH(RIGHT($B127,13)&amp;"|"&amp;$C127&amp;"|"&amp;$D127&amp;"|"&amp;L$14&amp;"|"&amp;"CY2023Q3",Spectrum!$R:$R,0)),0),""))</f>
        <v/>
      </c>
      <c r="M127" s="39" t="n">
        <f aca="false">IF(LEFT($B127,4)="_Mil","",_xlfn.IFNA(ROUND(INDEX(Spectrum!$N:$N,MATCH(RIGHT($B127,13)&amp;"|"&amp;$C127&amp;"|"&amp;$D127&amp;"|"&amp;M$14&amp;"|"&amp;"CY2023Q3",Spectrum!$R:$R,0)),0),""))</f>
        <v>619</v>
      </c>
      <c r="N127" s="39" t="n">
        <f aca="false">IF(LEFT($B127,4)="_Mil","",_xlfn.IFNA(ROUND(INDEX(Spectrum!$N:$N,MATCH(RIGHT($B127,13)&amp;"|"&amp;$C127&amp;"|"&amp;$D127&amp;"|"&amp;N$14&amp;"|"&amp;"CY2023Q3",Spectrum!$R:$R,0)),0),""))</f>
        <v>1328</v>
      </c>
      <c r="O127" s="39" t="n">
        <f aca="false">IF(LEFT($B127,4)="_Mil","",_xlfn.IFNA(ROUND(INDEX(Spectrum!$N:$N,MATCH(RIGHT($B127,13)&amp;"|"&amp;$C127&amp;"|"&amp;$D127&amp;"|"&amp;O$14&amp;"|"&amp;"CY2023Q3",Spectrum!$R:$R,0)),0),""))</f>
        <v>1320</v>
      </c>
      <c r="P127" s="39" t="n">
        <f aca="false">IF(LEFT($B127,4)="_Mil","",_xlfn.IFNA(ROUND(INDEX(Spectrum!$N:$N,MATCH(RIGHT($B127,13)&amp;"|"&amp;$C127&amp;"|"&amp;$D127&amp;"|"&amp;P$14&amp;"|"&amp;"CY2023Q3",Spectrum!$R:$R,0)),0),""))</f>
        <v>647</v>
      </c>
      <c r="Q127" s="39" t="str">
        <f aca="false">IF(LEFT($B127,4)="_Mil","",_xlfn.IFNA(ROUND(INDEX(Spectrum!$N:$N,MATCH(RIGHT($B127,13)&amp;"|"&amp;$C127&amp;"|"&amp;$D127&amp;"|"&amp;Q$14&amp;"|"&amp;"CY2022Q3",Spectrum!$R:$R,0)),0),""))</f>
        <v/>
      </c>
      <c r="R127" s="10"/>
      <c r="S127" s="88" t="n">
        <f aca="false">0</f>
        <v>0</v>
      </c>
      <c r="T127" s="39" t="str">
        <f aca="false">IF(SUM($R127)=0,"",ROUND($R127*(1+$S127),0))</f>
        <v/>
      </c>
      <c r="U127" s="88" t="n">
        <f aca="false">IF(LEFT($B127,4)="_Mil","",IF(SUM($K127)=0,IF(SUM($R127)=0,"",1),MIN($R127/$K127,1)))</f>
        <v>0</v>
      </c>
      <c r="V127" s="39" t="str">
        <f aca="false">IF(OR(SUM($T127)=0,LEFT($B127,4)="_Mil"),"",ROUND($T127/$U127,0))</f>
        <v/>
      </c>
      <c r="W127" s="88"/>
      <c r="X127" s="88" t="n">
        <f aca="false">IF(SUM($K127,$W127)=0,"",MAX(IFERROR(SUM($L127)/$K127,0),SUM($W127)))</f>
        <v>0</v>
      </c>
      <c r="Y127" s="88"/>
      <c r="Z127" s="88" t="n">
        <f aca="false">IF(SUM($K127,$Y127)=0,"",MIN(SUM($Y127),IFERROR(SUM($M127)/(SUM($K127)-SUM($L127)),1)))</f>
        <v>0</v>
      </c>
      <c r="AA127" s="10" t="str">
        <f aca="false">$T127</f>
        <v/>
      </c>
      <c r="AB127" s="39" t="str">
        <f aca="false">IF(SUM($AA127)=0,"",IF(AND(SUM($AA127)&gt;0,$X127=""),"ENTER KNOWN POSITIVITY RATE",ROUND($AA127*$X127,0)))</f>
        <v/>
      </c>
      <c r="AC127" s="39" t="str">
        <f aca="false">IF(SUM($AA127)=0,"",IF(AND((SUM($AA127)-SUM($AB127))&gt;0,$Z127=""),"ENTER YIELD RATE",ROUND(($AA127-SUM($AB127))*$Z127,0)))</f>
        <v/>
      </c>
      <c r="AD127" s="39" t="str">
        <f aca="false">IF(SUM($AA127)=0,"",$AA127-SUM($AB127)-SUM($AC127))</f>
        <v/>
      </c>
      <c r="AE127" s="10" t="str">
        <f aca="false">$V127</f>
        <v/>
      </c>
      <c r="AF127" s="39" t="str">
        <f aca="false">IF(SUM($AE127)=0,"",ROUND($AE127*SUM($X127),0))</f>
        <v/>
      </c>
      <c r="AG127" s="39" t="str">
        <f aca="false">IF(SUM($AE127)=0,"",ROUND(($AE127-SUM($AF127))*SUM($Z127),0))</f>
        <v/>
      </c>
      <c r="AH127" s="39" t="str">
        <f aca="false">IF(SUM($AE127)=0,"",$AE127-SUM($AF127)-SUM($AG127))</f>
        <v/>
      </c>
      <c r="AI127" s="88" t="str">
        <f aca="false">IF(SUM($AC127)=0,"",INDEX(Cascade!$BG:$BG,MATCH($E127,Cascade!$E:$E,0)))</f>
        <v/>
      </c>
      <c r="AJ127" s="39" t="str">
        <f aca="false">$AB127</f>
        <v/>
      </c>
      <c r="AK127" s="39" t="str">
        <f aca="false">IF(SUM($AC127)=0,"",IF(AND($AI127="",SUM($AC127)&gt;0),"&lt;- Enter Linkage Rate",ROUND($AC127*$AI127,0)))</f>
        <v/>
      </c>
      <c r="AL127" s="39" t="str">
        <f aca="false">IF(SUM($AF127,$AG127)=0,"",SUM($AF127,$AG127))</f>
        <v/>
      </c>
      <c r="AM127" s="39" t="str">
        <f aca="false">$AF127</f>
        <v/>
      </c>
      <c r="AN127" s="39" t="str">
        <f aca="false">IF(SUM($AG127)=0,"",ROUND($AG127*SUM($AI127),0))</f>
        <v/>
      </c>
      <c r="AO127" s="10" t="str">
        <f aca="false">IFERROR(1/(1/MAX(SUM($T127)-SUM($AB127,$AC127),$AD127)),"")</f>
        <v/>
      </c>
      <c r="AP127" s="88"/>
      <c r="AQ127" s="88" t="str">
        <f aca="false">IF($AP127="","",$AP127)</f>
        <v/>
      </c>
      <c r="AR127" s="88" t="str">
        <f aca="false">IF(SUM($AO127)=0,"",INDEX(Cascade!$BG:$BG,MATCH($E127,Cascade!$E:$E,0)))</f>
        <v/>
      </c>
      <c r="AS127" s="39" t="str">
        <f aca="false">IF(SUM($AO127)=0,"",IF(AND(SUM($AO127)&gt;0,$AQ127=""),"ENTER YIELD RATE",ROUND($AO127*$AQ127,0)))</f>
        <v/>
      </c>
      <c r="AT127" s="39" t="str">
        <f aca="false">IF(SUM($AO127)=0,"",$AO127-SUM($AS127))</f>
        <v/>
      </c>
      <c r="AU127" s="10" t="str">
        <f aca="false">IF(SUM($AS127)=0,"",ROUND($AS127*$AR127,0))</f>
        <v/>
      </c>
      <c r="AV127" s="10" t="str">
        <f aca="false">IFERROR(1/(1/SUM($AC127,$AB127,$AS127)),"")</f>
        <v/>
      </c>
      <c r="AW127" s="10" t="str">
        <f aca="false">IFERROR(1/(1/INDEX(Cascade!$BH:$BH,MATCH($E127,Cascade!$E:$E,0))),"")</f>
        <v/>
      </c>
      <c r="AX127" s="10" t="str">
        <f aca="false">IF(SUM($AC127)=0,"",$AC127)</f>
        <v/>
      </c>
      <c r="AY127" s="10" t="str">
        <f aca="false">IF(SUM($AS127)=0,"",$AS127)</f>
        <v/>
      </c>
      <c r="AZ127" s="10" t="str">
        <f aca="false">IFERROR(1/(1/INDEX(TB!$P:$P,MATCH($E127,TB!$E:$E,0))),"")</f>
        <v/>
      </c>
      <c r="BA127" s="10" t="str">
        <f aca="false">IFERROR(1/(1/(SUM($AW127)-SUM($AX127:$AZ127))),"")</f>
        <v/>
      </c>
    </row>
    <row r="128" customFormat="false" ht="15" hidden="false" customHeight="false" outlineLevel="0" collapsed="false">
      <c r="A128" s="0" t="str">
        <f aca="false">INDEX(Prioritization!$D:$D,MATCH($B128,Prioritization!$A:$A,0))</f>
        <v>INVALID</v>
      </c>
      <c r="B128" s="0" t="s">
        <v>216</v>
      </c>
      <c r="C128" s="0" t="s">
        <v>367</v>
      </c>
      <c r="D128" s="0" t="s">
        <v>30</v>
      </c>
      <c r="E128" s="0" t="str">
        <f aca="false">B128&amp;"|"&amp;C128&amp;"|"&amp;D128</f>
        <v>Mulanje District [umc2n1Z4wNv]|35-49|Female</v>
      </c>
      <c r="F128" s="10" t="n">
        <f aca="false">IF(LEFT($B128,4)="_Mil","",INDEX(Cascade!$T:$T,MATCH($E128,Cascade!$E:$E,0)))</f>
        <v>947</v>
      </c>
      <c r="G128" s="10" t="str">
        <f aca="false">IF(LEFT($B128,4)="_Mil","",INDEX(Cascade!$U:$U,MATCH($E128,Cascade!$E:$E,0)))</f>
        <v/>
      </c>
      <c r="H128" s="86" t="n">
        <f aca="false">IF(LEFT($B128,4)="_Mil","",INDEX(Cascade!$W:$W,MATCH($E128,Cascade!$E:$E,0)))</f>
        <v>647</v>
      </c>
      <c r="I128" s="10" t="n">
        <f aca="false">IF(LEFT($B128,4)="_Mil","",INDEX(Cascade!$Z:$Z,MATCH($E128,Cascade!$E:$E,0)))</f>
        <v>1619</v>
      </c>
      <c r="J128" s="88" t="n">
        <f aca="false">IF(LEFT($B128,4)="_Mil","",INDEX(Cascade!$AA:$AA,MATCH($E128,Cascade!$E:$E,0)))</f>
        <v>783</v>
      </c>
      <c r="K128" s="39" t="n">
        <f aca="false">IF(LEFT($B128,4)="_Mil","",_xlfn.IFNA(ROUND(INDEX(Spectrum!$N:$N,MATCH(RIGHT($B128,13)&amp;"|"&amp;$C128&amp;"|"&amp;$D128&amp;"|"&amp;K$14&amp;"|"&amp;"CY2023Q3",Spectrum!$R:$R,0)),0),""))</f>
        <v>649</v>
      </c>
      <c r="L128" s="39" t="str">
        <f aca="false">IF(LEFT($B128,4)="_Mil","",_xlfn.IFNA(ROUND(INDEX(Spectrum!$N:$N,MATCH(RIGHT($B128,13)&amp;"|"&amp;$C128&amp;"|"&amp;$D128&amp;"|"&amp;L$14&amp;"|"&amp;"CY2023Q3",Spectrum!$R:$R,0)),0),""))</f>
        <v/>
      </c>
      <c r="M128" s="39" t="n">
        <f aca="false">IF(LEFT($B128,4)="_Mil","",_xlfn.IFNA(ROUND(INDEX(Spectrum!$N:$N,MATCH(RIGHT($B128,13)&amp;"|"&amp;$C128&amp;"|"&amp;$D128&amp;"|"&amp;M$14&amp;"|"&amp;"CY2023Q3",Spectrum!$R:$R,0)),0),""))</f>
        <v>1318</v>
      </c>
      <c r="N128" s="39" t="n">
        <f aca="false">IF(LEFT($B128,4)="_Mil","",_xlfn.IFNA(ROUND(INDEX(Spectrum!$N:$N,MATCH(RIGHT($B128,13)&amp;"|"&amp;$C128&amp;"|"&amp;$D128&amp;"|"&amp;N$14&amp;"|"&amp;"CY2023Q3",Spectrum!$R:$R,0)),0),""))</f>
        <v>1616</v>
      </c>
      <c r="O128" s="39" t="n">
        <f aca="false">IF(LEFT($B128,4)="_Mil","",_xlfn.IFNA(ROUND(INDEX(Spectrum!$N:$N,MATCH(RIGHT($B128,13)&amp;"|"&amp;$C128&amp;"|"&amp;$D128&amp;"|"&amp;O$14&amp;"|"&amp;"CY2023Q3",Spectrum!$R:$R,0)),0),""))</f>
        <v>1237</v>
      </c>
      <c r="P128" s="39" t="n">
        <f aca="false">IF(LEFT($B128,4)="_Mil","",_xlfn.IFNA(ROUND(INDEX(Spectrum!$N:$N,MATCH(RIGHT($B128,13)&amp;"|"&amp;$C128&amp;"|"&amp;$D128&amp;"|"&amp;P$14&amp;"|"&amp;"CY2023Q3",Spectrum!$R:$R,0)),0),""))</f>
        <v>1526</v>
      </c>
      <c r="Q128" s="39" t="str">
        <f aca="false">IF(LEFT($B128,4)="_Mil","",_xlfn.IFNA(ROUND(INDEX(Spectrum!$N:$N,MATCH(RIGHT($B128,13)&amp;"|"&amp;$C128&amp;"|"&amp;$D128&amp;"|"&amp;Q$14&amp;"|"&amp;"CY2022Q3",Spectrum!$R:$R,0)),0),""))</f>
        <v/>
      </c>
      <c r="R128" s="10"/>
      <c r="S128" s="88" t="n">
        <f aca="false">0</f>
        <v>0</v>
      </c>
      <c r="T128" s="39" t="str">
        <f aca="false">IF(SUM($R128)=0,"",ROUND($R128*(1+$S128),0))</f>
        <v/>
      </c>
      <c r="U128" s="88" t="n">
        <f aca="false">IF(LEFT($B128,4)="_Mil","",IF(SUM($K128)=0,IF(SUM($R128)=0,"",1),MIN($R128/$K128,1)))</f>
        <v>0</v>
      </c>
      <c r="V128" s="39" t="str">
        <f aca="false">IF(OR(SUM($T128)=0,LEFT($B128,4)="_Mil"),"",ROUND($T128/$U128,0))</f>
        <v/>
      </c>
      <c r="W128" s="88"/>
      <c r="X128" s="88" t="n">
        <f aca="false">IF(SUM($K128,$W128)=0,"",MAX(IFERROR(SUM($L128)/$K128,0),SUM($W128)))</f>
        <v>0</v>
      </c>
      <c r="Y128" s="88"/>
      <c r="Z128" s="88" t="n">
        <f aca="false">IF(SUM($K128,$Y128)=0,"",MIN(SUM($Y128),IFERROR(SUM($M128)/(SUM($K128)-SUM($L128)),1)))</f>
        <v>0</v>
      </c>
      <c r="AA128" s="10" t="str">
        <f aca="false">$T128</f>
        <v/>
      </c>
      <c r="AB128" s="39" t="str">
        <f aca="false">IF(SUM($AA128)=0,"",IF(AND(SUM($AA128)&gt;0,$X128=""),"ENTER KNOWN POSITIVITY RATE",ROUND($AA128*$X128,0)))</f>
        <v/>
      </c>
      <c r="AC128" s="39" t="str">
        <f aca="false">IF(SUM($AA128)=0,"",IF(AND((SUM($AA128)-SUM($AB128))&gt;0,$Z128=""),"ENTER YIELD RATE",ROUND(($AA128-SUM($AB128))*$Z128,0)))</f>
        <v/>
      </c>
      <c r="AD128" s="39" t="str">
        <f aca="false">IF(SUM($AA128)=0,"",$AA128-SUM($AB128)-SUM($AC128))</f>
        <v/>
      </c>
      <c r="AE128" s="10" t="str">
        <f aca="false">$V128</f>
        <v/>
      </c>
      <c r="AF128" s="39" t="str">
        <f aca="false">IF(SUM($AE128)=0,"",ROUND($AE128*SUM($X128),0))</f>
        <v/>
      </c>
      <c r="AG128" s="39" t="str">
        <f aca="false">IF(SUM($AE128)=0,"",ROUND(($AE128-SUM($AF128))*SUM($Z128),0))</f>
        <v/>
      </c>
      <c r="AH128" s="39" t="str">
        <f aca="false">IF(SUM($AE128)=0,"",$AE128-SUM($AF128)-SUM($AG128))</f>
        <v/>
      </c>
      <c r="AI128" s="88" t="str">
        <f aca="false">IF(SUM($AC128)=0,"",INDEX(Cascade!$BG:$BG,MATCH($E128,Cascade!$E:$E,0)))</f>
        <v/>
      </c>
      <c r="AJ128" s="39" t="str">
        <f aca="false">$AB128</f>
        <v/>
      </c>
      <c r="AK128" s="39" t="str">
        <f aca="false">IF(SUM($AC128)=0,"",IF(AND($AI128="",SUM($AC128)&gt;0),"&lt;- Enter Linkage Rate",ROUND($AC128*$AI128,0)))</f>
        <v/>
      </c>
      <c r="AL128" s="39" t="str">
        <f aca="false">IF(SUM($AF128,$AG128)=0,"",SUM($AF128,$AG128))</f>
        <v/>
      </c>
      <c r="AM128" s="39" t="str">
        <f aca="false">$AF128</f>
        <v/>
      </c>
      <c r="AN128" s="39" t="str">
        <f aca="false">IF(SUM($AG128)=0,"",ROUND($AG128*SUM($AI128),0))</f>
        <v/>
      </c>
      <c r="AO128" s="10" t="str">
        <f aca="false">IFERROR(1/(1/MAX(SUM($T128)-SUM($AB128,$AC128),$AD128)),"")</f>
        <v/>
      </c>
      <c r="AP128" s="88"/>
      <c r="AQ128" s="88" t="str">
        <f aca="false">IF($AP128="","",$AP128)</f>
        <v/>
      </c>
      <c r="AR128" s="88" t="str">
        <f aca="false">IF(SUM($AO128)=0,"",INDEX(Cascade!$BG:$BG,MATCH($E128,Cascade!$E:$E,0)))</f>
        <v/>
      </c>
      <c r="AS128" s="39" t="str">
        <f aca="false">IF(SUM($AO128)=0,"",IF(AND(SUM($AO128)&gt;0,$AQ128=""),"ENTER YIELD RATE",ROUND($AO128*$AQ128,0)))</f>
        <v/>
      </c>
      <c r="AT128" s="39" t="str">
        <f aca="false">IF(SUM($AO128)=0,"",$AO128-SUM($AS128))</f>
        <v/>
      </c>
      <c r="AU128" s="10" t="str">
        <f aca="false">IF(SUM($AS128)=0,"",ROUND($AS128*$AR128,0))</f>
        <v/>
      </c>
      <c r="AV128" s="10" t="str">
        <f aca="false">IFERROR(1/(1/SUM($AC128,$AB128,$AS128)),"")</f>
        <v/>
      </c>
      <c r="AW128" s="10" t="str">
        <f aca="false">IFERROR(1/(1/INDEX(Cascade!$BH:$BH,MATCH($E128,Cascade!$E:$E,0))),"")</f>
        <v/>
      </c>
      <c r="AX128" s="10" t="str">
        <f aca="false">IF(SUM($AC128)=0,"",$AC128)</f>
        <v/>
      </c>
      <c r="AY128" s="10" t="str">
        <f aca="false">IF(SUM($AS128)=0,"",$AS128)</f>
        <v/>
      </c>
      <c r="AZ128" s="10" t="str">
        <f aca="false">IFERROR(1/(1/INDEX(TB!$P:$P,MATCH($E128,TB!$E:$E,0))),"")</f>
        <v/>
      </c>
      <c r="BA128" s="10" t="str">
        <f aca="false">IFERROR(1/(1/(SUM($AW128)-SUM($AX128:$AZ128))),"")</f>
        <v/>
      </c>
    </row>
    <row r="129" customFormat="false" ht="15" hidden="false" customHeight="false" outlineLevel="0" collapsed="false">
      <c r="A129" s="0" t="str">
        <f aca="false">INDEX(Prioritization!$D:$D,MATCH($B129,Prioritization!$A:$A,0))</f>
        <v>INVALID</v>
      </c>
      <c r="B129" s="0" t="s">
        <v>216</v>
      </c>
      <c r="C129" s="0" t="s">
        <v>368</v>
      </c>
      <c r="D129" s="0" t="s">
        <v>30</v>
      </c>
      <c r="E129" s="0" t="str">
        <f aca="false">B129&amp;"|"&amp;C129&amp;"|"&amp;D129</f>
        <v>Mulanje District [umc2n1Z4wNv]|50+|Female</v>
      </c>
      <c r="F129" s="10" t="n">
        <f aca="false">IF(LEFT($B129,4)="_Mil","",INDEX(Cascade!$T:$T,MATCH($E129,Cascade!$E:$E,0)))</f>
        <v>1949</v>
      </c>
      <c r="G129" s="10" t="str">
        <f aca="false">IF(LEFT($B129,4)="_Mil","",INDEX(Cascade!$U:$U,MATCH($E129,Cascade!$E:$E,0)))</f>
        <v/>
      </c>
      <c r="H129" s="86" t="n">
        <f aca="false">IF(LEFT($B129,4)="_Mil","",INDEX(Cascade!$W:$W,MATCH($E129,Cascade!$E:$E,0)))</f>
        <v>1889</v>
      </c>
      <c r="I129" s="10" t="n">
        <f aca="false">IF(LEFT($B129,4)="_Mil","",INDEX(Cascade!$Z:$Z,MATCH($E129,Cascade!$E:$E,0)))</f>
        <v>1838</v>
      </c>
      <c r="J129" s="88" t="n">
        <f aca="false">IF(LEFT($B129,4)="_Mil","",INDEX(Cascade!$AA:$AA,MATCH($E129,Cascade!$E:$E,0)))</f>
        <v>1352</v>
      </c>
      <c r="K129" s="39" t="str">
        <f aca="false">IF(LEFT($B129,4)="_Mil","",_xlfn.IFNA(ROUND(INDEX(Spectrum!$N:$N,MATCH(RIGHT($B129,13)&amp;"|"&amp;$C129&amp;"|"&amp;$D129&amp;"|"&amp;K$14&amp;"|"&amp;"CY2023Q3",Spectrum!$R:$R,0)),0),""))</f>
        <v/>
      </c>
      <c r="L129" s="39" t="str">
        <f aca="false">IF(LEFT($B129,4)="_Mil","",_xlfn.IFNA(ROUND(INDEX(Spectrum!$N:$N,MATCH(RIGHT($B129,13)&amp;"|"&amp;$C129&amp;"|"&amp;$D129&amp;"|"&amp;L$14&amp;"|"&amp;"CY2023Q3",Spectrum!$R:$R,0)),0),""))</f>
        <v/>
      </c>
      <c r="M129" s="39" t="str">
        <f aca="false">IF(LEFT($B129,4)="_Mil","",_xlfn.IFNA(ROUND(INDEX(Spectrum!$N:$N,MATCH(RIGHT($B129,13)&amp;"|"&amp;$C129&amp;"|"&amp;$D129&amp;"|"&amp;M$14&amp;"|"&amp;"CY2023Q3",Spectrum!$R:$R,0)),0),""))</f>
        <v/>
      </c>
      <c r="N129" s="39" t="str">
        <f aca="false">IF(LEFT($B129,4)="_Mil","",_xlfn.IFNA(ROUND(INDEX(Spectrum!$N:$N,MATCH(RIGHT($B129,13)&amp;"|"&amp;$C129&amp;"|"&amp;$D129&amp;"|"&amp;N$14&amp;"|"&amp;"CY2023Q3",Spectrum!$R:$R,0)),0),""))</f>
        <v/>
      </c>
      <c r="O129" s="39" t="str">
        <f aca="false">IF(LEFT($B129,4)="_Mil","",_xlfn.IFNA(ROUND(INDEX(Spectrum!$N:$N,MATCH(RIGHT($B129,13)&amp;"|"&amp;$C129&amp;"|"&amp;$D129&amp;"|"&amp;O$14&amp;"|"&amp;"CY2023Q3",Spectrum!$R:$R,0)),0),""))</f>
        <v/>
      </c>
      <c r="P129" s="39" t="str">
        <f aca="false">IF(LEFT($B129,4)="_Mil","",_xlfn.IFNA(ROUND(INDEX(Spectrum!$N:$N,MATCH(RIGHT($B129,13)&amp;"|"&amp;$C129&amp;"|"&amp;$D129&amp;"|"&amp;P$14&amp;"|"&amp;"CY2023Q3",Spectrum!$R:$R,0)),0),""))</f>
        <v/>
      </c>
      <c r="Q129" s="39" t="str">
        <f aca="false">IF(LEFT($B129,4)="_Mil","",_xlfn.IFNA(ROUND(INDEX(Spectrum!$N:$N,MATCH(RIGHT($B129,13)&amp;"|"&amp;$C129&amp;"|"&amp;$D129&amp;"|"&amp;Q$14&amp;"|"&amp;"CY2022Q3",Spectrum!$R:$R,0)),0),""))</f>
        <v/>
      </c>
      <c r="R129" s="10"/>
      <c r="S129" s="88" t="n">
        <f aca="false">0</f>
        <v>0</v>
      </c>
      <c r="T129" s="39" t="str">
        <f aca="false">IF(SUM($R129)=0,"",ROUND($R129*(1+$S129),0))</f>
        <v/>
      </c>
      <c r="U129" s="88" t="str">
        <f aca="false">IF(LEFT($B129,4)="_Mil","",IF(SUM($K129)=0,IF(SUM($R129)=0,"",1),MIN($R129/$K129,1)))</f>
        <v/>
      </c>
      <c r="V129" s="39" t="str">
        <f aca="false">IF(OR(SUM($T129)=0,LEFT($B129,4)="_Mil"),"",ROUND($T129/$U129,0))</f>
        <v/>
      </c>
      <c r="W129" s="88"/>
      <c r="X129" s="88" t="str">
        <f aca="false">IF(SUM($K129,$W129)=0,"",MAX(IFERROR(SUM($L129)/$K129,0),SUM($W129)))</f>
        <v/>
      </c>
      <c r="Y129" s="88"/>
      <c r="Z129" s="88" t="str">
        <f aca="false">IF(SUM($K129,$Y129)=0,"",MIN(SUM($Y129),IFERROR(SUM($M129)/(SUM($K129)-SUM($L129)),1)))</f>
        <v/>
      </c>
      <c r="AA129" s="10" t="str">
        <f aca="false">$T129</f>
        <v/>
      </c>
      <c r="AB129" s="39" t="str">
        <f aca="false">IF(SUM($AA129)=0,"",IF(AND(SUM($AA129)&gt;0,$X129=""),"ENTER KNOWN POSITIVITY RATE",ROUND($AA129*$X129,0)))</f>
        <v/>
      </c>
      <c r="AC129" s="39" t="str">
        <f aca="false">IF(SUM($AA129)=0,"",IF(AND((SUM($AA129)-SUM($AB129))&gt;0,$Z129=""),"ENTER YIELD RATE",ROUND(($AA129-SUM($AB129))*$Z129,0)))</f>
        <v/>
      </c>
      <c r="AD129" s="39" t="str">
        <f aca="false">IF(SUM($AA129)=0,"",$AA129-SUM($AB129)-SUM($AC129))</f>
        <v/>
      </c>
      <c r="AE129" s="10" t="str">
        <f aca="false">$V129</f>
        <v/>
      </c>
      <c r="AF129" s="39" t="str">
        <f aca="false">IF(SUM($AE129)=0,"",ROUND($AE129*SUM($X129),0))</f>
        <v/>
      </c>
      <c r="AG129" s="39" t="str">
        <f aca="false">IF(SUM($AE129)=0,"",ROUND(($AE129-SUM($AF129))*SUM($Z129),0))</f>
        <v/>
      </c>
      <c r="AH129" s="39" t="str">
        <f aca="false">IF(SUM($AE129)=0,"",$AE129-SUM($AF129)-SUM($AG129))</f>
        <v/>
      </c>
      <c r="AI129" s="88" t="str">
        <f aca="false">IF(SUM($AC129)=0,"",INDEX(Cascade!$BG:$BG,MATCH($E129,Cascade!$E:$E,0)))</f>
        <v/>
      </c>
      <c r="AJ129" s="39" t="str">
        <f aca="false">$AB129</f>
        <v/>
      </c>
      <c r="AK129" s="39" t="str">
        <f aca="false">IF(SUM($AC129)=0,"",IF(AND($AI129="",SUM($AC129)&gt;0),"&lt;- Enter Linkage Rate",ROUND($AC129*$AI129,0)))</f>
        <v/>
      </c>
      <c r="AL129" s="39" t="str">
        <f aca="false">IF(SUM($AF129,$AG129)=0,"",SUM($AF129,$AG129))</f>
        <v/>
      </c>
      <c r="AM129" s="39" t="str">
        <f aca="false">$AF129</f>
        <v/>
      </c>
      <c r="AN129" s="39" t="str">
        <f aca="false">IF(SUM($AG129)=0,"",ROUND($AG129*SUM($AI129),0))</f>
        <v/>
      </c>
      <c r="AO129" s="10" t="str">
        <f aca="false">IFERROR(1/(1/MAX(SUM($T129)-SUM($AB129,$AC129),$AD129)),"")</f>
        <v/>
      </c>
      <c r="AP129" s="88"/>
      <c r="AQ129" s="88" t="str">
        <f aca="false">IF($AP129="","",$AP129)</f>
        <v/>
      </c>
      <c r="AR129" s="88" t="str">
        <f aca="false">IF(SUM($AO129)=0,"",INDEX(Cascade!$BG:$BG,MATCH($E129,Cascade!$E:$E,0)))</f>
        <v/>
      </c>
      <c r="AS129" s="39" t="str">
        <f aca="false">IF(SUM($AO129)=0,"",IF(AND(SUM($AO129)&gt;0,$AQ129=""),"ENTER YIELD RATE",ROUND($AO129*$AQ129,0)))</f>
        <v/>
      </c>
      <c r="AT129" s="39" t="str">
        <f aca="false">IF(SUM($AO129)=0,"",$AO129-SUM($AS129))</f>
        <v/>
      </c>
      <c r="AU129" s="10" t="str">
        <f aca="false">IF(SUM($AS129)=0,"",ROUND($AS129*$AR129,0))</f>
        <v/>
      </c>
      <c r="AV129" s="10" t="str">
        <f aca="false">IFERROR(1/(1/SUM($AC129,$AB129,$AS129)),"")</f>
        <v/>
      </c>
      <c r="AW129" s="10" t="str">
        <f aca="false">IFERROR(1/(1/INDEX(Cascade!$BH:$BH,MATCH($E129,Cascade!$E:$E,0))),"")</f>
        <v/>
      </c>
      <c r="AX129" s="10" t="str">
        <f aca="false">IF(SUM($AC129)=0,"",$AC129)</f>
        <v/>
      </c>
      <c r="AY129" s="10" t="str">
        <f aca="false">IF(SUM($AS129)=0,"",$AS129)</f>
        <v/>
      </c>
      <c r="AZ129" s="10" t="str">
        <f aca="false">IFERROR(1/(1/INDEX(TB!$P:$P,MATCH($E129,TB!$E:$E,0))),"")</f>
        <v/>
      </c>
      <c r="BA129" s="10" t="str">
        <f aca="false">IFERROR(1/(1/(SUM($AW129)-SUM($AX129:$AZ129))),"")</f>
        <v/>
      </c>
    </row>
    <row r="130" customFormat="false" ht="15" hidden="false" customHeight="false" outlineLevel="0" collapsed="false">
      <c r="A130" s="0" t="str">
        <f aca="false">INDEX(Prioritization!$D:$D,MATCH($B130,Prioritization!$A:$A,0))</f>
        <v>INVALID</v>
      </c>
      <c r="B130" s="0" t="s">
        <v>217</v>
      </c>
      <c r="C130" s="0" t="s">
        <v>364</v>
      </c>
      <c r="D130" s="0" t="s">
        <v>30</v>
      </c>
      <c r="E130" s="0" t="str">
        <f aca="false">B130&amp;"|"&amp;C130&amp;"|"&amp;D130</f>
        <v>Mwanza District [wNqJp8oRIcF]|10-14|Female</v>
      </c>
      <c r="F130" s="10" t="n">
        <f aca="false">IF(LEFT($B130,4)="_Mil","",INDEX(Cascade!$T:$T,MATCH($E130,Cascade!$E:$E,0)))</f>
        <v>842</v>
      </c>
      <c r="G130" s="10" t="str">
        <f aca="false">IF(LEFT($B130,4)="_Mil","",INDEX(Cascade!$U:$U,MATCH($E130,Cascade!$E:$E,0)))</f>
        <v/>
      </c>
      <c r="H130" s="86" t="n">
        <f aca="false">IF(LEFT($B130,4)="_Mil","",INDEX(Cascade!$W:$W,MATCH($E130,Cascade!$E:$E,0)))</f>
        <v>1463</v>
      </c>
      <c r="I130" s="10" t="n">
        <f aca="false">IF(LEFT($B130,4)="_Mil","",INDEX(Cascade!$Z:$Z,MATCH($E130,Cascade!$E:$E,0)))</f>
        <v>1800</v>
      </c>
      <c r="J130" s="88" t="n">
        <f aca="false">IF(LEFT($B130,4)="_Mil","",INDEX(Cascade!$AA:$AA,MATCH($E130,Cascade!$E:$E,0)))</f>
        <v>918</v>
      </c>
      <c r="K130" s="39" t="str">
        <f aca="false">IF(LEFT($B130,4)="_Mil","",_xlfn.IFNA(ROUND(INDEX(Spectrum!$N:$N,MATCH(RIGHT($B130,13)&amp;"|"&amp;$C130&amp;"|"&amp;$D130&amp;"|"&amp;K$14&amp;"|"&amp;"CY2023Q3",Spectrum!$R:$R,0)),0),""))</f>
        <v/>
      </c>
      <c r="L130" s="39" t="str">
        <f aca="false">IF(LEFT($B130,4)="_Mil","",_xlfn.IFNA(ROUND(INDEX(Spectrum!$N:$N,MATCH(RIGHT($B130,13)&amp;"|"&amp;$C130&amp;"|"&amp;$D130&amp;"|"&amp;L$14&amp;"|"&amp;"CY2023Q3",Spectrum!$R:$R,0)),0),""))</f>
        <v/>
      </c>
      <c r="M130" s="39" t="str">
        <f aca="false">IF(LEFT($B130,4)="_Mil","",_xlfn.IFNA(ROUND(INDEX(Spectrum!$N:$N,MATCH(RIGHT($B130,13)&amp;"|"&amp;$C130&amp;"|"&amp;$D130&amp;"|"&amp;M$14&amp;"|"&amp;"CY2023Q3",Spectrum!$R:$R,0)),0),""))</f>
        <v/>
      </c>
      <c r="N130" s="39" t="str">
        <f aca="false">IF(LEFT($B130,4)="_Mil","",_xlfn.IFNA(ROUND(INDEX(Spectrum!$N:$N,MATCH(RIGHT($B130,13)&amp;"|"&amp;$C130&amp;"|"&amp;$D130&amp;"|"&amp;N$14&amp;"|"&amp;"CY2023Q3",Spectrum!$R:$R,0)),0),""))</f>
        <v/>
      </c>
      <c r="O130" s="39" t="str">
        <f aca="false">IF(LEFT($B130,4)="_Mil","",_xlfn.IFNA(ROUND(INDEX(Spectrum!$N:$N,MATCH(RIGHT($B130,13)&amp;"|"&amp;$C130&amp;"|"&amp;$D130&amp;"|"&amp;O$14&amp;"|"&amp;"CY2023Q3",Spectrum!$R:$R,0)),0),""))</f>
        <v/>
      </c>
      <c r="P130" s="39" t="str">
        <f aca="false">IF(LEFT($B130,4)="_Mil","",_xlfn.IFNA(ROUND(INDEX(Spectrum!$N:$N,MATCH(RIGHT($B130,13)&amp;"|"&amp;$C130&amp;"|"&amp;$D130&amp;"|"&amp;P$14&amp;"|"&amp;"CY2023Q3",Spectrum!$R:$R,0)),0),""))</f>
        <v/>
      </c>
      <c r="Q130" s="39" t="str">
        <f aca="false">IF(LEFT($B130,4)="_Mil","",_xlfn.IFNA(ROUND(INDEX(Spectrum!$N:$N,MATCH(RIGHT($B130,13)&amp;"|"&amp;$C130&amp;"|"&amp;$D130&amp;"|"&amp;Q$14&amp;"|"&amp;"CY2022Q3",Spectrum!$R:$R,0)),0),""))</f>
        <v/>
      </c>
      <c r="R130" s="10" t="n">
        <v>1</v>
      </c>
      <c r="S130" s="88" t="n">
        <f aca="false">0</f>
        <v>0</v>
      </c>
      <c r="T130" s="39" t="n">
        <f aca="false">IF(SUM($R130)=0,"",ROUND($R130*(1+$S130),0))</f>
        <v>1</v>
      </c>
      <c r="U130" s="88" t="n">
        <f aca="false">IF(LEFT($B130,4)="_Mil","",IF(SUM($K130)=0,IF(SUM($R130)=0,"",1),MIN($R130/$K130,1)))</f>
        <v>1</v>
      </c>
      <c r="V130" s="39" t="n">
        <f aca="false">IF(OR(SUM($T130)=0,LEFT($B130,4)="_Mil"),"",ROUND($T130/$U130,0))</f>
        <v>1</v>
      </c>
      <c r="W130" s="88"/>
      <c r="X130" s="88" t="str">
        <f aca="false">IF(SUM($K130,$W130)=0,"",MAX(IFERROR(SUM($L130)/$K130,0),SUM($W130)))</f>
        <v/>
      </c>
      <c r="Y130" s="88"/>
      <c r="Z130" s="88" t="str">
        <f aca="false">IF(SUM($K130,$Y130)=0,"",MIN(SUM($Y130),IFERROR(SUM($M130)/(SUM($K130)-SUM($L130)),1)))</f>
        <v/>
      </c>
      <c r="AA130" s="10" t="n">
        <f aca="false">$T130</f>
        <v>1</v>
      </c>
      <c r="AB130" s="39" t="str">
        <f aca="false">IF(SUM($AA130)=0,"",IF(AND(SUM($AA130)&gt;0,$X130=""),"ENTER KNOWN POSITIVITY RATE",ROUND($AA130*$X130,0)))</f>
        <v>ENTER KNOWN POSITIVITY RATE</v>
      </c>
      <c r="AC130" s="39" t="str">
        <f aca="false">IF(SUM($AA130)=0,"",IF(AND((SUM($AA130)-SUM($AB130))&gt;0,$Z130=""),"ENTER YIELD RATE",ROUND(($AA130-SUM($AB130))*$Z130,0)))</f>
        <v>ENTER YIELD RATE</v>
      </c>
      <c r="AD130" s="39" t="n">
        <f aca="false">IF(SUM($AA130)=0,"",$AA130-SUM($AB130)-SUM($AC130))</f>
        <v>1</v>
      </c>
      <c r="AE130" s="10" t="n">
        <f aca="false">$V130</f>
        <v>1</v>
      </c>
      <c r="AF130" s="39" t="n">
        <f aca="false">IF(SUM($AE130)=0,"",ROUND($AE130*SUM($X130),0))</f>
        <v>0</v>
      </c>
      <c r="AG130" s="39" t="n">
        <f aca="false">IF(SUM($AE130)=0,"",ROUND(($AE130-SUM($AF130))*SUM($Z130),0))</f>
        <v>0</v>
      </c>
      <c r="AH130" s="39" t="n">
        <f aca="false">IF(SUM($AE130)=0,"",$AE130-SUM($AF130)-SUM($AG130))</f>
        <v>1</v>
      </c>
      <c r="AI130" s="88" t="str">
        <f aca="false">IF(SUM($AC130)=0,"",INDEX(Cascade!$BG:$BG,MATCH($E130,Cascade!$E:$E,0)))</f>
        <v/>
      </c>
      <c r="AJ130" s="39" t="str">
        <f aca="false">$AB130</f>
        <v>ENTER KNOWN POSITIVITY RATE</v>
      </c>
      <c r="AK130" s="39" t="str">
        <f aca="false">IF(SUM($AC130)=0,"",IF(AND($AI130="",SUM($AC130)&gt;0),"&lt;- Enter Linkage Rate",ROUND($AC130*$AI130,0)))</f>
        <v/>
      </c>
      <c r="AL130" s="39" t="str">
        <f aca="false">IF(SUM($AF130,$AG130)=0,"",SUM($AF130,$AG130))</f>
        <v/>
      </c>
      <c r="AM130" s="39" t="n">
        <f aca="false">$AF130</f>
        <v>0</v>
      </c>
      <c r="AN130" s="39" t="str">
        <f aca="false">IF(SUM($AG130)=0,"",ROUND($AG130*SUM($AI130),0))</f>
        <v/>
      </c>
      <c r="AO130" s="10" t="n">
        <f aca="false">IFERROR(1/(1/MAX(SUM($T130)-SUM($AB130,$AC130),$AD130)),"")</f>
        <v>1</v>
      </c>
      <c r="AP130" s="88"/>
      <c r="AQ130" s="88" t="str">
        <f aca="false">IF($AP130="","",$AP130)</f>
        <v/>
      </c>
      <c r="AR130" s="88" t="n">
        <f aca="false">IF(SUM($AO130)=0,"",INDEX(Cascade!$BG:$BG,MATCH($E130,Cascade!$E:$E,0)))</f>
        <v>0.95</v>
      </c>
      <c r="AS130" s="39" t="str">
        <f aca="false">IF(SUM($AO130)=0,"",IF(AND(SUM($AO130)&gt;0,$AQ130=""),"ENTER YIELD RATE",ROUND($AO130*$AQ130,0)))</f>
        <v>ENTER YIELD RATE</v>
      </c>
      <c r="AT130" s="39" t="n">
        <f aca="false">IF(SUM($AO130)=0,"",$AO130-SUM($AS130))</f>
        <v>1</v>
      </c>
      <c r="AU130" s="10" t="str">
        <f aca="false">IF(SUM($AS130)=0,"",ROUND($AS130*$AR130,0))</f>
        <v/>
      </c>
      <c r="AV130" s="10" t="str">
        <f aca="false">IFERROR(1/(1/SUM($AC130,$AB130,$AS130)),"")</f>
        <v/>
      </c>
      <c r="AW130" s="10" t="n">
        <f aca="false">IFERROR(1/(1/INDEX(Cascade!$BH:$BH,MATCH($E130,Cascade!$E:$E,0))),"")</f>
        <v>-8</v>
      </c>
      <c r="AX130" s="10" t="str">
        <f aca="false">IF(SUM($AC130)=0,"",$AC130)</f>
        <v/>
      </c>
      <c r="AY130" s="10" t="str">
        <f aca="false">IF(SUM($AS130)=0,"",$AS130)</f>
        <v/>
      </c>
      <c r="AZ130" s="10" t="str">
        <f aca="false">IFERROR(1/(1/INDEX(TB!$P:$P,MATCH($E130,TB!$E:$E,0))),"")</f>
        <v/>
      </c>
      <c r="BA130" s="10" t="n">
        <f aca="false">IFERROR(1/(1/(SUM($AW130)-SUM($AX130:$AZ130))),"")</f>
        <v>-8</v>
      </c>
    </row>
    <row r="131" customFormat="false" ht="15" hidden="false" customHeight="false" outlineLevel="0" collapsed="false">
      <c r="A131" s="0" t="str">
        <f aca="false">INDEX(Prioritization!$D:$D,MATCH($B131,Prioritization!$A:$A,0))</f>
        <v>INVALID</v>
      </c>
      <c r="B131" s="0" t="s">
        <v>217</v>
      </c>
      <c r="C131" s="0" t="s">
        <v>365</v>
      </c>
      <c r="D131" s="0" t="s">
        <v>30</v>
      </c>
      <c r="E131" s="0" t="str">
        <f aca="false">B131&amp;"|"&amp;C131&amp;"|"&amp;D131</f>
        <v>Mwanza District [wNqJp8oRIcF]|15-24|Female</v>
      </c>
      <c r="F131" s="10" t="n">
        <f aca="false">IF(LEFT($B131,4)="_Mil","",INDEX(Cascade!$T:$T,MATCH($E131,Cascade!$E:$E,0)))</f>
        <v>1256</v>
      </c>
      <c r="G131" s="10" t="str">
        <f aca="false">IF(LEFT($B131,4)="_Mil","",INDEX(Cascade!$U:$U,MATCH($E131,Cascade!$E:$E,0)))</f>
        <v/>
      </c>
      <c r="H131" s="86" t="n">
        <f aca="false">IF(LEFT($B131,4)="_Mil","",INDEX(Cascade!$W:$W,MATCH($E131,Cascade!$E:$E,0)))</f>
        <v>1690</v>
      </c>
      <c r="I131" s="10" t="n">
        <f aca="false">IF(LEFT($B131,4)="_Mil","",INDEX(Cascade!$Z:$Z,MATCH($E131,Cascade!$E:$E,0)))</f>
        <v>757</v>
      </c>
      <c r="J131" s="88" t="n">
        <f aca="false">IF(LEFT($B131,4)="_Mil","",INDEX(Cascade!$AA:$AA,MATCH($E131,Cascade!$E:$E,0)))</f>
        <v>1427</v>
      </c>
      <c r="K131" s="39" t="n">
        <f aca="false">IF(LEFT($B131,4)="_Mil","",_xlfn.IFNA(ROUND(INDEX(Spectrum!$N:$N,MATCH(RIGHT($B131,13)&amp;"|"&amp;$C131&amp;"|"&amp;$D131&amp;"|"&amp;K$14&amp;"|"&amp;"CY2023Q3",Spectrum!$R:$R,0)),0),""))</f>
        <v>838</v>
      </c>
      <c r="L131" s="39" t="str">
        <f aca="false">IF(LEFT($B131,4)="_Mil","",_xlfn.IFNA(ROUND(INDEX(Spectrum!$N:$N,MATCH(RIGHT($B131,13)&amp;"|"&amp;$C131&amp;"|"&amp;$D131&amp;"|"&amp;L$14&amp;"|"&amp;"CY2023Q3",Spectrum!$R:$R,0)),0),""))</f>
        <v/>
      </c>
      <c r="M131" s="39" t="n">
        <f aca="false">IF(LEFT($B131,4)="_Mil","",_xlfn.IFNA(ROUND(INDEX(Spectrum!$N:$N,MATCH(RIGHT($B131,13)&amp;"|"&amp;$C131&amp;"|"&amp;$D131&amp;"|"&amp;M$14&amp;"|"&amp;"CY2023Q3",Spectrum!$R:$R,0)),0),""))</f>
        <v>503</v>
      </c>
      <c r="N131" s="39" t="n">
        <f aca="false">IF(LEFT($B131,4)="_Mil","",_xlfn.IFNA(ROUND(INDEX(Spectrum!$N:$N,MATCH(RIGHT($B131,13)&amp;"|"&amp;$C131&amp;"|"&amp;$D131&amp;"|"&amp;N$14&amp;"|"&amp;"CY2023Q3",Spectrum!$R:$R,0)),0),""))</f>
        <v>1321</v>
      </c>
      <c r="O131" s="39" t="n">
        <f aca="false">IF(LEFT($B131,4)="_Mil","",_xlfn.IFNA(ROUND(INDEX(Spectrum!$N:$N,MATCH(RIGHT($B131,13)&amp;"|"&amp;$C131&amp;"|"&amp;$D131&amp;"|"&amp;O$14&amp;"|"&amp;"CY2023Q3",Spectrum!$R:$R,0)),0),""))</f>
        <v>1203</v>
      </c>
      <c r="P131" s="39" t="n">
        <f aca="false">IF(LEFT($B131,4)="_Mil","",_xlfn.IFNA(ROUND(INDEX(Spectrum!$N:$N,MATCH(RIGHT($B131,13)&amp;"|"&amp;$C131&amp;"|"&amp;$D131&amp;"|"&amp;P$14&amp;"|"&amp;"CY2023Q3",Spectrum!$R:$R,0)),0),""))</f>
        <v>1626</v>
      </c>
      <c r="Q131" s="39" t="str">
        <f aca="false">IF(LEFT($B131,4)="_Mil","",_xlfn.IFNA(ROUND(INDEX(Spectrum!$N:$N,MATCH(RIGHT($B131,13)&amp;"|"&amp;$C131&amp;"|"&amp;$D131&amp;"|"&amp;Q$14&amp;"|"&amp;"CY2022Q3",Spectrum!$R:$R,0)),0),""))</f>
        <v/>
      </c>
      <c r="R131" s="10"/>
      <c r="S131" s="88" t="n">
        <f aca="false">0</f>
        <v>0</v>
      </c>
      <c r="T131" s="39" t="str">
        <f aca="false">IF(SUM($R131)=0,"",ROUND($R131*(1+$S131),0))</f>
        <v/>
      </c>
      <c r="U131" s="88" t="n">
        <f aca="false">IF(LEFT($B131,4)="_Mil","",IF(SUM($K131)=0,IF(SUM($R131)=0,"",1),MIN($R131/$K131,1)))</f>
        <v>0</v>
      </c>
      <c r="V131" s="39" t="str">
        <f aca="false">IF(OR(SUM($T131)=0,LEFT($B131,4)="_Mil"),"",ROUND($T131/$U131,0))</f>
        <v/>
      </c>
      <c r="W131" s="88"/>
      <c r="X131" s="88" t="n">
        <f aca="false">IF(SUM($K131,$W131)=0,"",MAX(IFERROR(SUM($L131)/$K131,0),SUM($W131)))</f>
        <v>0</v>
      </c>
      <c r="Y131" s="88"/>
      <c r="Z131" s="88" t="n">
        <f aca="false">IF(SUM($K131,$Y131)=0,"",MIN(SUM($Y131),IFERROR(SUM($M131)/(SUM($K131)-SUM($L131)),1)))</f>
        <v>0</v>
      </c>
      <c r="AA131" s="10" t="str">
        <f aca="false">$T131</f>
        <v/>
      </c>
      <c r="AB131" s="39" t="str">
        <f aca="false">IF(SUM($AA131)=0,"",IF(AND(SUM($AA131)&gt;0,$X131=""),"ENTER KNOWN POSITIVITY RATE",ROUND($AA131*$X131,0)))</f>
        <v/>
      </c>
      <c r="AC131" s="39" t="str">
        <f aca="false">IF(SUM($AA131)=0,"",IF(AND((SUM($AA131)-SUM($AB131))&gt;0,$Z131=""),"ENTER YIELD RATE",ROUND(($AA131-SUM($AB131))*$Z131,0)))</f>
        <v/>
      </c>
      <c r="AD131" s="39" t="str">
        <f aca="false">IF(SUM($AA131)=0,"",$AA131-SUM($AB131)-SUM($AC131))</f>
        <v/>
      </c>
      <c r="AE131" s="10" t="str">
        <f aca="false">$V131</f>
        <v/>
      </c>
      <c r="AF131" s="39" t="str">
        <f aca="false">IF(SUM($AE131)=0,"",ROUND($AE131*SUM($X131),0))</f>
        <v/>
      </c>
      <c r="AG131" s="39" t="str">
        <f aca="false">IF(SUM($AE131)=0,"",ROUND(($AE131-SUM($AF131))*SUM($Z131),0))</f>
        <v/>
      </c>
      <c r="AH131" s="39" t="str">
        <f aca="false">IF(SUM($AE131)=0,"",$AE131-SUM($AF131)-SUM($AG131))</f>
        <v/>
      </c>
      <c r="AI131" s="88" t="str">
        <f aca="false">IF(SUM($AC131)=0,"",INDEX(Cascade!$BG:$BG,MATCH($E131,Cascade!$E:$E,0)))</f>
        <v/>
      </c>
      <c r="AJ131" s="39" t="str">
        <f aca="false">$AB131</f>
        <v/>
      </c>
      <c r="AK131" s="39" t="str">
        <f aca="false">IF(SUM($AC131)=0,"",IF(AND($AI131="",SUM($AC131)&gt;0),"&lt;- Enter Linkage Rate",ROUND($AC131*$AI131,0)))</f>
        <v/>
      </c>
      <c r="AL131" s="39" t="str">
        <f aca="false">IF(SUM($AF131,$AG131)=0,"",SUM($AF131,$AG131))</f>
        <v/>
      </c>
      <c r="AM131" s="39" t="str">
        <f aca="false">$AF131</f>
        <v/>
      </c>
      <c r="AN131" s="39" t="str">
        <f aca="false">IF(SUM($AG131)=0,"",ROUND($AG131*SUM($AI131),0))</f>
        <v/>
      </c>
      <c r="AO131" s="10" t="str">
        <f aca="false">IFERROR(1/(1/MAX(SUM($T131)-SUM($AB131,$AC131),$AD131)),"")</f>
        <v/>
      </c>
      <c r="AP131" s="88"/>
      <c r="AQ131" s="88" t="str">
        <f aca="false">IF($AP131="","",$AP131)</f>
        <v/>
      </c>
      <c r="AR131" s="88" t="str">
        <f aca="false">IF(SUM($AO131)=0,"",INDEX(Cascade!$BG:$BG,MATCH($E131,Cascade!$E:$E,0)))</f>
        <v/>
      </c>
      <c r="AS131" s="39" t="str">
        <f aca="false">IF(SUM($AO131)=0,"",IF(AND(SUM($AO131)&gt;0,$AQ131=""),"ENTER YIELD RATE",ROUND($AO131*$AQ131,0)))</f>
        <v/>
      </c>
      <c r="AT131" s="39" t="str">
        <f aca="false">IF(SUM($AO131)=0,"",$AO131-SUM($AS131))</f>
        <v/>
      </c>
      <c r="AU131" s="10" t="str">
        <f aca="false">IF(SUM($AS131)=0,"",ROUND($AS131*$AR131,0))</f>
        <v/>
      </c>
      <c r="AV131" s="10" t="str">
        <f aca="false">IFERROR(1/(1/SUM($AC131,$AB131,$AS131)),"")</f>
        <v/>
      </c>
      <c r="AW131" s="10" t="str">
        <f aca="false">IFERROR(1/(1/INDEX(Cascade!$BH:$BH,MATCH($E131,Cascade!$E:$E,0))),"")</f>
        <v/>
      </c>
      <c r="AX131" s="10" t="str">
        <f aca="false">IF(SUM($AC131)=0,"",$AC131)</f>
        <v/>
      </c>
      <c r="AY131" s="10" t="str">
        <f aca="false">IF(SUM($AS131)=0,"",$AS131)</f>
        <v/>
      </c>
      <c r="AZ131" s="10" t="str">
        <f aca="false">IFERROR(1/(1/INDEX(TB!$P:$P,MATCH($E131,TB!$E:$E,0))),"")</f>
        <v/>
      </c>
      <c r="BA131" s="10" t="str">
        <f aca="false">IFERROR(1/(1/(SUM($AW131)-SUM($AX131:$AZ131))),"")</f>
        <v/>
      </c>
    </row>
    <row r="132" customFormat="false" ht="15" hidden="false" customHeight="false" outlineLevel="0" collapsed="false">
      <c r="A132" s="0" t="str">
        <f aca="false">INDEX(Prioritization!$D:$D,MATCH($B132,Prioritization!$A:$A,0))</f>
        <v>INVALID</v>
      </c>
      <c r="B132" s="0" t="s">
        <v>217</v>
      </c>
      <c r="C132" s="0" t="s">
        <v>366</v>
      </c>
      <c r="D132" s="0" t="s">
        <v>30</v>
      </c>
      <c r="E132" s="0" t="str">
        <f aca="false">B132&amp;"|"&amp;C132&amp;"|"&amp;D132</f>
        <v>Mwanza District [wNqJp8oRIcF]|25-34|Female</v>
      </c>
      <c r="F132" s="10" t="n">
        <f aca="false">IF(LEFT($B132,4)="_Mil","",INDEX(Cascade!$T:$T,MATCH($E132,Cascade!$E:$E,0)))</f>
        <v>619</v>
      </c>
      <c r="G132" s="10" t="str">
        <f aca="false">IF(LEFT($B132,4)="_Mil","",INDEX(Cascade!$U:$U,MATCH($E132,Cascade!$E:$E,0)))</f>
        <v/>
      </c>
      <c r="H132" s="86" t="n">
        <f aca="false">IF(LEFT($B132,4)="_Mil","",INDEX(Cascade!$W:$W,MATCH($E132,Cascade!$E:$E,0)))</f>
        <v>1468</v>
      </c>
      <c r="I132" s="10" t="n">
        <f aca="false">IF(LEFT($B132,4)="_Mil","",INDEX(Cascade!$Z:$Z,MATCH($E132,Cascade!$E:$E,0)))</f>
        <v>623</v>
      </c>
      <c r="J132" s="88" t="n">
        <f aca="false">IF(LEFT($B132,4)="_Mil","",INDEX(Cascade!$AA:$AA,MATCH($E132,Cascade!$E:$E,0)))</f>
        <v>935</v>
      </c>
      <c r="K132" s="39" t="n">
        <f aca="false">IF(LEFT($B132,4)="_Mil","",_xlfn.IFNA(ROUND(INDEX(Spectrum!$N:$N,MATCH(RIGHT($B132,13)&amp;"|"&amp;$C132&amp;"|"&amp;$D132&amp;"|"&amp;K$14&amp;"|"&amp;"CY2023Q3",Spectrum!$R:$R,0)),0),""))</f>
        <v>984</v>
      </c>
      <c r="L132" s="39" t="str">
        <f aca="false">IF(LEFT($B132,4)="_Mil","",_xlfn.IFNA(ROUND(INDEX(Spectrum!$N:$N,MATCH(RIGHT($B132,13)&amp;"|"&amp;$C132&amp;"|"&amp;$D132&amp;"|"&amp;L$14&amp;"|"&amp;"CY2023Q3",Spectrum!$R:$R,0)),0),""))</f>
        <v/>
      </c>
      <c r="M132" s="39" t="n">
        <f aca="false">IF(LEFT($B132,4)="_Mil","",_xlfn.IFNA(ROUND(INDEX(Spectrum!$N:$N,MATCH(RIGHT($B132,13)&amp;"|"&amp;$C132&amp;"|"&amp;$D132&amp;"|"&amp;M$14&amp;"|"&amp;"CY2023Q3",Spectrum!$R:$R,0)),0),""))</f>
        <v>751</v>
      </c>
      <c r="N132" s="39" t="n">
        <f aca="false">IF(LEFT($B132,4)="_Mil","",_xlfn.IFNA(ROUND(INDEX(Spectrum!$N:$N,MATCH(RIGHT($B132,13)&amp;"|"&amp;$C132&amp;"|"&amp;$D132&amp;"|"&amp;N$14&amp;"|"&amp;"CY2023Q3",Spectrum!$R:$R,0)),0),""))</f>
        <v>1390</v>
      </c>
      <c r="O132" s="39" t="n">
        <f aca="false">IF(LEFT($B132,4)="_Mil","",_xlfn.IFNA(ROUND(INDEX(Spectrum!$N:$N,MATCH(RIGHT($B132,13)&amp;"|"&amp;$C132&amp;"|"&amp;$D132&amp;"|"&amp;O$14&amp;"|"&amp;"CY2023Q3",Spectrum!$R:$R,0)),0),""))</f>
        <v>1608</v>
      </c>
      <c r="P132" s="39" t="n">
        <f aca="false">IF(LEFT($B132,4)="_Mil","",_xlfn.IFNA(ROUND(INDEX(Spectrum!$N:$N,MATCH(RIGHT($B132,13)&amp;"|"&amp;$C132&amp;"|"&amp;$D132&amp;"|"&amp;P$14&amp;"|"&amp;"CY2023Q3",Spectrum!$R:$R,0)),0),""))</f>
        <v>1913</v>
      </c>
      <c r="Q132" s="39" t="str">
        <f aca="false">IF(LEFT($B132,4)="_Mil","",_xlfn.IFNA(ROUND(INDEX(Spectrum!$N:$N,MATCH(RIGHT($B132,13)&amp;"|"&amp;$C132&amp;"|"&amp;$D132&amp;"|"&amp;Q$14&amp;"|"&amp;"CY2022Q3",Spectrum!$R:$R,0)),0),""))</f>
        <v/>
      </c>
      <c r="R132" s="10"/>
      <c r="S132" s="88" t="n">
        <f aca="false">0</f>
        <v>0</v>
      </c>
      <c r="T132" s="39" t="str">
        <f aca="false">IF(SUM($R132)=0,"",ROUND($R132*(1+$S132),0))</f>
        <v/>
      </c>
      <c r="U132" s="88" t="n">
        <f aca="false">IF(LEFT($B132,4)="_Mil","",IF(SUM($K132)=0,IF(SUM($R132)=0,"",1),MIN($R132/$K132,1)))</f>
        <v>0</v>
      </c>
      <c r="V132" s="39" t="str">
        <f aca="false">IF(OR(SUM($T132)=0,LEFT($B132,4)="_Mil"),"",ROUND($T132/$U132,0))</f>
        <v/>
      </c>
      <c r="W132" s="88"/>
      <c r="X132" s="88" t="n">
        <f aca="false">IF(SUM($K132,$W132)=0,"",MAX(IFERROR(SUM($L132)/$K132,0),SUM($W132)))</f>
        <v>0</v>
      </c>
      <c r="Y132" s="88"/>
      <c r="Z132" s="88" t="n">
        <f aca="false">IF(SUM($K132,$Y132)=0,"",MIN(SUM($Y132),IFERROR(SUM($M132)/(SUM($K132)-SUM($L132)),1)))</f>
        <v>0</v>
      </c>
      <c r="AA132" s="10" t="str">
        <f aca="false">$T132</f>
        <v/>
      </c>
      <c r="AB132" s="39" t="str">
        <f aca="false">IF(SUM($AA132)=0,"",IF(AND(SUM($AA132)&gt;0,$X132=""),"ENTER KNOWN POSITIVITY RATE",ROUND($AA132*$X132,0)))</f>
        <v/>
      </c>
      <c r="AC132" s="39" t="str">
        <f aca="false">IF(SUM($AA132)=0,"",IF(AND((SUM($AA132)-SUM($AB132))&gt;0,$Z132=""),"ENTER YIELD RATE",ROUND(($AA132-SUM($AB132))*$Z132,0)))</f>
        <v/>
      </c>
      <c r="AD132" s="39" t="str">
        <f aca="false">IF(SUM($AA132)=0,"",$AA132-SUM($AB132)-SUM($AC132))</f>
        <v/>
      </c>
      <c r="AE132" s="10" t="str">
        <f aca="false">$V132</f>
        <v/>
      </c>
      <c r="AF132" s="39" t="str">
        <f aca="false">IF(SUM($AE132)=0,"",ROUND($AE132*SUM($X132),0))</f>
        <v/>
      </c>
      <c r="AG132" s="39" t="str">
        <f aca="false">IF(SUM($AE132)=0,"",ROUND(($AE132-SUM($AF132))*SUM($Z132),0))</f>
        <v/>
      </c>
      <c r="AH132" s="39" t="str">
        <f aca="false">IF(SUM($AE132)=0,"",$AE132-SUM($AF132)-SUM($AG132))</f>
        <v/>
      </c>
      <c r="AI132" s="88" t="str">
        <f aca="false">IF(SUM($AC132)=0,"",INDEX(Cascade!$BG:$BG,MATCH($E132,Cascade!$E:$E,0)))</f>
        <v/>
      </c>
      <c r="AJ132" s="39" t="str">
        <f aca="false">$AB132</f>
        <v/>
      </c>
      <c r="AK132" s="39" t="str">
        <f aca="false">IF(SUM($AC132)=0,"",IF(AND($AI132="",SUM($AC132)&gt;0),"&lt;- Enter Linkage Rate",ROUND($AC132*$AI132,0)))</f>
        <v/>
      </c>
      <c r="AL132" s="39" t="str">
        <f aca="false">IF(SUM($AF132,$AG132)=0,"",SUM($AF132,$AG132))</f>
        <v/>
      </c>
      <c r="AM132" s="39" t="str">
        <f aca="false">$AF132</f>
        <v/>
      </c>
      <c r="AN132" s="39" t="str">
        <f aca="false">IF(SUM($AG132)=0,"",ROUND($AG132*SUM($AI132),0))</f>
        <v/>
      </c>
      <c r="AO132" s="10" t="str">
        <f aca="false">IFERROR(1/(1/MAX(SUM($T132)-SUM($AB132,$AC132),$AD132)),"")</f>
        <v/>
      </c>
      <c r="AP132" s="88"/>
      <c r="AQ132" s="88" t="str">
        <f aca="false">IF($AP132="","",$AP132)</f>
        <v/>
      </c>
      <c r="AR132" s="88" t="str">
        <f aca="false">IF(SUM($AO132)=0,"",INDEX(Cascade!$BG:$BG,MATCH($E132,Cascade!$E:$E,0)))</f>
        <v/>
      </c>
      <c r="AS132" s="39" t="str">
        <f aca="false">IF(SUM($AO132)=0,"",IF(AND(SUM($AO132)&gt;0,$AQ132=""),"ENTER YIELD RATE",ROUND($AO132*$AQ132,0)))</f>
        <v/>
      </c>
      <c r="AT132" s="39" t="str">
        <f aca="false">IF(SUM($AO132)=0,"",$AO132-SUM($AS132))</f>
        <v/>
      </c>
      <c r="AU132" s="10" t="str">
        <f aca="false">IF(SUM($AS132)=0,"",ROUND($AS132*$AR132,0))</f>
        <v/>
      </c>
      <c r="AV132" s="10" t="str">
        <f aca="false">IFERROR(1/(1/SUM($AC132,$AB132,$AS132)),"")</f>
        <v/>
      </c>
      <c r="AW132" s="10" t="str">
        <f aca="false">IFERROR(1/(1/INDEX(Cascade!$BH:$BH,MATCH($E132,Cascade!$E:$E,0))),"")</f>
        <v/>
      </c>
      <c r="AX132" s="10" t="str">
        <f aca="false">IF(SUM($AC132)=0,"",$AC132)</f>
        <v/>
      </c>
      <c r="AY132" s="10" t="str">
        <f aca="false">IF(SUM($AS132)=0,"",$AS132)</f>
        <v/>
      </c>
      <c r="AZ132" s="10" t="str">
        <f aca="false">IFERROR(1/(1/INDEX(TB!$P:$P,MATCH($E132,TB!$E:$E,0))),"")</f>
        <v/>
      </c>
      <c r="BA132" s="10" t="str">
        <f aca="false">IFERROR(1/(1/(SUM($AW132)-SUM($AX132:$AZ132))),"")</f>
        <v/>
      </c>
    </row>
    <row r="133" customFormat="false" ht="15" hidden="false" customHeight="false" outlineLevel="0" collapsed="false">
      <c r="A133" s="0" t="str">
        <f aca="false">INDEX(Prioritization!$D:$D,MATCH($B133,Prioritization!$A:$A,0))</f>
        <v>INVALID</v>
      </c>
      <c r="B133" s="0" t="s">
        <v>217</v>
      </c>
      <c r="C133" s="0" t="s">
        <v>367</v>
      </c>
      <c r="D133" s="0" t="s">
        <v>30</v>
      </c>
      <c r="E133" s="0" t="str">
        <f aca="false">B133&amp;"|"&amp;C133&amp;"|"&amp;D133</f>
        <v>Mwanza District [wNqJp8oRIcF]|35-49|Female</v>
      </c>
      <c r="F133" s="10" t="n">
        <f aca="false">IF(LEFT($B133,4)="_Mil","",INDEX(Cascade!$T:$T,MATCH($E133,Cascade!$E:$E,0)))</f>
        <v>1684</v>
      </c>
      <c r="G133" s="10" t="str">
        <f aca="false">IF(LEFT($B133,4)="_Mil","",INDEX(Cascade!$U:$U,MATCH($E133,Cascade!$E:$E,0)))</f>
        <v/>
      </c>
      <c r="H133" s="86" t="n">
        <f aca="false">IF(LEFT($B133,4)="_Mil","",INDEX(Cascade!$W:$W,MATCH($E133,Cascade!$E:$E,0)))</f>
        <v>1421</v>
      </c>
      <c r="I133" s="10" t="n">
        <f aca="false">IF(LEFT($B133,4)="_Mil","",INDEX(Cascade!$Z:$Z,MATCH($E133,Cascade!$E:$E,0)))</f>
        <v>1975</v>
      </c>
      <c r="J133" s="88" t="n">
        <f aca="false">IF(LEFT($B133,4)="_Mil","",INDEX(Cascade!$AA:$AA,MATCH($E133,Cascade!$E:$E,0)))</f>
        <v>1672</v>
      </c>
      <c r="K133" s="39" t="n">
        <f aca="false">IF(LEFT($B133,4)="_Mil","",_xlfn.IFNA(ROUND(INDEX(Spectrum!$N:$N,MATCH(RIGHT($B133,13)&amp;"|"&amp;$C133&amp;"|"&amp;$D133&amp;"|"&amp;K$14&amp;"|"&amp;"CY2023Q3",Spectrum!$R:$R,0)),0),""))</f>
        <v>1154</v>
      </c>
      <c r="L133" s="39" t="str">
        <f aca="false">IF(LEFT($B133,4)="_Mil","",_xlfn.IFNA(ROUND(INDEX(Spectrum!$N:$N,MATCH(RIGHT($B133,13)&amp;"|"&amp;$C133&amp;"|"&amp;$D133&amp;"|"&amp;L$14&amp;"|"&amp;"CY2023Q3",Spectrum!$R:$R,0)),0),""))</f>
        <v/>
      </c>
      <c r="M133" s="39" t="n">
        <f aca="false">IF(LEFT($B133,4)="_Mil","",_xlfn.IFNA(ROUND(INDEX(Spectrum!$N:$N,MATCH(RIGHT($B133,13)&amp;"|"&amp;$C133&amp;"|"&amp;$D133&amp;"|"&amp;M$14&amp;"|"&amp;"CY2023Q3",Spectrum!$R:$R,0)),0),""))</f>
        <v>1064</v>
      </c>
      <c r="N133" s="39" t="n">
        <f aca="false">IF(LEFT($B133,4)="_Mil","",_xlfn.IFNA(ROUND(INDEX(Spectrum!$N:$N,MATCH(RIGHT($B133,13)&amp;"|"&amp;$C133&amp;"|"&amp;$D133&amp;"|"&amp;N$14&amp;"|"&amp;"CY2023Q3",Spectrum!$R:$R,0)),0),""))</f>
        <v>1955</v>
      </c>
      <c r="O133" s="39" t="n">
        <f aca="false">IF(LEFT($B133,4)="_Mil","",_xlfn.IFNA(ROUND(INDEX(Spectrum!$N:$N,MATCH(RIGHT($B133,13)&amp;"|"&amp;$C133&amp;"|"&amp;$D133&amp;"|"&amp;O$14&amp;"|"&amp;"CY2023Q3",Spectrum!$R:$R,0)),0),""))</f>
        <v>1943</v>
      </c>
      <c r="P133" s="39" t="n">
        <f aca="false">IF(LEFT($B133,4)="_Mil","",_xlfn.IFNA(ROUND(INDEX(Spectrum!$N:$N,MATCH(RIGHT($B133,13)&amp;"|"&amp;$C133&amp;"|"&amp;$D133&amp;"|"&amp;P$14&amp;"|"&amp;"CY2023Q3",Spectrum!$R:$R,0)),0),""))</f>
        <v>1752</v>
      </c>
      <c r="Q133" s="39" t="str">
        <f aca="false">IF(LEFT($B133,4)="_Mil","",_xlfn.IFNA(ROUND(INDEX(Spectrum!$N:$N,MATCH(RIGHT($B133,13)&amp;"|"&amp;$C133&amp;"|"&amp;$D133&amp;"|"&amp;Q$14&amp;"|"&amp;"CY2022Q3",Spectrum!$R:$R,0)),0),""))</f>
        <v/>
      </c>
      <c r="R133" s="10"/>
      <c r="S133" s="88" t="n">
        <f aca="false">0</f>
        <v>0</v>
      </c>
      <c r="T133" s="39" t="str">
        <f aca="false">IF(SUM($R133)=0,"",ROUND($R133*(1+$S133),0))</f>
        <v/>
      </c>
      <c r="U133" s="88" t="n">
        <f aca="false">IF(LEFT($B133,4)="_Mil","",IF(SUM($K133)=0,IF(SUM($R133)=0,"",1),MIN($R133/$K133,1)))</f>
        <v>0</v>
      </c>
      <c r="V133" s="39" t="str">
        <f aca="false">IF(OR(SUM($T133)=0,LEFT($B133,4)="_Mil"),"",ROUND($T133/$U133,0))</f>
        <v/>
      </c>
      <c r="W133" s="88"/>
      <c r="X133" s="88" t="n">
        <f aca="false">IF(SUM($K133,$W133)=0,"",MAX(IFERROR(SUM($L133)/$K133,0),SUM($W133)))</f>
        <v>0</v>
      </c>
      <c r="Y133" s="88"/>
      <c r="Z133" s="88" t="n">
        <f aca="false">IF(SUM($K133,$Y133)=0,"",MIN(SUM($Y133),IFERROR(SUM($M133)/(SUM($K133)-SUM($L133)),1)))</f>
        <v>0</v>
      </c>
      <c r="AA133" s="10" t="str">
        <f aca="false">$T133</f>
        <v/>
      </c>
      <c r="AB133" s="39" t="str">
        <f aca="false">IF(SUM($AA133)=0,"",IF(AND(SUM($AA133)&gt;0,$X133=""),"ENTER KNOWN POSITIVITY RATE",ROUND($AA133*$X133,0)))</f>
        <v/>
      </c>
      <c r="AC133" s="39" t="str">
        <f aca="false">IF(SUM($AA133)=0,"",IF(AND((SUM($AA133)-SUM($AB133))&gt;0,$Z133=""),"ENTER YIELD RATE",ROUND(($AA133-SUM($AB133))*$Z133,0)))</f>
        <v/>
      </c>
      <c r="AD133" s="39" t="str">
        <f aca="false">IF(SUM($AA133)=0,"",$AA133-SUM($AB133)-SUM($AC133))</f>
        <v/>
      </c>
      <c r="AE133" s="10" t="str">
        <f aca="false">$V133</f>
        <v/>
      </c>
      <c r="AF133" s="39" t="str">
        <f aca="false">IF(SUM($AE133)=0,"",ROUND($AE133*SUM($X133),0))</f>
        <v/>
      </c>
      <c r="AG133" s="39" t="str">
        <f aca="false">IF(SUM($AE133)=0,"",ROUND(($AE133-SUM($AF133))*SUM($Z133),0))</f>
        <v/>
      </c>
      <c r="AH133" s="39" t="str">
        <f aca="false">IF(SUM($AE133)=0,"",$AE133-SUM($AF133)-SUM($AG133))</f>
        <v/>
      </c>
      <c r="AI133" s="88" t="str">
        <f aca="false">IF(SUM($AC133)=0,"",INDEX(Cascade!$BG:$BG,MATCH($E133,Cascade!$E:$E,0)))</f>
        <v/>
      </c>
      <c r="AJ133" s="39" t="str">
        <f aca="false">$AB133</f>
        <v/>
      </c>
      <c r="AK133" s="39" t="str">
        <f aca="false">IF(SUM($AC133)=0,"",IF(AND($AI133="",SUM($AC133)&gt;0),"&lt;- Enter Linkage Rate",ROUND($AC133*$AI133,0)))</f>
        <v/>
      </c>
      <c r="AL133" s="39" t="str">
        <f aca="false">IF(SUM($AF133,$AG133)=0,"",SUM($AF133,$AG133))</f>
        <v/>
      </c>
      <c r="AM133" s="39" t="str">
        <f aca="false">$AF133</f>
        <v/>
      </c>
      <c r="AN133" s="39" t="str">
        <f aca="false">IF(SUM($AG133)=0,"",ROUND($AG133*SUM($AI133),0))</f>
        <v/>
      </c>
      <c r="AO133" s="10" t="str">
        <f aca="false">IFERROR(1/(1/MAX(SUM($T133)-SUM($AB133,$AC133),$AD133)),"")</f>
        <v/>
      </c>
      <c r="AP133" s="88"/>
      <c r="AQ133" s="88" t="str">
        <f aca="false">IF($AP133="","",$AP133)</f>
        <v/>
      </c>
      <c r="AR133" s="88" t="str">
        <f aca="false">IF(SUM($AO133)=0,"",INDEX(Cascade!$BG:$BG,MATCH($E133,Cascade!$E:$E,0)))</f>
        <v/>
      </c>
      <c r="AS133" s="39" t="str">
        <f aca="false">IF(SUM($AO133)=0,"",IF(AND(SUM($AO133)&gt;0,$AQ133=""),"ENTER YIELD RATE",ROUND($AO133*$AQ133,0)))</f>
        <v/>
      </c>
      <c r="AT133" s="39" t="str">
        <f aca="false">IF(SUM($AO133)=0,"",$AO133-SUM($AS133))</f>
        <v/>
      </c>
      <c r="AU133" s="10" t="str">
        <f aca="false">IF(SUM($AS133)=0,"",ROUND($AS133*$AR133,0))</f>
        <v/>
      </c>
      <c r="AV133" s="10" t="str">
        <f aca="false">IFERROR(1/(1/SUM($AC133,$AB133,$AS133)),"")</f>
        <v/>
      </c>
      <c r="AW133" s="10" t="str">
        <f aca="false">IFERROR(1/(1/INDEX(Cascade!$BH:$BH,MATCH($E133,Cascade!$E:$E,0))),"")</f>
        <v/>
      </c>
      <c r="AX133" s="10" t="str">
        <f aca="false">IF(SUM($AC133)=0,"",$AC133)</f>
        <v/>
      </c>
      <c r="AY133" s="10" t="str">
        <f aca="false">IF(SUM($AS133)=0,"",$AS133)</f>
        <v/>
      </c>
      <c r="AZ133" s="10" t="str">
        <f aca="false">IFERROR(1/(1/INDEX(TB!$P:$P,MATCH($E133,TB!$E:$E,0))),"")</f>
        <v/>
      </c>
      <c r="BA133" s="10" t="str">
        <f aca="false">IFERROR(1/(1/(SUM($AW133)-SUM($AX133:$AZ133))),"")</f>
        <v/>
      </c>
    </row>
    <row r="134" customFormat="false" ht="15" hidden="false" customHeight="false" outlineLevel="0" collapsed="false">
      <c r="A134" s="0" t="str">
        <f aca="false">INDEX(Prioritization!$D:$D,MATCH($B134,Prioritization!$A:$A,0))</f>
        <v>INVALID</v>
      </c>
      <c r="B134" s="0" t="s">
        <v>217</v>
      </c>
      <c r="C134" s="0" t="s">
        <v>368</v>
      </c>
      <c r="D134" s="0" t="s">
        <v>30</v>
      </c>
      <c r="E134" s="0" t="str">
        <f aca="false">B134&amp;"|"&amp;C134&amp;"|"&amp;D134</f>
        <v>Mwanza District [wNqJp8oRIcF]|50+|Female</v>
      </c>
      <c r="F134" s="10" t="n">
        <f aca="false">IF(LEFT($B134,4)="_Mil","",INDEX(Cascade!$T:$T,MATCH($E134,Cascade!$E:$E,0)))</f>
        <v>662</v>
      </c>
      <c r="G134" s="10" t="str">
        <f aca="false">IF(LEFT($B134,4)="_Mil","",INDEX(Cascade!$U:$U,MATCH($E134,Cascade!$E:$E,0)))</f>
        <v/>
      </c>
      <c r="H134" s="86" t="n">
        <f aca="false">IF(LEFT($B134,4)="_Mil","",INDEX(Cascade!$W:$W,MATCH($E134,Cascade!$E:$E,0)))</f>
        <v>1975</v>
      </c>
      <c r="I134" s="10" t="n">
        <f aca="false">IF(LEFT($B134,4)="_Mil","",INDEX(Cascade!$Z:$Z,MATCH($E134,Cascade!$E:$E,0)))</f>
        <v>1948</v>
      </c>
      <c r="J134" s="88" t="n">
        <f aca="false">IF(LEFT($B134,4)="_Mil","",INDEX(Cascade!$AA:$AA,MATCH($E134,Cascade!$E:$E,0)))</f>
        <v>1191</v>
      </c>
      <c r="K134" s="39" t="str">
        <f aca="false">IF(LEFT($B134,4)="_Mil","",_xlfn.IFNA(ROUND(INDEX(Spectrum!$N:$N,MATCH(RIGHT($B134,13)&amp;"|"&amp;$C134&amp;"|"&amp;$D134&amp;"|"&amp;K$14&amp;"|"&amp;"CY2023Q3",Spectrum!$R:$R,0)),0),""))</f>
        <v/>
      </c>
      <c r="L134" s="39" t="str">
        <f aca="false">IF(LEFT($B134,4)="_Mil","",_xlfn.IFNA(ROUND(INDEX(Spectrum!$N:$N,MATCH(RIGHT($B134,13)&amp;"|"&amp;$C134&amp;"|"&amp;$D134&amp;"|"&amp;L$14&amp;"|"&amp;"CY2023Q3",Spectrum!$R:$R,0)),0),""))</f>
        <v/>
      </c>
      <c r="M134" s="39" t="str">
        <f aca="false">IF(LEFT($B134,4)="_Mil","",_xlfn.IFNA(ROUND(INDEX(Spectrum!$N:$N,MATCH(RIGHT($B134,13)&amp;"|"&amp;$C134&amp;"|"&amp;$D134&amp;"|"&amp;M$14&amp;"|"&amp;"CY2023Q3",Spectrum!$R:$R,0)),0),""))</f>
        <v/>
      </c>
      <c r="N134" s="39" t="str">
        <f aca="false">IF(LEFT($B134,4)="_Mil","",_xlfn.IFNA(ROUND(INDEX(Spectrum!$N:$N,MATCH(RIGHT($B134,13)&amp;"|"&amp;$C134&amp;"|"&amp;$D134&amp;"|"&amp;N$14&amp;"|"&amp;"CY2023Q3",Spectrum!$R:$R,0)),0),""))</f>
        <v/>
      </c>
      <c r="O134" s="39" t="str">
        <f aca="false">IF(LEFT($B134,4)="_Mil","",_xlfn.IFNA(ROUND(INDEX(Spectrum!$N:$N,MATCH(RIGHT($B134,13)&amp;"|"&amp;$C134&amp;"|"&amp;$D134&amp;"|"&amp;O$14&amp;"|"&amp;"CY2023Q3",Spectrum!$R:$R,0)),0),""))</f>
        <v/>
      </c>
      <c r="P134" s="39" t="str">
        <f aca="false">IF(LEFT($B134,4)="_Mil","",_xlfn.IFNA(ROUND(INDEX(Spectrum!$N:$N,MATCH(RIGHT($B134,13)&amp;"|"&amp;$C134&amp;"|"&amp;$D134&amp;"|"&amp;P$14&amp;"|"&amp;"CY2023Q3",Spectrum!$R:$R,0)),0),""))</f>
        <v/>
      </c>
      <c r="Q134" s="39" t="str">
        <f aca="false">IF(LEFT($B134,4)="_Mil","",_xlfn.IFNA(ROUND(INDEX(Spectrum!$N:$N,MATCH(RIGHT($B134,13)&amp;"|"&amp;$C134&amp;"|"&amp;$D134&amp;"|"&amp;Q$14&amp;"|"&amp;"CY2022Q3",Spectrum!$R:$R,0)),0),""))</f>
        <v/>
      </c>
      <c r="R134" s="10"/>
      <c r="S134" s="88" t="n">
        <f aca="false">0</f>
        <v>0</v>
      </c>
      <c r="T134" s="39" t="str">
        <f aca="false">IF(SUM($R134)=0,"",ROUND($R134*(1+$S134),0))</f>
        <v/>
      </c>
      <c r="U134" s="88" t="str">
        <f aca="false">IF(LEFT($B134,4)="_Mil","",IF(SUM($K134)=0,IF(SUM($R134)=0,"",1),MIN($R134/$K134,1)))</f>
        <v/>
      </c>
      <c r="V134" s="39" t="str">
        <f aca="false">IF(OR(SUM($T134)=0,LEFT($B134,4)="_Mil"),"",ROUND($T134/$U134,0))</f>
        <v/>
      </c>
      <c r="W134" s="88"/>
      <c r="X134" s="88" t="str">
        <f aca="false">IF(SUM($K134,$W134)=0,"",MAX(IFERROR(SUM($L134)/$K134,0),SUM($W134)))</f>
        <v/>
      </c>
      <c r="Y134" s="88"/>
      <c r="Z134" s="88" t="str">
        <f aca="false">IF(SUM($K134,$Y134)=0,"",MIN(SUM($Y134),IFERROR(SUM($M134)/(SUM($K134)-SUM($L134)),1)))</f>
        <v/>
      </c>
      <c r="AA134" s="10" t="str">
        <f aca="false">$T134</f>
        <v/>
      </c>
      <c r="AB134" s="39" t="str">
        <f aca="false">IF(SUM($AA134)=0,"",IF(AND(SUM($AA134)&gt;0,$X134=""),"ENTER KNOWN POSITIVITY RATE",ROUND($AA134*$X134,0)))</f>
        <v/>
      </c>
      <c r="AC134" s="39" t="str">
        <f aca="false">IF(SUM($AA134)=0,"",IF(AND((SUM($AA134)-SUM($AB134))&gt;0,$Z134=""),"ENTER YIELD RATE",ROUND(($AA134-SUM($AB134))*$Z134,0)))</f>
        <v/>
      </c>
      <c r="AD134" s="39" t="str">
        <f aca="false">IF(SUM($AA134)=0,"",$AA134-SUM($AB134)-SUM($AC134))</f>
        <v/>
      </c>
      <c r="AE134" s="10" t="str">
        <f aca="false">$V134</f>
        <v/>
      </c>
      <c r="AF134" s="39" t="str">
        <f aca="false">IF(SUM($AE134)=0,"",ROUND($AE134*SUM($X134),0))</f>
        <v/>
      </c>
      <c r="AG134" s="39" t="str">
        <f aca="false">IF(SUM($AE134)=0,"",ROUND(($AE134-SUM($AF134))*SUM($Z134),0))</f>
        <v/>
      </c>
      <c r="AH134" s="39" t="str">
        <f aca="false">IF(SUM($AE134)=0,"",$AE134-SUM($AF134)-SUM($AG134))</f>
        <v/>
      </c>
      <c r="AI134" s="88" t="str">
        <f aca="false">IF(SUM($AC134)=0,"",INDEX(Cascade!$BG:$BG,MATCH($E134,Cascade!$E:$E,0)))</f>
        <v/>
      </c>
      <c r="AJ134" s="39" t="str">
        <f aca="false">$AB134</f>
        <v/>
      </c>
      <c r="AK134" s="39" t="str">
        <f aca="false">IF(SUM($AC134)=0,"",IF(AND($AI134="",SUM($AC134)&gt;0),"&lt;- Enter Linkage Rate",ROUND($AC134*$AI134,0)))</f>
        <v/>
      </c>
      <c r="AL134" s="39" t="str">
        <f aca="false">IF(SUM($AF134,$AG134)=0,"",SUM($AF134,$AG134))</f>
        <v/>
      </c>
      <c r="AM134" s="39" t="str">
        <f aca="false">$AF134</f>
        <v/>
      </c>
      <c r="AN134" s="39" t="str">
        <f aca="false">IF(SUM($AG134)=0,"",ROUND($AG134*SUM($AI134),0))</f>
        <v/>
      </c>
      <c r="AO134" s="10" t="str">
        <f aca="false">IFERROR(1/(1/MAX(SUM($T134)-SUM($AB134,$AC134),$AD134)),"")</f>
        <v/>
      </c>
      <c r="AP134" s="88"/>
      <c r="AQ134" s="88" t="str">
        <f aca="false">IF($AP134="","",$AP134)</f>
        <v/>
      </c>
      <c r="AR134" s="88" t="str">
        <f aca="false">IF(SUM($AO134)=0,"",INDEX(Cascade!$BG:$BG,MATCH($E134,Cascade!$E:$E,0)))</f>
        <v/>
      </c>
      <c r="AS134" s="39" t="str">
        <f aca="false">IF(SUM($AO134)=0,"",IF(AND(SUM($AO134)&gt;0,$AQ134=""),"ENTER YIELD RATE",ROUND($AO134*$AQ134,0)))</f>
        <v/>
      </c>
      <c r="AT134" s="39" t="str">
        <f aca="false">IF(SUM($AO134)=0,"",$AO134-SUM($AS134))</f>
        <v/>
      </c>
      <c r="AU134" s="10" t="str">
        <f aca="false">IF(SUM($AS134)=0,"",ROUND($AS134*$AR134,0))</f>
        <v/>
      </c>
      <c r="AV134" s="10" t="str">
        <f aca="false">IFERROR(1/(1/SUM($AC134,$AB134,$AS134)),"")</f>
        <v/>
      </c>
      <c r="AW134" s="10" t="str">
        <f aca="false">IFERROR(1/(1/INDEX(Cascade!$BH:$BH,MATCH($E134,Cascade!$E:$E,0))),"")</f>
        <v/>
      </c>
      <c r="AX134" s="10" t="str">
        <f aca="false">IF(SUM($AC134)=0,"",$AC134)</f>
        <v/>
      </c>
      <c r="AY134" s="10" t="str">
        <f aca="false">IF(SUM($AS134)=0,"",$AS134)</f>
        <v/>
      </c>
      <c r="AZ134" s="10" t="str">
        <f aca="false">IFERROR(1/(1/INDEX(TB!$P:$P,MATCH($E134,TB!$E:$E,0))),"")</f>
        <v/>
      </c>
      <c r="BA134" s="10" t="str">
        <f aca="false">IFERROR(1/(1/(SUM($AW134)-SUM($AX134:$AZ134))),"")</f>
        <v/>
      </c>
    </row>
    <row r="135" customFormat="false" ht="15" hidden="false" customHeight="false" outlineLevel="0" collapsed="false">
      <c r="A135" s="0" t="str">
        <f aca="false">INDEX(Prioritization!$D:$D,MATCH($B135,Prioritization!$A:$A,0))</f>
        <v>INVALID</v>
      </c>
      <c r="B135" s="0" t="s">
        <v>218</v>
      </c>
      <c r="C135" s="0" t="s">
        <v>364</v>
      </c>
      <c r="D135" s="0" t="s">
        <v>30</v>
      </c>
      <c r="E135" s="0" t="str">
        <f aca="false">B135&amp;"|"&amp;C135&amp;"|"&amp;D135</f>
        <v>Neno District [gwVYinjBAe9]|10-14|Female</v>
      </c>
      <c r="F135" s="10" t="n">
        <f aca="false">IF(LEFT($B135,4)="_Mil","",INDEX(Cascade!$T:$T,MATCH($E135,Cascade!$E:$E,0)))</f>
        <v>1505</v>
      </c>
      <c r="G135" s="10" t="str">
        <f aca="false">IF(LEFT($B135,4)="_Mil","",INDEX(Cascade!$U:$U,MATCH($E135,Cascade!$E:$E,0)))</f>
        <v/>
      </c>
      <c r="H135" s="86" t="n">
        <f aca="false">IF(LEFT($B135,4)="_Mil","",INDEX(Cascade!$W:$W,MATCH($E135,Cascade!$E:$E,0)))</f>
        <v>685</v>
      </c>
      <c r="I135" s="10" t="n">
        <f aca="false">IF(LEFT($B135,4)="_Mil","",INDEX(Cascade!$Z:$Z,MATCH($E135,Cascade!$E:$E,0)))</f>
        <v>763</v>
      </c>
      <c r="J135" s="88" t="n">
        <f aca="false">IF(LEFT($B135,4)="_Mil","",INDEX(Cascade!$AA:$AA,MATCH($E135,Cascade!$E:$E,0)))</f>
        <v>574</v>
      </c>
      <c r="K135" s="39" t="str">
        <f aca="false">IF(LEFT($B135,4)="_Mil","",_xlfn.IFNA(ROUND(INDEX(Spectrum!$N:$N,MATCH(RIGHT($B135,13)&amp;"|"&amp;$C135&amp;"|"&amp;$D135&amp;"|"&amp;K$14&amp;"|"&amp;"CY2023Q3",Spectrum!$R:$R,0)),0),""))</f>
        <v/>
      </c>
      <c r="L135" s="39" t="str">
        <f aca="false">IF(LEFT($B135,4)="_Mil","",_xlfn.IFNA(ROUND(INDEX(Spectrum!$N:$N,MATCH(RIGHT($B135,13)&amp;"|"&amp;$C135&amp;"|"&amp;$D135&amp;"|"&amp;L$14&amp;"|"&amp;"CY2023Q3",Spectrum!$R:$R,0)),0),""))</f>
        <v/>
      </c>
      <c r="M135" s="39" t="str">
        <f aca="false">IF(LEFT($B135,4)="_Mil","",_xlfn.IFNA(ROUND(INDEX(Spectrum!$N:$N,MATCH(RIGHT($B135,13)&amp;"|"&amp;$C135&amp;"|"&amp;$D135&amp;"|"&amp;M$14&amp;"|"&amp;"CY2023Q3",Spectrum!$R:$R,0)),0),""))</f>
        <v/>
      </c>
      <c r="N135" s="39" t="str">
        <f aca="false">IF(LEFT($B135,4)="_Mil","",_xlfn.IFNA(ROUND(INDEX(Spectrum!$N:$N,MATCH(RIGHT($B135,13)&amp;"|"&amp;$C135&amp;"|"&amp;$D135&amp;"|"&amp;N$14&amp;"|"&amp;"CY2023Q3",Spectrum!$R:$R,0)),0),""))</f>
        <v/>
      </c>
      <c r="O135" s="39" t="str">
        <f aca="false">IF(LEFT($B135,4)="_Mil","",_xlfn.IFNA(ROUND(INDEX(Spectrum!$N:$N,MATCH(RIGHT($B135,13)&amp;"|"&amp;$C135&amp;"|"&amp;$D135&amp;"|"&amp;O$14&amp;"|"&amp;"CY2023Q3",Spectrum!$R:$R,0)),0),""))</f>
        <v/>
      </c>
      <c r="P135" s="39" t="str">
        <f aca="false">IF(LEFT($B135,4)="_Mil","",_xlfn.IFNA(ROUND(INDEX(Spectrum!$N:$N,MATCH(RIGHT($B135,13)&amp;"|"&amp;$C135&amp;"|"&amp;$D135&amp;"|"&amp;P$14&amp;"|"&amp;"CY2023Q3",Spectrum!$R:$R,0)),0),""))</f>
        <v/>
      </c>
      <c r="Q135" s="39" t="str">
        <f aca="false">IF(LEFT($B135,4)="_Mil","",_xlfn.IFNA(ROUND(INDEX(Spectrum!$N:$N,MATCH(RIGHT($B135,13)&amp;"|"&amp;$C135&amp;"|"&amp;$D135&amp;"|"&amp;Q$14&amp;"|"&amp;"CY2022Q3",Spectrum!$R:$R,0)),0),""))</f>
        <v/>
      </c>
      <c r="R135" s="10" t="n">
        <v>5</v>
      </c>
      <c r="S135" s="88" t="n">
        <f aca="false">0</f>
        <v>0</v>
      </c>
      <c r="T135" s="39" t="n">
        <f aca="false">IF(SUM($R135)=0,"",ROUND($R135*(1+$S135),0))</f>
        <v>5</v>
      </c>
      <c r="U135" s="88" t="n">
        <f aca="false">IF(LEFT($B135,4)="_Mil","",IF(SUM($K135)=0,IF(SUM($R135)=0,"",1),MIN($R135/$K135,1)))</f>
        <v>1</v>
      </c>
      <c r="V135" s="39" t="n">
        <f aca="false">IF(OR(SUM($T135)=0,LEFT($B135,4)="_Mil"),"",ROUND($T135/$U135,0))</f>
        <v>5</v>
      </c>
      <c r="W135" s="88"/>
      <c r="X135" s="88" t="str">
        <f aca="false">IF(SUM($K135,$W135)=0,"",MAX(IFERROR(SUM($L135)/$K135,0),SUM($W135)))</f>
        <v/>
      </c>
      <c r="Y135" s="88"/>
      <c r="Z135" s="88" t="str">
        <f aca="false">IF(SUM($K135,$Y135)=0,"",MIN(SUM($Y135),IFERROR(SUM($M135)/(SUM($K135)-SUM($L135)),1)))</f>
        <v/>
      </c>
      <c r="AA135" s="10" t="n">
        <f aca="false">$T135</f>
        <v>5</v>
      </c>
      <c r="AB135" s="39" t="str">
        <f aca="false">IF(SUM($AA135)=0,"",IF(AND(SUM($AA135)&gt;0,$X135=""),"ENTER KNOWN POSITIVITY RATE",ROUND($AA135*$X135,0)))</f>
        <v>ENTER KNOWN POSITIVITY RATE</v>
      </c>
      <c r="AC135" s="39" t="str">
        <f aca="false">IF(SUM($AA135)=0,"",IF(AND((SUM($AA135)-SUM($AB135))&gt;0,$Z135=""),"ENTER YIELD RATE",ROUND(($AA135-SUM($AB135))*$Z135,0)))</f>
        <v>ENTER YIELD RATE</v>
      </c>
      <c r="AD135" s="39" t="n">
        <f aca="false">IF(SUM($AA135)=0,"",$AA135-SUM($AB135)-SUM($AC135))</f>
        <v>5</v>
      </c>
      <c r="AE135" s="10" t="n">
        <f aca="false">$V135</f>
        <v>5</v>
      </c>
      <c r="AF135" s="39" t="n">
        <f aca="false">IF(SUM($AE135)=0,"",ROUND($AE135*SUM($X135),0))</f>
        <v>0</v>
      </c>
      <c r="AG135" s="39" t="n">
        <f aca="false">IF(SUM($AE135)=0,"",ROUND(($AE135-SUM($AF135))*SUM($Z135),0))</f>
        <v>0</v>
      </c>
      <c r="AH135" s="39" t="n">
        <f aca="false">IF(SUM($AE135)=0,"",$AE135-SUM($AF135)-SUM($AG135))</f>
        <v>5</v>
      </c>
      <c r="AI135" s="88" t="str">
        <f aca="false">IF(SUM($AC135)=0,"",INDEX(Cascade!$BG:$BG,MATCH($E135,Cascade!$E:$E,0)))</f>
        <v/>
      </c>
      <c r="AJ135" s="39" t="str">
        <f aca="false">$AB135</f>
        <v>ENTER KNOWN POSITIVITY RATE</v>
      </c>
      <c r="AK135" s="39" t="str">
        <f aca="false">IF(SUM($AC135)=0,"",IF(AND($AI135="",SUM($AC135)&gt;0),"&lt;- Enter Linkage Rate",ROUND($AC135*$AI135,0)))</f>
        <v/>
      </c>
      <c r="AL135" s="39" t="str">
        <f aca="false">IF(SUM($AF135,$AG135)=0,"",SUM($AF135,$AG135))</f>
        <v/>
      </c>
      <c r="AM135" s="39" t="n">
        <f aca="false">$AF135</f>
        <v>0</v>
      </c>
      <c r="AN135" s="39" t="str">
        <f aca="false">IF(SUM($AG135)=0,"",ROUND($AG135*SUM($AI135),0))</f>
        <v/>
      </c>
      <c r="AO135" s="10" t="n">
        <f aca="false">IFERROR(1/(1/MAX(SUM($T135)-SUM($AB135,$AC135),$AD135)),"")</f>
        <v>5</v>
      </c>
      <c r="AP135" s="88"/>
      <c r="AQ135" s="88" t="str">
        <f aca="false">IF($AP135="","",$AP135)</f>
        <v/>
      </c>
      <c r="AR135" s="88" t="n">
        <f aca="false">IF(SUM($AO135)=0,"",INDEX(Cascade!$BG:$BG,MATCH($E135,Cascade!$E:$E,0)))</f>
        <v>0.95</v>
      </c>
      <c r="AS135" s="39" t="str">
        <f aca="false">IF(SUM($AO135)=0,"",IF(AND(SUM($AO135)&gt;0,$AQ135=""),"ENTER YIELD RATE",ROUND($AO135*$AQ135,0)))</f>
        <v>ENTER YIELD RATE</v>
      </c>
      <c r="AT135" s="39" t="n">
        <f aca="false">IF(SUM($AO135)=0,"",$AO135-SUM($AS135))</f>
        <v>5</v>
      </c>
      <c r="AU135" s="10" t="str">
        <f aca="false">IF(SUM($AS135)=0,"",ROUND($AS135*$AR135,0))</f>
        <v/>
      </c>
      <c r="AV135" s="10" t="str">
        <f aca="false">IFERROR(1/(1/SUM($AC135,$AB135,$AS135)),"")</f>
        <v/>
      </c>
      <c r="AW135" s="10" t="n">
        <f aca="false">IFERROR(1/(1/INDEX(Cascade!$BH:$BH,MATCH($E135,Cascade!$E:$E,0))),"")</f>
        <v>-67</v>
      </c>
      <c r="AX135" s="10" t="str">
        <f aca="false">IF(SUM($AC135)=0,"",$AC135)</f>
        <v/>
      </c>
      <c r="AY135" s="10" t="str">
        <f aca="false">IF(SUM($AS135)=0,"",$AS135)</f>
        <v/>
      </c>
      <c r="AZ135" s="10" t="str">
        <f aca="false">IFERROR(1/(1/INDEX(TB!$P:$P,MATCH($E135,TB!$E:$E,0))),"")</f>
        <v/>
      </c>
      <c r="BA135" s="10" t="n">
        <f aca="false">IFERROR(1/(1/(SUM($AW135)-SUM($AX135:$AZ135))),"")</f>
        <v>-67</v>
      </c>
    </row>
    <row r="136" customFormat="false" ht="15" hidden="false" customHeight="false" outlineLevel="0" collapsed="false">
      <c r="A136" s="0" t="str">
        <f aca="false">INDEX(Prioritization!$D:$D,MATCH($B136,Prioritization!$A:$A,0))</f>
        <v>INVALID</v>
      </c>
      <c r="B136" s="0" t="s">
        <v>218</v>
      </c>
      <c r="C136" s="0" t="s">
        <v>365</v>
      </c>
      <c r="D136" s="0" t="s">
        <v>30</v>
      </c>
      <c r="E136" s="0" t="str">
        <f aca="false">B136&amp;"|"&amp;C136&amp;"|"&amp;D136</f>
        <v>Neno District [gwVYinjBAe9]|15-24|Female</v>
      </c>
      <c r="F136" s="10" t="n">
        <f aca="false">IF(LEFT($B136,4)="_Mil","",INDEX(Cascade!$T:$T,MATCH($E136,Cascade!$E:$E,0)))</f>
        <v>1886</v>
      </c>
      <c r="G136" s="10" t="str">
        <f aca="false">IF(LEFT($B136,4)="_Mil","",INDEX(Cascade!$U:$U,MATCH($E136,Cascade!$E:$E,0)))</f>
        <v/>
      </c>
      <c r="H136" s="86" t="n">
        <f aca="false">IF(LEFT($B136,4)="_Mil","",INDEX(Cascade!$W:$W,MATCH($E136,Cascade!$E:$E,0)))</f>
        <v>1166</v>
      </c>
      <c r="I136" s="10" t="n">
        <f aca="false">IF(LEFT($B136,4)="_Mil","",INDEX(Cascade!$Z:$Z,MATCH($E136,Cascade!$E:$E,0)))</f>
        <v>1980</v>
      </c>
      <c r="J136" s="88" t="n">
        <f aca="false">IF(LEFT($B136,4)="_Mil","",INDEX(Cascade!$AA:$AA,MATCH($E136,Cascade!$E:$E,0)))</f>
        <v>1569</v>
      </c>
      <c r="K136" s="39" t="n">
        <f aca="false">IF(LEFT($B136,4)="_Mil","",_xlfn.IFNA(ROUND(INDEX(Spectrum!$N:$N,MATCH(RIGHT($B136,13)&amp;"|"&amp;$C136&amp;"|"&amp;$D136&amp;"|"&amp;K$14&amp;"|"&amp;"CY2023Q3",Spectrum!$R:$R,0)),0),""))</f>
        <v>676</v>
      </c>
      <c r="L136" s="39" t="str">
        <f aca="false">IF(LEFT($B136,4)="_Mil","",_xlfn.IFNA(ROUND(INDEX(Spectrum!$N:$N,MATCH(RIGHT($B136,13)&amp;"|"&amp;$C136&amp;"|"&amp;$D136&amp;"|"&amp;L$14&amp;"|"&amp;"CY2023Q3",Spectrum!$R:$R,0)),0),""))</f>
        <v/>
      </c>
      <c r="M136" s="39" t="n">
        <f aca="false">IF(LEFT($B136,4)="_Mil","",_xlfn.IFNA(ROUND(INDEX(Spectrum!$N:$N,MATCH(RIGHT($B136,13)&amp;"|"&amp;$C136&amp;"|"&amp;$D136&amp;"|"&amp;M$14&amp;"|"&amp;"CY2023Q3",Spectrum!$R:$R,0)),0),""))</f>
        <v>1001</v>
      </c>
      <c r="N136" s="39" t="n">
        <f aca="false">IF(LEFT($B136,4)="_Mil","",_xlfn.IFNA(ROUND(INDEX(Spectrum!$N:$N,MATCH(RIGHT($B136,13)&amp;"|"&amp;$C136&amp;"|"&amp;$D136&amp;"|"&amp;N$14&amp;"|"&amp;"CY2023Q3",Spectrum!$R:$R,0)),0),""))</f>
        <v>1747</v>
      </c>
      <c r="O136" s="39" t="n">
        <f aca="false">IF(LEFT($B136,4)="_Mil","",_xlfn.IFNA(ROUND(INDEX(Spectrum!$N:$N,MATCH(RIGHT($B136,13)&amp;"|"&amp;$C136&amp;"|"&amp;$D136&amp;"|"&amp;O$14&amp;"|"&amp;"CY2023Q3",Spectrum!$R:$R,0)),0),""))</f>
        <v>645</v>
      </c>
      <c r="P136" s="39" t="n">
        <f aca="false">IF(LEFT($B136,4)="_Mil","",_xlfn.IFNA(ROUND(INDEX(Spectrum!$N:$N,MATCH(RIGHT($B136,13)&amp;"|"&amp;$C136&amp;"|"&amp;$D136&amp;"|"&amp;P$14&amp;"|"&amp;"CY2023Q3",Spectrum!$R:$R,0)),0),""))</f>
        <v>1590</v>
      </c>
      <c r="Q136" s="39" t="str">
        <f aca="false">IF(LEFT($B136,4)="_Mil","",_xlfn.IFNA(ROUND(INDEX(Spectrum!$N:$N,MATCH(RIGHT($B136,13)&amp;"|"&amp;$C136&amp;"|"&amp;$D136&amp;"|"&amp;Q$14&amp;"|"&amp;"CY2022Q3",Spectrum!$R:$R,0)),0),""))</f>
        <v/>
      </c>
      <c r="R136" s="10"/>
      <c r="S136" s="88" t="n">
        <f aca="false">0</f>
        <v>0</v>
      </c>
      <c r="T136" s="39" t="str">
        <f aca="false">IF(SUM($R136)=0,"",ROUND($R136*(1+$S136),0))</f>
        <v/>
      </c>
      <c r="U136" s="88" t="n">
        <f aca="false">IF(LEFT($B136,4)="_Mil","",IF(SUM($K136)=0,IF(SUM($R136)=0,"",1),MIN($R136/$K136,1)))</f>
        <v>0</v>
      </c>
      <c r="V136" s="39" t="str">
        <f aca="false">IF(OR(SUM($T136)=0,LEFT($B136,4)="_Mil"),"",ROUND($T136/$U136,0))</f>
        <v/>
      </c>
      <c r="W136" s="88"/>
      <c r="X136" s="88" t="n">
        <f aca="false">IF(SUM($K136,$W136)=0,"",MAX(IFERROR(SUM($L136)/$K136,0),SUM($W136)))</f>
        <v>0</v>
      </c>
      <c r="Y136" s="88"/>
      <c r="Z136" s="88" t="n">
        <f aca="false">IF(SUM($K136,$Y136)=0,"",MIN(SUM($Y136),IFERROR(SUM($M136)/(SUM($K136)-SUM($L136)),1)))</f>
        <v>0</v>
      </c>
      <c r="AA136" s="10" t="str">
        <f aca="false">$T136</f>
        <v/>
      </c>
      <c r="AB136" s="39" t="str">
        <f aca="false">IF(SUM($AA136)=0,"",IF(AND(SUM($AA136)&gt;0,$X136=""),"ENTER KNOWN POSITIVITY RATE",ROUND($AA136*$X136,0)))</f>
        <v/>
      </c>
      <c r="AC136" s="39" t="str">
        <f aca="false">IF(SUM($AA136)=0,"",IF(AND((SUM($AA136)-SUM($AB136))&gt;0,$Z136=""),"ENTER YIELD RATE",ROUND(($AA136-SUM($AB136))*$Z136,0)))</f>
        <v/>
      </c>
      <c r="AD136" s="39" t="str">
        <f aca="false">IF(SUM($AA136)=0,"",$AA136-SUM($AB136)-SUM($AC136))</f>
        <v/>
      </c>
      <c r="AE136" s="10" t="str">
        <f aca="false">$V136</f>
        <v/>
      </c>
      <c r="AF136" s="39" t="str">
        <f aca="false">IF(SUM($AE136)=0,"",ROUND($AE136*SUM($X136),0))</f>
        <v/>
      </c>
      <c r="AG136" s="39" t="str">
        <f aca="false">IF(SUM($AE136)=0,"",ROUND(($AE136-SUM($AF136))*SUM($Z136),0))</f>
        <v/>
      </c>
      <c r="AH136" s="39" t="str">
        <f aca="false">IF(SUM($AE136)=0,"",$AE136-SUM($AF136)-SUM($AG136))</f>
        <v/>
      </c>
      <c r="AI136" s="88" t="str">
        <f aca="false">IF(SUM($AC136)=0,"",INDEX(Cascade!$BG:$BG,MATCH($E136,Cascade!$E:$E,0)))</f>
        <v/>
      </c>
      <c r="AJ136" s="39" t="str">
        <f aca="false">$AB136</f>
        <v/>
      </c>
      <c r="AK136" s="39" t="str">
        <f aca="false">IF(SUM($AC136)=0,"",IF(AND($AI136="",SUM($AC136)&gt;0),"&lt;- Enter Linkage Rate",ROUND($AC136*$AI136,0)))</f>
        <v/>
      </c>
      <c r="AL136" s="39" t="str">
        <f aca="false">IF(SUM($AF136,$AG136)=0,"",SUM($AF136,$AG136))</f>
        <v/>
      </c>
      <c r="AM136" s="39" t="str">
        <f aca="false">$AF136</f>
        <v/>
      </c>
      <c r="AN136" s="39" t="str">
        <f aca="false">IF(SUM($AG136)=0,"",ROUND($AG136*SUM($AI136),0))</f>
        <v/>
      </c>
      <c r="AO136" s="10" t="str">
        <f aca="false">IFERROR(1/(1/MAX(SUM($T136)-SUM($AB136,$AC136),$AD136)),"")</f>
        <v/>
      </c>
      <c r="AP136" s="88"/>
      <c r="AQ136" s="88" t="str">
        <f aca="false">IF($AP136="","",$AP136)</f>
        <v/>
      </c>
      <c r="AR136" s="88" t="str">
        <f aca="false">IF(SUM($AO136)=0,"",INDEX(Cascade!$BG:$BG,MATCH($E136,Cascade!$E:$E,0)))</f>
        <v/>
      </c>
      <c r="AS136" s="39" t="str">
        <f aca="false">IF(SUM($AO136)=0,"",IF(AND(SUM($AO136)&gt;0,$AQ136=""),"ENTER YIELD RATE",ROUND($AO136*$AQ136,0)))</f>
        <v/>
      </c>
      <c r="AT136" s="39" t="str">
        <f aca="false">IF(SUM($AO136)=0,"",$AO136-SUM($AS136))</f>
        <v/>
      </c>
      <c r="AU136" s="10" t="str">
        <f aca="false">IF(SUM($AS136)=0,"",ROUND($AS136*$AR136,0))</f>
        <v/>
      </c>
      <c r="AV136" s="10" t="str">
        <f aca="false">IFERROR(1/(1/SUM($AC136,$AB136,$AS136)),"")</f>
        <v/>
      </c>
      <c r="AW136" s="10" t="str">
        <f aca="false">IFERROR(1/(1/INDEX(Cascade!$BH:$BH,MATCH($E136,Cascade!$E:$E,0))),"")</f>
        <v/>
      </c>
      <c r="AX136" s="10" t="str">
        <f aca="false">IF(SUM($AC136)=0,"",$AC136)</f>
        <v/>
      </c>
      <c r="AY136" s="10" t="str">
        <f aca="false">IF(SUM($AS136)=0,"",$AS136)</f>
        <v/>
      </c>
      <c r="AZ136" s="10" t="str">
        <f aca="false">IFERROR(1/(1/INDEX(TB!$P:$P,MATCH($E136,TB!$E:$E,0))),"")</f>
        <v/>
      </c>
      <c r="BA136" s="10" t="str">
        <f aca="false">IFERROR(1/(1/(SUM($AW136)-SUM($AX136:$AZ136))),"")</f>
        <v/>
      </c>
    </row>
    <row r="137" customFormat="false" ht="15" hidden="false" customHeight="false" outlineLevel="0" collapsed="false">
      <c r="A137" s="0" t="str">
        <f aca="false">INDEX(Prioritization!$D:$D,MATCH($B137,Prioritization!$A:$A,0))</f>
        <v>INVALID</v>
      </c>
      <c r="B137" s="0" t="s">
        <v>218</v>
      </c>
      <c r="C137" s="0" t="s">
        <v>366</v>
      </c>
      <c r="D137" s="0" t="s">
        <v>30</v>
      </c>
      <c r="E137" s="0" t="str">
        <f aca="false">B137&amp;"|"&amp;C137&amp;"|"&amp;D137</f>
        <v>Neno District [gwVYinjBAe9]|25-34|Female</v>
      </c>
      <c r="F137" s="10" t="n">
        <f aca="false">IF(LEFT($B137,4)="_Mil","",INDEX(Cascade!$T:$T,MATCH($E137,Cascade!$E:$E,0)))</f>
        <v>1797</v>
      </c>
      <c r="G137" s="10" t="str">
        <f aca="false">IF(LEFT($B137,4)="_Mil","",INDEX(Cascade!$U:$U,MATCH($E137,Cascade!$E:$E,0)))</f>
        <v/>
      </c>
      <c r="H137" s="86" t="n">
        <f aca="false">IF(LEFT($B137,4)="_Mil","",INDEX(Cascade!$W:$W,MATCH($E137,Cascade!$E:$E,0)))</f>
        <v>1779</v>
      </c>
      <c r="I137" s="10" t="n">
        <f aca="false">IF(LEFT($B137,4)="_Mil","",INDEX(Cascade!$Z:$Z,MATCH($E137,Cascade!$E:$E,0)))</f>
        <v>831</v>
      </c>
      <c r="J137" s="88" t="n">
        <f aca="false">IF(LEFT($B137,4)="_Mil","",INDEX(Cascade!$AA:$AA,MATCH($E137,Cascade!$E:$E,0)))</f>
        <v>1438</v>
      </c>
      <c r="K137" s="39" t="n">
        <f aca="false">IF(LEFT($B137,4)="_Mil","",_xlfn.IFNA(ROUND(INDEX(Spectrum!$N:$N,MATCH(RIGHT($B137,13)&amp;"|"&amp;$C137&amp;"|"&amp;$D137&amp;"|"&amp;K$14&amp;"|"&amp;"CY2023Q3",Spectrum!$R:$R,0)),0),""))</f>
        <v>1831</v>
      </c>
      <c r="L137" s="39" t="str">
        <f aca="false">IF(LEFT($B137,4)="_Mil","",_xlfn.IFNA(ROUND(INDEX(Spectrum!$N:$N,MATCH(RIGHT($B137,13)&amp;"|"&amp;$C137&amp;"|"&amp;$D137&amp;"|"&amp;L$14&amp;"|"&amp;"CY2023Q3",Spectrum!$R:$R,0)),0),""))</f>
        <v/>
      </c>
      <c r="M137" s="39" t="n">
        <f aca="false">IF(LEFT($B137,4)="_Mil","",_xlfn.IFNA(ROUND(INDEX(Spectrum!$N:$N,MATCH(RIGHT($B137,13)&amp;"|"&amp;$C137&amp;"|"&amp;$D137&amp;"|"&amp;M$14&amp;"|"&amp;"CY2023Q3",Spectrum!$R:$R,0)),0),""))</f>
        <v>1398</v>
      </c>
      <c r="N137" s="39" t="n">
        <f aca="false">IF(LEFT($B137,4)="_Mil","",_xlfn.IFNA(ROUND(INDEX(Spectrum!$N:$N,MATCH(RIGHT($B137,13)&amp;"|"&amp;$C137&amp;"|"&amp;$D137&amp;"|"&amp;N$14&amp;"|"&amp;"CY2023Q3",Spectrum!$R:$R,0)),0),""))</f>
        <v>567</v>
      </c>
      <c r="O137" s="39" t="n">
        <f aca="false">IF(LEFT($B137,4)="_Mil","",_xlfn.IFNA(ROUND(INDEX(Spectrum!$N:$N,MATCH(RIGHT($B137,13)&amp;"|"&amp;$C137&amp;"|"&amp;$D137&amp;"|"&amp;O$14&amp;"|"&amp;"CY2023Q3",Spectrum!$R:$R,0)),0),""))</f>
        <v>1181</v>
      </c>
      <c r="P137" s="39" t="n">
        <f aca="false">IF(LEFT($B137,4)="_Mil","",_xlfn.IFNA(ROUND(INDEX(Spectrum!$N:$N,MATCH(RIGHT($B137,13)&amp;"|"&amp;$C137&amp;"|"&amp;$D137&amp;"|"&amp;P$14&amp;"|"&amp;"CY2023Q3",Spectrum!$R:$R,0)),0),""))</f>
        <v>1825</v>
      </c>
      <c r="Q137" s="39" t="str">
        <f aca="false">IF(LEFT($B137,4)="_Mil","",_xlfn.IFNA(ROUND(INDEX(Spectrum!$N:$N,MATCH(RIGHT($B137,13)&amp;"|"&amp;$C137&amp;"|"&amp;$D137&amp;"|"&amp;Q$14&amp;"|"&amp;"CY2022Q3",Spectrum!$R:$R,0)),0),""))</f>
        <v/>
      </c>
      <c r="R137" s="10"/>
      <c r="S137" s="88" t="n">
        <f aca="false">0</f>
        <v>0</v>
      </c>
      <c r="T137" s="39" t="str">
        <f aca="false">IF(SUM($R137)=0,"",ROUND($R137*(1+$S137),0))</f>
        <v/>
      </c>
      <c r="U137" s="88" t="n">
        <f aca="false">IF(LEFT($B137,4)="_Mil","",IF(SUM($K137)=0,IF(SUM($R137)=0,"",1),MIN($R137/$K137,1)))</f>
        <v>0</v>
      </c>
      <c r="V137" s="39" t="str">
        <f aca="false">IF(OR(SUM($T137)=0,LEFT($B137,4)="_Mil"),"",ROUND($T137/$U137,0))</f>
        <v/>
      </c>
      <c r="W137" s="88"/>
      <c r="X137" s="88" t="n">
        <f aca="false">IF(SUM($K137,$W137)=0,"",MAX(IFERROR(SUM($L137)/$K137,0),SUM($W137)))</f>
        <v>0</v>
      </c>
      <c r="Y137" s="88"/>
      <c r="Z137" s="88" t="n">
        <f aca="false">IF(SUM($K137,$Y137)=0,"",MIN(SUM($Y137),IFERROR(SUM($M137)/(SUM($K137)-SUM($L137)),1)))</f>
        <v>0</v>
      </c>
      <c r="AA137" s="10" t="str">
        <f aca="false">$T137</f>
        <v/>
      </c>
      <c r="AB137" s="39" t="str">
        <f aca="false">IF(SUM($AA137)=0,"",IF(AND(SUM($AA137)&gt;0,$X137=""),"ENTER KNOWN POSITIVITY RATE",ROUND($AA137*$X137,0)))</f>
        <v/>
      </c>
      <c r="AC137" s="39" t="str">
        <f aca="false">IF(SUM($AA137)=0,"",IF(AND((SUM($AA137)-SUM($AB137))&gt;0,$Z137=""),"ENTER YIELD RATE",ROUND(($AA137-SUM($AB137))*$Z137,0)))</f>
        <v/>
      </c>
      <c r="AD137" s="39" t="str">
        <f aca="false">IF(SUM($AA137)=0,"",$AA137-SUM($AB137)-SUM($AC137))</f>
        <v/>
      </c>
      <c r="AE137" s="10" t="str">
        <f aca="false">$V137</f>
        <v/>
      </c>
      <c r="AF137" s="39" t="str">
        <f aca="false">IF(SUM($AE137)=0,"",ROUND($AE137*SUM($X137),0))</f>
        <v/>
      </c>
      <c r="AG137" s="39" t="str">
        <f aca="false">IF(SUM($AE137)=0,"",ROUND(($AE137-SUM($AF137))*SUM($Z137),0))</f>
        <v/>
      </c>
      <c r="AH137" s="39" t="str">
        <f aca="false">IF(SUM($AE137)=0,"",$AE137-SUM($AF137)-SUM($AG137))</f>
        <v/>
      </c>
      <c r="AI137" s="88" t="str">
        <f aca="false">IF(SUM($AC137)=0,"",INDEX(Cascade!$BG:$BG,MATCH($E137,Cascade!$E:$E,0)))</f>
        <v/>
      </c>
      <c r="AJ137" s="39" t="str">
        <f aca="false">$AB137</f>
        <v/>
      </c>
      <c r="AK137" s="39" t="str">
        <f aca="false">IF(SUM($AC137)=0,"",IF(AND($AI137="",SUM($AC137)&gt;0),"&lt;- Enter Linkage Rate",ROUND($AC137*$AI137,0)))</f>
        <v/>
      </c>
      <c r="AL137" s="39" t="str">
        <f aca="false">IF(SUM($AF137,$AG137)=0,"",SUM($AF137,$AG137))</f>
        <v/>
      </c>
      <c r="AM137" s="39" t="str">
        <f aca="false">$AF137</f>
        <v/>
      </c>
      <c r="AN137" s="39" t="str">
        <f aca="false">IF(SUM($AG137)=0,"",ROUND($AG137*SUM($AI137),0))</f>
        <v/>
      </c>
      <c r="AO137" s="10" t="str">
        <f aca="false">IFERROR(1/(1/MAX(SUM($T137)-SUM($AB137,$AC137),$AD137)),"")</f>
        <v/>
      </c>
      <c r="AP137" s="88"/>
      <c r="AQ137" s="88" t="str">
        <f aca="false">IF($AP137="","",$AP137)</f>
        <v/>
      </c>
      <c r="AR137" s="88" t="str">
        <f aca="false">IF(SUM($AO137)=0,"",INDEX(Cascade!$BG:$BG,MATCH($E137,Cascade!$E:$E,0)))</f>
        <v/>
      </c>
      <c r="AS137" s="39" t="str">
        <f aca="false">IF(SUM($AO137)=0,"",IF(AND(SUM($AO137)&gt;0,$AQ137=""),"ENTER YIELD RATE",ROUND($AO137*$AQ137,0)))</f>
        <v/>
      </c>
      <c r="AT137" s="39" t="str">
        <f aca="false">IF(SUM($AO137)=0,"",$AO137-SUM($AS137))</f>
        <v/>
      </c>
      <c r="AU137" s="10" t="str">
        <f aca="false">IF(SUM($AS137)=0,"",ROUND($AS137*$AR137,0))</f>
        <v/>
      </c>
      <c r="AV137" s="10" t="str">
        <f aca="false">IFERROR(1/(1/SUM($AC137,$AB137,$AS137)),"")</f>
        <v/>
      </c>
      <c r="AW137" s="10" t="str">
        <f aca="false">IFERROR(1/(1/INDEX(Cascade!$BH:$BH,MATCH($E137,Cascade!$E:$E,0))),"")</f>
        <v/>
      </c>
      <c r="AX137" s="10" t="str">
        <f aca="false">IF(SUM($AC137)=0,"",$AC137)</f>
        <v/>
      </c>
      <c r="AY137" s="10" t="str">
        <f aca="false">IF(SUM($AS137)=0,"",$AS137)</f>
        <v/>
      </c>
      <c r="AZ137" s="10" t="str">
        <f aca="false">IFERROR(1/(1/INDEX(TB!$P:$P,MATCH($E137,TB!$E:$E,0))),"")</f>
        <v/>
      </c>
      <c r="BA137" s="10" t="str">
        <f aca="false">IFERROR(1/(1/(SUM($AW137)-SUM($AX137:$AZ137))),"")</f>
        <v/>
      </c>
    </row>
    <row r="138" customFormat="false" ht="15" hidden="false" customHeight="false" outlineLevel="0" collapsed="false">
      <c r="A138" s="0" t="str">
        <f aca="false">INDEX(Prioritization!$D:$D,MATCH($B138,Prioritization!$A:$A,0))</f>
        <v>INVALID</v>
      </c>
      <c r="B138" s="0" t="s">
        <v>218</v>
      </c>
      <c r="C138" s="0" t="s">
        <v>367</v>
      </c>
      <c r="D138" s="0" t="s">
        <v>30</v>
      </c>
      <c r="E138" s="0" t="str">
        <f aca="false">B138&amp;"|"&amp;C138&amp;"|"&amp;D138</f>
        <v>Neno District [gwVYinjBAe9]|35-49|Female</v>
      </c>
      <c r="F138" s="10" t="n">
        <f aca="false">IF(LEFT($B138,4)="_Mil","",INDEX(Cascade!$T:$T,MATCH($E138,Cascade!$E:$E,0)))</f>
        <v>1183</v>
      </c>
      <c r="G138" s="10" t="str">
        <f aca="false">IF(LEFT($B138,4)="_Mil","",INDEX(Cascade!$U:$U,MATCH($E138,Cascade!$E:$E,0)))</f>
        <v/>
      </c>
      <c r="H138" s="86" t="n">
        <f aca="false">IF(LEFT($B138,4)="_Mil","",INDEX(Cascade!$W:$W,MATCH($E138,Cascade!$E:$E,0)))</f>
        <v>1409</v>
      </c>
      <c r="I138" s="10" t="n">
        <f aca="false">IF(LEFT($B138,4)="_Mil","",INDEX(Cascade!$Z:$Z,MATCH($E138,Cascade!$E:$E,0)))</f>
        <v>1407</v>
      </c>
      <c r="J138" s="88" t="n">
        <f aca="false">IF(LEFT($B138,4)="_Mil","",INDEX(Cascade!$AA:$AA,MATCH($E138,Cascade!$E:$E,0)))</f>
        <v>969</v>
      </c>
      <c r="K138" s="39" t="n">
        <f aca="false">IF(LEFT($B138,4)="_Mil","",_xlfn.IFNA(ROUND(INDEX(Spectrum!$N:$N,MATCH(RIGHT($B138,13)&amp;"|"&amp;$C138&amp;"|"&amp;$D138&amp;"|"&amp;K$14&amp;"|"&amp;"CY2023Q3",Spectrum!$R:$R,0)),0),""))</f>
        <v>1602</v>
      </c>
      <c r="L138" s="39" t="str">
        <f aca="false">IF(LEFT($B138,4)="_Mil","",_xlfn.IFNA(ROUND(INDEX(Spectrum!$N:$N,MATCH(RIGHT($B138,13)&amp;"|"&amp;$C138&amp;"|"&amp;$D138&amp;"|"&amp;L$14&amp;"|"&amp;"CY2023Q3",Spectrum!$R:$R,0)),0),""))</f>
        <v/>
      </c>
      <c r="M138" s="39" t="n">
        <f aca="false">IF(LEFT($B138,4)="_Mil","",_xlfn.IFNA(ROUND(INDEX(Spectrum!$N:$N,MATCH(RIGHT($B138,13)&amp;"|"&amp;$C138&amp;"|"&amp;$D138&amp;"|"&amp;M$14&amp;"|"&amp;"CY2023Q3",Spectrum!$R:$R,0)),0),""))</f>
        <v>1475</v>
      </c>
      <c r="N138" s="39" t="n">
        <f aca="false">IF(LEFT($B138,4)="_Mil","",_xlfn.IFNA(ROUND(INDEX(Spectrum!$N:$N,MATCH(RIGHT($B138,13)&amp;"|"&amp;$C138&amp;"|"&amp;$D138&amp;"|"&amp;N$14&amp;"|"&amp;"CY2023Q3",Spectrum!$R:$R,0)),0),""))</f>
        <v>1254</v>
      </c>
      <c r="O138" s="39" t="n">
        <f aca="false">IF(LEFT($B138,4)="_Mil","",_xlfn.IFNA(ROUND(INDEX(Spectrum!$N:$N,MATCH(RIGHT($B138,13)&amp;"|"&amp;$C138&amp;"|"&amp;$D138&amp;"|"&amp;O$14&amp;"|"&amp;"CY2023Q3",Spectrum!$R:$R,0)),0),""))</f>
        <v>1972</v>
      </c>
      <c r="P138" s="39" t="n">
        <f aca="false">IF(LEFT($B138,4)="_Mil","",_xlfn.IFNA(ROUND(INDEX(Spectrum!$N:$N,MATCH(RIGHT($B138,13)&amp;"|"&amp;$C138&amp;"|"&amp;$D138&amp;"|"&amp;P$14&amp;"|"&amp;"CY2023Q3",Spectrum!$R:$R,0)),0),""))</f>
        <v>1760</v>
      </c>
      <c r="Q138" s="39" t="str">
        <f aca="false">IF(LEFT($B138,4)="_Mil","",_xlfn.IFNA(ROUND(INDEX(Spectrum!$N:$N,MATCH(RIGHT($B138,13)&amp;"|"&amp;$C138&amp;"|"&amp;$D138&amp;"|"&amp;Q$14&amp;"|"&amp;"CY2022Q3",Spectrum!$R:$R,0)),0),""))</f>
        <v/>
      </c>
      <c r="R138" s="10"/>
      <c r="S138" s="88" t="n">
        <f aca="false">0</f>
        <v>0</v>
      </c>
      <c r="T138" s="39" t="str">
        <f aca="false">IF(SUM($R138)=0,"",ROUND($R138*(1+$S138),0))</f>
        <v/>
      </c>
      <c r="U138" s="88" t="n">
        <f aca="false">IF(LEFT($B138,4)="_Mil","",IF(SUM($K138)=0,IF(SUM($R138)=0,"",1),MIN($R138/$K138,1)))</f>
        <v>0</v>
      </c>
      <c r="V138" s="39" t="str">
        <f aca="false">IF(OR(SUM($T138)=0,LEFT($B138,4)="_Mil"),"",ROUND($T138/$U138,0))</f>
        <v/>
      </c>
      <c r="W138" s="88"/>
      <c r="X138" s="88" t="n">
        <f aca="false">IF(SUM($K138,$W138)=0,"",MAX(IFERROR(SUM($L138)/$K138,0),SUM($W138)))</f>
        <v>0</v>
      </c>
      <c r="Y138" s="88"/>
      <c r="Z138" s="88" t="n">
        <f aca="false">IF(SUM($K138,$Y138)=0,"",MIN(SUM($Y138),IFERROR(SUM($M138)/(SUM($K138)-SUM($L138)),1)))</f>
        <v>0</v>
      </c>
      <c r="AA138" s="10" t="str">
        <f aca="false">$T138</f>
        <v/>
      </c>
      <c r="AB138" s="39" t="str">
        <f aca="false">IF(SUM($AA138)=0,"",IF(AND(SUM($AA138)&gt;0,$X138=""),"ENTER KNOWN POSITIVITY RATE",ROUND($AA138*$X138,0)))</f>
        <v/>
      </c>
      <c r="AC138" s="39" t="str">
        <f aca="false">IF(SUM($AA138)=0,"",IF(AND((SUM($AA138)-SUM($AB138))&gt;0,$Z138=""),"ENTER YIELD RATE",ROUND(($AA138-SUM($AB138))*$Z138,0)))</f>
        <v/>
      </c>
      <c r="AD138" s="39" t="str">
        <f aca="false">IF(SUM($AA138)=0,"",$AA138-SUM($AB138)-SUM($AC138))</f>
        <v/>
      </c>
      <c r="AE138" s="10" t="str">
        <f aca="false">$V138</f>
        <v/>
      </c>
      <c r="AF138" s="39" t="str">
        <f aca="false">IF(SUM($AE138)=0,"",ROUND($AE138*SUM($X138),0))</f>
        <v/>
      </c>
      <c r="AG138" s="39" t="str">
        <f aca="false">IF(SUM($AE138)=0,"",ROUND(($AE138-SUM($AF138))*SUM($Z138),0))</f>
        <v/>
      </c>
      <c r="AH138" s="39" t="str">
        <f aca="false">IF(SUM($AE138)=0,"",$AE138-SUM($AF138)-SUM($AG138))</f>
        <v/>
      </c>
      <c r="AI138" s="88" t="str">
        <f aca="false">IF(SUM($AC138)=0,"",INDEX(Cascade!$BG:$BG,MATCH($E138,Cascade!$E:$E,0)))</f>
        <v/>
      </c>
      <c r="AJ138" s="39" t="str">
        <f aca="false">$AB138</f>
        <v/>
      </c>
      <c r="AK138" s="39" t="str">
        <f aca="false">IF(SUM($AC138)=0,"",IF(AND($AI138="",SUM($AC138)&gt;0),"&lt;- Enter Linkage Rate",ROUND($AC138*$AI138,0)))</f>
        <v/>
      </c>
      <c r="AL138" s="39" t="str">
        <f aca="false">IF(SUM($AF138,$AG138)=0,"",SUM($AF138,$AG138))</f>
        <v/>
      </c>
      <c r="AM138" s="39" t="str">
        <f aca="false">$AF138</f>
        <v/>
      </c>
      <c r="AN138" s="39" t="str">
        <f aca="false">IF(SUM($AG138)=0,"",ROUND($AG138*SUM($AI138),0))</f>
        <v/>
      </c>
      <c r="AO138" s="10" t="str">
        <f aca="false">IFERROR(1/(1/MAX(SUM($T138)-SUM($AB138,$AC138),$AD138)),"")</f>
        <v/>
      </c>
      <c r="AP138" s="88"/>
      <c r="AQ138" s="88" t="str">
        <f aca="false">IF($AP138="","",$AP138)</f>
        <v/>
      </c>
      <c r="AR138" s="88" t="str">
        <f aca="false">IF(SUM($AO138)=0,"",INDEX(Cascade!$BG:$BG,MATCH($E138,Cascade!$E:$E,0)))</f>
        <v/>
      </c>
      <c r="AS138" s="39" t="str">
        <f aca="false">IF(SUM($AO138)=0,"",IF(AND(SUM($AO138)&gt;0,$AQ138=""),"ENTER YIELD RATE",ROUND($AO138*$AQ138,0)))</f>
        <v/>
      </c>
      <c r="AT138" s="39" t="str">
        <f aca="false">IF(SUM($AO138)=0,"",$AO138-SUM($AS138))</f>
        <v/>
      </c>
      <c r="AU138" s="10" t="str">
        <f aca="false">IF(SUM($AS138)=0,"",ROUND($AS138*$AR138,0))</f>
        <v/>
      </c>
      <c r="AV138" s="10" t="str">
        <f aca="false">IFERROR(1/(1/SUM($AC138,$AB138,$AS138)),"")</f>
        <v/>
      </c>
      <c r="AW138" s="10" t="str">
        <f aca="false">IFERROR(1/(1/INDEX(Cascade!$BH:$BH,MATCH($E138,Cascade!$E:$E,0))),"")</f>
        <v/>
      </c>
      <c r="AX138" s="10" t="str">
        <f aca="false">IF(SUM($AC138)=0,"",$AC138)</f>
        <v/>
      </c>
      <c r="AY138" s="10" t="str">
        <f aca="false">IF(SUM($AS138)=0,"",$AS138)</f>
        <v/>
      </c>
      <c r="AZ138" s="10" t="str">
        <f aca="false">IFERROR(1/(1/INDEX(TB!$P:$P,MATCH($E138,TB!$E:$E,0))),"")</f>
        <v/>
      </c>
      <c r="BA138" s="10" t="str">
        <f aca="false">IFERROR(1/(1/(SUM($AW138)-SUM($AX138:$AZ138))),"")</f>
        <v/>
      </c>
    </row>
    <row r="139" customFormat="false" ht="15" hidden="false" customHeight="false" outlineLevel="0" collapsed="false">
      <c r="A139" s="0" t="str">
        <f aca="false">INDEX(Prioritization!$D:$D,MATCH($B139,Prioritization!$A:$A,0))</f>
        <v>INVALID</v>
      </c>
      <c r="B139" s="0" t="s">
        <v>218</v>
      </c>
      <c r="C139" s="0" t="s">
        <v>368</v>
      </c>
      <c r="D139" s="0" t="s">
        <v>30</v>
      </c>
      <c r="E139" s="0" t="str">
        <f aca="false">B139&amp;"|"&amp;C139&amp;"|"&amp;D139</f>
        <v>Neno District [gwVYinjBAe9]|50+|Female</v>
      </c>
      <c r="F139" s="10" t="n">
        <f aca="false">IF(LEFT($B139,4)="_Mil","",INDEX(Cascade!$T:$T,MATCH($E139,Cascade!$E:$E,0)))</f>
        <v>1720</v>
      </c>
      <c r="G139" s="10" t="str">
        <f aca="false">IF(LEFT($B139,4)="_Mil","",INDEX(Cascade!$U:$U,MATCH($E139,Cascade!$E:$E,0)))</f>
        <v/>
      </c>
      <c r="H139" s="86" t="n">
        <f aca="false">IF(LEFT($B139,4)="_Mil","",INDEX(Cascade!$W:$W,MATCH($E139,Cascade!$E:$E,0)))</f>
        <v>1086</v>
      </c>
      <c r="I139" s="10" t="n">
        <f aca="false">IF(LEFT($B139,4)="_Mil","",INDEX(Cascade!$Z:$Z,MATCH($E139,Cascade!$E:$E,0)))</f>
        <v>834</v>
      </c>
      <c r="J139" s="88" t="n">
        <f aca="false">IF(LEFT($B139,4)="_Mil","",INDEX(Cascade!$AA:$AA,MATCH($E139,Cascade!$E:$E,0)))</f>
        <v>1649</v>
      </c>
      <c r="K139" s="39" t="str">
        <f aca="false">IF(LEFT($B139,4)="_Mil","",_xlfn.IFNA(ROUND(INDEX(Spectrum!$N:$N,MATCH(RIGHT($B139,13)&amp;"|"&amp;$C139&amp;"|"&amp;$D139&amp;"|"&amp;K$14&amp;"|"&amp;"CY2023Q3",Spectrum!$R:$R,0)),0),""))</f>
        <v/>
      </c>
      <c r="L139" s="39" t="str">
        <f aca="false">IF(LEFT($B139,4)="_Mil","",_xlfn.IFNA(ROUND(INDEX(Spectrum!$N:$N,MATCH(RIGHT($B139,13)&amp;"|"&amp;$C139&amp;"|"&amp;$D139&amp;"|"&amp;L$14&amp;"|"&amp;"CY2023Q3",Spectrum!$R:$R,0)),0),""))</f>
        <v/>
      </c>
      <c r="M139" s="39" t="str">
        <f aca="false">IF(LEFT($B139,4)="_Mil","",_xlfn.IFNA(ROUND(INDEX(Spectrum!$N:$N,MATCH(RIGHT($B139,13)&amp;"|"&amp;$C139&amp;"|"&amp;$D139&amp;"|"&amp;M$14&amp;"|"&amp;"CY2023Q3",Spectrum!$R:$R,0)),0),""))</f>
        <v/>
      </c>
      <c r="N139" s="39" t="str">
        <f aca="false">IF(LEFT($B139,4)="_Mil","",_xlfn.IFNA(ROUND(INDEX(Spectrum!$N:$N,MATCH(RIGHT($B139,13)&amp;"|"&amp;$C139&amp;"|"&amp;$D139&amp;"|"&amp;N$14&amp;"|"&amp;"CY2023Q3",Spectrum!$R:$R,0)),0),""))</f>
        <v/>
      </c>
      <c r="O139" s="39" t="str">
        <f aca="false">IF(LEFT($B139,4)="_Mil","",_xlfn.IFNA(ROUND(INDEX(Spectrum!$N:$N,MATCH(RIGHT($B139,13)&amp;"|"&amp;$C139&amp;"|"&amp;$D139&amp;"|"&amp;O$14&amp;"|"&amp;"CY2023Q3",Spectrum!$R:$R,0)),0),""))</f>
        <v/>
      </c>
      <c r="P139" s="39" t="str">
        <f aca="false">IF(LEFT($B139,4)="_Mil","",_xlfn.IFNA(ROUND(INDEX(Spectrum!$N:$N,MATCH(RIGHT($B139,13)&amp;"|"&amp;$C139&amp;"|"&amp;$D139&amp;"|"&amp;P$14&amp;"|"&amp;"CY2023Q3",Spectrum!$R:$R,0)),0),""))</f>
        <v/>
      </c>
      <c r="Q139" s="39" t="str">
        <f aca="false">IF(LEFT($B139,4)="_Mil","",_xlfn.IFNA(ROUND(INDEX(Spectrum!$N:$N,MATCH(RIGHT($B139,13)&amp;"|"&amp;$C139&amp;"|"&amp;$D139&amp;"|"&amp;Q$14&amp;"|"&amp;"CY2022Q3",Spectrum!$R:$R,0)),0),""))</f>
        <v/>
      </c>
      <c r="R139" s="10"/>
      <c r="S139" s="88" t="n">
        <f aca="false">0</f>
        <v>0</v>
      </c>
      <c r="T139" s="39" t="str">
        <f aca="false">IF(SUM($R139)=0,"",ROUND($R139*(1+$S139),0))</f>
        <v/>
      </c>
      <c r="U139" s="88" t="str">
        <f aca="false">IF(LEFT($B139,4)="_Mil","",IF(SUM($K139)=0,IF(SUM($R139)=0,"",1),MIN($R139/$K139,1)))</f>
        <v/>
      </c>
      <c r="V139" s="39" t="str">
        <f aca="false">IF(OR(SUM($T139)=0,LEFT($B139,4)="_Mil"),"",ROUND($T139/$U139,0))</f>
        <v/>
      </c>
      <c r="W139" s="88"/>
      <c r="X139" s="88" t="str">
        <f aca="false">IF(SUM($K139,$W139)=0,"",MAX(IFERROR(SUM($L139)/$K139,0),SUM($W139)))</f>
        <v/>
      </c>
      <c r="Y139" s="88"/>
      <c r="Z139" s="88" t="str">
        <f aca="false">IF(SUM($K139,$Y139)=0,"",MIN(SUM($Y139),IFERROR(SUM($M139)/(SUM($K139)-SUM($L139)),1)))</f>
        <v/>
      </c>
      <c r="AA139" s="10" t="str">
        <f aca="false">$T139</f>
        <v/>
      </c>
      <c r="AB139" s="39" t="str">
        <f aca="false">IF(SUM($AA139)=0,"",IF(AND(SUM($AA139)&gt;0,$X139=""),"ENTER KNOWN POSITIVITY RATE",ROUND($AA139*$X139,0)))</f>
        <v/>
      </c>
      <c r="AC139" s="39" t="str">
        <f aca="false">IF(SUM($AA139)=0,"",IF(AND((SUM($AA139)-SUM($AB139))&gt;0,$Z139=""),"ENTER YIELD RATE",ROUND(($AA139-SUM($AB139))*$Z139,0)))</f>
        <v/>
      </c>
      <c r="AD139" s="39" t="str">
        <f aca="false">IF(SUM($AA139)=0,"",$AA139-SUM($AB139)-SUM($AC139))</f>
        <v/>
      </c>
      <c r="AE139" s="10" t="str">
        <f aca="false">$V139</f>
        <v/>
      </c>
      <c r="AF139" s="39" t="str">
        <f aca="false">IF(SUM($AE139)=0,"",ROUND($AE139*SUM($X139),0))</f>
        <v/>
      </c>
      <c r="AG139" s="39" t="str">
        <f aca="false">IF(SUM($AE139)=0,"",ROUND(($AE139-SUM($AF139))*SUM($Z139),0))</f>
        <v/>
      </c>
      <c r="AH139" s="39" t="str">
        <f aca="false">IF(SUM($AE139)=0,"",$AE139-SUM($AF139)-SUM($AG139))</f>
        <v/>
      </c>
      <c r="AI139" s="88" t="str">
        <f aca="false">IF(SUM($AC139)=0,"",INDEX(Cascade!$BG:$BG,MATCH($E139,Cascade!$E:$E,0)))</f>
        <v/>
      </c>
      <c r="AJ139" s="39" t="str">
        <f aca="false">$AB139</f>
        <v/>
      </c>
      <c r="AK139" s="39" t="str">
        <f aca="false">IF(SUM($AC139)=0,"",IF(AND($AI139="",SUM($AC139)&gt;0),"&lt;- Enter Linkage Rate",ROUND($AC139*$AI139,0)))</f>
        <v/>
      </c>
      <c r="AL139" s="39" t="str">
        <f aca="false">IF(SUM($AF139,$AG139)=0,"",SUM($AF139,$AG139))</f>
        <v/>
      </c>
      <c r="AM139" s="39" t="str">
        <f aca="false">$AF139</f>
        <v/>
      </c>
      <c r="AN139" s="39" t="str">
        <f aca="false">IF(SUM($AG139)=0,"",ROUND($AG139*SUM($AI139),0))</f>
        <v/>
      </c>
      <c r="AO139" s="10" t="str">
        <f aca="false">IFERROR(1/(1/MAX(SUM($T139)-SUM($AB139,$AC139),$AD139)),"")</f>
        <v/>
      </c>
      <c r="AP139" s="88"/>
      <c r="AQ139" s="88" t="str">
        <f aca="false">IF($AP139="","",$AP139)</f>
        <v/>
      </c>
      <c r="AR139" s="88" t="str">
        <f aca="false">IF(SUM($AO139)=0,"",INDEX(Cascade!$BG:$BG,MATCH($E139,Cascade!$E:$E,0)))</f>
        <v/>
      </c>
      <c r="AS139" s="39" t="str">
        <f aca="false">IF(SUM($AO139)=0,"",IF(AND(SUM($AO139)&gt;0,$AQ139=""),"ENTER YIELD RATE",ROUND($AO139*$AQ139,0)))</f>
        <v/>
      </c>
      <c r="AT139" s="39" t="str">
        <f aca="false">IF(SUM($AO139)=0,"",$AO139-SUM($AS139))</f>
        <v/>
      </c>
      <c r="AU139" s="10" t="str">
        <f aca="false">IF(SUM($AS139)=0,"",ROUND($AS139*$AR139,0))</f>
        <v/>
      </c>
      <c r="AV139" s="10" t="str">
        <f aca="false">IFERROR(1/(1/SUM($AC139,$AB139,$AS139)),"")</f>
        <v/>
      </c>
      <c r="AW139" s="10" t="str">
        <f aca="false">IFERROR(1/(1/INDEX(Cascade!$BH:$BH,MATCH($E139,Cascade!$E:$E,0))),"")</f>
        <v/>
      </c>
      <c r="AX139" s="10" t="str">
        <f aca="false">IF(SUM($AC139)=0,"",$AC139)</f>
        <v/>
      </c>
      <c r="AY139" s="10" t="str">
        <f aca="false">IF(SUM($AS139)=0,"",$AS139)</f>
        <v/>
      </c>
      <c r="AZ139" s="10" t="str">
        <f aca="false">IFERROR(1/(1/INDEX(TB!$P:$P,MATCH($E139,TB!$E:$E,0))),"")</f>
        <v/>
      </c>
      <c r="BA139" s="10" t="str">
        <f aca="false">IFERROR(1/(1/(SUM($AW139)-SUM($AX139:$AZ139))),"")</f>
        <v/>
      </c>
    </row>
    <row r="140" customFormat="false" ht="15" hidden="false" customHeight="false" outlineLevel="0" collapsed="false">
      <c r="A140" s="0" t="str">
        <f aca="false">INDEX(Prioritization!$D:$D,MATCH($B140,Prioritization!$A:$A,0))</f>
        <v>INVALID</v>
      </c>
      <c r="B140" s="0" t="s">
        <v>219</v>
      </c>
      <c r="C140" s="0" t="s">
        <v>364</v>
      </c>
      <c r="D140" s="0" t="s">
        <v>30</v>
      </c>
      <c r="E140" s="0" t="str">
        <f aca="false">B140&amp;"|"&amp;C140&amp;"|"&amp;D140</f>
        <v>Nsanje District [rpw540fmNUz]|10-14|Female</v>
      </c>
      <c r="F140" s="10" t="n">
        <f aca="false">IF(LEFT($B140,4)="_Mil","",INDEX(Cascade!$T:$T,MATCH($E140,Cascade!$E:$E,0)))</f>
        <v>765</v>
      </c>
      <c r="G140" s="10" t="str">
        <f aca="false">IF(LEFT($B140,4)="_Mil","",INDEX(Cascade!$U:$U,MATCH($E140,Cascade!$E:$E,0)))</f>
        <v/>
      </c>
      <c r="H140" s="86" t="n">
        <f aca="false">IF(LEFT($B140,4)="_Mil","",INDEX(Cascade!$W:$W,MATCH($E140,Cascade!$E:$E,0)))</f>
        <v>1322</v>
      </c>
      <c r="I140" s="10" t="n">
        <f aca="false">IF(LEFT($B140,4)="_Mil","",INDEX(Cascade!$Z:$Z,MATCH($E140,Cascade!$E:$E,0)))</f>
        <v>1308</v>
      </c>
      <c r="J140" s="88" t="n">
        <f aca="false">IF(LEFT($B140,4)="_Mil","",INDEX(Cascade!$AA:$AA,MATCH($E140,Cascade!$E:$E,0)))</f>
        <v>767</v>
      </c>
      <c r="K140" s="39" t="str">
        <f aca="false">IF(LEFT($B140,4)="_Mil","",_xlfn.IFNA(ROUND(INDEX(Spectrum!$N:$N,MATCH(RIGHT($B140,13)&amp;"|"&amp;$C140&amp;"|"&amp;$D140&amp;"|"&amp;K$14&amp;"|"&amp;"CY2023Q3",Spectrum!$R:$R,0)),0),""))</f>
        <v/>
      </c>
      <c r="L140" s="39" t="str">
        <f aca="false">IF(LEFT($B140,4)="_Mil","",_xlfn.IFNA(ROUND(INDEX(Spectrum!$N:$N,MATCH(RIGHT($B140,13)&amp;"|"&amp;$C140&amp;"|"&amp;$D140&amp;"|"&amp;L$14&amp;"|"&amp;"CY2023Q3",Spectrum!$R:$R,0)),0),""))</f>
        <v/>
      </c>
      <c r="M140" s="39" t="str">
        <f aca="false">IF(LEFT($B140,4)="_Mil","",_xlfn.IFNA(ROUND(INDEX(Spectrum!$N:$N,MATCH(RIGHT($B140,13)&amp;"|"&amp;$C140&amp;"|"&amp;$D140&amp;"|"&amp;M$14&amp;"|"&amp;"CY2023Q3",Spectrum!$R:$R,0)),0),""))</f>
        <v/>
      </c>
      <c r="N140" s="39" t="str">
        <f aca="false">IF(LEFT($B140,4)="_Mil","",_xlfn.IFNA(ROUND(INDEX(Spectrum!$N:$N,MATCH(RIGHT($B140,13)&amp;"|"&amp;$C140&amp;"|"&amp;$D140&amp;"|"&amp;N$14&amp;"|"&amp;"CY2023Q3",Spectrum!$R:$R,0)),0),""))</f>
        <v/>
      </c>
      <c r="O140" s="39" t="str">
        <f aca="false">IF(LEFT($B140,4)="_Mil","",_xlfn.IFNA(ROUND(INDEX(Spectrum!$N:$N,MATCH(RIGHT($B140,13)&amp;"|"&amp;$C140&amp;"|"&amp;$D140&amp;"|"&amp;O$14&amp;"|"&amp;"CY2023Q3",Spectrum!$R:$R,0)),0),""))</f>
        <v/>
      </c>
      <c r="P140" s="39" t="str">
        <f aca="false">IF(LEFT($B140,4)="_Mil","",_xlfn.IFNA(ROUND(INDEX(Spectrum!$N:$N,MATCH(RIGHT($B140,13)&amp;"|"&amp;$C140&amp;"|"&amp;$D140&amp;"|"&amp;P$14&amp;"|"&amp;"CY2023Q3",Spectrum!$R:$R,0)),0),""))</f>
        <v/>
      </c>
      <c r="Q140" s="39" t="str">
        <f aca="false">IF(LEFT($B140,4)="_Mil","",_xlfn.IFNA(ROUND(INDEX(Spectrum!$N:$N,MATCH(RIGHT($B140,13)&amp;"|"&amp;$C140&amp;"|"&amp;$D140&amp;"|"&amp;Q$14&amp;"|"&amp;"CY2022Q3",Spectrum!$R:$R,0)),0),""))</f>
        <v/>
      </c>
      <c r="R140" s="10" t="n">
        <v>8</v>
      </c>
      <c r="S140" s="88" t="n">
        <f aca="false">0</f>
        <v>0</v>
      </c>
      <c r="T140" s="39" t="n">
        <f aca="false">IF(SUM($R140)=0,"",ROUND($R140*(1+$S140),0))</f>
        <v>8</v>
      </c>
      <c r="U140" s="88" t="n">
        <f aca="false">IF(LEFT($B140,4)="_Mil","",IF(SUM($K140)=0,IF(SUM($R140)=0,"",1),MIN($R140/$K140,1)))</f>
        <v>1</v>
      </c>
      <c r="V140" s="39" t="n">
        <f aca="false">IF(OR(SUM($T140)=0,LEFT($B140,4)="_Mil"),"",ROUND($T140/$U140,0))</f>
        <v>8</v>
      </c>
      <c r="W140" s="88"/>
      <c r="X140" s="88" t="str">
        <f aca="false">IF(SUM($K140,$W140)=0,"",MAX(IFERROR(SUM($L140)/$K140,0),SUM($W140)))</f>
        <v/>
      </c>
      <c r="Y140" s="88"/>
      <c r="Z140" s="88" t="str">
        <f aca="false">IF(SUM($K140,$Y140)=0,"",MIN(SUM($Y140),IFERROR(SUM($M140)/(SUM($K140)-SUM($L140)),1)))</f>
        <v/>
      </c>
      <c r="AA140" s="10" t="n">
        <f aca="false">$T140</f>
        <v>8</v>
      </c>
      <c r="AB140" s="39" t="str">
        <f aca="false">IF(SUM($AA140)=0,"",IF(AND(SUM($AA140)&gt;0,$X140=""),"ENTER KNOWN POSITIVITY RATE",ROUND($AA140*$X140,0)))</f>
        <v>ENTER KNOWN POSITIVITY RATE</v>
      </c>
      <c r="AC140" s="39" t="str">
        <f aca="false">IF(SUM($AA140)=0,"",IF(AND((SUM($AA140)-SUM($AB140))&gt;0,$Z140=""),"ENTER YIELD RATE",ROUND(($AA140-SUM($AB140))*$Z140,0)))</f>
        <v>ENTER YIELD RATE</v>
      </c>
      <c r="AD140" s="39" t="n">
        <f aca="false">IF(SUM($AA140)=0,"",$AA140-SUM($AB140)-SUM($AC140))</f>
        <v>8</v>
      </c>
      <c r="AE140" s="10" t="n">
        <f aca="false">$V140</f>
        <v>8</v>
      </c>
      <c r="AF140" s="39" t="n">
        <f aca="false">IF(SUM($AE140)=0,"",ROUND($AE140*SUM($X140),0))</f>
        <v>0</v>
      </c>
      <c r="AG140" s="39" t="n">
        <f aca="false">IF(SUM($AE140)=0,"",ROUND(($AE140-SUM($AF140))*SUM($Z140),0))</f>
        <v>0</v>
      </c>
      <c r="AH140" s="39" t="n">
        <f aca="false">IF(SUM($AE140)=0,"",$AE140-SUM($AF140)-SUM($AG140))</f>
        <v>8</v>
      </c>
      <c r="AI140" s="88" t="str">
        <f aca="false">IF(SUM($AC140)=0,"",INDEX(Cascade!$BG:$BG,MATCH($E140,Cascade!$E:$E,0)))</f>
        <v/>
      </c>
      <c r="AJ140" s="39" t="str">
        <f aca="false">$AB140</f>
        <v>ENTER KNOWN POSITIVITY RATE</v>
      </c>
      <c r="AK140" s="39" t="str">
        <f aca="false">IF(SUM($AC140)=0,"",IF(AND($AI140="",SUM($AC140)&gt;0),"&lt;- Enter Linkage Rate",ROUND($AC140*$AI140,0)))</f>
        <v/>
      </c>
      <c r="AL140" s="39" t="str">
        <f aca="false">IF(SUM($AF140,$AG140)=0,"",SUM($AF140,$AG140))</f>
        <v/>
      </c>
      <c r="AM140" s="39" t="n">
        <f aca="false">$AF140</f>
        <v>0</v>
      </c>
      <c r="AN140" s="39" t="str">
        <f aca="false">IF(SUM($AG140)=0,"",ROUND($AG140*SUM($AI140),0))</f>
        <v/>
      </c>
      <c r="AO140" s="10" t="n">
        <f aca="false">IFERROR(1/(1/MAX(SUM($T140)-SUM($AB140,$AC140),$AD140)),"")</f>
        <v>8</v>
      </c>
      <c r="AP140" s="88"/>
      <c r="AQ140" s="88" t="str">
        <f aca="false">IF($AP140="","",$AP140)</f>
        <v/>
      </c>
      <c r="AR140" s="88" t="n">
        <f aca="false">IF(SUM($AO140)=0,"",INDEX(Cascade!$BG:$BG,MATCH($E140,Cascade!$E:$E,0)))</f>
        <v>0.95</v>
      </c>
      <c r="AS140" s="39" t="str">
        <f aca="false">IF(SUM($AO140)=0,"",IF(AND(SUM($AO140)&gt;0,$AQ140=""),"ENTER YIELD RATE",ROUND($AO140*$AQ140,0)))</f>
        <v>ENTER YIELD RATE</v>
      </c>
      <c r="AT140" s="39" t="n">
        <f aca="false">IF(SUM($AO140)=0,"",$AO140-SUM($AS140))</f>
        <v>8</v>
      </c>
      <c r="AU140" s="10" t="str">
        <f aca="false">IF(SUM($AS140)=0,"",ROUND($AS140*$AR140,0))</f>
        <v/>
      </c>
      <c r="AV140" s="10" t="str">
        <f aca="false">IFERROR(1/(1/SUM($AC140,$AB140,$AS140)),"")</f>
        <v/>
      </c>
      <c r="AW140" s="10" t="n">
        <f aca="false">IFERROR(1/(1/INDEX(Cascade!$BH:$BH,MATCH($E140,Cascade!$E:$E,0))),"")</f>
        <v>-59</v>
      </c>
      <c r="AX140" s="10" t="str">
        <f aca="false">IF(SUM($AC140)=0,"",$AC140)</f>
        <v/>
      </c>
      <c r="AY140" s="10" t="str">
        <f aca="false">IF(SUM($AS140)=0,"",$AS140)</f>
        <v/>
      </c>
      <c r="AZ140" s="10" t="str">
        <f aca="false">IFERROR(1/(1/INDEX(TB!$P:$P,MATCH($E140,TB!$E:$E,0))),"")</f>
        <v/>
      </c>
      <c r="BA140" s="10" t="n">
        <f aca="false">IFERROR(1/(1/(SUM($AW140)-SUM($AX140:$AZ140))),"")</f>
        <v>-59</v>
      </c>
    </row>
    <row r="141" customFormat="false" ht="15" hidden="false" customHeight="false" outlineLevel="0" collapsed="false">
      <c r="A141" s="0" t="str">
        <f aca="false">INDEX(Prioritization!$D:$D,MATCH($B141,Prioritization!$A:$A,0))</f>
        <v>INVALID</v>
      </c>
      <c r="B141" s="0" t="s">
        <v>219</v>
      </c>
      <c r="C141" s="0" t="s">
        <v>365</v>
      </c>
      <c r="D141" s="0" t="s">
        <v>30</v>
      </c>
      <c r="E141" s="0" t="str">
        <f aca="false">B141&amp;"|"&amp;C141&amp;"|"&amp;D141</f>
        <v>Nsanje District [rpw540fmNUz]|15-24|Female</v>
      </c>
      <c r="F141" s="10" t="n">
        <f aca="false">IF(LEFT($B141,4)="_Mil","",INDEX(Cascade!$T:$T,MATCH($E141,Cascade!$E:$E,0)))</f>
        <v>842</v>
      </c>
      <c r="G141" s="10" t="str">
        <f aca="false">IF(LEFT($B141,4)="_Mil","",INDEX(Cascade!$U:$U,MATCH($E141,Cascade!$E:$E,0)))</f>
        <v/>
      </c>
      <c r="H141" s="86" t="n">
        <f aca="false">IF(LEFT($B141,4)="_Mil","",INDEX(Cascade!$W:$W,MATCH($E141,Cascade!$E:$E,0)))</f>
        <v>1646</v>
      </c>
      <c r="I141" s="10" t="n">
        <f aca="false">IF(LEFT($B141,4)="_Mil","",INDEX(Cascade!$Z:$Z,MATCH($E141,Cascade!$E:$E,0)))</f>
        <v>743</v>
      </c>
      <c r="J141" s="88" t="n">
        <f aca="false">IF(LEFT($B141,4)="_Mil","",INDEX(Cascade!$AA:$AA,MATCH($E141,Cascade!$E:$E,0)))</f>
        <v>1877</v>
      </c>
      <c r="K141" s="39" t="n">
        <f aca="false">IF(LEFT($B141,4)="_Mil","",_xlfn.IFNA(ROUND(INDEX(Spectrum!$N:$N,MATCH(RIGHT($B141,13)&amp;"|"&amp;$C141&amp;"|"&amp;$D141&amp;"|"&amp;K$14&amp;"|"&amp;"CY2023Q3",Spectrum!$R:$R,0)),0),""))</f>
        <v>718</v>
      </c>
      <c r="L141" s="39" t="str">
        <f aca="false">IF(LEFT($B141,4)="_Mil","",_xlfn.IFNA(ROUND(INDEX(Spectrum!$N:$N,MATCH(RIGHT($B141,13)&amp;"|"&amp;$C141&amp;"|"&amp;$D141&amp;"|"&amp;L$14&amp;"|"&amp;"CY2023Q3",Spectrum!$R:$R,0)),0),""))</f>
        <v/>
      </c>
      <c r="M141" s="39" t="n">
        <f aca="false">IF(LEFT($B141,4)="_Mil","",_xlfn.IFNA(ROUND(INDEX(Spectrum!$N:$N,MATCH(RIGHT($B141,13)&amp;"|"&amp;$C141&amp;"|"&amp;$D141&amp;"|"&amp;M$14&amp;"|"&amp;"CY2023Q3",Spectrum!$R:$R,0)),0),""))</f>
        <v>1154</v>
      </c>
      <c r="N141" s="39" t="n">
        <f aca="false">IF(LEFT($B141,4)="_Mil","",_xlfn.IFNA(ROUND(INDEX(Spectrum!$N:$N,MATCH(RIGHT($B141,13)&amp;"|"&amp;$C141&amp;"|"&amp;$D141&amp;"|"&amp;N$14&amp;"|"&amp;"CY2023Q3",Spectrum!$R:$R,0)),0),""))</f>
        <v>1654</v>
      </c>
      <c r="O141" s="39" t="n">
        <f aca="false">IF(LEFT($B141,4)="_Mil","",_xlfn.IFNA(ROUND(INDEX(Spectrum!$N:$N,MATCH(RIGHT($B141,13)&amp;"|"&amp;$C141&amp;"|"&amp;$D141&amp;"|"&amp;O$14&amp;"|"&amp;"CY2023Q3",Spectrum!$R:$R,0)),0),""))</f>
        <v>1212</v>
      </c>
      <c r="P141" s="39" t="n">
        <f aca="false">IF(LEFT($B141,4)="_Mil","",_xlfn.IFNA(ROUND(INDEX(Spectrum!$N:$N,MATCH(RIGHT($B141,13)&amp;"|"&amp;$C141&amp;"|"&amp;$D141&amp;"|"&amp;P$14&amp;"|"&amp;"CY2023Q3",Spectrum!$R:$R,0)),0),""))</f>
        <v>1731</v>
      </c>
      <c r="Q141" s="39" t="str">
        <f aca="false">IF(LEFT($B141,4)="_Mil","",_xlfn.IFNA(ROUND(INDEX(Spectrum!$N:$N,MATCH(RIGHT($B141,13)&amp;"|"&amp;$C141&amp;"|"&amp;$D141&amp;"|"&amp;Q$14&amp;"|"&amp;"CY2022Q3",Spectrum!$R:$R,0)),0),""))</f>
        <v/>
      </c>
      <c r="R141" s="10"/>
      <c r="S141" s="88" t="n">
        <f aca="false">0</f>
        <v>0</v>
      </c>
      <c r="T141" s="39" t="str">
        <f aca="false">IF(SUM($R141)=0,"",ROUND($R141*(1+$S141),0))</f>
        <v/>
      </c>
      <c r="U141" s="88" t="n">
        <f aca="false">IF(LEFT($B141,4)="_Mil","",IF(SUM($K141)=0,IF(SUM($R141)=0,"",1),MIN($R141/$K141,1)))</f>
        <v>0</v>
      </c>
      <c r="V141" s="39" t="str">
        <f aca="false">IF(OR(SUM($T141)=0,LEFT($B141,4)="_Mil"),"",ROUND($T141/$U141,0))</f>
        <v/>
      </c>
      <c r="W141" s="88"/>
      <c r="X141" s="88" t="n">
        <f aca="false">IF(SUM($K141,$W141)=0,"",MAX(IFERROR(SUM($L141)/$K141,0),SUM($W141)))</f>
        <v>0</v>
      </c>
      <c r="Y141" s="88"/>
      <c r="Z141" s="88" t="n">
        <f aca="false">IF(SUM($K141,$Y141)=0,"",MIN(SUM($Y141),IFERROR(SUM($M141)/(SUM($K141)-SUM($L141)),1)))</f>
        <v>0</v>
      </c>
      <c r="AA141" s="10" t="str">
        <f aca="false">$T141</f>
        <v/>
      </c>
      <c r="AB141" s="39" t="str">
        <f aca="false">IF(SUM($AA141)=0,"",IF(AND(SUM($AA141)&gt;0,$X141=""),"ENTER KNOWN POSITIVITY RATE",ROUND($AA141*$X141,0)))</f>
        <v/>
      </c>
      <c r="AC141" s="39" t="str">
        <f aca="false">IF(SUM($AA141)=0,"",IF(AND((SUM($AA141)-SUM($AB141))&gt;0,$Z141=""),"ENTER YIELD RATE",ROUND(($AA141-SUM($AB141))*$Z141,0)))</f>
        <v/>
      </c>
      <c r="AD141" s="39" t="str">
        <f aca="false">IF(SUM($AA141)=0,"",$AA141-SUM($AB141)-SUM($AC141))</f>
        <v/>
      </c>
      <c r="AE141" s="10" t="str">
        <f aca="false">$V141</f>
        <v/>
      </c>
      <c r="AF141" s="39" t="str">
        <f aca="false">IF(SUM($AE141)=0,"",ROUND($AE141*SUM($X141),0))</f>
        <v/>
      </c>
      <c r="AG141" s="39" t="str">
        <f aca="false">IF(SUM($AE141)=0,"",ROUND(($AE141-SUM($AF141))*SUM($Z141),0))</f>
        <v/>
      </c>
      <c r="AH141" s="39" t="str">
        <f aca="false">IF(SUM($AE141)=0,"",$AE141-SUM($AF141)-SUM($AG141))</f>
        <v/>
      </c>
      <c r="AI141" s="88" t="str">
        <f aca="false">IF(SUM($AC141)=0,"",INDEX(Cascade!$BG:$BG,MATCH($E141,Cascade!$E:$E,0)))</f>
        <v/>
      </c>
      <c r="AJ141" s="39" t="str">
        <f aca="false">$AB141</f>
        <v/>
      </c>
      <c r="AK141" s="39" t="str">
        <f aca="false">IF(SUM($AC141)=0,"",IF(AND($AI141="",SUM($AC141)&gt;0),"&lt;- Enter Linkage Rate",ROUND($AC141*$AI141,0)))</f>
        <v/>
      </c>
      <c r="AL141" s="39" t="str">
        <f aca="false">IF(SUM($AF141,$AG141)=0,"",SUM($AF141,$AG141))</f>
        <v/>
      </c>
      <c r="AM141" s="39" t="str">
        <f aca="false">$AF141</f>
        <v/>
      </c>
      <c r="AN141" s="39" t="str">
        <f aca="false">IF(SUM($AG141)=0,"",ROUND($AG141*SUM($AI141),0))</f>
        <v/>
      </c>
      <c r="AO141" s="10" t="str">
        <f aca="false">IFERROR(1/(1/MAX(SUM($T141)-SUM($AB141,$AC141),$AD141)),"")</f>
        <v/>
      </c>
      <c r="AP141" s="88"/>
      <c r="AQ141" s="88" t="str">
        <f aca="false">IF($AP141="","",$AP141)</f>
        <v/>
      </c>
      <c r="AR141" s="88" t="str">
        <f aca="false">IF(SUM($AO141)=0,"",INDEX(Cascade!$BG:$BG,MATCH($E141,Cascade!$E:$E,0)))</f>
        <v/>
      </c>
      <c r="AS141" s="39" t="str">
        <f aca="false">IF(SUM($AO141)=0,"",IF(AND(SUM($AO141)&gt;0,$AQ141=""),"ENTER YIELD RATE",ROUND($AO141*$AQ141,0)))</f>
        <v/>
      </c>
      <c r="AT141" s="39" t="str">
        <f aca="false">IF(SUM($AO141)=0,"",$AO141-SUM($AS141))</f>
        <v/>
      </c>
      <c r="AU141" s="10" t="str">
        <f aca="false">IF(SUM($AS141)=0,"",ROUND($AS141*$AR141,0))</f>
        <v/>
      </c>
      <c r="AV141" s="10" t="str">
        <f aca="false">IFERROR(1/(1/SUM($AC141,$AB141,$AS141)),"")</f>
        <v/>
      </c>
      <c r="AW141" s="10" t="str">
        <f aca="false">IFERROR(1/(1/INDEX(Cascade!$BH:$BH,MATCH($E141,Cascade!$E:$E,0))),"")</f>
        <v/>
      </c>
      <c r="AX141" s="10" t="str">
        <f aca="false">IF(SUM($AC141)=0,"",$AC141)</f>
        <v/>
      </c>
      <c r="AY141" s="10" t="str">
        <f aca="false">IF(SUM($AS141)=0,"",$AS141)</f>
        <v/>
      </c>
      <c r="AZ141" s="10" t="str">
        <f aca="false">IFERROR(1/(1/INDEX(TB!$P:$P,MATCH($E141,TB!$E:$E,0))),"")</f>
        <v/>
      </c>
      <c r="BA141" s="10" t="str">
        <f aca="false">IFERROR(1/(1/(SUM($AW141)-SUM($AX141:$AZ141))),"")</f>
        <v/>
      </c>
    </row>
    <row r="142" customFormat="false" ht="15" hidden="false" customHeight="false" outlineLevel="0" collapsed="false">
      <c r="A142" s="0" t="str">
        <f aca="false">INDEX(Prioritization!$D:$D,MATCH($B142,Prioritization!$A:$A,0))</f>
        <v>INVALID</v>
      </c>
      <c r="B142" s="0" t="s">
        <v>219</v>
      </c>
      <c r="C142" s="0" t="s">
        <v>366</v>
      </c>
      <c r="D142" s="0" t="s">
        <v>30</v>
      </c>
      <c r="E142" s="0" t="str">
        <f aca="false">B142&amp;"|"&amp;C142&amp;"|"&amp;D142</f>
        <v>Nsanje District [rpw540fmNUz]|25-34|Female</v>
      </c>
      <c r="F142" s="10" t="n">
        <f aca="false">IF(LEFT($B142,4)="_Mil","",INDEX(Cascade!$T:$T,MATCH($E142,Cascade!$E:$E,0)))</f>
        <v>1925</v>
      </c>
      <c r="G142" s="10" t="str">
        <f aca="false">IF(LEFT($B142,4)="_Mil","",INDEX(Cascade!$U:$U,MATCH($E142,Cascade!$E:$E,0)))</f>
        <v/>
      </c>
      <c r="H142" s="86" t="n">
        <f aca="false">IF(LEFT($B142,4)="_Mil","",INDEX(Cascade!$W:$W,MATCH($E142,Cascade!$E:$E,0)))</f>
        <v>1535</v>
      </c>
      <c r="I142" s="10" t="n">
        <f aca="false">IF(LEFT($B142,4)="_Mil","",INDEX(Cascade!$Z:$Z,MATCH($E142,Cascade!$E:$E,0)))</f>
        <v>931</v>
      </c>
      <c r="J142" s="88" t="n">
        <f aca="false">IF(LEFT($B142,4)="_Mil","",INDEX(Cascade!$AA:$AA,MATCH($E142,Cascade!$E:$E,0)))</f>
        <v>1848</v>
      </c>
      <c r="K142" s="39" t="n">
        <f aca="false">IF(LEFT($B142,4)="_Mil","",_xlfn.IFNA(ROUND(INDEX(Spectrum!$N:$N,MATCH(RIGHT($B142,13)&amp;"|"&amp;$C142&amp;"|"&amp;$D142&amp;"|"&amp;K$14&amp;"|"&amp;"CY2023Q3",Spectrum!$R:$R,0)),0),""))</f>
        <v>1585</v>
      </c>
      <c r="L142" s="39" t="str">
        <f aca="false">IF(LEFT($B142,4)="_Mil","",_xlfn.IFNA(ROUND(INDEX(Spectrum!$N:$N,MATCH(RIGHT($B142,13)&amp;"|"&amp;$C142&amp;"|"&amp;$D142&amp;"|"&amp;L$14&amp;"|"&amp;"CY2023Q3",Spectrum!$R:$R,0)),0),""))</f>
        <v/>
      </c>
      <c r="M142" s="39" t="n">
        <f aca="false">IF(LEFT($B142,4)="_Mil","",_xlfn.IFNA(ROUND(INDEX(Spectrum!$N:$N,MATCH(RIGHT($B142,13)&amp;"|"&amp;$C142&amp;"|"&amp;$D142&amp;"|"&amp;M$14&amp;"|"&amp;"CY2023Q3",Spectrum!$R:$R,0)),0),""))</f>
        <v>627</v>
      </c>
      <c r="N142" s="39" t="n">
        <f aca="false">IF(LEFT($B142,4)="_Mil","",_xlfn.IFNA(ROUND(INDEX(Spectrum!$N:$N,MATCH(RIGHT($B142,13)&amp;"|"&amp;$C142&amp;"|"&amp;$D142&amp;"|"&amp;N$14&amp;"|"&amp;"CY2023Q3",Spectrum!$R:$R,0)),0),""))</f>
        <v>1295</v>
      </c>
      <c r="O142" s="39" t="n">
        <f aca="false">IF(LEFT($B142,4)="_Mil","",_xlfn.IFNA(ROUND(INDEX(Spectrum!$N:$N,MATCH(RIGHT($B142,13)&amp;"|"&amp;$C142&amp;"|"&amp;$D142&amp;"|"&amp;O$14&amp;"|"&amp;"CY2023Q3",Spectrum!$R:$R,0)),0),""))</f>
        <v>1665</v>
      </c>
      <c r="P142" s="39" t="n">
        <f aca="false">IF(LEFT($B142,4)="_Mil","",_xlfn.IFNA(ROUND(INDEX(Spectrum!$N:$N,MATCH(RIGHT($B142,13)&amp;"|"&amp;$C142&amp;"|"&amp;$D142&amp;"|"&amp;P$14&amp;"|"&amp;"CY2023Q3",Spectrum!$R:$R,0)),0),""))</f>
        <v>665</v>
      </c>
      <c r="Q142" s="39" t="str">
        <f aca="false">IF(LEFT($B142,4)="_Mil","",_xlfn.IFNA(ROUND(INDEX(Spectrum!$N:$N,MATCH(RIGHT($B142,13)&amp;"|"&amp;$C142&amp;"|"&amp;$D142&amp;"|"&amp;Q$14&amp;"|"&amp;"CY2022Q3",Spectrum!$R:$R,0)),0),""))</f>
        <v/>
      </c>
      <c r="R142" s="10"/>
      <c r="S142" s="88" t="n">
        <f aca="false">0</f>
        <v>0</v>
      </c>
      <c r="T142" s="39" t="str">
        <f aca="false">IF(SUM($R142)=0,"",ROUND($R142*(1+$S142),0))</f>
        <v/>
      </c>
      <c r="U142" s="88" t="n">
        <f aca="false">IF(LEFT($B142,4)="_Mil","",IF(SUM($K142)=0,IF(SUM($R142)=0,"",1),MIN($R142/$K142,1)))</f>
        <v>0</v>
      </c>
      <c r="V142" s="39" t="str">
        <f aca="false">IF(OR(SUM($T142)=0,LEFT($B142,4)="_Mil"),"",ROUND($T142/$U142,0))</f>
        <v/>
      </c>
      <c r="W142" s="88"/>
      <c r="X142" s="88" t="n">
        <f aca="false">IF(SUM($K142,$W142)=0,"",MAX(IFERROR(SUM($L142)/$K142,0),SUM($W142)))</f>
        <v>0</v>
      </c>
      <c r="Y142" s="88"/>
      <c r="Z142" s="88" t="n">
        <f aca="false">IF(SUM($K142,$Y142)=0,"",MIN(SUM($Y142),IFERROR(SUM($M142)/(SUM($K142)-SUM($L142)),1)))</f>
        <v>0</v>
      </c>
      <c r="AA142" s="10" t="str">
        <f aca="false">$T142</f>
        <v/>
      </c>
      <c r="AB142" s="39" t="str">
        <f aca="false">IF(SUM($AA142)=0,"",IF(AND(SUM($AA142)&gt;0,$X142=""),"ENTER KNOWN POSITIVITY RATE",ROUND($AA142*$X142,0)))</f>
        <v/>
      </c>
      <c r="AC142" s="39" t="str">
        <f aca="false">IF(SUM($AA142)=0,"",IF(AND((SUM($AA142)-SUM($AB142))&gt;0,$Z142=""),"ENTER YIELD RATE",ROUND(($AA142-SUM($AB142))*$Z142,0)))</f>
        <v/>
      </c>
      <c r="AD142" s="39" t="str">
        <f aca="false">IF(SUM($AA142)=0,"",$AA142-SUM($AB142)-SUM($AC142))</f>
        <v/>
      </c>
      <c r="AE142" s="10" t="str">
        <f aca="false">$V142</f>
        <v/>
      </c>
      <c r="AF142" s="39" t="str">
        <f aca="false">IF(SUM($AE142)=0,"",ROUND($AE142*SUM($X142),0))</f>
        <v/>
      </c>
      <c r="AG142" s="39" t="str">
        <f aca="false">IF(SUM($AE142)=0,"",ROUND(($AE142-SUM($AF142))*SUM($Z142),0))</f>
        <v/>
      </c>
      <c r="AH142" s="39" t="str">
        <f aca="false">IF(SUM($AE142)=0,"",$AE142-SUM($AF142)-SUM($AG142))</f>
        <v/>
      </c>
      <c r="AI142" s="88" t="str">
        <f aca="false">IF(SUM($AC142)=0,"",INDEX(Cascade!$BG:$BG,MATCH($E142,Cascade!$E:$E,0)))</f>
        <v/>
      </c>
      <c r="AJ142" s="39" t="str">
        <f aca="false">$AB142</f>
        <v/>
      </c>
      <c r="AK142" s="39" t="str">
        <f aca="false">IF(SUM($AC142)=0,"",IF(AND($AI142="",SUM($AC142)&gt;0),"&lt;- Enter Linkage Rate",ROUND($AC142*$AI142,0)))</f>
        <v/>
      </c>
      <c r="AL142" s="39" t="str">
        <f aca="false">IF(SUM($AF142,$AG142)=0,"",SUM($AF142,$AG142))</f>
        <v/>
      </c>
      <c r="AM142" s="39" t="str">
        <f aca="false">$AF142</f>
        <v/>
      </c>
      <c r="AN142" s="39" t="str">
        <f aca="false">IF(SUM($AG142)=0,"",ROUND($AG142*SUM($AI142),0))</f>
        <v/>
      </c>
      <c r="AO142" s="10" t="str">
        <f aca="false">IFERROR(1/(1/MAX(SUM($T142)-SUM($AB142,$AC142),$AD142)),"")</f>
        <v/>
      </c>
      <c r="AP142" s="88"/>
      <c r="AQ142" s="88" t="str">
        <f aca="false">IF($AP142="","",$AP142)</f>
        <v/>
      </c>
      <c r="AR142" s="88" t="str">
        <f aca="false">IF(SUM($AO142)=0,"",INDEX(Cascade!$BG:$BG,MATCH($E142,Cascade!$E:$E,0)))</f>
        <v/>
      </c>
      <c r="AS142" s="39" t="str">
        <f aca="false">IF(SUM($AO142)=0,"",IF(AND(SUM($AO142)&gt;0,$AQ142=""),"ENTER YIELD RATE",ROUND($AO142*$AQ142,0)))</f>
        <v/>
      </c>
      <c r="AT142" s="39" t="str">
        <f aca="false">IF(SUM($AO142)=0,"",$AO142-SUM($AS142))</f>
        <v/>
      </c>
      <c r="AU142" s="10" t="str">
        <f aca="false">IF(SUM($AS142)=0,"",ROUND($AS142*$AR142,0))</f>
        <v/>
      </c>
      <c r="AV142" s="10" t="str">
        <f aca="false">IFERROR(1/(1/SUM($AC142,$AB142,$AS142)),"")</f>
        <v/>
      </c>
      <c r="AW142" s="10" t="str">
        <f aca="false">IFERROR(1/(1/INDEX(Cascade!$BH:$BH,MATCH($E142,Cascade!$E:$E,0))),"")</f>
        <v/>
      </c>
      <c r="AX142" s="10" t="str">
        <f aca="false">IF(SUM($AC142)=0,"",$AC142)</f>
        <v/>
      </c>
      <c r="AY142" s="10" t="str">
        <f aca="false">IF(SUM($AS142)=0,"",$AS142)</f>
        <v/>
      </c>
      <c r="AZ142" s="10" t="str">
        <f aca="false">IFERROR(1/(1/INDEX(TB!$P:$P,MATCH($E142,TB!$E:$E,0))),"")</f>
        <v/>
      </c>
      <c r="BA142" s="10" t="str">
        <f aca="false">IFERROR(1/(1/(SUM($AW142)-SUM($AX142:$AZ142))),"")</f>
        <v/>
      </c>
    </row>
    <row r="143" customFormat="false" ht="15" hidden="false" customHeight="false" outlineLevel="0" collapsed="false">
      <c r="A143" s="0" t="str">
        <f aca="false">INDEX(Prioritization!$D:$D,MATCH($B143,Prioritization!$A:$A,0))</f>
        <v>INVALID</v>
      </c>
      <c r="B143" s="0" t="s">
        <v>219</v>
      </c>
      <c r="C143" s="0" t="s">
        <v>367</v>
      </c>
      <c r="D143" s="0" t="s">
        <v>30</v>
      </c>
      <c r="E143" s="0" t="str">
        <f aca="false">B143&amp;"|"&amp;C143&amp;"|"&amp;D143</f>
        <v>Nsanje District [rpw540fmNUz]|35-49|Female</v>
      </c>
      <c r="F143" s="10" t="n">
        <f aca="false">IF(LEFT($B143,4)="_Mil","",INDEX(Cascade!$T:$T,MATCH($E143,Cascade!$E:$E,0)))</f>
        <v>1282</v>
      </c>
      <c r="G143" s="10" t="str">
        <f aca="false">IF(LEFT($B143,4)="_Mil","",INDEX(Cascade!$U:$U,MATCH($E143,Cascade!$E:$E,0)))</f>
        <v/>
      </c>
      <c r="H143" s="86" t="n">
        <f aca="false">IF(LEFT($B143,4)="_Mil","",INDEX(Cascade!$W:$W,MATCH($E143,Cascade!$E:$E,0)))</f>
        <v>701</v>
      </c>
      <c r="I143" s="10" t="n">
        <f aca="false">IF(LEFT($B143,4)="_Mil","",INDEX(Cascade!$Z:$Z,MATCH($E143,Cascade!$E:$E,0)))</f>
        <v>1442</v>
      </c>
      <c r="J143" s="88" t="n">
        <f aca="false">IF(LEFT($B143,4)="_Mil","",INDEX(Cascade!$AA:$AA,MATCH($E143,Cascade!$E:$E,0)))</f>
        <v>1027</v>
      </c>
      <c r="K143" s="39" t="n">
        <f aca="false">IF(LEFT($B143,4)="_Mil","",_xlfn.IFNA(ROUND(INDEX(Spectrum!$N:$N,MATCH(RIGHT($B143,13)&amp;"|"&amp;$C143&amp;"|"&amp;$D143&amp;"|"&amp;K$14&amp;"|"&amp;"CY2023Q3",Spectrum!$R:$R,0)),0),""))</f>
        <v>955</v>
      </c>
      <c r="L143" s="39" t="str">
        <f aca="false">IF(LEFT($B143,4)="_Mil","",_xlfn.IFNA(ROUND(INDEX(Spectrum!$N:$N,MATCH(RIGHT($B143,13)&amp;"|"&amp;$C143&amp;"|"&amp;$D143&amp;"|"&amp;L$14&amp;"|"&amp;"CY2023Q3",Spectrum!$R:$R,0)),0),""))</f>
        <v/>
      </c>
      <c r="M143" s="39" t="n">
        <f aca="false">IF(LEFT($B143,4)="_Mil","",_xlfn.IFNA(ROUND(INDEX(Spectrum!$N:$N,MATCH(RIGHT($B143,13)&amp;"|"&amp;$C143&amp;"|"&amp;$D143&amp;"|"&amp;M$14&amp;"|"&amp;"CY2023Q3",Spectrum!$R:$R,0)),0),""))</f>
        <v>1382</v>
      </c>
      <c r="N143" s="39" t="n">
        <f aca="false">IF(LEFT($B143,4)="_Mil","",_xlfn.IFNA(ROUND(INDEX(Spectrum!$N:$N,MATCH(RIGHT($B143,13)&amp;"|"&amp;$C143&amp;"|"&amp;$D143&amp;"|"&amp;N$14&amp;"|"&amp;"CY2023Q3",Spectrum!$R:$R,0)),0),""))</f>
        <v>833</v>
      </c>
      <c r="O143" s="39" t="n">
        <f aca="false">IF(LEFT($B143,4)="_Mil","",_xlfn.IFNA(ROUND(INDEX(Spectrum!$N:$N,MATCH(RIGHT($B143,13)&amp;"|"&amp;$C143&amp;"|"&amp;$D143&amp;"|"&amp;O$14&amp;"|"&amp;"CY2023Q3",Spectrum!$R:$R,0)),0),""))</f>
        <v>713</v>
      </c>
      <c r="P143" s="39" t="n">
        <f aca="false">IF(LEFT($B143,4)="_Mil","",_xlfn.IFNA(ROUND(INDEX(Spectrum!$N:$N,MATCH(RIGHT($B143,13)&amp;"|"&amp;$C143&amp;"|"&amp;$D143&amp;"|"&amp;P$14&amp;"|"&amp;"CY2023Q3",Spectrum!$R:$R,0)),0),""))</f>
        <v>1936</v>
      </c>
      <c r="Q143" s="39" t="str">
        <f aca="false">IF(LEFT($B143,4)="_Mil","",_xlfn.IFNA(ROUND(INDEX(Spectrum!$N:$N,MATCH(RIGHT($B143,13)&amp;"|"&amp;$C143&amp;"|"&amp;$D143&amp;"|"&amp;Q$14&amp;"|"&amp;"CY2022Q3",Spectrum!$R:$R,0)),0),""))</f>
        <v/>
      </c>
      <c r="R143" s="10"/>
      <c r="S143" s="88" t="n">
        <f aca="false">0</f>
        <v>0</v>
      </c>
      <c r="T143" s="39" t="str">
        <f aca="false">IF(SUM($R143)=0,"",ROUND($R143*(1+$S143),0))</f>
        <v/>
      </c>
      <c r="U143" s="88" t="n">
        <f aca="false">IF(LEFT($B143,4)="_Mil","",IF(SUM($K143)=0,IF(SUM($R143)=0,"",1),MIN($R143/$K143,1)))</f>
        <v>0</v>
      </c>
      <c r="V143" s="39" t="str">
        <f aca="false">IF(OR(SUM($T143)=0,LEFT($B143,4)="_Mil"),"",ROUND($T143/$U143,0))</f>
        <v/>
      </c>
      <c r="W143" s="88"/>
      <c r="X143" s="88" t="n">
        <f aca="false">IF(SUM($K143,$W143)=0,"",MAX(IFERROR(SUM($L143)/$K143,0),SUM($W143)))</f>
        <v>0</v>
      </c>
      <c r="Y143" s="88"/>
      <c r="Z143" s="88" t="n">
        <f aca="false">IF(SUM($K143,$Y143)=0,"",MIN(SUM($Y143),IFERROR(SUM($M143)/(SUM($K143)-SUM($L143)),1)))</f>
        <v>0</v>
      </c>
      <c r="AA143" s="10" t="str">
        <f aca="false">$T143</f>
        <v/>
      </c>
      <c r="AB143" s="39" t="str">
        <f aca="false">IF(SUM($AA143)=0,"",IF(AND(SUM($AA143)&gt;0,$X143=""),"ENTER KNOWN POSITIVITY RATE",ROUND($AA143*$X143,0)))</f>
        <v/>
      </c>
      <c r="AC143" s="39" t="str">
        <f aca="false">IF(SUM($AA143)=0,"",IF(AND((SUM($AA143)-SUM($AB143))&gt;0,$Z143=""),"ENTER YIELD RATE",ROUND(($AA143-SUM($AB143))*$Z143,0)))</f>
        <v/>
      </c>
      <c r="AD143" s="39" t="str">
        <f aca="false">IF(SUM($AA143)=0,"",$AA143-SUM($AB143)-SUM($AC143))</f>
        <v/>
      </c>
      <c r="AE143" s="10" t="str">
        <f aca="false">$V143</f>
        <v/>
      </c>
      <c r="AF143" s="39" t="str">
        <f aca="false">IF(SUM($AE143)=0,"",ROUND($AE143*SUM($X143),0))</f>
        <v/>
      </c>
      <c r="AG143" s="39" t="str">
        <f aca="false">IF(SUM($AE143)=0,"",ROUND(($AE143-SUM($AF143))*SUM($Z143),0))</f>
        <v/>
      </c>
      <c r="AH143" s="39" t="str">
        <f aca="false">IF(SUM($AE143)=0,"",$AE143-SUM($AF143)-SUM($AG143))</f>
        <v/>
      </c>
      <c r="AI143" s="88" t="str">
        <f aca="false">IF(SUM($AC143)=0,"",INDEX(Cascade!$BG:$BG,MATCH($E143,Cascade!$E:$E,0)))</f>
        <v/>
      </c>
      <c r="AJ143" s="39" t="str">
        <f aca="false">$AB143</f>
        <v/>
      </c>
      <c r="AK143" s="39" t="str">
        <f aca="false">IF(SUM($AC143)=0,"",IF(AND($AI143="",SUM($AC143)&gt;0),"&lt;- Enter Linkage Rate",ROUND($AC143*$AI143,0)))</f>
        <v/>
      </c>
      <c r="AL143" s="39" t="str">
        <f aca="false">IF(SUM($AF143,$AG143)=0,"",SUM($AF143,$AG143))</f>
        <v/>
      </c>
      <c r="AM143" s="39" t="str">
        <f aca="false">$AF143</f>
        <v/>
      </c>
      <c r="AN143" s="39" t="str">
        <f aca="false">IF(SUM($AG143)=0,"",ROUND($AG143*SUM($AI143),0))</f>
        <v/>
      </c>
      <c r="AO143" s="10" t="str">
        <f aca="false">IFERROR(1/(1/MAX(SUM($T143)-SUM($AB143,$AC143),$AD143)),"")</f>
        <v/>
      </c>
      <c r="AP143" s="88"/>
      <c r="AQ143" s="88" t="str">
        <f aca="false">IF($AP143="","",$AP143)</f>
        <v/>
      </c>
      <c r="AR143" s="88" t="str">
        <f aca="false">IF(SUM($AO143)=0,"",INDEX(Cascade!$BG:$BG,MATCH($E143,Cascade!$E:$E,0)))</f>
        <v/>
      </c>
      <c r="AS143" s="39" t="str">
        <f aca="false">IF(SUM($AO143)=0,"",IF(AND(SUM($AO143)&gt;0,$AQ143=""),"ENTER YIELD RATE",ROUND($AO143*$AQ143,0)))</f>
        <v/>
      </c>
      <c r="AT143" s="39" t="str">
        <f aca="false">IF(SUM($AO143)=0,"",$AO143-SUM($AS143))</f>
        <v/>
      </c>
      <c r="AU143" s="10" t="str">
        <f aca="false">IF(SUM($AS143)=0,"",ROUND($AS143*$AR143,0))</f>
        <v/>
      </c>
      <c r="AV143" s="10" t="str">
        <f aca="false">IFERROR(1/(1/SUM($AC143,$AB143,$AS143)),"")</f>
        <v/>
      </c>
      <c r="AW143" s="10" t="str">
        <f aca="false">IFERROR(1/(1/INDEX(Cascade!$BH:$BH,MATCH($E143,Cascade!$E:$E,0))),"")</f>
        <v/>
      </c>
      <c r="AX143" s="10" t="str">
        <f aca="false">IF(SUM($AC143)=0,"",$AC143)</f>
        <v/>
      </c>
      <c r="AY143" s="10" t="str">
        <f aca="false">IF(SUM($AS143)=0,"",$AS143)</f>
        <v/>
      </c>
      <c r="AZ143" s="10" t="str">
        <f aca="false">IFERROR(1/(1/INDEX(TB!$P:$P,MATCH($E143,TB!$E:$E,0))),"")</f>
        <v/>
      </c>
      <c r="BA143" s="10" t="str">
        <f aca="false">IFERROR(1/(1/(SUM($AW143)-SUM($AX143:$AZ143))),"")</f>
        <v/>
      </c>
    </row>
    <row r="144" customFormat="false" ht="15" hidden="false" customHeight="false" outlineLevel="0" collapsed="false">
      <c r="A144" s="0" t="str">
        <f aca="false">INDEX(Prioritization!$D:$D,MATCH($B144,Prioritization!$A:$A,0))</f>
        <v>INVALID</v>
      </c>
      <c r="B144" s="0" t="s">
        <v>219</v>
      </c>
      <c r="C144" s="0" t="s">
        <v>368</v>
      </c>
      <c r="D144" s="0" t="s">
        <v>30</v>
      </c>
      <c r="E144" s="0" t="str">
        <f aca="false">B144&amp;"|"&amp;C144&amp;"|"&amp;D144</f>
        <v>Nsanje District [rpw540fmNUz]|50+|Female</v>
      </c>
      <c r="F144" s="10" t="n">
        <f aca="false">IF(LEFT($B144,4)="_Mil","",INDEX(Cascade!$T:$T,MATCH($E144,Cascade!$E:$E,0)))</f>
        <v>599</v>
      </c>
      <c r="G144" s="10" t="str">
        <f aca="false">IF(LEFT($B144,4)="_Mil","",INDEX(Cascade!$U:$U,MATCH($E144,Cascade!$E:$E,0)))</f>
        <v/>
      </c>
      <c r="H144" s="86" t="n">
        <f aca="false">IF(LEFT($B144,4)="_Mil","",INDEX(Cascade!$W:$W,MATCH($E144,Cascade!$E:$E,0)))</f>
        <v>1864</v>
      </c>
      <c r="I144" s="10" t="n">
        <f aca="false">IF(LEFT($B144,4)="_Mil","",INDEX(Cascade!$Z:$Z,MATCH($E144,Cascade!$E:$E,0)))</f>
        <v>605</v>
      </c>
      <c r="J144" s="88" t="n">
        <f aca="false">IF(LEFT($B144,4)="_Mil","",INDEX(Cascade!$AA:$AA,MATCH($E144,Cascade!$E:$E,0)))</f>
        <v>1564</v>
      </c>
      <c r="K144" s="39" t="str">
        <f aca="false">IF(LEFT($B144,4)="_Mil","",_xlfn.IFNA(ROUND(INDEX(Spectrum!$N:$N,MATCH(RIGHT($B144,13)&amp;"|"&amp;$C144&amp;"|"&amp;$D144&amp;"|"&amp;K$14&amp;"|"&amp;"CY2023Q3",Spectrum!$R:$R,0)),0),""))</f>
        <v/>
      </c>
      <c r="L144" s="39" t="str">
        <f aca="false">IF(LEFT($B144,4)="_Mil","",_xlfn.IFNA(ROUND(INDEX(Spectrum!$N:$N,MATCH(RIGHT($B144,13)&amp;"|"&amp;$C144&amp;"|"&amp;$D144&amp;"|"&amp;L$14&amp;"|"&amp;"CY2023Q3",Spectrum!$R:$R,0)),0),""))</f>
        <v/>
      </c>
      <c r="M144" s="39" t="str">
        <f aca="false">IF(LEFT($B144,4)="_Mil","",_xlfn.IFNA(ROUND(INDEX(Spectrum!$N:$N,MATCH(RIGHT($B144,13)&amp;"|"&amp;$C144&amp;"|"&amp;$D144&amp;"|"&amp;M$14&amp;"|"&amp;"CY2023Q3",Spectrum!$R:$R,0)),0),""))</f>
        <v/>
      </c>
      <c r="N144" s="39" t="str">
        <f aca="false">IF(LEFT($B144,4)="_Mil","",_xlfn.IFNA(ROUND(INDEX(Spectrum!$N:$N,MATCH(RIGHT($B144,13)&amp;"|"&amp;$C144&amp;"|"&amp;$D144&amp;"|"&amp;N$14&amp;"|"&amp;"CY2023Q3",Spectrum!$R:$R,0)),0),""))</f>
        <v/>
      </c>
      <c r="O144" s="39" t="str">
        <f aca="false">IF(LEFT($B144,4)="_Mil","",_xlfn.IFNA(ROUND(INDEX(Spectrum!$N:$N,MATCH(RIGHT($B144,13)&amp;"|"&amp;$C144&amp;"|"&amp;$D144&amp;"|"&amp;O$14&amp;"|"&amp;"CY2023Q3",Spectrum!$R:$R,0)),0),""))</f>
        <v/>
      </c>
      <c r="P144" s="39" t="str">
        <f aca="false">IF(LEFT($B144,4)="_Mil","",_xlfn.IFNA(ROUND(INDEX(Spectrum!$N:$N,MATCH(RIGHT($B144,13)&amp;"|"&amp;$C144&amp;"|"&amp;$D144&amp;"|"&amp;P$14&amp;"|"&amp;"CY2023Q3",Spectrum!$R:$R,0)),0),""))</f>
        <v/>
      </c>
      <c r="Q144" s="39" t="str">
        <f aca="false">IF(LEFT($B144,4)="_Mil","",_xlfn.IFNA(ROUND(INDEX(Spectrum!$N:$N,MATCH(RIGHT($B144,13)&amp;"|"&amp;$C144&amp;"|"&amp;$D144&amp;"|"&amp;Q$14&amp;"|"&amp;"CY2022Q3",Spectrum!$R:$R,0)),0),""))</f>
        <v/>
      </c>
      <c r="R144" s="10"/>
      <c r="S144" s="88" t="n">
        <f aca="false">0</f>
        <v>0</v>
      </c>
      <c r="T144" s="39" t="str">
        <f aca="false">IF(SUM($R144)=0,"",ROUND($R144*(1+$S144),0))</f>
        <v/>
      </c>
      <c r="U144" s="88" t="str">
        <f aca="false">IF(LEFT($B144,4)="_Mil","",IF(SUM($K144)=0,IF(SUM($R144)=0,"",1),MIN($R144/$K144,1)))</f>
        <v/>
      </c>
      <c r="V144" s="39" t="str">
        <f aca="false">IF(OR(SUM($T144)=0,LEFT($B144,4)="_Mil"),"",ROUND($T144/$U144,0))</f>
        <v/>
      </c>
      <c r="W144" s="88"/>
      <c r="X144" s="88" t="str">
        <f aca="false">IF(SUM($K144,$W144)=0,"",MAX(IFERROR(SUM($L144)/$K144,0),SUM($W144)))</f>
        <v/>
      </c>
      <c r="Y144" s="88"/>
      <c r="Z144" s="88" t="str">
        <f aca="false">IF(SUM($K144,$Y144)=0,"",MIN(SUM($Y144),IFERROR(SUM($M144)/(SUM($K144)-SUM($L144)),1)))</f>
        <v/>
      </c>
      <c r="AA144" s="10" t="str">
        <f aca="false">$T144</f>
        <v/>
      </c>
      <c r="AB144" s="39" t="str">
        <f aca="false">IF(SUM($AA144)=0,"",IF(AND(SUM($AA144)&gt;0,$X144=""),"ENTER KNOWN POSITIVITY RATE",ROUND($AA144*$X144,0)))</f>
        <v/>
      </c>
      <c r="AC144" s="39" t="str">
        <f aca="false">IF(SUM($AA144)=0,"",IF(AND((SUM($AA144)-SUM($AB144))&gt;0,$Z144=""),"ENTER YIELD RATE",ROUND(($AA144-SUM($AB144))*$Z144,0)))</f>
        <v/>
      </c>
      <c r="AD144" s="39" t="str">
        <f aca="false">IF(SUM($AA144)=0,"",$AA144-SUM($AB144)-SUM($AC144))</f>
        <v/>
      </c>
      <c r="AE144" s="10" t="str">
        <f aca="false">$V144</f>
        <v/>
      </c>
      <c r="AF144" s="39" t="str">
        <f aca="false">IF(SUM($AE144)=0,"",ROUND($AE144*SUM($X144),0))</f>
        <v/>
      </c>
      <c r="AG144" s="39" t="str">
        <f aca="false">IF(SUM($AE144)=0,"",ROUND(($AE144-SUM($AF144))*SUM($Z144),0))</f>
        <v/>
      </c>
      <c r="AH144" s="39" t="str">
        <f aca="false">IF(SUM($AE144)=0,"",$AE144-SUM($AF144)-SUM($AG144))</f>
        <v/>
      </c>
      <c r="AI144" s="88" t="str">
        <f aca="false">IF(SUM($AC144)=0,"",INDEX(Cascade!$BG:$BG,MATCH($E144,Cascade!$E:$E,0)))</f>
        <v/>
      </c>
      <c r="AJ144" s="39" t="str">
        <f aca="false">$AB144</f>
        <v/>
      </c>
      <c r="AK144" s="39" t="str">
        <f aca="false">IF(SUM($AC144)=0,"",IF(AND($AI144="",SUM($AC144)&gt;0),"&lt;- Enter Linkage Rate",ROUND($AC144*$AI144,0)))</f>
        <v/>
      </c>
      <c r="AL144" s="39" t="str">
        <f aca="false">IF(SUM($AF144,$AG144)=0,"",SUM($AF144,$AG144))</f>
        <v/>
      </c>
      <c r="AM144" s="39" t="str">
        <f aca="false">$AF144</f>
        <v/>
      </c>
      <c r="AN144" s="39" t="str">
        <f aca="false">IF(SUM($AG144)=0,"",ROUND($AG144*SUM($AI144),0))</f>
        <v/>
      </c>
      <c r="AO144" s="10" t="str">
        <f aca="false">IFERROR(1/(1/MAX(SUM($T144)-SUM($AB144,$AC144),$AD144)),"")</f>
        <v/>
      </c>
      <c r="AP144" s="88"/>
      <c r="AQ144" s="88" t="str">
        <f aca="false">IF($AP144="","",$AP144)</f>
        <v/>
      </c>
      <c r="AR144" s="88" t="str">
        <f aca="false">IF(SUM($AO144)=0,"",INDEX(Cascade!$BG:$BG,MATCH($E144,Cascade!$E:$E,0)))</f>
        <v/>
      </c>
      <c r="AS144" s="39" t="str">
        <f aca="false">IF(SUM($AO144)=0,"",IF(AND(SUM($AO144)&gt;0,$AQ144=""),"ENTER YIELD RATE",ROUND($AO144*$AQ144,0)))</f>
        <v/>
      </c>
      <c r="AT144" s="39" t="str">
        <f aca="false">IF(SUM($AO144)=0,"",$AO144-SUM($AS144))</f>
        <v/>
      </c>
      <c r="AU144" s="10" t="str">
        <f aca="false">IF(SUM($AS144)=0,"",ROUND($AS144*$AR144,0))</f>
        <v/>
      </c>
      <c r="AV144" s="10" t="str">
        <f aca="false">IFERROR(1/(1/SUM($AC144,$AB144,$AS144)),"")</f>
        <v/>
      </c>
      <c r="AW144" s="10" t="str">
        <f aca="false">IFERROR(1/(1/INDEX(Cascade!$BH:$BH,MATCH($E144,Cascade!$E:$E,0))),"")</f>
        <v/>
      </c>
      <c r="AX144" s="10" t="str">
        <f aca="false">IF(SUM($AC144)=0,"",$AC144)</f>
        <v/>
      </c>
      <c r="AY144" s="10" t="str">
        <f aca="false">IF(SUM($AS144)=0,"",$AS144)</f>
        <v/>
      </c>
      <c r="AZ144" s="10" t="str">
        <f aca="false">IFERROR(1/(1/INDEX(TB!$P:$P,MATCH($E144,TB!$E:$E,0))),"")</f>
        <v/>
      </c>
      <c r="BA144" s="10" t="str">
        <f aca="false">IFERROR(1/(1/(SUM($AW144)-SUM($AX144:$AZ144))),"")</f>
        <v/>
      </c>
    </row>
    <row r="145" customFormat="false" ht="15" hidden="false" customHeight="false" outlineLevel="0" collapsed="false">
      <c r="A145" s="0" t="str">
        <f aca="false">INDEX(Prioritization!$D:$D,MATCH($B145,Prioritization!$A:$A,0))</f>
        <v>INVALID</v>
      </c>
      <c r="B145" s="0" t="s">
        <v>220</v>
      </c>
      <c r="C145" s="0" t="s">
        <v>364</v>
      </c>
      <c r="D145" s="0" t="s">
        <v>30</v>
      </c>
      <c r="E145" s="0" t="str">
        <f aca="false">B145&amp;"|"&amp;C145&amp;"|"&amp;D145</f>
        <v>Phalombe District [AZyWpGzhcaA]|10-14|Female</v>
      </c>
      <c r="F145" s="10" t="n">
        <f aca="false">IF(LEFT($B145,4)="_Mil","",INDEX(Cascade!$T:$T,MATCH($E145,Cascade!$E:$E,0)))</f>
        <v>678</v>
      </c>
      <c r="G145" s="10" t="str">
        <f aca="false">IF(LEFT($B145,4)="_Mil","",INDEX(Cascade!$U:$U,MATCH($E145,Cascade!$E:$E,0)))</f>
        <v/>
      </c>
      <c r="H145" s="86" t="n">
        <f aca="false">IF(LEFT($B145,4)="_Mil","",INDEX(Cascade!$W:$W,MATCH($E145,Cascade!$E:$E,0)))</f>
        <v>1592</v>
      </c>
      <c r="I145" s="10" t="n">
        <f aca="false">IF(LEFT($B145,4)="_Mil","",INDEX(Cascade!$Z:$Z,MATCH($E145,Cascade!$E:$E,0)))</f>
        <v>1484</v>
      </c>
      <c r="J145" s="88" t="n">
        <f aca="false">IF(LEFT($B145,4)="_Mil","",INDEX(Cascade!$AA:$AA,MATCH($E145,Cascade!$E:$E,0)))</f>
        <v>858</v>
      </c>
      <c r="K145" s="39" t="str">
        <f aca="false">IF(LEFT($B145,4)="_Mil","",_xlfn.IFNA(ROUND(INDEX(Spectrum!$N:$N,MATCH(RIGHT($B145,13)&amp;"|"&amp;$C145&amp;"|"&amp;$D145&amp;"|"&amp;K$14&amp;"|"&amp;"CY2023Q3",Spectrum!$R:$R,0)),0),""))</f>
        <v/>
      </c>
      <c r="L145" s="39" t="str">
        <f aca="false">IF(LEFT($B145,4)="_Mil","",_xlfn.IFNA(ROUND(INDEX(Spectrum!$N:$N,MATCH(RIGHT($B145,13)&amp;"|"&amp;$C145&amp;"|"&amp;$D145&amp;"|"&amp;L$14&amp;"|"&amp;"CY2023Q3",Spectrum!$R:$R,0)),0),""))</f>
        <v/>
      </c>
      <c r="M145" s="39" t="str">
        <f aca="false">IF(LEFT($B145,4)="_Mil","",_xlfn.IFNA(ROUND(INDEX(Spectrum!$N:$N,MATCH(RIGHT($B145,13)&amp;"|"&amp;$C145&amp;"|"&amp;$D145&amp;"|"&amp;M$14&amp;"|"&amp;"CY2023Q3",Spectrum!$R:$R,0)),0),""))</f>
        <v/>
      </c>
      <c r="N145" s="39" t="str">
        <f aca="false">IF(LEFT($B145,4)="_Mil","",_xlfn.IFNA(ROUND(INDEX(Spectrum!$N:$N,MATCH(RIGHT($B145,13)&amp;"|"&amp;$C145&amp;"|"&amp;$D145&amp;"|"&amp;N$14&amp;"|"&amp;"CY2023Q3",Spectrum!$R:$R,0)),0),""))</f>
        <v/>
      </c>
      <c r="O145" s="39" t="str">
        <f aca="false">IF(LEFT($B145,4)="_Mil","",_xlfn.IFNA(ROUND(INDEX(Spectrum!$N:$N,MATCH(RIGHT($B145,13)&amp;"|"&amp;$C145&amp;"|"&amp;$D145&amp;"|"&amp;O$14&amp;"|"&amp;"CY2023Q3",Spectrum!$R:$R,0)),0),""))</f>
        <v/>
      </c>
      <c r="P145" s="39" t="str">
        <f aca="false">IF(LEFT($B145,4)="_Mil","",_xlfn.IFNA(ROUND(INDEX(Spectrum!$N:$N,MATCH(RIGHT($B145,13)&amp;"|"&amp;$C145&amp;"|"&amp;$D145&amp;"|"&amp;P$14&amp;"|"&amp;"CY2023Q3",Spectrum!$R:$R,0)),0),""))</f>
        <v/>
      </c>
      <c r="Q145" s="39" t="str">
        <f aca="false">IF(LEFT($B145,4)="_Mil","",_xlfn.IFNA(ROUND(INDEX(Spectrum!$N:$N,MATCH(RIGHT($B145,13)&amp;"|"&amp;$C145&amp;"|"&amp;$D145&amp;"|"&amp;Q$14&amp;"|"&amp;"CY2022Q3",Spectrum!$R:$R,0)),0),""))</f>
        <v/>
      </c>
      <c r="R145" s="10" t="n">
        <v>4</v>
      </c>
      <c r="S145" s="88" t="n">
        <f aca="false">0</f>
        <v>0</v>
      </c>
      <c r="T145" s="39" t="n">
        <f aca="false">IF(SUM($R145)=0,"",ROUND($R145*(1+$S145),0))</f>
        <v>4</v>
      </c>
      <c r="U145" s="88" t="n">
        <f aca="false">IF(LEFT($B145,4)="_Mil","",IF(SUM($K145)=0,IF(SUM($R145)=0,"",1),MIN($R145/$K145,1)))</f>
        <v>1</v>
      </c>
      <c r="V145" s="39" t="n">
        <f aca="false">IF(OR(SUM($T145)=0,LEFT($B145,4)="_Mil"),"",ROUND($T145/$U145,0))</f>
        <v>4</v>
      </c>
      <c r="W145" s="88" t="n">
        <v>0.654156106291339</v>
      </c>
      <c r="X145" s="88" t="n">
        <f aca="false">IF(SUM($K145,$W145)=0,"",MAX(IFERROR(SUM($L145)/$K145,0),SUM($W145)))</f>
        <v>0.654156106291339</v>
      </c>
      <c r="Y145" s="88"/>
      <c r="Z145" s="88" t="str">
        <f aca="false">IF(SUM($K145,$Y145)=0,"",MIN(SUM($Y145),IFERROR(SUM($M145)/(SUM($K145)-SUM($L145)),1)))</f>
        <v/>
      </c>
      <c r="AA145" s="10" t="n">
        <f aca="false">$T145</f>
        <v>4</v>
      </c>
      <c r="AB145" s="39" t="n">
        <f aca="false">IF(SUM($AA145)=0,"",IF(AND(SUM($AA145)&gt;0,$X145=""),"ENTER KNOWN POSITIVITY RATE",ROUND($AA145*$X145,0)))</f>
        <v>3</v>
      </c>
      <c r="AC145" s="39" t="str">
        <f aca="false">IF(SUM($AA145)=0,"",IF(AND((SUM($AA145)-SUM($AB145))&gt;0,$Z145=""),"ENTER YIELD RATE",ROUND(($AA145-SUM($AB145))*$Z145,0)))</f>
        <v>ENTER YIELD RATE</v>
      </c>
      <c r="AD145" s="39" t="n">
        <f aca="false">IF(SUM($AA145)=0,"",$AA145-SUM($AB145)-SUM($AC145))</f>
        <v>1</v>
      </c>
      <c r="AE145" s="10" t="n">
        <f aca="false">$V145</f>
        <v>4</v>
      </c>
      <c r="AF145" s="39" t="n">
        <f aca="false">IF(SUM($AE145)=0,"",ROUND($AE145*SUM($X145),0))</f>
        <v>3</v>
      </c>
      <c r="AG145" s="39" t="n">
        <f aca="false">IF(SUM($AE145)=0,"",ROUND(($AE145-SUM($AF145))*SUM($Z145),0))</f>
        <v>0</v>
      </c>
      <c r="AH145" s="39" t="n">
        <f aca="false">IF(SUM($AE145)=0,"",$AE145-SUM($AF145)-SUM($AG145))</f>
        <v>1</v>
      </c>
      <c r="AI145" s="88" t="str">
        <f aca="false">IF(SUM($AC145)=0,"",INDEX(Cascade!$BG:$BG,MATCH($E145,Cascade!$E:$E,0)))</f>
        <v/>
      </c>
      <c r="AJ145" s="39" t="n">
        <f aca="false">$AB145</f>
        <v>3</v>
      </c>
      <c r="AK145" s="39" t="str">
        <f aca="false">IF(SUM($AC145)=0,"",IF(AND($AI145="",SUM($AC145)&gt;0),"&lt;- Enter Linkage Rate",ROUND($AC145*$AI145,0)))</f>
        <v/>
      </c>
      <c r="AL145" s="39" t="n">
        <f aca="false">IF(SUM($AF145,$AG145)=0,"",SUM($AF145,$AG145))</f>
        <v>3</v>
      </c>
      <c r="AM145" s="39" t="n">
        <f aca="false">$AF145</f>
        <v>3</v>
      </c>
      <c r="AN145" s="39" t="str">
        <f aca="false">IF(SUM($AG145)=0,"",ROUND($AG145*SUM($AI145),0))</f>
        <v/>
      </c>
      <c r="AO145" s="10" t="n">
        <f aca="false">IFERROR(1/(1/MAX(SUM($T145)-SUM($AB145,$AC145),$AD145)),"")</f>
        <v>1</v>
      </c>
      <c r="AP145" s="88"/>
      <c r="AQ145" s="88" t="str">
        <f aca="false">IF($AP145="","",$AP145)</f>
        <v/>
      </c>
      <c r="AR145" s="88" t="n">
        <f aca="false">IF(SUM($AO145)=0,"",INDEX(Cascade!$BG:$BG,MATCH($E145,Cascade!$E:$E,0)))</f>
        <v>0.95</v>
      </c>
      <c r="AS145" s="39" t="str">
        <f aca="false">IF(SUM($AO145)=0,"",IF(AND(SUM($AO145)&gt;0,$AQ145=""),"ENTER YIELD RATE",ROUND($AO145*$AQ145,0)))</f>
        <v>ENTER YIELD RATE</v>
      </c>
      <c r="AT145" s="39" t="n">
        <f aca="false">IF(SUM($AO145)=0,"",$AO145-SUM($AS145))</f>
        <v>1</v>
      </c>
      <c r="AU145" s="10" t="str">
        <f aca="false">IF(SUM($AS145)=0,"",ROUND($AS145*$AR145,0))</f>
        <v/>
      </c>
      <c r="AV145" s="10" t="n">
        <f aca="false">IFERROR(1/(1/SUM($AC145,$AB145,$AS145)),"")</f>
        <v>3</v>
      </c>
      <c r="AW145" s="10" t="n">
        <f aca="false">IFERROR(1/(1/INDEX(Cascade!$BH:$BH,MATCH($E145,Cascade!$E:$E,0))),"")</f>
        <v>-68</v>
      </c>
      <c r="AX145" s="10" t="str">
        <f aca="false">IF(SUM($AC145)=0,"",$AC145)</f>
        <v/>
      </c>
      <c r="AY145" s="10" t="str">
        <f aca="false">IF(SUM($AS145)=0,"",$AS145)</f>
        <v/>
      </c>
      <c r="AZ145" s="10" t="str">
        <f aca="false">IFERROR(1/(1/INDEX(TB!$P:$P,MATCH($E145,TB!$E:$E,0))),"")</f>
        <v/>
      </c>
      <c r="BA145" s="10" t="n">
        <f aca="false">IFERROR(1/(1/(SUM($AW145)-SUM($AX145:$AZ145))),"")</f>
        <v>-68</v>
      </c>
    </row>
    <row r="146" customFormat="false" ht="15" hidden="false" customHeight="false" outlineLevel="0" collapsed="false">
      <c r="A146" s="0" t="str">
        <f aca="false">INDEX(Prioritization!$D:$D,MATCH($B146,Prioritization!$A:$A,0))</f>
        <v>INVALID</v>
      </c>
      <c r="B146" s="0" t="s">
        <v>220</v>
      </c>
      <c r="C146" s="0" t="s">
        <v>365</v>
      </c>
      <c r="D146" s="0" t="s">
        <v>30</v>
      </c>
      <c r="E146" s="0" t="str">
        <f aca="false">B146&amp;"|"&amp;C146&amp;"|"&amp;D146</f>
        <v>Phalombe District [AZyWpGzhcaA]|15-24|Female</v>
      </c>
      <c r="F146" s="10" t="n">
        <f aca="false">IF(LEFT($B146,4)="_Mil","",INDEX(Cascade!$T:$T,MATCH($E146,Cascade!$E:$E,0)))</f>
        <v>794</v>
      </c>
      <c r="G146" s="10" t="str">
        <f aca="false">IF(LEFT($B146,4)="_Mil","",INDEX(Cascade!$U:$U,MATCH($E146,Cascade!$E:$E,0)))</f>
        <v/>
      </c>
      <c r="H146" s="86" t="n">
        <f aca="false">IF(LEFT($B146,4)="_Mil","",INDEX(Cascade!$W:$W,MATCH($E146,Cascade!$E:$E,0)))</f>
        <v>1015</v>
      </c>
      <c r="I146" s="10" t="n">
        <f aca="false">IF(LEFT($B146,4)="_Mil","",INDEX(Cascade!$Z:$Z,MATCH($E146,Cascade!$E:$E,0)))</f>
        <v>652</v>
      </c>
      <c r="J146" s="88" t="n">
        <f aca="false">IF(LEFT($B146,4)="_Mil","",INDEX(Cascade!$AA:$AA,MATCH($E146,Cascade!$E:$E,0)))</f>
        <v>515</v>
      </c>
      <c r="K146" s="39" t="n">
        <f aca="false">IF(LEFT($B146,4)="_Mil","",_xlfn.IFNA(ROUND(INDEX(Spectrum!$N:$N,MATCH(RIGHT($B146,13)&amp;"|"&amp;$C146&amp;"|"&amp;$D146&amp;"|"&amp;K$14&amp;"|"&amp;"CY2023Q3",Spectrum!$R:$R,0)),0),""))</f>
        <v>1553</v>
      </c>
      <c r="L146" s="39" t="str">
        <f aca="false">IF(LEFT($B146,4)="_Mil","",_xlfn.IFNA(ROUND(INDEX(Spectrum!$N:$N,MATCH(RIGHT($B146,13)&amp;"|"&amp;$C146&amp;"|"&amp;$D146&amp;"|"&amp;L$14&amp;"|"&amp;"CY2023Q3",Spectrum!$R:$R,0)),0),""))</f>
        <v/>
      </c>
      <c r="M146" s="39" t="n">
        <f aca="false">IF(LEFT($B146,4)="_Mil","",_xlfn.IFNA(ROUND(INDEX(Spectrum!$N:$N,MATCH(RIGHT($B146,13)&amp;"|"&amp;$C146&amp;"|"&amp;$D146&amp;"|"&amp;M$14&amp;"|"&amp;"CY2023Q3",Spectrum!$R:$R,0)),0),""))</f>
        <v>1419</v>
      </c>
      <c r="N146" s="39" t="n">
        <f aca="false">IF(LEFT($B146,4)="_Mil","",_xlfn.IFNA(ROUND(INDEX(Spectrum!$N:$N,MATCH(RIGHT($B146,13)&amp;"|"&amp;$C146&amp;"|"&amp;$D146&amp;"|"&amp;N$14&amp;"|"&amp;"CY2023Q3",Spectrum!$R:$R,0)),0),""))</f>
        <v>1864</v>
      </c>
      <c r="O146" s="39" t="n">
        <f aca="false">IF(LEFT($B146,4)="_Mil","",_xlfn.IFNA(ROUND(INDEX(Spectrum!$N:$N,MATCH(RIGHT($B146,13)&amp;"|"&amp;$C146&amp;"|"&amp;$D146&amp;"|"&amp;O$14&amp;"|"&amp;"CY2023Q3",Spectrum!$R:$R,0)),0),""))</f>
        <v>1109</v>
      </c>
      <c r="P146" s="39" t="n">
        <f aca="false">IF(LEFT($B146,4)="_Mil","",_xlfn.IFNA(ROUND(INDEX(Spectrum!$N:$N,MATCH(RIGHT($B146,13)&amp;"|"&amp;$C146&amp;"|"&amp;$D146&amp;"|"&amp;P$14&amp;"|"&amp;"CY2023Q3",Spectrum!$R:$R,0)),0),""))</f>
        <v>1510</v>
      </c>
      <c r="Q146" s="39" t="str">
        <f aca="false">IF(LEFT($B146,4)="_Mil","",_xlfn.IFNA(ROUND(INDEX(Spectrum!$N:$N,MATCH(RIGHT($B146,13)&amp;"|"&amp;$C146&amp;"|"&amp;$D146&amp;"|"&amp;Q$14&amp;"|"&amp;"CY2022Q3",Spectrum!$R:$R,0)),0),""))</f>
        <v/>
      </c>
      <c r="R146" s="10"/>
      <c r="S146" s="88" t="n">
        <f aca="false">0</f>
        <v>0</v>
      </c>
      <c r="T146" s="39" t="str">
        <f aca="false">IF(SUM($R146)=0,"",ROUND($R146*(1+$S146),0))</f>
        <v/>
      </c>
      <c r="U146" s="88" t="n">
        <f aca="false">IF(LEFT($B146,4)="_Mil","",IF(SUM($K146)=0,IF(SUM($R146)=0,"",1),MIN($R146/$K146,1)))</f>
        <v>0</v>
      </c>
      <c r="V146" s="39" t="str">
        <f aca="false">IF(OR(SUM($T146)=0,LEFT($B146,4)="_Mil"),"",ROUND($T146/$U146,0))</f>
        <v/>
      </c>
      <c r="W146" s="88"/>
      <c r="X146" s="88" t="n">
        <f aca="false">IF(SUM($K146,$W146)=0,"",MAX(IFERROR(SUM($L146)/$K146,0),SUM($W146)))</f>
        <v>0</v>
      </c>
      <c r="Y146" s="88"/>
      <c r="Z146" s="88" t="n">
        <f aca="false">IF(SUM($K146,$Y146)=0,"",MIN(SUM($Y146),IFERROR(SUM($M146)/(SUM($K146)-SUM($L146)),1)))</f>
        <v>0</v>
      </c>
      <c r="AA146" s="10" t="str">
        <f aca="false">$T146</f>
        <v/>
      </c>
      <c r="AB146" s="39" t="str">
        <f aca="false">IF(SUM($AA146)=0,"",IF(AND(SUM($AA146)&gt;0,$X146=""),"ENTER KNOWN POSITIVITY RATE",ROUND($AA146*$X146,0)))</f>
        <v/>
      </c>
      <c r="AC146" s="39" t="str">
        <f aca="false">IF(SUM($AA146)=0,"",IF(AND((SUM($AA146)-SUM($AB146))&gt;0,$Z146=""),"ENTER YIELD RATE",ROUND(($AA146-SUM($AB146))*$Z146,0)))</f>
        <v/>
      </c>
      <c r="AD146" s="39" t="str">
        <f aca="false">IF(SUM($AA146)=0,"",$AA146-SUM($AB146)-SUM($AC146))</f>
        <v/>
      </c>
      <c r="AE146" s="10" t="str">
        <f aca="false">$V146</f>
        <v/>
      </c>
      <c r="AF146" s="39" t="str">
        <f aca="false">IF(SUM($AE146)=0,"",ROUND($AE146*SUM($X146),0))</f>
        <v/>
      </c>
      <c r="AG146" s="39" t="str">
        <f aca="false">IF(SUM($AE146)=0,"",ROUND(($AE146-SUM($AF146))*SUM($Z146),0))</f>
        <v/>
      </c>
      <c r="AH146" s="39" t="str">
        <f aca="false">IF(SUM($AE146)=0,"",$AE146-SUM($AF146)-SUM($AG146))</f>
        <v/>
      </c>
      <c r="AI146" s="88" t="str">
        <f aca="false">IF(SUM($AC146)=0,"",INDEX(Cascade!$BG:$BG,MATCH($E146,Cascade!$E:$E,0)))</f>
        <v/>
      </c>
      <c r="AJ146" s="39" t="str">
        <f aca="false">$AB146</f>
        <v/>
      </c>
      <c r="AK146" s="39" t="str">
        <f aca="false">IF(SUM($AC146)=0,"",IF(AND($AI146="",SUM($AC146)&gt;0),"&lt;- Enter Linkage Rate",ROUND($AC146*$AI146,0)))</f>
        <v/>
      </c>
      <c r="AL146" s="39" t="str">
        <f aca="false">IF(SUM($AF146,$AG146)=0,"",SUM($AF146,$AG146))</f>
        <v/>
      </c>
      <c r="AM146" s="39" t="str">
        <f aca="false">$AF146</f>
        <v/>
      </c>
      <c r="AN146" s="39" t="str">
        <f aca="false">IF(SUM($AG146)=0,"",ROUND($AG146*SUM($AI146),0))</f>
        <v/>
      </c>
      <c r="AO146" s="10" t="str">
        <f aca="false">IFERROR(1/(1/MAX(SUM($T146)-SUM($AB146,$AC146),$AD146)),"")</f>
        <v/>
      </c>
      <c r="AP146" s="88"/>
      <c r="AQ146" s="88" t="str">
        <f aca="false">IF($AP146="","",$AP146)</f>
        <v/>
      </c>
      <c r="AR146" s="88" t="str">
        <f aca="false">IF(SUM($AO146)=0,"",INDEX(Cascade!$BG:$BG,MATCH($E146,Cascade!$E:$E,0)))</f>
        <v/>
      </c>
      <c r="AS146" s="39" t="str">
        <f aca="false">IF(SUM($AO146)=0,"",IF(AND(SUM($AO146)&gt;0,$AQ146=""),"ENTER YIELD RATE",ROUND($AO146*$AQ146,0)))</f>
        <v/>
      </c>
      <c r="AT146" s="39" t="str">
        <f aca="false">IF(SUM($AO146)=0,"",$AO146-SUM($AS146))</f>
        <v/>
      </c>
      <c r="AU146" s="10" t="str">
        <f aca="false">IF(SUM($AS146)=0,"",ROUND($AS146*$AR146,0))</f>
        <v/>
      </c>
      <c r="AV146" s="10" t="str">
        <f aca="false">IFERROR(1/(1/SUM($AC146,$AB146,$AS146)),"")</f>
        <v/>
      </c>
      <c r="AW146" s="10" t="str">
        <f aca="false">IFERROR(1/(1/INDEX(Cascade!$BH:$BH,MATCH($E146,Cascade!$E:$E,0))),"")</f>
        <v/>
      </c>
      <c r="AX146" s="10" t="str">
        <f aca="false">IF(SUM($AC146)=0,"",$AC146)</f>
        <v/>
      </c>
      <c r="AY146" s="10" t="str">
        <f aca="false">IF(SUM($AS146)=0,"",$AS146)</f>
        <v/>
      </c>
      <c r="AZ146" s="10" t="str">
        <f aca="false">IFERROR(1/(1/INDEX(TB!$P:$P,MATCH($E146,TB!$E:$E,0))),"")</f>
        <v/>
      </c>
      <c r="BA146" s="10" t="str">
        <f aca="false">IFERROR(1/(1/(SUM($AW146)-SUM($AX146:$AZ146))),"")</f>
        <v/>
      </c>
    </row>
    <row r="147" customFormat="false" ht="15" hidden="false" customHeight="false" outlineLevel="0" collapsed="false">
      <c r="A147" s="0" t="str">
        <f aca="false">INDEX(Prioritization!$D:$D,MATCH($B147,Prioritization!$A:$A,0))</f>
        <v>INVALID</v>
      </c>
      <c r="B147" s="0" t="s">
        <v>220</v>
      </c>
      <c r="C147" s="0" t="s">
        <v>366</v>
      </c>
      <c r="D147" s="0" t="s">
        <v>30</v>
      </c>
      <c r="E147" s="0" t="str">
        <f aca="false">B147&amp;"|"&amp;C147&amp;"|"&amp;D147</f>
        <v>Phalombe District [AZyWpGzhcaA]|25-34|Female</v>
      </c>
      <c r="F147" s="10" t="n">
        <f aca="false">IF(LEFT($B147,4)="_Mil","",INDEX(Cascade!$T:$T,MATCH($E147,Cascade!$E:$E,0)))</f>
        <v>1593</v>
      </c>
      <c r="G147" s="10" t="str">
        <f aca="false">IF(LEFT($B147,4)="_Mil","",INDEX(Cascade!$U:$U,MATCH($E147,Cascade!$E:$E,0)))</f>
        <v/>
      </c>
      <c r="H147" s="86" t="n">
        <f aca="false">IF(LEFT($B147,4)="_Mil","",INDEX(Cascade!$W:$W,MATCH($E147,Cascade!$E:$E,0)))</f>
        <v>1352</v>
      </c>
      <c r="I147" s="10" t="n">
        <f aca="false">IF(LEFT($B147,4)="_Mil","",INDEX(Cascade!$Z:$Z,MATCH($E147,Cascade!$E:$E,0)))</f>
        <v>638</v>
      </c>
      <c r="J147" s="88" t="n">
        <f aca="false">IF(LEFT($B147,4)="_Mil","",INDEX(Cascade!$AA:$AA,MATCH($E147,Cascade!$E:$E,0)))</f>
        <v>1966</v>
      </c>
      <c r="K147" s="39" t="n">
        <f aca="false">IF(LEFT($B147,4)="_Mil","",_xlfn.IFNA(ROUND(INDEX(Spectrum!$N:$N,MATCH(RIGHT($B147,13)&amp;"|"&amp;$C147&amp;"|"&amp;$D147&amp;"|"&amp;K$14&amp;"|"&amp;"CY2023Q3",Spectrum!$R:$R,0)),0),""))</f>
        <v>1972</v>
      </c>
      <c r="L147" s="39" t="str">
        <f aca="false">IF(LEFT($B147,4)="_Mil","",_xlfn.IFNA(ROUND(INDEX(Spectrum!$N:$N,MATCH(RIGHT($B147,13)&amp;"|"&amp;$C147&amp;"|"&amp;$D147&amp;"|"&amp;L$14&amp;"|"&amp;"CY2023Q3",Spectrum!$R:$R,0)),0),""))</f>
        <v/>
      </c>
      <c r="M147" s="39" t="n">
        <f aca="false">IF(LEFT($B147,4)="_Mil","",_xlfn.IFNA(ROUND(INDEX(Spectrum!$N:$N,MATCH(RIGHT($B147,13)&amp;"|"&amp;$C147&amp;"|"&amp;$D147&amp;"|"&amp;M$14&amp;"|"&amp;"CY2023Q3",Spectrum!$R:$R,0)),0),""))</f>
        <v>1827</v>
      </c>
      <c r="N147" s="39" t="n">
        <f aca="false">IF(LEFT($B147,4)="_Mil","",_xlfn.IFNA(ROUND(INDEX(Spectrum!$N:$N,MATCH(RIGHT($B147,13)&amp;"|"&amp;$C147&amp;"|"&amp;$D147&amp;"|"&amp;N$14&amp;"|"&amp;"CY2023Q3",Spectrum!$R:$R,0)),0),""))</f>
        <v>1376</v>
      </c>
      <c r="O147" s="39" t="n">
        <f aca="false">IF(LEFT($B147,4)="_Mil","",_xlfn.IFNA(ROUND(INDEX(Spectrum!$N:$N,MATCH(RIGHT($B147,13)&amp;"|"&amp;$C147&amp;"|"&amp;$D147&amp;"|"&amp;O$14&amp;"|"&amp;"CY2023Q3",Spectrum!$R:$R,0)),0),""))</f>
        <v>504</v>
      </c>
      <c r="P147" s="39" t="n">
        <f aca="false">IF(LEFT($B147,4)="_Mil","",_xlfn.IFNA(ROUND(INDEX(Spectrum!$N:$N,MATCH(RIGHT($B147,13)&amp;"|"&amp;$C147&amp;"|"&amp;$D147&amp;"|"&amp;P$14&amp;"|"&amp;"CY2023Q3",Spectrum!$R:$R,0)),0),""))</f>
        <v>713</v>
      </c>
      <c r="Q147" s="39" t="str">
        <f aca="false">IF(LEFT($B147,4)="_Mil","",_xlfn.IFNA(ROUND(INDEX(Spectrum!$N:$N,MATCH(RIGHT($B147,13)&amp;"|"&amp;$C147&amp;"|"&amp;$D147&amp;"|"&amp;Q$14&amp;"|"&amp;"CY2022Q3",Spectrum!$R:$R,0)),0),""))</f>
        <v/>
      </c>
      <c r="R147" s="10"/>
      <c r="S147" s="88" t="n">
        <f aca="false">0</f>
        <v>0</v>
      </c>
      <c r="T147" s="39" t="str">
        <f aca="false">IF(SUM($R147)=0,"",ROUND($R147*(1+$S147),0))</f>
        <v/>
      </c>
      <c r="U147" s="88" t="n">
        <f aca="false">IF(LEFT($B147,4)="_Mil","",IF(SUM($K147)=0,IF(SUM($R147)=0,"",1),MIN($R147/$K147,1)))</f>
        <v>0</v>
      </c>
      <c r="V147" s="39" t="str">
        <f aca="false">IF(OR(SUM($T147)=0,LEFT($B147,4)="_Mil"),"",ROUND($T147/$U147,0))</f>
        <v/>
      </c>
      <c r="W147" s="88"/>
      <c r="X147" s="88" t="n">
        <f aca="false">IF(SUM($K147,$W147)=0,"",MAX(IFERROR(SUM($L147)/$K147,0),SUM($W147)))</f>
        <v>0</v>
      </c>
      <c r="Y147" s="88"/>
      <c r="Z147" s="88" t="n">
        <f aca="false">IF(SUM($K147,$Y147)=0,"",MIN(SUM($Y147),IFERROR(SUM($M147)/(SUM($K147)-SUM($L147)),1)))</f>
        <v>0</v>
      </c>
      <c r="AA147" s="10" t="str">
        <f aca="false">$T147</f>
        <v/>
      </c>
      <c r="AB147" s="39" t="str">
        <f aca="false">IF(SUM($AA147)=0,"",IF(AND(SUM($AA147)&gt;0,$X147=""),"ENTER KNOWN POSITIVITY RATE",ROUND($AA147*$X147,0)))</f>
        <v/>
      </c>
      <c r="AC147" s="39" t="str">
        <f aca="false">IF(SUM($AA147)=0,"",IF(AND((SUM($AA147)-SUM($AB147))&gt;0,$Z147=""),"ENTER YIELD RATE",ROUND(($AA147-SUM($AB147))*$Z147,0)))</f>
        <v/>
      </c>
      <c r="AD147" s="39" t="str">
        <f aca="false">IF(SUM($AA147)=0,"",$AA147-SUM($AB147)-SUM($AC147))</f>
        <v/>
      </c>
      <c r="AE147" s="10" t="str">
        <f aca="false">$V147</f>
        <v/>
      </c>
      <c r="AF147" s="39" t="str">
        <f aca="false">IF(SUM($AE147)=0,"",ROUND($AE147*SUM($X147),0))</f>
        <v/>
      </c>
      <c r="AG147" s="39" t="str">
        <f aca="false">IF(SUM($AE147)=0,"",ROUND(($AE147-SUM($AF147))*SUM($Z147),0))</f>
        <v/>
      </c>
      <c r="AH147" s="39" t="str">
        <f aca="false">IF(SUM($AE147)=0,"",$AE147-SUM($AF147)-SUM($AG147))</f>
        <v/>
      </c>
      <c r="AI147" s="88" t="str">
        <f aca="false">IF(SUM($AC147)=0,"",INDEX(Cascade!$BG:$BG,MATCH($E147,Cascade!$E:$E,0)))</f>
        <v/>
      </c>
      <c r="AJ147" s="39" t="str">
        <f aca="false">$AB147</f>
        <v/>
      </c>
      <c r="AK147" s="39" t="str">
        <f aca="false">IF(SUM($AC147)=0,"",IF(AND($AI147="",SUM($AC147)&gt;0),"&lt;- Enter Linkage Rate",ROUND($AC147*$AI147,0)))</f>
        <v/>
      </c>
      <c r="AL147" s="39" t="str">
        <f aca="false">IF(SUM($AF147,$AG147)=0,"",SUM($AF147,$AG147))</f>
        <v/>
      </c>
      <c r="AM147" s="39" t="str">
        <f aca="false">$AF147</f>
        <v/>
      </c>
      <c r="AN147" s="39" t="str">
        <f aca="false">IF(SUM($AG147)=0,"",ROUND($AG147*SUM($AI147),0))</f>
        <v/>
      </c>
      <c r="AO147" s="10" t="str">
        <f aca="false">IFERROR(1/(1/MAX(SUM($T147)-SUM($AB147,$AC147),$AD147)),"")</f>
        <v/>
      </c>
      <c r="AP147" s="88"/>
      <c r="AQ147" s="88" t="str">
        <f aca="false">IF($AP147="","",$AP147)</f>
        <v/>
      </c>
      <c r="AR147" s="88" t="str">
        <f aca="false">IF(SUM($AO147)=0,"",INDEX(Cascade!$BG:$BG,MATCH($E147,Cascade!$E:$E,0)))</f>
        <v/>
      </c>
      <c r="AS147" s="39" t="str">
        <f aca="false">IF(SUM($AO147)=0,"",IF(AND(SUM($AO147)&gt;0,$AQ147=""),"ENTER YIELD RATE",ROUND($AO147*$AQ147,0)))</f>
        <v/>
      </c>
      <c r="AT147" s="39" t="str">
        <f aca="false">IF(SUM($AO147)=0,"",$AO147-SUM($AS147))</f>
        <v/>
      </c>
      <c r="AU147" s="10" t="str">
        <f aca="false">IF(SUM($AS147)=0,"",ROUND($AS147*$AR147,0))</f>
        <v/>
      </c>
      <c r="AV147" s="10" t="str">
        <f aca="false">IFERROR(1/(1/SUM($AC147,$AB147,$AS147)),"")</f>
        <v/>
      </c>
      <c r="AW147" s="10" t="str">
        <f aca="false">IFERROR(1/(1/INDEX(Cascade!$BH:$BH,MATCH($E147,Cascade!$E:$E,0))),"")</f>
        <v/>
      </c>
      <c r="AX147" s="10" t="str">
        <f aca="false">IF(SUM($AC147)=0,"",$AC147)</f>
        <v/>
      </c>
      <c r="AY147" s="10" t="str">
        <f aca="false">IF(SUM($AS147)=0,"",$AS147)</f>
        <v/>
      </c>
      <c r="AZ147" s="10" t="str">
        <f aca="false">IFERROR(1/(1/INDEX(TB!$P:$P,MATCH($E147,TB!$E:$E,0))),"")</f>
        <v/>
      </c>
      <c r="BA147" s="10" t="str">
        <f aca="false">IFERROR(1/(1/(SUM($AW147)-SUM($AX147:$AZ147))),"")</f>
        <v/>
      </c>
    </row>
    <row r="148" customFormat="false" ht="15" hidden="false" customHeight="false" outlineLevel="0" collapsed="false">
      <c r="A148" s="0" t="str">
        <f aca="false">INDEX(Prioritization!$D:$D,MATCH($B148,Prioritization!$A:$A,0))</f>
        <v>INVALID</v>
      </c>
      <c r="B148" s="0" t="s">
        <v>220</v>
      </c>
      <c r="C148" s="0" t="s">
        <v>367</v>
      </c>
      <c r="D148" s="0" t="s">
        <v>30</v>
      </c>
      <c r="E148" s="0" t="str">
        <f aca="false">B148&amp;"|"&amp;C148&amp;"|"&amp;D148</f>
        <v>Phalombe District [AZyWpGzhcaA]|35-49|Female</v>
      </c>
      <c r="F148" s="10" t="n">
        <f aca="false">IF(LEFT($B148,4)="_Mil","",INDEX(Cascade!$T:$T,MATCH($E148,Cascade!$E:$E,0)))</f>
        <v>1620</v>
      </c>
      <c r="G148" s="10" t="str">
        <f aca="false">IF(LEFT($B148,4)="_Mil","",INDEX(Cascade!$U:$U,MATCH($E148,Cascade!$E:$E,0)))</f>
        <v/>
      </c>
      <c r="H148" s="86" t="n">
        <f aca="false">IF(LEFT($B148,4)="_Mil","",INDEX(Cascade!$W:$W,MATCH($E148,Cascade!$E:$E,0)))</f>
        <v>1300</v>
      </c>
      <c r="I148" s="10" t="n">
        <f aca="false">IF(LEFT($B148,4)="_Mil","",INDEX(Cascade!$Z:$Z,MATCH($E148,Cascade!$E:$E,0)))</f>
        <v>1981</v>
      </c>
      <c r="J148" s="88" t="n">
        <f aca="false">IF(LEFT($B148,4)="_Mil","",INDEX(Cascade!$AA:$AA,MATCH($E148,Cascade!$E:$E,0)))</f>
        <v>643</v>
      </c>
      <c r="K148" s="39" t="n">
        <f aca="false">IF(LEFT($B148,4)="_Mil","",_xlfn.IFNA(ROUND(INDEX(Spectrum!$N:$N,MATCH(RIGHT($B148,13)&amp;"|"&amp;$C148&amp;"|"&amp;$D148&amp;"|"&amp;K$14&amp;"|"&amp;"CY2023Q3",Spectrum!$R:$R,0)),0),""))</f>
        <v>1926</v>
      </c>
      <c r="L148" s="39" t="str">
        <f aca="false">IF(LEFT($B148,4)="_Mil","",_xlfn.IFNA(ROUND(INDEX(Spectrum!$N:$N,MATCH(RIGHT($B148,13)&amp;"|"&amp;$C148&amp;"|"&amp;$D148&amp;"|"&amp;L$14&amp;"|"&amp;"CY2023Q3",Spectrum!$R:$R,0)),0),""))</f>
        <v/>
      </c>
      <c r="M148" s="39" t="n">
        <f aca="false">IF(LEFT($B148,4)="_Mil","",_xlfn.IFNA(ROUND(INDEX(Spectrum!$N:$N,MATCH(RIGHT($B148,13)&amp;"|"&amp;$C148&amp;"|"&amp;$D148&amp;"|"&amp;M$14&amp;"|"&amp;"CY2023Q3",Spectrum!$R:$R,0)),0),""))</f>
        <v>542</v>
      </c>
      <c r="N148" s="39" t="n">
        <f aca="false">IF(LEFT($B148,4)="_Mil","",_xlfn.IFNA(ROUND(INDEX(Spectrum!$N:$N,MATCH(RIGHT($B148,13)&amp;"|"&amp;$C148&amp;"|"&amp;$D148&amp;"|"&amp;N$14&amp;"|"&amp;"CY2023Q3",Spectrum!$R:$R,0)),0),""))</f>
        <v>1528</v>
      </c>
      <c r="O148" s="39" t="n">
        <f aca="false">IF(LEFT($B148,4)="_Mil","",_xlfn.IFNA(ROUND(INDEX(Spectrum!$N:$N,MATCH(RIGHT($B148,13)&amp;"|"&amp;$C148&amp;"|"&amp;$D148&amp;"|"&amp;O$14&amp;"|"&amp;"CY2023Q3",Spectrum!$R:$R,0)),0),""))</f>
        <v>1810</v>
      </c>
      <c r="P148" s="39" t="n">
        <f aca="false">IF(LEFT($B148,4)="_Mil","",_xlfn.IFNA(ROUND(INDEX(Spectrum!$N:$N,MATCH(RIGHT($B148,13)&amp;"|"&amp;$C148&amp;"|"&amp;$D148&amp;"|"&amp;P$14&amp;"|"&amp;"CY2023Q3",Spectrum!$R:$R,0)),0),""))</f>
        <v>596</v>
      </c>
      <c r="Q148" s="39" t="str">
        <f aca="false">IF(LEFT($B148,4)="_Mil","",_xlfn.IFNA(ROUND(INDEX(Spectrum!$N:$N,MATCH(RIGHT($B148,13)&amp;"|"&amp;$C148&amp;"|"&amp;$D148&amp;"|"&amp;Q$14&amp;"|"&amp;"CY2022Q3",Spectrum!$R:$R,0)),0),""))</f>
        <v/>
      </c>
      <c r="R148" s="10"/>
      <c r="S148" s="88" t="n">
        <f aca="false">0</f>
        <v>0</v>
      </c>
      <c r="T148" s="39" t="str">
        <f aca="false">IF(SUM($R148)=0,"",ROUND($R148*(1+$S148),0))</f>
        <v/>
      </c>
      <c r="U148" s="88" t="n">
        <f aca="false">IF(LEFT($B148,4)="_Mil","",IF(SUM($K148)=0,IF(SUM($R148)=0,"",1),MIN($R148/$K148,1)))</f>
        <v>0</v>
      </c>
      <c r="V148" s="39" t="str">
        <f aca="false">IF(OR(SUM($T148)=0,LEFT($B148,4)="_Mil"),"",ROUND($T148/$U148,0))</f>
        <v/>
      </c>
      <c r="W148" s="88"/>
      <c r="X148" s="88" t="n">
        <f aca="false">IF(SUM($K148,$W148)=0,"",MAX(IFERROR(SUM($L148)/$K148,0),SUM($W148)))</f>
        <v>0</v>
      </c>
      <c r="Y148" s="88"/>
      <c r="Z148" s="88" t="n">
        <f aca="false">IF(SUM($K148,$Y148)=0,"",MIN(SUM($Y148),IFERROR(SUM($M148)/(SUM($K148)-SUM($L148)),1)))</f>
        <v>0</v>
      </c>
      <c r="AA148" s="10" t="str">
        <f aca="false">$T148</f>
        <v/>
      </c>
      <c r="AB148" s="39" t="str">
        <f aca="false">IF(SUM($AA148)=0,"",IF(AND(SUM($AA148)&gt;0,$X148=""),"ENTER KNOWN POSITIVITY RATE",ROUND($AA148*$X148,0)))</f>
        <v/>
      </c>
      <c r="AC148" s="39" t="str">
        <f aca="false">IF(SUM($AA148)=0,"",IF(AND((SUM($AA148)-SUM($AB148))&gt;0,$Z148=""),"ENTER YIELD RATE",ROUND(($AA148-SUM($AB148))*$Z148,0)))</f>
        <v/>
      </c>
      <c r="AD148" s="39" t="str">
        <f aca="false">IF(SUM($AA148)=0,"",$AA148-SUM($AB148)-SUM($AC148))</f>
        <v/>
      </c>
      <c r="AE148" s="10" t="str">
        <f aca="false">$V148</f>
        <v/>
      </c>
      <c r="AF148" s="39" t="str">
        <f aca="false">IF(SUM($AE148)=0,"",ROUND($AE148*SUM($X148),0))</f>
        <v/>
      </c>
      <c r="AG148" s="39" t="str">
        <f aca="false">IF(SUM($AE148)=0,"",ROUND(($AE148-SUM($AF148))*SUM($Z148),0))</f>
        <v/>
      </c>
      <c r="AH148" s="39" t="str">
        <f aca="false">IF(SUM($AE148)=0,"",$AE148-SUM($AF148)-SUM($AG148))</f>
        <v/>
      </c>
      <c r="AI148" s="88" t="str">
        <f aca="false">IF(SUM($AC148)=0,"",INDEX(Cascade!$BG:$BG,MATCH($E148,Cascade!$E:$E,0)))</f>
        <v/>
      </c>
      <c r="AJ148" s="39" t="str">
        <f aca="false">$AB148</f>
        <v/>
      </c>
      <c r="AK148" s="39" t="str">
        <f aca="false">IF(SUM($AC148)=0,"",IF(AND($AI148="",SUM($AC148)&gt;0),"&lt;- Enter Linkage Rate",ROUND($AC148*$AI148,0)))</f>
        <v/>
      </c>
      <c r="AL148" s="39" t="str">
        <f aca="false">IF(SUM($AF148,$AG148)=0,"",SUM($AF148,$AG148))</f>
        <v/>
      </c>
      <c r="AM148" s="39" t="str">
        <f aca="false">$AF148</f>
        <v/>
      </c>
      <c r="AN148" s="39" t="str">
        <f aca="false">IF(SUM($AG148)=0,"",ROUND($AG148*SUM($AI148),0))</f>
        <v/>
      </c>
      <c r="AO148" s="10" t="str">
        <f aca="false">IFERROR(1/(1/MAX(SUM($T148)-SUM($AB148,$AC148),$AD148)),"")</f>
        <v/>
      </c>
      <c r="AP148" s="88"/>
      <c r="AQ148" s="88" t="str">
        <f aca="false">IF($AP148="","",$AP148)</f>
        <v/>
      </c>
      <c r="AR148" s="88" t="str">
        <f aca="false">IF(SUM($AO148)=0,"",INDEX(Cascade!$BG:$BG,MATCH($E148,Cascade!$E:$E,0)))</f>
        <v/>
      </c>
      <c r="AS148" s="39" t="str">
        <f aca="false">IF(SUM($AO148)=0,"",IF(AND(SUM($AO148)&gt;0,$AQ148=""),"ENTER YIELD RATE",ROUND($AO148*$AQ148,0)))</f>
        <v/>
      </c>
      <c r="AT148" s="39" t="str">
        <f aca="false">IF(SUM($AO148)=0,"",$AO148-SUM($AS148))</f>
        <v/>
      </c>
      <c r="AU148" s="10" t="str">
        <f aca="false">IF(SUM($AS148)=0,"",ROUND($AS148*$AR148,0))</f>
        <v/>
      </c>
      <c r="AV148" s="10" t="str">
        <f aca="false">IFERROR(1/(1/SUM($AC148,$AB148,$AS148)),"")</f>
        <v/>
      </c>
      <c r="AW148" s="10" t="str">
        <f aca="false">IFERROR(1/(1/INDEX(Cascade!$BH:$BH,MATCH($E148,Cascade!$E:$E,0))),"")</f>
        <v/>
      </c>
      <c r="AX148" s="10" t="str">
        <f aca="false">IF(SUM($AC148)=0,"",$AC148)</f>
        <v/>
      </c>
      <c r="AY148" s="10" t="str">
        <f aca="false">IF(SUM($AS148)=0,"",$AS148)</f>
        <v/>
      </c>
      <c r="AZ148" s="10" t="str">
        <f aca="false">IFERROR(1/(1/INDEX(TB!$P:$P,MATCH($E148,TB!$E:$E,0))),"")</f>
        <v/>
      </c>
      <c r="BA148" s="10" t="str">
        <f aca="false">IFERROR(1/(1/(SUM($AW148)-SUM($AX148:$AZ148))),"")</f>
        <v/>
      </c>
    </row>
    <row r="149" customFormat="false" ht="15" hidden="false" customHeight="false" outlineLevel="0" collapsed="false">
      <c r="A149" s="0" t="str">
        <f aca="false">INDEX(Prioritization!$D:$D,MATCH($B149,Prioritization!$A:$A,0))</f>
        <v>INVALID</v>
      </c>
      <c r="B149" s="0" t="s">
        <v>220</v>
      </c>
      <c r="C149" s="0" t="s">
        <v>368</v>
      </c>
      <c r="D149" s="0" t="s">
        <v>30</v>
      </c>
      <c r="E149" s="0" t="str">
        <f aca="false">B149&amp;"|"&amp;C149&amp;"|"&amp;D149</f>
        <v>Phalombe District [AZyWpGzhcaA]|50+|Female</v>
      </c>
      <c r="F149" s="10" t="n">
        <f aca="false">IF(LEFT($B149,4)="_Mil","",INDEX(Cascade!$T:$T,MATCH($E149,Cascade!$E:$E,0)))</f>
        <v>524</v>
      </c>
      <c r="G149" s="10" t="str">
        <f aca="false">IF(LEFT($B149,4)="_Mil","",INDEX(Cascade!$U:$U,MATCH($E149,Cascade!$E:$E,0)))</f>
        <v/>
      </c>
      <c r="H149" s="86" t="n">
        <f aca="false">IF(LEFT($B149,4)="_Mil","",INDEX(Cascade!$W:$W,MATCH($E149,Cascade!$E:$E,0)))</f>
        <v>1532</v>
      </c>
      <c r="I149" s="10" t="n">
        <f aca="false">IF(LEFT($B149,4)="_Mil","",INDEX(Cascade!$Z:$Z,MATCH($E149,Cascade!$E:$E,0)))</f>
        <v>962</v>
      </c>
      <c r="J149" s="88" t="n">
        <f aca="false">IF(LEFT($B149,4)="_Mil","",INDEX(Cascade!$AA:$AA,MATCH($E149,Cascade!$E:$E,0)))</f>
        <v>660</v>
      </c>
      <c r="K149" s="39" t="str">
        <f aca="false">IF(LEFT($B149,4)="_Mil","",_xlfn.IFNA(ROUND(INDEX(Spectrum!$N:$N,MATCH(RIGHT($B149,13)&amp;"|"&amp;$C149&amp;"|"&amp;$D149&amp;"|"&amp;K$14&amp;"|"&amp;"CY2023Q3",Spectrum!$R:$R,0)),0),""))</f>
        <v/>
      </c>
      <c r="L149" s="39" t="str">
        <f aca="false">IF(LEFT($B149,4)="_Mil","",_xlfn.IFNA(ROUND(INDEX(Spectrum!$N:$N,MATCH(RIGHT($B149,13)&amp;"|"&amp;$C149&amp;"|"&amp;$D149&amp;"|"&amp;L$14&amp;"|"&amp;"CY2023Q3",Spectrum!$R:$R,0)),0),""))</f>
        <v/>
      </c>
      <c r="M149" s="39" t="str">
        <f aca="false">IF(LEFT($B149,4)="_Mil","",_xlfn.IFNA(ROUND(INDEX(Spectrum!$N:$N,MATCH(RIGHT($B149,13)&amp;"|"&amp;$C149&amp;"|"&amp;$D149&amp;"|"&amp;M$14&amp;"|"&amp;"CY2023Q3",Spectrum!$R:$R,0)),0),""))</f>
        <v/>
      </c>
      <c r="N149" s="39" t="str">
        <f aca="false">IF(LEFT($B149,4)="_Mil","",_xlfn.IFNA(ROUND(INDEX(Spectrum!$N:$N,MATCH(RIGHT($B149,13)&amp;"|"&amp;$C149&amp;"|"&amp;$D149&amp;"|"&amp;N$14&amp;"|"&amp;"CY2023Q3",Spectrum!$R:$R,0)),0),""))</f>
        <v/>
      </c>
      <c r="O149" s="39" t="str">
        <f aca="false">IF(LEFT($B149,4)="_Mil","",_xlfn.IFNA(ROUND(INDEX(Spectrum!$N:$N,MATCH(RIGHT($B149,13)&amp;"|"&amp;$C149&amp;"|"&amp;$D149&amp;"|"&amp;O$14&amp;"|"&amp;"CY2023Q3",Spectrum!$R:$R,0)),0),""))</f>
        <v/>
      </c>
      <c r="P149" s="39" t="str">
        <f aca="false">IF(LEFT($B149,4)="_Mil","",_xlfn.IFNA(ROUND(INDEX(Spectrum!$N:$N,MATCH(RIGHT($B149,13)&amp;"|"&amp;$C149&amp;"|"&amp;$D149&amp;"|"&amp;P$14&amp;"|"&amp;"CY2023Q3",Spectrum!$R:$R,0)),0),""))</f>
        <v/>
      </c>
      <c r="Q149" s="39" t="str">
        <f aca="false">IF(LEFT($B149,4)="_Mil","",_xlfn.IFNA(ROUND(INDEX(Spectrum!$N:$N,MATCH(RIGHT($B149,13)&amp;"|"&amp;$C149&amp;"|"&amp;$D149&amp;"|"&amp;Q$14&amp;"|"&amp;"CY2022Q3",Spectrum!$R:$R,0)),0),""))</f>
        <v/>
      </c>
      <c r="R149" s="10"/>
      <c r="S149" s="88" t="n">
        <f aca="false">0</f>
        <v>0</v>
      </c>
      <c r="T149" s="39" t="str">
        <f aca="false">IF(SUM($R149)=0,"",ROUND($R149*(1+$S149),0))</f>
        <v/>
      </c>
      <c r="U149" s="88" t="str">
        <f aca="false">IF(LEFT($B149,4)="_Mil","",IF(SUM($K149)=0,IF(SUM($R149)=0,"",1),MIN($R149/$K149,1)))</f>
        <v/>
      </c>
      <c r="V149" s="39" t="str">
        <f aca="false">IF(OR(SUM($T149)=0,LEFT($B149,4)="_Mil"),"",ROUND($T149/$U149,0))</f>
        <v/>
      </c>
      <c r="W149" s="88"/>
      <c r="X149" s="88" t="str">
        <f aca="false">IF(SUM($K149,$W149)=0,"",MAX(IFERROR(SUM($L149)/$K149,0),SUM($W149)))</f>
        <v/>
      </c>
      <c r="Y149" s="88"/>
      <c r="Z149" s="88" t="str">
        <f aca="false">IF(SUM($K149,$Y149)=0,"",MIN(SUM($Y149),IFERROR(SUM($M149)/(SUM($K149)-SUM($L149)),1)))</f>
        <v/>
      </c>
      <c r="AA149" s="10" t="str">
        <f aca="false">$T149</f>
        <v/>
      </c>
      <c r="AB149" s="39" t="str">
        <f aca="false">IF(SUM($AA149)=0,"",IF(AND(SUM($AA149)&gt;0,$X149=""),"ENTER KNOWN POSITIVITY RATE",ROUND($AA149*$X149,0)))</f>
        <v/>
      </c>
      <c r="AC149" s="39" t="str">
        <f aca="false">IF(SUM($AA149)=0,"",IF(AND((SUM($AA149)-SUM($AB149))&gt;0,$Z149=""),"ENTER YIELD RATE",ROUND(($AA149-SUM($AB149))*$Z149,0)))</f>
        <v/>
      </c>
      <c r="AD149" s="39" t="str">
        <f aca="false">IF(SUM($AA149)=0,"",$AA149-SUM($AB149)-SUM($AC149))</f>
        <v/>
      </c>
      <c r="AE149" s="10" t="str">
        <f aca="false">$V149</f>
        <v/>
      </c>
      <c r="AF149" s="39" t="str">
        <f aca="false">IF(SUM($AE149)=0,"",ROUND($AE149*SUM($X149),0))</f>
        <v/>
      </c>
      <c r="AG149" s="39" t="str">
        <f aca="false">IF(SUM($AE149)=0,"",ROUND(($AE149-SUM($AF149))*SUM($Z149),0))</f>
        <v/>
      </c>
      <c r="AH149" s="39" t="str">
        <f aca="false">IF(SUM($AE149)=0,"",$AE149-SUM($AF149)-SUM($AG149))</f>
        <v/>
      </c>
      <c r="AI149" s="88" t="str">
        <f aca="false">IF(SUM($AC149)=0,"",INDEX(Cascade!$BG:$BG,MATCH($E149,Cascade!$E:$E,0)))</f>
        <v/>
      </c>
      <c r="AJ149" s="39" t="str">
        <f aca="false">$AB149</f>
        <v/>
      </c>
      <c r="AK149" s="39" t="str">
        <f aca="false">IF(SUM($AC149)=0,"",IF(AND($AI149="",SUM($AC149)&gt;0),"&lt;- Enter Linkage Rate",ROUND($AC149*$AI149,0)))</f>
        <v/>
      </c>
      <c r="AL149" s="39" t="str">
        <f aca="false">IF(SUM($AF149,$AG149)=0,"",SUM($AF149,$AG149))</f>
        <v/>
      </c>
      <c r="AM149" s="39" t="str">
        <f aca="false">$AF149</f>
        <v/>
      </c>
      <c r="AN149" s="39" t="str">
        <f aca="false">IF(SUM($AG149)=0,"",ROUND($AG149*SUM($AI149),0))</f>
        <v/>
      </c>
      <c r="AO149" s="10" t="str">
        <f aca="false">IFERROR(1/(1/MAX(SUM($T149)-SUM($AB149,$AC149),$AD149)),"")</f>
        <v/>
      </c>
      <c r="AP149" s="88"/>
      <c r="AQ149" s="88" t="str">
        <f aca="false">IF($AP149="","",$AP149)</f>
        <v/>
      </c>
      <c r="AR149" s="88" t="str">
        <f aca="false">IF(SUM($AO149)=0,"",INDEX(Cascade!$BG:$BG,MATCH($E149,Cascade!$E:$E,0)))</f>
        <v/>
      </c>
      <c r="AS149" s="39" t="str">
        <f aca="false">IF(SUM($AO149)=0,"",IF(AND(SUM($AO149)&gt;0,$AQ149=""),"ENTER YIELD RATE",ROUND($AO149*$AQ149,0)))</f>
        <v/>
      </c>
      <c r="AT149" s="39" t="str">
        <f aca="false">IF(SUM($AO149)=0,"",$AO149-SUM($AS149))</f>
        <v/>
      </c>
      <c r="AU149" s="10" t="str">
        <f aca="false">IF(SUM($AS149)=0,"",ROUND($AS149*$AR149,0))</f>
        <v/>
      </c>
      <c r="AV149" s="10" t="str">
        <f aca="false">IFERROR(1/(1/SUM($AC149,$AB149,$AS149)),"")</f>
        <v/>
      </c>
      <c r="AW149" s="10" t="str">
        <f aca="false">IFERROR(1/(1/INDEX(Cascade!$BH:$BH,MATCH($E149,Cascade!$E:$E,0))),"")</f>
        <v/>
      </c>
      <c r="AX149" s="10" t="str">
        <f aca="false">IF(SUM($AC149)=0,"",$AC149)</f>
        <v/>
      </c>
      <c r="AY149" s="10" t="str">
        <f aca="false">IF(SUM($AS149)=0,"",$AS149)</f>
        <v/>
      </c>
      <c r="AZ149" s="10" t="str">
        <f aca="false">IFERROR(1/(1/INDEX(TB!$P:$P,MATCH($E149,TB!$E:$E,0))),"")</f>
        <v/>
      </c>
      <c r="BA149" s="10" t="str">
        <f aca="false">IFERROR(1/(1/(SUM($AW149)-SUM($AX149:$AZ149))),"")</f>
        <v/>
      </c>
    </row>
    <row r="150" customFormat="false" ht="15" hidden="false" customHeight="false" outlineLevel="0" collapsed="false">
      <c r="A150" s="0" t="str">
        <f aca="false">INDEX(Prioritization!$D:$D,MATCH($B150,Prioritization!$A:$A,0))</f>
        <v>1 - Scale-up: Saturation</v>
      </c>
      <c r="B150" s="0" t="s">
        <v>221</v>
      </c>
      <c r="C150" s="0" t="s">
        <v>364</v>
      </c>
      <c r="D150" s="0" t="s">
        <v>30</v>
      </c>
      <c r="E150" s="0" t="str">
        <f aca="false">B150&amp;"|"&amp;C150&amp;"|"&amp;D150</f>
        <v>Thyolo District [ul0y9diGujK]|10-14|Female</v>
      </c>
      <c r="F150" s="10" t="n">
        <f aca="false">IF(LEFT($B150,4)="_Mil","",INDEX(Cascade!$T:$T,MATCH($E150,Cascade!$E:$E,0)))</f>
        <v>1158</v>
      </c>
      <c r="G150" s="10" t="str">
        <f aca="false">IF(LEFT($B150,4)="_Mil","",INDEX(Cascade!$U:$U,MATCH($E150,Cascade!$E:$E,0)))</f>
        <v/>
      </c>
      <c r="H150" s="86" t="n">
        <f aca="false">IF(LEFT($B150,4)="_Mil","",INDEX(Cascade!$W:$W,MATCH($E150,Cascade!$E:$E,0)))</f>
        <v>1415</v>
      </c>
      <c r="I150" s="10" t="n">
        <f aca="false">IF(LEFT($B150,4)="_Mil","",INDEX(Cascade!$Z:$Z,MATCH($E150,Cascade!$E:$E,0)))</f>
        <v>601</v>
      </c>
      <c r="J150" s="88" t="n">
        <f aca="false">IF(LEFT($B150,4)="_Mil","",INDEX(Cascade!$AA:$AA,MATCH($E150,Cascade!$E:$E,0)))</f>
        <v>680</v>
      </c>
      <c r="K150" s="39" t="str">
        <f aca="false">IF(LEFT($B150,4)="_Mil","",_xlfn.IFNA(ROUND(INDEX(Spectrum!$N:$N,MATCH(RIGHT($B150,13)&amp;"|"&amp;$C150&amp;"|"&amp;$D150&amp;"|"&amp;K$14&amp;"|"&amp;"CY2023Q3",Spectrum!$R:$R,0)),0),""))</f>
        <v/>
      </c>
      <c r="L150" s="39" t="str">
        <f aca="false">IF(LEFT($B150,4)="_Mil","",_xlfn.IFNA(ROUND(INDEX(Spectrum!$N:$N,MATCH(RIGHT($B150,13)&amp;"|"&amp;$C150&amp;"|"&amp;$D150&amp;"|"&amp;L$14&amp;"|"&amp;"CY2023Q3",Spectrum!$R:$R,0)),0),""))</f>
        <v/>
      </c>
      <c r="M150" s="39" t="str">
        <f aca="false">IF(LEFT($B150,4)="_Mil","",_xlfn.IFNA(ROUND(INDEX(Spectrum!$N:$N,MATCH(RIGHT($B150,13)&amp;"|"&amp;$C150&amp;"|"&amp;$D150&amp;"|"&amp;M$14&amp;"|"&amp;"CY2023Q3",Spectrum!$R:$R,0)),0),""))</f>
        <v/>
      </c>
      <c r="N150" s="39" t="str">
        <f aca="false">IF(LEFT($B150,4)="_Mil","",_xlfn.IFNA(ROUND(INDEX(Spectrum!$N:$N,MATCH(RIGHT($B150,13)&amp;"|"&amp;$C150&amp;"|"&amp;$D150&amp;"|"&amp;N$14&amp;"|"&amp;"CY2023Q3",Spectrum!$R:$R,0)),0),""))</f>
        <v/>
      </c>
      <c r="O150" s="39" t="str">
        <f aca="false">IF(LEFT($B150,4)="_Mil","",_xlfn.IFNA(ROUND(INDEX(Spectrum!$N:$N,MATCH(RIGHT($B150,13)&amp;"|"&amp;$C150&amp;"|"&amp;$D150&amp;"|"&amp;O$14&amp;"|"&amp;"CY2023Q3",Spectrum!$R:$R,0)),0),""))</f>
        <v/>
      </c>
      <c r="P150" s="39" t="str">
        <f aca="false">IF(LEFT($B150,4)="_Mil","",_xlfn.IFNA(ROUND(INDEX(Spectrum!$N:$N,MATCH(RIGHT($B150,13)&amp;"|"&amp;$C150&amp;"|"&amp;$D150&amp;"|"&amp;P$14&amp;"|"&amp;"CY2023Q3",Spectrum!$R:$R,0)),0),""))</f>
        <v/>
      </c>
      <c r="Q150" s="39" t="str">
        <f aca="false">IF(LEFT($B150,4)="_Mil","",_xlfn.IFNA(ROUND(INDEX(Spectrum!$N:$N,MATCH(RIGHT($B150,13)&amp;"|"&amp;$C150&amp;"|"&amp;$D150&amp;"|"&amp;Q$14&amp;"|"&amp;"CY2022Q3",Spectrum!$R:$R,0)),0),""))</f>
        <v/>
      </c>
      <c r="R150" s="10" t="n">
        <v>6</v>
      </c>
      <c r="S150" s="88" t="n">
        <f aca="false">0</f>
        <v>0</v>
      </c>
      <c r="T150" s="39" t="n">
        <f aca="false">IF(SUM($R150)=0,"",ROUND($R150*(1+$S150),0))</f>
        <v>6</v>
      </c>
      <c r="U150" s="88" t="n">
        <f aca="false">IF(LEFT($B150,4)="_Mil","",IF(SUM($K150)=0,IF(SUM($R150)=0,"",1),MIN($R150/$K150,1)))</f>
        <v>1</v>
      </c>
      <c r="V150" s="39" t="n">
        <f aca="false">IF(OR(SUM($T150)=0,LEFT($B150,4)="_Mil"),"",ROUND($T150/$U150,0))</f>
        <v>6</v>
      </c>
      <c r="W150" s="88" t="n">
        <v>0.942590308375657</v>
      </c>
      <c r="X150" s="88" t="n">
        <f aca="false">IF(SUM($K150,$W150)=0,"",MAX(IFERROR(SUM($L150)/$K150,0),SUM($W150)))</f>
        <v>0.942590308375657</v>
      </c>
      <c r="Y150" s="88" t="n">
        <v>0.977715678047389</v>
      </c>
      <c r="Z150" s="88" t="n">
        <f aca="false">IF(SUM($K150,$Y150)=0,"",MIN(SUM($Y150),IFERROR(SUM($M150)/(SUM($K150)-SUM($L150)),1)))</f>
        <v>0.977715678047389</v>
      </c>
      <c r="AA150" s="10" t="n">
        <f aca="false">$T150</f>
        <v>6</v>
      </c>
      <c r="AB150" s="39" t="n">
        <f aca="false">IF(SUM($AA150)=0,"",IF(AND(SUM($AA150)&gt;0,$X150=""),"ENTER KNOWN POSITIVITY RATE",ROUND($AA150*$X150,0)))</f>
        <v>6</v>
      </c>
      <c r="AC150" s="39" t="n">
        <f aca="false">IF(SUM($AA150)=0,"",IF(AND((SUM($AA150)-SUM($AB150))&gt;0,$Z150=""),"ENTER YIELD RATE",ROUND(($AA150-SUM($AB150))*$Z150,0)))</f>
        <v>0</v>
      </c>
      <c r="AD150" s="39" t="n">
        <f aca="false">IF(SUM($AA150)=0,"",$AA150-SUM($AB150)-SUM($AC150))</f>
        <v>0</v>
      </c>
      <c r="AE150" s="10" t="n">
        <f aca="false">$V150</f>
        <v>6</v>
      </c>
      <c r="AF150" s="39" t="n">
        <f aca="false">IF(SUM($AE150)=0,"",ROUND($AE150*SUM($X150),0))</f>
        <v>6</v>
      </c>
      <c r="AG150" s="39" t="n">
        <f aca="false">IF(SUM($AE150)=0,"",ROUND(($AE150-SUM($AF150))*SUM($Z150),0))</f>
        <v>0</v>
      </c>
      <c r="AH150" s="39" t="n">
        <f aca="false">IF(SUM($AE150)=0,"",$AE150-SUM($AF150)-SUM($AG150))</f>
        <v>0</v>
      </c>
      <c r="AI150" s="88" t="str">
        <f aca="false">IF(SUM($AC150)=0,"",INDEX(Cascade!$BG:$BG,MATCH($E150,Cascade!$E:$E,0)))</f>
        <v/>
      </c>
      <c r="AJ150" s="39" t="n">
        <f aca="false">$AB150</f>
        <v>6</v>
      </c>
      <c r="AK150" s="39" t="str">
        <f aca="false">IF(SUM($AC150)=0,"",IF(AND($AI150="",SUM($AC150)&gt;0),"&lt;- Enter Linkage Rate",ROUND($AC150*$AI150,0)))</f>
        <v/>
      </c>
      <c r="AL150" s="39" t="n">
        <f aca="false">IF(SUM($AF150,$AG150)=0,"",SUM($AF150,$AG150))</f>
        <v>6</v>
      </c>
      <c r="AM150" s="39" t="n">
        <f aca="false">$AF150</f>
        <v>6</v>
      </c>
      <c r="AN150" s="39" t="str">
        <f aca="false">IF(SUM($AG150)=0,"",ROUND($AG150*SUM($AI150),0))</f>
        <v/>
      </c>
      <c r="AO150" s="10" t="str">
        <f aca="false">IFERROR(1/(1/MAX(SUM($T150)-SUM($AB150,$AC150),$AD150)),"")</f>
        <v/>
      </c>
      <c r="AP150" s="88"/>
      <c r="AQ150" s="88" t="str">
        <f aca="false">IF($AP150="","",$AP150)</f>
        <v/>
      </c>
      <c r="AR150" s="88" t="str">
        <f aca="false">IF(SUM($AO150)=0,"",INDEX(Cascade!$BG:$BG,MATCH($E150,Cascade!$E:$E,0)))</f>
        <v/>
      </c>
      <c r="AS150" s="39" t="str">
        <f aca="false">IF(SUM($AO150)=0,"",IF(AND(SUM($AO150)&gt;0,$AQ150=""),"ENTER YIELD RATE",ROUND($AO150*$AQ150,0)))</f>
        <v/>
      </c>
      <c r="AT150" s="39" t="str">
        <f aca="false">IF(SUM($AO150)=0,"",$AO150-SUM($AS150))</f>
        <v/>
      </c>
      <c r="AU150" s="10" t="str">
        <f aca="false">IF(SUM($AS150)=0,"",ROUND($AS150*$AR150,0))</f>
        <v/>
      </c>
      <c r="AV150" s="10" t="n">
        <f aca="false">IFERROR(1/(1/SUM($AC150,$AB150,$AS150)),"")</f>
        <v>6</v>
      </c>
      <c r="AW150" s="10" t="n">
        <f aca="false">IFERROR(1/(1/INDEX(Cascade!$BH:$BH,MATCH($E150,Cascade!$E:$E,0))),"")</f>
        <v>-102</v>
      </c>
      <c r="AX150" s="10" t="str">
        <f aca="false">IF(SUM($AC150)=0,"",$AC150)</f>
        <v/>
      </c>
      <c r="AY150" s="10" t="str">
        <f aca="false">IF(SUM($AS150)=0,"",$AS150)</f>
        <v/>
      </c>
      <c r="AZ150" s="10" t="str">
        <f aca="false">IFERROR(1/(1/INDEX(TB!$P:$P,MATCH($E150,TB!$E:$E,0))),"")</f>
        <v/>
      </c>
      <c r="BA150" s="10" t="n">
        <f aca="false">IFERROR(1/(1/(SUM($AW150)-SUM($AX150:$AZ150))),"")</f>
        <v>-102</v>
      </c>
    </row>
    <row r="151" customFormat="false" ht="15" hidden="false" customHeight="false" outlineLevel="0" collapsed="false">
      <c r="A151" s="0" t="str">
        <f aca="false">INDEX(Prioritization!$D:$D,MATCH($B151,Prioritization!$A:$A,0))</f>
        <v>1 - Scale-up: Saturation</v>
      </c>
      <c r="B151" s="0" t="s">
        <v>221</v>
      </c>
      <c r="C151" s="0" t="s">
        <v>365</v>
      </c>
      <c r="D151" s="0" t="s">
        <v>30</v>
      </c>
      <c r="E151" s="0" t="str">
        <f aca="false">B151&amp;"|"&amp;C151&amp;"|"&amp;D151</f>
        <v>Thyolo District [ul0y9diGujK]|15-24|Female</v>
      </c>
      <c r="F151" s="10" t="n">
        <f aca="false">IF(LEFT($B151,4)="_Mil","",INDEX(Cascade!$T:$T,MATCH($E151,Cascade!$E:$E,0)))</f>
        <v>1269</v>
      </c>
      <c r="G151" s="10" t="str">
        <f aca="false">IF(LEFT($B151,4)="_Mil","",INDEX(Cascade!$U:$U,MATCH($E151,Cascade!$E:$E,0)))</f>
        <v/>
      </c>
      <c r="H151" s="86" t="n">
        <f aca="false">IF(LEFT($B151,4)="_Mil","",INDEX(Cascade!$W:$W,MATCH($E151,Cascade!$E:$E,0)))</f>
        <v>1338</v>
      </c>
      <c r="I151" s="10" t="n">
        <f aca="false">IF(LEFT($B151,4)="_Mil","",INDEX(Cascade!$Z:$Z,MATCH($E151,Cascade!$E:$E,0)))</f>
        <v>1841</v>
      </c>
      <c r="J151" s="88" t="n">
        <f aca="false">IF(LEFT($B151,4)="_Mil","",INDEX(Cascade!$AA:$AA,MATCH($E151,Cascade!$E:$E,0)))</f>
        <v>1462</v>
      </c>
      <c r="K151" s="39" t="n">
        <f aca="false">IF(LEFT($B151,4)="_Mil","",_xlfn.IFNA(ROUND(INDEX(Spectrum!$N:$N,MATCH(RIGHT($B151,13)&amp;"|"&amp;$C151&amp;"|"&amp;$D151&amp;"|"&amp;K$14&amp;"|"&amp;"CY2023Q3",Spectrum!$R:$R,0)),0),""))</f>
        <v>1711</v>
      </c>
      <c r="L151" s="39" t="str">
        <f aca="false">IF(LEFT($B151,4)="_Mil","",_xlfn.IFNA(ROUND(INDEX(Spectrum!$N:$N,MATCH(RIGHT($B151,13)&amp;"|"&amp;$C151&amp;"|"&amp;$D151&amp;"|"&amp;L$14&amp;"|"&amp;"CY2023Q3",Spectrum!$R:$R,0)),0),""))</f>
        <v/>
      </c>
      <c r="M151" s="39" t="n">
        <f aca="false">IF(LEFT($B151,4)="_Mil","",_xlfn.IFNA(ROUND(INDEX(Spectrum!$N:$N,MATCH(RIGHT($B151,13)&amp;"|"&amp;$C151&amp;"|"&amp;$D151&amp;"|"&amp;M$14&amp;"|"&amp;"CY2023Q3",Spectrum!$R:$R,0)),0),""))</f>
        <v>1258</v>
      </c>
      <c r="N151" s="39" t="n">
        <f aca="false">IF(LEFT($B151,4)="_Mil","",_xlfn.IFNA(ROUND(INDEX(Spectrum!$N:$N,MATCH(RIGHT($B151,13)&amp;"|"&amp;$C151&amp;"|"&amp;$D151&amp;"|"&amp;N$14&amp;"|"&amp;"CY2023Q3",Spectrum!$R:$R,0)),0),""))</f>
        <v>978</v>
      </c>
      <c r="O151" s="39" t="n">
        <f aca="false">IF(LEFT($B151,4)="_Mil","",_xlfn.IFNA(ROUND(INDEX(Spectrum!$N:$N,MATCH(RIGHT($B151,13)&amp;"|"&amp;$C151&amp;"|"&amp;$D151&amp;"|"&amp;O$14&amp;"|"&amp;"CY2023Q3",Spectrum!$R:$R,0)),0),""))</f>
        <v>1566</v>
      </c>
      <c r="P151" s="39" t="n">
        <f aca="false">IF(LEFT($B151,4)="_Mil","",_xlfn.IFNA(ROUND(INDEX(Spectrum!$N:$N,MATCH(RIGHT($B151,13)&amp;"|"&amp;$C151&amp;"|"&amp;$D151&amp;"|"&amp;P$14&amp;"|"&amp;"CY2023Q3",Spectrum!$R:$R,0)),0),""))</f>
        <v>1414</v>
      </c>
      <c r="Q151" s="39" t="str">
        <f aca="false">IF(LEFT($B151,4)="_Mil","",_xlfn.IFNA(ROUND(INDEX(Spectrum!$N:$N,MATCH(RIGHT($B151,13)&amp;"|"&amp;$C151&amp;"|"&amp;$D151&amp;"|"&amp;Q$14&amp;"|"&amp;"CY2022Q3",Spectrum!$R:$R,0)),0),""))</f>
        <v/>
      </c>
      <c r="R151" s="10"/>
      <c r="S151" s="88" t="n">
        <f aca="false">0</f>
        <v>0</v>
      </c>
      <c r="T151" s="39" t="str">
        <f aca="false">IF(SUM($R151)=0,"",ROUND($R151*(1+$S151),0))</f>
        <v/>
      </c>
      <c r="U151" s="88" t="n">
        <f aca="false">IF(LEFT($B151,4)="_Mil","",IF(SUM($K151)=0,IF(SUM($R151)=0,"",1),MIN($R151/$K151,1)))</f>
        <v>0</v>
      </c>
      <c r="V151" s="39" t="str">
        <f aca="false">IF(OR(SUM($T151)=0,LEFT($B151,4)="_Mil"),"",ROUND($T151/$U151,0))</f>
        <v/>
      </c>
      <c r="W151" s="88"/>
      <c r="X151" s="88" t="n">
        <f aca="false">IF(SUM($K151,$W151)=0,"",MAX(IFERROR(SUM($L151)/$K151,0),SUM($W151)))</f>
        <v>0</v>
      </c>
      <c r="Y151" s="88"/>
      <c r="Z151" s="88" t="n">
        <f aca="false">IF(SUM($K151,$Y151)=0,"",MIN(SUM($Y151),IFERROR(SUM($M151)/(SUM($K151)-SUM($L151)),1)))</f>
        <v>0</v>
      </c>
      <c r="AA151" s="10" t="str">
        <f aca="false">$T151</f>
        <v/>
      </c>
      <c r="AB151" s="39" t="str">
        <f aca="false">IF(SUM($AA151)=0,"",IF(AND(SUM($AA151)&gt;0,$X151=""),"ENTER KNOWN POSITIVITY RATE",ROUND($AA151*$X151,0)))</f>
        <v/>
      </c>
      <c r="AC151" s="39" t="str">
        <f aca="false">IF(SUM($AA151)=0,"",IF(AND((SUM($AA151)-SUM($AB151))&gt;0,$Z151=""),"ENTER YIELD RATE",ROUND(($AA151-SUM($AB151))*$Z151,0)))</f>
        <v/>
      </c>
      <c r="AD151" s="39" t="str">
        <f aca="false">IF(SUM($AA151)=0,"",$AA151-SUM($AB151)-SUM($AC151))</f>
        <v/>
      </c>
      <c r="AE151" s="10" t="str">
        <f aca="false">$V151</f>
        <v/>
      </c>
      <c r="AF151" s="39" t="str">
        <f aca="false">IF(SUM($AE151)=0,"",ROUND($AE151*SUM($X151),0))</f>
        <v/>
      </c>
      <c r="AG151" s="39" t="str">
        <f aca="false">IF(SUM($AE151)=0,"",ROUND(($AE151-SUM($AF151))*SUM($Z151),0))</f>
        <v/>
      </c>
      <c r="AH151" s="39" t="str">
        <f aca="false">IF(SUM($AE151)=0,"",$AE151-SUM($AF151)-SUM($AG151))</f>
        <v/>
      </c>
      <c r="AI151" s="88" t="str">
        <f aca="false">IF(SUM($AC151)=0,"",INDEX(Cascade!$BG:$BG,MATCH($E151,Cascade!$E:$E,0)))</f>
        <v/>
      </c>
      <c r="AJ151" s="39" t="str">
        <f aca="false">$AB151</f>
        <v/>
      </c>
      <c r="AK151" s="39" t="str">
        <f aca="false">IF(SUM($AC151)=0,"",IF(AND($AI151="",SUM($AC151)&gt;0),"&lt;- Enter Linkage Rate",ROUND($AC151*$AI151,0)))</f>
        <v/>
      </c>
      <c r="AL151" s="39" t="str">
        <f aca="false">IF(SUM($AF151,$AG151)=0,"",SUM($AF151,$AG151))</f>
        <v/>
      </c>
      <c r="AM151" s="39" t="str">
        <f aca="false">$AF151</f>
        <v/>
      </c>
      <c r="AN151" s="39" t="str">
        <f aca="false">IF(SUM($AG151)=0,"",ROUND($AG151*SUM($AI151),0))</f>
        <v/>
      </c>
      <c r="AO151" s="10" t="str">
        <f aca="false">IFERROR(1/(1/MAX(SUM($T151)-SUM($AB151,$AC151),$AD151)),"")</f>
        <v/>
      </c>
      <c r="AP151" s="88"/>
      <c r="AQ151" s="88" t="str">
        <f aca="false">IF($AP151="","",$AP151)</f>
        <v/>
      </c>
      <c r="AR151" s="88" t="str">
        <f aca="false">IF(SUM($AO151)=0,"",INDEX(Cascade!$BG:$BG,MATCH($E151,Cascade!$E:$E,0)))</f>
        <v/>
      </c>
      <c r="AS151" s="39" t="str">
        <f aca="false">IF(SUM($AO151)=0,"",IF(AND(SUM($AO151)&gt;0,$AQ151=""),"ENTER YIELD RATE",ROUND($AO151*$AQ151,0)))</f>
        <v/>
      </c>
      <c r="AT151" s="39" t="str">
        <f aca="false">IF(SUM($AO151)=0,"",$AO151-SUM($AS151))</f>
        <v/>
      </c>
      <c r="AU151" s="10" t="str">
        <f aca="false">IF(SUM($AS151)=0,"",ROUND($AS151*$AR151,0))</f>
        <v/>
      </c>
      <c r="AV151" s="10" t="str">
        <f aca="false">IFERROR(1/(1/SUM($AC151,$AB151,$AS151)),"")</f>
        <v/>
      </c>
      <c r="AW151" s="10" t="str">
        <f aca="false">IFERROR(1/(1/INDEX(Cascade!$BH:$BH,MATCH($E151,Cascade!$E:$E,0))),"")</f>
        <v/>
      </c>
      <c r="AX151" s="10" t="str">
        <f aca="false">IF(SUM($AC151)=0,"",$AC151)</f>
        <v/>
      </c>
      <c r="AY151" s="10" t="str">
        <f aca="false">IF(SUM($AS151)=0,"",$AS151)</f>
        <v/>
      </c>
      <c r="AZ151" s="10" t="str">
        <f aca="false">IFERROR(1/(1/INDEX(TB!$P:$P,MATCH($E151,TB!$E:$E,0))),"")</f>
        <v/>
      </c>
      <c r="BA151" s="10" t="str">
        <f aca="false">IFERROR(1/(1/(SUM($AW151)-SUM($AX151:$AZ151))),"")</f>
        <v/>
      </c>
    </row>
    <row r="152" customFormat="false" ht="15" hidden="false" customHeight="false" outlineLevel="0" collapsed="false">
      <c r="A152" s="0" t="str">
        <f aca="false">INDEX(Prioritization!$D:$D,MATCH($B152,Prioritization!$A:$A,0))</f>
        <v>1 - Scale-up: Saturation</v>
      </c>
      <c r="B152" s="0" t="s">
        <v>221</v>
      </c>
      <c r="C152" s="0" t="s">
        <v>366</v>
      </c>
      <c r="D152" s="0" t="s">
        <v>30</v>
      </c>
      <c r="E152" s="0" t="str">
        <f aca="false">B152&amp;"|"&amp;C152&amp;"|"&amp;D152</f>
        <v>Thyolo District [ul0y9diGujK]|25-34|Female</v>
      </c>
      <c r="F152" s="10" t="n">
        <f aca="false">IF(LEFT($B152,4)="_Mil","",INDEX(Cascade!$T:$T,MATCH($E152,Cascade!$E:$E,0)))</f>
        <v>1333</v>
      </c>
      <c r="G152" s="10" t="str">
        <f aca="false">IF(LEFT($B152,4)="_Mil","",INDEX(Cascade!$U:$U,MATCH($E152,Cascade!$E:$E,0)))</f>
        <v/>
      </c>
      <c r="H152" s="86" t="n">
        <f aca="false">IF(LEFT($B152,4)="_Mil","",INDEX(Cascade!$W:$W,MATCH($E152,Cascade!$E:$E,0)))</f>
        <v>1486</v>
      </c>
      <c r="I152" s="10" t="n">
        <f aca="false">IF(LEFT($B152,4)="_Mil","",INDEX(Cascade!$Z:$Z,MATCH($E152,Cascade!$E:$E,0)))</f>
        <v>921</v>
      </c>
      <c r="J152" s="88" t="n">
        <f aca="false">IF(LEFT($B152,4)="_Mil","",INDEX(Cascade!$AA:$AA,MATCH($E152,Cascade!$E:$E,0)))</f>
        <v>1158</v>
      </c>
      <c r="K152" s="39" t="n">
        <f aca="false">IF(LEFT($B152,4)="_Mil","",_xlfn.IFNA(ROUND(INDEX(Spectrum!$N:$N,MATCH(RIGHT($B152,13)&amp;"|"&amp;$C152&amp;"|"&amp;$D152&amp;"|"&amp;K$14&amp;"|"&amp;"CY2023Q3",Spectrum!$R:$R,0)),0),""))</f>
        <v>1994</v>
      </c>
      <c r="L152" s="39" t="str">
        <f aca="false">IF(LEFT($B152,4)="_Mil","",_xlfn.IFNA(ROUND(INDEX(Spectrum!$N:$N,MATCH(RIGHT($B152,13)&amp;"|"&amp;$C152&amp;"|"&amp;$D152&amp;"|"&amp;L$14&amp;"|"&amp;"CY2023Q3",Spectrum!$R:$R,0)),0),""))</f>
        <v/>
      </c>
      <c r="M152" s="39" t="n">
        <f aca="false">IF(LEFT($B152,4)="_Mil","",_xlfn.IFNA(ROUND(INDEX(Spectrum!$N:$N,MATCH(RIGHT($B152,13)&amp;"|"&amp;$C152&amp;"|"&amp;$D152&amp;"|"&amp;M$14&amp;"|"&amp;"CY2023Q3",Spectrum!$R:$R,0)),0),""))</f>
        <v>1891</v>
      </c>
      <c r="N152" s="39" t="n">
        <f aca="false">IF(LEFT($B152,4)="_Mil","",_xlfn.IFNA(ROUND(INDEX(Spectrum!$N:$N,MATCH(RIGHT($B152,13)&amp;"|"&amp;$C152&amp;"|"&amp;$D152&amp;"|"&amp;N$14&amp;"|"&amp;"CY2023Q3",Spectrum!$R:$R,0)),0),""))</f>
        <v>1603</v>
      </c>
      <c r="O152" s="39" t="n">
        <f aca="false">IF(LEFT($B152,4)="_Mil","",_xlfn.IFNA(ROUND(INDEX(Spectrum!$N:$N,MATCH(RIGHT($B152,13)&amp;"|"&amp;$C152&amp;"|"&amp;$D152&amp;"|"&amp;O$14&amp;"|"&amp;"CY2023Q3",Spectrum!$R:$R,0)),0),""))</f>
        <v>623</v>
      </c>
      <c r="P152" s="39" t="n">
        <f aca="false">IF(LEFT($B152,4)="_Mil","",_xlfn.IFNA(ROUND(INDEX(Spectrum!$N:$N,MATCH(RIGHT($B152,13)&amp;"|"&amp;$C152&amp;"|"&amp;$D152&amp;"|"&amp;P$14&amp;"|"&amp;"CY2023Q3",Spectrum!$R:$R,0)),0),""))</f>
        <v>1074</v>
      </c>
      <c r="Q152" s="39" t="str">
        <f aca="false">IF(LEFT($B152,4)="_Mil","",_xlfn.IFNA(ROUND(INDEX(Spectrum!$N:$N,MATCH(RIGHT($B152,13)&amp;"|"&amp;$C152&amp;"|"&amp;$D152&amp;"|"&amp;Q$14&amp;"|"&amp;"CY2022Q3",Spectrum!$R:$R,0)),0),""))</f>
        <v/>
      </c>
      <c r="R152" s="10"/>
      <c r="S152" s="88" t="n">
        <f aca="false">0</f>
        <v>0</v>
      </c>
      <c r="T152" s="39" t="str">
        <f aca="false">IF(SUM($R152)=0,"",ROUND($R152*(1+$S152),0))</f>
        <v/>
      </c>
      <c r="U152" s="88" t="n">
        <f aca="false">IF(LEFT($B152,4)="_Mil","",IF(SUM($K152)=0,IF(SUM($R152)=0,"",1),MIN($R152/$K152,1)))</f>
        <v>0</v>
      </c>
      <c r="V152" s="39" t="str">
        <f aca="false">IF(OR(SUM($T152)=0,LEFT($B152,4)="_Mil"),"",ROUND($T152/$U152,0))</f>
        <v/>
      </c>
      <c r="W152" s="88"/>
      <c r="X152" s="88" t="n">
        <f aca="false">IF(SUM($K152,$W152)=0,"",MAX(IFERROR(SUM($L152)/$K152,0),SUM($W152)))</f>
        <v>0</v>
      </c>
      <c r="Y152" s="88"/>
      <c r="Z152" s="88" t="n">
        <f aca="false">IF(SUM($K152,$Y152)=0,"",MIN(SUM($Y152),IFERROR(SUM($M152)/(SUM($K152)-SUM($L152)),1)))</f>
        <v>0</v>
      </c>
      <c r="AA152" s="10" t="str">
        <f aca="false">$T152</f>
        <v/>
      </c>
      <c r="AB152" s="39" t="str">
        <f aca="false">IF(SUM($AA152)=0,"",IF(AND(SUM($AA152)&gt;0,$X152=""),"ENTER KNOWN POSITIVITY RATE",ROUND($AA152*$X152,0)))</f>
        <v/>
      </c>
      <c r="AC152" s="39" t="str">
        <f aca="false">IF(SUM($AA152)=0,"",IF(AND((SUM($AA152)-SUM($AB152))&gt;0,$Z152=""),"ENTER YIELD RATE",ROUND(($AA152-SUM($AB152))*$Z152,0)))</f>
        <v/>
      </c>
      <c r="AD152" s="39" t="str">
        <f aca="false">IF(SUM($AA152)=0,"",$AA152-SUM($AB152)-SUM($AC152))</f>
        <v/>
      </c>
      <c r="AE152" s="10" t="str">
        <f aca="false">$V152</f>
        <v/>
      </c>
      <c r="AF152" s="39" t="str">
        <f aca="false">IF(SUM($AE152)=0,"",ROUND($AE152*SUM($X152),0))</f>
        <v/>
      </c>
      <c r="AG152" s="39" t="str">
        <f aca="false">IF(SUM($AE152)=0,"",ROUND(($AE152-SUM($AF152))*SUM($Z152),0))</f>
        <v/>
      </c>
      <c r="AH152" s="39" t="str">
        <f aca="false">IF(SUM($AE152)=0,"",$AE152-SUM($AF152)-SUM($AG152))</f>
        <v/>
      </c>
      <c r="AI152" s="88" t="str">
        <f aca="false">IF(SUM($AC152)=0,"",INDEX(Cascade!$BG:$BG,MATCH($E152,Cascade!$E:$E,0)))</f>
        <v/>
      </c>
      <c r="AJ152" s="39" t="str">
        <f aca="false">$AB152</f>
        <v/>
      </c>
      <c r="AK152" s="39" t="str">
        <f aca="false">IF(SUM($AC152)=0,"",IF(AND($AI152="",SUM($AC152)&gt;0),"&lt;- Enter Linkage Rate",ROUND($AC152*$AI152,0)))</f>
        <v/>
      </c>
      <c r="AL152" s="39" t="str">
        <f aca="false">IF(SUM($AF152,$AG152)=0,"",SUM($AF152,$AG152))</f>
        <v/>
      </c>
      <c r="AM152" s="39" t="str">
        <f aca="false">$AF152</f>
        <v/>
      </c>
      <c r="AN152" s="39" t="str">
        <f aca="false">IF(SUM($AG152)=0,"",ROUND($AG152*SUM($AI152),0))</f>
        <v/>
      </c>
      <c r="AO152" s="10" t="str">
        <f aca="false">IFERROR(1/(1/MAX(SUM($T152)-SUM($AB152,$AC152),$AD152)),"")</f>
        <v/>
      </c>
      <c r="AP152" s="88"/>
      <c r="AQ152" s="88" t="str">
        <f aca="false">IF($AP152="","",$AP152)</f>
        <v/>
      </c>
      <c r="AR152" s="88" t="str">
        <f aca="false">IF(SUM($AO152)=0,"",INDEX(Cascade!$BG:$BG,MATCH($E152,Cascade!$E:$E,0)))</f>
        <v/>
      </c>
      <c r="AS152" s="39" t="str">
        <f aca="false">IF(SUM($AO152)=0,"",IF(AND(SUM($AO152)&gt;0,$AQ152=""),"ENTER YIELD RATE",ROUND($AO152*$AQ152,0)))</f>
        <v/>
      </c>
      <c r="AT152" s="39" t="str">
        <f aca="false">IF(SUM($AO152)=0,"",$AO152-SUM($AS152))</f>
        <v/>
      </c>
      <c r="AU152" s="10" t="str">
        <f aca="false">IF(SUM($AS152)=0,"",ROUND($AS152*$AR152,0))</f>
        <v/>
      </c>
      <c r="AV152" s="10" t="str">
        <f aca="false">IFERROR(1/(1/SUM($AC152,$AB152,$AS152)),"")</f>
        <v/>
      </c>
      <c r="AW152" s="10" t="str">
        <f aca="false">IFERROR(1/(1/INDEX(Cascade!$BH:$BH,MATCH($E152,Cascade!$E:$E,0))),"")</f>
        <v/>
      </c>
      <c r="AX152" s="10" t="str">
        <f aca="false">IF(SUM($AC152)=0,"",$AC152)</f>
        <v/>
      </c>
      <c r="AY152" s="10" t="str">
        <f aca="false">IF(SUM($AS152)=0,"",$AS152)</f>
        <v/>
      </c>
      <c r="AZ152" s="10" t="str">
        <f aca="false">IFERROR(1/(1/INDEX(TB!$P:$P,MATCH($E152,TB!$E:$E,0))),"")</f>
        <v/>
      </c>
      <c r="BA152" s="10" t="str">
        <f aca="false">IFERROR(1/(1/(SUM($AW152)-SUM($AX152:$AZ152))),"")</f>
        <v/>
      </c>
    </row>
    <row r="153" customFormat="false" ht="15" hidden="false" customHeight="false" outlineLevel="0" collapsed="false">
      <c r="A153" s="0" t="str">
        <f aca="false">INDEX(Prioritization!$D:$D,MATCH($B153,Prioritization!$A:$A,0))</f>
        <v>1 - Scale-up: Saturation</v>
      </c>
      <c r="B153" s="0" t="s">
        <v>221</v>
      </c>
      <c r="C153" s="0" t="s">
        <v>367</v>
      </c>
      <c r="D153" s="0" t="s">
        <v>30</v>
      </c>
      <c r="E153" s="0" t="str">
        <f aca="false">B153&amp;"|"&amp;C153&amp;"|"&amp;D153</f>
        <v>Thyolo District [ul0y9diGujK]|35-49|Female</v>
      </c>
      <c r="F153" s="10" t="n">
        <f aca="false">IF(LEFT($B153,4)="_Mil","",INDEX(Cascade!$T:$T,MATCH($E153,Cascade!$E:$E,0)))</f>
        <v>1642</v>
      </c>
      <c r="G153" s="10" t="str">
        <f aca="false">IF(LEFT($B153,4)="_Mil","",INDEX(Cascade!$U:$U,MATCH($E153,Cascade!$E:$E,0)))</f>
        <v/>
      </c>
      <c r="H153" s="86" t="n">
        <f aca="false">IF(LEFT($B153,4)="_Mil","",INDEX(Cascade!$W:$W,MATCH($E153,Cascade!$E:$E,0)))</f>
        <v>1695</v>
      </c>
      <c r="I153" s="10" t="n">
        <f aca="false">IF(LEFT($B153,4)="_Mil","",INDEX(Cascade!$Z:$Z,MATCH($E153,Cascade!$E:$E,0)))</f>
        <v>1630</v>
      </c>
      <c r="J153" s="88" t="n">
        <f aca="false">IF(LEFT($B153,4)="_Mil","",INDEX(Cascade!$AA:$AA,MATCH($E153,Cascade!$E:$E,0)))</f>
        <v>508</v>
      </c>
      <c r="K153" s="39" t="n">
        <f aca="false">IF(LEFT($B153,4)="_Mil","",_xlfn.IFNA(ROUND(INDEX(Spectrum!$N:$N,MATCH(RIGHT($B153,13)&amp;"|"&amp;$C153&amp;"|"&amp;$D153&amp;"|"&amp;K$14&amp;"|"&amp;"CY2023Q3",Spectrum!$R:$R,0)),0),""))</f>
        <v>1787</v>
      </c>
      <c r="L153" s="39" t="str">
        <f aca="false">IF(LEFT($B153,4)="_Mil","",_xlfn.IFNA(ROUND(INDEX(Spectrum!$N:$N,MATCH(RIGHT($B153,13)&amp;"|"&amp;$C153&amp;"|"&amp;$D153&amp;"|"&amp;L$14&amp;"|"&amp;"CY2023Q3",Spectrum!$R:$R,0)),0),""))</f>
        <v/>
      </c>
      <c r="M153" s="39" t="n">
        <f aca="false">IF(LEFT($B153,4)="_Mil","",_xlfn.IFNA(ROUND(INDEX(Spectrum!$N:$N,MATCH(RIGHT($B153,13)&amp;"|"&amp;$C153&amp;"|"&amp;$D153&amp;"|"&amp;M$14&amp;"|"&amp;"CY2023Q3",Spectrum!$R:$R,0)),0),""))</f>
        <v>1354</v>
      </c>
      <c r="N153" s="39" t="n">
        <f aca="false">IF(LEFT($B153,4)="_Mil","",_xlfn.IFNA(ROUND(INDEX(Spectrum!$N:$N,MATCH(RIGHT($B153,13)&amp;"|"&amp;$C153&amp;"|"&amp;$D153&amp;"|"&amp;N$14&amp;"|"&amp;"CY2023Q3",Spectrum!$R:$R,0)),0),""))</f>
        <v>1490</v>
      </c>
      <c r="O153" s="39" t="n">
        <f aca="false">IF(LEFT($B153,4)="_Mil","",_xlfn.IFNA(ROUND(INDEX(Spectrum!$N:$N,MATCH(RIGHT($B153,13)&amp;"|"&amp;$C153&amp;"|"&amp;$D153&amp;"|"&amp;O$14&amp;"|"&amp;"CY2023Q3",Spectrum!$R:$R,0)),0),""))</f>
        <v>1266</v>
      </c>
      <c r="P153" s="39" t="n">
        <f aca="false">IF(LEFT($B153,4)="_Mil","",_xlfn.IFNA(ROUND(INDEX(Spectrum!$N:$N,MATCH(RIGHT($B153,13)&amp;"|"&amp;$C153&amp;"|"&amp;$D153&amp;"|"&amp;P$14&amp;"|"&amp;"CY2023Q3",Spectrum!$R:$R,0)),0),""))</f>
        <v>727</v>
      </c>
      <c r="Q153" s="39" t="str">
        <f aca="false">IF(LEFT($B153,4)="_Mil","",_xlfn.IFNA(ROUND(INDEX(Spectrum!$N:$N,MATCH(RIGHT($B153,13)&amp;"|"&amp;$C153&amp;"|"&amp;$D153&amp;"|"&amp;Q$14&amp;"|"&amp;"CY2022Q3",Spectrum!$R:$R,0)),0),""))</f>
        <v/>
      </c>
      <c r="R153" s="10"/>
      <c r="S153" s="88" t="n">
        <f aca="false">0</f>
        <v>0</v>
      </c>
      <c r="T153" s="39" t="str">
        <f aca="false">IF(SUM($R153)=0,"",ROUND($R153*(1+$S153),0))</f>
        <v/>
      </c>
      <c r="U153" s="88" t="n">
        <f aca="false">IF(LEFT($B153,4)="_Mil","",IF(SUM($K153)=0,IF(SUM($R153)=0,"",1),MIN($R153/$K153,1)))</f>
        <v>0</v>
      </c>
      <c r="V153" s="39" t="str">
        <f aca="false">IF(OR(SUM($T153)=0,LEFT($B153,4)="_Mil"),"",ROUND($T153/$U153,0))</f>
        <v/>
      </c>
      <c r="W153" s="88"/>
      <c r="X153" s="88" t="n">
        <f aca="false">IF(SUM($K153,$W153)=0,"",MAX(IFERROR(SUM($L153)/$K153,0),SUM($W153)))</f>
        <v>0</v>
      </c>
      <c r="Y153" s="88"/>
      <c r="Z153" s="88" t="n">
        <f aca="false">IF(SUM($K153,$Y153)=0,"",MIN(SUM($Y153),IFERROR(SUM($M153)/(SUM($K153)-SUM($L153)),1)))</f>
        <v>0</v>
      </c>
      <c r="AA153" s="10" t="str">
        <f aca="false">$T153</f>
        <v/>
      </c>
      <c r="AB153" s="39" t="str">
        <f aca="false">IF(SUM($AA153)=0,"",IF(AND(SUM($AA153)&gt;0,$X153=""),"ENTER KNOWN POSITIVITY RATE",ROUND($AA153*$X153,0)))</f>
        <v/>
      </c>
      <c r="AC153" s="39" t="str">
        <f aca="false">IF(SUM($AA153)=0,"",IF(AND((SUM($AA153)-SUM($AB153))&gt;0,$Z153=""),"ENTER YIELD RATE",ROUND(($AA153-SUM($AB153))*$Z153,0)))</f>
        <v/>
      </c>
      <c r="AD153" s="39" t="str">
        <f aca="false">IF(SUM($AA153)=0,"",$AA153-SUM($AB153)-SUM($AC153))</f>
        <v/>
      </c>
      <c r="AE153" s="10" t="str">
        <f aca="false">$V153</f>
        <v/>
      </c>
      <c r="AF153" s="39" t="str">
        <f aca="false">IF(SUM($AE153)=0,"",ROUND($AE153*SUM($X153),0))</f>
        <v/>
      </c>
      <c r="AG153" s="39" t="str">
        <f aca="false">IF(SUM($AE153)=0,"",ROUND(($AE153-SUM($AF153))*SUM($Z153),0))</f>
        <v/>
      </c>
      <c r="AH153" s="39" t="str">
        <f aca="false">IF(SUM($AE153)=0,"",$AE153-SUM($AF153)-SUM($AG153))</f>
        <v/>
      </c>
      <c r="AI153" s="88" t="str">
        <f aca="false">IF(SUM($AC153)=0,"",INDEX(Cascade!$BG:$BG,MATCH($E153,Cascade!$E:$E,0)))</f>
        <v/>
      </c>
      <c r="AJ153" s="39" t="str">
        <f aca="false">$AB153</f>
        <v/>
      </c>
      <c r="AK153" s="39" t="str">
        <f aca="false">IF(SUM($AC153)=0,"",IF(AND($AI153="",SUM($AC153)&gt;0),"&lt;- Enter Linkage Rate",ROUND($AC153*$AI153,0)))</f>
        <v/>
      </c>
      <c r="AL153" s="39" t="str">
        <f aca="false">IF(SUM($AF153,$AG153)=0,"",SUM($AF153,$AG153))</f>
        <v/>
      </c>
      <c r="AM153" s="39" t="str">
        <f aca="false">$AF153</f>
        <v/>
      </c>
      <c r="AN153" s="39" t="str">
        <f aca="false">IF(SUM($AG153)=0,"",ROUND($AG153*SUM($AI153),0))</f>
        <v/>
      </c>
      <c r="AO153" s="10" t="str">
        <f aca="false">IFERROR(1/(1/MAX(SUM($T153)-SUM($AB153,$AC153),$AD153)),"")</f>
        <v/>
      </c>
      <c r="AP153" s="88"/>
      <c r="AQ153" s="88" t="str">
        <f aca="false">IF($AP153="","",$AP153)</f>
        <v/>
      </c>
      <c r="AR153" s="88" t="str">
        <f aca="false">IF(SUM($AO153)=0,"",INDEX(Cascade!$BG:$BG,MATCH($E153,Cascade!$E:$E,0)))</f>
        <v/>
      </c>
      <c r="AS153" s="39" t="str">
        <f aca="false">IF(SUM($AO153)=0,"",IF(AND(SUM($AO153)&gt;0,$AQ153=""),"ENTER YIELD RATE",ROUND($AO153*$AQ153,0)))</f>
        <v/>
      </c>
      <c r="AT153" s="39" t="str">
        <f aca="false">IF(SUM($AO153)=0,"",$AO153-SUM($AS153))</f>
        <v/>
      </c>
      <c r="AU153" s="10" t="str">
        <f aca="false">IF(SUM($AS153)=0,"",ROUND($AS153*$AR153,0))</f>
        <v/>
      </c>
      <c r="AV153" s="10" t="str">
        <f aca="false">IFERROR(1/(1/SUM($AC153,$AB153,$AS153)),"")</f>
        <v/>
      </c>
      <c r="AW153" s="10" t="str">
        <f aca="false">IFERROR(1/(1/INDEX(Cascade!$BH:$BH,MATCH($E153,Cascade!$E:$E,0))),"")</f>
        <v/>
      </c>
      <c r="AX153" s="10" t="str">
        <f aca="false">IF(SUM($AC153)=0,"",$AC153)</f>
        <v/>
      </c>
      <c r="AY153" s="10" t="str">
        <f aca="false">IF(SUM($AS153)=0,"",$AS153)</f>
        <v/>
      </c>
      <c r="AZ153" s="10" t="str">
        <f aca="false">IFERROR(1/(1/INDEX(TB!$P:$P,MATCH($E153,TB!$E:$E,0))),"")</f>
        <v/>
      </c>
      <c r="BA153" s="10" t="str">
        <f aca="false">IFERROR(1/(1/(SUM($AW153)-SUM($AX153:$AZ153))),"")</f>
        <v/>
      </c>
    </row>
    <row r="154" customFormat="false" ht="15" hidden="false" customHeight="false" outlineLevel="0" collapsed="false">
      <c r="A154" s="0" t="str">
        <f aca="false">INDEX(Prioritization!$D:$D,MATCH($B154,Prioritization!$A:$A,0))</f>
        <v>1 - Scale-up: Saturation</v>
      </c>
      <c r="B154" s="0" t="s">
        <v>221</v>
      </c>
      <c r="C154" s="0" t="s">
        <v>368</v>
      </c>
      <c r="D154" s="0" t="s">
        <v>30</v>
      </c>
      <c r="E154" s="0" t="str">
        <f aca="false">B154&amp;"|"&amp;C154&amp;"|"&amp;D154</f>
        <v>Thyolo District [ul0y9diGujK]|50+|Female</v>
      </c>
      <c r="F154" s="10" t="n">
        <f aca="false">IF(LEFT($B154,4)="_Mil","",INDEX(Cascade!$T:$T,MATCH($E154,Cascade!$E:$E,0)))</f>
        <v>1622</v>
      </c>
      <c r="G154" s="10" t="str">
        <f aca="false">IF(LEFT($B154,4)="_Mil","",INDEX(Cascade!$U:$U,MATCH($E154,Cascade!$E:$E,0)))</f>
        <v/>
      </c>
      <c r="H154" s="86" t="n">
        <f aca="false">IF(LEFT($B154,4)="_Mil","",INDEX(Cascade!$W:$W,MATCH($E154,Cascade!$E:$E,0)))</f>
        <v>1323</v>
      </c>
      <c r="I154" s="10" t="n">
        <f aca="false">IF(LEFT($B154,4)="_Mil","",INDEX(Cascade!$Z:$Z,MATCH($E154,Cascade!$E:$E,0)))</f>
        <v>1520</v>
      </c>
      <c r="J154" s="88" t="n">
        <f aca="false">IF(LEFT($B154,4)="_Mil","",INDEX(Cascade!$AA:$AA,MATCH($E154,Cascade!$E:$E,0)))</f>
        <v>574</v>
      </c>
      <c r="K154" s="39" t="str">
        <f aca="false">IF(LEFT($B154,4)="_Mil","",_xlfn.IFNA(ROUND(INDEX(Spectrum!$N:$N,MATCH(RIGHT($B154,13)&amp;"|"&amp;$C154&amp;"|"&amp;$D154&amp;"|"&amp;K$14&amp;"|"&amp;"CY2023Q3",Spectrum!$R:$R,0)),0),""))</f>
        <v/>
      </c>
      <c r="L154" s="39" t="str">
        <f aca="false">IF(LEFT($B154,4)="_Mil","",_xlfn.IFNA(ROUND(INDEX(Spectrum!$N:$N,MATCH(RIGHT($B154,13)&amp;"|"&amp;$C154&amp;"|"&amp;$D154&amp;"|"&amp;L$14&amp;"|"&amp;"CY2023Q3",Spectrum!$R:$R,0)),0),""))</f>
        <v/>
      </c>
      <c r="M154" s="39" t="str">
        <f aca="false">IF(LEFT($B154,4)="_Mil","",_xlfn.IFNA(ROUND(INDEX(Spectrum!$N:$N,MATCH(RIGHT($B154,13)&amp;"|"&amp;$C154&amp;"|"&amp;$D154&amp;"|"&amp;M$14&amp;"|"&amp;"CY2023Q3",Spectrum!$R:$R,0)),0),""))</f>
        <v/>
      </c>
      <c r="N154" s="39" t="str">
        <f aca="false">IF(LEFT($B154,4)="_Mil","",_xlfn.IFNA(ROUND(INDEX(Spectrum!$N:$N,MATCH(RIGHT($B154,13)&amp;"|"&amp;$C154&amp;"|"&amp;$D154&amp;"|"&amp;N$14&amp;"|"&amp;"CY2023Q3",Spectrum!$R:$R,0)),0),""))</f>
        <v/>
      </c>
      <c r="O154" s="39" t="str">
        <f aca="false">IF(LEFT($B154,4)="_Mil","",_xlfn.IFNA(ROUND(INDEX(Spectrum!$N:$N,MATCH(RIGHT($B154,13)&amp;"|"&amp;$C154&amp;"|"&amp;$D154&amp;"|"&amp;O$14&amp;"|"&amp;"CY2023Q3",Spectrum!$R:$R,0)),0),""))</f>
        <v/>
      </c>
      <c r="P154" s="39" t="str">
        <f aca="false">IF(LEFT($B154,4)="_Mil","",_xlfn.IFNA(ROUND(INDEX(Spectrum!$N:$N,MATCH(RIGHT($B154,13)&amp;"|"&amp;$C154&amp;"|"&amp;$D154&amp;"|"&amp;P$14&amp;"|"&amp;"CY2023Q3",Spectrum!$R:$R,0)),0),""))</f>
        <v/>
      </c>
      <c r="Q154" s="39" t="str">
        <f aca="false">IF(LEFT($B154,4)="_Mil","",_xlfn.IFNA(ROUND(INDEX(Spectrum!$N:$N,MATCH(RIGHT($B154,13)&amp;"|"&amp;$C154&amp;"|"&amp;$D154&amp;"|"&amp;Q$14&amp;"|"&amp;"CY2022Q3",Spectrum!$R:$R,0)),0),""))</f>
        <v/>
      </c>
      <c r="R154" s="10"/>
      <c r="S154" s="88" t="n">
        <f aca="false">0</f>
        <v>0</v>
      </c>
      <c r="T154" s="39" t="str">
        <f aca="false">IF(SUM($R154)=0,"",ROUND($R154*(1+$S154),0))</f>
        <v/>
      </c>
      <c r="U154" s="88" t="str">
        <f aca="false">IF(LEFT($B154,4)="_Mil","",IF(SUM($K154)=0,IF(SUM($R154)=0,"",1),MIN($R154/$K154,1)))</f>
        <v/>
      </c>
      <c r="V154" s="39" t="str">
        <f aca="false">IF(OR(SUM($T154)=0,LEFT($B154,4)="_Mil"),"",ROUND($T154/$U154,0))</f>
        <v/>
      </c>
      <c r="W154" s="88"/>
      <c r="X154" s="88" t="str">
        <f aca="false">IF(SUM($K154,$W154)=0,"",MAX(IFERROR(SUM($L154)/$K154,0),SUM($W154)))</f>
        <v/>
      </c>
      <c r="Y154" s="88"/>
      <c r="Z154" s="88" t="str">
        <f aca="false">IF(SUM($K154,$Y154)=0,"",MIN(SUM($Y154),IFERROR(SUM($M154)/(SUM($K154)-SUM($L154)),1)))</f>
        <v/>
      </c>
      <c r="AA154" s="10" t="str">
        <f aca="false">$T154</f>
        <v/>
      </c>
      <c r="AB154" s="39" t="str">
        <f aca="false">IF(SUM($AA154)=0,"",IF(AND(SUM($AA154)&gt;0,$X154=""),"ENTER KNOWN POSITIVITY RATE",ROUND($AA154*$X154,0)))</f>
        <v/>
      </c>
      <c r="AC154" s="39" t="str">
        <f aca="false">IF(SUM($AA154)=0,"",IF(AND((SUM($AA154)-SUM($AB154))&gt;0,$Z154=""),"ENTER YIELD RATE",ROUND(($AA154-SUM($AB154))*$Z154,0)))</f>
        <v/>
      </c>
      <c r="AD154" s="39" t="str">
        <f aca="false">IF(SUM($AA154)=0,"",$AA154-SUM($AB154)-SUM($AC154))</f>
        <v/>
      </c>
      <c r="AE154" s="10" t="str">
        <f aca="false">$V154</f>
        <v/>
      </c>
      <c r="AF154" s="39" t="str">
        <f aca="false">IF(SUM($AE154)=0,"",ROUND($AE154*SUM($X154),0))</f>
        <v/>
      </c>
      <c r="AG154" s="39" t="str">
        <f aca="false">IF(SUM($AE154)=0,"",ROUND(($AE154-SUM($AF154))*SUM($Z154),0))</f>
        <v/>
      </c>
      <c r="AH154" s="39" t="str">
        <f aca="false">IF(SUM($AE154)=0,"",$AE154-SUM($AF154)-SUM($AG154))</f>
        <v/>
      </c>
      <c r="AI154" s="88" t="str">
        <f aca="false">IF(SUM($AC154)=0,"",INDEX(Cascade!$BG:$BG,MATCH($E154,Cascade!$E:$E,0)))</f>
        <v/>
      </c>
      <c r="AJ154" s="39" t="str">
        <f aca="false">$AB154</f>
        <v/>
      </c>
      <c r="AK154" s="39" t="str">
        <f aca="false">IF(SUM($AC154)=0,"",IF(AND($AI154="",SUM($AC154)&gt;0),"&lt;- Enter Linkage Rate",ROUND($AC154*$AI154,0)))</f>
        <v/>
      </c>
      <c r="AL154" s="39" t="str">
        <f aca="false">IF(SUM($AF154,$AG154)=0,"",SUM($AF154,$AG154))</f>
        <v/>
      </c>
      <c r="AM154" s="39" t="str">
        <f aca="false">$AF154</f>
        <v/>
      </c>
      <c r="AN154" s="39" t="str">
        <f aca="false">IF(SUM($AG154)=0,"",ROUND($AG154*SUM($AI154),0))</f>
        <v/>
      </c>
      <c r="AO154" s="10" t="str">
        <f aca="false">IFERROR(1/(1/MAX(SUM($T154)-SUM($AB154,$AC154),$AD154)),"")</f>
        <v/>
      </c>
      <c r="AP154" s="88"/>
      <c r="AQ154" s="88" t="str">
        <f aca="false">IF($AP154="","",$AP154)</f>
        <v/>
      </c>
      <c r="AR154" s="88" t="str">
        <f aca="false">IF(SUM($AO154)=0,"",INDEX(Cascade!$BG:$BG,MATCH($E154,Cascade!$E:$E,0)))</f>
        <v/>
      </c>
      <c r="AS154" s="39" t="str">
        <f aca="false">IF(SUM($AO154)=0,"",IF(AND(SUM($AO154)&gt;0,$AQ154=""),"ENTER YIELD RATE",ROUND($AO154*$AQ154,0)))</f>
        <v/>
      </c>
      <c r="AT154" s="39" t="str">
        <f aca="false">IF(SUM($AO154)=0,"",$AO154-SUM($AS154))</f>
        <v/>
      </c>
      <c r="AU154" s="10" t="str">
        <f aca="false">IF(SUM($AS154)=0,"",ROUND($AS154*$AR154,0))</f>
        <v/>
      </c>
      <c r="AV154" s="10" t="str">
        <f aca="false">IFERROR(1/(1/SUM($AC154,$AB154,$AS154)),"")</f>
        <v/>
      </c>
      <c r="AW154" s="10" t="str">
        <f aca="false">IFERROR(1/(1/INDEX(Cascade!$BH:$BH,MATCH($E154,Cascade!$E:$E,0))),"")</f>
        <v/>
      </c>
      <c r="AX154" s="10" t="str">
        <f aca="false">IF(SUM($AC154)=0,"",$AC154)</f>
        <v/>
      </c>
      <c r="AY154" s="10" t="str">
        <f aca="false">IF(SUM($AS154)=0,"",$AS154)</f>
        <v/>
      </c>
      <c r="AZ154" s="10" t="str">
        <f aca="false">IFERROR(1/(1/INDEX(TB!$P:$P,MATCH($E154,TB!$E:$E,0))),"")</f>
        <v/>
      </c>
      <c r="BA154" s="10" t="str">
        <f aca="false">IFERROR(1/(1/(SUM($AW154)-SUM($AX154:$AZ154))),"")</f>
        <v/>
      </c>
    </row>
    <row r="155" customFormat="false" ht="15" hidden="false" customHeight="false" outlineLevel="0" collapsed="false">
      <c r="A155" s="0" t="str">
        <f aca="false">INDEX(Prioritization!$D:$D,MATCH($B155,Prioritization!$A:$A,0))</f>
        <v>1 - Scale-up: Saturation</v>
      </c>
      <c r="B155" s="0" t="s">
        <v>222</v>
      </c>
      <c r="C155" s="0" t="s">
        <v>364</v>
      </c>
      <c r="D155" s="0" t="s">
        <v>30</v>
      </c>
      <c r="E155" s="0" t="str">
        <f aca="false">B155&amp;"|"&amp;C155&amp;"|"&amp;D155</f>
        <v>Zomba District [fyEoGEPERdI]|10-14|Female</v>
      </c>
      <c r="F155" s="10" t="n">
        <f aca="false">IF(LEFT($B155,4)="_Mil","",INDEX(Cascade!$T:$T,MATCH($E155,Cascade!$E:$E,0)))</f>
        <v>1899</v>
      </c>
      <c r="G155" s="10" t="str">
        <f aca="false">IF(LEFT($B155,4)="_Mil","",INDEX(Cascade!$U:$U,MATCH($E155,Cascade!$E:$E,0)))</f>
        <v/>
      </c>
      <c r="H155" s="86" t="n">
        <f aca="false">IF(LEFT($B155,4)="_Mil","",INDEX(Cascade!$W:$W,MATCH($E155,Cascade!$E:$E,0)))</f>
        <v>1198</v>
      </c>
      <c r="I155" s="10" t="n">
        <f aca="false">IF(LEFT($B155,4)="_Mil","",INDEX(Cascade!$Z:$Z,MATCH($E155,Cascade!$E:$E,0)))</f>
        <v>1900</v>
      </c>
      <c r="J155" s="88" t="n">
        <f aca="false">IF(LEFT($B155,4)="_Mil","",INDEX(Cascade!$AA:$AA,MATCH($E155,Cascade!$E:$E,0)))</f>
        <v>1522</v>
      </c>
      <c r="K155" s="39" t="str">
        <f aca="false">IF(LEFT($B155,4)="_Mil","",_xlfn.IFNA(ROUND(INDEX(Spectrum!$N:$N,MATCH(RIGHT($B155,13)&amp;"|"&amp;$C155&amp;"|"&amp;$D155&amp;"|"&amp;K$14&amp;"|"&amp;"CY2023Q3",Spectrum!$R:$R,0)),0),""))</f>
        <v/>
      </c>
      <c r="L155" s="39" t="str">
        <f aca="false">IF(LEFT($B155,4)="_Mil","",_xlfn.IFNA(ROUND(INDEX(Spectrum!$N:$N,MATCH(RIGHT($B155,13)&amp;"|"&amp;$C155&amp;"|"&amp;$D155&amp;"|"&amp;L$14&amp;"|"&amp;"CY2023Q3",Spectrum!$R:$R,0)),0),""))</f>
        <v/>
      </c>
      <c r="M155" s="39" t="str">
        <f aca="false">IF(LEFT($B155,4)="_Mil","",_xlfn.IFNA(ROUND(INDEX(Spectrum!$N:$N,MATCH(RIGHT($B155,13)&amp;"|"&amp;$C155&amp;"|"&amp;$D155&amp;"|"&amp;M$14&amp;"|"&amp;"CY2023Q3",Spectrum!$R:$R,0)),0),""))</f>
        <v/>
      </c>
      <c r="N155" s="39" t="str">
        <f aca="false">IF(LEFT($B155,4)="_Mil","",_xlfn.IFNA(ROUND(INDEX(Spectrum!$N:$N,MATCH(RIGHT($B155,13)&amp;"|"&amp;$C155&amp;"|"&amp;$D155&amp;"|"&amp;N$14&amp;"|"&amp;"CY2023Q3",Spectrum!$R:$R,0)),0),""))</f>
        <v/>
      </c>
      <c r="O155" s="39" t="str">
        <f aca="false">IF(LEFT($B155,4)="_Mil","",_xlfn.IFNA(ROUND(INDEX(Spectrum!$N:$N,MATCH(RIGHT($B155,13)&amp;"|"&amp;$C155&amp;"|"&amp;$D155&amp;"|"&amp;O$14&amp;"|"&amp;"CY2023Q3",Spectrum!$R:$R,0)),0),""))</f>
        <v/>
      </c>
      <c r="P155" s="39" t="str">
        <f aca="false">IF(LEFT($B155,4)="_Mil","",_xlfn.IFNA(ROUND(INDEX(Spectrum!$N:$N,MATCH(RIGHT($B155,13)&amp;"|"&amp;$C155&amp;"|"&amp;$D155&amp;"|"&amp;P$14&amp;"|"&amp;"CY2023Q3",Spectrum!$R:$R,0)),0),""))</f>
        <v/>
      </c>
      <c r="Q155" s="39" t="str">
        <f aca="false">IF(LEFT($B155,4)="_Mil","",_xlfn.IFNA(ROUND(INDEX(Spectrum!$N:$N,MATCH(RIGHT($B155,13)&amp;"|"&amp;$C155&amp;"|"&amp;$D155&amp;"|"&amp;Q$14&amp;"|"&amp;"CY2022Q3",Spectrum!$R:$R,0)),0),""))</f>
        <v/>
      </c>
      <c r="R155" s="10" t="n">
        <v>1</v>
      </c>
      <c r="S155" s="88" t="n">
        <f aca="false">0</f>
        <v>0</v>
      </c>
      <c r="T155" s="39" t="n">
        <f aca="false">IF(SUM($R155)=0,"",ROUND($R155*(1+$S155),0))</f>
        <v>1</v>
      </c>
      <c r="U155" s="88" t="n">
        <f aca="false">IF(LEFT($B155,4)="_Mil","",IF(SUM($K155)=0,IF(SUM($R155)=0,"",1),MIN($R155/$K155,1)))</f>
        <v>1</v>
      </c>
      <c r="V155" s="39" t="n">
        <f aca="false">IF(OR(SUM($T155)=0,LEFT($B155,4)="_Mil"),"",ROUND($T155/$U155,0))</f>
        <v>1</v>
      </c>
      <c r="W155" s="88" t="n">
        <v>0.387218262767419</v>
      </c>
      <c r="X155" s="88" t="n">
        <f aca="false">IF(SUM($K155,$W155)=0,"",MAX(IFERROR(SUM($L155)/$K155,0),SUM($W155)))</f>
        <v>0.387218262767419</v>
      </c>
      <c r="Y155" s="88" t="n">
        <v>0.843813059385866</v>
      </c>
      <c r="Z155" s="88" t="n">
        <f aca="false">IF(SUM($K155,$Y155)=0,"",MIN(SUM($Y155),IFERROR(SUM($M155)/(SUM($K155)-SUM($L155)),1)))</f>
        <v>0.843813059385866</v>
      </c>
      <c r="AA155" s="10" t="n">
        <f aca="false">$T155</f>
        <v>1</v>
      </c>
      <c r="AB155" s="39" t="n">
        <f aca="false">IF(SUM($AA155)=0,"",IF(AND(SUM($AA155)&gt;0,$X155=""),"ENTER KNOWN POSITIVITY RATE",ROUND($AA155*$X155,0)))</f>
        <v>0</v>
      </c>
      <c r="AC155" s="39" t="n">
        <f aca="false">IF(SUM($AA155)=0,"",IF(AND((SUM($AA155)-SUM($AB155))&gt;0,$Z155=""),"ENTER YIELD RATE",ROUND(($AA155-SUM($AB155))*$Z155,0)))</f>
        <v>1</v>
      </c>
      <c r="AD155" s="39" t="n">
        <f aca="false">IF(SUM($AA155)=0,"",$AA155-SUM($AB155)-SUM($AC155))</f>
        <v>0</v>
      </c>
      <c r="AE155" s="10" t="n">
        <f aca="false">$V155</f>
        <v>1</v>
      </c>
      <c r="AF155" s="39" t="n">
        <f aca="false">IF(SUM($AE155)=0,"",ROUND($AE155*SUM($X155),0))</f>
        <v>0</v>
      </c>
      <c r="AG155" s="39" t="n">
        <f aca="false">IF(SUM($AE155)=0,"",ROUND(($AE155-SUM($AF155))*SUM($Z155),0))</f>
        <v>1</v>
      </c>
      <c r="AH155" s="39" t="n">
        <f aca="false">IF(SUM($AE155)=0,"",$AE155-SUM($AF155)-SUM($AG155))</f>
        <v>0</v>
      </c>
      <c r="AI155" s="88" t="n">
        <f aca="false">IF(SUM($AC155)=0,"",INDEX(Cascade!$BG:$BG,MATCH($E155,Cascade!$E:$E,0)))</f>
        <v>0.95</v>
      </c>
      <c r="AJ155" s="39" t="n">
        <f aca="false">$AB155</f>
        <v>0</v>
      </c>
      <c r="AK155" s="39" t="n">
        <f aca="false">IF(SUM($AC155)=0,"",IF(AND($AI155="",SUM($AC155)&gt;0),"&lt;- Enter Linkage Rate",ROUND($AC155*$AI155,0)))</f>
        <v>1</v>
      </c>
      <c r="AL155" s="39" t="n">
        <f aca="false">IF(SUM($AF155,$AG155)=0,"",SUM($AF155,$AG155))</f>
        <v>1</v>
      </c>
      <c r="AM155" s="39" t="n">
        <f aca="false">$AF155</f>
        <v>0</v>
      </c>
      <c r="AN155" s="39" t="n">
        <f aca="false">IF(SUM($AG155)=0,"",ROUND($AG155*SUM($AI155),0))</f>
        <v>1</v>
      </c>
      <c r="AO155" s="10" t="str">
        <f aca="false">IFERROR(1/(1/MAX(SUM($T155)-SUM($AB155,$AC155),$AD155)),"")</f>
        <v/>
      </c>
      <c r="AP155" s="88"/>
      <c r="AQ155" s="88" t="str">
        <f aca="false">IF($AP155="","",$AP155)</f>
        <v/>
      </c>
      <c r="AR155" s="88" t="str">
        <f aca="false">IF(SUM($AO155)=0,"",INDEX(Cascade!$BG:$BG,MATCH($E155,Cascade!$E:$E,0)))</f>
        <v/>
      </c>
      <c r="AS155" s="39" t="str">
        <f aca="false">IF(SUM($AO155)=0,"",IF(AND(SUM($AO155)&gt;0,$AQ155=""),"ENTER YIELD RATE",ROUND($AO155*$AQ155,0)))</f>
        <v/>
      </c>
      <c r="AT155" s="39" t="str">
        <f aca="false">IF(SUM($AO155)=0,"",$AO155-SUM($AS155))</f>
        <v/>
      </c>
      <c r="AU155" s="10" t="str">
        <f aca="false">IF(SUM($AS155)=0,"",ROUND($AS155*$AR155,0))</f>
        <v/>
      </c>
      <c r="AV155" s="10" t="n">
        <f aca="false">IFERROR(1/(1/SUM($AC155,$AB155,$AS155)),"")</f>
        <v>1</v>
      </c>
      <c r="AW155" s="10" t="n">
        <f aca="false">IFERROR(1/(1/INDEX(Cascade!$BH:$BH,MATCH($E155,Cascade!$E:$E,0))),"")</f>
        <v>-25</v>
      </c>
      <c r="AX155" s="10" t="n">
        <f aca="false">IF(SUM($AC155)=0,"",$AC155)</f>
        <v>1</v>
      </c>
      <c r="AY155" s="10" t="str">
        <f aca="false">IF(SUM($AS155)=0,"",$AS155)</f>
        <v/>
      </c>
      <c r="AZ155" s="10" t="str">
        <f aca="false">IFERROR(1/(1/INDEX(TB!$P:$P,MATCH($E155,TB!$E:$E,0))),"")</f>
        <v/>
      </c>
      <c r="BA155" s="10" t="n">
        <f aca="false">IFERROR(1/(1/(SUM($AW155)-SUM($AX155:$AZ155))),"")</f>
        <v>-26</v>
      </c>
    </row>
    <row r="156" customFormat="false" ht="15" hidden="false" customHeight="false" outlineLevel="0" collapsed="false">
      <c r="A156" s="0" t="str">
        <f aca="false">INDEX(Prioritization!$D:$D,MATCH($B156,Prioritization!$A:$A,0))</f>
        <v>1 - Scale-up: Saturation</v>
      </c>
      <c r="B156" s="0" t="s">
        <v>222</v>
      </c>
      <c r="C156" s="0" t="s">
        <v>365</v>
      </c>
      <c r="D156" s="0" t="s">
        <v>30</v>
      </c>
      <c r="E156" s="0" t="str">
        <f aca="false">B156&amp;"|"&amp;C156&amp;"|"&amp;D156</f>
        <v>Zomba District [fyEoGEPERdI]|15-24|Female</v>
      </c>
      <c r="F156" s="10" t="n">
        <f aca="false">IF(LEFT($B156,4)="_Mil","",INDEX(Cascade!$T:$T,MATCH($E156,Cascade!$E:$E,0)))</f>
        <v>1475</v>
      </c>
      <c r="G156" s="10" t="str">
        <f aca="false">IF(LEFT($B156,4)="_Mil","",INDEX(Cascade!$U:$U,MATCH($E156,Cascade!$E:$E,0)))</f>
        <v/>
      </c>
      <c r="H156" s="86" t="n">
        <f aca="false">IF(LEFT($B156,4)="_Mil","",INDEX(Cascade!$W:$W,MATCH($E156,Cascade!$E:$E,0)))</f>
        <v>845</v>
      </c>
      <c r="I156" s="10" t="n">
        <f aca="false">IF(LEFT($B156,4)="_Mil","",INDEX(Cascade!$Z:$Z,MATCH($E156,Cascade!$E:$E,0)))</f>
        <v>1673</v>
      </c>
      <c r="J156" s="88" t="n">
        <f aca="false">IF(LEFT($B156,4)="_Mil","",INDEX(Cascade!$AA:$AA,MATCH($E156,Cascade!$E:$E,0)))</f>
        <v>654</v>
      </c>
      <c r="K156" s="39" t="n">
        <f aca="false">IF(LEFT($B156,4)="_Mil","",_xlfn.IFNA(ROUND(INDEX(Spectrum!$N:$N,MATCH(RIGHT($B156,13)&amp;"|"&amp;$C156&amp;"|"&amp;$D156&amp;"|"&amp;K$14&amp;"|"&amp;"CY2023Q3",Spectrum!$R:$R,0)),0),""))</f>
        <v>1476</v>
      </c>
      <c r="L156" s="39" t="str">
        <f aca="false">IF(LEFT($B156,4)="_Mil","",_xlfn.IFNA(ROUND(INDEX(Spectrum!$N:$N,MATCH(RIGHT($B156,13)&amp;"|"&amp;$C156&amp;"|"&amp;$D156&amp;"|"&amp;L$14&amp;"|"&amp;"CY2023Q3",Spectrum!$R:$R,0)),0),""))</f>
        <v/>
      </c>
      <c r="M156" s="39" t="n">
        <f aca="false">IF(LEFT($B156,4)="_Mil","",_xlfn.IFNA(ROUND(INDEX(Spectrum!$N:$N,MATCH(RIGHT($B156,13)&amp;"|"&amp;$C156&amp;"|"&amp;$D156&amp;"|"&amp;M$14&amp;"|"&amp;"CY2023Q3",Spectrum!$R:$R,0)),0),""))</f>
        <v>1571</v>
      </c>
      <c r="N156" s="39" t="n">
        <f aca="false">IF(LEFT($B156,4)="_Mil","",_xlfn.IFNA(ROUND(INDEX(Spectrum!$N:$N,MATCH(RIGHT($B156,13)&amp;"|"&amp;$C156&amp;"|"&amp;$D156&amp;"|"&amp;N$14&amp;"|"&amp;"CY2023Q3",Spectrum!$R:$R,0)),0),""))</f>
        <v>1137</v>
      </c>
      <c r="O156" s="39" t="n">
        <f aca="false">IF(LEFT($B156,4)="_Mil","",_xlfn.IFNA(ROUND(INDEX(Spectrum!$N:$N,MATCH(RIGHT($B156,13)&amp;"|"&amp;$C156&amp;"|"&amp;$D156&amp;"|"&amp;O$14&amp;"|"&amp;"CY2023Q3",Spectrum!$R:$R,0)),0),""))</f>
        <v>627</v>
      </c>
      <c r="P156" s="39" t="n">
        <f aca="false">IF(LEFT($B156,4)="_Mil","",_xlfn.IFNA(ROUND(INDEX(Spectrum!$N:$N,MATCH(RIGHT($B156,13)&amp;"|"&amp;$C156&amp;"|"&amp;$D156&amp;"|"&amp;P$14&amp;"|"&amp;"CY2023Q3",Spectrum!$R:$R,0)),0),""))</f>
        <v>1747</v>
      </c>
      <c r="Q156" s="39" t="str">
        <f aca="false">IF(LEFT($B156,4)="_Mil","",_xlfn.IFNA(ROUND(INDEX(Spectrum!$N:$N,MATCH(RIGHT($B156,13)&amp;"|"&amp;$C156&amp;"|"&amp;$D156&amp;"|"&amp;Q$14&amp;"|"&amp;"CY2022Q3",Spectrum!$R:$R,0)),0),""))</f>
        <v/>
      </c>
      <c r="R156" s="10"/>
      <c r="S156" s="88" t="n">
        <f aca="false">0</f>
        <v>0</v>
      </c>
      <c r="T156" s="39" t="str">
        <f aca="false">IF(SUM($R156)=0,"",ROUND($R156*(1+$S156),0))</f>
        <v/>
      </c>
      <c r="U156" s="88" t="n">
        <f aca="false">IF(LEFT($B156,4)="_Mil","",IF(SUM($K156)=0,IF(SUM($R156)=0,"",1),MIN($R156/$K156,1)))</f>
        <v>0</v>
      </c>
      <c r="V156" s="39" t="str">
        <f aca="false">IF(OR(SUM($T156)=0,LEFT($B156,4)="_Mil"),"",ROUND($T156/$U156,0))</f>
        <v/>
      </c>
      <c r="W156" s="88"/>
      <c r="X156" s="88" t="n">
        <f aca="false">IF(SUM($K156,$W156)=0,"",MAX(IFERROR(SUM($L156)/$K156,0),SUM($W156)))</f>
        <v>0</v>
      </c>
      <c r="Y156" s="88"/>
      <c r="Z156" s="88" t="n">
        <f aca="false">IF(SUM($K156,$Y156)=0,"",MIN(SUM($Y156),IFERROR(SUM($M156)/(SUM($K156)-SUM($L156)),1)))</f>
        <v>0</v>
      </c>
      <c r="AA156" s="10" t="str">
        <f aca="false">$T156</f>
        <v/>
      </c>
      <c r="AB156" s="39" t="str">
        <f aca="false">IF(SUM($AA156)=0,"",IF(AND(SUM($AA156)&gt;0,$X156=""),"ENTER KNOWN POSITIVITY RATE",ROUND($AA156*$X156,0)))</f>
        <v/>
      </c>
      <c r="AC156" s="39" t="str">
        <f aca="false">IF(SUM($AA156)=0,"",IF(AND((SUM($AA156)-SUM($AB156))&gt;0,$Z156=""),"ENTER YIELD RATE",ROUND(($AA156-SUM($AB156))*$Z156,0)))</f>
        <v/>
      </c>
      <c r="AD156" s="39" t="str">
        <f aca="false">IF(SUM($AA156)=0,"",$AA156-SUM($AB156)-SUM($AC156))</f>
        <v/>
      </c>
      <c r="AE156" s="10" t="str">
        <f aca="false">$V156</f>
        <v/>
      </c>
      <c r="AF156" s="39" t="str">
        <f aca="false">IF(SUM($AE156)=0,"",ROUND($AE156*SUM($X156),0))</f>
        <v/>
      </c>
      <c r="AG156" s="39" t="str">
        <f aca="false">IF(SUM($AE156)=0,"",ROUND(($AE156-SUM($AF156))*SUM($Z156),0))</f>
        <v/>
      </c>
      <c r="AH156" s="39" t="str">
        <f aca="false">IF(SUM($AE156)=0,"",$AE156-SUM($AF156)-SUM($AG156))</f>
        <v/>
      </c>
      <c r="AI156" s="88" t="str">
        <f aca="false">IF(SUM($AC156)=0,"",INDEX(Cascade!$BG:$BG,MATCH($E156,Cascade!$E:$E,0)))</f>
        <v/>
      </c>
      <c r="AJ156" s="39" t="str">
        <f aca="false">$AB156</f>
        <v/>
      </c>
      <c r="AK156" s="39" t="str">
        <f aca="false">IF(SUM($AC156)=0,"",IF(AND($AI156="",SUM($AC156)&gt;0),"&lt;- Enter Linkage Rate",ROUND($AC156*$AI156,0)))</f>
        <v/>
      </c>
      <c r="AL156" s="39" t="str">
        <f aca="false">IF(SUM($AF156,$AG156)=0,"",SUM($AF156,$AG156))</f>
        <v/>
      </c>
      <c r="AM156" s="39" t="str">
        <f aca="false">$AF156</f>
        <v/>
      </c>
      <c r="AN156" s="39" t="str">
        <f aca="false">IF(SUM($AG156)=0,"",ROUND($AG156*SUM($AI156),0))</f>
        <v/>
      </c>
      <c r="AO156" s="10" t="str">
        <f aca="false">IFERROR(1/(1/MAX(SUM($T156)-SUM($AB156,$AC156),$AD156)),"")</f>
        <v/>
      </c>
      <c r="AP156" s="88"/>
      <c r="AQ156" s="88" t="str">
        <f aca="false">IF($AP156="","",$AP156)</f>
        <v/>
      </c>
      <c r="AR156" s="88" t="str">
        <f aca="false">IF(SUM($AO156)=0,"",INDEX(Cascade!$BG:$BG,MATCH($E156,Cascade!$E:$E,0)))</f>
        <v/>
      </c>
      <c r="AS156" s="39" t="str">
        <f aca="false">IF(SUM($AO156)=0,"",IF(AND(SUM($AO156)&gt;0,$AQ156=""),"ENTER YIELD RATE",ROUND($AO156*$AQ156,0)))</f>
        <v/>
      </c>
      <c r="AT156" s="39" t="str">
        <f aca="false">IF(SUM($AO156)=0,"",$AO156-SUM($AS156))</f>
        <v/>
      </c>
      <c r="AU156" s="10" t="str">
        <f aca="false">IF(SUM($AS156)=0,"",ROUND($AS156*$AR156,0))</f>
        <v/>
      </c>
      <c r="AV156" s="10" t="str">
        <f aca="false">IFERROR(1/(1/SUM($AC156,$AB156,$AS156)),"")</f>
        <v/>
      </c>
      <c r="AW156" s="10" t="str">
        <f aca="false">IFERROR(1/(1/INDEX(Cascade!$BH:$BH,MATCH($E156,Cascade!$E:$E,0))),"")</f>
        <v/>
      </c>
      <c r="AX156" s="10" t="str">
        <f aca="false">IF(SUM($AC156)=0,"",$AC156)</f>
        <v/>
      </c>
      <c r="AY156" s="10" t="str">
        <f aca="false">IF(SUM($AS156)=0,"",$AS156)</f>
        <v/>
      </c>
      <c r="AZ156" s="10" t="str">
        <f aca="false">IFERROR(1/(1/INDEX(TB!$P:$P,MATCH($E156,TB!$E:$E,0))),"")</f>
        <v/>
      </c>
      <c r="BA156" s="10" t="str">
        <f aca="false">IFERROR(1/(1/(SUM($AW156)-SUM($AX156:$AZ156))),"")</f>
        <v/>
      </c>
    </row>
    <row r="157" customFormat="false" ht="15" hidden="false" customHeight="false" outlineLevel="0" collapsed="false">
      <c r="A157" s="0" t="str">
        <f aca="false">INDEX(Prioritization!$D:$D,MATCH($B157,Prioritization!$A:$A,0))</f>
        <v>1 - Scale-up: Saturation</v>
      </c>
      <c r="B157" s="0" t="s">
        <v>222</v>
      </c>
      <c r="C157" s="0" t="s">
        <v>366</v>
      </c>
      <c r="D157" s="0" t="s">
        <v>30</v>
      </c>
      <c r="E157" s="0" t="str">
        <f aca="false">B157&amp;"|"&amp;C157&amp;"|"&amp;D157</f>
        <v>Zomba District [fyEoGEPERdI]|25-34|Female</v>
      </c>
      <c r="F157" s="10" t="n">
        <f aca="false">IF(LEFT($B157,4)="_Mil","",INDEX(Cascade!$T:$T,MATCH($E157,Cascade!$E:$E,0)))</f>
        <v>1113</v>
      </c>
      <c r="G157" s="10" t="str">
        <f aca="false">IF(LEFT($B157,4)="_Mil","",INDEX(Cascade!$U:$U,MATCH($E157,Cascade!$E:$E,0)))</f>
        <v/>
      </c>
      <c r="H157" s="86" t="n">
        <f aca="false">IF(LEFT($B157,4)="_Mil","",INDEX(Cascade!$W:$W,MATCH($E157,Cascade!$E:$E,0)))</f>
        <v>707</v>
      </c>
      <c r="I157" s="10" t="n">
        <f aca="false">IF(LEFT($B157,4)="_Mil","",INDEX(Cascade!$Z:$Z,MATCH($E157,Cascade!$E:$E,0)))</f>
        <v>1176</v>
      </c>
      <c r="J157" s="88" t="n">
        <f aca="false">IF(LEFT($B157,4)="_Mil","",INDEX(Cascade!$AA:$AA,MATCH($E157,Cascade!$E:$E,0)))</f>
        <v>1525</v>
      </c>
      <c r="K157" s="39" t="n">
        <f aca="false">IF(LEFT($B157,4)="_Mil","",_xlfn.IFNA(ROUND(INDEX(Spectrum!$N:$N,MATCH(RIGHT($B157,13)&amp;"|"&amp;$C157&amp;"|"&amp;$D157&amp;"|"&amp;K$14&amp;"|"&amp;"CY2023Q3",Spectrum!$R:$R,0)),0),""))</f>
        <v>741</v>
      </c>
      <c r="L157" s="39" t="str">
        <f aca="false">IF(LEFT($B157,4)="_Mil","",_xlfn.IFNA(ROUND(INDEX(Spectrum!$N:$N,MATCH(RIGHT($B157,13)&amp;"|"&amp;$C157&amp;"|"&amp;$D157&amp;"|"&amp;L$14&amp;"|"&amp;"CY2023Q3",Spectrum!$R:$R,0)),0),""))</f>
        <v/>
      </c>
      <c r="M157" s="39" t="n">
        <f aca="false">IF(LEFT($B157,4)="_Mil","",_xlfn.IFNA(ROUND(INDEX(Spectrum!$N:$N,MATCH(RIGHT($B157,13)&amp;"|"&amp;$C157&amp;"|"&amp;$D157&amp;"|"&amp;M$14&amp;"|"&amp;"CY2023Q3",Spectrum!$R:$R,0)),0),""))</f>
        <v>1498</v>
      </c>
      <c r="N157" s="39" t="n">
        <f aca="false">IF(LEFT($B157,4)="_Mil","",_xlfn.IFNA(ROUND(INDEX(Spectrum!$N:$N,MATCH(RIGHT($B157,13)&amp;"|"&amp;$C157&amp;"|"&amp;$D157&amp;"|"&amp;N$14&amp;"|"&amp;"CY2023Q3",Spectrum!$R:$R,0)),0),""))</f>
        <v>871</v>
      </c>
      <c r="O157" s="39" t="n">
        <f aca="false">IF(LEFT($B157,4)="_Mil","",_xlfn.IFNA(ROUND(INDEX(Spectrum!$N:$N,MATCH(RIGHT($B157,13)&amp;"|"&amp;$C157&amp;"|"&amp;$D157&amp;"|"&amp;O$14&amp;"|"&amp;"CY2023Q3",Spectrum!$R:$R,0)),0),""))</f>
        <v>1159</v>
      </c>
      <c r="P157" s="39" t="n">
        <f aca="false">IF(LEFT($B157,4)="_Mil","",_xlfn.IFNA(ROUND(INDEX(Spectrum!$N:$N,MATCH(RIGHT($B157,13)&amp;"|"&amp;$C157&amp;"|"&amp;$D157&amp;"|"&amp;P$14&amp;"|"&amp;"CY2023Q3",Spectrum!$R:$R,0)),0),""))</f>
        <v>972</v>
      </c>
      <c r="Q157" s="39" t="str">
        <f aca="false">IF(LEFT($B157,4)="_Mil","",_xlfn.IFNA(ROUND(INDEX(Spectrum!$N:$N,MATCH(RIGHT($B157,13)&amp;"|"&amp;$C157&amp;"|"&amp;$D157&amp;"|"&amp;Q$14&amp;"|"&amp;"CY2022Q3",Spectrum!$R:$R,0)),0),""))</f>
        <v/>
      </c>
      <c r="R157" s="10"/>
      <c r="S157" s="88" t="n">
        <f aca="false">0</f>
        <v>0</v>
      </c>
      <c r="T157" s="39" t="str">
        <f aca="false">IF(SUM($R157)=0,"",ROUND($R157*(1+$S157),0))</f>
        <v/>
      </c>
      <c r="U157" s="88" t="n">
        <f aca="false">IF(LEFT($B157,4)="_Mil","",IF(SUM($K157)=0,IF(SUM($R157)=0,"",1),MIN($R157/$K157,1)))</f>
        <v>0</v>
      </c>
      <c r="V157" s="39" t="str">
        <f aca="false">IF(OR(SUM($T157)=0,LEFT($B157,4)="_Mil"),"",ROUND($T157/$U157,0))</f>
        <v/>
      </c>
      <c r="W157" s="88"/>
      <c r="X157" s="88" t="n">
        <f aca="false">IF(SUM($K157,$W157)=0,"",MAX(IFERROR(SUM($L157)/$K157,0),SUM($W157)))</f>
        <v>0</v>
      </c>
      <c r="Y157" s="88"/>
      <c r="Z157" s="88" t="n">
        <f aca="false">IF(SUM($K157,$Y157)=0,"",MIN(SUM($Y157),IFERROR(SUM($M157)/(SUM($K157)-SUM($L157)),1)))</f>
        <v>0</v>
      </c>
      <c r="AA157" s="10" t="str">
        <f aca="false">$T157</f>
        <v/>
      </c>
      <c r="AB157" s="39" t="str">
        <f aca="false">IF(SUM($AA157)=0,"",IF(AND(SUM($AA157)&gt;0,$X157=""),"ENTER KNOWN POSITIVITY RATE",ROUND($AA157*$X157,0)))</f>
        <v/>
      </c>
      <c r="AC157" s="39" t="str">
        <f aca="false">IF(SUM($AA157)=0,"",IF(AND((SUM($AA157)-SUM($AB157))&gt;0,$Z157=""),"ENTER YIELD RATE",ROUND(($AA157-SUM($AB157))*$Z157,0)))</f>
        <v/>
      </c>
      <c r="AD157" s="39" t="str">
        <f aca="false">IF(SUM($AA157)=0,"",$AA157-SUM($AB157)-SUM($AC157))</f>
        <v/>
      </c>
      <c r="AE157" s="10" t="str">
        <f aca="false">$V157</f>
        <v/>
      </c>
      <c r="AF157" s="39" t="str">
        <f aca="false">IF(SUM($AE157)=0,"",ROUND($AE157*SUM($X157),0))</f>
        <v/>
      </c>
      <c r="AG157" s="39" t="str">
        <f aca="false">IF(SUM($AE157)=0,"",ROUND(($AE157-SUM($AF157))*SUM($Z157),0))</f>
        <v/>
      </c>
      <c r="AH157" s="39" t="str">
        <f aca="false">IF(SUM($AE157)=0,"",$AE157-SUM($AF157)-SUM($AG157))</f>
        <v/>
      </c>
      <c r="AI157" s="88" t="str">
        <f aca="false">IF(SUM($AC157)=0,"",INDEX(Cascade!$BG:$BG,MATCH($E157,Cascade!$E:$E,0)))</f>
        <v/>
      </c>
      <c r="AJ157" s="39" t="str">
        <f aca="false">$AB157</f>
        <v/>
      </c>
      <c r="AK157" s="39" t="str">
        <f aca="false">IF(SUM($AC157)=0,"",IF(AND($AI157="",SUM($AC157)&gt;0),"&lt;- Enter Linkage Rate",ROUND($AC157*$AI157,0)))</f>
        <v/>
      </c>
      <c r="AL157" s="39" t="str">
        <f aca="false">IF(SUM($AF157,$AG157)=0,"",SUM($AF157,$AG157))</f>
        <v/>
      </c>
      <c r="AM157" s="39" t="str">
        <f aca="false">$AF157</f>
        <v/>
      </c>
      <c r="AN157" s="39" t="str">
        <f aca="false">IF(SUM($AG157)=0,"",ROUND($AG157*SUM($AI157),0))</f>
        <v/>
      </c>
      <c r="AO157" s="10" t="str">
        <f aca="false">IFERROR(1/(1/MAX(SUM($T157)-SUM($AB157,$AC157),$AD157)),"")</f>
        <v/>
      </c>
      <c r="AP157" s="88"/>
      <c r="AQ157" s="88" t="str">
        <f aca="false">IF($AP157="","",$AP157)</f>
        <v/>
      </c>
      <c r="AR157" s="88" t="str">
        <f aca="false">IF(SUM($AO157)=0,"",INDEX(Cascade!$BG:$BG,MATCH($E157,Cascade!$E:$E,0)))</f>
        <v/>
      </c>
      <c r="AS157" s="39" t="str">
        <f aca="false">IF(SUM($AO157)=0,"",IF(AND(SUM($AO157)&gt;0,$AQ157=""),"ENTER YIELD RATE",ROUND($AO157*$AQ157,0)))</f>
        <v/>
      </c>
      <c r="AT157" s="39" t="str">
        <f aca="false">IF(SUM($AO157)=0,"",$AO157-SUM($AS157))</f>
        <v/>
      </c>
      <c r="AU157" s="10" t="str">
        <f aca="false">IF(SUM($AS157)=0,"",ROUND($AS157*$AR157,0))</f>
        <v/>
      </c>
      <c r="AV157" s="10" t="str">
        <f aca="false">IFERROR(1/(1/SUM($AC157,$AB157,$AS157)),"")</f>
        <v/>
      </c>
      <c r="AW157" s="10" t="str">
        <f aca="false">IFERROR(1/(1/INDEX(Cascade!$BH:$BH,MATCH($E157,Cascade!$E:$E,0))),"")</f>
        <v/>
      </c>
      <c r="AX157" s="10" t="str">
        <f aca="false">IF(SUM($AC157)=0,"",$AC157)</f>
        <v/>
      </c>
      <c r="AY157" s="10" t="str">
        <f aca="false">IF(SUM($AS157)=0,"",$AS157)</f>
        <v/>
      </c>
      <c r="AZ157" s="10" t="str">
        <f aca="false">IFERROR(1/(1/INDEX(TB!$P:$P,MATCH($E157,TB!$E:$E,0))),"")</f>
        <v/>
      </c>
      <c r="BA157" s="10" t="str">
        <f aca="false">IFERROR(1/(1/(SUM($AW157)-SUM($AX157:$AZ157))),"")</f>
        <v/>
      </c>
    </row>
    <row r="158" customFormat="false" ht="15" hidden="false" customHeight="false" outlineLevel="0" collapsed="false">
      <c r="A158" s="0" t="str">
        <f aca="false">INDEX(Prioritization!$D:$D,MATCH($B158,Prioritization!$A:$A,0))</f>
        <v>1 - Scale-up: Saturation</v>
      </c>
      <c r="B158" s="0" t="s">
        <v>222</v>
      </c>
      <c r="C158" s="0" t="s">
        <v>367</v>
      </c>
      <c r="D158" s="0" t="s">
        <v>30</v>
      </c>
      <c r="E158" s="0" t="str">
        <f aca="false">B158&amp;"|"&amp;C158&amp;"|"&amp;D158</f>
        <v>Zomba District [fyEoGEPERdI]|35-49|Female</v>
      </c>
      <c r="F158" s="10" t="n">
        <f aca="false">IF(LEFT($B158,4)="_Mil","",INDEX(Cascade!$T:$T,MATCH($E158,Cascade!$E:$E,0)))</f>
        <v>1411</v>
      </c>
      <c r="G158" s="10" t="str">
        <f aca="false">IF(LEFT($B158,4)="_Mil","",INDEX(Cascade!$U:$U,MATCH($E158,Cascade!$E:$E,0)))</f>
        <v/>
      </c>
      <c r="H158" s="86" t="n">
        <f aca="false">IF(LEFT($B158,4)="_Mil","",INDEX(Cascade!$W:$W,MATCH($E158,Cascade!$E:$E,0)))</f>
        <v>615</v>
      </c>
      <c r="I158" s="10" t="n">
        <f aca="false">IF(LEFT($B158,4)="_Mil","",INDEX(Cascade!$Z:$Z,MATCH($E158,Cascade!$E:$E,0)))</f>
        <v>1370</v>
      </c>
      <c r="J158" s="88" t="n">
        <f aca="false">IF(LEFT($B158,4)="_Mil","",INDEX(Cascade!$AA:$AA,MATCH($E158,Cascade!$E:$E,0)))</f>
        <v>1588</v>
      </c>
      <c r="K158" s="39" t="n">
        <f aca="false">IF(LEFT($B158,4)="_Mil","",_xlfn.IFNA(ROUND(INDEX(Spectrum!$N:$N,MATCH(RIGHT($B158,13)&amp;"|"&amp;$C158&amp;"|"&amp;$D158&amp;"|"&amp;K$14&amp;"|"&amp;"CY2023Q3",Spectrum!$R:$R,0)),0),""))</f>
        <v>983</v>
      </c>
      <c r="L158" s="39" t="str">
        <f aca="false">IF(LEFT($B158,4)="_Mil","",_xlfn.IFNA(ROUND(INDEX(Spectrum!$N:$N,MATCH(RIGHT($B158,13)&amp;"|"&amp;$C158&amp;"|"&amp;$D158&amp;"|"&amp;L$14&amp;"|"&amp;"CY2023Q3",Spectrum!$R:$R,0)),0),""))</f>
        <v/>
      </c>
      <c r="M158" s="39" t="n">
        <f aca="false">IF(LEFT($B158,4)="_Mil","",_xlfn.IFNA(ROUND(INDEX(Spectrum!$N:$N,MATCH(RIGHT($B158,13)&amp;"|"&amp;$C158&amp;"|"&amp;$D158&amp;"|"&amp;M$14&amp;"|"&amp;"CY2023Q3",Spectrum!$R:$R,0)),0),""))</f>
        <v>1388</v>
      </c>
      <c r="N158" s="39" t="n">
        <f aca="false">IF(LEFT($B158,4)="_Mil","",_xlfn.IFNA(ROUND(INDEX(Spectrum!$N:$N,MATCH(RIGHT($B158,13)&amp;"|"&amp;$C158&amp;"|"&amp;$D158&amp;"|"&amp;N$14&amp;"|"&amp;"CY2023Q3",Spectrum!$R:$R,0)),0),""))</f>
        <v>1269</v>
      </c>
      <c r="O158" s="39" t="n">
        <f aca="false">IF(LEFT($B158,4)="_Mil","",_xlfn.IFNA(ROUND(INDEX(Spectrum!$N:$N,MATCH(RIGHT($B158,13)&amp;"|"&amp;$C158&amp;"|"&amp;$D158&amp;"|"&amp;O$14&amp;"|"&amp;"CY2023Q3",Spectrum!$R:$R,0)),0),""))</f>
        <v>1648</v>
      </c>
      <c r="P158" s="39" t="n">
        <f aca="false">IF(LEFT($B158,4)="_Mil","",_xlfn.IFNA(ROUND(INDEX(Spectrum!$N:$N,MATCH(RIGHT($B158,13)&amp;"|"&amp;$C158&amp;"|"&amp;$D158&amp;"|"&amp;P$14&amp;"|"&amp;"CY2023Q3",Spectrum!$R:$R,0)),0),""))</f>
        <v>1877</v>
      </c>
      <c r="Q158" s="39" t="str">
        <f aca="false">IF(LEFT($B158,4)="_Mil","",_xlfn.IFNA(ROUND(INDEX(Spectrum!$N:$N,MATCH(RIGHT($B158,13)&amp;"|"&amp;$C158&amp;"|"&amp;$D158&amp;"|"&amp;Q$14&amp;"|"&amp;"CY2022Q3",Spectrum!$R:$R,0)),0),""))</f>
        <v/>
      </c>
      <c r="R158" s="10"/>
      <c r="S158" s="88" t="n">
        <f aca="false">0</f>
        <v>0</v>
      </c>
      <c r="T158" s="39" t="str">
        <f aca="false">IF(SUM($R158)=0,"",ROUND($R158*(1+$S158),0))</f>
        <v/>
      </c>
      <c r="U158" s="88" t="n">
        <f aca="false">IF(LEFT($B158,4)="_Mil","",IF(SUM($K158)=0,IF(SUM($R158)=0,"",1),MIN($R158/$K158,1)))</f>
        <v>0</v>
      </c>
      <c r="V158" s="39" t="str">
        <f aca="false">IF(OR(SUM($T158)=0,LEFT($B158,4)="_Mil"),"",ROUND($T158/$U158,0))</f>
        <v/>
      </c>
      <c r="W158" s="88"/>
      <c r="X158" s="88" t="n">
        <f aca="false">IF(SUM($K158,$W158)=0,"",MAX(IFERROR(SUM($L158)/$K158,0),SUM($W158)))</f>
        <v>0</v>
      </c>
      <c r="Y158" s="88"/>
      <c r="Z158" s="88" t="n">
        <f aca="false">IF(SUM($K158,$Y158)=0,"",MIN(SUM($Y158),IFERROR(SUM($M158)/(SUM($K158)-SUM($L158)),1)))</f>
        <v>0</v>
      </c>
      <c r="AA158" s="10" t="str">
        <f aca="false">$T158</f>
        <v/>
      </c>
      <c r="AB158" s="39" t="str">
        <f aca="false">IF(SUM($AA158)=0,"",IF(AND(SUM($AA158)&gt;0,$X158=""),"ENTER KNOWN POSITIVITY RATE",ROUND($AA158*$X158,0)))</f>
        <v/>
      </c>
      <c r="AC158" s="39" t="str">
        <f aca="false">IF(SUM($AA158)=0,"",IF(AND((SUM($AA158)-SUM($AB158))&gt;0,$Z158=""),"ENTER YIELD RATE",ROUND(($AA158-SUM($AB158))*$Z158,0)))</f>
        <v/>
      </c>
      <c r="AD158" s="39" t="str">
        <f aca="false">IF(SUM($AA158)=0,"",$AA158-SUM($AB158)-SUM($AC158))</f>
        <v/>
      </c>
      <c r="AE158" s="10" t="str">
        <f aca="false">$V158</f>
        <v/>
      </c>
      <c r="AF158" s="39" t="str">
        <f aca="false">IF(SUM($AE158)=0,"",ROUND($AE158*SUM($X158),0))</f>
        <v/>
      </c>
      <c r="AG158" s="39" t="str">
        <f aca="false">IF(SUM($AE158)=0,"",ROUND(($AE158-SUM($AF158))*SUM($Z158),0))</f>
        <v/>
      </c>
      <c r="AH158" s="39" t="str">
        <f aca="false">IF(SUM($AE158)=0,"",$AE158-SUM($AF158)-SUM($AG158))</f>
        <v/>
      </c>
      <c r="AI158" s="88" t="str">
        <f aca="false">IF(SUM($AC158)=0,"",INDEX(Cascade!$BG:$BG,MATCH($E158,Cascade!$E:$E,0)))</f>
        <v/>
      </c>
      <c r="AJ158" s="39" t="str">
        <f aca="false">$AB158</f>
        <v/>
      </c>
      <c r="AK158" s="39" t="str">
        <f aca="false">IF(SUM($AC158)=0,"",IF(AND($AI158="",SUM($AC158)&gt;0),"&lt;- Enter Linkage Rate",ROUND($AC158*$AI158,0)))</f>
        <v/>
      </c>
      <c r="AL158" s="39" t="str">
        <f aca="false">IF(SUM($AF158,$AG158)=0,"",SUM($AF158,$AG158))</f>
        <v/>
      </c>
      <c r="AM158" s="39" t="str">
        <f aca="false">$AF158</f>
        <v/>
      </c>
      <c r="AN158" s="39" t="str">
        <f aca="false">IF(SUM($AG158)=0,"",ROUND($AG158*SUM($AI158),0))</f>
        <v/>
      </c>
      <c r="AO158" s="10" t="str">
        <f aca="false">IFERROR(1/(1/MAX(SUM($T158)-SUM($AB158,$AC158),$AD158)),"")</f>
        <v/>
      </c>
      <c r="AP158" s="88"/>
      <c r="AQ158" s="88" t="str">
        <f aca="false">IF($AP158="","",$AP158)</f>
        <v/>
      </c>
      <c r="AR158" s="88" t="str">
        <f aca="false">IF(SUM($AO158)=0,"",INDEX(Cascade!$BG:$BG,MATCH($E158,Cascade!$E:$E,0)))</f>
        <v/>
      </c>
      <c r="AS158" s="39" t="str">
        <f aca="false">IF(SUM($AO158)=0,"",IF(AND(SUM($AO158)&gt;0,$AQ158=""),"ENTER YIELD RATE",ROUND($AO158*$AQ158,0)))</f>
        <v/>
      </c>
      <c r="AT158" s="39" t="str">
        <f aca="false">IF(SUM($AO158)=0,"",$AO158-SUM($AS158))</f>
        <v/>
      </c>
      <c r="AU158" s="10" t="str">
        <f aca="false">IF(SUM($AS158)=0,"",ROUND($AS158*$AR158,0))</f>
        <v/>
      </c>
      <c r="AV158" s="10" t="str">
        <f aca="false">IFERROR(1/(1/SUM($AC158,$AB158,$AS158)),"")</f>
        <v/>
      </c>
      <c r="AW158" s="10" t="str">
        <f aca="false">IFERROR(1/(1/INDEX(Cascade!$BH:$BH,MATCH($E158,Cascade!$E:$E,0))),"")</f>
        <v/>
      </c>
      <c r="AX158" s="10" t="str">
        <f aca="false">IF(SUM($AC158)=0,"",$AC158)</f>
        <v/>
      </c>
      <c r="AY158" s="10" t="str">
        <f aca="false">IF(SUM($AS158)=0,"",$AS158)</f>
        <v/>
      </c>
      <c r="AZ158" s="10" t="str">
        <f aca="false">IFERROR(1/(1/INDEX(TB!$P:$P,MATCH($E158,TB!$E:$E,0))),"")</f>
        <v/>
      </c>
      <c r="BA158" s="10" t="str">
        <f aca="false">IFERROR(1/(1/(SUM($AW158)-SUM($AX158:$AZ158))),"")</f>
        <v/>
      </c>
    </row>
    <row r="159" customFormat="false" ht="15" hidden="false" customHeight="false" outlineLevel="0" collapsed="false">
      <c r="A159" s="0" t="str">
        <f aca="false">INDEX(Prioritization!$D:$D,MATCH($B159,Prioritization!$A:$A,0))</f>
        <v>1 - Scale-up: Saturation</v>
      </c>
      <c r="B159" s="0" t="s">
        <v>222</v>
      </c>
      <c r="C159" s="0" t="s">
        <v>368</v>
      </c>
      <c r="D159" s="0" t="s">
        <v>30</v>
      </c>
      <c r="E159" s="0" t="str">
        <f aca="false">B159&amp;"|"&amp;C159&amp;"|"&amp;D159</f>
        <v>Zomba District [fyEoGEPERdI]|50+|Female</v>
      </c>
      <c r="F159" s="10" t="n">
        <f aca="false">IF(LEFT($B159,4)="_Mil","",INDEX(Cascade!$T:$T,MATCH($E159,Cascade!$E:$E,0)))</f>
        <v>1491</v>
      </c>
      <c r="G159" s="10" t="str">
        <f aca="false">IF(LEFT($B159,4)="_Mil","",INDEX(Cascade!$U:$U,MATCH($E159,Cascade!$E:$E,0)))</f>
        <v/>
      </c>
      <c r="H159" s="86" t="n">
        <f aca="false">IF(LEFT($B159,4)="_Mil","",INDEX(Cascade!$W:$W,MATCH($E159,Cascade!$E:$E,0)))</f>
        <v>1678</v>
      </c>
      <c r="I159" s="10" t="n">
        <f aca="false">IF(LEFT($B159,4)="_Mil","",INDEX(Cascade!$Z:$Z,MATCH($E159,Cascade!$E:$E,0)))</f>
        <v>1101</v>
      </c>
      <c r="J159" s="88" t="n">
        <f aca="false">IF(LEFT($B159,4)="_Mil","",INDEX(Cascade!$AA:$AA,MATCH($E159,Cascade!$E:$E,0)))</f>
        <v>1194</v>
      </c>
      <c r="K159" s="39" t="str">
        <f aca="false">IF(LEFT($B159,4)="_Mil","",_xlfn.IFNA(ROUND(INDEX(Spectrum!$N:$N,MATCH(RIGHT($B159,13)&amp;"|"&amp;$C159&amp;"|"&amp;$D159&amp;"|"&amp;K$14&amp;"|"&amp;"CY2023Q3",Spectrum!$R:$R,0)),0),""))</f>
        <v/>
      </c>
      <c r="L159" s="39" t="str">
        <f aca="false">IF(LEFT($B159,4)="_Mil","",_xlfn.IFNA(ROUND(INDEX(Spectrum!$N:$N,MATCH(RIGHT($B159,13)&amp;"|"&amp;$C159&amp;"|"&amp;$D159&amp;"|"&amp;L$14&amp;"|"&amp;"CY2023Q3",Spectrum!$R:$R,0)),0),""))</f>
        <v/>
      </c>
      <c r="M159" s="39" t="str">
        <f aca="false">IF(LEFT($B159,4)="_Mil","",_xlfn.IFNA(ROUND(INDEX(Spectrum!$N:$N,MATCH(RIGHT($B159,13)&amp;"|"&amp;$C159&amp;"|"&amp;$D159&amp;"|"&amp;M$14&amp;"|"&amp;"CY2023Q3",Spectrum!$R:$R,0)),0),""))</f>
        <v/>
      </c>
      <c r="N159" s="39" t="str">
        <f aca="false">IF(LEFT($B159,4)="_Mil","",_xlfn.IFNA(ROUND(INDEX(Spectrum!$N:$N,MATCH(RIGHT($B159,13)&amp;"|"&amp;$C159&amp;"|"&amp;$D159&amp;"|"&amp;N$14&amp;"|"&amp;"CY2023Q3",Spectrum!$R:$R,0)),0),""))</f>
        <v/>
      </c>
      <c r="O159" s="39" t="str">
        <f aca="false">IF(LEFT($B159,4)="_Mil","",_xlfn.IFNA(ROUND(INDEX(Spectrum!$N:$N,MATCH(RIGHT($B159,13)&amp;"|"&amp;$C159&amp;"|"&amp;$D159&amp;"|"&amp;O$14&amp;"|"&amp;"CY2023Q3",Spectrum!$R:$R,0)),0),""))</f>
        <v/>
      </c>
      <c r="P159" s="39" t="str">
        <f aca="false">IF(LEFT($B159,4)="_Mil","",_xlfn.IFNA(ROUND(INDEX(Spectrum!$N:$N,MATCH(RIGHT($B159,13)&amp;"|"&amp;$C159&amp;"|"&amp;$D159&amp;"|"&amp;P$14&amp;"|"&amp;"CY2023Q3",Spectrum!$R:$R,0)),0),""))</f>
        <v/>
      </c>
      <c r="Q159" s="39" t="str">
        <f aca="false">IF(LEFT($B159,4)="_Mil","",_xlfn.IFNA(ROUND(INDEX(Spectrum!$N:$N,MATCH(RIGHT($B159,13)&amp;"|"&amp;$C159&amp;"|"&amp;$D159&amp;"|"&amp;Q$14&amp;"|"&amp;"CY2022Q3",Spectrum!$R:$R,0)),0),""))</f>
        <v/>
      </c>
      <c r="R159" s="10"/>
      <c r="S159" s="88" t="n">
        <f aca="false">0</f>
        <v>0</v>
      </c>
      <c r="T159" s="39" t="str">
        <f aca="false">IF(SUM($R159)=0,"",ROUND($R159*(1+$S159),0))</f>
        <v/>
      </c>
      <c r="U159" s="88" t="str">
        <f aca="false">IF(LEFT($B159,4)="_Mil","",IF(SUM($K159)=0,IF(SUM($R159)=0,"",1),MIN($R159/$K159,1)))</f>
        <v/>
      </c>
      <c r="V159" s="39" t="str">
        <f aca="false">IF(OR(SUM($T159)=0,LEFT($B159,4)="_Mil"),"",ROUND($T159/$U159,0))</f>
        <v/>
      </c>
      <c r="W159" s="88"/>
      <c r="X159" s="88" t="str">
        <f aca="false">IF(SUM($K159,$W159)=0,"",MAX(IFERROR(SUM($L159)/$K159,0),SUM($W159)))</f>
        <v/>
      </c>
      <c r="Y159" s="88"/>
      <c r="Z159" s="88" t="str">
        <f aca="false">IF(SUM($K159,$Y159)=0,"",MIN(SUM($Y159),IFERROR(SUM($M159)/(SUM($K159)-SUM($L159)),1)))</f>
        <v/>
      </c>
      <c r="AA159" s="10" t="str">
        <f aca="false">$T159</f>
        <v/>
      </c>
      <c r="AB159" s="39" t="str">
        <f aca="false">IF(SUM($AA159)=0,"",IF(AND(SUM($AA159)&gt;0,$X159=""),"ENTER KNOWN POSITIVITY RATE",ROUND($AA159*$X159,0)))</f>
        <v/>
      </c>
      <c r="AC159" s="39" t="str">
        <f aca="false">IF(SUM($AA159)=0,"",IF(AND((SUM($AA159)-SUM($AB159))&gt;0,$Z159=""),"ENTER YIELD RATE",ROUND(($AA159-SUM($AB159))*$Z159,0)))</f>
        <v/>
      </c>
      <c r="AD159" s="39" t="str">
        <f aca="false">IF(SUM($AA159)=0,"",$AA159-SUM($AB159)-SUM($AC159))</f>
        <v/>
      </c>
      <c r="AE159" s="10" t="str">
        <f aca="false">$V159</f>
        <v/>
      </c>
      <c r="AF159" s="39" t="str">
        <f aca="false">IF(SUM($AE159)=0,"",ROUND($AE159*SUM($X159),0))</f>
        <v/>
      </c>
      <c r="AG159" s="39" t="str">
        <f aca="false">IF(SUM($AE159)=0,"",ROUND(($AE159-SUM($AF159))*SUM($Z159),0))</f>
        <v/>
      </c>
      <c r="AH159" s="39" t="str">
        <f aca="false">IF(SUM($AE159)=0,"",$AE159-SUM($AF159)-SUM($AG159))</f>
        <v/>
      </c>
      <c r="AI159" s="88" t="str">
        <f aca="false">IF(SUM($AC159)=0,"",INDEX(Cascade!$BG:$BG,MATCH($E159,Cascade!$E:$E,0)))</f>
        <v/>
      </c>
      <c r="AJ159" s="39" t="str">
        <f aca="false">$AB159</f>
        <v/>
      </c>
      <c r="AK159" s="39" t="str">
        <f aca="false">IF(SUM($AC159)=0,"",IF(AND($AI159="",SUM($AC159)&gt;0),"&lt;- Enter Linkage Rate",ROUND($AC159*$AI159,0)))</f>
        <v/>
      </c>
      <c r="AL159" s="39" t="str">
        <f aca="false">IF(SUM($AF159,$AG159)=0,"",SUM($AF159,$AG159))</f>
        <v/>
      </c>
      <c r="AM159" s="39" t="str">
        <f aca="false">$AF159</f>
        <v/>
      </c>
      <c r="AN159" s="39" t="str">
        <f aca="false">IF(SUM($AG159)=0,"",ROUND($AG159*SUM($AI159),0))</f>
        <v/>
      </c>
      <c r="AO159" s="10" t="str">
        <f aca="false">IFERROR(1/(1/MAX(SUM($T159)-SUM($AB159,$AC159),$AD159)),"")</f>
        <v/>
      </c>
      <c r="AP159" s="88"/>
      <c r="AQ159" s="88" t="str">
        <f aca="false">IF($AP159="","",$AP159)</f>
        <v/>
      </c>
      <c r="AR159" s="88" t="str">
        <f aca="false">IF(SUM($AO159)=0,"",INDEX(Cascade!$BG:$BG,MATCH($E159,Cascade!$E:$E,0)))</f>
        <v/>
      </c>
      <c r="AS159" s="39" t="str">
        <f aca="false">IF(SUM($AO159)=0,"",IF(AND(SUM($AO159)&gt;0,$AQ159=""),"ENTER YIELD RATE",ROUND($AO159*$AQ159,0)))</f>
        <v/>
      </c>
      <c r="AT159" s="39" t="str">
        <f aca="false">IF(SUM($AO159)=0,"",$AO159-SUM($AS159))</f>
        <v/>
      </c>
      <c r="AU159" s="10" t="str">
        <f aca="false">IF(SUM($AS159)=0,"",ROUND($AS159*$AR159,0))</f>
        <v/>
      </c>
      <c r="AV159" s="10" t="str">
        <f aca="false">IFERROR(1/(1/SUM($AC159,$AB159,$AS159)),"")</f>
        <v/>
      </c>
      <c r="AW159" s="10" t="str">
        <f aca="false">IFERROR(1/(1/INDEX(Cascade!$BH:$BH,MATCH($E159,Cascade!$E:$E,0))),"")</f>
        <v/>
      </c>
      <c r="AX159" s="10" t="str">
        <f aca="false">IF(SUM($AC159)=0,"",$AC159)</f>
        <v/>
      </c>
      <c r="AY159" s="10" t="str">
        <f aca="false">IF(SUM($AS159)=0,"",$AS159)</f>
        <v/>
      </c>
      <c r="AZ159" s="10" t="str">
        <f aca="false">IFERROR(1/(1/INDEX(TB!$P:$P,MATCH($E159,TB!$E:$E,0))),"")</f>
        <v/>
      </c>
      <c r="BA159" s="10" t="str">
        <f aca="false">IFERROR(1/(1/(SUM($AW159)-SUM($AX159:$AZ159))),"")</f>
        <v/>
      </c>
    </row>
  </sheetData>
  <mergeCells count="1">
    <mergeCell ref="A2:B3"/>
  </mergeCells>
  <conditionalFormatting sqref="S1:S1048576">
    <cfRule type="expression" priority="2" aboveAverage="0" equalAverage="0" bottom="0" percent="0" rank="0" text="" dxfId="34">
      <formula>AND(ISNUMBER($S1),ROUND($S1,2)&lt;&gt;0)</formula>
    </cfRule>
  </conditionalFormatting>
  <conditionalFormatting sqref="AI1:AI1048576 AR1:AR1048576">
    <cfRule type="expression" priority="3" aboveAverage="0" equalAverage="0" bottom="0" percent="0" rank="0" text="" dxfId="35">
      <formula>AND(ISNUMBER(AI1),ROUND(AI1,2)&lt;0.95)</formula>
    </cfRule>
  </conditionalFormatting>
  <conditionalFormatting sqref="X1:X1048576">
    <cfRule type="expression" priority="4" aboveAverage="0" equalAverage="0" bottom="0" percent="0" rank="0" text="" dxfId="36">
      <formula>$AB1="ENTER KNOWN POSITIVITY RATE"</formula>
    </cfRule>
    <cfRule type="expression" priority="5" aboveAverage="0" equalAverage="0" bottom="0" percent="0" rank="0" text="" dxfId="37">
      <formula>AND(ISNUMBER(X1),ROUND(X1,2)&gt;=0.75)</formula>
    </cfRule>
  </conditionalFormatting>
  <conditionalFormatting sqref="Z1:Z1048576 AQ1:AQ1048576">
    <cfRule type="expression" priority="6" aboveAverage="0" equalAverage="0" bottom="0" percent="0" rank="0" text="" dxfId="38">
      <formula>AND(ISNUMBER(Z1),Z1&gt;10%)</formula>
    </cfRule>
  </conditionalFormatting>
  <conditionalFormatting sqref="F1:Q1048576 U1:V1048576 AE1:AH1048576 AL1:AN1048576">
    <cfRule type="expression" priority="7" aboveAverage="0" equalAverage="0" bottom="0" percent="0" rank="0" text="" dxfId="39">
      <formula>AND(ROW(F1)&gt;14,LEFT($B1,4)="_Mil")</formula>
    </cfRule>
  </conditionalFormatting>
  <conditionalFormatting sqref="H1:H1048576 U1:U1048576 W1:Z1048576 AI1:AI1048576 AP1:AR1048576">
    <cfRule type="expression" priority="8" aboveAverage="0" equalAverage="0" bottom="0" percent="0" rank="0" text="" dxfId="40">
      <formula>AND(ISNUMBER(H1),H1&gt;1)</formula>
    </cfRule>
  </conditionalFormatting>
  <conditionalFormatting sqref="F1:R1048576 T1:BA1048576">
    <cfRule type="expression" priority="9" aboveAverage="0" equalAverage="0" bottom="0" percent="0" rank="0" text="" dxfId="41">
      <formula>AND(ISNUMBER(F1),F1&lt;0)</formula>
    </cfRule>
  </conditionalFormatting>
  <conditionalFormatting sqref="AQ1:AQ1048576">
    <cfRule type="expression" priority="10" aboveAverage="0" equalAverage="0" bottom="0" percent="0" rank="0" text="" dxfId="42">
      <formula>$AS1="ENTER YIELD RATE"</formula>
    </cfRule>
  </conditionalFormatting>
  <conditionalFormatting sqref="Z1:Z1048576">
    <cfRule type="expression" priority="11" aboveAverage="0" equalAverage="0" bottom="0" percent="0" rank="0" text="" dxfId="43">
      <formula>$AC1="ENTER YIELD RATE"</formula>
    </cfRule>
  </conditionalFormatting>
  <conditionalFormatting sqref="J1:J1048576">
    <cfRule type="expression" priority="12" aboveAverage="0" equalAverage="0" bottom="0" percent="0" rank="0" text="" dxfId="44">
      <formula>AND(ISNUMBER(J1),J1&gt;1)</formula>
    </cfRule>
  </conditionalFormatting>
  <hyperlinks>
    <hyperlink ref="F3" location="Cascade!T:T" display="P.C. Est. Female Population (FY23)"/>
    <hyperlink ref="G3" location="Cascade!U:U" display="P.C. Est. PLHIV (FY23)"/>
    <hyperlink ref="H3" location="Cascade!V:V" display="P.C. Est. HIV Prevalence (FY23) (%)"/>
    <hyperlink ref="I3" location="Cascade!Y:Y" display="P.C. Est. # on ART (FY23)"/>
    <hyperlink ref="J3" location="Cascade!Z:Z" display="P.C. Est. ART Coverage (ART/PLHIV) (FY23) (%)"/>
    <hyperlink ref="AW3" location="Cascade!BE:BE" display="Total HTS_TST_POS (FY24)"/>
    <hyperlink ref="AX3" location="PMTCT!AC:AC" display="Total New Positives from PMTCT_STAT ANC1 (FY24)"/>
    <hyperlink ref="AY3" location="PMTCT!AS:AS" display="Total New Positives from PMTCT Post ANC1 (FY24)"/>
    <hyperlink ref="AZ3" location="TB!P:P" display="Total New Positives from TB_STAT (FY24)"/>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4" topLeftCell="C15" activePane="bottomRight" state="frozen"/>
      <selection pane="topLeft" activeCell="A1" activeCellId="0" sqref="A1"/>
      <selection pane="topRight" activeCell="C1" activeCellId="0" sqref="C1"/>
      <selection pane="bottomLeft" activeCell="A15" activeCellId="0" sqref="A15"/>
      <selection pane="bottomRight" activeCell="J4" activeCellId="0" sqref="J4"/>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22" min="3" style="0" width="11.83"/>
  </cols>
  <sheetData>
    <row r="1" customFormat="false" ht="30.75" hidden="false" customHeight="true" outlineLevel="0" collapsed="false">
      <c r="A1" s="41" t="s">
        <v>917</v>
      </c>
      <c r="B1" s="15"/>
      <c r="C1" s="42" t="s">
        <v>918</v>
      </c>
      <c r="D1" s="47"/>
      <c r="E1" s="47"/>
      <c r="F1" s="43"/>
      <c r="G1" s="43"/>
      <c r="H1" s="48" t="s">
        <v>919</v>
      </c>
      <c r="I1" s="47"/>
      <c r="J1" s="47"/>
      <c r="K1" s="47"/>
      <c r="L1" s="43"/>
      <c r="M1" s="47"/>
      <c r="N1" s="43"/>
      <c r="O1" s="47"/>
      <c r="P1" s="43"/>
      <c r="Q1" s="47"/>
      <c r="R1" s="18"/>
      <c r="S1" s="47"/>
      <c r="T1" s="43"/>
      <c r="U1" s="47"/>
      <c r="V1" s="43"/>
    </row>
    <row r="2" customFormat="false" ht="18.75" hidden="false" customHeight="true" outlineLevel="0" collapsed="false">
      <c r="A2" s="22"/>
      <c r="B2" s="19"/>
      <c r="C2" s="50"/>
      <c r="F2" s="21" t="s">
        <v>177</v>
      </c>
      <c r="G2" s="21" t="s">
        <v>177</v>
      </c>
      <c r="H2" s="54"/>
      <c r="I2" s="52"/>
      <c r="J2" s="52"/>
      <c r="L2" s="21" t="s">
        <v>177</v>
      </c>
      <c r="N2" s="21" t="s">
        <v>177</v>
      </c>
      <c r="P2" s="21" t="s">
        <v>177</v>
      </c>
      <c r="R2" s="116"/>
      <c r="T2" s="21" t="s">
        <v>177</v>
      </c>
      <c r="V2" s="21" t="s">
        <v>177</v>
      </c>
    </row>
    <row r="3" customFormat="false" ht="117" hidden="false" customHeight="true" outlineLevel="0" collapsed="false">
      <c r="A3" s="59"/>
      <c r="B3" s="23"/>
      <c r="C3" s="137" t="s">
        <v>920</v>
      </c>
      <c r="D3" s="160" t="s">
        <v>921</v>
      </c>
      <c r="E3" s="160" t="s">
        <v>922</v>
      </c>
      <c r="F3" s="72" t="s">
        <v>923</v>
      </c>
      <c r="G3" s="72" t="s">
        <v>924</v>
      </c>
      <c r="H3" s="140" t="s">
        <v>925</v>
      </c>
      <c r="I3" s="71" t="s">
        <v>926</v>
      </c>
      <c r="J3" s="65" t="s">
        <v>927</v>
      </c>
      <c r="K3" s="65" t="s">
        <v>928</v>
      </c>
      <c r="L3" s="167" t="s">
        <v>929</v>
      </c>
      <c r="M3" s="65" t="s">
        <v>286</v>
      </c>
      <c r="N3" s="167" t="s">
        <v>930</v>
      </c>
      <c r="O3" s="65" t="s">
        <v>931</v>
      </c>
      <c r="P3" s="167" t="s">
        <v>932</v>
      </c>
      <c r="Q3" s="65" t="s">
        <v>933</v>
      </c>
      <c r="R3" s="167" t="s">
        <v>934</v>
      </c>
      <c r="S3" s="65" t="s">
        <v>935</v>
      </c>
      <c r="T3" s="167" t="s">
        <v>936</v>
      </c>
      <c r="U3" s="65" t="s">
        <v>937</v>
      </c>
      <c r="V3" s="167" t="s">
        <v>938</v>
      </c>
    </row>
    <row r="4" customFormat="false" ht="15" hidden="false" customHeight="false" outlineLevel="0" collapsed="false">
      <c r="A4" s="73"/>
      <c r="B4" s="27" t="s">
        <v>288</v>
      </c>
      <c r="C4" s="74" t="n">
        <f aca="false">SUBTOTAL(109,C$15:INDEX(C:C,COUNTA($B:$B)+14-COUNTA($B$1:$B$14)))</f>
        <v>0</v>
      </c>
      <c r="D4" s="84" t="str">
        <f aca="false">IF(SUM($C4)=0,"",SUM($F4)/$C4)</f>
        <v/>
      </c>
      <c r="E4" s="84" t="str">
        <f aca="false">IF(SUM($C4)=0,"",SUM($F4,$G4)/$C4)</f>
        <v/>
      </c>
      <c r="F4" s="82" t="n">
        <f aca="false">SUBTOTAL(109,F$15:INDEX(F:F,COUNTA($B:$B)+14-COUNTA($B$1:$B$14)))</f>
        <v>0</v>
      </c>
      <c r="G4" s="82" t="n">
        <f aca="false">SUBTOTAL(109,G$15:INDEX(G:G,COUNTA($B:$B)+14-COUNTA($B$1:$B$14)))</f>
        <v>0</v>
      </c>
      <c r="H4" s="83"/>
      <c r="I4" s="84"/>
      <c r="J4" s="84"/>
      <c r="K4" s="84"/>
      <c r="L4" s="82" t="n">
        <f aca="false">SUBTOTAL(109,L$15:INDEX(L:L,COUNTA($B:$B)+14-COUNTA($B$1:$B$14)))</f>
        <v>0</v>
      </c>
      <c r="M4" s="84" t="str">
        <f aca="false">IF(SUM($L4)=0,"",SUM($N4)/$L4)</f>
        <v/>
      </c>
      <c r="N4" s="82" t="n">
        <f aca="false">SUBTOTAL(109,N$15:INDEX(N:N,COUNTA($B:$B)+14-COUNTA($B$1:$B$14)))</f>
        <v>0</v>
      </c>
      <c r="O4" s="84" t="str">
        <f aca="false">IF(SUM($N4)=0,"",SUM($P4)/$N4)</f>
        <v/>
      </c>
      <c r="P4" s="82" t="n">
        <f aca="false">SUBTOTAL(109,P$15:INDEX(P:P,COUNTA($B:$B)+14-COUNTA($B$1:$B$14)))</f>
        <v>0</v>
      </c>
      <c r="Q4" s="84" t="str">
        <f aca="false">IF(SUM($N4)=0,"",SUM($R4)/$N4)</f>
        <v/>
      </c>
      <c r="R4" s="75" t="n">
        <f aca="false">SUBTOTAL(109,R$15:INDEX(R:R,COUNTA($B:$B)+14-COUNTA($B$1:$B$14)))</f>
        <v>0</v>
      </c>
      <c r="S4" s="84" t="str">
        <f aca="false">IF(SUM($R4)=0,"",SUM($T4)/$R4)</f>
        <v/>
      </c>
      <c r="T4" s="82" t="n">
        <f aca="false">SUBTOTAL(109,T$15:INDEX(T:T,COUNTA($B:$B)+14-COUNTA($B$1:$B$14)))</f>
        <v>0</v>
      </c>
      <c r="U4" s="84" t="str">
        <f aca="false">IF(SUM($T4)=0,"",SUM($V4)/$T4)</f>
        <v/>
      </c>
      <c r="V4" s="82" t="n">
        <f aca="false">SUBTOTAL(109,V$15:INDEX(V:V,COUNTA($B:$B)+14-COUNTA($B$1:$B$14)))</f>
        <v>0</v>
      </c>
    </row>
    <row r="5" customFormat="false" ht="12.8" hidden="false" customHeight="false" outlineLevel="0" collapsed="false">
      <c r="A5" s="0" t="s">
        <v>181</v>
      </c>
      <c r="B5" s="9" t="s">
        <v>181</v>
      </c>
      <c r="C5" s="85" t="s">
        <v>181</v>
      </c>
      <c r="D5" s="88" t="s">
        <v>181</v>
      </c>
      <c r="E5" s="88" t="s">
        <v>181</v>
      </c>
      <c r="F5" s="5" t="s">
        <v>289</v>
      </c>
      <c r="G5" s="5" t="s">
        <v>289</v>
      </c>
      <c r="H5" s="92" t="s">
        <v>181</v>
      </c>
      <c r="I5" s="88" t="s">
        <v>181</v>
      </c>
      <c r="J5" s="88" t="s">
        <v>181</v>
      </c>
      <c r="K5" s="88" t="s">
        <v>181</v>
      </c>
      <c r="L5" s="5" t="s">
        <v>181</v>
      </c>
      <c r="M5" s="88" t="s">
        <v>181</v>
      </c>
      <c r="N5" s="5" t="s">
        <v>181</v>
      </c>
      <c r="O5" s="88" t="s">
        <v>181</v>
      </c>
      <c r="P5" s="5" t="s">
        <v>181</v>
      </c>
      <c r="Q5" s="87" t="s">
        <v>181</v>
      </c>
      <c r="R5" s="91" t="s">
        <v>181</v>
      </c>
      <c r="S5" s="87" t="s">
        <v>181</v>
      </c>
      <c r="T5" s="5" t="s">
        <v>181</v>
      </c>
      <c r="U5" s="87" t="s">
        <v>181</v>
      </c>
      <c r="V5" s="5" t="s">
        <v>181</v>
      </c>
    </row>
    <row r="6" customFormat="false" ht="12.8" hidden="false" customHeight="false" outlineLevel="0" collapsed="false">
      <c r="A6" s="0" t="s">
        <v>183</v>
      </c>
      <c r="B6" s="9" t="s">
        <v>183</v>
      </c>
      <c r="C6" s="85" t="s">
        <v>186</v>
      </c>
      <c r="D6" s="88" t="s">
        <v>291</v>
      </c>
      <c r="E6" s="88" t="s">
        <v>291</v>
      </c>
      <c r="F6" s="5" t="s">
        <v>185</v>
      </c>
      <c r="G6" s="5" t="s">
        <v>185</v>
      </c>
      <c r="H6" s="92" t="s">
        <v>292</v>
      </c>
      <c r="I6" s="88" t="s">
        <v>292</v>
      </c>
      <c r="J6" s="88" t="s">
        <v>291</v>
      </c>
      <c r="K6" s="88" t="s">
        <v>291</v>
      </c>
      <c r="L6" s="5" t="s">
        <v>186</v>
      </c>
      <c r="M6" s="88" t="s">
        <v>291</v>
      </c>
      <c r="N6" s="5" t="s">
        <v>186</v>
      </c>
      <c r="O6" s="88" t="s">
        <v>291</v>
      </c>
      <c r="P6" s="5" t="s">
        <v>186</v>
      </c>
      <c r="Q6" s="87" t="s">
        <v>291</v>
      </c>
      <c r="R6" s="91" t="s">
        <v>186</v>
      </c>
      <c r="S6" s="87" t="s">
        <v>291</v>
      </c>
      <c r="T6" s="5" t="s">
        <v>186</v>
      </c>
      <c r="U6" s="87" t="s">
        <v>291</v>
      </c>
      <c r="V6" s="5" t="s">
        <v>186</v>
      </c>
    </row>
    <row r="7" customFormat="false" ht="12.8" hidden="false" customHeight="false" outlineLevel="0" collapsed="false">
      <c r="A7" s="0" t="s">
        <v>187</v>
      </c>
      <c r="B7" s="9" t="s">
        <v>187</v>
      </c>
      <c r="C7" s="85" t="s">
        <v>188</v>
      </c>
      <c r="D7" s="88" t="s">
        <v>294</v>
      </c>
      <c r="E7" s="88" t="s">
        <v>294</v>
      </c>
      <c r="F7" s="5" t="s">
        <v>188</v>
      </c>
      <c r="G7" s="5" t="s">
        <v>188</v>
      </c>
      <c r="H7" s="92" t="s">
        <v>294</v>
      </c>
      <c r="I7" s="88" t="s">
        <v>294</v>
      </c>
      <c r="J7" s="88" t="s">
        <v>294</v>
      </c>
      <c r="K7" s="88" t="s">
        <v>294</v>
      </c>
      <c r="L7" s="5" t="s">
        <v>188</v>
      </c>
      <c r="M7" s="88" t="s">
        <v>294</v>
      </c>
      <c r="N7" s="5" t="s">
        <v>188</v>
      </c>
      <c r="O7" s="88" t="s">
        <v>294</v>
      </c>
      <c r="P7" s="5" t="s">
        <v>188</v>
      </c>
      <c r="Q7" s="87" t="s">
        <v>294</v>
      </c>
      <c r="R7" s="91" t="s">
        <v>188</v>
      </c>
      <c r="S7" s="87" t="s">
        <v>294</v>
      </c>
      <c r="T7" s="5" t="s">
        <v>188</v>
      </c>
      <c r="U7" s="87" t="s">
        <v>294</v>
      </c>
      <c r="V7" s="5" t="s">
        <v>188</v>
      </c>
    </row>
    <row r="8" customFormat="false" ht="12.8" hidden="false" customHeight="false" outlineLevel="0" collapsed="false">
      <c r="B8" s="9"/>
      <c r="F8" s="97" t="s">
        <v>939</v>
      </c>
      <c r="G8" s="97" t="s">
        <v>939</v>
      </c>
      <c r="H8" s="92"/>
      <c r="I8" s="88"/>
      <c r="J8" s="88"/>
      <c r="K8" s="88"/>
      <c r="M8" s="88"/>
      <c r="O8" s="88"/>
      <c r="Q8" s="88"/>
      <c r="R8" s="91"/>
      <c r="S8" s="88"/>
      <c r="U8" s="88"/>
    </row>
    <row r="9" customFormat="false" ht="12.8" hidden="false" customHeight="false" outlineLevel="0" collapsed="false">
      <c r="B9" s="9"/>
      <c r="F9" s="97" t="s">
        <v>940</v>
      </c>
      <c r="G9" s="97" t="s">
        <v>940</v>
      </c>
      <c r="H9" s="92"/>
      <c r="I9" s="88"/>
      <c r="J9" s="88"/>
      <c r="K9" s="88"/>
      <c r="M9" s="88"/>
      <c r="O9" s="88"/>
      <c r="Q9" s="88"/>
      <c r="R9" s="91"/>
      <c r="S9" s="88"/>
      <c r="U9" s="88"/>
    </row>
    <row r="10" customFormat="false" ht="12.8" hidden="false" customHeight="false" outlineLevel="0" collapsed="false">
      <c r="B10" s="9"/>
      <c r="F10" s="97" t="s">
        <v>941</v>
      </c>
      <c r="G10" s="97" t="s">
        <v>942</v>
      </c>
      <c r="H10" s="92"/>
      <c r="I10" s="88"/>
      <c r="J10" s="88"/>
      <c r="K10" s="88"/>
      <c r="M10" s="88"/>
      <c r="O10" s="88"/>
      <c r="Q10" s="88"/>
      <c r="R10" s="91"/>
      <c r="S10" s="88"/>
      <c r="U10" s="88"/>
    </row>
    <row r="11" customFormat="false" ht="12.8" hidden="false" customHeight="false" outlineLevel="0" collapsed="false">
      <c r="B11" s="9"/>
      <c r="H11" s="92"/>
      <c r="I11" s="88"/>
      <c r="J11" s="88"/>
      <c r="K11" s="88"/>
      <c r="M11" s="88"/>
      <c r="O11" s="88"/>
      <c r="Q11" s="88"/>
      <c r="R11" s="91"/>
      <c r="S11" s="88"/>
      <c r="U11" s="88"/>
    </row>
    <row r="12" customFormat="false" ht="12.8" hidden="false" customHeight="false" outlineLevel="0" collapsed="false">
      <c r="B12" s="9"/>
      <c r="H12" s="92"/>
      <c r="I12" s="88"/>
      <c r="J12" s="88"/>
      <c r="K12" s="88"/>
      <c r="M12" s="88"/>
      <c r="O12" s="88"/>
      <c r="Q12" s="88"/>
      <c r="R12" s="91"/>
      <c r="S12" s="88"/>
      <c r="U12" s="88"/>
    </row>
    <row r="13" customFormat="false" ht="12.8" hidden="false" customHeight="false" outlineLevel="0" collapsed="false">
      <c r="B13" s="9"/>
      <c r="H13" s="92"/>
      <c r="I13" s="88"/>
      <c r="J13" s="88"/>
      <c r="K13" s="88"/>
      <c r="M13" s="88"/>
      <c r="O13" s="88"/>
      <c r="Q13" s="88"/>
      <c r="R13" s="91"/>
      <c r="S13" s="88"/>
      <c r="U13" s="88"/>
    </row>
    <row r="14" customFormat="false" ht="15" hidden="false" customHeight="false" outlineLevel="0" collapsed="false">
      <c r="A14" s="100" t="s">
        <v>176</v>
      </c>
      <c r="B14" s="33" t="s">
        <v>190</v>
      </c>
      <c r="C14" s="101" t="s">
        <v>943</v>
      </c>
      <c r="D14" s="103" t="s">
        <v>944</v>
      </c>
      <c r="E14" s="103" t="s">
        <v>945</v>
      </c>
      <c r="F14" s="107" t="s">
        <v>946</v>
      </c>
      <c r="G14" s="107" t="s">
        <v>947</v>
      </c>
      <c r="H14" s="105" t="s">
        <v>948</v>
      </c>
      <c r="I14" s="103" t="s">
        <v>949</v>
      </c>
      <c r="J14" s="103" t="s">
        <v>950</v>
      </c>
      <c r="K14" s="103" t="s">
        <v>951</v>
      </c>
      <c r="L14" s="107" t="s">
        <v>952</v>
      </c>
      <c r="M14" s="103" t="s">
        <v>953</v>
      </c>
      <c r="N14" s="107" t="s">
        <v>342</v>
      </c>
      <c r="O14" s="103" t="s">
        <v>954</v>
      </c>
      <c r="P14" s="107" t="s">
        <v>955</v>
      </c>
      <c r="Q14" s="103" t="s">
        <v>956</v>
      </c>
      <c r="R14" s="36" t="s">
        <v>957</v>
      </c>
      <c r="S14" s="103" t="s">
        <v>958</v>
      </c>
      <c r="T14" s="107" t="s">
        <v>959</v>
      </c>
      <c r="U14" s="103" t="s">
        <v>960</v>
      </c>
      <c r="V14" s="107" t="s">
        <v>961</v>
      </c>
    </row>
    <row r="15" customFormat="false" ht="15" hidden="false" customHeight="false" outlineLevel="0" collapsed="false">
      <c r="A15" s="91" t="str">
        <f aca="false">INDEX(Prioritization!$D:$D,MATCH($B15,Prioritization!$A:$A,0))</f>
        <v>Military</v>
      </c>
      <c r="B15" s="40" t="s">
        <v>194</v>
      </c>
      <c r="C15" s="85" t="n">
        <f aca="false">SUMIF(PMTCT!$B:$B,$B15,PMTCT!$AV:$AV)</f>
        <v>0</v>
      </c>
      <c r="D15" s="88" t="n">
        <f aca="false">0.95</f>
        <v>0.95</v>
      </c>
      <c r="E15" s="88" t="n">
        <f aca="false">1</f>
        <v>1</v>
      </c>
      <c r="F15" s="5" t="n">
        <f aca="false">ROUND(SUM($C15)*$D15,0)</f>
        <v>0</v>
      </c>
      <c r="G15" s="5" t="n">
        <f aca="false">ROUND(SUM($C15)*$E15,0)-SUM($F15)</f>
        <v>0</v>
      </c>
      <c r="H15" s="92" t="n">
        <v>0.686197218019515</v>
      </c>
      <c r="I15" s="88" t="n">
        <v>0.24767109984532</v>
      </c>
      <c r="J15" s="88" t="str">
        <f aca="false">IF(SUM($F15)=0,"",IF($H15="","Enter Positivity Rate",$H15))</f>
        <v/>
      </c>
      <c r="K15" s="88" t="str">
        <f aca="false">IF(SUM($G15)=0,"",IF($I15="","Enter Positivity Rate",$I15))</f>
        <v/>
      </c>
      <c r="L15" s="5" t="n">
        <f aca="false">ROUND(SUM(SUM($F15)*SUM($J15),SUM($G15)*SUM($K15)),0)</f>
        <v>0</v>
      </c>
      <c r="M15" s="88" t="n">
        <f aca="false">0.95</f>
        <v>0.95</v>
      </c>
      <c r="N15" s="5" t="n">
        <f aca="false">ROUND(SUM($L15)*$M15,0)</f>
        <v>0</v>
      </c>
      <c r="O15" s="88" t="n">
        <f aca="false">0.98</f>
        <v>0.98</v>
      </c>
      <c r="P15" s="5" t="n">
        <f aca="false">ROUND(SUM($N15)*$O15,0)</f>
        <v>0</v>
      </c>
      <c r="Q15" s="88" t="n">
        <f aca="false">0.7</f>
        <v>0.7</v>
      </c>
      <c r="R15" s="91" t="n">
        <f aca="false">ROUND(SUM($N15)*$Q15,0)</f>
        <v>0</v>
      </c>
      <c r="S15" s="88" t="n">
        <f aca="false">0.95</f>
        <v>0.95</v>
      </c>
      <c r="T15" s="5" t="n">
        <f aca="false">ROUND(SUM($R15)*$S15,0)</f>
        <v>0</v>
      </c>
      <c r="U15" s="88" t="n">
        <f aca="false">0.95</f>
        <v>0.95</v>
      </c>
      <c r="V15" s="5" t="n">
        <f aca="false">ROUND(SUM($T15)*$U15,0)</f>
        <v>0</v>
      </c>
    </row>
    <row r="16" customFormat="false" ht="15" hidden="false" customHeight="false" outlineLevel="0" collapsed="false">
      <c r="A16" s="0" t="str">
        <f aca="false">INDEX(Prioritization!$D:$D,MATCH($B16,Prioritization!$A:$A,0))</f>
        <v>1 - Scale-up: Saturation</v>
      </c>
      <c r="B16" s="0" t="s">
        <v>195</v>
      </c>
      <c r="C16" s="10" t="n">
        <f aca="false">SUMIF(PMTCT!$B:$B,$B16,PMTCT!$AV:$AV)</f>
        <v>0</v>
      </c>
      <c r="D16" s="88" t="n">
        <f aca="false">0.95</f>
        <v>0.95</v>
      </c>
      <c r="E16" s="88" t="n">
        <f aca="false">1</f>
        <v>1</v>
      </c>
      <c r="F16" s="39" t="n">
        <f aca="false">ROUND(SUM($C16)*$D16,0)</f>
        <v>0</v>
      </c>
      <c r="G16" s="39" t="n">
        <f aca="false">ROUND(SUM($C16)*$E16,0)-SUM($F16)</f>
        <v>0</v>
      </c>
      <c r="H16" s="88" t="n">
        <v>0.0291743199340999</v>
      </c>
      <c r="I16" s="88" t="n">
        <v>0.960354775888845</v>
      </c>
      <c r="J16" s="88" t="str">
        <f aca="false">IF(SUM($F16)=0,"",IF($H16="","Enter Positivity Rate",$H16))</f>
        <v/>
      </c>
      <c r="K16" s="88" t="str">
        <f aca="false">IF(SUM($G16)=0,"",IF($I16="","Enter Positivity Rate",$I16))</f>
        <v/>
      </c>
      <c r="L16" s="10" t="n">
        <f aca="false">ROUND(SUM(SUM($F16)*SUM($J16),SUM($G16)*SUM($K16)),0)</f>
        <v>0</v>
      </c>
      <c r="M16" s="88" t="n">
        <f aca="false">0.95</f>
        <v>0.95</v>
      </c>
      <c r="N16" s="10" t="n">
        <f aca="false">ROUND(SUM($L16)*$M16,0)</f>
        <v>0</v>
      </c>
      <c r="O16" s="88" t="n">
        <f aca="false">0.98</f>
        <v>0.98</v>
      </c>
      <c r="P16" s="10" t="n">
        <f aca="false">ROUND(SUM($N16)*$O16,0)</f>
        <v>0</v>
      </c>
      <c r="Q16" s="88" t="n">
        <f aca="false">0.7</f>
        <v>0.7</v>
      </c>
      <c r="R16" s="10" t="n">
        <f aca="false">ROUND(SUM($N16)*$Q16,0)</f>
        <v>0</v>
      </c>
      <c r="S16" s="88" t="n">
        <f aca="false">0.95</f>
        <v>0.95</v>
      </c>
      <c r="T16" s="10" t="n">
        <f aca="false">ROUND(SUM($R16)*$S16,0)</f>
        <v>0</v>
      </c>
      <c r="U16" s="88" t="n">
        <f aca="false">0.95</f>
        <v>0.95</v>
      </c>
      <c r="V16" s="10" t="n">
        <f aca="false">ROUND(SUM($T16)*$U16,0)</f>
        <v>0</v>
      </c>
    </row>
    <row r="17" customFormat="false" ht="15" hidden="false" customHeight="false" outlineLevel="0" collapsed="false">
      <c r="A17" s="0" t="str">
        <f aca="false">INDEX(Prioritization!$D:$D,MATCH($B17,Prioritization!$A:$A,0))</f>
        <v>1 - Scale-up: Saturation</v>
      </c>
      <c r="B17" s="0" t="s">
        <v>196</v>
      </c>
      <c r="C17" s="10" t="n">
        <f aca="false">SUMIF(PMTCT!$B:$B,$B17,PMTCT!$AV:$AV)</f>
        <v>0</v>
      </c>
      <c r="D17" s="88" t="n">
        <f aca="false">0.95</f>
        <v>0.95</v>
      </c>
      <c r="E17" s="88" t="n">
        <f aca="false">1</f>
        <v>1</v>
      </c>
      <c r="F17" s="39" t="n">
        <f aca="false">ROUND(SUM($C17)*$D17,0)</f>
        <v>0</v>
      </c>
      <c r="G17" s="39" t="n">
        <f aca="false">ROUND(SUM($C17)*$E17,0)-SUM($F17)</f>
        <v>0</v>
      </c>
      <c r="H17" s="88" t="n">
        <v>0.757099109701812</v>
      </c>
      <c r="I17" s="88" t="n">
        <v>0.5633398310747</v>
      </c>
      <c r="J17" s="88" t="str">
        <f aca="false">IF(SUM($F17)=0,"",IF($H17="","Enter Positivity Rate",$H17))</f>
        <v/>
      </c>
      <c r="K17" s="88" t="str">
        <f aca="false">IF(SUM($G17)=0,"",IF($I17="","Enter Positivity Rate",$I17))</f>
        <v/>
      </c>
      <c r="L17" s="10" t="n">
        <f aca="false">ROUND(SUM(SUM($F17)*SUM($J17),SUM($G17)*SUM($K17)),0)</f>
        <v>0</v>
      </c>
      <c r="M17" s="88" t="n">
        <f aca="false">0.95</f>
        <v>0.95</v>
      </c>
      <c r="N17" s="10" t="n">
        <f aca="false">ROUND(SUM($L17)*$M17,0)</f>
        <v>0</v>
      </c>
      <c r="O17" s="88" t="n">
        <f aca="false">0.98</f>
        <v>0.98</v>
      </c>
      <c r="P17" s="10" t="n">
        <f aca="false">ROUND(SUM($N17)*$O17,0)</f>
        <v>0</v>
      </c>
      <c r="Q17" s="88" t="n">
        <f aca="false">0.7</f>
        <v>0.7</v>
      </c>
      <c r="R17" s="10" t="n">
        <f aca="false">ROUND(SUM($N17)*$Q17,0)</f>
        <v>0</v>
      </c>
      <c r="S17" s="88" t="n">
        <f aca="false">0.95</f>
        <v>0.95</v>
      </c>
      <c r="T17" s="10" t="n">
        <f aca="false">ROUND(SUM($R17)*$S17,0)</f>
        <v>0</v>
      </c>
      <c r="U17" s="88" t="n">
        <f aca="false">0.95</f>
        <v>0.95</v>
      </c>
      <c r="V17" s="10" t="n">
        <f aca="false">ROUND(SUM($T17)*$U17,0)</f>
        <v>0</v>
      </c>
    </row>
    <row r="18" customFormat="false" ht="15" hidden="false" customHeight="false" outlineLevel="0" collapsed="false">
      <c r="A18" s="0" t="str">
        <f aca="false">INDEX(Prioritization!$D:$D,MATCH($B18,Prioritization!$A:$A,0))</f>
        <v>INVALID</v>
      </c>
      <c r="B18" s="0" t="s">
        <v>197</v>
      </c>
      <c r="C18" s="10" t="n">
        <f aca="false">SUMIF(PMTCT!$B:$B,$B18,PMTCT!$AV:$AV)</f>
        <v>0</v>
      </c>
      <c r="D18" s="88" t="n">
        <f aca="false">0.95</f>
        <v>0.95</v>
      </c>
      <c r="E18" s="88" t="n">
        <f aca="false">1</f>
        <v>1</v>
      </c>
      <c r="F18" s="39" t="n">
        <f aca="false">ROUND(SUM($C18)*$D18,0)</f>
        <v>0</v>
      </c>
      <c r="G18" s="39" t="n">
        <f aca="false">ROUND(SUM($C18)*$E18,0)-SUM($F18)</f>
        <v>0</v>
      </c>
      <c r="H18" s="88" t="n">
        <v>0.0957532881293446</v>
      </c>
      <c r="I18" s="88" t="n">
        <v>0.54468645574525</v>
      </c>
      <c r="J18" s="88" t="str">
        <f aca="false">IF(SUM($F18)=0,"",IF($H18="","Enter Positivity Rate",$H18))</f>
        <v/>
      </c>
      <c r="K18" s="88" t="str">
        <f aca="false">IF(SUM($G18)=0,"",IF($I18="","Enter Positivity Rate",$I18))</f>
        <v/>
      </c>
      <c r="L18" s="10" t="n">
        <f aca="false">ROUND(SUM(SUM($F18)*SUM($J18),SUM($G18)*SUM($K18)),0)</f>
        <v>0</v>
      </c>
      <c r="M18" s="88" t="n">
        <f aca="false">0.95</f>
        <v>0.95</v>
      </c>
      <c r="N18" s="10" t="n">
        <f aca="false">ROUND(SUM($L18)*$M18,0)</f>
        <v>0</v>
      </c>
      <c r="O18" s="88" t="n">
        <f aca="false">0.98</f>
        <v>0.98</v>
      </c>
      <c r="P18" s="10" t="n">
        <f aca="false">ROUND(SUM($N18)*$O18,0)</f>
        <v>0</v>
      </c>
      <c r="Q18" s="88" t="n">
        <f aca="false">0.7</f>
        <v>0.7</v>
      </c>
      <c r="R18" s="10" t="n">
        <f aca="false">ROUND(SUM($N18)*$Q18,0)</f>
        <v>0</v>
      </c>
      <c r="S18" s="88" t="n">
        <f aca="false">0.95</f>
        <v>0.95</v>
      </c>
      <c r="T18" s="10" t="n">
        <f aca="false">ROUND(SUM($R18)*$S18,0)</f>
        <v>0</v>
      </c>
      <c r="U18" s="88" t="n">
        <f aca="false">0.95</f>
        <v>0.95</v>
      </c>
      <c r="V18" s="10" t="n">
        <f aca="false">ROUND(SUM($T18)*$U18,0)</f>
        <v>0</v>
      </c>
    </row>
    <row r="19" customFormat="false" ht="15" hidden="false" customHeight="false" outlineLevel="0" collapsed="false">
      <c r="A19" s="0" t="str">
        <f aca="false">INDEX(Prioritization!$D:$D,MATCH($B19,Prioritization!$A:$A,0))</f>
        <v>1 - Scale-up: Saturation</v>
      </c>
      <c r="B19" s="0" t="s">
        <v>198</v>
      </c>
      <c r="C19" s="10" t="n">
        <f aca="false">SUMIF(PMTCT!$B:$B,$B19,PMTCT!$AV:$AV)</f>
        <v>14</v>
      </c>
      <c r="D19" s="88" t="n">
        <f aca="false">0.95</f>
        <v>0.95</v>
      </c>
      <c r="E19" s="88" t="n">
        <f aca="false">1</f>
        <v>1</v>
      </c>
      <c r="F19" s="39" t="n">
        <f aca="false">ROUND(SUM($C19)*$D19,0)</f>
        <v>13</v>
      </c>
      <c r="G19" s="39" t="n">
        <f aca="false">ROUND(SUM($C19)*$E19,0)-SUM($F19)</f>
        <v>1</v>
      </c>
      <c r="H19" s="88" t="n">
        <v>0.898487385595217</v>
      </c>
      <c r="I19" s="88" t="n">
        <v>0.909956999821588</v>
      </c>
      <c r="J19" s="88" t="n">
        <f aca="false">IF(SUM($F19)=0,"",IF($H19="","Enter Positivity Rate",$H19))</f>
        <v>0.898487385595217</v>
      </c>
      <c r="K19" s="88" t="n">
        <f aca="false">IF(SUM($G19)=0,"",IF($I19="","Enter Positivity Rate",$I19))</f>
        <v>0.909956999821588</v>
      </c>
      <c r="L19" s="10" t="n">
        <f aca="false">ROUND(SUM(SUM($F19)*SUM($J19),SUM($G19)*SUM($K19)),0)</f>
        <v>13</v>
      </c>
      <c r="M19" s="88" t="n">
        <f aca="false">0.95</f>
        <v>0.95</v>
      </c>
      <c r="N19" s="10" t="n">
        <f aca="false">ROUND(SUM($L19)*$M19,0)</f>
        <v>12</v>
      </c>
      <c r="O19" s="88" t="n">
        <f aca="false">0.98</f>
        <v>0.98</v>
      </c>
      <c r="P19" s="10" t="n">
        <f aca="false">ROUND(SUM($N19)*$O19,0)</f>
        <v>12</v>
      </c>
      <c r="Q19" s="88" t="n">
        <f aca="false">0.7</f>
        <v>0.7</v>
      </c>
      <c r="R19" s="10" t="n">
        <f aca="false">ROUND(SUM($N19)*$Q19,0)</f>
        <v>8</v>
      </c>
      <c r="S19" s="88" t="n">
        <f aca="false">0.95</f>
        <v>0.95</v>
      </c>
      <c r="T19" s="10" t="n">
        <f aca="false">ROUND(SUM($R19)*$S19,0)</f>
        <v>8</v>
      </c>
      <c r="U19" s="88" t="n">
        <f aca="false">0.95</f>
        <v>0.95</v>
      </c>
      <c r="V19" s="10" t="n">
        <f aca="false">ROUND(SUM($T19)*$U19,0)</f>
        <v>8</v>
      </c>
    </row>
    <row r="20" customFormat="false" ht="15" hidden="false" customHeight="false" outlineLevel="0" collapsed="false">
      <c r="A20" s="0" t="str">
        <f aca="false">INDEX(Prioritization!$D:$D,MATCH($B20,Prioritization!$A:$A,0))</f>
        <v>1 - Scale-up: Saturation</v>
      </c>
      <c r="B20" s="0" t="s">
        <v>199</v>
      </c>
      <c r="C20" s="10" t="n">
        <f aca="false">SUMIF(PMTCT!$B:$B,$B20,PMTCT!$AV:$AV)</f>
        <v>0</v>
      </c>
      <c r="D20" s="88" t="n">
        <f aca="false">0.95</f>
        <v>0.95</v>
      </c>
      <c r="E20" s="88" t="n">
        <f aca="false">1</f>
        <v>1</v>
      </c>
      <c r="F20" s="39" t="n">
        <f aca="false">ROUND(SUM($C20)*$D20,0)</f>
        <v>0</v>
      </c>
      <c r="G20" s="39" t="n">
        <f aca="false">ROUND(SUM($C20)*$E20,0)-SUM($F20)</f>
        <v>0</v>
      </c>
      <c r="H20" s="88" t="n">
        <v>0.144222208997235</v>
      </c>
      <c r="I20" s="88" t="n">
        <v>0.0319292531348765</v>
      </c>
      <c r="J20" s="88" t="str">
        <f aca="false">IF(SUM($F20)=0,"",IF($H20="","Enter Positivity Rate",$H20))</f>
        <v/>
      </c>
      <c r="K20" s="88" t="str">
        <f aca="false">IF(SUM($G20)=0,"",IF($I20="","Enter Positivity Rate",$I20))</f>
        <v/>
      </c>
      <c r="L20" s="10" t="n">
        <f aca="false">ROUND(SUM(SUM($F20)*SUM($J20),SUM($G20)*SUM($K20)),0)</f>
        <v>0</v>
      </c>
      <c r="M20" s="88" t="n">
        <f aca="false">0.95</f>
        <v>0.95</v>
      </c>
      <c r="N20" s="10" t="n">
        <f aca="false">ROUND(SUM($L20)*$M20,0)</f>
        <v>0</v>
      </c>
      <c r="O20" s="88" t="n">
        <f aca="false">0.98</f>
        <v>0.98</v>
      </c>
      <c r="P20" s="10" t="n">
        <f aca="false">ROUND(SUM($N20)*$O20,0)</f>
        <v>0</v>
      </c>
      <c r="Q20" s="88" t="n">
        <f aca="false">0.7</f>
        <v>0.7</v>
      </c>
      <c r="R20" s="10" t="n">
        <f aca="false">ROUND(SUM($N20)*$Q20,0)</f>
        <v>0</v>
      </c>
      <c r="S20" s="88" t="n">
        <f aca="false">0.95</f>
        <v>0.95</v>
      </c>
      <c r="T20" s="10" t="n">
        <f aca="false">ROUND(SUM($R20)*$S20,0)</f>
        <v>0</v>
      </c>
      <c r="U20" s="88" t="n">
        <f aca="false">0.95</f>
        <v>0.95</v>
      </c>
      <c r="V20" s="10" t="n">
        <f aca="false">ROUND(SUM($T20)*$U20,0)</f>
        <v>0</v>
      </c>
    </row>
    <row r="21" customFormat="false" ht="15" hidden="false" customHeight="false" outlineLevel="0" collapsed="false">
      <c r="A21" s="0" t="str">
        <f aca="false">INDEX(Prioritization!$D:$D,MATCH($B21,Prioritization!$A:$A,0))</f>
        <v>1 - Scale-up: Saturation</v>
      </c>
      <c r="B21" s="0" t="s">
        <v>200</v>
      </c>
      <c r="C21" s="10" t="n">
        <f aca="false">SUMIF(PMTCT!$B:$B,$B21,PMTCT!$AV:$AV)</f>
        <v>0</v>
      </c>
      <c r="D21" s="88" t="n">
        <f aca="false">0.95</f>
        <v>0.95</v>
      </c>
      <c r="E21" s="88" t="n">
        <f aca="false">1</f>
        <v>1</v>
      </c>
      <c r="F21" s="39" t="n">
        <f aca="false">ROUND(SUM($C21)*$D21,0)</f>
        <v>0</v>
      </c>
      <c r="G21" s="39" t="n">
        <f aca="false">ROUND(SUM($C21)*$E21,0)-SUM($F21)</f>
        <v>0</v>
      </c>
      <c r="H21" s="88" t="n">
        <v>0.370759746991098</v>
      </c>
      <c r="I21" s="88" t="n">
        <v>0.47843481041491</v>
      </c>
      <c r="J21" s="88" t="str">
        <f aca="false">IF(SUM($F21)=0,"",IF($H21="","Enter Positivity Rate",$H21))</f>
        <v/>
      </c>
      <c r="K21" s="88" t="str">
        <f aca="false">IF(SUM($G21)=0,"",IF($I21="","Enter Positivity Rate",$I21))</f>
        <v/>
      </c>
      <c r="L21" s="10" t="n">
        <f aca="false">ROUND(SUM(SUM($F21)*SUM($J21),SUM($G21)*SUM($K21)),0)</f>
        <v>0</v>
      </c>
      <c r="M21" s="88" t="n">
        <f aca="false">0.95</f>
        <v>0.95</v>
      </c>
      <c r="N21" s="10" t="n">
        <f aca="false">ROUND(SUM($L21)*$M21,0)</f>
        <v>0</v>
      </c>
      <c r="O21" s="88" t="n">
        <f aca="false">0.98</f>
        <v>0.98</v>
      </c>
      <c r="P21" s="10" t="n">
        <f aca="false">ROUND(SUM($N21)*$O21,0)</f>
        <v>0</v>
      </c>
      <c r="Q21" s="88" t="n">
        <f aca="false">0.7</f>
        <v>0.7</v>
      </c>
      <c r="R21" s="10" t="n">
        <f aca="false">ROUND(SUM($N21)*$Q21,0)</f>
        <v>0</v>
      </c>
      <c r="S21" s="88" t="n">
        <f aca="false">0.95</f>
        <v>0.95</v>
      </c>
      <c r="T21" s="10" t="n">
        <f aca="false">ROUND(SUM($R21)*$S21,0)</f>
        <v>0</v>
      </c>
      <c r="U21" s="88" t="n">
        <f aca="false">0.95</f>
        <v>0.95</v>
      </c>
      <c r="V21" s="10" t="n">
        <f aca="false">ROUND(SUM($T21)*$U21,0)</f>
        <v>0</v>
      </c>
    </row>
    <row r="22" customFormat="false" ht="15" hidden="false" customHeight="false" outlineLevel="0" collapsed="false">
      <c r="A22" s="0" t="str">
        <f aca="false">INDEX(Prioritization!$D:$D,MATCH($B22,Prioritization!$A:$A,0))</f>
        <v>INVALID</v>
      </c>
      <c r="B22" s="0" t="s">
        <v>201</v>
      </c>
      <c r="C22" s="10" t="n">
        <f aca="false">SUMIF(PMTCT!$B:$B,$B22,PMTCT!$AV:$AV)</f>
        <v>0</v>
      </c>
      <c r="D22" s="88" t="n">
        <f aca="false">0.95</f>
        <v>0.95</v>
      </c>
      <c r="E22" s="88" t="n">
        <f aca="false">1</f>
        <v>1</v>
      </c>
      <c r="F22" s="39" t="n">
        <f aca="false">ROUND(SUM($C22)*$D22,0)</f>
        <v>0</v>
      </c>
      <c r="G22" s="39" t="n">
        <f aca="false">ROUND(SUM($C22)*$E22,0)-SUM($F22)</f>
        <v>0</v>
      </c>
      <c r="H22" s="88" t="n">
        <v>0.988684414187446</v>
      </c>
      <c r="I22" s="88" t="n">
        <v>0.0535529453773052</v>
      </c>
      <c r="J22" s="88" t="str">
        <f aca="false">IF(SUM($F22)=0,"",IF($H22="","Enter Positivity Rate",$H22))</f>
        <v/>
      </c>
      <c r="K22" s="88" t="str">
        <f aca="false">IF(SUM($G22)=0,"",IF($I22="","Enter Positivity Rate",$I22))</f>
        <v/>
      </c>
      <c r="L22" s="10" t="n">
        <f aca="false">ROUND(SUM(SUM($F22)*SUM($J22),SUM($G22)*SUM($K22)),0)</f>
        <v>0</v>
      </c>
      <c r="M22" s="88" t="n">
        <f aca="false">0.95</f>
        <v>0.95</v>
      </c>
      <c r="N22" s="10" t="n">
        <f aca="false">ROUND(SUM($L22)*$M22,0)</f>
        <v>0</v>
      </c>
      <c r="O22" s="88" t="n">
        <f aca="false">0.98</f>
        <v>0.98</v>
      </c>
      <c r="P22" s="10" t="n">
        <f aca="false">ROUND(SUM($N22)*$O22,0)</f>
        <v>0</v>
      </c>
      <c r="Q22" s="88" t="n">
        <f aca="false">0.7</f>
        <v>0.7</v>
      </c>
      <c r="R22" s="10" t="n">
        <f aca="false">ROUND(SUM($N22)*$Q22,0)</f>
        <v>0</v>
      </c>
      <c r="S22" s="88" t="n">
        <f aca="false">0.95</f>
        <v>0.95</v>
      </c>
      <c r="T22" s="10" t="n">
        <f aca="false">ROUND(SUM($R22)*$S22,0)</f>
        <v>0</v>
      </c>
      <c r="U22" s="88" t="n">
        <f aca="false">0.95</f>
        <v>0.95</v>
      </c>
      <c r="V22" s="10" t="n">
        <f aca="false">ROUND(SUM($T22)*$U22,0)</f>
        <v>0</v>
      </c>
    </row>
    <row r="23" customFormat="false" ht="15" hidden="false" customHeight="false" outlineLevel="0" collapsed="false">
      <c r="A23" s="0" t="str">
        <f aca="false">INDEX(Prioritization!$D:$D,MATCH($B23,Prioritization!$A:$A,0))</f>
        <v>INVALID</v>
      </c>
      <c r="B23" s="0" t="s">
        <v>202</v>
      </c>
      <c r="C23" s="10" t="n">
        <f aca="false">SUMIF(PMTCT!$B:$B,$B23,PMTCT!$AV:$AV)</f>
        <v>0</v>
      </c>
      <c r="D23" s="88" t="n">
        <f aca="false">0.95</f>
        <v>0.95</v>
      </c>
      <c r="E23" s="88" t="n">
        <f aca="false">1</f>
        <v>1</v>
      </c>
      <c r="F23" s="39" t="n">
        <f aca="false">ROUND(SUM($C23)*$D23,0)</f>
        <v>0</v>
      </c>
      <c r="G23" s="39" t="n">
        <f aca="false">ROUND(SUM($C23)*$E23,0)-SUM($F23)</f>
        <v>0</v>
      </c>
      <c r="H23" s="88"/>
      <c r="I23" s="88" t="n">
        <v>0.2327888996806</v>
      </c>
      <c r="J23" s="88" t="str">
        <f aca="false">IF(SUM($F23)=0,"",IF($H23="","Enter Positivity Rate",$H23))</f>
        <v/>
      </c>
      <c r="K23" s="88" t="str">
        <f aca="false">IF(SUM($G23)=0,"",IF($I23="","Enter Positivity Rate",$I23))</f>
        <v/>
      </c>
      <c r="L23" s="10" t="n">
        <f aca="false">ROUND(SUM(SUM($F23)*SUM($J23),SUM($G23)*SUM($K23)),0)</f>
        <v>0</v>
      </c>
      <c r="M23" s="88" t="n">
        <f aca="false">0.95</f>
        <v>0.95</v>
      </c>
      <c r="N23" s="10" t="n">
        <f aca="false">ROUND(SUM($L23)*$M23,0)</f>
        <v>0</v>
      </c>
      <c r="O23" s="88" t="n">
        <f aca="false">0.98</f>
        <v>0.98</v>
      </c>
      <c r="P23" s="10" t="n">
        <f aca="false">ROUND(SUM($N23)*$O23,0)</f>
        <v>0</v>
      </c>
      <c r="Q23" s="88" t="n">
        <f aca="false">0.7</f>
        <v>0.7</v>
      </c>
      <c r="R23" s="10" t="n">
        <f aca="false">ROUND(SUM($N23)*$Q23,0)</f>
        <v>0</v>
      </c>
      <c r="S23" s="88" t="n">
        <f aca="false">0.95</f>
        <v>0.95</v>
      </c>
      <c r="T23" s="10" t="n">
        <f aca="false">ROUND(SUM($R23)*$S23,0)</f>
        <v>0</v>
      </c>
      <c r="U23" s="88" t="n">
        <f aca="false">0.95</f>
        <v>0.95</v>
      </c>
      <c r="V23" s="10" t="n">
        <f aca="false">ROUND(SUM($T23)*$U23,0)</f>
        <v>0</v>
      </c>
    </row>
    <row r="24" customFormat="false" ht="15" hidden="false" customHeight="false" outlineLevel="0" collapsed="false">
      <c r="A24" s="0" t="str">
        <f aca="false">INDEX(Prioritization!$D:$D,MATCH($B24,Prioritization!$A:$A,0))</f>
        <v>INVALID</v>
      </c>
      <c r="B24" s="0" t="s">
        <v>203</v>
      </c>
      <c r="C24" s="10" t="n">
        <f aca="false">SUMIF(PMTCT!$B:$B,$B24,PMTCT!$AV:$AV)</f>
        <v>0</v>
      </c>
      <c r="D24" s="88" t="n">
        <f aca="false">0.95</f>
        <v>0.95</v>
      </c>
      <c r="E24" s="88" t="n">
        <f aca="false">1</f>
        <v>1</v>
      </c>
      <c r="F24" s="39" t="n">
        <f aca="false">ROUND(SUM($C24)*$D24,0)</f>
        <v>0</v>
      </c>
      <c r="G24" s="39" t="n">
        <f aca="false">ROUND(SUM($C24)*$E24,0)-SUM($F24)</f>
        <v>0</v>
      </c>
      <c r="H24" s="88" t="n">
        <v>0.954461196903139</v>
      </c>
      <c r="I24" s="88" t="n">
        <v>0.472602528287098</v>
      </c>
      <c r="J24" s="88" t="str">
        <f aca="false">IF(SUM($F24)=0,"",IF($H24="","Enter Positivity Rate",$H24))</f>
        <v/>
      </c>
      <c r="K24" s="88" t="str">
        <f aca="false">IF(SUM($G24)=0,"",IF($I24="","Enter Positivity Rate",$I24))</f>
        <v/>
      </c>
      <c r="L24" s="10" t="n">
        <f aca="false">ROUND(SUM(SUM($F24)*SUM($J24),SUM($G24)*SUM($K24)),0)</f>
        <v>0</v>
      </c>
      <c r="M24" s="88" t="n">
        <f aca="false">0.95</f>
        <v>0.95</v>
      </c>
      <c r="N24" s="10" t="n">
        <f aca="false">ROUND(SUM($L24)*$M24,0)</f>
        <v>0</v>
      </c>
      <c r="O24" s="88" t="n">
        <f aca="false">0.98</f>
        <v>0.98</v>
      </c>
      <c r="P24" s="10" t="n">
        <f aca="false">ROUND(SUM($N24)*$O24,0)</f>
        <v>0</v>
      </c>
      <c r="Q24" s="88" t="n">
        <f aca="false">0.7</f>
        <v>0.7</v>
      </c>
      <c r="R24" s="10" t="n">
        <f aca="false">ROUND(SUM($N24)*$Q24,0)</f>
        <v>0</v>
      </c>
      <c r="S24" s="88" t="n">
        <f aca="false">0.95</f>
        <v>0.95</v>
      </c>
      <c r="T24" s="10" t="n">
        <f aca="false">ROUND(SUM($R24)*$S24,0)</f>
        <v>0</v>
      </c>
      <c r="U24" s="88" t="n">
        <f aca="false">0.95</f>
        <v>0.95</v>
      </c>
      <c r="V24" s="10" t="n">
        <f aca="false">ROUND(SUM($T24)*$U24,0)</f>
        <v>0</v>
      </c>
    </row>
    <row r="25" customFormat="false" ht="15" hidden="false" customHeight="false" outlineLevel="0" collapsed="false">
      <c r="A25" s="0" t="str">
        <f aca="false">INDEX(Prioritization!$D:$D,MATCH($B25,Prioritization!$A:$A,0))</f>
        <v>1 - Scale-up: Saturation</v>
      </c>
      <c r="B25" s="0" t="s">
        <v>204</v>
      </c>
      <c r="C25" s="10" t="n">
        <f aca="false">SUMIF(PMTCT!$B:$B,$B25,PMTCT!$AV:$AV)</f>
        <v>0</v>
      </c>
      <c r="D25" s="88" t="n">
        <f aca="false">0.95</f>
        <v>0.95</v>
      </c>
      <c r="E25" s="88" t="n">
        <f aca="false">1</f>
        <v>1</v>
      </c>
      <c r="F25" s="39" t="n">
        <f aca="false">ROUND(SUM($C25)*$D25,0)</f>
        <v>0</v>
      </c>
      <c r="G25" s="39" t="n">
        <f aca="false">ROUND(SUM($C25)*$E25,0)-SUM($F25)</f>
        <v>0</v>
      </c>
      <c r="H25" s="88" t="n">
        <v>0.0199886043556035</v>
      </c>
      <c r="I25" s="88" t="n">
        <v>0.519290370400995</v>
      </c>
      <c r="J25" s="88" t="str">
        <f aca="false">IF(SUM($F25)=0,"",IF($H25="","Enter Positivity Rate",$H25))</f>
        <v/>
      </c>
      <c r="K25" s="88" t="str">
        <f aca="false">IF(SUM($G25)=0,"",IF($I25="","Enter Positivity Rate",$I25))</f>
        <v/>
      </c>
      <c r="L25" s="10" t="n">
        <f aca="false">ROUND(SUM(SUM($F25)*SUM($J25),SUM($G25)*SUM($K25)),0)</f>
        <v>0</v>
      </c>
      <c r="M25" s="88" t="n">
        <f aca="false">0.95</f>
        <v>0.95</v>
      </c>
      <c r="N25" s="10" t="n">
        <f aca="false">ROUND(SUM($L25)*$M25,0)</f>
        <v>0</v>
      </c>
      <c r="O25" s="88" t="n">
        <f aca="false">0.98</f>
        <v>0.98</v>
      </c>
      <c r="P25" s="10" t="n">
        <f aca="false">ROUND(SUM($N25)*$O25,0)</f>
        <v>0</v>
      </c>
      <c r="Q25" s="88" t="n">
        <f aca="false">0.7</f>
        <v>0.7</v>
      </c>
      <c r="R25" s="10" t="n">
        <f aca="false">ROUND(SUM($N25)*$Q25,0)</f>
        <v>0</v>
      </c>
      <c r="S25" s="88" t="n">
        <f aca="false">0.95</f>
        <v>0.95</v>
      </c>
      <c r="T25" s="10" t="n">
        <f aca="false">ROUND(SUM($R25)*$S25,0)</f>
        <v>0</v>
      </c>
      <c r="U25" s="88" t="n">
        <f aca="false">0.95</f>
        <v>0.95</v>
      </c>
      <c r="V25" s="10" t="n">
        <f aca="false">ROUND(SUM($T25)*$U25,0)</f>
        <v>0</v>
      </c>
    </row>
    <row r="26" customFormat="false" ht="15" hidden="false" customHeight="false" outlineLevel="0" collapsed="false">
      <c r="A26" s="0" t="str">
        <f aca="false">INDEX(Prioritization!$D:$D,MATCH($B26,Prioritization!$A:$A,0))</f>
        <v>INVALID</v>
      </c>
      <c r="B26" s="0" t="s">
        <v>205</v>
      </c>
      <c r="C26" s="10" t="n">
        <f aca="false">SUMIF(PMTCT!$B:$B,$B26,PMTCT!$AV:$AV)</f>
        <v>0</v>
      </c>
      <c r="D26" s="88" t="n">
        <f aca="false">0.95</f>
        <v>0.95</v>
      </c>
      <c r="E26" s="88" t="n">
        <f aca="false">1</f>
        <v>1</v>
      </c>
      <c r="F26" s="39" t="n">
        <f aca="false">ROUND(SUM($C26)*$D26,0)</f>
        <v>0</v>
      </c>
      <c r="G26" s="39" t="n">
        <f aca="false">ROUND(SUM($C26)*$E26,0)-SUM($F26)</f>
        <v>0</v>
      </c>
      <c r="H26" s="88" t="n">
        <v>0.434975081589073</v>
      </c>
      <c r="I26" s="88" t="n">
        <v>0.328223141143098</v>
      </c>
      <c r="J26" s="88" t="str">
        <f aca="false">IF(SUM($F26)=0,"",IF($H26="","Enter Positivity Rate",$H26))</f>
        <v/>
      </c>
      <c r="K26" s="88" t="str">
        <f aca="false">IF(SUM($G26)=0,"",IF($I26="","Enter Positivity Rate",$I26))</f>
        <v/>
      </c>
      <c r="L26" s="10" t="n">
        <f aca="false">ROUND(SUM(SUM($F26)*SUM($J26),SUM($G26)*SUM($K26)),0)</f>
        <v>0</v>
      </c>
      <c r="M26" s="88" t="n">
        <f aca="false">0.95</f>
        <v>0.95</v>
      </c>
      <c r="N26" s="10" t="n">
        <f aca="false">ROUND(SUM($L26)*$M26,0)</f>
        <v>0</v>
      </c>
      <c r="O26" s="88" t="n">
        <f aca="false">0.98</f>
        <v>0.98</v>
      </c>
      <c r="P26" s="10" t="n">
        <f aca="false">ROUND(SUM($N26)*$O26,0)</f>
        <v>0</v>
      </c>
      <c r="Q26" s="88" t="n">
        <f aca="false">0.7</f>
        <v>0.7</v>
      </c>
      <c r="R26" s="10" t="n">
        <f aca="false">ROUND(SUM($N26)*$Q26,0)</f>
        <v>0</v>
      </c>
      <c r="S26" s="88" t="n">
        <f aca="false">0.95</f>
        <v>0.95</v>
      </c>
      <c r="T26" s="10" t="n">
        <f aca="false">ROUND(SUM($R26)*$S26,0)</f>
        <v>0</v>
      </c>
      <c r="U26" s="88" t="n">
        <f aca="false">0.95</f>
        <v>0.95</v>
      </c>
      <c r="V26" s="10" t="n">
        <f aca="false">ROUND(SUM($T26)*$U26,0)</f>
        <v>0</v>
      </c>
    </row>
    <row r="27" customFormat="false" ht="15" hidden="false" customHeight="false" outlineLevel="0" collapsed="false">
      <c r="A27" s="0" t="str">
        <f aca="false">INDEX(Prioritization!$D:$D,MATCH($B27,Prioritization!$A:$A,0))</f>
        <v>INVALID</v>
      </c>
      <c r="B27" s="0" t="s">
        <v>206</v>
      </c>
      <c r="C27" s="10" t="n">
        <f aca="false">SUMIF(PMTCT!$B:$B,$B27,PMTCT!$AV:$AV)</f>
        <v>0</v>
      </c>
      <c r="D27" s="88" t="n">
        <f aca="false">0.95</f>
        <v>0.95</v>
      </c>
      <c r="E27" s="88" t="n">
        <f aca="false">1</f>
        <v>1</v>
      </c>
      <c r="F27" s="39" t="n">
        <f aca="false">ROUND(SUM($C27)*$D27,0)</f>
        <v>0</v>
      </c>
      <c r="G27" s="39" t="n">
        <f aca="false">ROUND(SUM($C27)*$E27,0)-SUM($F27)</f>
        <v>0</v>
      </c>
      <c r="H27" s="88" t="n">
        <v>0.624868403421715</v>
      </c>
      <c r="I27" s="88"/>
      <c r="J27" s="88" t="str">
        <f aca="false">IF(SUM($F27)=0,"",IF($H27="","Enter Positivity Rate",$H27))</f>
        <v/>
      </c>
      <c r="K27" s="88" t="str">
        <f aca="false">IF(SUM($G27)=0,"",IF($I27="","Enter Positivity Rate",$I27))</f>
        <v/>
      </c>
      <c r="L27" s="10" t="n">
        <f aca="false">ROUND(SUM(SUM($F27)*SUM($J27),SUM($G27)*SUM($K27)),0)</f>
        <v>0</v>
      </c>
      <c r="M27" s="88" t="n">
        <f aca="false">0.95</f>
        <v>0.95</v>
      </c>
      <c r="N27" s="10" t="n">
        <f aca="false">ROUND(SUM($L27)*$M27,0)</f>
        <v>0</v>
      </c>
      <c r="O27" s="88" t="n">
        <f aca="false">0.98</f>
        <v>0.98</v>
      </c>
      <c r="P27" s="10" t="n">
        <f aca="false">ROUND(SUM($N27)*$O27,0)</f>
        <v>0</v>
      </c>
      <c r="Q27" s="88" t="n">
        <f aca="false">0.7</f>
        <v>0.7</v>
      </c>
      <c r="R27" s="10" t="n">
        <f aca="false">ROUND(SUM($N27)*$Q27,0)</f>
        <v>0</v>
      </c>
      <c r="S27" s="88" t="n">
        <f aca="false">0.95</f>
        <v>0.95</v>
      </c>
      <c r="T27" s="10" t="n">
        <f aca="false">ROUND(SUM($R27)*$S27,0)</f>
        <v>0</v>
      </c>
      <c r="U27" s="88" t="n">
        <f aca="false">0.95</f>
        <v>0.95</v>
      </c>
      <c r="V27" s="10" t="n">
        <f aca="false">ROUND(SUM($T27)*$U27,0)</f>
        <v>0</v>
      </c>
    </row>
    <row r="28" customFormat="false" ht="15" hidden="false" customHeight="false" outlineLevel="0" collapsed="false">
      <c r="A28" s="0" t="str">
        <f aca="false">INDEX(Prioritization!$D:$D,MATCH($B28,Prioritization!$A:$A,0))</f>
        <v>1 - Scale-up: Saturation</v>
      </c>
      <c r="B28" s="0" t="s">
        <v>207</v>
      </c>
      <c r="C28" s="10" t="n">
        <f aca="false">SUMIF(PMTCT!$B:$B,$B28,PMTCT!$AV:$AV)</f>
        <v>0</v>
      </c>
      <c r="D28" s="88" t="n">
        <f aca="false">0.95</f>
        <v>0.95</v>
      </c>
      <c r="E28" s="88" t="n">
        <f aca="false">1</f>
        <v>1</v>
      </c>
      <c r="F28" s="39" t="n">
        <f aca="false">ROUND(SUM($C28)*$D28,0)</f>
        <v>0</v>
      </c>
      <c r="G28" s="39" t="n">
        <f aca="false">ROUND(SUM($C28)*$E28,0)-SUM($F28)</f>
        <v>0</v>
      </c>
      <c r="H28" s="88" t="n">
        <v>0.828842332120985</v>
      </c>
      <c r="I28" s="88" t="n">
        <v>0.169523074990138</v>
      </c>
      <c r="J28" s="88" t="str">
        <f aca="false">IF(SUM($F28)=0,"",IF($H28="","Enter Positivity Rate",$H28))</f>
        <v/>
      </c>
      <c r="K28" s="88" t="str">
        <f aca="false">IF(SUM($G28)=0,"",IF($I28="","Enter Positivity Rate",$I28))</f>
        <v/>
      </c>
      <c r="L28" s="10" t="n">
        <f aca="false">ROUND(SUM(SUM($F28)*SUM($J28),SUM($G28)*SUM($K28)),0)</f>
        <v>0</v>
      </c>
      <c r="M28" s="88" t="n">
        <f aca="false">0.95</f>
        <v>0.95</v>
      </c>
      <c r="N28" s="10" t="n">
        <f aca="false">ROUND(SUM($L28)*$M28,0)</f>
        <v>0</v>
      </c>
      <c r="O28" s="88" t="n">
        <f aca="false">0.98</f>
        <v>0.98</v>
      </c>
      <c r="P28" s="10" t="n">
        <f aca="false">ROUND(SUM($N28)*$O28,0)</f>
        <v>0</v>
      </c>
      <c r="Q28" s="88" t="n">
        <f aca="false">0.7</f>
        <v>0.7</v>
      </c>
      <c r="R28" s="10" t="n">
        <f aca="false">ROUND(SUM($N28)*$Q28,0)</f>
        <v>0</v>
      </c>
      <c r="S28" s="88" t="n">
        <f aca="false">0.95</f>
        <v>0.95</v>
      </c>
      <c r="T28" s="10" t="n">
        <f aca="false">ROUND(SUM($R28)*$S28,0)</f>
        <v>0</v>
      </c>
      <c r="U28" s="88" t="n">
        <f aca="false">0.95</f>
        <v>0.95</v>
      </c>
      <c r="V28" s="10" t="n">
        <f aca="false">ROUND(SUM($T28)*$U28,0)</f>
        <v>0</v>
      </c>
    </row>
    <row r="29" customFormat="false" ht="15" hidden="false" customHeight="false" outlineLevel="0" collapsed="false">
      <c r="A29" s="0" t="str">
        <f aca="false">INDEX(Prioritization!$D:$D,MATCH($B29,Prioritization!$A:$A,0))</f>
        <v>INVALID</v>
      </c>
      <c r="B29" s="0" t="s">
        <v>208</v>
      </c>
      <c r="C29" s="10" t="n">
        <f aca="false">SUMIF(PMTCT!$B:$B,$B29,PMTCT!$AV:$AV)</f>
        <v>0</v>
      </c>
      <c r="D29" s="88" t="n">
        <f aca="false">0.95</f>
        <v>0.95</v>
      </c>
      <c r="E29" s="88" t="n">
        <f aca="false">1</f>
        <v>1</v>
      </c>
      <c r="F29" s="39" t="n">
        <f aca="false">ROUND(SUM($C29)*$D29,0)</f>
        <v>0</v>
      </c>
      <c r="G29" s="39" t="n">
        <f aca="false">ROUND(SUM($C29)*$E29,0)-SUM($F29)</f>
        <v>0</v>
      </c>
      <c r="H29" s="88" t="n">
        <v>0.047344796359539</v>
      </c>
      <c r="I29" s="88" t="n">
        <v>0.998631077352911</v>
      </c>
      <c r="J29" s="88" t="str">
        <f aca="false">IF(SUM($F29)=0,"",IF($H29="","Enter Positivity Rate",$H29))</f>
        <v/>
      </c>
      <c r="K29" s="88" t="str">
        <f aca="false">IF(SUM($G29)=0,"",IF($I29="","Enter Positivity Rate",$I29))</f>
        <v/>
      </c>
      <c r="L29" s="10" t="n">
        <f aca="false">ROUND(SUM(SUM($F29)*SUM($J29),SUM($G29)*SUM($K29)),0)</f>
        <v>0</v>
      </c>
      <c r="M29" s="88" t="n">
        <f aca="false">0.95</f>
        <v>0.95</v>
      </c>
      <c r="N29" s="10" t="n">
        <f aca="false">ROUND(SUM($L29)*$M29,0)</f>
        <v>0</v>
      </c>
      <c r="O29" s="88" t="n">
        <f aca="false">0.98</f>
        <v>0.98</v>
      </c>
      <c r="P29" s="10" t="n">
        <f aca="false">ROUND(SUM($N29)*$O29,0)</f>
        <v>0</v>
      </c>
      <c r="Q29" s="88" t="n">
        <f aca="false">0.7</f>
        <v>0.7</v>
      </c>
      <c r="R29" s="10" t="n">
        <f aca="false">ROUND(SUM($N29)*$Q29,0)</f>
        <v>0</v>
      </c>
      <c r="S29" s="88" t="n">
        <f aca="false">0.95</f>
        <v>0.95</v>
      </c>
      <c r="T29" s="10" t="n">
        <f aca="false">ROUND(SUM($R29)*$S29,0)</f>
        <v>0</v>
      </c>
      <c r="U29" s="88" t="n">
        <f aca="false">0.95</f>
        <v>0.95</v>
      </c>
      <c r="V29" s="10" t="n">
        <f aca="false">ROUND(SUM($T29)*$U29,0)</f>
        <v>0</v>
      </c>
    </row>
    <row r="30" customFormat="false" ht="15" hidden="false" customHeight="false" outlineLevel="0" collapsed="false">
      <c r="A30" s="0" t="str">
        <f aca="false">INDEX(Prioritization!$D:$D,MATCH($B30,Prioritization!$A:$A,0))</f>
        <v>INVALID</v>
      </c>
      <c r="B30" s="0" t="s">
        <v>209</v>
      </c>
      <c r="C30" s="10" t="n">
        <f aca="false">SUMIF(PMTCT!$B:$B,$B30,PMTCT!$AV:$AV)</f>
        <v>0</v>
      </c>
      <c r="D30" s="88" t="n">
        <f aca="false">0.95</f>
        <v>0.95</v>
      </c>
      <c r="E30" s="88" t="n">
        <f aca="false">1</f>
        <v>1</v>
      </c>
      <c r="F30" s="39" t="n">
        <f aca="false">ROUND(SUM($C30)*$D30,0)</f>
        <v>0</v>
      </c>
      <c r="G30" s="39" t="n">
        <f aca="false">ROUND(SUM($C30)*$E30,0)-SUM($F30)</f>
        <v>0</v>
      </c>
      <c r="H30" s="88" t="n">
        <v>0.867078869137913</v>
      </c>
      <c r="I30" s="88" t="n">
        <v>0.669155760901049</v>
      </c>
      <c r="J30" s="88" t="str">
        <f aca="false">IF(SUM($F30)=0,"",IF($H30="","Enter Positivity Rate",$H30))</f>
        <v/>
      </c>
      <c r="K30" s="88" t="str">
        <f aca="false">IF(SUM($G30)=0,"",IF($I30="","Enter Positivity Rate",$I30))</f>
        <v/>
      </c>
      <c r="L30" s="10" t="n">
        <f aca="false">ROUND(SUM(SUM($F30)*SUM($J30),SUM($G30)*SUM($K30)),0)</f>
        <v>0</v>
      </c>
      <c r="M30" s="88" t="n">
        <f aca="false">0.95</f>
        <v>0.95</v>
      </c>
      <c r="N30" s="10" t="n">
        <f aca="false">ROUND(SUM($L30)*$M30,0)</f>
        <v>0</v>
      </c>
      <c r="O30" s="88" t="n">
        <f aca="false">0.98</f>
        <v>0.98</v>
      </c>
      <c r="P30" s="10" t="n">
        <f aca="false">ROUND(SUM($N30)*$O30,0)</f>
        <v>0</v>
      </c>
      <c r="Q30" s="88" t="n">
        <f aca="false">0.7</f>
        <v>0.7</v>
      </c>
      <c r="R30" s="10" t="n">
        <f aca="false">ROUND(SUM($N30)*$Q30,0)</f>
        <v>0</v>
      </c>
      <c r="S30" s="88" t="n">
        <f aca="false">0.95</f>
        <v>0.95</v>
      </c>
      <c r="T30" s="10" t="n">
        <f aca="false">ROUND(SUM($R30)*$S30,0)</f>
        <v>0</v>
      </c>
      <c r="U30" s="88" t="n">
        <f aca="false">0.95</f>
        <v>0.95</v>
      </c>
      <c r="V30" s="10" t="n">
        <f aca="false">ROUND(SUM($T30)*$U30,0)</f>
        <v>0</v>
      </c>
    </row>
    <row r="31" customFormat="false" ht="15" hidden="false" customHeight="false" outlineLevel="0" collapsed="false">
      <c r="A31" s="0" t="str">
        <f aca="false">INDEX(Prioritization!$D:$D,MATCH($B31,Prioritization!$A:$A,0))</f>
        <v>1 - Scale-up: Saturation</v>
      </c>
      <c r="B31" s="0" t="s">
        <v>210</v>
      </c>
      <c r="C31" s="10" t="n">
        <f aca="false">SUMIF(PMTCT!$B:$B,$B31,PMTCT!$AV:$AV)</f>
        <v>4</v>
      </c>
      <c r="D31" s="88" t="n">
        <f aca="false">0.95</f>
        <v>0.95</v>
      </c>
      <c r="E31" s="88" t="n">
        <f aca="false">1</f>
        <v>1</v>
      </c>
      <c r="F31" s="39" t="n">
        <f aca="false">ROUND(SUM($C31)*$D31,0)</f>
        <v>4</v>
      </c>
      <c r="G31" s="39" t="n">
        <f aca="false">ROUND(SUM($C31)*$E31,0)-SUM($F31)</f>
        <v>0</v>
      </c>
      <c r="H31" s="88" t="n">
        <v>0.422721010167152</v>
      </c>
      <c r="I31" s="88" t="n">
        <v>0.579336687223986</v>
      </c>
      <c r="J31" s="88" t="n">
        <f aca="false">IF(SUM($F31)=0,"",IF($H31="","Enter Positivity Rate",$H31))</f>
        <v>0.422721010167152</v>
      </c>
      <c r="K31" s="88" t="str">
        <f aca="false">IF(SUM($G31)=0,"",IF($I31="","Enter Positivity Rate",$I31))</f>
        <v/>
      </c>
      <c r="L31" s="10" t="n">
        <f aca="false">ROUND(SUM(SUM($F31)*SUM($J31),SUM($G31)*SUM($K31)),0)</f>
        <v>2</v>
      </c>
      <c r="M31" s="88" t="n">
        <f aca="false">0.95</f>
        <v>0.95</v>
      </c>
      <c r="N31" s="10" t="n">
        <f aca="false">ROUND(SUM($L31)*$M31,0)</f>
        <v>2</v>
      </c>
      <c r="O31" s="88" t="n">
        <f aca="false">0.98</f>
        <v>0.98</v>
      </c>
      <c r="P31" s="10" t="n">
        <f aca="false">ROUND(SUM($N31)*$O31,0)</f>
        <v>2</v>
      </c>
      <c r="Q31" s="88" t="n">
        <f aca="false">0.7</f>
        <v>0.7</v>
      </c>
      <c r="R31" s="10" t="n">
        <f aca="false">ROUND(SUM($N31)*$Q31,0)</f>
        <v>1</v>
      </c>
      <c r="S31" s="88" t="n">
        <f aca="false">0.95</f>
        <v>0.95</v>
      </c>
      <c r="T31" s="10" t="n">
        <f aca="false">ROUND(SUM($R31)*$S31,0)</f>
        <v>1</v>
      </c>
      <c r="U31" s="88" t="n">
        <f aca="false">0.95</f>
        <v>0.95</v>
      </c>
      <c r="V31" s="10" t="n">
        <f aca="false">ROUND(SUM($T31)*$U31,0)</f>
        <v>1</v>
      </c>
    </row>
    <row r="32" customFormat="false" ht="15" hidden="false" customHeight="false" outlineLevel="0" collapsed="false">
      <c r="A32" s="0" t="str">
        <f aca="false">INDEX(Prioritization!$D:$D,MATCH($B32,Prioritization!$A:$A,0))</f>
        <v>1 - Scale-up: Saturation</v>
      </c>
      <c r="B32" s="0" t="s">
        <v>211</v>
      </c>
      <c r="C32" s="10" t="n">
        <f aca="false">SUMIF(PMTCT!$B:$B,$B32,PMTCT!$AV:$AV)</f>
        <v>9</v>
      </c>
      <c r="D32" s="88" t="n">
        <f aca="false">0.95</f>
        <v>0.95</v>
      </c>
      <c r="E32" s="88" t="n">
        <f aca="false">1</f>
        <v>1</v>
      </c>
      <c r="F32" s="39" t="n">
        <f aca="false">ROUND(SUM($C32)*$D32,0)</f>
        <v>9</v>
      </c>
      <c r="G32" s="39" t="n">
        <f aca="false">ROUND(SUM($C32)*$E32,0)-SUM($F32)</f>
        <v>0</v>
      </c>
      <c r="H32" s="88" t="n">
        <v>0.0831479567568749</v>
      </c>
      <c r="I32" s="88" t="n">
        <v>0.845518660964444</v>
      </c>
      <c r="J32" s="88" t="n">
        <f aca="false">IF(SUM($F32)=0,"",IF($H32="","Enter Positivity Rate",$H32))</f>
        <v>0.0831479567568749</v>
      </c>
      <c r="K32" s="88" t="str">
        <f aca="false">IF(SUM($G32)=0,"",IF($I32="","Enter Positivity Rate",$I32))</f>
        <v/>
      </c>
      <c r="L32" s="10" t="n">
        <f aca="false">ROUND(SUM(SUM($F32)*SUM($J32),SUM($G32)*SUM($K32)),0)</f>
        <v>1</v>
      </c>
      <c r="M32" s="88" t="n">
        <f aca="false">0.95</f>
        <v>0.95</v>
      </c>
      <c r="N32" s="10" t="n">
        <f aca="false">ROUND(SUM($L32)*$M32,0)</f>
        <v>1</v>
      </c>
      <c r="O32" s="88" t="n">
        <f aca="false">0.98</f>
        <v>0.98</v>
      </c>
      <c r="P32" s="10" t="n">
        <f aca="false">ROUND(SUM($N32)*$O32,0)</f>
        <v>1</v>
      </c>
      <c r="Q32" s="88" t="n">
        <f aca="false">0.7</f>
        <v>0.7</v>
      </c>
      <c r="R32" s="10" t="n">
        <f aca="false">ROUND(SUM($N32)*$Q32,0)</f>
        <v>1</v>
      </c>
      <c r="S32" s="88" t="n">
        <f aca="false">0.95</f>
        <v>0.95</v>
      </c>
      <c r="T32" s="10" t="n">
        <f aca="false">ROUND(SUM($R32)*$S32,0)</f>
        <v>1</v>
      </c>
      <c r="U32" s="88" t="n">
        <f aca="false">0.95</f>
        <v>0.95</v>
      </c>
      <c r="V32" s="10" t="n">
        <f aca="false">ROUND(SUM($T32)*$U32,0)</f>
        <v>1</v>
      </c>
    </row>
    <row r="33" customFormat="false" ht="15" hidden="false" customHeight="false" outlineLevel="0" collapsed="false">
      <c r="A33" s="0" t="str">
        <f aca="false">INDEX(Prioritization!$D:$D,MATCH($B33,Prioritization!$A:$A,0))</f>
        <v>1 - Scale-up: Saturation</v>
      </c>
      <c r="B33" s="0" t="s">
        <v>212</v>
      </c>
      <c r="C33" s="10" t="n">
        <f aca="false">SUMIF(PMTCT!$B:$B,$B33,PMTCT!$AV:$AV)</f>
        <v>8</v>
      </c>
      <c r="D33" s="88" t="n">
        <f aca="false">0.95</f>
        <v>0.95</v>
      </c>
      <c r="E33" s="88" t="n">
        <f aca="false">1</f>
        <v>1</v>
      </c>
      <c r="F33" s="39" t="n">
        <f aca="false">ROUND(SUM($C33)*$D33,0)</f>
        <v>8</v>
      </c>
      <c r="G33" s="39" t="n">
        <f aca="false">ROUND(SUM($C33)*$E33,0)-SUM($F33)</f>
        <v>0</v>
      </c>
      <c r="H33" s="88" t="n">
        <v>0.902575791114941</v>
      </c>
      <c r="I33" s="88" t="n">
        <v>0.855790253262967</v>
      </c>
      <c r="J33" s="88" t="n">
        <f aca="false">IF(SUM($F33)=0,"",IF($H33="","Enter Positivity Rate",$H33))</f>
        <v>0.902575791114941</v>
      </c>
      <c r="K33" s="88" t="str">
        <f aca="false">IF(SUM($G33)=0,"",IF($I33="","Enter Positivity Rate",$I33))</f>
        <v/>
      </c>
      <c r="L33" s="10" t="n">
        <f aca="false">ROUND(SUM(SUM($F33)*SUM($J33),SUM($G33)*SUM($K33)),0)</f>
        <v>7</v>
      </c>
      <c r="M33" s="88" t="n">
        <f aca="false">0.95</f>
        <v>0.95</v>
      </c>
      <c r="N33" s="10" t="n">
        <f aca="false">ROUND(SUM($L33)*$M33,0)</f>
        <v>7</v>
      </c>
      <c r="O33" s="88" t="n">
        <f aca="false">0.98</f>
        <v>0.98</v>
      </c>
      <c r="P33" s="10" t="n">
        <f aca="false">ROUND(SUM($N33)*$O33,0)</f>
        <v>7</v>
      </c>
      <c r="Q33" s="88" t="n">
        <f aca="false">0.7</f>
        <v>0.7</v>
      </c>
      <c r="R33" s="10" t="n">
        <f aca="false">ROUND(SUM($N33)*$Q33,0)</f>
        <v>5</v>
      </c>
      <c r="S33" s="88" t="n">
        <f aca="false">0.95</f>
        <v>0.95</v>
      </c>
      <c r="T33" s="10" t="n">
        <f aca="false">ROUND(SUM($R33)*$S33,0)</f>
        <v>5</v>
      </c>
      <c r="U33" s="88" t="n">
        <f aca="false">0.95</f>
        <v>0.95</v>
      </c>
      <c r="V33" s="10" t="n">
        <f aca="false">ROUND(SUM($T33)*$U33,0)</f>
        <v>5</v>
      </c>
    </row>
    <row r="34" customFormat="false" ht="15" hidden="false" customHeight="false" outlineLevel="0" collapsed="false">
      <c r="A34" s="0" t="str">
        <f aca="false">INDEX(Prioritization!$D:$D,MATCH($B34,Prioritization!$A:$A,0))</f>
        <v>1 - Scale-up: Saturation</v>
      </c>
      <c r="B34" s="0" t="s">
        <v>213</v>
      </c>
      <c r="C34" s="10" t="n">
        <f aca="false">SUMIF(PMTCT!$B:$B,$B34,PMTCT!$AV:$AV)</f>
        <v>0</v>
      </c>
      <c r="D34" s="88" t="n">
        <f aca="false">0.95</f>
        <v>0.95</v>
      </c>
      <c r="E34" s="88" t="n">
        <f aca="false">1</f>
        <v>1</v>
      </c>
      <c r="F34" s="39" t="n">
        <f aca="false">ROUND(SUM($C34)*$D34,0)</f>
        <v>0</v>
      </c>
      <c r="G34" s="39" t="n">
        <f aca="false">ROUND(SUM($C34)*$E34,0)-SUM($F34)</f>
        <v>0</v>
      </c>
      <c r="H34" s="88" t="n">
        <v>0.242715426255018</v>
      </c>
      <c r="I34" s="88" t="n">
        <v>0.996591319795698</v>
      </c>
      <c r="J34" s="88" t="str">
        <f aca="false">IF(SUM($F34)=0,"",IF($H34="","Enter Positivity Rate",$H34))</f>
        <v/>
      </c>
      <c r="K34" s="88" t="str">
        <f aca="false">IF(SUM($G34)=0,"",IF($I34="","Enter Positivity Rate",$I34))</f>
        <v/>
      </c>
      <c r="L34" s="10" t="n">
        <f aca="false">ROUND(SUM(SUM($F34)*SUM($J34),SUM($G34)*SUM($K34)),0)</f>
        <v>0</v>
      </c>
      <c r="M34" s="88" t="n">
        <f aca="false">0.95</f>
        <v>0.95</v>
      </c>
      <c r="N34" s="10" t="n">
        <f aca="false">ROUND(SUM($L34)*$M34,0)</f>
        <v>0</v>
      </c>
      <c r="O34" s="88" t="n">
        <f aca="false">0.98</f>
        <v>0.98</v>
      </c>
      <c r="P34" s="10" t="n">
        <f aca="false">ROUND(SUM($N34)*$O34,0)</f>
        <v>0</v>
      </c>
      <c r="Q34" s="88" t="n">
        <f aca="false">0.7</f>
        <v>0.7</v>
      </c>
      <c r="R34" s="10" t="n">
        <f aca="false">ROUND(SUM($N34)*$Q34,0)</f>
        <v>0</v>
      </c>
      <c r="S34" s="88" t="n">
        <f aca="false">0.95</f>
        <v>0.95</v>
      </c>
      <c r="T34" s="10" t="n">
        <f aca="false">ROUND(SUM($R34)*$S34,0)</f>
        <v>0</v>
      </c>
      <c r="U34" s="88" t="n">
        <f aca="false">0.95</f>
        <v>0.95</v>
      </c>
      <c r="V34" s="10" t="n">
        <f aca="false">ROUND(SUM($T34)*$U34,0)</f>
        <v>0</v>
      </c>
    </row>
    <row r="35" customFormat="false" ht="15" hidden="false" customHeight="false" outlineLevel="0" collapsed="false">
      <c r="A35" s="0" t="str">
        <f aca="false">INDEX(Prioritization!$D:$D,MATCH($B35,Prioritization!$A:$A,0))</f>
        <v>1 - Scale-up: Saturation</v>
      </c>
      <c r="B35" s="0" t="s">
        <v>214</v>
      </c>
      <c r="C35" s="10" t="n">
        <f aca="false">SUMIF(PMTCT!$B:$B,$B35,PMTCT!$AV:$AV)</f>
        <v>0</v>
      </c>
      <c r="D35" s="88" t="n">
        <f aca="false">0.95</f>
        <v>0.95</v>
      </c>
      <c r="E35" s="88" t="n">
        <f aca="false">1</f>
        <v>1</v>
      </c>
      <c r="F35" s="39" t="n">
        <f aca="false">ROUND(SUM($C35)*$D35,0)</f>
        <v>0</v>
      </c>
      <c r="G35" s="39" t="n">
        <f aca="false">ROUND(SUM($C35)*$E35,0)-SUM($F35)</f>
        <v>0</v>
      </c>
      <c r="H35" s="88" t="n">
        <v>0.80529529065825</v>
      </c>
      <c r="I35" s="88" t="n">
        <v>0.900929837953299</v>
      </c>
      <c r="J35" s="88" t="str">
        <f aca="false">IF(SUM($F35)=0,"",IF($H35="","Enter Positivity Rate",$H35))</f>
        <v/>
      </c>
      <c r="K35" s="88" t="str">
        <f aca="false">IF(SUM($G35)=0,"",IF($I35="","Enter Positivity Rate",$I35))</f>
        <v/>
      </c>
      <c r="L35" s="10" t="n">
        <f aca="false">ROUND(SUM(SUM($F35)*SUM($J35),SUM($G35)*SUM($K35)),0)</f>
        <v>0</v>
      </c>
      <c r="M35" s="88" t="n">
        <f aca="false">0.95</f>
        <v>0.95</v>
      </c>
      <c r="N35" s="10" t="n">
        <f aca="false">ROUND(SUM($L35)*$M35,0)</f>
        <v>0</v>
      </c>
      <c r="O35" s="88" t="n">
        <f aca="false">0.98</f>
        <v>0.98</v>
      </c>
      <c r="P35" s="10" t="n">
        <f aca="false">ROUND(SUM($N35)*$O35,0)</f>
        <v>0</v>
      </c>
      <c r="Q35" s="88" t="n">
        <f aca="false">0.7</f>
        <v>0.7</v>
      </c>
      <c r="R35" s="10" t="n">
        <f aca="false">ROUND(SUM($N35)*$Q35,0)</f>
        <v>0</v>
      </c>
      <c r="S35" s="88" t="n">
        <f aca="false">0.95</f>
        <v>0.95</v>
      </c>
      <c r="T35" s="10" t="n">
        <f aca="false">ROUND(SUM($R35)*$S35,0)</f>
        <v>0</v>
      </c>
      <c r="U35" s="88" t="n">
        <f aca="false">0.95</f>
        <v>0.95</v>
      </c>
      <c r="V35" s="10" t="n">
        <f aca="false">ROUND(SUM($T35)*$U35,0)</f>
        <v>0</v>
      </c>
    </row>
    <row r="36" customFormat="false" ht="15" hidden="false" customHeight="false" outlineLevel="0" collapsed="false">
      <c r="A36" s="0" t="str">
        <f aca="false">INDEX(Prioritization!$D:$D,MATCH($B36,Prioritization!$A:$A,0))</f>
        <v>INVALID</v>
      </c>
      <c r="B36" s="0" t="s">
        <v>215</v>
      </c>
      <c r="C36" s="10" t="n">
        <f aca="false">SUMIF(PMTCT!$B:$B,$B36,PMTCT!$AV:$AV)</f>
        <v>21</v>
      </c>
      <c r="D36" s="88" t="n">
        <f aca="false">0.95</f>
        <v>0.95</v>
      </c>
      <c r="E36" s="88" t="n">
        <f aca="false">1</f>
        <v>1</v>
      </c>
      <c r="F36" s="39" t="n">
        <f aca="false">ROUND(SUM($C36)*$D36,0)</f>
        <v>20</v>
      </c>
      <c r="G36" s="39" t="n">
        <f aca="false">ROUND(SUM($C36)*$E36,0)-SUM($F36)</f>
        <v>1</v>
      </c>
      <c r="H36" s="88" t="n">
        <v>0.0610265983268619</v>
      </c>
      <c r="I36" s="88" t="n">
        <v>0.862320981686935</v>
      </c>
      <c r="J36" s="88" t="n">
        <f aca="false">IF(SUM($F36)=0,"",IF($H36="","Enter Positivity Rate",$H36))</f>
        <v>0.0610265983268619</v>
      </c>
      <c r="K36" s="88" t="n">
        <f aca="false">IF(SUM($G36)=0,"",IF($I36="","Enter Positivity Rate",$I36))</f>
        <v>0.862320981686935</v>
      </c>
      <c r="L36" s="10" t="n">
        <f aca="false">ROUND(SUM(SUM($F36)*SUM($J36),SUM($G36)*SUM($K36)),0)</f>
        <v>2</v>
      </c>
      <c r="M36" s="88" t="n">
        <f aca="false">0.95</f>
        <v>0.95</v>
      </c>
      <c r="N36" s="10" t="n">
        <f aca="false">ROUND(SUM($L36)*$M36,0)</f>
        <v>2</v>
      </c>
      <c r="O36" s="88" t="n">
        <f aca="false">0.98</f>
        <v>0.98</v>
      </c>
      <c r="P36" s="10" t="n">
        <f aca="false">ROUND(SUM($N36)*$O36,0)</f>
        <v>2</v>
      </c>
      <c r="Q36" s="88" t="n">
        <f aca="false">0.7</f>
        <v>0.7</v>
      </c>
      <c r="R36" s="10" t="n">
        <f aca="false">ROUND(SUM($N36)*$Q36,0)</f>
        <v>1</v>
      </c>
      <c r="S36" s="88" t="n">
        <f aca="false">0.95</f>
        <v>0.95</v>
      </c>
      <c r="T36" s="10" t="n">
        <f aca="false">ROUND(SUM($R36)*$S36,0)</f>
        <v>1</v>
      </c>
      <c r="U36" s="88" t="n">
        <f aca="false">0.95</f>
        <v>0.95</v>
      </c>
      <c r="V36" s="10" t="n">
        <f aca="false">ROUND(SUM($T36)*$U36,0)</f>
        <v>1</v>
      </c>
    </row>
    <row r="37" customFormat="false" ht="15" hidden="false" customHeight="false" outlineLevel="0" collapsed="false">
      <c r="A37" s="0" t="str">
        <f aca="false">INDEX(Prioritization!$D:$D,MATCH($B37,Prioritization!$A:$A,0))</f>
        <v>INVALID</v>
      </c>
      <c r="B37" s="0" t="s">
        <v>216</v>
      </c>
      <c r="C37" s="10" t="n">
        <f aca="false">SUMIF(PMTCT!$B:$B,$B37,PMTCT!$AV:$AV)</f>
        <v>8</v>
      </c>
      <c r="D37" s="88" t="n">
        <f aca="false">0.95</f>
        <v>0.95</v>
      </c>
      <c r="E37" s="88" t="n">
        <f aca="false">1</f>
        <v>1</v>
      </c>
      <c r="F37" s="39" t="n">
        <f aca="false">ROUND(SUM($C37)*$D37,0)</f>
        <v>8</v>
      </c>
      <c r="G37" s="39" t="n">
        <f aca="false">ROUND(SUM($C37)*$E37,0)-SUM($F37)</f>
        <v>0</v>
      </c>
      <c r="H37" s="88" t="n">
        <v>0.410631608916447</v>
      </c>
      <c r="I37" s="88" t="n">
        <v>0.619804447283968</v>
      </c>
      <c r="J37" s="88" t="n">
        <f aca="false">IF(SUM($F37)=0,"",IF($H37="","Enter Positivity Rate",$H37))</f>
        <v>0.410631608916447</v>
      </c>
      <c r="K37" s="88" t="str">
        <f aca="false">IF(SUM($G37)=0,"",IF($I37="","Enter Positivity Rate",$I37))</f>
        <v/>
      </c>
      <c r="L37" s="10" t="n">
        <f aca="false">ROUND(SUM(SUM($F37)*SUM($J37),SUM($G37)*SUM($K37)),0)</f>
        <v>3</v>
      </c>
      <c r="M37" s="88" t="n">
        <f aca="false">0.95</f>
        <v>0.95</v>
      </c>
      <c r="N37" s="10" t="n">
        <f aca="false">ROUND(SUM($L37)*$M37,0)</f>
        <v>3</v>
      </c>
      <c r="O37" s="88" t="n">
        <f aca="false">0.98</f>
        <v>0.98</v>
      </c>
      <c r="P37" s="10" t="n">
        <f aca="false">ROUND(SUM($N37)*$O37,0)</f>
        <v>3</v>
      </c>
      <c r="Q37" s="88" t="n">
        <f aca="false">0.7</f>
        <v>0.7</v>
      </c>
      <c r="R37" s="10" t="n">
        <f aca="false">ROUND(SUM($N37)*$Q37,0)</f>
        <v>2</v>
      </c>
      <c r="S37" s="88" t="n">
        <f aca="false">0.95</f>
        <v>0.95</v>
      </c>
      <c r="T37" s="10" t="n">
        <f aca="false">ROUND(SUM($R37)*$S37,0)</f>
        <v>2</v>
      </c>
      <c r="U37" s="88" t="n">
        <f aca="false">0.95</f>
        <v>0.95</v>
      </c>
      <c r="V37" s="10" t="n">
        <f aca="false">ROUND(SUM($T37)*$U37,0)</f>
        <v>2</v>
      </c>
    </row>
    <row r="38" customFormat="false" ht="15" hidden="false" customHeight="false" outlineLevel="0" collapsed="false">
      <c r="A38" s="0" t="str">
        <f aca="false">INDEX(Prioritization!$D:$D,MATCH($B38,Prioritization!$A:$A,0))</f>
        <v>INVALID</v>
      </c>
      <c r="B38" s="0" t="s">
        <v>217</v>
      </c>
      <c r="C38" s="10" t="n">
        <f aca="false">SUMIF(PMTCT!$B:$B,$B38,PMTCT!$AV:$AV)</f>
        <v>0</v>
      </c>
      <c r="D38" s="88" t="n">
        <f aca="false">0.95</f>
        <v>0.95</v>
      </c>
      <c r="E38" s="88" t="n">
        <f aca="false">1</f>
        <v>1</v>
      </c>
      <c r="F38" s="39" t="n">
        <f aca="false">ROUND(SUM($C38)*$D38,0)</f>
        <v>0</v>
      </c>
      <c r="G38" s="39" t="n">
        <f aca="false">ROUND(SUM($C38)*$E38,0)-SUM($F38)</f>
        <v>0</v>
      </c>
      <c r="H38" s="88" t="n">
        <v>0.818556986749172</v>
      </c>
      <c r="I38" s="88" t="n">
        <v>0.958993263542652</v>
      </c>
      <c r="J38" s="88" t="str">
        <f aca="false">IF(SUM($F38)=0,"",IF($H38="","Enter Positivity Rate",$H38))</f>
        <v/>
      </c>
      <c r="K38" s="88" t="str">
        <f aca="false">IF(SUM($G38)=0,"",IF($I38="","Enter Positivity Rate",$I38))</f>
        <v/>
      </c>
      <c r="L38" s="10" t="n">
        <f aca="false">ROUND(SUM(SUM($F38)*SUM($J38),SUM($G38)*SUM($K38)),0)</f>
        <v>0</v>
      </c>
      <c r="M38" s="88" t="n">
        <f aca="false">0.95</f>
        <v>0.95</v>
      </c>
      <c r="N38" s="10" t="n">
        <f aca="false">ROUND(SUM($L38)*$M38,0)</f>
        <v>0</v>
      </c>
      <c r="O38" s="88" t="n">
        <f aca="false">0.98</f>
        <v>0.98</v>
      </c>
      <c r="P38" s="10" t="n">
        <f aca="false">ROUND(SUM($N38)*$O38,0)</f>
        <v>0</v>
      </c>
      <c r="Q38" s="88" t="n">
        <f aca="false">0.7</f>
        <v>0.7</v>
      </c>
      <c r="R38" s="10" t="n">
        <f aca="false">ROUND(SUM($N38)*$Q38,0)</f>
        <v>0</v>
      </c>
      <c r="S38" s="88" t="n">
        <f aca="false">0.95</f>
        <v>0.95</v>
      </c>
      <c r="T38" s="10" t="n">
        <f aca="false">ROUND(SUM($R38)*$S38,0)</f>
        <v>0</v>
      </c>
      <c r="U38" s="88" t="n">
        <f aca="false">0.95</f>
        <v>0.95</v>
      </c>
      <c r="V38" s="10" t="n">
        <f aca="false">ROUND(SUM($T38)*$U38,0)</f>
        <v>0</v>
      </c>
    </row>
    <row r="39" customFormat="false" ht="15" hidden="false" customHeight="false" outlineLevel="0" collapsed="false">
      <c r="A39" s="0" t="str">
        <f aca="false">INDEX(Prioritization!$D:$D,MATCH($B39,Prioritization!$A:$A,0))</f>
        <v>INVALID</v>
      </c>
      <c r="B39" s="0" t="s">
        <v>218</v>
      </c>
      <c r="C39" s="10" t="n">
        <f aca="false">SUMIF(PMTCT!$B:$B,$B39,PMTCT!$AV:$AV)</f>
        <v>0</v>
      </c>
      <c r="D39" s="88" t="n">
        <f aca="false">0.95</f>
        <v>0.95</v>
      </c>
      <c r="E39" s="88" t="n">
        <f aca="false">1</f>
        <v>1</v>
      </c>
      <c r="F39" s="39" t="n">
        <f aca="false">ROUND(SUM($C39)*$D39,0)</f>
        <v>0</v>
      </c>
      <c r="G39" s="39" t="n">
        <f aca="false">ROUND(SUM($C39)*$E39,0)-SUM($F39)</f>
        <v>0</v>
      </c>
      <c r="H39" s="88" t="n">
        <v>0.526231655618176</v>
      </c>
      <c r="I39" s="88" t="n">
        <v>0.499516381882131</v>
      </c>
      <c r="J39" s="88" t="str">
        <f aca="false">IF(SUM($F39)=0,"",IF($H39="","Enter Positivity Rate",$H39))</f>
        <v/>
      </c>
      <c r="K39" s="88" t="str">
        <f aca="false">IF(SUM($G39)=0,"",IF($I39="","Enter Positivity Rate",$I39))</f>
        <v/>
      </c>
      <c r="L39" s="10" t="n">
        <f aca="false">ROUND(SUM(SUM($F39)*SUM($J39),SUM($G39)*SUM($K39)),0)</f>
        <v>0</v>
      </c>
      <c r="M39" s="88" t="n">
        <f aca="false">0.95</f>
        <v>0.95</v>
      </c>
      <c r="N39" s="10" t="n">
        <f aca="false">ROUND(SUM($L39)*$M39,0)</f>
        <v>0</v>
      </c>
      <c r="O39" s="88" t="n">
        <f aca="false">0.98</f>
        <v>0.98</v>
      </c>
      <c r="P39" s="10" t="n">
        <f aca="false">ROUND(SUM($N39)*$O39,0)</f>
        <v>0</v>
      </c>
      <c r="Q39" s="88" t="n">
        <f aca="false">0.7</f>
        <v>0.7</v>
      </c>
      <c r="R39" s="10" t="n">
        <f aca="false">ROUND(SUM($N39)*$Q39,0)</f>
        <v>0</v>
      </c>
      <c r="S39" s="88" t="n">
        <f aca="false">0.95</f>
        <v>0.95</v>
      </c>
      <c r="T39" s="10" t="n">
        <f aca="false">ROUND(SUM($R39)*$S39,0)</f>
        <v>0</v>
      </c>
      <c r="U39" s="88" t="n">
        <f aca="false">0.95</f>
        <v>0.95</v>
      </c>
      <c r="V39" s="10" t="n">
        <f aca="false">ROUND(SUM($T39)*$U39,0)</f>
        <v>0</v>
      </c>
    </row>
    <row r="40" customFormat="false" ht="15" hidden="false" customHeight="false" outlineLevel="0" collapsed="false">
      <c r="A40" s="0" t="str">
        <f aca="false">INDEX(Prioritization!$D:$D,MATCH($B40,Prioritization!$A:$A,0))</f>
        <v>INVALID</v>
      </c>
      <c r="B40" s="0" t="s">
        <v>219</v>
      </c>
      <c r="C40" s="10" t="n">
        <f aca="false">SUMIF(PMTCT!$B:$B,$B40,PMTCT!$AV:$AV)</f>
        <v>0</v>
      </c>
      <c r="D40" s="88" t="n">
        <f aca="false">0.95</f>
        <v>0.95</v>
      </c>
      <c r="E40" s="88" t="n">
        <f aca="false">1</f>
        <v>1</v>
      </c>
      <c r="F40" s="39" t="n">
        <f aca="false">ROUND(SUM($C40)*$D40,0)</f>
        <v>0</v>
      </c>
      <c r="G40" s="39" t="n">
        <f aca="false">ROUND(SUM($C40)*$E40,0)-SUM($F40)</f>
        <v>0</v>
      </c>
      <c r="H40" s="88" t="n">
        <v>0.139188423752785</v>
      </c>
      <c r="I40" s="88" t="n">
        <v>0.298075531376526</v>
      </c>
      <c r="J40" s="88" t="str">
        <f aca="false">IF(SUM($F40)=0,"",IF($H40="","Enter Positivity Rate",$H40))</f>
        <v/>
      </c>
      <c r="K40" s="88" t="str">
        <f aca="false">IF(SUM($G40)=0,"",IF($I40="","Enter Positivity Rate",$I40))</f>
        <v/>
      </c>
      <c r="L40" s="10" t="n">
        <f aca="false">ROUND(SUM(SUM($F40)*SUM($J40),SUM($G40)*SUM($K40)),0)</f>
        <v>0</v>
      </c>
      <c r="M40" s="88" t="n">
        <f aca="false">0.95</f>
        <v>0.95</v>
      </c>
      <c r="N40" s="10" t="n">
        <f aca="false">ROUND(SUM($L40)*$M40,0)</f>
        <v>0</v>
      </c>
      <c r="O40" s="88" t="n">
        <f aca="false">0.98</f>
        <v>0.98</v>
      </c>
      <c r="P40" s="10" t="n">
        <f aca="false">ROUND(SUM($N40)*$O40,0)</f>
        <v>0</v>
      </c>
      <c r="Q40" s="88" t="n">
        <f aca="false">0.7</f>
        <v>0.7</v>
      </c>
      <c r="R40" s="10" t="n">
        <f aca="false">ROUND(SUM($N40)*$Q40,0)</f>
        <v>0</v>
      </c>
      <c r="S40" s="88" t="n">
        <f aca="false">0.95</f>
        <v>0.95</v>
      </c>
      <c r="T40" s="10" t="n">
        <f aca="false">ROUND(SUM($R40)*$S40,0)</f>
        <v>0</v>
      </c>
      <c r="U40" s="88" t="n">
        <f aca="false">0.95</f>
        <v>0.95</v>
      </c>
      <c r="V40" s="10" t="n">
        <f aca="false">ROUND(SUM($T40)*$U40,0)</f>
        <v>0</v>
      </c>
    </row>
    <row r="41" customFormat="false" ht="15" hidden="false" customHeight="false" outlineLevel="0" collapsed="false">
      <c r="A41" s="0" t="str">
        <f aca="false">INDEX(Prioritization!$D:$D,MATCH($B41,Prioritization!$A:$A,0))</f>
        <v>INVALID</v>
      </c>
      <c r="B41" s="0" t="s">
        <v>220</v>
      </c>
      <c r="C41" s="10" t="n">
        <f aca="false">SUMIF(PMTCT!$B:$B,$B41,PMTCT!$AV:$AV)</f>
        <v>3</v>
      </c>
      <c r="D41" s="88" t="n">
        <f aca="false">0.95</f>
        <v>0.95</v>
      </c>
      <c r="E41" s="88" t="n">
        <f aca="false">1</f>
        <v>1</v>
      </c>
      <c r="F41" s="39" t="n">
        <f aca="false">ROUND(SUM($C41)*$D41,0)</f>
        <v>3</v>
      </c>
      <c r="G41" s="39" t="n">
        <f aca="false">ROUND(SUM($C41)*$E41,0)-SUM($F41)</f>
        <v>0</v>
      </c>
      <c r="H41" s="88" t="n">
        <v>0.683473158860579</v>
      </c>
      <c r="I41" s="88" t="n">
        <v>0.599465069593862</v>
      </c>
      <c r="J41" s="88" t="n">
        <f aca="false">IF(SUM($F41)=0,"",IF($H41="","Enter Positivity Rate",$H41))</f>
        <v>0.683473158860579</v>
      </c>
      <c r="K41" s="88" t="str">
        <f aca="false">IF(SUM($G41)=0,"",IF($I41="","Enter Positivity Rate",$I41))</f>
        <v/>
      </c>
      <c r="L41" s="10" t="n">
        <f aca="false">ROUND(SUM(SUM($F41)*SUM($J41),SUM($G41)*SUM($K41)),0)</f>
        <v>2</v>
      </c>
      <c r="M41" s="88" t="n">
        <f aca="false">0.95</f>
        <v>0.95</v>
      </c>
      <c r="N41" s="10" t="n">
        <f aca="false">ROUND(SUM($L41)*$M41,0)</f>
        <v>2</v>
      </c>
      <c r="O41" s="88" t="n">
        <f aca="false">0.98</f>
        <v>0.98</v>
      </c>
      <c r="P41" s="10" t="n">
        <f aca="false">ROUND(SUM($N41)*$O41,0)</f>
        <v>2</v>
      </c>
      <c r="Q41" s="88" t="n">
        <f aca="false">0.7</f>
        <v>0.7</v>
      </c>
      <c r="R41" s="10" t="n">
        <f aca="false">ROUND(SUM($N41)*$Q41,0)</f>
        <v>1</v>
      </c>
      <c r="S41" s="88" t="n">
        <f aca="false">0.95</f>
        <v>0.95</v>
      </c>
      <c r="T41" s="10" t="n">
        <f aca="false">ROUND(SUM($R41)*$S41,0)</f>
        <v>1</v>
      </c>
      <c r="U41" s="88" t="n">
        <f aca="false">0.95</f>
        <v>0.95</v>
      </c>
      <c r="V41" s="10" t="n">
        <f aca="false">ROUND(SUM($T41)*$U41,0)</f>
        <v>1</v>
      </c>
    </row>
    <row r="42" customFormat="false" ht="15" hidden="false" customHeight="false" outlineLevel="0" collapsed="false">
      <c r="A42" s="0" t="str">
        <f aca="false">INDEX(Prioritization!$D:$D,MATCH($B42,Prioritization!$A:$A,0))</f>
        <v>1 - Scale-up: Saturation</v>
      </c>
      <c r="B42" s="0" t="s">
        <v>221</v>
      </c>
      <c r="C42" s="10" t="n">
        <f aca="false">SUMIF(PMTCT!$B:$B,$B42,PMTCT!$AV:$AV)</f>
        <v>6</v>
      </c>
      <c r="D42" s="88" t="n">
        <f aca="false">0.95</f>
        <v>0.95</v>
      </c>
      <c r="E42" s="88" t="n">
        <f aca="false">1</f>
        <v>1</v>
      </c>
      <c r="F42" s="39" t="n">
        <f aca="false">ROUND(SUM($C42)*$D42,0)</f>
        <v>6</v>
      </c>
      <c r="G42" s="39" t="n">
        <f aca="false">ROUND(SUM($C42)*$E42,0)-SUM($F42)</f>
        <v>0</v>
      </c>
      <c r="H42" s="88" t="n">
        <v>0.308180651627481</v>
      </c>
      <c r="I42" s="88" t="n">
        <v>0.0885711412411183</v>
      </c>
      <c r="J42" s="88" t="n">
        <f aca="false">IF(SUM($F42)=0,"",IF($H42="","Enter Positivity Rate",$H42))</f>
        <v>0.308180651627481</v>
      </c>
      <c r="K42" s="88" t="str">
        <f aca="false">IF(SUM($G42)=0,"",IF($I42="","Enter Positivity Rate",$I42))</f>
        <v/>
      </c>
      <c r="L42" s="10" t="n">
        <f aca="false">ROUND(SUM(SUM($F42)*SUM($J42),SUM($G42)*SUM($K42)),0)</f>
        <v>2</v>
      </c>
      <c r="M42" s="88" t="n">
        <f aca="false">0.95</f>
        <v>0.95</v>
      </c>
      <c r="N42" s="10" t="n">
        <f aca="false">ROUND(SUM($L42)*$M42,0)</f>
        <v>2</v>
      </c>
      <c r="O42" s="88" t="n">
        <f aca="false">0.98</f>
        <v>0.98</v>
      </c>
      <c r="P42" s="10" t="n">
        <f aca="false">ROUND(SUM($N42)*$O42,0)</f>
        <v>2</v>
      </c>
      <c r="Q42" s="88" t="n">
        <f aca="false">0.7</f>
        <v>0.7</v>
      </c>
      <c r="R42" s="10" t="n">
        <f aca="false">ROUND(SUM($N42)*$Q42,0)</f>
        <v>1</v>
      </c>
      <c r="S42" s="88" t="n">
        <f aca="false">0.95</f>
        <v>0.95</v>
      </c>
      <c r="T42" s="10" t="n">
        <f aca="false">ROUND(SUM($R42)*$S42,0)</f>
        <v>1</v>
      </c>
      <c r="U42" s="88" t="n">
        <f aca="false">0.95</f>
        <v>0.95</v>
      </c>
      <c r="V42" s="10" t="n">
        <f aca="false">ROUND(SUM($T42)*$U42,0)</f>
        <v>1</v>
      </c>
    </row>
    <row r="43" customFormat="false" ht="15" hidden="false" customHeight="false" outlineLevel="0" collapsed="false">
      <c r="A43" s="0" t="str">
        <f aca="false">INDEX(Prioritization!$D:$D,MATCH($B43,Prioritization!$A:$A,0))</f>
        <v>1 - Scale-up: Saturation</v>
      </c>
      <c r="B43" s="0" t="s">
        <v>222</v>
      </c>
      <c r="C43" s="10" t="n">
        <f aca="false">SUMIF(PMTCT!$B:$B,$B43,PMTCT!$AV:$AV)</f>
        <v>1</v>
      </c>
      <c r="D43" s="88" t="n">
        <f aca="false">0.95</f>
        <v>0.95</v>
      </c>
      <c r="E43" s="88" t="n">
        <f aca="false">1</f>
        <v>1</v>
      </c>
      <c r="F43" s="39" t="n">
        <f aca="false">ROUND(SUM($C43)*$D43,0)</f>
        <v>1</v>
      </c>
      <c r="G43" s="39" t="n">
        <f aca="false">ROUND(SUM($C43)*$E43,0)-SUM($F43)</f>
        <v>0</v>
      </c>
      <c r="H43" s="88" t="n">
        <v>0.0014691217802465</v>
      </c>
      <c r="I43" s="88" t="n">
        <v>0.524551015812904</v>
      </c>
      <c r="J43" s="88" t="n">
        <f aca="false">IF(SUM($F43)=0,"",IF($H43="","Enter Positivity Rate",$H43))</f>
        <v>0.0014691217802465</v>
      </c>
      <c r="K43" s="88" t="str">
        <f aca="false">IF(SUM($G43)=0,"",IF($I43="","Enter Positivity Rate",$I43))</f>
        <v/>
      </c>
      <c r="L43" s="10" t="n">
        <f aca="false">ROUND(SUM(SUM($F43)*SUM($J43),SUM($G43)*SUM($K43)),0)</f>
        <v>0</v>
      </c>
      <c r="M43" s="88" t="n">
        <f aca="false">0.95</f>
        <v>0.95</v>
      </c>
      <c r="N43" s="10" t="n">
        <f aca="false">ROUND(SUM($L43)*$M43,0)</f>
        <v>0</v>
      </c>
      <c r="O43" s="88" t="n">
        <f aca="false">0.98</f>
        <v>0.98</v>
      </c>
      <c r="P43" s="10" t="n">
        <f aca="false">ROUND(SUM($N43)*$O43,0)</f>
        <v>0</v>
      </c>
      <c r="Q43" s="88" t="n">
        <f aca="false">0.7</f>
        <v>0.7</v>
      </c>
      <c r="R43" s="10" t="n">
        <f aca="false">ROUND(SUM($N43)*$Q43,0)</f>
        <v>0</v>
      </c>
      <c r="S43" s="88" t="n">
        <f aca="false">0.95</f>
        <v>0.95</v>
      </c>
      <c r="T43" s="10" t="n">
        <f aca="false">ROUND(SUM($R43)*$S43,0)</f>
        <v>0</v>
      </c>
      <c r="U43" s="88" t="n">
        <f aca="false">0.95</f>
        <v>0.95</v>
      </c>
      <c r="V43" s="10" t="n">
        <f aca="false">ROUND(SUM($T43)*$U43,0)</f>
        <v>0</v>
      </c>
    </row>
  </sheetData>
  <conditionalFormatting sqref="D1:D1048576 M1:M1048576 S1:S1048576 U1:U1048576">
    <cfRule type="expression" priority="2" aboveAverage="0" equalAverage="0" bottom="0" percent="0" rank="0" text="" dxfId="45">
      <formula>AND(ISNUMBER(D1),ROUND(D1,2)&lt;0.95)</formula>
    </cfRule>
  </conditionalFormatting>
  <conditionalFormatting sqref="D1:E1048576 H1:K1048576 M1:M1048576 O1:O1048576 Q1:Q1048576 S1:S1048576 U1:U1048576">
    <cfRule type="expression" priority="3" aboveAverage="0" equalAverage="0" bottom="0" percent="0" rank="0" text="" dxfId="46">
      <formula>AND(ISNUMBER(D1),D1&gt;1)</formula>
    </cfRule>
  </conditionalFormatting>
  <conditionalFormatting sqref="K1:K1048576">
    <cfRule type="expression" priority="4" aboveAverage="0" equalAverage="0" bottom="0" percent="0" rank="0" text="" dxfId="47">
      <formula>AND(SUM(G1)&gt;0,ROW(K1)&gt;14,SUM(K1)=0)</formula>
    </cfRule>
  </conditionalFormatting>
  <conditionalFormatting sqref="J1:J1048576">
    <cfRule type="expression" priority="5" aboveAverage="0" equalAverage="0" bottom="0" percent="0" rank="0" text="" dxfId="48">
      <formula>AND(SUM(F1)&gt;0,ROW(J1)&gt;14,SUM(J1)=0)</formula>
    </cfRule>
  </conditionalFormatting>
  <conditionalFormatting sqref="D1:E1048576">
    <cfRule type="expression" priority="6" aboveAverage="0" equalAverage="0" bottom="0" percent="0" rank="0" text="" dxfId="49">
      <formula>AND(ISNUMBER($D1),ROUND($E1,2)&lt;ROUND($D1,2))</formula>
    </cfRule>
  </conditionalFormatting>
  <conditionalFormatting sqref="C1:V1048576">
    <cfRule type="expression" priority="7" aboveAverage="0" equalAverage="0" bottom="0" percent="0" rank="0" text="" dxfId="50">
      <formula>AND(ISNUMBER(C1),C1&lt;0)</formula>
    </cfRule>
  </conditionalFormatting>
  <conditionalFormatting sqref="O1:O1048576">
    <cfRule type="expression" priority="8" aboveAverage="0" equalAverage="0" bottom="0" percent="0" rank="0" text="" dxfId="51">
      <formula>AND(ISNUMBER(O1),ROUND(O1,2)&lt;98%)</formula>
    </cfRule>
  </conditionalFormatting>
  <conditionalFormatting sqref="Q1:Q1048576">
    <cfRule type="expression" priority="9" aboveAverage="0" equalAverage="0" bottom="0" percent="0" rank="0" text="" dxfId="52">
      <formula>AND(ISNUMBER(Q1),ROUND(Q1,2)&lt;70%)</formula>
    </cfRule>
  </conditionalFormatting>
  <conditionalFormatting sqref="E1:E1048576">
    <cfRule type="expression" priority="10" aboveAverage="0" equalAverage="0" bottom="0" percent="0" rank="0" text="" dxfId="53">
      <formula>AND(ISNUMBER(E1),E1&lt;1)</formula>
    </cfRule>
  </conditionalFormatting>
  <hyperlinks>
    <hyperlink ref="C3" location="PMTCT!AV:AV" display="Est. # infants born to HIV-positive women (FY24)"/>
    <hyperlink ref="L3" location="Cascade!BE:BE" display="Total HIV+ infants identified (FY24)"/>
    <hyperlink ref="N3" location="Cascade!AU:AU" display="HIV+ infants Initiated on ART (FY24)"/>
    <hyperlink ref="P3" location="Cascade!AM:AM" display="HIV+ infants retained on ART at end of FY24"/>
    <hyperlink ref="R3" location="Cascade!AW:AW" display="HIV+ Infants Eligible for VLT (FY24)"/>
    <hyperlink ref="T3" location="Cascade!AY:AY" display="HIV+ infants tested for VLS (FY24)"/>
    <hyperlink ref="V3" location="Cascade!BB:BB" display="HIV+ infants  Virally Suppressed (FY24)"/>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L15" activePane="bottomRight" state="frozen"/>
      <selection pane="topLeft" activeCell="A1" activeCellId="0" sqref="A1"/>
      <selection pane="topRight" activeCell="L1" activeCellId="0" sqref="L1"/>
      <selection pane="bottomLeft" activeCell="A15" activeCellId="0" sqref="A15"/>
      <selection pane="bottomRight" activeCell="N3" activeCellId="0" sqref="N3"/>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
    <col collapsed="false" customWidth="true" hidden="false" outlineLevel="0" max="26" min="6" style="0" width="11.83"/>
  </cols>
  <sheetData>
    <row r="1" customFormat="false" ht="30.75" hidden="false" customHeight="true" outlineLevel="0" collapsed="false">
      <c r="A1" s="41" t="s">
        <v>962</v>
      </c>
      <c r="B1" s="15"/>
      <c r="C1" s="15"/>
      <c r="D1" s="15"/>
      <c r="E1" s="15"/>
      <c r="F1" s="42" t="s">
        <v>963</v>
      </c>
      <c r="G1" s="47"/>
      <c r="H1" s="43"/>
      <c r="I1" s="42" t="s">
        <v>964</v>
      </c>
      <c r="J1" s="47"/>
      <c r="K1" s="47"/>
      <c r="L1" s="47"/>
      <c r="M1" s="47"/>
      <c r="N1" s="43"/>
      <c r="O1" s="43"/>
      <c r="P1" s="43"/>
      <c r="Q1" s="43"/>
      <c r="R1" s="48" t="s">
        <v>487</v>
      </c>
      <c r="S1" s="43"/>
      <c r="T1" s="43"/>
      <c r="U1" s="42" t="s">
        <v>828</v>
      </c>
      <c r="V1" s="18"/>
      <c r="W1" s="18"/>
      <c r="X1" s="18"/>
      <c r="Y1" s="18"/>
      <c r="Z1" s="18"/>
    </row>
    <row r="2" customFormat="false" ht="19.5" hidden="false" customHeight="true" outlineLevel="0" collapsed="false">
      <c r="A2" s="158" t="s">
        <v>965</v>
      </c>
      <c r="B2" s="158"/>
      <c r="C2" s="19"/>
      <c r="D2" s="19"/>
      <c r="E2" s="19"/>
      <c r="F2" s="50"/>
      <c r="G2" s="52"/>
      <c r="H2" s="21" t="s">
        <v>177</v>
      </c>
      <c r="I2" s="50"/>
      <c r="J2" s="52"/>
      <c r="K2" s="52"/>
      <c r="L2" s="52"/>
      <c r="M2" s="52"/>
      <c r="N2" s="21" t="s">
        <v>177</v>
      </c>
      <c r="O2" s="21" t="s">
        <v>177</v>
      </c>
      <c r="P2" s="21" t="s">
        <v>177</v>
      </c>
      <c r="Q2" s="21" t="s">
        <v>177</v>
      </c>
      <c r="R2" s="54"/>
      <c r="S2" s="21" t="s">
        <v>177</v>
      </c>
      <c r="T2" s="21" t="s">
        <v>177</v>
      </c>
      <c r="U2" s="50"/>
      <c r="V2" s="22"/>
      <c r="W2" s="22"/>
      <c r="X2" s="22"/>
      <c r="Y2" s="22"/>
      <c r="Z2" s="22"/>
    </row>
    <row r="3" customFormat="false" ht="117" hidden="false" customHeight="true" outlineLevel="0" collapsed="false">
      <c r="A3" s="158"/>
      <c r="B3" s="158"/>
      <c r="C3" s="23"/>
      <c r="D3" s="23"/>
      <c r="E3" s="23"/>
      <c r="F3" s="24" t="s">
        <v>966</v>
      </c>
      <c r="G3" s="160" t="s">
        <v>967</v>
      </c>
      <c r="H3" s="72" t="s">
        <v>968</v>
      </c>
      <c r="I3" s="24" t="s">
        <v>969</v>
      </c>
      <c r="J3" s="162" t="s">
        <v>970</v>
      </c>
      <c r="K3" s="160" t="s">
        <v>971</v>
      </c>
      <c r="L3" s="162" t="s">
        <v>972</v>
      </c>
      <c r="M3" s="160" t="s">
        <v>973</v>
      </c>
      <c r="N3" s="72" t="s">
        <v>558</v>
      </c>
      <c r="O3" s="72" t="s">
        <v>555</v>
      </c>
      <c r="P3" s="72" t="s">
        <v>556</v>
      </c>
      <c r="Q3" s="72" t="s">
        <v>557</v>
      </c>
      <c r="R3" s="161" t="s">
        <v>286</v>
      </c>
      <c r="S3" s="72" t="s">
        <v>551</v>
      </c>
      <c r="T3" s="72" t="s">
        <v>552</v>
      </c>
      <c r="U3" s="137" t="s">
        <v>864</v>
      </c>
      <c r="V3" s="138" t="s">
        <v>867</v>
      </c>
      <c r="W3" s="138" t="s">
        <v>865</v>
      </c>
      <c r="X3" s="138" t="s">
        <v>866</v>
      </c>
      <c r="Y3" s="138" t="s">
        <v>974</v>
      </c>
      <c r="Z3" s="69" t="s">
        <v>868</v>
      </c>
    </row>
    <row r="4" customFormat="false" ht="15" hidden="false" customHeight="false" outlineLevel="0" collapsed="false">
      <c r="A4" s="73"/>
      <c r="B4" s="27"/>
      <c r="C4" s="27"/>
      <c r="D4" s="27" t="s">
        <v>288</v>
      </c>
      <c r="E4" s="27"/>
      <c r="F4" s="74" t="n">
        <f aca="false">SUBTOTAL(109,F$15:INDEX(F:F,COUNTA($B:$B)+14-COUNTA($B$1:$B$14)))</f>
        <v>0</v>
      </c>
      <c r="G4" s="84" t="str">
        <f aca="false">IF(SUM($F$4)=0,"",SUM($H$4)/SUM($F$4)-1)</f>
        <v/>
      </c>
      <c r="H4" s="82" t="n">
        <f aca="false">SUBTOTAL(109,H$15:INDEX(H:H,COUNTA($B:$B)+14-COUNTA($B$1:$B$14)))</f>
        <v>0</v>
      </c>
      <c r="I4" s="74" t="n">
        <f aca="false">SUBTOTAL(109,I$15:INDEX(I:I,COUNTA($B:$B)+14-COUNTA($B$1:$B$14)))</f>
        <v>0</v>
      </c>
      <c r="J4" s="84"/>
      <c r="K4" s="84" t="str">
        <f aca="false">IF(SUM($N$4)=0,"",SUM($O$4)/$N$4)</f>
        <v/>
      </c>
      <c r="L4" s="84"/>
      <c r="M4" s="84" t="str">
        <f aca="false">IF(SUM($N$4,$O$4)=0,"",SUM($P$4)/(SUM($N$4)-SUM($O$4)))</f>
        <v/>
      </c>
      <c r="N4" s="82" t="n">
        <f aca="false">SUBTOTAL(109,N$15:INDEX($N:$N,COUNTA($B:$B)+14-COUNTA($B$1:$B$14)))</f>
        <v>0</v>
      </c>
      <c r="O4" s="82" t="n">
        <f aca="false">SUBTOTAL(109,O$15:INDEX(O:O,COUNTA($B:$B)+14-COUNTA($B$1:$B$14)))</f>
        <v>0</v>
      </c>
      <c r="P4" s="82" t="n">
        <f aca="false">SUBTOTAL(109,P$15:INDEX(P:P,COUNTA($B:$B)+14-COUNTA($B$1:$B$14)))</f>
        <v>0</v>
      </c>
      <c r="Q4" s="82" t="n">
        <f aca="false">SUBTOTAL(109,Q$15:INDEX(Q:Q,COUNTA($B:$B)+14-COUNTA($B$1:$B$14)))</f>
        <v>0</v>
      </c>
      <c r="R4" s="83" t="str">
        <f aca="false">IF(SUM($P$4)=0,"",SUM($T$4)/$P$4)</f>
        <v/>
      </c>
      <c r="S4" s="82" t="n">
        <f aca="false">SUBTOTAL(109,S$15:INDEX(S:S,COUNTA($B:$B)+14-COUNTA($B$1:$B$14)))</f>
        <v>0</v>
      </c>
      <c r="T4" s="82" t="n">
        <f aca="false">SUBTOTAL(109,T$15:INDEX(T:T,COUNTA($B:$B)+14-COUNTA($B$1:$B$14)))</f>
        <v>0</v>
      </c>
      <c r="U4" s="74" t="n">
        <f aca="false">SUBTOTAL(109,U$15:INDEX(U:U,COUNTA($B:$B)+14-COUNTA($B$1:$B$14)))</f>
        <v>0</v>
      </c>
      <c r="V4" s="73" t="n">
        <f aca="false">SUBTOTAL(109,V$15:INDEX(V:V,COUNTA($B:$B)+14-COUNTA($B$1:$B$14)))</f>
        <v>0</v>
      </c>
      <c r="W4" s="73" t="n">
        <f aca="false">SUBTOTAL(109,W$15:INDEX(W:W,COUNTA($B:$B)+14-COUNTA($B$1:$B$14)))</f>
        <v>0</v>
      </c>
      <c r="X4" s="73" t="n">
        <f aca="false">SUBTOTAL(109,X$15:INDEX(X:X,COUNTA($B:$B)+14-COUNTA($B$1:$B$14)))</f>
        <v>0</v>
      </c>
      <c r="Y4" s="73" t="n">
        <f aca="false">SUBTOTAL(109,Y$15:INDEX(Y:Y,COUNTA($B:$B)+14-COUNTA($B$1:$B$14)))</f>
        <v>0</v>
      </c>
      <c r="Z4" s="73" t="n">
        <f aca="false">SUBTOTAL(109,Z$15:INDEX(Z:Z,COUNTA($B:$B)+14-COUNTA($B$1:$B$14)))</f>
        <v>0</v>
      </c>
    </row>
    <row r="5" customFormat="false" ht="12.8" hidden="false" customHeight="false" outlineLevel="0" collapsed="false">
      <c r="A5" s="0" t="s">
        <v>181</v>
      </c>
      <c r="B5" s="9" t="s">
        <v>181</v>
      </c>
      <c r="C5" s="9" t="s">
        <v>181</v>
      </c>
      <c r="D5" s="9" t="s">
        <v>181</v>
      </c>
      <c r="E5" s="9" t="s">
        <v>181</v>
      </c>
      <c r="F5" s="85" t="s">
        <v>289</v>
      </c>
      <c r="G5" s="88" t="s">
        <v>181</v>
      </c>
      <c r="H5" s="5" t="s">
        <v>289</v>
      </c>
      <c r="I5" s="85" t="s">
        <v>289</v>
      </c>
      <c r="J5" s="88" t="s">
        <v>181</v>
      </c>
      <c r="K5" s="88" t="s">
        <v>181</v>
      </c>
      <c r="L5" s="88" t="s">
        <v>181</v>
      </c>
      <c r="M5" s="88" t="s">
        <v>181</v>
      </c>
      <c r="N5" s="5" t="s">
        <v>181</v>
      </c>
      <c r="O5" s="5" t="s">
        <v>289</v>
      </c>
      <c r="P5" s="5" t="s">
        <v>289</v>
      </c>
      <c r="Q5" s="5" t="s">
        <v>289</v>
      </c>
      <c r="R5" s="92" t="s">
        <v>181</v>
      </c>
      <c r="S5" s="5" t="s">
        <v>289</v>
      </c>
      <c r="T5" s="5" t="s">
        <v>289</v>
      </c>
      <c r="U5" s="85" t="s">
        <v>181</v>
      </c>
      <c r="V5" s="10" t="s">
        <v>181</v>
      </c>
      <c r="W5" s="10" t="s">
        <v>181</v>
      </c>
      <c r="X5" s="10" t="s">
        <v>181</v>
      </c>
      <c r="Y5" s="10" t="s">
        <v>181</v>
      </c>
      <c r="Z5" s="10" t="s">
        <v>181</v>
      </c>
    </row>
    <row r="6" customFormat="false" ht="12.8" hidden="false" customHeight="false" outlineLevel="0" collapsed="false">
      <c r="A6" s="0" t="s">
        <v>183</v>
      </c>
      <c r="B6" s="9" t="s">
        <v>183</v>
      </c>
      <c r="C6" s="9" t="s">
        <v>183</v>
      </c>
      <c r="D6" s="9" t="s">
        <v>183</v>
      </c>
      <c r="E6" s="9" t="s">
        <v>183</v>
      </c>
      <c r="F6" s="85" t="s">
        <v>184</v>
      </c>
      <c r="G6" s="88" t="s">
        <v>291</v>
      </c>
      <c r="H6" s="5" t="s">
        <v>185</v>
      </c>
      <c r="I6" s="85" t="s">
        <v>184</v>
      </c>
      <c r="J6" s="88" t="s">
        <v>292</v>
      </c>
      <c r="K6" s="88" t="s">
        <v>291</v>
      </c>
      <c r="L6" s="88" t="s">
        <v>292</v>
      </c>
      <c r="M6" s="88" t="s">
        <v>291</v>
      </c>
      <c r="N6" s="5" t="s">
        <v>186</v>
      </c>
      <c r="O6" s="5" t="s">
        <v>185</v>
      </c>
      <c r="P6" s="5" t="s">
        <v>185</v>
      </c>
      <c r="Q6" s="5" t="s">
        <v>185</v>
      </c>
      <c r="R6" s="92" t="s">
        <v>186</v>
      </c>
      <c r="S6" s="5" t="s">
        <v>185</v>
      </c>
      <c r="T6" s="5" t="s">
        <v>185</v>
      </c>
      <c r="U6" s="85" t="s">
        <v>186</v>
      </c>
      <c r="V6" s="10" t="s">
        <v>186</v>
      </c>
      <c r="W6" s="10" t="s">
        <v>186</v>
      </c>
      <c r="X6" s="10" t="s">
        <v>186</v>
      </c>
      <c r="Y6" s="10" t="s">
        <v>186</v>
      </c>
      <c r="Z6" s="10" t="s">
        <v>186</v>
      </c>
    </row>
    <row r="7" customFormat="false" ht="12.8" hidden="false" customHeight="false" outlineLevel="0" collapsed="false">
      <c r="A7" s="0" t="s">
        <v>187</v>
      </c>
      <c r="B7" s="9" t="s">
        <v>187</v>
      </c>
      <c r="C7" s="9" t="s">
        <v>187</v>
      </c>
      <c r="D7" s="9" t="s">
        <v>187</v>
      </c>
      <c r="E7" s="9" t="s">
        <v>187</v>
      </c>
      <c r="F7" s="85" t="s">
        <v>188</v>
      </c>
      <c r="G7" s="88" t="s">
        <v>294</v>
      </c>
      <c r="H7" s="5" t="s">
        <v>188</v>
      </c>
      <c r="I7" s="85" t="s">
        <v>188</v>
      </c>
      <c r="J7" s="88" t="s">
        <v>294</v>
      </c>
      <c r="K7" s="88" t="s">
        <v>294</v>
      </c>
      <c r="L7" s="88" t="s">
        <v>294</v>
      </c>
      <c r="M7" s="88" t="s">
        <v>294</v>
      </c>
      <c r="N7" s="5" t="s">
        <v>188</v>
      </c>
      <c r="O7" s="5" t="s">
        <v>188</v>
      </c>
      <c r="P7" s="5" t="s">
        <v>188</v>
      </c>
      <c r="Q7" s="5" t="s">
        <v>188</v>
      </c>
      <c r="R7" s="92" t="s">
        <v>294</v>
      </c>
      <c r="S7" s="5" t="s">
        <v>188</v>
      </c>
      <c r="T7" s="5" t="s">
        <v>188</v>
      </c>
      <c r="U7" s="85" t="s">
        <v>188</v>
      </c>
      <c r="V7" s="10" t="s">
        <v>188</v>
      </c>
      <c r="W7" s="10" t="s">
        <v>188</v>
      </c>
      <c r="X7" s="10" t="s">
        <v>188</v>
      </c>
      <c r="Y7" s="10" t="s">
        <v>188</v>
      </c>
      <c r="Z7" s="10" t="s">
        <v>188</v>
      </c>
    </row>
    <row r="8" customFormat="false" ht="12.8" hidden="false" customHeight="false" outlineLevel="0" collapsed="false">
      <c r="F8" s="93" t="s">
        <v>975</v>
      </c>
      <c r="G8" s="88"/>
      <c r="H8" s="97" t="s">
        <v>975</v>
      </c>
      <c r="I8" s="93" t="s">
        <v>643</v>
      </c>
      <c r="J8" s="88"/>
      <c r="K8" s="88"/>
      <c r="L8" s="88"/>
      <c r="M8" s="88"/>
      <c r="O8" s="97" t="s">
        <v>643</v>
      </c>
      <c r="P8" s="97" t="s">
        <v>643</v>
      </c>
      <c r="Q8" s="97" t="s">
        <v>643</v>
      </c>
      <c r="R8" s="92"/>
      <c r="S8" s="97" t="s">
        <v>653</v>
      </c>
      <c r="T8" s="97" t="s">
        <v>653</v>
      </c>
      <c r="U8" s="85"/>
      <c r="V8" s="10"/>
      <c r="W8" s="10"/>
      <c r="X8" s="10"/>
      <c r="Y8" s="10"/>
      <c r="Z8" s="10"/>
    </row>
    <row r="9" customFormat="false" ht="12.8" hidden="false" customHeight="false" outlineLevel="0" collapsed="false">
      <c r="F9" s="93" t="s">
        <v>976</v>
      </c>
      <c r="G9" s="88"/>
      <c r="H9" s="97" t="s">
        <v>976</v>
      </c>
      <c r="I9" s="93" t="s">
        <v>977</v>
      </c>
      <c r="J9" s="88"/>
      <c r="K9" s="88"/>
      <c r="L9" s="88"/>
      <c r="M9" s="88"/>
      <c r="O9" s="97" t="s">
        <v>977</v>
      </c>
      <c r="P9" s="97" t="s">
        <v>977</v>
      </c>
      <c r="Q9" s="97" t="s">
        <v>977</v>
      </c>
      <c r="R9" s="92"/>
      <c r="S9" s="97" t="s">
        <v>978</v>
      </c>
      <c r="T9" s="97" t="s">
        <v>978</v>
      </c>
      <c r="U9" s="85"/>
      <c r="V9" s="10"/>
      <c r="W9" s="10"/>
      <c r="X9" s="10"/>
      <c r="Y9" s="10"/>
      <c r="Z9" s="10"/>
    </row>
    <row r="10" customFormat="false" ht="12.8" hidden="false" customHeight="false" outlineLevel="0" collapsed="false">
      <c r="F10" s="93"/>
      <c r="G10" s="88"/>
      <c r="H10" s="97"/>
      <c r="I10" s="93" t="s">
        <v>672</v>
      </c>
      <c r="J10" s="88"/>
      <c r="K10" s="88"/>
      <c r="L10" s="88"/>
      <c r="M10" s="88"/>
      <c r="O10" s="97" t="s">
        <v>878</v>
      </c>
      <c r="P10" s="97" t="s">
        <v>672</v>
      </c>
      <c r="Q10" s="97" t="s">
        <v>879</v>
      </c>
      <c r="R10" s="92"/>
      <c r="S10" s="97" t="s">
        <v>673</v>
      </c>
      <c r="T10" s="97" t="s">
        <v>674</v>
      </c>
      <c r="U10" s="85"/>
      <c r="V10" s="10"/>
      <c r="W10" s="10"/>
      <c r="X10" s="10"/>
      <c r="Y10" s="10"/>
      <c r="Z10" s="10"/>
    </row>
    <row r="11" customFormat="false" ht="12.8" hidden="false" customHeight="false" outlineLevel="0" collapsed="false">
      <c r="F11" s="85" t="s">
        <v>314</v>
      </c>
      <c r="G11" s="88" t="s">
        <v>314</v>
      </c>
      <c r="H11" s="5" t="s">
        <v>314</v>
      </c>
      <c r="I11" s="85" t="s">
        <v>314</v>
      </c>
      <c r="J11" s="88" t="s">
        <v>314</v>
      </c>
      <c r="K11" s="88" t="s">
        <v>314</v>
      </c>
      <c r="L11" s="88" t="s">
        <v>314</v>
      </c>
      <c r="M11" s="88" t="s">
        <v>314</v>
      </c>
      <c r="N11" s="5" t="s">
        <v>314</v>
      </c>
      <c r="O11" s="5" t="s">
        <v>314</v>
      </c>
      <c r="P11" s="5" t="s">
        <v>314</v>
      </c>
      <c r="Q11" s="5" t="s">
        <v>314</v>
      </c>
      <c r="R11" s="92" t="s">
        <v>314</v>
      </c>
      <c r="S11" s="5" t="s">
        <v>314</v>
      </c>
      <c r="T11" s="5" t="s">
        <v>314</v>
      </c>
      <c r="U11" s="85" t="s">
        <v>314</v>
      </c>
      <c r="V11" s="10" t="s">
        <v>314</v>
      </c>
      <c r="W11" s="10" t="s">
        <v>683</v>
      </c>
      <c r="X11" s="10" t="s">
        <v>683</v>
      </c>
      <c r="Y11" s="10" t="s">
        <v>684</v>
      </c>
      <c r="Z11" s="10" t="s">
        <v>314</v>
      </c>
    </row>
    <row r="12" customFormat="false" ht="12.8" hidden="false" customHeight="false" outlineLevel="0" collapsed="false">
      <c r="F12" s="85" t="s">
        <v>317</v>
      </c>
      <c r="G12" s="88" t="s">
        <v>317</v>
      </c>
      <c r="H12" s="5" t="s">
        <v>317</v>
      </c>
      <c r="I12" s="85" t="s">
        <v>317</v>
      </c>
      <c r="J12" s="88" t="s">
        <v>317</v>
      </c>
      <c r="K12" s="88" t="s">
        <v>317</v>
      </c>
      <c r="L12" s="88" t="s">
        <v>317</v>
      </c>
      <c r="M12" s="88" t="s">
        <v>317</v>
      </c>
      <c r="N12" s="5" t="s">
        <v>317</v>
      </c>
      <c r="O12" s="5" t="s">
        <v>317</v>
      </c>
      <c r="P12" s="5" t="s">
        <v>317</v>
      </c>
      <c r="Q12" s="5" t="s">
        <v>317</v>
      </c>
      <c r="R12" s="92" t="s">
        <v>317</v>
      </c>
      <c r="S12" s="5" t="s">
        <v>317</v>
      </c>
      <c r="T12" s="5" t="s">
        <v>317</v>
      </c>
      <c r="U12" s="85" t="s">
        <v>317</v>
      </c>
      <c r="V12" s="10" t="s">
        <v>317</v>
      </c>
      <c r="W12" s="10" t="s">
        <v>690</v>
      </c>
      <c r="X12" s="10" t="s">
        <v>690</v>
      </c>
      <c r="Y12" s="10" t="s">
        <v>691</v>
      </c>
      <c r="Z12" s="10" t="s">
        <v>317</v>
      </c>
    </row>
    <row r="13" customFormat="false" ht="12.8" hidden="false" customHeight="false" outlineLevel="0" collapsed="false"/>
    <row r="14" customFormat="false" ht="15" hidden="false" customHeight="false" outlineLevel="0" collapsed="false">
      <c r="A14" s="100" t="s">
        <v>176</v>
      </c>
      <c r="B14" s="33" t="s">
        <v>190</v>
      </c>
      <c r="C14" s="33" t="s">
        <v>318</v>
      </c>
      <c r="D14" s="33" t="s">
        <v>319</v>
      </c>
      <c r="E14" s="33" t="s">
        <v>20</v>
      </c>
      <c r="F14" s="101" t="s">
        <v>979</v>
      </c>
      <c r="G14" s="103" t="s">
        <v>980</v>
      </c>
      <c r="H14" s="107" t="s">
        <v>981</v>
      </c>
      <c r="I14" s="101" t="s">
        <v>982</v>
      </c>
      <c r="J14" s="103" t="s">
        <v>983</v>
      </c>
      <c r="K14" s="103" t="s">
        <v>984</v>
      </c>
      <c r="L14" s="103" t="s">
        <v>985</v>
      </c>
      <c r="M14" s="103" t="s">
        <v>986</v>
      </c>
      <c r="N14" s="107" t="s">
        <v>987</v>
      </c>
      <c r="O14" s="107" t="s">
        <v>988</v>
      </c>
      <c r="P14" s="107" t="s">
        <v>989</v>
      </c>
      <c r="Q14" s="107" t="s">
        <v>990</v>
      </c>
      <c r="R14" s="105" t="s">
        <v>991</v>
      </c>
      <c r="S14" s="107" t="s">
        <v>992</v>
      </c>
      <c r="T14" s="107" t="s">
        <v>993</v>
      </c>
      <c r="U14" s="101" t="s">
        <v>912</v>
      </c>
      <c r="V14" s="36" t="s">
        <v>915</v>
      </c>
      <c r="W14" s="36" t="s">
        <v>913</v>
      </c>
      <c r="X14" s="36" t="s">
        <v>914</v>
      </c>
      <c r="Y14" s="36" t="s">
        <v>994</v>
      </c>
      <c r="Z14" s="36" t="s">
        <v>916</v>
      </c>
    </row>
    <row r="15" customFormat="false" ht="15" hidden="false" customHeight="false" outlineLevel="0" collapsed="false">
      <c r="A15" s="0" t="str">
        <f aca="false">INDEX(Prioritization!$D:$D,MATCH($B15,Prioritization!$A:$A,0))</f>
        <v>Military</v>
      </c>
      <c r="B15" s="0" t="s">
        <v>194</v>
      </c>
      <c r="C15" s="0" t="s">
        <v>363</v>
      </c>
      <c r="D15" s="0" t="s">
        <v>30</v>
      </c>
      <c r="E15" s="9" t="str">
        <f aca="false">B15&amp;"|"&amp;C15&amp;"|"&amp;D15</f>
        <v>_Military Malawi [PQZgU9dagaH]|01-09|Female</v>
      </c>
      <c r="F15" s="10"/>
      <c r="G15" s="88" t="n">
        <f aca="false">0</f>
        <v>0</v>
      </c>
      <c r="H15" s="5" t="str">
        <f aca="false">IF(SUM($F15)=0,"",ROUND($F15*(1+$G15),0))</f>
        <v/>
      </c>
      <c r="I15" s="10"/>
      <c r="J15" s="88"/>
      <c r="K15" s="88" t="str">
        <f aca="false">IF($J15="","",$J15)</f>
        <v/>
      </c>
      <c r="L15" s="88"/>
      <c r="M15" s="88" t="str">
        <f aca="false">IF($L15="","",$L15)</f>
        <v/>
      </c>
      <c r="N15" s="5" t="str">
        <f aca="false">$H15</f>
        <v/>
      </c>
      <c r="O15" s="5" t="str">
        <f aca="false">IF(SUM($N15)=0,"",IF(AND(SUM($N15)&gt;0,$K15=""),"ENTER KNOWN POSITIVITY RATE",ROUND($N15*$K15,0)))</f>
        <v/>
      </c>
      <c r="P15" s="5" t="str">
        <f aca="false">IF(SUM($N15)=0,"",IF(AND((SUM($N15)-SUM($O15))&gt;0,$M15=""),"ENTER YIELD RATE",ROUND(($N15-SUM($O15))*$M15,0)))</f>
        <v/>
      </c>
      <c r="Q15" s="5" t="str">
        <f aca="false">IF(SUM($N15)=0,"",$N15-SUM($O15)-SUM($P15))</f>
        <v/>
      </c>
      <c r="R15" s="92" t="str">
        <f aca="false">IF(SUM($P15)=0,"",INDEX(Cascade!$BG:$BG,MATCH($E15,Cascade!$E:$E,0)))</f>
        <v/>
      </c>
      <c r="S15" s="5" t="str">
        <f aca="false">$O15</f>
        <v/>
      </c>
      <c r="T15" s="5" t="str">
        <f aca="false">IF(SUM($P15)=0,"",IF(AND($R15="",SUM($P15)&gt;0),"&lt;- Enter Linkage Rate",ROUND($P15*$R15,0)))</f>
        <v/>
      </c>
      <c r="U15" s="85" t="str">
        <f aca="false">IFERROR(1/(1/INDEX(Cascade!$BH:$BH,MATCH($E15,Cascade!$E:$E,0))),"")</f>
        <v/>
      </c>
      <c r="V15" s="10" t="str">
        <f aca="false">IF(SUM($P15)=0,"",$P15)</f>
        <v/>
      </c>
      <c r="W15" s="10" t="str">
        <f aca="false">IFERROR(1/(1/INDEX(PMTCT!$AC:$AC,MATCH($E15,PMTCT!$E:$E,0))),"")</f>
        <v/>
      </c>
      <c r="X15" s="10" t="str">
        <f aca="false">IFERROR(1/(1/INDEX(PMTCT!$AS:$AS,MATCH($E15,PMTCT!$E:$E,0))),"")</f>
        <v/>
      </c>
      <c r="Y15" s="10" t="str">
        <f aca="false">IFERROR(1/(1/INDEX(VMMC!$AA:$AA,MATCH($E15,VMMC!$E:$E,0))),"")</f>
        <v/>
      </c>
      <c r="Z15" s="10" t="str">
        <f aca="false">IFERROR(1/(1/(SUM($U15)-SUM($V15:$Y15))),"")</f>
        <v/>
      </c>
    </row>
    <row r="16" customFormat="false" ht="15" hidden="false" customHeight="false" outlineLevel="0" collapsed="false">
      <c r="A16" s="0" t="str">
        <f aca="false">INDEX(Prioritization!$D:$D,MATCH($B16,Prioritization!$A:$A,0))</f>
        <v>Military</v>
      </c>
      <c r="B16" s="0" t="s">
        <v>194</v>
      </c>
      <c r="C16" s="0" t="s">
        <v>363</v>
      </c>
      <c r="D16" s="0" t="s">
        <v>48</v>
      </c>
      <c r="E16" s="0" t="str">
        <f aca="false">B16&amp;"|"&amp;C16&amp;"|"&amp;D16</f>
        <v>_Military Malawi [PQZgU9dagaH]|01-09|Male</v>
      </c>
      <c r="F16" s="10"/>
      <c r="G16" s="88" t="n">
        <f aca="false">0</f>
        <v>0</v>
      </c>
      <c r="H16" s="39" t="str">
        <f aca="false">IF(SUM($F16)=0,"",ROUND($F16*(1+$G16),0))</f>
        <v/>
      </c>
      <c r="I16" s="10"/>
      <c r="J16" s="88"/>
      <c r="K16" s="88" t="str">
        <f aca="false">IF($J16="","",$J16)</f>
        <v/>
      </c>
      <c r="L16" s="88"/>
      <c r="M16" s="88" t="str">
        <f aca="false">IF($L16="","",$L16)</f>
        <v/>
      </c>
      <c r="N16" s="10" t="str">
        <f aca="false">$H16</f>
        <v/>
      </c>
      <c r="O16" s="39" t="str">
        <f aca="false">IF(SUM($N16)=0,"",IF(AND(SUM($N16)&gt;0,$K16=""),"ENTER KNOWN POSITIVITY RATE",ROUND($N16*$K16,0)))</f>
        <v/>
      </c>
      <c r="P16" s="39" t="str">
        <f aca="false">IF(SUM($N16)=0,"",IF(AND((SUM($N16)-SUM($O16))&gt;0,$M16=""),"ENTER YIELD RATE",ROUND(($N16-SUM($O16))*$M16,0)))</f>
        <v/>
      </c>
      <c r="Q16" s="39" t="str">
        <f aca="false">IF(SUM($N16)=0,"",$N16-SUM($O16)-SUM($P16))</f>
        <v/>
      </c>
      <c r="R16" s="88" t="str">
        <f aca="false">IF(SUM($P16)=0,"",INDEX(Cascade!$BG:$BG,MATCH($E16,Cascade!$E:$E,0)))</f>
        <v/>
      </c>
      <c r="S16" s="39" t="str">
        <f aca="false">$O16</f>
        <v/>
      </c>
      <c r="T16" s="39" t="str">
        <f aca="false">IF(SUM($P16)=0,"",IF(AND($R16="",SUM($P16)&gt;0),"&lt;- Enter Linkage Rate",ROUND($P16*$R16,0)))</f>
        <v/>
      </c>
      <c r="U16" s="10" t="str">
        <f aca="false">IFERROR(1/(1/INDEX(Cascade!$BH:$BH,MATCH($E16,Cascade!$E:$E,0))),"")</f>
        <v/>
      </c>
      <c r="V16" s="10" t="str">
        <f aca="false">IF(SUM($P16)=0,"",$P16)</f>
        <v/>
      </c>
      <c r="W16" s="10" t="str">
        <f aca="false">IFERROR(1/(1/INDEX(PMTCT!$AC:$AC,MATCH($E16,PMTCT!$E:$E,0))),"")</f>
        <v/>
      </c>
      <c r="X16" s="10" t="str">
        <f aca="false">IFERROR(1/(1/INDEX(PMTCT!$AS:$AS,MATCH($E16,PMTCT!$E:$E,0))),"")</f>
        <v/>
      </c>
      <c r="Y16" s="10" t="str">
        <f aca="false">IFERROR(1/(1/INDEX(VMMC!$AA:$AA,MATCH($E16,VMMC!$E:$E,0))),"")</f>
        <v/>
      </c>
      <c r="Z16" s="10" t="str">
        <f aca="false">IFERROR(1/(1/(SUM($U16)-SUM($V16:$Y16))),"")</f>
        <v/>
      </c>
    </row>
    <row r="17" customFormat="false" ht="15" hidden="false" customHeight="false" outlineLevel="0" collapsed="false">
      <c r="A17" s="0" t="str">
        <f aca="false">INDEX(Prioritization!$D:$D,MATCH($B17,Prioritization!$A:$A,0))</f>
        <v>Military</v>
      </c>
      <c r="B17" s="0" t="s">
        <v>194</v>
      </c>
      <c r="C17" s="0" t="s">
        <v>364</v>
      </c>
      <c r="D17" s="0" t="s">
        <v>30</v>
      </c>
      <c r="E17" s="0" t="str">
        <f aca="false">B17&amp;"|"&amp;C17&amp;"|"&amp;D17</f>
        <v>_Military Malawi [PQZgU9dagaH]|10-14|Female</v>
      </c>
      <c r="F17" s="10" t="n">
        <v>0</v>
      </c>
      <c r="G17" s="88" t="n">
        <f aca="false">0</f>
        <v>0</v>
      </c>
      <c r="H17" s="39" t="str">
        <f aca="false">IF(SUM($F17)=0,"",ROUND($F17*(1+$G17),0))</f>
        <v/>
      </c>
      <c r="I17" s="10"/>
      <c r="J17" s="88"/>
      <c r="K17" s="88" t="str">
        <f aca="false">IF($J17="","",$J17)</f>
        <v/>
      </c>
      <c r="L17" s="88"/>
      <c r="M17" s="88" t="str">
        <f aca="false">IF($L17="","",$L17)</f>
        <v/>
      </c>
      <c r="N17" s="10" t="str">
        <f aca="false">$H17</f>
        <v/>
      </c>
      <c r="O17" s="39" t="str">
        <f aca="false">IF(SUM($N17)=0,"",IF(AND(SUM($N17)&gt;0,$K17=""),"ENTER KNOWN POSITIVITY RATE",ROUND($N17*$K17,0)))</f>
        <v/>
      </c>
      <c r="P17" s="39" t="str">
        <f aca="false">IF(SUM($N17)=0,"",IF(AND((SUM($N17)-SUM($O17))&gt;0,$M17=""),"ENTER YIELD RATE",ROUND(($N17-SUM($O17))*$M17,0)))</f>
        <v/>
      </c>
      <c r="Q17" s="39" t="str">
        <f aca="false">IF(SUM($N17)=0,"",$N17-SUM($O17)-SUM($P17))</f>
        <v/>
      </c>
      <c r="R17" s="88" t="str">
        <f aca="false">IF(SUM($P17)=0,"",INDEX(Cascade!$BG:$BG,MATCH($E17,Cascade!$E:$E,0)))</f>
        <v/>
      </c>
      <c r="S17" s="39" t="str">
        <f aca="false">$O17</f>
        <v/>
      </c>
      <c r="T17" s="39" t="str">
        <f aca="false">IF(SUM($P17)=0,"",IF(AND($R17="",SUM($P17)&gt;0),"&lt;- Enter Linkage Rate",ROUND($P17*$R17,0)))</f>
        <v/>
      </c>
      <c r="U17" s="10" t="n">
        <f aca="false">IFERROR(1/(1/INDEX(Cascade!$BH:$BH,MATCH($E17,Cascade!$E:$E,0))),"")</f>
        <v>-47</v>
      </c>
      <c r="V17" s="10" t="str">
        <f aca="false">IF(SUM($P17)=0,"",$P17)</f>
        <v/>
      </c>
      <c r="W17" s="10" t="str">
        <f aca="false">IFERROR(1/(1/INDEX(PMTCT!$AC:$AC,MATCH($E17,PMTCT!$E:$E,0))),"")</f>
        <v/>
      </c>
      <c r="X17" s="10" t="str">
        <f aca="false">IFERROR(1/(1/INDEX(PMTCT!$AS:$AS,MATCH($E17,PMTCT!$E:$E,0))),"")</f>
        <v/>
      </c>
      <c r="Y17" s="10" t="str">
        <f aca="false">IFERROR(1/(1/INDEX(VMMC!$AA:$AA,MATCH($E17,VMMC!$E:$E,0))),"")</f>
        <v/>
      </c>
      <c r="Z17" s="10" t="n">
        <f aca="false">IFERROR(1/(1/(SUM($U17)-SUM($V17:$Y17))),"")</f>
        <v>-47</v>
      </c>
    </row>
    <row r="18" customFormat="false" ht="15" hidden="false" customHeight="false" outlineLevel="0" collapsed="false">
      <c r="A18" s="0" t="str">
        <f aca="false">INDEX(Prioritization!$D:$D,MATCH($B18,Prioritization!$A:$A,0))</f>
        <v>Military</v>
      </c>
      <c r="B18" s="0" t="s">
        <v>194</v>
      </c>
      <c r="C18" s="0" t="s">
        <v>364</v>
      </c>
      <c r="D18" s="0" t="s">
        <v>48</v>
      </c>
      <c r="E18" s="0" t="str">
        <f aca="false">B18&amp;"|"&amp;C18&amp;"|"&amp;D18</f>
        <v>_Military Malawi [PQZgU9dagaH]|10-14|Male</v>
      </c>
      <c r="F18" s="10" t="n">
        <v>0</v>
      </c>
      <c r="G18" s="88" t="n">
        <f aca="false">0</f>
        <v>0</v>
      </c>
      <c r="H18" s="39" t="str">
        <f aca="false">IF(SUM($F18)=0,"",ROUND($F18*(1+$G18),0))</f>
        <v/>
      </c>
      <c r="I18" s="10"/>
      <c r="J18" s="88"/>
      <c r="K18" s="88" t="str">
        <f aca="false">IF($J18="","",$J18)</f>
        <v/>
      </c>
      <c r="L18" s="88"/>
      <c r="M18" s="88" t="str">
        <f aca="false">IF($L18="","",$L18)</f>
        <v/>
      </c>
      <c r="N18" s="10" t="str">
        <f aca="false">$H18</f>
        <v/>
      </c>
      <c r="O18" s="39" t="str">
        <f aca="false">IF(SUM($N18)=0,"",IF(AND(SUM($N18)&gt;0,$K18=""),"ENTER KNOWN POSITIVITY RATE",ROUND($N18*$K18,0)))</f>
        <v/>
      </c>
      <c r="P18" s="39" t="str">
        <f aca="false">IF(SUM($N18)=0,"",IF(AND((SUM($N18)-SUM($O18))&gt;0,$M18=""),"ENTER YIELD RATE",ROUND(($N18-SUM($O18))*$M18,0)))</f>
        <v/>
      </c>
      <c r="Q18" s="39" t="str">
        <f aca="false">IF(SUM($N18)=0,"",$N18-SUM($O18)-SUM($P18))</f>
        <v/>
      </c>
      <c r="R18" s="88" t="str">
        <f aca="false">IF(SUM($P18)=0,"",INDEX(Cascade!$BG:$BG,MATCH($E18,Cascade!$E:$E,0)))</f>
        <v/>
      </c>
      <c r="S18" s="39" t="str">
        <f aca="false">$O18</f>
        <v/>
      </c>
      <c r="T18" s="39" t="str">
        <f aca="false">IF(SUM($P18)=0,"",IF(AND($R18="",SUM($P18)&gt;0),"&lt;- Enter Linkage Rate",ROUND($P18*$R18,0)))</f>
        <v/>
      </c>
      <c r="U18" s="10" t="n">
        <f aca="false">IFERROR(1/(1/INDEX(Cascade!$BH:$BH,MATCH($E18,Cascade!$E:$E,0))),"")</f>
        <v>-80</v>
      </c>
      <c r="V18" s="10" t="str">
        <f aca="false">IF(SUM($P18)=0,"",$P18)</f>
        <v/>
      </c>
      <c r="W18" s="10" t="str">
        <f aca="false">IFERROR(1/(1/INDEX(PMTCT!$AC:$AC,MATCH($E18,PMTCT!$E:$E,0))),"")</f>
        <v/>
      </c>
      <c r="X18" s="10" t="str">
        <f aca="false">IFERROR(1/(1/INDEX(PMTCT!$AS:$AS,MATCH($E18,PMTCT!$E:$E,0))),"")</f>
        <v/>
      </c>
      <c r="Y18" s="10" t="str">
        <f aca="false">IFERROR(1/(1/INDEX(VMMC!$AA:$AA,MATCH($E18,VMMC!$E:$E,0))),"")</f>
        <v/>
      </c>
      <c r="Z18" s="10" t="n">
        <f aca="false">IFERROR(1/(1/(SUM($U18)-SUM($V18:$Y18))),"")</f>
        <v>-80</v>
      </c>
    </row>
    <row r="19" customFormat="false" ht="15" hidden="false" customHeight="false" outlineLevel="0" collapsed="false">
      <c r="A19" s="0" t="str">
        <f aca="false">INDEX(Prioritization!$D:$D,MATCH($B19,Prioritization!$A:$A,0))</f>
        <v>Military</v>
      </c>
      <c r="B19" s="0" t="s">
        <v>194</v>
      </c>
      <c r="C19" s="0" t="s">
        <v>365</v>
      </c>
      <c r="D19" s="0" t="s">
        <v>30</v>
      </c>
      <c r="E19" s="0" t="str">
        <f aca="false">B19&amp;"|"&amp;C19&amp;"|"&amp;D19</f>
        <v>_Military Malawi [PQZgU9dagaH]|15-24|Female</v>
      </c>
      <c r="F19" s="10"/>
      <c r="G19" s="88" t="n">
        <f aca="false">0</f>
        <v>0</v>
      </c>
      <c r="H19" s="39" t="str">
        <f aca="false">IF(SUM($F19)=0,"",ROUND($F19*(1+$G19),0))</f>
        <v/>
      </c>
      <c r="I19" s="10"/>
      <c r="J19" s="88"/>
      <c r="K19" s="88" t="str">
        <f aca="false">IF($J19="","",$J19)</f>
        <v/>
      </c>
      <c r="L19" s="88"/>
      <c r="M19" s="88" t="str">
        <f aca="false">IF($L19="","",$L19)</f>
        <v/>
      </c>
      <c r="N19" s="10" t="str">
        <f aca="false">$H19</f>
        <v/>
      </c>
      <c r="O19" s="39" t="str">
        <f aca="false">IF(SUM($N19)=0,"",IF(AND(SUM($N19)&gt;0,$K19=""),"ENTER KNOWN POSITIVITY RATE",ROUND($N19*$K19,0)))</f>
        <v/>
      </c>
      <c r="P19" s="39" t="str">
        <f aca="false">IF(SUM($N19)=0,"",IF(AND((SUM($N19)-SUM($O19))&gt;0,$M19=""),"ENTER YIELD RATE",ROUND(($N19-SUM($O19))*$M19,0)))</f>
        <v/>
      </c>
      <c r="Q19" s="39" t="str">
        <f aca="false">IF(SUM($N19)=0,"",$N19-SUM($O19)-SUM($P19))</f>
        <v/>
      </c>
      <c r="R19" s="88" t="str">
        <f aca="false">IF(SUM($P19)=0,"",INDEX(Cascade!$BG:$BG,MATCH($E19,Cascade!$E:$E,0)))</f>
        <v/>
      </c>
      <c r="S19" s="39" t="str">
        <f aca="false">$O19</f>
        <v/>
      </c>
      <c r="T19" s="39" t="str">
        <f aca="false">IF(SUM($P19)=0,"",IF(AND($R19="",SUM($P19)&gt;0),"&lt;- Enter Linkage Rate",ROUND($P19*$R19,0)))</f>
        <v/>
      </c>
      <c r="U19" s="10" t="str">
        <f aca="false">IFERROR(1/(1/INDEX(Cascade!$BH:$BH,MATCH($E19,Cascade!$E:$E,0))),"")</f>
        <v/>
      </c>
      <c r="V19" s="10" t="str">
        <f aca="false">IF(SUM($P19)=0,"",$P19)</f>
        <v/>
      </c>
      <c r="W19" s="10" t="str">
        <f aca="false">IFERROR(1/(1/INDEX(PMTCT!$AC:$AC,MATCH($E19,PMTCT!$E:$E,0))),"")</f>
        <v/>
      </c>
      <c r="X19" s="10" t="str">
        <f aca="false">IFERROR(1/(1/INDEX(PMTCT!$AS:$AS,MATCH($E19,PMTCT!$E:$E,0))),"")</f>
        <v/>
      </c>
      <c r="Y19" s="10" t="str">
        <f aca="false">IFERROR(1/(1/INDEX(VMMC!$AA:$AA,MATCH($E19,VMMC!$E:$E,0))),"")</f>
        <v/>
      </c>
      <c r="Z19" s="10" t="str">
        <f aca="false">IFERROR(1/(1/(SUM($U19)-SUM($V19:$Y19))),"")</f>
        <v/>
      </c>
    </row>
    <row r="20" customFormat="false" ht="15" hidden="false" customHeight="false" outlineLevel="0" collapsed="false">
      <c r="A20" s="0" t="str">
        <f aca="false">INDEX(Prioritization!$D:$D,MATCH($B20,Prioritization!$A:$A,0))</f>
        <v>Military</v>
      </c>
      <c r="B20" s="0" t="s">
        <v>194</v>
      </c>
      <c r="C20" s="0" t="s">
        <v>365</v>
      </c>
      <c r="D20" s="0" t="s">
        <v>48</v>
      </c>
      <c r="E20" s="0" t="str">
        <f aca="false">B20&amp;"|"&amp;C20&amp;"|"&amp;D20</f>
        <v>_Military Malawi [PQZgU9dagaH]|15-24|Male</v>
      </c>
      <c r="F20" s="10"/>
      <c r="G20" s="88" t="n">
        <f aca="false">0</f>
        <v>0</v>
      </c>
      <c r="H20" s="39" t="str">
        <f aca="false">IF(SUM($F20)=0,"",ROUND($F20*(1+$G20),0))</f>
        <v/>
      </c>
      <c r="I20" s="10"/>
      <c r="J20" s="88"/>
      <c r="K20" s="88" t="str">
        <f aca="false">IF($J20="","",$J20)</f>
        <v/>
      </c>
      <c r="L20" s="88"/>
      <c r="M20" s="88" t="str">
        <f aca="false">IF($L20="","",$L20)</f>
        <v/>
      </c>
      <c r="N20" s="10" t="str">
        <f aca="false">$H20</f>
        <v/>
      </c>
      <c r="O20" s="39" t="str">
        <f aca="false">IF(SUM($N20)=0,"",IF(AND(SUM($N20)&gt;0,$K20=""),"ENTER KNOWN POSITIVITY RATE",ROUND($N20*$K20,0)))</f>
        <v/>
      </c>
      <c r="P20" s="39" t="str">
        <f aca="false">IF(SUM($N20)=0,"",IF(AND((SUM($N20)-SUM($O20))&gt;0,$M20=""),"ENTER YIELD RATE",ROUND(($N20-SUM($O20))*$M20,0)))</f>
        <v/>
      </c>
      <c r="Q20" s="39" t="str">
        <f aca="false">IF(SUM($N20)=0,"",$N20-SUM($O20)-SUM($P20))</f>
        <v/>
      </c>
      <c r="R20" s="88" t="str">
        <f aca="false">IF(SUM($P20)=0,"",INDEX(Cascade!$BG:$BG,MATCH($E20,Cascade!$E:$E,0)))</f>
        <v/>
      </c>
      <c r="S20" s="39" t="str">
        <f aca="false">$O20</f>
        <v/>
      </c>
      <c r="T20" s="39" t="str">
        <f aca="false">IF(SUM($P20)=0,"",IF(AND($R20="",SUM($P20)&gt;0),"&lt;- Enter Linkage Rate",ROUND($P20*$R20,0)))</f>
        <v/>
      </c>
      <c r="U20" s="10" t="str">
        <f aca="false">IFERROR(1/(1/INDEX(Cascade!$BH:$BH,MATCH($E20,Cascade!$E:$E,0))),"")</f>
        <v/>
      </c>
      <c r="V20" s="10" t="str">
        <f aca="false">IF(SUM($P20)=0,"",$P20)</f>
        <v/>
      </c>
      <c r="W20" s="10" t="str">
        <f aca="false">IFERROR(1/(1/INDEX(PMTCT!$AC:$AC,MATCH($E20,PMTCT!$E:$E,0))),"")</f>
        <v/>
      </c>
      <c r="X20" s="10" t="str">
        <f aca="false">IFERROR(1/(1/INDEX(PMTCT!$AS:$AS,MATCH($E20,PMTCT!$E:$E,0))),"")</f>
        <v/>
      </c>
      <c r="Y20" s="10" t="str">
        <f aca="false">IFERROR(1/(1/INDEX(VMMC!$AA:$AA,MATCH($E20,VMMC!$E:$E,0))),"")</f>
        <v/>
      </c>
      <c r="Z20" s="10" t="str">
        <f aca="false">IFERROR(1/(1/(SUM($U20)-SUM($V20:$Y20))),"")</f>
        <v/>
      </c>
    </row>
    <row r="21" customFormat="false" ht="15" hidden="false" customHeight="false" outlineLevel="0" collapsed="false">
      <c r="A21" s="0" t="str">
        <f aca="false">INDEX(Prioritization!$D:$D,MATCH($B21,Prioritization!$A:$A,0))</f>
        <v>Military</v>
      </c>
      <c r="B21" s="0" t="s">
        <v>194</v>
      </c>
      <c r="C21" s="0" t="s">
        <v>366</v>
      </c>
      <c r="D21" s="0" t="s">
        <v>30</v>
      </c>
      <c r="E21" s="0" t="str">
        <f aca="false">B21&amp;"|"&amp;C21&amp;"|"&amp;D21</f>
        <v>_Military Malawi [PQZgU9dagaH]|25-34|Female</v>
      </c>
      <c r="F21" s="10"/>
      <c r="G21" s="88" t="n">
        <f aca="false">0</f>
        <v>0</v>
      </c>
      <c r="H21" s="39" t="str">
        <f aca="false">IF(SUM($F21)=0,"",ROUND($F21*(1+$G21),0))</f>
        <v/>
      </c>
      <c r="I21" s="10"/>
      <c r="J21" s="88"/>
      <c r="K21" s="88" t="str">
        <f aca="false">IF($J21="","",$J21)</f>
        <v/>
      </c>
      <c r="L21" s="88"/>
      <c r="M21" s="88" t="str">
        <f aca="false">IF($L21="","",$L21)</f>
        <v/>
      </c>
      <c r="N21" s="10" t="str">
        <f aca="false">$H21</f>
        <v/>
      </c>
      <c r="O21" s="39" t="str">
        <f aca="false">IF(SUM($N21)=0,"",IF(AND(SUM($N21)&gt;0,$K21=""),"ENTER KNOWN POSITIVITY RATE",ROUND($N21*$K21,0)))</f>
        <v/>
      </c>
      <c r="P21" s="39" t="str">
        <f aca="false">IF(SUM($N21)=0,"",IF(AND((SUM($N21)-SUM($O21))&gt;0,$M21=""),"ENTER YIELD RATE",ROUND(($N21-SUM($O21))*$M21,0)))</f>
        <v/>
      </c>
      <c r="Q21" s="39" t="str">
        <f aca="false">IF(SUM($N21)=0,"",$N21-SUM($O21)-SUM($P21))</f>
        <v/>
      </c>
      <c r="R21" s="88" t="str">
        <f aca="false">IF(SUM($P21)=0,"",INDEX(Cascade!$BG:$BG,MATCH($E21,Cascade!$E:$E,0)))</f>
        <v/>
      </c>
      <c r="S21" s="39" t="str">
        <f aca="false">$O21</f>
        <v/>
      </c>
      <c r="T21" s="39" t="str">
        <f aca="false">IF(SUM($P21)=0,"",IF(AND($R21="",SUM($P21)&gt;0),"&lt;- Enter Linkage Rate",ROUND($P21*$R21,0)))</f>
        <v/>
      </c>
      <c r="U21" s="10" t="str">
        <f aca="false">IFERROR(1/(1/INDEX(Cascade!$BH:$BH,MATCH($E21,Cascade!$E:$E,0))),"")</f>
        <v/>
      </c>
      <c r="V21" s="10" t="str">
        <f aca="false">IF(SUM($P21)=0,"",$P21)</f>
        <v/>
      </c>
      <c r="W21" s="10" t="str">
        <f aca="false">IFERROR(1/(1/INDEX(PMTCT!$AC:$AC,MATCH($E21,PMTCT!$E:$E,0))),"")</f>
        <v/>
      </c>
      <c r="X21" s="10" t="str">
        <f aca="false">IFERROR(1/(1/INDEX(PMTCT!$AS:$AS,MATCH($E21,PMTCT!$E:$E,0))),"")</f>
        <v/>
      </c>
      <c r="Y21" s="10" t="str">
        <f aca="false">IFERROR(1/(1/INDEX(VMMC!$AA:$AA,MATCH($E21,VMMC!$E:$E,0))),"")</f>
        <v/>
      </c>
      <c r="Z21" s="10" t="str">
        <f aca="false">IFERROR(1/(1/(SUM($U21)-SUM($V21:$Y21))),"")</f>
        <v/>
      </c>
    </row>
    <row r="22" customFormat="false" ht="15" hidden="false" customHeight="false" outlineLevel="0" collapsed="false">
      <c r="A22" s="0" t="str">
        <f aca="false">INDEX(Prioritization!$D:$D,MATCH($B22,Prioritization!$A:$A,0))</f>
        <v>Military</v>
      </c>
      <c r="B22" s="0" t="s">
        <v>194</v>
      </c>
      <c r="C22" s="0" t="s">
        <v>366</v>
      </c>
      <c r="D22" s="0" t="s">
        <v>48</v>
      </c>
      <c r="E22" s="0" t="str">
        <f aca="false">B22&amp;"|"&amp;C22&amp;"|"&amp;D22</f>
        <v>_Military Malawi [PQZgU9dagaH]|25-34|Male</v>
      </c>
      <c r="F22" s="10"/>
      <c r="G22" s="88" t="n">
        <f aca="false">0</f>
        <v>0</v>
      </c>
      <c r="H22" s="39" t="str">
        <f aca="false">IF(SUM($F22)=0,"",ROUND($F22*(1+$G22),0))</f>
        <v/>
      </c>
      <c r="I22" s="10"/>
      <c r="J22" s="88"/>
      <c r="K22" s="88" t="str">
        <f aca="false">IF($J22="","",$J22)</f>
        <v/>
      </c>
      <c r="L22" s="88"/>
      <c r="M22" s="88" t="str">
        <f aca="false">IF($L22="","",$L22)</f>
        <v/>
      </c>
      <c r="N22" s="10" t="str">
        <f aca="false">$H22</f>
        <v/>
      </c>
      <c r="O22" s="39" t="str">
        <f aca="false">IF(SUM($N22)=0,"",IF(AND(SUM($N22)&gt;0,$K22=""),"ENTER KNOWN POSITIVITY RATE",ROUND($N22*$K22,0)))</f>
        <v/>
      </c>
      <c r="P22" s="39" t="str">
        <f aca="false">IF(SUM($N22)=0,"",IF(AND((SUM($N22)-SUM($O22))&gt;0,$M22=""),"ENTER YIELD RATE",ROUND(($N22-SUM($O22))*$M22,0)))</f>
        <v/>
      </c>
      <c r="Q22" s="39" t="str">
        <f aca="false">IF(SUM($N22)=0,"",$N22-SUM($O22)-SUM($P22))</f>
        <v/>
      </c>
      <c r="R22" s="88" t="str">
        <f aca="false">IF(SUM($P22)=0,"",INDEX(Cascade!$BG:$BG,MATCH($E22,Cascade!$E:$E,0)))</f>
        <v/>
      </c>
      <c r="S22" s="39" t="str">
        <f aca="false">$O22</f>
        <v/>
      </c>
      <c r="T22" s="39" t="str">
        <f aca="false">IF(SUM($P22)=0,"",IF(AND($R22="",SUM($P22)&gt;0),"&lt;- Enter Linkage Rate",ROUND($P22*$R22,0)))</f>
        <v/>
      </c>
      <c r="U22" s="10" t="str">
        <f aca="false">IFERROR(1/(1/INDEX(Cascade!$BH:$BH,MATCH($E22,Cascade!$E:$E,0))),"")</f>
        <v/>
      </c>
      <c r="V22" s="10" t="str">
        <f aca="false">IF(SUM($P22)=0,"",$P22)</f>
        <v/>
      </c>
      <c r="W22" s="10" t="str">
        <f aca="false">IFERROR(1/(1/INDEX(PMTCT!$AC:$AC,MATCH($E22,PMTCT!$E:$E,0))),"")</f>
        <v/>
      </c>
      <c r="X22" s="10" t="str">
        <f aca="false">IFERROR(1/(1/INDEX(PMTCT!$AS:$AS,MATCH($E22,PMTCT!$E:$E,0))),"")</f>
        <v/>
      </c>
      <c r="Y22" s="10" t="str">
        <f aca="false">IFERROR(1/(1/INDEX(VMMC!$AA:$AA,MATCH($E22,VMMC!$E:$E,0))),"")</f>
        <v/>
      </c>
      <c r="Z22" s="10" t="str">
        <f aca="false">IFERROR(1/(1/(SUM($U22)-SUM($V22:$Y22))),"")</f>
        <v/>
      </c>
    </row>
    <row r="23" customFormat="false" ht="15" hidden="false" customHeight="false" outlineLevel="0" collapsed="false">
      <c r="A23" s="0" t="str">
        <f aca="false">INDEX(Prioritization!$D:$D,MATCH($B23,Prioritization!$A:$A,0))</f>
        <v>Military</v>
      </c>
      <c r="B23" s="0" t="s">
        <v>194</v>
      </c>
      <c r="C23" s="0" t="s">
        <v>367</v>
      </c>
      <c r="D23" s="0" t="s">
        <v>30</v>
      </c>
      <c r="E23" s="0" t="str">
        <f aca="false">B23&amp;"|"&amp;C23&amp;"|"&amp;D23</f>
        <v>_Military Malawi [PQZgU9dagaH]|35-49|Female</v>
      </c>
      <c r="F23" s="10"/>
      <c r="G23" s="88" t="n">
        <f aca="false">0</f>
        <v>0</v>
      </c>
      <c r="H23" s="39" t="str">
        <f aca="false">IF(SUM($F23)=0,"",ROUND($F23*(1+$G23),0))</f>
        <v/>
      </c>
      <c r="I23" s="10"/>
      <c r="J23" s="88"/>
      <c r="K23" s="88" t="str">
        <f aca="false">IF($J23="","",$J23)</f>
        <v/>
      </c>
      <c r="L23" s="88"/>
      <c r="M23" s="88" t="str">
        <f aca="false">IF($L23="","",$L23)</f>
        <v/>
      </c>
      <c r="N23" s="10" t="str">
        <f aca="false">$H23</f>
        <v/>
      </c>
      <c r="O23" s="39" t="str">
        <f aca="false">IF(SUM($N23)=0,"",IF(AND(SUM($N23)&gt;0,$K23=""),"ENTER KNOWN POSITIVITY RATE",ROUND($N23*$K23,0)))</f>
        <v/>
      </c>
      <c r="P23" s="39" t="str">
        <f aca="false">IF(SUM($N23)=0,"",IF(AND((SUM($N23)-SUM($O23))&gt;0,$M23=""),"ENTER YIELD RATE",ROUND(($N23-SUM($O23))*$M23,0)))</f>
        <v/>
      </c>
      <c r="Q23" s="39" t="str">
        <f aca="false">IF(SUM($N23)=0,"",$N23-SUM($O23)-SUM($P23))</f>
        <v/>
      </c>
      <c r="R23" s="88" t="str">
        <f aca="false">IF(SUM($P23)=0,"",INDEX(Cascade!$BG:$BG,MATCH($E23,Cascade!$E:$E,0)))</f>
        <v/>
      </c>
      <c r="S23" s="39" t="str">
        <f aca="false">$O23</f>
        <v/>
      </c>
      <c r="T23" s="39" t="str">
        <f aca="false">IF(SUM($P23)=0,"",IF(AND($R23="",SUM($P23)&gt;0),"&lt;- Enter Linkage Rate",ROUND($P23*$R23,0)))</f>
        <v/>
      </c>
      <c r="U23" s="10" t="str">
        <f aca="false">IFERROR(1/(1/INDEX(Cascade!$BH:$BH,MATCH($E23,Cascade!$E:$E,0))),"")</f>
        <v/>
      </c>
      <c r="V23" s="10" t="str">
        <f aca="false">IF(SUM($P23)=0,"",$P23)</f>
        <v/>
      </c>
      <c r="W23" s="10" t="str">
        <f aca="false">IFERROR(1/(1/INDEX(PMTCT!$AC:$AC,MATCH($E23,PMTCT!$E:$E,0))),"")</f>
        <v/>
      </c>
      <c r="X23" s="10" t="str">
        <f aca="false">IFERROR(1/(1/INDEX(PMTCT!$AS:$AS,MATCH($E23,PMTCT!$E:$E,0))),"")</f>
        <v/>
      </c>
      <c r="Y23" s="10" t="str">
        <f aca="false">IFERROR(1/(1/INDEX(VMMC!$AA:$AA,MATCH($E23,VMMC!$E:$E,0))),"")</f>
        <v/>
      </c>
      <c r="Z23" s="10" t="str">
        <f aca="false">IFERROR(1/(1/(SUM($U23)-SUM($V23:$Y23))),"")</f>
        <v/>
      </c>
    </row>
    <row r="24" customFormat="false" ht="15" hidden="false" customHeight="false" outlineLevel="0" collapsed="false">
      <c r="A24" s="0" t="str">
        <f aca="false">INDEX(Prioritization!$D:$D,MATCH($B24,Prioritization!$A:$A,0))</f>
        <v>Military</v>
      </c>
      <c r="B24" s="0" t="s">
        <v>194</v>
      </c>
      <c r="C24" s="0" t="s">
        <v>367</v>
      </c>
      <c r="D24" s="0" t="s">
        <v>48</v>
      </c>
      <c r="E24" s="0" t="str">
        <f aca="false">B24&amp;"|"&amp;C24&amp;"|"&amp;D24</f>
        <v>_Military Malawi [PQZgU9dagaH]|35-49|Male</v>
      </c>
      <c r="F24" s="10"/>
      <c r="G24" s="88" t="n">
        <f aca="false">0</f>
        <v>0</v>
      </c>
      <c r="H24" s="39" t="str">
        <f aca="false">IF(SUM($F24)=0,"",ROUND($F24*(1+$G24),0))</f>
        <v/>
      </c>
      <c r="I24" s="10"/>
      <c r="J24" s="88"/>
      <c r="K24" s="88" t="str">
        <f aca="false">IF($J24="","",$J24)</f>
        <v/>
      </c>
      <c r="L24" s="88"/>
      <c r="M24" s="88" t="str">
        <f aca="false">IF($L24="","",$L24)</f>
        <v/>
      </c>
      <c r="N24" s="10" t="str">
        <f aca="false">$H24</f>
        <v/>
      </c>
      <c r="O24" s="39" t="str">
        <f aca="false">IF(SUM($N24)=0,"",IF(AND(SUM($N24)&gt;0,$K24=""),"ENTER KNOWN POSITIVITY RATE",ROUND($N24*$K24,0)))</f>
        <v/>
      </c>
      <c r="P24" s="39" t="str">
        <f aca="false">IF(SUM($N24)=0,"",IF(AND((SUM($N24)-SUM($O24))&gt;0,$M24=""),"ENTER YIELD RATE",ROUND(($N24-SUM($O24))*$M24,0)))</f>
        <v/>
      </c>
      <c r="Q24" s="39" t="str">
        <f aca="false">IF(SUM($N24)=0,"",$N24-SUM($O24)-SUM($P24))</f>
        <v/>
      </c>
      <c r="R24" s="88" t="str">
        <f aca="false">IF(SUM($P24)=0,"",INDEX(Cascade!$BG:$BG,MATCH($E24,Cascade!$E:$E,0)))</f>
        <v/>
      </c>
      <c r="S24" s="39" t="str">
        <f aca="false">$O24</f>
        <v/>
      </c>
      <c r="T24" s="39" t="str">
        <f aca="false">IF(SUM($P24)=0,"",IF(AND($R24="",SUM($P24)&gt;0),"&lt;- Enter Linkage Rate",ROUND($P24*$R24,0)))</f>
        <v/>
      </c>
      <c r="U24" s="10" t="str">
        <f aca="false">IFERROR(1/(1/INDEX(Cascade!$BH:$BH,MATCH($E24,Cascade!$E:$E,0))),"")</f>
        <v/>
      </c>
      <c r="V24" s="10" t="str">
        <f aca="false">IF(SUM($P24)=0,"",$P24)</f>
        <v/>
      </c>
      <c r="W24" s="10" t="str">
        <f aca="false">IFERROR(1/(1/INDEX(PMTCT!$AC:$AC,MATCH($E24,PMTCT!$E:$E,0))),"")</f>
        <v/>
      </c>
      <c r="X24" s="10" t="str">
        <f aca="false">IFERROR(1/(1/INDEX(PMTCT!$AS:$AS,MATCH($E24,PMTCT!$E:$E,0))),"")</f>
        <v/>
      </c>
      <c r="Y24" s="10" t="str">
        <f aca="false">IFERROR(1/(1/INDEX(VMMC!$AA:$AA,MATCH($E24,VMMC!$E:$E,0))),"")</f>
        <v/>
      </c>
      <c r="Z24" s="10" t="str">
        <f aca="false">IFERROR(1/(1/(SUM($U24)-SUM($V24:$Y24))),"")</f>
        <v/>
      </c>
    </row>
    <row r="25" customFormat="false" ht="15" hidden="false" customHeight="false" outlineLevel="0" collapsed="false">
      <c r="A25" s="0" t="str">
        <f aca="false">INDEX(Prioritization!$D:$D,MATCH($B25,Prioritization!$A:$A,0))</f>
        <v>Military</v>
      </c>
      <c r="B25" s="0" t="s">
        <v>194</v>
      </c>
      <c r="C25" s="0" t="s">
        <v>368</v>
      </c>
      <c r="D25" s="0" t="s">
        <v>30</v>
      </c>
      <c r="E25" s="0" t="str">
        <f aca="false">B25&amp;"|"&amp;C25&amp;"|"&amp;D25</f>
        <v>_Military Malawi [PQZgU9dagaH]|50+|Female</v>
      </c>
      <c r="F25" s="10"/>
      <c r="G25" s="88" t="n">
        <f aca="false">0</f>
        <v>0</v>
      </c>
      <c r="H25" s="39" t="str">
        <f aca="false">IF(SUM($F25)=0,"",ROUND($F25*(1+$G25),0))</f>
        <v/>
      </c>
      <c r="I25" s="10"/>
      <c r="J25" s="88"/>
      <c r="K25" s="88" t="str">
        <f aca="false">IF($J25="","",$J25)</f>
        <v/>
      </c>
      <c r="L25" s="88"/>
      <c r="M25" s="88" t="str">
        <f aca="false">IF($L25="","",$L25)</f>
        <v/>
      </c>
      <c r="N25" s="10" t="str">
        <f aca="false">$H25</f>
        <v/>
      </c>
      <c r="O25" s="39" t="str">
        <f aca="false">IF(SUM($N25)=0,"",IF(AND(SUM($N25)&gt;0,$K25=""),"ENTER KNOWN POSITIVITY RATE",ROUND($N25*$K25,0)))</f>
        <v/>
      </c>
      <c r="P25" s="39" t="str">
        <f aca="false">IF(SUM($N25)=0,"",IF(AND((SUM($N25)-SUM($O25))&gt;0,$M25=""),"ENTER YIELD RATE",ROUND(($N25-SUM($O25))*$M25,0)))</f>
        <v/>
      </c>
      <c r="Q25" s="39" t="str">
        <f aca="false">IF(SUM($N25)=0,"",$N25-SUM($O25)-SUM($P25))</f>
        <v/>
      </c>
      <c r="R25" s="88" t="str">
        <f aca="false">IF(SUM($P25)=0,"",INDEX(Cascade!$BG:$BG,MATCH($E25,Cascade!$E:$E,0)))</f>
        <v/>
      </c>
      <c r="S25" s="39" t="str">
        <f aca="false">$O25</f>
        <v/>
      </c>
      <c r="T25" s="39" t="str">
        <f aca="false">IF(SUM($P25)=0,"",IF(AND($R25="",SUM($P25)&gt;0),"&lt;- Enter Linkage Rate",ROUND($P25*$R25,0)))</f>
        <v/>
      </c>
      <c r="U25" s="10" t="str">
        <f aca="false">IFERROR(1/(1/INDEX(Cascade!$BH:$BH,MATCH($E25,Cascade!$E:$E,0))),"")</f>
        <v/>
      </c>
      <c r="V25" s="10" t="str">
        <f aca="false">IF(SUM($P25)=0,"",$P25)</f>
        <v/>
      </c>
      <c r="W25" s="10" t="str">
        <f aca="false">IFERROR(1/(1/INDEX(PMTCT!$AC:$AC,MATCH($E25,PMTCT!$E:$E,0))),"")</f>
        <v/>
      </c>
      <c r="X25" s="10" t="str">
        <f aca="false">IFERROR(1/(1/INDEX(PMTCT!$AS:$AS,MATCH($E25,PMTCT!$E:$E,0))),"")</f>
        <v/>
      </c>
      <c r="Y25" s="10" t="str">
        <f aca="false">IFERROR(1/(1/INDEX(VMMC!$AA:$AA,MATCH($E25,VMMC!$E:$E,0))),"")</f>
        <v/>
      </c>
      <c r="Z25" s="10" t="str">
        <f aca="false">IFERROR(1/(1/(SUM($U25)-SUM($V25:$Y25))),"")</f>
        <v/>
      </c>
    </row>
    <row r="26" customFormat="false" ht="15" hidden="false" customHeight="false" outlineLevel="0" collapsed="false">
      <c r="A26" s="0" t="str">
        <f aca="false">INDEX(Prioritization!$D:$D,MATCH($B26,Prioritization!$A:$A,0))</f>
        <v>Military</v>
      </c>
      <c r="B26" s="0" t="s">
        <v>194</v>
      </c>
      <c r="C26" s="0" t="s">
        <v>368</v>
      </c>
      <c r="D26" s="0" t="s">
        <v>48</v>
      </c>
      <c r="E26" s="0" t="str">
        <f aca="false">B26&amp;"|"&amp;C26&amp;"|"&amp;D26</f>
        <v>_Military Malawi [PQZgU9dagaH]|50+|Male</v>
      </c>
      <c r="F26" s="10"/>
      <c r="G26" s="88" t="n">
        <f aca="false">0</f>
        <v>0</v>
      </c>
      <c r="H26" s="39" t="str">
        <f aca="false">IF(SUM($F26)=0,"",ROUND($F26*(1+$G26),0))</f>
        <v/>
      </c>
      <c r="I26" s="10"/>
      <c r="J26" s="88"/>
      <c r="K26" s="88" t="str">
        <f aca="false">IF($J26="","",$J26)</f>
        <v/>
      </c>
      <c r="L26" s="88"/>
      <c r="M26" s="88" t="str">
        <f aca="false">IF($L26="","",$L26)</f>
        <v/>
      </c>
      <c r="N26" s="10" t="str">
        <f aca="false">$H26</f>
        <v/>
      </c>
      <c r="O26" s="39" t="str">
        <f aca="false">IF(SUM($N26)=0,"",IF(AND(SUM($N26)&gt;0,$K26=""),"ENTER KNOWN POSITIVITY RATE",ROUND($N26*$K26,0)))</f>
        <v/>
      </c>
      <c r="P26" s="39" t="str">
        <f aca="false">IF(SUM($N26)=0,"",IF(AND((SUM($N26)-SUM($O26))&gt;0,$M26=""),"ENTER YIELD RATE",ROUND(($N26-SUM($O26))*$M26,0)))</f>
        <v/>
      </c>
      <c r="Q26" s="39" t="str">
        <f aca="false">IF(SUM($N26)=0,"",$N26-SUM($O26)-SUM($P26))</f>
        <v/>
      </c>
      <c r="R26" s="88" t="str">
        <f aca="false">IF(SUM($P26)=0,"",INDEX(Cascade!$BG:$BG,MATCH($E26,Cascade!$E:$E,0)))</f>
        <v/>
      </c>
      <c r="S26" s="39" t="str">
        <f aca="false">$O26</f>
        <v/>
      </c>
      <c r="T26" s="39" t="str">
        <f aca="false">IF(SUM($P26)=0,"",IF(AND($R26="",SUM($P26)&gt;0),"&lt;- Enter Linkage Rate",ROUND($P26*$R26,0)))</f>
        <v/>
      </c>
      <c r="U26" s="10" t="str">
        <f aca="false">IFERROR(1/(1/INDEX(Cascade!$BH:$BH,MATCH($E26,Cascade!$E:$E,0))),"")</f>
        <v/>
      </c>
      <c r="V26" s="10" t="str">
        <f aca="false">IF(SUM($P26)=0,"",$P26)</f>
        <v/>
      </c>
      <c r="W26" s="10" t="str">
        <f aca="false">IFERROR(1/(1/INDEX(PMTCT!$AC:$AC,MATCH($E26,PMTCT!$E:$E,0))),"")</f>
        <v/>
      </c>
      <c r="X26" s="10" t="str">
        <f aca="false">IFERROR(1/(1/INDEX(PMTCT!$AS:$AS,MATCH($E26,PMTCT!$E:$E,0))),"")</f>
        <v/>
      </c>
      <c r="Y26" s="10" t="str">
        <f aca="false">IFERROR(1/(1/INDEX(VMMC!$AA:$AA,MATCH($E26,VMMC!$E:$E,0))),"")</f>
        <v/>
      </c>
      <c r="Z26" s="10" t="str">
        <f aca="false">IFERROR(1/(1/(SUM($U26)-SUM($V26:$Y26))),"")</f>
        <v/>
      </c>
    </row>
    <row r="27" customFormat="false" ht="15" hidden="false" customHeight="false" outlineLevel="0" collapsed="false">
      <c r="A27" s="0" t="str">
        <f aca="false">INDEX(Prioritization!$D:$D,MATCH($B27,Prioritization!$A:$A,0))</f>
        <v>1 - Scale-up: Saturation</v>
      </c>
      <c r="B27" s="0" t="s">
        <v>195</v>
      </c>
      <c r="C27" s="0" t="s">
        <v>363</v>
      </c>
      <c r="D27" s="0" t="s">
        <v>30</v>
      </c>
      <c r="E27" s="0" t="str">
        <f aca="false">B27&amp;"|"&amp;C27&amp;"|"&amp;D27</f>
        <v>Dedza District [PekKUkKHAzY]|01-09|Female</v>
      </c>
      <c r="F27" s="10"/>
      <c r="G27" s="88" t="n">
        <f aca="false">0</f>
        <v>0</v>
      </c>
      <c r="H27" s="39" t="str">
        <f aca="false">IF(SUM($F27)=0,"",ROUND($F27*(1+$G27),0))</f>
        <v/>
      </c>
      <c r="I27" s="10"/>
      <c r="J27" s="88"/>
      <c r="K27" s="88" t="str">
        <f aca="false">IF($J27="","",$J27)</f>
        <v/>
      </c>
      <c r="L27" s="88"/>
      <c r="M27" s="88" t="str">
        <f aca="false">IF($L27="","",$L27)</f>
        <v/>
      </c>
      <c r="N27" s="10" t="str">
        <f aca="false">$H27</f>
        <v/>
      </c>
      <c r="O27" s="39" t="str">
        <f aca="false">IF(SUM($N27)=0,"",IF(AND(SUM($N27)&gt;0,$K27=""),"ENTER KNOWN POSITIVITY RATE",ROUND($N27*$K27,0)))</f>
        <v/>
      </c>
      <c r="P27" s="39" t="str">
        <f aca="false">IF(SUM($N27)=0,"",IF(AND((SUM($N27)-SUM($O27))&gt;0,$M27=""),"ENTER YIELD RATE",ROUND(($N27-SUM($O27))*$M27,0)))</f>
        <v/>
      </c>
      <c r="Q27" s="39" t="str">
        <f aca="false">IF(SUM($N27)=0,"",$N27-SUM($O27)-SUM($P27))</f>
        <v/>
      </c>
      <c r="R27" s="88" t="str">
        <f aca="false">IF(SUM($P27)=0,"",INDEX(Cascade!$BG:$BG,MATCH($E27,Cascade!$E:$E,0)))</f>
        <v/>
      </c>
      <c r="S27" s="39" t="str">
        <f aca="false">$O27</f>
        <v/>
      </c>
      <c r="T27" s="39" t="str">
        <f aca="false">IF(SUM($P27)=0,"",IF(AND($R27="",SUM($P27)&gt;0),"&lt;- Enter Linkage Rate",ROUND($P27*$R27,0)))</f>
        <v/>
      </c>
      <c r="U27" s="10" t="str">
        <f aca="false">IFERROR(1/(1/INDEX(Cascade!$BH:$BH,MATCH($E27,Cascade!$E:$E,0))),"")</f>
        <v/>
      </c>
      <c r="V27" s="10" t="str">
        <f aca="false">IF(SUM($P27)=0,"",$P27)</f>
        <v/>
      </c>
      <c r="W27" s="10" t="str">
        <f aca="false">IFERROR(1/(1/INDEX(PMTCT!$AC:$AC,MATCH($E27,PMTCT!$E:$E,0))),"")</f>
        <v/>
      </c>
      <c r="X27" s="10" t="str">
        <f aca="false">IFERROR(1/(1/INDEX(PMTCT!$AS:$AS,MATCH($E27,PMTCT!$E:$E,0))),"")</f>
        <v/>
      </c>
      <c r="Y27" s="10" t="str">
        <f aca="false">IFERROR(1/(1/INDEX(VMMC!$AA:$AA,MATCH($E27,VMMC!$E:$E,0))),"")</f>
        <v/>
      </c>
      <c r="Z27" s="10" t="str">
        <f aca="false">IFERROR(1/(1/(SUM($U27)-SUM($V27:$Y27))),"")</f>
        <v/>
      </c>
    </row>
    <row r="28" customFormat="false" ht="15" hidden="false" customHeight="false" outlineLevel="0" collapsed="false">
      <c r="A28" s="0" t="str">
        <f aca="false">INDEX(Prioritization!$D:$D,MATCH($B28,Prioritization!$A:$A,0))</f>
        <v>1 - Scale-up: Saturation</v>
      </c>
      <c r="B28" s="0" t="s">
        <v>195</v>
      </c>
      <c r="C28" s="0" t="s">
        <v>363</v>
      </c>
      <c r="D28" s="0" t="s">
        <v>48</v>
      </c>
      <c r="E28" s="0" t="str">
        <f aca="false">B28&amp;"|"&amp;C28&amp;"|"&amp;D28</f>
        <v>Dedza District [PekKUkKHAzY]|01-09|Male</v>
      </c>
      <c r="F28" s="10"/>
      <c r="G28" s="88" t="n">
        <f aca="false">0</f>
        <v>0</v>
      </c>
      <c r="H28" s="39" t="str">
        <f aca="false">IF(SUM($F28)=0,"",ROUND($F28*(1+$G28),0))</f>
        <v/>
      </c>
      <c r="I28" s="10"/>
      <c r="J28" s="88"/>
      <c r="K28" s="88" t="str">
        <f aca="false">IF($J28="","",$J28)</f>
        <v/>
      </c>
      <c r="L28" s="88"/>
      <c r="M28" s="88" t="str">
        <f aca="false">IF($L28="","",$L28)</f>
        <v/>
      </c>
      <c r="N28" s="10" t="str">
        <f aca="false">$H28</f>
        <v/>
      </c>
      <c r="O28" s="39" t="str">
        <f aca="false">IF(SUM($N28)=0,"",IF(AND(SUM($N28)&gt;0,$K28=""),"ENTER KNOWN POSITIVITY RATE",ROUND($N28*$K28,0)))</f>
        <v/>
      </c>
      <c r="P28" s="39" t="str">
        <f aca="false">IF(SUM($N28)=0,"",IF(AND((SUM($N28)-SUM($O28))&gt;0,$M28=""),"ENTER YIELD RATE",ROUND(($N28-SUM($O28))*$M28,0)))</f>
        <v/>
      </c>
      <c r="Q28" s="39" t="str">
        <f aca="false">IF(SUM($N28)=0,"",$N28-SUM($O28)-SUM($P28))</f>
        <v/>
      </c>
      <c r="R28" s="88" t="str">
        <f aca="false">IF(SUM($P28)=0,"",INDEX(Cascade!$BG:$BG,MATCH($E28,Cascade!$E:$E,0)))</f>
        <v/>
      </c>
      <c r="S28" s="39" t="str">
        <f aca="false">$O28</f>
        <v/>
      </c>
      <c r="T28" s="39" t="str">
        <f aca="false">IF(SUM($P28)=0,"",IF(AND($R28="",SUM($P28)&gt;0),"&lt;- Enter Linkage Rate",ROUND($P28*$R28,0)))</f>
        <v/>
      </c>
      <c r="U28" s="10" t="str">
        <f aca="false">IFERROR(1/(1/INDEX(Cascade!$BH:$BH,MATCH($E28,Cascade!$E:$E,0))),"")</f>
        <v/>
      </c>
      <c r="V28" s="10" t="str">
        <f aca="false">IF(SUM($P28)=0,"",$P28)</f>
        <v/>
      </c>
      <c r="W28" s="10" t="str">
        <f aca="false">IFERROR(1/(1/INDEX(PMTCT!$AC:$AC,MATCH($E28,PMTCT!$E:$E,0))),"")</f>
        <v/>
      </c>
      <c r="X28" s="10" t="str">
        <f aca="false">IFERROR(1/(1/INDEX(PMTCT!$AS:$AS,MATCH($E28,PMTCT!$E:$E,0))),"")</f>
        <v/>
      </c>
      <c r="Y28" s="10" t="str">
        <f aca="false">IFERROR(1/(1/INDEX(VMMC!$AA:$AA,MATCH($E28,VMMC!$E:$E,0))),"")</f>
        <v/>
      </c>
      <c r="Z28" s="10" t="str">
        <f aca="false">IFERROR(1/(1/(SUM($U28)-SUM($V28:$Y28))),"")</f>
        <v/>
      </c>
    </row>
    <row r="29" customFormat="false" ht="15" hidden="false" customHeight="false" outlineLevel="0" collapsed="false">
      <c r="A29" s="0" t="str">
        <f aca="false">INDEX(Prioritization!$D:$D,MATCH($B29,Prioritization!$A:$A,0))</f>
        <v>1 - Scale-up: Saturation</v>
      </c>
      <c r="B29" s="0" t="s">
        <v>195</v>
      </c>
      <c r="C29" s="0" t="s">
        <v>364</v>
      </c>
      <c r="D29" s="0" t="s">
        <v>30</v>
      </c>
      <c r="E29" s="0" t="str">
        <f aca="false">B29&amp;"|"&amp;C29&amp;"|"&amp;D29</f>
        <v>Dedza District [PekKUkKHAzY]|10-14|Female</v>
      </c>
      <c r="F29" s="10" t="n">
        <v>0</v>
      </c>
      <c r="G29" s="88" t="n">
        <f aca="false">0</f>
        <v>0</v>
      </c>
      <c r="H29" s="39" t="str">
        <f aca="false">IF(SUM($F29)=0,"",ROUND($F29*(1+$G29),0))</f>
        <v/>
      </c>
      <c r="I29" s="10"/>
      <c r="J29" s="88"/>
      <c r="K29" s="88" t="str">
        <f aca="false">IF($J29="","",$J29)</f>
        <v/>
      </c>
      <c r="L29" s="88"/>
      <c r="M29" s="88" t="str">
        <f aca="false">IF($L29="","",$L29)</f>
        <v/>
      </c>
      <c r="N29" s="10" t="str">
        <f aca="false">$H29</f>
        <v/>
      </c>
      <c r="O29" s="39" t="str">
        <f aca="false">IF(SUM($N29)=0,"",IF(AND(SUM($N29)&gt;0,$K29=""),"ENTER KNOWN POSITIVITY RATE",ROUND($N29*$K29,0)))</f>
        <v/>
      </c>
      <c r="P29" s="39" t="str">
        <f aca="false">IF(SUM($N29)=0,"",IF(AND((SUM($N29)-SUM($O29))&gt;0,$M29=""),"ENTER YIELD RATE",ROUND(($N29-SUM($O29))*$M29,0)))</f>
        <v/>
      </c>
      <c r="Q29" s="39" t="str">
        <f aca="false">IF(SUM($N29)=0,"",$N29-SUM($O29)-SUM($P29))</f>
        <v/>
      </c>
      <c r="R29" s="88" t="str">
        <f aca="false">IF(SUM($P29)=0,"",INDEX(Cascade!$BG:$BG,MATCH($E29,Cascade!$E:$E,0)))</f>
        <v/>
      </c>
      <c r="S29" s="39" t="str">
        <f aca="false">$O29</f>
        <v/>
      </c>
      <c r="T29" s="39" t="str">
        <f aca="false">IF(SUM($P29)=0,"",IF(AND($R29="",SUM($P29)&gt;0),"&lt;- Enter Linkage Rate",ROUND($P29*$R29,0)))</f>
        <v/>
      </c>
      <c r="U29" s="10" t="n">
        <f aca="false">IFERROR(1/(1/INDEX(Cascade!$BH:$BH,MATCH($E29,Cascade!$E:$E,0))),"")</f>
        <v>-76</v>
      </c>
      <c r="V29" s="10" t="str">
        <f aca="false">IF(SUM($P29)=0,"",$P29)</f>
        <v/>
      </c>
      <c r="W29" s="10" t="str">
        <f aca="false">IFERROR(1/(1/INDEX(PMTCT!$AC:$AC,MATCH($E29,PMTCT!$E:$E,0))),"")</f>
        <v/>
      </c>
      <c r="X29" s="10" t="str">
        <f aca="false">IFERROR(1/(1/INDEX(PMTCT!$AS:$AS,MATCH($E29,PMTCT!$E:$E,0))),"")</f>
        <v/>
      </c>
      <c r="Y29" s="10" t="str">
        <f aca="false">IFERROR(1/(1/INDEX(VMMC!$AA:$AA,MATCH($E29,VMMC!$E:$E,0))),"")</f>
        <v/>
      </c>
      <c r="Z29" s="10" t="n">
        <f aca="false">IFERROR(1/(1/(SUM($U29)-SUM($V29:$Y29))),"")</f>
        <v>-76</v>
      </c>
    </row>
    <row r="30" customFormat="false" ht="15" hidden="false" customHeight="false" outlineLevel="0" collapsed="false">
      <c r="A30" s="0" t="str">
        <f aca="false">INDEX(Prioritization!$D:$D,MATCH($B30,Prioritization!$A:$A,0))</f>
        <v>1 - Scale-up: Saturation</v>
      </c>
      <c r="B30" s="0" t="s">
        <v>195</v>
      </c>
      <c r="C30" s="0" t="s">
        <v>364</v>
      </c>
      <c r="D30" s="0" t="s">
        <v>48</v>
      </c>
      <c r="E30" s="0" t="str">
        <f aca="false">B30&amp;"|"&amp;C30&amp;"|"&amp;D30</f>
        <v>Dedza District [PekKUkKHAzY]|10-14|Male</v>
      </c>
      <c r="F30" s="10" t="n">
        <v>1</v>
      </c>
      <c r="G30" s="88" t="n">
        <f aca="false">0</f>
        <v>0</v>
      </c>
      <c r="H30" s="39" t="n">
        <f aca="false">IF(SUM($F30)=0,"",ROUND($F30*(1+$G30),0))</f>
        <v>1</v>
      </c>
      <c r="I30" s="10"/>
      <c r="J30" s="88"/>
      <c r="K30" s="88" t="str">
        <f aca="false">IF($J30="","",$J30)</f>
        <v/>
      </c>
      <c r="L30" s="88"/>
      <c r="M30" s="88" t="str">
        <f aca="false">IF($L30="","",$L30)</f>
        <v/>
      </c>
      <c r="N30" s="10" t="n">
        <f aca="false">$H30</f>
        <v>1</v>
      </c>
      <c r="O30" s="39" t="str">
        <f aca="false">IF(SUM($N30)=0,"",IF(AND(SUM($N30)&gt;0,$K30=""),"ENTER KNOWN POSITIVITY RATE",ROUND($N30*$K30,0)))</f>
        <v>ENTER KNOWN POSITIVITY RATE</v>
      </c>
      <c r="P30" s="39" t="str">
        <f aca="false">IF(SUM($N30)=0,"",IF(AND((SUM($N30)-SUM($O30))&gt;0,$M30=""),"ENTER YIELD RATE",ROUND(($N30-SUM($O30))*$M30,0)))</f>
        <v>ENTER YIELD RATE</v>
      </c>
      <c r="Q30" s="39" t="n">
        <f aca="false">IF(SUM($N30)=0,"",$N30-SUM($O30)-SUM($P30))</f>
        <v>1</v>
      </c>
      <c r="R30" s="88" t="str">
        <f aca="false">IF(SUM($P30)=0,"",INDEX(Cascade!$BG:$BG,MATCH($E30,Cascade!$E:$E,0)))</f>
        <v/>
      </c>
      <c r="S30" s="39" t="str">
        <f aca="false">$O30</f>
        <v>ENTER KNOWN POSITIVITY RATE</v>
      </c>
      <c r="T30" s="39" t="str">
        <f aca="false">IF(SUM($P30)=0,"",IF(AND($R30="",SUM($P30)&gt;0),"&lt;- Enter Linkage Rate",ROUND($P30*$R30,0)))</f>
        <v/>
      </c>
      <c r="U30" s="10" t="n">
        <f aca="false">IFERROR(1/(1/INDEX(Cascade!$BH:$BH,MATCH($E30,Cascade!$E:$E,0))),"")</f>
        <v>-91</v>
      </c>
      <c r="V30" s="10" t="str">
        <f aca="false">IF(SUM($P30)=0,"",$P30)</f>
        <v/>
      </c>
      <c r="W30" s="10" t="str">
        <f aca="false">IFERROR(1/(1/INDEX(PMTCT!$AC:$AC,MATCH($E30,PMTCT!$E:$E,0))),"")</f>
        <v/>
      </c>
      <c r="X30" s="10" t="str">
        <f aca="false">IFERROR(1/(1/INDEX(PMTCT!$AS:$AS,MATCH($E30,PMTCT!$E:$E,0))),"")</f>
        <v/>
      </c>
      <c r="Y30" s="10" t="str">
        <f aca="false">IFERROR(1/(1/INDEX(VMMC!$AA:$AA,MATCH($E30,VMMC!$E:$E,0))),"")</f>
        <v/>
      </c>
      <c r="Z30" s="10" t="n">
        <f aca="false">IFERROR(1/(1/(SUM($U30)-SUM($V30:$Y30))),"")</f>
        <v>-91</v>
      </c>
    </row>
    <row r="31" customFormat="false" ht="15" hidden="false" customHeight="false" outlineLevel="0" collapsed="false">
      <c r="A31" s="0" t="str">
        <f aca="false">INDEX(Prioritization!$D:$D,MATCH($B31,Prioritization!$A:$A,0))</f>
        <v>1 - Scale-up: Saturation</v>
      </c>
      <c r="B31" s="0" t="s">
        <v>195</v>
      </c>
      <c r="C31" s="0" t="s">
        <v>365</v>
      </c>
      <c r="D31" s="0" t="s">
        <v>30</v>
      </c>
      <c r="E31" s="0" t="str">
        <f aca="false">B31&amp;"|"&amp;C31&amp;"|"&amp;D31</f>
        <v>Dedza District [PekKUkKHAzY]|15-24|Female</v>
      </c>
      <c r="F31" s="10"/>
      <c r="G31" s="88" t="n">
        <f aca="false">0</f>
        <v>0</v>
      </c>
      <c r="H31" s="39" t="str">
        <f aca="false">IF(SUM($F31)=0,"",ROUND($F31*(1+$G31),0))</f>
        <v/>
      </c>
      <c r="I31" s="10"/>
      <c r="J31" s="88"/>
      <c r="K31" s="88" t="str">
        <f aca="false">IF($J31="","",$J31)</f>
        <v/>
      </c>
      <c r="L31" s="88"/>
      <c r="M31" s="88" t="str">
        <f aca="false">IF($L31="","",$L31)</f>
        <v/>
      </c>
      <c r="N31" s="10" t="str">
        <f aca="false">$H31</f>
        <v/>
      </c>
      <c r="O31" s="39" t="str">
        <f aca="false">IF(SUM($N31)=0,"",IF(AND(SUM($N31)&gt;0,$K31=""),"ENTER KNOWN POSITIVITY RATE",ROUND($N31*$K31,0)))</f>
        <v/>
      </c>
      <c r="P31" s="39" t="str">
        <f aca="false">IF(SUM($N31)=0,"",IF(AND((SUM($N31)-SUM($O31))&gt;0,$M31=""),"ENTER YIELD RATE",ROUND(($N31-SUM($O31))*$M31,0)))</f>
        <v/>
      </c>
      <c r="Q31" s="39" t="str">
        <f aca="false">IF(SUM($N31)=0,"",$N31-SUM($O31)-SUM($P31))</f>
        <v/>
      </c>
      <c r="R31" s="88" t="str">
        <f aca="false">IF(SUM($P31)=0,"",INDEX(Cascade!$BG:$BG,MATCH($E31,Cascade!$E:$E,0)))</f>
        <v/>
      </c>
      <c r="S31" s="39" t="str">
        <f aca="false">$O31</f>
        <v/>
      </c>
      <c r="T31" s="39" t="str">
        <f aca="false">IF(SUM($P31)=0,"",IF(AND($R31="",SUM($P31)&gt;0),"&lt;- Enter Linkage Rate",ROUND($P31*$R31,0)))</f>
        <v/>
      </c>
      <c r="U31" s="10" t="str">
        <f aca="false">IFERROR(1/(1/INDEX(Cascade!$BH:$BH,MATCH($E31,Cascade!$E:$E,0))),"")</f>
        <v/>
      </c>
      <c r="V31" s="10" t="str">
        <f aca="false">IF(SUM($P31)=0,"",$P31)</f>
        <v/>
      </c>
      <c r="W31" s="10" t="str">
        <f aca="false">IFERROR(1/(1/INDEX(PMTCT!$AC:$AC,MATCH($E31,PMTCT!$E:$E,0))),"")</f>
        <v/>
      </c>
      <c r="X31" s="10" t="str">
        <f aca="false">IFERROR(1/(1/INDEX(PMTCT!$AS:$AS,MATCH($E31,PMTCT!$E:$E,0))),"")</f>
        <v/>
      </c>
      <c r="Y31" s="10" t="str">
        <f aca="false">IFERROR(1/(1/INDEX(VMMC!$AA:$AA,MATCH($E31,VMMC!$E:$E,0))),"")</f>
        <v/>
      </c>
      <c r="Z31" s="10" t="str">
        <f aca="false">IFERROR(1/(1/(SUM($U31)-SUM($V31:$Y31))),"")</f>
        <v/>
      </c>
    </row>
    <row r="32" customFormat="false" ht="15" hidden="false" customHeight="false" outlineLevel="0" collapsed="false">
      <c r="A32" s="0" t="str">
        <f aca="false">INDEX(Prioritization!$D:$D,MATCH($B32,Prioritization!$A:$A,0))</f>
        <v>1 - Scale-up: Saturation</v>
      </c>
      <c r="B32" s="0" t="s">
        <v>195</v>
      </c>
      <c r="C32" s="0" t="s">
        <v>365</v>
      </c>
      <c r="D32" s="0" t="s">
        <v>48</v>
      </c>
      <c r="E32" s="0" t="str">
        <f aca="false">B32&amp;"|"&amp;C32&amp;"|"&amp;D32</f>
        <v>Dedza District [PekKUkKHAzY]|15-24|Male</v>
      </c>
      <c r="F32" s="10"/>
      <c r="G32" s="88" t="n">
        <f aca="false">0</f>
        <v>0</v>
      </c>
      <c r="H32" s="39" t="str">
        <f aca="false">IF(SUM($F32)=0,"",ROUND($F32*(1+$G32),0))</f>
        <v/>
      </c>
      <c r="I32" s="10"/>
      <c r="J32" s="88"/>
      <c r="K32" s="88" t="str">
        <f aca="false">IF($J32="","",$J32)</f>
        <v/>
      </c>
      <c r="L32" s="88"/>
      <c r="M32" s="88" t="str">
        <f aca="false">IF($L32="","",$L32)</f>
        <v/>
      </c>
      <c r="N32" s="10" t="str">
        <f aca="false">$H32</f>
        <v/>
      </c>
      <c r="O32" s="39" t="str">
        <f aca="false">IF(SUM($N32)=0,"",IF(AND(SUM($N32)&gt;0,$K32=""),"ENTER KNOWN POSITIVITY RATE",ROUND($N32*$K32,0)))</f>
        <v/>
      </c>
      <c r="P32" s="39" t="str">
        <f aca="false">IF(SUM($N32)=0,"",IF(AND((SUM($N32)-SUM($O32))&gt;0,$M32=""),"ENTER YIELD RATE",ROUND(($N32-SUM($O32))*$M32,0)))</f>
        <v/>
      </c>
      <c r="Q32" s="39" t="str">
        <f aca="false">IF(SUM($N32)=0,"",$N32-SUM($O32)-SUM($P32))</f>
        <v/>
      </c>
      <c r="R32" s="88" t="str">
        <f aca="false">IF(SUM($P32)=0,"",INDEX(Cascade!$BG:$BG,MATCH($E32,Cascade!$E:$E,0)))</f>
        <v/>
      </c>
      <c r="S32" s="39" t="str">
        <f aca="false">$O32</f>
        <v/>
      </c>
      <c r="T32" s="39" t="str">
        <f aca="false">IF(SUM($P32)=0,"",IF(AND($R32="",SUM($P32)&gt;0),"&lt;- Enter Linkage Rate",ROUND($P32*$R32,0)))</f>
        <v/>
      </c>
      <c r="U32" s="10" t="str">
        <f aca="false">IFERROR(1/(1/INDEX(Cascade!$BH:$BH,MATCH($E32,Cascade!$E:$E,0))),"")</f>
        <v/>
      </c>
      <c r="V32" s="10" t="str">
        <f aca="false">IF(SUM($P32)=0,"",$P32)</f>
        <v/>
      </c>
      <c r="W32" s="10" t="str">
        <f aca="false">IFERROR(1/(1/INDEX(PMTCT!$AC:$AC,MATCH($E32,PMTCT!$E:$E,0))),"")</f>
        <v/>
      </c>
      <c r="X32" s="10" t="str">
        <f aca="false">IFERROR(1/(1/INDEX(PMTCT!$AS:$AS,MATCH($E32,PMTCT!$E:$E,0))),"")</f>
        <v/>
      </c>
      <c r="Y32" s="10" t="str">
        <f aca="false">IFERROR(1/(1/INDEX(VMMC!$AA:$AA,MATCH($E32,VMMC!$E:$E,0))),"")</f>
        <v/>
      </c>
      <c r="Z32" s="10" t="str">
        <f aca="false">IFERROR(1/(1/(SUM($U32)-SUM($V32:$Y32))),"")</f>
        <v/>
      </c>
    </row>
    <row r="33" customFormat="false" ht="15" hidden="false" customHeight="false" outlineLevel="0" collapsed="false">
      <c r="A33" s="0" t="str">
        <f aca="false">INDEX(Prioritization!$D:$D,MATCH($B33,Prioritization!$A:$A,0))</f>
        <v>1 - Scale-up: Saturation</v>
      </c>
      <c r="B33" s="0" t="s">
        <v>195</v>
      </c>
      <c r="C33" s="0" t="s">
        <v>366</v>
      </c>
      <c r="D33" s="0" t="s">
        <v>30</v>
      </c>
      <c r="E33" s="0" t="str">
        <f aca="false">B33&amp;"|"&amp;C33&amp;"|"&amp;D33</f>
        <v>Dedza District [PekKUkKHAzY]|25-34|Female</v>
      </c>
      <c r="F33" s="10"/>
      <c r="G33" s="88" t="n">
        <f aca="false">0</f>
        <v>0</v>
      </c>
      <c r="H33" s="39" t="str">
        <f aca="false">IF(SUM($F33)=0,"",ROUND($F33*(1+$G33),0))</f>
        <v/>
      </c>
      <c r="I33" s="10"/>
      <c r="J33" s="88"/>
      <c r="K33" s="88" t="str">
        <f aca="false">IF($J33="","",$J33)</f>
        <v/>
      </c>
      <c r="L33" s="88"/>
      <c r="M33" s="88" t="str">
        <f aca="false">IF($L33="","",$L33)</f>
        <v/>
      </c>
      <c r="N33" s="10" t="str">
        <f aca="false">$H33</f>
        <v/>
      </c>
      <c r="O33" s="39" t="str">
        <f aca="false">IF(SUM($N33)=0,"",IF(AND(SUM($N33)&gt;0,$K33=""),"ENTER KNOWN POSITIVITY RATE",ROUND($N33*$K33,0)))</f>
        <v/>
      </c>
      <c r="P33" s="39" t="str">
        <f aca="false">IF(SUM($N33)=0,"",IF(AND((SUM($N33)-SUM($O33))&gt;0,$M33=""),"ENTER YIELD RATE",ROUND(($N33-SUM($O33))*$M33,0)))</f>
        <v/>
      </c>
      <c r="Q33" s="39" t="str">
        <f aca="false">IF(SUM($N33)=0,"",$N33-SUM($O33)-SUM($P33))</f>
        <v/>
      </c>
      <c r="R33" s="88" t="str">
        <f aca="false">IF(SUM($P33)=0,"",INDEX(Cascade!$BG:$BG,MATCH($E33,Cascade!$E:$E,0)))</f>
        <v/>
      </c>
      <c r="S33" s="39" t="str">
        <f aca="false">$O33</f>
        <v/>
      </c>
      <c r="T33" s="39" t="str">
        <f aca="false">IF(SUM($P33)=0,"",IF(AND($R33="",SUM($P33)&gt;0),"&lt;- Enter Linkage Rate",ROUND($P33*$R33,0)))</f>
        <v/>
      </c>
      <c r="U33" s="10" t="str">
        <f aca="false">IFERROR(1/(1/INDEX(Cascade!$BH:$BH,MATCH($E33,Cascade!$E:$E,0))),"")</f>
        <v/>
      </c>
      <c r="V33" s="10" t="str">
        <f aca="false">IF(SUM($P33)=0,"",$P33)</f>
        <v/>
      </c>
      <c r="W33" s="10" t="str">
        <f aca="false">IFERROR(1/(1/INDEX(PMTCT!$AC:$AC,MATCH($E33,PMTCT!$E:$E,0))),"")</f>
        <v/>
      </c>
      <c r="X33" s="10" t="str">
        <f aca="false">IFERROR(1/(1/INDEX(PMTCT!$AS:$AS,MATCH($E33,PMTCT!$E:$E,0))),"")</f>
        <v/>
      </c>
      <c r="Y33" s="10" t="str">
        <f aca="false">IFERROR(1/(1/INDEX(VMMC!$AA:$AA,MATCH($E33,VMMC!$E:$E,0))),"")</f>
        <v/>
      </c>
      <c r="Z33" s="10" t="str">
        <f aca="false">IFERROR(1/(1/(SUM($U33)-SUM($V33:$Y33))),"")</f>
        <v/>
      </c>
    </row>
    <row r="34" customFormat="false" ht="15" hidden="false" customHeight="false" outlineLevel="0" collapsed="false">
      <c r="A34" s="0" t="str">
        <f aca="false">INDEX(Prioritization!$D:$D,MATCH($B34,Prioritization!$A:$A,0))</f>
        <v>1 - Scale-up: Saturation</v>
      </c>
      <c r="B34" s="0" t="s">
        <v>195</v>
      </c>
      <c r="C34" s="0" t="s">
        <v>366</v>
      </c>
      <c r="D34" s="0" t="s">
        <v>48</v>
      </c>
      <c r="E34" s="0" t="str">
        <f aca="false">B34&amp;"|"&amp;C34&amp;"|"&amp;D34</f>
        <v>Dedza District [PekKUkKHAzY]|25-34|Male</v>
      </c>
      <c r="F34" s="10"/>
      <c r="G34" s="88" t="n">
        <f aca="false">0</f>
        <v>0</v>
      </c>
      <c r="H34" s="39" t="str">
        <f aca="false">IF(SUM($F34)=0,"",ROUND($F34*(1+$G34),0))</f>
        <v/>
      </c>
      <c r="I34" s="10"/>
      <c r="J34" s="88"/>
      <c r="K34" s="88" t="str">
        <f aca="false">IF($J34="","",$J34)</f>
        <v/>
      </c>
      <c r="L34" s="88"/>
      <c r="M34" s="88" t="str">
        <f aca="false">IF($L34="","",$L34)</f>
        <v/>
      </c>
      <c r="N34" s="10" t="str">
        <f aca="false">$H34</f>
        <v/>
      </c>
      <c r="O34" s="39" t="str">
        <f aca="false">IF(SUM($N34)=0,"",IF(AND(SUM($N34)&gt;0,$K34=""),"ENTER KNOWN POSITIVITY RATE",ROUND($N34*$K34,0)))</f>
        <v/>
      </c>
      <c r="P34" s="39" t="str">
        <f aca="false">IF(SUM($N34)=0,"",IF(AND((SUM($N34)-SUM($O34))&gt;0,$M34=""),"ENTER YIELD RATE",ROUND(($N34-SUM($O34))*$M34,0)))</f>
        <v/>
      </c>
      <c r="Q34" s="39" t="str">
        <f aca="false">IF(SUM($N34)=0,"",$N34-SUM($O34)-SUM($P34))</f>
        <v/>
      </c>
      <c r="R34" s="88" t="str">
        <f aca="false">IF(SUM($P34)=0,"",INDEX(Cascade!$BG:$BG,MATCH($E34,Cascade!$E:$E,0)))</f>
        <v/>
      </c>
      <c r="S34" s="39" t="str">
        <f aca="false">$O34</f>
        <v/>
      </c>
      <c r="T34" s="39" t="str">
        <f aca="false">IF(SUM($P34)=0,"",IF(AND($R34="",SUM($P34)&gt;0),"&lt;- Enter Linkage Rate",ROUND($P34*$R34,0)))</f>
        <v/>
      </c>
      <c r="U34" s="10" t="str">
        <f aca="false">IFERROR(1/(1/INDEX(Cascade!$BH:$BH,MATCH($E34,Cascade!$E:$E,0))),"")</f>
        <v/>
      </c>
      <c r="V34" s="10" t="str">
        <f aca="false">IF(SUM($P34)=0,"",$P34)</f>
        <v/>
      </c>
      <c r="W34" s="10" t="str">
        <f aca="false">IFERROR(1/(1/INDEX(PMTCT!$AC:$AC,MATCH($E34,PMTCT!$E:$E,0))),"")</f>
        <v/>
      </c>
      <c r="X34" s="10" t="str">
        <f aca="false">IFERROR(1/(1/INDEX(PMTCT!$AS:$AS,MATCH($E34,PMTCT!$E:$E,0))),"")</f>
        <v/>
      </c>
      <c r="Y34" s="10" t="str">
        <f aca="false">IFERROR(1/(1/INDEX(VMMC!$AA:$AA,MATCH($E34,VMMC!$E:$E,0))),"")</f>
        <v/>
      </c>
      <c r="Z34" s="10" t="str">
        <f aca="false">IFERROR(1/(1/(SUM($U34)-SUM($V34:$Y34))),"")</f>
        <v/>
      </c>
    </row>
    <row r="35" customFormat="false" ht="15" hidden="false" customHeight="false" outlineLevel="0" collapsed="false">
      <c r="A35" s="0" t="str">
        <f aca="false">INDEX(Prioritization!$D:$D,MATCH($B35,Prioritization!$A:$A,0))</f>
        <v>1 - Scale-up: Saturation</v>
      </c>
      <c r="B35" s="0" t="s">
        <v>195</v>
      </c>
      <c r="C35" s="0" t="s">
        <v>367</v>
      </c>
      <c r="D35" s="0" t="s">
        <v>30</v>
      </c>
      <c r="E35" s="0" t="str">
        <f aca="false">B35&amp;"|"&amp;C35&amp;"|"&amp;D35</f>
        <v>Dedza District [PekKUkKHAzY]|35-49|Female</v>
      </c>
      <c r="F35" s="10"/>
      <c r="G35" s="88" t="n">
        <f aca="false">0</f>
        <v>0</v>
      </c>
      <c r="H35" s="39" t="str">
        <f aca="false">IF(SUM($F35)=0,"",ROUND($F35*(1+$G35),0))</f>
        <v/>
      </c>
      <c r="I35" s="10"/>
      <c r="J35" s="88"/>
      <c r="K35" s="88" t="str">
        <f aca="false">IF($J35="","",$J35)</f>
        <v/>
      </c>
      <c r="L35" s="88"/>
      <c r="M35" s="88" t="str">
        <f aca="false">IF($L35="","",$L35)</f>
        <v/>
      </c>
      <c r="N35" s="10" t="str">
        <f aca="false">$H35</f>
        <v/>
      </c>
      <c r="O35" s="39" t="str">
        <f aca="false">IF(SUM($N35)=0,"",IF(AND(SUM($N35)&gt;0,$K35=""),"ENTER KNOWN POSITIVITY RATE",ROUND($N35*$K35,0)))</f>
        <v/>
      </c>
      <c r="P35" s="39" t="str">
        <f aca="false">IF(SUM($N35)=0,"",IF(AND((SUM($N35)-SUM($O35))&gt;0,$M35=""),"ENTER YIELD RATE",ROUND(($N35-SUM($O35))*$M35,0)))</f>
        <v/>
      </c>
      <c r="Q35" s="39" t="str">
        <f aca="false">IF(SUM($N35)=0,"",$N35-SUM($O35)-SUM($P35))</f>
        <v/>
      </c>
      <c r="R35" s="88" t="str">
        <f aca="false">IF(SUM($P35)=0,"",INDEX(Cascade!$BG:$BG,MATCH($E35,Cascade!$E:$E,0)))</f>
        <v/>
      </c>
      <c r="S35" s="39" t="str">
        <f aca="false">$O35</f>
        <v/>
      </c>
      <c r="T35" s="39" t="str">
        <f aca="false">IF(SUM($P35)=0,"",IF(AND($R35="",SUM($P35)&gt;0),"&lt;- Enter Linkage Rate",ROUND($P35*$R35,0)))</f>
        <v/>
      </c>
      <c r="U35" s="10" t="str">
        <f aca="false">IFERROR(1/(1/INDEX(Cascade!$BH:$BH,MATCH($E35,Cascade!$E:$E,0))),"")</f>
        <v/>
      </c>
      <c r="V35" s="10" t="str">
        <f aca="false">IF(SUM($P35)=0,"",$P35)</f>
        <v/>
      </c>
      <c r="W35" s="10" t="str">
        <f aca="false">IFERROR(1/(1/INDEX(PMTCT!$AC:$AC,MATCH($E35,PMTCT!$E:$E,0))),"")</f>
        <v/>
      </c>
      <c r="X35" s="10" t="str">
        <f aca="false">IFERROR(1/(1/INDEX(PMTCT!$AS:$AS,MATCH($E35,PMTCT!$E:$E,0))),"")</f>
        <v/>
      </c>
      <c r="Y35" s="10" t="str">
        <f aca="false">IFERROR(1/(1/INDEX(VMMC!$AA:$AA,MATCH($E35,VMMC!$E:$E,0))),"")</f>
        <v/>
      </c>
      <c r="Z35" s="10" t="str">
        <f aca="false">IFERROR(1/(1/(SUM($U35)-SUM($V35:$Y35))),"")</f>
        <v/>
      </c>
    </row>
    <row r="36" customFormat="false" ht="15" hidden="false" customHeight="false" outlineLevel="0" collapsed="false">
      <c r="A36" s="0" t="str">
        <f aca="false">INDEX(Prioritization!$D:$D,MATCH($B36,Prioritization!$A:$A,0))</f>
        <v>1 - Scale-up: Saturation</v>
      </c>
      <c r="B36" s="0" t="s">
        <v>195</v>
      </c>
      <c r="C36" s="0" t="s">
        <v>367</v>
      </c>
      <c r="D36" s="0" t="s">
        <v>48</v>
      </c>
      <c r="E36" s="0" t="str">
        <f aca="false">B36&amp;"|"&amp;C36&amp;"|"&amp;D36</f>
        <v>Dedza District [PekKUkKHAzY]|35-49|Male</v>
      </c>
      <c r="F36" s="10"/>
      <c r="G36" s="88" t="n">
        <f aca="false">0</f>
        <v>0</v>
      </c>
      <c r="H36" s="39" t="str">
        <f aca="false">IF(SUM($F36)=0,"",ROUND($F36*(1+$G36),0))</f>
        <v/>
      </c>
      <c r="I36" s="10"/>
      <c r="J36" s="88"/>
      <c r="K36" s="88" t="str">
        <f aca="false">IF($J36="","",$J36)</f>
        <v/>
      </c>
      <c r="L36" s="88"/>
      <c r="M36" s="88" t="str">
        <f aca="false">IF($L36="","",$L36)</f>
        <v/>
      </c>
      <c r="N36" s="10" t="str">
        <f aca="false">$H36</f>
        <v/>
      </c>
      <c r="O36" s="39" t="str">
        <f aca="false">IF(SUM($N36)=0,"",IF(AND(SUM($N36)&gt;0,$K36=""),"ENTER KNOWN POSITIVITY RATE",ROUND($N36*$K36,0)))</f>
        <v/>
      </c>
      <c r="P36" s="39" t="str">
        <f aca="false">IF(SUM($N36)=0,"",IF(AND((SUM($N36)-SUM($O36))&gt;0,$M36=""),"ENTER YIELD RATE",ROUND(($N36-SUM($O36))*$M36,0)))</f>
        <v/>
      </c>
      <c r="Q36" s="39" t="str">
        <f aca="false">IF(SUM($N36)=0,"",$N36-SUM($O36)-SUM($P36))</f>
        <v/>
      </c>
      <c r="R36" s="88" t="str">
        <f aca="false">IF(SUM($P36)=0,"",INDEX(Cascade!$BG:$BG,MATCH($E36,Cascade!$E:$E,0)))</f>
        <v/>
      </c>
      <c r="S36" s="39" t="str">
        <f aca="false">$O36</f>
        <v/>
      </c>
      <c r="T36" s="39" t="str">
        <f aca="false">IF(SUM($P36)=0,"",IF(AND($R36="",SUM($P36)&gt;0),"&lt;- Enter Linkage Rate",ROUND($P36*$R36,0)))</f>
        <v/>
      </c>
      <c r="U36" s="10" t="str">
        <f aca="false">IFERROR(1/(1/INDEX(Cascade!$BH:$BH,MATCH($E36,Cascade!$E:$E,0))),"")</f>
        <v/>
      </c>
      <c r="V36" s="10" t="str">
        <f aca="false">IF(SUM($P36)=0,"",$P36)</f>
        <v/>
      </c>
      <c r="W36" s="10" t="str">
        <f aca="false">IFERROR(1/(1/INDEX(PMTCT!$AC:$AC,MATCH($E36,PMTCT!$E:$E,0))),"")</f>
        <v/>
      </c>
      <c r="X36" s="10" t="str">
        <f aca="false">IFERROR(1/(1/INDEX(PMTCT!$AS:$AS,MATCH($E36,PMTCT!$E:$E,0))),"")</f>
        <v/>
      </c>
      <c r="Y36" s="10" t="str">
        <f aca="false">IFERROR(1/(1/INDEX(VMMC!$AA:$AA,MATCH($E36,VMMC!$E:$E,0))),"")</f>
        <v/>
      </c>
      <c r="Z36" s="10" t="str">
        <f aca="false">IFERROR(1/(1/(SUM($U36)-SUM($V36:$Y36))),"")</f>
        <v/>
      </c>
    </row>
    <row r="37" customFormat="false" ht="15" hidden="false" customHeight="false" outlineLevel="0" collapsed="false">
      <c r="A37" s="0" t="str">
        <f aca="false">INDEX(Prioritization!$D:$D,MATCH($B37,Prioritization!$A:$A,0))</f>
        <v>1 - Scale-up: Saturation</v>
      </c>
      <c r="B37" s="0" t="s">
        <v>195</v>
      </c>
      <c r="C37" s="0" t="s">
        <v>368</v>
      </c>
      <c r="D37" s="0" t="s">
        <v>30</v>
      </c>
      <c r="E37" s="0" t="str">
        <f aca="false">B37&amp;"|"&amp;C37&amp;"|"&amp;D37</f>
        <v>Dedza District [PekKUkKHAzY]|50+|Female</v>
      </c>
      <c r="F37" s="10"/>
      <c r="G37" s="88" t="n">
        <f aca="false">0</f>
        <v>0</v>
      </c>
      <c r="H37" s="39" t="str">
        <f aca="false">IF(SUM($F37)=0,"",ROUND($F37*(1+$G37),0))</f>
        <v/>
      </c>
      <c r="I37" s="10"/>
      <c r="J37" s="88"/>
      <c r="K37" s="88" t="str">
        <f aca="false">IF($J37="","",$J37)</f>
        <v/>
      </c>
      <c r="L37" s="88"/>
      <c r="M37" s="88" t="str">
        <f aca="false">IF($L37="","",$L37)</f>
        <v/>
      </c>
      <c r="N37" s="10" t="str">
        <f aca="false">$H37</f>
        <v/>
      </c>
      <c r="O37" s="39" t="str">
        <f aca="false">IF(SUM($N37)=0,"",IF(AND(SUM($N37)&gt;0,$K37=""),"ENTER KNOWN POSITIVITY RATE",ROUND($N37*$K37,0)))</f>
        <v/>
      </c>
      <c r="P37" s="39" t="str">
        <f aca="false">IF(SUM($N37)=0,"",IF(AND((SUM($N37)-SUM($O37))&gt;0,$M37=""),"ENTER YIELD RATE",ROUND(($N37-SUM($O37))*$M37,0)))</f>
        <v/>
      </c>
      <c r="Q37" s="39" t="str">
        <f aca="false">IF(SUM($N37)=0,"",$N37-SUM($O37)-SUM($P37))</f>
        <v/>
      </c>
      <c r="R37" s="88" t="str">
        <f aca="false">IF(SUM($P37)=0,"",INDEX(Cascade!$BG:$BG,MATCH($E37,Cascade!$E:$E,0)))</f>
        <v/>
      </c>
      <c r="S37" s="39" t="str">
        <f aca="false">$O37</f>
        <v/>
      </c>
      <c r="T37" s="39" t="str">
        <f aca="false">IF(SUM($P37)=0,"",IF(AND($R37="",SUM($P37)&gt;0),"&lt;- Enter Linkage Rate",ROUND($P37*$R37,0)))</f>
        <v/>
      </c>
      <c r="U37" s="10" t="str">
        <f aca="false">IFERROR(1/(1/INDEX(Cascade!$BH:$BH,MATCH($E37,Cascade!$E:$E,0))),"")</f>
        <v/>
      </c>
      <c r="V37" s="10" t="str">
        <f aca="false">IF(SUM($P37)=0,"",$P37)</f>
        <v/>
      </c>
      <c r="W37" s="10" t="str">
        <f aca="false">IFERROR(1/(1/INDEX(PMTCT!$AC:$AC,MATCH($E37,PMTCT!$E:$E,0))),"")</f>
        <v/>
      </c>
      <c r="X37" s="10" t="str">
        <f aca="false">IFERROR(1/(1/INDEX(PMTCT!$AS:$AS,MATCH($E37,PMTCT!$E:$E,0))),"")</f>
        <v/>
      </c>
      <c r="Y37" s="10" t="str">
        <f aca="false">IFERROR(1/(1/INDEX(VMMC!$AA:$AA,MATCH($E37,VMMC!$E:$E,0))),"")</f>
        <v/>
      </c>
      <c r="Z37" s="10" t="str">
        <f aca="false">IFERROR(1/(1/(SUM($U37)-SUM($V37:$Y37))),"")</f>
        <v/>
      </c>
    </row>
    <row r="38" customFormat="false" ht="15" hidden="false" customHeight="false" outlineLevel="0" collapsed="false">
      <c r="A38" s="0" t="str">
        <f aca="false">INDEX(Prioritization!$D:$D,MATCH($B38,Prioritization!$A:$A,0))</f>
        <v>1 - Scale-up: Saturation</v>
      </c>
      <c r="B38" s="0" t="s">
        <v>195</v>
      </c>
      <c r="C38" s="0" t="s">
        <v>368</v>
      </c>
      <c r="D38" s="0" t="s">
        <v>48</v>
      </c>
      <c r="E38" s="0" t="str">
        <f aca="false">B38&amp;"|"&amp;C38&amp;"|"&amp;D38</f>
        <v>Dedza District [PekKUkKHAzY]|50+|Male</v>
      </c>
      <c r="F38" s="10"/>
      <c r="G38" s="88" t="n">
        <f aca="false">0</f>
        <v>0</v>
      </c>
      <c r="H38" s="39" t="str">
        <f aca="false">IF(SUM($F38)=0,"",ROUND($F38*(1+$G38),0))</f>
        <v/>
      </c>
      <c r="I38" s="10"/>
      <c r="J38" s="88"/>
      <c r="K38" s="88" t="str">
        <f aca="false">IF($J38="","",$J38)</f>
        <v/>
      </c>
      <c r="L38" s="88"/>
      <c r="M38" s="88" t="str">
        <f aca="false">IF($L38="","",$L38)</f>
        <v/>
      </c>
      <c r="N38" s="10" t="str">
        <f aca="false">$H38</f>
        <v/>
      </c>
      <c r="O38" s="39" t="str">
        <f aca="false">IF(SUM($N38)=0,"",IF(AND(SUM($N38)&gt;0,$K38=""),"ENTER KNOWN POSITIVITY RATE",ROUND($N38*$K38,0)))</f>
        <v/>
      </c>
      <c r="P38" s="39" t="str">
        <f aca="false">IF(SUM($N38)=0,"",IF(AND((SUM($N38)-SUM($O38))&gt;0,$M38=""),"ENTER YIELD RATE",ROUND(($N38-SUM($O38))*$M38,0)))</f>
        <v/>
      </c>
      <c r="Q38" s="39" t="str">
        <f aca="false">IF(SUM($N38)=0,"",$N38-SUM($O38)-SUM($P38))</f>
        <v/>
      </c>
      <c r="R38" s="88" t="str">
        <f aca="false">IF(SUM($P38)=0,"",INDEX(Cascade!$BG:$BG,MATCH($E38,Cascade!$E:$E,0)))</f>
        <v/>
      </c>
      <c r="S38" s="39" t="str">
        <f aca="false">$O38</f>
        <v/>
      </c>
      <c r="T38" s="39" t="str">
        <f aca="false">IF(SUM($P38)=0,"",IF(AND($R38="",SUM($P38)&gt;0),"&lt;- Enter Linkage Rate",ROUND($P38*$R38,0)))</f>
        <v/>
      </c>
      <c r="U38" s="10" t="str">
        <f aca="false">IFERROR(1/(1/INDEX(Cascade!$BH:$BH,MATCH($E38,Cascade!$E:$E,0))),"")</f>
        <v/>
      </c>
      <c r="V38" s="10" t="str">
        <f aca="false">IF(SUM($P38)=0,"",$P38)</f>
        <v/>
      </c>
      <c r="W38" s="10" t="str">
        <f aca="false">IFERROR(1/(1/INDEX(PMTCT!$AC:$AC,MATCH($E38,PMTCT!$E:$E,0))),"")</f>
        <v/>
      </c>
      <c r="X38" s="10" t="str">
        <f aca="false">IFERROR(1/(1/INDEX(PMTCT!$AS:$AS,MATCH($E38,PMTCT!$E:$E,0))),"")</f>
        <v/>
      </c>
      <c r="Y38" s="10" t="str">
        <f aca="false">IFERROR(1/(1/INDEX(VMMC!$AA:$AA,MATCH($E38,VMMC!$E:$E,0))),"")</f>
        <v/>
      </c>
      <c r="Z38" s="10" t="str">
        <f aca="false">IFERROR(1/(1/(SUM($U38)-SUM($V38:$Y38))),"")</f>
        <v/>
      </c>
    </row>
    <row r="39" customFormat="false" ht="15" hidden="false" customHeight="false" outlineLevel="0" collapsed="false">
      <c r="A39" s="0" t="str">
        <f aca="false">INDEX(Prioritization!$D:$D,MATCH($B39,Prioritization!$A:$A,0))</f>
        <v>1 - Scale-up: Saturation</v>
      </c>
      <c r="B39" s="0" t="s">
        <v>196</v>
      </c>
      <c r="C39" s="0" t="s">
        <v>363</v>
      </c>
      <c r="D39" s="0" t="s">
        <v>30</v>
      </c>
      <c r="E39" s="0" t="str">
        <f aca="false">B39&amp;"|"&amp;C39&amp;"|"&amp;D39</f>
        <v>Dowa District [zphK9WV8JB4]|01-09|Female</v>
      </c>
      <c r="F39" s="10"/>
      <c r="G39" s="88" t="n">
        <f aca="false">0</f>
        <v>0</v>
      </c>
      <c r="H39" s="39" t="str">
        <f aca="false">IF(SUM($F39)=0,"",ROUND($F39*(1+$G39),0))</f>
        <v/>
      </c>
      <c r="I39" s="10"/>
      <c r="J39" s="88"/>
      <c r="K39" s="88" t="str">
        <f aca="false">IF($J39="","",$J39)</f>
        <v/>
      </c>
      <c r="L39" s="88"/>
      <c r="M39" s="88" t="str">
        <f aca="false">IF($L39="","",$L39)</f>
        <v/>
      </c>
      <c r="N39" s="10" t="str">
        <f aca="false">$H39</f>
        <v/>
      </c>
      <c r="O39" s="39" t="str">
        <f aca="false">IF(SUM($N39)=0,"",IF(AND(SUM($N39)&gt;0,$K39=""),"ENTER KNOWN POSITIVITY RATE",ROUND($N39*$K39,0)))</f>
        <v/>
      </c>
      <c r="P39" s="39" t="str">
        <f aca="false">IF(SUM($N39)=0,"",IF(AND((SUM($N39)-SUM($O39))&gt;0,$M39=""),"ENTER YIELD RATE",ROUND(($N39-SUM($O39))*$M39,0)))</f>
        <v/>
      </c>
      <c r="Q39" s="39" t="str">
        <f aca="false">IF(SUM($N39)=0,"",$N39-SUM($O39)-SUM($P39))</f>
        <v/>
      </c>
      <c r="R39" s="88" t="str">
        <f aca="false">IF(SUM($P39)=0,"",INDEX(Cascade!$BG:$BG,MATCH($E39,Cascade!$E:$E,0)))</f>
        <v/>
      </c>
      <c r="S39" s="39" t="str">
        <f aca="false">$O39</f>
        <v/>
      </c>
      <c r="T39" s="39" t="str">
        <f aca="false">IF(SUM($P39)=0,"",IF(AND($R39="",SUM($P39)&gt;0),"&lt;- Enter Linkage Rate",ROUND($P39*$R39,0)))</f>
        <v/>
      </c>
      <c r="U39" s="10" t="str">
        <f aca="false">IFERROR(1/(1/INDEX(Cascade!$BH:$BH,MATCH($E39,Cascade!$E:$E,0))),"")</f>
        <v/>
      </c>
      <c r="V39" s="10" t="str">
        <f aca="false">IF(SUM($P39)=0,"",$P39)</f>
        <v/>
      </c>
      <c r="W39" s="10" t="str">
        <f aca="false">IFERROR(1/(1/INDEX(PMTCT!$AC:$AC,MATCH($E39,PMTCT!$E:$E,0))),"")</f>
        <v/>
      </c>
      <c r="X39" s="10" t="str">
        <f aca="false">IFERROR(1/(1/INDEX(PMTCT!$AS:$AS,MATCH($E39,PMTCT!$E:$E,0))),"")</f>
        <v/>
      </c>
      <c r="Y39" s="10" t="str">
        <f aca="false">IFERROR(1/(1/INDEX(VMMC!$AA:$AA,MATCH($E39,VMMC!$E:$E,0))),"")</f>
        <v/>
      </c>
      <c r="Z39" s="10" t="str">
        <f aca="false">IFERROR(1/(1/(SUM($U39)-SUM($V39:$Y39))),"")</f>
        <v/>
      </c>
    </row>
    <row r="40" customFormat="false" ht="15" hidden="false" customHeight="false" outlineLevel="0" collapsed="false">
      <c r="A40" s="0" t="str">
        <f aca="false">INDEX(Prioritization!$D:$D,MATCH($B40,Prioritization!$A:$A,0))</f>
        <v>1 - Scale-up: Saturation</v>
      </c>
      <c r="B40" s="0" t="s">
        <v>196</v>
      </c>
      <c r="C40" s="0" t="s">
        <v>363</v>
      </c>
      <c r="D40" s="0" t="s">
        <v>48</v>
      </c>
      <c r="E40" s="0" t="str">
        <f aca="false">B40&amp;"|"&amp;C40&amp;"|"&amp;D40</f>
        <v>Dowa District [zphK9WV8JB4]|01-09|Male</v>
      </c>
      <c r="F40" s="10"/>
      <c r="G40" s="88" t="n">
        <f aca="false">0</f>
        <v>0</v>
      </c>
      <c r="H40" s="39" t="str">
        <f aca="false">IF(SUM($F40)=0,"",ROUND($F40*(1+$G40),0))</f>
        <v/>
      </c>
      <c r="I40" s="10"/>
      <c r="J40" s="88"/>
      <c r="K40" s="88" t="str">
        <f aca="false">IF($J40="","",$J40)</f>
        <v/>
      </c>
      <c r="L40" s="88"/>
      <c r="M40" s="88" t="str">
        <f aca="false">IF($L40="","",$L40)</f>
        <v/>
      </c>
      <c r="N40" s="10" t="str">
        <f aca="false">$H40</f>
        <v/>
      </c>
      <c r="O40" s="39" t="str">
        <f aca="false">IF(SUM($N40)=0,"",IF(AND(SUM($N40)&gt;0,$K40=""),"ENTER KNOWN POSITIVITY RATE",ROUND($N40*$K40,0)))</f>
        <v/>
      </c>
      <c r="P40" s="39" t="str">
        <f aca="false">IF(SUM($N40)=0,"",IF(AND((SUM($N40)-SUM($O40))&gt;0,$M40=""),"ENTER YIELD RATE",ROUND(($N40-SUM($O40))*$M40,0)))</f>
        <v/>
      </c>
      <c r="Q40" s="39" t="str">
        <f aca="false">IF(SUM($N40)=0,"",$N40-SUM($O40)-SUM($P40))</f>
        <v/>
      </c>
      <c r="R40" s="88" t="str">
        <f aca="false">IF(SUM($P40)=0,"",INDEX(Cascade!$BG:$BG,MATCH($E40,Cascade!$E:$E,0)))</f>
        <v/>
      </c>
      <c r="S40" s="39" t="str">
        <f aca="false">$O40</f>
        <v/>
      </c>
      <c r="T40" s="39" t="str">
        <f aca="false">IF(SUM($P40)=0,"",IF(AND($R40="",SUM($P40)&gt;0),"&lt;- Enter Linkage Rate",ROUND($P40*$R40,0)))</f>
        <v/>
      </c>
      <c r="U40" s="10" t="str">
        <f aca="false">IFERROR(1/(1/INDEX(Cascade!$BH:$BH,MATCH($E40,Cascade!$E:$E,0))),"")</f>
        <v/>
      </c>
      <c r="V40" s="10" t="str">
        <f aca="false">IF(SUM($P40)=0,"",$P40)</f>
        <v/>
      </c>
      <c r="W40" s="10" t="str">
        <f aca="false">IFERROR(1/(1/INDEX(PMTCT!$AC:$AC,MATCH($E40,PMTCT!$E:$E,0))),"")</f>
        <v/>
      </c>
      <c r="X40" s="10" t="str">
        <f aca="false">IFERROR(1/(1/INDEX(PMTCT!$AS:$AS,MATCH($E40,PMTCT!$E:$E,0))),"")</f>
        <v/>
      </c>
      <c r="Y40" s="10" t="str">
        <f aca="false">IFERROR(1/(1/INDEX(VMMC!$AA:$AA,MATCH($E40,VMMC!$E:$E,0))),"")</f>
        <v/>
      </c>
      <c r="Z40" s="10" t="str">
        <f aca="false">IFERROR(1/(1/(SUM($U40)-SUM($V40:$Y40))),"")</f>
        <v/>
      </c>
    </row>
    <row r="41" customFormat="false" ht="15" hidden="false" customHeight="false" outlineLevel="0" collapsed="false">
      <c r="A41" s="0" t="str">
        <f aca="false">INDEX(Prioritization!$D:$D,MATCH($B41,Prioritization!$A:$A,0))</f>
        <v>1 - Scale-up: Saturation</v>
      </c>
      <c r="B41" s="0" t="s">
        <v>196</v>
      </c>
      <c r="C41" s="0" t="s">
        <v>364</v>
      </c>
      <c r="D41" s="0" t="s">
        <v>30</v>
      </c>
      <c r="E41" s="0" t="str">
        <f aca="false">B41&amp;"|"&amp;C41&amp;"|"&amp;D41</f>
        <v>Dowa District [zphK9WV8JB4]|10-14|Female</v>
      </c>
      <c r="F41" s="10" t="n">
        <v>1</v>
      </c>
      <c r="G41" s="88" t="n">
        <f aca="false">0</f>
        <v>0</v>
      </c>
      <c r="H41" s="39" t="n">
        <f aca="false">IF(SUM($F41)=0,"",ROUND($F41*(1+$G41),0))</f>
        <v>1</v>
      </c>
      <c r="I41" s="10"/>
      <c r="J41" s="88"/>
      <c r="K41" s="88" t="str">
        <f aca="false">IF($J41="","",$J41)</f>
        <v/>
      </c>
      <c r="L41" s="88"/>
      <c r="M41" s="88" t="str">
        <f aca="false">IF($L41="","",$L41)</f>
        <v/>
      </c>
      <c r="N41" s="10" t="n">
        <f aca="false">$H41</f>
        <v>1</v>
      </c>
      <c r="O41" s="39" t="str">
        <f aca="false">IF(SUM($N41)=0,"",IF(AND(SUM($N41)&gt;0,$K41=""),"ENTER KNOWN POSITIVITY RATE",ROUND($N41*$K41,0)))</f>
        <v>ENTER KNOWN POSITIVITY RATE</v>
      </c>
      <c r="P41" s="39" t="str">
        <f aca="false">IF(SUM($N41)=0,"",IF(AND((SUM($N41)-SUM($O41))&gt;0,$M41=""),"ENTER YIELD RATE",ROUND(($N41-SUM($O41))*$M41,0)))</f>
        <v>ENTER YIELD RATE</v>
      </c>
      <c r="Q41" s="39" t="n">
        <f aca="false">IF(SUM($N41)=0,"",$N41-SUM($O41)-SUM($P41))</f>
        <v>1</v>
      </c>
      <c r="R41" s="88" t="str">
        <f aca="false">IF(SUM($P41)=0,"",INDEX(Cascade!$BG:$BG,MATCH($E41,Cascade!$E:$E,0)))</f>
        <v/>
      </c>
      <c r="S41" s="39" t="str">
        <f aca="false">$O41</f>
        <v>ENTER KNOWN POSITIVITY RATE</v>
      </c>
      <c r="T41" s="39" t="str">
        <f aca="false">IF(SUM($P41)=0,"",IF(AND($R41="",SUM($P41)&gt;0),"&lt;- Enter Linkage Rate",ROUND($P41*$R41,0)))</f>
        <v/>
      </c>
      <c r="U41" s="10" t="n">
        <f aca="false">IFERROR(1/(1/INDEX(Cascade!$BH:$BH,MATCH($E41,Cascade!$E:$E,0))),"")</f>
        <v>-85</v>
      </c>
      <c r="V41" s="10" t="str">
        <f aca="false">IF(SUM($P41)=0,"",$P41)</f>
        <v/>
      </c>
      <c r="W41" s="10" t="str">
        <f aca="false">IFERROR(1/(1/INDEX(PMTCT!$AC:$AC,MATCH($E41,PMTCT!$E:$E,0))),"")</f>
        <v/>
      </c>
      <c r="X41" s="10" t="str">
        <f aca="false">IFERROR(1/(1/INDEX(PMTCT!$AS:$AS,MATCH($E41,PMTCT!$E:$E,0))),"")</f>
        <v/>
      </c>
      <c r="Y41" s="10" t="str">
        <f aca="false">IFERROR(1/(1/INDEX(VMMC!$AA:$AA,MATCH($E41,VMMC!$E:$E,0))),"")</f>
        <v/>
      </c>
      <c r="Z41" s="10" t="n">
        <f aca="false">IFERROR(1/(1/(SUM($U41)-SUM($V41:$Y41))),"")</f>
        <v>-85</v>
      </c>
    </row>
    <row r="42" customFormat="false" ht="15" hidden="false" customHeight="false" outlineLevel="0" collapsed="false">
      <c r="A42" s="0" t="str">
        <f aca="false">INDEX(Prioritization!$D:$D,MATCH($B42,Prioritization!$A:$A,0))</f>
        <v>1 - Scale-up: Saturation</v>
      </c>
      <c r="B42" s="0" t="s">
        <v>196</v>
      </c>
      <c r="C42" s="0" t="s">
        <v>364</v>
      </c>
      <c r="D42" s="0" t="s">
        <v>48</v>
      </c>
      <c r="E42" s="0" t="str">
        <f aca="false">B42&amp;"|"&amp;C42&amp;"|"&amp;D42</f>
        <v>Dowa District [zphK9WV8JB4]|10-14|Male</v>
      </c>
      <c r="F42" s="10" t="n">
        <v>0</v>
      </c>
      <c r="G42" s="88" t="n">
        <f aca="false">0</f>
        <v>0</v>
      </c>
      <c r="H42" s="39" t="str">
        <f aca="false">IF(SUM($F42)=0,"",ROUND($F42*(1+$G42),0))</f>
        <v/>
      </c>
      <c r="I42" s="10"/>
      <c r="J42" s="88"/>
      <c r="K42" s="88" t="str">
        <f aca="false">IF($J42="","",$J42)</f>
        <v/>
      </c>
      <c r="L42" s="88"/>
      <c r="M42" s="88" t="str">
        <f aca="false">IF($L42="","",$L42)</f>
        <v/>
      </c>
      <c r="N42" s="10" t="str">
        <f aca="false">$H42</f>
        <v/>
      </c>
      <c r="O42" s="39" t="str">
        <f aca="false">IF(SUM($N42)=0,"",IF(AND(SUM($N42)&gt;0,$K42=""),"ENTER KNOWN POSITIVITY RATE",ROUND($N42*$K42,0)))</f>
        <v/>
      </c>
      <c r="P42" s="39" t="str">
        <f aca="false">IF(SUM($N42)=0,"",IF(AND((SUM($N42)-SUM($O42))&gt;0,$M42=""),"ENTER YIELD RATE",ROUND(($N42-SUM($O42))*$M42,0)))</f>
        <v/>
      </c>
      <c r="Q42" s="39" t="str">
        <f aca="false">IF(SUM($N42)=0,"",$N42-SUM($O42)-SUM($P42))</f>
        <v/>
      </c>
      <c r="R42" s="88" t="str">
        <f aca="false">IF(SUM($P42)=0,"",INDEX(Cascade!$BG:$BG,MATCH($E42,Cascade!$E:$E,0)))</f>
        <v/>
      </c>
      <c r="S42" s="39" t="str">
        <f aca="false">$O42</f>
        <v/>
      </c>
      <c r="T42" s="39" t="str">
        <f aca="false">IF(SUM($P42)=0,"",IF(AND($R42="",SUM($P42)&gt;0),"&lt;- Enter Linkage Rate",ROUND($P42*$R42,0)))</f>
        <v/>
      </c>
      <c r="U42" s="10" t="n">
        <f aca="false">IFERROR(1/(1/INDEX(Cascade!$BH:$BH,MATCH($E42,Cascade!$E:$E,0))),"")</f>
        <v>-74</v>
      </c>
      <c r="V42" s="10" t="str">
        <f aca="false">IF(SUM($P42)=0,"",$P42)</f>
        <v/>
      </c>
      <c r="W42" s="10" t="str">
        <f aca="false">IFERROR(1/(1/INDEX(PMTCT!$AC:$AC,MATCH($E42,PMTCT!$E:$E,0))),"")</f>
        <v/>
      </c>
      <c r="X42" s="10" t="str">
        <f aca="false">IFERROR(1/(1/INDEX(PMTCT!$AS:$AS,MATCH($E42,PMTCT!$E:$E,0))),"")</f>
        <v/>
      </c>
      <c r="Y42" s="10" t="str">
        <f aca="false">IFERROR(1/(1/INDEX(VMMC!$AA:$AA,MATCH($E42,VMMC!$E:$E,0))),"")</f>
        <v/>
      </c>
      <c r="Z42" s="10" t="n">
        <f aca="false">IFERROR(1/(1/(SUM($U42)-SUM($V42:$Y42))),"")</f>
        <v>-74</v>
      </c>
    </row>
    <row r="43" customFormat="false" ht="15" hidden="false" customHeight="false" outlineLevel="0" collapsed="false">
      <c r="A43" s="0" t="str">
        <f aca="false">INDEX(Prioritization!$D:$D,MATCH($B43,Prioritization!$A:$A,0))</f>
        <v>1 - Scale-up: Saturation</v>
      </c>
      <c r="B43" s="0" t="s">
        <v>196</v>
      </c>
      <c r="C43" s="0" t="s">
        <v>365</v>
      </c>
      <c r="D43" s="0" t="s">
        <v>30</v>
      </c>
      <c r="E43" s="0" t="str">
        <f aca="false">B43&amp;"|"&amp;C43&amp;"|"&amp;D43</f>
        <v>Dowa District [zphK9WV8JB4]|15-24|Female</v>
      </c>
      <c r="F43" s="10"/>
      <c r="G43" s="88" t="n">
        <f aca="false">0</f>
        <v>0</v>
      </c>
      <c r="H43" s="39" t="str">
        <f aca="false">IF(SUM($F43)=0,"",ROUND($F43*(1+$G43),0))</f>
        <v/>
      </c>
      <c r="I43" s="10"/>
      <c r="J43" s="88"/>
      <c r="K43" s="88" t="str">
        <f aca="false">IF($J43="","",$J43)</f>
        <v/>
      </c>
      <c r="L43" s="88"/>
      <c r="M43" s="88" t="str">
        <f aca="false">IF($L43="","",$L43)</f>
        <v/>
      </c>
      <c r="N43" s="10" t="str">
        <f aca="false">$H43</f>
        <v/>
      </c>
      <c r="O43" s="39" t="str">
        <f aca="false">IF(SUM($N43)=0,"",IF(AND(SUM($N43)&gt;0,$K43=""),"ENTER KNOWN POSITIVITY RATE",ROUND($N43*$K43,0)))</f>
        <v/>
      </c>
      <c r="P43" s="39" t="str">
        <f aca="false">IF(SUM($N43)=0,"",IF(AND((SUM($N43)-SUM($O43))&gt;0,$M43=""),"ENTER YIELD RATE",ROUND(($N43-SUM($O43))*$M43,0)))</f>
        <v/>
      </c>
      <c r="Q43" s="39" t="str">
        <f aca="false">IF(SUM($N43)=0,"",$N43-SUM($O43)-SUM($P43))</f>
        <v/>
      </c>
      <c r="R43" s="88" t="str">
        <f aca="false">IF(SUM($P43)=0,"",INDEX(Cascade!$BG:$BG,MATCH($E43,Cascade!$E:$E,0)))</f>
        <v/>
      </c>
      <c r="S43" s="39" t="str">
        <f aca="false">$O43</f>
        <v/>
      </c>
      <c r="T43" s="39" t="str">
        <f aca="false">IF(SUM($P43)=0,"",IF(AND($R43="",SUM($P43)&gt;0),"&lt;- Enter Linkage Rate",ROUND($P43*$R43,0)))</f>
        <v/>
      </c>
      <c r="U43" s="10" t="str">
        <f aca="false">IFERROR(1/(1/INDEX(Cascade!$BH:$BH,MATCH($E43,Cascade!$E:$E,0))),"")</f>
        <v/>
      </c>
      <c r="V43" s="10" t="str">
        <f aca="false">IF(SUM($P43)=0,"",$P43)</f>
        <v/>
      </c>
      <c r="W43" s="10" t="str">
        <f aca="false">IFERROR(1/(1/INDEX(PMTCT!$AC:$AC,MATCH($E43,PMTCT!$E:$E,0))),"")</f>
        <v/>
      </c>
      <c r="X43" s="10" t="str">
        <f aca="false">IFERROR(1/(1/INDEX(PMTCT!$AS:$AS,MATCH($E43,PMTCT!$E:$E,0))),"")</f>
        <v/>
      </c>
      <c r="Y43" s="10" t="str">
        <f aca="false">IFERROR(1/(1/INDEX(VMMC!$AA:$AA,MATCH($E43,VMMC!$E:$E,0))),"")</f>
        <v/>
      </c>
      <c r="Z43" s="10" t="str">
        <f aca="false">IFERROR(1/(1/(SUM($U43)-SUM($V43:$Y43))),"")</f>
        <v/>
      </c>
    </row>
    <row r="44" customFormat="false" ht="15" hidden="false" customHeight="false" outlineLevel="0" collapsed="false">
      <c r="A44" s="0" t="str">
        <f aca="false">INDEX(Prioritization!$D:$D,MATCH($B44,Prioritization!$A:$A,0))</f>
        <v>1 - Scale-up: Saturation</v>
      </c>
      <c r="B44" s="0" t="s">
        <v>196</v>
      </c>
      <c r="C44" s="0" t="s">
        <v>365</v>
      </c>
      <c r="D44" s="0" t="s">
        <v>48</v>
      </c>
      <c r="E44" s="0" t="str">
        <f aca="false">B44&amp;"|"&amp;C44&amp;"|"&amp;D44</f>
        <v>Dowa District [zphK9WV8JB4]|15-24|Male</v>
      </c>
      <c r="F44" s="10"/>
      <c r="G44" s="88" t="n">
        <f aca="false">0</f>
        <v>0</v>
      </c>
      <c r="H44" s="39" t="str">
        <f aca="false">IF(SUM($F44)=0,"",ROUND($F44*(1+$G44),0))</f>
        <v/>
      </c>
      <c r="I44" s="10"/>
      <c r="J44" s="88"/>
      <c r="K44" s="88" t="str">
        <f aca="false">IF($J44="","",$J44)</f>
        <v/>
      </c>
      <c r="L44" s="88"/>
      <c r="M44" s="88" t="str">
        <f aca="false">IF($L44="","",$L44)</f>
        <v/>
      </c>
      <c r="N44" s="10" t="str">
        <f aca="false">$H44</f>
        <v/>
      </c>
      <c r="O44" s="39" t="str">
        <f aca="false">IF(SUM($N44)=0,"",IF(AND(SUM($N44)&gt;0,$K44=""),"ENTER KNOWN POSITIVITY RATE",ROUND($N44*$K44,0)))</f>
        <v/>
      </c>
      <c r="P44" s="39" t="str">
        <f aca="false">IF(SUM($N44)=0,"",IF(AND((SUM($N44)-SUM($O44))&gt;0,$M44=""),"ENTER YIELD RATE",ROUND(($N44-SUM($O44))*$M44,0)))</f>
        <v/>
      </c>
      <c r="Q44" s="39" t="str">
        <f aca="false">IF(SUM($N44)=0,"",$N44-SUM($O44)-SUM($P44))</f>
        <v/>
      </c>
      <c r="R44" s="88" t="str">
        <f aca="false">IF(SUM($P44)=0,"",INDEX(Cascade!$BG:$BG,MATCH($E44,Cascade!$E:$E,0)))</f>
        <v/>
      </c>
      <c r="S44" s="39" t="str">
        <f aca="false">$O44</f>
        <v/>
      </c>
      <c r="T44" s="39" t="str">
        <f aca="false">IF(SUM($P44)=0,"",IF(AND($R44="",SUM($P44)&gt;0),"&lt;- Enter Linkage Rate",ROUND($P44*$R44,0)))</f>
        <v/>
      </c>
      <c r="U44" s="10" t="str">
        <f aca="false">IFERROR(1/(1/INDEX(Cascade!$BH:$BH,MATCH($E44,Cascade!$E:$E,0))),"")</f>
        <v/>
      </c>
      <c r="V44" s="10" t="str">
        <f aca="false">IF(SUM($P44)=0,"",$P44)</f>
        <v/>
      </c>
      <c r="W44" s="10" t="str">
        <f aca="false">IFERROR(1/(1/INDEX(PMTCT!$AC:$AC,MATCH($E44,PMTCT!$E:$E,0))),"")</f>
        <v/>
      </c>
      <c r="X44" s="10" t="str">
        <f aca="false">IFERROR(1/(1/INDEX(PMTCT!$AS:$AS,MATCH($E44,PMTCT!$E:$E,0))),"")</f>
        <v/>
      </c>
      <c r="Y44" s="10" t="str">
        <f aca="false">IFERROR(1/(1/INDEX(VMMC!$AA:$AA,MATCH($E44,VMMC!$E:$E,0))),"")</f>
        <v/>
      </c>
      <c r="Z44" s="10" t="str">
        <f aca="false">IFERROR(1/(1/(SUM($U44)-SUM($V44:$Y44))),"")</f>
        <v/>
      </c>
    </row>
    <row r="45" customFormat="false" ht="15" hidden="false" customHeight="false" outlineLevel="0" collapsed="false">
      <c r="A45" s="0" t="str">
        <f aca="false">INDEX(Prioritization!$D:$D,MATCH($B45,Prioritization!$A:$A,0))</f>
        <v>1 - Scale-up: Saturation</v>
      </c>
      <c r="B45" s="0" t="s">
        <v>196</v>
      </c>
      <c r="C45" s="0" t="s">
        <v>366</v>
      </c>
      <c r="D45" s="0" t="s">
        <v>30</v>
      </c>
      <c r="E45" s="0" t="str">
        <f aca="false">B45&amp;"|"&amp;C45&amp;"|"&amp;D45</f>
        <v>Dowa District [zphK9WV8JB4]|25-34|Female</v>
      </c>
      <c r="F45" s="10"/>
      <c r="G45" s="88" t="n">
        <f aca="false">0</f>
        <v>0</v>
      </c>
      <c r="H45" s="39" t="str">
        <f aca="false">IF(SUM($F45)=0,"",ROUND($F45*(1+$G45),0))</f>
        <v/>
      </c>
      <c r="I45" s="10"/>
      <c r="J45" s="88"/>
      <c r="K45" s="88" t="str">
        <f aca="false">IF($J45="","",$J45)</f>
        <v/>
      </c>
      <c r="L45" s="88"/>
      <c r="M45" s="88" t="str">
        <f aca="false">IF($L45="","",$L45)</f>
        <v/>
      </c>
      <c r="N45" s="10" t="str">
        <f aca="false">$H45</f>
        <v/>
      </c>
      <c r="O45" s="39" t="str">
        <f aca="false">IF(SUM($N45)=0,"",IF(AND(SUM($N45)&gt;0,$K45=""),"ENTER KNOWN POSITIVITY RATE",ROUND($N45*$K45,0)))</f>
        <v/>
      </c>
      <c r="P45" s="39" t="str">
        <f aca="false">IF(SUM($N45)=0,"",IF(AND((SUM($N45)-SUM($O45))&gt;0,$M45=""),"ENTER YIELD RATE",ROUND(($N45-SUM($O45))*$M45,0)))</f>
        <v/>
      </c>
      <c r="Q45" s="39" t="str">
        <f aca="false">IF(SUM($N45)=0,"",$N45-SUM($O45)-SUM($P45))</f>
        <v/>
      </c>
      <c r="R45" s="88" t="str">
        <f aca="false">IF(SUM($P45)=0,"",INDEX(Cascade!$BG:$BG,MATCH($E45,Cascade!$E:$E,0)))</f>
        <v/>
      </c>
      <c r="S45" s="39" t="str">
        <f aca="false">$O45</f>
        <v/>
      </c>
      <c r="T45" s="39" t="str">
        <f aca="false">IF(SUM($P45)=0,"",IF(AND($R45="",SUM($P45)&gt;0),"&lt;- Enter Linkage Rate",ROUND($P45*$R45,0)))</f>
        <v/>
      </c>
      <c r="U45" s="10" t="str">
        <f aca="false">IFERROR(1/(1/INDEX(Cascade!$BH:$BH,MATCH($E45,Cascade!$E:$E,0))),"")</f>
        <v/>
      </c>
      <c r="V45" s="10" t="str">
        <f aca="false">IF(SUM($P45)=0,"",$P45)</f>
        <v/>
      </c>
      <c r="W45" s="10" t="str">
        <f aca="false">IFERROR(1/(1/INDEX(PMTCT!$AC:$AC,MATCH($E45,PMTCT!$E:$E,0))),"")</f>
        <v/>
      </c>
      <c r="X45" s="10" t="str">
        <f aca="false">IFERROR(1/(1/INDEX(PMTCT!$AS:$AS,MATCH($E45,PMTCT!$E:$E,0))),"")</f>
        <v/>
      </c>
      <c r="Y45" s="10" t="str">
        <f aca="false">IFERROR(1/(1/INDEX(VMMC!$AA:$AA,MATCH($E45,VMMC!$E:$E,0))),"")</f>
        <v/>
      </c>
      <c r="Z45" s="10" t="str">
        <f aca="false">IFERROR(1/(1/(SUM($U45)-SUM($V45:$Y45))),"")</f>
        <v/>
      </c>
    </row>
    <row r="46" customFormat="false" ht="15" hidden="false" customHeight="false" outlineLevel="0" collapsed="false">
      <c r="A46" s="0" t="str">
        <f aca="false">INDEX(Prioritization!$D:$D,MATCH($B46,Prioritization!$A:$A,0))</f>
        <v>1 - Scale-up: Saturation</v>
      </c>
      <c r="B46" s="0" t="s">
        <v>196</v>
      </c>
      <c r="C46" s="0" t="s">
        <v>366</v>
      </c>
      <c r="D46" s="0" t="s">
        <v>48</v>
      </c>
      <c r="E46" s="0" t="str">
        <f aca="false">B46&amp;"|"&amp;C46&amp;"|"&amp;D46</f>
        <v>Dowa District [zphK9WV8JB4]|25-34|Male</v>
      </c>
      <c r="F46" s="10"/>
      <c r="G46" s="88" t="n">
        <f aca="false">0</f>
        <v>0</v>
      </c>
      <c r="H46" s="39" t="str">
        <f aca="false">IF(SUM($F46)=0,"",ROUND($F46*(1+$G46),0))</f>
        <v/>
      </c>
      <c r="I46" s="10"/>
      <c r="J46" s="88"/>
      <c r="K46" s="88" t="str">
        <f aca="false">IF($J46="","",$J46)</f>
        <v/>
      </c>
      <c r="L46" s="88"/>
      <c r="M46" s="88" t="str">
        <f aca="false">IF($L46="","",$L46)</f>
        <v/>
      </c>
      <c r="N46" s="10" t="str">
        <f aca="false">$H46</f>
        <v/>
      </c>
      <c r="O46" s="39" t="str">
        <f aca="false">IF(SUM($N46)=0,"",IF(AND(SUM($N46)&gt;0,$K46=""),"ENTER KNOWN POSITIVITY RATE",ROUND($N46*$K46,0)))</f>
        <v/>
      </c>
      <c r="P46" s="39" t="str">
        <f aca="false">IF(SUM($N46)=0,"",IF(AND((SUM($N46)-SUM($O46))&gt;0,$M46=""),"ENTER YIELD RATE",ROUND(($N46-SUM($O46))*$M46,0)))</f>
        <v/>
      </c>
      <c r="Q46" s="39" t="str">
        <f aca="false">IF(SUM($N46)=0,"",$N46-SUM($O46)-SUM($P46))</f>
        <v/>
      </c>
      <c r="R46" s="88" t="str">
        <f aca="false">IF(SUM($P46)=0,"",INDEX(Cascade!$BG:$BG,MATCH($E46,Cascade!$E:$E,0)))</f>
        <v/>
      </c>
      <c r="S46" s="39" t="str">
        <f aca="false">$O46</f>
        <v/>
      </c>
      <c r="T46" s="39" t="str">
        <f aca="false">IF(SUM($P46)=0,"",IF(AND($R46="",SUM($P46)&gt;0),"&lt;- Enter Linkage Rate",ROUND($P46*$R46,0)))</f>
        <v/>
      </c>
      <c r="U46" s="10" t="str">
        <f aca="false">IFERROR(1/(1/INDEX(Cascade!$BH:$BH,MATCH($E46,Cascade!$E:$E,0))),"")</f>
        <v/>
      </c>
      <c r="V46" s="10" t="str">
        <f aca="false">IF(SUM($P46)=0,"",$P46)</f>
        <v/>
      </c>
      <c r="W46" s="10" t="str">
        <f aca="false">IFERROR(1/(1/INDEX(PMTCT!$AC:$AC,MATCH($E46,PMTCT!$E:$E,0))),"")</f>
        <v/>
      </c>
      <c r="X46" s="10" t="str">
        <f aca="false">IFERROR(1/(1/INDEX(PMTCT!$AS:$AS,MATCH($E46,PMTCT!$E:$E,0))),"")</f>
        <v/>
      </c>
      <c r="Y46" s="10" t="str">
        <f aca="false">IFERROR(1/(1/INDEX(VMMC!$AA:$AA,MATCH($E46,VMMC!$E:$E,0))),"")</f>
        <v/>
      </c>
      <c r="Z46" s="10" t="str">
        <f aca="false">IFERROR(1/(1/(SUM($U46)-SUM($V46:$Y46))),"")</f>
        <v/>
      </c>
    </row>
    <row r="47" customFormat="false" ht="15" hidden="false" customHeight="false" outlineLevel="0" collapsed="false">
      <c r="A47" s="0" t="str">
        <f aca="false">INDEX(Prioritization!$D:$D,MATCH($B47,Prioritization!$A:$A,0))</f>
        <v>1 - Scale-up: Saturation</v>
      </c>
      <c r="B47" s="0" t="s">
        <v>196</v>
      </c>
      <c r="C47" s="0" t="s">
        <v>367</v>
      </c>
      <c r="D47" s="0" t="s">
        <v>30</v>
      </c>
      <c r="E47" s="0" t="str">
        <f aca="false">B47&amp;"|"&amp;C47&amp;"|"&amp;D47</f>
        <v>Dowa District [zphK9WV8JB4]|35-49|Female</v>
      </c>
      <c r="F47" s="10"/>
      <c r="G47" s="88" t="n">
        <f aca="false">0</f>
        <v>0</v>
      </c>
      <c r="H47" s="39" t="str">
        <f aca="false">IF(SUM($F47)=0,"",ROUND($F47*(1+$G47),0))</f>
        <v/>
      </c>
      <c r="I47" s="10"/>
      <c r="J47" s="88"/>
      <c r="K47" s="88" t="str">
        <f aca="false">IF($J47="","",$J47)</f>
        <v/>
      </c>
      <c r="L47" s="88"/>
      <c r="M47" s="88" t="str">
        <f aca="false">IF($L47="","",$L47)</f>
        <v/>
      </c>
      <c r="N47" s="10" t="str">
        <f aca="false">$H47</f>
        <v/>
      </c>
      <c r="O47" s="39" t="str">
        <f aca="false">IF(SUM($N47)=0,"",IF(AND(SUM($N47)&gt;0,$K47=""),"ENTER KNOWN POSITIVITY RATE",ROUND($N47*$K47,0)))</f>
        <v/>
      </c>
      <c r="P47" s="39" t="str">
        <f aca="false">IF(SUM($N47)=0,"",IF(AND((SUM($N47)-SUM($O47))&gt;0,$M47=""),"ENTER YIELD RATE",ROUND(($N47-SUM($O47))*$M47,0)))</f>
        <v/>
      </c>
      <c r="Q47" s="39" t="str">
        <f aca="false">IF(SUM($N47)=0,"",$N47-SUM($O47)-SUM($P47))</f>
        <v/>
      </c>
      <c r="R47" s="88" t="str">
        <f aca="false">IF(SUM($P47)=0,"",INDEX(Cascade!$BG:$BG,MATCH($E47,Cascade!$E:$E,0)))</f>
        <v/>
      </c>
      <c r="S47" s="39" t="str">
        <f aca="false">$O47</f>
        <v/>
      </c>
      <c r="T47" s="39" t="str">
        <f aca="false">IF(SUM($P47)=0,"",IF(AND($R47="",SUM($P47)&gt;0),"&lt;- Enter Linkage Rate",ROUND($P47*$R47,0)))</f>
        <v/>
      </c>
      <c r="U47" s="10" t="str">
        <f aca="false">IFERROR(1/(1/INDEX(Cascade!$BH:$BH,MATCH($E47,Cascade!$E:$E,0))),"")</f>
        <v/>
      </c>
      <c r="V47" s="10" t="str">
        <f aca="false">IF(SUM($P47)=0,"",$P47)</f>
        <v/>
      </c>
      <c r="W47" s="10" t="str">
        <f aca="false">IFERROR(1/(1/INDEX(PMTCT!$AC:$AC,MATCH($E47,PMTCT!$E:$E,0))),"")</f>
        <v/>
      </c>
      <c r="X47" s="10" t="str">
        <f aca="false">IFERROR(1/(1/INDEX(PMTCT!$AS:$AS,MATCH($E47,PMTCT!$E:$E,0))),"")</f>
        <v/>
      </c>
      <c r="Y47" s="10" t="str">
        <f aca="false">IFERROR(1/(1/INDEX(VMMC!$AA:$AA,MATCH($E47,VMMC!$E:$E,0))),"")</f>
        <v/>
      </c>
      <c r="Z47" s="10" t="str">
        <f aca="false">IFERROR(1/(1/(SUM($U47)-SUM($V47:$Y47))),"")</f>
        <v/>
      </c>
    </row>
    <row r="48" customFormat="false" ht="15" hidden="false" customHeight="false" outlineLevel="0" collapsed="false">
      <c r="A48" s="0" t="str">
        <f aca="false">INDEX(Prioritization!$D:$D,MATCH($B48,Prioritization!$A:$A,0))</f>
        <v>1 - Scale-up: Saturation</v>
      </c>
      <c r="B48" s="0" t="s">
        <v>196</v>
      </c>
      <c r="C48" s="0" t="s">
        <v>367</v>
      </c>
      <c r="D48" s="0" t="s">
        <v>48</v>
      </c>
      <c r="E48" s="0" t="str">
        <f aca="false">B48&amp;"|"&amp;C48&amp;"|"&amp;D48</f>
        <v>Dowa District [zphK9WV8JB4]|35-49|Male</v>
      </c>
      <c r="F48" s="10"/>
      <c r="G48" s="88" t="n">
        <f aca="false">0</f>
        <v>0</v>
      </c>
      <c r="H48" s="39" t="str">
        <f aca="false">IF(SUM($F48)=0,"",ROUND($F48*(1+$G48),0))</f>
        <v/>
      </c>
      <c r="I48" s="10"/>
      <c r="J48" s="88"/>
      <c r="K48" s="88" t="str">
        <f aca="false">IF($J48="","",$J48)</f>
        <v/>
      </c>
      <c r="L48" s="88"/>
      <c r="M48" s="88" t="str">
        <f aca="false">IF($L48="","",$L48)</f>
        <v/>
      </c>
      <c r="N48" s="10" t="str">
        <f aca="false">$H48</f>
        <v/>
      </c>
      <c r="O48" s="39" t="str">
        <f aca="false">IF(SUM($N48)=0,"",IF(AND(SUM($N48)&gt;0,$K48=""),"ENTER KNOWN POSITIVITY RATE",ROUND($N48*$K48,0)))</f>
        <v/>
      </c>
      <c r="P48" s="39" t="str">
        <f aca="false">IF(SUM($N48)=0,"",IF(AND((SUM($N48)-SUM($O48))&gt;0,$M48=""),"ENTER YIELD RATE",ROUND(($N48-SUM($O48))*$M48,0)))</f>
        <v/>
      </c>
      <c r="Q48" s="39" t="str">
        <f aca="false">IF(SUM($N48)=0,"",$N48-SUM($O48)-SUM($P48))</f>
        <v/>
      </c>
      <c r="R48" s="88" t="str">
        <f aca="false">IF(SUM($P48)=0,"",INDEX(Cascade!$BG:$BG,MATCH($E48,Cascade!$E:$E,0)))</f>
        <v/>
      </c>
      <c r="S48" s="39" t="str">
        <f aca="false">$O48</f>
        <v/>
      </c>
      <c r="T48" s="39" t="str">
        <f aca="false">IF(SUM($P48)=0,"",IF(AND($R48="",SUM($P48)&gt;0),"&lt;- Enter Linkage Rate",ROUND($P48*$R48,0)))</f>
        <v/>
      </c>
      <c r="U48" s="10" t="str">
        <f aca="false">IFERROR(1/(1/INDEX(Cascade!$BH:$BH,MATCH($E48,Cascade!$E:$E,0))),"")</f>
        <v/>
      </c>
      <c r="V48" s="10" t="str">
        <f aca="false">IF(SUM($P48)=0,"",$P48)</f>
        <v/>
      </c>
      <c r="W48" s="10" t="str">
        <f aca="false">IFERROR(1/(1/INDEX(PMTCT!$AC:$AC,MATCH($E48,PMTCT!$E:$E,0))),"")</f>
        <v/>
      </c>
      <c r="X48" s="10" t="str">
        <f aca="false">IFERROR(1/(1/INDEX(PMTCT!$AS:$AS,MATCH($E48,PMTCT!$E:$E,0))),"")</f>
        <v/>
      </c>
      <c r="Y48" s="10" t="str">
        <f aca="false">IFERROR(1/(1/INDEX(VMMC!$AA:$AA,MATCH($E48,VMMC!$E:$E,0))),"")</f>
        <v/>
      </c>
      <c r="Z48" s="10" t="str">
        <f aca="false">IFERROR(1/(1/(SUM($U48)-SUM($V48:$Y48))),"")</f>
        <v/>
      </c>
    </row>
    <row r="49" customFormat="false" ht="15" hidden="false" customHeight="false" outlineLevel="0" collapsed="false">
      <c r="A49" s="0" t="str">
        <f aca="false">INDEX(Prioritization!$D:$D,MATCH($B49,Prioritization!$A:$A,0))</f>
        <v>1 - Scale-up: Saturation</v>
      </c>
      <c r="B49" s="0" t="s">
        <v>196</v>
      </c>
      <c r="C49" s="0" t="s">
        <v>368</v>
      </c>
      <c r="D49" s="0" t="s">
        <v>30</v>
      </c>
      <c r="E49" s="0" t="str">
        <f aca="false">B49&amp;"|"&amp;C49&amp;"|"&amp;D49</f>
        <v>Dowa District [zphK9WV8JB4]|50+|Female</v>
      </c>
      <c r="F49" s="10"/>
      <c r="G49" s="88" t="n">
        <f aca="false">0</f>
        <v>0</v>
      </c>
      <c r="H49" s="39" t="str">
        <f aca="false">IF(SUM($F49)=0,"",ROUND($F49*(1+$G49),0))</f>
        <v/>
      </c>
      <c r="I49" s="10"/>
      <c r="J49" s="88"/>
      <c r="K49" s="88" t="str">
        <f aca="false">IF($J49="","",$J49)</f>
        <v/>
      </c>
      <c r="L49" s="88"/>
      <c r="M49" s="88" t="str">
        <f aca="false">IF($L49="","",$L49)</f>
        <v/>
      </c>
      <c r="N49" s="10" t="str">
        <f aca="false">$H49</f>
        <v/>
      </c>
      <c r="O49" s="39" t="str">
        <f aca="false">IF(SUM($N49)=0,"",IF(AND(SUM($N49)&gt;0,$K49=""),"ENTER KNOWN POSITIVITY RATE",ROUND($N49*$K49,0)))</f>
        <v/>
      </c>
      <c r="P49" s="39" t="str">
        <f aca="false">IF(SUM($N49)=0,"",IF(AND((SUM($N49)-SUM($O49))&gt;0,$M49=""),"ENTER YIELD RATE",ROUND(($N49-SUM($O49))*$M49,0)))</f>
        <v/>
      </c>
      <c r="Q49" s="39" t="str">
        <f aca="false">IF(SUM($N49)=0,"",$N49-SUM($O49)-SUM($P49))</f>
        <v/>
      </c>
      <c r="R49" s="88" t="str">
        <f aca="false">IF(SUM($P49)=0,"",INDEX(Cascade!$BG:$BG,MATCH($E49,Cascade!$E:$E,0)))</f>
        <v/>
      </c>
      <c r="S49" s="39" t="str">
        <f aca="false">$O49</f>
        <v/>
      </c>
      <c r="T49" s="39" t="str">
        <f aca="false">IF(SUM($P49)=0,"",IF(AND($R49="",SUM($P49)&gt;0),"&lt;- Enter Linkage Rate",ROUND($P49*$R49,0)))</f>
        <v/>
      </c>
      <c r="U49" s="10" t="str">
        <f aca="false">IFERROR(1/(1/INDEX(Cascade!$BH:$BH,MATCH($E49,Cascade!$E:$E,0))),"")</f>
        <v/>
      </c>
      <c r="V49" s="10" t="str">
        <f aca="false">IF(SUM($P49)=0,"",$P49)</f>
        <v/>
      </c>
      <c r="W49" s="10" t="str">
        <f aca="false">IFERROR(1/(1/INDEX(PMTCT!$AC:$AC,MATCH($E49,PMTCT!$E:$E,0))),"")</f>
        <v/>
      </c>
      <c r="X49" s="10" t="str">
        <f aca="false">IFERROR(1/(1/INDEX(PMTCT!$AS:$AS,MATCH($E49,PMTCT!$E:$E,0))),"")</f>
        <v/>
      </c>
      <c r="Y49" s="10" t="str">
        <f aca="false">IFERROR(1/(1/INDEX(VMMC!$AA:$AA,MATCH($E49,VMMC!$E:$E,0))),"")</f>
        <v/>
      </c>
      <c r="Z49" s="10" t="str">
        <f aca="false">IFERROR(1/(1/(SUM($U49)-SUM($V49:$Y49))),"")</f>
        <v/>
      </c>
    </row>
    <row r="50" customFormat="false" ht="15" hidden="false" customHeight="false" outlineLevel="0" collapsed="false">
      <c r="A50" s="0" t="str">
        <f aca="false">INDEX(Prioritization!$D:$D,MATCH($B50,Prioritization!$A:$A,0))</f>
        <v>1 - Scale-up: Saturation</v>
      </c>
      <c r="B50" s="0" t="s">
        <v>196</v>
      </c>
      <c r="C50" s="0" t="s">
        <v>368</v>
      </c>
      <c r="D50" s="0" t="s">
        <v>48</v>
      </c>
      <c r="E50" s="0" t="str">
        <f aca="false">B50&amp;"|"&amp;C50&amp;"|"&amp;D50</f>
        <v>Dowa District [zphK9WV8JB4]|50+|Male</v>
      </c>
      <c r="F50" s="10"/>
      <c r="G50" s="88" t="n">
        <f aca="false">0</f>
        <v>0</v>
      </c>
      <c r="H50" s="39" t="str">
        <f aca="false">IF(SUM($F50)=0,"",ROUND($F50*(1+$G50),0))</f>
        <v/>
      </c>
      <c r="I50" s="10"/>
      <c r="J50" s="88"/>
      <c r="K50" s="88" t="str">
        <f aca="false">IF($J50="","",$J50)</f>
        <v/>
      </c>
      <c r="L50" s="88"/>
      <c r="M50" s="88" t="str">
        <f aca="false">IF($L50="","",$L50)</f>
        <v/>
      </c>
      <c r="N50" s="10" t="str">
        <f aca="false">$H50</f>
        <v/>
      </c>
      <c r="O50" s="39" t="str">
        <f aca="false">IF(SUM($N50)=0,"",IF(AND(SUM($N50)&gt;0,$K50=""),"ENTER KNOWN POSITIVITY RATE",ROUND($N50*$K50,0)))</f>
        <v/>
      </c>
      <c r="P50" s="39" t="str">
        <f aca="false">IF(SUM($N50)=0,"",IF(AND((SUM($N50)-SUM($O50))&gt;0,$M50=""),"ENTER YIELD RATE",ROUND(($N50-SUM($O50))*$M50,0)))</f>
        <v/>
      </c>
      <c r="Q50" s="39" t="str">
        <f aca="false">IF(SUM($N50)=0,"",$N50-SUM($O50)-SUM($P50))</f>
        <v/>
      </c>
      <c r="R50" s="88" t="str">
        <f aca="false">IF(SUM($P50)=0,"",INDEX(Cascade!$BG:$BG,MATCH($E50,Cascade!$E:$E,0)))</f>
        <v/>
      </c>
      <c r="S50" s="39" t="str">
        <f aca="false">$O50</f>
        <v/>
      </c>
      <c r="T50" s="39" t="str">
        <f aca="false">IF(SUM($P50)=0,"",IF(AND($R50="",SUM($P50)&gt;0),"&lt;- Enter Linkage Rate",ROUND($P50*$R50,0)))</f>
        <v/>
      </c>
      <c r="U50" s="10" t="str">
        <f aca="false">IFERROR(1/(1/INDEX(Cascade!$BH:$BH,MATCH($E50,Cascade!$E:$E,0))),"")</f>
        <v/>
      </c>
      <c r="V50" s="10" t="str">
        <f aca="false">IF(SUM($P50)=0,"",$P50)</f>
        <v/>
      </c>
      <c r="W50" s="10" t="str">
        <f aca="false">IFERROR(1/(1/INDEX(PMTCT!$AC:$AC,MATCH($E50,PMTCT!$E:$E,0))),"")</f>
        <v/>
      </c>
      <c r="X50" s="10" t="str">
        <f aca="false">IFERROR(1/(1/INDEX(PMTCT!$AS:$AS,MATCH($E50,PMTCT!$E:$E,0))),"")</f>
        <v/>
      </c>
      <c r="Y50" s="10" t="str">
        <f aca="false">IFERROR(1/(1/INDEX(VMMC!$AA:$AA,MATCH($E50,VMMC!$E:$E,0))),"")</f>
        <v/>
      </c>
      <c r="Z50" s="10" t="str">
        <f aca="false">IFERROR(1/(1/(SUM($U50)-SUM($V50:$Y50))),"")</f>
        <v/>
      </c>
    </row>
    <row r="51" customFormat="false" ht="15" hidden="false" customHeight="false" outlineLevel="0" collapsed="false">
      <c r="A51" s="0" t="str">
        <f aca="false">INDEX(Prioritization!$D:$D,MATCH($B51,Prioritization!$A:$A,0))</f>
        <v>INVALID</v>
      </c>
      <c r="B51" s="0" t="s">
        <v>197</v>
      </c>
      <c r="C51" s="0" t="s">
        <v>363</v>
      </c>
      <c r="D51" s="0" t="s">
        <v>30</v>
      </c>
      <c r="E51" s="0" t="str">
        <f aca="false">B51&amp;"|"&amp;C51&amp;"|"&amp;D51</f>
        <v>Kasungu District [JQKLKuVuY61]|01-09|Female</v>
      </c>
      <c r="F51" s="10"/>
      <c r="G51" s="88" t="n">
        <f aca="false">0</f>
        <v>0</v>
      </c>
      <c r="H51" s="39" t="str">
        <f aca="false">IF(SUM($F51)=0,"",ROUND($F51*(1+$G51),0))</f>
        <v/>
      </c>
      <c r="I51" s="10"/>
      <c r="J51" s="88"/>
      <c r="K51" s="88" t="str">
        <f aca="false">IF($J51="","",$J51)</f>
        <v/>
      </c>
      <c r="L51" s="88"/>
      <c r="M51" s="88" t="str">
        <f aca="false">IF($L51="","",$L51)</f>
        <v/>
      </c>
      <c r="N51" s="10" t="str">
        <f aca="false">$H51</f>
        <v/>
      </c>
      <c r="O51" s="39" t="str">
        <f aca="false">IF(SUM($N51)=0,"",IF(AND(SUM($N51)&gt;0,$K51=""),"ENTER KNOWN POSITIVITY RATE",ROUND($N51*$K51,0)))</f>
        <v/>
      </c>
      <c r="P51" s="39" t="str">
        <f aca="false">IF(SUM($N51)=0,"",IF(AND((SUM($N51)-SUM($O51))&gt;0,$M51=""),"ENTER YIELD RATE",ROUND(($N51-SUM($O51))*$M51,0)))</f>
        <v/>
      </c>
      <c r="Q51" s="39" t="str">
        <f aca="false">IF(SUM($N51)=0,"",$N51-SUM($O51)-SUM($P51))</f>
        <v/>
      </c>
      <c r="R51" s="88" t="str">
        <f aca="false">IF(SUM($P51)=0,"",INDEX(Cascade!$BG:$BG,MATCH($E51,Cascade!$E:$E,0)))</f>
        <v/>
      </c>
      <c r="S51" s="39" t="str">
        <f aca="false">$O51</f>
        <v/>
      </c>
      <c r="T51" s="39" t="str">
        <f aca="false">IF(SUM($P51)=0,"",IF(AND($R51="",SUM($P51)&gt;0),"&lt;- Enter Linkage Rate",ROUND($P51*$R51,0)))</f>
        <v/>
      </c>
      <c r="U51" s="10" t="str">
        <f aca="false">IFERROR(1/(1/INDEX(Cascade!$BH:$BH,MATCH($E51,Cascade!$E:$E,0))),"")</f>
        <v/>
      </c>
      <c r="V51" s="10" t="str">
        <f aca="false">IF(SUM($P51)=0,"",$P51)</f>
        <v/>
      </c>
      <c r="W51" s="10" t="str">
        <f aca="false">IFERROR(1/(1/INDEX(PMTCT!$AC:$AC,MATCH($E51,PMTCT!$E:$E,0))),"")</f>
        <v/>
      </c>
      <c r="X51" s="10" t="str">
        <f aca="false">IFERROR(1/(1/INDEX(PMTCT!$AS:$AS,MATCH($E51,PMTCT!$E:$E,0))),"")</f>
        <v/>
      </c>
      <c r="Y51" s="10" t="str">
        <f aca="false">IFERROR(1/(1/INDEX(VMMC!$AA:$AA,MATCH($E51,VMMC!$E:$E,0))),"")</f>
        <v/>
      </c>
      <c r="Z51" s="10" t="str">
        <f aca="false">IFERROR(1/(1/(SUM($U51)-SUM($V51:$Y51))),"")</f>
        <v/>
      </c>
    </row>
    <row r="52" customFormat="false" ht="15" hidden="false" customHeight="false" outlineLevel="0" collapsed="false">
      <c r="A52" s="0" t="str">
        <f aca="false">INDEX(Prioritization!$D:$D,MATCH($B52,Prioritization!$A:$A,0))</f>
        <v>INVALID</v>
      </c>
      <c r="B52" s="0" t="s">
        <v>197</v>
      </c>
      <c r="C52" s="0" t="s">
        <v>363</v>
      </c>
      <c r="D52" s="0" t="s">
        <v>48</v>
      </c>
      <c r="E52" s="0" t="str">
        <f aca="false">B52&amp;"|"&amp;C52&amp;"|"&amp;D52</f>
        <v>Kasungu District [JQKLKuVuY61]|01-09|Male</v>
      </c>
      <c r="F52" s="10"/>
      <c r="G52" s="88" t="n">
        <f aca="false">0</f>
        <v>0</v>
      </c>
      <c r="H52" s="39" t="str">
        <f aca="false">IF(SUM($F52)=0,"",ROUND($F52*(1+$G52),0))</f>
        <v/>
      </c>
      <c r="I52" s="10"/>
      <c r="J52" s="88"/>
      <c r="K52" s="88" t="str">
        <f aca="false">IF($J52="","",$J52)</f>
        <v/>
      </c>
      <c r="L52" s="88"/>
      <c r="M52" s="88" t="str">
        <f aca="false">IF($L52="","",$L52)</f>
        <v/>
      </c>
      <c r="N52" s="10" t="str">
        <f aca="false">$H52</f>
        <v/>
      </c>
      <c r="O52" s="39" t="str">
        <f aca="false">IF(SUM($N52)=0,"",IF(AND(SUM($N52)&gt;0,$K52=""),"ENTER KNOWN POSITIVITY RATE",ROUND($N52*$K52,0)))</f>
        <v/>
      </c>
      <c r="P52" s="39" t="str">
        <f aca="false">IF(SUM($N52)=0,"",IF(AND((SUM($N52)-SUM($O52))&gt;0,$M52=""),"ENTER YIELD RATE",ROUND(($N52-SUM($O52))*$M52,0)))</f>
        <v/>
      </c>
      <c r="Q52" s="39" t="str">
        <f aca="false">IF(SUM($N52)=0,"",$N52-SUM($O52)-SUM($P52))</f>
        <v/>
      </c>
      <c r="R52" s="88" t="str">
        <f aca="false">IF(SUM($P52)=0,"",INDEX(Cascade!$BG:$BG,MATCH($E52,Cascade!$E:$E,0)))</f>
        <v/>
      </c>
      <c r="S52" s="39" t="str">
        <f aca="false">$O52</f>
        <v/>
      </c>
      <c r="T52" s="39" t="str">
        <f aca="false">IF(SUM($P52)=0,"",IF(AND($R52="",SUM($P52)&gt;0),"&lt;- Enter Linkage Rate",ROUND($P52*$R52,0)))</f>
        <v/>
      </c>
      <c r="U52" s="10" t="str">
        <f aca="false">IFERROR(1/(1/INDEX(Cascade!$BH:$BH,MATCH($E52,Cascade!$E:$E,0))),"")</f>
        <v/>
      </c>
      <c r="V52" s="10" t="str">
        <f aca="false">IF(SUM($P52)=0,"",$P52)</f>
        <v/>
      </c>
      <c r="W52" s="10" t="str">
        <f aca="false">IFERROR(1/(1/INDEX(PMTCT!$AC:$AC,MATCH($E52,PMTCT!$E:$E,0))),"")</f>
        <v/>
      </c>
      <c r="X52" s="10" t="str">
        <f aca="false">IFERROR(1/(1/INDEX(PMTCT!$AS:$AS,MATCH($E52,PMTCT!$E:$E,0))),"")</f>
        <v/>
      </c>
      <c r="Y52" s="10" t="str">
        <f aca="false">IFERROR(1/(1/INDEX(VMMC!$AA:$AA,MATCH($E52,VMMC!$E:$E,0))),"")</f>
        <v/>
      </c>
      <c r="Z52" s="10" t="str">
        <f aca="false">IFERROR(1/(1/(SUM($U52)-SUM($V52:$Y52))),"")</f>
        <v/>
      </c>
    </row>
    <row r="53" customFormat="false" ht="15" hidden="false" customHeight="false" outlineLevel="0" collapsed="false">
      <c r="A53" s="0" t="str">
        <f aca="false">INDEX(Prioritization!$D:$D,MATCH($B53,Prioritization!$A:$A,0))</f>
        <v>INVALID</v>
      </c>
      <c r="B53" s="0" t="s">
        <v>197</v>
      </c>
      <c r="C53" s="0" t="s">
        <v>364</v>
      </c>
      <c r="D53" s="0" t="s">
        <v>30</v>
      </c>
      <c r="E53" s="0" t="str">
        <f aca="false">B53&amp;"|"&amp;C53&amp;"|"&amp;D53</f>
        <v>Kasungu District [JQKLKuVuY61]|10-14|Female</v>
      </c>
      <c r="F53" s="10" t="n">
        <v>1</v>
      </c>
      <c r="G53" s="88" t="n">
        <f aca="false">0</f>
        <v>0</v>
      </c>
      <c r="H53" s="39" t="n">
        <f aca="false">IF(SUM($F53)=0,"",ROUND($F53*(1+$G53),0))</f>
        <v>1</v>
      </c>
      <c r="I53" s="10"/>
      <c r="J53" s="88"/>
      <c r="K53" s="88" t="str">
        <f aca="false">IF($J53="","",$J53)</f>
        <v/>
      </c>
      <c r="L53" s="88"/>
      <c r="M53" s="88" t="str">
        <f aca="false">IF($L53="","",$L53)</f>
        <v/>
      </c>
      <c r="N53" s="10" t="n">
        <f aca="false">$H53</f>
        <v>1</v>
      </c>
      <c r="O53" s="39" t="str">
        <f aca="false">IF(SUM($N53)=0,"",IF(AND(SUM($N53)&gt;0,$K53=""),"ENTER KNOWN POSITIVITY RATE",ROUND($N53*$K53,0)))</f>
        <v>ENTER KNOWN POSITIVITY RATE</v>
      </c>
      <c r="P53" s="39" t="str">
        <f aca="false">IF(SUM($N53)=0,"",IF(AND((SUM($N53)-SUM($O53))&gt;0,$M53=""),"ENTER YIELD RATE",ROUND(($N53-SUM($O53))*$M53,0)))</f>
        <v>ENTER YIELD RATE</v>
      </c>
      <c r="Q53" s="39" t="n">
        <f aca="false">IF(SUM($N53)=0,"",$N53-SUM($O53)-SUM($P53))</f>
        <v>1</v>
      </c>
      <c r="R53" s="88" t="str">
        <f aca="false">IF(SUM($P53)=0,"",INDEX(Cascade!$BG:$BG,MATCH($E53,Cascade!$E:$E,0)))</f>
        <v/>
      </c>
      <c r="S53" s="39" t="str">
        <f aca="false">$O53</f>
        <v>ENTER KNOWN POSITIVITY RATE</v>
      </c>
      <c r="T53" s="39" t="str">
        <f aca="false">IF(SUM($P53)=0,"",IF(AND($R53="",SUM($P53)&gt;0),"&lt;- Enter Linkage Rate",ROUND($P53*$R53,0)))</f>
        <v/>
      </c>
      <c r="U53" s="10" t="n">
        <f aca="false">IFERROR(1/(1/INDEX(Cascade!$BH:$BH,MATCH($E53,Cascade!$E:$E,0))),"")</f>
        <v>-93</v>
      </c>
      <c r="V53" s="10" t="str">
        <f aca="false">IF(SUM($P53)=0,"",$P53)</f>
        <v/>
      </c>
      <c r="W53" s="10" t="str">
        <f aca="false">IFERROR(1/(1/INDEX(PMTCT!$AC:$AC,MATCH($E53,PMTCT!$E:$E,0))),"")</f>
        <v/>
      </c>
      <c r="X53" s="10" t="str">
        <f aca="false">IFERROR(1/(1/INDEX(PMTCT!$AS:$AS,MATCH($E53,PMTCT!$E:$E,0))),"")</f>
        <v/>
      </c>
      <c r="Y53" s="10" t="str">
        <f aca="false">IFERROR(1/(1/INDEX(VMMC!$AA:$AA,MATCH($E53,VMMC!$E:$E,0))),"")</f>
        <v/>
      </c>
      <c r="Z53" s="10" t="n">
        <f aca="false">IFERROR(1/(1/(SUM($U53)-SUM($V53:$Y53))),"")</f>
        <v>-93</v>
      </c>
    </row>
    <row r="54" customFormat="false" ht="15" hidden="false" customHeight="false" outlineLevel="0" collapsed="false">
      <c r="A54" s="0" t="str">
        <f aca="false">INDEX(Prioritization!$D:$D,MATCH($B54,Prioritization!$A:$A,0))</f>
        <v>INVALID</v>
      </c>
      <c r="B54" s="0" t="s">
        <v>197</v>
      </c>
      <c r="C54" s="0" t="s">
        <v>364</v>
      </c>
      <c r="D54" s="0" t="s">
        <v>48</v>
      </c>
      <c r="E54" s="0" t="str">
        <f aca="false">B54&amp;"|"&amp;C54&amp;"|"&amp;D54</f>
        <v>Kasungu District [JQKLKuVuY61]|10-14|Male</v>
      </c>
      <c r="F54" s="10" t="n">
        <v>0</v>
      </c>
      <c r="G54" s="88" t="n">
        <f aca="false">0</f>
        <v>0</v>
      </c>
      <c r="H54" s="39" t="str">
        <f aca="false">IF(SUM($F54)=0,"",ROUND($F54*(1+$G54),0))</f>
        <v/>
      </c>
      <c r="I54" s="10"/>
      <c r="J54" s="88"/>
      <c r="K54" s="88" t="str">
        <f aca="false">IF($J54="","",$J54)</f>
        <v/>
      </c>
      <c r="L54" s="88"/>
      <c r="M54" s="88" t="str">
        <f aca="false">IF($L54="","",$L54)</f>
        <v/>
      </c>
      <c r="N54" s="10" t="str">
        <f aca="false">$H54</f>
        <v/>
      </c>
      <c r="O54" s="39" t="str">
        <f aca="false">IF(SUM($N54)=0,"",IF(AND(SUM($N54)&gt;0,$K54=""),"ENTER KNOWN POSITIVITY RATE",ROUND($N54*$K54,0)))</f>
        <v/>
      </c>
      <c r="P54" s="39" t="str">
        <f aca="false">IF(SUM($N54)=0,"",IF(AND((SUM($N54)-SUM($O54))&gt;0,$M54=""),"ENTER YIELD RATE",ROUND(($N54-SUM($O54))*$M54,0)))</f>
        <v/>
      </c>
      <c r="Q54" s="39" t="str">
        <f aca="false">IF(SUM($N54)=0,"",$N54-SUM($O54)-SUM($P54))</f>
        <v/>
      </c>
      <c r="R54" s="88" t="str">
        <f aca="false">IF(SUM($P54)=0,"",INDEX(Cascade!$BG:$BG,MATCH($E54,Cascade!$E:$E,0)))</f>
        <v/>
      </c>
      <c r="S54" s="39" t="str">
        <f aca="false">$O54</f>
        <v/>
      </c>
      <c r="T54" s="39" t="str">
        <f aca="false">IF(SUM($P54)=0,"",IF(AND($R54="",SUM($P54)&gt;0),"&lt;- Enter Linkage Rate",ROUND($P54*$R54,0)))</f>
        <v/>
      </c>
      <c r="U54" s="10" t="n">
        <f aca="false">IFERROR(1/(1/INDEX(Cascade!$BH:$BH,MATCH($E54,Cascade!$E:$E,0))),"")</f>
        <v>-99</v>
      </c>
      <c r="V54" s="10" t="str">
        <f aca="false">IF(SUM($P54)=0,"",$P54)</f>
        <v/>
      </c>
      <c r="W54" s="10" t="str">
        <f aca="false">IFERROR(1/(1/INDEX(PMTCT!$AC:$AC,MATCH($E54,PMTCT!$E:$E,0))),"")</f>
        <v/>
      </c>
      <c r="X54" s="10" t="str">
        <f aca="false">IFERROR(1/(1/INDEX(PMTCT!$AS:$AS,MATCH($E54,PMTCT!$E:$E,0))),"")</f>
        <v/>
      </c>
      <c r="Y54" s="10" t="str">
        <f aca="false">IFERROR(1/(1/INDEX(VMMC!$AA:$AA,MATCH($E54,VMMC!$E:$E,0))),"")</f>
        <v/>
      </c>
      <c r="Z54" s="10" t="n">
        <f aca="false">IFERROR(1/(1/(SUM($U54)-SUM($V54:$Y54))),"")</f>
        <v>-99</v>
      </c>
    </row>
    <row r="55" customFormat="false" ht="15" hidden="false" customHeight="false" outlineLevel="0" collapsed="false">
      <c r="A55" s="0" t="str">
        <f aca="false">INDEX(Prioritization!$D:$D,MATCH($B55,Prioritization!$A:$A,0))</f>
        <v>INVALID</v>
      </c>
      <c r="B55" s="0" t="s">
        <v>197</v>
      </c>
      <c r="C55" s="0" t="s">
        <v>365</v>
      </c>
      <c r="D55" s="0" t="s">
        <v>30</v>
      </c>
      <c r="E55" s="0" t="str">
        <f aca="false">B55&amp;"|"&amp;C55&amp;"|"&amp;D55</f>
        <v>Kasungu District [JQKLKuVuY61]|15-24|Female</v>
      </c>
      <c r="F55" s="10"/>
      <c r="G55" s="88" t="n">
        <f aca="false">0</f>
        <v>0</v>
      </c>
      <c r="H55" s="39" t="str">
        <f aca="false">IF(SUM($F55)=0,"",ROUND($F55*(1+$G55),0))</f>
        <v/>
      </c>
      <c r="I55" s="10"/>
      <c r="J55" s="88"/>
      <c r="K55" s="88" t="str">
        <f aca="false">IF($J55="","",$J55)</f>
        <v/>
      </c>
      <c r="L55" s="88"/>
      <c r="M55" s="88" t="str">
        <f aca="false">IF($L55="","",$L55)</f>
        <v/>
      </c>
      <c r="N55" s="10" t="str">
        <f aca="false">$H55</f>
        <v/>
      </c>
      <c r="O55" s="39" t="str">
        <f aca="false">IF(SUM($N55)=0,"",IF(AND(SUM($N55)&gt;0,$K55=""),"ENTER KNOWN POSITIVITY RATE",ROUND($N55*$K55,0)))</f>
        <v/>
      </c>
      <c r="P55" s="39" t="str">
        <f aca="false">IF(SUM($N55)=0,"",IF(AND((SUM($N55)-SUM($O55))&gt;0,$M55=""),"ENTER YIELD RATE",ROUND(($N55-SUM($O55))*$M55,0)))</f>
        <v/>
      </c>
      <c r="Q55" s="39" t="str">
        <f aca="false">IF(SUM($N55)=0,"",$N55-SUM($O55)-SUM($P55))</f>
        <v/>
      </c>
      <c r="R55" s="88" t="str">
        <f aca="false">IF(SUM($P55)=0,"",INDEX(Cascade!$BG:$BG,MATCH($E55,Cascade!$E:$E,0)))</f>
        <v/>
      </c>
      <c r="S55" s="39" t="str">
        <f aca="false">$O55</f>
        <v/>
      </c>
      <c r="T55" s="39" t="str">
        <f aca="false">IF(SUM($P55)=0,"",IF(AND($R55="",SUM($P55)&gt;0),"&lt;- Enter Linkage Rate",ROUND($P55*$R55,0)))</f>
        <v/>
      </c>
      <c r="U55" s="10" t="str">
        <f aca="false">IFERROR(1/(1/INDEX(Cascade!$BH:$BH,MATCH($E55,Cascade!$E:$E,0))),"")</f>
        <v/>
      </c>
      <c r="V55" s="10" t="str">
        <f aca="false">IF(SUM($P55)=0,"",$P55)</f>
        <v/>
      </c>
      <c r="W55" s="10" t="str">
        <f aca="false">IFERROR(1/(1/INDEX(PMTCT!$AC:$AC,MATCH($E55,PMTCT!$E:$E,0))),"")</f>
        <v/>
      </c>
      <c r="X55" s="10" t="str">
        <f aca="false">IFERROR(1/(1/INDEX(PMTCT!$AS:$AS,MATCH($E55,PMTCT!$E:$E,0))),"")</f>
        <v/>
      </c>
      <c r="Y55" s="10" t="str">
        <f aca="false">IFERROR(1/(1/INDEX(VMMC!$AA:$AA,MATCH($E55,VMMC!$E:$E,0))),"")</f>
        <v/>
      </c>
      <c r="Z55" s="10" t="str">
        <f aca="false">IFERROR(1/(1/(SUM($U55)-SUM($V55:$Y55))),"")</f>
        <v/>
      </c>
    </row>
    <row r="56" customFormat="false" ht="15" hidden="false" customHeight="false" outlineLevel="0" collapsed="false">
      <c r="A56" s="0" t="str">
        <f aca="false">INDEX(Prioritization!$D:$D,MATCH($B56,Prioritization!$A:$A,0))</f>
        <v>INVALID</v>
      </c>
      <c r="B56" s="0" t="s">
        <v>197</v>
      </c>
      <c r="C56" s="0" t="s">
        <v>365</v>
      </c>
      <c r="D56" s="0" t="s">
        <v>48</v>
      </c>
      <c r="E56" s="0" t="str">
        <f aca="false">B56&amp;"|"&amp;C56&amp;"|"&amp;D56</f>
        <v>Kasungu District [JQKLKuVuY61]|15-24|Male</v>
      </c>
      <c r="F56" s="10"/>
      <c r="G56" s="88" t="n">
        <f aca="false">0</f>
        <v>0</v>
      </c>
      <c r="H56" s="39" t="str">
        <f aca="false">IF(SUM($F56)=0,"",ROUND($F56*(1+$G56),0))</f>
        <v/>
      </c>
      <c r="I56" s="10"/>
      <c r="J56" s="88"/>
      <c r="K56" s="88" t="str">
        <f aca="false">IF($J56="","",$J56)</f>
        <v/>
      </c>
      <c r="L56" s="88"/>
      <c r="M56" s="88" t="str">
        <f aca="false">IF($L56="","",$L56)</f>
        <v/>
      </c>
      <c r="N56" s="10" t="str">
        <f aca="false">$H56</f>
        <v/>
      </c>
      <c r="O56" s="39" t="str">
        <f aca="false">IF(SUM($N56)=0,"",IF(AND(SUM($N56)&gt;0,$K56=""),"ENTER KNOWN POSITIVITY RATE",ROUND($N56*$K56,0)))</f>
        <v/>
      </c>
      <c r="P56" s="39" t="str">
        <f aca="false">IF(SUM($N56)=0,"",IF(AND((SUM($N56)-SUM($O56))&gt;0,$M56=""),"ENTER YIELD RATE",ROUND(($N56-SUM($O56))*$M56,0)))</f>
        <v/>
      </c>
      <c r="Q56" s="39" t="str">
        <f aca="false">IF(SUM($N56)=0,"",$N56-SUM($O56)-SUM($P56))</f>
        <v/>
      </c>
      <c r="R56" s="88" t="str">
        <f aca="false">IF(SUM($P56)=0,"",INDEX(Cascade!$BG:$BG,MATCH($E56,Cascade!$E:$E,0)))</f>
        <v/>
      </c>
      <c r="S56" s="39" t="str">
        <f aca="false">$O56</f>
        <v/>
      </c>
      <c r="T56" s="39" t="str">
        <f aca="false">IF(SUM($P56)=0,"",IF(AND($R56="",SUM($P56)&gt;0),"&lt;- Enter Linkage Rate",ROUND($P56*$R56,0)))</f>
        <v/>
      </c>
      <c r="U56" s="10" t="str">
        <f aca="false">IFERROR(1/(1/INDEX(Cascade!$BH:$BH,MATCH($E56,Cascade!$E:$E,0))),"")</f>
        <v/>
      </c>
      <c r="V56" s="10" t="str">
        <f aca="false">IF(SUM($P56)=0,"",$P56)</f>
        <v/>
      </c>
      <c r="W56" s="10" t="str">
        <f aca="false">IFERROR(1/(1/INDEX(PMTCT!$AC:$AC,MATCH($E56,PMTCT!$E:$E,0))),"")</f>
        <v/>
      </c>
      <c r="X56" s="10" t="str">
        <f aca="false">IFERROR(1/(1/INDEX(PMTCT!$AS:$AS,MATCH($E56,PMTCT!$E:$E,0))),"")</f>
        <v/>
      </c>
      <c r="Y56" s="10" t="str">
        <f aca="false">IFERROR(1/(1/INDEX(VMMC!$AA:$AA,MATCH($E56,VMMC!$E:$E,0))),"")</f>
        <v/>
      </c>
      <c r="Z56" s="10" t="str">
        <f aca="false">IFERROR(1/(1/(SUM($U56)-SUM($V56:$Y56))),"")</f>
        <v/>
      </c>
    </row>
    <row r="57" customFormat="false" ht="15" hidden="false" customHeight="false" outlineLevel="0" collapsed="false">
      <c r="A57" s="0" t="str">
        <f aca="false">INDEX(Prioritization!$D:$D,MATCH($B57,Prioritization!$A:$A,0))</f>
        <v>INVALID</v>
      </c>
      <c r="B57" s="0" t="s">
        <v>197</v>
      </c>
      <c r="C57" s="0" t="s">
        <v>366</v>
      </c>
      <c r="D57" s="0" t="s">
        <v>30</v>
      </c>
      <c r="E57" s="0" t="str">
        <f aca="false">B57&amp;"|"&amp;C57&amp;"|"&amp;D57</f>
        <v>Kasungu District [JQKLKuVuY61]|25-34|Female</v>
      </c>
      <c r="F57" s="10"/>
      <c r="G57" s="88" t="n">
        <f aca="false">0</f>
        <v>0</v>
      </c>
      <c r="H57" s="39" t="str">
        <f aca="false">IF(SUM($F57)=0,"",ROUND($F57*(1+$G57),0))</f>
        <v/>
      </c>
      <c r="I57" s="10"/>
      <c r="J57" s="88"/>
      <c r="K57" s="88" t="str">
        <f aca="false">IF($J57="","",$J57)</f>
        <v/>
      </c>
      <c r="L57" s="88"/>
      <c r="M57" s="88" t="str">
        <f aca="false">IF($L57="","",$L57)</f>
        <v/>
      </c>
      <c r="N57" s="10" t="str">
        <f aca="false">$H57</f>
        <v/>
      </c>
      <c r="O57" s="39" t="str">
        <f aca="false">IF(SUM($N57)=0,"",IF(AND(SUM($N57)&gt;0,$K57=""),"ENTER KNOWN POSITIVITY RATE",ROUND($N57*$K57,0)))</f>
        <v/>
      </c>
      <c r="P57" s="39" t="str">
        <f aca="false">IF(SUM($N57)=0,"",IF(AND((SUM($N57)-SUM($O57))&gt;0,$M57=""),"ENTER YIELD RATE",ROUND(($N57-SUM($O57))*$M57,0)))</f>
        <v/>
      </c>
      <c r="Q57" s="39" t="str">
        <f aca="false">IF(SUM($N57)=0,"",$N57-SUM($O57)-SUM($P57))</f>
        <v/>
      </c>
      <c r="R57" s="88" t="str">
        <f aca="false">IF(SUM($P57)=0,"",INDEX(Cascade!$BG:$BG,MATCH($E57,Cascade!$E:$E,0)))</f>
        <v/>
      </c>
      <c r="S57" s="39" t="str">
        <f aca="false">$O57</f>
        <v/>
      </c>
      <c r="T57" s="39" t="str">
        <f aca="false">IF(SUM($P57)=0,"",IF(AND($R57="",SUM($P57)&gt;0),"&lt;- Enter Linkage Rate",ROUND($P57*$R57,0)))</f>
        <v/>
      </c>
      <c r="U57" s="10" t="str">
        <f aca="false">IFERROR(1/(1/INDEX(Cascade!$BH:$BH,MATCH($E57,Cascade!$E:$E,0))),"")</f>
        <v/>
      </c>
      <c r="V57" s="10" t="str">
        <f aca="false">IF(SUM($P57)=0,"",$P57)</f>
        <v/>
      </c>
      <c r="W57" s="10" t="str">
        <f aca="false">IFERROR(1/(1/INDEX(PMTCT!$AC:$AC,MATCH($E57,PMTCT!$E:$E,0))),"")</f>
        <v/>
      </c>
      <c r="X57" s="10" t="str">
        <f aca="false">IFERROR(1/(1/INDEX(PMTCT!$AS:$AS,MATCH($E57,PMTCT!$E:$E,0))),"")</f>
        <v/>
      </c>
      <c r="Y57" s="10" t="str">
        <f aca="false">IFERROR(1/(1/INDEX(VMMC!$AA:$AA,MATCH($E57,VMMC!$E:$E,0))),"")</f>
        <v/>
      </c>
      <c r="Z57" s="10" t="str">
        <f aca="false">IFERROR(1/(1/(SUM($U57)-SUM($V57:$Y57))),"")</f>
        <v/>
      </c>
    </row>
    <row r="58" customFormat="false" ht="15" hidden="false" customHeight="false" outlineLevel="0" collapsed="false">
      <c r="A58" s="0" t="str">
        <f aca="false">INDEX(Prioritization!$D:$D,MATCH($B58,Prioritization!$A:$A,0))</f>
        <v>INVALID</v>
      </c>
      <c r="B58" s="0" t="s">
        <v>197</v>
      </c>
      <c r="C58" s="0" t="s">
        <v>366</v>
      </c>
      <c r="D58" s="0" t="s">
        <v>48</v>
      </c>
      <c r="E58" s="0" t="str">
        <f aca="false">B58&amp;"|"&amp;C58&amp;"|"&amp;D58</f>
        <v>Kasungu District [JQKLKuVuY61]|25-34|Male</v>
      </c>
      <c r="F58" s="10"/>
      <c r="G58" s="88" t="n">
        <f aca="false">0</f>
        <v>0</v>
      </c>
      <c r="H58" s="39" t="str">
        <f aca="false">IF(SUM($F58)=0,"",ROUND($F58*(1+$G58),0))</f>
        <v/>
      </c>
      <c r="I58" s="10"/>
      <c r="J58" s="88"/>
      <c r="K58" s="88" t="str">
        <f aca="false">IF($J58="","",$J58)</f>
        <v/>
      </c>
      <c r="L58" s="88"/>
      <c r="M58" s="88" t="str">
        <f aca="false">IF($L58="","",$L58)</f>
        <v/>
      </c>
      <c r="N58" s="10" t="str">
        <f aca="false">$H58</f>
        <v/>
      </c>
      <c r="O58" s="39" t="str">
        <f aca="false">IF(SUM($N58)=0,"",IF(AND(SUM($N58)&gt;0,$K58=""),"ENTER KNOWN POSITIVITY RATE",ROUND($N58*$K58,0)))</f>
        <v/>
      </c>
      <c r="P58" s="39" t="str">
        <f aca="false">IF(SUM($N58)=0,"",IF(AND((SUM($N58)-SUM($O58))&gt;0,$M58=""),"ENTER YIELD RATE",ROUND(($N58-SUM($O58))*$M58,0)))</f>
        <v/>
      </c>
      <c r="Q58" s="39" t="str">
        <f aca="false">IF(SUM($N58)=0,"",$N58-SUM($O58)-SUM($P58))</f>
        <v/>
      </c>
      <c r="R58" s="88" t="str">
        <f aca="false">IF(SUM($P58)=0,"",INDEX(Cascade!$BG:$BG,MATCH($E58,Cascade!$E:$E,0)))</f>
        <v/>
      </c>
      <c r="S58" s="39" t="str">
        <f aca="false">$O58</f>
        <v/>
      </c>
      <c r="T58" s="39" t="str">
        <f aca="false">IF(SUM($P58)=0,"",IF(AND($R58="",SUM($P58)&gt;0),"&lt;- Enter Linkage Rate",ROUND($P58*$R58,0)))</f>
        <v/>
      </c>
      <c r="U58" s="10" t="str">
        <f aca="false">IFERROR(1/(1/INDEX(Cascade!$BH:$BH,MATCH($E58,Cascade!$E:$E,0))),"")</f>
        <v/>
      </c>
      <c r="V58" s="10" t="str">
        <f aca="false">IF(SUM($P58)=0,"",$P58)</f>
        <v/>
      </c>
      <c r="W58" s="10" t="str">
        <f aca="false">IFERROR(1/(1/INDEX(PMTCT!$AC:$AC,MATCH($E58,PMTCT!$E:$E,0))),"")</f>
        <v/>
      </c>
      <c r="X58" s="10" t="str">
        <f aca="false">IFERROR(1/(1/INDEX(PMTCT!$AS:$AS,MATCH($E58,PMTCT!$E:$E,0))),"")</f>
        <v/>
      </c>
      <c r="Y58" s="10" t="str">
        <f aca="false">IFERROR(1/(1/INDEX(VMMC!$AA:$AA,MATCH($E58,VMMC!$E:$E,0))),"")</f>
        <v/>
      </c>
      <c r="Z58" s="10" t="str">
        <f aca="false">IFERROR(1/(1/(SUM($U58)-SUM($V58:$Y58))),"")</f>
        <v/>
      </c>
    </row>
    <row r="59" customFormat="false" ht="15" hidden="false" customHeight="false" outlineLevel="0" collapsed="false">
      <c r="A59" s="0" t="str">
        <f aca="false">INDEX(Prioritization!$D:$D,MATCH($B59,Prioritization!$A:$A,0))</f>
        <v>INVALID</v>
      </c>
      <c r="B59" s="0" t="s">
        <v>197</v>
      </c>
      <c r="C59" s="0" t="s">
        <v>367</v>
      </c>
      <c r="D59" s="0" t="s">
        <v>30</v>
      </c>
      <c r="E59" s="0" t="str">
        <f aca="false">B59&amp;"|"&amp;C59&amp;"|"&amp;D59</f>
        <v>Kasungu District [JQKLKuVuY61]|35-49|Female</v>
      </c>
      <c r="F59" s="10"/>
      <c r="G59" s="88" t="n">
        <f aca="false">0</f>
        <v>0</v>
      </c>
      <c r="H59" s="39" t="str">
        <f aca="false">IF(SUM($F59)=0,"",ROUND($F59*(1+$G59),0))</f>
        <v/>
      </c>
      <c r="I59" s="10"/>
      <c r="J59" s="88"/>
      <c r="K59" s="88" t="str">
        <f aca="false">IF($J59="","",$J59)</f>
        <v/>
      </c>
      <c r="L59" s="88"/>
      <c r="M59" s="88" t="str">
        <f aca="false">IF($L59="","",$L59)</f>
        <v/>
      </c>
      <c r="N59" s="10" t="str">
        <f aca="false">$H59</f>
        <v/>
      </c>
      <c r="O59" s="39" t="str">
        <f aca="false">IF(SUM($N59)=0,"",IF(AND(SUM($N59)&gt;0,$K59=""),"ENTER KNOWN POSITIVITY RATE",ROUND($N59*$K59,0)))</f>
        <v/>
      </c>
      <c r="P59" s="39" t="str">
        <f aca="false">IF(SUM($N59)=0,"",IF(AND((SUM($N59)-SUM($O59))&gt;0,$M59=""),"ENTER YIELD RATE",ROUND(($N59-SUM($O59))*$M59,0)))</f>
        <v/>
      </c>
      <c r="Q59" s="39" t="str">
        <f aca="false">IF(SUM($N59)=0,"",$N59-SUM($O59)-SUM($P59))</f>
        <v/>
      </c>
      <c r="R59" s="88" t="str">
        <f aca="false">IF(SUM($P59)=0,"",INDEX(Cascade!$BG:$BG,MATCH($E59,Cascade!$E:$E,0)))</f>
        <v/>
      </c>
      <c r="S59" s="39" t="str">
        <f aca="false">$O59</f>
        <v/>
      </c>
      <c r="T59" s="39" t="str">
        <f aca="false">IF(SUM($P59)=0,"",IF(AND($R59="",SUM($P59)&gt;0),"&lt;- Enter Linkage Rate",ROUND($P59*$R59,0)))</f>
        <v/>
      </c>
      <c r="U59" s="10" t="str">
        <f aca="false">IFERROR(1/(1/INDEX(Cascade!$BH:$BH,MATCH($E59,Cascade!$E:$E,0))),"")</f>
        <v/>
      </c>
      <c r="V59" s="10" t="str">
        <f aca="false">IF(SUM($P59)=0,"",$P59)</f>
        <v/>
      </c>
      <c r="W59" s="10" t="str">
        <f aca="false">IFERROR(1/(1/INDEX(PMTCT!$AC:$AC,MATCH($E59,PMTCT!$E:$E,0))),"")</f>
        <v/>
      </c>
      <c r="X59" s="10" t="str">
        <f aca="false">IFERROR(1/(1/INDEX(PMTCT!$AS:$AS,MATCH($E59,PMTCT!$E:$E,0))),"")</f>
        <v/>
      </c>
      <c r="Y59" s="10" t="str">
        <f aca="false">IFERROR(1/(1/INDEX(VMMC!$AA:$AA,MATCH($E59,VMMC!$E:$E,0))),"")</f>
        <v/>
      </c>
      <c r="Z59" s="10" t="str">
        <f aca="false">IFERROR(1/(1/(SUM($U59)-SUM($V59:$Y59))),"")</f>
        <v/>
      </c>
    </row>
    <row r="60" customFormat="false" ht="15" hidden="false" customHeight="false" outlineLevel="0" collapsed="false">
      <c r="A60" s="0" t="str">
        <f aca="false">INDEX(Prioritization!$D:$D,MATCH($B60,Prioritization!$A:$A,0))</f>
        <v>INVALID</v>
      </c>
      <c r="B60" s="0" t="s">
        <v>197</v>
      </c>
      <c r="C60" s="0" t="s">
        <v>367</v>
      </c>
      <c r="D60" s="0" t="s">
        <v>48</v>
      </c>
      <c r="E60" s="0" t="str">
        <f aca="false">B60&amp;"|"&amp;C60&amp;"|"&amp;D60</f>
        <v>Kasungu District [JQKLKuVuY61]|35-49|Male</v>
      </c>
      <c r="F60" s="10"/>
      <c r="G60" s="88" t="n">
        <f aca="false">0</f>
        <v>0</v>
      </c>
      <c r="H60" s="39" t="str">
        <f aca="false">IF(SUM($F60)=0,"",ROUND($F60*(1+$G60),0))</f>
        <v/>
      </c>
      <c r="I60" s="10"/>
      <c r="J60" s="88"/>
      <c r="K60" s="88" t="str">
        <f aca="false">IF($J60="","",$J60)</f>
        <v/>
      </c>
      <c r="L60" s="88"/>
      <c r="M60" s="88" t="str">
        <f aca="false">IF($L60="","",$L60)</f>
        <v/>
      </c>
      <c r="N60" s="10" t="str">
        <f aca="false">$H60</f>
        <v/>
      </c>
      <c r="O60" s="39" t="str">
        <f aca="false">IF(SUM($N60)=0,"",IF(AND(SUM($N60)&gt;0,$K60=""),"ENTER KNOWN POSITIVITY RATE",ROUND($N60*$K60,0)))</f>
        <v/>
      </c>
      <c r="P60" s="39" t="str">
        <f aca="false">IF(SUM($N60)=0,"",IF(AND((SUM($N60)-SUM($O60))&gt;0,$M60=""),"ENTER YIELD RATE",ROUND(($N60-SUM($O60))*$M60,0)))</f>
        <v/>
      </c>
      <c r="Q60" s="39" t="str">
        <f aca="false">IF(SUM($N60)=0,"",$N60-SUM($O60)-SUM($P60))</f>
        <v/>
      </c>
      <c r="R60" s="88" t="str">
        <f aca="false">IF(SUM($P60)=0,"",INDEX(Cascade!$BG:$BG,MATCH($E60,Cascade!$E:$E,0)))</f>
        <v/>
      </c>
      <c r="S60" s="39" t="str">
        <f aca="false">$O60</f>
        <v/>
      </c>
      <c r="T60" s="39" t="str">
        <f aca="false">IF(SUM($P60)=0,"",IF(AND($R60="",SUM($P60)&gt;0),"&lt;- Enter Linkage Rate",ROUND($P60*$R60,0)))</f>
        <v/>
      </c>
      <c r="U60" s="10" t="str">
        <f aca="false">IFERROR(1/(1/INDEX(Cascade!$BH:$BH,MATCH($E60,Cascade!$E:$E,0))),"")</f>
        <v/>
      </c>
      <c r="V60" s="10" t="str">
        <f aca="false">IF(SUM($P60)=0,"",$P60)</f>
        <v/>
      </c>
      <c r="W60" s="10" t="str">
        <f aca="false">IFERROR(1/(1/INDEX(PMTCT!$AC:$AC,MATCH($E60,PMTCT!$E:$E,0))),"")</f>
        <v/>
      </c>
      <c r="X60" s="10" t="str">
        <f aca="false">IFERROR(1/(1/INDEX(PMTCT!$AS:$AS,MATCH($E60,PMTCT!$E:$E,0))),"")</f>
        <v/>
      </c>
      <c r="Y60" s="10" t="str">
        <f aca="false">IFERROR(1/(1/INDEX(VMMC!$AA:$AA,MATCH($E60,VMMC!$E:$E,0))),"")</f>
        <v/>
      </c>
      <c r="Z60" s="10" t="str">
        <f aca="false">IFERROR(1/(1/(SUM($U60)-SUM($V60:$Y60))),"")</f>
        <v/>
      </c>
    </row>
    <row r="61" customFormat="false" ht="15" hidden="false" customHeight="false" outlineLevel="0" collapsed="false">
      <c r="A61" s="0" t="str">
        <f aca="false">INDEX(Prioritization!$D:$D,MATCH($B61,Prioritization!$A:$A,0))</f>
        <v>INVALID</v>
      </c>
      <c r="B61" s="0" t="s">
        <v>197</v>
      </c>
      <c r="C61" s="0" t="s">
        <v>368</v>
      </c>
      <c r="D61" s="0" t="s">
        <v>30</v>
      </c>
      <c r="E61" s="0" t="str">
        <f aca="false">B61&amp;"|"&amp;C61&amp;"|"&amp;D61</f>
        <v>Kasungu District [JQKLKuVuY61]|50+|Female</v>
      </c>
      <c r="F61" s="10"/>
      <c r="G61" s="88" t="n">
        <f aca="false">0</f>
        <v>0</v>
      </c>
      <c r="H61" s="39" t="str">
        <f aca="false">IF(SUM($F61)=0,"",ROUND($F61*(1+$G61),0))</f>
        <v/>
      </c>
      <c r="I61" s="10"/>
      <c r="J61" s="88"/>
      <c r="K61" s="88" t="str">
        <f aca="false">IF($J61="","",$J61)</f>
        <v/>
      </c>
      <c r="L61" s="88"/>
      <c r="M61" s="88" t="str">
        <f aca="false">IF($L61="","",$L61)</f>
        <v/>
      </c>
      <c r="N61" s="10" t="str">
        <f aca="false">$H61</f>
        <v/>
      </c>
      <c r="O61" s="39" t="str">
        <f aca="false">IF(SUM($N61)=0,"",IF(AND(SUM($N61)&gt;0,$K61=""),"ENTER KNOWN POSITIVITY RATE",ROUND($N61*$K61,0)))</f>
        <v/>
      </c>
      <c r="P61" s="39" t="str">
        <f aca="false">IF(SUM($N61)=0,"",IF(AND((SUM($N61)-SUM($O61))&gt;0,$M61=""),"ENTER YIELD RATE",ROUND(($N61-SUM($O61))*$M61,0)))</f>
        <v/>
      </c>
      <c r="Q61" s="39" t="str">
        <f aca="false">IF(SUM($N61)=0,"",$N61-SUM($O61)-SUM($P61))</f>
        <v/>
      </c>
      <c r="R61" s="88" t="str">
        <f aca="false">IF(SUM($P61)=0,"",INDEX(Cascade!$BG:$BG,MATCH($E61,Cascade!$E:$E,0)))</f>
        <v/>
      </c>
      <c r="S61" s="39" t="str">
        <f aca="false">$O61</f>
        <v/>
      </c>
      <c r="T61" s="39" t="str">
        <f aca="false">IF(SUM($P61)=0,"",IF(AND($R61="",SUM($P61)&gt;0),"&lt;- Enter Linkage Rate",ROUND($P61*$R61,0)))</f>
        <v/>
      </c>
      <c r="U61" s="10" t="str">
        <f aca="false">IFERROR(1/(1/INDEX(Cascade!$BH:$BH,MATCH($E61,Cascade!$E:$E,0))),"")</f>
        <v/>
      </c>
      <c r="V61" s="10" t="str">
        <f aca="false">IF(SUM($P61)=0,"",$P61)</f>
        <v/>
      </c>
      <c r="W61" s="10" t="str">
        <f aca="false">IFERROR(1/(1/INDEX(PMTCT!$AC:$AC,MATCH($E61,PMTCT!$E:$E,0))),"")</f>
        <v/>
      </c>
      <c r="X61" s="10" t="str">
        <f aca="false">IFERROR(1/(1/INDEX(PMTCT!$AS:$AS,MATCH($E61,PMTCT!$E:$E,0))),"")</f>
        <v/>
      </c>
      <c r="Y61" s="10" t="str">
        <f aca="false">IFERROR(1/(1/INDEX(VMMC!$AA:$AA,MATCH($E61,VMMC!$E:$E,0))),"")</f>
        <v/>
      </c>
      <c r="Z61" s="10" t="str">
        <f aca="false">IFERROR(1/(1/(SUM($U61)-SUM($V61:$Y61))),"")</f>
        <v/>
      </c>
    </row>
    <row r="62" customFormat="false" ht="15" hidden="false" customHeight="false" outlineLevel="0" collapsed="false">
      <c r="A62" s="0" t="str">
        <f aca="false">INDEX(Prioritization!$D:$D,MATCH($B62,Prioritization!$A:$A,0))</f>
        <v>INVALID</v>
      </c>
      <c r="B62" s="0" t="s">
        <v>197</v>
      </c>
      <c r="C62" s="0" t="s">
        <v>368</v>
      </c>
      <c r="D62" s="0" t="s">
        <v>48</v>
      </c>
      <c r="E62" s="0" t="str">
        <f aca="false">B62&amp;"|"&amp;C62&amp;"|"&amp;D62</f>
        <v>Kasungu District [JQKLKuVuY61]|50+|Male</v>
      </c>
      <c r="F62" s="10"/>
      <c r="G62" s="88" t="n">
        <f aca="false">0</f>
        <v>0</v>
      </c>
      <c r="H62" s="39" t="str">
        <f aca="false">IF(SUM($F62)=0,"",ROUND($F62*(1+$G62),0))</f>
        <v/>
      </c>
      <c r="I62" s="10"/>
      <c r="J62" s="88"/>
      <c r="K62" s="88" t="str">
        <f aca="false">IF($J62="","",$J62)</f>
        <v/>
      </c>
      <c r="L62" s="88"/>
      <c r="M62" s="88" t="str">
        <f aca="false">IF($L62="","",$L62)</f>
        <v/>
      </c>
      <c r="N62" s="10" t="str">
        <f aca="false">$H62</f>
        <v/>
      </c>
      <c r="O62" s="39" t="str">
        <f aca="false">IF(SUM($N62)=0,"",IF(AND(SUM($N62)&gt;0,$K62=""),"ENTER KNOWN POSITIVITY RATE",ROUND($N62*$K62,0)))</f>
        <v/>
      </c>
      <c r="P62" s="39" t="str">
        <f aca="false">IF(SUM($N62)=0,"",IF(AND((SUM($N62)-SUM($O62))&gt;0,$M62=""),"ENTER YIELD RATE",ROUND(($N62-SUM($O62))*$M62,0)))</f>
        <v/>
      </c>
      <c r="Q62" s="39" t="str">
        <f aca="false">IF(SUM($N62)=0,"",$N62-SUM($O62)-SUM($P62))</f>
        <v/>
      </c>
      <c r="R62" s="88" t="str">
        <f aca="false">IF(SUM($P62)=0,"",INDEX(Cascade!$BG:$BG,MATCH($E62,Cascade!$E:$E,0)))</f>
        <v/>
      </c>
      <c r="S62" s="39" t="str">
        <f aca="false">$O62</f>
        <v/>
      </c>
      <c r="T62" s="39" t="str">
        <f aca="false">IF(SUM($P62)=0,"",IF(AND($R62="",SUM($P62)&gt;0),"&lt;- Enter Linkage Rate",ROUND($P62*$R62,0)))</f>
        <v/>
      </c>
      <c r="U62" s="10" t="str">
        <f aca="false">IFERROR(1/(1/INDEX(Cascade!$BH:$BH,MATCH($E62,Cascade!$E:$E,0))),"")</f>
        <v/>
      </c>
      <c r="V62" s="10" t="str">
        <f aca="false">IF(SUM($P62)=0,"",$P62)</f>
        <v/>
      </c>
      <c r="W62" s="10" t="str">
        <f aca="false">IFERROR(1/(1/INDEX(PMTCT!$AC:$AC,MATCH($E62,PMTCT!$E:$E,0))),"")</f>
        <v/>
      </c>
      <c r="X62" s="10" t="str">
        <f aca="false">IFERROR(1/(1/INDEX(PMTCT!$AS:$AS,MATCH($E62,PMTCT!$E:$E,0))),"")</f>
        <v/>
      </c>
      <c r="Y62" s="10" t="str">
        <f aca="false">IFERROR(1/(1/INDEX(VMMC!$AA:$AA,MATCH($E62,VMMC!$E:$E,0))),"")</f>
        <v/>
      </c>
      <c r="Z62" s="10" t="str">
        <f aca="false">IFERROR(1/(1/(SUM($U62)-SUM($V62:$Y62))),"")</f>
        <v/>
      </c>
    </row>
    <row r="63" customFormat="false" ht="15" hidden="false" customHeight="false" outlineLevel="0" collapsed="false">
      <c r="A63" s="0" t="str">
        <f aca="false">INDEX(Prioritization!$D:$D,MATCH($B63,Prioritization!$A:$A,0))</f>
        <v>1 - Scale-up: Saturation</v>
      </c>
      <c r="B63" s="0" t="s">
        <v>198</v>
      </c>
      <c r="C63" s="0" t="s">
        <v>363</v>
      </c>
      <c r="D63" s="0" t="s">
        <v>30</v>
      </c>
      <c r="E63" s="0" t="str">
        <f aca="false">B63&amp;"|"&amp;C63&amp;"|"&amp;D63</f>
        <v>Lilongwe District [ScR9iFKAasW]|01-09|Female</v>
      </c>
      <c r="F63" s="10"/>
      <c r="G63" s="88" t="n">
        <f aca="false">0</f>
        <v>0</v>
      </c>
      <c r="H63" s="39" t="str">
        <f aca="false">IF(SUM($F63)=0,"",ROUND($F63*(1+$G63),0))</f>
        <v/>
      </c>
      <c r="I63" s="10"/>
      <c r="J63" s="88"/>
      <c r="K63" s="88" t="str">
        <f aca="false">IF($J63="","",$J63)</f>
        <v/>
      </c>
      <c r="L63" s="88"/>
      <c r="M63" s="88" t="str">
        <f aca="false">IF($L63="","",$L63)</f>
        <v/>
      </c>
      <c r="N63" s="10" t="str">
        <f aca="false">$H63</f>
        <v/>
      </c>
      <c r="O63" s="39" t="str">
        <f aca="false">IF(SUM($N63)=0,"",IF(AND(SUM($N63)&gt;0,$K63=""),"ENTER KNOWN POSITIVITY RATE",ROUND($N63*$K63,0)))</f>
        <v/>
      </c>
      <c r="P63" s="39" t="str">
        <f aca="false">IF(SUM($N63)=0,"",IF(AND((SUM($N63)-SUM($O63))&gt;0,$M63=""),"ENTER YIELD RATE",ROUND(($N63-SUM($O63))*$M63,0)))</f>
        <v/>
      </c>
      <c r="Q63" s="39" t="str">
        <f aca="false">IF(SUM($N63)=0,"",$N63-SUM($O63)-SUM($P63))</f>
        <v/>
      </c>
      <c r="R63" s="88" t="str">
        <f aca="false">IF(SUM($P63)=0,"",INDEX(Cascade!$BG:$BG,MATCH($E63,Cascade!$E:$E,0)))</f>
        <v/>
      </c>
      <c r="S63" s="39" t="str">
        <f aca="false">$O63</f>
        <v/>
      </c>
      <c r="T63" s="39" t="str">
        <f aca="false">IF(SUM($P63)=0,"",IF(AND($R63="",SUM($P63)&gt;0),"&lt;- Enter Linkage Rate",ROUND($P63*$R63,0)))</f>
        <v/>
      </c>
      <c r="U63" s="10" t="str">
        <f aca="false">IFERROR(1/(1/INDEX(Cascade!$BH:$BH,MATCH($E63,Cascade!$E:$E,0))),"")</f>
        <v/>
      </c>
      <c r="V63" s="10" t="str">
        <f aca="false">IF(SUM($P63)=0,"",$P63)</f>
        <v/>
      </c>
      <c r="W63" s="10" t="str">
        <f aca="false">IFERROR(1/(1/INDEX(PMTCT!$AC:$AC,MATCH($E63,PMTCT!$E:$E,0))),"")</f>
        <v/>
      </c>
      <c r="X63" s="10" t="str">
        <f aca="false">IFERROR(1/(1/INDEX(PMTCT!$AS:$AS,MATCH($E63,PMTCT!$E:$E,0))),"")</f>
        <v/>
      </c>
      <c r="Y63" s="10" t="str">
        <f aca="false">IFERROR(1/(1/INDEX(VMMC!$AA:$AA,MATCH($E63,VMMC!$E:$E,0))),"")</f>
        <v/>
      </c>
      <c r="Z63" s="10" t="str">
        <f aca="false">IFERROR(1/(1/(SUM($U63)-SUM($V63:$Y63))),"")</f>
        <v/>
      </c>
    </row>
    <row r="64" customFormat="false" ht="15" hidden="false" customHeight="false" outlineLevel="0" collapsed="false">
      <c r="A64" s="0" t="str">
        <f aca="false">INDEX(Prioritization!$D:$D,MATCH($B64,Prioritization!$A:$A,0))</f>
        <v>1 - Scale-up: Saturation</v>
      </c>
      <c r="B64" s="0" t="s">
        <v>198</v>
      </c>
      <c r="C64" s="0" t="s">
        <v>363</v>
      </c>
      <c r="D64" s="0" t="s">
        <v>48</v>
      </c>
      <c r="E64" s="0" t="str">
        <f aca="false">B64&amp;"|"&amp;C64&amp;"|"&amp;D64</f>
        <v>Lilongwe District [ScR9iFKAasW]|01-09|Male</v>
      </c>
      <c r="F64" s="10"/>
      <c r="G64" s="88" t="n">
        <f aca="false">0</f>
        <v>0</v>
      </c>
      <c r="H64" s="39" t="str">
        <f aca="false">IF(SUM($F64)=0,"",ROUND($F64*(1+$G64),0))</f>
        <v/>
      </c>
      <c r="I64" s="10"/>
      <c r="J64" s="88"/>
      <c r="K64" s="88" t="str">
        <f aca="false">IF($J64="","",$J64)</f>
        <v/>
      </c>
      <c r="L64" s="88"/>
      <c r="M64" s="88" t="str">
        <f aca="false">IF($L64="","",$L64)</f>
        <v/>
      </c>
      <c r="N64" s="10" t="str">
        <f aca="false">$H64</f>
        <v/>
      </c>
      <c r="O64" s="39" t="str">
        <f aca="false">IF(SUM($N64)=0,"",IF(AND(SUM($N64)&gt;0,$K64=""),"ENTER KNOWN POSITIVITY RATE",ROUND($N64*$K64,0)))</f>
        <v/>
      </c>
      <c r="P64" s="39" t="str">
        <f aca="false">IF(SUM($N64)=0,"",IF(AND((SUM($N64)-SUM($O64))&gt;0,$M64=""),"ENTER YIELD RATE",ROUND(($N64-SUM($O64))*$M64,0)))</f>
        <v/>
      </c>
      <c r="Q64" s="39" t="str">
        <f aca="false">IF(SUM($N64)=0,"",$N64-SUM($O64)-SUM($P64))</f>
        <v/>
      </c>
      <c r="R64" s="88" t="str">
        <f aca="false">IF(SUM($P64)=0,"",INDEX(Cascade!$BG:$BG,MATCH($E64,Cascade!$E:$E,0)))</f>
        <v/>
      </c>
      <c r="S64" s="39" t="str">
        <f aca="false">$O64</f>
        <v/>
      </c>
      <c r="T64" s="39" t="str">
        <f aca="false">IF(SUM($P64)=0,"",IF(AND($R64="",SUM($P64)&gt;0),"&lt;- Enter Linkage Rate",ROUND($P64*$R64,0)))</f>
        <v/>
      </c>
      <c r="U64" s="10" t="str">
        <f aca="false">IFERROR(1/(1/INDEX(Cascade!$BH:$BH,MATCH($E64,Cascade!$E:$E,0))),"")</f>
        <v/>
      </c>
      <c r="V64" s="10" t="str">
        <f aca="false">IF(SUM($P64)=0,"",$P64)</f>
        <v/>
      </c>
      <c r="W64" s="10" t="str">
        <f aca="false">IFERROR(1/(1/INDEX(PMTCT!$AC:$AC,MATCH($E64,PMTCT!$E:$E,0))),"")</f>
        <v/>
      </c>
      <c r="X64" s="10" t="str">
        <f aca="false">IFERROR(1/(1/INDEX(PMTCT!$AS:$AS,MATCH($E64,PMTCT!$E:$E,0))),"")</f>
        <v/>
      </c>
      <c r="Y64" s="10" t="str">
        <f aca="false">IFERROR(1/(1/INDEX(VMMC!$AA:$AA,MATCH($E64,VMMC!$E:$E,0))),"")</f>
        <v/>
      </c>
      <c r="Z64" s="10" t="str">
        <f aca="false">IFERROR(1/(1/(SUM($U64)-SUM($V64:$Y64))),"")</f>
        <v/>
      </c>
    </row>
    <row r="65" customFormat="false" ht="15" hidden="false" customHeight="false" outlineLevel="0" collapsed="false">
      <c r="A65" s="0" t="str">
        <f aca="false">INDEX(Prioritization!$D:$D,MATCH($B65,Prioritization!$A:$A,0))</f>
        <v>1 - Scale-up: Saturation</v>
      </c>
      <c r="B65" s="0" t="s">
        <v>198</v>
      </c>
      <c r="C65" s="0" t="s">
        <v>364</v>
      </c>
      <c r="D65" s="0" t="s">
        <v>30</v>
      </c>
      <c r="E65" s="0" t="str">
        <f aca="false">B65&amp;"|"&amp;C65&amp;"|"&amp;D65</f>
        <v>Lilongwe District [ScR9iFKAasW]|10-14|Female</v>
      </c>
      <c r="F65" s="10" t="n">
        <v>8</v>
      </c>
      <c r="G65" s="88" t="n">
        <f aca="false">0</f>
        <v>0</v>
      </c>
      <c r="H65" s="39" t="n">
        <f aca="false">IF(SUM($F65)=0,"",ROUND($F65*(1+$G65),0))</f>
        <v>8</v>
      </c>
      <c r="I65" s="10" t="n">
        <v>1</v>
      </c>
      <c r="J65" s="88"/>
      <c r="K65" s="88" t="str">
        <f aca="false">IF($J65="","",$J65)</f>
        <v/>
      </c>
      <c r="L65" s="88"/>
      <c r="M65" s="88" t="str">
        <f aca="false">IF($L65="","",$L65)</f>
        <v/>
      </c>
      <c r="N65" s="10" t="n">
        <f aca="false">$H65</f>
        <v>8</v>
      </c>
      <c r="O65" s="39" t="str">
        <f aca="false">IF(SUM($N65)=0,"",IF(AND(SUM($N65)&gt;0,$K65=""),"ENTER KNOWN POSITIVITY RATE",ROUND($N65*$K65,0)))</f>
        <v>ENTER KNOWN POSITIVITY RATE</v>
      </c>
      <c r="P65" s="39" t="str">
        <f aca="false">IF(SUM($N65)=0,"",IF(AND((SUM($N65)-SUM($O65))&gt;0,$M65=""),"ENTER YIELD RATE",ROUND(($N65-SUM($O65))*$M65,0)))</f>
        <v>ENTER YIELD RATE</v>
      </c>
      <c r="Q65" s="39" t="n">
        <f aca="false">IF(SUM($N65)=0,"",$N65-SUM($O65)-SUM($P65))</f>
        <v>8</v>
      </c>
      <c r="R65" s="88" t="str">
        <f aca="false">IF(SUM($P65)=0,"",INDEX(Cascade!$BG:$BG,MATCH($E65,Cascade!$E:$E,0)))</f>
        <v/>
      </c>
      <c r="S65" s="39" t="str">
        <f aca="false">$O65</f>
        <v>ENTER KNOWN POSITIVITY RATE</v>
      </c>
      <c r="T65" s="39" t="str">
        <f aca="false">IF(SUM($P65)=0,"",IF(AND($R65="",SUM($P65)&gt;0),"&lt;- Enter Linkage Rate",ROUND($P65*$R65,0)))</f>
        <v/>
      </c>
      <c r="U65" s="10" t="n">
        <f aca="false">IFERROR(1/(1/INDEX(Cascade!$BH:$BH,MATCH($E65,Cascade!$E:$E,0))),"")</f>
        <v>-431</v>
      </c>
      <c r="V65" s="10" t="str">
        <f aca="false">IF(SUM($P65)=0,"",$P65)</f>
        <v/>
      </c>
      <c r="W65" s="10" t="str">
        <f aca="false">IFERROR(1/(1/INDEX(PMTCT!$AC:$AC,MATCH($E65,PMTCT!$E:$E,0))),"")</f>
        <v/>
      </c>
      <c r="X65" s="10" t="n">
        <f aca="false">IFERROR(1/(1/INDEX(PMTCT!$AS:$AS,MATCH($E65,PMTCT!$E:$E,0))),"")</f>
        <v>14</v>
      </c>
      <c r="Y65" s="10" t="str">
        <f aca="false">IFERROR(1/(1/INDEX(VMMC!$AA:$AA,MATCH($E65,VMMC!$E:$E,0))),"")</f>
        <v/>
      </c>
      <c r="Z65" s="10" t="n">
        <f aca="false">IFERROR(1/(1/(SUM($U65)-SUM($V65:$Y65))),"")</f>
        <v>-445</v>
      </c>
    </row>
    <row r="66" customFormat="false" ht="15" hidden="false" customHeight="false" outlineLevel="0" collapsed="false">
      <c r="A66" s="0" t="str">
        <f aca="false">INDEX(Prioritization!$D:$D,MATCH($B66,Prioritization!$A:$A,0))</f>
        <v>1 - Scale-up: Saturation</v>
      </c>
      <c r="B66" s="0" t="s">
        <v>198</v>
      </c>
      <c r="C66" s="0" t="s">
        <v>364</v>
      </c>
      <c r="D66" s="0" t="s">
        <v>48</v>
      </c>
      <c r="E66" s="0" t="str">
        <f aca="false">B66&amp;"|"&amp;C66&amp;"|"&amp;D66</f>
        <v>Lilongwe District [ScR9iFKAasW]|10-14|Male</v>
      </c>
      <c r="F66" s="10" t="n">
        <v>3</v>
      </c>
      <c r="G66" s="88" t="n">
        <f aca="false">0</f>
        <v>0</v>
      </c>
      <c r="H66" s="39" t="n">
        <f aca="false">IF(SUM($F66)=0,"",ROUND($F66*(1+$G66),0))</f>
        <v>3</v>
      </c>
      <c r="I66" s="10" t="n">
        <v>1</v>
      </c>
      <c r="J66" s="88"/>
      <c r="K66" s="88" t="str">
        <f aca="false">IF($J66="","",$J66)</f>
        <v/>
      </c>
      <c r="L66" s="88"/>
      <c r="M66" s="88" t="str">
        <f aca="false">IF($L66="","",$L66)</f>
        <v/>
      </c>
      <c r="N66" s="10" t="n">
        <f aca="false">$H66</f>
        <v>3</v>
      </c>
      <c r="O66" s="39" t="str">
        <f aca="false">IF(SUM($N66)=0,"",IF(AND(SUM($N66)&gt;0,$K66=""),"ENTER KNOWN POSITIVITY RATE",ROUND($N66*$K66,0)))</f>
        <v>ENTER KNOWN POSITIVITY RATE</v>
      </c>
      <c r="P66" s="39" t="str">
        <f aca="false">IF(SUM($N66)=0,"",IF(AND((SUM($N66)-SUM($O66))&gt;0,$M66=""),"ENTER YIELD RATE",ROUND(($N66-SUM($O66))*$M66,0)))</f>
        <v>ENTER YIELD RATE</v>
      </c>
      <c r="Q66" s="39" t="n">
        <f aca="false">IF(SUM($N66)=0,"",$N66-SUM($O66)-SUM($P66))</f>
        <v>3</v>
      </c>
      <c r="R66" s="88" t="str">
        <f aca="false">IF(SUM($P66)=0,"",INDEX(Cascade!$BG:$BG,MATCH($E66,Cascade!$E:$E,0)))</f>
        <v/>
      </c>
      <c r="S66" s="39" t="str">
        <f aca="false">$O66</f>
        <v>ENTER KNOWN POSITIVITY RATE</v>
      </c>
      <c r="T66" s="39" t="str">
        <f aca="false">IF(SUM($P66)=0,"",IF(AND($R66="",SUM($P66)&gt;0),"&lt;- Enter Linkage Rate",ROUND($P66*$R66,0)))</f>
        <v/>
      </c>
      <c r="U66" s="10" t="n">
        <f aca="false">IFERROR(1/(1/INDEX(Cascade!$BH:$BH,MATCH($E66,Cascade!$E:$E,0))),"")</f>
        <v>-777</v>
      </c>
      <c r="V66" s="10" t="str">
        <f aca="false">IF(SUM($P66)=0,"",$P66)</f>
        <v/>
      </c>
      <c r="W66" s="10" t="str">
        <f aca="false">IFERROR(1/(1/INDEX(PMTCT!$AC:$AC,MATCH($E66,PMTCT!$E:$E,0))),"")</f>
        <v/>
      </c>
      <c r="X66" s="10" t="str">
        <f aca="false">IFERROR(1/(1/INDEX(PMTCT!$AS:$AS,MATCH($E66,PMTCT!$E:$E,0))),"")</f>
        <v/>
      </c>
      <c r="Y66" s="10" t="str">
        <f aca="false">IFERROR(1/(1/INDEX(VMMC!$AA:$AA,MATCH($E66,VMMC!$E:$E,0))),"")</f>
        <v/>
      </c>
      <c r="Z66" s="10" t="n">
        <f aca="false">IFERROR(1/(1/(SUM($U66)-SUM($V66:$Y66))),"")</f>
        <v>-777</v>
      </c>
    </row>
    <row r="67" customFormat="false" ht="15" hidden="false" customHeight="false" outlineLevel="0" collapsed="false">
      <c r="A67" s="0" t="str">
        <f aca="false">INDEX(Prioritization!$D:$D,MATCH($B67,Prioritization!$A:$A,0))</f>
        <v>1 - Scale-up: Saturation</v>
      </c>
      <c r="B67" s="0" t="s">
        <v>198</v>
      </c>
      <c r="C67" s="0" t="s">
        <v>365</v>
      </c>
      <c r="D67" s="0" t="s">
        <v>30</v>
      </c>
      <c r="E67" s="0" t="str">
        <f aca="false">B67&amp;"|"&amp;C67&amp;"|"&amp;D67</f>
        <v>Lilongwe District [ScR9iFKAasW]|15-24|Female</v>
      </c>
      <c r="F67" s="10"/>
      <c r="G67" s="88" t="n">
        <f aca="false">0</f>
        <v>0</v>
      </c>
      <c r="H67" s="39" t="str">
        <f aca="false">IF(SUM($F67)=0,"",ROUND($F67*(1+$G67),0))</f>
        <v/>
      </c>
      <c r="I67" s="10"/>
      <c r="J67" s="88"/>
      <c r="K67" s="88" t="str">
        <f aca="false">IF($J67="","",$J67)</f>
        <v/>
      </c>
      <c r="L67" s="88"/>
      <c r="M67" s="88" t="str">
        <f aca="false">IF($L67="","",$L67)</f>
        <v/>
      </c>
      <c r="N67" s="10" t="str">
        <f aca="false">$H67</f>
        <v/>
      </c>
      <c r="O67" s="39" t="str">
        <f aca="false">IF(SUM($N67)=0,"",IF(AND(SUM($N67)&gt;0,$K67=""),"ENTER KNOWN POSITIVITY RATE",ROUND($N67*$K67,0)))</f>
        <v/>
      </c>
      <c r="P67" s="39" t="str">
        <f aca="false">IF(SUM($N67)=0,"",IF(AND((SUM($N67)-SUM($O67))&gt;0,$M67=""),"ENTER YIELD RATE",ROUND(($N67-SUM($O67))*$M67,0)))</f>
        <v/>
      </c>
      <c r="Q67" s="39" t="str">
        <f aca="false">IF(SUM($N67)=0,"",$N67-SUM($O67)-SUM($P67))</f>
        <v/>
      </c>
      <c r="R67" s="88" t="str">
        <f aca="false">IF(SUM($P67)=0,"",INDEX(Cascade!$BG:$BG,MATCH($E67,Cascade!$E:$E,0)))</f>
        <v/>
      </c>
      <c r="S67" s="39" t="str">
        <f aca="false">$O67</f>
        <v/>
      </c>
      <c r="T67" s="39" t="str">
        <f aca="false">IF(SUM($P67)=0,"",IF(AND($R67="",SUM($P67)&gt;0),"&lt;- Enter Linkage Rate",ROUND($P67*$R67,0)))</f>
        <v/>
      </c>
      <c r="U67" s="10" t="str">
        <f aca="false">IFERROR(1/(1/INDEX(Cascade!$BH:$BH,MATCH($E67,Cascade!$E:$E,0))),"")</f>
        <v/>
      </c>
      <c r="V67" s="10" t="str">
        <f aca="false">IF(SUM($P67)=0,"",$P67)</f>
        <v/>
      </c>
      <c r="W67" s="10" t="str">
        <f aca="false">IFERROR(1/(1/INDEX(PMTCT!$AC:$AC,MATCH($E67,PMTCT!$E:$E,0))),"")</f>
        <v/>
      </c>
      <c r="X67" s="10" t="str">
        <f aca="false">IFERROR(1/(1/INDEX(PMTCT!$AS:$AS,MATCH($E67,PMTCT!$E:$E,0))),"")</f>
        <v/>
      </c>
      <c r="Y67" s="10" t="str">
        <f aca="false">IFERROR(1/(1/INDEX(VMMC!$AA:$AA,MATCH($E67,VMMC!$E:$E,0))),"")</f>
        <v/>
      </c>
      <c r="Z67" s="10" t="str">
        <f aca="false">IFERROR(1/(1/(SUM($U67)-SUM($V67:$Y67))),"")</f>
        <v/>
      </c>
    </row>
    <row r="68" customFormat="false" ht="15" hidden="false" customHeight="false" outlineLevel="0" collapsed="false">
      <c r="A68" s="0" t="str">
        <f aca="false">INDEX(Prioritization!$D:$D,MATCH($B68,Prioritization!$A:$A,0))</f>
        <v>1 - Scale-up: Saturation</v>
      </c>
      <c r="B68" s="0" t="s">
        <v>198</v>
      </c>
      <c r="C68" s="0" t="s">
        <v>365</v>
      </c>
      <c r="D68" s="0" t="s">
        <v>48</v>
      </c>
      <c r="E68" s="0" t="str">
        <f aca="false">B68&amp;"|"&amp;C68&amp;"|"&amp;D68</f>
        <v>Lilongwe District [ScR9iFKAasW]|15-24|Male</v>
      </c>
      <c r="F68" s="10"/>
      <c r="G68" s="88" t="n">
        <f aca="false">0</f>
        <v>0</v>
      </c>
      <c r="H68" s="39" t="str">
        <f aca="false">IF(SUM($F68)=0,"",ROUND($F68*(1+$G68),0))</f>
        <v/>
      </c>
      <c r="I68" s="10"/>
      <c r="J68" s="88"/>
      <c r="K68" s="88" t="str">
        <f aca="false">IF($J68="","",$J68)</f>
        <v/>
      </c>
      <c r="L68" s="88"/>
      <c r="M68" s="88" t="str">
        <f aca="false">IF($L68="","",$L68)</f>
        <v/>
      </c>
      <c r="N68" s="10" t="str">
        <f aca="false">$H68</f>
        <v/>
      </c>
      <c r="O68" s="39" t="str">
        <f aca="false">IF(SUM($N68)=0,"",IF(AND(SUM($N68)&gt;0,$K68=""),"ENTER KNOWN POSITIVITY RATE",ROUND($N68*$K68,0)))</f>
        <v/>
      </c>
      <c r="P68" s="39" t="str">
        <f aca="false">IF(SUM($N68)=0,"",IF(AND((SUM($N68)-SUM($O68))&gt;0,$M68=""),"ENTER YIELD RATE",ROUND(($N68-SUM($O68))*$M68,0)))</f>
        <v/>
      </c>
      <c r="Q68" s="39" t="str">
        <f aca="false">IF(SUM($N68)=0,"",$N68-SUM($O68)-SUM($P68))</f>
        <v/>
      </c>
      <c r="R68" s="88" t="str">
        <f aca="false">IF(SUM($P68)=0,"",INDEX(Cascade!$BG:$BG,MATCH($E68,Cascade!$E:$E,0)))</f>
        <v/>
      </c>
      <c r="S68" s="39" t="str">
        <f aca="false">$O68</f>
        <v/>
      </c>
      <c r="T68" s="39" t="str">
        <f aca="false">IF(SUM($P68)=0,"",IF(AND($R68="",SUM($P68)&gt;0),"&lt;- Enter Linkage Rate",ROUND($P68*$R68,0)))</f>
        <v/>
      </c>
      <c r="U68" s="10" t="str">
        <f aca="false">IFERROR(1/(1/INDEX(Cascade!$BH:$BH,MATCH($E68,Cascade!$E:$E,0))),"")</f>
        <v/>
      </c>
      <c r="V68" s="10" t="str">
        <f aca="false">IF(SUM($P68)=0,"",$P68)</f>
        <v/>
      </c>
      <c r="W68" s="10" t="str">
        <f aca="false">IFERROR(1/(1/INDEX(PMTCT!$AC:$AC,MATCH($E68,PMTCT!$E:$E,0))),"")</f>
        <v/>
      </c>
      <c r="X68" s="10" t="str">
        <f aca="false">IFERROR(1/(1/INDEX(PMTCT!$AS:$AS,MATCH($E68,PMTCT!$E:$E,0))),"")</f>
        <v/>
      </c>
      <c r="Y68" s="10" t="str">
        <f aca="false">IFERROR(1/(1/INDEX(VMMC!$AA:$AA,MATCH($E68,VMMC!$E:$E,0))),"")</f>
        <v/>
      </c>
      <c r="Z68" s="10" t="str">
        <f aca="false">IFERROR(1/(1/(SUM($U68)-SUM($V68:$Y68))),"")</f>
        <v/>
      </c>
    </row>
    <row r="69" customFormat="false" ht="15" hidden="false" customHeight="false" outlineLevel="0" collapsed="false">
      <c r="A69" s="0" t="str">
        <f aca="false">INDEX(Prioritization!$D:$D,MATCH($B69,Prioritization!$A:$A,0))</f>
        <v>1 - Scale-up: Saturation</v>
      </c>
      <c r="B69" s="0" t="s">
        <v>198</v>
      </c>
      <c r="C69" s="0" t="s">
        <v>366</v>
      </c>
      <c r="D69" s="0" t="s">
        <v>30</v>
      </c>
      <c r="E69" s="0" t="str">
        <f aca="false">B69&amp;"|"&amp;C69&amp;"|"&amp;D69</f>
        <v>Lilongwe District [ScR9iFKAasW]|25-34|Female</v>
      </c>
      <c r="F69" s="10"/>
      <c r="G69" s="88" t="n">
        <f aca="false">0</f>
        <v>0</v>
      </c>
      <c r="H69" s="39" t="str">
        <f aca="false">IF(SUM($F69)=0,"",ROUND($F69*(1+$G69),0))</f>
        <v/>
      </c>
      <c r="I69" s="10"/>
      <c r="J69" s="88"/>
      <c r="K69" s="88" t="str">
        <f aca="false">IF($J69="","",$J69)</f>
        <v/>
      </c>
      <c r="L69" s="88"/>
      <c r="M69" s="88" t="str">
        <f aca="false">IF($L69="","",$L69)</f>
        <v/>
      </c>
      <c r="N69" s="10" t="str">
        <f aca="false">$H69</f>
        <v/>
      </c>
      <c r="O69" s="39" t="str">
        <f aca="false">IF(SUM($N69)=0,"",IF(AND(SUM($N69)&gt;0,$K69=""),"ENTER KNOWN POSITIVITY RATE",ROUND($N69*$K69,0)))</f>
        <v/>
      </c>
      <c r="P69" s="39" t="str">
        <f aca="false">IF(SUM($N69)=0,"",IF(AND((SUM($N69)-SUM($O69))&gt;0,$M69=""),"ENTER YIELD RATE",ROUND(($N69-SUM($O69))*$M69,0)))</f>
        <v/>
      </c>
      <c r="Q69" s="39" t="str">
        <f aca="false">IF(SUM($N69)=0,"",$N69-SUM($O69)-SUM($P69))</f>
        <v/>
      </c>
      <c r="R69" s="88" t="str">
        <f aca="false">IF(SUM($P69)=0,"",INDEX(Cascade!$BG:$BG,MATCH($E69,Cascade!$E:$E,0)))</f>
        <v/>
      </c>
      <c r="S69" s="39" t="str">
        <f aca="false">$O69</f>
        <v/>
      </c>
      <c r="T69" s="39" t="str">
        <f aca="false">IF(SUM($P69)=0,"",IF(AND($R69="",SUM($P69)&gt;0),"&lt;- Enter Linkage Rate",ROUND($P69*$R69,0)))</f>
        <v/>
      </c>
      <c r="U69" s="10" t="str">
        <f aca="false">IFERROR(1/(1/INDEX(Cascade!$BH:$BH,MATCH($E69,Cascade!$E:$E,0))),"")</f>
        <v/>
      </c>
      <c r="V69" s="10" t="str">
        <f aca="false">IF(SUM($P69)=0,"",$P69)</f>
        <v/>
      </c>
      <c r="W69" s="10" t="str">
        <f aca="false">IFERROR(1/(1/INDEX(PMTCT!$AC:$AC,MATCH($E69,PMTCT!$E:$E,0))),"")</f>
        <v/>
      </c>
      <c r="X69" s="10" t="str">
        <f aca="false">IFERROR(1/(1/INDEX(PMTCT!$AS:$AS,MATCH($E69,PMTCT!$E:$E,0))),"")</f>
        <v/>
      </c>
      <c r="Y69" s="10" t="str">
        <f aca="false">IFERROR(1/(1/INDEX(VMMC!$AA:$AA,MATCH($E69,VMMC!$E:$E,0))),"")</f>
        <v/>
      </c>
      <c r="Z69" s="10" t="str">
        <f aca="false">IFERROR(1/(1/(SUM($U69)-SUM($V69:$Y69))),"")</f>
        <v/>
      </c>
    </row>
    <row r="70" customFormat="false" ht="15" hidden="false" customHeight="false" outlineLevel="0" collapsed="false">
      <c r="A70" s="0" t="str">
        <f aca="false">INDEX(Prioritization!$D:$D,MATCH($B70,Prioritization!$A:$A,0))</f>
        <v>1 - Scale-up: Saturation</v>
      </c>
      <c r="B70" s="0" t="s">
        <v>198</v>
      </c>
      <c r="C70" s="0" t="s">
        <v>366</v>
      </c>
      <c r="D70" s="0" t="s">
        <v>48</v>
      </c>
      <c r="E70" s="0" t="str">
        <f aca="false">B70&amp;"|"&amp;C70&amp;"|"&amp;D70</f>
        <v>Lilongwe District [ScR9iFKAasW]|25-34|Male</v>
      </c>
      <c r="F70" s="10"/>
      <c r="G70" s="88" t="n">
        <f aca="false">0</f>
        <v>0</v>
      </c>
      <c r="H70" s="39" t="str">
        <f aca="false">IF(SUM($F70)=0,"",ROUND($F70*(1+$G70),0))</f>
        <v/>
      </c>
      <c r="I70" s="10"/>
      <c r="J70" s="88"/>
      <c r="K70" s="88" t="str">
        <f aca="false">IF($J70="","",$J70)</f>
        <v/>
      </c>
      <c r="L70" s="88"/>
      <c r="M70" s="88" t="str">
        <f aca="false">IF($L70="","",$L70)</f>
        <v/>
      </c>
      <c r="N70" s="10" t="str">
        <f aca="false">$H70</f>
        <v/>
      </c>
      <c r="O70" s="39" t="str">
        <f aca="false">IF(SUM($N70)=0,"",IF(AND(SUM($N70)&gt;0,$K70=""),"ENTER KNOWN POSITIVITY RATE",ROUND($N70*$K70,0)))</f>
        <v/>
      </c>
      <c r="P70" s="39" t="str">
        <f aca="false">IF(SUM($N70)=0,"",IF(AND((SUM($N70)-SUM($O70))&gt;0,$M70=""),"ENTER YIELD RATE",ROUND(($N70-SUM($O70))*$M70,0)))</f>
        <v/>
      </c>
      <c r="Q70" s="39" t="str">
        <f aca="false">IF(SUM($N70)=0,"",$N70-SUM($O70)-SUM($P70))</f>
        <v/>
      </c>
      <c r="R70" s="88" t="str">
        <f aca="false">IF(SUM($P70)=0,"",INDEX(Cascade!$BG:$BG,MATCH($E70,Cascade!$E:$E,0)))</f>
        <v/>
      </c>
      <c r="S70" s="39" t="str">
        <f aca="false">$O70</f>
        <v/>
      </c>
      <c r="T70" s="39" t="str">
        <f aca="false">IF(SUM($P70)=0,"",IF(AND($R70="",SUM($P70)&gt;0),"&lt;- Enter Linkage Rate",ROUND($P70*$R70,0)))</f>
        <v/>
      </c>
      <c r="U70" s="10" t="str">
        <f aca="false">IFERROR(1/(1/INDEX(Cascade!$BH:$BH,MATCH($E70,Cascade!$E:$E,0))),"")</f>
        <v/>
      </c>
      <c r="V70" s="10" t="str">
        <f aca="false">IF(SUM($P70)=0,"",$P70)</f>
        <v/>
      </c>
      <c r="W70" s="10" t="str">
        <f aca="false">IFERROR(1/(1/INDEX(PMTCT!$AC:$AC,MATCH($E70,PMTCT!$E:$E,0))),"")</f>
        <v/>
      </c>
      <c r="X70" s="10" t="str">
        <f aca="false">IFERROR(1/(1/INDEX(PMTCT!$AS:$AS,MATCH($E70,PMTCT!$E:$E,0))),"")</f>
        <v/>
      </c>
      <c r="Y70" s="10" t="str">
        <f aca="false">IFERROR(1/(1/INDEX(VMMC!$AA:$AA,MATCH($E70,VMMC!$E:$E,0))),"")</f>
        <v/>
      </c>
      <c r="Z70" s="10" t="str">
        <f aca="false">IFERROR(1/(1/(SUM($U70)-SUM($V70:$Y70))),"")</f>
        <v/>
      </c>
    </row>
    <row r="71" customFormat="false" ht="15" hidden="false" customHeight="false" outlineLevel="0" collapsed="false">
      <c r="A71" s="0" t="str">
        <f aca="false">INDEX(Prioritization!$D:$D,MATCH($B71,Prioritization!$A:$A,0))</f>
        <v>1 - Scale-up: Saturation</v>
      </c>
      <c r="B71" s="0" t="s">
        <v>198</v>
      </c>
      <c r="C71" s="0" t="s">
        <v>367</v>
      </c>
      <c r="D71" s="0" t="s">
        <v>30</v>
      </c>
      <c r="E71" s="0" t="str">
        <f aca="false">B71&amp;"|"&amp;C71&amp;"|"&amp;D71</f>
        <v>Lilongwe District [ScR9iFKAasW]|35-49|Female</v>
      </c>
      <c r="F71" s="10"/>
      <c r="G71" s="88" t="n">
        <f aca="false">0</f>
        <v>0</v>
      </c>
      <c r="H71" s="39" t="str">
        <f aca="false">IF(SUM($F71)=0,"",ROUND($F71*(1+$G71),0))</f>
        <v/>
      </c>
      <c r="I71" s="10"/>
      <c r="J71" s="88"/>
      <c r="K71" s="88" t="str">
        <f aca="false">IF($J71="","",$J71)</f>
        <v/>
      </c>
      <c r="L71" s="88"/>
      <c r="M71" s="88" t="str">
        <f aca="false">IF($L71="","",$L71)</f>
        <v/>
      </c>
      <c r="N71" s="10" t="str">
        <f aca="false">$H71</f>
        <v/>
      </c>
      <c r="O71" s="39" t="str">
        <f aca="false">IF(SUM($N71)=0,"",IF(AND(SUM($N71)&gt;0,$K71=""),"ENTER KNOWN POSITIVITY RATE",ROUND($N71*$K71,0)))</f>
        <v/>
      </c>
      <c r="P71" s="39" t="str">
        <f aca="false">IF(SUM($N71)=0,"",IF(AND((SUM($N71)-SUM($O71))&gt;0,$M71=""),"ENTER YIELD RATE",ROUND(($N71-SUM($O71))*$M71,0)))</f>
        <v/>
      </c>
      <c r="Q71" s="39" t="str">
        <f aca="false">IF(SUM($N71)=0,"",$N71-SUM($O71)-SUM($P71))</f>
        <v/>
      </c>
      <c r="R71" s="88" t="str">
        <f aca="false">IF(SUM($P71)=0,"",INDEX(Cascade!$BG:$BG,MATCH($E71,Cascade!$E:$E,0)))</f>
        <v/>
      </c>
      <c r="S71" s="39" t="str">
        <f aca="false">$O71</f>
        <v/>
      </c>
      <c r="T71" s="39" t="str">
        <f aca="false">IF(SUM($P71)=0,"",IF(AND($R71="",SUM($P71)&gt;0),"&lt;- Enter Linkage Rate",ROUND($P71*$R71,0)))</f>
        <v/>
      </c>
      <c r="U71" s="10" t="str">
        <f aca="false">IFERROR(1/(1/INDEX(Cascade!$BH:$BH,MATCH($E71,Cascade!$E:$E,0))),"")</f>
        <v/>
      </c>
      <c r="V71" s="10" t="str">
        <f aca="false">IF(SUM($P71)=0,"",$P71)</f>
        <v/>
      </c>
      <c r="W71" s="10" t="str">
        <f aca="false">IFERROR(1/(1/INDEX(PMTCT!$AC:$AC,MATCH($E71,PMTCT!$E:$E,0))),"")</f>
        <v/>
      </c>
      <c r="X71" s="10" t="str">
        <f aca="false">IFERROR(1/(1/INDEX(PMTCT!$AS:$AS,MATCH($E71,PMTCT!$E:$E,0))),"")</f>
        <v/>
      </c>
      <c r="Y71" s="10" t="str">
        <f aca="false">IFERROR(1/(1/INDEX(VMMC!$AA:$AA,MATCH($E71,VMMC!$E:$E,0))),"")</f>
        <v/>
      </c>
      <c r="Z71" s="10" t="str">
        <f aca="false">IFERROR(1/(1/(SUM($U71)-SUM($V71:$Y71))),"")</f>
        <v/>
      </c>
    </row>
    <row r="72" customFormat="false" ht="15" hidden="false" customHeight="false" outlineLevel="0" collapsed="false">
      <c r="A72" s="0" t="str">
        <f aca="false">INDEX(Prioritization!$D:$D,MATCH($B72,Prioritization!$A:$A,0))</f>
        <v>1 - Scale-up: Saturation</v>
      </c>
      <c r="B72" s="0" t="s">
        <v>198</v>
      </c>
      <c r="C72" s="0" t="s">
        <v>367</v>
      </c>
      <c r="D72" s="0" t="s">
        <v>48</v>
      </c>
      <c r="E72" s="0" t="str">
        <f aca="false">B72&amp;"|"&amp;C72&amp;"|"&amp;D72</f>
        <v>Lilongwe District [ScR9iFKAasW]|35-49|Male</v>
      </c>
      <c r="F72" s="10"/>
      <c r="G72" s="88" t="n">
        <f aca="false">0</f>
        <v>0</v>
      </c>
      <c r="H72" s="39" t="str">
        <f aca="false">IF(SUM($F72)=0,"",ROUND($F72*(1+$G72),0))</f>
        <v/>
      </c>
      <c r="I72" s="10"/>
      <c r="J72" s="88"/>
      <c r="K72" s="88" t="str">
        <f aca="false">IF($J72="","",$J72)</f>
        <v/>
      </c>
      <c r="L72" s="88"/>
      <c r="M72" s="88" t="str">
        <f aca="false">IF($L72="","",$L72)</f>
        <v/>
      </c>
      <c r="N72" s="10" t="str">
        <f aca="false">$H72</f>
        <v/>
      </c>
      <c r="O72" s="39" t="str">
        <f aca="false">IF(SUM($N72)=0,"",IF(AND(SUM($N72)&gt;0,$K72=""),"ENTER KNOWN POSITIVITY RATE",ROUND($N72*$K72,0)))</f>
        <v/>
      </c>
      <c r="P72" s="39" t="str">
        <f aca="false">IF(SUM($N72)=0,"",IF(AND((SUM($N72)-SUM($O72))&gt;0,$M72=""),"ENTER YIELD RATE",ROUND(($N72-SUM($O72))*$M72,0)))</f>
        <v/>
      </c>
      <c r="Q72" s="39" t="str">
        <f aca="false">IF(SUM($N72)=0,"",$N72-SUM($O72)-SUM($P72))</f>
        <v/>
      </c>
      <c r="R72" s="88" t="str">
        <f aca="false">IF(SUM($P72)=0,"",INDEX(Cascade!$BG:$BG,MATCH($E72,Cascade!$E:$E,0)))</f>
        <v/>
      </c>
      <c r="S72" s="39" t="str">
        <f aca="false">$O72</f>
        <v/>
      </c>
      <c r="T72" s="39" t="str">
        <f aca="false">IF(SUM($P72)=0,"",IF(AND($R72="",SUM($P72)&gt;0),"&lt;- Enter Linkage Rate",ROUND($P72*$R72,0)))</f>
        <v/>
      </c>
      <c r="U72" s="10" t="str">
        <f aca="false">IFERROR(1/(1/INDEX(Cascade!$BH:$BH,MATCH($E72,Cascade!$E:$E,0))),"")</f>
        <v/>
      </c>
      <c r="V72" s="10" t="str">
        <f aca="false">IF(SUM($P72)=0,"",$P72)</f>
        <v/>
      </c>
      <c r="W72" s="10" t="str">
        <f aca="false">IFERROR(1/(1/INDEX(PMTCT!$AC:$AC,MATCH($E72,PMTCT!$E:$E,0))),"")</f>
        <v/>
      </c>
      <c r="X72" s="10" t="str">
        <f aca="false">IFERROR(1/(1/INDEX(PMTCT!$AS:$AS,MATCH($E72,PMTCT!$E:$E,0))),"")</f>
        <v/>
      </c>
      <c r="Y72" s="10" t="str">
        <f aca="false">IFERROR(1/(1/INDEX(VMMC!$AA:$AA,MATCH($E72,VMMC!$E:$E,0))),"")</f>
        <v/>
      </c>
      <c r="Z72" s="10" t="str">
        <f aca="false">IFERROR(1/(1/(SUM($U72)-SUM($V72:$Y72))),"")</f>
        <v/>
      </c>
    </row>
    <row r="73" customFormat="false" ht="15" hidden="false" customHeight="false" outlineLevel="0" collapsed="false">
      <c r="A73" s="0" t="str">
        <f aca="false">INDEX(Prioritization!$D:$D,MATCH($B73,Prioritization!$A:$A,0))</f>
        <v>1 - Scale-up: Saturation</v>
      </c>
      <c r="B73" s="0" t="s">
        <v>198</v>
      </c>
      <c r="C73" s="0" t="s">
        <v>368</v>
      </c>
      <c r="D73" s="0" t="s">
        <v>30</v>
      </c>
      <c r="E73" s="0" t="str">
        <f aca="false">B73&amp;"|"&amp;C73&amp;"|"&amp;D73</f>
        <v>Lilongwe District [ScR9iFKAasW]|50+|Female</v>
      </c>
      <c r="F73" s="10"/>
      <c r="G73" s="88" t="n">
        <f aca="false">0</f>
        <v>0</v>
      </c>
      <c r="H73" s="39" t="str">
        <f aca="false">IF(SUM($F73)=0,"",ROUND($F73*(1+$G73),0))</f>
        <v/>
      </c>
      <c r="I73" s="10"/>
      <c r="J73" s="88"/>
      <c r="K73" s="88" t="str">
        <f aca="false">IF($J73="","",$J73)</f>
        <v/>
      </c>
      <c r="L73" s="88"/>
      <c r="M73" s="88" t="str">
        <f aca="false">IF($L73="","",$L73)</f>
        <v/>
      </c>
      <c r="N73" s="10" t="str">
        <f aca="false">$H73</f>
        <v/>
      </c>
      <c r="O73" s="39" t="str">
        <f aca="false">IF(SUM($N73)=0,"",IF(AND(SUM($N73)&gt;0,$K73=""),"ENTER KNOWN POSITIVITY RATE",ROUND($N73*$K73,0)))</f>
        <v/>
      </c>
      <c r="P73" s="39" t="str">
        <f aca="false">IF(SUM($N73)=0,"",IF(AND((SUM($N73)-SUM($O73))&gt;0,$M73=""),"ENTER YIELD RATE",ROUND(($N73-SUM($O73))*$M73,0)))</f>
        <v/>
      </c>
      <c r="Q73" s="39" t="str">
        <f aca="false">IF(SUM($N73)=0,"",$N73-SUM($O73)-SUM($P73))</f>
        <v/>
      </c>
      <c r="R73" s="88" t="str">
        <f aca="false">IF(SUM($P73)=0,"",INDEX(Cascade!$BG:$BG,MATCH($E73,Cascade!$E:$E,0)))</f>
        <v/>
      </c>
      <c r="S73" s="39" t="str">
        <f aca="false">$O73</f>
        <v/>
      </c>
      <c r="T73" s="39" t="str">
        <f aca="false">IF(SUM($P73)=0,"",IF(AND($R73="",SUM($P73)&gt;0),"&lt;- Enter Linkage Rate",ROUND($P73*$R73,0)))</f>
        <v/>
      </c>
      <c r="U73" s="10" t="str">
        <f aca="false">IFERROR(1/(1/INDEX(Cascade!$BH:$BH,MATCH($E73,Cascade!$E:$E,0))),"")</f>
        <v/>
      </c>
      <c r="V73" s="10" t="str">
        <f aca="false">IF(SUM($P73)=0,"",$P73)</f>
        <v/>
      </c>
      <c r="W73" s="10" t="str">
        <f aca="false">IFERROR(1/(1/INDEX(PMTCT!$AC:$AC,MATCH($E73,PMTCT!$E:$E,0))),"")</f>
        <v/>
      </c>
      <c r="X73" s="10" t="str">
        <f aca="false">IFERROR(1/(1/INDEX(PMTCT!$AS:$AS,MATCH($E73,PMTCT!$E:$E,0))),"")</f>
        <v/>
      </c>
      <c r="Y73" s="10" t="str">
        <f aca="false">IFERROR(1/(1/INDEX(VMMC!$AA:$AA,MATCH($E73,VMMC!$E:$E,0))),"")</f>
        <v/>
      </c>
      <c r="Z73" s="10" t="str">
        <f aca="false">IFERROR(1/(1/(SUM($U73)-SUM($V73:$Y73))),"")</f>
        <v/>
      </c>
    </row>
    <row r="74" customFormat="false" ht="15" hidden="false" customHeight="false" outlineLevel="0" collapsed="false">
      <c r="A74" s="0" t="str">
        <f aca="false">INDEX(Prioritization!$D:$D,MATCH($B74,Prioritization!$A:$A,0))</f>
        <v>1 - Scale-up: Saturation</v>
      </c>
      <c r="B74" s="0" t="s">
        <v>198</v>
      </c>
      <c r="C74" s="0" t="s">
        <v>368</v>
      </c>
      <c r="D74" s="0" t="s">
        <v>48</v>
      </c>
      <c r="E74" s="0" t="str">
        <f aca="false">B74&amp;"|"&amp;C74&amp;"|"&amp;D74</f>
        <v>Lilongwe District [ScR9iFKAasW]|50+|Male</v>
      </c>
      <c r="F74" s="10"/>
      <c r="G74" s="88" t="n">
        <f aca="false">0</f>
        <v>0</v>
      </c>
      <c r="H74" s="39" t="str">
        <f aca="false">IF(SUM($F74)=0,"",ROUND($F74*(1+$G74),0))</f>
        <v/>
      </c>
      <c r="I74" s="10"/>
      <c r="J74" s="88"/>
      <c r="K74" s="88" t="str">
        <f aca="false">IF($J74="","",$J74)</f>
        <v/>
      </c>
      <c r="L74" s="88"/>
      <c r="M74" s="88" t="str">
        <f aca="false">IF($L74="","",$L74)</f>
        <v/>
      </c>
      <c r="N74" s="10" t="str">
        <f aca="false">$H74</f>
        <v/>
      </c>
      <c r="O74" s="39" t="str">
        <f aca="false">IF(SUM($N74)=0,"",IF(AND(SUM($N74)&gt;0,$K74=""),"ENTER KNOWN POSITIVITY RATE",ROUND($N74*$K74,0)))</f>
        <v/>
      </c>
      <c r="P74" s="39" t="str">
        <f aca="false">IF(SUM($N74)=0,"",IF(AND((SUM($N74)-SUM($O74))&gt;0,$M74=""),"ENTER YIELD RATE",ROUND(($N74-SUM($O74))*$M74,0)))</f>
        <v/>
      </c>
      <c r="Q74" s="39" t="str">
        <f aca="false">IF(SUM($N74)=0,"",$N74-SUM($O74)-SUM($P74))</f>
        <v/>
      </c>
      <c r="R74" s="88" t="str">
        <f aca="false">IF(SUM($P74)=0,"",INDEX(Cascade!$BG:$BG,MATCH($E74,Cascade!$E:$E,0)))</f>
        <v/>
      </c>
      <c r="S74" s="39" t="str">
        <f aca="false">$O74</f>
        <v/>
      </c>
      <c r="T74" s="39" t="str">
        <f aca="false">IF(SUM($P74)=0,"",IF(AND($R74="",SUM($P74)&gt;0),"&lt;- Enter Linkage Rate",ROUND($P74*$R74,0)))</f>
        <v/>
      </c>
      <c r="U74" s="10" t="str">
        <f aca="false">IFERROR(1/(1/INDEX(Cascade!$BH:$BH,MATCH($E74,Cascade!$E:$E,0))),"")</f>
        <v/>
      </c>
      <c r="V74" s="10" t="str">
        <f aca="false">IF(SUM($P74)=0,"",$P74)</f>
        <v/>
      </c>
      <c r="W74" s="10" t="str">
        <f aca="false">IFERROR(1/(1/INDEX(PMTCT!$AC:$AC,MATCH($E74,PMTCT!$E:$E,0))),"")</f>
        <v/>
      </c>
      <c r="X74" s="10" t="str">
        <f aca="false">IFERROR(1/(1/INDEX(PMTCT!$AS:$AS,MATCH($E74,PMTCT!$E:$E,0))),"")</f>
        <v/>
      </c>
      <c r="Y74" s="10" t="str">
        <f aca="false">IFERROR(1/(1/INDEX(VMMC!$AA:$AA,MATCH($E74,VMMC!$E:$E,0))),"")</f>
        <v/>
      </c>
      <c r="Z74" s="10" t="str">
        <f aca="false">IFERROR(1/(1/(SUM($U74)-SUM($V74:$Y74))),"")</f>
        <v/>
      </c>
    </row>
    <row r="75" customFormat="false" ht="15" hidden="false" customHeight="false" outlineLevel="0" collapsed="false">
      <c r="A75" s="0" t="str">
        <f aca="false">INDEX(Prioritization!$D:$D,MATCH($B75,Prioritization!$A:$A,0))</f>
        <v>1 - Scale-up: Saturation</v>
      </c>
      <c r="B75" s="0" t="s">
        <v>199</v>
      </c>
      <c r="C75" s="0" t="s">
        <v>363</v>
      </c>
      <c r="D75" s="0" t="s">
        <v>30</v>
      </c>
      <c r="E75" s="0" t="str">
        <f aca="false">B75&amp;"|"&amp;C75&amp;"|"&amp;D75</f>
        <v>Mchinji District [kxuuIFpOXyO]|01-09|Female</v>
      </c>
      <c r="F75" s="10"/>
      <c r="G75" s="88" t="n">
        <f aca="false">0</f>
        <v>0</v>
      </c>
      <c r="H75" s="39" t="str">
        <f aca="false">IF(SUM($F75)=0,"",ROUND($F75*(1+$G75),0))</f>
        <v/>
      </c>
      <c r="I75" s="10"/>
      <c r="J75" s="88"/>
      <c r="K75" s="88" t="str">
        <f aca="false">IF($J75="","",$J75)</f>
        <v/>
      </c>
      <c r="L75" s="88"/>
      <c r="M75" s="88" t="str">
        <f aca="false">IF($L75="","",$L75)</f>
        <v/>
      </c>
      <c r="N75" s="10" t="str">
        <f aca="false">$H75</f>
        <v/>
      </c>
      <c r="O75" s="39" t="str">
        <f aca="false">IF(SUM($N75)=0,"",IF(AND(SUM($N75)&gt;0,$K75=""),"ENTER KNOWN POSITIVITY RATE",ROUND($N75*$K75,0)))</f>
        <v/>
      </c>
      <c r="P75" s="39" t="str">
        <f aca="false">IF(SUM($N75)=0,"",IF(AND((SUM($N75)-SUM($O75))&gt;0,$M75=""),"ENTER YIELD RATE",ROUND(($N75-SUM($O75))*$M75,0)))</f>
        <v/>
      </c>
      <c r="Q75" s="39" t="str">
        <f aca="false">IF(SUM($N75)=0,"",$N75-SUM($O75)-SUM($P75))</f>
        <v/>
      </c>
      <c r="R75" s="88" t="str">
        <f aca="false">IF(SUM($P75)=0,"",INDEX(Cascade!$BG:$BG,MATCH($E75,Cascade!$E:$E,0)))</f>
        <v/>
      </c>
      <c r="S75" s="39" t="str">
        <f aca="false">$O75</f>
        <v/>
      </c>
      <c r="T75" s="39" t="str">
        <f aca="false">IF(SUM($P75)=0,"",IF(AND($R75="",SUM($P75)&gt;0),"&lt;- Enter Linkage Rate",ROUND($P75*$R75,0)))</f>
        <v/>
      </c>
      <c r="U75" s="10" t="str">
        <f aca="false">IFERROR(1/(1/INDEX(Cascade!$BH:$BH,MATCH($E75,Cascade!$E:$E,0))),"")</f>
        <v/>
      </c>
      <c r="V75" s="10" t="str">
        <f aca="false">IF(SUM($P75)=0,"",$P75)</f>
        <v/>
      </c>
      <c r="W75" s="10" t="str">
        <f aca="false">IFERROR(1/(1/INDEX(PMTCT!$AC:$AC,MATCH($E75,PMTCT!$E:$E,0))),"")</f>
        <v/>
      </c>
      <c r="X75" s="10" t="str">
        <f aca="false">IFERROR(1/(1/INDEX(PMTCT!$AS:$AS,MATCH($E75,PMTCT!$E:$E,0))),"")</f>
        <v/>
      </c>
      <c r="Y75" s="10" t="str">
        <f aca="false">IFERROR(1/(1/INDEX(VMMC!$AA:$AA,MATCH($E75,VMMC!$E:$E,0))),"")</f>
        <v/>
      </c>
      <c r="Z75" s="10" t="str">
        <f aca="false">IFERROR(1/(1/(SUM($U75)-SUM($V75:$Y75))),"")</f>
        <v/>
      </c>
    </row>
    <row r="76" customFormat="false" ht="15" hidden="false" customHeight="false" outlineLevel="0" collapsed="false">
      <c r="A76" s="0" t="str">
        <f aca="false">INDEX(Prioritization!$D:$D,MATCH($B76,Prioritization!$A:$A,0))</f>
        <v>1 - Scale-up: Saturation</v>
      </c>
      <c r="B76" s="0" t="s">
        <v>199</v>
      </c>
      <c r="C76" s="0" t="s">
        <v>363</v>
      </c>
      <c r="D76" s="0" t="s">
        <v>48</v>
      </c>
      <c r="E76" s="0" t="str">
        <f aca="false">B76&amp;"|"&amp;C76&amp;"|"&amp;D76</f>
        <v>Mchinji District [kxuuIFpOXyO]|01-09|Male</v>
      </c>
      <c r="F76" s="10"/>
      <c r="G76" s="88" t="n">
        <f aca="false">0</f>
        <v>0</v>
      </c>
      <c r="H76" s="39" t="str">
        <f aca="false">IF(SUM($F76)=0,"",ROUND($F76*(1+$G76),0))</f>
        <v/>
      </c>
      <c r="I76" s="10"/>
      <c r="J76" s="88"/>
      <c r="K76" s="88" t="str">
        <f aca="false">IF($J76="","",$J76)</f>
        <v/>
      </c>
      <c r="L76" s="88"/>
      <c r="M76" s="88" t="str">
        <f aca="false">IF($L76="","",$L76)</f>
        <v/>
      </c>
      <c r="N76" s="10" t="str">
        <f aca="false">$H76</f>
        <v/>
      </c>
      <c r="O76" s="39" t="str">
        <f aca="false">IF(SUM($N76)=0,"",IF(AND(SUM($N76)&gt;0,$K76=""),"ENTER KNOWN POSITIVITY RATE",ROUND($N76*$K76,0)))</f>
        <v/>
      </c>
      <c r="P76" s="39" t="str">
        <f aca="false">IF(SUM($N76)=0,"",IF(AND((SUM($N76)-SUM($O76))&gt;0,$M76=""),"ENTER YIELD RATE",ROUND(($N76-SUM($O76))*$M76,0)))</f>
        <v/>
      </c>
      <c r="Q76" s="39" t="str">
        <f aca="false">IF(SUM($N76)=0,"",$N76-SUM($O76)-SUM($P76))</f>
        <v/>
      </c>
      <c r="R76" s="88" t="str">
        <f aca="false">IF(SUM($P76)=0,"",INDEX(Cascade!$BG:$BG,MATCH($E76,Cascade!$E:$E,0)))</f>
        <v/>
      </c>
      <c r="S76" s="39" t="str">
        <f aca="false">$O76</f>
        <v/>
      </c>
      <c r="T76" s="39" t="str">
        <f aca="false">IF(SUM($P76)=0,"",IF(AND($R76="",SUM($P76)&gt;0),"&lt;- Enter Linkage Rate",ROUND($P76*$R76,0)))</f>
        <v/>
      </c>
      <c r="U76" s="10" t="str">
        <f aca="false">IFERROR(1/(1/INDEX(Cascade!$BH:$BH,MATCH($E76,Cascade!$E:$E,0))),"")</f>
        <v/>
      </c>
      <c r="V76" s="10" t="str">
        <f aca="false">IF(SUM($P76)=0,"",$P76)</f>
        <v/>
      </c>
      <c r="W76" s="10" t="str">
        <f aca="false">IFERROR(1/(1/INDEX(PMTCT!$AC:$AC,MATCH($E76,PMTCT!$E:$E,0))),"")</f>
        <v/>
      </c>
      <c r="X76" s="10" t="str">
        <f aca="false">IFERROR(1/(1/INDEX(PMTCT!$AS:$AS,MATCH($E76,PMTCT!$E:$E,0))),"")</f>
        <v/>
      </c>
      <c r="Y76" s="10" t="str">
        <f aca="false">IFERROR(1/(1/INDEX(VMMC!$AA:$AA,MATCH($E76,VMMC!$E:$E,0))),"")</f>
        <v/>
      </c>
      <c r="Z76" s="10" t="str">
        <f aca="false">IFERROR(1/(1/(SUM($U76)-SUM($V76:$Y76))),"")</f>
        <v/>
      </c>
    </row>
    <row r="77" customFormat="false" ht="15" hidden="false" customHeight="false" outlineLevel="0" collapsed="false">
      <c r="A77" s="0" t="str">
        <f aca="false">INDEX(Prioritization!$D:$D,MATCH($B77,Prioritization!$A:$A,0))</f>
        <v>1 - Scale-up: Saturation</v>
      </c>
      <c r="B77" s="0" t="s">
        <v>199</v>
      </c>
      <c r="C77" s="0" t="s">
        <v>364</v>
      </c>
      <c r="D77" s="0" t="s">
        <v>30</v>
      </c>
      <c r="E77" s="0" t="str">
        <f aca="false">B77&amp;"|"&amp;C77&amp;"|"&amp;D77</f>
        <v>Mchinji District [kxuuIFpOXyO]|10-14|Female</v>
      </c>
      <c r="F77" s="10" t="n">
        <v>1</v>
      </c>
      <c r="G77" s="88" t="n">
        <f aca="false">0</f>
        <v>0</v>
      </c>
      <c r="H77" s="39" t="n">
        <f aca="false">IF(SUM($F77)=0,"",ROUND($F77*(1+$G77),0))</f>
        <v>1</v>
      </c>
      <c r="I77" s="10"/>
      <c r="J77" s="88"/>
      <c r="K77" s="88" t="str">
        <f aca="false">IF($J77="","",$J77)</f>
        <v/>
      </c>
      <c r="L77" s="88"/>
      <c r="M77" s="88" t="str">
        <f aca="false">IF($L77="","",$L77)</f>
        <v/>
      </c>
      <c r="N77" s="10" t="n">
        <f aca="false">$H77</f>
        <v>1</v>
      </c>
      <c r="O77" s="39" t="str">
        <f aca="false">IF(SUM($N77)=0,"",IF(AND(SUM($N77)&gt;0,$K77=""),"ENTER KNOWN POSITIVITY RATE",ROUND($N77*$K77,0)))</f>
        <v>ENTER KNOWN POSITIVITY RATE</v>
      </c>
      <c r="P77" s="39" t="str">
        <f aca="false">IF(SUM($N77)=0,"",IF(AND((SUM($N77)-SUM($O77))&gt;0,$M77=""),"ENTER YIELD RATE",ROUND(($N77-SUM($O77))*$M77,0)))</f>
        <v>ENTER YIELD RATE</v>
      </c>
      <c r="Q77" s="39" t="n">
        <f aca="false">IF(SUM($N77)=0,"",$N77-SUM($O77)-SUM($P77))</f>
        <v>1</v>
      </c>
      <c r="R77" s="88" t="str">
        <f aca="false">IF(SUM($P77)=0,"",INDEX(Cascade!$BG:$BG,MATCH($E77,Cascade!$E:$E,0)))</f>
        <v/>
      </c>
      <c r="S77" s="39" t="str">
        <f aca="false">$O77</f>
        <v>ENTER KNOWN POSITIVITY RATE</v>
      </c>
      <c r="T77" s="39" t="str">
        <f aca="false">IF(SUM($P77)=0,"",IF(AND($R77="",SUM($P77)&gt;0),"&lt;- Enter Linkage Rate",ROUND($P77*$R77,0)))</f>
        <v/>
      </c>
      <c r="U77" s="10" t="n">
        <f aca="false">IFERROR(1/(1/INDEX(Cascade!$BH:$BH,MATCH($E77,Cascade!$E:$E,0))),"")</f>
        <v>-75</v>
      </c>
      <c r="V77" s="10" t="str">
        <f aca="false">IF(SUM($P77)=0,"",$P77)</f>
        <v/>
      </c>
      <c r="W77" s="10" t="str">
        <f aca="false">IFERROR(1/(1/INDEX(PMTCT!$AC:$AC,MATCH($E77,PMTCT!$E:$E,0))),"")</f>
        <v/>
      </c>
      <c r="X77" s="10" t="str">
        <f aca="false">IFERROR(1/(1/INDEX(PMTCT!$AS:$AS,MATCH($E77,PMTCT!$E:$E,0))),"")</f>
        <v/>
      </c>
      <c r="Y77" s="10" t="str">
        <f aca="false">IFERROR(1/(1/INDEX(VMMC!$AA:$AA,MATCH($E77,VMMC!$E:$E,0))),"")</f>
        <v/>
      </c>
      <c r="Z77" s="10" t="n">
        <f aca="false">IFERROR(1/(1/(SUM($U77)-SUM($V77:$Y77))),"")</f>
        <v>-75</v>
      </c>
    </row>
    <row r="78" customFormat="false" ht="15" hidden="false" customHeight="false" outlineLevel="0" collapsed="false">
      <c r="A78" s="0" t="str">
        <f aca="false">INDEX(Prioritization!$D:$D,MATCH($B78,Prioritization!$A:$A,0))</f>
        <v>1 - Scale-up: Saturation</v>
      </c>
      <c r="B78" s="0" t="s">
        <v>199</v>
      </c>
      <c r="C78" s="0" t="s">
        <v>364</v>
      </c>
      <c r="D78" s="0" t="s">
        <v>48</v>
      </c>
      <c r="E78" s="0" t="str">
        <f aca="false">B78&amp;"|"&amp;C78&amp;"|"&amp;D78</f>
        <v>Mchinji District [kxuuIFpOXyO]|10-14|Male</v>
      </c>
      <c r="F78" s="10" t="n">
        <v>1</v>
      </c>
      <c r="G78" s="88" t="n">
        <f aca="false">0</f>
        <v>0</v>
      </c>
      <c r="H78" s="39" t="n">
        <f aca="false">IF(SUM($F78)=0,"",ROUND($F78*(1+$G78),0))</f>
        <v>1</v>
      </c>
      <c r="I78" s="10"/>
      <c r="J78" s="88"/>
      <c r="K78" s="88" t="str">
        <f aca="false">IF($J78="","",$J78)</f>
        <v/>
      </c>
      <c r="L78" s="88"/>
      <c r="M78" s="88" t="str">
        <f aca="false">IF($L78="","",$L78)</f>
        <v/>
      </c>
      <c r="N78" s="10" t="n">
        <f aca="false">$H78</f>
        <v>1</v>
      </c>
      <c r="O78" s="39" t="str">
        <f aca="false">IF(SUM($N78)=0,"",IF(AND(SUM($N78)&gt;0,$K78=""),"ENTER KNOWN POSITIVITY RATE",ROUND($N78*$K78,0)))</f>
        <v>ENTER KNOWN POSITIVITY RATE</v>
      </c>
      <c r="P78" s="39" t="str">
        <f aca="false">IF(SUM($N78)=0,"",IF(AND((SUM($N78)-SUM($O78))&gt;0,$M78=""),"ENTER YIELD RATE",ROUND(($N78-SUM($O78))*$M78,0)))</f>
        <v>ENTER YIELD RATE</v>
      </c>
      <c r="Q78" s="39" t="n">
        <f aca="false">IF(SUM($N78)=0,"",$N78-SUM($O78)-SUM($P78))</f>
        <v>1</v>
      </c>
      <c r="R78" s="88" t="str">
        <f aca="false">IF(SUM($P78)=0,"",INDEX(Cascade!$BG:$BG,MATCH($E78,Cascade!$E:$E,0)))</f>
        <v/>
      </c>
      <c r="S78" s="39" t="str">
        <f aca="false">$O78</f>
        <v>ENTER KNOWN POSITIVITY RATE</v>
      </c>
      <c r="T78" s="39" t="str">
        <f aca="false">IF(SUM($P78)=0,"",IF(AND($R78="",SUM($P78)&gt;0),"&lt;- Enter Linkage Rate",ROUND($P78*$R78,0)))</f>
        <v/>
      </c>
      <c r="U78" s="10" t="n">
        <f aca="false">IFERROR(1/(1/INDEX(Cascade!$BH:$BH,MATCH($E78,Cascade!$E:$E,0))),"")</f>
        <v>-94</v>
      </c>
      <c r="V78" s="10" t="str">
        <f aca="false">IF(SUM($P78)=0,"",$P78)</f>
        <v/>
      </c>
      <c r="W78" s="10" t="str">
        <f aca="false">IFERROR(1/(1/INDEX(PMTCT!$AC:$AC,MATCH($E78,PMTCT!$E:$E,0))),"")</f>
        <v/>
      </c>
      <c r="X78" s="10" t="str">
        <f aca="false">IFERROR(1/(1/INDEX(PMTCT!$AS:$AS,MATCH($E78,PMTCT!$E:$E,0))),"")</f>
        <v/>
      </c>
      <c r="Y78" s="10" t="str">
        <f aca="false">IFERROR(1/(1/INDEX(VMMC!$AA:$AA,MATCH($E78,VMMC!$E:$E,0))),"")</f>
        <v/>
      </c>
      <c r="Z78" s="10" t="n">
        <f aca="false">IFERROR(1/(1/(SUM($U78)-SUM($V78:$Y78))),"")</f>
        <v>-94</v>
      </c>
    </row>
    <row r="79" customFormat="false" ht="15" hidden="false" customHeight="false" outlineLevel="0" collapsed="false">
      <c r="A79" s="0" t="str">
        <f aca="false">INDEX(Prioritization!$D:$D,MATCH($B79,Prioritization!$A:$A,0))</f>
        <v>1 - Scale-up: Saturation</v>
      </c>
      <c r="B79" s="0" t="s">
        <v>199</v>
      </c>
      <c r="C79" s="0" t="s">
        <v>365</v>
      </c>
      <c r="D79" s="0" t="s">
        <v>30</v>
      </c>
      <c r="E79" s="0" t="str">
        <f aca="false">B79&amp;"|"&amp;C79&amp;"|"&amp;D79</f>
        <v>Mchinji District [kxuuIFpOXyO]|15-24|Female</v>
      </c>
      <c r="F79" s="10"/>
      <c r="G79" s="88" t="n">
        <f aca="false">0</f>
        <v>0</v>
      </c>
      <c r="H79" s="39" t="str">
        <f aca="false">IF(SUM($F79)=0,"",ROUND($F79*(1+$G79),0))</f>
        <v/>
      </c>
      <c r="I79" s="10"/>
      <c r="J79" s="88"/>
      <c r="K79" s="88" t="str">
        <f aca="false">IF($J79="","",$J79)</f>
        <v/>
      </c>
      <c r="L79" s="88"/>
      <c r="M79" s="88" t="str">
        <f aca="false">IF($L79="","",$L79)</f>
        <v/>
      </c>
      <c r="N79" s="10" t="str">
        <f aca="false">$H79</f>
        <v/>
      </c>
      <c r="O79" s="39" t="str">
        <f aca="false">IF(SUM($N79)=0,"",IF(AND(SUM($N79)&gt;0,$K79=""),"ENTER KNOWN POSITIVITY RATE",ROUND($N79*$K79,0)))</f>
        <v/>
      </c>
      <c r="P79" s="39" t="str">
        <f aca="false">IF(SUM($N79)=0,"",IF(AND((SUM($N79)-SUM($O79))&gt;0,$M79=""),"ENTER YIELD RATE",ROUND(($N79-SUM($O79))*$M79,0)))</f>
        <v/>
      </c>
      <c r="Q79" s="39" t="str">
        <f aca="false">IF(SUM($N79)=0,"",$N79-SUM($O79)-SUM($P79))</f>
        <v/>
      </c>
      <c r="R79" s="88" t="str">
        <f aca="false">IF(SUM($P79)=0,"",INDEX(Cascade!$BG:$BG,MATCH($E79,Cascade!$E:$E,0)))</f>
        <v/>
      </c>
      <c r="S79" s="39" t="str">
        <f aca="false">$O79</f>
        <v/>
      </c>
      <c r="T79" s="39" t="str">
        <f aca="false">IF(SUM($P79)=0,"",IF(AND($R79="",SUM($P79)&gt;0),"&lt;- Enter Linkage Rate",ROUND($P79*$R79,0)))</f>
        <v/>
      </c>
      <c r="U79" s="10" t="str">
        <f aca="false">IFERROR(1/(1/INDEX(Cascade!$BH:$BH,MATCH($E79,Cascade!$E:$E,0))),"")</f>
        <v/>
      </c>
      <c r="V79" s="10" t="str">
        <f aca="false">IF(SUM($P79)=0,"",$P79)</f>
        <v/>
      </c>
      <c r="W79" s="10" t="str">
        <f aca="false">IFERROR(1/(1/INDEX(PMTCT!$AC:$AC,MATCH($E79,PMTCT!$E:$E,0))),"")</f>
        <v/>
      </c>
      <c r="X79" s="10" t="str">
        <f aca="false">IFERROR(1/(1/INDEX(PMTCT!$AS:$AS,MATCH($E79,PMTCT!$E:$E,0))),"")</f>
        <v/>
      </c>
      <c r="Y79" s="10" t="str">
        <f aca="false">IFERROR(1/(1/INDEX(VMMC!$AA:$AA,MATCH($E79,VMMC!$E:$E,0))),"")</f>
        <v/>
      </c>
      <c r="Z79" s="10" t="str">
        <f aca="false">IFERROR(1/(1/(SUM($U79)-SUM($V79:$Y79))),"")</f>
        <v/>
      </c>
    </row>
    <row r="80" customFormat="false" ht="15" hidden="false" customHeight="false" outlineLevel="0" collapsed="false">
      <c r="A80" s="0" t="str">
        <f aca="false">INDEX(Prioritization!$D:$D,MATCH($B80,Prioritization!$A:$A,0))</f>
        <v>1 - Scale-up: Saturation</v>
      </c>
      <c r="B80" s="0" t="s">
        <v>199</v>
      </c>
      <c r="C80" s="0" t="s">
        <v>365</v>
      </c>
      <c r="D80" s="0" t="s">
        <v>48</v>
      </c>
      <c r="E80" s="0" t="str">
        <f aca="false">B80&amp;"|"&amp;C80&amp;"|"&amp;D80</f>
        <v>Mchinji District [kxuuIFpOXyO]|15-24|Male</v>
      </c>
      <c r="F80" s="10"/>
      <c r="G80" s="88" t="n">
        <f aca="false">0</f>
        <v>0</v>
      </c>
      <c r="H80" s="39" t="str">
        <f aca="false">IF(SUM($F80)=0,"",ROUND($F80*(1+$G80),0))</f>
        <v/>
      </c>
      <c r="I80" s="10"/>
      <c r="J80" s="88"/>
      <c r="K80" s="88" t="str">
        <f aca="false">IF($J80="","",$J80)</f>
        <v/>
      </c>
      <c r="L80" s="88"/>
      <c r="M80" s="88" t="str">
        <f aca="false">IF($L80="","",$L80)</f>
        <v/>
      </c>
      <c r="N80" s="10" t="str">
        <f aca="false">$H80</f>
        <v/>
      </c>
      <c r="O80" s="39" t="str">
        <f aca="false">IF(SUM($N80)=0,"",IF(AND(SUM($N80)&gt;0,$K80=""),"ENTER KNOWN POSITIVITY RATE",ROUND($N80*$K80,0)))</f>
        <v/>
      </c>
      <c r="P80" s="39" t="str">
        <f aca="false">IF(SUM($N80)=0,"",IF(AND((SUM($N80)-SUM($O80))&gt;0,$M80=""),"ENTER YIELD RATE",ROUND(($N80-SUM($O80))*$M80,0)))</f>
        <v/>
      </c>
      <c r="Q80" s="39" t="str">
        <f aca="false">IF(SUM($N80)=0,"",$N80-SUM($O80)-SUM($P80))</f>
        <v/>
      </c>
      <c r="R80" s="88" t="str">
        <f aca="false">IF(SUM($P80)=0,"",INDEX(Cascade!$BG:$BG,MATCH($E80,Cascade!$E:$E,0)))</f>
        <v/>
      </c>
      <c r="S80" s="39" t="str">
        <f aca="false">$O80</f>
        <v/>
      </c>
      <c r="T80" s="39" t="str">
        <f aca="false">IF(SUM($P80)=0,"",IF(AND($R80="",SUM($P80)&gt;0),"&lt;- Enter Linkage Rate",ROUND($P80*$R80,0)))</f>
        <v/>
      </c>
      <c r="U80" s="10" t="str">
        <f aca="false">IFERROR(1/(1/INDEX(Cascade!$BH:$BH,MATCH($E80,Cascade!$E:$E,0))),"")</f>
        <v/>
      </c>
      <c r="V80" s="10" t="str">
        <f aca="false">IF(SUM($P80)=0,"",$P80)</f>
        <v/>
      </c>
      <c r="W80" s="10" t="str">
        <f aca="false">IFERROR(1/(1/INDEX(PMTCT!$AC:$AC,MATCH($E80,PMTCT!$E:$E,0))),"")</f>
        <v/>
      </c>
      <c r="X80" s="10" t="str">
        <f aca="false">IFERROR(1/(1/INDEX(PMTCT!$AS:$AS,MATCH($E80,PMTCT!$E:$E,0))),"")</f>
        <v/>
      </c>
      <c r="Y80" s="10" t="str">
        <f aca="false">IFERROR(1/(1/INDEX(VMMC!$AA:$AA,MATCH($E80,VMMC!$E:$E,0))),"")</f>
        <v/>
      </c>
      <c r="Z80" s="10" t="str">
        <f aca="false">IFERROR(1/(1/(SUM($U80)-SUM($V80:$Y80))),"")</f>
        <v/>
      </c>
    </row>
    <row r="81" customFormat="false" ht="15" hidden="false" customHeight="false" outlineLevel="0" collapsed="false">
      <c r="A81" s="0" t="str">
        <f aca="false">INDEX(Prioritization!$D:$D,MATCH($B81,Prioritization!$A:$A,0))</f>
        <v>1 - Scale-up: Saturation</v>
      </c>
      <c r="B81" s="0" t="s">
        <v>199</v>
      </c>
      <c r="C81" s="0" t="s">
        <v>366</v>
      </c>
      <c r="D81" s="0" t="s">
        <v>30</v>
      </c>
      <c r="E81" s="0" t="str">
        <f aca="false">B81&amp;"|"&amp;C81&amp;"|"&amp;D81</f>
        <v>Mchinji District [kxuuIFpOXyO]|25-34|Female</v>
      </c>
      <c r="F81" s="10"/>
      <c r="G81" s="88" t="n">
        <f aca="false">0</f>
        <v>0</v>
      </c>
      <c r="H81" s="39" t="str">
        <f aca="false">IF(SUM($F81)=0,"",ROUND($F81*(1+$G81),0))</f>
        <v/>
      </c>
      <c r="I81" s="10"/>
      <c r="J81" s="88"/>
      <c r="K81" s="88" t="str">
        <f aca="false">IF($J81="","",$J81)</f>
        <v/>
      </c>
      <c r="L81" s="88"/>
      <c r="M81" s="88" t="str">
        <f aca="false">IF($L81="","",$L81)</f>
        <v/>
      </c>
      <c r="N81" s="10" t="str">
        <f aca="false">$H81</f>
        <v/>
      </c>
      <c r="O81" s="39" t="str">
        <f aca="false">IF(SUM($N81)=0,"",IF(AND(SUM($N81)&gt;0,$K81=""),"ENTER KNOWN POSITIVITY RATE",ROUND($N81*$K81,0)))</f>
        <v/>
      </c>
      <c r="P81" s="39" t="str">
        <f aca="false">IF(SUM($N81)=0,"",IF(AND((SUM($N81)-SUM($O81))&gt;0,$M81=""),"ENTER YIELD RATE",ROUND(($N81-SUM($O81))*$M81,0)))</f>
        <v/>
      </c>
      <c r="Q81" s="39" t="str">
        <f aca="false">IF(SUM($N81)=0,"",$N81-SUM($O81)-SUM($P81))</f>
        <v/>
      </c>
      <c r="R81" s="88" t="str">
        <f aca="false">IF(SUM($P81)=0,"",INDEX(Cascade!$BG:$BG,MATCH($E81,Cascade!$E:$E,0)))</f>
        <v/>
      </c>
      <c r="S81" s="39" t="str">
        <f aca="false">$O81</f>
        <v/>
      </c>
      <c r="T81" s="39" t="str">
        <f aca="false">IF(SUM($P81)=0,"",IF(AND($R81="",SUM($P81)&gt;0),"&lt;- Enter Linkage Rate",ROUND($P81*$R81,0)))</f>
        <v/>
      </c>
      <c r="U81" s="10" t="str">
        <f aca="false">IFERROR(1/(1/INDEX(Cascade!$BH:$BH,MATCH($E81,Cascade!$E:$E,0))),"")</f>
        <v/>
      </c>
      <c r="V81" s="10" t="str">
        <f aca="false">IF(SUM($P81)=0,"",$P81)</f>
        <v/>
      </c>
      <c r="W81" s="10" t="str">
        <f aca="false">IFERROR(1/(1/INDEX(PMTCT!$AC:$AC,MATCH($E81,PMTCT!$E:$E,0))),"")</f>
        <v/>
      </c>
      <c r="X81" s="10" t="str">
        <f aca="false">IFERROR(1/(1/INDEX(PMTCT!$AS:$AS,MATCH($E81,PMTCT!$E:$E,0))),"")</f>
        <v/>
      </c>
      <c r="Y81" s="10" t="str">
        <f aca="false">IFERROR(1/(1/INDEX(VMMC!$AA:$AA,MATCH($E81,VMMC!$E:$E,0))),"")</f>
        <v/>
      </c>
      <c r="Z81" s="10" t="str">
        <f aca="false">IFERROR(1/(1/(SUM($U81)-SUM($V81:$Y81))),"")</f>
        <v/>
      </c>
    </row>
    <row r="82" customFormat="false" ht="15" hidden="false" customHeight="false" outlineLevel="0" collapsed="false">
      <c r="A82" s="0" t="str">
        <f aca="false">INDEX(Prioritization!$D:$D,MATCH($B82,Prioritization!$A:$A,0))</f>
        <v>1 - Scale-up: Saturation</v>
      </c>
      <c r="B82" s="0" t="s">
        <v>199</v>
      </c>
      <c r="C82" s="0" t="s">
        <v>366</v>
      </c>
      <c r="D82" s="0" t="s">
        <v>48</v>
      </c>
      <c r="E82" s="0" t="str">
        <f aca="false">B82&amp;"|"&amp;C82&amp;"|"&amp;D82</f>
        <v>Mchinji District [kxuuIFpOXyO]|25-34|Male</v>
      </c>
      <c r="F82" s="10"/>
      <c r="G82" s="88" t="n">
        <f aca="false">0</f>
        <v>0</v>
      </c>
      <c r="H82" s="39" t="str">
        <f aca="false">IF(SUM($F82)=0,"",ROUND($F82*(1+$G82),0))</f>
        <v/>
      </c>
      <c r="I82" s="10"/>
      <c r="J82" s="88"/>
      <c r="K82" s="88" t="str">
        <f aca="false">IF($J82="","",$J82)</f>
        <v/>
      </c>
      <c r="L82" s="88"/>
      <c r="M82" s="88" t="str">
        <f aca="false">IF($L82="","",$L82)</f>
        <v/>
      </c>
      <c r="N82" s="10" t="str">
        <f aca="false">$H82</f>
        <v/>
      </c>
      <c r="O82" s="39" t="str">
        <f aca="false">IF(SUM($N82)=0,"",IF(AND(SUM($N82)&gt;0,$K82=""),"ENTER KNOWN POSITIVITY RATE",ROUND($N82*$K82,0)))</f>
        <v/>
      </c>
      <c r="P82" s="39" t="str">
        <f aca="false">IF(SUM($N82)=0,"",IF(AND((SUM($N82)-SUM($O82))&gt;0,$M82=""),"ENTER YIELD RATE",ROUND(($N82-SUM($O82))*$M82,0)))</f>
        <v/>
      </c>
      <c r="Q82" s="39" t="str">
        <f aca="false">IF(SUM($N82)=0,"",$N82-SUM($O82)-SUM($P82))</f>
        <v/>
      </c>
      <c r="R82" s="88" t="str">
        <f aca="false">IF(SUM($P82)=0,"",INDEX(Cascade!$BG:$BG,MATCH($E82,Cascade!$E:$E,0)))</f>
        <v/>
      </c>
      <c r="S82" s="39" t="str">
        <f aca="false">$O82</f>
        <v/>
      </c>
      <c r="T82" s="39" t="str">
        <f aca="false">IF(SUM($P82)=0,"",IF(AND($R82="",SUM($P82)&gt;0),"&lt;- Enter Linkage Rate",ROUND($P82*$R82,0)))</f>
        <v/>
      </c>
      <c r="U82" s="10" t="str">
        <f aca="false">IFERROR(1/(1/INDEX(Cascade!$BH:$BH,MATCH($E82,Cascade!$E:$E,0))),"")</f>
        <v/>
      </c>
      <c r="V82" s="10" t="str">
        <f aca="false">IF(SUM($P82)=0,"",$P82)</f>
        <v/>
      </c>
      <c r="W82" s="10" t="str">
        <f aca="false">IFERROR(1/(1/INDEX(PMTCT!$AC:$AC,MATCH($E82,PMTCT!$E:$E,0))),"")</f>
        <v/>
      </c>
      <c r="X82" s="10" t="str">
        <f aca="false">IFERROR(1/(1/INDEX(PMTCT!$AS:$AS,MATCH($E82,PMTCT!$E:$E,0))),"")</f>
        <v/>
      </c>
      <c r="Y82" s="10" t="str">
        <f aca="false">IFERROR(1/(1/INDEX(VMMC!$AA:$AA,MATCH($E82,VMMC!$E:$E,0))),"")</f>
        <v/>
      </c>
      <c r="Z82" s="10" t="str">
        <f aca="false">IFERROR(1/(1/(SUM($U82)-SUM($V82:$Y82))),"")</f>
        <v/>
      </c>
    </row>
    <row r="83" customFormat="false" ht="15" hidden="false" customHeight="false" outlineLevel="0" collapsed="false">
      <c r="A83" s="0" t="str">
        <f aca="false">INDEX(Prioritization!$D:$D,MATCH($B83,Prioritization!$A:$A,0))</f>
        <v>1 - Scale-up: Saturation</v>
      </c>
      <c r="B83" s="0" t="s">
        <v>199</v>
      </c>
      <c r="C83" s="0" t="s">
        <v>367</v>
      </c>
      <c r="D83" s="0" t="s">
        <v>30</v>
      </c>
      <c r="E83" s="0" t="str">
        <f aca="false">B83&amp;"|"&amp;C83&amp;"|"&amp;D83</f>
        <v>Mchinji District [kxuuIFpOXyO]|35-49|Female</v>
      </c>
      <c r="F83" s="10"/>
      <c r="G83" s="88" t="n">
        <f aca="false">0</f>
        <v>0</v>
      </c>
      <c r="H83" s="39" t="str">
        <f aca="false">IF(SUM($F83)=0,"",ROUND($F83*(1+$G83),0))</f>
        <v/>
      </c>
      <c r="I83" s="10"/>
      <c r="J83" s="88"/>
      <c r="K83" s="88" t="str">
        <f aca="false">IF($J83="","",$J83)</f>
        <v/>
      </c>
      <c r="L83" s="88"/>
      <c r="M83" s="88" t="str">
        <f aca="false">IF($L83="","",$L83)</f>
        <v/>
      </c>
      <c r="N83" s="10" t="str">
        <f aca="false">$H83</f>
        <v/>
      </c>
      <c r="O83" s="39" t="str">
        <f aca="false">IF(SUM($N83)=0,"",IF(AND(SUM($N83)&gt;0,$K83=""),"ENTER KNOWN POSITIVITY RATE",ROUND($N83*$K83,0)))</f>
        <v/>
      </c>
      <c r="P83" s="39" t="str">
        <f aca="false">IF(SUM($N83)=0,"",IF(AND((SUM($N83)-SUM($O83))&gt;0,$M83=""),"ENTER YIELD RATE",ROUND(($N83-SUM($O83))*$M83,0)))</f>
        <v/>
      </c>
      <c r="Q83" s="39" t="str">
        <f aca="false">IF(SUM($N83)=0,"",$N83-SUM($O83)-SUM($P83))</f>
        <v/>
      </c>
      <c r="R83" s="88" t="str">
        <f aca="false">IF(SUM($P83)=0,"",INDEX(Cascade!$BG:$BG,MATCH($E83,Cascade!$E:$E,0)))</f>
        <v/>
      </c>
      <c r="S83" s="39" t="str">
        <f aca="false">$O83</f>
        <v/>
      </c>
      <c r="T83" s="39" t="str">
        <f aca="false">IF(SUM($P83)=0,"",IF(AND($R83="",SUM($P83)&gt;0),"&lt;- Enter Linkage Rate",ROUND($P83*$R83,0)))</f>
        <v/>
      </c>
      <c r="U83" s="10" t="str">
        <f aca="false">IFERROR(1/(1/INDEX(Cascade!$BH:$BH,MATCH($E83,Cascade!$E:$E,0))),"")</f>
        <v/>
      </c>
      <c r="V83" s="10" t="str">
        <f aca="false">IF(SUM($P83)=0,"",$P83)</f>
        <v/>
      </c>
      <c r="W83" s="10" t="str">
        <f aca="false">IFERROR(1/(1/INDEX(PMTCT!$AC:$AC,MATCH($E83,PMTCT!$E:$E,0))),"")</f>
        <v/>
      </c>
      <c r="X83" s="10" t="str">
        <f aca="false">IFERROR(1/(1/INDEX(PMTCT!$AS:$AS,MATCH($E83,PMTCT!$E:$E,0))),"")</f>
        <v/>
      </c>
      <c r="Y83" s="10" t="str">
        <f aca="false">IFERROR(1/(1/INDEX(VMMC!$AA:$AA,MATCH($E83,VMMC!$E:$E,0))),"")</f>
        <v/>
      </c>
      <c r="Z83" s="10" t="str">
        <f aca="false">IFERROR(1/(1/(SUM($U83)-SUM($V83:$Y83))),"")</f>
        <v/>
      </c>
    </row>
    <row r="84" customFormat="false" ht="15" hidden="false" customHeight="false" outlineLevel="0" collapsed="false">
      <c r="A84" s="0" t="str">
        <f aca="false">INDEX(Prioritization!$D:$D,MATCH($B84,Prioritization!$A:$A,0))</f>
        <v>1 - Scale-up: Saturation</v>
      </c>
      <c r="B84" s="0" t="s">
        <v>199</v>
      </c>
      <c r="C84" s="0" t="s">
        <v>367</v>
      </c>
      <c r="D84" s="0" t="s">
        <v>48</v>
      </c>
      <c r="E84" s="0" t="str">
        <f aca="false">B84&amp;"|"&amp;C84&amp;"|"&amp;D84</f>
        <v>Mchinji District [kxuuIFpOXyO]|35-49|Male</v>
      </c>
      <c r="F84" s="10"/>
      <c r="G84" s="88" t="n">
        <f aca="false">0</f>
        <v>0</v>
      </c>
      <c r="H84" s="39" t="str">
        <f aca="false">IF(SUM($F84)=0,"",ROUND($F84*(1+$G84),0))</f>
        <v/>
      </c>
      <c r="I84" s="10"/>
      <c r="J84" s="88"/>
      <c r="K84" s="88" t="str">
        <f aca="false">IF($J84="","",$J84)</f>
        <v/>
      </c>
      <c r="L84" s="88"/>
      <c r="M84" s="88" t="str">
        <f aca="false">IF($L84="","",$L84)</f>
        <v/>
      </c>
      <c r="N84" s="10" t="str">
        <f aca="false">$H84</f>
        <v/>
      </c>
      <c r="O84" s="39" t="str">
        <f aca="false">IF(SUM($N84)=0,"",IF(AND(SUM($N84)&gt;0,$K84=""),"ENTER KNOWN POSITIVITY RATE",ROUND($N84*$K84,0)))</f>
        <v/>
      </c>
      <c r="P84" s="39" t="str">
        <f aca="false">IF(SUM($N84)=0,"",IF(AND((SUM($N84)-SUM($O84))&gt;0,$M84=""),"ENTER YIELD RATE",ROUND(($N84-SUM($O84))*$M84,0)))</f>
        <v/>
      </c>
      <c r="Q84" s="39" t="str">
        <f aca="false">IF(SUM($N84)=0,"",$N84-SUM($O84)-SUM($P84))</f>
        <v/>
      </c>
      <c r="R84" s="88" t="str">
        <f aca="false">IF(SUM($P84)=0,"",INDEX(Cascade!$BG:$BG,MATCH($E84,Cascade!$E:$E,0)))</f>
        <v/>
      </c>
      <c r="S84" s="39" t="str">
        <f aca="false">$O84</f>
        <v/>
      </c>
      <c r="T84" s="39" t="str">
        <f aca="false">IF(SUM($P84)=0,"",IF(AND($R84="",SUM($P84)&gt;0),"&lt;- Enter Linkage Rate",ROUND($P84*$R84,0)))</f>
        <v/>
      </c>
      <c r="U84" s="10" t="str">
        <f aca="false">IFERROR(1/(1/INDEX(Cascade!$BH:$BH,MATCH($E84,Cascade!$E:$E,0))),"")</f>
        <v/>
      </c>
      <c r="V84" s="10" t="str">
        <f aca="false">IF(SUM($P84)=0,"",$P84)</f>
        <v/>
      </c>
      <c r="W84" s="10" t="str">
        <f aca="false">IFERROR(1/(1/INDEX(PMTCT!$AC:$AC,MATCH($E84,PMTCT!$E:$E,0))),"")</f>
        <v/>
      </c>
      <c r="X84" s="10" t="str">
        <f aca="false">IFERROR(1/(1/INDEX(PMTCT!$AS:$AS,MATCH($E84,PMTCT!$E:$E,0))),"")</f>
        <v/>
      </c>
      <c r="Y84" s="10" t="str">
        <f aca="false">IFERROR(1/(1/INDEX(VMMC!$AA:$AA,MATCH($E84,VMMC!$E:$E,0))),"")</f>
        <v/>
      </c>
      <c r="Z84" s="10" t="str">
        <f aca="false">IFERROR(1/(1/(SUM($U84)-SUM($V84:$Y84))),"")</f>
        <v/>
      </c>
    </row>
    <row r="85" customFormat="false" ht="15" hidden="false" customHeight="false" outlineLevel="0" collapsed="false">
      <c r="A85" s="0" t="str">
        <f aca="false">INDEX(Prioritization!$D:$D,MATCH($B85,Prioritization!$A:$A,0))</f>
        <v>1 - Scale-up: Saturation</v>
      </c>
      <c r="B85" s="0" t="s">
        <v>199</v>
      </c>
      <c r="C85" s="0" t="s">
        <v>368</v>
      </c>
      <c r="D85" s="0" t="s">
        <v>30</v>
      </c>
      <c r="E85" s="0" t="str">
        <f aca="false">B85&amp;"|"&amp;C85&amp;"|"&amp;D85</f>
        <v>Mchinji District [kxuuIFpOXyO]|50+|Female</v>
      </c>
      <c r="F85" s="10"/>
      <c r="G85" s="88" t="n">
        <f aca="false">0</f>
        <v>0</v>
      </c>
      <c r="H85" s="39" t="str">
        <f aca="false">IF(SUM($F85)=0,"",ROUND($F85*(1+$G85),0))</f>
        <v/>
      </c>
      <c r="I85" s="10"/>
      <c r="J85" s="88"/>
      <c r="K85" s="88" t="str">
        <f aca="false">IF($J85="","",$J85)</f>
        <v/>
      </c>
      <c r="L85" s="88"/>
      <c r="M85" s="88" t="str">
        <f aca="false">IF($L85="","",$L85)</f>
        <v/>
      </c>
      <c r="N85" s="10" t="str">
        <f aca="false">$H85</f>
        <v/>
      </c>
      <c r="O85" s="39" t="str">
        <f aca="false">IF(SUM($N85)=0,"",IF(AND(SUM($N85)&gt;0,$K85=""),"ENTER KNOWN POSITIVITY RATE",ROUND($N85*$K85,0)))</f>
        <v/>
      </c>
      <c r="P85" s="39" t="str">
        <f aca="false">IF(SUM($N85)=0,"",IF(AND((SUM($N85)-SUM($O85))&gt;0,$M85=""),"ENTER YIELD RATE",ROUND(($N85-SUM($O85))*$M85,0)))</f>
        <v/>
      </c>
      <c r="Q85" s="39" t="str">
        <f aca="false">IF(SUM($N85)=0,"",$N85-SUM($O85)-SUM($P85))</f>
        <v/>
      </c>
      <c r="R85" s="88" t="str">
        <f aca="false">IF(SUM($P85)=0,"",INDEX(Cascade!$BG:$BG,MATCH($E85,Cascade!$E:$E,0)))</f>
        <v/>
      </c>
      <c r="S85" s="39" t="str">
        <f aca="false">$O85</f>
        <v/>
      </c>
      <c r="T85" s="39" t="str">
        <f aca="false">IF(SUM($P85)=0,"",IF(AND($R85="",SUM($P85)&gt;0),"&lt;- Enter Linkage Rate",ROUND($P85*$R85,0)))</f>
        <v/>
      </c>
      <c r="U85" s="10" t="str">
        <f aca="false">IFERROR(1/(1/INDEX(Cascade!$BH:$BH,MATCH($E85,Cascade!$E:$E,0))),"")</f>
        <v/>
      </c>
      <c r="V85" s="10" t="str">
        <f aca="false">IF(SUM($P85)=0,"",$P85)</f>
        <v/>
      </c>
      <c r="W85" s="10" t="str">
        <f aca="false">IFERROR(1/(1/INDEX(PMTCT!$AC:$AC,MATCH($E85,PMTCT!$E:$E,0))),"")</f>
        <v/>
      </c>
      <c r="X85" s="10" t="str">
        <f aca="false">IFERROR(1/(1/INDEX(PMTCT!$AS:$AS,MATCH($E85,PMTCT!$E:$E,0))),"")</f>
        <v/>
      </c>
      <c r="Y85" s="10" t="str">
        <f aca="false">IFERROR(1/(1/INDEX(VMMC!$AA:$AA,MATCH($E85,VMMC!$E:$E,0))),"")</f>
        <v/>
      </c>
      <c r="Z85" s="10" t="str">
        <f aca="false">IFERROR(1/(1/(SUM($U85)-SUM($V85:$Y85))),"")</f>
        <v/>
      </c>
    </row>
    <row r="86" customFormat="false" ht="15" hidden="false" customHeight="false" outlineLevel="0" collapsed="false">
      <c r="A86" s="0" t="str">
        <f aca="false">INDEX(Prioritization!$D:$D,MATCH($B86,Prioritization!$A:$A,0))</f>
        <v>1 - Scale-up: Saturation</v>
      </c>
      <c r="B86" s="0" t="s">
        <v>199</v>
      </c>
      <c r="C86" s="0" t="s">
        <v>368</v>
      </c>
      <c r="D86" s="0" t="s">
        <v>48</v>
      </c>
      <c r="E86" s="0" t="str">
        <f aca="false">B86&amp;"|"&amp;C86&amp;"|"&amp;D86</f>
        <v>Mchinji District [kxuuIFpOXyO]|50+|Male</v>
      </c>
      <c r="F86" s="10"/>
      <c r="G86" s="88" t="n">
        <f aca="false">0</f>
        <v>0</v>
      </c>
      <c r="H86" s="39" t="str">
        <f aca="false">IF(SUM($F86)=0,"",ROUND($F86*(1+$G86),0))</f>
        <v/>
      </c>
      <c r="I86" s="10"/>
      <c r="J86" s="88"/>
      <c r="K86" s="88" t="str">
        <f aca="false">IF($J86="","",$J86)</f>
        <v/>
      </c>
      <c r="L86" s="88"/>
      <c r="M86" s="88" t="str">
        <f aca="false">IF($L86="","",$L86)</f>
        <v/>
      </c>
      <c r="N86" s="10" t="str">
        <f aca="false">$H86</f>
        <v/>
      </c>
      <c r="O86" s="39" t="str">
        <f aca="false">IF(SUM($N86)=0,"",IF(AND(SUM($N86)&gt;0,$K86=""),"ENTER KNOWN POSITIVITY RATE",ROUND($N86*$K86,0)))</f>
        <v/>
      </c>
      <c r="P86" s="39" t="str">
        <f aca="false">IF(SUM($N86)=0,"",IF(AND((SUM($N86)-SUM($O86))&gt;0,$M86=""),"ENTER YIELD RATE",ROUND(($N86-SUM($O86))*$M86,0)))</f>
        <v/>
      </c>
      <c r="Q86" s="39" t="str">
        <f aca="false">IF(SUM($N86)=0,"",$N86-SUM($O86)-SUM($P86))</f>
        <v/>
      </c>
      <c r="R86" s="88" t="str">
        <f aca="false">IF(SUM($P86)=0,"",INDEX(Cascade!$BG:$BG,MATCH($E86,Cascade!$E:$E,0)))</f>
        <v/>
      </c>
      <c r="S86" s="39" t="str">
        <f aca="false">$O86</f>
        <v/>
      </c>
      <c r="T86" s="39" t="str">
        <f aca="false">IF(SUM($P86)=0,"",IF(AND($R86="",SUM($P86)&gt;0),"&lt;- Enter Linkage Rate",ROUND($P86*$R86,0)))</f>
        <v/>
      </c>
      <c r="U86" s="10" t="str">
        <f aca="false">IFERROR(1/(1/INDEX(Cascade!$BH:$BH,MATCH($E86,Cascade!$E:$E,0))),"")</f>
        <v/>
      </c>
      <c r="V86" s="10" t="str">
        <f aca="false">IF(SUM($P86)=0,"",$P86)</f>
        <v/>
      </c>
      <c r="W86" s="10" t="str">
        <f aca="false">IFERROR(1/(1/INDEX(PMTCT!$AC:$AC,MATCH($E86,PMTCT!$E:$E,0))),"")</f>
        <v/>
      </c>
      <c r="X86" s="10" t="str">
        <f aca="false">IFERROR(1/(1/INDEX(PMTCT!$AS:$AS,MATCH($E86,PMTCT!$E:$E,0))),"")</f>
        <v/>
      </c>
      <c r="Y86" s="10" t="str">
        <f aca="false">IFERROR(1/(1/INDEX(VMMC!$AA:$AA,MATCH($E86,VMMC!$E:$E,0))),"")</f>
        <v/>
      </c>
      <c r="Z86" s="10" t="str">
        <f aca="false">IFERROR(1/(1/(SUM($U86)-SUM($V86:$Y86))),"")</f>
        <v/>
      </c>
    </row>
    <row r="87" customFormat="false" ht="15" hidden="false" customHeight="false" outlineLevel="0" collapsed="false">
      <c r="A87" s="0" t="str">
        <f aca="false">INDEX(Prioritization!$D:$D,MATCH($B87,Prioritization!$A:$A,0))</f>
        <v>1 - Scale-up: Saturation</v>
      </c>
      <c r="B87" s="0" t="s">
        <v>200</v>
      </c>
      <c r="C87" s="0" t="s">
        <v>363</v>
      </c>
      <c r="D87" s="0" t="s">
        <v>30</v>
      </c>
      <c r="E87" s="0" t="str">
        <f aca="false">B87&amp;"|"&amp;C87&amp;"|"&amp;D87</f>
        <v>Nkhotakota District [YCKiBAp8QAg]|01-09|Female</v>
      </c>
      <c r="F87" s="10"/>
      <c r="G87" s="88" t="n">
        <f aca="false">0</f>
        <v>0</v>
      </c>
      <c r="H87" s="39" t="str">
        <f aca="false">IF(SUM($F87)=0,"",ROUND($F87*(1+$G87),0))</f>
        <v/>
      </c>
      <c r="I87" s="10"/>
      <c r="J87" s="88"/>
      <c r="K87" s="88" t="str">
        <f aca="false">IF($J87="","",$J87)</f>
        <v/>
      </c>
      <c r="L87" s="88"/>
      <c r="M87" s="88" t="str">
        <f aca="false">IF($L87="","",$L87)</f>
        <v/>
      </c>
      <c r="N87" s="10" t="str">
        <f aca="false">$H87</f>
        <v/>
      </c>
      <c r="O87" s="39" t="str">
        <f aca="false">IF(SUM($N87)=0,"",IF(AND(SUM($N87)&gt;0,$K87=""),"ENTER KNOWN POSITIVITY RATE",ROUND($N87*$K87,0)))</f>
        <v/>
      </c>
      <c r="P87" s="39" t="str">
        <f aca="false">IF(SUM($N87)=0,"",IF(AND((SUM($N87)-SUM($O87))&gt;0,$M87=""),"ENTER YIELD RATE",ROUND(($N87-SUM($O87))*$M87,0)))</f>
        <v/>
      </c>
      <c r="Q87" s="39" t="str">
        <f aca="false">IF(SUM($N87)=0,"",$N87-SUM($O87)-SUM($P87))</f>
        <v/>
      </c>
      <c r="R87" s="88" t="str">
        <f aca="false">IF(SUM($P87)=0,"",INDEX(Cascade!$BG:$BG,MATCH($E87,Cascade!$E:$E,0)))</f>
        <v/>
      </c>
      <c r="S87" s="39" t="str">
        <f aca="false">$O87</f>
        <v/>
      </c>
      <c r="T87" s="39" t="str">
        <f aca="false">IF(SUM($P87)=0,"",IF(AND($R87="",SUM($P87)&gt;0),"&lt;- Enter Linkage Rate",ROUND($P87*$R87,0)))</f>
        <v/>
      </c>
      <c r="U87" s="10" t="str">
        <f aca="false">IFERROR(1/(1/INDEX(Cascade!$BH:$BH,MATCH($E87,Cascade!$E:$E,0))),"")</f>
        <v/>
      </c>
      <c r="V87" s="10" t="str">
        <f aca="false">IF(SUM($P87)=0,"",$P87)</f>
        <v/>
      </c>
      <c r="W87" s="10" t="str">
        <f aca="false">IFERROR(1/(1/INDEX(PMTCT!$AC:$AC,MATCH($E87,PMTCT!$E:$E,0))),"")</f>
        <v/>
      </c>
      <c r="X87" s="10" t="str">
        <f aca="false">IFERROR(1/(1/INDEX(PMTCT!$AS:$AS,MATCH($E87,PMTCT!$E:$E,0))),"")</f>
        <v/>
      </c>
      <c r="Y87" s="10" t="str">
        <f aca="false">IFERROR(1/(1/INDEX(VMMC!$AA:$AA,MATCH($E87,VMMC!$E:$E,0))),"")</f>
        <v/>
      </c>
      <c r="Z87" s="10" t="str">
        <f aca="false">IFERROR(1/(1/(SUM($U87)-SUM($V87:$Y87))),"")</f>
        <v/>
      </c>
    </row>
    <row r="88" customFormat="false" ht="15" hidden="false" customHeight="false" outlineLevel="0" collapsed="false">
      <c r="A88" s="0" t="str">
        <f aca="false">INDEX(Prioritization!$D:$D,MATCH($B88,Prioritization!$A:$A,0))</f>
        <v>1 - Scale-up: Saturation</v>
      </c>
      <c r="B88" s="0" t="s">
        <v>200</v>
      </c>
      <c r="C88" s="0" t="s">
        <v>363</v>
      </c>
      <c r="D88" s="0" t="s">
        <v>48</v>
      </c>
      <c r="E88" s="0" t="str">
        <f aca="false">B88&amp;"|"&amp;C88&amp;"|"&amp;D88</f>
        <v>Nkhotakota District [YCKiBAp8QAg]|01-09|Male</v>
      </c>
      <c r="F88" s="10"/>
      <c r="G88" s="88" t="n">
        <f aca="false">0</f>
        <v>0</v>
      </c>
      <c r="H88" s="39" t="str">
        <f aca="false">IF(SUM($F88)=0,"",ROUND($F88*(1+$G88),0))</f>
        <v/>
      </c>
      <c r="I88" s="10"/>
      <c r="J88" s="88"/>
      <c r="K88" s="88" t="str">
        <f aca="false">IF($J88="","",$J88)</f>
        <v/>
      </c>
      <c r="L88" s="88"/>
      <c r="M88" s="88" t="str">
        <f aca="false">IF($L88="","",$L88)</f>
        <v/>
      </c>
      <c r="N88" s="10" t="str">
        <f aca="false">$H88</f>
        <v/>
      </c>
      <c r="O88" s="39" t="str">
        <f aca="false">IF(SUM($N88)=0,"",IF(AND(SUM($N88)&gt;0,$K88=""),"ENTER KNOWN POSITIVITY RATE",ROUND($N88*$K88,0)))</f>
        <v/>
      </c>
      <c r="P88" s="39" t="str">
        <f aca="false">IF(SUM($N88)=0,"",IF(AND((SUM($N88)-SUM($O88))&gt;0,$M88=""),"ENTER YIELD RATE",ROUND(($N88-SUM($O88))*$M88,0)))</f>
        <v/>
      </c>
      <c r="Q88" s="39" t="str">
        <f aca="false">IF(SUM($N88)=0,"",$N88-SUM($O88)-SUM($P88))</f>
        <v/>
      </c>
      <c r="R88" s="88" t="str">
        <f aca="false">IF(SUM($P88)=0,"",INDEX(Cascade!$BG:$BG,MATCH($E88,Cascade!$E:$E,0)))</f>
        <v/>
      </c>
      <c r="S88" s="39" t="str">
        <f aca="false">$O88</f>
        <v/>
      </c>
      <c r="T88" s="39" t="str">
        <f aca="false">IF(SUM($P88)=0,"",IF(AND($R88="",SUM($P88)&gt;0),"&lt;- Enter Linkage Rate",ROUND($P88*$R88,0)))</f>
        <v/>
      </c>
      <c r="U88" s="10" t="str">
        <f aca="false">IFERROR(1/(1/INDEX(Cascade!$BH:$BH,MATCH($E88,Cascade!$E:$E,0))),"")</f>
        <v/>
      </c>
      <c r="V88" s="10" t="str">
        <f aca="false">IF(SUM($P88)=0,"",$P88)</f>
        <v/>
      </c>
      <c r="W88" s="10" t="str">
        <f aca="false">IFERROR(1/(1/INDEX(PMTCT!$AC:$AC,MATCH($E88,PMTCT!$E:$E,0))),"")</f>
        <v/>
      </c>
      <c r="X88" s="10" t="str">
        <f aca="false">IFERROR(1/(1/INDEX(PMTCT!$AS:$AS,MATCH($E88,PMTCT!$E:$E,0))),"")</f>
        <v/>
      </c>
      <c r="Y88" s="10" t="str">
        <f aca="false">IFERROR(1/(1/INDEX(VMMC!$AA:$AA,MATCH($E88,VMMC!$E:$E,0))),"")</f>
        <v/>
      </c>
      <c r="Z88" s="10" t="str">
        <f aca="false">IFERROR(1/(1/(SUM($U88)-SUM($V88:$Y88))),"")</f>
        <v/>
      </c>
    </row>
    <row r="89" customFormat="false" ht="15" hidden="false" customHeight="false" outlineLevel="0" collapsed="false">
      <c r="A89" s="0" t="str">
        <f aca="false">INDEX(Prioritization!$D:$D,MATCH($B89,Prioritization!$A:$A,0))</f>
        <v>1 - Scale-up: Saturation</v>
      </c>
      <c r="B89" s="0" t="s">
        <v>200</v>
      </c>
      <c r="C89" s="0" t="s">
        <v>364</v>
      </c>
      <c r="D89" s="0" t="s">
        <v>30</v>
      </c>
      <c r="E89" s="0" t="str">
        <f aca="false">B89&amp;"|"&amp;C89&amp;"|"&amp;D89</f>
        <v>Nkhotakota District [YCKiBAp8QAg]|10-14|Female</v>
      </c>
      <c r="F89" s="10" t="n">
        <v>1</v>
      </c>
      <c r="G89" s="88" t="n">
        <f aca="false">0</f>
        <v>0</v>
      </c>
      <c r="H89" s="39" t="n">
        <f aca="false">IF(SUM($F89)=0,"",ROUND($F89*(1+$G89),0))</f>
        <v>1</v>
      </c>
      <c r="I89" s="10"/>
      <c r="J89" s="88"/>
      <c r="K89" s="88" t="str">
        <f aca="false">IF($J89="","",$J89)</f>
        <v/>
      </c>
      <c r="L89" s="88"/>
      <c r="M89" s="88" t="str">
        <f aca="false">IF($L89="","",$L89)</f>
        <v/>
      </c>
      <c r="N89" s="10" t="n">
        <f aca="false">$H89</f>
        <v>1</v>
      </c>
      <c r="O89" s="39" t="str">
        <f aca="false">IF(SUM($N89)=0,"",IF(AND(SUM($N89)&gt;0,$K89=""),"ENTER KNOWN POSITIVITY RATE",ROUND($N89*$K89,0)))</f>
        <v>ENTER KNOWN POSITIVITY RATE</v>
      </c>
      <c r="P89" s="39" t="str">
        <f aca="false">IF(SUM($N89)=0,"",IF(AND((SUM($N89)-SUM($O89))&gt;0,$M89=""),"ENTER YIELD RATE",ROUND(($N89-SUM($O89))*$M89,0)))</f>
        <v>ENTER YIELD RATE</v>
      </c>
      <c r="Q89" s="39" t="n">
        <f aca="false">IF(SUM($N89)=0,"",$N89-SUM($O89)-SUM($P89))</f>
        <v>1</v>
      </c>
      <c r="R89" s="88" t="str">
        <f aca="false">IF(SUM($P89)=0,"",INDEX(Cascade!$BG:$BG,MATCH($E89,Cascade!$E:$E,0)))</f>
        <v/>
      </c>
      <c r="S89" s="39" t="str">
        <f aca="false">$O89</f>
        <v>ENTER KNOWN POSITIVITY RATE</v>
      </c>
      <c r="T89" s="39" t="str">
        <f aca="false">IF(SUM($P89)=0,"",IF(AND($R89="",SUM($P89)&gt;0),"&lt;- Enter Linkage Rate",ROUND($P89*$R89,0)))</f>
        <v/>
      </c>
      <c r="U89" s="10" t="n">
        <f aca="false">IFERROR(1/(1/INDEX(Cascade!$BH:$BH,MATCH($E89,Cascade!$E:$E,0))),"")</f>
        <v>-86</v>
      </c>
      <c r="V89" s="10" t="str">
        <f aca="false">IF(SUM($P89)=0,"",$P89)</f>
        <v/>
      </c>
      <c r="W89" s="10" t="str">
        <f aca="false">IFERROR(1/(1/INDEX(PMTCT!$AC:$AC,MATCH($E89,PMTCT!$E:$E,0))),"")</f>
        <v/>
      </c>
      <c r="X89" s="10" t="str">
        <f aca="false">IFERROR(1/(1/INDEX(PMTCT!$AS:$AS,MATCH($E89,PMTCT!$E:$E,0))),"")</f>
        <v/>
      </c>
      <c r="Y89" s="10" t="str">
        <f aca="false">IFERROR(1/(1/INDEX(VMMC!$AA:$AA,MATCH($E89,VMMC!$E:$E,0))),"")</f>
        <v/>
      </c>
      <c r="Z89" s="10" t="n">
        <f aca="false">IFERROR(1/(1/(SUM($U89)-SUM($V89:$Y89))),"")</f>
        <v>-86</v>
      </c>
    </row>
    <row r="90" customFormat="false" ht="15" hidden="false" customHeight="false" outlineLevel="0" collapsed="false">
      <c r="A90" s="0" t="str">
        <f aca="false">INDEX(Prioritization!$D:$D,MATCH($B90,Prioritization!$A:$A,0))</f>
        <v>1 - Scale-up: Saturation</v>
      </c>
      <c r="B90" s="0" t="s">
        <v>200</v>
      </c>
      <c r="C90" s="0" t="s">
        <v>364</v>
      </c>
      <c r="D90" s="0" t="s">
        <v>48</v>
      </c>
      <c r="E90" s="0" t="str">
        <f aca="false">B90&amp;"|"&amp;C90&amp;"|"&amp;D90</f>
        <v>Nkhotakota District [YCKiBAp8QAg]|10-14|Male</v>
      </c>
      <c r="F90" s="10" t="n">
        <v>0</v>
      </c>
      <c r="G90" s="88" t="n">
        <f aca="false">0</f>
        <v>0</v>
      </c>
      <c r="H90" s="39" t="str">
        <f aca="false">IF(SUM($F90)=0,"",ROUND($F90*(1+$G90),0))</f>
        <v/>
      </c>
      <c r="I90" s="10"/>
      <c r="J90" s="88"/>
      <c r="K90" s="88" t="str">
        <f aca="false">IF($J90="","",$J90)</f>
        <v/>
      </c>
      <c r="L90" s="88"/>
      <c r="M90" s="88" t="str">
        <f aca="false">IF($L90="","",$L90)</f>
        <v/>
      </c>
      <c r="N90" s="10" t="str">
        <f aca="false">$H90</f>
        <v/>
      </c>
      <c r="O90" s="39" t="str">
        <f aca="false">IF(SUM($N90)=0,"",IF(AND(SUM($N90)&gt;0,$K90=""),"ENTER KNOWN POSITIVITY RATE",ROUND($N90*$K90,0)))</f>
        <v/>
      </c>
      <c r="P90" s="39" t="str">
        <f aca="false">IF(SUM($N90)=0,"",IF(AND((SUM($N90)-SUM($O90))&gt;0,$M90=""),"ENTER YIELD RATE",ROUND(($N90-SUM($O90))*$M90,0)))</f>
        <v/>
      </c>
      <c r="Q90" s="39" t="str">
        <f aca="false">IF(SUM($N90)=0,"",$N90-SUM($O90)-SUM($P90))</f>
        <v/>
      </c>
      <c r="R90" s="88" t="str">
        <f aca="false">IF(SUM($P90)=0,"",INDEX(Cascade!$BG:$BG,MATCH($E90,Cascade!$E:$E,0)))</f>
        <v/>
      </c>
      <c r="S90" s="39" t="str">
        <f aca="false">$O90</f>
        <v/>
      </c>
      <c r="T90" s="39" t="str">
        <f aca="false">IF(SUM($P90)=0,"",IF(AND($R90="",SUM($P90)&gt;0),"&lt;- Enter Linkage Rate",ROUND($P90*$R90,0)))</f>
        <v/>
      </c>
      <c r="U90" s="10" t="n">
        <f aca="false">IFERROR(1/(1/INDEX(Cascade!$BH:$BH,MATCH($E90,Cascade!$E:$E,0))),"")</f>
        <v>-86</v>
      </c>
      <c r="V90" s="10" t="str">
        <f aca="false">IF(SUM($P90)=0,"",$P90)</f>
        <v/>
      </c>
      <c r="W90" s="10" t="str">
        <f aca="false">IFERROR(1/(1/INDEX(PMTCT!$AC:$AC,MATCH($E90,PMTCT!$E:$E,0))),"")</f>
        <v/>
      </c>
      <c r="X90" s="10" t="str">
        <f aca="false">IFERROR(1/(1/INDEX(PMTCT!$AS:$AS,MATCH($E90,PMTCT!$E:$E,0))),"")</f>
        <v/>
      </c>
      <c r="Y90" s="10" t="str">
        <f aca="false">IFERROR(1/(1/INDEX(VMMC!$AA:$AA,MATCH($E90,VMMC!$E:$E,0))),"")</f>
        <v/>
      </c>
      <c r="Z90" s="10" t="n">
        <f aca="false">IFERROR(1/(1/(SUM($U90)-SUM($V90:$Y90))),"")</f>
        <v>-86</v>
      </c>
    </row>
    <row r="91" customFormat="false" ht="15" hidden="false" customHeight="false" outlineLevel="0" collapsed="false">
      <c r="A91" s="0" t="str">
        <f aca="false">INDEX(Prioritization!$D:$D,MATCH($B91,Prioritization!$A:$A,0))</f>
        <v>1 - Scale-up: Saturation</v>
      </c>
      <c r="B91" s="0" t="s">
        <v>200</v>
      </c>
      <c r="C91" s="0" t="s">
        <v>365</v>
      </c>
      <c r="D91" s="0" t="s">
        <v>30</v>
      </c>
      <c r="E91" s="0" t="str">
        <f aca="false">B91&amp;"|"&amp;C91&amp;"|"&amp;D91</f>
        <v>Nkhotakota District [YCKiBAp8QAg]|15-24|Female</v>
      </c>
      <c r="F91" s="10"/>
      <c r="G91" s="88" t="n">
        <f aca="false">0</f>
        <v>0</v>
      </c>
      <c r="H91" s="39" t="str">
        <f aca="false">IF(SUM($F91)=0,"",ROUND($F91*(1+$G91),0))</f>
        <v/>
      </c>
      <c r="I91" s="10"/>
      <c r="J91" s="88"/>
      <c r="K91" s="88" t="str">
        <f aca="false">IF($J91="","",$J91)</f>
        <v/>
      </c>
      <c r="L91" s="88"/>
      <c r="M91" s="88" t="str">
        <f aca="false">IF($L91="","",$L91)</f>
        <v/>
      </c>
      <c r="N91" s="10" t="str">
        <f aca="false">$H91</f>
        <v/>
      </c>
      <c r="O91" s="39" t="str">
        <f aca="false">IF(SUM($N91)=0,"",IF(AND(SUM($N91)&gt;0,$K91=""),"ENTER KNOWN POSITIVITY RATE",ROUND($N91*$K91,0)))</f>
        <v/>
      </c>
      <c r="P91" s="39" t="str">
        <f aca="false">IF(SUM($N91)=0,"",IF(AND((SUM($N91)-SUM($O91))&gt;0,$M91=""),"ENTER YIELD RATE",ROUND(($N91-SUM($O91))*$M91,0)))</f>
        <v/>
      </c>
      <c r="Q91" s="39" t="str">
        <f aca="false">IF(SUM($N91)=0,"",$N91-SUM($O91)-SUM($P91))</f>
        <v/>
      </c>
      <c r="R91" s="88" t="str">
        <f aca="false">IF(SUM($P91)=0,"",INDEX(Cascade!$BG:$BG,MATCH($E91,Cascade!$E:$E,0)))</f>
        <v/>
      </c>
      <c r="S91" s="39" t="str">
        <f aca="false">$O91</f>
        <v/>
      </c>
      <c r="T91" s="39" t="str">
        <f aca="false">IF(SUM($P91)=0,"",IF(AND($R91="",SUM($P91)&gt;0),"&lt;- Enter Linkage Rate",ROUND($P91*$R91,0)))</f>
        <v/>
      </c>
      <c r="U91" s="10" t="str">
        <f aca="false">IFERROR(1/(1/INDEX(Cascade!$BH:$BH,MATCH($E91,Cascade!$E:$E,0))),"")</f>
        <v/>
      </c>
      <c r="V91" s="10" t="str">
        <f aca="false">IF(SUM($P91)=0,"",$P91)</f>
        <v/>
      </c>
      <c r="W91" s="10" t="str">
        <f aca="false">IFERROR(1/(1/INDEX(PMTCT!$AC:$AC,MATCH($E91,PMTCT!$E:$E,0))),"")</f>
        <v/>
      </c>
      <c r="X91" s="10" t="str">
        <f aca="false">IFERROR(1/(1/INDEX(PMTCT!$AS:$AS,MATCH($E91,PMTCT!$E:$E,0))),"")</f>
        <v/>
      </c>
      <c r="Y91" s="10" t="str">
        <f aca="false">IFERROR(1/(1/INDEX(VMMC!$AA:$AA,MATCH($E91,VMMC!$E:$E,0))),"")</f>
        <v/>
      </c>
      <c r="Z91" s="10" t="str">
        <f aca="false">IFERROR(1/(1/(SUM($U91)-SUM($V91:$Y91))),"")</f>
        <v/>
      </c>
    </row>
    <row r="92" customFormat="false" ht="15" hidden="false" customHeight="false" outlineLevel="0" collapsed="false">
      <c r="A92" s="0" t="str">
        <f aca="false">INDEX(Prioritization!$D:$D,MATCH($B92,Prioritization!$A:$A,0))</f>
        <v>1 - Scale-up: Saturation</v>
      </c>
      <c r="B92" s="0" t="s">
        <v>200</v>
      </c>
      <c r="C92" s="0" t="s">
        <v>365</v>
      </c>
      <c r="D92" s="0" t="s">
        <v>48</v>
      </c>
      <c r="E92" s="0" t="str">
        <f aca="false">B92&amp;"|"&amp;C92&amp;"|"&amp;D92</f>
        <v>Nkhotakota District [YCKiBAp8QAg]|15-24|Male</v>
      </c>
      <c r="F92" s="10"/>
      <c r="G92" s="88" t="n">
        <f aca="false">0</f>
        <v>0</v>
      </c>
      <c r="H92" s="39" t="str">
        <f aca="false">IF(SUM($F92)=0,"",ROUND($F92*(1+$G92),0))</f>
        <v/>
      </c>
      <c r="I92" s="10"/>
      <c r="J92" s="88"/>
      <c r="K92" s="88" t="str">
        <f aca="false">IF($J92="","",$J92)</f>
        <v/>
      </c>
      <c r="L92" s="88"/>
      <c r="M92" s="88" t="str">
        <f aca="false">IF($L92="","",$L92)</f>
        <v/>
      </c>
      <c r="N92" s="10" t="str">
        <f aca="false">$H92</f>
        <v/>
      </c>
      <c r="O92" s="39" t="str">
        <f aca="false">IF(SUM($N92)=0,"",IF(AND(SUM($N92)&gt;0,$K92=""),"ENTER KNOWN POSITIVITY RATE",ROUND($N92*$K92,0)))</f>
        <v/>
      </c>
      <c r="P92" s="39" t="str">
        <f aca="false">IF(SUM($N92)=0,"",IF(AND((SUM($N92)-SUM($O92))&gt;0,$M92=""),"ENTER YIELD RATE",ROUND(($N92-SUM($O92))*$M92,0)))</f>
        <v/>
      </c>
      <c r="Q92" s="39" t="str">
        <f aca="false">IF(SUM($N92)=0,"",$N92-SUM($O92)-SUM($P92))</f>
        <v/>
      </c>
      <c r="R92" s="88" t="str">
        <f aca="false">IF(SUM($P92)=0,"",INDEX(Cascade!$BG:$BG,MATCH($E92,Cascade!$E:$E,0)))</f>
        <v/>
      </c>
      <c r="S92" s="39" t="str">
        <f aca="false">$O92</f>
        <v/>
      </c>
      <c r="T92" s="39" t="str">
        <f aca="false">IF(SUM($P92)=0,"",IF(AND($R92="",SUM($P92)&gt;0),"&lt;- Enter Linkage Rate",ROUND($P92*$R92,0)))</f>
        <v/>
      </c>
      <c r="U92" s="10" t="str">
        <f aca="false">IFERROR(1/(1/INDEX(Cascade!$BH:$BH,MATCH($E92,Cascade!$E:$E,0))),"")</f>
        <v/>
      </c>
      <c r="V92" s="10" t="str">
        <f aca="false">IF(SUM($P92)=0,"",$P92)</f>
        <v/>
      </c>
      <c r="W92" s="10" t="str">
        <f aca="false">IFERROR(1/(1/INDEX(PMTCT!$AC:$AC,MATCH($E92,PMTCT!$E:$E,0))),"")</f>
        <v/>
      </c>
      <c r="X92" s="10" t="str">
        <f aca="false">IFERROR(1/(1/INDEX(PMTCT!$AS:$AS,MATCH($E92,PMTCT!$E:$E,0))),"")</f>
        <v/>
      </c>
      <c r="Y92" s="10" t="str">
        <f aca="false">IFERROR(1/(1/INDEX(VMMC!$AA:$AA,MATCH($E92,VMMC!$E:$E,0))),"")</f>
        <v/>
      </c>
      <c r="Z92" s="10" t="str">
        <f aca="false">IFERROR(1/(1/(SUM($U92)-SUM($V92:$Y92))),"")</f>
        <v/>
      </c>
    </row>
    <row r="93" customFormat="false" ht="15" hidden="false" customHeight="false" outlineLevel="0" collapsed="false">
      <c r="A93" s="0" t="str">
        <f aca="false">INDEX(Prioritization!$D:$D,MATCH($B93,Prioritization!$A:$A,0))</f>
        <v>1 - Scale-up: Saturation</v>
      </c>
      <c r="B93" s="0" t="s">
        <v>200</v>
      </c>
      <c r="C93" s="0" t="s">
        <v>366</v>
      </c>
      <c r="D93" s="0" t="s">
        <v>30</v>
      </c>
      <c r="E93" s="0" t="str">
        <f aca="false">B93&amp;"|"&amp;C93&amp;"|"&amp;D93</f>
        <v>Nkhotakota District [YCKiBAp8QAg]|25-34|Female</v>
      </c>
      <c r="F93" s="10"/>
      <c r="G93" s="88" t="n">
        <f aca="false">0</f>
        <v>0</v>
      </c>
      <c r="H93" s="39" t="str">
        <f aca="false">IF(SUM($F93)=0,"",ROUND($F93*(1+$G93),0))</f>
        <v/>
      </c>
      <c r="I93" s="10"/>
      <c r="J93" s="88"/>
      <c r="K93" s="88" t="str">
        <f aca="false">IF($J93="","",$J93)</f>
        <v/>
      </c>
      <c r="L93" s="88"/>
      <c r="M93" s="88" t="str">
        <f aca="false">IF($L93="","",$L93)</f>
        <v/>
      </c>
      <c r="N93" s="10" t="str">
        <f aca="false">$H93</f>
        <v/>
      </c>
      <c r="O93" s="39" t="str">
        <f aca="false">IF(SUM($N93)=0,"",IF(AND(SUM($N93)&gt;0,$K93=""),"ENTER KNOWN POSITIVITY RATE",ROUND($N93*$K93,0)))</f>
        <v/>
      </c>
      <c r="P93" s="39" t="str">
        <f aca="false">IF(SUM($N93)=0,"",IF(AND((SUM($N93)-SUM($O93))&gt;0,$M93=""),"ENTER YIELD RATE",ROUND(($N93-SUM($O93))*$M93,0)))</f>
        <v/>
      </c>
      <c r="Q93" s="39" t="str">
        <f aca="false">IF(SUM($N93)=0,"",$N93-SUM($O93)-SUM($P93))</f>
        <v/>
      </c>
      <c r="R93" s="88" t="str">
        <f aca="false">IF(SUM($P93)=0,"",INDEX(Cascade!$BG:$BG,MATCH($E93,Cascade!$E:$E,0)))</f>
        <v/>
      </c>
      <c r="S93" s="39" t="str">
        <f aca="false">$O93</f>
        <v/>
      </c>
      <c r="T93" s="39" t="str">
        <f aca="false">IF(SUM($P93)=0,"",IF(AND($R93="",SUM($P93)&gt;0),"&lt;- Enter Linkage Rate",ROUND($P93*$R93,0)))</f>
        <v/>
      </c>
      <c r="U93" s="10" t="str">
        <f aca="false">IFERROR(1/(1/INDEX(Cascade!$BH:$BH,MATCH($E93,Cascade!$E:$E,0))),"")</f>
        <v/>
      </c>
      <c r="V93" s="10" t="str">
        <f aca="false">IF(SUM($P93)=0,"",$P93)</f>
        <v/>
      </c>
      <c r="W93" s="10" t="str">
        <f aca="false">IFERROR(1/(1/INDEX(PMTCT!$AC:$AC,MATCH($E93,PMTCT!$E:$E,0))),"")</f>
        <v/>
      </c>
      <c r="X93" s="10" t="str">
        <f aca="false">IFERROR(1/(1/INDEX(PMTCT!$AS:$AS,MATCH($E93,PMTCT!$E:$E,0))),"")</f>
        <v/>
      </c>
      <c r="Y93" s="10" t="str">
        <f aca="false">IFERROR(1/(1/INDEX(VMMC!$AA:$AA,MATCH($E93,VMMC!$E:$E,0))),"")</f>
        <v/>
      </c>
      <c r="Z93" s="10" t="str">
        <f aca="false">IFERROR(1/(1/(SUM($U93)-SUM($V93:$Y93))),"")</f>
        <v/>
      </c>
    </row>
    <row r="94" customFormat="false" ht="15" hidden="false" customHeight="false" outlineLevel="0" collapsed="false">
      <c r="A94" s="0" t="str">
        <f aca="false">INDEX(Prioritization!$D:$D,MATCH($B94,Prioritization!$A:$A,0))</f>
        <v>1 - Scale-up: Saturation</v>
      </c>
      <c r="B94" s="0" t="s">
        <v>200</v>
      </c>
      <c r="C94" s="0" t="s">
        <v>366</v>
      </c>
      <c r="D94" s="0" t="s">
        <v>48</v>
      </c>
      <c r="E94" s="0" t="str">
        <f aca="false">B94&amp;"|"&amp;C94&amp;"|"&amp;D94</f>
        <v>Nkhotakota District [YCKiBAp8QAg]|25-34|Male</v>
      </c>
      <c r="F94" s="10"/>
      <c r="G94" s="88" t="n">
        <f aca="false">0</f>
        <v>0</v>
      </c>
      <c r="H94" s="39" t="str">
        <f aca="false">IF(SUM($F94)=0,"",ROUND($F94*(1+$G94),0))</f>
        <v/>
      </c>
      <c r="I94" s="10"/>
      <c r="J94" s="88"/>
      <c r="K94" s="88" t="str">
        <f aca="false">IF($J94="","",$J94)</f>
        <v/>
      </c>
      <c r="L94" s="88"/>
      <c r="M94" s="88" t="str">
        <f aca="false">IF($L94="","",$L94)</f>
        <v/>
      </c>
      <c r="N94" s="10" t="str">
        <f aca="false">$H94</f>
        <v/>
      </c>
      <c r="O94" s="39" t="str">
        <f aca="false">IF(SUM($N94)=0,"",IF(AND(SUM($N94)&gt;0,$K94=""),"ENTER KNOWN POSITIVITY RATE",ROUND($N94*$K94,0)))</f>
        <v/>
      </c>
      <c r="P94" s="39" t="str">
        <f aca="false">IF(SUM($N94)=0,"",IF(AND((SUM($N94)-SUM($O94))&gt;0,$M94=""),"ENTER YIELD RATE",ROUND(($N94-SUM($O94))*$M94,0)))</f>
        <v/>
      </c>
      <c r="Q94" s="39" t="str">
        <f aca="false">IF(SUM($N94)=0,"",$N94-SUM($O94)-SUM($P94))</f>
        <v/>
      </c>
      <c r="R94" s="88" t="str">
        <f aca="false">IF(SUM($P94)=0,"",INDEX(Cascade!$BG:$BG,MATCH($E94,Cascade!$E:$E,0)))</f>
        <v/>
      </c>
      <c r="S94" s="39" t="str">
        <f aca="false">$O94</f>
        <v/>
      </c>
      <c r="T94" s="39" t="str">
        <f aca="false">IF(SUM($P94)=0,"",IF(AND($R94="",SUM($P94)&gt;0),"&lt;- Enter Linkage Rate",ROUND($P94*$R94,0)))</f>
        <v/>
      </c>
      <c r="U94" s="10" t="str">
        <f aca="false">IFERROR(1/(1/INDEX(Cascade!$BH:$BH,MATCH($E94,Cascade!$E:$E,0))),"")</f>
        <v/>
      </c>
      <c r="V94" s="10" t="str">
        <f aca="false">IF(SUM($P94)=0,"",$P94)</f>
        <v/>
      </c>
      <c r="W94" s="10" t="str">
        <f aca="false">IFERROR(1/(1/INDEX(PMTCT!$AC:$AC,MATCH($E94,PMTCT!$E:$E,0))),"")</f>
        <v/>
      </c>
      <c r="X94" s="10" t="str">
        <f aca="false">IFERROR(1/(1/INDEX(PMTCT!$AS:$AS,MATCH($E94,PMTCT!$E:$E,0))),"")</f>
        <v/>
      </c>
      <c r="Y94" s="10" t="str">
        <f aca="false">IFERROR(1/(1/INDEX(VMMC!$AA:$AA,MATCH($E94,VMMC!$E:$E,0))),"")</f>
        <v/>
      </c>
      <c r="Z94" s="10" t="str">
        <f aca="false">IFERROR(1/(1/(SUM($U94)-SUM($V94:$Y94))),"")</f>
        <v/>
      </c>
    </row>
    <row r="95" customFormat="false" ht="15" hidden="false" customHeight="false" outlineLevel="0" collapsed="false">
      <c r="A95" s="0" t="str">
        <f aca="false">INDEX(Prioritization!$D:$D,MATCH($B95,Prioritization!$A:$A,0))</f>
        <v>1 - Scale-up: Saturation</v>
      </c>
      <c r="B95" s="0" t="s">
        <v>200</v>
      </c>
      <c r="C95" s="0" t="s">
        <v>367</v>
      </c>
      <c r="D95" s="0" t="s">
        <v>30</v>
      </c>
      <c r="E95" s="0" t="str">
        <f aca="false">B95&amp;"|"&amp;C95&amp;"|"&amp;D95</f>
        <v>Nkhotakota District [YCKiBAp8QAg]|35-49|Female</v>
      </c>
      <c r="F95" s="10"/>
      <c r="G95" s="88" t="n">
        <f aca="false">0</f>
        <v>0</v>
      </c>
      <c r="H95" s="39" t="str">
        <f aca="false">IF(SUM($F95)=0,"",ROUND($F95*(1+$G95),0))</f>
        <v/>
      </c>
      <c r="I95" s="10"/>
      <c r="J95" s="88"/>
      <c r="K95" s="88" t="str">
        <f aca="false">IF($J95="","",$J95)</f>
        <v/>
      </c>
      <c r="L95" s="88"/>
      <c r="M95" s="88" t="str">
        <f aca="false">IF($L95="","",$L95)</f>
        <v/>
      </c>
      <c r="N95" s="10" t="str">
        <f aca="false">$H95</f>
        <v/>
      </c>
      <c r="O95" s="39" t="str">
        <f aca="false">IF(SUM($N95)=0,"",IF(AND(SUM($N95)&gt;0,$K95=""),"ENTER KNOWN POSITIVITY RATE",ROUND($N95*$K95,0)))</f>
        <v/>
      </c>
      <c r="P95" s="39" t="str">
        <f aca="false">IF(SUM($N95)=0,"",IF(AND((SUM($N95)-SUM($O95))&gt;0,$M95=""),"ENTER YIELD RATE",ROUND(($N95-SUM($O95))*$M95,0)))</f>
        <v/>
      </c>
      <c r="Q95" s="39" t="str">
        <f aca="false">IF(SUM($N95)=0,"",$N95-SUM($O95)-SUM($P95))</f>
        <v/>
      </c>
      <c r="R95" s="88" t="str">
        <f aca="false">IF(SUM($P95)=0,"",INDEX(Cascade!$BG:$BG,MATCH($E95,Cascade!$E:$E,0)))</f>
        <v/>
      </c>
      <c r="S95" s="39" t="str">
        <f aca="false">$O95</f>
        <v/>
      </c>
      <c r="T95" s="39" t="str">
        <f aca="false">IF(SUM($P95)=0,"",IF(AND($R95="",SUM($P95)&gt;0),"&lt;- Enter Linkage Rate",ROUND($P95*$R95,0)))</f>
        <v/>
      </c>
      <c r="U95" s="10" t="str">
        <f aca="false">IFERROR(1/(1/INDEX(Cascade!$BH:$BH,MATCH($E95,Cascade!$E:$E,0))),"")</f>
        <v/>
      </c>
      <c r="V95" s="10" t="str">
        <f aca="false">IF(SUM($P95)=0,"",$P95)</f>
        <v/>
      </c>
      <c r="W95" s="10" t="str">
        <f aca="false">IFERROR(1/(1/INDEX(PMTCT!$AC:$AC,MATCH($E95,PMTCT!$E:$E,0))),"")</f>
        <v/>
      </c>
      <c r="X95" s="10" t="str">
        <f aca="false">IFERROR(1/(1/INDEX(PMTCT!$AS:$AS,MATCH($E95,PMTCT!$E:$E,0))),"")</f>
        <v/>
      </c>
      <c r="Y95" s="10" t="str">
        <f aca="false">IFERROR(1/(1/INDEX(VMMC!$AA:$AA,MATCH($E95,VMMC!$E:$E,0))),"")</f>
        <v/>
      </c>
      <c r="Z95" s="10" t="str">
        <f aca="false">IFERROR(1/(1/(SUM($U95)-SUM($V95:$Y95))),"")</f>
        <v/>
      </c>
    </row>
    <row r="96" customFormat="false" ht="15" hidden="false" customHeight="false" outlineLevel="0" collapsed="false">
      <c r="A96" s="0" t="str">
        <f aca="false">INDEX(Prioritization!$D:$D,MATCH($B96,Prioritization!$A:$A,0))</f>
        <v>1 - Scale-up: Saturation</v>
      </c>
      <c r="B96" s="0" t="s">
        <v>200</v>
      </c>
      <c r="C96" s="0" t="s">
        <v>367</v>
      </c>
      <c r="D96" s="0" t="s">
        <v>48</v>
      </c>
      <c r="E96" s="0" t="str">
        <f aca="false">B96&amp;"|"&amp;C96&amp;"|"&amp;D96</f>
        <v>Nkhotakota District [YCKiBAp8QAg]|35-49|Male</v>
      </c>
      <c r="F96" s="10"/>
      <c r="G96" s="88" t="n">
        <f aca="false">0</f>
        <v>0</v>
      </c>
      <c r="H96" s="39" t="str">
        <f aca="false">IF(SUM($F96)=0,"",ROUND($F96*(1+$G96),0))</f>
        <v/>
      </c>
      <c r="I96" s="10"/>
      <c r="J96" s="88"/>
      <c r="K96" s="88" t="str">
        <f aca="false">IF($J96="","",$J96)</f>
        <v/>
      </c>
      <c r="L96" s="88"/>
      <c r="M96" s="88" t="str">
        <f aca="false">IF($L96="","",$L96)</f>
        <v/>
      </c>
      <c r="N96" s="10" t="str">
        <f aca="false">$H96</f>
        <v/>
      </c>
      <c r="O96" s="39" t="str">
        <f aca="false">IF(SUM($N96)=0,"",IF(AND(SUM($N96)&gt;0,$K96=""),"ENTER KNOWN POSITIVITY RATE",ROUND($N96*$K96,0)))</f>
        <v/>
      </c>
      <c r="P96" s="39" t="str">
        <f aca="false">IF(SUM($N96)=0,"",IF(AND((SUM($N96)-SUM($O96))&gt;0,$M96=""),"ENTER YIELD RATE",ROUND(($N96-SUM($O96))*$M96,0)))</f>
        <v/>
      </c>
      <c r="Q96" s="39" t="str">
        <f aca="false">IF(SUM($N96)=0,"",$N96-SUM($O96)-SUM($P96))</f>
        <v/>
      </c>
      <c r="R96" s="88" t="str">
        <f aca="false">IF(SUM($P96)=0,"",INDEX(Cascade!$BG:$BG,MATCH($E96,Cascade!$E:$E,0)))</f>
        <v/>
      </c>
      <c r="S96" s="39" t="str">
        <f aca="false">$O96</f>
        <v/>
      </c>
      <c r="T96" s="39" t="str">
        <f aca="false">IF(SUM($P96)=0,"",IF(AND($R96="",SUM($P96)&gt;0),"&lt;- Enter Linkage Rate",ROUND($P96*$R96,0)))</f>
        <v/>
      </c>
      <c r="U96" s="10" t="str">
        <f aca="false">IFERROR(1/(1/INDEX(Cascade!$BH:$BH,MATCH($E96,Cascade!$E:$E,0))),"")</f>
        <v/>
      </c>
      <c r="V96" s="10" t="str">
        <f aca="false">IF(SUM($P96)=0,"",$P96)</f>
        <v/>
      </c>
      <c r="W96" s="10" t="str">
        <f aca="false">IFERROR(1/(1/INDEX(PMTCT!$AC:$AC,MATCH($E96,PMTCT!$E:$E,0))),"")</f>
        <v/>
      </c>
      <c r="X96" s="10" t="str">
        <f aca="false">IFERROR(1/(1/INDEX(PMTCT!$AS:$AS,MATCH($E96,PMTCT!$E:$E,0))),"")</f>
        <v/>
      </c>
      <c r="Y96" s="10" t="str">
        <f aca="false">IFERROR(1/(1/INDEX(VMMC!$AA:$AA,MATCH($E96,VMMC!$E:$E,0))),"")</f>
        <v/>
      </c>
      <c r="Z96" s="10" t="str">
        <f aca="false">IFERROR(1/(1/(SUM($U96)-SUM($V96:$Y96))),"")</f>
        <v/>
      </c>
    </row>
    <row r="97" customFormat="false" ht="15" hidden="false" customHeight="false" outlineLevel="0" collapsed="false">
      <c r="A97" s="0" t="str">
        <f aca="false">INDEX(Prioritization!$D:$D,MATCH($B97,Prioritization!$A:$A,0))</f>
        <v>1 - Scale-up: Saturation</v>
      </c>
      <c r="B97" s="0" t="s">
        <v>200</v>
      </c>
      <c r="C97" s="0" t="s">
        <v>368</v>
      </c>
      <c r="D97" s="0" t="s">
        <v>30</v>
      </c>
      <c r="E97" s="0" t="str">
        <f aca="false">B97&amp;"|"&amp;C97&amp;"|"&amp;D97</f>
        <v>Nkhotakota District [YCKiBAp8QAg]|50+|Female</v>
      </c>
      <c r="F97" s="10"/>
      <c r="G97" s="88" t="n">
        <f aca="false">0</f>
        <v>0</v>
      </c>
      <c r="H97" s="39" t="str">
        <f aca="false">IF(SUM($F97)=0,"",ROUND($F97*(1+$G97),0))</f>
        <v/>
      </c>
      <c r="I97" s="10"/>
      <c r="J97" s="88"/>
      <c r="K97" s="88" t="str">
        <f aca="false">IF($J97="","",$J97)</f>
        <v/>
      </c>
      <c r="L97" s="88"/>
      <c r="M97" s="88" t="str">
        <f aca="false">IF($L97="","",$L97)</f>
        <v/>
      </c>
      <c r="N97" s="10" t="str">
        <f aca="false">$H97</f>
        <v/>
      </c>
      <c r="O97" s="39" t="str">
        <f aca="false">IF(SUM($N97)=0,"",IF(AND(SUM($N97)&gt;0,$K97=""),"ENTER KNOWN POSITIVITY RATE",ROUND($N97*$K97,0)))</f>
        <v/>
      </c>
      <c r="P97" s="39" t="str">
        <f aca="false">IF(SUM($N97)=0,"",IF(AND((SUM($N97)-SUM($O97))&gt;0,$M97=""),"ENTER YIELD RATE",ROUND(($N97-SUM($O97))*$M97,0)))</f>
        <v/>
      </c>
      <c r="Q97" s="39" t="str">
        <f aca="false">IF(SUM($N97)=0,"",$N97-SUM($O97)-SUM($P97))</f>
        <v/>
      </c>
      <c r="R97" s="88" t="str">
        <f aca="false">IF(SUM($P97)=0,"",INDEX(Cascade!$BG:$BG,MATCH($E97,Cascade!$E:$E,0)))</f>
        <v/>
      </c>
      <c r="S97" s="39" t="str">
        <f aca="false">$O97</f>
        <v/>
      </c>
      <c r="T97" s="39" t="str">
        <f aca="false">IF(SUM($P97)=0,"",IF(AND($R97="",SUM($P97)&gt;0),"&lt;- Enter Linkage Rate",ROUND($P97*$R97,0)))</f>
        <v/>
      </c>
      <c r="U97" s="10" t="str">
        <f aca="false">IFERROR(1/(1/INDEX(Cascade!$BH:$BH,MATCH($E97,Cascade!$E:$E,0))),"")</f>
        <v/>
      </c>
      <c r="V97" s="10" t="str">
        <f aca="false">IF(SUM($P97)=0,"",$P97)</f>
        <v/>
      </c>
      <c r="W97" s="10" t="str">
        <f aca="false">IFERROR(1/(1/INDEX(PMTCT!$AC:$AC,MATCH($E97,PMTCT!$E:$E,0))),"")</f>
        <v/>
      </c>
      <c r="X97" s="10" t="str">
        <f aca="false">IFERROR(1/(1/INDEX(PMTCT!$AS:$AS,MATCH($E97,PMTCT!$E:$E,0))),"")</f>
        <v/>
      </c>
      <c r="Y97" s="10" t="str">
        <f aca="false">IFERROR(1/(1/INDEX(VMMC!$AA:$AA,MATCH($E97,VMMC!$E:$E,0))),"")</f>
        <v/>
      </c>
      <c r="Z97" s="10" t="str">
        <f aca="false">IFERROR(1/(1/(SUM($U97)-SUM($V97:$Y97))),"")</f>
        <v/>
      </c>
    </row>
    <row r="98" customFormat="false" ht="15" hidden="false" customHeight="false" outlineLevel="0" collapsed="false">
      <c r="A98" s="0" t="str">
        <f aca="false">INDEX(Prioritization!$D:$D,MATCH($B98,Prioritization!$A:$A,0))</f>
        <v>1 - Scale-up: Saturation</v>
      </c>
      <c r="B98" s="0" t="s">
        <v>200</v>
      </c>
      <c r="C98" s="0" t="s">
        <v>368</v>
      </c>
      <c r="D98" s="0" t="s">
        <v>48</v>
      </c>
      <c r="E98" s="0" t="str">
        <f aca="false">B98&amp;"|"&amp;C98&amp;"|"&amp;D98</f>
        <v>Nkhotakota District [YCKiBAp8QAg]|50+|Male</v>
      </c>
      <c r="F98" s="10"/>
      <c r="G98" s="88" t="n">
        <f aca="false">0</f>
        <v>0</v>
      </c>
      <c r="H98" s="39" t="str">
        <f aca="false">IF(SUM($F98)=0,"",ROUND($F98*(1+$G98),0))</f>
        <v/>
      </c>
      <c r="I98" s="10"/>
      <c r="J98" s="88"/>
      <c r="K98" s="88" t="str">
        <f aca="false">IF($J98="","",$J98)</f>
        <v/>
      </c>
      <c r="L98" s="88"/>
      <c r="M98" s="88" t="str">
        <f aca="false">IF($L98="","",$L98)</f>
        <v/>
      </c>
      <c r="N98" s="10" t="str">
        <f aca="false">$H98</f>
        <v/>
      </c>
      <c r="O98" s="39" t="str">
        <f aca="false">IF(SUM($N98)=0,"",IF(AND(SUM($N98)&gt;0,$K98=""),"ENTER KNOWN POSITIVITY RATE",ROUND($N98*$K98,0)))</f>
        <v/>
      </c>
      <c r="P98" s="39" t="str">
        <f aca="false">IF(SUM($N98)=0,"",IF(AND((SUM($N98)-SUM($O98))&gt;0,$M98=""),"ENTER YIELD RATE",ROUND(($N98-SUM($O98))*$M98,0)))</f>
        <v/>
      </c>
      <c r="Q98" s="39" t="str">
        <f aca="false">IF(SUM($N98)=0,"",$N98-SUM($O98)-SUM($P98))</f>
        <v/>
      </c>
      <c r="R98" s="88" t="str">
        <f aca="false">IF(SUM($P98)=0,"",INDEX(Cascade!$BG:$BG,MATCH($E98,Cascade!$E:$E,0)))</f>
        <v/>
      </c>
      <c r="S98" s="39" t="str">
        <f aca="false">$O98</f>
        <v/>
      </c>
      <c r="T98" s="39" t="str">
        <f aca="false">IF(SUM($P98)=0,"",IF(AND($R98="",SUM($P98)&gt;0),"&lt;- Enter Linkage Rate",ROUND($P98*$R98,0)))</f>
        <v/>
      </c>
      <c r="U98" s="10" t="str">
        <f aca="false">IFERROR(1/(1/INDEX(Cascade!$BH:$BH,MATCH($E98,Cascade!$E:$E,0))),"")</f>
        <v/>
      </c>
      <c r="V98" s="10" t="str">
        <f aca="false">IF(SUM($P98)=0,"",$P98)</f>
        <v/>
      </c>
      <c r="W98" s="10" t="str">
        <f aca="false">IFERROR(1/(1/INDEX(PMTCT!$AC:$AC,MATCH($E98,PMTCT!$E:$E,0))),"")</f>
        <v/>
      </c>
      <c r="X98" s="10" t="str">
        <f aca="false">IFERROR(1/(1/INDEX(PMTCT!$AS:$AS,MATCH($E98,PMTCT!$E:$E,0))),"")</f>
        <v/>
      </c>
      <c r="Y98" s="10" t="str">
        <f aca="false">IFERROR(1/(1/INDEX(VMMC!$AA:$AA,MATCH($E98,VMMC!$E:$E,0))),"")</f>
        <v/>
      </c>
      <c r="Z98" s="10" t="str">
        <f aca="false">IFERROR(1/(1/(SUM($U98)-SUM($V98:$Y98))),"")</f>
        <v/>
      </c>
    </row>
    <row r="99" customFormat="false" ht="15" hidden="false" customHeight="false" outlineLevel="0" collapsed="false">
      <c r="A99" s="0" t="str">
        <f aca="false">INDEX(Prioritization!$D:$D,MATCH($B99,Prioritization!$A:$A,0))</f>
        <v>INVALID</v>
      </c>
      <c r="B99" s="0" t="s">
        <v>201</v>
      </c>
      <c r="C99" s="0" t="s">
        <v>363</v>
      </c>
      <c r="D99" s="0" t="s">
        <v>30</v>
      </c>
      <c r="E99" s="0" t="str">
        <f aca="false">B99&amp;"|"&amp;C99&amp;"|"&amp;D99</f>
        <v>Ntcheu District [am530wpaGvr]|01-09|Female</v>
      </c>
      <c r="F99" s="10"/>
      <c r="G99" s="88" t="n">
        <f aca="false">0</f>
        <v>0</v>
      </c>
      <c r="H99" s="39" t="str">
        <f aca="false">IF(SUM($F99)=0,"",ROUND($F99*(1+$G99),0))</f>
        <v/>
      </c>
      <c r="I99" s="10"/>
      <c r="J99" s="88"/>
      <c r="K99" s="88" t="str">
        <f aca="false">IF($J99="","",$J99)</f>
        <v/>
      </c>
      <c r="L99" s="88"/>
      <c r="M99" s="88" t="str">
        <f aca="false">IF($L99="","",$L99)</f>
        <v/>
      </c>
      <c r="N99" s="10" t="str">
        <f aca="false">$H99</f>
        <v/>
      </c>
      <c r="O99" s="39" t="str">
        <f aca="false">IF(SUM($N99)=0,"",IF(AND(SUM($N99)&gt;0,$K99=""),"ENTER KNOWN POSITIVITY RATE",ROUND($N99*$K99,0)))</f>
        <v/>
      </c>
      <c r="P99" s="39" t="str">
        <f aca="false">IF(SUM($N99)=0,"",IF(AND((SUM($N99)-SUM($O99))&gt;0,$M99=""),"ENTER YIELD RATE",ROUND(($N99-SUM($O99))*$M99,0)))</f>
        <v/>
      </c>
      <c r="Q99" s="39" t="str">
        <f aca="false">IF(SUM($N99)=0,"",$N99-SUM($O99)-SUM($P99))</f>
        <v/>
      </c>
      <c r="R99" s="88" t="str">
        <f aca="false">IF(SUM($P99)=0,"",INDEX(Cascade!$BG:$BG,MATCH($E99,Cascade!$E:$E,0)))</f>
        <v/>
      </c>
      <c r="S99" s="39" t="str">
        <f aca="false">$O99</f>
        <v/>
      </c>
      <c r="T99" s="39" t="str">
        <f aca="false">IF(SUM($P99)=0,"",IF(AND($R99="",SUM($P99)&gt;0),"&lt;- Enter Linkage Rate",ROUND($P99*$R99,0)))</f>
        <v/>
      </c>
      <c r="U99" s="10" t="str">
        <f aca="false">IFERROR(1/(1/INDEX(Cascade!$BH:$BH,MATCH($E99,Cascade!$E:$E,0))),"")</f>
        <v/>
      </c>
      <c r="V99" s="10" t="str">
        <f aca="false">IF(SUM($P99)=0,"",$P99)</f>
        <v/>
      </c>
      <c r="W99" s="10" t="str">
        <f aca="false">IFERROR(1/(1/INDEX(PMTCT!$AC:$AC,MATCH($E99,PMTCT!$E:$E,0))),"")</f>
        <v/>
      </c>
      <c r="X99" s="10" t="str">
        <f aca="false">IFERROR(1/(1/INDEX(PMTCT!$AS:$AS,MATCH($E99,PMTCT!$E:$E,0))),"")</f>
        <v/>
      </c>
      <c r="Y99" s="10" t="str">
        <f aca="false">IFERROR(1/(1/INDEX(VMMC!$AA:$AA,MATCH($E99,VMMC!$E:$E,0))),"")</f>
        <v/>
      </c>
      <c r="Z99" s="10" t="str">
        <f aca="false">IFERROR(1/(1/(SUM($U99)-SUM($V99:$Y99))),"")</f>
        <v/>
      </c>
    </row>
    <row r="100" customFormat="false" ht="15" hidden="false" customHeight="false" outlineLevel="0" collapsed="false">
      <c r="A100" s="0" t="str">
        <f aca="false">INDEX(Prioritization!$D:$D,MATCH($B100,Prioritization!$A:$A,0))</f>
        <v>INVALID</v>
      </c>
      <c r="B100" s="0" t="s">
        <v>201</v>
      </c>
      <c r="C100" s="0" t="s">
        <v>363</v>
      </c>
      <c r="D100" s="0" t="s">
        <v>48</v>
      </c>
      <c r="E100" s="0" t="str">
        <f aca="false">B100&amp;"|"&amp;C100&amp;"|"&amp;D100</f>
        <v>Ntcheu District [am530wpaGvr]|01-09|Male</v>
      </c>
      <c r="F100" s="10"/>
      <c r="G100" s="88" t="n">
        <f aca="false">0</f>
        <v>0</v>
      </c>
      <c r="H100" s="39" t="str">
        <f aca="false">IF(SUM($F100)=0,"",ROUND($F100*(1+$G100),0))</f>
        <v/>
      </c>
      <c r="I100" s="10"/>
      <c r="J100" s="88"/>
      <c r="K100" s="88" t="str">
        <f aca="false">IF($J100="","",$J100)</f>
        <v/>
      </c>
      <c r="L100" s="88"/>
      <c r="M100" s="88" t="str">
        <f aca="false">IF($L100="","",$L100)</f>
        <v/>
      </c>
      <c r="N100" s="10" t="str">
        <f aca="false">$H100</f>
        <v/>
      </c>
      <c r="O100" s="39" t="str">
        <f aca="false">IF(SUM($N100)=0,"",IF(AND(SUM($N100)&gt;0,$K100=""),"ENTER KNOWN POSITIVITY RATE",ROUND($N100*$K100,0)))</f>
        <v/>
      </c>
      <c r="P100" s="39" t="str">
        <f aca="false">IF(SUM($N100)=0,"",IF(AND((SUM($N100)-SUM($O100))&gt;0,$M100=""),"ENTER YIELD RATE",ROUND(($N100-SUM($O100))*$M100,0)))</f>
        <v/>
      </c>
      <c r="Q100" s="39" t="str">
        <f aca="false">IF(SUM($N100)=0,"",$N100-SUM($O100)-SUM($P100))</f>
        <v/>
      </c>
      <c r="R100" s="88" t="str">
        <f aca="false">IF(SUM($P100)=0,"",INDEX(Cascade!$BG:$BG,MATCH($E100,Cascade!$E:$E,0)))</f>
        <v/>
      </c>
      <c r="S100" s="39" t="str">
        <f aca="false">$O100</f>
        <v/>
      </c>
      <c r="T100" s="39" t="str">
        <f aca="false">IF(SUM($P100)=0,"",IF(AND($R100="",SUM($P100)&gt;0),"&lt;- Enter Linkage Rate",ROUND($P100*$R100,0)))</f>
        <v/>
      </c>
      <c r="U100" s="10" t="str">
        <f aca="false">IFERROR(1/(1/INDEX(Cascade!$BH:$BH,MATCH($E100,Cascade!$E:$E,0))),"")</f>
        <v/>
      </c>
      <c r="V100" s="10" t="str">
        <f aca="false">IF(SUM($P100)=0,"",$P100)</f>
        <v/>
      </c>
      <c r="W100" s="10" t="str">
        <f aca="false">IFERROR(1/(1/INDEX(PMTCT!$AC:$AC,MATCH($E100,PMTCT!$E:$E,0))),"")</f>
        <v/>
      </c>
      <c r="X100" s="10" t="str">
        <f aca="false">IFERROR(1/(1/INDEX(PMTCT!$AS:$AS,MATCH($E100,PMTCT!$E:$E,0))),"")</f>
        <v/>
      </c>
      <c r="Y100" s="10" t="str">
        <f aca="false">IFERROR(1/(1/INDEX(VMMC!$AA:$AA,MATCH($E100,VMMC!$E:$E,0))),"")</f>
        <v/>
      </c>
      <c r="Z100" s="10" t="str">
        <f aca="false">IFERROR(1/(1/(SUM($U100)-SUM($V100:$Y100))),"")</f>
        <v/>
      </c>
    </row>
    <row r="101" customFormat="false" ht="15" hidden="false" customHeight="false" outlineLevel="0" collapsed="false">
      <c r="A101" s="0" t="str">
        <f aca="false">INDEX(Prioritization!$D:$D,MATCH($B101,Prioritization!$A:$A,0))</f>
        <v>INVALID</v>
      </c>
      <c r="B101" s="0" t="s">
        <v>201</v>
      </c>
      <c r="C101" s="0" t="s">
        <v>364</v>
      </c>
      <c r="D101" s="0" t="s">
        <v>30</v>
      </c>
      <c r="E101" s="0" t="str">
        <f aca="false">B101&amp;"|"&amp;C101&amp;"|"&amp;D101</f>
        <v>Ntcheu District [am530wpaGvr]|10-14|Female</v>
      </c>
      <c r="F101" s="10" t="n">
        <v>1</v>
      </c>
      <c r="G101" s="88" t="n">
        <f aca="false">0</f>
        <v>0</v>
      </c>
      <c r="H101" s="39" t="n">
        <f aca="false">IF(SUM($F101)=0,"",ROUND($F101*(1+$G101),0))</f>
        <v>1</v>
      </c>
      <c r="I101" s="10"/>
      <c r="J101" s="88"/>
      <c r="K101" s="88" t="str">
        <f aca="false">IF($J101="","",$J101)</f>
        <v/>
      </c>
      <c r="L101" s="88"/>
      <c r="M101" s="88" t="str">
        <f aca="false">IF($L101="","",$L101)</f>
        <v/>
      </c>
      <c r="N101" s="10" t="n">
        <f aca="false">$H101</f>
        <v>1</v>
      </c>
      <c r="O101" s="39" t="str">
        <f aca="false">IF(SUM($N101)=0,"",IF(AND(SUM($N101)&gt;0,$K101=""),"ENTER KNOWN POSITIVITY RATE",ROUND($N101*$K101,0)))</f>
        <v>ENTER KNOWN POSITIVITY RATE</v>
      </c>
      <c r="P101" s="39" t="str">
        <f aca="false">IF(SUM($N101)=0,"",IF(AND((SUM($N101)-SUM($O101))&gt;0,$M101=""),"ENTER YIELD RATE",ROUND(($N101-SUM($O101))*$M101,0)))</f>
        <v>ENTER YIELD RATE</v>
      </c>
      <c r="Q101" s="39" t="n">
        <f aca="false">IF(SUM($N101)=0,"",$N101-SUM($O101)-SUM($P101))</f>
        <v>1</v>
      </c>
      <c r="R101" s="88" t="str">
        <f aca="false">IF(SUM($P101)=0,"",INDEX(Cascade!$BG:$BG,MATCH($E101,Cascade!$E:$E,0)))</f>
        <v/>
      </c>
      <c r="S101" s="39" t="str">
        <f aca="false">$O101</f>
        <v>ENTER KNOWN POSITIVITY RATE</v>
      </c>
      <c r="T101" s="39" t="str">
        <f aca="false">IF(SUM($P101)=0,"",IF(AND($R101="",SUM($P101)&gt;0),"&lt;- Enter Linkage Rate",ROUND($P101*$R101,0)))</f>
        <v/>
      </c>
      <c r="U101" s="10" t="n">
        <f aca="false">IFERROR(1/(1/INDEX(Cascade!$BH:$BH,MATCH($E101,Cascade!$E:$E,0))),"")</f>
        <v>-84</v>
      </c>
      <c r="V101" s="10" t="str">
        <f aca="false">IF(SUM($P101)=0,"",$P101)</f>
        <v/>
      </c>
      <c r="W101" s="10" t="str">
        <f aca="false">IFERROR(1/(1/INDEX(PMTCT!$AC:$AC,MATCH($E101,PMTCT!$E:$E,0))),"")</f>
        <v/>
      </c>
      <c r="X101" s="10" t="str">
        <f aca="false">IFERROR(1/(1/INDEX(PMTCT!$AS:$AS,MATCH($E101,PMTCT!$E:$E,0))),"")</f>
        <v/>
      </c>
      <c r="Y101" s="10" t="str">
        <f aca="false">IFERROR(1/(1/INDEX(VMMC!$AA:$AA,MATCH($E101,VMMC!$E:$E,0))),"")</f>
        <v/>
      </c>
      <c r="Z101" s="10" t="n">
        <f aca="false">IFERROR(1/(1/(SUM($U101)-SUM($V101:$Y101))),"")</f>
        <v>-84</v>
      </c>
    </row>
    <row r="102" customFormat="false" ht="15" hidden="false" customHeight="false" outlineLevel="0" collapsed="false">
      <c r="A102" s="0" t="str">
        <f aca="false">INDEX(Prioritization!$D:$D,MATCH($B102,Prioritization!$A:$A,0))</f>
        <v>INVALID</v>
      </c>
      <c r="B102" s="0" t="s">
        <v>201</v>
      </c>
      <c r="C102" s="0" t="s">
        <v>364</v>
      </c>
      <c r="D102" s="0" t="s">
        <v>48</v>
      </c>
      <c r="E102" s="0" t="str">
        <f aca="false">B102&amp;"|"&amp;C102&amp;"|"&amp;D102</f>
        <v>Ntcheu District [am530wpaGvr]|10-14|Male</v>
      </c>
      <c r="F102" s="10" t="n">
        <v>1</v>
      </c>
      <c r="G102" s="88" t="n">
        <f aca="false">0</f>
        <v>0</v>
      </c>
      <c r="H102" s="39" t="n">
        <f aca="false">IF(SUM($F102)=0,"",ROUND($F102*(1+$G102),0))</f>
        <v>1</v>
      </c>
      <c r="I102" s="10"/>
      <c r="J102" s="88"/>
      <c r="K102" s="88" t="str">
        <f aca="false">IF($J102="","",$J102)</f>
        <v/>
      </c>
      <c r="L102" s="88"/>
      <c r="M102" s="88" t="str">
        <f aca="false">IF($L102="","",$L102)</f>
        <v/>
      </c>
      <c r="N102" s="10" t="n">
        <f aca="false">$H102</f>
        <v>1</v>
      </c>
      <c r="O102" s="39" t="str">
        <f aca="false">IF(SUM($N102)=0,"",IF(AND(SUM($N102)&gt;0,$K102=""),"ENTER KNOWN POSITIVITY RATE",ROUND($N102*$K102,0)))</f>
        <v>ENTER KNOWN POSITIVITY RATE</v>
      </c>
      <c r="P102" s="39" t="str">
        <f aca="false">IF(SUM($N102)=0,"",IF(AND((SUM($N102)-SUM($O102))&gt;0,$M102=""),"ENTER YIELD RATE",ROUND(($N102-SUM($O102))*$M102,0)))</f>
        <v>ENTER YIELD RATE</v>
      </c>
      <c r="Q102" s="39" t="n">
        <f aca="false">IF(SUM($N102)=0,"",$N102-SUM($O102)-SUM($P102))</f>
        <v>1</v>
      </c>
      <c r="R102" s="88" t="str">
        <f aca="false">IF(SUM($P102)=0,"",INDEX(Cascade!$BG:$BG,MATCH($E102,Cascade!$E:$E,0)))</f>
        <v/>
      </c>
      <c r="S102" s="39" t="str">
        <f aca="false">$O102</f>
        <v>ENTER KNOWN POSITIVITY RATE</v>
      </c>
      <c r="T102" s="39" t="str">
        <f aca="false">IF(SUM($P102)=0,"",IF(AND($R102="",SUM($P102)&gt;0),"&lt;- Enter Linkage Rate",ROUND($P102*$R102,0)))</f>
        <v/>
      </c>
      <c r="U102" s="10" t="n">
        <f aca="false">IFERROR(1/(1/INDEX(Cascade!$BH:$BH,MATCH($E102,Cascade!$E:$E,0))),"")</f>
        <v>-44</v>
      </c>
      <c r="V102" s="10" t="str">
        <f aca="false">IF(SUM($P102)=0,"",$P102)</f>
        <v/>
      </c>
      <c r="W102" s="10" t="str">
        <f aca="false">IFERROR(1/(1/INDEX(PMTCT!$AC:$AC,MATCH($E102,PMTCT!$E:$E,0))),"")</f>
        <v/>
      </c>
      <c r="X102" s="10" t="str">
        <f aca="false">IFERROR(1/(1/INDEX(PMTCT!$AS:$AS,MATCH($E102,PMTCT!$E:$E,0))),"")</f>
        <v/>
      </c>
      <c r="Y102" s="10" t="str">
        <f aca="false">IFERROR(1/(1/INDEX(VMMC!$AA:$AA,MATCH($E102,VMMC!$E:$E,0))),"")</f>
        <v/>
      </c>
      <c r="Z102" s="10" t="n">
        <f aca="false">IFERROR(1/(1/(SUM($U102)-SUM($V102:$Y102))),"")</f>
        <v>-44</v>
      </c>
    </row>
    <row r="103" customFormat="false" ht="15" hidden="false" customHeight="false" outlineLevel="0" collapsed="false">
      <c r="A103" s="0" t="str">
        <f aca="false">INDEX(Prioritization!$D:$D,MATCH($B103,Prioritization!$A:$A,0))</f>
        <v>INVALID</v>
      </c>
      <c r="B103" s="0" t="s">
        <v>201</v>
      </c>
      <c r="C103" s="0" t="s">
        <v>365</v>
      </c>
      <c r="D103" s="0" t="s">
        <v>30</v>
      </c>
      <c r="E103" s="0" t="str">
        <f aca="false">B103&amp;"|"&amp;C103&amp;"|"&amp;D103</f>
        <v>Ntcheu District [am530wpaGvr]|15-24|Female</v>
      </c>
      <c r="F103" s="10"/>
      <c r="G103" s="88" t="n">
        <f aca="false">0</f>
        <v>0</v>
      </c>
      <c r="H103" s="39" t="str">
        <f aca="false">IF(SUM($F103)=0,"",ROUND($F103*(1+$G103),0))</f>
        <v/>
      </c>
      <c r="I103" s="10"/>
      <c r="J103" s="88"/>
      <c r="K103" s="88" t="str">
        <f aca="false">IF($J103="","",$J103)</f>
        <v/>
      </c>
      <c r="L103" s="88"/>
      <c r="M103" s="88" t="str">
        <f aca="false">IF($L103="","",$L103)</f>
        <v/>
      </c>
      <c r="N103" s="10" t="str">
        <f aca="false">$H103</f>
        <v/>
      </c>
      <c r="O103" s="39" t="str">
        <f aca="false">IF(SUM($N103)=0,"",IF(AND(SUM($N103)&gt;0,$K103=""),"ENTER KNOWN POSITIVITY RATE",ROUND($N103*$K103,0)))</f>
        <v/>
      </c>
      <c r="P103" s="39" t="str">
        <f aca="false">IF(SUM($N103)=0,"",IF(AND((SUM($N103)-SUM($O103))&gt;0,$M103=""),"ENTER YIELD RATE",ROUND(($N103-SUM($O103))*$M103,0)))</f>
        <v/>
      </c>
      <c r="Q103" s="39" t="str">
        <f aca="false">IF(SUM($N103)=0,"",$N103-SUM($O103)-SUM($P103))</f>
        <v/>
      </c>
      <c r="R103" s="88" t="str">
        <f aca="false">IF(SUM($P103)=0,"",INDEX(Cascade!$BG:$BG,MATCH($E103,Cascade!$E:$E,0)))</f>
        <v/>
      </c>
      <c r="S103" s="39" t="str">
        <f aca="false">$O103</f>
        <v/>
      </c>
      <c r="T103" s="39" t="str">
        <f aca="false">IF(SUM($P103)=0,"",IF(AND($R103="",SUM($P103)&gt;0),"&lt;- Enter Linkage Rate",ROUND($P103*$R103,0)))</f>
        <v/>
      </c>
      <c r="U103" s="10" t="str">
        <f aca="false">IFERROR(1/(1/INDEX(Cascade!$BH:$BH,MATCH($E103,Cascade!$E:$E,0))),"")</f>
        <v/>
      </c>
      <c r="V103" s="10" t="str">
        <f aca="false">IF(SUM($P103)=0,"",$P103)</f>
        <v/>
      </c>
      <c r="W103" s="10" t="str">
        <f aca="false">IFERROR(1/(1/INDEX(PMTCT!$AC:$AC,MATCH($E103,PMTCT!$E:$E,0))),"")</f>
        <v/>
      </c>
      <c r="X103" s="10" t="str">
        <f aca="false">IFERROR(1/(1/INDEX(PMTCT!$AS:$AS,MATCH($E103,PMTCT!$E:$E,0))),"")</f>
        <v/>
      </c>
      <c r="Y103" s="10" t="str">
        <f aca="false">IFERROR(1/(1/INDEX(VMMC!$AA:$AA,MATCH($E103,VMMC!$E:$E,0))),"")</f>
        <v/>
      </c>
      <c r="Z103" s="10" t="str">
        <f aca="false">IFERROR(1/(1/(SUM($U103)-SUM($V103:$Y103))),"")</f>
        <v/>
      </c>
    </row>
    <row r="104" customFormat="false" ht="15" hidden="false" customHeight="false" outlineLevel="0" collapsed="false">
      <c r="A104" s="0" t="str">
        <f aca="false">INDEX(Prioritization!$D:$D,MATCH($B104,Prioritization!$A:$A,0))</f>
        <v>INVALID</v>
      </c>
      <c r="B104" s="0" t="s">
        <v>201</v>
      </c>
      <c r="C104" s="0" t="s">
        <v>365</v>
      </c>
      <c r="D104" s="0" t="s">
        <v>48</v>
      </c>
      <c r="E104" s="0" t="str">
        <f aca="false">B104&amp;"|"&amp;C104&amp;"|"&amp;D104</f>
        <v>Ntcheu District [am530wpaGvr]|15-24|Male</v>
      </c>
      <c r="F104" s="10"/>
      <c r="G104" s="88" t="n">
        <f aca="false">0</f>
        <v>0</v>
      </c>
      <c r="H104" s="39" t="str">
        <f aca="false">IF(SUM($F104)=0,"",ROUND($F104*(1+$G104),0))</f>
        <v/>
      </c>
      <c r="I104" s="10"/>
      <c r="J104" s="88"/>
      <c r="K104" s="88" t="str">
        <f aca="false">IF($J104="","",$J104)</f>
        <v/>
      </c>
      <c r="L104" s="88"/>
      <c r="M104" s="88" t="str">
        <f aca="false">IF($L104="","",$L104)</f>
        <v/>
      </c>
      <c r="N104" s="10" t="str">
        <f aca="false">$H104</f>
        <v/>
      </c>
      <c r="O104" s="39" t="str">
        <f aca="false">IF(SUM($N104)=0,"",IF(AND(SUM($N104)&gt;0,$K104=""),"ENTER KNOWN POSITIVITY RATE",ROUND($N104*$K104,0)))</f>
        <v/>
      </c>
      <c r="P104" s="39" t="str">
        <f aca="false">IF(SUM($N104)=0,"",IF(AND((SUM($N104)-SUM($O104))&gt;0,$M104=""),"ENTER YIELD RATE",ROUND(($N104-SUM($O104))*$M104,0)))</f>
        <v/>
      </c>
      <c r="Q104" s="39" t="str">
        <f aca="false">IF(SUM($N104)=0,"",$N104-SUM($O104)-SUM($P104))</f>
        <v/>
      </c>
      <c r="R104" s="88" t="str">
        <f aca="false">IF(SUM($P104)=0,"",INDEX(Cascade!$BG:$BG,MATCH($E104,Cascade!$E:$E,0)))</f>
        <v/>
      </c>
      <c r="S104" s="39" t="str">
        <f aca="false">$O104</f>
        <v/>
      </c>
      <c r="T104" s="39" t="str">
        <f aca="false">IF(SUM($P104)=0,"",IF(AND($R104="",SUM($P104)&gt;0),"&lt;- Enter Linkage Rate",ROUND($P104*$R104,0)))</f>
        <v/>
      </c>
      <c r="U104" s="10" t="str">
        <f aca="false">IFERROR(1/(1/INDEX(Cascade!$BH:$BH,MATCH($E104,Cascade!$E:$E,0))),"")</f>
        <v/>
      </c>
      <c r="V104" s="10" t="str">
        <f aca="false">IF(SUM($P104)=0,"",$P104)</f>
        <v/>
      </c>
      <c r="W104" s="10" t="str">
        <f aca="false">IFERROR(1/(1/INDEX(PMTCT!$AC:$AC,MATCH($E104,PMTCT!$E:$E,0))),"")</f>
        <v/>
      </c>
      <c r="X104" s="10" t="str">
        <f aca="false">IFERROR(1/(1/INDEX(PMTCT!$AS:$AS,MATCH($E104,PMTCT!$E:$E,0))),"")</f>
        <v/>
      </c>
      <c r="Y104" s="10" t="str">
        <f aca="false">IFERROR(1/(1/INDEX(VMMC!$AA:$AA,MATCH($E104,VMMC!$E:$E,0))),"")</f>
        <v/>
      </c>
      <c r="Z104" s="10" t="str">
        <f aca="false">IFERROR(1/(1/(SUM($U104)-SUM($V104:$Y104))),"")</f>
        <v/>
      </c>
    </row>
    <row r="105" customFormat="false" ht="15" hidden="false" customHeight="false" outlineLevel="0" collapsed="false">
      <c r="A105" s="0" t="str">
        <f aca="false">INDEX(Prioritization!$D:$D,MATCH($B105,Prioritization!$A:$A,0))</f>
        <v>INVALID</v>
      </c>
      <c r="B105" s="0" t="s">
        <v>201</v>
      </c>
      <c r="C105" s="0" t="s">
        <v>366</v>
      </c>
      <c r="D105" s="0" t="s">
        <v>30</v>
      </c>
      <c r="E105" s="0" t="str">
        <f aca="false">B105&amp;"|"&amp;C105&amp;"|"&amp;D105</f>
        <v>Ntcheu District [am530wpaGvr]|25-34|Female</v>
      </c>
      <c r="F105" s="10"/>
      <c r="G105" s="88" t="n">
        <f aca="false">0</f>
        <v>0</v>
      </c>
      <c r="H105" s="39" t="str">
        <f aca="false">IF(SUM($F105)=0,"",ROUND($F105*(1+$G105),0))</f>
        <v/>
      </c>
      <c r="I105" s="10"/>
      <c r="J105" s="88"/>
      <c r="K105" s="88" t="str">
        <f aca="false">IF($J105="","",$J105)</f>
        <v/>
      </c>
      <c r="L105" s="88"/>
      <c r="M105" s="88" t="str">
        <f aca="false">IF($L105="","",$L105)</f>
        <v/>
      </c>
      <c r="N105" s="10" t="str">
        <f aca="false">$H105</f>
        <v/>
      </c>
      <c r="O105" s="39" t="str">
        <f aca="false">IF(SUM($N105)=0,"",IF(AND(SUM($N105)&gt;0,$K105=""),"ENTER KNOWN POSITIVITY RATE",ROUND($N105*$K105,0)))</f>
        <v/>
      </c>
      <c r="P105" s="39" t="str">
        <f aca="false">IF(SUM($N105)=0,"",IF(AND((SUM($N105)-SUM($O105))&gt;0,$M105=""),"ENTER YIELD RATE",ROUND(($N105-SUM($O105))*$M105,0)))</f>
        <v/>
      </c>
      <c r="Q105" s="39" t="str">
        <f aca="false">IF(SUM($N105)=0,"",$N105-SUM($O105)-SUM($P105))</f>
        <v/>
      </c>
      <c r="R105" s="88" t="str">
        <f aca="false">IF(SUM($P105)=0,"",INDEX(Cascade!$BG:$BG,MATCH($E105,Cascade!$E:$E,0)))</f>
        <v/>
      </c>
      <c r="S105" s="39" t="str">
        <f aca="false">$O105</f>
        <v/>
      </c>
      <c r="T105" s="39" t="str">
        <f aca="false">IF(SUM($P105)=0,"",IF(AND($R105="",SUM($P105)&gt;0),"&lt;- Enter Linkage Rate",ROUND($P105*$R105,0)))</f>
        <v/>
      </c>
      <c r="U105" s="10" t="str">
        <f aca="false">IFERROR(1/(1/INDEX(Cascade!$BH:$BH,MATCH($E105,Cascade!$E:$E,0))),"")</f>
        <v/>
      </c>
      <c r="V105" s="10" t="str">
        <f aca="false">IF(SUM($P105)=0,"",$P105)</f>
        <v/>
      </c>
      <c r="W105" s="10" t="str">
        <f aca="false">IFERROR(1/(1/INDEX(PMTCT!$AC:$AC,MATCH($E105,PMTCT!$E:$E,0))),"")</f>
        <v/>
      </c>
      <c r="X105" s="10" t="str">
        <f aca="false">IFERROR(1/(1/INDEX(PMTCT!$AS:$AS,MATCH($E105,PMTCT!$E:$E,0))),"")</f>
        <v/>
      </c>
      <c r="Y105" s="10" t="str">
        <f aca="false">IFERROR(1/(1/INDEX(VMMC!$AA:$AA,MATCH($E105,VMMC!$E:$E,0))),"")</f>
        <v/>
      </c>
      <c r="Z105" s="10" t="str">
        <f aca="false">IFERROR(1/(1/(SUM($U105)-SUM($V105:$Y105))),"")</f>
        <v/>
      </c>
    </row>
    <row r="106" customFormat="false" ht="15" hidden="false" customHeight="false" outlineLevel="0" collapsed="false">
      <c r="A106" s="0" t="str">
        <f aca="false">INDEX(Prioritization!$D:$D,MATCH($B106,Prioritization!$A:$A,0))</f>
        <v>INVALID</v>
      </c>
      <c r="B106" s="0" t="s">
        <v>201</v>
      </c>
      <c r="C106" s="0" t="s">
        <v>366</v>
      </c>
      <c r="D106" s="0" t="s">
        <v>48</v>
      </c>
      <c r="E106" s="0" t="str">
        <f aca="false">B106&amp;"|"&amp;C106&amp;"|"&amp;D106</f>
        <v>Ntcheu District [am530wpaGvr]|25-34|Male</v>
      </c>
      <c r="F106" s="10"/>
      <c r="G106" s="88" t="n">
        <f aca="false">0</f>
        <v>0</v>
      </c>
      <c r="H106" s="39" t="str">
        <f aca="false">IF(SUM($F106)=0,"",ROUND($F106*(1+$G106),0))</f>
        <v/>
      </c>
      <c r="I106" s="10"/>
      <c r="J106" s="88"/>
      <c r="K106" s="88" t="str">
        <f aca="false">IF($J106="","",$J106)</f>
        <v/>
      </c>
      <c r="L106" s="88"/>
      <c r="M106" s="88" t="str">
        <f aca="false">IF($L106="","",$L106)</f>
        <v/>
      </c>
      <c r="N106" s="10" t="str">
        <f aca="false">$H106</f>
        <v/>
      </c>
      <c r="O106" s="39" t="str">
        <f aca="false">IF(SUM($N106)=0,"",IF(AND(SUM($N106)&gt;0,$K106=""),"ENTER KNOWN POSITIVITY RATE",ROUND($N106*$K106,0)))</f>
        <v/>
      </c>
      <c r="P106" s="39" t="str">
        <f aca="false">IF(SUM($N106)=0,"",IF(AND((SUM($N106)-SUM($O106))&gt;0,$M106=""),"ENTER YIELD RATE",ROUND(($N106-SUM($O106))*$M106,0)))</f>
        <v/>
      </c>
      <c r="Q106" s="39" t="str">
        <f aca="false">IF(SUM($N106)=0,"",$N106-SUM($O106)-SUM($P106))</f>
        <v/>
      </c>
      <c r="R106" s="88" t="str">
        <f aca="false">IF(SUM($P106)=0,"",INDEX(Cascade!$BG:$BG,MATCH($E106,Cascade!$E:$E,0)))</f>
        <v/>
      </c>
      <c r="S106" s="39" t="str">
        <f aca="false">$O106</f>
        <v/>
      </c>
      <c r="T106" s="39" t="str">
        <f aca="false">IF(SUM($P106)=0,"",IF(AND($R106="",SUM($P106)&gt;0),"&lt;- Enter Linkage Rate",ROUND($P106*$R106,0)))</f>
        <v/>
      </c>
      <c r="U106" s="10" t="str">
        <f aca="false">IFERROR(1/(1/INDEX(Cascade!$BH:$BH,MATCH($E106,Cascade!$E:$E,0))),"")</f>
        <v/>
      </c>
      <c r="V106" s="10" t="str">
        <f aca="false">IF(SUM($P106)=0,"",$P106)</f>
        <v/>
      </c>
      <c r="W106" s="10" t="str">
        <f aca="false">IFERROR(1/(1/INDEX(PMTCT!$AC:$AC,MATCH($E106,PMTCT!$E:$E,0))),"")</f>
        <v/>
      </c>
      <c r="X106" s="10" t="str">
        <f aca="false">IFERROR(1/(1/INDEX(PMTCT!$AS:$AS,MATCH($E106,PMTCT!$E:$E,0))),"")</f>
        <v/>
      </c>
      <c r="Y106" s="10" t="str">
        <f aca="false">IFERROR(1/(1/INDEX(VMMC!$AA:$AA,MATCH($E106,VMMC!$E:$E,0))),"")</f>
        <v/>
      </c>
      <c r="Z106" s="10" t="str">
        <f aca="false">IFERROR(1/(1/(SUM($U106)-SUM($V106:$Y106))),"")</f>
        <v/>
      </c>
    </row>
    <row r="107" customFormat="false" ht="15" hidden="false" customHeight="false" outlineLevel="0" collapsed="false">
      <c r="A107" s="0" t="str">
        <f aca="false">INDEX(Prioritization!$D:$D,MATCH($B107,Prioritization!$A:$A,0))</f>
        <v>INVALID</v>
      </c>
      <c r="B107" s="0" t="s">
        <v>201</v>
      </c>
      <c r="C107" s="0" t="s">
        <v>367</v>
      </c>
      <c r="D107" s="0" t="s">
        <v>30</v>
      </c>
      <c r="E107" s="0" t="str">
        <f aca="false">B107&amp;"|"&amp;C107&amp;"|"&amp;D107</f>
        <v>Ntcheu District [am530wpaGvr]|35-49|Female</v>
      </c>
      <c r="F107" s="10"/>
      <c r="G107" s="88" t="n">
        <f aca="false">0</f>
        <v>0</v>
      </c>
      <c r="H107" s="39" t="str">
        <f aca="false">IF(SUM($F107)=0,"",ROUND($F107*(1+$G107),0))</f>
        <v/>
      </c>
      <c r="I107" s="10"/>
      <c r="J107" s="88"/>
      <c r="K107" s="88" t="str">
        <f aca="false">IF($J107="","",$J107)</f>
        <v/>
      </c>
      <c r="L107" s="88"/>
      <c r="M107" s="88" t="str">
        <f aca="false">IF($L107="","",$L107)</f>
        <v/>
      </c>
      <c r="N107" s="10" t="str">
        <f aca="false">$H107</f>
        <v/>
      </c>
      <c r="O107" s="39" t="str">
        <f aca="false">IF(SUM($N107)=0,"",IF(AND(SUM($N107)&gt;0,$K107=""),"ENTER KNOWN POSITIVITY RATE",ROUND($N107*$K107,0)))</f>
        <v/>
      </c>
      <c r="P107" s="39" t="str">
        <f aca="false">IF(SUM($N107)=0,"",IF(AND((SUM($N107)-SUM($O107))&gt;0,$M107=""),"ENTER YIELD RATE",ROUND(($N107-SUM($O107))*$M107,0)))</f>
        <v/>
      </c>
      <c r="Q107" s="39" t="str">
        <f aca="false">IF(SUM($N107)=0,"",$N107-SUM($O107)-SUM($P107))</f>
        <v/>
      </c>
      <c r="R107" s="88" t="str">
        <f aca="false">IF(SUM($P107)=0,"",INDEX(Cascade!$BG:$BG,MATCH($E107,Cascade!$E:$E,0)))</f>
        <v/>
      </c>
      <c r="S107" s="39" t="str">
        <f aca="false">$O107</f>
        <v/>
      </c>
      <c r="T107" s="39" t="str">
        <f aca="false">IF(SUM($P107)=0,"",IF(AND($R107="",SUM($P107)&gt;0),"&lt;- Enter Linkage Rate",ROUND($P107*$R107,0)))</f>
        <v/>
      </c>
      <c r="U107" s="10" t="str">
        <f aca="false">IFERROR(1/(1/INDEX(Cascade!$BH:$BH,MATCH($E107,Cascade!$E:$E,0))),"")</f>
        <v/>
      </c>
      <c r="V107" s="10" t="str">
        <f aca="false">IF(SUM($P107)=0,"",$P107)</f>
        <v/>
      </c>
      <c r="W107" s="10" t="str">
        <f aca="false">IFERROR(1/(1/INDEX(PMTCT!$AC:$AC,MATCH($E107,PMTCT!$E:$E,0))),"")</f>
        <v/>
      </c>
      <c r="X107" s="10" t="str">
        <f aca="false">IFERROR(1/(1/INDEX(PMTCT!$AS:$AS,MATCH($E107,PMTCT!$E:$E,0))),"")</f>
        <v/>
      </c>
      <c r="Y107" s="10" t="str">
        <f aca="false">IFERROR(1/(1/INDEX(VMMC!$AA:$AA,MATCH($E107,VMMC!$E:$E,0))),"")</f>
        <v/>
      </c>
      <c r="Z107" s="10" t="str">
        <f aca="false">IFERROR(1/(1/(SUM($U107)-SUM($V107:$Y107))),"")</f>
        <v/>
      </c>
    </row>
    <row r="108" customFormat="false" ht="15" hidden="false" customHeight="false" outlineLevel="0" collapsed="false">
      <c r="A108" s="0" t="str">
        <f aca="false">INDEX(Prioritization!$D:$D,MATCH($B108,Prioritization!$A:$A,0))</f>
        <v>INVALID</v>
      </c>
      <c r="B108" s="0" t="s">
        <v>201</v>
      </c>
      <c r="C108" s="0" t="s">
        <v>367</v>
      </c>
      <c r="D108" s="0" t="s">
        <v>48</v>
      </c>
      <c r="E108" s="0" t="str">
        <f aca="false">B108&amp;"|"&amp;C108&amp;"|"&amp;D108</f>
        <v>Ntcheu District [am530wpaGvr]|35-49|Male</v>
      </c>
      <c r="F108" s="10"/>
      <c r="G108" s="88" t="n">
        <f aca="false">0</f>
        <v>0</v>
      </c>
      <c r="H108" s="39" t="str">
        <f aca="false">IF(SUM($F108)=0,"",ROUND($F108*(1+$G108),0))</f>
        <v/>
      </c>
      <c r="I108" s="10"/>
      <c r="J108" s="88"/>
      <c r="K108" s="88" t="str">
        <f aca="false">IF($J108="","",$J108)</f>
        <v/>
      </c>
      <c r="L108" s="88"/>
      <c r="M108" s="88" t="str">
        <f aca="false">IF($L108="","",$L108)</f>
        <v/>
      </c>
      <c r="N108" s="10" t="str">
        <f aca="false">$H108</f>
        <v/>
      </c>
      <c r="O108" s="39" t="str">
        <f aca="false">IF(SUM($N108)=0,"",IF(AND(SUM($N108)&gt;0,$K108=""),"ENTER KNOWN POSITIVITY RATE",ROUND($N108*$K108,0)))</f>
        <v/>
      </c>
      <c r="P108" s="39" t="str">
        <f aca="false">IF(SUM($N108)=0,"",IF(AND((SUM($N108)-SUM($O108))&gt;0,$M108=""),"ENTER YIELD RATE",ROUND(($N108-SUM($O108))*$M108,0)))</f>
        <v/>
      </c>
      <c r="Q108" s="39" t="str">
        <f aca="false">IF(SUM($N108)=0,"",$N108-SUM($O108)-SUM($P108))</f>
        <v/>
      </c>
      <c r="R108" s="88" t="str">
        <f aca="false">IF(SUM($P108)=0,"",INDEX(Cascade!$BG:$BG,MATCH($E108,Cascade!$E:$E,0)))</f>
        <v/>
      </c>
      <c r="S108" s="39" t="str">
        <f aca="false">$O108</f>
        <v/>
      </c>
      <c r="T108" s="39" t="str">
        <f aca="false">IF(SUM($P108)=0,"",IF(AND($R108="",SUM($P108)&gt;0),"&lt;- Enter Linkage Rate",ROUND($P108*$R108,0)))</f>
        <v/>
      </c>
      <c r="U108" s="10" t="str">
        <f aca="false">IFERROR(1/(1/INDEX(Cascade!$BH:$BH,MATCH($E108,Cascade!$E:$E,0))),"")</f>
        <v/>
      </c>
      <c r="V108" s="10" t="str">
        <f aca="false">IF(SUM($P108)=0,"",$P108)</f>
        <v/>
      </c>
      <c r="W108" s="10" t="str">
        <f aca="false">IFERROR(1/(1/INDEX(PMTCT!$AC:$AC,MATCH($E108,PMTCT!$E:$E,0))),"")</f>
        <v/>
      </c>
      <c r="X108" s="10" t="str">
        <f aca="false">IFERROR(1/(1/INDEX(PMTCT!$AS:$AS,MATCH($E108,PMTCT!$E:$E,0))),"")</f>
        <v/>
      </c>
      <c r="Y108" s="10" t="str">
        <f aca="false">IFERROR(1/(1/INDEX(VMMC!$AA:$AA,MATCH($E108,VMMC!$E:$E,0))),"")</f>
        <v/>
      </c>
      <c r="Z108" s="10" t="str">
        <f aca="false">IFERROR(1/(1/(SUM($U108)-SUM($V108:$Y108))),"")</f>
        <v/>
      </c>
    </row>
    <row r="109" customFormat="false" ht="15" hidden="false" customHeight="false" outlineLevel="0" collapsed="false">
      <c r="A109" s="0" t="str">
        <f aca="false">INDEX(Prioritization!$D:$D,MATCH($B109,Prioritization!$A:$A,0))</f>
        <v>INVALID</v>
      </c>
      <c r="B109" s="0" t="s">
        <v>201</v>
      </c>
      <c r="C109" s="0" t="s">
        <v>368</v>
      </c>
      <c r="D109" s="0" t="s">
        <v>30</v>
      </c>
      <c r="E109" s="0" t="str">
        <f aca="false">B109&amp;"|"&amp;C109&amp;"|"&amp;D109</f>
        <v>Ntcheu District [am530wpaGvr]|50+|Female</v>
      </c>
      <c r="F109" s="10"/>
      <c r="G109" s="88" t="n">
        <f aca="false">0</f>
        <v>0</v>
      </c>
      <c r="H109" s="39" t="str">
        <f aca="false">IF(SUM($F109)=0,"",ROUND($F109*(1+$G109),0))</f>
        <v/>
      </c>
      <c r="I109" s="10"/>
      <c r="J109" s="88"/>
      <c r="K109" s="88" t="str">
        <f aca="false">IF($J109="","",$J109)</f>
        <v/>
      </c>
      <c r="L109" s="88"/>
      <c r="M109" s="88" t="str">
        <f aca="false">IF($L109="","",$L109)</f>
        <v/>
      </c>
      <c r="N109" s="10" t="str">
        <f aca="false">$H109</f>
        <v/>
      </c>
      <c r="O109" s="39" t="str">
        <f aca="false">IF(SUM($N109)=0,"",IF(AND(SUM($N109)&gt;0,$K109=""),"ENTER KNOWN POSITIVITY RATE",ROUND($N109*$K109,0)))</f>
        <v/>
      </c>
      <c r="P109" s="39" t="str">
        <f aca="false">IF(SUM($N109)=0,"",IF(AND((SUM($N109)-SUM($O109))&gt;0,$M109=""),"ENTER YIELD RATE",ROUND(($N109-SUM($O109))*$M109,0)))</f>
        <v/>
      </c>
      <c r="Q109" s="39" t="str">
        <f aca="false">IF(SUM($N109)=0,"",$N109-SUM($O109)-SUM($P109))</f>
        <v/>
      </c>
      <c r="R109" s="88" t="str">
        <f aca="false">IF(SUM($P109)=0,"",INDEX(Cascade!$BG:$BG,MATCH($E109,Cascade!$E:$E,0)))</f>
        <v/>
      </c>
      <c r="S109" s="39" t="str">
        <f aca="false">$O109</f>
        <v/>
      </c>
      <c r="T109" s="39" t="str">
        <f aca="false">IF(SUM($P109)=0,"",IF(AND($R109="",SUM($P109)&gt;0),"&lt;- Enter Linkage Rate",ROUND($P109*$R109,0)))</f>
        <v/>
      </c>
      <c r="U109" s="10" t="str">
        <f aca="false">IFERROR(1/(1/INDEX(Cascade!$BH:$BH,MATCH($E109,Cascade!$E:$E,0))),"")</f>
        <v/>
      </c>
      <c r="V109" s="10" t="str">
        <f aca="false">IF(SUM($P109)=0,"",$P109)</f>
        <v/>
      </c>
      <c r="W109" s="10" t="str">
        <f aca="false">IFERROR(1/(1/INDEX(PMTCT!$AC:$AC,MATCH($E109,PMTCT!$E:$E,0))),"")</f>
        <v/>
      </c>
      <c r="X109" s="10" t="str">
        <f aca="false">IFERROR(1/(1/INDEX(PMTCT!$AS:$AS,MATCH($E109,PMTCT!$E:$E,0))),"")</f>
        <v/>
      </c>
      <c r="Y109" s="10" t="str">
        <f aca="false">IFERROR(1/(1/INDEX(VMMC!$AA:$AA,MATCH($E109,VMMC!$E:$E,0))),"")</f>
        <v/>
      </c>
      <c r="Z109" s="10" t="str">
        <f aca="false">IFERROR(1/(1/(SUM($U109)-SUM($V109:$Y109))),"")</f>
        <v/>
      </c>
    </row>
    <row r="110" customFormat="false" ht="15" hidden="false" customHeight="false" outlineLevel="0" collapsed="false">
      <c r="A110" s="0" t="str">
        <f aca="false">INDEX(Prioritization!$D:$D,MATCH($B110,Prioritization!$A:$A,0))</f>
        <v>INVALID</v>
      </c>
      <c r="B110" s="0" t="s">
        <v>201</v>
      </c>
      <c r="C110" s="0" t="s">
        <v>368</v>
      </c>
      <c r="D110" s="0" t="s">
        <v>48</v>
      </c>
      <c r="E110" s="0" t="str">
        <f aca="false">B110&amp;"|"&amp;C110&amp;"|"&amp;D110</f>
        <v>Ntcheu District [am530wpaGvr]|50+|Male</v>
      </c>
      <c r="F110" s="10"/>
      <c r="G110" s="88" t="n">
        <f aca="false">0</f>
        <v>0</v>
      </c>
      <c r="H110" s="39" t="str">
        <f aca="false">IF(SUM($F110)=0,"",ROUND($F110*(1+$G110),0))</f>
        <v/>
      </c>
      <c r="I110" s="10"/>
      <c r="J110" s="88"/>
      <c r="K110" s="88" t="str">
        <f aca="false">IF($J110="","",$J110)</f>
        <v/>
      </c>
      <c r="L110" s="88"/>
      <c r="M110" s="88" t="str">
        <f aca="false">IF($L110="","",$L110)</f>
        <v/>
      </c>
      <c r="N110" s="10" t="str">
        <f aca="false">$H110</f>
        <v/>
      </c>
      <c r="O110" s="39" t="str">
        <f aca="false">IF(SUM($N110)=0,"",IF(AND(SUM($N110)&gt;0,$K110=""),"ENTER KNOWN POSITIVITY RATE",ROUND($N110*$K110,0)))</f>
        <v/>
      </c>
      <c r="P110" s="39" t="str">
        <f aca="false">IF(SUM($N110)=0,"",IF(AND((SUM($N110)-SUM($O110))&gt;0,$M110=""),"ENTER YIELD RATE",ROUND(($N110-SUM($O110))*$M110,0)))</f>
        <v/>
      </c>
      <c r="Q110" s="39" t="str">
        <f aca="false">IF(SUM($N110)=0,"",$N110-SUM($O110)-SUM($P110))</f>
        <v/>
      </c>
      <c r="R110" s="88" t="str">
        <f aca="false">IF(SUM($P110)=0,"",INDEX(Cascade!$BG:$BG,MATCH($E110,Cascade!$E:$E,0)))</f>
        <v/>
      </c>
      <c r="S110" s="39" t="str">
        <f aca="false">$O110</f>
        <v/>
      </c>
      <c r="T110" s="39" t="str">
        <f aca="false">IF(SUM($P110)=0,"",IF(AND($R110="",SUM($P110)&gt;0),"&lt;- Enter Linkage Rate",ROUND($P110*$R110,0)))</f>
        <v/>
      </c>
      <c r="U110" s="10" t="str">
        <f aca="false">IFERROR(1/(1/INDEX(Cascade!$BH:$BH,MATCH($E110,Cascade!$E:$E,0))),"")</f>
        <v/>
      </c>
      <c r="V110" s="10" t="str">
        <f aca="false">IF(SUM($P110)=0,"",$P110)</f>
        <v/>
      </c>
      <c r="W110" s="10" t="str">
        <f aca="false">IFERROR(1/(1/INDEX(PMTCT!$AC:$AC,MATCH($E110,PMTCT!$E:$E,0))),"")</f>
        <v/>
      </c>
      <c r="X110" s="10" t="str">
        <f aca="false">IFERROR(1/(1/INDEX(PMTCT!$AS:$AS,MATCH($E110,PMTCT!$E:$E,0))),"")</f>
        <v/>
      </c>
      <c r="Y110" s="10" t="str">
        <f aca="false">IFERROR(1/(1/INDEX(VMMC!$AA:$AA,MATCH($E110,VMMC!$E:$E,0))),"")</f>
        <v/>
      </c>
      <c r="Z110" s="10" t="str">
        <f aca="false">IFERROR(1/(1/(SUM($U110)-SUM($V110:$Y110))),"")</f>
        <v/>
      </c>
    </row>
    <row r="111" customFormat="false" ht="15" hidden="false" customHeight="false" outlineLevel="0" collapsed="false">
      <c r="A111" s="0" t="str">
        <f aca="false">INDEX(Prioritization!$D:$D,MATCH($B111,Prioritization!$A:$A,0))</f>
        <v>INVALID</v>
      </c>
      <c r="B111" s="0" t="s">
        <v>202</v>
      </c>
      <c r="C111" s="0" t="s">
        <v>363</v>
      </c>
      <c r="D111" s="0" t="s">
        <v>30</v>
      </c>
      <c r="E111" s="0" t="str">
        <f aca="false">B111&amp;"|"&amp;C111&amp;"|"&amp;D111</f>
        <v>Ntchisi District [fiRkU6gEjLz]|01-09|Female</v>
      </c>
      <c r="F111" s="10"/>
      <c r="G111" s="88" t="n">
        <f aca="false">0</f>
        <v>0</v>
      </c>
      <c r="H111" s="39" t="str">
        <f aca="false">IF(SUM($F111)=0,"",ROUND($F111*(1+$G111),0))</f>
        <v/>
      </c>
      <c r="I111" s="10"/>
      <c r="J111" s="88"/>
      <c r="K111" s="88" t="str">
        <f aca="false">IF($J111="","",$J111)</f>
        <v/>
      </c>
      <c r="L111" s="88"/>
      <c r="M111" s="88" t="str">
        <f aca="false">IF($L111="","",$L111)</f>
        <v/>
      </c>
      <c r="N111" s="10" t="str">
        <f aca="false">$H111</f>
        <v/>
      </c>
      <c r="O111" s="39" t="str">
        <f aca="false">IF(SUM($N111)=0,"",IF(AND(SUM($N111)&gt;0,$K111=""),"ENTER KNOWN POSITIVITY RATE",ROUND($N111*$K111,0)))</f>
        <v/>
      </c>
      <c r="P111" s="39" t="str">
        <f aca="false">IF(SUM($N111)=0,"",IF(AND((SUM($N111)-SUM($O111))&gt;0,$M111=""),"ENTER YIELD RATE",ROUND(($N111-SUM($O111))*$M111,0)))</f>
        <v/>
      </c>
      <c r="Q111" s="39" t="str">
        <f aca="false">IF(SUM($N111)=0,"",$N111-SUM($O111)-SUM($P111))</f>
        <v/>
      </c>
      <c r="R111" s="88" t="str">
        <f aca="false">IF(SUM($P111)=0,"",INDEX(Cascade!$BG:$BG,MATCH($E111,Cascade!$E:$E,0)))</f>
        <v/>
      </c>
      <c r="S111" s="39" t="str">
        <f aca="false">$O111</f>
        <v/>
      </c>
      <c r="T111" s="39" t="str">
        <f aca="false">IF(SUM($P111)=0,"",IF(AND($R111="",SUM($P111)&gt;0),"&lt;- Enter Linkage Rate",ROUND($P111*$R111,0)))</f>
        <v/>
      </c>
      <c r="U111" s="10" t="str">
        <f aca="false">IFERROR(1/(1/INDEX(Cascade!$BH:$BH,MATCH($E111,Cascade!$E:$E,0))),"")</f>
        <v/>
      </c>
      <c r="V111" s="10" t="str">
        <f aca="false">IF(SUM($P111)=0,"",$P111)</f>
        <v/>
      </c>
      <c r="W111" s="10" t="str">
        <f aca="false">IFERROR(1/(1/INDEX(PMTCT!$AC:$AC,MATCH($E111,PMTCT!$E:$E,0))),"")</f>
        <v/>
      </c>
      <c r="X111" s="10" t="str">
        <f aca="false">IFERROR(1/(1/INDEX(PMTCT!$AS:$AS,MATCH($E111,PMTCT!$E:$E,0))),"")</f>
        <v/>
      </c>
      <c r="Y111" s="10" t="str">
        <f aca="false">IFERROR(1/(1/INDEX(VMMC!$AA:$AA,MATCH($E111,VMMC!$E:$E,0))),"")</f>
        <v/>
      </c>
      <c r="Z111" s="10" t="str">
        <f aca="false">IFERROR(1/(1/(SUM($U111)-SUM($V111:$Y111))),"")</f>
        <v/>
      </c>
    </row>
    <row r="112" customFormat="false" ht="15" hidden="false" customHeight="false" outlineLevel="0" collapsed="false">
      <c r="A112" s="0" t="str">
        <f aca="false">INDEX(Prioritization!$D:$D,MATCH($B112,Prioritization!$A:$A,0))</f>
        <v>INVALID</v>
      </c>
      <c r="B112" s="0" t="s">
        <v>202</v>
      </c>
      <c r="C112" s="0" t="s">
        <v>363</v>
      </c>
      <c r="D112" s="0" t="s">
        <v>48</v>
      </c>
      <c r="E112" s="0" t="str">
        <f aca="false">B112&amp;"|"&amp;C112&amp;"|"&amp;D112</f>
        <v>Ntchisi District [fiRkU6gEjLz]|01-09|Male</v>
      </c>
      <c r="F112" s="10"/>
      <c r="G112" s="88" t="n">
        <f aca="false">0</f>
        <v>0</v>
      </c>
      <c r="H112" s="39" t="str">
        <f aca="false">IF(SUM($F112)=0,"",ROUND($F112*(1+$G112),0))</f>
        <v/>
      </c>
      <c r="I112" s="10"/>
      <c r="J112" s="88"/>
      <c r="K112" s="88" t="str">
        <f aca="false">IF($J112="","",$J112)</f>
        <v/>
      </c>
      <c r="L112" s="88"/>
      <c r="M112" s="88" t="str">
        <f aca="false">IF($L112="","",$L112)</f>
        <v/>
      </c>
      <c r="N112" s="10" t="str">
        <f aca="false">$H112</f>
        <v/>
      </c>
      <c r="O112" s="39" t="str">
        <f aca="false">IF(SUM($N112)=0,"",IF(AND(SUM($N112)&gt;0,$K112=""),"ENTER KNOWN POSITIVITY RATE",ROUND($N112*$K112,0)))</f>
        <v/>
      </c>
      <c r="P112" s="39" t="str">
        <f aca="false">IF(SUM($N112)=0,"",IF(AND((SUM($N112)-SUM($O112))&gt;0,$M112=""),"ENTER YIELD RATE",ROUND(($N112-SUM($O112))*$M112,0)))</f>
        <v/>
      </c>
      <c r="Q112" s="39" t="str">
        <f aca="false">IF(SUM($N112)=0,"",$N112-SUM($O112)-SUM($P112))</f>
        <v/>
      </c>
      <c r="R112" s="88" t="str">
        <f aca="false">IF(SUM($P112)=0,"",INDEX(Cascade!$BG:$BG,MATCH($E112,Cascade!$E:$E,0)))</f>
        <v/>
      </c>
      <c r="S112" s="39" t="str">
        <f aca="false">$O112</f>
        <v/>
      </c>
      <c r="T112" s="39" t="str">
        <f aca="false">IF(SUM($P112)=0,"",IF(AND($R112="",SUM($P112)&gt;0),"&lt;- Enter Linkage Rate",ROUND($P112*$R112,0)))</f>
        <v/>
      </c>
      <c r="U112" s="10" t="str">
        <f aca="false">IFERROR(1/(1/INDEX(Cascade!$BH:$BH,MATCH($E112,Cascade!$E:$E,0))),"")</f>
        <v/>
      </c>
      <c r="V112" s="10" t="str">
        <f aca="false">IF(SUM($P112)=0,"",$P112)</f>
        <v/>
      </c>
      <c r="W112" s="10" t="str">
        <f aca="false">IFERROR(1/(1/INDEX(PMTCT!$AC:$AC,MATCH($E112,PMTCT!$E:$E,0))),"")</f>
        <v/>
      </c>
      <c r="X112" s="10" t="str">
        <f aca="false">IFERROR(1/(1/INDEX(PMTCT!$AS:$AS,MATCH($E112,PMTCT!$E:$E,0))),"")</f>
        <v/>
      </c>
      <c r="Y112" s="10" t="str">
        <f aca="false">IFERROR(1/(1/INDEX(VMMC!$AA:$AA,MATCH($E112,VMMC!$E:$E,0))),"")</f>
        <v/>
      </c>
      <c r="Z112" s="10" t="str">
        <f aca="false">IFERROR(1/(1/(SUM($U112)-SUM($V112:$Y112))),"")</f>
        <v/>
      </c>
    </row>
    <row r="113" customFormat="false" ht="15" hidden="false" customHeight="false" outlineLevel="0" collapsed="false">
      <c r="A113" s="0" t="str">
        <f aca="false">INDEX(Prioritization!$D:$D,MATCH($B113,Prioritization!$A:$A,0))</f>
        <v>INVALID</v>
      </c>
      <c r="B113" s="0" t="s">
        <v>202</v>
      </c>
      <c r="C113" s="0" t="s">
        <v>364</v>
      </c>
      <c r="D113" s="0" t="s">
        <v>30</v>
      </c>
      <c r="E113" s="0" t="str">
        <f aca="false">B113&amp;"|"&amp;C113&amp;"|"&amp;D113</f>
        <v>Ntchisi District [fiRkU6gEjLz]|10-14|Female</v>
      </c>
      <c r="F113" s="10" t="n">
        <v>0</v>
      </c>
      <c r="G113" s="88" t="n">
        <f aca="false">0</f>
        <v>0</v>
      </c>
      <c r="H113" s="39" t="str">
        <f aca="false">IF(SUM($F113)=0,"",ROUND($F113*(1+$G113),0))</f>
        <v/>
      </c>
      <c r="I113" s="10"/>
      <c r="J113" s="88"/>
      <c r="K113" s="88" t="str">
        <f aca="false">IF($J113="","",$J113)</f>
        <v/>
      </c>
      <c r="L113" s="88"/>
      <c r="M113" s="88" t="str">
        <f aca="false">IF($L113="","",$L113)</f>
        <v/>
      </c>
      <c r="N113" s="10" t="str">
        <f aca="false">$H113</f>
        <v/>
      </c>
      <c r="O113" s="39" t="str">
        <f aca="false">IF(SUM($N113)=0,"",IF(AND(SUM($N113)&gt;0,$K113=""),"ENTER KNOWN POSITIVITY RATE",ROUND($N113*$K113,0)))</f>
        <v/>
      </c>
      <c r="P113" s="39" t="str">
        <f aca="false">IF(SUM($N113)=0,"",IF(AND((SUM($N113)-SUM($O113))&gt;0,$M113=""),"ENTER YIELD RATE",ROUND(($N113-SUM($O113))*$M113,0)))</f>
        <v/>
      </c>
      <c r="Q113" s="39" t="str">
        <f aca="false">IF(SUM($N113)=0,"",$N113-SUM($O113)-SUM($P113))</f>
        <v/>
      </c>
      <c r="R113" s="88" t="str">
        <f aca="false">IF(SUM($P113)=0,"",INDEX(Cascade!$BG:$BG,MATCH($E113,Cascade!$E:$E,0)))</f>
        <v/>
      </c>
      <c r="S113" s="39" t="str">
        <f aca="false">$O113</f>
        <v/>
      </c>
      <c r="T113" s="39" t="str">
        <f aca="false">IF(SUM($P113)=0,"",IF(AND($R113="",SUM($P113)&gt;0),"&lt;- Enter Linkage Rate",ROUND($P113*$R113,0)))</f>
        <v/>
      </c>
      <c r="U113" s="10" t="n">
        <f aca="false">IFERROR(1/(1/INDEX(Cascade!$BH:$BH,MATCH($E113,Cascade!$E:$E,0))),"")</f>
        <v>-7</v>
      </c>
      <c r="V113" s="10" t="str">
        <f aca="false">IF(SUM($P113)=0,"",$P113)</f>
        <v/>
      </c>
      <c r="W113" s="10" t="str">
        <f aca="false">IFERROR(1/(1/INDEX(PMTCT!$AC:$AC,MATCH($E113,PMTCT!$E:$E,0))),"")</f>
        <v/>
      </c>
      <c r="X113" s="10" t="str">
        <f aca="false">IFERROR(1/(1/INDEX(PMTCT!$AS:$AS,MATCH($E113,PMTCT!$E:$E,0))),"")</f>
        <v/>
      </c>
      <c r="Y113" s="10" t="str">
        <f aca="false">IFERROR(1/(1/INDEX(VMMC!$AA:$AA,MATCH($E113,VMMC!$E:$E,0))),"")</f>
        <v/>
      </c>
      <c r="Z113" s="10" t="n">
        <f aca="false">IFERROR(1/(1/(SUM($U113)-SUM($V113:$Y113))),"")</f>
        <v>-7</v>
      </c>
    </row>
    <row r="114" customFormat="false" ht="15" hidden="false" customHeight="false" outlineLevel="0" collapsed="false">
      <c r="A114" s="0" t="str">
        <f aca="false">INDEX(Prioritization!$D:$D,MATCH($B114,Prioritization!$A:$A,0))</f>
        <v>INVALID</v>
      </c>
      <c r="B114" s="0" t="s">
        <v>202</v>
      </c>
      <c r="C114" s="0" t="s">
        <v>364</v>
      </c>
      <c r="D114" s="0" t="s">
        <v>48</v>
      </c>
      <c r="E114" s="0" t="str">
        <f aca="false">B114&amp;"|"&amp;C114&amp;"|"&amp;D114</f>
        <v>Ntchisi District [fiRkU6gEjLz]|10-14|Male</v>
      </c>
      <c r="F114" s="10" t="n">
        <v>1</v>
      </c>
      <c r="G114" s="88" t="n">
        <f aca="false">0</f>
        <v>0</v>
      </c>
      <c r="H114" s="39" t="n">
        <f aca="false">IF(SUM($F114)=0,"",ROUND($F114*(1+$G114),0))</f>
        <v>1</v>
      </c>
      <c r="I114" s="10"/>
      <c r="J114" s="88"/>
      <c r="K114" s="88" t="str">
        <f aca="false">IF($J114="","",$J114)</f>
        <v/>
      </c>
      <c r="L114" s="88"/>
      <c r="M114" s="88" t="str">
        <f aca="false">IF($L114="","",$L114)</f>
        <v/>
      </c>
      <c r="N114" s="10" t="n">
        <f aca="false">$H114</f>
        <v>1</v>
      </c>
      <c r="O114" s="39" t="str">
        <f aca="false">IF(SUM($N114)=0,"",IF(AND(SUM($N114)&gt;0,$K114=""),"ENTER KNOWN POSITIVITY RATE",ROUND($N114*$K114,0)))</f>
        <v>ENTER KNOWN POSITIVITY RATE</v>
      </c>
      <c r="P114" s="39" t="str">
        <f aca="false">IF(SUM($N114)=0,"",IF(AND((SUM($N114)-SUM($O114))&gt;0,$M114=""),"ENTER YIELD RATE",ROUND(($N114-SUM($O114))*$M114,0)))</f>
        <v>ENTER YIELD RATE</v>
      </c>
      <c r="Q114" s="39" t="n">
        <f aca="false">IF(SUM($N114)=0,"",$N114-SUM($O114)-SUM($P114))</f>
        <v>1</v>
      </c>
      <c r="R114" s="88" t="str">
        <f aca="false">IF(SUM($P114)=0,"",INDEX(Cascade!$BG:$BG,MATCH($E114,Cascade!$E:$E,0)))</f>
        <v/>
      </c>
      <c r="S114" s="39" t="str">
        <f aca="false">$O114</f>
        <v>ENTER KNOWN POSITIVITY RATE</v>
      </c>
      <c r="T114" s="39" t="str">
        <f aca="false">IF(SUM($P114)=0,"",IF(AND($R114="",SUM($P114)&gt;0),"&lt;- Enter Linkage Rate",ROUND($P114*$R114,0)))</f>
        <v/>
      </c>
      <c r="U114" s="10" t="n">
        <f aca="false">IFERROR(1/(1/INDEX(Cascade!$BH:$BH,MATCH($E114,Cascade!$E:$E,0))),"")</f>
        <v>-11</v>
      </c>
      <c r="V114" s="10" t="str">
        <f aca="false">IF(SUM($P114)=0,"",$P114)</f>
        <v/>
      </c>
      <c r="W114" s="10" t="str">
        <f aca="false">IFERROR(1/(1/INDEX(PMTCT!$AC:$AC,MATCH($E114,PMTCT!$E:$E,0))),"")</f>
        <v/>
      </c>
      <c r="X114" s="10" t="str">
        <f aca="false">IFERROR(1/(1/INDEX(PMTCT!$AS:$AS,MATCH($E114,PMTCT!$E:$E,0))),"")</f>
        <v/>
      </c>
      <c r="Y114" s="10" t="str">
        <f aca="false">IFERROR(1/(1/INDEX(VMMC!$AA:$AA,MATCH($E114,VMMC!$E:$E,0))),"")</f>
        <v/>
      </c>
      <c r="Z114" s="10" t="n">
        <f aca="false">IFERROR(1/(1/(SUM($U114)-SUM($V114:$Y114))),"")</f>
        <v>-11</v>
      </c>
    </row>
    <row r="115" customFormat="false" ht="15" hidden="false" customHeight="false" outlineLevel="0" collapsed="false">
      <c r="A115" s="0" t="str">
        <f aca="false">INDEX(Prioritization!$D:$D,MATCH($B115,Prioritization!$A:$A,0))</f>
        <v>INVALID</v>
      </c>
      <c r="B115" s="0" t="s">
        <v>202</v>
      </c>
      <c r="C115" s="0" t="s">
        <v>365</v>
      </c>
      <c r="D115" s="0" t="s">
        <v>30</v>
      </c>
      <c r="E115" s="0" t="str">
        <f aca="false">B115&amp;"|"&amp;C115&amp;"|"&amp;D115</f>
        <v>Ntchisi District [fiRkU6gEjLz]|15-24|Female</v>
      </c>
      <c r="F115" s="10"/>
      <c r="G115" s="88" t="n">
        <f aca="false">0</f>
        <v>0</v>
      </c>
      <c r="H115" s="39" t="str">
        <f aca="false">IF(SUM($F115)=0,"",ROUND($F115*(1+$G115),0))</f>
        <v/>
      </c>
      <c r="I115" s="10"/>
      <c r="J115" s="88"/>
      <c r="K115" s="88" t="str">
        <f aca="false">IF($J115="","",$J115)</f>
        <v/>
      </c>
      <c r="L115" s="88"/>
      <c r="M115" s="88" t="str">
        <f aca="false">IF($L115="","",$L115)</f>
        <v/>
      </c>
      <c r="N115" s="10" t="str">
        <f aca="false">$H115</f>
        <v/>
      </c>
      <c r="O115" s="39" t="str">
        <f aca="false">IF(SUM($N115)=0,"",IF(AND(SUM($N115)&gt;0,$K115=""),"ENTER KNOWN POSITIVITY RATE",ROUND($N115*$K115,0)))</f>
        <v/>
      </c>
      <c r="P115" s="39" t="str">
        <f aca="false">IF(SUM($N115)=0,"",IF(AND((SUM($N115)-SUM($O115))&gt;0,$M115=""),"ENTER YIELD RATE",ROUND(($N115-SUM($O115))*$M115,0)))</f>
        <v/>
      </c>
      <c r="Q115" s="39" t="str">
        <f aca="false">IF(SUM($N115)=0,"",$N115-SUM($O115)-SUM($P115))</f>
        <v/>
      </c>
      <c r="R115" s="88" t="str">
        <f aca="false">IF(SUM($P115)=0,"",INDEX(Cascade!$BG:$BG,MATCH($E115,Cascade!$E:$E,0)))</f>
        <v/>
      </c>
      <c r="S115" s="39" t="str">
        <f aca="false">$O115</f>
        <v/>
      </c>
      <c r="T115" s="39" t="str">
        <f aca="false">IF(SUM($P115)=0,"",IF(AND($R115="",SUM($P115)&gt;0),"&lt;- Enter Linkage Rate",ROUND($P115*$R115,0)))</f>
        <v/>
      </c>
      <c r="U115" s="10" t="str">
        <f aca="false">IFERROR(1/(1/INDEX(Cascade!$BH:$BH,MATCH($E115,Cascade!$E:$E,0))),"")</f>
        <v/>
      </c>
      <c r="V115" s="10" t="str">
        <f aca="false">IF(SUM($P115)=0,"",$P115)</f>
        <v/>
      </c>
      <c r="W115" s="10" t="str">
        <f aca="false">IFERROR(1/(1/INDEX(PMTCT!$AC:$AC,MATCH($E115,PMTCT!$E:$E,0))),"")</f>
        <v/>
      </c>
      <c r="X115" s="10" t="str">
        <f aca="false">IFERROR(1/(1/INDEX(PMTCT!$AS:$AS,MATCH($E115,PMTCT!$E:$E,0))),"")</f>
        <v/>
      </c>
      <c r="Y115" s="10" t="str">
        <f aca="false">IFERROR(1/(1/INDEX(VMMC!$AA:$AA,MATCH($E115,VMMC!$E:$E,0))),"")</f>
        <v/>
      </c>
      <c r="Z115" s="10" t="str">
        <f aca="false">IFERROR(1/(1/(SUM($U115)-SUM($V115:$Y115))),"")</f>
        <v/>
      </c>
    </row>
    <row r="116" customFormat="false" ht="15" hidden="false" customHeight="false" outlineLevel="0" collapsed="false">
      <c r="A116" s="0" t="str">
        <f aca="false">INDEX(Prioritization!$D:$D,MATCH($B116,Prioritization!$A:$A,0))</f>
        <v>INVALID</v>
      </c>
      <c r="B116" s="0" t="s">
        <v>202</v>
      </c>
      <c r="C116" s="0" t="s">
        <v>365</v>
      </c>
      <c r="D116" s="0" t="s">
        <v>48</v>
      </c>
      <c r="E116" s="0" t="str">
        <f aca="false">B116&amp;"|"&amp;C116&amp;"|"&amp;D116</f>
        <v>Ntchisi District [fiRkU6gEjLz]|15-24|Male</v>
      </c>
      <c r="F116" s="10"/>
      <c r="G116" s="88" t="n">
        <f aca="false">0</f>
        <v>0</v>
      </c>
      <c r="H116" s="39" t="str">
        <f aca="false">IF(SUM($F116)=0,"",ROUND($F116*(1+$G116),0))</f>
        <v/>
      </c>
      <c r="I116" s="10"/>
      <c r="J116" s="88"/>
      <c r="K116" s="88" t="str">
        <f aca="false">IF($J116="","",$J116)</f>
        <v/>
      </c>
      <c r="L116" s="88"/>
      <c r="M116" s="88" t="str">
        <f aca="false">IF($L116="","",$L116)</f>
        <v/>
      </c>
      <c r="N116" s="10" t="str">
        <f aca="false">$H116</f>
        <v/>
      </c>
      <c r="O116" s="39" t="str">
        <f aca="false">IF(SUM($N116)=0,"",IF(AND(SUM($N116)&gt;0,$K116=""),"ENTER KNOWN POSITIVITY RATE",ROUND($N116*$K116,0)))</f>
        <v/>
      </c>
      <c r="P116" s="39" t="str">
        <f aca="false">IF(SUM($N116)=0,"",IF(AND((SUM($N116)-SUM($O116))&gt;0,$M116=""),"ENTER YIELD RATE",ROUND(($N116-SUM($O116))*$M116,0)))</f>
        <v/>
      </c>
      <c r="Q116" s="39" t="str">
        <f aca="false">IF(SUM($N116)=0,"",$N116-SUM($O116)-SUM($P116))</f>
        <v/>
      </c>
      <c r="R116" s="88" t="str">
        <f aca="false">IF(SUM($P116)=0,"",INDEX(Cascade!$BG:$BG,MATCH($E116,Cascade!$E:$E,0)))</f>
        <v/>
      </c>
      <c r="S116" s="39" t="str">
        <f aca="false">$O116</f>
        <v/>
      </c>
      <c r="T116" s="39" t="str">
        <f aca="false">IF(SUM($P116)=0,"",IF(AND($R116="",SUM($P116)&gt;0),"&lt;- Enter Linkage Rate",ROUND($P116*$R116,0)))</f>
        <v/>
      </c>
      <c r="U116" s="10" t="str">
        <f aca="false">IFERROR(1/(1/INDEX(Cascade!$BH:$BH,MATCH($E116,Cascade!$E:$E,0))),"")</f>
        <v/>
      </c>
      <c r="V116" s="10" t="str">
        <f aca="false">IF(SUM($P116)=0,"",$P116)</f>
        <v/>
      </c>
      <c r="W116" s="10" t="str">
        <f aca="false">IFERROR(1/(1/INDEX(PMTCT!$AC:$AC,MATCH($E116,PMTCT!$E:$E,0))),"")</f>
        <v/>
      </c>
      <c r="X116" s="10" t="str">
        <f aca="false">IFERROR(1/(1/INDEX(PMTCT!$AS:$AS,MATCH($E116,PMTCT!$E:$E,0))),"")</f>
        <v/>
      </c>
      <c r="Y116" s="10" t="str">
        <f aca="false">IFERROR(1/(1/INDEX(VMMC!$AA:$AA,MATCH($E116,VMMC!$E:$E,0))),"")</f>
        <v/>
      </c>
      <c r="Z116" s="10" t="str">
        <f aca="false">IFERROR(1/(1/(SUM($U116)-SUM($V116:$Y116))),"")</f>
        <v/>
      </c>
    </row>
    <row r="117" customFormat="false" ht="15" hidden="false" customHeight="false" outlineLevel="0" collapsed="false">
      <c r="A117" s="0" t="str">
        <f aca="false">INDEX(Prioritization!$D:$D,MATCH($B117,Prioritization!$A:$A,0))</f>
        <v>INVALID</v>
      </c>
      <c r="B117" s="0" t="s">
        <v>202</v>
      </c>
      <c r="C117" s="0" t="s">
        <v>366</v>
      </c>
      <c r="D117" s="0" t="s">
        <v>30</v>
      </c>
      <c r="E117" s="0" t="str">
        <f aca="false">B117&amp;"|"&amp;C117&amp;"|"&amp;D117</f>
        <v>Ntchisi District [fiRkU6gEjLz]|25-34|Female</v>
      </c>
      <c r="F117" s="10"/>
      <c r="G117" s="88" t="n">
        <f aca="false">0</f>
        <v>0</v>
      </c>
      <c r="H117" s="39" t="str">
        <f aca="false">IF(SUM($F117)=0,"",ROUND($F117*(1+$G117),0))</f>
        <v/>
      </c>
      <c r="I117" s="10"/>
      <c r="J117" s="88"/>
      <c r="K117" s="88" t="str">
        <f aca="false">IF($J117="","",$J117)</f>
        <v/>
      </c>
      <c r="L117" s="88"/>
      <c r="M117" s="88" t="str">
        <f aca="false">IF($L117="","",$L117)</f>
        <v/>
      </c>
      <c r="N117" s="10" t="str">
        <f aca="false">$H117</f>
        <v/>
      </c>
      <c r="O117" s="39" t="str">
        <f aca="false">IF(SUM($N117)=0,"",IF(AND(SUM($N117)&gt;0,$K117=""),"ENTER KNOWN POSITIVITY RATE",ROUND($N117*$K117,0)))</f>
        <v/>
      </c>
      <c r="P117" s="39" t="str">
        <f aca="false">IF(SUM($N117)=0,"",IF(AND((SUM($N117)-SUM($O117))&gt;0,$M117=""),"ENTER YIELD RATE",ROUND(($N117-SUM($O117))*$M117,0)))</f>
        <v/>
      </c>
      <c r="Q117" s="39" t="str">
        <f aca="false">IF(SUM($N117)=0,"",$N117-SUM($O117)-SUM($P117))</f>
        <v/>
      </c>
      <c r="R117" s="88" t="str">
        <f aca="false">IF(SUM($P117)=0,"",INDEX(Cascade!$BG:$BG,MATCH($E117,Cascade!$E:$E,0)))</f>
        <v/>
      </c>
      <c r="S117" s="39" t="str">
        <f aca="false">$O117</f>
        <v/>
      </c>
      <c r="T117" s="39" t="str">
        <f aca="false">IF(SUM($P117)=0,"",IF(AND($R117="",SUM($P117)&gt;0),"&lt;- Enter Linkage Rate",ROUND($P117*$R117,0)))</f>
        <v/>
      </c>
      <c r="U117" s="10" t="str">
        <f aca="false">IFERROR(1/(1/INDEX(Cascade!$BH:$BH,MATCH($E117,Cascade!$E:$E,0))),"")</f>
        <v/>
      </c>
      <c r="V117" s="10" t="str">
        <f aca="false">IF(SUM($P117)=0,"",$P117)</f>
        <v/>
      </c>
      <c r="W117" s="10" t="str">
        <f aca="false">IFERROR(1/(1/INDEX(PMTCT!$AC:$AC,MATCH($E117,PMTCT!$E:$E,0))),"")</f>
        <v/>
      </c>
      <c r="X117" s="10" t="str">
        <f aca="false">IFERROR(1/(1/INDEX(PMTCT!$AS:$AS,MATCH($E117,PMTCT!$E:$E,0))),"")</f>
        <v/>
      </c>
      <c r="Y117" s="10" t="str">
        <f aca="false">IFERROR(1/(1/INDEX(VMMC!$AA:$AA,MATCH($E117,VMMC!$E:$E,0))),"")</f>
        <v/>
      </c>
      <c r="Z117" s="10" t="str">
        <f aca="false">IFERROR(1/(1/(SUM($U117)-SUM($V117:$Y117))),"")</f>
        <v/>
      </c>
    </row>
    <row r="118" customFormat="false" ht="15" hidden="false" customHeight="false" outlineLevel="0" collapsed="false">
      <c r="A118" s="0" t="str">
        <f aca="false">INDEX(Prioritization!$D:$D,MATCH($B118,Prioritization!$A:$A,0))</f>
        <v>INVALID</v>
      </c>
      <c r="B118" s="0" t="s">
        <v>202</v>
      </c>
      <c r="C118" s="0" t="s">
        <v>366</v>
      </c>
      <c r="D118" s="0" t="s">
        <v>48</v>
      </c>
      <c r="E118" s="0" t="str">
        <f aca="false">B118&amp;"|"&amp;C118&amp;"|"&amp;D118</f>
        <v>Ntchisi District [fiRkU6gEjLz]|25-34|Male</v>
      </c>
      <c r="F118" s="10"/>
      <c r="G118" s="88" t="n">
        <f aca="false">0</f>
        <v>0</v>
      </c>
      <c r="H118" s="39" t="str">
        <f aca="false">IF(SUM($F118)=0,"",ROUND($F118*(1+$G118),0))</f>
        <v/>
      </c>
      <c r="I118" s="10"/>
      <c r="J118" s="88"/>
      <c r="K118" s="88" t="str">
        <f aca="false">IF($J118="","",$J118)</f>
        <v/>
      </c>
      <c r="L118" s="88"/>
      <c r="M118" s="88" t="str">
        <f aca="false">IF($L118="","",$L118)</f>
        <v/>
      </c>
      <c r="N118" s="10" t="str">
        <f aca="false">$H118</f>
        <v/>
      </c>
      <c r="O118" s="39" t="str">
        <f aca="false">IF(SUM($N118)=0,"",IF(AND(SUM($N118)&gt;0,$K118=""),"ENTER KNOWN POSITIVITY RATE",ROUND($N118*$K118,0)))</f>
        <v/>
      </c>
      <c r="P118" s="39" t="str">
        <f aca="false">IF(SUM($N118)=0,"",IF(AND((SUM($N118)-SUM($O118))&gt;0,$M118=""),"ENTER YIELD RATE",ROUND(($N118-SUM($O118))*$M118,0)))</f>
        <v/>
      </c>
      <c r="Q118" s="39" t="str">
        <f aca="false">IF(SUM($N118)=0,"",$N118-SUM($O118)-SUM($P118))</f>
        <v/>
      </c>
      <c r="R118" s="88" t="str">
        <f aca="false">IF(SUM($P118)=0,"",INDEX(Cascade!$BG:$BG,MATCH($E118,Cascade!$E:$E,0)))</f>
        <v/>
      </c>
      <c r="S118" s="39" t="str">
        <f aca="false">$O118</f>
        <v/>
      </c>
      <c r="T118" s="39" t="str">
        <f aca="false">IF(SUM($P118)=0,"",IF(AND($R118="",SUM($P118)&gt;0),"&lt;- Enter Linkage Rate",ROUND($P118*$R118,0)))</f>
        <v/>
      </c>
      <c r="U118" s="10" t="str">
        <f aca="false">IFERROR(1/(1/INDEX(Cascade!$BH:$BH,MATCH($E118,Cascade!$E:$E,0))),"")</f>
        <v/>
      </c>
      <c r="V118" s="10" t="str">
        <f aca="false">IF(SUM($P118)=0,"",$P118)</f>
        <v/>
      </c>
      <c r="W118" s="10" t="str">
        <f aca="false">IFERROR(1/(1/INDEX(PMTCT!$AC:$AC,MATCH($E118,PMTCT!$E:$E,0))),"")</f>
        <v/>
      </c>
      <c r="X118" s="10" t="str">
        <f aca="false">IFERROR(1/(1/INDEX(PMTCT!$AS:$AS,MATCH($E118,PMTCT!$E:$E,0))),"")</f>
        <v/>
      </c>
      <c r="Y118" s="10" t="str">
        <f aca="false">IFERROR(1/(1/INDEX(VMMC!$AA:$AA,MATCH($E118,VMMC!$E:$E,0))),"")</f>
        <v/>
      </c>
      <c r="Z118" s="10" t="str">
        <f aca="false">IFERROR(1/(1/(SUM($U118)-SUM($V118:$Y118))),"")</f>
        <v/>
      </c>
    </row>
    <row r="119" customFormat="false" ht="15" hidden="false" customHeight="false" outlineLevel="0" collapsed="false">
      <c r="A119" s="0" t="str">
        <f aca="false">INDEX(Prioritization!$D:$D,MATCH($B119,Prioritization!$A:$A,0))</f>
        <v>INVALID</v>
      </c>
      <c r="B119" s="0" t="s">
        <v>202</v>
      </c>
      <c r="C119" s="0" t="s">
        <v>367</v>
      </c>
      <c r="D119" s="0" t="s">
        <v>30</v>
      </c>
      <c r="E119" s="0" t="str">
        <f aca="false">B119&amp;"|"&amp;C119&amp;"|"&amp;D119</f>
        <v>Ntchisi District [fiRkU6gEjLz]|35-49|Female</v>
      </c>
      <c r="F119" s="10"/>
      <c r="G119" s="88" t="n">
        <f aca="false">0</f>
        <v>0</v>
      </c>
      <c r="H119" s="39" t="str">
        <f aca="false">IF(SUM($F119)=0,"",ROUND($F119*(1+$G119),0))</f>
        <v/>
      </c>
      <c r="I119" s="10"/>
      <c r="J119" s="88"/>
      <c r="K119" s="88" t="str">
        <f aca="false">IF($J119="","",$J119)</f>
        <v/>
      </c>
      <c r="L119" s="88"/>
      <c r="M119" s="88" t="str">
        <f aca="false">IF($L119="","",$L119)</f>
        <v/>
      </c>
      <c r="N119" s="10" t="str">
        <f aca="false">$H119</f>
        <v/>
      </c>
      <c r="O119" s="39" t="str">
        <f aca="false">IF(SUM($N119)=0,"",IF(AND(SUM($N119)&gt;0,$K119=""),"ENTER KNOWN POSITIVITY RATE",ROUND($N119*$K119,0)))</f>
        <v/>
      </c>
      <c r="P119" s="39" t="str">
        <f aca="false">IF(SUM($N119)=0,"",IF(AND((SUM($N119)-SUM($O119))&gt;0,$M119=""),"ENTER YIELD RATE",ROUND(($N119-SUM($O119))*$M119,0)))</f>
        <v/>
      </c>
      <c r="Q119" s="39" t="str">
        <f aca="false">IF(SUM($N119)=0,"",$N119-SUM($O119)-SUM($P119))</f>
        <v/>
      </c>
      <c r="R119" s="88" t="str">
        <f aca="false">IF(SUM($P119)=0,"",INDEX(Cascade!$BG:$BG,MATCH($E119,Cascade!$E:$E,0)))</f>
        <v/>
      </c>
      <c r="S119" s="39" t="str">
        <f aca="false">$O119</f>
        <v/>
      </c>
      <c r="T119" s="39" t="str">
        <f aca="false">IF(SUM($P119)=0,"",IF(AND($R119="",SUM($P119)&gt;0),"&lt;- Enter Linkage Rate",ROUND($P119*$R119,0)))</f>
        <v/>
      </c>
      <c r="U119" s="10" t="str">
        <f aca="false">IFERROR(1/(1/INDEX(Cascade!$BH:$BH,MATCH($E119,Cascade!$E:$E,0))),"")</f>
        <v/>
      </c>
      <c r="V119" s="10" t="str">
        <f aca="false">IF(SUM($P119)=0,"",$P119)</f>
        <v/>
      </c>
      <c r="W119" s="10" t="str">
        <f aca="false">IFERROR(1/(1/INDEX(PMTCT!$AC:$AC,MATCH($E119,PMTCT!$E:$E,0))),"")</f>
        <v/>
      </c>
      <c r="X119" s="10" t="str">
        <f aca="false">IFERROR(1/(1/INDEX(PMTCT!$AS:$AS,MATCH($E119,PMTCT!$E:$E,0))),"")</f>
        <v/>
      </c>
      <c r="Y119" s="10" t="str">
        <f aca="false">IFERROR(1/(1/INDEX(VMMC!$AA:$AA,MATCH($E119,VMMC!$E:$E,0))),"")</f>
        <v/>
      </c>
      <c r="Z119" s="10" t="str">
        <f aca="false">IFERROR(1/(1/(SUM($U119)-SUM($V119:$Y119))),"")</f>
        <v/>
      </c>
    </row>
    <row r="120" customFormat="false" ht="15" hidden="false" customHeight="false" outlineLevel="0" collapsed="false">
      <c r="A120" s="0" t="str">
        <f aca="false">INDEX(Prioritization!$D:$D,MATCH($B120,Prioritization!$A:$A,0))</f>
        <v>INVALID</v>
      </c>
      <c r="B120" s="0" t="s">
        <v>202</v>
      </c>
      <c r="C120" s="0" t="s">
        <v>367</v>
      </c>
      <c r="D120" s="0" t="s">
        <v>48</v>
      </c>
      <c r="E120" s="0" t="str">
        <f aca="false">B120&amp;"|"&amp;C120&amp;"|"&amp;D120</f>
        <v>Ntchisi District [fiRkU6gEjLz]|35-49|Male</v>
      </c>
      <c r="F120" s="10"/>
      <c r="G120" s="88" t="n">
        <f aca="false">0</f>
        <v>0</v>
      </c>
      <c r="H120" s="39" t="str">
        <f aca="false">IF(SUM($F120)=0,"",ROUND($F120*(1+$G120),0))</f>
        <v/>
      </c>
      <c r="I120" s="10"/>
      <c r="J120" s="88"/>
      <c r="K120" s="88" t="str">
        <f aca="false">IF($J120="","",$J120)</f>
        <v/>
      </c>
      <c r="L120" s="88"/>
      <c r="M120" s="88" t="str">
        <f aca="false">IF($L120="","",$L120)</f>
        <v/>
      </c>
      <c r="N120" s="10" t="str">
        <f aca="false">$H120</f>
        <v/>
      </c>
      <c r="O120" s="39" t="str">
        <f aca="false">IF(SUM($N120)=0,"",IF(AND(SUM($N120)&gt;0,$K120=""),"ENTER KNOWN POSITIVITY RATE",ROUND($N120*$K120,0)))</f>
        <v/>
      </c>
      <c r="P120" s="39" t="str">
        <f aca="false">IF(SUM($N120)=0,"",IF(AND((SUM($N120)-SUM($O120))&gt;0,$M120=""),"ENTER YIELD RATE",ROUND(($N120-SUM($O120))*$M120,0)))</f>
        <v/>
      </c>
      <c r="Q120" s="39" t="str">
        <f aca="false">IF(SUM($N120)=0,"",$N120-SUM($O120)-SUM($P120))</f>
        <v/>
      </c>
      <c r="R120" s="88" t="str">
        <f aca="false">IF(SUM($P120)=0,"",INDEX(Cascade!$BG:$BG,MATCH($E120,Cascade!$E:$E,0)))</f>
        <v/>
      </c>
      <c r="S120" s="39" t="str">
        <f aca="false">$O120</f>
        <v/>
      </c>
      <c r="T120" s="39" t="str">
        <f aca="false">IF(SUM($P120)=0,"",IF(AND($R120="",SUM($P120)&gt;0),"&lt;- Enter Linkage Rate",ROUND($P120*$R120,0)))</f>
        <v/>
      </c>
      <c r="U120" s="10" t="str">
        <f aca="false">IFERROR(1/(1/INDEX(Cascade!$BH:$BH,MATCH($E120,Cascade!$E:$E,0))),"")</f>
        <v/>
      </c>
      <c r="V120" s="10" t="str">
        <f aca="false">IF(SUM($P120)=0,"",$P120)</f>
        <v/>
      </c>
      <c r="W120" s="10" t="str">
        <f aca="false">IFERROR(1/(1/INDEX(PMTCT!$AC:$AC,MATCH($E120,PMTCT!$E:$E,0))),"")</f>
        <v/>
      </c>
      <c r="X120" s="10" t="str">
        <f aca="false">IFERROR(1/(1/INDEX(PMTCT!$AS:$AS,MATCH($E120,PMTCT!$E:$E,0))),"")</f>
        <v/>
      </c>
      <c r="Y120" s="10" t="str">
        <f aca="false">IFERROR(1/(1/INDEX(VMMC!$AA:$AA,MATCH($E120,VMMC!$E:$E,0))),"")</f>
        <v/>
      </c>
      <c r="Z120" s="10" t="str">
        <f aca="false">IFERROR(1/(1/(SUM($U120)-SUM($V120:$Y120))),"")</f>
        <v/>
      </c>
    </row>
    <row r="121" customFormat="false" ht="15" hidden="false" customHeight="false" outlineLevel="0" collapsed="false">
      <c r="A121" s="0" t="str">
        <f aca="false">INDEX(Prioritization!$D:$D,MATCH($B121,Prioritization!$A:$A,0))</f>
        <v>INVALID</v>
      </c>
      <c r="B121" s="0" t="s">
        <v>202</v>
      </c>
      <c r="C121" s="0" t="s">
        <v>368</v>
      </c>
      <c r="D121" s="0" t="s">
        <v>30</v>
      </c>
      <c r="E121" s="0" t="str">
        <f aca="false">B121&amp;"|"&amp;C121&amp;"|"&amp;D121</f>
        <v>Ntchisi District [fiRkU6gEjLz]|50+|Female</v>
      </c>
      <c r="F121" s="10"/>
      <c r="G121" s="88" t="n">
        <f aca="false">0</f>
        <v>0</v>
      </c>
      <c r="H121" s="39" t="str">
        <f aca="false">IF(SUM($F121)=0,"",ROUND($F121*(1+$G121),0))</f>
        <v/>
      </c>
      <c r="I121" s="10"/>
      <c r="J121" s="88"/>
      <c r="K121" s="88" t="str">
        <f aca="false">IF($J121="","",$J121)</f>
        <v/>
      </c>
      <c r="L121" s="88"/>
      <c r="M121" s="88" t="str">
        <f aca="false">IF($L121="","",$L121)</f>
        <v/>
      </c>
      <c r="N121" s="10" t="str">
        <f aca="false">$H121</f>
        <v/>
      </c>
      <c r="O121" s="39" t="str">
        <f aca="false">IF(SUM($N121)=0,"",IF(AND(SUM($N121)&gt;0,$K121=""),"ENTER KNOWN POSITIVITY RATE",ROUND($N121*$K121,0)))</f>
        <v/>
      </c>
      <c r="P121" s="39" t="str">
        <f aca="false">IF(SUM($N121)=0,"",IF(AND((SUM($N121)-SUM($O121))&gt;0,$M121=""),"ENTER YIELD RATE",ROUND(($N121-SUM($O121))*$M121,0)))</f>
        <v/>
      </c>
      <c r="Q121" s="39" t="str">
        <f aca="false">IF(SUM($N121)=0,"",$N121-SUM($O121)-SUM($P121))</f>
        <v/>
      </c>
      <c r="R121" s="88" t="str">
        <f aca="false">IF(SUM($P121)=0,"",INDEX(Cascade!$BG:$BG,MATCH($E121,Cascade!$E:$E,0)))</f>
        <v/>
      </c>
      <c r="S121" s="39" t="str">
        <f aca="false">$O121</f>
        <v/>
      </c>
      <c r="T121" s="39" t="str">
        <f aca="false">IF(SUM($P121)=0,"",IF(AND($R121="",SUM($P121)&gt;0),"&lt;- Enter Linkage Rate",ROUND($P121*$R121,0)))</f>
        <v/>
      </c>
      <c r="U121" s="10" t="str">
        <f aca="false">IFERROR(1/(1/INDEX(Cascade!$BH:$BH,MATCH($E121,Cascade!$E:$E,0))),"")</f>
        <v/>
      </c>
      <c r="V121" s="10" t="str">
        <f aca="false">IF(SUM($P121)=0,"",$P121)</f>
        <v/>
      </c>
      <c r="W121" s="10" t="str">
        <f aca="false">IFERROR(1/(1/INDEX(PMTCT!$AC:$AC,MATCH($E121,PMTCT!$E:$E,0))),"")</f>
        <v/>
      </c>
      <c r="X121" s="10" t="str">
        <f aca="false">IFERROR(1/(1/INDEX(PMTCT!$AS:$AS,MATCH($E121,PMTCT!$E:$E,0))),"")</f>
        <v/>
      </c>
      <c r="Y121" s="10" t="str">
        <f aca="false">IFERROR(1/(1/INDEX(VMMC!$AA:$AA,MATCH($E121,VMMC!$E:$E,0))),"")</f>
        <v/>
      </c>
      <c r="Z121" s="10" t="str">
        <f aca="false">IFERROR(1/(1/(SUM($U121)-SUM($V121:$Y121))),"")</f>
        <v/>
      </c>
    </row>
    <row r="122" customFormat="false" ht="15" hidden="false" customHeight="false" outlineLevel="0" collapsed="false">
      <c r="A122" s="0" t="str">
        <f aca="false">INDEX(Prioritization!$D:$D,MATCH($B122,Prioritization!$A:$A,0))</f>
        <v>INVALID</v>
      </c>
      <c r="B122" s="0" t="s">
        <v>202</v>
      </c>
      <c r="C122" s="0" t="s">
        <v>368</v>
      </c>
      <c r="D122" s="0" t="s">
        <v>48</v>
      </c>
      <c r="E122" s="0" t="str">
        <f aca="false">B122&amp;"|"&amp;C122&amp;"|"&amp;D122</f>
        <v>Ntchisi District [fiRkU6gEjLz]|50+|Male</v>
      </c>
      <c r="F122" s="10"/>
      <c r="G122" s="88" t="n">
        <f aca="false">0</f>
        <v>0</v>
      </c>
      <c r="H122" s="39" t="str">
        <f aca="false">IF(SUM($F122)=0,"",ROUND($F122*(1+$G122),0))</f>
        <v/>
      </c>
      <c r="I122" s="10"/>
      <c r="J122" s="88"/>
      <c r="K122" s="88" t="str">
        <f aca="false">IF($J122="","",$J122)</f>
        <v/>
      </c>
      <c r="L122" s="88"/>
      <c r="M122" s="88" t="str">
        <f aca="false">IF($L122="","",$L122)</f>
        <v/>
      </c>
      <c r="N122" s="10" t="str">
        <f aca="false">$H122</f>
        <v/>
      </c>
      <c r="O122" s="39" t="str">
        <f aca="false">IF(SUM($N122)=0,"",IF(AND(SUM($N122)&gt;0,$K122=""),"ENTER KNOWN POSITIVITY RATE",ROUND($N122*$K122,0)))</f>
        <v/>
      </c>
      <c r="P122" s="39" t="str">
        <f aca="false">IF(SUM($N122)=0,"",IF(AND((SUM($N122)-SUM($O122))&gt;0,$M122=""),"ENTER YIELD RATE",ROUND(($N122-SUM($O122))*$M122,0)))</f>
        <v/>
      </c>
      <c r="Q122" s="39" t="str">
        <f aca="false">IF(SUM($N122)=0,"",$N122-SUM($O122)-SUM($P122))</f>
        <v/>
      </c>
      <c r="R122" s="88" t="str">
        <f aca="false">IF(SUM($P122)=0,"",INDEX(Cascade!$BG:$BG,MATCH($E122,Cascade!$E:$E,0)))</f>
        <v/>
      </c>
      <c r="S122" s="39" t="str">
        <f aca="false">$O122</f>
        <v/>
      </c>
      <c r="T122" s="39" t="str">
        <f aca="false">IF(SUM($P122)=0,"",IF(AND($R122="",SUM($P122)&gt;0),"&lt;- Enter Linkage Rate",ROUND($P122*$R122,0)))</f>
        <v/>
      </c>
      <c r="U122" s="10" t="str">
        <f aca="false">IFERROR(1/(1/INDEX(Cascade!$BH:$BH,MATCH($E122,Cascade!$E:$E,0))),"")</f>
        <v/>
      </c>
      <c r="V122" s="10" t="str">
        <f aca="false">IF(SUM($P122)=0,"",$P122)</f>
        <v/>
      </c>
      <c r="W122" s="10" t="str">
        <f aca="false">IFERROR(1/(1/INDEX(PMTCT!$AC:$AC,MATCH($E122,PMTCT!$E:$E,0))),"")</f>
        <v/>
      </c>
      <c r="X122" s="10" t="str">
        <f aca="false">IFERROR(1/(1/INDEX(PMTCT!$AS:$AS,MATCH($E122,PMTCT!$E:$E,0))),"")</f>
        <v/>
      </c>
      <c r="Y122" s="10" t="str">
        <f aca="false">IFERROR(1/(1/INDEX(VMMC!$AA:$AA,MATCH($E122,VMMC!$E:$E,0))),"")</f>
        <v/>
      </c>
      <c r="Z122" s="10" t="str">
        <f aca="false">IFERROR(1/(1/(SUM($U122)-SUM($V122:$Y122))),"")</f>
        <v/>
      </c>
    </row>
    <row r="123" customFormat="false" ht="15" hidden="false" customHeight="false" outlineLevel="0" collapsed="false">
      <c r="A123" s="0" t="str">
        <f aca="false">INDEX(Prioritization!$D:$D,MATCH($B123,Prioritization!$A:$A,0))</f>
        <v>INVALID</v>
      </c>
      <c r="B123" s="0" t="s">
        <v>203</v>
      </c>
      <c r="C123" s="0" t="s">
        <v>363</v>
      </c>
      <c r="D123" s="0" t="s">
        <v>30</v>
      </c>
      <c r="E123" s="0" t="str">
        <f aca="false">B123&amp;"|"&amp;C123&amp;"|"&amp;D123</f>
        <v>Salima District [msW2zpIN7up]|01-09|Female</v>
      </c>
      <c r="F123" s="10"/>
      <c r="G123" s="88" t="n">
        <f aca="false">0</f>
        <v>0</v>
      </c>
      <c r="H123" s="39" t="str">
        <f aca="false">IF(SUM($F123)=0,"",ROUND($F123*(1+$G123),0))</f>
        <v/>
      </c>
      <c r="I123" s="10"/>
      <c r="J123" s="88"/>
      <c r="K123" s="88" t="str">
        <f aca="false">IF($J123="","",$J123)</f>
        <v/>
      </c>
      <c r="L123" s="88"/>
      <c r="M123" s="88" t="str">
        <f aca="false">IF($L123="","",$L123)</f>
        <v/>
      </c>
      <c r="N123" s="10" t="str">
        <f aca="false">$H123</f>
        <v/>
      </c>
      <c r="O123" s="39" t="str">
        <f aca="false">IF(SUM($N123)=0,"",IF(AND(SUM($N123)&gt;0,$K123=""),"ENTER KNOWN POSITIVITY RATE",ROUND($N123*$K123,0)))</f>
        <v/>
      </c>
      <c r="P123" s="39" t="str">
        <f aca="false">IF(SUM($N123)=0,"",IF(AND((SUM($N123)-SUM($O123))&gt;0,$M123=""),"ENTER YIELD RATE",ROUND(($N123-SUM($O123))*$M123,0)))</f>
        <v/>
      </c>
      <c r="Q123" s="39" t="str">
        <f aca="false">IF(SUM($N123)=0,"",$N123-SUM($O123)-SUM($P123))</f>
        <v/>
      </c>
      <c r="R123" s="88" t="str">
        <f aca="false">IF(SUM($P123)=0,"",INDEX(Cascade!$BG:$BG,MATCH($E123,Cascade!$E:$E,0)))</f>
        <v/>
      </c>
      <c r="S123" s="39" t="str">
        <f aca="false">$O123</f>
        <v/>
      </c>
      <c r="T123" s="39" t="str">
        <f aca="false">IF(SUM($P123)=0,"",IF(AND($R123="",SUM($P123)&gt;0),"&lt;- Enter Linkage Rate",ROUND($P123*$R123,0)))</f>
        <v/>
      </c>
      <c r="U123" s="10" t="str">
        <f aca="false">IFERROR(1/(1/INDEX(Cascade!$BH:$BH,MATCH($E123,Cascade!$E:$E,0))),"")</f>
        <v/>
      </c>
      <c r="V123" s="10" t="str">
        <f aca="false">IF(SUM($P123)=0,"",$P123)</f>
        <v/>
      </c>
      <c r="W123" s="10" t="str">
        <f aca="false">IFERROR(1/(1/INDEX(PMTCT!$AC:$AC,MATCH($E123,PMTCT!$E:$E,0))),"")</f>
        <v/>
      </c>
      <c r="X123" s="10" t="str">
        <f aca="false">IFERROR(1/(1/INDEX(PMTCT!$AS:$AS,MATCH($E123,PMTCT!$E:$E,0))),"")</f>
        <v/>
      </c>
      <c r="Y123" s="10" t="str">
        <f aca="false">IFERROR(1/(1/INDEX(VMMC!$AA:$AA,MATCH($E123,VMMC!$E:$E,0))),"")</f>
        <v/>
      </c>
      <c r="Z123" s="10" t="str">
        <f aca="false">IFERROR(1/(1/(SUM($U123)-SUM($V123:$Y123))),"")</f>
        <v/>
      </c>
    </row>
    <row r="124" customFormat="false" ht="15" hidden="false" customHeight="false" outlineLevel="0" collapsed="false">
      <c r="A124" s="0" t="str">
        <f aca="false">INDEX(Prioritization!$D:$D,MATCH($B124,Prioritization!$A:$A,0))</f>
        <v>INVALID</v>
      </c>
      <c r="B124" s="0" t="s">
        <v>203</v>
      </c>
      <c r="C124" s="0" t="s">
        <v>363</v>
      </c>
      <c r="D124" s="0" t="s">
        <v>48</v>
      </c>
      <c r="E124" s="0" t="str">
        <f aca="false">B124&amp;"|"&amp;C124&amp;"|"&amp;D124</f>
        <v>Salima District [msW2zpIN7up]|01-09|Male</v>
      </c>
      <c r="F124" s="10"/>
      <c r="G124" s="88" t="n">
        <f aca="false">0</f>
        <v>0</v>
      </c>
      <c r="H124" s="39" t="str">
        <f aca="false">IF(SUM($F124)=0,"",ROUND($F124*(1+$G124),0))</f>
        <v/>
      </c>
      <c r="I124" s="10"/>
      <c r="J124" s="88"/>
      <c r="K124" s="88" t="str">
        <f aca="false">IF($J124="","",$J124)</f>
        <v/>
      </c>
      <c r="L124" s="88"/>
      <c r="M124" s="88" t="str">
        <f aca="false">IF($L124="","",$L124)</f>
        <v/>
      </c>
      <c r="N124" s="10" t="str">
        <f aca="false">$H124</f>
        <v/>
      </c>
      <c r="O124" s="39" t="str">
        <f aca="false">IF(SUM($N124)=0,"",IF(AND(SUM($N124)&gt;0,$K124=""),"ENTER KNOWN POSITIVITY RATE",ROUND($N124*$K124,0)))</f>
        <v/>
      </c>
      <c r="P124" s="39" t="str">
        <f aca="false">IF(SUM($N124)=0,"",IF(AND((SUM($N124)-SUM($O124))&gt;0,$M124=""),"ENTER YIELD RATE",ROUND(($N124-SUM($O124))*$M124,0)))</f>
        <v/>
      </c>
      <c r="Q124" s="39" t="str">
        <f aca="false">IF(SUM($N124)=0,"",$N124-SUM($O124)-SUM($P124))</f>
        <v/>
      </c>
      <c r="R124" s="88" t="str">
        <f aca="false">IF(SUM($P124)=0,"",INDEX(Cascade!$BG:$BG,MATCH($E124,Cascade!$E:$E,0)))</f>
        <v/>
      </c>
      <c r="S124" s="39" t="str">
        <f aca="false">$O124</f>
        <v/>
      </c>
      <c r="T124" s="39" t="str">
        <f aca="false">IF(SUM($P124)=0,"",IF(AND($R124="",SUM($P124)&gt;0),"&lt;- Enter Linkage Rate",ROUND($P124*$R124,0)))</f>
        <v/>
      </c>
      <c r="U124" s="10" t="str">
        <f aca="false">IFERROR(1/(1/INDEX(Cascade!$BH:$BH,MATCH($E124,Cascade!$E:$E,0))),"")</f>
        <v/>
      </c>
      <c r="V124" s="10" t="str">
        <f aca="false">IF(SUM($P124)=0,"",$P124)</f>
        <v/>
      </c>
      <c r="W124" s="10" t="str">
        <f aca="false">IFERROR(1/(1/INDEX(PMTCT!$AC:$AC,MATCH($E124,PMTCT!$E:$E,0))),"")</f>
        <v/>
      </c>
      <c r="X124" s="10" t="str">
        <f aca="false">IFERROR(1/(1/INDEX(PMTCT!$AS:$AS,MATCH($E124,PMTCT!$E:$E,0))),"")</f>
        <v/>
      </c>
      <c r="Y124" s="10" t="str">
        <f aca="false">IFERROR(1/(1/INDEX(VMMC!$AA:$AA,MATCH($E124,VMMC!$E:$E,0))),"")</f>
        <v/>
      </c>
      <c r="Z124" s="10" t="str">
        <f aca="false">IFERROR(1/(1/(SUM($U124)-SUM($V124:$Y124))),"")</f>
        <v/>
      </c>
    </row>
    <row r="125" customFormat="false" ht="15" hidden="false" customHeight="false" outlineLevel="0" collapsed="false">
      <c r="A125" s="0" t="str">
        <f aca="false">INDEX(Prioritization!$D:$D,MATCH($B125,Prioritization!$A:$A,0))</f>
        <v>INVALID</v>
      </c>
      <c r="B125" s="0" t="s">
        <v>203</v>
      </c>
      <c r="C125" s="0" t="s">
        <v>364</v>
      </c>
      <c r="D125" s="0" t="s">
        <v>30</v>
      </c>
      <c r="E125" s="0" t="str">
        <f aca="false">B125&amp;"|"&amp;C125&amp;"|"&amp;D125</f>
        <v>Salima District [msW2zpIN7up]|10-14|Female</v>
      </c>
      <c r="F125" s="10" t="n">
        <v>0</v>
      </c>
      <c r="G125" s="88" t="n">
        <f aca="false">0</f>
        <v>0</v>
      </c>
      <c r="H125" s="39" t="str">
        <f aca="false">IF(SUM($F125)=0,"",ROUND($F125*(1+$G125),0))</f>
        <v/>
      </c>
      <c r="I125" s="10"/>
      <c r="J125" s="88"/>
      <c r="K125" s="88" t="str">
        <f aca="false">IF($J125="","",$J125)</f>
        <v/>
      </c>
      <c r="L125" s="88"/>
      <c r="M125" s="88" t="str">
        <f aca="false">IF($L125="","",$L125)</f>
        <v/>
      </c>
      <c r="N125" s="10" t="str">
        <f aca="false">$H125</f>
        <v/>
      </c>
      <c r="O125" s="39" t="str">
        <f aca="false">IF(SUM($N125)=0,"",IF(AND(SUM($N125)&gt;0,$K125=""),"ENTER KNOWN POSITIVITY RATE",ROUND($N125*$K125,0)))</f>
        <v/>
      </c>
      <c r="P125" s="39" t="str">
        <f aca="false">IF(SUM($N125)=0,"",IF(AND((SUM($N125)-SUM($O125))&gt;0,$M125=""),"ENTER YIELD RATE",ROUND(($N125-SUM($O125))*$M125,0)))</f>
        <v/>
      </c>
      <c r="Q125" s="39" t="str">
        <f aca="false">IF(SUM($N125)=0,"",$N125-SUM($O125)-SUM($P125))</f>
        <v/>
      </c>
      <c r="R125" s="88" t="str">
        <f aca="false">IF(SUM($P125)=0,"",INDEX(Cascade!$BG:$BG,MATCH($E125,Cascade!$E:$E,0)))</f>
        <v/>
      </c>
      <c r="S125" s="39" t="str">
        <f aca="false">$O125</f>
        <v/>
      </c>
      <c r="T125" s="39" t="str">
        <f aca="false">IF(SUM($P125)=0,"",IF(AND($R125="",SUM($P125)&gt;0),"&lt;- Enter Linkage Rate",ROUND($P125*$R125,0)))</f>
        <v/>
      </c>
      <c r="U125" s="10" t="n">
        <f aca="false">IFERROR(1/(1/INDEX(Cascade!$BH:$BH,MATCH($E125,Cascade!$E:$E,0))),"")</f>
        <v>-82</v>
      </c>
      <c r="V125" s="10" t="str">
        <f aca="false">IF(SUM($P125)=0,"",$P125)</f>
        <v/>
      </c>
      <c r="W125" s="10" t="str">
        <f aca="false">IFERROR(1/(1/INDEX(PMTCT!$AC:$AC,MATCH($E125,PMTCT!$E:$E,0))),"")</f>
        <v/>
      </c>
      <c r="X125" s="10" t="str">
        <f aca="false">IFERROR(1/(1/INDEX(PMTCT!$AS:$AS,MATCH($E125,PMTCT!$E:$E,0))),"")</f>
        <v/>
      </c>
      <c r="Y125" s="10" t="str">
        <f aca="false">IFERROR(1/(1/INDEX(VMMC!$AA:$AA,MATCH($E125,VMMC!$E:$E,0))),"")</f>
        <v/>
      </c>
      <c r="Z125" s="10" t="n">
        <f aca="false">IFERROR(1/(1/(SUM($U125)-SUM($V125:$Y125))),"")</f>
        <v>-82</v>
      </c>
    </row>
    <row r="126" customFormat="false" ht="15" hidden="false" customHeight="false" outlineLevel="0" collapsed="false">
      <c r="A126" s="0" t="str">
        <f aca="false">INDEX(Prioritization!$D:$D,MATCH($B126,Prioritization!$A:$A,0))</f>
        <v>INVALID</v>
      </c>
      <c r="B126" s="0" t="s">
        <v>203</v>
      </c>
      <c r="C126" s="0" t="s">
        <v>364</v>
      </c>
      <c r="D126" s="0" t="s">
        <v>48</v>
      </c>
      <c r="E126" s="0" t="str">
        <f aca="false">B126&amp;"|"&amp;C126&amp;"|"&amp;D126</f>
        <v>Salima District [msW2zpIN7up]|10-14|Male</v>
      </c>
      <c r="F126" s="10" t="n">
        <v>1</v>
      </c>
      <c r="G126" s="88" t="n">
        <f aca="false">0</f>
        <v>0</v>
      </c>
      <c r="H126" s="39" t="n">
        <f aca="false">IF(SUM($F126)=0,"",ROUND($F126*(1+$G126),0))</f>
        <v>1</v>
      </c>
      <c r="I126" s="10"/>
      <c r="J126" s="88"/>
      <c r="K126" s="88" t="str">
        <f aca="false">IF($J126="","",$J126)</f>
        <v/>
      </c>
      <c r="L126" s="88"/>
      <c r="M126" s="88" t="str">
        <f aca="false">IF($L126="","",$L126)</f>
        <v/>
      </c>
      <c r="N126" s="10" t="n">
        <f aca="false">$H126</f>
        <v>1</v>
      </c>
      <c r="O126" s="39" t="str">
        <f aca="false">IF(SUM($N126)=0,"",IF(AND(SUM($N126)&gt;0,$K126=""),"ENTER KNOWN POSITIVITY RATE",ROUND($N126*$K126,0)))</f>
        <v>ENTER KNOWN POSITIVITY RATE</v>
      </c>
      <c r="P126" s="39" t="str">
        <f aca="false">IF(SUM($N126)=0,"",IF(AND((SUM($N126)-SUM($O126))&gt;0,$M126=""),"ENTER YIELD RATE",ROUND(($N126-SUM($O126))*$M126,0)))</f>
        <v>ENTER YIELD RATE</v>
      </c>
      <c r="Q126" s="39" t="n">
        <f aca="false">IF(SUM($N126)=0,"",$N126-SUM($O126)-SUM($P126))</f>
        <v>1</v>
      </c>
      <c r="R126" s="88" t="str">
        <f aca="false">IF(SUM($P126)=0,"",INDEX(Cascade!$BG:$BG,MATCH($E126,Cascade!$E:$E,0)))</f>
        <v/>
      </c>
      <c r="S126" s="39" t="str">
        <f aca="false">$O126</f>
        <v>ENTER KNOWN POSITIVITY RATE</v>
      </c>
      <c r="T126" s="39" t="str">
        <f aca="false">IF(SUM($P126)=0,"",IF(AND($R126="",SUM($P126)&gt;0),"&lt;- Enter Linkage Rate",ROUND($P126*$R126,0)))</f>
        <v/>
      </c>
      <c r="U126" s="10" t="n">
        <f aca="false">IFERROR(1/(1/INDEX(Cascade!$BH:$BH,MATCH($E126,Cascade!$E:$E,0))),"")</f>
        <v>-77</v>
      </c>
      <c r="V126" s="10" t="str">
        <f aca="false">IF(SUM($P126)=0,"",$P126)</f>
        <v/>
      </c>
      <c r="W126" s="10" t="str">
        <f aca="false">IFERROR(1/(1/INDEX(PMTCT!$AC:$AC,MATCH($E126,PMTCT!$E:$E,0))),"")</f>
        <v/>
      </c>
      <c r="X126" s="10" t="str">
        <f aca="false">IFERROR(1/(1/INDEX(PMTCT!$AS:$AS,MATCH($E126,PMTCT!$E:$E,0))),"")</f>
        <v/>
      </c>
      <c r="Y126" s="10" t="str">
        <f aca="false">IFERROR(1/(1/INDEX(VMMC!$AA:$AA,MATCH($E126,VMMC!$E:$E,0))),"")</f>
        <v/>
      </c>
      <c r="Z126" s="10" t="n">
        <f aca="false">IFERROR(1/(1/(SUM($U126)-SUM($V126:$Y126))),"")</f>
        <v>-77</v>
      </c>
    </row>
    <row r="127" customFormat="false" ht="15" hidden="false" customHeight="false" outlineLevel="0" collapsed="false">
      <c r="A127" s="0" t="str">
        <f aca="false">INDEX(Prioritization!$D:$D,MATCH($B127,Prioritization!$A:$A,0))</f>
        <v>INVALID</v>
      </c>
      <c r="B127" s="0" t="s">
        <v>203</v>
      </c>
      <c r="C127" s="0" t="s">
        <v>365</v>
      </c>
      <c r="D127" s="0" t="s">
        <v>30</v>
      </c>
      <c r="E127" s="0" t="str">
        <f aca="false">B127&amp;"|"&amp;C127&amp;"|"&amp;D127</f>
        <v>Salima District [msW2zpIN7up]|15-24|Female</v>
      </c>
      <c r="F127" s="10"/>
      <c r="G127" s="88" t="n">
        <f aca="false">0</f>
        <v>0</v>
      </c>
      <c r="H127" s="39" t="str">
        <f aca="false">IF(SUM($F127)=0,"",ROUND($F127*(1+$G127),0))</f>
        <v/>
      </c>
      <c r="I127" s="10"/>
      <c r="J127" s="88"/>
      <c r="K127" s="88" t="str">
        <f aca="false">IF($J127="","",$J127)</f>
        <v/>
      </c>
      <c r="L127" s="88"/>
      <c r="M127" s="88" t="str">
        <f aca="false">IF($L127="","",$L127)</f>
        <v/>
      </c>
      <c r="N127" s="10" t="str">
        <f aca="false">$H127</f>
        <v/>
      </c>
      <c r="O127" s="39" t="str">
        <f aca="false">IF(SUM($N127)=0,"",IF(AND(SUM($N127)&gt;0,$K127=""),"ENTER KNOWN POSITIVITY RATE",ROUND($N127*$K127,0)))</f>
        <v/>
      </c>
      <c r="P127" s="39" t="str">
        <f aca="false">IF(SUM($N127)=0,"",IF(AND((SUM($N127)-SUM($O127))&gt;0,$M127=""),"ENTER YIELD RATE",ROUND(($N127-SUM($O127))*$M127,0)))</f>
        <v/>
      </c>
      <c r="Q127" s="39" t="str">
        <f aca="false">IF(SUM($N127)=0,"",$N127-SUM($O127)-SUM($P127))</f>
        <v/>
      </c>
      <c r="R127" s="88" t="str">
        <f aca="false">IF(SUM($P127)=0,"",INDEX(Cascade!$BG:$BG,MATCH($E127,Cascade!$E:$E,0)))</f>
        <v/>
      </c>
      <c r="S127" s="39" t="str">
        <f aca="false">$O127</f>
        <v/>
      </c>
      <c r="T127" s="39" t="str">
        <f aca="false">IF(SUM($P127)=0,"",IF(AND($R127="",SUM($P127)&gt;0),"&lt;- Enter Linkage Rate",ROUND($P127*$R127,0)))</f>
        <v/>
      </c>
      <c r="U127" s="10" t="str">
        <f aca="false">IFERROR(1/(1/INDEX(Cascade!$BH:$BH,MATCH($E127,Cascade!$E:$E,0))),"")</f>
        <v/>
      </c>
      <c r="V127" s="10" t="str">
        <f aca="false">IF(SUM($P127)=0,"",$P127)</f>
        <v/>
      </c>
      <c r="W127" s="10" t="str">
        <f aca="false">IFERROR(1/(1/INDEX(PMTCT!$AC:$AC,MATCH($E127,PMTCT!$E:$E,0))),"")</f>
        <v/>
      </c>
      <c r="X127" s="10" t="str">
        <f aca="false">IFERROR(1/(1/INDEX(PMTCT!$AS:$AS,MATCH($E127,PMTCT!$E:$E,0))),"")</f>
        <v/>
      </c>
      <c r="Y127" s="10" t="str">
        <f aca="false">IFERROR(1/(1/INDEX(VMMC!$AA:$AA,MATCH($E127,VMMC!$E:$E,0))),"")</f>
        <v/>
      </c>
      <c r="Z127" s="10" t="str">
        <f aca="false">IFERROR(1/(1/(SUM($U127)-SUM($V127:$Y127))),"")</f>
        <v/>
      </c>
    </row>
    <row r="128" customFormat="false" ht="15" hidden="false" customHeight="false" outlineLevel="0" collapsed="false">
      <c r="A128" s="0" t="str">
        <f aca="false">INDEX(Prioritization!$D:$D,MATCH($B128,Prioritization!$A:$A,0))</f>
        <v>INVALID</v>
      </c>
      <c r="B128" s="0" t="s">
        <v>203</v>
      </c>
      <c r="C128" s="0" t="s">
        <v>365</v>
      </c>
      <c r="D128" s="0" t="s">
        <v>48</v>
      </c>
      <c r="E128" s="0" t="str">
        <f aca="false">B128&amp;"|"&amp;C128&amp;"|"&amp;D128</f>
        <v>Salima District [msW2zpIN7up]|15-24|Male</v>
      </c>
      <c r="F128" s="10"/>
      <c r="G128" s="88" t="n">
        <f aca="false">0</f>
        <v>0</v>
      </c>
      <c r="H128" s="39" t="str">
        <f aca="false">IF(SUM($F128)=0,"",ROUND($F128*(1+$G128),0))</f>
        <v/>
      </c>
      <c r="I128" s="10"/>
      <c r="J128" s="88"/>
      <c r="K128" s="88" t="str">
        <f aca="false">IF($J128="","",$J128)</f>
        <v/>
      </c>
      <c r="L128" s="88"/>
      <c r="M128" s="88" t="str">
        <f aca="false">IF($L128="","",$L128)</f>
        <v/>
      </c>
      <c r="N128" s="10" t="str">
        <f aca="false">$H128</f>
        <v/>
      </c>
      <c r="O128" s="39" t="str">
        <f aca="false">IF(SUM($N128)=0,"",IF(AND(SUM($N128)&gt;0,$K128=""),"ENTER KNOWN POSITIVITY RATE",ROUND($N128*$K128,0)))</f>
        <v/>
      </c>
      <c r="P128" s="39" t="str">
        <f aca="false">IF(SUM($N128)=0,"",IF(AND((SUM($N128)-SUM($O128))&gt;0,$M128=""),"ENTER YIELD RATE",ROUND(($N128-SUM($O128))*$M128,0)))</f>
        <v/>
      </c>
      <c r="Q128" s="39" t="str">
        <f aca="false">IF(SUM($N128)=0,"",$N128-SUM($O128)-SUM($P128))</f>
        <v/>
      </c>
      <c r="R128" s="88" t="str">
        <f aca="false">IF(SUM($P128)=0,"",INDEX(Cascade!$BG:$BG,MATCH($E128,Cascade!$E:$E,0)))</f>
        <v/>
      </c>
      <c r="S128" s="39" t="str">
        <f aca="false">$O128</f>
        <v/>
      </c>
      <c r="T128" s="39" t="str">
        <f aca="false">IF(SUM($P128)=0,"",IF(AND($R128="",SUM($P128)&gt;0),"&lt;- Enter Linkage Rate",ROUND($P128*$R128,0)))</f>
        <v/>
      </c>
      <c r="U128" s="10" t="str">
        <f aca="false">IFERROR(1/(1/INDEX(Cascade!$BH:$BH,MATCH($E128,Cascade!$E:$E,0))),"")</f>
        <v/>
      </c>
      <c r="V128" s="10" t="str">
        <f aca="false">IF(SUM($P128)=0,"",$P128)</f>
        <v/>
      </c>
      <c r="W128" s="10" t="str">
        <f aca="false">IFERROR(1/(1/INDEX(PMTCT!$AC:$AC,MATCH($E128,PMTCT!$E:$E,0))),"")</f>
        <v/>
      </c>
      <c r="X128" s="10" t="str">
        <f aca="false">IFERROR(1/(1/INDEX(PMTCT!$AS:$AS,MATCH($E128,PMTCT!$E:$E,0))),"")</f>
        <v/>
      </c>
      <c r="Y128" s="10" t="str">
        <f aca="false">IFERROR(1/(1/INDEX(VMMC!$AA:$AA,MATCH($E128,VMMC!$E:$E,0))),"")</f>
        <v/>
      </c>
      <c r="Z128" s="10" t="str">
        <f aca="false">IFERROR(1/(1/(SUM($U128)-SUM($V128:$Y128))),"")</f>
        <v/>
      </c>
    </row>
    <row r="129" customFormat="false" ht="15" hidden="false" customHeight="false" outlineLevel="0" collapsed="false">
      <c r="A129" s="0" t="str">
        <f aca="false">INDEX(Prioritization!$D:$D,MATCH($B129,Prioritization!$A:$A,0))</f>
        <v>INVALID</v>
      </c>
      <c r="B129" s="0" t="s">
        <v>203</v>
      </c>
      <c r="C129" s="0" t="s">
        <v>366</v>
      </c>
      <c r="D129" s="0" t="s">
        <v>30</v>
      </c>
      <c r="E129" s="0" t="str">
        <f aca="false">B129&amp;"|"&amp;C129&amp;"|"&amp;D129</f>
        <v>Salima District [msW2zpIN7up]|25-34|Female</v>
      </c>
      <c r="F129" s="10"/>
      <c r="G129" s="88" t="n">
        <f aca="false">0</f>
        <v>0</v>
      </c>
      <c r="H129" s="39" t="str">
        <f aca="false">IF(SUM($F129)=0,"",ROUND($F129*(1+$G129),0))</f>
        <v/>
      </c>
      <c r="I129" s="10"/>
      <c r="J129" s="88"/>
      <c r="K129" s="88" t="str">
        <f aca="false">IF($J129="","",$J129)</f>
        <v/>
      </c>
      <c r="L129" s="88"/>
      <c r="M129" s="88" t="str">
        <f aca="false">IF($L129="","",$L129)</f>
        <v/>
      </c>
      <c r="N129" s="10" t="str">
        <f aca="false">$H129</f>
        <v/>
      </c>
      <c r="O129" s="39" t="str">
        <f aca="false">IF(SUM($N129)=0,"",IF(AND(SUM($N129)&gt;0,$K129=""),"ENTER KNOWN POSITIVITY RATE",ROUND($N129*$K129,0)))</f>
        <v/>
      </c>
      <c r="P129" s="39" t="str">
        <f aca="false">IF(SUM($N129)=0,"",IF(AND((SUM($N129)-SUM($O129))&gt;0,$M129=""),"ENTER YIELD RATE",ROUND(($N129-SUM($O129))*$M129,0)))</f>
        <v/>
      </c>
      <c r="Q129" s="39" t="str">
        <f aca="false">IF(SUM($N129)=0,"",$N129-SUM($O129)-SUM($P129))</f>
        <v/>
      </c>
      <c r="R129" s="88" t="str">
        <f aca="false">IF(SUM($P129)=0,"",INDEX(Cascade!$BG:$BG,MATCH($E129,Cascade!$E:$E,0)))</f>
        <v/>
      </c>
      <c r="S129" s="39" t="str">
        <f aca="false">$O129</f>
        <v/>
      </c>
      <c r="T129" s="39" t="str">
        <f aca="false">IF(SUM($P129)=0,"",IF(AND($R129="",SUM($P129)&gt;0),"&lt;- Enter Linkage Rate",ROUND($P129*$R129,0)))</f>
        <v/>
      </c>
      <c r="U129" s="10" t="str">
        <f aca="false">IFERROR(1/(1/INDEX(Cascade!$BH:$BH,MATCH($E129,Cascade!$E:$E,0))),"")</f>
        <v/>
      </c>
      <c r="V129" s="10" t="str">
        <f aca="false">IF(SUM($P129)=0,"",$P129)</f>
        <v/>
      </c>
      <c r="W129" s="10" t="str">
        <f aca="false">IFERROR(1/(1/INDEX(PMTCT!$AC:$AC,MATCH($E129,PMTCT!$E:$E,0))),"")</f>
        <v/>
      </c>
      <c r="X129" s="10" t="str">
        <f aca="false">IFERROR(1/(1/INDEX(PMTCT!$AS:$AS,MATCH($E129,PMTCT!$E:$E,0))),"")</f>
        <v/>
      </c>
      <c r="Y129" s="10" t="str">
        <f aca="false">IFERROR(1/(1/INDEX(VMMC!$AA:$AA,MATCH($E129,VMMC!$E:$E,0))),"")</f>
        <v/>
      </c>
      <c r="Z129" s="10" t="str">
        <f aca="false">IFERROR(1/(1/(SUM($U129)-SUM($V129:$Y129))),"")</f>
        <v/>
      </c>
    </row>
    <row r="130" customFormat="false" ht="15" hidden="false" customHeight="false" outlineLevel="0" collapsed="false">
      <c r="A130" s="0" t="str">
        <f aca="false">INDEX(Prioritization!$D:$D,MATCH($B130,Prioritization!$A:$A,0))</f>
        <v>INVALID</v>
      </c>
      <c r="B130" s="0" t="s">
        <v>203</v>
      </c>
      <c r="C130" s="0" t="s">
        <v>366</v>
      </c>
      <c r="D130" s="0" t="s">
        <v>48</v>
      </c>
      <c r="E130" s="0" t="str">
        <f aca="false">B130&amp;"|"&amp;C130&amp;"|"&amp;D130</f>
        <v>Salima District [msW2zpIN7up]|25-34|Male</v>
      </c>
      <c r="F130" s="10"/>
      <c r="G130" s="88" t="n">
        <f aca="false">0</f>
        <v>0</v>
      </c>
      <c r="H130" s="39" t="str">
        <f aca="false">IF(SUM($F130)=0,"",ROUND($F130*(1+$G130),0))</f>
        <v/>
      </c>
      <c r="I130" s="10"/>
      <c r="J130" s="88"/>
      <c r="K130" s="88" t="str">
        <f aca="false">IF($J130="","",$J130)</f>
        <v/>
      </c>
      <c r="L130" s="88"/>
      <c r="M130" s="88" t="str">
        <f aca="false">IF($L130="","",$L130)</f>
        <v/>
      </c>
      <c r="N130" s="10" t="str">
        <f aca="false">$H130</f>
        <v/>
      </c>
      <c r="O130" s="39" t="str">
        <f aca="false">IF(SUM($N130)=0,"",IF(AND(SUM($N130)&gt;0,$K130=""),"ENTER KNOWN POSITIVITY RATE",ROUND($N130*$K130,0)))</f>
        <v/>
      </c>
      <c r="P130" s="39" t="str">
        <f aca="false">IF(SUM($N130)=0,"",IF(AND((SUM($N130)-SUM($O130))&gt;0,$M130=""),"ENTER YIELD RATE",ROUND(($N130-SUM($O130))*$M130,0)))</f>
        <v/>
      </c>
      <c r="Q130" s="39" t="str">
        <f aca="false">IF(SUM($N130)=0,"",$N130-SUM($O130)-SUM($P130))</f>
        <v/>
      </c>
      <c r="R130" s="88" t="str">
        <f aca="false">IF(SUM($P130)=0,"",INDEX(Cascade!$BG:$BG,MATCH($E130,Cascade!$E:$E,0)))</f>
        <v/>
      </c>
      <c r="S130" s="39" t="str">
        <f aca="false">$O130</f>
        <v/>
      </c>
      <c r="T130" s="39" t="str">
        <f aca="false">IF(SUM($P130)=0,"",IF(AND($R130="",SUM($P130)&gt;0),"&lt;- Enter Linkage Rate",ROUND($P130*$R130,0)))</f>
        <v/>
      </c>
      <c r="U130" s="10" t="str">
        <f aca="false">IFERROR(1/(1/INDEX(Cascade!$BH:$BH,MATCH($E130,Cascade!$E:$E,0))),"")</f>
        <v/>
      </c>
      <c r="V130" s="10" t="str">
        <f aca="false">IF(SUM($P130)=0,"",$P130)</f>
        <v/>
      </c>
      <c r="W130" s="10" t="str">
        <f aca="false">IFERROR(1/(1/INDEX(PMTCT!$AC:$AC,MATCH($E130,PMTCT!$E:$E,0))),"")</f>
        <v/>
      </c>
      <c r="X130" s="10" t="str">
        <f aca="false">IFERROR(1/(1/INDEX(PMTCT!$AS:$AS,MATCH($E130,PMTCT!$E:$E,0))),"")</f>
        <v/>
      </c>
      <c r="Y130" s="10" t="str">
        <f aca="false">IFERROR(1/(1/INDEX(VMMC!$AA:$AA,MATCH($E130,VMMC!$E:$E,0))),"")</f>
        <v/>
      </c>
      <c r="Z130" s="10" t="str">
        <f aca="false">IFERROR(1/(1/(SUM($U130)-SUM($V130:$Y130))),"")</f>
        <v/>
      </c>
    </row>
    <row r="131" customFormat="false" ht="15" hidden="false" customHeight="false" outlineLevel="0" collapsed="false">
      <c r="A131" s="0" t="str">
        <f aca="false">INDEX(Prioritization!$D:$D,MATCH($B131,Prioritization!$A:$A,0))</f>
        <v>INVALID</v>
      </c>
      <c r="B131" s="0" t="s">
        <v>203</v>
      </c>
      <c r="C131" s="0" t="s">
        <v>367</v>
      </c>
      <c r="D131" s="0" t="s">
        <v>30</v>
      </c>
      <c r="E131" s="0" t="str">
        <f aca="false">B131&amp;"|"&amp;C131&amp;"|"&amp;D131</f>
        <v>Salima District [msW2zpIN7up]|35-49|Female</v>
      </c>
      <c r="F131" s="10"/>
      <c r="G131" s="88" t="n">
        <f aca="false">0</f>
        <v>0</v>
      </c>
      <c r="H131" s="39" t="str">
        <f aca="false">IF(SUM($F131)=0,"",ROUND($F131*(1+$G131),0))</f>
        <v/>
      </c>
      <c r="I131" s="10"/>
      <c r="J131" s="88"/>
      <c r="K131" s="88" t="str">
        <f aca="false">IF($J131="","",$J131)</f>
        <v/>
      </c>
      <c r="L131" s="88"/>
      <c r="M131" s="88" t="str">
        <f aca="false">IF($L131="","",$L131)</f>
        <v/>
      </c>
      <c r="N131" s="10" t="str">
        <f aca="false">$H131</f>
        <v/>
      </c>
      <c r="O131" s="39" t="str">
        <f aca="false">IF(SUM($N131)=0,"",IF(AND(SUM($N131)&gt;0,$K131=""),"ENTER KNOWN POSITIVITY RATE",ROUND($N131*$K131,0)))</f>
        <v/>
      </c>
      <c r="P131" s="39" t="str">
        <f aca="false">IF(SUM($N131)=0,"",IF(AND((SUM($N131)-SUM($O131))&gt;0,$M131=""),"ENTER YIELD RATE",ROUND(($N131-SUM($O131))*$M131,0)))</f>
        <v/>
      </c>
      <c r="Q131" s="39" t="str">
        <f aca="false">IF(SUM($N131)=0,"",$N131-SUM($O131)-SUM($P131))</f>
        <v/>
      </c>
      <c r="R131" s="88" t="str">
        <f aca="false">IF(SUM($P131)=0,"",INDEX(Cascade!$BG:$BG,MATCH($E131,Cascade!$E:$E,0)))</f>
        <v/>
      </c>
      <c r="S131" s="39" t="str">
        <f aca="false">$O131</f>
        <v/>
      </c>
      <c r="T131" s="39" t="str">
        <f aca="false">IF(SUM($P131)=0,"",IF(AND($R131="",SUM($P131)&gt;0),"&lt;- Enter Linkage Rate",ROUND($P131*$R131,0)))</f>
        <v/>
      </c>
      <c r="U131" s="10" t="str">
        <f aca="false">IFERROR(1/(1/INDEX(Cascade!$BH:$BH,MATCH($E131,Cascade!$E:$E,0))),"")</f>
        <v/>
      </c>
      <c r="V131" s="10" t="str">
        <f aca="false">IF(SUM($P131)=0,"",$P131)</f>
        <v/>
      </c>
      <c r="W131" s="10" t="str">
        <f aca="false">IFERROR(1/(1/INDEX(PMTCT!$AC:$AC,MATCH($E131,PMTCT!$E:$E,0))),"")</f>
        <v/>
      </c>
      <c r="X131" s="10" t="str">
        <f aca="false">IFERROR(1/(1/INDEX(PMTCT!$AS:$AS,MATCH($E131,PMTCT!$E:$E,0))),"")</f>
        <v/>
      </c>
      <c r="Y131" s="10" t="str">
        <f aca="false">IFERROR(1/(1/INDEX(VMMC!$AA:$AA,MATCH($E131,VMMC!$E:$E,0))),"")</f>
        <v/>
      </c>
      <c r="Z131" s="10" t="str">
        <f aca="false">IFERROR(1/(1/(SUM($U131)-SUM($V131:$Y131))),"")</f>
        <v/>
      </c>
    </row>
    <row r="132" customFormat="false" ht="15" hidden="false" customHeight="false" outlineLevel="0" collapsed="false">
      <c r="A132" s="0" t="str">
        <f aca="false">INDEX(Prioritization!$D:$D,MATCH($B132,Prioritization!$A:$A,0))</f>
        <v>INVALID</v>
      </c>
      <c r="B132" s="0" t="s">
        <v>203</v>
      </c>
      <c r="C132" s="0" t="s">
        <v>367</v>
      </c>
      <c r="D132" s="0" t="s">
        <v>48</v>
      </c>
      <c r="E132" s="0" t="str">
        <f aca="false">B132&amp;"|"&amp;C132&amp;"|"&amp;D132</f>
        <v>Salima District [msW2zpIN7up]|35-49|Male</v>
      </c>
      <c r="F132" s="10"/>
      <c r="G132" s="88" t="n">
        <f aca="false">0</f>
        <v>0</v>
      </c>
      <c r="H132" s="39" t="str">
        <f aca="false">IF(SUM($F132)=0,"",ROUND($F132*(1+$G132),0))</f>
        <v/>
      </c>
      <c r="I132" s="10"/>
      <c r="J132" s="88"/>
      <c r="K132" s="88" t="str">
        <f aca="false">IF($J132="","",$J132)</f>
        <v/>
      </c>
      <c r="L132" s="88"/>
      <c r="M132" s="88" t="str">
        <f aca="false">IF($L132="","",$L132)</f>
        <v/>
      </c>
      <c r="N132" s="10" t="str">
        <f aca="false">$H132</f>
        <v/>
      </c>
      <c r="O132" s="39" t="str">
        <f aca="false">IF(SUM($N132)=0,"",IF(AND(SUM($N132)&gt;0,$K132=""),"ENTER KNOWN POSITIVITY RATE",ROUND($N132*$K132,0)))</f>
        <v/>
      </c>
      <c r="P132" s="39" t="str">
        <f aca="false">IF(SUM($N132)=0,"",IF(AND((SUM($N132)-SUM($O132))&gt;0,$M132=""),"ENTER YIELD RATE",ROUND(($N132-SUM($O132))*$M132,0)))</f>
        <v/>
      </c>
      <c r="Q132" s="39" t="str">
        <f aca="false">IF(SUM($N132)=0,"",$N132-SUM($O132)-SUM($P132))</f>
        <v/>
      </c>
      <c r="R132" s="88" t="str">
        <f aca="false">IF(SUM($P132)=0,"",INDEX(Cascade!$BG:$BG,MATCH($E132,Cascade!$E:$E,0)))</f>
        <v/>
      </c>
      <c r="S132" s="39" t="str">
        <f aca="false">$O132</f>
        <v/>
      </c>
      <c r="T132" s="39" t="str">
        <f aca="false">IF(SUM($P132)=0,"",IF(AND($R132="",SUM($P132)&gt;0),"&lt;- Enter Linkage Rate",ROUND($P132*$R132,0)))</f>
        <v/>
      </c>
      <c r="U132" s="10" t="str">
        <f aca="false">IFERROR(1/(1/INDEX(Cascade!$BH:$BH,MATCH($E132,Cascade!$E:$E,0))),"")</f>
        <v/>
      </c>
      <c r="V132" s="10" t="str">
        <f aca="false">IF(SUM($P132)=0,"",$P132)</f>
        <v/>
      </c>
      <c r="W132" s="10" t="str">
        <f aca="false">IFERROR(1/(1/INDEX(PMTCT!$AC:$AC,MATCH($E132,PMTCT!$E:$E,0))),"")</f>
        <v/>
      </c>
      <c r="X132" s="10" t="str">
        <f aca="false">IFERROR(1/(1/INDEX(PMTCT!$AS:$AS,MATCH($E132,PMTCT!$E:$E,0))),"")</f>
        <v/>
      </c>
      <c r="Y132" s="10" t="str">
        <f aca="false">IFERROR(1/(1/INDEX(VMMC!$AA:$AA,MATCH($E132,VMMC!$E:$E,0))),"")</f>
        <v/>
      </c>
      <c r="Z132" s="10" t="str">
        <f aca="false">IFERROR(1/(1/(SUM($U132)-SUM($V132:$Y132))),"")</f>
        <v/>
      </c>
    </row>
    <row r="133" customFormat="false" ht="15" hidden="false" customHeight="false" outlineLevel="0" collapsed="false">
      <c r="A133" s="0" t="str">
        <f aca="false">INDEX(Prioritization!$D:$D,MATCH($B133,Prioritization!$A:$A,0))</f>
        <v>INVALID</v>
      </c>
      <c r="B133" s="0" t="s">
        <v>203</v>
      </c>
      <c r="C133" s="0" t="s">
        <v>368</v>
      </c>
      <c r="D133" s="0" t="s">
        <v>30</v>
      </c>
      <c r="E133" s="0" t="str">
        <f aca="false">B133&amp;"|"&amp;C133&amp;"|"&amp;D133</f>
        <v>Salima District [msW2zpIN7up]|50+|Female</v>
      </c>
      <c r="F133" s="10"/>
      <c r="G133" s="88" t="n">
        <f aca="false">0</f>
        <v>0</v>
      </c>
      <c r="H133" s="39" t="str">
        <f aca="false">IF(SUM($F133)=0,"",ROUND($F133*(1+$G133),0))</f>
        <v/>
      </c>
      <c r="I133" s="10"/>
      <c r="J133" s="88"/>
      <c r="K133" s="88" t="str">
        <f aca="false">IF($J133="","",$J133)</f>
        <v/>
      </c>
      <c r="L133" s="88"/>
      <c r="M133" s="88" t="str">
        <f aca="false">IF($L133="","",$L133)</f>
        <v/>
      </c>
      <c r="N133" s="10" t="str">
        <f aca="false">$H133</f>
        <v/>
      </c>
      <c r="O133" s="39" t="str">
        <f aca="false">IF(SUM($N133)=0,"",IF(AND(SUM($N133)&gt;0,$K133=""),"ENTER KNOWN POSITIVITY RATE",ROUND($N133*$K133,0)))</f>
        <v/>
      </c>
      <c r="P133" s="39" t="str">
        <f aca="false">IF(SUM($N133)=0,"",IF(AND((SUM($N133)-SUM($O133))&gt;0,$M133=""),"ENTER YIELD RATE",ROUND(($N133-SUM($O133))*$M133,0)))</f>
        <v/>
      </c>
      <c r="Q133" s="39" t="str">
        <f aca="false">IF(SUM($N133)=0,"",$N133-SUM($O133)-SUM($P133))</f>
        <v/>
      </c>
      <c r="R133" s="88" t="str">
        <f aca="false">IF(SUM($P133)=0,"",INDEX(Cascade!$BG:$BG,MATCH($E133,Cascade!$E:$E,0)))</f>
        <v/>
      </c>
      <c r="S133" s="39" t="str">
        <f aca="false">$O133</f>
        <v/>
      </c>
      <c r="T133" s="39" t="str">
        <f aca="false">IF(SUM($P133)=0,"",IF(AND($R133="",SUM($P133)&gt;0),"&lt;- Enter Linkage Rate",ROUND($P133*$R133,0)))</f>
        <v/>
      </c>
      <c r="U133" s="10" t="str">
        <f aca="false">IFERROR(1/(1/INDEX(Cascade!$BH:$BH,MATCH($E133,Cascade!$E:$E,0))),"")</f>
        <v/>
      </c>
      <c r="V133" s="10" t="str">
        <f aca="false">IF(SUM($P133)=0,"",$P133)</f>
        <v/>
      </c>
      <c r="W133" s="10" t="str">
        <f aca="false">IFERROR(1/(1/INDEX(PMTCT!$AC:$AC,MATCH($E133,PMTCT!$E:$E,0))),"")</f>
        <v/>
      </c>
      <c r="X133" s="10" t="str">
        <f aca="false">IFERROR(1/(1/INDEX(PMTCT!$AS:$AS,MATCH($E133,PMTCT!$E:$E,0))),"")</f>
        <v/>
      </c>
      <c r="Y133" s="10" t="str">
        <f aca="false">IFERROR(1/(1/INDEX(VMMC!$AA:$AA,MATCH($E133,VMMC!$E:$E,0))),"")</f>
        <v/>
      </c>
      <c r="Z133" s="10" t="str">
        <f aca="false">IFERROR(1/(1/(SUM($U133)-SUM($V133:$Y133))),"")</f>
        <v/>
      </c>
    </row>
    <row r="134" customFormat="false" ht="15" hidden="false" customHeight="false" outlineLevel="0" collapsed="false">
      <c r="A134" s="0" t="str">
        <f aca="false">INDEX(Prioritization!$D:$D,MATCH($B134,Prioritization!$A:$A,0))</f>
        <v>INVALID</v>
      </c>
      <c r="B134" s="0" t="s">
        <v>203</v>
      </c>
      <c r="C134" s="0" t="s">
        <v>368</v>
      </c>
      <c r="D134" s="0" t="s">
        <v>48</v>
      </c>
      <c r="E134" s="0" t="str">
        <f aca="false">B134&amp;"|"&amp;C134&amp;"|"&amp;D134</f>
        <v>Salima District [msW2zpIN7up]|50+|Male</v>
      </c>
      <c r="F134" s="10"/>
      <c r="G134" s="88" t="n">
        <f aca="false">0</f>
        <v>0</v>
      </c>
      <c r="H134" s="39" t="str">
        <f aca="false">IF(SUM($F134)=0,"",ROUND($F134*(1+$G134),0))</f>
        <v/>
      </c>
      <c r="I134" s="10"/>
      <c r="J134" s="88"/>
      <c r="K134" s="88" t="str">
        <f aca="false">IF($J134="","",$J134)</f>
        <v/>
      </c>
      <c r="L134" s="88"/>
      <c r="M134" s="88" t="str">
        <f aca="false">IF($L134="","",$L134)</f>
        <v/>
      </c>
      <c r="N134" s="10" t="str">
        <f aca="false">$H134</f>
        <v/>
      </c>
      <c r="O134" s="39" t="str">
        <f aca="false">IF(SUM($N134)=0,"",IF(AND(SUM($N134)&gt;0,$K134=""),"ENTER KNOWN POSITIVITY RATE",ROUND($N134*$K134,0)))</f>
        <v/>
      </c>
      <c r="P134" s="39" t="str">
        <f aca="false">IF(SUM($N134)=0,"",IF(AND((SUM($N134)-SUM($O134))&gt;0,$M134=""),"ENTER YIELD RATE",ROUND(($N134-SUM($O134))*$M134,0)))</f>
        <v/>
      </c>
      <c r="Q134" s="39" t="str">
        <f aca="false">IF(SUM($N134)=0,"",$N134-SUM($O134)-SUM($P134))</f>
        <v/>
      </c>
      <c r="R134" s="88" t="str">
        <f aca="false">IF(SUM($P134)=0,"",INDEX(Cascade!$BG:$BG,MATCH($E134,Cascade!$E:$E,0)))</f>
        <v/>
      </c>
      <c r="S134" s="39" t="str">
        <f aca="false">$O134</f>
        <v/>
      </c>
      <c r="T134" s="39" t="str">
        <f aca="false">IF(SUM($P134)=0,"",IF(AND($R134="",SUM($P134)&gt;0),"&lt;- Enter Linkage Rate",ROUND($P134*$R134,0)))</f>
        <v/>
      </c>
      <c r="U134" s="10" t="str">
        <f aca="false">IFERROR(1/(1/INDEX(Cascade!$BH:$BH,MATCH($E134,Cascade!$E:$E,0))),"")</f>
        <v/>
      </c>
      <c r="V134" s="10" t="str">
        <f aca="false">IF(SUM($P134)=0,"",$P134)</f>
        <v/>
      </c>
      <c r="W134" s="10" t="str">
        <f aca="false">IFERROR(1/(1/INDEX(PMTCT!$AC:$AC,MATCH($E134,PMTCT!$E:$E,0))),"")</f>
        <v/>
      </c>
      <c r="X134" s="10" t="str">
        <f aca="false">IFERROR(1/(1/INDEX(PMTCT!$AS:$AS,MATCH($E134,PMTCT!$E:$E,0))),"")</f>
        <v/>
      </c>
      <c r="Y134" s="10" t="str">
        <f aca="false">IFERROR(1/(1/INDEX(VMMC!$AA:$AA,MATCH($E134,VMMC!$E:$E,0))),"")</f>
        <v/>
      </c>
      <c r="Z134" s="10" t="str">
        <f aca="false">IFERROR(1/(1/(SUM($U134)-SUM($V134:$Y134))),"")</f>
        <v/>
      </c>
    </row>
    <row r="135" customFormat="false" ht="15" hidden="false" customHeight="false" outlineLevel="0" collapsed="false">
      <c r="A135" s="0" t="str">
        <f aca="false">INDEX(Prioritization!$D:$D,MATCH($B135,Prioritization!$A:$A,0))</f>
        <v>1 - Scale-up: Saturation</v>
      </c>
      <c r="B135" s="0" t="s">
        <v>204</v>
      </c>
      <c r="C135" s="0" t="s">
        <v>363</v>
      </c>
      <c r="D135" s="0" t="s">
        <v>30</v>
      </c>
      <c r="E135" s="0" t="str">
        <f aca="false">B135&amp;"|"&amp;C135&amp;"|"&amp;D135</f>
        <v>Chitipa District [GkIwZrXy1h2]|01-09|Female</v>
      </c>
      <c r="F135" s="10"/>
      <c r="G135" s="88" t="n">
        <f aca="false">0</f>
        <v>0</v>
      </c>
      <c r="H135" s="39" t="str">
        <f aca="false">IF(SUM($F135)=0,"",ROUND($F135*(1+$G135),0))</f>
        <v/>
      </c>
      <c r="I135" s="10"/>
      <c r="J135" s="88"/>
      <c r="K135" s="88" t="str">
        <f aca="false">IF($J135="","",$J135)</f>
        <v/>
      </c>
      <c r="L135" s="88"/>
      <c r="M135" s="88" t="str">
        <f aca="false">IF($L135="","",$L135)</f>
        <v/>
      </c>
      <c r="N135" s="10" t="str">
        <f aca="false">$H135</f>
        <v/>
      </c>
      <c r="O135" s="39" t="str">
        <f aca="false">IF(SUM($N135)=0,"",IF(AND(SUM($N135)&gt;0,$K135=""),"ENTER KNOWN POSITIVITY RATE",ROUND($N135*$K135,0)))</f>
        <v/>
      </c>
      <c r="P135" s="39" t="str">
        <f aca="false">IF(SUM($N135)=0,"",IF(AND((SUM($N135)-SUM($O135))&gt;0,$M135=""),"ENTER YIELD RATE",ROUND(($N135-SUM($O135))*$M135,0)))</f>
        <v/>
      </c>
      <c r="Q135" s="39" t="str">
        <f aca="false">IF(SUM($N135)=0,"",$N135-SUM($O135)-SUM($P135))</f>
        <v/>
      </c>
      <c r="R135" s="88" t="str">
        <f aca="false">IF(SUM($P135)=0,"",INDEX(Cascade!$BG:$BG,MATCH($E135,Cascade!$E:$E,0)))</f>
        <v/>
      </c>
      <c r="S135" s="39" t="str">
        <f aca="false">$O135</f>
        <v/>
      </c>
      <c r="T135" s="39" t="str">
        <f aca="false">IF(SUM($P135)=0,"",IF(AND($R135="",SUM($P135)&gt;0),"&lt;- Enter Linkage Rate",ROUND($P135*$R135,0)))</f>
        <v/>
      </c>
      <c r="U135" s="10" t="str">
        <f aca="false">IFERROR(1/(1/INDEX(Cascade!$BH:$BH,MATCH($E135,Cascade!$E:$E,0))),"")</f>
        <v/>
      </c>
      <c r="V135" s="10" t="str">
        <f aca="false">IF(SUM($P135)=0,"",$P135)</f>
        <v/>
      </c>
      <c r="W135" s="10" t="str">
        <f aca="false">IFERROR(1/(1/INDEX(PMTCT!$AC:$AC,MATCH($E135,PMTCT!$E:$E,0))),"")</f>
        <v/>
      </c>
      <c r="X135" s="10" t="str">
        <f aca="false">IFERROR(1/(1/INDEX(PMTCT!$AS:$AS,MATCH($E135,PMTCT!$E:$E,0))),"")</f>
        <v/>
      </c>
      <c r="Y135" s="10" t="str">
        <f aca="false">IFERROR(1/(1/INDEX(VMMC!$AA:$AA,MATCH($E135,VMMC!$E:$E,0))),"")</f>
        <v/>
      </c>
      <c r="Z135" s="10" t="str">
        <f aca="false">IFERROR(1/(1/(SUM($U135)-SUM($V135:$Y135))),"")</f>
        <v/>
      </c>
    </row>
    <row r="136" customFormat="false" ht="15" hidden="false" customHeight="false" outlineLevel="0" collapsed="false">
      <c r="A136" s="0" t="str">
        <f aca="false">INDEX(Prioritization!$D:$D,MATCH($B136,Prioritization!$A:$A,0))</f>
        <v>1 - Scale-up: Saturation</v>
      </c>
      <c r="B136" s="0" t="s">
        <v>204</v>
      </c>
      <c r="C136" s="0" t="s">
        <v>363</v>
      </c>
      <c r="D136" s="0" t="s">
        <v>48</v>
      </c>
      <c r="E136" s="0" t="str">
        <f aca="false">B136&amp;"|"&amp;C136&amp;"|"&amp;D136</f>
        <v>Chitipa District [GkIwZrXy1h2]|01-09|Male</v>
      </c>
      <c r="F136" s="10"/>
      <c r="G136" s="88" t="n">
        <f aca="false">0</f>
        <v>0</v>
      </c>
      <c r="H136" s="39" t="str">
        <f aca="false">IF(SUM($F136)=0,"",ROUND($F136*(1+$G136),0))</f>
        <v/>
      </c>
      <c r="I136" s="10"/>
      <c r="J136" s="88"/>
      <c r="K136" s="88" t="str">
        <f aca="false">IF($J136="","",$J136)</f>
        <v/>
      </c>
      <c r="L136" s="88"/>
      <c r="M136" s="88" t="str">
        <f aca="false">IF($L136="","",$L136)</f>
        <v/>
      </c>
      <c r="N136" s="10" t="str">
        <f aca="false">$H136</f>
        <v/>
      </c>
      <c r="O136" s="39" t="str">
        <f aca="false">IF(SUM($N136)=0,"",IF(AND(SUM($N136)&gt;0,$K136=""),"ENTER KNOWN POSITIVITY RATE",ROUND($N136*$K136,0)))</f>
        <v/>
      </c>
      <c r="P136" s="39" t="str">
        <f aca="false">IF(SUM($N136)=0,"",IF(AND((SUM($N136)-SUM($O136))&gt;0,$M136=""),"ENTER YIELD RATE",ROUND(($N136-SUM($O136))*$M136,0)))</f>
        <v/>
      </c>
      <c r="Q136" s="39" t="str">
        <f aca="false">IF(SUM($N136)=0,"",$N136-SUM($O136)-SUM($P136))</f>
        <v/>
      </c>
      <c r="R136" s="88" t="str">
        <f aca="false">IF(SUM($P136)=0,"",INDEX(Cascade!$BG:$BG,MATCH($E136,Cascade!$E:$E,0)))</f>
        <v/>
      </c>
      <c r="S136" s="39" t="str">
        <f aca="false">$O136</f>
        <v/>
      </c>
      <c r="T136" s="39" t="str">
        <f aca="false">IF(SUM($P136)=0,"",IF(AND($R136="",SUM($P136)&gt;0),"&lt;- Enter Linkage Rate",ROUND($P136*$R136,0)))</f>
        <v/>
      </c>
      <c r="U136" s="10" t="str">
        <f aca="false">IFERROR(1/(1/INDEX(Cascade!$BH:$BH,MATCH($E136,Cascade!$E:$E,0))),"")</f>
        <v/>
      </c>
      <c r="V136" s="10" t="str">
        <f aca="false">IF(SUM($P136)=0,"",$P136)</f>
        <v/>
      </c>
      <c r="W136" s="10" t="str">
        <f aca="false">IFERROR(1/(1/INDEX(PMTCT!$AC:$AC,MATCH($E136,PMTCT!$E:$E,0))),"")</f>
        <v/>
      </c>
      <c r="X136" s="10" t="str">
        <f aca="false">IFERROR(1/(1/INDEX(PMTCT!$AS:$AS,MATCH($E136,PMTCT!$E:$E,0))),"")</f>
        <v/>
      </c>
      <c r="Y136" s="10" t="str">
        <f aca="false">IFERROR(1/(1/INDEX(VMMC!$AA:$AA,MATCH($E136,VMMC!$E:$E,0))),"")</f>
        <v/>
      </c>
      <c r="Z136" s="10" t="str">
        <f aca="false">IFERROR(1/(1/(SUM($U136)-SUM($V136:$Y136))),"")</f>
        <v/>
      </c>
    </row>
    <row r="137" customFormat="false" ht="15" hidden="false" customHeight="false" outlineLevel="0" collapsed="false">
      <c r="A137" s="0" t="str">
        <f aca="false">INDEX(Prioritization!$D:$D,MATCH($B137,Prioritization!$A:$A,0))</f>
        <v>1 - Scale-up: Saturation</v>
      </c>
      <c r="B137" s="0" t="s">
        <v>204</v>
      </c>
      <c r="C137" s="0" t="s">
        <v>364</v>
      </c>
      <c r="D137" s="0" t="s">
        <v>30</v>
      </c>
      <c r="E137" s="0" t="str">
        <f aca="false">B137&amp;"|"&amp;C137&amp;"|"&amp;D137</f>
        <v>Chitipa District [GkIwZrXy1h2]|10-14|Female</v>
      </c>
      <c r="F137" s="10" t="n">
        <v>0</v>
      </c>
      <c r="G137" s="88" t="n">
        <f aca="false">0</f>
        <v>0</v>
      </c>
      <c r="H137" s="39" t="str">
        <f aca="false">IF(SUM($F137)=0,"",ROUND($F137*(1+$G137),0))</f>
        <v/>
      </c>
      <c r="I137" s="10"/>
      <c r="J137" s="88"/>
      <c r="K137" s="88" t="str">
        <f aca="false">IF($J137="","",$J137)</f>
        <v/>
      </c>
      <c r="L137" s="88"/>
      <c r="M137" s="88" t="str">
        <f aca="false">IF($L137="","",$L137)</f>
        <v/>
      </c>
      <c r="N137" s="10" t="str">
        <f aca="false">$H137</f>
        <v/>
      </c>
      <c r="O137" s="39" t="str">
        <f aca="false">IF(SUM($N137)=0,"",IF(AND(SUM($N137)&gt;0,$K137=""),"ENTER KNOWN POSITIVITY RATE",ROUND($N137*$K137,0)))</f>
        <v/>
      </c>
      <c r="P137" s="39" t="str">
        <f aca="false">IF(SUM($N137)=0,"",IF(AND((SUM($N137)-SUM($O137))&gt;0,$M137=""),"ENTER YIELD RATE",ROUND(($N137-SUM($O137))*$M137,0)))</f>
        <v/>
      </c>
      <c r="Q137" s="39" t="str">
        <f aca="false">IF(SUM($N137)=0,"",$N137-SUM($O137)-SUM($P137))</f>
        <v/>
      </c>
      <c r="R137" s="88" t="str">
        <f aca="false">IF(SUM($P137)=0,"",INDEX(Cascade!$BG:$BG,MATCH($E137,Cascade!$E:$E,0)))</f>
        <v/>
      </c>
      <c r="S137" s="39" t="str">
        <f aca="false">$O137</f>
        <v/>
      </c>
      <c r="T137" s="39" t="str">
        <f aca="false">IF(SUM($P137)=0,"",IF(AND($R137="",SUM($P137)&gt;0),"&lt;- Enter Linkage Rate",ROUND($P137*$R137,0)))</f>
        <v/>
      </c>
      <c r="U137" s="10" t="n">
        <f aca="false">IFERROR(1/(1/INDEX(Cascade!$BH:$BH,MATCH($E137,Cascade!$E:$E,0))),"")</f>
        <v>-6</v>
      </c>
      <c r="V137" s="10" t="str">
        <f aca="false">IF(SUM($P137)=0,"",$P137)</f>
        <v/>
      </c>
      <c r="W137" s="10" t="str">
        <f aca="false">IFERROR(1/(1/INDEX(PMTCT!$AC:$AC,MATCH($E137,PMTCT!$E:$E,0))),"")</f>
        <v/>
      </c>
      <c r="X137" s="10" t="str">
        <f aca="false">IFERROR(1/(1/INDEX(PMTCT!$AS:$AS,MATCH($E137,PMTCT!$E:$E,0))),"")</f>
        <v/>
      </c>
      <c r="Y137" s="10" t="str">
        <f aca="false">IFERROR(1/(1/INDEX(VMMC!$AA:$AA,MATCH($E137,VMMC!$E:$E,0))),"")</f>
        <v/>
      </c>
      <c r="Z137" s="10" t="n">
        <f aca="false">IFERROR(1/(1/(SUM($U137)-SUM($V137:$Y137))),"")</f>
        <v>-6</v>
      </c>
    </row>
    <row r="138" customFormat="false" ht="15" hidden="false" customHeight="false" outlineLevel="0" collapsed="false">
      <c r="A138" s="0" t="str">
        <f aca="false">INDEX(Prioritization!$D:$D,MATCH($B138,Prioritization!$A:$A,0))</f>
        <v>1 - Scale-up: Saturation</v>
      </c>
      <c r="B138" s="0" t="s">
        <v>204</v>
      </c>
      <c r="C138" s="0" t="s">
        <v>364</v>
      </c>
      <c r="D138" s="0" t="s">
        <v>48</v>
      </c>
      <c r="E138" s="0" t="str">
        <f aca="false">B138&amp;"|"&amp;C138&amp;"|"&amp;D138</f>
        <v>Chitipa District [GkIwZrXy1h2]|10-14|Male</v>
      </c>
      <c r="F138" s="10" t="n">
        <v>0</v>
      </c>
      <c r="G138" s="88" t="n">
        <f aca="false">0</f>
        <v>0</v>
      </c>
      <c r="H138" s="39" t="str">
        <f aca="false">IF(SUM($F138)=0,"",ROUND($F138*(1+$G138),0))</f>
        <v/>
      </c>
      <c r="I138" s="10"/>
      <c r="J138" s="88"/>
      <c r="K138" s="88" t="str">
        <f aca="false">IF($J138="","",$J138)</f>
        <v/>
      </c>
      <c r="L138" s="88"/>
      <c r="M138" s="88" t="str">
        <f aca="false">IF($L138="","",$L138)</f>
        <v/>
      </c>
      <c r="N138" s="10" t="str">
        <f aca="false">$H138</f>
        <v/>
      </c>
      <c r="O138" s="39" t="str">
        <f aca="false">IF(SUM($N138)=0,"",IF(AND(SUM($N138)&gt;0,$K138=""),"ENTER KNOWN POSITIVITY RATE",ROUND($N138*$K138,0)))</f>
        <v/>
      </c>
      <c r="P138" s="39" t="str">
        <f aca="false">IF(SUM($N138)=0,"",IF(AND((SUM($N138)-SUM($O138))&gt;0,$M138=""),"ENTER YIELD RATE",ROUND(($N138-SUM($O138))*$M138,0)))</f>
        <v/>
      </c>
      <c r="Q138" s="39" t="str">
        <f aca="false">IF(SUM($N138)=0,"",$N138-SUM($O138)-SUM($P138))</f>
        <v/>
      </c>
      <c r="R138" s="88" t="str">
        <f aca="false">IF(SUM($P138)=0,"",INDEX(Cascade!$BG:$BG,MATCH($E138,Cascade!$E:$E,0)))</f>
        <v/>
      </c>
      <c r="S138" s="39" t="str">
        <f aca="false">$O138</f>
        <v/>
      </c>
      <c r="T138" s="39" t="str">
        <f aca="false">IF(SUM($P138)=0,"",IF(AND($R138="",SUM($P138)&gt;0),"&lt;- Enter Linkage Rate",ROUND($P138*$R138,0)))</f>
        <v/>
      </c>
      <c r="U138" s="10" t="n">
        <f aca="false">IFERROR(1/(1/INDEX(Cascade!$BH:$BH,MATCH($E138,Cascade!$E:$E,0))),"")</f>
        <v>-85</v>
      </c>
      <c r="V138" s="10" t="str">
        <f aca="false">IF(SUM($P138)=0,"",$P138)</f>
        <v/>
      </c>
      <c r="W138" s="10" t="str">
        <f aca="false">IFERROR(1/(1/INDEX(PMTCT!$AC:$AC,MATCH($E138,PMTCT!$E:$E,0))),"")</f>
        <v/>
      </c>
      <c r="X138" s="10" t="str">
        <f aca="false">IFERROR(1/(1/INDEX(PMTCT!$AS:$AS,MATCH($E138,PMTCT!$E:$E,0))),"")</f>
        <v/>
      </c>
      <c r="Y138" s="10" t="str">
        <f aca="false">IFERROR(1/(1/INDEX(VMMC!$AA:$AA,MATCH($E138,VMMC!$E:$E,0))),"")</f>
        <v/>
      </c>
      <c r="Z138" s="10" t="n">
        <f aca="false">IFERROR(1/(1/(SUM($U138)-SUM($V138:$Y138))),"")</f>
        <v>-85</v>
      </c>
    </row>
    <row r="139" customFormat="false" ht="15" hidden="false" customHeight="false" outlineLevel="0" collapsed="false">
      <c r="A139" s="0" t="str">
        <f aca="false">INDEX(Prioritization!$D:$D,MATCH($B139,Prioritization!$A:$A,0))</f>
        <v>1 - Scale-up: Saturation</v>
      </c>
      <c r="B139" s="0" t="s">
        <v>204</v>
      </c>
      <c r="C139" s="0" t="s">
        <v>365</v>
      </c>
      <c r="D139" s="0" t="s">
        <v>30</v>
      </c>
      <c r="E139" s="0" t="str">
        <f aca="false">B139&amp;"|"&amp;C139&amp;"|"&amp;D139</f>
        <v>Chitipa District [GkIwZrXy1h2]|15-24|Female</v>
      </c>
      <c r="F139" s="10"/>
      <c r="G139" s="88" t="n">
        <f aca="false">0</f>
        <v>0</v>
      </c>
      <c r="H139" s="39" t="str">
        <f aca="false">IF(SUM($F139)=0,"",ROUND($F139*(1+$G139),0))</f>
        <v/>
      </c>
      <c r="I139" s="10"/>
      <c r="J139" s="88"/>
      <c r="K139" s="88" t="str">
        <f aca="false">IF($J139="","",$J139)</f>
        <v/>
      </c>
      <c r="L139" s="88"/>
      <c r="M139" s="88" t="str">
        <f aca="false">IF($L139="","",$L139)</f>
        <v/>
      </c>
      <c r="N139" s="10" t="str">
        <f aca="false">$H139</f>
        <v/>
      </c>
      <c r="O139" s="39" t="str">
        <f aca="false">IF(SUM($N139)=0,"",IF(AND(SUM($N139)&gt;0,$K139=""),"ENTER KNOWN POSITIVITY RATE",ROUND($N139*$K139,0)))</f>
        <v/>
      </c>
      <c r="P139" s="39" t="str">
        <f aca="false">IF(SUM($N139)=0,"",IF(AND((SUM($N139)-SUM($O139))&gt;0,$M139=""),"ENTER YIELD RATE",ROUND(($N139-SUM($O139))*$M139,0)))</f>
        <v/>
      </c>
      <c r="Q139" s="39" t="str">
        <f aca="false">IF(SUM($N139)=0,"",$N139-SUM($O139)-SUM($P139))</f>
        <v/>
      </c>
      <c r="R139" s="88" t="str">
        <f aca="false">IF(SUM($P139)=0,"",INDEX(Cascade!$BG:$BG,MATCH($E139,Cascade!$E:$E,0)))</f>
        <v/>
      </c>
      <c r="S139" s="39" t="str">
        <f aca="false">$O139</f>
        <v/>
      </c>
      <c r="T139" s="39" t="str">
        <f aca="false">IF(SUM($P139)=0,"",IF(AND($R139="",SUM($P139)&gt;0),"&lt;- Enter Linkage Rate",ROUND($P139*$R139,0)))</f>
        <v/>
      </c>
      <c r="U139" s="10" t="str">
        <f aca="false">IFERROR(1/(1/INDEX(Cascade!$BH:$BH,MATCH($E139,Cascade!$E:$E,0))),"")</f>
        <v/>
      </c>
      <c r="V139" s="10" t="str">
        <f aca="false">IF(SUM($P139)=0,"",$P139)</f>
        <v/>
      </c>
      <c r="W139" s="10" t="str">
        <f aca="false">IFERROR(1/(1/INDEX(PMTCT!$AC:$AC,MATCH($E139,PMTCT!$E:$E,0))),"")</f>
        <v/>
      </c>
      <c r="X139" s="10" t="str">
        <f aca="false">IFERROR(1/(1/INDEX(PMTCT!$AS:$AS,MATCH($E139,PMTCT!$E:$E,0))),"")</f>
        <v/>
      </c>
      <c r="Y139" s="10" t="str">
        <f aca="false">IFERROR(1/(1/INDEX(VMMC!$AA:$AA,MATCH($E139,VMMC!$E:$E,0))),"")</f>
        <v/>
      </c>
      <c r="Z139" s="10" t="str">
        <f aca="false">IFERROR(1/(1/(SUM($U139)-SUM($V139:$Y139))),"")</f>
        <v/>
      </c>
    </row>
    <row r="140" customFormat="false" ht="15" hidden="false" customHeight="false" outlineLevel="0" collapsed="false">
      <c r="A140" s="0" t="str">
        <f aca="false">INDEX(Prioritization!$D:$D,MATCH($B140,Prioritization!$A:$A,0))</f>
        <v>1 - Scale-up: Saturation</v>
      </c>
      <c r="B140" s="0" t="s">
        <v>204</v>
      </c>
      <c r="C140" s="0" t="s">
        <v>365</v>
      </c>
      <c r="D140" s="0" t="s">
        <v>48</v>
      </c>
      <c r="E140" s="0" t="str">
        <f aca="false">B140&amp;"|"&amp;C140&amp;"|"&amp;D140</f>
        <v>Chitipa District [GkIwZrXy1h2]|15-24|Male</v>
      </c>
      <c r="F140" s="10"/>
      <c r="G140" s="88" t="n">
        <f aca="false">0</f>
        <v>0</v>
      </c>
      <c r="H140" s="39" t="str">
        <f aca="false">IF(SUM($F140)=0,"",ROUND($F140*(1+$G140),0))</f>
        <v/>
      </c>
      <c r="I140" s="10"/>
      <c r="J140" s="88"/>
      <c r="K140" s="88" t="str">
        <f aca="false">IF($J140="","",$J140)</f>
        <v/>
      </c>
      <c r="L140" s="88"/>
      <c r="M140" s="88" t="str">
        <f aca="false">IF($L140="","",$L140)</f>
        <v/>
      </c>
      <c r="N140" s="10" t="str">
        <f aca="false">$H140</f>
        <v/>
      </c>
      <c r="O140" s="39" t="str">
        <f aca="false">IF(SUM($N140)=0,"",IF(AND(SUM($N140)&gt;0,$K140=""),"ENTER KNOWN POSITIVITY RATE",ROUND($N140*$K140,0)))</f>
        <v/>
      </c>
      <c r="P140" s="39" t="str">
        <f aca="false">IF(SUM($N140)=0,"",IF(AND((SUM($N140)-SUM($O140))&gt;0,$M140=""),"ENTER YIELD RATE",ROUND(($N140-SUM($O140))*$M140,0)))</f>
        <v/>
      </c>
      <c r="Q140" s="39" t="str">
        <f aca="false">IF(SUM($N140)=0,"",$N140-SUM($O140)-SUM($P140))</f>
        <v/>
      </c>
      <c r="R140" s="88" t="str">
        <f aca="false">IF(SUM($P140)=0,"",INDEX(Cascade!$BG:$BG,MATCH($E140,Cascade!$E:$E,0)))</f>
        <v/>
      </c>
      <c r="S140" s="39" t="str">
        <f aca="false">$O140</f>
        <v/>
      </c>
      <c r="T140" s="39" t="str">
        <f aca="false">IF(SUM($P140)=0,"",IF(AND($R140="",SUM($P140)&gt;0),"&lt;- Enter Linkage Rate",ROUND($P140*$R140,0)))</f>
        <v/>
      </c>
      <c r="U140" s="10" t="str">
        <f aca="false">IFERROR(1/(1/INDEX(Cascade!$BH:$BH,MATCH($E140,Cascade!$E:$E,0))),"")</f>
        <v/>
      </c>
      <c r="V140" s="10" t="str">
        <f aca="false">IF(SUM($P140)=0,"",$P140)</f>
        <v/>
      </c>
      <c r="W140" s="10" t="str">
        <f aca="false">IFERROR(1/(1/INDEX(PMTCT!$AC:$AC,MATCH($E140,PMTCT!$E:$E,0))),"")</f>
        <v/>
      </c>
      <c r="X140" s="10" t="str">
        <f aca="false">IFERROR(1/(1/INDEX(PMTCT!$AS:$AS,MATCH($E140,PMTCT!$E:$E,0))),"")</f>
        <v/>
      </c>
      <c r="Y140" s="10" t="str">
        <f aca="false">IFERROR(1/(1/INDEX(VMMC!$AA:$AA,MATCH($E140,VMMC!$E:$E,0))),"")</f>
        <v/>
      </c>
      <c r="Z140" s="10" t="str">
        <f aca="false">IFERROR(1/(1/(SUM($U140)-SUM($V140:$Y140))),"")</f>
        <v/>
      </c>
    </row>
    <row r="141" customFormat="false" ht="15" hidden="false" customHeight="false" outlineLevel="0" collapsed="false">
      <c r="A141" s="0" t="str">
        <f aca="false">INDEX(Prioritization!$D:$D,MATCH($B141,Prioritization!$A:$A,0))</f>
        <v>1 - Scale-up: Saturation</v>
      </c>
      <c r="B141" s="0" t="s">
        <v>204</v>
      </c>
      <c r="C141" s="0" t="s">
        <v>366</v>
      </c>
      <c r="D141" s="0" t="s">
        <v>30</v>
      </c>
      <c r="E141" s="0" t="str">
        <f aca="false">B141&amp;"|"&amp;C141&amp;"|"&amp;D141</f>
        <v>Chitipa District [GkIwZrXy1h2]|25-34|Female</v>
      </c>
      <c r="F141" s="10"/>
      <c r="G141" s="88" t="n">
        <f aca="false">0</f>
        <v>0</v>
      </c>
      <c r="H141" s="39" t="str">
        <f aca="false">IF(SUM($F141)=0,"",ROUND($F141*(1+$G141),0))</f>
        <v/>
      </c>
      <c r="I141" s="10"/>
      <c r="J141" s="88"/>
      <c r="K141" s="88" t="str">
        <f aca="false">IF($J141="","",$J141)</f>
        <v/>
      </c>
      <c r="L141" s="88"/>
      <c r="M141" s="88" t="str">
        <f aca="false">IF($L141="","",$L141)</f>
        <v/>
      </c>
      <c r="N141" s="10" t="str">
        <f aca="false">$H141</f>
        <v/>
      </c>
      <c r="O141" s="39" t="str">
        <f aca="false">IF(SUM($N141)=0,"",IF(AND(SUM($N141)&gt;0,$K141=""),"ENTER KNOWN POSITIVITY RATE",ROUND($N141*$K141,0)))</f>
        <v/>
      </c>
      <c r="P141" s="39" t="str">
        <f aca="false">IF(SUM($N141)=0,"",IF(AND((SUM($N141)-SUM($O141))&gt;0,$M141=""),"ENTER YIELD RATE",ROUND(($N141-SUM($O141))*$M141,0)))</f>
        <v/>
      </c>
      <c r="Q141" s="39" t="str">
        <f aca="false">IF(SUM($N141)=0,"",$N141-SUM($O141)-SUM($P141))</f>
        <v/>
      </c>
      <c r="R141" s="88" t="str">
        <f aca="false">IF(SUM($P141)=0,"",INDEX(Cascade!$BG:$BG,MATCH($E141,Cascade!$E:$E,0)))</f>
        <v/>
      </c>
      <c r="S141" s="39" t="str">
        <f aca="false">$O141</f>
        <v/>
      </c>
      <c r="T141" s="39" t="str">
        <f aca="false">IF(SUM($P141)=0,"",IF(AND($R141="",SUM($P141)&gt;0),"&lt;- Enter Linkage Rate",ROUND($P141*$R141,0)))</f>
        <v/>
      </c>
      <c r="U141" s="10" t="str">
        <f aca="false">IFERROR(1/(1/INDEX(Cascade!$BH:$BH,MATCH($E141,Cascade!$E:$E,0))),"")</f>
        <v/>
      </c>
      <c r="V141" s="10" t="str">
        <f aca="false">IF(SUM($P141)=0,"",$P141)</f>
        <v/>
      </c>
      <c r="W141" s="10" t="str">
        <f aca="false">IFERROR(1/(1/INDEX(PMTCT!$AC:$AC,MATCH($E141,PMTCT!$E:$E,0))),"")</f>
        <v/>
      </c>
      <c r="X141" s="10" t="str">
        <f aca="false">IFERROR(1/(1/INDEX(PMTCT!$AS:$AS,MATCH($E141,PMTCT!$E:$E,0))),"")</f>
        <v/>
      </c>
      <c r="Y141" s="10" t="str">
        <f aca="false">IFERROR(1/(1/INDEX(VMMC!$AA:$AA,MATCH($E141,VMMC!$E:$E,0))),"")</f>
        <v/>
      </c>
      <c r="Z141" s="10" t="str">
        <f aca="false">IFERROR(1/(1/(SUM($U141)-SUM($V141:$Y141))),"")</f>
        <v/>
      </c>
    </row>
    <row r="142" customFormat="false" ht="15" hidden="false" customHeight="false" outlineLevel="0" collapsed="false">
      <c r="A142" s="0" t="str">
        <f aca="false">INDEX(Prioritization!$D:$D,MATCH($B142,Prioritization!$A:$A,0))</f>
        <v>1 - Scale-up: Saturation</v>
      </c>
      <c r="B142" s="0" t="s">
        <v>204</v>
      </c>
      <c r="C142" s="0" t="s">
        <v>366</v>
      </c>
      <c r="D142" s="0" t="s">
        <v>48</v>
      </c>
      <c r="E142" s="0" t="str">
        <f aca="false">B142&amp;"|"&amp;C142&amp;"|"&amp;D142</f>
        <v>Chitipa District [GkIwZrXy1h2]|25-34|Male</v>
      </c>
      <c r="F142" s="10"/>
      <c r="G142" s="88" t="n">
        <f aca="false">0</f>
        <v>0</v>
      </c>
      <c r="H142" s="39" t="str">
        <f aca="false">IF(SUM($F142)=0,"",ROUND($F142*(1+$G142),0))</f>
        <v/>
      </c>
      <c r="I142" s="10"/>
      <c r="J142" s="88"/>
      <c r="K142" s="88" t="str">
        <f aca="false">IF($J142="","",$J142)</f>
        <v/>
      </c>
      <c r="L142" s="88"/>
      <c r="M142" s="88" t="str">
        <f aca="false">IF($L142="","",$L142)</f>
        <v/>
      </c>
      <c r="N142" s="10" t="str">
        <f aca="false">$H142</f>
        <v/>
      </c>
      <c r="O142" s="39" t="str">
        <f aca="false">IF(SUM($N142)=0,"",IF(AND(SUM($N142)&gt;0,$K142=""),"ENTER KNOWN POSITIVITY RATE",ROUND($N142*$K142,0)))</f>
        <v/>
      </c>
      <c r="P142" s="39" t="str">
        <f aca="false">IF(SUM($N142)=0,"",IF(AND((SUM($N142)-SUM($O142))&gt;0,$M142=""),"ENTER YIELD RATE",ROUND(($N142-SUM($O142))*$M142,0)))</f>
        <v/>
      </c>
      <c r="Q142" s="39" t="str">
        <f aca="false">IF(SUM($N142)=0,"",$N142-SUM($O142)-SUM($P142))</f>
        <v/>
      </c>
      <c r="R142" s="88" t="str">
        <f aca="false">IF(SUM($P142)=0,"",INDEX(Cascade!$BG:$BG,MATCH($E142,Cascade!$E:$E,0)))</f>
        <v/>
      </c>
      <c r="S142" s="39" t="str">
        <f aca="false">$O142</f>
        <v/>
      </c>
      <c r="T142" s="39" t="str">
        <f aca="false">IF(SUM($P142)=0,"",IF(AND($R142="",SUM($P142)&gt;0),"&lt;- Enter Linkage Rate",ROUND($P142*$R142,0)))</f>
        <v/>
      </c>
      <c r="U142" s="10" t="str">
        <f aca="false">IFERROR(1/(1/INDEX(Cascade!$BH:$BH,MATCH($E142,Cascade!$E:$E,0))),"")</f>
        <v/>
      </c>
      <c r="V142" s="10" t="str">
        <f aca="false">IF(SUM($P142)=0,"",$P142)</f>
        <v/>
      </c>
      <c r="W142" s="10" t="str">
        <f aca="false">IFERROR(1/(1/INDEX(PMTCT!$AC:$AC,MATCH($E142,PMTCT!$E:$E,0))),"")</f>
        <v/>
      </c>
      <c r="X142" s="10" t="str">
        <f aca="false">IFERROR(1/(1/INDEX(PMTCT!$AS:$AS,MATCH($E142,PMTCT!$E:$E,0))),"")</f>
        <v/>
      </c>
      <c r="Y142" s="10" t="str">
        <f aca="false">IFERROR(1/(1/INDEX(VMMC!$AA:$AA,MATCH($E142,VMMC!$E:$E,0))),"")</f>
        <v/>
      </c>
      <c r="Z142" s="10" t="str">
        <f aca="false">IFERROR(1/(1/(SUM($U142)-SUM($V142:$Y142))),"")</f>
        <v/>
      </c>
    </row>
    <row r="143" customFormat="false" ht="15" hidden="false" customHeight="false" outlineLevel="0" collapsed="false">
      <c r="A143" s="0" t="str">
        <f aca="false">INDEX(Prioritization!$D:$D,MATCH($B143,Prioritization!$A:$A,0))</f>
        <v>1 - Scale-up: Saturation</v>
      </c>
      <c r="B143" s="0" t="s">
        <v>204</v>
      </c>
      <c r="C143" s="0" t="s">
        <v>367</v>
      </c>
      <c r="D143" s="0" t="s">
        <v>30</v>
      </c>
      <c r="E143" s="0" t="str">
        <f aca="false">B143&amp;"|"&amp;C143&amp;"|"&amp;D143</f>
        <v>Chitipa District [GkIwZrXy1h2]|35-49|Female</v>
      </c>
      <c r="F143" s="10"/>
      <c r="G143" s="88" t="n">
        <f aca="false">0</f>
        <v>0</v>
      </c>
      <c r="H143" s="39" t="str">
        <f aca="false">IF(SUM($F143)=0,"",ROUND($F143*(1+$G143),0))</f>
        <v/>
      </c>
      <c r="I143" s="10"/>
      <c r="J143" s="88"/>
      <c r="K143" s="88" t="str">
        <f aca="false">IF($J143="","",$J143)</f>
        <v/>
      </c>
      <c r="L143" s="88"/>
      <c r="M143" s="88" t="str">
        <f aca="false">IF($L143="","",$L143)</f>
        <v/>
      </c>
      <c r="N143" s="10" t="str">
        <f aca="false">$H143</f>
        <v/>
      </c>
      <c r="O143" s="39" t="str">
        <f aca="false">IF(SUM($N143)=0,"",IF(AND(SUM($N143)&gt;0,$K143=""),"ENTER KNOWN POSITIVITY RATE",ROUND($N143*$K143,0)))</f>
        <v/>
      </c>
      <c r="P143" s="39" t="str">
        <f aca="false">IF(SUM($N143)=0,"",IF(AND((SUM($N143)-SUM($O143))&gt;0,$M143=""),"ENTER YIELD RATE",ROUND(($N143-SUM($O143))*$M143,0)))</f>
        <v/>
      </c>
      <c r="Q143" s="39" t="str">
        <f aca="false">IF(SUM($N143)=0,"",$N143-SUM($O143)-SUM($P143))</f>
        <v/>
      </c>
      <c r="R143" s="88" t="str">
        <f aca="false">IF(SUM($P143)=0,"",INDEX(Cascade!$BG:$BG,MATCH($E143,Cascade!$E:$E,0)))</f>
        <v/>
      </c>
      <c r="S143" s="39" t="str">
        <f aca="false">$O143</f>
        <v/>
      </c>
      <c r="T143" s="39" t="str">
        <f aca="false">IF(SUM($P143)=0,"",IF(AND($R143="",SUM($P143)&gt;0),"&lt;- Enter Linkage Rate",ROUND($P143*$R143,0)))</f>
        <v/>
      </c>
      <c r="U143" s="10" t="str">
        <f aca="false">IFERROR(1/(1/INDEX(Cascade!$BH:$BH,MATCH($E143,Cascade!$E:$E,0))),"")</f>
        <v/>
      </c>
      <c r="V143" s="10" t="str">
        <f aca="false">IF(SUM($P143)=0,"",$P143)</f>
        <v/>
      </c>
      <c r="W143" s="10" t="str">
        <f aca="false">IFERROR(1/(1/INDEX(PMTCT!$AC:$AC,MATCH($E143,PMTCT!$E:$E,0))),"")</f>
        <v/>
      </c>
      <c r="X143" s="10" t="str">
        <f aca="false">IFERROR(1/(1/INDEX(PMTCT!$AS:$AS,MATCH($E143,PMTCT!$E:$E,0))),"")</f>
        <v/>
      </c>
      <c r="Y143" s="10" t="str">
        <f aca="false">IFERROR(1/(1/INDEX(VMMC!$AA:$AA,MATCH($E143,VMMC!$E:$E,0))),"")</f>
        <v/>
      </c>
      <c r="Z143" s="10" t="str">
        <f aca="false">IFERROR(1/(1/(SUM($U143)-SUM($V143:$Y143))),"")</f>
        <v/>
      </c>
    </row>
    <row r="144" customFormat="false" ht="15" hidden="false" customHeight="false" outlineLevel="0" collapsed="false">
      <c r="A144" s="0" t="str">
        <f aca="false">INDEX(Prioritization!$D:$D,MATCH($B144,Prioritization!$A:$A,0))</f>
        <v>1 - Scale-up: Saturation</v>
      </c>
      <c r="B144" s="0" t="s">
        <v>204</v>
      </c>
      <c r="C144" s="0" t="s">
        <v>367</v>
      </c>
      <c r="D144" s="0" t="s">
        <v>48</v>
      </c>
      <c r="E144" s="0" t="str">
        <f aca="false">B144&amp;"|"&amp;C144&amp;"|"&amp;D144</f>
        <v>Chitipa District [GkIwZrXy1h2]|35-49|Male</v>
      </c>
      <c r="F144" s="10"/>
      <c r="G144" s="88" t="n">
        <f aca="false">0</f>
        <v>0</v>
      </c>
      <c r="H144" s="39" t="str">
        <f aca="false">IF(SUM($F144)=0,"",ROUND($F144*(1+$G144),0))</f>
        <v/>
      </c>
      <c r="I144" s="10"/>
      <c r="J144" s="88"/>
      <c r="K144" s="88" t="str">
        <f aca="false">IF($J144="","",$J144)</f>
        <v/>
      </c>
      <c r="L144" s="88"/>
      <c r="M144" s="88" t="str">
        <f aca="false">IF($L144="","",$L144)</f>
        <v/>
      </c>
      <c r="N144" s="10" t="str">
        <f aca="false">$H144</f>
        <v/>
      </c>
      <c r="O144" s="39" t="str">
        <f aca="false">IF(SUM($N144)=0,"",IF(AND(SUM($N144)&gt;0,$K144=""),"ENTER KNOWN POSITIVITY RATE",ROUND($N144*$K144,0)))</f>
        <v/>
      </c>
      <c r="P144" s="39" t="str">
        <f aca="false">IF(SUM($N144)=0,"",IF(AND((SUM($N144)-SUM($O144))&gt;0,$M144=""),"ENTER YIELD RATE",ROUND(($N144-SUM($O144))*$M144,0)))</f>
        <v/>
      </c>
      <c r="Q144" s="39" t="str">
        <f aca="false">IF(SUM($N144)=0,"",$N144-SUM($O144)-SUM($P144))</f>
        <v/>
      </c>
      <c r="R144" s="88" t="str">
        <f aca="false">IF(SUM($P144)=0,"",INDEX(Cascade!$BG:$BG,MATCH($E144,Cascade!$E:$E,0)))</f>
        <v/>
      </c>
      <c r="S144" s="39" t="str">
        <f aca="false">$O144</f>
        <v/>
      </c>
      <c r="T144" s="39" t="str">
        <f aca="false">IF(SUM($P144)=0,"",IF(AND($R144="",SUM($P144)&gt;0),"&lt;- Enter Linkage Rate",ROUND($P144*$R144,0)))</f>
        <v/>
      </c>
      <c r="U144" s="10" t="str">
        <f aca="false">IFERROR(1/(1/INDEX(Cascade!$BH:$BH,MATCH($E144,Cascade!$E:$E,0))),"")</f>
        <v/>
      </c>
      <c r="V144" s="10" t="str">
        <f aca="false">IF(SUM($P144)=0,"",$P144)</f>
        <v/>
      </c>
      <c r="W144" s="10" t="str">
        <f aca="false">IFERROR(1/(1/INDEX(PMTCT!$AC:$AC,MATCH($E144,PMTCT!$E:$E,0))),"")</f>
        <v/>
      </c>
      <c r="X144" s="10" t="str">
        <f aca="false">IFERROR(1/(1/INDEX(PMTCT!$AS:$AS,MATCH($E144,PMTCT!$E:$E,0))),"")</f>
        <v/>
      </c>
      <c r="Y144" s="10" t="str">
        <f aca="false">IFERROR(1/(1/INDEX(VMMC!$AA:$AA,MATCH($E144,VMMC!$E:$E,0))),"")</f>
        <v/>
      </c>
      <c r="Z144" s="10" t="str">
        <f aca="false">IFERROR(1/(1/(SUM($U144)-SUM($V144:$Y144))),"")</f>
        <v/>
      </c>
    </row>
    <row r="145" customFormat="false" ht="15" hidden="false" customHeight="false" outlineLevel="0" collapsed="false">
      <c r="A145" s="0" t="str">
        <f aca="false">INDEX(Prioritization!$D:$D,MATCH($B145,Prioritization!$A:$A,0))</f>
        <v>1 - Scale-up: Saturation</v>
      </c>
      <c r="B145" s="0" t="s">
        <v>204</v>
      </c>
      <c r="C145" s="0" t="s">
        <v>368</v>
      </c>
      <c r="D145" s="0" t="s">
        <v>30</v>
      </c>
      <c r="E145" s="0" t="str">
        <f aca="false">B145&amp;"|"&amp;C145&amp;"|"&amp;D145</f>
        <v>Chitipa District [GkIwZrXy1h2]|50+|Female</v>
      </c>
      <c r="F145" s="10"/>
      <c r="G145" s="88" t="n">
        <f aca="false">0</f>
        <v>0</v>
      </c>
      <c r="H145" s="39" t="str">
        <f aca="false">IF(SUM($F145)=0,"",ROUND($F145*(1+$G145),0))</f>
        <v/>
      </c>
      <c r="I145" s="10"/>
      <c r="J145" s="88"/>
      <c r="K145" s="88" t="str">
        <f aca="false">IF($J145="","",$J145)</f>
        <v/>
      </c>
      <c r="L145" s="88"/>
      <c r="M145" s="88" t="str">
        <f aca="false">IF($L145="","",$L145)</f>
        <v/>
      </c>
      <c r="N145" s="10" t="str">
        <f aca="false">$H145</f>
        <v/>
      </c>
      <c r="O145" s="39" t="str">
        <f aca="false">IF(SUM($N145)=0,"",IF(AND(SUM($N145)&gt;0,$K145=""),"ENTER KNOWN POSITIVITY RATE",ROUND($N145*$K145,0)))</f>
        <v/>
      </c>
      <c r="P145" s="39" t="str">
        <f aca="false">IF(SUM($N145)=0,"",IF(AND((SUM($N145)-SUM($O145))&gt;0,$M145=""),"ENTER YIELD RATE",ROUND(($N145-SUM($O145))*$M145,0)))</f>
        <v/>
      </c>
      <c r="Q145" s="39" t="str">
        <f aca="false">IF(SUM($N145)=0,"",$N145-SUM($O145)-SUM($P145))</f>
        <v/>
      </c>
      <c r="R145" s="88" t="str">
        <f aca="false">IF(SUM($P145)=0,"",INDEX(Cascade!$BG:$BG,MATCH($E145,Cascade!$E:$E,0)))</f>
        <v/>
      </c>
      <c r="S145" s="39" t="str">
        <f aca="false">$O145</f>
        <v/>
      </c>
      <c r="T145" s="39" t="str">
        <f aca="false">IF(SUM($P145)=0,"",IF(AND($R145="",SUM($P145)&gt;0),"&lt;- Enter Linkage Rate",ROUND($P145*$R145,0)))</f>
        <v/>
      </c>
      <c r="U145" s="10" t="str">
        <f aca="false">IFERROR(1/(1/INDEX(Cascade!$BH:$BH,MATCH($E145,Cascade!$E:$E,0))),"")</f>
        <v/>
      </c>
      <c r="V145" s="10" t="str">
        <f aca="false">IF(SUM($P145)=0,"",$P145)</f>
        <v/>
      </c>
      <c r="W145" s="10" t="str">
        <f aca="false">IFERROR(1/(1/INDEX(PMTCT!$AC:$AC,MATCH($E145,PMTCT!$E:$E,0))),"")</f>
        <v/>
      </c>
      <c r="X145" s="10" t="str">
        <f aca="false">IFERROR(1/(1/INDEX(PMTCT!$AS:$AS,MATCH($E145,PMTCT!$E:$E,0))),"")</f>
        <v/>
      </c>
      <c r="Y145" s="10" t="str">
        <f aca="false">IFERROR(1/(1/INDEX(VMMC!$AA:$AA,MATCH($E145,VMMC!$E:$E,0))),"")</f>
        <v/>
      </c>
      <c r="Z145" s="10" t="str">
        <f aca="false">IFERROR(1/(1/(SUM($U145)-SUM($V145:$Y145))),"")</f>
        <v/>
      </c>
    </row>
    <row r="146" customFormat="false" ht="15" hidden="false" customHeight="false" outlineLevel="0" collapsed="false">
      <c r="A146" s="0" t="str">
        <f aca="false">INDEX(Prioritization!$D:$D,MATCH($B146,Prioritization!$A:$A,0))</f>
        <v>1 - Scale-up: Saturation</v>
      </c>
      <c r="B146" s="0" t="s">
        <v>204</v>
      </c>
      <c r="C146" s="0" t="s">
        <v>368</v>
      </c>
      <c r="D146" s="0" t="s">
        <v>48</v>
      </c>
      <c r="E146" s="0" t="str">
        <f aca="false">B146&amp;"|"&amp;C146&amp;"|"&amp;D146</f>
        <v>Chitipa District [GkIwZrXy1h2]|50+|Male</v>
      </c>
      <c r="F146" s="10"/>
      <c r="G146" s="88" t="n">
        <f aca="false">0</f>
        <v>0</v>
      </c>
      <c r="H146" s="39" t="str">
        <f aca="false">IF(SUM($F146)=0,"",ROUND($F146*(1+$G146),0))</f>
        <v/>
      </c>
      <c r="I146" s="10"/>
      <c r="J146" s="88"/>
      <c r="K146" s="88" t="str">
        <f aca="false">IF($J146="","",$J146)</f>
        <v/>
      </c>
      <c r="L146" s="88"/>
      <c r="M146" s="88" t="str">
        <f aca="false">IF($L146="","",$L146)</f>
        <v/>
      </c>
      <c r="N146" s="10" t="str">
        <f aca="false">$H146</f>
        <v/>
      </c>
      <c r="O146" s="39" t="str">
        <f aca="false">IF(SUM($N146)=0,"",IF(AND(SUM($N146)&gt;0,$K146=""),"ENTER KNOWN POSITIVITY RATE",ROUND($N146*$K146,0)))</f>
        <v/>
      </c>
      <c r="P146" s="39" t="str">
        <f aca="false">IF(SUM($N146)=0,"",IF(AND((SUM($N146)-SUM($O146))&gt;0,$M146=""),"ENTER YIELD RATE",ROUND(($N146-SUM($O146))*$M146,0)))</f>
        <v/>
      </c>
      <c r="Q146" s="39" t="str">
        <f aca="false">IF(SUM($N146)=0,"",$N146-SUM($O146)-SUM($P146))</f>
        <v/>
      </c>
      <c r="R146" s="88" t="str">
        <f aca="false">IF(SUM($P146)=0,"",INDEX(Cascade!$BG:$BG,MATCH($E146,Cascade!$E:$E,0)))</f>
        <v/>
      </c>
      <c r="S146" s="39" t="str">
        <f aca="false">$O146</f>
        <v/>
      </c>
      <c r="T146" s="39" t="str">
        <f aca="false">IF(SUM($P146)=0,"",IF(AND($R146="",SUM($P146)&gt;0),"&lt;- Enter Linkage Rate",ROUND($P146*$R146,0)))</f>
        <v/>
      </c>
      <c r="U146" s="10" t="str">
        <f aca="false">IFERROR(1/(1/INDEX(Cascade!$BH:$BH,MATCH($E146,Cascade!$E:$E,0))),"")</f>
        <v/>
      </c>
      <c r="V146" s="10" t="str">
        <f aca="false">IF(SUM($P146)=0,"",$P146)</f>
        <v/>
      </c>
      <c r="W146" s="10" t="str">
        <f aca="false">IFERROR(1/(1/INDEX(PMTCT!$AC:$AC,MATCH($E146,PMTCT!$E:$E,0))),"")</f>
        <v/>
      </c>
      <c r="X146" s="10" t="str">
        <f aca="false">IFERROR(1/(1/INDEX(PMTCT!$AS:$AS,MATCH($E146,PMTCT!$E:$E,0))),"")</f>
        <v/>
      </c>
      <c r="Y146" s="10" t="str">
        <f aca="false">IFERROR(1/(1/INDEX(VMMC!$AA:$AA,MATCH($E146,VMMC!$E:$E,0))),"")</f>
        <v/>
      </c>
      <c r="Z146" s="10" t="str">
        <f aca="false">IFERROR(1/(1/(SUM($U146)-SUM($V146:$Y146))),"")</f>
        <v/>
      </c>
    </row>
    <row r="147" customFormat="false" ht="15" hidden="false" customHeight="false" outlineLevel="0" collapsed="false">
      <c r="A147" s="0" t="str">
        <f aca="false">INDEX(Prioritization!$D:$D,MATCH($B147,Prioritization!$A:$A,0))</f>
        <v>INVALID</v>
      </c>
      <c r="B147" s="0" t="s">
        <v>205</v>
      </c>
      <c r="C147" s="0" t="s">
        <v>363</v>
      </c>
      <c r="D147" s="0" t="s">
        <v>30</v>
      </c>
      <c r="E147" s="0" t="str">
        <f aca="false">B147&amp;"|"&amp;C147&amp;"|"&amp;D147</f>
        <v>Karonga District [cPtvxaZqXIH]|01-09|Female</v>
      </c>
      <c r="F147" s="10"/>
      <c r="G147" s="88" t="n">
        <f aca="false">0</f>
        <v>0</v>
      </c>
      <c r="H147" s="39" t="str">
        <f aca="false">IF(SUM($F147)=0,"",ROUND($F147*(1+$G147),0))</f>
        <v/>
      </c>
      <c r="I147" s="10"/>
      <c r="J147" s="88"/>
      <c r="K147" s="88" t="str">
        <f aca="false">IF($J147="","",$J147)</f>
        <v/>
      </c>
      <c r="L147" s="88"/>
      <c r="M147" s="88" t="str">
        <f aca="false">IF($L147="","",$L147)</f>
        <v/>
      </c>
      <c r="N147" s="10" t="str">
        <f aca="false">$H147</f>
        <v/>
      </c>
      <c r="O147" s="39" t="str">
        <f aca="false">IF(SUM($N147)=0,"",IF(AND(SUM($N147)&gt;0,$K147=""),"ENTER KNOWN POSITIVITY RATE",ROUND($N147*$K147,0)))</f>
        <v/>
      </c>
      <c r="P147" s="39" t="str">
        <f aca="false">IF(SUM($N147)=0,"",IF(AND((SUM($N147)-SUM($O147))&gt;0,$M147=""),"ENTER YIELD RATE",ROUND(($N147-SUM($O147))*$M147,0)))</f>
        <v/>
      </c>
      <c r="Q147" s="39" t="str">
        <f aca="false">IF(SUM($N147)=0,"",$N147-SUM($O147)-SUM($P147))</f>
        <v/>
      </c>
      <c r="R147" s="88" t="str">
        <f aca="false">IF(SUM($P147)=0,"",INDEX(Cascade!$BG:$BG,MATCH($E147,Cascade!$E:$E,0)))</f>
        <v/>
      </c>
      <c r="S147" s="39" t="str">
        <f aca="false">$O147</f>
        <v/>
      </c>
      <c r="T147" s="39" t="str">
        <f aca="false">IF(SUM($P147)=0,"",IF(AND($R147="",SUM($P147)&gt;0),"&lt;- Enter Linkage Rate",ROUND($P147*$R147,0)))</f>
        <v/>
      </c>
      <c r="U147" s="10" t="str">
        <f aca="false">IFERROR(1/(1/INDEX(Cascade!$BH:$BH,MATCH($E147,Cascade!$E:$E,0))),"")</f>
        <v/>
      </c>
      <c r="V147" s="10" t="str">
        <f aca="false">IF(SUM($P147)=0,"",$P147)</f>
        <v/>
      </c>
      <c r="W147" s="10" t="str">
        <f aca="false">IFERROR(1/(1/INDEX(PMTCT!$AC:$AC,MATCH($E147,PMTCT!$E:$E,0))),"")</f>
        <v/>
      </c>
      <c r="X147" s="10" t="str">
        <f aca="false">IFERROR(1/(1/INDEX(PMTCT!$AS:$AS,MATCH($E147,PMTCT!$E:$E,0))),"")</f>
        <v/>
      </c>
      <c r="Y147" s="10" t="str">
        <f aca="false">IFERROR(1/(1/INDEX(VMMC!$AA:$AA,MATCH($E147,VMMC!$E:$E,0))),"")</f>
        <v/>
      </c>
      <c r="Z147" s="10" t="str">
        <f aca="false">IFERROR(1/(1/(SUM($U147)-SUM($V147:$Y147))),"")</f>
        <v/>
      </c>
    </row>
    <row r="148" customFormat="false" ht="15" hidden="false" customHeight="false" outlineLevel="0" collapsed="false">
      <c r="A148" s="0" t="str">
        <f aca="false">INDEX(Prioritization!$D:$D,MATCH($B148,Prioritization!$A:$A,0))</f>
        <v>INVALID</v>
      </c>
      <c r="B148" s="0" t="s">
        <v>205</v>
      </c>
      <c r="C148" s="0" t="s">
        <v>363</v>
      </c>
      <c r="D148" s="0" t="s">
        <v>48</v>
      </c>
      <c r="E148" s="0" t="str">
        <f aca="false">B148&amp;"|"&amp;C148&amp;"|"&amp;D148</f>
        <v>Karonga District [cPtvxaZqXIH]|01-09|Male</v>
      </c>
      <c r="F148" s="10"/>
      <c r="G148" s="88" t="n">
        <f aca="false">0</f>
        <v>0</v>
      </c>
      <c r="H148" s="39" t="str">
        <f aca="false">IF(SUM($F148)=0,"",ROUND($F148*(1+$G148),0))</f>
        <v/>
      </c>
      <c r="I148" s="10"/>
      <c r="J148" s="88"/>
      <c r="K148" s="88" t="str">
        <f aca="false">IF($J148="","",$J148)</f>
        <v/>
      </c>
      <c r="L148" s="88"/>
      <c r="M148" s="88" t="str">
        <f aca="false">IF($L148="","",$L148)</f>
        <v/>
      </c>
      <c r="N148" s="10" t="str">
        <f aca="false">$H148</f>
        <v/>
      </c>
      <c r="O148" s="39" t="str">
        <f aca="false">IF(SUM($N148)=0,"",IF(AND(SUM($N148)&gt;0,$K148=""),"ENTER KNOWN POSITIVITY RATE",ROUND($N148*$K148,0)))</f>
        <v/>
      </c>
      <c r="P148" s="39" t="str">
        <f aca="false">IF(SUM($N148)=0,"",IF(AND((SUM($N148)-SUM($O148))&gt;0,$M148=""),"ENTER YIELD RATE",ROUND(($N148-SUM($O148))*$M148,0)))</f>
        <v/>
      </c>
      <c r="Q148" s="39" t="str">
        <f aca="false">IF(SUM($N148)=0,"",$N148-SUM($O148)-SUM($P148))</f>
        <v/>
      </c>
      <c r="R148" s="88" t="str">
        <f aca="false">IF(SUM($P148)=0,"",INDEX(Cascade!$BG:$BG,MATCH($E148,Cascade!$E:$E,0)))</f>
        <v/>
      </c>
      <c r="S148" s="39" t="str">
        <f aca="false">$O148</f>
        <v/>
      </c>
      <c r="T148" s="39" t="str">
        <f aca="false">IF(SUM($P148)=0,"",IF(AND($R148="",SUM($P148)&gt;0),"&lt;- Enter Linkage Rate",ROUND($P148*$R148,0)))</f>
        <v/>
      </c>
      <c r="U148" s="10" t="str">
        <f aca="false">IFERROR(1/(1/INDEX(Cascade!$BH:$BH,MATCH($E148,Cascade!$E:$E,0))),"")</f>
        <v/>
      </c>
      <c r="V148" s="10" t="str">
        <f aca="false">IF(SUM($P148)=0,"",$P148)</f>
        <v/>
      </c>
      <c r="W148" s="10" t="str">
        <f aca="false">IFERROR(1/(1/INDEX(PMTCT!$AC:$AC,MATCH($E148,PMTCT!$E:$E,0))),"")</f>
        <v/>
      </c>
      <c r="X148" s="10" t="str">
        <f aca="false">IFERROR(1/(1/INDEX(PMTCT!$AS:$AS,MATCH($E148,PMTCT!$E:$E,0))),"")</f>
        <v/>
      </c>
      <c r="Y148" s="10" t="str">
        <f aca="false">IFERROR(1/(1/INDEX(VMMC!$AA:$AA,MATCH($E148,VMMC!$E:$E,0))),"")</f>
        <v/>
      </c>
      <c r="Z148" s="10" t="str">
        <f aca="false">IFERROR(1/(1/(SUM($U148)-SUM($V148:$Y148))),"")</f>
        <v/>
      </c>
    </row>
    <row r="149" customFormat="false" ht="15" hidden="false" customHeight="false" outlineLevel="0" collapsed="false">
      <c r="A149" s="0" t="str">
        <f aca="false">INDEX(Prioritization!$D:$D,MATCH($B149,Prioritization!$A:$A,0))</f>
        <v>INVALID</v>
      </c>
      <c r="B149" s="0" t="s">
        <v>205</v>
      </c>
      <c r="C149" s="0" t="s">
        <v>364</v>
      </c>
      <c r="D149" s="0" t="s">
        <v>30</v>
      </c>
      <c r="E149" s="0" t="str">
        <f aca="false">B149&amp;"|"&amp;C149&amp;"|"&amp;D149</f>
        <v>Karonga District [cPtvxaZqXIH]|10-14|Female</v>
      </c>
      <c r="F149" s="10" t="n">
        <v>1</v>
      </c>
      <c r="G149" s="88" t="n">
        <f aca="false">0</f>
        <v>0</v>
      </c>
      <c r="H149" s="39" t="n">
        <f aca="false">IF(SUM($F149)=0,"",ROUND($F149*(1+$G149),0))</f>
        <v>1</v>
      </c>
      <c r="I149" s="10"/>
      <c r="J149" s="88"/>
      <c r="K149" s="88" t="str">
        <f aca="false">IF($J149="","",$J149)</f>
        <v/>
      </c>
      <c r="L149" s="88"/>
      <c r="M149" s="88" t="str">
        <f aca="false">IF($L149="","",$L149)</f>
        <v/>
      </c>
      <c r="N149" s="10" t="n">
        <f aca="false">$H149</f>
        <v>1</v>
      </c>
      <c r="O149" s="39" t="str">
        <f aca="false">IF(SUM($N149)=0,"",IF(AND(SUM($N149)&gt;0,$K149=""),"ENTER KNOWN POSITIVITY RATE",ROUND($N149*$K149,0)))</f>
        <v>ENTER KNOWN POSITIVITY RATE</v>
      </c>
      <c r="P149" s="39" t="str">
        <f aca="false">IF(SUM($N149)=0,"",IF(AND((SUM($N149)-SUM($O149))&gt;0,$M149=""),"ENTER YIELD RATE",ROUND(($N149-SUM($O149))*$M149,0)))</f>
        <v>ENTER YIELD RATE</v>
      </c>
      <c r="Q149" s="39" t="n">
        <f aca="false">IF(SUM($N149)=0,"",$N149-SUM($O149)-SUM($P149))</f>
        <v>1</v>
      </c>
      <c r="R149" s="88" t="str">
        <f aca="false">IF(SUM($P149)=0,"",INDEX(Cascade!$BG:$BG,MATCH($E149,Cascade!$E:$E,0)))</f>
        <v/>
      </c>
      <c r="S149" s="39" t="str">
        <f aca="false">$O149</f>
        <v>ENTER KNOWN POSITIVITY RATE</v>
      </c>
      <c r="T149" s="39" t="str">
        <f aca="false">IF(SUM($P149)=0,"",IF(AND($R149="",SUM($P149)&gt;0),"&lt;- Enter Linkage Rate",ROUND($P149*$R149,0)))</f>
        <v/>
      </c>
      <c r="U149" s="10" t="n">
        <f aca="false">IFERROR(1/(1/INDEX(Cascade!$BH:$BH,MATCH($E149,Cascade!$E:$E,0))),"")</f>
        <v>-96</v>
      </c>
      <c r="V149" s="10" t="str">
        <f aca="false">IF(SUM($P149)=0,"",$P149)</f>
        <v/>
      </c>
      <c r="W149" s="10" t="str">
        <f aca="false">IFERROR(1/(1/INDEX(PMTCT!$AC:$AC,MATCH($E149,PMTCT!$E:$E,0))),"")</f>
        <v/>
      </c>
      <c r="X149" s="10" t="str">
        <f aca="false">IFERROR(1/(1/INDEX(PMTCT!$AS:$AS,MATCH($E149,PMTCT!$E:$E,0))),"")</f>
        <v/>
      </c>
      <c r="Y149" s="10" t="str">
        <f aca="false">IFERROR(1/(1/INDEX(VMMC!$AA:$AA,MATCH($E149,VMMC!$E:$E,0))),"")</f>
        <v/>
      </c>
      <c r="Z149" s="10" t="n">
        <f aca="false">IFERROR(1/(1/(SUM($U149)-SUM($V149:$Y149))),"")</f>
        <v>-96</v>
      </c>
    </row>
    <row r="150" customFormat="false" ht="15" hidden="false" customHeight="false" outlineLevel="0" collapsed="false">
      <c r="A150" s="0" t="str">
        <f aca="false">INDEX(Prioritization!$D:$D,MATCH($B150,Prioritization!$A:$A,0))</f>
        <v>INVALID</v>
      </c>
      <c r="B150" s="0" t="s">
        <v>205</v>
      </c>
      <c r="C150" s="0" t="s">
        <v>364</v>
      </c>
      <c r="D150" s="0" t="s">
        <v>48</v>
      </c>
      <c r="E150" s="0" t="str">
        <f aca="false">B150&amp;"|"&amp;C150&amp;"|"&amp;D150</f>
        <v>Karonga District [cPtvxaZqXIH]|10-14|Male</v>
      </c>
      <c r="F150" s="10" t="n">
        <v>1</v>
      </c>
      <c r="G150" s="88" t="n">
        <f aca="false">0</f>
        <v>0</v>
      </c>
      <c r="H150" s="39" t="n">
        <f aca="false">IF(SUM($F150)=0,"",ROUND($F150*(1+$G150),0))</f>
        <v>1</v>
      </c>
      <c r="I150" s="10"/>
      <c r="J150" s="88"/>
      <c r="K150" s="88" t="str">
        <f aca="false">IF($J150="","",$J150)</f>
        <v/>
      </c>
      <c r="L150" s="88"/>
      <c r="M150" s="88" t="str">
        <f aca="false">IF($L150="","",$L150)</f>
        <v/>
      </c>
      <c r="N150" s="10" t="n">
        <f aca="false">$H150</f>
        <v>1</v>
      </c>
      <c r="O150" s="39" t="str">
        <f aca="false">IF(SUM($N150)=0,"",IF(AND(SUM($N150)&gt;0,$K150=""),"ENTER KNOWN POSITIVITY RATE",ROUND($N150*$K150,0)))</f>
        <v>ENTER KNOWN POSITIVITY RATE</v>
      </c>
      <c r="P150" s="39" t="str">
        <f aca="false">IF(SUM($N150)=0,"",IF(AND((SUM($N150)-SUM($O150))&gt;0,$M150=""),"ENTER YIELD RATE",ROUND(($N150-SUM($O150))*$M150,0)))</f>
        <v>ENTER YIELD RATE</v>
      </c>
      <c r="Q150" s="39" t="n">
        <f aca="false">IF(SUM($N150)=0,"",$N150-SUM($O150)-SUM($P150))</f>
        <v>1</v>
      </c>
      <c r="R150" s="88" t="str">
        <f aca="false">IF(SUM($P150)=0,"",INDEX(Cascade!$BG:$BG,MATCH($E150,Cascade!$E:$E,0)))</f>
        <v/>
      </c>
      <c r="S150" s="39" t="str">
        <f aca="false">$O150</f>
        <v>ENTER KNOWN POSITIVITY RATE</v>
      </c>
      <c r="T150" s="39" t="str">
        <f aca="false">IF(SUM($P150)=0,"",IF(AND($R150="",SUM($P150)&gt;0),"&lt;- Enter Linkage Rate",ROUND($P150*$R150,0)))</f>
        <v/>
      </c>
      <c r="U150" s="10" t="n">
        <f aca="false">IFERROR(1/(1/INDEX(Cascade!$BH:$BH,MATCH($E150,Cascade!$E:$E,0))),"")</f>
        <v>-85</v>
      </c>
      <c r="V150" s="10" t="str">
        <f aca="false">IF(SUM($P150)=0,"",$P150)</f>
        <v/>
      </c>
      <c r="W150" s="10" t="str">
        <f aca="false">IFERROR(1/(1/INDEX(PMTCT!$AC:$AC,MATCH($E150,PMTCT!$E:$E,0))),"")</f>
        <v/>
      </c>
      <c r="X150" s="10" t="str">
        <f aca="false">IFERROR(1/(1/INDEX(PMTCT!$AS:$AS,MATCH($E150,PMTCT!$E:$E,0))),"")</f>
        <v/>
      </c>
      <c r="Y150" s="10" t="str">
        <f aca="false">IFERROR(1/(1/INDEX(VMMC!$AA:$AA,MATCH($E150,VMMC!$E:$E,0))),"")</f>
        <v/>
      </c>
      <c r="Z150" s="10" t="n">
        <f aca="false">IFERROR(1/(1/(SUM($U150)-SUM($V150:$Y150))),"")</f>
        <v>-85</v>
      </c>
    </row>
    <row r="151" customFormat="false" ht="15" hidden="false" customHeight="false" outlineLevel="0" collapsed="false">
      <c r="A151" s="0" t="str">
        <f aca="false">INDEX(Prioritization!$D:$D,MATCH($B151,Prioritization!$A:$A,0))</f>
        <v>INVALID</v>
      </c>
      <c r="B151" s="0" t="s">
        <v>205</v>
      </c>
      <c r="C151" s="0" t="s">
        <v>365</v>
      </c>
      <c r="D151" s="0" t="s">
        <v>30</v>
      </c>
      <c r="E151" s="0" t="str">
        <f aca="false">B151&amp;"|"&amp;C151&amp;"|"&amp;D151</f>
        <v>Karonga District [cPtvxaZqXIH]|15-24|Female</v>
      </c>
      <c r="F151" s="10"/>
      <c r="G151" s="88" t="n">
        <f aca="false">0</f>
        <v>0</v>
      </c>
      <c r="H151" s="39" t="str">
        <f aca="false">IF(SUM($F151)=0,"",ROUND($F151*(1+$G151),0))</f>
        <v/>
      </c>
      <c r="I151" s="10"/>
      <c r="J151" s="88"/>
      <c r="K151" s="88" t="str">
        <f aca="false">IF($J151="","",$J151)</f>
        <v/>
      </c>
      <c r="L151" s="88"/>
      <c r="M151" s="88" t="str">
        <f aca="false">IF($L151="","",$L151)</f>
        <v/>
      </c>
      <c r="N151" s="10" t="str">
        <f aca="false">$H151</f>
        <v/>
      </c>
      <c r="O151" s="39" t="str">
        <f aca="false">IF(SUM($N151)=0,"",IF(AND(SUM($N151)&gt;0,$K151=""),"ENTER KNOWN POSITIVITY RATE",ROUND($N151*$K151,0)))</f>
        <v/>
      </c>
      <c r="P151" s="39" t="str">
        <f aca="false">IF(SUM($N151)=0,"",IF(AND((SUM($N151)-SUM($O151))&gt;0,$M151=""),"ENTER YIELD RATE",ROUND(($N151-SUM($O151))*$M151,0)))</f>
        <v/>
      </c>
      <c r="Q151" s="39" t="str">
        <f aca="false">IF(SUM($N151)=0,"",$N151-SUM($O151)-SUM($P151))</f>
        <v/>
      </c>
      <c r="R151" s="88" t="str">
        <f aca="false">IF(SUM($P151)=0,"",INDEX(Cascade!$BG:$BG,MATCH($E151,Cascade!$E:$E,0)))</f>
        <v/>
      </c>
      <c r="S151" s="39" t="str">
        <f aca="false">$O151</f>
        <v/>
      </c>
      <c r="T151" s="39" t="str">
        <f aca="false">IF(SUM($P151)=0,"",IF(AND($R151="",SUM($P151)&gt;0),"&lt;- Enter Linkage Rate",ROUND($P151*$R151,0)))</f>
        <v/>
      </c>
      <c r="U151" s="10" t="str">
        <f aca="false">IFERROR(1/(1/INDEX(Cascade!$BH:$BH,MATCH($E151,Cascade!$E:$E,0))),"")</f>
        <v/>
      </c>
      <c r="V151" s="10" t="str">
        <f aca="false">IF(SUM($P151)=0,"",$P151)</f>
        <v/>
      </c>
      <c r="W151" s="10" t="str">
        <f aca="false">IFERROR(1/(1/INDEX(PMTCT!$AC:$AC,MATCH($E151,PMTCT!$E:$E,0))),"")</f>
        <v/>
      </c>
      <c r="X151" s="10" t="str">
        <f aca="false">IFERROR(1/(1/INDEX(PMTCT!$AS:$AS,MATCH($E151,PMTCT!$E:$E,0))),"")</f>
        <v/>
      </c>
      <c r="Y151" s="10" t="str">
        <f aca="false">IFERROR(1/(1/INDEX(VMMC!$AA:$AA,MATCH($E151,VMMC!$E:$E,0))),"")</f>
        <v/>
      </c>
      <c r="Z151" s="10" t="str">
        <f aca="false">IFERROR(1/(1/(SUM($U151)-SUM($V151:$Y151))),"")</f>
        <v/>
      </c>
    </row>
    <row r="152" customFormat="false" ht="15" hidden="false" customHeight="false" outlineLevel="0" collapsed="false">
      <c r="A152" s="0" t="str">
        <f aca="false">INDEX(Prioritization!$D:$D,MATCH($B152,Prioritization!$A:$A,0))</f>
        <v>INVALID</v>
      </c>
      <c r="B152" s="0" t="s">
        <v>205</v>
      </c>
      <c r="C152" s="0" t="s">
        <v>365</v>
      </c>
      <c r="D152" s="0" t="s">
        <v>48</v>
      </c>
      <c r="E152" s="0" t="str">
        <f aca="false">B152&amp;"|"&amp;C152&amp;"|"&amp;D152</f>
        <v>Karonga District [cPtvxaZqXIH]|15-24|Male</v>
      </c>
      <c r="F152" s="10"/>
      <c r="G152" s="88" t="n">
        <f aca="false">0</f>
        <v>0</v>
      </c>
      <c r="H152" s="39" t="str">
        <f aca="false">IF(SUM($F152)=0,"",ROUND($F152*(1+$G152),0))</f>
        <v/>
      </c>
      <c r="I152" s="10"/>
      <c r="J152" s="88"/>
      <c r="K152" s="88" t="str">
        <f aca="false">IF($J152="","",$J152)</f>
        <v/>
      </c>
      <c r="L152" s="88"/>
      <c r="M152" s="88" t="str">
        <f aca="false">IF($L152="","",$L152)</f>
        <v/>
      </c>
      <c r="N152" s="10" t="str">
        <f aca="false">$H152</f>
        <v/>
      </c>
      <c r="O152" s="39" t="str">
        <f aca="false">IF(SUM($N152)=0,"",IF(AND(SUM($N152)&gt;0,$K152=""),"ENTER KNOWN POSITIVITY RATE",ROUND($N152*$K152,0)))</f>
        <v/>
      </c>
      <c r="P152" s="39" t="str">
        <f aca="false">IF(SUM($N152)=0,"",IF(AND((SUM($N152)-SUM($O152))&gt;0,$M152=""),"ENTER YIELD RATE",ROUND(($N152-SUM($O152))*$M152,0)))</f>
        <v/>
      </c>
      <c r="Q152" s="39" t="str">
        <f aca="false">IF(SUM($N152)=0,"",$N152-SUM($O152)-SUM($P152))</f>
        <v/>
      </c>
      <c r="R152" s="88" t="str">
        <f aca="false">IF(SUM($P152)=0,"",INDEX(Cascade!$BG:$BG,MATCH($E152,Cascade!$E:$E,0)))</f>
        <v/>
      </c>
      <c r="S152" s="39" t="str">
        <f aca="false">$O152</f>
        <v/>
      </c>
      <c r="T152" s="39" t="str">
        <f aca="false">IF(SUM($P152)=0,"",IF(AND($R152="",SUM($P152)&gt;0),"&lt;- Enter Linkage Rate",ROUND($P152*$R152,0)))</f>
        <v/>
      </c>
      <c r="U152" s="10" t="str">
        <f aca="false">IFERROR(1/(1/INDEX(Cascade!$BH:$BH,MATCH($E152,Cascade!$E:$E,0))),"")</f>
        <v/>
      </c>
      <c r="V152" s="10" t="str">
        <f aca="false">IF(SUM($P152)=0,"",$P152)</f>
        <v/>
      </c>
      <c r="W152" s="10" t="str">
        <f aca="false">IFERROR(1/(1/INDEX(PMTCT!$AC:$AC,MATCH($E152,PMTCT!$E:$E,0))),"")</f>
        <v/>
      </c>
      <c r="X152" s="10" t="str">
        <f aca="false">IFERROR(1/(1/INDEX(PMTCT!$AS:$AS,MATCH($E152,PMTCT!$E:$E,0))),"")</f>
        <v/>
      </c>
      <c r="Y152" s="10" t="str">
        <f aca="false">IFERROR(1/(1/INDEX(VMMC!$AA:$AA,MATCH($E152,VMMC!$E:$E,0))),"")</f>
        <v/>
      </c>
      <c r="Z152" s="10" t="str">
        <f aca="false">IFERROR(1/(1/(SUM($U152)-SUM($V152:$Y152))),"")</f>
        <v/>
      </c>
    </row>
    <row r="153" customFormat="false" ht="15" hidden="false" customHeight="false" outlineLevel="0" collapsed="false">
      <c r="A153" s="0" t="str">
        <f aca="false">INDEX(Prioritization!$D:$D,MATCH($B153,Prioritization!$A:$A,0))</f>
        <v>INVALID</v>
      </c>
      <c r="B153" s="0" t="s">
        <v>205</v>
      </c>
      <c r="C153" s="0" t="s">
        <v>366</v>
      </c>
      <c r="D153" s="0" t="s">
        <v>30</v>
      </c>
      <c r="E153" s="0" t="str">
        <f aca="false">B153&amp;"|"&amp;C153&amp;"|"&amp;D153</f>
        <v>Karonga District [cPtvxaZqXIH]|25-34|Female</v>
      </c>
      <c r="F153" s="10"/>
      <c r="G153" s="88" t="n">
        <f aca="false">0</f>
        <v>0</v>
      </c>
      <c r="H153" s="39" t="str">
        <f aca="false">IF(SUM($F153)=0,"",ROUND($F153*(1+$G153),0))</f>
        <v/>
      </c>
      <c r="I153" s="10"/>
      <c r="J153" s="88"/>
      <c r="K153" s="88" t="str">
        <f aca="false">IF($J153="","",$J153)</f>
        <v/>
      </c>
      <c r="L153" s="88"/>
      <c r="M153" s="88" t="str">
        <f aca="false">IF($L153="","",$L153)</f>
        <v/>
      </c>
      <c r="N153" s="10" t="str">
        <f aca="false">$H153</f>
        <v/>
      </c>
      <c r="O153" s="39" t="str">
        <f aca="false">IF(SUM($N153)=0,"",IF(AND(SUM($N153)&gt;0,$K153=""),"ENTER KNOWN POSITIVITY RATE",ROUND($N153*$K153,0)))</f>
        <v/>
      </c>
      <c r="P153" s="39" t="str">
        <f aca="false">IF(SUM($N153)=0,"",IF(AND((SUM($N153)-SUM($O153))&gt;0,$M153=""),"ENTER YIELD RATE",ROUND(($N153-SUM($O153))*$M153,0)))</f>
        <v/>
      </c>
      <c r="Q153" s="39" t="str">
        <f aca="false">IF(SUM($N153)=0,"",$N153-SUM($O153)-SUM($P153))</f>
        <v/>
      </c>
      <c r="R153" s="88" t="str">
        <f aca="false">IF(SUM($P153)=0,"",INDEX(Cascade!$BG:$BG,MATCH($E153,Cascade!$E:$E,0)))</f>
        <v/>
      </c>
      <c r="S153" s="39" t="str">
        <f aca="false">$O153</f>
        <v/>
      </c>
      <c r="T153" s="39" t="str">
        <f aca="false">IF(SUM($P153)=0,"",IF(AND($R153="",SUM($P153)&gt;0),"&lt;- Enter Linkage Rate",ROUND($P153*$R153,0)))</f>
        <v/>
      </c>
      <c r="U153" s="10" t="str">
        <f aca="false">IFERROR(1/(1/INDEX(Cascade!$BH:$BH,MATCH($E153,Cascade!$E:$E,0))),"")</f>
        <v/>
      </c>
      <c r="V153" s="10" t="str">
        <f aca="false">IF(SUM($P153)=0,"",$P153)</f>
        <v/>
      </c>
      <c r="W153" s="10" t="str">
        <f aca="false">IFERROR(1/(1/INDEX(PMTCT!$AC:$AC,MATCH($E153,PMTCT!$E:$E,0))),"")</f>
        <v/>
      </c>
      <c r="X153" s="10" t="str">
        <f aca="false">IFERROR(1/(1/INDEX(PMTCT!$AS:$AS,MATCH($E153,PMTCT!$E:$E,0))),"")</f>
        <v/>
      </c>
      <c r="Y153" s="10" t="str">
        <f aca="false">IFERROR(1/(1/INDEX(VMMC!$AA:$AA,MATCH($E153,VMMC!$E:$E,0))),"")</f>
        <v/>
      </c>
      <c r="Z153" s="10" t="str">
        <f aca="false">IFERROR(1/(1/(SUM($U153)-SUM($V153:$Y153))),"")</f>
        <v/>
      </c>
    </row>
    <row r="154" customFormat="false" ht="15" hidden="false" customHeight="false" outlineLevel="0" collapsed="false">
      <c r="A154" s="0" t="str">
        <f aca="false">INDEX(Prioritization!$D:$D,MATCH($B154,Prioritization!$A:$A,0))</f>
        <v>INVALID</v>
      </c>
      <c r="B154" s="0" t="s">
        <v>205</v>
      </c>
      <c r="C154" s="0" t="s">
        <v>366</v>
      </c>
      <c r="D154" s="0" t="s">
        <v>48</v>
      </c>
      <c r="E154" s="0" t="str">
        <f aca="false">B154&amp;"|"&amp;C154&amp;"|"&amp;D154</f>
        <v>Karonga District [cPtvxaZqXIH]|25-34|Male</v>
      </c>
      <c r="F154" s="10"/>
      <c r="G154" s="88" t="n">
        <f aca="false">0</f>
        <v>0</v>
      </c>
      <c r="H154" s="39" t="str">
        <f aca="false">IF(SUM($F154)=0,"",ROUND($F154*(1+$G154),0))</f>
        <v/>
      </c>
      <c r="I154" s="10"/>
      <c r="J154" s="88"/>
      <c r="K154" s="88" t="str">
        <f aca="false">IF($J154="","",$J154)</f>
        <v/>
      </c>
      <c r="L154" s="88"/>
      <c r="M154" s="88" t="str">
        <f aca="false">IF($L154="","",$L154)</f>
        <v/>
      </c>
      <c r="N154" s="10" t="str">
        <f aca="false">$H154</f>
        <v/>
      </c>
      <c r="O154" s="39" t="str">
        <f aca="false">IF(SUM($N154)=0,"",IF(AND(SUM($N154)&gt;0,$K154=""),"ENTER KNOWN POSITIVITY RATE",ROUND($N154*$K154,0)))</f>
        <v/>
      </c>
      <c r="P154" s="39" t="str">
        <f aca="false">IF(SUM($N154)=0,"",IF(AND((SUM($N154)-SUM($O154))&gt;0,$M154=""),"ENTER YIELD RATE",ROUND(($N154-SUM($O154))*$M154,0)))</f>
        <v/>
      </c>
      <c r="Q154" s="39" t="str">
        <f aca="false">IF(SUM($N154)=0,"",$N154-SUM($O154)-SUM($P154))</f>
        <v/>
      </c>
      <c r="R154" s="88" t="str">
        <f aca="false">IF(SUM($P154)=0,"",INDEX(Cascade!$BG:$BG,MATCH($E154,Cascade!$E:$E,0)))</f>
        <v/>
      </c>
      <c r="S154" s="39" t="str">
        <f aca="false">$O154</f>
        <v/>
      </c>
      <c r="T154" s="39" t="str">
        <f aca="false">IF(SUM($P154)=0,"",IF(AND($R154="",SUM($P154)&gt;0),"&lt;- Enter Linkage Rate",ROUND($P154*$R154,0)))</f>
        <v/>
      </c>
      <c r="U154" s="10" t="str">
        <f aca="false">IFERROR(1/(1/INDEX(Cascade!$BH:$BH,MATCH($E154,Cascade!$E:$E,0))),"")</f>
        <v/>
      </c>
      <c r="V154" s="10" t="str">
        <f aca="false">IF(SUM($P154)=0,"",$P154)</f>
        <v/>
      </c>
      <c r="W154" s="10" t="str">
        <f aca="false">IFERROR(1/(1/INDEX(PMTCT!$AC:$AC,MATCH($E154,PMTCT!$E:$E,0))),"")</f>
        <v/>
      </c>
      <c r="X154" s="10" t="str">
        <f aca="false">IFERROR(1/(1/INDEX(PMTCT!$AS:$AS,MATCH($E154,PMTCT!$E:$E,0))),"")</f>
        <v/>
      </c>
      <c r="Y154" s="10" t="str">
        <f aca="false">IFERROR(1/(1/INDEX(VMMC!$AA:$AA,MATCH($E154,VMMC!$E:$E,0))),"")</f>
        <v/>
      </c>
      <c r="Z154" s="10" t="str">
        <f aca="false">IFERROR(1/(1/(SUM($U154)-SUM($V154:$Y154))),"")</f>
        <v/>
      </c>
    </row>
    <row r="155" customFormat="false" ht="15" hidden="false" customHeight="false" outlineLevel="0" collapsed="false">
      <c r="A155" s="0" t="str">
        <f aca="false">INDEX(Prioritization!$D:$D,MATCH($B155,Prioritization!$A:$A,0))</f>
        <v>INVALID</v>
      </c>
      <c r="B155" s="0" t="s">
        <v>205</v>
      </c>
      <c r="C155" s="0" t="s">
        <v>367</v>
      </c>
      <c r="D155" s="0" t="s">
        <v>30</v>
      </c>
      <c r="E155" s="0" t="str">
        <f aca="false">B155&amp;"|"&amp;C155&amp;"|"&amp;D155</f>
        <v>Karonga District [cPtvxaZqXIH]|35-49|Female</v>
      </c>
      <c r="F155" s="10"/>
      <c r="G155" s="88" t="n">
        <f aca="false">0</f>
        <v>0</v>
      </c>
      <c r="H155" s="39" t="str">
        <f aca="false">IF(SUM($F155)=0,"",ROUND($F155*(1+$G155),0))</f>
        <v/>
      </c>
      <c r="I155" s="10"/>
      <c r="J155" s="88"/>
      <c r="K155" s="88" t="str">
        <f aca="false">IF($J155="","",$J155)</f>
        <v/>
      </c>
      <c r="L155" s="88"/>
      <c r="M155" s="88" t="str">
        <f aca="false">IF($L155="","",$L155)</f>
        <v/>
      </c>
      <c r="N155" s="10" t="str">
        <f aca="false">$H155</f>
        <v/>
      </c>
      <c r="O155" s="39" t="str">
        <f aca="false">IF(SUM($N155)=0,"",IF(AND(SUM($N155)&gt;0,$K155=""),"ENTER KNOWN POSITIVITY RATE",ROUND($N155*$K155,0)))</f>
        <v/>
      </c>
      <c r="P155" s="39" t="str">
        <f aca="false">IF(SUM($N155)=0,"",IF(AND((SUM($N155)-SUM($O155))&gt;0,$M155=""),"ENTER YIELD RATE",ROUND(($N155-SUM($O155))*$M155,0)))</f>
        <v/>
      </c>
      <c r="Q155" s="39" t="str">
        <f aca="false">IF(SUM($N155)=0,"",$N155-SUM($O155)-SUM($P155))</f>
        <v/>
      </c>
      <c r="R155" s="88" t="str">
        <f aca="false">IF(SUM($P155)=0,"",INDEX(Cascade!$BG:$BG,MATCH($E155,Cascade!$E:$E,0)))</f>
        <v/>
      </c>
      <c r="S155" s="39" t="str">
        <f aca="false">$O155</f>
        <v/>
      </c>
      <c r="T155" s="39" t="str">
        <f aca="false">IF(SUM($P155)=0,"",IF(AND($R155="",SUM($P155)&gt;0),"&lt;- Enter Linkage Rate",ROUND($P155*$R155,0)))</f>
        <v/>
      </c>
      <c r="U155" s="10" t="str">
        <f aca="false">IFERROR(1/(1/INDEX(Cascade!$BH:$BH,MATCH($E155,Cascade!$E:$E,0))),"")</f>
        <v/>
      </c>
      <c r="V155" s="10" t="str">
        <f aca="false">IF(SUM($P155)=0,"",$P155)</f>
        <v/>
      </c>
      <c r="W155" s="10" t="str">
        <f aca="false">IFERROR(1/(1/INDEX(PMTCT!$AC:$AC,MATCH($E155,PMTCT!$E:$E,0))),"")</f>
        <v/>
      </c>
      <c r="X155" s="10" t="str">
        <f aca="false">IFERROR(1/(1/INDEX(PMTCT!$AS:$AS,MATCH($E155,PMTCT!$E:$E,0))),"")</f>
        <v/>
      </c>
      <c r="Y155" s="10" t="str">
        <f aca="false">IFERROR(1/(1/INDEX(VMMC!$AA:$AA,MATCH($E155,VMMC!$E:$E,0))),"")</f>
        <v/>
      </c>
      <c r="Z155" s="10" t="str">
        <f aca="false">IFERROR(1/(1/(SUM($U155)-SUM($V155:$Y155))),"")</f>
        <v/>
      </c>
    </row>
    <row r="156" customFormat="false" ht="15" hidden="false" customHeight="false" outlineLevel="0" collapsed="false">
      <c r="A156" s="0" t="str">
        <f aca="false">INDEX(Prioritization!$D:$D,MATCH($B156,Prioritization!$A:$A,0))</f>
        <v>INVALID</v>
      </c>
      <c r="B156" s="0" t="s">
        <v>205</v>
      </c>
      <c r="C156" s="0" t="s">
        <v>367</v>
      </c>
      <c r="D156" s="0" t="s">
        <v>48</v>
      </c>
      <c r="E156" s="0" t="str">
        <f aca="false">B156&amp;"|"&amp;C156&amp;"|"&amp;D156</f>
        <v>Karonga District [cPtvxaZqXIH]|35-49|Male</v>
      </c>
      <c r="F156" s="10"/>
      <c r="G156" s="88" t="n">
        <f aca="false">0</f>
        <v>0</v>
      </c>
      <c r="H156" s="39" t="str">
        <f aca="false">IF(SUM($F156)=0,"",ROUND($F156*(1+$G156),0))</f>
        <v/>
      </c>
      <c r="I156" s="10"/>
      <c r="J156" s="88"/>
      <c r="K156" s="88" t="str">
        <f aca="false">IF($J156="","",$J156)</f>
        <v/>
      </c>
      <c r="L156" s="88"/>
      <c r="M156" s="88" t="str">
        <f aca="false">IF($L156="","",$L156)</f>
        <v/>
      </c>
      <c r="N156" s="10" t="str">
        <f aca="false">$H156</f>
        <v/>
      </c>
      <c r="O156" s="39" t="str">
        <f aca="false">IF(SUM($N156)=0,"",IF(AND(SUM($N156)&gt;0,$K156=""),"ENTER KNOWN POSITIVITY RATE",ROUND($N156*$K156,0)))</f>
        <v/>
      </c>
      <c r="P156" s="39" t="str">
        <f aca="false">IF(SUM($N156)=0,"",IF(AND((SUM($N156)-SUM($O156))&gt;0,$M156=""),"ENTER YIELD RATE",ROUND(($N156-SUM($O156))*$M156,0)))</f>
        <v/>
      </c>
      <c r="Q156" s="39" t="str">
        <f aca="false">IF(SUM($N156)=0,"",$N156-SUM($O156)-SUM($P156))</f>
        <v/>
      </c>
      <c r="R156" s="88" t="str">
        <f aca="false">IF(SUM($P156)=0,"",INDEX(Cascade!$BG:$BG,MATCH($E156,Cascade!$E:$E,0)))</f>
        <v/>
      </c>
      <c r="S156" s="39" t="str">
        <f aca="false">$O156</f>
        <v/>
      </c>
      <c r="T156" s="39" t="str">
        <f aca="false">IF(SUM($P156)=0,"",IF(AND($R156="",SUM($P156)&gt;0),"&lt;- Enter Linkage Rate",ROUND($P156*$R156,0)))</f>
        <v/>
      </c>
      <c r="U156" s="10" t="str">
        <f aca="false">IFERROR(1/(1/INDEX(Cascade!$BH:$BH,MATCH($E156,Cascade!$E:$E,0))),"")</f>
        <v/>
      </c>
      <c r="V156" s="10" t="str">
        <f aca="false">IF(SUM($P156)=0,"",$P156)</f>
        <v/>
      </c>
      <c r="W156" s="10" t="str">
        <f aca="false">IFERROR(1/(1/INDEX(PMTCT!$AC:$AC,MATCH($E156,PMTCT!$E:$E,0))),"")</f>
        <v/>
      </c>
      <c r="X156" s="10" t="str">
        <f aca="false">IFERROR(1/(1/INDEX(PMTCT!$AS:$AS,MATCH($E156,PMTCT!$E:$E,0))),"")</f>
        <v/>
      </c>
      <c r="Y156" s="10" t="str">
        <f aca="false">IFERROR(1/(1/INDEX(VMMC!$AA:$AA,MATCH($E156,VMMC!$E:$E,0))),"")</f>
        <v/>
      </c>
      <c r="Z156" s="10" t="str">
        <f aca="false">IFERROR(1/(1/(SUM($U156)-SUM($V156:$Y156))),"")</f>
        <v/>
      </c>
    </row>
    <row r="157" customFormat="false" ht="15" hidden="false" customHeight="false" outlineLevel="0" collapsed="false">
      <c r="A157" s="0" t="str">
        <f aca="false">INDEX(Prioritization!$D:$D,MATCH($B157,Prioritization!$A:$A,0))</f>
        <v>INVALID</v>
      </c>
      <c r="B157" s="0" t="s">
        <v>205</v>
      </c>
      <c r="C157" s="0" t="s">
        <v>368</v>
      </c>
      <c r="D157" s="0" t="s">
        <v>30</v>
      </c>
      <c r="E157" s="0" t="str">
        <f aca="false">B157&amp;"|"&amp;C157&amp;"|"&amp;D157</f>
        <v>Karonga District [cPtvxaZqXIH]|50+|Female</v>
      </c>
      <c r="F157" s="10"/>
      <c r="G157" s="88" t="n">
        <f aca="false">0</f>
        <v>0</v>
      </c>
      <c r="H157" s="39" t="str">
        <f aca="false">IF(SUM($F157)=0,"",ROUND($F157*(1+$G157),0))</f>
        <v/>
      </c>
      <c r="I157" s="10"/>
      <c r="J157" s="88"/>
      <c r="K157" s="88" t="str">
        <f aca="false">IF($J157="","",$J157)</f>
        <v/>
      </c>
      <c r="L157" s="88"/>
      <c r="M157" s="88" t="str">
        <f aca="false">IF($L157="","",$L157)</f>
        <v/>
      </c>
      <c r="N157" s="10" t="str">
        <f aca="false">$H157</f>
        <v/>
      </c>
      <c r="O157" s="39" t="str">
        <f aca="false">IF(SUM($N157)=0,"",IF(AND(SUM($N157)&gt;0,$K157=""),"ENTER KNOWN POSITIVITY RATE",ROUND($N157*$K157,0)))</f>
        <v/>
      </c>
      <c r="P157" s="39" t="str">
        <f aca="false">IF(SUM($N157)=0,"",IF(AND((SUM($N157)-SUM($O157))&gt;0,$M157=""),"ENTER YIELD RATE",ROUND(($N157-SUM($O157))*$M157,0)))</f>
        <v/>
      </c>
      <c r="Q157" s="39" t="str">
        <f aca="false">IF(SUM($N157)=0,"",$N157-SUM($O157)-SUM($P157))</f>
        <v/>
      </c>
      <c r="R157" s="88" t="str">
        <f aca="false">IF(SUM($P157)=0,"",INDEX(Cascade!$BG:$BG,MATCH($E157,Cascade!$E:$E,0)))</f>
        <v/>
      </c>
      <c r="S157" s="39" t="str">
        <f aca="false">$O157</f>
        <v/>
      </c>
      <c r="T157" s="39" t="str">
        <f aca="false">IF(SUM($P157)=0,"",IF(AND($R157="",SUM($P157)&gt;0),"&lt;- Enter Linkage Rate",ROUND($P157*$R157,0)))</f>
        <v/>
      </c>
      <c r="U157" s="10" t="str">
        <f aca="false">IFERROR(1/(1/INDEX(Cascade!$BH:$BH,MATCH($E157,Cascade!$E:$E,0))),"")</f>
        <v/>
      </c>
      <c r="V157" s="10" t="str">
        <f aca="false">IF(SUM($P157)=0,"",$P157)</f>
        <v/>
      </c>
      <c r="W157" s="10" t="str">
        <f aca="false">IFERROR(1/(1/INDEX(PMTCT!$AC:$AC,MATCH($E157,PMTCT!$E:$E,0))),"")</f>
        <v/>
      </c>
      <c r="X157" s="10" t="str">
        <f aca="false">IFERROR(1/(1/INDEX(PMTCT!$AS:$AS,MATCH($E157,PMTCT!$E:$E,0))),"")</f>
        <v/>
      </c>
      <c r="Y157" s="10" t="str">
        <f aca="false">IFERROR(1/(1/INDEX(VMMC!$AA:$AA,MATCH($E157,VMMC!$E:$E,0))),"")</f>
        <v/>
      </c>
      <c r="Z157" s="10" t="str">
        <f aca="false">IFERROR(1/(1/(SUM($U157)-SUM($V157:$Y157))),"")</f>
        <v/>
      </c>
    </row>
    <row r="158" customFormat="false" ht="15" hidden="false" customHeight="false" outlineLevel="0" collapsed="false">
      <c r="A158" s="0" t="str">
        <f aca="false">INDEX(Prioritization!$D:$D,MATCH($B158,Prioritization!$A:$A,0))</f>
        <v>INVALID</v>
      </c>
      <c r="B158" s="0" t="s">
        <v>205</v>
      </c>
      <c r="C158" s="0" t="s">
        <v>368</v>
      </c>
      <c r="D158" s="0" t="s">
        <v>48</v>
      </c>
      <c r="E158" s="0" t="str">
        <f aca="false">B158&amp;"|"&amp;C158&amp;"|"&amp;D158</f>
        <v>Karonga District [cPtvxaZqXIH]|50+|Male</v>
      </c>
      <c r="F158" s="10"/>
      <c r="G158" s="88" t="n">
        <f aca="false">0</f>
        <v>0</v>
      </c>
      <c r="H158" s="39" t="str">
        <f aca="false">IF(SUM($F158)=0,"",ROUND($F158*(1+$G158),0))</f>
        <v/>
      </c>
      <c r="I158" s="10"/>
      <c r="J158" s="88"/>
      <c r="K158" s="88" t="str">
        <f aca="false">IF($J158="","",$J158)</f>
        <v/>
      </c>
      <c r="L158" s="88"/>
      <c r="M158" s="88" t="str">
        <f aca="false">IF($L158="","",$L158)</f>
        <v/>
      </c>
      <c r="N158" s="10" t="str">
        <f aca="false">$H158</f>
        <v/>
      </c>
      <c r="O158" s="39" t="str">
        <f aca="false">IF(SUM($N158)=0,"",IF(AND(SUM($N158)&gt;0,$K158=""),"ENTER KNOWN POSITIVITY RATE",ROUND($N158*$K158,0)))</f>
        <v/>
      </c>
      <c r="P158" s="39" t="str">
        <f aca="false">IF(SUM($N158)=0,"",IF(AND((SUM($N158)-SUM($O158))&gt;0,$M158=""),"ENTER YIELD RATE",ROUND(($N158-SUM($O158))*$M158,0)))</f>
        <v/>
      </c>
      <c r="Q158" s="39" t="str">
        <f aca="false">IF(SUM($N158)=0,"",$N158-SUM($O158)-SUM($P158))</f>
        <v/>
      </c>
      <c r="R158" s="88" t="str">
        <f aca="false">IF(SUM($P158)=0,"",INDEX(Cascade!$BG:$BG,MATCH($E158,Cascade!$E:$E,0)))</f>
        <v/>
      </c>
      <c r="S158" s="39" t="str">
        <f aca="false">$O158</f>
        <v/>
      </c>
      <c r="T158" s="39" t="str">
        <f aca="false">IF(SUM($P158)=0,"",IF(AND($R158="",SUM($P158)&gt;0),"&lt;- Enter Linkage Rate",ROUND($P158*$R158,0)))</f>
        <v/>
      </c>
      <c r="U158" s="10" t="str">
        <f aca="false">IFERROR(1/(1/INDEX(Cascade!$BH:$BH,MATCH($E158,Cascade!$E:$E,0))),"")</f>
        <v/>
      </c>
      <c r="V158" s="10" t="str">
        <f aca="false">IF(SUM($P158)=0,"",$P158)</f>
        <v/>
      </c>
      <c r="W158" s="10" t="str">
        <f aca="false">IFERROR(1/(1/INDEX(PMTCT!$AC:$AC,MATCH($E158,PMTCT!$E:$E,0))),"")</f>
        <v/>
      </c>
      <c r="X158" s="10" t="str">
        <f aca="false">IFERROR(1/(1/INDEX(PMTCT!$AS:$AS,MATCH($E158,PMTCT!$E:$E,0))),"")</f>
        <v/>
      </c>
      <c r="Y158" s="10" t="str">
        <f aca="false">IFERROR(1/(1/INDEX(VMMC!$AA:$AA,MATCH($E158,VMMC!$E:$E,0))),"")</f>
        <v/>
      </c>
      <c r="Z158" s="10" t="str">
        <f aca="false">IFERROR(1/(1/(SUM($U158)-SUM($V158:$Y158))),"")</f>
        <v/>
      </c>
    </row>
    <row r="159" customFormat="false" ht="15" hidden="false" customHeight="false" outlineLevel="0" collapsed="false">
      <c r="A159" s="0" t="str">
        <f aca="false">INDEX(Prioritization!$D:$D,MATCH($B159,Prioritization!$A:$A,0))</f>
        <v>INVALID</v>
      </c>
      <c r="B159" s="0" t="s">
        <v>206</v>
      </c>
      <c r="C159" s="0" t="s">
        <v>363</v>
      </c>
      <c r="D159" s="0" t="s">
        <v>30</v>
      </c>
      <c r="E159" s="0" t="str">
        <f aca="false">B159&amp;"|"&amp;C159&amp;"|"&amp;D159</f>
        <v>Likoma District [ZCjuwgaMB9u]|01-09|Female</v>
      </c>
      <c r="F159" s="10"/>
      <c r="G159" s="88" t="n">
        <f aca="false">0</f>
        <v>0</v>
      </c>
      <c r="H159" s="39" t="str">
        <f aca="false">IF(SUM($F159)=0,"",ROUND($F159*(1+$G159),0))</f>
        <v/>
      </c>
      <c r="I159" s="10"/>
      <c r="J159" s="88"/>
      <c r="K159" s="88" t="str">
        <f aca="false">IF($J159="","",$J159)</f>
        <v/>
      </c>
      <c r="L159" s="88"/>
      <c r="M159" s="88" t="str">
        <f aca="false">IF($L159="","",$L159)</f>
        <v/>
      </c>
      <c r="N159" s="10" t="str">
        <f aca="false">$H159</f>
        <v/>
      </c>
      <c r="O159" s="39" t="str">
        <f aca="false">IF(SUM($N159)=0,"",IF(AND(SUM($N159)&gt;0,$K159=""),"ENTER KNOWN POSITIVITY RATE",ROUND($N159*$K159,0)))</f>
        <v/>
      </c>
      <c r="P159" s="39" t="str">
        <f aca="false">IF(SUM($N159)=0,"",IF(AND((SUM($N159)-SUM($O159))&gt;0,$M159=""),"ENTER YIELD RATE",ROUND(($N159-SUM($O159))*$M159,0)))</f>
        <v/>
      </c>
      <c r="Q159" s="39" t="str">
        <f aca="false">IF(SUM($N159)=0,"",$N159-SUM($O159)-SUM($P159))</f>
        <v/>
      </c>
      <c r="R159" s="88" t="str">
        <f aca="false">IF(SUM($P159)=0,"",INDEX(Cascade!$BG:$BG,MATCH($E159,Cascade!$E:$E,0)))</f>
        <v/>
      </c>
      <c r="S159" s="39" t="str">
        <f aca="false">$O159</f>
        <v/>
      </c>
      <c r="T159" s="39" t="str">
        <f aca="false">IF(SUM($P159)=0,"",IF(AND($R159="",SUM($P159)&gt;0),"&lt;- Enter Linkage Rate",ROUND($P159*$R159,0)))</f>
        <v/>
      </c>
      <c r="U159" s="10" t="str">
        <f aca="false">IFERROR(1/(1/INDEX(Cascade!$BH:$BH,MATCH($E159,Cascade!$E:$E,0))),"")</f>
        <v/>
      </c>
      <c r="V159" s="10" t="str">
        <f aca="false">IF(SUM($P159)=0,"",$P159)</f>
        <v/>
      </c>
      <c r="W159" s="10" t="str">
        <f aca="false">IFERROR(1/(1/INDEX(PMTCT!$AC:$AC,MATCH($E159,PMTCT!$E:$E,0))),"")</f>
        <v/>
      </c>
      <c r="X159" s="10" t="str">
        <f aca="false">IFERROR(1/(1/INDEX(PMTCT!$AS:$AS,MATCH($E159,PMTCT!$E:$E,0))),"")</f>
        <v/>
      </c>
      <c r="Y159" s="10" t="str">
        <f aca="false">IFERROR(1/(1/INDEX(VMMC!$AA:$AA,MATCH($E159,VMMC!$E:$E,0))),"")</f>
        <v/>
      </c>
      <c r="Z159" s="10" t="str">
        <f aca="false">IFERROR(1/(1/(SUM($U159)-SUM($V159:$Y159))),"")</f>
        <v/>
      </c>
    </row>
    <row r="160" customFormat="false" ht="15" hidden="false" customHeight="false" outlineLevel="0" collapsed="false">
      <c r="A160" s="0" t="str">
        <f aca="false">INDEX(Prioritization!$D:$D,MATCH($B160,Prioritization!$A:$A,0))</f>
        <v>INVALID</v>
      </c>
      <c r="B160" s="0" t="s">
        <v>206</v>
      </c>
      <c r="C160" s="0" t="s">
        <v>363</v>
      </c>
      <c r="D160" s="0" t="s">
        <v>48</v>
      </c>
      <c r="E160" s="0" t="str">
        <f aca="false">B160&amp;"|"&amp;C160&amp;"|"&amp;D160</f>
        <v>Likoma District [ZCjuwgaMB9u]|01-09|Male</v>
      </c>
      <c r="F160" s="10"/>
      <c r="G160" s="88" t="n">
        <f aca="false">0</f>
        <v>0</v>
      </c>
      <c r="H160" s="39" t="str">
        <f aca="false">IF(SUM($F160)=0,"",ROUND($F160*(1+$G160),0))</f>
        <v/>
      </c>
      <c r="I160" s="10"/>
      <c r="J160" s="88"/>
      <c r="K160" s="88" t="str">
        <f aca="false">IF($J160="","",$J160)</f>
        <v/>
      </c>
      <c r="L160" s="88"/>
      <c r="M160" s="88" t="str">
        <f aca="false">IF($L160="","",$L160)</f>
        <v/>
      </c>
      <c r="N160" s="10" t="str">
        <f aca="false">$H160</f>
        <v/>
      </c>
      <c r="O160" s="39" t="str">
        <f aca="false">IF(SUM($N160)=0,"",IF(AND(SUM($N160)&gt;0,$K160=""),"ENTER KNOWN POSITIVITY RATE",ROUND($N160*$K160,0)))</f>
        <v/>
      </c>
      <c r="P160" s="39" t="str">
        <f aca="false">IF(SUM($N160)=0,"",IF(AND((SUM($N160)-SUM($O160))&gt;0,$M160=""),"ENTER YIELD RATE",ROUND(($N160-SUM($O160))*$M160,0)))</f>
        <v/>
      </c>
      <c r="Q160" s="39" t="str">
        <f aca="false">IF(SUM($N160)=0,"",$N160-SUM($O160)-SUM($P160))</f>
        <v/>
      </c>
      <c r="R160" s="88" t="str">
        <f aca="false">IF(SUM($P160)=0,"",INDEX(Cascade!$BG:$BG,MATCH($E160,Cascade!$E:$E,0)))</f>
        <v/>
      </c>
      <c r="S160" s="39" t="str">
        <f aca="false">$O160</f>
        <v/>
      </c>
      <c r="T160" s="39" t="str">
        <f aca="false">IF(SUM($P160)=0,"",IF(AND($R160="",SUM($P160)&gt;0),"&lt;- Enter Linkage Rate",ROUND($P160*$R160,0)))</f>
        <v/>
      </c>
      <c r="U160" s="10" t="str">
        <f aca="false">IFERROR(1/(1/INDEX(Cascade!$BH:$BH,MATCH($E160,Cascade!$E:$E,0))),"")</f>
        <v/>
      </c>
      <c r="V160" s="10" t="str">
        <f aca="false">IF(SUM($P160)=0,"",$P160)</f>
        <v/>
      </c>
      <c r="W160" s="10" t="str">
        <f aca="false">IFERROR(1/(1/INDEX(PMTCT!$AC:$AC,MATCH($E160,PMTCT!$E:$E,0))),"")</f>
        <v/>
      </c>
      <c r="X160" s="10" t="str">
        <f aca="false">IFERROR(1/(1/INDEX(PMTCT!$AS:$AS,MATCH($E160,PMTCT!$E:$E,0))),"")</f>
        <v/>
      </c>
      <c r="Y160" s="10" t="str">
        <f aca="false">IFERROR(1/(1/INDEX(VMMC!$AA:$AA,MATCH($E160,VMMC!$E:$E,0))),"")</f>
        <v/>
      </c>
      <c r="Z160" s="10" t="str">
        <f aca="false">IFERROR(1/(1/(SUM($U160)-SUM($V160:$Y160))),"")</f>
        <v/>
      </c>
    </row>
    <row r="161" customFormat="false" ht="15" hidden="false" customHeight="false" outlineLevel="0" collapsed="false">
      <c r="A161" s="0" t="str">
        <f aca="false">INDEX(Prioritization!$D:$D,MATCH($B161,Prioritization!$A:$A,0))</f>
        <v>INVALID</v>
      </c>
      <c r="B161" s="0" t="s">
        <v>206</v>
      </c>
      <c r="C161" s="0" t="s">
        <v>364</v>
      </c>
      <c r="D161" s="0" t="s">
        <v>30</v>
      </c>
      <c r="E161" s="0" t="str">
        <f aca="false">B161&amp;"|"&amp;C161&amp;"|"&amp;D161</f>
        <v>Likoma District [ZCjuwgaMB9u]|10-14|Female</v>
      </c>
      <c r="F161" s="10"/>
      <c r="G161" s="88" t="n">
        <f aca="false">0</f>
        <v>0</v>
      </c>
      <c r="H161" s="39" t="str">
        <f aca="false">IF(SUM($F161)=0,"",ROUND($F161*(1+$G161),0))</f>
        <v/>
      </c>
      <c r="I161" s="10"/>
      <c r="J161" s="88"/>
      <c r="K161" s="88" t="str">
        <f aca="false">IF($J161="","",$J161)</f>
        <v/>
      </c>
      <c r="L161" s="88"/>
      <c r="M161" s="88" t="str">
        <f aca="false">IF($L161="","",$L161)</f>
        <v/>
      </c>
      <c r="N161" s="10" t="str">
        <f aca="false">$H161</f>
        <v/>
      </c>
      <c r="O161" s="39" t="str">
        <f aca="false">IF(SUM($N161)=0,"",IF(AND(SUM($N161)&gt;0,$K161=""),"ENTER KNOWN POSITIVITY RATE",ROUND($N161*$K161,0)))</f>
        <v/>
      </c>
      <c r="P161" s="39" t="str">
        <f aca="false">IF(SUM($N161)=0,"",IF(AND((SUM($N161)-SUM($O161))&gt;0,$M161=""),"ENTER YIELD RATE",ROUND(($N161-SUM($O161))*$M161,0)))</f>
        <v/>
      </c>
      <c r="Q161" s="39" t="str">
        <f aca="false">IF(SUM($N161)=0,"",$N161-SUM($O161)-SUM($P161))</f>
        <v/>
      </c>
      <c r="R161" s="88" t="str">
        <f aca="false">IF(SUM($P161)=0,"",INDEX(Cascade!$BG:$BG,MATCH($E161,Cascade!$E:$E,0)))</f>
        <v/>
      </c>
      <c r="S161" s="39" t="str">
        <f aca="false">$O161</f>
        <v/>
      </c>
      <c r="T161" s="39" t="str">
        <f aca="false">IF(SUM($P161)=0,"",IF(AND($R161="",SUM($P161)&gt;0),"&lt;- Enter Linkage Rate",ROUND($P161*$R161,0)))</f>
        <v/>
      </c>
      <c r="U161" s="10" t="n">
        <f aca="false">IFERROR(1/(1/INDEX(Cascade!$BH:$BH,MATCH($E161,Cascade!$E:$E,0))),"")</f>
        <v>-5</v>
      </c>
      <c r="V161" s="10" t="str">
        <f aca="false">IF(SUM($P161)=0,"",$P161)</f>
        <v/>
      </c>
      <c r="W161" s="10" t="str">
        <f aca="false">IFERROR(1/(1/INDEX(PMTCT!$AC:$AC,MATCH($E161,PMTCT!$E:$E,0))),"")</f>
        <v/>
      </c>
      <c r="X161" s="10" t="str">
        <f aca="false">IFERROR(1/(1/INDEX(PMTCT!$AS:$AS,MATCH($E161,PMTCT!$E:$E,0))),"")</f>
        <v/>
      </c>
      <c r="Y161" s="10" t="str">
        <f aca="false">IFERROR(1/(1/INDEX(VMMC!$AA:$AA,MATCH($E161,VMMC!$E:$E,0))),"")</f>
        <v/>
      </c>
      <c r="Z161" s="10" t="n">
        <f aca="false">IFERROR(1/(1/(SUM($U161)-SUM($V161:$Y161))),"")</f>
        <v>-5</v>
      </c>
    </row>
    <row r="162" customFormat="false" ht="15" hidden="false" customHeight="false" outlineLevel="0" collapsed="false">
      <c r="A162" s="0" t="str">
        <f aca="false">INDEX(Prioritization!$D:$D,MATCH($B162,Prioritization!$A:$A,0))</f>
        <v>INVALID</v>
      </c>
      <c r="B162" s="0" t="s">
        <v>206</v>
      </c>
      <c r="C162" s="0" t="s">
        <v>364</v>
      </c>
      <c r="D162" s="0" t="s">
        <v>48</v>
      </c>
      <c r="E162" s="0" t="str">
        <f aca="false">B162&amp;"|"&amp;C162&amp;"|"&amp;D162</f>
        <v>Likoma District [ZCjuwgaMB9u]|10-14|Male</v>
      </c>
      <c r="F162" s="10"/>
      <c r="G162" s="88" t="n">
        <f aca="false">0</f>
        <v>0</v>
      </c>
      <c r="H162" s="39" t="str">
        <f aca="false">IF(SUM($F162)=0,"",ROUND($F162*(1+$G162),0))</f>
        <v/>
      </c>
      <c r="I162" s="10"/>
      <c r="J162" s="88"/>
      <c r="K162" s="88" t="str">
        <f aca="false">IF($J162="","",$J162)</f>
        <v/>
      </c>
      <c r="L162" s="88"/>
      <c r="M162" s="88" t="str">
        <f aca="false">IF($L162="","",$L162)</f>
        <v/>
      </c>
      <c r="N162" s="10" t="str">
        <f aca="false">$H162</f>
        <v/>
      </c>
      <c r="O162" s="39" t="str">
        <f aca="false">IF(SUM($N162)=0,"",IF(AND(SUM($N162)&gt;0,$K162=""),"ENTER KNOWN POSITIVITY RATE",ROUND($N162*$K162,0)))</f>
        <v/>
      </c>
      <c r="P162" s="39" t="str">
        <f aca="false">IF(SUM($N162)=0,"",IF(AND((SUM($N162)-SUM($O162))&gt;0,$M162=""),"ENTER YIELD RATE",ROUND(($N162-SUM($O162))*$M162,0)))</f>
        <v/>
      </c>
      <c r="Q162" s="39" t="str">
        <f aca="false">IF(SUM($N162)=0,"",$N162-SUM($O162)-SUM($P162))</f>
        <v/>
      </c>
      <c r="R162" s="88" t="str">
        <f aca="false">IF(SUM($P162)=0,"",INDEX(Cascade!$BG:$BG,MATCH($E162,Cascade!$E:$E,0)))</f>
        <v/>
      </c>
      <c r="S162" s="39" t="str">
        <f aca="false">$O162</f>
        <v/>
      </c>
      <c r="T162" s="39" t="str">
        <f aca="false">IF(SUM($P162)=0,"",IF(AND($R162="",SUM($P162)&gt;0),"&lt;- Enter Linkage Rate",ROUND($P162*$R162,0)))</f>
        <v/>
      </c>
      <c r="U162" s="10" t="n">
        <f aca="false">IFERROR(1/(1/INDEX(Cascade!$BH:$BH,MATCH($E162,Cascade!$E:$E,0))),"")</f>
        <v>-4</v>
      </c>
      <c r="V162" s="10" t="str">
        <f aca="false">IF(SUM($P162)=0,"",$P162)</f>
        <v/>
      </c>
      <c r="W162" s="10" t="str">
        <f aca="false">IFERROR(1/(1/INDEX(PMTCT!$AC:$AC,MATCH($E162,PMTCT!$E:$E,0))),"")</f>
        <v/>
      </c>
      <c r="X162" s="10" t="str">
        <f aca="false">IFERROR(1/(1/INDEX(PMTCT!$AS:$AS,MATCH($E162,PMTCT!$E:$E,0))),"")</f>
        <v/>
      </c>
      <c r="Y162" s="10" t="str">
        <f aca="false">IFERROR(1/(1/INDEX(VMMC!$AA:$AA,MATCH($E162,VMMC!$E:$E,0))),"")</f>
        <v/>
      </c>
      <c r="Z162" s="10" t="n">
        <f aca="false">IFERROR(1/(1/(SUM($U162)-SUM($V162:$Y162))),"")</f>
        <v>-4</v>
      </c>
    </row>
    <row r="163" customFormat="false" ht="15" hidden="false" customHeight="false" outlineLevel="0" collapsed="false">
      <c r="A163" s="0" t="str">
        <f aca="false">INDEX(Prioritization!$D:$D,MATCH($B163,Prioritization!$A:$A,0))</f>
        <v>INVALID</v>
      </c>
      <c r="B163" s="0" t="s">
        <v>206</v>
      </c>
      <c r="C163" s="0" t="s">
        <v>365</v>
      </c>
      <c r="D163" s="0" t="s">
        <v>30</v>
      </c>
      <c r="E163" s="0" t="str">
        <f aca="false">B163&amp;"|"&amp;C163&amp;"|"&amp;D163</f>
        <v>Likoma District [ZCjuwgaMB9u]|15-24|Female</v>
      </c>
      <c r="F163" s="10"/>
      <c r="G163" s="88" t="n">
        <f aca="false">0</f>
        <v>0</v>
      </c>
      <c r="H163" s="39" t="str">
        <f aca="false">IF(SUM($F163)=0,"",ROUND($F163*(1+$G163),0))</f>
        <v/>
      </c>
      <c r="I163" s="10"/>
      <c r="J163" s="88"/>
      <c r="K163" s="88" t="str">
        <f aca="false">IF($J163="","",$J163)</f>
        <v/>
      </c>
      <c r="L163" s="88"/>
      <c r="M163" s="88" t="str">
        <f aca="false">IF($L163="","",$L163)</f>
        <v/>
      </c>
      <c r="N163" s="10" t="str">
        <f aca="false">$H163</f>
        <v/>
      </c>
      <c r="O163" s="39" t="str">
        <f aca="false">IF(SUM($N163)=0,"",IF(AND(SUM($N163)&gt;0,$K163=""),"ENTER KNOWN POSITIVITY RATE",ROUND($N163*$K163,0)))</f>
        <v/>
      </c>
      <c r="P163" s="39" t="str">
        <f aca="false">IF(SUM($N163)=0,"",IF(AND((SUM($N163)-SUM($O163))&gt;0,$M163=""),"ENTER YIELD RATE",ROUND(($N163-SUM($O163))*$M163,0)))</f>
        <v/>
      </c>
      <c r="Q163" s="39" t="str">
        <f aca="false">IF(SUM($N163)=0,"",$N163-SUM($O163)-SUM($P163))</f>
        <v/>
      </c>
      <c r="R163" s="88" t="str">
        <f aca="false">IF(SUM($P163)=0,"",INDEX(Cascade!$BG:$BG,MATCH($E163,Cascade!$E:$E,0)))</f>
        <v/>
      </c>
      <c r="S163" s="39" t="str">
        <f aca="false">$O163</f>
        <v/>
      </c>
      <c r="T163" s="39" t="str">
        <f aca="false">IF(SUM($P163)=0,"",IF(AND($R163="",SUM($P163)&gt;0),"&lt;- Enter Linkage Rate",ROUND($P163*$R163,0)))</f>
        <v/>
      </c>
      <c r="U163" s="10" t="str">
        <f aca="false">IFERROR(1/(1/INDEX(Cascade!$BH:$BH,MATCH($E163,Cascade!$E:$E,0))),"")</f>
        <v/>
      </c>
      <c r="V163" s="10" t="str">
        <f aca="false">IF(SUM($P163)=0,"",$P163)</f>
        <v/>
      </c>
      <c r="W163" s="10" t="str">
        <f aca="false">IFERROR(1/(1/INDEX(PMTCT!$AC:$AC,MATCH($E163,PMTCT!$E:$E,0))),"")</f>
        <v/>
      </c>
      <c r="X163" s="10" t="str">
        <f aca="false">IFERROR(1/(1/INDEX(PMTCT!$AS:$AS,MATCH($E163,PMTCT!$E:$E,0))),"")</f>
        <v/>
      </c>
      <c r="Y163" s="10" t="str">
        <f aca="false">IFERROR(1/(1/INDEX(VMMC!$AA:$AA,MATCH($E163,VMMC!$E:$E,0))),"")</f>
        <v/>
      </c>
      <c r="Z163" s="10" t="str">
        <f aca="false">IFERROR(1/(1/(SUM($U163)-SUM($V163:$Y163))),"")</f>
        <v/>
      </c>
    </row>
    <row r="164" customFormat="false" ht="15" hidden="false" customHeight="false" outlineLevel="0" collapsed="false">
      <c r="A164" s="0" t="str">
        <f aca="false">INDEX(Prioritization!$D:$D,MATCH($B164,Prioritization!$A:$A,0))</f>
        <v>INVALID</v>
      </c>
      <c r="B164" s="0" t="s">
        <v>206</v>
      </c>
      <c r="C164" s="0" t="s">
        <v>365</v>
      </c>
      <c r="D164" s="0" t="s">
        <v>48</v>
      </c>
      <c r="E164" s="0" t="str">
        <f aca="false">B164&amp;"|"&amp;C164&amp;"|"&amp;D164</f>
        <v>Likoma District [ZCjuwgaMB9u]|15-24|Male</v>
      </c>
      <c r="F164" s="10"/>
      <c r="G164" s="88" t="n">
        <f aca="false">0</f>
        <v>0</v>
      </c>
      <c r="H164" s="39" t="str">
        <f aca="false">IF(SUM($F164)=0,"",ROUND($F164*(1+$G164),0))</f>
        <v/>
      </c>
      <c r="I164" s="10"/>
      <c r="J164" s="88"/>
      <c r="K164" s="88" t="str">
        <f aca="false">IF($J164="","",$J164)</f>
        <v/>
      </c>
      <c r="L164" s="88"/>
      <c r="M164" s="88" t="str">
        <f aca="false">IF($L164="","",$L164)</f>
        <v/>
      </c>
      <c r="N164" s="10" t="str">
        <f aca="false">$H164</f>
        <v/>
      </c>
      <c r="O164" s="39" t="str">
        <f aca="false">IF(SUM($N164)=0,"",IF(AND(SUM($N164)&gt;0,$K164=""),"ENTER KNOWN POSITIVITY RATE",ROUND($N164*$K164,0)))</f>
        <v/>
      </c>
      <c r="P164" s="39" t="str">
        <f aca="false">IF(SUM($N164)=0,"",IF(AND((SUM($N164)-SUM($O164))&gt;0,$M164=""),"ENTER YIELD RATE",ROUND(($N164-SUM($O164))*$M164,0)))</f>
        <v/>
      </c>
      <c r="Q164" s="39" t="str">
        <f aca="false">IF(SUM($N164)=0,"",$N164-SUM($O164)-SUM($P164))</f>
        <v/>
      </c>
      <c r="R164" s="88" t="str">
        <f aca="false">IF(SUM($P164)=0,"",INDEX(Cascade!$BG:$BG,MATCH($E164,Cascade!$E:$E,0)))</f>
        <v/>
      </c>
      <c r="S164" s="39" t="str">
        <f aca="false">$O164</f>
        <v/>
      </c>
      <c r="T164" s="39" t="str">
        <f aca="false">IF(SUM($P164)=0,"",IF(AND($R164="",SUM($P164)&gt;0),"&lt;- Enter Linkage Rate",ROUND($P164*$R164,0)))</f>
        <v/>
      </c>
      <c r="U164" s="10" t="str">
        <f aca="false">IFERROR(1/(1/INDEX(Cascade!$BH:$BH,MATCH($E164,Cascade!$E:$E,0))),"")</f>
        <v/>
      </c>
      <c r="V164" s="10" t="str">
        <f aca="false">IF(SUM($P164)=0,"",$P164)</f>
        <v/>
      </c>
      <c r="W164" s="10" t="str">
        <f aca="false">IFERROR(1/(1/INDEX(PMTCT!$AC:$AC,MATCH($E164,PMTCT!$E:$E,0))),"")</f>
        <v/>
      </c>
      <c r="X164" s="10" t="str">
        <f aca="false">IFERROR(1/(1/INDEX(PMTCT!$AS:$AS,MATCH($E164,PMTCT!$E:$E,0))),"")</f>
        <v/>
      </c>
      <c r="Y164" s="10" t="str">
        <f aca="false">IFERROR(1/(1/INDEX(VMMC!$AA:$AA,MATCH($E164,VMMC!$E:$E,0))),"")</f>
        <v/>
      </c>
      <c r="Z164" s="10" t="str">
        <f aca="false">IFERROR(1/(1/(SUM($U164)-SUM($V164:$Y164))),"")</f>
        <v/>
      </c>
    </row>
    <row r="165" customFormat="false" ht="15" hidden="false" customHeight="false" outlineLevel="0" collapsed="false">
      <c r="A165" s="0" t="str">
        <f aca="false">INDEX(Prioritization!$D:$D,MATCH($B165,Prioritization!$A:$A,0))</f>
        <v>INVALID</v>
      </c>
      <c r="B165" s="0" t="s">
        <v>206</v>
      </c>
      <c r="C165" s="0" t="s">
        <v>366</v>
      </c>
      <c r="D165" s="0" t="s">
        <v>30</v>
      </c>
      <c r="E165" s="0" t="str">
        <f aca="false">B165&amp;"|"&amp;C165&amp;"|"&amp;D165</f>
        <v>Likoma District [ZCjuwgaMB9u]|25-34|Female</v>
      </c>
      <c r="F165" s="10"/>
      <c r="G165" s="88" t="n">
        <f aca="false">0</f>
        <v>0</v>
      </c>
      <c r="H165" s="39" t="str">
        <f aca="false">IF(SUM($F165)=0,"",ROUND($F165*(1+$G165),0))</f>
        <v/>
      </c>
      <c r="I165" s="10"/>
      <c r="J165" s="88"/>
      <c r="K165" s="88" t="str">
        <f aca="false">IF($J165="","",$J165)</f>
        <v/>
      </c>
      <c r="L165" s="88"/>
      <c r="M165" s="88" t="str">
        <f aca="false">IF($L165="","",$L165)</f>
        <v/>
      </c>
      <c r="N165" s="10" t="str">
        <f aca="false">$H165</f>
        <v/>
      </c>
      <c r="O165" s="39" t="str">
        <f aca="false">IF(SUM($N165)=0,"",IF(AND(SUM($N165)&gt;0,$K165=""),"ENTER KNOWN POSITIVITY RATE",ROUND($N165*$K165,0)))</f>
        <v/>
      </c>
      <c r="P165" s="39" t="str">
        <f aca="false">IF(SUM($N165)=0,"",IF(AND((SUM($N165)-SUM($O165))&gt;0,$M165=""),"ENTER YIELD RATE",ROUND(($N165-SUM($O165))*$M165,0)))</f>
        <v/>
      </c>
      <c r="Q165" s="39" t="str">
        <f aca="false">IF(SUM($N165)=0,"",$N165-SUM($O165)-SUM($P165))</f>
        <v/>
      </c>
      <c r="R165" s="88" t="str">
        <f aca="false">IF(SUM($P165)=0,"",INDEX(Cascade!$BG:$BG,MATCH($E165,Cascade!$E:$E,0)))</f>
        <v/>
      </c>
      <c r="S165" s="39" t="str">
        <f aca="false">$O165</f>
        <v/>
      </c>
      <c r="T165" s="39" t="str">
        <f aca="false">IF(SUM($P165)=0,"",IF(AND($R165="",SUM($P165)&gt;0),"&lt;- Enter Linkage Rate",ROUND($P165*$R165,0)))</f>
        <v/>
      </c>
      <c r="U165" s="10" t="str">
        <f aca="false">IFERROR(1/(1/INDEX(Cascade!$BH:$BH,MATCH($E165,Cascade!$E:$E,0))),"")</f>
        <v/>
      </c>
      <c r="V165" s="10" t="str">
        <f aca="false">IF(SUM($P165)=0,"",$P165)</f>
        <v/>
      </c>
      <c r="W165" s="10" t="str">
        <f aca="false">IFERROR(1/(1/INDEX(PMTCT!$AC:$AC,MATCH($E165,PMTCT!$E:$E,0))),"")</f>
        <v/>
      </c>
      <c r="X165" s="10" t="str">
        <f aca="false">IFERROR(1/(1/INDEX(PMTCT!$AS:$AS,MATCH($E165,PMTCT!$E:$E,0))),"")</f>
        <v/>
      </c>
      <c r="Y165" s="10" t="str">
        <f aca="false">IFERROR(1/(1/INDEX(VMMC!$AA:$AA,MATCH($E165,VMMC!$E:$E,0))),"")</f>
        <v/>
      </c>
      <c r="Z165" s="10" t="str">
        <f aca="false">IFERROR(1/(1/(SUM($U165)-SUM($V165:$Y165))),"")</f>
        <v/>
      </c>
    </row>
    <row r="166" customFormat="false" ht="15" hidden="false" customHeight="false" outlineLevel="0" collapsed="false">
      <c r="A166" s="0" t="str">
        <f aca="false">INDEX(Prioritization!$D:$D,MATCH($B166,Prioritization!$A:$A,0))</f>
        <v>INVALID</v>
      </c>
      <c r="B166" s="0" t="s">
        <v>206</v>
      </c>
      <c r="C166" s="0" t="s">
        <v>366</v>
      </c>
      <c r="D166" s="0" t="s">
        <v>48</v>
      </c>
      <c r="E166" s="0" t="str">
        <f aca="false">B166&amp;"|"&amp;C166&amp;"|"&amp;D166</f>
        <v>Likoma District [ZCjuwgaMB9u]|25-34|Male</v>
      </c>
      <c r="F166" s="10"/>
      <c r="G166" s="88" t="n">
        <f aca="false">0</f>
        <v>0</v>
      </c>
      <c r="H166" s="39" t="str">
        <f aca="false">IF(SUM($F166)=0,"",ROUND($F166*(1+$G166),0))</f>
        <v/>
      </c>
      <c r="I166" s="10"/>
      <c r="J166" s="88"/>
      <c r="K166" s="88" t="str">
        <f aca="false">IF($J166="","",$J166)</f>
        <v/>
      </c>
      <c r="L166" s="88"/>
      <c r="M166" s="88" t="str">
        <f aca="false">IF($L166="","",$L166)</f>
        <v/>
      </c>
      <c r="N166" s="10" t="str">
        <f aca="false">$H166</f>
        <v/>
      </c>
      <c r="O166" s="39" t="str">
        <f aca="false">IF(SUM($N166)=0,"",IF(AND(SUM($N166)&gt;0,$K166=""),"ENTER KNOWN POSITIVITY RATE",ROUND($N166*$K166,0)))</f>
        <v/>
      </c>
      <c r="P166" s="39" t="str">
        <f aca="false">IF(SUM($N166)=0,"",IF(AND((SUM($N166)-SUM($O166))&gt;0,$M166=""),"ENTER YIELD RATE",ROUND(($N166-SUM($O166))*$M166,0)))</f>
        <v/>
      </c>
      <c r="Q166" s="39" t="str">
        <f aca="false">IF(SUM($N166)=0,"",$N166-SUM($O166)-SUM($P166))</f>
        <v/>
      </c>
      <c r="R166" s="88" t="str">
        <f aca="false">IF(SUM($P166)=0,"",INDEX(Cascade!$BG:$BG,MATCH($E166,Cascade!$E:$E,0)))</f>
        <v/>
      </c>
      <c r="S166" s="39" t="str">
        <f aca="false">$O166</f>
        <v/>
      </c>
      <c r="T166" s="39" t="str">
        <f aca="false">IF(SUM($P166)=0,"",IF(AND($R166="",SUM($P166)&gt;0),"&lt;- Enter Linkage Rate",ROUND($P166*$R166,0)))</f>
        <v/>
      </c>
      <c r="U166" s="10" t="str">
        <f aca="false">IFERROR(1/(1/INDEX(Cascade!$BH:$BH,MATCH($E166,Cascade!$E:$E,0))),"")</f>
        <v/>
      </c>
      <c r="V166" s="10" t="str">
        <f aca="false">IF(SUM($P166)=0,"",$P166)</f>
        <v/>
      </c>
      <c r="W166" s="10" t="str">
        <f aca="false">IFERROR(1/(1/INDEX(PMTCT!$AC:$AC,MATCH($E166,PMTCT!$E:$E,0))),"")</f>
        <v/>
      </c>
      <c r="X166" s="10" t="str">
        <f aca="false">IFERROR(1/(1/INDEX(PMTCT!$AS:$AS,MATCH($E166,PMTCT!$E:$E,0))),"")</f>
        <v/>
      </c>
      <c r="Y166" s="10" t="str">
        <f aca="false">IFERROR(1/(1/INDEX(VMMC!$AA:$AA,MATCH($E166,VMMC!$E:$E,0))),"")</f>
        <v/>
      </c>
      <c r="Z166" s="10" t="str">
        <f aca="false">IFERROR(1/(1/(SUM($U166)-SUM($V166:$Y166))),"")</f>
        <v/>
      </c>
    </row>
    <row r="167" customFormat="false" ht="15" hidden="false" customHeight="false" outlineLevel="0" collapsed="false">
      <c r="A167" s="0" t="str">
        <f aca="false">INDEX(Prioritization!$D:$D,MATCH($B167,Prioritization!$A:$A,0))</f>
        <v>INVALID</v>
      </c>
      <c r="B167" s="0" t="s">
        <v>206</v>
      </c>
      <c r="C167" s="0" t="s">
        <v>367</v>
      </c>
      <c r="D167" s="0" t="s">
        <v>30</v>
      </c>
      <c r="E167" s="0" t="str">
        <f aca="false">B167&amp;"|"&amp;C167&amp;"|"&amp;D167</f>
        <v>Likoma District [ZCjuwgaMB9u]|35-49|Female</v>
      </c>
      <c r="F167" s="10"/>
      <c r="G167" s="88" t="n">
        <f aca="false">0</f>
        <v>0</v>
      </c>
      <c r="H167" s="39" t="str">
        <f aca="false">IF(SUM($F167)=0,"",ROUND($F167*(1+$G167),0))</f>
        <v/>
      </c>
      <c r="I167" s="10"/>
      <c r="J167" s="88"/>
      <c r="K167" s="88" t="str">
        <f aca="false">IF($J167="","",$J167)</f>
        <v/>
      </c>
      <c r="L167" s="88"/>
      <c r="M167" s="88" t="str">
        <f aca="false">IF($L167="","",$L167)</f>
        <v/>
      </c>
      <c r="N167" s="10" t="str">
        <f aca="false">$H167</f>
        <v/>
      </c>
      <c r="O167" s="39" t="str">
        <f aca="false">IF(SUM($N167)=0,"",IF(AND(SUM($N167)&gt;0,$K167=""),"ENTER KNOWN POSITIVITY RATE",ROUND($N167*$K167,0)))</f>
        <v/>
      </c>
      <c r="P167" s="39" t="str">
        <f aca="false">IF(SUM($N167)=0,"",IF(AND((SUM($N167)-SUM($O167))&gt;0,$M167=""),"ENTER YIELD RATE",ROUND(($N167-SUM($O167))*$M167,0)))</f>
        <v/>
      </c>
      <c r="Q167" s="39" t="str">
        <f aca="false">IF(SUM($N167)=0,"",$N167-SUM($O167)-SUM($P167))</f>
        <v/>
      </c>
      <c r="R167" s="88" t="str">
        <f aca="false">IF(SUM($P167)=0,"",INDEX(Cascade!$BG:$BG,MATCH($E167,Cascade!$E:$E,0)))</f>
        <v/>
      </c>
      <c r="S167" s="39" t="str">
        <f aca="false">$O167</f>
        <v/>
      </c>
      <c r="T167" s="39" t="str">
        <f aca="false">IF(SUM($P167)=0,"",IF(AND($R167="",SUM($P167)&gt;0),"&lt;- Enter Linkage Rate",ROUND($P167*$R167,0)))</f>
        <v/>
      </c>
      <c r="U167" s="10" t="str">
        <f aca="false">IFERROR(1/(1/INDEX(Cascade!$BH:$BH,MATCH($E167,Cascade!$E:$E,0))),"")</f>
        <v/>
      </c>
      <c r="V167" s="10" t="str">
        <f aca="false">IF(SUM($P167)=0,"",$P167)</f>
        <v/>
      </c>
      <c r="W167" s="10" t="str">
        <f aca="false">IFERROR(1/(1/INDEX(PMTCT!$AC:$AC,MATCH($E167,PMTCT!$E:$E,0))),"")</f>
        <v/>
      </c>
      <c r="X167" s="10" t="str">
        <f aca="false">IFERROR(1/(1/INDEX(PMTCT!$AS:$AS,MATCH($E167,PMTCT!$E:$E,0))),"")</f>
        <v/>
      </c>
      <c r="Y167" s="10" t="str">
        <f aca="false">IFERROR(1/(1/INDEX(VMMC!$AA:$AA,MATCH($E167,VMMC!$E:$E,0))),"")</f>
        <v/>
      </c>
      <c r="Z167" s="10" t="str">
        <f aca="false">IFERROR(1/(1/(SUM($U167)-SUM($V167:$Y167))),"")</f>
        <v/>
      </c>
    </row>
    <row r="168" customFormat="false" ht="15" hidden="false" customHeight="false" outlineLevel="0" collapsed="false">
      <c r="A168" s="0" t="str">
        <f aca="false">INDEX(Prioritization!$D:$D,MATCH($B168,Prioritization!$A:$A,0))</f>
        <v>INVALID</v>
      </c>
      <c r="B168" s="0" t="s">
        <v>206</v>
      </c>
      <c r="C168" s="0" t="s">
        <v>367</v>
      </c>
      <c r="D168" s="0" t="s">
        <v>48</v>
      </c>
      <c r="E168" s="0" t="str">
        <f aca="false">B168&amp;"|"&amp;C168&amp;"|"&amp;D168</f>
        <v>Likoma District [ZCjuwgaMB9u]|35-49|Male</v>
      </c>
      <c r="F168" s="10"/>
      <c r="G168" s="88" t="n">
        <f aca="false">0</f>
        <v>0</v>
      </c>
      <c r="H168" s="39" t="str">
        <f aca="false">IF(SUM($F168)=0,"",ROUND($F168*(1+$G168),0))</f>
        <v/>
      </c>
      <c r="I168" s="10"/>
      <c r="J168" s="88"/>
      <c r="K168" s="88" t="str">
        <f aca="false">IF($J168="","",$J168)</f>
        <v/>
      </c>
      <c r="L168" s="88"/>
      <c r="M168" s="88" t="str">
        <f aca="false">IF($L168="","",$L168)</f>
        <v/>
      </c>
      <c r="N168" s="10" t="str">
        <f aca="false">$H168</f>
        <v/>
      </c>
      <c r="O168" s="39" t="str">
        <f aca="false">IF(SUM($N168)=0,"",IF(AND(SUM($N168)&gt;0,$K168=""),"ENTER KNOWN POSITIVITY RATE",ROUND($N168*$K168,0)))</f>
        <v/>
      </c>
      <c r="P168" s="39" t="str">
        <f aca="false">IF(SUM($N168)=0,"",IF(AND((SUM($N168)-SUM($O168))&gt;0,$M168=""),"ENTER YIELD RATE",ROUND(($N168-SUM($O168))*$M168,0)))</f>
        <v/>
      </c>
      <c r="Q168" s="39" t="str">
        <f aca="false">IF(SUM($N168)=0,"",$N168-SUM($O168)-SUM($P168))</f>
        <v/>
      </c>
      <c r="R168" s="88" t="str">
        <f aca="false">IF(SUM($P168)=0,"",INDEX(Cascade!$BG:$BG,MATCH($E168,Cascade!$E:$E,0)))</f>
        <v/>
      </c>
      <c r="S168" s="39" t="str">
        <f aca="false">$O168</f>
        <v/>
      </c>
      <c r="T168" s="39" t="str">
        <f aca="false">IF(SUM($P168)=0,"",IF(AND($R168="",SUM($P168)&gt;0),"&lt;- Enter Linkage Rate",ROUND($P168*$R168,0)))</f>
        <v/>
      </c>
      <c r="U168" s="10" t="str">
        <f aca="false">IFERROR(1/(1/INDEX(Cascade!$BH:$BH,MATCH($E168,Cascade!$E:$E,0))),"")</f>
        <v/>
      </c>
      <c r="V168" s="10" t="str">
        <f aca="false">IF(SUM($P168)=0,"",$P168)</f>
        <v/>
      </c>
      <c r="W168" s="10" t="str">
        <f aca="false">IFERROR(1/(1/INDEX(PMTCT!$AC:$AC,MATCH($E168,PMTCT!$E:$E,0))),"")</f>
        <v/>
      </c>
      <c r="X168" s="10" t="str">
        <f aca="false">IFERROR(1/(1/INDEX(PMTCT!$AS:$AS,MATCH($E168,PMTCT!$E:$E,0))),"")</f>
        <v/>
      </c>
      <c r="Y168" s="10" t="str">
        <f aca="false">IFERROR(1/(1/INDEX(VMMC!$AA:$AA,MATCH($E168,VMMC!$E:$E,0))),"")</f>
        <v/>
      </c>
      <c r="Z168" s="10" t="str">
        <f aca="false">IFERROR(1/(1/(SUM($U168)-SUM($V168:$Y168))),"")</f>
        <v/>
      </c>
    </row>
    <row r="169" customFormat="false" ht="15" hidden="false" customHeight="false" outlineLevel="0" collapsed="false">
      <c r="A169" s="0" t="str">
        <f aca="false">INDEX(Prioritization!$D:$D,MATCH($B169,Prioritization!$A:$A,0))</f>
        <v>INVALID</v>
      </c>
      <c r="B169" s="0" t="s">
        <v>206</v>
      </c>
      <c r="C169" s="0" t="s">
        <v>368</v>
      </c>
      <c r="D169" s="0" t="s">
        <v>30</v>
      </c>
      <c r="E169" s="0" t="str">
        <f aca="false">B169&amp;"|"&amp;C169&amp;"|"&amp;D169</f>
        <v>Likoma District [ZCjuwgaMB9u]|50+|Female</v>
      </c>
      <c r="F169" s="10"/>
      <c r="G169" s="88" t="n">
        <f aca="false">0</f>
        <v>0</v>
      </c>
      <c r="H169" s="39" t="str">
        <f aca="false">IF(SUM($F169)=0,"",ROUND($F169*(1+$G169),0))</f>
        <v/>
      </c>
      <c r="I169" s="10"/>
      <c r="J169" s="88"/>
      <c r="K169" s="88" t="str">
        <f aca="false">IF($J169="","",$J169)</f>
        <v/>
      </c>
      <c r="L169" s="88"/>
      <c r="M169" s="88" t="str">
        <f aca="false">IF($L169="","",$L169)</f>
        <v/>
      </c>
      <c r="N169" s="10" t="str">
        <f aca="false">$H169</f>
        <v/>
      </c>
      <c r="O169" s="39" t="str">
        <f aca="false">IF(SUM($N169)=0,"",IF(AND(SUM($N169)&gt;0,$K169=""),"ENTER KNOWN POSITIVITY RATE",ROUND($N169*$K169,0)))</f>
        <v/>
      </c>
      <c r="P169" s="39" t="str">
        <f aca="false">IF(SUM($N169)=0,"",IF(AND((SUM($N169)-SUM($O169))&gt;0,$M169=""),"ENTER YIELD RATE",ROUND(($N169-SUM($O169))*$M169,0)))</f>
        <v/>
      </c>
      <c r="Q169" s="39" t="str">
        <f aca="false">IF(SUM($N169)=0,"",$N169-SUM($O169)-SUM($P169))</f>
        <v/>
      </c>
      <c r="R169" s="88" t="str">
        <f aca="false">IF(SUM($P169)=0,"",INDEX(Cascade!$BG:$BG,MATCH($E169,Cascade!$E:$E,0)))</f>
        <v/>
      </c>
      <c r="S169" s="39" t="str">
        <f aca="false">$O169</f>
        <v/>
      </c>
      <c r="T169" s="39" t="str">
        <f aca="false">IF(SUM($P169)=0,"",IF(AND($R169="",SUM($P169)&gt;0),"&lt;- Enter Linkage Rate",ROUND($P169*$R169,0)))</f>
        <v/>
      </c>
      <c r="U169" s="10" t="str">
        <f aca="false">IFERROR(1/(1/INDEX(Cascade!$BH:$BH,MATCH($E169,Cascade!$E:$E,0))),"")</f>
        <v/>
      </c>
      <c r="V169" s="10" t="str">
        <f aca="false">IF(SUM($P169)=0,"",$P169)</f>
        <v/>
      </c>
      <c r="W169" s="10" t="str">
        <f aca="false">IFERROR(1/(1/INDEX(PMTCT!$AC:$AC,MATCH($E169,PMTCT!$E:$E,0))),"")</f>
        <v/>
      </c>
      <c r="X169" s="10" t="str">
        <f aca="false">IFERROR(1/(1/INDEX(PMTCT!$AS:$AS,MATCH($E169,PMTCT!$E:$E,0))),"")</f>
        <v/>
      </c>
      <c r="Y169" s="10" t="str">
        <f aca="false">IFERROR(1/(1/INDEX(VMMC!$AA:$AA,MATCH($E169,VMMC!$E:$E,0))),"")</f>
        <v/>
      </c>
      <c r="Z169" s="10" t="str">
        <f aca="false">IFERROR(1/(1/(SUM($U169)-SUM($V169:$Y169))),"")</f>
        <v/>
      </c>
    </row>
    <row r="170" customFormat="false" ht="15" hidden="false" customHeight="false" outlineLevel="0" collapsed="false">
      <c r="A170" s="0" t="str">
        <f aca="false">INDEX(Prioritization!$D:$D,MATCH($B170,Prioritization!$A:$A,0))</f>
        <v>INVALID</v>
      </c>
      <c r="B170" s="0" t="s">
        <v>206</v>
      </c>
      <c r="C170" s="0" t="s">
        <v>368</v>
      </c>
      <c r="D170" s="0" t="s">
        <v>48</v>
      </c>
      <c r="E170" s="0" t="str">
        <f aca="false">B170&amp;"|"&amp;C170&amp;"|"&amp;D170</f>
        <v>Likoma District [ZCjuwgaMB9u]|50+|Male</v>
      </c>
      <c r="F170" s="10"/>
      <c r="G170" s="88" t="n">
        <f aca="false">0</f>
        <v>0</v>
      </c>
      <c r="H170" s="39" t="str">
        <f aca="false">IF(SUM($F170)=0,"",ROUND($F170*(1+$G170),0))</f>
        <v/>
      </c>
      <c r="I170" s="10"/>
      <c r="J170" s="88"/>
      <c r="K170" s="88" t="str">
        <f aca="false">IF($J170="","",$J170)</f>
        <v/>
      </c>
      <c r="L170" s="88"/>
      <c r="M170" s="88" t="str">
        <f aca="false">IF($L170="","",$L170)</f>
        <v/>
      </c>
      <c r="N170" s="10" t="str">
        <f aca="false">$H170</f>
        <v/>
      </c>
      <c r="O170" s="39" t="str">
        <f aca="false">IF(SUM($N170)=0,"",IF(AND(SUM($N170)&gt;0,$K170=""),"ENTER KNOWN POSITIVITY RATE",ROUND($N170*$K170,0)))</f>
        <v/>
      </c>
      <c r="P170" s="39" t="str">
        <f aca="false">IF(SUM($N170)=0,"",IF(AND((SUM($N170)-SUM($O170))&gt;0,$M170=""),"ENTER YIELD RATE",ROUND(($N170-SUM($O170))*$M170,0)))</f>
        <v/>
      </c>
      <c r="Q170" s="39" t="str">
        <f aca="false">IF(SUM($N170)=0,"",$N170-SUM($O170)-SUM($P170))</f>
        <v/>
      </c>
      <c r="R170" s="88" t="str">
        <f aca="false">IF(SUM($P170)=0,"",INDEX(Cascade!$BG:$BG,MATCH($E170,Cascade!$E:$E,0)))</f>
        <v/>
      </c>
      <c r="S170" s="39" t="str">
        <f aca="false">$O170</f>
        <v/>
      </c>
      <c r="T170" s="39" t="str">
        <f aca="false">IF(SUM($P170)=0,"",IF(AND($R170="",SUM($P170)&gt;0),"&lt;- Enter Linkage Rate",ROUND($P170*$R170,0)))</f>
        <v/>
      </c>
      <c r="U170" s="10" t="str">
        <f aca="false">IFERROR(1/(1/INDEX(Cascade!$BH:$BH,MATCH($E170,Cascade!$E:$E,0))),"")</f>
        <v/>
      </c>
      <c r="V170" s="10" t="str">
        <f aca="false">IF(SUM($P170)=0,"",$P170)</f>
        <v/>
      </c>
      <c r="W170" s="10" t="str">
        <f aca="false">IFERROR(1/(1/INDEX(PMTCT!$AC:$AC,MATCH($E170,PMTCT!$E:$E,0))),"")</f>
        <v/>
      </c>
      <c r="X170" s="10" t="str">
        <f aca="false">IFERROR(1/(1/INDEX(PMTCT!$AS:$AS,MATCH($E170,PMTCT!$E:$E,0))),"")</f>
        <v/>
      </c>
      <c r="Y170" s="10" t="str">
        <f aca="false">IFERROR(1/(1/INDEX(VMMC!$AA:$AA,MATCH($E170,VMMC!$E:$E,0))),"")</f>
        <v/>
      </c>
      <c r="Z170" s="10" t="str">
        <f aca="false">IFERROR(1/(1/(SUM($U170)-SUM($V170:$Y170))),"")</f>
        <v/>
      </c>
    </row>
    <row r="171" customFormat="false" ht="15" hidden="false" customHeight="false" outlineLevel="0" collapsed="false">
      <c r="A171" s="0" t="str">
        <f aca="false">INDEX(Prioritization!$D:$D,MATCH($B171,Prioritization!$A:$A,0))</f>
        <v>1 - Scale-up: Saturation</v>
      </c>
      <c r="B171" s="0" t="s">
        <v>207</v>
      </c>
      <c r="C171" s="0" t="s">
        <v>363</v>
      </c>
      <c r="D171" s="0" t="s">
        <v>30</v>
      </c>
      <c r="E171" s="0" t="str">
        <f aca="false">B171&amp;"|"&amp;C171&amp;"|"&amp;D171</f>
        <v>Mzimba District [vA4NcHxfMBq]|01-09|Female</v>
      </c>
      <c r="F171" s="10"/>
      <c r="G171" s="88" t="n">
        <f aca="false">0</f>
        <v>0</v>
      </c>
      <c r="H171" s="39" t="str">
        <f aca="false">IF(SUM($F171)=0,"",ROUND($F171*(1+$G171),0))</f>
        <v/>
      </c>
      <c r="I171" s="10"/>
      <c r="J171" s="88"/>
      <c r="K171" s="88" t="str">
        <f aca="false">IF($J171="","",$J171)</f>
        <v/>
      </c>
      <c r="L171" s="88"/>
      <c r="M171" s="88" t="str">
        <f aca="false">IF($L171="","",$L171)</f>
        <v/>
      </c>
      <c r="N171" s="10" t="str">
        <f aca="false">$H171</f>
        <v/>
      </c>
      <c r="O171" s="39" t="str">
        <f aca="false">IF(SUM($N171)=0,"",IF(AND(SUM($N171)&gt;0,$K171=""),"ENTER KNOWN POSITIVITY RATE",ROUND($N171*$K171,0)))</f>
        <v/>
      </c>
      <c r="P171" s="39" t="str">
        <f aca="false">IF(SUM($N171)=0,"",IF(AND((SUM($N171)-SUM($O171))&gt;0,$M171=""),"ENTER YIELD RATE",ROUND(($N171-SUM($O171))*$M171,0)))</f>
        <v/>
      </c>
      <c r="Q171" s="39" t="str">
        <f aca="false">IF(SUM($N171)=0,"",$N171-SUM($O171)-SUM($P171))</f>
        <v/>
      </c>
      <c r="R171" s="88" t="str">
        <f aca="false">IF(SUM($P171)=0,"",INDEX(Cascade!$BG:$BG,MATCH($E171,Cascade!$E:$E,0)))</f>
        <v/>
      </c>
      <c r="S171" s="39" t="str">
        <f aca="false">$O171</f>
        <v/>
      </c>
      <c r="T171" s="39" t="str">
        <f aca="false">IF(SUM($P171)=0,"",IF(AND($R171="",SUM($P171)&gt;0),"&lt;- Enter Linkage Rate",ROUND($P171*$R171,0)))</f>
        <v/>
      </c>
      <c r="U171" s="10" t="str">
        <f aca="false">IFERROR(1/(1/INDEX(Cascade!$BH:$BH,MATCH($E171,Cascade!$E:$E,0))),"")</f>
        <v/>
      </c>
      <c r="V171" s="10" t="str">
        <f aca="false">IF(SUM($P171)=0,"",$P171)</f>
        <v/>
      </c>
      <c r="W171" s="10" t="str">
        <f aca="false">IFERROR(1/(1/INDEX(PMTCT!$AC:$AC,MATCH($E171,PMTCT!$E:$E,0))),"")</f>
        <v/>
      </c>
      <c r="X171" s="10" t="str">
        <f aca="false">IFERROR(1/(1/INDEX(PMTCT!$AS:$AS,MATCH($E171,PMTCT!$E:$E,0))),"")</f>
        <v/>
      </c>
      <c r="Y171" s="10" t="str">
        <f aca="false">IFERROR(1/(1/INDEX(VMMC!$AA:$AA,MATCH($E171,VMMC!$E:$E,0))),"")</f>
        <v/>
      </c>
      <c r="Z171" s="10" t="str">
        <f aca="false">IFERROR(1/(1/(SUM($U171)-SUM($V171:$Y171))),"")</f>
        <v/>
      </c>
    </row>
    <row r="172" customFormat="false" ht="15" hidden="false" customHeight="false" outlineLevel="0" collapsed="false">
      <c r="A172" s="0" t="str">
        <f aca="false">INDEX(Prioritization!$D:$D,MATCH($B172,Prioritization!$A:$A,0))</f>
        <v>1 - Scale-up: Saturation</v>
      </c>
      <c r="B172" s="0" t="s">
        <v>207</v>
      </c>
      <c r="C172" s="0" t="s">
        <v>363</v>
      </c>
      <c r="D172" s="0" t="s">
        <v>48</v>
      </c>
      <c r="E172" s="0" t="str">
        <f aca="false">B172&amp;"|"&amp;C172&amp;"|"&amp;D172</f>
        <v>Mzimba District [vA4NcHxfMBq]|01-09|Male</v>
      </c>
      <c r="F172" s="10"/>
      <c r="G172" s="88" t="n">
        <f aca="false">0</f>
        <v>0</v>
      </c>
      <c r="H172" s="39" t="str">
        <f aca="false">IF(SUM($F172)=0,"",ROUND($F172*(1+$G172),0))</f>
        <v/>
      </c>
      <c r="I172" s="10"/>
      <c r="J172" s="88"/>
      <c r="K172" s="88" t="str">
        <f aca="false">IF($J172="","",$J172)</f>
        <v/>
      </c>
      <c r="L172" s="88"/>
      <c r="M172" s="88" t="str">
        <f aca="false">IF($L172="","",$L172)</f>
        <v/>
      </c>
      <c r="N172" s="10" t="str">
        <f aca="false">$H172</f>
        <v/>
      </c>
      <c r="O172" s="39" t="str">
        <f aca="false">IF(SUM($N172)=0,"",IF(AND(SUM($N172)&gt;0,$K172=""),"ENTER KNOWN POSITIVITY RATE",ROUND($N172*$K172,0)))</f>
        <v/>
      </c>
      <c r="P172" s="39" t="str">
        <f aca="false">IF(SUM($N172)=0,"",IF(AND((SUM($N172)-SUM($O172))&gt;0,$M172=""),"ENTER YIELD RATE",ROUND(($N172-SUM($O172))*$M172,0)))</f>
        <v/>
      </c>
      <c r="Q172" s="39" t="str">
        <f aca="false">IF(SUM($N172)=0,"",$N172-SUM($O172)-SUM($P172))</f>
        <v/>
      </c>
      <c r="R172" s="88" t="str">
        <f aca="false">IF(SUM($P172)=0,"",INDEX(Cascade!$BG:$BG,MATCH($E172,Cascade!$E:$E,0)))</f>
        <v/>
      </c>
      <c r="S172" s="39" t="str">
        <f aca="false">$O172</f>
        <v/>
      </c>
      <c r="T172" s="39" t="str">
        <f aca="false">IF(SUM($P172)=0,"",IF(AND($R172="",SUM($P172)&gt;0),"&lt;- Enter Linkage Rate",ROUND($P172*$R172,0)))</f>
        <v/>
      </c>
      <c r="U172" s="10" t="str">
        <f aca="false">IFERROR(1/(1/INDEX(Cascade!$BH:$BH,MATCH($E172,Cascade!$E:$E,0))),"")</f>
        <v/>
      </c>
      <c r="V172" s="10" t="str">
        <f aca="false">IF(SUM($P172)=0,"",$P172)</f>
        <v/>
      </c>
      <c r="W172" s="10" t="str">
        <f aca="false">IFERROR(1/(1/INDEX(PMTCT!$AC:$AC,MATCH($E172,PMTCT!$E:$E,0))),"")</f>
        <v/>
      </c>
      <c r="X172" s="10" t="str">
        <f aca="false">IFERROR(1/(1/INDEX(PMTCT!$AS:$AS,MATCH($E172,PMTCT!$E:$E,0))),"")</f>
        <v/>
      </c>
      <c r="Y172" s="10" t="str">
        <f aca="false">IFERROR(1/(1/INDEX(VMMC!$AA:$AA,MATCH($E172,VMMC!$E:$E,0))),"")</f>
        <v/>
      </c>
      <c r="Z172" s="10" t="str">
        <f aca="false">IFERROR(1/(1/(SUM($U172)-SUM($V172:$Y172))),"")</f>
        <v/>
      </c>
    </row>
    <row r="173" customFormat="false" ht="15" hidden="false" customHeight="false" outlineLevel="0" collapsed="false">
      <c r="A173" s="0" t="str">
        <f aca="false">INDEX(Prioritization!$D:$D,MATCH($B173,Prioritization!$A:$A,0))</f>
        <v>1 - Scale-up: Saturation</v>
      </c>
      <c r="B173" s="0" t="s">
        <v>207</v>
      </c>
      <c r="C173" s="0" t="s">
        <v>364</v>
      </c>
      <c r="D173" s="0" t="s">
        <v>30</v>
      </c>
      <c r="E173" s="0" t="str">
        <f aca="false">B173&amp;"|"&amp;C173&amp;"|"&amp;D173</f>
        <v>Mzimba District [vA4NcHxfMBq]|10-14|Female</v>
      </c>
      <c r="F173" s="10" t="n">
        <v>5</v>
      </c>
      <c r="G173" s="88" t="n">
        <f aca="false">0</f>
        <v>0</v>
      </c>
      <c r="H173" s="39" t="n">
        <f aca="false">IF(SUM($F173)=0,"",ROUND($F173*(1+$G173),0))</f>
        <v>5</v>
      </c>
      <c r="I173" s="10"/>
      <c r="J173" s="88"/>
      <c r="K173" s="88" t="str">
        <f aca="false">IF($J173="","",$J173)</f>
        <v/>
      </c>
      <c r="L173" s="88"/>
      <c r="M173" s="88" t="str">
        <f aca="false">IF($L173="","",$L173)</f>
        <v/>
      </c>
      <c r="N173" s="10" t="n">
        <f aca="false">$H173</f>
        <v>5</v>
      </c>
      <c r="O173" s="39" t="str">
        <f aca="false">IF(SUM($N173)=0,"",IF(AND(SUM($N173)&gt;0,$K173=""),"ENTER KNOWN POSITIVITY RATE",ROUND($N173*$K173,0)))</f>
        <v>ENTER KNOWN POSITIVITY RATE</v>
      </c>
      <c r="P173" s="39" t="str">
        <f aca="false">IF(SUM($N173)=0,"",IF(AND((SUM($N173)-SUM($O173))&gt;0,$M173=""),"ENTER YIELD RATE",ROUND(($N173-SUM($O173))*$M173,0)))</f>
        <v>ENTER YIELD RATE</v>
      </c>
      <c r="Q173" s="39" t="n">
        <f aca="false">IF(SUM($N173)=0,"",$N173-SUM($O173)-SUM($P173))</f>
        <v>5</v>
      </c>
      <c r="R173" s="88" t="str">
        <f aca="false">IF(SUM($P173)=0,"",INDEX(Cascade!$BG:$BG,MATCH($E173,Cascade!$E:$E,0)))</f>
        <v/>
      </c>
      <c r="S173" s="39" t="str">
        <f aca="false">$O173</f>
        <v>ENTER KNOWN POSITIVITY RATE</v>
      </c>
      <c r="T173" s="39" t="str">
        <f aca="false">IF(SUM($P173)=0,"",IF(AND($R173="",SUM($P173)&gt;0),"&lt;- Enter Linkage Rate",ROUND($P173*$R173,0)))</f>
        <v/>
      </c>
      <c r="U173" s="10" t="n">
        <f aca="false">IFERROR(1/(1/INDEX(Cascade!$BH:$BH,MATCH($E173,Cascade!$E:$E,0))),"")</f>
        <v>-98</v>
      </c>
      <c r="V173" s="10" t="str">
        <f aca="false">IF(SUM($P173)=0,"",$P173)</f>
        <v/>
      </c>
      <c r="W173" s="10" t="str">
        <f aca="false">IFERROR(1/(1/INDEX(PMTCT!$AC:$AC,MATCH($E173,PMTCT!$E:$E,0))),"")</f>
        <v/>
      </c>
      <c r="X173" s="10" t="str">
        <f aca="false">IFERROR(1/(1/INDEX(PMTCT!$AS:$AS,MATCH($E173,PMTCT!$E:$E,0))),"")</f>
        <v/>
      </c>
      <c r="Y173" s="10" t="str">
        <f aca="false">IFERROR(1/(1/INDEX(VMMC!$AA:$AA,MATCH($E173,VMMC!$E:$E,0))),"")</f>
        <v/>
      </c>
      <c r="Z173" s="10" t="n">
        <f aca="false">IFERROR(1/(1/(SUM($U173)-SUM($V173:$Y173))),"")</f>
        <v>-98</v>
      </c>
    </row>
    <row r="174" customFormat="false" ht="15" hidden="false" customHeight="false" outlineLevel="0" collapsed="false">
      <c r="A174" s="0" t="str">
        <f aca="false">INDEX(Prioritization!$D:$D,MATCH($B174,Prioritization!$A:$A,0))</f>
        <v>1 - Scale-up: Saturation</v>
      </c>
      <c r="B174" s="0" t="s">
        <v>207</v>
      </c>
      <c r="C174" s="0" t="s">
        <v>364</v>
      </c>
      <c r="D174" s="0" t="s">
        <v>48</v>
      </c>
      <c r="E174" s="0" t="str">
        <f aca="false">B174&amp;"|"&amp;C174&amp;"|"&amp;D174</f>
        <v>Mzimba District [vA4NcHxfMBq]|10-14|Male</v>
      </c>
      <c r="F174" s="10" t="n">
        <v>4</v>
      </c>
      <c r="G174" s="88" t="n">
        <f aca="false">0</f>
        <v>0</v>
      </c>
      <c r="H174" s="39" t="n">
        <f aca="false">IF(SUM($F174)=0,"",ROUND($F174*(1+$G174),0))</f>
        <v>4</v>
      </c>
      <c r="I174" s="10"/>
      <c r="J174" s="88"/>
      <c r="K174" s="88" t="str">
        <f aca="false">IF($J174="","",$J174)</f>
        <v/>
      </c>
      <c r="L174" s="88"/>
      <c r="M174" s="88" t="str">
        <f aca="false">IF($L174="","",$L174)</f>
        <v/>
      </c>
      <c r="N174" s="10" t="n">
        <f aca="false">$H174</f>
        <v>4</v>
      </c>
      <c r="O174" s="39" t="str">
        <f aca="false">IF(SUM($N174)=0,"",IF(AND(SUM($N174)&gt;0,$K174=""),"ENTER KNOWN POSITIVITY RATE",ROUND($N174*$K174,0)))</f>
        <v>ENTER KNOWN POSITIVITY RATE</v>
      </c>
      <c r="P174" s="39" t="str">
        <f aca="false">IF(SUM($N174)=0,"",IF(AND((SUM($N174)-SUM($O174))&gt;0,$M174=""),"ENTER YIELD RATE",ROUND(($N174-SUM($O174))*$M174,0)))</f>
        <v>ENTER YIELD RATE</v>
      </c>
      <c r="Q174" s="39" t="n">
        <f aca="false">IF(SUM($N174)=0,"",$N174-SUM($O174)-SUM($P174))</f>
        <v>4</v>
      </c>
      <c r="R174" s="88" t="str">
        <f aca="false">IF(SUM($P174)=0,"",INDEX(Cascade!$BG:$BG,MATCH($E174,Cascade!$E:$E,0)))</f>
        <v/>
      </c>
      <c r="S174" s="39" t="str">
        <f aca="false">$O174</f>
        <v>ENTER KNOWN POSITIVITY RATE</v>
      </c>
      <c r="T174" s="39" t="str">
        <f aca="false">IF(SUM($P174)=0,"",IF(AND($R174="",SUM($P174)&gt;0),"&lt;- Enter Linkage Rate",ROUND($P174*$R174,0)))</f>
        <v/>
      </c>
      <c r="U174" s="10" t="n">
        <f aca="false">IFERROR(1/(1/INDEX(Cascade!$BH:$BH,MATCH($E174,Cascade!$E:$E,0))),"")</f>
        <v>-99</v>
      </c>
      <c r="V174" s="10" t="str">
        <f aca="false">IF(SUM($P174)=0,"",$P174)</f>
        <v/>
      </c>
      <c r="W174" s="10" t="str">
        <f aca="false">IFERROR(1/(1/INDEX(PMTCT!$AC:$AC,MATCH($E174,PMTCT!$E:$E,0))),"")</f>
        <v/>
      </c>
      <c r="X174" s="10" t="str">
        <f aca="false">IFERROR(1/(1/INDEX(PMTCT!$AS:$AS,MATCH($E174,PMTCT!$E:$E,0))),"")</f>
        <v/>
      </c>
      <c r="Y174" s="10" t="str">
        <f aca="false">IFERROR(1/(1/INDEX(VMMC!$AA:$AA,MATCH($E174,VMMC!$E:$E,0))),"")</f>
        <v/>
      </c>
      <c r="Z174" s="10" t="n">
        <f aca="false">IFERROR(1/(1/(SUM($U174)-SUM($V174:$Y174))),"")</f>
        <v>-99</v>
      </c>
    </row>
    <row r="175" customFormat="false" ht="15" hidden="false" customHeight="false" outlineLevel="0" collapsed="false">
      <c r="A175" s="0" t="str">
        <f aca="false">INDEX(Prioritization!$D:$D,MATCH($B175,Prioritization!$A:$A,0))</f>
        <v>1 - Scale-up: Saturation</v>
      </c>
      <c r="B175" s="0" t="s">
        <v>207</v>
      </c>
      <c r="C175" s="0" t="s">
        <v>365</v>
      </c>
      <c r="D175" s="0" t="s">
        <v>30</v>
      </c>
      <c r="E175" s="0" t="str">
        <f aca="false">B175&amp;"|"&amp;C175&amp;"|"&amp;D175</f>
        <v>Mzimba District [vA4NcHxfMBq]|15-24|Female</v>
      </c>
      <c r="F175" s="10"/>
      <c r="G175" s="88" t="n">
        <f aca="false">0</f>
        <v>0</v>
      </c>
      <c r="H175" s="39" t="str">
        <f aca="false">IF(SUM($F175)=0,"",ROUND($F175*(1+$G175),0))</f>
        <v/>
      </c>
      <c r="I175" s="10"/>
      <c r="J175" s="88"/>
      <c r="K175" s="88" t="str">
        <f aca="false">IF($J175="","",$J175)</f>
        <v/>
      </c>
      <c r="L175" s="88"/>
      <c r="M175" s="88" t="str">
        <f aca="false">IF($L175="","",$L175)</f>
        <v/>
      </c>
      <c r="N175" s="10" t="str">
        <f aca="false">$H175</f>
        <v/>
      </c>
      <c r="O175" s="39" t="str">
        <f aca="false">IF(SUM($N175)=0,"",IF(AND(SUM($N175)&gt;0,$K175=""),"ENTER KNOWN POSITIVITY RATE",ROUND($N175*$K175,0)))</f>
        <v/>
      </c>
      <c r="P175" s="39" t="str">
        <f aca="false">IF(SUM($N175)=0,"",IF(AND((SUM($N175)-SUM($O175))&gt;0,$M175=""),"ENTER YIELD RATE",ROUND(($N175-SUM($O175))*$M175,0)))</f>
        <v/>
      </c>
      <c r="Q175" s="39" t="str">
        <f aca="false">IF(SUM($N175)=0,"",$N175-SUM($O175)-SUM($P175))</f>
        <v/>
      </c>
      <c r="R175" s="88" t="str">
        <f aca="false">IF(SUM($P175)=0,"",INDEX(Cascade!$BG:$BG,MATCH($E175,Cascade!$E:$E,0)))</f>
        <v/>
      </c>
      <c r="S175" s="39" t="str">
        <f aca="false">$O175</f>
        <v/>
      </c>
      <c r="T175" s="39" t="str">
        <f aca="false">IF(SUM($P175)=0,"",IF(AND($R175="",SUM($P175)&gt;0),"&lt;- Enter Linkage Rate",ROUND($P175*$R175,0)))</f>
        <v/>
      </c>
      <c r="U175" s="10" t="str">
        <f aca="false">IFERROR(1/(1/INDEX(Cascade!$BH:$BH,MATCH($E175,Cascade!$E:$E,0))),"")</f>
        <v/>
      </c>
      <c r="V175" s="10" t="str">
        <f aca="false">IF(SUM($P175)=0,"",$P175)</f>
        <v/>
      </c>
      <c r="W175" s="10" t="str">
        <f aca="false">IFERROR(1/(1/INDEX(PMTCT!$AC:$AC,MATCH($E175,PMTCT!$E:$E,0))),"")</f>
        <v/>
      </c>
      <c r="X175" s="10" t="str">
        <f aca="false">IFERROR(1/(1/INDEX(PMTCT!$AS:$AS,MATCH($E175,PMTCT!$E:$E,0))),"")</f>
        <v/>
      </c>
      <c r="Y175" s="10" t="str">
        <f aca="false">IFERROR(1/(1/INDEX(VMMC!$AA:$AA,MATCH($E175,VMMC!$E:$E,0))),"")</f>
        <v/>
      </c>
      <c r="Z175" s="10" t="str">
        <f aca="false">IFERROR(1/(1/(SUM($U175)-SUM($V175:$Y175))),"")</f>
        <v/>
      </c>
    </row>
    <row r="176" customFormat="false" ht="15" hidden="false" customHeight="false" outlineLevel="0" collapsed="false">
      <c r="A176" s="0" t="str">
        <f aca="false">INDEX(Prioritization!$D:$D,MATCH($B176,Prioritization!$A:$A,0))</f>
        <v>1 - Scale-up: Saturation</v>
      </c>
      <c r="B176" s="0" t="s">
        <v>207</v>
      </c>
      <c r="C176" s="0" t="s">
        <v>365</v>
      </c>
      <c r="D176" s="0" t="s">
        <v>48</v>
      </c>
      <c r="E176" s="0" t="str">
        <f aca="false">B176&amp;"|"&amp;C176&amp;"|"&amp;D176</f>
        <v>Mzimba District [vA4NcHxfMBq]|15-24|Male</v>
      </c>
      <c r="F176" s="10"/>
      <c r="G176" s="88" t="n">
        <f aca="false">0</f>
        <v>0</v>
      </c>
      <c r="H176" s="39" t="str">
        <f aca="false">IF(SUM($F176)=0,"",ROUND($F176*(1+$G176),0))</f>
        <v/>
      </c>
      <c r="I176" s="10"/>
      <c r="J176" s="88"/>
      <c r="K176" s="88" t="str">
        <f aca="false">IF($J176="","",$J176)</f>
        <v/>
      </c>
      <c r="L176" s="88"/>
      <c r="M176" s="88" t="str">
        <f aca="false">IF($L176="","",$L176)</f>
        <v/>
      </c>
      <c r="N176" s="10" t="str">
        <f aca="false">$H176</f>
        <v/>
      </c>
      <c r="O176" s="39" t="str">
        <f aca="false">IF(SUM($N176)=0,"",IF(AND(SUM($N176)&gt;0,$K176=""),"ENTER KNOWN POSITIVITY RATE",ROUND($N176*$K176,0)))</f>
        <v/>
      </c>
      <c r="P176" s="39" t="str">
        <f aca="false">IF(SUM($N176)=0,"",IF(AND((SUM($N176)-SUM($O176))&gt;0,$M176=""),"ENTER YIELD RATE",ROUND(($N176-SUM($O176))*$M176,0)))</f>
        <v/>
      </c>
      <c r="Q176" s="39" t="str">
        <f aca="false">IF(SUM($N176)=0,"",$N176-SUM($O176)-SUM($P176))</f>
        <v/>
      </c>
      <c r="R176" s="88" t="str">
        <f aca="false">IF(SUM($P176)=0,"",INDEX(Cascade!$BG:$BG,MATCH($E176,Cascade!$E:$E,0)))</f>
        <v/>
      </c>
      <c r="S176" s="39" t="str">
        <f aca="false">$O176</f>
        <v/>
      </c>
      <c r="T176" s="39" t="str">
        <f aca="false">IF(SUM($P176)=0,"",IF(AND($R176="",SUM($P176)&gt;0),"&lt;- Enter Linkage Rate",ROUND($P176*$R176,0)))</f>
        <v/>
      </c>
      <c r="U176" s="10" t="str">
        <f aca="false">IFERROR(1/(1/INDEX(Cascade!$BH:$BH,MATCH($E176,Cascade!$E:$E,0))),"")</f>
        <v/>
      </c>
      <c r="V176" s="10" t="str">
        <f aca="false">IF(SUM($P176)=0,"",$P176)</f>
        <v/>
      </c>
      <c r="W176" s="10" t="str">
        <f aca="false">IFERROR(1/(1/INDEX(PMTCT!$AC:$AC,MATCH($E176,PMTCT!$E:$E,0))),"")</f>
        <v/>
      </c>
      <c r="X176" s="10" t="str">
        <f aca="false">IFERROR(1/(1/INDEX(PMTCT!$AS:$AS,MATCH($E176,PMTCT!$E:$E,0))),"")</f>
        <v/>
      </c>
      <c r="Y176" s="10" t="str">
        <f aca="false">IFERROR(1/(1/INDEX(VMMC!$AA:$AA,MATCH($E176,VMMC!$E:$E,0))),"")</f>
        <v/>
      </c>
      <c r="Z176" s="10" t="str">
        <f aca="false">IFERROR(1/(1/(SUM($U176)-SUM($V176:$Y176))),"")</f>
        <v/>
      </c>
    </row>
    <row r="177" customFormat="false" ht="15" hidden="false" customHeight="false" outlineLevel="0" collapsed="false">
      <c r="A177" s="0" t="str">
        <f aca="false">INDEX(Prioritization!$D:$D,MATCH($B177,Prioritization!$A:$A,0))</f>
        <v>1 - Scale-up: Saturation</v>
      </c>
      <c r="B177" s="0" t="s">
        <v>207</v>
      </c>
      <c r="C177" s="0" t="s">
        <v>366</v>
      </c>
      <c r="D177" s="0" t="s">
        <v>30</v>
      </c>
      <c r="E177" s="0" t="str">
        <f aca="false">B177&amp;"|"&amp;C177&amp;"|"&amp;D177</f>
        <v>Mzimba District [vA4NcHxfMBq]|25-34|Female</v>
      </c>
      <c r="F177" s="10"/>
      <c r="G177" s="88" t="n">
        <f aca="false">0</f>
        <v>0</v>
      </c>
      <c r="H177" s="39" t="str">
        <f aca="false">IF(SUM($F177)=0,"",ROUND($F177*(1+$G177),0))</f>
        <v/>
      </c>
      <c r="I177" s="10"/>
      <c r="J177" s="88"/>
      <c r="K177" s="88" t="str">
        <f aca="false">IF($J177="","",$J177)</f>
        <v/>
      </c>
      <c r="L177" s="88"/>
      <c r="M177" s="88" t="str">
        <f aca="false">IF($L177="","",$L177)</f>
        <v/>
      </c>
      <c r="N177" s="10" t="str">
        <f aca="false">$H177</f>
        <v/>
      </c>
      <c r="O177" s="39" t="str">
        <f aca="false">IF(SUM($N177)=0,"",IF(AND(SUM($N177)&gt;0,$K177=""),"ENTER KNOWN POSITIVITY RATE",ROUND($N177*$K177,0)))</f>
        <v/>
      </c>
      <c r="P177" s="39" t="str">
        <f aca="false">IF(SUM($N177)=0,"",IF(AND((SUM($N177)-SUM($O177))&gt;0,$M177=""),"ENTER YIELD RATE",ROUND(($N177-SUM($O177))*$M177,0)))</f>
        <v/>
      </c>
      <c r="Q177" s="39" t="str">
        <f aca="false">IF(SUM($N177)=0,"",$N177-SUM($O177)-SUM($P177))</f>
        <v/>
      </c>
      <c r="R177" s="88" t="str">
        <f aca="false">IF(SUM($P177)=0,"",INDEX(Cascade!$BG:$BG,MATCH($E177,Cascade!$E:$E,0)))</f>
        <v/>
      </c>
      <c r="S177" s="39" t="str">
        <f aca="false">$O177</f>
        <v/>
      </c>
      <c r="T177" s="39" t="str">
        <f aca="false">IF(SUM($P177)=0,"",IF(AND($R177="",SUM($P177)&gt;0),"&lt;- Enter Linkage Rate",ROUND($P177*$R177,0)))</f>
        <v/>
      </c>
      <c r="U177" s="10" t="str">
        <f aca="false">IFERROR(1/(1/INDEX(Cascade!$BH:$BH,MATCH($E177,Cascade!$E:$E,0))),"")</f>
        <v/>
      </c>
      <c r="V177" s="10" t="str">
        <f aca="false">IF(SUM($P177)=0,"",$P177)</f>
        <v/>
      </c>
      <c r="W177" s="10" t="str">
        <f aca="false">IFERROR(1/(1/INDEX(PMTCT!$AC:$AC,MATCH($E177,PMTCT!$E:$E,0))),"")</f>
        <v/>
      </c>
      <c r="X177" s="10" t="str">
        <f aca="false">IFERROR(1/(1/INDEX(PMTCT!$AS:$AS,MATCH($E177,PMTCT!$E:$E,0))),"")</f>
        <v/>
      </c>
      <c r="Y177" s="10" t="str">
        <f aca="false">IFERROR(1/(1/INDEX(VMMC!$AA:$AA,MATCH($E177,VMMC!$E:$E,0))),"")</f>
        <v/>
      </c>
      <c r="Z177" s="10" t="str">
        <f aca="false">IFERROR(1/(1/(SUM($U177)-SUM($V177:$Y177))),"")</f>
        <v/>
      </c>
    </row>
    <row r="178" customFormat="false" ht="15" hidden="false" customHeight="false" outlineLevel="0" collapsed="false">
      <c r="A178" s="0" t="str">
        <f aca="false">INDEX(Prioritization!$D:$D,MATCH($B178,Prioritization!$A:$A,0))</f>
        <v>1 - Scale-up: Saturation</v>
      </c>
      <c r="B178" s="0" t="s">
        <v>207</v>
      </c>
      <c r="C178" s="0" t="s">
        <v>366</v>
      </c>
      <c r="D178" s="0" t="s">
        <v>48</v>
      </c>
      <c r="E178" s="0" t="str">
        <f aca="false">B178&amp;"|"&amp;C178&amp;"|"&amp;D178</f>
        <v>Mzimba District [vA4NcHxfMBq]|25-34|Male</v>
      </c>
      <c r="F178" s="10"/>
      <c r="G178" s="88" t="n">
        <f aca="false">0</f>
        <v>0</v>
      </c>
      <c r="H178" s="39" t="str">
        <f aca="false">IF(SUM($F178)=0,"",ROUND($F178*(1+$G178),0))</f>
        <v/>
      </c>
      <c r="I178" s="10"/>
      <c r="J178" s="88"/>
      <c r="K178" s="88" t="str">
        <f aca="false">IF($J178="","",$J178)</f>
        <v/>
      </c>
      <c r="L178" s="88"/>
      <c r="M178" s="88" t="str">
        <f aca="false">IF($L178="","",$L178)</f>
        <v/>
      </c>
      <c r="N178" s="10" t="str">
        <f aca="false">$H178</f>
        <v/>
      </c>
      <c r="O178" s="39" t="str">
        <f aca="false">IF(SUM($N178)=0,"",IF(AND(SUM($N178)&gt;0,$K178=""),"ENTER KNOWN POSITIVITY RATE",ROUND($N178*$K178,0)))</f>
        <v/>
      </c>
      <c r="P178" s="39" t="str">
        <f aca="false">IF(SUM($N178)=0,"",IF(AND((SUM($N178)-SUM($O178))&gt;0,$M178=""),"ENTER YIELD RATE",ROUND(($N178-SUM($O178))*$M178,0)))</f>
        <v/>
      </c>
      <c r="Q178" s="39" t="str">
        <f aca="false">IF(SUM($N178)=0,"",$N178-SUM($O178)-SUM($P178))</f>
        <v/>
      </c>
      <c r="R178" s="88" t="str">
        <f aca="false">IF(SUM($P178)=0,"",INDEX(Cascade!$BG:$BG,MATCH($E178,Cascade!$E:$E,0)))</f>
        <v/>
      </c>
      <c r="S178" s="39" t="str">
        <f aca="false">$O178</f>
        <v/>
      </c>
      <c r="T178" s="39" t="str">
        <f aca="false">IF(SUM($P178)=0,"",IF(AND($R178="",SUM($P178)&gt;0),"&lt;- Enter Linkage Rate",ROUND($P178*$R178,0)))</f>
        <v/>
      </c>
      <c r="U178" s="10" t="str">
        <f aca="false">IFERROR(1/(1/INDEX(Cascade!$BH:$BH,MATCH($E178,Cascade!$E:$E,0))),"")</f>
        <v/>
      </c>
      <c r="V178" s="10" t="str">
        <f aca="false">IF(SUM($P178)=0,"",$P178)</f>
        <v/>
      </c>
      <c r="W178" s="10" t="str">
        <f aca="false">IFERROR(1/(1/INDEX(PMTCT!$AC:$AC,MATCH($E178,PMTCT!$E:$E,0))),"")</f>
        <v/>
      </c>
      <c r="X178" s="10" t="str">
        <f aca="false">IFERROR(1/(1/INDEX(PMTCT!$AS:$AS,MATCH($E178,PMTCT!$E:$E,0))),"")</f>
        <v/>
      </c>
      <c r="Y178" s="10" t="str">
        <f aca="false">IFERROR(1/(1/INDEX(VMMC!$AA:$AA,MATCH($E178,VMMC!$E:$E,0))),"")</f>
        <v/>
      </c>
      <c r="Z178" s="10" t="str">
        <f aca="false">IFERROR(1/(1/(SUM($U178)-SUM($V178:$Y178))),"")</f>
        <v/>
      </c>
    </row>
    <row r="179" customFormat="false" ht="15" hidden="false" customHeight="false" outlineLevel="0" collapsed="false">
      <c r="A179" s="0" t="str">
        <f aca="false">INDEX(Prioritization!$D:$D,MATCH($B179,Prioritization!$A:$A,0))</f>
        <v>1 - Scale-up: Saturation</v>
      </c>
      <c r="B179" s="0" t="s">
        <v>207</v>
      </c>
      <c r="C179" s="0" t="s">
        <v>367</v>
      </c>
      <c r="D179" s="0" t="s">
        <v>30</v>
      </c>
      <c r="E179" s="0" t="str">
        <f aca="false">B179&amp;"|"&amp;C179&amp;"|"&amp;D179</f>
        <v>Mzimba District [vA4NcHxfMBq]|35-49|Female</v>
      </c>
      <c r="F179" s="10"/>
      <c r="G179" s="88" t="n">
        <f aca="false">0</f>
        <v>0</v>
      </c>
      <c r="H179" s="39" t="str">
        <f aca="false">IF(SUM($F179)=0,"",ROUND($F179*(1+$G179),0))</f>
        <v/>
      </c>
      <c r="I179" s="10"/>
      <c r="J179" s="88"/>
      <c r="K179" s="88" t="str">
        <f aca="false">IF($J179="","",$J179)</f>
        <v/>
      </c>
      <c r="L179" s="88"/>
      <c r="M179" s="88" t="str">
        <f aca="false">IF($L179="","",$L179)</f>
        <v/>
      </c>
      <c r="N179" s="10" t="str">
        <f aca="false">$H179</f>
        <v/>
      </c>
      <c r="O179" s="39" t="str">
        <f aca="false">IF(SUM($N179)=0,"",IF(AND(SUM($N179)&gt;0,$K179=""),"ENTER KNOWN POSITIVITY RATE",ROUND($N179*$K179,0)))</f>
        <v/>
      </c>
      <c r="P179" s="39" t="str">
        <f aca="false">IF(SUM($N179)=0,"",IF(AND((SUM($N179)-SUM($O179))&gt;0,$M179=""),"ENTER YIELD RATE",ROUND(($N179-SUM($O179))*$M179,0)))</f>
        <v/>
      </c>
      <c r="Q179" s="39" t="str">
        <f aca="false">IF(SUM($N179)=0,"",$N179-SUM($O179)-SUM($P179))</f>
        <v/>
      </c>
      <c r="R179" s="88" t="str">
        <f aca="false">IF(SUM($P179)=0,"",INDEX(Cascade!$BG:$BG,MATCH($E179,Cascade!$E:$E,0)))</f>
        <v/>
      </c>
      <c r="S179" s="39" t="str">
        <f aca="false">$O179</f>
        <v/>
      </c>
      <c r="T179" s="39" t="str">
        <f aca="false">IF(SUM($P179)=0,"",IF(AND($R179="",SUM($P179)&gt;0),"&lt;- Enter Linkage Rate",ROUND($P179*$R179,0)))</f>
        <v/>
      </c>
      <c r="U179" s="10" t="str">
        <f aca="false">IFERROR(1/(1/INDEX(Cascade!$BH:$BH,MATCH($E179,Cascade!$E:$E,0))),"")</f>
        <v/>
      </c>
      <c r="V179" s="10" t="str">
        <f aca="false">IF(SUM($P179)=0,"",$P179)</f>
        <v/>
      </c>
      <c r="W179" s="10" t="str">
        <f aca="false">IFERROR(1/(1/INDEX(PMTCT!$AC:$AC,MATCH($E179,PMTCT!$E:$E,0))),"")</f>
        <v/>
      </c>
      <c r="X179" s="10" t="str">
        <f aca="false">IFERROR(1/(1/INDEX(PMTCT!$AS:$AS,MATCH($E179,PMTCT!$E:$E,0))),"")</f>
        <v/>
      </c>
      <c r="Y179" s="10" t="str">
        <f aca="false">IFERROR(1/(1/INDEX(VMMC!$AA:$AA,MATCH($E179,VMMC!$E:$E,0))),"")</f>
        <v/>
      </c>
      <c r="Z179" s="10" t="str">
        <f aca="false">IFERROR(1/(1/(SUM($U179)-SUM($V179:$Y179))),"")</f>
        <v/>
      </c>
    </row>
    <row r="180" customFormat="false" ht="15" hidden="false" customHeight="false" outlineLevel="0" collapsed="false">
      <c r="A180" s="0" t="str">
        <f aca="false">INDEX(Prioritization!$D:$D,MATCH($B180,Prioritization!$A:$A,0))</f>
        <v>1 - Scale-up: Saturation</v>
      </c>
      <c r="B180" s="0" t="s">
        <v>207</v>
      </c>
      <c r="C180" s="0" t="s">
        <v>367</v>
      </c>
      <c r="D180" s="0" t="s">
        <v>48</v>
      </c>
      <c r="E180" s="0" t="str">
        <f aca="false">B180&amp;"|"&amp;C180&amp;"|"&amp;D180</f>
        <v>Mzimba District [vA4NcHxfMBq]|35-49|Male</v>
      </c>
      <c r="F180" s="10"/>
      <c r="G180" s="88" t="n">
        <f aca="false">0</f>
        <v>0</v>
      </c>
      <c r="H180" s="39" t="str">
        <f aca="false">IF(SUM($F180)=0,"",ROUND($F180*(1+$G180),0))</f>
        <v/>
      </c>
      <c r="I180" s="10"/>
      <c r="J180" s="88"/>
      <c r="K180" s="88" t="str">
        <f aca="false">IF($J180="","",$J180)</f>
        <v/>
      </c>
      <c r="L180" s="88"/>
      <c r="M180" s="88" t="str">
        <f aca="false">IF($L180="","",$L180)</f>
        <v/>
      </c>
      <c r="N180" s="10" t="str">
        <f aca="false">$H180</f>
        <v/>
      </c>
      <c r="O180" s="39" t="str">
        <f aca="false">IF(SUM($N180)=0,"",IF(AND(SUM($N180)&gt;0,$K180=""),"ENTER KNOWN POSITIVITY RATE",ROUND($N180*$K180,0)))</f>
        <v/>
      </c>
      <c r="P180" s="39" t="str">
        <f aca="false">IF(SUM($N180)=0,"",IF(AND((SUM($N180)-SUM($O180))&gt;0,$M180=""),"ENTER YIELD RATE",ROUND(($N180-SUM($O180))*$M180,0)))</f>
        <v/>
      </c>
      <c r="Q180" s="39" t="str">
        <f aca="false">IF(SUM($N180)=0,"",$N180-SUM($O180)-SUM($P180))</f>
        <v/>
      </c>
      <c r="R180" s="88" t="str">
        <f aca="false">IF(SUM($P180)=0,"",INDEX(Cascade!$BG:$BG,MATCH($E180,Cascade!$E:$E,0)))</f>
        <v/>
      </c>
      <c r="S180" s="39" t="str">
        <f aca="false">$O180</f>
        <v/>
      </c>
      <c r="T180" s="39" t="str">
        <f aca="false">IF(SUM($P180)=0,"",IF(AND($R180="",SUM($P180)&gt;0),"&lt;- Enter Linkage Rate",ROUND($P180*$R180,0)))</f>
        <v/>
      </c>
      <c r="U180" s="10" t="str">
        <f aca="false">IFERROR(1/(1/INDEX(Cascade!$BH:$BH,MATCH($E180,Cascade!$E:$E,0))),"")</f>
        <v/>
      </c>
      <c r="V180" s="10" t="str">
        <f aca="false">IF(SUM($P180)=0,"",$P180)</f>
        <v/>
      </c>
      <c r="W180" s="10" t="str">
        <f aca="false">IFERROR(1/(1/INDEX(PMTCT!$AC:$AC,MATCH($E180,PMTCT!$E:$E,0))),"")</f>
        <v/>
      </c>
      <c r="X180" s="10" t="str">
        <f aca="false">IFERROR(1/(1/INDEX(PMTCT!$AS:$AS,MATCH($E180,PMTCT!$E:$E,0))),"")</f>
        <v/>
      </c>
      <c r="Y180" s="10" t="str">
        <f aca="false">IFERROR(1/(1/INDEX(VMMC!$AA:$AA,MATCH($E180,VMMC!$E:$E,0))),"")</f>
        <v/>
      </c>
      <c r="Z180" s="10" t="str">
        <f aca="false">IFERROR(1/(1/(SUM($U180)-SUM($V180:$Y180))),"")</f>
        <v/>
      </c>
    </row>
    <row r="181" customFormat="false" ht="15" hidden="false" customHeight="false" outlineLevel="0" collapsed="false">
      <c r="A181" s="0" t="str">
        <f aca="false">INDEX(Prioritization!$D:$D,MATCH($B181,Prioritization!$A:$A,0))</f>
        <v>1 - Scale-up: Saturation</v>
      </c>
      <c r="B181" s="0" t="s">
        <v>207</v>
      </c>
      <c r="C181" s="0" t="s">
        <v>368</v>
      </c>
      <c r="D181" s="0" t="s">
        <v>30</v>
      </c>
      <c r="E181" s="0" t="str">
        <f aca="false">B181&amp;"|"&amp;C181&amp;"|"&amp;D181</f>
        <v>Mzimba District [vA4NcHxfMBq]|50+|Female</v>
      </c>
      <c r="F181" s="10"/>
      <c r="G181" s="88" t="n">
        <f aca="false">0</f>
        <v>0</v>
      </c>
      <c r="H181" s="39" t="str">
        <f aca="false">IF(SUM($F181)=0,"",ROUND($F181*(1+$G181),0))</f>
        <v/>
      </c>
      <c r="I181" s="10"/>
      <c r="J181" s="88"/>
      <c r="K181" s="88" t="str">
        <f aca="false">IF($J181="","",$J181)</f>
        <v/>
      </c>
      <c r="L181" s="88"/>
      <c r="M181" s="88" t="str">
        <f aca="false">IF($L181="","",$L181)</f>
        <v/>
      </c>
      <c r="N181" s="10" t="str">
        <f aca="false">$H181</f>
        <v/>
      </c>
      <c r="O181" s="39" t="str">
        <f aca="false">IF(SUM($N181)=0,"",IF(AND(SUM($N181)&gt;0,$K181=""),"ENTER KNOWN POSITIVITY RATE",ROUND($N181*$K181,0)))</f>
        <v/>
      </c>
      <c r="P181" s="39" t="str">
        <f aca="false">IF(SUM($N181)=0,"",IF(AND((SUM($N181)-SUM($O181))&gt;0,$M181=""),"ENTER YIELD RATE",ROUND(($N181-SUM($O181))*$M181,0)))</f>
        <v/>
      </c>
      <c r="Q181" s="39" t="str">
        <f aca="false">IF(SUM($N181)=0,"",$N181-SUM($O181)-SUM($P181))</f>
        <v/>
      </c>
      <c r="R181" s="88" t="str">
        <f aca="false">IF(SUM($P181)=0,"",INDEX(Cascade!$BG:$BG,MATCH($E181,Cascade!$E:$E,0)))</f>
        <v/>
      </c>
      <c r="S181" s="39" t="str">
        <f aca="false">$O181</f>
        <v/>
      </c>
      <c r="T181" s="39" t="str">
        <f aca="false">IF(SUM($P181)=0,"",IF(AND($R181="",SUM($P181)&gt;0),"&lt;- Enter Linkage Rate",ROUND($P181*$R181,0)))</f>
        <v/>
      </c>
      <c r="U181" s="10" t="str">
        <f aca="false">IFERROR(1/(1/INDEX(Cascade!$BH:$BH,MATCH($E181,Cascade!$E:$E,0))),"")</f>
        <v/>
      </c>
      <c r="V181" s="10" t="str">
        <f aca="false">IF(SUM($P181)=0,"",$P181)</f>
        <v/>
      </c>
      <c r="W181" s="10" t="str">
        <f aca="false">IFERROR(1/(1/INDEX(PMTCT!$AC:$AC,MATCH($E181,PMTCT!$E:$E,0))),"")</f>
        <v/>
      </c>
      <c r="X181" s="10" t="str">
        <f aca="false">IFERROR(1/(1/INDEX(PMTCT!$AS:$AS,MATCH($E181,PMTCT!$E:$E,0))),"")</f>
        <v/>
      </c>
      <c r="Y181" s="10" t="str">
        <f aca="false">IFERROR(1/(1/INDEX(VMMC!$AA:$AA,MATCH($E181,VMMC!$E:$E,0))),"")</f>
        <v/>
      </c>
      <c r="Z181" s="10" t="str">
        <f aca="false">IFERROR(1/(1/(SUM($U181)-SUM($V181:$Y181))),"")</f>
        <v/>
      </c>
    </row>
    <row r="182" customFormat="false" ht="15" hidden="false" customHeight="false" outlineLevel="0" collapsed="false">
      <c r="A182" s="0" t="str">
        <f aca="false">INDEX(Prioritization!$D:$D,MATCH($B182,Prioritization!$A:$A,0))</f>
        <v>1 - Scale-up: Saturation</v>
      </c>
      <c r="B182" s="0" t="s">
        <v>207</v>
      </c>
      <c r="C182" s="0" t="s">
        <v>368</v>
      </c>
      <c r="D182" s="0" t="s">
        <v>48</v>
      </c>
      <c r="E182" s="0" t="str">
        <f aca="false">B182&amp;"|"&amp;C182&amp;"|"&amp;D182</f>
        <v>Mzimba District [vA4NcHxfMBq]|50+|Male</v>
      </c>
      <c r="F182" s="10"/>
      <c r="G182" s="88" t="n">
        <f aca="false">0</f>
        <v>0</v>
      </c>
      <c r="H182" s="39" t="str">
        <f aca="false">IF(SUM($F182)=0,"",ROUND($F182*(1+$G182),0))</f>
        <v/>
      </c>
      <c r="I182" s="10"/>
      <c r="J182" s="88"/>
      <c r="K182" s="88" t="str">
        <f aca="false">IF($J182="","",$J182)</f>
        <v/>
      </c>
      <c r="L182" s="88"/>
      <c r="M182" s="88" t="str">
        <f aca="false">IF($L182="","",$L182)</f>
        <v/>
      </c>
      <c r="N182" s="10" t="str">
        <f aca="false">$H182</f>
        <v/>
      </c>
      <c r="O182" s="39" t="str">
        <f aca="false">IF(SUM($N182)=0,"",IF(AND(SUM($N182)&gt;0,$K182=""),"ENTER KNOWN POSITIVITY RATE",ROUND($N182*$K182,0)))</f>
        <v/>
      </c>
      <c r="P182" s="39" t="str">
        <f aca="false">IF(SUM($N182)=0,"",IF(AND((SUM($N182)-SUM($O182))&gt;0,$M182=""),"ENTER YIELD RATE",ROUND(($N182-SUM($O182))*$M182,0)))</f>
        <v/>
      </c>
      <c r="Q182" s="39" t="str">
        <f aca="false">IF(SUM($N182)=0,"",$N182-SUM($O182)-SUM($P182))</f>
        <v/>
      </c>
      <c r="R182" s="88" t="str">
        <f aca="false">IF(SUM($P182)=0,"",INDEX(Cascade!$BG:$BG,MATCH($E182,Cascade!$E:$E,0)))</f>
        <v/>
      </c>
      <c r="S182" s="39" t="str">
        <f aca="false">$O182</f>
        <v/>
      </c>
      <c r="T182" s="39" t="str">
        <f aca="false">IF(SUM($P182)=0,"",IF(AND($R182="",SUM($P182)&gt;0),"&lt;- Enter Linkage Rate",ROUND($P182*$R182,0)))</f>
        <v/>
      </c>
      <c r="U182" s="10" t="str">
        <f aca="false">IFERROR(1/(1/INDEX(Cascade!$BH:$BH,MATCH($E182,Cascade!$E:$E,0))),"")</f>
        <v/>
      </c>
      <c r="V182" s="10" t="str">
        <f aca="false">IF(SUM($P182)=0,"",$P182)</f>
        <v/>
      </c>
      <c r="W182" s="10" t="str">
        <f aca="false">IFERROR(1/(1/INDEX(PMTCT!$AC:$AC,MATCH($E182,PMTCT!$E:$E,0))),"")</f>
        <v/>
      </c>
      <c r="X182" s="10" t="str">
        <f aca="false">IFERROR(1/(1/INDEX(PMTCT!$AS:$AS,MATCH($E182,PMTCT!$E:$E,0))),"")</f>
        <v/>
      </c>
      <c r="Y182" s="10" t="str">
        <f aca="false">IFERROR(1/(1/INDEX(VMMC!$AA:$AA,MATCH($E182,VMMC!$E:$E,0))),"")</f>
        <v/>
      </c>
      <c r="Z182" s="10" t="str">
        <f aca="false">IFERROR(1/(1/(SUM($U182)-SUM($V182:$Y182))),"")</f>
        <v/>
      </c>
    </row>
    <row r="183" customFormat="false" ht="15" hidden="false" customHeight="false" outlineLevel="0" collapsed="false">
      <c r="A183" s="0" t="str">
        <f aca="false">INDEX(Prioritization!$D:$D,MATCH($B183,Prioritization!$A:$A,0))</f>
        <v>INVALID</v>
      </c>
      <c r="B183" s="0" t="s">
        <v>208</v>
      </c>
      <c r="C183" s="0" t="s">
        <v>363</v>
      </c>
      <c r="D183" s="0" t="s">
        <v>30</v>
      </c>
      <c r="E183" s="0" t="str">
        <f aca="false">B183&amp;"|"&amp;C183&amp;"|"&amp;D183</f>
        <v>Nkhata Bay District [E7zpfyBt7Tw]|01-09|Female</v>
      </c>
      <c r="F183" s="10"/>
      <c r="G183" s="88" t="n">
        <f aca="false">0</f>
        <v>0</v>
      </c>
      <c r="H183" s="39" t="str">
        <f aca="false">IF(SUM($F183)=0,"",ROUND($F183*(1+$G183),0))</f>
        <v/>
      </c>
      <c r="I183" s="10"/>
      <c r="J183" s="88"/>
      <c r="K183" s="88" t="str">
        <f aca="false">IF($J183="","",$J183)</f>
        <v/>
      </c>
      <c r="L183" s="88"/>
      <c r="M183" s="88" t="str">
        <f aca="false">IF($L183="","",$L183)</f>
        <v/>
      </c>
      <c r="N183" s="10" t="str">
        <f aca="false">$H183</f>
        <v/>
      </c>
      <c r="O183" s="39" t="str">
        <f aca="false">IF(SUM($N183)=0,"",IF(AND(SUM($N183)&gt;0,$K183=""),"ENTER KNOWN POSITIVITY RATE",ROUND($N183*$K183,0)))</f>
        <v/>
      </c>
      <c r="P183" s="39" t="str">
        <f aca="false">IF(SUM($N183)=0,"",IF(AND((SUM($N183)-SUM($O183))&gt;0,$M183=""),"ENTER YIELD RATE",ROUND(($N183-SUM($O183))*$M183,0)))</f>
        <v/>
      </c>
      <c r="Q183" s="39" t="str">
        <f aca="false">IF(SUM($N183)=0,"",$N183-SUM($O183)-SUM($P183))</f>
        <v/>
      </c>
      <c r="R183" s="88" t="str">
        <f aca="false">IF(SUM($P183)=0,"",INDEX(Cascade!$BG:$BG,MATCH($E183,Cascade!$E:$E,0)))</f>
        <v/>
      </c>
      <c r="S183" s="39" t="str">
        <f aca="false">$O183</f>
        <v/>
      </c>
      <c r="T183" s="39" t="str">
        <f aca="false">IF(SUM($P183)=0,"",IF(AND($R183="",SUM($P183)&gt;0),"&lt;- Enter Linkage Rate",ROUND($P183*$R183,0)))</f>
        <v/>
      </c>
      <c r="U183" s="10" t="str">
        <f aca="false">IFERROR(1/(1/INDEX(Cascade!$BH:$BH,MATCH($E183,Cascade!$E:$E,0))),"")</f>
        <v/>
      </c>
      <c r="V183" s="10" t="str">
        <f aca="false">IF(SUM($P183)=0,"",$P183)</f>
        <v/>
      </c>
      <c r="W183" s="10" t="str">
        <f aca="false">IFERROR(1/(1/INDEX(PMTCT!$AC:$AC,MATCH($E183,PMTCT!$E:$E,0))),"")</f>
        <v/>
      </c>
      <c r="X183" s="10" t="str">
        <f aca="false">IFERROR(1/(1/INDEX(PMTCT!$AS:$AS,MATCH($E183,PMTCT!$E:$E,0))),"")</f>
        <v/>
      </c>
      <c r="Y183" s="10" t="str">
        <f aca="false">IFERROR(1/(1/INDEX(VMMC!$AA:$AA,MATCH($E183,VMMC!$E:$E,0))),"")</f>
        <v/>
      </c>
      <c r="Z183" s="10" t="str">
        <f aca="false">IFERROR(1/(1/(SUM($U183)-SUM($V183:$Y183))),"")</f>
        <v/>
      </c>
    </row>
    <row r="184" customFormat="false" ht="15" hidden="false" customHeight="false" outlineLevel="0" collapsed="false">
      <c r="A184" s="0" t="str">
        <f aca="false">INDEX(Prioritization!$D:$D,MATCH($B184,Prioritization!$A:$A,0))</f>
        <v>INVALID</v>
      </c>
      <c r="B184" s="0" t="s">
        <v>208</v>
      </c>
      <c r="C184" s="0" t="s">
        <v>363</v>
      </c>
      <c r="D184" s="0" t="s">
        <v>48</v>
      </c>
      <c r="E184" s="0" t="str">
        <f aca="false">B184&amp;"|"&amp;C184&amp;"|"&amp;D184</f>
        <v>Nkhata Bay District [E7zpfyBt7Tw]|01-09|Male</v>
      </c>
      <c r="F184" s="10"/>
      <c r="G184" s="88" t="n">
        <f aca="false">0</f>
        <v>0</v>
      </c>
      <c r="H184" s="39" t="str">
        <f aca="false">IF(SUM($F184)=0,"",ROUND($F184*(1+$G184),0))</f>
        <v/>
      </c>
      <c r="I184" s="10"/>
      <c r="J184" s="88"/>
      <c r="K184" s="88" t="str">
        <f aca="false">IF($J184="","",$J184)</f>
        <v/>
      </c>
      <c r="L184" s="88"/>
      <c r="M184" s="88" t="str">
        <f aca="false">IF($L184="","",$L184)</f>
        <v/>
      </c>
      <c r="N184" s="10" t="str">
        <f aca="false">$H184</f>
        <v/>
      </c>
      <c r="O184" s="39" t="str">
        <f aca="false">IF(SUM($N184)=0,"",IF(AND(SUM($N184)&gt;0,$K184=""),"ENTER KNOWN POSITIVITY RATE",ROUND($N184*$K184,0)))</f>
        <v/>
      </c>
      <c r="P184" s="39" t="str">
        <f aca="false">IF(SUM($N184)=0,"",IF(AND((SUM($N184)-SUM($O184))&gt;0,$M184=""),"ENTER YIELD RATE",ROUND(($N184-SUM($O184))*$M184,0)))</f>
        <v/>
      </c>
      <c r="Q184" s="39" t="str">
        <f aca="false">IF(SUM($N184)=0,"",$N184-SUM($O184)-SUM($P184))</f>
        <v/>
      </c>
      <c r="R184" s="88" t="str">
        <f aca="false">IF(SUM($P184)=0,"",INDEX(Cascade!$BG:$BG,MATCH($E184,Cascade!$E:$E,0)))</f>
        <v/>
      </c>
      <c r="S184" s="39" t="str">
        <f aca="false">$O184</f>
        <v/>
      </c>
      <c r="T184" s="39" t="str">
        <f aca="false">IF(SUM($P184)=0,"",IF(AND($R184="",SUM($P184)&gt;0),"&lt;- Enter Linkage Rate",ROUND($P184*$R184,0)))</f>
        <v/>
      </c>
      <c r="U184" s="10" t="str">
        <f aca="false">IFERROR(1/(1/INDEX(Cascade!$BH:$BH,MATCH($E184,Cascade!$E:$E,0))),"")</f>
        <v/>
      </c>
      <c r="V184" s="10" t="str">
        <f aca="false">IF(SUM($P184)=0,"",$P184)</f>
        <v/>
      </c>
      <c r="W184" s="10" t="str">
        <f aca="false">IFERROR(1/(1/INDEX(PMTCT!$AC:$AC,MATCH($E184,PMTCT!$E:$E,0))),"")</f>
        <v/>
      </c>
      <c r="X184" s="10" t="str">
        <f aca="false">IFERROR(1/(1/INDEX(PMTCT!$AS:$AS,MATCH($E184,PMTCT!$E:$E,0))),"")</f>
        <v/>
      </c>
      <c r="Y184" s="10" t="str">
        <f aca="false">IFERROR(1/(1/INDEX(VMMC!$AA:$AA,MATCH($E184,VMMC!$E:$E,0))),"")</f>
        <v/>
      </c>
      <c r="Z184" s="10" t="str">
        <f aca="false">IFERROR(1/(1/(SUM($U184)-SUM($V184:$Y184))),"")</f>
        <v/>
      </c>
    </row>
    <row r="185" customFormat="false" ht="15" hidden="false" customHeight="false" outlineLevel="0" collapsed="false">
      <c r="A185" s="0" t="str">
        <f aca="false">INDEX(Prioritization!$D:$D,MATCH($B185,Prioritization!$A:$A,0))</f>
        <v>INVALID</v>
      </c>
      <c r="B185" s="0" t="s">
        <v>208</v>
      </c>
      <c r="C185" s="0" t="s">
        <v>364</v>
      </c>
      <c r="D185" s="0" t="s">
        <v>30</v>
      </c>
      <c r="E185" s="0" t="str">
        <f aca="false">B185&amp;"|"&amp;C185&amp;"|"&amp;D185</f>
        <v>Nkhata Bay District [E7zpfyBt7Tw]|10-14|Female</v>
      </c>
      <c r="F185" s="10" t="n">
        <v>1</v>
      </c>
      <c r="G185" s="88" t="n">
        <f aca="false">0</f>
        <v>0</v>
      </c>
      <c r="H185" s="39" t="n">
        <f aca="false">IF(SUM($F185)=0,"",ROUND($F185*(1+$G185),0))</f>
        <v>1</v>
      </c>
      <c r="I185" s="10"/>
      <c r="J185" s="88"/>
      <c r="K185" s="88" t="str">
        <f aca="false">IF($J185="","",$J185)</f>
        <v/>
      </c>
      <c r="L185" s="88"/>
      <c r="M185" s="88" t="str">
        <f aca="false">IF($L185="","",$L185)</f>
        <v/>
      </c>
      <c r="N185" s="10" t="n">
        <f aca="false">$H185</f>
        <v>1</v>
      </c>
      <c r="O185" s="39" t="str">
        <f aca="false">IF(SUM($N185)=0,"",IF(AND(SUM($N185)&gt;0,$K185=""),"ENTER KNOWN POSITIVITY RATE",ROUND($N185*$K185,0)))</f>
        <v>ENTER KNOWN POSITIVITY RATE</v>
      </c>
      <c r="P185" s="39" t="str">
        <f aca="false">IF(SUM($N185)=0,"",IF(AND((SUM($N185)-SUM($O185))&gt;0,$M185=""),"ENTER YIELD RATE",ROUND(($N185-SUM($O185))*$M185,0)))</f>
        <v>ENTER YIELD RATE</v>
      </c>
      <c r="Q185" s="39" t="n">
        <f aca="false">IF(SUM($N185)=0,"",$N185-SUM($O185)-SUM($P185))</f>
        <v>1</v>
      </c>
      <c r="R185" s="88" t="str">
        <f aca="false">IF(SUM($P185)=0,"",INDEX(Cascade!$BG:$BG,MATCH($E185,Cascade!$E:$E,0)))</f>
        <v/>
      </c>
      <c r="S185" s="39" t="str">
        <f aca="false">$O185</f>
        <v>ENTER KNOWN POSITIVITY RATE</v>
      </c>
      <c r="T185" s="39" t="str">
        <f aca="false">IF(SUM($P185)=0,"",IF(AND($R185="",SUM($P185)&gt;0),"&lt;- Enter Linkage Rate",ROUND($P185*$R185,0)))</f>
        <v/>
      </c>
      <c r="U185" s="10" t="n">
        <f aca="false">IFERROR(1/(1/INDEX(Cascade!$BH:$BH,MATCH($E185,Cascade!$E:$E,0))),"")</f>
        <v>-76</v>
      </c>
      <c r="V185" s="10" t="str">
        <f aca="false">IF(SUM($P185)=0,"",$P185)</f>
        <v/>
      </c>
      <c r="W185" s="10" t="str">
        <f aca="false">IFERROR(1/(1/INDEX(PMTCT!$AC:$AC,MATCH($E185,PMTCT!$E:$E,0))),"")</f>
        <v/>
      </c>
      <c r="X185" s="10" t="str">
        <f aca="false">IFERROR(1/(1/INDEX(PMTCT!$AS:$AS,MATCH($E185,PMTCT!$E:$E,0))),"")</f>
        <v/>
      </c>
      <c r="Y185" s="10" t="str">
        <f aca="false">IFERROR(1/(1/INDEX(VMMC!$AA:$AA,MATCH($E185,VMMC!$E:$E,0))),"")</f>
        <v/>
      </c>
      <c r="Z185" s="10" t="n">
        <f aca="false">IFERROR(1/(1/(SUM($U185)-SUM($V185:$Y185))),"")</f>
        <v>-76</v>
      </c>
    </row>
    <row r="186" customFormat="false" ht="15" hidden="false" customHeight="false" outlineLevel="0" collapsed="false">
      <c r="A186" s="0" t="str">
        <f aca="false">INDEX(Prioritization!$D:$D,MATCH($B186,Prioritization!$A:$A,0))</f>
        <v>INVALID</v>
      </c>
      <c r="B186" s="0" t="s">
        <v>208</v>
      </c>
      <c r="C186" s="0" t="s">
        <v>364</v>
      </c>
      <c r="D186" s="0" t="s">
        <v>48</v>
      </c>
      <c r="E186" s="0" t="str">
        <f aca="false">B186&amp;"|"&amp;C186&amp;"|"&amp;D186</f>
        <v>Nkhata Bay District [E7zpfyBt7Tw]|10-14|Male</v>
      </c>
      <c r="F186" s="10" t="n">
        <v>0</v>
      </c>
      <c r="G186" s="88" t="n">
        <f aca="false">0</f>
        <v>0</v>
      </c>
      <c r="H186" s="39" t="str">
        <f aca="false">IF(SUM($F186)=0,"",ROUND($F186*(1+$G186),0))</f>
        <v/>
      </c>
      <c r="I186" s="10"/>
      <c r="J186" s="88"/>
      <c r="K186" s="88" t="str">
        <f aca="false">IF($J186="","",$J186)</f>
        <v/>
      </c>
      <c r="L186" s="88"/>
      <c r="M186" s="88" t="str">
        <f aca="false">IF($L186="","",$L186)</f>
        <v/>
      </c>
      <c r="N186" s="10" t="str">
        <f aca="false">$H186</f>
        <v/>
      </c>
      <c r="O186" s="39" t="str">
        <f aca="false">IF(SUM($N186)=0,"",IF(AND(SUM($N186)&gt;0,$K186=""),"ENTER KNOWN POSITIVITY RATE",ROUND($N186*$K186,0)))</f>
        <v/>
      </c>
      <c r="P186" s="39" t="str">
        <f aca="false">IF(SUM($N186)=0,"",IF(AND((SUM($N186)-SUM($O186))&gt;0,$M186=""),"ENTER YIELD RATE",ROUND(($N186-SUM($O186))*$M186,0)))</f>
        <v/>
      </c>
      <c r="Q186" s="39" t="str">
        <f aca="false">IF(SUM($N186)=0,"",$N186-SUM($O186)-SUM($P186))</f>
        <v/>
      </c>
      <c r="R186" s="88" t="str">
        <f aca="false">IF(SUM($P186)=0,"",INDEX(Cascade!$BG:$BG,MATCH($E186,Cascade!$E:$E,0)))</f>
        <v/>
      </c>
      <c r="S186" s="39" t="str">
        <f aca="false">$O186</f>
        <v/>
      </c>
      <c r="T186" s="39" t="str">
        <f aca="false">IF(SUM($P186)=0,"",IF(AND($R186="",SUM($P186)&gt;0),"&lt;- Enter Linkage Rate",ROUND($P186*$R186,0)))</f>
        <v/>
      </c>
      <c r="U186" s="10" t="n">
        <f aca="false">IFERROR(1/(1/INDEX(Cascade!$BH:$BH,MATCH($E186,Cascade!$E:$E,0))),"")</f>
        <v>-87</v>
      </c>
      <c r="V186" s="10" t="str">
        <f aca="false">IF(SUM($P186)=0,"",$P186)</f>
        <v/>
      </c>
      <c r="W186" s="10" t="str">
        <f aca="false">IFERROR(1/(1/INDEX(PMTCT!$AC:$AC,MATCH($E186,PMTCT!$E:$E,0))),"")</f>
        <v/>
      </c>
      <c r="X186" s="10" t="str">
        <f aca="false">IFERROR(1/(1/INDEX(PMTCT!$AS:$AS,MATCH($E186,PMTCT!$E:$E,0))),"")</f>
        <v/>
      </c>
      <c r="Y186" s="10" t="str">
        <f aca="false">IFERROR(1/(1/INDEX(VMMC!$AA:$AA,MATCH($E186,VMMC!$E:$E,0))),"")</f>
        <v/>
      </c>
      <c r="Z186" s="10" t="n">
        <f aca="false">IFERROR(1/(1/(SUM($U186)-SUM($V186:$Y186))),"")</f>
        <v>-87</v>
      </c>
    </row>
    <row r="187" customFormat="false" ht="15" hidden="false" customHeight="false" outlineLevel="0" collapsed="false">
      <c r="A187" s="0" t="str">
        <f aca="false">INDEX(Prioritization!$D:$D,MATCH($B187,Prioritization!$A:$A,0))</f>
        <v>INVALID</v>
      </c>
      <c r="B187" s="0" t="s">
        <v>208</v>
      </c>
      <c r="C187" s="0" t="s">
        <v>365</v>
      </c>
      <c r="D187" s="0" t="s">
        <v>30</v>
      </c>
      <c r="E187" s="0" t="str">
        <f aca="false">B187&amp;"|"&amp;C187&amp;"|"&amp;D187</f>
        <v>Nkhata Bay District [E7zpfyBt7Tw]|15-24|Female</v>
      </c>
      <c r="F187" s="10"/>
      <c r="G187" s="88" t="n">
        <f aca="false">0</f>
        <v>0</v>
      </c>
      <c r="H187" s="39" t="str">
        <f aca="false">IF(SUM($F187)=0,"",ROUND($F187*(1+$G187),0))</f>
        <v/>
      </c>
      <c r="I187" s="10"/>
      <c r="J187" s="88"/>
      <c r="K187" s="88" t="str">
        <f aca="false">IF($J187="","",$J187)</f>
        <v/>
      </c>
      <c r="L187" s="88"/>
      <c r="M187" s="88" t="str">
        <f aca="false">IF($L187="","",$L187)</f>
        <v/>
      </c>
      <c r="N187" s="10" t="str">
        <f aca="false">$H187</f>
        <v/>
      </c>
      <c r="O187" s="39" t="str">
        <f aca="false">IF(SUM($N187)=0,"",IF(AND(SUM($N187)&gt;0,$K187=""),"ENTER KNOWN POSITIVITY RATE",ROUND($N187*$K187,0)))</f>
        <v/>
      </c>
      <c r="P187" s="39" t="str">
        <f aca="false">IF(SUM($N187)=0,"",IF(AND((SUM($N187)-SUM($O187))&gt;0,$M187=""),"ENTER YIELD RATE",ROUND(($N187-SUM($O187))*$M187,0)))</f>
        <v/>
      </c>
      <c r="Q187" s="39" t="str">
        <f aca="false">IF(SUM($N187)=0,"",$N187-SUM($O187)-SUM($P187))</f>
        <v/>
      </c>
      <c r="R187" s="88" t="str">
        <f aca="false">IF(SUM($P187)=0,"",INDEX(Cascade!$BG:$BG,MATCH($E187,Cascade!$E:$E,0)))</f>
        <v/>
      </c>
      <c r="S187" s="39" t="str">
        <f aca="false">$O187</f>
        <v/>
      </c>
      <c r="T187" s="39" t="str">
        <f aca="false">IF(SUM($P187)=0,"",IF(AND($R187="",SUM($P187)&gt;0),"&lt;- Enter Linkage Rate",ROUND($P187*$R187,0)))</f>
        <v/>
      </c>
      <c r="U187" s="10" t="str">
        <f aca="false">IFERROR(1/(1/INDEX(Cascade!$BH:$BH,MATCH($E187,Cascade!$E:$E,0))),"")</f>
        <v/>
      </c>
      <c r="V187" s="10" t="str">
        <f aca="false">IF(SUM($P187)=0,"",$P187)</f>
        <v/>
      </c>
      <c r="W187" s="10" t="str">
        <f aca="false">IFERROR(1/(1/INDEX(PMTCT!$AC:$AC,MATCH($E187,PMTCT!$E:$E,0))),"")</f>
        <v/>
      </c>
      <c r="X187" s="10" t="str">
        <f aca="false">IFERROR(1/(1/INDEX(PMTCT!$AS:$AS,MATCH($E187,PMTCT!$E:$E,0))),"")</f>
        <v/>
      </c>
      <c r="Y187" s="10" t="str">
        <f aca="false">IFERROR(1/(1/INDEX(VMMC!$AA:$AA,MATCH($E187,VMMC!$E:$E,0))),"")</f>
        <v/>
      </c>
      <c r="Z187" s="10" t="str">
        <f aca="false">IFERROR(1/(1/(SUM($U187)-SUM($V187:$Y187))),"")</f>
        <v/>
      </c>
    </row>
    <row r="188" customFormat="false" ht="15" hidden="false" customHeight="false" outlineLevel="0" collapsed="false">
      <c r="A188" s="0" t="str">
        <f aca="false">INDEX(Prioritization!$D:$D,MATCH($B188,Prioritization!$A:$A,0))</f>
        <v>INVALID</v>
      </c>
      <c r="B188" s="0" t="s">
        <v>208</v>
      </c>
      <c r="C188" s="0" t="s">
        <v>365</v>
      </c>
      <c r="D188" s="0" t="s">
        <v>48</v>
      </c>
      <c r="E188" s="0" t="str">
        <f aca="false">B188&amp;"|"&amp;C188&amp;"|"&amp;D188</f>
        <v>Nkhata Bay District [E7zpfyBt7Tw]|15-24|Male</v>
      </c>
      <c r="F188" s="10"/>
      <c r="G188" s="88" t="n">
        <f aca="false">0</f>
        <v>0</v>
      </c>
      <c r="H188" s="39" t="str">
        <f aca="false">IF(SUM($F188)=0,"",ROUND($F188*(1+$G188),0))</f>
        <v/>
      </c>
      <c r="I188" s="10"/>
      <c r="J188" s="88"/>
      <c r="K188" s="88" t="str">
        <f aca="false">IF($J188="","",$J188)</f>
        <v/>
      </c>
      <c r="L188" s="88"/>
      <c r="M188" s="88" t="str">
        <f aca="false">IF($L188="","",$L188)</f>
        <v/>
      </c>
      <c r="N188" s="10" t="str">
        <f aca="false">$H188</f>
        <v/>
      </c>
      <c r="O188" s="39" t="str">
        <f aca="false">IF(SUM($N188)=0,"",IF(AND(SUM($N188)&gt;0,$K188=""),"ENTER KNOWN POSITIVITY RATE",ROUND($N188*$K188,0)))</f>
        <v/>
      </c>
      <c r="P188" s="39" t="str">
        <f aca="false">IF(SUM($N188)=0,"",IF(AND((SUM($N188)-SUM($O188))&gt;0,$M188=""),"ENTER YIELD RATE",ROUND(($N188-SUM($O188))*$M188,0)))</f>
        <v/>
      </c>
      <c r="Q188" s="39" t="str">
        <f aca="false">IF(SUM($N188)=0,"",$N188-SUM($O188)-SUM($P188))</f>
        <v/>
      </c>
      <c r="R188" s="88" t="str">
        <f aca="false">IF(SUM($P188)=0,"",INDEX(Cascade!$BG:$BG,MATCH($E188,Cascade!$E:$E,0)))</f>
        <v/>
      </c>
      <c r="S188" s="39" t="str">
        <f aca="false">$O188</f>
        <v/>
      </c>
      <c r="T188" s="39" t="str">
        <f aca="false">IF(SUM($P188)=0,"",IF(AND($R188="",SUM($P188)&gt;0),"&lt;- Enter Linkage Rate",ROUND($P188*$R188,0)))</f>
        <v/>
      </c>
      <c r="U188" s="10" t="str">
        <f aca="false">IFERROR(1/(1/INDEX(Cascade!$BH:$BH,MATCH($E188,Cascade!$E:$E,0))),"")</f>
        <v/>
      </c>
      <c r="V188" s="10" t="str">
        <f aca="false">IF(SUM($P188)=0,"",$P188)</f>
        <v/>
      </c>
      <c r="W188" s="10" t="str">
        <f aca="false">IFERROR(1/(1/INDEX(PMTCT!$AC:$AC,MATCH($E188,PMTCT!$E:$E,0))),"")</f>
        <v/>
      </c>
      <c r="X188" s="10" t="str">
        <f aca="false">IFERROR(1/(1/INDEX(PMTCT!$AS:$AS,MATCH($E188,PMTCT!$E:$E,0))),"")</f>
        <v/>
      </c>
      <c r="Y188" s="10" t="str">
        <f aca="false">IFERROR(1/(1/INDEX(VMMC!$AA:$AA,MATCH($E188,VMMC!$E:$E,0))),"")</f>
        <v/>
      </c>
      <c r="Z188" s="10" t="str">
        <f aca="false">IFERROR(1/(1/(SUM($U188)-SUM($V188:$Y188))),"")</f>
        <v/>
      </c>
    </row>
    <row r="189" customFormat="false" ht="15" hidden="false" customHeight="false" outlineLevel="0" collapsed="false">
      <c r="A189" s="0" t="str">
        <f aca="false">INDEX(Prioritization!$D:$D,MATCH($B189,Prioritization!$A:$A,0))</f>
        <v>INVALID</v>
      </c>
      <c r="B189" s="0" t="s">
        <v>208</v>
      </c>
      <c r="C189" s="0" t="s">
        <v>366</v>
      </c>
      <c r="D189" s="0" t="s">
        <v>30</v>
      </c>
      <c r="E189" s="0" t="str">
        <f aca="false">B189&amp;"|"&amp;C189&amp;"|"&amp;D189</f>
        <v>Nkhata Bay District [E7zpfyBt7Tw]|25-34|Female</v>
      </c>
      <c r="F189" s="10"/>
      <c r="G189" s="88" t="n">
        <f aca="false">0</f>
        <v>0</v>
      </c>
      <c r="H189" s="39" t="str">
        <f aca="false">IF(SUM($F189)=0,"",ROUND($F189*(1+$G189),0))</f>
        <v/>
      </c>
      <c r="I189" s="10"/>
      <c r="J189" s="88"/>
      <c r="K189" s="88" t="str">
        <f aca="false">IF($J189="","",$J189)</f>
        <v/>
      </c>
      <c r="L189" s="88"/>
      <c r="M189" s="88" t="str">
        <f aca="false">IF($L189="","",$L189)</f>
        <v/>
      </c>
      <c r="N189" s="10" t="str">
        <f aca="false">$H189</f>
        <v/>
      </c>
      <c r="O189" s="39" t="str">
        <f aca="false">IF(SUM($N189)=0,"",IF(AND(SUM($N189)&gt;0,$K189=""),"ENTER KNOWN POSITIVITY RATE",ROUND($N189*$K189,0)))</f>
        <v/>
      </c>
      <c r="P189" s="39" t="str">
        <f aca="false">IF(SUM($N189)=0,"",IF(AND((SUM($N189)-SUM($O189))&gt;0,$M189=""),"ENTER YIELD RATE",ROUND(($N189-SUM($O189))*$M189,0)))</f>
        <v/>
      </c>
      <c r="Q189" s="39" t="str">
        <f aca="false">IF(SUM($N189)=0,"",$N189-SUM($O189)-SUM($P189))</f>
        <v/>
      </c>
      <c r="R189" s="88" t="str">
        <f aca="false">IF(SUM($P189)=0,"",INDEX(Cascade!$BG:$BG,MATCH($E189,Cascade!$E:$E,0)))</f>
        <v/>
      </c>
      <c r="S189" s="39" t="str">
        <f aca="false">$O189</f>
        <v/>
      </c>
      <c r="T189" s="39" t="str">
        <f aca="false">IF(SUM($P189)=0,"",IF(AND($R189="",SUM($P189)&gt;0),"&lt;- Enter Linkage Rate",ROUND($P189*$R189,0)))</f>
        <v/>
      </c>
      <c r="U189" s="10" t="str">
        <f aca="false">IFERROR(1/(1/INDEX(Cascade!$BH:$BH,MATCH($E189,Cascade!$E:$E,0))),"")</f>
        <v/>
      </c>
      <c r="V189" s="10" t="str">
        <f aca="false">IF(SUM($P189)=0,"",$P189)</f>
        <v/>
      </c>
      <c r="W189" s="10" t="str">
        <f aca="false">IFERROR(1/(1/INDEX(PMTCT!$AC:$AC,MATCH($E189,PMTCT!$E:$E,0))),"")</f>
        <v/>
      </c>
      <c r="X189" s="10" t="str">
        <f aca="false">IFERROR(1/(1/INDEX(PMTCT!$AS:$AS,MATCH($E189,PMTCT!$E:$E,0))),"")</f>
        <v/>
      </c>
      <c r="Y189" s="10" t="str">
        <f aca="false">IFERROR(1/(1/INDEX(VMMC!$AA:$AA,MATCH($E189,VMMC!$E:$E,0))),"")</f>
        <v/>
      </c>
      <c r="Z189" s="10" t="str">
        <f aca="false">IFERROR(1/(1/(SUM($U189)-SUM($V189:$Y189))),"")</f>
        <v/>
      </c>
    </row>
    <row r="190" customFormat="false" ht="15" hidden="false" customHeight="false" outlineLevel="0" collapsed="false">
      <c r="A190" s="0" t="str">
        <f aca="false">INDEX(Prioritization!$D:$D,MATCH($B190,Prioritization!$A:$A,0))</f>
        <v>INVALID</v>
      </c>
      <c r="B190" s="0" t="s">
        <v>208</v>
      </c>
      <c r="C190" s="0" t="s">
        <v>366</v>
      </c>
      <c r="D190" s="0" t="s">
        <v>48</v>
      </c>
      <c r="E190" s="0" t="str">
        <f aca="false">B190&amp;"|"&amp;C190&amp;"|"&amp;D190</f>
        <v>Nkhata Bay District [E7zpfyBt7Tw]|25-34|Male</v>
      </c>
      <c r="F190" s="10"/>
      <c r="G190" s="88" t="n">
        <f aca="false">0</f>
        <v>0</v>
      </c>
      <c r="H190" s="39" t="str">
        <f aca="false">IF(SUM($F190)=0,"",ROUND($F190*(1+$G190),0))</f>
        <v/>
      </c>
      <c r="I190" s="10"/>
      <c r="J190" s="88"/>
      <c r="K190" s="88" t="str">
        <f aca="false">IF($J190="","",$J190)</f>
        <v/>
      </c>
      <c r="L190" s="88"/>
      <c r="M190" s="88" t="str">
        <f aca="false">IF($L190="","",$L190)</f>
        <v/>
      </c>
      <c r="N190" s="10" t="str">
        <f aca="false">$H190</f>
        <v/>
      </c>
      <c r="O190" s="39" t="str">
        <f aca="false">IF(SUM($N190)=0,"",IF(AND(SUM($N190)&gt;0,$K190=""),"ENTER KNOWN POSITIVITY RATE",ROUND($N190*$K190,0)))</f>
        <v/>
      </c>
      <c r="P190" s="39" t="str">
        <f aca="false">IF(SUM($N190)=0,"",IF(AND((SUM($N190)-SUM($O190))&gt;0,$M190=""),"ENTER YIELD RATE",ROUND(($N190-SUM($O190))*$M190,0)))</f>
        <v/>
      </c>
      <c r="Q190" s="39" t="str">
        <f aca="false">IF(SUM($N190)=0,"",$N190-SUM($O190)-SUM($P190))</f>
        <v/>
      </c>
      <c r="R190" s="88" t="str">
        <f aca="false">IF(SUM($P190)=0,"",INDEX(Cascade!$BG:$BG,MATCH($E190,Cascade!$E:$E,0)))</f>
        <v/>
      </c>
      <c r="S190" s="39" t="str">
        <f aca="false">$O190</f>
        <v/>
      </c>
      <c r="T190" s="39" t="str">
        <f aca="false">IF(SUM($P190)=0,"",IF(AND($R190="",SUM($P190)&gt;0),"&lt;- Enter Linkage Rate",ROUND($P190*$R190,0)))</f>
        <v/>
      </c>
      <c r="U190" s="10" t="str">
        <f aca="false">IFERROR(1/(1/INDEX(Cascade!$BH:$BH,MATCH($E190,Cascade!$E:$E,0))),"")</f>
        <v/>
      </c>
      <c r="V190" s="10" t="str">
        <f aca="false">IF(SUM($P190)=0,"",$P190)</f>
        <v/>
      </c>
      <c r="W190" s="10" t="str">
        <f aca="false">IFERROR(1/(1/INDEX(PMTCT!$AC:$AC,MATCH($E190,PMTCT!$E:$E,0))),"")</f>
        <v/>
      </c>
      <c r="X190" s="10" t="str">
        <f aca="false">IFERROR(1/(1/INDEX(PMTCT!$AS:$AS,MATCH($E190,PMTCT!$E:$E,0))),"")</f>
        <v/>
      </c>
      <c r="Y190" s="10" t="str">
        <f aca="false">IFERROR(1/(1/INDEX(VMMC!$AA:$AA,MATCH($E190,VMMC!$E:$E,0))),"")</f>
        <v/>
      </c>
      <c r="Z190" s="10" t="str">
        <f aca="false">IFERROR(1/(1/(SUM($U190)-SUM($V190:$Y190))),"")</f>
        <v/>
      </c>
    </row>
    <row r="191" customFormat="false" ht="15" hidden="false" customHeight="false" outlineLevel="0" collapsed="false">
      <c r="A191" s="0" t="str">
        <f aca="false">INDEX(Prioritization!$D:$D,MATCH($B191,Prioritization!$A:$A,0))</f>
        <v>INVALID</v>
      </c>
      <c r="B191" s="0" t="s">
        <v>208</v>
      </c>
      <c r="C191" s="0" t="s">
        <v>367</v>
      </c>
      <c r="D191" s="0" t="s">
        <v>30</v>
      </c>
      <c r="E191" s="0" t="str">
        <f aca="false">B191&amp;"|"&amp;C191&amp;"|"&amp;D191</f>
        <v>Nkhata Bay District [E7zpfyBt7Tw]|35-49|Female</v>
      </c>
      <c r="F191" s="10"/>
      <c r="G191" s="88" t="n">
        <f aca="false">0</f>
        <v>0</v>
      </c>
      <c r="H191" s="39" t="str">
        <f aca="false">IF(SUM($F191)=0,"",ROUND($F191*(1+$G191),0))</f>
        <v/>
      </c>
      <c r="I191" s="10"/>
      <c r="J191" s="88"/>
      <c r="K191" s="88" t="str">
        <f aca="false">IF($J191="","",$J191)</f>
        <v/>
      </c>
      <c r="L191" s="88"/>
      <c r="M191" s="88" t="str">
        <f aca="false">IF($L191="","",$L191)</f>
        <v/>
      </c>
      <c r="N191" s="10" t="str">
        <f aca="false">$H191</f>
        <v/>
      </c>
      <c r="O191" s="39" t="str">
        <f aca="false">IF(SUM($N191)=0,"",IF(AND(SUM($N191)&gt;0,$K191=""),"ENTER KNOWN POSITIVITY RATE",ROUND($N191*$K191,0)))</f>
        <v/>
      </c>
      <c r="P191" s="39" t="str">
        <f aca="false">IF(SUM($N191)=0,"",IF(AND((SUM($N191)-SUM($O191))&gt;0,$M191=""),"ENTER YIELD RATE",ROUND(($N191-SUM($O191))*$M191,0)))</f>
        <v/>
      </c>
      <c r="Q191" s="39" t="str">
        <f aca="false">IF(SUM($N191)=0,"",$N191-SUM($O191)-SUM($P191))</f>
        <v/>
      </c>
      <c r="R191" s="88" t="str">
        <f aca="false">IF(SUM($P191)=0,"",INDEX(Cascade!$BG:$BG,MATCH($E191,Cascade!$E:$E,0)))</f>
        <v/>
      </c>
      <c r="S191" s="39" t="str">
        <f aca="false">$O191</f>
        <v/>
      </c>
      <c r="T191" s="39" t="str">
        <f aca="false">IF(SUM($P191)=0,"",IF(AND($R191="",SUM($P191)&gt;0),"&lt;- Enter Linkage Rate",ROUND($P191*$R191,0)))</f>
        <v/>
      </c>
      <c r="U191" s="10" t="str">
        <f aca="false">IFERROR(1/(1/INDEX(Cascade!$BH:$BH,MATCH($E191,Cascade!$E:$E,0))),"")</f>
        <v/>
      </c>
      <c r="V191" s="10" t="str">
        <f aca="false">IF(SUM($P191)=0,"",$P191)</f>
        <v/>
      </c>
      <c r="W191" s="10" t="str">
        <f aca="false">IFERROR(1/(1/INDEX(PMTCT!$AC:$AC,MATCH($E191,PMTCT!$E:$E,0))),"")</f>
        <v/>
      </c>
      <c r="X191" s="10" t="str">
        <f aca="false">IFERROR(1/(1/INDEX(PMTCT!$AS:$AS,MATCH($E191,PMTCT!$E:$E,0))),"")</f>
        <v/>
      </c>
      <c r="Y191" s="10" t="str">
        <f aca="false">IFERROR(1/(1/INDEX(VMMC!$AA:$AA,MATCH($E191,VMMC!$E:$E,0))),"")</f>
        <v/>
      </c>
      <c r="Z191" s="10" t="str">
        <f aca="false">IFERROR(1/(1/(SUM($U191)-SUM($V191:$Y191))),"")</f>
        <v/>
      </c>
    </row>
    <row r="192" customFormat="false" ht="15" hidden="false" customHeight="false" outlineLevel="0" collapsed="false">
      <c r="A192" s="0" t="str">
        <f aca="false">INDEX(Prioritization!$D:$D,MATCH($B192,Prioritization!$A:$A,0))</f>
        <v>INVALID</v>
      </c>
      <c r="B192" s="0" t="s">
        <v>208</v>
      </c>
      <c r="C192" s="0" t="s">
        <v>367</v>
      </c>
      <c r="D192" s="0" t="s">
        <v>48</v>
      </c>
      <c r="E192" s="0" t="str">
        <f aca="false">B192&amp;"|"&amp;C192&amp;"|"&amp;D192</f>
        <v>Nkhata Bay District [E7zpfyBt7Tw]|35-49|Male</v>
      </c>
      <c r="F192" s="10"/>
      <c r="G192" s="88" t="n">
        <f aca="false">0</f>
        <v>0</v>
      </c>
      <c r="H192" s="39" t="str">
        <f aca="false">IF(SUM($F192)=0,"",ROUND($F192*(1+$G192),0))</f>
        <v/>
      </c>
      <c r="I192" s="10"/>
      <c r="J192" s="88"/>
      <c r="K192" s="88" t="str">
        <f aca="false">IF($J192="","",$J192)</f>
        <v/>
      </c>
      <c r="L192" s="88"/>
      <c r="M192" s="88" t="str">
        <f aca="false">IF($L192="","",$L192)</f>
        <v/>
      </c>
      <c r="N192" s="10" t="str">
        <f aca="false">$H192</f>
        <v/>
      </c>
      <c r="O192" s="39" t="str">
        <f aca="false">IF(SUM($N192)=0,"",IF(AND(SUM($N192)&gt;0,$K192=""),"ENTER KNOWN POSITIVITY RATE",ROUND($N192*$K192,0)))</f>
        <v/>
      </c>
      <c r="P192" s="39" t="str">
        <f aca="false">IF(SUM($N192)=0,"",IF(AND((SUM($N192)-SUM($O192))&gt;0,$M192=""),"ENTER YIELD RATE",ROUND(($N192-SUM($O192))*$M192,0)))</f>
        <v/>
      </c>
      <c r="Q192" s="39" t="str">
        <f aca="false">IF(SUM($N192)=0,"",$N192-SUM($O192)-SUM($P192))</f>
        <v/>
      </c>
      <c r="R192" s="88" t="str">
        <f aca="false">IF(SUM($P192)=0,"",INDEX(Cascade!$BG:$BG,MATCH($E192,Cascade!$E:$E,0)))</f>
        <v/>
      </c>
      <c r="S192" s="39" t="str">
        <f aca="false">$O192</f>
        <v/>
      </c>
      <c r="T192" s="39" t="str">
        <f aca="false">IF(SUM($P192)=0,"",IF(AND($R192="",SUM($P192)&gt;0),"&lt;- Enter Linkage Rate",ROUND($P192*$R192,0)))</f>
        <v/>
      </c>
      <c r="U192" s="10" t="str">
        <f aca="false">IFERROR(1/(1/INDEX(Cascade!$BH:$BH,MATCH($E192,Cascade!$E:$E,0))),"")</f>
        <v/>
      </c>
      <c r="V192" s="10" t="str">
        <f aca="false">IF(SUM($P192)=0,"",$P192)</f>
        <v/>
      </c>
      <c r="W192" s="10" t="str">
        <f aca="false">IFERROR(1/(1/INDEX(PMTCT!$AC:$AC,MATCH($E192,PMTCT!$E:$E,0))),"")</f>
        <v/>
      </c>
      <c r="X192" s="10" t="str">
        <f aca="false">IFERROR(1/(1/INDEX(PMTCT!$AS:$AS,MATCH($E192,PMTCT!$E:$E,0))),"")</f>
        <v/>
      </c>
      <c r="Y192" s="10" t="str">
        <f aca="false">IFERROR(1/(1/INDEX(VMMC!$AA:$AA,MATCH($E192,VMMC!$E:$E,0))),"")</f>
        <v/>
      </c>
      <c r="Z192" s="10" t="str">
        <f aca="false">IFERROR(1/(1/(SUM($U192)-SUM($V192:$Y192))),"")</f>
        <v/>
      </c>
    </row>
    <row r="193" customFormat="false" ht="15" hidden="false" customHeight="false" outlineLevel="0" collapsed="false">
      <c r="A193" s="0" t="str">
        <f aca="false">INDEX(Prioritization!$D:$D,MATCH($B193,Prioritization!$A:$A,0))</f>
        <v>INVALID</v>
      </c>
      <c r="B193" s="0" t="s">
        <v>208</v>
      </c>
      <c r="C193" s="0" t="s">
        <v>368</v>
      </c>
      <c r="D193" s="0" t="s">
        <v>30</v>
      </c>
      <c r="E193" s="0" t="str">
        <f aca="false">B193&amp;"|"&amp;C193&amp;"|"&amp;D193</f>
        <v>Nkhata Bay District [E7zpfyBt7Tw]|50+|Female</v>
      </c>
      <c r="F193" s="10"/>
      <c r="G193" s="88" t="n">
        <f aca="false">0</f>
        <v>0</v>
      </c>
      <c r="H193" s="39" t="str">
        <f aca="false">IF(SUM($F193)=0,"",ROUND($F193*(1+$G193),0))</f>
        <v/>
      </c>
      <c r="I193" s="10"/>
      <c r="J193" s="88"/>
      <c r="K193" s="88" t="str">
        <f aca="false">IF($J193="","",$J193)</f>
        <v/>
      </c>
      <c r="L193" s="88"/>
      <c r="M193" s="88" t="str">
        <f aca="false">IF($L193="","",$L193)</f>
        <v/>
      </c>
      <c r="N193" s="10" t="str">
        <f aca="false">$H193</f>
        <v/>
      </c>
      <c r="O193" s="39" t="str">
        <f aca="false">IF(SUM($N193)=0,"",IF(AND(SUM($N193)&gt;0,$K193=""),"ENTER KNOWN POSITIVITY RATE",ROUND($N193*$K193,0)))</f>
        <v/>
      </c>
      <c r="P193" s="39" t="str">
        <f aca="false">IF(SUM($N193)=0,"",IF(AND((SUM($N193)-SUM($O193))&gt;0,$M193=""),"ENTER YIELD RATE",ROUND(($N193-SUM($O193))*$M193,0)))</f>
        <v/>
      </c>
      <c r="Q193" s="39" t="str">
        <f aca="false">IF(SUM($N193)=0,"",$N193-SUM($O193)-SUM($P193))</f>
        <v/>
      </c>
      <c r="R193" s="88" t="str">
        <f aca="false">IF(SUM($P193)=0,"",INDEX(Cascade!$BG:$BG,MATCH($E193,Cascade!$E:$E,0)))</f>
        <v/>
      </c>
      <c r="S193" s="39" t="str">
        <f aca="false">$O193</f>
        <v/>
      </c>
      <c r="T193" s="39" t="str">
        <f aca="false">IF(SUM($P193)=0,"",IF(AND($R193="",SUM($P193)&gt;0),"&lt;- Enter Linkage Rate",ROUND($P193*$R193,0)))</f>
        <v/>
      </c>
      <c r="U193" s="10" t="str">
        <f aca="false">IFERROR(1/(1/INDEX(Cascade!$BH:$BH,MATCH($E193,Cascade!$E:$E,0))),"")</f>
        <v/>
      </c>
      <c r="V193" s="10" t="str">
        <f aca="false">IF(SUM($P193)=0,"",$P193)</f>
        <v/>
      </c>
      <c r="W193" s="10" t="str">
        <f aca="false">IFERROR(1/(1/INDEX(PMTCT!$AC:$AC,MATCH($E193,PMTCT!$E:$E,0))),"")</f>
        <v/>
      </c>
      <c r="X193" s="10" t="str">
        <f aca="false">IFERROR(1/(1/INDEX(PMTCT!$AS:$AS,MATCH($E193,PMTCT!$E:$E,0))),"")</f>
        <v/>
      </c>
      <c r="Y193" s="10" t="str">
        <f aca="false">IFERROR(1/(1/INDEX(VMMC!$AA:$AA,MATCH($E193,VMMC!$E:$E,0))),"")</f>
        <v/>
      </c>
      <c r="Z193" s="10" t="str">
        <f aca="false">IFERROR(1/(1/(SUM($U193)-SUM($V193:$Y193))),"")</f>
        <v/>
      </c>
    </row>
    <row r="194" customFormat="false" ht="15" hidden="false" customHeight="false" outlineLevel="0" collapsed="false">
      <c r="A194" s="0" t="str">
        <f aca="false">INDEX(Prioritization!$D:$D,MATCH($B194,Prioritization!$A:$A,0))</f>
        <v>INVALID</v>
      </c>
      <c r="B194" s="0" t="s">
        <v>208</v>
      </c>
      <c r="C194" s="0" t="s">
        <v>368</v>
      </c>
      <c r="D194" s="0" t="s">
        <v>48</v>
      </c>
      <c r="E194" s="0" t="str">
        <f aca="false">B194&amp;"|"&amp;C194&amp;"|"&amp;D194</f>
        <v>Nkhata Bay District [E7zpfyBt7Tw]|50+|Male</v>
      </c>
      <c r="F194" s="10"/>
      <c r="G194" s="88" t="n">
        <f aca="false">0</f>
        <v>0</v>
      </c>
      <c r="H194" s="39" t="str">
        <f aca="false">IF(SUM($F194)=0,"",ROUND($F194*(1+$G194),0))</f>
        <v/>
      </c>
      <c r="I194" s="10"/>
      <c r="J194" s="88"/>
      <c r="K194" s="88" t="str">
        <f aca="false">IF($J194="","",$J194)</f>
        <v/>
      </c>
      <c r="L194" s="88"/>
      <c r="M194" s="88" t="str">
        <f aca="false">IF($L194="","",$L194)</f>
        <v/>
      </c>
      <c r="N194" s="10" t="str">
        <f aca="false">$H194</f>
        <v/>
      </c>
      <c r="O194" s="39" t="str">
        <f aca="false">IF(SUM($N194)=0,"",IF(AND(SUM($N194)&gt;0,$K194=""),"ENTER KNOWN POSITIVITY RATE",ROUND($N194*$K194,0)))</f>
        <v/>
      </c>
      <c r="P194" s="39" t="str">
        <f aca="false">IF(SUM($N194)=0,"",IF(AND((SUM($N194)-SUM($O194))&gt;0,$M194=""),"ENTER YIELD RATE",ROUND(($N194-SUM($O194))*$M194,0)))</f>
        <v/>
      </c>
      <c r="Q194" s="39" t="str">
        <f aca="false">IF(SUM($N194)=0,"",$N194-SUM($O194)-SUM($P194))</f>
        <v/>
      </c>
      <c r="R194" s="88" t="str">
        <f aca="false">IF(SUM($P194)=0,"",INDEX(Cascade!$BG:$BG,MATCH($E194,Cascade!$E:$E,0)))</f>
        <v/>
      </c>
      <c r="S194" s="39" t="str">
        <f aca="false">$O194</f>
        <v/>
      </c>
      <c r="T194" s="39" t="str">
        <f aca="false">IF(SUM($P194)=0,"",IF(AND($R194="",SUM($P194)&gt;0),"&lt;- Enter Linkage Rate",ROUND($P194*$R194,0)))</f>
        <v/>
      </c>
      <c r="U194" s="10" t="str">
        <f aca="false">IFERROR(1/(1/INDEX(Cascade!$BH:$BH,MATCH($E194,Cascade!$E:$E,0))),"")</f>
        <v/>
      </c>
      <c r="V194" s="10" t="str">
        <f aca="false">IF(SUM($P194)=0,"",$P194)</f>
        <v/>
      </c>
      <c r="W194" s="10" t="str">
        <f aca="false">IFERROR(1/(1/INDEX(PMTCT!$AC:$AC,MATCH($E194,PMTCT!$E:$E,0))),"")</f>
        <v/>
      </c>
      <c r="X194" s="10" t="str">
        <f aca="false">IFERROR(1/(1/INDEX(PMTCT!$AS:$AS,MATCH($E194,PMTCT!$E:$E,0))),"")</f>
        <v/>
      </c>
      <c r="Y194" s="10" t="str">
        <f aca="false">IFERROR(1/(1/INDEX(VMMC!$AA:$AA,MATCH($E194,VMMC!$E:$E,0))),"")</f>
        <v/>
      </c>
      <c r="Z194" s="10" t="str">
        <f aca="false">IFERROR(1/(1/(SUM($U194)-SUM($V194:$Y194))),"")</f>
        <v/>
      </c>
    </row>
    <row r="195" customFormat="false" ht="15" hidden="false" customHeight="false" outlineLevel="0" collapsed="false">
      <c r="A195" s="0" t="str">
        <f aca="false">INDEX(Prioritization!$D:$D,MATCH($B195,Prioritization!$A:$A,0))</f>
        <v>INVALID</v>
      </c>
      <c r="B195" s="0" t="s">
        <v>209</v>
      </c>
      <c r="C195" s="0" t="s">
        <v>363</v>
      </c>
      <c r="D195" s="0" t="s">
        <v>30</v>
      </c>
      <c r="E195" s="0" t="str">
        <f aca="false">B195&amp;"|"&amp;C195&amp;"|"&amp;D195</f>
        <v>Rumphi District [lPTyjLi4w3d]|01-09|Female</v>
      </c>
      <c r="F195" s="10"/>
      <c r="G195" s="88" t="n">
        <f aca="false">0</f>
        <v>0</v>
      </c>
      <c r="H195" s="39" t="str">
        <f aca="false">IF(SUM($F195)=0,"",ROUND($F195*(1+$G195),0))</f>
        <v/>
      </c>
      <c r="I195" s="10"/>
      <c r="J195" s="88"/>
      <c r="K195" s="88" t="str">
        <f aca="false">IF($J195="","",$J195)</f>
        <v/>
      </c>
      <c r="L195" s="88"/>
      <c r="M195" s="88" t="str">
        <f aca="false">IF($L195="","",$L195)</f>
        <v/>
      </c>
      <c r="N195" s="10" t="str">
        <f aca="false">$H195</f>
        <v/>
      </c>
      <c r="O195" s="39" t="str">
        <f aca="false">IF(SUM($N195)=0,"",IF(AND(SUM($N195)&gt;0,$K195=""),"ENTER KNOWN POSITIVITY RATE",ROUND($N195*$K195,0)))</f>
        <v/>
      </c>
      <c r="P195" s="39" t="str">
        <f aca="false">IF(SUM($N195)=0,"",IF(AND((SUM($N195)-SUM($O195))&gt;0,$M195=""),"ENTER YIELD RATE",ROUND(($N195-SUM($O195))*$M195,0)))</f>
        <v/>
      </c>
      <c r="Q195" s="39" t="str">
        <f aca="false">IF(SUM($N195)=0,"",$N195-SUM($O195)-SUM($P195))</f>
        <v/>
      </c>
      <c r="R195" s="88" t="str">
        <f aca="false">IF(SUM($P195)=0,"",INDEX(Cascade!$BG:$BG,MATCH($E195,Cascade!$E:$E,0)))</f>
        <v/>
      </c>
      <c r="S195" s="39" t="str">
        <f aca="false">$O195</f>
        <v/>
      </c>
      <c r="T195" s="39" t="str">
        <f aca="false">IF(SUM($P195)=0,"",IF(AND($R195="",SUM($P195)&gt;0),"&lt;- Enter Linkage Rate",ROUND($P195*$R195,0)))</f>
        <v/>
      </c>
      <c r="U195" s="10" t="str">
        <f aca="false">IFERROR(1/(1/INDEX(Cascade!$BH:$BH,MATCH($E195,Cascade!$E:$E,0))),"")</f>
        <v/>
      </c>
      <c r="V195" s="10" t="str">
        <f aca="false">IF(SUM($P195)=0,"",$P195)</f>
        <v/>
      </c>
      <c r="W195" s="10" t="str">
        <f aca="false">IFERROR(1/(1/INDEX(PMTCT!$AC:$AC,MATCH($E195,PMTCT!$E:$E,0))),"")</f>
        <v/>
      </c>
      <c r="X195" s="10" t="str">
        <f aca="false">IFERROR(1/(1/INDEX(PMTCT!$AS:$AS,MATCH($E195,PMTCT!$E:$E,0))),"")</f>
        <v/>
      </c>
      <c r="Y195" s="10" t="str">
        <f aca="false">IFERROR(1/(1/INDEX(VMMC!$AA:$AA,MATCH($E195,VMMC!$E:$E,0))),"")</f>
        <v/>
      </c>
      <c r="Z195" s="10" t="str">
        <f aca="false">IFERROR(1/(1/(SUM($U195)-SUM($V195:$Y195))),"")</f>
        <v/>
      </c>
    </row>
    <row r="196" customFormat="false" ht="15" hidden="false" customHeight="false" outlineLevel="0" collapsed="false">
      <c r="A196" s="0" t="str">
        <f aca="false">INDEX(Prioritization!$D:$D,MATCH($B196,Prioritization!$A:$A,0))</f>
        <v>INVALID</v>
      </c>
      <c r="B196" s="0" t="s">
        <v>209</v>
      </c>
      <c r="C196" s="0" t="s">
        <v>363</v>
      </c>
      <c r="D196" s="0" t="s">
        <v>48</v>
      </c>
      <c r="E196" s="0" t="str">
        <f aca="false">B196&amp;"|"&amp;C196&amp;"|"&amp;D196</f>
        <v>Rumphi District [lPTyjLi4w3d]|01-09|Male</v>
      </c>
      <c r="F196" s="10"/>
      <c r="G196" s="88" t="n">
        <f aca="false">0</f>
        <v>0</v>
      </c>
      <c r="H196" s="39" t="str">
        <f aca="false">IF(SUM($F196)=0,"",ROUND($F196*(1+$G196),0))</f>
        <v/>
      </c>
      <c r="I196" s="10"/>
      <c r="J196" s="88"/>
      <c r="K196" s="88" t="str">
        <f aca="false">IF($J196="","",$J196)</f>
        <v/>
      </c>
      <c r="L196" s="88"/>
      <c r="M196" s="88" t="str">
        <f aca="false">IF($L196="","",$L196)</f>
        <v/>
      </c>
      <c r="N196" s="10" t="str">
        <f aca="false">$H196</f>
        <v/>
      </c>
      <c r="O196" s="39" t="str">
        <f aca="false">IF(SUM($N196)=0,"",IF(AND(SUM($N196)&gt;0,$K196=""),"ENTER KNOWN POSITIVITY RATE",ROUND($N196*$K196,0)))</f>
        <v/>
      </c>
      <c r="P196" s="39" t="str">
        <f aca="false">IF(SUM($N196)=0,"",IF(AND((SUM($N196)-SUM($O196))&gt;0,$M196=""),"ENTER YIELD RATE",ROUND(($N196-SUM($O196))*$M196,0)))</f>
        <v/>
      </c>
      <c r="Q196" s="39" t="str">
        <f aca="false">IF(SUM($N196)=0,"",$N196-SUM($O196)-SUM($P196))</f>
        <v/>
      </c>
      <c r="R196" s="88" t="str">
        <f aca="false">IF(SUM($P196)=0,"",INDEX(Cascade!$BG:$BG,MATCH($E196,Cascade!$E:$E,0)))</f>
        <v/>
      </c>
      <c r="S196" s="39" t="str">
        <f aca="false">$O196</f>
        <v/>
      </c>
      <c r="T196" s="39" t="str">
        <f aca="false">IF(SUM($P196)=0,"",IF(AND($R196="",SUM($P196)&gt;0),"&lt;- Enter Linkage Rate",ROUND($P196*$R196,0)))</f>
        <v/>
      </c>
      <c r="U196" s="10" t="str">
        <f aca="false">IFERROR(1/(1/INDEX(Cascade!$BH:$BH,MATCH($E196,Cascade!$E:$E,0))),"")</f>
        <v/>
      </c>
      <c r="V196" s="10" t="str">
        <f aca="false">IF(SUM($P196)=0,"",$P196)</f>
        <v/>
      </c>
      <c r="W196" s="10" t="str">
        <f aca="false">IFERROR(1/(1/INDEX(PMTCT!$AC:$AC,MATCH($E196,PMTCT!$E:$E,0))),"")</f>
        <v/>
      </c>
      <c r="X196" s="10" t="str">
        <f aca="false">IFERROR(1/(1/INDEX(PMTCT!$AS:$AS,MATCH($E196,PMTCT!$E:$E,0))),"")</f>
        <v/>
      </c>
      <c r="Y196" s="10" t="str">
        <f aca="false">IFERROR(1/(1/INDEX(VMMC!$AA:$AA,MATCH($E196,VMMC!$E:$E,0))),"")</f>
        <v/>
      </c>
      <c r="Z196" s="10" t="str">
        <f aca="false">IFERROR(1/(1/(SUM($U196)-SUM($V196:$Y196))),"")</f>
        <v/>
      </c>
    </row>
    <row r="197" customFormat="false" ht="15" hidden="false" customHeight="false" outlineLevel="0" collapsed="false">
      <c r="A197" s="0" t="str">
        <f aca="false">INDEX(Prioritization!$D:$D,MATCH($B197,Prioritization!$A:$A,0))</f>
        <v>INVALID</v>
      </c>
      <c r="B197" s="0" t="s">
        <v>209</v>
      </c>
      <c r="C197" s="0" t="s">
        <v>364</v>
      </c>
      <c r="D197" s="0" t="s">
        <v>30</v>
      </c>
      <c r="E197" s="0" t="str">
        <f aca="false">B197&amp;"|"&amp;C197&amp;"|"&amp;D197</f>
        <v>Rumphi District [lPTyjLi4w3d]|10-14|Female</v>
      </c>
      <c r="F197" s="10" t="n">
        <v>1</v>
      </c>
      <c r="G197" s="88" t="n">
        <f aca="false">0</f>
        <v>0</v>
      </c>
      <c r="H197" s="39" t="n">
        <f aca="false">IF(SUM($F197)=0,"",ROUND($F197*(1+$G197),0))</f>
        <v>1</v>
      </c>
      <c r="I197" s="10"/>
      <c r="J197" s="88"/>
      <c r="K197" s="88" t="str">
        <f aca="false">IF($J197="","",$J197)</f>
        <v/>
      </c>
      <c r="L197" s="88"/>
      <c r="M197" s="88" t="str">
        <f aca="false">IF($L197="","",$L197)</f>
        <v/>
      </c>
      <c r="N197" s="10" t="n">
        <f aca="false">$H197</f>
        <v>1</v>
      </c>
      <c r="O197" s="39" t="str">
        <f aca="false">IF(SUM($N197)=0,"",IF(AND(SUM($N197)&gt;0,$K197=""),"ENTER KNOWN POSITIVITY RATE",ROUND($N197*$K197,0)))</f>
        <v>ENTER KNOWN POSITIVITY RATE</v>
      </c>
      <c r="P197" s="39" t="str">
        <f aca="false">IF(SUM($N197)=0,"",IF(AND((SUM($N197)-SUM($O197))&gt;0,$M197=""),"ENTER YIELD RATE",ROUND(($N197-SUM($O197))*$M197,0)))</f>
        <v>ENTER YIELD RATE</v>
      </c>
      <c r="Q197" s="39" t="n">
        <f aca="false">IF(SUM($N197)=0,"",$N197-SUM($O197)-SUM($P197))</f>
        <v>1</v>
      </c>
      <c r="R197" s="88" t="str">
        <f aca="false">IF(SUM($P197)=0,"",INDEX(Cascade!$BG:$BG,MATCH($E197,Cascade!$E:$E,0)))</f>
        <v/>
      </c>
      <c r="S197" s="39" t="str">
        <f aca="false">$O197</f>
        <v>ENTER KNOWN POSITIVITY RATE</v>
      </c>
      <c r="T197" s="39" t="str">
        <f aca="false">IF(SUM($P197)=0,"",IF(AND($R197="",SUM($P197)&gt;0),"&lt;- Enter Linkage Rate",ROUND($P197*$R197,0)))</f>
        <v/>
      </c>
      <c r="U197" s="10" t="n">
        <f aca="false">IFERROR(1/(1/INDEX(Cascade!$BH:$BH,MATCH($E197,Cascade!$E:$E,0))),"")</f>
        <v>-63</v>
      </c>
      <c r="V197" s="10" t="str">
        <f aca="false">IF(SUM($P197)=0,"",$P197)</f>
        <v/>
      </c>
      <c r="W197" s="10" t="str">
        <f aca="false">IFERROR(1/(1/INDEX(PMTCT!$AC:$AC,MATCH($E197,PMTCT!$E:$E,0))),"")</f>
        <v/>
      </c>
      <c r="X197" s="10" t="str">
        <f aca="false">IFERROR(1/(1/INDEX(PMTCT!$AS:$AS,MATCH($E197,PMTCT!$E:$E,0))),"")</f>
        <v/>
      </c>
      <c r="Y197" s="10" t="str">
        <f aca="false">IFERROR(1/(1/INDEX(VMMC!$AA:$AA,MATCH($E197,VMMC!$E:$E,0))),"")</f>
        <v/>
      </c>
      <c r="Z197" s="10" t="n">
        <f aca="false">IFERROR(1/(1/(SUM($U197)-SUM($V197:$Y197))),"")</f>
        <v>-63</v>
      </c>
    </row>
    <row r="198" customFormat="false" ht="15" hidden="false" customHeight="false" outlineLevel="0" collapsed="false">
      <c r="A198" s="0" t="str">
        <f aca="false">INDEX(Prioritization!$D:$D,MATCH($B198,Prioritization!$A:$A,0))</f>
        <v>INVALID</v>
      </c>
      <c r="B198" s="0" t="s">
        <v>209</v>
      </c>
      <c r="C198" s="0" t="s">
        <v>364</v>
      </c>
      <c r="D198" s="0" t="s">
        <v>48</v>
      </c>
      <c r="E198" s="0" t="str">
        <f aca="false">B198&amp;"|"&amp;C198&amp;"|"&amp;D198</f>
        <v>Rumphi District [lPTyjLi4w3d]|10-14|Male</v>
      </c>
      <c r="F198" s="10" t="n">
        <v>0</v>
      </c>
      <c r="G198" s="88" t="n">
        <f aca="false">0</f>
        <v>0</v>
      </c>
      <c r="H198" s="39" t="str">
        <f aca="false">IF(SUM($F198)=0,"",ROUND($F198*(1+$G198),0))</f>
        <v/>
      </c>
      <c r="I198" s="10"/>
      <c r="J198" s="88"/>
      <c r="K198" s="88" t="str">
        <f aca="false">IF($J198="","",$J198)</f>
        <v/>
      </c>
      <c r="L198" s="88"/>
      <c r="M198" s="88" t="str">
        <f aca="false">IF($L198="","",$L198)</f>
        <v/>
      </c>
      <c r="N198" s="10" t="str">
        <f aca="false">$H198</f>
        <v/>
      </c>
      <c r="O198" s="39" t="str">
        <f aca="false">IF(SUM($N198)=0,"",IF(AND(SUM($N198)&gt;0,$K198=""),"ENTER KNOWN POSITIVITY RATE",ROUND($N198*$K198,0)))</f>
        <v/>
      </c>
      <c r="P198" s="39" t="str">
        <f aca="false">IF(SUM($N198)=0,"",IF(AND((SUM($N198)-SUM($O198))&gt;0,$M198=""),"ENTER YIELD RATE",ROUND(($N198-SUM($O198))*$M198,0)))</f>
        <v/>
      </c>
      <c r="Q198" s="39" t="str">
        <f aca="false">IF(SUM($N198)=0,"",$N198-SUM($O198)-SUM($P198))</f>
        <v/>
      </c>
      <c r="R198" s="88" t="str">
        <f aca="false">IF(SUM($P198)=0,"",INDEX(Cascade!$BG:$BG,MATCH($E198,Cascade!$E:$E,0)))</f>
        <v/>
      </c>
      <c r="S198" s="39" t="str">
        <f aca="false">$O198</f>
        <v/>
      </c>
      <c r="T198" s="39" t="str">
        <f aca="false">IF(SUM($P198)=0,"",IF(AND($R198="",SUM($P198)&gt;0),"&lt;- Enter Linkage Rate",ROUND($P198*$R198,0)))</f>
        <v/>
      </c>
      <c r="U198" s="10" t="n">
        <f aca="false">IFERROR(1/(1/INDEX(Cascade!$BH:$BH,MATCH($E198,Cascade!$E:$E,0))),"")</f>
        <v>-98</v>
      </c>
      <c r="V198" s="10" t="str">
        <f aca="false">IF(SUM($P198)=0,"",$P198)</f>
        <v/>
      </c>
      <c r="W198" s="10" t="str">
        <f aca="false">IFERROR(1/(1/INDEX(PMTCT!$AC:$AC,MATCH($E198,PMTCT!$E:$E,0))),"")</f>
        <v/>
      </c>
      <c r="X198" s="10" t="str">
        <f aca="false">IFERROR(1/(1/INDEX(PMTCT!$AS:$AS,MATCH($E198,PMTCT!$E:$E,0))),"")</f>
        <v/>
      </c>
      <c r="Y198" s="10" t="str">
        <f aca="false">IFERROR(1/(1/INDEX(VMMC!$AA:$AA,MATCH($E198,VMMC!$E:$E,0))),"")</f>
        <v/>
      </c>
      <c r="Z198" s="10" t="n">
        <f aca="false">IFERROR(1/(1/(SUM($U198)-SUM($V198:$Y198))),"")</f>
        <v>-98</v>
      </c>
    </row>
    <row r="199" customFormat="false" ht="15" hidden="false" customHeight="false" outlineLevel="0" collapsed="false">
      <c r="A199" s="0" t="str">
        <f aca="false">INDEX(Prioritization!$D:$D,MATCH($B199,Prioritization!$A:$A,0))</f>
        <v>INVALID</v>
      </c>
      <c r="B199" s="0" t="s">
        <v>209</v>
      </c>
      <c r="C199" s="0" t="s">
        <v>365</v>
      </c>
      <c r="D199" s="0" t="s">
        <v>30</v>
      </c>
      <c r="E199" s="0" t="str">
        <f aca="false">B199&amp;"|"&amp;C199&amp;"|"&amp;D199</f>
        <v>Rumphi District [lPTyjLi4w3d]|15-24|Female</v>
      </c>
      <c r="F199" s="10"/>
      <c r="G199" s="88" t="n">
        <f aca="false">0</f>
        <v>0</v>
      </c>
      <c r="H199" s="39" t="str">
        <f aca="false">IF(SUM($F199)=0,"",ROUND($F199*(1+$G199),0))</f>
        <v/>
      </c>
      <c r="I199" s="10"/>
      <c r="J199" s="88"/>
      <c r="K199" s="88" t="str">
        <f aca="false">IF($J199="","",$J199)</f>
        <v/>
      </c>
      <c r="L199" s="88"/>
      <c r="M199" s="88" t="str">
        <f aca="false">IF($L199="","",$L199)</f>
        <v/>
      </c>
      <c r="N199" s="10" t="str">
        <f aca="false">$H199</f>
        <v/>
      </c>
      <c r="O199" s="39" t="str">
        <f aca="false">IF(SUM($N199)=0,"",IF(AND(SUM($N199)&gt;0,$K199=""),"ENTER KNOWN POSITIVITY RATE",ROUND($N199*$K199,0)))</f>
        <v/>
      </c>
      <c r="P199" s="39" t="str">
        <f aca="false">IF(SUM($N199)=0,"",IF(AND((SUM($N199)-SUM($O199))&gt;0,$M199=""),"ENTER YIELD RATE",ROUND(($N199-SUM($O199))*$M199,0)))</f>
        <v/>
      </c>
      <c r="Q199" s="39" t="str">
        <f aca="false">IF(SUM($N199)=0,"",$N199-SUM($O199)-SUM($P199))</f>
        <v/>
      </c>
      <c r="R199" s="88" t="str">
        <f aca="false">IF(SUM($P199)=0,"",INDEX(Cascade!$BG:$BG,MATCH($E199,Cascade!$E:$E,0)))</f>
        <v/>
      </c>
      <c r="S199" s="39" t="str">
        <f aca="false">$O199</f>
        <v/>
      </c>
      <c r="T199" s="39" t="str">
        <f aca="false">IF(SUM($P199)=0,"",IF(AND($R199="",SUM($P199)&gt;0),"&lt;- Enter Linkage Rate",ROUND($P199*$R199,0)))</f>
        <v/>
      </c>
      <c r="U199" s="10" t="str">
        <f aca="false">IFERROR(1/(1/INDEX(Cascade!$BH:$BH,MATCH($E199,Cascade!$E:$E,0))),"")</f>
        <v/>
      </c>
      <c r="V199" s="10" t="str">
        <f aca="false">IF(SUM($P199)=0,"",$P199)</f>
        <v/>
      </c>
      <c r="W199" s="10" t="str">
        <f aca="false">IFERROR(1/(1/INDEX(PMTCT!$AC:$AC,MATCH($E199,PMTCT!$E:$E,0))),"")</f>
        <v/>
      </c>
      <c r="X199" s="10" t="str">
        <f aca="false">IFERROR(1/(1/INDEX(PMTCT!$AS:$AS,MATCH($E199,PMTCT!$E:$E,0))),"")</f>
        <v/>
      </c>
      <c r="Y199" s="10" t="str">
        <f aca="false">IFERROR(1/(1/INDEX(VMMC!$AA:$AA,MATCH($E199,VMMC!$E:$E,0))),"")</f>
        <v/>
      </c>
      <c r="Z199" s="10" t="str">
        <f aca="false">IFERROR(1/(1/(SUM($U199)-SUM($V199:$Y199))),"")</f>
        <v/>
      </c>
    </row>
    <row r="200" customFormat="false" ht="15" hidden="false" customHeight="false" outlineLevel="0" collapsed="false">
      <c r="A200" s="0" t="str">
        <f aca="false">INDEX(Prioritization!$D:$D,MATCH($B200,Prioritization!$A:$A,0))</f>
        <v>INVALID</v>
      </c>
      <c r="B200" s="0" t="s">
        <v>209</v>
      </c>
      <c r="C200" s="0" t="s">
        <v>365</v>
      </c>
      <c r="D200" s="0" t="s">
        <v>48</v>
      </c>
      <c r="E200" s="0" t="str">
        <f aca="false">B200&amp;"|"&amp;C200&amp;"|"&amp;D200</f>
        <v>Rumphi District [lPTyjLi4w3d]|15-24|Male</v>
      </c>
      <c r="F200" s="10"/>
      <c r="G200" s="88" t="n">
        <f aca="false">0</f>
        <v>0</v>
      </c>
      <c r="H200" s="39" t="str">
        <f aca="false">IF(SUM($F200)=0,"",ROUND($F200*(1+$G200),0))</f>
        <v/>
      </c>
      <c r="I200" s="10"/>
      <c r="J200" s="88"/>
      <c r="K200" s="88" t="str">
        <f aca="false">IF($J200="","",$J200)</f>
        <v/>
      </c>
      <c r="L200" s="88"/>
      <c r="M200" s="88" t="str">
        <f aca="false">IF($L200="","",$L200)</f>
        <v/>
      </c>
      <c r="N200" s="10" t="str">
        <f aca="false">$H200</f>
        <v/>
      </c>
      <c r="O200" s="39" t="str">
        <f aca="false">IF(SUM($N200)=0,"",IF(AND(SUM($N200)&gt;0,$K200=""),"ENTER KNOWN POSITIVITY RATE",ROUND($N200*$K200,0)))</f>
        <v/>
      </c>
      <c r="P200" s="39" t="str">
        <f aca="false">IF(SUM($N200)=0,"",IF(AND((SUM($N200)-SUM($O200))&gt;0,$M200=""),"ENTER YIELD RATE",ROUND(($N200-SUM($O200))*$M200,0)))</f>
        <v/>
      </c>
      <c r="Q200" s="39" t="str">
        <f aca="false">IF(SUM($N200)=0,"",$N200-SUM($O200)-SUM($P200))</f>
        <v/>
      </c>
      <c r="R200" s="88" t="str">
        <f aca="false">IF(SUM($P200)=0,"",INDEX(Cascade!$BG:$BG,MATCH($E200,Cascade!$E:$E,0)))</f>
        <v/>
      </c>
      <c r="S200" s="39" t="str">
        <f aca="false">$O200</f>
        <v/>
      </c>
      <c r="T200" s="39" t="str">
        <f aca="false">IF(SUM($P200)=0,"",IF(AND($R200="",SUM($P200)&gt;0),"&lt;- Enter Linkage Rate",ROUND($P200*$R200,0)))</f>
        <v/>
      </c>
      <c r="U200" s="10" t="str">
        <f aca="false">IFERROR(1/(1/INDEX(Cascade!$BH:$BH,MATCH($E200,Cascade!$E:$E,0))),"")</f>
        <v/>
      </c>
      <c r="V200" s="10" t="str">
        <f aca="false">IF(SUM($P200)=0,"",$P200)</f>
        <v/>
      </c>
      <c r="W200" s="10" t="str">
        <f aca="false">IFERROR(1/(1/INDEX(PMTCT!$AC:$AC,MATCH($E200,PMTCT!$E:$E,0))),"")</f>
        <v/>
      </c>
      <c r="X200" s="10" t="str">
        <f aca="false">IFERROR(1/(1/INDEX(PMTCT!$AS:$AS,MATCH($E200,PMTCT!$E:$E,0))),"")</f>
        <v/>
      </c>
      <c r="Y200" s="10" t="str">
        <f aca="false">IFERROR(1/(1/INDEX(VMMC!$AA:$AA,MATCH($E200,VMMC!$E:$E,0))),"")</f>
        <v/>
      </c>
      <c r="Z200" s="10" t="str">
        <f aca="false">IFERROR(1/(1/(SUM($U200)-SUM($V200:$Y200))),"")</f>
        <v/>
      </c>
    </row>
    <row r="201" customFormat="false" ht="15" hidden="false" customHeight="false" outlineLevel="0" collapsed="false">
      <c r="A201" s="0" t="str">
        <f aca="false">INDEX(Prioritization!$D:$D,MATCH($B201,Prioritization!$A:$A,0))</f>
        <v>INVALID</v>
      </c>
      <c r="B201" s="0" t="s">
        <v>209</v>
      </c>
      <c r="C201" s="0" t="s">
        <v>366</v>
      </c>
      <c r="D201" s="0" t="s">
        <v>30</v>
      </c>
      <c r="E201" s="0" t="str">
        <f aca="false">B201&amp;"|"&amp;C201&amp;"|"&amp;D201</f>
        <v>Rumphi District [lPTyjLi4w3d]|25-34|Female</v>
      </c>
      <c r="F201" s="10"/>
      <c r="G201" s="88" t="n">
        <f aca="false">0</f>
        <v>0</v>
      </c>
      <c r="H201" s="39" t="str">
        <f aca="false">IF(SUM($F201)=0,"",ROUND($F201*(1+$G201),0))</f>
        <v/>
      </c>
      <c r="I201" s="10"/>
      <c r="J201" s="88"/>
      <c r="K201" s="88" t="str">
        <f aca="false">IF($J201="","",$J201)</f>
        <v/>
      </c>
      <c r="L201" s="88"/>
      <c r="M201" s="88" t="str">
        <f aca="false">IF($L201="","",$L201)</f>
        <v/>
      </c>
      <c r="N201" s="10" t="str">
        <f aca="false">$H201</f>
        <v/>
      </c>
      <c r="O201" s="39" t="str">
        <f aca="false">IF(SUM($N201)=0,"",IF(AND(SUM($N201)&gt;0,$K201=""),"ENTER KNOWN POSITIVITY RATE",ROUND($N201*$K201,0)))</f>
        <v/>
      </c>
      <c r="P201" s="39" t="str">
        <f aca="false">IF(SUM($N201)=0,"",IF(AND((SUM($N201)-SUM($O201))&gt;0,$M201=""),"ENTER YIELD RATE",ROUND(($N201-SUM($O201))*$M201,0)))</f>
        <v/>
      </c>
      <c r="Q201" s="39" t="str">
        <f aca="false">IF(SUM($N201)=0,"",$N201-SUM($O201)-SUM($P201))</f>
        <v/>
      </c>
      <c r="R201" s="88" t="str">
        <f aca="false">IF(SUM($P201)=0,"",INDEX(Cascade!$BG:$BG,MATCH($E201,Cascade!$E:$E,0)))</f>
        <v/>
      </c>
      <c r="S201" s="39" t="str">
        <f aca="false">$O201</f>
        <v/>
      </c>
      <c r="T201" s="39" t="str">
        <f aca="false">IF(SUM($P201)=0,"",IF(AND($R201="",SUM($P201)&gt;0),"&lt;- Enter Linkage Rate",ROUND($P201*$R201,0)))</f>
        <v/>
      </c>
      <c r="U201" s="10" t="str">
        <f aca="false">IFERROR(1/(1/INDEX(Cascade!$BH:$BH,MATCH($E201,Cascade!$E:$E,0))),"")</f>
        <v/>
      </c>
      <c r="V201" s="10" t="str">
        <f aca="false">IF(SUM($P201)=0,"",$P201)</f>
        <v/>
      </c>
      <c r="W201" s="10" t="str">
        <f aca="false">IFERROR(1/(1/INDEX(PMTCT!$AC:$AC,MATCH($E201,PMTCT!$E:$E,0))),"")</f>
        <v/>
      </c>
      <c r="X201" s="10" t="str">
        <f aca="false">IFERROR(1/(1/INDEX(PMTCT!$AS:$AS,MATCH($E201,PMTCT!$E:$E,0))),"")</f>
        <v/>
      </c>
      <c r="Y201" s="10" t="str">
        <f aca="false">IFERROR(1/(1/INDEX(VMMC!$AA:$AA,MATCH($E201,VMMC!$E:$E,0))),"")</f>
        <v/>
      </c>
      <c r="Z201" s="10" t="str">
        <f aca="false">IFERROR(1/(1/(SUM($U201)-SUM($V201:$Y201))),"")</f>
        <v/>
      </c>
    </row>
    <row r="202" customFormat="false" ht="15" hidden="false" customHeight="false" outlineLevel="0" collapsed="false">
      <c r="A202" s="0" t="str">
        <f aca="false">INDEX(Prioritization!$D:$D,MATCH($B202,Prioritization!$A:$A,0))</f>
        <v>INVALID</v>
      </c>
      <c r="B202" s="0" t="s">
        <v>209</v>
      </c>
      <c r="C202" s="0" t="s">
        <v>366</v>
      </c>
      <c r="D202" s="0" t="s">
        <v>48</v>
      </c>
      <c r="E202" s="0" t="str">
        <f aca="false">B202&amp;"|"&amp;C202&amp;"|"&amp;D202</f>
        <v>Rumphi District [lPTyjLi4w3d]|25-34|Male</v>
      </c>
      <c r="F202" s="10"/>
      <c r="G202" s="88" t="n">
        <f aca="false">0</f>
        <v>0</v>
      </c>
      <c r="H202" s="39" t="str">
        <f aca="false">IF(SUM($F202)=0,"",ROUND($F202*(1+$G202),0))</f>
        <v/>
      </c>
      <c r="I202" s="10"/>
      <c r="J202" s="88"/>
      <c r="K202" s="88" t="str">
        <f aca="false">IF($J202="","",$J202)</f>
        <v/>
      </c>
      <c r="L202" s="88"/>
      <c r="M202" s="88" t="str">
        <f aca="false">IF($L202="","",$L202)</f>
        <v/>
      </c>
      <c r="N202" s="10" t="str">
        <f aca="false">$H202</f>
        <v/>
      </c>
      <c r="O202" s="39" t="str">
        <f aca="false">IF(SUM($N202)=0,"",IF(AND(SUM($N202)&gt;0,$K202=""),"ENTER KNOWN POSITIVITY RATE",ROUND($N202*$K202,0)))</f>
        <v/>
      </c>
      <c r="P202" s="39" t="str">
        <f aca="false">IF(SUM($N202)=0,"",IF(AND((SUM($N202)-SUM($O202))&gt;0,$M202=""),"ENTER YIELD RATE",ROUND(($N202-SUM($O202))*$M202,0)))</f>
        <v/>
      </c>
      <c r="Q202" s="39" t="str">
        <f aca="false">IF(SUM($N202)=0,"",$N202-SUM($O202)-SUM($P202))</f>
        <v/>
      </c>
      <c r="R202" s="88" t="str">
        <f aca="false">IF(SUM($P202)=0,"",INDEX(Cascade!$BG:$BG,MATCH($E202,Cascade!$E:$E,0)))</f>
        <v/>
      </c>
      <c r="S202" s="39" t="str">
        <f aca="false">$O202</f>
        <v/>
      </c>
      <c r="T202" s="39" t="str">
        <f aca="false">IF(SUM($P202)=0,"",IF(AND($R202="",SUM($P202)&gt;0),"&lt;- Enter Linkage Rate",ROUND($P202*$R202,0)))</f>
        <v/>
      </c>
      <c r="U202" s="10" t="str">
        <f aca="false">IFERROR(1/(1/INDEX(Cascade!$BH:$BH,MATCH($E202,Cascade!$E:$E,0))),"")</f>
        <v/>
      </c>
      <c r="V202" s="10" t="str">
        <f aca="false">IF(SUM($P202)=0,"",$P202)</f>
        <v/>
      </c>
      <c r="W202" s="10" t="str">
        <f aca="false">IFERROR(1/(1/INDEX(PMTCT!$AC:$AC,MATCH($E202,PMTCT!$E:$E,0))),"")</f>
        <v/>
      </c>
      <c r="X202" s="10" t="str">
        <f aca="false">IFERROR(1/(1/INDEX(PMTCT!$AS:$AS,MATCH($E202,PMTCT!$E:$E,0))),"")</f>
        <v/>
      </c>
      <c r="Y202" s="10" t="str">
        <f aca="false">IFERROR(1/(1/INDEX(VMMC!$AA:$AA,MATCH($E202,VMMC!$E:$E,0))),"")</f>
        <v/>
      </c>
      <c r="Z202" s="10" t="str">
        <f aca="false">IFERROR(1/(1/(SUM($U202)-SUM($V202:$Y202))),"")</f>
        <v/>
      </c>
    </row>
    <row r="203" customFormat="false" ht="15" hidden="false" customHeight="false" outlineLevel="0" collapsed="false">
      <c r="A203" s="0" t="str">
        <f aca="false">INDEX(Prioritization!$D:$D,MATCH($B203,Prioritization!$A:$A,0))</f>
        <v>INVALID</v>
      </c>
      <c r="B203" s="0" t="s">
        <v>209</v>
      </c>
      <c r="C203" s="0" t="s">
        <v>367</v>
      </c>
      <c r="D203" s="0" t="s">
        <v>30</v>
      </c>
      <c r="E203" s="0" t="str">
        <f aca="false">B203&amp;"|"&amp;C203&amp;"|"&amp;D203</f>
        <v>Rumphi District [lPTyjLi4w3d]|35-49|Female</v>
      </c>
      <c r="F203" s="10"/>
      <c r="G203" s="88" t="n">
        <f aca="false">0</f>
        <v>0</v>
      </c>
      <c r="H203" s="39" t="str">
        <f aca="false">IF(SUM($F203)=0,"",ROUND($F203*(1+$G203),0))</f>
        <v/>
      </c>
      <c r="I203" s="10"/>
      <c r="J203" s="88"/>
      <c r="K203" s="88" t="str">
        <f aca="false">IF($J203="","",$J203)</f>
        <v/>
      </c>
      <c r="L203" s="88"/>
      <c r="M203" s="88" t="str">
        <f aca="false">IF($L203="","",$L203)</f>
        <v/>
      </c>
      <c r="N203" s="10" t="str">
        <f aca="false">$H203</f>
        <v/>
      </c>
      <c r="O203" s="39" t="str">
        <f aca="false">IF(SUM($N203)=0,"",IF(AND(SUM($N203)&gt;0,$K203=""),"ENTER KNOWN POSITIVITY RATE",ROUND($N203*$K203,0)))</f>
        <v/>
      </c>
      <c r="P203" s="39" t="str">
        <f aca="false">IF(SUM($N203)=0,"",IF(AND((SUM($N203)-SUM($O203))&gt;0,$M203=""),"ENTER YIELD RATE",ROUND(($N203-SUM($O203))*$M203,0)))</f>
        <v/>
      </c>
      <c r="Q203" s="39" t="str">
        <f aca="false">IF(SUM($N203)=0,"",$N203-SUM($O203)-SUM($P203))</f>
        <v/>
      </c>
      <c r="R203" s="88" t="str">
        <f aca="false">IF(SUM($P203)=0,"",INDEX(Cascade!$BG:$BG,MATCH($E203,Cascade!$E:$E,0)))</f>
        <v/>
      </c>
      <c r="S203" s="39" t="str">
        <f aca="false">$O203</f>
        <v/>
      </c>
      <c r="T203" s="39" t="str">
        <f aca="false">IF(SUM($P203)=0,"",IF(AND($R203="",SUM($P203)&gt;0),"&lt;- Enter Linkage Rate",ROUND($P203*$R203,0)))</f>
        <v/>
      </c>
      <c r="U203" s="10" t="str">
        <f aca="false">IFERROR(1/(1/INDEX(Cascade!$BH:$BH,MATCH($E203,Cascade!$E:$E,0))),"")</f>
        <v/>
      </c>
      <c r="V203" s="10" t="str">
        <f aca="false">IF(SUM($P203)=0,"",$P203)</f>
        <v/>
      </c>
      <c r="W203" s="10" t="str">
        <f aca="false">IFERROR(1/(1/INDEX(PMTCT!$AC:$AC,MATCH($E203,PMTCT!$E:$E,0))),"")</f>
        <v/>
      </c>
      <c r="X203" s="10" t="str">
        <f aca="false">IFERROR(1/(1/INDEX(PMTCT!$AS:$AS,MATCH($E203,PMTCT!$E:$E,0))),"")</f>
        <v/>
      </c>
      <c r="Y203" s="10" t="str">
        <f aca="false">IFERROR(1/(1/INDEX(VMMC!$AA:$AA,MATCH($E203,VMMC!$E:$E,0))),"")</f>
        <v/>
      </c>
      <c r="Z203" s="10" t="str">
        <f aca="false">IFERROR(1/(1/(SUM($U203)-SUM($V203:$Y203))),"")</f>
        <v/>
      </c>
    </row>
    <row r="204" customFormat="false" ht="15" hidden="false" customHeight="false" outlineLevel="0" collapsed="false">
      <c r="A204" s="0" t="str">
        <f aca="false">INDEX(Prioritization!$D:$D,MATCH($B204,Prioritization!$A:$A,0))</f>
        <v>INVALID</v>
      </c>
      <c r="B204" s="0" t="s">
        <v>209</v>
      </c>
      <c r="C204" s="0" t="s">
        <v>367</v>
      </c>
      <c r="D204" s="0" t="s">
        <v>48</v>
      </c>
      <c r="E204" s="0" t="str">
        <f aca="false">B204&amp;"|"&amp;C204&amp;"|"&amp;D204</f>
        <v>Rumphi District [lPTyjLi4w3d]|35-49|Male</v>
      </c>
      <c r="F204" s="10"/>
      <c r="G204" s="88" t="n">
        <f aca="false">0</f>
        <v>0</v>
      </c>
      <c r="H204" s="39" t="str">
        <f aca="false">IF(SUM($F204)=0,"",ROUND($F204*(1+$G204),0))</f>
        <v/>
      </c>
      <c r="I204" s="10"/>
      <c r="J204" s="88"/>
      <c r="K204" s="88" t="str">
        <f aca="false">IF($J204="","",$J204)</f>
        <v/>
      </c>
      <c r="L204" s="88"/>
      <c r="M204" s="88" t="str">
        <f aca="false">IF($L204="","",$L204)</f>
        <v/>
      </c>
      <c r="N204" s="10" t="str">
        <f aca="false">$H204</f>
        <v/>
      </c>
      <c r="O204" s="39" t="str">
        <f aca="false">IF(SUM($N204)=0,"",IF(AND(SUM($N204)&gt;0,$K204=""),"ENTER KNOWN POSITIVITY RATE",ROUND($N204*$K204,0)))</f>
        <v/>
      </c>
      <c r="P204" s="39" t="str">
        <f aca="false">IF(SUM($N204)=0,"",IF(AND((SUM($N204)-SUM($O204))&gt;0,$M204=""),"ENTER YIELD RATE",ROUND(($N204-SUM($O204))*$M204,0)))</f>
        <v/>
      </c>
      <c r="Q204" s="39" t="str">
        <f aca="false">IF(SUM($N204)=0,"",$N204-SUM($O204)-SUM($P204))</f>
        <v/>
      </c>
      <c r="R204" s="88" t="str">
        <f aca="false">IF(SUM($P204)=0,"",INDEX(Cascade!$BG:$BG,MATCH($E204,Cascade!$E:$E,0)))</f>
        <v/>
      </c>
      <c r="S204" s="39" t="str">
        <f aca="false">$O204</f>
        <v/>
      </c>
      <c r="T204" s="39" t="str">
        <f aca="false">IF(SUM($P204)=0,"",IF(AND($R204="",SUM($P204)&gt;0),"&lt;- Enter Linkage Rate",ROUND($P204*$R204,0)))</f>
        <v/>
      </c>
      <c r="U204" s="10" t="str">
        <f aca="false">IFERROR(1/(1/INDEX(Cascade!$BH:$BH,MATCH($E204,Cascade!$E:$E,0))),"")</f>
        <v/>
      </c>
      <c r="V204" s="10" t="str">
        <f aca="false">IF(SUM($P204)=0,"",$P204)</f>
        <v/>
      </c>
      <c r="W204" s="10" t="str">
        <f aca="false">IFERROR(1/(1/INDEX(PMTCT!$AC:$AC,MATCH($E204,PMTCT!$E:$E,0))),"")</f>
        <v/>
      </c>
      <c r="X204" s="10" t="str">
        <f aca="false">IFERROR(1/(1/INDEX(PMTCT!$AS:$AS,MATCH($E204,PMTCT!$E:$E,0))),"")</f>
        <v/>
      </c>
      <c r="Y204" s="10" t="str">
        <f aca="false">IFERROR(1/(1/INDEX(VMMC!$AA:$AA,MATCH($E204,VMMC!$E:$E,0))),"")</f>
        <v/>
      </c>
      <c r="Z204" s="10" t="str">
        <f aca="false">IFERROR(1/(1/(SUM($U204)-SUM($V204:$Y204))),"")</f>
        <v/>
      </c>
    </row>
    <row r="205" customFormat="false" ht="15" hidden="false" customHeight="false" outlineLevel="0" collapsed="false">
      <c r="A205" s="0" t="str">
        <f aca="false">INDEX(Prioritization!$D:$D,MATCH($B205,Prioritization!$A:$A,0))</f>
        <v>INVALID</v>
      </c>
      <c r="B205" s="0" t="s">
        <v>209</v>
      </c>
      <c r="C205" s="0" t="s">
        <v>368</v>
      </c>
      <c r="D205" s="0" t="s">
        <v>30</v>
      </c>
      <c r="E205" s="0" t="str">
        <f aca="false">B205&amp;"|"&amp;C205&amp;"|"&amp;D205</f>
        <v>Rumphi District [lPTyjLi4w3d]|50+|Female</v>
      </c>
      <c r="F205" s="10"/>
      <c r="G205" s="88" t="n">
        <f aca="false">0</f>
        <v>0</v>
      </c>
      <c r="H205" s="39" t="str">
        <f aca="false">IF(SUM($F205)=0,"",ROUND($F205*(1+$G205),0))</f>
        <v/>
      </c>
      <c r="I205" s="10"/>
      <c r="J205" s="88"/>
      <c r="K205" s="88" t="str">
        <f aca="false">IF($J205="","",$J205)</f>
        <v/>
      </c>
      <c r="L205" s="88"/>
      <c r="M205" s="88" t="str">
        <f aca="false">IF($L205="","",$L205)</f>
        <v/>
      </c>
      <c r="N205" s="10" t="str">
        <f aca="false">$H205</f>
        <v/>
      </c>
      <c r="O205" s="39" t="str">
        <f aca="false">IF(SUM($N205)=0,"",IF(AND(SUM($N205)&gt;0,$K205=""),"ENTER KNOWN POSITIVITY RATE",ROUND($N205*$K205,0)))</f>
        <v/>
      </c>
      <c r="P205" s="39" t="str">
        <f aca="false">IF(SUM($N205)=0,"",IF(AND((SUM($N205)-SUM($O205))&gt;0,$M205=""),"ENTER YIELD RATE",ROUND(($N205-SUM($O205))*$M205,0)))</f>
        <v/>
      </c>
      <c r="Q205" s="39" t="str">
        <f aca="false">IF(SUM($N205)=0,"",$N205-SUM($O205)-SUM($P205))</f>
        <v/>
      </c>
      <c r="R205" s="88" t="str">
        <f aca="false">IF(SUM($P205)=0,"",INDEX(Cascade!$BG:$BG,MATCH($E205,Cascade!$E:$E,0)))</f>
        <v/>
      </c>
      <c r="S205" s="39" t="str">
        <f aca="false">$O205</f>
        <v/>
      </c>
      <c r="T205" s="39" t="str">
        <f aca="false">IF(SUM($P205)=0,"",IF(AND($R205="",SUM($P205)&gt;0),"&lt;- Enter Linkage Rate",ROUND($P205*$R205,0)))</f>
        <v/>
      </c>
      <c r="U205" s="10" t="str">
        <f aca="false">IFERROR(1/(1/INDEX(Cascade!$BH:$BH,MATCH($E205,Cascade!$E:$E,0))),"")</f>
        <v/>
      </c>
      <c r="V205" s="10" t="str">
        <f aca="false">IF(SUM($P205)=0,"",$P205)</f>
        <v/>
      </c>
      <c r="W205" s="10" t="str">
        <f aca="false">IFERROR(1/(1/INDEX(PMTCT!$AC:$AC,MATCH($E205,PMTCT!$E:$E,0))),"")</f>
        <v/>
      </c>
      <c r="X205" s="10" t="str">
        <f aca="false">IFERROR(1/(1/INDEX(PMTCT!$AS:$AS,MATCH($E205,PMTCT!$E:$E,0))),"")</f>
        <v/>
      </c>
      <c r="Y205" s="10" t="str">
        <f aca="false">IFERROR(1/(1/INDEX(VMMC!$AA:$AA,MATCH($E205,VMMC!$E:$E,0))),"")</f>
        <v/>
      </c>
      <c r="Z205" s="10" t="str">
        <f aca="false">IFERROR(1/(1/(SUM($U205)-SUM($V205:$Y205))),"")</f>
        <v/>
      </c>
    </row>
    <row r="206" customFormat="false" ht="15" hidden="false" customHeight="false" outlineLevel="0" collapsed="false">
      <c r="A206" s="0" t="str">
        <f aca="false">INDEX(Prioritization!$D:$D,MATCH($B206,Prioritization!$A:$A,0))</f>
        <v>INVALID</v>
      </c>
      <c r="B206" s="0" t="s">
        <v>209</v>
      </c>
      <c r="C206" s="0" t="s">
        <v>368</v>
      </c>
      <c r="D206" s="0" t="s">
        <v>48</v>
      </c>
      <c r="E206" s="0" t="str">
        <f aca="false">B206&amp;"|"&amp;C206&amp;"|"&amp;D206</f>
        <v>Rumphi District [lPTyjLi4w3d]|50+|Male</v>
      </c>
      <c r="F206" s="10"/>
      <c r="G206" s="88" t="n">
        <f aca="false">0</f>
        <v>0</v>
      </c>
      <c r="H206" s="39" t="str">
        <f aca="false">IF(SUM($F206)=0,"",ROUND($F206*(1+$G206),0))</f>
        <v/>
      </c>
      <c r="I206" s="10"/>
      <c r="J206" s="88"/>
      <c r="K206" s="88" t="str">
        <f aca="false">IF($J206="","",$J206)</f>
        <v/>
      </c>
      <c r="L206" s="88"/>
      <c r="M206" s="88" t="str">
        <f aca="false">IF($L206="","",$L206)</f>
        <v/>
      </c>
      <c r="N206" s="10" t="str">
        <f aca="false">$H206</f>
        <v/>
      </c>
      <c r="O206" s="39" t="str">
        <f aca="false">IF(SUM($N206)=0,"",IF(AND(SUM($N206)&gt;0,$K206=""),"ENTER KNOWN POSITIVITY RATE",ROUND($N206*$K206,0)))</f>
        <v/>
      </c>
      <c r="P206" s="39" t="str">
        <f aca="false">IF(SUM($N206)=0,"",IF(AND((SUM($N206)-SUM($O206))&gt;0,$M206=""),"ENTER YIELD RATE",ROUND(($N206-SUM($O206))*$M206,0)))</f>
        <v/>
      </c>
      <c r="Q206" s="39" t="str">
        <f aca="false">IF(SUM($N206)=0,"",$N206-SUM($O206)-SUM($P206))</f>
        <v/>
      </c>
      <c r="R206" s="88" t="str">
        <f aca="false">IF(SUM($P206)=0,"",INDEX(Cascade!$BG:$BG,MATCH($E206,Cascade!$E:$E,0)))</f>
        <v/>
      </c>
      <c r="S206" s="39" t="str">
        <f aca="false">$O206</f>
        <v/>
      </c>
      <c r="T206" s="39" t="str">
        <f aca="false">IF(SUM($P206)=0,"",IF(AND($R206="",SUM($P206)&gt;0),"&lt;- Enter Linkage Rate",ROUND($P206*$R206,0)))</f>
        <v/>
      </c>
      <c r="U206" s="10" t="str">
        <f aca="false">IFERROR(1/(1/INDEX(Cascade!$BH:$BH,MATCH($E206,Cascade!$E:$E,0))),"")</f>
        <v/>
      </c>
      <c r="V206" s="10" t="str">
        <f aca="false">IF(SUM($P206)=0,"",$P206)</f>
        <v/>
      </c>
      <c r="W206" s="10" t="str">
        <f aca="false">IFERROR(1/(1/INDEX(PMTCT!$AC:$AC,MATCH($E206,PMTCT!$E:$E,0))),"")</f>
        <v/>
      </c>
      <c r="X206" s="10" t="str">
        <f aca="false">IFERROR(1/(1/INDEX(PMTCT!$AS:$AS,MATCH($E206,PMTCT!$E:$E,0))),"")</f>
        <v/>
      </c>
      <c r="Y206" s="10" t="str">
        <f aca="false">IFERROR(1/(1/INDEX(VMMC!$AA:$AA,MATCH($E206,VMMC!$E:$E,0))),"")</f>
        <v/>
      </c>
      <c r="Z206" s="10" t="str">
        <f aca="false">IFERROR(1/(1/(SUM($U206)-SUM($V206:$Y206))),"")</f>
        <v/>
      </c>
    </row>
    <row r="207" customFormat="false" ht="15" hidden="false" customHeight="false" outlineLevel="0" collapsed="false">
      <c r="A207" s="0" t="str">
        <f aca="false">INDEX(Prioritization!$D:$D,MATCH($B207,Prioritization!$A:$A,0))</f>
        <v>1 - Scale-up: Saturation</v>
      </c>
      <c r="B207" s="0" t="s">
        <v>210</v>
      </c>
      <c r="C207" s="0" t="s">
        <v>363</v>
      </c>
      <c r="D207" s="0" t="s">
        <v>30</v>
      </c>
      <c r="E207" s="0" t="str">
        <f aca="false">B207&amp;"|"&amp;C207&amp;"|"&amp;D207</f>
        <v>Balaka District [ir8wuHHzoSs]|01-09|Female</v>
      </c>
      <c r="F207" s="10"/>
      <c r="G207" s="88" t="n">
        <f aca="false">0</f>
        <v>0</v>
      </c>
      <c r="H207" s="39" t="str">
        <f aca="false">IF(SUM($F207)=0,"",ROUND($F207*(1+$G207),0))</f>
        <v/>
      </c>
      <c r="I207" s="10"/>
      <c r="J207" s="88"/>
      <c r="K207" s="88" t="str">
        <f aca="false">IF($J207="","",$J207)</f>
        <v/>
      </c>
      <c r="L207" s="88"/>
      <c r="M207" s="88" t="str">
        <f aca="false">IF($L207="","",$L207)</f>
        <v/>
      </c>
      <c r="N207" s="10" t="str">
        <f aca="false">$H207</f>
        <v/>
      </c>
      <c r="O207" s="39" t="str">
        <f aca="false">IF(SUM($N207)=0,"",IF(AND(SUM($N207)&gt;0,$K207=""),"ENTER KNOWN POSITIVITY RATE",ROUND($N207*$K207,0)))</f>
        <v/>
      </c>
      <c r="P207" s="39" t="str">
        <f aca="false">IF(SUM($N207)=0,"",IF(AND((SUM($N207)-SUM($O207))&gt;0,$M207=""),"ENTER YIELD RATE",ROUND(($N207-SUM($O207))*$M207,0)))</f>
        <v/>
      </c>
      <c r="Q207" s="39" t="str">
        <f aca="false">IF(SUM($N207)=0,"",$N207-SUM($O207)-SUM($P207))</f>
        <v/>
      </c>
      <c r="R207" s="88" t="str">
        <f aca="false">IF(SUM($P207)=0,"",INDEX(Cascade!$BG:$BG,MATCH($E207,Cascade!$E:$E,0)))</f>
        <v/>
      </c>
      <c r="S207" s="39" t="str">
        <f aca="false">$O207</f>
        <v/>
      </c>
      <c r="T207" s="39" t="str">
        <f aca="false">IF(SUM($P207)=0,"",IF(AND($R207="",SUM($P207)&gt;0),"&lt;- Enter Linkage Rate",ROUND($P207*$R207,0)))</f>
        <v/>
      </c>
      <c r="U207" s="10" t="str">
        <f aca="false">IFERROR(1/(1/INDEX(Cascade!$BH:$BH,MATCH($E207,Cascade!$E:$E,0))),"")</f>
        <v/>
      </c>
      <c r="V207" s="10" t="str">
        <f aca="false">IF(SUM($P207)=0,"",$P207)</f>
        <v/>
      </c>
      <c r="W207" s="10" t="str">
        <f aca="false">IFERROR(1/(1/INDEX(PMTCT!$AC:$AC,MATCH($E207,PMTCT!$E:$E,0))),"")</f>
        <v/>
      </c>
      <c r="X207" s="10" t="str">
        <f aca="false">IFERROR(1/(1/INDEX(PMTCT!$AS:$AS,MATCH($E207,PMTCT!$E:$E,0))),"")</f>
        <v/>
      </c>
      <c r="Y207" s="10" t="str">
        <f aca="false">IFERROR(1/(1/INDEX(VMMC!$AA:$AA,MATCH($E207,VMMC!$E:$E,0))),"")</f>
        <v/>
      </c>
      <c r="Z207" s="10" t="str">
        <f aca="false">IFERROR(1/(1/(SUM($U207)-SUM($V207:$Y207))),"")</f>
        <v/>
      </c>
    </row>
    <row r="208" customFormat="false" ht="15" hidden="false" customHeight="false" outlineLevel="0" collapsed="false">
      <c r="A208" s="0" t="str">
        <f aca="false">INDEX(Prioritization!$D:$D,MATCH($B208,Prioritization!$A:$A,0))</f>
        <v>1 - Scale-up: Saturation</v>
      </c>
      <c r="B208" s="0" t="s">
        <v>210</v>
      </c>
      <c r="C208" s="0" t="s">
        <v>363</v>
      </c>
      <c r="D208" s="0" t="s">
        <v>48</v>
      </c>
      <c r="E208" s="0" t="str">
        <f aca="false">B208&amp;"|"&amp;C208&amp;"|"&amp;D208</f>
        <v>Balaka District [ir8wuHHzoSs]|01-09|Male</v>
      </c>
      <c r="F208" s="10"/>
      <c r="G208" s="88" t="n">
        <f aca="false">0</f>
        <v>0</v>
      </c>
      <c r="H208" s="39" t="str">
        <f aca="false">IF(SUM($F208)=0,"",ROUND($F208*(1+$G208),0))</f>
        <v/>
      </c>
      <c r="I208" s="10"/>
      <c r="J208" s="88"/>
      <c r="K208" s="88" t="str">
        <f aca="false">IF($J208="","",$J208)</f>
        <v/>
      </c>
      <c r="L208" s="88"/>
      <c r="M208" s="88" t="str">
        <f aca="false">IF($L208="","",$L208)</f>
        <v/>
      </c>
      <c r="N208" s="10" t="str">
        <f aca="false">$H208</f>
        <v/>
      </c>
      <c r="O208" s="39" t="str">
        <f aca="false">IF(SUM($N208)=0,"",IF(AND(SUM($N208)&gt;0,$K208=""),"ENTER KNOWN POSITIVITY RATE",ROUND($N208*$K208,0)))</f>
        <v/>
      </c>
      <c r="P208" s="39" t="str">
        <f aca="false">IF(SUM($N208)=0,"",IF(AND((SUM($N208)-SUM($O208))&gt;0,$M208=""),"ENTER YIELD RATE",ROUND(($N208-SUM($O208))*$M208,0)))</f>
        <v/>
      </c>
      <c r="Q208" s="39" t="str">
        <f aca="false">IF(SUM($N208)=0,"",$N208-SUM($O208)-SUM($P208))</f>
        <v/>
      </c>
      <c r="R208" s="88" t="str">
        <f aca="false">IF(SUM($P208)=0,"",INDEX(Cascade!$BG:$BG,MATCH($E208,Cascade!$E:$E,0)))</f>
        <v/>
      </c>
      <c r="S208" s="39" t="str">
        <f aca="false">$O208</f>
        <v/>
      </c>
      <c r="T208" s="39" t="str">
        <f aca="false">IF(SUM($P208)=0,"",IF(AND($R208="",SUM($P208)&gt;0),"&lt;- Enter Linkage Rate",ROUND($P208*$R208,0)))</f>
        <v/>
      </c>
      <c r="U208" s="10" t="str">
        <f aca="false">IFERROR(1/(1/INDEX(Cascade!$BH:$BH,MATCH($E208,Cascade!$E:$E,0))),"")</f>
        <v/>
      </c>
      <c r="V208" s="10" t="str">
        <f aca="false">IF(SUM($P208)=0,"",$P208)</f>
        <v/>
      </c>
      <c r="W208" s="10" t="str">
        <f aca="false">IFERROR(1/(1/INDEX(PMTCT!$AC:$AC,MATCH($E208,PMTCT!$E:$E,0))),"")</f>
        <v/>
      </c>
      <c r="X208" s="10" t="str">
        <f aca="false">IFERROR(1/(1/INDEX(PMTCT!$AS:$AS,MATCH($E208,PMTCT!$E:$E,0))),"")</f>
        <v/>
      </c>
      <c r="Y208" s="10" t="str">
        <f aca="false">IFERROR(1/(1/INDEX(VMMC!$AA:$AA,MATCH($E208,VMMC!$E:$E,0))),"")</f>
        <v/>
      </c>
      <c r="Z208" s="10" t="str">
        <f aca="false">IFERROR(1/(1/(SUM($U208)-SUM($V208:$Y208))),"")</f>
        <v/>
      </c>
    </row>
    <row r="209" customFormat="false" ht="15" hidden="false" customHeight="false" outlineLevel="0" collapsed="false">
      <c r="A209" s="0" t="str">
        <f aca="false">INDEX(Prioritization!$D:$D,MATCH($B209,Prioritization!$A:$A,0))</f>
        <v>1 - Scale-up: Saturation</v>
      </c>
      <c r="B209" s="0" t="s">
        <v>210</v>
      </c>
      <c r="C209" s="0" t="s">
        <v>364</v>
      </c>
      <c r="D209" s="0" t="s">
        <v>30</v>
      </c>
      <c r="E209" s="0" t="str">
        <f aca="false">B209&amp;"|"&amp;C209&amp;"|"&amp;D209</f>
        <v>Balaka District [ir8wuHHzoSs]|10-14|Female</v>
      </c>
      <c r="F209" s="10" t="n">
        <v>1</v>
      </c>
      <c r="G209" s="88" t="n">
        <f aca="false">0</f>
        <v>0</v>
      </c>
      <c r="H209" s="39" t="n">
        <f aca="false">IF(SUM($F209)=0,"",ROUND($F209*(1+$G209),0))</f>
        <v>1</v>
      </c>
      <c r="I209" s="10"/>
      <c r="J209" s="88"/>
      <c r="K209" s="88" t="str">
        <f aca="false">IF($J209="","",$J209)</f>
        <v/>
      </c>
      <c r="L209" s="88"/>
      <c r="M209" s="88" t="str">
        <f aca="false">IF($L209="","",$L209)</f>
        <v/>
      </c>
      <c r="N209" s="10" t="n">
        <f aca="false">$H209</f>
        <v>1</v>
      </c>
      <c r="O209" s="39" t="str">
        <f aca="false">IF(SUM($N209)=0,"",IF(AND(SUM($N209)&gt;0,$K209=""),"ENTER KNOWN POSITIVITY RATE",ROUND($N209*$K209,0)))</f>
        <v>ENTER KNOWN POSITIVITY RATE</v>
      </c>
      <c r="P209" s="39" t="str">
        <f aca="false">IF(SUM($N209)=0,"",IF(AND((SUM($N209)-SUM($O209))&gt;0,$M209=""),"ENTER YIELD RATE",ROUND(($N209-SUM($O209))*$M209,0)))</f>
        <v>ENTER YIELD RATE</v>
      </c>
      <c r="Q209" s="39" t="n">
        <f aca="false">IF(SUM($N209)=0,"",$N209-SUM($O209)-SUM($P209))</f>
        <v>1</v>
      </c>
      <c r="R209" s="88" t="str">
        <f aca="false">IF(SUM($P209)=0,"",INDEX(Cascade!$BG:$BG,MATCH($E209,Cascade!$E:$E,0)))</f>
        <v/>
      </c>
      <c r="S209" s="39" t="str">
        <f aca="false">$O209</f>
        <v>ENTER KNOWN POSITIVITY RATE</v>
      </c>
      <c r="T209" s="39" t="str">
        <f aca="false">IF(SUM($P209)=0,"",IF(AND($R209="",SUM($P209)&gt;0),"&lt;- Enter Linkage Rate",ROUND($P209*$R209,0)))</f>
        <v/>
      </c>
      <c r="U209" s="10" t="n">
        <f aca="false">IFERROR(1/(1/INDEX(Cascade!$BH:$BH,MATCH($E209,Cascade!$E:$E,0))),"")</f>
        <v>-97</v>
      </c>
      <c r="V209" s="10" t="str">
        <f aca="false">IF(SUM($P209)=0,"",$P209)</f>
        <v/>
      </c>
      <c r="W209" s="10" t="str">
        <f aca="false">IFERROR(1/(1/INDEX(PMTCT!$AC:$AC,MATCH($E209,PMTCT!$E:$E,0))),"")</f>
        <v/>
      </c>
      <c r="X209" s="10" t="str">
        <f aca="false">IFERROR(1/(1/INDEX(PMTCT!$AS:$AS,MATCH($E209,PMTCT!$E:$E,0))),"")</f>
        <v/>
      </c>
      <c r="Y209" s="10" t="str">
        <f aca="false">IFERROR(1/(1/INDEX(VMMC!$AA:$AA,MATCH($E209,VMMC!$E:$E,0))),"")</f>
        <v/>
      </c>
      <c r="Z209" s="10" t="n">
        <f aca="false">IFERROR(1/(1/(SUM($U209)-SUM($V209:$Y209))),"")</f>
        <v>-97</v>
      </c>
    </row>
    <row r="210" customFormat="false" ht="15" hidden="false" customHeight="false" outlineLevel="0" collapsed="false">
      <c r="A210" s="0" t="str">
        <f aca="false">INDEX(Prioritization!$D:$D,MATCH($B210,Prioritization!$A:$A,0))</f>
        <v>1 - Scale-up: Saturation</v>
      </c>
      <c r="B210" s="0" t="s">
        <v>210</v>
      </c>
      <c r="C210" s="0" t="s">
        <v>364</v>
      </c>
      <c r="D210" s="0" t="s">
        <v>48</v>
      </c>
      <c r="E210" s="0" t="str">
        <f aca="false">B210&amp;"|"&amp;C210&amp;"|"&amp;D210</f>
        <v>Balaka District [ir8wuHHzoSs]|10-14|Male</v>
      </c>
      <c r="F210" s="10" t="n">
        <v>0</v>
      </c>
      <c r="G210" s="88" t="n">
        <f aca="false">0</f>
        <v>0</v>
      </c>
      <c r="H210" s="39" t="str">
        <f aca="false">IF(SUM($F210)=0,"",ROUND($F210*(1+$G210),0))</f>
        <v/>
      </c>
      <c r="I210" s="10"/>
      <c r="J210" s="88"/>
      <c r="K210" s="88" t="str">
        <f aca="false">IF($J210="","",$J210)</f>
        <v/>
      </c>
      <c r="L210" s="88"/>
      <c r="M210" s="88" t="str">
        <f aca="false">IF($L210="","",$L210)</f>
        <v/>
      </c>
      <c r="N210" s="10" t="str">
        <f aca="false">$H210</f>
        <v/>
      </c>
      <c r="O210" s="39" t="str">
        <f aca="false">IF(SUM($N210)=0,"",IF(AND(SUM($N210)&gt;0,$K210=""),"ENTER KNOWN POSITIVITY RATE",ROUND($N210*$K210,0)))</f>
        <v/>
      </c>
      <c r="P210" s="39" t="str">
        <f aca="false">IF(SUM($N210)=0,"",IF(AND((SUM($N210)-SUM($O210))&gt;0,$M210=""),"ENTER YIELD RATE",ROUND(($N210-SUM($O210))*$M210,0)))</f>
        <v/>
      </c>
      <c r="Q210" s="39" t="str">
        <f aca="false">IF(SUM($N210)=0,"",$N210-SUM($O210)-SUM($P210))</f>
        <v/>
      </c>
      <c r="R210" s="88" t="str">
        <f aca="false">IF(SUM($P210)=0,"",INDEX(Cascade!$BG:$BG,MATCH($E210,Cascade!$E:$E,0)))</f>
        <v/>
      </c>
      <c r="S210" s="39" t="str">
        <f aca="false">$O210</f>
        <v/>
      </c>
      <c r="T210" s="39" t="str">
        <f aca="false">IF(SUM($P210)=0,"",IF(AND($R210="",SUM($P210)&gt;0),"&lt;- Enter Linkage Rate",ROUND($P210*$R210,0)))</f>
        <v/>
      </c>
      <c r="U210" s="10" t="n">
        <f aca="false">IFERROR(1/(1/INDEX(Cascade!$BH:$BH,MATCH($E210,Cascade!$E:$E,0))),"")</f>
        <v>-40</v>
      </c>
      <c r="V210" s="10" t="str">
        <f aca="false">IF(SUM($P210)=0,"",$P210)</f>
        <v/>
      </c>
      <c r="W210" s="10" t="str">
        <f aca="false">IFERROR(1/(1/INDEX(PMTCT!$AC:$AC,MATCH($E210,PMTCT!$E:$E,0))),"")</f>
        <v/>
      </c>
      <c r="X210" s="10" t="str">
        <f aca="false">IFERROR(1/(1/INDEX(PMTCT!$AS:$AS,MATCH($E210,PMTCT!$E:$E,0))),"")</f>
        <v/>
      </c>
      <c r="Y210" s="10" t="str">
        <f aca="false">IFERROR(1/(1/INDEX(VMMC!$AA:$AA,MATCH($E210,VMMC!$E:$E,0))),"")</f>
        <v/>
      </c>
      <c r="Z210" s="10" t="n">
        <f aca="false">IFERROR(1/(1/(SUM($U210)-SUM($V210:$Y210))),"")</f>
        <v>-40</v>
      </c>
    </row>
    <row r="211" customFormat="false" ht="15" hidden="false" customHeight="false" outlineLevel="0" collapsed="false">
      <c r="A211" s="0" t="str">
        <f aca="false">INDEX(Prioritization!$D:$D,MATCH($B211,Prioritization!$A:$A,0))</f>
        <v>1 - Scale-up: Saturation</v>
      </c>
      <c r="B211" s="0" t="s">
        <v>210</v>
      </c>
      <c r="C211" s="0" t="s">
        <v>365</v>
      </c>
      <c r="D211" s="0" t="s">
        <v>30</v>
      </c>
      <c r="E211" s="0" t="str">
        <f aca="false">B211&amp;"|"&amp;C211&amp;"|"&amp;D211</f>
        <v>Balaka District [ir8wuHHzoSs]|15-24|Female</v>
      </c>
      <c r="F211" s="10"/>
      <c r="G211" s="88" t="n">
        <f aca="false">0</f>
        <v>0</v>
      </c>
      <c r="H211" s="39" t="str">
        <f aca="false">IF(SUM($F211)=0,"",ROUND($F211*(1+$G211),0))</f>
        <v/>
      </c>
      <c r="I211" s="10"/>
      <c r="J211" s="88"/>
      <c r="K211" s="88" t="str">
        <f aca="false">IF($J211="","",$J211)</f>
        <v/>
      </c>
      <c r="L211" s="88"/>
      <c r="M211" s="88" t="str">
        <f aca="false">IF($L211="","",$L211)</f>
        <v/>
      </c>
      <c r="N211" s="10" t="str">
        <f aca="false">$H211</f>
        <v/>
      </c>
      <c r="O211" s="39" t="str">
        <f aca="false">IF(SUM($N211)=0,"",IF(AND(SUM($N211)&gt;0,$K211=""),"ENTER KNOWN POSITIVITY RATE",ROUND($N211*$K211,0)))</f>
        <v/>
      </c>
      <c r="P211" s="39" t="str">
        <f aca="false">IF(SUM($N211)=0,"",IF(AND((SUM($N211)-SUM($O211))&gt;0,$M211=""),"ENTER YIELD RATE",ROUND(($N211-SUM($O211))*$M211,0)))</f>
        <v/>
      </c>
      <c r="Q211" s="39" t="str">
        <f aca="false">IF(SUM($N211)=0,"",$N211-SUM($O211)-SUM($P211))</f>
        <v/>
      </c>
      <c r="R211" s="88" t="str">
        <f aca="false">IF(SUM($P211)=0,"",INDEX(Cascade!$BG:$BG,MATCH($E211,Cascade!$E:$E,0)))</f>
        <v/>
      </c>
      <c r="S211" s="39" t="str">
        <f aca="false">$O211</f>
        <v/>
      </c>
      <c r="T211" s="39" t="str">
        <f aca="false">IF(SUM($P211)=0,"",IF(AND($R211="",SUM($P211)&gt;0),"&lt;- Enter Linkage Rate",ROUND($P211*$R211,0)))</f>
        <v/>
      </c>
      <c r="U211" s="10" t="str">
        <f aca="false">IFERROR(1/(1/INDEX(Cascade!$BH:$BH,MATCH($E211,Cascade!$E:$E,0))),"")</f>
        <v/>
      </c>
      <c r="V211" s="10" t="str">
        <f aca="false">IF(SUM($P211)=0,"",$P211)</f>
        <v/>
      </c>
      <c r="W211" s="10" t="str">
        <f aca="false">IFERROR(1/(1/INDEX(PMTCT!$AC:$AC,MATCH($E211,PMTCT!$E:$E,0))),"")</f>
        <v/>
      </c>
      <c r="X211" s="10" t="str">
        <f aca="false">IFERROR(1/(1/INDEX(PMTCT!$AS:$AS,MATCH($E211,PMTCT!$E:$E,0))),"")</f>
        <v/>
      </c>
      <c r="Y211" s="10" t="str">
        <f aca="false">IFERROR(1/(1/INDEX(VMMC!$AA:$AA,MATCH($E211,VMMC!$E:$E,0))),"")</f>
        <v/>
      </c>
      <c r="Z211" s="10" t="str">
        <f aca="false">IFERROR(1/(1/(SUM($U211)-SUM($V211:$Y211))),"")</f>
        <v/>
      </c>
    </row>
    <row r="212" customFormat="false" ht="15" hidden="false" customHeight="false" outlineLevel="0" collapsed="false">
      <c r="A212" s="0" t="str">
        <f aca="false">INDEX(Prioritization!$D:$D,MATCH($B212,Prioritization!$A:$A,0))</f>
        <v>1 - Scale-up: Saturation</v>
      </c>
      <c r="B212" s="0" t="s">
        <v>210</v>
      </c>
      <c r="C212" s="0" t="s">
        <v>365</v>
      </c>
      <c r="D212" s="0" t="s">
        <v>48</v>
      </c>
      <c r="E212" s="0" t="str">
        <f aca="false">B212&amp;"|"&amp;C212&amp;"|"&amp;D212</f>
        <v>Balaka District [ir8wuHHzoSs]|15-24|Male</v>
      </c>
      <c r="F212" s="10"/>
      <c r="G212" s="88" t="n">
        <f aca="false">0</f>
        <v>0</v>
      </c>
      <c r="H212" s="39" t="str">
        <f aca="false">IF(SUM($F212)=0,"",ROUND($F212*(1+$G212),0))</f>
        <v/>
      </c>
      <c r="I212" s="10"/>
      <c r="J212" s="88"/>
      <c r="K212" s="88" t="str">
        <f aca="false">IF($J212="","",$J212)</f>
        <v/>
      </c>
      <c r="L212" s="88"/>
      <c r="M212" s="88" t="str">
        <f aca="false">IF($L212="","",$L212)</f>
        <v/>
      </c>
      <c r="N212" s="10" t="str">
        <f aca="false">$H212</f>
        <v/>
      </c>
      <c r="O212" s="39" t="str">
        <f aca="false">IF(SUM($N212)=0,"",IF(AND(SUM($N212)&gt;0,$K212=""),"ENTER KNOWN POSITIVITY RATE",ROUND($N212*$K212,0)))</f>
        <v/>
      </c>
      <c r="P212" s="39" t="str">
        <f aca="false">IF(SUM($N212)=0,"",IF(AND((SUM($N212)-SUM($O212))&gt;0,$M212=""),"ENTER YIELD RATE",ROUND(($N212-SUM($O212))*$M212,0)))</f>
        <v/>
      </c>
      <c r="Q212" s="39" t="str">
        <f aca="false">IF(SUM($N212)=0,"",$N212-SUM($O212)-SUM($P212))</f>
        <v/>
      </c>
      <c r="R212" s="88" t="str">
        <f aca="false">IF(SUM($P212)=0,"",INDEX(Cascade!$BG:$BG,MATCH($E212,Cascade!$E:$E,0)))</f>
        <v/>
      </c>
      <c r="S212" s="39" t="str">
        <f aca="false">$O212</f>
        <v/>
      </c>
      <c r="T212" s="39" t="str">
        <f aca="false">IF(SUM($P212)=0,"",IF(AND($R212="",SUM($P212)&gt;0),"&lt;- Enter Linkage Rate",ROUND($P212*$R212,0)))</f>
        <v/>
      </c>
      <c r="U212" s="10" t="str">
        <f aca="false">IFERROR(1/(1/INDEX(Cascade!$BH:$BH,MATCH($E212,Cascade!$E:$E,0))),"")</f>
        <v/>
      </c>
      <c r="V212" s="10" t="str">
        <f aca="false">IF(SUM($P212)=0,"",$P212)</f>
        <v/>
      </c>
      <c r="W212" s="10" t="str">
        <f aca="false">IFERROR(1/(1/INDEX(PMTCT!$AC:$AC,MATCH($E212,PMTCT!$E:$E,0))),"")</f>
        <v/>
      </c>
      <c r="X212" s="10" t="str">
        <f aca="false">IFERROR(1/(1/INDEX(PMTCT!$AS:$AS,MATCH($E212,PMTCT!$E:$E,0))),"")</f>
        <v/>
      </c>
      <c r="Y212" s="10" t="str">
        <f aca="false">IFERROR(1/(1/INDEX(VMMC!$AA:$AA,MATCH($E212,VMMC!$E:$E,0))),"")</f>
        <v/>
      </c>
      <c r="Z212" s="10" t="str">
        <f aca="false">IFERROR(1/(1/(SUM($U212)-SUM($V212:$Y212))),"")</f>
        <v/>
      </c>
    </row>
    <row r="213" customFormat="false" ht="15" hidden="false" customHeight="false" outlineLevel="0" collapsed="false">
      <c r="A213" s="0" t="str">
        <f aca="false">INDEX(Prioritization!$D:$D,MATCH($B213,Prioritization!$A:$A,0))</f>
        <v>1 - Scale-up: Saturation</v>
      </c>
      <c r="B213" s="0" t="s">
        <v>210</v>
      </c>
      <c r="C213" s="0" t="s">
        <v>366</v>
      </c>
      <c r="D213" s="0" t="s">
        <v>30</v>
      </c>
      <c r="E213" s="0" t="str">
        <f aca="false">B213&amp;"|"&amp;C213&amp;"|"&amp;D213</f>
        <v>Balaka District [ir8wuHHzoSs]|25-34|Female</v>
      </c>
      <c r="F213" s="10"/>
      <c r="G213" s="88" t="n">
        <f aca="false">0</f>
        <v>0</v>
      </c>
      <c r="H213" s="39" t="str">
        <f aca="false">IF(SUM($F213)=0,"",ROUND($F213*(1+$G213),0))</f>
        <v/>
      </c>
      <c r="I213" s="10"/>
      <c r="J213" s="88"/>
      <c r="K213" s="88" t="str">
        <f aca="false">IF($J213="","",$J213)</f>
        <v/>
      </c>
      <c r="L213" s="88"/>
      <c r="M213" s="88" t="str">
        <f aca="false">IF($L213="","",$L213)</f>
        <v/>
      </c>
      <c r="N213" s="10" t="str">
        <f aca="false">$H213</f>
        <v/>
      </c>
      <c r="O213" s="39" t="str">
        <f aca="false">IF(SUM($N213)=0,"",IF(AND(SUM($N213)&gt;0,$K213=""),"ENTER KNOWN POSITIVITY RATE",ROUND($N213*$K213,0)))</f>
        <v/>
      </c>
      <c r="P213" s="39" t="str">
        <f aca="false">IF(SUM($N213)=0,"",IF(AND((SUM($N213)-SUM($O213))&gt;0,$M213=""),"ENTER YIELD RATE",ROUND(($N213-SUM($O213))*$M213,0)))</f>
        <v/>
      </c>
      <c r="Q213" s="39" t="str">
        <f aca="false">IF(SUM($N213)=0,"",$N213-SUM($O213)-SUM($P213))</f>
        <v/>
      </c>
      <c r="R213" s="88" t="str">
        <f aca="false">IF(SUM($P213)=0,"",INDEX(Cascade!$BG:$BG,MATCH($E213,Cascade!$E:$E,0)))</f>
        <v/>
      </c>
      <c r="S213" s="39" t="str">
        <f aca="false">$O213</f>
        <v/>
      </c>
      <c r="T213" s="39" t="str">
        <f aca="false">IF(SUM($P213)=0,"",IF(AND($R213="",SUM($P213)&gt;0),"&lt;- Enter Linkage Rate",ROUND($P213*$R213,0)))</f>
        <v/>
      </c>
      <c r="U213" s="10" t="str">
        <f aca="false">IFERROR(1/(1/INDEX(Cascade!$BH:$BH,MATCH($E213,Cascade!$E:$E,0))),"")</f>
        <v/>
      </c>
      <c r="V213" s="10" t="str">
        <f aca="false">IF(SUM($P213)=0,"",$P213)</f>
        <v/>
      </c>
      <c r="W213" s="10" t="str">
        <f aca="false">IFERROR(1/(1/INDEX(PMTCT!$AC:$AC,MATCH($E213,PMTCT!$E:$E,0))),"")</f>
        <v/>
      </c>
      <c r="X213" s="10" t="str">
        <f aca="false">IFERROR(1/(1/INDEX(PMTCT!$AS:$AS,MATCH($E213,PMTCT!$E:$E,0))),"")</f>
        <v/>
      </c>
      <c r="Y213" s="10" t="str">
        <f aca="false">IFERROR(1/(1/INDEX(VMMC!$AA:$AA,MATCH($E213,VMMC!$E:$E,0))),"")</f>
        <v/>
      </c>
      <c r="Z213" s="10" t="str">
        <f aca="false">IFERROR(1/(1/(SUM($U213)-SUM($V213:$Y213))),"")</f>
        <v/>
      </c>
    </row>
    <row r="214" customFormat="false" ht="15" hidden="false" customHeight="false" outlineLevel="0" collapsed="false">
      <c r="A214" s="0" t="str">
        <f aca="false">INDEX(Prioritization!$D:$D,MATCH($B214,Prioritization!$A:$A,0))</f>
        <v>1 - Scale-up: Saturation</v>
      </c>
      <c r="B214" s="0" t="s">
        <v>210</v>
      </c>
      <c r="C214" s="0" t="s">
        <v>366</v>
      </c>
      <c r="D214" s="0" t="s">
        <v>48</v>
      </c>
      <c r="E214" s="0" t="str">
        <f aca="false">B214&amp;"|"&amp;C214&amp;"|"&amp;D214</f>
        <v>Balaka District [ir8wuHHzoSs]|25-34|Male</v>
      </c>
      <c r="F214" s="10"/>
      <c r="G214" s="88" t="n">
        <f aca="false">0</f>
        <v>0</v>
      </c>
      <c r="H214" s="39" t="str">
        <f aca="false">IF(SUM($F214)=0,"",ROUND($F214*(1+$G214),0))</f>
        <v/>
      </c>
      <c r="I214" s="10"/>
      <c r="J214" s="88"/>
      <c r="K214" s="88" t="str">
        <f aca="false">IF($J214="","",$J214)</f>
        <v/>
      </c>
      <c r="L214" s="88"/>
      <c r="M214" s="88" t="str">
        <f aca="false">IF($L214="","",$L214)</f>
        <v/>
      </c>
      <c r="N214" s="10" t="str">
        <f aca="false">$H214</f>
        <v/>
      </c>
      <c r="O214" s="39" t="str">
        <f aca="false">IF(SUM($N214)=0,"",IF(AND(SUM($N214)&gt;0,$K214=""),"ENTER KNOWN POSITIVITY RATE",ROUND($N214*$K214,0)))</f>
        <v/>
      </c>
      <c r="P214" s="39" t="str">
        <f aca="false">IF(SUM($N214)=0,"",IF(AND((SUM($N214)-SUM($O214))&gt;0,$M214=""),"ENTER YIELD RATE",ROUND(($N214-SUM($O214))*$M214,0)))</f>
        <v/>
      </c>
      <c r="Q214" s="39" t="str">
        <f aca="false">IF(SUM($N214)=0,"",$N214-SUM($O214)-SUM($P214))</f>
        <v/>
      </c>
      <c r="R214" s="88" t="str">
        <f aca="false">IF(SUM($P214)=0,"",INDEX(Cascade!$BG:$BG,MATCH($E214,Cascade!$E:$E,0)))</f>
        <v/>
      </c>
      <c r="S214" s="39" t="str">
        <f aca="false">$O214</f>
        <v/>
      </c>
      <c r="T214" s="39" t="str">
        <f aca="false">IF(SUM($P214)=0,"",IF(AND($R214="",SUM($P214)&gt;0),"&lt;- Enter Linkage Rate",ROUND($P214*$R214,0)))</f>
        <v/>
      </c>
      <c r="U214" s="10" t="str">
        <f aca="false">IFERROR(1/(1/INDEX(Cascade!$BH:$BH,MATCH($E214,Cascade!$E:$E,0))),"")</f>
        <v/>
      </c>
      <c r="V214" s="10" t="str">
        <f aca="false">IF(SUM($P214)=0,"",$P214)</f>
        <v/>
      </c>
      <c r="W214" s="10" t="str">
        <f aca="false">IFERROR(1/(1/INDEX(PMTCT!$AC:$AC,MATCH($E214,PMTCT!$E:$E,0))),"")</f>
        <v/>
      </c>
      <c r="X214" s="10" t="str">
        <f aca="false">IFERROR(1/(1/INDEX(PMTCT!$AS:$AS,MATCH($E214,PMTCT!$E:$E,0))),"")</f>
        <v/>
      </c>
      <c r="Y214" s="10" t="str">
        <f aca="false">IFERROR(1/(1/INDEX(VMMC!$AA:$AA,MATCH($E214,VMMC!$E:$E,0))),"")</f>
        <v/>
      </c>
      <c r="Z214" s="10" t="str">
        <f aca="false">IFERROR(1/(1/(SUM($U214)-SUM($V214:$Y214))),"")</f>
        <v/>
      </c>
    </row>
    <row r="215" customFormat="false" ht="15" hidden="false" customHeight="false" outlineLevel="0" collapsed="false">
      <c r="A215" s="0" t="str">
        <f aca="false">INDEX(Prioritization!$D:$D,MATCH($B215,Prioritization!$A:$A,0))</f>
        <v>1 - Scale-up: Saturation</v>
      </c>
      <c r="B215" s="0" t="s">
        <v>210</v>
      </c>
      <c r="C215" s="0" t="s">
        <v>367</v>
      </c>
      <c r="D215" s="0" t="s">
        <v>30</v>
      </c>
      <c r="E215" s="0" t="str">
        <f aca="false">B215&amp;"|"&amp;C215&amp;"|"&amp;D215</f>
        <v>Balaka District [ir8wuHHzoSs]|35-49|Female</v>
      </c>
      <c r="F215" s="10"/>
      <c r="G215" s="88" t="n">
        <f aca="false">0</f>
        <v>0</v>
      </c>
      <c r="H215" s="39" t="str">
        <f aca="false">IF(SUM($F215)=0,"",ROUND($F215*(1+$G215),0))</f>
        <v/>
      </c>
      <c r="I215" s="10"/>
      <c r="J215" s="88"/>
      <c r="K215" s="88" t="str">
        <f aca="false">IF($J215="","",$J215)</f>
        <v/>
      </c>
      <c r="L215" s="88"/>
      <c r="M215" s="88" t="str">
        <f aca="false">IF($L215="","",$L215)</f>
        <v/>
      </c>
      <c r="N215" s="10" t="str">
        <f aca="false">$H215</f>
        <v/>
      </c>
      <c r="O215" s="39" t="str">
        <f aca="false">IF(SUM($N215)=0,"",IF(AND(SUM($N215)&gt;0,$K215=""),"ENTER KNOWN POSITIVITY RATE",ROUND($N215*$K215,0)))</f>
        <v/>
      </c>
      <c r="P215" s="39" t="str">
        <f aca="false">IF(SUM($N215)=0,"",IF(AND((SUM($N215)-SUM($O215))&gt;0,$M215=""),"ENTER YIELD RATE",ROUND(($N215-SUM($O215))*$M215,0)))</f>
        <v/>
      </c>
      <c r="Q215" s="39" t="str">
        <f aca="false">IF(SUM($N215)=0,"",$N215-SUM($O215)-SUM($P215))</f>
        <v/>
      </c>
      <c r="R215" s="88" t="str">
        <f aca="false">IF(SUM($P215)=0,"",INDEX(Cascade!$BG:$BG,MATCH($E215,Cascade!$E:$E,0)))</f>
        <v/>
      </c>
      <c r="S215" s="39" t="str">
        <f aca="false">$O215</f>
        <v/>
      </c>
      <c r="T215" s="39" t="str">
        <f aca="false">IF(SUM($P215)=0,"",IF(AND($R215="",SUM($P215)&gt;0),"&lt;- Enter Linkage Rate",ROUND($P215*$R215,0)))</f>
        <v/>
      </c>
      <c r="U215" s="10" t="str">
        <f aca="false">IFERROR(1/(1/INDEX(Cascade!$BH:$BH,MATCH($E215,Cascade!$E:$E,0))),"")</f>
        <v/>
      </c>
      <c r="V215" s="10" t="str">
        <f aca="false">IF(SUM($P215)=0,"",$P215)</f>
        <v/>
      </c>
      <c r="W215" s="10" t="str">
        <f aca="false">IFERROR(1/(1/INDEX(PMTCT!$AC:$AC,MATCH($E215,PMTCT!$E:$E,0))),"")</f>
        <v/>
      </c>
      <c r="X215" s="10" t="str">
        <f aca="false">IFERROR(1/(1/INDEX(PMTCT!$AS:$AS,MATCH($E215,PMTCT!$E:$E,0))),"")</f>
        <v/>
      </c>
      <c r="Y215" s="10" t="str">
        <f aca="false">IFERROR(1/(1/INDEX(VMMC!$AA:$AA,MATCH($E215,VMMC!$E:$E,0))),"")</f>
        <v/>
      </c>
      <c r="Z215" s="10" t="str">
        <f aca="false">IFERROR(1/(1/(SUM($U215)-SUM($V215:$Y215))),"")</f>
        <v/>
      </c>
    </row>
    <row r="216" customFormat="false" ht="15" hidden="false" customHeight="false" outlineLevel="0" collapsed="false">
      <c r="A216" s="0" t="str">
        <f aca="false">INDEX(Prioritization!$D:$D,MATCH($B216,Prioritization!$A:$A,0))</f>
        <v>1 - Scale-up: Saturation</v>
      </c>
      <c r="B216" s="0" t="s">
        <v>210</v>
      </c>
      <c r="C216" s="0" t="s">
        <v>367</v>
      </c>
      <c r="D216" s="0" t="s">
        <v>48</v>
      </c>
      <c r="E216" s="0" t="str">
        <f aca="false">B216&amp;"|"&amp;C216&amp;"|"&amp;D216</f>
        <v>Balaka District [ir8wuHHzoSs]|35-49|Male</v>
      </c>
      <c r="F216" s="10"/>
      <c r="G216" s="88" t="n">
        <f aca="false">0</f>
        <v>0</v>
      </c>
      <c r="H216" s="39" t="str">
        <f aca="false">IF(SUM($F216)=0,"",ROUND($F216*(1+$G216),0))</f>
        <v/>
      </c>
      <c r="I216" s="10"/>
      <c r="J216" s="88"/>
      <c r="K216" s="88" t="str">
        <f aca="false">IF($J216="","",$J216)</f>
        <v/>
      </c>
      <c r="L216" s="88"/>
      <c r="M216" s="88" t="str">
        <f aca="false">IF($L216="","",$L216)</f>
        <v/>
      </c>
      <c r="N216" s="10" t="str">
        <f aca="false">$H216</f>
        <v/>
      </c>
      <c r="O216" s="39" t="str">
        <f aca="false">IF(SUM($N216)=0,"",IF(AND(SUM($N216)&gt;0,$K216=""),"ENTER KNOWN POSITIVITY RATE",ROUND($N216*$K216,0)))</f>
        <v/>
      </c>
      <c r="P216" s="39" t="str">
        <f aca="false">IF(SUM($N216)=0,"",IF(AND((SUM($N216)-SUM($O216))&gt;0,$M216=""),"ENTER YIELD RATE",ROUND(($N216-SUM($O216))*$M216,0)))</f>
        <v/>
      </c>
      <c r="Q216" s="39" t="str">
        <f aca="false">IF(SUM($N216)=0,"",$N216-SUM($O216)-SUM($P216))</f>
        <v/>
      </c>
      <c r="R216" s="88" t="str">
        <f aca="false">IF(SUM($P216)=0,"",INDEX(Cascade!$BG:$BG,MATCH($E216,Cascade!$E:$E,0)))</f>
        <v/>
      </c>
      <c r="S216" s="39" t="str">
        <f aca="false">$O216</f>
        <v/>
      </c>
      <c r="T216" s="39" t="str">
        <f aca="false">IF(SUM($P216)=0,"",IF(AND($R216="",SUM($P216)&gt;0),"&lt;- Enter Linkage Rate",ROUND($P216*$R216,0)))</f>
        <v/>
      </c>
      <c r="U216" s="10" t="str">
        <f aca="false">IFERROR(1/(1/INDEX(Cascade!$BH:$BH,MATCH($E216,Cascade!$E:$E,0))),"")</f>
        <v/>
      </c>
      <c r="V216" s="10" t="str">
        <f aca="false">IF(SUM($P216)=0,"",$P216)</f>
        <v/>
      </c>
      <c r="W216" s="10" t="str">
        <f aca="false">IFERROR(1/(1/INDEX(PMTCT!$AC:$AC,MATCH($E216,PMTCT!$E:$E,0))),"")</f>
        <v/>
      </c>
      <c r="X216" s="10" t="str">
        <f aca="false">IFERROR(1/(1/INDEX(PMTCT!$AS:$AS,MATCH($E216,PMTCT!$E:$E,0))),"")</f>
        <v/>
      </c>
      <c r="Y216" s="10" t="str">
        <f aca="false">IFERROR(1/(1/INDEX(VMMC!$AA:$AA,MATCH($E216,VMMC!$E:$E,0))),"")</f>
        <v/>
      </c>
      <c r="Z216" s="10" t="str">
        <f aca="false">IFERROR(1/(1/(SUM($U216)-SUM($V216:$Y216))),"")</f>
        <v/>
      </c>
    </row>
    <row r="217" customFormat="false" ht="15" hidden="false" customHeight="false" outlineLevel="0" collapsed="false">
      <c r="A217" s="0" t="str">
        <f aca="false">INDEX(Prioritization!$D:$D,MATCH($B217,Prioritization!$A:$A,0))</f>
        <v>1 - Scale-up: Saturation</v>
      </c>
      <c r="B217" s="0" t="s">
        <v>210</v>
      </c>
      <c r="C217" s="0" t="s">
        <v>368</v>
      </c>
      <c r="D217" s="0" t="s">
        <v>30</v>
      </c>
      <c r="E217" s="0" t="str">
        <f aca="false">B217&amp;"|"&amp;C217&amp;"|"&amp;D217</f>
        <v>Balaka District [ir8wuHHzoSs]|50+|Female</v>
      </c>
      <c r="F217" s="10"/>
      <c r="G217" s="88" t="n">
        <f aca="false">0</f>
        <v>0</v>
      </c>
      <c r="H217" s="39" t="str">
        <f aca="false">IF(SUM($F217)=0,"",ROUND($F217*(1+$G217),0))</f>
        <v/>
      </c>
      <c r="I217" s="10"/>
      <c r="J217" s="88"/>
      <c r="K217" s="88" t="str">
        <f aca="false">IF($J217="","",$J217)</f>
        <v/>
      </c>
      <c r="L217" s="88"/>
      <c r="M217" s="88" t="str">
        <f aca="false">IF($L217="","",$L217)</f>
        <v/>
      </c>
      <c r="N217" s="10" t="str">
        <f aca="false">$H217</f>
        <v/>
      </c>
      <c r="O217" s="39" t="str">
        <f aca="false">IF(SUM($N217)=0,"",IF(AND(SUM($N217)&gt;0,$K217=""),"ENTER KNOWN POSITIVITY RATE",ROUND($N217*$K217,0)))</f>
        <v/>
      </c>
      <c r="P217" s="39" t="str">
        <f aca="false">IF(SUM($N217)=0,"",IF(AND((SUM($N217)-SUM($O217))&gt;0,$M217=""),"ENTER YIELD RATE",ROUND(($N217-SUM($O217))*$M217,0)))</f>
        <v/>
      </c>
      <c r="Q217" s="39" t="str">
        <f aca="false">IF(SUM($N217)=0,"",$N217-SUM($O217)-SUM($P217))</f>
        <v/>
      </c>
      <c r="R217" s="88" t="str">
        <f aca="false">IF(SUM($P217)=0,"",INDEX(Cascade!$BG:$BG,MATCH($E217,Cascade!$E:$E,0)))</f>
        <v/>
      </c>
      <c r="S217" s="39" t="str">
        <f aca="false">$O217</f>
        <v/>
      </c>
      <c r="T217" s="39" t="str">
        <f aca="false">IF(SUM($P217)=0,"",IF(AND($R217="",SUM($P217)&gt;0),"&lt;- Enter Linkage Rate",ROUND($P217*$R217,0)))</f>
        <v/>
      </c>
      <c r="U217" s="10" t="str">
        <f aca="false">IFERROR(1/(1/INDEX(Cascade!$BH:$BH,MATCH($E217,Cascade!$E:$E,0))),"")</f>
        <v/>
      </c>
      <c r="V217" s="10" t="str">
        <f aca="false">IF(SUM($P217)=0,"",$P217)</f>
        <v/>
      </c>
      <c r="W217" s="10" t="str">
        <f aca="false">IFERROR(1/(1/INDEX(PMTCT!$AC:$AC,MATCH($E217,PMTCT!$E:$E,0))),"")</f>
        <v/>
      </c>
      <c r="X217" s="10" t="str">
        <f aca="false">IFERROR(1/(1/INDEX(PMTCT!$AS:$AS,MATCH($E217,PMTCT!$E:$E,0))),"")</f>
        <v/>
      </c>
      <c r="Y217" s="10" t="str">
        <f aca="false">IFERROR(1/(1/INDEX(VMMC!$AA:$AA,MATCH($E217,VMMC!$E:$E,0))),"")</f>
        <v/>
      </c>
      <c r="Z217" s="10" t="str">
        <f aca="false">IFERROR(1/(1/(SUM($U217)-SUM($V217:$Y217))),"")</f>
        <v/>
      </c>
    </row>
    <row r="218" customFormat="false" ht="15" hidden="false" customHeight="false" outlineLevel="0" collapsed="false">
      <c r="A218" s="0" t="str">
        <f aca="false">INDEX(Prioritization!$D:$D,MATCH($B218,Prioritization!$A:$A,0))</f>
        <v>1 - Scale-up: Saturation</v>
      </c>
      <c r="B218" s="0" t="s">
        <v>210</v>
      </c>
      <c r="C218" s="0" t="s">
        <v>368</v>
      </c>
      <c r="D218" s="0" t="s">
        <v>48</v>
      </c>
      <c r="E218" s="0" t="str">
        <f aca="false">B218&amp;"|"&amp;C218&amp;"|"&amp;D218</f>
        <v>Balaka District [ir8wuHHzoSs]|50+|Male</v>
      </c>
      <c r="F218" s="10"/>
      <c r="G218" s="88" t="n">
        <f aca="false">0</f>
        <v>0</v>
      </c>
      <c r="H218" s="39" t="str">
        <f aca="false">IF(SUM($F218)=0,"",ROUND($F218*(1+$G218),0))</f>
        <v/>
      </c>
      <c r="I218" s="10"/>
      <c r="J218" s="88"/>
      <c r="K218" s="88" t="str">
        <f aca="false">IF($J218="","",$J218)</f>
        <v/>
      </c>
      <c r="L218" s="88"/>
      <c r="M218" s="88" t="str">
        <f aca="false">IF($L218="","",$L218)</f>
        <v/>
      </c>
      <c r="N218" s="10" t="str">
        <f aca="false">$H218</f>
        <v/>
      </c>
      <c r="O218" s="39" t="str">
        <f aca="false">IF(SUM($N218)=0,"",IF(AND(SUM($N218)&gt;0,$K218=""),"ENTER KNOWN POSITIVITY RATE",ROUND($N218*$K218,0)))</f>
        <v/>
      </c>
      <c r="P218" s="39" t="str">
        <f aca="false">IF(SUM($N218)=0,"",IF(AND((SUM($N218)-SUM($O218))&gt;0,$M218=""),"ENTER YIELD RATE",ROUND(($N218-SUM($O218))*$M218,0)))</f>
        <v/>
      </c>
      <c r="Q218" s="39" t="str">
        <f aca="false">IF(SUM($N218)=0,"",$N218-SUM($O218)-SUM($P218))</f>
        <v/>
      </c>
      <c r="R218" s="88" t="str">
        <f aca="false">IF(SUM($P218)=0,"",INDEX(Cascade!$BG:$BG,MATCH($E218,Cascade!$E:$E,0)))</f>
        <v/>
      </c>
      <c r="S218" s="39" t="str">
        <f aca="false">$O218</f>
        <v/>
      </c>
      <c r="T218" s="39" t="str">
        <f aca="false">IF(SUM($P218)=0,"",IF(AND($R218="",SUM($P218)&gt;0),"&lt;- Enter Linkage Rate",ROUND($P218*$R218,0)))</f>
        <v/>
      </c>
      <c r="U218" s="10" t="str">
        <f aca="false">IFERROR(1/(1/INDEX(Cascade!$BH:$BH,MATCH($E218,Cascade!$E:$E,0))),"")</f>
        <v/>
      </c>
      <c r="V218" s="10" t="str">
        <f aca="false">IF(SUM($P218)=0,"",$P218)</f>
        <v/>
      </c>
      <c r="W218" s="10" t="str">
        <f aca="false">IFERROR(1/(1/INDEX(PMTCT!$AC:$AC,MATCH($E218,PMTCT!$E:$E,0))),"")</f>
        <v/>
      </c>
      <c r="X218" s="10" t="str">
        <f aca="false">IFERROR(1/(1/INDEX(PMTCT!$AS:$AS,MATCH($E218,PMTCT!$E:$E,0))),"")</f>
        <v/>
      </c>
      <c r="Y218" s="10" t="str">
        <f aca="false">IFERROR(1/(1/INDEX(VMMC!$AA:$AA,MATCH($E218,VMMC!$E:$E,0))),"")</f>
        <v/>
      </c>
      <c r="Z218" s="10" t="str">
        <f aca="false">IFERROR(1/(1/(SUM($U218)-SUM($V218:$Y218))),"")</f>
        <v/>
      </c>
    </row>
    <row r="219" customFormat="false" ht="15" hidden="false" customHeight="false" outlineLevel="0" collapsed="false">
      <c r="A219" s="0" t="str">
        <f aca="false">INDEX(Prioritization!$D:$D,MATCH($B219,Prioritization!$A:$A,0))</f>
        <v>1 - Scale-up: Saturation</v>
      </c>
      <c r="B219" s="0" t="s">
        <v>211</v>
      </c>
      <c r="C219" s="0" t="s">
        <v>363</v>
      </c>
      <c r="D219" s="0" t="s">
        <v>30</v>
      </c>
      <c r="E219" s="0" t="str">
        <f aca="false">B219&amp;"|"&amp;C219&amp;"|"&amp;D219</f>
        <v>Blantyre District [mxqa3CDFmIT]|01-09|Female</v>
      </c>
      <c r="F219" s="10"/>
      <c r="G219" s="88" t="n">
        <f aca="false">0</f>
        <v>0</v>
      </c>
      <c r="H219" s="39" t="str">
        <f aca="false">IF(SUM($F219)=0,"",ROUND($F219*(1+$G219),0))</f>
        <v/>
      </c>
      <c r="I219" s="10"/>
      <c r="J219" s="88"/>
      <c r="K219" s="88" t="str">
        <f aca="false">IF($J219="","",$J219)</f>
        <v/>
      </c>
      <c r="L219" s="88"/>
      <c r="M219" s="88" t="str">
        <f aca="false">IF($L219="","",$L219)</f>
        <v/>
      </c>
      <c r="N219" s="10" t="str">
        <f aca="false">$H219</f>
        <v/>
      </c>
      <c r="O219" s="39" t="str">
        <f aca="false">IF(SUM($N219)=0,"",IF(AND(SUM($N219)&gt;0,$K219=""),"ENTER KNOWN POSITIVITY RATE",ROUND($N219*$K219,0)))</f>
        <v/>
      </c>
      <c r="P219" s="39" t="str">
        <f aca="false">IF(SUM($N219)=0,"",IF(AND((SUM($N219)-SUM($O219))&gt;0,$M219=""),"ENTER YIELD RATE",ROUND(($N219-SUM($O219))*$M219,0)))</f>
        <v/>
      </c>
      <c r="Q219" s="39" t="str">
        <f aca="false">IF(SUM($N219)=0,"",$N219-SUM($O219)-SUM($P219))</f>
        <v/>
      </c>
      <c r="R219" s="88" t="str">
        <f aca="false">IF(SUM($P219)=0,"",INDEX(Cascade!$BG:$BG,MATCH($E219,Cascade!$E:$E,0)))</f>
        <v/>
      </c>
      <c r="S219" s="39" t="str">
        <f aca="false">$O219</f>
        <v/>
      </c>
      <c r="T219" s="39" t="str">
        <f aca="false">IF(SUM($P219)=0,"",IF(AND($R219="",SUM($P219)&gt;0),"&lt;- Enter Linkage Rate",ROUND($P219*$R219,0)))</f>
        <v/>
      </c>
      <c r="U219" s="10" t="str">
        <f aca="false">IFERROR(1/(1/INDEX(Cascade!$BH:$BH,MATCH($E219,Cascade!$E:$E,0))),"")</f>
        <v/>
      </c>
      <c r="V219" s="10" t="str">
        <f aca="false">IF(SUM($P219)=0,"",$P219)</f>
        <v/>
      </c>
      <c r="W219" s="10" t="str">
        <f aca="false">IFERROR(1/(1/INDEX(PMTCT!$AC:$AC,MATCH($E219,PMTCT!$E:$E,0))),"")</f>
        <v/>
      </c>
      <c r="X219" s="10" t="str">
        <f aca="false">IFERROR(1/(1/INDEX(PMTCT!$AS:$AS,MATCH($E219,PMTCT!$E:$E,0))),"")</f>
        <v/>
      </c>
      <c r="Y219" s="10" t="str">
        <f aca="false">IFERROR(1/(1/INDEX(VMMC!$AA:$AA,MATCH($E219,VMMC!$E:$E,0))),"")</f>
        <v/>
      </c>
      <c r="Z219" s="10" t="str">
        <f aca="false">IFERROR(1/(1/(SUM($U219)-SUM($V219:$Y219))),"")</f>
        <v/>
      </c>
    </row>
    <row r="220" customFormat="false" ht="15" hidden="false" customHeight="false" outlineLevel="0" collapsed="false">
      <c r="A220" s="0" t="str">
        <f aca="false">INDEX(Prioritization!$D:$D,MATCH($B220,Prioritization!$A:$A,0))</f>
        <v>1 - Scale-up: Saturation</v>
      </c>
      <c r="B220" s="0" t="s">
        <v>211</v>
      </c>
      <c r="C220" s="0" t="s">
        <v>363</v>
      </c>
      <c r="D220" s="0" t="s">
        <v>48</v>
      </c>
      <c r="E220" s="0" t="str">
        <f aca="false">B220&amp;"|"&amp;C220&amp;"|"&amp;D220</f>
        <v>Blantyre District [mxqa3CDFmIT]|01-09|Male</v>
      </c>
      <c r="F220" s="10"/>
      <c r="G220" s="88" t="n">
        <f aca="false">0</f>
        <v>0</v>
      </c>
      <c r="H220" s="39" t="str">
        <f aca="false">IF(SUM($F220)=0,"",ROUND($F220*(1+$G220),0))</f>
        <v/>
      </c>
      <c r="I220" s="10"/>
      <c r="J220" s="88"/>
      <c r="K220" s="88" t="str">
        <f aca="false">IF($J220="","",$J220)</f>
        <v/>
      </c>
      <c r="L220" s="88"/>
      <c r="M220" s="88" t="str">
        <f aca="false">IF($L220="","",$L220)</f>
        <v/>
      </c>
      <c r="N220" s="10" t="str">
        <f aca="false">$H220</f>
        <v/>
      </c>
      <c r="O220" s="39" t="str">
        <f aca="false">IF(SUM($N220)=0,"",IF(AND(SUM($N220)&gt;0,$K220=""),"ENTER KNOWN POSITIVITY RATE",ROUND($N220*$K220,0)))</f>
        <v/>
      </c>
      <c r="P220" s="39" t="str">
        <f aca="false">IF(SUM($N220)=0,"",IF(AND((SUM($N220)-SUM($O220))&gt;0,$M220=""),"ENTER YIELD RATE",ROUND(($N220-SUM($O220))*$M220,0)))</f>
        <v/>
      </c>
      <c r="Q220" s="39" t="str">
        <f aca="false">IF(SUM($N220)=0,"",$N220-SUM($O220)-SUM($P220))</f>
        <v/>
      </c>
      <c r="R220" s="88" t="str">
        <f aca="false">IF(SUM($P220)=0,"",INDEX(Cascade!$BG:$BG,MATCH($E220,Cascade!$E:$E,0)))</f>
        <v/>
      </c>
      <c r="S220" s="39" t="str">
        <f aca="false">$O220</f>
        <v/>
      </c>
      <c r="T220" s="39" t="str">
        <f aca="false">IF(SUM($P220)=0,"",IF(AND($R220="",SUM($P220)&gt;0),"&lt;- Enter Linkage Rate",ROUND($P220*$R220,0)))</f>
        <v/>
      </c>
      <c r="U220" s="10" t="str">
        <f aca="false">IFERROR(1/(1/INDEX(Cascade!$BH:$BH,MATCH($E220,Cascade!$E:$E,0))),"")</f>
        <v/>
      </c>
      <c r="V220" s="10" t="str">
        <f aca="false">IF(SUM($P220)=0,"",$P220)</f>
        <v/>
      </c>
      <c r="W220" s="10" t="str">
        <f aca="false">IFERROR(1/(1/INDEX(PMTCT!$AC:$AC,MATCH($E220,PMTCT!$E:$E,0))),"")</f>
        <v/>
      </c>
      <c r="X220" s="10" t="str">
        <f aca="false">IFERROR(1/(1/INDEX(PMTCT!$AS:$AS,MATCH($E220,PMTCT!$E:$E,0))),"")</f>
        <v/>
      </c>
      <c r="Y220" s="10" t="str">
        <f aca="false">IFERROR(1/(1/INDEX(VMMC!$AA:$AA,MATCH($E220,VMMC!$E:$E,0))),"")</f>
        <v/>
      </c>
      <c r="Z220" s="10" t="str">
        <f aca="false">IFERROR(1/(1/(SUM($U220)-SUM($V220:$Y220))),"")</f>
        <v/>
      </c>
    </row>
    <row r="221" customFormat="false" ht="15" hidden="false" customHeight="false" outlineLevel="0" collapsed="false">
      <c r="A221" s="0" t="str">
        <f aca="false">INDEX(Prioritization!$D:$D,MATCH($B221,Prioritization!$A:$A,0))</f>
        <v>1 - Scale-up: Saturation</v>
      </c>
      <c r="B221" s="0" t="s">
        <v>211</v>
      </c>
      <c r="C221" s="0" t="s">
        <v>364</v>
      </c>
      <c r="D221" s="0" t="s">
        <v>30</v>
      </c>
      <c r="E221" s="0" t="str">
        <f aca="false">B221&amp;"|"&amp;C221&amp;"|"&amp;D221</f>
        <v>Blantyre District [mxqa3CDFmIT]|10-14|Female</v>
      </c>
      <c r="F221" s="10" t="n">
        <v>8</v>
      </c>
      <c r="G221" s="88" t="n">
        <f aca="false">0</f>
        <v>0</v>
      </c>
      <c r="H221" s="39" t="n">
        <f aca="false">IF(SUM($F221)=0,"",ROUND($F221*(1+$G221),0))</f>
        <v>8</v>
      </c>
      <c r="I221" s="10" t="n">
        <v>1</v>
      </c>
      <c r="J221" s="88"/>
      <c r="K221" s="88" t="str">
        <f aca="false">IF($J221="","",$J221)</f>
        <v/>
      </c>
      <c r="L221" s="88"/>
      <c r="M221" s="88" t="str">
        <f aca="false">IF($L221="","",$L221)</f>
        <v/>
      </c>
      <c r="N221" s="10" t="n">
        <f aca="false">$H221</f>
        <v>8</v>
      </c>
      <c r="O221" s="39" t="str">
        <f aca="false">IF(SUM($N221)=0,"",IF(AND(SUM($N221)&gt;0,$K221=""),"ENTER KNOWN POSITIVITY RATE",ROUND($N221*$K221,0)))</f>
        <v>ENTER KNOWN POSITIVITY RATE</v>
      </c>
      <c r="P221" s="39" t="str">
        <f aca="false">IF(SUM($N221)=0,"",IF(AND((SUM($N221)-SUM($O221))&gt;0,$M221=""),"ENTER YIELD RATE",ROUND(($N221-SUM($O221))*$M221,0)))</f>
        <v>ENTER YIELD RATE</v>
      </c>
      <c r="Q221" s="39" t="n">
        <f aca="false">IF(SUM($N221)=0,"",$N221-SUM($O221)-SUM($P221))</f>
        <v>8</v>
      </c>
      <c r="R221" s="88" t="str">
        <f aca="false">IF(SUM($P221)=0,"",INDEX(Cascade!$BG:$BG,MATCH($E221,Cascade!$E:$E,0)))</f>
        <v/>
      </c>
      <c r="S221" s="39" t="str">
        <f aca="false">$O221</f>
        <v>ENTER KNOWN POSITIVITY RATE</v>
      </c>
      <c r="T221" s="39" t="str">
        <f aca="false">IF(SUM($P221)=0,"",IF(AND($R221="",SUM($P221)&gt;0),"&lt;- Enter Linkage Rate",ROUND($P221*$R221,0)))</f>
        <v/>
      </c>
      <c r="U221" s="10" t="n">
        <f aca="false">IFERROR(1/(1/INDEX(Cascade!$BH:$BH,MATCH($E221,Cascade!$E:$E,0))),"")</f>
        <v>-208</v>
      </c>
      <c r="V221" s="10" t="str">
        <f aca="false">IF(SUM($P221)=0,"",$P221)</f>
        <v/>
      </c>
      <c r="W221" s="10" t="n">
        <f aca="false">IFERROR(1/(1/INDEX(PMTCT!$AC:$AC,MATCH($E221,PMTCT!$E:$E,0))),"")</f>
        <v>1</v>
      </c>
      <c r="X221" s="10" t="n">
        <f aca="false">IFERROR(1/(1/INDEX(PMTCT!$AS:$AS,MATCH($E221,PMTCT!$E:$E,0))),"")</f>
        <v>1</v>
      </c>
      <c r="Y221" s="10" t="str">
        <f aca="false">IFERROR(1/(1/INDEX(VMMC!$AA:$AA,MATCH($E221,VMMC!$E:$E,0))),"")</f>
        <v/>
      </c>
      <c r="Z221" s="10" t="n">
        <f aca="false">IFERROR(1/(1/(SUM($U221)-SUM($V221:$Y221))),"")</f>
        <v>-210</v>
      </c>
    </row>
    <row r="222" customFormat="false" ht="15" hidden="false" customHeight="false" outlineLevel="0" collapsed="false">
      <c r="A222" s="0" t="str">
        <f aca="false">INDEX(Prioritization!$D:$D,MATCH($B222,Prioritization!$A:$A,0))</f>
        <v>1 - Scale-up: Saturation</v>
      </c>
      <c r="B222" s="0" t="s">
        <v>211</v>
      </c>
      <c r="C222" s="0" t="s">
        <v>364</v>
      </c>
      <c r="D222" s="0" t="s">
        <v>48</v>
      </c>
      <c r="E222" s="0" t="str">
        <f aca="false">B222&amp;"|"&amp;C222&amp;"|"&amp;D222</f>
        <v>Blantyre District [mxqa3CDFmIT]|10-14|Male</v>
      </c>
      <c r="F222" s="10" t="n">
        <v>3</v>
      </c>
      <c r="G222" s="88" t="n">
        <f aca="false">0</f>
        <v>0</v>
      </c>
      <c r="H222" s="39" t="n">
        <f aca="false">IF(SUM($F222)=0,"",ROUND($F222*(1+$G222),0))</f>
        <v>3</v>
      </c>
      <c r="I222" s="10" t="n">
        <v>1</v>
      </c>
      <c r="J222" s="88"/>
      <c r="K222" s="88" t="str">
        <f aca="false">IF($J222="","",$J222)</f>
        <v/>
      </c>
      <c r="L222" s="88"/>
      <c r="M222" s="88" t="str">
        <f aca="false">IF($L222="","",$L222)</f>
        <v/>
      </c>
      <c r="N222" s="10" t="n">
        <f aca="false">$H222</f>
        <v>3</v>
      </c>
      <c r="O222" s="39" t="str">
        <f aca="false">IF(SUM($N222)=0,"",IF(AND(SUM($N222)&gt;0,$K222=""),"ENTER KNOWN POSITIVITY RATE",ROUND($N222*$K222,0)))</f>
        <v>ENTER KNOWN POSITIVITY RATE</v>
      </c>
      <c r="P222" s="39" t="str">
        <f aca="false">IF(SUM($N222)=0,"",IF(AND((SUM($N222)-SUM($O222))&gt;0,$M222=""),"ENTER YIELD RATE",ROUND(($N222-SUM($O222))*$M222,0)))</f>
        <v>ENTER YIELD RATE</v>
      </c>
      <c r="Q222" s="39" t="n">
        <f aca="false">IF(SUM($N222)=0,"",$N222-SUM($O222)-SUM($P222))</f>
        <v>3</v>
      </c>
      <c r="R222" s="88" t="str">
        <f aca="false">IF(SUM($P222)=0,"",INDEX(Cascade!$BG:$BG,MATCH($E222,Cascade!$E:$E,0)))</f>
        <v/>
      </c>
      <c r="S222" s="39" t="str">
        <f aca="false">$O222</f>
        <v>ENTER KNOWN POSITIVITY RATE</v>
      </c>
      <c r="T222" s="39" t="str">
        <f aca="false">IF(SUM($P222)=0,"",IF(AND($R222="",SUM($P222)&gt;0),"&lt;- Enter Linkage Rate",ROUND($P222*$R222,0)))</f>
        <v/>
      </c>
      <c r="U222" s="10" t="n">
        <f aca="false">IFERROR(1/(1/INDEX(Cascade!$BH:$BH,MATCH($E222,Cascade!$E:$E,0))),"")</f>
        <v>-600</v>
      </c>
      <c r="V222" s="10" t="str">
        <f aca="false">IF(SUM($P222)=0,"",$P222)</f>
        <v/>
      </c>
      <c r="W222" s="10" t="str">
        <f aca="false">IFERROR(1/(1/INDEX(PMTCT!$AC:$AC,MATCH($E222,PMTCT!$E:$E,0))),"")</f>
        <v/>
      </c>
      <c r="X222" s="10" t="str">
        <f aca="false">IFERROR(1/(1/INDEX(PMTCT!$AS:$AS,MATCH($E222,PMTCT!$E:$E,0))),"")</f>
        <v/>
      </c>
      <c r="Y222" s="10" t="str">
        <f aca="false">IFERROR(1/(1/INDEX(VMMC!$AA:$AA,MATCH($E222,VMMC!$E:$E,0))),"")</f>
        <v/>
      </c>
      <c r="Z222" s="10" t="n">
        <f aca="false">IFERROR(1/(1/(SUM($U222)-SUM($V222:$Y222))),"")</f>
        <v>-600</v>
      </c>
    </row>
    <row r="223" customFormat="false" ht="15" hidden="false" customHeight="false" outlineLevel="0" collapsed="false">
      <c r="A223" s="0" t="str">
        <f aca="false">INDEX(Prioritization!$D:$D,MATCH($B223,Prioritization!$A:$A,0))</f>
        <v>1 - Scale-up: Saturation</v>
      </c>
      <c r="B223" s="0" t="s">
        <v>211</v>
      </c>
      <c r="C223" s="0" t="s">
        <v>365</v>
      </c>
      <c r="D223" s="0" t="s">
        <v>30</v>
      </c>
      <c r="E223" s="0" t="str">
        <f aca="false">B223&amp;"|"&amp;C223&amp;"|"&amp;D223</f>
        <v>Blantyre District [mxqa3CDFmIT]|15-24|Female</v>
      </c>
      <c r="F223" s="10"/>
      <c r="G223" s="88" t="n">
        <f aca="false">0</f>
        <v>0</v>
      </c>
      <c r="H223" s="39" t="str">
        <f aca="false">IF(SUM($F223)=0,"",ROUND($F223*(1+$G223),0))</f>
        <v/>
      </c>
      <c r="I223" s="10"/>
      <c r="J223" s="88"/>
      <c r="K223" s="88" t="str">
        <f aca="false">IF($J223="","",$J223)</f>
        <v/>
      </c>
      <c r="L223" s="88"/>
      <c r="M223" s="88" t="str">
        <f aca="false">IF($L223="","",$L223)</f>
        <v/>
      </c>
      <c r="N223" s="10" t="str">
        <f aca="false">$H223</f>
        <v/>
      </c>
      <c r="O223" s="39" t="str">
        <f aca="false">IF(SUM($N223)=0,"",IF(AND(SUM($N223)&gt;0,$K223=""),"ENTER KNOWN POSITIVITY RATE",ROUND($N223*$K223,0)))</f>
        <v/>
      </c>
      <c r="P223" s="39" t="str">
        <f aca="false">IF(SUM($N223)=0,"",IF(AND((SUM($N223)-SUM($O223))&gt;0,$M223=""),"ENTER YIELD RATE",ROUND(($N223-SUM($O223))*$M223,0)))</f>
        <v/>
      </c>
      <c r="Q223" s="39" t="str">
        <f aca="false">IF(SUM($N223)=0,"",$N223-SUM($O223)-SUM($P223))</f>
        <v/>
      </c>
      <c r="R223" s="88" t="str">
        <f aca="false">IF(SUM($P223)=0,"",INDEX(Cascade!$BG:$BG,MATCH($E223,Cascade!$E:$E,0)))</f>
        <v/>
      </c>
      <c r="S223" s="39" t="str">
        <f aca="false">$O223</f>
        <v/>
      </c>
      <c r="T223" s="39" t="str">
        <f aca="false">IF(SUM($P223)=0,"",IF(AND($R223="",SUM($P223)&gt;0),"&lt;- Enter Linkage Rate",ROUND($P223*$R223,0)))</f>
        <v/>
      </c>
      <c r="U223" s="10" t="str">
        <f aca="false">IFERROR(1/(1/INDEX(Cascade!$BH:$BH,MATCH($E223,Cascade!$E:$E,0))),"")</f>
        <v/>
      </c>
      <c r="V223" s="10" t="str">
        <f aca="false">IF(SUM($P223)=0,"",$P223)</f>
        <v/>
      </c>
      <c r="W223" s="10" t="str">
        <f aca="false">IFERROR(1/(1/INDEX(PMTCT!$AC:$AC,MATCH($E223,PMTCT!$E:$E,0))),"")</f>
        <v/>
      </c>
      <c r="X223" s="10" t="str">
        <f aca="false">IFERROR(1/(1/INDEX(PMTCT!$AS:$AS,MATCH($E223,PMTCT!$E:$E,0))),"")</f>
        <v/>
      </c>
      <c r="Y223" s="10" t="str">
        <f aca="false">IFERROR(1/(1/INDEX(VMMC!$AA:$AA,MATCH($E223,VMMC!$E:$E,0))),"")</f>
        <v/>
      </c>
      <c r="Z223" s="10" t="str">
        <f aca="false">IFERROR(1/(1/(SUM($U223)-SUM($V223:$Y223))),"")</f>
        <v/>
      </c>
    </row>
    <row r="224" customFormat="false" ht="15" hidden="false" customHeight="false" outlineLevel="0" collapsed="false">
      <c r="A224" s="0" t="str">
        <f aca="false">INDEX(Prioritization!$D:$D,MATCH($B224,Prioritization!$A:$A,0))</f>
        <v>1 - Scale-up: Saturation</v>
      </c>
      <c r="B224" s="0" t="s">
        <v>211</v>
      </c>
      <c r="C224" s="0" t="s">
        <v>365</v>
      </c>
      <c r="D224" s="0" t="s">
        <v>48</v>
      </c>
      <c r="E224" s="0" t="str">
        <f aca="false">B224&amp;"|"&amp;C224&amp;"|"&amp;D224</f>
        <v>Blantyre District [mxqa3CDFmIT]|15-24|Male</v>
      </c>
      <c r="F224" s="10"/>
      <c r="G224" s="88" t="n">
        <f aca="false">0</f>
        <v>0</v>
      </c>
      <c r="H224" s="39" t="str">
        <f aca="false">IF(SUM($F224)=0,"",ROUND($F224*(1+$G224),0))</f>
        <v/>
      </c>
      <c r="I224" s="10"/>
      <c r="J224" s="88"/>
      <c r="K224" s="88" t="str">
        <f aca="false">IF($J224="","",$J224)</f>
        <v/>
      </c>
      <c r="L224" s="88"/>
      <c r="M224" s="88" t="str">
        <f aca="false">IF($L224="","",$L224)</f>
        <v/>
      </c>
      <c r="N224" s="10" t="str">
        <f aca="false">$H224</f>
        <v/>
      </c>
      <c r="O224" s="39" t="str">
        <f aca="false">IF(SUM($N224)=0,"",IF(AND(SUM($N224)&gt;0,$K224=""),"ENTER KNOWN POSITIVITY RATE",ROUND($N224*$K224,0)))</f>
        <v/>
      </c>
      <c r="P224" s="39" t="str">
        <f aca="false">IF(SUM($N224)=0,"",IF(AND((SUM($N224)-SUM($O224))&gt;0,$M224=""),"ENTER YIELD RATE",ROUND(($N224-SUM($O224))*$M224,0)))</f>
        <v/>
      </c>
      <c r="Q224" s="39" t="str">
        <f aca="false">IF(SUM($N224)=0,"",$N224-SUM($O224)-SUM($P224))</f>
        <v/>
      </c>
      <c r="R224" s="88" t="str">
        <f aca="false">IF(SUM($P224)=0,"",INDEX(Cascade!$BG:$BG,MATCH($E224,Cascade!$E:$E,0)))</f>
        <v/>
      </c>
      <c r="S224" s="39" t="str">
        <f aca="false">$O224</f>
        <v/>
      </c>
      <c r="T224" s="39" t="str">
        <f aca="false">IF(SUM($P224)=0,"",IF(AND($R224="",SUM($P224)&gt;0),"&lt;- Enter Linkage Rate",ROUND($P224*$R224,0)))</f>
        <v/>
      </c>
      <c r="U224" s="10" t="str">
        <f aca="false">IFERROR(1/(1/INDEX(Cascade!$BH:$BH,MATCH($E224,Cascade!$E:$E,0))),"")</f>
        <v/>
      </c>
      <c r="V224" s="10" t="str">
        <f aca="false">IF(SUM($P224)=0,"",$P224)</f>
        <v/>
      </c>
      <c r="W224" s="10" t="str">
        <f aca="false">IFERROR(1/(1/INDEX(PMTCT!$AC:$AC,MATCH($E224,PMTCT!$E:$E,0))),"")</f>
        <v/>
      </c>
      <c r="X224" s="10" t="str">
        <f aca="false">IFERROR(1/(1/INDEX(PMTCT!$AS:$AS,MATCH($E224,PMTCT!$E:$E,0))),"")</f>
        <v/>
      </c>
      <c r="Y224" s="10" t="str">
        <f aca="false">IFERROR(1/(1/INDEX(VMMC!$AA:$AA,MATCH($E224,VMMC!$E:$E,0))),"")</f>
        <v/>
      </c>
      <c r="Z224" s="10" t="str">
        <f aca="false">IFERROR(1/(1/(SUM($U224)-SUM($V224:$Y224))),"")</f>
        <v/>
      </c>
    </row>
    <row r="225" customFormat="false" ht="15" hidden="false" customHeight="false" outlineLevel="0" collapsed="false">
      <c r="A225" s="0" t="str">
        <f aca="false">INDEX(Prioritization!$D:$D,MATCH($B225,Prioritization!$A:$A,0))</f>
        <v>1 - Scale-up: Saturation</v>
      </c>
      <c r="B225" s="0" t="s">
        <v>211</v>
      </c>
      <c r="C225" s="0" t="s">
        <v>366</v>
      </c>
      <c r="D225" s="0" t="s">
        <v>30</v>
      </c>
      <c r="E225" s="0" t="str">
        <f aca="false">B225&amp;"|"&amp;C225&amp;"|"&amp;D225</f>
        <v>Blantyre District [mxqa3CDFmIT]|25-34|Female</v>
      </c>
      <c r="F225" s="10"/>
      <c r="G225" s="88" t="n">
        <f aca="false">0</f>
        <v>0</v>
      </c>
      <c r="H225" s="39" t="str">
        <f aca="false">IF(SUM($F225)=0,"",ROUND($F225*(1+$G225),0))</f>
        <v/>
      </c>
      <c r="I225" s="10"/>
      <c r="J225" s="88"/>
      <c r="K225" s="88" t="str">
        <f aca="false">IF($J225="","",$J225)</f>
        <v/>
      </c>
      <c r="L225" s="88"/>
      <c r="M225" s="88" t="str">
        <f aca="false">IF($L225="","",$L225)</f>
        <v/>
      </c>
      <c r="N225" s="10" t="str">
        <f aca="false">$H225</f>
        <v/>
      </c>
      <c r="O225" s="39" t="str">
        <f aca="false">IF(SUM($N225)=0,"",IF(AND(SUM($N225)&gt;0,$K225=""),"ENTER KNOWN POSITIVITY RATE",ROUND($N225*$K225,0)))</f>
        <v/>
      </c>
      <c r="P225" s="39" t="str">
        <f aca="false">IF(SUM($N225)=0,"",IF(AND((SUM($N225)-SUM($O225))&gt;0,$M225=""),"ENTER YIELD RATE",ROUND(($N225-SUM($O225))*$M225,0)))</f>
        <v/>
      </c>
      <c r="Q225" s="39" t="str">
        <f aca="false">IF(SUM($N225)=0,"",$N225-SUM($O225)-SUM($P225))</f>
        <v/>
      </c>
      <c r="R225" s="88" t="str">
        <f aca="false">IF(SUM($P225)=0,"",INDEX(Cascade!$BG:$BG,MATCH($E225,Cascade!$E:$E,0)))</f>
        <v/>
      </c>
      <c r="S225" s="39" t="str">
        <f aca="false">$O225</f>
        <v/>
      </c>
      <c r="T225" s="39" t="str">
        <f aca="false">IF(SUM($P225)=0,"",IF(AND($R225="",SUM($P225)&gt;0),"&lt;- Enter Linkage Rate",ROUND($P225*$R225,0)))</f>
        <v/>
      </c>
      <c r="U225" s="10" t="str">
        <f aca="false">IFERROR(1/(1/INDEX(Cascade!$BH:$BH,MATCH($E225,Cascade!$E:$E,0))),"")</f>
        <v/>
      </c>
      <c r="V225" s="10" t="str">
        <f aca="false">IF(SUM($P225)=0,"",$P225)</f>
        <v/>
      </c>
      <c r="W225" s="10" t="str">
        <f aca="false">IFERROR(1/(1/INDEX(PMTCT!$AC:$AC,MATCH($E225,PMTCT!$E:$E,0))),"")</f>
        <v/>
      </c>
      <c r="X225" s="10" t="str">
        <f aca="false">IFERROR(1/(1/INDEX(PMTCT!$AS:$AS,MATCH($E225,PMTCT!$E:$E,0))),"")</f>
        <v/>
      </c>
      <c r="Y225" s="10" t="str">
        <f aca="false">IFERROR(1/(1/INDEX(VMMC!$AA:$AA,MATCH($E225,VMMC!$E:$E,0))),"")</f>
        <v/>
      </c>
      <c r="Z225" s="10" t="str">
        <f aca="false">IFERROR(1/(1/(SUM($U225)-SUM($V225:$Y225))),"")</f>
        <v/>
      </c>
    </row>
    <row r="226" customFormat="false" ht="15" hidden="false" customHeight="false" outlineLevel="0" collapsed="false">
      <c r="A226" s="0" t="str">
        <f aca="false">INDEX(Prioritization!$D:$D,MATCH($B226,Prioritization!$A:$A,0))</f>
        <v>1 - Scale-up: Saturation</v>
      </c>
      <c r="B226" s="0" t="s">
        <v>211</v>
      </c>
      <c r="C226" s="0" t="s">
        <v>366</v>
      </c>
      <c r="D226" s="0" t="s">
        <v>48</v>
      </c>
      <c r="E226" s="0" t="str">
        <f aca="false">B226&amp;"|"&amp;C226&amp;"|"&amp;D226</f>
        <v>Blantyre District [mxqa3CDFmIT]|25-34|Male</v>
      </c>
      <c r="F226" s="10"/>
      <c r="G226" s="88" t="n">
        <f aca="false">0</f>
        <v>0</v>
      </c>
      <c r="H226" s="39" t="str">
        <f aca="false">IF(SUM($F226)=0,"",ROUND($F226*(1+$G226),0))</f>
        <v/>
      </c>
      <c r="I226" s="10"/>
      <c r="J226" s="88"/>
      <c r="K226" s="88" t="str">
        <f aca="false">IF($J226="","",$J226)</f>
        <v/>
      </c>
      <c r="L226" s="88"/>
      <c r="M226" s="88" t="str">
        <f aca="false">IF($L226="","",$L226)</f>
        <v/>
      </c>
      <c r="N226" s="10" t="str">
        <f aca="false">$H226</f>
        <v/>
      </c>
      <c r="O226" s="39" t="str">
        <f aca="false">IF(SUM($N226)=0,"",IF(AND(SUM($N226)&gt;0,$K226=""),"ENTER KNOWN POSITIVITY RATE",ROUND($N226*$K226,0)))</f>
        <v/>
      </c>
      <c r="P226" s="39" t="str">
        <f aca="false">IF(SUM($N226)=0,"",IF(AND((SUM($N226)-SUM($O226))&gt;0,$M226=""),"ENTER YIELD RATE",ROUND(($N226-SUM($O226))*$M226,0)))</f>
        <v/>
      </c>
      <c r="Q226" s="39" t="str">
        <f aca="false">IF(SUM($N226)=0,"",$N226-SUM($O226)-SUM($P226))</f>
        <v/>
      </c>
      <c r="R226" s="88" t="str">
        <f aca="false">IF(SUM($P226)=0,"",INDEX(Cascade!$BG:$BG,MATCH($E226,Cascade!$E:$E,0)))</f>
        <v/>
      </c>
      <c r="S226" s="39" t="str">
        <f aca="false">$O226</f>
        <v/>
      </c>
      <c r="T226" s="39" t="str">
        <f aca="false">IF(SUM($P226)=0,"",IF(AND($R226="",SUM($P226)&gt;0),"&lt;- Enter Linkage Rate",ROUND($P226*$R226,0)))</f>
        <v/>
      </c>
      <c r="U226" s="10" t="str">
        <f aca="false">IFERROR(1/(1/INDEX(Cascade!$BH:$BH,MATCH($E226,Cascade!$E:$E,0))),"")</f>
        <v/>
      </c>
      <c r="V226" s="10" t="str">
        <f aca="false">IF(SUM($P226)=0,"",$P226)</f>
        <v/>
      </c>
      <c r="W226" s="10" t="str">
        <f aca="false">IFERROR(1/(1/INDEX(PMTCT!$AC:$AC,MATCH($E226,PMTCT!$E:$E,0))),"")</f>
        <v/>
      </c>
      <c r="X226" s="10" t="str">
        <f aca="false">IFERROR(1/(1/INDEX(PMTCT!$AS:$AS,MATCH($E226,PMTCT!$E:$E,0))),"")</f>
        <v/>
      </c>
      <c r="Y226" s="10" t="str">
        <f aca="false">IFERROR(1/(1/INDEX(VMMC!$AA:$AA,MATCH($E226,VMMC!$E:$E,0))),"")</f>
        <v/>
      </c>
      <c r="Z226" s="10" t="str">
        <f aca="false">IFERROR(1/(1/(SUM($U226)-SUM($V226:$Y226))),"")</f>
        <v/>
      </c>
    </row>
    <row r="227" customFormat="false" ht="15" hidden="false" customHeight="false" outlineLevel="0" collapsed="false">
      <c r="A227" s="0" t="str">
        <f aca="false">INDEX(Prioritization!$D:$D,MATCH($B227,Prioritization!$A:$A,0))</f>
        <v>1 - Scale-up: Saturation</v>
      </c>
      <c r="B227" s="0" t="s">
        <v>211</v>
      </c>
      <c r="C227" s="0" t="s">
        <v>367</v>
      </c>
      <c r="D227" s="0" t="s">
        <v>30</v>
      </c>
      <c r="E227" s="0" t="str">
        <f aca="false">B227&amp;"|"&amp;C227&amp;"|"&amp;D227</f>
        <v>Blantyre District [mxqa3CDFmIT]|35-49|Female</v>
      </c>
      <c r="F227" s="10"/>
      <c r="G227" s="88" t="n">
        <f aca="false">0</f>
        <v>0</v>
      </c>
      <c r="H227" s="39" t="str">
        <f aca="false">IF(SUM($F227)=0,"",ROUND($F227*(1+$G227),0))</f>
        <v/>
      </c>
      <c r="I227" s="10"/>
      <c r="J227" s="88"/>
      <c r="K227" s="88" t="str">
        <f aca="false">IF($J227="","",$J227)</f>
        <v/>
      </c>
      <c r="L227" s="88"/>
      <c r="M227" s="88" t="str">
        <f aca="false">IF($L227="","",$L227)</f>
        <v/>
      </c>
      <c r="N227" s="10" t="str">
        <f aca="false">$H227</f>
        <v/>
      </c>
      <c r="O227" s="39" t="str">
        <f aca="false">IF(SUM($N227)=0,"",IF(AND(SUM($N227)&gt;0,$K227=""),"ENTER KNOWN POSITIVITY RATE",ROUND($N227*$K227,0)))</f>
        <v/>
      </c>
      <c r="P227" s="39" t="str">
        <f aca="false">IF(SUM($N227)=0,"",IF(AND((SUM($N227)-SUM($O227))&gt;0,$M227=""),"ENTER YIELD RATE",ROUND(($N227-SUM($O227))*$M227,0)))</f>
        <v/>
      </c>
      <c r="Q227" s="39" t="str">
        <f aca="false">IF(SUM($N227)=0,"",$N227-SUM($O227)-SUM($P227))</f>
        <v/>
      </c>
      <c r="R227" s="88" t="str">
        <f aca="false">IF(SUM($P227)=0,"",INDEX(Cascade!$BG:$BG,MATCH($E227,Cascade!$E:$E,0)))</f>
        <v/>
      </c>
      <c r="S227" s="39" t="str">
        <f aca="false">$O227</f>
        <v/>
      </c>
      <c r="T227" s="39" t="str">
        <f aca="false">IF(SUM($P227)=0,"",IF(AND($R227="",SUM($P227)&gt;0),"&lt;- Enter Linkage Rate",ROUND($P227*$R227,0)))</f>
        <v/>
      </c>
      <c r="U227" s="10" t="str">
        <f aca="false">IFERROR(1/(1/INDEX(Cascade!$BH:$BH,MATCH($E227,Cascade!$E:$E,0))),"")</f>
        <v/>
      </c>
      <c r="V227" s="10" t="str">
        <f aca="false">IF(SUM($P227)=0,"",$P227)</f>
        <v/>
      </c>
      <c r="W227" s="10" t="str">
        <f aca="false">IFERROR(1/(1/INDEX(PMTCT!$AC:$AC,MATCH($E227,PMTCT!$E:$E,0))),"")</f>
        <v/>
      </c>
      <c r="X227" s="10" t="str">
        <f aca="false">IFERROR(1/(1/INDEX(PMTCT!$AS:$AS,MATCH($E227,PMTCT!$E:$E,0))),"")</f>
        <v/>
      </c>
      <c r="Y227" s="10" t="str">
        <f aca="false">IFERROR(1/(1/INDEX(VMMC!$AA:$AA,MATCH($E227,VMMC!$E:$E,0))),"")</f>
        <v/>
      </c>
      <c r="Z227" s="10" t="str">
        <f aca="false">IFERROR(1/(1/(SUM($U227)-SUM($V227:$Y227))),"")</f>
        <v/>
      </c>
    </row>
    <row r="228" customFormat="false" ht="15" hidden="false" customHeight="false" outlineLevel="0" collapsed="false">
      <c r="A228" s="0" t="str">
        <f aca="false">INDEX(Prioritization!$D:$D,MATCH($B228,Prioritization!$A:$A,0))</f>
        <v>1 - Scale-up: Saturation</v>
      </c>
      <c r="B228" s="0" t="s">
        <v>211</v>
      </c>
      <c r="C228" s="0" t="s">
        <v>367</v>
      </c>
      <c r="D228" s="0" t="s">
        <v>48</v>
      </c>
      <c r="E228" s="0" t="str">
        <f aca="false">B228&amp;"|"&amp;C228&amp;"|"&amp;D228</f>
        <v>Blantyre District [mxqa3CDFmIT]|35-49|Male</v>
      </c>
      <c r="F228" s="10"/>
      <c r="G228" s="88" t="n">
        <f aca="false">0</f>
        <v>0</v>
      </c>
      <c r="H228" s="39" t="str">
        <f aca="false">IF(SUM($F228)=0,"",ROUND($F228*(1+$G228),0))</f>
        <v/>
      </c>
      <c r="I228" s="10"/>
      <c r="J228" s="88"/>
      <c r="K228" s="88" t="str">
        <f aca="false">IF($J228="","",$J228)</f>
        <v/>
      </c>
      <c r="L228" s="88"/>
      <c r="M228" s="88" t="str">
        <f aca="false">IF($L228="","",$L228)</f>
        <v/>
      </c>
      <c r="N228" s="10" t="str">
        <f aca="false">$H228</f>
        <v/>
      </c>
      <c r="O228" s="39" t="str">
        <f aca="false">IF(SUM($N228)=0,"",IF(AND(SUM($N228)&gt;0,$K228=""),"ENTER KNOWN POSITIVITY RATE",ROUND($N228*$K228,0)))</f>
        <v/>
      </c>
      <c r="P228" s="39" t="str">
        <f aca="false">IF(SUM($N228)=0,"",IF(AND((SUM($N228)-SUM($O228))&gt;0,$M228=""),"ENTER YIELD RATE",ROUND(($N228-SUM($O228))*$M228,0)))</f>
        <v/>
      </c>
      <c r="Q228" s="39" t="str">
        <f aca="false">IF(SUM($N228)=0,"",$N228-SUM($O228)-SUM($P228))</f>
        <v/>
      </c>
      <c r="R228" s="88" t="str">
        <f aca="false">IF(SUM($P228)=0,"",INDEX(Cascade!$BG:$BG,MATCH($E228,Cascade!$E:$E,0)))</f>
        <v/>
      </c>
      <c r="S228" s="39" t="str">
        <f aca="false">$O228</f>
        <v/>
      </c>
      <c r="T228" s="39" t="str">
        <f aca="false">IF(SUM($P228)=0,"",IF(AND($R228="",SUM($P228)&gt;0),"&lt;- Enter Linkage Rate",ROUND($P228*$R228,0)))</f>
        <v/>
      </c>
      <c r="U228" s="10" t="str">
        <f aca="false">IFERROR(1/(1/INDEX(Cascade!$BH:$BH,MATCH($E228,Cascade!$E:$E,0))),"")</f>
        <v/>
      </c>
      <c r="V228" s="10" t="str">
        <f aca="false">IF(SUM($P228)=0,"",$P228)</f>
        <v/>
      </c>
      <c r="W228" s="10" t="str">
        <f aca="false">IFERROR(1/(1/INDEX(PMTCT!$AC:$AC,MATCH($E228,PMTCT!$E:$E,0))),"")</f>
        <v/>
      </c>
      <c r="X228" s="10" t="str">
        <f aca="false">IFERROR(1/(1/INDEX(PMTCT!$AS:$AS,MATCH($E228,PMTCT!$E:$E,0))),"")</f>
        <v/>
      </c>
      <c r="Y228" s="10" t="str">
        <f aca="false">IFERROR(1/(1/INDEX(VMMC!$AA:$AA,MATCH($E228,VMMC!$E:$E,0))),"")</f>
        <v/>
      </c>
      <c r="Z228" s="10" t="str">
        <f aca="false">IFERROR(1/(1/(SUM($U228)-SUM($V228:$Y228))),"")</f>
        <v/>
      </c>
    </row>
    <row r="229" customFormat="false" ht="15" hidden="false" customHeight="false" outlineLevel="0" collapsed="false">
      <c r="A229" s="0" t="str">
        <f aca="false">INDEX(Prioritization!$D:$D,MATCH($B229,Prioritization!$A:$A,0))</f>
        <v>1 - Scale-up: Saturation</v>
      </c>
      <c r="B229" s="0" t="s">
        <v>211</v>
      </c>
      <c r="C229" s="0" t="s">
        <v>368</v>
      </c>
      <c r="D229" s="0" t="s">
        <v>30</v>
      </c>
      <c r="E229" s="0" t="str">
        <f aca="false">B229&amp;"|"&amp;C229&amp;"|"&amp;D229</f>
        <v>Blantyre District [mxqa3CDFmIT]|50+|Female</v>
      </c>
      <c r="F229" s="10"/>
      <c r="G229" s="88" t="n">
        <f aca="false">0</f>
        <v>0</v>
      </c>
      <c r="H229" s="39" t="str">
        <f aca="false">IF(SUM($F229)=0,"",ROUND($F229*(1+$G229),0))</f>
        <v/>
      </c>
      <c r="I229" s="10"/>
      <c r="J229" s="88"/>
      <c r="K229" s="88" t="str">
        <f aca="false">IF($J229="","",$J229)</f>
        <v/>
      </c>
      <c r="L229" s="88"/>
      <c r="M229" s="88" t="str">
        <f aca="false">IF($L229="","",$L229)</f>
        <v/>
      </c>
      <c r="N229" s="10" t="str">
        <f aca="false">$H229</f>
        <v/>
      </c>
      <c r="O229" s="39" t="str">
        <f aca="false">IF(SUM($N229)=0,"",IF(AND(SUM($N229)&gt;0,$K229=""),"ENTER KNOWN POSITIVITY RATE",ROUND($N229*$K229,0)))</f>
        <v/>
      </c>
      <c r="P229" s="39" t="str">
        <f aca="false">IF(SUM($N229)=0,"",IF(AND((SUM($N229)-SUM($O229))&gt;0,$M229=""),"ENTER YIELD RATE",ROUND(($N229-SUM($O229))*$M229,0)))</f>
        <v/>
      </c>
      <c r="Q229" s="39" t="str">
        <f aca="false">IF(SUM($N229)=0,"",$N229-SUM($O229)-SUM($P229))</f>
        <v/>
      </c>
      <c r="R229" s="88" t="str">
        <f aca="false">IF(SUM($P229)=0,"",INDEX(Cascade!$BG:$BG,MATCH($E229,Cascade!$E:$E,0)))</f>
        <v/>
      </c>
      <c r="S229" s="39" t="str">
        <f aca="false">$O229</f>
        <v/>
      </c>
      <c r="T229" s="39" t="str">
        <f aca="false">IF(SUM($P229)=0,"",IF(AND($R229="",SUM($P229)&gt;0),"&lt;- Enter Linkage Rate",ROUND($P229*$R229,0)))</f>
        <v/>
      </c>
      <c r="U229" s="10" t="str">
        <f aca="false">IFERROR(1/(1/INDEX(Cascade!$BH:$BH,MATCH($E229,Cascade!$E:$E,0))),"")</f>
        <v/>
      </c>
      <c r="V229" s="10" t="str">
        <f aca="false">IF(SUM($P229)=0,"",$P229)</f>
        <v/>
      </c>
      <c r="W229" s="10" t="str">
        <f aca="false">IFERROR(1/(1/INDEX(PMTCT!$AC:$AC,MATCH($E229,PMTCT!$E:$E,0))),"")</f>
        <v/>
      </c>
      <c r="X229" s="10" t="str">
        <f aca="false">IFERROR(1/(1/INDEX(PMTCT!$AS:$AS,MATCH($E229,PMTCT!$E:$E,0))),"")</f>
        <v/>
      </c>
      <c r="Y229" s="10" t="str">
        <f aca="false">IFERROR(1/(1/INDEX(VMMC!$AA:$AA,MATCH($E229,VMMC!$E:$E,0))),"")</f>
        <v/>
      </c>
      <c r="Z229" s="10" t="str">
        <f aca="false">IFERROR(1/(1/(SUM($U229)-SUM($V229:$Y229))),"")</f>
        <v/>
      </c>
    </row>
    <row r="230" customFormat="false" ht="15" hidden="false" customHeight="false" outlineLevel="0" collapsed="false">
      <c r="A230" s="0" t="str">
        <f aca="false">INDEX(Prioritization!$D:$D,MATCH($B230,Prioritization!$A:$A,0))</f>
        <v>1 - Scale-up: Saturation</v>
      </c>
      <c r="B230" s="0" t="s">
        <v>211</v>
      </c>
      <c r="C230" s="0" t="s">
        <v>368</v>
      </c>
      <c r="D230" s="0" t="s">
        <v>48</v>
      </c>
      <c r="E230" s="0" t="str">
        <f aca="false">B230&amp;"|"&amp;C230&amp;"|"&amp;D230</f>
        <v>Blantyre District [mxqa3CDFmIT]|50+|Male</v>
      </c>
      <c r="F230" s="10"/>
      <c r="G230" s="88" t="n">
        <f aca="false">0</f>
        <v>0</v>
      </c>
      <c r="H230" s="39" t="str">
        <f aca="false">IF(SUM($F230)=0,"",ROUND($F230*(1+$G230),0))</f>
        <v/>
      </c>
      <c r="I230" s="10"/>
      <c r="J230" s="88"/>
      <c r="K230" s="88" t="str">
        <f aca="false">IF($J230="","",$J230)</f>
        <v/>
      </c>
      <c r="L230" s="88"/>
      <c r="M230" s="88" t="str">
        <f aca="false">IF($L230="","",$L230)</f>
        <v/>
      </c>
      <c r="N230" s="10" t="str">
        <f aca="false">$H230</f>
        <v/>
      </c>
      <c r="O230" s="39" t="str">
        <f aca="false">IF(SUM($N230)=0,"",IF(AND(SUM($N230)&gt;0,$K230=""),"ENTER KNOWN POSITIVITY RATE",ROUND($N230*$K230,0)))</f>
        <v/>
      </c>
      <c r="P230" s="39" t="str">
        <f aca="false">IF(SUM($N230)=0,"",IF(AND((SUM($N230)-SUM($O230))&gt;0,$M230=""),"ENTER YIELD RATE",ROUND(($N230-SUM($O230))*$M230,0)))</f>
        <v/>
      </c>
      <c r="Q230" s="39" t="str">
        <f aca="false">IF(SUM($N230)=0,"",$N230-SUM($O230)-SUM($P230))</f>
        <v/>
      </c>
      <c r="R230" s="88" t="str">
        <f aca="false">IF(SUM($P230)=0,"",INDEX(Cascade!$BG:$BG,MATCH($E230,Cascade!$E:$E,0)))</f>
        <v/>
      </c>
      <c r="S230" s="39" t="str">
        <f aca="false">$O230</f>
        <v/>
      </c>
      <c r="T230" s="39" t="str">
        <f aca="false">IF(SUM($P230)=0,"",IF(AND($R230="",SUM($P230)&gt;0),"&lt;- Enter Linkage Rate",ROUND($P230*$R230,0)))</f>
        <v/>
      </c>
      <c r="U230" s="10" t="str">
        <f aca="false">IFERROR(1/(1/INDEX(Cascade!$BH:$BH,MATCH($E230,Cascade!$E:$E,0))),"")</f>
        <v/>
      </c>
      <c r="V230" s="10" t="str">
        <f aca="false">IF(SUM($P230)=0,"",$P230)</f>
        <v/>
      </c>
      <c r="W230" s="10" t="str">
        <f aca="false">IFERROR(1/(1/INDEX(PMTCT!$AC:$AC,MATCH($E230,PMTCT!$E:$E,0))),"")</f>
        <v/>
      </c>
      <c r="X230" s="10" t="str">
        <f aca="false">IFERROR(1/(1/INDEX(PMTCT!$AS:$AS,MATCH($E230,PMTCT!$E:$E,0))),"")</f>
        <v/>
      </c>
      <c r="Y230" s="10" t="str">
        <f aca="false">IFERROR(1/(1/INDEX(VMMC!$AA:$AA,MATCH($E230,VMMC!$E:$E,0))),"")</f>
        <v/>
      </c>
      <c r="Z230" s="10" t="str">
        <f aca="false">IFERROR(1/(1/(SUM($U230)-SUM($V230:$Y230))),"")</f>
        <v/>
      </c>
    </row>
    <row r="231" customFormat="false" ht="15" hidden="false" customHeight="false" outlineLevel="0" collapsed="false">
      <c r="A231" s="0" t="str">
        <f aca="false">INDEX(Prioritization!$D:$D,MATCH($B231,Prioritization!$A:$A,0))</f>
        <v>1 - Scale-up: Saturation</v>
      </c>
      <c r="B231" s="0" t="s">
        <v>212</v>
      </c>
      <c r="C231" s="0" t="s">
        <v>363</v>
      </c>
      <c r="D231" s="0" t="s">
        <v>30</v>
      </c>
      <c r="E231" s="0" t="str">
        <f aca="false">B231&amp;"|"&amp;C231&amp;"|"&amp;D231</f>
        <v>Chikwawa District [U8c0so51kT6]|01-09|Female</v>
      </c>
      <c r="F231" s="10"/>
      <c r="G231" s="88" t="n">
        <f aca="false">0</f>
        <v>0</v>
      </c>
      <c r="H231" s="39" t="str">
        <f aca="false">IF(SUM($F231)=0,"",ROUND($F231*(1+$G231),0))</f>
        <v/>
      </c>
      <c r="I231" s="10"/>
      <c r="J231" s="88"/>
      <c r="K231" s="88" t="str">
        <f aca="false">IF($J231="","",$J231)</f>
        <v/>
      </c>
      <c r="L231" s="88"/>
      <c r="M231" s="88" t="str">
        <f aca="false">IF($L231="","",$L231)</f>
        <v/>
      </c>
      <c r="N231" s="10" t="str">
        <f aca="false">$H231</f>
        <v/>
      </c>
      <c r="O231" s="39" t="str">
        <f aca="false">IF(SUM($N231)=0,"",IF(AND(SUM($N231)&gt;0,$K231=""),"ENTER KNOWN POSITIVITY RATE",ROUND($N231*$K231,0)))</f>
        <v/>
      </c>
      <c r="P231" s="39" t="str">
        <f aca="false">IF(SUM($N231)=0,"",IF(AND((SUM($N231)-SUM($O231))&gt;0,$M231=""),"ENTER YIELD RATE",ROUND(($N231-SUM($O231))*$M231,0)))</f>
        <v/>
      </c>
      <c r="Q231" s="39" t="str">
        <f aca="false">IF(SUM($N231)=0,"",$N231-SUM($O231)-SUM($P231))</f>
        <v/>
      </c>
      <c r="R231" s="88" t="str">
        <f aca="false">IF(SUM($P231)=0,"",INDEX(Cascade!$BG:$BG,MATCH($E231,Cascade!$E:$E,0)))</f>
        <v/>
      </c>
      <c r="S231" s="39" t="str">
        <f aca="false">$O231</f>
        <v/>
      </c>
      <c r="T231" s="39" t="str">
        <f aca="false">IF(SUM($P231)=0,"",IF(AND($R231="",SUM($P231)&gt;0),"&lt;- Enter Linkage Rate",ROUND($P231*$R231,0)))</f>
        <v/>
      </c>
      <c r="U231" s="10" t="str">
        <f aca="false">IFERROR(1/(1/INDEX(Cascade!$BH:$BH,MATCH($E231,Cascade!$E:$E,0))),"")</f>
        <v/>
      </c>
      <c r="V231" s="10" t="str">
        <f aca="false">IF(SUM($P231)=0,"",$P231)</f>
        <v/>
      </c>
      <c r="W231" s="10" t="str">
        <f aca="false">IFERROR(1/(1/INDEX(PMTCT!$AC:$AC,MATCH($E231,PMTCT!$E:$E,0))),"")</f>
        <v/>
      </c>
      <c r="X231" s="10" t="str">
        <f aca="false">IFERROR(1/(1/INDEX(PMTCT!$AS:$AS,MATCH($E231,PMTCT!$E:$E,0))),"")</f>
        <v/>
      </c>
      <c r="Y231" s="10" t="str">
        <f aca="false">IFERROR(1/(1/INDEX(VMMC!$AA:$AA,MATCH($E231,VMMC!$E:$E,0))),"")</f>
        <v/>
      </c>
      <c r="Z231" s="10" t="str">
        <f aca="false">IFERROR(1/(1/(SUM($U231)-SUM($V231:$Y231))),"")</f>
        <v/>
      </c>
    </row>
    <row r="232" customFormat="false" ht="15" hidden="false" customHeight="false" outlineLevel="0" collapsed="false">
      <c r="A232" s="0" t="str">
        <f aca="false">INDEX(Prioritization!$D:$D,MATCH($B232,Prioritization!$A:$A,0))</f>
        <v>1 - Scale-up: Saturation</v>
      </c>
      <c r="B232" s="0" t="s">
        <v>212</v>
      </c>
      <c r="C232" s="0" t="s">
        <v>363</v>
      </c>
      <c r="D232" s="0" t="s">
        <v>48</v>
      </c>
      <c r="E232" s="0" t="str">
        <f aca="false">B232&amp;"|"&amp;C232&amp;"|"&amp;D232</f>
        <v>Chikwawa District [U8c0so51kT6]|01-09|Male</v>
      </c>
      <c r="F232" s="10"/>
      <c r="G232" s="88" t="n">
        <f aca="false">0</f>
        <v>0</v>
      </c>
      <c r="H232" s="39" t="str">
        <f aca="false">IF(SUM($F232)=0,"",ROUND($F232*(1+$G232),0))</f>
        <v/>
      </c>
      <c r="I232" s="10"/>
      <c r="J232" s="88"/>
      <c r="K232" s="88" t="str">
        <f aca="false">IF($J232="","",$J232)</f>
        <v/>
      </c>
      <c r="L232" s="88"/>
      <c r="M232" s="88" t="str">
        <f aca="false">IF($L232="","",$L232)</f>
        <v/>
      </c>
      <c r="N232" s="10" t="str">
        <f aca="false">$H232</f>
        <v/>
      </c>
      <c r="O232" s="39" t="str">
        <f aca="false">IF(SUM($N232)=0,"",IF(AND(SUM($N232)&gt;0,$K232=""),"ENTER KNOWN POSITIVITY RATE",ROUND($N232*$K232,0)))</f>
        <v/>
      </c>
      <c r="P232" s="39" t="str">
        <f aca="false">IF(SUM($N232)=0,"",IF(AND((SUM($N232)-SUM($O232))&gt;0,$M232=""),"ENTER YIELD RATE",ROUND(($N232-SUM($O232))*$M232,0)))</f>
        <v/>
      </c>
      <c r="Q232" s="39" t="str">
        <f aca="false">IF(SUM($N232)=0,"",$N232-SUM($O232)-SUM($P232))</f>
        <v/>
      </c>
      <c r="R232" s="88" t="str">
        <f aca="false">IF(SUM($P232)=0,"",INDEX(Cascade!$BG:$BG,MATCH($E232,Cascade!$E:$E,0)))</f>
        <v/>
      </c>
      <c r="S232" s="39" t="str">
        <f aca="false">$O232</f>
        <v/>
      </c>
      <c r="T232" s="39" t="str">
        <f aca="false">IF(SUM($P232)=0,"",IF(AND($R232="",SUM($P232)&gt;0),"&lt;- Enter Linkage Rate",ROUND($P232*$R232,0)))</f>
        <v/>
      </c>
      <c r="U232" s="10" t="str">
        <f aca="false">IFERROR(1/(1/INDEX(Cascade!$BH:$BH,MATCH($E232,Cascade!$E:$E,0))),"")</f>
        <v/>
      </c>
      <c r="V232" s="10" t="str">
        <f aca="false">IF(SUM($P232)=0,"",$P232)</f>
        <v/>
      </c>
      <c r="W232" s="10" t="str">
        <f aca="false">IFERROR(1/(1/INDEX(PMTCT!$AC:$AC,MATCH($E232,PMTCT!$E:$E,0))),"")</f>
        <v/>
      </c>
      <c r="X232" s="10" t="str">
        <f aca="false">IFERROR(1/(1/INDEX(PMTCT!$AS:$AS,MATCH($E232,PMTCT!$E:$E,0))),"")</f>
        <v/>
      </c>
      <c r="Y232" s="10" t="str">
        <f aca="false">IFERROR(1/(1/INDEX(VMMC!$AA:$AA,MATCH($E232,VMMC!$E:$E,0))),"")</f>
        <v/>
      </c>
      <c r="Z232" s="10" t="str">
        <f aca="false">IFERROR(1/(1/(SUM($U232)-SUM($V232:$Y232))),"")</f>
        <v/>
      </c>
    </row>
    <row r="233" customFormat="false" ht="15" hidden="false" customHeight="false" outlineLevel="0" collapsed="false">
      <c r="A233" s="0" t="str">
        <f aca="false">INDEX(Prioritization!$D:$D,MATCH($B233,Prioritization!$A:$A,0))</f>
        <v>1 - Scale-up: Saturation</v>
      </c>
      <c r="B233" s="0" t="s">
        <v>212</v>
      </c>
      <c r="C233" s="0" t="s">
        <v>364</v>
      </c>
      <c r="D233" s="0" t="s">
        <v>30</v>
      </c>
      <c r="E233" s="0" t="str">
        <f aca="false">B233&amp;"|"&amp;C233&amp;"|"&amp;D233</f>
        <v>Chikwawa District [U8c0so51kT6]|10-14|Female</v>
      </c>
      <c r="F233" s="10" t="n">
        <v>0</v>
      </c>
      <c r="G233" s="88" t="n">
        <f aca="false">0</f>
        <v>0</v>
      </c>
      <c r="H233" s="39" t="str">
        <f aca="false">IF(SUM($F233)=0,"",ROUND($F233*(1+$G233),0))</f>
        <v/>
      </c>
      <c r="I233" s="10"/>
      <c r="J233" s="88"/>
      <c r="K233" s="88" t="str">
        <f aca="false">IF($J233="","",$J233)</f>
        <v/>
      </c>
      <c r="L233" s="88"/>
      <c r="M233" s="88" t="str">
        <f aca="false">IF($L233="","",$L233)</f>
        <v/>
      </c>
      <c r="N233" s="10" t="str">
        <f aca="false">$H233</f>
        <v/>
      </c>
      <c r="O233" s="39" t="str">
        <f aca="false">IF(SUM($N233)=0,"",IF(AND(SUM($N233)&gt;0,$K233=""),"ENTER KNOWN POSITIVITY RATE",ROUND($N233*$K233,0)))</f>
        <v/>
      </c>
      <c r="P233" s="39" t="str">
        <f aca="false">IF(SUM($N233)=0,"",IF(AND((SUM($N233)-SUM($O233))&gt;0,$M233=""),"ENTER YIELD RATE",ROUND(($N233-SUM($O233))*$M233,0)))</f>
        <v/>
      </c>
      <c r="Q233" s="39" t="str">
        <f aca="false">IF(SUM($N233)=0,"",$N233-SUM($O233)-SUM($P233))</f>
        <v/>
      </c>
      <c r="R233" s="88" t="str">
        <f aca="false">IF(SUM($P233)=0,"",INDEX(Cascade!$BG:$BG,MATCH($E233,Cascade!$E:$E,0)))</f>
        <v/>
      </c>
      <c r="S233" s="39" t="str">
        <f aca="false">$O233</f>
        <v/>
      </c>
      <c r="T233" s="39" t="str">
        <f aca="false">IF(SUM($P233)=0,"",IF(AND($R233="",SUM($P233)&gt;0),"&lt;- Enter Linkage Rate",ROUND($P233*$R233,0)))</f>
        <v/>
      </c>
      <c r="U233" s="10" t="n">
        <f aca="false">IFERROR(1/(1/INDEX(Cascade!$BH:$BH,MATCH($E233,Cascade!$E:$E,0))),"")</f>
        <v>-94</v>
      </c>
      <c r="V233" s="10" t="str">
        <f aca="false">IF(SUM($P233)=0,"",$P233)</f>
        <v/>
      </c>
      <c r="W233" s="10" t="n">
        <f aca="false">IFERROR(1/(1/INDEX(PMTCT!$AC:$AC,MATCH($E233,PMTCT!$E:$E,0))),"")</f>
        <v>4</v>
      </c>
      <c r="X233" s="10" t="str">
        <f aca="false">IFERROR(1/(1/INDEX(PMTCT!$AS:$AS,MATCH($E233,PMTCT!$E:$E,0))),"")</f>
        <v/>
      </c>
      <c r="Y233" s="10" t="str">
        <f aca="false">IFERROR(1/(1/INDEX(VMMC!$AA:$AA,MATCH($E233,VMMC!$E:$E,0))),"")</f>
        <v/>
      </c>
      <c r="Z233" s="10" t="n">
        <f aca="false">IFERROR(1/(1/(SUM($U233)-SUM($V233:$Y233))),"")</f>
        <v>-98</v>
      </c>
    </row>
    <row r="234" customFormat="false" ht="15" hidden="false" customHeight="false" outlineLevel="0" collapsed="false">
      <c r="A234" s="0" t="str">
        <f aca="false">INDEX(Prioritization!$D:$D,MATCH($B234,Prioritization!$A:$A,0))</f>
        <v>1 - Scale-up: Saturation</v>
      </c>
      <c r="B234" s="0" t="s">
        <v>212</v>
      </c>
      <c r="C234" s="0" t="s">
        <v>364</v>
      </c>
      <c r="D234" s="0" t="s">
        <v>48</v>
      </c>
      <c r="E234" s="0" t="str">
        <f aca="false">B234&amp;"|"&amp;C234&amp;"|"&amp;D234</f>
        <v>Chikwawa District [U8c0so51kT6]|10-14|Male</v>
      </c>
      <c r="F234" s="10" t="n">
        <v>1</v>
      </c>
      <c r="G234" s="88" t="n">
        <f aca="false">0</f>
        <v>0</v>
      </c>
      <c r="H234" s="39" t="n">
        <f aca="false">IF(SUM($F234)=0,"",ROUND($F234*(1+$G234),0))</f>
        <v>1</v>
      </c>
      <c r="I234" s="10"/>
      <c r="J234" s="88"/>
      <c r="K234" s="88" t="str">
        <f aca="false">IF($J234="","",$J234)</f>
        <v/>
      </c>
      <c r="L234" s="88"/>
      <c r="M234" s="88" t="str">
        <f aca="false">IF($L234="","",$L234)</f>
        <v/>
      </c>
      <c r="N234" s="10" t="n">
        <f aca="false">$H234</f>
        <v>1</v>
      </c>
      <c r="O234" s="39" t="str">
        <f aca="false">IF(SUM($N234)=0,"",IF(AND(SUM($N234)&gt;0,$K234=""),"ENTER KNOWN POSITIVITY RATE",ROUND($N234*$K234,0)))</f>
        <v>ENTER KNOWN POSITIVITY RATE</v>
      </c>
      <c r="P234" s="39" t="str">
        <f aca="false">IF(SUM($N234)=0,"",IF(AND((SUM($N234)-SUM($O234))&gt;0,$M234=""),"ENTER YIELD RATE",ROUND(($N234-SUM($O234))*$M234,0)))</f>
        <v>ENTER YIELD RATE</v>
      </c>
      <c r="Q234" s="39" t="n">
        <f aca="false">IF(SUM($N234)=0,"",$N234-SUM($O234)-SUM($P234))</f>
        <v>1</v>
      </c>
      <c r="R234" s="88" t="str">
        <f aca="false">IF(SUM($P234)=0,"",INDEX(Cascade!$BG:$BG,MATCH($E234,Cascade!$E:$E,0)))</f>
        <v/>
      </c>
      <c r="S234" s="39" t="str">
        <f aca="false">$O234</f>
        <v>ENTER KNOWN POSITIVITY RATE</v>
      </c>
      <c r="T234" s="39" t="str">
        <f aca="false">IF(SUM($P234)=0,"",IF(AND($R234="",SUM($P234)&gt;0),"&lt;- Enter Linkage Rate",ROUND($P234*$R234,0)))</f>
        <v/>
      </c>
      <c r="U234" s="10" t="n">
        <f aca="false">IFERROR(1/(1/INDEX(Cascade!$BH:$BH,MATCH($E234,Cascade!$E:$E,0))),"")</f>
        <v>-96</v>
      </c>
      <c r="V234" s="10" t="str">
        <f aca="false">IF(SUM($P234)=0,"",$P234)</f>
        <v/>
      </c>
      <c r="W234" s="10" t="str">
        <f aca="false">IFERROR(1/(1/INDEX(PMTCT!$AC:$AC,MATCH($E234,PMTCT!$E:$E,0))),"")</f>
        <v/>
      </c>
      <c r="X234" s="10" t="str">
        <f aca="false">IFERROR(1/(1/INDEX(PMTCT!$AS:$AS,MATCH($E234,PMTCT!$E:$E,0))),"")</f>
        <v/>
      </c>
      <c r="Y234" s="10" t="str">
        <f aca="false">IFERROR(1/(1/INDEX(VMMC!$AA:$AA,MATCH($E234,VMMC!$E:$E,0))),"")</f>
        <v/>
      </c>
      <c r="Z234" s="10" t="n">
        <f aca="false">IFERROR(1/(1/(SUM($U234)-SUM($V234:$Y234))),"")</f>
        <v>-96</v>
      </c>
    </row>
    <row r="235" customFormat="false" ht="15" hidden="false" customHeight="false" outlineLevel="0" collapsed="false">
      <c r="A235" s="0" t="str">
        <f aca="false">INDEX(Prioritization!$D:$D,MATCH($B235,Prioritization!$A:$A,0))</f>
        <v>1 - Scale-up: Saturation</v>
      </c>
      <c r="B235" s="0" t="s">
        <v>212</v>
      </c>
      <c r="C235" s="0" t="s">
        <v>365</v>
      </c>
      <c r="D235" s="0" t="s">
        <v>30</v>
      </c>
      <c r="E235" s="0" t="str">
        <f aca="false">B235&amp;"|"&amp;C235&amp;"|"&amp;D235</f>
        <v>Chikwawa District [U8c0so51kT6]|15-24|Female</v>
      </c>
      <c r="F235" s="10"/>
      <c r="G235" s="88" t="n">
        <f aca="false">0</f>
        <v>0</v>
      </c>
      <c r="H235" s="39" t="str">
        <f aca="false">IF(SUM($F235)=0,"",ROUND($F235*(1+$G235),0))</f>
        <v/>
      </c>
      <c r="I235" s="10"/>
      <c r="J235" s="88"/>
      <c r="K235" s="88" t="str">
        <f aca="false">IF($J235="","",$J235)</f>
        <v/>
      </c>
      <c r="L235" s="88"/>
      <c r="M235" s="88" t="str">
        <f aca="false">IF($L235="","",$L235)</f>
        <v/>
      </c>
      <c r="N235" s="10" t="str">
        <f aca="false">$H235</f>
        <v/>
      </c>
      <c r="O235" s="39" t="str">
        <f aca="false">IF(SUM($N235)=0,"",IF(AND(SUM($N235)&gt;0,$K235=""),"ENTER KNOWN POSITIVITY RATE",ROUND($N235*$K235,0)))</f>
        <v/>
      </c>
      <c r="P235" s="39" t="str">
        <f aca="false">IF(SUM($N235)=0,"",IF(AND((SUM($N235)-SUM($O235))&gt;0,$M235=""),"ENTER YIELD RATE",ROUND(($N235-SUM($O235))*$M235,0)))</f>
        <v/>
      </c>
      <c r="Q235" s="39" t="str">
        <f aca="false">IF(SUM($N235)=0,"",$N235-SUM($O235)-SUM($P235))</f>
        <v/>
      </c>
      <c r="R235" s="88" t="str">
        <f aca="false">IF(SUM($P235)=0,"",INDEX(Cascade!$BG:$BG,MATCH($E235,Cascade!$E:$E,0)))</f>
        <v/>
      </c>
      <c r="S235" s="39" t="str">
        <f aca="false">$O235</f>
        <v/>
      </c>
      <c r="T235" s="39" t="str">
        <f aca="false">IF(SUM($P235)=0,"",IF(AND($R235="",SUM($P235)&gt;0),"&lt;- Enter Linkage Rate",ROUND($P235*$R235,0)))</f>
        <v/>
      </c>
      <c r="U235" s="10" t="str">
        <f aca="false">IFERROR(1/(1/INDEX(Cascade!$BH:$BH,MATCH($E235,Cascade!$E:$E,0))),"")</f>
        <v/>
      </c>
      <c r="V235" s="10" t="str">
        <f aca="false">IF(SUM($P235)=0,"",$P235)</f>
        <v/>
      </c>
      <c r="W235" s="10" t="str">
        <f aca="false">IFERROR(1/(1/INDEX(PMTCT!$AC:$AC,MATCH($E235,PMTCT!$E:$E,0))),"")</f>
        <v/>
      </c>
      <c r="X235" s="10" t="str">
        <f aca="false">IFERROR(1/(1/INDEX(PMTCT!$AS:$AS,MATCH($E235,PMTCT!$E:$E,0))),"")</f>
        <v/>
      </c>
      <c r="Y235" s="10" t="str">
        <f aca="false">IFERROR(1/(1/INDEX(VMMC!$AA:$AA,MATCH($E235,VMMC!$E:$E,0))),"")</f>
        <v/>
      </c>
      <c r="Z235" s="10" t="str">
        <f aca="false">IFERROR(1/(1/(SUM($U235)-SUM($V235:$Y235))),"")</f>
        <v/>
      </c>
    </row>
    <row r="236" customFormat="false" ht="15" hidden="false" customHeight="false" outlineLevel="0" collapsed="false">
      <c r="A236" s="0" t="str">
        <f aca="false">INDEX(Prioritization!$D:$D,MATCH($B236,Prioritization!$A:$A,0))</f>
        <v>1 - Scale-up: Saturation</v>
      </c>
      <c r="B236" s="0" t="s">
        <v>212</v>
      </c>
      <c r="C236" s="0" t="s">
        <v>365</v>
      </c>
      <c r="D236" s="0" t="s">
        <v>48</v>
      </c>
      <c r="E236" s="0" t="str">
        <f aca="false">B236&amp;"|"&amp;C236&amp;"|"&amp;D236</f>
        <v>Chikwawa District [U8c0so51kT6]|15-24|Male</v>
      </c>
      <c r="F236" s="10"/>
      <c r="G236" s="88" t="n">
        <f aca="false">0</f>
        <v>0</v>
      </c>
      <c r="H236" s="39" t="str">
        <f aca="false">IF(SUM($F236)=0,"",ROUND($F236*(1+$G236),0))</f>
        <v/>
      </c>
      <c r="I236" s="10"/>
      <c r="J236" s="88"/>
      <c r="K236" s="88" t="str">
        <f aca="false">IF($J236="","",$J236)</f>
        <v/>
      </c>
      <c r="L236" s="88"/>
      <c r="M236" s="88" t="str">
        <f aca="false">IF($L236="","",$L236)</f>
        <v/>
      </c>
      <c r="N236" s="10" t="str">
        <f aca="false">$H236</f>
        <v/>
      </c>
      <c r="O236" s="39" t="str">
        <f aca="false">IF(SUM($N236)=0,"",IF(AND(SUM($N236)&gt;0,$K236=""),"ENTER KNOWN POSITIVITY RATE",ROUND($N236*$K236,0)))</f>
        <v/>
      </c>
      <c r="P236" s="39" t="str">
        <f aca="false">IF(SUM($N236)=0,"",IF(AND((SUM($N236)-SUM($O236))&gt;0,$M236=""),"ENTER YIELD RATE",ROUND(($N236-SUM($O236))*$M236,0)))</f>
        <v/>
      </c>
      <c r="Q236" s="39" t="str">
        <f aca="false">IF(SUM($N236)=0,"",$N236-SUM($O236)-SUM($P236))</f>
        <v/>
      </c>
      <c r="R236" s="88" t="str">
        <f aca="false">IF(SUM($P236)=0,"",INDEX(Cascade!$BG:$BG,MATCH($E236,Cascade!$E:$E,0)))</f>
        <v/>
      </c>
      <c r="S236" s="39" t="str">
        <f aca="false">$O236</f>
        <v/>
      </c>
      <c r="T236" s="39" t="str">
        <f aca="false">IF(SUM($P236)=0,"",IF(AND($R236="",SUM($P236)&gt;0),"&lt;- Enter Linkage Rate",ROUND($P236*$R236,0)))</f>
        <v/>
      </c>
      <c r="U236" s="10" t="str">
        <f aca="false">IFERROR(1/(1/INDEX(Cascade!$BH:$BH,MATCH($E236,Cascade!$E:$E,0))),"")</f>
        <v/>
      </c>
      <c r="V236" s="10" t="str">
        <f aca="false">IF(SUM($P236)=0,"",$P236)</f>
        <v/>
      </c>
      <c r="W236" s="10" t="str">
        <f aca="false">IFERROR(1/(1/INDEX(PMTCT!$AC:$AC,MATCH($E236,PMTCT!$E:$E,0))),"")</f>
        <v/>
      </c>
      <c r="X236" s="10" t="str">
        <f aca="false">IFERROR(1/(1/INDEX(PMTCT!$AS:$AS,MATCH($E236,PMTCT!$E:$E,0))),"")</f>
        <v/>
      </c>
      <c r="Y236" s="10" t="str">
        <f aca="false">IFERROR(1/(1/INDEX(VMMC!$AA:$AA,MATCH($E236,VMMC!$E:$E,0))),"")</f>
        <v/>
      </c>
      <c r="Z236" s="10" t="str">
        <f aca="false">IFERROR(1/(1/(SUM($U236)-SUM($V236:$Y236))),"")</f>
        <v/>
      </c>
    </row>
    <row r="237" customFormat="false" ht="15" hidden="false" customHeight="false" outlineLevel="0" collapsed="false">
      <c r="A237" s="0" t="str">
        <f aca="false">INDEX(Prioritization!$D:$D,MATCH($B237,Prioritization!$A:$A,0))</f>
        <v>1 - Scale-up: Saturation</v>
      </c>
      <c r="B237" s="0" t="s">
        <v>212</v>
      </c>
      <c r="C237" s="0" t="s">
        <v>366</v>
      </c>
      <c r="D237" s="0" t="s">
        <v>30</v>
      </c>
      <c r="E237" s="0" t="str">
        <f aca="false">B237&amp;"|"&amp;C237&amp;"|"&amp;D237</f>
        <v>Chikwawa District [U8c0so51kT6]|25-34|Female</v>
      </c>
      <c r="F237" s="10"/>
      <c r="G237" s="88" t="n">
        <f aca="false">0</f>
        <v>0</v>
      </c>
      <c r="H237" s="39" t="str">
        <f aca="false">IF(SUM($F237)=0,"",ROUND($F237*(1+$G237),0))</f>
        <v/>
      </c>
      <c r="I237" s="10"/>
      <c r="J237" s="88"/>
      <c r="K237" s="88" t="str">
        <f aca="false">IF($J237="","",$J237)</f>
        <v/>
      </c>
      <c r="L237" s="88"/>
      <c r="M237" s="88" t="str">
        <f aca="false">IF($L237="","",$L237)</f>
        <v/>
      </c>
      <c r="N237" s="10" t="str">
        <f aca="false">$H237</f>
        <v/>
      </c>
      <c r="O237" s="39" t="str">
        <f aca="false">IF(SUM($N237)=0,"",IF(AND(SUM($N237)&gt;0,$K237=""),"ENTER KNOWN POSITIVITY RATE",ROUND($N237*$K237,0)))</f>
        <v/>
      </c>
      <c r="P237" s="39" t="str">
        <f aca="false">IF(SUM($N237)=0,"",IF(AND((SUM($N237)-SUM($O237))&gt;0,$M237=""),"ENTER YIELD RATE",ROUND(($N237-SUM($O237))*$M237,0)))</f>
        <v/>
      </c>
      <c r="Q237" s="39" t="str">
        <f aca="false">IF(SUM($N237)=0,"",$N237-SUM($O237)-SUM($P237))</f>
        <v/>
      </c>
      <c r="R237" s="88" t="str">
        <f aca="false">IF(SUM($P237)=0,"",INDEX(Cascade!$BG:$BG,MATCH($E237,Cascade!$E:$E,0)))</f>
        <v/>
      </c>
      <c r="S237" s="39" t="str">
        <f aca="false">$O237</f>
        <v/>
      </c>
      <c r="T237" s="39" t="str">
        <f aca="false">IF(SUM($P237)=0,"",IF(AND($R237="",SUM($P237)&gt;0),"&lt;- Enter Linkage Rate",ROUND($P237*$R237,0)))</f>
        <v/>
      </c>
      <c r="U237" s="10" t="str">
        <f aca="false">IFERROR(1/(1/INDEX(Cascade!$BH:$BH,MATCH($E237,Cascade!$E:$E,0))),"")</f>
        <v/>
      </c>
      <c r="V237" s="10" t="str">
        <f aca="false">IF(SUM($P237)=0,"",$P237)</f>
        <v/>
      </c>
      <c r="W237" s="10" t="str">
        <f aca="false">IFERROR(1/(1/INDEX(PMTCT!$AC:$AC,MATCH($E237,PMTCT!$E:$E,0))),"")</f>
        <v/>
      </c>
      <c r="X237" s="10" t="str">
        <f aca="false">IFERROR(1/(1/INDEX(PMTCT!$AS:$AS,MATCH($E237,PMTCT!$E:$E,0))),"")</f>
        <v/>
      </c>
      <c r="Y237" s="10" t="str">
        <f aca="false">IFERROR(1/(1/INDEX(VMMC!$AA:$AA,MATCH($E237,VMMC!$E:$E,0))),"")</f>
        <v/>
      </c>
      <c r="Z237" s="10" t="str">
        <f aca="false">IFERROR(1/(1/(SUM($U237)-SUM($V237:$Y237))),"")</f>
        <v/>
      </c>
    </row>
    <row r="238" customFormat="false" ht="15" hidden="false" customHeight="false" outlineLevel="0" collapsed="false">
      <c r="A238" s="0" t="str">
        <f aca="false">INDEX(Prioritization!$D:$D,MATCH($B238,Prioritization!$A:$A,0))</f>
        <v>1 - Scale-up: Saturation</v>
      </c>
      <c r="B238" s="0" t="s">
        <v>212</v>
      </c>
      <c r="C238" s="0" t="s">
        <v>366</v>
      </c>
      <c r="D238" s="0" t="s">
        <v>48</v>
      </c>
      <c r="E238" s="0" t="str">
        <f aca="false">B238&amp;"|"&amp;C238&amp;"|"&amp;D238</f>
        <v>Chikwawa District [U8c0so51kT6]|25-34|Male</v>
      </c>
      <c r="F238" s="10"/>
      <c r="G238" s="88" t="n">
        <f aca="false">0</f>
        <v>0</v>
      </c>
      <c r="H238" s="39" t="str">
        <f aca="false">IF(SUM($F238)=0,"",ROUND($F238*(1+$G238),0))</f>
        <v/>
      </c>
      <c r="I238" s="10"/>
      <c r="J238" s="88"/>
      <c r="K238" s="88" t="str">
        <f aca="false">IF($J238="","",$J238)</f>
        <v/>
      </c>
      <c r="L238" s="88"/>
      <c r="M238" s="88" t="str">
        <f aca="false">IF($L238="","",$L238)</f>
        <v/>
      </c>
      <c r="N238" s="10" t="str">
        <f aca="false">$H238</f>
        <v/>
      </c>
      <c r="O238" s="39" t="str">
        <f aca="false">IF(SUM($N238)=0,"",IF(AND(SUM($N238)&gt;0,$K238=""),"ENTER KNOWN POSITIVITY RATE",ROUND($N238*$K238,0)))</f>
        <v/>
      </c>
      <c r="P238" s="39" t="str">
        <f aca="false">IF(SUM($N238)=0,"",IF(AND((SUM($N238)-SUM($O238))&gt;0,$M238=""),"ENTER YIELD RATE",ROUND(($N238-SUM($O238))*$M238,0)))</f>
        <v/>
      </c>
      <c r="Q238" s="39" t="str">
        <f aca="false">IF(SUM($N238)=0,"",$N238-SUM($O238)-SUM($P238))</f>
        <v/>
      </c>
      <c r="R238" s="88" t="str">
        <f aca="false">IF(SUM($P238)=0,"",INDEX(Cascade!$BG:$BG,MATCH($E238,Cascade!$E:$E,0)))</f>
        <v/>
      </c>
      <c r="S238" s="39" t="str">
        <f aca="false">$O238</f>
        <v/>
      </c>
      <c r="T238" s="39" t="str">
        <f aca="false">IF(SUM($P238)=0,"",IF(AND($R238="",SUM($P238)&gt;0),"&lt;- Enter Linkage Rate",ROUND($P238*$R238,0)))</f>
        <v/>
      </c>
      <c r="U238" s="10" t="str">
        <f aca="false">IFERROR(1/(1/INDEX(Cascade!$BH:$BH,MATCH($E238,Cascade!$E:$E,0))),"")</f>
        <v/>
      </c>
      <c r="V238" s="10" t="str">
        <f aca="false">IF(SUM($P238)=0,"",$P238)</f>
        <v/>
      </c>
      <c r="W238" s="10" t="str">
        <f aca="false">IFERROR(1/(1/INDEX(PMTCT!$AC:$AC,MATCH($E238,PMTCT!$E:$E,0))),"")</f>
        <v/>
      </c>
      <c r="X238" s="10" t="str">
        <f aca="false">IFERROR(1/(1/INDEX(PMTCT!$AS:$AS,MATCH($E238,PMTCT!$E:$E,0))),"")</f>
        <v/>
      </c>
      <c r="Y238" s="10" t="str">
        <f aca="false">IFERROR(1/(1/INDEX(VMMC!$AA:$AA,MATCH($E238,VMMC!$E:$E,0))),"")</f>
        <v/>
      </c>
      <c r="Z238" s="10" t="str">
        <f aca="false">IFERROR(1/(1/(SUM($U238)-SUM($V238:$Y238))),"")</f>
        <v/>
      </c>
    </row>
    <row r="239" customFormat="false" ht="15" hidden="false" customHeight="false" outlineLevel="0" collapsed="false">
      <c r="A239" s="0" t="str">
        <f aca="false">INDEX(Prioritization!$D:$D,MATCH($B239,Prioritization!$A:$A,0))</f>
        <v>1 - Scale-up: Saturation</v>
      </c>
      <c r="B239" s="0" t="s">
        <v>212</v>
      </c>
      <c r="C239" s="0" t="s">
        <v>367</v>
      </c>
      <c r="D239" s="0" t="s">
        <v>30</v>
      </c>
      <c r="E239" s="0" t="str">
        <f aca="false">B239&amp;"|"&amp;C239&amp;"|"&amp;D239</f>
        <v>Chikwawa District [U8c0so51kT6]|35-49|Female</v>
      </c>
      <c r="F239" s="10"/>
      <c r="G239" s="88" t="n">
        <f aca="false">0</f>
        <v>0</v>
      </c>
      <c r="H239" s="39" t="str">
        <f aca="false">IF(SUM($F239)=0,"",ROUND($F239*(1+$G239),0))</f>
        <v/>
      </c>
      <c r="I239" s="10"/>
      <c r="J239" s="88"/>
      <c r="K239" s="88" t="str">
        <f aca="false">IF($J239="","",$J239)</f>
        <v/>
      </c>
      <c r="L239" s="88"/>
      <c r="M239" s="88" t="str">
        <f aca="false">IF($L239="","",$L239)</f>
        <v/>
      </c>
      <c r="N239" s="10" t="str">
        <f aca="false">$H239</f>
        <v/>
      </c>
      <c r="O239" s="39" t="str">
        <f aca="false">IF(SUM($N239)=0,"",IF(AND(SUM($N239)&gt;0,$K239=""),"ENTER KNOWN POSITIVITY RATE",ROUND($N239*$K239,0)))</f>
        <v/>
      </c>
      <c r="P239" s="39" t="str">
        <f aca="false">IF(SUM($N239)=0,"",IF(AND((SUM($N239)-SUM($O239))&gt;0,$M239=""),"ENTER YIELD RATE",ROUND(($N239-SUM($O239))*$M239,0)))</f>
        <v/>
      </c>
      <c r="Q239" s="39" t="str">
        <f aca="false">IF(SUM($N239)=0,"",$N239-SUM($O239)-SUM($P239))</f>
        <v/>
      </c>
      <c r="R239" s="88" t="str">
        <f aca="false">IF(SUM($P239)=0,"",INDEX(Cascade!$BG:$BG,MATCH($E239,Cascade!$E:$E,0)))</f>
        <v/>
      </c>
      <c r="S239" s="39" t="str">
        <f aca="false">$O239</f>
        <v/>
      </c>
      <c r="T239" s="39" t="str">
        <f aca="false">IF(SUM($P239)=0,"",IF(AND($R239="",SUM($P239)&gt;0),"&lt;- Enter Linkage Rate",ROUND($P239*$R239,0)))</f>
        <v/>
      </c>
      <c r="U239" s="10" t="str">
        <f aca="false">IFERROR(1/(1/INDEX(Cascade!$BH:$BH,MATCH($E239,Cascade!$E:$E,0))),"")</f>
        <v/>
      </c>
      <c r="V239" s="10" t="str">
        <f aca="false">IF(SUM($P239)=0,"",$P239)</f>
        <v/>
      </c>
      <c r="W239" s="10" t="str">
        <f aca="false">IFERROR(1/(1/INDEX(PMTCT!$AC:$AC,MATCH($E239,PMTCT!$E:$E,0))),"")</f>
        <v/>
      </c>
      <c r="X239" s="10" t="str">
        <f aca="false">IFERROR(1/(1/INDEX(PMTCT!$AS:$AS,MATCH($E239,PMTCT!$E:$E,0))),"")</f>
        <v/>
      </c>
      <c r="Y239" s="10" t="str">
        <f aca="false">IFERROR(1/(1/INDEX(VMMC!$AA:$AA,MATCH($E239,VMMC!$E:$E,0))),"")</f>
        <v/>
      </c>
      <c r="Z239" s="10" t="str">
        <f aca="false">IFERROR(1/(1/(SUM($U239)-SUM($V239:$Y239))),"")</f>
        <v/>
      </c>
    </row>
    <row r="240" customFormat="false" ht="15" hidden="false" customHeight="false" outlineLevel="0" collapsed="false">
      <c r="A240" s="0" t="str">
        <f aca="false">INDEX(Prioritization!$D:$D,MATCH($B240,Prioritization!$A:$A,0))</f>
        <v>1 - Scale-up: Saturation</v>
      </c>
      <c r="B240" s="0" t="s">
        <v>212</v>
      </c>
      <c r="C240" s="0" t="s">
        <v>367</v>
      </c>
      <c r="D240" s="0" t="s">
        <v>48</v>
      </c>
      <c r="E240" s="0" t="str">
        <f aca="false">B240&amp;"|"&amp;C240&amp;"|"&amp;D240</f>
        <v>Chikwawa District [U8c0so51kT6]|35-49|Male</v>
      </c>
      <c r="F240" s="10"/>
      <c r="G240" s="88" t="n">
        <f aca="false">0</f>
        <v>0</v>
      </c>
      <c r="H240" s="39" t="str">
        <f aca="false">IF(SUM($F240)=0,"",ROUND($F240*(1+$G240),0))</f>
        <v/>
      </c>
      <c r="I240" s="10"/>
      <c r="J240" s="88"/>
      <c r="K240" s="88" t="str">
        <f aca="false">IF($J240="","",$J240)</f>
        <v/>
      </c>
      <c r="L240" s="88"/>
      <c r="M240" s="88" t="str">
        <f aca="false">IF($L240="","",$L240)</f>
        <v/>
      </c>
      <c r="N240" s="10" t="str">
        <f aca="false">$H240</f>
        <v/>
      </c>
      <c r="O240" s="39" t="str">
        <f aca="false">IF(SUM($N240)=0,"",IF(AND(SUM($N240)&gt;0,$K240=""),"ENTER KNOWN POSITIVITY RATE",ROUND($N240*$K240,0)))</f>
        <v/>
      </c>
      <c r="P240" s="39" t="str">
        <f aca="false">IF(SUM($N240)=0,"",IF(AND((SUM($N240)-SUM($O240))&gt;0,$M240=""),"ENTER YIELD RATE",ROUND(($N240-SUM($O240))*$M240,0)))</f>
        <v/>
      </c>
      <c r="Q240" s="39" t="str">
        <f aca="false">IF(SUM($N240)=0,"",$N240-SUM($O240)-SUM($P240))</f>
        <v/>
      </c>
      <c r="R240" s="88" t="str">
        <f aca="false">IF(SUM($P240)=0,"",INDEX(Cascade!$BG:$BG,MATCH($E240,Cascade!$E:$E,0)))</f>
        <v/>
      </c>
      <c r="S240" s="39" t="str">
        <f aca="false">$O240</f>
        <v/>
      </c>
      <c r="T240" s="39" t="str">
        <f aca="false">IF(SUM($P240)=0,"",IF(AND($R240="",SUM($P240)&gt;0),"&lt;- Enter Linkage Rate",ROUND($P240*$R240,0)))</f>
        <v/>
      </c>
      <c r="U240" s="10" t="str">
        <f aca="false">IFERROR(1/(1/INDEX(Cascade!$BH:$BH,MATCH($E240,Cascade!$E:$E,0))),"")</f>
        <v/>
      </c>
      <c r="V240" s="10" t="str">
        <f aca="false">IF(SUM($P240)=0,"",$P240)</f>
        <v/>
      </c>
      <c r="W240" s="10" t="str">
        <f aca="false">IFERROR(1/(1/INDEX(PMTCT!$AC:$AC,MATCH($E240,PMTCT!$E:$E,0))),"")</f>
        <v/>
      </c>
      <c r="X240" s="10" t="str">
        <f aca="false">IFERROR(1/(1/INDEX(PMTCT!$AS:$AS,MATCH($E240,PMTCT!$E:$E,0))),"")</f>
        <v/>
      </c>
      <c r="Y240" s="10" t="str">
        <f aca="false">IFERROR(1/(1/INDEX(VMMC!$AA:$AA,MATCH($E240,VMMC!$E:$E,0))),"")</f>
        <v/>
      </c>
      <c r="Z240" s="10" t="str">
        <f aca="false">IFERROR(1/(1/(SUM($U240)-SUM($V240:$Y240))),"")</f>
        <v/>
      </c>
    </row>
    <row r="241" customFormat="false" ht="15" hidden="false" customHeight="false" outlineLevel="0" collapsed="false">
      <c r="A241" s="0" t="str">
        <f aca="false">INDEX(Prioritization!$D:$D,MATCH($B241,Prioritization!$A:$A,0))</f>
        <v>1 - Scale-up: Saturation</v>
      </c>
      <c r="B241" s="0" t="s">
        <v>212</v>
      </c>
      <c r="C241" s="0" t="s">
        <v>368</v>
      </c>
      <c r="D241" s="0" t="s">
        <v>30</v>
      </c>
      <c r="E241" s="0" t="str">
        <f aca="false">B241&amp;"|"&amp;C241&amp;"|"&amp;D241</f>
        <v>Chikwawa District [U8c0so51kT6]|50+|Female</v>
      </c>
      <c r="F241" s="10"/>
      <c r="G241" s="88" t="n">
        <f aca="false">0</f>
        <v>0</v>
      </c>
      <c r="H241" s="39" t="str">
        <f aca="false">IF(SUM($F241)=0,"",ROUND($F241*(1+$G241),0))</f>
        <v/>
      </c>
      <c r="I241" s="10"/>
      <c r="J241" s="88"/>
      <c r="K241" s="88" t="str">
        <f aca="false">IF($J241="","",$J241)</f>
        <v/>
      </c>
      <c r="L241" s="88"/>
      <c r="M241" s="88" t="str">
        <f aca="false">IF($L241="","",$L241)</f>
        <v/>
      </c>
      <c r="N241" s="10" t="str">
        <f aca="false">$H241</f>
        <v/>
      </c>
      <c r="O241" s="39" t="str">
        <f aca="false">IF(SUM($N241)=0,"",IF(AND(SUM($N241)&gt;0,$K241=""),"ENTER KNOWN POSITIVITY RATE",ROUND($N241*$K241,0)))</f>
        <v/>
      </c>
      <c r="P241" s="39" t="str">
        <f aca="false">IF(SUM($N241)=0,"",IF(AND((SUM($N241)-SUM($O241))&gt;0,$M241=""),"ENTER YIELD RATE",ROUND(($N241-SUM($O241))*$M241,0)))</f>
        <v/>
      </c>
      <c r="Q241" s="39" t="str">
        <f aca="false">IF(SUM($N241)=0,"",$N241-SUM($O241)-SUM($P241))</f>
        <v/>
      </c>
      <c r="R241" s="88" t="str">
        <f aca="false">IF(SUM($P241)=0,"",INDEX(Cascade!$BG:$BG,MATCH($E241,Cascade!$E:$E,0)))</f>
        <v/>
      </c>
      <c r="S241" s="39" t="str">
        <f aca="false">$O241</f>
        <v/>
      </c>
      <c r="T241" s="39" t="str">
        <f aca="false">IF(SUM($P241)=0,"",IF(AND($R241="",SUM($P241)&gt;0),"&lt;- Enter Linkage Rate",ROUND($P241*$R241,0)))</f>
        <v/>
      </c>
      <c r="U241" s="10" t="str">
        <f aca="false">IFERROR(1/(1/INDEX(Cascade!$BH:$BH,MATCH($E241,Cascade!$E:$E,0))),"")</f>
        <v/>
      </c>
      <c r="V241" s="10" t="str">
        <f aca="false">IF(SUM($P241)=0,"",$P241)</f>
        <v/>
      </c>
      <c r="W241" s="10" t="str">
        <f aca="false">IFERROR(1/(1/INDEX(PMTCT!$AC:$AC,MATCH($E241,PMTCT!$E:$E,0))),"")</f>
        <v/>
      </c>
      <c r="X241" s="10" t="str">
        <f aca="false">IFERROR(1/(1/INDEX(PMTCT!$AS:$AS,MATCH($E241,PMTCT!$E:$E,0))),"")</f>
        <v/>
      </c>
      <c r="Y241" s="10" t="str">
        <f aca="false">IFERROR(1/(1/INDEX(VMMC!$AA:$AA,MATCH($E241,VMMC!$E:$E,0))),"")</f>
        <v/>
      </c>
      <c r="Z241" s="10" t="str">
        <f aca="false">IFERROR(1/(1/(SUM($U241)-SUM($V241:$Y241))),"")</f>
        <v/>
      </c>
    </row>
    <row r="242" customFormat="false" ht="15" hidden="false" customHeight="false" outlineLevel="0" collapsed="false">
      <c r="A242" s="0" t="str">
        <f aca="false">INDEX(Prioritization!$D:$D,MATCH($B242,Prioritization!$A:$A,0))</f>
        <v>1 - Scale-up: Saturation</v>
      </c>
      <c r="B242" s="0" t="s">
        <v>212</v>
      </c>
      <c r="C242" s="0" t="s">
        <v>368</v>
      </c>
      <c r="D242" s="0" t="s">
        <v>48</v>
      </c>
      <c r="E242" s="0" t="str">
        <f aca="false">B242&amp;"|"&amp;C242&amp;"|"&amp;D242</f>
        <v>Chikwawa District [U8c0so51kT6]|50+|Male</v>
      </c>
      <c r="F242" s="10"/>
      <c r="G242" s="88" t="n">
        <f aca="false">0</f>
        <v>0</v>
      </c>
      <c r="H242" s="39" t="str">
        <f aca="false">IF(SUM($F242)=0,"",ROUND($F242*(1+$G242),0))</f>
        <v/>
      </c>
      <c r="I242" s="10"/>
      <c r="J242" s="88"/>
      <c r="K242" s="88" t="str">
        <f aca="false">IF($J242="","",$J242)</f>
        <v/>
      </c>
      <c r="L242" s="88"/>
      <c r="M242" s="88" t="str">
        <f aca="false">IF($L242="","",$L242)</f>
        <v/>
      </c>
      <c r="N242" s="10" t="str">
        <f aca="false">$H242</f>
        <v/>
      </c>
      <c r="O242" s="39" t="str">
        <f aca="false">IF(SUM($N242)=0,"",IF(AND(SUM($N242)&gt;0,$K242=""),"ENTER KNOWN POSITIVITY RATE",ROUND($N242*$K242,0)))</f>
        <v/>
      </c>
      <c r="P242" s="39" t="str">
        <f aca="false">IF(SUM($N242)=0,"",IF(AND((SUM($N242)-SUM($O242))&gt;0,$M242=""),"ENTER YIELD RATE",ROUND(($N242-SUM($O242))*$M242,0)))</f>
        <v/>
      </c>
      <c r="Q242" s="39" t="str">
        <f aca="false">IF(SUM($N242)=0,"",$N242-SUM($O242)-SUM($P242))</f>
        <v/>
      </c>
      <c r="R242" s="88" t="str">
        <f aca="false">IF(SUM($P242)=0,"",INDEX(Cascade!$BG:$BG,MATCH($E242,Cascade!$E:$E,0)))</f>
        <v/>
      </c>
      <c r="S242" s="39" t="str">
        <f aca="false">$O242</f>
        <v/>
      </c>
      <c r="T242" s="39" t="str">
        <f aca="false">IF(SUM($P242)=0,"",IF(AND($R242="",SUM($P242)&gt;0),"&lt;- Enter Linkage Rate",ROUND($P242*$R242,0)))</f>
        <v/>
      </c>
      <c r="U242" s="10" t="str">
        <f aca="false">IFERROR(1/(1/INDEX(Cascade!$BH:$BH,MATCH($E242,Cascade!$E:$E,0))),"")</f>
        <v/>
      </c>
      <c r="V242" s="10" t="str">
        <f aca="false">IF(SUM($P242)=0,"",$P242)</f>
        <v/>
      </c>
      <c r="W242" s="10" t="str">
        <f aca="false">IFERROR(1/(1/INDEX(PMTCT!$AC:$AC,MATCH($E242,PMTCT!$E:$E,0))),"")</f>
        <v/>
      </c>
      <c r="X242" s="10" t="str">
        <f aca="false">IFERROR(1/(1/INDEX(PMTCT!$AS:$AS,MATCH($E242,PMTCT!$E:$E,0))),"")</f>
        <v/>
      </c>
      <c r="Y242" s="10" t="str">
        <f aca="false">IFERROR(1/(1/INDEX(VMMC!$AA:$AA,MATCH($E242,VMMC!$E:$E,0))),"")</f>
        <v/>
      </c>
      <c r="Z242" s="10" t="str">
        <f aca="false">IFERROR(1/(1/(SUM($U242)-SUM($V242:$Y242))),"")</f>
        <v/>
      </c>
    </row>
    <row r="243" customFormat="false" ht="15" hidden="false" customHeight="false" outlineLevel="0" collapsed="false">
      <c r="A243" s="0" t="str">
        <f aca="false">INDEX(Prioritization!$D:$D,MATCH($B243,Prioritization!$A:$A,0))</f>
        <v>1 - Scale-up: Saturation</v>
      </c>
      <c r="B243" s="0" t="s">
        <v>213</v>
      </c>
      <c r="C243" s="0" t="s">
        <v>363</v>
      </c>
      <c r="D243" s="0" t="s">
        <v>30</v>
      </c>
      <c r="E243" s="0" t="str">
        <f aca="false">B243&amp;"|"&amp;C243&amp;"|"&amp;D243</f>
        <v>Chiradzulu District [oiPR2CiVJbf]|01-09|Female</v>
      </c>
      <c r="F243" s="10"/>
      <c r="G243" s="88" t="n">
        <f aca="false">0</f>
        <v>0</v>
      </c>
      <c r="H243" s="39" t="str">
        <f aca="false">IF(SUM($F243)=0,"",ROUND($F243*(1+$G243),0))</f>
        <v/>
      </c>
      <c r="I243" s="10"/>
      <c r="J243" s="88"/>
      <c r="K243" s="88" t="str">
        <f aca="false">IF($J243="","",$J243)</f>
        <v/>
      </c>
      <c r="L243" s="88"/>
      <c r="M243" s="88" t="str">
        <f aca="false">IF($L243="","",$L243)</f>
        <v/>
      </c>
      <c r="N243" s="10" t="str">
        <f aca="false">$H243</f>
        <v/>
      </c>
      <c r="O243" s="39" t="str">
        <f aca="false">IF(SUM($N243)=0,"",IF(AND(SUM($N243)&gt;0,$K243=""),"ENTER KNOWN POSITIVITY RATE",ROUND($N243*$K243,0)))</f>
        <v/>
      </c>
      <c r="P243" s="39" t="str">
        <f aca="false">IF(SUM($N243)=0,"",IF(AND((SUM($N243)-SUM($O243))&gt;0,$M243=""),"ENTER YIELD RATE",ROUND(($N243-SUM($O243))*$M243,0)))</f>
        <v/>
      </c>
      <c r="Q243" s="39" t="str">
        <f aca="false">IF(SUM($N243)=0,"",$N243-SUM($O243)-SUM($P243))</f>
        <v/>
      </c>
      <c r="R243" s="88" t="str">
        <f aca="false">IF(SUM($P243)=0,"",INDEX(Cascade!$BG:$BG,MATCH($E243,Cascade!$E:$E,0)))</f>
        <v/>
      </c>
      <c r="S243" s="39" t="str">
        <f aca="false">$O243</f>
        <v/>
      </c>
      <c r="T243" s="39" t="str">
        <f aca="false">IF(SUM($P243)=0,"",IF(AND($R243="",SUM($P243)&gt;0),"&lt;- Enter Linkage Rate",ROUND($P243*$R243,0)))</f>
        <v/>
      </c>
      <c r="U243" s="10" t="str">
        <f aca="false">IFERROR(1/(1/INDEX(Cascade!$BH:$BH,MATCH($E243,Cascade!$E:$E,0))),"")</f>
        <v/>
      </c>
      <c r="V243" s="10" t="str">
        <f aca="false">IF(SUM($P243)=0,"",$P243)</f>
        <v/>
      </c>
      <c r="W243" s="10" t="str">
        <f aca="false">IFERROR(1/(1/INDEX(PMTCT!$AC:$AC,MATCH($E243,PMTCT!$E:$E,0))),"")</f>
        <v/>
      </c>
      <c r="X243" s="10" t="str">
        <f aca="false">IFERROR(1/(1/INDEX(PMTCT!$AS:$AS,MATCH($E243,PMTCT!$E:$E,0))),"")</f>
        <v/>
      </c>
      <c r="Y243" s="10" t="str">
        <f aca="false">IFERROR(1/(1/INDEX(VMMC!$AA:$AA,MATCH($E243,VMMC!$E:$E,0))),"")</f>
        <v/>
      </c>
      <c r="Z243" s="10" t="str">
        <f aca="false">IFERROR(1/(1/(SUM($U243)-SUM($V243:$Y243))),"")</f>
        <v/>
      </c>
    </row>
    <row r="244" customFormat="false" ht="15" hidden="false" customHeight="false" outlineLevel="0" collapsed="false">
      <c r="A244" s="0" t="str">
        <f aca="false">INDEX(Prioritization!$D:$D,MATCH($B244,Prioritization!$A:$A,0))</f>
        <v>1 - Scale-up: Saturation</v>
      </c>
      <c r="B244" s="0" t="s">
        <v>213</v>
      </c>
      <c r="C244" s="0" t="s">
        <v>363</v>
      </c>
      <c r="D244" s="0" t="s">
        <v>48</v>
      </c>
      <c r="E244" s="0" t="str">
        <f aca="false">B244&amp;"|"&amp;C244&amp;"|"&amp;D244</f>
        <v>Chiradzulu District [oiPR2CiVJbf]|01-09|Male</v>
      </c>
      <c r="F244" s="10"/>
      <c r="G244" s="88" t="n">
        <f aca="false">0</f>
        <v>0</v>
      </c>
      <c r="H244" s="39" t="str">
        <f aca="false">IF(SUM($F244)=0,"",ROUND($F244*(1+$G244),0))</f>
        <v/>
      </c>
      <c r="I244" s="10"/>
      <c r="J244" s="88"/>
      <c r="K244" s="88" t="str">
        <f aca="false">IF($J244="","",$J244)</f>
        <v/>
      </c>
      <c r="L244" s="88"/>
      <c r="M244" s="88" t="str">
        <f aca="false">IF($L244="","",$L244)</f>
        <v/>
      </c>
      <c r="N244" s="10" t="str">
        <f aca="false">$H244</f>
        <v/>
      </c>
      <c r="O244" s="39" t="str">
        <f aca="false">IF(SUM($N244)=0,"",IF(AND(SUM($N244)&gt;0,$K244=""),"ENTER KNOWN POSITIVITY RATE",ROUND($N244*$K244,0)))</f>
        <v/>
      </c>
      <c r="P244" s="39" t="str">
        <f aca="false">IF(SUM($N244)=0,"",IF(AND((SUM($N244)-SUM($O244))&gt;0,$M244=""),"ENTER YIELD RATE",ROUND(($N244-SUM($O244))*$M244,0)))</f>
        <v/>
      </c>
      <c r="Q244" s="39" t="str">
        <f aca="false">IF(SUM($N244)=0,"",$N244-SUM($O244)-SUM($P244))</f>
        <v/>
      </c>
      <c r="R244" s="88" t="str">
        <f aca="false">IF(SUM($P244)=0,"",INDEX(Cascade!$BG:$BG,MATCH($E244,Cascade!$E:$E,0)))</f>
        <v/>
      </c>
      <c r="S244" s="39" t="str">
        <f aca="false">$O244</f>
        <v/>
      </c>
      <c r="T244" s="39" t="str">
        <f aca="false">IF(SUM($P244)=0,"",IF(AND($R244="",SUM($P244)&gt;0),"&lt;- Enter Linkage Rate",ROUND($P244*$R244,0)))</f>
        <v/>
      </c>
      <c r="U244" s="10" t="str">
        <f aca="false">IFERROR(1/(1/INDEX(Cascade!$BH:$BH,MATCH($E244,Cascade!$E:$E,0))),"")</f>
        <v/>
      </c>
      <c r="V244" s="10" t="str">
        <f aca="false">IF(SUM($P244)=0,"",$P244)</f>
        <v/>
      </c>
      <c r="W244" s="10" t="str">
        <f aca="false">IFERROR(1/(1/INDEX(PMTCT!$AC:$AC,MATCH($E244,PMTCT!$E:$E,0))),"")</f>
        <v/>
      </c>
      <c r="X244" s="10" t="str">
        <f aca="false">IFERROR(1/(1/INDEX(PMTCT!$AS:$AS,MATCH($E244,PMTCT!$E:$E,0))),"")</f>
        <v/>
      </c>
      <c r="Y244" s="10" t="str">
        <f aca="false">IFERROR(1/(1/INDEX(VMMC!$AA:$AA,MATCH($E244,VMMC!$E:$E,0))),"")</f>
        <v/>
      </c>
      <c r="Z244" s="10" t="str">
        <f aca="false">IFERROR(1/(1/(SUM($U244)-SUM($V244:$Y244))),"")</f>
        <v/>
      </c>
    </row>
    <row r="245" customFormat="false" ht="15" hidden="false" customHeight="false" outlineLevel="0" collapsed="false">
      <c r="A245" s="0" t="str">
        <f aca="false">INDEX(Prioritization!$D:$D,MATCH($B245,Prioritization!$A:$A,0))</f>
        <v>1 - Scale-up: Saturation</v>
      </c>
      <c r="B245" s="0" t="s">
        <v>213</v>
      </c>
      <c r="C245" s="0" t="s">
        <v>364</v>
      </c>
      <c r="D245" s="0" t="s">
        <v>30</v>
      </c>
      <c r="E245" s="0" t="str">
        <f aca="false">B245&amp;"|"&amp;C245&amp;"|"&amp;D245</f>
        <v>Chiradzulu District [oiPR2CiVJbf]|10-14|Female</v>
      </c>
      <c r="F245" s="10" t="n">
        <v>0</v>
      </c>
      <c r="G245" s="88" t="n">
        <f aca="false">0</f>
        <v>0</v>
      </c>
      <c r="H245" s="39" t="str">
        <f aca="false">IF(SUM($F245)=0,"",ROUND($F245*(1+$G245),0))</f>
        <v/>
      </c>
      <c r="I245" s="10"/>
      <c r="J245" s="88"/>
      <c r="K245" s="88" t="str">
        <f aca="false">IF($J245="","",$J245)</f>
        <v/>
      </c>
      <c r="L245" s="88"/>
      <c r="M245" s="88" t="str">
        <f aca="false">IF($L245="","",$L245)</f>
        <v/>
      </c>
      <c r="N245" s="10" t="str">
        <f aca="false">$H245</f>
        <v/>
      </c>
      <c r="O245" s="39" t="str">
        <f aca="false">IF(SUM($N245)=0,"",IF(AND(SUM($N245)&gt;0,$K245=""),"ENTER KNOWN POSITIVITY RATE",ROUND($N245*$K245,0)))</f>
        <v/>
      </c>
      <c r="P245" s="39" t="str">
        <f aca="false">IF(SUM($N245)=0,"",IF(AND((SUM($N245)-SUM($O245))&gt;0,$M245=""),"ENTER YIELD RATE",ROUND(($N245-SUM($O245))*$M245,0)))</f>
        <v/>
      </c>
      <c r="Q245" s="39" t="str">
        <f aca="false">IF(SUM($N245)=0,"",$N245-SUM($O245)-SUM($P245))</f>
        <v/>
      </c>
      <c r="R245" s="88" t="str">
        <f aca="false">IF(SUM($P245)=0,"",INDEX(Cascade!$BG:$BG,MATCH($E245,Cascade!$E:$E,0)))</f>
        <v/>
      </c>
      <c r="S245" s="39" t="str">
        <f aca="false">$O245</f>
        <v/>
      </c>
      <c r="T245" s="39" t="str">
        <f aca="false">IF(SUM($P245)=0,"",IF(AND($R245="",SUM($P245)&gt;0),"&lt;- Enter Linkage Rate",ROUND($P245*$R245,0)))</f>
        <v/>
      </c>
      <c r="U245" s="10" t="n">
        <f aca="false">IFERROR(1/(1/INDEX(Cascade!$BH:$BH,MATCH($E245,Cascade!$E:$E,0))),"")</f>
        <v>-26</v>
      </c>
      <c r="V245" s="10" t="str">
        <f aca="false">IF(SUM($P245)=0,"",$P245)</f>
        <v/>
      </c>
      <c r="W245" s="10" t="str">
        <f aca="false">IFERROR(1/(1/INDEX(PMTCT!$AC:$AC,MATCH($E245,PMTCT!$E:$E,0))),"")</f>
        <v/>
      </c>
      <c r="X245" s="10" t="str">
        <f aca="false">IFERROR(1/(1/INDEX(PMTCT!$AS:$AS,MATCH($E245,PMTCT!$E:$E,0))),"")</f>
        <v/>
      </c>
      <c r="Y245" s="10" t="str">
        <f aca="false">IFERROR(1/(1/INDEX(VMMC!$AA:$AA,MATCH($E245,VMMC!$E:$E,0))),"")</f>
        <v/>
      </c>
      <c r="Z245" s="10" t="n">
        <f aca="false">IFERROR(1/(1/(SUM($U245)-SUM($V245:$Y245))),"")</f>
        <v>-26</v>
      </c>
    </row>
    <row r="246" customFormat="false" ht="15" hidden="false" customHeight="false" outlineLevel="0" collapsed="false">
      <c r="A246" s="0" t="str">
        <f aca="false">INDEX(Prioritization!$D:$D,MATCH($B246,Prioritization!$A:$A,0))</f>
        <v>1 - Scale-up: Saturation</v>
      </c>
      <c r="B246" s="0" t="s">
        <v>213</v>
      </c>
      <c r="C246" s="0" t="s">
        <v>364</v>
      </c>
      <c r="D246" s="0" t="s">
        <v>48</v>
      </c>
      <c r="E246" s="0" t="str">
        <f aca="false">B246&amp;"|"&amp;C246&amp;"|"&amp;D246</f>
        <v>Chiradzulu District [oiPR2CiVJbf]|10-14|Male</v>
      </c>
      <c r="F246" s="10" t="n">
        <v>0</v>
      </c>
      <c r="G246" s="88" t="n">
        <f aca="false">0</f>
        <v>0</v>
      </c>
      <c r="H246" s="39" t="str">
        <f aca="false">IF(SUM($F246)=0,"",ROUND($F246*(1+$G246),0))</f>
        <v/>
      </c>
      <c r="I246" s="10"/>
      <c r="J246" s="88"/>
      <c r="K246" s="88" t="str">
        <f aca="false">IF($J246="","",$J246)</f>
        <v/>
      </c>
      <c r="L246" s="88"/>
      <c r="M246" s="88" t="str">
        <f aca="false">IF($L246="","",$L246)</f>
        <v/>
      </c>
      <c r="N246" s="10" t="str">
        <f aca="false">$H246</f>
        <v/>
      </c>
      <c r="O246" s="39" t="str">
        <f aca="false">IF(SUM($N246)=0,"",IF(AND(SUM($N246)&gt;0,$K246=""),"ENTER KNOWN POSITIVITY RATE",ROUND($N246*$K246,0)))</f>
        <v/>
      </c>
      <c r="P246" s="39" t="str">
        <f aca="false">IF(SUM($N246)=0,"",IF(AND((SUM($N246)-SUM($O246))&gt;0,$M246=""),"ENTER YIELD RATE",ROUND(($N246-SUM($O246))*$M246,0)))</f>
        <v/>
      </c>
      <c r="Q246" s="39" t="str">
        <f aca="false">IF(SUM($N246)=0,"",$N246-SUM($O246)-SUM($P246))</f>
        <v/>
      </c>
      <c r="R246" s="88" t="str">
        <f aca="false">IF(SUM($P246)=0,"",INDEX(Cascade!$BG:$BG,MATCH($E246,Cascade!$E:$E,0)))</f>
        <v/>
      </c>
      <c r="S246" s="39" t="str">
        <f aca="false">$O246</f>
        <v/>
      </c>
      <c r="T246" s="39" t="str">
        <f aca="false">IF(SUM($P246)=0,"",IF(AND($R246="",SUM($P246)&gt;0),"&lt;- Enter Linkage Rate",ROUND($P246*$R246,0)))</f>
        <v/>
      </c>
      <c r="U246" s="10" t="n">
        <f aca="false">IFERROR(1/(1/INDEX(Cascade!$BH:$BH,MATCH($E246,Cascade!$E:$E,0))),"")</f>
        <v>-49</v>
      </c>
      <c r="V246" s="10" t="str">
        <f aca="false">IF(SUM($P246)=0,"",$P246)</f>
        <v/>
      </c>
      <c r="W246" s="10" t="str">
        <f aca="false">IFERROR(1/(1/INDEX(PMTCT!$AC:$AC,MATCH($E246,PMTCT!$E:$E,0))),"")</f>
        <v/>
      </c>
      <c r="X246" s="10" t="str">
        <f aca="false">IFERROR(1/(1/INDEX(PMTCT!$AS:$AS,MATCH($E246,PMTCT!$E:$E,0))),"")</f>
        <v/>
      </c>
      <c r="Y246" s="10" t="str">
        <f aca="false">IFERROR(1/(1/INDEX(VMMC!$AA:$AA,MATCH($E246,VMMC!$E:$E,0))),"")</f>
        <v/>
      </c>
      <c r="Z246" s="10" t="n">
        <f aca="false">IFERROR(1/(1/(SUM($U246)-SUM($V246:$Y246))),"")</f>
        <v>-49</v>
      </c>
    </row>
    <row r="247" customFormat="false" ht="15" hidden="false" customHeight="false" outlineLevel="0" collapsed="false">
      <c r="A247" s="0" t="str">
        <f aca="false">INDEX(Prioritization!$D:$D,MATCH($B247,Prioritization!$A:$A,0))</f>
        <v>1 - Scale-up: Saturation</v>
      </c>
      <c r="B247" s="0" t="s">
        <v>213</v>
      </c>
      <c r="C247" s="0" t="s">
        <v>365</v>
      </c>
      <c r="D247" s="0" t="s">
        <v>30</v>
      </c>
      <c r="E247" s="0" t="str">
        <f aca="false">B247&amp;"|"&amp;C247&amp;"|"&amp;D247</f>
        <v>Chiradzulu District [oiPR2CiVJbf]|15-24|Female</v>
      </c>
      <c r="F247" s="10"/>
      <c r="G247" s="88" t="n">
        <f aca="false">0</f>
        <v>0</v>
      </c>
      <c r="H247" s="39" t="str">
        <f aca="false">IF(SUM($F247)=0,"",ROUND($F247*(1+$G247),0))</f>
        <v/>
      </c>
      <c r="I247" s="10"/>
      <c r="J247" s="88"/>
      <c r="K247" s="88" t="str">
        <f aca="false">IF($J247="","",$J247)</f>
        <v/>
      </c>
      <c r="L247" s="88"/>
      <c r="M247" s="88" t="str">
        <f aca="false">IF($L247="","",$L247)</f>
        <v/>
      </c>
      <c r="N247" s="10" t="str">
        <f aca="false">$H247</f>
        <v/>
      </c>
      <c r="O247" s="39" t="str">
        <f aca="false">IF(SUM($N247)=0,"",IF(AND(SUM($N247)&gt;0,$K247=""),"ENTER KNOWN POSITIVITY RATE",ROUND($N247*$K247,0)))</f>
        <v/>
      </c>
      <c r="P247" s="39" t="str">
        <f aca="false">IF(SUM($N247)=0,"",IF(AND((SUM($N247)-SUM($O247))&gt;0,$M247=""),"ENTER YIELD RATE",ROUND(($N247-SUM($O247))*$M247,0)))</f>
        <v/>
      </c>
      <c r="Q247" s="39" t="str">
        <f aca="false">IF(SUM($N247)=0,"",$N247-SUM($O247)-SUM($P247))</f>
        <v/>
      </c>
      <c r="R247" s="88" t="str">
        <f aca="false">IF(SUM($P247)=0,"",INDEX(Cascade!$BG:$BG,MATCH($E247,Cascade!$E:$E,0)))</f>
        <v/>
      </c>
      <c r="S247" s="39" t="str">
        <f aca="false">$O247</f>
        <v/>
      </c>
      <c r="T247" s="39" t="str">
        <f aca="false">IF(SUM($P247)=0,"",IF(AND($R247="",SUM($P247)&gt;0),"&lt;- Enter Linkage Rate",ROUND($P247*$R247,0)))</f>
        <v/>
      </c>
      <c r="U247" s="10" t="str">
        <f aca="false">IFERROR(1/(1/INDEX(Cascade!$BH:$BH,MATCH($E247,Cascade!$E:$E,0))),"")</f>
        <v/>
      </c>
      <c r="V247" s="10" t="str">
        <f aca="false">IF(SUM($P247)=0,"",$P247)</f>
        <v/>
      </c>
      <c r="W247" s="10" t="str">
        <f aca="false">IFERROR(1/(1/INDEX(PMTCT!$AC:$AC,MATCH($E247,PMTCT!$E:$E,0))),"")</f>
        <v/>
      </c>
      <c r="X247" s="10" t="str">
        <f aca="false">IFERROR(1/(1/INDEX(PMTCT!$AS:$AS,MATCH($E247,PMTCT!$E:$E,0))),"")</f>
        <v/>
      </c>
      <c r="Y247" s="10" t="str">
        <f aca="false">IFERROR(1/(1/INDEX(VMMC!$AA:$AA,MATCH($E247,VMMC!$E:$E,0))),"")</f>
        <v/>
      </c>
      <c r="Z247" s="10" t="str">
        <f aca="false">IFERROR(1/(1/(SUM($U247)-SUM($V247:$Y247))),"")</f>
        <v/>
      </c>
    </row>
    <row r="248" customFormat="false" ht="15" hidden="false" customHeight="false" outlineLevel="0" collapsed="false">
      <c r="A248" s="0" t="str">
        <f aca="false">INDEX(Prioritization!$D:$D,MATCH($B248,Prioritization!$A:$A,0))</f>
        <v>1 - Scale-up: Saturation</v>
      </c>
      <c r="B248" s="0" t="s">
        <v>213</v>
      </c>
      <c r="C248" s="0" t="s">
        <v>365</v>
      </c>
      <c r="D248" s="0" t="s">
        <v>48</v>
      </c>
      <c r="E248" s="0" t="str">
        <f aca="false">B248&amp;"|"&amp;C248&amp;"|"&amp;D248</f>
        <v>Chiradzulu District [oiPR2CiVJbf]|15-24|Male</v>
      </c>
      <c r="F248" s="10"/>
      <c r="G248" s="88" t="n">
        <f aca="false">0</f>
        <v>0</v>
      </c>
      <c r="H248" s="39" t="str">
        <f aca="false">IF(SUM($F248)=0,"",ROUND($F248*(1+$G248),0))</f>
        <v/>
      </c>
      <c r="I248" s="10"/>
      <c r="J248" s="88"/>
      <c r="K248" s="88" t="str">
        <f aca="false">IF($J248="","",$J248)</f>
        <v/>
      </c>
      <c r="L248" s="88"/>
      <c r="M248" s="88" t="str">
        <f aca="false">IF($L248="","",$L248)</f>
        <v/>
      </c>
      <c r="N248" s="10" t="str">
        <f aca="false">$H248</f>
        <v/>
      </c>
      <c r="O248" s="39" t="str">
        <f aca="false">IF(SUM($N248)=0,"",IF(AND(SUM($N248)&gt;0,$K248=""),"ENTER KNOWN POSITIVITY RATE",ROUND($N248*$K248,0)))</f>
        <v/>
      </c>
      <c r="P248" s="39" t="str">
        <f aca="false">IF(SUM($N248)=0,"",IF(AND((SUM($N248)-SUM($O248))&gt;0,$M248=""),"ENTER YIELD RATE",ROUND(($N248-SUM($O248))*$M248,0)))</f>
        <v/>
      </c>
      <c r="Q248" s="39" t="str">
        <f aca="false">IF(SUM($N248)=0,"",$N248-SUM($O248)-SUM($P248))</f>
        <v/>
      </c>
      <c r="R248" s="88" t="str">
        <f aca="false">IF(SUM($P248)=0,"",INDEX(Cascade!$BG:$BG,MATCH($E248,Cascade!$E:$E,0)))</f>
        <v/>
      </c>
      <c r="S248" s="39" t="str">
        <f aca="false">$O248</f>
        <v/>
      </c>
      <c r="T248" s="39" t="str">
        <f aca="false">IF(SUM($P248)=0,"",IF(AND($R248="",SUM($P248)&gt;0),"&lt;- Enter Linkage Rate",ROUND($P248*$R248,0)))</f>
        <v/>
      </c>
      <c r="U248" s="10" t="str">
        <f aca="false">IFERROR(1/(1/INDEX(Cascade!$BH:$BH,MATCH($E248,Cascade!$E:$E,0))),"")</f>
        <v/>
      </c>
      <c r="V248" s="10" t="str">
        <f aca="false">IF(SUM($P248)=0,"",$P248)</f>
        <v/>
      </c>
      <c r="W248" s="10" t="str">
        <f aca="false">IFERROR(1/(1/INDEX(PMTCT!$AC:$AC,MATCH($E248,PMTCT!$E:$E,0))),"")</f>
        <v/>
      </c>
      <c r="X248" s="10" t="str">
        <f aca="false">IFERROR(1/(1/INDEX(PMTCT!$AS:$AS,MATCH($E248,PMTCT!$E:$E,0))),"")</f>
        <v/>
      </c>
      <c r="Y248" s="10" t="str">
        <f aca="false">IFERROR(1/(1/INDEX(VMMC!$AA:$AA,MATCH($E248,VMMC!$E:$E,0))),"")</f>
        <v/>
      </c>
      <c r="Z248" s="10" t="str">
        <f aca="false">IFERROR(1/(1/(SUM($U248)-SUM($V248:$Y248))),"")</f>
        <v/>
      </c>
    </row>
    <row r="249" customFormat="false" ht="15" hidden="false" customHeight="false" outlineLevel="0" collapsed="false">
      <c r="A249" s="0" t="str">
        <f aca="false">INDEX(Prioritization!$D:$D,MATCH($B249,Prioritization!$A:$A,0))</f>
        <v>1 - Scale-up: Saturation</v>
      </c>
      <c r="B249" s="0" t="s">
        <v>213</v>
      </c>
      <c r="C249" s="0" t="s">
        <v>366</v>
      </c>
      <c r="D249" s="0" t="s">
        <v>30</v>
      </c>
      <c r="E249" s="0" t="str">
        <f aca="false">B249&amp;"|"&amp;C249&amp;"|"&amp;D249</f>
        <v>Chiradzulu District [oiPR2CiVJbf]|25-34|Female</v>
      </c>
      <c r="F249" s="10"/>
      <c r="G249" s="88" t="n">
        <f aca="false">0</f>
        <v>0</v>
      </c>
      <c r="H249" s="39" t="str">
        <f aca="false">IF(SUM($F249)=0,"",ROUND($F249*(1+$G249),0))</f>
        <v/>
      </c>
      <c r="I249" s="10"/>
      <c r="J249" s="88"/>
      <c r="K249" s="88" t="str">
        <f aca="false">IF($J249="","",$J249)</f>
        <v/>
      </c>
      <c r="L249" s="88"/>
      <c r="M249" s="88" t="str">
        <f aca="false">IF($L249="","",$L249)</f>
        <v/>
      </c>
      <c r="N249" s="10" t="str">
        <f aca="false">$H249</f>
        <v/>
      </c>
      <c r="O249" s="39" t="str">
        <f aca="false">IF(SUM($N249)=0,"",IF(AND(SUM($N249)&gt;0,$K249=""),"ENTER KNOWN POSITIVITY RATE",ROUND($N249*$K249,0)))</f>
        <v/>
      </c>
      <c r="P249" s="39" t="str">
        <f aca="false">IF(SUM($N249)=0,"",IF(AND((SUM($N249)-SUM($O249))&gt;0,$M249=""),"ENTER YIELD RATE",ROUND(($N249-SUM($O249))*$M249,0)))</f>
        <v/>
      </c>
      <c r="Q249" s="39" t="str">
        <f aca="false">IF(SUM($N249)=0,"",$N249-SUM($O249)-SUM($P249))</f>
        <v/>
      </c>
      <c r="R249" s="88" t="str">
        <f aca="false">IF(SUM($P249)=0,"",INDEX(Cascade!$BG:$BG,MATCH($E249,Cascade!$E:$E,0)))</f>
        <v/>
      </c>
      <c r="S249" s="39" t="str">
        <f aca="false">$O249</f>
        <v/>
      </c>
      <c r="T249" s="39" t="str">
        <f aca="false">IF(SUM($P249)=0,"",IF(AND($R249="",SUM($P249)&gt;0),"&lt;- Enter Linkage Rate",ROUND($P249*$R249,0)))</f>
        <v/>
      </c>
      <c r="U249" s="10" t="str">
        <f aca="false">IFERROR(1/(1/INDEX(Cascade!$BH:$BH,MATCH($E249,Cascade!$E:$E,0))),"")</f>
        <v/>
      </c>
      <c r="V249" s="10" t="str">
        <f aca="false">IF(SUM($P249)=0,"",$P249)</f>
        <v/>
      </c>
      <c r="W249" s="10" t="str">
        <f aca="false">IFERROR(1/(1/INDEX(PMTCT!$AC:$AC,MATCH($E249,PMTCT!$E:$E,0))),"")</f>
        <v/>
      </c>
      <c r="X249" s="10" t="str">
        <f aca="false">IFERROR(1/(1/INDEX(PMTCT!$AS:$AS,MATCH($E249,PMTCT!$E:$E,0))),"")</f>
        <v/>
      </c>
      <c r="Y249" s="10" t="str">
        <f aca="false">IFERROR(1/(1/INDEX(VMMC!$AA:$AA,MATCH($E249,VMMC!$E:$E,0))),"")</f>
        <v/>
      </c>
      <c r="Z249" s="10" t="str">
        <f aca="false">IFERROR(1/(1/(SUM($U249)-SUM($V249:$Y249))),"")</f>
        <v/>
      </c>
    </row>
    <row r="250" customFormat="false" ht="15" hidden="false" customHeight="false" outlineLevel="0" collapsed="false">
      <c r="A250" s="0" t="str">
        <f aca="false">INDEX(Prioritization!$D:$D,MATCH($B250,Prioritization!$A:$A,0))</f>
        <v>1 - Scale-up: Saturation</v>
      </c>
      <c r="B250" s="0" t="s">
        <v>213</v>
      </c>
      <c r="C250" s="0" t="s">
        <v>366</v>
      </c>
      <c r="D250" s="0" t="s">
        <v>48</v>
      </c>
      <c r="E250" s="0" t="str">
        <f aca="false">B250&amp;"|"&amp;C250&amp;"|"&amp;D250</f>
        <v>Chiradzulu District [oiPR2CiVJbf]|25-34|Male</v>
      </c>
      <c r="F250" s="10"/>
      <c r="G250" s="88" t="n">
        <f aca="false">0</f>
        <v>0</v>
      </c>
      <c r="H250" s="39" t="str">
        <f aca="false">IF(SUM($F250)=0,"",ROUND($F250*(1+$G250),0))</f>
        <v/>
      </c>
      <c r="I250" s="10"/>
      <c r="J250" s="88"/>
      <c r="K250" s="88" t="str">
        <f aca="false">IF($J250="","",$J250)</f>
        <v/>
      </c>
      <c r="L250" s="88"/>
      <c r="M250" s="88" t="str">
        <f aca="false">IF($L250="","",$L250)</f>
        <v/>
      </c>
      <c r="N250" s="10" t="str">
        <f aca="false">$H250</f>
        <v/>
      </c>
      <c r="O250" s="39" t="str">
        <f aca="false">IF(SUM($N250)=0,"",IF(AND(SUM($N250)&gt;0,$K250=""),"ENTER KNOWN POSITIVITY RATE",ROUND($N250*$K250,0)))</f>
        <v/>
      </c>
      <c r="P250" s="39" t="str">
        <f aca="false">IF(SUM($N250)=0,"",IF(AND((SUM($N250)-SUM($O250))&gt;0,$M250=""),"ENTER YIELD RATE",ROUND(($N250-SUM($O250))*$M250,0)))</f>
        <v/>
      </c>
      <c r="Q250" s="39" t="str">
        <f aca="false">IF(SUM($N250)=0,"",$N250-SUM($O250)-SUM($P250))</f>
        <v/>
      </c>
      <c r="R250" s="88" t="str">
        <f aca="false">IF(SUM($P250)=0,"",INDEX(Cascade!$BG:$BG,MATCH($E250,Cascade!$E:$E,0)))</f>
        <v/>
      </c>
      <c r="S250" s="39" t="str">
        <f aca="false">$O250</f>
        <v/>
      </c>
      <c r="T250" s="39" t="str">
        <f aca="false">IF(SUM($P250)=0,"",IF(AND($R250="",SUM($P250)&gt;0),"&lt;- Enter Linkage Rate",ROUND($P250*$R250,0)))</f>
        <v/>
      </c>
      <c r="U250" s="10" t="str">
        <f aca="false">IFERROR(1/(1/INDEX(Cascade!$BH:$BH,MATCH($E250,Cascade!$E:$E,0))),"")</f>
        <v/>
      </c>
      <c r="V250" s="10" t="str">
        <f aca="false">IF(SUM($P250)=0,"",$P250)</f>
        <v/>
      </c>
      <c r="W250" s="10" t="str">
        <f aca="false">IFERROR(1/(1/INDEX(PMTCT!$AC:$AC,MATCH($E250,PMTCT!$E:$E,0))),"")</f>
        <v/>
      </c>
      <c r="X250" s="10" t="str">
        <f aca="false">IFERROR(1/(1/INDEX(PMTCT!$AS:$AS,MATCH($E250,PMTCT!$E:$E,0))),"")</f>
        <v/>
      </c>
      <c r="Y250" s="10" t="str">
        <f aca="false">IFERROR(1/(1/INDEX(VMMC!$AA:$AA,MATCH($E250,VMMC!$E:$E,0))),"")</f>
        <v/>
      </c>
      <c r="Z250" s="10" t="str">
        <f aca="false">IFERROR(1/(1/(SUM($U250)-SUM($V250:$Y250))),"")</f>
        <v/>
      </c>
    </row>
    <row r="251" customFormat="false" ht="15" hidden="false" customHeight="false" outlineLevel="0" collapsed="false">
      <c r="A251" s="0" t="str">
        <f aca="false">INDEX(Prioritization!$D:$D,MATCH($B251,Prioritization!$A:$A,0))</f>
        <v>1 - Scale-up: Saturation</v>
      </c>
      <c r="B251" s="0" t="s">
        <v>213</v>
      </c>
      <c r="C251" s="0" t="s">
        <v>367</v>
      </c>
      <c r="D251" s="0" t="s">
        <v>30</v>
      </c>
      <c r="E251" s="0" t="str">
        <f aca="false">B251&amp;"|"&amp;C251&amp;"|"&amp;D251</f>
        <v>Chiradzulu District [oiPR2CiVJbf]|35-49|Female</v>
      </c>
      <c r="F251" s="10"/>
      <c r="G251" s="88" t="n">
        <f aca="false">0</f>
        <v>0</v>
      </c>
      <c r="H251" s="39" t="str">
        <f aca="false">IF(SUM($F251)=0,"",ROUND($F251*(1+$G251),0))</f>
        <v/>
      </c>
      <c r="I251" s="10"/>
      <c r="J251" s="88"/>
      <c r="K251" s="88" t="str">
        <f aca="false">IF($J251="","",$J251)</f>
        <v/>
      </c>
      <c r="L251" s="88"/>
      <c r="M251" s="88" t="str">
        <f aca="false">IF($L251="","",$L251)</f>
        <v/>
      </c>
      <c r="N251" s="10" t="str">
        <f aca="false">$H251</f>
        <v/>
      </c>
      <c r="O251" s="39" t="str">
        <f aca="false">IF(SUM($N251)=0,"",IF(AND(SUM($N251)&gt;0,$K251=""),"ENTER KNOWN POSITIVITY RATE",ROUND($N251*$K251,0)))</f>
        <v/>
      </c>
      <c r="P251" s="39" t="str">
        <f aca="false">IF(SUM($N251)=0,"",IF(AND((SUM($N251)-SUM($O251))&gt;0,$M251=""),"ENTER YIELD RATE",ROUND(($N251-SUM($O251))*$M251,0)))</f>
        <v/>
      </c>
      <c r="Q251" s="39" t="str">
        <f aca="false">IF(SUM($N251)=0,"",$N251-SUM($O251)-SUM($P251))</f>
        <v/>
      </c>
      <c r="R251" s="88" t="str">
        <f aca="false">IF(SUM($P251)=0,"",INDEX(Cascade!$BG:$BG,MATCH($E251,Cascade!$E:$E,0)))</f>
        <v/>
      </c>
      <c r="S251" s="39" t="str">
        <f aca="false">$O251</f>
        <v/>
      </c>
      <c r="T251" s="39" t="str">
        <f aca="false">IF(SUM($P251)=0,"",IF(AND($R251="",SUM($P251)&gt;0),"&lt;- Enter Linkage Rate",ROUND($P251*$R251,0)))</f>
        <v/>
      </c>
      <c r="U251" s="10" t="str">
        <f aca="false">IFERROR(1/(1/INDEX(Cascade!$BH:$BH,MATCH($E251,Cascade!$E:$E,0))),"")</f>
        <v/>
      </c>
      <c r="V251" s="10" t="str">
        <f aca="false">IF(SUM($P251)=0,"",$P251)</f>
        <v/>
      </c>
      <c r="W251" s="10" t="str">
        <f aca="false">IFERROR(1/(1/INDEX(PMTCT!$AC:$AC,MATCH($E251,PMTCT!$E:$E,0))),"")</f>
        <v/>
      </c>
      <c r="X251" s="10" t="str">
        <f aca="false">IFERROR(1/(1/INDEX(PMTCT!$AS:$AS,MATCH($E251,PMTCT!$E:$E,0))),"")</f>
        <v/>
      </c>
      <c r="Y251" s="10" t="str">
        <f aca="false">IFERROR(1/(1/INDEX(VMMC!$AA:$AA,MATCH($E251,VMMC!$E:$E,0))),"")</f>
        <v/>
      </c>
      <c r="Z251" s="10" t="str">
        <f aca="false">IFERROR(1/(1/(SUM($U251)-SUM($V251:$Y251))),"")</f>
        <v/>
      </c>
    </row>
    <row r="252" customFormat="false" ht="15" hidden="false" customHeight="false" outlineLevel="0" collapsed="false">
      <c r="A252" s="0" t="str">
        <f aca="false">INDEX(Prioritization!$D:$D,MATCH($B252,Prioritization!$A:$A,0))</f>
        <v>1 - Scale-up: Saturation</v>
      </c>
      <c r="B252" s="0" t="s">
        <v>213</v>
      </c>
      <c r="C252" s="0" t="s">
        <v>367</v>
      </c>
      <c r="D252" s="0" t="s">
        <v>48</v>
      </c>
      <c r="E252" s="0" t="str">
        <f aca="false">B252&amp;"|"&amp;C252&amp;"|"&amp;D252</f>
        <v>Chiradzulu District [oiPR2CiVJbf]|35-49|Male</v>
      </c>
      <c r="F252" s="10"/>
      <c r="G252" s="88" t="n">
        <f aca="false">0</f>
        <v>0</v>
      </c>
      <c r="H252" s="39" t="str">
        <f aca="false">IF(SUM($F252)=0,"",ROUND($F252*(1+$G252),0))</f>
        <v/>
      </c>
      <c r="I252" s="10"/>
      <c r="J252" s="88"/>
      <c r="K252" s="88" t="str">
        <f aca="false">IF($J252="","",$J252)</f>
        <v/>
      </c>
      <c r="L252" s="88"/>
      <c r="M252" s="88" t="str">
        <f aca="false">IF($L252="","",$L252)</f>
        <v/>
      </c>
      <c r="N252" s="10" t="str">
        <f aca="false">$H252</f>
        <v/>
      </c>
      <c r="O252" s="39" t="str">
        <f aca="false">IF(SUM($N252)=0,"",IF(AND(SUM($N252)&gt;0,$K252=""),"ENTER KNOWN POSITIVITY RATE",ROUND($N252*$K252,0)))</f>
        <v/>
      </c>
      <c r="P252" s="39" t="str">
        <f aca="false">IF(SUM($N252)=0,"",IF(AND((SUM($N252)-SUM($O252))&gt;0,$M252=""),"ENTER YIELD RATE",ROUND(($N252-SUM($O252))*$M252,0)))</f>
        <v/>
      </c>
      <c r="Q252" s="39" t="str">
        <f aca="false">IF(SUM($N252)=0,"",$N252-SUM($O252)-SUM($P252))</f>
        <v/>
      </c>
      <c r="R252" s="88" t="str">
        <f aca="false">IF(SUM($P252)=0,"",INDEX(Cascade!$BG:$BG,MATCH($E252,Cascade!$E:$E,0)))</f>
        <v/>
      </c>
      <c r="S252" s="39" t="str">
        <f aca="false">$O252</f>
        <v/>
      </c>
      <c r="T252" s="39" t="str">
        <f aca="false">IF(SUM($P252)=0,"",IF(AND($R252="",SUM($P252)&gt;0),"&lt;- Enter Linkage Rate",ROUND($P252*$R252,0)))</f>
        <v/>
      </c>
      <c r="U252" s="10" t="str">
        <f aca="false">IFERROR(1/(1/INDEX(Cascade!$BH:$BH,MATCH($E252,Cascade!$E:$E,0))),"")</f>
        <v/>
      </c>
      <c r="V252" s="10" t="str">
        <f aca="false">IF(SUM($P252)=0,"",$P252)</f>
        <v/>
      </c>
      <c r="W252" s="10" t="str">
        <f aca="false">IFERROR(1/(1/INDEX(PMTCT!$AC:$AC,MATCH($E252,PMTCT!$E:$E,0))),"")</f>
        <v/>
      </c>
      <c r="X252" s="10" t="str">
        <f aca="false">IFERROR(1/(1/INDEX(PMTCT!$AS:$AS,MATCH($E252,PMTCT!$E:$E,0))),"")</f>
        <v/>
      </c>
      <c r="Y252" s="10" t="str">
        <f aca="false">IFERROR(1/(1/INDEX(VMMC!$AA:$AA,MATCH($E252,VMMC!$E:$E,0))),"")</f>
        <v/>
      </c>
      <c r="Z252" s="10" t="str">
        <f aca="false">IFERROR(1/(1/(SUM($U252)-SUM($V252:$Y252))),"")</f>
        <v/>
      </c>
    </row>
    <row r="253" customFormat="false" ht="15" hidden="false" customHeight="false" outlineLevel="0" collapsed="false">
      <c r="A253" s="0" t="str">
        <f aca="false">INDEX(Prioritization!$D:$D,MATCH($B253,Prioritization!$A:$A,0))</f>
        <v>1 - Scale-up: Saturation</v>
      </c>
      <c r="B253" s="0" t="s">
        <v>213</v>
      </c>
      <c r="C253" s="0" t="s">
        <v>368</v>
      </c>
      <c r="D253" s="0" t="s">
        <v>30</v>
      </c>
      <c r="E253" s="0" t="str">
        <f aca="false">B253&amp;"|"&amp;C253&amp;"|"&amp;D253</f>
        <v>Chiradzulu District [oiPR2CiVJbf]|50+|Female</v>
      </c>
      <c r="F253" s="10"/>
      <c r="G253" s="88" t="n">
        <f aca="false">0</f>
        <v>0</v>
      </c>
      <c r="H253" s="39" t="str">
        <f aca="false">IF(SUM($F253)=0,"",ROUND($F253*(1+$G253),0))</f>
        <v/>
      </c>
      <c r="I253" s="10"/>
      <c r="J253" s="88"/>
      <c r="K253" s="88" t="str">
        <f aca="false">IF($J253="","",$J253)</f>
        <v/>
      </c>
      <c r="L253" s="88"/>
      <c r="M253" s="88" t="str">
        <f aca="false">IF($L253="","",$L253)</f>
        <v/>
      </c>
      <c r="N253" s="10" t="str">
        <f aca="false">$H253</f>
        <v/>
      </c>
      <c r="O253" s="39" t="str">
        <f aca="false">IF(SUM($N253)=0,"",IF(AND(SUM($N253)&gt;0,$K253=""),"ENTER KNOWN POSITIVITY RATE",ROUND($N253*$K253,0)))</f>
        <v/>
      </c>
      <c r="P253" s="39" t="str">
        <f aca="false">IF(SUM($N253)=0,"",IF(AND((SUM($N253)-SUM($O253))&gt;0,$M253=""),"ENTER YIELD RATE",ROUND(($N253-SUM($O253))*$M253,0)))</f>
        <v/>
      </c>
      <c r="Q253" s="39" t="str">
        <f aca="false">IF(SUM($N253)=0,"",$N253-SUM($O253)-SUM($P253))</f>
        <v/>
      </c>
      <c r="R253" s="88" t="str">
        <f aca="false">IF(SUM($P253)=0,"",INDEX(Cascade!$BG:$BG,MATCH($E253,Cascade!$E:$E,0)))</f>
        <v/>
      </c>
      <c r="S253" s="39" t="str">
        <f aca="false">$O253</f>
        <v/>
      </c>
      <c r="T253" s="39" t="str">
        <f aca="false">IF(SUM($P253)=0,"",IF(AND($R253="",SUM($P253)&gt;0),"&lt;- Enter Linkage Rate",ROUND($P253*$R253,0)))</f>
        <v/>
      </c>
      <c r="U253" s="10" t="str">
        <f aca="false">IFERROR(1/(1/INDEX(Cascade!$BH:$BH,MATCH($E253,Cascade!$E:$E,0))),"")</f>
        <v/>
      </c>
      <c r="V253" s="10" t="str">
        <f aca="false">IF(SUM($P253)=0,"",$P253)</f>
        <v/>
      </c>
      <c r="W253" s="10" t="str">
        <f aca="false">IFERROR(1/(1/INDEX(PMTCT!$AC:$AC,MATCH($E253,PMTCT!$E:$E,0))),"")</f>
        <v/>
      </c>
      <c r="X253" s="10" t="str">
        <f aca="false">IFERROR(1/(1/INDEX(PMTCT!$AS:$AS,MATCH($E253,PMTCT!$E:$E,0))),"")</f>
        <v/>
      </c>
      <c r="Y253" s="10" t="str">
        <f aca="false">IFERROR(1/(1/INDEX(VMMC!$AA:$AA,MATCH($E253,VMMC!$E:$E,0))),"")</f>
        <v/>
      </c>
      <c r="Z253" s="10" t="str">
        <f aca="false">IFERROR(1/(1/(SUM($U253)-SUM($V253:$Y253))),"")</f>
        <v/>
      </c>
    </row>
    <row r="254" customFormat="false" ht="15" hidden="false" customHeight="false" outlineLevel="0" collapsed="false">
      <c r="A254" s="0" t="str">
        <f aca="false">INDEX(Prioritization!$D:$D,MATCH($B254,Prioritization!$A:$A,0))</f>
        <v>1 - Scale-up: Saturation</v>
      </c>
      <c r="B254" s="0" t="s">
        <v>213</v>
      </c>
      <c r="C254" s="0" t="s">
        <v>368</v>
      </c>
      <c r="D254" s="0" t="s">
        <v>48</v>
      </c>
      <c r="E254" s="0" t="str">
        <f aca="false">B254&amp;"|"&amp;C254&amp;"|"&amp;D254</f>
        <v>Chiradzulu District [oiPR2CiVJbf]|50+|Male</v>
      </c>
      <c r="F254" s="10"/>
      <c r="G254" s="88" t="n">
        <f aca="false">0</f>
        <v>0</v>
      </c>
      <c r="H254" s="39" t="str">
        <f aca="false">IF(SUM($F254)=0,"",ROUND($F254*(1+$G254),0))</f>
        <v/>
      </c>
      <c r="I254" s="10"/>
      <c r="J254" s="88"/>
      <c r="K254" s="88" t="str">
        <f aca="false">IF($J254="","",$J254)</f>
        <v/>
      </c>
      <c r="L254" s="88"/>
      <c r="M254" s="88" t="str">
        <f aca="false">IF($L254="","",$L254)</f>
        <v/>
      </c>
      <c r="N254" s="10" t="str">
        <f aca="false">$H254</f>
        <v/>
      </c>
      <c r="O254" s="39" t="str">
        <f aca="false">IF(SUM($N254)=0,"",IF(AND(SUM($N254)&gt;0,$K254=""),"ENTER KNOWN POSITIVITY RATE",ROUND($N254*$K254,0)))</f>
        <v/>
      </c>
      <c r="P254" s="39" t="str">
        <f aca="false">IF(SUM($N254)=0,"",IF(AND((SUM($N254)-SUM($O254))&gt;0,$M254=""),"ENTER YIELD RATE",ROUND(($N254-SUM($O254))*$M254,0)))</f>
        <v/>
      </c>
      <c r="Q254" s="39" t="str">
        <f aca="false">IF(SUM($N254)=0,"",$N254-SUM($O254)-SUM($P254))</f>
        <v/>
      </c>
      <c r="R254" s="88" t="str">
        <f aca="false">IF(SUM($P254)=0,"",INDEX(Cascade!$BG:$BG,MATCH($E254,Cascade!$E:$E,0)))</f>
        <v/>
      </c>
      <c r="S254" s="39" t="str">
        <f aca="false">$O254</f>
        <v/>
      </c>
      <c r="T254" s="39" t="str">
        <f aca="false">IF(SUM($P254)=0,"",IF(AND($R254="",SUM($P254)&gt;0),"&lt;- Enter Linkage Rate",ROUND($P254*$R254,0)))</f>
        <v/>
      </c>
      <c r="U254" s="10" t="str">
        <f aca="false">IFERROR(1/(1/INDEX(Cascade!$BH:$BH,MATCH($E254,Cascade!$E:$E,0))),"")</f>
        <v/>
      </c>
      <c r="V254" s="10" t="str">
        <f aca="false">IF(SUM($P254)=0,"",$P254)</f>
        <v/>
      </c>
      <c r="W254" s="10" t="str">
        <f aca="false">IFERROR(1/(1/INDEX(PMTCT!$AC:$AC,MATCH($E254,PMTCT!$E:$E,0))),"")</f>
        <v/>
      </c>
      <c r="X254" s="10" t="str">
        <f aca="false">IFERROR(1/(1/INDEX(PMTCT!$AS:$AS,MATCH($E254,PMTCT!$E:$E,0))),"")</f>
        <v/>
      </c>
      <c r="Y254" s="10" t="str">
        <f aca="false">IFERROR(1/(1/INDEX(VMMC!$AA:$AA,MATCH($E254,VMMC!$E:$E,0))),"")</f>
        <v/>
      </c>
      <c r="Z254" s="10" t="str">
        <f aca="false">IFERROR(1/(1/(SUM($U254)-SUM($V254:$Y254))),"")</f>
        <v/>
      </c>
    </row>
    <row r="255" customFormat="false" ht="15" hidden="false" customHeight="false" outlineLevel="0" collapsed="false">
      <c r="A255" s="0" t="str">
        <f aca="false">INDEX(Prioritization!$D:$D,MATCH($B255,Prioritization!$A:$A,0))</f>
        <v>1 - Scale-up: Saturation</v>
      </c>
      <c r="B255" s="0" t="s">
        <v>214</v>
      </c>
      <c r="C255" s="0" t="s">
        <v>363</v>
      </c>
      <c r="D255" s="0" t="s">
        <v>30</v>
      </c>
      <c r="E255" s="0" t="str">
        <f aca="false">B255&amp;"|"&amp;C255&amp;"|"&amp;D255</f>
        <v>Machinga District [TYnMSwzko3z]|01-09|Female</v>
      </c>
      <c r="F255" s="10"/>
      <c r="G255" s="88" t="n">
        <f aca="false">0</f>
        <v>0</v>
      </c>
      <c r="H255" s="39" t="str">
        <f aca="false">IF(SUM($F255)=0,"",ROUND($F255*(1+$G255),0))</f>
        <v/>
      </c>
      <c r="I255" s="10"/>
      <c r="J255" s="88"/>
      <c r="K255" s="88" t="str">
        <f aca="false">IF($J255="","",$J255)</f>
        <v/>
      </c>
      <c r="L255" s="88"/>
      <c r="M255" s="88" t="str">
        <f aca="false">IF($L255="","",$L255)</f>
        <v/>
      </c>
      <c r="N255" s="10" t="str">
        <f aca="false">$H255</f>
        <v/>
      </c>
      <c r="O255" s="39" t="str">
        <f aca="false">IF(SUM($N255)=0,"",IF(AND(SUM($N255)&gt;0,$K255=""),"ENTER KNOWN POSITIVITY RATE",ROUND($N255*$K255,0)))</f>
        <v/>
      </c>
      <c r="P255" s="39" t="str">
        <f aca="false">IF(SUM($N255)=0,"",IF(AND((SUM($N255)-SUM($O255))&gt;0,$M255=""),"ENTER YIELD RATE",ROUND(($N255-SUM($O255))*$M255,0)))</f>
        <v/>
      </c>
      <c r="Q255" s="39" t="str">
        <f aca="false">IF(SUM($N255)=0,"",$N255-SUM($O255)-SUM($P255))</f>
        <v/>
      </c>
      <c r="R255" s="88" t="str">
        <f aca="false">IF(SUM($P255)=0,"",INDEX(Cascade!$BG:$BG,MATCH($E255,Cascade!$E:$E,0)))</f>
        <v/>
      </c>
      <c r="S255" s="39" t="str">
        <f aca="false">$O255</f>
        <v/>
      </c>
      <c r="T255" s="39" t="str">
        <f aca="false">IF(SUM($P255)=0,"",IF(AND($R255="",SUM($P255)&gt;0),"&lt;- Enter Linkage Rate",ROUND($P255*$R255,0)))</f>
        <v/>
      </c>
      <c r="U255" s="10" t="str">
        <f aca="false">IFERROR(1/(1/INDEX(Cascade!$BH:$BH,MATCH($E255,Cascade!$E:$E,0))),"")</f>
        <v/>
      </c>
      <c r="V255" s="10" t="str">
        <f aca="false">IF(SUM($P255)=0,"",$P255)</f>
        <v/>
      </c>
      <c r="W255" s="10" t="str">
        <f aca="false">IFERROR(1/(1/INDEX(PMTCT!$AC:$AC,MATCH($E255,PMTCT!$E:$E,0))),"")</f>
        <v/>
      </c>
      <c r="X255" s="10" t="str">
        <f aca="false">IFERROR(1/(1/INDEX(PMTCT!$AS:$AS,MATCH($E255,PMTCT!$E:$E,0))),"")</f>
        <v/>
      </c>
      <c r="Y255" s="10" t="str">
        <f aca="false">IFERROR(1/(1/INDEX(VMMC!$AA:$AA,MATCH($E255,VMMC!$E:$E,0))),"")</f>
        <v/>
      </c>
      <c r="Z255" s="10" t="str">
        <f aca="false">IFERROR(1/(1/(SUM($U255)-SUM($V255:$Y255))),"")</f>
        <v/>
      </c>
    </row>
    <row r="256" customFormat="false" ht="15" hidden="false" customHeight="false" outlineLevel="0" collapsed="false">
      <c r="A256" s="0" t="str">
        <f aca="false">INDEX(Prioritization!$D:$D,MATCH($B256,Prioritization!$A:$A,0))</f>
        <v>1 - Scale-up: Saturation</v>
      </c>
      <c r="B256" s="0" t="s">
        <v>214</v>
      </c>
      <c r="C256" s="0" t="s">
        <v>363</v>
      </c>
      <c r="D256" s="0" t="s">
        <v>48</v>
      </c>
      <c r="E256" s="0" t="str">
        <f aca="false">B256&amp;"|"&amp;C256&amp;"|"&amp;D256</f>
        <v>Machinga District [TYnMSwzko3z]|01-09|Male</v>
      </c>
      <c r="F256" s="10"/>
      <c r="G256" s="88" t="n">
        <f aca="false">0</f>
        <v>0</v>
      </c>
      <c r="H256" s="39" t="str">
        <f aca="false">IF(SUM($F256)=0,"",ROUND($F256*(1+$G256),0))</f>
        <v/>
      </c>
      <c r="I256" s="10"/>
      <c r="J256" s="88"/>
      <c r="K256" s="88" t="str">
        <f aca="false">IF($J256="","",$J256)</f>
        <v/>
      </c>
      <c r="L256" s="88"/>
      <c r="M256" s="88" t="str">
        <f aca="false">IF($L256="","",$L256)</f>
        <v/>
      </c>
      <c r="N256" s="10" t="str">
        <f aca="false">$H256</f>
        <v/>
      </c>
      <c r="O256" s="39" t="str">
        <f aca="false">IF(SUM($N256)=0,"",IF(AND(SUM($N256)&gt;0,$K256=""),"ENTER KNOWN POSITIVITY RATE",ROUND($N256*$K256,0)))</f>
        <v/>
      </c>
      <c r="P256" s="39" t="str">
        <f aca="false">IF(SUM($N256)=0,"",IF(AND((SUM($N256)-SUM($O256))&gt;0,$M256=""),"ENTER YIELD RATE",ROUND(($N256-SUM($O256))*$M256,0)))</f>
        <v/>
      </c>
      <c r="Q256" s="39" t="str">
        <f aca="false">IF(SUM($N256)=0,"",$N256-SUM($O256)-SUM($P256))</f>
        <v/>
      </c>
      <c r="R256" s="88" t="str">
        <f aca="false">IF(SUM($P256)=0,"",INDEX(Cascade!$BG:$BG,MATCH($E256,Cascade!$E:$E,0)))</f>
        <v/>
      </c>
      <c r="S256" s="39" t="str">
        <f aca="false">$O256</f>
        <v/>
      </c>
      <c r="T256" s="39" t="str">
        <f aca="false">IF(SUM($P256)=0,"",IF(AND($R256="",SUM($P256)&gt;0),"&lt;- Enter Linkage Rate",ROUND($P256*$R256,0)))</f>
        <v/>
      </c>
      <c r="U256" s="10" t="str">
        <f aca="false">IFERROR(1/(1/INDEX(Cascade!$BH:$BH,MATCH($E256,Cascade!$E:$E,0))),"")</f>
        <v/>
      </c>
      <c r="V256" s="10" t="str">
        <f aca="false">IF(SUM($P256)=0,"",$P256)</f>
        <v/>
      </c>
      <c r="W256" s="10" t="str">
        <f aca="false">IFERROR(1/(1/INDEX(PMTCT!$AC:$AC,MATCH($E256,PMTCT!$E:$E,0))),"")</f>
        <v/>
      </c>
      <c r="X256" s="10" t="str">
        <f aca="false">IFERROR(1/(1/INDEX(PMTCT!$AS:$AS,MATCH($E256,PMTCT!$E:$E,0))),"")</f>
        <v/>
      </c>
      <c r="Y256" s="10" t="str">
        <f aca="false">IFERROR(1/(1/INDEX(VMMC!$AA:$AA,MATCH($E256,VMMC!$E:$E,0))),"")</f>
        <v/>
      </c>
      <c r="Z256" s="10" t="str">
        <f aca="false">IFERROR(1/(1/(SUM($U256)-SUM($V256:$Y256))),"")</f>
        <v/>
      </c>
    </row>
    <row r="257" customFormat="false" ht="15" hidden="false" customHeight="false" outlineLevel="0" collapsed="false">
      <c r="A257" s="0" t="str">
        <f aca="false">INDEX(Prioritization!$D:$D,MATCH($B257,Prioritization!$A:$A,0))</f>
        <v>1 - Scale-up: Saturation</v>
      </c>
      <c r="B257" s="0" t="s">
        <v>214</v>
      </c>
      <c r="C257" s="0" t="s">
        <v>364</v>
      </c>
      <c r="D257" s="0" t="s">
        <v>30</v>
      </c>
      <c r="E257" s="0" t="str">
        <f aca="false">B257&amp;"|"&amp;C257&amp;"|"&amp;D257</f>
        <v>Machinga District [TYnMSwzko3z]|10-14|Female</v>
      </c>
      <c r="F257" s="10" t="n">
        <v>1</v>
      </c>
      <c r="G257" s="88" t="n">
        <f aca="false">0</f>
        <v>0</v>
      </c>
      <c r="H257" s="39" t="n">
        <f aca="false">IF(SUM($F257)=0,"",ROUND($F257*(1+$G257),0))</f>
        <v>1</v>
      </c>
      <c r="I257" s="10"/>
      <c r="J257" s="88"/>
      <c r="K257" s="88" t="str">
        <f aca="false">IF($J257="","",$J257)</f>
        <v/>
      </c>
      <c r="L257" s="88"/>
      <c r="M257" s="88" t="str">
        <f aca="false">IF($L257="","",$L257)</f>
        <v/>
      </c>
      <c r="N257" s="10" t="n">
        <f aca="false">$H257</f>
        <v>1</v>
      </c>
      <c r="O257" s="39" t="str">
        <f aca="false">IF(SUM($N257)=0,"",IF(AND(SUM($N257)&gt;0,$K257=""),"ENTER KNOWN POSITIVITY RATE",ROUND($N257*$K257,0)))</f>
        <v>ENTER KNOWN POSITIVITY RATE</v>
      </c>
      <c r="P257" s="39" t="str">
        <f aca="false">IF(SUM($N257)=0,"",IF(AND((SUM($N257)-SUM($O257))&gt;0,$M257=""),"ENTER YIELD RATE",ROUND(($N257-SUM($O257))*$M257,0)))</f>
        <v>ENTER YIELD RATE</v>
      </c>
      <c r="Q257" s="39" t="n">
        <f aca="false">IF(SUM($N257)=0,"",$N257-SUM($O257)-SUM($P257))</f>
        <v>1</v>
      </c>
      <c r="R257" s="88" t="str">
        <f aca="false">IF(SUM($P257)=0,"",INDEX(Cascade!$BG:$BG,MATCH($E257,Cascade!$E:$E,0)))</f>
        <v/>
      </c>
      <c r="S257" s="39" t="str">
        <f aca="false">$O257</f>
        <v>ENTER KNOWN POSITIVITY RATE</v>
      </c>
      <c r="T257" s="39" t="str">
        <f aca="false">IF(SUM($P257)=0,"",IF(AND($R257="",SUM($P257)&gt;0),"&lt;- Enter Linkage Rate",ROUND($P257*$R257,0)))</f>
        <v/>
      </c>
      <c r="U257" s="10" t="n">
        <f aca="false">IFERROR(1/(1/INDEX(Cascade!$BH:$BH,MATCH($E257,Cascade!$E:$E,0))),"")</f>
        <v>-87</v>
      </c>
      <c r="V257" s="10" t="str">
        <f aca="false">IF(SUM($P257)=0,"",$P257)</f>
        <v/>
      </c>
      <c r="W257" s="10" t="str">
        <f aca="false">IFERROR(1/(1/INDEX(PMTCT!$AC:$AC,MATCH($E257,PMTCT!$E:$E,0))),"")</f>
        <v/>
      </c>
      <c r="X257" s="10" t="str">
        <f aca="false">IFERROR(1/(1/INDEX(PMTCT!$AS:$AS,MATCH($E257,PMTCT!$E:$E,0))),"")</f>
        <v/>
      </c>
      <c r="Y257" s="10" t="str">
        <f aca="false">IFERROR(1/(1/INDEX(VMMC!$AA:$AA,MATCH($E257,VMMC!$E:$E,0))),"")</f>
        <v/>
      </c>
      <c r="Z257" s="10" t="n">
        <f aca="false">IFERROR(1/(1/(SUM($U257)-SUM($V257:$Y257))),"")</f>
        <v>-87</v>
      </c>
    </row>
    <row r="258" customFormat="false" ht="15" hidden="false" customHeight="false" outlineLevel="0" collapsed="false">
      <c r="A258" s="0" t="str">
        <f aca="false">INDEX(Prioritization!$D:$D,MATCH($B258,Prioritization!$A:$A,0))</f>
        <v>1 - Scale-up: Saturation</v>
      </c>
      <c r="B258" s="0" t="s">
        <v>214</v>
      </c>
      <c r="C258" s="0" t="s">
        <v>364</v>
      </c>
      <c r="D258" s="0" t="s">
        <v>48</v>
      </c>
      <c r="E258" s="0" t="str">
        <f aca="false">B258&amp;"|"&amp;C258&amp;"|"&amp;D258</f>
        <v>Machinga District [TYnMSwzko3z]|10-14|Male</v>
      </c>
      <c r="F258" s="10" t="n">
        <v>1</v>
      </c>
      <c r="G258" s="88" t="n">
        <f aca="false">0</f>
        <v>0</v>
      </c>
      <c r="H258" s="39" t="n">
        <f aca="false">IF(SUM($F258)=0,"",ROUND($F258*(1+$G258),0))</f>
        <v>1</v>
      </c>
      <c r="I258" s="10"/>
      <c r="J258" s="88"/>
      <c r="K258" s="88" t="str">
        <f aca="false">IF($J258="","",$J258)</f>
        <v/>
      </c>
      <c r="L258" s="88"/>
      <c r="M258" s="88" t="str">
        <f aca="false">IF($L258="","",$L258)</f>
        <v/>
      </c>
      <c r="N258" s="10" t="n">
        <f aca="false">$H258</f>
        <v>1</v>
      </c>
      <c r="O258" s="39" t="str">
        <f aca="false">IF(SUM($N258)=0,"",IF(AND(SUM($N258)&gt;0,$K258=""),"ENTER KNOWN POSITIVITY RATE",ROUND($N258*$K258,0)))</f>
        <v>ENTER KNOWN POSITIVITY RATE</v>
      </c>
      <c r="P258" s="39" t="str">
        <f aca="false">IF(SUM($N258)=0,"",IF(AND((SUM($N258)-SUM($O258))&gt;0,$M258=""),"ENTER YIELD RATE",ROUND(($N258-SUM($O258))*$M258,0)))</f>
        <v>ENTER YIELD RATE</v>
      </c>
      <c r="Q258" s="39" t="n">
        <f aca="false">IF(SUM($N258)=0,"",$N258-SUM($O258)-SUM($P258))</f>
        <v>1</v>
      </c>
      <c r="R258" s="88" t="str">
        <f aca="false">IF(SUM($P258)=0,"",INDEX(Cascade!$BG:$BG,MATCH($E258,Cascade!$E:$E,0)))</f>
        <v/>
      </c>
      <c r="S258" s="39" t="str">
        <f aca="false">$O258</f>
        <v>ENTER KNOWN POSITIVITY RATE</v>
      </c>
      <c r="T258" s="39" t="str">
        <f aca="false">IF(SUM($P258)=0,"",IF(AND($R258="",SUM($P258)&gt;0),"&lt;- Enter Linkage Rate",ROUND($P258*$R258,0)))</f>
        <v/>
      </c>
      <c r="U258" s="10" t="n">
        <f aca="false">IFERROR(1/(1/INDEX(Cascade!$BH:$BH,MATCH($E258,Cascade!$E:$E,0))),"")</f>
        <v>-55</v>
      </c>
      <c r="V258" s="10" t="str">
        <f aca="false">IF(SUM($P258)=0,"",$P258)</f>
        <v/>
      </c>
      <c r="W258" s="10" t="str">
        <f aca="false">IFERROR(1/(1/INDEX(PMTCT!$AC:$AC,MATCH($E258,PMTCT!$E:$E,0))),"")</f>
        <v/>
      </c>
      <c r="X258" s="10" t="str">
        <f aca="false">IFERROR(1/(1/INDEX(PMTCT!$AS:$AS,MATCH($E258,PMTCT!$E:$E,0))),"")</f>
        <v/>
      </c>
      <c r="Y258" s="10" t="str">
        <f aca="false">IFERROR(1/(1/INDEX(VMMC!$AA:$AA,MATCH($E258,VMMC!$E:$E,0))),"")</f>
        <v/>
      </c>
      <c r="Z258" s="10" t="n">
        <f aca="false">IFERROR(1/(1/(SUM($U258)-SUM($V258:$Y258))),"")</f>
        <v>-55</v>
      </c>
    </row>
    <row r="259" customFormat="false" ht="15" hidden="false" customHeight="false" outlineLevel="0" collapsed="false">
      <c r="A259" s="0" t="str">
        <f aca="false">INDEX(Prioritization!$D:$D,MATCH($B259,Prioritization!$A:$A,0))</f>
        <v>1 - Scale-up: Saturation</v>
      </c>
      <c r="B259" s="0" t="s">
        <v>214</v>
      </c>
      <c r="C259" s="0" t="s">
        <v>365</v>
      </c>
      <c r="D259" s="0" t="s">
        <v>30</v>
      </c>
      <c r="E259" s="0" t="str">
        <f aca="false">B259&amp;"|"&amp;C259&amp;"|"&amp;D259</f>
        <v>Machinga District [TYnMSwzko3z]|15-24|Female</v>
      </c>
      <c r="F259" s="10"/>
      <c r="G259" s="88" t="n">
        <f aca="false">0</f>
        <v>0</v>
      </c>
      <c r="H259" s="39" t="str">
        <f aca="false">IF(SUM($F259)=0,"",ROUND($F259*(1+$G259),0))</f>
        <v/>
      </c>
      <c r="I259" s="10"/>
      <c r="J259" s="88"/>
      <c r="K259" s="88" t="str">
        <f aca="false">IF($J259="","",$J259)</f>
        <v/>
      </c>
      <c r="L259" s="88"/>
      <c r="M259" s="88" t="str">
        <f aca="false">IF($L259="","",$L259)</f>
        <v/>
      </c>
      <c r="N259" s="10" t="str">
        <f aca="false">$H259</f>
        <v/>
      </c>
      <c r="O259" s="39" t="str">
        <f aca="false">IF(SUM($N259)=0,"",IF(AND(SUM($N259)&gt;0,$K259=""),"ENTER KNOWN POSITIVITY RATE",ROUND($N259*$K259,0)))</f>
        <v/>
      </c>
      <c r="P259" s="39" t="str">
        <f aca="false">IF(SUM($N259)=0,"",IF(AND((SUM($N259)-SUM($O259))&gt;0,$M259=""),"ENTER YIELD RATE",ROUND(($N259-SUM($O259))*$M259,0)))</f>
        <v/>
      </c>
      <c r="Q259" s="39" t="str">
        <f aca="false">IF(SUM($N259)=0,"",$N259-SUM($O259)-SUM($P259))</f>
        <v/>
      </c>
      <c r="R259" s="88" t="str">
        <f aca="false">IF(SUM($P259)=0,"",INDEX(Cascade!$BG:$BG,MATCH($E259,Cascade!$E:$E,0)))</f>
        <v/>
      </c>
      <c r="S259" s="39" t="str">
        <f aca="false">$O259</f>
        <v/>
      </c>
      <c r="T259" s="39" t="str">
        <f aca="false">IF(SUM($P259)=0,"",IF(AND($R259="",SUM($P259)&gt;0),"&lt;- Enter Linkage Rate",ROUND($P259*$R259,0)))</f>
        <v/>
      </c>
      <c r="U259" s="10" t="str">
        <f aca="false">IFERROR(1/(1/INDEX(Cascade!$BH:$BH,MATCH($E259,Cascade!$E:$E,0))),"")</f>
        <v/>
      </c>
      <c r="V259" s="10" t="str">
        <f aca="false">IF(SUM($P259)=0,"",$P259)</f>
        <v/>
      </c>
      <c r="W259" s="10" t="str">
        <f aca="false">IFERROR(1/(1/INDEX(PMTCT!$AC:$AC,MATCH($E259,PMTCT!$E:$E,0))),"")</f>
        <v/>
      </c>
      <c r="X259" s="10" t="str">
        <f aca="false">IFERROR(1/(1/INDEX(PMTCT!$AS:$AS,MATCH($E259,PMTCT!$E:$E,0))),"")</f>
        <v/>
      </c>
      <c r="Y259" s="10" t="str">
        <f aca="false">IFERROR(1/(1/INDEX(VMMC!$AA:$AA,MATCH($E259,VMMC!$E:$E,0))),"")</f>
        <v/>
      </c>
      <c r="Z259" s="10" t="str">
        <f aca="false">IFERROR(1/(1/(SUM($U259)-SUM($V259:$Y259))),"")</f>
        <v/>
      </c>
    </row>
    <row r="260" customFormat="false" ht="15" hidden="false" customHeight="false" outlineLevel="0" collapsed="false">
      <c r="A260" s="0" t="str">
        <f aca="false">INDEX(Prioritization!$D:$D,MATCH($B260,Prioritization!$A:$A,0))</f>
        <v>1 - Scale-up: Saturation</v>
      </c>
      <c r="B260" s="0" t="s">
        <v>214</v>
      </c>
      <c r="C260" s="0" t="s">
        <v>365</v>
      </c>
      <c r="D260" s="0" t="s">
        <v>48</v>
      </c>
      <c r="E260" s="0" t="str">
        <f aca="false">B260&amp;"|"&amp;C260&amp;"|"&amp;D260</f>
        <v>Machinga District [TYnMSwzko3z]|15-24|Male</v>
      </c>
      <c r="F260" s="10"/>
      <c r="G260" s="88" t="n">
        <f aca="false">0</f>
        <v>0</v>
      </c>
      <c r="H260" s="39" t="str">
        <f aca="false">IF(SUM($F260)=0,"",ROUND($F260*(1+$G260),0))</f>
        <v/>
      </c>
      <c r="I260" s="10"/>
      <c r="J260" s="88"/>
      <c r="K260" s="88" t="str">
        <f aca="false">IF($J260="","",$J260)</f>
        <v/>
      </c>
      <c r="L260" s="88"/>
      <c r="M260" s="88" t="str">
        <f aca="false">IF($L260="","",$L260)</f>
        <v/>
      </c>
      <c r="N260" s="10" t="str">
        <f aca="false">$H260</f>
        <v/>
      </c>
      <c r="O260" s="39" t="str">
        <f aca="false">IF(SUM($N260)=0,"",IF(AND(SUM($N260)&gt;0,$K260=""),"ENTER KNOWN POSITIVITY RATE",ROUND($N260*$K260,0)))</f>
        <v/>
      </c>
      <c r="P260" s="39" t="str">
        <f aca="false">IF(SUM($N260)=0,"",IF(AND((SUM($N260)-SUM($O260))&gt;0,$M260=""),"ENTER YIELD RATE",ROUND(($N260-SUM($O260))*$M260,0)))</f>
        <v/>
      </c>
      <c r="Q260" s="39" t="str">
        <f aca="false">IF(SUM($N260)=0,"",$N260-SUM($O260)-SUM($P260))</f>
        <v/>
      </c>
      <c r="R260" s="88" t="str">
        <f aca="false">IF(SUM($P260)=0,"",INDEX(Cascade!$BG:$BG,MATCH($E260,Cascade!$E:$E,0)))</f>
        <v/>
      </c>
      <c r="S260" s="39" t="str">
        <f aca="false">$O260</f>
        <v/>
      </c>
      <c r="T260" s="39" t="str">
        <f aca="false">IF(SUM($P260)=0,"",IF(AND($R260="",SUM($P260)&gt;0),"&lt;- Enter Linkage Rate",ROUND($P260*$R260,0)))</f>
        <v/>
      </c>
      <c r="U260" s="10" t="str">
        <f aca="false">IFERROR(1/(1/INDEX(Cascade!$BH:$BH,MATCH($E260,Cascade!$E:$E,0))),"")</f>
        <v/>
      </c>
      <c r="V260" s="10" t="str">
        <f aca="false">IF(SUM($P260)=0,"",$P260)</f>
        <v/>
      </c>
      <c r="W260" s="10" t="str">
        <f aca="false">IFERROR(1/(1/INDEX(PMTCT!$AC:$AC,MATCH($E260,PMTCT!$E:$E,0))),"")</f>
        <v/>
      </c>
      <c r="X260" s="10" t="str">
        <f aca="false">IFERROR(1/(1/INDEX(PMTCT!$AS:$AS,MATCH($E260,PMTCT!$E:$E,0))),"")</f>
        <v/>
      </c>
      <c r="Y260" s="10" t="str">
        <f aca="false">IFERROR(1/(1/INDEX(VMMC!$AA:$AA,MATCH($E260,VMMC!$E:$E,0))),"")</f>
        <v/>
      </c>
      <c r="Z260" s="10" t="str">
        <f aca="false">IFERROR(1/(1/(SUM($U260)-SUM($V260:$Y260))),"")</f>
        <v/>
      </c>
    </row>
    <row r="261" customFormat="false" ht="15" hidden="false" customHeight="false" outlineLevel="0" collapsed="false">
      <c r="A261" s="0" t="str">
        <f aca="false">INDEX(Prioritization!$D:$D,MATCH($B261,Prioritization!$A:$A,0))</f>
        <v>1 - Scale-up: Saturation</v>
      </c>
      <c r="B261" s="0" t="s">
        <v>214</v>
      </c>
      <c r="C261" s="0" t="s">
        <v>366</v>
      </c>
      <c r="D261" s="0" t="s">
        <v>30</v>
      </c>
      <c r="E261" s="0" t="str">
        <f aca="false">B261&amp;"|"&amp;C261&amp;"|"&amp;D261</f>
        <v>Machinga District [TYnMSwzko3z]|25-34|Female</v>
      </c>
      <c r="F261" s="10"/>
      <c r="G261" s="88" t="n">
        <f aca="false">0</f>
        <v>0</v>
      </c>
      <c r="H261" s="39" t="str">
        <f aca="false">IF(SUM($F261)=0,"",ROUND($F261*(1+$G261),0))</f>
        <v/>
      </c>
      <c r="I261" s="10"/>
      <c r="J261" s="88"/>
      <c r="K261" s="88" t="str">
        <f aca="false">IF($J261="","",$J261)</f>
        <v/>
      </c>
      <c r="L261" s="88"/>
      <c r="M261" s="88" t="str">
        <f aca="false">IF($L261="","",$L261)</f>
        <v/>
      </c>
      <c r="N261" s="10" t="str">
        <f aca="false">$H261</f>
        <v/>
      </c>
      <c r="O261" s="39" t="str">
        <f aca="false">IF(SUM($N261)=0,"",IF(AND(SUM($N261)&gt;0,$K261=""),"ENTER KNOWN POSITIVITY RATE",ROUND($N261*$K261,0)))</f>
        <v/>
      </c>
      <c r="P261" s="39" t="str">
        <f aca="false">IF(SUM($N261)=0,"",IF(AND((SUM($N261)-SUM($O261))&gt;0,$M261=""),"ENTER YIELD RATE",ROUND(($N261-SUM($O261))*$M261,0)))</f>
        <v/>
      </c>
      <c r="Q261" s="39" t="str">
        <f aca="false">IF(SUM($N261)=0,"",$N261-SUM($O261)-SUM($P261))</f>
        <v/>
      </c>
      <c r="R261" s="88" t="str">
        <f aca="false">IF(SUM($P261)=0,"",INDEX(Cascade!$BG:$BG,MATCH($E261,Cascade!$E:$E,0)))</f>
        <v/>
      </c>
      <c r="S261" s="39" t="str">
        <f aca="false">$O261</f>
        <v/>
      </c>
      <c r="T261" s="39" t="str">
        <f aca="false">IF(SUM($P261)=0,"",IF(AND($R261="",SUM($P261)&gt;0),"&lt;- Enter Linkage Rate",ROUND($P261*$R261,0)))</f>
        <v/>
      </c>
      <c r="U261" s="10" t="str">
        <f aca="false">IFERROR(1/(1/INDEX(Cascade!$BH:$BH,MATCH($E261,Cascade!$E:$E,0))),"")</f>
        <v/>
      </c>
      <c r="V261" s="10" t="str">
        <f aca="false">IF(SUM($P261)=0,"",$P261)</f>
        <v/>
      </c>
      <c r="W261" s="10" t="str">
        <f aca="false">IFERROR(1/(1/INDEX(PMTCT!$AC:$AC,MATCH($E261,PMTCT!$E:$E,0))),"")</f>
        <v/>
      </c>
      <c r="X261" s="10" t="str">
        <f aca="false">IFERROR(1/(1/INDEX(PMTCT!$AS:$AS,MATCH($E261,PMTCT!$E:$E,0))),"")</f>
        <v/>
      </c>
      <c r="Y261" s="10" t="str">
        <f aca="false">IFERROR(1/(1/INDEX(VMMC!$AA:$AA,MATCH($E261,VMMC!$E:$E,0))),"")</f>
        <v/>
      </c>
      <c r="Z261" s="10" t="str">
        <f aca="false">IFERROR(1/(1/(SUM($U261)-SUM($V261:$Y261))),"")</f>
        <v/>
      </c>
    </row>
    <row r="262" customFormat="false" ht="15" hidden="false" customHeight="false" outlineLevel="0" collapsed="false">
      <c r="A262" s="0" t="str">
        <f aca="false">INDEX(Prioritization!$D:$D,MATCH($B262,Prioritization!$A:$A,0))</f>
        <v>1 - Scale-up: Saturation</v>
      </c>
      <c r="B262" s="0" t="s">
        <v>214</v>
      </c>
      <c r="C262" s="0" t="s">
        <v>366</v>
      </c>
      <c r="D262" s="0" t="s">
        <v>48</v>
      </c>
      <c r="E262" s="0" t="str">
        <f aca="false">B262&amp;"|"&amp;C262&amp;"|"&amp;D262</f>
        <v>Machinga District [TYnMSwzko3z]|25-34|Male</v>
      </c>
      <c r="F262" s="10"/>
      <c r="G262" s="88" t="n">
        <f aca="false">0</f>
        <v>0</v>
      </c>
      <c r="H262" s="39" t="str">
        <f aca="false">IF(SUM($F262)=0,"",ROUND($F262*(1+$G262),0))</f>
        <v/>
      </c>
      <c r="I262" s="10"/>
      <c r="J262" s="88"/>
      <c r="K262" s="88" t="str">
        <f aca="false">IF($J262="","",$J262)</f>
        <v/>
      </c>
      <c r="L262" s="88"/>
      <c r="M262" s="88" t="str">
        <f aca="false">IF($L262="","",$L262)</f>
        <v/>
      </c>
      <c r="N262" s="10" t="str">
        <f aca="false">$H262</f>
        <v/>
      </c>
      <c r="O262" s="39" t="str">
        <f aca="false">IF(SUM($N262)=0,"",IF(AND(SUM($N262)&gt;0,$K262=""),"ENTER KNOWN POSITIVITY RATE",ROUND($N262*$K262,0)))</f>
        <v/>
      </c>
      <c r="P262" s="39" t="str">
        <f aca="false">IF(SUM($N262)=0,"",IF(AND((SUM($N262)-SUM($O262))&gt;0,$M262=""),"ENTER YIELD RATE",ROUND(($N262-SUM($O262))*$M262,0)))</f>
        <v/>
      </c>
      <c r="Q262" s="39" t="str">
        <f aca="false">IF(SUM($N262)=0,"",$N262-SUM($O262)-SUM($P262))</f>
        <v/>
      </c>
      <c r="R262" s="88" t="str">
        <f aca="false">IF(SUM($P262)=0,"",INDEX(Cascade!$BG:$BG,MATCH($E262,Cascade!$E:$E,0)))</f>
        <v/>
      </c>
      <c r="S262" s="39" t="str">
        <f aca="false">$O262</f>
        <v/>
      </c>
      <c r="T262" s="39" t="str">
        <f aca="false">IF(SUM($P262)=0,"",IF(AND($R262="",SUM($P262)&gt;0),"&lt;- Enter Linkage Rate",ROUND($P262*$R262,0)))</f>
        <v/>
      </c>
      <c r="U262" s="10" t="str">
        <f aca="false">IFERROR(1/(1/INDEX(Cascade!$BH:$BH,MATCH($E262,Cascade!$E:$E,0))),"")</f>
        <v/>
      </c>
      <c r="V262" s="10" t="str">
        <f aca="false">IF(SUM($P262)=0,"",$P262)</f>
        <v/>
      </c>
      <c r="W262" s="10" t="str">
        <f aca="false">IFERROR(1/(1/INDEX(PMTCT!$AC:$AC,MATCH($E262,PMTCT!$E:$E,0))),"")</f>
        <v/>
      </c>
      <c r="X262" s="10" t="str">
        <f aca="false">IFERROR(1/(1/INDEX(PMTCT!$AS:$AS,MATCH($E262,PMTCT!$E:$E,0))),"")</f>
        <v/>
      </c>
      <c r="Y262" s="10" t="str">
        <f aca="false">IFERROR(1/(1/INDEX(VMMC!$AA:$AA,MATCH($E262,VMMC!$E:$E,0))),"")</f>
        <v/>
      </c>
      <c r="Z262" s="10" t="str">
        <f aca="false">IFERROR(1/(1/(SUM($U262)-SUM($V262:$Y262))),"")</f>
        <v/>
      </c>
    </row>
    <row r="263" customFormat="false" ht="15" hidden="false" customHeight="false" outlineLevel="0" collapsed="false">
      <c r="A263" s="0" t="str">
        <f aca="false">INDEX(Prioritization!$D:$D,MATCH($B263,Prioritization!$A:$A,0))</f>
        <v>1 - Scale-up: Saturation</v>
      </c>
      <c r="B263" s="0" t="s">
        <v>214</v>
      </c>
      <c r="C263" s="0" t="s">
        <v>367</v>
      </c>
      <c r="D263" s="0" t="s">
        <v>30</v>
      </c>
      <c r="E263" s="0" t="str">
        <f aca="false">B263&amp;"|"&amp;C263&amp;"|"&amp;D263</f>
        <v>Machinga District [TYnMSwzko3z]|35-49|Female</v>
      </c>
      <c r="F263" s="10"/>
      <c r="G263" s="88" t="n">
        <f aca="false">0</f>
        <v>0</v>
      </c>
      <c r="H263" s="39" t="str">
        <f aca="false">IF(SUM($F263)=0,"",ROUND($F263*(1+$G263),0))</f>
        <v/>
      </c>
      <c r="I263" s="10"/>
      <c r="J263" s="88"/>
      <c r="K263" s="88" t="str">
        <f aca="false">IF($J263="","",$J263)</f>
        <v/>
      </c>
      <c r="L263" s="88"/>
      <c r="M263" s="88" t="str">
        <f aca="false">IF($L263="","",$L263)</f>
        <v/>
      </c>
      <c r="N263" s="10" t="str">
        <f aca="false">$H263</f>
        <v/>
      </c>
      <c r="O263" s="39" t="str">
        <f aca="false">IF(SUM($N263)=0,"",IF(AND(SUM($N263)&gt;0,$K263=""),"ENTER KNOWN POSITIVITY RATE",ROUND($N263*$K263,0)))</f>
        <v/>
      </c>
      <c r="P263" s="39" t="str">
        <f aca="false">IF(SUM($N263)=0,"",IF(AND((SUM($N263)-SUM($O263))&gt;0,$M263=""),"ENTER YIELD RATE",ROUND(($N263-SUM($O263))*$M263,0)))</f>
        <v/>
      </c>
      <c r="Q263" s="39" t="str">
        <f aca="false">IF(SUM($N263)=0,"",$N263-SUM($O263)-SUM($P263))</f>
        <v/>
      </c>
      <c r="R263" s="88" t="str">
        <f aca="false">IF(SUM($P263)=0,"",INDEX(Cascade!$BG:$BG,MATCH($E263,Cascade!$E:$E,0)))</f>
        <v/>
      </c>
      <c r="S263" s="39" t="str">
        <f aca="false">$O263</f>
        <v/>
      </c>
      <c r="T263" s="39" t="str">
        <f aca="false">IF(SUM($P263)=0,"",IF(AND($R263="",SUM($P263)&gt;0),"&lt;- Enter Linkage Rate",ROUND($P263*$R263,0)))</f>
        <v/>
      </c>
      <c r="U263" s="10" t="str">
        <f aca="false">IFERROR(1/(1/INDEX(Cascade!$BH:$BH,MATCH($E263,Cascade!$E:$E,0))),"")</f>
        <v/>
      </c>
      <c r="V263" s="10" t="str">
        <f aca="false">IF(SUM($P263)=0,"",$P263)</f>
        <v/>
      </c>
      <c r="W263" s="10" t="str">
        <f aca="false">IFERROR(1/(1/INDEX(PMTCT!$AC:$AC,MATCH($E263,PMTCT!$E:$E,0))),"")</f>
        <v/>
      </c>
      <c r="X263" s="10" t="str">
        <f aca="false">IFERROR(1/(1/INDEX(PMTCT!$AS:$AS,MATCH($E263,PMTCT!$E:$E,0))),"")</f>
        <v/>
      </c>
      <c r="Y263" s="10" t="str">
        <f aca="false">IFERROR(1/(1/INDEX(VMMC!$AA:$AA,MATCH($E263,VMMC!$E:$E,0))),"")</f>
        <v/>
      </c>
      <c r="Z263" s="10" t="str">
        <f aca="false">IFERROR(1/(1/(SUM($U263)-SUM($V263:$Y263))),"")</f>
        <v/>
      </c>
    </row>
    <row r="264" customFormat="false" ht="15" hidden="false" customHeight="false" outlineLevel="0" collapsed="false">
      <c r="A264" s="0" t="str">
        <f aca="false">INDEX(Prioritization!$D:$D,MATCH($B264,Prioritization!$A:$A,0))</f>
        <v>1 - Scale-up: Saturation</v>
      </c>
      <c r="B264" s="0" t="s">
        <v>214</v>
      </c>
      <c r="C264" s="0" t="s">
        <v>367</v>
      </c>
      <c r="D264" s="0" t="s">
        <v>48</v>
      </c>
      <c r="E264" s="0" t="str">
        <f aca="false">B264&amp;"|"&amp;C264&amp;"|"&amp;D264</f>
        <v>Machinga District [TYnMSwzko3z]|35-49|Male</v>
      </c>
      <c r="F264" s="10"/>
      <c r="G264" s="88" t="n">
        <f aca="false">0</f>
        <v>0</v>
      </c>
      <c r="H264" s="39" t="str">
        <f aca="false">IF(SUM($F264)=0,"",ROUND($F264*(1+$G264),0))</f>
        <v/>
      </c>
      <c r="I264" s="10"/>
      <c r="J264" s="88"/>
      <c r="K264" s="88" t="str">
        <f aca="false">IF($J264="","",$J264)</f>
        <v/>
      </c>
      <c r="L264" s="88"/>
      <c r="M264" s="88" t="str">
        <f aca="false">IF($L264="","",$L264)</f>
        <v/>
      </c>
      <c r="N264" s="10" t="str">
        <f aca="false">$H264</f>
        <v/>
      </c>
      <c r="O264" s="39" t="str">
        <f aca="false">IF(SUM($N264)=0,"",IF(AND(SUM($N264)&gt;0,$K264=""),"ENTER KNOWN POSITIVITY RATE",ROUND($N264*$K264,0)))</f>
        <v/>
      </c>
      <c r="P264" s="39" t="str">
        <f aca="false">IF(SUM($N264)=0,"",IF(AND((SUM($N264)-SUM($O264))&gt;0,$M264=""),"ENTER YIELD RATE",ROUND(($N264-SUM($O264))*$M264,0)))</f>
        <v/>
      </c>
      <c r="Q264" s="39" t="str">
        <f aca="false">IF(SUM($N264)=0,"",$N264-SUM($O264)-SUM($P264))</f>
        <v/>
      </c>
      <c r="R264" s="88" t="str">
        <f aca="false">IF(SUM($P264)=0,"",INDEX(Cascade!$BG:$BG,MATCH($E264,Cascade!$E:$E,0)))</f>
        <v/>
      </c>
      <c r="S264" s="39" t="str">
        <f aca="false">$O264</f>
        <v/>
      </c>
      <c r="T264" s="39" t="str">
        <f aca="false">IF(SUM($P264)=0,"",IF(AND($R264="",SUM($P264)&gt;0),"&lt;- Enter Linkage Rate",ROUND($P264*$R264,0)))</f>
        <v/>
      </c>
      <c r="U264" s="10" t="str">
        <f aca="false">IFERROR(1/(1/INDEX(Cascade!$BH:$BH,MATCH($E264,Cascade!$E:$E,0))),"")</f>
        <v/>
      </c>
      <c r="V264" s="10" t="str">
        <f aca="false">IF(SUM($P264)=0,"",$P264)</f>
        <v/>
      </c>
      <c r="W264" s="10" t="str">
        <f aca="false">IFERROR(1/(1/INDEX(PMTCT!$AC:$AC,MATCH($E264,PMTCT!$E:$E,0))),"")</f>
        <v/>
      </c>
      <c r="X264" s="10" t="str">
        <f aca="false">IFERROR(1/(1/INDEX(PMTCT!$AS:$AS,MATCH($E264,PMTCT!$E:$E,0))),"")</f>
        <v/>
      </c>
      <c r="Y264" s="10" t="str">
        <f aca="false">IFERROR(1/(1/INDEX(VMMC!$AA:$AA,MATCH($E264,VMMC!$E:$E,0))),"")</f>
        <v/>
      </c>
      <c r="Z264" s="10" t="str">
        <f aca="false">IFERROR(1/(1/(SUM($U264)-SUM($V264:$Y264))),"")</f>
        <v/>
      </c>
    </row>
    <row r="265" customFormat="false" ht="15" hidden="false" customHeight="false" outlineLevel="0" collapsed="false">
      <c r="A265" s="0" t="str">
        <f aca="false">INDEX(Prioritization!$D:$D,MATCH($B265,Prioritization!$A:$A,0))</f>
        <v>1 - Scale-up: Saturation</v>
      </c>
      <c r="B265" s="0" t="s">
        <v>214</v>
      </c>
      <c r="C265" s="0" t="s">
        <v>368</v>
      </c>
      <c r="D265" s="0" t="s">
        <v>30</v>
      </c>
      <c r="E265" s="0" t="str">
        <f aca="false">B265&amp;"|"&amp;C265&amp;"|"&amp;D265</f>
        <v>Machinga District [TYnMSwzko3z]|50+|Female</v>
      </c>
      <c r="F265" s="10"/>
      <c r="G265" s="88" t="n">
        <f aca="false">0</f>
        <v>0</v>
      </c>
      <c r="H265" s="39" t="str">
        <f aca="false">IF(SUM($F265)=0,"",ROUND($F265*(1+$G265),0))</f>
        <v/>
      </c>
      <c r="I265" s="10"/>
      <c r="J265" s="88"/>
      <c r="K265" s="88" t="str">
        <f aca="false">IF($J265="","",$J265)</f>
        <v/>
      </c>
      <c r="L265" s="88"/>
      <c r="M265" s="88" t="str">
        <f aca="false">IF($L265="","",$L265)</f>
        <v/>
      </c>
      <c r="N265" s="10" t="str">
        <f aca="false">$H265</f>
        <v/>
      </c>
      <c r="O265" s="39" t="str">
        <f aca="false">IF(SUM($N265)=0,"",IF(AND(SUM($N265)&gt;0,$K265=""),"ENTER KNOWN POSITIVITY RATE",ROUND($N265*$K265,0)))</f>
        <v/>
      </c>
      <c r="P265" s="39" t="str">
        <f aca="false">IF(SUM($N265)=0,"",IF(AND((SUM($N265)-SUM($O265))&gt;0,$M265=""),"ENTER YIELD RATE",ROUND(($N265-SUM($O265))*$M265,0)))</f>
        <v/>
      </c>
      <c r="Q265" s="39" t="str">
        <f aca="false">IF(SUM($N265)=0,"",$N265-SUM($O265)-SUM($P265))</f>
        <v/>
      </c>
      <c r="R265" s="88" t="str">
        <f aca="false">IF(SUM($P265)=0,"",INDEX(Cascade!$BG:$BG,MATCH($E265,Cascade!$E:$E,0)))</f>
        <v/>
      </c>
      <c r="S265" s="39" t="str">
        <f aca="false">$O265</f>
        <v/>
      </c>
      <c r="T265" s="39" t="str">
        <f aca="false">IF(SUM($P265)=0,"",IF(AND($R265="",SUM($P265)&gt;0),"&lt;- Enter Linkage Rate",ROUND($P265*$R265,0)))</f>
        <v/>
      </c>
      <c r="U265" s="10" t="str">
        <f aca="false">IFERROR(1/(1/INDEX(Cascade!$BH:$BH,MATCH($E265,Cascade!$E:$E,0))),"")</f>
        <v/>
      </c>
      <c r="V265" s="10" t="str">
        <f aca="false">IF(SUM($P265)=0,"",$P265)</f>
        <v/>
      </c>
      <c r="W265" s="10" t="str">
        <f aca="false">IFERROR(1/(1/INDEX(PMTCT!$AC:$AC,MATCH($E265,PMTCT!$E:$E,0))),"")</f>
        <v/>
      </c>
      <c r="X265" s="10" t="str">
        <f aca="false">IFERROR(1/(1/INDEX(PMTCT!$AS:$AS,MATCH($E265,PMTCT!$E:$E,0))),"")</f>
        <v/>
      </c>
      <c r="Y265" s="10" t="str">
        <f aca="false">IFERROR(1/(1/INDEX(VMMC!$AA:$AA,MATCH($E265,VMMC!$E:$E,0))),"")</f>
        <v/>
      </c>
      <c r="Z265" s="10" t="str">
        <f aca="false">IFERROR(1/(1/(SUM($U265)-SUM($V265:$Y265))),"")</f>
        <v/>
      </c>
    </row>
    <row r="266" customFormat="false" ht="15" hidden="false" customHeight="false" outlineLevel="0" collapsed="false">
      <c r="A266" s="0" t="str">
        <f aca="false">INDEX(Prioritization!$D:$D,MATCH($B266,Prioritization!$A:$A,0))</f>
        <v>1 - Scale-up: Saturation</v>
      </c>
      <c r="B266" s="0" t="s">
        <v>214</v>
      </c>
      <c r="C266" s="0" t="s">
        <v>368</v>
      </c>
      <c r="D266" s="0" t="s">
        <v>48</v>
      </c>
      <c r="E266" s="0" t="str">
        <f aca="false">B266&amp;"|"&amp;C266&amp;"|"&amp;D266</f>
        <v>Machinga District [TYnMSwzko3z]|50+|Male</v>
      </c>
      <c r="F266" s="10"/>
      <c r="G266" s="88" t="n">
        <f aca="false">0</f>
        <v>0</v>
      </c>
      <c r="H266" s="39" t="str">
        <f aca="false">IF(SUM($F266)=0,"",ROUND($F266*(1+$G266),0))</f>
        <v/>
      </c>
      <c r="I266" s="10"/>
      <c r="J266" s="88"/>
      <c r="K266" s="88" t="str">
        <f aca="false">IF($J266="","",$J266)</f>
        <v/>
      </c>
      <c r="L266" s="88"/>
      <c r="M266" s="88" t="str">
        <f aca="false">IF($L266="","",$L266)</f>
        <v/>
      </c>
      <c r="N266" s="10" t="str">
        <f aca="false">$H266</f>
        <v/>
      </c>
      <c r="O266" s="39" t="str">
        <f aca="false">IF(SUM($N266)=0,"",IF(AND(SUM($N266)&gt;0,$K266=""),"ENTER KNOWN POSITIVITY RATE",ROUND($N266*$K266,0)))</f>
        <v/>
      </c>
      <c r="P266" s="39" t="str">
        <f aca="false">IF(SUM($N266)=0,"",IF(AND((SUM($N266)-SUM($O266))&gt;0,$M266=""),"ENTER YIELD RATE",ROUND(($N266-SUM($O266))*$M266,0)))</f>
        <v/>
      </c>
      <c r="Q266" s="39" t="str">
        <f aca="false">IF(SUM($N266)=0,"",$N266-SUM($O266)-SUM($P266))</f>
        <v/>
      </c>
      <c r="R266" s="88" t="str">
        <f aca="false">IF(SUM($P266)=0,"",INDEX(Cascade!$BG:$BG,MATCH($E266,Cascade!$E:$E,0)))</f>
        <v/>
      </c>
      <c r="S266" s="39" t="str">
        <f aca="false">$O266</f>
        <v/>
      </c>
      <c r="T266" s="39" t="str">
        <f aca="false">IF(SUM($P266)=0,"",IF(AND($R266="",SUM($P266)&gt;0),"&lt;- Enter Linkage Rate",ROUND($P266*$R266,0)))</f>
        <v/>
      </c>
      <c r="U266" s="10" t="str">
        <f aca="false">IFERROR(1/(1/INDEX(Cascade!$BH:$BH,MATCH($E266,Cascade!$E:$E,0))),"")</f>
        <v/>
      </c>
      <c r="V266" s="10" t="str">
        <f aca="false">IF(SUM($P266)=0,"",$P266)</f>
        <v/>
      </c>
      <c r="W266" s="10" t="str">
        <f aca="false">IFERROR(1/(1/INDEX(PMTCT!$AC:$AC,MATCH($E266,PMTCT!$E:$E,0))),"")</f>
        <v/>
      </c>
      <c r="X266" s="10" t="str">
        <f aca="false">IFERROR(1/(1/INDEX(PMTCT!$AS:$AS,MATCH($E266,PMTCT!$E:$E,0))),"")</f>
        <v/>
      </c>
      <c r="Y266" s="10" t="str">
        <f aca="false">IFERROR(1/(1/INDEX(VMMC!$AA:$AA,MATCH($E266,VMMC!$E:$E,0))),"")</f>
        <v/>
      </c>
      <c r="Z266" s="10" t="str">
        <f aca="false">IFERROR(1/(1/(SUM($U266)-SUM($V266:$Y266))),"")</f>
        <v/>
      </c>
    </row>
    <row r="267" customFormat="false" ht="15" hidden="false" customHeight="false" outlineLevel="0" collapsed="false">
      <c r="A267" s="0" t="str">
        <f aca="false">INDEX(Prioritization!$D:$D,MATCH($B267,Prioritization!$A:$A,0))</f>
        <v>INVALID</v>
      </c>
      <c r="B267" s="0" t="s">
        <v>215</v>
      </c>
      <c r="C267" s="0" t="s">
        <v>363</v>
      </c>
      <c r="D267" s="0" t="s">
        <v>30</v>
      </c>
      <c r="E267" s="0" t="str">
        <f aca="false">B267&amp;"|"&amp;C267&amp;"|"&amp;D267</f>
        <v>Mangochi District [lLDyBx5XyUi]|01-09|Female</v>
      </c>
      <c r="F267" s="10"/>
      <c r="G267" s="88" t="n">
        <f aca="false">0</f>
        <v>0</v>
      </c>
      <c r="H267" s="39" t="str">
        <f aca="false">IF(SUM($F267)=0,"",ROUND($F267*(1+$G267),0))</f>
        <v/>
      </c>
      <c r="I267" s="10"/>
      <c r="J267" s="88"/>
      <c r="K267" s="88" t="str">
        <f aca="false">IF($J267="","",$J267)</f>
        <v/>
      </c>
      <c r="L267" s="88"/>
      <c r="M267" s="88" t="str">
        <f aca="false">IF($L267="","",$L267)</f>
        <v/>
      </c>
      <c r="N267" s="10" t="str">
        <f aca="false">$H267</f>
        <v/>
      </c>
      <c r="O267" s="39" t="str">
        <f aca="false">IF(SUM($N267)=0,"",IF(AND(SUM($N267)&gt;0,$K267=""),"ENTER KNOWN POSITIVITY RATE",ROUND($N267*$K267,0)))</f>
        <v/>
      </c>
      <c r="P267" s="39" t="str">
        <f aca="false">IF(SUM($N267)=0,"",IF(AND((SUM($N267)-SUM($O267))&gt;0,$M267=""),"ENTER YIELD RATE",ROUND(($N267-SUM($O267))*$M267,0)))</f>
        <v/>
      </c>
      <c r="Q267" s="39" t="str">
        <f aca="false">IF(SUM($N267)=0,"",$N267-SUM($O267)-SUM($P267))</f>
        <v/>
      </c>
      <c r="R267" s="88" t="str">
        <f aca="false">IF(SUM($P267)=0,"",INDEX(Cascade!$BG:$BG,MATCH($E267,Cascade!$E:$E,0)))</f>
        <v/>
      </c>
      <c r="S267" s="39" t="str">
        <f aca="false">$O267</f>
        <v/>
      </c>
      <c r="T267" s="39" t="str">
        <f aca="false">IF(SUM($P267)=0,"",IF(AND($R267="",SUM($P267)&gt;0),"&lt;- Enter Linkage Rate",ROUND($P267*$R267,0)))</f>
        <v/>
      </c>
      <c r="U267" s="10" t="str">
        <f aca="false">IFERROR(1/(1/INDEX(Cascade!$BH:$BH,MATCH($E267,Cascade!$E:$E,0))),"")</f>
        <v/>
      </c>
      <c r="V267" s="10" t="str">
        <f aca="false">IF(SUM($P267)=0,"",$P267)</f>
        <v/>
      </c>
      <c r="W267" s="10" t="str">
        <f aca="false">IFERROR(1/(1/INDEX(PMTCT!$AC:$AC,MATCH($E267,PMTCT!$E:$E,0))),"")</f>
        <v/>
      </c>
      <c r="X267" s="10" t="str">
        <f aca="false">IFERROR(1/(1/INDEX(PMTCT!$AS:$AS,MATCH($E267,PMTCT!$E:$E,0))),"")</f>
        <v/>
      </c>
      <c r="Y267" s="10" t="str">
        <f aca="false">IFERROR(1/(1/INDEX(VMMC!$AA:$AA,MATCH($E267,VMMC!$E:$E,0))),"")</f>
        <v/>
      </c>
      <c r="Z267" s="10" t="str">
        <f aca="false">IFERROR(1/(1/(SUM($U267)-SUM($V267:$Y267))),"")</f>
        <v/>
      </c>
    </row>
    <row r="268" customFormat="false" ht="15" hidden="false" customHeight="false" outlineLevel="0" collapsed="false">
      <c r="A268" s="0" t="str">
        <f aca="false">INDEX(Prioritization!$D:$D,MATCH($B268,Prioritization!$A:$A,0))</f>
        <v>INVALID</v>
      </c>
      <c r="B268" s="0" t="s">
        <v>215</v>
      </c>
      <c r="C268" s="0" t="s">
        <v>363</v>
      </c>
      <c r="D268" s="0" t="s">
        <v>48</v>
      </c>
      <c r="E268" s="0" t="str">
        <f aca="false">B268&amp;"|"&amp;C268&amp;"|"&amp;D268</f>
        <v>Mangochi District [lLDyBx5XyUi]|01-09|Male</v>
      </c>
      <c r="F268" s="10"/>
      <c r="G268" s="88" t="n">
        <f aca="false">0</f>
        <v>0</v>
      </c>
      <c r="H268" s="39" t="str">
        <f aca="false">IF(SUM($F268)=0,"",ROUND($F268*(1+$G268),0))</f>
        <v/>
      </c>
      <c r="I268" s="10"/>
      <c r="J268" s="88"/>
      <c r="K268" s="88" t="str">
        <f aca="false">IF($J268="","",$J268)</f>
        <v/>
      </c>
      <c r="L268" s="88"/>
      <c r="M268" s="88" t="str">
        <f aca="false">IF($L268="","",$L268)</f>
        <v/>
      </c>
      <c r="N268" s="10" t="str">
        <f aca="false">$H268</f>
        <v/>
      </c>
      <c r="O268" s="39" t="str">
        <f aca="false">IF(SUM($N268)=0,"",IF(AND(SUM($N268)&gt;0,$K268=""),"ENTER KNOWN POSITIVITY RATE",ROUND($N268*$K268,0)))</f>
        <v/>
      </c>
      <c r="P268" s="39" t="str">
        <f aca="false">IF(SUM($N268)=0,"",IF(AND((SUM($N268)-SUM($O268))&gt;0,$M268=""),"ENTER YIELD RATE",ROUND(($N268-SUM($O268))*$M268,0)))</f>
        <v/>
      </c>
      <c r="Q268" s="39" t="str">
        <f aca="false">IF(SUM($N268)=0,"",$N268-SUM($O268)-SUM($P268))</f>
        <v/>
      </c>
      <c r="R268" s="88" t="str">
        <f aca="false">IF(SUM($P268)=0,"",INDEX(Cascade!$BG:$BG,MATCH($E268,Cascade!$E:$E,0)))</f>
        <v/>
      </c>
      <c r="S268" s="39" t="str">
        <f aca="false">$O268</f>
        <v/>
      </c>
      <c r="T268" s="39" t="str">
        <f aca="false">IF(SUM($P268)=0,"",IF(AND($R268="",SUM($P268)&gt;0),"&lt;- Enter Linkage Rate",ROUND($P268*$R268,0)))</f>
        <v/>
      </c>
      <c r="U268" s="10" t="str">
        <f aca="false">IFERROR(1/(1/INDEX(Cascade!$BH:$BH,MATCH($E268,Cascade!$E:$E,0))),"")</f>
        <v/>
      </c>
      <c r="V268" s="10" t="str">
        <f aca="false">IF(SUM($P268)=0,"",$P268)</f>
        <v/>
      </c>
      <c r="W268" s="10" t="str">
        <f aca="false">IFERROR(1/(1/INDEX(PMTCT!$AC:$AC,MATCH($E268,PMTCT!$E:$E,0))),"")</f>
        <v/>
      </c>
      <c r="X268" s="10" t="str">
        <f aca="false">IFERROR(1/(1/INDEX(PMTCT!$AS:$AS,MATCH($E268,PMTCT!$E:$E,0))),"")</f>
        <v/>
      </c>
      <c r="Y268" s="10" t="str">
        <f aca="false">IFERROR(1/(1/INDEX(VMMC!$AA:$AA,MATCH($E268,VMMC!$E:$E,0))),"")</f>
        <v/>
      </c>
      <c r="Z268" s="10" t="str">
        <f aca="false">IFERROR(1/(1/(SUM($U268)-SUM($V268:$Y268))),"")</f>
        <v/>
      </c>
    </row>
    <row r="269" customFormat="false" ht="15" hidden="false" customHeight="false" outlineLevel="0" collapsed="false">
      <c r="A269" s="0" t="str">
        <f aca="false">INDEX(Prioritization!$D:$D,MATCH($B269,Prioritization!$A:$A,0))</f>
        <v>INVALID</v>
      </c>
      <c r="B269" s="0" t="s">
        <v>215</v>
      </c>
      <c r="C269" s="0" t="s">
        <v>364</v>
      </c>
      <c r="D269" s="0" t="s">
        <v>30</v>
      </c>
      <c r="E269" s="0" t="str">
        <f aca="false">B269&amp;"|"&amp;C269&amp;"|"&amp;D269</f>
        <v>Mangochi District [lLDyBx5XyUi]|10-14|Female</v>
      </c>
      <c r="F269" s="10" t="n">
        <v>7</v>
      </c>
      <c r="G269" s="88" t="n">
        <f aca="false">0</f>
        <v>0</v>
      </c>
      <c r="H269" s="39" t="n">
        <f aca="false">IF(SUM($F269)=0,"",ROUND($F269*(1+$G269),0))</f>
        <v>7</v>
      </c>
      <c r="I269" s="10"/>
      <c r="J269" s="88"/>
      <c r="K269" s="88" t="str">
        <f aca="false">IF($J269="","",$J269)</f>
        <v/>
      </c>
      <c r="L269" s="88"/>
      <c r="M269" s="88" t="str">
        <f aca="false">IF($L269="","",$L269)</f>
        <v/>
      </c>
      <c r="N269" s="10" t="n">
        <f aca="false">$H269</f>
        <v>7</v>
      </c>
      <c r="O269" s="39" t="str">
        <f aca="false">IF(SUM($N269)=0,"",IF(AND(SUM($N269)&gt;0,$K269=""),"ENTER KNOWN POSITIVITY RATE",ROUND($N269*$K269,0)))</f>
        <v>ENTER KNOWN POSITIVITY RATE</v>
      </c>
      <c r="P269" s="39" t="str">
        <f aca="false">IF(SUM($N269)=0,"",IF(AND((SUM($N269)-SUM($O269))&gt;0,$M269=""),"ENTER YIELD RATE",ROUND(($N269-SUM($O269))*$M269,0)))</f>
        <v>ENTER YIELD RATE</v>
      </c>
      <c r="Q269" s="39" t="n">
        <f aca="false">IF(SUM($N269)=0,"",$N269-SUM($O269)-SUM($P269))</f>
        <v>7</v>
      </c>
      <c r="R269" s="88" t="str">
        <f aca="false">IF(SUM($P269)=0,"",INDEX(Cascade!$BG:$BG,MATCH($E269,Cascade!$E:$E,0)))</f>
        <v/>
      </c>
      <c r="S269" s="39" t="str">
        <f aca="false">$O269</f>
        <v>ENTER KNOWN POSITIVITY RATE</v>
      </c>
      <c r="T269" s="39" t="str">
        <f aca="false">IF(SUM($P269)=0,"",IF(AND($R269="",SUM($P269)&gt;0),"&lt;- Enter Linkage Rate",ROUND($P269*$R269,0)))</f>
        <v/>
      </c>
      <c r="U269" s="10" t="n">
        <f aca="false">IFERROR(1/(1/INDEX(Cascade!$BH:$BH,MATCH($E269,Cascade!$E:$E,0))),"")</f>
        <v>-77</v>
      </c>
      <c r="V269" s="10" t="str">
        <f aca="false">IF(SUM($P269)=0,"",$P269)</f>
        <v/>
      </c>
      <c r="W269" s="10" t="n">
        <f aca="false">IFERROR(1/(1/INDEX(PMTCT!$AC:$AC,MATCH($E269,PMTCT!$E:$E,0))),"")</f>
        <v>4</v>
      </c>
      <c r="X269" s="10" t="str">
        <f aca="false">IFERROR(1/(1/INDEX(PMTCT!$AS:$AS,MATCH($E269,PMTCT!$E:$E,0))),"")</f>
        <v/>
      </c>
      <c r="Y269" s="10" t="str">
        <f aca="false">IFERROR(1/(1/INDEX(VMMC!$AA:$AA,MATCH($E269,VMMC!$E:$E,0))),"")</f>
        <v/>
      </c>
      <c r="Z269" s="10" t="n">
        <f aca="false">IFERROR(1/(1/(SUM($U269)-SUM($V269:$Y269))),"")</f>
        <v>-81</v>
      </c>
    </row>
    <row r="270" customFormat="false" ht="15" hidden="false" customHeight="false" outlineLevel="0" collapsed="false">
      <c r="A270" s="0" t="str">
        <f aca="false">INDEX(Prioritization!$D:$D,MATCH($B270,Prioritization!$A:$A,0))</f>
        <v>INVALID</v>
      </c>
      <c r="B270" s="0" t="s">
        <v>215</v>
      </c>
      <c r="C270" s="0" t="s">
        <v>364</v>
      </c>
      <c r="D270" s="0" t="s">
        <v>48</v>
      </c>
      <c r="E270" s="0" t="str">
        <f aca="false">B270&amp;"|"&amp;C270&amp;"|"&amp;D270</f>
        <v>Mangochi District [lLDyBx5XyUi]|10-14|Male</v>
      </c>
      <c r="F270" s="10" t="n">
        <v>6</v>
      </c>
      <c r="G270" s="88" t="n">
        <f aca="false">0</f>
        <v>0</v>
      </c>
      <c r="H270" s="39" t="n">
        <f aca="false">IF(SUM($F270)=0,"",ROUND($F270*(1+$G270),0))</f>
        <v>6</v>
      </c>
      <c r="I270" s="10"/>
      <c r="J270" s="88"/>
      <c r="K270" s="88" t="str">
        <f aca="false">IF($J270="","",$J270)</f>
        <v/>
      </c>
      <c r="L270" s="88"/>
      <c r="M270" s="88" t="str">
        <f aca="false">IF($L270="","",$L270)</f>
        <v/>
      </c>
      <c r="N270" s="10" t="n">
        <f aca="false">$H270</f>
        <v>6</v>
      </c>
      <c r="O270" s="39" t="str">
        <f aca="false">IF(SUM($N270)=0,"",IF(AND(SUM($N270)&gt;0,$K270=""),"ENTER KNOWN POSITIVITY RATE",ROUND($N270*$K270,0)))</f>
        <v>ENTER KNOWN POSITIVITY RATE</v>
      </c>
      <c r="P270" s="39" t="str">
        <f aca="false">IF(SUM($N270)=0,"",IF(AND((SUM($N270)-SUM($O270))&gt;0,$M270=""),"ENTER YIELD RATE",ROUND(($N270-SUM($O270))*$M270,0)))</f>
        <v>ENTER YIELD RATE</v>
      </c>
      <c r="Q270" s="39" t="n">
        <f aca="false">IF(SUM($N270)=0,"",$N270-SUM($O270)-SUM($P270))</f>
        <v>6</v>
      </c>
      <c r="R270" s="88" t="str">
        <f aca="false">IF(SUM($P270)=0,"",INDEX(Cascade!$BG:$BG,MATCH($E270,Cascade!$E:$E,0)))</f>
        <v/>
      </c>
      <c r="S270" s="39" t="str">
        <f aca="false">$O270</f>
        <v>ENTER KNOWN POSITIVITY RATE</v>
      </c>
      <c r="T270" s="39" t="str">
        <f aca="false">IF(SUM($P270)=0,"",IF(AND($R270="",SUM($P270)&gt;0),"&lt;- Enter Linkage Rate",ROUND($P270*$R270,0)))</f>
        <v/>
      </c>
      <c r="U270" s="10" t="n">
        <f aca="false">IFERROR(1/(1/INDEX(Cascade!$BH:$BH,MATCH($E270,Cascade!$E:$E,0))),"")</f>
        <v>-21</v>
      </c>
      <c r="V270" s="10" t="str">
        <f aca="false">IF(SUM($P270)=0,"",$P270)</f>
        <v/>
      </c>
      <c r="W270" s="10" t="str">
        <f aca="false">IFERROR(1/(1/INDEX(PMTCT!$AC:$AC,MATCH($E270,PMTCT!$E:$E,0))),"")</f>
        <v/>
      </c>
      <c r="X270" s="10" t="str">
        <f aca="false">IFERROR(1/(1/INDEX(PMTCT!$AS:$AS,MATCH($E270,PMTCT!$E:$E,0))),"")</f>
        <v/>
      </c>
      <c r="Y270" s="10" t="str">
        <f aca="false">IFERROR(1/(1/INDEX(VMMC!$AA:$AA,MATCH($E270,VMMC!$E:$E,0))),"")</f>
        <v/>
      </c>
      <c r="Z270" s="10" t="n">
        <f aca="false">IFERROR(1/(1/(SUM($U270)-SUM($V270:$Y270))),"")</f>
        <v>-21</v>
      </c>
    </row>
    <row r="271" customFormat="false" ht="15" hidden="false" customHeight="false" outlineLevel="0" collapsed="false">
      <c r="A271" s="0" t="str">
        <f aca="false">INDEX(Prioritization!$D:$D,MATCH($B271,Prioritization!$A:$A,0))</f>
        <v>INVALID</v>
      </c>
      <c r="B271" s="0" t="s">
        <v>215</v>
      </c>
      <c r="C271" s="0" t="s">
        <v>365</v>
      </c>
      <c r="D271" s="0" t="s">
        <v>30</v>
      </c>
      <c r="E271" s="0" t="str">
        <f aca="false">B271&amp;"|"&amp;C271&amp;"|"&amp;D271</f>
        <v>Mangochi District [lLDyBx5XyUi]|15-24|Female</v>
      </c>
      <c r="F271" s="10"/>
      <c r="G271" s="88" t="n">
        <f aca="false">0</f>
        <v>0</v>
      </c>
      <c r="H271" s="39" t="str">
        <f aca="false">IF(SUM($F271)=0,"",ROUND($F271*(1+$G271),0))</f>
        <v/>
      </c>
      <c r="I271" s="10"/>
      <c r="J271" s="88"/>
      <c r="K271" s="88" t="str">
        <f aca="false">IF($J271="","",$J271)</f>
        <v/>
      </c>
      <c r="L271" s="88"/>
      <c r="M271" s="88" t="str">
        <f aca="false">IF($L271="","",$L271)</f>
        <v/>
      </c>
      <c r="N271" s="10" t="str">
        <f aca="false">$H271</f>
        <v/>
      </c>
      <c r="O271" s="39" t="str">
        <f aca="false">IF(SUM($N271)=0,"",IF(AND(SUM($N271)&gt;0,$K271=""),"ENTER KNOWN POSITIVITY RATE",ROUND($N271*$K271,0)))</f>
        <v/>
      </c>
      <c r="P271" s="39" t="str">
        <f aca="false">IF(SUM($N271)=0,"",IF(AND((SUM($N271)-SUM($O271))&gt;0,$M271=""),"ENTER YIELD RATE",ROUND(($N271-SUM($O271))*$M271,0)))</f>
        <v/>
      </c>
      <c r="Q271" s="39" t="str">
        <f aca="false">IF(SUM($N271)=0,"",$N271-SUM($O271)-SUM($P271))</f>
        <v/>
      </c>
      <c r="R271" s="88" t="str">
        <f aca="false">IF(SUM($P271)=0,"",INDEX(Cascade!$BG:$BG,MATCH($E271,Cascade!$E:$E,0)))</f>
        <v/>
      </c>
      <c r="S271" s="39" t="str">
        <f aca="false">$O271</f>
        <v/>
      </c>
      <c r="T271" s="39" t="str">
        <f aca="false">IF(SUM($P271)=0,"",IF(AND($R271="",SUM($P271)&gt;0),"&lt;- Enter Linkage Rate",ROUND($P271*$R271,0)))</f>
        <v/>
      </c>
      <c r="U271" s="10" t="str">
        <f aca="false">IFERROR(1/(1/INDEX(Cascade!$BH:$BH,MATCH($E271,Cascade!$E:$E,0))),"")</f>
        <v/>
      </c>
      <c r="V271" s="10" t="str">
        <f aca="false">IF(SUM($P271)=0,"",$P271)</f>
        <v/>
      </c>
      <c r="W271" s="10" t="str">
        <f aca="false">IFERROR(1/(1/INDEX(PMTCT!$AC:$AC,MATCH($E271,PMTCT!$E:$E,0))),"")</f>
        <v/>
      </c>
      <c r="X271" s="10" t="str">
        <f aca="false">IFERROR(1/(1/INDEX(PMTCT!$AS:$AS,MATCH($E271,PMTCT!$E:$E,0))),"")</f>
        <v/>
      </c>
      <c r="Y271" s="10" t="str">
        <f aca="false">IFERROR(1/(1/INDEX(VMMC!$AA:$AA,MATCH($E271,VMMC!$E:$E,0))),"")</f>
        <v/>
      </c>
      <c r="Z271" s="10" t="str">
        <f aca="false">IFERROR(1/(1/(SUM($U271)-SUM($V271:$Y271))),"")</f>
        <v/>
      </c>
    </row>
    <row r="272" customFormat="false" ht="15" hidden="false" customHeight="false" outlineLevel="0" collapsed="false">
      <c r="A272" s="0" t="str">
        <f aca="false">INDEX(Prioritization!$D:$D,MATCH($B272,Prioritization!$A:$A,0))</f>
        <v>INVALID</v>
      </c>
      <c r="B272" s="0" t="s">
        <v>215</v>
      </c>
      <c r="C272" s="0" t="s">
        <v>365</v>
      </c>
      <c r="D272" s="0" t="s">
        <v>48</v>
      </c>
      <c r="E272" s="0" t="str">
        <f aca="false">B272&amp;"|"&amp;C272&amp;"|"&amp;D272</f>
        <v>Mangochi District [lLDyBx5XyUi]|15-24|Male</v>
      </c>
      <c r="F272" s="10"/>
      <c r="G272" s="88" t="n">
        <f aca="false">0</f>
        <v>0</v>
      </c>
      <c r="H272" s="39" t="str">
        <f aca="false">IF(SUM($F272)=0,"",ROUND($F272*(1+$G272),0))</f>
        <v/>
      </c>
      <c r="I272" s="10"/>
      <c r="J272" s="88"/>
      <c r="K272" s="88" t="str">
        <f aca="false">IF($J272="","",$J272)</f>
        <v/>
      </c>
      <c r="L272" s="88"/>
      <c r="M272" s="88" t="str">
        <f aca="false">IF($L272="","",$L272)</f>
        <v/>
      </c>
      <c r="N272" s="10" t="str">
        <f aca="false">$H272</f>
        <v/>
      </c>
      <c r="O272" s="39" t="str">
        <f aca="false">IF(SUM($N272)=0,"",IF(AND(SUM($N272)&gt;0,$K272=""),"ENTER KNOWN POSITIVITY RATE",ROUND($N272*$K272,0)))</f>
        <v/>
      </c>
      <c r="P272" s="39" t="str">
        <f aca="false">IF(SUM($N272)=0,"",IF(AND((SUM($N272)-SUM($O272))&gt;0,$M272=""),"ENTER YIELD RATE",ROUND(($N272-SUM($O272))*$M272,0)))</f>
        <v/>
      </c>
      <c r="Q272" s="39" t="str">
        <f aca="false">IF(SUM($N272)=0,"",$N272-SUM($O272)-SUM($P272))</f>
        <v/>
      </c>
      <c r="R272" s="88" t="str">
        <f aca="false">IF(SUM($P272)=0,"",INDEX(Cascade!$BG:$BG,MATCH($E272,Cascade!$E:$E,0)))</f>
        <v/>
      </c>
      <c r="S272" s="39" t="str">
        <f aca="false">$O272</f>
        <v/>
      </c>
      <c r="T272" s="39" t="str">
        <f aca="false">IF(SUM($P272)=0,"",IF(AND($R272="",SUM($P272)&gt;0),"&lt;- Enter Linkage Rate",ROUND($P272*$R272,0)))</f>
        <v/>
      </c>
      <c r="U272" s="10" t="str">
        <f aca="false">IFERROR(1/(1/INDEX(Cascade!$BH:$BH,MATCH($E272,Cascade!$E:$E,0))),"")</f>
        <v/>
      </c>
      <c r="V272" s="10" t="str">
        <f aca="false">IF(SUM($P272)=0,"",$P272)</f>
        <v/>
      </c>
      <c r="W272" s="10" t="str">
        <f aca="false">IFERROR(1/(1/INDEX(PMTCT!$AC:$AC,MATCH($E272,PMTCT!$E:$E,0))),"")</f>
        <v/>
      </c>
      <c r="X272" s="10" t="str">
        <f aca="false">IFERROR(1/(1/INDEX(PMTCT!$AS:$AS,MATCH($E272,PMTCT!$E:$E,0))),"")</f>
        <v/>
      </c>
      <c r="Y272" s="10" t="str">
        <f aca="false">IFERROR(1/(1/INDEX(VMMC!$AA:$AA,MATCH($E272,VMMC!$E:$E,0))),"")</f>
        <v/>
      </c>
      <c r="Z272" s="10" t="str">
        <f aca="false">IFERROR(1/(1/(SUM($U272)-SUM($V272:$Y272))),"")</f>
        <v/>
      </c>
    </row>
    <row r="273" customFormat="false" ht="15" hidden="false" customHeight="false" outlineLevel="0" collapsed="false">
      <c r="A273" s="0" t="str">
        <f aca="false">INDEX(Prioritization!$D:$D,MATCH($B273,Prioritization!$A:$A,0))</f>
        <v>INVALID</v>
      </c>
      <c r="B273" s="0" t="s">
        <v>215</v>
      </c>
      <c r="C273" s="0" t="s">
        <v>366</v>
      </c>
      <c r="D273" s="0" t="s">
        <v>30</v>
      </c>
      <c r="E273" s="0" t="str">
        <f aca="false">B273&amp;"|"&amp;C273&amp;"|"&amp;D273</f>
        <v>Mangochi District [lLDyBx5XyUi]|25-34|Female</v>
      </c>
      <c r="F273" s="10"/>
      <c r="G273" s="88" t="n">
        <f aca="false">0</f>
        <v>0</v>
      </c>
      <c r="H273" s="39" t="str">
        <f aca="false">IF(SUM($F273)=0,"",ROUND($F273*(1+$G273),0))</f>
        <v/>
      </c>
      <c r="I273" s="10"/>
      <c r="J273" s="88"/>
      <c r="K273" s="88" t="str">
        <f aca="false">IF($J273="","",$J273)</f>
        <v/>
      </c>
      <c r="L273" s="88"/>
      <c r="M273" s="88" t="str">
        <f aca="false">IF($L273="","",$L273)</f>
        <v/>
      </c>
      <c r="N273" s="10" t="str">
        <f aca="false">$H273</f>
        <v/>
      </c>
      <c r="O273" s="39" t="str">
        <f aca="false">IF(SUM($N273)=0,"",IF(AND(SUM($N273)&gt;0,$K273=""),"ENTER KNOWN POSITIVITY RATE",ROUND($N273*$K273,0)))</f>
        <v/>
      </c>
      <c r="P273" s="39" t="str">
        <f aca="false">IF(SUM($N273)=0,"",IF(AND((SUM($N273)-SUM($O273))&gt;0,$M273=""),"ENTER YIELD RATE",ROUND(($N273-SUM($O273))*$M273,0)))</f>
        <v/>
      </c>
      <c r="Q273" s="39" t="str">
        <f aca="false">IF(SUM($N273)=0,"",$N273-SUM($O273)-SUM($P273))</f>
        <v/>
      </c>
      <c r="R273" s="88" t="str">
        <f aca="false">IF(SUM($P273)=0,"",INDEX(Cascade!$BG:$BG,MATCH($E273,Cascade!$E:$E,0)))</f>
        <v/>
      </c>
      <c r="S273" s="39" t="str">
        <f aca="false">$O273</f>
        <v/>
      </c>
      <c r="T273" s="39" t="str">
        <f aca="false">IF(SUM($P273)=0,"",IF(AND($R273="",SUM($P273)&gt;0),"&lt;- Enter Linkage Rate",ROUND($P273*$R273,0)))</f>
        <v/>
      </c>
      <c r="U273" s="10" t="str">
        <f aca="false">IFERROR(1/(1/INDEX(Cascade!$BH:$BH,MATCH($E273,Cascade!$E:$E,0))),"")</f>
        <v/>
      </c>
      <c r="V273" s="10" t="str">
        <f aca="false">IF(SUM($P273)=0,"",$P273)</f>
        <v/>
      </c>
      <c r="W273" s="10" t="str">
        <f aca="false">IFERROR(1/(1/INDEX(PMTCT!$AC:$AC,MATCH($E273,PMTCT!$E:$E,0))),"")</f>
        <v/>
      </c>
      <c r="X273" s="10" t="str">
        <f aca="false">IFERROR(1/(1/INDEX(PMTCT!$AS:$AS,MATCH($E273,PMTCT!$E:$E,0))),"")</f>
        <v/>
      </c>
      <c r="Y273" s="10" t="str">
        <f aca="false">IFERROR(1/(1/INDEX(VMMC!$AA:$AA,MATCH($E273,VMMC!$E:$E,0))),"")</f>
        <v/>
      </c>
      <c r="Z273" s="10" t="str">
        <f aca="false">IFERROR(1/(1/(SUM($U273)-SUM($V273:$Y273))),"")</f>
        <v/>
      </c>
    </row>
    <row r="274" customFormat="false" ht="15" hidden="false" customHeight="false" outlineLevel="0" collapsed="false">
      <c r="A274" s="0" t="str">
        <f aca="false">INDEX(Prioritization!$D:$D,MATCH($B274,Prioritization!$A:$A,0))</f>
        <v>INVALID</v>
      </c>
      <c r="B274" s="0" t="s">
        <v>215</v>
      </c>
      <c r="C274" s="0" t="s">
        <v>366</v>
      </c>
      <c r="D274" s="0" t="s">
        <v>48</v>
      </c>
      <c r="E274" s="0" t="str">
        <f aca="false">B274&amp;"|"&amp;C274&amp;"|"&amp;D274</f>
        <v>Mangochi District [lLDyBx5XyUi]|25-34|Male</v>
      </c>
      <c r="F274" s="10"/>
      <c r="G274" s="88" t="n">
        <f aca="false">0</f>
        <v>0</v>
      </c>
      <c r="H274" s="39" t="str">
        <f aca="false">IF(SUM($F274)=0,"",ROUND($F274*(1+$G274),0))</f>
        <v/>
      </c>
      <c r="I274" s="10"/>
      <c r="J274" s="88"/>
      <c r="K274" s="88" t="str">
        <f aca="false">IF($J274="","",$J274)</f>
        <v/>
      </c>
      <c r="L274" s="88"/>
      <c r="M274" s="88" t="str">
        <f aca="false">IF($L274="","",$L274)</f>
        <v/>
      </c>
      <c r="N274" s="10" t="str">
        <f aca="false">$H274</f>
        <v/>
      </c>
      <c r="O274" s="39" t="str">
        <f aca="false">IF(SUM($N274)=0,"",IF(AND(SUM($N274)&gt;0,$K274=""),"ENTER KNOWN POSITIVITY RATE",ROUND($N274*$K274,0)))</f>
        <v/>
      </c>
      <c r="P274" s="39" t="str">
        <f aca="false">IF(SUM($N274)=0,"",IF(AND((SUM($N274)-SUM($O274))&gt;0,$M274=""),"ENTER YIELD RATE",ROUND(($N274-SUM($O274))*$M274,0)))</f>
        <v/>
      </c>
      <c r="Q274" s="39" t="str">
        <f aca="false">IF(SUM($N274)=0,"",$N274-SUM($O274)-SUM($P274))</f>
        <v/>
      </c>
      <c r="R274" s="88" t="str">
        <f aca="false">IF(SUM($P274)=0,"",INDEX(Cascade!$BG:$BG,MATCH($E274,Cascade!$E:$E,0)))</f>
        <v/>
      </c>
      <c r="S274" s="39" t="str">
        <f aca="false">$O274</f>
        <v/>
      </c>
      <c r="T274" s="39" t="str">
        <f aca="false">IF(SUM($P274)=0,"",IF(AND($R274="",SUM($P274)&gt;0),"&lt;- Enter Linkage Rate",ROUND($P274*$R274,0)))</f>
        <v/>
      </c>
      <c r="U274" s="10" t="str">
        <f aca="false">IFERROR(1/(1/INDEX(Cascade!$BH:$BH,MATCH($E274,Cascade!$E:$E,0))),"")</f>
        <v/>
      </c>
      <c r="V274" s="10" t="str">
        <f aca="false">IF(SUM($P274)=0,"",$P274)</f>
        <v/>
      </c>
      <c r="W274" s="10" t="str">
        <f aca="false">IFERROR(1/(1/INDEX(PMTCT!$AC:$AC,MATCH($E274,PMTCT!$E:$E,0))),"")</f>
        <v/>
      </c>
      <c r="X274" s="10" t="str">
        <f aca="false">IFERROR(1/(1/INDEX(PMTCT!$AS:$AS,MATCH($E274,PMTCT!$E:$E,0))),"")</f>
        <v/>
      </c>
      <c r="Y274" s="10" t="str">
        <f aca="false">IFERROR(1/(1/INDEX(VMMC!$AA:$AA,MATCH($E274,VMMC!$E:$E,0))),"")</f>
        <v/>
      </c>
      <c r="Z274" s="10" t="str">
        <f aca="false">IFERROR(1/(1/(SUM($U274)-SUM($V274:$Y274))),"")</f>
        <v/>
      </c>
    </row>
    <row r="275" customFormat="false" ht="15" hidden="false" customHeight="false" outlineLevel="0" collapsed="false">
      <c r="A275" s="0" t="str">
        <f aca="false">INDEX(Prioritization!$D:$D,MATCH($B275,Prioritization!$A:$A,0))</f>
        <v>INVALID</v>
      </c>
      <c r="B275" s="0" t="s">
        <v>215</v>
      </c>
      <c r="C275" s="0" t="s">
        <v>367</v>
      </c>
      <c r="D275" s="0" t="s">
        <v>30</v>
      </c>
      <c r="E275" s="0" t="str">
        <f aca="false">B275&amp;"|"&amp;C275&amp;"|"&amp;D275</f>
        <v>Mangochi District [lLDyBx5XyUi]|35-49|Female</v>
      </c>
      <c r="F275" s="10"/>
      <c r="G275" s="88" t="n">
        <f aca="false">0</f>
        <v>0</v>
      </c>
      <c r="H275" s="39" t="str">
        <f aca="false">IF(SUM($F275)=0,"",ROUND($F275*(1+$G275),0))</f>
        <v/>
      </c>
      <c r="I275" s="10"/>
      <c r="J275" s="88"/>
      <c r="K275" s="88" t="str">
        <f aca="false">IF($J275="","",$J275)</f>
        <v/>
      </c>
      <c r="L275" s="88"/>
      <c r="M275" s="88" t="str">
        <f aca="false">IF($L275="","",$L275)</f>
        <v/>
      </c>
      <c r="N275" s="10" t="str">
        <f aca="false">$H275</f>
        <v/>
      </c>
      <c r="O275" s="39" t="str">
        <f aca="false">IF(SUM($N275)=0,"",IF(AND(SUM($N275)&gt;0,$K275=""),"ENTER KNOWN POSITIVITY RATE",ROUND($N275*$K275,0)))</f>
        <v/>
      </c>
      <c r="P275" s="39" t="str">
        <f aca="false">IF(SUM($N275)=0,"",IF(AND((SUM($N275)-SUM($O275))&gt;0,$M275=""),"ENTER YIELD RATE",ROUND(($N275-SUM($O275))*$M275,0)))</f>
        <v/>
      </c>
      <c r="Q275" s="39" t="str">
        <f aca="false">IF(SUM($N275)=0,"",$N275-SUM($O275)-SUM($P275))</f>
        <v/>
      </c>
      <c r="R275" s="88" t="str">
        <f aca="false">IF(SUM($P275)=0,"",INDEX(Cascade!$BG:$BG,MATCH($E275,Cascade!$E:$E,0)))</f>
        <v/>
      </c>
      <c r="S275" s="39" t="str">
        <f aca="false">$O275</f>
        <v/>
      </c>
      <c r="T275" s="39" t="str">
        <f aca="false">IF(SUM($P275)=0,"",IF(AND($R275="",SUM($P275)&gt;0),"&lt;- Enter Linkage Rate",ROUND($P275*$R275,0)))</f>
        <v/>
      </c>
      <c r="U275" s="10" t="str">
        <f aca="false">IFERROR(1/(1/INDEX(Cascade!$BH:$BH,MATCH($E275,Cascade!$E:$E,0))),"")</f>
        <v/>
      </c>
      <c r="V275" s="10" t="str">
        <f aca="false">IF(SUM($P275)=0,"",$P275)</f>
        <v/>
      </c>
      <c r="W275" s="10" t="str">
        <f aca="false">IFERROR(1/(1/INDEX(PMTCT!$AC:$AC,MATCH($E275,PMTCT!$E:$E,0))),"")</f>
        <v/>
      </c>
      <c r="X275" s="10" t="str">
        <f aca="false">IFERROR(1/(1/INDEX(PMTCT!$AS:$AS,MATCH($E275,PMTCT!$E:$E,0))),"")</f>
        <v/>
      </c>
      <c r="Y275" s="10" t="str">
        <f aca="false">IFERROR(1/(1/INDEX(VMMC!$AA:$AA,MATCH($E275,VMMC!$E:$E,0))),"")</f>
        <v/>
      </c>
      <c r="Z275" s="10" t="str">
        <f aca="false">IFERROR(1/(1/(SUM($U275)-SUM($V275:$Y275))),"")</f>
        <v/>
      </c>
    </row>
    <row r="276" customFormat="false" ht="15" hidden="false" customHeight="false" outlineLevel="0" collapsed="false">
      <c r="A276" s="0" t="str">
        <f aca="false">INDEX(Prioritization!$D:$D,MATCH($B276,Prioritization!$A:$A,0))</f>
        <v>INVALID</v>
      </c>
      <c r="B276" s="0" t="s">
        <v>215</v>
      </c>
      <c r="C276" s="0" t="s">
        <v>367</v>
      </c>
      <c r="D276" s="0" t="s">
        <v>48</v>
      </c>
      <c r="E276" s="0" t="str">
        <f aca="false">B276&amp;"|"&amp;C276&amp;"|"&amp;D276</f>
        <v>Mangochi District [lLDyBx5XyUi]|35-49|Male</v>
      </c>
      <c r="F276" s="10"/>
      <c r="G276" s="88" t="n">
        <f aca="false">0</f>
        <v>0</v>
      </c>
      <c r="H276" s="39" t="str">
        <f aca="false">IF(SUM($F276)=0,"",ROUND($F276*(1+$G276),0))</f>
        <v/>
      </c>
      <c r="I276" s="10"/>
      <c r="J276" s="88"/>
      <c r="K276" s="88" t="str">
        <f aca="false">IF($J276="","",$J276)</f>
        <v/>
      </c>
      <c r="L276" s="88"/>
      <c r="M276" s="88" t="str">
        <f aca="false">IF($L276="","",$L276)</f>
        <v/>
      </c>
      <c r="N276" s="10" t="str">
        <f aca="false">$H276</f>
        <v/>
      </c>
      <c r="O276" s="39" t="str">
        <f aca="false">IF(SUM($N276)=0,"",IF(AND(SUM($N276)&gt;0,$K276=""),"ENTER KNOWN POSITIVITY RATE",ROUND($N276*$K276,0)))</f>
        <v/>
      </c>
      <c r="P276" s="39" t="str">
        <f aca="false">IF(SUM($N276)=0,"",IF(AND((SUM($N276)-SUM($O276))&gt;0,$M276=""),"ENTER YIELD RATE",ROUND(($N276-SUM($O276))*$M276,0)))</f>
        <v/>
      </c>
      <c r="Q276" s="39" t="str">
        <f aca="false">IF(SUM($N276)=0,"",$N276-SUM($O276)-SUM($P276))</f>
        <v/>
      </c>
      <c r="R276" s="88" t="str">
        <f aca="false">IF(SUM($P276)=0,"",INDEX(Cascade!$BG:$BG,MATCH($E276,Cascade!$E:$E,0)))</f>
        <v/>
      </c>
      <c r="S276" s="39" t="str">
        <f aca="false">$O276</f>
        <v/>
      </c>
      <c r="T276" s="39" t="str">
        <f aca="false">IF(SUM($P276)=0,"",IF(AND($R276="",SUM($P276)&gt;0),"&lt;- Enter Linkage Rate",ROUND($P276*$R276,0)))</f>
        <v/>
      </c>
      <c r="U276" s="10" t="str">
        <f aca="false">IFERROR(1/(1/INDEX(Cascade!$BH:$BH,MATCH($E276,Cascade!$E:$E,0))),"")</f>
        <v/>
      </c>
      <c r="V276" s="10" t="str">
        <f aca="false">IF(SUM($P276)=0,"",$P276)</f>
        <v/>
      </c>
      <c r="W276" s="10" t="str">
        <f aca="false">IFERROR(1/(1/INDEX(PMTCT!$AC:$AC,MATCH($E276,PMTCT!$E:$E,0))),"")</f>
        <v/>
      </c>
      <c r="X276" s="10" t="str">
        <f aca="false">IFERROR(1/(1/INDEX(PMTCT!$AS:$AS,MATCH($E276,PMTCT!$E:$E,0))),"")</f>
        <v/>
      </c>
      <c r="Y276" s="10" t="str">
        <f aca="false">IFERROR(1/(1/INDEX(VMMC!$AA:$AA,MATCH($E276,VMMC!$E:$E,0))),"")</f>
        <v/>
      </c>
      <c r="Z276" s="10" t="str">
        <f aca="false">IFERROR(1/(1/(SUM($U276)-SUM($V276:$Y276))),"")</f>
        <v/>
      </c>
    </row>
    <row r="277" customFormat="false" ht="15" hidden="false" customHeight="false" outlineLevel="0" collapsed="false">
      <c r="A277" s="0" t="str">
        <f aca="false">INDEX(Prioritization!$D:$D,MATCH($B277,Prioritization!$A:$A,0))</f>
        <v>INVALID</v>
      </c>
      <c r="B277" s="0" t="s">
        <v>215</v>
      </c>
      <c r="C277" s="0" t="s">
        <v>368</v>
      </c>
      <c r="D277" s="0" t="s">
        <v>30</v>
      </c>
      <c r="E277" s="0" t="str">
        <f aca="false">B277&amp;"|"&amp;C277&amp;"|"&amp;D277</f>
        <v>Mangochi District [lLDyBx5XyUi]|50+|Female</v>
      </c>
      <c r="F277" s="10"/>
      <c r="G277" s="88" t="n">
        <f aca="false">0</f>
        <v>0</v>
      </c>
      <c r="H277" s="39" t="str">
        <f aca="false">IF(SUM($F277)=0,"",ROUND($F277*(1+$G277),0))</f>
        <v/>
      </c>
      <c r="I277" s="10"/>
      <c r="J277" s="88"/>
      <c r="K277" s="88" t="str">
        <f aca="false">IF($J277="","",$J277)</f>
        <v/>
      </c>
      <c r="L277" s="88"/>
      <c r="M277" s="88" t="str">
        <f aca="false">IF($L277="","",$L277)</f>
        <v/>
      </c>
      <c r="N277" s="10" t="str">
        <f aca="false">$H277</f>
        <v/>
      </c>
      <c r="O277" s="39" t="str">
        <f aca="false">IF(SUM($N277)=0,"",IF(AND(SUM($N277)&gt;0,$K277=""),"ENTER KNOWN POSITIVITY RATE",ROUND($N277*$K277,0)))</f>
        <v/>
      </c>
      <c r="P277" s="39" t="str">
        <f aca="false">IF(SUM($N277)=0,"",IF(AND((SUM($N277)-SUM($O277))&gt;0,$M277=""),"ENTER YIELD RATE",ROUND(($N277-SUM($O277))*$M277,0)))</f>
        <v/>
      </c>
      <c r="Q277" s="39" t="str">
        <f aca="false">IF(SUM($N277)=0,"",$N277-SUM($O277)-SUM($P277))</f>
        <v/>
      </c>
      <c r="R277" s="88" t="str">
        <f aca="false">IF(SUM($P277)=0,"",INDEX(Cascade!$BG:$BG,MATCH($E277,Cascade!$E:$E,0)))</f>
        <v/>
      </c>
      <c r="S277" s="39" t="str">
        <f aca="false">$O277</f>
        <v/>
      </c>
      <c r="T277" s="39" t="str">
        <f aca="false">IF(SUM($P277)=0,"",IF(AND($R277="",SUM($P277)&gt;0),"&lt;- Enter Linkage Rate",ROUND($P277*$R277,0)))</f>
        <v/>
      </c>
      <c r="U277" s="10" t="str">
        <f aca="false">IFERROR(1/(1/INDEX(Cascade!$BH:$BH,MATCH($E277,Cascade!$E:$E,0))),"")</f>
        <v/>
      </c>
      <c r="V277" s="10" t="str">
        <f aca="false">IF(SUM($P277)=0,"",$P277)</f>
        <v/>
      </c>
      <c r="W277" s="10" t="str">
        <f aca="false">IFERROR(1/(1/INDEX(PMTCT!$AC:$AC,MATCH($E277,PMTCT!$E:$E,0))),"")</f>
        <v/>
      </c>
      <c r="X277" s="10" t="str">
        <f aca="false">IFERROR(1/(1/INDEX(PMTCT!$AS:$AS,MATCH($E277,PMTCT!$E:$E,0))),"")</f>
        <v/>
      </c>
      <c r="Y277" s="10" t="str">
        <f aca="false">IFERROR(1/(1/INDEX(VMMC!$AA:$AA,MATCH($E277,VMMC!$E:$E,0))),"")</f>
        <v/>
      </c>
      <c r="Z277" s="10" t="str">
        <f aca="false">IFERROR(1/(1/(SUM($U277)-SUM($V277:$Y277))),"")</f>
        <v/>
      </c>
    </row>
    <row r="278" customFormat="false" ht="15" hidden="false" customHeight="false" outlineLevel="0" collapsed="false">
      <c r="A278" s="0" t="str">
        <f aca="false">INDEX(Prioritization!$D:$D,MATCH($B278,Prioritization!$A:$A,0))</f>
        <v>INVALID</v>
      </c>
      <c r="B278" s="0" t="s">
        <v>215</v>
      </c>
      <c r="C278" s="0" t="s">
        <v>368</v>
      </c>
      <c r="D278" s="0" t="s">
        <v>48</v>
      </c>
      <c r="E278" s="0" t="str">
        <f aca="false">B278&amp;"|"&amp;C278&amp;"|"&amp;D278</f>
        <v>Mangochi District [lLDyBx5XyUi]|50+|Male</v>
      </c>
      <c r="F278" s="10"/>
      <c r="G278" s="88" t="n">
        <f aca="false">0</f>
        <v>0</v>
      </c>
      <c r="H278" s="39" t="str">
        <f aca="false">IF(SUM($F278)=0,"",ROUND($F278*(1+$G278),0))</f>
        <v/>
      </c>
      <c r="I278" s="10"/>
      <c r="J278" s="88"/>
      <c r="K278" s="88" t="str">
        <f aca="false">IF($J278="","",$J278)</f>
        <v/>
      </c>
      <c r="L278" s="88"/>
      <c r="M278" s="88" t="str">
        <f aca="false">IF($L278="","",$L278)</f>
        <v/>
      </c>
      <c r="N278" s="10" t="str">
        <f aca="false">$H278</f>
        <v/>
      </c>
      <c r="O278" s="39" t="str">
        <f aca="false">IF(SUM($N278)=0,"",IF(AND(SUM($N278)&gt;0,$K278=""),"ENTER KNOWN POSITIVITY RATE",ROUND($N278*$K278,0)))</f>
        <v/>
      </c>
      <c r="P278" s="39" t="str">
        <f aca="false">IF(SUM($N278)=0,"",IF(AND((SUM($N278)-SUM($O278))&gt;0,$M278=""),"ENTER YIELD RATE",ROUND(($N278-SUM($O278))*$M278,0)))</f>
        <v/>
      </c>
      <c r="Q278" s="39" t="str">
        <f aca="false">IF(SUM($N278)=0,"",$N278-SUM($O278)-SUM($P278))</f>
        <v/>
      </c>
      <c r="R278" s="88" t="str">
        <f aca="false">IF(SUM($P278)=0,"",INDEX(Cascade!$BG:$BG,MATCH($E278,Cascade!$E:$E,0)))</f>
        <v/>
      </c>
      <c r="S278" s="39" t="str">
        <f aca="false">$O278</f>
        <v/>
      </c>
      <c r="T278" s="39" t="str">
        <f aca="false">IF(SUM($P278)=0,"",IF(AND($R278="",SUM($P278)&gt;0),"&lt;- Enter Linkage Rate",ROUND($P278*$R278,0)))</f>
        <v/>
      </c>
      <c r="U278" s="10" t="str">
        <f aca="false">IFERROR(1/(1/INDEX(Cascade!$BH:$BH,MATCH($E278,Cascade!$E:$E,0))),"")</f>
        <v/>
      </c>
      <c r="V278" s="10" t="str">
        <f aca="false">IF(SUM($P278)=0,"",$P278)</f>
        <v/>
      </c>
      <c r="W278" s="10" t="str">
        <f aca="false">IFERROR(1/(1/INDEX(PMTCT!$AC:$AC,MATCH($E278,PMTCT!$E:$E,0))),"")</f>
        <v/>
      </c>
      <c r="X278" s="10" t="str">
        <f aca="false">IFERROR(1/(1/INDEX(PMTCT!$AS:$AS,MATCH($E278,PMTCT!$E:$E,0))),"")</f>
        <v/>
      </c>
      <c r="Y278" s="10" t="str">
        <f aca="false">IFERROR(1/(1/INDEX(VMMC!$AA:$AA,MATCH($E278,VMMC!$E:$E,0))),"")</f>
        <v/>
      </c>
      <c r="Z278" s="10" t="str">
        <f aca="false">IFERROR(1/(1/(SUM($U278)-SUM($V278:$Y278))),"")</f>
        <v/>
      </c>
    </row>
    <row r="279" customFormat="false" ht="15" hidden="false" customHeight="false" outlineLevel="0" collapsed="false">
      <c r="A279" s="0" t="str">
        <f aca="false">INDEX(Prioritization!$D:$D,MATCH($B279,Prioritization!$A:$A,0))</f>
        <v>INVALID</v>
      </c>
      <c r="B279" s="0" t="s">
        <v>216</v>
      </c>
      <c r="C279" s="0" t="s">
        <v>363</v>
      </c>
      <c r="D279" s="0" t="s">
        <v>30</v>
      </c>
      <c r="E279" s="0" t="str">
        <f aca="false">B279&amp;"|"&amp;C279&amp;"|"&amp;D279</f>
        <v>Mulanje District [umc2n1Z4wNv]|01-09|Female</v>
      </c>
      <c r="F279" s="10"/>
      <c r="G279" s="88" t="n">
        <f aca="false">0</f>
        <v>0</v>
      </c>
      <c r="H279" s="39" t="str">
        <f aca="false">IF(SUM($F279)=0,"",ROUND($F279*(1+$G279),0))</f>
        <v/>
      </c>
      <c r="I279" s="10"/>
      <c r="J279" s="88"/>
      <c r="K279" s="88" t="str">
        <f aca="false">IF($J279="","",$J279)</f>
        <v/>
      </c>
      <c r="L279" s="88"/>
      <c r="M279" s="88" t="str">
        <f aca="false">IF($L279="","",$L279)</f>
        <v/>
      </c>
      <c r="N279" s="10" t="str">
        <f aca="false">$H279</f>
        <v/>
      </c>
      <c r="O279" s="39" t="str">
        <f aca="false">IF(SUM($N279)=0,"",IF(AND(SUM($N279)&gt;0,$K279=""),"ENTER KNOWN POSITIVITY RATE",ROUND($N279*$K279,0)))</f>
        <v/>
      </c>
      <c r="P279" s="39" t="str">
        <f aca="false">IF(SUM($N279)=0,"",IF(AND((SUM($N279)-SUM($O279))&gt;0,$M279=""),"ENTER YIELD RATE",ROUND(($N279-SUM($O279))*$M279,0)))</f>
        <v/>
      </c>
      <c r="Q279" s="39" t="str">
        <f aca="false">IF(SUM($N279)=0,"",$N279-SUM($O279)-SUM($P279))</f>
        <v/>
      </c>
      <c r="R279" s="88" t="str">
        <f aca="false">IF(SUM($P279)=0,"",INDEX(Cascade!$BG:$BG,MATCH($E279,Cascade!$E:$E,0)))</f>
        <v/>
      </c>
      <c r="S279" s="39" t="str">
        <f aca="false">$O279</f>
        <v/>
      </c>
      <c r="T279" s="39" t="str">
        <f aca="false">IF(SUM($P279)=0,"",IF(AND($R279="",SUM($P279)&gt;0),"&lt;- Enter Linkage Rate",ROUND($P279*$R279,0)))</f>
        <v/>
      </c>
      <c r="U279" s="10" t="str">
        <f aca="false">IFERROR(1/(1/INDEX(Cascade!$BH:$BH,MATCH($E279,Cascade!$E:$E,0))),"")</f>
        <v/>
      </c>
      <c r="V279" s="10" t="str">
        <f aca="false">IF(SUM($P279)=0,"",$P279)</f>
        <v/>
      </c>
      <c r="W279" s="10" t="str">
        <f aca="false">IFERROR(1/(1/INDEX(PMTCT!$AC:$AC,MATCH($E279,PMTCT!$E:$E,0))),"")</f>
        <v/>
      </c>
      <c r="X279" s="10" t="str">
        <f aca="false">IFERROR(1/(1/INDEX(PMTCT!$AS:$AS,MATCH($E279,PMTCT!$E:$E,0))),"")</f>
        <v/>
      </c>
      <c r="Y279" s="10" t="str">
        <f aca="false">IFERROR(1/(1/INDEX(VMMC!$AA:$AA,MATCH($E279,VMMC!$E:$E,0))),"")</f>
        <v/>
      </c>
      <c r="Z279" s="10" t="str">
        <f aca="false">IFERROR(1/(1/(SUM($U279)-SUM($V279:$Y279))),"")</f>
        <v/>
      </c>
    </row>
    <row r="280" customFormat="false" ht="15" hidden="false" customHeight="false" outlineLevel="0" collapsed="false">
      <c r="A280" s="0" t="str">
        <f aca="false">INDEX(Prioritization!$D:$D,MATCH($B280,Prioritization!$A:$A,0))</f>
        <v>INVALID</v>
      </c>
      <c r="B280" s="0" t="s">
        <v>216</v>
      </c>
      <c r="C280" s="0" t="s">
        <v>363</v>
      </c>
      <c r="D280" s="0" t="s">
        <v>48</v>
      </c>
      <c r="E280" s="0" t="str">
        <f aca="false">B280&amp;"|"&amp;C280&amp;"|"&amp;D280</f>
        <v>Mulanje District [umc2n1Z4wNv]|01-09|Male</v>
      </c>
      <c r="F280" s="10"/>
      <c r="G280" s="88" t="n">
        <f aca="false">0</f>
        <v>0</v>
      </c>
      <c r="H280" s="39" t="str">
        <f aca="false">IF(SUM($F280)=0,"",ROUND($F280*(1+$G280),0))</f>
        <v/>
      </c>
      <c r="I280" s="10"/>
      <c r="J280" s="88"/>
      <c r="K280" s="88" t="str">
        <f aca="false">IF($J280="","",$J280)</f>
        <v/>
      </c>
      <c r="L280" s="88"/>
      <c r="M280" s="88" t="str">
        <f aca="false">IF($L280="","",$L280)</f>
        <v/>
      </c>
      <c r="N280" s="10" t="str">
        <f aca="false">$H280</f>
        <v/>
      </c>
      <c r="O280" s="39" t="str">
        <f aca="false">IF(SUM($N280)=0,"",IF(AND(SUM($N280)&gt;0,$K280=""),"ENTER KNOWN POSITIVITY RATE",ROUND($N280*$K280,0)))</f>
        <v/>
      </c>
      <c r="P280" s="39" t="str">
        <f aca="false">IF(SUM($N280)=0,"",IF(AND((SUM($N280)-SUM($O280))&gt;0,$M280=""),"ENTER YIELD RATE",ROUND(($N280-SUM($O280))*$M280,0)))</f>
        <v/>
      </c>
      <c r="Q280" s="39" t="str">
        <f aca="false">IF(SUM($N280)=0,"",$N280-SUM($O280)-SUM($P280))</f>
        <v/>
      </c>
      <c r="R280" s="88" t="str">
        <f aca="false">IF(SUM($P280)=0,"",INDEX(Cascade!$BG:$BG,MATCH($E280,Cascade!$E:$E,0)))</f>
        <v/>
      </c>
      <c r="S280" s="39" t="str">
        <f aca="false">$O280</f>
        <v/>
      </c>
      <c r="T280" s="39" t="str">
        <f aca="false">IF(SUM($P280)=0,"",IF(AND($R280="",SUM($P280)&gt;0),"&lt;- Enter Linkage Rate",ROUND($P280*$R280,0)))</f>
        <v/>
      </c>
      <c r="U280" s="10" t="str">
        <f aca="false">IFERROR(1/(1/INDEX(Cascade!$BH:$BH,MATCH($E280,Cascade!$E:$E,0))),"")</f>
        <v/>
      </c>
      <c r="V280" s="10" t="str">
        <f aca="false">IF(SUM($P280)=0,"",$P280)</f>
        <v/>
      </c>
      <c r="W280" s="10" t="str">
        <f aca="false">IFERROR(1/(1/INDEX(PMTCT!$AC:$AC,MATCH($E280,PMTCT!$E:$E,0))),"")</f>
        <v/>
      </c>
      <c r="X280" s="10" t="str">
        <f aca="false">IFERROR(1/(1/INDEX(PMTCT!$AS:$AS,MATCH($E280,PMTCT!$E:$E,0))),"")</f>
        <v/>
      </c>
      <c r="Y280" s="10" t="str">
        <f aca="false">IFERROR(1/(1/INDEX(VMMC!$AA:$AA,MATCH($E280,VMMC!$E:$E,0))),"")</f>
        <v/>
      </c>
      <c r="Z280" s="10" t="str">
        <f aca="false">IFERROR(1/(1/(SUM($U280)-SUM($V280:$Y280))),"")</f>
        <v/>
      </c>
    </row>
    <row r="281" customFormat="false" ht="15" hidden="false" customHeight="false" outlineLevel="0" collapsed="false">
      <c r="A281" s="0" t="str">
        <f aca="false">INDEX(Prioritization!$D:$D,MATCH($B281,Prioritization!$A:$A,0))</f>
        <v>INVALID</v>
      </c>
      <c r="B281" s="0" t="s">
        <v>216</v>
      </c>
      <c r="C281" s="0" t="s">
        <v>364</v>
      </c>
      <c r="D281" s="0" t="s">
        <v>30</v>
      </c>
      <c r="E281" s="0" t="str">
        <f aca="false">B281&amp;"|"&amp;C281&amp;"|"&amp;D281</f>
        <v>Mulanje District [umc2n1Z4wNv]|10-14|Female</v>
      </c>
      <c r="F281" s="10" t="n">
        <v>0</v>
      </c>
      <c r="G281" s="88" t="n">
        <f aca="false">0</f>
        <v>0</v>
      </c>
      <c r="H281" s="39" t="str">
        <f aca="false">IF(SUM($F281)=0,"",ROUND($F281*(1+$G281),0))</f>
        <v/>
      </c>
      <c r="I281" s="10"/>
      <c r="J281" s="88"/>
      <c r="K281" s="88" t="str">
        <f aca="false">IF($J281="","",$J281)</f>
        <v/>
      </c>
      <c r="L281" s="88"/>
      <c r="M281" s="88" t="str">
        <f aca="false">IF($L281="","",$L281)</f>
        <v/>
      </c>
      <c r="N281" s="10" t="str">
        <f aca="false">$H281</f>
        <v/>
      </c>
      <c r="O281" s="39" t="str">
        <f aca="false">IF(SUM($N281)=0,"",IF(AND(SUM($N281)&gt;0,$K281=""),"ENTER KNOWN POSITIVITY RATE",ROUND($N281*$K281,0)))</f>
        <v/>
      </c>
      <c r="P281" s="39" t="str">
        <f aca="false">IF(SUM($N281)=0,"",IF(AND((SUM($N281)-SUM($O281))&gt;0,$M281=""),"ENTER YIELD RATE",ROUND(($N281-SUM($O281))*$M281,0)))</f>
        <v/>
      </c>
      <c r="Q281" s="39" t="str">
        <f aca="false">IF(SUM($N281)=0,"",$N281-SUM($O281)-SUM($P281))</f>
        <v/>
      </c>
      <c r="R281" s="88" t="str">
        <f aca="false">IF(SUM($P281)=0,"",INDEX(Cascade!$BG:$BG,MATCH($E281,Cascade!$E:$E,0)))</f>
        <v/>
      </c>
      <c r="S281" s="39" t="str">
        <f aca="false">$O281</f>
        <v/>
      </c>
      <c r="T281" s="39" t="str">
        <f aca="false">IF(SUM($P281)=0,"",IF(AND($R281="",SUM($P281)&gt;0),"&lt;- Enter Linkage Rate",ROUND($P281*$R281,0)))</f>
        <v/>
      </c>
      <c r="U281" s="10" t="n">
        <f aca="false">IFERROR(1/(1/INDEX(Cascade!$BH:$BH,MATCH($E281,Cascade!$E:$E,0))),"")</f>
        <v>-762</v>
      </c>
      <c r="V281" s="10" t="str">
        <f aca="false">IF(SUM($P281)=0,"",$P281)</f>
        <v/>
      </c>
      <c r="W281" s="10" t="n">
        <f aca="false">IFERROR(1/(1/INDEX(PMTCT!$AC:$AC,MATCH($E281,PMTCT!$E:$E,0))),"")</f>
        <v>5</v>
      </c>
      <c r="X281" s="10" t="str">
        <f aca="false">IFERROR(1/(1/INDEX(PMTCT!$AS:$AS,MATCH($E281,PMTCT!$E:$E,0))),"")</f>
        <v/>
      </c>
      <c r="Y281" s="10" t="str">
        <f aca="false">IFERROR(1/(1/INDEX(VMMC!$AA:$AA,MATCH($E281,VMMC!$E:$E,0))),"")</f>
        <v/>
      </c>
      <c r="Z281" s="10" t="n">
        <f aca="false">IFERROR(1/(1/(SUM($U281)-SUM($V281:$Y281))),"")</f>
        <v>-767</v>
      </c>
    </row>
    <row r="282" customFormat="false" ht="15" hidden="false" customHeight="false" outlineLevel="0" collapsed="false">
      <c r="A282" s="0" t="str">
        <f aca="false">INDEX(Prioritization!$D:$D,MATCH($B282,Prioritization!$A:$A,0))</f>
        <v>INVALID</v>
      </c>
      <c r="B282" s="0" t="s">
        <v>216</v>
      </c>
      <c r="C282" s="0" t="s">
        <v>364</v>
      </c>
      <c r="D282" s="0" t="s">
        <v>48</v>
      </c>
      <c r="E282" s="0" t="str">
        <f aca="false">B282&amp;"|"&amp;C282&amp;"|"&amp;D282</f>
        <v>Mulanje District [umc2n1Z4wNv]|10-14|Male</v>
      </c>
      <c r="F282" s="10" t="n">
        <v>0</v>
      </c>
      <c r="G282" s="88" t="n">
        <f aca="false">0</f>
        <v>0</v>
      </c>
      <c r="H282" s="39" t="str">
        <f aca="false">IF(SUM($F282)=0,"",ROUND($F282*(1+$G282),0))</f>
        <v/>
      </c>
      <c r="I282" s="10"/>
      <c r="J282" s="88"/>
      <c r="K282" s="88" t="str">
        <f aca="false">IF($J282="","",$J282)</f>
        <v/>
      </c>
      <c r="L282" s="88"/>
      <c r="M282" s="88" t="str">
        <f aca="false">IF($L282="","",$L282)</f>
        <v/>
      </c>
      <c r="N282" s="10" t="str">
        <f aca="false">$H282</f>
        <v/>
      </c>
      <c r="O282" s="39" t="str">
        <f aca="false">IF(SUM($N282)=0,"",IF(AND(SUM($N282)&gt;0,$K282=""),"ENTER KNOWN POSITIVITY RATE",ROUND($N282*$K282,0)))</f>
        <v/>
      </c>
      <c r="P282" s="39" t="str">
        <f aca="false">IF(SUM($N282)=0,"",IF(AND((SUM($N282)-SUM($O282))&gt;0,$M282=""),"ENTER YIELD RATE",ROUND(($N282-SUM($O282))*$M282,0)))</f>
        <v/>
      </c>
      <c r="Q282" s="39" t="str">
        <f aca="false">IF(SUM($N282)=0,"",$N282-SUM($O282)-SUM($P282))</f>
        <v/>
      </c>
      <c r="R282" s="88" t="str">
        <f aca="false">IF(SUM($P282)=0,"",INDEX(Cascade!$BG:$BG,MATCH($E282,Cascade!$E:$E,0)))</f>
        <v/>
      </c>
      <c r="S282" s="39" t="str">
        <f aca="false">$O282</f>
        <v/>
      </c>
      <c r="T282" s="39" t="str">
        <f aca="false">IF(SUM($P282)=0,"",IF(AND($R282="",SUM($P282)&gt;0),"&lt;- Enter Linkage Rate",ROUND($P282*$R282,0)))</f>
        <v/>
      </c>
      <c r="U282" s="10" t="n">
        <f aca="false">IFERROR(1/(1/INDEX(Cascade!$BH:$BH,MATCH($E282,Cascade!$E:$E,0))),"")</f>
        <v>-94</v>
      </c>
      <c r="V282" s="10" t="str">
        <f aca="false">IF(SUM($P282)=0,"",$P282)</f>
        <v/>
      </c>
      <c r="W282" s="10" t="str">
        <f aca="false">IFERROR(1/(1/INDEX(PMTCT!$AC:$AC,MATCH($E282,PMTCT!$E:$E,0))),"")</f>
        <v/>
      </c>
      <c r="X282" s="10" t="str">
        <f aca="false">IFERROR(1/(1/INDEX(PMTCT!$AS:$AS,MATCH($E282,PMTCT!$E:$E,0))),"")</f>
        <v/>
      </c>
      <c r="Y282" s="10" t="str">
        <f aca="false">IFERROR(1/(1/INDEX(VMMC!$AA:$AA,MATCH($E282,VMMC!$E:$E,0))),"")</f>
        <v/>
      </c>
      <c r="Z282" s="10" t="n">
        <f aca="false">IFERROR(1/(1/(SUM($U282)-SUM($V282:$Y282))),"")</f>
        <v>-94</v>
      </c>
    </row>
    <row r="283" customFormat="false" ht="15" hidden="false" customHeight="false" outlineLevel="0" collapsed="false">
      <c r="A283" s="0" t="str">
        <f aca="false">INDEX(Prioritization!$D:$D,MATCH($B283,Prioritization!$A:$A,0))</f>
        <v>INVALID</v>
      </c>
      <c r="B283" s="0" t="s">
        <v>216</v>
      </c>
      <c r="C283" s="0" t="s">
        <v>365</v>
      </c>
      <c r="D283" s="0" t="s">
        <v>30</v>
      </c>
      <c r="E283" s="0" t="str">
        <f aca="false">B283&amp;"|"&amp;C283&amp;"|"&amp;D283</f>
        <v>Mulanje District [umc2n1Z4wNv]|15-24|Female</v>
      </c>
      <c r="F283" s="10"/>
      <c r="G283" s="88" t="n">
        <f aca="false">0</f>
        <v>0</v>
      </c>
      <c r="H283" s="39" t="str">
        <f aca="false">IF(SUM($F283)=0,"",ROUND($F283*(1+$G283),0))</f>
        <v/>
      </c>
      <c r="I283" s="10"/>
      <c r="J283" s="88"/>
      <c r="K283" s="88" t="str">
        <f aca="false">IF($J283="","",$J283)</f>
        <v/>
      </c>
      <c r="L283" s="88"/>
      <c r="M283" s="88" t="str">
        <f aca="false">IF($L283="","",$L283)</f>
        <v/>
      </c>
      <c r="N283" s="10" t="str">
        <f aca="false">$H283</f>
        <v/>
      </c>
      <c r="O283" s="39" t="str">
        <f aca="false">IF(SUM($N283)=0,"",IF(AND(SUM($N283)&gt;0,$K283=""),"ENTER KNOWN POSITIVITY RATE",ROUND($N283*$K283,0)))</f>
        <v/>
      </c>
      <c r="P283" s="39" t="str">
        <f aca="false">IF(SUM($N283)=0,"",IF(AND((SUM($N283)-SUM($O283))&gt;0,$M283=""),"ENTER YIELD RATE",ROUND(($N283-SUM($O283))*$M283,0)))</f>
        <v/>
      </c>
      <c r="Q283" s="39" t="str">
        <f aca="false">IF(SUM($N283)=0,"",$N283-SUM($O283)-SUM($P283))</f>
        <v/>
      </c>
      <c r="R283" s="88" t="str">
        <f aca="false">IF(SUM($P283)=0,"",INDEX(Cascade!$BG:$BG,MATCH($E283,Cascade!$E:$E,0)))</f>
        <v/>
      </c>
      <c r="S283" s="39" t="str">
        <f aca="false">$O283</f>
        <v/>
      </c>
      <c r="T283" s="39" t="str">
        <f aca="false">IF(SUM($P283)=0,"",IF(AND($R283="",SUM($P283)&gt;0),"&lt;- Enter Linkage Rate",ROUND($P283*$R283,0)))</f>
        <v/>
      </c>
      <c r="U283" s="10" t="str">
        <f aca="false">IFERROR(1/(1/INDEX(Cascade!$BH:$BH,MATCH($E283,Cascade!$E:$E,0))),"")</f>
        <v/>
      </c>
      <c r="V283" s="10" t="str">
        <f aca="false">IF(SUM($P283)=0,"",$P283)</f>
        <v/>
      </c>
      <c r="W283" s="10" t="str">
        <f aca="false">IFERROR(1/(1/INDEX(PMTCT!$AC:$AC,MATCH($E283,PMTCT!$E:$E,0))),"")</f>
        <v/>
      </c>
      <c r="X283" s="10" t="str">
        <f aca="false">IFERROR(1/(1/INDEX(PMTCT!$AS:$AS,MATCH($E283,PMTCT!$E:$E,0))),"")</f>
        <v/>
      </c>
      <c r="Y283" s="10" t="str">
        <f aca="false">IFERROR(1/(1/INDEX(VMMC!$AA:$AA,MATCH($E283,VMMC!$E:$E,0))),"")</f>
        <v/>
      </c>
      <c r="Z283" s="10" t="str">
        <f aca="false">IFERROR(1/(1/(SUM($U283)-SUM($V283:$Y283))),"")</f>
        <v/>
      </c>
    </row>
    <row r="284" customFormat="false" ht="15" hidden="false" customHeight="false" outlineLevel="0" collapsed="false">
      <c r="A284" s="0" t="str">
        <f aca="false">INDEX(Prioritization!$D:$D,MATCH($B284,Prioritization!$A:$A,0))</f>
        <v>INVALID</v>
      </c>
      <c r="B284" s="0" t="s">
        <v>216</v>
      </c>
      <c r="C284" s="0" t="s">
        <v>365</v>
      </c>
      <c r="D284" s="0" t="s">
        <v>48</v>
      </c>
      <c r="E284" s="0" t="str">
        <f aca="false">B284&amp;"|"&amp;C284&amp;"|"&amp;D284</f>
        <v>Mulanje District [umc2n1Z4wNv]|15-24|Male</v>
      </c>
      <c r="F284" s="10"/>
      <c r="G284" s="88" t="n">
        <f aca="false">0</f>
        <v>0</v>
      </c>
      <c r="H284" s="39" t="str">
        <f aca="false">IF(SUM($F284)=0,"",ROUND($F284*(1+$G284),0))</f>
        <v/>
      </c>
      <c r="I284" s="10"/>
      <c r="J284" s="88"/>
      <c r="K284" s="88" t="str">
        <f aca="false">IF($J284="","",$J284)</f>
        <v/>
      </c>
      <c r="L284" s="88"/>
      <c r="M284" s="88" t="str">
        <f aca="false">IF($L284="","",$L284)</f>
        <v/>
      </c>
      <c r="N284" s="10" t="str">
        <f aca="false">$H284</f>
        <v/>
      </c>
      <c r="O284" s="39" t="str">
        <f aca="false">IF(SUM($N284)=0,"",IF(AND(SUM($N284)&gt;0,$K284=""),"ENTER KNOWN POSITIVITY RATE",ROUND($N284*$K284,0)))</f>
        <v/>
      </c>
      <c r="P284" s="39" t="str">
        <f aca="false">IF(SUM($N284)=0,"",IF(AND((SUM($N284)-SUM($O284))&gt;0,$M284=""),"ENTER YIELD RATE",ROUND(($N284-SUM($O284))*$M284,0)))</f>
        <v/>
      </c>
      <c r="Q284" s="39" t="str">
        <f aca="false">IF(SUM($N284)=0,"",$N284-SUM($O284)-SUM($P284))</f>
        <v/>
      </c>
      <c r="R284" s="88" t="str">
        <f aca="false">IF(SUM($P284)=0,"",INDEX(Cascade!$BG:$BG,MATCH($E284,Cascade!$E:$E,0)))</f>
        <v/>
      </c>
      <c r="S284" s="39" t="str">
        <f aca="false">$O284</f>
        <v/>
      </c>
      <c r="T284" s="39" t="str">
        <f aca="false">IF(SUM($P284)=0,"",IF(AND($R284="",SUM($P284)&gt;0),"&lt;- Enter Linkage Rate",ROUND($P284*$R284,0)))</f>
        <v/>
      </c>
      <c r="U284" s="10" t="str">
        <f aca="false">IFERROR(1/(1/INDEX(Cascade!$BH:$BH,MATCH($E284,Cascade!$E:$E,0))),"")</f>
        <v/>
      </c>
      <c r="V284" s="10" t="str">
        <f aca="false">IF(SUM($P284)=0,"",$P284)</f>
        <v/>
      </c>
      <c r="W284" s="10" t="str">
        <f aca="false">IFERROR(1/(1/INDEX(PMTCT!$AC:$AC,MATCH($E284,PMTCT!$E:$E,0))),"")</f>
        <v/>
      </c>
      <c r="X284" s="10" t="str">
        <f aca="false">IFERROR(1/(1/INDEX(PMTCT!$AS:$AS,MATCH($E284,PMTCT!$E:$E,0))),"")</f>
        <v/>
      </c>
      <c r="Y284" s="10" t="str">
        <f aca="false">IFERROR(1/(1/INDEX(VMMC!$AA:$AA,MATCH($E284,VMMC!$E:$E,0))),"")</f>
        <v/>
      </c>
      <c r="Z284" s="10" t="str">
        <f aca="false">IFERROR(1/(1/(SUM($U284)-SUM($V284:$Y284))),"")</f>
        <v/>
      </c>
    </row>
    <row r="285" customFormat="false" ht="15" hidden="false" customHeight="false" outlineLevel="0" collapsed="false">
      <c r="A285" s="0" t="str">
        <f aca="false">INDEX(Prioritization!$D:$D,MATCH($B285,Prioritization!$A:$A,0))</f>
        <v>INVALID</v>
      </c>
      <c r="B285" s="0" t="s">
        <v>216</v>
      </c>
      <c r="C285" s="0" t="s">
        <v>366</v>
      </c>
      <c r="D285" s="0" t="s">
        <v>30</v>
      </c>
      <c r="E285" s="0" t="str">
        <f aca="false">B285&amp;"|"&amp;C285&amp;"|"&amp;D285</f>
        <v>Mulanje District [umc2n1Z4wNv]|25-34|Female</v>
      </c>
      <c r="F285" s="10"/>
      <c r="G285" s="88" t="n">
        <f aca="false">0</f>
        <v>0</v>
      </c>
      <c r="H285" s="39" t="str">
        <f aca="false">IF(SUM($F285)=0,"",ROUND($F285*(1+$G285),0))</f>
        <v/>
      </c>
      <c r="I285" s="10"/>
      <c r="J285" s="88"/>
      <c r="K285" s="88" t="str">
        <f aca="false">IF($J285="","",$J285)</f>
        <v/>
      </c>
      <c r="L285" s="88"/>
      <c r="M285" s="88" t="str">
        <f aca="false">IF($L285="","",$L285)</f>
        <v/>
      </c>
      <c r="N285" s="10" t="str">
        <f aca="false">$H285</f>
        <v/>
      </c>
      <c r="O285" s="39" t="str">
        <f aca="false">IF(SUM($N285)=0,"",IF(AND(SUM($N285)&gt;0,$K285=""),"ENTER KNOWN POSITIVITY RATE",ROUND($N285*$K285,0)))</f>
        <v/>
      </c>
      <c r="P285" s="39" t="str">
        <f aca="false">IF(SUM($N285)=0,"",IF(AND((SUM($N285)-SUM($O285))&gt;0,$M285=""),"ENTER YIELD RATE",ROUND(($N285-SUM($O285))*$M285,0)))</f>
        <v/>
      </c>
      <c r="Q285" s="39" t="str">
        <f aca="false">IF(SUM($N285)=0,"",$N285-SUM($O285)-SUM($P285))</f>
        <v/>
      </c>
      <c r="R285" s="88" t="str">
        <f aca="false">IF(SUM($P285)=0,"",INDEX(Cascade!$BG:$BG,MATCH($E285,Cascade!$E:$E,0)))</f>
        <v/>
      </c>
      <c r="S285" s="39" t="str">
        <f aca="false">$O285</f>
        <v/>
      </c>
      <c r="T285" s="39" t="str">
        <f aca="false">IF(SUM($P285)=0,"",IF(AND($R285="",SUM($P285)&gt;0),"&lt;- Enter Linkage Rate",ROUND($P285*$R285,0)))</f>
        <v/>
      </c>
      <c r="U285" s="10" t="str">
        <f aca="false">IFERROR(1/(1/INDEX(Cascade!$BH:$BH,MATCH($E285,Cascade!$E:$E,0))),"")</f>
        <v/>
      </c>
      <c r="V285" s="10" t="str">
        <f aca="false">IF(SUM($P285)=0,"",$P285)</f>
        <v/>
      </c>
      <c r="W285" s="10" t="str">
        <f aca="false">IFERROR(1/(1/INDEX(PMTCT!$AC:$AC,MATCH($E285,PMTCT!$E:$E,0))),"")</f>
        <v/>
      </c>
      <c r="X285" s="10" t="str">
        <f aca="false">IFERROR(1/(1/INDEX(PMTCT!$AS:$AS,MATCH($E285,PMTCT!$E:$E,0))),"")</f>
        <v/>
      </c>
      <c r="Y285" s="10" t="str">
        <f aca="false">IFERROR(1/(1/INDEX(VMMC!$AA:$AA,MATCH($E285,VMMC!$E:$E,0))),"")</f>
        <v/>
      </c>
      <c r="Z285" s="10" t="str">
        <f aca="false">IFERROR(1/(1/(SUM($U285)-SUM($V285:$Y285))),"")</f>
        <v/>
      </c>
    </row>
    <row r="286" customFormat="false" ht="15" hidden="false" customHeight="false" outlineLevel="0" collapsed="false">
      <c r="A286" s="0" t="str">
        <f aca="false">INDEX(Prioritization!$D:$D,MATCH($B286,Prioritization!$A:$A,0))</f>
        <v>INVALID</v>
      </c>
      <c r="B286" s="0" t="s">
        <v>216</v>
      </c>
      <c r="C286" s="0" t="s">
        <v>366</v>
      </c>
      <c r="D286" s="0" t="s">
        <v>48</v>
      </c>
      <c r="E286" s="0" t="str">
        <f aca="false">B286&amp;"|"&amp;C286&amp;"|"&amp;D286</f>
        <v>Mulanje District [umc2n1Z4wNv]|25-34|Male</v>
      </c>
      <c r="F286" s="10"/>
      <c r="G286" s="88" t="n">
        <f aca="false">0</f>
        <v>0</v>
      </c>
      <c r="H286" s="39" t="str">
        <f aca="false">IF(SUM($F286)=0,"",ROUND($F286*(1+$G286),0))</f>
        <v/>
      </c>
      <c r="I286" s="10"/>
      <c r="J286" s="88"/>
      <c r="K286" s="88" t="str">
        <f aca="false">IF($J286="","",$J286)</f>
        <v/>
      </c>
      <c r="L286" s="88"/>
      <c r="M286" s="88" t="str">
        <f aca="false">IF($L286="","",$L286)</f>
        <v/>
      </c>
      <c r="N286" s="10" t="str">
        <f aca="false">$H286</f>
        <v/>
      </c>
      <c r="O286" s="39" t="str">
        <f aca="false">IF(SUM($N286)=0,"",IF(AND(SUM($N286)&gt;0,$K286=""),"ENTER KNOWN POSITIVITY RATE",ROUND($N286*$K286,0)))</f>
        <v/>
      </c>
      <c r="P286" s="39" t="str">
        <f aca="false">IF(SUM($N286)=0,"",IF(AND((SUM($N286)-SUM($O286))&gt;0,$M286=""),"ENTER YIELD RATE",ROUND(($N286-SUM($O286))*$M286,0)))</f>
        <v/>
      </c>
      <c r="Q286" s="39" t="str">
        <f aca="false">IF(SUM($N286)=0,"",$N286-SUM($O286)-SUM($P286))</f>
        <v/>
      </c>
      <c r="R286" s="88" t="str">
        <f aca="false">IF(SUM($P286)=0,"",INDEX(Cascade!$BG:$BG,MATCH($E286,Cascade!$E:$E,0)))</f>
        <v/>
      </c>
      <c r="S286" s="39" t="str">
        <f aca="false">$O286</f>
        <v/>
      </c>
      <c r="T286" s="39" t="str">
        <f aca="false">IF(SUM($P286)=0,"",IF(AND($R286="",SUM($P286)&gt;0),"&lt;- Enter Linkage Rate",ROUND($P286*$R286,0)))</f>
        <v/>
      </c>
      <c r="U286" s="10" t="str">
        <f aca="false">IFERROR(1/(1/INDEX(Cascade!$BH:$BH,MATCH($E286,Cascade!$E:$E,0))),"")</f>
        <v/>
      </c>
      <c r="V286" s="10" t="str">
        <f aca="false">IF(SUM($P286)=0,"",$P286)</f>
        <v/>
      </c>
      <c r="W286" s="10" t="str">
        <f aca="false">IFERROR(1/(1/INDEX(PMTCT!$AC:$AC,MATCH($E286,PMTCT!$E:$E,0))),"")</f>
        <v/>
      </c>
      <c r="X286" s="10" t="str">
        <f aca="false">IFERROR(1/(1/INDEX(PMTCT!$AS:$AS,MATCH($E286,PMTCT!$E:$E,0))),"")</f>
        <v/>
      </c>
      <c r="Y286" s="10" t="str">
        <f aca="false">IFERROR(1/(1/INDEX(VMMC!$AA:$AA,MATCH($E286,VMMC!$E:$E,0))),"")</f>
        <v/>
      </c>
      <c r="Z286" s="10" t="str">
        <f aca="false">IFERROR(1/(1/(SUM($U286)-SUM($V286:$Y286))),"")</f>
        <v/>
      </c>
    </row>
    <row r="287" customFormat="false" ht="15" hidden="false" customHeight="false" outlineLevel="0" collapsed="false">
      <c r="A287" s="0" t="str">
        <f aca="false">INDEX(Prioritization!$D:$D,MATCH($B287,Prioritization!$A:$A,0))</f>
        <v>INVALID</v>
      </c>
      <c r="B287" s="0" t="s">
        <v>216</v>
      </c>
      <c r="C287" s="0" t="s">
        <v>367</v>
      </c>
      <c r="D287" s="0" t="s">
        <v>30</v>
      </c>
      <c r="E287" s="0" t="str">
        <f aca="false">B287&amp;"|"&amp;C287&amp;"|"&amp;D287</f>
        <v>Mulanje District [umc2n1Z4wNv]|35-49|Female</v>
      </c>
      <c r="F287" s="10"/>
      <c r="G287" s="88" t="n">
        <f aca="false">0</f>
        <v>0</v>
      </c>
      <c r="H287" s="39" t="str">
        <f aca="false">IF(SUM($F287)=0,"",ROUND($F287*(1+$G287),0))</f>
        <v/>
      </c>
      <c r="I287" s="10"/>
      <c r="J287" s="88"/>
      <c r="K287" s="88" t="str">
        <f aca="false">IF($J287="","",$J287)</f>
        <v/>
      </c>
      <c r="L287" s="88"/>
      <c r="M287" s="88" t="str">
        <f aca="false">IF($L287="","",$L287)</f>
        <v/>
      </c>
      <c r="N287" s="10" t="str">
        <f aca="false">$H287</f>
        <v/>
      </c>
      <c r="O287" s="39" t="str">
        <f aca="false">IF(SUM($N287)=0,"",IF(AND(SUM($N287)&gt;0,$K287=""),"ENTER KNOWN POSITIVITY RATE",ROUND($N287*$K287,0)))</f>
        <v/>
      </c>
      <c r="P287" s="39" t="str">
        <f aca="false">IF(SUM($N287)=0,"",IF(AND((SUM($N287)-SUM($O287))&gt;0,$M287=""),"ENTER YIELD RATE",ROUND(($N287-SUM($O287))*$M287,0)))</f>
        <v/>
      </c>
      <c r="Q287" s="39" t="str">
        <f aca="false">IF(SUM($N287)=0,"",$N287-SUM($O287)-SUM($P287))</f>
        <v/>
      </c>
      <c r="R287" s="88" t="str">
        <f aca="false">IF(SUM($P287)=0,"",INDEX(Cascade!$BG:$BG,MATCH($E287,Cascade!$E:$E,0)))</f>
        <v/>
      </c>
      <c r="S287" s="39" t="str">
        <f aca="false">$O287</f>
        <v/>
      </c>
      <c r="T287" s="39" t="str">
        <f aca="false">IF(SUM($P287)=0,"",IF(AND($R287="",SUM($P287)&gt;0),"&lt;- Enter Linkage Rate",ROUND($P287*$R287,0)))</f>
        <v/>
      </c>
      <c r="U287" s="10" t="str">
        <f aca="false">IFERROR(1/(1/INDEX(Cascade!$BH:$BH,MATCH($E287,Cascade!$E:$E,0))),"")</f>
        <v/>
      </c>
      <c r="V287" s="10" t="str">
        <f aca="false">IF(SUM($P287)=0,"",$P287)</f>
        <v/>
      </c>
      <c r="W287" s="10" t="str">
        <f aca="false">IFERROR(1/(1/INDEX(PMTCT!$AC:$AC,MATCH($E287,PMTCT!$E:$E,0))),"")</f>
        <v/>
      </c>
      <c r="X287" s="10" t="str">
        <f aca="false">IFERROR(1/(1/INDEX(PMTCT!$AS:$AS,MATCH($E287,PMTCT!$E:$E,0))),"")</f>
        <v/>
      </c>
      <c r="Y287" s="10" t="str">
        <f aca="false">IFERROR(1/(1/INDEX(VMMC!$AA:$AA,MATCH($E287,VMMC!$E:$E,0))),"")</f>
        <v/>
      </c>
      <c r="Z287" s="10" t="str">
        <f aca="false">IFERROR(1/(1/(SUM($U287)-SUM($V287:$Y287))),"")</f>
        <v/>
      </c>
    </row>
    <row r="288" customFormat="false" ht="15" hidden="false" customHeight="false" outlineLevel="0" collapsed="false">
      <c r="A288" s="0" t="str">
        <f aca="false">INDEX(Prioritization!$D:$D,MATCH($B288,Prioritization!$A:$A,0))</f>
        <v>INVALID</v>
      </c>
      <c r="B288" s="0" t="s">
        <v>216</v>
      </c>
      <c r="C288" s="0" t="s">
        <v>367</v>
      </c>
      <c r="D288" s="0" t="s">
        <v>48</v>
      </c>
      <c r="E288" s="0" t="str">
        <f aca="false">B288&amp;"|"&amp;C288&amp;"|"&amp;D288</f>
        <v>Mulanje District [umc2n1Z4wNv]|35-49|Male</v>
      </c>
      <c r="F288" s="10"/>
      <c r="G288" s="88" t="n">
        <f aca="false">0</f>
        <v>0</v>
      </c>
      <c r="H288" s="39" t="str">
        <f aca="false">IF(SUM($F288)=0,"",ROUND($F288*(1+$G288),0))</f>
        <v/>
      </c>
      <c r="I288" s="10"/>
      <c r="J288" s="88"/>
      <c r="K288" s="88" t="str">
        <f aca="false">IF($J288="","",$J288)</f>
        <v/>
      </c>
      <c r="L288" s="88"/>
      <c r="M288" s="88" t="str">
        <f aca="false">IF($L288="","",$L288)</f>
        <v/>
      </c>
      <c r="N288" s="10" t="str">
        <f aca="false">$H288</f>
        <v/>
      </c>
      <c r="O288" s="39" t="str">
        <f aca="false">IF(SUM($N288)=0,"",IF(AND(SUM($N288)&gt;0,$K288=""),"ENTER KNOWN POSITIVITY RATE",ROUND($N288*$K288,0)))</f>
        <v/>
      </c>
      <c r="P288" s="39" t="str">
        <f aca="false">IF(SUM($N288)=0,"",IF(AND((SUM($N288)-SUM($O288))&gt;0,$M288=""),"ENTER YIELD RATE",ROUND(($N288-SUM($O288))*$M288,0)))</f>
        <v/>
      </c>
      <c r="Q288" s="39" t="str">
        <f aca="false">IF(SUM($N288)=0,"",$N288-SUM($O288)-SUM($P288))</f>
        <v/>
      </c>
      <c r="R288" s="88" t="str">
        <f aca="false">IF(SUM($P288)=0,"",INDEX(Cascade!$BG:$BG,MATCH($E288,Cascade!$E:$E,0)))</f>
        <v/>
      </c>
      <c r="S288" s="39" t="str">
        <f aca="false">$O288</f>
        <v/>
      </c>
      <c r="T288" s="39" t="str">
        <f aca="false">IF(SUM($P288)=0,"",IF(AND($R288="",SUM($P288)&gt;0),"&lt;- Enter Linkage Rate",ROUND($P288*$R288,0)))</f>
        <v/>
      </c>
      <c r="U288" s="10" t="str">
        <f aca="false">IFERROR(1/(1/INDEX(Cascade!$BH:$BH,MATCH($E288,Cascade!$E:$E,0))),"")</f>
        <v/>
      </c>
      <c r="V288" s="10" t="str">
        <f aca="false">IF(SUM($P288)=0,"",$P288)</f>
        <v/>
      </c>
      <c r="W288" s="10" t="str">
        <f aca="false">IFERROR(1/(1/INDEX(PMTCT!$AC:$AC,MATCH($E288,PMTCT!$E:$E,0))),"")</f>
        <v/>
      </c>
      <c r="X288" s="10" t="str">
        <f aca="false">IFERROR(1/(1/INDEX(PMTCT!$AS:$AS,MATCH($E288,PMTCT!$E:$E,0))),"")</f>
        <v/>
      </c>
      <c r="Y288" s="10" t="str">
        <f aca="false">IFERROR(1/(1/INDEX(VMMC!$AA:$AA,MATCH($E288,VMMC!$E:$E,0))),"")</f>
        <v/>
      </c>
      <c r="Z288" s="10" t="str">
        <f aca="false">IFERROR(1/(1/(SUM($U288)-SUM($V288:$Y288))),"")</f>
        <v/>
      </c>
    </row>
    <row r="289" customFormat="false" ht="15" hidden="false" customHeight="false" outlineLevel="0" collapsed="false">
      <c r="A289" s="0" t="str">
        <f aca="false">INDEX(Prioritization!$D:$D,MATCH($B289,Prioritization!$A:$A,0))</f>
        <v>INVALID</v>
      </c>
      <c r="B289" s="0" t="s">
        <v>216</v>
      </c>
      <c r="C289" s="0" t="s">
        <v>368</v>
      </c>
      <c r="D289" s="0" t="s">
        <v>30</v>
      </c>
      <c r="E289" s="0" t="str">
        <f aca="false">B289&amp;"|"&amp;C289&amp;"|"&amp;D289</f>
        <v>Mulanje District [umc2n1Z4wNv]|50+|Female</v>
      </c>
      <c r="F289" s="10"/>
      <c r="G289" s="88" t="n">
        <f aca="false">0</f>
        <v>0</v>
      </c>
      <c r="H289" s="39" t="str">
        <f aca="false">IF(SUM($F289)=0,"",ROUND($F289*(1+$G289),0))</f>
        <v/>
      </c>
      <c r="I289" s="10"/>
      <c r="J289" s="88"/>
      <c r="K289" s="88" t="str">
        <f aca="false">IF($J289="","",$J289)</f>
        <v/>
      </c>
      <c r="L289" s="88"/>
      <c r="M289" s="88" t="str">
        <f aca="false">IF($L289="","",$L289)</f>
        <v/>
      </c>
      <c r="N289" s="10" t="str">
        <f aca="false">$H289</f>
        <v/>
      </c>
      <c r="O289" s="39" t="str">
        <f aca="false">IF(SUM($N289)=0,"",IF(AND(SUM($N289)&gt;0,$K289=""),"ENTER KNOWN POSITIVITY RATE",ROUND($N289*$K289,0)))</f>
        <v/>
      </c>
      <c r="P289" s="39" t="str">
        <f aca="false">IF(SUM($N289)=0,"",IF(AND((SUM($N289)-SUM($O289))&gt;0,$M289=""),"ENTER YIELD RATE",ROUND(($N289-SUM($O289))*$M289,0)))</f>
        <v/>
      </c>
      <c r="Q289" s="39" t="str">
        <f aca="false">IF(SUM($N289)=0,"",$N289-SUM($O289)-SUM($P289))</f>
        <v/>
      </c>
      <c r="R289" s="88" t="str">
        <f aca="false">IF(SUM($P289)=0,"",INDEX(Cascade!$BG:$BG,MATCH($E289,Cascade!$E:$E,0)))</f>
        <v/>
      </c>
      <c r="S289" s="39" t="str">
        <f aca="false">$O289</f>
        <v/>
      </c>
      <c r="T289" s="39" t="str">
        <f aca="false">IF(SUM($P289)=0,"",IF(AND($R289="",SUM($P289)&gt;0),"&lt;- Enter Linkage Rate",ROUND($P289*$R289,0)))</f>
        <v/>
      </c>
      <c r="U289" s="10" t="str">
        <f aca="false">IFERROR(1/(1/INDEX(Cascade!$BH:$BH,MATCH($E289,Cascade!$E:$E,0))),"")</f>
        <v/>
      </c>
      <c r="V289" s="10" t="str">
        <f aca="false">IF(SUM($P289)=0,"",$P289)</f>
        <v/>
      </c>
      <c r="W289" s="10" t="str">
        <f aca="false">IFERROR(1/(1/INDEX(PMTCT!$AC:$AC,MATCH($E289,PMTCT!$E:$E,0))),"")</f>
        <v/>
      </c>
      <c r="X289" s="10" t="str">
        <f aca="false">IFERROR(1/(1/INDEX(PMTCT!$AS:$AS,MATCH($E289,PMTCT!$E:$E,0))),"")</f>
        <v/>
      </c>
      <c r="Y289" s="10" t="str">
        <f aca="false">IFERROR(1/(1/INDEX(VMMC!$AA:$AA,MATCH($E289,VMMC!$E:$E,0))),"")</f>
        <v/>
      </c>
      <c r="Z289" s="10" t="str">
        <f aca="false">IFERROR(1/(1/(SUM($U289)-SUM($V289:$Y289))),"")</f>
        <v/>
      </c>
    </row>
    <row r="290" customFormat="false" ht="15" hidden="false" customHeight="false" outlineLevel="0" collapsed="false">
      <c r="A290" s="0" t="str">
        <f aca="false">INDEX(Prioritization!$D:$D,MATCH($B290,Prioritization!$A:$A,0))</f>
        <v>INVALID</v>
      </c>
      <c r="B290" s="0" t="s">
        <v>216</v>
      </c>
      <c r="C290" s="0" t="s">
        <v>368</v>
      </c>
      <c r="D290" s="0" t="s">
        <v>48</v>
      </c>
      <c r="E290" s="0" t="str">
        <f aca="false">B290&amp;"|"&amp;C290&amp;"|"&amp;D290</f>
        <v>Mulanje District [umc2n1Z4wNv]|50+|Male</v>
      </c>
      <c r="F290" s="10"/>
      <c r="G290" s="88" t="n">
        <f aca="false">0</f>
        <v>0</v>
      </c>
      <c r="H290" s="39" t="str">
        <f aca="false">IF(SUM($F290)=0,"",ROUND($F290*(1+$G290),0))</f>
        <v/>
      </c>
      <c r="I290" s="10"/>
      <c r="J290" s="88"/>
      <c r="K290" s="88" t="str">
        <f aca="false">IF($J290="","",$J290)</f>
        <v/>
      </c>
      <c r="L290" s="88"/>
      <c r="M290" s="88" t="str">
        <f aca="false">IF($L290="","",$L290)</f>
        <v/>
      </c>
      <c r="N290" s="10" t="str">
        <f aca="false">$H290</f>
        <v/>
      </c>
      <c r="O290" s="39" t="str">
        <f aca="false">IF(SUM($N290)=0,"",IF(AND(SUM($N290)&gt;0,$K290=""),"ENTER KNOWN POSITIVITY RATE",ROUND($N290*$K290,0)))</f>
        <v/>
      </c>
      <c r="P290" s="39" t="str">
        <f aca="false">IF(SUM($N290)=0,"",IF(AND((SUM($N290)-SUM($O290))&gt;0,$M290=""),"ENTER YIELD RATE",ROUND(($N290-SUM($O290))*$M290,0)))</f>
        <v/>
      </c>
      <c r="Q290" s="39" t="str">
        <f aca="false">IF(SUM($N290)=0,"",$N290-SUM($O290)-SUM($P290))</f>
        <v/>
      </c>
      <c r="R290" s="88" t="str">
        <f aca="false">IF(SUM($P290)=0,"",INDEX(Cascade!$BG:$BG,MATCH($E290,Cascade!$E:$E,0)))</f>
        <v/>
      </c>
      <c r="S290" s="39" t="str">
        <f aca="false">$O290</f>
        <v/>
      </c>
      <c r="T290" s="39" t="str">
        <f aca="false">IF(SUM($P290)=0,"",IF(AND($R290="",SUM($P290)&gt;0),"&lt;- Enter Linkage Rate",ROUND($P290*$R290,0)))</f>
        <v/>
      </c>
      <c r="U290" s="10" t="str">
        <f aca="false">IFERROR(1/(1/INDEX(Cascade!$BH:$BH,MATCH($E290,Cascade!$E:$E,0))),"")</f>
        <v/>
      </c>
      <c r="V290" s="10" t="str">
        <f aca="false">IF(SUM($P290)=0,"",$P290)</f>
        <v/>
      </c>
      <c r="W290" s="10" t="str">
        <f aca="false">IFERROR(1/(1/INDEX(PMTCT!$AC:$AC,MATCH($E290,PMTCT!$E:$E,0))),"")</f>
        <v/>
      </c>
      <c r="X290" s="10" t="str">
        <f aca="false">IFERROR(1/(1/INDEX(PMTCT!$AS:$AS,MATCH($E290,PMTCT!$E:$E,0))),"")</f>
        <v/>
      </c>
      <c r="Y290" s="10" t="str">
        <f aca="false">IFERROR(1/(1/INDEX(VMMC!$AA:$AA,MATCH($E290,VMMC!$E:$E,0))),"")</f>
        <v/>
      </c>
      <c r="Z290" s="10" t="str">
        <f aca="false">IFERROR(1/(1/(SUM($U290)-SUM($V290:$Y290))),"")</f>
        <v/>
      </c>
    </row>
    <row r="291" customFormat="false" ht="15" hidden="false" customHeight="false" outlineLevel="0" collapsed="false">
      <c r="A291" s="0" t="str">
        <f aca="false">INDEX(Prioritization!$D:$D,MATCH($B291,Prioritization!$A:$A,0))</f>
        <v>INVALID</v>
      </c>
      <c r="B291" s="0" t="s">
        <v>217</v>
      </c>
      <c r="C291" s="0" t="s">
        <v>363</v>
      </c>
      <c r="D291" s="0" t="s">
        <v>30</v>
      </c>
      <c r="E291" s="0" t="str">
        <f aca="false">B291&amp;"|"&amp;C291&amp;"|"&amp;D291</f>
        <v>Mwanza District [wNqJp8oRIcF]|01-09|Female</v>
      </c>
      <c r="F291" s="10"/>
      <c r="G291" s="88" t="n">
        <f aca="false">0</f>
        <v>0</v>
      </c>
      <c r="H291" s="39" t="str">
        <f aca="false">IF(SUM($F291)=0,"",ROUND($F291*(1+$G291),0))</f>
        <v/>
      </c>
      <c r="I291" s="10"/>
      <c r="J291" s="88"/>
      <c r="K291" s="88" t="str">
        <f aca="false">IF($J291="","",$J291)</f>
        <v/>
      </c>
      <c r="L291" s="88"/>
      <c r="M291" s="88" t="str">
        <f aca="false">IF($L291="","",$L291)</f>
        <v/>
      </c>
      <c r="N291" s="10" t="str">
        <f aca="false">$H291</f>
        <v/>
      </c>
      <c r="O291" s="39" t="str">
        <f aca="false">IF(SUM($N291)=0,"",IF(AND(SUM($N291)&gt;0,$K291=""),"ENTER KNOWN POSITIVITY RATE",ROUND($N291*$K291,0)))</f>
        <v/>
      </c>
      <c r="P291" s="39" t="str">
        <f aca="false">IF(SUM($N291)=0,"",IF(AND((SUM($N291)-SUM($O291))&gt;0,$M291=""),"ENTER YIELD RATE",ROUND(($N291-SUM($O291))*$M291,0)))</f>
        <v/>
      </c>
      <c r="Q291" s="39" t="str">
        <f aca="false">IF(SUM($N291)=0,"",$N291-SUM($O291)-SUM($P291))</f>
        <v/>
      </c>
      <c r="R291" s="88" t="str">
        <f aca="false">IF(SUM($P291)=0,"",INDEX(Cascade!$BG:$BG,MATCH($E291,Cascade!$E:$E,0)))</f>
        <v/>
      </c>
      <c r="S291" s="39" t="str">
        <f aca="false">$O291</f>
        <v/>
      </c>
      <c r="T291" s="39" t="str">
        <f aca="false">IF(SUM($P291)=0,"",IF(AND($R291="",SUM($P291)&gt;0),"&lt;- Enter Linkage Rate",ROUND($P291*$R291,0)))</f>
        <v/>
      </c>
      <c r="U291" s="10" t="str">
        <f aca="false">IFERROR(1/(1/INDEX(Cascade!$BH:$BH,MATCH($E291,Cascade!$E:$E,0))),"")</f>
        <v/>
      </c>
      <c r="V291" s="10" t="str">
        <f aca="false">IF(SUM($P291)=0,"",$P291)</f>
        <v/>
      </c>
      <c r="W291" s="10" t="str">
        <f aca="false">IFERROR(1/(1/INDEX(PMTCT!$AC:$AC,MATCH($E291,PMTCT!$E:$E,0))),"")</f>
        <v/>
      </c>
      <c r="X291" s="10" t="str">
        <f aca="false">IFERROR(1/(1/INDEX(PMTCT!$AS:$AS,MATCH($E291,PMTCT!$E:$E,0))),"")</f>
        <v/>
      </c>
      <c r="Y291" s="10" t="str">
        <f aca="false">IFERROR(1/(1/INDEX(VMMC!$AA:$AA,MATCH($E291,VMMC!$E:$E,0))),"")</f>
        <v/>
      </c>
      <c r="Z291" s="10" t="str">
        <f aca="false">IFERROR(1/(1/(SUM($U291)-SUM($V291:$Y291))),"")</f>
        <v/>
      </c>
    </row>
    <row r="292" customFormat="false" ht="15" hidden="false" customHeight="false" outlineLevel="0" collapsed="false">
      <c r="A292" s="0" t="str">
        <f aca="false">INDEX(Prioritization!$D:$D,MATCH($B292,Prioritization!$A:$A,0))</f>
        <v>INVALID</v>
      </c>
      <c r="B292" s="0" t="s">
        <v>217</v>
      </c>
      <c r="C292" s="0" t="s">
        <v>363</v>
      </c>
      <c r="D292" s="0" t="s">
        <v>48</v>
      </c>
      <c r="E292" s="0" t="str">
        <f aca="false">B292&amp;"|"&amp;C292&amp;"|"&amp;D292</f>
        <v>Mwanza District [wNqJp8oRIcF]|01-09|Male</v>
      </c>
      <c r="F292" s="10"/>
      <c r="G292" s="88" t="n">
        <f aca="false">0</f>
        <v>0</v>
      </c>
      <c r="H292" s="39" t="str">
        <f aca="false">IF(SUM($F292)=0,"",ROUND($F292*(1+$G292),0))</f>
        <v/>
      </c>
      <c r="I292" s="10"/>
      <c r="J292" s="88"/>
      <c r="K292" s="88" t="str">
        <f aca="false">IF($J292="","",$J292)</f>
        <v/>
      </c>
      <c r="L292" s="88"/>
      <c r="M292" s="88" t="str">
        <f aca="false">IF($L292="","",$L292)</f>
        <v/>
      </c>
      <c r="N292" s="10" t="str">
        <f aca="false">$H292</f>
        <v/>
      </c>
      <c r="O292" s="39" t="str">
        <f aca="false">IF(SUM($N292)=0,"",IF(AND(SUM($N292)&gt;0,$K292=""),"ENTER KNOWN POSITIVITY RATE",ROUND($N292*$K292,0)))</f>
        <v/>
      </c>
      <c r="P292" s="39" t="str">
        <f aca="false">IF(SUM($N292)=0,"",IF(AND((SUM($N292)-SUM($O292))&gt;0,$M292=""),"ENTER YIELD RATE",ROUND(($N292-SUM($O292))*$M292,0)))</f>
        <v/>
      </c>
      <c r="Q292" s="39" t="str">
        <f aca="false">IF(SUM($N292)=0,"",$N292-SUM($O292)-SUM($P292))</f>
        <v/>
      </c>
      <c r="R292" s="88" t="str">
        <f aca="false">IF(SUM($P292)=0,"",INDEX(Cascade!$BG:$BG,MATCH($E292,Cascade!$E:$E,0)))</f>
        <v/>
      </c>
      <c r="S292" s="39" t="str">
        <f aca="false">$O292</f>
        <v/>
      </c>
      <c r="T292" s="39" t="str">
        <f aca="false">IF(SUM($P292)=0,"",IF(AND($R292="",SUM($P292)&gt;0),"&lt;- Enter Linkage Rate",ROUND($P292*$R292,0)))</f>
        <v/>
      </c>
      <c r="U292" s="10" t="str">
        <f aca="false">IFERROR(1/(1/INDEX(Cascade!$BH:$BH,MATCH($E292,Cascade!$E:$E,0))),"")</f>
        <v/>
      </c>
      <c r="V292" s="10" t="str">
        <f aca="false">IF(SUM($P292)=0,"",$P292)</f>
        <v/>
      </c>
      <c r="W292" s="10" t="str">
        <f aca="false">IFERROR(1/(1/INDEX(PMTCT!$AC:$AC,MATCH($E292,PMTCT!$E:$E,0))),"")</f>
        <v/>
      </c>
      <c r="X292" s="10" t="str">
        <f aca="false">IFERROR(1/(1/INDEX(PMTCT!$AS:$AS,MATCH($E292,PMTCT!$E:$E,0))),"")</f>
        <v/>
      </c>
      <c r="Y292" s="10" t="str">
        <f aca="false">IFERROR(1/(1/INDEX(VMMC!$AA:$AA,MATCH($E292,VMMC!$E:$E,0))),"")</f>
        <v/>
      </c>
      <c r="Z292" s="10" t="str">
        <f aca="false">IFERROR(1/(1/(SUM($U292)-SUM($V292:$Y292))),"")</f>
        <v/>
      </c>
    </row>
    <row r="293" customFormat="false" ht="15" hidden="false" customHeight="false" outlineLevel="0" collapsed="false">
      <c r="A293" s="0" t="str">
        <f aca="false">INDEX(Prioritization!$D:$D,MATCH($B293,Prioritization!$A:$A,0))</f>
        <v>INVALID</v>
      </c>
      <c r="B293" s="0" t="s">
        <v>217</v>
      </c>
      <c r="C293" s="0" t="s">
        <v>364</v>
      </c>
      <c r="D293" s="0" t="s">
        <v>30</v>
      </c>
      <c r="E293" s="0" t="str">
        <f aca="false">B293&amp;"|"&amp;C293&amp;"|"&amp;D293</f>
        <v>Mwanza District [wNqJp8oRIcF]|10-14|Female</v>
      </c>
      <c r="F293" s="10" t="n">
        <v>1</v>
      </c>
      <c r="G293" s="88" t="n">
        <f aca="false">0</f>
        <v>0</v>
      </c>
      <c r="H293" s="39" t="n">
        <f aca="false">IF(SUM($F293)=0,"",ROUND($F293*(1+$G293),0))</f>
        <v>1</v>
      </c>
      <c r="I293" s="10"/>
      <c r="J293" s="88"/>
      <c r="K293" s="88" t="str">
        <f aca="false">IF($J293="","",$J293)</f>
        <v/>
      </c>
      <c r="L293" s="88"/>
      <c r="M293" s="88" t="str">
        <f aca="false">IF($L293="","",$L293)</f>
        <v/>
      </c>
      <c r="N293" s="10" t="n">
        <f aca="false">$H293</f>
        <v>1</v>
      </c>
      <c r="O293" s="39" t="str">
        <f aca="false">IF(SUM($N293)=0,"",IF(AND(SUM($N293)&gt;0,$K293=""),"ENTER KNOWN POSITIVITY RATE",ROUND($N293*$K293,0)))</f>
        <v>ENTER KNOWN POSITIVITY RATE</v>
      </c>
      <c r="P293" s="39" t="str">
        <f aca="false">IF(SUM($N293)=0,"",IF(AND((SUM($N293)-SUM($O293))&gt;0,$M293=""),"ENTER YIELD RATE",ROUND(($N293-SUM($O293))*$M293,0)))</f>
        <v>ENTER YIELD RATE</v>
      </c>
      <c r="Q293" s="39" t="n">
        <f aca="false">IF(SUM($N293)=0,"",$N293-SUM($O293)-SUM($P293))</f>
        <v>1</v>
      </c>
      <c r="R293" s="88" t="str">
        <f aca="false">IF(SUM($P293)=0,"",INDEX(Cascade!$BG:$BG,MATCH($E293,Cascade!$E:$E,0)))</f>
        <v/>
      </c>
      <c r="S293" s="39" t="str">
        <f aca="false">$O293</f>
        <v>ENTER KNOWN POSITIVITY RATE</v>
      </c>
      <c r="T293" s="39" t="str">
        <f aca="false">IF(SUM($P293)=0,"",IF(AND($R293="",SUM($P293)&gt;0),"&lt;- Enter Linkage Rate",ROUND($P293*$R293,0)))</f>
        <v/>
      </c>
      <c r="U293" s="10" t="n">
        <f aca="false">IFERROR(1/(1/INDEX(Cascade!$BH:$BH,MATCH($E293,Cascade!$E:$E,0))),"")</f>
        <v>-8</v>
      </c>
      <c r="V293" s="10" t="str">
        <f aca="false">IF(SUM($P293)=0,"",$P293)</f>
        <v/>
      </c>
      <c r="W293" s="10" t="str">
        <f aca="false">IFERROR(1/(1/INDEX(PMTCT!$AC:$AC,MATCH($E293,PMTCT!$E:$E,0))),"")</f>
        <v/>
      </c>
      <c r="X293" s="10" t="str">
        <f aca="false">IFERROR(1/(1/INDEX(PMTCT!$AS:$AS,MATCH($E293,PMTCT!$E:$E,0))),"")</f>
        <v/>
      </c>
      <c r="Y293" s="10" t="str">
        <f aca="false">IFERROR(1/(1/INDEX(VMMC!$AA:$AA,MATCH($E293,VMMC!$E:$E,0))),"")</f>
        <v/>
      </c>
      <c r="Z293" s="10" t="n">
        <f aca="false">IFERROR(1/(1/(SUM($U293)-SUM($V293:$Y293))),"")</f>
        <v>-8</v>
      </c>
    </row>
    <row r="294" customFormat="false" ht="15" hidden="false" customHeight="false" outlineLevel="0" collapsed="false">
      <c r="A294" s="0" t="str">
        <f aca="false">INDEX(Prioritization!$D:$D,MATCH($B294,Prioritization!$A:$A,0))</f>
        <v>INVALID</v>
      </c>
      <c r="B294" s="0" t="s">
        <v>217</v>
      </c>
      <c r="C294" s="0" t="s">
        <v>364</v>
      </c>
      <c r="D294" s="0" t="s">
        <v>48</v>
      </c>
      <c r="E294" s="0" t="str">
        <f aca="false">B294&amp;"|"&amp;C294&amp;"|"&amp;D294</f>
        <v>Mwanza District [wNqJp8oRIcF]|10-14|Male</v>
      </c>
      <c r="F294" s="10" t="n">
        <v>0</v>
      </c>
      <c r="G294" s="88" t="n">
        <f aca="false">0</f>
        <v>0</v>
      </c>
      <c r="H294" s="39" t="str">
        <f aca="false">IF(SUM($F294)=0,"",ROUND($F294*(1+$G294),0))</f>
        <v/>
      </c>
      <c r="I294" s="10"/>
      <c r="J294" s="88"/>
      <c r="K294" s="88" t="str">
        <f aca="false">IF($J294="","",$J294)</f>
        <v/>
      </c>
      <c r="L294" s="88"/>
      <c r="M294" s="88" t="str">
        <f aca="false">IF($L294="","",$L294)</f>
        <v/>
      </c>
      <c r="N294" s="10" t="str">
        <f aca="false">$H294</f>
        <v/>
      </c>
      <c r="O294" s="39" t="str">
        <f aca="false">IF(SUM($N294)=0,"",IF(AND(SUM($N294)&gt;0,$K294=""),"ENTER KNOWN POSITIVITY RATE",ROUND($N294*$K294,0)))</f>
        <v/>
      </c>
      <c r="P294" s="39" t="str">
        <f aca="false">IF(SUM($N294)=0,"",IF(AND((SUM($N294)-SUM($O294))&gt;0,$M294=""),"ENTER YIELD RATE",ROUND(($N294-SUM($O294))*$M294,0)))</f>
        <v/>
      </c>
      <c r="Q294" s="39" t="str">
        <f aca="false">IF(SUM($N294)=0,"",$N294-SUM($O294)-SUM($P294))</f>
        <v/>
      </c>
      <c r="R294" s="88" t="str">
        <f aca="false">IF(SUM($P294)=0,"",INDEX(Cascade!$BG:$BG,MATCH($E294,Cascade!$E:$E,0)))</f>
        <v/>
      </c>
      <c r="S294" s="39" t="str">
        <f aca="false">$O294</f>
        <v/>
      </c>
      <c r="T294" s="39" t="str">
        <f aca="false">IF(SUM($P294)=0,"",IF(AND($R294="",SUM($P294)&gt;0),"&lt;- Enter Linkage Rate",ROUND($P294*$R294,0)))</f>
        <v/>
      </c>
      <c r="U294" s="10" t="n">
        <f aca="false">IFERROR(1/(1/INDEX(Cascade!$BH:$BH,MATCH($E294,Cascade!$E:$E,0))),"")</f>
        <v>-58</v>
      </c>
      <c r="V294" s="10" t="str">
        <f aca="false">IF(SUM($P294)=0,"",$P294)</f>
        <v/>
      </c>
      <c r="W294" s="10" t="str">
        <f aca="false">IFERROR(1/(1/INDEX(PMTCT!$AC:$AC,MATCH($E294,PMTCT!$E:$E,0))),"")</f>
        <v/>
      </c>
      <c r="X294" s="10" t="str">
        <f aca="false">IFERROR(1/(1/INDEX(PMTCT!$AS:$AS,MATCH($E294,PMTCT!$E:$E,0))),"")</f>
        <v/>
      </c>
      <c r="Y294" s="10" t="str">
        <f aca="false">IFERROR(1/(1/INDEX(VMMC!$AA:$AA,MATCH($E294,VMMC!$E:$E,0))),"")</f>
        <v/>
      </c>
      <c r="Z294" s="10" t="n">
        <f aca="false">IFERROR(1/(1/(SUM($U294)-SUM($V294:$Y294))),"")</f>
        <v>-58</v>
      </c>
    </row>
    <row r="295" customFormat="false" ht="15" hidden="false" customHeight="false" outlineLevel="0" collapsed="false">
      <c r="A295" s="0" t="str">
        <f aca="false">INDEX(Prioritization!$D:$D,MATCH($B295,Prioritization!$A:$A,0))</f>
        <v>INVALID</v>
      </c>
      <c r="B295" s="0" t="s">
        <v>217</v>
      </c>
      <c r="C295" s="0" t="s">
        <v>365</v>
      </c>
      <c r="D295" s="0" t="s">
        <v>30</v>
      </c>
      <c r="E295" s="0" t="str">
        <f aca="false">B295&amp;"|"&amp;C295&amp;"|"&amp;D295</f>
        <v>Mwanza District [wNqJp8oRIcF]|15-24|Female</v>
      </c>
      <c r="F295" s="10"/>
      <c r="G295" s="88" t="n">
        <f aca="false">0</f>
        <v>0</v>
      </c>
      <c r="H295" s="39" t="str">
        <f aca="false">IF(SUM($F295)=0,"",ROUND($F295*(1+$G295),0))</f>
        <v/>
      </c>
      <c r="I295" s="10"/>
      <c r="J295" s="88"/>
      <c r="K295" s="88" t="str">
        <f aca="false">IF($J295="","",$J295)</f>
        <v/>
      </c>
      <c r="L295" s="88"/>
      <c r="M295" s="88" t="str">
        <f aca="false">IF($L295="","",$L295)</f>
        <v/>
      </c>
      <c r="N295" s="10" t="str">
        <f aca="false">$H295</f>
        <v/>
      </c>
      <c r="O295" s="39" t="str">
        <f aca="false">IF(SUM($N295)=0,"",IF(AND(SUM($N295)&gt;0,$K295=""),"ENTER KNOWN POSITIVITY RATE",ROUND($N295*$K295,0)))</f>
        <v/>
      </c>
      <c r="P295" s="39" t="str">
        <f aca="false">IF(SUM($N295)=0,"",IF(AND((SUM($N295)-SUM($O295))&gt;0,$M295=""),"ENTER YIELD RATE",ROUND(($N295-SUM($O295))*$M295,0)))</f>
        <v/>
      </c>
      <c r="Q295" s="39" t="str">
        <f aca="false">IF(SUM($N295)=0,"",$N295-SUM($O295)-SUM($P295))</f>
        <v/>
      </c>
      <c r="R295" s="88" t="str">
        <f aca="false">IF(SUM($P295)=0,"",INDEX(Cascade!$BG:$BG,MATCH($E295,Cascade!$E:$E,0)))</f>
        <v/>
      </c>
      <c r="S295" s="39" t="str">
        <f aca="false">$O295</f>
        <v/>
      </c>
      <c r="T295" s="39" t="str">
        <f aca="false">IF(SUM($P295)=0,"",IF(AND($R295="",SUM($P295)&gt;0),"&lt;- Enter Linkage Rate",ROUND($P295*$R295,0)))</f>
        <v/>
      </c>
      <c r="U295" s="10" t="str">
        <f aca="false">IFERROR(1/(1/INDEX(Cascade!$BH:$BH,MATCH($E295,Cascade!$E:$E,0))),"")</f>
        <v/>
      </c>
      <c r="V295" s="10" t="str">
        <f aca="false">IF(SUM($P295)=0,"",$P295)</f>
        <v/>
      </c>
      <c r="W295" s="10" t="str">
        <f aca="false">IFERROR(1/(1/INDEX(PMTCT!$AC:$AC,MATCH($E295,PMTCT!$E:$E,0))),"")</f>
        <v/>
      </c>
      <c r="X295" s="10" t="str">
        <f aca="false">IFERROR(1/(1/INDEX(PMTCT!$AS:$AS,MATCH($E295,PMTCT!$E:$E,0))),"")</f>
        <v/>
      </c>
      <c r="Y295" s="10" t="str">
        <f aca="false">IFERROR(1/(1/INDEX(VMMC!$AA:$AA,MATCH($E295,VMMC!$E:$E,0))),"")</f>
        <v/>
      </c>
      <c r="Z295" s="10" t="str">
        <f aca="false">IFERROR(1/(1/(SUM($U295)-SUM($V295:$Y295))),"")</f>
        <v/>
      </c>
    </row>
    <row r="296" customFormat="false" ht="15" hidden="false" customHeight="false" outlineLevel="0" collapsed="false">
      <c r="A296" s="0" t="str">
        <f aca="false">INDEX(Prioritization!$D:$D,MATCH($B296,Prioritization!$A:$A,0))</f>
        <v>INVALID</v>
      </c>
      <c r="B296" s="0" t="s">
        <v>217</v>
      </c>
      <c r="C296" s="0" t="s">
        <v>365</v>
      </c>
      <c r="D296" s="0" t="s">
        <v>48</v>
      </c>
      <c r="E296" s="0" t="str">
        <f aca="false">B296&amp;"|"&amp;C296&amp;"|"&amp;D296</f>
        <v>Mwanza District [wNqJp8oRIcF]|15-24|Male</v>
      </c>
      <c r="F296" s="10"/>
      <c r="G296" s="88" t="n">
        <f aca="false">0</f>
        <v>0</v>
      </c>
      <c r="H296" s="39" t="str">
        <f aca="false">IF(SUM($F296)=0,"",ROUND($F296*(1+$G296),0))</f>
        <v/>
      </c>
      <c r="I296" s="10"/>
      <c r="J296" s="88"/>
      <c r="K296" s="88" t="str">
        <f aca="false">IF($J296="","",$J296)</f>
        <v/>
      </c>
      <c r="L296" s="88"/>
      <c r="M296" s="88" t="str">
        <f aca="false">IF($L296="","",$L296)</f>
        <v/>
      </c>
      <c r="N296" s="10" t="str">
        <f aca="false">$H296</f>
        <v/>
      </c>
      <c r="O296" s="39" t="str">
        <f aca="false">IF(SUM($N296)=0,"",IF(AND(SUM($N296)&gt;0,$K296=""),"ENTER KNOWN POSITIVITY RATE",ROUND($N296*$K296,0)))</f>
        <v/>
      </c>
      <c r="P296" s="39" t="str">
        <f aca="false">IF(SUM($N296)=0,"",IF(AND((SUM($N296)-SUM($O296))&gt;0,$M296=""),"ENTER YIELD RATE",ROUND(($N296-SUM($O296))*$M296,0)))</f>
        <v/>
      </c>
      <c r="Q296" s="39" t="str">
        <f aca="false">IF(SUM($N296)=0,"",$N296-SUM($O296)-SUM($P296))</f>
        <v/>
      </c>
      <c r="R296" s="88" t="str">
        <f aca="false">IF(SUM($P296)=0,"",INDEX(Cascade!$BG:$BG,MATCH($E296,Cascade!$E:$E,0)))</f>
        <v/>
      </c>
      <c r="S296" s="39" t="str">
        <f aca="false">$O296</f>
        <v/>
      </c>
      <c r="T296" s="39" t="str">
        <f aca="false">IF(SUM($P296)=0,"",IF(AND($R296="",SUM($P296)&gt;0),"&lt;- Enter Linkage Rate",ROUND($P296*$R296,0)))</f>
        <v/>
      </c>
      <c r="U296" s="10" t="str">
        <f aca="false">IFERROR(1/(1/INDEX(Cascade!$BH:$BH,MATCH($E296,Cascade!$E:$E,0))),"")</f>
        <v/>
      </c>
      <c r="V296" s="10" t="str">
        <f aca="false">IF(SUM($P296)=0,"",$P296)</f>
        <v/>
      </c>
      <c r="W296" s="10" t="str">
        <f aca="false">IFERROR(1/(1/INDEX(PMTCT!$AC:$AC,MATCH($E296,PMTCT!$E:$E,0))),"")</f>
        <v/>
      </c>
      <c r="X296" s="10" t="str">
        <f aca="false">IFERROR(1/(1/INDEX(PMTCT!$AS:$AS,MATCH($E296,PMTCT!$E:$E,0))),"")</f>
        <v/>
      </c>
      <c r="Y296" s="10" t="str">
        <f aca="false">IFERROR(1/(1/INDEX(VMMC!$AA:$AA,MATCH($E296,VMMC!$E:$E,0))),"")</f>
        <v/>
      </c>
      <c r="Z296" s="10" t="str">
        <f aca="false">IFERROR(1/(1/(SUM($U296)-SUM($V296:$Y296))),"")</f>
        <v/>
      </c>
    </row>
    <row r="297" customFormat="false" ht="15" hidden="false" customHeight="false" outlineLevel="0" collapsed="false">
      <c r="A297" s="0" t="str">
        <f aca="false">INDEX(Prioritization!$D:$D,MATCH($B297,Prioritization!$A:$A,0))</f>
        <v>INVALID</v>
      </c>
      <c r="B297" s="0" t="s">
        <v>217</v>
      </c>
      <c r="C297" s="0" t="s">
        <v>366</v>
      </c>
      <c r="D297" s="0" t="s">
        <v>30</v>
      </c>
      <c r="E297" s="0" t="str">
        <f aca="false">B297&amp;"|"&amp;C297&amp;"|"&amp;D297</f>
        <v>Mwanza District [wNqJp8oRIcF]|25-34|Female</v>
      </c>
      <c r="F297" s="10"/>
      <c r="G297" s="88" t="n">
        <f aca="false">0</f>
        <v>0</v>
      </c>
      <c r="H297" s="39" t="str">
        <f aca="false">IF(SUM($F297)=0,"",ROUND($F297*(1+$G297),0))</f>
        <v/>
      </c>
      <c r="I297" s="10"/>
      <c r="J297" s="88"/>
      <c r="K297" s="88" t="str">
        <f aca="false">IF($J297="","",$J297)</f>
        <v/>
      </c>
      <c r="L297" s="88"/>
      <c r="M297" s="88" t="str">
        <f aca="false">IF($L297="","",$L297)</f>
        <v/>
      </c>
      <c r="N297" s="10" t="str">
        <f aca="false">$H297</f>
        <v/>
      </c>
      <c r="O297" s="39" t="str">
        <f aca="false">IF(SUM($N297)=0,"",IF(AND(SUM($N297)&gt;0,$K297=""),"ENTER KNOWN POSITIVITY RATE",ROUND($N297*$K297,0)))</f>
        <v/>
      </c>
      <c r="P297" s="39" t="str">
        <f aca="false">IF(SUM($N297)=0,"",IF(AND((SUM($N297)-SUM($O297))&gt;0,$M297=""),"ENTER YIELD RATE",ROUND(($N297-SUM($O297))*$M297,0)))</f>
        <v/>
      </c>
      <c r="Q297" s="39" t="str">
        <f aca="false">IF(SUM($N297)=0,"",$N297-SUM($O297)-SUM($P297))</f>
        <v/>
      </c>
      <c r="R297" s="88" t="str">
        <f aca="false">IF(SUM($P297)=0,"",INDEX(Cascade!$BG:$BG,MATCH($E297,Cascade!$E:$E,0)))</f>
        <v/>
      </c>
      <c r="S297" s="39" t="str">
        <f aca="false">$O297</f>
        <v/>
      </c>
      <c r="T297" s="39" t="str">
        <f aca="false">IF(SUM($P297)=0,"",IF(AND($R297="",SUM($P297)&gt;0),"&lt;- Enter Linkage Rate",ROUND($P297*$R297,0)))</f>
        <v/>
      </c>
      <c r="U297" s="10" t="str">
        <f aca="false">IFERROR(1/(1/INDEX(Cascade!$BH:$BH,MATCH($E297,Cascade!$E:$E,0))),"")</f>
        <v/>
      </c>
      <c r="V297" s="10" t="str">
        <f aca="false">IF(SUM($P297)=0,"",$P297)</f>
        <v/>
      </c>
      <c r="W297" s="10" t="str">
        <f aca="false">IFERROR(1/(1/INDEX(PMTCT!$AC:$AC,MATCH($E297,PMTCT!$E:$E,0))),"")</f>
        <v/>
      </c>
      <c r="X297" s="10" t="str">
        <f aca="false">IFERROR(1/(1/INDEX(PMTCT!$AS:$AS,MATCH($E297,PMTCT!$E:$E,0))),"")</f>
        <v/>
      </c>
      <c r="Y297" s="10" t="str">
        <f aca="false">IFERROR(1/(1/INDEX(VMMC!$AA:$AA,MATCH($E297,VMMC!$E:$E,0))),"")</f>
        <v/>
      </c>
      <c r="Z297" s="10" t="str">
        <f aca="false">IFERROR(1/(1/(SUM($U297)-SUM($V297:$Y297))),"")</f>
        <v/>
      </c>
    </row>
    <row r="298" customFormat="false" ht="15" hidden="false" customHeight="false" outlineLevel="0" collapsed="false">
      <c r="A298" s="0" t="str">
        <f aca="false">INDEX(Prioritization!$D:$D,MATCH($B298,Prioritization!$A:$A,0))</f>
        <v>INVALID</v>
      </c>
      <c r="B298" s="0" t="s">
        <v>217</v>
      </c>
      <c r="C298" s="0" t="s">
        <v>366</v>
      </c>
      <c r="D298" s="0" t="s">
        <v>48</v>
      </c>
      <c r="E298" s="0" t="str">
        <f aca="false">B298&amp;"|"&amp;C298&amp;"|"&amp;D298</f>
        <v>Mwanza District [wNqJp8oRIcF]|25-34|Male</v>
      </c>
      <c r="F298" s="10"/>
      <c r="G298" s="88" t="n">
        <f aca="false">0</f>
        <v>0</v>
      </c>
      <c r="H298" s="39" t="str">
        <f aca="false">IF(SUM($F298)=0,"",ROUND($F298*(1+$G298),0))</f>
        <v/>
      </c>
      <c r="I298" s="10"/>
      <c r="J298" s="88"/>
      <c r="K298" s="88" t="str">
        <f aca="false">IF($J298="","",$J298)</f>
        <v/>
      </c>
      <c r="L298" s="88"/>
      <c r="M298" s="88" t="str">
        <f aca="false">IF($L298="","",$L298)</f>
        <v/>
      </c>
      <c r="N298" s="10" t="str">
        <f aca="false">$H298</f>
        <v/>
      </c>
      <c r="O298" s="39" t="str">
        <f aca="false">IF(SUM($N298)=0,"",IF(AND(SUM($N298)&gt;0,$K298=""),"ENTER KNOWN POSITIVITY RATE",ROUND($N298*$K298,0)))</f>
        <v/>
      </c>
      <c r="P298" s="39" t="str">
        <f aca="false">IF(SUM($N298)=0,"",IF(AND((SUM($N298)-SUM($O298))&gt;0,$M298=""),"ENTER YIELD RATE",ROUND(($N298-SUM($O298))*$M298,0)))</f>
        <v/>
      </c>
      <c r="Q298" s="39" t="str">
        <f aca="false">IF(SUM($N298)=0,"",$N298-SUM($O298)-SUM($P298))</f>
        <v/>
      </c>
      <c r="R298" s="88" t="str">
        <f aca="false">IF(SUM($P298)=0,"",INDEX(Cascade!$BG:$BG,MATCH($E298,Cascade!$E:$E,0)))</f>
        <v/>
      </c>
      <c r="S298" s="39" t="str">
        <f aca="false">$O298</f>
        <v/>
      </c>
      <c r="T298" s="39" t="str">
        <f aca="false">IF(SUM($P298)=0,"",IF(AND($R298="",SUM($P298)&gt;0),"&lt;- Enter Linkage Rate",ROUND($P298*$R298,0)))</f>
        <v/>
      </c>
      <c r="U298" s="10" t="str">
        <f aca="false">IFERROR(1/(1/INDEX(Cascade!$BH:$BH,MATCH($E298,Cascade!$E:$E,0))),"")</f>
        <v/>
      </c>
      <c r="V298" s="10" t="str">
        <f aca="false">IF(SUM($P298)=0,"",$P298)</f>
        <v/>
      </c>
      <c r="W298" s="10" t="str">
        <f aca="false">IFERROR(1/(1/INDEX(PMTCT!$AC:$AC,MATCH($E298,PMTCT!$E:$E,0))),"")</f>
        <v/>
      </c>
      <c r="X298" s="10" t="str">
        <f aca="false">IFERROR(1/(1/INDEX(PMTCT!$AS:$AS,MATCH($E298,PMTCT!$E:$E,0))),"")</f>
        <v/>
      </c>
      <c r="Y298" s="10" t="str">
        <f aca="false">IFERROR(1/(1/INDEX(VMMC!$AA:$AA,MATCH($E298,VMMC!$E:$E,0))),"")</f>
        <v/>
      </c>
      <c r="Z298" s="10" t="str">
        <f aca="false">IFERROR(1/(1/(SUM($U298)-SUM($V298:$Y298))),"")</f>
        <v/>
      </c>
    </row>
    <row r="299" customFormat="false" ht="15" hidden="false" customHeight="false" outlineLevel="0" collapsed="false">
      <c r="A299" s="0" t="str">
        <f aca="false">INDEX(Prioritization!$D:$D,MATCH($B299,Prioritization!$A:$A,0))</f>
        <v>INVALID</v>
      </c>
      <c r="B299" s="0" t="s">
        <v>217</v>
      </c>
      <c r="C299" s="0" t="s">
        <v>367</v>
      </c>
      <c r="D299" s="0" t="s">
        <v>30</v>
      </c>
      <c r="E299" s="0" t="str">
        <f aca="false">B299&amp;"|"&amp;C299&amp;"|"&amp;D299</f>
        <v>Mwanza District [wNqJp8oRIcF]|35-49|Female</v>
      </c>
      <c r="F299" s="10"/>
      <c r="G299" s="88" t="n">
        <f aca="false">0</f>
        <v>0</v>
      </c>
      <c r="H299" s="39" t="str">
        <f aca="false">IF(SUM($F299)=0,"",ROUND($F299*(1+$G299),0))</f>
        <v/>
      </c>
      <c r="I299" s="10"/>
      <c r="J299" s="88"/>
      <c r="K299" s="88" t="str">
        <f aca="false">IF($J299="","",$J299)</f>
        <v/>
      </c>
      <c r="L299" s="88"/>
      <c r="M299" s="88" t="str">
        <f aca="false">IF($L299="","",$L299)</f>
        <v/>
      </c>
      <c r="N299" s="10" t="str">
        <f aca="false">$H299</f>
        <v/>
      </c>
      <c r="O299" s="39" t="str">
        <f aca="false">IF(SUM($N299)=0,"",IF(AND(SUM($N299)&gt;0,$K299=""),"ENTER KNOWN POSITIVITY RATE",ROUND($N299*$K299,0)))</f>
        <v/>
      </c>
      <c r="P299" s="39" t="str">
        <f aca="false">IF(SUM($N299)=0,"",IF(AND((SUM($N299)-SUM($O299))&gt;0,$M299=""),"ENTER YIELD RATE",ROUND(($N299-SUM($O299))*$M299,0)))</f>
        <v/>
      </c>
      <c r="Q299" s="39" t="str">
        <f aca="false">IF(SUM($N299)=0,"",$N299-SUM($O299)-SUM($P299))</f>
        <v/>
      </c>
      <c r="R299" s="88" t="str">
        <f aca="false">IF(SUM($P299)=0,"",INDEX(Cascade!$BG:$BG,MATCH($E299,Cascade!$E:$E,0)))</f>
        <v/>
      </c>
      <c r="S299" s="39" t="str">
        <f aca="false">$O299</f>
        <v/>
      </c>
      <c r="T299" s="39" t="str">
        <f aca="false">IF(SUM($P299)=0,"",IF(AND($R299="",SUM($P299)&gt;0),"&lt;- Enter Linkage Rate",ROUND($P299*$R299,0)))</f>
        <v/>
      </c>
      <c r="U299" s="10" t="str">
        <f aca="false">IFERROR(1/(1/INDEX(Cascade!$BH:$BH,MATCH($E299,Cascade!$E:$E,0))),"")</f>
        <v/>
      </c>
      <c r="V299" s="10" t="str">
        <f aca="false">IF(SUM($P299)=0,"",$P299)</f>
        <v/>
      </c>
      <c r="W299" s="10" t="str">
        <f aca="false">IFERROR(1/(1/INDEX(PMTCT!$AC:$AC,MATCH($E299,PMTCT!$E:$E,0))),"")</f>
        <v/>
      </c>
      <c r="X299" s="10" t="str">
        <f aca="false">IFERROR(1/(1/INDEX(PMTCT!$AS:$AS,MATCH($E299,PMTCT!$E:$E,0))),"")</f>
        <v/>
      </c>
      <c r="Y299" s="10" t="str">
        <f aca="false">IFERROR(1/(1/INDEX(VMMC!$AA:$AA,MATCH($E299,VMMC!$E:$E,0))),"")</f>
        <v/>
      </c>
      <c r="Z299" s="10" t="str">
        <f aca="false">IFERROR(1/(1/(SUM($U299)-SUM($V299:$Y299))),"")</f>
        <v/>
      </c>
    </row>
    <row r="300" customFormat="false" ht="15" hidden="false" customHeight="false" outlineLevel="0" collapsed="false">
      <c r="A300" s="0" t="str">
        <f aca="false">INDEX(Prioritization!$D:$D,MATCH($B300,Prioritization!$A:$A,0))</f>
        <v>INVALID</v>
      </c>
      <c r="B300" s="0" t="s">
        <v>217</v>
      </c>
      <c r="C300" s="0" t="s">
        <v>367</v>
      </c>
      <c r="D300" s="0" t="s">
        <v>48</v>
      </c>
      <c r="E300" s="0" t="str">
        <f aca="false">B300&amp;"|"&amp;C300&amp;"|"&amp;D300</f>
        <v>Mwanza District [wNqJp8oRIcF]|35-49|Male</v>
      </c>
      <c r="F300" s="10"/>
      <c r="G300" s="88" t="n">
        <f aca="false">0</f>
        <v>0</v>
      </c>
      <c r="H300" s="39" t="str">
        <f aca="false">IF(SUM($F300)=0,"",ROUND($F300*(1+$G300),0))</f>
        <v/>
      </c>
      <c r="I300" s="10"/>
      <c r="J300" s="88"/>
      <c r="K300" s="88" t="str">
        <f aca="false">IF($J300="","",$J300)</f>
        <v/>
      </c>
      <c r="L300" s="88"/>
      <c r="M300" s="88" t="str">
        <f aca="false">IF($L300="","",$L300)</f>
        <v/>
      </c>
      <c r="N300" s="10" t="str">
        <f aca="false">$H300</f>
        <v/>
      </c>
      <c r="O300" s="39" t="str">
        <f aca="false">IF(SUM($N300)=0,"",IF(AND(SUM($N300)&gt;0,$K300=""),"ENTER KNOWN POSITIVITY RATE",ROUND($N300*$K300,0)))</f>
        <v/>
      </c>
      <c r="P300" s="39" t="str">
        <f aca="false">IF(SUM($N300)=0,"",IF(AND((SUM($N300)-SUM($O300))&gt;0,$M300=""),"ENTER YIELD RATE",ROUND(($N300-SUM($O300))*$M300,0)))</f>
        <v/>
      </c>
      <c r="Q300" s="39" t="str">
        <f aca="false">IF(SUM($N300)=0,"",$N300-SUM($O300)-SUM($P300))</f>
        <v/>
      </c>
      <c r="R300" s="88" t="str">
        <f aca="false">IF(SUM($P300)=0,"",INDEX(Cascade!$BG:$BG,MATCH($E300,Cascade!$E:$E,0)))</f>
        <v/>
      </c>
      <c r="S300" s="39" t="str">
        <f aca="false">$O300</f>
        <v/>
      </c>
      <c r="T300" s="39" t="str">
        <f aca="false">IF(SUM($P300)=0,"",IF(AND($R300="",SUM($P300)&gt;0),"&lt;- Enter Linkage Rate",ROUND($P300*$R300,0)))</f>
        <v/>
      </c>
      <c r="U300" s="10" t="str">
        <f aca="false">IFERROR(1/(1/INDEX(Cascade!$BH:$BH,MATCH($E300,Cascade!$E:$E,0))),"")</f>
        <v/>
      </c>
      <c r="V300" s="10" t="str">
        <f aca="false">IF(SUM($P300)=0,"",$P300)</f>
        <v/>
      </c>
      <c r="W300" s="10" t="str">
        <f aca="false">IFERROR(1/(1/INDEX(PMTCT!$AC:$AC,MATCH($E300,PMTCT!$E:$E,0))),"")</f>
        <v/>
      </c>
      <c r="X300" s="10" t="str">
        <f aca="false">IFERROR(1/(1/INDEX(PMTCT!$AS:$AS,MATCH($E300,PMTCT!$E:$E,0))),"")</f>
        <v/>
      </c>
      <c r="Y300" s="10" t="str">
        <f aca="false">IFERROR(1/(1/INDEX(VMMC!$AA:$AA,MATCH($E300,VMMC!$E:$E,0))),"")</f>
        <v/>
      </c>
      <c r="Z300" s="10" t="str">
        <f aca="false">IFERROR(1/(1/(SUM($U300)-SUM($V300:$Y300))),"")</f>
        <v/>
      </c>
    </row>
    <row r="301" customFormat="false" ht="15" hidden="false" customHeight="false" outlineLevel="0" collapsed="false">
      <c r="A301" s="0" t="str">
        <f aca="false">INDEX(Prioritization!$D:$D,MATCH($B301,Prioritization!$A:$A,0))</f>
        <v>INVALID</v>
      </c>
      <c r="B301" s="0" t="s">
        <v>217</v>
      </c>
      <c r="C301" s="0" t="s">
        <v>368</v>
      </c>
      <c r="D301" s="0" t="s">
        <v>30</v>
      </c>
      <c r="E301" s="0" t="str">
        <f aca="false">B301&amp;"|"&amp;C301&amp;"|"&amp;D301</f>
        <v>Mwanza District [wNqJp8oRIcF]|50+|Female</v>
      </c>
      <c r="F301" s="10"/>
      <c r="G301" s="88" t="n">
        <f aca="false">0</f>
        <v>0</v>
      </c>
      <c r="H301" s="39" t="str">
        <f aca="false">IF(SUM($F301)=0,"",ROUND($F301*(1+$G301),0))</f>
        <v/>
      </c>
      <c r="I301" s="10"/>
      <c r="J301" s="88"/>
      <c r="K301" s="88" t="str">
        <f aca="false">IF($J301="","",$J301)</f>
        <v/>
      </c>
      <c r="L301" s="88"/>
      <c r="M301" s="88" t="str">
        <f aca="false">IF($L301="","",$L301)</f>
        <v/>
      </c>
      <c r="N301" s="10" t="str">
        <f aca="false">$H301</f>
        <v/>
      </c>
      <c r="O301" s="39" t="str">
        <f aca="false">IF(SUM($N301)=0,"",IF(AND(SUM($N301)&gt;0,$K301=""),"ENTER KNOWN POSITIVITY RATE",ROUND($N301*$K301,0)))</f>
        <v/>
      </c>
      <c r="P301" s="39" t="str">
        <f aca="false">IF(SUM($N301)=0,"",IF(AND((SUM($N301)-SUM($O301))&gt;0,$M301=""),"ENTER YIELD RATE",ROUND(($N301-SUM($O301))*$M301,0)))</f>
        <v/>
      </c>
      <c r="Q301" s="39" t="str">
        <f aca="false">IF(SUM($N301)=0,"",$N301-SUM($O301)-SUM($P301))</f>
        <v/>
      </c>
      <c r="R301" s="88" t="str">
        <f aca="false">IF(SUM($P301)=0,"",INDEX(Cascade!$BG:$BG,MATCH($E301,Cascade!$E:$E,0)))</f>
        <v/>
      </c>
      <c r="S301" s="39" t="str">
        <f aca="false">$O301</f>
        <v/>
      </c>
      <c r="T301" s="39" t="str">
        <f aca="false">IF(SUM($P301)=0,"",IF(AND($R301="",SUM($P301)&gt;0),"&lt;- Enter Linkage Rate",ROUND($P301*$R301,0)))</f>
        <v/>
      </c>
      <c r="U301" s="10" t="str">
        <f aca="false">IFERROR(1/(1/INDEX(Cascade!$BH:$BH,MATCH($E301,Cascade!$E:$E,0))),"")</f>
        <v/>
      </c>
      <c r="V301" s="10" t="str">
        <f aca="false">IF(SUM($P301)=0,"",$P301)</f>
        <v/>
      </c>
      <c r="W301" s="10" t="str">
        <f aca="false">IFERROR(1/(1/INDEX(PMTCT!$AC:$AC,MATCH($E301,PMTCT!$E:$E,0))),"")</f>
        <v/>
      </c>
      <c r="X301" s="10" t="str">
        <f aca="false">IFERROR(1/(1/INDEX(PMTCT!$AS:$AS,MATCH($E301,PMTCT!$E:$E,0))),"")</f>
        <v/>
      </c>
      <c r="Y301" s="10" t="str">
        <f aca="false">IFERROR(1/(1/INDEX(VMMC!$AA:$AA,MATCH($E301,VMMC!$E:$E,0))),"")</f>
        <v/>
      </c>
      <c r="Z301" s="10" t="str">
        <f aca="false">IFERROR(1/(1/(SUM($U301)-SUM($V301:$Y301))),"")</f>
        <v/>
      </c>
    </row>
    <row r="302" customFormat="false" ht="15" hidden="false" customHeight="false" outlineLevel="0" collapsed="false">
      <c r="A302" s="0" t="str">
        <f aca="false">INDEX(Prioritization!$D:$D,MATCH($B302,Prioritization!$A:$A,0))</f>
        <v>INVALID</v>
      </c>
      <c r="B302" s="0" t="s">
        <v>217</v>
      </c>
      <c r="C302" s="0" t="s">
        <v>368</v>
      </c>
      <c r="D302" s="0" t="s">
        <v>48</v>
      </c>
      <c r="E302" s="0" t="str">
        <f aca="false">B302&amp;"|"&amp;C302&amp;"|"&amp;D302</f>
        <v>Mwanza District [wNqJp8oRIcF]|50+|Male</v>
      </c>
      <c r="F302" s="10"/>
      <c r="G302" s="88" t="n">
        <f aca="false">0</f>
        <v>0</v>
      </c>
      <c r="H302" s="39" t="str">
        <f aca="false">IF(SUM($F302)=0,"",ROUND($F302*(1+$G302),0))</f>
        <v/>
      </c>
      <c r="I302" s="10"/>
      <c r="J302" s="88"/>
      <c r="K302" s="88" t="str">
        <f aca="false">IF($J302="","",$J302)</f>
        <v/>
      </c>
      <c r="L302" s="88"/>
      <c r="M302" s="88" t="str">
        <f aca="false">IF($L302="","",$L302)</f>
        <v/>
      </c>
      <c r="N302" s="10" t="str">
        <f aca="false">$H302</f>
        <v/>
      </c>
      <c r="O302" s="39" t="str">
        <f aca="false">IF(SUM($N302)=0,"",IF(AND(SUM($N302)&gt;0,$K302=""),"ENTER KNOWN POSITIVITY RATE",ROUND($N302*$K302,0)))</f>
        <v/>
      </c>
      <c r="P302" s="39" t="str">
        <f aca="false">IF(SUM($N302)=0,"",IF(AND((SUM($N302)-SUM($O302))&gt;0,$M302=""),"ENTER YIELD RATE",ROUND(($N302-SUM($O302))*$M302,0)))</f>
        <v/>
      </c>
      <c r="Q302" s="39" t="str">
        <f aca="false">IF(SUM($N302)=0,"",$N302-SUM($O302)-SUM($P302))</f>
        <v/>
      </c>
      <c r="R302" s="88" t="str">
        <f aca="false">IF(SUM($P302)=0,"",INDEX(Cascade!$BG:$BG,MATCH($E302,Cascade!$E:$E,0)))</f>
        <v/>
      </c>
      <c r="S302" s="39" t="str">
        <f aca="false">$O302</f>
        <v/>
      </c>
      <c r="T302" s="39" t="str">
        <f aca="false">IF(SUM($P302)=0,"",IF(AND($R302="",SUM($P302)&gt;0),"&lt;- Enter Linkage Rate",ROUND($P302*$R302,0)))</f>
        <v/>
      </c>
      <c r="U302" s="10" t="str">
        <f aca="false">IFERROR(1/(1/INDEX(Cascade!$BH:$BH,MATCH($E302,Cascade!$E:$E,0))),"")</f>
        <v/>
      </c>
      <c r="V302" s="10" t="str">
        <f aca="false">IF(SUM($P302)=0,"",$P302)</f>
        <v/>
      </c>
      <c r="W302" s="10" t="str">
        <f aca="false">IFERROR(1/(1/INDEX(PMTCT!$AC:$AC,MATCH($E302,PMTCT!$E:$E,0))),"")</f>
        <v/>
      </c>
      <c r="X302" s="10" t="str">
        <f aca="false">IFERROR(1/(1/INDEX(PMTCT!$AS:$AS,MATCH($E302,PMTCT!$E:$E,0))),"")</f>
        <v/>
      </c>
      <c r="Y302" s="10" t="str">
        <f aca="false">IFERROR(1/(1/INDEX(VMMC!$AA:$AA,MATCH($E302,VMMC!$E:$E,0))),"")</f>
        <v/>
      </c>
      <c r="Z302" s="10" t="str">
        <f aca="false">IFERROR(1/(1/(SUM($U302)-SUM($V302:$Y302))),"")</f>
        <v/>
      </c>
    </row>
    <row r="303" customFormat="false" ht="15" hidden="false" customHeight="false" outlineLevel="0" collapsed="false">
      <c r="A303" s="0" t="str">
        <f aca="false">INDEX(Prioritization!$D:$D,MATCH($B303,Prioritization!$A:$A,0))</f>
        <v>INVALID</v>
      </c>
      <c r="B303" s="0" t="s">
        <v>218</v>
      </c>
      <c r="C303" s="0" t="s">
        <v>363</v>
      </c>
      <c r="D303" s="0" t="s">
        <v>30</v>
      </c>
      <c r="E303" s="0" t="str">
        <f aca="false">B303&amp;"|"&amp;C303&amp;"|"&amp;D303</f>
        <v>Neno District [gwVYinjBAe9]|01-09|Female</v>
      </c>
      <c r="F303" s="10"/>
      <c r="G303" s="88" t="n">
        <f aca="false">0</f>
        <v>0</v>
      </c>
      <c r="H303" s="39" t="str">
        <f aca="false">IF(SUM($F303)=0,"",ROUND($F303*(1+$G303),0))</f>
        <v/>
      </c>
      <c r="I303" s="10"/>
      <c r="J303" s="88"/>
      <c r="K303" s="88" t="str">
        <f aca="false">IF($J303="","",$J303)</f>
        <v/>
      </c>
      <c r="L303" s="88"/>
      <c r="M303" s="88" t="str">
        <f aca="false">IF($L303="","",$L303)</f>
        <v/>
      </c>
      <c r="N303" s="10" t="str">
        <f aca="false">$H303</f>
        <v/>
      </c>
      <c r="O303" s="39" t="str">
        <f aca="false">IF(SUM($N303)=0,"",IF(AND(SUM($N303)&gt;0,$K303=""),"ENTER KNOWN POSITIVITY RATE",ROUND($N303*$K303,0)))</f>
        <v/>
      </c>
      <c r="P303" s="39" t="str">
        <f aca="false">IF(SUM($N303)=0,"",IF(AND((SUM($N303)-SUM($O303))&gt;0,$M303=""),"ENTER YIELD RATE",ROUND(($N303-SUM($O303))*$M303,0)))</f>
        <v/>
      </c>
      <c r="Q303" s="39" t="str">
        <f aca="false">IF(SUM($N303)=0,"",$N303-SUM($O303)-SUM($P303))</f>
        <v/>
      </c>
      <c r="R303" s="88" t="str">
        <f aca="false">IF(SUM($P303)=0,"",INDEX(Cascade!$BG:$BG,MATCH($E303,Cascade!$E:$E,0)))</f>
        <v/>
      </c>
      <c r="S303" s="39" t="str">
        <f aca="false">$O303</f>
        <v/>
      </c>
      <c r="T303" s="39" t="str">
        <f aca="false">IF(SUM($P303)=0,"",IF(AND($R303="",SUM($P303)&gt;0),"&lt;- Enter Linkage Rate",ROUND($P303*$R303,0)))</f>
        <v/>
      </c>
      <c r="U303" s="10" t="str">
        <f aca="false">IFERROR(1/(1/INDEX(Cascade!$BH:$BH,MATCH($E303,Cascade!$E:$E,0))),"")</f>
        <v/>
      </c>
      <c r="V303" s="10" t="str">
        <f aca="false">IF(SUM($P303)=0,"",$P303)</f>
        <v/>
      </c>
      <c r="W303" s="10" t="str">
        <f aca="false">IFERROR(1/(1/INDEX(PMTCT!$AC:$AC,MATCH($E303,PMTCT!$E:$E,0))),"")</f>
        <v/>
      </c>
      <c r="X303" s="10" t="str">
        <f aca="false">IFERROR(1/(1/INDEX(PMTCT!$AS:$AS,MATCH($E303,PMTCT!$E:$E,0))),"")</f>
        <v/>
      </c>
      <c r="Y303" s="10" t="str">
        <f aca="false">IFERROR(1/(1/INDEX(VMMC!$AA:$AA,MATCH($E303,VMMC!$E:$E,0))),"")</f>
        <v/>
      </c>
      <c r="Z303" s="10" t="str">
        <f aca="false">IFERROR(1/(1/(SUM($U303)-SUM($V303:$Y303))),"")</f>
        <v/>
      </c>
    </row>
    <row r="304" customFormat="false" ht="15" hidden="false" customHeight="false" outlineLevel="0" collapsed="false">
      <c r="A304" s="0" t="str">
        <f aca="false">INDEX(Prioritization!$D:$D,MATCH($B304,Prioritization!$A:$A,0))</f>
        <v>INVALID</v>
      </c>
      <c r="B304" s="0" t="s">
        <v>218</v>
      </c>
      <c r="C304" s="0" t="s">
        <v>363</v>
      </c>
      <c r="D304" s="0" t="s">
        <v>48</v>
      </c>
      <c r="E304" s="0" t="str">
        <f aca="false">B304&amp;"|"&amp;C304&amp;"|"&amp;D304</f>
        <v>Neno District [gwVYinjBAe9]|01-09|Male</v>
      </c>
      <c r="F304" s="10"/>
      <c r="G304" s="88" t="n">
        <f aca="false">0</f>
        <v>0</v>
      </c>
      <c r="H304" s="39" t="str">
        <f aca="false">IF(SUM($F304)=0,"",ROUND($F304*(1+$G304),0))</f>
        <v/>
      </c>
      <c r="I304" s="10"/>
      <c r="J304" s="88"/>
      <c r="K304" s="88" t="str">
        <f aca="false">IF($J304="","",$J304)</f>
        <v/>
      </c>
      <c r="L304" s="88"/>
      <c r="M304" s="88" t="str">
        <f aca="false">IF($L304="","",$L304)</f>
        <v/>
      </c>
      <c r="N304" s="10" t="str">
        <f aca="false">$H304</f>
        <v/>
      </c>
      <c r="O304" s="39" t="str">
        <f aca="false">IF(SUM($N304)=0,"",IF(AND(SUM($N304)&gt;0,$K304=""),"ENTER KNOWN POSITIVITY RATE",ROUND($N304*$K304,0)))</f>
        <v/>
      </c>
      <c r="P304" s="39" t="str">
        <f aca="false">IF(SUM($N304)=0,"",IF(AND((SUM($N304)-SUM($O304))&gt;0,$M304=""),"ENTER YIELD RATE",ROUND(($N304-SUM($O304))*$M304,0)))</f>
        <v/>
      </c>
      <c r="Q304" s="39" t="str">
        <f aca="false">IF(SUM($N304)=0,"",$N304-SUM($O304)-SUM($P304))</f>
        <v/>
      </c>
      <c r="R304" s="88" t="str">
        <f aca="false">IF(SUM($P304)=0,"",INDEX(Cascade!$BG:$BG,MATCH($E304,Cascade!$E:$E,0)))</f>
        <v/>
      </c>
      <c r="S304" s="39" t="str">
        <f aca="false">$O304</f>
        <v/>
      </c>
      <c r="T304" s="39" t="str">
        <f aca="false">IF(SUM($P304)=0,"",IF(AND($R304="",SUM($P304)&gt;0),"&lt;- Enter Linkage Rate",ROUND($P304*$R304,0)))</f>
        <v/>
      </c>
      <c r="U304" s="10" t="str">
        <f aca="false">IFERROR(1/(1/INDEX(Cascade!$BH:$BH,MATCH($E304,Cascade!$E:$E,0))),"")</f>
        <v/>
      </c>
      <c r="V304" s="10" t="str">
        <f aca="false">IF(SUM($P304)=0,"",$P304)</f>
        <v/>
      </c>
      <c r="W304" s="10" t="str">
        <f aca="false">IFERROR(1/(1/INDEX(PMTCT!$AC:$AC,MATCH($E304,PMTCT!$E:$E,0))),"")</f>
        <v/>
      </c>
      <c r="X304" s="10" t="str">
        <f aca="false">IFERROR(1/(1/INDEX(PMTCT!$AS:$AS,MATCH($E304,PMTCT!$E:$E,0))),"")</f>
        <v/>
      </c>
      <c r="Y304" s="10" t="str">
        <f aca="false">IFERROR(1/(1/INDEX(VMMC!$AA:$AA,MATCH($E304,VMMC!$E:$E,0))),"")</f>
        <v/>
      </c>
      <c r="Z304" s="10" t="str">
        <f aca="false">IFERROR(1/(1/(SUM($U304)-SUM($V304:$Y304))),"")</f>
        <v/>
      </c>
    </row>
    <row r="305" customFormat="false" ht="15" hidden="false" customHeight="false" outlineLevel="0" collapsed="false">
      <c r="A305" s="0" t="str">
        <f aca="false">INDEX(Prioritization!$D:$D,MATCH($B305,Prioritization!$A:$A,0))</f>
        <v>INVALID</v>
      </c>
      <c r="B305" s="0" t="s">
        <v>218</v>
      </c>
      <c r="C305" s="0" t="s">
        <v>364</v>
      </c>
      <c r="D305" s="0" t="s">
        <v>30</v>
      </c>
      <c r="E305" s="0" t="str">
        <f aca="false">B305&amp;"|"&amp;C305&amp;"|"&amp;D305</f>
        <v>Neno District [gwVYinjBAe9]|10-14|Female</v>
      </c>
      <c r="F305" s="10" t="n">
        <v>1</v>
      </c>
      <c r="G305" s="88" t="n">
        <f aca="false">0</f>
        <v>0</v>
      </c>
      <c r="H305" s="39" t="n">
        <f aca="false">IF(SUM($F305)=0,"",ROUND($F305*(1+$G305),0))</f>
        <v>1</v>
      </c>
      <c r="I305" s="10"/>
      <c r="J305" s="88"/>
      <c r="K305" s="88" t="str">
        <f aca="false">IF($J305="","",$J305)</f>
        <v/>
      </c>
      <c r="L305" s="88"/>
      <c r="M305" s="88" t="str">
        <f aca="false">IF($L305="","",$L305)</f>
        <v/>
      </c>
      <c r="N305" s="10" t="n">
        <f aca="false">$H305</f>
        <v>1</v>
      </c>
      <c r="O305" s="39" t="str">
        <f aca="false">IF(SUM($N305)=0,"",IF(AND(SUM($N305)&gt;0,$K305=""),"ENTER KNOWN POSITIVITY RATE",ROUND($N305*$K305,0)))</f>
        <v>ENTER KNOWN POSITIVITY RATE</v>
      </c>
      <c r="P305" s="39" t="str">
        <f aca="false">IF(SUM($N305)=0,"",IF(AND((SUM($N305)-SUM($O305))&gt;0,$M305=""),"ENTER YIELD RATE",ROUND(($N305-SUM($O305))*$M305,0)))</f>
        <v>ENTER YIELD RATE</v>
      </c>
      <c r="Q305" s="39" t="n">
        <f aca="false">IF(SUM($N305)=0,"",$N305-SUM($O305)-SUM($P305))</f>
        <v>1</v>
      </c>
      <c r="R305" s="88" t="str">
        <f aca="false">IF(SUM($P305)=0,"",INDEX(Cascade!$BG:$BG,MATCH($E305,Cascade!$E:$E,0)))</f>
        <v/>
      </c>
      <c r="S305" s="39" t="str">
        <f aca="false">$O305</f>
        <v>ENTER KNOWN POSITIVITY RATE</v>
      </c>
      <c r="T305" s="39" t="str">
        <f aca="false">IF(SUM($P305)=0,"",IF(AND($R305="",SUM($P305)&gt;0),"&lt;- Enter Linkage Rate",ROUND($P305*$R305,0)))</f>
        <v/>
      </c>
      <c r="U305" s="10" t="n">
        <f aca="false">IFERROR(1/(1/INDEX(Cascade!$BH:$BH,MATCH($E305,Cascade!$E:$E,0))),"")</f>
        <v>-67</v>
      </c>
      <c r="V305" s="10" t="str">
        <f aca="false">IF(SUM($P305)=0,"",$P305)</f>
        <v/>
      </c>
      <c r="W305" s="10" t="str">
        <f aca="false">IFERROR(1/(1/INDEX(PMTCT!$AC:$AC,MATCH($E305,PMTCT!$E:$E,0))),"")</f>
        <v/>
      </c>
      <c r="X305" s="10" t="str">
        <f aca="false">IFERROR(1/(1/INDEX(PMTCT!$AS:$AS,MATCH($E305,PMTCT!$E:$E,0))),"")</f>
        <v/>
      </c>
      <c r="Y305" s="10" t="str">
        <f aca="false">IFERROR(1/(1/INDEX(VMMC!$AA:$AA,MATCH($E305,VMMC!$E:$E,0))),"")</f>
        <v/>
      </c>
      <c r="Z305" s="10" t="n">
        <f aca="false">IFERROR(1/(1/(SUM($U305)-SUM($V305:$Y305))),"")</f>
        <v>-67</v>
      </c>
    </row>
    <row r="306" customFormat="false" ht="15" hidden="false" customHeight="false" outlineLevel="0" collapsed="false">
      <c r="A306" s="0" t="str">
        <f aca="false">INDEX(Prioritization!$D:$D,MATCH($B306,Prioritization!$A:$A,0))</f>
        <v>INVALID</v>
      </c>
      <c r="B306" s="0" t="s">
        <v>218</v>
      </c>
      <c r="C306" s="0" t="s">
        <v>364</v>
      </c>
      <c r="D306" s="0" t="s">
        <v>48</v>
      </c>
      <c r="E306" s="0" t="str">
        <f aca="false">B306&amp;"|"&amp;C306&amp;"|"&amp;D306</f>
        <v>Neno District [gwVYinjBAe9]|10-14|Male</v>
      </c>
      <c r="F306" s="10" t="n">
        <v>1</v>
      </c>
      <c r="G306" s="88" t="n">
        <f aca="false">0</f>
        <v>0</v>
      </c>
      <c r="H306" s="39" t="n">
        <f aca="false">IF(SUM($F306)=0,"",ROUND($F306*(1+$G306),0))</f>
        <v>1</v>
      </c>
      <c r="I306" s="10"/>
      <c r="J306" s="88"/>
      <c r="K306" s="88" t="str">
        <f aca="false">IF($J306="","",$J306)</f>
        <v/>
      </c>
      <c r="L306" s="88"/>
      <c r="M306" s="88" t="str">
        <f aca="false">IF($L306="","",$L306)</f>
        <v/>
      </c>
      <c r="N306" s="10" t="n">
        <f aca="false">$H306</f>
        <v>1</v>
      </c>
      <c r="O306" s="39" t="str">
        <f aca="false">IF(SUM($N306)=0,"",IF(AND(SUM($N306)&gt;0,$K306=""),"ENTER KNOWN POSITIVITY RATE",ROUND($N306*$K306,0)))</f>
        <v>ENTER KNOWN POSITIVITY RATE</v>
      </c>
      <c r="P306" s="39" t="str">
        <f aca="false">IF(SUM($N306)=0,"",IF(AND((SUM($N306)-SUM($O306))&gt;0,$M306=""),"ENTER YIELD RATE",ROUND(($N306-SUM($O306))*$M306,0)))</f>
        <v>ENTER YIELD RATE</v>
      </c>
      <c r="Q306" s="39" t="n">
        <f aca="false">IF(SUM($N306)=0,"",$N306-SUM($O306)-SUM($P306))</f>
        <v>1</v>
      </c>
      <c r="R306" s="88" t="str">
        <f aca="false">IF(SUM($P306)=0,"",INDEX(Cascade!$BG:$BG,MATCH($E306,Cascade!$E:$E,0)))</f>
        <v/>
      </c>
      <c r="S306" s="39" t="str">
        <f aca="false">$O306</f>
        <v>ENTER KNOWN POSITIVITY RATE</v>
      </c>
      <c r="T306" s="39" t="str">
        <f aca="false">IF(SUM($P306)=0,"",IF(AND($R306="",SUM($P306)&gt;0),"&lt;- Enter Linkage Rate",ROUND($P306*$R306,0)))</f>
        <v/>
      </c>
      <c r="U306" s="10" t="n">
        <f aca="false">IFERROR(1/(1/INDEX(Cascade!$BH:$BH,MATCH($E306,Cascade!$E:$E,0))),"")</f>
        <v>-94</v>
      </c>
      <c r="V306" s="10" t="str">
        <f aca="false">IF(SUM($P306)=0,"",$P306)</f>
        <v/>
      </c>
      <c r="W306" s="10" t="str">
        <f aca="false">IFERROR(1/(1/INDEX(PMTCT!$AC:$AC,MATCH($E306,PMTCT!$E:$E,0))),"")</f>
        <v/>
      </c>
      <c r="X306" s="10" t="str">
        <f aca="false">IFERROR(1/(1/INDEX(PMTCT!$AS:$AS,MATCH($E306,PMTCT!$E:$E,0))),"")</f>
        <v/>
      </c>
      <c r="Y306" s="10" t="str">
        <f aca="false">IFERROR(1/(1/INDEX(VMMC!$AA:$AA,MATCH($E306,VMMC!$E:$E,0))),"")</f>
        <v/>
      </c>
      <c r="Z306" s="10" t="n">
        <f aca="false">IFERROR(1/(1/(SUM($U306)-SUM($V306:$Y306))),"")</f>
        <v>-94</v>
      </c>
    </row>
    <row r="307" customFormat="false" ht="15" hidden="false" customHeight="false" outlineLevel="0" collapsed="false">
      <c r="A307" s="0" t="str">
        <f aca="false">INDEX(Prioritization!$D:$D,MATCH($B307,Prioritization!$A:$A,0))</f>
        <v>INVALID</v>
      </c>
      <c r="B307" s="0" t="s">
        <v>218</v>
      </c>
      <c r="C307" s="0" t="s">
        <v>365</v>
      </c>
      <c r="D307" s="0" t="s">
        <v>30</v>
      </c>
      <c r="E307" s="0" t="str">
        <f aca="false">B307&amp;"|"&amp;C307&amp;"|"&amp;D307</f>
        <v>Neno District [gwVYinjBAe9]|15-24|Female</v>
      </c>
      <c r="F307" s="10"/>
      <c r="G307" s="88" t="n">
        <f aca="false">0</f>
        <v>0</v>
      </c>
      <c r="H307" s="39" t="str">
        <f aca="false">IF(SUM($F307)=0,"",ROUND($F307*(1+$G307),0))</f>
        <v/>
      </c>
      <c r="I307" s="10"/>
      <c r="J307" s="88"/>
      <c r="K307" s="88" t="str">
        <f aca="false">IF($J307="","",$J307)</f>
        <v/>
      </c>
      <c r="L307" s="88"/>
      <c r="M307" s="88" t="str">
        <f aca="false">IF($L307="","",$L307)</f>
        <v/>
      </c>
      <c r="N307" s="10" t="str">
        <f aca="false">$H307</f>
        <v/>
      </c>
      <c r="O307" s="39" t="str">
        <f aca="false">IF(SUM($N307)=0,"",IF(AND(SUM($N307)&gt;0,$K307=""),"ENTER KNOWN POSITIVITY RATE",ROUND($N307*$K307,0)))</f>
        <v/>
      </c>
      <c r="P307" s="39" t="str">
        <f aca="false">IF(SUM($N307)=0,"",IF(AND((SUM($N307)-SUM($O307))&gt;0,$M307=""),"ENTER YIELD RATE",ROUND(($N307-SUM($O307))*$M307,0)))</f>
        <v/>
      </c>
      <c r="Q307" s="39" t="str">
        <f aca="false">IF(SUM($N307)=0,"",$N307-SUM($O307)-SUM($P307))</f>
        <v/>
      </c>
      <c r="R307" s="88" t="str">
        <f aca="false">IF(SUM($P307)=0,"",INDEX(Cascade!$BG:$BG,MATCH($E307,Cascade!$E:$E,0)))</f>
        <v/>
      </c>
      <c r="S307" s="39" t="str">
        <f aca="false">$O307</f>
        <v/>
      </c>
      <c r="T307" s="39" t="str">
        <f aca="false">IF(SUM($P307)=0,"",IF(AND($R307="",SUM($P307)&gt;0),"&lt;- Enter Linkage Rate",ROUND($P307*$R307,0)))</f>
        <v/>
      </c>
      <c r="U307" s="10" t="str">
        <f aca="false">IFERROR(1/(1/INDEX(Cascade!$BH:$BH,MATCH($E307,Cascade!$E:$E,0))),"")</f>
        <v/>
      </c>
      <c r="V307" s="10" t="str">
        <f aca="false">IF(SUM($P307)=0,"",$P307)</f>
        <v/>
      </c>
      <c r="W307" s="10" t="str">
        <f aca="false">IFERROR(1/(1/INDEX(PMTCT!$AC:$AC,MATCH($E307,PMTCT!$E:$E,0))),"")</f>
        <v/>
      </c>
      <c r="X307" s="10" t="str">
        <f aca="false">IFERROR(1/(1/INDEX(PMTCT!$AS:$AS,MATCH($E307,PMTCT!$E:$E,0))),"")</f>
        <v/>
      </c>
      <c r="Y307" s="10" t="str">
        <f aca="false">IFERROR(1/(1/INDEX(VMMC!$AA:$AA,MATCH($E307,VMMC!$E:$E,0))),"")</f>
        <v/>
      </c>
      <c r="Z307" s="10" t="str">
        <f aca="false">IFERROR(1/(1/(SUM($U307)-SUM($V307:$Y307))),"")</f>
        <v/>
      </c>
    </row>
    <row r="308" customFormat="false" ht="15" hidden="false" customHeight="false" outlineLevel="0" collapsed="false">
      <c r="A308" s="0" t="str">
        <f aca="false">INDEX(Prioritization!$D:$D,MATCH($B308,Prioritization!$A:$A,0))</f>
        <v>INVALID</v>
      </c>
      <c r="B308" s="0" t="s">
        <v>218</v>
      </c>
      <c r="C308" s="0" t="s">
        <v>365</v>
      </c>
      <c r="D308" s="0" t="s">
        <v>48</v>
      </c>
      <c r="E308" s="0" t="str">
        <f aca="false">B308&amp;"|"&amp;C308&amp;"|"&amp;D308</f>
        <v>Neno District [gwVYinjBAe9]|15-24|Male</v>
      </c>
      <c r="F308" s="10"/>
      <c r="G308" s="88" t="n">
        <f aca="false">0</f>
        <v>0</v>
      </c>
      <c r="H308" s="39" t="str">
        <f aca="false">IF(SUM($F308)=0,"",ROUND($F308*(1+$G308),0))</f>
        <v/>
      </c>
      <c r="I308" s="10"/>
      <c r="J308" s="88"/>
      <c r="K308" s="88" t="str">
        <f aca="false">IF($J308="","",$J308)</f>
        <v/>
      </c>
      <c r="L308" s="88"/>
      <c r="M308" s="88" t="str">
        <f aca="false">IF($L308="","",$L308)</f>
        <v/>
      </c>
      <c r="N308" s="10" t="str">
        <f aca="false">$H308</f>
        <v/>
      </c>
      <c r="O308" s="39" t="str">
        <f aca="false">IF(SUM($N308)=0,"",IF(AND(SUM($N308)&gt;0,$K308=""),"ENTER KNOWN POSITIVITY RATE",ROUND($N308*$K308,0)))</f>
        <v/>
      </c>
      <c r="P308" s="39" t="str">
        <f aca="false">IF(SUM($N308)=0,"",IF(AND((SUM($N308)-SUM($O308))&gt;0,$M308=""),"ENTER YIELD RATE",ROUND(($N308-SUM($O308))*$M308,0)))</f>
        <v/>
      </c>
      <c r="Q308" s="39" t="str">
        <f aca="false">IF(SUM($N308)=0,"",$N308-SUM($O308)-SUM($P308))</f>
        <v/>
      </c>
      <c r="R308" s="88" t="str">
        <f aca="false">IF(SUM($P308)=0,"",INDEX(Cascade!$BG:$BG,MATCH($E308,Cascade!$E:$E,0)))</f>
        <v/>
      </c>
      <c r="S308" s="39" t="str">
        <f aca="false">$O308</f>
        <v/>
      </c>
      <c r="T308" s="39" t="str">
        <f aca="false">IF(SUM($P308)=0,"",IF(AND($R308="",SUM($P308)&gt;0),"&lt;- Enter Linkage Rate",ROUND($P308*$R308,0)))</f>
        <v/>
      </c>
      <c r="U308" s="10" t="str">
        <f aca="false">IFERROR(1/(1/INDEX(Cascade!$BH:$BH,MATCH($E308,Cascade!$E:$E,0))),"")</f>
        <v/>
      </c>
      <c r="V308" s="10" t="str">
        <f aca="false">IF(SUM($P308)=0,"",$P308)</f>
        <v/>
      </c>
      <c r="W308" s="10" t="str">
        <f aca="false">IFERROR(1/(1/INDEX(PMTCT!$AC:$AC,MATCH($E308,PMTCT!$E:$E,0))),"")</f>
        <v/>
      </c>
      <c r="X308" s="10" t="str">
        <f aca="false">IFERROR(1/(1/INDEX(PMTCT!$AS:$AS,MATCH($E308,PMTCT!$E:$E,0))),"")</f>
        <v/>
      </c>
      <c r="Y308" s="10" t="str">
        <f aca="false">IFERROR(1/(1/INDEX(VMMC!$AA:$AA,MATCH($E308,VMMC!$E:$E,0))),"")</f>
        <v/>
      </c>
      <c r="Z308" s="10" t="str">
        <f aca="false">IFERROR(1/(1/(SUM($U308)-SUM($V308:$Y308))),"")</f>
        <v/>
      </c>
    </row>
    <row r="309" customFormat="false" ht="15" hidden="false" customHeight="false" outlineLevel="0" collapsed="false">
      <c r="A309" s="0" t="str">
        <f aca="false">INDEX(Prioritization!$D:$D,MATCH($B309,Prioritization!$A:$A,0))</f>
        <v>INVALID</v>
      </c>
      <c r="B309" s="0" t="s">
        <v>218</v>
      </c>
      <c r="C309" s="0" t="s">
        <v>366</v>
      </c>
      <c r="D309" s="0" t="s">
        <v>30</v>
      </c>
      <c r="E309" s="0" t="str">
        <f aca="false">B309&amp;"|"&amp;C309&amp;"|"&amp;D309</f>
        <v>Neno District [gwVYinjBAe9]|25-34|Female</v>
      </c>
      <c r="F309" s="10"/>
      <c r="G309" s="88" t="n">
        <f aca="false">0</f>
        <v>0</v>
      </c>
      <c r="H309" s="39" t="str">
        <f aca="false">IF(SUM($F309)=0,"",ROUND($F309*(1+$G309),0))</f>
        <v/>
      </c>
      <c r="I309" s="10"/>
      <c r="J309" s="88"/>
      <c r="K309" s="88" t="str">
        <f aca="false">IF($J309="","",$J309)</f>
        <v/>
      </c>
      <c r="L309" s="88"/>
      <c r="M309" s="88" t="str">
        <f aca="false">IF($L309="","",$L309)</f>
        <v/>
      </c>
      <c r="N309" s="10" t="str">
        <f aca="false">$H309</f>
        <v/>
      </c>
      <c r="O309" s="39" t="str">
        <f aca="false">IF(SUM($N309)=0,"",IF(AND(SUM($N309)&gt;0,$K309=""),"ENTER KNOWN POSITIVITY RATE",ROUND($N309*$K309,0)))</f>
        <v/>
      </c>
      <c r="P309" s="39" t="str">
        <f aca="false">IF(SUM($N309)=0,"",IF(AND((SUM($N309)-SUM($O309))&gt;0,$M309=""),"ENTER YIELD RATE",ROUND(($N309-SUM($O309))*$M309,0)))</f>
        <v/>
      </c>
      <c r="Q309" s="39" t="str">
        <f aca="false">IF(SUM($N309)=0,"",$N309-SUM($O309)-SUM($P309))</f>
        <v/>
      </c>
      <c r="R309" s="88" t="str">
        <f aca="false">IF(SUM($P309)=0,"",INDEX(Cascade!$BG:$BG,MATCH($E309,Cascade!$E:$E,0)))</f>
        <v/>
      </c>
      <c r="S309" s="39" t="str">
        <f aca="false">$O309</f>
        <v/>
      </c>
      <c r="T309" s="39" t="str">
        <f aca="false">IF(SUM($P309)=0,"",IF(AND($R309="",SUM($P309)&gt;0),"&lt;- Enter Linkage Rate",ROUND($P309*$R309,0)))</f>
        <v/>
      </c>
      <c r="U309" s="10" t="str">
        <f aca="false">IFERROR(1/(1/INDEX(Cascade!$BH:$BH,MATCH($E309,Cascade!$E:$E,0))),"")</f>
        <v/>
      </c>
      <c r="V309" s="10" t="str">
        <f aca="false">IF(SUM($P309)=0,"",$P309)</f>
        <v/>
      </c>
      <c r="W309" s="10" t="str">
        <f aca="false">IFERROR(1/(1/INDEX(PMTCT!$AC:$AC,MATCH($E309,PMTCT!$E:$E,0))),"")</f>
        <v/>
      </c>
      <c r="X309" s="10" t="str">
        <f aca="false">IFERROR(1/(1/INDEX(PMTCT!$AS:$AS,MATCH($E309,PMTCT!$E:$E,0))),"")</f>
        <v/>
      </c>
      <c r="Y309" s="10" t="str">
        <f aca="false">IFERROR(1/(1/INDEX(VMMC!$AA:$AA,MATCH($E309,VMMC!$E:$E,0))),"")</f>
        <v/>
      </c>
      <c r="Z309" s="10" t="str">
        <f aca="false">IFERROR(1/(1/(SUM($U309)-SUM($V309:$Y309))),"")</f>
        <v/>
      </c>
    </row>
    <row r="310" customFormat="false" ht="15" hidden="false" customHeight="false" outlineLevel="0" collapsed="false">
      <c r="A310" s="0" t="str">
        <f aca="false">INDEX(Prioritization!$D:$D,MATCH($B310,Prioritization!$A:$A,0))</f>
        <v>INVALID</v>
      </c>
      <c r="B310" s="0" t="s">
        <v>218</v>
      </c>
      <c r="C310" s="0" t="s">
        <v>366</v>
      </c>
      <c r="D310" s="0" t="s">
        <v>48</v>
      </c>
      <c r="E310" s="0" t="str">
        <f aca="false">B310&amp;"|"&amp;C310&amp;"|"&amp;D310</f>
        <v>Neno District [gwVYinjBAe9]|25-34|Male</v>
      </c>
      <c r="F310" s="10"/>
      <c r="G310" s="88" t="n">
        <f aca="false">0</f>
        <v>0</v>
      </c>
      <c r="H310" s="39" t="str">
        <f aca="false">IF(SUM($F310)=0,"",ROUND($F310*(1+$G310),0))</f>
        <v/>
      </c>
      <c r="I310" s="10"/>
      <c r="J310" s="88"/>
      <c r="K310" s="88" t="str">
        <f aca="false">IF($J310="","",$J310)</f>
        <v/>
      </c>
      <c r="L310" s="88"/>
      <c r="M310" s="88" t="str">
        <f aca="false">IF($L310="","",$L310)</f>
        <v/>
      </c>
      <c r="N310" s="10" t="str">
        <f aca="false">$H310</f>
        <v/>
      </c>
      <c r="O310" s="39" t="str">
        <f aca="false">IF(SUM($N310)=0,"",IF(AND(SUM($N310)&gt;0,$K310=""),"ENTER KNOWN POSITIVITY RATE",ROUND($N310*$K310,0)))</f>
        <v/>
      </c>
      <c r="P310" s="39" t="str">
        <f aca="false">IF(SUM($N310)=0,"",IF(AND((SUM($N310)-SUM($O310))&gt;0,$M310=""),"ENTER YIELD RATE",ROUND(($N310-SUM($O310))*$M310,0)))</f>
        <v/>
      </c>
      <c r="Q310" s="39" t="str">
        <f aca="false">IF(SUM($N310)=0,"",$N310-SUM($O310)-SUM($P310))</f>
        <v/>
      </c>
      <c r="R310" s="88" t="str">
        <f aca="false">IF(SUM($P310)=0,"",INDEX(Cascade!$BG:$BG,MATCH($E310,Cascade!$E:$E,0)))</f>
        <v/>
      </c>
      <c r="S310" s="39" t="str">
        <f aca="false">$O310</f>
        <v/>
      </c>
      <c r="T310" s="39" t="str">
        <f aca="false">IF(SUM($P310)=0,"",IF(AND($R310="",SUM($P310)&gt;0),"&lt;- Enter Linkage Rate",ROUND($P310*$R310,0)))</f>
        <v/>
      </c>
      <c r="U310" s="10" t="str">
        <f aca="false">IFERROR(1/(1/INDEX(Cascade!$BH:$BH,MATCH($E310,Cascade!$E:$E,0))),"")</f>
        <v/>
      </c>
      <c r="V310" s="10" t="str">
        <f aca="false">IF(SUM($P310)=0,"",$P310)</f>
        <v/>
      </c>
      <c r="W310" s="10" t="str">
        <f aca="false">IFERROR(1/(1/INDEX(PMTCT!$AC:$AC,MATCH($E310,PMTCT!$E:$E,0))),"")</f>
        <v/>
      </c>
      <c r="X310" s="10" t="str">
        <f aca="false">IFERROR(1/(1/INDEX(PMTCT!$AS:$AS,MATCH($E310,PMTCT!$E:$E,0))),"")</f>
        <v/>
      </c>
      <c r="Y310" s="10" t="str">
        <f aca="false">IFERROR(1/(1/INDEX(VMMC!$AA:$AA,MATCH($E310,VMMC!$E:$E,0))),"")</f>
        <v/>
      </c>
      <c r="Z310" s="10" t="str">
        <f aca="false">IFERROR(1/(1/(SUM($U310)-SUM($V310:$Y310))),"")</f>
        <v/>
      </c>
    </row>
    <row r="311" customFormat="false" ht="15" hidden="false" customHeight="false" outlineLevel="0" collapsed="false">
      <c r="A311" s="0" t="str">
        <f aca="false">INDEX(Prioritization!$D:$D,MATCH($B311,Prioritization!$A:$A,0))</f>
        <v>INVALID</v>
      </c>
      <c r="B311" s="0" t="s">
        <v>218</v>
      </c>
      <c r="C311" s="0" t="s">
        <v>367</v>
      </c>
      <c r="D311" s="0" t="s">
        <v>30</v>
      </c>
      <c r="E311" s="0" t="str">
        <f aca="false">B311&amp;"|"&amp;C311&amp;"|"&amp;D311</f>
        <v>Neno District [gwVYinjBAe9]|35-49|Female</v>
      </c>
      <c r="F311" s="10"/>
      <c r="G311" s="88" t="n">
        <f aca="false">0</f>
        <v>0</v>
      </c>
      <c r="H311" s="39" t="str">
        <f aca="false">IF(SUM($F311)=0,"",ROUND($F311*(1+$G311),0))</f>
        <v/>
      </c>
      <c r="I311" s="10"/>
      <c r="J311" s="88"/>
      <c r="K311" s="88" t="str">
        <f aca="false">IF($J311="","",$J311)</f>
        <v/>
      </c>
      <c r="L311" s="88"/>
      <c r="M311" s="88" t="str">
        <f aca="false">IF($L311="","",$L311)</f>
        <v/>
      </c>
      <c r="N311" s="10" t="str">
        <f aca="false">$H311</f>
        <v/>
      </c>
      <c r="O311" s="39" t="str">
        <f aca="false">IF(SUM($N311)=0,"",IF(AND(SUM($N311)&gt;0,$K311=""),"ENTER KNOWN POSITIVITY RATE",ROUND($N311*$K311,0)))</f>
        <v/>
      </c>
      <c r="P311" s="39" t="str">
        <f aca="false">IF(SUM($N311)=0,"",IF(AND((SUM($N311)-SUM($O311))&gt;0,$M311=""),"ENTER YIELD RATE",ROUND(($N311-SUM($O311))*$M311,0)))</f>
        <v/>
      </c>
      <c r="Q311" s="39" t="str">
        <f aca="false">IF(SUM($N311)=0,"",$N311-SUM($O311)-SUM($P311))</f>
        <v/>
      </c>
      <c r="R311" s="88" t="str">
        <f aca="false">IF(SUM($P311)=0,"",INDEX(Cascade!$BG:$BG,MATCH($E311,Cascade!$E:$E,0)))</f>
        <v/>
      </c>
      <c r="S311" s="39" t="str">
        <f aca="false">$O311</f>
        <v/>
      </c>
      <c r="T311" s="39" t="str">
        <f aca="false">IF(SUM($P311)=0,"",IF(AND($R311="",SUM($P311)&gt;0),"&lt;- Enter Linkage Rate",ROUND($P311*$R311,0)))</f>
        <v/>
      </c>
      <c r="U311" s="10" t="str">
        <f aca="false">IFERROR(1/(1/INDEX(Cascade!$BH:$BH,MATCH($E311,Cascade!$E:$E,0))),"")</f>
        <v/>
      </c>
      <c r="V311" s="10" t="str">
        <f aca="false">IF(SUM($P311)=0,"",$P311)</f>
        <v/>
      </c>
      <c r="W311" s="10" t="str">
        <f aca="false">IFERROR(1/(1/INDEX(PMTCT!$AC:$AC,MATCH($E311,PMTCT!$E:$E,0))),"")</f>
        <v/>
      </c>
      <c r="X311" s="10" t="str">
        <f aca="false">IFERROR(1/(1/INDEX(PMTCT!$AS:$AS,MATCH($E311,PMTCT!$E:$E,0))),"")</f>
        <v/>
      </c>
      <c r="Y311" s="10" t="str">
        <f aca="false">IFERROR(1/(1/INDEX(VMMC!$AA:$AA,MATCH($E311,VMMC!$E:$E,0))),"")</f>
        <v/>
      </c>
      <c r="Z311" s="10" t="str">
        <f aca="false">IFERROR(1/(1/(SUM($U311)-SUM($V311:$Y311))),"")</f>
        <v/>
      </c>
    </row>
    <row r="312" customFormat="false" ht="15" hidden="false" customHeight="false" outlineLevel="0" collapsed="false">
      <c r="A312" s="0" t="str">
        <f aca="false">INDEX(Prioritization!$D:$D,MATCH($B312,Prioritization!$A:$A,0))</f>
        <v>INVALID</v>
      </c>
      <c r="B312" s="0" t="s">
        <v>218</v>
      </c>
      <c r="C312" s="0" t="s">
        <v>367</v>
      </c>
      <c r="D312" s="0" t="s">
        <v>48</v>
      </c>
      <c r="E312" s="0" t="str">
        <f aca="false">B312&amp;"|"&amp;C312&amp;"|"&amp;D312</f>
        <v>Neno District [gwVYinjBAe9]|35-49|Male</v>
      </c>
      <c r="F312" s="10"/>
      <c r="G312" s="88" t="n">
        <f aca="false">0</f>
        <v>0</v>
      </c>
      <c r="H312" s="39" t="str">
        <f aca="false">IF(SUM($F312)=0,"",ROUND($F312*(1+$G312),0))</f>
        <v/>
      </c>
      <c r="I312" s="10"/>
      <c r="J312" s="88"/>
      <c r="K312" s="88" t="str">
        <f aca="false">IF($J312="","",$J312)</f>
        <v/>
      </c>
      <c r="L312" s="88"/>
      <c r="M312" s="88" t="str">
        <f aca="false">IF($L312="","",$L312)</f>
        <v/>
      </c>
      <c r="N312" s="10" t="str">
        <f aca="false">$H312</f>
        <v/>
      </c>
      <c r="O312" s="39" t="str">
        <f aca="false">IF(SUM($N312)=0,"",IF(AND(SUM($N312)&gt;0,$K312=""),"ENTER KNOWN POSITIVITY RATE",ROUND($N312*$K312,0)))</f>
        <v/>
      </c>
      <c r="P312" s="39" t="str">
        <f aca="false">IF(SUM($N312)=0,"",IF(AND((SUM($N312)-SUM($O312))&gt;0,$M312=""),"ENTER YIELD RATE",ROUND(($N312-SUM($O312))*$M312,0)))</f>
        <v/>
      </c>
      <c r="Q312" s="39" t="str">
        <f aca="false">IF(SUM($N312)=0,"",$N312-SUM($O312)-SUM($P312))</f>
        <v/>
      </c>
      <c r="R312" s="88" t="str">
        <f aca="false">IF(SUM($P312)=0,"",INDEX(Cascade!$BG:$BG,MATCH($E312,Cascade!$E:$E,0)))</f>
        <v/>
      </c>
      <c r="S312" s="39" t="str">
        <f aca="false">$O312</f>
        <v/>
      </c>
      <c r="T312" s="39" t="str">
        <f aca="false">IF(SUM($P312)=0,"",IF(AND($R312="",SUM($P312)&gt;0),"&lt;- Enter Linkage Rate",ROUND($P312*$R312,0)))</f>
        <v/>
      </c>
      <c r="U312" s="10" t="str">
        <f aca="false">IFERROR(1/(1/INDEX(Cascade!$BH:$BH,MATCH($E312,Cascade!$E:$E,0))),"")</f>
        <v/>
      </c>
      <c r="V312" s="10" t="str">
        <f aca="false">IF(SUM($P312)=0,"",$P312)</f>
        <v/>
      </c>
      <c r="W312" s="10" t="str">
        <f aca="false">IFERROR(1/(1/INDEX(PMTCT!$AC:$AC,MATCH($E312,PMTCT!$E:$E,0))),"")</f>
        <v/>
      </c>
      <c r="X312" s="10" t="str">
        <f aca="false">IFERROR(1/(1/INDEX(PMTCT!$AS:$AS,MATCH($E312,PMTCT!$E:$E,0))),"")</f>
        <v/>
      </c>
      <c r="Y312" s="10" t="str">
        <f aca="false">IFERROR(1/(1/INDEX(VMMC!$AA:$AA,MATCH($E312,VMMC!$E:$E,0))),"")</f>
        <v/>
      </c>
      <c r="Z312" s="10" t="str">
        <f aca="false">IFERROR(1/(1/(SUM($U312)-SUM($V312:$Y312))),"")</f>
        <v/>
      </c>
    </row>
    <row r="313" customFormat="false" ht="15" hidden="false" customHeight="false" outlineLevel="0" collapsed="false">
      <c r="A313" s="0" t="str">
        <f aca="false">INDEX(Prioritization!$D:$D,MATCH($B313,Prioritization!$A:$A,0))</f>
        <v>INVALID</v>
      </c>
      <c r="B313" s="0" t="s">
        <v>218</v>
      </c>
      <c r="C313" s="0" t="s">
        <v>368</v>
      </c>
      <c r="D313" s="0" t="s">
        <v>30</v>
      </c>
      <c r="E313" s="0" t="str">
        <f aca="false">B313&amp;"|"&amp;C313&amp;"|"&amp;D313</f>
        <v>Neno District [gwVYinjBAe9]|50+|Female</v>
      </c>
      <c r="F313" s="10"/>
      <c r="G313" s="88" t="n">
        <f aca="false">0</f>
        <v>0</v>
      </c>
      <c r="H313" s="39" t="str">
        <f aca="false">IF(SUM($F313)=0,"",ROUND($F313*(1+$G313),0))</f>
        <v/>
      </c>
      <c r="I313" s="10"/>
      <c r="J313" s="88"/>
      <c r="K313" s="88" t="str">
        <f aca="false">IF($J313="","",$J313)</f>
        <v/>
      </c>
      <c r="L313" s="88"/>
      <c r="M313" s="88" t="str">
        <f aca="false">IF($L313="","",$L313)</f>
        <v/>
      </c>
      <c r="N313" s="10" t="str">
        <f aca="false">$H313</f>
        <v/>
      </c>
      <c r="O313" s="39" t="str">
        <f aca="false">IF(SUM($N313)=0,"",IF(AND(SUM($N313)&gt;0,$K313=""),"ENTER KNOWN POSITIVITY RATE",ROUND($N313*$K313,0)))</f>
        <v/>
      </c>
      <c r="P313" s="39" t="str">
        <f aca="false">IF(SUM($N313)=0,"",IF(AND((SUM($N313)-SUM($O313))&gt;0,$M313=""),"ENTER YIELD RATE",ROUND(($N313-SUM($O313))*$M313,0)))</f>
        <v/>
      </c>
      <c r="Q313" s="39" t="str">
        <f aca="false">IF(SUM($N313)=0,"",$N313-SUM($O313)-SUM($P313))</f>
        <v/>
      </c>
      <c r="R313" s="88" t="str">
        <f aca="false">IF(SUM($P313)=0,"",INDEX(Cascade!$BG:$BG,MATCH($E313,Cascade!$E:$E,0)))</f>
        <v/>
      </c>
      <c r="S313" s="39" t="str">
        <f aca="false">$O313</f>
        <v/>
      </c>
      <c r="T313" s="39" t="str">
        <f aca="false">IF(SUM($P313)=0,"",IF(AND($R313="",SUM($P313)&gt;0),"&lt;- Enter Linkage Rate",ROUND($P313*$R313,0)))</f>
        <v/>
      </c>
      <c r="U313" s="10" t="str">
        <f aca="false">IFERROR(1/(1/INDEX(Cascade!$BH:$BH,MATCH($E313,Cascade!$E:$E,0))),"")</f>
        <v/>
      </c>
      <c r="V313" s="10" t="str">
        <f aca="false">IF(SUM($P313)=0,"",$P313)</f>
        <v/>
      </c>
      <c r="W313" s="10" t="str">
        <f aca="false">IFERROR(1/(1/INDEX(PMTCT!$AC:$AC,MATCH($E313,PMTCT!$E:$E,0))),"")</f>
        <v/>
      </c>
      <c r="X313" s="10" t="str">
        <f aca="false">IFERROR(1/(1/INDEX(PMTCT!$AS:$AS,MATCH($E313,PMTCT!$E:$E,0))),"")</f>
        <v/>
      </c>
      <c r="Y313" s="10" t="str">
        <f aca="false">IFERROR(1/(1/INDEX(VMMC!$AA:$AA,MATCH($E313,VMMC!$E:$E,0))),"")</f>
        <v/>
      </c>
      <c r="Z313" s="10" t="str">
        <f aca="false">IFERROR(1/(1/(SUM($U313)-SUM($V313:$Y313))),"")</f>
        <v/>
      </c>
    </row>
    <row r="314" customFormat="false" ht="15" hidden="false" customHeight="false" outlineLevel="0" collapsed="false">
      <c r="A314" s="0" t="str">
        <f aca="false">INDEX(Prioritization!$D:$D,MATCH($B314,Prioritization!$A:$A,0))</f>
        <v>INVALID</v>
      </c>
      <c r="B314" s="0" t="s">
        <v>218</v>
      </c>
      <c r="C314" s="0" t="s">
        <v>368</v>
      </c>
      <c r="D314" s="0" t="s">
        <v>48</v>
      </c>
      <c r="E314" s="0" t="str">
        <f aca="false">B314&amp;"|"&amp;C314&amp;"|"&amp;D314</f>
        <v>Neno District [gwVYinjBAe9]|50+|Male</v>
      </c>
      <c r="F314" s="10"/>
      <c r="G314" s="88" t="n">
        <f aca="false">0</f>
        <v>0</v>
      </c>
      <c r="H314" s="39" t="str">
        <f aca="false">IF(SUM($F314)=0,"",ROUND($F314*(1+$G314),0))</f>
        <v/>
      </c>
      <c r="I314" s="10"/>
      <c r="J314" s="88"/>
      <c r="K314" s="88" t="str">
        <f aca="false">IF($J314="","",$J314)</f>
        <v/>
      </c>
      <c r="L314" s="88"/>
      <c r="M314" s="88" t="str">
        <f aca="false">IF($L314="","",$L314)</f>
        <v/>
      </c>
      <c r="N314" s="10" t="str">
        <f aca="false">$H314</f>
        <v/>
      </c>
      <c r="O314" s="39" t="str">
        <f aca="false">IF(SUM($N314)=0,"",IF(AND(SUM($N314)&gt;0,$K314=""),"ENTER KNOWN POSITIVITY RATE",ROUND($N314*$K314,0)))</f>
        <v/>
      </c>
      <c r="P314" s="39" t="str">
        <f aca="false">IF(SUM($N314)=0,"",IF(AND((SUM($N314)-SUM($O314))&gt;0,$M314=""),"ENTER YIELD RATE",ROUND(($N314-SUM($O314))*$M314,0)))</f>
        <v/>
      </c>
      <c r="Q314" s="39" t="str">
        <f aca="false">IF(SUM($N314)=0,"",$N314-SUM($O314)-SUM($P314))</f>
        <v/>
      </c>
      <c r="R314" s="88" t="str">
        <f aca="false">IF(SUM($P314)=0,"",INDEX(Cascade!$BG:$BG,MATCH($E314,Cascade!$E:$E,0)))</f>
        <v/>
      </c>
      <c r="S314" s="39" t="str">
        <f aca="false">$O314</f>
        <v/>
      </c>
      <c r="T314" s="39" t="str">
        <f aca="false">IF(SUM($P314)=0,"",IF(AND($R314="",SUM($P314)&gt;0),"&lt;- Enter Linkage Rate",ROUND($P314*$R314,0)))</f>
        <v/>
      </c>
      <c r="U314" s="10" t="str">
        <f aca="false">IFERROR(1/(1/INDEX(Cascade!$BH:$BH,MATCH($E314,Cascade!$E:$E,0))),"")</f>
        <v/>
      </c>
      <c r="V314" s="10" t="str">
        <f aca="false">IF(SUM($P314)=0,"",$P314)</f>
        <v/>
      </c>
      <c r="W314" s="10" t="str">
        <f aca="false">IFERROR(1/(1/INDEX(PMTCT!$AC:$AC,MATCH($E314,PMTCT!$E:$E,0))),"")</f>
        <v/>
      </c>
      <c r="X314" s="10" t="str">
        <f aca="false">IFERROR(1/(1/INDEX(PMTCT!$AS:$AS,MATCH($E314,PMTCT!$E:$E,0))),"")</f>
        <v/>
      </c>
      <c r="Y314" s="10" t="str">
        <f aca="false">IFERROR(1/(1/INDEX(VMMC!$AA:$AA,MATCH($E314,VMMC!$E:$E,0))),"")</f>
        <v/>
      </c>
      <c r="Z314" s="10" t="str">
        <f aca="false">IFERROR(1/(1/(SUM($U314)-SUM($V314:$Y314))),"")</f>
        <v/>
      </c>
    </row>
    <row r="315" customFormat="false" ht="15" hidden="false" customHeight="false" outlineLevel="0" collapsed="false">
      <c r="A315" s="0" t="str">
        <f aca="false">INDEX(Prioritization!$D:$D,MATCH($B315,Prioritization!$A:$A,0))</f>
        <v>INVALID</v>
      </c>
      <c r="B315" s="0" t="s">
        <v>219</v>
      </c>
      <c r="C315" s="0" t="s">
        <v>363</v>
      </c>
      <c r="D315" s="0" t="s">
        <v>30</v>
      </c>
      <c r="E315" s="0" t="str">
        <f aca="false">B315&amp;"|"&amp;C315&amp;"|"&amp;D315</f>
        <v>Nsanje District [rpw540fmNUz]|01-09|Female</v>
      </c>
      <c r="F315" s="10"/>
      <c r="G315" s="88" t="n">
        <f aca="false">0</f>
        <v>0</v>
      </c>
      <c r="H315" s="39" t="str">
        <f aca="false">IF(SUM($F315)=0,"",ROUND($F315*(1+$G315),0))</f>
        <v/>
      </c>
      <c r="I315" s="10"/>
      <c r="J315" s="88"/>
      <c r="K315" s="88" t="str">
        <f aca="false">IF($J315="","",$J315)</f>
        <v/>
      </c>
      <c r="L315" s="88"/>
      <c r="M315" s="88" t="str">
        <f aca="false">IF($L315="","",$L315)</f>
        <v/>
      </c>
      <c r="N315" s="10" t="str">
        <f aca="false">$H315</f>
        <v/>
      </c>
      <c r="O315" s="39" t="str">
        <f aca="false">IF(SUM($N315)=0,"",IF(AND(SUM($N315)&gt;0,$K315=""),"ENTER KNOWN POSITIVITY RATE",ROUND($N315*$K315,0)))</f>
        <v/>
      </c>
      <c r="P315" s="39" t="str">
        <f aca="false">IF(SUM($N315)=0,"",IF(AND((SUM($N315)-SUM($O315))&gt;0,$M315=""),"ENTER YIELD RATE",ROUND(($N315-SUM($O315))*$M315,0)))</f>
        <v/>
      </c>
      <c r="Q315" s="39" t="str">
        <f aca="false">IF(SUM($N315)=0,"",$N315-SUM($O315)-SUM($P315))</f>
        <v/>
      </c>
      <c r="R315" s="88" t="str">
        <f aca="false">IF(SUM($P315)=0,"",INDEX(Cascade!$BG:$BG,MATCH($E315,Cascade!$E:$E,0)))</f>
        <v/>
      </c>
      <c r="S315" s="39" t="str">
        <f aca="false">$O315</f>
        <v/>
      </c>
      <c r="T315" s="39" t="str">
        <f aca="false">IF(SUM($P315)=0,"",IF(AND($R315="",SUM($P315)&gt;0),"&lt;- Enter Linkage Rate",ROUND($P315*$R315,0)))</f>
        <v/>
      </c>
      <c r="U315" s="10" t="str">
        <f aca="false">IFERROR(1/(1/INDEX(Cascade!$BH:$BH,MATCH($E315,Cascade!$E:$E,0))),"")</f>
        <v/>
      </c>
      <c r="V315" s="10" t="str">
        <f aca="false">IF(SUM($P315)=0,"",$P315)</f>
        <v/>
      </c>
      <c r="W315" s="10" t="str">
        <f aca="false">IFERROR(1/(1/INDEX(PMTCT!$AC:$AC,MATCH($E315,PMTCT!$E:$E,0))),"")</f>
        <v/>
      </c>
      <c r="X315" s="10" t="str">
        <f aca="false">IFERROR(1/(1/INDEX(PMTCT!$AS:$AS,MATCH($E315,PMTCT!$E:$E,0))),"")</f>
        <v/>
      </c>
      <c r="Y315" s="10" t="str">
        <f aca="false">IFERROR(1/(1/INDEX(VMMC!$AA:$AA,MATCH($E315,VMMC!$E:$E,0))),"")</f>
        <v/>
      </c>
      <c r="Z315" s="10" t="str">
        <f aca="false">IFERROR(1/(1/(SUM($U315)-SUM($V315:$Y315))),"")</f>
        <v/>
      </c>
    </row>
    <row r="316" customFormat="false" ht="15" hidden="false" customHeight="false" outlineLevel="0" collapsed="false">
      <c r="A316" s="0" t="str">
        <f aca="false">INDEX(Prioritization!$D:$D,MATCH($B316,Prioritization!$A:$A,0))</f>
        <v>INVALID</v>
      </c>
      <c r="B316" s="0" t="s">
        <v>219</v>
      </c>
      <c r="C316" s="0" t="s">
        <v>363</v>
      </c>
      <c r="D316" s="0" t="s">
        <v>48</v>
      </c>
      <c r="E316" s="0" t="str">
        <f aca="false">B316&amp;"|"&amp;C316&amp;"|"&amp;D316</f>
        <v>Nsanje District [rpw540fmNUz]|01-09|Male</v>
      </c>
      <c r="F316" s="10"/>
      <c r="G316" s="88" t="n">
        <f aca="false">0</f>
        <v>0</v>
      </c>
      <c r="H316" s="39" t="str">
        <f aca="false">IF(SUM($F316)=0,"",ROUND($F316*(1+$G316),0))</f>
        <v/>
      </c>
      <c r="I316" s="10"/>
      <c r="J316" s="88"/>
      <c r="K316" s="88" t="str">
        <f aca="false">IF($J316="","",$J316)</f>
        <v/>
      </c>
      <c r="L316" s="88"/>
      <c r="M316" s="88" t="str">
        <f aca="false">IF($L316="","",$L316)</f>
        <v/>
      </c>
      <c r="N316" s="10" t="str">
        <f aca="false">$H316</f>
        <v/>
      </c>
      <c r="O316" s="39" t="str">
        <f aca="false">IF(SUM($N316)=0,"",IF(AND(SUM($N316)&gt;0,$K316=""),"ENTER KNOWN POSITIVITY RATE",ROUND($N316*$K316,0)))</f>
        <v/>
      </c>
      <c r="P316" s="39" t="str">
        <f aca="false">IF(SUM($N316)=0,"",IF(AND((SUM($N316)-SUM($O316))&gt;0,$M316=""),"ENTER YIELD RATE",ROUND(($N316-SUM($O316))*$M316,0)))</f>
        <v/>
      </c>
      <c r="Q316" s="39" t="str">
        <f aca="false">IF(SUM($N316)=0,"",$N316-SUM($O316)-SUM($P316))</f>
        <v/>
      </c>
      <c r="R316" s="88" t="str">
        <f aca="false">IF(SUM($P316)=0,"",INDEX(Cascade!$BG:$BG,MATCH($E316,Cascade!$E:$E,0)))</f>
        <v/>
      </c>
      <c r="S316" s="39" t="str">
        <f aca="false">$O316</f>
        <v/>
      </c>
      <c r="T316" s="39" t="str">
        <f aca="false">IF(SUM($P316)=0,"",IF(AND($R316="",SUM($P316)&gt;0),"&lt;- Enter Linkage Rate",ROUND($P316*$R316,0)))</f>
        <v/>
      </c>
      <c r="U316" s="10" t="str">
        <f aca="false">IFERROR(1/(1/INDEX(Cascade!$BH:$BH,MATCH($E316,Cascade!$E:$E,0))),"")</f>
        <v/>
      </c>
      <c r="V316" s="10" t="str">
        <f aca="false">IF(SUM($P316)=0,"",$P316)</f>
        <v/>
      </c>
      <c r="W316" s="10" t="str">
        <f aca="false">IFERROR(1/(1/INDEX(PMTCT!$AC:$AC,MATCH($E316,PMTCT!$E:$E,0))),"")</f>
        <v/>
      </c>
      <c r="X316" s="10" t="str">
        <f aca="false">IFERROR(1/(1/INDEX(PMTCT!$AS:$AS,MATCH($E316,PMTCT!$E:$E,0))),"")</f>
        <v/>
      </c>
      <c r="Y316" s="10" t="str">
        <f aca="false">IFERROR(1/(1/INDEX(VMMC!$AA:$AA,MATCH($E316,VMMC!$E:$E,0))),"")</f>
        <v/>
      </c>
      <c r="Z316" s="10" t="str">
        <f aca="false">IFERROR(1/(1/(SUM($U316)-SUM($V316:$Y316))),"")</f>
        <v/>
      </c>
    </row>
    <row r="317" customFormat="false" ht="15" hidden="false" customHeight="false" outlineLevel="0" collapsed="false">
      <c r="A317" s="0" t="str">
        <f aca="false">INDEX(Prioritization!$D:$D,MATCH($B317,Prioritization!$A:$A,0))</f>
        <v>INVALID</v>
      </c>
      <c r="B317" s="0" t="s">
        <v>219</v>
      </c>
      <c r="C317" s="0" t="s">
        <v>364</v>
      </c>
      <c r="D317" s="0" t="s">
        <v>30</v>
      </c>
      <c r="E317" s="0" t="str">
        <f aca="false">B317&amp;"|"&amp;C317&amp;"|"&amp;D317</f>
        <v>Nsanje District [rpw540fmNUz]|10-14|Female</v>
      </c>
      <c r="F317" s="10" t="n">
        <v>1</v>
      </c>
      <c r="G317" s="88" t="n">
        <f aca="false">0</f>
        <v>0</v>
      </c>
      <c r="H317" s="39" t="n">
        <f aca="false">IF(SUM($F317)=0,"",ROUND($F317*(1+$G317),0))</f>
        <v>1</v>
      </c>
      <c r="I317" s="10"/>
      <c r="J317" s="88"/>
      <c r="K317" s="88" t="str">
        <f aca="false">IF($J317="","",$J317)</f>
        <v/>
      </c>
      <c r="L317" s="88"/>
      <c r="M317" s="88" t="str">
        <f aca="false">IF($L317="","",$L317)</f>
        <v/>
      </c>
      <c r="N317" s="10" t="n">
        <f aca="false">$H317</f>
        <v>1</v>
      </c>
      <c r="O317" s="39" t="str">
        <f aca="false">IF(SUM($N317)=0,"",IF(AND(SUM($N317)&gt;0,$K317=""),"ENTER KNOWN POSITIVITY RATE",ROUND($N317*$K317,0)))</f>
        <v>ENTER KNOWN POSITIVITY RATE</v>
      </c>
      <c r="P317" s="39" t="str">
        <f aca="false">IF(SUM($N317)=0,"",IF(AND((SUM($N317)-SUM($O317))&gt;0,$M317=""),"ENTER YIELD RATE",ROUND(($N317-SUM($O317))*$M317,0)))</f>
        <v>ENTER YIELD RATE</v>
      </c>
      <c r="Q317" s="39" t="n">
        <f aca="false">IF(SUM($N317)=0,"",$N317-SUM($O317)-SUM($P317))</f>
        <v>1</v>
      </c>
      <c r="R317" s="88" t="str">
        <f aca="false">IF(SUM($P317)=0,"",INDEX(Cascade!$BG:$BG,MATCH($E317,Cascade!$E:$E,0)))</f>
        <v/>
      </c>
      <c r="S317" s="39" t="str">
        <f aca="false">$O317</f>
        <v>ENTER KNOWN POSITIVITY RATE</v>
      </c>
      <c r="T317" s="39" t="str">
        <f aca="false">IF(SUM($P317)=0,"",IF(AND($R317="",SUM($P317)&gt;0),"&lt;- Enter Linkage Rate",ROUND($P317*$R317,0)))</f>
        <v/>
      </c>
      <c r="U317" s="10" t="n">
        <f aca="false">IFERROR(1/(1/INDEX(Cascade!$BH:$BH,MATCH($E317,Cascade!$E:$E,0))),"")</f>
        <v>-59</v>
      </c>
      <c r="V317" s="10" t="str">
        <f aca="false">IF(SUM($P317)=0,"",$P317)</f>
        <v/>
      </c>
      <c r="W317" s="10" t="str">
        <f aca="false">IFERROR(1/(1/INDEX(PMTCT!$AC:$AC,MATCH($E317,PMTCT!$E:$E,0))),"")</f>
        <v/>
      </c>
      <c r="X317" s="10" t="str">
        <f aca="false">IFERROR(1/(1/INDEX(PMTCT!$AS:$AS,MATCH($E317,PMTCT!$E:$E,0))),"")</f>
        <v/>
      </c>
      <c r="Y317" s="10" t="str">
        <f aca="false">IFERROR(1/(1/INDEX(VMMC!$AA:$AA,MATCH($E317,VMMC!$E:$E,0))),"")</f>
        <v/>
      </c>
      <c r="Z317" s="10" t="n">
        <f aca="false">IFERROR(1/(1/(SUM($U317)-SUM($V317:$Y317))),"")</f>
        <v>-59</v>
      </c>
    </row>
    <row r="318" customFormat="false" ht="15" hidden="false" customHeight="false" outlineLevel="0" collapsed="false">
      <c r="A318" s="0" t="str">
        <f aca="false">INDEX(Prioritization!$D:$D,MATCH($B318,Prioritization!$A:$A,0))</f>
        <v>INVALID</v>
      </c>
      <c r="B318" s="0" t="s">
        <v>219</v>
      </c>
      <c r="C318" s="0" t="s">
        <v>364</v>
      </c>
      <c r="D318" s="0" t="s">
        <v>48</v>
      </c>
      <c r="E318" s="0" t="str">
        <f aca="false">B318&amp;"|"&amp;C318&amp;"|"&amp;D318</f>
        <v>Nsanje District [rpw540fmNUz]|10-14|Male</v>
      </c>
      <c r="F318" s="10" t="n">
        <v>0</v>
      </c>
      <c r="G318" s="88" t="n">
        <f aca="false">0</f>
        <v>0</v>
      </c>
      <c r="H318" s="39" t="str">
        <f aca="false">IF(SUM($F318)=0,"",ROUND($F318*(1+$G318),0))</f>
        <v/>
      </c>
      <c r="I318" s="10"/>
      <c r="J318" s="88"/>
      <c r="K318" s="88" t="str">
        <f aca="false">IF($J318="","",$J318)</f>
        <v/>
      </c>
      <c r="L318" s="88"/>
      <c r="M318" s="88" t="str">
        <f aca="false">IF($L318="","",$L318)</f>
        <v/>
      </c>
      <c r="N318" s="10" t="str">
        <f aca="false">$H318</f>
        <v/>
      </c>
      <c r="O318" s="39" t="str">
        <f aca="false">IF(SUM($N318)=0,"",IF(AND(SUM($N318)&gt;0,$K318=""),"ENTER KNOWN POSITIVITY RATE",ROUND($N318*$K318,0)))</f>
        <v/>
      </c>
      <c r="P318" s="39" t="str">
        <f aca="false">IF(SUM($N318)=0,"",IF(AND((SUM($N318)-SUM($O318))&gt;0,$M318=""),"ENTER YIELD RATE",ROUND(($N318-SUM($O318))*$M318,0)))</f>
        <v/>
      </c>
      <c r="Q318" s="39" t="str">
        <f aca="false">IF(SUM($N318)=0,"",$N318-SUM($O318)-SUM($P318))</f>
        <v/>
      </c>
      <c r="R318" s="88" t="str">
        <f aca="false">IF(SUM($P318)=0,"",INDEX(Cascade!$BG:$BG,MATCH($E318,Cascade!$E:$E,0)))</f>
        <v/>
      </c>
      <c r="S318" s="39" t="str">
        <f aca="false">$O318</f>
        <v/>
      </c>
      <c r="T318" s="39" t="str">
        <f aca="false">IF(SUM($P318)=0,"",IF(AND($R318="",SUM($P318)&gt;0),"&lt;- Enter Linkage Rate",ROUND($P318*$R318,0)))</f>
        <v/>
      </c>
      <c r="U318" s="10" t="n">
        <f aca="false">IFERROR(1/(1/INDEX(Cascade!$BH:$BH,MATCH($E318,Cascade!$E:$E,0))),"")</f>
        <v>-80</v>
      </c>
      <c r="V318" s="10" t="str">
        <f aca="false">IF(SUM($P318)=0,"",$P318)</f>
        <v/>
      </c>
      <c r="W318" s="10" t="str">
        <f aca="false">IFERROR(1/(1/INDEX(PMTCT!$AC:$AC,MATCH($E318,PMTCT!$E:$E,0))),"")</f>
        <v/>
      </c>
      <c r="X318" s="10" t="str">
        <f aca="false">IFERROR(1/(1/INDEX(PMTCT!$AS:$AS,MATCH($E318,PMTCT!$E:$E,0))),"")</f>
        <v/>
      </c>
      <c r="Y318" s="10" t="str">
        <f aca="false">IFERROR(1/(1/INDEX(VMMC!$AA:$AA,MATCH($E318,VMMC!$E:$E,0))),"")</f>
        <v/>
      </c>
      <c r="Z318" s="10" t="n">
        <f aca="false">IFERROR(1/(1/(SUM($U318)-SUM($V318:$Y318))),"")</f>
        <v>-80</v>
      </c>
    </row>
    <row r="319" customFormat="false" ht="15" hidden="false" customHeight="false" outlineLevel="0" collapsed="false">
      <c r="A319" s="0" t="str">
        <f aca="false">INDEX(Prioritization!$D:$D,MATCH($B319,Prioritization!$A:$A,0))</f>
        <v>INVALID</v>
      </c>
      <c r="B319" s="0" t="s">
        <v>219</v>
      </c>
      <c r="C319" s="0" t="s">
        <v>365</v>
      </c>
      <c r="D319" s="0" t="s">
        <v>30</v>
      </c>
      <c r="E319" s="0" t="str">
        <f aca="false">B319&amp;"|"&amp;C319&amp;"|"&amp;D319</f>
        <v>Nsanje District [rpw540fmNUz]|15-24|Female</v>
      </c>
      <c r="F319" s="10"/>
      <c r="G319" s="88" t="n">
        <f aca="false">0</f>
        <v>0</v>
      </c>
      <c r="H319" s="39" t="str">
        <f aca="false">IF(SUM($F319)=0,"",ROUND($F319*(1+$G319),0))</f>
        <v/>
      </c>
      <c r="I319" s="10"/>
      <c r="J319" s="88"/>
      <c r="K319" s="88" t="str">
        <f aca="false">IF($J319="","",$J319)</f>
        <v/>
      </c>
      <c r="L319" s="88"/>
      <c r="M319" s="88" t="str">
        <f aca="false">IF($L319="","",$L319)</f>
        <v/>
      </c>
      <c r="N319" s="10" t="str">
        <f aca="false">$H319</f>
        <v/>
      </c>
      <c r="O319" s="39" t="str">
        <f aca="false">IF(SUM($N319)=0,"",IF(AND(SUM($N319)&gt;0,$K319=""),"ENTER KNOWN POSITIVITY RATE",ROUND($N319*$K319,0)))</f>
        <v/>
      </c>
      <c r="P319" s="39" t="str">
        <f aca="false">IF(SUM($N319)=0,"",IF(AND((SUM($N319)-SUM($O319))&gt;0,$M319=""),"ENTER YIELD RATE",ROUND(($N319-SUM($O319))*$M319,0)))</f>
        <v/>
      </c>
      <c r="Q319" s="39" t="str">
        <f aca="false">IF(SUM($N319)=0,"",$N319-SUM($O319)-SUM($P319))</f>
        <v/>
      </c>
      <c r="R319" s="88" t="str">
        <f aca="false">IF(SUM($P319)=0,"",INDEX(Cascade!$BG:$BG,MATCH($E319,Cascade!$E:$E,0)))</f>
        <v/>
      </c>
      <c r="S319" s="39" t="str">
        <f aca="false">$O319</f>
        <v/>
      </c>
      <c r="T319" s="39" t="str">
        <f aca="false">IF(SUM($P319)=0,"",IF(AND($R319="",SUM($P319)&gt;0),"&lt;- Enter Linkage Rate",ROUND($P319*$R319,0)))</f>
        <v/>
      </c>
      <c r="U319" s="10" t="str">
        <f aca="false">IFERROR(1/(1/INDEX(Cascade!$BH:$BH,MATCH($E319,Cascade!$E:$E,0))),"")</f>
        <v/>
      </c>
      <c r="V319" s="10" t="str">
        <f aca="false">IF(SUM($P319)=0,"",$P319)</f>
        <v/>
      </c>
      <c r="W319" s="10" t="str">
        <f aca="false">IFERROR(1/(1/INDEX(PMTCT!$AC:$AC,MATCH($E319,PMTCT!$E:$E,0))),"")</f>
        <v/>
      </c>
      <c r="X319" s="10" t="str">
        <f aca="false">IFERROR(1/(1/INDEX(PMTCT!$AS:$AS,MATCH($E319,PMTCT!$E:$E,0))),"")</f>
        <v/>
      </c>
      <c r="Y319" s="10" t="str">
        <f aca="false">IFERROR(1/(1/INDEX(VMMC!$AA:$AA,MATCH($E319,VMMC!$E:$E,0))),"")</f>
        <v/>
      </c>
      <c r="Z319" s="10" t="str">
        <f aca="false">IFERROR(1/(1/(SUM($U319)-SUM($V319:$Y319))),"")</f>
        <v/>
      </c>
    </row>
    <row r="320" customFormat="false" ht="15" hidden="false" customHeight="false" outlineLevel="0" collapsed="false">
      <c r="A320" s="0" t="str">
        <f aca="false">INDEX(Prioritization!$D:$D,MATCH($B320,Prioritization!$A:$A,0))</f>
        <v>INVALID</v>
      </c>
      <c r="B320" s="0" t="s">
        <v>219</v>
      </c>
      <c r="C320" s="0" t="s">
        <v>365</v>
      </c>
      <c r="D320" s="0" t="s">
        <v>48</v>
      </c>
      <c r="E320" s="0" t="str">
        <f aca="false">B320&amp;"|"&amp;C320&amp;"|"&amp;D320</f>
        <v>Nsanje District [rpw540fmNUz]|15-24|Male</v>
      </c>
      <c r="F320" s="10"/>
      <c r="G320" s="88" t="n">
        <f aca="false">0</f>
        <v>0</v>
      </c>
      <c r="H320" s="39" t="str">
        <f aca="false">IF(SUM($F320)=0,"",ROUND($F320*(1+$G320),0))</f>
        <v/>
      </c>
      <c r="I320" s="10"/>
      <c r="J320" s="88"/>
      <c r="K320" s="88" t="str">
        <f aca="false">IF($J320="","",$J320)</f>
        <v/>
      </c>
      <c r="L320" s="88"/>
      <c r="M320" s="88" t="str">
        <f aca="false">IF($L320="","",$L320)</f>
        <v/>
      </c>
      <c r="N320" s="10" t="str">
        <f aca="false">$H320</f>
        <v/>
      </c>
      <c r="O320" s="39" t="str">
        <f aca="false">IF(SUM($N320)=0,"",IF(AND(SUM($N320)&gt;0,$K320=""),"ENTER KNOWN POSITIVITY RATE",ROUND($N320*$K320,0)))</f>
        <v/>
      </c>
      <c r="P320" s="39" t="str">
        <f aca="false">IF(SUM($N320)=0,"",IF(AND((SUM($N320)-SUM($O320))&gt;0,$M320=""),"ENTER YIELD RATE",ROUND(($N320-SUM($O320))*$M320,0)))</f>
        <v/>
      </c>
      <c r="Q320" s="39" t="str">
        <f aca="false">IF(SUM($N320)=0,"",$N320-SUM($O320)-SUM($P320))</f>
        <v/>
      </c>
      <c r="R320" s="88" t="str">
        <f aca="false">IF(SUM($P320)=0,"",INDEX(Cascade!$BG:$BG,MATCH($E320,Cascade!$E:$E,0)))</f>
        <v/>
      </c>
      <c r="S320" s="39" t="str">
        <f aca="false">$O320</f>
        <v/>
      </c>
      <c r="T320" s="39" t="str">
        <f aca="false">IF(SUM($P320)=0,"",IF(AND($R320="",SUM($P320)&gt;0),"&lt;- Enter Linkage Rate",ROUND($P320*$R320,0)))</f>
        <v/>
      </c>
      <c r="U320" s="10" t="str">
        <f aca="false">IFERROR(1/(1/INDEX(Cascade!$BH:$BH,MATCH($E320,Cascade!$E:$E,0))),"")</f>
        <v/>
      </c>
      <c r="V320" s="10" t="str">
        <f aca="false">IF(SUM($P320)=0,"",$P320)</f>
        <v/>
      </c>
      <c r="W320" s="10" t="str">
        <f aca="false">IFERROR(1/(1/INDEX(PMTCT!$AC:$AC,MATCH($E320,PMTCT!$E:$E,0))),"")</f>
        <v/>
      </c>
      <c r="X320" s="10" t="str">
        <f aca="false">IFERROR(1/(1/INDEX(PMTCT!$AS:$AS,MATCH($E320,PMTCT!$E:$E,0))),"")</f>
        <v/>
      </c>
      <c r="Y320" s="10" t="str">
        <f aca="false">IFERROR(1/(1/INDEX(VMMC!$AA:$AA,MATCH($E320,VMMC!$E:$E,0))),"")</f>
        <v/>
      </c>
      <c r="Z320" s="10" t="str">
        <f aca="false">IFERROR(1/(1/(SUM($U320)-SUM($V320:$Y320))),"")</f>
        <v/>
      </c>
    </row>
    <row r="321" customFormat="false" ht="15" hidden="false" customHeight="false" outlineLevel="0" collapsed="false">
      <c r="A321" s="0" t="str">
        <f aca="false">INDEX(Prioritization!$D:$D,MATCH($B321,Prioritization!$A:$A,0))</f>
        <v>INVALID</v>
      </c>
      <c r="B321" s="0" t="s">
        <v>219</v>
      </c>
      <c r="C321" s="0" t="s">
        <v>366</v>
      </c>
      <c r="D321" s="0" t="s">
        <v>30</v>
      </c>
      <c r="E321" s="0" t="str">
        <f aca="false">B321&amp;"|"&amp;C321&amp;"|"&amp;D321</f>
        <v>Nsanje District [rpw540fmNUz]|25-34|Female</v>
      </c>
      <c r="F321" s="10"/>
      <c r="G321" s="88" t="n">
        <f aca="false">0</f>
        <v>0</v>
      </c>
      <c r="H321" s="39" t="str">
        <f aca="false">IF(SUM($F321)=0,"",ROUND($F321*(1+$G321),0))</f>
        <v/>
      </c>
      <c r="I321" s="10"/>
      <c r="J321" s="88"/>
      <c r="K321" s="88" t="str">
        <f aca="false">IF($J321="","",$J321)</f>
        <v/>
      </c>
      <c r="L321" s="88"/>
      <c r="M321" s="88" t="str">
        <f aca="false">IF($L321="","",$L321)</f>
        <v/>
      </c>
      <c r="N321" s="10" t="str">
        <f aca="false">$H321</f>
        <v/>
      </c>
      <c r="O321" s="39" t="str">
        <f aca="false">IF(SUM($N321)=0,"",IF(AND(SUM($N321)&gt;0,$K321=""),"ENTER KNOWN POSITIVITY RATE",ROUND($N321*$K321,0)))</f>
        <v/>
      </c>
      <c r="P321" s="39" t="str">
        <f aca="false">IF(SUM($N321)=0,"",IF(AND((SUM($N321)-SUM($O321))&gt;0,$M321=""),"ENTER YIELD RATE",ROUND(($N321-SUM($O321))*$M321,0)))</f>
        <v/>
      </c>
      <c r="Q321" s="39" t="str">
        <f aca="false">IF(SUM($N321)=0,"",$N321-SUM($O321)-SUM($P321))</f>
        <v/>
      </c>
      <c r="R321" s="88" t="str">
        <f aca="false">IF(SUM($P321)=0,"",INDEX(Cascade!$BG:$BG,MATCH($E321,Cascade!$E:$E,0)))</f>
        <v/>
      </c>
      <c r="S321" s="39" t="str">
        <f aca="false">$O321</f>
        <v/>
      </c>
      <c r="T321" s="39" t="str">
        <f aca="false">IF(SUM($P321)=0,"",IF(AND($R321="",SUM($P321)&gt;0),"&lt;- Enter Linkage Rate",ROUND($P321*$R321,0)))</f>
        <v/>
      </c>
      <c r="U321" s="10" t="str">
        <f aca="false">IFERROR(1/(1/INDEX(Cascade!$BH:$BH,MATCH($E321,Cascade!$E:$E,0))),"")</f>
        <v/>
      </c>
      <c r="V321" s="10" t="str">
        <f aca="false">IF(SUM($P321)=0,"",$P321)</f>
        <v/>
      </c>
      <c r="W321" s="10" t="str">
        <f aca="false">IFERROR(1/(1/INDEX(PMTCT!$AC:$AC,MATCH($E321,PMTCT!$E:$E,0))),"")</f>
        <v/>
      </c>
      <c r="X321" s="10" t="str">
        <f aca="false">IFERROR(1/(1/INDEX(PMTCT!$AS:$AS,MATCH($E321,PMTCT!$E:$E,0))),"")</f>
        <v/>
      </c>
      <c r="Y321" s="10" t="str">
        <f aca="false">IFERROR(1/(1/INDEX(VMMC!$AA:$AA,MATCH($E321,VMMC!$E:$E,0))),"")</f>
        <v/>
      </c>
      <c r="Z321" s="10" t="str">
        <f aca="false">IFERROR(1/(1/(SUM($U321)-SUM($V321:$Y321))),"")</f>
        <v/>
      </c>
    </row>
    <row r="322" customFormat="false" ht="15" hidden="false" customHeight="false" outlineLevel="0" collapsed="false">
      <c r="A322" s="0" t="str">
        <f aca="false">INDEX(Prioritization!$D:$D,MATCH($B322,Prioritization!$A:$A,0))</f>
        <v>INVALID</v>
      </c>
      <c r="B322" s="0" t="s">
        <v>219</v>
      </c>
      <c r="C322" s="0" t="s">
        <v>366</v>
      </c>
      <c r="D322" s="0" t="s">
        <v>48</v>
      </c>
      <c r="E322" s="0" t="str">
        <f aca="false">B322&amp;"|"&amp;C322&amp;"|"&amp;D322</f>
        <v>Nsanje District [rpw540fmNUz]|25-34|Male</v>
      </c>
      <c r="F322" s="10"/>
      <c r="G322" s="88" t="n">
        <f aca="false">0</f>
        <v>0</v>
      </c>
      <c r="H322" s="39" t="str">
        <f aca="false">IF(SUM($F322)=0,"",ROUND($F322*(1+$G322),0))</f>
        <v/>
      </c>
      <c r="I322" s="10"/>
      <c r="J322" s="88"/>
      <c r="K322" s="88" t="str">
        <f aca="false">IF($J322="","",$J322)</f>
        <v/>
      </c>
      <c r="L322" s="88"/>
      <c r="M322" s="88" t="str">
        <f aca="false">IF($L322="","",$L322)</f>
        <v/>
      </c>
      <c r="N322" s="10" t="str">
        <f aca="false">$H322</f>
        <v/>
      </c>
      <c r="O322" s="39" t="str">
        <f aca="false">IF(SUM($N322)=0,"",IF(AND(SUM($N322)&gt;0,$K322=""),"ENTER KNOWN POSITIVITY RATE",ROUND($N322*$K322,0)))</f>
        <v/>
      </c>
      <c r="P322" s="39" t="str">
        <f aca="false">IF(SUM($N322)=0,"",IF(AND((SUM($N322)-SUM($O322))&gt;0,$M322=""),"ENTER YIELD RATE",ROUND(($N322-SUM($O322))*$M322,0)))</f>
        <v/>
      </c>
      <c r="Q322" s="39" t="str">
        <f aca="false">IF(SUM($N322)=0,"",$N322-SUM($O322)-SUM($P322))</f>
        <v/>
      </c>
      <c r="R322" s="88" t="str">
        <f aca="false">IF(SUM($P322)=0,"",INDEX(Cascade!$BG:$BG,MATCH($E322,Cascade!$E:$E,0)))</f>
        <v/>
      </c>
      <c r="S322" s="39" t="str">
        <f aca="false">$O322</f>
        <v/>
      </c>
      <c r="T322" s="39" t="str">
        <f aca="false">IF(SUM($P322)=0,"",IF(AND($R322="",SUM($P322)&gt;0),"&lt;- Enter Linkage Rate",ROUND($P322*$R322,0)))</f>
        <v/>
      </c>
      <c r="U322" s="10" t="str">
        <f aca="false">IFERROR(1/(1/INDEX(Cascade!$BH:$BH,MATCH($E322,Cascade!$E:$E,0))),"")</f>
        <v/>
      </c>
      <c r="V322" s="10" t="str">
        <f aca="false">IF(SUM($P322)=0,"",$P322)</f>
        <v/>
      </c>
      <c r="W322" s="10" t="str">
        <f aca="false">IFERROR(1/(1/INDEX(PMTCT!$AC:$AC,MATCH($E322,PMTCT!$E:$E,0))),"")</f>
        <v/>
      </c>
      <c r="X322" s="10" t="str">
        <f aca="false">IFERROR(1/(1/INDEX(PMTCT!$AS:$AS,MATCH($E322,PMTCT!$E:$E,0))),"")</f>
        <v/>
      </c>
      <c r="Y322" s="10" t="str">
        <f aca="false">IFERROR(1/(1/INDEX(VMMC!$AA:$AA,MATCH($E322,VMMC!$E:$E,0))),"")</f>
        <v/>
      </c>
      <c r="Z322" s="10" t="str">
        <f aca="false">IFERROR(1/(1/(SUM($U322)-SUM($V322:$Y322))),"")</f>
        <v/>
      </c>
    </row>
    <row r="323" customFormat="false" ht="15" hidden="false" customHeight="false" outlineLevel="0" collapsed="false">
      <c r="A323" s="0" t="str">
        <f aca="false">INDEX(Prioritization!$D:$D,MATCH($B323,Prioritization!$A:$A,0))</f>
        <v>INVALID</v>
      </c>
      <c r="B323" s="0" t="s">
        <v>219</v>
      </c>
      <c r="C323" s="0" t="s">
        <v>367</v>
      </c>
      <c r="D323" s="0" t="s">
        <v>30</v>
      </c>
      <c r="E323" s="0" t="str">
        <f aca="false">B323&amp;"|"&amp;C323&amp;"|"&amp;D323</f>
        <v>Nsanje District [rpw540fmNUz]|35-49|Female</v>
      </c>
      <c r="F323" s="10"/>
      <c r="G323" s="88" t="n">
        <f aca="false">0</f>
        <v>0</v>
      </c>
      <c r="H323" s="39" t="str">
        <f aca="false">IF(SUM($F323)=0,"",ROUND($F323*(1+$G323),0))</f>
        <v/>
      </c>
      <c r="I323" s="10"/>
      <c r="J323" s="88"/>
      <c r="K323" s="88" t="str">
        <f aca="false">IF($J323="","",$J323)</f>
        <v/>
      </c>
      <c r="L323" s="88"/>
      <c r="M323" s="88" t="str">
        <f aca="false">IF($L323="","",$L323)</f>
        <v/>
      </c>
      <c r="N323" s="10" t="str">
        <f aca="false">$H323</f>
        <v/>
      </c>
      <c r="O323" s="39" t="str">
        <f aca="false">IF(SUM($N323)=0,"",IF(AND(SUM($N323)&gt;0,$K323=""),"ENTER KNOWN POSITIVITY RATE",ROUND($N323*$K323,0)))</f>
        <v/>
      </c>
      <c r="P323" s="39" t="str">
        <f aca="false">IF(SUM($N323)=0,"",IF(AND((SUM($N323)-SUM($O323))&gt;0,$M323=""),"ENTER YIELD RATE",ROUND(($N323-SUM($O323))*$M323,0)))</f>
        <v/>
      </c>
      <c r="Q323" s="39" t="str">
        <f aca="false">IF(SUM($N323)=0,"",$N323-SUM($O323)-SUM($P323))</f>
        <v/>
      </c>
      <c r="R323" s="88" t="str">
        <f aca="false">IF(SUM($P323)=0,"",INDEX(Cascade!$BG:$BG,MATCH($E323,Cascade!$E:$E,0)))</f>
        <v/>
      </c>
      <c r="S323" s="39" t="str">
        <f aca="false">$O323</f>
        <v/>
      </c>
      <c r="T323" s="39" t="str">
        <f aca="false">IF(SUM($P323)=0,"",IF(AND($R323="",SUM($P323)&gt;0),"&lt;- Enter Linkage Rate",ROUND($P323*$R323,0)))</f>
        <v/>
      </c>
      <c r="U323" s="10" t="str">
        <f aca="false">IFERROR(1/(1/INDEX(Cascade!$BH:$BH,MATCH($E323,Cascade!$E:$E,0))),"")</f>
        <v/>
      </c>
      <c r="V323" s="10" t="str">
        <f aca="false">IF(SUM($P323)=0,"",$P323)</f>
        <v/>
      </c>
      <c r="W323" s="10" t="str">
        <f aca="false">IFERROR(1/(1/INDEX(PMTCT!$AC:$AC,MATCH($E323,PMTCT!$E:$E,0))),"")</f>
        <v/>
      </c>
      <c r="X323" s="10" t="str">
        <f aca="false">IFERROR(1/(1/INDEX(PMTCT!$AS:$AS,MATCH($E323,PMTCT!$E:$E,0))),"")</f>
        <v/>
      </c>
      <c r="Y323" s="10" t="str">
        <f aca="false">IFERROR(1/(1/INDEX(VMMC!$AA:$AA,MATCH($E323,VMMC!$E:$E,0))),"")</f>
        <v/>
      </c>
      <c r="Z323" s="10" t="str">
        <f aca="false">IFERROR(1/(1/(SUM($U323)-SUM($V323:$Y323))),"")</f>
        <v/>
      </c>
    </row>
    <row r="324" customFormat="false" ht="15" hidden="false" customHeight="false" outlineLevel="0" collapsed="false">
      <c r="A324" s="0" t="str">
        <f aca="false">INDEX(Prioritization!$D:$D,MATCH($B324,Prioritization!$A:$A,0))</f>
        <v>INVALID</v>
      </c>
      <c r="B324" s="0" t="s">
        <v>219</v>
      </c>
      <c r="C324" s="0" t="s">
        <v>367</v>
      </c>
      <c r="D324" s="0" t="s">
        <v>48</v>
      </c>
      <c r="E324" s="0" t="str">
        <f aca="false">B324&amp;"|"&amp;C324&amp;"|"&amp;D324</f>
        <v>Nsanje District [rpw540fmNUz]|35-49|Male</v>
      </c>
      <c r="F324" s="10"/>
      <c r="G324" s="88" t="n">
        <f aca="false">0</f>
        <v>0</v>
      </c>
      <c r="H324" s="39" t="str">
        <f aca="false">IF(SUM($F324)=0,"",ROUND($F324*(1+$G324),0))</f>
        <v/>
      </c>
      <c r="I324" s="10"/>
      <c r="J324" s="88"/>
      <c r="K324" s="88" t="str">
        <f aca="false">IF($J324="","",$J324)</f>
        <v/>
      </c>
      <c r="L324" s="88"/>
      <c r="M324" s="88" t="str">
        <f aca="false">IF($L324="","",$L324)</f>
        <v/>
      </c>
      <c r="N324" s="10" t="str">
        <f aca="false">$H324</f>
        <v/>
      </c>
      <c r="O324" s="39" t="str">
        <f aca="false">IF(SUM($N324)=0,"",IF(AND(SUM($N324)&gt;0,$K324=""),"ENTER KNOWN POSITIVITY RATE",ROUND($N324*$K324,0)))</f>
        <v/>
      </c>
      <c r="P324" s="39" t="str">
        <f aca="false">IF(SUM($N324)=0,"",IF(AND((SUM($N324)-SUM($O324))&gt;0,$M324=""),"ENTER YIELD RATE",ROUND(($N324-SUM($O324))*$M324,0)))</f>
        <v/>
      </c>
      <c r="Q324" s="39" t="str">
        <f aca="false">IF(SUM($N324)=0,"",$N324-SUM($O324)-SUM($P324))</f>
        <v/>
      </c>
      <c r="R324" s="88" t="str">
        <f aca="false">IF(SUM($P324)=0,"",INDEX(Cascade!$BG:$BG,MATCH($E324,Cascade!$E:$E,0)))</f>
        <v/>
      </c>
      <c r="S324" s="39" t="str">
        <f aca="false">$O324</f>
        <v/>
      </c>
      <c r="T324" s="39" t="str">
        <f aca="false">IF(SUM($P324)=0,"",IF(AND($R324="",SUM($P324)&gt;0),"&lt;- Enter Linkage Rate",ROUND($P324*$R324,0)))</f>
        <v/>
      </c>
      <c r="U324" s="10" t="str">
        <f aca="false">IFERROR(1/(1/INDEX(Cascade!$BH:$BH,MATCH($E324,Cascade!$E:$E,0))),"")</f>
        <v/>
      </c>
      <c r="V324" s="10" t="str">
        <f aca="false">IF(SUM($P324)=0,"",$P324)</f>
        <v/>
      </c>
      <c r="W324" s="10" t="str">
        <f aca="false">IFERROR(1/(1/INDEX(PMTCT!$AC:$AC,MATCH($E324,PMTCT!$E:$E,0))),"")</f>
        <v/>
      </c>
      <c r="X324" s="10" t="str">
        <f aca="false">IFERROR(1/(1/INDEX(PMTCT!$AS:$AS,MATCH($E324,PMTCT!$E:$E,0))),"")</f>
        <v/>
      </c>
      <c r="Y324" s="10" t="str">
        <f aca="false">IFERROR(1/(1/INDEX(VMMC!$AA:$AA,MATCH($E324,VMMC!$E:$E,0))),"")</f>
        <v/>
      </c>
      <c r="Z324" s="10" t="str">
        <f aca="false">IFERROR(1/(1/(SUM($U324)-SUM($V324:$Y324))),"")</f>
        <v/>
      </c>
    </row>
    <row r="325" customFormat="false" ht="15" hidden="false" customHeight="false" outlineLevel="0" collapsed="false">
      <c r="A325" s="0" t="str">
        <f aca="false">INDEX(Prioritization!$D:$D,MATCH($B325,Prioritization!$A:$A,0))</f>
        <v>INVALID</v>
      </c>
      <c r="B325" s="0" t="s">
        <v>219</v>
      </c>
      <c r="C325" s="0" t="s">
        <v>368</v>
      </c>
      <c r="D325" s="0" t="s">
        <v>30</v>
      </c>
      <c r="E325" s="0" t="str">
        <f aca="false">B325&amp;"|"&amp;C325&amp;"|"&amp;D325</f>
        <v>Nsanje District [rpw540fmNUz]|50+|Female</v>
      </c>
      <c r="F325" s="10"/>
      <c r="G325" s="88" t="n">
        <f aca="false">0</f>
        <v>0</v>
      </c>
      <c r="H325" s="39" t="str">
        <f aca="false">IF(SUM($F325)=0,"",ROUND($F325*(1+$G325),0))</f>
        <v/>
      </c>
      <c r="I325" s="10"/>
      <c r="J325" s="88"/>
      <c r="K325" s="88" t="str">
        <f aca="false">IF($J325="","",$J325)</f>
        <v/>
      </c>
      <c r="L325" s="88"/>
      <c r="M325" s="88" t="str">
        <f aca="false">IF($L325="","",$L325)</f>
        <v/>
      </c>
      <c r="N325" s="10" t="str">
        <f aca="false">$H325</f>
        <v/>
      </c>
      <c r="O325" s="39" t="str">
        <f aca="false">IF(SUM($N325)=0,"",IF(AND(SUM($N325)&gt;0,$K325=""),"ENTER KNOWN POSITIVITY RATE",ROUND($N325*$K325,0)))</f>
        <v/>
      </c>
      <c r="P325" s="39" t="str">
        <f aca="false">IF(SUM($N325)=0,"",IF(AND((SUM($N325)-SUM($O325))&gt;0,$M325=""),"ENTER YIELD RATE",ROUND(($N325-SUM($O325))*$M325,0)))</f>
        <v/>
      </c>
      <c r="Q325" s="39" t="str">
        <f aca="false">IF(SUM($N325)=0,"",$N325-SUM($O325)-SUM($P325))</f>
        <v/>
      </c>
      <c r="R325" s="88" t="str">
        <f aca="false">IF(SUM($P325)=0,"",INDEX(Cascade!$BG:$BG,MATCH($E325,Cascade!$E:$E,0)))</f>
        <v/>
      </c>
      <c r="S325" s="39" t="str">
        <f aca="false">$O325</f>
        <v/>
      </c>
      <c r="T325" s="39" t="str">
        <f aca="false">IF(SUM($P325)=0,"",IF(AND($R325="",SUM($P325)&gt;0),"&lt;- Enter Linkage Rate",ROUND($P325*$R325,0)))</f>
        <v/>
      </c>
      <c r="U325" s="10" t="str">
        <f aca="false">IFERROR(1/(1/INDEX(Cascade!$BH:$BH,MATCH($E325,Cascade!$E:$E,0))),"")</f>
        <v/>
      </c>
      <c r="V325" s="10" t="str">
        <f aca="false">IF(SUM($P325)=0,"",$P325)</f>
        <v/>
      </c>
      <c r="W325" s="10" t="str">
        <f aca="false">IFERROR(1/(1/INDEX(PMTCT!$AC:$AC,MATCH($E325,PMTCT!$E:$E,0))),"")</f>
        <v/>
      </c>
      <c r="X325" s="10" t="str">
        <f aca="false">IFERROR(1/(1/INDEX(PMTCT!$AS:$AS,MATCH($E325,PMTCT!$E:$E,0))),"")</f>
        <v/>
      </c>
      <c r="Y325" s="10" t="str">
        <f aca="false">IFERROR(1/(1/INDEX(VMMC!$AA:$AA,MATCH($E325,VMMC!$E:$E,0))),"")</f>
        <v/>
      </c>
      <c r="Z325" s="10" t="str">
        <f aca="false">IFERROR(1/(1/(SUM($U325)-SUM($V325:$Y325))),"")</f>
        <v/>
      </c>
    </row>
    <row r="326" customFormat="false" ht="15" hidden="false" customHeight="false" outlineLevel="0" collapsed="false">
      <c r="A326" s="0" t="str">
        <f aca="false">INDEX(Prioritization!$D:$D,MATCH($B326,Prioritization!$A:$A,0))</f>
        <v>INVALID</v>
      </c>
      <c r="B326" s="0" t="s">
        <v>219</v>
      </c>
      <c r="C326" s="0" t="s">
        <v>368</v>
      </c>
      <c r="D326" s="0" t="s">
        <v>48</v>
      </c>
      <c r="E326" s="0" t="str">
        <f aca="false">B326&amp;"|"&amp;C326&amp;"|"&amp;D326</f>
        <v>Nsanje District [rpw540fmNUz]|50+|Male</v>
      </c>
      <c r="F326" s="10"/>
      <c r="G326" s="88" t="n">
        <f aca="false">0</f>
        <v>0</v>
      </c>
      <c r="H326" s="39" t="str">
        <f aca="false">IF(SUM($F326)=0,"",ROUND($F326*(1+$G326),0))</f>
        <v/>
      </c>
      <c r="I326" s="10"/>
      <c r="J326" s="88"/>
      <c r="K326" s="88" t="str">
        <f aca="false">IF($J326="","",$J326)</f>
        <v/>
      </c>
      <c r="L326" s="88"/>
      <c r="M326" s="88" t="str">
        <f aca="false">IF($L326="","",$L326)</f>
        <v/>
      </c>
      <c r="N326" s="10" t="str">
        <f aca="false">$H326</f>
        <v/>
      </c>
      <c r="O326" s="39" t="str">
        <f aca="false">IF(SUM($N326)=0,"",IF(AND(SUM($N326)&gt;0,$K326=""),"ENTER KNOWN POSITIVITY RATE",ROUND($N326*$K326,0)))</f>
        <v/>
      </c>
      <c r="P326" s="39" t="str">
        <f aca="false">IF(SUM($N326)=0,"",IF(AND((SUM($N326)-SUM($O326))&gt;0,$M326=""),"ENTER YIELD RATE",ROUND(($N326-SUM($O326))*$M326,0)))</f>
        <v/>
      </c>
      <c r="Q326" s="39" t="str">
        <f aca="false">IF(SUM($N326)=0,"",$N326-SUM($O326)-SUM($P326))</f>
        <v/>
      </c>
      <c r="R326" s="88" t="str">
        <f aca="false">IF(SUM($P326)=0,"",INDEX(Cascade!$BG:$BG,MATCH($E326,Cascade!$E:$E,0)))</f>
        <v/>
      </c>
      <c r="S326" s="39" t="str">
        <f aca="false">$O326</f>
        <v/>
      </c>
      <c r="T326" s="39" t="str">
        <f aca="false">IF(SUM($P326)=0,"",IF(AND($R326="",SUM($P326)&gt;0),"&lt;- Enter Linkage Rate",ROUND($P326*$R326,0)))</f>
        <v/>
      </c>
      <c r="U326" s="10" t="str">
        <f aca="false">IFERROR(1/(1/INDEX(Cascade!$BH:$BH,MATCH($E326,Cascade!$E:$E,0))),"")</f>
        <v/>
      </c>
      <c r="V326" s="10" t="str">
        <f aca="false">IF(SUM($P326)=0,"",$P326)</f>
        <v/>
      </c>
      <c r="W326" s="10" t="str">
        <f aca="false">IFERROR(1/(1/INDEX(PMTCT!$AC:$AC,MATCH($E326,PMTCT!$E:$E,0))),"")</f>
        <v/>
      </c>
      <c r="X326" s="10" t="str">
        <f aca="false">IFERROR(1/(1/INDEX(PMTCT!$AS:$AS,MATCH($E326,PMTCT!$E:$E,0))),"")</f>
        <v/>
      </c>
      <c r="Y326" s="10" t="str">
        <f aca="false">IFERROR(1/(1/INDEX(VMMC!$AA:$AA,MATCH($E326,VMMC!$E:$E,0))),"")</f>
        <v/>
      </c>
      <c r="Z326" s="10" t="str">
        <f aca="false">IFERROR(1/(1/(SUM($U326)-SUM($V326:$Y326))),"")</f>
        <v/>
      </c>
    </row>
    <row r="327" customFormat="false" ht="15" hidden="false" customHeight="false" outlineLevel="0" collapsed="false">
      <c r="A327" s="0" t="str">
        <f aca="false">INDEX(Prioritization!$D:$D,MATCH($B327,Prioritization!$A:$A,0))</f>
        <v>INVALID</v>
      </c>
      <c r="B327" s="0" t="s">
        <v>220</v>
      </c>
      <c r="C327" s="0" t="s">
        <v>363</v>
      </c>
      <c r="D327" s="0" t="s">
        <v>30</v>
      </c>
      <c r="E327" s="0" t="str">
        <f aca="false">B327&amp;"|"&amp;C327&amp;"|"&amp;D327</f>
        <v>Phalombe District [AZyWpGzhcaA]|01-09|Female</v>
      </c>
      <c r="F327" s="10"/>
      <c r="G327" s="88" t="n">
        <f aca="false">0</f>
        <v>0</v>
      </c>
      <c r="H327" s="39" t="str">
        <f aca="false">IF(SUM($F327)=0,"",ROUND($F327*(1+$G327),0))</f>
        <v/>
      </c>
      <c r="I327" s="10"/>
      <c r="J327" s="88"/>
      <c r="K327" s="88" t="str">
        <f aca="false">IF($J327="","",$J327)</f>
        <v/>
      </c>
      <c r="L327" s="88"/>
      <c r="M327" s="88" t="str">
        <f aca="false">IF($L327="","",$L327)</f>
        <v/>
      </c>
      <c r="N327" s="10" t="str">
        <f aca="false">$H327</f>
        <v/>
      </c>
      <c r="O327" s="39" t="str">
        <f aca="false">IF(SUM($N327)=0,"",IF(AND(SUM($N327)&gt;0,$K327=""),"ENTER KNOWN POSITIVITY RATE",ROUND($N327*$K327,0)))</f>
        <v/>
      </c>
      <c r="P327" s="39" t="str">
        <f aca="false">IF(SUM($N327)=0,"",IF(AND((SUM($N327)-SUM($O327))&gt;0,$M327=""),"ENTER YIELD RATE",ROUND(($N327-SUM($O327))*$M327,0)))</f>
        <v/>
      </c>
      <c r="Q327" s="39" t="str">
        <f aca="false">IF(SUM($N327)=0,"",$N327-SUM($O327)-SUM($P327))</f>
        <v/>
      </c>
      <c r="R327" s="88" t="str">
        <f aca="false">IF(SUM($P327)=0,"",INDEX(Cascade!$BG:$BG,MATCH($E327,Cascade!$E:$E,0)))</f>
        <v/>
      </c>
      <c r="S327" s="39" t="str">
        <f aca="false">$O327</f>
        <v/>
      </c>
      <c r="T327" s="39" t="str">
        <f aca="false">IF(SUM($P327)=0,"",IF(AND($R327="",SUM($P327)&gt;0),"&lt;- Enter Linkage Rate",ROUND($P327*$R327,0)))</f>
        <v/>
      </c>
      <c r="U327" s="10" t="str">
        <f aca="false">IFERROR(1/(1/INDEX(Cascade!$BH:$BH,MATCH($E327,Cascade!$E:$E,0))),"")</f>
        <v/>
      </c>
      <c r="V327" s="10" t="str">
        <f aca="false">IF(SUM($P327)=0,"",$P327)</f>
        <v/>
      </c>
      <c r="W327" s="10" t="str">
        <f aca="false">IFERROR(1/(1/INDEX(PMTCT!$AC:$AC,MATCH($E327,PMTCT!$E:$E,0))),"")</f>
        <v/>
      </c>
      <c r="X327" s="10" t="str">
        <f aca="false">IFERROR(1/(1/INDEX(PMTCT!$AS:$AS,MATCH($E327,PMTCT!$E:$E,0))),"")</f>
        <v/>
      </c>
      <c r="Y327" s="10" t="str">
        <f aca="false">IFERROR(1/(1/INDEX(VMMC!$AA:$AA,MATCH($E327,VMMC!$E:$E,0))),"")</f>
        <v/>
      </c>
      <c r="Z327" s="10" t="str">
        <f aca="false">IFERROR(1/(1/(SUM($U327)-SUM($V327:$Y327))),"")</f>
        <v/>
      </c>
    </row>
    <row r="328" customFormat="false" ht="15" hidden="false" customHeight="false" outlineLevel="0" collapsed="false">
      <c r="A328" s="0" t="str">
        <f aca="false">INDEX(Prioritization!$D:$D,MATCH($B328,Prioritization!$A:$A,0))</f>
        <v>INVALID</v>
      </c>
      <c r="B328" s="0" t="s">
        <v>220</v>
      </c>
      <c r="C328" s="0" t="s">
        <v>363</v>
      </c>
      <c r="D328" s="0" t="s">
        <v>48</v>
      </c>
      <c r="E328" s="0" t="str">
        <f aca="false">B328&amp;"|"&amp;C328&amp;"|"&amp;D328</f>
        <v>Phalombe District [AZyWpGzhcaA]|01-09|Male</v>
      </c>
      <c r="F328" s="10"/>
      <c r="G328" s="88" t="n">
        <f aca="false">0</f>
        <v>0</v>
      </c>
      <c r="H328" s="39" t="str">
        <f aca="false">IF(SUM($F328)=0,"",ROUND($F328*(1+$G328),0))</f>
        <v/>
      </c>
      <c r="I328" s="10"/>
      <c r="J328" s="88"/>
      <c r="K328" s="88" t="str">
        <f aca="false">IF($J328="","",$J328)</f>
        <v/>
      </c>
      <c r="L328" s="88"/>
      <c r="M328" s="88" t="str">
        <f aca="false">IF($L328="","",$L328)</f>
        <v/>
      </c>
      <c r="N328" s="10" t="str">
        <f aca="false">$H328</f>
        <v/>
      </c>
      <c r="O328" s="39" t="str">
        <f aca="false">IF(SUM($N328)=0,"",IF(AND(SUM($N328)&gt;0,$K328=""),"ENTER KNOWN POSITIVITY RATE",ROUND($N328*$K328,0)))</f>
        <v/>
      </c>
      <c r="P328" s="39" t="str">
        <f aca="false">IF(SUM($N328)=0,"",IF(AND((SUM($N328)-SUM($O328))&gt;0,$M328=""),"ENTER YIELD RATE",ROUND(($N328-SUM($O328))*$M328,0)))</f>
        <v/>
      </c>
      <c r="Q328" s="39" t="str">
        <f aca="false">IF(SUM($N328)=0,"",$N328-SUM($O328)-SUM($P328))</f>
        <v/>
      </c>
      <c r="R328" s="88" t="str">
        <f aca="false">IF(SUM($P328)=0,"",INDEX(Cascade!$BG:$BG,MATCH($E328,Cascade!$E:$E,0)))</f>
        <v/>
      </c>
      <c r="S328" s="39" t="str">
        <f aca="false">$O328</f>
        <v/>
      </c>
      <c r="T328" s="39" t="str">
        <f aca="false">IF(SUM($P328)=0,"",IF(AND($R328="",SUM($P328)&gt;0),"&lt;- Enter Linkage Rate",ROUND($P328*$R328,0)))</f>
        <v/>
      </c>
      <c r="U328" s="10" t="str">
        <f aca="false">IFERROR(1/(1/INDEX(Cascade!$BH:$BH,MATCH($E328,Cascade!$E:$E,0))),"")</f>
        <v/>
      </c>
      <c r="V328" s="10" t="str">
        <f aca="false">IF(SUM($P328)=0,"",$P328)</f>
        <v/>
      </c>
      <c r="W328" s="10" t="str">
        <f aca="false">IFERROR(1/(1/INDEX(PMTCT!$AC:$AC,MATCH($E328,PMTCT!$E:$E,0))),"")</f>
        <v/>
      </c>
      <c r="X328" s="10" t="str">
        <f aca="false">IFERROR(1/(1/INDEX(PMTCT!$AS:$AS,MATCH($E328,PMTCT!$E:$E,0))),"")</f>
        <v/>
      </c>
      <c r="Y328" s="10" t="str">
        <f aca="false">IFERROR(1/(1/INDEX(VMMC!$AA:$AA,MATCH($E328,VMMC!$E:$E,0))),"")</f>
        <v/>
      </c>
      <c r="Z328" s="10" t="str">
        <f aca="false">IFERROR(1/(1/(SUM($U328)-SUM($V328:$Y328))),"")</f>
        <v/>
      </c>
    </row>
    <row r="329" customFormat="false" ht="15" hidden="false" customHeight="false" outlineLevel="0" collapsed="false">
      <c r="A329" s="0" t="str">
        <f aca="false">INDEX(Prioritization!$D:$D,MATCH($B329,Prioritization!$A:$A,0))</f>
        <v>INVALID</v>
      </c>
      <c r="B329" s="0" t="s">
        <v>220</v>
      </c>
      <c r="C329" s="0" t="s">
        <v>364</v>
      </c>
      <c r="D329" s="0" t="s">
        <v>30</v>
      </c>
      <c r="E329" s="0" t="str">
        <f aca="false">B329&amp;"|"&amp;C329&amp;"|"&amp;D329</f>
        <v>Phalombe District [AZyWpGzhcaA]|10-14|Female</v>
      </c>
      <c r="F329" s="10" t="n">
        <v>1</v>
      </c>
      <c r="G329" s="88" t="n">
        <f aca="false">0</f>
        <v>0</v>
      </c>
      <c r="H329" s="39" t="n">
        <f aca="false">IF(SUM($F329)=0,"",ROUND($F329*(1+$G329),0))</f>
        <v>1</v>
      </c>
      <c r="I329" s="10"/>
      <c r="J329" s="88"/>
      <c r="K329" s="88" t="str">
        <f aca="false">IF($J329="","",$J329)</f>
        <v/>
      </c>
      <c r="L329" s="88"/>
      <c r="M329" s="88" t="str">
        <f aca="false">IF($L329="","",$L329)</f>
        <v/>
      </c>
      <c r="N329" s="10" t="n">
        <f aca="false">$H329</f>
        <v>1</v>
      </c>
      <c r="O329" s="39" t="str">
        <f aca="false">IF(SUM($N329)=0,"",IF(AND(SUM($N329)&gt;0,$K329=""),"ENTER KNOWN POSITIVITY RATE",ROUND($N329*$K329,0)))</f>
        <v>ENTER KNOWN POSITIVITY RATE</v>
      </c>
      <c r="P329" s="39" t="str">
        <f aca="false">IF(SUM($N329)=0,"",IF(AND((SUM($N329)-SUM($O329))&gt;0,$M329=""),"ENTER YIELD RATE",ROUND(($N329-SUM($O329))*$M329,0)))</f>
        <v>ENTER YIELD RATE</v>
      </c>
      <c r="Q329" s="39" t="n">
        <f aca="false">IF(SUM($N329)=0,"",$N329-SUM($O329)-SUM($P329))</f>
        <v>1</v>
      </c>
      <c r="R329" s="88" t="str">
        <f aca="false">IF(SUM($P329)=0,"",INDEX(Cascade!$BG:$BG,MATCH($E329,Cascade!$E:$E,0)))</f>
        <v/>
      </c>
      <c r="S329" s="39" t="str">
        <f aca="false">$O329</f>
        <v>ENTER KNOWN POSITIVITY RATE</v>
      </c>
      <c r="T329" s="39" t="str">
        <f aca="false">IF(SUM($P329)=0,"",IF(AND($R329="",SUM($P329)&gt;0),"&lt;- Enter Linkage Rate",ROUND($P329*$R329,0)))</f>
        <v/>
      </c>
      <c r="U329" s="10" t="n">
        <f aca="false">IFERROR(1/(1/INDEX(Cascade!$BH:$BH,MATCH($E329,Cascade!$E:$E,0))),"")</f>
        <v>-68</v>
      </c>
      <c r="V329" s="10" t="str">
        <f aca="false">IF(SUM($P329)=0,"",$P329)</f>
        <v/>
      </c>
      <c r="W329" s="10" t="str">
        <f aca="false">IFERROR(1/(1/INDEX(PMTCT!$AC:$AC,MATCH($E329,PMTCT!$E:$E,0))),"")</f>
        <v/>
      </c>
      <c r="X329" s="10" t="str">
        <f aca="false">IFERROR(1/(1/INDEX(PMTCT!$AS:$AS,MATCH($E329,PMTCT!$E:$E,0))),"")</f>
        <v/>
      </c>
      <c r="Y329" s="10" t="str">
        <f aca="false">IFERROR(1/(1/INDEX(VMMC!$AA:$AA,MATCH($E329,VMMC!$E:$E,0))),"")</f>
        <v/>
      </c>
      <c r="Z329" s="10" t="n">
        <f aca="false">IFERROR(1/(1/(SUM($U329)-SUM($V329:$Y329))),"")</f>
        <v>-68</v>
      </c>
    </row>
    <row r="330" customFormat="false" ht="15" hidden="false" customHeight="false" outlineLevel="0" collapsed="false">
      <c r="A330" s="0" t="str">
        <f aca="false">INDEX(Prioritization!$D:$D,MATCH($B330,Prioritization!$A:$A,0))</f>
        <v>INVALID</v>
      </c>
      <c r="B330" s="0" t="s">
        <v>220</v>
      </c>
      <c r="C330" s="0" t="s">
        <v>364</v>
      </c>
      <c r="D330" s="0" t="s">
        <v>48</v>
      </c>
      <c r="E330" s="0" t="str">
        <f aca="false">B330&amp;"|"&amp;C330&amp;"|"&amp;D330</f>
        <v>Phalombe District [AZyWpGzhcaA]|10-14|Male</v>
      </c>
      <c r="F330" s="10" t="n">
        <v>1</v>
      </c>
      <c r="G330" s="88" t="n">
        <f aca="false">0</f>
        <v>0</v>
      </c>
      <c r="H330" s="39" t="n">
        <f aca="false">IF(SUM($F330)=0,"",ROUND($F330*(1+$G330),0))</f>
        <v>1</v>
      </c>
      <c r="I330" s="10"/>
      <c r="J330" s="88"/>
      <c r="K330" s="88" t="str">
        <f aca="false">IF($J330="","",$J330)</f>
        <v/>
      </c>
      <c r="L330" s="88"/>
      <c r="M330" s="88" t="str">
        <f aca="false">IF($L330="","",$L330)</f>
        <v/>
      </c>
      <c r="N330" s="10" t="n">
        <f aca="false">$H330</f>
        <v>1</v>
      </c>
      <c r="O330" s="39" t="str">
        <f aca="false">IF(SUM($N330)=0,"",IF(AND(SUM($N330)&gt;0,$K330=""),"ENTER KNOWN POSITIVITY RATE",ROUND($N330*$K330,0)))</f>
        <v>ENTER KNOWN POSITIVITY RATE</v>
      </c>
      <c r="P330" s="39" t="str">
        <f aca="false">IF(SUM($N330)=0,"",IF(AND((SUM($N330)-SUM($O330))&gt;0,$M330=""),"ENTER YIELD RATE",ROUND(($N330-SUM($O330))*$M330,0)))</f>
        <v>ENTER YIELD RATE</v>
      </c>
      <c r="Q330" s="39" t="n">
        <f aca="false">IF(SUM($N330)=0,"",$N330-SUM($O330)-SUM($P330))</f>
        <v>1</v>
      </c>
      <c r="R330" s="88" t="str">
        <f aca="false">IF(SUM($P330)=0,"",INDEX(Cascade!$BG:$BG,MATCH($E330,Cascade!$E:$E,0)))</f>
        <v/>
      </c>
      <c r="S330" s="39" t="str">
        <f aca="false">$O330</f>
        <v>ENTER KNOWN POSITIVITY RATE</v>
      </c>
      <c r="T330" s="39" t="str">
        <f aca="false">IF(SUM($P330)=0,"",IF(AND($R330="",SUM($P330)&gt;0),"&lt;- Enter Linkage Rate",ROUND($P330*$R330,0)))</f>
        <v/>
      </c>
      <c r="U330" s="10" t="n">
        <f aca="false">IFERROR(1/(1/INDEX(Cascade!$BH:$BH,MATCH($E330,Cascade!$E:$E,0))),"")</f>
        <v>-88</v>
      </c>
      <c r="V330" s="10" t="str">
        <f aca="false">IF(SUM($P330)=0,"",$P330)</f>
        <v/>
      </c>
      <c r="W330" s="10" t="str">
        <f aca="false">IFERROR(1/(1/INDEX(PMTCT!$AC:$AC,MATCH($E330,PMTCT!$E:$E,0))),"")</f>
        <v/>
      </c>
      <c r="X330" s="10" t="str">
        <f aca="false">IFERROR(1/(1/INDEX(PMTCT!$AS:$AS,MATCH($E330,PMTCT!$E:$E,0))),"")</f>
        <v/>
      </c>
      <c r="Y330" s="10" t="str">
        <f aca="false">IFERROR(1/(1/INDEX(VMMC!$AA:$AA,MATCH($E330,VMMC!$E:$E,0))),"")</f>
        <v/>
      </c>
      <c r="Z330" s="10" t="n">
        <f aca="false">IFERROR(1/(1/(SUM($U330)-SUM($V330:$Y330))),"")</f>
        <v>-88</v>
      </c>
    </row>
    <row r="331" customFormat="false" ht="15" hidden="false" customHeight="false" outlineLevel="0" collapsed="false">
      <c r="A331" s="0" t="str">
        <f aca="false">INDEX(Prioritization!$D:$D,MATCH($B331,Prioritization!$A:$A,0))</f>
        <v>INVALID</v>
      </c>
      <c r="B331" s="0" t="s">
        <v>220</v>
      </c>
      <c r="C331" s="0" t="s">
        <v>365</v>
      </c>
      <c r="D331" s="0" t="s">
        <v>30</v>
      </c>
      <c r="E331" s="0" t="str">
        <f aca="false">B331&amp;"|"&amp;C331&amp;"|"&amp;D331</f>
        <v>Phalombe District [AZyWpGzhcaA]|15-24|Female</v>
      </c>
      <c r="F331" s="10"/>
      <c r="G331" s="88" t="n">
        <f aca="false">0</f>
        <v>0</v>
      </c>
      <c r="H331" s="39" t="str">
        <f aca="false">IF(SUM($F331)=0,"",ROUND($F331*(1+$G331),0))</f>
        <v/>
      </c>
      <c r="I331" s="10"/>
      <c r="J331" s="88"/>
      <c r="K331" s="88" t="str">
        <f aca="false">IF($J331="","",$J331)</f>
        <v/>
      </c>
      <c r="L331" s="88"/>
      <c r="M331" s="88" t="str">
        <f aca="false">IF($L331="","",$L331)</f>
        <v/>
      </c>
      <c r="N331" s="10" t="str">
        <f aca="false">$H331</f>
        <v/>
      </c>
      <c r="O331" s="39" t="str">
        <f aca="false">IF(SUM($N331)=0,"",IF(AND(SUM($N331)&gt;0,$K331=""),"ENTER KNOWN POSITIVITY RATE",ROUND($N331*$K331,0)))</f>
        <v/>
      </c>
      <c r="P331" s="39" t="str">
        <f aca="false">IF(SUM($N331)=0,"",IF(AND((SUM($N331)-SUM($O331))&gt;0,$M331=""),"ENTER YIELD RATE",ROUND(($N331-SUM($O331))*$M331,0)))</f>
        <v/>
      </c>
      <c r="Q331" s="39" t="str">
        <f aca="false">IF(SUM($N331)=0,"",$N331-SUM($O331)-SUM($P331))</f>
        <v/>
      </c>
      <c r="R331" s="88" t="str">
        <f aca="false">IF(SUM($P331)=0,"",INDEX(Cascade!$BG:$BG,MATCH($E331,Cascade!$E:$E,0)))</f>
        <v/>
      </c>
      <c r="S331" s="39" t="str">
        <f aca="false">$O331</f>
        <v/>
      </c>
      <c r="T331" s="39" t="str">
        <f aca="false">IF(SUM($P331)=0,"",IF(AND($R331="",SUM($P331)&gt;0),"&lt;- Enter Linkage Rate",ROUND($P331*$R331,0)))</f>
        <v/>
      </c>
      <c r="U331" s="10" t="str">
        <f aca="false">IFERROR(1/(1/INDEX(Cascade!$BH:$BH,MATCH($E331,Cascade!$E:$E,0))),"")</f>
        <v/>
      </c>
      <c r="V331" s="10" t="str">
        <f aca="false">IF(SUM($P331)=0,"",$P331)</f>
        <v/>
      </c>
      <c r="W331" s="10" t="str">
        <f aca="false">IFERROR(1/(1/INDEX(PMTCT!$AC:$AC,MATCH($E331,PMTCT!$E:$E,0))),"")</f>
        <v/>
      </c>
      <c r="X331" s="10" t="str">
        <f aca="false">IFERROR(1/(1/INDEX(PMTCT!$AS:$AS,MATCH($E331,PMTCT!$E:$E,0))),"")</f>
        <v/>
      </c>
      <c r="Y331" s="10" t="str">
        <f aca="false">IFERROR(1/(1/INDEX(VMMC!$AA:$AA,MATCH($E331,VMMC!$E:$E,0))),"")</f>
        <v/>
      </c>
      <c r="Z331" s="10" t="str">
        <f aca="false">IFERROR(1/(1/(SUM($U331)-SUM($V331:$Y331))),"")</f>
        <v/>
      </c>
    </row>
    <row r="332" customFormat="false" ht="15" hidden="false" customHeight="false" outlineLevel="0" collapsed="false">
      <c r="A332" s="0" t="str">
        <f aca="false">INDEX(Prioritization!$D:$D,MATCH($B332,Prioritization!$A:$A,0))</f>
        <v>INVALID</v>
      </c>
      <c r="B332" s="0" t="s">
        <v>220</v>
      </c>
      <c r="C332" s="0" t="s">
        <v>365</v>
      </c>
      <c r="D332" s="0" t="s">
        <v>48</v>
      </c>
      <c r="E332" s="0" t="str">
        <f aca="false">B332&amp;"|"&amp;C332&amp;"|"&amp;D332</f>
        <v>Phalombe District [AZyWpGzhcaA]|15-24|Male</v>
      </c>
      <c r="F332" s="10"/>
      <c r="G332" s="88" t="n">
        <f aca="false">0</f>
        <v>0</v>
      </c>
      <c r="H332" s="39" t="str">
        <f aca="false">IF(SUM($F332)=0,"",ROUND($F332*(1+$G332),0))</f>
        <v/>
      </c>
      <c r="I332" s="10"/>
      <c r="J332" s="88"/>
      <c r="K332" s="88" t="str">
        <f aca="false">IF($J332="","",$J332)</f>
        <v/>
      </c>
      <c r="L332" s="88"/>
      <c r="M332" s="88" t="str">
        <f aca="false">IF($L332="","",$L332)</f>
        <v/>
      </c>
      <c r="N332" s="10" t="str">
        <f aca="false">$H332</f>
        <v/>
      </c>
      <c r="O332" s="39" t="str">
        <f aca="false">IF(SUM($N332)=0,"",IF(AND(SUM($N332)&gt;0,$K332=""),"ENTER KNOWN POSITIVITY RATE",ROUND($N332*$K332,0)))</f>
        <v/>
      </c>
      <c r="P332" s="39" t="str">
        <f aca="false">IF(SUM($N332)=0,"",IF(AND((SUM($N332)-SUM($O332))&gt;0,$M332=""),"ENTER YIELD RATE",ROUND(($N332-SUM($O332))*$M332,0)))</f>
        <v/>
      </c>
      <c r="Q332" s="39" t="str">
        <f aca="false">IF(SUM($N332)=0,"",$N332-SUM($O332)-SUM($P332))</f>
        <v/>
      </c>
      <c r="R332" s="88" t="str">
        <f aca="false">IF(SUM($P332)=0,"",INDEX(Cascade!$BG:$BG,MATCH($E332,Cascade!$E:$E,0)))</f>
        <v/>
      </c>
      <c r="S332" s="39" t="str">
        <f aca="false">$O332</f>
        <v/>
      </c>
      <c r="T332" s="39" t="str">
        <f aca="false">IF(SUM($P332)=0,"",IF(AND($R332="",SUM($P332)&gt;0),"&lt;- Enter Linkage Rate",ROUND($P332*$R332,0)))</f>
        <v/>
      </c>
      <c r="U332" s="10" t="str">
        <f aca="false">IFERROR(1/(1/INDEX(Cascade!$BH:$BH,MATCH($E332,Cascade!$E:$E,0))),"")</f>
        <v/>
      </c>
      <c r="V332" s="10" t="str">
        <f aca="false">IF(SUM($P332)=0,"",$P332)</f>
        <v/>
      </c>
      <c r="W332" s="10" t="str">
        <f aca="false">IFERROR(1/(1/INDEX(PMTCT!$AC:$AC,MATCH($E332,PMTCT!$E:$E,0))),"")</f>
        <v/>
      </c>
      <c r="X332" s="10" t="str">
        <f aca="false">IFERROR(1/(1/INDEX(PMTCT!$AS:$AS,MATCH($E332,PMTCT!$E:$E,0))),"")</f>
        <v/>
      </c>
      <c r="Y332" s="10" t="str">
        <f aca="false">IFERROR(1/(1/INDEX(VMMC!$AA:$AA,MATCH($E332,VMMC!$E:$E,0))),"")</f>
        <v/>
      </c>
      <c r="Z332" s="10" t="str">
        <f aca="false">IFERROR(1/(1/(SUM($U332)-SUM($V332:$Y332))),"")</f>
        <v/>
      </c>
    </row>
    <row r="333" customFormat="false" ht="15" hidden="false" customHeight="false" outlineLevel="0" collapsed="false">
      <c r="A333" s="0" t="str">
        <f aca="false">INDEX(Prioritization!$D:$D,MATCH($B333,Prioritization!$A:$A,0))</f>
        <v>INVALID</v>
      </c>
      <c r="B333" s="0" t="s">
        <v>220</v>
      </c>
      <c r="C333" s="0" t="s">
        <v>366</v>
      </c>
      <c r="D333" s="0" t="s">
        <v>30</v>
      </c>
      <c r="E333" s="0" t="str">
        <f aca="false">B333&amp;"|"&amp;C333&amp;"|"&amp;D333</f>
        <v>Phalombe District [AZyWpGzhcaA]|25-34|Female</v>
      </c>
      <c r="F333" s="10"/>
      <c r="G333" s="88" t="n">
        <f aca="false">0</f>
        <v>0</v>
      </c>
      <c r="H333" s="39" t="str">
        <f aca="false">IF(SUM($F333)=0,"",ROUND($F333*(1+$G333),0))</f>
        <v/>
      </c>
      <c r="I333" s="10"/>
      <c r="J333" s="88"/>
      <c r="K333" s="88" t="str">
        <f aca="false">IF($J333="","",$J333)</f>
        <v/>
      </c>
      <c r="L333" s="88"/>
      <c r="M333" s="88" t="str">
        <f aca="false">IF($L333="","",$L333)</f>
        <v/>
      </c>
      <c r="N333" s="10" t="str">
        <f aca="false">$H333</f>
        <v/>
      </c>
      <c r="O333" s="39" t="str">
        <f aca="false">IF(SUM($N333)=0,"",IF(AND(SUM($N333)&gt;0,$K333=""),"ENTER KNOWN POSITIVITY RATE",ROUND($N333*$K333,0)))</f>
        <v/>
      </c>
      <c r="P333" s="39" t="str">
        <f aca="false">IF(SUM($N333)=0,"",IF(AND((SUM($N333)-SUM($O333))&gt;0,$M333=""),"ENTER YIELD RATE",ROUND(($N333-SUM($O333))*$M333,0)))</f>
        <v/>
      </c>
      <c r="Q333" s="39" t="str">
        <f aca="false">IF(SUM($N333)=0,"",$N333-SUM($O333)-SUM($P333))</f>
        <v/>
      </c>
      <c r="R333" s="88" t="str">
        <f aca="false">IF(SUM($P333)=0,"",INDEX(Cascade!$BG:$BG,MATCH($E333,Cascade!$E:$E,0)))</f>
        <v/>
      </c>
      <c r="S333" s="39" t="str">
        <f aca="false">$O333</f>
        <v/>
      </c>
      <c r="T333" s="39" t="str">
        <f aca="false">IF(SUM($P333)=0,"",IF(AND($R333="",SUM($P333)&gt;0),"&lt;- Enter Linkage Rate",ROUND($P333*$R333,0)))</f>
        <v/>
      </c>
      <c r="U333" s="10" t="str">
        <f aca="false">IFERROR(1/(1/INDEX(Cascade!$BH:$BH,MATCH($E333,Cascade!$E:$E,0))),"")</f>
        <v/>
      </c>
      <c r="V333" s="10" t="str">
        <f aca="false">IF(SUM($P333)=0,"",$P333)</f>
        <v/>
      </c>
      <c r="W333" s="10" t="str">
        <f aca="false">IFERROR(1/(1/INDEX(PMTCT!$AC:$AC,MATCH($E333,PMTCT!$E:$E,0))),"")</f>
        <v/>
      </c>
      <c r="X333" s="10" t="str">
        <f aca="false">IFERROR(1/(1/INDEX(PMTCT!$AS:$AS,MATCH($E333,PMTCT!$E:$E,0))),"")</f>
        <v/>
      </c>
      <c r="Y333" s="10" t="str">
        <f aca="false">IFERROR(1/(1/INDEX(VMMC!$AA:$AA,MATCH($E333,VMMC!$E:$E,0))),"")</f>
        <v/>
      </c>
      <c r="Z333" s="10" t="str">
        <f aca="false">IFERROR(1/(1/(SUM($U333)-SUM($V333:$Y333))),"")</f>
        <v/>
      </c>
    </row>
    <row r="334" customFormat="false" ht="15" hidden="false" customHeight="false" outlineLevel="0" collapsed="false">
      <c r="A334" s="0" t="str">
        <f aca="false">INDEX(Prioritization!$D:$D,MATCH($B334,Prioritization!$A:$A,0))</f>
        <v>INVALID</v>
      </c>
      <c r="B334" s="0" t="s">
        <v>220</v>
      </c>
      <c r="C334" s="0" t="s">
        <v>366</v>
      </c>
      <c r="D334" s="0" t="s">
        <v>48</v>
      </c>
      <c r="E334" s="0" t="str">
        <f aca="false">B334&amp;"|"&amp;C334&amp;"|"&amp;D334</f>
        <v>Phalombe District [AZyWpGzhcaA]|25-34|Male</v>
      </c>
      <c r="F334" s="10"/>
      <c r="G334" s="88" t="n">
        <f aca="false">0</f>
        <v>0</v>
      </c>
      <c r="H334" s="39" t="str">
        <f aca="false">IF(SUM($F334)=0,"",ROUND($F334*(1+$G334),0))</f>
        <v/>
      </c>
      <c r="I334" s="10"/>
      <c r="J334" s="88"/>
      <c r="K334" s="88" t="str">
        <f aca="false">IF($J334="","",$J334)</f>
        <v/>
      </c>
      <c r="L334" s="88"/>
      <c r="M334" s="88" t="str">
        <f aca="false">IF($L334="","",$L334)</f>
        <v/>
      </c>
      <c r="N334" s="10" t="str">
        <f aca="false">$H334</f>
        <v/>
      </c>
      <c r="O334" s="39" t="str">
        <f aca="false">IF(SUM($N334)=0,"",IF(AND(SUM($N334)&gt;0,$K334=""),"ENTER KNOWN POSITIVITY RATE",ROUND($N334*$K334,0)))</f>
        <v/>
      </c>
      <c r="P334" s="39" t="str">
        <f aca="false">IF(SUM($N334)=0,"",IF(AND((SUM($N334)-SUM($O334))&gt;0,$M334=""),"ENTER YIELD RATE",ROUND(($N334-SUM($O334))*$M334,0)))</f>
        <v/>
      </c>
      <c r="Q334" s="39" t="str">
        <f aca="false">IF(SUM($N334)=0,"",$N334-SUM($O334)-SUM($P334))</f>
        <v/>
      </c>
      <c r="R334" s="88" t="str">
        <f aca="false">IF(SUM($P334)=0,"",INDEX(Cascade!$BG:$BG,MATCH($E334,Cascade!$E:$E,0)))</f>
        <v/>
      </c>
      <c r="S334" s="39" t="str">
        <f aca="false">$O334</f>
        <v/>
      </c>
      <c r="T334" s="39" t="str">
        <f aca="false">IF(SUM($P334)=0,"",IF(AND($R334="",SUM($P334)&gt;0),"&lt;- Enter Linkage Rate",ROUND($P334*$R334,0)))</f>
        <v/>
      </c>
      <c r="U334" s="10" t="str">
        <f aca="false">IFERROR(1/(1/INDEX(Cascade!$BH:$BH,MATCH($E334,Cascade!$E:$E,0))),"")</f>
        <v/>
      </c>
      <c r="V334" s="10" t="str">
        <f aca="false">IF(SUM($P334)=0,"",$P334)</f>
        <v/>
      </c>
      <c r="W334" s="10" t="str">
        <f aca="false">IFERROR(1/(1/INDEX(PMTCT!$AC:$AC,MATCH($E334,PMTCT!$E:$E,0))),"")</f>
        <v/>
      </c>
      <c r="X334" s="10" t="str">
        <f aca="false">IFERROR(1/(1/INDEX(PMTCT!$AS:$AS,MATCH($E334,PMTCT!$E:$E,0))),"")</f>
        <v/>
      </c>
      <c r="Y334" s="10" t="str">
        <f aca="false">IFERROR(1/(1/INDEX(VMMC!$AA:$AA,MATCH($E334,VMMC!$E:$E,0))),"")</f>
        <v/>
      </c>
      <c r="Z334" s="10" t="str">
        <f aca="false">IFERROR(1/(1/(SUM($U334)-SUM($V334:$Y334))),"")</f>
        <v/>
      </c>
    </row>
    <row r="335" customFormat="false" ht="15" hidden="false" customHeight="false" outlineLevel="0" collapsed="false">
      <c r="A335" s="0" t="str">
        <f aca="false">INDEX(Prioritization!$D:$D,MATCH($B335,Prioritization!$A:$A,0))</f>
        <v>INVALID</v>
      </c>
      <c r="B335" s="0" t="s">
        <v>220</v>
      </c>
      <c r="C335" s="0" t="s">
        <v>367</v>
      </c>
      <c r="D335" s="0" t="s">
        <v>30</v>
      </c>
      <c r="E335" s="0" t="str">
        <f aca="false">B335&amp;"|"&amp;C335&amp;"|"&amp;D335</f>
        <v>Phalombe District [AZyWpGzhcaA]|35-49|Female</v>
      </c>
      <c r="F335" s="10"/>
      <c r="G335" s="88" t="n">
        <f aca="false">0</f>
        <v>0</v>
      </c>
      <c r="H335" s="39" t="str">
        <f aca="false">IF(SUM($F335)=0,"",ROUND($F335*(1+$G335),0))</f>
        <v/>
      </c>
      <c r="I335" s="10"/>
      <c r="J335" s="88"/>
      <c r="K335" s="88" t="str">
        <f aca="false">IF($J335="","",$J335)</f>
        <v/>
      </c>
      <c r="L335" s="88"/>
      <c r="M335" s="88" t="str">
        <f aca="false">IF($L335="","",$L335)</f>
        <v/>
      </c>
      <c r="N335" s="10" t="str">
        <f aca="false">$H335</f>
        <v/>
      </c>
      <c r="O335" s="39" t="str">
        <f aca="false">IF(SUM($N335)=0,"",IF(AND(SUM($N335)&gt;0,$K335=""),"ENTER KNOWN POSITIVITY RATE",ROUND($N335*$K335,0)))</f>
        <v/>
      </c>
      <c r="P335" s="39" t="str">
        <f aca="false">IF(SUM($N335)=0,"",IF(AND((SUM($N335)-SUM($O335))&gt;0,$M335=""),"ENTER YIELD RATE",ROUND(($N335-SUM($O335))*$M335,0)))</f>
        <v/>
      </c>
      <c r="Q335" s="39" t="str">
        <f aca="false">IF(SUM($N335)=0,"",$N335-SUM($O335)-SUM($P335))</f>
        <v/>
      </c>
      <c r="R335" s="88" t="str">
        <f aca="false">IF(SUM($P335)=0,"",INDEX(Cascade!$BG:$BG,MATCH($E335,Cascade!$E:$E,0)))</f>
        <v/>
      </c>
      <c r="S335" s="39" t="str">
        <f aca="false">$O335</f>
        <v/>
      </c>
      <c r="T335" s="39" t="str">
        <f aca="false">IF(SUM($P335)=0,"",IF(AND($R335="",SUM($P335)&gt;0),"&lt;- Enter Linkage Rate",ROUND($P335*$R335,0)))</f>
        <v/>
      </c>
      <c r="U335" s="10" t="str">
        <f aca="false">IFERROR(1/(1/INDEX(Cascade!$BH:$BH,MATCH($E335,Cascade!$E:$E,0))),"")</f>
        <v/>
      </c>
      <c r="V335" s="10" t="str">
        <f aca="false">IF(SUM($P335)=0,"",$P335)</f>
        <v/>
      </c>
      <c r="W335" s="10" t="str">
        <f aca="false">IFERROR(1/(1/INDEX(PMTCT!$AC:$AC,MATCH($E335,PMTCT!$E:$E,0))),"")</f>
        <v/>
      </c>
      <c r="X335" s="10" t="str">
        <f aca="false">IFERROR(1/(1/INDEX(PMTCT!$AS:$AS,MATCH($E335,PMTCT!$E:$E,0))),"")</f>
        <v/>
      </c>
      <c r="Y335" s="10" t="str">
        <f aca="false">IFERROR(1/(1/INDEX(VMMC!$AA:$AA,MATCH($E335,VMMC!$E:$E,0))),"")</f>
        <v/>
      </c>
      <c r="Z335" s="10" t="str">
        <f aca="false">IFERROR(1/(1/(SUM($U335)-SUM($V335:$Y335))),"")</f>
        <v/>
      </c>
    </row>
    <row r="336" customFormat="false" ht="15" hidden="false" customHeight="false" outlineLevel="0" collapsed="false">
      <c r="A336" s="0" t="str">
        <f aca="false">INDEX(Prioritization!$D:$D,MATCH($B336,Prioritization!$A:$A,0))</f>
        <v>INVALID</v>
      </c>
      <c r="B336" s="0" t="s">
        <v>220</v>
      </c>
      <c r="C336" s="0" t="s">
        <v>367</v>
      </c>
      <c r="D336" s="0" t="s">
        <v>48</v>
      </c>
      <c r="E336" s="0" t="str">
        <f aca="false">B336&amp;"|"&amp;C336&amp;"|"&amp;D336</f>
        <v>Phalombe District [AZyWpGzhcaA]|35-49|Male</v>
      </c>
      <c r="F336" s="10"/>
      <c r="G336" s="88" t="n">
        <f aca="false">0</f>
        <v>0</v>
      </c>
      <c r="H336" s="39" t="str">
        <f aca="false">IF(SUM($F336)=0,"",ROUND($F336*(1+$G336),0))</f>
        <v/>
      </c>
      <c r="I336" s="10"/>
      <c r="J336" s="88"/>
      <c r="K336" s="88" t="str">
        <f aca="false">IF($J336="","",$J336)</f>
        <v/>
      </c>
      <c r="L336" s="88"/>
      <c r="M336" s="88" t="str">
        <f aca="false">IF($L336="","",$L336)</f>
        <v/>
      </c>
      <c r="N336" s="10" t="str">
        <f aca="false">$H336</f>
        <v/>
      </c>
      <c r="O336" s="39" t="str">
        <f aca="false">IF(SUM($N336)=0,"",IF(AND(SUM($N336)&gt;0,$K336=""),"ENTER KNOWN POSITIVITY RATE",ROUND($N336*$K336,0)))</f>
        <v/>
      </c>
      <c r="P336" s="39" t="str">
        <f aca="false">IF(SUM($N336)=0,"",IF(AND((SUM($N336)-SUM($O336))&gt;0,$M336=""),"ENTER YIELD RATE",ROUND(($N336-SUM($O336))*$M336,0)))</f>
        <v/>
      </c>
      <c r="Q336" s="39" t="str">
        <f aca="false">IF(SUM($N336)=0,"",$N336-SUM($O336)-SUM($P336))</f>
        <v/>
      </c>
      <c r="R336" s="88" t="str">
        <f aca="false">IF(SUM($P336)=0,"",INDEX(Cascade!$BG:$BG,MATCH($E336,Cascade!$E:$E,0)))</f>
        <v/>
      </c>
      <c r="S336" s="39" t="str">
        <f aca="false">$O336</f>
        <v/>
      </c>
      <c r="T336" s="39" t="str">
        <f aca="false">IF(SUM($P336)=0,"",IF(AND($R336="",SUM($P336)&gt;0),"&lt;- Enter Linkage Rate",ROUND($P336*$R336,0)))</f>
        <v/>
      </c>
      <c r="U336" s="10" t="str">
        <f aca="false">IFERROR(1/(1/INDEX(Cascade!$BH:$BH,MATCH($E336,Cascade!$E:$E,0))),"")</f>
        <v/>
      </c>
      <c r="V336" s="10" t="str">
        <f aca="false">IF(SUM($P336)=0,"",$P336)</f>
        <v/>
      </c>
      <c r="W336" s="10" t="str">
        <f aca="false">IFERROR(1/(1/INDEX(PMTCT!$AC:$AC,MATCH($E336,PMTCT!$E:$E,0))),"")</f>
        <v/>
      </c>
      <c r="X336" s="10" t="str">
        <f aca="false">IFERROR(1/(1/INDEX(PMTCT!$AS:$AS,MATCH($E336,PMTCT!$E:$E,0))),"")</f>
        <v/>
      </c>
      <c r="Y336" s="10" t="str">
        <f aca="false">IFERROR(1/(1/INDEX(VMMC!$AA:$AA,MATCH($E336,VMMC!$E:$E,0))),"")</f>
        <v/>
      </c>
      <c r="Z336" s="10" t="str">
        <f aca="false">IFERROR(1/(1/(SUM($U336)-SUM($V336:$Y336))),"")</f>
        <v/>
      </c>
    </row>
    <row r="337" customFormat="false" ht="15" hidden="false" customHeight="false" outlineLevel="0" collapsed="false">
      <c r="A337" s="0" t="str">
        <f aca="false">INDEX(Prioritization!$D:$D,MATCH($B337,Prioritization!$A:$A,0))</f>
        <v>INVALID</v>
      </c>
      <c r="B337" s="0" t="s">
        <v>220</v>
      </c>
      <c r="C337" s="0" t="s">
        <v>368</v>
      </c>
      <c r="D337" s="0" t="s">
        <v>30</v>
      </c>
      <c r="E337" s="0" t="str">
        <f aca="false">B337&amp;"|"&amp;C337&amp;"|"&amp;D337</f>
        <v>Phalombe District [AZyWpGzhcaA]|50+|Female</v>
      </c>
      <c r="F337" s="10"/>
      <c r="G337" s="88" t="n">
        <f aca="false">0</f>
        <v>0</v>
      </c>
      <c r="H337" s="39" t="str">
        <f aca="false">IF(SUM($F337)=0,"",ROUND($F337*(1+$G337),0))</f>
        <v/>
      </c>
      <c r="I337" s="10"/>
      <c r="J337" s="88"/>
      <c r="K337" s="88" t="str">
        <f aca="false">IF($J337="","",$J337)</f>
        <v/>
      </c>
      <c r="L337" s="88"/>
      <c r="M337" s="88" t="str">
        <f aca="false">IF($L337="","",$L337)</f>
        <v/>
      </c>
      <c r="N337" s="10" t="str">
        <f aca="false">$H337</f>
        <v/>
      </c>
      <c r="O337" s="39" t="str">
        <f aca="false">IF(SUM($N337)=0,"",IF(AND(SUM($N337)&gt;0,$K337=""),"ENTER KNOWN POSITIVITY RATE",ROUND($N337*$K337,0)))</f>
        <v/>
      </c>
      <c r="P337" s="39" t="str">
        <f aca="false">IF(SUM($N337)=0,"",IF(AND((SUM($N337)-SUM($O337))&gt;0,$M337=""),"ENTER YIELD RATE",ROUND(($N337-SUM($O337))*$M337,0)))</f>
        <v/>
      </c>
      <c r="Q337" s="39" t="str">
        <f aca="false">IF(SUM($N337)=0,"",$N337-SUM($O337)-SUM($P337))</f>
        <v/>
      </c>
      <c r="R337" s="88" t="str">
        <f aca="false">IF(SUM($P337)=0,"",INDEX(Cascade!$BG:$BG,MATCH($E337,Cascade!$E:$E,0)))</f>
        <v/>
      </c>
      <c r="S337" s="39" t="str">
        <f aca="false">$O337</f>
        <v/>
      </c>
      <c r="T337" s="39" t="str">
        <f aca="false">IF(SUM($P337)=0,"",IF(AND($R337="",SUM($P337)&gt;0),"&lt;- Enter Linkage Rate",ROUND($P337*$R337,0)))</f>
        <v/>
      </c>
      <c r="U337" s="10" t="str">
        <f aca="false">IFERROR(1/(1/INDEX(Cascade!$BH:$BH,MATCH($E337,Cascade!$E:$E,0))),"")</f>
        <v/>
      </c>
      <c r="V337" s="10" t="str">
        <f aca="false">IF(SUM($P337)=0,"",$P337)</f>
        <v/>
      </c>
      <c r="W337" s="10" t="str">
        <f aca="false">IFERROR(1/(1/INDEX(PMTCT!$AC:$AC,MATCH($E337,PMTCT!$E:$E,0))),"")</f>
        <v/>
      </c>
      <c r="X337" s="10" t="str">
        <f aca="false">IFERROR(1/(1/INDEX(PMTCT!$AS:$AS,MATCH($E337,PMTCT!$E:$E,0))),"")</f>
        <v/>
      </c>
      <c r="Y337" s="10" t="str">
        <f aca="false">IFERROR(1/(1/INDEX(VMMC!$AA:$AA,MATCH($E337,VMMC!$E:$E,0))),"")</f>
        <v/>
      </c>
      <c r="Z337" s="10" t="str">
        <f aca="false">IFERROR(1/(1/(SUM($U337)-SUM($V337:$Y337))),"")</f>
        <v/>
      </c>
    </row>
    <row r="338" customFormat="false" ht="15" hidden="false" customHeight="false" outlineLevel="0" collapsed="false">
      <c r="A338" s="0" t="str">
        <f aca="false">INDEX(Prioritization!$D:$D,MATCH($B338,Prioritization!$A:$A,0))</f>
        <v>INVALID</v>
      </c>
      <c r="B338" s="0" t="s">
        <v>220</v>
      </c>
      <c r="C338" s="0" t="s">
        <v>368</v>
      </c>
      <c r="D338" s="0" t="s">
        <v>48</v>
      </c>
      <c r="E338" s="0" t="str">
        <f aca="false">B338&amp;"|"&amp;C338&amp;"|"&amp;D338</f>
        <v>Phalombe District [AZyWpGzhcaA]|50+|Male</v>
      </c>
      <c r="F338" s="10"/>
      <c r="G338" s="88" t="n">
        <f aca="false">0</f>
        <v>0</v>
      </c>
      <c r="H338" s="39" t="str">
        <f aca="false">IF(SUM($F338)=0,"",ROUND($F338*(1+$G338),0))</f>
        <v/>
      </c>
      <c r="I338" s="10"/>
      <c r="J338" s="88"/>
      <c r="K338" s="88" t="str">
        <f aca="false">IF($J338="","",$J338)</f>
        <v/>
      </c>
      <c r="L338" s="88"/>
      <c r="M338" s="88" t="str">
        <f aca="false">IF($L338="","",$L338)</f>
        <v/>
      </c>
      <c r="N338" s="10" t="str">
        <f aca="false">$H338</f>
        <v/>
      </c>
      <c r="O338" s="39" t="str">
        <f aca="false">IF(SUM($N338)=0,"",IF(AND(SUM($N338)&gt;0,$K338=""),"ENTER KNOWN POSITIVITY RATE",ROUND($N338*$K338,0)))</f>
        <v/>
      </c>
      <c r="P338" s="39" t="str">
        <f aca="false">IF(SUM($N338)=0,"",IF(AND((SUM($N338)-SUM($O338))&gt;0,$M338=""),"ENTER YIELD RATE",ROUND(($N338-SUM($O338))*$M338,0)))</f>
        <v/>
      </c>
      <c r="Q338" s="39" t="str">
        <f aca="false">IF(SUM($N338)=0,"",$N338-SUM($O338)-SUM($P338))</f>
        <v/>
      </c>
      <c r="R338" s="88" t="str">
        <f aca="false">IF(SUM($P338)=0,"",INDEX(Cascade!$BG:$BG,MATCH($E338,Cascade!$E:$E,0)))</f>
        <v/>
      </c>
      <c r="S338" s="39" t="str">
        <f aca="false">$O338</f>
        <v/>
      </c>
      <c r="T338" s="39" t="str">
        <f aca="false">IF(SUM($P338)=0,"",IF(AND($R338="",SUM($P338)&gt;0),"&lt;- Enter Linkage Rate",ROUND($P338*$R338,0)))</f>
        <v/>
      </c>
      <c r="U338" s="10" t="str">
        <f aca="false">IFERROR(1/(1/INDEX(Cascade!$BH:$BH,MATCH($E338,Cascade!$E:$E,0))),"")</f>
        <v/>
      </c>
      <c r="V338" s="10" t="str">
        <f aca="false">IF(SUM($P338)=0,"",$P338)</f>
        <v/>
      </c>
      <c r="W338" s="10" t="str">
        <f aca="false">IFERROR(1/(1/INDEX(PMTCT!$AC:$AC,MATCH($E338,PMTCT!$E:$E,0))),"")</f>
        <v/>
      </c>
      <c r="X338" s="10" t="str">
        <f aca="false">IFERROR(1/(1/INDEX(PMTCT!$AS:$AS,MATCH($E338,PMTCT!$E:$E,0))),"")</f>
        <v/>
      </c>
      <c r="Y338" s="10" t="str">
        <f aca="false">IFERROR(1/(1/INDEX(VMMC!$AA:$AA,MATCH($E338,VMMC!$E:$E,0))),"")</f>
        <v/>
      </c>
      <c r="Z338" s="10" t="str">
        <f aca="false">IFERROR(1/(1/(SUM($U338)-SUM($V338:$Y338))),"")</f>
        <v/>
      </c>
    </row>
    <row r="339" customFormat="false" ht="15" hidden="false" customHeight="false" outlineLevel="0" collapsed="false">
      <c r="A339" s="0" t="str">
        <f aca="false">INDEX(Prioritization!$D:$D,MATCH($B339,Prioritization!$A:$A,0))</f>
        <v>1 - Scale-up: Saturation</v>
      </c>
      <c r="B339" s="0" t="s">
        <v>221</v>
      </c>
      <c r="C339" s="0" t="s">
        <v>363</v>
      </c>
      <c r="D339" s="0" t="s">
        <v>30</v>
      </c>
      <c r="E339" s="0" t="str">
        <f aca="false">B339&amp;"|"&amp;C339&amp;"|"&amp;D339</f>
        <v>Thyolo District [ul0y9diGujK]|01-09|Female</v>
      </c>
      <c r="F339" s="10"/>
      <c r="G339" s="88" t="n">
        <f aca="false">0</f>
        <v>0</v>
      </c>
      <c r="H339" s="39" t="str">
        <f aca="false">IF(SUM($F339)=0,"",ROUND($F339*(1+$G339),0))</f>
        <v/>
      </c>
      <c r="I339" s="10"/>
      <c r="J339" s="88"/>
      <c r="K339" s="88" t="str">
        <f aca="false">IF($J339="","",$J339)</f>
        <v/>
      </c>
      <c r="L339" s="88"/>
      <c r="M339" s="88" t="str">
        <f aca="false">IF($L339="","",$L339)</f>
        <v/>
      </c>
      <c r="N339" s="10" t="str">
        <f aca="false">$H339</f>
        <v/>
      </c>
      <c r="O339" s="39" t="str">
        <f aca="false">IF(SUM($N339)=0,"",IF(AND(SUM($N339)&gt;0,$K339=""),"ENTER KNOWN POSITIVITY RATE",ROUND($N339*$K339,0)))</f>
        <v/>
      </c>
      <c r="P339" s="39" t="str">
        <f aca="false">IF(SUM($N339)=0,"",IF(AND((SUM($N339)-SUM($O339))&gt;0,$M339=""),"ENTER YIELD RATE",ROUND(($N339-SUM($O339))*$M339,0)))</f>
        <v/>
      </c>
      <c r="Q339" s="39" t="str">
        <f aca="false">IF(SUM($N339)=0,"",$N339-SUM($O339)-SUM($P339))</f>
        <v/>
      </c>
      <c r="R339" s="88" t="str">
        <f aca="false">IF(SUM($P339)=0,"",INDEX(Cascade!$BG:$BG,MATCH($E339,Cascade!$E:$E,0)))</f>
        <v/>
      </c>
      <c r="S339" s="39" t="str">
        <f aca="false">$O339</f>
        <v/>
      </c>
      <c r="T339" s="39" t="str">
        <f aca="false">IF(SUM($P339)=0,"",IF(AND($R339="",SUM($P339)&gt;0),"&lt;- Enter Linkage Rate",ROUND($P339*$R339,0)))</f>
        <v/>
      </c>
      <c r="U339" s="10" t="str">
        <f aca="false">IFERROR(1/(1/INDEX(Cascade!$BH:$BH,MATCH($E339,Cascade!$E:$E,0))),"")</f>
        <v/>
      </c>
      <c r="V339" s="10" t="str">
        <f aca="false">IF(SUM($P339)=0,"",$P339)</f>
        <v/>
      </c>
      <c r="W339" s="10" t="str">
        <f aca="false">IFERROR(1/(1/INDEX(PMTCT!$AC:$AC,MATCH($E339,PMTCT!$E:$E,0))),"")</f>
        <v/>
      </c>
      <c r="X339" s="10" t="str">
        <f aca="false">IFERROR(1/(1/INDEX(PMTCT!$AS:$AS,MATCH($E339,PMTCT!$E:$E,0))),"")</f>
        <v/>
      </c>
      <c r="Y339" s="10" t="str">
        <f aca="false">IFERROR(1/(1/INDEX(VMMC!$AA:$AA,MATCH($E339,VMMC!$E:$E,0))),"")</f>
        <v/>
      </c>
      <c r="Z339" s="10" t="str">
        <f aca="false">IFERROR(1/(1/(SUM($U339)-SUM($V339:$Y339))),"")</f>
        <v/>
      </c>
    </row>
    <row r="340" customFormat="false" ht="15" hidden="false" customHeight="false" outlineLevel="0" collapsed="false">
      <c r="A340" s="0" t="str">
        <f aca="false">INDEX(Prioritization!$D:$D,MATCH($B340,Prioritization!$A:$A,0))</f>
        <v>1 - Scale-up: Saturation</v>
      </c>
      <c r="B340" s="0" t="s">
        <v>221</v>
      </c>
      <c r="C340" s="0" t="s">
        <v>363</v>
      </c>
      <c r="D340" s="0" t="s">
        <v>48</v>
      </c>
      <c r="E340" s="0" t="str">
        <f aca="false">B340&amp;"|"&amp;C340&amp;"|"&amp;D340</f>
        <v>Thyolo District [ul0y9diGujK]|01-09|Male</v>
      </c>
      <c r="F340" s="10"/>
      <c r="G340" s="88" t="n">
        <f aca="false">0</f>
        <v>0</v>
      </c>
      <c r="H340" s="39" t="str">
        <f aca="false">IF(SUM($F340)=0,"",ROUND($F340*(1+$G340),0))</f>
        <v/>
      </c>
      <c r="I340" s="10"/>
      <c r="J340" s="88"/>
      <c r="K340" s="88" t="str">
        <f aca="false">IF($J340="","",$J340)</f>
        <v/>
      </c>
      <c r="L340" s="88"/>
      <c r="M340" s="88" t="str">
        <f aca="false">IF($L340="","",$L340)</f>
        <v/>
      </c>
      <c r="N340" s="10" t="str">
        <f aca="false">$H340</f>
        <v/>
      </c>
      <c r="O340" s="39" t="str">
        <f aca="false">IF(SUM($N340)=0,"",IF(AND(SUM($N340)&gt;0,$K340=""),"ENTER KNOWN POSITIVITY RATE",ROUND($N340*$K340,0)))</f>
        <v/>
      </c>
      <c r="P340" s="39" t="str">
        <f aca="false">IF(SUM($N340)=0,"",IF(AND((SUM($N340)-SUM($O340))&gt;0,$M340=""),"ENTER YIELD RATE",ROUND(($N340-SUM($O340))*$M340,0)))</f>
        <v/>
      </c>
      <c r="Q340" s="39" t="str">
        <f aca="false">IF(SUM($N340)=0,"",$N340-SUM($O340)-SUM($P340))</f>
        <v/>
      </c>
      <c r="R340" s="88" t="str">
        <f aca="false">IF(SUM($P340)=0,"",INDEX(Cascade!$BG:$BG,MATCH($E340,Cascade!$E:$E,0)))</f>
        <v/>
      </c>
      <c r="S340" s="39" t="str">
        <f aca="false">$O340</f>
        <v/>
      </c>
      <c r="T340" s="39" t="str">
        <f aca="false">IF(SUM($P340)=0,"",IF(AND($R340="",SUM($P340)&gt;0),"&lt;- Enter Linkage Rate",ROUND($P340*$R340,0)))</f>
        <v/>
      </c>
      <c r="U340" s="10" t="str">
        <f aca="false">IFERROR(1/(1/INDEX(Cascade!$BH:$BH,MATCH($E340,Cascade!$E:$E,0))),"")</f>
        <v/>
      </c>
      <c r="V340" s="10" t="str">
        <f aca="false">IF(SUM($P340)=0,"",$P340)</f>
        <v/>
      </c>
      <c r="W340" s="10" t="str">
        <f aca="false">IFERROR(1/(1/INDEX(PMTCT!$AC:$AC,MATCH($E340,PMTCT!$E:$E,0))),"")</f>
        <v/>
      </c>
      <c r="X340" s="10" t="str">
        <f aca="false">IFERROR(1/(1/INDEX(PMTCT!$AS:$AS,MATCH($E340,PMTCT!$E:$E,0))),"")</f>
        <v/>
      </c>
      <c r="Y340" s="10" t="str">
        <f aca="false">IFERROR(1/(1/INDEX(VMMC!$AA:$AA,MATCH($E340,VMMC!$E:$E,0))),"")</f>
        <v/>
      </c>
      <c r="Z340" s="10" t="str">
        <f aca="false">IFERROR(1/(1/(SUM($U340)-SUM($V340:$Y340))),"")</f>
        <v/>
      </c>
    </row>
    <row r="341" customFormat="false" ht="15" hidden="false" customHeight="false" outlineLevel="0" collapsed="false">
      <c r="A341" s="0" t="str">
        <f aca="false">INDEX(Prioritization!$D:$D,MATCH($B341,Prioritization!$A:$A,0))</f>
        <v>1 - Scale-up: Saturation</v>
      </c>
      <c r="B341" s="0" t="s">
        <v>221</v>
      </c>
      <c r="C341" s="0" t="s">
        <v>364</v>
      </c>
      <c r="D341" s="0" t="s">
        <v>30</v>
      </c>
      <c r="E341" s="0" t="str">
        <f aca="false">B341&amp;"|"&amp;C341&amp;"|"&amp;D341</f>
        <v>Thyolo District [ul0y9diGujK]|10-14|Female</v>
      </c>
      <c r="F341" s="10" t="n">
        <v>0</v>
      </c>
      <c r="G341" s="88" t="n">
        <f aca="false">0</f>
        <v>0</v>
      </c>
      <c r="H341" s="39" t="str">
        <f aca="false">IF(SUM($F341)=0,"",ROUND($F341*(1+$G341),0))</f>
        <v/>
      </c>
      <c r="I341" s="10"/>
      <c r="J341" s="88"/>
      <c r="K341" s="88" t="str">
        <f aca="false">IF($J341="","",$J341)</f>
        <v/>
      </c>
      <c r="L341" s="88"/>
      <c r="M341" s="88" t="str">
        <f aca="false">IF($L341="","",$L341)</f>
        <v/>
      </c>
      <c r="N341" s="10" t="str">
        <f aca="false">$H341</f>
        <v/>
      </c>
      <c r="O341" s="39" t="str">
        <f aca="false">IF(SUM($N341)=0,"",IF(AND(SUM($N341)&gt;0,$K341=""),"ENTER KNOWN POSITIVITY RATE",ROUND($N341*$K341,0)))</f>
        <v/>
      </c>
      <c r="P341" s="39" t="str">
        <f aca="false">IF(SUM($N341)=0,"",IF(AND((SUM($N341)-SUM($O341))&gt;0,$M341=""),"ENTER YIELD RATE",ROUND(($N341-SUM($O341))*$M341,0)))</f>
        <v/>
      </c>
      <c r="Q341" s="39" t="str">
        <f aca="false">IF(SUM($N341)=0,"",$N341-SUM($O341)-SUM($P341))</f>
        <v/>
      </c>
      <c r="R341" s="88" t="str">
        <f aca="false">IF(SUM($P341)=0,"",INDEX(Cascade!$BG:$BG,MATCH($E341,Cascade!$E:$E,0)))</f>
        <v/>
      </c>
      <c r="S341" s="39" t="str">
        <f aca="false">$O341</f>
        <v/>
      </c>
      <c r="T341" s="39" t="str">
        <f aca="false">IF(SUM($P341)=0,"",IF(AND($R341="",SUM($P341)&gt;0),"&lt;- Enter Linkage Rate",ROUND($P341*$R341,0)))</f>
        <v/>
      </c>
      <c r="U341" s="10" t="n">
        <f aca="false">IFERROR(1/(1/INDEX(Cascade!$BH:$BH,MATCH($E341,Cascade!$E:$E,0))),"")</f>
        <v>-102</v>
      </c>
      <c r="V341" s="10" t="str">
        <f aca="false">IF(SUM($P341)=0,"",$P341)</f>
        <v/>
      </c>
      <c r="W341" s="10" t="str">
        <f aca="false">IFERROR(1/(1/INDEX(PMTCT!$AC:$AC,MATCH($E341,PMTCT!$E:$E,0))),"")</f>
        <v/>
      </c>
      <c r="X341" s="10" t="str">
        <f aca="false">IFERROR(1/(1/INDEX(PMTCT!$AS:$AS,MATCH($E341,PMTCT!$E:$E,0))),"")</f>
        <v/>
      </c>
      <c r="Y341" s="10" t="str">
        <f aca="false">IFERROR(1/(1/INDEX(VMMC!$AA:$AA,MATCH($E341,VMMC!$E:$E,0))),"")</f>
        <v/>
      </c>
      <c r="Z341" s="10" t="n">
        <f aca="false">IFERROR(1/(1/(SUM($U341)-SUM($V341:$Y341))),"")</f>
        <v>-102</v>
      </c>
    </row>
    <row r="342" customFormat="false" ht="15" hidden="false" customHeight="false" outlineLevel="0" collapsed="false">
      <c r="A342" s="0" t="str">
        <f aca="false">INDEX(Prioritization!$D:$D,MATCH($B342,Prioritization!$A:$A,0))</f>
        <v>1 - Scale-up: Saturation</v>
      </c>
      <c r="B342" s="0" t="s">
        <v>221</v>
      </c>
      <c r="C342" s="0" t="s">
        <v>364</v>
      </c>
      <c r="D342" s="0" t="s">
        <v>48</v>
      </c>
      <c r="E342" s="0" t="str">
        <f aca="false">B342&amp;"|"&amp;C342&amp;"|"&amp;D342</f>
        <v>Thyolo District [ul0y9diGujK]|10-14|Male</v>
      </c>
      <c r="F342" s="10" t="n">
        <v>1</v>
      </c>
      <c r="G342" s="88" t="n">
        <f aca="false">0</f>
        <v>0</v>
      </c>
      <c r="H342" s="39" t="n">
        <f aca="false">IF(SUM($F342)=0,"",ROUND($F342*(1+$G342),0))</f>
        <v>1</v>
      </c>
      <c r="I342" s="10"/>
      <c r="J342" s="88"/>
      <c r="K342" s="88" t="str">
        <f aca="false">IF($J342="","",$J342)</f>
        <v/>
      </c>
      <c r="L342" s="88"/>
      <c r="M342" s="88" t="str">
        <f aca="false">IF($L342="","",$L342)</f>
        <v/>
      </c>
      <c r="N342" s="10" t="n">
        <f aca="false">$H342</f>
        <v>1</v>
      </c>
      <c r="O342" s="39" t="str">
        <f aca="false">IF(SUM($N342)=0,"",IF(AND(SUM($N342)&gt;0,$K342=""),"ENTER KNOWN POSITIVITY RATE",ROUND($N342*$K342,0)))</f>
        <v>ENTER KNOWN POSITIVITY RATE</v>
      </c>
      <c r="P342" s="39" t="str">
        <f aca="false">IF(SUM($N342)=0,"",IF(AND((SUM($N342)-SUM($O342))&gt;0,$M342=""),"ENTER YIELD RATE",ROUND(($N342-SUM($O342))*$M342,0)))</f>
        <v>ENTER YIELD RATE</v>
      </c>
      <c r="Q342" s="39" t="n">
        <f aca="false">IF(SUM($N342)=0,"",$N342-SUM($O342)-SUM($P342))</f>
        <v>1</v>
      </c>
      <c r="R342" s="88" t="str">
        <f aca="false">IF(SUM($P342)=0,"",INDEX(Cascade!$BG:$BG,MATCH($E342,Cascade!$E:$E,0)))</f>
        <v/>
      </c>
      <c r="S342" s="39" t="str">
        <f aca="false">$O342</f>
        <v>ENTER KNOWN POSITIVITY RATE</v>
      </c>
      <c r="T342" s="39" t="str">
        <f aca="false">IF(SUM($P342)=0,"",IF(AND($R342="",SUM($P342)&gt;0),"&lt;- Enter Linkage Rate",ROUND($P342*$R342,0)))</f>
        <v/>
      </c>
      <c r="U342" s="10" t="n">
        <f aca="false">IFERROR(1/(1/INDEX(Cascade!$BH:$BH,MATCH($E342,Cascade!$E:$E,0))),"")</f>
        <v>-95</v>
      </c>
      <c r="V342" s="10" t="str">
        <f aca="false">IF(SUM($P342)=0,"",$P342)</f>
        <v/>
      </c>
      <c r="W342" s="10" t="str">
        <f aca="false">IFERROR(1/(1/INDEX(PMTCT!$AC:$AC,MATCH($E342,PMTCT!$E:$E,0))),"")</f>
        <v/>
      </c>
      <c r="X342" s="10" t="str">
        <f aca="false">IFERROR(1/(1/INDEX(PMTCT!$AS:$AS,MATCH($E342,PMTCT!$E:$E,0))),"")</f>
        <v/>
      </c>
      <c r="Y342" s="10" t="str">
        <f aca="false">IFERROR(1/(1/INDEX(VMMC!$AA:$AA,MATCH($E342,VMMC!$E:$E,0))),"")</f>
        <v/>
      </c>
      <c r="Z342" s="10" t="n">
        <f aca="false">IFERROR(1/(1/(SUM($U342)-SUM($V342:$Y342))),"")</f>
        <v>-95</v>
      </c>
    </row>
    <row r="343" customFormat="false" ht="15" hidden="false" customHeight="false" outlineLevel="0" collapsed="false">
      <c r="A343" s="0" t="str">
        <f aca="false">INDEX(Prioritization!$D:$D,MATCH($B343,Prioritization!$A:$A,0))</f>
        <v>1 - Scale-up: Saturation</v>
      </c>
      <c r="B343" s="0" t="s">
        <v>221</v>
      </c>
      <c r="C343" s="0" t="s">
        <v>365</v>
      </c>
      <c r="D343" s="0" t="s">
        <v>30</v>
      </c>
      <c r="E343" s="0" t="str">
        <f aca="false">B343&amp;"|"&amp;C343&amp;"|"&amp;D343</f>
        <v>Thyolo District [ul0y9diGujK]|15-24|Female</v>
      </c>
      <c r="F343" s="10"/>
      <c r="G343" s="88" t="n">
        <f aca="false">0</f>
        <v>0</v>
      </c>
      <c r="H343" s="39" t="str">
        <f aca="false">IF(SUM($F343)=0,"",ROUND($F343*(1+$G343),0))</f>
        <v/>
      </c>
      <c r="I343" s="10"/>
      <c r="J343" s="88"/>
      <c r="K343" s="88" t="str">
        <f aca="false">IF($J343="","",$J343)</f>
        <v/>
      </c>
      <c r="L343" s="88"/>
      <c r="M343" s="88" t="str">
        <f aca="false">IF($L343="","",$L343)</f>
        <v/>
      </c>
      <c r="N343" s="10" t="str">
        <f aca="false">$H343</f>
        <v/>
      </c>
      <c r="O343" s="39" t="str">
        <f aca="false">IF(SUM($N343)=0,"",IF(AND(SUM($N343)&gt;0,$K343=""),"ENTER KNOWN POSITIVITY RATE",ROUND($N343*$K343,0)))</f>
        <v/>
      </c>
      <c r="P343" s="39" t="str">
        <f aca="false">IF(SUM($N343)=0,"",IF(AND((SUM($N343)-SUM($O343))&gt;0,$M343=""),"ENTER YIELD RATE",ROUND(($N343-SUM($O343))*$M343,0)))</f>
        <v/>
      </c>
      <c r="Q343" s="39" t="str">
        <f aca="false">IF(SUM($N343)=0,"",$N343-SUM($O343)-SUM($P343))</f>
        <v/>
      </c>
      <c r="R343" s="88" t="str">
        <f aca="false">IF(SUM($P343)=0,"",INDEX(Cascade!$BG:$BG,MATCH($E343,Cascade!$E:$E,0)))</f>
        <v/>
      </c>
      <c r="S343" s="39" t="str">
        <f aca="false">$O343</f>
        <v/>
      </c>
      <c r="T343" s="39" t="str">
        <f aca="false">IF(SUM($P343)=0,"",IF(AND($R343="",SUM($P343)&gt;0),"&lt;- Enter Linkage Rate",ROUND($P343*$R343,0)))</f>
        <v/>
      </c>
      <c r="U343" s="10" t="str">
        <f aca="false">IFERROR(1/(1/INDEX(Cascade!$BH:$BH,MATCH($E343,Cascade!$E:$E,0))),"")</f>
        <v/>
      </c>
      <c r="V343" s="10" t="str">
        <f aca="false">IF(SUM($P343)=0,"",$P343)</f>
        <v/>
      </c>
      <c r="W343" s="10" t="str">
        <f aca="false">IFERROR(1/(1/INDEX(PMTCT!$AC:$AC,MATCH($E343,PMTCT!$E:$E,0))),"")</f>
        <v/>
      </c>
      <c r="X343" s="10" t="str">
        <f aca="false">IFERROR(1/(1/INDEX(PMTCT!$AS:$AS,MATCH($E343,PMTCT!$E:$E,0))),"")</f>
        <v/>
      </c>
      <c r="Y343" s="10" t="str">
        <f aca="false">IFERROR(1/(1/INDEX(VMMC!$AA:$AA,MATCH($E343,VMMC!$E:$E,0))),"")</f>
        <v/>
      </c>
      <c r="Z343" s="10" t="str">
        <f aca="false">IFERROR(1/(1/(SUM($U343)-SUM($V343:$Y343))),"")</f>
        <v/>
      </c>
    </row>
    <row r="344" customFormat="false" ht="15" hidden="false" customHeight="false" outlineLevel="0" collapsed="false">
      <c r="A344" s="0" t="str">
        <f aca="false">INDEX(Prioritization!$D:$D,MATCH($B344,Prioritization!$A:$A,0))</f>
        <v>1 - Scale-up: Saturation</v>
      </c>
      <c r="B344" s="0" t="s">
        <v>221</v>
      </c>
      <c r="C344" s="0" t="s">
        <v>365</v>
      </c>
      <c r="D344" s="0" t="s">
        <v>48</v>
      </c>
      <c r="E344" s="0" t="str">
        <f aca="false">B344&amp;"|"&amp;C344&amp;"|"&amp;D344</f>
        <v>Thyolo District [ul0y9diGujK]|15-24|Male</v>
      </c>
      <c r="F344" s="10"/>
      <c r="G344" s="88" t="n">
        <f aca="false">0</f>
        <v>0</v>
      </c>
      <c r="H344" s="39" t="str">
        <f aca="false">IF(SUM($F344)=0,"",ROUND($F344*(1+$G344),0))</f>
        <v/>
      </c>
      <c r="I344" s="10"/>
      <c r="J344" s="88"/>
      <c r="K344" s="88" t="str">
        <f aca="false">IF($J344="","",$J344)</f>
        <v/>
      </c>
      <c r="L344" s="88"/>
      <c r="M344" s="88" t="str">
        <f aca="false">IF($L344="","",$L344)</f>
        <v/>
      </c>
      <c r="N344" s="10" t="str">
        <f aca="false">$H344</f>
        <v/>
      </c>
      <c r="O344" s="39" t="str">
        <f aca="false">IF(SUM($N344)=0,"",IF(AND(SUM($N344)&gt;0,$K344=""),"ENTER KNOWN POSITIVITY RATE",ROUND($N344*$K344,0)))</f>
        <v/>
      </c>
      <c r="P344" s="39" t="str">
        <f aca="false">IF(SUM($N344)=0,"",IF(AND((SUM($N344)-SUM($O344))&gt;0,$M344=""),"ENTER YIELD RATE",ROUND(($N344-SUM($O344))*$M344,0)))</f>
        <v/>
      </c>
      <c r="Q344" s="39" t="str">
        <f aca="false">IF(SUM($N344)=0,"",$N344-SUM($O344)-SUM($P344))</f>
        <v/>
      </c>
      <c r="R344" s="88" t="str">
        <f aca="false">IF(SUM($P344)=0,"",INDEX(Cascade!$BG:$BG,MATCH($E344,Cascade!$E:$E,0)))</f>
        <v/>
      </c>
      <c r="S344" s="39" t="str">
        <f aca="false">$O344</f>
        <v/>
      </c>
      <c r="T344" s="39" t="str">
        <f aca="false">IF(SUM($P344)=0,"",IF(AND($R344="",SUM($P344)&gt;0),"&lt;- Enter Linkage Rate",ROUND($P344*$R344,0)))</f>
        <v/>
      </c>
      <c r="U344" s="10" t="str">
        <f aca="false">IFERROR(1/(1/INDEX(Cascade!$BH:$BH,MATCH($E344,Cascade!$E:$E,0))),"")</f>
        <v/>
      </c>
      <c r="V344" s="10" t="str">
        <f aca="false">IF(SUM($P344)=0,"",$P344)</f>
        <v/>
      </c>
      <c r="W344" s="10" t="str">
        <f aca="false">IFERROR(1/(1/INDEX(PMTCT!$AC:$AC,MATCH($E344,PMTCT!$E:$E,0))),"")</f>
        <v/>
      </c>
      <c r="X344" s="10" t="str">
        <f aca="false">IFERROR(1/(1/INDEX(PMTCT!$AS:$AS,MATCH($E344,PMTCT!$E:$E,0))),"")</f>
        <v/>
      </c>
      <c r="Y344" s="10" t="str">
        <f aca="false">IFERROR(1/(1/INDEX(VMMC!$AA:$AA,MATCH($E344,VMMC!$E:$E,0))),"")</f>
        <v/>
      </c>
      <c r="Z344" s="10" t="str">
        <f aca="false">IFERROR(1/(1/(SUM($U344)-SUM($V344:$Y344))),"")</f>
        <v/>
      </c>
    </row>
    <row r="345" customFormat="false" ht="15" hidden="false" customHeight="false" outlineLevel="0" collapsed="false">
      <c r="A345" s="0" t="str">
        <f aca="false">INDEX(Prioritization!$D:$D,MATCH($B345,Prioritization!$A:$A,0))</f>
        <v>1 - Scale-up: Saturation</v>
      </c>
      <c r="B345" s="0" t="s">
        <v>221</v>
      </c>
      <c r="C345" s="0" t="s">
        <v>366</v>
      </c>
      <c r="D345" s="0" t="s">
        <v>30</v>
      </c>
      <c r="E345" s="0" t="str">
        <f aca="false">B345&amp;"|"&amp;C345&amp;"|"&amp;D345</f>
        <v>Thyolo District [ul0y9diGujK]|25-34|Female</v>
      </c>
      <c r="F345" s="10"/>
      <c r="G345" s="88" t="n">
        <f aca="false">0</f>
        <v>0</v>
      </c>
      <c r="H345" s="39" t="str">
        <f aca="false">IF(SUM($F345)=0,"",ROUND($F345*(1+$G345),0))</f>
        <v/>
      </c>
      <c r="I345" s="10"/>
      <c r="J345" s="88"/>
      <c r="K345" s="88" t="str">
        <f aca="false">IF($J345="","",$J345)</f>
        <v/>
      </c>
      <c r="L345" s="88"/>
      <c r="M345" s="88" t="str">
        <f aca="false">IF($L345="","",$L345)</f>
        <v/>
      </c>
      <c r="N345" s="10" t="str">
        <f aca="false">$H345</f>
        <v/>
      </c>
      <c r="O345" s="39" t="str">
        <f aca="false">IF(SUM($N345)=0,"",IF(AND(SUM($N345)&gt;0,$K345=""),"ENTER KNOWN POSITIVITY RATE",ROUND($N345*$K345,0)))</f>
        <v/>
      </c>
      <c r="P345" s="39" t="str">
        <f aca="false">IF(SUM($N345)=0,"",IF(AND((SUM($N345)-SUM($O345))&gt;0,$M345=""),"ENTER YIELD RATE",ROUND(($N345-SUM($O345))*$M345,0)))</f>
        <v/>
      </c>
      <c r="Q345" s="39" t="str">
        <f aca="false">IF(SUM($N345)=0,"",$N345-SUM($O345)-SUM($P345))</f>
        <v/>
      </c>
      <c r="R345" s="88" t="str">
        <f aca="false">IF(SUM($P345)=0,"",INDEX(Cascade!$BG:$BG,MATCH($E345,Cascade!$E:$E,0)))</f>
        <v/>
      </c>
      <c r="S345" s="39" t="str">
        <f aca="false">$O345</f>
        <v/>
      </c>
      <c r="T345" s="39" t="str">
        <f aca="false">IF(SUM($P345)=0,"",IF(AND($R345="",SUM($P345)&gt;0),"&lt;- Enter Linkage Rate",ROUND($P345*$R345,0)))</f>
        <v/>
      </c>
      <c r="U345" s="10" t="str">
        <f aca="false">IFERROR(1/(1/INDEX(Cascade!$BH:$BH,MATCH($E345,Cascade!$E:$E,0))),"")</f>
        <v/>
      </c>
      <c r="V345" s="10" t="str">
        <f aca="false">IF(SUM($P345)=0,"",$P345)</f>
        <v/>
      </c>
      <c r="W345" s="10" t="str">
        <f aca="false">IFERROR(1/(1/INDEX(PMTCT!$AC:$AC,MATCH($E345,PMTCT!$E:$E,0))),"")</f>
        <v/>
      </c>
      <c r="X345" s="10" t="str">
        <f aca="false">IFERROR(1/(1/INDEX(PMTCT!$AS:$AS,MATCH($E345,PMTCT!$E:$E,0))),"")</f>
        <v/>
      </c>
      <c r="Y345" s="10" t="str">
        <f aca="false">IFERROR(1/(1/INDEX(VMMC!$AA:$AA,MATCH($E345,VMMC!$E:$E,0))),"")</f>
        <v/>
      </c>
      <c r="Z345" s="10" t="str">
        <f aca="false">IFERROR(1/(1/(SUM($U345)-SUM($V345:$Y345))),"")</f>
        <v/>
      </c>
    </row>
    <row r="346" customFormat="false" ht="15" hidden="false" customHeight="false" outlineLevel="0" collapsed="false">
      <c r="A346" s="0" t="str">
        <f aca="false">INDEX(Prioritization!$D:$D,MATCH($B346,Prioritization!$A:$A,0))</f>
        <v>1 - Scale-up: Saturation</v>
      </c>
      <c r="B346" s="0" t="s">
        <v>221</v>
      </c>
      <c r="C346" s="0" t="s">
        <v>366</v>
      </c>
      <c r="D346" s="0" t="s">
        <v>48</v>
      </c>
      <c r="E346" s="0" t="str">
        <f aca="false">B346&amp;"|"&amp;C346&amp;"|"&amp;D346</f>
        <v>Thyolo District [ul0y9diGujK]|25-34|Male</v>
      </c>
      <c r="F346" s="10"/>
      <c r="G346" s="88" t="n">
        <f aca="false">0</f>
        <v>0</v>
      </c>
      <c r="H346" s="39" t="str">
        <f aca="false">IF(SUM($F346)=0,"",ROUND($F346*(1+$G346),0))</f>
        <v/>
      </c>
      <c r="I346" s="10"/>
      <c r="J346" s="88"/>
      <c r="K346" s="88" t="str">
        <f aca="false">IF($J346="","",$J346)</f>
        <v/>
      </c>
      <c r="L346" s="88"/>
      <c r="M346" s="88" t="str">
        <f aca="false">IF($L346="","",$L346)</f>
        <v/>
      </c>
      <c r="N346" s="10" t="str">
        <f aca="false">$H346</f>
        <v/>
      </c>
      <c r="O346" s="39" t="str">
        <f aca="false">IF(SUM($N346)=0,"",IF(AND(SUM($N346)&gt;0,$K346=""),"ENTER KNOWN POSITIVITY RATE",ROUND($N346*$K346,0)))</f>
        <v/>
      </c>
      <c r="P346" s="39" t="str">
        <f aca="false">IF(SUM($N346)=0,"",IF(AND((SUM($N346)-SUM($O346))&gt;0,$M346=""),"ENTER YIELD RATE",ROUND(($N346-SUM($O346))*$M346,0)))</f>
        <v/>
      </c>
      <c r="Q346" s="39" t="str">
        <f aca="false">IF(SUM($N346)=0,"",$N346-SUM($O346)-SUM($P346))</f>
        <v/>
      </c>
      <c r="R346" s="88" t="str">
        <f aca="false">IF(SUM($P346)=0,"",INDEX(Cascade!$BG:$BG,MATCH($E346,Cascade!$E:$E,0)))</f>
        <v/>
      </c>
      <c r="S346" s="39" t="str">
        <f aca="false">$O346</f>
        <v/>
      </c>
      <c r="T346" s="39" t="str">
        <f aca="false">IF(SUM($P346)=0,"",IF(AND($R346="",SUM($P346)&gt;0),"&lt;- Enter Linkage Rate",ROUND($P346*$R346,0)))</f>
        <v/>
      </c>
      <c r="U346" s="10" t="str">
        <f aca="false">IFERROR(1/(1/INDEX(Cascade!$BH:$BH,MATCH($E346,Cascade!$E:$E,0))),"")</f>
        <v/>
      </c>
      <c r="V346" s="10" t="str">
        <f aca="false">IF(SUM($P346)=0,"",$P346)</f>
        <v/>
      </c>
      <c r="W346" s="10" t="str">
        <f aca="false">IFERROR(1/(1/INDEX(PMTCT!$AC:$AC,MATCH($E346,PMTCT!$E:$E,0))),"")</f>
        <v/>
      </c>
      <c r="X346" s="10" t="str">
        <f aca="false">IFERROR(1/(1/INDEX(PMTCT!$AS:$AS,MATCH($E346,PMTCT!$E:$E,0))),"")</f>
        <v/>
      </c>
      <c r="Y346" s="10" t="str">
        <f aca="false">IFERROR(1/(1/INDEX(VMMC!$AA:$AA,MATCH($E346,VMMC!$E:$E,0))),"")</f>
        <v/>
      </c>
      <c r="Z346" s="10" t="str">
        <f aca="false">IFERROR(1/(1/(SUM($U346)-SUM($V346:$Y346))),"")</f>
        <v/>
      </c>
    </row>
    <row r="347" customFormat="false" ht="15" hidden="false" customHeight="false" outlineLevel="0" collapsed="false">
      <c r="A347" s="0" t="str">
        <f aca="false">INDEX(Prioritization!$D:$D,MATCH($B347,Prioritization!$A:$A,0))</f>
        <v>1 - Scale-up: Saturation</v>
      </c>
      <c r="B347" s="0" t="s">
        <v>221</v>
      </c>
      <c r="C347" s="0" t="s">
        <v>367</v>
      </c>
      <c r="D347" s="0" t="s">
        <v>30</v>
      </c>
      <c r="E347" s="0" t="str">
        <f aca="false">B347&amp;"|"&amp;C347&amp;"|"&amp;D347</f>
        <v>Thyolo District [ul0y9diGujK]|35-49|Female</v>
      </c>
      <c r="F347" s="10"/>
      <c r="G347" s="88" t="n">
        <f aca="false">0</f>
        <v>0</v>
      </c>
      <c r="H347" s="39" t="str">
        <f aca="false">IF(SUM($F347)=0,"",ROUND($F347*(1+$G347),0))</f>
        <v/>
      </c>
      <c r="I347" s="10"/>
      <c r="J347" s="88"/>
      <c r="K347" s="88" t="str">
        <f aca="false">IF($J347="","",$J347)</f>
        <v/>
      </c>
      <c r="L347" s="88"/>
      <c r="M347" s="88" t="str">
        <f aca="false">IF($L347="","",$L347)</f>
        <v/>
      </c>
      <c r="N347" s="10" t="str">
        <f aca="false">$H347</f>
        <v/>
      </c>
      <c r="O347" s="39" t="str">
        <f aca="false">IF(SUM($N347)=0,"",IF(AND(SUM($N347)&gt;0,$K347=""),"ENTER KNOWN POSITIVITY RATE",ROUND($N347*$K347,0)))</f>
        <v/>
      </c>
      <c r="P347" s="39" t="str">
        <f aca="false">IF(SUM($N347)=0,"",IF(AND((SUM($N347)-SUM($O347))&gt;0,$M347=""),"ENTER YIELD RATE",ROUND(($N347-SUM($O347))*$M347,0)))</f>
        <v/>
      </c>
      <c r="Q347" s="39" t="str">
        <f aca="false">IF(SUM($N347)=0,"",$N347-SUM($O347)-SUM($P347))</f>
        <v/>
      </c>
      <c r="R347" s="88" t="str">
        <f aca="false">IF(SUM($P347)=0,"",INDEX(Cascade!$BG:$BG,MATCH($E347,Cascade!$E:$E,0)))</f>
        <v/>
      </c>
      <c r="S347" s="39" t="str">
        <f aca="false">$O347</f>
        <v/>
      </c>
      <c r="T347" s="39" t="str">
        <f aca="false">IF(SUM($P347)=0,"",IF(AND($R347="",SUM($P347)&gt;0),"&lt;- Enter Linkage Rate",ROUND($P347*$R347,0)))</f>
        <v/>
      </c>
      <c r="U347" s="10" t="str">
        <f aca="false">IFERROR(1/(1/INDEX(Cascade!$BH:$BH,MATCH($E347,Cascade!$E:$E,0))),"")</f>
        <v/>
      </c>
      <c r="V347" s="10" t="str">
        <f aca="false">IF(SUM($P347)=0,"",$P347)</f>
        <v/>
      </c>
      <c r="W347" s="10" t="str">
        <f aca="false">IFERROR(1/(1/INDEX(PMTCT!$AC:$AC,MATCH($E347,PMTCT!$E:$E,0))),"")</f>
        <v/>
      </c>
      <c r="X347" s="10" t="str">
        <f aca="false">IFERROR(1/(1/INDEX(PMTCT!$AS:$AS,MATCH($E347,PMTCT!$E:$E,0))),"")</f>
        <v/>
      </c>
      <c r="Y347" s="10" t="str">
        <f aca="false">IFERROR(1/(1/INDEX(VMMC!$AA:$AA,MATCH($E347,VMMC!$E:$E,0))),"")</f>
        <v/>
      </c>
      <c r="Z347" s="10" t="str">
        <f aca="false">IFERROR(1/(1/(SUM($U347)-SUM($V347:$Y347))),"")</f>
        <v/>
      </c>
    </row>
    <row r="348" customFormat="false" ht="15" hidden="false" customHeight="false" outlineLevel="0" collapsed="false">
      <c r="A348" s="0" t="str">
        <f aca="false">INDEX(Prioritization!$D:$D,MATCH($B348,Prioritization!$A:$A,0))</f>
        <v>1 - Scale-up: Saturation</v>
      </c>
      <c r="B348" s="0" t="s">
        <v>221</v>
      </c>
      <c r="C348" s="0" t="s">
        <v>367</v>
      </c>
      <c r="D348" s="0" t="s">
        <v>48</v>
      </c>
      <c r="E348" s="0" t="str">
        <f aca="false">B348&amp;"|"&amp;C348&amp;"|"&amp;D348</f>
        <v>Thyolo District [ul0y9diGujK]|35-49|Male</v>
      </c>
      <c r="F348" s="10"/>
      <c r="G348" s="88" t="n">
        <f aca="false">0</f>
        <v>0</v>
      </c>
      <c r="H348" s="39" t="str">
        <f aca="false">IF(SUM($F348)=0,"",ROUND($F348*(1+$G348),0))</f>
        <v/>
      </c>
      <c r="I348" s="10"/>
      <c r="J348" s="88"/>
      <c r="K348" s="88" t="str">
        <f aca="false">IF($J348="","",$J348)</f>
        <v/>
      </c>
      <c r="L348" s="88"/>
      <c r="M348" s="88" t="str">
        <f aca="false">IF($L348="","",$L348)</f>
        <v/>
      </c>
      <c r="N348" s="10" t="str">
        <f aca="false">$H348</f>
        <v/>
      </c>
      <c r="O348" s="39" t="str">
        <f aca="false">IF(SUM($N348)=0,"",IF(AND(SUM($N348)&gt;0,$K348=""),"ENTER KNOWN POSITIVITY RATE",ROUND($N348*$K348,0)))</f>
        <v/>
      </c>
      <c r="P348" s="39" t="str">
        <f aca="false">IF(SUM($N348)=0,"",IF(AND((SUM($N348)-SUM($O348))&gt;0,$M348=""),"ENTER YIELD RATE",ROUND(($N348-SUM($O348))*$M348,0)))</f>
        <v/>
      </c>
      <c r="Q348" s="39" t="str">
        <f aca="false">IF(SUM($N348)=0,"",$N348-SUM($O348)-SUM($P348))</f>
        <v/>
      </c>
      <c r="R348" s="88" t="str">
        <f aca="false">IF(SUM($P348)=0,"",INDEX(Cascade!$BG:$BG,MATCH($E348,Cascade!$E:$E,0)))</f>
        <v/>
      </c>
      <c r="S348" s="39" t="str">
        <f aca="false">$O348</f>
        <v/>
      </c>
      <c r="T348" s="39" t="str">
        <f aca="false">IF(SUM($P348)=0,"",IF(AND($R348="",SUM($P348)&gt;0),"&lt;- Enter Linkage Rate",ROUND($P348*$R348,0)))</f>
        <v/>
      </c>
      <c r="U348" s="10" t="str">
        <f aca="false">IFERROR(1/(1/INDEX(Cascade!$BH:$BH,MATCH($E348,Cascade!$E:$E,0))),"")</f>
        <v/>
      </c>
      <c r="V348" s="10" t="str">
        <f aca="false">IF(SUM($P348)=0,"",$P348)</f>
        <v/>
      </c>
      <c r="W348" s="10" t="str">
        <f aca="false">IFERROR(1/(1/INDEX(PMTCT!$AC:$AC,MATCH($E348,PMTCT!$E:$E,0))),"")</f>
        <v/>
      </c>
      <c r="X348" s="10" t="str">
        <f aca="false">IFERROR(1/(1/INDEX(PMTCT!$AS:$AS,MATCH($E348,PMTCT!$E:$E,0))),"")</f>
        <v/>
      </c>
      <c r="Y348" s="10" t="str">
        <f aca="false">IFERROR(1/(1/INDEX(VMMC!$AA:$AA,MATCH($E348,VMMC!$E:$E,0))),"")</f>
        <v/>
      </c>
      <c r="Z348" s="10" t="str">
        <f aca="false">IFERROR(1/(1/(SUM($U348)-SUM($V348:$Y348))),"")</f>
        <v/>
      </c>
    </row>
    <row r="349" customFormat="false" ht="15" hidden="false" customHeight="false" outlineLevel="0" collapsed="false">
      <c r="A349" s="0" t="str">
        <f aca="false">INDEX(Prioritization!$D:$D,MATCH($B349,Prioritization!$A:$A,0))</f>
        <v>1 - Scale-up: Saturation</v>
      </c>
      <c r="B349" s="0" t="s">
        <v>221</v>
      </c>
      <c r="C349" s="0" t="s">
        <v>368</v>
      </c>
      <c r="D349" s="0" t="s">
        <v>30</v>
      </c>
      <c r="E349" s="0" t="str">
        <f aca="false">B349&amp;"|"&amp;C349&amp;"|"&amp;D349</f>
        <v>Thyolo District [ul0y9diGujK]|50+|Female</v>
      </c>
      <c r="F349" s="10"/>
      <c r="G349" s="88" t="n">
        <f aca="false">0</f>
        <v>0</v>
      </c>
      <c r="H349" s="39" t="str">
        <f aca="false">IF(SUM($F349)=0,"",ROUND($F349*(1+$G349),0))</f>
        <v/>
      </c>
      <c r="I349" s="10"/>
      <c r="J349" s="88"/>
      <c r="K349" s="88" t="str">
        <f aca="false">IF($J349="","",$J349)</f>
        <v/>
      </c>
      <c r="L349" s="88"/>
      <c r="M349" s="88" t="str">
        <f aca="false">IF($L349="","",$L349)</f>
        <v/>
      </c>
      <c r="N349" s="10" t="str">
        <f aca="false">$H349</f>
        <v/>
      </c>
      <c r="O349" s="39" t="str">
        <f aca="false">IF(SUM($N349)=0,"",IF(AND(SUM($N349)&gt;0,$K349=""),"ENTER KNOWN POSITIVITY RATE",ROUND($N349*$K349,0)))</f>
        <v/>
      </c>
      <c r="P349" s="39" t="str">
        <f aca="false">IF(SUM($N349)=0,"",IF(AND((SUM($N349)-SUM($O349))&gt;0,$M349=""),"ENTER YIELD RATE",ROUND(($N349-SUM($O349))*$M349,0)))</f>
        <v/>
      </c>
      <c r="Q349" s="39" t="str">
        <f aca="false">IF(SUM($N349)=0,"",$N349-SUM($O349)-SUM($P349))</f>
        <v/>
      </c>
      <c r="R349" s="88" t="str">
        <f aca="false">IF(SUM($P349)=0,"",INDEX(Cascade!$BG:$BG,MATCH($E349,Cascade!$E:$E,0)))</f>
        <v/>
      </c>
      <c r="S349" s="39" t="str">
        <f aca="false">$O349</f>
        <v/>
      </c>
      <c r="T349" s="39" t="str">
        <f aca="false">IF(SUM($P349)=0,"",IF(AND($R349="",SUM($P349)&gt;0),"&lt;- Enter Linkage Rate",ROUND($P349*$R349,0)))</f>
        <v/>
      </c>
      <c r="U349" s="10" t="str">
        <f aca="false">IFERROR(1/(1/INDEX(Cascade!$BH:$BH,MATCH($E349,Cascade!$E:$E,0))),"")</f>
        <v/>
      </c>
      <c r="V349" s="10" t="str">
        <f aca="false">IF(SUM($P349)=0,"",$P349)</f>
        <v/>
      </c>
      <c r="W349" s="10" t="str">
        <f aca="false">IFERROR(1/(1/INDEX(PMTCT!$AC:$AC,MATCH($E349,PMTCT!$E:$E,0))),"")</f>
        <v/>
      </c>
      <c r="X349" s="10" t="str">
        <f aca="false">IFERROR(1/(1/INDEX(PMTCT!$AS:$AS,MATCH($E349,PMTCT!$E:$E,0))),"")</f>
        <v/>
      </c>
      <c r="Y349" s="10" t="str">
        <f aca="false">IFERROR(1/(1/INDEX(VMMC!$AA:$AA,MATCH($E349,VMMC!$E:$E,0))),"")</f>
        <v/>
      </c>
      <c r="Z349" s="10" t="str">
        <f aca="false">IFERROR(1/(1/(SUM($U349)-SUM($V349:$Y349))),"")</f>
        <v/>
      </c>
    </row>
    <row r="350" customFormat="false" ht="15" hidden="false" customHeight="false" outlineLevel="0" collapsed="false">
      <c r="A350" s="0" t="str">
        <f aca="false">INDEX(Prioritization!$D:$D,MATCH($B350,Prioritization!$A:$A,0))</f>
        <v>1 - Scale-up: Saturation</v>
      </c>
      <c r="B350" s="0" t="s">
        <v>221</v>
      </c>
      <c r="C350" s="0" t="s">
        <v>368</v>
      </c>
      <c r="D350" s="0" t="s">
        <v>48</v>
      </c>
      <c r="E350" s="0" t="str">
        <f aca="false">B350&amp;"|"&amp;C350&amp;"|"&amp;D350</f>
        <v>Thyolo District [ul0y9diGujK]|50+|Male</v>
      </c>
      <c r="F350" s="10"/>
      <c r="G350" s="88" t="n">
        <f aca="false">0</f>
        <v>0</v>
      </c>
      <c r="H350" s="39" t="str">
        <f aca="false">IF(SUM($F350)=0,"",ROUND($F350*(1+$G350),0))</f>
        <v/>
      </c>
      <c r="I350" s="10"/>
      <c r="J350" s="88"/>
      <c r="K350" s="88" t="str">
        <f aca="false">IF($J350="","",$J350)</f>
        <v/>
      </c>
      <c r="L350" s="88"/>
      <c r="M350" s="88" t="str">
        <f aca="false">IF($L350="","",$L350)</f>
        <v/>
      </c>
      <c r="N350" s="10" t="str">
        <f aca="false">$H350</f>
        <v/>
      </c>
      <c r="O350" s="39" t="str">
        <f aca="false">IF(SUM($N350)=0,"",IF(AND(SUM($N350)&gt;0,$K350=""),"ENTER KNOWN POSITIVITY RATE",ROUND($N350*$K350,0)))</f>
        <v/>
      </c>
      <c r="P350" s="39" t="str">
        <f aca="false">IF(SUM($N350)=0,"",IF(AND((SUM($N350)-SUM($O350))&gt;0,$M350=""),"ENTER YIELD RATE",ROUND(($N350-SUM($O350))*$M350,0)))</f>
        <v/>
      </c>
      <c r="Q350" s="39" t="str">
        <f aca="false">IF(SUM($N350)=0,"",$N350-SUM($O350)-SUM($P350))</f>
        <v/>
      </c>
      <c r="R350" s="88" t="str">
        <f aca="false">IF(SUM($P350)=0,"",INDEX(Cascade!$BG:$BG,MATCH($E350,Cascade!$E:$E,0)))</f>
        <v/>
      </c>
      <c r="S350" s="39" t="str">
        <f aca="false">$O350</f>
        <v/>
      </c>
      <c r="T350" s="39" t="str">
        <f aca="false">IF(SUM($P350)=0,"",IF(AND($R350="",SUM($P350)&gt;0),"&lt;- Enter Linkage Rate",ROUND($P350*$R350,0)))</f>
        <v/>
      </c>
      <c r="U350" s="10" t="str">
        <f aca="false">IFERROR(1/(1/INDEX(Cascade!$BH:$BH,MATCH($E350,Cascade!$E:$E,0))),"")</f>
        <v/>
      </c>
      <c r="V350" s="10" t="str">
        <f aca="false">IF(SUM($P350)=0,"",$P350)</f>
        <v/>
      </c>
      <c r="W350" s="10" t="str">
        <f aca="false">IFERROR(1/(1/INDEX(PMTCT!$AC:$AC,MATCH($E350,PMTCT!$E:$E,0))),"")</f>
        <v/>
      </c>
      <c r="X350" s="10" t="str">
        <f aca="false">IFERROR(1/(1/INDEX(PMTCT!$AS:$AS,MATCH($E350,PMTCT!$E:$E,0))),"")</f>
        <v/>
      </c>
      <c r="Y350" s="10" t="str">
        <f aca="false">IFERROR(1/(1/INDEX(VMMC!$AA:$AA,MATCH($E350,VMMC!$E:$E,0))),"")</f>
        <v/>
      </c>
      <c r="Z350" s="10" t="str">
        <f aca="false">IFERROR(1/(1/(SUM($U350)-SUM($V350:$Y350))),"")</f>
        <v/>
      </c>
    </row>
    <row r="351" customFormat="false" ht="15" hidden="false" customHeight="false" outlineLevel="0" collapsed="false">
      <c r="A351" s="0" t="str">
        <f aca="false">INDEX(Prioritization!$D:$D,MATCH($B351,Prioritization!$A:$A,0))</f>
        <v>1 - Scale-up: Saturation</v>
      </c>
      <c r="B351" s="0" t="s">
        <v>222</v>
      </c>
      <c r="C351" s="0" t="s">
        <v>363</v>
      </c>
      <c r="D351" s="0" t="s">
        <v>30</v>
      </c>
      <c r="E351" s="0" t="str">
        <f aca="false">B351&amp;"|"&amp;C351&amp;"|"&amp;D351</f>
        <v>Zomba District [fyEoGEPERdI]|01-09|Female</v>
      </c>
      <c r="F351" s="10"/>
      <c r="G351" s="88" t="n">
        <f aca="false">0</f>
        <v>0</v>
      </c>
      <c r="H351" s="39" t="str">
        <f aca="false">IF(SUM($F351)=0,"",ROUND($F351*(1+$G351),0))</f>
        <v/>
      </c>
      <c r="I351" s="10"/>
      <c r="J351" s="88"/>
      <c r="K351" s="88" t="str">
        <f aca="false">IF($J351="","",$J351)</f>
        <v/>
      </c>
      <c r="L351" s="88"/>
      <c r="M351" s="88" t="str">
        <f aca="false">IF($L351="","",$L351)</f>
        <v/>
      </c>
      <c r="N351" s="10" t="str">
        <f aca="false">$H351</f>
        <v/>
      </c>
      <c r="O351" s="39" t="str">
        <f aca="false">IF(SUM($N351)=0,"",IF(AND(SUM($N351)&gt;0,$K351=""),"ENTER KNOWN POSITIVITY RATE",ROUND($N351*$K351,0)))</f>
        <v/>
      </c>
      <c r="P351" s="39" t="str">
        <f aca="false">IF(SUM($N351)=0,"",IF(AND((SUM($N351)-SUM($O351))&gt;0,$M351=""),"ENTER YIELD RATE",ROUND(($N351-SUM($O351))*$M351,0)))</f>
        <v/>
      </c>
      <c r="Q351" s="39" t="str">
        <f aca="false">IF(SUM($N351)=0,"",$N351-SUM($O351)-SUM($P351))</f>
        <v/>
      </c>
      <c r="R351" s="88" t="str">
        <f aca="false">IF(SUM($P351)=0,"",INDEX(Cascade!$BG:$BG,MATCH($E351,Cascade!$E:$E,0)))</f>
        <v/>
      </c>
      <c r="S351" s="39" t="str">
        <f aca="false">$O351</f>
        <v/>
      </c>
      <c r="T351" s="39" t="str">
        <f aca="false">IF(SUM($P351)=0,"",IF(AND($R351="",SUM($P351)&gt;0),"&lt;- Enter Linkage Rate",ROUND($P351*$R351,0)))</f>
        <v/>
      </c>
      <c r="U351" s="10" t="str">
        <f aca="false">IFERROR(1/(1/INDEX(Cascade!$BH:$BH,MATCH($E351,Cascade!$E:$E,0))),"")</f>
        <v/>
      </c>
      <c r="V351" s="10" t="str">
        <f aca="false">IF(SUM($P351)=0,"",$P351)</f>
        <v/>
      </c>
      <c r="W351" s="10" t="str">
        <f aca="false">IFERROR(1/(1/INDEX(PMTCT!$AC:$AC,MATCH($E351,PMTCT!$E:$E,0))),"")</f>
        <v/>
      </c>
      <c r="X351" s="10" t="str">
        <f aca="false">IFERROR(1/(1/INDEX(PMTCT!$AS:$AS,MATCH($E351,PMTCT!$E:$E,0))),"")</f>
        <v/>
      </c>
      <c r="Y351" s="10" t="str">
        <f aca="false">IFERROR(1/(1/INDEX(VMMC!$AA:$AA,MATCH($E351,VMMC!$E:$E,0))),"")</f>
        <v/>
      </c>
      <c r="Z351" s="10" t="str">
        <f aca="false">IFERROR(1/(1/(SUM($U351)-SUM($V351:$Y351))),"")</f>
        <v/>
      </c>
    </row>
    <row r="352" customFormat="false" ht="15" hidden="false" customHeight="false" outlineLevel="0" collapsed="false">
      <c r="A352" s="0" t="str">
        <f aca="false">INDEX(Prioritization!$D:$D,MATCH($B352,Prioritization!$A:$A,0))</f>
        <v>1 - Scale-up: Saturation</v>
      </c>
      <c r="B352" s="0" t="s">
        <v>222</v>
      </c>
      <c r="C352" s="0" t="s">
        <v>363</v>
      </c>
      <c r="D352" s="0" t="s">
        <v>48</v>
      </c>
      <c r="E352" s="0" t="str">
        <f aca="false">B352&amp;"|"&amp;C352&amp;"|"&amp;D352</f>
        <v>Zomba District [fyEoGEPERdI]|01-09|Male</v>
      </c>
      <c r="F352" s="10"/>
      <c r="G352" s="88" t="n">
        <f aca="false">0</f>
        <v>0</v>
      </c>
      <c r="H352" s="39" t="str">
        <f aca="false">IF(SUM($F352)=0,"",ROUND($F352*(1+$G352),0))</f>
        <v/>
      </c>
      <c r="I352" s="10"/>
      <c r="J352" s="88"/>
      <c r="K352" s="88" t="str">
        <f aca="false">IF($J352="","",$J352)</f>
        <v/>
      </c>
      <c r="L352" s="88"/>
      <c r="M352" s="88" t="str">
        <f aca="false">IF($L352="","",$L352)</f>
        <v/>
      </c>
      <c r="N352" s="10" t="str">
        <f aca="false">$H352</f>
        <v/>
      </c>
      <c r="O352" s="39" t="str">
        <f aca="false">IF(SUM($N352)=0,"",IF(AND(SUM($N352)&gt;0,$K352=""),"ENTER KNOWN POSITIVITY RATE",ROUND($N352*$K352,0)))</f>
        <v/>
      </c>
      <c r="P352" s="39" t="str">
        <f aca="false">IF(SUM($N352)=0,"",IF(AND((SUM($N352)-SUM($O352))&gt;0,$M352=""),"ENTER YIELD RATE",ROUND(($N352-SUM($O352))*$M352,0)))</f>
        <v/>
      </c>
      <c r="Q352" s="39" t="str">
        <f aca="false">IF(SUM($N352)=0,"",$N352-SUM($O352)-SUM($P352))</f>
        <v/>
      </c>
      <c r="R352" s="88" t="str">
        <f aca="false">IF(SUM($P352)=0,"",INDEX(Cascade!$BG:$BG,MATCH($E352,Cascade!$E:$E,0)))</f>
        <v/>
      </c>
      <c r="S352" s="39" t="str">
        <f aca="false">$O352</f>
        <v/>
      </c>
      <c r="T352" s="39" t="str">
        <f aca="false">IF(SUM($P352)=0,"",IF(AND($R352="",SUM($P352)&gt;0),"&lt;- Enter Linkage Rate",ROUND($P352*$R352,0)))</f>
        <v/>
      </c>
      <c r="U352" s="10" t="str">
        <f aca="false">IFERROR(1/(1/INDEX(Cascade!$BH:$BH,MATCH($E352,Cascade!$E:$E,0))),"")</f>
        <v/>
      </c>
      <c r="V352" s="10" t="str">
        <f aca="false">IF(SUM($P352)=0,"",$P352)</f>
        <v/>
      </c>
      <c r="W352" s="10" t="str">
        <f aca="false">IFERROR(1/(1/INDEX(PMTCT!$AC:$AC,MATCH($E352,PMTCT!$E:$E,0))),"")</f>
        <v/>
      </c>
      <c r="X352" s="10" t="str">
        <f aca="false">IFERROR(1/(1/INDEX(PMTCT!$AS:$AS,MATCH($E352,PMTCT!$E:$E,0))),"")</f>
        <v/>
      </c>
      <c r="Y352" s="10" t="str">
        <f aca="false">IFERROR(1/(1/INDEX(VMMC!$AA:$AA,MATCH($E352,VMMC!$E:$E,0))),"")</f>
        <v/>
      </c>
      <c r="Z352" s="10" t="str">
        <f aca="false">IFERROR(1/(1/(SUM($U352)-SUM($V352:$Y352))),"")</f>
        <v/>
      </c>
    </row>
    <row r="353" customFormat="false" ht="15" hidden="false" customHeight="false" outlineLevel="0" collapsed="false">
      <c r="A353" s="0" t="str">
        <f aca="false">INDEX(Prioritization!$D:$D,MATCH($B353,Prioritization!$A:$A,0))</f>
        <v>1 - Scale-up: Saturation</v>
      </c>
      <c r="B353" s="0" t="s">
        <v>222</v>
      </c>
      <c r="C353" s="0" t="s">
        <v>364</v>
      </c>
      <c r="D353" s="0" t="s">
        <v>30</v>
      </c>
      <c r="E353" s="0" t="str">
        <f aca="false">B353&amp;"|"&amp;C353&amp;"|"&amp;D353</f>
        <v>Zomba District [fyEoGEPERdI]|10-14|Female</v>
      </c>
      <c r="F353" s="10" t="n">
        <v>4</v>
      </c>
      <c r="G353" s="88" t="n">
        <f aca="false">0</f>
        <v>0</v>
      </c>
      <c r="H353" s="39" t="n">
        <f aca="false">IF(SUM($F353)=0,"",ROUND($F353*(1+$G353),0))</f>
        <v>4</v>
      </c>
      <c r="I353" s="10"/>
      <c r="J353" s="88"/>
      <c r="K353" s="88" t="str">
        <f aca="false">IF($J353="","",$J353)</f>
        <v/>
      </c>
      <c r="L353" s="88"/>
      <c r="M353" s="88" t="str">
        <f aca="false">IF($L353="","",$L353)</f>
        <v/>
      </c>
      <c r="N353" s="10" t="n">
        <f aca="false">$H353</f>
        <v>4</v>
      </c>
      <c r="O353" s="39" t="str">
        <f aca="false">IF(SUM($N353)=0,"",IF(AND(SUM($N353)&gt;0,$K353=""),"ENTER KNOWN POSITIVITY RATE",ROUND($N353*$K353,0)))</f>
        <v>ENTER KNOWN POSITIVITY RATE</v>
      </c>
      <c r="P353" s="39" t="str">
        <f aca="false">IF(SUM($N353)=0,"",IF(AND((SUM($N353)-SUM($O353))&gt;0,$M353=""),"ENTER YIELD RATE",ROUND(($N353-SUM($O353))*$M353,0)))</f>
        <v>ENTER YIELD RATE</v>
      </c>
      <c r="Q353" s="39" t="n">
        <f aca="false">IF(SUM($N353)=0,"",$N353-SUM($O353)-SUM($P353))</f>
        <v>4</v>
      </c>
      <c r="R353" s="88" t="str">
        <f aca="false">IF(SUM($P353)=0,"",INDEX(Cascade!$BG:$BG,MATCH($E353,Cascade!$E:$E,0)))</f>
        <v/>
      </c>
      <c r="S353" s="39" t="str">
        <f aca="false">$O353</f>
        <v>ENTER KNOWN POSITIVITY RATE</v>
      </c>
      <c r="T353" s="39" t="str">
        <f aca="false">IF(SUM($P353)=0,"",IF(AND($R353="",SUM($P353)&gt;0),"&lt;- Enter Linkage Rate",ROUND($P353*$R353,0)))</f>
        <v/>
      </c>
      <c r="U353" s="10" t="n">
        <f aca="false">IFERROR(1/(1/INDEX(Cascade!$BH:$BH,MATCH($E353,Cascade!$E:$E,0))),"")</f>
        <v>-25</v>
      </c>
      <c r="V353" s="10" t="str">
        <f aca="false">IF(SUM($P353)=0,"",$P353)</f>
        <v/>
      </c>
      <c r="W353" s="10" t="n">
        <f aca="false">IFERROR(1/(1/INDEX(PMTCT!$AC:$AC,MATCH($E353,PMTCT!$E:$E,0))),"")</f>
        <v>1</v>
      </c>
      <c r="X353" s="10" t="str">
        <f aca="false">IFERROR(1/(1/INDEX(PMTCT!$AS:$AS,MATCH($E353,PMTCT!$E:$E,0))),"")</f>
        <v/>
      </c>
      <c r="Y353" s="10" t="str">
        <f aca="false">IFERROR(1/(1/INDEX(VMMC!$AA:$AA,MATCH($E353,VMMC!$E:$E,0))),"")</f>
        <v/>
      </c>
      <c r="Z353" s="10" t="n">
        <f aca="false">IFERROR(1/(1/(SUM($U353)-SUM($V353:$Y353))),"")</f>
        <v>-26</v>
      </c>
    </row>
    <row r="354" customFormat="false" ht="15" hidden="false" customHeight="false" outlineLevel="0" collapsed="false">
      <c r="A354" s="0" t="str">
        <f aca="false">INDEX(Prioritization!$D:$D,MATCH($B354,Prioritization!$A:$A,0))</f>
        <v>1 - Scale-up: Saturation</v>
      </c>
      <c r="B354" s="0" t="s">
        <v>222</v>
      </c>
      <c r="C354" s="0" t="s">
        <v>364</v>
      </c>
      <c r="D354" s="0" t="s">
        <v>48</v>
      </c>
      <c r="E354" s="0" t="str">
        <f aca="false">B354&amp;"|"&amp;C354&amp;"|"&amp;D354</f>
        <v>Zomba District [fyEoGEPERdI]|10-14|Male</v>
      </c>
      <c r="F354" s="10" t="n">
        <v>5</v>
      </c>
      <c r="G354" s="88" t="n">
        <f aca="false">0</f>
        <v>0</v>
      </c>
      <c r="H354" s="39" t="n">
        <f aca="false">IF(SUM($F354)=0,"",ROUND($F354*(1+$G354),0))</f>
        <v>5</v>
      </c>
      <c r="I354" s="10"/>
      <c r="J354" s="88"/>
      <c r="K354" s="88" t="str">
        <f aca="false">IF($J354="","",$J354)</f>
        <v/>
      </c>
      <c r="L354" s="88"/>
      <c r="M354" s="88" t="str">
        <f aca="false">IF($L354="","",$L354)</f>
        <v/>
      </c>
      <c r="N354" s="10" t="n">
        <f aca="false">$H354</f>
        <v>5</v>
      </c>
      <c r="O354" s="39" t="str">
        <f aca="false">IF(SUM($N354)=0,"",IF(AND(SUM($N354)&gt;0,$K354=""),"ENTER KNOWN POSITIVITY RATE",ROUND($N354*$K354,0)))</f>
        <v>ENTER KNOWN POSITIVITY RATE</v>
      </c>
      <c r="P354" s="39" t="str">
        <f aca="false">IF(SUM($N354)=0,"",IF(AND((SUM($N354)-SUM($O354))&gt;0,$M354=""),"ENTER YIELD RATE",ROUND(($N354-SUM($O354))*$M354,0)))</f>
        <v>ENTER YIELD RATE</v>
      </c>
      <c r="Q354" s="39" t="n">
        <f aca="false">IF(SUM($N354)=0,"",$N354-SUM($O354)-SUM($P354))</f>
        <v>5</v>
      </c>
      <c r="R354" s="88" t="str">
        <f aca="false">IF(SUM($P354)=0,"",INDEX(Cascade!$BG:$BG,MATCH($E354,Cascade!$E:$E,0)))</f>
        <v/>
      </c>
      <c r="S354" s="39" t="str">
        <f aca="false">$O354</f>
        <v>ENTER KNOWN POSITIVITY RATE</v>
      </c>
      <c r="T354" s="39" t="str">
        <f aca="false">IF(SUM($P354)=0,"",IF(AND($R354="",SUM($P354)&gt;0),"&lt;- Enter Linkage Rate",ROUND($P354*$R354,0)))</f>
        <v/>
      </c>
      <c r="U354" s="10" t="n">
        <f aca="false">IFERROR(1/(1/INDEX(Cascade!$BH:$BH,MATCH($E354,Cascade!$E:$E,0))),"")</f>
        <v>-53</v>
      </c>
      <c r="V354" s="10" t="str">
        <f aca="false">IF(SUM($P354)=0,"",$P354)</f>
        <v/>
      </c>
      <c r="W354" s="10" t="str">
        <f aca="false">IFERROR(1/(1/INDEX(PMTCT!$AC:$AC,MATCH($E354,PMTCT!$E:$E,0))),"")</f>
        <v/>
      </c>
      <c r="X354" s="10" t="str">
        <f aca="false">IFERROR(1/(1/INDEX(PMTCT!$AS:$AS,MATCH($E354,PMTCT!$E:$E,0))),"")</f>
        <v/>
      </c>
      <c r="Y354" s="10" t="str">
        <f aca="false">IFERROR(1/(1/INDEX(VMMC!$AA:$AA,MATCH($E354,VMMC!$E:$E,0))),"")</f>
        <v/>
      </c>
      <c r="Z354" s="10" t="n">
        <f aca="false">IFERROR(1/(1/(SUM($U354)-SUM($V354:$Y354))),"")</f>
        <v>-53</v>
      </c>
    </row>
    <row r="355" customFormat="false" ht="15" hidden="false" customHeight="false" outlineLevel="0" collapsed="false">
      <c r="A355" s="0" t="str">
        <f aca="false">INDEX(Prioritization!$D:$D,MATCH($B355,Prioritization!$A:$A,0))</f>
        <v>1 - Scale-up: Saturation</v>
      </c>
      <c r="B355" s="0" t="s">
        <v>222</v>
      </c>
      <c r="C355" s="0" t="s">
        <v>365</v>
      </c>
      <c r="D355" s="0" t="s">
        <v>30</v>
      </c>
      <c r="E355" s="0" t="str">
        <f aca="false">B355&amp;"|"&amp;C355&amp;"|"&amp;D355</f>
        <v>Zomba District [fyEoGEPERdI]|15-24|Female</v>
      </c>
      <c r="F355" s="10"/>
      <c r="G355" s="88" t="n">
        <f aca="false">0</f>
        <v>0</v>
      </c>
      <c r="H355" s="39" t="str">
        <f aca="false">IF(SUM($F355)=0,"",ROUND($F355*(1+$G355),0))</f>
        <v/>
      </c>
      <c r="I355" s="10"/>
      <c r="J355" s="88"/>
      <c r="K355" s="88" t="str">
        <f aca="false">IF($J355="","",$J355)</f>
        <v/>
      </c>
      <c r="L355" s="88"/>
      <c r="M355" s="88" t="str">
        <f aca="false">IF($L355="","",$L355)</f>
        <v/>
      </c>
      <c r="N355" s="10" t="str">
        <f aca="false">$H355</f>
        <v/>
      </c>
      <c r="O355" s="39" t="str">
        <f aca="false">IF(SUM($N355)=0,"",IF(AND(SUM($N355)&gt;0,$K355=""),"ENTER KNOWN POSITIVITY RATE",ROUND($N355*$K355,0)))</f>
        <v/>
      </c>
      <c r="P355" s="39" t="str">
        <f aca="false">IF(SUM($N355)=0,"",IF(AND((SUM($N355)-SUM($O355))&gt;0,$M355=""),"ENTER YIELD RATE",ROUND(($N355-SUM($O355))*$M355,0)))</f>
        <v/>
      </c>
      <c r="Q355" s="39" t="str">
        <f aca="false">IF(SUM($N355)=0,"",$N355-SUM($O355)-SUM($P355))</f>
        <v/>
      </c>
      <c r="R355" s="88" t="str">
        <f aca="false">IF(SUM($P355)=0,"",INDEX(Cascade!$BG:$BG,MATCH($E355,Cascade!$E:$E,0)))</f>
        <v/>
      </c>
      <c r="S355" s="39" t="str">
        <f aca="false">$O355</f>
        <v/>
      </c>
      <c r="T355" s="39" t="str">
        <f aca="false">IF(SUM($P355)=0,"",IF(AND($R355="",SUM($P355)&gt;0),"&lt;- Enter Linkage Rate",ROUND($P355*$R355,0)))</f>
        <v/>
      </c>
      <c r="U355" s="10" t="str">
        <f aca="false">IFERROR(1/(1/INDEX(Cascade!$BH:$BH,MATCH($E355,Cascade!$E:$E,0))),"")</f>
        <v/>
      </c>
      <c r="V355" s="10" t="str">
        <f aca="false">IF(SUM($P355)=0,"",$P355)</f>
        <v/>
      </c>
      <c r="W355" s="10" t="str">
        <f aca="false">IFERROR(1/(1/INDEX(PMTCT!$AC:$AC,MATCH($E355,PMTCT!$E:$E,0))),"")</f>
        <v/>
      </c>
      <c r="X355" s="10" t="str">
        <f aca="false">IFERROR(1/(1/INDEX(PMTCT!$AS:$AS,MATCH($E355,PMTCT!$E:$E,0))),"")</f>
        <v/>
      </c>
      <c r="Y355" s="10" t="str">
        <f aca="false">IFERROR(1/(1/INDEX(VMMC!$AA:$AA,MATCH($E355,VMMC!$E:$E,0))),"")</f>
        <v/>
      </c>
      <c r="Z355" s="10" t="str">
        <f aca="false">IFERROR(1/(1/(SUM($U355)-SUM($V355:$Y355))),"")</f>
        <v/>
      </c>
    </row>
    <row r="356" customFormat="false" ht="15" hidden="false" customHeight="false" outlineLevel="0" collapsed="false">
      <c r="A356" s="0" t="str">
        <f aca="false">INDEX(Prioritization!$D:$D,MATCH($B356,Prioritization!$A:$A,0))</f>
        <v>1 - Scale-up: Saturation</v>
      </c>
      <c r="B356" s="0" t="s">
        <v>222</v>
      </c>
      <c r="C356" s="0" t="s">
        <v>365</v>
      </c>
      <c r="D356" s="0" t="s">
        <v>48</v>
      </c>
      <c r="E356" s="0" t="str">
        <f aca="false">B356&amp;"|"&amp;C356&amp;"|"&amp;D356</f>
        <v>Zomba District [fyEoGEPERdI]|15-24|Male</v>
      </c>
      <c r="F356" s="10"/>
      <c r="G356" s="88" t="n">
        <f aca="false">0</f>
        <v>0</v>
      </c>
      <c r="H356" s="39" t="str">
        <f aca="false">IF(SUM($F356)=0,"",ROUND($F356*(1+$G356),0))</f>
        <v/>
      </c>
      <c r="I356" s="10"/>
      <c r="J356" s="88"/>
      <c r="K356" s="88" t="str">
        <f aca="false">IF($J356="","",$J356)</f>
        <v/>
      </c>
      <c r="L356" s="88"/>
      <c r="M356" s="88" t="str">
        <f aca="false">IF($L356="","",$L356)</f>
        <v/>
      </c>
      <c r="N356" s="10" t="str">
        <f aca="false">$H356</f>
        <v/>
      </c>
      <c r="O356" s="39" t="str">
        <f aca="false">IF(SUM($N356)=0,"",IF(AND(SUM($N356)&gt;0,$K356=""),"ENTER KNOWN POSITIVITY RATE",ROUND($N356*$K356,0)))</f>
        <v/>
      </c>
      <c r="P356" s="39" t="str">
        <f aca="false">IF(SUM($N356)=0,"",IF(AND((SUM($N356)-SUM($O356))&gt;0,$M356=""),"ENTER YIELD RATE",ROUND(($N356-SUM($O356))*$M356,0)))</f>
        <v/>
      </c>
      <c r="Q356" s="39" t="str">
        <f aca="false">IF(SUM($N356)=0,"",$N356-SUM($O356)-SUM($P356))</f>
        <v/>
      </c>
      <c r="R356" s="88" t="str">
        <f aca="false">IF(SUM($P356)=0,"",INDEX(Cascade!$BG:$BG,MATCH($E356,Cascade!$E:$E,0)))</f>
        <v/>
      </c>
      <c r="S356" s="39" t="str">
        <f aca="false">$O356</f>
        <v/>
      </c>
      <c r="T356" s="39" t="str">
        <f aca="false">IF(SUM($P356)=0,"",IF(AND($R356="",SUM($P356)&gt;0),"&lt;- Enter Linkage Rate",ROUND($P356*$R356,0)))</f>
        <v/>
      </c>
      <c r="U356" s="10" t="str">
        <f aca="false">IFERROR(1/(1/INDEX(Cascade!$BH:$BH,MATCH($E356,Cascade!$E:$E,0))),"")</f>
        <v/>
      </c>
      <c r="V356" s="10" t="str">
        <f aca="false">IF(SUM($P356)=0,"",$P356)</f>
        <v/>
      </c>
      <c r="W356" s="10" t="str">
        <f aca="false">IFERROR(1/(1/INDEX(PMTCT!$AC:$AC,MATCH($E356,PMTCT!$E:$E,0))),"")</f>
        <v/>
      </c>
      <c r="X356" s="10" t="str">
        <f aca="false">IFERROR(1/(1/INDEX(PMTCT!$AS:$AS,MATCH($E356,PMTCT!$E:$E,0))),"")</f>
        <v/>
      </c>
      <c r="Y356" s="10" t="str">
        <f aca="false">IFERROR(1/(1/INDEX(VMMC!$AA:$AA,MATCH($E356,VMMC!$E:$E,0))),"")</f>
        <v/>
      </c>
      <c r="Z356" s="10" t="str">
        <f aca="false">IFERROR(1/(1/(SUM($U356)-SUM($V356:$Y356))),"")</f>
        <v/>
      </c>
    </row>
    <row r="357" customFormat="false" ht="15" hidden="false" customHeight="false" outlineLevel="0" collapsed="false">
      <c r="A357" s="0" t="str">
        <f aca="false">INDEX(Prioritization!$D:$D,MATCH($B357,Prioritization!$A:$A,0))</f>
        <v>1 - Scale-up: Saturation</v>
      </c>
      <c r="B357" s="0" t="s">
        <v>222</v>
      </c>
      <c r="C357" s="0" t="s">
        <v>366</v>
      </c>
      <c r="D357" s="0" t="s">
        <v>30</v>
      </c>
      <c r="E357" s="0" t="str">
        <f aca="false">B357&amp;"|"&amp;C357&amp;"|"&amp;D357</f>
        <v>Zomba District [fyEoGEPERdI]|25-34|Female</v>
      </c>
      <c r="F357" s="10"/>
      <c r="G357" s="88" t="n">
        <f aca="false">0</f>
        <v>0</v>
      </c>
      <c r="H357" s="39" t="str">
        <f aca="false">IF(SUM($F357)=0,"",ROUND($F357*(1+$G357),0))</f>
        <v/>
      </c>
      <c r="I357" s="10"/>
      <c r="J357" s="88"/>
      <c r="K357" s="88" t="str">
        <f aca="false">IF($J357="","",$J357)</f>
        <v/>
      </c>
      <c r="L357" s="88"/>
      <c r="M357" s="88" t="str">
        <f aca="false">IF($L357="","",$L357)</f>
        <v/>
      </c>
      <c r="N357" s="10" t="str">
        <f aca="false">$H357</f>
        <v/>
      </c>
      <c r="O357" s="39" t="str">
        <f aca="false">IF(SUM($N357)=0,"",IF(AND(SUM($N357)&gt;0,$K357=""),"ENTER KNOWN POSITIVITY RATE",ROUND($N357*$K357,0)))</f>
        <v/>
      </c>
      <c r="P357" s="39" t="str">
        <f aca="false">IF(SUM($N357)=0,"",IF(AND((SUM($N357)-SUM($O357))&gt;0,$M357=""),"ENTER YIELD RATE",ROUND(($N357-SUM($O357))*$M357,0)))</f>
        <v/>
      </c>
      <c r="Q357" s="39" t="str">
        <f aca="false">IF(SUM($N357)=0,"",$N357-SUM($O357)-SUM($P357))</f>
        <v/>
      </c>
      <c r="R357" s="88" t="str">
        <f aca="false">IF(SUM($P357)=0,"",INDEX(Cascade!$BG:$BG,MATCH($E357,Cascade!$E:$E,0)))</f>
        <v/>
      </c>
      <c r="S357" s="39" t="str">
        <f aca="false">$O357</f>
        <v/>
      </c>
      <c r="T357" s="39" t="str">
        <f aca="false">IF(SUM($P357)=0,"",IF(AND($R357="",SUM($P357)&gt;0),"&lt;- Enter Linkage Rate",ROUND($P357*$R357,0)))</f>
        <v/>
      </c>
      <c r="U357" s="10" t="str">
        <f aca="false">IFERROR(1/(1/INDEX(Cascade!$BH:$BH,MATCH($E357,Cascade!$E:$E,0))),"")</f>
        <v/>
      </c>
      <c r="V357" s="10" t="str">
        <f aca="false">IF(SUM($P357)=0,"",$P357)</f>
        <v/>
      </c>
      <c r="W357" s="10" t="str">
        <f aca="false">IFERROR(1/(1/INDEX(PMTCT!$AC:$AC,MATCH($E357,PMTCT!$E:$E,0))),"")</f>
        <v/>
      </c>
      <c r="X357" s="10" t="str">
        <f aca="false">IFERROR(1/(1/INDEX(PMTCT!$AS:$AS,MATCH($E357,PMTCT!$E:$E,0))),"")</f>
        <v/>
      </c>
      <c r="Y357" s="10" t="str">
        <f aca="false">IFERROR(1/(1/INDEX(VMMC!$AA:$AA,MATCH($E357,VMMC!$E:$E,0))),"")</f>
        <v/>
      </c>
      <c r="Z357" s="10" t="str">
        <f aca="false">IFERROR(1/(1/(SUM($U357)-SUM($V357:$Y357))),"")</f>
        <v/>
      </c>
    </row>
    <row r="358" customFormat="false" ht="15" hidden="false" customHeight="false" outlineLevel="0" collapsed="false">
      <c r="A358" s="0" t="str">
        <f aca="false">INDEX(Prioritization!$D:$D,MATCH($B358,Prioritization!$A:$A,0))</f>
        <v>1 - Scale-up: Saturation</v>
      </c>
      <c r="B358" s="0" t="s">
        <v>222</v>
      </c>
      <c r="C358" s="0" t="s">
        <v>366</v>
      </c>
      <c r="D358" s="0" t="s">
        <v>48</v>
      </c>
      <c r="E358" s="0" t="str">
        <f aca="false">B358&amp;"|"&amp;C358&amp;"|"&amp;D358</f>
        <v>Zomba District [fyEoGEPERdI]|25-34|Male</v>
      </c>
      <c r="F358" s="10"/>
      <c r="G358" s="88" t="n">
        <f aca="false">0</f>
        <v>0</v>
      </c>
      <c r="H358" s="39" t="str">
        <f aca="false">IF(SUM($F358)=0,"",ROUND($F358*(1+$G358),0))</f>
        <v/>
      </c>
      <c r="I358" s="10"/>
      <c r="J358" s="88"/>
      <c r="K358" s="88" t="str">
        <f aca="false">IF($J358="","",$J358)</f>
        <v/>
      </c>
      <c r="L358" s="88"/>
      <c r="M358" s="88" t="str">
        <f aca="false">IF($L358="","",$L358)</f>
        <v/>
      </c>
      <c r="N358" s="10" t="str">
        <f aca="false">$H358</f>
        <v/>
      </c>
      <c r="O358" s="39" t="str">
        <f aca="false">IF(SUM($N358)=0,"",IF(AND(SUM($N358)&gt;0,$K358=""),"ENTER KNOWN POSITIVITY RATE",ROUND($N358*$K358,0)))</f>
        <v/>
      </c>
      <c r="P358" s="39" t="str">
        <f aca="false">IF(SUM($N358)=0,"",IF(AND((SUM($N358)-SUM($O358))&gt;0,$M358=""),"ENTER YIELD RATE",ROUND(($N358-SUM($O358))*$M358,0)))</f>
        <v/>
      </c>
      <c r="Q358" s="39" t="str">
        <f aca="false">IF(SUM($N358)=0,"",$N358-SUM($O358)-SUM($P358))</f>
        <v/>
      </c>
      <c r="R358" s="88" t="str">
        <f aca="false">IF(SUM($P358)=0,"",INDEX(Cascade!$BG:$BG,MATCH($E358,Cascade!$E:$E,0)))</f>
        <v/>
      </c>
      <c r="S358" s="39" t="str">
        <f aca="false">$O358</f>
        <v/>
      </c>
      <c r="T358" s="39" t="str">
        <f aca="false">IF(SUM($P358)=0,"",IF(AND($R358="",SUM($P358)&gt;0),"&lt;- Enter Linkage Rate",ROUND($P358*$R358,0)))</f>
        <v/>
      </c>
      <c r="U358" s="10" t="str">
        <f aca="false">IFERROR(1/(1/INDEX(Cascade!$BH:$BH,MATCH($E358,Cascade!$E:$E,0))),"")</f>
        <v/>
      </c>
      <c r="V358" s="10" t="str">
        <f aca="false">IF(SUM($P358)=0,"",$P358)</f>
        <v/>
      </c>
      <c r="W358" s="10" t="str">
        <f aca="false">IFERROR(1/(1/INDEX(PMTCT!$AC:$AC,MATCH($E358,PMTCT!$E:$E,0))),"")</f>
        <v/>
      </c>
      <c r="X358" s="10" t="str">
        <f aca="false">IFERROR(1/(1/INDEX(PMTCT!$AS:$AS,MATCH($E358,PMTCT!$E:$E,0))),"")</f>
        <v/>
      </c>
      <c r="Y358" s="10" t="str">
        <f aca="false">IFERROR(1/(1/INDEX(VMMC!$AA:$AA,MATCH($E358,VMMC!$E:$E,0))),"")</f>
        <v/>
      </c>
      <c r="Z358" s="10" t="str">
        <f aca="false">IFERROR(1/(1/(SUM($U358)-SUM($V358:$Y358))),"")</f>
        <v/>
      </c>
    </row>
    <row r="359" customFormat="false" ht="15" hidden="false" customHeight="false" outlineLevel="0" collapsed="false">
      <c r="A359" s="0" t="str">
        <f aca="false">INDEX(Prioritization!$D:$D,MATCH($B359,Prioritization!$A:$A,0))</f>
        <v>1 - Scale-up: Saturation</v>
      </c>
      <c r="B359" s="0" t="s">
        <v>222</v>
      </c>
      <c r="C359" s="0" t="s">
        <v>367</v>
      </c>
      <c r="D359" s="0" t="s">
        <v>30</v>
      </c>
      <c r="E359" s="0" t="str">
        <f aca="false">B359&amp;"|"&amp;C359&amp;"|"&amp;D359</f>
        <v>Zomba District [fyEoGEPERdI]|35-49|Female</v>
      </c>
      <c r="F359" s="10"/>
      <c r="G359" s="88" t="n">
        <f aca="false">0</f>
        <v>0</v>
      </c>
      <c r="H359" s="39" t="str">
        <f aca="false">IF(SUM($F359)=0,"",ROUND($F359*(1+$G359),0))</f>
        <v/>
      </c>
      <c r="I359" s="10"/>
      <c r="J359" s="88"/>
      <c r="K359" s="88" t="str">
        <f aca="false">IF($J359="","",$J359)</f>
        <v/>
      </c>
      <c r="L359" s="88"/>
      <c r="M359" s="88" t="str">
        <f aca="false">IF($L359="","",$L359)</f>
        <v/>
      </c>
      <c r="N359" s="10" t="str">
        <f aca="false">$H359</f>
        <v/>
      </c>
      <c r="O359" s="39" t="str">
        <f aca="false">IF(SUM($N359)=0,"",IF(AND(SUM($N359)&gt;0,$K359=""),"ENTER KNOWN POSITIVITY RATE",ROUND($N359*$K359,0)))</f>
        <v/>
      </c>
      <c r="P359" s="39" t="str">
        <f aca="false">IF(SUM($N359)=0,"",IF(AND((SUM($N359)-SUM($O359))&gt;0,$M359=""),"ENTER YIELD RATE",ROUND(($N359-SUM($O359))*$M359,0)))</f>
        <v/>
      </c>
      <c r="Q359" s="39" t="str">
        <f aca="false">IF(SUM($N359)=0,"",$N359-SUM($O359)-SUM($P359))</f>
        <v/>
      </c>
      <c r="R359" s="88" t="str">
        <f aca="false">IF(SUM($P359)=0,"",INDEX(Cascade!$BG:$BG,MATCH($E359,Cascade!$E:$E,0)))</f>
        <v/>
      </c>
      <c r="S359" s="39" t="str">
        <f aca="false">$O359</f>
        <v/>
      </c>
      <c r="T359" s="39" t="str">
        <f aca="false">IF(SUM($P359)=0,"",IF(AND($R359="",SUM($P359)&gt;0),"&lt;- Enter Linkage Rate",ROUND($P359*$R359,0)))</f>
        <v/>
      </c>
      <c r="U359" s="10" t="str">
        <f aca="false">IFERROR(1/(1/INDEX(Cascade!$BH:$BH,MATCH($E359,Cascade!$E:$E,0))),"")</f>
        <v/>
      </c>
      <c r="V359" s="10" t="str">
        <f aca="false">IF(SUM($P359)=0,"",$P359)</f>
        <v/>
      </c>
      <c r="W359" s="10" t="str">
        <f aca="false">IFERROR(1/(1/INDEX(PMTCT!$AC:$AC,MATCH($E359,PMTCT!$E:$E,0))),"")</f>
        <v/>
      </c>
      <c r="X359" s="10" t="str">
        <f aca="false">IFERROR(1/(1/INDEX(PMTCT!$AS:$AS,MATCH($E359,PMTCT!$E:$E,0))),"")</f>
        <v/>
      </c>
      <c r="Y359" s="10" t="str">
        <f aca="false">IFERROR(1/(1/INDEX(VMMC!$AA:$AA,MATCH($E359,VMMC!$E:$E,0))),"")</f>
        <v/>
      </c>
      <c r="Z359" s="10" t="str">
        <f aca="false">IFERROR(1/(1/(SUM($U359)-SUM($V359:$Y359))),"")</f>
        <v/>
      </c>
    </row>
    <row r="360" customFormat="false" ht="15" hidden="false" customHeight="false" outlineLevel="0" collapsed="false">
      <c r="A360" s="0" t="str">
        <f aca="false">INDEX(Prioritization!$D:$D,MATCH($B360,Prioritization!$A:$A,0))</f>
        <v>1 - Scale-up: Saturation</v>
      </c>
      <c r="B360" s="0" t="s">
        <v>222</v>
      </c>
      <c r="C360" s="0" t="s">
        <v>367</v>
      </c>
      <c r="D360" s="0" t="s">
        <v>48</v>
      </c>
      <c r="E360" s="0" t="str">
        <f aca="false">B360&amp;"|"&amp;C360&amp;"|"&amp;D360</f>
        <v>Zomba District [fyEoGEPERdI]|35-49|Male</v>
      </c>
      <c r="F360" s="10"/>
      <c r="G360" s="88" t="n">
        <f aca="false">0</f>
        <v>0</v>
      </c>
      <c r="H360" s="39" t="str">
        <f aca="false">IF(SUM($F360)=0,"",ROUND($F360*(1+$G360),0))</f>
        <v/>
      </c>
      <c r="I360" s="10"/>
      <c r="J360" s="88"/>
      <c r="K360" s="88" t="str">
        <f aca="false">IF($J360="","",$J360)</f>
        <v/>
      </c>
      <c r="L360" s="88"/>
      <c r="M360" s="88" t="str">
        <f aca="false">IF($L360="","",$L360)</f>
        <v/>
      </c>
      <c r="N360" s="10" t="str">
        <f aca="false">$H360</f>
        <v/>
      </c>
      <c r="O360" s="39" t="str">
        <f aca="false">IF(SUM($N360)=0,"",IF(AND(SUM($N360)&gt;0,$K360=""),"ENTER KNOWN POSITIVITY RATE",ROUND($N360*$K360,0)))</f>
        <v/>
      </c>
      <c r="P360" s="39" t="str">
        <f aca="false">IF(SUM($N360)=0,"",IF(AND((SUM($N360)-SUM($O360))&gt;0,$M360=""),"ENTER YIELD RATE",ROUND(($N360-SUM($O360))*$M360,0)))</f>
        <v/>
      </c>
      <c r="Q360" s="39" t="str">
        <f aca="false">IF(SUM($N360)=0,"",$N360-SUM($O360)-SUM($P360))</f>
        <v/>
      </c>
      <c r="R360" s="88" t="str">
        <f aca="false">IF(SUM($P360)=0,"",INDEX(Cascade!$BG:$BG,MATCH($E360,Cascade!$E:$E,0)))</f>
        <v/>
      </c>
      <c r="S360" s="39" t="str">
        <f aca="false">$O360</f>
        <v/>
      </c>
      <c r="T360" s="39" t="str">
        <f aca="false">IF(SUM($P360)=0,"",IF(AND($R360="",SUM($P360)&gt;0),"&lt;- Enter Linkage Rate",ROUND($P360*$R360,0)))</f>
        <v/>
      </c>
      <c r="U360" s="10" t="str">
        <f aca="false">IFERROR(1/(1/INDEX(Cascade!$BH:$BH,MATCH($E360,Cascade!$E:$E,0))),"")</f>
        <v/>
      </c>
      <c r="V360" s="10" t="str">
        <f aca="false">IF(SUM($P360)=0,"",$P360)</f>
        <v/>
      </c>
      <c r="W360" s="10" t="str">
        <f aca="false">IFERROR(1/(1/INDEX(PMTCT!$AC:$AC,MATCH($E360,PMTCT!$E:$E,0))),"")</f>
        <v/>
      </c>
      <c r="X360" s="10" t="str">
        <f aca="false">IFERROR(1/(1/INDEX(PMTCT!$AS:$AS,MATCH($E360,PMTCT!$E:$E,0))),"")</f>
        <v/>
      </c>
      <c r="Y360" s="10" t="str">
        <f aca="false">IFERROR(1/(1/INDEX(VMMC!$AA:$AA,MATCH($E360,VMMC!$E:$E,0))),"")</f>
        <v/>
      </c>
      <c r="Z360" s="10" t="str">
        <f aca="false">IFERROR(1/(1/(SUM($U360)-SUM($V360:$Y360))),"")</f>
        <v/>
      </c>
    </row>
    <row r="361" customFormat="false" ht="15" hidden="false" customHeight="false" outlineLevel="0" collapsed="false">
      <c r="A361" s="0" t="str">
        <f aca="false">INDEX(Prioritization!$D:$D,MATCH($B361,Prioritization!$A:$A,0))</f>
        <v>1 - Scale-up: Saturation</v>
      </c>
      <c r="B361" s="0" t="s">
        <v>222</v>
      </c>
      <c r="C361" s="0" t="s">
        <v>368</v>
      </c>
      <c r="D361" s="0" t="s">
        <v>30</v>
      </c>
      <c r="E361" s="0" t="str">
        <f aca="false">B361&amp;"|"&amp;C361&amp;"|"&amp;D361</f>
        <v>Zomba District [fyEoGEPERdI]|50+|Female</v>
      </c>
      <c r="F361" s="10"/>
      <c r="G361" s="88" t="n">
        <f aca="false">0</f>
        <v>0</v>
      </c>
      <c r="H361" s="39" t="str">
        <f aca="false">IF(SUM($F361)=0,"",ROUND($F361*(1+$G361),0))</f>
        <v/>
      </c>
      <c r="I361" s="10"/>
      <c r="J361" s="88"/>
      <c r="K361" s="88" t="str">
        <f aca="false">IF($J361="","",$J361)</f>
        <v/>
      </c>
      <c r="L361" s="88"/>
      <c r="M361" s="88" t="str">
        <f aca="false">IF($L361="","",$L361)</f>
        <v/>
      </c>
      <c r="N361" s="10" t="str">
        <f aca="false">$H361</f>
        <v/>
      </c>
      <c r="O361" s="39" t="str">
        <f aca="false">IF(SUM($N361)=0,"",IF(AND(SUM($N361)&gt;0,$K361=""),"ENTER KNOWN POSITIVITY RATE",ROUND($N361*$K361,0)))</f>
        <v/>
      </c>
      <c r="P361" s="39" t="str">
        <f aca="false">IF(SUM($N361)=0,"",IF(AND((SUM($N361)-SUM($O361))&gt;0,$M361=""),"ENTER YIELD RATE",ROUND(($N361-SUM($O361))*$M361,0)))</f>
        <v/>
      </c>
      <c r="Q361" s="39" t="str">
        <f aca="false">IF(SUM($N361)=0,"",$N361-SUM($O361)-SUM($P361))</f>
        <v/>
      </c>
      <c r="R361" s="88" t="str">
        <f aca="false">IF(SUM($P361)=0,"",INDEX(Cascade!$BG:$BG,MATCH($E361,Cascade!$E:$E,0)))</f>
        <v/>
      </c>
      <c r="S361" s="39" t="str">
        <f aca="false">$O361</f>
        <v/>
      </c>
      <c r="T361" s="39" t="str">
        <f aca="false">IF(SUM($P361)=0,"",IF(AND($R361="",SUM($P361)&gt;0),"&lt;- Enter Linkage Rate",ROUND($P361*$R361,0)))</f>
        <v/>
      </c>
      <c r="U361" s="10" t="str">
        <f aca="false">IFERROR(1/(1/INDEX(Cascade!$BH:$BH,MATCH($E361,Cascade!$E:$E,0))),"")</f>
        <v/>
      </c>
      <c r="V361" s="10" t="str">
        <f aca="false">IF(SUM($P361)=0,"",$P361)</f>
        <v/>
      </c>
      <c r="W361" s="10" t="str">
        <f aca="false">IFERROR(1/(1/INDEX(PMTCT!$AC:$AC,MATCH($E361,PMTCT!$E:$E,0))),"")</f>
        <v/>
      </c>
      <c r="X361" s="10" t="str">
        <f aca="false">IFERROR(1/(1/INDEX(PMTCT!$AS:$AS,MATCH($E361,PMTCT!$E:$E,0))),"")</f>
        <v/>
      </c>
      <c r="Y361" s="10" t="str">
        <f aca="false">IFERROR(1/(1/INDEX(VMMC!$AA:$AA,MATCH($E361,VMMC!$E:$E,0))),"")</f>
        <v/>
      </c>
      <c r="Z361" s="10" t="str">
        <f aca="false">IFERROR(1/(1/(SUM($U361)-SUM($V361:$Y361))),"")</f>
        <v/>
      </c>
    </row>
    <row r="362" customFormat="false" ht="15" hidden="false" customHeight="false" outlineLevel="0" collapsed="false">
      <c r="A362" s="0" t="str">
        <f aca="false">INDEX(Prioritization!$D:$D,MATCH($B362,Prioritization!$A:$A,0))</f>
        <v>1 - Scale-up: Saturation</v>
      </c>
      <c r="B362" s="0" t="s">
        <v>222</v>
      </c>
      <c r="C362" s="0" t="s">
        <v>368</v>
      </c>
      <c r="D362" s="0" t="s">
        <v>48</v>
      </c>
      <c r="E362" s="0" t="str">
        <f aca="false">B362&amp;"|"&amp;C362&amp;"|"&amp;D362</f>
        <v>Zomba District [fyEoGEPERdI]|50+|Male</v>
      </c>
      <c r="F362" s="10"/>
      <c r="G362" s="88" t="n">
        <f aca="false">0</f>
        <v>0</v>
      </c>
      <c r="H362" s="39" t="str">
        <f aca="false">IF(SUM($F362)=0,"",ROUND($F362*(1+$G362),0))</f>
        <v/>
      </c>
      <c r="I362" s="10"/>
      <c r="J362" s="88"/>
      <c r="K362" s="88" t="str">
        <f aca="false">IF($J362="","",$J362)</f>
        <v/>
      </c>
      <c r="L362" s="88"/>
      <c r="M362" s="88" t="str">
        <f aca="false">IF($L362="","",$L362)</f>
        <v/>
      </c>
      <c r="N362" s="10" t="str">
        <f aca="false">$H362</f>
        <v/>
      </c>
      <c r="O362" s="39" t="str">
        <f aca="false">IF(SUM($N362)=0,"",IF(AND(SUM($N362)&gt;0,$K362=""),"ENTER KNOWN POSITIVITY RATE",ROUND($N362*$K362,0)))</f>
        <v/>
      </c>
      <c r="P362" s="39" t="str">
        <f aca="false">IF(SUM($N362)=0,"",IF(AND((SUM($N362)-SUM($O362))&gt;0,$M362=""),"ENTER YIELD RATE",ROUND(($N362-SUM($O362))*$M362,0)))</f>
        <v/>
      </c>
      <c r="Q362" s="39" t="str">
        <f aca="false">IF(SUM($N362)=0,"",$N362-SUM($O362)-SUM($P362))</f>
        <v/>
      </c>
      <c r="R362" s="88" t="str">
        <f aca="false">IF(SUM($P362)=0,"",INDEX(Cascade!$BG:$BG,MATCH($E362,Cascade!$E:$E,0)))</f>
        <v/>
      </c>
      <c r="S362" s="39" t="str">
        <f aca="false">$O362</f>
        <v/>
      </c>
      <c r="T362" s="39" t="str">
        <f aca="false">IF(SUM($P362)=0,"",IF(AND($R362="",SUM($P362)&gt;0),"&lt;- Enter Linkage Rate",ROUND($P362*$R362,0)))</f>
        <v/>
      </c>
      <c r="U362" s="10" t="str">
        <f aca="false">IFERROR(1/(1/INDEX(Cascade!$BH:$BH,MATCH($E362,Cascade!$E:$E,0))),"")</f>
        <v/>
      </c>
      <c r="V362" s="10" t="str">
        <f aca="false">IF(SUM($P362)=0,"",$P362)</f>
        <v/>
      </c>
      <c r="W362" s="10" t="str">
        <f aca="false">IFERROR(1/(1/INDEX(PMTCT!$AC:$AC,MATCH($E362,PMTCT!$E:$E,0))),"")</f>
        <v/>
      </c>
      <c r="X362" s="10" t="str">
        <f aca="false">IFERROR(1/(1/INDEX(PMTCT!$AS:$AS,MATCH($E362,PMTCT!$E:$E,0))),"")</f>
        <v/>
      </c>
      <c r="Y362" s="10" t="str">
        <f aca="false">IFERROR(1/(1/INDEX(VMMC!$AA:$AA,MATCH($E362,VMMC!$E:$E,0))),"")</f>
        <v/>
      </c>
      <c r="Z362" s="10" t="str">
        <f aca="false">IFERROR(1/(1/(SUM($U362)-SUM($V362:$Y362))),"")</f>
        <v/>
      </c>
    </row>
  </sheetData>
  <mergeCells count="1">
    <mergeCell ref="A2:B3"/>
  </mergeCells>
  <conditionalFormatting sqref="G1:G1048576">
    <cfRule type="expression" priority="2" aboveAverage="0" equalAverage="0" bottom="0" percent="0" rank="0" text="" dxfId="54">
      <formula>AND(ISNUMBER(G1),G1&lt;&gt;0)</formula>
    </cfRule>
  </conditionalFormatting>
  <conditionalFormatting sqref="R1:R1048576">
    <cfRule type="expression" priority="3" aboveAverage="0" equalAverage="0" bottom="0" percent="0" rank="0" text="" dxfId="55">
      <formula>AND(ISNUMBER(R1),R1&lt;0.95)</formula>
    </cfRule>
  </conditionalFormatting>
  <conditionalFormatting sqref="M1:M1048576">
    <cfRule type="expression" priority="4" aboveAverage="0" equalAverage="0" bottom="0" percent="0" rank="0" text="" dxfId="56">
      <formula>AND(ROW($M1)&gt;14,$P1="ENTER YIELD RATE")</formula>
    </cfRule>
    <cfRule type="expression" priority="5" aboveAverage="0" equalAverage="0" bottom="0" percent="0" rank="0" text="" dxfId="57">
      <formula>AND(ISNUMBER($M1),SUM($M1)&gt;10%)</formula>
    </cfRule>
  </conditionalFormatting>
  <conditionalFormatting sqref="K1:K1048576">
    <cfRule type="expression" priority="6" aboveAverage="0" equalAverage="0" bottom="0" percent="0" rank="0" text="" dxfId="58">
      <formula>AND(ROW($K1)&gt;14,$O1="ENTER KNOWN POSITIVITY RATE")</formula>
    </cfRule>
    <cfRule type="expression" priority="7" aboveAverage="0" equalAverage="0" bottom="0" percent="0" rank="0" text="" dxfId="59">
      <formula>AND(ISNUMBER($K1),ROUND(SUM($K1),2)&gt;=0.75)</formula>
    </cfRule>
  </conditionalFormatting>
  <conditionalFormatting sqref="F1:F1048576 H1:Z1048576">
    <cfRule type="expression" priority="8" aboveAverage="0" equalAverage="0" bottom="0" percent="0" rank="0" text="" dxfId="60">
      <formula>AND(ISNUMBER(F1),F1&lt;0)</formula>
    </cfRule>
  </conditionalFormatting>
  <conditionalFormatting sqref="U1:Z1048576">
    <cfRule type="expression" priority="9" aboveAverage="0" equalAverage="0" bottom="0" percent="0" rank="0" text="" dxfId="61">
      <formula>AND(ROW($Z1)&gt;14,$Z1&lt;0)</formula>
    </cfRule>
    <cfRule type="expression" priority="10" aboveAverage="0" equalAverage="0" bottom="0" percent="0" rank="0" text="" dxfId="62">
      <formula>AND(ROW($Z1)&gt;14,ISERROR($Z1))</formula>
    </cfRule>
  </conditionalFormatting>
  <conditionalFormatting sqref="P1:P1048576">
    <cfRule type="expression" priority="11" aboveAverage="0" equalAverage="0" bottom="0" percent="0" rank="0" text="" dxfId="63">
      <formula>AND(ISNUMBER($P1),ROUND(SUM($P1),2)&gt;ROUND(SUM($I1),2))</formula>
    </cfRule>
  </conditionalFormatting>
  <conditionalFormatting sqref="W1:X1048576">
    <cfRule type="expression" priority="12" aboveAverage="0" equalAverage="0" bottom="0" percent="0" rank="0" text="" dxfId="64">
      <formula>AND(ROW(W1)&gt;14,$B1&lt;&gt;"",OR($D1&lt;&gt;"Female",$C1="&lt;01",$C1="01-09"))</formula>
    </cfRule>
  </conditionalFormatting>
  <conditionalFormatting sqref="Y1:Y1048576">
    <cfRule type="expression" priority="13" aboveAverage="0" equalAverage="0" bottom="0" percent="0" rank="0" text="" dxfId="65">
      <formula>AND(ROW(Y1)&gt;14,$B1&lt;&gt;"",OR($D1&lt;&gt;"Male",$C1="&lt;01",$C1="01-09",$C1="10-14"))</formula>
    </cfRule>
  </conditionalFormatting>
  <conditionalFormatting sqref="J1:M1048576 R1:R1048576">
    <cfRule type="expression" priority="14" aboveAverage="0" equalAverage="0" bottom="0" percent="0" rank="0" text="" dxfId="66">
      <formula>AND(ISNUMBER(J1),J1&gt;1)</formula>
    </cfRule>
  </conditionalFormatting>
  <hyperlinks>
    <hyperlink ref="P3" location="Cascade!CF:CF" display="New Positive (FY24)"/>
    <hyperlink ref="U3" location="Cascade!BE:BE" display="Total HTS_TST_POS (FY24)"/>
    <hyperlink ref="V3" location="TB!P:P" display="Total New Positives from TB_STAT (FY24)"/>
    <hyperlink ref="W3" location="PMTCT!AC:AC" display="Total New Positives from PMTCT_STAT ANC1 (FY24)"/>
    <hyperlink ref="X3" location="PMTCT!AS:AS" display="Total New Positives from PMTCT Post ANC1 (FY24)"/>
    <hyperlink ref="Y3" location="VMMC!AA:AA" display="Total Positives from VMMC_CIRC (FY24)"/>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F1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N15" activePane="bottomRight" state="frozen"/>
      <selection pane="topLeft" activeCell="A1" activeCellId="0" sqref="A1"/>
      <selection pane="topRight" activeCell="N1" activeCellId="0" sqref="N1"/>
      <selection pane="bottomLeft" activeCell="A15" activeCellId="0" sqref="A15"/>
      <selection pane="bottomRight" activeCell="Y3" activeCellId="0" sqref="Y3"/>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
    <col collapsed="false" customWidth="true" hidden="false" outlineLevel="0" max="32" min="6" style="0" width="11.83"/>
  </cols>
  <sheetData>
    <row r="1" customFormat="false" ht="30.75" hidden="false" customHeight="true" outlineLevel="0" collapsed="false">
      <c r="A1" s="41" t="s">
        <v>995</v>
      </c>
      <c r="B1" s="15"/>
      <c r="C1" s="15"/>
      <c r="D1" s="15"/>
      <c r="E1" s="15"/>
      <c r="F1" s="42" t="s">
        <v>996</v>
      </c>
      <c r="G1" s="43"/>
      <c r="H1" s="47"/>
      <c r="I1" s="43"/>
      <c r="J1" s="47"/>
      <c r="K1" s="43"/>
      <c r="L1" s="18"/>
      <c r="M1" s="43"/>
      <c r="N1" s="43"/>
      <c r="O1" s="47"/>
      <c r="P1" s="47"/>
      <c r="Q1" s="43"/>
      <c r="R1" s="43"/>
      <c r="S1" s="48" t="s">
        <v>488</v>
      </c>
      <c r="T1" s="45"/>
      <c r="U1" s="45"/>
      <c r="V1" s="45"/>
      <c r="W1" s="45"/>
      <c r="X1" s="45"/>
      <c r="Y1" s="43"/>
      <c r="Z1" s="43"/>
      <c r="AA1" s="43"/>
      <c r="AB1" s="43"/>
      <c r="AC1" s="42" t="s">
        <v>828</v>
      </c>
      <c r="AD1" s="18"/>
      <c r="AE1" s="18"/>
      <c r="AF1" s="18"/>
    </row>
    <row r="2" customFormat="false" ht="18.75" hidden="false" customHeight="true" outlineLevel="0" collapsed="false">
      <c r="A2" s="158" t="s">
        <v>997</v>
      </c>
      <c r="B2" s="158"/>
      <c r="C2" s="19"/>
      <c r="D2" s="19"/>
      <c r="E2" s="19"/>
      <c r="F2" s="50"/>
      <c r="G2" s="22"/>
      <c r="H2" s="52"/>
      <c r="I2" s="22"/>
      <c r="J2" s="52"/>
      <c r="K2" s="22"/>
      <c r="L2" s="22"/>
      <c r="M2" s="21" t="s">
        <v>177</v>
      </c>
      <c r="N2" s="21" t="s">
        <v>177</v>
      </c>
      <c r="O2" s="52"/>
      <c r="P2" s="52"/>
      <c r="Q2" s="21" t="s">
        <v>177</v>
      </c>
      <c r="R2" s="21" t="s">
        <v>177</v>
      </c>
      <c r="S2" s="54"/>
      <c r="T2" s="52"/>
      <c r="U2" s="52"/>
      <c r="V2" s="52"/>
      <c r="W2" s="52"/>
      <c r="X2" s="52"/>
      <c r="Y2" s="21" t="s">
        <v>177</v>
      </c>
      <c r="Z2" s="21" t="s">
        <v>177</v>
      </c>
      <c r="AA2" s="21" t="s">
        <v>177</v>
      </c>
      <c r="AB2" s="21" t="s">
        <v>177</v>
      </c>
      <c r="AC2" s="50"/>
      <c r="AD2" s="22"/>
      <c r="AE2" s="22"/>
      <c r="AF2" s="22"/>
    </row>
    <row r="3" customFormat="false" ht="117" hidden="false" customHeight="true" outlineLevel="0" collapsed="false">
      <c r="A3" s="158"/>
      <c r="B3" s="158"/>
      <c r="C3" s="23"/>
      <c r="D3" s="23"/>
      <c r="E3" s="23"/>
      <c r="F3" s="137" t="s">
        <v>998</v>
      </c>
      <c r="G3" s="138" t="s">
        <v>831</v>
      </c>
      <c r="H3" s="139" t="s">
        <v>379</v>
      </c>
      <c r="I3" s="138" t="s">
        <v>832</v>
      </c>
      <c r="J3" s="139" t="s">
        <v>833</v>
      </c>
      <c r="K3" s="69" t="s">
        <v>999</v>
      </c>
      <c r="L3" s="69" t="s">
        <v>1000</v>
      </c>
      <c r="M3" s="25" t="s">
        <v>1001</v>
      </c>
      <c r="N3" s="25" t="s">
        <v>1002</v>
      </c>
      <c r="O3" s="71" t="s">
        <v>1003</v>
      </c>
      <c r="P3" s="160" t="s">
        <v>1004</v>
      </c>
      <c r="Q3" s="25" t="s">
        <v>1005</v>
      </c>
      <c r="R3" s="25" t="s">
        <v>1006</v>
      </c>
      <c r="S3" s="68" t="s">
        <v>1007</v>
      </c>
      <c r="T3" s="65" t="s">
        <v>1008</v>
      </c>
      <c r="U3" s="71" t="s">
        <v>1009</v>
      </c>
      <c r="V3" s="65" t="s">
        <v>1010</v>
      </c>
      <c r="W3" s="71" t="s">
        <v>972</v>
      </c>
      <c r="X3" s="65" t="s">
        <v>973</v>
      </c>
      <c r="Y3" s="25" t="s">
        <v>1011</v>
      </c>
      <c r="Z3" s="72" t="s">
        <v>1012</v>
      </c>
      <c r="AA3" s="72" t="s">
        <v>1013</v>
      </c>
      <c r="AB3" s="72" t="s">
        <v>1014</v>
      </c>
      <c r="AC3" s="137" t="s">
        <v>864</v>
      </c>
      <c r="AD3" s="138" t="s">
        <v>974</v>
      </c>
      <c r="AE3" s="138" t="s">
        <v>1015</v>
      </c>
      <c r="AF3" s="69" t="s">
        <v>1016</v>
      </c>
    </row>
    <row r="4" customFormat="false" ht="15" hidden="false" customHeight="false" outlineLevel="0" collapsed="false">
      <c r="A4" s="73"/>
      <c r="B4" s="27"/>
      <c r="C4" s="27"/>
      <c r="D4" s="27" t="s">
        <v>288</v>
      </c>
      <c r="E4" s="27"/>
      <c r="F4" s="74" t="n">
        <f aca="false">SUBTOTAL(109,F$15:INDEX(F:F,COUNTA($B:$B)+14-COUNTA($B$1:$B$14)))</f>
        <v>0</v>
      </c>
      <c r="G4" s="75" t="n">
        <f aca="false">SUBTOTAL(109,G$15:INDEX(G:G,COUNTA($B:$B)+14-COUNTA($B$1:$B$14)))</f>
        <v>0</v>
      </c>
      <c r="H4" s="78" t="str">
        <f aca="false">IF(SUM($F$4)=0,"",SUM($G$4)/$F$4)</f>
        <v/>
      </c>
      <c r="I4" s="75" t="n">
        <f aca="false">SUBTOTAL(109,I$15:INDEX(I:I,COUNTA($B:$B)+14-COUNTA($B$1:$B$14)))</f>
        <v>0</v>
      </c>
      <c r="J4" s="78" t="str">
        <f aca="false">IF(SUM($G$4)=0,"",SUM($I$4)/$G$4)</f>
        <v/>
      </c>
      <c r="K4" s="73" t="n">
        <f aca="false">SUBTOTAL(109,K$15:INDEX(K:K,COUNTA($B:$B)+14-COUNTA($B$1:$B$14)))</f>
        <v>0</v>
      </c>
      <c r="L4" s="73" t="n">
        <f aca="false">SUBTOTAL(109,L$15:INDEX(L:L,COUNTA($B:$B)+14-COUNTA($B$1:$B$14)))</f>
        <v>0</v>
      </c>
      <c r="M4" s="82" t="n">
        <f aca="false">SUBTOTAL(109,M$15:INDEX(M:M,COUNTA($B:$B)+14-COUNTA($B$1:$B$14)))</f>
        <v>0</v>
      </c>
      <c r="N4" s="82" t="n">
        <f aca="false">SUBTOTAL(109,N$15:INDEX(N:N,COUNTA($B:$B)+14-COUNTA($B$1:$B$14)))</f>
        <v>0</v>
      </c>
      <c r="O4" s="84" t="str">
        <f aca="false">IF($F$4=0,"",$N$4/$F$4)</f>
        <v/>
      </c>
      <c r="P4" s="84" t="str">
        <f aca="false">IF($F$4=0,"",$Q$4/$F$4)</f>
        <v/>
      </c>
      <c r="Q4" s="82" t="n">
        <f aca="false">SUBTOTAL(109,Q$15:INDEX(Q:Q,COUNTA($B:$B)+14-COUNTA($B$1:$B$14)))</f>
        <v>0</v>
      </c>
      <c r="R4" s="82" t="n">
        <f aca="false">SUBTOTAL(109,R$15:INDEX(R:R,COUNTA($B:$B)+14-COUNTA($B$1:$B$14)))</f>
        <v>0</v>
      </c>
      <c r="S4" s="80" t="str">
        <f aca="false">IF($R$4=0,"",$Y$4/$R$4)</f>
        <v/>
      </c>
      <c r="T4" s="78"/>
      <c r="U4" s="78"/>
      <c r="V4" s="78" t="str">
        <f aca="false">IF($Y$4=0,"",$Z$4/$Y$4)</f>
        <v/>
      </c>
      <c r="W4" s="78"/>
      <c r="X4" s="78" t="str">
        <f aca="false">IF(SUM($Y$4,$Z$4)=0,"",SUM($AA4)/(SUM($Y$4)-SUM($Z$4)))</f>
        <v/>
      </c>
      <c r="Y4" s="82" t="n">
        <f aca="false">SUBTOTAL(109,Y$15:INDEX(Y:Y,COUNTA($B:$B)+14-COUNTA($B$1:$B$14)))</f>
        <v>0</v>
      </c>
      <c r="Z4" s="82" t="n">
        <f aca="false">SUBTOTAL(109,Z$15:INDEX(Z:Z,COUNTA($B:$B)+14-COUNTA($B$1:$B$14)))</f>
        <v>0</v>
      </c>
      <c r="AA4" s="82" t="n">
        <f aca="false">SUBTOTAL(109,AA$15:INDEX(AA:AA,COUNTA($B:$B)+14-COUNTA($B$1:$B$14)))</f>
        <v>0</v>
      </c>
      <c r="AB4" s="82" t="n">
        <f aca="false">SUBTOTAL(109,AB$15:INDEX(AB:AB,COUNTA($B:$B)+14-COUNTA($B$1:$B$14)))</f>
        <v>0</v>
      </c>
      <c r="AC4" s="74" t="n">
        <f aca="false">SUBTOTAL(109,AC$15:INDEX(AC:AC,COUNTA($B:$B)+14-COUNTA($B$1:$B$14)))</f>
        <v>0</v>
      </c>
      <c r="AD4" s="75" t="n">
        <f aca="false">SUBTOTAL(109,AD$15:INDEX(AD:AD,COUNTA($B:$B)+14-COUNTA($B$1:$B$14)))</f>
        <v>0</v>
      </c>
      <c r="AE4" s="75" t="n">
        <f aca="false">SUBTOTAL(109,AE$15:INDEX(AE:AE,COUNTA($B:$B)+14-COUNTA($B$1:$B$14)))</f>
        <v>0</v>
      </c>
      <c r="AF4" s="75" t="n">
        <f aca="false">SUBTOTAL(109,AF$15:INDEX(AF:AF,COUNTA($B:$B)+14-COUNTA($B$1:$B$14)))</f>
        <v>0</v>
      </c>
    </row>
    <row r="5" customFormat="false" ht="12.8" hidden="false" customHeight="false" outlineLevel="0" collapsed="false">
      <c r="A5" s="0" t="s">
        <v>181</v>
      </c>
      <c r="B5" s="9" t="s">
        <v>181</v>
      </c>
      <c r="C5" s="9" t="s">
        <v>181</v>
      </c>
      <c r="D5" s="9" t="s">
        <v>181</v>
      </c>
      <c r="E5" s="9" t="s">
        <v>181</v>
      </c>
      <c r="F5" s="85" t="s">
        <v>181</v>
      </c>
      <c r="G5" s="10" t="s">
        <v>181</v>
      </c>
      <c r="H5" s="88" t="s">
        <v>181</v>
      </c>
      <c r="I5" s="10" t="s">
        <v>181</v>
      </c>
      <c r="J5" s="88" t="s">
        <v>181</v>
      </c>
      <c r="K5" s="10" t="s">
        <v>289</v>
      </c>
      <c r="L5" s="10" t="s">
        <v>289</v>
      </c>
      <c r="M5" s="5" t="s">
        <v>290</v>
      </c>
      <c r="N5" s="5" t="s">
        <v>290</v>
      </c>
      <c r="O5" s="88" t="s">
        <v>181</v>
      </c>
      <c r="P5" s="88" t="s">
        <v>181</v>
      </c>
      <c r="Q5" s="5" t="s">
        <v>290</v>
      </c>
      <c r="R5" s="5" t="s">
        <v>290</v>
      </c>
      <c r="S5" s="114" t="s">
        <v>181</v>
      </c>
      <c r="T5" s="87" t="s">
        <v>181</v>
      </c>
      <c r="U5" s="87" t="s">
        <v>181</v>
      </c>
      <c r="V5" s="87" t="s">
        <v>181</v>
      </c>
      <c r="W5" s="87" t="s">
        <v>181</v>
      </c>
      <c r="X5" s="87" t="s">
        <v>181</v>
      </c>
      <c r="Y5" s="5" t="s">
        <v>181</v>
      </c>
      <c r="Z5" s="5" t="s">
        <v>289</v>
      </c>
      <c r="AA5" s="5" t="s">
        <v>289</v>
      </c>
      <c r="AB5" s="5" t="s">
        <v>289</v>
      </c>
      <c r="AC5" s="85" t="s">
        <v>181</v>
      </c>
      <c r="AD5" s="10" t="s">
        <v>181</v>
      </c>
      <c r="AE5" s="10" t="s">
        <v>181</v>
      </c>
      <c r="AF5" s="91" t="s">
        <v>181</v>
      </c>
    </row>
    <row r="6" customFormat="false" ht="12.8" hidden="false" customHeight="false" outlineLevel="0" collapsed="false">
      <c r="A6" s="0" t="s">
        <v>183</v>
      </c>
      <c r="B6" s="9" t="s">
        <v>183</v>
      </c>
      <c r="C6" s="9" t="s">
        <v>183</v>
      </c>
      <c r="D6" s="9" t="s">
        <v>183</v>
      </c>
      <c r="E6" s="9" t="s">
        <v>183</v>
      </c>
      <c r="F6" s="85" t="s">
        <v>186</v>
      </c>
      <c r="G6" s="10" t="s">
        <v>186</v>
      </c>
      <c r="H6" s="88" t="s">
        <v>186</v>
      </c>
      <c r="I6" s="10" t="s">
        <v>186</v>
      </c>
      <c r="J6" s="88" t="s">
        <v>186</v>
      </c>
      <c r="K6" s="10" t="s">
        <v>184</v>
      </c>
      <c r="L6" s="10" t="s">
        <v>184</v>
      </c>
      <c r="M6" s="5" t="s">
        <v>185</v>
      </c>
      <c r="N6" s="5" t="s">
        <v>185</v>
      </c>
      <c r="O6" s="88" t="s">
        <v>186</v>
      </c>
      <c r="P6" s="88" t="s">
        <v>291</v>
      </c>
      <c r="Q6" s="5" t="s">
        <v>185</v>
      </c>
      <c r="R6" s="5" t="s">
        <v>185</v>
      </c>
      <c r="S6" s="114" t="s">
        <v>291</v>
      </c>
      <c r="T6" s="87" t="s">
        <v>291</v>
      </c>
      <c r="U6" s="87" t="s">
        <v>292</v>
      </c>
      <c r="V6" s="87" t="s">
        <v>291</v>
      </c>
      <c r="W6" s="87" t="s">
        <v>292</v>
      </c>
      <c r="X6" s="87" t="s">
        <v>291</v>
      </c>
      <c r="Y6" s="5" t="s">
        <v>291</v>
      </c>
      <c r="Z6" s="5" t="s">
        <v>185</v>
      </c>
      <c r="AA6" s="5" t="s">
        <v>185</v>
      </c>
      <c r="AB6" s="5" t="s">
        <v>185</v>
      </c>
      <c r="AC6" s="85" t="s">
        <v>186</v>
      </c>
      <c r="AD6" s="10" t="s">
        <v>186</v>
      </c>
      <c r="AE6" s="10" t="s">
        <v>186</v>
      </c>
      <c r="AF6" s="91" t="s">
        <v>186</v>
      </c>
    </row>
    <row r="7" customFormat="false" ht="12.8" hidden="false" customHeight="false" outlineLevel="0" collapsed="false">
      <c r="A7" s="0" t="s">
        <v>187</v>
      </c>
      <c r="B7" s="9" t="s">
        <v>187</v>
      </c>
      <c r="C7" s="9" t="s">
        <v>187</v>
      </c>
      <c r="D7" s="9" t="s">
        <v>187</v>
      </c>
      <c r="E7" s="9" t="s">
        <v>187</v>
      </c>
      <c r="F7" s="85" t="s">
        <v>188</v>
      </c>
      <c r="G7" s="10" t="s">
        <v>188</v>
      </c>
      <c r="H7" s="88" t="s">
        <v>294</v>
      </c>
      <c r="I7" s="10" t="s">
        <v>188</v>
      </c>
      <c r="J7" s="88" t="s">
        <v>294</v>
      </c>
      <c r="K7" s="10" t="s">
        <v>188</v>
      </c>
      <c r="L7" s="10" t="s">
        <v>188</v>
      </c>
      <c r="M7" s="5" t="s">
        <v>188</v>
      </c>
      <c r="N7" s="5" t="s">
        <v>188</v>
      </c>
      <c r="O7" s="88" t="s">
        <v>294</v>
      </c>
      <c r="P7" s="88" t="s">
        <v>294</v>
      </c>
      <c r="Q7" s="5" t="s">
        <v>188</v>
      </c>
      <c r="R7" s="5" t="s">
        <v>188</v>
      </c>
      <c r="S7" s="114" t="s">
        <v>294</v>
      </c>
      <c r="T7" s="87" t="s">
        <v>294</v>
      </c>
      <c r="U7" s="87" t="s">
        <v>294</v>
      </c>
      <c r="V7" s="87" t="s">
        <v>294</v>
      </c>
      <c r="W7" s="87" t="s">
        <v>294</v>
      </c>
      <c r="X7" s="87" t="s">
        <v>294</v>
      </c>
      <c r="Y7" s="5" t="s">
        <v>188</v>
      </c>
      <c r="Z7" s="5" t="s">
        <v>188</v>
      </c>
      <c r="AA7" s="5" t="s">
        <v>188</v>
      </c>
      <c r="AB7" s="5" t="s">
        <v>188</v>
      </c>
      <c r="AC7" s="85" t="s">
        <v>188</v>
      </c>
      <c r="AD7" s="10" t="s">
        <v>188</v>
      </c>
      <c r="AE7" s="10" t="s">
        <v>188</v>
      </c>
      <c r="AF7" s="91" t="s">
        <v>188</v>
      </c>
    </row>
    <row r="8" customFormat="false" ht="12.8" hidden="false" customHeight="false" outlineLevel="0" collapsed="false">
      <c r="F8" s="85"/>
      <c r="G8" s="10"/>
      <c r="H8" s="88"/>
      <c r="I8" s="10"/>
      <c r="J8" s="88"/>
      <c r="K8" s="94" t="s">
        <v>1017</v>
      </c>
      <c r="L8" s="94" t="s">
        <v>644</v>
      </c>
      <c r="M8" s="97" t="s">
        <v>1018</v>
      </c>
      <c r="N8" s="97" t="s">
        <v>1019</v>
      </c>
      <c r="O8" s="88"/>
      <c r="P8" s="88"/>
      <c r="Q8" s="97" t="s">
        <v>1019</v>
      </c>
      <c r="R8" s="97" t="s">
        <v>1018</v>
      </c>
      <c r="Z8" s="97" t="s">
        <v>644</v>
      </c>
      <c r="AA8" s="97" t="s">
        <v>644</v>
      </c>
      <c r="AB8" s="97" t="s">
        <v>644</v>
      </c>
    </row>
    <row r="9" customFormat="false" ht="12.8" hidden="false" customHeight="false" outlineLevel="0" collapsed="false">
      <c r="F9" s="85"/>
      <c r="G9" s="10"/>
      <c r="H9" s="88"/>
      <c r="I9" s="10"/>
      <c r="J9" s="88"/>
      <c r="K9" s="94" t="s">
        <v>1020</v>
      </c>
      <c r="L9" s="94" t="s">
        <v>1021</v>
      </c>
      <c r="M9" s="97"/>
      <c r="N9" s="97"/>
      <c r="O9" s="88"/>
      <c r="P9" s="88"/>
      <c r="Q9" s="97"/>
      <c r="R9" s="97"/>
      <c r="Z9" s="97" t="s">
        <v>1021</v>
      </c>
      <c r="AA9" s="97" t="s">
        <v>1021</v>
      </c>
      <c r="AB9" s="97" t="s">
        <v>1021</v>
      </c>
    </row>
    <row r="10" customFormat="false" ht="12.8" hidden="false" customHeight="false" outlineLevel="0" collapsed="false">
      <c r="F10" s="85"/>
      <c r="G10" s="10"/>
      <c r="H10" s="88"/>
      <c r="I10" s="10"/>
      <c r="J10" s="88"/>
      <c r="K10" s="94"/>
      <c r="L10" s="94"/>
      <c r="M10" s="97"/>
      <c r="N10" s="97"/>
      <c r="O10" s="88"/>
      <c r="P10" s="88"/>
      <c r="Q10" s="97"/>
      <c r="R10" s="97"/>
      <c r="Z10" s="97" t="s">
        <v>1022</v>
      </c>
      <c r="AA10" s="97" t="s">
        <v>312</v>
      </c>
      <c r="AB10" s="97" t="s">
        <v>431</v>
      </c>
    </row>
    <row r="11" customFormat="false" ht="12.8" hidden="false" customHeight="false" outlineLevel="0" collapsed="false">
      <c r="F11" s="85" t="s">
        <v>684</v>
      </c>
      <c r="G11" s="10" t="s">
        <v>684</v>
      </c>
      <c r="H11" s="88" t="s">
        <v>684</v>
      </c>
      <c r="I11" s="10" t="s">
        <v>684</v>
      </c>
      <c r="J11" s="88" t="s">
        <v>684</v>
      </c>
      <c r="K11" s="10" t="s">
        <v>684</v>
      </c>
      <c r="L11" s="10" t="s">
        <v>684</v>
      </c>
      <c r="M11" s="5" t="s">
        <v>684</v>
      </c>
      <c r="N11" s="5" t="s">
        <v>684</v>
      </c>
      <c r="O11" s="88" t="s">
        <v>684</v>
      </c>
      <c r="P11" s="88" t="s">
        <v>684</v>
      </c>
      <c r="Q11" s="5" t="s">
        <v>684</v>
      </c>
      <c r="R11" s="5" t="s">
        <v>684</v>
      </c>
      <c r="S11" s="114" t="s">
        <v>684</v>
      </c>
      <c r="T11" s="87" t="s">
        <v>684</v>
      </c>
      <c r="U11" s="87" t="s">
        <v>684</v>
      </c>
      <c r="V11" s="87" t="s">
        <v>684</v>
      </c>
      <c r="W11" s="87" t="s">
        <v>684</v>
      </c>
      <c r="X11" s="87" t="s">
        <v>684</v>
      </c>
      <c r="Y11" s="5" t="s">
        <v>684</v>
      </c>
      <c r="Z11" s="5" t="s">
        <v>684</v>
      </c>
      <c r="AA11" s="5" t="s">
        <v>684</v>
      </c>
      <c r="AB11" s="5" t="s">
        <v>684</v>
      </c>
      <c r="AC11" s="85" t="s">
        <v>684</v>
      </c>
      <c r="AD11" s="10" t="s">
        <v>684</v>
      </c>
      <c r="AE11" s="10" t="s">
        <v>684</v>
      </c>
      <c r="AF11" s="91" t="s">
        <v>684</v>
      </c>
    </row>
    <row r="12" customFormat="false" ht="12.8" hidden="false" customHeight="false" outlineLevel="0" collapsed="false">
      <c r="F12" s="85" t="s">
        <v>691</v>
      </c>
      <c r="G12" s="10" t="s">
        <v>691</v>
      </c>
      <c r="H12" s="88" t="s">
        <v>691</v>
      </c>
      <c r="I12" s="10" t="s">
        <v>691</v>
      </c>
      <c r="J12" s="88" t="s">
        <v>691</v>
      </c>
      <c r="K12" s="10" t="s">
        <v>691</v>
      </c>
      <c r="L12" s="10" t="s">
        <v>691</v>
      </c>
      <c r="M12" s="5" t="s">
        <v>691</v>
      </c>
      <c r="N12" s="5" t="s">
        <v>691</v>
      </c>
      <c r="O12" s="88" t="s">
        <v>691</v>
      </c>
      <c r="P12" s="88" t="s">
        <v>691</v>
      </c>
      <c r="Q12" s="5" t="s">
        <v>691</v>
      </c>
      <c r="R12" s="5" t="s">
        <v>691</v>
      </c>
      <c r="S12" s="114" t="s">
        <v>691</v>
      </c>
      <c r="T12" s="87" t="s">
        <v>691</v>
      </c>
      <c r="U12" s="87" t="s">
        <v>691</v>
      </c>
      <c r="V12" s="87" t="s">
        <v>691</v>
      </c>
      <c r="W12" s="87" t="s">
        <v>691</v>
      </c>
      <c r="X12" s="87" t="s">
        <v>691</v>
      </c>
      <c r="Y12" s="5" t="s">
        <v>691</v>
      </c>
      <c r="Z12" s="5" t="s">
        <v>691</v>
      </c>
      <c r="AA12" s="5" t="s">
        <v>691</v>
      </c>
      <c r="AB12" s="5" t="s">
        <v>691</v>
      </c>
      <c r="AC12" s="85" t="s">
        <v>691</v>
      </c>
      <c r="AD12" s="10" t="s">
        <v>691</v>
      </c>
      <c r="AE12" s="10" t="s">
        <v>691</v>
      </c>
      <c r="AF12" s="91" t="s">
        <v>691</v>
      </c>
    </row>
    <row r="13" customFormat="false" ht="12.8" hidden="false" customHeight="false" outlineLevel="0" collapsed="false">
      <c r="F13" s="85"/>
      <c r="G13" s="10"/>
      <c r="H13" s="88"/>
      <c r="I13" s="10"/>
      <c r="J13" s="88"/>
      <c r="K13" s="10"/>
    </row>
    <row r="14" customFormat="false" ht="15" hidden="false" customHeight="false" outlineLevel="0" collapsed="false">
      <c r="A14" s="100" t="s">
        <v>176</v>
      </c>
      <c r="B14" s="33" t="s">
        <v>190</v>
      </c>
      <c r="C14" s="33" t="s">
        <v>318</v>
      </c>
      <c r="D14" s="33" t="s">
        <v>319</v>
      </c>
      <c r="E14" s="33" t="s">
        <v>20</v>
      </c>
      <c r="F14" s="101" t="s">
        <v>138</v>
      </c>
      <c r="G14" s="36" t="s">
        <v>333</v>
      </c>
      <c r="H14" s="103" t="s">
        <v>141</v>
      </c>
      <c r="I14" s="36" t="s">
        <v>146</v>
      </c>
      <c r="J14" s="103" t="s">
        <v>145</v>
      </c>
      <c r="K14" s="36" t="s">
        <v>1023</v>
      </c>
      <c r="L14" s="36" t="s">
        <v>1024</v>
      </c>
      <c r="M14" s="107" t="s">
        <v>1025</v>
      </c>
      <c r="N14" s="107" t="s">
        <v>1026</v>
      </c>
      <c r="O14" s="103" t="s">
        <v>1027</v>
      </c>
      <c r="P14" s="103" t="s">
        <v>1028</v>
      </c>
      <c r="Q14" s="107" t="s">
        <v>1029</v>
      </c>
      <c r="R14" s="107" t="s">
        <v>1030</v>
      </c>
      <c r="S14" s="105" t="s">
        <v>1031</v>
      </c>
      <c r="T14" s="103" t="s">
        <v>1032</v>
      </c>
      <c r="U14" s="103" t="s">
        <v>1033</v>
      </c>
      <c r="V14" s="103" t="s">
        <v>1034</v>
      </c>
      <c r="W14" s="103" t="s">
        <v>1035</v>
      </c>
      <c r="X14" s="103" t="s">
        <v>1036</v>
      </c>
      <c r="Y14" s="107" t="s">
        <v>1037</v>
      </c>
      <c r="Z14" s="107" t="s">
        <v>1038</v>
      </c>
      <c r="AA14" s="107" t="s">
        <v>1039</v>
      </c>
      <c r="AB14" s="107" t="s">
        <v>1040</v>
      </c>
      <c r="AC14" s="101" t="s">
        <v>912</v>
      </c>
      <c r="AD14" s="36" t="s">
        <v>994</v>
      </c>
      <c r="AE14" s="36" t="s">
        <v>915</v>
      </c>
      <c r="AF14" s="36" t="s">
        <v>916</v>
      </c>
    </row>
    <row r="15" customFormat="false" ht="15" hidden="false" customHeight="false" outlineLevel="0" collapsed="false">
      <c r="A15" s="0" t="str">
        <f aca="false">INDEX(Prioritization!$D:$D,MATCH($B15,Prioritization!$A:$A,0))</f>
        <v>Military</v>
      </c>
      <c r="B15" s="0" t="s">
        <v>194</v>
      </c>
      <c r="C15" s="0" t="s">
        <v>365</v>
      </c>
      <c r="D15" s="0" t="s">
        <v>48</v>
      </c>
      <c r="E15" s="9" t="str">
        <f aca="false">B15&amp;"|"&amp;C15&amp;"|"&amp;D15</f>
        <v>_Military Malawi [PQZgU9dagaH]|15-24|Male</v>
      </c>
      <c r="F15" s="85" t="str">
        <f aca="false">IF(LEFT($B15,4)="_Mil","",INDEX(Cascade!$T:$T,MATCH($E15,Cascade!$E:$E,0)))</f>
        <v/>
      </c>
      <c r="G15" s="10" t="str">
        <f aca="false">IF(LEFT($B15,4)="_Mil","",INDEX(Cascade!$U:$U,MATCH($E15,Cascade!$E:$E,0)))</f>
        <v/>
      </c>
      <c r="H15" s="86" t="str">
        <f aca="false">IF(LEFT($B15,4)="_Mil","",INDEX(Cascade!$W:$W,MATCH($E15,Cascade!$E:$E,0)))</f>
        <v/>
      </c>
      <c r="I15" s="10" t="str">
        <f aca="false">IF(LEFT($B15,4)="_Mil","",INDEX(Cascade!$Z:$Z,MATCH($E15,Cascade!$E:$E,0)))</f>
        <v/>
      </c>
      <c r="J15" s="88" t="str">
        <f aca="false">IF(LEFT($B15,4)="_Mil","",INDEX(Cascade!$AA:$AA,MATCH($E15,Cascade!$E:$E,0)))</f>
        <v/>
      </c>
      <c r="K15" s="10"/>
      <c r="L15" s="10"/>
      <c r="M15" s="5" t="str">
        <f aca="false">IF(LEFT($B15,4)="_Mil","",IFERROR(1/(1/ROUND(INDEX(Spectrum!$N:$N,MATCH(RIGHT($B15,13)&amp;"|"&amp;$C15&amp;"|"&amp;$D15&amp;"|"&amp;M$14&amp;"|"&amp;"CY2023Q3",Spectrum!$R:$R,0)),0)),IF(SUM($L15)=0,"",$L15)))</f>
        <v/>
      </c>
      <c r="N15" s="5" t="str">
        <f aca="false">IF(LEFT($B15,4)="_Mil","",IFERROR(1/(1/ROUND(INDEX(Spectrum!$N:$N,MATCH(RIGHT($B15,13)&amp;"|"&amp;$C15&amp;"|"&amp;$D15&amp;"|"&amp;N$14&amp;"|"&amp;"CY2023Q3",Spectrum!$R:$R,0)),0)),IF(SUM($M15)=0,"",$M15)))</f>
        <v/>
      </c>
      <c r="O15" s="88" t="str">
        <f aca="false">IF(OR(LEFT($B15,4)="_Mil",SUM($F15)=0),"",SUM($N15)/$F15)</f>
        <v/>
      </c>
      <c r="P15" s="88" t="str">
        <f aca="false">IF(OR(LEFT($B15,4)="_Mil",SUM($F15)=0),"",MAX(SUM($O15),80%))</f>
        <v/>
      </c>
      <c r="Q15" s="5" t="str">
        <f aca="false">IF(OR(LEFT($B15,4)="_Mil",SUM($F15)=0),"",ROUND(SUM($F15)*$P15,0))</f>
        <v/>
      </c>
      <c r="R15" s="5" t="str">
        <f aca="false">IF(OR(LEFT($B15,4)="_Mil",SUM($Q15)=0),"",ROUND(MAX($Q15-SUM($N15),0),0))</f>
        <v/>
      </c>
      <c r="S15" s="92" t="str">
        <f aca="false">IF(LEFT($B15,4)="_Mil","",IF(SUM($L15)=0,"",IF(SUM($M15)=0,1,$L15/$M15)))</f>
        <v/>
      </c>
      <c r="T15" s="88" t="n">
        <f aca="false">IF(LEFT($B15,4)="_Mil",0,"")</f>
        <v>0</v>
      </c>
      <c r="U15" s="88"/>
      <c r="V15" s="88" t="str">
        <f aca="false">IF($U15="","",$U15)</f>
        <v/>
      </c>
      <c r="W15" s="88"/>
      <c r="X15" s="88" t="str">
        <f aca="false">IF($W15="","",$W15)</f>
        <v/>
      </c>
      <c r="Y15" s="5" t="str">
        <f aca="false">IF(LEFT($B15,4)="_Mil",IF(SUM($L15)=0,"",ROUND($L15*(1+$T15),0)),IF(SUM($R15)=0,"",IF($S15="","ENTER IN COL S",ROUND($R15*$S15,0))))</f>
        <v/>
      </c>
      <c r="Z15" s="5" t="str">
        <f aca="false">IF(SUM($Y15)=0,"",IF(AND(SUM($Y15)&gt;0,$V15=""),"ENTER INDETERMINATE RATE",ROUND($Y15*$V15,0)))</f>
        <v/>
      </c>
      <c r="AA15" s="5" t="str">
        <f aca="false">IF(SUM($Y15)=0,"",IF(AND(($Y15-SUM($Z15))&gt;0,$X15=""),"ENTER YIELD RATE",ROUND(($Y15-SUM($Z15))*SUM($X15),0)))</f>
        <v/>
      </c>
      <c r="AB15" s="5" t="str">
        <f aca="false">IF(SUM($Y15)=0,"",$Y15-SUM($Z15)-SUM($AA15))</f>
        <v/>
      </c>
      <c r="AC15" s="85" t="str">
        <f aca="false">IFERROR(1/(1/INDEX(Cascade!$BH:$BH,MATCH($E15,Cascade!$E:$E,0))),"")</f>
        <v/>
      </c>
      <c r="AD15" s="10" t="str">
        <f aca="false">IF(SUM($AA15)=0,"",$AA15)</f>
        <v/>
      </c>
      <c r="AE15" s="10" t="str">
        <f aca="false">IFERROR(1/(1/INDEX(TB!$P:$P,MATCH($E15,TB!$E:$E,0))),"")</f>
        <v/>
      </c>
      <c r="AF15" s="10" t="str">
        <f aca="false">IFERROR(1/(1/(SUM($AC15)-SUM($AD15:$AE15))),"")</f>
        <v/>
      </c>
    </row>
    <row r="16" customFormat="false" ht="15" hidden="false" customHeight="false" outlineLevel="0" collapsed="false">
      <c r="A16" s="0" t="str">
        <f aca="false">INDEX(Prioritization!$D:$D,MATCH($B16,Prioritization!$A:$A,0))</f>
        <v>Military</v>
      </c>
      <c r="B16" s="0" t="s">
        <v>194</v>
      </c>
      <c r="C16" s="0" t="s">
        <v>366</v>
      </c>
      <c r="D16" s="0" t="s">
        <v>48</v>
      </c>
      <c r="E16" s="0" t="str">
        <f aca="false">B16&amp;"|"&amp;C16&amp;"|"&amp;D16</f>
        <v>_Military Malawi [PQZgU9dagaH]|25-34|Male</v>
      </c>
      <c r="F16" s="10" t="str">
        <f aca="false">IF(LEFT($B16,4)="_Mil","",INDEX(Cascade!$T:$T,MATCH($E16,Cascade!$E:$E,0)))</f>
        <v/>
      </c>
      <c r="G16" s="10" t="str">
        <f aca="false">IF(LEFT($B16,4)="_Mil","",INDEX(Cascade!$U:$U,MATCH($E16,Cascade!$E:$E,0)))</f>
        <v/>
      </c>
      <c r="H16" s="86" t="str">
        <f aca="false">IF(LEFT($B16,4)="_Mil","",INDEX(Cascade!$W:$W,MATCH($E16,Cascade!$E:$E,0)))</f>
        <v/>
      </c>
      <c r="I16" s="10" t="str">
        <f aca="false">IF(LEFT($B16,4)="_Mil","",INDEX(Cascade!$Z:$Z,MATCH($E16,Cascade!$E:$E,0)))</f>
        <v/>
      </c>
      <c r="J16" s="88" t="str">
        <f aca="false">IF(LEFT($B16,4)="_Mil","",INDEX(Cascade!$AA:$AA,MATCH($E16,Cascade!$E:$E,0)))</f>
        <v/>
      </c>
      <c r="K16" s="10"/>
      <c r="L16" s="10"/>
      <c r="M16" s="39" t="str">
        <f aca="false">IF(LEFT($B16,4)="_Mil","",IFERROR(1/(1/ROUND(INDEX(Spectrum!$N:$N,MATCH(RIGHT($B16,13)&amp;"|"&amp;$C16&amp;"|"&amp;$D16&amp;"|"&amp;M$14&amp;"|"&amp;"CY2023Q3",Spectrum!$R:$R,0)),0)),IF(SUM($L16)=0,"",$L16)))</f>
        <v/>
      </c>
      <c r="N16" s="39" t="str">
        <f aca="false">IF(LEFT($B16,4)="_Mil","",IFERROR(1/(1/ROUND(INDEX(Spectrum!$N:$N,MATCH(RIGHT($B16,13)&amp;"|"&amp;$C16&amp;"|"&amp;$D16&amp;"|"&amp;N$14&amp;"|"&amp;"CY2023Q3",Spectrum!$R:$R,0)),0)),IF(SUM($M16)=0,"",$M16)))</f>
        <v/>
      </c>
      <c r="O16" s="88" t="str">
        <f aca="false">IF(OR(LEFT($B16,4)="_Mil",SUM($F16)=0),"",SUM($N16)/$F16)</f>
        <v/>
      </c>
      <c r="P16" s="88" t="str">
        <f aca="false">IF(OR(LEFT($B16,4)="_Mil",SUM($F16)=0),"",MAX(SUM($O16),80%))</f>
        <v/>
      </c>
      <c r="Q16" s="39" t="str">
        <f aca="false">IF(OR(LEFT($B16,4)="_Mil",SUM($F16)=0),"",ROUND(SUM($F16)*$P16,0))</f>
        <v/>
      </c>
      <c r="R16" s="39" t="str">
        <f aca="false">IF(OR(LEFT($B16,4)="_Mil",SUM($Q16)=0),"",ROUND(MAX($Q16-SUM($N16),0),0))</f>
        <v/>
      </c>
      <c r="S16" s="88" t="str">
        <f aca="false">IF(LEFT($B16,4)="_Mil","",IF(SUM($L16)=0,"",IF(SUM($M16)=0,1,$L16/$M16)))</f>
        <v/>
      </c>
      <c r="T16" s="88" t="n">
        <f aca="false">IF(LEFT($B16,4)="_Mil",0,"")</f>
        <v>0</v>
      </c>
      <c r="U16" s="88"/>
      <c r="V16" s="88" t="str">
        <f aca="false">IF($U16="","",$U16)</f>
        <v/>
      </c>
      <c r="W16" s="88"/>
      <c r="X16" s="88" t="str">
        <f aca="false">IF($W16="","",$W16)</f>
        <v/>
      </c>
      <c r="Y16" s="10" t="str">
        <f aca="false">IF(LEFT($B16,4)="_Mil",IF(SUM($L16)=0,"",ROUND($L16*(1+$T16),0)),IF(SUM($R16)=0,"",IF($S16="","ENTER IN COL S",ROUND($R16*$S16,0))))</f>
        <v/>
      </c>
      <c r="Z16" s="39" t="str">
        <f aca="false">IF(SUM($Y16)=0,"",IF(AND(SUM($Y16)&gt;0,$V16=""),"ENTER INDETERMINATE RATE",ROUND($Y16*$V16,0)))</f>
        <v/>
      </c>
      <c r="AA16" s="39" t="str">
        <f aca="false">IF(SUM($Y16)=0,"",IF(AND(($Y16-SUM($Z16))&gt;0,$X16=""),"ENTER YIELD RATE",ROUND(($Y16-SUM($Z16))*SUM($X16),0)))</f>
        <v/>
      </c>
      <c r="AB16" s="39" t="str">
        <f aca="false">IF(SUM($Y16)=0,"",$Y16-SUM($Z16)-SUM($AA16))</f>
        <v/>
      </c>
      <c r="AC16" s="10" t="str">
        <f aca="false">IFERROR(1/(1/INDEX(Cascade!$BH:$BH,MATCH($E16,Cascade!$E:$E,0))),"")</f>
        <v/>
      </c>
      <c r="AD16" s="10" t="str">
        <f aca="false">IF(SUM($AA16)=0,"",$AA16)</f>
        <v/>
      </c>
      <c r="AE16" s="10" t="str">
        <f aca="false">IFERROR(1/(1/INDEX(TB!$P:$P,MATCH($E16,TB!$E:$E,0))),"")</f>
        <v/>
      </c>
      <c r="AF16" s="10" t="str">
        <f aca="false">IFERROR(1/(1/(SUM($AC16)-SUM($AD16:$AE16))),"")</f>
        <v/>
      </c>
    </row>
    <row r="17" customFormat="false" ht="15" hidden="false" customHeight="false" outlineLevel="0" collapsed="false">
      <c r="A17" s="0" t="str">
        <f aca="false">INDEX(Prioritization!$D:$D,MATCH($B17,Prioritization!$A:$A,0))</f>
        <v>Military</v>
      </c>
      <c r="B17" s="0" t="s">
        <v>194</v>
      </c>
      <c r="C17" s="0" t="s">
        <v>367</v>
      </c>
      <c r="D17" s="0" t="s">
        <v>48</v>
      </c>
      <c r="E17" s="0" t="str">
        <f aca="false">B17&amp;"|"&amp;C17&amp;"|"&amp;D17</f>
        <v>_Military Malawi [PQZgU9dagaH]|35-49|Male</v>
      </c>
      <c r="F17" s="10" t="str">
        <f aca="false">IF(LEFT($B17,4)="_Mil","",INDEX(Cascade!$T:$T,MATCH($E17,Cascade!$E:$E,0)))</f>
        <v/>
      </c>
      <c r="G17" s="10" t="str">
        <f aca="false">IF(LEFT($B17,4)="_Mil","",INDEX(Cascade!$U:$U,MATCH($E17,Cascade!$E:$E,0)))</f>
        <v/>
      </c>
      <c r="H17" s="86" t="str">
        <f aca="false">IF(LEFT($B17,4)="_Mil","",INDEX(Cascade!$W:$W,MATCH($E17,Cascade!$E:$E,0)))</f>
        <v/>
      </c>
      <c r="I17" s="10" t="str">
        <f aca="false">IF(LEFT($B17,4)="_Mil","",INDEX(Cascade!$Z:$Z,MATCH($E17,Cascade!$E:$E,0)))</f>
        <v/>
      </c>
      <c r="J17" s="88" t="str">
        <f aca="false">IF(LEFT($B17,4)="_Mil","",INDEX(Cascade!$AA:$AA,MATCH($E17,Cascade!$E:$E,0)))</f>
        <v/>
      </c>
      <c r="K17" s="10"/>
      <c r="L17" s="10"/>
      <c r="M17" s="39" t="str">
        <f aca="false">IF(LEFT($B17,4)="_Mil","",IFERROR(1/(1/ROUND(INDEX(Spectrum!$N:$N,MATCH(RIGHT($B17,13)&amp;"|"&amp;$C17&amp;"|"&amp;$D17&amp;"|"&amp;M$14&amp;"|"&amp;"CY2023Q3",Spectrum!$R:$R,0)),0)),IF(SUM($L17)=0,"",$L17)))</f>
        <v/>
      </c>
      <c r="N17" s="39" t="str">
        <f aca="false">IF(LEFT($B17,4)="_Mil","",IFERROR(1/(1/ROUND(INDEX(Spectrum!$N:$N,MATCH(RIGHT($B17,13)&amp;"|"&amp;$C17&amp;"|"&amp;$D17&amp;"|"&amp;N$14&amp;"|"&amp;"CY2023Q3",Spectrum!$R:$R,0)),0)),IF(SUM($M17)=0,"",$M17)))</f>
        <v/>
      </c>
      <c r="O17" s="88" t="str">
        <f aca="false">IF(OR(LEFT($B17,4)="_Mil",SUM($F17)=0),"",SUM($N17)/$F17)</f>
        <v/>
      </c>
      <c r="P17" s="88" t="str">
        <f aca="false">IF(OR(LEFT($B17,4)="_Mil",SUM($F17)=0),"",MAX(SUM($O17),80%))</f>
        <v/>
      </c>
      <c r="Q17" s="39" t="str">
        <f aca="false">IF(OR(LEFT($B17,4)="_Mil",SUM($F17)=0),"",ROUND(SUM($F17)*$P17,0))</f>
        <v/>
      </c>
      <c r="R17" s="39" t="str">
        <f aca="false">IF(OR(LEFT($B17,4)="_Mil",SUM($Q17)=0),"",ROUND(MAX($Q17-SUM($N17),0),0))</f>
        <v/>
      </c>
      <c r="S17" s="88" t="str">
        <f aca="false">IF(LEFT($B17,4)="_Mil","",IF(SUM($L17)=0,"",IF(SUM($M17)=0,1,$L17/$M17)))</f>
        <v/>
      </c>
      <c r="T17" s="88" t="n">
        <f aca="false">IF(LEFT($B17,4)="_Mil",0,"")</f>
        <v>0</v>
      </c>
      <c r="U17" s="88"/>
      <c r="V17" s="88" t="str">
        <f aca="false">IF($U17="","",$U17)</f>
        <v/>
      </c>
      <c r="W17" s="88"/>
      <c r="X17" s="88" t="str">
        <f aca="false">IF($W17="","",$W17)</f>
        <v/>
      </c>
      <c r="Y17" s="10" t="str">
        <f aca="false">IF(LEFT($B17,4)="_Mil",IF(SUM($L17)=0,"",ROUND($L17*(1+$T17),0)),IF(SUM($R17)=0,"",IF($S17="","ENTER IN COL S",ROUND($R17*$S17,0))))</f>
        <v/>
      </c>
      <c r="Z17" s="39" t="str">
        <f aca="false">IF(SUM($Y17)=0,"",IF(AND(SUM($Y17)&gt;0,$V17=""),"ENTER INDETERMINATE RATE",ROUND($Y17*$V17,0)))</f>
        <v/>
      </c>
      <c r="AA17" s="39" t="str">
        <f aca="false">IF(SUM($Y17)=0,"",IF(AND(($Y17-SUM($Z17))&gt;0,$X17=""),"ENTER YIELD RATE",ROUND(($Y17-SUM($Z17))*SUM($X17),0)))</f>
        <v/>
      </c>
      <c r="AB17" s="39" t="str">
        <f aca="false">IF(SUM($Y17)=0,"",$Y17-SUM($Z17)-SUM($AA17))</f>
        <v/>
      </c>
      <c r="AC17" s="10" t="str">
        <f aca="false">IFERROR(1/(1/INDEX(Cascade!$BH:$BH,MATCH($E17,Cascade!$E:$E,0))),"")</f>
        <v/>
      </c>
      <c r="AD17" s="10" t="str">
        <f aca="false">IF(SUM($AA17)=0,"",$AA17)</f>
        <v/>
      </c>
      <c r="AE17" s="10" t="str">
        <f aca="false">IFERROR(1/(1/INDEX(TB!$P:$P,MATCH($E17,TB!$E:$E,0))),"")</f>
        <v/>
      </c>
      <c r="AF17" s="10" t="str">
        <f aca="false">IFERROR(1/(1/(SUM($AC17)-SUM($AD17:$AE17))),"")</f>
        <v/>
      </c>
    </row>
    <row r="18" customFormat="false" ht="15" hidden="false" customHeight="false" outlineLevel="0" collapsed="false">
      <c r="A18" s="0" t="str">
        <f aca="false">INDEX(Prioritization!$D:$D,MATCH($B18,Prioritization!$A:$A,0))</f>
        <v>Military</v>
      </c>
      <c r="B18" s="0" t="s">
        <v>194</v>
      </c>
      <c r="C18" s="0" t="s">
        <v>368</v>
      </c>
      <c r="D18" s="0" t="s">
        <v>48</v>
      </c>
      <c r="E18" s="0" t="str">
        <f aca="false">B18&amp;"|"&amp;C18&amp;"|"&amp;D18</f>
        <v>_Military Malawi [PQZgU9dagaH]|50+|Male</v>
      </c>
      <c r="F18" s="10" t="str">
        <f aca="false">IF(LEFT($B18,4)="_Mil","",INDEX(Cascade!$T:$T,MATCH($E18,Cascade!$E:$E,0)))</f>
        <v/>
      </c>
      <c r="G18" s="10" t="str">
        <f aca="false">IF(LEFT($B18,4)="_Mil","",INDEX(Cascade!$U:$U,MATCH($E18,Cascade!$E:$E,0)))</f>
        <v/>
      </c>
      <c r="H18" s="86" t="str">
        <f aca="false">IF(LEFT($B18,4)="_Mil","",INDEX(Cascade!$W:$W,MATCH($E18,Cascade!$E:$E,0)))</f>
        <v/>
      </c>
      <c r="I18" s="10" t="str">
        <f aca="false">IF(LEFT($B18,4)="_Mil","",INDEX(Cascade!$Z:$Z,MATCH($E18,Cascade!$E:$E,0)))</f>
        <v/>
      </c>
      <c r="J18" s="88" t="str">
        <f aca="false">IF(LEFT($B18,4)="_Mil","",INDEX(Cascade!$AA:$AA,MATCH($E18,Cascade!$E:$E,0)))</f>
        <v/>
      </c>
      <c r="K18" s="10"/>
      <c r="L18" s="10"/>
      <c r="M18" s="39" t="str">
        <f aca="false">IF(LEFT($B18,4)="_Mil","",IFERROR(1/(1/ROUND(INDEX(Spectrum!$N:$N,MATCH(RIGHT($B18,13)&amp;"|"&amp;$C18&amp;"|"&amp;$D18&amp;"|"&amp;M$14&amp;"|"&amp;"CY2023Q3",Spectrum!$R:$R,0)),0)),IF(SUM($L18)=0,"",$L18)))</f>
        <v/>
      </c>
      <c r="N18" s="39" t="str">
        <f aca="false">IF(LEFT($B18,4)="_Mil","",IFERROR(1/(1/ROUND(INDEX(Spectrum!$N:$N,MATCH(RIGHT($B18,13)&amp;"|"&amp;$C18&amp;"|"&amp;$D18&amp;"|"&amp;N$14&amp;"|"&amp;"CY2023Q3",Spectrum!$R:$R,0)),0)),IF(SUM($M18)=0,"",$M18)))</f>
        <v/>
      </c>
      <c r="O18" s="88" t="str">
        <f aca="false">IF(OR(LEFT($B18,4)="_Mil",SUM($F18)=0),"",SUM($N18)/$F18)</f>
        <v/>
      </c>
      <c r="P18" s="88" t="str">
        <f aca="false">IF(OR(LEFT($B18,4)="_Mil",SUM($F18)=0),"",MAX(SUM($O18),80%))</f>
        <v/>
      </c>
      <c r="Q18" s="39" t="str">
        <f aca="false">IF(OR(LEFT($B18,4)="_Mil",SUM($F18)=0),"",ROUND(SUM($F18)*$P18,0))</f>
        <v/>
      </c>
      <c r="R18" s="39" t="str">
        <f aca="false">IF(OR(LEFT($B18,4)="_Mil",SUM($Q18)=0),"",ROUND(MAX($Q18-SUM($N18),0),0))</f>
        <v/>
      </c>
      <c r="S18" s="88" t="str">
        <f aca="false">IF(LEFT($B18,4)="_Mil","",IF(SUM($L18)=0,"",IF(SUM($M18)=0,1,$L18/$M18)))</f>
        <v/>
      </c>
      <c r="T18" s="88" t="n">
        <f aca="false">IF(LEFT($B18,4)="_Mil",0,"")</f>
        <v>0</v>
      </c>
      <c r="U18" s="88"/>
      <c r="V18" s="88" t="str">
        <f aca="false">IF($U18="","",$U18)</f>
        <v/>
      </c>
      <c r="W18" s="88"/>
      <c r="X18" s="88" t="str">
        <f aca="false">IF($W18="","",$W18)</f>
        <v/>
      </c>
      <c r="Y18" s="10" t="str">
        <f aca="false">IF(LEFT($B18,4)="_Mil",IF(SUM($L18)=0,"",ROUND($L18*(1+$T18),0)),IF(SUM($R18)=0,"",IF($S18="","ENTER IN COL S",ROUND($R18*$S18,0))))</f>
        <v/>
      </c>
      <c r="Z18" s="39" t="str">
        <f aca="false">IF(SUM($Y18)=0,"",IF(AND(SUM($Y18)&gt;0,$V18=""),"ENTER INDETERMINATE RATE",ROUND($Y18*$V18,0)))</f>
        <v/>
      </c>
      <c r="AA18" s="39" t="str">
        <f aca="false">IF(SUM($Y18)=0,"",IF(AND(($Y18-SUM($Z18))&gt;0,$X18=""),"ENTER YIELD RATE",ROUND(($Y18-SUM($Z18))*SUM($X18),0)))</f>
        <v/>
      </c>
      <c r="AB18" s="39" t="str">
        <f aca="false">IF(SUM($Y18)=0,"",$Y18-SUM($Z18)-SUM($AA18))</f>
        <v/>
      </c>
      <c r="AC18" s="10" t="str">
        <f aca="false">IFERROR(1/(1/INDEX(Cascade!$BH:$BH,MATCH($E18,Cascade!$E:$E,0))),"")</f>
        <v/>
      </c>
      <c r="AD18" s="10" t="str">
        <f aca="false">IF(SUM($AA18)=0,"",$AA18)</f>
        <v/>
      </c>
      <c r="AE18" s="10" t="str">
        <f aca="false">IFERROR(1/(1/INDEX(TB!$P:$P,MATCH($E18,TB!$E:$E,0))),"")</f>
        <v/>
      </c>
      <c r="AF18" s="10" t="str">
        <f aca="false">IFERROR(1/(1/(SUM($AC18)-SUM($AD18:$AE18))),"")</f>
        <v/>
      </c>
    </row>
    <row r="19" customFormat="false" ht="15" hidden="false" customHeight="false" outlineLevel="0" collapsed="false">
      <c r="A19" s="0" t="str">
        <f aca="false">INDEX(Prioritization!$D:$D,MATCH($B19,Prioritization!$A:$A,0))</f>
        <v>1 - Scale-up: Saturation</v>
      </c>
      <c r="B19" s="0" t="s">
        <v>195</v>
      </c>
      <c r="C19" s="0" t="s">
        <v>365</v>
      </c>
      <c r="D19" s="0" t="s">
        <v>48</v>
      </c>
      <c r="E19" s="0" t="str">
        <f aca="false">B19&amp;"|"&amp;C19&amp;"|"&amp;D19</f>
        <v>Dedza District [PekKUkKHAzY]|15-24|Male</v>
      </c>
      <c r="F19" s="10" t="n">
        <f aca="false">IF(LEFT($B19,4)="_Mil","",INDEX(Cascade!$T:$T,MATCH($E19,Cascade!$E:$E,0)))</f>
        <v>1052</v>
      </c>
      <c r="G19" s="10" t="str">
        <f aca="false">IF(LEFT($B19,4)="_Mil","",INDEX(Cascade!$U:$U,MATCH($E19,Cascade!$E:$E,0)))</f>
        <v/>
      </c>
      <c r="H19" s="86" t="n">
        <f aca="false">IF(LEFT($B19,4)="_Mil","",INDEX(Cascade!$W:$W,MATCH($E19,Cascade!$E:$E,0)))</f>
        <v>1526</v>
      </c>
      <c r="I19" s="10" t="n">
        <f aca="false">IF(LEFT($B19,4)="_Mil","",INDEX(Cascade!$Z:$Z,MATCH($E19,Cascade!$E:$E,0)))</f>
        <v>1120</v>
      </c>
      <c r="J19" s="88" t="n">
        <f aca="false">IF(LEFT($B19,4)="_Mil","",INDEX(Cascade!$AA:$AA,MATCH($E19,Cascade!$E:$E,0)))</f>
        <v>911</v>
      </c>
      <c r="K19" s="10"/>
      <c r="L19" s="10"/>
      <c r="M19" s="39" t="str">
        <f aca="false">IF(LEFT($B19,4)="_Mil","",IFERROR(1/(1/ROUND(INDEX(Spectrum!$N:$N,MATCH(RIGHT($B19,13)&amp;"|"&amp;$C19&amp;"|"&amp;$D19&amp;"|"&amp;M$14&amp;"|"&amp;"CY2023Q3",Spectrum!$R:$R,0)),0)),IF(SUM($L19)=0,"",$L19)))</f>
        <v/>
      </c>
      <c r="N19" s="39" t="str">
        <f aca="false">IF(LEFT($B19,4)="_Mil","",IFERROR(1/(1/ROUND(INDEX(Spectrum!$N:$N,MATCH(RIGHT($B19,13)&amp;"|"&amp;$C19&amp;"|"&amp;$D19&amp;"|"&amp;N$14&amp;"|"&amp;"CY2023Q3",Spectrum!$R:$R,0)),0)),IF(SUM($M19)=0,"",$M19)))</f>
        <v/>
      </c>
      <c r="O19" s="88" t="n">
        <f aca="false">IF(OR(LEFT($B19,4)="_Mil",SUM($F19)=0),"",SUM($N19)/$F19)</f>
        <v>0</v>
      </c>
      <c r="P19" s="88" t="n">
        <f aca="false">IF(OR(LEFT($B19,4)="_Mil",SUM($F19)=0),"",MAX(SUM($O19),80%))</f>
        <v>0.8</v>
      </c>
      <c r="Q19" s="39" t="n">
        <f aca="false">IF(OR(LEFT($B19,4)="_Mil",SUM($F19)=0),"",ROUND(SUM($F19)*$P19,0))</f>
        <v>842</v>
      </c>
      <c r="R19" s="39" t="n">
        <f aca="false">IF(OR(LEFT($B19,4)="_Mil",SUM($Q19)=0),"",ROUND(MAX($Q19-SUM($N19),0),0))</f>
        <v>842</v>
      </c>
      <c r="S19" s="88" t="str">
        <f aca="false">IF(LEFT($B19,4)="_Mil","",IF(SUM($L19)=0,"",IF(SUM($M19)=0,1,$L19/$M19)))</f>
        <v/>
      </c>
      <c r="T19" s="88" t="str">
        <f aca="false">IF(LEFT($B19,4)="_Mil",0,"")</f>
        <v/>
      </c>
      <c r="U19" s="88"/>
      <c r="V19" s="88" t="str">
        <f aca="false">IF($U19="","",$U19)</f>
        <v/>
      </c>
      <c r="W19" s="88"/>
      <c r="X19" s="88" t="str">
        <f aca="false">IF($W19="","",$W19)</f>
        <v/>
      </c>
      <c r="Y19" s="10" t="str">
        <f aca="false">IF(LEFT($B19,4)="_Mil",IF(SUM($L19)=0,"",ROUND($L19*(1+$T19),0)),IF(SUM($R19)=0,"",IF($S19="","ENTER IN COL S",ROUND($R19*$S19,0))))</f>
        <v>ENTER IN COL S</v>
      </c>
      <c r="Z19" s="39" t="str">
        <f aca="false">IF(SUM($Y19)=0,"",IF(AND(SUM($Y19)&gt;0,$V19=""),"ENTER INDETERMINATE RATE",ROUND($Y19*$V19,0)))</f>
        <v/>
      </c>
      <c r="AA19" s="39" t="str">
        <f aca="false">IF(SUM($Y19)=0,"",IF(AND(($Y19-SUM($Z19))&gt;0,$X19=""),"ENTER YIELD RATE",ROUND(($Y19-SUM($Z19))*SUM($X19),0)))</f>
        <v/>
      </c>
      <c r="AB19" s="39" t="str">
        <f aca="false">IF(SUM($Y19)=0,"",$Y19-SUM($Z19)-SUM($AA19))</f>
        <v/>
      </c>
      <c r="AC19" s="10" t="str">
        <f aca="false">IFERROR(1/(1/INDEX(Cascade!$BH:$BH,MATCH($E19,Cascade!$E:$E,0))),"")</f>
        <v/>
      </c>
      <c r="AD19" s="10" t="str">
        <f aca="false">IF(SUM($AA19)=0,"",$AA19)</f>
        <v/>
      </c>
      <c r="AE19" s="10" t="str">
        <f aca="false">IFERROR(1/(1/INDEX(TB!$P:$P,MATCH($E19,TB!$E:$E,0))),"")</f>
        <v/>
      </c>
      <c r="AF19" s="10" t="str">
        <f aca="false">IFERROR(1/(1/(SUM($AC19)-SUM($AD19:$AE19))),"")</f>
        <v/>
      </c>
    </row>
    <row r="20" customFormat="false" ht="15" hidden="false" customHeight="false" outlineLevel="0" collapsed="false">
      <c r="A20" s="0" t="str">
        <f aca="false">INDEX(Prioritization!$D:$D,MATCH($B20,Prioritization!$A:$A,0))</f>
        <v>1 - Scale-up: Saturation</v>
      </c>
      <c r="B20" s="0" t="s">
        <v>195</v>
      </c>
      <c r="C20" s="0" t="s">
        <v>366</v>
      </c>
      <c r="D20" s="0" t="s">
        <v>48</v>
      </c>
      <c r="E20" s="0" t="str">
        <f aca="false">B20&amp;"|"&amp;C20&amp;"|"&amp;D20</f>
        <v>Dedza District [PekKUkKHAzY]|25-34|Male</v>
      </c>
      <c r="F20" s="10" t="n">
        <f aca="false">IF(LEFT($B20,4)="_Mil","",INDEX(Cascade!$T:$T,MATCH($E20,Cascade!$E:$E,0)))</f>
        <v>996</v>
      </c>
      <c r="G20" s="10" t="str">
        <f aca="false">IF(LEFT($B20,4)="_Mil","",INDEX(Cascade!$U:$U,MATCH($E20,Cascade!$E:$E,0)))</f>
        <v/>
      </c>
      <c r="H20" s="86" t="n">
        <f aca="false">IF(LEFT($B20,4)="_Mil","",INDEX(Cascade!$W:$W,MATCH($E20,Cascade!$E:$E,0)))</f>
        <v>1934</v>
      </c>
      <c r="I20" s="10" t="n">
        <f aca="false">IF(LEFT($B20,4)="_Mil","",INDEX(Cascade!$Z:$Z,MATCH($E20,Cascade!$E:$E,0)))</f>
        <v>1762</v>
      </c>
      <c r="J20" s="88" t="n">
        <f aca="false">IF(LEFT($B20,4)="_Mil","",INDEX(Cascade!$AA:$AA,MATCH($E20,Cascade!$E:$E,0)))</f>
        <v>707</v>
      </c>
      <c r="K20" s="10"/>
      <c r="L20" s="10"/>
      <c r="M20" s="39" t="str">
        <f aca="false">IF(LEFT($B20,4)="_Mil","",IFERROR(1/(1/ROUND(INDEX(Spectrum!$N:$N,MATCH(RIGHT($B20,13)&amp;"|"&amp;$C20&amp;"|"&amp;$D20&amp;"|"&amp;M$14&amp;"|"&amp;"CY2023Q3",Spectrum!$R:$R,0)),0)),IF(SUM($L20)=0,"",$L20)))</f>
        <v/>
      </c>
      <c r="N20" s="39" t="str">
        <f aca="false">IF(LEFT($B20,4)="_Mil","",IFERROR(1/(1/ROUND(INDEX(Spectrum!$N:$N,MATCH(RIGHT($B20,13)&amp;"|"&amp;$C20&amp;"|"&amp;$D20&amp;"|"&amp;N$14&amp;"|"&amp;"CY2023Q3",Spectrum!$R:$R,0)),0)),IF(SUM($M20)=0,"",$M20)))</f>
        <v/>
      </c>
      <c r="O20" s="88" t="n">
        <f aca="false">IF(OR(LEFT($B20,4)="_Mil",SUM($F20)=0),"",SUM($N20)/$F20)</f>
        <v>0</v>
      </c>
      <c r="P20" s="88" t="n">
        <f aca="false">IF(OR(LEFT($B20,4)="_Mil",SUM($F20)=0),"",MAX(SUM($O20),80%))</f>
        <v>0.8</v>
      </c>
      <c r="Q20" s="39" t="n">
        <f aca="false">IF(OR(LEFT($B20,4)="_Mil",SUM($F20)=0),"",ROUND(SUM($F20)*$P20,0))</f>
        <v>797</v>
      </c>
      <c r="R20" s="39" t="n">
        <f aca="false">IF(OR(LEFT($B20,4)="_Mil",SUM($Q20)=0),"",ROUND(MAX($Q20-SUM($N20),0),0))</f>
        <v>797</v>
      </c>
      <c r="S20" s="88" t="str">
        <f aca="false">IF(LEFT($B20,4)="_Mil","",IF(SUM($L20)=0,"",IF(SUM($M20)=0,1,$L20/$M20)))</f>
        <v/>
      </c>
      <c r="T20" s="88" t="str">
        <f aca="false">IF(LEFT($B20,4)="_Mil",0,"")</f>
        <v/>
      </c>
      <c r="U20" s="88"/>
      <c r="V20" s="88" t="str">
        <f aca="false">IF($U20="","",$U20)</f>
        <v/>
      </c>
      <c r="W20" s="88"/>
      <c r="X20" s="88" t="str">
        <f aca="false">IF($W20="","",$W20)</f>
        <v/>
      </c>
      <c r="Y20" s="10" t="str">
        <f aca="false">IF(LEFT($B20,4)="_Mil",IF(SUM($L20)=0,"",ROUND($L20*(1+$T20),0)),IF(SUM($R20)=0,"",IF($S20="","ENTER IN COL S",ROUND($R20*$S20,0))))</f>
        <v>ENTER IN COL S</v>
      </c>
      <c r="Z20" s="39" t="str">
        <f aca="false">IF(SUM($Y20)=0,"",IF(AND(SUM($Y20)&gt;0,$V20=""),"ENTER INDETERMINATE RATE",ROUND($Y20*$V20,0)))</f>
        <v/>
      </c>
      <c r="AA20" s="39" t="str">
        <f aca="false">IF(SUM($Y20)=0,"",IF(AND(($Y20-SUM($Z20))&gt;0,$X20=""),"ENTER YIELD RATE",ROUND(($Y20-SUM($Z20))*SUM($X20),0)))</f>
        <v/>
      </c>
      <c r="AB20" s="39" t="str">
        <f aca="false">IF(SUM($Y20)=0,"",$Y20-SUM($Z20)-SUM($AA20))</f>
        <v/>
      </c>
      <c r="AC20" s="10" t="str">
        <f aca="false">IFERROR(1/(1/INDEX(Cascade!$BH:$BH,MATCH($E20,Cascade!$E:$E,0))),"")</f>
        <v/>
      </c>
      <c r="AD20" s="10" t="str">
        <f aca="false">IF(SUM($AA20)=0,"",$AA20)</f>
        <v/>
      </c>
      <c r="AE20" s="10" t="str">
        <f aca="false">IFERROR(1/(1/INDEX(TB!$P:$P,MATCH($E20,TB!$E:$E,0))),"")</f>
        <v/>
      </c>
      <c r="AF20" s="10" t="str">
        <f aca="false">IFERROR(1/(1/(SUM($AC20)-SUM($AD20:$AE20))),"")</f>
        <v/>
      </c>
    </row>
    <row r="21" customFormat="false" ht="15" hidden="false" customHeight="false" outlineLevel="0" collapsed="false">
      <c r="A21" s="0" t="str">
        <f aca="false">INDEX(Prioritization!$D:$D,MATCH($B21,Prioritization!$A:$A,0))</f>
        <v>1 - Scale-up: Saturation</v>
      </c>
      <c r="B21" s="0" t="s">
        <v>195</v>
      </c>
      <c r="C21" s="0" t="s">
        <v>367</v>
      </c>
      <c r="D21" s="0" t="s">
        <v>48</v>
      </c>
      <c r="E21" s="0" t="str">
        <f aca="false">B21&amp;"|"&amp;C21&amp;"|"&amp;D21</f>
        <v>Dedza District [PekKUkKHAzY]|35-49|Male</v>
      </c>
      <c r="F21" s="10" t="n">
        <f aca="false">IF(LEFT($B21,4)="_Mil","",INDEX(Cascade!$T:$T,MATCH($E21,Cascade!$E:$E,0)))</f>
        <v>609</v>
      </c>
      <c r="G21" s="10" t="str">
        <f aca="false">IF(LEFT($B21,4)="_Mil","",INDEX(Cascade!$U:$U,MATCH($E21,Cascade!$E:$E,0)))</f>
        <v/>
      </c>
      <c r="H21" s="86" t="n">
        <f aca="false">IF(LEFT($B21,4)="_Mil","",INDEX(Cascade!$W:$W,MATCH($E21,Cascade!$E:$E,0)))</f>
        <v>1076</v>
      </c>
      <c r="I21" s="10" t="n">
        <f aca="false">IF(LEFT($B21,4)="_Mil","",INDEX(Cascade!$Z:$Z,MATCH($E21,Cascade!$E:$E,0)))</f>
        <v>1855</v>
      </c>
      <c r="J21" s="88" t="n">
        <f aca="false">IF(LEFT($B21,4)="_Mil","",INDEX(Cascade!$AA:$AA,MATCH($E21,Cascade!$E:$E,0)))</f>
        <v>1114</v>
      </c>
      <c r="K21" s="10"/>
      <c r="L21" s="10"/>
      <c r="M21" s="39" t="str">
        <f aca="false">IF(LEFT($B21,4)="_Mil","",IFERROR(1/(1/ROUND(INDEX(Spectrum!$N:$N,MATCH(RIGHT($B21,13)&amp;"|"&amp;$C21&amp;"|"&amp;$D21&amp;"|"&amp;M$14&amp;"|"&amp;"CY2023Q3",Spectrum!$R:$R,0)),0)),IF(SUM($L21)=0,"",$L21)))</f>
        <v/>
      </c>
      <c r="N21" s="39" t="str">
        <f aca="false">IF(LEFT($B21,4)="_Mil","",IFERROR(1/(1/ROUND(INDEX(Spectrum!$N:$N,MATCH(RIGHT($B21,13)&amp;"|"&amp;$C21&amp;"|"&amp;$D21&amp;"|"&amp;N$14&amp;"|"&amp;"CY2023Q3",Spectrum!$R:$R,0)),0)),IF(SUM($M21)=0,"",$M21)))</f>
        <v/>
      </c>
      <c r="O21" s="88" t="n">
        <f aca="false">IF(OR(LEFT($B21,4)="_Mil",SUM($F21)=0),"",SUM($N21)/$F21)</f>
        <v>0</v>
      </c>
      <c r="P21" s="88" t="n">
        <f aca="false">IF(OR(LEFT($B21,4)="_Mil",SUM($F21)=0),"",MAX(SUM($O21),80%))</f>
        <v>0.8</v>
      </c>
      <c r="Q21" s="39" t="n">
        <f aca="false">IF(OR(LEFT($B21,4)="_Mil",SUM($F21)=0),"",ROUND(SUM($F21)*$P21,0))</f>
        <v>487</v>
      </c>
      <c r="R21" s="39" t="n">
        <f aca="false">IF(OR(LEFT($B21,4)="_Mil",SUM($Q21)=0),"",ROUND(MAX($Q21-SUM($N21),0),0))</f>
        <v>487</v>
      </c>
      <c r="S21" s="88" t="str">
        <f aca="false">IF(LEFT($B21,4)="_Mil","",IF(SUM($L21)=0,"",IF(SUM($M21)=0,1,$L21/$M21)))</f>
        <v/>
      </c>
      <c r="T21" s="88" t="str">
        <f aca="false">IF(LEFT($B21,4)="_Mil",0,"")</f>
        <v/>
      </c>
      <c r="U21" s="88"/>
      <c r="V21" s="88" t="str">
        <f aca="false">IF($U21="","",$U21)</f>
        <v/>
      </c>
      <c r="W21" s="88"/>
      <c r="X21" s="88" t="str">
        <f aca="false">IF($W21="","",$W21)</f>
        <v/>
      </c>
      <c r="Y21" s="10" t="str">
        <f aca="false">IF(LEFT($B21,4)="_Mil",IF(SUM($L21)=0,"",ROUND($L21*(1+$T21),0)),IF(SUM($R21)=0,"",IF($S21="","ENTER IN COL S",ROUND($R21*$S21,0))))</f>
        <v>ENTER IN COL S</v>
      </c>
      <c r="Z21" s="39" t="str">
        <f aca="false">IF(SUM($Y21)=0,"",IF(AND(SUM($Y21)&gt;0,$V21=""),"ENTER INDETERMINATE RATE",ROUND($Y21*$V21,0)))</f>
        <v/>
      </c>
      <c r="AA21" s="39" t="str">
        <f aca="false">IF(SUM($Y21)=0,"",IF(AND(($Y21-SUM($Z21))&gt;0,$X21=""),"ENTER YIELD RATE",ROUND(($Y21-SUM($Z21))*SUM($X21),0)))</f>
        <v/>
      </c>
      <c r="AB21" s="39" t="str">
        <f aca="false">IF(SUM($Y21)=0,"",$Y21-SUM($Z21)-SUM($AA21))</f>
        <v/>
      </c>
      <c r="AC21" s="10" t="str">
        <f aca="false">IFERROR(1/(1/INDEX(Cascade!$BH:$BH,MATCH($E21,Cascade!$E:$E,0))),"")</f>
        <v/>
      </c>
      <c r="AD21" s="10" t="str">
        <f aca="false">IF(SUM($AA21)=0,"",$AA21)</f>
        <v/>
      </c>
      <c r="AE21" s="10" t="str">
        <f aca="false">IFERROR(1/(1/INDEX(TB!$P:$P,MATCH($E21,TB!$E:$E,0))),"")</f>
        <v/>
      </c>
      <c r="AF21" s="10" t="str">
        <f aca="false">IFERROR(1/(1/(SUM($AC21)-SUM($AD21:$AE21))),"")</f>
        <v/>
      </c>
    </row>
    <row r="22" customFormat="false" ht="15" hidden="false" customHeight="false" outlineLevel="0" collapsed="false">
      <c r="A22" s="0" t="str">
        <f aca="false">INDEX(Prioritization!$D:$D,MATCH($B22,Prioritization!$A:$A,0))</f>
        <v>1 - Scale-up: Saturation</v>
      </c>
      <c r="B22" s="0" t="s">
        <v>195</v>
      </c>
      <c r="C22" s="0" t="s">
        <v>368</v>
      </c>
      <c r="D22" s="0" t="s">
        <v>48</v>
      </c>
      <c r="E22" s="0" t="str">
        <f aca="false">B22&amp;"|"&amp;C22&amp;"|"&amp;D22</f>
        <v>Dedza District [PekKUkKHAzY]|50+|Male</v>
      </c>
      <c r="F22" s="10" t="n">
        <f aca="false">IF(LEFT($B22,4)="_Mil","",INDEX(Cascade!$T:$T,MATCH($E22,Cascade!$E:$E,0)))</f>
        <v>845</v>
      </c>
      <c r="G22" s="10" t="str">
        <f aca="false">IF(LEFT($B22,4)="_Mil","",INDEX(Cascade!$U:$U,MATCH($E22,Cascade!$E:$E,0)))</f>
        <v/>
      </c>
      <c r="H22" s="86" t="n">
        <f aca="false">IF(LEFT($B22,4)="_Mil","",INDEX(Cascade!$W:$W,MATCH($E22,Cascade!$E:$E,0)))</f>
        <v>1688</v>
      </c>
      <c r="I22" s="10" t="n">
        <f aca="false">IF(LEFT($B22,4)="_Mil","",INDEX(Cascade!$Z:$Z,MATCH($E22,Cascade!$E:$E,0)))</f>
        <v>1805</v>
      </c>
      <c r="J22" s="88" t="n">
        <f aca="false">IF(LEFT($B22,4)="_Mil","",INDEX(Cascade!$AA:$AA,MATCH($E22,Cascade!$E:$E,0)))</f>
        <v>1974</v>
      </c>
      <c r="K22" s="10"/>
      <c r="L22" s="10"/>
      <c r="M22" s="39" t="str">
        <f aca="false">IF(LEFT($B22,4)="_Mil","",IFERROR(1/(1/ROUND(INDEX(Spectrum!$N:$N,MATCH(RIGHT($B22,13)&amp;"|"&amp;$C22&amp;"|"&amp;$D22&amp;"|"&amp;M$14&amp;"|"&amp;"CY2023Q3",Spectrum!$R:$R,0)),0)),IF(SUM($L22)=0,"",$L22)))</f>
        <v/>
      </c>
      <c r="N22" s="39" t="str">
        <f aca="false">IF(LEFT($B22,4)="_Mil","",IFERROR(1/(1/ROUND(INDEX(Spectrum!$N:$N,MATCH(RIGHT($B22,13)&amp;"|"&amp;$C22&amp;"|"&amp;$D22&amp;"|"&amp;N$14&amp;"|"&amp;"CY2023Q3",Spectrum!$R:$R,0)),0)),IF(SUM($M22)=0,"",$M22)))</f>
        <v/>
      </c>
      <c r="O22" s="88" t="n">
        <f aca="false">IF(OR(LEFT($B22,4)="_Mil",SUM($F22)=0),"",SUM($N22)/$F22)</f>
        <v>0</v>
      </c>
      <c r="P22" s="88" t="n">
        <f aca="false">IF(OR(LEFT($B22,4)="_Mil",SUM($F22)=0),"",MAX(SUM($O22),80%))</f>
        <v>0.8</v>
      </c>
      <c r="Q22" s="39" t="n">
        <f aca="false">IF(OR(LEFT($B22,4)="_Mil",SUM($F22)=0),"",ROUND(SUM($F22)*$P22,0))</f>
        <v>676</v>
      </c>
      <c r="R22" s="39" t="n">
        <f aca="false">IF(OR(LEFT($B22,4)="_Mil",SUM($Q22)=0),"",ROUND(MAX($Q22-SUM($N22),0),0))</f>
        <v>676</v>
      </c>
      <c r="S22" s="88" t="str">
        <f aca="false">IF(LEFT($B22,4)="_Mil","",IF(SUM($L22)=0,"",IF(SUM($M22)=0,1,$L22/$M22)))</f>
        <v/>
      </c>
      <c r="T22" s="88" t="str">
        <f aca="false">IF(LEFT($B22,4)="_Mil",0,"")</f>
        <v/>
      </c>
      <c r="U22" s="88"/>
      <c r="V22" s="88" t="str">
        <f aca="false">IF($U22="","",$U22)</f>
        <v/>
      </c>
      <c r="W22" s="88"/>
      <c r="X22" s="88" t="str">
        <f aca="false">IF($W22="","",$W22)</f>
        <v/>
      </c>
      <c r="Y22" s="10" t="str">
        <f aca="false">IF(LEFT($B22,4)="_Mil",IF(SUM($L22)=0,"",ROUND($L22*(1+$T22),0)),IF(SUM($R22)=0,"",IF($S22="","ENTER IN COL S",ROUND($R22*$S22,0))))</f>
        <v>ENTER IN COL S</v>
      </c>
      <c r="Z22" s="39" t="str">
        <f aca="false">IF(SUM($Y22)=0,"",IF(AND(SUM($Y22)&gt;0,$V22=""),"ENTER INDETERMINATE RATE",ROUND($Y22*$V22,0)))</f>
        <v/>
      </c>
      <c r="AA22" s="39" t="str">
        <f aca="false">IF(SUM($Y22)=0,"",IF(AND(($Y22-SUM($Z22))&gt;0,$X22=""),"ENTER YIELD RATE",ROUND(($Y22-SUM($Z22))*SUM($X22),0)))</f>
        <v/>
      </c>
      <c r="AB22" s="39" t="str">
        <f aca="false">IF(SUM($Y22)=0,"",$Y22-SUM($Z22)-SUM($AA22))</f>
        <v/>
      </c>
      <c r="AC22" s="10" t="str">
        <f aca="false">IFERROR(1/(1/INDEX(Cascade!$BH:$BH,MATCH($E22,Cascade!$E:$E,0))),"")</f>
        <v/>
      </c>
      <c r="AD22" s="10" t="str">
        <f aca="false">IF(SUM($AA22)=0,"",$AA22)</f>
        <v/>
      </c>
      <c r="AE22" s="10" t="str">
        <f aca="false">IFERROR(1/(1/INDEX(TB!$P:$P,MATCH($E22,TB!$E:$E,0))),"")</f>
        <v/>
      </c>
      <c r="AF22" s="10" t="str">
        <f aca="false">IFERROR(1/(1/(SUM($AC22)-SUM($AD22:$AE22))),"")</f>
        <v/>
      </c>
    </row>
    <row r="23" customFormat="false" ht="15" hidden="false" customHeight="false" outlineLevel="0" collapsed="false">
      <c r="A23" s="0" t="str">
        <f aca="false">INDEX(Prioritization!$D:$D,MATCH($B23,Prioritization!$A:$A,0))</f>
        <v>1 - Scale-up: Saturation</v>
      </c>
      <c r="B23" s="0" t="s">
        <v>196</v>
      </c>
      <c r="C23" s="0" t="s">
        <v>365</v>
      </c>
      <c r="D23" s="0" t="s">
        <v>48</v>
      </c>
      <c r="E23" s="0" t="str">
        <f aca="false">B23&amp;"|"&amp;C23&amp;"|"&amp;D23</f>
        <v>Dowa District [zphK9WV8JB4]|15-24|Male</v>
      </c>
      <c r="F23" s="10" t="n">
        <f aca="false">IF(LEFT($B23,4)="_Mil","",INDEX(Cascade!$T:$T,MATCH($E23,Cascade!$E:$E,0)))</f>
        <v>1452</v>
      </c>
      <c r="G23" s="10" t="str">
        <f aca="false">IF(LEFT($B23,4)="_Mil","",INDEX(Cascade!$U:$U,MATCH($E23,Cascade!$E:$E,0)))</f>
        <v/>
      </c>
      <c r="H23" s="86" t="n">
        <f aca="false">IF(LEFT($B23,4)="_Mil","",INDEX(Cascade!$W:$W,MATCH($E23,Cascade!$E:$E,0)))</f>
        <v>988</v>
      </c>
      <c r="I23" s="10" t="n">
        <f aca="false">IF(LEFT($B23,4)="_Mil","",INDEX(Cascade!$Z:$Z,MATCH($E23,Cascade!$E:$E,0)))</f>
        <v>1932</v>
      </c>
      <c r="J23" s="88" t="n">
        <f aca="false">IF(LEFT($B23,4)="_Mil","",INDEX(Cascade!$AA:$AA,MATCH($E23,Cascade!$E:$E,0)))</f>
        <v>1202</v>
      </c>
      <c r="K23" s="10"/>
      <c r="L23" s="10"/>
      <c r="M23" s="39" t="str">
        <f aca="false">IF(LEFT($B23,4)="_Mil","",IFERROR(1/(1/ROUND(INDEX(Spectrum!$N:$N,MATCH(RIGHT($B23,13)&amp;"|"&amp;$C23&amp;"|"&amp;$D23&amp;"|"&amp;M$14&amp;"|"&amp;"CY2023Q3",Spectrum!$R:$R,0)),0)),IF(SUM($L23)=0,"",$L23)))</f>
        <v/>
      </c>
      <c r="N23" s="39" t="str">
        <f aca="false">IF(LEFT($B23,4)="_Mil","",IFERROR(1/(1/ROUND(INDEX(Spectrum!$N:$N,MATCH(RIGHT($B23,13)&amp;"|"&amp;$C23&amp;"|"&amp;$D23&amp;"|"&amp;N$14&amp;"|"&amp;"CY2023Q3",Spectrum!$R:$R,0)),0)),IF(SUM($M23)=0,"",$M23)))</f>
        <v/>
      </c>
      <c r="O23" s="88" t="n">
        <f aca="false">IF(OR(LEFT($B23,4)="_Mil",SUM($F23)=0),"",SUM($N23)/$F23)</f>
        <v>0</v>
      </c>
      <c r="P23" s="88" t="n">
        <f aca="false">IF(OR(LEFT($B23,4)="_Mil",SUM($F23)=0),"",MAX(SUM($O23),80%))</f>
        <v>0.8</v>
      </c>
      <c r="Q23" s="39" t="n">
        <f aca="false">IF(OR(LEFT($B23,4)="_Mil",SUM($F23)=0),"",ROUND(SUM($F23)*$P23,0))</f>
        <v>1162</v>
      </c>
      <c r="R23" s="39" t="n">
        <f aca="false">IF(OR(LEFT($B23,4)="_Mil",SUM($Q23)=0),"",ROUND(MAX($Q23-SUM($N23),0),0))</f>
        <v>1162</v>
      </c>
      <c r="S23" s="88" t="str">
        <f aca="false">IF(LEFT($B23,4)="_Mil","",IF(SUM($L23)=0,"",IF(SUM($M23)=0,1,$L23/$M23)))</f>
        <v/>
      </c>
      <c r="T23" s="88" t="str">
        <f aca="false">IF(LEFT($B23,4)="_Mil",0,"")</f>
        <v/>
      </c>
      <c r="U23" s="88"/>
      <c r="V23" s="88" t="str">
        <f aca="false">IF($U23="","",$U23)</f>
        <v/>
      </c>
      <c r="W23" s="88"/>
      <c r="X23" s="88" t="str">
        <f aca="false">IF($W23="","",$W23)</f>
        <v/>
      </c>
      <c r="Y23" s="10" t="str">
        <f aca="false">IF(LEFT($B23,4)="_Mil",IF(SUM($L23)=0,"",ROUND($L23*(1+$T23),0)),IF(SUM($R23)=0,"",IF($S23="","ENTER IN COL S",ROUND($R23*$S23,0))))</f>
        <v>ENTER IN COL S</v>
      </c>
      <c r="Z23" s="39" t="str">
        <f aca="false">IF(SUM($Y23)=0,"",IF(AND(SUM($Y23)&gt;0,$V23=""),"ENTER INDETERMINATE RATE",ROUND($Y23*$V23,0)))</f>
        <v/>
      </c>
      <c r="AA23" s="39" t="str">
        <f aca="false">IF(SUM($Y23)=0,"",IF(AND(($Y23-SUM($Z23))&gt;0,$X23=""),"ENTER YIELD RATE",ROUND(($Y23-SUM($Z23))*SUM($X23),0)))</f>
        <v/>
      </c>
      <c r="AB23" s="39" t="str">
        <f aca="false">IF(SUM($Y23)=0,"",$Y23-SUM($Z23)-SUM($AA23))</f>
        <v/>
      </c>
      <c r="AC23" s="10" t="str">
        <f aca="false">IFERROR(1/(1/INDEX(Cascade!$BH:$BH,MATCH($E23,Cascade!$E:$E,0))),"")</f>
        <v/>
      </c>
      <c r="AD23" s="10" t="str">
        <f aca="false">IF(SUM($AA23)=0,"",$AA23)</f>
        <v/>
      </c>
      <c r="AE23" s="10" t="str">
        <f aca="false">IFERROR(1/(1/INDEX(TB!$P:$P,MATCH($E23,TB!$E:$E,0))),"")</f>
        <v/>
      </c>
      <c r="AF23" s="10" t="str">
        <f aca="false">IFERROR(1/(1/(SUM($AC23)-SUM($AD23:$AE23))),"")</f>
        <v/>
      </c>
    </row>
    <row r="24" customFormat="false" ht="15" hidden="false" customHeight="false" outlineLevel="0" collapsed="false">
      <c r="A24" s="0" t="str">
        <f aca="false">INDEX(Prioritization!$D:$D,MATCH($B24,Prioritization!$A:$A,0))</f>
        <v>1 - Scale-up: Saturation</v>
      </c>
      <c r="B24" s="0" t="s">
        <v>196</v>
      </c>
      <c r="C24" s="0" t="s">
        <v>366</v>
      </c>
      <c r="D24" s="0" t="s">
        <v>48</v>
      </c>
      <c r="E24" s="0" t="str">
        <f aca="false">B24&amp;"|"&amp;C24&amp;"|"&amp;D24</f>
        <v>Dowa District [zphK9WV8JB4]|25-34|Male</v>
      </c>
      <c r="F24" s="10" t="n">
        <f aca="false">IF(LEFT($B24,4)="_Mil","",INDEX(Cascade!$T:$T,MATCH($E24,Cascade!$E:$E,0)))</f>
        <v>902</v>
      </c>
      <c r="G24" s="10" t="str">
        <f aca="false">IF(LEFT($B24,4)="_Mil","",INDEX(Cascade!$U:$U,MATCH($E24,Cascade!$E:$E,0)))</f>
        <v/>
      </c>
      <c r="H24" s="86" t="n">
        <f aca="false">IF(LEFT($B24,4)="_Mil","",INDEX(Cascade!$W:$W,MATCH($E24,Cascade!$E:$E,0)))</f>
        <v>1243</v>
      </c>
      <c r="I24" s="10" t="n">
        <f aca="false">IF(LEFT($B24,4)="_Mil","",INDEX(Cascade!$Z:$Z,MATCH($E24,Cascade!$E:$E,0)))</f>
        <v>1138</v>
      </c>
      <c r="J24" s="88" t="n">
        <f aca="false">IF(LEFT($B24,4)="_Mil","",INDEX(Cascade!$AA:$AA,MATCH($E24,Cascade!$E:$E,0)))</f>
        <v>1826</v>
      </c>
      <c r="K24" s="10"/>
      <c r="L24" s="10"/>
      <c r="M24" s="39" t="str">
        <f aca="false">IF(LEFT($B24,4)="_Mil","",IFERROR(1/(1/ROUND(INDEX(Spectrum!$N:$N,MATCH(RIGHT($B24,13)&amp;"|"&amp;$C24&amp;"|"&amp;$D24&amp;"|"&amp;M$14&amp;"|"&amp;"CY2023Q3",Spectrum!$R:$R,0)),0)),IF(SUM($L24)=0,"",$L24)))</f>
        <v/>
      </c>
      <c r="N24" s="39" t="str">
        <f aca="false">IF(LEFT($B24,4)="_Mil","",IFERROR(1/(1/ROUND(INDEX(Spectrum!$N:$N,MATCH(RIGHT($B24,13)&amp;"|"&amp;$C24&amp;"|"&amp;$D24&amp;"|"&amp;N$14&amp;"|"&amp;"CY2023Q3",Spectrum!$R:$R,0)),0)),IF(SUM($M24)=0,"",$M24)))</f>
        <v/>
      </c>
      <c r="O24" s="88" t="n">
        <f aca="false">IF(OR(LEFT($B24,4)="_Mil",SUM($F24)=0),"",SUM($N24)/$F24)</f>
        <v>0</v>
      </c>
      <c r="P24" s="88" t="n">
        <f aca="false">IF(OR(LEFT($B24,4)="_Mil",SUM($F24)=0),"",MAX(SUM($O24),80%))</f>
        <v>0.8</v>
      </c>
      <c r="Q24" s="39" t="n">
        <f aca="false">IF(OR(LEFT($B24,4)="_Mil",SUM($F24)=0),"",ROUND(SUM($F24)*$P24,0))</f>
        <v>722</v>
      </c>
      <c r="R24" s="39" t="n">
        <f aca="false">IF(OR(LEFT($B24,4)="_Mil",SUM($Q24)=0),"",ROUND(MAX($Q24-SUM($N24),0),0))</f>
        <v>722</v>
      </c>
      <c r="S24" s="88" t="str">
        <f aca="false">IF(LEFT($B24,4)="_Mil","",IF(SUM($L24)=0,"",IF(SUM($M24)=0,1,$L24/$M24)))</f>
        <v/>
      </c>
      <c r="T24" s="88" t="str">
        <f aca="false">IF(LEFT($B24,4)="_Mil",0,"")</f>
        <v/>
      </c>
      <c r="U24" s="88"/>
      <c r="V24" s="88" t="str">
        <f aca="false">IF($U24="","",$U24)</f>
        <v/>
      </c>
      <c r="W24" s="88"/>
      <c r="X24" s="88" t="str">
        <f aca="false">IF($W24="","",$W24)</f>
        <v/>
      </c>
      <c r="Y24" s="10" t="str">
        <f aca="false">IF(LEFT($B24,4)="_Mil",IF(SUM($L24)=0,"",ROUND($L24*(1+$T24),0)),IF(SUM($R24)=0,"",IF($S24="","ENTER IN COL S",ROUND($R24*$S24,0))))</f>
        <v>ENTER IN COL S</v>
      </c>
      <c r="Z24" s="39" t="str">
        <f aca="false">IF(SUM($Y24)=0,"",IF(AND(SUM($Y24)&gt;0,$V24=""),"ENTER INDETERMINATE RATE",ROUND($Y24*$V24,0)))</f>
        <v/>
      </c>
      <c r="AA24" s="39" t="str">
        <f aca="false">IF(SUM($Y24)=0,"",IF(AND(($Y24-SUM($Z24))&gt;0,$X24=""),"ENTER YIELD RATE",ROUND(($Y24-SUM($Z24))*SUM($X24),0)))</f>
        <v/>
      </c>
      <c r="AB24" s="39" t="str">
        <f aca="false">IF(SUM($Y24)=0,"",$Y24-SUM($Z24)-SUM($AA24))</f>
        <v/>
      </c>
      <c r="AC24" s="10" t="str">
        <f aca="false">IFERROR(1/(1/INDEX(Cascade!$BH:$BH,MATCH($E24,Cascade!$E:$E,0))),"")</f>
        <v/>
      </c>
      <c r="AD24" s="10" t="str">
        <f aca="false">IF(SUM($AA24)=0,"",$AA24)</f>
        <v/>
      </c>
      <c r="AE24" s="10" t="str">
        <f aca="false">IFERROR(1/(1/INDEX(TB!$P:$P,MATCH($E24,TB!$E:$E,0))),"")</f>
        <v/>
      </c>
      <c r="AF24" s="10" t="str">
        <f aca="false">IFERROR(1/(1/(SUM($AC24)-SUM($AD24:$AE24))),"")</f>
        <v/>
      </c>
    </row>
    <row r="25" customFormat="false" ht="15" hidden="false" customHeight="false" outlineLevel="0" collapsed="false">
      <c r="A25" s="0" t="str">
        <f aca="false">INDEX(Prioritization!$D:$D,MATCH($B25,Prioritization!$A:$A,0))</f>
        <v>1 - Scale-up: Saturation</v>
      </c>
      <c r="B25" s="0" t="s">
        <v>196</v>
      </c>
      <c r="C25" s="0" t="s">
        <v>367</v>
      </c>
      <c r="D25" s="0" t="s">
        <v>48</v>
      </c>
      <c r="E25" s="0" t="str">
        <f aca="false">B25&amp;"|"&amp;C25&amp;"|"&amp;D25</f>
        <v>Dowa District [zphK9WV8JB4]|35-49|Male</v>
      </c>
      <c r="F25" s="10" t="n">
        <f aca="false">IF(LEFT($B25,4)="_Mil","",INDEX(Cascade!$T:$T,MATCH($E25,Cascade!$E:$E,0)))</f>
        <v>1463</v>
      </c>
      <c r="G25" s="10" t="str">
        <f aca="false">IF(LEFT($B25,4)="_Mil","",INDEX(Cascade!$U:$U,MATCH($E25,Cascade!$E:$E,0)))</f>
        <v/>
      </c>
      <c r="H25" s="86" t="n">
        <f aca="false">IF(LEFT($B25,4)="_Mil","",INDEX(Cascade!$W:$W,MATCH($E25,Cascade!$E:$E,0)))</f>
        <v>532</v>
      </c>
      <c r="I25" s="10" t="n">
        <f aca="false">IF(LEFT($B25,4)="_Mil","",INDEX(Cascade!$Z:$Z,MATCH($E25,Cascade!$E:$E,0)))</f>
        <v>1148</v>
      </c>
      <c r="J25" s="88" t="n">
        <f aca="false">IF(LEFT($B25,4)="_Mil","",INDEX(Cascade!$AA:$AA,MATCH($E25,Cascade!$E:$E,0)))</f>
        <v>1724</v>
      </c>
      <c r="K25" s="10"/>
      <c r="L25" s="10"/>
      <c r="M25" s="39" t="str">
        <f aca="false">IF(LEFT($B25,4)="_Mil","",IFERROR(1/(1/ROUND(INDEX(Spectrum!$N:$N,MATCH(RIGHT($B25,13)&amp;"|"&amp;$C25&amp;"|"&amp;$D25&amp;"|"&amp;M$14&amp;"|"&amp;"CY2023Q3",Spectrum!$R:$R,0)),0)),IF(SUM($L25)=0,"",$L25)))</f>
        <v/>
      </c>
      <c r="N25" s="39" t="str">
        <f aca="false">IF(LEFT($B25,4)="_Mil","",IFERROR(1/(1/ROUND(INDEX(Spectrum!$N:$N,MATCH(RIGHT($B25,13)&amp;"|"&amp;$C25&amp;"|"&amp;$D25&amp;"|"&amp;N$14&amp;"|"&amp;"CY2023Q3",Spectrum!$R:$R,0)),0)),IF(SUM($M25)=0,"",$M25)))</f>
        <v/>
      </c>
      <c r="O25" s="88" t="n">
        <f aca="false">IF(OR(LEFT($B25,4)="_Mil",SUM($F25)=0),"",SUM($N25)/$F25)</f>
        <v>0</v>
      </c>
      <c r="P25" s="88" t="n">
        <f aca="false">IF(OR(LEFT($B25,4)="_Mil",SUM($F25)=0),"",MAX(SUM($O25),80%))</f>
        <v>0.8</v>
      </c>
      <c r="Q25" s="39" t="n">
        <f aca="false">IF(OR(LEFT($B25,4)="_Mil",SUM($F25)=0),"",ROUND(SUM($F25)*$P25,0))</f>
        <v>1170</v>
      </c>
      <c r="R25" s="39" t="n">
        <f aca="false">IF(OR(LEFT($B25,4)="_Mil",SUM($Q25)=0),"",ROUND(MAX($Q25-SUM($N25),0),0))</f>
        <v>1170</v>
      </c>
      <c r="S25" s="88" t="str">
        <f aca="false">IF(LEFT($B25,4)="_Mil","",IF(SUM($L25)=0,"",IF(SUM($M25)=0,1,$L25/$M25)))</f>
        <v/>
      </c>
      <c r="T25" s="88" t="str">
        <f aca="false">IF(LEFT($B25,4)="_Mil",0,"")</f>
        <v/>
      </c>
      <c r="U25" s="88"/>
      <c r="V25" s="88" t="str">
        <f aca="false">IF($U25="","",$U25)</f>
        <v/>
      </c>
      <c r="W25" s="88"/>
      <c r="X25" s="88" t="str">
        <f aca="false">IF($W25="","",$W25)</f>
        <v/>
      </c>
      <c r="Y25" s="10" t="str">
        <f aca="false">IF(LEFT($B25,4)="_Mil",IF(SUM($L25)=0,"",ROUND($L25*(1+$T25),0)),IF(SUM($R25)=0,"",IF($S25="","ENTER IN COL S",ROUND($R25*$S25,0))))</f>
        <v>ENTER IN COL S</v>
      </c>
      <c r="Z25" s="39" t="str">
        <f aca="false">IF(SUM($Y25)=0,"",IF(AND(SUM($Y25)&gt;0,$V25=""),"ENTER INDETERMINATE RATE",ROUND($Y25*$V25,0)))</f>
        <v/>
      </c>
      <c r="AA25" s="39" t="str">
        <f aca="false">IF(SUM($Y25)=0,"",IF(AND(($Y25-SUM($Z25))&gt;0,$X25=""),"ENTER YIELD RATE",ROUND(($Y25-SUM($Z25))*SUM($X25),0)))</f>
        <v/>
      </c>
      <c r="AB25" s="39" t="str">
        <f aca="false">IF(SUM($Y25)=0,"",$Y25-SUM($Z25)-SUM($AA25))</f>
        <v/>
      </c>
      <c r="AC25" s="10" t="str">
        <f aca="false">IFERROR(1/(1/INDEX(Cascade!$BH:$BH,MATCH($E25,Cascade!$E:$E,0))),"")</f>
        <v/>
      </c>
      <c r="AD25" s="10" t="str">
        <f aca="false">IF(SUM($AA25)=0,"",$AA25)</f>
        <v/>
      </c>
      <c r="AE25" s="10" t="str">
        <f aca="false">IFERROR(1/(1/INDEX(TB!$P:$P,MATCH($E25,TB!$E:$E,0))),"")</f>
        <v/>
      </c>
      <c r="AF25" s="10" t="str">
        <f aca="false">IFERROR(1/(1/(SUM($AC25)-SUM($AD25:$AE25))),"")</f>
        <v/>
      </c>
    </row>
    <row r="26" customFormat="false" ht="15" hidden="false" customHeight="false" outlineLevel="0" collapsed="false">
      <c r="A26" s="0" t="str">
        <f aca="false">INDEX(Prioritization!$D:$D,MATCH($B26,Prioritization!$A:$A,0))</f>
        <v>1 - Scale-up: Saturation</v>
      </c>
      <c r="B26" s="0" t="s">
        <v>196</v>
      </c>
      <c r="C26" s="0" t="s">
        <v>368</v>
      </c>
      <c r="D26" s="0" t="s">
        <v>48</v>
      </c>
      <c r="E26" s="0" t="str">
        <f aca="false">B26&amp;"|"&amp;C26&amp;"|"&amp;D26</f>
        <v>Dowa District [zphK9WV8JB4]|50+|Male</v>
      </c>
      <c r="F26" s="10" t="n">
        <f aca="false">IF(LEFT($B26,4)="_Mil","",INDEX(Cascade!$T:$T,MATCH($E26,Cascade!$E:$E,0)))</f>
        <v>816</v>
      </c>
      <c r="G26" s="10" t="str">
        <f aca="false">IF(LEFT($B26,4)="_Mil","",INDEX(Cascade!$U:$U,MATCH($E26,Cascade!$E:$E,0)))</f>
        <v/>
      </c>
      <c r="H26" s="86" t="n">
        <f aca="false">IF(LEFT($B26,4)="_Mil","",INDEX(Cascade!$W:$W,MATCH($E26,Cascade!$E:$E,0)))</f>
        <v>636</v>
      </c>
      <c r="I26" s="10" t="n">
        <f aca="false">IF(LEFT($B26,4)="_Mil","",INDEX(Cascade!$Z:$Z,MATCH($E26,Cascade!$E:$E,0)))</f>
        <v>1982</v>
      </c>
      <c r="J26" s="88" t="n">
        <f aca="false">IF(LEFT($B26,4)="_Mil","",INDEX(Cascade!$AA:$AA,MATCH($E26,Cascade!$E:$E,0)))</f>
        <v>1591</v>
      </c>
      <c r="K26" s="10"/>
      <c r="L26" s="10"/>
      <c r="M26" s="39" t="str">
        <f aca="false">IF(LEFT($B26,4)="_Mil","",IFERROR(1/(1/ROUND(INDEX(Spectrum!$N:$N,MATCH(RIGHT($B26,13)&amp;"|"&amp;$C26&amp;"|"&amp;$D26&amp;"|"&amp;M$14&amp;"|"&amp;"CY2023Q3",Spectrum!$R:$R,0)),0)),IF(SUM($L26)=0,"",$L26)))</f>
        <v/>
      </c>
      <c r="N26" s="39" t="str">
        <f aca="false">IF(LEFT($B26,4)="_Mil","",IFERROR(1/(1/ROUND(INDEX(Spectrum!$N:$N,MATCH(RIGHT($B26,13)&amp;"|"&amp;$C26&amp;"|"&amp;$D26&amp;"|"&amp;N$14&amp;"|"&amp;"CY2023Q3",Spectrum!$R:$R,0)),0)),IF(SUM($M26)=0,"",$M26)))</f>
        <v/>
      </c>
      <c r="O26" s="88" t="n">
        <f aca="false">IF(OR(LEFT($B26,4)="_Mil",SUM($F26)=0),"",SUM($N26)/$F26)</f>
        <v>0</v>
      </c>
      <c r="P26" s="88" t="n">
        <f aca="false">IF(OR(LEFT($B26,4)="_Mil",SUM($F26)=0),"",MAX(SUM($O26),80%))</f>
        <v>0.8</v>
      </c>
      <c r="Q26" s="39" t="n">
        <f aca="false">IF(OR(LEFT($B26,4)="_Mil",SUM($F26)=0),"",ROUND(SUM($F26)*$P26,0))</f>
        <v>653</v>
      </c>
      <c r="R26" s="39" t="n">
        <f aca="false">IF(OR(LEFT($B26,4)="_Mil",SUM($Q26)=0),"",ROUND(MAX($Q26-SUM($N26),0),0))</f>
        <v>653</v>
      </c>
      <c r="S26" s="88" t="str">
        <f aca="false">IF(LEFT($B26,4)="_Mil","",IF(SUM($L26)=0,"",IF(SUM($M26)=0,1,$L26/$M26)))</f>
        <v/>
      </c>
      <c r="T26" s="88" t="str">
        <f aca="false">IF(LEFT($B26,4)="_Mil",0,"")</f>
        <v/>
      </c>
      <c r="U26" s="88"/>
      <c r="V26" s="88" t="str">
        <f aca="false">IF($U26="","",$U26)</f>
        <v/>
      </c>
      <c r="W26" s="88"/>
      <c r="X26" s="88" t="str">
        <f aca="false">IF($W26="","",$W26)</f>
        <v/>
      </c>
      <c r="Y26" s="10" t="str">
        <f aca="false">IF(LEFT($B26,4)="_Mil",IF(SUM($L26)=0,"",ROUND($L26*(1+$T26),0)),IF(SUM($R26)=0,"",IF($S26="","ENTER IN COL S",ROUND($R26*$S26,0))))</f>
        <v>ENTER IN COL S</v>
      </c>
      <c r="Z26" s="39" t="str">
        <f aca="false">IF(SUM($Y26)=0,"",IF(AND(SUM($Y26)&gt;0,$V26=""),"ENTER INDETERMINATE RATE",ROUND($Y26*$V26,0)))</f>
        <v/>
      </c>
      <c r="AA26" s="39" t="str">
        <f aca="false">IF(SUM($Y26)=0,"",IF(AND(($Y26-SUM($Z26))&gt;0,$X26=""),"ENTER YIELD RATE",ROUND(($Y26-SUM($Z26))*SUM($X26),0)))</f>
        <v/>
      </c>
      <c r="AB26" s="39" t="str">
        <f aca="false">IF(SUM($Y26)=0,"",$Y26-SUM($Z26)-SUM($AA26))</f>
        <v/>
      </c>
      <c r="AC26" s="10" t="str">
        <f aca="false">IFERROR(1/(1/INDEX(Cascade!$BH:$BH,MATCH($E26,Cascade!$E:$E,0))),"")</f>
        <v/>
      </c>
      <c r="AD26" s="10" t="str">
        <f aca="false">IF(SUM($AA26)=0,"",$AA26)</f>
        <v/>
      </c>
      <c r="AE26" s="10" t="str">
        <f aca="false">IFERROR(1/(1/INDEX(TB!$P:$P,MATCH($E26,TB!$E:$E,0))),"")</f>
        <v/>
      </c>
      <c r="AF26" s="10" t="str">
        <f aca="false">IFERROR(1/(1/(SUM($AC26)-SUM($AD26:$AE26))),"")</f>
        <v/>
      </c>
    </row>
    <row r="27" customFormat="false" ht="15" hidden="false" customHeight="false" outlineLevel="0" collapsed="false">
      <c r="A27" s="0" t="str">
        <f aca="false">INDEX(Prioritization!$D:$D,MATCH($B27,Prioritization!$A:$A,0))</f>
        <v>INVALID</v>
      </c>
      <c r="B27" s="0" t="s">
        <v>197</v>
      </c>
      <c r="C27" s="0" t="s">
        <v>365</v>
      </c>
      <c r="D27" s="0" t="s">
        <v>48</v>
      </c>
      <c r="E27" s="0" t="str">
        <f aca="false">B27&amp;"|"&amp;C27&amp;"|"&amp;D27</f>
        <v>Kasungu District [JQKLKuVuY61]|15-24|Male</v>
      </c>
      <c r="F27" s="10" t="n">
        <f aca="false">IF(LEFT($B27,4)="_Mil","",INDEX(Cascade!$T:$T,MATCH($E27,Cascade!$E:$E,0)))</f>
        <v>591</v>
      </c>
      <c r="G27" s="10" t="str">
        <f aca="false">IF(LEFT($B27,4)="_Mil","",INDEX(Cascade!$U:$U,MATCH($E27,Cascade!$E:$E,0)))</f>
        <v/>
      </c>
      <c r="H27" s="86" t="n">
        <f aca="false">IF(LEFT($B27,4)="_Mil","",INDEX(Cascade!$W:$W,MATCH($E27,Cascade!$E:$E,0)))</f>
        <v>604</v>
      </c>
      <c r="I27" s="10" t="n">
        <f aca="false">IF(LEFT($B27,4)="_Mil","",INDEX(Cascade!$Z:$Z,MATCH($E27,Cascade!$E:$E,0)))</f>
        <v>1883</v>
      </c>
      <c r="J27" s="88" t="n">
        <f aca="false">IF(LEFT($B27,4)="_Mil","",INDEX(Cascade!$AA:$AA,MATCH($E27,Cascade!$E:$E,0)))</f>
        <v>1382</v>
      </c>
      <c r="K27" s="10"/>
      <c r="L27" s="10"/>
      <c r="M27" s="39" t="str">
        <f aca="false">IF(LEFT($B27,4)="_Mil","",IFERROR(1/(1/ROUND(INDEX(Spectrum!$N:$N,MATCH(RIGHT($B27,13)&amp;"|"&amp;$C27&amp;"|"&amp;$D27&amp;"|"&amp;M$14&amp;"|"&amp;"CY2023Q3",Spectrum!$R:$R,0)),0)),IF(SUM($L27)=0,"",$L27)))</f>
        <v/>
      </c>
      <c r="N27" s="39" t="str">
        <f aca="false">IF(LEFT($B27,4)="_Mil","",IFERROR(1/(1/ROUND(INDEX(Spectrum!$N:$N,MATCH(RIGHT($B27,13)&amp;"|"&amp;$C27&amp;"|"&amp;$D27&amp;"|"&amp;N$14&amp;"|"&amp;"CY2023Q3",Spectrum!$R:$R,0)),0)),IF(SUM($M27)=0,"",$M27)))</f>
        <v/>
      </c>
      <c r="O27" s="88" t="n">
        <f aca="false">IF(OR(LEFT($B27,4)="_Mil",SUM($F27)=0),"",SUM($N27)/$F27)</f>
        <v>0</v>
      </c>
      <c r="P27" s="88" t="n">
        <f aca="false">IF(OR(LEFT($B27,4)="_Mil",SUM($F27)=0),"",MAX(SUM($O27),80%))</f>
        <v>0.8</v>
      </c>
      <c r="Q27" s="39" t="n">
        <f aca="false">IF(OR(LEFT($B27,4)="_Mil",SUM($F27)=0),"",ROUND(SUM($F27)*$P27,0))</f>
        <v>473</v>
      </c>
      <c r="R27" s="39" t="n">
        <f aca="false">IF(OR(LEFT($B27,4)="_Mil",SUM($Q27)=0),"",ROUND(MAX($Q27-SUM($N27),0),0))</f>
        <v>473</v>
      </c>
      <c r="S27" s="88" t="str">
        <f aca="false">IF(LEFT($B27,4)="_Mil","",IF(SUM($L27)=0,"",IF(SUM($M27)=0,1,$L27/$M27)))</f>
        <v/>
      </c>
      <c r="T27" s="88" t="str">
        <f aca="false">IF(LEFT($B27,4)="_Mil",0,"")</f>
        <v/>
      </c>
      <c r="U27" s="88"/>
      <c r="V27" s="88" t="str">
        <f aca="false">IF($U27="","",$U27)</f>
        <v/>
      </c>
      <c r="W27" s="88"/>
      <c r="X27" s="88" t="str">
        <f aca="false">IF($W27="","",$W27)</f>
        <v/>
      </c>
      <c r="Y27" s="10" t="str">
        <f aca="false">IF(LEFT($B27,4)="_Mil",IF(SUM($L27)=0,"",ROUND($L27*(1+$T27),0)),IF(SUM($R27)=0,"",IF($S27="","ENTER IN COL S",ROUND($R27*$S27,0))))</f>
        <v>ENTER IN COL S</v>
      </c>
      <c r="Z27" s="39" t="str">
        <f aca="false">IF(SUM($Y27)=0,"",IF(AND(SUM($Y27)&gt;0,$V27=""),"ENTER INDETERMINATE RATE",ROUND($Y27*$V27,0)))</f>
        <v/>
      </c>
      <c r="AA27" s="39" t="str">
        <f aca="false">IF(SUM($Y27)=0,"",IF(AND(($Y27-SUM($Z27))&gt;0,$X27=""),"ENTER YIELD RATE",ROUND(($Y27-SUM($Z27))*SUM($X27),0)))</f>
        <v/>
      </c>
      <c r="AB27" s="39" t="str">
        <f aca="false">IF(SUM($Y27)=0,"",$Y27-SUM($Z27)-SUM($AA27))</f>
        <v/>
      </c>
      <c r="AC27" s="10" t="str">
        <f aca="false">IFERROR(1/(1/INDEX(Cascade!$BH:$BH,MATCH($E27,Cascade!$E:$E,0))),"")</f>
        <v/>
      </c>
      <c r="AD27" s="10" t="str">
        <f aca="false">IF(SUM($AA27)=0,"",$AA27)</f>
        <v/>
      </c>
      <c r="AE27" s="10" t="str">
        <f aca="false">IFERROR(1/(1/INDEX(TB!$P:$P,MATCH($E27,TB!$E:$E,0))),"")</f>
        <v/>
      </c>
      <c r="AF27" s="10" t="str">
        <f aca="false">IFERROR(1/(1/(SUM($AC27)-SUM($AD27:$AE27))),"")</f>
        <v/>
      </c>
    </row>
    <row r="28" customFormat="false" ht="15" hidden="false" customHeight="false" outlineLevel="0" collapsed="false">
      <c r="A28" s="0" t="str">
        <f aca="false">INDEX(Prioritization!$D:$D,MATCH($B28,Prioritization!$A:$A,0))</f>
        <v>INVALID</v>
      </c>
      <c r="B28" s="0" t="s">
        <v>197</v>
      </c>
      <c r="C28" s="0" t="s">
        <v>366</v>
      </c>
      <c r="D28" s="0" t="s">
        <v>48</v>
      </c>
      <c r="E28" s="0" t="str">
        <f aca="false">B28&amp;"|"&amp;C28&amp;"|"&amp;D28</f>
        <v>Kasungu District [JQKLKuVuY61]|25-34|Male</v>
      </c>
      <c r="F28" s="10" t="n">
        <f aca="false">IF(LEFT($B28,4)="_Mil","",INDEX(Cascade!$T:$T,MATCH($E28,Cascade!$E:$E,0)))</f>
        <v>1929</v>
      </c>
      <c r="G28" s="10" t="str">
        <f aca="false">IF(LEFT($B28,4)="_Mil","",INDEX(Cascade!$U:$U,MATCH($E28,Cascade!$E:$E,0)))</f>
        <v/>
      </c>
      <c r="H28" s="86" t="n">
        <f aca="false">IF(LEFT($B28,4)="_Mil","",INDEX(Cascade!$W:$W,MATCH($E28,Cascade!$E:$E,0)))</f>
        <v>1365</v>
      </c>
      <c r="I28" s="10" t="n">
        <f aca="false">IF(LEFT($B28,4)="_Mil","",INDEX(Cascade!$Z:$Z,MATCH($E28,Cascade!$E:$E,0)))</f>
        <v>999</v>
      </c>
      <c r="J28" s="88" t="n">
        <f aca="false">IF(LEFT($B28,4)="_Mil","",INDEX(Cascade!$AA:$AA,MATCH($E28,Cascade!$E:$E,0)))</f>
        <v>1340</v>
      </c>
      <c r="K28" s="10"/>
      <c r="L28" s="10"/>
      <c r="M28" s="39" t="str">
        <f aca="false">IF(LEFT($B28,4)="_Mil","",IFERROR(1/(1/ROUND(INDEX(Spectrum!$N:$N,MATCH(RIGHT($B28,13)&amp;"|"&amp;$C28&amp;"|"&amp;$D28&amp;"|"&amp;M$14&amp;"|"&amp;"CY2023Q3",Spectrum!$R:$R,0)),0)),IF(SUM($L28)=0,"",$L28)))</f>
        <v/>
      </c>
      <c r="N28" s="39" t="str">
        <f aca="false">IF(LEFT($B28,4)="_Mil","",IFERROR(1/(1/ROUND(INDEX(Spectrum!$N:$N,MATCH(RIGHT($B28,13)&amp;"|"&amp;$C28&amp;"|"&amp;$D28&amp;"|"&amp;N$14&amp;"|"&amp;"CY2023Q3",Spectrum!$R:$R,0)),0)),IF(SUM($M28)=0,"",$M28)))</f>
        <v/>
      </c>
      <c r="O28" s="88" t="n">
        <f aca="false">IF(OR(LEFT($B28,4)="_Mil",SUM($F28)=0),"",SUM($N28)/$F28)</f>
        <v>0</v>
      </c>
      <c r="P28" s="88" t="n">
        <f aca="false">IF(OR(LEFT($B28,4)="_Mil",SUM($F28)=0),"",MAX(SUM($O28),80%))</f>
        <v>0.8</v>
      </c>
      <c r="Q28" s="39" t="n">
        <f aca="false">IF(OR(LEFT($B28,4)="_Mil",SUM($F28)=0),"",ROUND(SUM($F28)*$P28,0))</f>
        <v>1543</v>
      </c>
      <c r="R28" s="39" t="n">
        <f aca="false">IF(OR(LEFT($B28,4)="_Mil",SUM($Q28)=0),"",ROUND(MAX($Q28-SUM($N28),0),0))</f>
        <v>1543</v>
      </c>
      <c r="S28" s="88" t="str">
        <f aca="false">IF(LEFT($B28,4)="_Mil","",IF(SUM($L28)=0,"",IF(SUM($M28)=0,1,$L28/$M28)))</f>
        <v/>
      </c>
      <c r="T28" s="88" t="str">
        <f aca="false">IF(LEFT($B28,4)="_Mil",0,"")</f>
        <v/>
      </c>
      <c r="U28" s="88"/>
      <c r="V28" s="88" t="str">
        <f aca="false">IF($U28="","",$U28)</f>
        <v/>
      </c>
      <c r="W28" s="88"/>
      <c r="X28" s="88" t="str">
        <f aca="false">IF($W28="","",$W28)</f>
        <v/>
      </c>
      <c r="Y28" s="10" t="str">
        <f aca="false">IF(LEFT($B28,4)="_Mil",IF(SUM($L28)=0,"",ROUND($L28*(1+$T28),0)),IF(SUM($R28)=0,"",IF($S28="","ENTER IN COL S",ROUND($R28*$S28,0))))</f>
        <v>ENTER IN COL S</v>
      </c>
      <c r="Z28" s="39" t="str">
        <f aca="false">IF(SUM($Y28)=0,"",IF(AND(SUM($Y28)&gt;0,$V28=""),"ENTER INDETERMINATE RATE",ROUND($Y28*$V28,0)))</f>
        <v/>
      </c>
      <c r="AA28" s="39" t="str">
        <f aca="false">IF(SUM($Y28)=0,"",IF(AND(($Y28-SUM($Z28))&gt;0,$X28=""),"ENTER YIELD RATE",ROUND(($Y28-SUM($Z28))*SUM($X28),0)))</f>
        <v/>
      </c>
      <c r="AB28" s="39" t="str">
        <f aca="false">IF(SUM($Y28)=0,"",$Y28-SUM($Z28)-SUM($AA28))</f>
        <v/>
      </c>
      <c r="AC28" s="10" t="str">
        <f aca="false">IFERROR(1/(1/INDEX(Cascade!$BH:$BH,MATCH($E28,Cascade!$E:$E,0))),"")</f>
        <v/>
      </c>
      <c r="AD28" s="10" t="str">
        <f aca="false">IF(SUM($AA28)=0,"",$AA28)</f>
        <v/>
      </c>
      <c r="AE28" s="10" t="str">
        <f aca="false">IFERROR(1/(1/INDEX(TB!$P:$P,MATCH($E28,TB!$E:$E,0))),"")</f>
        <v/>
      </c>
      <c r="AF28" s="10" t="str">
        <f aca="false">IFERROR(1/(1/(SUM($AC28)-SUM($AD28:$AE28))),"")</f>
        <v/>
      </c>
    </row>
    <row r="29" customFormat="false" ht="15" hidden="false" customHeight="false" outlineLevel="0" collapsed="false">
      <c r="A29" s="0" t="str">
        <f aca="false">INDEX(Prioritization!$D:$D,MATCH($B29,Prioritization!$A:$A,0))</f>
        <v>INVALID</v>
      </c>
      <c r="B29" s="0" t="s">
        <v>197</v>
      </c>
      <c r="C29" s="0" t="s">
        <v>367</v>
      </c>
      <c r="D29" s="0" t="s">
        <v>48</v>
      </c>
      <c r="E29" s="0" t="str">
        <f aca="false">B29&amp;"|"&amp;C29&amp;"|"&amp;D29</f>
        <v>Kasungu District [JQKLKuVuY61]|35-49|Male</v>
      </c>
      <c r="F29" s="10" t="n">
        <f aca="false">IF(LEFT($B29,4)="_Mil","",INDEX(Cascade!$T:$T,MATCH($E29,Cascade!$E:$E,0)))</f>
        <v>1723</v>
      </c>
      <c r="G29" s="10" t="str">
        <f aca="false">IF(LEFT($B29,4)="_Mil","",INDEX(Cascade!$U:$U,MATCH($E29,Cascade!$E:$E,0)))</f>
        <v/>
      </c>
      <c r="H29" s="86" t="n">
        <f aca="false">IF(LEFT($B29,4)="_Mil","",INDEX(Cascade!$W:$W,MATCH($E29,Cascade!$E:$E,0)))</f>
        <v>1408</v>
      </c>
      <c r="I29" s="10" t="n">
        <f aca="false">IF(LEFT($B29,4)="_Mil","",INDEX(Cascade!$Z:$Z,MATCH($E29,Cascade!$E:$E,0)))</f>
        <v>1101</v>
      </c>
      <c r="J29" s="88" t="n">
        <f aca="false">IF(LEFT($B29,4)="_Mil","",INDEX(Cascade!$AA:$AA,MATCH($E29,Cascade!$E:$E,0)))</f>
        <v>1735</v>
      </c>
      <c r="K29" s="10"/>
      <c r="L29" s="10"/>
      <c r="M29" s="39" t="str">
        <f aca="false">IF(LEFT($B29,4)="_Mil","",IFERROR(1/(1/ROUND(INDEX(Spectrum!$N:$N,MATCH(RIGHT($B29,13)&amp;"|"&amp;$C29&amp;"|"&amp;$D29&amp;"|"&amp;M$14&amp;"|"&amp;"CY2023Q3",Spectrum!$R:$R,0)),0)),IF(SUM($L29)=0,"",$L29)))</f>
        <v/>
      </c>
      <c r="N29" s="39" t="str">
        <f aca="false">IF(LEFT($B29,4)="_Mil","",IFERROR(1/(1/ROUND(INDEX(Spectrum!$N:$N,MATCH(RIGHT($B29,13)&amp;"|"&amp;$C29&amp;"|"&amp;$D29&amp;"|"&amp;N$14&amp;"|"&amp;"CY2023Q3",Spectrum!$R:$R,0)),0)),IF(SUM($M29)=0,"",$M29)))</f>
        <v/>
      </c>
      <c r="O29" s="88" t="n">
        <f aca="false">IF(OR(LEFT($B29,4)="_Mil",SUM($F29)=0),"",SUM($N29)/$F29)</f>
        <v>0</v>
      </c>
      <c r="P29" s="88" t="n">
        <f aca="false">IF(OR(LEFT($B29,4)="_Mil",SUM($F29)=0),"",MAX(SUM($O29),80%))</f>
        <v>0.8</v>
      </c>
      <c r="Q29" s="39" t="n">
        <f aca="false">IF(OR(LEFT($B29,4)="_Mil",SUM($F29)=0),"",ROUND(SUM($F29)*$P29,0))</f>
        <v>1378</v>
      </c>
      <c r="R29" s="39" t="n">
        <f aca="false">IF(OR(LEFT($B29,4)="_Mil",SUM($Q29)=0),"",ROUND(MAX($Q29-SUM($N29),0),0))</f>
        <v>1378</v>
      </c>
      <c r="S29" s="88" t="str">
        <f aca="false">IF(LEFT($B29,4)="_Mil","",IF(SUM($L29)=0,"",IF(SUM($M29)=0,1,$L29/$M29)))</f>
        <v/>
      </c>
      <c r="T29" s="88" t="str">
        <f aca="false">IF(LEFT($B29,4)="_Mil",0,"")</f>
        <v/>
      </c>
      <c r="U29" s="88"/>
      <c r="V29" s="88" t="str">
        <f aca="false">IF($U29="","",$U29)</f>
        <v/>
      </c>
      <c r="W29" s="88"/>
      <c r="X29" s="88" t="str">
        <f aca="false">IF($W29="","",$W29)</f>
        <v/>
      </c>
      <c r="Y29" s="10" t="str">
        <f aca="false">IF(LEFT($B29,4)="_Mil",IF(SUM($L29)=0,"",ROUND($L29*(1+$T29),0)),IF(SUM($R29)=0,"",IF($S29="","ENTER IN COL S",ROUND($R29*$S29,0))))</f>
        <v>ENTER IN COL S</v>
      </c>
      <c r="Z29" s="39" t="str">
        <f aca="false">IF(SUM($Y29)=0,"",IF(AND(SUM($Y29)&gt;0,$V29=""),"ENTER INDETERMINATE RATE",ROUND($Y29*$V29,0)))</f>
        <v/>
      </c>
      <c r="AA29" s="39" t="str">
        <f aca="false">IF(SUM($Y29)=0,"",IF(AND(($Y29-SUM($Z29))&gt;0,$X29=""),"ENTER YIELD RATE",ROUND(($Y29-SUM($Z29))*SUM($X29),0)))</f>
        <v/>
      </c>
      <c r="AB29" s="39" t="str">
        <f aca="false">IF(SUM($Y29)=0,"",$Y29-SUM($Z29)-SUM($AA29))</f>
        <v/>
      </c>
      <c r="AC29" s="10" t="str">
        <f aca="false">IFERROR(1/(1/INDEX(Cascade!$BH:$BH,MATCH($E29,Cascade!$E:$E,0))),"")</f>
        <v/>
      </c>
      <c r="AD29" s="10" t="str">
        <f aca="false">IF(SUM($AA29)=0,"",$AA29)</f>
        <v/>
      </c>
      <c r="AE29" s="10" t="str">
        <f aca="false">IFERROR(1/(1/INDEX(TB!$P:$P,MATCH($E29,TB!$E:$E,0))),"")</f>
        <v/>
      </c>
      <c r="AF29" s="10" t="str">
        <f aca="false">IFERROR(1/(1/(SUM($AC29)-SUM($AD29:$AE29))),"")</f>
        <v/>
      </c>
    </row>
    <row r="30" customFormat="false" ht="15" hidden="false" customHeight="false" outlineLevel="0" collapsed="false">
      <c r="A30" s="0" t="str">
        <f aca="false">INDEX(Prioritization!$D:$D,MATCH($B30,Prioritization!$A:$A,0))</f>
        <v>INVALID</v>
      </c>
      <c r="B30" s="0" t="s">
        <v>197</v>
      </c>
      <c r="C30" s="0" t="s">
        <v>368</v>
      </c>
      <c r="D30" s="0" t="s">
        <v>48</v>
      </c>
      <c r="E30" s="0" t="str">
        <f aca="false">B30&amp;"|"&amp;C30&amp;"|"&amp;D30</f>
        <v>Kasungu District [JQKLKuVuY61]|50+|Male</v>
      </c>
      <c r="F30" s="10" t="n">
        <f aca="false">IF(LEFT($B30,4)="_Mil","",INDEX(Cascade!$T:$T,MATCH($E30,Cascade!$E:$E,0)))</f>
        <v>963</v>
      </c>
      <c r="G30" s="10" t="str">
        <f aca="false">IF(LEFT($B30,4)="_Mil","",INDEX(Cascade!$U:$U,MATCH($E30,Cascade!$E:$E,0)))</f>
        <v/>
      </c>
      <c r="H30" s="86" t="n">
        <f aca="false">IF(LEFT($B30,4)="_Mil","",INDEX(Cascade!$W:$W,MATCH($E30,Cascade!$E:$E,0)))</f>
        <v>580</v>
      </c>
      <c r="I30" s="10" t="n">
        <f aca="false">IF(LEFT($B30,4)="_Mil","",INDEX(Cascade!$Z:$Z,MATCH($E30,Cascade!$E:$E,0)))</f>
        <v>932</v>
      </c>
      <c r="J30" s="88" t="n">
        <f aca="false">IF(LEFT($B30,4)="_Mil","",INDEX(Cascade!$AA:$AA,MATCH($E30,Cascade!$E:$E,0)))</f>
        <v>501</v>
      </c>
      <c r="K30" s="10"/>
      <c r="L30" s="10"/>
      <c r="M30" s="39" t="str">
        <f aca="false">IF(LEFT($B30,4)="_Mil","",IFERROR(1/(1/ROUND(INDEX(Spectrum!$N:$N,MATCH(RIGHT($B30,13)&amp;"|"&amp;$C30&amp;"|"&amp;$D30&amp;"|"&amp;M$14&amp;"|"&amp;"CY2023Q3",Spectrum!$R:$R,0)),0)),IF(SUM($L30)=0,"",$L30)))</f>
        <v/>
      </c>
      <c r="N30" s="39" t="str">
        <f aca="false">IF(LEFT($B30,4)="_Mil","",IFERROR(1/(1/ROUND(INDEX(Spectrum!$N:$N,MATCH(RIGHT($B30,13)&amp;"|"&amp;$C30&amp;"|"&amp;$D30&amp;"|"&amp;N$14&amp;"|"&amp;"CY2023Q3",Spectrum!$R:$R,0)),0)),IF(SUM($M30)=0,"",$M30)))</f>
        <v/>
      </c>
      <c r="O30" s="88" t="n">
        <f aca="false">IF(OR(LEFT($B30,4)="_Mil",SUM($F30)=0),"",SUM($N30)/$F30)</f>
        <v>0</v>
      </c>
      <c r="P30" s="88" t="n">
        <f aca="false">IF(OR(LEFT($B30,4)="_Mil",SUM($F30)=0),"",MAX(SUM($O30),80%))</f>
        <v>0.8</v>
      </c>
      <c r="Q30" s="39" t="n">
        <f aca="false">IF(OR(LEFT($B30,4)="_Mil",SUM($F30)=0),"",ROUND(SUM($F30)*$P30,0))</f>
        <v>770</v>
      </c>
      <c r="R30" s="39" t="n">
        <f aca="false">IF(OR(LEFT($B30,4)="_Mil",SUM($Q30)=0),"",ROUND(MAX($Q30-SUM($N30),0),0))</f>
        <v>770</v>
      </c>
      <c r="S30" s="88" t="str">
        <f aca="false">IF(LEFT($B30,4)="_Mil","",IF(SUM($L30)=0,"",IF(SUM($M30)=0,1,$L30/$M30)))</f>
        <v/>
      </c>
      <c r="T30" s="88" t="str">
        <f aca="false">IF(LEFT($B30,4)="_Mil",0,"")</f>
        <v/>
      </c>
      <c r="U30" s="88"/>
      <c r="V30" s="88" t="str">
        <f aca="false">IF($U30="","",$U30)</f>
        <v/>
      </c>
      <c r="W30" s="88"/>
      <c r="X30" s="88" t="str">
        <f aca="false">IF($W30="","",$W30)</f>
        <v/>
      </c>
      <c r="Y30" s="10" t="str">
        <f aca="false">IF(LEFT($B30,4)="_Mil",IF(SUM($L30)=0,"",ROUND($L30*(1+$T30),0)),IF(SUM($R30)=0,"",IF($S30="","ENTER IN COL S",ROUND($R30*$S30,0))))</f>
        <v>ENTER IN COL S</v>
      </c>
      <c r="Z30" s="39" t="str">
        <f aca="false">IF(SUM($Y30)=0,"",IF(AND(SUM($Y30)&gt;0,$V30=""),"ENTER INDETERMINATE RATE",ROUND($Y30*$V30,0)))</f>
        <v/>
      </c>
      <c r="AA30" s="39" t="str">
        <f aca="false">IF(SUM($Y30)=0,"",IF(AND(($Y30-SUM($Z30))&gt;0,$X30=""),"ENTER YIELD RATE",ROUND(($Y30-SUM($Z30))*SUM($X30),0)))</f>
        <v/>
      </c>
      <c r="AB30" s="39" t="str">
        <f aca="false">IF(SUM($Y30)=0,"",$Y30-SUM($Z30)-SUM($AA30))</f>
        <v/>
      </c>
      <c r="AC30" s="10" t="str">
        <f aca="false">IFERROR(1/(1/INDEX(Cascade!$BH:$BH,MATCH($E30,Cascade!$E:$E,0))),"")</f>
        <v/>
      </c>
      <c r="AD30" s="10" t="str">
        <f aca="false">IF(SUM($AA30)=0,"",$AA30)</f>
        <v/>
      </c>
      <c r="AE30" s="10" t="str">
        <f aca="false">IFERROR(1/(1/INDEX(TB!$P:$P,MATCH($E30,TB!$E:$E,0))),"")</f>
        <v/>
      </c>
      <c r="AF30" s="10" t="str">
        <f aca="false">IFERROR(1/(1/(SUM($AC30)-SUM($AD30:$AE30))),"")</f>
        <v/>
      </c>
    </row>
    <row r="31" customFormat="false" ht="15" hidden="false" customHeight="false" outlineLevel="0" collapsed="false">
      <c r="A31" s="0" t="str">
        <f aca="false">INDEX(Prioritization!$D:$D,MATCH($B31,Prioritization!$A:$A,0))</f>
        <v>1 - Scale-up: Saturation</v>
      </c>
      <c r="B31" s="0" t="s">
        <v>198</v>
      </c>
      <c r="C31" s="0" t="s">
        <v>365</v>
      </c>
      <c r="D31" s="0" t="s">
        <v>48</v>
      </c>
      <c r="E31" s="0" t="str">
        <f aca="false">B31&amp;"|"&amp;C31&amp;"|"&amp;D31</f>
        <v>Lilongwe District [ScR9iFKAasW]|15-24|Male</v>
      </c>
      <c r="F31" s="10" t="n">
        <f aca="false">IF(LEFT($B31,4)="_Mil","",INDEX(Cascade!$T:$T,MATCH($E31,Cascade!$E:$E,0)))</f>
        <v>1493</v>
      </c>
      <c r="G31" s="10" t="str">
        <f aca="false">IF(LEFT($B31,4)="_Mil","",INDEX(Cascade!$U:$U,MATCH($E31,Cascade!$E:$E,0)))</f>
        <v/>
      </c>
      <c r="H31" s="86" t="n">
        <f aca="false">IF(LEFT($B31,4)="_Mil","",INDEX(Cascade!$W:$W,MATCH($E31,Cascade!$E:$E,0)))</f>
        <v>1947</v>
      </c>
      <c r="I31" s="10" t="n">
        <f aca="false">IF(LEFT($B31,4)="_Mil","",INDEX(Cascade!$Z:$Z,MATCH($E31,Cascade!$E:$E,0)))</f>
        <v>822</v>
      </c>
      <c r="J31" s="88" t="n">
        <f aca="false">IF(LEFT($B31,4)="_Mil","",INDEX(Cascade!$AA:$AA,MATCH($E31,Cascade!$E:$E,0)))</f>
        <v>590</v>
      </c>
      <c r="K31" s="10"/>
      <c r="L31" s="10"/>
      <c r="M31" s="39" t="str">
        <f aca="false">IF(LEFT($B31,4)="_Mil","",IFERROR(1/(1/ROUND(INDEX(Spectrum!$N:$N,MATCH(RIGHT($B31,13)&amp;"|"&amp;$C31&amp;"|"&amp;$D31&amp;"|"&amp;M$14&amp;"|"&amp;"CY2023Q3",Spectrum!$R:$R,0)),0)),IF(SUM($L31)=0,"",$L31)))</f>
        <v/>
      </c>
      <c r="N31" s="39" t="str">
        <f aca="false">IF(LEFT($B31,4)="_Mil","",IFERROR(1/(1/ROUND(INDEX(Spectrum!$N:$N,MATCH(RIGHT($B31,13)&amp;"|"&amp;$C31&amp;"|"&amp;$D31&amp;"|"&amp;N$14&amp;"|"&amp;"CY2023Q3",Spectrum!$R:$R,0)),0)),IF(SUM($M31)=0,"",$M31)))</f>
        <v/>
      </c>
      <c r="O31" s="88" t="n">
        <f aca="false">IF(OR(LEFT($B31,4)="_Mil",SUM($F31)=0),"",SUM($N31)/$F31)</f>
        <v>0</v>
      </c>
      <c r="P31" s="88" t="n">
        <f aca="false">IF(OR(LEFT($B31,4)="_Mil",SUM($F31)=0),"",MAX(SUM($O31),80%))</f>
        <v>0.8</v>
      </c>
      <c r="Q31" s="39" t="n">
        <f aca="false">IF(OR(LEFT($B31,4)="_Mil",SUM($F31)=0),"",ROUND(SUM($F31)*$P31,0))</f>
        <v>1194</v>
      </c>
      <c r="R31" s="39" t="n">
        <f aca="false">IF(OR(LEFT($B31,4)="_Mil",SUM($Q31)=0),"",ROUND(MAX($Q31-SUM($N31),0),0))</f>
        <v>1194</v>
      </c>
      <c r="S31" s="88" t="str">
        <f aca="false">IF(LEFT($B31,4)="_Mil","",IF(SUM($L31)=0,"",IF(SUM($M31)=0,1,$L31/$M31)))</f>
        <v/>
      </c>
      <c r="T31" s="88" t="str">
        <f aca="false">IF(LEFT($B31,4)="_Mil",0,"")</f>
        <v/>
      </c>
      <c r="U31" s="88"/>
      <c r="V31" s="88" t="str">
        <f aca="false">IF($U31="","",$U31)</f>
        <v/>
      </c>
      <c r="W31" s="88"/>
      <c r="X31" s="88" t="str">
        <f aca="false">IF($W31="","",$W31)</f>
        <v/>
      </c>
      <c r="Y31" s="10" t="str">
        <f aca="false">IF(LEFT($B31,4)="_Mil",IF(SUM($L31)=0,"",ROUND($L31*(1+$T31),0)),IF(SUM($R31)=0,"",IF($S31="","ENTER IN COL S",ROUND($R31*$S31,0))))</f>
        <v>ENTER IN COL S</v>
      </c>
      <c r="Z31" s="39" t="str">
        <f aca="false">IF(SUM($Y31)=0,"",IF(AND(SUM($Y31)&gt;0,$V31=""),"ENTER INDETERMINATE RATE",ROUND($Y31*$V31,0)))</f>
        <v/>
      </c>
      <c r="AA31" s="39" t="str">
        <f aca="false">IF(SUM($Y31)=0,"",IF(AND(($Y31-SUM($Z31))&gt;0,$X31=""),"ENTER YIELD RATE",ROUND(($Y31-SUM($Z31))*SUM($X31),0)))</f>
        <v/>
      </c>
      <c r="AB31" s="39" t="str">
        <f aca="false">IF(SUM($Y31)=0,"",$Y31-SUM($Z31)-SUM($AA31))</f>
        <v/>
      </c>
      <c r="AC31" s="10" t="str">
        <f aca="false">IFERROR(1/(1/INDEX(Cascade!$BH:$BH,MATCH($E31,Cascade!$E:$E,0))),"")</f>
        <v/>
      </c>
      <c r="AD31" s="10" t="str">
        <f aca="false">IF(SUM($AA31)=0,"",$AA31)</f>
        <v/>
      </c>
      <c r="AE31" s="10" t="str">
        <f aca="false">IFERROR(1/(1/INDEX(TB!$P:$P,MATCH($E31,TB!$E:$E,0))),"")</f>
        <v/>
      </c>
      <c r="AF31" s="10" t="str">
        <f aca="false">IFERROR(1/(1/(SUM($AC31)-SUM($AD31:$AE31))),"")</f>
        <v/>
      </c>
    </row>
    <row r="32" customFormat="false" ht="15" hidden="false" customHeight="false" outlineLevel="0" collapsed="false">
      <c r="A32" s="0" t="str">
        <f aca="false">INDEX(Prioritization!$D:$D,MATCH($B32,Prioritization!$A:$A,0))</f>
        <v>1 - Scale-up: Saturation</v>
      </c>
      <c r="B32" s="0" t="s">
        <v>198</v>
      </c>
      <c r="C32" s="0" t="s">
        <v>366</v>
      </c>
      <c r="D32" s="0" t="s">
        <v>48</v>
      </c>
      <c r="E32" s="0" t="str">
        <f aca="false">B32&amp;"|"&amp;C32&amp;"|"&amp;D32</f>
        <v>Lilongwe District [ScR9iFKAasW]|25-34|Male</v>
      </c>
      <c r="F32" s="10" t="n">
        <f aca="false">IF(LEFT($B32,4)="_Mil","",INDEX(Cascade!$T:$T,MATCH($E32,Cascade!$E:$E,0)))</f>
        <v>1287</v>
      </c>
      <c r="G32" s="10" t="str">
        <f aca="false">IF(LEFT($B32,4)="_Mil","",INDEX(Cascade!$U:$U,MATCH($E32,Cascade!$E:$E,0)))</f>
        <v/>
      </c>
      <c r="H32" s="86" t="n">
        <f aca="false">IF(LEFT($B32,4)="_Mil","",INDEX(Cascade!$W:$W,MATCH($E32,Cascade!$E:$E,0)))</f>
        <v>1679</v>
      </c>
      <c r="I32" s="10" t="n">
        <f aca="false">IF(LEFT($B32,4)="_Mil","",INDEX(Cascade!$Z:$Z,MATCH($E32,Cascade!$E:$E,0)))</f>
        <v>1927</v>
      </c>
      <c r="J32" s="88" t="n">
        <f aca="false">IF(LEFT($B32,4)="_Mil","",INDEX(Cascade!$AA:$AA,MATCH($E32,Cascade!$E:$E,0)))</f>
        <v>1520</v>
      </c>
      <c r="K32" s="10"/>
      <c r="L32" s="10"/>
      <c r="M32" s="39" t="str">
        <f aca="false">IF(LEFT($B32,4)="_Mil","",IFERROR(1/(1/ROUND(INDEX(Spectrum!$N:$N,MATCH(RIGHT($B32,13)&amp;"|"&amp;$C32&amp;"|"&amp;$D32&amp;"|"&amp;M$14&amp;"|"&amp;"CY2023Q3",Spectrum!$R:$R,0)),0)),IF(SUM($L32)=0,"",$L32)))</f>
        <v/>
      </c>
      <c r="N32" s="39" t="str">
        <f aca="false">IF(LEFT($B32,4)="_Mil","",IFERROR(1/(1/ROUND(INDEX(Spectrum!$N:$N,MATCH(RIGHT($B32,13)&amp;"|"&amp;$C32&amp;"|"&amp;$D32&amp;"|"&amp;N$14&amp;"|"&amp;"CY2023Q3",Spectrum!$R:$R,0)),0)),IF(SUM($M32)=0,"",$M32)))</f>
        <v/>
      </c>
      <c r="O32" s="88" t="n">
        <f aca="false">IF(OR(LEFT($B32,4)="_Mil",SUM($F32)=0),"",SUM($N32)/$F32)</f>
        <v>0</v>
      </c>
      <c r="P32" s="88" t="n">
        <f aca="false">IF(OR(LEFT($B32,4)="_Mil",SUM($F32)=0),"",MAX(SUM($O32),80%))</f>
        <v>0.8</v>
      </c>
      <c r="Q32" s="39" t="n">
        <f aca="false">IF(OR(LEFT($B32,4)="_Mil",SUM($F32)=0),"",ROUND(SUM($F32)*$P32,0))</f>
        <v>1030</v>
      </c>
      <c r="R32" s="39" t="n">
        <f aca="false">IF(OR(LEFT($B32,4)="_Mil",SUM($Q32)=0),"",ROUND(MAX($Q32-SUM($N32),0),0))</f>
        <v>1030</v>
      </c>
      <c r="S32" s="88" t="str">
        <f aca="false">IF(LEFT($B32,4)="_Mil","",IF(SUM($L32)=0,"",IF(SUM($M32)=0,1,$L32/$M32)))</f>
        <v/>
      </c>
      <c r="T32" s="88" t="str">
        <f aca="false">IF(LEFT($B32,4)="_Mil",0,"")</f>
        <v/>
      </c>
      <c r="U32" s="88"/>
      <c r="V32" s="88" t="str">
        <f aca="false">IF($U32="","",$U32)</f>
        <v/>
      </c>
      <c r="W32" s="88"/>
      <c r="X32" s="88" t="str">
        <f aca="false">IF($W32="","",$W32)</f>
        <v/>
      </c>
      <c r="Y32" s="10" t="str">
        <f aca="false">IF(LEFT($B32,4)="_Mil",IF(SUM($L32)=0,"",ROUND($L32*(1+$T32),0)),IF(SUM($R32)=0,"",IF($S32="","ENTER IN COL S",ROUND($R32*$S32,0))))</f>
        <v>ENTER IN COL S</v>
      </c>
      <c r="Z32" s="39" t="str">
        <f aca="false">IF(SUM($Y32)=0,"",IF(AND(SUM($Y32)&gt;0,$V32=""),"ENTER INDETERMINATE RATE",ROUND($Y32*$V32,0)))</f>
        <v/>
      </c>
      <c r="AA32" s="39" t="str">
        <f aca="false">IF(SUM($Y32)=0,"",IF(AND(($Y32-SUM($Z32))&gt;0,$X32=""),"ENTER YIELD RATE",ROUND(($Y32-SUM($Z32))*SUM($X32),0)))</f>
        <v/>
      </c>
      <c r="AB32" s="39" t="str">
        <f aca="false">IF(SUM($Y32)=0,"",$Y32-SUM($Z32)-SUM($AA32))</f>
        <v/>
      </c>
      <c r="AC32" s="10" t="str">
        <f aca="false">IFERROR(1/(1/INDEX(Cascade!$BH:$BH,MATCH($E32,Cascade!$E:$E,0))),"")</f>
        <v/>
      </c>
      <c r="AD32" s="10" t="str">
        <f aca="false">IF(SUM($AA32)=0,"",$AA32)</f>
        <v/>
      </c>
      <c r="AE32" s="10" t="str">
        <f aca="false">IFERROR(1/(1/INDEX(TB!$P:$P,MATCH($E32,TB!$E:$E,0))),"")</f>
        <v/>
      </c>
      <c r="AF32" s="10" t="str">
        <f aca="false">IFERROR(1/(1/(SUM($AC32)-SUM($AD32:$AE32))),"")</f>
        <v/>
      </c>
    </row>
    <row r="33" customFormat="false" ht="15" hidden="false" customHeight="false" outlineLevel="0" collapsed="false">
      <c r="A33" s="0" t="str">
        <f aca="false">INDEX(Prioritization!$D:$D,MATCH($B33,Prioritization!$A:$A,0))</f>
        <v>1 - Scale-up: Saturation</v>
      </c>
      <c r="B33" s="0" t="s">
        <v>198</v>
      </c>
      <c r="C33" s="0" t="s">
        <v>367</v>
      </c>
      <c r="D33" s="0" t="s">
        <v>48</v>
      </c>
      <c r="E33" s="0" t="str">
        <f aca="false">B33&amp;"|"&amp;C33&amp;"|"&amp;D33</f>
        <v>Lilongwe District [ScR9iFKAasW]|35-49|Male</v>
      </c>
      <c r="F33" s="10" t="n">
        <f aca="false">IF(LEFT($B33,4)="_Mil","",INDEX(Cascade!$T:$T,MATCH($E33,Cascade!$E:$E,0)))</f>
        <v>1945</v>
      </c>
      <c r="G33" s="10" t="str">
        <f aca="false">IF(LEFT($B33,4)="_Mil","",INDEX(Cascade!$U:$U,MATCH($E33,Cascade!$E:$E,0)))</f>
        <v/>
      </c>
      <c r="H33" s="86" t="n">
        <f aca="false">IF(LEFT($B33,4)="_Mil","",INDEX(Cascade!$W:$W,MATCH($E33,Cascade!$E:$E,0)))</f>
        <v>727</v>
      </c>
      <c r="I33" s="10" t="n">
        <f aca="false">IF(LEFT($B33,4)="_Mil","",INDEX(Cascade!$Z:$Z,MATCH($E33,Cascade!$E:$E,0)))</f>
        <v>1900</v>
      </c>
      <c r="J33" s="88" t="n">
        <f aca="false">IF(LEFT($B33,4)="_Mil","",INDEX(Cascade!$AA:$AA,MATCH($E33,Cascade!$E:$E,0)))</f>
        <v>1735</v>
      </c>
      <c r="K33" s="10"/>
      <c r="L33" s="10"/>
      <c r="M33" s="39" t="str">
        <f aca="false">IF(LEFT($B33,4)="_Mil","",IFERROR(1/(1/ROUND(INDEX(Spectrum!$N:$N,MATCH(RIGHT($B33,13)&amp;"|"&amp;$C33&amp;"|"&amp;$D33&amp;"|"&amp;M$14&amp;"|"&amp;"CY2023Q3",Spectrum!$R:$R,0)),0)),IF(SUM($L33)=0,"",$L33)))</f>
        <v/>
      </c>
      <c r="N33" s="39" t="str">
        <f aca="false">IF(LEFT($B33,4)="_Mil","",IFERROR(1/(1/ROUND(INDEX(Spectrum!$N:$N,MATCH(RIGHT($B33,13)&amp;"|"&amp;$C33&amp;"|"&amp;$D33&amp;"|"&amp;N$14&amp;"|"&amp;"CY2023Q3",Spectrum!$R:$R,0)),0)),IF(SUM($M33)=0,"",$M33)))</f>
        <v/>
      </c>
      <c r="O33" s="88" t="n">
        <f aca="false">IF(OR(LEFT($B33,4)="_Mil",SUM($F33)=0),"",SUM($N33)/$F33)</f>
        <v>0</v>
      </c>
      <c r="P33" s="88" t="n">
        <f aca="false">IF(OR(LEFT($B33,4)="_Mil",SUM($F33)=0),"",MAX(SUM($O33),80%))</f>
        <v>0.8</v>
      </c>
      <c r="Q33" s="39" t="n">
        <f aca="false">IF(OR(LEFT($B33,4)="_Mil",SUM($F33)=0),"",ROUND(SUM($F33)*$P33,0))</f>
        <v>1556</v>
      </c>
      <c r="R33" s="39" t="n">
        <f aca="false">IF(OR(LEFT($B33,4)="_Mil",SUM($Q33)=0),"",ROUND(MAX($Q33-SUM($N33),0),0))</f>
        <v>1556</v>
      </c>
      <c r="S33" s="88" t="str">
        <f aca="false">IF(LEFT($B33,4)="_Mil","",IF(SUM($L33)=0,"",IF(SUM($M33)=0,1,$L33/$M33)))</f>
        <v/>
      </c>
      <c r="T33" s="88" t="str">
        <f aca="false">IF(LEFT($B33,4)="_Mil",0,"")</f>
        <v/>
      </c>
      <c r="U33" s="88"/>
      <c r="V33" s="88" t="str">
        <f aca="false">IF($U33="","",$U33)</f>
        <v/>
      </c>
      <c r="W33" s="88"/>
      <c r="X33" s="88" t="str">
        <f aca="false">IF($W33="","",$W33)</f>
        <v/>
      </c>
      <c r="Y33" s="10" t="str">
        <f aca="false">IF(LEFT($B33,4)="_Mil",IF(SUM($L33)=0,"",ROUND($L33*(1+$T33),0)),IF(SUM($R33)=0,"",IF($S33="","ENTER IN COL S",ROUND($R33*$S33,0))))</f>
        <v>ENTER IN COL S</v>
      </c>
      <c r="Z33" s="39" t="str">
        <f aca="false">IF(SUM($Y33)=0,"",IF(AND(SUM($Y33)&gt;0,$V33=""),"ENTER INDETERMINATE RATE",ROUND($Y33*$V33,0)))</f>
        <v/>
      </c>
      <c r="AA33" s="39" t="str">
        <f aca="false">IF(SUM($Y33)=0,"",IF(AND(($Y33-SUM($Z33))&gt;0,$X33=""),"ENTER YIELD RATE",ROUND(($Y33-SUM($Z33))*SUM($X33),0)))</f>
        <v/>
      </c>
      <c r="AB33" s="39" t="str">
        <f aca="false">IF(SUM($Y33)=0,"",$Y33-SUM($Z33)-SUM($AA33))</f>
        <v/>
      </c>
      <c r="AC33" s="10" t="str">
        <f aca="false">IFERROR(1/(1/INDEX(Cascade!$BH:$BH,MATCH($E33,Cascade!$E:$E,0))),"")</f>
        <v/>
      </c>
      <c r="AD33" s="10" t="str">
        <f aca="false">IF(SUM($AA33)=0,"",$AA33)</f>
        <v/>
      </c>
      <c r="AE33" s="10" t="str">
        <f aca="false">IFERROR(1/(1/INDEX(TB!$P:$P,MATCH($E33,TB!$E:$E,0))),"")</f>
        <v/>
      </c>
      <c r="AF33" s="10" t="str">
        <f aca="false">IFERROR(1/(1/(SUM($AC33)-SUM($AD33:$AE33))),"")</f>
        <v/>
      </c>
    </row>
    <row r="34" customFormat="false" ht="15" hidden="false" customHeight="false" outlineLevel="0" collapsed="false">
      <c r="A34" s="0" t="str">
        <f aca="false">INDEX(Prioritization!$D:$D,MATCH($B34,Prioritization!$A:$A,0))</f>
        <v>1 - Scale-up: Saturation</v>
      </c>
      <c r="B34" s="0" t="s">
        <v>198</v>
      </c>
      <c r="C34" s="0" t="s">
        <v>368</v>
      </c>
      <c r="D34" s="0" t="s">
        <v>48</v>
      </c>
      <c r="E34" s="0" t="str">
        <f aca="false">B34&amp;"|"&amp;C34&amp;"|"&amp;D34</f>
        <v>Lilongwe District [ScR9iFKAasW]|50+|Male</v>
      </c>
      <c r="F34" s="10" t="n">
        <f aca="false">IF(LEFT($B34,4)="_Mil","",INDEX(Cascade!$T:$T,MATCH($E34,Cascade!$E:$E,0)))</f>
        <v>1217</v>
      </c>
      <c r="G34" s="10" t="str">
        <f aca="false">IF(LEFT($B34,4)="_Mil","",INDEX(Cascade!$U:$U,MATCH($E34,Cascade!$E:$E,0)))</f>
        <v/>
      </c>
      <c r="H34" s="86" t="n">
        <f aca="false">IF(LEFT($B34,4)="_Mil","",INDEX(Cascade!$W:$W,MATCH($E34,Cascade!$E:$E,0)))</f>
        <v>1686</v>
      </c>
      <c r="I34" s="10" t="n">
        <f aca="false">IF(LEFT($B34,4)="_Mil","",INDEX(Cascade!$Z:$Z,MATCH($E34,Cascade!$E:$E,0)))</f>
        <v>1663</v>
      </c>
      <c r="J34" s="88" t="n">
        <f aca="false">IF(LEFT($B34,4)="_Mil","",INDEX(Cascade!$AA:$AA,MATCH($E34,Cascade!$E:$E,0)))</f>
        <v>1820</v>
      </c>
      <c r="K34" s="10"/>
      <c r="L34" s="10"/>
      <c r="M34" s="39" t="str">
        <f aca="false">IF(LEFT($B34,4)="_Mil","",IFERROR(1/(1/ROUND(INDEX(Spectrum!$N:$N,MATCH(RIGHT($B34,13)&amp;"|"&amp;$C34&amp;"|"&amp;$D34&amp;"|"&amp;M$14&amp;"|"&amp;"CY2023Q3",Spectrum!$R:$R,0)),0)),IF(SUM($L34)=0,"",$L34)))</f>
        <v/>
      </c>
      <c r="N34" s="39" t="str">
        <f aca="false">IF(LEFT($B34,4)="_Mil","",IFERROR(1/(1/ROUND(INDEX(Spectrum!$N:$N,MATCH(RIGHT($B34,13)&amp;"|"&amp;$C34&amp;"|"&amp;$D34&amp;"|"&amp;N$14&amp;"|"&amp;"CY2023Q3",Spectrum!$R:$R,0)),0)),IF(SUM($M34)=0,"",$M34)))</f>
        <v/>
      </c>
      <c r="O34" s="88" t="n">
        <f aca="false">IF(OR(LEFT($B34,4)="_Mil",SUM($F34)=0),"",SUM($N34)/$F34)</f>
        <v>0</v>
      </c>
      <c r="P34" s="88" t="n">
        <f aca="false">IF(OR(LEFT($B34,4)="_Mil",SUM($F34)=0),"",MAX(SUM($O34),80%))</f>
        <v>0.8</v>
      </c>
      <c r="Q34" s="39" t="n">
        <f aca="false">IF(OR(LEFT($B34,4)="_Mil",SUM($F34)=0),"",ROUND(SUM($F34)*$P34,0))</f>
        <v>974</v>
      </c>
      <c r="R34" s="39" t="n">
        <f aca="false">IF(OR(LEFT($B34,4)="_Mil",SUM($Q34)=0),"",ROUND(MAX($Q34-SUM($N34),0),0))</f>
        <v>974</v>
      </c>
      <c r="S34" s="88" t="str">
        <f aca="false">IF(LEFT($B34,4)="_Mil","",IF(SUM($L34)=0,"",IF(SUM($M34)=0,1,$L34/$M34)))</f>
        <v/>
      </c>
      <c r="T34" s="88" t="str">
        <f aca="false">IF(LEFT($B34,4)="_Mil",0,"")</f>
        <v/>
      </c>
      <c r="U34" s="88"/>
      <c r="V34" s="88" t="str">
        <f aca="false">IF($U34="","",$U34)</f>
        <v/>
      </c>
      <c r="W34" s="88"/>
      <c r="X34" s="88" t="str">
        <f aca="false">IF($W34="","",$W34)</f>
        <v/>
      </c>
      <c r="Y34" s="10" t="str">
        <f aca="false">IF(LEFT($B34,4)="_Mil",IF(SUM($L34)=0,"",ROUND($L34*(1+$T34),0)),IF(SUM($R34)=0,"",IF($S34="","ENTER IN COL S",ROUND($R34*$S34,0))))</f>
        <v>ENTER IN COL S</v>
      </c>
      <c r="Z34" s="39" t="str">
        <f aca="false">IF(SUM($Y34)=0,"",IF(AND(SUM($Y34)&gt;0,$V34=""),"ENTER INDETERMINATE RATE",ROUND($Y34*$V34,0)))</f>
        <v/>
      </c>
      <c r="AA34" s="39" t="str">
        <f aca="false">IF(SUM($Y34)=0,"",IF(AND(($Y34-SUM($Z34))&gt;0,$X34=""),"ENTER YIELD RATE",ROUND(($Y34-SUM($Z34))*SUM($X34),0)))</f>
        <v/>
      </c>
      <c r="AB34" s="39" t="str">
        <f aca="false">IF(SUM($Y34)=0,"",$Y34-SUM($Z34)-SUM($AA34))</f>
        <v/>
      </c>
      <c r="AC34" s="10" t="str">
        <f aca="false">IFERROR(1/(1/INDEX(Cascade!$BH:$BH,MATCH($E34,Cascade!$E:$E,0))),"")</f>
        <v/>
      </c>
      <c r="AD34" s="10" t="str">
        <f aca="false">IF(SUM($AA34)=0,"",$AA34)</f>
        <v/>
      </c>
      <c r="AE34" s="10" t="str">
        <f aca="false">IFERROR(1/(1/INDEX(TB!$P:$P,MATCH($E34,TB!$E:$E,0))),"")</f>
        <v/>
      </c>
      <c r="AF34" s="10" t="str">
        <f aca="false">IFERROR(1/(1/(SUM($AC34)-SUM($AD34:$AE34))),"")</f>
        <v/>
      </c>
    </row>
    <row r="35" customFormat="false" ht="15" hidden="false" customHeight="false" outlineLevel="0" collapsed="false">
      <c r="A35" s="0" t="str">
        <f aca="false">INDEX(Prioritization!$D:$D,MATCH($B35,Prioritization!$A:$A,0))</f>
        <v>1 - Scale-up: Saturation</v>
      </c>
      <c r="B35" s="0" t="s">
        <v>199</v>
      </c>
      <c r="C35" s="0" t="s">
        <v>365</v>
      </c>
      <c r="D35" s="0" t="s">
        <v>48</v>
      </c>
      <c r="E35" s="0" t="str">
        <f aca="false">B35&amp;"|"&amp;C35&amp;"|"&amp;D35</f>
        <v>Mchinji District [kxuuIFpOXyO]|15-24|Male</v>
      </c>
      <c r="F35" s="10" t="n">
        <f aca="false">IF(LEFT($B35,4)="_Mil","",INDEX(Cascade!$T:$T,MATCH($E35,Cascade!$E:$E,0)))</f>
        <v>1499</v>
      </c>
      <c r="G35" s="10" t="str">
        <f aca="false">IF(LEFT($B35,4)="_Mil","",INDEX(Cascade!$U:$U,MATCH($E35,Cascade!$E:$E,0)))</f>
        <v/>
      </c>
      <c r="H35" s="86" t="n">
        <f aca="false">IF(LEFT($B35,4)="_Mil","",INDEX(Cascade!$W:$W,MATCH($E35,Cascade!$E:$E,0)))</f>
        <v>1090</v>
      </c>
      <c r="I35" s="10" t="n">
        <f aca="false">IF(LEFT($B35,4)="_Mil","",INDEX(Cascade!$Z:$Z,MATCH($E35,Cascade!$E:$E,0)))</f>
        <v>1632</v>
      </c>
      <c r="J35" s="88" t="n">
        <f aca="false">IF(LEFT($B35,4)="_Mil","",INDEX(Cascade!$AA:$AA,MATCH($E35,Cascade!$E:$E,0)))</f>
        <v>742</v>
      </c>
      <c r="K35" s="10"/>
      <c r="L35" s="10"/>
      <c r="M35" s="39" t="str">
        <f aca="false">IF(LEFT($B35,4)="_Mil","",IFERROR(1/(1/ROUND(INDEX(Spectrum!$N:$N,MATCH(RIGHT($B35,13)&amp;"|"&amp;$C35&amp;"|"&amp;$D35&amp;"|"&amp;M$14&amp;"|"&amp;"CY2023Q3",Spectrum!$R:$R,0)),0)),IF(SUM($L35)=0,"",$L35)))</f>
        <v/>
      </c>
      <c r="N35" s="39" t="str">
        <f aca="false">IF(LEFT($B35,4)="_Mil","",IFERROR(1/(1/ROUND(INDEX(Spectrum!$N:$N,MATCH(RIGHT($B35,13)&amp;"|"&amp;$C35&amp;"|"&amp;$D35&amp;"|"&amp;N$14&amp;"|"&amp;"CY2023Q3",Spectrum!$R:$R,0)),0)),IF(SUM($M35)=0,"",$M35)))</f>
        <v/>
      </c>
      <c r="O35" s="88" t="n">
        <f aca="false">IF(OR(LEFT($B35,4)="_Mil",SUM($F35)=0),"",SUM($N35)/$F35)</f>
        <v>0</v>
      </c>
      <c r="P35" s="88" t="n">
        <f aca="false">IF(OR(LEFT($B35,4)="_Mil",SUM($F35)=0),"",MAX(SUM($O35),80%))</f>
        <v>0.8</v>
      </c>
      <c r="Q35" s="39" t="n">
        <f aca="false">IF(OR(LEFT($B35,4)="_Mil",SUM($F35)=0),"",ROUND(SUM($F35)*$P35,0))</f>
        <v>1199</v>
      </c>
      <c r="R35" s="39" t="n">
        <f aca="false">IF(OR(LEFT($B35,4)="_Mil",SUM($Q35)=0),"",ROUND(MAX($Q35-SUM($N35),0),0))</f>
        <v>1199</v>
      </c>
      <c r="S35" s="88" t="str">
        <f aca="false">IF(LEFT($B35,4)="_Mil","",IF(SUM($L35)=0,"",IF(SUM($M35)=0,1,$L35/$M35)))</f>
        <v/>
      </c>
      <c r="T35" s="88" t="str">
        <f aca="false">IF(LEFT($B35,4)="_Mil",0,"")</f>
        <v/>
      </c>
      <c r="U35" s="88"/>
      <c r="V35" s="88" t="str">
        <f aca="false">IF($U35="","",$U35)</f>
        <v/>
      </c>
      <c r="W35" s="88"/>
      <c r="X35" s="88" t="str">
        <f aca="false">IF($W35="","",$W35)</f>
        <v/>
      </c>
      <c r="Y35" s="10" t="str">
        <f aca="false">IF(LEFT($B35,4)="_Mil",IF(SUM($L35)=0,"",ROUND($L35*(1+$T35),0)),IF(SUM($R35)=0,"",IF($S35="","ENTER IN COL S",ROUND($R35*$S35,0))))</f>
        <v>ENTER IN COL S</v>
      </c>
      <c r="Z35" s="39" t="str">
        <f aca="false">IF(SUM($Y35)=0,"",IF(AND(SUM($Y35)&gt;0,$V35=""),"ENTER INDETERMINATE RATE",ROUND($Y35*$V35,0)))</f>
        <v/>
      </c>
      <c r="AA35" s="39" t="str">
        <f aca="false">IF(SUM($Y35)=0,"",IF(AND(($Y35-SUM($Z35))&gt;0,$X35=""),"ENTER YIELD RATE",ROUND(($Y35-SUM($Z35))*SUM($X35),0)))</f>
        <v/>
      </c>
      <c r="AB35" s="39" t="str">
        <f aca="false">IF(SUM($Y35)=0,"",$Y35-SUM($Z35)-SUM($AA35))</f>
        <v/>
      </c>
      <c r="AC35" s="10" t="str">
        <f aca="false">IFERROR(1/(1/INDEX(Cascade!$BH:$BH,MATCH($E35,Cascade!$E:$E,0))),"")</f>
        <v/>
      </c>
      <c r="AD35" s="10" t="str">
        <f aca="false">IF(SUM($AA35)=0,"",$AA35)</f>
        <v/>
      </c>
      <c r="AE35" s="10" t="str">
        <f aca="false">IFERROR(1/(1/INDEX(TB!$P:$P,MATCH($E35,TB!$E:$E,0))),"")</f>
        <v/>
      </c>
      <c r="AF35" s="10" t="str">
        <f aca="false">IFERROR(1/(1/(SUM($AC35)-SUM($AD35:$AE35))),"")</f>
        <v/>
      </c>
    </row>
    <row r="36" customFormat="false" ht="15" hidden="false" customHeight="false" outlineLevel="0" collapsed="false">
      <c r="A36" s="0" t="str">
        <f aca="false">INDEX(Prioritization!$D:$D,MATCH($B36,Prioritization!$A:$A,0))</f>
        <v>1 - Scale-up: Saturation</v>
      </c>
      <c r="B36" s="0" t="s">
        <v>199</v>
      </c>
      <c r="C36" s="0" t="s">
        <v>366</v>
      </c>
      <c r="D36" s="0" t="s">
        <v>48</v>
      </c>
      <c r="E36" s="0" t="str">
        <f aca="false">B36&amp;"|"&amp;C36&amp;"|"&amp;D36</f>
        <v>Mchinji District [kxuuIFpOXyO]|25-34|Male</v>
      </c>
      <c r="F36" s="10" t="n">
        <f aca="false">IF(LEFT($B36,4)="_Mil","",INDEX(Cascade!$T:$T,MATCH($E36,Cascade!$E:$E,0)))</f>
        <v>906</v>
      </c>
      <c r="G36" s="10" t="str">
        <f aca="false">IF(LEFT($B36,4)="_Mil","",INDEX(Cascade!$U:$U,MATCH($E36,Cascade!$E:$E,0)))</f>
        <v/>
      </c>
      <c r="H36" s="86" t="n">
        <f aca="false">IF(LEFT($B36,4)="_Mil","",INDEX(Cascade!$W:$W,MATCH($E36,Cascade!$E:$E,0)))</f>
        <v>916</v>
      </c>
      <c r="I36" s="10" t="n">
        <f aca="false">IF(LEFT($B36,4)="_Mil","",INDEX(Cascade!$Z:$Z,MATCH($E36,Cascade!$E:$E,0)))</f>
        <v>890</v>
      </c>
      <c r="J36" s="88" t="n">
        <f aca="false">IF(LEFT($B36,4)="_Mil","",INDEX(Cascade!$AA:$AA,MATCH($E36,Cascade!$E:$E,0)))</f>
        <v>539</v>
      </c>
      <c r="K36" s="10"/>
      <c r="L36" s="10"/>
      <c r="M36" s="39" t="str">
        <f aca="false">IF(LEFT($B36,4)="_Mil","",IFERROR(1/(1/ROUND(INDEX(Spectrum!$N:$N,MATCH(RIGHT($B36,13)&amp;"|"&amp;$C36&amp;"|"&amp;$D36&amp;"|"&amp;M$14&amp;"|"&amp;"CY2023Q3",Spectrum!$R:$R,0)),0)),IF(SUM($L36)=0,"",$L36)))</f>
        <v/>
      </c>
      <c r="N36" s="39" t="str">
        <f aca="false">IF(LEFT($B36,4)="_Mil","",IFERROR(1/(1/ROUND(INDEX(Spectrum!$N:$N,MATCH(RIGHT($B36,13)&amp;"|"&amp;$C36&amp;"|"&amp;$D36&amp;"|"&amp;N$14&amp;"|"&amp;"CY2023Q3",Spectrum!$R:$R,0)),0)),IF(SUM($M36)=0,"",$M36)))</f>
        <v/>
      </c>
      <c r="O36" s="88" t="n">
        <f aca="false">IF(OR(LEFT($B36,4)="_Mil",SUM($F36)=0),"",SUM($N36)/$F36)</f>
        <v>0</v>
      </c>
      <c r="P36" s="88" t="n">
        <f aca="false">IF(OR(LEFT($B36,4)="_Mil",SUM($F36)=0),"",MAX(SUM($O36),80%))</f>
        <v>0.8</v>
      </c>
      <c r="Q36" s="39" t="n">
        <f aca="false">IF(OR(LEFT($B36,4)="_Mil",SUM($F36)=0),"",ROUND(SUM($F36)*$P36,0))</f>
        <v>725</v>
      </c>
      <c r="R36" s="39" t="n">
        <f aca="false">IF(OR(LEFT($B36,4)="_Mil",SUM($Q36)=0),"",ROUND(MAX($Q36-SUM($N36),0),0))</f>
        <v>725</v>
      </c>
      <c r="S36" s="88" t="str">
        <f aca="false">IF(LEFT($B36,4)="_Mil","",IF(SUM($L36)=0,"",IF(SUM($M36)=0,1,$L36/$M36)))</f>
        <v/>
      </c>
      <c r="T36" s="88" t="str">
        <f aca="false">IF(LEFT($B36,4)="_Mil",0,"")</f>
        <v/>
      </c>
      <c r="U36" s="88"/>
      <c r="V36" s="88" t="str">
        <f aca="false">IF($U36="","",$U36)</f>
        <v/>
      </c>
      <c r="W36" s="88"/>
      <c r="X36" s="88" t="str">
        <f aca="false">IF($W36="","",$W36)</f>
        <v/>
      </c>
      <c r="Y36" s="10" t="str">
        <f aca="false">IF(LEFT($B36,4)="_Mil",IF(SUM($L36)=0,"",ROUND($L36*(1+$T36),0)),IF(SUM($R36)=0,"",IF($S36="","ENTER IN COL S",ROUND($R36*$S36,0))))</f>
        <v>ENTER IN COL S</v>
      </c>
      <c r="Z36" s="39" t="str">
        <f aca="false">IF(SUM($Y36)=0,"",IF(AND(SUM($Y36)&gt;0,$V36=""),"ENTER INDETERMINATE RATE",ROUND($Y36*$V36,0)))</f>
        <v/>
      </c>
      <c r="AA36" s="39" t="str">
        <f aca="false">IF(SUM($Y36)=0,"",IF(AND(($Y36-SUM($Z36))&gt;0,$X36=""),"ENTER YIELD RATE",ROUND(($Y36-SUM($Z36))*SUM($X36),0)))</f>
        <v/>
      </c>
      <c r="AB36" s="39" t="str">
        <f aca="false">IF(SUM($Y36)=0,"",$Y36-SUM($Z36)-SUM($AA36))</f>
        <v/>
      </c>
      <c r="AC36" s="10" t="str">
        <f aca="false">IFERROR(1/(1/INDEX(Cascade!$BH:$BH,MATCH($E36,Cascade!$E:$E,0))),"")</f>
        <v/>
      </c>
      <c r="AD36" s="10" t="str">
        <f aca="false">IF(SUM($AA36)=0,"",$AA36)</f>
        <v/>
      </c>
      <c r="AE36" s="10" t="str">
        <f aca="false">IFERROR(1/(1/INDEX(TB!$P:$P,MATCH($E36,TB!$E:$E,0))),"")</f>
        <v/>
      </c>
      <c r="AF36" s="10" t="str">
        <f aca="false">IFERROR(1/(1/(SUM($AC36)-SUM($AD36:$AE36))),"")</f>
        <v/>
      </c>
    </row>
    <row r="37" customFormat="false" ht="15" hidden="false" customHeight="false" outlineLevel="0" collapsed="false">
      <c r="A37" s="0" t="str">
        <f aca="false">INDEX(Prioritization!$D:$D,MATCH($B37,Prioritization!$A:$A,0))</f>
        <v>1 - Scale-up: Saturation</v>
      </c>
      <c r="B37" s="0" t="s">
        <v>199</v>
      </c>
      <c r="C37" s="0" t="s">
        <v>367</v>
      </c>
      <c r="D37" s="0" t="s">
        <v>48</v>
      </c>
      <c r="E37" s="0" t="str">
        <f aca="false">B37&amp;"|"&amp;C37&amp;"|"&amp;D37</f>
        <v>Mchinji District [kxuuIFpOXyO]|35-49|Male</v>
      </c>
      <c r="F37" s="10" t="n">
        <f aca="false">IF(LEFT($B37,4)="_Mil","",INDEX(Cascade!$T:$T,MATCH($E37,Cascade!$E:$E,0)))</f>
        <v>1852</v>
      </c>
      <c r="G37" s="10" t="str">
        <f aca="false">IF(LEFT($B37,4)="_Mil","",INDEX(Cascade!$U:$U,MATCH($E37,Cascade!$E:$E,0)))</f>
        <v/>
      </c>
      <c r="H37" s="86" t="n">
        <f aca="false">IF(LEFT($B37,4)="_Mil","",INDEX(Cascade!$W:$W,MATCH($E37,Cascade!$E:$E,0)))</f>
        <v>1731</v>
      </c>
      <c r="I37" s="10" t="n">
        <f aca="false">IF(LEFT($B37,4)="_Mil","",INDEX(Cascade!$Z:$Z,MATCH($E37,Cascade!$E:$E,0)))</f>
        <v>956</v>
      </c>
      <c r="J37" s="88" t="n">
        <f aca="false">IF(LEFT($B37,4)="_Mil","",INDEX(Cascade!$AA:$AA,MATCH($E37,Cascade!$E:$E,0)))</f>
        <v>1493</v>
      </c>
      <c r="K37" s="10"/>
      <c r="L37" s="10"/>
      <c r="M37" s="39" t="str">
        <f aca="false">IF(LEFT($B37,4)="_Mil","",IFERROR(1/(1/ROUND(INDEX(Spectrum!$N:$N,MATCH(RIGHT($B37,13)&amp;"|"&amp;$C37&amp;"|"&amp;$D37&amp;"|"&amp;M$14&amp;"|"&amp;"CY2023Q3",Spectrum!$R:$R,0)),0)),IF(SUM($L37)=0,"",$L37)))</f>
        <v/>
      </c>
      <c r="N37" s="39" t="str">
        <f aca="false">IF(LEFT($B37,4)="_Mil","",IFERROR(1/(1/ROUND(INDEX(Spectrum!$N:$N,MATCH(RIGHT($B37,13)&amp;"|"&amp;$C37&amp;"|"&amp;$D37&amp;"|"&amp;N$14&amp;"|"&amp;"CY2023Q3",Spectrum!$R:$R,0)),0)),IF(SUM($M37)=0,"",$M37)))</f>
        <v/>
      </c>
      <c r="O37" s="88" t="n">
        <f aca="false">IF(OR(LEFT($B37,4)="_Mil",SUM($F37)=0),"",SUM($N37)/$F37)</f>
        <v>0</v>
      </c>
      <c r="P37" s="88" t="n">
        <f aca="false">IF(OR(LEFT($B37,4)="_Mil",SUM($F37)=0),"",MAX(SUM($O37),80%))</f>
        <v>0.8</v>
      </c>
      <c r="Q37" s="39" t="n">
        <f aca="false">IF(OR(LEFT($B37,4)="_Mil",SUM($F37)=0),"",ROUND(SUM($F37)*$P37,0))</f>
        <v>1482</v>
      </c>
      <c r="R37" s="39" t="n">
        <f aca="false">IF(OR(LEFT($B37,4)="_Mil",SUM($Q37)=0),"",ROUND(MAX($Q37-SUM($N37),0),0))</f>
        <v>1482</v>
      </c>
      <c r="S37" s="88" t="str">
        <f aca="false">IF(LEFT($B37,4)="_Mil","",IF(SUM($L37)=0,"",IF(SUM($M37)=0,1,$L37/$M37)))</f>
        <v/>
      </c>
      <c r="T37" s="88" t="str">
        <f aca="false">IF(LEFT($B37,4)="_Mil",0,"")</f>
        <v/>
      </c>
      <c r="U37" s="88"/>
      <c r="V37" s="88" t="str">
        <f aca="false">IF($U37="","",$U37)</f>
        <v/>
      </c>
      <c r="W37" s="88"/>
      <c r="X37" s="88" t="str">
        <f aca="false">IF($W37="","",$W37)</f>
        <v/>
      </c>
      <c r="Y37" s="10" t="str">
        <f aca="false">IF(LEFT($B37,4)="_Mil",IF(SUM($L37)=0,"",ROUND($L37*(1+$T37),0)),IF(SUM($R37)=0,"",IF($S37="","ENTER IN COL S",ROUND($R37*$S37,0))))</f>
        <v>ENTER IN COL S</v>
      </c>
      <c r="Z37" s="39" t="str">
        <f aca="false">IF(SUM($Y37)=0,"",IF(AND(SUM($Y37)&gt;0,$V37=""),"ENTER INDETERMINATE RATE",ROUND($Y37*$V37,0)))</f>
        <v/>
      </c>
      <c r="AA37" s="39" t="str">
        <f aca="false">IF(SUM($Y37)=0,"",IF(AND(($Y37-SUM($Z37))&gt;0,$X37=""),"ENTER YIELD RATE",ROUND(($Y37-SUM($Z37))*SUM($X37),0)))</f>
        <v/>
      </c>
      <c r="AB37" s="39" t="str">
        <f aca="false">IF(SUM($Y37)=0,"",$Y37-SUM($Z37)-SUM($AA37))</f>
        <v/>
      </c>
      <c r="AC37" s="10" t="str">
        <f aca="false">IFERROR(1/(1/INDEX(Cascade!$BH:$BH,MATCH($E37,Cascade!$E:$E,0))),"")</f>
        <v/>
      </c>
      <c r="AD37" s="10" t="str">
        <f aca="false">IF(SUM($AA37)=0,"",$AA37)</f>
        <v/>
      </c>
      <c r="AE37" s="10" t="str">
        <f aca="false">IFERROR(1/(1/INDEX(TB!$P:$P,MATCH($E37,TB!$E:$E,0))),"")</f>
        <v/>
      </c>
      <c r="AF37" s="10" t="str">
        <f aca="false">IFERROR(1/(1/(SUM($AC37)-SUM($AD37:$AE37))),"")</f>
        <v/>
      </c>
    </row>
    <row r="38" customFormat="false" ht="15" hidden="false" customHeight="false" outlineLevel="0" collapsed="false">
      <c r="A38" s="0" t="str">
        <f aca="false">INDEX(Prioritization!$D:$D,MATCH($B38,Prioritization!$A:$A,0))</f>
        <v>1 - Scale-up: Saturation</v>
      </c>
      <c r="B38" s="0" t="s">
        <v>199</v>
      </c>
      <c r="C38" s="0" t="s">
        <v>368</v>
      </c>
      <c r="D38" s="0" t="s">
        <v>48</v>
      </c>
      <c r="E38" s="0" t="str">
        <f aca="false">B38&amp;"|"&amp;C38&amp;"|"&amp;D38</f>
        <v>Mchinji District [kxuuIFpOXyO]|50+|Male</v>
      </c>
      <c r="F38" s="10" t="n">
        <f aca="false">IF(LEFT($B38,4)="_Mil","",INDEX(Cascade!$T:$T,MATCH($E38,Cascade!$E:$E,0)))</f>
        <v>637</v>
      </c>
      <c r="G38" s="10" t="str">
        <f aca="false">IF(LEFT($B38,4)="_Mil","",INDEX(Cascade!$U:$U,MATCH($E38,Cascade!$E:$E,0)))</f>
        <v/>
      </c>
      <c r="H38" s="86" t="n">
        <f aca="false">IF(LEFT($B38,4)="_Mil","",INDEX(Cascade!$W:$W,MATCH($E38,Cascade!$E:$E,0)))</f>
        <v>908</v>
      </c>
      <c r="I38" s="10" t="n">
        <f aca="false">IF(LEFT($B38,4)="_Mil","",INDEX(Cascade!$Z:$Z,MATCH($E38,Cascade!$E:$E,0)))</f>
        <v>1458</v>
      </c>
      <c r="J38" s="88" t="n">
        <f aca="false">IF(LEFT($B38,4)="_Mil","",INDEX(Cascade!$AA:$AA,MATCH($E38,Cascade!$E:$E,0)))</f>
        <v>1145</v>
      </c>
      <c r="K38" s="10"/>
      <c r="L38" s="10"/>
      <c r="M38" s="39" t="str">
        <f aca="false">IF(LEFT($B38,4)="_Mil","",IFERROR(1/(1/ROUND(INDEX(Spectrum!$N:$N,MATCH(RIGHT($B38,13)&amp;"|"&amp;$C38&amp;"|"&amp;$D38&amp;"|"&amp;M$14&amp;"|"&amp;"CY2023Q3",Spectrum!$R:$R,0)),0)),IF(SUM($L38)=0,"",$L38)))</f>
        <v/>
      </c>
      <c r="N38" s="39" t="str">
        <f aca="false">IF(LEFT($B38,4)="_Mil","",IFERROR(1/(1/ROUND(INDEX(Spectrum!$N:$N,MATCH(RIGHT($B38,13)&amp;"|"&amp;$C38&amp;"|"&amp;$D38&amp;"|"&amp;N$14&amp;"|"&amp;"CY2023Q3",Spectrum!$R:$R,0)),0)),IF(SUM($M38)=0,"",$M38)))</f>
        <v/>
      </c>
      <c r="O38" s="88" t="n">
        <f aca="false">IF(OR(LEFT($B38,4)="_Mil",SUM($F38)=0),"",SUM($N38)/$F38)</f>
        <v>0</v>
      </c>
      <c r="P38" s="88" t="n">
        <f aca="false">IF(OR(LEFT($B38,4)="_Mil",SUM($F38)=0),"",MAX(SUM($O38),80%))</f>
        <v>0.8</v>
      </c>
      <c r="Q38" s="39" t="n">
        <f aca="false">IF(OR(LEFT($B38,4)="_Mil",SUM($F38)=0),"",ROUND(SUM($F38)*$P38,0))</f>
        <v>510</v>
      </c>
      <c r="R38" s="39" t="n">
        <f aca="false">IF(OR(LEFT($B38,4)="_Mil",SUM($Q38)=0),"",ROUND(MAX($Q38-SUM($N38),0),0))</f>
        <v>510</v>
      </c>
      <c r="S38" s="88" t="str">
        <f aca="false">IF(LEFT($B38,4)="_Mil","",IF(SUM($L38)=0,"",IF(SUM($M38)=0,1,$L38/$M38)))</f>
        <v/>
      </c>
      <c r="T38" s="88" t="str">
        <f aca="false">IF(LEFT($B38,4)="_Mil",0,"")</f>
        <v/>
      </c>
      <c r="U38" s="88"/>
      <c r="V38" s="88" t="str">
        <f aca="false">IF($U38="","",$U38)</f>
        <v/>
      </c>
      <c r="W38" s="88"/>
      <c r="X38" s="88" t="str">
        <f aca="false">IF($W38="","",$W38)</f>
        <v/>
      </c>
      <c r="Y38" s="10" t="str">
        <f aca="false">IF(LEFT($B38,4)="_Mil",IF(SUM($L38)=0,"",ROUND($L38*(1+$T38),0)),IF(SUM($R38)=0,"",IF($S38="","ENTER IN COL S",ROUND($R38*$S38,0))))</f>
        <v>ENTER IN COL S</v>
      </c>
      <c r="Z38" s="39" t="str">
        <f aca="false">IF(SUM($Y38)=0,"",IF(AND(SUM($Y38)&gt;0,$V38=""),"ENTER INDETERMINATE RATE",ROUND($Y38*$V38,0)))</f>
        <v/>
      </c>
      <c r="AA38" s="39" t="str">
        <f aca="false">IF(SUM($Y38)=0,"",IF(AND(($Y38-SUM($Z38))&gt;0,$X38=""),"ENTER YIELD RATE",ROUND(($Y38-SUM($Z38))*SUM($X38),0)))</f>
        <v/>
      </c>
      <c r="AB38" s="39" t="str">
        <f aca="false">IF(SUM($Y38)=0,"",$Y38-SUM($Z38)-SUM($AA38))</f>
        <v/>
      </c>
      <c r="AC38" s="10" t="str">
        <f aca="false">IFERROR(1/(1/INDEX(Cascade!$BH:$BH,MATCH($E38,Cascade!$E:$E,0))),"")</f>
        <v/>
      </c>
      <c r="AD38" s="10" t="str">
        <f aca="false">IF(SUM($AA38)=0,"",$AA38)</f>
        <v/>
      </c>
      <c r="AE38" s="10" t="str">
        <f aca="false">IFERROR(1/(1/INDEX(TB!$P:$P,MATCH($E38,TB!$E:$E,0))),"")</f>
        <v/>
      </c>
      <c r="AF38" s="10" t="str">
        <f aca="false">IFERROR(1/(1/(SUM($AC38)-SUM($AD38:$AE38))),"")</f>
        <v/>
      </c>
    </row>
    <row r="39" customFormat="false" ht="15" hidden="false" customHeight="false" outlineLevel="0" collapsed="false">
      <c r="A39" s="0" t="str">
        <f aca="false">INDEX(Prioritization!$D:$D,MATCH($B39,Prioritization!$A:$A,0))</f>
        <v>1 - Scale-up: Saturation</v>
      </c>
      <c r="B39" s="0" t="s">
        <v>200</v>
      </c>
      <c r="C39" s="0" t="s">
        <v>365</v>
      </c>
      <c r="D39" s="0" t="s">
        <v>48</v>
      </c>
      <c r="E39" s="0" t="str">
        <f aca="false">B39&amp;"|"&amp;C39&amp;"|"&amp;D39</f>
        <v>Nkhotakota District [YCKiBAp8QAg]|15-24|Male</v>
      </c>
      <c r="F39" s="10" t="n">
        <f aca="false">IF(LEFT($B39,4)="_Mil","",INDEX(Cascade!$T:$T,MATCH($E39,Cascade!$E:$E,0)))</f>
        <v>1953</v>
      </c>
      <c r="G39" s="10" t="str">
        <f aca="false">IF(LEFT($B39,4)="_Mil","",INDEX(Cascade!$U:$U,MATCH($E39,Cascade!$E:$E,0)))</f>
        <v/>
      </c>
      <c r="H39" s="86" t="n">
        <f aca="false">IF(LEFT($B39,4)="_Mil","",INDEX(Cascade!$W:$W,MATCH($E39,Cascade!$E:$E,0)))</f>
        <v>1488</v>
      </c>
      <c r="I39" s="10" t="n">
        <f aca="false">IF(LEFT($B39,4)="_Mil","",INDEX(Cascade!$Z:$Z,MATCH($E39,Cascade!$E:$E,0)))</f>
        <v>1053</v>
      </c>
      <c r="J39" s="88" t="n">
        <f aca="false">IF(LEFT($B39,4)="_Mil","",INDEX(Cascade!$AA:$AA,MATCH($E39,Cascade!$E:$E,0)))</f>
        <v>1020</v>
      </c>
      <c r="K39" s="10"/>
      <c r="L39" s="10"/>
      <c r="M39" s="39" t="str">
        <f aca="false">IF(LEFT($B39,4)="_Mil","",IFERROR(1/(1/ROUND(INDEX(Spectrum!$N:$N,MATCH(RIGHT($B39,13)&amp;"|"&amp;$C39&amp;"|"&amp;$D39&amp;"|"&amp;M$14&amp;"|"&amp;"CY2023Q3",Spectrum!$R:$R,0)),0)),IF(SUM($L39)=0,"",$L39)))</f>
        <v/>
      </c>
      <c r="N39" s="39" t="str">
        <f aca="false">IF(LEFT($B39,4)="_Mil","",IFERROR(1/(1/ROUND(INDEX(Spectrum!$N:$N,MATCH(RIGHT($B39,13)&amp;"|"&amp;$C39&amp;"|"&amp;$D39&amp;"|"&amp;N$14&amp;"|"&amp;"CY2023Q3",Spectrum!$R:$R,0)),0)),IF(SUM($M39)=0,"",$M39)))</f>
        <v/>
      </c>
      <c r="O39" s="88" t="n">
        <f aca="false">IF(OR(LEFT($B39,4)="_Mil",SUM($F39)=0),"",SUM($N39)/$F39)</f>
        <v>0</v>
      </c>
      <c r="P39" s="88" t="n">
        <f aca="false">IF(OR(LEFT($B39,4)="_Mil",SUM($F39)=0),"",MAX(SUM($O39),80%))</f>
        <v>0.8</v>
      </c>
      <c r="Q39" s="39" t="n">
        <f aca="false">IF(OR(LEFT($B39,4)="_Mil",SUM($F39)=0),"",ROUND(SUM($F39)*$P39,0))</f>
        <v>1562</v>
      </c>
      <c r="R39" s="39" t="n">
        <f aca="false">IF(OR(LEFT($B39,4)="_Mil",SUM($Q39)=0),"",ROUND(MAX($Q39-SUM($N39),0),0))</f>
        <v>1562</v>
      </c>
      <c r="S39" s="88" t="str">
        <f aca="false">IF(LEFT($B39,4)="_Mil","",IF(SUM($L39)=0,"",IF(SUM($M39)=0,1,$L39/$M39)))</f>
        <v/>
      </c>
      <c r="T39" s="88" t="str">
        <f aca="false">IF(LEFT($B39,4)="_Mil",0,"")</f>
        <v/>
      </c>
      <c r="U39" s="88"/>
      <c r="V39" s="88" t="str">
        <f aca="false">IF($U39="","",$U39)</f>
        <v/>
      </c>
      <c r="W39" s="88"/>
      <c r="X39" s="88" t="str">
        <f aca="false">IF($W39="","",$W39)</f>
        <v/>
      </c>
      <c r="Y39" s="10" t="str">
        <f aca="false">IF(LEFT($B39,4)="_Mil",IF(SUM($L39)=0,"",ROUND($L39*(1+$T39),0)),IF(SUM($R39)=0,"",IF($S39="","ENTER IN COL S",ROUND($R39*$S39,0))))</f>
        <v>ENTER IN COL S</v>
      </c>
      <c r="Z39" s="39" t="str">
        <f aca="false">IF(SUM($Y39)=0,"",IF(AND(SUM($Y39)&gt;0,$V39=""),"ENTER INDETERMINATE RATE",ROUND($Y39*$V39,0)))</f>
        <v/>
      </c>
      <c r="AA39" s="39" t="str">
        <f aca="false">IF(SUM($Y39)=0,"",IF(AND(($Y39-SUM($Z39))&gt;0,$X39=""),"ENTER YIELD RATE",ROUND(($Y39-SUM($Z39))*SUM($X39),0)))</f>
        <v/>
      </c>
      <c r="AB39" s="39" t="str">
        <f aca="false">IF(SUM($Y39)=0,"",$Y39-SUM($Z39)-SUM($AA39))</f>
        <v/>
      </c>
      <c r="AC39" s="10" t="str">
        <f aca="false">IFERROR(1/(1/INDEX(Cascade!$BH:$BH,MATCH($E39,Cascade!$E:$E,0))),"")</f>
        <v/>
      </c>
      <c r="AD39" s="10" t="str">
        <f aca="false">IF(SUM($AA39)=0,"",$AA39)</f>
        <v/>
      </c>
      <c r="AE39" s="10" t="str">
        <f aca="false">IFERROR(1/(1/INDEX(TB!$P:$P,MATCH($E39,TB!$E:$E,0))),"")</f>
        <v/>
      </c>
      <c r="AF39" s="10" t="str">
        <f aca="false">IFERROR(1/(1/(SUM($AC39)-SUM($AD39:$AE39))),"")</f>
        <v/>
      </c>
    </row>
    <row r="40" customFormat="false" ht="15" hidden="false" customHeight="false" outlineLevel="0" collapsed="false">
      <c r="A40" s="0" t="str">
        <f aca="false">INDEX(Prioritization!$D:$D,MATCH($B40,Prioritization!$A:$A,0))</f>
        <v>1 - Scale-up: Saturation</v>
      </c>
      <c r="B40" s="0" t="s">
        <v>200</v>
      </c>
      <c r="C40" s="0" t="s">
        <v>366</v>
      </c>
      <c r="D40" s="0" t="s">
        <v>48</v>
      </c>
      <c r="E40" s="0" t="str">
        <f aca="false">B40&amp;"|"&amp;C40&amp;"|"&amp;D40</f>
        <v>Nkhotakota District [YCKiBAp8QAg]|25-34|Male</v>
      </c>
      <c r="F40" s="10" t="n">
        <f aca="false">IF(LEFT($B40,4)="_Mil","",INDEX(Cascade!$T:$T,MATCH($E40,Cascade!$E:$E,0)))</f>
        <v>1777</v>
      </c>
      <c r="G40" s="10" t="str">
        <f aca="false">IF(LEFT($B40,4)="_Mil","",INDEX(Cascade!$U:$U,MATCH($E40,Cascade!$E:$E,0)))</f>
        <v/>
      </c>
      <c r="H40" s="86" t="n">
        <f aca="false">IF(LEFT($B40,4)="_Mil","",INDEX(Cascade!$W:$W,MATCH($E40,Cascade!$E:$E,0)))</f>
        <v>905</v>
      </c>
      <c r="I40" s="10" t="n">
        <f aca="false">IF(LEFT($B40,4)="_Mil","",INDEX(Cascade!$Z:$Z,MATCH($E40,Cascade!$E:$E,0)))</f>
        <v>798</v>
      </c>
      <c r="J40" s="88" t="n">
        <f aca="false">IF(LEFT($B40,4)="_Mil","",INDEX(Cascade!$AA:$AA,MATCH($E40,Cascade!$E:$E,0)))</f>
        <v>1603</v>
      </c>
      <c r="K40" s="10"/>
      <c r="L40" s="10"/>
      <c r="M40" s="39" t="str">
        <f aca="false">IF(LEFT($B40,4)="_Mil","",IFERROR(1/(1/ROUND(INDEX(Spectrum!$N:$N,MATCH(RIGHT($B40,13)&amp;"|"&amp;$C40&amp;"|"&amp;$D40&amp;"|"&amp;M$14&amp;"|"&amp;"CY2023Q3",Spectrum!$R:$R,0)),0)),IF(SUM($L40)=0,"",$L40)))</f>
        <v/>
      </c>
      <c r="N40" s="39" t="str">
        <f aca="false">IF(LEFT($B40,4)="_Mil","",IFERROR(1/(1/ROUND(INDEX(Spectrum!$N:$N,MATCH(RIGHT($B40,13)&amp;"|"&amp;$C40&amp;"|"&amp;$D40&amp;"|"&amp;N$14&amp;"|"&amp;"CY2023Q3",Spectrum!$R:$R,0)),0)),IF(SUM($M40)=0,"",$M40)))</f>
        <v/>
      </c>
      <c r="O40" s="88" t="n">
        <f aca="false">IF(OR(LEFT($B40,4)="_Mil",SUM($F40)=0),"",SUM($N40)/$F40)</f>
        <v>0</v>
      </c>
      <c r="P40" s="88" t="n">
        <f aca="false">IF(OR(LEFT($B40,4)="_Mil",SUM($F40)=0),"",MAX(SUM($O40),80%))</f>
        <v>0.8</v>
      </c>
      <c r="Q40" s="39" t="n">
        <f aca="false">IF(OR(LEFT($B40,4)="_Mil",SUM($F40)=0),"",ROUND(SUM($F40)*$P40,0))</f>
        <v>1422</v>
      </c>
      <c r="R40" s="39" t="n">
        <f aca="false">IF(OR(LEFT($B40,4)="_Mil",SUM($Q40)=0),"",ROUND(MAX($Q40-SUM($N40),0),0))</f>
        <v>1422</v>
      </c>
      <c r="S40" s="88" t="str">
        <f aca="false">IF(LEFT($B40,4)="_Mil","",IF(SUM($L40)=0,"",IF(SUM($M40)=0,1,$L40/$M40)))</f>
        <v/>
      </c>
      <c r="T40" s="88" t="str">
        <f aca="false">IF(LEFT($B40,4)="_Mil",0,"")</f>
        <v/>
      </c>
      <c r="U40" s="88"/>
      <c r="V40" s="88" t="str">
        <f aca="false">IF($U40="","",$U40)</f>
        <v/>
      </c>
      <c r="W40" s="88"/>
      <c r="X40" s="88" t="str">
        <f aca="false">IF($W40="","",$W40)</f>
        <v/>
      </c>
      <c r="Y40" s="10" t="str">
        <f aca="false">IF(LEFT($B40,4)="_Mil",IF(SUM($L40)=0,"",ROUND($L40*(1+$T40),0)),IF(SUM($R40)=0,"",IF($S40="","ENTER IN COL S",ROUND($R40*$S40,0))))</f>
        <v>ENTER IN COL S</v>
      </c>
      <c r="Z40" s="39" t="str">
        <f aca="false">IF(SUM($Y40)=0,"",IF(AND(SUM($Y40)&gt;0,$V40=""),"ENTER INDETERMINATE RATE",ROUND($Y40*$V40,0)))</f>
        <v/>
      </c>
      <c r="AA40" s="39" t="str">
        <f aca="false">IF(SUM($Y40)=0,"",IF(AND(($Y40-SUM($Z40))&gt;0,$X40=""),"ENTER YIELD RATE",ROUND(($Y40-SUM($Z40))*SUM($X40),0)))</f>
        <v/>
      </c>
      <c r="AB40" s="39" t="str">
        <f aca="false">IF(SUM($Y40)=0,"",$Y40-SUM($Z40)-SUM($AA40))</f>
        <v/>
      </c>
      <c r="AC40" s="10" t="str">
        <f aca="false">IFERROR(1/(1/INDEX(Cascade!$BH:$BH,MATCH($E40,Cascade!$E:$E,0))),"")</f>
        <v/>
      </c>
      <c r="AD40" s="10" t="str">
        <f aca="false">IF(SUM($AA40)=0,"",$AA40)</f>
        <v/>
      </c>
      <c r="AE40" s="10" t="str">
        <f aca="false">IFERROR(1/(1/INDEX(TB!$P:$P,MATCH($E40,TB!$E:$E,0))),"")</f>
        <v/>
      </c>
      <c r="AF40" s="10" t="str">
        <f aca="false">IFERROR(1/(1/(SUM($AC40)-SUM($AD40:$AE40))),"")</f>
        <v/>
      </c>
    </row>
    <row r="41" customFormat="false" ht="15" hidden="false" customHeight="false" outlineLevel="0" collapsed="false">
      <c r="A41" s="0" t="str">
        <f aca="false">INDEX(Prioritization!$D:$D,MATCH($B41,Prioritization!$A:$A,0))</f>
        <v>1 - Scale-up: Saturation</v>
      </c>
      <c r="B41" s="0" t="s">
        <v>200</v>
      </c>
      <c r="C41" s="0" t="s">
        <v>367</v>
      </c>
      <c r="D41" s="0" t="s">
        <v>48</v>
      </c>
      <c r="E41" s="0" t="str">
        <f aca="false">B41&amp;"|"&amp;C41&amp;"|"&amp;D41</f>
        <v>Nkhotakota District [YCKiBAp8QAg]|35-49|Male</v>
      </c>
      <c r="F41" s="10" t="n">
        <f aca="false">IF(LEFT($B41,4)="_Mil","",INDEX(Cascade!$T:$T,MATCH($E41,Cascade!$E:$E,0)))</f>
        <v>1337</v>
      </c>
      <c r="G41" s="10" t="str">
        <f aca="false">IF(LEFT($B41,4)="_Mil","",INDEX(Cascade!$U:$U,MATCH($E41,Cascade!$E:$E,0)))</f>
        <v/>
      </c>
      <c r="H41" s="86" t="n">
        <f aca="false">IF(LEFT($B41,4)="_Mil","",INDEX(Cascade!$W:$W,MATCH($E41,Cascade!$E:$E,0)))</f>
        <v>511</v>
      </c>
      <c r="I41" s="10" t="n">
        <f aca="false">IF(LEFT($B41,4)="_Mil","",INDEX(Cascade!$Z:$Z,MATCH($E41,Cascade!$E:$E,0)))</f>
        <v>648</v>
      </c>
      <c r="J41" s="88" t="n">
        <f aca="false">IF(LEFT($B41,4)="_Mil","",INDEX(Cascade!$AA:$AA,MATCH($E41,Cascade!$E:$E,0)))</f>
        <v>1398</v>
      </c>
      <c r="K41" s="10"/>
      <c r="L41" s="10"/>
      <c r="M41" s="39" t="str">
        <f aca="false">IF(LEFT($B41,4)="_Mil","",IFERROR(1/(1/ROUND(INDEX(Spectrum!$N:$N,MATCH(RIGHT($B41,13)&amp;"|"&amp;$C41&amp;"|"&amp;$D41&amp;"|"&amp;M$14&amp;"|"&amp;"CY2023Q3",Spectrum!$R:$R,0)),0)),IF(SUM($L41)=0,"",$L41)))</f>
        <v/>
      </c>
      <c r="N41" s="39" t="str">
        <f aca="false">IF(LEFT($B41,4)="_Mil","",IFERROR(1/(1/ROUND(INDEX(Spectrum!$N:$N,MATCH(RIGHT($B41,13)&amp;"|"&amp;$C41&amp;"|"&amp;$D41&amp;"|"&amp;N$14&amp;"|"&amp;"CY2023Q3",Spectrum!$R:$R,0)),0)),IF(SUM($M41)=0,"",$M41)))</f>
        <v/>
      </c>
      <c r="O41" s="88" t="n">
        <f aca="false">IF(OR(LEFT($B41,4)="_Mil",SUM($F41)=0),"",SUM($N41)/$F41)</f>
        <v>0</v>
      </c>
      <c r="P41" s="88" t="n">
        <f aca="false">IF(OR(LEFT($B41,4)="_Mil",SUM($F41)=0),"",MAX(SUM($O41),80%))</f>
        <v>0.8</v>
      </c>
      <c r="Q41" s="39" t="n">
        <f aca="false">IF(OR(LEFT($B41,4)="_Mil",SUM($F41)=0),"",ROUND(SUM($F41)*$P41,0))</f>
        <v>1070</v>
      </c>
      <c r="R41" s="39" t="n">
        <f aca="false">IF(OR(LEFT($B41,4)="_Mil",SUM($Q41)=0),"",ROUND(MAX($Q41-SUM($N41),0),0))</f>
        <v>1070</v>
      </c>
      <c r="S41" s="88" t="str">
        <f aca="false">IF(LEFT($B41,4)="_Mil","",IF(SUM($L41)=0,"",IF(SUM($M41)=0,1,$L41/$M41)))</f>
        <v/>
      </c>
      <c r="T41" s="88" t="str">
        <f aca="false">IF(LEFT($B41,4)="_Mil",0,"")</f>
        <v/>
      </c>
      <c r="U41" s="88"/>
      <c r="V41" s="88" t="str">
        <f aca="false">IF($U41="","",$U41)</f>
        <v/>
      </c>
      <c r="W41" s="88"/>
      <c r="X41" s="88" t="str">
        <f aca="false">IF($W41="","",$W41)</f>
        <v/>
      </c>
      <c r="Y41" s="10" t="str">
        <f aca="false">IF(LEFT($B41,4)="_Mil",IF(SUM($L41)=0,"",ROUND($L41*(1+$T41),0)),IF(SUM($R41)=0,"",IF($S41="","ENTER IN COL S",ROUND($R41*$S41,0))))</f>
        <v>ENTER IN COL S</v>
      </c>
      <c r="Z41" s="39" t="str">
        <f aca="false">IF(SUM($Y41)=0,"",IF(AND(SUM($Y41)&gt;0,$V41=""),"ENTER INDETERMINATE RATE",ROUND($Y41*$V41,0)))</f>
        <v/>
      </c>
      <c r="AA41" s="39" t="str">
        <f aca="false">IF(SUM($Y41)=0,"",IF(AND(($Y41-SUM($Z41))&gt;0,$X41=""),"ENTER YIELD RATE",ROUND(($Y41-SUM($Z41))*SUM($X41),0)))</f>
        <v/>
      </c>
      <c r="AB41" s="39" t="str">
        <f aca="false">IF(SUM($Y41)=0,"",$Y41-SUM($Z41)-SUM($AA41))</f>
        <v/>
      </c>
      <c r="AC41" s="10" t="str">
        <f aca="false">IFERROR(1/(1/INDEX(Cascade!$BH:$BH,MATCH($E41,Cascade!$E:$E,0))),"")</f>
        <v/>
      </c>
      <c r="AD41" s="10" t="str">
        <f aca="false">IF(SUM($AA41)=0,"",$AA41)</f>
        <v/>
      </c>
      <c r="AE41" s="10" t="str">
        <f aca="false">IFERROR(1/(1/INDEX(TB!$P:$P,MATCH($E41,TB!$E:$E,0))),"")</f>
        <v/>
      </c>
      <c r="AF41" s="10" t="str">
        <f aca="false">IFERROR(1/(1/(SUM($AC41)-SUM($AD41:$AE41))),"")</f>
        <v/>
      </c>
    </row>
    <row r="42" customFormat="false" ht="15" hidden="false" customHeight="false" outlineLevel="0" collapsed="false">
      <c r="A42" s="0" t="str">
        <f aca="false">INDEX(Prioritization!$D:$D,MATCH($B42,Prioritization!$A:$A,0))</f>
        <v>1 - Scale-up: Saturation</v>
      </c>
      <c r="B42" s="0" t="s">
        <v>200</v>
      </c>
      <c r="C42" s="0" t="s">
        <v>368</v>
      </c>
      <c r="D42" s="0" t="s">
        <v>48</v>
      </c>
      <c r="E42" s="0" t="str">
        <f aca="false">B42&amp;"|"&amp;C42&amp;"|"&amp;D42</f>
        <v>Nkhotakota District [YCKiBAp8QAg]|50+|Male</v>
      </c>
      <c r="F42" s="10" t="n">
        <f aca="false">IF(LEFT($B42,4)="_Mil","",INDEX(Cascade!$T:$T,MATCH($E42,Cascade!$E:$E,0)))</f>
        <v>610</v>
      </c>
      <c r="G42" s="10" t="str">
        <f aca="false">IF(LEFT($B42,4)="_Mil","",INDEX(Cascade!$U:$U,MATCH($E42,Cascade!$E:$E,0)))</f>
        <v/>
      </c>
      <c r="H42" s="86" t="n">
        <f aca="false">IF(LEFT($B42,4)="_Mil","",INDEX(Cascade!$W:$W,MATCH($E42,Cascade!$E:$E,0)))</f>
        <v>1395</v>
      </c>
      <c r="I42" s="10" t="n">
        <f aca="false">IF(LEFT($B42,4)="_Mil","",INDEX(Cascade!$Z:$Z,MATCH($E42,Cascade!$E:$E,0)))</f>
        <v>721</v>
      </c>
      <c r="J42" s="88" t="n">
        <f aca="false">IF(LEFT($B42,4)="_Mil","",INDEX(Cascade!$AA:$AA,MATCH($E42,Cascade!$E:$E,0)))</f>
        <v>1711</v>
      </c>
      <c r="K42" s="10"/>
      <c r="L42" s="10"/>
      <c r="M42" s="39" t="str">
        <f aca="false">IF(LEFT($B42,4)="_Mil","",IFERROR(1/(1/ROUND(INDEX(Spectrum!$N:$N,MATCH(RIGHT($B42,13)&amp;"|"&amp;$C42&amp;"|"&amp;$D42&amp;"|"&amp;M$14&amp;"|"&amp;"CY2023Q3",Spectrum!$R:$R,0)),0)),IF(SUM($L42)=0,"",$L42)))</f>
        <v/>
      </c>
      <c r="N42" s="39" t="str">
        <f aca="false">IF(LEFT($B42,4)="_Mil","",IFERROR(1/(1/ROUND(INDEX(Spectrum!$N:$N,MATCH(RIGHT($B42,13)&amp;"|"&amp;$C42&amp;"|"&amp;$D42&amp;"|"&amp;N$14&amp;"|"&amp;"CY2023Q3",Spectrum!$R:$R,0)),0)),IF(SUM($M42)=0,"",$M42)))</f>
        <v/>
      </c>
      <c r="O42" s="88" t="n">
        <f aca="false">IF(OR(LEFT($B42,4)="_Mil",SUM($F42)=0),"",SUM($N42)/$F42)</f>
        <v>0</v>
      </c>
      <c r="P42" s="88" t="n">
        <f aca="false">IF(OR(LEFT($B42,4)="_Mil",SUM($F42)=0),"",MAX(SUM($O42),80%))</f>
        <v>0.8</v>
      </c>
      <c r="Q42" s="39" t="n">
        <f aca="false">IF(OR(LEFT($B42,4)="_Mil",SUM($F42)=0),"",ROUND(SUM($F42)*$P42,0))</f>
        <v>488</v>
      </c>
      <c r="R42" s="39" t="n">
        <f aca="false">IF(OR(LEFT($B42,4)="_Mil",SUM($Q42)=0),"",ROUND(MAX($Q42-SUM($N42),0),0))</f>
        <v>488</v>
      </c>
      <c r="S42" s="88" t="str">
        <f aca="false">IF(LEFT($B42,4)="_Mil","",IF(SUM($L42)=0,"",IF(SUM($M42)=0,1,$L42/$M42)))</f>
        <v/>
      </c>
      <c r="T42" s="88" t="str">
        <f aca="false">IF(LEFT($B42,4)="_Mil",0,"")</f>
        <v/>
      </c>
      <c r="U42" s="88"/>
      <c r="V42" s="88" t="str">
        <f aca="false">IF($U42="","",$U42)</f>
        <v/>
      </c>
      <c r="W42" s="88"/>
      <c r="X42" s="88" t="str">
        <f aca="false">IF($W42="","",$W42)</f>
        <v/>
      </c>
      <c r="Y42" s="10" t="str">
        <f aca="false">IF(LEFT($B42,4)="_Mil",IF(SUM($L42)=0,"",ROUND($L42*(1+$T42),0)),IF(SUM($R42)=0,"",IF($S42="","ENTER IN COL S",ROUND($R42*$S42,0))))</f>
        <v>ENTER IN COL S</v>
      </c>
      <c r="Z42" s="39" t="str">
        <f aca="false">IF(SUM($Y42)=0,"",IF(AND(SUM($Y42)&gt;0,$V42=""),"ENTER INDETERMINATE RATE",ROUND($Y42*$V42,0)))</f>
        <v/>
      </c>
      <c r="AA42" s="39" t="str">
        <f aca="false">IF(SUM($Y42)=0,"",IF(AND(($Y42-SUM($Z42))&gt;0,$X42=""),"ENTER YIELD RATE",ROUND(($Y42-SUM($Z42))*SUM($X42),0)))</f>
        <v/>
      </c>
      <c r="AB42" s="39" t="str">
        <f aca="false">IF(SUM($Y42)=0,"",$Y42-SUM($Z42)-SUM($AA42))</f>
        <v/>
      </c>
      <c r="AC42" s="10" t="str">
        <f aca="false">IFERROR(1/(1/INDEX(Cascade!$BH:$BH,MATCH($E42,Cascade!$E:$E,0))),"")</f>
        <v/>
      </c>
      <c r="AD42" s="10" t="str">
        <f aca="false">IF(SUM($AA42)=0,"",$AA42)</f>
        <v/>
      </c>
      <c r="AE42" s="10" t="str">
        <f aca="false">IFERROR(1/(1/INDEX(TB!$P:$P,MATCH($E42,TB!$E:$E,0))),"")</f>
        <v/>
      </c>
      <c r="AF42" s="10" t="str">
        <f aca="false">IFERROR(1/(1/(SUM($AC42)-SUM($AD42:$AE42))),"")</f>
        <v/>
      </c>
    </row>
    <row r="43" customFormat="false" ht="15" hidden="false" customHeight="false" outlineLevel="0" collapsed="false">
      <c r="A43" s="0" t="str">
        <f aca="false">INDEX(Prioritization!$D:$D,MATCH($B43,Prioritization!$A:$A,0))</f>
        <v>INVALID</v>
      </c>
      <c r="B43" s="0" t="s">
        <v>201</v>
      </c>
      <c r="C43" s="0" t="s">
        <v>365</v>
      </c>
      <c r="D43" s="0" t="s">
        <v>48</v>
      </c>
      <c r="E43" s="0" t="str">
        <f aca="false">B43&amp;"|"&amp;C43&amp;"|"&amp;D43</f>
        <v>Ntcheu District [am530wpaGvr]|15-24|Male</v>
      </c>
      <c r="F43" s="10" t="n">
        <f aca="false">IF(LEFT($B43,4)="_Mil","",INDEX(Cascade!$T:$T,MATCH($E43,Cascade!$E:$E,0)))</f>
        <v>1551</v>
      </c>
      <c r="G43" s="10" t="str">
        <f aca="false">IF(LEFT($B43,4)="_Mil","",INDEX(Cascade!$U:$U,MATCH($E43,Cascade!$E:$E,0)))</f>
        <v/>
      </c>
      <c r="H43" s="86" t="n">
        <f aca="false">IF(LEFT($B43,4)="_Mil","",INDEX(Cascade!$W:$W,MATCH($E43,Cascade!$E:$E,0)))</f>
        <v>607</v>
      </c>
      <c r="I43" s="10" t="n">
        <f aca="false">IF(LEFT($B43,4)="_Mil","",INDEX(Cascade!$Z:$Z,MATCH($E43,Cascade!$E:$E,0)))</f>
        <v>1469</v>
      </c>
      <c r="J43" s="88" t="n">
        <f aca="false">IF(LEFT($B43,4)="_Mil","",INDEX(Cascade!$AA:$AA,MATCH($E43,Cascade!$E:$E,0)))</f>
        <v>1256</v>
      </c>
      <c r="K43" s="10"/>
      <c r="L43" s="10"/>
      <c r="M43" s="39" t="str">
        <f aca="false">IF(LEFT($B43,4)="_Mil","",IFERROR(1/(1/ROUND(INDEX(Spectrum!$N:$N,MATCH(RIGHT($B43,13)&amp;"|"&amp;$C43&amp;"|"&amp;$D43&amp;"|"&amp;M$14&amp;"|"&amp;"CY2023Q3",Spectrum!$R:$R,0)),0)),IF(SUM($L43)=0,"",$L43)))</f>
        <v/>
      </c>
      <c r="N43" s="39" t="str">
        <f aca="false">IF(LEFT($B43,4)="_Mil","",IFERROR(1/(1/ROUND(INDEX(Spectrum!$N:$N,MATCH(RIGHT($B43,13)&amp;"|"&amp;$C43&amp;"|"&amp;$D43&amp;"|"&amp;N$14&amp;"|"&amp;"CY2023Q3",Spectrum!$R:$R,0)),0)),IF(SUM($M43)=0,"",$M43)))</f>
        <v/>
      </c>
      <c r="O43" s="88" t="n">
        <f aca="false">IF(OR(LEFT($B43,4)="_Mil",SUM($F43)=0),"",SUM($N43)/$F43)</f>
        <v>0</v>
      </c>
      <c r="P43" s="88" t="n">
        <f aca="false">IF(OR(LEFT($B43,4)="_Mil",SUM($F43)=0),"",MAX(SUM($O43),80%))</f>
        <v>0.8</v>
      </c>
      <c r="Q43" s="39" t="n">
        <f aca="false">IF(OR(LEFT($B43,4)="_Mil",SUM($F43)=0),"",ROUND(SUM($F43)*$P43,0))</f>
        <v>1241</v>
      </c>
      <c r="R43" s="39" t="n">
        <f aca="false">IF(OR(LEFT($B43,4)="_Mil",SUM($Q43)=0),"",ROUND(MAX($Q43-SUM($N43),0),0))</f>
        <v>1241</v>
      </c>
      <c r="S43" s="88" t="str">
        <f aca="false">IF(LEFT($B43,4)="_Mil","",IF(SUM($L43)=0,"",IF(SUM($M43)=0,1,$L43/$M43)))</f>
        <v/>
      </c>
      <c r="T43" s="88" t="str">
        <f aca="false">IF(LEFT($B43,4)="_Mil",0,"")</f>
        <v/>
      </c>
      <c r="U43" s="88"/>
      <c r="V43" s="88" t="str">
        <f aca="false">IF($U43="","",$U43)</f>
        <v/>
      </c>
      <c r="W43" s="88"/>
      <c r="X43" s="88" t="str">
        <f aca="false">IF($W43="","",$W43)</f>
        <v/>
      </c>
      <c r="Y43" s="10" t="str">
        <f aca="false">IF(LEFT($B43,4)="_Mil",IF(SUM($L43)=0,"",ROUND($L43*(1+$T43),0)),IF(SUM($R43)=0,"",IF($S43="","ENTER IN COL S",ROUND($R43*$S43,0))))</f>
        <v>ENTER IN COL S</v>
      </c>
      <c r="Z43" s="39" t="str">
        <f aca="false">IF(SUM($Y43)=0,"",IF(AND(SUM($Y43)&gt;0,$V43=""),"ENTER INDETERMINATE RATE",ROUND($Y43*$V43,0)))</f>
        <v/>
      </c>
      <c r="AA43" s="39" t="str">
        <f aca="false">IF(SUM($Y43)=0,"",IF(AND(($Y43-SUM($Z43))&gt;0,$X43=""),"ENTER YIELD RATE",ROUND(($Y43-SUM($Z43))*SUM($X43),0)))</f>
        <v/>
      </c>
      <c r="AB43" s="39" t="str">
        <f aca="false">IF(SUM($Y43)=0,"",$Y43-SUM($Z43)-SUM($AA43))</f>
        <v/>
      </c>
      <c r="AC43" s="10" t="str">
        <f aca="false">IFERROR(1/(1/INDEX(Cascade!$BH:$BH,MATCH($E43,Cascade!$E:$E,0))),"")</f>
        <v/>
      </c>
      <c r="AD43" s="10" t="str">
        <f aca="false">IF(SUM($AA43)=0,"",$AA43)</f>
        <v/>
      </c>
      <c r="AE43" s="10" t="str">
        <f aca="false">IFERROR(1/(1/INDEX(TB!$P:$P,MATCH($E43,TB!$E:$E,0))),"")</f>
        <v/>
      </c>
      <c r="AF43" s="10" t="str">
        <f aca="false">IFERROR(1/(1/(SUM($AC43)-SUM($AD43:$AE43))),"")</f>
        <v/>
      </c>
    </row>
    <row r="44" customFormat="false" ht="15" hidden="false" customHeight="false" outlineLevel="0" collapsed="false">
      <c r="A44" s="0" t="str">
        <f aca="false">INDEX(Prioritization!$D:$D,MATCH($B44,Prioritization!$A:$A,0))</f>
        <v>INVALID</v>
      </c>
      <c r="B44" s="0" t="s">
        <v>201</v>
      </c>
      <c r="C44" s="0" t="s">
        <v>366</v>
      </c>
      <c r="D44" s="0" t="s">
        <v>48</v>
      </c>
      <c r="E44" s="0" t="str">
        <f aca="false">B44&amp;"|"&amp;C44&amp;"|"&amp;D44</f>
        <v>Ntcheu District [am530wpaGvr]|25-34|Male</v>
      </c>
      <c r="F44" s="10" t="n">
        <f aca="false">IF(LEFT($B44,4)="_Mil","",INDEX(Cascade!$T:$T,MATCH($E44,Cascade!$E:$E,0)))</f>
        <v>1171</v>
      </c>
      <c r="G44" s="10" t="str">
        <f aca="false">IF(LEFT($B44,4)="_Mil","",INDEX(Cascade!$U:$U,MATCH($E44,Cascade!$E:$E,0)))</f>
        <v/>
      </c>
      <c r="H44" s="86" t="n">
        <f aca="false">IF(LEFT($B44,4)="_Mil","",INDEX(Cascade!$W:$W,MATCH($E44,Cascade!$E:$E,0)))</f>
        <v>1623</v>
      </c>
      <c r="I44" s="10" t="n">
        <f aca="false">IF(LEFT($B44,4)="_Mil","",INDEX(Cascade!$Z:$Z,MATCH($E44,Cascade!$E:$E,0)))</f>
        <v>582</v>
      </c>
      <c r="J44" s="88" t="n">
        <f aca="false">IF(LEFT($B44,4)="_Mil","",INDEX(Cascade!$AA:$AA,MATCH($E44,Cascade!$E:$E,0)))</f>
        <v>506</v>
      </c>
      <c r="K44" s="10"/>
      <c r="L44" s="10"/>
      <c r="M44" s="39" t="str">
        <f aca="false">IF(LEFT($B44,4)="_Mil","",IFERROR(1/(1/ROUND(INDEX(Spectrum!$N:$N,MATCH(RIGHT($B44,13)&amp;"|"&amp;$C44&amp;"|"&amp;$D44&amp;"|"&amp;M$14&amp;"|"&amp;"CY2023Q3",Spectrum!$R:$R,0)),0)),IF(SUM($L44)=0,"",$L44)))</f>
        <v/>
      </c>
      <c r="N44" s="39" t="str">
        <f aca="false">IF(LEFT($B44,4)="_Mil","",IFERROR(1/(1/ROUND(INDEX(Spectrum!$N:$N,MATCH(RIGHT($B44,13)&amp;"|"&amp;$C44&amp;"|"&amp;$D44&amp;"|"&amp;N$14&amp;"|"&amp;"CY2023Q3",Spectrum!$R:$R,0)),0)),IF(SUM($M44)=0,"",$M44)))</f>
        <v/>
      </c>
      <c r="O44" s="88" t="n">
        <f aca="false">IF(OR(LEFT($B44,4)="_Mil",SUM($F44)=0),"",SUM($N44)/$F44)</f>
        <v>0</v>
      </c>
      <c r="P44" s="88" t="n">
        <f aca="false">IF(OR(LEFT($B44,4)="_Mil",SUM($F44)=0),"",MAX(SUM($O44),80%))</f>
        <v>0.8</v>
      </c>
      <c r="Q44" s="39" t="n">
        <f aca="false">IF(OR(LEFT($B44,4)="_Mil",SUM($F44)=0),"",ROUND(SUM($F44)*$P44,0))</f>
        <v>937</v>
      </c>
      <c r="R44" s="39" t="n">
        <f aca="false">IF(OR(LEFT($B44,4)="_Mil",SUM($Q44)=0),"",ROUND(MAX($Q44-SUM($N44),0),0))</f>
        <v>937</v>
      </c>
      <c r="S44" s="88" t="str">
        <f aca="false">IF(LEFT($B44,4)="_Mil","",IF(SUM($L44)=0,"",IF(SUM($M44)=0,1,$L44/$M44)))</f>
        <v/>
      </c>
      <c r="T44" s="88" t="str">
        <f aca="false">IF(LEFT($B44,4)="_Mil",0,"")</f>
        <v/>
      </c>
      <c r="U44" s="88"/>
      <c r="V44" s="88" t="str">
        <f aca="false">IF($U44="","",$U44)</f>
        <v/>
      </c>
      <c r="W44" s="88"/>
      <c r="X44" s="88" t="str">
        <f aca="false">IF($W44="","",$W44)</f>
        <v/>
      </c>
      <c r="Y44" s="10" t="str">
        <f aca="false">IF(LEFT($B44,4)="_Mil",IF(SUM($L44)=0,"",ROUND($L44*(1+$T44),0)),IF(SUM($R44)=0,"",IF($S44="","ENTER IN COL S",ROUND($R44*$S44,0))))</f>
        <v>ENTER IN COL S</v>
      </c>
      <c r="Z44" s="39" t="str">
        <f aca="false">IF(SUM($Y44)=0,"",IF(AND(SUM($Y44)&gt;0,$V44=""),"ENTER INDETERMINATE RATE",ROUND($Y44*$V44,0)))</f>
        <v/>
      </c>
      <c r="AA44" s="39" t="str">
        <f aca="false">IF(SUM($Y44)=0,"",IF(AND(($Y44-SUM($Z44))&gt;0,$X44=""),"ENTER YIELD RATE",ROUND(($Y44-SUM($Z44))*SUM($X44),0)))</f>
        <v/>
      </c>
      <c r="AB44" s="39" t="str">
        <f aca="false">IF(SUM($Y44)=0,"",$Y44-SUM($Z44)-SUM($AA44))</f>
        <v/>
      </c>
      <c r="AC44" s="10" t="str">
        <f aca="false">IFERROR(1/(1/INDEX(Cascade!$BH:$BH,MATCH($E44,Cascade!$E:$E,0))),"")</f>
        <v/>
      </c>
      <c r="AD44" s="10" t="str">
        <f aca="false">IF(SUM($AA44)=0,"",$AA44)</f>
        <v/>
      </c>
      <c r="AE44" s="10" t="str">
        <f aca="false">IFERROR(1/(1/INDEX(TB!$P:$P,MATCH($E44,TB!$E:$E,0))),"")</f>
        <v/>
      </c>
      <c r="AF44" s="10" t="str">
        <f aca="false">IFERROR(1/(1/(SUM($AC44)-SUM($AD44:$AE44))),"")</f>
        <v/>
      </c>
    </row>
    <row r="45" customFormat="false" ht="15" hidden="false" customHeight="false" outlineLevel="0" collapsed="false">
      <c r="A45" s="0" t="str">
        <f aca="false">INDEX(Prioritization!$D:$D,MATCH($B45,Prioritization!$A:$A,0))</f>
        <v>INVALID</v>
      </c>
      <c r="B45" s="0" t="s">
        <v>201</v>
      </c>
      <c r="C45" s="0" t="s">
        <v>367</v>
      </c>
      <c r="D45" s="0" t="s">
        <v>48</v>
      </c>
      <c r="E45" s="0" t="str">
        <f aca="false">B45&amp;"|"&amp;C45&amp;"|"&amp;D45</f>
        <v>Ntcheu District [am530wpaGvr]|35-49|Male</v>
      </c>
      <c r="F45" s="10" t="n">
        <f aca="false">IF(LEFT($B45,4)="_Mil","",INDEX(Cascade!$T:$T,MATCH($E45,Cascade!$E:$E,0)))</f>
        <v>1353</v>
      </c>
      <c r="G45" s="10" t="str">
        <f aca="false">IF(LEFT($B45,4)="_Mil","",INDEX(Cascade!$U:$U,MATCH($E45,Cascade!$E:$E,0)))</f>
        <v/>
      </c>
      <c r="H45" s="86" t="n">
        <f aca="false">IF(LEFT($B45,4)="_Mil","",INDEX(Cascade!$W:$W,MATCH($E45,Cascade!$E:$E,0)))</f>
        <v>527</v>
      </c>
      <c r="I45" s="10" t="n">
        <f aca="false">IF(LEFT($B45,4)="_Mil","",INDEX(Cascade!$Z:$Z,MATCH($E45,Cascade!$E:$E,0)))</f>
        <v>1906</v>
      </c>
      <c r="J45" s="88" t="n">
        <f aca="false">IF(LEFT($B45,4)="_Mil","",INDEX(Cascade!$AA:$AA,MATCH($E45,Cascade!$E:$E,0)))</f>
        <v>697</v>
      </c>
      <c r="K45" s="10"/>
      <c r="L45" s="10"/>
      <c r="M45" s="39" t="str">
        <f aca="false">IF(LEFT($B45,4)="_Mil","",IFERROR(1/(1/ROUND(INDEX(Spectrum!$N:$N,MATCH(RIGHT($B45,13)&amp;"|"&amp;$C45&amp;"|"&amp;$D45&amp;"|"&amp;M$14&amp;"|"&amp;"CY2023Q3",Spectrum!$R:$R,0)),0)),IF(SUM($L45)=0,"",$L45)))</f>
        <v/>
      </c>
      <c r="N45" s="39" t="str">
        <f aca="false">IF(LEFT($B45,4)="_Mil","",IFERROR(1/(1/ROUND(INDEX(Spectrum!$N:$N,MATCH(RIGHT($B45,13)&amp;"|"&amp;$C45&amp;"|"&amp;$D45&amp;"|"&amp;N$14&amp;"|"&amp;"CY2023Q3",Spectrum!$R:$R,0)),0)),IF(SUM($M45)=0,"",$M45)))</f>
        <v/>
      </c>
      <c r="O45" s="88" t="n">
        <f aca="false">IF(OR(LEFT($B45,4)="_Mil",SUM($F45)=0),"",SUM($N45)/$F45)</f>
        <v>0</v>
      </c>
      <c r="P45" s="88" t="n">
        <f aca="false">IF(OR(LEFT($B45,4)="_Mil",SUM($F45)=0),"",MAX(SUM($O45),80%))</f>
        <v>0.8</v>
      </c>
      <c r="Q45" s="39" t="n">
        <f aca="false">IF(OR(LEFT($B45,4)="_Mil",SUM($F45)=0),"",ROUND(SUM($F45)*$P45,0))</f>
        <v>1082</v>
      </c>
      <c r="R45" s="39" t="n">
        <f aca="false">IF(OR(LEFT($B45,4)="_Mil",SUM($Q45)=0),"",ROUND(MAX($Q45-SUM($N45),0),0))</f>
        <v>1082</v>
      </c>
      <c r="S45" s="88" t="str">
        <f aca="false">IF(LEFT($B45,4)="_Mil","",IF(SUM($L45)=0,"",IF(SUM($M45)=0,1,$L45/$M45)))</f>
        <v/>
      </c>
      <c r="T45" s="88" t="str">
        <f aca="false">IF(LEFT($B45,4)="_Mil",0,"")</f>
        <v/>
      </c>
      <c r="U45" s="88"/>
      <c r="V45" s="88" t="str">
        <f aca="false">IF($U45="","",$U45)</f>
        <v/>
      </c>
      <c r="W45" s="88"/>
      <c r="X45" s="88" t="str">
        <f aca="false">IF($W45="","",$W45)</f>
        <v/>
      </c>
      <c r="Y45" s="10" t="str">
        <f aca="false">IF(LEFT($B45,4)="_Mil",IF(SUM($L45)=0,"",ROUND($L45*(1+$T45),0)),IF(SUM($R45)=0,"",IF($S45="","ENTER IN COL S",ROUND($R45*$S45,0))))</f>
        <v>ENTER IN COL S</v>
      </c>
      <c r="Z45" s="39" t="str">
        <f aca="false">IF(SUM($Y45)=0,"",IF(AND(SUM($Y45)&gt;0,$V45=""),"ENTER INDETERMINATE RATE",ROUND($Y45*$V45,0)))</f>
        <v/>
      </c>
      <c r="AA45" s="39" t="str">
        <f aca="false">IF(SUM($Y45)=0,"",IF(AND(($Y45-SUM($Z45))&gt;0,$X45=""),"ENTER YIELD RATE",ROUND(($Y45-SUM($Z45))*SUM($X45),0)))</f>
        <v/>
      </c>
      <c r="AB45" s="39" t="str">
        <f aca="false">IF(SUM($Y45)=0,"",$Y45-SUM($Z45)-SUM($AA45))</f>
        <v/>
      </c>
      <c r="AC45" s="10" t="str">
        <f aca="false">IFERROR(1/(1/INDEX(Cascade!$BH:$BH,MATCH($E45,Cascade!$E:$E,0))),"")</f>
        <v/>
      </c>
      <c r="AD45" s="10" t="str">
        <f aca="false">IF(SUM($AA45)=0,"",$AA45)</f>
        <v/>
      </c>
      <c r="AE45" s="10" t="str">
        <f aca="false">IFERROR(1/(1/INDEX(TB!$P:$P,MATCH($E45,TB!$E:$E,0))),"")</f>
        <v/>
      </c>
      <c r="AF45" s="10" t="str">
        <f aca="false">IFERROR(1/(1/(SUM($AC45)-SUM($AD45:$AE45))),"")</f>
        <v/>
      </c>
    </row>
    <row r="46" customFormat="false" ht="15" hidden="false" customHeight="false" outlineLevel="0" collapsed="false">
      <c r="A46" s="0" t="str">
        <f aca="false">INDEX(Prioritization!$D:$D,MATCH($B46,Prioritization!$A:$A,0))</f>
        <v>INVALID</v>
      </c>
      <c r="B46" s="0" t="s">
        <v>201</v>
      </c>
      <c r="C46" s="0" t="s">
        <v>368</v>
      </c>
      <c r="D46" s="0" t="s">
        <v>48</v>
      </c>
      <c r="E46" s="0" t="str">
        <f aca="false">B46&amp;"|"&amp;C46&amp;"|"&amp;D46</f>
        <v>Ntcheu District [am530wpaGvr]|50+|Male</v>
      </c>
      <c r="F46" s="10" t="n">
        <f aca="false">IF(LEFT($B46,4)="_Mil","",INDEX(Cascade!$T:$T,MATCH($E46,Cascade!$E:$E,0)))</f>
        <v>631</v>
      </c>
      <c r="G46" s="10" t="str">
        <f aca="false">IF(LEFT($B46,4)="_Mil","",INDEX(Cascade!$U:$U,MATCH($E46,Cascade!$E:$E,0)))</f>
        <v/>
      </c>
      <c r="H46" s="86" t="n">
        <f aca="false">IF(LEFT($B46,4)="_Mil","",INDEX(Cascade!$W:$W,MATCH($E46,Cascade!$E:$E,0)))</f>
        <v>1350</v>
      </c>
      <c r="I46" s="10" t="n">
        <f aca="false">IF(LEFT($B46,4)="_Mil","",INDEX(Cascade!$Z:$Z,MATCH($E46,Cascade!$E:$E,0)))</f>
        <v>1075</v>
      </c>
      <c r="J46" s="88" t="n">
        <f aca="false">IF(LEFT($B46,4)="_Mil","",INDEX(Cascade!$AA:$AA,MATCH($E46,Cascade!$E:$E,0)))</f>
        <v>1977</v>
      </c>
      <c r="K46" s="10"/>
      <c r="L46" s="10"/>
      <c r="M46" s="39" t="str">
        <f aca="false">IF(LEFT($B46,4)="_Mil","",IFERROR(1/(1/ROUND(INDEX(Spectrum!$N:$N,MATCH(RIGHT($B46,13)&amp;"|"&amp;$C46&amp;"|"&amp;$D46&amp;"|"&amp;M$14&amp;"|"&amp;"CY2023Q3",Spectrum!$R:$R,0)),0)),IF(SUM($L46)=0,"",$L46)))</f>
        <v/>
      </c>
      <c r="N46" s="39" t="str">
        <f aca="false">IF(LEFT($B46,4)="_Mil","",IFERROR(1/(1/ROUND(INDEX(Spectrum!$N:$N,MATCH(RIGHT($B46,13)&amp;"|"&amp;$C46&amp;"|"&amp;$D46&amp;"|"&amp;N$14&amp;"|"&amp;"CY2023Q3",Spectrum!$R:$R,0)),0)),IF(SUM($M46)=0,"",$M46)))</f>
        <v/>
      </c>
      <c r="O46" s="88" t="n">
        <f aca="false">IF(OR(LEFT($B46,4)="_Mil",SUM($F46)=0),"",SUM($N46)/$F46)</f>
        <v>0</v>
      </c>
      <c r="P46" s="88" t="n">
        <f aca="false">IF(OR(LEFT($B46,4)="_Mil",SUM($F46)=0),"",MAX(SUM($O46),80%))</f>
        <v>0.8</v>
      </c>
      <c r="Q46" s="39" t="n">
        <f aca="false">IF(OR(LEFT($B46,4)="_Mil",SUM($F46)=0),"",ROUND(SUM($F46)*$P46,0))</f>
        <v>505</v>
      </c>
      <c r="R46" s="39" t="n">
        <f aca="false">IF(OR(LEFT($B46,4)="_Mil",SUM($Q46)=0),"",ROUND(MAX($Q46-SUM($N46),0),0))</f>
        <v>505</v>
      </c>
      <c r="S46" s="88" t="str">
        <f aca="false">IF(LEFT($B46,4)="_Mil","",IF(SUM($L46)=0,"",IF(SUM($M46)=0,1,$L46/$M46)))</f>
        <v/>
      </c>
      <c r="T46" s="88" t="str">
        <f aca="false">IF(LEFT($B46,4)="_Mil",0,"")</f>
        <v/>
      </c>
      <c r="U46" s="88"/>
      <c r="V46" s="88" t="str">
        <f aca="false">IF($U46="","",$U46)</f>
        <v/>
      </c>
      <c r="W46" s="88"/>
      <c r="X46" s="88" t="str">
        <f aca="false">IF($W46="","",$W46)</f>
        <v/>
      </c>
      <c r="Y46" s="10" t="str">
        <f aca="false">IF(LEFT($B46,4)="_Mil",IF(SUM($L46)=0,"",ROUND($L46*(1+$T46),0)),IF(SUM($R46)=0,"",IF($S46="","ENTER IN COL S",ROUND($R46*$S46,0))))</f>
        <v>ENTER IN COL S</v>
      </c>
      <c r="Z46" s="39" t="str">
        <f aca="false">IF(SUM($Y46)=0,"",IF(AND(SUM($Y46)&gt;0,$V46=""),"ENTER INDETERMINATE RATE",ROUND($Y46*$V46,0)))</f>
        <v/>
      </c>
      <c r="AA46" s="39" t="str">
        <f aca="false">IF(SUM($Y46)=0,"",IF(AND(($Y46-SUM($Z46))&gt;0,$X46=""),"ENTER YIELD RATE",ROUND(($Y46-SUM($Z46))*SUM($X46),0)))</f>
        <v/>
      </c>
      <c r="AB46" s="39" t="str">
        <f aca="false">IF(SUM($Y46)=0,"",$Y46-SUM($Z46)-SUM($AA46))</f>
        <v/>
      </c>
      <c r="AC46" s="10" t="str">
        <f aca="false">IFERROR(1/(1/INDEX(Cascade!$BH:$BH,MATCH($E46,Cascade!$E:$E,0))),"")</f>
        <v/>
      </c>
      <c r="AD46" s="10" t="str">
        <f aca="false">IF(SUM($AA46)=0,"",$AA46)</f>
        <v/>
      </c>
      <c r="AE46" s="10" t="str">
        <f aca="false">IFERROR(1/(1/INDEX(TB!$P:$P,MATCH($E46,TB!$E:$E,0))),"")</f>
        <v/>
      </c>
      <c r="AF46" s="10" t="str">
        <f aca="false">IFERROR(1/(1/(SUM($AC46)-SUM($AD46:$AE46))),"")</f>
        <v/>
      </c>
    </row>
    <row r="47" customFormat="false" ht="15" hidden="false" customHeight="false" outlineLevel="0" collapsed="false">
      <c r="A47" s="0" t="str">
        <f aca="false">INDEX(Prioritization!$D:$D,MATCH($B47,Prioritization!$A:$A,0))</f>
        <v>INVALID</v>
      </c>
      <c r="B47" s="0" t="s">
        <v>202</v>
      </c>
      <c r="C47" s="0" t="s">
        <v>365</v>
      </c>
      <c r="D47" s="0" t="s">
        <v>48</v>
      </c>
      <c r="E47" s="0" t="str">
        <f aca="false">B47&amp;"|"&amp;C47&amp;"|"&amp;D47</f>
        <v>Ntchisi District [fiRkU6gEjLz]|15-24|Male</v>
      </c>
      <c r="F47" s="10" t="n">
        <f aca="false">IF(LEFT($B47,4)="_Mil","",INDEX(Cascade!$T:$T,MATCH($E47,Cascade!$E:$E,0)))</f>
        <v>1940</v>
      </c>
      <c r="G47" s="10" t="str">
        <f aca="false">IF(LEFT($B47,4)="_Mil","",INDEX(Cascade!$U:$U,MATCH($E47,Cascade!$E:$E,0)))</f>
        <v/>
      </c>
      <c r="H47" s="86" t="n">
        <f aca="false">IF(LEFT($B47,4)="_Mil","",INDEX(Cascade!$W:$W,MATCH($E47,Cascade!$E:$E,0)))</f>
        <v>605</v>
      </c>
      <c r="I47" s="10" t="n">
        <f aca="false">IF(LEFT($B47,4)="_Mil","",INDEX(Cascade!$Z:$Z,MATCH($E47,Cascade!$E:$E,0)))</f>
        <v>968</v>
      </c>
      <c r="J47" s="88" t="n">
        <f aca="false">IF(LEFT($B47,4)="_Mil","",INDEX(Cascade!$AA:$AA,MATCH($E47,Cascade!$E:$E,0)))</f>
        <v>1616</v>
      </c>
      <c r="K47" s="10"/>
      <c r="L47" s="10"/>
      <c r="M47" s="39" t="str">
        <f aca="false">IF(LEFT($B47,4)="_Mil","",IFERROR(1/(1/ROUND(INDEX(Spectrum!$N:$N,MATCH(RIGHT($B47,13)&amp;"|"&amp;$C47&amp;"|"&amp;$D47&amp;"|"&amp;M$14&amp;"|"&amp;"CY2023Q3",Spectrum!$R:$R,0)),0)),IF(SUM($L47)=0,"",$L47)))</f>
        <v/>
      </c>
      <c r="N47" s="39" t="str">
        <f aca="false">IF(LEFT($B47,4)="_Mil","",IFERROR(1/(1/ROUND(INDEX(Spectrum!$N:$N,MATCH(RIGHT($B47,13)&amp;"|"&amp;$C47&amp;"|"&amp;$D47&amp;"|"&amp;N$14&amp;"|"&amp;"CY2023Q3",Spectrum!$R:$R,0)),0)),IF(SUM($M47)=0,"",$M47)))</f>
        <v/>
      </c>
      <c r="O47" s="88" t="n">
        <f aca="false">IF(OR(LEFT($B47,4)="_Mil",SUM($F47)=0),"",SUM($N47)/$F47)</f>
        <v>0</v>
      </c>
      <c r="P47" s="88" t="n">
        <f aca="false">IF(OR(LEFT($B47,4)="_Mil",SUM($F47)=0),"",MAX(SUM($O47),80%))</f>
        <v>0.8</v>
      </c>
      <c r="Q47" s="39" t="n">
        <f aca="false">IF(OR(LEFT($B47,4)="_Mil",SUM($F47)=0),"",ROUND(SUM($F47)*$P47,0))</f>
        <v>1552</v>
      </c>
      <c r="R47" s="39" t="n">
        <f aca="false">IF(OR(LEFT($B47,4)="_Mil",SUM($Q47)=0),"",ROUND(MAX($Q47-SUM($N47),0),0))</f>
        <v>1552</v>
      </c>
      <c r="S47" s="88" t="str">
        <f aca="false">IF(LEFT($B47,4)="_Mil","",IF(SUM($L47)=0,"",IF(SUM($M47)=0,1,$L47/$M47)))</f>
        <v/>
      </c>
      <c r="T47" s="88" t="str">
        <f aca="false">IF(LEFT($B47,4)="_Mil",0,"")</f>
        <v/>
      </c>
      <c r="U47" s="88"/>
      <c r="V47" s="88" t="str">
        <f aca="false">IF($U47="","",$U47)</f>
        <v/>
      </c>
      <c r="W47" s="88"/>
      <c r="X47" s="88" t="str">
        <f aca="false">IF($W47="","",$W47)</f>
        <v/>
      </c>
      <c r="Y47" s="10" t="str">
        <f aca="false">IF(LEFT($B47,4)="_Mil",IF(SUM($L47)=0,"",ROUND($L47*(1+$T47),0)),IF(SUM($R47)=0,"",IF($S47="","ENTER IN COL S",ROUND($R47*$S47,0))))</f>
        <v>ENTER IN COL S</v>
      </c>
      <c r="Z47" s="39" t="str">
        <f aca="false">IF(SUM($Y47)=0,"",IF(AND(SUM($Y47)&gt;0,$V47=""),"ENTER INDETERMINATE RATE",ROUND($Y47*$V47,0)))</f>
        <v/>
      </c>
      <c r="AA47" s="39" t="str">
        <f aca="false">IF(SUM($Y47)=0,"",IF(AND(($Y47-SUM($Z47))&gt;0,$X47=""),"ENTER YIELD RATE",ROUND(($Y47-SUM($Z47))*SUM($X47),0)))</f>
        <v/>
      </c>
      <c r="AB47" s="39" t="str">
        <f aca="false">IF(SUM($Y47)=0,"",$Y47-SUM($Z47)-SUM($AA47))</f>
        <v/>
      </c>
      <c r="AC47" s="10" t="str">
        <f aca="false">IFERROR(1/(1/INDEX(Cascade!$BH:$BH,MATCH($E47,Cascade!$E:$E,0))),"")</f>
        <v/>
      </c>
      <c r="AD47" s="10" t="str">
        <f aca="false">IF(SUM($AA47)=0,"",$AA47)</f>
        <v/>
      </c>
      <c r="AE47" s="10" t="str">
        <f aca="false">IFERROR(1/(1/INDEX(TB!$P:$P,MATCH($E47,TB!$E:$E,0))),"")</f>
        <v/>
      </c>
      <c r="AF47" s="10" t="str">
        <f aca="false">IFERROR(1/(1/(SUM($AC47)-SUM($AD47:$AE47))),"")</f>
        <v/>
      </c>
    </row>
    <row r="48" customFormat="false" ht="15" hidden="false" customHeight="false" outlineLevel="0" collapsed="false">
      <c r="A48" s="0" t="str">
        <f aca="false">INDEX(Prioritization!$D:$D,MATCH($B48,Prioritization!$A:$A,0))</f>
        <v>INVALID</v>
      </c>
      <c r="B48" s="0" t="s">
        <v>202</v>
      </c>
      <c r="C48" s="0" t="s">
        <v>366</v>
      </c>
      <c r="D48" s="0" t="s">
        <v>48</v>
      </c>
      <c r="E48" s="0" t="str">
        <f aca="false">B48&amp;"|"&amp;C48&amp;"|"&amp;D48</f>
        <v>Ntchisi District [fiRkU6gEjLz]|25-34|Male</v>
      </c>
      <c r="F48" s="10" t="n">
        <f aca="false">IF(LEFT($B48,4)="_Mil","",INDEX(Cascade!$T:$T,MATCH($E48,Cascade!$E:$E,0)))</f>
        <v>1613</v>
      </c>
      <c r="G48" s="10" t="str">
        <f aca="false">IF(LEFT($B48,4)="_Mil","",INDEX(Cascade!$U:$U,MATCH($E48,Cascade!$E:$E,0)))</f>
        <v/>
      </c>
      <c r="H48" s="86" t="n">
        <f aca="false">IF(LEFT($B48,4)="_Mil","",INDEX(Cascade!$W:$W,MATCH($E48,Cascade!$E:$E,0)))</f>
        <v>1909</v>
      </c>
      <c r="I48" s="10" t="n">
        <f aca="false">IF(LEFT($B48,4)="_Mil","",INDEX(Cascade!$Z:$Z,MATCH($E48,Cascade!$E:$E,0)))</f>
        <v>724</v>
      </c>
      <c r="J48" s="88" t="n">
        <f aca="false">IF(LEFT($B48,4)="_Mil","",INDEX(Cascade!$AA:$AA,MATCH($E48,Cascade!$E:$E,0)))</f>
        <v>1790</v>
      </c>
      <c r="K48" s="10"/>
      <c r="L48" s="10"/>
      <c r="M48" s="39" t="str">
        <f aca="false">IF(LEFT($B48,4)="_Mil","",IFERROR(1/(1/ROUND(INDEX(Spectrum!$N:$N,MATCH(RIGHT($B48,13)&amp;"|"&amp;$C48&amp;"|"&amp;$D48&amp;"|"&amp;M$14&amp;"|"&amp;"CY2023Q3",Spectrum!$R:$R,0)),0)),IF(SUM($L48)=0,"",$L48)))</f>
        <v/>
      </c>
      <c r="N48" s="39" t="str">
        <f aca="false">IF(LEFT($B48,4)="_Mil","",IFERROR(1/(1/ROUND(INDEX(Spectrum!$N:$N,MATCH(RIGHT($B48,13)&amp;"|"&amp;$C48&amp;"|"&amp;$D48&amp;"|"&amp;N$14&amp;"|"&amp;"CY2023Q3",Spectrum!$R:$R,0)),0)),IF(SUM($M48)=0,"",$M48)))</f>
        <v/>
      </c>
      <c r="O48" s="88" t="n">
        <f aca="false">IF(OR(LEFT($B48,4)="_Mil",SUM($F48)=0),"",SUM($N48)/$F48)</f>
        <v>0</v>
      </c>
      <c r="P48" s="88" t="n">
        <f aca="false">IF(OR(LEFT($B48,4)="_Mil",SUM($F48)=0),"",MAX(SUM($O48),80%))</f>
        <v>0.8</v>
      </c>
      <c r="Q48" s="39" t="n">
        <f aca="false">IF(OR(LEFT($B48,4)="_Mil",SUM($F48)=0),"",ROUND(SUM($F48)*$P48,0))</f>
        <v>1290</v>
      </c>
      <c r="R48" s="39" t="n">
        <f aca="false">IF(OR(LEFT($B48,4)="_Mil",SUM($Q48)=0),"",ROUND(MAX($Q48-SUM($N48),0),0))</f>
        <v>1290</v>
      </c>
      <c r="S48" s="88" t="str">
        <f aca="false">IF(LEFT($B48,4)="_Mil","",IF(SUM($L48)=0,"",IF(SUM($M48)=0,1,$L48/$M48)))</f>
        <v/>
      </c>
      <c r="T48" s="88" t="str">
        <f aca="false">IF(LEFT($B48,4)="_Mil",0,"")</f>
        <v/>
      </c>
      <c r="U48" s="88"/>
      <c r="V48" s="88" t="str">
        <f aca="false">IF($U48="","",$U48)</f>
        <v/>
      </c>
      <c r="W48" s="88"/>
      <c r="X48" s="88" t="str">
        <f aca="false">IF($W48="","",$W48)</f>
        <v/>
      </c>
      <c r="Y48" s="10" t="str">
        <f aca="false">IF(LEFT($B48,4)="_Mil",IF(SUM($L48)=0,"",ROUND($L48*(1+$T48),0)),IF(SUM($R48)=0,"",IF($S48="","ENTER IN COL S",ROUND($R48*$S48,0))))</f>
        <v>ENTER IN COL S</v>
      </c>
      <c r="Z48" s="39" t="str">
        <f aca="false">IF(SUM($Y48)=0,"",IF(AND(SUM($Y48)&gt;0,$V48=""),"ENTER INDETERMINATE RATE",ROUND($Y48*$V48,0)))</f>
        <v/>
      </c>
      <c r="AA48" s="39" t="str">
        <f aca="false">IF(SUM($Y48)=0,"",IF(AND(($Y48-SUM($Z48))&gt;0,$X48=""),"ENTER YIELD RATE",ROUND(($Y48-SUM($Z48))*SUM($X48),0)))</f>
        <v/>
      </c>
      <c r="AB48" s="39" t="str">
        <f aca="false">IF(SUM($Y48)=0,"",$Y48-SUM($Z48)-SUM($AA48))</f>
        <v/>
      </c>
      <c r="AC48" s="10" t="str">
        <f aca="false">IFERROR(1/(1/INDEX(Cascade!$BH:$BH,MATCH($E48,Cascade!$E:$E,0))),"")</f>
        <v/>
      </c>
      <c r="AD48" s="10" t="str">
        <f aca="false">IF(SUM($AA48)=0,"",$AA48)</f>
        <v/>
      </c>
      <c r="AE48" s="10" t="str">
        <f aca="false">IFERROR(1/(1/INDEX(TB!$P:$P,MATCH($E48,TB!$E:$E,0))),"")</f>
        <v/>
      </c>
      <c r="AF48" s="10" t="str">
        <f aca="false">IFERROR(1/(1/(SUM($AC48)-SUM($AD48:$AE48))),"")</f>
        <v/>
      </c>
    </row>
    <row r="49" customFormat="false" ht="15" hidden="false" customHeight="false" outlineLevel="0" collapsed="false">
      <c r="A49" s="0" t="str">
        <f aca="false">INDEX(Prioritization!$D:$D,MATCH($B49,Prioritization!$A:$A,0))</f>
        <v>INVALID</v>
      </c>
      <c r="B49" s="0" t="s">
        <v>202</v>
      </c>
      <c r="C49" s="0" t="s">
        <v>367</v>
      </c>
      <c r="D49" s="0" t="s">
        <v>48</v>
      </c>
      <c r="E49" s="0" t="str">
        <f aca="false">B49&amp;"|"&amp;C49&amp;"|"&amp;D49</f>
        <v>Ntchisi District [fiRkU6gEjLz]|35-49|Male</v>
      </c>
      <c r="F49" s="10" t="n">
        <f aca="false">IF(LEFT($B49,4)="_Mil","",INDEX(Cascade!$T:$T,MATCH($E49,Cascade!$E:$E,0)))</f>
        <v>1172</v>
      </c>
      <c r="G49" s="10" t="str">
        <f aca="false">IF(LEFT($B49,4)="_Mil","",INDEX(Cascade!$U:$U,MATCH($E49,Cascade!$E:$E,0)))</f>
        <v/>
      </c>
      <c r="H49" s="86" t="n">
        <f aca="false">IF(LEFT($B49,4)="_Mil","",INDEX(Cascade!$W:$W,MATCH($E49,Cascade!$E:$E,0)))</f>
        <v>935</v>
      </c>
      <c r="I49" s="10" t="n">
        <f aca="false">IF(LEFT($B49,4)="_Mil","",INDEX(Cascade!$Z:$Z,MATCH($E49,Cascade!$E:$E,0)))</f>
        <v>794</v>
      </c>
      <c r="J49" s="88" t="n">
        <f aca="false">IF(LEFT($B49,4)="_Mil","",INDEX(Cascade!$AA:$AA,MATCH($E49,Cascade!$E:$E,0)))</f>
        <v>670</v>
      </c>
      <c r="K49" s="10"/>
      <c r="L49" s="10"/>
      <c r="M49" s="39" t="str">
        <f aca="false">IF(LEFT($B49,4)="_Mil","",IFERROR(1/(1/ROUND(INDEX(Spectrum!$N:$N,MATCH(RIGHT($B49,13)&amp;"|"&amp;$C49&amp;"|"&amp;$D49&amp;"|"&amp;M$14&amp;"|"&amp;"CY2023Q3",Spectrum!$R:$R,0)),0)),IF(SUM($L49)=0,"",$L49)))</f>
        <v/>
      </c>
      <c r="N49" s="39" t="str">
        <f aca="false">IF(LEFT($B49,4)="_Mil","",IFERROR(1/(1/ROUND(INDEX(Spectrum!$N:$N,MATCH(RIGHT($B49,13)&amp;"|"&amp;$C49&amp;"|"&amp;$D49&amp;"|"&amp;N$14&amp;"|"&amp;"CY2023Q3",Spectrum!$R:$R,0)),0)),IF(SUM($M49)=0,"",$M49)))</f>
        <v/>
      </c>
      <c r="O49" s="88" t="n">
        <f aca="false">IF(OR(LEFT($B49,4)="_Mil",SUM($F49)=0),"",SUM($N49)/$F49)</f>
        <v>0</v>
      </c>
      <c r="P49" s="88" t="n">
        <f aca="false">IF(OR(LEFT($B49,4)="_Mil",SUM($F49)=0),"",MAX(SUM($O49),80%))</f>
        <v>0.8</v>
      </c>
      <c r="Q49" s="39" t="n">
        <f aca="false">IF(OR(LEFT($B49,4)="_Mil",SUM($F49)=0),"",ROUND(SUM($F49)*$P49,0))</f>
        <v>938</v>
      </c>
      <c r="R49" s="39" t="n">
        <f aca="false">IF(OR(LEFT($B49,4)="_Mil",SUM($Q49)=0),"",ROUND(MAX($Q49-SUM($N49),0),0))</f>
        <v>938</v>
      </c>
      <c r="S49" s="88" t="str">
        <f aca="false">IF(LEFT($B49,4)="_Mil","",IF(SUM($L49)=0,"",IF(SUM($M49)=0,1,$L49/$M49)))</f>
        <v/>
      </c>
      <c r="T49" s="88" t="str">
        <f aca="false">IF(LEFT($B49,4)="_Mil",0,"")</f>
        <v/>
      </c>
      <c r="U49" s="88"/>
      <c r="V49" s="88" t="str">
        <f aca="false">IF($U49="","",$U49)</f>
        <v/>
      </c>
      <c r="W49" s="88"/>
      <c r="X49" s="88" t="str">
        <f aca="false">IF($W49="","",$W49)</f>
        <v/>
      </c>
      <c r="Y49" s="10" t="str">
        <f aca="false">IF(LEFT($B49,4)="_Mil",IF(SUM($L49)=0,"",ROUND($L49*(1+$T49),0)),IF(SUM($R49)=0,"",IF($S49="","ENTER IN COL S",ROUND($R49*$S49,0))))</f>
        <v>ENTER IN COL S</v>
      </c>
      <c r="Z49" s="39" t="str">
        <f aca="false">IF(SUM($Y49)=0,"",IF(AND(SUM($Y49)&gt;0,$V49=""),"ENTER INDETERMINATE RATE",ROUND($Y49*$V49,0)))</f>
        <v/>
      </c>
      <c r="AA49" s="39" t="str">
        <f aca="false">IF(SUM($Y49)=0,"",IF(AND(($Y49-SUM($Z49))&gt;0,$X49=""),"ENTER YIELD RATE",ROUND(($Y49-SUM($Z49))*SUM($X49),0)))</f>
        <v/>
      </c>
      <c r="AB49" s="39" t="str">
        <f aca="false">IF(SUM($Y49)=0,"",$Y49-SUM($Z49)-SUM($AA49))</f>
        <v/>
      </c>
      <c r="AC49" s="10" t="str">
        <f aca="false">IFERROR(1/(1/INDEX(Cascade!$BH:$BH,MATCH($E49,Cascade!$E:$E,0))),"")</f>
        <v/>
      </c>
      <c r="AD49" s="10" t="str">
        <f aca="false">IF(SUM($AA49)=0,"",$AA49)</f>
        <v/>
      </c>
      <c r="AE49" s="10" t="str">
        <f aca="false">IFERROR(1/(1/INDEX(TB!$P:$P,MATCH($E49,TB!$E:$E,0))),"")</f>
        <v/>
      </c>
      <c r="AF49" s="10" t="str">
        <f aca="false">IFERROR(1/(1/(SUM($AC49)-SUM($AD49:$AE49))),"")</f>
        <v/>
      </c>
    </row>
    <row r="50" customFormat="false" ht="15" hidden="false" customHeight="false" outlineLevel="0" collapsed="false">
      <c r="A50" s="0" t="str">
        <f aca="false">INDEX(Prioritization!$D:$D,MATCH($B50,Prioritization!$A:$A,0))</f>
        <v>INVALID</v>
      </c>
      <c r="B50" s="0" t="s">
        <v>202</v>
      </c>
      <c r="C50" s="0" t="s">
        <v>368</v>
      </c>
      <c r="D50" s="0" t="s">
        <v>48</v>
      </c>
      <c r="E50" s="0" t="str">
        <f aca="false">B50&amp;"|"&amp;C50&amp;"|"&amp;D50</f>
        <v>Ntchisi District [fiRkU6gEjLz]|50+|Male</v>
      </c>
      <c r="F50" s="10" t="n">
        <f aca="false">IF(LEFT($B50,4)="_Mil","",INDEX(Cascade!$T:$T,MATCH($E50,Cascade!$E:$E,0)))</f>
        <v>536</v>
      </c>
      <c r="G50" s="10" t="str">
        <f aca="false">IF(LEFT($B50,4)="_Mil","",INDEX(Cascade!$U:$U,MATCH($E50,Cascade!$E:$E,0)))</f>
        <v/>
      </c>
      <c r="H50" s="86" t="n">
        <f aca="false">IF(LEFT($B50,4)="_Mil","",INDEX(Cascade!$W:$W,MATCH($E50,Cascade!$E:$E,0)))</f>
        <v>1644</v>
      </c>
      <c r="I50" s="10" t="n">
        <f aca="false">IF(LEFT($B50,4)="_Mil","",INDEX(Cascade!$Z:$Z,MATCH($E50,Cascade!$E:$E,0)))</f>
        <v>1369</v>
      </c>
      <c r="J50" s="88" t="n">
        <f aca="false">IF(LEFT($B50,4)="_Mil","",INDEX(Cascade!$AA:$AA,MATCH($E50,Cascade!$E:$E,0)))</f>
        <v>1011</v>
      </c>
      <c r="K50" s="10"/>
      <c r="L50" s="10"/>
      <c r="M50" s="39" t="str">
        <f aca="false">IF(LEFT($B50,4)="_Mil","",IFERROR(1/(1/ROUND(INDEX(Spectrum!$N:$N,MATCH(RIGHT($B50,13)&amp;"|"&amp;$C50&amp;"|"&amp;$D50&amp;"|"&amp;M$14&amp;"|"&amp;"CY2023Q3",Spectrum!$R:$R,0)),0)),IF(SUM($L50)=0,"",$L50)))</f>
        <v/>
      </c>
      <c r="N50" s="39" t="str">
        <f aca="false">IF(LEFT($B50,4)="_Mil","",IFERROR(1/(1/ROUND(INDEX(Spectrum!$N:$N,MATCH(RIGHT($B50,13)&amp;"|"&amp;$C50&amp;"|"&amp;$D50&amp;"|"&amp;N$14&amp;"|"&amp;"CY2023Q3",Spectrum!$R:$R,0)),0)),IF(SUM($M50)=0,"",$M50)))</f>
        <v/>
      </c>
      <c r="O50" s="88" t="n">
        <f aca="false">IF(OR(LEFT($B50,4)="_Mil",SUM($F50)=0),"",SUM($N50)/$F50)</f>
        <v>0</v>
      </c>
      <c r="P50" s="88" t="n">
        <f aca="false">IF(OR(LEFT($B50,4)="_Mil",SUM($F50)=0),"",MAX(SUM($O50),80%))</f>
        <v>0.8</v>
      </c>
      <c r="Q50" s="39" t="n">
        <f aca="false">IF(OR(LEFT($B50,4)="_Mil",SUM($F50)=0),"",ROUND(SUM($F50)*$P50,0))</f>
        <v>429</v>
      </c>
      <c r="R50" s="39" t="n">
        <f aca="false">IF(OR(LEFT($B50,4)="_Mil",SUM($Q50)=0),"",ROUND(MAX($Q50-SUM($N50),0),0))</f>
        <v>429</v>
      </c>
      <c r="S50" s="88" t="str">
        <f aca="false">IF(LEFT($B50,4)="_Mil","",IF(SUM($L50)=0,"",IF(SUM($M50)=0,1,$L50/$M50)))</f>
        <v/>
      </c>
      <c r="T50" s="88" t="str">
        <f aca="false">IF(LEFT($B50,4)="_Mil",0,"")</f>
        <v/>
      </c>
      <c r="U50" s="88"/>
      <c r="V50" s="88" t="str">
        <f aca="false">IF($U50="","",$U50)</f>
        <v/>
      </c>
      <c r="W50" s="88"/>
      <c r="X50" s="88" t="str">
        <f aca="false">IF($W50="","",$W50)</f>
        <v/>
      </c>
      <c r="Y50" s="10" t="str">
        <f aca="false">IF(LEFT($B50,4)="_Mil",IF(SUM($L50)=0,"",ROUND($L50*(1+$T50),0)),IF(SUM($R50)=0,"",IF($S50="","ENTER IN COL S",ROUND($R50*$S50,0))))</f>
        <v>ENTER IN COL S</v>
      </c>
      <c r="Z50" s="39" t="str">
        <f aca="false">IF(SUM($Y50)=0,"",IF(AND(SUM($Y50)&gt;0,$V50=""),"ENTER INDETERMINATE RATE",ROUND($Y50*$V50,0)))</f>
        <v/>
      </c>
      <c r="AA50" s="39" t="str">
        <f aca="false">IF(SUM($Y50)=0,"",IF(AND(($Y50-SUM($Z50))&gt;0,$X50=""),"ENTER YIELD RATE",ROUND(($Y50-SUM($Z50))*SUM($X50),0)))</f>
        <v/>
      </c>
      <c r="AB50" s="39" t="str">
        <f aca="false">IF(SUM($Y50)=0,"",$Y50-SUM($Z50)-SUM($AA50))</f>
        <v/>
      </c>
      <c r="AC50" s="10" t="str">
        <f aca="false">IFERROR(1/(1/INDEX(Cascade!$BH:$BH,MATCH($E50,Cascade!$E:$E,0))),"")</f>
        <v/>
      </c>
      <c r="AD50" s="10" t="str">
        <f aca="false">IF(SUM($AA50)=0,"",$AA50)</f>
        <v/>
      </c>
      <c r="AE50" s="10" t="str">
        <f aca="false">IFERROR(1/(1/INDEX(TB!$P:$P,MATCH($E50,TB!$E:$E,0))),"")</f>
        <v/>
      </c>
      <c r="AF50" s="10" t="str">
        <f aca="false">IFERROR(1/(1/(SUM($AC50)-SUM($AD50:$AE50))),"")</f>
        <v/>
      </c>
    </row>
    <row r="51" customFormat="false" ht="15" hidden="false" customHeight="false" outlineLevel="0" collapsed="false">
      <c r="A51" s="0" t="str">
        <f aca="false">INDEX(Prioritization!$D:$D,MATCH($B51,Prioritization!$A:$A,0))</f>
        <v>INVALID</v>
      </c>
      <c r="B51" s="0" t="s">
        <v>203</v>
      </c>
      <c r="C51" s="0" t="s">
        <v>365</v>
      </c>
      <c r="D51" s="0" t="s">
        <v>48</v>
      </c>
      <c r="E51" s="0" t="str">
        <f aca="false">B51&amp;"|"&amp;C51&amp;"|"&amp;D51</f>
        <v>Salima District [msW2zpIN7up]|15-24|Male</v>
      </c>
      <c r="F51" s="10" t="n">
        <f aca="false">IF(LEFT($B51,4)="_Mil","",INDEX(Cascade!$T:$T,MATCH($E51,Cascade!$E:$E,0)))</f>
        <v>1297</v>
      </c>
      <c r="G51" s="10" t="str">
        <f aca="false">IF(LEFT($B51,4)="_Mil","",INDEX(Cascade!$U:$U,MATCH($E51,Cascade!$E:$E,0)))</f>
        <v/>
      </c>
      <c r="H51" s="86" t="n">
        <f aca="false">IF(LEFT($B51,4)="_Mil","",INDEX(Cascade!$W:$W,MATCH($E51,Cascade!$E:$E,0)))</f>
        <v>1984</v>
      </c>
      <c r="I51" s="10" t="n">
        <f aca="false">IF(LEFT($B51,4)="_Mil","",INDEX(Cascade!$Z:$Z,MATCH($E51,Cascade!$E:$E,0)))</f>
        <v>1301</v>
      </c>
      <c r="J51" s="88" t="n">
        <f aca="false">IF(LEFT($B51,4)="_Mil","",INDEX(Cascade!$AA:$AA,MATCH($E51,Cascade!$E:$E,0)))</f>
        <v>1321</v>
      </c>
      <c r="K51" s="10"/>
      <c r="L51" s="10"/>
      <c r="M51" s="39" t="str">
        <f aca="false">IF(LEFT($B51,4)="_Mil","",IFERROR(1/(1/ROUND(INDEX(Spectrum!$N:$N,MATCH(RIGHT($B51,13)&amp;"|"&amp;$C51&amp;"|"&amp;$D51&amp;"|"&amp;M$14&amp;"|"&amp;"CY2023Q3",Spectrum!$R:$R,0)),0)),IF(SUM($L51)=0,"",$L51)))</f>
        <v/>
      </c>
      <c r="N51" s="39" t="str">
        <f aca="false">IF(LEFT($B51,4)="_Mil","",IFERROR(1/(1/ROUND(INDEX(Spectrum!$N:$N,MATCH(RIGHT($B51,13)&amp;"|"&amp;$C51&amp;"|"&amp;$D51&amp;"|"&amp;N$14&amp;"|"&amp;"CY2023Q3",Spectrum!$R:$R,0)),0)),IF(SUM($M51)=0,"",$M51)))</f>
        <v/>
      </c>
      <c r="O51" s="88" t="n">
        <f aca="false">IF(OR(LEFT($B51,4)="_Mil",SUM($F51)=0),"",SUM($N51)/$F51)</f>
        <v>0</v>
      </c>
      <c r="P51" s="88" t="n">
        <f aca="false">IF(OR(LEFT($B51,4)="_Mil",SUM($F51)=0),"",MAX(SUM($O51),80%))</f>
        <v>0.8</v>
      </c>
      <c r="Q51" s="39" t="n">
        <f aca="false">IF(OR(LEFT($B51,4)="_Mil",SUM($F51)=0),"",ROUND(SUM($F51)*$P51,0))</f>
        <v>1038</v>
      </c>
      <c r="R51" s="39" t="n">
        <f aca="false">IF(OR(LEFT($B51,4)="_Mil",SUM($Q51)=0),"",ROUND(MAX($Q51-SUM($N51),0),0))</f>
        <v>1038</v>
      </c>
      <c r="S51" s="88" t="str">
        <f aca="false">IF(LEFT($B51,4)="_Mil","",IF(SUM($L51)=0,"",IF(SUM($M51)=0,1,$L51/$M51)))</f>
        <v/>
      </c>
      <c r="T51" s="88" t="str">
        <f aca="false">IF(LEFT($B51,4)="_Mil",0,"")</f>
        <v/>
      </c>
      <c r="U51" s="88"/>
      <c r="V51" s="88" t="str">
        <f aca="false">IF($U51="","",$U51)</f>
        <v/>
      </c>
      <c r="W51" s="88"/>
      <c r="X51" s="88" t="str">
        <f aca="false">IF($W51="","",$W51)</f>
        <v/>
      </c>
      <c r="Y51" s="10" t="str">
        <f aca="false">IF(LEFT($B51,4)="_Mil",IF(SUM($L51)=0,"",ROUND($L51*(1+$T51),0)),IF(SUM($R51)=0,"",IF($S51="","ENTER IN COL S",ROUND($R51*$S51,0))))</f>
        <v>ENTER IN COL S</v>
      </c>
      <c r="Z51" s="39" t="str">
        <f aca="false">IF(SUM($Y51)=0,"",IF(AND(SUM($Y51)&gt;0,$V51=""),"ENTER INDETERMINATE RATE",ROUND($Y51*$V51,0)))</f>
        <v/>
      </c>
      <c r="AA51" s="39" t="str">
        <f aca="false">IF(SUM($Y51)=0,"",IF(AND(($Y51-SUM($Z51))&gt;0,$X51=""),"ENTER YIELD RATE",ROUND(($Y51-SUM($Z51))*SUM($X51),0)))</f>
        <v/>
      </c>
      <c r="AB51" s="39" t="str">
        <f aca="false">IF(SUM($Y51)=0,"",$Y51-SUM($Z51)-SUM($AA51))</f>
        <v/>
      </c>
      <c r="AC51" s="10" t="str">
        <f aca="false">IFERROR(1/(1/INDEX(Cascade!$BH:$BH,MATCH($E51,Cascade!$E:$E,0))),"")</f>
        <v/>
      </c>
      <c r="AD51" s="10" t="str">
        <f aca="false">IF(SUM($AA51)=0,"",$AA51)</f>
        <v/>
      </c>
      <c r="AE51" s="10" t="str">
        <f aca="false">IFERROR(1/(1/INDEX(TB!$P:$P,MATCH($E51,TB!$E:$E,0))),"")</f>
        <v/>
      </c>
      <c r="AF51" s="10" t="str">
        <f aca="false">IFERROR(1/(1/(SUM($AC51)-SUM($AD51:$AE51))),"")</f>
        <v/>
      </c>
    </row>
    <row r="52" customFormat="false" ht="15" hidden="false" customHeight="false" outlineLevel="0" collapsed="false">
      <c r="A52" s="0" t="str">
        <f aca="false">INDEX(Prioritization!$D:$D,MATCH($B52,Prioritization!$A:$A,0))</f>
        <v>INVALID</v>
      </c>
      <c r="B52" s="0" t="s">
        <v>203</v>
      </c>
      <c r="C52" s="0" t="s">
        <v>366</v>
      </c>
      <c r="D52" s="0" t="s">
        <v>48</v>
      </c>
      <c r="E52" s="0" t="str">
        <f aca="false">B52&amp;"|"&amp;C52&amp;"|"&amp;D52</f>
        <v>Salima District [msW2zpIN7up]|25-34|Male</v>
      </c>
      <c r="F52" s="10" t="n">
        <f aca="false">IF(LEFT($B52,4)="_Mil","",INDEX(Cascade!$T:$T,MATCH($E52,Cascade!$E:$E,0)))</f>
        <v>896</v>
      </c>
      <c r="G52" s="10" t="str">
        <f aca="false">IF(LEFT($B52,4)="_Mil","",INDEX(Cascade!$U:$U,MATCH($E52,Cascade!$E:$E,0)))</f>
        <v/>
      </c>
      <c r="H52" s="86" t="n">
        <f aca="false">IF(LEFT($B52,4)="_Mil","",INDEX(Cascade!$W:$W,MATCH($E52,Cascade!$E:$E,0)))</f>
        <v>888</v>
      </c>
      <c r="I52" s="10" t="n">
        <f aca="false">IF(LEFT($B52,4)="_Mil","",INDEX(Cascade!$Z:$Z,MATCH($E52,Cascade!$E:$E,0)))</f>
        <v>1135</v>
      </c>
      <c r="J52" s="88" t="n">
        <f aca="false">IF(LEFT($B52,4)="_Mil","",INDEX(Cascade!$AA:$AA,MATCH($E52,Cascade!$E:$E,0)))</f>
        <v>509</v>
      </c>
      <c r="K52" s="10"/>
      <c r="L52" s="10"/>
      <c r="M52" s="39" t="str">
        <f aca="false">IF(LEFT($B52,4)="_Mil","",IFERROR(1/(1/ROUND(INDEX(Spectrum!$N:$N,MATCH(RIGHT($B52,13)&amp;"|"&amp;$C52&amp;"|"&amp;$D52&amp;"|"&amp;M$14&amp;"|"&amp;"CY2023Q3",Spectrum!$R:$R,0)),0)),IF(SUM($L52)=0,"",$L52)))</f>
        <v/>
      </c>
      <c r="N52" s="39" t="str">
        <f aca="false">IF(LEFT($B52,4)="_Mil","",IFERROR(1/(1/ROUND(INDEX(Spectrum!$N:$N,MATCH(RIGHT($B52,13)&amp;"|"&amp;$C52&amp;"|"&amp;$D52&amp;"|"&amp;N$14&amp;"|"&amp;"CY2023Q3",Spectrum!$R:$R,0)),0)),IF(SUM($M52)=0,"",$M52)))</f>
        <v/>
      </c>
      <c r="O52" s="88" t="n">
        <f aca="false">IF(OR(LEFT($B52,4)="_Mil",SUM($F52)=0),"",SUM($N52)/$F52)</f>
        <v>0</v>
      </c>
      <c r="P52" s="88" t="n">
        <f aca="false">IF(OR(LEFT($B52,4)="_Mil",SUM($F52)=0),"",MAX(SUM($O52),80%))</f>
        <v>0.8</v>
      </c>
      <c r="Q52" s="39" t="n">
        <f aca="false">IF(OR(LEFT($B52,4)="_Mil",SUM($F52)=0),"",ROUND(SUM($F52)*$P52,0))</f>
        <v>717</v>
      </c>
      <c r="R52" s="39" t="n">
        <f aca="false">IF(OR(LEFT($B52,4)="_Mil",SUM($Q52)=0),"",ROUND(MAX($Q52-SUM($N52),0),0))</f>
        <v>717</v>
      </c>
      <c r="S52" s="88" t="str">
        <f aca="false">IF(LEFT($B52,4)="_Mil","",IF(SUM($L52)=0,"",IF(SUM($M52)=0,1,$L52/$M52)))</f>
        <v/>
      </c>
      <c r="T52" s="88" t="str">
        <f aca="false">IF(LEFT($B52,4)="_Mil",0,"")</f>
        <v/>
      </c>
      <c r="U52" s="88"/>
      <c r="V52" s="88" t="str">
        <f aca="false">IF($U52="","",$U52)</f>
        <v/>
      </c>
      <c r="W52" s="88"/>
      <c r="X52" s="88" t="str">
        <f aca="false">IF($W52="","",$W52)</f>
        <v/>
      </c>
      <c r="Y52" s="10" t="str">
        <f aca="false">IF(LEFT($B52,4)="_Mil",IF(SUM($L52)=0,"",ROUND($L52*(1+$T52),0)),IF(SUM($R52)=0,"",IF($S52="","ENTER IN COL S",ROUND($R52*$S52,0))))</f>
        <v>ENTER IN COL S</v>
      </c>
      <c r="Z52" s="39" t="str">
        <f aca="false">IF(SUM($Y52)=0,"",IF(AND(SUM($Y52)&gt;0,$V52=""),"ENTER INDETERMINATE RATE",ROUND($Y52*$V52,0)))</f>
        <v/>
      </c>
      <c r="AA52" s="39" t="str">
        <f aca="false">IF(SUM($Y52)=0,"",IF(AND(($Y52-SUM($Z52))&gt;0,$X52=""),"ENTER YIELD RATE",ROUND(($Y52-SUM($Z52))*SUM($X52),0)))</f>
        <v/>
      </c>
      <c r="AB52" s="39" t="str">
        <f aca="false">IF(SUM($Y52)=0,"",$Y52-SUM($Z52)-SUM($AA52))</f>
        <v/>
      </c>
      <c r="AC52" s="10" t="str">
        <f aca="false">IFERROR(1/(1/INDEX(Cascade!$BH:$BH,MATCH($E52,Cascade!$E:$E,0))),"")</f>
        <v/>
      </c>
      <c r="AD52" s="10" t="str">
        <f aca="false">IF(SUM($AA52)=0,"",$AA52)</f>
        <v/>
      </c>
      <c r="AE52" s="10" t="str">
        <f aca="false">IFERROR(1/(1/INDEX(TB!$P:$P,MATCH($E52,TB!$E:$E,0))),"")</f>
        <v/>
      </c>
      <c r="AF52" s="10" t="str">
        <f aca="false">IFERROR(1/(1/(SUM($AC52)-SUM($AD52:$AE52))),"")</f>
        <v/>
      </c>
    </row>
    <row r="53" customFormat="false" ht="15" hidden="false" customHeight="false" outlineLevel="0" collapsed="false">
      <c r="A53" s="0" t="str">
        <f aca="false">INDEX(Prioritization!$D:$D,MATCH($B53,Prioritization!$A:$A,0))</f>
        <v>INVALID</v>
      </c>
      <c r="B53" s="0" t="s">
        <v>203</v>
      </c>
      <c r="C53" s="0" t="s">
        <v>367</v>
      </c>
      <c r="D53" s="0" t="s">
        <v>48</v>
      </c>
      <c r="E53" s="0" t="str">
        <f aca="false">B53&amp;"|"&amp;C53&amp;"|"&amp;D53</f>
        <v>Salima District [msW2zpIN7up]|35-49|Male</v>
      </c>
      <c r="F53" s="10" t="n">
        <f aca="false">IF(LEFT($B53,4)="_Mil","",INDEX(Cascade!$T:$T,MATCH($E53,Cascade!$E:$E,0)))</f>
        <v>1091</v>
      </c>
      <c r="G53" s="10" t="str">
        <f aca="false">IF(LEFT($B53,4)="_Mil","",INDEX(Cascade!$U:$U,MATCH($E53,Cascade!$E:$E,0)))</f>
        <v/>
      </c>
      <c r="H53" s="86" t="n">
        <f aca="false">IF(LEFT($B53,4)="_Mil","",INDEX(Cascade!$W:$W,MATCH($E53,Cascade!$E:$E,0)))</f>
        <v>1594</v>
      </c>
      <c r="I53" s="10" t="n">
        <f aca="false">IF(LEFT($B53,4)="_Mil","",INDEX(Cascade!$Z:$Z,MATCH($E53,Cascade!$E:$E,0)))</f>
        <v>1942</v>
      </c>
      <c r="J53" s="88" t="n">
        <f aca="false">IF(LEFT($B53,4)="_Mil","",INDEX(Cascade!$AA:$AA,MATCH($E53,Cascade!$E:$E,0)))</f>
        <v>1338</v>
      </c>
      <c r="K53" s="10"/>
      <c r="L53" s="10"/>
      <c r="M53" s="39" t="str">
        <f aca="false">IF(LEFT($B53,4)="_Mil","",IFERROR(1/(1/ROUND(INDEX(Spectrum!$N:$N,MATCH(RIGHT($B53,13)&amp;"|"&amp;$C53&amp;"|"&amp;$D53&amp;"|"&amp;M$14&amp;"|"&amp;"CY2023Q3",Spectrum!$R:$R,0)),0)),IF(SUM($L53)=0,"",$L53)))</f>
        <v/>
      </c>
      <c r="N53" s="39" t="str">
        <f aca="false">IF(LEFT($B53,4)="_Mil","",IFERROR(1/(1/ROUND(INDEX(Spectrum!$N:$N,MATCH(RIGHT($B53,13)&amp;"|"&amp;$C53&amp;"|"&amp;$D53&amp;"|"&amp;N$14&amp;"|"&amp;"CY2023Q3",Spectrum!$R:$R,0)),0)),IF(SUM($M53)=0,"",$M53)))</f>
        <v/>
      </c>
      <c r="O53" s="88" t="n">
        <f aca="false">IF(OR(LEFT($B53,4)="_Mil",SUM($F53)=0),"",SUM($N53)/$F53)</f>
        <v>0</v>
      </c>
      <c r="P53" s="88" t="n">
        <f aca="false">IF(OR(LEFT($B53,4)="_Mil",SUM($F53)=0),"",MAX(SUM($O53),80%))</f>
        <v>0.8</v>
      </c>
      <c r="Q53" s="39" t="n">
        <f aca="false">IF(OR(LEFT($B53,4)="_Mil",SUM($F53)=0),"",ROUND(SUM($F53)*$P53,0))</f>
        <v>873</v>
      </c>
      <c r="R53" s="39" t="n">
        <f aca="false">IF(OR(LEFT($B53,4)="_Mil",SUM($Q53)=0),"",ROUND(MAX($Q53-SUM($N53),0),0))</f>
        <v>873</v>
      </c>
      <c r="S53" s="88" t="str">
        <f aca="false">IF(LEFT($B53,4)="_Mil","",IF(SUM($L53)=0,"",IF(SUM($M53)=0,1,$L53/$M53)))</f>
        <v/>
      </c>
      <c r="T53" s="88" t="str">
        <f aca="false">IF(LEFT($B53,4)="_Mil",0,"")</f>
        <v/>
      </c>
      <c r="U53" s="88"/>
      <c r="V53" s="88" t="str">
        <f aca="false">IF($U53="","",$U53)</f>
        <v/>
      </c>
      <c r="W53" s="88"/>
      <c r="X53" s="88" t="str">
        <f aca="false">IF($W53="","",$W53)</f>
        <v/>
      </c>
      <c r="Y53" s="10" t="str">
        <f aca="false">IF(LEFT($B53,4)="_Mil",IF(SUM($L53)=0,"",ROUND($L53*(1+$T53),0)),IF(SUM($R53)=0,"",IF($S53="","ENTER IN COL S",ROUND($R53*$S53,0))))</f>
        <v>ENTER IN COL S</v>
      </c>
      <c r="Z53" s="39" t="str">
        <f aca="false">IF(SUM($Y53)=0,"",IF(AND(SUM($Y53)&gt;0,$V53=""),"ENTER INDETERMINATE RATE",ROUND($Y53*$V53,0)))</f>
        <v/>
      </c>
      <c r="AA53" s="39" t="str">
        <f aca="false">IF(SUM($Y53)=0,"",IF(AND(($Y53-SUM($Z53))&gt;0,$X53=""),"ENTER YIELD RATE",ROUND(($Y53-SUM($Z53))*SUM($X53),0)))</f>
        <v/>
      </c>
      <c r="AB53" s="39" t="str">
        <f aca="false">IF(SUM($Y53)=0,"",$Y53-SUM($Z53)-SUM($AA53))</f>
        <v/>
      </c>
      <c r="AC53" s="10" t="str">
        <f aca="false">IFERROR(1/(1/INDEX(Cascade!$BH:$BH,MATCH($E53,Cascade!$E:$E,0))),"")</f>
        <v/>
      </c>
      <c r="AD53" s="10" t="str">
        <f aca="false">IF(SUM($AA53)=0,"",$AA53)</f>
        <v/>
      </c>
      <c r="AE53" s="10" t="str">
        <f aca="false">IFERROR(1/(1/INDEX(TB!$P:$P,MATCH($E53,TB!$E:$E,0))),"")</f>
        <v/>
      </c>
      <c r="AF53" s="10" t="str">
        <f aca="false">IFERROR(1/(1/(SUM($AC53)-SUM($AD53:$AE53))),"")</f>
        <v/>
      </c>
    </row>
    <row r="54" customFormat="false" ht="15" hidden="false" customHeight="false" outlineLevel="0" collapsed="false">
      <c r="A54" s="0" t="str">
        <f aca="false">INDEX(Prioritization!$D:$D,MATCH($B54,Prioritization!$A:$A,0))</f>
        <v>INVALID</v>
      </c>
      <c r="B54" s="0" t="s">
        <v>203</v>
      </c>
      <c r="C54" s="0" t="s">
        <v>368</v>
      </c>
      <c r="D54" s="0" t="s">
        <v>48</v>
      </c>
      <c r="E54" s="0" t="str">
        <f aca="false">B54&amp;"|"&amp;C54&amp;"|"&amp;D54</f>
        <v>Salima District [msW2zpIN7up]|50+|Male</v>
      </c>
      <c r="F54" s="10" t="n">
        <f aca="false">IF(LEFT($B54,4)="_Mil","",INDEX(Cascade!$T:$T,MATCH($E54,Cascade!$E:$E,0)))</f>
        <v>1967</v>
      </c>
      <c r="G54" s="10" t="str">
        <f aca="false">IF(LEFT($B54,4)="_Mil","",INDEX(Cascade!$U:$U,MATCH($E54,Cascade!$E:$E,0)))</f>
        <v/>
      </c>
      <c r="H54" s="86" t="n">
        <f aca="false">IF(LEFT($B54,4)="_Mil","",INDEX(Cascade!$W:$W,MATCH($E54,Cascade!$E:$E,0)))</f>
        <v>1609</v>
      </c>
      <c r="I54" s="10" t="n">
        <f aca="false">IF(LEFT($B54,4)="_Mil","",INDEX(Cascade!$Z:$Z,MATCH($E54,Cascade!$E:$E,0)))</f>
        <v>1636</v>
      </c>
      <c r="J54" s="88" t="n">
        <f aca="false">IF(LEFT($B54,4)="_Mil","",INDEX(Cascade!$AA:$AA,MATCH($E54,Cascade!$E:$E,0)))</f>
        <v>716</v>
      </c>
      <c r="K54" s="10"/>
      <c r="L54" s="10"/>
      <c r="M54" s="39" t="str">
        <f aca="false">IF(LEFT($B54,4)="_Mil","",IFERROR(1/(1/ROUND(INDEX(Spectrum!$N:$N,MATCH(RIGHT($B54,13)&amp;"|"&amp;$C54&amp;"|"&amp;$D54&amp;"|"&amp;M$14&amp;"|"&amp;"CY2023Q3",Spectrum!$R:$R,0)),0)),IF(SUM($L54)=0,"",$L54)))</f>
        <v/>
      </c>
      <c r="N54" s="39" t="str">
        <f aca="false">IF(LEFT($B54,4)="_Mil","",IFERROR(1/(1/ROUND(INDEX(Spectrum!$N:$N,MATCH(RIGHT($B54,13)&amp;"|"&amp;$C54&amp;"|"&amp;$D54&amp;"|"&amp;N$14&amp;"|"&amp;"CY2023Q3",Spectrum!$R:$R,0)),0)),IF(SUM($M54)=0,"",$M54)))</f>
        <v/>
      </c>
      <c r="O54" s="88" t="n">
        <f aca="false">IF(OR(LEFT($B54,4)="_Mil",SUM($F54)=0),"",SUM($N54)/$F54)</f>
        <v>0</v>
      </c>
      <c r="P54" s="88" t="n">
        <f aca="false">IF(OR(LEFT($B54,4)="_Mil",SUM($F54)=0),"",MAX(SUM($O54),80%))</f>
        <v>0.8</v>
      </c>
      <c r="Q54" s="39" t="n">
        <f aca="false">IF(OR(LEFT($B54,4)="_Mil",SUM($F54)=0),"",ROUND(SUM($F54)*$P54,0))</f>
        <v>1574</v>
      </c>
      <c r="R54" s="39" t="n">
        <f aca="false">IF(OR(LEFT($B54,4)="_Mil",SUM($Q54)=0),"",ROUND(MAX($Q54-SUM($N54),0),0))</f>
        <v>1574</v>
      </c>
      <c r="S54" s="88" t="str">
        <f aca="false">IF(LEFT($B54,4)="_Mil","",IF(SUM($L54)=0,"",IF(SUM($M54)=0,1,$L54/$M54)))</f>
        <v/>
      </c>
      <c r="T54" s="88" t="str">
        <f aca="false">IF(LEFT($B54,4)="_Mil",0,"")</f>
        <v/>
      </c>
      <c r="U54" s="88"/>
      <c r="V54" s="88" t="str">
        <f aca="false">IF($U54="","",$U54)</f>
        <v/>
      </c>
      <c r="W54" s="88"/>
      <c r="X54" s="88" t="str">
        <f aca="false">IF($W54="","",$W54)</f>
        <v/>
      </c>
      <c r="Y54" s="10" t="str">
        <f aca="false">IF(LEFT($B54,4)="_Mil",IF(SUM($L54)=0,"",ROUND($L54*(1+$T54),0)),IF(SUM($R54)=0,"",IF($S54="","ENTER IN COL S",ROUND($R54*$S54,0))))</f>
        <v>ENTER IN COL S</v>
      </c>
      <c r="Z54" s="39" t="str">
        <f aca="false">IF(SUM($Y54)=0,"",IF(AND(SUM($Y54)&gt;0,$V54=""),"ENTER INDETERMINATE RATE",ROUND($Y54*$V54,0)))</f>
        <v/>
      </c>
      <c r="AA54" s="39" t="str">
        <f aca="false">IF(SUM($Y54)=0,"",IF(AND(($Y54-SUM($Z54))&gt;0,$X54=""),"ENTER YIELD RATE",ROUND(($Y54-SUM($Z54))*SUM($X54),0)))</f>
        <v/>
      </c>
      <c r="AB54" s="39" t="str">
        <f aca="false">IF(SUM($Y54)=0,"",$Y54-SUM($Z54)-SUM($AA54))</f>
        <v/>
      </c>
      <c r="AC54" s="10" t="str">
        <f aca="false">IFERROR(1/(1/INDEX(Cascade!$BH:$BH,MATCH($E54,Cascade!$E:$E,0))),"")</f>
        <v/>
      </c>
      <c r="AD54" s="10" t="str">
        <f aca="false">IF(SUM($AA54)=0,"",$AA54)</f>
        <v/>
      </c>
      <c r="AE54" s="10" t="str">
        <f aca="false">IFERROR(1/(1/INDEX(TB!$P:$P,MATCH($E54,TB!$E:$E,0))),"")</f>
        <v/>
      </c>
      <c r="AF54" s="10" t="str">
        <f aca="false">IFERROR(1/(1/(SUM($AC54)-SUM($AD54:$AE54))),"")</f>
        <v/>
      </c>
    </row>
    <row r="55" customFormat="false" ht="15" hidden="false" customHeight="false" outlineLevel="0" collapsed="false">
      <c r="A55" s="0" t="str">
        <f aca="false">INDEX(Prioritization!$D:$D,MATCH($B55,Prioritization!$A:$A,0))</f>
        <v>1 - Scale-up: Saturation</v>
      </c>
      <c r="B55" s="0" t="s">
        <v>204</v>
      </c>
      <c r="C55" s="0" t="s">
        <v>365</v>
      </c>
      <c r="D55" s="0" t="s">
        <v>48</v>
      </c>
      <c r="E55" s="0" t="str">
        <f aca="false">B55&amp;"|"&amp;C55&amp;"|"&amp;D55</f>
        <v>Chitipa District [GkIwZrXy1h2]|15-24|Male</v>
      </c>
      <c r="F55" s="10" t="n">
        <f aca="false">IF(LEFT($B55,4)="_Mil","",INDEX(Cascade!$T:$T,MATCH($E55,Cascade!$E:$E,0)))</f>
        <v>1977</v>
      </c>
      <c r="G55" s="10" t="str">
        <f aca="false">IF(LEFT($B55,4)="_Mil","",INDEX(Cascade!$U:$U,MATCH($E55,Cascade!$E:$E,0)))</f>
        <v/>
      </c>
      <c r="H55" s="86" t="n">
        <f aca="false">IF(LEFT($B55,4)="_Mil","",INDEX(Cascade!$W:$W,MATCH($E55,Cascade!$E:$E,0)))</f>
        <v>1784</v>
      </c>
      <c r="I55" s="10" t="n">
        <f aca="false">IF(LEFT($B55,4)="_Mil","",INDEX(Cascade!$Z:$Z,MATCH($E55,Cascade!$E:$E,0)))</f>
        <v>515</v>
      </c>
      <c r="J55" s="88" t="n">
        <f aca="false">IF(LEFT($B55,4)="_Mil","",INDEX(Cascade!$AA:$AA,MATCH($E55,Cascade!$E:$E,0)))</f>
        <v>690</v>
      </c>
      <c r="K55" s="10"/>
      <c r="L55" s="10"/>
      <c r="M55" s="39" t="str">
        <f aca="false">IF(LEFT($B55,4)="_Mil","",IFERROR(1/(1/ROUND(INDEX(Spectrum!$N:$N,MATCH(RIGHT($B55,13)&amp;"|"&amp;$C55&amp;"|"&amp;$D55&amp;"|"&amp;M$14&amp;"|"&amp;"CY2023Q3",Spectrum!$R:$R,0)),0)),IF(SUM($L55)=0,"",$L55)))</f>
        <v/>
      </c>
      <c r="N55" s="39" t="str">
        <f aca="false">IF(LEFT($B55,4)="_Mil","",IFERROR(1/(1/ROUND(INDEX(Spectrum!$N:$N,MATCH(RIGHT($B55,13)&amp;"|"&amp;$C55&amp;"|"&amp;$D55&amp;"|"&amp;N$14&amp;"|"&amp;"CY2023Q3",Spectrum!$R:$R,0)),0)),IF(SUM($M55)=0,"",$M55)))</f>
        <v/>
      </c>
      <c r="O55" s="88" t="n">
        <f aca="false">IF(OR(LEFT($B55,4)="_Mil",SUM($F55)=0),"",SUM($N55)/$F55)</f>
        <v>0</v>
      </c>
      <c r="P55" s="88" t="n">
        <f aca="false">IF(OR(LEFT($B55,4)="_Mil",SUM($F55)=0),"",MAX(SUM($O55),80%))</f>
        <v>0.8</v>
      </c>
      <c r="Q55" s="39" t="n">
        <f aca="false">IF(OR(LEFT($B55,4)="_Mil",SUM($F55)=0),"",ROUND(SUM($F55)*$P55,0))</f>
        <v>1582</v>
      </c>
      <c r="R55" s="39" t="n">
        <f aca="false">IF(OR(LEFT($B55,4)="_Mil",SUM($Q55)=0),"",ROUND(MAX($Q55-SUM($N55),0),0))</f>
        <v>1582</v>
      </c>
      <c r="S55" s="88" t="str">
        <f aca="false">IF(LEFT($B55,4)="_Mil","",IF(SUM($L55)=0,"",IF(SUM($M55)=0,1,$L55/$M55)))</f>
        <v/>
      </c>
      <c r="T55" s="88" t="str">
        <f aca="false">IF(LEFT($B55,4)="_Mil",0,"")</f>
        <v/>
      </c>
      <c r="U55" s="88"/>
      <c r="V55" s="88" t="str">
        <f aca="false">IF($U55="","",$U55)</f>
        <v/>
      </c>
      <c r="W55" s="88"/>
      <c r="X55" s="88" t="str">
        <f aca="false">IF($W55="","",$W55)</f>
        <v/>
      </c>
      <c r="Y55" s="10" t="str">
        <f aca="false">IF(LEFT($B55,4)="_Mil",IF(SUM($L55)=0,"",ROUND($L55*(1+$T55),0)),IF(SUM($R55)=0,"",IF($S55="","ENTER IN COL S",ROUND($R55*$S55,0))))</f>
        <v>ENTER IN COL S</v>
      </c>
      <c r="Z55" s="39" t="str">
        <f aca="false">IF(SUM($Y55)=0,"",IF(AND(SUM($Y55)&gt;0,$V55=""),"ENTER INDETERMINATE RATE",ROUND($Y55*$V55,0)))</f>
        <v/>
      </c>
      <c r="AA55" s="39" t="str">
        <f aca="false">IF(SUM($Y55)=0,"",IF(AND(($Y55-SUM($Z55))&gt;0,$X55=""),"ENTER YIELD RATE",ROUND(($Y55-SUM($Z55))*SUM($X55),0)))</f>
        <v/>
      </c>
      <c r="AB55" s="39" t="str">
        <f aca="false">IF(SUM($Y55)=0,"",$Y55-SUM($Z55)-SUM($AA55))</f>
        <v/>
      </c>
      <c r="AC55" s="10" t="str">
        <f aca="false">IFERROR(1/(1/INDEX(Cascade!$BH:$BH,MATCH($E55,Cascade!$E:$E,0))),"")</f>
        <v/>
      </c>
      <c r="AD55" s="10" t="str">
        <f aca="false">IF(SUM($AA55)=0,"",$AA55)</f>
        <v/>
      </c>
      <c r="AE55" s="10" t="str">
        <f aca="false">IFERROR(1/(1/INDEX(TB!$P:$P,MATCH($E55,TB!$E:$E,0))),"")</f>
        <v/>
      </c>
      <c r="AF55" s="10" t="str">
        <f aca="false">IFERROR(1/(1/(SUM($AC55)-SUM($AD55:$AE55))),"")</f>
        <v/>
      </c>
    </row>
    <row r="56" customFormat="false" ht="15" hidden="false" customHeight="false" outlineLevel="0" collapsed="false">
      <c r="A56" s="0" t="str">
        <f aca="false">INDEX(Prioritization!$D:$D,MATCH($B56,Prioritization!$A:$A,0))</f>
        <v>1 - Scale-up: Saturation</v>
      </c>
      <c r="B56" s="0" t="s">
        <v>204</v>
      </c>
      <c r="C56" s="0" t="s">
        <v>366</v>
      </c>
      <c r="D56" s="0" t="s">
        <v>48</v>
      </c>
      <c r="E56" s="0" t="str">
        <f aca="false">B56&amp;"|"&amp;C56&amp;"|"&amp;D56</f>
        <v>Chitipa District [GkIwZrXy1h2]|25-34|Male</v>
      </c>
      <c r="F56" s="10" t="n">
        <f aca="false">IF(LEFT($B56,4)="_Mil","",INDEX(Cascade!$T:$T,MATCH($E56,Cascade!$E:$E,0)))</f>
        <v>638</v>
      </c>
      <c r="G56" s="10" t="str">
        <f aca="false">IF(LEFT($B56,4)="_Mil","",INDEX(Cascade!$U:$U,MATCH($E56,Cascade!$E:$E,0)))</f>
        <v/>
      </c>
      <c r="H56" s="86" t="n">
        <f aca="false">IF(LEFT($B56,4)="_Mil","",INDEX(Cascade!$W:$W,MATCH($E56,Cascade!$E:$E,0)))</f>
        <v>838</v>
      </c>
      <c r="I56" s="10" t="n">
        <f aca="false">IF(LEFT($B56,4)="_Mil","",INDEX(Cascade!$Z:$Z,MATCH($E56,Cascade!$E:$E,0)))</f>
        <v>1146</v>
      </c>
      <c r="J56" s="88" t="n">
        <f aca="false">IF(LEFT($B56,4)="_Mil","",INDEX(Cascade!$AA:$AA,MATCH($E56,Cascade!$E:$E,0)))</f>
        <v>647</v>
      </c>
      <c r="K56" s="10"/>
      <c r="L56" s="10"/>
      <c r="M56" s="39" t="str">
        <f aca="false">IF(LEFT($B56,4)="_Mil","",IFERROR(1/(1/ROUND(INDEX(Spectrum!$N:$N,MATCH(RIGHT($B56,13)&amp;"|"&amp;$C56&amp;"|"&amp;$D56&amp;"|"&amp;M$14&amp;"|"&amp;"CY2023Q3",Spectrum!$R:$R,0)),0)),IF(SUM($L56)=0,"",$L56)))</f>
        <v/>
      </c>
      <c r="N56" s="39" t="str">
        <f aca="false">IF(LEFT($B56,4)="_Mil","",IFERROR(1/(1/ROUND(INDEX(Spectrum!$N:$N,MATCH(RIGHT($B56,13)&amp;"|"&amp;$C56&amp;"|"&amp;$D56&amp;"|"&amp;N$14&amp;"|"&amp;"CY2023Q3",Spectrum!$R:$R,0)),0)),IF(SUM($M56)=0,"",$M56)))</f>
        <v/>
      </c>
      <c r="O56" s="88" t="n">
        <f aca="false">IF(OR(LEFT($B56,4)="_Mil",SUM($F56)=0),"",SUM($N56)/$F56)</f>
        <v>0</v>
      </c>
      <c r="P56" s="88" t="n">
        <f aca="false">IF(OR(LEFT($B56,4)="_Mil",SUM($F56)=0),"",MAX(SUM($O56),80%))</f>
        <v>0.8</v>
      </c>
      <c r="Q56" s="39" t="n">
        <f aca="false">IF(OR(LEFT($B56,4)="_Mil",SUM($F56)=0),"",ROUND(SUM($F56)*$P56,0))</f>
        <v>510</v>
      </c>
      <c r="R56" s="39" t="n">
        <f aca="false">IF(OR(LEFT($B56,4)="_Mil",SUM($Q56)=0),"",ROUND(MAX($Q56-SUM($N56),0),0))</f>
        <v>510</v>
      </c>
      <c r="S56" s="88" t="str">
        <f aca="false">IF(LEFT($B56,4)="_Mil","",IF(SUM($L56)=0,"",IF(SUM($M56)=0,1,$L56/$M56)))</f>
        <v/>
      </c>
      <c r="T56" s="88" t="str">
        <f aca="false">IF(LEFT($B56,4)="_Mil",0,"")</f>
        <v/>
      </c>
      <c r="U56" s="88"/>
      <c r="V56" s="88" t="str">
        <f aca="false">IF($U56="","",$U56)</f>
        <v/>
      </c>
      <c r="W56" s="88"/>
      <c r="X56" s="88" t="str">
        <f aca="false">IF($W56="","",$W56)</f>
        <v/>
      </c>
      <c r="Y56" s="10" t="str">
        <f aca="false">IF(LEFT($B56,4)="_Mil",IF(SUM($L56)=0,"",ROUND($L56*(1+$T56),0)),IF(SUM($R56)=0,"",IF($S56="","ENTER IN COL S",ROUND($R56*$S56,0))))</f>
        <v>ENTER IN COL S</v>
      </c>
      <c r="Z56" s="39" t="str">
        <f aca="false">IF(SUM($Y56)=0,"",IF(AND(SUM($Y56)&gt;0,$V56=""),"ENTER INDETERMINATE RATE",ROUND($Y56*$V56,0)))</f>
        <v/>
      </c>
      <c r="AA56" s="39" t="str">
        <f aca="false">IF(SUM($Y56)=0,"",IF(AND(($Y56-SUM($Z56))&gt;0,$X56=""),"ENTER YIELD RATE",ROUND(($Y56-SUM($Z56))*SUM($X56),0)))</f>
        <v/>
      </c>
      <c r="AB56" s="39" t="str">
        <f aca="false">IF(SUM($Y56)=0,"",$Y56-SUM($Z56)-SUM($AA56))</f>
        <v/>
      </c>
      <c r="AC56" s="10" t="str">
        <f aca="false">IFERROR(1/(1/INDEX(Cascade!$BH:$BH,MATCH($E56,Cascade!$E:$E,0))),"")</f>
        <v/>
      </c>
      <c r="AD56" s="10" t="str">
        <f aca="false">IF(SUM($AA56)=0,"",$AA56)</f>
        <v/>
      </c>
      <c r="AE56" s="10" t="str">
        <f aca="false">IFERROR(1/(1/INDEX(TB!$P:$P,MATCH($E56,TB!$E:$E,0))),"")</f>
        <v/>
      </c>
      <c r="AF56" s="10" t="str">
        <f aca="false">IFERROR(1/(1/(SUM($AC56)-SUM($AD56:$AE56))),"")</f>
        <v/>
      </c>
    </row>
    <row r="57" customFormat="false" ht="15" hidden="false" customHeight="false" outlineLevel="0" collapsed="false">
      <c r="A57" s="0" t="str">
        <f aca="false">INDEX(Prioritization!$D:$D,MATCH($B57,Prioritization!$A:$A,0))</f>
        <v>1 - Scale-up: Saturation</v>
      </c>
      <c r="B57" s="0" t="s">
        <v>204</v>
      </c>
      <c r="C57" s="0" t="s">
        <v>367</v>
      </c>
      <c r="D57" s="0" t="s">
        <v>48</v>
      </c>
      <c r="E57" s="0" t="str">
        <f aca="false">B57&amp;"|"&amp;C57&amp;"|"&amp;D57</f>
        <v>Chitipa District [GkIwZrXy1h2]|35-49|Male</v>
      </c>
      <c r="F57" s="10" t="n">
        <f aca="false">IF(LEFT($B57,4)="_Mil","",INDEX(Cascade!$T:$T,MATCH($E57,Cascade!$E:$E,0)))</f>
        <v>687</v>
      </c>
      <c r="G57" s="10" t="str">
        <f aca="false">IF(LEFT($B57,4)="_Mil","",INDEX(Cascade!$U:$U,MATCH($E57,Cascade!$E:$E,0)))</f>
        <v/>
      </c>
      <c r="H57" s="86" t="n">
        <f aca="false">IF(LEFT($B57,4)="_Mil","",INDEX(Cascade!$W:$W,MATCH($E57,Cascade!$E:$E,0)))</f>
        <v>987</v>
      </c>
      <c r="I57" s="10" t="n">
        <f aca="false">IF(LEFT($B57,4)="_Mil","",INDEX(Cascade!$Z:$Z,MATCH($E57,Cascade!$E:$E,0)))</f>
        <v>1938</v>
      </c>
      <c r="J57" s="88" t="n">
        <f aca="false">IF(LEFT($B57,4)="_Mil","",INDEX(Cascade!$AA:$AA,MATCH($E57,Cascade!$E:$E,0)))</f>
        <v>1192</v>
      </c>
      <c r="K57" s="10"/>
      <c r="L57" s="10"/>
      <c r="M57" s="39" t="str">
        <f aca="false">IF(LEFT($B57,4)="_Mil","",IFERROR(1/(1/ROUND(INDEX(Spectrum!$N:$N,MATCH(RIGHT($B57,13)&amp;"|"&amp;$C57&amp;"|"&amp;$D57&amp;"|"&amp;M$14&amp;"|"&amp;"CY2023Q3",Spectrum!$R:$R,0)),0)),IF(SUM($L57)=0,"",$L57)))</f>
        <v/>
      </c>
      <c r="N57" s="39" t="str">
        <f aca="false">IF(LEFT($B57,4)="_Mil","",IFERROR(1/(1/ROUND(INDEX(Spectrum!$N:$N,MATCH(RIGHT($B57,13)&amp;"|"&amp;$C57&amp;"|"&amp;$D57&amp;"|"&amp;N$14&amp;"|"&amp;"CY2023Q3",Spectrum!$R:$R,0)),0)),IF(SUM($M57)=0,"",$M57)))</f>
        <v/>
      </c>
      <c r="O57" s="88" t="n">
        <f aca="false">IF(OR(LEFT($B57,4)="_Mil",SUM($F57)=0),"",SUM($N57)/$F57)</f>
        <v>0</v>
      </c>
      <c r="P57" s="88" t="n">
        <f aca="false">IF(OR(LEFT($B57,4)="_Mil",SUM($F57)=0),"",MAX(SUM($O57),80%))</f>
        <v>0.8</v>
      </c>
      <c r="Q57" s="39" t="n">
        <f aca="false">IF(OR(LEFT($B57,4)="_Mil",SUM($F57)=0),"",ROUND(SUM($F57)*$P57,0))</f>
        <v>550</v>
      </c>
      <c r="R57" s="39" t="n">
        <f aca="false">IF(OR(LEFT($B57,4)="_Mil",SUM($Q57)=0),"",ROUND(MAX($Q57-SUM($N57),0),0))</f>
        <v>550</v>
      </c>
      <c r="S57" s="88" t="str">
        <f aca="false">IF(LEFT($B57,4)="_Mil","",IF(SUM($L57)=0,"",IF(SUM($M57)=0,1,$L57/$M57)))</f>
        <v/>
      </c>
      <c r="T57" s="88" t="str">
        <f aca="false">IF(LEFT($B57,4)="_Mil",0,"")</f>
        <v/>
      </c>
      <c r="U57" s="88"/>
      <c r="V57" s="88" t="str">
        <f aca="false">IF($U57="","",$U57)</f>
        <v/>
      </c>
      <c r="W57" s="88"/>
      <c r="X57" s="88" t="str">
        <f aca="false">IF($W57="","",$W57)</f>
        <v/>
      </c>
      <c r="Y57" s="10" t="str">
        <f aca="false">IF(LEFT($B57,4)="_Mil",IF(SUM($L57)=0,"",ROUND($L57*(1+$T57),0)),IF(SUM($R57)=0,"",IF($S57="","ENTER IN COL S",ROUND($R57*$S57,0))))</f>
        <v>ENTER IN COL S</v>
      </c>
      <c r="Z57" s="39" t="str">
        <f aca="false">IF(SUM($Y57)=0,"",IF(AND(SUM($Y57)&gt;0,$V57=""),"ENTER INDETERMINATE RATE",ROUND($Y57*$V57,0)))</f>
        <v/>
      </c>
      <c r="AA57" s="39" t="str">
        <f aca="false">IF(SUM($Y57)=0,"",IF(AND(($Y57-SUM($Z57))&gt;0,$X57=""),"ENTER YIELD RATE",ROUND(($Y57-SUM($Z57))*SUM($X57),0)))</f>
        <v/>
      </c>
      <c r="AB57" s="39" t="str">
        <f aca="false">IF(SUM($Y57)=0,"",$Y57-SUM($Z57)-SUM($AA57))</f>
        <v/>
      </c>
      <c r="AC57" s="10" t="str">
        <f aca="false">IFERROR(1/(1/INDEX(Cascade!$BH:$BH,MATCH($E57,Cascade!$E:$E,0))),"")</f>
        <v/>
      </c>
      <c r="AD57" s="10" t="str">
        <f aca="false">IF(SUM($AA57)=0,"",$AA57)</f>
        <v/>
      </c>
      <c r="AE57" s="10" t="str">
        <f aca="false">IFERROR(1/(1/INDEX(TB!$P:$P,MATCH($E57,TB!$E:$E,0))),"")</f>
        <v/>
      </c>
      <c r="AF57" s="10" t="str">
        <f aca="false">IFERROR(1/(1/(SUM($AC57)-SUM($AD57:$AE57))),"")</f>
        <v/>
      </c>
    </row>
    <row r="58" customFormat="false" ht="15" hidden="false" customHeight="false" outlineLevel="0" collapsed="false">
      <c r="A58" s="0" t="str">
        <f aca="false">INDEX(Prioritization!$D:$D,MATCH($B58,Prioritization!$A:$A,0))</f>
        <v>1 - Scale-up: Saturation</v>
      </c>
      <c r="B58" s="0" t="s">
        <v>204</v>
      </c>
      <c r="C58" s="0" t="s">
        <v>368</v>
      </c>
      <c r="D58" s="0" t="s">
        <v>48</v>
      </c>
      <c r="E58" s="0" t="str">
        <f aca="false">B58&amp;"|"&amp;C58&amp;"|"&amp;D58</f>
        <v>Chitipa District [GkIwZrXy1h2]|50+|Male</v>
      </c>
      <c r="F58" s="10" t="n">
        <f aca="false">IF(LEFT($B58,4)="_Mil","",INDEX(Cascade!$T:$T,MATCH($E58,Cascade!$E:$E,0)))</f>
        <v>696</v>
      </c>
      <c r="G58" s="10" t="str">
        <f aca="false">IF(LEFT($B58,4)="_Mil","",INDEX(Cascade!$U:$U,MATCH($E58,Cascade!$E:$E,0)))</f>
        <v/>
      </c>
      <c r="H58" s="86" t="n">
        <f aca="false">IF(LEFT($B58,4)="_Mil","",INDEX(Cascade!$W:$W,MATCH($E58,Cascade!$E:$E,0)))</f>
        <v>1130</v>
      </c>
      <c r="I58" s="10" t="n">
        <f aca="false">IF(LEFT($B58,4)="_Mil","",INDEX(Cascade!$Z:$Z,MATCH($E58,Cascade!$E:$E,0)))</f>
        <v>1126</v>
      </c>
      <c r="J58" s="88" t="n">
        <f aca="false">IF(LEFT($B58,4)="_Mil","",INDEX(Cascade!$AA:$AA,MATCH($E58,Cascade!$E:$E,0)))</f>
        <v>1816</v>
      </c>
      <c r="K58" s="10"/>
      <c r="L58" s="10"/>
      <c r="M58" s="39" t="str">
        <f aca="false">IF(LEFT($B58,4)="_Mil","",IFERROR(1/(1/ROUND(INDEX(Spectrum!$N:$N,MATCH(RIGHT($B58,13)&amp;"|"&amp;$C58&amp;"|"&amp;$D58&amp;"|"&amp;M$14&amp;"|"&amp;"CY2023Q3",Spectrum!$R:$R,0)),0)),IF(SUM($L58)=0,"",$L58)))</f>
        <v/>
      </c>
      <c r="N58" s="39" t="str">
        <f aca="false">IF(LEFT($B58,4)="_Mil","",IFERROR(1/(1/ROUND(INDEX(Spectrum!$N:$N,MATCH(RIGHT($B58,13)&amp;"|"&amp;$C58&amp;"|"&amp;$D58&amp;"|"&amp;N$14&amp;"|"&amp;"CY2023Q3",Spectrum!$R:$R,0)),0)),IF(SUM($M58)=0,"",$M58)))</f>
        <v/>
      </c>
      <c r="O58" s="88" t="n">
        <f aca="false">IF(OR(LEFT($B58,4)="_Mil",SUM($F58)=0),"",SUM($N58)/$F58)</f>
        <v>0</v>
      </c>
      <c r="P58" s="88" t="n">
        <f aca="false">IF(OR(LEFT($B58,4)="_Mil",SUM($F58)=0),"",MAX(SUM($O58),80%))</f>
        <v>0.8</v>
      </c>
      <c r="Q58" s="39" t="n">
        <f aca="false">IF(OR(LEFT($B58,4)="_Mil",SUM($F58)=0),"",ROUND(SUM($F58)*$P58,0))</f>
        <v>557</v>
      </c>
      <c r="R58" s="39" t="n">
        <f aca="false">IF(OR(LEFT($B58,4)="_Mil",SUM($Q58)=0),"",ROUND(MAX($Q58-SUM($N58),0),0))</f>
        <v>557</v>
      </c>
      <c r="S58" s="88" t="str">
        <f aca="false">IF(LEFT($B58,4)="_Mil","",IF(SUM($L58)=0,"",IF(SUM($M58)=0,1,$L58/$M58)))</f>
        <v/>
      </c>
      <c r="T58" s="88" t="str">
        <f aca="false">IF(LEFT($B58,4)="_Mil",0,"")</f>
        <v/>
      </c>
      <c r="U58" s="88"/>
      <c r="V58" s="88" t="str">
        <f aca="false">IF($U58="","",$U58)</f>
        <v/>
      </c>
      <c r="W58" s="88"/>
      <c r="X58" s="88" t="str">
        <f aca="false">IF($W58="","",$W58)</f>
        <v/>
      </c>
      <c r="Y58" s="10" t="str">
        <f aca="false">IF(LEFT($B58,4)="_Mil",IF(SUM($L58)=0,"",ROUND($L58*(1+$T58),0)),IF(SUM($R58)=0,"",IF($S58="","ENTER IN COL S",ROUND($R58*$S58,0))))</f>
        <v>ENTER IN COL S</v>
      </c>
      <c r="Z58" s="39" t="str">
        <f aca="false">IF(SUM($Y58)=0,"",IF(AND(SUM($Y58)&gt;0,$V58=""),"ENTER INDETERMINATE RATE",ROUND($Y58*$V58,0)))</f>
        <v/>
      </c>
      <c r="AA58" s="39" t="str">
        <f aca="false">IF(SUM($Y58)=0,"",IF(AND(($Y58-SUM($Z58))&gt;0,$X58=""),"ENTER YIELD RATE",ROUND(($Y58-SUM($Z58))*SUM($X58),0)))</f>
        <v/>
      </c>
      <c r="AB58" s="39" t="str">
        <f aca="false">IF(SUM($Y58)=0,"",$Y58-SUM($Z58)-SUM($AA58))</f>
        <v/>
      </c>
      <c r="AC58" s="10" t="str">
        <f aca="false">IFERROR(1/(1/INDEX(Cascade!$BH:$BH,MATCH($E58,Cascade!$E:$E,0))),"")</f>
        <v/>
      </c>
      <c r="AD58" s="10" t="str">
        <f aca="false">IF(SUM($AA58)=0,"",$AA58)</f>
        <v/>
      </c>
      <c r="AE58" s="10" t="str">
        <f aca="false">IFERROR(1/(1/INDEX(TB!$P:$P,MATCH($E58,TB!$E:$E,0))),"")</f>
        <v/>
      </c>
      <c r="AF58" s="10" t="str">
        <f aca="false">IFERROR(1/(1/(SUM($AC58)-SUM($AD58:$AE58))),"")</f>
        <v/>
      </c>
    </row>
    <row r="59" customFormat="false" ht="15" hidden="false" customHeight="false" outlineLevel="0" collapsed="false">
      <c r="A59" s="0" t="str">
        <f aca="false">INDEX(Prioritization!$D:$D,MATCH($B59,Prioritization!$A:$A,0))</f>
        <v>INVALID</v>
      </c>
      <c r="B59" s="0" t="s">
        <v>205</v>
      </c>
      <c r="C59" s="0" t="s">
        <v>365</v>
      </c>
      <c r="D59" s="0" t="s">
        <v>48</v>
      </c>
      <c r="E59" s="0" t="str">
        <f aca="false">B59&amp;"|"&amp;C59&amp;"|"&amp;D59</f>
        <v>Karonga District [cPtvxaZqXIH]|15-24|Male</v>
      </c>
      <c r="F59" s="10" t="n">
        <f aca="false">IF(LEFT($B59,4)="_Mil","",INDEX(Cascade!$T:$T,MATCH($E59,Cascade!$E:$E,0)))</f>
        <v>1477</v>
      </c>
      <c r="G59" s="10" t="str">
        <f aca="false">IF(LEFT($B59,4)="_Mil","",INDEX(Cascade!$U:$U,MATCH($E59,Cascade!$E:$E,0)))</f>
        <v/>
      </c>
      <c r="H59" s="86" t="n">
        <f aca="false">IF(LEFT($B59,4)="_Mil","",INDEX(Cascade!$W:$W,MATCH($E59,Cascade!$E:$E,0)))</f>
        <v>803</v>
      </c>
      <c r="I59" s="10" t="n">
        <f aca="false">IF(LEFT($B59,4)="_Mil","",INDEX(Cascade!$Z:$Z,MATCH($E59,Cascade!$E:$E,0)))</f>
        <v>1129</v>
      </c>
      <c r="J59" s="88" t="n">
        <f aca="false">IF(LEFT($B59,4)="_Mil","",INDEX(Cascade!$AA:$AA,MATCH($E59,Cascade!$E:$E,0)))</f>
        <v>569</v>
      </c>
      <c r="K59" s="10"/>
      <c r="L59" s="10"/>
      <c r="M59" s="39" t="str">
        <f aca="false">IF(LEFT($B59,4)="_Mil","",IFERROR(1/(1/ROUND(INDEX(Spectrum!$N:$N,MATCH(RIGHT($B59,13)&amp;"|"&amp;$C59&amp;"|"&amp;$D59&amp;"|"&amp;M$14&amp;"|"&amp;"CY2023Q3",Spectrum!$R:$R,0)),0)),IF(SUM($L59)=0,"",$L59)))</f>
        <v/>
      </c>
      <c r="N59" s="39" t="str">
        <f aca="false">IF(LEFT($B59,4)="_Mil","",IFERROR(1/(1/ROUND(INDEX(Spectrum!$N:$N,MATCH(RIGHT($B59,13)&amp;"|"&amp;$C59&amp;"|"&amp;$D59&amp;"|"&amp;N$14&amp;"|"&amp;"CY2023Q3",Spectrum!$R:$R,0)),0)),IF(SUM($M59)=0,"",$M59)))</f>
        <v/>
      </c>
      <c r="O59" s="88" t="n">
        <f aca="false">IF(OR(LEFT($B59,4)="_Mil",SUM($F59)=0),"",SUM($N59)/$F59)</f>
        <v>0</v>
      </c>
      <c r="P59" s="88" t="n">
        <f aca="false">IF(OR(LEFT($B59,4)="_Mil",SUM($F59)=0),"",MAX(SUM($O59),80%))</f>
        <v>0.8</v>
      </c>
      <c r="Q59" s="39" t="n">
        <f aca="false">IF(OR(LEFT($B59,4)="_Mil",SUM($F59)=0),"",ROUND(SUM($F59)*$P59,0))</f>
        <v>1182</v>
      </c>
      <c r="R59" s="39" t="n">
        <f aca="false">IF(OR(LEFT($B59,4)="_Mil",SUM($Q59)=0),"",ROUND(MAX($Q59-SUM($N59),0),0))</f>
        <v>1182</v>
      </c>
      <c r="S59" s="88" t="str">
        <f aca="false">IF(LEFT($B59,4)="_Mil","",IF(SUM($L59)=0,"",IF(SUM($M59)=0,1,$L59/$M59)))</f>
        <v/>
      </c>
      <c r="T59" s="88" t="str">
        <f aca="false">IF(LEFT($B59,4)="_Mil",0,"")</f>
        <v/>
      </c>
      <c r="U59" s="88"/>
      <c r="V59" s="88" t="str">
        <f aca="false">IF($U59="","",$U59)</f>
        <v/>
      </c>
      <c r="W59" s="88"/>
      <c r="X59" s="88" t="str">
        <f aca="false">IF($W59="","",$W59)</f>
        <v/>
      </c>
      <c r="Y59" s="10" t="str">
        <f aca="false">IF(LEFT($B59,4)="_Mil",IF(SUM($L59)=0,"",ROUND($L59*(1+$T59),0)),IF(SUM($R59)=0,"",IF($S59="","ENTER IN COL S",ROUND($R59*$S59,0))))</f>
        <v>ENTER IN COL S</v>
      </c>
      <c r="Z59" s="39" t="str">
        <f aca="false">IF(SUM($Y59)=0,"",IF(AND(SUM($Y59)&gt;0,$V59=""),"ENTER INDETERMINATE RATE",ROUND($Y59*$V59,0)))</f>
        <v/>
      </c>
      <c r="AA59" s="39" t="str">
        <f aca="false">IF(SUM($Y59)=0,"",IF(AND(($Y59-SUM($Z59))&gt;0,$X59=""),"ENTER YIELD RATE",ROUND(($Y59-SUM($Z59))*SUM($X59),0)))</f>
        <v/>
      </c>
      <c r="AB59" s="39" t="str">
        <f aca="false">IF(SUM($Y59)=0,"",$Y59-SUM($Z59)-SUM($AA59))</f>
        <v/>
      </c>
      <c r="AC59" s="10" t="str">
        <f aca="false">IFERROR(1/(1/INDEX(Cascade!$BH:$BH,MATCH($E59,Cascade!$E:$E,0))),"")</f>
        <v/>
      </c>
      <c r="AD59" s="10" t="str">
        <f aca="false">IF(SUM($AA59)=0,"",$AA59)</f>
        <v/>
      </c>
      <c r="AE59" s="10" t="str">
        <f aca="false">IFERROR(1/(1/INDEX(TB!$P:$P,MATCH($E59,TB!$E:$E,0))),"")</f>
        <v/>
      </c>
      <c r="AF59" s="10" t="str">
        <f aca="false">IFERROR(1/(1/(SUM($AC59)-SUM($AD59:$AE59))),"")</f>
        <v/>
      </c>
    </row>
    <row r="60" customFormat="false" ht="15" hidden="false" customHeight="false" outlineLevel="0" collapsed="false">
      <c r="A60" s="0" t="str">
        <f aca="false">INDEX(Prioritization!$D:$D,MATCH($B60,Prioritization!$A:$A,0))</f>
        <v>INVALID</v>
      </c>
      <c r="B60" s="0" t="s">
        <v>205</v>
      </c>
      <c r="C60" s="0" t="s">
        <v>366</v>
      </c>
      <c r="D60" s="0" t="s">
        <v>48</v>
      </c>
      <c r="E60" s="0" t="str">
        <f aca="false">B60&amp;"|"&amp;C60&amp;"|"&amp;D60</f>
        <v>Karonga District [cPtvxaZqXIH]|25-34|Male</v>
      </c>
      <c r="F60" s="10" t="n">
        <f aca="false">IF(LEFT($B60,4)="_Mil","",INDEX(Cascade!$T:$T,MATCH($E60,Cascade!$E:$E,0)))</f>
        <v>896</v>
      </c>
      <c r="G60" s="10" t="str">
        <f aca="false">IF(LEFT($B60,4)="_Mil","",INDEX(Cascade!$U:$U,MATCH($E60,Cascade!$E:$E,0)))</f>
        <v/>
      </c>
      <c r="H60" s="86" t="n">
        <f aca="false">IF(LEFT($B60,4)="_Mil","",INDEX(Cascade!$W:$W,MATCH($E60,Cascade!$E:$E,0)))</f>
        <v>660</v>
      </c>
      <c r="I60" s="10" t="n">
        <f aca="false">IF(LEFT($B60,4)="_Mil","",INDEX(Cascade!$Z:$Z,MATCH($E60,Cascade!$E:$E,0)))</f>
        <v>1639</v>
      </c>
      <c r="J60" s="88" t="n">
        <f aca="false">IF(LEFT($B60,4)="_Mil","",INDEX(Cascade!$AA:$AA,MATCH($E60,Cascade!$E:$E,0)))</f>
        <v>751</v>
      </c>
      <c r="K60" s="10"/>
      <c r="L60" s="10"/>
      <c r="M60" s="39" t="str">
        <f aca="false">IF(LEFT($B60,4)="_Mil","",IFERROR(1/(1/ROUND(INDEX(Spectrum!$N:$N,MATCH(RIGHT($B60,13)&amp;"|"&amp;$C60&amp;"|"&amp;$D60&amp;"|"&amp;M$14&amp;"|"&amp;"CY2023Q3",Spectrum!$R:$R,0)),0)),IF(SUM($L60)=0,"",$L60)))</f>
        <v/>
      </c>
      <c r="N60" s="39" t="str">
        <f aca="false">IF(LEFT($B60,4)="_Mil","",IFERROR(1/(1/ROUND(INDEX(Spectrum!$N:$N,MATCH(RIGHT($B60,13)&amp;"|"&amp;$C60&amp;"|"&amp;$D60&amp;"|"&amp;N$14&amp;"|"&amp;"CY2023Q3",Spectrum!$R:$R,0)),0)),IF(SUM($M60)=0,"",$M60)))</f>
        <v/>
      </c>
      <c r="O60" s="88" t="n">
        <f aca="false">IF(OR(LEFT($B60,4)="_Mil",SUM($F60)=0),"",SUM($N60)/$F60)</f>
        <v>0</v>
      </c>
      <c r="P60" s="88" t="n">
        <f aca="false">IF(OR(LEFT($B60,4)="_Mil",SUM($F60)=0),"",MAX(SUM($O60),80%))</f>
        <v>0.8</v>
      </c>
      <c r="Q60" s="39" t="n">
        <f aca="false">IF(OR(LEFT($B60,4)="_Mil",SUM($F60)=0),"",ROUND(SUM($F60)*$P60,0))</f>
        <v>717</v>
      </c>
      <c r="R60" s="39" t="n">
        <f aca="false">IF(OR(LEFT($B60,4)="_Mil",SUM($Q60)=0),"",ROUND(MAX($Q60-SUM($N60),0),0))</f>
        <v>717</v>
      </c>
      <c r="S60" s="88" t="str">
        <f aca="false">IF(LEFT($B60,4)="_Mil","",IF(SUM($L60)=0,"",IF(SUM($M60)=0,1,$L60/$M60)))</f>
        <v/>
      </c>
      <c r="T60" s="88" t="str">
        <f aca="false">IF(LEFT($B60,4)="_Mil",0,"")</f>
        <v/>
      </c>
      <c r="U60" s="88"/>
      <c r="V60" s="88" t="str">
        <f aca="false">IF($U60="","",$U60)</f>
        <v/>
      </c>
      <c r="W60" s="88"/>
      <c r="X60" s="88" t="str">
        <f aca="false">IF($W60="","",$W60)</f>
        <v/>
      </c>
      <c r="Y60" s="10" t="str">
        <f aca="false">IF(LEFT($B60,4)="_Mil",IF(SUM($L60)=0,"",ROUND($L60*(1+$T60),0)),IF(SUM($R60)=0,"",IF($S60="","ENTER IN COL S",ROUND($R60*$S60,0))))</f>
        <v>ENTER IN COL S</v>
      </c>
      <c r="Z60" s="39" t="str">
        <f aca="false">IF(SUM($Y60)=0,"",IF(AND(SUM($Y60)&gt;0,$V60=""),"ENTER INDETERMINATE RATE",ROUND($Y60*$V60,0)))</f>
        <v/>
      </c>
      <c r="AA60" s="39" t="str">
        <f aca="false">IF(SUM($Y60)=0,"",IF(AND(($Y60-SUM($Z60))&gt;0,$X60=""),"ENTER YIELD RATE",ROUND(($Y60-SUM($Z60))*SUM($X60),0)))</f>
        <v/>
      </c>
      <c r="AB60" s="39" t="str">
        <f aca="false">IF(SUM($Y60)=0,"",$Y60-SUM($Z60)-SUM($AA60))</f>
        <v/>
      </c>
      <c r="AC60" s="10" t="str">
        <f aca="false">IFERROR(1/(1/INDEX(Cascade!$BH:$BH,MATCH($E60,Cascade!$E:$E,0))),"")</f>
        <v/>
      </c>
      <c r="AD60" s="10" t="str">
        <f aca="false">IF(SUM($AA60)=0,"",$AA60)</f>
        <v/>
      </c>
      <c r="AE60" s="10" t="str">
        <f aca="false">IFERROR(1/(1/INDEX(TB!$P:$P,MATCH($E60,TB!$E:$E,0))),"")</f>
        <v/>
      </c>
      <c r="AF60" s="10" t="str">
        <f aca="false">IFERROR(1/(1/(SUM($AC60)-SUM($AD60:$AE60))),"")</f>
        <v/>
      </c>
    </row>
    <row r="61" customFormat="false" ht="15" hidden="false" customHeight="false" outlineLevel="0" collapsed="false">
      <c r="A61" s="0" t="str">
        <f aca="false">INDEX(Prioritization!$D:$D,MATCH($B61,Prioritization!$A:$A,0))</f>
        <v>INVALID</v>
      </c>
      <c r="B61" s="0" t="s">
        <v>205</v>
      </c>
      <c r="C61" s="0" t="s">
        <v>367</v>
      </c>
      <c r="D61" s="0" t="s">
        <v>48</v>
      </c>
      <c r="E61" s="0" t="str">
        <f aca="false">B61&amp;"|"&amp;C61&amp;"|"&amp;D61</f>
        <v>Karonga District [cPtvxaZqXIH]|35-49|Male</v>
      </c>
      <c r="F61" s="10" t="n">
        <f aca="false">IF(LEFT($B61,4)="_Mil","",INDEX(Cascade!$T:$T,MATCH($E61,Cascade!$E:$E,0)))</f>
        <v>1038</v>
      </c>
      <c r="G61" s="10" t="str">
        <f aca="false">IF(LEFT($B61,4)="_Mil","",INDEX(Cascade!$U:$U,MATCH($E61,Cascade!$E:$E,0)))</f>
        <v/>
      </c>
      <c r="H61" s="86" t="n">
        <f aca="false">IF(LEFT($B61,4)="_Mil","",INDEX(Cascade!$W:$W,MATCH($E61,Cascade!$E:$E,0)))</f>
        <v>1738</v>
      </c>
      <c r="I61" s="10" t="n">
        <f aca="false">IF(LEFT($B61,4)="_Mil","",INDEX(Cascade!$Z:$Z,MATCH($E61,Cascade!$E:$E,0)))</f>
        <v>1607</v>
      </c>
      <c r="J61" s="88" t="n">
        <f aca="false">IF(LEFT($B61,4)="_Mil","",INDEX(Cascade!$AA:$AA,MATCH($E61,Cascade!$E:$E,0)))</f>
        <v>771</v>
      </c>
      <c r="K61" s="10"/>
      <c r="L61" s="10"/>
      <c r="M61" s="39" t="str">
        <f aca="false">IF(LEFT($B61,4)="_Mil","",IFERROR(1/(1/ROUND(INDEX(Spectrum!$N:$N,MATCH(RIGHT($B61,13)&amp;"|"&amp;$C61&amp;"|"&amp;$D61&amp;"|"&amp;M$14&amp;"|"&amp;"CY2023Q3",Spectrum!$R:$R,0)),0)),IF(SUM($L61)=0,"",$L61)))</f>
        <v/>
      </c>
      <c r="N61" s="39" t="str">
        <f aca="false">IF(LEFT($B61,4)="_Mil","",IFERROR(1/(1/ROUND(INDEX(Spectrum!$N:$N,MATCH(RIGHT($B61,13)&amp;"|"&amp;$C61&amp;"|"&amp;$D61&amp;"|"&amp;N$14&amp;"|"&amp;"CY2023Q3",Spectrum!$R:$R,0)),0)),IF(SUM($M61)=0,"",$M61)))</f>
        <v/>
      </c>
      <c r="O61" s="88" t="n">
        <f aca="false">IF(OR(LEFT($B61,4)="_Mil",SUM($F61)=0),"",SUM($N61)/$F61)</f>
        <v>0</v>
      </c>
      <c r="P61" s="88" t="n">
        <f aca="false">IF(OR(LEFT($B61,4)="_Mil",SUM($F61)=0),"",MAX(SUM($O61),80%))</f>
        <v>0.8</v>
      </c>
      <c r="Q61" s="39" t="n">
        <f aca="false">IF(OR(LEFT($B61,4)="_Mil",SUM($F61)=0),"",ROUND(SUM($F61)*$P61,0))</f>
        <v>830</v>
      </c>
      <c r="R61" s="39" t="n">
        <f aca="false">IF(OR(LEFT($B61,4)="_Mil",SUM($Q61)=0),"",ROUND(MAX($Q61-SUM($N61),0),0))</f>
        <v>830</v>
      </c>
      <c r="S61" s="88" t="str">
        <f aca="false">IF(LEFT($B61,4)="_Mil","",IF(SUM($L61)=0,"",IF(SUM($M61)=0,1,$L61/$M61)))</f>
        <v/>
      </c>
      <c r="T61" s="88" t="str">
        <f aca="false">IF(LEFT($B61,4)="_Mil",0,"")</f>
        <v/>
      </c>
      <c r="U61" s="88"/>
      <c r="V61" s="88" t="str">
        <f aca="false">IF($U61="","",$U61)</f>
        <v/>
      </c>
      <c r="W61" s="88"/>
      <c r="X61" s="88" t="str">
        <f aca="false">IF($W61="","",$W61)</f>
        <v/>
      </c>
      <c r="Y61" s="10" t="str">
        <f aca="false">IF(LEFT($B61,4)="_Mil",IF(SUM($L61)=0,"",ROUND($L61*(1+$T61),0)),IF(SUM($R61)=0,"",IF($S61="","ENTER IN COL S",ROUND($R61*$S61,0))))</f>
        <v>ENTER IN COL S</v>
      </c>
      <c r="Z61" s="39" t="str">
        <f aca="false">IF(SUM($Y61)=0,"",IF(AND(SUM($Y61)&gt;0,$V61=""),"ENTER INDETERMINATE RATE",ROUND($Y61*$V61,0)))</f>
        <v/>
      </c>
      <c r="AA61" s="39" t="str">
        <f aca="false">IF(SUM($Y61)=0,"",IF(AND(($Y61-SUM($Z61))&gt;0,$X61=""),"ENTER YIELD RATE",ROUND(($Y61-SUM($Z61))*SUM($X61),0)))</f>
        <v/>
      </c>
      <c r="AB61" s="39" t="str">
        <f aca="false">IF(SUM($Y61)=0,"",$Y61-SUM($Z61)-SUM($AA61))</f>
        <v/>
      </c>
      <c r="AC61" s="10" t="str">
        <f aca="false">IFERROR(1/(1/INDEX(Cascade!$BH:$BH,MATCH($E61,Cascade!$E:$E,0))),"")</f>
        <v/>
      </c>
      <c r="AD61" s="10" t="str">
        <f aca="false">IF(SUM($AA61)=0,"",$AA61)</f>
        <v/>
      </c>
      <c r="AE61" s="10" t="str">
        <f aca="false">IFERROR(1/(1/INDEX(TB!$P:$P,MATCH($E61,TB!$E:$E,0))),"")</f>
        <v/>
      </c>
      <c r="AF61" s="10" t="str">
        <f aca="false">IFERROR(1/(1/(SUM($AC61)-SUM($AD61:$AE61))),"")</f>
        <v/>
      </c>
    </row>
    <row r="62" customFormat="false" ht="15" hidden="false" customHeight="false" outlineLevel="0" collapsed="false">
      <c r="A62" s="0" t="str">
        <f aca="false">INDEX(Prioritization!$D:$D,MATCH($B62,Prioritization!$A:$A,0))</f>
        <v>INVALID</v>
      </c>
      <c r="B62" s="0" t="s">
        <v>205</v>
      </c>
      <c r="C62" s="0" t="s">
        <v>368</v>
      </c>
      <c r="D62" s="0" t="s">
        <v>48</v>
      </c>
      <c r="E62" s="0" t="str">
        <f aca="false">B62&amp;"|"&amp;C62&amp;"|"&amp;D62</f>
        <v>Karonga District [cPtvxaZqXIH]|50+|Male</v>
      </c>
      <c r="F62" s="10" t="n">
        <f aca="false">IF(LEFT($B62,4)="_Mil","",INDEX(Cascade!$T:$T,MATCH($E62,Cascade!$E:$E,0)))</f>
        <v>891</v>
      </c>
      <c r="G62" s="10" t="str">
        <f aca="false">IF(LEFT($B62,4)="_Mil","",INDEX(Cascade!$U:$U,MATCH($E62,Cascade!$E:$E,0)))</f>
        <v/>
      </c>
      <c r="H62" s="86" t="n">
        <f aca="false">IF(LEFT($B62,4)="_Mil","",INDEX(Cascade!$W:$W,MATCH($E62,Cascade!$E:$E,0)))</f>
        <v>1344</v>
      </c>
      <c r="I62" s="10" t="n">
        <f aca="false">IF(LEFT($B62,4)="_Mil","",INDEX(Cascade!$Z:$Z,MATCH($E62,Cascade!$E:$E,0)))</f>
        <v>1025</v>
      </c>
      <c r="J62" s="88" t="n">
        <f aca="false">IF(LEFT($B62,4)="_Mil","",INDEX(Cascade!$AA:$AA,MATCH($E62,Cascade!$E:$E,0)))</f>
        <v>1897</v>
      </c>
      <c r="K62" s="10"/>
      <c r="L62" s="10"/>
      <c r="M62" s="39" t="str">
        <f aca="false">IF(LEFT($B62,4)="_Mil","",IFERROR(1/(1/ROUND(INDEX(Spectrum!$N:$N,MATCH(RIGHT($B62,13)&amp;"|"&amp;$C62&amp;"|"&amp;$D62&amp;"|"&amp;M$14&amp;"|"&amp;"CY2023Q3",Spectrum!$R:$R,0)),0)),IF(SUM($L62)=0,"",$L62)))</f>
        <v/>
      </c>
      <c r="N62" s="39" t="str">
        <f aca="false">IF(LEFT($B62,4)="_Mil","",IFERROR(1/(1/ROUND(INDEX(Spectrum!$N:$N,MATCH(RIGHT($B62,13)&amp;"|"&amp;$C62&amp;"|"&amp;$D62&amp;"|"&amp;N$14&amp;"|"&amp;"CY2023Q3",Spectrum!$R:$R,0)),0)),IF(SUM($M62)=0,"",$M62)))</f>
        <v/>
      </c>
      <c r="O62" s="88" t="n">
        <f aca="false">IF(OR(LEFT($B62,4)="_Mil",SUM($F62)=0),"",SUM($N62)/$F62)</f>
        <v>0</v>
      </c>
      <c r="P62" s="88" t="n">
        <f aca="false">IF(OR(LEFT($B62,4)="_Mil",SUM($F62)=0),"",MAX(SUM($O62),80%))</f>
        <v>0.8</v>
      </c>
      <c r="Q62" s="39" t="n">
        <f aca="false">IF(OR(LEFT($B62,4)="_Mil",SUM($F62)=0),"",ROUND(SUM($F62)*$P62,0))</f>
        <v>713</v>
      </c>
      <c r="R62" s="39" t="n">
        <f aca="false">IF(OR(LEFT($B62,4)="_Mil",SUM($Q62)=0),"",ROUND(MAX($Q62-SUM($N62),0),0))</f>
        <v>713</v>
      </c>
      <c r="S62" s="88" t="str">
        <f aca="false">IF(LEFT($B62,4)="_Mil","",IF(SUM($L62)=0,"",IF(SUM($M62)=0,1,$L62/$M62)))</f>
        <v/>
      </c>
      <c r="T62" s="88" t="str">
        <f aca="false">IF(LEFT($B62,4)="_Mil",0,"")</f>
        <v/>
      </c>
      <c r="U62" s="88"/>
      <c r="V62" s="88" t="str">
        <f aca="false">IF($U62="","",$U62)</f>
        <v/>
      </c>
      <c r="W62" s="88"/>
      <c r="X62" s="88" t="str">
        <f aca="false">IF($W62="","",$W62)</f>
        <v/>
      </c>
      <c r="Y62" s="10" t="str">
        <f aca="false">IF(LEFT($B62,4)="_Mil",IF(SUM($L62)=0,"",ROUND($L62*(1+$T62),0)),IF(SUM($R62)=0,"",IF($S62="","ENTER IN COL S",ROUND($R62*$S62,0))))</f>
        <v>ENTER IN COL S</v>
      </c>
      <c r="Z62" s="39" t="str">
        <f aca="false">IF(SUM($Y62)=0,"",IF(AND(SUM($Y62)&gt;0,$V62=""),"ENTER INDETERMINATE RATE",ROUND($Y62*$V62,0)))</f>
        <v/>
      </c>
      <c r="AA62" s="39" t="str">
        <f aca="false">IF(SUM($Y62)=0,"",IF(AND(($Y62-SUM($Z62))&gt;0,$X62=""),"ENTER YIELD RATE",ROUND(($Y62-SUM($Z62))*SUM($X62),0)))</f>
        <v/>
      </c>
      <c r="AB62" s="39" t="str">
        <f aca="false">IF(SUM($Y62)=0,"",$Y62-SUM($Z62)-SUM($AA62))</f>
        <v/>
      </c>
      <c r="AC62" s="10" t="str">
        <f aca="false">IFERROR(1/(1/INDEX(Cascade!$BH:$BH,MATCH($E62,Cascade!$E:$E,0))),"")</f>
        <v/>
      </c>
      <c r="AD62" s="10" t="str">
        <f aca="false">IF(SUM($AA62)=0,"",$AA62)</f>
        <v/>
      </c>
      <c r="AE62" s="10" t="str">
        <f aca="false">IFERROR(1/(1/INDEX(TB!$P:$P,MATCH($E62,TB!$E:$E,0))),"")</f>
        <v/>
      </c>
      <c r="AF62" s="10" t="str">
        <f aca="false">IFERROR(1/(1/(SUM($AC62)-SUM($AD62:$AE62))),"")</f>
        <v/>
      </c>
    </row>
    <row r="63" customFormat="false" ht="15" hidden="false" customHeight="false" outlineLevel="0" collapsed="false">
      <c r="A63" s="0" t="str">
        <f aca="false">INDEX(Prioritization!$D:$D,MATCH($B63,Prioritization!$A:$A,0))</f>
        <v>INVALID</v>
      </c>
      <c r="B63" s="0" t="s">
        <v>206</v>
      </c>
      <c r="C63" s="0" t="s">
        <v>365</v>
      </c>
      <c r="D63" s="0" t="s">
        <v>48</v>
      </c>
      <c r="E63" s="0" t="str">
        <f aca="false">B63&amp;"|"&amp;C63&amp;"|"&amp;D63</f>
        <v>Likoma District [ZCjuwgaMB9u]|15-24|Male</v>
      </c>
      <c r="F63" s="10" t="n">
        <f aca="false">IF(LEFT($B63,4)="_Mil","",INDEX(Cascade!$T:$T,MATCH($E63,Cascade!$E:$E,0)))</f>
        <v>1645</v>
      </c>
      <c r="G63" s="10" t="str">
        <f aca="false">IF(LEFT($B63,4)="_Mil","",INDEX(Cascade!$U:$U,MATCH($E63,Cascade!$E:$E,0)))</f>
        <v/>
      </c>
      <c r="H63" s="86" t="n">
        <f aca="false">IF(LEFT($B63,4)="_Mil","",INDEX(Cascade!$W:$W,MATCH($E63,Cascade!$E:$E,0)))</f>
        <v>1915</v>
      </c>
      <c r="I63" s="10" t="n">
        <f aca="false">IF(LEFT($B63,4)="_Mil","",INDEX(Cascade!$Z:$Z,MATCH($E63,Cascade!$E:$E,0)))</f>
        <v>1609</v>
      </c>
      <c r="J63" s="88" t="n">
        <f aca="false">IF(LEFT($B63,4)="_Mil","",INDEX(Cascade!$AA:$AA,MATCH($E63,Cascade!$E:$E,0)))</f>
        <v>1116</v>
      </c>
      <c r="K63" s="10"/>
      <c r="L63" s="10"/>
      <c r="M63" s="39" t="str">
        <f aca="false">IF(LEFT($B63,4)="_Mil","",IFERROR(1/(1/ROUND(INDEX(Spectrum!$N:$N,MATCH(RIGHT($B63,13)&amp;"|"&amp;$C63&amp;"|"&amp;$D63&amp;"|"&amp;M$14&amp;"|"&amp;"CY2023Q3",Spectrum!$R:$R,0)),0)),IF(SUM($L63)=0,"",$L63)))</f>
        <v/>
      </c>
      <c r="N63" s="39" t="str">
        <f aca="false">IF(LEFT($B63,4)="_Mil","",IFERROR(1/(1/ROUND(INDEX(Spectrum!$N:$N,MATCH(RIGHT($B63,13)&amp;"|"&amp;$C63&amp;"|"&amp;$D63&amp;"|"&amp;N$14&amp;"|"&amp;"CY2023Q3",Spectrum!$R:$R,0)),0)),IF(SUM($M63)=0,"",$M63)))</f>
        <v/>
      </c>
      <c r="O63" s="88" t="n">
        <f aca="false">IF(OR(LEFT($B63,4)="_Mil",SUM($F63)=0),"",SUM($N63)/$F63)</f>
        <v>0</v>
      </c>
      <c r="P63" s="88" t="n">
        <f aca="false">IF(OR(LEFT($B63,4)="_Mil",SUM($F63)=0),"",MAX(SUM($O63),80%))</f>
        <v>0.8</v>
      </c>
      <c r="Q63" s="39" t="n">
        <f aca="false">IF(OR(LEFT($B63,4)="_Mil",SUM($F63)=0),"",ROUND(SUM($F63)*$P63,0))</f>
        <v>1316</v>
      </c>
      <c r="R63" s="39" t="n">
        <f aca="false">IF(OR(LEFT($B63,4)="_Mil",SUM($Q63)=0),"",ROUND(MAX($Q63-SUM($N63),0),0))</f>
        <v>1316</v>
      </c>
      <c r="S63" s="88" t="str">
        <f aca="false">IF(LEFT($B63,4)="_Mil","",IF(SUM($L63)=0,"",IF(SUM($M63)=0,1,$L63/$M63)))</f>
        <v/>
      </c>
      <c r="T63" s="88" t="str">
        <f aca="false">IF(LEFT($B63,4)="_Mil",0,"")</f>
        <v/>
      </c>
      <c r="U63" s="88"/>
      <c r="V63" s="88" t="str">
        <f aca="false">IF($U63="","",$U63)</f>
        <v/>
      </c>
      <c r="W63" s="88"/>
      <c r="X63" s="88" t="str">
        <f aca="false">IF($W63="","",$W63)</f>
        <v/>
      </c>
      <c r="Y63" s="10" t="str">
        <f aca="false">IF(LEFT($B63,4)="_Mil",IF(SUM($L63)=0,"",ROUND($L63*(1+$T63),0)),IF(SUM($R63)=0,"",IF($S63="","ENTER IN COL S",ROUND($R63*$S63,0))))</f>
        <v>ENTER IN COL S</v>
      </c>
      <c r="Z63" s="39" t="str">
        <f aca="false">IF(SUM($Y63)=0,"",IF(AND(SUM($Y63)&gt;0,$V63=""),"ENTER INDETERMINATE RATE",ROUND($Y63*$V63,0)))</f>
        <v/>
      </c>
      <c r="AA63" s="39" t="str">
        <f aca="false">IF(SUM($Y63)=0,"",IF(AND(($Y63-SUM($Z63))&gt;0,$X63=""),"ENTER YIELD RATE",ROUND(($Y63-SUM($Z63))*SUM($X63),0)))</f>
        <v/>
      </c>
      <c r="AB63" s="39" t="str">
        <f aca="false">IF(SUM($Y63)=0,"",$Y63-SUM($Z63)-SUM($AA63))</f>
        <v/>
      </c>
      <c r="AC63" s="10" t="str">
        <f aca="false">IFERROR(1/(1/INDEX(Cascade!$BH:$BH,MATCH($E63,Cascade!$E:$E,0))),"")</f>
        <v/>
      </c>
      <c r="AD63" s="10" t="str">
        <f aca="false">IF(SUM($AA63)=0,"",$AA63)</f>
        <v/>
      </c>
      <c r="AE63" s="10" t="str">
        <f aca="false">IFERROR(1/(1/INDEX(TB!$P:$P,MATCH($E63,TB!$E:$E,0))),"")</f>
        <v/>
      </c>
      <c r="AF63" s="10" t="str">
        <f aca="false">IFERROR(1/(1/(SUM($AC63)-SUM($AD63:$AE63))),"")</f>
        <v/>
      </c>
    </row>
    <row r="64" customFormat="false" ht="15" hidden="false" customHeight="false" outlineLevel="0" collapsed="false">
      <c r="A64" s="0" t="str">
        <f aca="false">INDEX(Prioritization!$D:$D,MATCH($B64,Prioritization!$A:$A,0))</f>
        <v>INVALID</v>
      </c>
      <c r="B64" s="0" t="s">
        <v>206</v>
      </c>
      <c r="C64" s="0" t="s">
        <v>366</v>
      </c>
      <c r="D64" s="0" t="s">
        <v>48</v>
      </c>
      <c r="E64" s="0" t="str">
        <f aca="false">B64&amp;"|"&amp;C64&amp;"|"&amp;D64</f>
        <v>Likoma District [ZCjuwgaMB9u]|25-34|Male</v>
      </c>
      <c r="F64" s="10" t="n">
        <f aca="false">IF(LEFT($B64,4)="_Mil","",INDEX(Cascade!$T:$T,MATCH($E64,Cascade!$E:$E,0)))</f>
        <v>506</v>
      </c>
      <c r="G64" s="10" t="str">
        <f aca="false">IF(LEFT($B64,4)="_Mil","",INDEX(Cascade!$U:$U,MATCH($E64,Cascade!$E:$E,0)))</f>
        <v/>
      </c>
      <c r="H64" s="86" t="n">
        <f aca="false">IF(LEFT($B64,4)="_Mil","",INDEX(Cascade!$W:$W,MATCH($E64,Cascade!$E:$E,0)))</f>
        <v>1075</v>
      </c>
      <c r="I64" s="10" t="n">
        <f aca="false">IF(LEFT($B64,4)="_Mil","",INDEX(Cascade!$Z:$Z,MATCH($E64,Cascade!$E:$E,0)))</f>
        <v>786</v>
      </c>
      <c r="J64" s="88" t="n">
        <f aca="false">IF(LEFT($B64,4)="_Mil","",INDEX(Cascade!$AA:$AA,MATCH($E64,Cascade!$E:$E,0)))</f>
        <v>1520</v>
      </c>
      <c r="K64" s="10"/>
      <c r="L64" s="10"/>
      <c r="M64" s="39" t="str">
        <f aca="false">IF(LEFT($B64,4)="_Mil","",IFERROR(1/(1/ROUND(INDEX(Spectrum!$N:$N,MATCH(RIGHT($B64,13)&amp;"|"&amp;$C64&amp;"|"&amp;$D64&amp;"|"&amp;M$14&amp;"|"&amp;"CY2023Q3",Spectrum!$R:$R,0)),0)),IF(SUM($L64)=0,"",$L64)))</f>
        <v/>
      </c>
      <c r="N64" s="39" t="str">
        <f aca="false">IF(LEFT($B64,4)="_Mil","",IFERROR(1/(1/ROUND(INDEX(Spectrum!$N:$N,MATCH(RIGHT($B64,13)&amp;"|"&amp;$C64&amp;"|"&amp;$D64&amp;"|"&amp;N$14&amp;"|"&amp;"CY2023Q3",Spectrum!$R:$R,0)),0)),IF(SUM($M64)=0,"",$M64)))</f>
        <v/>
      </c>
      <c r="O64" s="88" t="n">
        <f aca="false">IF(OR(LEFT($B64,4)="_Mil",SUM($F64)=0),"",SUM($N64)/$F64)</f>
        <v>0</v>
      </c>
      <c r="P64" s="88" t="n">
        <f aca="false">IF(OR(LEFT($B64,4)="_Mil",SUM($F64)=0),"",MAX(SUM($O64),80%))</f>
        <v>0.8</v>
      </c>
      <c r="Q64" s="39" t="n">
        <f aca="false">IF(OR(LEFT($B64,4)="_Mil",SUM($F64)=0),"",ROUND(SUM($F64)*$P64,0))</f>
        <v>405</v>
      </c>
      <c r="R64" s="39" t="n">
        <f aca="false">IF(OR(LEFT($B64,4)="_Mil",SUM($Q64)=0),"",ROUND(MAX($Q64-SUM($N64),0),0))</f>
        <v>405</v>
      </c>
      <c r="S64" s="88" t="str">
        <f aca="false">IF(LEFT($B64,4)="_Mil","",IF(SUM($L64)=0,"",IF(SUM($M64)=0,1,$L64/$M64)))</f>
        <v/>
      </c>
      <c r="T64" s="88" t="str">
        <f aca="false">IF(LEFT($B64,4)="_Mil",0,"")</f>
        <v/>
      </c>
      <c r="U64" s="88"/>
      <c r="V64" s="88" t="str">
        <f aca="false">IF($U64="","",$U64)</f>
        <v/>
      </c>
      <c r="W64" s="88"/>
      <c r="X64" s="88" t="str">
        <f aca="false">IF($W64="","",$W64)</f>
        <v/>
      </c>
      <c r="Y64" s="10" t="str">
        <f aca="false">IF(LEFT($B64,4)="_Mil",IF(SUM($L64)=0,"",ROUND($L64*(1+$T64),0)),IF(SUM($R64)=0,"",IF($S64="","ENTER IN COL S",ROUND($R64*$S64,0))))</f>
        <v>ENTER IN COL S</v>
      </c>
      <c r="Z64" s="39" t="str">
        <f aca="false">IF(SUM($Y64)=0,"",IF(AND(SUM($Y64)&gt;0,$V64=""),"ENTER INDETERMINATE RATE",ROUND($Y64*$V64,0)))</f>
        <v/>
      </c>
      <c r="AA64" s="39" t="str">
        <f aca="false">IF(SUM($Y64)=0,"",IF(AND(($Y64-SUM($Z64))&gt;0,$X64=""),"ENTER YIELD RATE",ROUND(($Y64-SUM($Z64))*SUM($X64),0)))</f>
        <v/>
      </c>
      <c r="AB64" s="39" t="str">
        <f aca="false">IF(SUM($Y64)=0,"",$Y64-SUM($Z64)-SUM($AA64))</f>
        <v/>
      </c>
      <c r="AC64" s="10" t="str">
        <f aca="false">IFERROR(1/(1/INDEX(Cascade!$BH:$BH,MATCH($E64,Cascade!$E:$E,0))),"")</f>
        <v/>
      </c>
      <c r="AD64" s="10" t="str">
        <f aca="false">IF(SUM($AA64)=0,"",$AA64)</f>
        <v/>
      </c>
      <c r="AE64" s="10" t="str">
        <f aca="false">IFERROR(1/(1/INDEX(TB!$P:$P,MATCH($E64,TB!$E:$E,0))),"")</f>
        <v/>
      </c>
      <c r="AF64" s="10" t="str">
        <f aca="false">IFERROR(1/(1/(SUM($AC64)-SUM($AD64:$AE64))),"")</f>
        <v/>
      </c>
    </row>
    <row r="65" customFormat="false" ht="15" hidden="false" customHeight="false" outlineLevel="0" collapsed="false">
      <c r="A65" s="0" t="str">
        <f aca="false">INDEX(Prioritization!$D:$D,MATCH($B65,Prioritization!$A:$A,0))</f>
        <v>INVALID</v>
      </c>
      <c r="B65" s="0" t="s">
        <v>206</v>
      </c>
      <c r="C65" s="0" t="s">
        <v>367</v>
      </c>
      <c r="D65" s="0" t="s">
        <v>48</v>
      </c>
      <c r="E65" s="0" t="str">
        <f aca="false">B65&amp;"|"&amp;C65&amp;"|"&amp;D65</f>
        <v>Likoma District [ZCjuwgaMB9u]|35-49|Male</v>
      </c>
      <c r="F65" s="10" t="n">
        <f aca="false">IF(LEFT($B65,4)="_Mil","",INDEX(Cascade!$T:$T,MATCH($E65,Cascade!$E:$E,0)))</f>
        <v>1305</v>
      </c>
      <c r="G65" s="10" t="str">
        <f aca="false">IF(LEFT($B65,4)="_Mil","",INDEX(Cascade!$U:$U,MATCH($E65,Cascade!$E:$E,0)))</f>
        <v/>
      </c>
      <c r="H65" s="86" t="n">
        <f aca="false">IF(LEFT($B65,4)="_Mil","",INDEX(Cascade!$W:$W,MATCH($E65,Cascade!$E:$E,0)))</f>
        <v>1845</v>
      </c>
      <c r="I65" s="10" t="n">
        <f aca="false">IF(LEFT($B65,4)="_Mil","",INDEX(Cascade!$Z:$Z,MATCH($E65,Cascade!$E:$E,0)))</f>
        <v>1546</v>
      </c>
      <c r="J65" s="88" t="n">
        <f aca="false">IF(LEFT($B65,4)="_Mil","",INDEX(Cascade!$AA:$AA,MATCH($E65,Cascade!$E:$E,0)))</f>
        <v>1913</v>
      </c>
      <c r="K65" s="10"/>
      <c r="L65" s="10"/>
      <c r="M65" s="39" t="str">
        <f aca="false">IF(LEFT($B65,4)="_Mil","",IFERROR(1/(1/ROUND(INDEX(Spectrum!$N:$N,MATCH(RIGHT($B65,13)&amp;"|"&amp;$C65&amp;"|"&amp;$D65&amp;"|"&amp;M$14&amp;"|"&amp;"CY2023Q3",Spectrum!$R:$R,0)),0)),IF(SUM($L65)=0,"",$L65)))</f>
        <v/>
      </c>
      <c r="N65" s="39" t="str">
        <f aca="false">IF(LEFT($B65,4)="_Mil","",IFERROR(1/(1/ROUND(INDEX(Spectrum!$N:$N,MATCH(RIGHT($B65,13)&amp;"|"&amp;$C65&amp;"|"&amp;$D65&amp;"|"&amp;N$14&amp;"|"&amp;"CY2023Q3",Spectrum!$R:$R,0)),0)),IF(SUM($M65)=0,"",$M65)))</f>
        <v/>
      </c>
      <c r="O65" s="88" t="n">
        <f aca="false">IF(OR(LEFT($B65,4)="_Mil",SUM($F65)=0),"",SUM($N65)/$F65)</f>
        <v>0</v>
      </c>
      <c r="P65" s="88" t="n">
        <f aca="false">IF(OR(LEFT($B65,4)="_Mil",SUM($F65)=0),"",MAX(SUM($O65),80%))</f>
        <v>0.8</v>
      </c>
      <c r="Q65" s="39" t="n">
        <f aca="false">IF(OR(LEFT($B65,4)="_Mil",SUM($F65)=0),"",ROUND(SUM($F65)*$P65,0))</f>
        <v>1044</v>
      </c>
      <c r="R65" s="39" t="n">
        <f aca="false">IF(OR(LEFT($B65,4)="_Mil",SUM($Q65)=0),"",ROUND(MAX($Q65-SUM($N65),0),0))</f>
        <v>1044</v>
      </c>
      <c r="S65" s="88" t="str">
        <f aca="false">IF(LEFT($B65,4)="_Mil","",IF(SUM($L65)=0,"",IF(SUM($M65)=0,1,$L65/$M65)))</f>
        <v/>
      </c>
      <c r="T65" s="88" t="str">
        <f aca="false">IF(LEFT($B65,4)="_Mil",0,"")</f>
        <v/>
      </c>
      <c r="U65" s="88"/>
      <c r="V65" s="88" t="str">
        <f aca="false">IF($U65="","",$U65)</f>
        <v/>
      </c>
      <c r="W65" s="88"/>
      <c r="X65" s="88" t="str">
        <f aca="false">IF($W65="","",$W65)</f>
        <v/>
      </c>
      <c r="Y65" s="10" t="str">
        <f aca="false">IF(LEFT($B65,4)="_Mil",IF(SUM($L65)=0,"",ROUND($L65*(1+$T65),0)),IF(SUM($R65)=0,"",IF($S65="","ENTER IN COL S",ROUND($R65*$S65,0))))</f>
        <v>ENTER IN COL S</v>
      </c>
      <c r="Z65" s="39" t="str">
        <f aca="false">IF(SUM($Y65)=0,"",IF(AND(SUM($Y65)&gt;0,$V65=""),"ENTER INDETERMINATE RATE",ROUND($Y65*$V65,0)))</f>
        <v/>
      </c>
      <c r="AA65" s="39" t="str">
        <f aca="false">IF(SUM($Y65)=0,"",IF(AND(($Y65-SUM($Z65))&gt;0,$X65=""),"ENTER YIELD RATE",ROUND(($Y65-SUM($Z65))*SUM($X65),0)))</f>
        <v/>
      </c>
      <c r="AB65" s="39" t="str">
        <f aca="false">IF(SUM($Y65)=0,"",$Y65-SUM($Z65)-SUM($AA65))</f>
        <v/>
      </c>
      <c r="AC65" s="10" t="str">
        <f aca="false">IFERROR(1/(1/INDEX(Cascade!$BH:$BH,MATCH($E65,Cascade!$E:$E,0))),"")</f>
        <v/>
      </c>
      <c r="AD65" s="10" t="str">
        <f aca="false">IF(SUM($AA65)=0,"",$AA65)</f>
        <v/>
      </c>
      <c r="AE65" s="10" t="str">
        <f aca="false">IFERROR(1/(1/INDEX(TB!$P:$P,MATCH($E65,TB!$E:$E,0))),"")</f>
        <v/>
      </c>
      <c r="AF65" s="10" t="str">
        <f aca="false">IFERROR(1/(1/(SUM($AC65)-SUM($AD65:$AE65))),"")</f>
        <v/>
      </c>
    </row>
    <row r="66" customFormat="false" ht="15" hidden="false" customHeight="false" outlineLevel="0" collapsed="false">
      <c r="A66" s="0" t="str">
        <f aca="false">INDEX(Prioritization!$D:$D,MATCH($B66,Prioritization!$A:$A,0))</f>
        <v>INVALID</v>
      </c>
      <c r="B66" s="0" t="s">
        <v>206</v>
      </c>
      <c r="C66" s="0" t="s">
        <v>368</v>
      </c>
      <c r="D66" s="0" t="s">
        <v>48</v>
      </c>
      <c r="E66" s="0" t="str">
        <f aca="false">B66&amp;"|"&amp;C66&amp;"|"&amp;D66</f>
        <v>Likoma District [ZCjuwgaMB9u]|50+|Male</v>
      </c>
      <c r="F66" s="10" t="n">
        <f aca="false">IF(LEFT($B66,4)="_Mil","",INDEX(Cascade!$T:$T,MATCH($E66,Cascade!$E:$E,0)))</f>
        <v>534</v>
      </c>
      <c r="G66" s="10" t="str">
        <f aca="false">IF(LEFT($B66,4)="_Mil","",INDEX(Cascade!$U:$U,MATCH($E66,Cascade!$E:$E,0)))</f>
        <v/>
      </c>
      <c r="H66" s="86" t="n">
        <f aca="false">IF(LEFT($B66,4)="_Mil","",INDEX(Cascade!$W:$W,MATCH($E66,Cascade!$E:$E,0)))</f>
        <v>1541</v>
      </c>
      <c r="I66" s="10" t="n">
        <f aca="false">IF(LEFT($B66,4)="_Mil","",INDEX(Cascade!$Z:$Z,MATCH($E66,Cascade!$E:$E,0)))</f>
        <v>1388</v>
      </c>
      <c r="J66" s="88" t="n">
        <f aca="false">IF(LEFT($B66,4)="_Mil","",INDEX(Cascade!$AA:$AA,MATCH($E66,Cascade!$E:$E,0)))</f>
        <v>1918</v>
      </c>
      <c r="K66" s="10"/>
      <c r="L66" s="10"/>
      <c r="M66" s="39" t="str">
        <f aca="false">IF(LEFT($B66,4)="_Mil","",IFERROR(1/(1/ROUND(INDEX(Spectrum!$N:$N,MATCH(RIGHT($B66,13)&amp;"|"&amp;$C66&amp;"|"&amp;$D66&amp;"|"&amp;M$14&amp;"|"&amp;"CY2023Q3",Spectrum!$R:$R,0)),0)),IF(SUM($L66)=0,"",$L66)))</f>
        <v/>
      </c>
      <c r="N66" s="39" t="str">
        <f aca="false">IF(LEFT($B66,4)="_Mil","",IFERROR(1/(1/ROUND(INDEX(Spectrum!$N:$N,MATCH(RIGHT($B66,13)&amp;"|"&amp;$C66&amp;"|"&amp;$D66&amp;"|"&amp;N$14&amp;"|"&amp;"CY2023Q3",Spectrum!$R:$R,0)),0)),IF(SUM($M66)=0,"",$M66)))</f>
        <v/>
      </c>
      <c r="O66" s="88" t="n">
        <f aca="false">IF(OR(LEFT($B66,4)="_Mil",SUM($F66)=0),"",SUM($N66)/$F66)</f>
        <v>0</v>
      </c>
      <c r="P66" s="88" t="n">
        <f aca="false">IF(OR(LEFT($B66,4)="_Mil",SUM($F66)=0),"",MAX(SUM($O66),80%))</f>
        <v>0.8</v>
      </c>
      <c r="Q66" s="39" t="n">
        <f aca="false">IF(OR(LEFT($B66,4)="_Mil",SUM($F66)=0),"",ROUND(SUM($F66)*$P66,0))</f>
        <v>427</v>
      </c>
      <c r="R66" s="39" t="n">
        <f aca="false">IF(OR(LEFT($B66,4)="_Mil",SUM($Q66)=0),"",ROUND(MAX($Q66-SUM($N66),0),0))</f>
        <v>427</v>
      </c>
      <c r="S66" s="88" t="str">
        <f aca="false">IF(LEFT($B66,4)="_Mil","",IF(SUM($L66)=0,"",IF(SUM($M66)=0,1,$L66/$M66)))</f>
        <v/>
      </c>
      <c r="T66" s="88" t="str">
        <f aca="false">IF(LEFT($B66,4)="_Mil",0,"")</f>
        <v/>
      </c>
      <c r="U66" s="88"/>
      <c r="V66" s="88" t="str">
        <f aca="false">IF($U66="","",$U66)</f>
        <v/>
      </c>
      <c r="W66" s="88"/>
      <c r="X66" s="88" t="str">
        <f aca="false">IF($W66="","",$W66)</f>
        <v/>
      </c>
      <c r="Y66" s="10" t="str">
        <f aca="false">IF(LEFT($B66,4)="_Mil",IF(SUM($L66)=0,"",ROUND($L66*(1+$T66),0)),IF(SUM($R66)=0,"",IF($S66="","ENTER IN COL S",ROUND($R66*$S66,0))))</f>
        <v>ENTER IN COL S</v>
      </c>
      <c r="Z66" s="39" t="str">
        <f aca="false">IF(SUM($Y66)=0,"",IF(AND(SUM($Y66)&gt;0,$V66=""),"ENTER INDETERMINATE RATE",ROUND($Y66*$V66,0)))</f>
        <v/>
      </c>
      <c r="AA66" s="39" t="str">
        <f aca="false">IF(SUM($Y66)=0,"",IF(AND(($Y66-SUM($Z66))&gt;0,$X66=""),"ENTER YIELD RATE",ROUND(($Y66-SUM($Z66))*SUM($X66),0)))</f>
        <v/>
      </c>
      <c r="AB66" s="39" t="str">
        <f aca="false">IF(SUM($Y66)=0,"",$Y66-SUM($Z66)-SUM($AA66))</f>
        <v/>
      </c>
      <c r="AC66" s="10" t="str">
        <f aca="false">IFERROR(1/(1/INDEX(Cascade!$BH:$BH,MATCH($E66,Cascade!$E:$E,0))),"")</f>
        <v/>
      </c>
      <c r="AD66" s="10" t="str">
        <f aca="false">IF(SUM($AA66)=0,"",$AA66)</f>
        <v/>
      </c>
      <c r="AE66" s="10" t="str">
        <f aca="false">IFERROR(1/(1/INDEX(TB!$P:$P,MATCH($E66,TB!$E:$E,0))),"")</f>
        <v/>
      </c>
      <c r="AF66" s="10" t="str">
        <f aca="false">IFERROR(1/(1/(SUM($AC66)-SUM($AD66:$AE66))),"")</f>
        <v/>
      </c>
    </row>
    <row r="67" customFormat="false" ht="15" hidden="false" customHeight="false" outlineLevel="0" collapsed="false">
      <c r="A67" s="0" t="str">
        <f aca="false">INDEX(Prioritization!$D:$D,MATCH($B67,Prioritization!$A:$A,0))</f>
        <v>1 - Scale-up: Saturation</v>
      </c>
      <c r="B67" s="0" t="s">
        <v>207</v>
      </c>
      <c r="C67" s="0" t="s">
        <v>365</v>
      </c>
      <c r="D67" s="0" t="s">
        <v>48</v>
      </c>
      <c r="E67" s="0" t="str">
        <f aca="false">B67&amp;"|"&amp;C67&amp;"|"&amp;D67</f>
        <v>Mzimba District [vA4NcHxfMBq]|15-24|Male</v>
      </c>
      <c r="F67" s="10" t="n">
        <f aca="false">IF(LEFT($B67,4)="_Mil","",INDEX(Cascade!$T:$T,MATCH($E67,Cascade!$E:$E,0)))</f>
        <v>734</v>
      </c>
      <c r="G67" s="10" t="str">
        <f aca="false">IF(LEFT($B67,4)="_Mil","",INDEX(Cascade!$U:$U,MATCH($E67,Cascade!$E:$E,0)))</f>
        <v/>
      </c>
      <c r="H67" s="86" t="n">
        <f aca="false">IF(LEFT($B67,4)="_Mil","",INDEX(Cascade!$W:$W,MATCH($E67,Cascade!$E:$E,0)))</f>
        <v>1106</v>
      </c>
      <c r="I67" s="10" t="n">
        <f aca="false">IF(LEFT($B67,4)="_Mil","",INDEX(Cascade!$Z:$Z,MATCH($E67,Cascade!$E:$E,0)))</f>
        <v>630</v>
      </c>
      <c r="J67" s="88" t="n">
        <f aca="false">IF(LEFT($B67,4)="_Mil","",INDEX(Cascade!$AA:$AA,MATCH($E67,Cascade!$E:$E,0)))</f>
        <v>1946</v>
      </c>
      <c r="K67" s="10"/>
      <c r="L67" s="10"/>
      <c r="M67" s="39" t="str">
        <f aca="false">IF(LEFT($B67,4)="_Mil","",IFERROR(1/(1/ROUND(INDEX(Spectrum!$N:$N,MATCH(RIGHT($B67,13)&amp;"|"&amp;$C67&amp;"|"&amp;$D67&amp;"|"&amp;M$14&amp;"|"&amp;"CY2023Q3",Spectrum!$R:$R,0)),0)),IF(SUM($L67)=0,"",$L67)))</f>
        <v/>
      </c>
      <c r="N67" s="39" t="str">
        <f aca="false">IF(LEFT($B67,4)="_Mil","",IFERROR(1/(1/ROUND(INDEX(Spectrum!$N:$N,MATCH(RIGHT($B67,13)&amp;"|"&amp;$C67&amp;"|"&amp;$D67&amp;"|"&amp;N$14&amp;"|"&amp;"CY2023Q3",Spectrum!$R:$R,0)),0)),IF(SUM($M67)=0,"",$M67)))</f>
        <v/>
      </c>
      <c r="O67" s="88" t="n">
        <f aca="false">IF(OR(LEFT($B67,4)="_Mil",SUM($F67)=0),"",SUM($N67)/$F67)</f>
        <v>0</v>
      </c>
      <c r="P67" s="88" t="n">
        <f aca="false">IF(OR(LEFT($B67,4)="_Mil",SUM($F67)=0),"",MAX(SUM($O67),80%))</f>
        <v>0.8</v>
      </c>
      <c r="Q67" s="39" t="n">
        <f aca="false">IF(OR(LEFT($B67,4)="_Mil",SUM($F67)=0),"",ROUND(SUM($F67)*$P67,0))</f>
        <v>587</v>
      </c>
      <c r="R67" s="39" t="n">
        <f aca="false">IF(OR(LEFT($B67,4)="_Mil",SUM($Q67)=0),"",ROUND(MAX($Q67-SUM($N67),0),0))</f>
        <v>587</v>
      </c>
      <c r="S67" s="88" t="str">
        <f aca="false">IF(LEFT($B67,4)="_Mil","",IF(SUM($L67)=0,"",IF(SUM($M67)=0,1,$L67/$M67)))</f>
        <v/>
      </c>
      <c r="T67" s="88" t="str">
        <f aca="false">IF(LEFT($B67,4)="_Mil",0,"")</f>
        <v/>
      </c>
      <c r="U67" s="88"/>
      <c r="V67" s="88" t="str">
        <f aca="false">IF($U67="","",$U67)</f>
        <v/>
      </c>
      <c r="W67" s="88"/>
      <c r="X67" s="88" t="str">
        <f aca="false">IF($W67="","",$W67)</f>
        <v/>
      </c>
      <c r="Y67" s="10" t="str">
        <f aca="false">IF(LEFT($B67,4)="_Mil",IF(SUM($L67)=0,"",ROUND($L67*(1+$T67),0)),IF(SUM($R67)=0,"",IF($S67="","ENTER IN COL S",ROUND($R67*$S67,0))))</f>
        <v>ENTER IN COL S</v>
      </c>
      <c r="Z67" s="39" t="str">
        <f aca="false">IF(SUM($Y67)=0,"",IF(AND(SUM($Y67)&gt;0,$V67=""),"ENTER INDETERMINATE RATE",ROUND($Y67*$V67,0)))</f>
        <v/>
      </c>
      <c r="AA67" s="39" t="str">
        <f aca="false">IF(SUM($Y67)=0,"",IF(AND(($Y67-SUM($Z67))&gt;0,$X67=""),"ENTER YIELD RATE",ROUND(($Y67-SUM($Z67))*SUM($X67),0)))</f>
        <v/>
      </c>
      <c r="AB67" s="39" t="str">
        <f aca="false">IF(SUM($Y67)=0,"",$Y67-SUM($Z67)-SUM($AA67))</f>
        <v/>
      </c>
      <c r="AC67" s="10" t="str">
        <f aca="false">IFERROR(1/(1/INDEX(Cascade!$BH:$BH,MATCH($E67,Cascade!$E:$E,0))),"")</f>
        <v/>
      </c>
      <c r="AD67" s="10" t="str">
        <f aca="false">IF(SUM($AA67)=0,"",$AA67)</f>
        <v/>
      </c>
      <c r="AE67" s="10" t="str">
        <f aca="false">IFERROR(1/(1/INDEX(TB!$P:$P,MATCH($E67,TB!$E:$E,0))),"")</f>
        <v/>
      </c>
      <c r="AF67" s="10" t="str">
        <f aca="false">IFERROR(1/(1/(SUM($AC67)-SUM($AD67:$AE67))),"")</f>
        <v/>
      </c>
    </row>
    <row r="68" customFormat="false" ht="15" hidden="false" customHeight="false" outlineLevel="0" collapsed="false">
      <c r="A68" s="0" t="str">
        <f aca="false">INDEX(Prioritization!$D:$D,MATCH($B68,Prioritization!$A:$A,0))</f>
        <v>1 - Scale-up: Saturation</v>
      </c>
      <c r="B68" s="0" t="s">
        <v>207</v>
      </c>
      <c r="C68" s="0" t="s">
        <v>366</v>
      </c>
      <c r="D68" s="0" t="s">
        <v>48</v>
      </c>
      <c r="E68" s="0" t="str">
        <f aca="false">B68&amp;"|"&amp;C68&amp;"|"&amp;D68</f>
        <v>Mzimba District [vA4NcHxfMBq]|25-34|Male</v>
      </c>
      <c r="F68" s="10" t="n">
        <f aca="false">IF(LEFT($B68,4)="_Mil","",INDEX(Cascade!$T:$T,MATCH($E68,Cascade!$E:$E,0)))</f>
        <v>1328</v>
      </c>
      <c r="G68" s="10" t="str">
        <f aca="false">IF(LEFT($B68,4)="_Mil","",INDEX(Cascade!$U:$U,MATCH($E68,Cascade!$E:$E,0)))</f>
        <v/>
      </c>
      <c r="H68" s="86" t="n">
        <f aca="false">IF(LEFT($B68,4)="_Mil","",INDEX(Cascade!$W:$W,MATCH($E68,Cascade!$E:$E,0)))</f>
        <v>1558</v>
      </c>
      <c r="I68" s="10" t="n">
        <f aca="false">IF(LEFT($B68,4)="_Mil","",INDEX(Cascade!$Z:$Z,MATCH($E68,Cascade!$E:$E,0)))</f>
        <v>1580</v>
      </c>
      <c r="J68" s="88" t="n">
        <f aca="false">IF(LEFT($B68,4)="_Mil","",INDEX(Cascade!$AA:$AA,MATCH($E68,Cascade!$E:$E,0)))</f>
        <v>1023</v>
      </c>
      <c r="K68" s="10"/>
      <c r="L68" s="10"/>
      <c r="M68" s="39" t="str">
        <f aca="false">IF(LEFT($B68,4)="_Mil","",IFERROR(1/(1/ROUND(INDEX(Spectrum!$N:$N,MATCH(RIGHT($B68,13)&amp;"|"&amp;$C68&amp;"|"&amp;$D68&amp;"|"&amp;M$14&amp;"|"&amp;"CY2023Q3",Spectrum!$R:$R,0)),0)),IF(SUM($L68)=0,"",$L68)))</f>
        <v/>
      </c>
      <c r="N68" s="39" t="str">
        <f aca="false">IF(LEFT($B68,4)="_Mil","",IFERROR(1/(1/ROUND(INDEX(Spectrum!$N:$N,MATCH(RIGHT($B68,13)&amp;"|"&amp;$C68&amp;"|"&amp;$D68&amp;"|"&amp;N$14&amp;"|"&amp;"CY2023Q3",Spectrum!$R:$R,0)),0)),IF(SUM($M68)=0,"",$M68)))</f>
        <v/>
      </c>
      <c r="O68" s="88" t="n">
        <f aca="false">IF(OR(LEFT($B68,4)="_Mil",SUM($F68)=0),"",SUM($N68)/$F68)</f>
        <v>0</v>
      </c>
      <c r="P68" s="88" t="n">
        <f aca="false">IF(OR(LEFT($B68,4)="_Mil",SUM($F68)=0),"",MAX(SUM($O68),80%))</f>
        <v>0.8</v>
      </c>
      <c r="Q68" s="39" t="n">
        <f aca="false">IF(OR(LEFT($B68,4)="_Mil",SUM($F68)=0),"",ROUND(SUM($F68)*$P68,0))</f>
        <v>1062</v>
      </c>
      <c r="R68" s="39" t="n">
        <f aca="false">IF(OR(LEFT($B68,4)="_Mil",SUM($Q68)=0),"",ROUND(MAX($Q68-SUM($N68),0),0))</f>
        <v>1062</v>
      </c>
      <c r="S68" s="88" t="str">
        <f aca="false">IF(LEFT($B68,4)="_Mil","",IF(SUM($L68)=0,"",IF(SUM($M68)=0,1,$L68/$M68)))</f>
        <v/>
      </c>
      <c r="T68" s="88" t="str">
        <f aca="false">IF(LEFT($B68,4)="_Mil",0,"")</f>
        <v/>
      </c>
      <c r="U68" s="88"/>
      <c r="V68" s="88" t="str">
        <f aca="false">IF($U68="","",$U68)</f>
        <v/>
      </c>
      <c r="W68" s="88"/>
      <c r="X68" s="88" t="str">
        <f aca="false">IF($W68="","",$W68)</f>
        <v/>
      </c>
      <c r="Y68" s="10" t="str">
        <f aca="false">IF(LEFT($B68,4)="_Mil",IF(SUM($L68)=0,"",ROUND($L68*(1+$T68),0)),IF(SUM($R68)=0,"",IF($S68="","ENTER IN COL S",ROUND($R68*$S68,0))))</f>
        <v>ENTER IN COL S</v>
      </c>
      <c r="Z68" s="39" t="str">
        <f aca="false">IF(SUM($Y68)=0,"",IF(AND(SUM($Y68)&gt;0,$V68=""),"ENTER INDETERMINATE RATE",ROUND($Y68*$V68,0)))</f>
        <v/>
      </c>
      <c r="AA68" s="39" t="str">
        <f aca="false">IF(SUM($Y68)=0,"",IF(AND(($Y68-SUM($Z68))&gt;0,$X68=""),"ENTER YIELD RATE",ROUND(($Y68-SUM($Z68))*SUM($X68),0)))</f>
        <v/>
      </c>
      <c r="AB68" s="39" t="str">
        <f aca="false">IF(SUM($Y68)=0,"",$Y68-SUM($Z68)-SUM($AA68))</f>
        <v/>
      </c>
      <c r="AC68" s="10" t="str">
        <f aca="false">IFERROR(1/(1/INDEX(Cascade!$BH:$BH,MATCH($E68,Cascade!$E:$E,0))),"")</f>
        <v/>
      </c>
      <c r="AD68" s="10" t="str">
        <f aca="false">IF(SUM($AA68)=0,"",$AA68)</f>
        <v/>
      </c>
      <c r="AE68" s="10" t="str">
        <f aca="false">IFERROR(1/(1/INDEX(TB!$P:$P,MATCH($E68,TB!$E:$E,0))),"")</f>
        <v/>
      </c>
      <c r="AF68" s="10" t="str">
        <f aca="false">IFERROR(1/(1/(SUM($AC68)-SUM($AD68:$AE68))),"")</f>
        <v/>
      </c>
    </row>
    <row r="69" customFormat="false" ht="15" hidden="false" customHeight="false" outlineLevel="0" collapsed="false">
      <c r="A69" s="0" t="str">
        <f aca="false">INDEX(Prioritization!$D:$D,MATCH($B69,Prioritization!$A:$A,0))</f>
        <v>1 - Scale-up: Saturation</v>
      </c>
      <c r="B69" s="0" t="s">
        <v>207</v>
      </c>
      <c r="C69" s="0" t="s">
        <v>367</v>
      </c>
      <c r="D69" s="0" t="s">
        <v>48</v>
      </c>
      <c r="E69" s="0" t="str">
        <f aca="false">B69&amp;"|"&amp;C69&amp;"|"&amp;D69</f>
        <v>Mzimba District [vA4NcHxfMBq]|35-49|Male</v>
      </c>
      <c r="F69" s="10" t="n">
        <f aca="false">IF(LEFT($B69,4)="_Mil","",INDEX(Cascade!$T:$T,MATCH($E69,Cascade!$E:$E,0)))</f>
        <v>1395</v>
      </c>
      <c r="G69" s="10" t="str">
        <f aca="false">IF(LEFT($B69,4)="_Mil","",INDEX(Cascade!$U:$U,MATCH($E69,Cascade!$E:$E,0)))</f>
        <v/>
      </c>
      <c r="H69" s="86" t="n">
        <f aca="false">IF(LEFT($B69,4)="_Mil","",INDEX(Cascade!$W:$W,MATCH($E69,Cascade!$E:$E,0)))</f>
        <v>952</v>
      </c>
      <c r="I69" s="10" t="n">
        <f aca="false">IF(LEFT($B69,4)="_Mil","",INDEX(Cascade!$Z:$Z,MATCH($E69,Cascade!$E:$E,0)))</f>
        <v>1401</v>
      </c>
      <c r="J69" s="88" t="n">
        <f aca="false">IF(LEFT($B69,4)="_Mil","",INDEX(Cascade!$AA:$AA,MATCH($E69,Cascade!$E:$E,0)))</f>
        <v>1021</v>
      </c>
      <c r="K69" s="10"/>
      <c r="L69" s="10"/>
      <c r="M69" s="39" t="str">
        <f aca="false">IF(LEFT($B69,4)="_Mil","",IFERROR(1/(1/ROUND(INDEX(Spectrum!$N:$N,MATCH(RIGHT($B69,13)&amp;"|"&amp;$C69&amp;"|"&amp;$D69&amp;"|"&amp;M$14&amp;"|"&amp;"CY2023Q3",Spectrum!$R:$R,0)),0)),IF(SUM($L69)=0,"",$L69)))</f>
        <v/>
      </c>
      <c r="N69" s="39" t="str">
        <f aca="false">IF(LEFT($B69,4)="_Mil","",IFERROR(1/(1/ROUND(INDEX(Spectrum!$N:$N,MATCH(RIGHT($B69,13)&amp;"|"&amp;$C69&amp;"|"&amp;$D69&amp;"|"&amp;N$14&amp;"|"&amp;"CY2023Q3",Spectrum!$R:$R,0)),0)),IF(SUM($M69)=0,"",$M69)))</f>
        <v/>
      </c>
      <c r="O69" s="88" t="n">
        <f aca="false">IF(OR(LEFT($B69,4)="_Mil",SUM($F69)=0),"",SUM($N69)/$F69)</f>
        <v>0</v>
      </c>
      <c r="P69" s="88" t="n">
        <f aca="false">IF(OR(LEFT($B69,4)="_Mil",SUM($F69)=0),"",MAX(SUM($O69),80%))</f>
        <v>0.8</v>
      </c>
      <c r="Q69" s="39" t="n">
        <f aca="false">IF(OR(LEFT($B69,4)="_Mil",SUM($F69)=0),"",ROUND(SUM($F69)*$P69,0))</f>
        <v>1116</v>
      </c>
      <c r="R69" s="39" t="n">
        <f aca="false">IF(OR(LEFT($B69,4)="_Mil",SUM($Q69)=0),"",ROUND(MAX($Q69-SUM($N69),0),0))</f>
        <v>1116</v>
      </c>
      <c r="S69" s="88" t="str">
        <f aca="false">IF(LEFT($B69,4)="_Mil","",IF(SUM($L69)=0,"",IF(SUM($M69)=0,1,$L69/$M69)))</f>
        <v/>
      </c>
      <c r="T69" s="88" t="str">
        <f aca="false">IF(LEFT($B69,4)="_Mil",0,"")</f>
        <v/>
      </c>
      <c r="U69" s="88"/>
      <c r="V69" s="88" t="str">
        <f aca="false">IF($U69="","",$U69)</f>
        <v/>
      </c>
      <c r="W69" s="88"/>
      <c r="X69" s="88" t="str">
        <f aca="false">IF($W69="","",$W69)</f>
        <v/>
      </c>
      <c r="Y69" s="10" t="str">
        <f aca="false">IF(LEFT($B69,4)="_Mil",IF(SUM($L69)=0,"",ROUND($L69*(1+$T69),0)),IF(SUM($R69)=0,"",IF($S69="","ENTER IN COL S",ROUND($R69*$S69,0))))</f>
        <v>ENTER IN COL S</v>
      </c>
      <c r="Z69" s="39" t="str">
        <f aca="false">IF(SUM($Y69)=0,"",IF(AND(SUM($Y69)&gt;0,$V69=""),"ENTER INDETERMINATE RATE",ROUND($Y69*$V69,0)))</f>
        <v/>
      </c>
      <c r="AA69" s="39" t="str">
        <f aca="false">IF(SUM($Y69)=0,"",IF(AND(($Y69-SUM($Z69))&gt;0,$X69=""),"ENTER YIELD RATE",ROUND(($Y69-SUM($Z69))*SUM($X69),0)))</f>
        <v/>
      </c>
      <c r="AB69" s="39" t="str">
        <f aca="false">IF(SUM($Y69)=0,"",$Y69-SUM($Z69)-SUM($AA69))</f>
        <v/>
      </c>
      <c r="AC69" s="10" t="str">
        <f aca="false">IFERROR(1/(1/INDEX(Cascade!$BH:$BH,MATCH($E69,Cascade!$E:$E,0))),"")</f>
        <v/>
      </c>
      <c r="AD69" s="10" t="str">
        <f aca="false">IF(SUM($AA69)=0,"",$AA69)</f>
        <v/>
      </c>
      <c r="AE69" s="10" t="str">
        <f aca="false">IFERROR(1/(1/INDEX(TB!$P:$P,MATCH($E69,TB!$E:$E,0))),"")</f>
        <v/>
      </c>
      <c r="AF69" s="10" t="str">
        <f aca="false">IFERROR(1/(1/(SUM($AC69)-SUM($AD69:$AE69))),"")</f>
        <v/>
      </c>
    </row>
    <row r="70" customFormat="false" ht="15" hidden="false" customHeight="false" outlineLevel="0" collapsed="false">
      <c r="A70" s="0" t="str">
        <f aca="false">INDEX(Prioritization!$D:$D,MATCH($B70,Prioritization!$A:$A,0))</f>
        <v>1 - Scale-up: Saturation</v>
      </c>
      <c r="B70" s="0" t="s">
        <v>207</v>
      </c>
      <c r="C70" s="0" t="s">
        <v>368</v>
      </c>
      <c r="D70" s="0" t="s">
        <v>48</v>
      </c>
      <c r="E70" s="0" t="str">
        <f aca="false">B70&amp;"|"&amp;C70&amp;"|"&amp;D70</f>
        <v>Mzimba District [vA4NcHxfMBq]|50+|Male</v>
      </c>
      <c r="F70" s="10" t="n">
        <f aca="false">IF(LEFT($B70,4)="_Mil","",INDEX(Cascade!$T:$T,MATCH($E70,Cascade!$E:$E,0)))</f>
        <v>1270</v>
      </c>
      <c r="G70" s="10" t="str">
        <f aca="false">IF(LEFT($B70,4)="_Mil","",INDEX(Cascade!$U:$U,MATCH($E70,Cascade!$E:$E,0)))</f>
        <v/>
      </c>
      <c r="H70" s="86" t="n">
        <f aca="false">IF(LEFT($B70,4)="_Mil","",INDEX(Cascade!$W:$W,MATCH($E70,Cascade!$E:$E,0)))</f>
        <v>678</v>
      </c>
      <c r="I70" s="10" t="n">
        <f aca="false">IF(LEFT($B70,4)="_Mil","",INDEX(Cascade!$Z:$Z,MATCH($E70,Cascade!$E:$E,0)))</f>
        <v>1516</v>
      </c>
      <c r="J70" s="88" t="n">
        <f aca="false">IF(LEFT($B70,4)="_Mil","",INDEX(Cascade!$AA:$AA,MATCH($E70,Cascade!$E:$E,0)))</f>
        <v>1119</v>
      </c>
      <c r="K70" s="10"/>
      <c r="L70" s="10"/>
      <c r="M70" s="39" t="str">
        <f aca="false">IF(LEFT($B70,4)="_Mil","",IFERROR(1/(1/ROUND(INDEX(Spectrum!$N:$N,MATCH(RIGHT($B70,13)&amp;"|"&amp;$C70&amp;"|"&amp;$D70&amp;"|"&amp;M$14&amp;"|"&amp;"CY2023Q3",Spectrum!$R:$R,0)),0)),IF(SUM($L70)=0,"",$L70)))</f>
        <v/>
      </c>
      <c r="N70" s="39" t="str">
        <f aca="false">IF(LEFT($B70,4)="_Mil","",IFERROR(1/(1/ROUND(INDEX(Spectrum!$N:$N,MATCH(RIGHT($B70,13)&amp;"|"&amp;$C70&amp;"|"&amp;$D70&amp;"|"&amp;N$14&amp;"|"&amp;"CY2023Q3",Spectrum!$R:$R,0)),0)),IF(SUM($M70)=0,"",$M70)))</f>
        <v/>
      </c>
      <c r="O70" s="88" t="n">
        <f aca="false">IF(OR(LEFT($B70,4)="_Mil",SUM($F70)=0),"",SUM($N70)/$F70)</f>
        <v>0</v>
      </c>
      <c r="P70" s="88" t="n">
        <f aca="false">IF(OR(LEFT($B70,4)="_Mil",SUM($F70)=0),"",MAX(SUM($O70),80%))</f>
        <v>0.8</v>
      </c>
      <c r="Q70" s="39" t="n">
        <f aca="false">IF(OR(LEFT($B70,4)="_Mil",SUM($F70)=0),"",ROUND(SUM($F70)*$P70,0))</f>
        <v>1016</v>
      </c>
      <c r="R70" s="39" t="n">
        <f aca="false">IF(OR(LEFT($B70,4)="_Mil",SUM($Q70)=0),"",ROUND(MAX($Q70-SUM($N70),0),0))</f>
        <v>1016</v>
      </c>
      <c r="S70" s="88" t="str">
        <f aca="false">IF(LEFT($B70,4)="_Mil","",IF(SUM($L70)=0,"",IF(SUM($M70)=0,1,$L70/$M70)))</f>
        <v/>
      </c>
      <c r="T70" s="88" t="str">
        <f aca="false">IF(LEFT($B70,4)="_Mil",0,"")</f>
        <v/>
      </c>
      <c r="U70" s="88"/>
      <c r="V70" s="88" t="str">
        <f aca="false">IF($U70="","",$U70)</f>
        <v/>
      </c>
      <c r="W70" s="88"/>
      <c r="X70" s="88" t="str">
        <f aca="false">IF($W70="","",$W70)</f>
        <v/>
      </c>
      <c r="Y70" s="10" t="str">
        <f aca="false">IF(LEFT($B70,4)="_Mil",IF(SUM($L70)=0,"",ROUND($L70*(1+$T70),0)),IF(SUM($R70)=0,"",IF($S70="","ENTER IN COL S",ROUND($R70*$S70,0))))</f>
        <v>ENTER IN COL S</v>
      </c>
      <c r="Z70" s="39" t="str">
        <f aca="false">IF(SUM($Y70)=0,"",IF(AND(SUM($Y70)&gt;0,$V70=""),"ENTER INDETERMINATE RATE",ROUND($Y70*$V70,0)))</f>
        <v/>
      </c>
      <c r="AA70" s="39" t="str">
        <f aca="false">IF(SUM($Y70)=0,"",IF(AND(($Y70-SUM($Z70))&gt;0,$X70=""),"ENTER YIELD RATE",ROUND(($Y70-SUM($Z70))*SUM($X70),0)))</f>
        <v/>
      </c>
      <c r="AB70" s="39" t="str">
        <f aca="false">IF(SUM($Y70)=0,"",$Y70-SUM($Z70)-SUM($AA70))</f>
        <v/>
      </c>
      <c r="AC70" s="10" t="str">
        <f aca="false">IFERROR(1/(1/INDEX(Cascade!$BH:$BH,MATCH($E70,Cascade!$E:$E,0))),"")</f>
        <v/>
      </c>
      <c r="AD70" s="10" t="str">
        <f aca="false">IF(SUM($AA70)=0,"",$AA70)</f>
        <v/>
      </c>
      <c r="AE70" s="10" t="str">
        <f aca="false">IFERROR(1/(1/INDEX(TB!$P:$P,MATCH($E70,TB!$E:$E,0))),"")</f>
        <v/>
      </c>
      <c r="AF70" s="10" t="str">
        <f aca="false">IFERROR(1/(1/(SUM($AC70)-SUM($AD70:$AE70))),"")</f>
        <v/>
      </c>
    </row>
    <row r="71" customFormat="false" ht="15" hidden="false" customHeight="false" outlineLevel="0" collapsed="false">
      <c r="A71" s="0" t="str">
        <f aca="false">INDEX(Prioritization!$D:$D,MATCH($B71,Prioritization!$A:$A,0))</f>
        <v>INVALID</v>
      </c>
      <c r="B71" s="0" t="s">
        <v>208</v>
      </c>
      <c r="C71" s="0" t="s">
        <v>365</v>
      </c>
      <c r="D71" s="0" t="s">
        <v>48</v>
      </c>
      <c r="E71" s="0" t="str">
        <f aca="false">B71&amp;"|"&amp;C71&amp;"|"&amp;D71</f>
        <v>Nkhata Bay District [E7zpfyBt7Tw]|15-24|Male</v>
      </c>
      <c r="F71" s="10" t="n">
        <f aca="false">IF(LEFT($B71,4)="_Mil","",INDEX(Cascade!$T:$T,MATCH($E71,Cascade!$E:$E,0)))</f>
        <v>1481</v>
      </c>
      <c r="G71" s="10" t="str">
        <f aca="false">IF(LEFT($B71,4)="_Mil","",INDEX(Cascade!$U:$U,MATCH($E71,Cascade!$E:$E,0)))</f>
        <v/>
      </c>
      <c r="H71" s="86" t="n">
        <f aca="false">IF(LEFT($B71,4)="_Mil","",INDEX(Cascade!$W:$W,MATCH($E71,Cascade!$E:$E,0)))</f>
        <v>1363</v>
      </c>
      <c r="I71" s="10" t="n">
        <f aca="false">IF(LEFT($B71,4)="_Mil","",INDEX(Cascade!$Z:$Z,MATCH($E71,Cascade!$E:$E,0)))</f>
        <v>1364</v>
      </c>
      <c r="J71" s="88" t="n">
        <f aca="false">IF(LEFT($B71,4)="_Mil","",INDEX(Cascade!$AA:$AA,MATCH($E71,Cascade!$E:$E,0)))</f>
        <v>953</v>
      </c>
      <c r="K71" s="10"/>
      <c r="L71" s="10"/>
      <c r="M71" s="39" t="str">
        <f aca="false">IF(LEFT($B71,4)="_Mil","",IFERROR(1/(1/ROUND(INDEX(Spectrum!$N:$N,MATCH(RIGHT($B71,13)&amp;"|"&amp;$C71&amp;"|"&amp;$D71&amp;"|"&amp;M$14&amp;"|"&amp;"CY2023Q3",Spectrum!$R:$R,0)),0)),IF(SUM($L71)=0,"",$L71)))</f>
        <v/>
      </c>
      <c r="N71" s="39" t="str">
        <f aca="false">IF(LEFT($B71,4)="_Mil","",IFERROR(1/(1/ROUND(INDEX(Spectrum!$N:$N,MATCH(RIGHT($B71,13)&amp;"|"&amp;$C71&amp;"|"&amp;$D71&amp;"|"&amp;N$14&amp;"|"&amp;"CY2023Q3",Spectrum!$R:$R,0)),0)),IF(SUM($M71)=0,"",$M71)))</f>
        <v/>
      </c>
      <c r="O71" s="88" t="n">
        <f aca="false">IF(OR(LEFT($B71,4)="_Mil",SUM($F71)=0),"",SUM($N71)/$F71)</f>
        <v>0</v>
      </c>
      <c r="P71" s="88" t="n">
        <f aca="false">IF(OR(LEFT($B71,4)="_Mil",SUM($F71)=0),"",MAX(SUM($O71),80%))</f>
        <v>0.8</v>
      </c>
      <c r="Q71" s="39" t="n">
        <f aca="false">IF(OR(LEFT($B71,4)="_Mil",SUM($F71)=0),"",ROUND(SUM($F71)*$P71,0))</f>
        <v>1185</v>
      </c>
      <c r="R71" s="39" t="n">
        <f aca="false">IF(OR(LEFT($B71,4)="_Mil",SUM($Q71)=0),"",ROUND(MAX($Q71-SUM($N71),0),0))</f>
        <v>1185</v>
      </c>
      <c r="S71" s="88" t="str">
        <f aca="false">IF(LEFT($B71,4)="_Mil","",IF(SUM($L71)=0,"",IF(SUM($M71)=0,1,$L71/$M71)))</f>
        <v/>
      </c>
      <c r="T71" s="88" t="str">
        <f aca="false">IF(LEFT($B71,4)="_Mil",0,"")</f>
        <v/>
      </c>
      <c r="U71" s="88"/>
      <c r="V71" s="88" t="str">
        <f aca="false">IF($U71="","",$U71)</f>
        <v/>
      </c>
      <c r="W71" s="88"/>
      <c r="X71" s="88" t="str">
        <f aca="false">IF($W71="","",$W71)</f>
        <v/>
      </c>
      <c r="Y71" s="10" t="str">
        <f aca="false">IF(LEFT($B71,4)="_Mil",IF(SUM($L71)=0,"",ROUND($L71*(1+$T71),0)),IF(SUM($R71)=0,"",IF($S71="","ENTER IN COL S",ROUND($R71*$S71,0))))</f>
        <v>ENTER IN COL S</v>
      </c>
      <c r="Z71" s="39" t="str">
        <f aca="false">IF(SUM($Y71)=0,"",IF(AND(SUM($Y71)&gt;0,$V71=""),"ENTER INDETERMINATE RATE",ROUND($Y71*$V71,0)))</f>
        <v/>
      </c>
      <c r="AA71" s="39" t="str">
        <f aca="false">IF(SUM($Y71)=0,"",IF(AND(($Y71-SUM($Z71))&gt;0,$X71=""),"ENTER YIELD RATE",ROUND(($Y71-SUM($Z71))*SUM($X71),0)))</f>
        <v/>
      </c>
      <c r="AB71" s="39" t="str">
        <f aca="false">IF(SUM($Y71)=0,"",$Y71-SUM($Z71)-SUM($AA71))</f>
        <v/>
      </c>
      <c r="AC71" s="10" t="str">
        <f aca="false">IFERROR(1/(1/INDEX(Cascade!$BH:$BH,MATCH($E71,Cascade!$E:$E,0))),"")</f>
        <v/>
      </c>
      <c r="AD71" s="10" t="str">
        <f aca="false">IF(SUM($AA71)=0,"",$AA71)</f>
        <v/>
      </c>
      <c r="AE71" s="10" t="str">
        <f aca="false">IFERROR(1/(1/INDEX(TB!$P:$P,MATCH($E71,TB!$E:$E,0))),"")</f>
        <v/>
      </c>
      <c r="AF71" s="10" t="str">
        <f aca="false">IFERROR(1/(1/(SUM($AC71)-SUM($AD71:$AE71))),"")</f>
        <v/>
      </c>
    </row>
    <row r="72" customFormat="false" ht="15" hidden="false" customHeight="false" outlineLevel="0" collapsed="false">
      <c r="A72" s="0" t="str">
        <f aca="false">INDEX(Prioritization!$D:$D,MATCH($B72,Prioritization!$A:$A,0))</f>
        <v>INVALID</v>
      </c>
      <c r="B72" s="0" t="s">
        <v>208</v>
      </c>
      <c r="C72" s="0" t="s">
        <v>366</v>
      </c>
      <c r="D72" s="0" t="s">
        <v>48</v>
      </c>
      <c r="E72" s="0" t="str">
        <f aca="false">B72&amp;"|"&amp;C72&amp;"|"&amp;D72</f>
        <v>Nkhata Bay District [E7zpfyBt7Tw]|25-34|Male</v>
      </c>
      <c r="F72" s="10" t="n">
        <f aca="false">IF(LEFT($B72,4)="_Mil","",INDEX(Cascade!$T:$T,MATCH($E72,Cascade!$E:$E,0)))</f>
        <v>646</v>
      </c>
      <c r="G72" s="10" t="str">
        <f aca="false">IF(LEFT($B72,4)="_Mil","",INDEX(Cascade!$U:$U,MATCH($E72,Cascade!$E:$E,0)))</f>
        <v/>
      </c>
      <c r="H72" s="86" t="n">
        <f aca="false">IF(LEFT($B72,4)="_Mil","",INDEX(Cascade!$W:$W,MATCH($E72,Cascade!$E:$E,0)))</f>
        <v>743</v>
      </c>
      <c r="I72" s="10" t="n">
        <f aca="false">IF(LEFT($B72,4)="_Mil","",INDEX(Cascade!$Z:$Z,MATCH($E72,Cascade!$E:$E,0)))</f>
        <v>771</v>
      </c>
      <c r="J72" s="88" t="n">
        <f aca="false">IF(LEFT($B72,4)="_Mil","",INDEX(Cascade!$AA:$AA,MATCH($E72,Cascade!$E:$E,0)))</f>
        <v>1023</v>
      </c>
      <c r="K72" s="10"/>
      <c r="L72" s="10"/>
      <c r="M72" s="39" t="str">
        <f aca="false">IF(LEFT($B72,4)="_Mil","",IFERROR(1/(1/ROUND(INDEX(Spectrum!$N:$N,MATCH(RIGHT($B72,13)&amp;"|"&amp;$C72&amp;"|"&amp;$D72&amp;"|"&amp;M$14&amp;"|"&amp;"CY2023Q3",Spectrum!$R:$R,0)),0)),IF(SUM($L72)=0,"",$L72)))</f>
        <v/>
      </c>
      <c r="N72" s="39" t="str">
        <f aca="false">IF(LEFT($B72,4)="_Mil","",IFERROR(1/(1/ROUND(INDEX(Spectrum!$N:$N,MATCH(RIGHT($B72,13)&amp;"|"&amp;$C72&amp;"|"&amp;$D72&amp;"|"&amp;N$14&amp;"|"&amp;"CY2023Q3",Spectrum!$R:$R,0)),0)),IF(SUM($M72)=0,"",$M72)))</f>
        <v/>
      </c>
      <c r="O72" s="88" t="n">
        <f aca="false">IF(OR(LEFT($B72,4)="_Mil",SUM($F72)=0),"",SUM($N72)/$F72)</f>
        <v>0</v>
      </c>
      <c r="P72" s="88" t="n">
        <f aca="false">IF(OR(LEFT($B72,4)="_Mil",SUM($F72)=0),"",MAX(SUM($O72),80%))</f>
        <v>0.8</v>
      </c>
      <c r="Q72" s="39" t="n">
        <f aca="false">IF(OR(LEFT($B72,4)="_Mil",SUM($F72)=0),"",ROUND(SUM($F72)*$P72,0))</f>
        <v>517</v>
      </c>
      <c r="R72" s="39" t="n">
        <f aca="false">IF(OR(LEFT($B72,4)="_Mil",SUM($Q72)=0),"",ROUND(MAX($Q72-SUM($N72),0),0))</f>
        <v>517</v>
      </c>
      <c r="S72" s="88" t="str">
        <f aca="false">IF(LEFT($B72,4)="_Mil","",IF(SUM($L72)=0,"",IF(SUM($M72)=0,1,$L72/$M72)))</f>
        <v/>
      </c>
      <c r="T72" s="88" t="str">
        <f aca="false">IF(LEFT($B72,4)="_Mil",0,"")</f>
        <v/>
      </c>
      <c r="U72" s="88"/>
      <c r="V72" s="88" t="str">
        <f aca="false">IF($U72="","",$U72)</f>
        <v/>
      </c>
      <c r="W72" s="88"/>
      <c r="X72" s="88" t="str">
        <f aca="false">IF($W72="","",$W72)</f>
        <v/>
      </c>
      <c r="Y72" s="10" t="str">
        <f aca="false">IF(LEFT($B72,4)="_Mil",IF(SUM($L72)=0,"",ROUND($L72*(1+$T72),0)),IF(SUM($R72)=0,"",IF($S72="","ENTER IN COL S",ROUND($R72*$S72,0))))</f>
        <v>ENTER IN COL S</v>
      </c>
      <c r="Z72" s="39" t="str">
        <f aca="false">IF(SUM($Y72)=0,"",IF(AND(SUM($Y72)&gt;0,$V72=""),"ENTER INDETERMINATE RATE",ROUND($Y72*$V72,0)))</f>
        <v/>
      </c>
      <c r="AA72" s="39" t="str">
        <f aca="false">IF(SUM($Y72)=0,"",IF(AND(($Y72-SUM($Z72))&gt;0,$X72=""),"ENTER YIELD RATE",ROUND(($Y72-SUM($Z72))*SUM($X72),0)))</f>
        <v/>
      </c>
      <c r="AB72" s="39" t="str">
        <f aca="false">IF(SUM($Y72)=0,"",$Y72-SUM($Z72)-SUM($AA72))</f>
        <v/>
      </c>
      <c r="AC72" s="10" t="str">
        <f aca="false">IFERROR(1/(1/INDEX(Cascade!$BH:$BH,MATCH($E72,Cascade!$E:$E,0))),"")</f>
        <v/>
      </c>
      <c r="AD72" s="10" t="str">
        <f aca="false">IF(SUM($AA72)=0,"",$AA72)</f>
        <v/>
      </c>
      <c r="AE72" s="10" t="str">
        <f aca="false">IFERROR(1/(1/INDEX(TB!$P:$P,MATCH($E72,TB!$E:$E,0))),"")</f>
        <v/>
      </c>
      <c r="AF72" s="10" t="str">
        <f aca="false">IFERROR(1/(1/(SUM($AC72)-SUM($AD72:$AE72))),"")</f>
        <v/>
      </c>
    </row>
    <row r="73" customFormat="false" ht="15" hidden="false" customHeight="false" outlineLevel="0" collapsed="false">
      <c r="A73" s="0" t="str">
        <f aca="false">INDEX(Prioritization!$D:$D,MATCH($B73,Prioritization!$A:$A,0))</f>
        <v>INVALID</v>
      </c>
      <c r="B73" s="0" t="s">
        <v>208</v>
      </c>
      <c r="C73" s="0" t="s">
        <v>367</v>
      </c>
      <c r="D73" s="0" t="s">
        <v>48</v>
      </c>
      <c r="E73" s="0" t="str">
        <f aca="false">B73&amp;"|"&amp;C73&amp;"|"&amp;D73</f>
        <v>Nkhata Bay District [E7zpfyBt7Tw]|35-49|Male</v>
      </c>
      <c r="F73" s="10" t="n">
        <f aca="false">IF(LEFT($B73,4)="_Mil","",INDEX(Cascade!$T:$T,MATCH($E73,Cascade!$E:$E,0)))</f>
        <v>1335</v>
      </c>
      <c r="G73" s="10" t="str">
        <f aca="false">IF(LEFT($B73,4)="_Mil","",INDEX(Cascade!$U:$U,MATCH($E73,Cascade!$E:$E,0)))</f>
        <v/>
      </c>
      <c r="H73" s="86" t="n">
        <f aca="false">IF(LEFT($B73,4)="_Mil","",INDEX(Cascade!$W:$W,MATCH($E73,Cascade!$E:$E,0)))</f>
        <v>940</v>
      </c>
      <c r="I73" s="10" t="n">
        <f aca="false">IF(LEFT($B73,4)="_Mil","",INDEX(Cascade!$Z:$Z,MATCH($E73,Cascade!$E:$E,0)))</f>
        <v>1091</v>
      </c>
      <c r="J73" s="88" t="n">
        <f aca="false">IF(LEFT($B73,4)="_Mil","",INDEX(Cascade!$AA:$AA,MATCH($E73,Cascade!$E:$E,0)))</f>
        <v>1819</v>
      </c>
      <c r="K73" s="10"/>
      <c r="L73" s="10"/>
      <c r="M73" s="39" t="str">
        <f aca="false">IF(LEFT($B73,4)="_Mil","",IFERROR(1/(1/ROUND(INDEX(Spectrum!$N:$N,MATCH(RIGHT($B73,13)&amp;"|"&amp;$C73&amp;"|"&amp;$D73&amp;"|"&amp;M$14&amp;"|"&amp;"CY2023Q3",Spectrum!$R:$R,0)),0)),IF(SUM($L73)=0,"",$L73)))</f>
        <v/>
      </c>
      <c r="N73" s="39" t="str">
        <f aca="false">IF(LEFT($B73,4)="_Mil","",IFERROR(1/(1/ROUND(INDEX(Spectrum!$N:$N,MATCH(RIGHT($B73,13)&amp;"|"&amp;$C73&amp;"|"&amp;$D73&amp;"|"&amp;N$14&amp;"|"&amp;"CY2023Q3",Spectrum!$R:$R,0)),0)),IF(SUM($M73)=0,"",$M73)))</f>
        <v/>
      </c>
      <c r="O73" s="88" t="n">
        <f aca="false">IF(OR(LEFT($B73,4)="_Mil",SUM($F73)=0),"",SUM($N73)/$F73)</f>
        <v>0</v>
      </c>
      <c r="P73" s="88" t="n">
        <f aca="false">IF(OR(LEFT($B73,4)="_Mil",SUM($F73)=0),"",MAX(SUM($O73),80%))</f>
        <v>0.8</v>
      </c>
      <c r="Q73" s="39" t="n">
        <f aca="false">IF(OR(LEFT($B73,4)="_Mil",SUM($F73)=0),"",ROUND(SUM($F73)*$P73,0))</f>
        <v>1068</v>
      </c>
      <c r="R73" s="39" t="n">
        <f aca="false">IF(OR(LEFT($B73,4)="_Mil",SUM($Q73)=0),"",ROUND(MAX($Q73-SUM($N73),0),0))</f>
        <v>1068</v>
      </c>
      <c r="S73" s="88" t="str">
        <f aca="false">IF(LEFT($B73,4)="_Mil","",IF(SUM($L73)=0,"",IF(SUM($M73)=0,1,$L73/$M73)))</f>
        <v/>
      </c>
      <c r="T73" s="88" t="str">
        <f aca="false">IF(LEFT($B73,4)="_Mil",0,"")</f>
        <v/>
      </c>
      <c r="U73" s="88"/>
      <c r="V73" s="88" t="str">
        <f aca="false">IF($U73="","",$U73)</f>
        <v/>
      </c>
      <c r="W73" s="88"/>
      <c r="X73" s="88" t="str">
        <f aca="false">IF($W73="","",$W73)</f>
        <v/>
      </c>
      <c r="Y73" s="10" t="str">
        <f aca="false">IF(LEFT($B73,4)="_Mil",IF(SUM($L73)=0,"",ROUND($L73*(1+$T73),0)),IF(SUM($R73)=0,"",IF($S73="","ENTER IN COL S",ROUND($R73*$S73,0))))</f>
        <v>ENTER IN COL S</v>
      </c>
      <c r="Z73" s="39" t="str">
        <f aca="false">IF(SUM($Y73)=0,"",IF(AND(SUM($Y73)&gt;0,$V73=""),"ENTER INDETERMINATE RATE",ROUND($Y73*$V73,0)))</f>
        <v/>
      </c>
      <c r="AA73" s="39" t="str">
        <f aca="false">IF(SUM($Y73)=0,"",IF(AND(($Y73-SUM($Z73))&gt;0,$X73=""),"ENTER YIELD RATE",ROUND(($Y73-SUM($Z73))*SUM($X73),0)))</f>
        <v/>
      </c>
      <c r="AB73" s="39" t="str">
        <f aca="false">IF(SUM($Y73)=0,"",$Y73-SUM($Z73)-SUM($AA73))</f>
        <v/>
      </c>
      <c r="AC73" s="10" t="str">
        <f aca="false">IFERROR(1/(1/INDEX(Cascade!$BH:$BH,MATCH($E73,Cascade!$E:$E,0))),"")</f>
        <v/>
      </c>
      <c r="AD73" s="10" t="str">
        <f aca="false">IF(SUM($AA73)=0,"",$AA73)</f>
        <v/>
      </c>
      <c r="AE73" s="10" t="str">
        <f aca="false">IFERROR(1/(1/INDEX(TB!$P:$P,MATCH($E73,TB!$E:$E,0))),"")</f>
        <v/>
      </c>
      <c r="AF73" s="10" t="str">
        <f aca="false">IFERROR(1/(1/(SUM($AC73)-SUM($AD73:$AE73))),"")</f>
        <v/>
      </c>
    </row>
    <row r="74" customFormat="false" ht="15" hidden="false" customHeight="false" outlineLevel="0" collapsed="false">
      <c r="A74" s="0" t="str">
        <f aca="false">INDEX(Prioritization!$D:$D,MATCH($B74,Prioritization!$A:$A,0))</f>
        <v>INVALID</v>
      </c>
      <c r="B74" s="0" t="s">
        <v>208</v>
      </c>
      <c r="C74" s="0" t="s">
        <v>368</v>
      </c>
      <c r="D74" s="0" t="s">
        <v>48</v>
      </c>
      <c r="E74" s="0" t="str">
        <f aca="false">B74&amp;"|"&amp;C74&amp;"|"&amp;D74</f>
        <v>Nkhata Bay District [E7zpfyBt7Tw]|50+|Male</v>
      </c>
      <c r="F74" s="10" t="n">
        <f aca="false">IF(LEFT($B74,4)="_Mil","",INDEX(Cascade!$T:$T,MATCH($E74,Cascade!$E:$E,0)))</f>
        <v>1684</v>
      </c>
      <c r="G74" s="10" t="str">
        <f aca="false">IF(LEFT($B74,4)="_Mil","",INDEX(Cascade!$U:$U,MATCH($E74,Cascade!$E:$E,0)))</f>
        <v/>
      </c>
      <c r="H74" s="86" t="n">
        <f aca="false">IF(LEFT($B74,4)="_Mil","",INDEX(Cascade!$W:$W,MATCH($E74,Cascade!$E:$E,0)))</f>
        <v>575</v>
      </c>
      <c r="I74" s="10" t="n">
        <f aca="false">IF(LEFT($B74,4)="_Mil","",INDEX(Cascade!$Z:$Z,MATCH($E74,Cascade!$E:$E,0)))</f>
        <v>1170</v>
      </c>
      <c r="J74" s="88" t="n">
        <f aca="false">IF(LEFT($B74,4)="_Mil","",INDEX(Cascade!$AA:$AA,MATCH($E74,Cascade!$E:$E,0)))</f>
        <v>1677</v>
      </c>
      <c r="K74" s="10"/>
      <c r="L74" s="10"/>
      <c r="M74" s="39" t="str">
        <f aca="false">IF(LEFT($B74,4)="_Mil","",IFERROR(1/(1/ROUND(INDEX(Spectrum!$N:$N,MATCH(RIGHT($B74,13)&amp;"|"&amp;$C74&amp;"|"&amp;$D74&amp;"|"&amp;M$14&amp;"|"&amp;"CY2023Q3",Spectrum!$R:$R,0)),0)),IF(SUM($L74)=0,"",$L74)))</f>
        <v/>
      </c>
      <c r="N74" s="39" t="str">
        <f aca="false">IF(LEFT($B74,4)="_Mil","",IFERROR(1/(1/ROUND(INDEX(Spectrum!$N:$N,MATCH(RIGHT($B74,13)&amp;"|"&amp;$C74&amp;"|"&amp;$D74&amp;"|"&amp;N$14&amp;"|"&amp;"CY2023Q3",Spectrum!$R:$R,0)),0)),IF(SUM($M74)=0,"",$M74)))</f>
        <v/>
      </c>
      <c r="O74" s="88" t="n">
        <f aca="false">IF(OR(LEFT($B74,4)="_Mil",SUM($F74)=0),"",SUM($N74)/$F74)</f>
        <v>0</v>
      </c>
      <c r="P74" s="88" t="n">
        <f aca="false">IF(OR(LEFT($B74,4)="_Mil",SUM($F74)=0),"",MAX(SUM($O74),80%))</f>
        <v>0.8</v>
      </c>
      <c r="Q74" s="39" t="n">
        <f aca="false">IF(OR(LEFT($B74,4)="_Mil",SUM($F74)=0),"",ROUND(SUM($F74)*$P74,0))</f>
        <v>1347</v>
      </c>
      <c r="R74" s="39" t="n">
        <f aca="false">IF(OR(LEFT($B74,4)="_Mil",SUM($Q74)=0),"",ROUND(MAX($Q74-SUM($N74),0),0))</f>
        <v>1347</v>
      </c>
      <c r="S74" s="88" t="str">
        <f aca="false">IF(LEFT($B74,4)="_Mil","",IF(SUM($L74)=0,"",IF(SUM($M74)=0,1,$L74/$M74)))</f>
        <v/>
      </c>
      <c r="T74" s="88" t="str">
        <f aca="false">IF(LEFT($B74,4)="_Mil",0,"")</f>
        <v/>
      </c>
      <c r="U74" s="88"/>
      <c r="V74" s="88" t="str">
        <f aca="false">IF($U74="","",$U74)</f>
        <v/>
      </c>
      <c r="W74" s="88"/>
      <c r="X74" s="88" t="str">
        <f aca="false">IF($W74="","",$W74)</f>
        <v/>
      </c>
      <c r="Y74" s="10" t="str">
        <f aca="false">IF(LEFT($B74,4)="_Mil",IF(SUM($L74)=0,"",ROUND($L74*(1+$T74),0)),IF(SUM($R74)=0,"",IF($S74="","ENTER IN COL S",ROUND($R74*$S74,0))))</f>
        <v>ENTER IN COL S</v>
      </c>
      <c r="Z74" s="39" t="str">
        <f aca="false">IF(SUM($Y74)=0,"",IF(AND(SUM($Y74)&gt;0,$V74=""),"ENTER INDETERMINATE RATE",ROUND($Y74*$V74,0)))</f>
        <v/>
      </c>
      <c r="AA74" s="39" t="str">
        <f aca="false">IF(SUM($Y74)=0,"",IF(AND(($Y74-SUM($Z74))&gt;0,$X74=""),"ENTER YIELD RATE",ROUND(($Y74-SUM($Z74))*SUM($X74),0)))</f>
        <v/>
      </c>
      <c r="AB74" s="39" t="str">
        <f aca="false">IF(SUM($Y74)=0,"",$Y74-SUM($Z74)-SUM($AA74))</f>
        <v/>
      </c>
      <c r="AC74" s="10" t="str">
        <f aca="false">IFERROR(1/(1/INDEX(Cascade!$BH:$BH,MATCH($E74,Cascade!$E:$E,0))),"")</f>
        <v/>
      </c>
      <c r="AD74" s="10" t="str">
        <f aca="false">IF(SUM($AA74)=0,"",$AA74)</f>
        <v/>
      </c>
      <c r="AE74" s="10" t="str">
        <f aca="false">IFERROR(1/(1/INDEX(TB!$P:$P,MATCH($E74,TB!$E:$E,0))),"")</f>
        <v/>
      </c>
      <c r="AF74" s="10" t="str">
        <f aca="false">IFERROR(1/(1/(SUM($AC74)-SUM($AD74:$AE74))),"")</f>
        <v/>
      </c>
    </row>
    <row r="75" customFormat="false" ht="15" hidden="false" customHeight="false" outlineLevel="0" collapsed="false">
      <c r="A75" s="0" t="str">
        <f aca="false">INDEX(Prioritization!$D:$D,MATCH($B75,Prioritization!$A:$A,0))</f>
        <v>INVALID</v>
      </c>
      <c r="B75" s="0" t="s">
        <v>209</v>
      </c>
      <c r="C75" s="0" t="s">
        <v>365</v>
      </c>
      <c r="D75" s="0" t="s">
        <v>48</v>
      </c>
      <c r="E75" s="0" t="str">
        <f aca="false">B75&amp;"|"&amp;C75&amp;"|"&amp;D75</f>
        <v>Rumphi District [lPTyjLi4w3d]|15-24|Male</v>
      </c>
      <c r="F75" s="10" t="n">
        <f aca="false">IF(LEFT($B75,4)="_Mil","",INDEX(Cascade!$T:$T,MATCH($E75,Cascade!$E:$E,0)))</f>
        <v>687</v>
      </c>
      <c r="G75" s="10" t="str">
        <f aca="false">IF(LEFT($B75,4)="_Mil","",INDEX(Cascade!$U:$U,MATCH($E75,Cascade!$E:$E,0)))</f>
        <v/>
      </c>
      <c r="H75" s="86" t="n">
        <f aca="false">IF(LEFT($B75,4)="_Mil","",INDEX(Cascade!$W:$W,MATCH($E75,Cascade!$E:$E,0)))</f>
        <v>677</v>
      </c>
      <c r="I75" s="10" t="n">
        <f aca="false">IF(LEFT($B75,4)="_Mil","",INDEX(Cascade!$Z:$Z,MATCH($E75,Cascade!$E:$E,0)))</f>
        <v>530</v>
      </c>
      <c r="J75" s="88" t="n">
        <f aca="false">IF(LEFT($B75,4)="_Mil","",INDEX(Cascade!$AA:$AA,MATCH($E75,Cascade!$E:$E,0)))</f>
        <v>1548</v>
      </c>
      <c r="K75" s="10"/>
      <c r="L75" s="10"/>
      <c r="M75" s="39" t="str">
        <f aca="false">IF(LEFT($B75,4)="_Mil","",IFERROR(1/(1/ROUND(INDEX(Spectrum!$N:$N,MATCH(RIGHT($B75,13)&amp;"|"&amp;$C75&amp;"|"&amp;$D75&amp;"|"&amp;M$14&amp;"|"&amp;"CY2023Q3",Spectrum!$R:$R,0)),0)),IF(SUM($L75)=0,"",$L75)))</f>
        <v/>
      </c>
      <c r="N75" s="39" t="str">
        <f aca="false">IF(LEFT($B75,4)="_Mil","",IFERROR(1/(1/ROUND(INDEX(Spectrum!$N:$N,MATCH(RIGHT($B75,13)&amp;"|"&amp;$C75&amp;"|"&amp;$D75&amp;"|"&amp;N$14&amp;"|"&amp;"CY2023Q3",Spectrum!$R:$R,0)),0)),IF(SUM($M75)=0,"",$M75)))</f>
        <v/>
      </c>
      <c r="O75" s="88" t="n">
        <f aca="false">IF(OR(LEFT($B75,4)="_Mil",SUM($F75)=0),"",SUM($N75)/$F75)</f>
        <v>0</v>
      </c>
      <c r="P75" s="88" t="n">
        <f aca="false">IF(OR(LEFT($B75,4)="_Mil",SUM($F75)=0),"",MAX(SUM($O75),80%))</f>
        <v>0.8</v>
      </c>
      <c r="Q75" s="39" t="n">
        <f aca="false">IF(OR(LEFT($B75,4)="_Mil",SUM($F75)=0),"",ROUND(SUM($F75)*$P75,0))</f>
        <v>550</v>
      </c>
      <c r="R75" s="39" t="n">
        <f aca="false">IF(OR(LEFT($B75,4)="_Mil",SUM($Q75)=0),"",ROUND(MAX($Q75-SUM($N75),0),0))</f>
        <v>550</v>
      </c>
      <c r="S75" s="88" t="str">
        <f aca="false">IF(LEFT($B75,4)="_Mil","",IF(SUM($L75)=0,"",IF(SUM($M75)=0,1,$L75/$M75)))</f>
        <v/>
      </c>
      <c r="T75" s="88" t="str">
        <f aca="false">IF(LEFT($B75,4)="_Mil",0,"")</f>
        <v/>
      </c>
      <c r="U75" s="88"/>
      <c r="V75" s="88" t="str">
        <f aca="false">IF($U75="","",$U75)</f>
        <v/>
      </c>
      <c r="W75" s="88"/>
      <c r="X75" s="88" t="str">
        <f aca="false">IF($W75="","",$W75)</f>
        <v/>
      </c>
      <c r="Y75" s="10" t="str">
        <f aca="false">IF(LEFT($B75,4)="_Mil",IF(SUM($L75)=0,"",ROUND($L75*(1+$T75),0)),IF(SUM($R75)=0,"",IF($S75="","ENTER IN COL S",ROUND($R75*$S75,0))))</f>
        <v>ENTER IN COL S</v>
      </c>
      <c r="Z75" s="39" t="str">
        <f aca="false">IF(SUM($Y75)=0,"",IF(AND(SUM($Y75)&gt;0,$V75=""),"ENTER INDETERMINATE RATE",ROUND($Y75*$V75,0)))</f>
        <v/>
      </c>
      <c r="AA75" s="39" t="str">
        <f aca="false">IF(SUM($Y75)=0,"",IF(AND(($Y75-SUM($Z75))&gt;0,$X75=""),"ENTER YIELD RATE",ROUND(($Y75-SUM($Z75))*SUM($X75),0)))</f>
        <v/>
      </c>
      <c r="AB75" s="39" t="str">
        <f aca="false">IF(SUM($Y75)=0,"",$Y75-SUM($Z75)-SUM($AA75))</f>
        <v/>
      </c>
      <c r="AC75" s="10" t="str">
        <f aca="false">IFERROR(1/(1/INDEX(Cascade!$BH:$BH,MATCH($E75,Cascade!$E:$E,0))),"")</f>
        <v/>
      </c>
      <c r="AD75" s="10" t="str">
        <f aca="false">IF(SUM($AA75)=0,"",$AA75)</f>
        <v/>
      </c>
      <c r="AE75" s="10" t="str">
        <f aca="false">IFERROR(1/(1/INDEX(TB!$P:$P,MATCH($E75,TB!$E:$E,0))),"")</f>
        <v/>
      </c>
      <c r="AF75" s="10" t="str">
        <f aca="false">IFERROR(1/(1/(SUM($AC75)-SUM($AD75:$AE75))),"")</f>
        <v/>
      </c>
    </row>
    <row r="76" customFormat="false" ht="15" hidden="false" customHeight="false" outlineLevel="0" collapsed="false">
      <c r="A76" s="0" t="str">
        <f aca="false">INDEX(Prioritization!$D:$D,MATCH($B76,Prioritization!$A:$A,0))</f>
        <v>INVALID</v>
      </c>
      <c r="B76" s="0" t="s">
        <v>209</v>
      </c>
      <c r="C76" s="0" t="s">
        <v>366</v>
      </c>
      <c r="D76" s="0" t="s">
        <v>48</v>
      </c>
      <c r="E76" s="0" t="str">
        <f aca="false">B76&amp;"|"&amp;C76&amp;"|"&amp;D76</f>
        <v>Rumphi District [lPTyjLi4w3d]|25-34|Male</v>
      </c>
      <c r="F76" s="10" t="n">
        <f aca="false">IF(LEFT($B76,4)="_Mil","",INDEX(Cascade!$T:$T,MATCH($E76,Cascade!$E:$E,0)))</f>
        <v>1661</v>
      </c>
      <c r="G76" s="10" t="str">
        <f aca="false">IF(LEFT($B76,4)="_Mil","",INDEX(Cascade!$U:$U,MATCH($E76,Cascade!$E:$E,0)))</f>
        <v/>
      </c>
      <c r="H76" s="86" t="n">
        <f aca="false">IF(LEFT($B76,4)="_Mil","",INDEX(Cascade!$W:$W,MATCH($E76,Cascade!$E:$E,0)))</f>
        <v>1858</v>
      </c>
      <c r="I76" s="10" t="n">
        <f aca="false">IF(LEFT($B76,4)="_Mil","",INDEX(Cascade!$Z:$Z,MATCH($E76,Cascade!$E:$E,0)))</f>
        <v>502</v>
      </c>
      <c r="J76" s="88" t="n">
        <f aca="false">IF(LEFT($B76,4)="_Mil","",INDEX(Cascade!$AA:$AA,MATCH($E76,Cascade!$E:$E,0)))</f>
        <v>1048</v>
      </c>
      <c r="K76" s="10"/>
      <c r="L76" s="10"/>
      <c r="M76" s="39" t="str">
        <f aca="false">IF(LEFT($B76,4)="_Mil","",IFERROR(1/(1/ROUND(INDEX(Spectrum!$N:$N,MATCH(RIGHT($B76,13)&amp;"|"&amp;$C76&amp;"|"&amp;$D76&amp;"|"&amp;M$14&amp;"|"&amp;"CY2023Q3",Spectrum!$R:$R,0)),0)),IF(SUM($L76)=0,"",$L76)))</f>
        <v/>
      </c>
      <c r="N76" s="39" t="str">
        <f aca="false">IF(LEFT($B76,4)="_Mil","",IFERROR(1/(1/ROUND(INDEX(Spectrum!$N:$N,MATCH(RIGHT($B76,13)&amp;"|"&amp;$C76&amp;"|"&amp;$D76&amp;"|"&amp;N$14&amp;"|"&amp;"CY2023Q3",Spectrum!$R:$R,0)),0)),IF(SUM($M76)=0,"",$M76)))</f>
        <v/>
      </c>
      <c r="O76" s="88" t="n">
        <f aca="false">IF(OR(LEFT($B76,4)="_Mil",SUM($F76)=0),"",SUM($N76)/$F76)</f>
        <v>0</v>
      </c>
      <c r="P76" s="88" t="n">
        <f aca="false">IF(OR(LEFT($B76,4)="_Mil",SUM($F76)=0),"",MAX(SUM($O76),80%))</f>
        <v>0.8</v>
      </c>
      <c r="Q76" s="39" t="n">
        <f aca="false">IF(OR(LEFT($B76,4)="_Mil",SUM($F76)=0),"",ROUND(SUM($F76)*$P76,0))</f>
        <v>1329</v>
      </c>
      <c r="R76" s="39" t="n">
        <f aca="false">IF(OR(LEFT($B76,4)="_Mil",SUM($Q76)=0),"",ROUND(MAX($Q76-SUM($N76),0),0))</f>
        <v>1329</v>
      </c>
      <c r="S76" s="88" t="str">
        <f aca="false">IF(LEFT($B76,4)="_Mil","",IF(SUM($L76)=0,"",IF(SUM($M76)=0,1,$L76/$M76)))</f>
        <v/>
      </c>
      <c r="T76" s="88" t="str">
        <f aca="false">IF(LEFT($B76,4)="_Mil",0,"")</f>
        <v/>
      </c>
      <c r="U76" s="88"/>
      <c r="V76" s="88" t="str">
        <f aca="false">IF($U76="","",$U76)</f>
        <v/>
      </c>
      <c r="W76" s="88"/>
      <c r="X76" s="88" t="str">
        <f aca="false">IF($W76="","",$W76)</f>
        <v/>
      </c>
      <c r="Y76" s="10" t="str">
        <f aca="false">IF(LEFT($B76,4)="_Mil",IF(SUM($L76)=0,"",ROUND($L76*(1+$T76),0)),IF(SUM($R76)=0,"",IF($S76="","ENTER IN COL S",ROUND($R76*$S76,0))))</f>
        <v>ENTER IN COL S</v>
      </c>
      <c r="Z76" s="39" t="str">
        <f aca="false">IF(SUM($Y76)=0,"",IF(AND(SUM($Y76)&gt;0,$V76=""),"ENTER INDETERMINATE RATE",ROUND($Y76*$V76,0)))</f>
        <v/>
      </c>
      <c r="AA76" s="39" t="str">
        <f aca="false">IF(SUM($Y76)=0,"",IF(AND(($Y76-SUM($Z76))&gt;0,$X76=""),"ENTER YIELD RATE",ROUND(($Y76-SUM($Z76))*SUM($X76),0)))</f>
        <v/>
      </c>
      <c r="AB76" s="39" t="str">
        <f aca="false">IF(SUM($Y76)=0,"",$Y76-SUM($Z76)-SUM($AA76))</f>
        <v/>
      </c>
      <c r="AC76" s="10" t="str">
        <f aca="false">IFERROR(1/(1/INDEX(Cascade!$BH:$BH,MATCH($E76,Cascade!$E:$E,0))),"")</f>
        <v/>
      </c>
      <c r="AD76" s="10" t="str">
        <f aca="false">IF(SUM($AA76)=0,"",$AA76)</f>
        <v/>
      </c>
      <c r="AE76" s="10" t="str">
        <f aca="false">IFERROR(1/(1/INDEX(TB!$P:$P,MATCH($E76,TB!$E:$E,0))),"")</f>
        <v/>
      </c>
      <c r="AF76" s="10" t="str">
        <f aca="false">IFERROR(1/(1/(SUM($AC76)-SUM($AD76:$AE76))),"")</f>
        <v/>
      </c>
    </row>
    <row r="77" customFormat="false" ht="15" hidden="false" customHeight="false" outlineLevel="0" collapsed="false">
      <c r="A77" s="0" t="str">
        <f aca="false">INDEX(Prioritization!$D:$D,MATCH($B77,Prioritization!$A:$A,0))</f>
        <v>INVALID</v>
      </c>
      <c r="B77" s="0" t="s">
        <v>209</v>
      </c>
      <c r="C77" s="0" t="s">
        <v>367</v>
      </c>
      <c r="D77" s="0" t="s">
        <v>48</v>
      </c>
      <c r="E77" s="0" t="str">
        <f aca="false">B77&amp;"|"&amp;C77&amp;"|"&amp;D77</f>
        <v>Rumphi District [lPTyjLi4w3d]|35-49|Male</v>
      </c>
      <c r="F77" s="10" t="n">
        <f aca="false">IF(LEFT($B77,4)="_Mil","",INDEX(Cascade!$T:$T,MATCH($E77,Cascade!$E:$E,0)))</f>
        <v>1605</v>
      </c>
      <c r="G77" s="10" t="str">
        <f aca="false">IF(LEFT($B77,4)="_Mil","",INDEX(Cascade!$U:$U,MATCH($E77,Cascade!$E:$E,0)))</f>
        <v/>
      </c>
      <c r="H77" s="86" t="n">
        <f aca="false">IF(LEFT($B77,4)="_Mil","",INDEX(Cascade!$W:$W,MATCH($E77,Cascade!$E:$E,0)))</f>
        <v>1212</v>
      </c>
      <c r="I77" s="10" t="n">
        <f aca="false">IF(LEFT($B77,4)="_Mil","",INDEX(Cascade!$Z:$Z,MATCH($E77,Cascade!$E:$E,0)))</f>
        <v>1051</v>
      </c>
      <c r="J77" s="88" t="n">
        <f aca="false">IF(LEFT($B77,4)="_Mil","",INDEX(Cascade!$AA:$AA,MATCH($E77,Cascade!$E:$E,0)))</f>
        <v>1836</v>
      </c>
      <c r="K77" s="10"/>
      <c r="L77" s="10"/>
      <c r="M77" s="39" t="str">
        <f aca="false">IF(LEFT($B77,4)="_Mil","",IFERROR(1/(1/ROUND(INDEX(Spectrum!$N:$N,MATCH(RIGHT($B77,13)&amp;"|"&amp;$C77&amp;"|"&amp;$D77&amp;"|"&amp;M$14&amp;"|"&amp;"CY2023Q3",Spectrum!$R:$R,0)),0)),IF(SUM($L77)=0,"",$L77)))</f>
        <v/>
      </c>
      <c r="N77" s="39" t="str">
        <f aca="false">IF(LEFT($B77,4)="_Mil","",IFERROR(1/(1/ROUND(INDEX(Spectrum!$N:$N,MATCH(RIGHT($B77,13)&amp;"|"&amp;$C77&amp;"|"&amp;$D77&amp;"|"&amp;N$14&amp;"|"&amp;"CY2023Q3",Spectrum!$R:$R,0)),0)),IF(SUM($M77)=0,"",$M77)))</f>
        <v/>
      </c>
      <c r="O77" s="88" t="n">
        <f aca="false">IF(OR(LEFT($B77,4)="_Mil",SUM($F77)=0),"",SUM($N77)/$F77)</f>
        <v>0</v>
      </c>
      <c r="P77" s="88" t="n">
        <f aca="false">IF(OR(LEFT($B77,4)="_Mil",SUM($F77)=0),"",MAX(SUM($O77),80%))</f>
        <v>0.8</v>
      </c>
      <c r="Q77" s="39" t="n">
        <f aca="false">IF(OR(LEFT($B77,4)="_Mil",SUM($F77)=0),"",ROUND(SUM($F77)*$P77,0))</f>
        <v>1284</v>
      </c>
      <c r="R77" s="39" t="n">
        <f aca="false">IF(OR(LEFT($B77,4)="_Mil",SUM($Q77)=0),"",ROUND(MAX($Q77-SUM($N77),0),0))</f>
        <v>1284</v>
      </c>
      <c r="S77" s="88" t="str">
        <f aca="false">IF(LEFT($B77,4)="_Mil","",IF(SUM($L77)=0,"",IF(SUM($M77)=0,1,$L77/$M77)))</f>
        <v/>
      </c>
      <c r="T77" s="88" t="str">
        <f aca="false">IF(LEFT($B77,4)="_Mil",0,"")</f>
        <v/>
      </c>
      <c r="U77" s="88"/>
      <c r="V77" s="88" t="str">
        <f aca="false">IF($U77="","",$U77)</f>
        <v/>
      </c>
      <c r="W77" s="88"/>
      <c r="X77" s="88" t="str">
        <f aca="false">IF($W77="","",$W77)</f>
        <v/>
      </c>
      <c r="Y77" s="10" t="str">
        <f aca="false">IF(LEFT($B77,4)="_Mil",IF(SUM($L77)=0,"",ROUND($L77*(1+$T77),0)),IF(SUM($R77)=0,"",IF($S77="","ENTER IN COL S",ROUND($R77*$S77,0))))</f>
        <v>ENTER IN COL S</v>
      </c>
      <c r="Z77" s="39" t="str">
        <f aca="false">IF(SUM($Y77)=0,"",IF(AND(SUM($Y77)&gt;0,$V77=""),"ENTER INDETERMINATE RATE",ROUND($Y77*$V77,0)))</f>
        <v/>
      </c>
      <c r="AA77" s="39" t="str">
        <f aca="false">IF(SUM($Y77)=0,"",IF(AND(($Y77-SUM($Z77))&gt;0,$X77=""),"ENTER YIELD RATE",ROUND(($Y77-SUM($Z77))*SUM($X77),0)))</f>
        <v/>
      </c>
      <c r="AB77" s="39" t="str">
        <f aca="false">IF(SUM($Y77)=0,"",$Y77-SUM($Z77)-SUM($AA77))</f>
        <v/>
      </c>
      <c r="AC77" s="10" t="str">
        <f aca="false">IFERROR(1/(1/INDEX(Cascade!$BH:$BH,MATCH($E77,Cascade!$E:$E,0))),"")</f>
        <v/>
      </c>
      <c r="AD77" s="10" t="str">
        <f aca="false">IF(SUM($AA77)=0,"",$AA77)</f>
        <v/>
      </c>
      <c r="AE77" s="10" t="str">
        <f aca="false">IFERROR(1/(1/INDEX(TB!$P:$P,MATCH($E77,TB!$E:$E,0))),"")</f>
        <v/>
      </c>
      <c r="AF77" s="10" t="str">
        <f aca="false">IFERROR(1/(1/(SUM($AC77)-SUM($AD77:$AE77))),"")</f>
        <v/>
      </c>
    </row>
    <row r="78" customFormat="false" ht="15" hidden="false" customHeight="false" outlineLevel="0" collapsed="false">
      <c r="A78" s="0" t="str">
        <f aca="false">INDEX(Prioritization!$D:$D,MATCH($B78,Prioritization!$A:$A,0))</f>
        <v>INVALID</v>
      </c>
      <c r="B78" s="0" t="s">
        <v>209</v>
      </c>
      <c r="C78" s="0" t="s">
        <v>368</v>
      </c>
      <c r="D78" s="0" t="s">
        <v>48</v>
      </c>
      <c r="E78" s="0" t="str">
        <f aca="false">B78&amp;"|"&amp;C78&amp;"|"&amp;D78</f>
        <v>Rumphi District [lPTyjLi4w3d]|50+|Male</v>
      </c>
      <c r="F78" s="10" t="n">
        <f aca="false">IF(LEFT($B78,4)="_Mil","",INDEX(Cascade!$T:$T,MATCH($E78,Cascade!$E:$E,0)))</f>
        <v>527</v>
      </c>
      <c r="G78" s="10" t="str">
        <f aca="false">IF(LEFT($B78,4)="_Mil","",INDEX(Cascade!$U:$U,MATCH($E78,Cascade!$E:$E,0)))</f>
        <v/>
      </c>
      <c r="H78" s="86" t="n">
        <f aca="false">IF(LEFT($B78,4)="_Mil","",INDEX(Cascade!$W:$W,MATCH($E78,Cascade!$E:$E,0)))</f>
        <v>726</v>
      </c>
      <c r="I78" s="10" t="n">
        <f aca="false">IF(LEFT($B78,4)="_Mil","",INDEX(Cascade!$Z:$Z,MATCH($E78,Cascade!$E:$E,0)))</f>
        <v>1221</v>
      </c>
      <c r="J78" s="88" t="n">
        <f aca="false">IF(LEFT($B78,4)="_Mil","",INDEX(Cascade!$AA:$AA,MATCH($E78,Cascade!$E:$E,0)))</f>
        <v>1898</v>
      </c>
      <c r="K78" s="10"/>
      <c r="L78" s="10"/>
      <c r="M78" s="39" t="str">
        <f aca="false">IF(LEFT($B78,4)="_Mil","",IFERROR(1/(1/ROUND(INDEX(Spectrum!$N:$N,MATCH(RIGHT($B78,13)&amp;"|"&amp;$C78&amp;"|"&amp;$D78&amp;"|"&amp;M$14&amp;"|"&amp;"CY2023Q3",Spectrum!$R:$R,0)),0)),IF(SUM($L78)=0,"",$L78)))</f>
        <v/>
      </c>
      <c r="N78" s="39" t="str">
        <f aca="false">IF(LEFT($B78,4)="_Mil","",IFERROR(1/(1/ROUND(INDEX(Spectrum!$N:$N,MATCH(RIGHT($B78,13)&amp;"|"&amp;$C78&amp;"|"&amp;$D78&amp;"|"&amp;N$14&amp;"|"&amp;"CY2023Q3",Spectrum!$R:$R,0)),0)),IF(SUM($M78)=0,"",$M78)))</f>
        <v/>
      </c>
      <c r="O78" s="88" t="n">
        <f aca="false">IF(OR(LEFT($B78,4)="_Mil",SUM($F78)=0),"",SUM($N78)/$F78)</f>
        <v>0</v>
      </c>
      <c r="P78" s="88" t="n">
        <f aca="false">IF(OR(LEFT($B78,4)="_Mil",SUM($F78)=0),"",MAX(SUM($O78),80%))</f>
        <v>0.8</v>
      </c>
      <c r="Q78" s="39" t="n">
        <f aca="false">IF(OR(LEFT($B78,4)="_Mil",SUM($F78)=0),"",ROUND(SUM($F78)*$P78,0))</f>
        <v>422</v>
      </c>
      <c r="R78" s="39" t="n">
        <f aca="false">IF(OR(LEFT($B78,4)="_Mil",SUM($Q78)=0),"",ROUND(MAX($Q78-SUM($N78),0),0))</f>
        <v>422</v>
      </c>
      <c r="S78" s="88" t="str">
        <f aca="false">IF(LEFT($B78,4)="_Mil","",IF(SUM($L78)=0,"",IF(SUM($M78)=0,1,$L78/$M78)))</f>
        <v/>
      </c>
      <c r="T78" s="88" t="str">
        <f aca="false">IF(LEFT($B78,4)="_Mil",0,"")</f>
        <v/>
      </c>
      <c r="U78" s="88"/>
      <c r="V78" s="88" t="str">
        <f aca="false">IF($U78="","",$U78)</f>
        <v/>
      </c>
      <c r="W78" s="88"/>
      <c r="X78" s="88" t="str">
        <f aca="false">IF($W78="","",$W78)</f>
        <v/>
      </c>
      <c r="Y78" s="10" t="str">
        <f aca="false">IF(LEFT($B78,4)="_Mil",IF(SUM($L78)=0,"",ROUND($L78*(1+$T78),0)),IF(SUM($R78)=0,"",IF($S78="","ENTER IN COL S",ROUND($R78*$S78,0))))</f>
        <v>ENTER IN COL S</v>
      </c>
      <c r="Z78" s="39" t="str">
        <f aca="false">IF(SUM($Y78)=0,"",IF(AND(SUM($Y78)&gt;0,$V78=""),"ENTER INDETERMINATE RATE",ROUND($Y78*$V78,0)))</f>
        <v/>
      </c>
      <c r="AA78" s="39" t="str">
        <f aca="false">IF(SUM($Y78)=0,"",IF(AND(($Y78-SUM($Z78))&gt;0,$X78=""),"ENTER YIELD RATE",ROUND(($Y78-SUM($Z78))*SUM($X78),0)))</f>
        <v/>
      </c>
      <c r="AB78" s="39" t="str">
        <f aca="false">IF(SUM($Y78)=0,"",$Y78-SUM($Z78)-SUM($AA78))</f>
        <v/>
      </c>
      <c r="AC78" s="10" t="str">
        <f aca="false">IFERROR(1/(1/INDEX(Cascade!$BH:$BH,MATCH($E78,Cascade!$E:$E,0))),"")</f>
        <v/>
      </c>
      <c r="AD78" s="10" t="str">
        <f aca="false">IF(SUM($AA78)=0,"",$AA78)</f>
        <v/>
      </c>
      <c r="AE78" s="10" t="str">
        <f aca="false">IFERROR(1/(1/INDEX(TB!$P:$P,MATCH($E78,TB!$E:$E,0))),"")</f>
        <v/>
      </c>
      <c r="AF78" s="10" t="str">
        <f aca="false">IFERROR(1/(1/(SUM($AC78)-SUM($AD78:$AE78))),"")</f>
        <v/>
      </c>
    </row>
    <row r="79" customFormat="false" ht="15" hidden="false" customHeight="false" outlineLevel="0" collapsed="false">
      <c r="A79" s="0" t="str">
        <f aca="false">INDEX(Prioritization!$D:$D,MATCH($B79,Prioritization!$A:$A,0))</f>
        <v>1 - Scale-up: Saturation</v>
      </c>
      <c r="B79" s="0" t="s">
        <v>210</v>
      </c>
      <c r="C79" s="0" t="s">
        <v>365</v>
      </c>
      <c r="D79" s="0" t="s">
        <v>48</v>
      </c>
      <c r="E79" s="0" t="str">
        <f aca="false">B79&amp;"|"&amp;C79&amp;"|"&amp;D79</f>
        <v>Balaka District [ir8wuHHzoSs]|15-24|Male</v>
      </c>
      <c r="F79" s="10" t="n">
        <f aca="false">IF(LEFT($B79,4)="_Mil","",INDEX(Cascade!$T:$T,MATCH($E79,Cascade!$E:$E,0)))</f>
        <v>1527</v>
      </c>
      <c r="G79" s="10" t="str">
        <f aca="false">IF(LEFT($B79,4)="_Mil","",INDEX(Cascade!$U:$U,MATCH($E79,Cascade!$E:$E,0)))</f>
        <v/>
      </c>
      <c r="H79" s="86" t="n">
        <f aca="false">IF(LEFT($B79,4)="_Mil","",INDEX(Cascade!$W:$W,MATCH($E79,Cascade!$E:$E,0)))</f>
        <v>1455</v>
      </c>
      <c r="I79" s="10" t="n">
        <f aca="false">IF(LEFT($B79,4)="_Mil","",INDEX(Cascade!$Z:$Z,MATCH($E79,Cascade!$E:$E,0)))</f>
        <v>1401</v>
      </c>
      <c r="J79" s="88" t="n">
        <f aca="false">IF(LEFT($B79,4)="_Mil","",INDEX(Cascade!$AA:$AA,MATCH($E79,Cascade!$E:$E,0)))</f>
        <v>802</v>
      </c>
      <c r="K79" s="10"/>
      <c r="L79" s="10"/>
      <c r="M79" s="39" t="str">
        <f aca="false">IF(LEFT($B79,4)="_Mil","",IFERROR(1/(1/ROUND(INDEX(Spectrum!$N:$N,MATCH(RIGHT($B79,13)&amp;"|"&amp;$C79&amp;"|"&amp;$D79&amp;"|"&amp;M$14&amp;"|"&amp;"CY2023Q3",Spectrum!$R:$R,0)),0)),IF(SUM($L79)=0,"",$L79)))</f>
        <v/>
      </c>
      <c r="N79" s="39" t="str">
        <f aca="false">IF(LEFT($B79,4)="_Mil","",IFERROR(1/(1/ROUND(INDEX(Spectrum!$N:$N,MATCH(RIGHT($B79,13)&amp;"|"&amp;$C79&amp;"|"&amp;$D79&amp;"|"&amp;N$14&amp;"|"&amp;"CY2023Q3",Spectrum!$R:$R,0)),0)),IF(SUM($M79)=0,"",$M79)))</f>
        <v/>
      </c>
      <c r="O79" s="88" t="n">
        <f aca="false">IF(OR(LEFT($B79,4)="_Mil",SUM($F79)=0),"",SUM($N79)/$F79)</f>
        <v>0</v>
      </c>
      <c r="P79" s="88" t="n">
        <f aca="false">IF(OR(LEFT($B79,4)="_Mil",SUM($F79)=0),"",MAX(SUM($O79),80%))</f>
        <v>0.8</v>
      </c>
      <c r="Q79" s="39" t="n">
        <f aca="false">IF(OR(LEFT($B79,4)="_Mil",SUM($F79)=0),"",ROUND(SUM($F79)*$P79,0))</f>
        <v>1222</v>
      </c>
      <c r="R79" s="39" t="n">
        <f aca="false">IF(OR(LEFT($B79,4)="_Mil",SUM($Q79)=0),"",ROUND(MAX($Q79-SUM($N79),0),0))</f>
        <v>1222</v>
      </c>
      <c r="S79" s="88" t="str">
        <f aca="false">IF(LEFT($B79,4)="_Mil","",IF(SUM($L79)=0,"",IF(SUM($M79)=0,1,$L79/$M79)))</f>
        <v/>
      </c>
      <c r="T79" s="88" t="str">
        <f aca="false">IF(LEFT($B79,4)="_Mil",0,"")</f>
        <v/>
      </c>
      <c r="U79" s="88"/>
      <c r="V79" s="88" t="str">
        <f aca="false">IF($U79="","",$U79)</f>
        <v/>
      </c>
      <c r="W79" s="88"/>
      <c r="X79" s="88" t="str">
        <f aca="false">IF($W79="","",$W79)</f>
        <v/>
      </c>
      <c r="Y79" s="10" t="str">
        <f aca="false">IF(LEFT($B79,4)="_Mil",IF(SUM($L79)=0,"",ROUND($L79*(1+$T79),0)),IF(SUM($R79)=0,"",IF($S79="","ENTER IN COL S",ROUND($R79*$S79,0))))</f>
        <v>ENTER IN COL S</v>
      </c>
      <c r="Z79" s="39" t="str">
        <f aca="false">IF(SUM($Y79)=0,"",IF(AND(SUM($Y79)&gt;0,$V79=""),"ENTER INDETERMINATE RATE",ROUND($Y79*$V79,0)))</f>
        <v/>
      </c>
      <c r="AA79" s="39" t="str">
        <f aca="false">IF(SUM($Y79)=0,"",IF(AND(($Y79-SUM($Z79))&gt;0,$X79=""),"ENTER YIELD RATE",ROUND(($Y79-SUM($Z79))*SUM($X79),0)))</f>
        <v/>
      </c>
      <c r="AB79" s="39" t="str">
        <f aca="false">IF(SUM($Y79)=0,"",$Y79-SUM($Z79)-SUM($AA79))</f>
        <v/>
      </c>
      <c r="AC79" s="10" t="str">
        <f aca="false">IFERROR(1/(1/INDEX(Cascade!$BH:$BH,MATCH($E79,Cascade!$E:$E,0))),"")</f>
        <v/>
      </c>
      <c r="AD79" s="10" t="str">
        <f aca="false">IF(SUM($AA79)=0,"",$AA79)</f>
        <v/>
      </c>
      <c r="AE79" s="10" t="str">
        <f aca="false">IFERROR(1/(1/INDEX(TB!$P:$P,MATCH($E79,TB!$E:$E,0))),"")</f>
        <v/>
      </c>
      <c r="AF79" s="10" t="str">
        <f aca="false">IFERROR(1/(1/(SUM($AC79)-SUM($AD79:$AE79))),"")</f>
        <v/>
      </c>
    </row>
    <row r="80" customFormat="false" ht="15" hidden="false" customHeight="false" outlineLevel="0" collapsed="false">
      <c r="A80" s="0" t="str">
        <f aca="false">INDEX(Prioritization!$D:$D,MATCH($B80,Prioritization!$A:$A,0))</f>
        <v>1 - Scale-up: Saturation</v>
      </c>
      <c r="B80" s="0" t="s">
        <v>210</v>
      </c>
      <c r="C80" s="0" t="s">
        <v>366</v>
      </c>
      <c r="D80" s="0" t="s">
        <v>48</v>
      </c>
      <c r="E80" s="0" t="str">
        <f aca="false">B80&amp;"|"&amp;C80&amp;"|"&amp;D80</f>
        <v>Balaka District [ir8wuHHzoSs]|25-34|Male</v>
      </c>
      <c r="F80" s="10" t="n">
        <f aca="false">IF(LEFT($B80,4)="_Mil","",INDEX(Cascade!$T:$T,MATCH($E80,Cascade!$E:$E,0)))</f>
        <v>712</v>
      </c>
      <c r="G80" s="10" t="str">
        <f aca="false">IF(LEFT($B80,4)="_Mil","",INDEX(Cascade!$U:$U,MATCH($E80,Cascade!$E:$E,0)))</f>
        <v/>
      </c>
      <c r="H80" s="86" t="n">
        <f aca="false">IF(LEFT($B80,4)="_Mil","",INDEX(Cascade!$W:$W,MATCH($E80,Cascade!$E:$E,0)))</f>
        <v>1125</v>
      </c>
      <c r="I80" s="10" t="n">
        <f aca="false">IF(LEFT($B80,4)="_Mil","",INDEX(Cascade!$Z:$Z,MATCH($E80,Cascade!$E:$E,0)))</f>
        <v>991</v>
      </c>
      <c r="J80" s="88" t="n">
        <f aca="false">IF(LEFT($B80,4)="_Mil","",INDEX(Cascade!$AA:$AA,MATCH($E80,Cascade!$E:$E,0)))</f>
        <v>1361</v>
      </c>
      <c r="K80" s="10"/>
      <c r="L80" s="10"/>
      <c r="M80" s="39" t="str">
        <f aca="false">IF(LEFT($B80,4)="_Mil","",IFERROR(1/(1/ROUND(INDEX(Spectrum!$N:$N,MATCH(RIGHT($B80,13)&amp;"|"&amp;$C80&amp;"|"&amp;$D80&amp;"|"&amp;M$14&amp;"|"&amp;"CY2023Q3",Spectrum!$R:$R,0)),0)),IF(SUM($L80)=0,"",$L80)))</f>
        <v/>
      </c>
      <c r="N80" s="39" t="str">
        <f aca="false">IF(LEFT($B80,4)="_Mil","",IFERROR(1/(1/ROUND(INDEX(Spectrum!$N:$N,MATCH(RIGHT($B80,13)&amp;"|"&amp;$C80&amp;"|"&amp;$D80&amp;"|"&amp;N$14&amp;"|"&amp;"CY2023Q3",Spectrum!$R:$R,0)),0)),IF(SUM($M80)=0,"",$M80)))</f>
        <v/>
      </c>
      <c r="O80" s="88" t="n">
        <f aca="false">IF(OR(LEFT($B80,4)="_Mil",SUM($F80)=0),"",SUM($N80)/$F80)</f>
        <v>0</v>
      </c>
      <c r="P80" s="88" t="n">
        <f aca="false">IF(OR(LEFT($B80,4)="_Mil",SUM($F80)=0),"",MAX(SUM($O80),80%))</f>
        <v>0.8</v>
      </c>
      <c r="Q80" s="39" t="n">
        <f aca="false">IF(OR(LEFT($B80,4)="_Mil",SUM($F80)=0),"",ROUND(SUM($F80)*$P80,0))</f>
        <v>570</v>
      </c>
      <c r="R80" s="39" t="n">
        <f aca="false">IF(OR(LEFT($B80,4)="_Mil",SUM($Q80)=0),"",ROUND(MAX($Q80-SUM($N80),0),0))</f>
        <v>570</v>
      </c>
      <c r="S80" s="88" t="str">
        <f aca="false">IF(LEFT($B80,4)="_Mil","",IF(SUM($L80)=0,"",IF(SUM($M80)=0,1,$L80/$M80)))</f>
        <v/>
      </c>
      <c r="T80" s="88" t="str">
        <f aca="false">IF(LEFT($B80,4)="_Mil",0,"")</f>
        <v/>
      </c>
      <c r="U80" s="88"/>
      <c r="V80" s="88" t="str">
        <f aca="false">IF($U80="","",$U80)</f>
        <v/>
      </c>
      <c r="W80" s="88"/>
      <c r="X80" s="88" t="str">
        <f aca="false">IF($W80="","",$W80)</f>
        <v/>
      </c>
      <c r="Y80" s="10" t="str">
        <f aca="false">IF(LEFT($B80,4)="_Mil",IF(SUM($L80)=0,"",ROUND($L80*(1+$T80),0)),IF(SUM($R80)=0,"",IF($S80="","ENTER IN COL S",ROUND($R80*$S80,0))))</f>
        <v>ENTER IN COL S</v>
      </c>
      <c r="Z80" s="39" t="str">
        <f aca="false">IF(SUM($Y80)=0,"",IF(AND(SUM($Y80)&gt;0,$V80=""),"ENTER INDETERMINATE RATE",ROUND($Y80*$V80,0)))</f>
        <v/>
      </c>
      <c r="AA80" s="39" t="str">
        <f aca="false">IF(SUM($Y80)=0,"",IF(AND(($Y80-SUM($Z80))&gt;0,$X80=""),"ENTER YIELD RATE",ROUND(($Y80-SUM($Z80))*SUM($X80),0)))</f>
        <v/>
      </c>
      <c r="AB80" s="39" t="str">
        <f aca="false">IF(SUM($Y80)=0,"",$Y80-SUM($Z80)-SUM($AA80))</f>
        <v/>
      </c>
      <c r="AC80" s="10" t="str">
        <f aca="false">IFERROR(1/(1/INDEX(Cascade!$BH:$BH,MATCH($E80,Cascade!$E:$E,0))),"")</f>
        <v/>
      </c>
      <c r="AD80" s="10" t="str">
        <f aca="false">IF(SUM($AA80)=0,"",$AA80)</f>
        <v/>
      </c>
      <c r="AE80" s="10" t="str">
        <f aca="false">IFERROR(1/(1/INDEX(TB!$P:$P,MATCH($E80,TB!$E:$E,0))),"")</f>
        <v/>
      </c>
      <c r="AF80" s="10" t="str">
        <f aca="false">IFERROR(1/(1/(SUM($AC80)-SUM($AD80:$AE80))),"")</f>
        <v/>
      </c>
    </row>
    <row r="81" customFormat="false" ht="15" hidden="false" customHeight="false" outlineLevel="0" collapsed="false">
      <c r="A81" s="0" t="str">
        <f aca="false">INDEX(Prioritization!$D:$D,MATCH($B81,Prioritization!$A:$A,0))</f>
        <v>1 - Scale-up: Saturation</v>
      </c>
      <c r="B81" s="0" t="s">
        <v>210</v>
      </c>
      <c r="C81" s="0" t="s">
        <v>367</v>
      </c>
      <c r="D81" s="0" t="s">
        <v>48</v>
      </c>
      <c r="E81" s="0" t="str">
        <f aca="false">B81&amp;"|"&amp;C81&amp;"|"&amp;D81</f>
        <v>Balaka District [ir8wuHHzoSs]|35-49|Male</v>
      </c>
      <c r="F81" s="10" t="n">
        <f aca="false">IF(LEFT($B81,4)="_Mil","",INDEX(Cascade!$T:$T,MATCH($E81,Cascade!$E:$E,0)))</f>
        <v>1960</v>
      </c>
      <c r="G81" s="10" t="str">
        <f aca="false">IF(LEFT($B81,4)="_Mil","",INDEX(Cascade!$U:$U,MATCH($E81,Cascade!$E:$E,0)))</f>
        <v/>
      </c>
      <c r="H81" s="86" t="n">
        <f aca="false">IF(LEFT($B81,4)="_Mil","",INDEX(Cascade!$W:$W,MATCH($E81,Cascade!$E:$E,0)))</f>
        <v>1724</v>
      </c>
      <c r="I81" s="10" t="n">
        <f aca="false">IF(LEFT($B81,4)="_Mil","",INDEX(Cascade!$Z:$Z,MATCH($E81,Cascade!$E:$E,0)))</f>
        <v>1985</v>
      </c>
      <c r="J81" s="88" t="n">
        <f aca="false">IF(LEFT($B81,4)="_Mil","",INDEX(Cascade!$AA:$AA,MATCH($E81,Cascade!$E:$E,0)))</f>
        <v>1800</v>
      </c>
      <c r="K81" s="10"/>
      <c r="L81" s="10"/>
      <c r="M81" s="39" t="str">
        <f aca="false">IF(LEFT($B81,4)="_Mil","",IFERROR(1/(1/ROUND(INDEX(Spectrum!$N:$N,MATCH(RIGHT($B81,13)&amp;"|"&amp;$C81&amp;"|"&amp;$D81&amp;"|"&amp;M$14&amp;"|"&amp;"CY2023Q3",Spectrum!$R:$R,0)),0)),IF(SUM($L81)=0,"",$L81)))</f>
        <v/>
      </c>
      <c r="N81" s="39" t="str">
        <f aca="false">IF(LEFT($B81,4)="_Mil","",IFERROR(1/(1/ROUND(INDEX(Spectrum!$N:$N,MATCH(RIGHT($B81,13)&amp;"|"&amp;$C81&amp;"|"&amp;$D81&amp;"|"&amp;N$14&amp;"|"&amp;"CY2023Q3",Spectrum!$R:$R,0)),0)),IF(SUM($M81)=0,"",$M81)))</f>
        <v/>
      </c>
      <c r="O81" s="88" t="n">
        <f aca="false">IF(OR(LEFT($B81,4)="_Mil",SUM($F81)=0),"",SUM($N81)/$F81)</f>
        <v>0</v>
      </c>
      <c r="P81" s="88" t="n">
        <f aca="false">IF(OR(LEFT($B81,4)="_Mil",SUM($F81)=0),"",MAX(SUM($O81),80%))</f>
        <v>0.8</v>
      </c>
      <c r="Q81" s="39" t="n">
        <f aca="false">IF(OR(LEFT($B81,4)="_Mil",SUM($F81)=0),"",ROUND(SUM($F81)*$P81,0))</f>
        <v>1568</v>
      </c>
      <c r="R81" s="39" t="n">
        <f aca="false">IF(OR(LEFT($B81,4)="_Mil",SUM($Q81)=0),"",ROUND(MAX($Q81-SUM($N81),0),0))</f>
        <v>1568</v>
      </c>
      <c r="S81" s="88" t="str">
        <f aca="false">IF(LEFT($B81,4)="_Mil","",IF(SUM($L81)=0,"",IF(SUM($M81)=0,1,$L81/$M81)))</f>
        <v/>
      </c>
      <c r="T81" s="88" t="str">
        <f aca="false">IF(LEFT($B81,4)="_Mil",0,"")</f>
        <v/>
      </c>
      <c r="U81" s="88"/>
      <c r="V81" s="88" t="str">
        <f aca="false">IF($U81="","",$U81)</f>
        <v/>
      </c>
      <c r="W81" s="88"/>
      <c r="X81" s="88" t="str">
        <f aca="false">IF($W81="","",$W81)</f>
        <v/>
      </c>
      <c r="Y81" s="10" t="str">
        <f aca="false">IF(LEFT($B81,4)="_Mil",IF(SUM($L81)=0,"",ROUND($L81*(1+$T81),0)),IF(SUM($R81)=0,"",IF($S81="","ENTER IN COL S",ROUND($R81*$S81,0))))</f>
        <v>ENTER IN COL S</v>
      </c>
      <c r="Z81" s="39" t="str">
        <f aca="false">IF(SUM($Y81)=0,"",IF(AND(SUM($Y81)&gt;0,$V81=""),"ENTER INDETERMINATE RATE",ROUND($Y81*$V81,0)))</f>
        <v/>
      </c>
      <c r="AA81" s="39" t="str">
        <f aca="false">IF(SUM($Y81)=0,"",IF(AND(($Y81-SUM($Z81))&gt;0,$X81=""),"ENTER YIELD RATE",ROUND(($Y81-SUM($Z81))*SUM($X81),0)))</f>
        <v/>
      </c>
      <c r="AB81" s="39" t="str">
        <f aca="false">IF(SUM($Y81)=0,"",$Y81-SUM($Z81)-SUM($AA81))</f>
        <v/>
      </c>
      <c r="AC81" s="10" t="str">
        <f aca="false">IFERROR(1/(1/INDEX(Cascade!$BH:$BH,MATCH($E81,Cascade!$E:$E,0))),"")</f>
        <v/>
      </c>
      <c r="AD81" s="10" t="str">
        <f aca="false">IF(SUM($AA81)=0,"",$AA81)</f>
        <v/>
      </c>
      <c r="AE81" s="10" t="str">
        <f aca="false">IFERROR(1/(1/INDEX(TB!$P:$P,MATCH($E81,TB!$E:$E,0))),"")</f>
        <v/>
      </c>
      <c r="AF81" s="10" t="str">
        <f aca="false">IFERROR(1/(1/(SUM($AC81)-SUM($AD81:$AE81))),"")</f>
        <v/>
      </c>
    </row>
    <row r="82" customFormat="false" ht="15" hidden="false" customHeight="false" outlineLevel="0" collapsed="false">
      <c r="A82" s="0" t="str">
        <f aca="false">INDEX(Prioritization!$D:$D,MATCH($B82,Prioritization!$A:$A,0))</f>
        <v>1 - Scale-up: Saturation</v>
      </c>
      <c r="B82" s="0" t="s">
        <v>210</v>
      </c>
      <c r="C82" s="0" t="s">
        <v>368</v>
      </c>
      <c r="D82" s="0" t="s">
        <v>48</v>
      </c>
      <c r="E82" s="0" t="str">
        <f aca="false">B82&amp;"|"&amp;C82&amp;"|"&amp;D82</f>
        <v>Balaka District [ir8wuHHzoSs]|50+|Male</v>
      </c>
      <c r="F82" s="10" t="n">
        <f aca="false">IF(LEFT($B82,4)="_Mil","",INDEX(Cascade!$T:$T,MATCH($E82,Cascade!$E:$E,0)))</f>
        <v>517</v>
      </c>
      <c r="G82" s="10" t="str">
        <f aca="false">IF(LEFT($B82,4)="_Mil","",INDEX(Cascade!$U:$U,MATCH($E82,Cascade!$E:$E,0)))</f>
        <v/>
      </c>
      <c r="H82" s="86" t="n">
        <f aca="false">IF(LEFT($B82,4)="_Mil","",INDEX(Cascade!$W:$W,MATCH($E82,Cascade!$E:$E,0)))</f>
        <v>666</v>
      </c>
      <c r="I82" s="10" t="n">
        <f aca="false">IF(LEFT($B82,4)="_Mil","",INDEX(Cascade!$Z:$Z,MATCH($E82,Cascade!$E:$E,0)))</f>
        <v>1557</v>
      </c>
      <c r="J82" s="88" t="n">
        <f aca="false">IF(LEFT($B82,4)="_Mil","",INDEX(Cascade!$AA:$AA,MATCH($E82,Cascade!$E:$E,0)))</f>
        <v>1036</v>
      </c>
      <c r="K82" s="10"/>
      <c r="L82" s="10"/>
      <c r="M82" s="39" t="str">
        <f aca="false">IF(LEFT($B82,4)="_Mil","",IFERROR(1/(1/ROUND(INDEX(Spectrum!$N:$N,MATCH(RIGHT($B82,13)&amp;"|"&amp;$C82&amp;"|"&amp;$D82&amp;"|"&amp;M$14&amp;"|"&amp;"CY2023Q3",Spectrum!$R:$R,0)),0)),IF(SUM($L82)=0,"",$L82)))</f>
        <v/>
      </c>
      <c r="N82" s="39" t="str">
        <f aca="false">IF(LEFT($B82,4)="_Mil","",IFERROR(1/(1/ROUND(INDEX(Spectrum!$N:$N,MATCH(RIGHT($B82,13)&amp;"|"&amp;$C82&amp;"|"&amp;$D82&amp;"|"&amp;N$14&amp;"|"&amp;"CY2023Q3",Spectrum!$R:$R,0)),0)),IF(SUM($M82)=0,"",$M82)))</f>
        <v/>
      </c>
      <c r="O82" s="88" t="n">
        <f aca="false">IF(OR(LEFT($B82,4)="_Mil",SUM($F82)=0),"",SUM($N82)/$F82)</f>
        <v>0</v>
      </c>
      <c r="P82" s="88" t="n">
        <f aca="false">IF(OR(LEFT($B82,4)="_Mil",SUM($F82)=0),"",MAX(SUM($O82),80%))</f>
        <v>0.8</v>
      </c>
      <c r="Q82" s="39" t="n">
        <f aca="false">IF(OR(LEFT($B82,4)="_Mil",SUM($F82)=0),"",ROUND(SUM($F82)*$P82,0))</f>
        <v>414</v>
      </c>
      <c r="R82" s="39" t="n">
        <f aca="false">IF(OR(LEFT($B82,4)="_Mil",SUM($Q82)=0),"",ROUND(MAX($Q82-SUM($N82),0),0))</f>
        <v>414</v>
      </c>
      <c r="S82" s="88" t="str">
        <f aca="false">IF(LEFT($B82,4)="_Mil","",IF(SUM($L82)=0,"",IF(SUM($M82)=0,1,$L82/$M82)))</f>
        <v/>
      </c>
      <c r="T82" s="88" t="str">
        <f aca="false">IF(LEFT($B82,4)="_Mil",0,"")</f>
        <v/>
      </c>
      <c r="U82" s="88"/>
      <c r="V82" s="88" t="str">
        <f aca="false">IF($U82="","",$U82)</f>
        <v/>
      </c>
      <c r="W82" s="88"/>
      <c r="X82" s="88" t="str">
        <f aca="false">IF($W82="","",$W82)</f>
        <v/>
      </c>
      <c r="Y82" s="10" t="str">
        <f aca="false">IF(LEFT($B82,4)="_Mil",IF(SUM($L82)=0,"",ROUND($L82*(1+$T82),0)),IF(SUM($R82)=0,"",IF($S82="","ENTER IN COL S",ROUND($R82*$S82,0))))</f>
        <v>ENTER IN COL S</v>
      </c>
      <c r="Z82" s="39" t="str">
        <f aca="false">IF(SUM($Y82)=0,"",IF(AND(SUM($Y82)&gt;0,$V82=""),"ENTER INDETERMINATE RATE",ROUND($Y82*$V82,0)))</f>
        <v/>
      </c>
      <c r="AA82" s="39" t="str">
        <f aca="false">IF(SUM($Y82)=0,"",IF(AND(($Y82-SUM($Z82))&gt;0,$X82=""),"ENTER YIELD RATE",ROUND(($Y82-SUM($Z82))*SUM($X82),0)))</f>
        <v/>
      </c>
      <c r="AB82" s="39" t="str">
        <f aca="false">IF(SUM($Y82)=0,"",$Y82-SUM($Z82)-SUM($AA82))</f>
        <v/>
      </c>
      <c r="AC82" s="10" t="str">
        <f aca="false">IFERROR(1/(1/INDEX(Cascade!$BH:$BH,MATCH($E82,Cascade!$E:$E,0))),"")</f>
        <v/>
      </c>
      <c r="AD82" s="10" t="str">
        <f aca="false">IF(SUM($AA82)=0,"",$AA82)</f>
        <v/>
      </c>
      <c r="AE82" s="10" t="str">
        <f aca="false">IFERROR(1/(1/INDEX(TB!$P:$P,MATCH($E82,TB!$E:$E,0))),"")</f>
        <v/>
      </c>
      <c r="AF82" s="10" t="str">
        <f aca="false">IFERROR(1/(1/(SUM($AC82)-SUM($AD82:$AE82))),"")</f>
        <v/>
      </c>
    </row>
    <row r="83" customFormat="false" ht="15" hidden="false" customHeight="false" outlineLevel="0" collapsed="false">
      <c r="A83" s="0" t="str">
        <f aca="false">INDEX(Prioritization!$D:$D,MATCH($B83,Prioritization!$A:$A,0))</f>
        <v>1 - Scale-up: Saturation</v>
      </c>
      <c r="B83" s="0" t="s">
        <v>211</v>
      </c>
      <c r="C83" s="0" t="s">
        <v>365</v>
      </c>
      <c r="D83" s="0" t="s">
        <v>48</v>
      </c>
      <c r="E83" s="0" t="str">
        <f aca="false">B83&amp;"|"&amp;C83&amp;"|"&amp;D83</f>
        <v>Blantyre District [mxqa3CDFmIT]|15-24|Male</v>
      </c>
      <c r="F83" s="10" t="n">
        <f aca="false">IF(LEFT($B83,4)="_Mil","",INDEX(Cascade!$T:$T,MATCH($E83,Cascade!$E:$E,0)))</f>
        <v>1726</v>
      </c>
      <c r="G83" s="10" t="str">
        <f aca="false">IF(LEFT($B83,4)="_Mil","",INDEX(Cascade!$U:$U,MATCH($E83,Cascade!$E:$E,0)))</f>
        <v/>
      </c>
      <c r="H83" s="86" t="n">
        <f aca="false">IF(LEFT($B83,4)="_Mil","",INDEX(Cascade!$W:$W,MATCH($E83,Cascade!$E:$E,0)))</f>
        <v>1282</v>
      </c>
      <c r="I83" s="10" t="n">
        <f aca="false">IF(LEFT($B83,4)="_Mil","",INDEX(Cascade!$Z:$Z,MATCH($E83,Cascade!$E:$E,0)))</f>
        <v>510</v>
      </c>
      <c r="J83" s="88" t="n">
        <f aca="false">IF(LEFT($B83,4)="_Mil","",INDEX(Cascade!$AA:$AA,MATCH($E83,Cascade!$E:$E,0)))</f>
        <v>1085</v>
      </c>
      <c r="K83" s="10"/>
      <c r="L83" s="10"/>
      <c r="M83" s="39" t="str">
        <f aca="false">IF(LEFT($B83,4)="_Mil","",IFERROR(1/(1/ROUND(INDEX(Spectrum!$N:$N,MATCH(RIGHT($B83,13)&amp;"|"&amp;$C83&amp;"|"&amp;$D83&amp;"|"&amp;M$14&amp;"|"&amp;"CY2023Q3",Spectrum!$R:$R,0)),0)),IF(SUM($L83)=0,"",$L83)))</f>
        <v/>
      </c>
      <c r="N83" s="39" t="str">
        <f aca="false">IF(LEFT($B83,4)="_Mil","",IFERROR(1/(1/ROUND(INDEX(Spectrum!$N:$N,MATCH(RIGHT($B83,13)&amp;"|"&amp;$C83&amp;"|"&amp;$D83&amp;"|"&amp;N$14&amp;"|"&amp;"CY2023Q3",Spectrum!$R:$R,0)),0)),IF(SUM($M83)=0,"",$M83)))</f>
        <v/>
      </c>
      <c r="O83" s="88" t="n">
        <f aca="false">IF(OR(LEFT($B83,4)="_Mil",SUM($F83)=0),"",SUM($N83)/$F83)</f>
        <v>0</v>
      </c>
      <c r="P83" s="88" t="n">
        <f aca="false">IF(OR(LEFT($B83,4)="_Mil",SUM($F83)=0),"",MAX(SUM($O83),80%))</f>
        <v>0.8</v>
      </c>
      <c r="Q83" s="39" t="n">
        <f aca="false">IF(OR(LEFT($B83,4)="_Mil",SUM($F83)=0),"",ROUND(SUM($F83)*$P83,0))</f>
        <v>1381</v>
      </c>
      <c r="R83" s="39" t="n">
        <f aca="false">IF(OR(LEFT($B83,4)="_Mil",SUM($Q83)=0),"",ROUND(MAX($Q83-SUM($N83),0),0))</f>
        <v>1381</v>
      </c>
      <c r="S83" s="88" t="str">
        <f aca="false">IF(LEFT($B83,4)="_Mil","",IF(SUM($L83)=0,"",IF(SUM($M83)=0,1,$L83/$M83)))</f>
        <v/>
      </c>
      <c r="T83" s="88" t="str">
        <f aca="false">IF(LEFT($B83,4)="_Mil",0,"")</f>
        <v/>
      </c>
      <c r="U83" s="88"/>
      <c r="V83" s="88" t="str">
        <f aca="false">IF($U83="","",$U83)</f>
        <v/>
      </c>
      <c r="W83" s="88"/>
      <c r="X83" s="88" t="str">
        <f aca="false">IF($W83="","",$W83)</f>
        <v/>
      </c>
      <c r="Y83" s="10" t="str">
        <f aca="false">IF(LEFT($B83,4)="_Mil",IF(SUM($L83)=0,"",ROUND($L83*(1+$T83),0)),IF(SUM($R83)=0,"",IF($S83="","ENTER IN COL S",ROUND($R83*$S83,0))))</f>
        <v>ENTER IN COL S</v>
      </c>
      <c r="Z83" s="39" t="str">
        <f aca="false">IF(SUM($Y83)=0,"",IF(AND(SUM($Y83)&gt;0,$V83=""),"ENTER INDETERMINATE RATE",ROUND($Y83*$V83,0)))</f>
        <v/>
      </c>
      <c r="AA83" s="39" t="str">
        <f aca="false">IF(SUM($Y83)=0,"",IF(AND(($Y83-SUM($Z83))&gt;0,$X83=""),"ENTER YIELD RATE",ROUND(($Y83-SUM($Z83))*SUM($X83),0)))</f>
        <v/>
      </c>
      <c r="AB83" s="39" t="str">
        <f aca="false">IF(SUM($Y83)=0,"",$Y83-SUM($Z83)-SUM($AA83))</f>
        <v/>
      </c>
      <c r="AC83" s="10" t="str">
        <f aca="false">IFERROR(1/(1/INDEX(Cascade!$BH:$BH,MATCH($E83,Cascade!$E:$E,0))),"")</f>
        <v/>
      </c>
      <c r="AD83" s="10" t="str">
        <f aca="false">IF(SUM($AA83)=0,"",$AA83)</f>
        <v/>
      </c>
      <c r="AE83" s="10" t="str">
        <f aca="false">IFERROR(1/(1/INDEX(TB!$P:$P,MATCH($E83,TB!$E:$E,0))),"")</f>
        <v/>
      </c>
      <c r="AF83" s="10" t="str">
        <f aca="false">IFERROR(1/(1/(SUM($AC83)-SUM($AD83:$AE83))),"")</f>
        <v/>
      </c>
    </row>
    <row r="84" customFormat="false" ht="15" hidden="false" customHeight="false" outlineLevel="0" collapsed="false">
      <c r="A84" s="0" t="str">
        <f aca="false">INDEX(Prioritization!$D:$D,MATCH($B84,Prioritization!$A:$A,0))</f>
        <v>1 - Scale-up: Saturation</v>
      </c>
      <c r="B84" s="0" t="s">
        <v>211</v>
      </c>
      <c r="C84" s="0" t="s">
        <v>366</v>
      </c>
      <c r="D84" s="0" t="s">
        <v>48</v>
      </c>
      <c r="E84" s="0" t="str">
        <f aca="false">B84&amp;"|"&amp;C84&amp;"|"&amp;D84</f>
        <v>Blantyre District [mxqa3CDFmIT]|25-34|Male</v>
      </c>
      <c r="F84" s="10" t="n">
        <f aca="false">IF(LEFT($B84,4)="_Mil","",INDEX(Cascade!$T:$T,MATCH($E84,Cascade!$E:$E,0)))</f>
        <v>1625</v>
      </c>
      <c r="G84" s="10" t="str">
        <f aca="false">IF(LEFT($B84,4)="_Mil","",INDEX(Cascade!$U:$U,MATCH($E84,Cascade!$E:$E,0)))</f>
        <v/>
      </c>
      <c r="H84" s="86" t="n">
        <f aca="false">IF(LEFT($B84,4)="_Mil","",INDEX(Cascade!$W:$W,MATCH($E84,Cascade!$E:$E,0)))</f>
        <v>1886</v>
      </c>
      <c r="I84" s="10" t="n">
        <f aca="false">IF(LEFT($B84,4)="_Mil","",INDEX(Cascade!$Z:$Z,MATCH($E84,Cascade!$E:$E,0)))</f>
        <v>925</v>
      </c>
      <c r="J84" s="88" t="n">
        <f aca="false">IF(LEFT($B84,4)="_Mil","",INDEX(Cascade!$AA:$AA,MATCH($E84,Cascade!$E:$E,0)))</f>
        <v>1673</v>
      </c>
      <c r="K84" s="10"/>
      <c r="L84" s="10"/>
      <c r="M84" s="39" t="str">
        <f aca="false">IF(LEFT($B84,4)="_Mil","",IFERROR(1/(1/ROUND(INDEX(Spectrum!$N:$N,MATCH(RIGHT($B84,13)&amp;"|"&amp;$C84&amp;"|"&amp;$D84&amp;"|"&amp;M$14&amp;"|"&amp;"CY2023Q3",Spectrum!$R:$R,0)),0)),IF(SUM($L84)=0,"",$L84)))</f>
        <v/>
      </c>
      <c r="N84" s="39" t="str">
        <f aca="false">IF(LEFT($B84,4)="_Mil","",IFERROR(1/(1/ROUND(INDEX(Spectrum!$N:$N,MATCH(RIGHT($B84,13)&amp;"|"&amp;$C84&amp;"|"&amp;$D84&amp;"|"&amp;N$14&amp;"|"&amp;"CY2023Q3",Spectrum!$R:$R,0)),0)),IF(SUM($M84)=0,"",$M84)))</f>
        <v/>
      </c>
      <c r="O84" s="88" t="n">
        <f aca="false">IF(OR(LEFT($B84,4)="_Mil",SUM($F84)=0),"",SUM($N84)/$F84)</f>
        <v>0</v>
      </c>
      <c r="P84" s="88" t="n">
        <f aca="false">IF(OR(LEFT($B84,4)="_Mil",SUM($F84)=0),"",MAX(SUM($O84),80%))</f>
        <v>0.8</v>
      </c>
      <c r="Q84" s="39" t="n">
        <f aca="false">IF(OR(LEFT($B84,4)="_Mil",SUM($F84)=0),"",ROUND(SUM($F84)*$P84,0))</f>
        <v>1300</v>
      </c>
      <c r="R84" s="39" t="n">
        <f aca="false">IF(OR(LEFT($B84,4)="_Mil",SUM($Q84)=0),"",ROUND(MAX($Q84-SUM($N84),0),0))</f>
        <v>1300</v>
      </c>
      <c r="S84" s="88" t="str">
        <f aca="false">IF(LEFT($B84,4)="_Mil","",IF(SUM($L84)=0,"",IF(SUM($M84)=0,1,$L84/$M84)))</f>
        <v/>
      </c>
      <c r="T84" s="88" t="str">
        <f aca="false">IF(LEFT($B84,4)="_Mil",0,"")</f>
        <v/>
      </c>
      <c r="U84" s="88"/>
      <c r="V84" s="88" t="str">
        <f aca="false">IF($U84="","",$U84)</f>
        <v/>
      </c>
      <c r="W84" s="88"/>
      <c r="X84" s="88" t="str">
        <f aca="false">IF($W84="","",$W84)</f>
        <v/>
      </c>
      <c r="Y84" s="10" t="str">
        <f aca="false">IF(LEFT($B84,4)="_Mil",IF(SUM($L84)=0,"",ROUND($L84*(1+$T84),0)),IF(SUM($R84)=0,"",IF($S84="","ENTER IN COL S",ROUND($R84*$S84,0))))</f>
        <v>ENTER IN COL S</v>
      </c>
      <c r="Z84" s="39" t="str">
        <f aca="false">IF(SUM($Y84)=0,"",IF(AND(SUM($Y84)&gt;0,$V84=""),"ENTER INDETERMINATE RATE",ROUND($Y84*$V84,0)))</f>
        <v/>
      </c>
      <c r="AA84" s="39" t="str">
        <f aca="false">IF(SUM($Y84)=0,"",IF(AND(($Y84-SUM($Z84))&gt;0,$X84=""),"ENTER YIELD RATE",ROUND(($Y84-SUM($Z84))*SUM($X84),0)))</f>
        <v/>
      </c>
      <c r="AB84" s="39" t="str">
        <f aca="false">IF(SUM($Y84)=0,"",$Y84-SUM($Z84)-SUM($AA84))</f>
        <v/>
      </c>
      <c r="AC84" s="10" t="str">
        <f aca="false">IFERROR(1/(1/INDEX(Cascade!$BH:$BH,MATCH($E84,Cascade!$E:$E,0))),"")</f>
        <v/>
      </c>
      <c r="AD84" s="10" t="str">
        <f aca="false">IF(SUM($AA84)=0,"",$AA84)</f>
        <v/>
      </c>
      <c r="AE84" s="10" t="str">
        <f aca="false">IFERROR(1/(1/INDEX(TB!$P:$P,MATCH($E84,TB!$E:$E,0))),"")</f>
        <v/>
      </c>
      <c r="AF84" s="10" t="str">
        <f aca="false">IFERROR(1/(1/(SUM($AC84)-SUM($AD84:$AE84))),"")</f>
        <v/>
      </c>
    </row>
    <row r="85" customFormat="false" ht="15" hidden="false" customHeight="false" outlineLevel="0" collapsed="false">
      <c r="A85" s="0" t="str">
        <f aca="false">INDEX(Prioritization!$D:$D,MATCH($B85,Prioritization!$A:$A,0))</f>
        <v>1 - Scale-up: Saturation</v>
      </c>
      <c r="B85" s="0" t="s">
        <v>211</v>
      </c>
      <c r="C85" s="0" t="s">
        <v>367</v>
      </c>
      <c r="D85" s="0" t="s">
        <v>48</v>
      </c>
      <c r="E85" s="0" t="str">
        <f aca="false">B85&amp;"|"&amp;C85&amp;"|"&amp;D85</f>
        <v>Blantyre District [mxqa3CDFmIT]|35-49|Male</v>
      </c>
      <c r="F85" s="10" t="n">
        <f aca="false">IF(LEFT($B85,4)="_Mil","",INDEX(Cascade!$T:$T,MATCH($E85,Cascade!$E:$E,0)))</f>
        <v>1147</v>
      </c>
      <c r="G85" s="10" t="str">
        <f aca="false">IF(LEFT($B85,4)="_Mil","",INDEX(Cascade!$U:$U,MATCH($E85,Cascade!$E:$E,0)))</f>
        <v/>
      </c>
      <c r="H85" s="86" t="n">
        <f aca="false">IF(LEFT($B85,4)="_Mil","",INDEX(Cascade!$W:$W,MATCH($E85,Cascade!$E:$E,0)))</f>
        <v>555</v>
      </c>
      <c r="I85" s="10" t="n">
        <f aca="false">IF(LEFT($B85,4)="_Mil","",INDEX(Cascade!$Z:$Z,MATCH($E85,Cascade!$E:$E,0)))</f>
        <v>708</v>
      </c>
      <c r="J85" s="88" t="n">
        <f aca="false">IF(LEFT($B85,4)="_Mil","",INDEX(Cascade!$AA:$AA,MATCH($E85,Cascade!$E:$E,0)))</f>
        <v>1340</v>
      </c>
      <c r="K85" s="10"/>
      <c r="L85" s="10"/>
      <c r="M85" s="39" t="str">
        <f aca="false">IF(LEFT($B85,4)="_Mil","",IFERROR(1/(1/ROUND(INDEX(Spectrum!$N:$N,MATCH(RIGHT($B85,13)&amp;"|"&amp;$C85&amp;"|"&amp;$D85&amp;"|"&amp;M$14&amp;"|"&amp;"CY2023Q3",Spectrum!$R:$R,0)),0)),IF(SUM($L85)=0,"",$L85)))</f>
        <v/>
      </c>
      <c r="N85" s="39" t="str">
        <f aca="false">IF(LEFT($B85,4)="_Mil","",IFERROR(1/(1/ROUND(INDEX(Spectrum!$N:$N,MATCH(RIGHT($B85,13)&amp;"|"&amp;$C85&amp;"|"&amp;$D85&amp;"|"&amp;N$14&amp;"|"&amp;"CY2023Q3",Spectrum!$R:$R,0)),0)),IF(SUM($M85)=0,"",$M85)))</f>
        <v/>
      </c>
      <c r="O85" s="88" t="n">
        <f aca="false">IF(OR(LEFT($B85,4)="_Mil",SUM($F85)=0),"",SUM($N85)/$F85)</f>
        <v>0</v>
      </c>
      <c r="P85" s="88" t="n">
        <f aca="false">IF(OR(LEFT($B85,4)="_Mil",SUM($F85)=0),"",MAX(SUM($O85),80%))</f>
        <v>0.8</v>
      </c>
      <c r="Q85" s="39" t="n">
        <f aca="false">IF(OR(LEFT($B85,4)="_Mil",SUM($F85)=0),"",ROUND(SUM($F85)*$P85,0))</f>
        <v>918</v>
      </c>
      <c r="R85" s="39" t="n">
        <f aca="false">IF(OR(LEFT($B85,4)="_Mil",SUM($Q85)=0),"",ROUND(MAX($Q85-SUM($N85),0),0))</f>
        <v>918</v>
      </c>
      <c r="S85" s="88" t="str">
        <f aca="false">IF(LEFT($B85,4)="_Mil","",IF(SUM($L85)=0,"",IF(SUM($M85)=0,1,$L85/$M85)))</f>
        <v/>
      </c>
      <c r="T85" s="88" t="str">
        <f aca="false">IF(LEFT($B85,4)="_Mil",0,"")</f>
        <v/>
      </c>
      <c r="U85" s="88"/>
      <c r="V85" s="88" t="str">
        <f aca="false">IF($U85="","",$U85)</f>
        <v/>
      </c>
      <c r="W85" s="88"/>
      <c r="X85" s="88" t="str">
        <f aca="false">IF($W85="","",$W85)</f>
        <v/>
      </c>
      <c r="Y85" s="10" t="str">
        <f aca="false">IF(LEFT($B85,4)="_Mil",IF(SUM($L85)=0,"",ROUND($L85*(1+$T85),0)),IF(SUM($R85)=0,"",IF($S85="","ENTER IN COL S",ROUND($R85*$S85,0))))</f>
        <v>ENTER IN COL S</v>
      </c>
      <c r="Z85" s="39" t="str">
        <f aca="false">IF(SUM($Y85)=0,"",IF(AND(SUM($Y85)&gt;0,$V85=""),"ENTER INDETERMINATE RATE",ROUND($Y85*$V85,0)))</f>
        <v/>
      </c>
      <c r="AA85" s="39" t="str">
        <f aca="false">IF(SUM($Y85)=0,"",IF(AND(($Y85-SUM($Z85))&gt;0,$X85=""),"ENTER YIELD RATE",ROUND(($Y85-SUM($Z85))*SUM($X85),0)))</f>
        <v/>
      </c>
      <c r="AB85" s="39" t="str">
        <f aca="false">IF(SUM($Y85)=0,"",$Y85-SUM($Z85)-SUM($AA85))</f>
        <v/>
      </c>
      <c r="AC85" s="10" t="str">
        <f aca="false">IFERROR(1/(1/INDEX(Cascade!$BH:$BH,MATCH($E85,Cascade!$E:$E,0))),"")</f>
        <v/>
      </c>
      <c r="AD85" s="10" t="str">
        <f aca="false">IF(SUM($AA85)=0,"",$AA85)</f>
        <v/>
      </c>
      <c r="AE85" s="10" t="str">
        <f aca="false">IFERROR(1/(1/INDEX(TB!$P:$P,MATCH($E85,TB!$E:$E,0))),"")</f>
        <v/>
      </c>
      <c r="AF85" s="10" t="str">
        <f aca="false">IFERROR(1/(1/(SUM($AC85)-SUM($AD85:$AE85))),"")</f>
        <v/>
      </c>
    </row>
    <row r="86" customFormat="false" ht="15" hidden="false" customHeight="false" outlineLevel="0" collapsed="false">
      <c r="A86" s="0" t="str">
        <f aca="false">INDEX(Prioritization!$D:$D,MATCH($B86,Prioritization!$A:$A,0))</f>
        <v>1 - Scale-up: Saturation</v>
      </c>
      <c r="B86" s="0" t="s">
        <v>211</v>
      </c>
      <c r="C86" s="0" t="s">
        <v>368</v>
      </c>
      <c r="D86" s="0" t="s">
        <v>48</v>
      </c>
      <c r="E86" s="0" t="str">
        <f aca="false">B86&amp;"|"&amp;C86&amp;"|"&amp;D86</f>
        <v>Blantyre District [mxqa3CDFmIT]|50+|Male</v>
      </c>
      <c r="F86" s="10" t="n">
        <f aca="false">IF(LEFT($B86,4)="_Mil","",INDEX(Cascade!$T:$T,MATCH($E86,Cascade!$E:$E,0)))</f>
        <v>815</v>
      </c>
      <c r="G86" s="10" t="str">
        <f aca="false">IF(LEFT($B86,4)="_Mil","",INDEX(Cascade!$U:$U,MATCH($E86,Cascade!$E:$E,0)))</f>
        <v/>
      </c>
      <c r="H86" s="86" t="n">
        <f aca="false">IF(LEFT($B86,4)="_Mil","",INDEX(Cascade!$W:$W,MATCH($E86,Cascade!$E:$E,0)))</f>
        <v>1517</v>
      </c>
      <c r="I86" s="10" t="n">
        <f aca="false">IF(LEFT($B86,4)="_Mil","",INDEX(Cascade!$Z:$Z,MATCH($E86,Cascade!$E:$E,0)))</f>
        <v>1916</v>
      </c>
      <c r="J86" s="88" t="n">
        <f aca="false">IF(LEFT($B86,4)="_Mil","",INDEX(Cascade!$AA:$AA,MATCH($E86,Cascade!$E:$E,0)))</f>
        <v>747</v>
      </c>
      <c r="K86" s="10"/>
      <c r="L86" s="10"/>
      <c r="M86" s="39" t="str">
        <f aca="false">IF(LEFT($B86,4)="_Mil","",IFERROR(1/(1/ROUND(INDEX(Spectrum!$N:$N,MATCH(RIGHT($B86,13)&amp;"|"&amp;$C86&amp;"|"&amp;$D86&amp;"|"&amp;M$14&amp;"|"&amp;"CY2023Q3",Spectrum!$R:$R,0)),0)),IF(SUM($L86)=0,"",$L86)))</f>
        <v/>
      </c>
      <c r="N86" s="39" t="str">
        <f aca="false">IF(LEFT($B86,4)="_Mil","",IFERROR(1/(1/ROUND(INDEX(Spectrum!$N:$N,MATCH(RIGHT($B86,13)&amp;"|"&amp;$C86&amp;"|"&amp;$D86&amp;"|"&amp;N$14&amp;"|"&amp;"CY2023Q3",Spectrum!$R:$R,0)),0)),IF(SUM($M86)=0,"",$M86)))</f>
        <v/>
      </c>
      <c r="O86" s="88" t="n">
        <f aca="false">IF(OR(LEFT($B86,4)="_Mil",SUM($F86)=0),"",SUM($N86)/$F86)</f>
        <v>0</v>
      </c>
      <c r="P86" s="88" t="n">
        <f aca="false">IF(OR(LEFT($B86,4)="_Mil",SUM($F86)=0),"",MAX(SUM($O86),80%))</f>
        <v>0.8</v>
      </c>
      <c r="Q86" s="39" t="n">
        <f aca="false">IF(OR(LEFT($B86,4)="_Mil",SUM($F86)=0),"",ROUND(SUM($F86)*$P86,0))</f>
        <v>652</v>
      </c>
      <c r="R86" s="39" t="n">
        <f aca="false">IF(OR(LEFT($B86,4)="_Mil",SUM($Q86)=0),"",ROUND(MAX($Q86-SUM($N86),0),0))</f>
        <v>652</v>
      </c>
      <c r="S86" s="88" t="str">
        <f aca="false">IF(LEFT($B86,4)="_Mil","",IF(SUM($L86)=0,"",IF(SUM($M86)=0,1,$L86/$M86)))</f>
        <v/>
      </c>
      <c r="T86" s="88" t="str">
        <f aca="false">IF(LEFT($B86,4)="_Mil",0,"")</f>
        <v/>
      </c>
      <c r="U86" s="88"/>
      <c r="V86" s="88" t="str">
        <f aca="false">IF($U86="","",$U86)</f>
        <v/>
      </c>
      <c r="W86" s="88"/>
      <c r="X86" s="88" t="str">
        <f aca="false">IF($W86="","",$W86)</f>
        <v/>
      </c>
      <c r="Y86" s="10" t="str">
        <f aca="false">IF(LEFT($B86,4)="_Mil",IF(SUM($L86)=0,"",ROUND($L86*(1+$T86),0)),IF(SUM($R86)=0,"",IF($S86="","ENTER IN COL S",ROUND($R86*$S86,0))))</f>
        <v>ENTER IN COL S</v>
      </c>
      <c r="Z86" s="39" t="str">
        <f aca="false">IF(SUM($Y86)=0,"",IF(AND(SUM($Y86)&gt;0,$V86=""),"ENTER INDETERMINATE RATE",ROUND($Y86*$V86,0)))</f>
        <v/>
      </c>
      <c r="AA86" s="39" t="str">
        <f aca="false">IF(SUM($Y86)=0,"",IF(AND(($Y86-SUM($Z86))&gt;0,$X86=""),"ENTER YIELD RATE",ROUND(($Y86-SUM($Z86))*SUM($X86),0)))</f>
        <v/>
      </c>
      <c r="AB86" s="39" t="str">
        <f aca="false">IF(SUM($Y86)=0,"",$Y86-SUM($Z86)-SUM($AA86))</f>
        <v/>
      </c>
      <c r="AC86" s="10" t="str">
        <f aca="false">IFERROR(1/(1/INDEX(Cascade!$BH:$BH,MATCH($E86,Cascade!$E:$E,0))),"")</f>
        <v/>
      </c>
      <c r="AD86" s="10" t="str">
        <f aca="false">IF(SUM($AA86)=0,"",$AA86)</f>
        <v/>
      </c>
      <c r="AE86" s="10" t="str">
        <f aca="false">IFERROR(1/(1/INDEX(TB!$P:$P,MATCH($E86,TB!$E:$E,0))),"")</f>
        <v/>
      </c>
      <c r="AF86" s="10" t="str">
        <f aca="false">IFERROR(1/(1/(SUM($AC86)-SUM($AD86:$AE86))),"")</f>
        <v/>
      </c>
    </row>
    <row r="87" customFormat="false" ht="15" hidden="false" customHeight="false" outlineLevel="0" collapsed="false">
      <c r="A87" s="0" t="str">
        <f aca="false">INDEX(Prioritization!$D:$D,MATCH($B87,Prioritization!$A:$A,0))</f>
        <v>1 - Scale-up: Saturation</v>
      </c>
      <c r="B87" s="0" t="s">
        <v>212</v>
      </c>
      <c r="C87" s="0" t="s">
        <v>365</v>
      </c>
      <c r="D87" s="0" t="s">
        <v>48</v>
      </c>
      <c r="E87" s="0" t="str">
        <f aca="false">B87&amp;"|"&amp;C87&amp;"|"&amp;D87</f>
        <v>Chikwawa District [U8c0so51kT6]|15-24|Male</v>
      </c>
      <c r="F87" s="10" t="n">
        <f aca="false">IF(LEFT($B87,4)="_Mil","",INDEX(Cascade!$T:$T,MATCH($E87,Cascade!$E:$E,0)))</f>
        <v>999</v>
      </c>
      <c r="G87" s="10" t="str">
        <f aca="false">IF(LEFT($B87,4)="_Mil","",INDEX(Cascade!$U:$U,MATCH($E87,Cascade!$E:$E,0)))</f>
        <v/>
      </c>
      <c r="H87" s="86" t="n">
        <f aca="false">IF(LEFT($B87,4)="_Mil","",INDEX(Cascade!$W:$W,MATCH($E87,Cascade!$E:$E,0)))</f>
        <v>1193</v>
      </c>
      <c r="I87" s="10" t="n">
        <f aca="false">IF(LEFT($B87,4)="_Mil","",INDEX(Cascade!$Z:$Z,MATCH($E87,Cascade!$E:$E,0)))</f>
        <v>601</v>
      </c>
      <c r="J87" s="88" t="n">
        <f aca="false">IF(LEFT($B87,4)="_Mil","",INDEX(Cascade!$AA:$AA,MATCH($E87,Cascade!$E:$E,0)))</f>
        <v>1268</v>
      </c>
      <c r="K87" s="10"/>
      <c r="L87" s="10"/>
      <c r="M87" s="39" t="str">
        <f aca="false">IF(LEFT($B87,4)="_Mil","",IFERROR(1/(1/ROUND(INDEX(Spectrum!$N:$N,MATCH(RIGHT($B87,13)&amp;"|"&amp;$C87&amp;"|"&amp;$D87&amp;"|"&amp;M$14&amp;"|"&amp;"CY2023Q3",Spectrum!$R:$R,0)),0)),IF(SUM($L87)=0,"",$L87)))</f>
        <v/>
      </c>
      <c r="N87" s="39" t="str">
        <f aca="false">IF(LEFT($B87,4)="_Mil","",IFERROR(1/(1/ROUND(INDEX(Spectrum!$N:$N,MATCH(RIGHT($B87,13)&amp;"|"&amp;$C87&amp;"|"&amp;$D87&amp;"|"&amp;N$14&amp;"|"&amp;"CY2023Q3",Spectrum!$R:$R,0)),0)),IF(SUM($M87)=0,"",$M87)))</f>
        <v/>
      </c>
      <c r="O87" s="88" t="n">
        <f aca="false">IF(OR(LEFT($B87,4)="_Mil",SUM($F87)=0),"",SUM($N87)/$F87)</f>
        <v>0</v>
      </c>
      <c r="P87" s="88" t="n">
        <f aca="false">IF(OR(LEFT($B87,4)="_Mil",SUM($F87)=0),"",MAX(SUM($O87),80%))</f>
        <v>0.8</v>
      </c>
      <c r="Q87" s="39" t="n">
        <f aca="false">IF(OR(LEFT($B87,4)="_Mil",SUM($F87)=0),"",ROUND(SUM($F87)*$P87,0))</f>
        <v>799</v>
      </c>
      <c r="R87" s="39" t="n">
        <f aca="false">IF(OR(LEFT($B87,4)="_Mil",SUM($Q87)=0),"",ROUND(MAX($Q87-SUM($N87),0),0))</f>
        <v>799</v>
      </c>
      <c r="S87" s="88" t="str">
        <f aca="false">IF(LEFT($B87,4)="_Mil","",IF(SUM($L87)=0,"",IF(SUM($M87)=0,1,$L87/$M87)))</f>
        <v/>
      </c>
      <c r="T87" s="88" t="str">
        <f aca="false">IF(LEFT($B87,4)="_Mil",0,"")</f>
        <v/>
      </c>
      <c r="U87" s="88"/>
      <c r="V87" s="88" t="str">
        <f aca="false">IF($U87="","",$U87)</f>
        <v/>
      </c>
      <c r="W87" s="88"/>
      <c r="X87" s="88" t="str">
        <f aca="false">IF($W87="","",$W87)</f>
        <v/>
      </c>
      <c r="Y87" s="10" t="str">
        <f aca="false">IF(LEFT($B87,4)="_Mil",IF(SUM($L87)=0,"",ROUND($L87*(1+$T87),0)),IF(SUM($R87)=0,"",IF($S87="","ENTER IN COL S",ROUND($R87*$S87,0))))</f>
        <v>ENTER IN COL S</v>
      </c>
      <c r="Z87" s="39" t="str">
        <f aca="false">IF(SUM($Y87)=0,"",IF(AND(SUM($Y87)&gt;0,$V87=""),"ENTER INDETERMINATE RATE",ROUND($Y87*$V87,0)))</f>
        <v/>
      </c>
      <c r="AA87" s="39" t="str">
        <f aca="false">IF(SUM($Y87)=0,"",IF(AND(($Y87-SUM($Z87))&gt;0,$X87=""),"ENTER YIELD RATE",ROUND(($Y87-SUM($Z87))*SUM($X87),0)))</f>
        <v/>
      </c>
      <c r="AB87" s="39" t="str">
        <f aca="false">IF(SUM($Y87)=0,"",$Y87-SUM($Z87)-SUM($AA87))</f>
        <v/>
      </c>
      <c r="AC87" s="10" t="str">
        <f aca="false">IFERROR(1/(1/INDEX(Cascade!$BH:$BH,MATCH($E87,Cascade!$E:$E,0))),"")</f>
        <v/>
      </c>
      <c r="AD87" s="10" t="str">
        <f aca="false">IF(SUM($AA87)=0,"",$AA87)</f>
        <v/>
      </c>
      <c r="AE87" s="10" t="str">
        <f aca="false">IFERROR(1/(1/INDEX(TB!$P:$P,MATCH($E87,TB!$E:$E,0))),"")</f>
        <v/>
      </c>
      <c r="AF87" s="10" t="str">
        <f aca="false">IFERROR(1/(1/(SUM($AC87)-SUM($AD87:$AE87))),"")</f>
        <v/>
      </c>
    </row>
    <row r="88" customFormat="false" ht="15" hidden="false" customHeight="false" outlineLevel="0" collapsed="false">
      <c r="A88" s="0" t="str">
        <f aca="false">INDEX(Prioritization!$D:$D,MATCH($B88,Prioritization!$A:$A,0))</f>
        <v>1 - Scale-up: Saturation</v>
      </c>
      <c r="B88" s="0" t="s">
        <v>212</v>
      </c>
      <c r="C88" s="0" t="s">
        <v>366</v>
      </c>
      <c r="D88" s="0" t="s">
        <v>48</v>
      </c>
      <c r="E88" s="0" t="str">
        <f aca="false">B88&amp;"|"&amp;C88&amp;"|"&amp;D88</f>
        <v>Chikwawa District [U8c0so51kT6]|25-34|Male</v>
      </c>
      <c r="F88" s="10" t="n">
        <f aca="false">IF(LEFT($B88,4)="_Mil","",INDEX(Cascade!$T:$T,MATCH($E88,Cascade!$E:$E,0)))</f>
        <v>870</v>
      </c>
      <c r="G88" s="10" t="str">
        <f aca="false">IF(LEFT($B88,4)="_Mil","",INDEX(Cascade!$U:$U,MATCH($E88,Cascade!$E:$E,0)))</f>
        <v/>
      </c>
      <c r="H88" s="86" t="n">
        <f aca="false">IF(LEFT($B88,4)="_Mil","",INDEX(Cascade!$W:$W,MATCH($E88,Cascade!$E:$E,0)))</f>
        <v>1112</v>
      </c>
      <c r="I88" s="10" t="n">
        <f aca="false">IF(LEFT($B88,4)="_Mil","",INDEX(Cascade!$Z:$Z,MATCH($E88,Cascade!$E:$E,0)))</f>
        <v>1916</v>
      </c>
      <c r="J88" s="88" t="n">
        <f aca="false">IF(LEFT($B88,4)="_Mil","",INDEX(Cascade!$AA:$AA,MATCH($E88,Cascade!$E:$E,0)))</f>
        <v>1897</v>
      </c>
      <c r="K88" s="10"/>
      <c r="L88" s="10"/>
      <c r="M88" s="39" t="str">
        <f aca="false">IF(LEFT($B88,4)="_Mil","",IFERROR(1/(1/ROUND(INDEX(Spectrum!$N:$N,MATCH(RIGHT($B88,13)&amp;"|"&amp;$C88&amp;"|"&amp;$D88&amp;"|"&amp;M$14&amp;"|"&amp;"CY2023Q3",Spectrum!$R:$R,0)),0)),IF(SUM($L88)=0,"",$L88)))</f>
        <v/>
      </c>
      <c r="N88" s="39" t="str">
        <f aca="false">IF(LEFT($B88,4)="_Mil","",IFERROR(1/(1/ROUND(INDEX(Spectrum!$N:$N,MATCH(RIGHT($B88,13)&amp;"|"&amp;$C88&amp;"|"&amp;$D88&amp;"|"&amp;N$14&amp;"|"&amp;"CY2023Q3",Spectrum!$R:$R,0)),0)),IF(SUM($M88)=0,"",$M88)))</f>
        <v/>
      </c>
      <c r="O88" s="88" t="n">
        <f aca="false">IF(OR(LEFT($B88,4)="_Mil",SUM($F88)=0),"",SUM($N88)/$F88)</f>
        <v>0</v>
      </c>
      <c r="P88" s="88" t="n">
        <f aca="false">IF(OR(LEFT($B88,4)="_Mil",SUM($F88)=0),"",MAX(SUM($O88),80%))</f>
        <v>0.8</v>
      </c>
      <c r="Q88" s="39" t="n">
        <f aca="false">IF(OR(LEFT($B88,4)="_Mil",SUM($F88)=0),"",ROUND(SUM($F88)*$P88,0))</f>
        <v>696</v>
      </c>
      <c r="R88" s="39" t="n">
        <f aca="false">IF(OR(LEFT($B88,4)="_Mil",SUM($Q88)=0),"",ROUND(MAX($Q88-SUM($N88),0),0))</f>
        <v>696</v>
      </c>
      <c r="S88" s="88" t="str">
        <f aca="false">IF(LEFT($B88,4)="_Mil","",IF(SUM($L88)=0,"",IF(SUM($M88)=0,1,$L88/$M88)))</f>
        <v/>
      </c>
      <c r="T88" s="88" t="str">
        <f aca="false">IF(LEFT($B88,4)="_Mil",0,"")</f>
        <v/>
      </c>
      <c r="U88" s="88"/>
      <c r="V88" s="88" t="str">
        <f aca="false">IF($U88="","",$U88)</f>
        <v/>
      </c>
      <c r="W88" s="88"/>
      <c r="X88" s="88" t="str">
        <f aca="false">IF($W88="","",$W88)</f>
        <v/>
      </c>
      <c r="Y88" s="10" t="str">
        <f aca="false">IF(LEFT($B88,4)="_Mil",IF(SUM($L88)=0,"",ROUND($L88*(1+$T88),0)),IF(SUM($R88)=0,"",IF($S88="","ENTER IN COL S",ROUND($R88*$S88,0))))</f>
        <v>ENTER IN COL S</v>
      </c>
      <c r="Z88" s="39" t="str">
        <f aca="false">IF(SUM($Y88)=0,"",IF(AND(SUM($Y88)&gt;0,$V88=""),"ENTER INDETERMINATE RATE",ROUND($Y88*$V88,0)))</f>
        <v/>
      </c>
      <c r="AA88" s="39" t="str">
        <f aca="false">IF(SUM($Y88)=0,"",IF(AND(($Y88-SUM($Z88))&gt;0,$X88=""),"ENTER YIELD RATE",ROUND(($Y88-SUM($Z88))*SUM($X88),0)))</f>
        <v/>
      </c>
      <c r="AB88" s="39" t="str">
        <f aca="false">IF(SUM($Y88)=0,"",$Y88-SUM($Z88)-SUM($AA88))</f>
        <v/>
      </c>
      <c r="AC88" s="10" t="str">
        <f aca="false">IFERROR(1/(1/INDEX(Cascade!$BH:$BH,MATCH($E88,Cascade!$E:$E,0))),"")</f>
        <v/>
      </c>
      <c r="AD88" s="10" t="str">
        <f aca="false">IF(SUM($AA88)=0,"",$AA88)</f>
        <v/>
      </c>
      <c r="AE88" s="10" t="str">
        <f aca="false">IFERROR(1/(1/INDEX(TB!$P:$P,MATCH($E88,TB!$E:$E,0))),"")</f>
        <v/>
      </c>
      <c r="AF88" s="10" t="str">
        <f aca="false">IFERROR(1/(1/(SUM($AC88)-SUM($AD88:$AE88))),"")</f>
        <v/>
      </c>
    </row>
    <row r="89" customFormat="false" ht="15" hidden="false" customHeight="false" outlineLevel="0" collapsed="false">
      <c r="A89" s="0" t="str">
        <f aca="false">INDEX(Prioritization!$D:$D,MATCH($B89,Prioritization!$A:$A,0))</f>
        <v>1 - Scale-up: Saturation</v>
      </c>
      <c r="B89" s="0" t="s">
        <v>212</v>
      </c>
      <c r="C89" s="0" t="s">
        <v>367</v>
      </c>
      <c r="D89" s="0" t="s">
        <v>48</v>
      </c>
      <c r="E89" s="0" t="str">
        <f aca="false">B89&amp;"|"&amp;C89&amp;"|"&amp;D89</f>
        <v>Chikwawa District [U8c0so51kT6]|35-49|Male</v>
      </c>
      <c r="F89" s="10" t="n">
        <f aca="false">IF(LEFT($B89,4)="_Mil","",INDEX(Cascade!$T:$T,MATCH($E89,Cascade!$E:$E,0)))</f>
        <v>1906</v>
      </c>
      <c r="G89" s="10" t="str">
        <f aca="false">IF(LEFT($B89,4)="_Mil","",INDEX(Cascade!$U:$U,MATCH($E89,Cascade!$E:$E,0)))</f>
        <v/>
      </c>
      <c r="H89" s="86" t="n">
        <f aca="false">IF(LEFT($B89,4)="_Mil","",INDEX(Cascade!$W:$W,MATCH($E89,Cascade!$E:$E,0)))</f>
        <v>1035</v>
      </c>
      <c r="I89" s="10" t="n">
        <f aca="false">IF(LEFT($B89,4)="_Mil","",INDEX(Cascade!$Z:$Z,MATCH($E89,Cascade!$E:$E,0)))</f>
        <v>629</v>
      </c>
      <c r="J89" s="88" t="n">
        <f aca="false">IF(LEFT($B89,4)="_Mil","",INDEX(Cascade!$AA:$AA,MATCH($E89,Cascade!$E:$E,0)))</f>
        <v>506</v>
      </c>
      <c r="K89" s="10"/>
      <c r="L89" s="10"/>
      <c r="M89" s="39" t="str">
        <f aca="false">IF(LEFT($B89,4)="_Mil","",IFERROR(1/(1/ROUND(INDEX(Spectrum!$N:$N,MATCH(RIGHT($B89,13)&amp;"|"&amp;$C89&amp;"|"&amp;$D89&amp;"|"&amp;M$14&amp;"|"&amp;"CY2023Q3",Spectrum!$R:$R,0)),0)),IF(SUM($L89)=0,"",$L89)))</f>
        <v/>
      </c>
      <c r="N89" s="39" t="str">
        <f aca="false">IF(LEFT($B89,4)="_Mil","",IFERROR(1/(1/ROUND(INDEX(Spectrum!$N:$N,MATCH(RIGHT($B89,13)&amp;"|"&amp;$C89&amp;"|"&amp;$D89&amp;"|"&amp;N$14&amp;"|"&amp;"CY2023Q3",Spectrum!$R:$R,0)),0)),IF(SUM($M89)=0,"",$M89)))</f>
        <v/>
      </c>
      <c r="O89" s="88" t="n">
        <f aca="false">IF(OR(LEFT($B89,4)="_Mil",SUM($F89)=0),"",SUM($N89)/$F89)</f>
        <v>0</v>
      </c>
      <c r="P89" s="88" t="n">
        <f aca="false">IF(OR(LEFT($B89,4)="_Mil",SUM($F89)=0),"",MAX(SUM($O89),80%))</f>
        <v>0.8</v>
      </c>
      <c r="Q89" s="39" t="n">
        <f aca="false">IF(OR(LEFT($B89,4)="_Mil",SUM($F89)=0),"",ROUND(SUM($F89)*$P89,0))</f>
        <v>1525</v>
      </c>
      <c r="R89" s="39" t="n">
        <f aca="false">IF(OR(LEFT($B89,4)="_Mil",SUM($Q89)=0),"",ROUND(MAX($Q89-SUM($N89),0),0))</f>
        <v>1525</v>
      </c>
      <c r="S89" s="88" t="str">
        <f aca="false">IF(LEFT($B89,4)="_Mil","",IF(SUM($L89)=0,"",IF(SUM($M89)=0,1,$L89/$M89)))</f>
        <v/>
      </c>
      <c r="T89" s="88" t="str">
        <f aca="false">IF(LEFT($B89,4)="_Mil",0,"")</f>
        <v/>
      </c>
      <c r="U89" s="88"/>
      <c r="V89" s="88" t="str">
        <f aca="false">IF($U89="","",$U89)</f>
        <v/>
      </c>
      <c r="W89" s="88"/>
      <c r="X89" s="88" t="str">
        <f aca="false">IF($W89="","",$W89)</f>
        <v/>
      </c>
      <c r="Y89" s="10" t="str">
        <f aca="false">IF(LEFT($B89,4)="_Mil",IF(SUM($L89)=0,"",ROUND($L89*(1+$T89),0)),IF(SUM($R89)=0,"",IF($S89="","ENTER IN COL S",ROUND($R89*$S89,0))))</f>
        <v>ENTER IN COL S</v>
      </c>
      <c r="Z89" s="39" t="str">
        <f aca="false">IF(SUM($Y89)=0,"",IF(AND(SUM($Y89)&gt;0,$V89=""),"ENTER INDETERMINATE RATE",ROUND($Y89*$V89,0)))</f>
        <v/>
      </c>
      <c r="AA89" s="39" t="str">
        <f aca="false">IF(SUM($Y89)=0,"",IF(AND(($Y89-SUM($Z89))&gt;0,$X89=""),"ENTER YIELD RATE",ROUND(($Y89-SUM($Z89))*SUM($X89),0)))</f>
        <v/>
      </c>
      <c r="AB89" s="39" t="str">
        <f aca="false">IF(SUM($Y89)=0,"",$Y89-SUM($Z89)-SUM($AA89))</f>
        <v/>
      </c>
      <c r="AC89" s="10" t="str">
        <f aca="false">IFERROR(1/(1/INDEX(Cascade!$BH:$BH,MATCH($E89,Cascade!$E:$E,0))),"")</f>
        <v/>
      </c>
      <c r="AD89" s="10" t="str">
        <f aca="false">IF(SUM($AA89)=0,"",$AA89)</f>
        <v/>
      </c>
      <c r="AE89" s="10" t="str">
        <f aca="false">IFERROR(1/(1/INDEX(TB!$P:$P,MATCH($E89,TB!$E:$E,0))),"")</f>
        <v/>
      </c>
      <c r="AF89" s="10" t="str">
        <f aca="false">IFERROR(1/(1/(SUM($AC89)-SUM($AD89:$AE89))),"")</f>
        <v/>
      </c>
    </row>
    <row r="90" customFormat="false" ht="15" hidden="false" customHeight="false" outlineLevel="0" collapsed="false">
      <c r="A90" s="0" t="str">
        <f aca="false">INDEX(Prioritization!$D:$D,MATCH($B90,Prioritization!$A:$A,0))</f>
        <v>1 - Scale-up: Saturation</v>
      </c>
      <c r="B90" s="0" t="s">
        <v>212</v>
      </c>
      <c r="C90" s="0" t="s">
        <v>368</v>
      </c>
      <c r="D90" s="0" t="s">
        <v>48</v>
      </c>
      <c r="E90" s="0" t="str">
        <f aca="false">B90&amp;"|"&amp;C90&amp;"|"&amp;D90</f>
        <v>Chikwawa District [U8c0so51kT6]|50+|Male</v>
      </c>
      <c r="F90" s="10" t="n">
        <f aca="false">IF(LEFT($B90,4)="_Mil","",INDEX(Cascade!$T:$T,MATCH($E90,Cascade!$E:$E,0)))</f>
        <v>1031</v>
      </c>
      <c r="G90" s="10" t="str">
        <f aca="false">IF(LEFT($B90,4)="_Mil","",INDEX(Cascade!$U:$U,MATCH($E90,Cascade!$E:$E,0)))</f>
        <v/>
      </c>
      <c r="H90" s="86" t="n">
        <f aca="false">IF(LEFT($B90,4)="_Mil","",INDEX(Cascade!$W:$W,MATCH($E90,Cascade!$E:$E,0)))</f>
        <v>1776</v>
      </c>
      <c r="I90" s="10" t="n">
        <f aca="false">IF(LEFT($B90,4)="_Mil","",INDEX(Cascade!$Z:$Z,MATCH($E90,Cascade!$E:$E,0)))</f>
        <v>1023</v>
      </c>
      <c r="J90" s="88" t="n">
        <f aca="false">IF(LEFT($B90,4)="_Mil","",INDEX(Cascade!$AA:$AA,MATCH($E90,Cascade!$E:$E,0)))</f>
        <v>1963</v>
      </c>
      <c r="K90" s="10"/>
      <c r="L90" s="10"/>
      <c r="M90" s="39" t="str">
        <f aca="false">IF(LEFT($B90,4)="_Mil","",IFERROR(1/(1/ROUND(INDEX(Spectrum!$N:$N,MATCH(RIGHT($B90,13)&amp;"|"&amp;$C90&amp;"|"&amp;$D90&amp;"|"&amp;M$14&amp;"|"&amp;"CY2023Q3",Spectrum!$R:$R,0)),0)),IF(SUM($L90)=0,"",$L90)))</f>
        <v/>
      </c>
      <c r="N90" s="39" t="str">
        <f aca="false">IF(LEFT($B90,4)="_Mil","",IFERROR(1/(1/ROUND(INDEX(Spectrum!$N:$N,MATCH(RIGHT($B90,13)&amp;"|"&amp;$C90&amp;"|"&amp;$D90&amp;"|"&amp;N$14&amp;"|"&amp;"CY2023Q3",Spectrum!$R:$R,0)),0)),IF(SUM($M90)=0,"",$M90)))</f>
        <v/>
      </c>
      <c r="O90" s="88" t="n">
        <f aca="false">IF(OR(LEFT($B90,4)="_Mil",SUM($F90)=0),"",SUM($N90)/$F90)</f>
        <v>0</v>
      </c>
      <c r="P90" s="88" t="n">
        <f aca="false">IF(OR(LEFT($B90,4)="_Mil",SUM($F90)=0),"",MAX(SUM($O90),80%))</f>
        <v>0.8</v>
      </c>
      <c r="Q90" s="39" t="n">
        <f aca="false">IF(OR(LEFT($B90,4)="_Mil",SUM($F90)=0),"",ROUND(SUM($F90)*$P90,0))</f>
        <v>825</v>
      </c>
      <c r="R90" s="39" t="n">
        <f aca="false">IF(OR(LEFT($B90,4)="_Mil",SUM($Q90)=0),"",ROUND(MAX($Q90-SUM($N90),0),0))</f>
        <v>825</v>
      </c>
      <c r="S90" s="88" t="str">
        <f aca="false">IF(LEFT($B90,4)="_Mil","",IF(SUM($L90)=0,"",IF(SUM($M90)=0,1,$L90/$M90)))</f>
        <v/>
      </c>
      <c r="T90" s="88" t="str">
        <f aca="false">IF(LEFT($B90,4)="_Mil",0,"")</f>
        <v/>
      </c>
      <c r="U90" s="88"/>
      <c r="V90" s="88" t="str">
        <f aca="false">IF($U90="","",$U90)</f>
        <v/>
      </c>
      <c r="W90" s="88"/>
      <c r="X90" s="88" t="str">
        <f aca="false">IF($W90="","",$W90)</f>
        <v/>
      </c>
      <c r="Y90" s="10" t="str">
        <f aca="false">IF(LEFT($B90,4)="_Mil",IF(SUM($L90)=0,"",ROUND($L90*(1+$T90),0)),IF(SUM($R90)=0,"",IF($S90="","ENTER IN COL S",ROUND($R90*$S90,0))))</f>
        <v>ENTER IN COL S</v>
      </c>
      <c r="Z90" s="39" t="str">
        <f aca="false">IF(SUM($Y90)=0,"",IF(AND(SUM($Y90)&gt;0,$V90=""),"ENTER INDETERMINATE RATE",ROUND($Y90*$V90,0)))</f>
        <v/>
      </c>
      <c r="AA90" s="39" t="str">
        <f aca="false">IF(SUM($Y90)=0,"",IF(AND(($Y90-SUM($Z90))&gt;0,$X90=""),"ENTER YIELD RATE",ROUND(($Y90-SUM($Z90))*SUM($X90),0)))</f>
        <v/>
      </c>
      <c r="AB90" s="39" t="str">
        <f aca="false">IF(SUM($Y90)=0,"",$Y90-SUM($Z90)-SUM($AA90))</f>
        <v/>
      </c>
      <c r="AC90" s="10" t="str">
        <f aca="false">IFERROR(1/(1/INDEX(Cascade!$BH:$BH,MATCH($E90,Cascade!$E:$E,0))),"")</f>
        <v/>
      </c>
      <c r="AD90" s="10" t="str">
        <f aca="false">IF(SUM($AA90)=0,"",$AA90)</f>
        <v/>
      </c>
      <c r="AE90" s="10" t="str">
        <f aca="false">IFERROR(1/(1/INDEX(TB!$P:$P,MATCH($E90,TB!$E:$E,0))),"")</f>
        <v/>
      </c>
      <c r="AF90" s="10" t="str">
        <f aca="false">IFERROR(1/(1/(SUM($AC90)-SUM($AD90:$AE90))),"")</f>
        <v/>
      </c>
    </row>
    <row r="91" customFormat="false" ht="15" hidden="false" customHeight="false" outlineLevel="0" collapsed="false">
      <c r="A91" s="0" t="str">
        <f aca="false">INDEX(Prioritization!$D:$D,MATCH($B91,Prioritization!$A:$A,0))</f>
        <v>1 - Scale-up: Saturation</v>
      </c>
      <c r="B91" s="0" t="s">
        <v>213</v>
      </c>
      <c r="C91" s="0" t="s">
        <v>365</v>
      </c>
      <c r="D91" s="0" t="s">
        <v>48</v>
      </c>
      <c r="E91" s="0" t="str">
        <f aca="false">B91&amp;"|"&amp;C91&amp;"|"&amp;D91</f>
        <v>Chiradzulu District [oiPR2CiVJbf]|15-24|Male</v>
      </c>
      <c r="F91" s="10" t="n">
        <f aca="false">IF(LEFT($B91,4)="_Mil","",INDEX(Cascade!$T:$T,MATCH($E91,Cascade!$E:$E,0)))</f>
        <v>691</v>
      </c>
      <c r="G91" s="10" t="str">
        <f aca="false">IF(LEFT($B91,4)="_Mil","",INDEX(Cascade!$U:$U,MATCH($E91,Cascade!$E:$E,0)))</f>
        <v/>
      </c>
      <c r="H91" s="86" t="n">
        <f aca="false">IF(LEFT($B91,4)="_Mil","",INDEX(Cascade!$W:$W,MATCH($E91,Cascade!$E:$E,0)))</f>
        <v>952</v>
      </c>
      <c r="I91" s="10" t="n">
        <f aca="false">IF(LEFT($B91,4)="_Mil","",INDEX(Cascade!$Z:$Z,MATCH($E91,Cascade!$E:$E,0)))</f>
        <v>525</v>
      </c>
      <c r="J91" s="88" t="n">
        <f aca="false">IF(LEFT($B91,4)="_Mil","",INDEX(Cascade!$AA:$AA,MATCH($E91,Cascade!$E:$E,0)))</f>
        <v>1765</v>
      </c>
      <c r="K91" s="10"/>
      <c r="L91" s="10"/>
      <c r="M91" s="39" t="str">
        <f aca="false">IF(LEFT($B91,4)="_Mil","",IFERROR(1/(1/ROUND(INDEX(Spectrum!$N:$N,MATCH(RIGHT($B91,13)&amp;"|"&amp;$C91&amp;"|"&amp;$D91&amp;"|"&amp;M$14&amp;"|"&amp;"CY2023Q3",Spectrum!$R:$R,0)),0)),IF(SUM($L91)=0,"",$L91)))</f>
        <v/>
      </c>
      <c r="N91" s="39" t="str">
        <f aca="false">IF(LEFT($B91,4)="_Mil","",IFERROR(1/(1/ROUND(INDEX(Spectrum!$N:$N,MATCH(RIGHT($B91,13)&amp;"|"&amp;$C91&amp;"|"&amp;$D91&amp;"|"&amp;N$14&amp;"|"&amp;"CY2023Q3",Spectrum!$R:$R,0)),0)),IF(SUM($M91)=0,"",$M91)))</f>
        <v/>
      </c>
      <c r="O91" s="88" t="n">
        <f aca="false">IF(OR(LEFT($B91,4)="_Mil",SUM($F91)=0),"",SUM($N91)/$F91)</f>
        <v>0</v>
      </c>
      <c r="P91" s="88" t="n">
        <f aca="false">IF(OR(LEFT($B91,4)="_Mil",SUM($F91)=0),"",MAX(SUM($O91),80%))</f>
        <v>0.8</v>
      </c>
      <c r="Q91" s="39" t="n">
        <f aca="false">IF(OR(LEFT($B91,4)="_Mil",SUM($F91)=0),"",ROUND(SUM($F91)*$P91,0))</f>
        <v>553</v>
      </c>
      <c r="R91" s="39" t="n">
        <f aca="false">IF(OR(LEFT($B91,4)="_Mil",SUM($Q91)=0),"",ROUND(MAX($Q91-SUM($N91),0),0))</f>
        <v>553</v>
      </c>
      <c r="S91" s="88" t="str">
        <f aca="false">IF(LEFT($B91,4)="_Mil","",IF(SUM($L91)=0,"",IF(SUM($M91)=0,1,$L91/$M91)))</f>
        <v/>
      </c>
      <c r="T91" s="88" t="str">
        <f aca="false">IF(LEFT($B91,4)="_Mil",0,"")</f>
        <v/>
      </c>
      <c r="U91" s="88"/>
      <c r="V91" s="88" t="str">
        <f aca="false">IF($U91="","",$U91)</f>
        <v/>
      </c>
      <c r="W91" s="88"/>
      <c r="X91" s="88" t="str">
        <f aca="false">IF($W91="","",$W91)</f>
        <v/>
      </c>
      <c r="Y91" s="10" t="str">
        <f aca="false">IF(LEFT($B91,4)="_Mil",IF(SUM($L91)=0,"",ROUND($L91*(1+$T91),0)),IF(SUM($R91)=0,"",IF($S91="","ENTER IN COL S",ROUND($R91*$S91,0))))</f>
        <v>ENTER IN COL S</v>
      </c>
      <c r="Z91" s="39" t="str">
        <f aca="false">IF(SUM($Y91)=0,"",IF(AND(SUM($Y91)&gt;0,$V91=""),"ENTER INDETERMINATE RATE",ROUND($Y91*$V91,0)))</f>
        <v/>
      </c>
      <c r="AA91" s="39" t="str">
        <f aca="false">IF(SUM($Y91)=0,"",IF(AND(($Y91-SUM($Z91))&gt;0,$X91=""),"ENTER YIELD RATE",ROUND(($Y91-SUM($Z91))*SUM($X91),0)))</f>
        <v/>
      </c>
      <c r="AB91" s="39" t="str">
        <f aca="false">IF(SUM($Y91)=0,"",$Y91-SUM($Z91)-SUM($AA91))</f>
        <v/>
      </c>
      <c r="AC91" s="10" t="str">
        <f aca="false">IFERROR(1/(1/INDEX(Cascade!$BH:$BH,MATCH($E91,Cascade!$E:$E,0))),"")</f>
        <v/>
      </c>
      <c r="AD91" s="10" t="str">
        <f aca="false">IF(SUM($AA91)=0,"",$AA91)</f>
        <v/>
      </c>
      <c r="AE91" s="10" t="str">
        <f aca="false">IFERROR(1/(1/INDEX(TB!$P:$P,MATCH($E91,TB!$E:$E,0))),"")</f>
        <v/>
      </c>
      <c r="AF91" s="10" t="str">
        <f aca="false">IFERROR(1/(1/(SUM($AC91)-SUM($AD91:$AE91))),"")</f>
        <v/>
      </c>
    </row>
    <row r="92" customFormat="false" ht="15" hidden="false" customHeight="false" outlineLevel="0" collapsed="false">
      <c r="A92" s="0" t="str">
        <f aca="false">INDEX(Prioritization!$D:$D,MATCH($B92,Prioritization!$A:$A,0))</f>
        <v>1 - Scale-up: Saturation</v>
      </c>
      <c r="B92" s="0" t="s">
        <v>213</v>
      </c>
      <c r="C92" s="0" t="s">
        <v>366</v>
      </c>
      <c r="D92" s="0" t="s">
        <v>48</v>
      </c>
      <c r="E92" s="0" t="str">
        <f aca="false">B92&amp;"|"&amp;C92&amp;"|"&amp;D92</f>
        <v>Chiradzulu District [oiPR2CiVJbf]|25-34|Male</v>
      </c>
      <c r="F92" s="10" t="n">
        <f aca="false">IF(LEFT($B92,4)="_Mil","",INDEX(Cascade!$T:$T,MATCH($E92,Cascade!$E:$E,0)))</f>
        <v>788</v>
      </c>
      <c r="G92" s="10" t="str">
        <f aca="false">IF(LEFT($B92,4)="_Mil","",INDEX(Cascade!$U:$U,MATCH($E92,Cascade!$E:$E,0)))</f>
        <v/>
      </c>
      <c r="H92" s="86" t="n">
        <f aca="false">IF(LEFT($B92,4)="_Mil","",INDEX(Cascade!$W:$W,MATCH($E92,Cascade!$E:$E,0)))</f>
        <v>1638</v>
      </c>
      <c r="I92" s="10" t="n">
        <f aca="false">IF(LEFT($B92,4)="_Mil","",INDEX(Cascade!$Z:$Z,MATCH($E92,Cascade!$E:$E,0)))</f>
        <v>1655</v>
      </c>
      <c r="J92" s="88" t="n">
        <f aca="false">IF(LEFT($B92,4)="_Mil","",INDEX(Cascade!$AA:$AA,MATCH($E92,Cascade!$E:$E,0)))</f>
        <v>759</v>
      </c>
      <c r="K92" s="10"/>
      <c r="L92" s="10"/>
      <c r="M92" s="39" t="str">
        <f aca="false">IF(LEFT($B92,4)="_Mil","",IFERROR(1/(1/ROUND(INDEX(Spectrum!$N:$N,MATCH(RIGHT($B92,13)&amp;"|"&amp;$C92&amp;"|"&amp;$D92&amp;"|"&amp;M$14&amp;"|"&amp;"CY2023Q3",Spectrum!$R:$R,0)),0)),IF(SUM($L92)=0,"",$L92)))</f>
        <v/>
      </c>
      <c r="N92" s="39" t="str">
        <f aca="false">IF(LEFT($B92,4)="_Mil","",IFERROR(1/(1/ROUND(INDEX(Spectrum!$N:$N,MATCH(RIGHT($B92,13)&amp;"|"&amp;$C92&amp;"|"&amp;$D92&amp;"|"&amp;N$14&amp;"|"&amp;"CY2023Q3",Spectrum!$R:$R,0)),0)),IF(SUM($M92)=0,"",$M92)))</f>
        <v/>
      </c>
      <c r="O92" s="88" t="n">
        <f aca="false">IF(OR(LEFT($B92,4)="_Mil",SUM($F92)=0),"",SUM($N92)/$F92)</f>
        <v>0</v>
      </c>
      <c r="P92" s="88" t="n">
        <f aca="false">IF(OR(LEFT($B92,4)="_Mil",SUM($F92)=0),"",MAX(SUM($O92),80%))</f>
        <v>0.8</v>
      </c>
      <c r="Q92" s="39" t="n">
        <f aca="false">IF(OR(LEFT($B92,4)="_Mil",SUM($F92)=0),"",ROUND(SUM($F92)*$P92,0))</f>
        <v>630</v>
      </c>
      <c r="R92" s="39" t="n">
        <f aca="false">IF(OR(LEFT($B92,4)="_Mil",SUM($Q92)=0),"",ROUND(MAX($Q92-SUM($N92),0),0))</f>
        <v>630</v>
      </c>
      <c r="S92" s="88" t="str">
        <f aca="false">IF(LEFT($B92,4)="_Mil","",IF(SUM($L92)=0,"",IF(SUM($M92)=0,1,$L92/$M92)))</f>
        <v/>
      </c>
      <c r="T92" s="88" t="str">
        <f aca="false">IF(LEFT($B92,4)="_Mil",0,"")</f>
        <v/>
      </c>
      <c r="U92" s="88"/>
      <c r="V92" s="88" t="str">
        <f aca="false">IF($U92="","",$U92)</f>
        <v/>
      </c>
      <c r="W92" s="88"/>
      <c r="X92" s="88" t="str">
        <f aca="false">IF($W92="","",$W92)</f>
        <v/>
      </c>
      <c r="Y92" s="10" t="str">
        <f aca="false">IF(LEFT($B92,4)="_Mil",IF(SUM($L92)=0,"",ROUND($L92*(1+$T92),0)),IF(SUM($R92)=0,"",IF($S92="","ENTER IN COL S",ROUND($R92*$S92,0))))</f>
        <v>ENTER IN COL S</v>
      </c>
      <c r="Z92" s="39" t="str">
        <f aca="false">IF(SUM($Y92)=0,"",IF(AND(SUM($Y92)&gt;0,$V92=""),"ENTER INDETERMINATE RATE",ROUND($Y92*$V92,0)))</f>
        <v/>
      </c>
      <c r="AA92" s="39" t="str">
        <f aca="false">IF(SUM($Y92)=0,"",IF(AND(($Y92-SUM($Z92))&gt;0,$X92=""),"ENTER YIELD RATE",ROUND(($Y92-SUM($Z92))*SUM($X92),0)))</f>
        <v/>
      </c>
      <c r="AB92" s="39" t="str">
        <f aca="false">IF(SUM($Y92)=0,"",$Y92-SUM($Z92)-SUM($AA92))</f>
        <v/>
      </c>
      <c r="AC92" s="10" t="str">
        <f aca="false">IFERROR(1/(1/INDEX(Cascade!$BH:$BH,MATCH($E92,Cascade!$E:$E,0))),"")</f>
        <v/>
      </c>
      <c r="AD92" s="10" t="str">
        <f aca="false">IF(SUM($AA92)=0,"",$AA92)</f>
        <v/>
      </c>
      <c r="AE92" s="10" t="str">
        <f aca="false">IFERROR(1/(1/INDEX(TB!$P:$P,MATCH($E92,TB!$E:$E,0))),"")</f>
        <v/>
      </c>
      <c r="AF92" s="10" t="str">
        <f aca="false">IFERROR(1/(1/(SUM($AC92)-SUM($AD92:$AE92))),"")</f>
        <v/>
      </c>
    </row>
    <row r="93" customFormat="false" ht="15" hidden="false" customHeight="false" outlineLevel="0" collapsed="false">
      <c r="A93" s="0" t="str">
        <f aca="false">INDEX(Prioritization!$D:$D,MATCH($B93,Prioritization!$A:$A,0))</f>
        <v>1 - Scale-up: Saturation</v>
      </c>
      <c r="B93" s="0" t="s">
        <v>213</v>
      </c>
      <c r="C93" s="0" t="s">
        <v>367</v>
      </c>
      <c r="D93" s="0" t="s">
        <v>48</v>
      </c>
      <c r="E93" s="0" t="str">
        <f aca="false">B93&amp;"|"&amp;C93&amp;"|"&amp;D93</f>
        <v>Chiradzulu District [oiPR2CiVJbf]|35-49|Male</v>
      </c>
      <c r="F93" s="10" t="n">
        <f aca="false">IF(LEFT($B93,4)="_Mil","",INDEX(Cascade!$T:$T,MATCH($E93,Cascade!$E:$E,0)))</f>
        <v>718</v>
      </c>
      <c r="G93" s="10" t="str">
        <f aca="false">IF(LEFT($B93,4)="_Mil","",INDEX(Cascade!$U:$U,MATCH($E93,Cascade!$E:$E,0)))</f>
        <v/>
      </c>
      <c r="H93" s="86" t="n">
        <f aca="false">IF(LEFT($B93,4)="_Mil","",INDEX(Cascade!$W:$W,MATCH($E93,Cascade!$E:$E,0)))</f>
        <v>679</v>
      </c>
      <c r="I93" s="10" t="n">
        <f aca="false">IF(LEFT($B93,4)="_Mil","",INDEX(Cascade!$Z:$Z,MATCH($E93,Cascade!$E:$E,0)))</f>
        <v>1602</v>
      </c>
      <c r="J93" s="88" t="n">
        <f aca="false">IF(LEFT($B93,4)="_Mil","",INDEX(Cascade!$AA:$AA,MATCH($E93,Cascade!$E:$E,0)))</f>
        <v>1258</v>
      </c>
      <c r="K93" s="10"/>
      <c r="L93" s="10"/>
      <c r="M93" s="39" t="str">
        <f aca="false">IF(LEFT($B93,4)="_Mil","",IFERROR(1/(1/ROUND(INDEX(Spectrum!$N:$N,MATCH(RIGHT($B93,13)&amp;"|"&amp;$C93&amp;"|"&amp;$D93&amp;"|"&amp;M$14&amp;"|"&amp;"CY2023Q3",Spectrum!$R:$R,0)),0)),IF(SUM($L93)=0,"",$L93)))</f>
        <v/>
      </c>
      <c r="N93" s="39" t="str">
        <f aca="false">IF(LEFT($B93,4)="_Mil","",IFERROR(1/(1/ROUND(INDEX(Spectrum!$N:$N,MATCH(RIGHT($B93,13)&amp;"|"&amp;$C93&amp;"|"&amp;$D93&amp;"|"&amp;N$14&amp;"|"&amp;"CY2023Q3",Spectrum!$R:$R,0)),0)),IF(SUM($M93)=0,"",$M93)))</f>
        <v/>
      </c>
      <c r="O93" s="88" t="n">
        <f aca="false">IF(OR(LEFT($B93,4)="_Mil",SUM($F93)=0),"",SUM($N93)/$F93)</f>
        <v>0</v>
      </c>
      <c r="P93" s="88" t="n">
        <f aca="false">IF(OR(LEFT($B93,4)="_Mil",SUM($F93)=0),"",MAX(SUM($O93),80%))</f>
        <v>0.8</v>
      </c>
      <c r="Q93" s="39" t="n">
        <f aca="false">IF(OR(LEFT($B93,4)="_Mil",SUM($F93)=0),"",ROUND(SUM($F93)*$P93,0))</f>
        <v>574</v>
      </c>
      <c r="R93" s="39" t="n">
        <f aca="false">IF(OR(LEFT($B93,4)="_Mil",SUM($Q93)=0),"",ROUND(MAX($Q93-SUM($N93),0),0))</f>
        <v>574</v>
      </c>
      <c r="S93" s="88" t="str">
        <f aca="false">IF(LEFT($B93,4)="_Mil","",IF(SUM($L93)=0,"",IF(SUM($M93)=0,1,$L93/$M93)))</f>
        <v/>
      </c>
      <c r="T93" s="88" t="str">
        <f aca="false">IF(LEFT($B93,4)="_Mil",0,"")</f>
        <v/>
      </c>
      <c r="U93" s="88"/>
      <c r="V93" s="88" t="str">
        <f aca="false">IF($U93="","",$U93)</f>
        <v/>
      </c>
      <c r="W93" s="88"/>
      <c r="X93" s="88" t="str">
        <f aca="false">IF($W93="","",$W93)</f>
        <v/>
      </c>
      <c r="Y93" s="10" t="str">
        <f aca="false">IF(LEFT($B93,4)="_Mil",IF(SUM($L93)=0,"",ROUND($L93*(1+$T93),0)),IF(SUM($R93)=0,"",IF($S93="","ENTER IN COL S",ROUND($R93*$S93,0))))</f>
        <v>ENTER IN COL S</v>
      </c>
      <c r="Z93" s="39" t="str">
        <f aca="false">IF(SUM($Y93)=0,"",IF(AND(SUM($Y93)&gt;0,$V93=""),"ENTER INDETERMINATE RATE",ROUND($Y93*$V93,0)))</f>
        <v/>
      </c>
      <c r="AA93" s="39" t="str">
        <f aca="false">IF(SUM($Y93)=0,"",IF(AND(($Y93-SUM($Z93))&gt;0,$X93=""),"ENTER YIELD RATE",ROUND(($Y93-SUM($Z93))*SUM($X93),0)))</f>
        <v/>
      </c>
      <c r="AB93" s="39" t="str">
        <f aca="false">IF(SUM($Y93)=0,"",$Y93-SUM($Z93)-SUM($AA93))</f>
        <v/>
      </c>
      <c r="AC93" s="10" t="str">
        <f aca="false">IFERROR(1/(1/INDEX(Cascade!$BH:$BH,MATCH($E93,Cascade!$E:$E,0))),"")</f>
        <v/>
      </c>
      <c r="AD93" s="10" t="str">
        <f aca="false">IF(SUM($AA93)=0,"",$AA93)</f>
        <v/>
      </c>
      <c r="AE93" s="10" t="str">
        <f aca="false">IFERROR(1/(1/INDEX(TB!$P:$P,MATCH($E93,TB!$E:$E,0))),"")</f>
        <v/>
      </c>
      <c r="AF93" s="10" t="str">
        <f aca="false">IFERROR(1/(1/(SUM($AC93)-SUM($AD93:$AE93))),"")</f>
        <v/>
      </c>
    </row>
    <row r="94" customFormat="false" ht="15" hidden="false" customHeight="false" outlineLevel="0" collapsed="false">
      <c r="A94" s="0" t="str">
        <f aca="false">INDEX(Prioritization!$D:$D,MATCH($B94,Prioritization!$A:$A,0))</f>
        <v>1 - Scale-up: Saturation</v>
      </c>
      <c r="B94" s="0" t="s">
        <v>213</v>
      </c>
      <c r="C94" s="0" t="s">
        <v>368</v>
      </c>
      <c r="D94" s="0" t="s">
        <v>48</v>
      </c>
      <c r="E94" s="0" t="str">
        <f aca="false">B94&amp;"|"&amp;C94&amp;"|"&amp;D94</f>
        <v>Chiradzulu District [oiPR2CiVJbf]|50+|Male</v>
      </c>
      <c r="F94" s="10" t="n">
        <f aca="false">IF(LEFT($B94,4)="_Mil","",INDEX(Cascade!$T:$T,MATCH($E94,Cascade!$E:$E,0)))</f>
        <v>1506</v>
      </c>
      <c r="G94" s="10" t="str">
        <f aca="false">IF(LEFT($B94,4)="_Mil","",INDEX(Cascade!$U:$U,MATCH($E94,Cascade!$E:$E,0)))</f>
        <v/>
      </c>
      <c r="H94" s="86" t="n">
        <f aca="false">IF(LEFT($B94,4)="_Mil","",INDEX(Cascade!$W:$W,MATCH($E94,Cascade!$E:$E,0)))</f>
        <v>873</v>
      </c>
      <c r="I94" s="10" t="n">
        <f aca="false">IF(LEFT($B94,4)="_Mil","",INDEX(Cascade!$Z:$Z,MATCH($E94,Cascade!$E:$E,0)))</f>
        <v>1566</v>
      </c>
      <c r="J94" s="88" t="n">
        <f aca="false">IF(LEFT($B94,4)="_Mil","",INDEX(Cascade!$AA:$AA,MATCH($E94,Cascade!$E:$E,0)))</f>
        <v>1792</v>
      </c>
      <c r="K94" s="10"/>
      <c r="L94" s="10"/>
      <c r="M94" s="39" t="str">
        <f aca="false">IF(LEFT($B94,4)="_Mil","",IFERROR(1/(1/ROUND(INDEX(Spectrum!$N:$N,MATCH(RIGHT($B94,13)&amp;"|"&amp;$C94&amp;"|"&amp;$D94&amp;"|"&amp;M$14&amp;"|"&amp;"CY2023Q3",Spectrum!$R:$R,0)),0)),IF(SUM($L94)=0,"",$L94)))</f>
        <v/>
      </c>
      <c r="N94" s="39" t="str">
        <f aca="false">IF(LEFT($B94,4)="_Mil","",IFERROR(1/(1/ROUND(INDEX(Spectrum!$N:$N,MATCH(RIGHT($B94,13)&amp;"|"&amp;$C94&amp;"|"&amp;$D94&amp;"|"&amp;N$14&amp;"|"&amp;"CY2023Q3",Spectrum!$R:$R,0)),0)),IF(SUM($M94)=0,"",$M94)))</f>
        <v/>
      </c>
      <c r="O94" s="88" t="n">
        <f aca="false">IF(OR(LEFT($B94,4)="_Mil",SUM($F94)=0),"",SUM($N94)/$F94)</f>
        <v>0</v>
      </c>
      <c r="P94" s="88" t="n">
        <f aca="false">IF(OR(LEFT($B94,4)="_Mil",SUM($F94)=0),"",MAX(SUM($O94),80%))</f>
        <v>0.8</v>
      </c>
      <c r="Q94" s="39" t="n">
        <f aca="false">IF(OR(LEFT($B94,4)="_Mil",SUM($F94)=0),"",ROUND(SUM($F94)*$P94,0))</f>
        <v>1205</v>
      </c>
      <c r="R94" s="39" t="n">
        <f aca="false">IF(OR(LEFT($B94,4)="_Mil",SUM($Q94)=0),"",ROUND(MAX($Q94-SUM($N94),0),0))</f>
        <v>1205</v>
      </c>
      <c r="S94" s="88" t="str">
        <f aca="false">IF(LEFT($B94,4)="_Mil","",IF(SUM($L94)=0,"",IF(SUM($M94)=0,1,$L94/$M94)))</f>
        <v/>
      </c>
      <c r="T94" s="88" t="str">
        <f aca="false">IF(LEFT($B94,4)="_Mil",0,"")</f>
        <v/>
      </c>
      <c r="U94" s="88"/>
      <c r="V94" s="88" t="str">
        <f aca="false">IF($U94="","",$U94)</f>
        <v/>
      </c>
      <c r="W94" s="88"/>
      <c r="X94" s="88" t="str">
        <f aca="false">IF($W94="","",$W94)</f>
        <v/>
      </c>
      <c r="Y94" s="10" t="str">
        <f aca="false">IF(LEFT($B94,4)="_Mil",IF(SUM($L94)=0,"",ROUND($L94*(1+$T94),0)),IF(SUM($R94)=0,"",IF($S94="","ENTER IN COL S",ROUND($R94*$S94,0))))</f>
        <v>ENTER IN COL S</v>
      </c>
      <c r="Z94" s="39" t="str">
        <f aca="false">IF(SUM($Y94)=0,"",IF(AND(SUM($Y94)&gt;0,$V94=""),"ENTER INDETERMINATE RATE",ROUND($Y94*$V94,0)))</f>
        <v/>
      </c>
      <c r="AA94" s="39" t="str">
        <f aca="false">IF(SUM($Y94)=0,"",IF(AND(($Y94-SUM($Z94))&gt;0,$X94=""),"ENTER YIELD RATE",ROUND(($Y94-SUM($Z94))*SUM($X94),0)))</f>
        <v/>
      </c>
      <c r="AB94" s="39" t="str">
        <f aca="false">IF(SUM($Y94)=0,"",$Y94-SUM($Z94)-SUM($AA94))</f>
        <v/>
      </c>
      <c r="AC94" s="10" t="str">
        <f aca="false">IFERROR(1/(1/INDEX(Cascade!$BH:$BH,MATCH($E94,Cascade!$E:$E,0))),"")</f>
        <v/>
      </c>
      <c r="AD94" s="10" t="str">
        <f aca="false">IF(SUM($AA94)=0,"",$AA94)</f>
        <v/>
      </c>
      <c r="AE94" s="10" t="str">
        <f aca="false">IFERROR(1/(1/INDEX(TB!$P:$P,MATCH($E94,TB!$E:$E,0))),"")</f>
        <v/>
      </c>
      <c r="AF94" s="10" t="str">
        <f aca="false">IFERROR(1/(1/(SUM($AC94)-SUM($AD94:$AE94))),"")</f>
        <v/>
      </c>
    </row>
    <row r="95" customFormat="false" ht="15" hidden="false" customHeight="false" outlineLevel="0" collapsed="false">
      <c r="A95" s="0" t="str">
        <f aca="false">INDEX(Prioritization!$D:$D,MATCH($B95,Prioritization!$A:$A,0))</f>
        <v>1 - Scale-up: Saturation</v>
      </c>
      <c r="B95" s="0" t="s">
        <v>214</v>
      </c>
      <c r="C95" s="0" t="s">
        <v>365</v>
      </c>
      <c r="D95" s="0" t="s">
        <v>48</v>
      </c>
      <c r="E95" s="0" t="str">
        <f aca="false">B95&amp;"|"&amp;C95&amp;"|"&amp;D95</f>
        <v>Machinga District [TYnMSwzko3z]|15-24|Male</v>
      </c>
      <c r="F95" s="10" t="n">
        <f aca="false">IF(LEFT($B95,4)="_Mil","",INDEX(Cascade!$T:$T,MATCH($E95,Cascade!$E:$E,0)))</f>
        <v>1199</v>
      </c>
      <c r="G95" s="10" t="str">
        <f aca="false">IF(LEFT($B95,4)="_Mil","",INDEX(Cascade!$U:$U,MATCH($E95,Cascade!$E:$E,0)))</f>
        <v/>
      </c>
      <c r="H95" s="86" t="n">
        <f aca="false">IF(LEFT($B95,4)="_Mil","",INDEX(Cascade!$W:$W,MATCH($E95,Cascade!$E:$E,0)))</f>
        <v>1194</v>
      </c>
      <c r="I95" s="10" t="n">
        <f aca="false">IF(LEFT($B95,4)="_Mil","",INDEX(Cascade!$Z:$Z,MATCH($E95,Cascade!$E:$E,0)))</f>
        <v>856</v>
      </c>
      <c r="J95" s="88" t="n">
        <f aca="false">IF(LEFT($B95,4)="_Mil","",INDEX(Cascade!$AA:$AA,MATCH($E95,Cascade!$E:$E,0)))</f>
        <v>1565</v>
      </c>
      <c r="K95" s="10"/>
      <c r="L95" s="10"/>
      <c r="M95" s="39" t="str">
        <f aca="false">IF(LEFT($B95,4)="_Mil","",IFERROR(1/(1/ROUND(INDEX(Spectrum!$N:$N,MATCH(RIGHT($B95,13)&amp;"|"&amp;$C95&amp;"|"&amp;$D95&amp;"|"&amp;M$14&amp;"|"&amp;"CY2023Q3",Spectrum!$R:$R,0)),0)),IF(SUM($L95)=0,"",$L95)))</f>
        <v/>
      </c>
      <c r="N95" s="39" t="str">
        <f aca="false">IF(LEFT($B95,4)="_Mil","",IFERROR(1/(1/ROUND(INDEX(Spectrum!$N:$N,MATCH(RIGHT($B95,13)&amp;"|"&amp;$C95&amp;"|"&amp;$D95&amp;"|"&amp;N$14&amp;"|"&amp;"CY2023Q3",Spectrum!$R:$R,0)),0)),IF(SUM($M95)=0,"",$M95)))</f>
        <v/>
      </c>
      <c r="O95" s="88" t="n">
        <f aca="false">IF(OR(LEFT($B95,4)="_Mil",SUM($F95)=0),"",SUM($N95)/$F95)</f>
        <v>0</v>
      </c>
      <c r="P95" s="88" t="n">
        <f aca="false">IF(OR(LEFT($B95,4)="_Mil",SUM($F95)=0),"",MAX(SUM($O95),80%))</f>
        <v>0.8</v>
      </c>
      <c r="Q95" s="39" t="n">
        <f aca="false">IF(OR(LEFT($B95,4)="_Mil",SUM($F95)=0),"",ROUND(SUM($F95)*$P95,0))</f>
        <v>959</v>
      </c>
      <c r="R95" s="39" t="n">
        <f aca="false">IF(OR(LEFT($B95,4)="_Mil",SUM($Q95)=0),"",ROUND(MAX($Q95-SUM($N95),0),0))</f>
        <v>959</v>
      </c>
      <c r="S95" s="88" t="str">
        <f aca="false">IF(LEFT($B95,4)="_Mil","",IF(SUM($L95)=0,"",IF(SUM($M95)=0,1,$L95/$M95)))</f>
        <v/>
      </c>
      <c r="T95" s="88" t="str">
        <f aca="false">IF(LEFT($B95,4)="_Mil",0,"")</f>
        <v/>
      </c>
      <c r="U95" s="88"/>
      <c r="V95" s="88" t="str">
        <f aca="false">IF($U95="","",$U95)</f>
        <v/>
      </c>
      <c r="W95" s="88"/>
      <c r="X95" s="88" t="str">
        <f aca="false">IF($W95="","",$W95)</f>
        <v/>
      </c>
      <c r="Y95" s="10" t="str">
        <f aca="false">IF(LEFT($B95,4)="_Mil",IF(SUM($L95)=0,"",ROUND($L95*(1+$T95),0)),IF(SUM($R95)=0,"",IF($S95="","ENTER IN COL S",ROUND($R95*$S95,0))))</f>
        <v>ENTER IN COL S</v>
      </c>
      <c r="Z95" s="39" t="str">
        <f aca="false">IF(SUM($Y95)=0,"",IF(AND(SUM($Y95)&gt;0,$V95=""),"ENTER INDETERMINATE RATE",ROUND($Y95*$V95,0)))</f>
        <v/>
      </c>
      <c r="AA95" s="39" t="str">
        <f aca="false">IF(SUM($Y95)=0,"",IF(AND(($Y95-SUM($Z95))&gt;0,$X95=""),"ENTER YIELD RATE",ROUND(($Y95-SUM($Z95))*SUM($X95),0)))</f>
        <v/>
      </c>
      <c r="AB95" s="39" t="str">
        <f aca="false">IF(SUM($Y95)=0,"",$Y95-SUM($Z95)-SUM($AA95))</f>
        <v/>
      </c>
      <c r="AC95" s="10" t="str">
        <f aca="false">IFERROR(1/(1/INDEX(Cascade!$BH:$BH,MATCH($E95,Cascade!$E:$E,0))),"")</f>
        <v/>
      </c>
      <c r="AD95" s="10" t="str">
        <f aca="false">IF(SUM($AA95)=0,"",$AA95)</f>
        <v/>
      </c>
      <c r="AE95" s="10" t="str">
        <f aca="false">IFERROR(1/(1/INDEX(TB!$P:$P,MATCH($E95,TB!$E:$E,0))),"")</f>
        <v/>
      </c>
      <c r="AF95" s="10" t="str">
        <f aca="false">IFERROR(1/(1/(SUM($AC95)-SUM($AD95:$AE95))),"")</f>
        <v/>
      </c>
    </row>
    <row r="96" customFormat="false" ht="15" hidden="false" customHeight="false" outlineLevel="0" collapsed="false">
      <c r="A96" s="0" t="str">
        <f aca="false">INDEX(Prioritization!$D:$D,MATCH($B96,Prioritization!$A:$A,0))</f>
        <v>1 - Scale-up: Saturation</v>
      </c>
      <c r="B96" s="0" t="s">
        <v>214</v>
      </c>
      <c r="C96" s="0" t="s">
        <v>366</v>
      </c>
      <c r="D96" s="0" t="s">
        <v>48</v>
      </c>
      <c r="E96" s="0" t="str">
        <f aca="false">B96&amp;"|"&amp;C96&amp;"|"&amp;D96</f>
        <v>Machinga District [TYnMSwzko3z]|25-34|Male</v>
      </c>
      <c r="F96" s="10" t="n">
        <f aca="false">IF(LEFT($B96,4)="_Mil","",INDEX(Cascade!$T:$T,MATCH($E96,Cascade!$E:$E,0)))</f>
        <v>1565</v>
      </c>
      <c r="G96" s="10" t="str">
        <f aca="false">IF(LEFT($B96,4)="_Mil","",INDEX(Cascade!$U:$U,MATCH($E96,Cascade!$E:$E,0)))</f>
        <v/>
      </c>
      <c r="H96" s="86" t="n">
        <f aca="false">IF(LEFT($B96,4)="_Mil","",INDEX(Cascade!$W:$W,MATCH($E96,Cascade!$E:$E,0)))</f>
        <v>1382</v>
      </c>
      <c r="I96" s="10" t="n">
        <f aca="false">IF(LEFT($B96,4)="_Mil","",INDEX(Cascade!$Z:$Z,MATCH($E96,Cascade!$E:$E,0)))</f>
        <v>575</v>
      </c>
      <c r="J96" s="88" t="n">
        <f aca="false">IF(LEFT($B96,4)="_Mil","",INDEX(Cascade!$AA:$AA,MATCH($E96,Cascade!$E:$E,0)))</f>
        <v>1897</v>
      </c>
      <c r="K96" s="10"/>
      <c r="L96" s="10"/>
      <c r="M96" s="39" t="str">
        <f aca="false">IF(LEFT($B96,4)="_Mil","",IFERROR(1/(1/ROUND(INDEX(Spectrum!$N:$N,MATCH(RIGHT($B96,13)&amp;"|"&amp;$C96&amp;"|"&amp;$D96&amp;"|"&amp;M$14&amp;"|"&amp;"CY2023Q3",Spectrum!$R:$R,0)),0)),IF(SUM($L96)=0,"",$L96)))</f>
        <v/>
      </c>
      <c r="N96" s="39" t="str">
        <f aca="false">IF(LEFT($B96,4)="_Mil","",IFERROR(1/(1/ROUND(INDEX(Spectrum!$N:$N,MATCH(RIGHT($B96,13)&amp;"|"&amp;$C96&amp;"|"&amp;$D96&amp;"|"&amp;N$14&amp;"|"&amp;"CY2023Q3",Spectrum!$R:$R,0)),0)),IF(SUM($M96)=0,"",$M96)))</f>
        <v/>
      </c>
      <c r="O96" s="88" t="n">
        <f aca="false">IF(OR(LEFT($B96,4)="_Mil",SUM($F96)=0),"",SUM($N96)/$F96)</f>
        <v>0</v>
      </c>
      <c r="P96" s="88" t="n">
        <f aca="false">IF(OR(LEFT($B96,4)="_Mil",SUM($F96)=0),"",MAX(SUM($O96),80%))</f>
        <v>0.8</v>
      </c>
      <c r="Q96" s="39" t="n">
        <f aca="false">IF(OR(LEFT($B96,4)="_Mil",SUM($F96)=0),"",ROUND(SUM($F96)*$P96,0))</f>
        <v>1252</v>
      </c>
      <c r="R96" s="39" t="n">
        <f aca="false">IF(OR(LEFT($B96,4)="_Mil",SUM($Q96)=0),"",ROUND(MAX($Q96-SUM($N96),0),0))</f>
        <v>1252</v>
      </c>
      <c r="S96" s="88" t="str">
        <f aca="false">IF(LEFT($B96,4)="_Mil","",IF(SUM($L96)=0,"",IF(SUM($M96)=0,1,$L96/$M96)))</f>
        <v/>
      </c>
      <c r="T96" s="88" t="str">
        <f aca="false">IF(LEFT($B96,4)="_Mil",0,"")</f>
        <v/>
      </c>
      <c r="U96" s="88"/>
      <c r="V96" s="88" t="str">
        <f aca="false">IF($U96="","",$U96)</f>
        <v/>
      </c>
      <c r="W96" s="88"/>
      <c r="X96" s="88" t="str">
        <f aca="false">IF($W96="","",$W96)</f>
        <v/>
      </c>
      <c r="Y96" s="10" t="str">
        <f aca="false">IF(LEFT($B96,4)="_Mil",IF(SUM($L96)=0,"",ROUND($L96*(1+$T96),0)),IF(SUM($R96)=0,"",IF($S96="","ENTER IN COL S",ROUND($R96*$S96,0))))</f>
        <v>ENTER IN COL S</v>
      </c>
      <c r="Z96" s="39" t="str">
        <f aca="false">IF(SUM($Y96)=0,"",IF(AND(SUM($Y96)&gt;0,$V96=""),"ENTER INDETERMINATE RATE",ROUND($Y96*$V96,0)))</f>
        <v/>
      </c>
      <c r="AA96" s="39" t="str">
        <f aca="false">IF(SUM($Y96)=0,"",IF(AND(($Y96-SUM($Z96))&gt;0,$X96=""),"ENTER YIELD RATE",ROUND(($Y96-SUM($Z96))*SUM($X96),0)))</f>
        <v/>
      </c>
      <c r="AB96" s="39" t="str">
        <f aca="false">IF(SUM($Y96)=0,"",$Y96-SUM($Z96)-SUM($AA96))</f>
        <v/>
      </c>
      <c r="AC96" s="10" t="str">
        <f aca="false">IFERROR(1/(1/INDEX(Cascade!$BH:$BH,MATCH($E96,Cascade!$E:$E,0))),"")</f>
        <v/>
      </c>
      <c r="AD96" s="10" t="str">
        <f aca="false">IF(SUM($AA96)=0,"",$AA96)</f>
        <v/>
      </c>
      <c r="AE96" s="10" t="str">
        <f aca="false">IFERROR(1/(1/INDEX(TB!$P:$P,MATCH($E96,TB!$E:$E,0))),"")</f>
        <v/>
      </c>
      <c r="AF96" s="10" t="str">
        <f aca="false">IFERROR(1/(1/(SUM($AC96)-SUM($AD96:$AE96))),"")</f>
        <v/>
      </c>
    </row>
    <row r="97" customFormat="false" ht="15" hidden="false" customHeight="false" outlineLevel="0" collapsed="false">
      <c r="A97" s="0" t="str">
        <f aca="false">INDEX(Prioritization!$D:$D,MATCH($B97,Prioritization!$A:$A,0))</f>
        <v>1 - Scale-up: Saturation</v>
      </c>
      <c r="B97" s="0" t="s">
        <v>214</v>
      </c>
      <c r="C97" s="0" t="s">
        <v>367</v>
      </c>
      <c r="D97" s="0" t="s">
        <v>48</v>
      </c>
      <c r="E97" s="0" t="str">
        <f aca="false">B97&amp;"|"&amp;C97&amp;"|"&amp;D97</f>
        <v>Machinga District [TYnMSwzko3z]|35-49|Male</v>
      </c>
      <c r="F97" s="10" t="n">
        <f aca="false">IF(LEFT($B97,4)="_Mil","",INDEX(Cascade!$T:$T,MATCH($E97,Cascade!$E:$E,0)))</f>
        <v>958</v>
      </c>
      <c r="G97" s="10" t="str">
        <f aca="false">IF(LEFT($B97,4)="_Mil","",INDEX(Cascade!$U:$U,MATCH($E97,Cascade!$E:$E,0)))</f>
        <v/>
      </c>
      <c r="H97" s="86" t="n">
        <f aca="false">IF(LEFT($B97,4)="_Mil","",INDEX(Cascade!$W:$W,MATCH($E97,Cascade!$E:$E,0)))</f>
        <v>1547</v>
      </c>
      <c r="I97" s="10" t="n">
        <f aca="false">IF(LEFT($B97,4)="_Mil","",INDEX(Cascade!$Z:$Z,MATCH($E97,Cascade!$E:$E,0)))</f>
        <v>1762</v>
      </c>
      <c r="J97" s="88" t="n">
        <f aca="false">IF(LEFT($B97,4)="_Mil","",INDEX(Cascade!$AA:$AA,MATCH($E97,Cascade!$E:$E,0)))</f>
        <v>1776</v>
      </c>
      <c r="K97" s="10"/>
      <c r="L97" s="10"/>
      <c r="M97" s="39" t="str">
        <f aca="false">IF(LEFT($B97,4)="_Mil","",IFERROR(1/(1/ROUND(INDEX(Spectrum!$N:$N,MATCH(RIGHT($B97,13)&amp;"|"&amp;$C97&amp;"|"&amp;$D97&amp;"|"&amp;M$14&amp;"|"&amp;"CY2023Q3",Spectrum!$R:$R,0)),0)),IF(SUM($L97)=0,"",$L97)))</f>
        <v/>
      </c>
      <c r="N97" s="39" t="str">
        <f aca="false">IF(LEFT($B97,4)="_Mil","",IFERROR(1/(1/ROUND(INDEX(Spectrum!$N:$N,MATCH(RIGHT($B97,13)&amp;"|"&amp;$C97&amp;"|"&amp;$D97&amp;"|"&amp;N$14&amp;"|"&amp;"CY2023Q3",Spectrum!$R:$R,0)),0)),IF(SUM($M97)=0,"",$M97)))</f>
        <v/>
      </c>
      <c r="O97" s="88" t="n">
        <f aca="false">IF(OR(LEFT($B97,4)="_Mil",SUM($F97)=0),"",SUM($N97)/$F97)</f>
        <v>0</v>
      </c>
      <c r="P97" s="88" t="n">
        <f aca="false">IF(OR(LEFT($B97,4)="_Mil",SUM($F97)=0),"",MAX(SUM($O97),80%))</f>
        <v>0.8</v>
      </c>
      <c r="Q97" s="39" t="n">
        <f aca="false">IF(OR(LEFT($B97,4)="_Mil",SUM($F97)=0),"",ROUND(SUM($F97)*$P97,0))</f>
        <v>766</v>
      </c>
      <c r="R97" s="39" t="n">
        <f aca="false">IF(OR(LEFT($B97,4)="_Mil",SUM($Q97)=0),"",ROUND(MAX($Q97-SUM($N97),0),0))</f>
        <v>766</v>
      </c>
      <c r="S97" s="88" t="str">
        <f aca="false">IF(LEFT($B97,4)="_Mil","",IF(SUM($L97)=0,"",IF(SUM($M97)=0,1,$L97/$M97)))</f>
        <v/>
      </c>
      <c r="T97" s="88" t="str">
        <f aca="false">IF(LEFT($B97,4)="_Mil",0,"")</f>
        <v/>
      </c>
      <c r="U97" s="88"/>
      <c r="V97" s="88" t="str">
        <f aca="false">IF($U97="","",$U97)</f>
        <v/>
      </c>
      <c r="W97" s="88"/>
      <c r="X97" s="88" t="str">
        <f aca="false">IF($W97="","",$W97)</f>
        <v/>
      </c>
      <c r="Y97" s="10" t="str">
        <f aca="false">IF(LEFT($B97,4)="_Mil",IF(SUM($L97)=0,"",ROUND($L97*(1+$T97),0)),IF(SUM($R97)=0,"",IF($S97="","ENTER IN COL S",ROUND($R97*$S97,0))))</f>
        <v>ENTER IN COL S</v>
      </c>
      <c r="Z97" s="39" t="str">
        <f aca="false">IF(SUM($Y97)=0,"",IF(AND(SUM($Y97)&gt;0,$V97=""),"ENTER INDETERMINATE RATE",ROUND($Y97*$V97,0)))</f>
        <v/>
      </c>
      <c r="AA97" s="39" t="str">
        <f aca="false">IF(SUM($Y97)=0,"",IF(AND(($Y97-SUM($Z97))&gt;0,$X97=""),"ENTER YIELD RATE",ROUND(($Y97-SUM($Z97))*SUM($X97),0)))</f>
        <v/>
      </c>
      <c r="AB97" s="39" t="str">
        <f aca="false">IF(SUM($Y97)=0,"",$Y97-SUM($Z97)-SUM($AA97))</f>
        <v/>
      </c>
      <c r="AC97" s="10" t="str">
        <f aca="false">IFERROR(1/(1/INDEX(Cascade!$BH:$BH,MATCH($E97,Cascade!$E:$E,0))),"")</f>
        <v/>
      </c>
      <c r="AD97" s="10" t="str">
        <f aca="false">IF(SUM($AA97)=0,"",$AA97)</f>
        <v/>
      </c>
      <c r="AE97" s="10" t="str">
        <f aca="false">IFERROR(1/(1/INDEX(TB!$P:$P,MATCH($E97,TB!$E:$E,0))),"")</f>
        <v/>
      </c>
      <c r="AF97" s="10" t="str">
        <f aca="false">IFERROR(1/(1/(SUM($AC97)-SUM($AD97:$AE97))),"")</f>
        <v/>
      </c>
    </row>
    <row r="98" customFormat="false" ht="15" hidden="false" customHeight="false" outlineLevel="0" collapsed="false">
      <c r="A98" s="0" t="str">
        <f aca="false">INDEX(Prioritization!$D:$D,MATCH($B98,Prioritization!$A:$A,0))</f>
        <v>1 - Scale-up: Saturation</v>
      </c>
      <c r="B98" s="0" t="s">
        <v>214</v>
      </c>
      <c r="C98" s="0" t="s">
        <v>368</v>
      </c>
      <c r="D98" s="0" t="s">
        <v>48</v>
      </c>
      <c r="E98" s="0" t="str">
        <f aca="false">B98&amp;"|"&amp;C98&amp;"|"&amp;D98</f>
        <v>Machinga District [TYnMSwzko3z]|50+|Male</v>
      </c>
      <c r="F98" s="10" t="n">
        <f aca="false">IF(LEFT($B98,4)="_Mil","",INDEX(Cascade!$T:$T,MATCH($E98,Cascade!$E:$E,0)))</f>
        <v>1921</v>
      </c>
      <c r="G98" s="10" t="str">
        <f aca="false">IF(LEFT($B98,4)="_Mil","",INDEX(Cascade!$U:$U,MATCH($E98,Cascade!$E:$E,0)))</f>
        <v/>
      </c>
      <c r="H98" s="86" t="n">
        <f aca="false">IF(LEFT($B98,4)="_Mil","",INDEX(Cascade!$W:$W,MATCH($E98,Cascade!$E:$E,0)))</f>
        <v>769</v>
      </c>
      <c r="I98" s="10" t="n">
        <f aca="false">IF(LEFT($B98,4)="_Mil","",INDEX(Cascade!$Z:$Z,MATCH($E98,Cascade!$E:$E,0)))</f>
        <v>971</v>
      </c>
      <c r="J98" s="88" t="n">
        <f aca="false">IF(LEFT($B98,4)="_Mil","",INDEX(Cascade!$AA:$AA,MATCH($E98,Cascade!$E:$E,0)))</f>
        <v>1772</v>
      </c>
      <c r="K98" s="10"/>
      <c r="L98" s="10"/>
      <c r="M98" s="39" t="str">
        <f aca="false">IF(LEFT($B98,4)="_Mil","",IFERROR(1/(1/ROUND(INDEX(Spectrum!$N:$N,MATCH(RIGHT($B98,13)&amp;"|"&amp;$C98&amp;"|"&amp;$D98&amp;"|"&amp;M$14&amp;"|"&amp;"CY2023Q3",Spectrum!$R:$R,0)),0)),IF(SUM($L98)=0,"",$L98)))</f>
        <v/>
      </c>
      <c r="N98" s="39" t="str">
        <f aca="false">IF(LEFT($B98,4)="_Mil","",IFERROR(1/(1/ROUND(INDEX(Spectrum!$N:$N,MATCH(RIGHT($B98,13)&amp;"|"&amp;$C98&amp;"|"&amp;$D98&amp;"|"&amp;N$14&amp;"|"&amp;"CY2023Q3",Spectrum!$R:$R,0)),0)),IF(SUM($M98)=0,"",$M98)))</f>
        <v/>
      </c>
      <c r="O98" s="88" t="n">
        <f aca="false">IF(OR(LEFT($B98,4)="_Mil",SUM($F98)=0),"",SUM($N98)/$F98)</f>
        <v>0</v>
      </c>
      <c r="P98" s="88" t="n">
        <f aca="false">IF(OR(LEFT($B98,4)="_Mil",SUM($F98)=0),"",MAX(SUM($O98),80%))</f>
        <v>0.8</v>
      </c>
      <c r="Q98" s="39" t="n">
        <f aca="false">IF(OR(LEFT($B98,4)="_Mil",SUM($F98)=0),"",ROUND(SUM($F98)*$P98,0))</f>
        <v>1537</v>
      </c>
      <c r="R98" s="39" t="n">
        <f aca="false">IF(OR(LEFT($B98,4)="_Mil",SUM($Q98)=0),"",ROUND(MAX($Q98-SUM($N98),0),0))</f>
        <v>1537</v>
      </c>
      <c r="S98" s="88" t="str">
        <f aca="false">IF(LEFT($B98,4)="_Mil","",IF(SUM($L98)=0,"",IF(SUM($M98)=0,1,$L98/$M98)))</f>
        <v/>
      </c>
      <c r="T98" s="88" t="str">
        <f aca="false">IF(LEFT($B98,4)="_Mil",0,"")</f>
        <v/>
      </c>
      <c r="U98" s="88"/>
      <c r="V98" s="88" t="str">
        <f aca="false">IF($U98="","",$U98)</f>
        <v/>
      </c>
      <c r="W98" s="88"/>
      <c r="X98" s="88" t="str">
        <f aca="false">IF($W98="","",$W98)</f>
        <v/>
      </c>
      <c r="Y98" s="10" t="str">
        <f aca="false">IF(LEFT($B98,4)="_Mil",IF(SUM($L98)=0,"",ROUND($L98*(1+$T98),0)),IF(SUM($R98)=0,"",IF($S98="","ENTER IN COL S",ROUND($R98*$S98,0))))</f>
        <v>ENTER IN COL S</v>
      </c>
      <c r="Z98" s="39" t="str">
        <f aca="false">IF(SUM($Y98)=0,"",IF(AND(SUM($Y98)&gt;0,$V98=""),"ENTER INDETERMINATE RATE",ROUND($Y98*$V98,0)))</f>
        <v/>
      </c>
      <c r="AA98" s="39" t="str">
        <f aca="false">IF(SUM($Y98)=0,"",IF(AND(($Y98-SUM($Z98))&gt;0,$X98=""),"ENTER YIELD RATE",ROUND(($Y98-SUM($Z98))*SUM($X98),0)))</f>
        <v/>
      </c>
      <c r="AB98" s="39" t="str">
        <f aca="false">IF(SUM($Y98)=0,"",$Y98-SUM($Z98)-SUM($AA98))</f>
        <v/>
      </c>
      <c r="AC98" s="10" t="str">
        <f aca="false">IFERROR(1/(1/INDEX(Cascade!$BH:$BH,MATCH($E98,Cascade!$E:$E,0))),"")</f>
        <v/>
      </c>
      <c r="AD98" s="10" t="str">
        <f aca="false">IF(SUM($AA98)=0,"",$AA98)</f>
        <v/>
      </c>
      <c r="AE98" s="10" t="str">
        <f aca="false">IFERROR(1/(1/INDEX(TB!$P:$P,MATCH($E98,TB!$E:$E,0))),"")</f>
        <v/>
      </c>
      <c r="AF98" s="10" t="str">
        <f aca="false">IFERROR(1/(1/(SUM($AC98)-SUM($AD98:$AE98))),"")</f>
        <v/>
      </c>
    </row>
    <row r="99" customFormat="false" ht="15" hidden="false" customHeight="false" outlineLevel="0" collapsed="false">
      <c r="A99" s="0" t="str">
        <f aca="false">INDEX(Prioritization!$D:$D,MATCH($B99,Prioritization!$A:$A,0))</f>
        <v>INVALID</v>
      </c>
      <c r="B99" s="0" t="s">
        <v>215</v>
      </c>
      <c r="C99" s="0" t="s">
        <v>365</v>
      </c>
      <c r="D99" s="0" t="s">
        <v>48</v>
      </c>
      <c r="E99" s="0" t="str">
        <f aca="false">B99&amp;"|"&amp;C99&amp;"|"&amp;D99</f>
        <v>Mangochi District [lLDyBx5XyUi]|15-24|Male</v>
      </c>
      <c r="F99" s="10" t="n">
        <f aca="false">IF(LEFT($B99,4)="_Mil","",INDEX(Cascade!$T:$T,MATCH($E99,Cascade!$E:$E,0)))</f>
        <v>1357</v>
      </c>
      <c r="G99" s="10" t="str">
        <f aca="false">IF(LEFT($B99,4)="_Mil","",INDEX(Cascade!$U:$U,MATCH($E99,Cascade!$E:$E,0)))</f>
        <v/>
      </c>
      <c r="H99" s="86" t="n">
        <f aca="false">IF(LEFT($B99,4)="_Mil","",INDEX(Cascade!$W:$W,MATCH($E99,Cascade!$E:$E,0)))</f>
        <v>1736</v>
      </c>
      <c r="I99" s="10" t="n">
        <f aca="false">IF(LEFT($B99,4)="_Mil","",INDEX(Cascade!$Z:$Z,MATCH($E99,Cascade!$E:$E,0)))</f>
        <v>1721</v>
      </c>
      <c r="J99" s="88" t="n">
        <f aca="false">IF(LEFT($B99,4)="_Mil","",INDEX(Cascade!$AA:$AA,MATCH($E99,Cascade!$E:$E,0)))</f>
        <v>1416</v>
      </c>
      <c r="K99" s="10"/>
      <c r="L99" s="10"/>
      <c r="M99" s="39" t="str">
        <f aca="false">IF(LEFT($B99,4)="_Mil","",IFERROR(1/(1/ROUND(INDEX(Spectrum!$N:$N,MATCH(RIGHT($B99,13)&amp;"|"&amp;$C99&amp;"|"&amp;$D99&amp;"|"&amp;M$14&amp;"|"&amp;"CY2023Q3",Spectrum!$R:$R,0)),0)),IF(SUM($L99)=0,"",$L99)))</f>
        <v/>
      </c>
      <c r="N99" s="39" t="str">
        <f aca="false">IF(LEFT($B99,4)="_Mil","",IFERROR(1/(1/ROUND(INDEX(Spectrum!$N:$N,MATCH(RIGHT($B99,13)&amp;"|"&amp;$C99&amp;"|"&amp;$D99&amp;"|"&amp;N$14&amp;"|"&amp;"CY2023Q3",Spectrum!$R:$R,0)),0)),IF(SUM($M99)=0,"",$M99)))</f>
        <v/>
      </c>
      <c r="O99" s="88" t="n">
        <f aca="false">IF(OR(LEFT($B99,4)="_Mil",SUM($F99)=0),"",SUM($N99)/$F99)</f>
        <v>0</v>
      </c>
      <c r="P99" s="88" t="n">
        <f aca="false">IF(OR(LEFT($B99,4)="_Mil",SUM($F99)=0),"",MAX(SUM($O99),80%))</f>
        <v>0.8</v>
      </c>
      <c r="Q99" s="39" t="n">
        <f aca="false">IF(OR(LEFT($B99,4)="_Mil",SUM($F99)=0),"",ROUND(SUM($F99)*$P99,0))</f>
        <v>1086</v>
      </c>
      <c r="R99" s="39" t="n">
        <f aca="false">IF(OR(LEFT($B99,4)="_Mil",SUM($Q99)=0),"",ROUND(MAX($Q99-SUM($N99),0),0))</f>
        <v>1086</v>
      </c>
      <c r="S99" s="88" t="str">
        <f aca="false">IF(LEFT($B99,4)="_Mil","",IF(SUM($L99)=0,"",IF(SUM($M99)=0,1,$L99/$M99)))</f>
        <v/>
      </c>
      <c r="T99" s="88" t="str">
        <f aca="false">IF(LEFT($B99,4)="_Mil",0,"")</f>
        <v/>
      </c>
      <c r="U99" s="88"/>
      <c r="V99" s="88" t="str">
        <f aca="false">IF($U99="","",$U99)</f>
        <v/>
      </c>
      <c r="W99" s="88"/>
      <c r="X99" s="88" t="str">
        <f aca="false">IF($W99="","",$W99)</f>
        <v/>
      </c>
      <c r="Y99" s="10" t="str">
        <f aca="false">IF(LEFT($B99,4)="_Mil",IF(SUM($L99)=0,"",ROUND($L99*(1+$T99),0)),IF(SUM($R99)=0,"",IF($S99="","ENTER IN COL S",ROUND($R99*$S99,0))))</f>
        <v>ENTER IN COL S</v>
      </c>
      <c r="Z99" s="39" t="str">
        <f aca="false">IF(SUM($Y99)=0,"",IF(AND(SUM($Y99)&gt;0,$V99=""),"ENTER INDETERMINATE RATE",ROUND($Y99*$V99,0)))</f>
        <v/>
      </c>
      <c r="AA99" s="39" t="str">
        <f aca="false">IF(SUM($Y99)=0,"",IF(AND(($Y99-SUM($Z99))&gt;0,$X99=""),"ENTER YIELD RATE",ROUND(($Y99-SUM($Z99))*SUM($X99),0)))</f>
        <v/>
      </c>
      <c r="AB99" s="39" t="str">
        <f aca="false">IF(SUM($Y99)=0,"",$Y99-SUM($Z99)-SUM($AA99))</f>
        <v/>
      </c>
      <c r="AC99" s="10" t="str">
        <f aca="false">IFERROR(1/(1/INDEX(Cascade!$BH:$BH,MATCH($E99,Cascade!$E:$E,0))),"")</f>
        <v/>
      </c>
      <c r="AD99" s="10" t="str">
        <f aca="false">IF(SUM($AA99)=0,"",$AA99)</f>
        <v/>
      </c>
      <c r="AE99" s="10" t="str">
        <f aca="false">IFERROR(1/(1/INDEX(TB!$P:$P,MATCH($E99,TB!$E:$E,0))),"")</f>
        <v/>
      </c>
      <c r="AF99" s="10" t="str">
        <f aca="false">IFERROR(1/(1/(SUM($AC99)-SUM($AD99:$AE99))),"")</f>
        <v/>
      </c>
    </row>
    <row r="100" customFormat="false" ht="15" hidden="false" customHeight="false" outlineLevel="0" collapsed="false">
      <c r="A100" s="0" t="str">
        <f aca="false">INDEX(Prioritization!$D:$D,MATCH($B100,Prioritization!$A:$A,0))</f>
        <v>INVALID</v>
      </c>
      <c r="B100" s="0" t="s">
        <v>215</v>
      </c>
      <c r="C100" s="0" t="s">
        <v>366</v>
      </c>
      <c r="D100" s="0" t="s">
        <v>48</v>
      </c>
      <c r="E100" s="0" t="str">
        <f aca="false">B100&amp;"|"&amp;C100&amp;"|"&amp;D100</f>
        <v>Mangochi District [lLDyBx5XyUi]|25-34|Male</v>
      </c>
      <c r="F100" s="10" t="n">
        <f aca="false">IF(LEFT($B100,4)="_Mil","",INDEX(Cascade!$T:$T,MATCH($E100,Cascade!$E:$E,0)))</f>
        <v>1817</v>
      </c>
      <c r="G100" s="10" t="str">
        <f aca="false">IF(LEFT($B100,4)="_Mil","",INDEX(Cascade!$U:$U,MATCH($E100,Cascade!$E:$E,0)))</f>
        <v/>
      </c>
      <c r="H100" s="86" t="n">
        <f aca="false">IF(LEFT($B100,4)="_Mil","",INDEX(Cascade!$W:$W,MATCH($E100,Cascade!$E:$E,0)))</f>
        <v>1763</v>
      </c>
      <c r="I100" s="10" t="n">
        <f aca="false">IF(LEFT($B100,4)="_Mil","",INDEX(Cascade!$Z:$Z,MATCH($E100,Cascade!$E:$E,0)))</f>
        <v>988</v>
      </c>
      <c r="J100" s="88" t="n">
        <f aca="false">IF(LEFT($B100,4)="_Mil","",INDEX(Cascade!$AA:$AA,MATCH($E100,Cascade!$E:$E,0)))</f>
        <v>926</v>
      </c>
      <c r="K100" s="10"/>
      <c r="L100" s="10"/>
      <c r="M100" s="39" t="str">
        <f aca="false">IF(LEFT($B100,4)="_Mil","",IFERROR(1/(1/ROUND(INDEX(Spectrum!$N:$N,MATCH(RIGHT($B100,13)&amp;"|"&amp;$C100&amp;"|"&amp;$D100&amp;"|"&amp;M$14&amp;"|"&amp;"CY2023Q3",Spectrum!$R:$R,0)),0)),IF(SUM($L100)=0,"",$L100)))</f>
        <v/>
      </c>
      <c r="N100" s="39" t="str">
        <f aca="false">IF(LEFT($B100,4)="_Mil","",IFERROR(1/(1/ROUND(INDEX(Spectrum!$N:$N,MATCH(RIGHT($B100,13)&amp;"|"&amp;$C100&amp;"|"&amp;$D100&amp;"|"&amp;N$14&amp;"|"&amp;"CY2023Q3",Spectrum!$R:$R,0)),0)),IF(SUM($M100)=0,"",$M100)))</f>
        <v/>
      </c>
      <c r="O100" s="88" t="n">
        <f aca="false">IF(OR(LEFT($B100,4)="_Mil",SUM($F100)=0),"",SUM($N100)/$F100)</f>
        <v>0</v>
      </c>
      <c r="P100" s="88" t="n">
        <f aca="false">IF(OR(LEFT($B100,4)="_Mil",SUM($F100)=0),"",MAX(SUM($O100),80%))</f>
        <v>0.8</v>
      </c>
      <c r="Q100" s="39" t="n">
        <f aca="false">IF(OR(LEFT($B100,4)="_Mil",SUM($F100)=0),"",ROUND(SUM($F100)*$P100,0))</f>
        <v>1454</v>
      </c>
      <c r="R100" s="39" t="n">
        <f aca="false">IF(OR(LEFT($B100,4)="_Mil",SUM($Q100)=0),"",ROUND(MAX($Q100-SUM($N100),0),0))</f>
        <v>1454</v>
      </c>
      <c r="S100" s="88" t="str">
        <f aca="false">IF(LEFT($B100,4)="_Mil","",IF(SUM($L100)=0,"",IF(SUM($M100)=0,1,$L100/$M100)))</f>
        <v/>
      </c>
      <c r="T100" s="88" t="str">
        <f aca="false">IF(LEFT($B100,4)="_Mil",0,"")</f>
        <v/>
      </c>
      <c r="U100" s="88"/>
      <c r="V100" s="88" t="str">
        <f aca="false">IF($U100="","",$U100)</f>
        <v/>
      </c>
      <c r="W100" s="88"/>
      <c r="X100" s="88" t="str">
        <f aca="false">IF($W100="","",$W100)</f>
        <v/>
      </c>
      <c r="Y100" s="10" t="str">
        <f aca="false">IF(LEFT($B100,4)="_Mil",IF(SUM($L100)=0,"",ROUND($L100*(1+$T100),0)),IF(SUM($R100)=0,"",IF($S100="","ENTER IN COL S",ROUND($R100*$S100,0))))</f>
        <v>ENTER IN COL S</v>
      </c>
      <c r="Z100" s="39" t="str">
        <f aca="false">IF(SUM($Y100)=0,"",IF(AND(SUM($Y100)&gt;0,$V100=""),"ENTER INDETERMINATE RATE",ROUND($Y100*$V100,0)))</f>
        <v/>
      </c>
      <c r="AA100" s="39" t="str">
        <f aca="false">IF(SUM($Y100)=0,"",IF(AND(($Y100-SUM($Z100))&gt;0,$X100=""),"ENTER YIELD RATE",ROUND(($Y100-SUM($Z100))*SUM($X100),0)))</f>
        <v/>
      </c>
      <c r="AB100" s="39" t="str">
        <f aca="false">IF(SUM($Y100)=0,"",$Y100-SUM($Z100)-SUM($AA100))</f>
        <v/>
      </c>
      <c r="AC100" s="10" t="str">
        <f aca="false">IFERROR(1/(1/INDEX(Cascade!$BH:$BH,MATCH($E100,Cascade!$E:$E,0))),"")</f>
        <v/>
      </c>
      <c r="AD100" s="10" t="str">
        <f aca="false">IF(SUM($AA100)=0,"",$AA100)</f>
        <v/>
      </c>
      <c r="AE100" s="10" t="str">
        <f aca="false">IFERROR(1/(1/INDEX(TB!$P:$P,MATCH($E100,TB!$E:$E,0))),"")</f>
        <v/>
      </c>
      <c r="AF100" s="10" t="str">
        <f aca="false">IFERROR(1/(1/(SUM($AC100)-SUM($AD100:$AE100))),"")</f>
        <v/>
      </c>
    </row>
    <row r="101" customFormat="false" ht="15" hidden="false" customHeight="false" outlineLevel="0" collapsed="false">
      <c r="A101" s="0" t="str">
        <f aca="false">INDEX(Prioritization!$D:$D,MATCH($B101,Prioritization!$A:$A,0))</f>
        <v>INVALID</v>
      </c>
      <c r="B101" s="0" t="s">
        <v>215</v>
      </c>
      <c r="C101" s="0" t="s">
        <v>367</v>
      </c>
      <c r="D101" s="0" t="s">
        <v>48</v>
      </c>
      <c r="E101" s="0" t="str">
        <f aca="false">B101&amp;"|"&amp;C101&amp;"|"&amp;D101</f>
        <v>Mangochi District [lLDyBx5XyUi]|35-49|Male</v>
      </c>
      <c r="F101" s="10" t="n">
        <f aca="false">IF(LEFT($B101,4)="_Mil","",INDEX(Cascade!$T:$T,MATCH($E101,Cascade!$E:$E,0)))</f>
        <v>1281</v>
      </c>
      <c r="G101" s="10" t="str">
        <f aca="false">IF(LEFT($B101,4)="_Mil","",INDEX(Cascade!$U:$U,MATCH($E101,Cascade!$E:$E,0)))</f>
        <v/>
      </c>
      <c r="H101" s="86" t="n">
        <f aca="false">IF(LEFT($B101,4)="_Mil","",INDEX(Cascade!$W:$W,MATCH($E101,Cascade!$E:$E,0)))</f>
        <v>1665</v>
      </c>
      <c r="I101" s="10" t="n">
        <f aca="false">IF(LEFT($B101,4)="_Mil","",INDEX(Cascade!$Z:$Z,MATCH($E101,Cascade!$E:$E,0)))</f>
        <v>1457</v>
      </c>
      <c r="J101" s="88" t="n">
        <f aca="false">IF(LEFT($B101,4)="_Mil","",INDEX(Cascade!$AA:$AA,MATCH($E101,Cascade!$E:$E,0)))</f>
        <v>1820</v>
      </c>
      <c r="K101" s="10"/>
      <c r="L101" s="10"/>
      <c r="M101" s="39" t="str">
        <f aca="false">IF(LEFT($B101,4)="_Mil","",IFERROR(1/(1/ROUND(INDEX(Spectrum!$N:$N,MATCH(RIGHT($B101,13)&amp;"|"&amp;$C101&amp;"|"&amp;$D101&amp;"|"&amp;M$14&amp;"|"&amp;"CY2023Q3",Spectrum!$R:$R,0)),0)),IF(SUM($L101)=0,"",$L101)))</f>
        <v/>
      </c>
      <c r="N101" s="39" t="str">
        <f aca="false">IF(LEFT($B101,4)="_Mil","",IFERROR(1/(1/ROUND(INDEX(Spectrum!$N:$N,MATCH(RIGHT($B101,13)&amp;"|"&amp;$C101&amp;"|"&amp;$D101&amp;"|"&amp;N$14&amp;"|"&amp;"CY2023Q3",Spectrum!$R:$R,0)),0)),IF(SUM($M101)=0,"",$M101)))</f>
        <v/>
      </c>
      <c r="O101" s="88" t="n">
        <f aca="false">IF(OR(LEFT($B101,4)="_Mil",SUM($F101)=0),"",SUM($N101)/$F101)</f>
        <v>0</v>
      </c>
      <c r="P101" s="88" t="n">
        <f aca="false">IF(OR(LEFT($B101,4)="_Mil",SUM($F101)=0),"",MAX(SUM($O101),80%))</f>
        <v>0.8</v>
      </c>
      <c r="Q101" s="39" t="n">
        <f aca="false">IF(OR(LEFT($B101,4)="_Mil",SUM($F101)=0),"",ROUND(SUM($F101)*$P101,0))</f>
        <v>1025</v>
      </c>
      <c r="R101" s="39" t="n">
        <f aca="false">IF(OR(LEFT($B101,4)="_Mil",SUM($Q101)=0),"",ROUND(MAX($Q101-SUM($N101),0),0))</f>
        <v>1025</v>
      </c>
      <c r="S101" s="88" t="str">
        <f aca="false">IF(LEFT($B101,4)="_Mil","",IF(SUM($L101)=0,"",IF(SUM($M101)=0,1,$L101/$M101)))</f>
        <v/>
      </c>
      <c r="T101" s="88" t="str">
        <f aca="false">IF(LEFT($B101,4)="_Mil",0,"")</f>
        <v/>
      </c>
      <c r="U101" s="88"/>
      <c r="V101" s="88" t="str">
        <f aca="false">IF($U101="","",$U101)</f>
        <v/>
      </c>
      <c r="W101" s="88"/>
      <c r="X101" s="88" t="str">
        <f aca="false">IF($W101="","",$W101)</f>
        <v/>
      </c>
      <c r="Y101" s="10" t="str">
        <f aca="false">IF(LEFT($B101,4)="_Mil",IF(SUM($L101)=0,"",ROUND($L101*(1+$T101),0)),IF(SUM($R101)=0,"",IF($S101="","ENTER IN COL S",ROUND($R101*$S101,0))))</f>
        <v>ENTER IN COL S</v>
      </c>
      <c r="Z101" s="39" t="str">
        <f aca="false">IF(SUM($Y101)=0,"",IF(AND(SUM($Y101)&gt;0,$V101=""),"ENTER INDETERMINATE RATE",ROUND($Y101*$V101,0)))</f>
        <v/>
      </c>
      <c r="AA101" s="39" t="str">
        <f aca="false">IF(SUM($Y101)=0,"",IF(AND(($Y101-SUM($Z101))&gt;0,$X101=""),"ENTER YIELD RATE",ROUND(($Y101-SUM($Z101))*SUM($X101),0)))</f>
        <v/>
      </c>
      <c r="AB101" s="39" t="str">
        <f aca="false">IF(SUM($Y101)=0,"",$Y101-SUM($Z101)-SUM($AA101))</f>
        <v/>
      </c>
      <c r="AC101" s="10" t="str">
        <f aca="false">IFERROR(1/(1/INDEX(Cascade!$BH:$BH,MATCH($E101,Cascade!$E:$E,0))),"")</f>
        <v/>
      </c>
      <c r="AD101" s="10" t="str">
        <f aca="false">IF(SUM($AA101)=0,"",$AA101)</f>
        <v/>
      </c>
      <c r="AE101" s="10" t="str">
        <f aca="false">IFERROR(1/(1/INDEX(TB!$P:$P,MATCH($E101,TB!$E:$E,0))),"")</f>
        <v/>
      </c>
      <c r="AF101" s="10" t="str">
        <f aca="false">IFERROR(1/(1/(SUM($AC101)-SUM($AD101:$AE101))),"")</f>
        <v/>
      </c>
    </row>
    <row r="102" customFormat="false" ht="15" hidden="false" customHeight="false" outlineLevel="0" collapsed="false">
      <c r="A102" s="0" t="str">
        <f aca="false">INDEX(Prioritization!$D:$D,MATCH($B102,Prioritization!$A:$A,0))</f>
        <v>INVALID</v>
      </c>
      <c r="B102" s="0" t="s">
        <v>215</v>
      </c>
      <c r="C102" s="0" t="s">
        <v>368</v>
      </c>
      <c r="D102" s="0" t="s">
        <v>48</v>
      </c>
      <c r="E102" s="0" t="str">
        <f aca="false">B102&amp;"|"&amp;C102&amp;"|"&amp;D102</f>
        <v>Mangochi District [lLDyBx5XyUi]|50+|Male</v>
      </c>
      <c r="F102" s="10" t="n">
        <f aca="false">IF(LEFT($B102,4)="_Mil","",INDEX(Cascade!$T:$T,MATCH($E102,Cascade!$E:$E,0)))</f>
        <v>1127</v>
      </c>
      <c r="G102" s="10" t="str">
        <f aca="false">IF(LEFT($B102,4)="_Mil","",INDEX(Cascade!$U:$U,MATCH($E102,Cascade!$E:$E,0)))</f>
        <v/>
      </c>
      <c r="H102" s="86" t="n">
        <f aca="false">IF(LEFT($B102,4)="_Mil","",INDEX(Cascade!$W:$W,MATCH($E102,Cascade!$E:$E,0)))</f>
        <v>595</v>
      </c>
      <c r="I102" s="10" t="n">
        <f aca="false">IF(LEFT($B102,4)="_Mil","",INDEX(Cascade!$Z:$Z,MATCH($E102,Cascade!$E:$E,0)))</f>
        <v>1851</v>
      </c>
      <c r="J102" s="88" t="n">
        <f aca="false">IF(LEFT($B102,4)="_Mil","",INDEX(Cascade!$AA:$AA,MATCH($E102,Cascade!$E:$E,0)))</f>
        <v>1818</v>
      </c>
      <c r="K102" s="10"/>
      <c r="L102" s="10"/>
      <c r="M102" s="39" t="str">
        <f aca="false">IF(LEFT($B102,4)="_Mil","",IFERROR(1/(1/ROUND(INDEX(Spectrum!$N:$N,MATCH(RIGHT($B102,13)&amp;"|"&amp;$C102&amp;"|"&amp;$D102&amp;"|"&amp;M$14&amp;"|"&amp;"CY2023Q3",Spectrum!$R:$R,0)),0)),IF(SUM($L102)=0,"",$L102)))</f>
        <v/>
      </c>
      <c r="N102" s="39" t="str">
        <f aca="false">IF(LEFT($B102,4)="_Mil","",IFERROR(1/(1/ROUND(INDEX(Spectrum!$N:$N,MATCH(RIGHT($B102,13)&amp;"|"&amp;$C102&amp;"|"&amp;$D102&amp;"|"&amp;N$14&amp;"|"&amp;"CY2023Q3",Spectrum!$R:$R,0)),0)),IF(SUM($M102)=0,"",$M102)))</f>
        <v/>
      </c>
      <c r="O102" s="88" t="n">
        <f aca="false">IF(OR(LEFT($B102,4)="_Mil",SUM($F102)=0),"",SUM($N102)/$F102)</f>
        <v>0</v>
      </c>
      <c r="P102" s="88" t="n">
        <f aca="false">IF(OR(LEFT($B102,4)="_Mil",SUM($F102)=0),"",MAX(SUM($O102),80%))</f>
        <v>0.8</v>
      </c>
      <c r="Q102" s="39" t="n">
        <f aca="false">IF(OR(LEFT($B102,4)="_Mil",SUM($F102)=0),"",ROUND(SUM($F102)*$P102,0))</f>
        <v>902</v>
      </c>
      <c r="R102" s="39" t="n">
        <f aca="false">IF(OR(LEFT($B102,4)="_Mil",SUM($Q102)=0),"",ROUND(MAX($Q102-SUM($N102),0),0))</f>
        <v>902</v>
      </c>
      <c r="S102" s="88" t="str">
        <f aca="false">IF(LEFT($B102,4)="_Mil","",IF(SUM($L102)=0,"",IF(SUM($M102)=0,1,$L102/$M102)))</f>
        <v/>
      </c>
      <c r="T102" s="88" t="str">
        <f aca="false">IF(LEFT($B102,4)="_Mil",0,"")</f>
        <v/>
      </c>
      <c r="U102" s="88"/>
      <c r="V102" s="88" t="str">
        <f aca="false">IF($U102="","",$U102)</f>
        <v/>
      </c>
      <c r="W102" s="88"/>
      <c r="X102" s="88" t="str">
        <f aca="false">IF($W102="","",$W102)</f>
        <v/>
      </c>
      <c r="Y102" s="10" t="str">
        <f aca="false">IF(LEFT($B102,4)="_Mil",IF(SUM($L102)=0,"",ROUND($L102*(1+$T102),0)),IF(SUM($R102)=0,"",IF($S102="","ENTER IN COL S",ROUND($R102*$S102,0))))</f>
        <v>ENTER IN COL S</v>
      </c>
      <c r="Z102" s="39" t="str">
        <f aca="false">IF(SUM($Y102)=0,"",IF(AND(SUM($Y102)&gt;0,$V102=""),"ENTER INDETERMINATE RATE",ROUND($Y102*$V102,0)))</f>
        <v/>
      </c>
      <c r="AA102" s="39" t="str">
        <f aca="false">IF(SUM($Y102)=0,"",IF(AND(($Y102-SUM($Z102))&gt;0,$X102=""),"ENTER YIELD RATE",ROUND(($Y102-SUM($Z102))*SUM($X102),0)))</f>
        <v/>
      </c>
      <c r="AB102" s="39" t="str">
        <f aca="false">IF(SUM($Y102)=0,"",$Y102-SUM($Z102)-SUM($AA102))</f>
        <v/>
      </c>
      <c r="AC102" s="10" t="str">
        <f aca="false">IFERROR(1/(1/INDEX(Cascade!$BH:$BH,MATCH($E102,Cascade!$E:$E,0))),"")</f>
        <v/>
      </c>
      <c r="AD102" s="10" t="str">
        <f aca="false">IF(SUM($AA102)=0,"",$AA102)</f>
        <v/>
      </c>
      <c r="AE102" s="10" t="str">
        <f aca="false">IFERROR(1/(1/INDEX(TB!$P:$P,MATCH($E102,TB!$E:$E,0))),"")</f>
        <v/>
      </c>
      <c r="AF102" s="10" t="str">
        <f aca="false">IFERROR(1/(1/(SUM($AC102)-SUM($AD102:$AE102))),"")</f>
        <v/>
      </c>
    </row>
    <row r="103" customFormat="false" ht="15" hidden="false" customHeight="false" outlineLevel="0" collapsed="false">
      <c r="A103" s="0" t="str">
        <f aca="false">INDEX(Prioritization!$D:$D,MATCH($B103,Prioritization!$A:$A,0))</f>
        <v>INVALID</v>
      </c>
      <c r="B103" s="0" t="s">
        <v>216</v>
      </c>
      <c r="C103" s="0" t="s">
        <v>365</v>
      </c>
      <c r="D103" s="0" t="s">
        <v>48</v>
      </c>
      <c r="E103" s="0" t="str">
        <f aca="false">B103&amp;"|"&amp;C103&amp;"|"&amp;D103</f>
        <v>Mulanje District [umc2n1Z4wNv]|15-24|Male</v>
      </c>
      <c r="F103" s="10" t="n">
        <f aca="false">IF(LEFT($B103,4)="_Mil","",INDEX(Cascade!$T:$T,MATCH($E103,Cascade!$E:$E,0)))</f>
        <v>1226</v>
      </c>
      <c r="G103" s="10" t="str">
        <f aca="false">IF(LEFT($B103,4)="_Mil","",INDEX(Cascade!$U:$U,MATCH($E103,Cascade!$E:$E,0)))</f>
        <v/>
      </c>
      <c r="H103" s="86" t="n">
        <f aca="false">IF(LEFT($B103,4)="_Mil","",INDEX(Cascade!$W:$W,MATCH($E103,Cascade!$E:$E,0)))</f>
        <v>1543</v>
      </c>
      <c r="I103" s="10" t="n">
        <f aca="false">IF(LEFT($B103,4)="_Mil","",INDEX(Cascade!$Z:$Z,MATCH($E103,Cascade!$E:$E,0)))</f>
        <v>1431</v>
      </c>
      <c r="J103" s="88" t="n">
        <f aca="false">IF(LEFT($B103,4)="_Mil","",INDEX(Cascade!$AA:$AA,MATCH($E103,Cascade!$E:$E,0)))</f>
        <v>1023</v>
      </c>
      <c r="K103" s="10"/>
      <c r="L103" s="10"/>
      <c r="M103" s="39" t="str">
        <f aca="false">IF(LEFT($B103,4)="_Mil","",IFERROR(1/(1/ROUND(INDEX(Spectrum!$N:$N,MATCH(RIGHT($B103,13)&amp;"|"&amp;$C103&amp;"|"&amp;$D103&amp;"|"&amp;M$14&amp;"|"&amp;"CY2023Q3",Spectrum!$R:$R,0)),0)),IF(SUM($L103)=0,"",$L103)))</f>
        <v/>
      </c>
      <c r="N103" s="39" t="str">
        <f aca="false">IF(LEFT($B103,4)="_Mil","",IFERROR(1/(1/ROUND(INDEX(Spectrum!$N:$N,MATCH(RIGHT($B103,13)&amp;"|"&amp;$C103&amp;"|"&amp;$D103&amp;"|"&amp;N$14&amp;"|"&amp;"CY2023Q3",Spectrum!$R:$R,0)),0)),IF(SUM($M103)=0,"",$M103)))</f>
        <v/>
      </c>
      <c r="O103" s="88" t="n">
        <f aca="false">IF(OR(LEFT($B103,4)="_Mil",SUM($F103)=0),"",SUM($N103)/$F103)</f>
        <v>0</v>
      </c>
      <c r="P103" s="88" t="n">
        <f aca="false">IF(OR(LEFT($B103,4)="_Mil",SUM($F103)=0),"",MAX(SUM($O103),80%))</f>
        <v>0.8</v>
      </c>
      <c r="Q103" s="39" t="n">
        <f aca="false">IF(OR(LEFT($B103,4)="_Mil",SUM($F103)=0),"",ROUND(SUM($F103)*$P103,0))</f>
        <v>981</v>
      </c>
      <c r="R103" s="39" t="n">
        <f aca="false">IF(OR(LEFT($B103,4)="_Mil",SUM($Q103)=0),"",ROUND(MAX($Q103-SUM($N103),0),0))</f>
        <v>981</v>
      </c>
      <c r="S103" s="88" t="str">
        <f aca="false">IF(LEFT($B103,4)="_Mil","",IF(SUM($L103)=0,"",IF(SUM($M103)=0,1,$L103/$M103)))</f>
        <v/>
      </c>
      <c r="T103" s="88" t="str">
        <f aca="false">IF(LEFT($B103,4)="_Mil",0,"")</f>
        <v/>
      </c>
      <c r="U103" s="88"/>
      <c r="V103" s="88" t="str">
        <f aca="false">IF($U103="","",$U103)</f>
        <v/>
      </c>
      <c r="W103" s="88"/>
      <c r="X103" s="88" t="str">
        <f aca="false">IF($W103="","",$W103)</f>
        <v/>
      </c>
      <c r="Y103" s="10" t="str">
        <f aca="false">IF(LEFT($B103,4)="_Mil",IF(SUM($L103)=0,"",ROUND($L103*(1+$T103),0)),IF(SUM($R103)=0,"",IF($S103="","ENTER IN COL S",ROUND($R103*$S103,0))))</f>
        <v>ENTER IN COL S</v>
      </c>
      <c r="Z103" s="39" t="str">
        <f aca="false">IF(SUM($Y103)=0,"",IF(AND(SUM($Y103)&gt;0,$V103=""),"ENTER INDETERMINATE RATE",ROUND($Y103*$V103,0)))</f>
        <v/>
      </c>
      <c r="AA103" s="39" t="str">
        <f aca="false">IF(SUM($Y103)=0,"",IF(AND(($Y103-SUM($Z103))&gt;0,$X103=""),"ENTER YIELD RATE",ROUND(($Y103-SUM($Z103))*SUM($X103),0)))</f>
        <v/>
      </c>
      <c r="AB103" s="39" t="str">
        <f aca="false">IF(SUM($Y103)=0,"",$Y103-SUM($Z103)-SUM($AA103))</f>
        <v/>
      </c>
      <c r="AC103" s="10" t="str">
        <f aca="false">IFERROR(1/(1/INDEX(Cascade!$BH:$BH,MATCH($E103,Cascade!$E:$E,0))),"")</f>
        <v/>
      </c>
      <c r="AD103" s="10" t="str">
        <f aca="false">IF(SUM($AA103)=0,"",$AA103)</f>
        <v/>
      </c>
      <c r="AE103" s="10" t="str">
        <f aca="false">IFERROR(1/(1/INDEX(TB!$P:$P,MATCH($E103,TB!$E:$E,0))),"")</f>
        <v/>
      </c>
      <c r="AF103" s="10" t="str">
        <f aca="false">IFERROR(1/(1/(SUM($AC103)-SUM($AD103:$AE103))),"")</f>
        <v/>
      </c>
    </row>
    <row r="104" customFormat="false" ht="15" hidden="false" customHeight="false" outlineLevel="0" collapsed="false">
      <c r="A104" s="0" t="str">
        <f aca="false">INDEX(Prioritization!$D:$D,MATCH($B104,Prioritization!$A:$A,0))</f>
        <v>INVALID</v>
      </c>
      <c r="B104" s="0" t="s">
        <v>216</v>
      </c>
      <c r="C104" s="0" t="s">
        <v>366</v>
      </c>
      <c r="D104" s="0" t="s">
        <v>48</v>
      </c>
      <c r="E104" s="0" t="str">
        <f aca="false">B104&amp;"|"&amp;C104&amp;"|"&amp;D104</f>
        <v>Mulanje District [umc2n1Z4wNv]|25-34|Male</v>
      </c>
      <c r="F104" s="10" t="n">
        <f aca="false">IF(LEFT($B104,4)="_Mil","",INDEX(Cascade!$T:$T,MATCH($E104,Cascade!$E:$E,0)))</f>
        <v>1987</v>
      </c>
      <c r="G104" s="10" t="str">
        <f aca="false">IF(LEFT($B104,4)="_Mil","",INDEX(Cascade!$U:$U,MATCH($E104,Cascade!$E:$E,0)))</f>
        <v/>
      </c>
      <c r="H104" s="86" t="n">
        <f aca="false">IF(LEFT($B104,4)="_Mil","",INDEX(Cascade!$W:$W,MATCH($E104,Cascade!$E:$E,0)))</f>
        <v>688</v>
      </c>
      <c r="I104" s="10" t="n">
        <f aca="false">IF(LEFT($B104,4)="_Mil","",INDEX(Cascade!$Z:$Z,MATCH($E104,Cascade!$E:$E,0)))</f>
        <v>1583</v>
      </c>
      <c r="J104" s="88" t="n">
        <f aca="false">IF(LEFT($B104,4)="_Mil","",INDEX(Cascade!$AA:$AA,MATCH($E104,Cascade!$E:$E,0)))</f>
        <v>1972</v>
      </c>
      <c r="K104" s="10"/>
      <c r="L104" s="10"/>
      <c r="M104" s="39" t="str">
        <f aca="false">IF(LEFT($B104,4)="_Mil","",IFERROR(1/(1/ROUND(INDEX(Spectrum!$N:$N,MATCH(RIGHT($B104,13)&amp;"|"&amp;$C104&amp;"|"&amp;$D104&amp;"|"&amp;M$14&amp;"|"&amp;"CY2023Q3",Spectrum!$R:$R,0)),0)),IF(SUM($L104)=0,"",$L104)))</f>
        <v/>
      </c>
      <c r="N104" s="39" t="str">
        <f aca="false">IF(LEFT($B104,4)="_Mil","",IFERROR(1/(1/ROUND(INDEX(Spectrum!$N:$N,MATCH(RIGHT($B104,13)&amp;"|"&amp;$C104&amp;"|"&amp;$D104&amp;"|"&amp;N$14&amp;"|"&amp;"CY2023Q3",Spectrum!$R:$R,0)),0)),IF(SUM($M104)=0,"",$M104)))</f>
        <v/>
      </c>
      <c r="O104" s="88" t="n">
        <f aca="false">IF(OR(LEFT($B104,4)="_Mil",SUM($F104)=0),"",SUM($N104)/$F104)</f>
        <v>0</v>
      </c>
      <c r="P104" s="88" t="n">
        <f aca="false">IF(OR(LEFT($B104,4)="_Mil",SUM($F104)=0),"",MAX(SUM($O104),80%))</f>
        <v>0.8</v>
      </c>
      <c r="Q104" s="39" t="n">
        <f aca="false">IF(OR(LEFT($B104,4)="_Mil",SUM($F104)=0),"",ROUND(SUM($F104)*$P104,0))</f>
        <v>1590</v>
      </c>
      <c r="R104" s="39" t="n">
        <f aca="false">IF(OR(LEFT($B104,4)="_Mil",SUM($Q104)=0),"",ROUND(MAX($Q104-SUM($N104),0),0))</f>
        <v>1590</v>
      </c>
      <c r="S104" s="88" t="str">
        <f aca="false">IF(LEFT($B104,4)="_Mil","",IF(SUM($L104)=0,"",IF(SUM($M104)=0,1,$L104/$M104)))</f>
        <v/>
      </c>
      <c r="T104" s="88" t="str">
        <f aca="false">IF(LEFT($B104,4)="_Mil",0,"")</f>
        <v/>
      </c>
      <c r="U104" s="88"/>
      <c r="V104" s="88" t="str">
        <f aca="false">IF($U104="","",$U104)</f>
        <v/>
      </c>
      <c r="W104" s="88"/>
      <c r="X104" s="88" t="str">
        <f aca="false">IF($W104="","",$W104)</f>
        <v/>
      </c>
      <c r="Y104" s="10" t="str">
        <f aca="false">IF(LEFT($B104,4)="_Mil",IF(SUM($L104)=0,"",ROUND($L104*(1+$T104),0)),IF(SUM($R104)=0,"",IF($S104="","ENTER IN COL S",ROUND($R104*$S104,0))))</f>
        <v>ENTER IN COL S</v>
      </c>
      <c r="Z104" s="39" t="str">
        <f aca="false">IF(SUM($Y104)=0,"",IF(AND(SUM($Y104)&gt;0,$V104=""),"ENTER INDETERMINATE RATE",ROUND($Y104*$V104,0)))</f>
        <v/>
      </c>
      <c r="AA104" s="39" t="str">
        <f aca="false">IF(SUM($Y104)=0,"",IF(AND(($Y104-SUM($Z104))&gt;0,$X104=""),"ENTER YIELD RATE",ROUND(($Y104-SUM($Z104))*SUM($X104),0)))</f>
        <v/>
      </c>
      <c r="AB104" s="39" t="str">
        <f aca="false">IF(SUM($Y104)=0,"",$Y104-SUM($Z104)-SUM($AA104))</f>
        <v/>
      </c>
      <c r="AC104" s="10" t="str">
        <f aca="false">IFERROR(1/(1/INDEX(Cascade!$BH:$BH,MATCH($E104,Cascade!$E:$E,0))),"")</f>
        <v/>
      </c>
      <c r="AD104" s="10" t="str">
        <f aca="false">IF(SUM($AA104)=0,"",$AA104)</f>
        <v/>
      </c>
      <c r="AE104" s="10" t="str">
        <f aca="false">IFERROR(1/(1/INDEX(TB!$P:$P,MATCH($E104,TB!$E:$E,0))),"")</f>
        <v/>
      </c>
      <c r="AF104" s="10" t="str">
        <f aca="false">IFERROR(1/(1/(SUM($AC104)-SUM($AD104:$AE104))),"")</f>
        <v/>
      </c>
    </row>
    <row r="105" customFormat="false" ht="15" hidden="false" customHeight="false" outlineLevel="0" collapsed="false">
      <c r="A105" s="0" t="str">
        <f aca="false">INDEX(Prioritization!$D:$D,MATCH($B105,Prioritization!$A:$A,0))</f>
        <v>INVALID</v>
      </c>
      <c r="B105" s="0" t="s">
        <v>216</v>
      </c>
      <c r="C105" s="0" t="s">
        <v>367</v>
      </c>
      <c r="D105" s="0" t="s">
        <v>48</v>
      </c>
      <c r="E105" s="0" t="str">
        <f aca="false">B105&amp;"|"&amp;C105&amp;"|"&amp;D105</f>
        <v>Mulanje District [umc2n1Z4wNv]|35-49|Male</v>
      </c>
      <c r="F105" s="10" t="n">
        <f aca="false">IF(LEFT($B105,4)="_Mil","",INDEX(Cascade!$T:$T,MATCH($E105,Cascade!$E:$E,0)))</f>
        <v>696</v>
      </c>
      <c r="G105" s="10" t="str">
        <f aca="false">IF(LEFT($B105,4)="_Mil","",INDEX(Cascade!$U:$U,MATCH($E105,Cascade!$E:$E,0)))</f>
        <v/>
      </c>
      <c r="H105" s="86" t="n">
        <f aca="false">IF(LEFT($B105,4)="_Mil","",INDEX(Cascade!$W:$W,MATCH($E105,Cascade!$E:$E,0)))</f>
        <v>1889</v>
      </c>
      <c r="I105" s="10" t="n">
        <f aca="false">IF(LEFT($B105,4)="_Mil","",INDEX(Cascade!$Z:$Z,MATCH($E105,Cascade!$E:$E,0)))</f>
        <v>1851</v>
      </c>
      <c r="J105" s="88" t="n">
        <f aca="false">IF(LEFT($B105,4)="_Mil","",INDEX(Cascade!$AA:$AA,MATCH($E105,Cascade!$E:$E,0)))</f>
        <v>849</v>
      </c>
      <c r="K105" s="10"/>
      <c r="L105" s="10"/>
      <c r="M105" s="39" t="str">
        <f aca="false">IF(LEFT($B105,4)="_Mil","",IFERROR(1/(1/ROUND(INDEX(Spectrum!$N:$N,MATCH(RIGHT($B105,13)&amp;"|"&amp;$C105&amp;"|"&amp;$D105&amp;"|"&amp;M$14&amp;"|"&amp;"CY2023Q3",Spectrum!$R:$R,0)),0)),IF(SUM($L105)=0,"",$L105)))</f>
        <v/>
      </c>
      <c r="N105" s="39" t="str">
        <f aca="false">IF(LEFT($B105,4)="_Mil","",IFERROR(1/(1/ROUND(INDEX(Spectrum!$N:$N,MATCH(RIGHT($B105,13)&amp;"|"&amp;$C105&amp;"|"&amp;$D105&amp;"|"&amp;N$14&amp;"|"&amp;"CY2023Q3",Spectrum!$R:$R,0)),0)),IF(SUM($M105)=0,"",$M105)))</f>
        <v/>
      </c>
      <c r="O105" s="88" t="n">
        <f aca="false">IF(OR(LEFT($B105,4)="_Mil",SUM($F105)=0),"",SUM($N105)/$F105)</f>
        <v>0</v>
      </c>
      <c r="P105" s="88" t="n">
        <f aca="false">IF(OR(LEFT($B105,4)="_Mil",SUM($F105)=0),"",MAX(SUM($O105),80%))</f>
        <v>0.8</v>
      </c>
      <c r="Q105" s="39" t="n">
        <f aca="false">IF(OR(LEFT($B105,4)="_Mil",SUM($F105)=0),"",ROUND(SUM($F105)*$P105,0))</f>
        <v>557</v>
      </c>
      <c r="R105" s="39" t="n">
        <f aca="false">IF(OR(LEFT($B105,4)="_Mil",SUM($Q105)=0),"",ROUND(MAX($Q105-SUM($N105),0),0))</f>
        <v>557</v>
      </c>
      <c r="S105" s="88" t="str">
        <f aca="false">IF(LEFT($B105,4)="_Mil","",IF(SUM($L105)=0,"",IF(SUM($M105)=0,1,$L105/$M105)))</f>
        <v/>
      </c>
      <c r="T105" s="88" t="str">
        <f aca="false">IF(LEFT($B105,4)="_Mil",0,"")</f>
        <v/>
      </c>
      <c r="U105" s="88"/>
      <c r="V105" s="88" t="str">
        <f aca="false">IF($U105="","",$U105)</f>
        <v/>
      </c>
      <c r="W105" s="88"/>
      <c r="X105" s="88" t="str">
        <f aca="false">IF($W105="","",$W105)</f>
        <v/>
      </c>
      <c r="Y105" s="10" t="str">
        <f aca="false">IF(LEFT($B105,4)="_Mil",IF(SUM($L105)=0,"",ROUND($L105*(1+$T105),0)),IF(SUM($R105)=0,"",IF($S105="","ENTER IN COL S",ROUND($R105*$S105,0))))</f>
        <v>ENTER IN COL S</v>
      </c>
      <c r="Z105" s="39" t="str">
        <f aca="false">IF(SUM($Y105)=0,"",IF(AND(SUM($Y105)&gt;0,$V105=""),"ENTER INDETERMINATE RATE",ROUND($Y105*$V105,0)))</f>
        <v/>
      </c>
      <c r="AA105" s="39" t="str">
        <f aca="false">IF(SUM($Y105)=0,"",IF(AND(($Y105-SUM($Z105))&gt;0,$X105=""),"ENTER YIELD RATE",ROUND(($Y105-SUM($Z105))*SUM($X105),0)))</f>
        <v/>
      </c>
      <c r="AB105" s="39" t="str">
        <f aca="false">IF(SUM($Y105)=0,"",$Y105-SUM($Z105)-SUM($AA105))</f>
        <v/>
      </c>
      <c r="AC105" s="10" t="str">
        <f aca="false">IFERROR(1/(1/INDEX(Cascade!$BH:$BH,MATCH($E105,Cascade!$E:$E,0))),"")</f>
        <v/>
      </c>
      <c r="AD105" s="10" t="str">
        <f aca="false">IF(SUM($AA105)=0,"",$AA105)</f>
        <v/>
      </c>
      <c r="AE105" s="10" t="str">
        <f aca="false">IFERROR(1/(1/INDEX(TB!$P:$P,MATCH($E105,TB!$E:$E,0))),"")</f>
        <v/>
      </c>
      <c r="AF105" s="10" t="str">
        <f aca="false">IFERROR(1/(1/(SUM($AC105)-SUM($AD105:$AE105))),"")</f>
        <v/>
      </c>
    </row>
    <row r="106" customFormat="false" ht="15" hidden="false" customHeight="false" outlineLevel="0" collapsed="false">
      <c r="A106" s="0" t="str">
        <f aca="false">INDEX(Prioritization!$D:$D,MATCH($B106,Prioritization!$A:$A,0))</f>
        <v>INVALID</v>
      </c>
      <c r="B106" s="0" t="s">
        <v>216</v>
      </c>
      <c r="C106" s="0" t="s">
        <v>368</v>
      </c>
      <c r="D106" s="0" t="s">
        <v>48</v>
      </c>
      <c r="E106" s="0" t="str">
        <f aca="false">B106&amp;"|"&amp;C106&amp;"|"&amp;D106</f>
        <v>Mulanje District [umc2n1Z4wNv]|50+|Male</v>
      </c>
      <c r="F106" s="10" t="n">
        <f aca="false">IF(LEFT($B106,4)="_Mil","",INDEX(Cascade!$T:$T,MATCH($E106,Cascade!$E:$E,0)))</f>
        <v>1860</v>
      </c>
      <c r="G106" s="10" t="str">
        <f aca="false">IF(LEFT($B106,4)="_Mil","",INDEX(Cascade!$U:$U,MATCH($E106,Cascade!$E:$E,0)))</f>
        <v/>
      </c>
      <c r="H106" s="86" t="n">
        <f aca="false">IF(LEFT($B106,4)="_Mil","",INDEX(Cascade!$W:$W,MATCH($E106,Cascade!$E:$E,0)))</f>
        <v>1556</v>
      </c>
      <c r="I106" s="10" t="n">
        <f aca="false">IF(LEFT($B106,4)="_Mil","",INDEX(Cascade!$Z:$Z,MATCH($E106,Cascade!$E:$E,0)))</f>
        <v>1871</v>
      </c>
      <c r="J106" s="88" t="n">
        <f aca="false">IF(LEFT($B106,4)="_Mil","",INDEX(Cascade!$AA:$AA,MATCH($E106,Cascade!$E:$E,0)))</f>
        <v>996</v>
      </c>
      <c r="K106" s="10"/>
      <c r="L106" s="10"/>
      <c r="M106" s="39" t="str">
        <f aca="false">IF(LEFT($B106,4)="_Mil","",IFERROR(1/(1/ROUND(INDEX(Spectrum!$N:$N,MATCH(RIGHT($B106,13)&amp;"|"&amp;$C106&amp;"|"&amp;$D106&amp;"|"&amp;M$14&amp;"|"&amp;"CY2023Q3",Spectrum!$R:$R,0)),0)),IF(SUM($L106)=0,"",$L106)))</f>
        <v/>
      </c>
      <c r="N106" s="39" t="str">
        <f aca="false">IF(LEFT($B106,4)="_Mil","",IFERROR(1/(1/ROUND(INDEX(Spectrum!$N:$N,MATCH(RIGHT($B106,13)&amp;"|"&amp;$C106&amp;"|"&amp;$D106&amp;"|"&amp;N$14&amp;"|"&amp;"CY2023Q3",Spectrum!$R:$R,0)),0)),IF(SUM($M106)=0,"",$M106)))</f>
        <v/>
      </c>
      <c r="O106" s="88" t="n">
        <f aca="false">IF(OR(LEFT($B106,4)="_Mil",SUM($F106)=0),"",SUM($N106)/$F106)</f>
        <v>0</v>
      </c>
      <c r="P106" s="88" t="n">
        <f aca="false">IF(OR(LEFT($B106,4)="_Mil",SUM($F106)=0),"",MAX(SUM($O106),80%))</f>
        <v>0.8</v>
      </c>
      <c r="Q106" s="39" t="n">
        <f aca="false">IF(OR(LEFT($B106,4)="_Mil",SUM($F106)=0),"",ROUND(SUM($F106)*$P106,0))</f>
        <v>1488</v>
      </c>
      <c r="R106" s="39" t="n">
        <f aca="false">IF(OR(LEFT($B106,4)="_Mil",SUM($Q106)=0),"",ROUND(MAX($Q106-SUM($N106),0),0))</f>
        <v>1488</v>
      </c>
      <c r="S106" s="88" t="str">
        <f aca="false">IF(LEFT($B106,4)="_Mil","",IF(SUM($L106)=0,"",IF(SUM($M106)=0,1,$L106/$M106)))</f>
        <v/>
      </c>
      <c r="T106" s="88" t="str">
        <f aca="false">IF(LEFT($B106,4)="_Mil",0,"")</f>
        <v/>
      </c>
      <c r="U106" s="88"/>
      <c r="V106" s="88" t="str">
        <f aca="false">IF($U106="","",$U106)</f>
        <v/>
      </c>
      <c r="W106" s="88"/>
      <c r="X106" s="88" t="str">
        <f aca="false">IF($W106="","",$W106)</f>
        <v/>
      </c>
      <c r="Y106" s="10" t="str">
        <f aca="false">IF(LEFT($B106,4)="_Mil",IF(SUM($L106)=0,"",ROUND($L106*(1+$T106),0)),IF(SUM($R106)=0,"",IF($S106="","ENTER IN COL S",ROUND($R106*$S106,0))))</f>
        <v>ENTER IN COL S</v>
      </c>
      <c r="Z106" s="39" t="str">
        <f aca="false">IF(SUM($Y106)=0,"",IF(AND(SUM($Y106)&gt;0,$V106=""),"ENTER INDETERMINATE RATE",ROUND($Y106*$V106,0)))</f>
        <v/>
      </c>
      <c r="AA106" s="39" t="str">
        <f aca="false">IF(SUM($Y106)=0,"",IF(AND(($Y106-SUM($Z106))&gt;0,$X106=""),"ENTER YIELD RATE",ROUND(($Y106-SUM($Z106))*SUM($X106),0)))</f>
        <v/>
      </c>
      <c r="AB106" s="39" t="str">
        <f aca="false">IF(SUM($Y106)=0,"",$Y106-SUM($Z106)-SUM($AA106))</f>
        <v/>
      </c>
      <c r="AC106" s="10" t="str">
        <f aca="false">IFERROR(1/(1/INDEX(Cascade!$BH:$BH,MATCH($E106,Cascade!$E:$E,0))),"")</f>
        <v/>
      </c>
      <c r="AD106" s="10" t="str">
        <f aca="false">IF(SUM($AA106)=0,"",$AA106)</f>
        <v/>
      </c>
      <c r="AE106" s="10" t="str">
        <f aca="false">IFERROR(1/(1/INDEX(TB!$P:$P,MATCH($E106,TB!$E:$E,0))),"")</f>
        <v/>
      </c>
      <c r="AF106" s="10" t="str">
        <f aca="false">IFERROR(1/(1/(SUM($AC106)-SUM($AD106:$AE106))),"")</f>
        <v/>
      </c>
    </row>
    <row r="107" customFormat="false" ht="15" hidden="false" customHeight="false" outlineLevel="0" collapsed="false">
      <c r="A107" s="0" t="str">
        <f aca="false">INDEX(Prioritization!$D:$D,MATCH($B107,Prioritization!$A:$A,0))</f>
        <v>INVALID</v>
      </c>
      <c r="B107" s="0" t="s">
        <v>217</v>
      </c>
      <c r="C107" s="0" t="s">
        <v>365</v>
      </c>
      <c r="D107" s="0" t="s">
        <v>48</v>
      </c>
      <c r="E107" s="0" t="str">
        <f aca="false">B107&amp;"|"&amp;C107&amp;"|"&amp;D107</f>
        <v>Mwanza District [wNqJp8oRIcF]|15-24|Male</v>
      </c>
      <c r="F107" s="10" t="n">
        <f aca="false">IF(LEFT($B107,4)="_Mil","",INDEX(Cascade!$T:$T,MATCH($E107,Cascade!$E:$E,0)))</f>
        <v>1538</v>
      </c>
      <c r="G107" s="10" t="str">
        <f aca="false">IF(LEFT($B107,4)="_Mil","",INDEX(Cascade!$U:$U,MATCH($E107,Cascade!$E:$E,0)))</f>
        <v/>
      </c>
      <c r="H107" s="86" t="n">
        <f aca="false">IF(LEFT($B107,4)="_Mil","",INDEX(Cascade!$W:$W,MATCH($E107,Cascade!$E:$E,0)))</f>
        <v>709</v>
      </c>
      <c r="I107" s="10" t="n">
        <f aca="false">IF(LEFT($B107,4)="_Mil","",INDEX(Cascade!$Z:$Z,MATCH($E107,Cascade!$E:$E,0)))</f>
        <v>1124</v>
      </c>
      <c r="J107" s="88" t="n">
        <f aca="false">IF(LEFT($B107,4)="_Mil","",INDEX(Cascade!$AA:$AA,MATCH($E107,Cascade!$E:$E,0)))</f>
        <v>636</v>
      </c>
      <c r="K107" s="10"/>
      <c r="L107" s="10"/>
      <c r="M107" s="39" t="str">
        <f aca="false">IF(LEFT($B107,4)="_Mil","",IFERROR(1/(1/ROUND(INDEX(Spectrum!$N:$N,MATCH(RIGHT($B107,13)&amp;"|"&amp;$C107&amp;"|"&amp;$D107&amp;"|"&amp;M$14&amp;"|"&amp;"CY2023Q3",Spectrum!$R:$R,0)),0)),IF(SUM($L107)=0,"",$L107)))</f>
        <v/>
      </c>
      <c r="N107" s="39" t="str">
        <f aca="false">IF(LEFT($B107,4)="_Mil","",IFERROR(1/(1/ROUND(INDEX(Spectrum!$N:$N,MATCH(RIGHT($B107,13)&amp;"|"&amp;$C107&amp;"|"&amp;$D107&amp;"|"&amp;N$14&amp;"|"&amp;"CY2023Q3",Spectrum!$R:$R,0)),0)),IF(SUM($M107)=0,"",$M107)))</f>
        <v/>
      </c>
      <c r="O107" s="88" t="n">
        <f aca="false">IF(OR(LEFT($B107,4)="_Mil",SUM($F107)=0),"",SUM($N107)/$F107)</f>
        <v>0</v>
      </c>
      <c r="P107" s="88" t="n">
        <f aca="false">IF(OR(LEFT($B107,4)="_Mil",SUM($F107)=0),"",MAX(SUM($O107),80%))</f>
        <v>0.8</v>
      </c>
      <c r="Q107" s="39" t="n">
        <f aca="false">IF(OR(LEFT($B107,4)="_Mil",SUM($F107)=0),"",ROUND(SUM($F107)*$P107,0))</f>
        <v>1230</v>
      </c>
      <c r="R107" s="39" t="n">
        <f aca="false">IF(OR(LEFT($B107,4)="_Mil",SUM($Q107)=0),"",ROUND(MAX($Q107-SUM($N107),0),0))</f>
        <v>1230</v>
      </c>
      <c r="S107" s="88" t="str">
        <f aca="false">IF(LEFT($B107,4)="_Mil","",IF(SUM($L107)=0,"",IF(SUM($M107)=0,1,$L107/$M107)))</f>
        <v/>
      </c>
      <c r="T107" s="88" t="str">
        <f aca="false">IF(LEFT($B107,4)="_Mil",0,"")</f>
        <v/>
      </c>
      <c r="U107" s="88"/>
      <c r="V107" s="88" t="str">
        <f aca="false">IF($U107="","",$U107)</f>
        <v/>
      </c>
      <c r="W107" s="88"/>
      <c r="X107" s="88" t="str">
        <f aca="false">IF($W107="","",$W107)</f>
        <v/>
      </c>
      <c r="Y107" s="10" t="str">
        <f aca="false">IF(LEFT($B107,4)="_Mil",IF(SUM($L107)=0,"",ROUND($L107*(1+$T107),0)),IF(SUM($R107)=0,"",IF($S107="","ENTER IN COL S",ROUND($R107*$S107,0))))</f>
        <v>ENTER IN COL S</v>
      </c>
      <c r="Z107" s="39" t="str">
        <f aca="false">IF(SUM($Y107)=0,"",IF(AND(SUM($Y107)&gt;0,$V107=""),"ENTER INDETERMINATE RATE",ROUND($Y107*$V107,0)))</f>
        <v/>
      </c>
      <c r="AA107" s="39" t="str">
        <f aca="false">IF(SUM($Y107)=0,"",IF(AND(($Y107-SUM($Z107))&gt;0,$X107=""),"ENTER YIELD RATE",ROUND(($Y107-SUM($Z107))*SUM($X107),0)))</f>
        <v/>
      </c>
      <c r="AB107" s="39" t="str">
        <f aca="false">IF(SUM($Y107)=0,"",$Y107-SUM($Z107)-SUM($AA107))</f>
        <v/>
      </c>
      <c r="AC107" s="10" t="str">
        <f aca="false">IFERROR(1/(1/INDEX(Cascade!$BH:$BH,MATCH($E107,Cascade!$E:$E,0))),"")</f>
        <v/>
      </c>
      <c r="AD107" s="10" t="str">
        <f aca="false">IF(SUM($AA107)=0,"",$AA107)</f>
        <v/>
      </c>
      <c r="AE107" s="10" t="str">
        <f aca="false">IFERROR(1/(1/INDEX(TB!$P:$P,MATCH($E107,TB!$E:$E,0))),"")</f>
        <v/>
      </c>
      <c r="AF107" s="10" t="str">
        <f aca="false">IFERROR(1/(1/(SUM($AC107)-SUM($AD107:$AE107))),"")</f>
        <v/>
      </c>
    </row>
    <row r="108" customFormat="false" ht="15" hidden="false" customHeight="false" outlineLevel="0" collapsed="false">
      <c r="A108" s="0" t="str">
        <f aca="false">INDEX(Prioritization!$D:$D,MATCH($B108,Prioritization!$A:$A,0))</f>
        <v>INVALID</v>
      </c>
      <c r="B108" s="0" t="s">
        <v>217</v>
      </c>
      <c r="C108" s="0" t="s">
        <v>366</v>
      </c>
      <c r="D108" s="0" t="s">
        <v>48</v>
      </c>
      <c r="E108" s="0" t="str">
        <f aca="false">B108&amp;"|"&amp;C108&amp;"|"&amp;D108</f>
        <v>Mwanza District [wNqJp8oRIcF]|25-34|Male</v>
      </c>
      <c r="F108" s="10" t="n">
        <f aca="false">IF(LEFT($B108,4)="_Mil","",INDEX(Cascade!$T:$T,MATCH($E108,Cascade!$E:$E,0)))</f>
        <v>1510</v>
      </c>
      <c r="G108" s="10" t="str">
        <f aca="false">IF(LEFT($B108,4)="_Mil","",INDEX(Cascade!$U:$U,MATCH($E108,Cascade!$E:$E,0)))</f>
        <v/>
      </c>
      <c r="H108" s="86" t="n">
        <f aca="false">IF(LEFT($B108,4)="_Mil","",INDEX(Cascade!$W:$W,MATCH($E108,Cascade!$E:$E,0)))</f>
        <v>1486</v>
      </c>
      <c r="I108" s="10" t="n">
        <f aca="false">IF(LEFT($B108,4)="_Mil","",INDEX(Cascade!$Z:$Z,MATCH($E108,Cascade!$E:$E,0)))</f>
        <v>559</v>
      </c>
      <c r="J108" s="88" t="n">
        <f aca="false">IF(LEFT($B108,4)="_Mil","",INDEX(Cascade!$AA:$AA,MATCH($E108,Cascade!$E:$E,0)))</f>
        <v>635</v>
      </c>
      <c r="K108" s="10"/>
      <c r="L108" s="10"/>
      <c r="M108" s="39" t="str">
        <f aca="false">IF(LEFT($B108,4)="_Mil","",IFERROR(1/(1/ROUND(INDEX(Spectrum!$N:$N,MATCH(RIGHT($B108,13)&amp;"|"&amp;$C108&amp;"|"&amp;$D108&amp;"|"&amp;M$14&amp;"|"&amp;"CY2023Q3",Spectrum!$R:$R,0)),0)),IF(SUM($L108)=0,"",$L108)))</f>
        <v/>
      </c>
      <c r="N108" s="39" t="str">
        <f aca="false">IF(LEFT($B108,4)="_Mil","",IFERROR(1/(1/ROUND(INDEX(Spectrum!$N:$N,MATCH(RIGHT($B108,13)&amp;"|"&amp;$C108&amp;"|"&amp;$D108&amp;"|"&amp;N$14&amp;"|"&amp;"CY2023Q3",Spectrum!$R:$R,0)),0)),IF(SUM($M108)=0,"",$M108)))</f>
        <v/>
      </c>
      <c r="O108" s="88" t="n">
        <f aca="false">IF(OR(LEFT($B108,4)="_Mil",SUM($F108)=0),"",SUM($N108)/$F108)</f>
        <v>0</v>
      </c>
      <c r="P108" s="88" t="n">
        <f aca="false">IF(OR(LEFT($B108,4)="_Mil",SUM($F108)=0),"",MAX(SUM($O108),80%))</f>
        <v>0.8</v>
      </c>
      <c r="Q108" s="39" t="n">
        <f aca="false">IF(OR(LEFT($B108,4)="_Mil",SUM($F108)=0),"",ROUND(SUM($F108)*$P108,0))</f>
        <v>1208</v>
      </c>
      <c r="R108" s="39" t="n">
        <f aca="false">IF(OR(LEFT($B108,4)="_Mil",SUM($Q108)=0),"",ROUND(MAX($Q108-SUM($N108),0),0))</f>
        <v>1208</v>
      </c>
      <c r="S108" s="88" t="str">
        <f aca="false">IF(LEFT($B108,4)="_Mil","",IF(SUM($L108)=0,"",IF(SUM($M108)=0,1,$L108/$M108)))</f>
        <v/>
      </c>
      <c r="T108" s="88" t="str">
        <f aca="false">IF(LEFT($B108,4)="_Mil",0,"")</f>
        <v/>
      </c>
      <c r="U108" s="88"/>
      <c r="V108" s="88" t="str">
        <f aca="false">IF($U108="","",$U108)</f>
        <v/>
      </c>
      <c r="W108" s="88"/>
      <c r="X108" s="88" t="str">
        <f aca="false">IF($W108="","",$W108)</f>
        <v/>
      </c>
      <c r="Y108" s="10" t="str">
        <f aca="false">IF(LEFT($B108,4)="_Mil",IF(SUM($L108)=0,"",ROUND($L108*(1+$T108),0)),IF(SUM($R108)=0,"",IF($S108="","ENTER IN COL S",ROUND($R108*$S108,0))))</f>
        <v>ENTER IN COL S</v>
      </c>
      <c r="Z108" s="39" t="str">
        <f aca="false">IF(SUM($Y108)=0,"",IF(AND(SUM($Y108)&gt;0,$V108=""),"ENTER INDETERMINATE RATE",ROUND($Y108*$V108,0)))</f>
        <v/>
      </c>
      <c r="AA108" s="39" t="str">
        <f aca="false">IF(SUM($Y108)=0,"",IF(AND(($Y108-SUM($Z108))&gt;0,$X108=""),"ENTER YIELD RATE",ROUND(($Y108-SUM($Z108))*SUM($X108),0)))</f>
        <v/>
      </c>
      <c r="AB108" s="39" t="str">
        <f aca="false">IF(SUM($Y108)=0,"",$Y108-SUM($Z108)-SUM($AA108))</f>
        <v/>
      </c>
      <c r="AC108" s="10" t="str">
        <f aca="false">IFERROR(1/(1/INDEX(Cascade!$BH:$BH,MATCH($E108,Cascade!$E:$E,0))),"")</f>
        <v/>
      </c>
      <c r="AD108" s="10" t="str">
        <f aca="false">IF(SUM($AA108)=0,"",$AA108)</f>
        <v/>
      </c>
      <c r="AE108" s="10" t="str">
        <f aca="false">IFERROR(1/(1/INDEX(TB!$P:$P,MATCH($E108,TB!$E:$E,0))),"")</f>
        <v/>
      </c>
      <c r="AF108" s="10" t="str">
        <f aca="false">IFERROR(1/(1/(SUM($AC108)-SUM($AD108:$AE108))),"")</f>
        <v/>
      </c>
    </row>
    <row r="109" customFormat="false" ht="15" hidden="false" customHeight="false" outlineLevel="0" collapsed="false">
      <c r="A109" s="0" t="str">
        <f aca="false">INDEX(Prioritization!$D:$D,MATCH($B109,Prioritization!$A:$A,0))</f>
        <v>INVALID</v>
      </c>
      <c r="B109" s="0" t="s">
        <v>217</v>
      </c>
      <c r="C109" s="0" t="s">
        <v>367</v>
      </c>
      <c r="D109" s="0" t="s">
        <v>48</v>
      </c>
      <c r="E109" s="0" t="str">
        <f aca="false">B109&amp;"|"&amp;C109&amp;"|"&amp;D109</f>
        <v>Mwanza District [wNqJp8oRIcF]|35-49|Male</v>
      </c>
      <c r="F109" s="10" t="n">
        <f aca="false">IF(LEFT($B109,4)="_Mil","",INDEX(Cascade!$T:$T,MATCH($E109,Cascade!$E:$E,0)))</f>
        <v>1641</v>
      </c>
      <c r="G109" s="10" t="str">
        <f aca="false">IF(LEFT($B109,4)="_Mil","",INDEX(Cascade!$U:$U,MATCH($E109,Cascade!$E:$E,0)))</f>
        <v/>
      </c>
      <c r="H109" s="86" t="n">
        <f aca="false">IF(LEFT($B109,4)="_Mil","",INDEX(Cascade!$W:$W,MATCH($E109,Cascade!$E:$E,0)))</f>
        <v>1592</v>
      </c>
      <c r="I109" s="10" t="n">
        <f aca="false">IF(LEFT($B109,4)="_Mil","",INDEX(Cascade!$Z:$Z,MATCH($E109,Cascade!$E:$E,0)))</f>
        <v>1322</v>
      </c>
      <c r="J109" s="88" t="n">
        <f aca="false">IF(LEFT($B109,4)="_Mil","",INDEX(Cascade!$AA:$AA,MATCH($E109,Cascade!$E:$E,0)))</f>
        <v>1010</v>
      </c>
      <c r="K109" s="10"/>
      <c r="L109" s="10"/>
      <c r="M109" s="39" t="str">
        <f aca="false">IF(LEFT($B109,4)="_Mil","",IFERROR(1/(1/ROUND(INDEX(Spectrum!$N:$N,MATCH(RIGHT($B109,13)&amp;"|"&amp;$C109&amp;"|"&amp;$D109&amp;"|"&amp;M$14&amp;"|"&amp;"CY2023Q3",Spectrum!$R:$R,0)),0)),IF(SUM($L109)=0,"",$L109)))</f>
        <v/>
      </c>
      <c r="N109" s="39" t="str">
        <f aca="false">IF(LEFT($B109,4)="_Mil","",IFERROR(1/(1/ROUND(INDEX(Spectrum!$N:$N,MATCH(RIGHT($B109,13)&amp;"|"&amp;$C109&amp;"|"&amp;$D109&amp;"|"&amp;N$14&amp;"|"&amp;"CY2023Q3",Spectrum!$R:$R,0)),0)),IF(SUM($M109)=0,"",$M109)))</f>
        <v/>
      </c>
      <c r="O109" s="88" t="n">
        <f aca="false">IF(OR(LEFT($B109,4)="_Mil",SUM($F109)=0),"",SUM($N109)/$F109)</f>
        <v>0</v>
      </c>
      <c r="P109" s="88" t="n">
        <f aca="false">IF(OR(LEFT($B109,4)="_Mil",SUM($F109)=0),"",MAX(SUM($O109),80%))</f>
        <v>0.8</v>
      </c>
      <c r="Q109" s="39" t="n">
        <f aca="false">IF(OR(LEFT($B109,4)="_Mil",SUM($F109)=0),"",ROUND(SUM($F109)*$P109,0))</f>
        <v>1313</v>
      </c>
      <c r="R109" s="39" t="n">
        <f aca="false">IF(OR(LEFT($B109,4)="_Mil",SUM($Q109)=0),"",ROUND(MAX($Q109-SUM($N109),0),0))</f>
        <v>1313</v>
      </c>
      <c r="S109" s="88" t="str">
        <f aca="false">IF(LEFT($B109,4)="_Mil","",IF(SUM($L109)=0,"",IF(SUM($M109)=0,1,$L109/$M109)))</f>
        <v/>
      </c>
      <c r="T109" s="88" t="str">
        <f aca="false">IF(LEFT($B109,4)="_Mil",0,"")</f>
        <v/>
      </c>
      <c r="U109" s="88"/>
      <c r="V109" s="88" t="str">
        <f aca="false">IF($U109="","",$U109)</f>
        <v/>
      </c>
      <c r="W109" s="88"/>
      <c r="X109" s="88" t="str">
        <f aca="false">IF($W109="","",$W109)</f>
        <v/>
      </c>
      <c r="Y109" s="10" t="str">
        <f aca="false">IF(LEFT($B109,4)="_Mil",IF(SUM($L109)=0,"",ROUND($L109*(1+$T109),0)),IF(SUM($R109)=0,"",IF($S109="","ENTER IN COL S",ROUND($R109*$S109,0))))</f>
        <v>ENTER IN COL S</v>
      </c>
      <c r="Z109" s="39" t="str">
        <f aca="false">IF(SUM($Y109)=0,"",IF(AND(SUM($Y109)&gt;0,$V109=""),"ENTER INDETERMINATE RATE",ROUND($Y109*$V109,0)))</f>
        <v/>
      </c>
      <c r="AA109" s="39" t="str">
        <f aca="false">IF(SUM($Y109)=0,"",IF(AND(($Y109-SUM($Z109))&gt;0,$X109=""),"ENTER YIELD RATE",ROUND(($Y109-SUM($Z109))*SUM($X109),0)))</f>
        <v/>
      </c>
      <c r="AB109" s="39" t="str">
        <f aca="false">IF(SUM($Y109)=0,"",$Y109-SUM($Z109)-SUM($AA109))</f>
        <v/>
      </c>
      <c r="AC109" s="10" t="str">
        <f aca="false">IFERROR(1/(1/INDEX(Cascade!$BH:$BH,MATCH($E109,Cascade!$E:$E,0))),"")</f>
        <v/>
      </c>
      <c r="AD109" s="10" t="str">
        <f aca="false">IF(SUM($AA109)=0,"",$AA109)</f>
        <v/>
      </c>
      <c r="AE109" s="10" t="str">
        <f aca="false">IFERROR(1/(1/INDEX(TB!$P:$P,MATCH($E109,TB!$E:$E,0))),"")</f>
        <v/>
      </c>
      <c r="AF109" s="10" t="str">
        <f aca="false">IFERROR(1/(1/(SUM($AC109)-SUM($AD109:$AE109))),"")</f>
        <v/>
      </c>
    </row>
    <row r="110" customFormat="false" ht="15" hidden="false" customHeight="false" outlineLevel="0" collapsed="false">
      <c r="A110" s="0" t="str">
        <f aca="false">INDEX(Prioritization!$D:$D,MATCH($B110,Prioritization!$A:$A,0))</f>
        <v>INVALID</v>
      </c>
      <c r="B110" s="0" t="s">
        <v>217</v>
      </c>
      <c r="C110" s="0" t="s">
        <v>368</v>
      </c>
      <c r="D110" s="0" t="s">
        <v>48</v>
      </c>
      <c r="E110" s="0" t="str">
        <f aca="false">B110&amp;"|"&amp;C110&amp;"|"&amp;D110</f>
        <v>Mwanza District [wNqJp8oRIcF]|50+|Male</v>
      </c>
      <c r="F110" s="10" t="n">
        <f aca="false">IF(LEFT($B110,4)="_Mil","",INDEX(Cascade!$T:$T,MATCH($E110,Cascade!$E:$E,0)))</f>
        <v>1807</v>
      </c>
      <c r="G110" s="10" t="str">
        <f aca="false">IF(LEFT($B110,4)="_Mil","",INDEX(Cascade!$U:$U,MATCH($E110,Cascade!$E:$E,0)))</f>
        <v/>
      </c>
      <c r="H110" s="86" t="n">
        <f aca="false">IF(LEFT($B110,4)="_Mil","",INDEX(Cascade!$W:$W,MATCH($E110,Cascade!$E:$E,0)))</f>
        <v>1230</v>
      </c>
      <c r="I110" s="10" t="n">
        <f aca="false">IF(LEFT($B110,4)="_Mil","",INDEX(Cascade!$Z:$Z,MATCH($E110,Cascade!$E:$E,0)))</f>
        <v>1914</v>
      </c>
      <c r="J110" s="88" t="n">
        <f aca="false">IF(LEFT($B110,4)="_Mil","",INDEX(Cascade!$AA:$AA,MATCH($E110,Cascade!$E:$E,0)))</f>
        <v>1772</v>
      </c>
      <c r="K110" s="10"/>
      <c r="L110" s="10"/>
      <c r="M110" s="39" t="str">
        <f aca="false">IF(LEFT($B110,4)="_Mil","",IFERROR(1/(1/ROUND(INDEX(Spectrum!$N:$N,MATCH(RIGHT($B110,13)&amp;"|"&amp;$C110&amp;"|"&amp;$D110&amp;"|"&amp;M$14&amp;"|"&amp;"CY2023Q3",Spectrum!$R:$R,0)),0)),IF(SUM($L110)=0,"",$L110)))</f>
        <v/>
      </c>
      <c r="N110" s="39" t="str">
        <f aca="false">IF(LEFT($B110,4)="_Mil","",IFERROR(1/(1/ROUND(INDEX(Spectrum!$N:$N,MATCH(RIGHT($B110,13)&amp;"|"&amp;$C110&amp;"|"&amp;$D110&amp;"|"&amp;N$14&amp;"|"&amp;"CY2023Q3",Spectrum!$R:$R,0)),0)),IF(SUM($M110)=0,"",$M110)))</f>
        <v/>
      </c>
      <c r="O110" s="88" t="n">
        <f aca="false">IF(OR(LEFT($B110,4)="_Mil",SUM($F110)=0),"",SUM($N110)/$F110)</f>
        <v>0</v>
      </c>
      <c r="P110" s="88" t="n">
        <f aca="false">IF(OR(LEFT($B110,4)="_Mil",SUM($F110)=0),"",MAX(SUM($O110),80%))</f>
        <v>0.8</v>
      </c>
      <c r="Q110" s="39" t="n">
        <f aca="false">IF(OR(LEFT($B110,4)="_Mil",SUM($F110)=0),"",ROUND(SUM($F110)*$P110,0))</f>
        <v>1446</v>
      </c>
      <c r="R110" s="39" t="n">
        <f aca="false">IF(OR(LEFT($B110,4)="_Mil",SUM($Q110)=0),"",ROUND(MAX($Q110-SUM($N110),0),0))</f>
        <v>1446</v>
      </c>
      <c r="S110" s="88" t="str">
        <f aca="false">IF(LEFT($B110,4)="_Mil","",IF(SUM($L110)=0,"",IF(SUM($M110)=0,1,$L110/$M110)))</f>
        <v/>
      </c>
      <c r="T110" s="88" t="str">
        <f aca="false">IF(LEFT($B110,4)="_Mil",0,"")</f>
        <v/>
      </c>
      <c r="U110" s="88"/>
      <c r="V110" s="88" t="str">
        <f aca="false">IF($U110="","",$U110)</f>
        <v/>
      </c>
      <c r="W110" s="88"/>
      <c r="X110" s="88" t="str">
        <f aca="false">IF($W110="","",$W110)</f>
        <v/>
      </c>
      <c r="Y110" s="10" t="str">
        <f aca="false">IF(LEFT($B110,4)="_Mil",IF(SUM($L110)=0,"",ROUND($L110*(1+$T110),0)),IF(SUM($R110)=0,"",IF($S110="","ENTER IN COL S",ROUND($R110*$S110,0))))</f>
        <v>ENTER IN COL S</v>
      </c>
      <c r="Z110" s="39" t="str">
        <f aca="false">IF(SUM($Y110)=0,"",IF(AND(SUM($Y110)&gt;0,$V110=""),"ENTER INDETERMINATE RATE",ROUND($Y110*$V110,0)))</f>
        <v/>
      </c>
      <c r="AA110" s="39" t="str">
        <f aca="false">IF(SUM($Y110)=0,"",IF(AND(($Y110-SUM($Z110))&gt;0,$X110=""),"ENTER YIELD RATE",ROUND(($Y110-SUM($Z110))*SUM($X110),0)))</f>
        <v/>
      </c>
      <c r="AB110" s="39" t="str">
        <f aca="false">IF(SUM($Y110)=0,"",$Y110-SUM($Z110)-SUM($AA110))</f>
        <v/>
      </c>
      <c r="AC110" s="10" t="str">
        <f aca="false">IFERROR(1/(1/INDEX(Cascade!$BH:$BH,MATCH($E110,Cascade!$E:$E,0))),"")</f>
        <v/>
      </c>
      <c r="AD110" s="10" t="str">
        <f aca="false">IF(SUM($AA110)=0,"",$AA110)</f>
        <v/>
      </c>
      <c r="AE110" s="10" t="str">
        <f aca="false">IFERROR(1/(1/INDEX(TB!$P:$P,MATCH($E110,TB!$E:$E,0))),"")</f>
        <v/>
      </c>
      <c r="AF110" s="10" t="str">
        <f aca="false">IFERROR(1/(1/(SUM($AC110)-SUM($AD110:$AE110))),"")</f>
        <v/>
      </c>
    </row>
    <row r="111" customFormat="false" ht="15" hidden="false" customHeight="false" outlineLevel="0" collapsed="false">
      <c r="A111" s="0" t="str">
        <f aca="false">INDEX(Prioritization!$D:$D,MATCH($B111,Prioritization!$A:$A,0))</f>
        <v>INVALID</v>
      </c>
      <c r="B111" s="0" t="s">
        <v>218</v>
      </c>
      <c r="C111" s="0" t="s">
        <v>365</v>
      </c>
      <c r="D111" s="0" t="s">
        <v>48</v>
      </c>
      <c r="E111" s="0" t="str">
        <f aca="false">B111&amp;"|"&amp;C111&amp;"|"&amp;D111</f>
        <v>Neno District [gwVYinjBAe9]|15-24|Male</v>
      </c>
      <c r="F111" s="10" t="n">
        <f aca="false">IF(LEFT($B111,4)="_Mil","",INDEX(Cascade!$T:$T,MATCH($E111,Cascade!$E:$E,0)))</f>
        <v>1900</v>
      </c>
      <c r="G111" s="10" t="str">
        <f aca="false">IF(LEFT($B111,4)="_Mil","",INDEX(Cascade!$U:$U,MATCH($E111,Cascade!$E:$E,0)))</f>
        <v/>
      </c>
      <c r="H111" s="86" t="n">
        <f aca="false">IF(LEFT($B111,4)="_Mil","",INDEX(Cascade!$W:$W,MATCH($E111,Cascade!$E:$E,0)))</f>
        <v>545</v>
      </c>
      <c r="I111" s="10" t="n">
        <f aca="false">IF(LEFT($B111,4)="_Mil","",INDEX(Cascade!$Z:$Z,MATCH($E111,Cascade!$E:$E,0)))</f>
        <v>1773</v>
      </c>
      <c r="J111" s="88" t="n">
        <f aca="false">IF(LEFT($B111,4)="_Mil","",INDEX(Cascade!$AA:$AA,MATCH($E111,Cascade!$E:$E,0)))</f>
        <v>760</v>
      </c>
      <c r="K111" s="10"/>
      <c r="L111" s="10"/>
      <c r="M111" s="39" t="str">
        <f aca="false">IF(LEFT($B111,4)="_Mil","",IFERROR(1/(1/ROUND(INDEX(Spectrum!$N:$N,MATCH(RIGHT($B111,13)&amp;"|"&amp;$C111&amp;"|"&amp;$D111&amp;"|"&amp;M$14&amp;"|"&amp;"CY2023Q3",Spectrum!$R:$R,0)),0)),IF(SUM($L111)=0,"",$L111)))</f>
        <v/>
      </c>
      <c r="N111" s="39" t="str">
        <f aca="false">IF(LEFT($B111,4)="_Mil","",IFERROR(1/(1/ROUND(INDEX(Spectrum!$N:$N,MATCH(RIGHT($B111,13)&amp;"|"&amp;$C111&amp;"|"&amp;$D111&amp;"|"&amp;N$14&amp;"|"&amp;"CY2023Q3",Spectrum!$R:$R,0)),0)),IF(SUM($M111)=0,"",$M111)))</f>
        <v/>
      </c>
      <c r="O111" s="88" t="n">
        <f aca="false">IF(OR(LEFT($B111,4)="_Mil",SUM($F111)=0),"",SUM($N111)/$F111)</f>
        <v>0</v>
      </c>
      <c r="P111" s="88" t="n">
        <f aca="false">IF(OR(LEFT($B111,4)="_Mil",SUM($F111)=0),"",MAX(SUM($O111),80%))</f>
        <v>0.8</v>
      </c>
      <c r="Q111" s="39" t="n">
        <f aca="false">IF(OR(LEFT($B111,4)="_Mil",SUM($F111)=0),"",ROUND(SUM($F111)*$P111,0))</f>
        <v>1520</v>
      </c>
      <c r="R111" s="39" t="n">
        <f aca="false">IF(OR(LEFT($B111,4)="_Mil",SUM($Q111)=0),"",ROUND(MAX($Q111-SUM($N111),0),0))</f>
        <v>1520</v>
      </c>
      <c r="S111" s="88" t="str">
        <f aca="false">IF(LEFT($B111,4)="_Mil","",IF(SUM($L111)=0,"",IF(SUM($M111)=0,1,$L111/$M111)))</f>
        <v/>
      </c>
      <c r="T111" s="88" t="str">
        <f aca="false">IF(LEFT($B111,4)="_Mil",0,"")</f>
        <v/>
      </c>
      <c r="U111" s="88"/>
      <c r="V111" s="88" t="str">
        <f aca="false">IF($U111="","",$U111)</f>
        <v/>
      </c>
      <c r="W111" s="88"/>
      <c r="X111" s="88" t="str">
        <f aca="false">IF($W111="","",$W111)</f>
        <v/>
      </c>
      <c r="Y111" s="10" t="str">
        <f aca="false">IF(LEFT($B111,4)="_Mil",IF(SUM($L111)=0,"",ROUND($L111*(1+$T111),0)),IF(SUM($R111)=0,"",IF($S111="","ENTER IN COL S",ROUND($R111*$S111,0))))</f>
        <v>ENTER IN COL S</v>
      </c>
      <c r="Z111" s="39" t="str">
        <f aca="false">IF(SUM($Y111)=0,"",IF(AND(SUM($Y111)&gt;0,$V111=""),"ENTER INDETERMINATE RATE",ROUND($Y111*$V111,0)))</f>
        <v/>
      </c>
      <c r="AA111" s="39" t="str">
        <f aca="false">IF(SUM($Y111)=0,"",IF(AND(($Y111-SUM($Z111))&gt;0,$X111=""),"ENTER YIELD RATE",ROUND(($Y111-SUM($Z111))*SUM($X111),0)))</f>
        <v/>
      </c>
      <c r="AB111" s="39" t="str">
        <f aca="false">IF(SUM($Y111)=0,"",$Y111-SUM($Z111)-SUM($AA111))</f>
        <v/>
      </c>
      <c r="AC111" s="10" t="str">
        <f aca="false">IFERROR(1/(1/INDEX(Cascade!$BH:$BH,MATCH($E111,Cascade!$E:$E,0))),"")</f>
        <v/>
      </c>
      <c r="AD111" s="10" t="str">
        <f aca="false">IF(SUM($AA111)=0,"",$AA111)</f>
        <v/>
      </c>
      <c r="AE111" s="10" t="str">
        <f aca="false">IFERROR(1/(1/INDEX(TB!$P:$P,MATCH($E111,TB!$E:$E,0))),"")</f>
        <v/>
      </c>
      <c r="AF111" s="10" t="str">
        <f aca="false">IFERROR(1/(1/(SUM($AC111)-SUM($AD111:$AE111))),"")</f>
        <v/>
      </c>
    </row>
    <row r="112" customFormat="false" ht="15" hidden="false" customHeight="false" outlineLevel="0" collapsed="false">
      <c r="A112" s="0" t="str">
        <f aca="false">INDEX(Prioritization!$D:$D,MATCH($B112,Prioritization!$A:$A,0))</f>
        <v>INVALID</v>
      </c>
      <c r="B112" s="0" t="s">
        <v>218</v>
      </c>
      <c r="C112" s="0" t="s">
        <v>366</v>
      </c>
      <c r="D112" s="0" t="s">
        <v>48</v>
      </c>
      <c r="E112" s="0" t="str">
        <f aca="false">B112&amp;"|"&amp;C112&amp;"|"&amp;D112</f>
        <v>Neno District [gwVYinjBAe9]|25-34|Male</v>
      </c>
      <c r="F112" s="10" t="n">
        <f aca="false">IF(LEFT($B112,4)="_Mil","",INDEX(Cascade!$T:$T,MATCH($E112,Cascade!$E:$E,0)))</f>
        <v>1220</v>
      </c>
      <c r="G112" s="10" t="str">
        <f aca="false">IF(LEFT($B112,4)="_Mil","",INDEX(Cascade!$U:$U,MATCH($E112,Cascade!$E:$E,0)))</f>
        <v/>
      </c>
      <c r="H112" s="86" t="n">
        <f aca="false">IF(LEFT($B112,4)="_Mil","",INDEX(Cascade!$W:$W,MATCH($E112,Cascade!$E:$E,0)))</f>
        <v>1875</v>
      </c>
      <c r="I112" s="10" t="n">
        <f aca="false">IF(LEFT($B112,4)="_Mil","",INDEX(Cascade!$Z:$Z,MATCH($E112,Cascade!$E:$E,0)))</f>
        <v>1310</v>
      </c>
      <c r="J112" s="88" t="n">
        <f aca="false">IF(LEFT($B112,4)="_Mil","",INDEX(Cascade!$AA:$AA,MATCH($E112,Cascade!$E:$E,0)))</f>
        <v>1491</v>
      </c>
      <c r="K112" s="10"/>
      <c r="L112" s="10"/>
      <c r="M112" s="39" t="str">
        <f aca="false">IF(LEFT($B112,4)="_Mil","",IFERROR(1/(1/ROUND(INDEX(Spectrum!$N:$N,MATCH(RIGHT($B112,13)&amp;"|"&amp;$C112&amp;"|"&amp;$D112&amp;"|"&amp;M$14&amp;"|"&amp;"CY2023Q3",Spectrum!$R:$R,0)),0)),IF(SUM($L112)=0,"",$L112)))</f>
        <v/>
      </c>
      <c r="N112" s="39" t="str">
        <f aca="false">IF(LEFT($B112,4)="_Mil","",IFERROR(1/(1/ROUND(INDEX(Spectrum!$N:$N,MATCH(RIGHT($B112,13)&amp;"|"&amp;$C112&amp;"|"&amp;$D112&amp;"|"&amp;N$14&amp;"|"&amp;"CY2023Q3",Spectrum!$R:$R,0)),0)),IF(SUM($M112)=0,"",$M112)))</f>
        <v/>
      </c>
      <c r="O112" s="88" t="n">
        <f aca="false">IF(OR(LEFT($B112,4)="_Mil",SUM($F112)=0),"",SUM($N112)/$F112)</f>
        <v>0</v>
      </c>
      <c r="P112" s="88" t="n">
        <f aca="false">IF(OR(LEFT($B112,4)="_Mil",SUM($F112)=0),"",MAX(SUM($O112),80%))</f>
        <v>0.8</v>
      </c>
      <c r="Q112" s="39" t="n">
        <f aca="false">IF(OR(LEFT($B112,4)="_Mil",SUM($F112)=0),"",ROUND(SUM($F112)*$P112,0))</f>
        <v>976</v>
      </c>
      <c r="R112" s="39" t="n">
        <f aca="false">IF(OR(LEFT($B112,4)="_Mil",SUM($Q112)=0),"",ROUND(MAX($Q112-SUM($N112),0),0))</f>
        <v>976</v>
      </c>
      <c r="S112" s="88" t="str">
        <f aca="false">IF(LEFT($B112,4)="_Mil","",IF(SUM($L112)=0,"",IF(SUM($M112)=0,1,$L112/$M112)))</f>
        <v/>
      </c>
      <c r="T112" s="88" t="str">
        <f aca="false">IF(LEFT($B112,4)="_Mil",0,"")</f>
        <v/>
      </c>
      <c r="U112" s="88"/>
      <c r="V112" s="88" t="str">
        <f aca="false">IF($U112="","",$U112)</f>
        <v/>
      </c>
      <c r="W112" s="88"/>
      <c r="X112" s="88" t="str">
        <f aca="false">IF($W112="","",$W112)</f>
        <v/>
      </c>
      <c r="Y112" s="10" t="str">
        <f aca="false">IF(LEFT($B112,4)="_Mil",IF(SUM($L112)=0,"",ROUND($L112*(1+$T112),0)),IF(SUM($R112)=0,"",IF($S112="","ENTER IN COL S",ROUND($R112*$S112,0))))</f>
        <v>ENTER IN COL S</v>
      </c>
      <c r="Z112" s="39" t="str">
        <f aca="false">IF(SUM($Y112)=0,"",IF(AND(SUM($Y112)&gt;0,$V112=""),"ENTER INDETERMINATE RATE",ROUND($Y112*$V112,0)))</f>
        <v/>
      </c>
      <c r="AA112" s="39" t="str">
        <f aca="false">IF(SUM($Y112)=0,"",IF(AND(($Y112-SUM($Z112))&gt;0,$X112=""),"ENTER YIELD RATE",ROUND(($Y112-SUM($Z112))*SUM($X112),0)))</f>
        <v/>
      </c>
      <c r="AB112" s="39" t="str">
        <f aca="false">IF(SUM($Y112)=0,"",$Y112-SUM($Z112)-SUM($AA112))</f>
        <v/>
      </c>
      <c r="AC112" s="10" t="str">
        <f aca="false">IFERROR(1/(1/INDEX(Cascade!$BH:$BH,MATCH($E112,Cascade!$E:$E,0))),"")</f>
        <v/>
      </c>
      <c r="AD112" s="10" t="str">
        <f aca="false">IF(SUM($AA112)=0,"",$AA112)</f>
        <v/>
      </c>
      <c r="AE112" s="10" t="str">
        <f aca="false">IFERROR(1/(1/INDEX(TB!$P:$P,MATCH($E112,TB!$E:$E,0))),"")</f>
        <v/>
      </c>
      <c r="AF112" s="10" t="str">
        <f aca="false">IFERROR(1/(1/(SUM($AC112)-SUM($AD112:$AE112))),"")</f>
        <v/>
      </c>
    </row>
    <row r="113" customFormat="false" ht="15" hidden="false" customHeight="false" outlineLevel="0" collapsed="false">
      <c r="A113" s="0" t="str">
        <f aca="false">INDEX(Prioritization!$D:$D,MATCH($B113,Prioritization!$A:$A,0))</f>
        <v>INVALID</v>
      </c>
      <c r="B113" s="0" t="s">
        <v>218</v>
      </c>
      <c r="C113" s="0" t="s">
        <v>367</v>
      </c>
      <c r="D113" s="0" t="s">
        <v>48</v>
      </c>
      <c r="E113" s="0" t="str">
        <f aca="false">B113&amp;"|"&amp;C113&amp;"|"&amp;D113</f>
        <v>Neno District [gwVYinjBAe9]|35-49|Male</v>
      </c>
      <c r="F113" s="10" t="n">
        <f aca="false">IF(LEFT($B113,4)="_Mil","",INDEX(Cascade!$T:$T,MATCH($E113,Cascade!$E:$E,0)))</f>
        <v>1318</v>
      </c>
      <c r="G113" s="10" t="str">
        <f aca="false">IF(LEFT($B113,4)="_Mil","",INDEX(Cascade!$U:$U,MATCH($E113,Cascade!$E:$E,0)))</f>
        <v/>
      </c>
      <c r="H113" s="86" t="n">
        <f aca="false">IF(LEFT($B113,4)="_Mil","",INDEX(Cascade!$W:$W,MATCH($E113,Cascade!$E:$E,0)))</f>
        <v>884</v>
      </c>
      <c r="I113" s="10" t="n">
        <f aca="false">IF(LEFT($B113,4)="_Mil","",INDEX(Cascade!$Z:$Z,MATCH($E113,Cascade!$E:$E,0)))</f>
        <v>571</v>
      </c>
      <c r="J113" s="88" t="n">
        <f aca="false">IF(LEFT($B113,4)="_Mil","",INDEX(Cascade!$AA:$AA,MATCH($E113,Cascade!$E:$E,0)))</f>
        <v>1386</v>
      </c>
      <c r="K113" s="10"/>
      <c r="L113" s="10"/>
      <c r="M113" s="39" t="str">
        <f aca="false">IF(LEFT($B113,4)="_Mil","",IFERROR(1/(1/ROUND(INDEX(Spectrum!$N:$N,MATCH(RIGHT($B113,13)&amp;"|"&amp;$C113&amp;"|"&amp;$D113&amp;"|"&amp;M$14&amp;"|"&amp;"CY2023Q3",Spectrum!$R:$R,0)),0)),IF(SUM($L113)=0,"",$L113)))</f>
        <v/>
      </c>
      <c r="N113" s="39" t="str">
        <f aca="false">IF(LEFT($B113,4)="_Mil","",IFERROR(1/(1/ROUND(INDEX(Spectrum!$N:$N,MATCH(RIGHT($B113,13)&amp;"|"&amp;$C113&amp;"|"&amp;$D113&amp;"|"&amp;N$14&amp;"|"&amp;"CY2023Q3",Spectrum!$R:$R,0)),0)),IF(SUM($M113)=0,"",$M113)))</f>
        <v/>
      </c>
      <c r="O113" s="88" t="n">
        <f aca="false">IF(OR(LEFT($B113,4)="_Mil",SUM($F113)=0),"",SUM($N113)/$F113)</f>
        <v>0</v>
      </c>
      <c r="P113" s="88" t="n">
        <f aca="false">IF(OR(LEFT($B113,4)="_Mil",SUM($F113)=0),"",MAX(SUM($O113),80%))</f>
        <v>0.8</v>
      </c>
      <c r="Q113" s="39" t="n">
        <f aca="false">IF(OR(LEFT($B113,4)="_Mil",SUM($F113)=0),"",ROUND(SUM($F113)*$P113,0))</f>
        <v>1054</v>
      </c>
      <c r="R113" s="39" t="n">
        <f aca="false">IF(OR(LEFT($B113,4)="_Mil",SUM($Q113)=0),"",ROUND(MAX($Q113-SUM($N113),0),0))</f>
        <v>1054</v>
      </c>
      <c r="S113" s="88" t="str">
        <f aca="false">IF(LEFT($B113,4)="_Mil","",IF(SUM($L113)=0,"",IF(SUM($M113)=0,1,$L113/$M113)))</f>
        <v/>
      </c>
      <c r="T113" s="88" t="str">
        <f aca="false">IF(LEFT($B113,4)="_Mil",0,"")</f>
        <v/>
      </c>
      <c r="U113" s="88"/>
      <c r="V113" s="88" t="str">
        <f aca="false">IF($U113="","",$U113)</f>
        <v/>
      </c>
      <c r="W113" s="88"/>
      <c r="X113" s="88" t="str">
        <f aca="false">IF($W113="","",$W113)</f>
        <v/>
      </c>
      <c r="Y113" s="10" t="str">
        <f aca="false">IF(LEFT($B113,4)="_Mil",IF(SUM($L113)=0,"",ROUND($L113*(1+$T113),0)),IF(SUM($R113)=0,"",IF($S113="","ENTER IN COL S",ROUND($R113*$S113,0))))</f>
        <v>ENTER IN COL S</v>
      </c>
      <c r="Z113" s="39" t="str">
        <f aca="false">IF(SUM($Y113)=0,"",IF(AND(SUM($Y113)&gt;0,$V113=""),"ENTER INDETERMINATE RATE",ROUND($Y113*$V113,0)))</f>
        <v/>
      </c>
      <c r="AA113" s="39" t="str">
        <f aca="false">IF(SUM($Y113)=0,"",IF(AND(($Y113-SUM($Z113))&gt;0,$X113=""),"ENTER YIELD RATE",ROUND(($Y113-SUM($Z113))*SUM($X113),0)))</f>
        <v/>
      </c>
      <c r="AB113" s="39" t="str">
        <f aca="false">IF(SUM($Y113)=0,"",$Y113-SUM($Z113)-SUM($AA113))</f>
        <v/>
      </c>
      <c r="AC113" s="10" t="str">
        <f aca="false">IFERROR(1/(1/INDEX(Cascade!$BH:$BH,MATCH($E113,Cascade!$E:$E,0))),"")</f>
        <v/>
      </c>
      <c r="AD113" s="10" t="str">
        <f aca="false">IF(SUM($AA113)=0,"",$AA113)</f>
        <v/>
      </c>
      <c r="AE113" s="10" t="str">
        <f aca="false">IFERROR(1/(1/INDEX(TB!$P:$P,MATCH($E113,TB!$E:$E,0))),"")</f>
        <v/>
      </c>
      <c r="AF113" s="10" t="str">
        <f aca="false">IFERROR(1/(1/(SUM($AC113)-SUM($AD113:$AE113))),"")</f>
        <v/>
      </c>
    </row>
    <row r="114" customFormat="false" ht="15" hidden="false" customHeight="false" outlineLevel="0" collapsed="false">
      <c r="A114" s="0" t="str">
        <f aca="false">INDEX(Prioritization!$D:$D,MATCH($B114,Prioritization!$A:$A,0))</f>
        <v>INVALID</v>
      </c>
      <c r="B114" s="0" t="s">
        <v>218</v>
      </c>
      <c r="C114" s="0" t="s">
        <v>368</v>
      </c>
      <c r="D114" s="0" t="s">
        <v>48</v>
      </c>
      <c r="E114" s="0" t="str">
        <f aca="false">B114&amp;"|"&amp;C114&amp;"|"&amp;D114</f>
        <v>Neno District [gwVYinjBAe9]|50+|Male</v>
      </c>
      <c r="F114" s="10" t="n">
        <f aca="false">IF(LEFT($B114,4)="_Mil","",INDEX(Cascade!$T:$T,MATCH($E114,Cascade!$E:$E,0)))</f>
        <v>1059</v>
      </c>
      <c r="G114" s="10" t="str">
        <f aca="false">IF(LEFT($B114,4)="_Mil","",INDEX(Cascade!$U:$U,MATCH($E114,Cascade!$E:$E,0)))</f>
        <v/>
      </c>
      <c r="H114" s="86" t="n">
        <f aca="false">IF(LEFT($B114,4)="_Mil","",INDEX(Cascade!$W:$W,MATCH($E114,Cascade!$E:$E,0)))</f>
        <v>1640</v>
      </c>
      <c r="I114" s="10" t="n">
        <f aca="false">IF(LEFT($B114,4)="_Mil","",INDEX(Cascade!$Z:$Z,MATCH($E114,Cascade!$E:$E,0)))</f>
        <v>1518</v>
      </c>
      <c r="J114" s="88" t="n">
        <f aca="false">IF(LEFT($B114,4)="_Mil","",INDEX(Cascade!$AA:$AA,MATCH($E114,Cascade!$E:$E,0)))</f>
        <v>1199</v>
      </c>
      <c r="K114" s="10"/>
      <c r="L114" s="10"/>
      <c r="M114" s="39" t="str">
        <f aca="false">IF(LEFT($B114,4)="_Mil","",IFERROR(1/(1/ROUND(INDEX(Spectrum!$N:$N,MATCH(RIGHT($B114,13)&amp;"|"&amp;$C114&amp;"|"&amp;$D114&amp;"|"&amp;M$14&amp;"|"&amp;"CY2023Q3",Spectrum!$R:$R,0)),0)),IF(SUM($L114)=0,"",$L114)))</f>
        <v/>
      </c>
      <c r="N114" s="39" t="str">
        <f aca="false">IF(LEFT($B114,4)="_Mil","",IFERROR(1/(1/ROUND(INDEX(Spectrum!$N:$N,MATCH(RIGHT($B114,13)&amp;"|"&amp;$C114&amp;"|"&amp;$D114&amp;"|"&amp;N$14&amp;"|"&amp;"CY2023Q3",Spectrum!$R:$R,0)),0)),IF(SUM($M114)=0,"",$M114)))</f>
        <v/>
      </c>
      <c r="O114" s="88" t="n">
        <f aca="false">IF(OR(LEFT($B114,4)="_Mil",SUM($F114)=0),"",SUM($N114)/$F114)</f>
        <v>0</v>
      </c>
      <c r="P114" s="88" t="n">
        <f aca="false">IF(OR(LEFT($B114,4)="_Mil",SUM($F114)=0),"",MAX(SUM($O114),80%))</f>
        <v>0.8</v>
      </c>
      <c r="Q114" s="39" t="n">
        <f aca="false">IF(OR(LEFT($B114,4)="_Mil",SUM($F114)=0),"",ROUND(SUM($F114)*$P114,0))</f>
        <v>847</v>
      </c>
      <c r="R114" s="39" t="n">
        <f aca="false">IF(OR(LEFT($B114,4)="_Mil",SUM($Q114)=0),"",ROUND(MAX($Q114-SUM($N114),0),0))</f>
        <v>847</v>
      </c>
      <c r="S114" s="88" t="str">
        <f aca="false">IF(LEFT($B114,4)="_Mil","",IF(SUM($L114)=0,"",IF(SUM($M114)=0,1,$L114/$M114)))</f>
        <v/>
      </c>
      <c r="T114" s="88" t="str">
        <f aca="false">IF(LEFT($B114,4)="_Mil",0,"")</f>
        <v/>
      </c>
      <c r="U114" s="88"/>
      <c r="V114" s="88" t="str">
        <f aca="false">IF($U114="","",$U114)</f>
        <v/>
      </c>
      <c r="W114" s="88"/>
      <c r="X114" s="88" t="str">
        <f aca="false">IF($W114="","",$W114)</f>
        <v/>
      </c>
      <c r="Y114" s="10" t="str">
        <f aca="false">IF(LEFT($B114,4)="_Mil",IF(SUM($L114)=0,"",ROUND($L114*(1+$T114),0)),IF(SUM($R114)=0,"",IF($S114="","ENTER IN COL S",ROUND($R114*$S114,0))))</f>
        <v>ENTER IN COL S</v>
      </c>
      <c r="Z114" s="39" t="str">
        <f aca="false">IF(SUM($Y114)=0,"",IF(AND(SUM($Y114)&gt;0,$V114=""),"ENTER INDETERMINATE RATE",ROUND($Y114*$V114,0)))</f>
        <v/>
      </c>
      <c r="AA114" s="39" t="str">
        <f aca="false">IF(SUM($Y114)=0,"",IF(AND(($Y114-SUM($Z114))&gt;0,$X114=""),"ENTER YIELD RATE",ROUND(($Y114-SUM($Z114))*SUM($X114),0)))</f>
        <v/>
      </c>
      <c r="AB114" s="39" t="str">
        <f aca="false">IF(SUM($Y114)=0,"",$Y114-SUM($Z114)-SUM($AA114))</f>
        <v/>
      </c>
      <c r="AC114" s="10" t="str">
        <f aca="false">IFERROR(1/(1/INDEX(Cascade!$BH:$BH,MATCH($E114,Cascade!$E:$E,0))),"")</f>
        <v/>
      </c>
      <c r="AD114" s="10" t="str">
        <f aca="false">IF(SUM($AA114)=0,"",$AA114)</f>
        <v/>
      </c>
      <c r="AE114" s="10" t="str">
        <f aca="false">IFERROR(1/(1/INDEX(TB!$P:$P,MATCH($E114,TB!$E:$E,0))),"")</f>
        <v/>
      </c>
      <c r="AF114" s="10" t="str">
        <f aca="false">IFERROR(1/(1/(SUM($AC114)-SUM($AD114:$AE114))),"")</f>
        <v/>
      </c>
    </row>
    <row r="115" customFormat="false" ht="15" hidden="false" customHeight="false" outlineLevel="0" collapsed="false">
      <c r="A115" s="0" t="str">
        <f aca="false">INDEX(Prioritization!$D:$D,MATCH($B115,Prioritization!$A:$A,0))</f>
        <v>INVALID</v>
      </c>
      <c r="B115" s="0" t="s">
        <v>219</v>
      </c>
      <c r="C115" s="0" t="s">
        <v>365</v>
      </c>
      <c r="D115" s="0" t="s">
        <v>48</v>
      </c>
      <c r="E115" s="0" t="str">
        <f aca="false">B115&amp;"|"&amp;C115&amp;"|"&amp;D115</f>
        <v>Nsanje District [rpw540fmNUz]|15-24|Male</v>
      </c>
      <c r="F115" s="10" t="n">
        <f aca="false">IF(LEFT($B115,4)="_Mil","",INDEX(Cascade!$T:$T,MATCH($E115,Cascade!$E:$E,0)))</f>
        <v>603</v>
      </c>
      <c r="G115" s="10" t="str">
        <f aca="false">IF(LEFT($B115,4)="_Mil","",INDEX(Cascade!$U:$U,MATCH($E115,Cascade!$E:$E,0)))</f>
        <v/>
      </c>
      <c r="H115" s="86" t="n">
        <f aca="false">IF(LEFT($B115,4)="_Mil","",INDEX(Cascade!$W:$W,MATCH($E115,Cascade!$E:$E,0)))</f>
        <v>1620</v>
      </c>
      <c r="I115" s="10" t="n">
        <f aca="false">IF(LEFT($B115,4)="_Mil","",INDEX(Cascade!$Z:$Z,MATCH($E115,Cascade!$E:$E,0)))</f>
        <v>1494</v>
      </c>
      <c r="J115" s="88" t="n">
        <f aca="false">IF(LEFT($B115,4)="_Mil","",INDEX(Cascade!$AA:$AA,MATCH($E115,Cascade!$E:$E,0)))</f>
        <v>1525</v>
      </c>
      <c r="K115" s="10"/>
      <c r="L115" s="10"/>
      <c r="M115" s="39" t="str">
        <f aca="false">IF(LEFT($B115,4)="_Mil","",IFERROR(1/(1/ROUND(INDEX(Spectrum!$N:$N,MATCH(RIGHT($B115,13)&amp;"|"&amp;$C115&amp;"|"&amp;$D115&amp;"|"&amp;M$14&amp;"|"&amp;"CY2023Q3",Spectrum!$R:$R,0)),0)),IF(SUM($L115)=0,"",$L115)))</f>
        <v/>
      </c>
      <c r="N115" s="39" t="str">
        <f aca="false">IF(LEFT($B115,4)="_Mil","",IFERROR(1/(1/ROUND(INDEX(Spectrum!$N:$N,MATCH(RIGHT($B115,13)&amp;"|"&amp;$C115&amp;"|"&amp;$D115&amp;"|"&amp;N$14&amp;"|"&amp;"CY2023Q3",Spectrum!$R:$R,0)),0)),IF(SUM($M115)=0,"",$M115)))</f>
        <v/>
      </c>
      <c r="O115" s="88" t="n">
        <f aca="false">IF(OR(LEFT($B115,4)="_Mil",SUM($F115)=0),"",SUM($N115)/$F115)</f>
        <v>0</v>
      </c>
      <c r="P115" s="88" t="n">
        <f aca="false">IF(OR(LEFT($B115,4)="_Mil",SUM($F115)=0),"",MAX(SUM($O115),80%))</f>
        <v>0.8</v>
      </c>
      <c r="Q115" s="39" t="n">
        <f aca="false">IF(OR(LEFT($B115,4)="_Mil",SUM($F115)=0),"",ROUND(SUM($F115)*$P115,0))</f>
        <v>482</v>
      </c>
      <c r="R115" s="39" t="n">
        <f aca="false">IF(OR(LEFT($B115,4)="_Mil",SUM($Q115)=0),"",ROUND(MAX($Q115-SUM($N115),0),0))</f>
        <v>482</v>
      </c>
      <c r="S115" s="88" t="str">
        <f aca="false">IF(LEFT($B115,4)="_Mil","",IF(SUM($L115)=0,"",IF(SUM($M115)=0,1,$L115/$M115)))</f>
        <v/>
      </c>
      <c r="T115" s="88" t="str">
        <f aca="false">IF(LEFT($B115,4)="_Mil",0,"")</f>
        <v/>
      </c>
      <c r="U115" s="88"/>
      <c r="V115" s="88" t="str">
        <f aca="false">IF($U115="","",$U115)</f>
        <v/>
      </c>
      <c r="W115" s="88"/>
      <c r="X115" s="88" t="str">
        <f aca="false">IF($W115="","",$W115)</f>
        <v/>
      </c>
      <c r="Y115" s="10" t="str">
        <f aca="false">IF(LEFT($B115,4)="_Mil",IF(SUM($L115)=0,"",ROUND($L115*(1+$T115),0)),IF(SUM($R115)=0,"",IF($S115="","ENTER IN COL S",ROUND($R115*$S115,0))))</f>
        <v>ENTER IN COL S</v>
      </c>
      <c r="Z115" s="39" t="str">
        <f aca="false">IF(SUM($Y115)=0,"",IF(AND(SUM($Y115)&gt;0,$V115=""),"ENTER INDETERMINATE RATE",ROUND($Y115*$V115,0)))</f>
        <v/>
      </c>
      <c r="AA115" s="39" t="str">
        <f aca="false">IF(SUM($Y115)=0,"",IF(AND(($Y115-SUM($Z115))&gt;0,$X115=""),"ENTER YIELD RATE",ROUND(($Y115-SUM($Z115))*SUM($X115),0)))</f>
        <v/>
      </c>
      <c r="AB115" s="39" t="str">
        <f aca="false">IF(SUM($Y115)=0,"",$Y115-SUM($Z115)-SUM($AA115))</f>
        <v/>
      </c>
      <c r="AC115" s="10" t="str">
        <f aca="false">IFERROR(1/(1/INDEX(Cascade!$BH:$BH,MATCH($E115,Cascade!$E:$E,0))),"")</f>
        <v/>
      </c>
      <c r="AD115" s="10" t="str">
        <f aca="false">IF(SUM($AA115)=0,"",$AA115)</f>
        <v/>
      </c>
      <c r="AE115" s="10" t="str">
        <f aca="false">IFERROR(1/(1/INDEX(TB!$P:$P,MATCH($E115,TB!$E:$E,0))),"")</f>
        <v/>
      </c>
      <c r="AF115" s="10" t="str">
        <f aca="false">IFERROR(1/(1/(SUM($AC115)-SUM($AD115:$AE115))),"")</f>
        <v/>
      </c>
    </row>
    <row r="116" customFormat="false" ht="15" hidden="false" customHeight="false" outlineLevel="0" collapsed="false">
      <c r="A116" s="0" t="str">
        <f aca="false">INDEX(Prioritization!$D:$D,MATCH($B116,Prioritization!$A:$A,0))</f>
        <v>INVALID</v>
      </c>
      <c r="B116" s="0" t="s">
        <v>219</v>
      </c>
      <c r="C116" s="0" t="s">
        <v>366</v>
      </c>
      <c r="D116" s="0" t="s">
        <v>48</v>
      </c>
      <c r="E116" s="0" t="str">
        <f aca="false">B116&amp;"|"&amp;C116&amp;"|"&amp;D116</f>
        <v>Nsanje District [rpw540fmNUz]|25-34|Male</v>
      </c>
      <c r="F116" s="10" t="n">
        <f aca="false">IF(LEFT($B116,4)="_Mil","",INDEX(Cascade!$T:$T,MATCH($E116,Cascade!$E:$E,0)))</f>
        <v>1786</v>
      </c>
      <c r="G116" s="10" t="str">
        <f aca="false">IF(LEFT($B116,4)="_Mil","",INDEX(Cascade!$U:$U,MATCH($E116,Cascade!$E:$E,0)))</f>
        <v/>
      </c>
      <c r="H116" s="86" t="n">
        <f aca="false">IF(LEFT($B116,4)="_Mil","",INDEX(Cascade!$W:$W,MATCH($E116,Cascade!$E:$E,0)))</f>
        <v>584</v>
      </c>
      <c r="I116" s="10" t="n">
        <f aca="false">IF(LEFT($B116,4)="_Mil","",INDEX(Cascade!$Z:$Z,MATCH($E116,Cascade!$E:$E,0)))</f>
        <v>1466</v>
      </c>
      <c r="J116" s="88" t="n">
        <f aca="false">IF(LEFT($B116,4)="_Mil","",INDEX(Cascade!$AA:$AA,MATCH($E116,Cascade!$E:$E,0)))</f>
        <v>1838</v>
      </c>
      <c r="K116" s="10"/>
      <c r="L116" s="10"/>
      <c r="M116" s="39" t="str">
        <f aca="false">IF(LEFT($B116,4)="_Mil","",IFERROR(1/(1/ROUND(INDEX(Spectrum!$N:$N,MATCH(RIGHT($B116,13)&amp;"|"&amp;$C116&amp;"|"&amp;$D116&amp;"|"&amp;M$14&amp;"|"&amp;"CY2023Q3",Spectrum!$R:$R,0)),0)),IF(SUM($L116)=0,"",$L116)))</f>
        <v/>
      </c>
      <c r="N116" s="39" t="str">
        <f aca="false">IF(LEFT($B116,4)="_Mil","",IFERROR(1/(1/ROUND(INDEX(Spectrum!$N:$N,MATCH(RIGHT($B116,13)&amp;"|"&amp;$C116&amp;"|"&amp;$D116&amp;"|"&amp;N$14&amp;"|"&amp;"CY2023Q3",Spectrum!$R:$R,0)),0)),IF(SUM($M116)=0,"",$M116)))</f>
        <v/>
      </c>
      <c r="O116" s="88" t="n">
        <f aca="false">IF(OR(LEFT($B116,4)="_Mil",SUM($F116)=0),"",SUM($N116)/$F116)</f>
        <v>0</v>
      </c>
      <c r="P116" s="88" t="n">
        <f aca="false">IF(OR(LEFT($B116,4)="_Mil",SUM($F116)=0),"",MAX(SUM($O116),80%))</f>
        <v>0.8</v>
      </c>
      <c r="Q116" s="39" t="n">
        <f aca="false">IF(OR(LEFT($B116,4)="_Mil",SUM($F116)=0),"",ROUND(SUM($F116)*$P116,0))</f>
        <v>1429</v>
      </c>
      <c r="R116" s="39" t="n">
        <f aca="false">IF(OR(LEFT($B116,4)="_Mil",SUM($Q116)=0),"",ROUND(MAX($Q116-SUM($N116),0),0))</f>
        <v>1429</v>
      </c>
      <c r="S116" s="88" t="str">
        <f aca="false">IF(LEFT($B116,4)="_Mil","",IF(SUM($L116)=0,"",IF(SUM($M116)=0,1,$L116/$M116)))</f>
        <v/>
      </c>
      <c r="T116" s="88" t="str">
        <f aca="false">IF(LEFT($B116,4)="_Mil",0,"")</f>
        <v/>
      </c>
      <c r="U116" s="88"/>
      <c r="V116" s="88" t="str">
        <f aca="false">IF($U116="","",$U116)</f>
        <v/>
      </c>
      <c r="W116" s="88"/>
      <c r="X116" s="88" t="str">
        <f aca="false">IF($W116="","",$W116)</f>
        <v/>
      </c>
      <c r="Y116" s="10" t="str">
        <f aca="false">IF(LEFT($B116,4)="_Mil",IF(SUM($L116)=0,"",ROUND($L116*(1+$T116),0)),IF(SUM($R116)=0,"",IF($S116="","ENTER IN COL S",ROUND($R116*$S116,0))))</f>
        <v>ENTER IN COL S</v>
      </c>
      <c r="Z116" s="39" t="str">
        <f aca="false">IF(SUM($Y116)=0,"",IF(AND(SUM($Y116)&gt;0,$V116=""),"ENTER INDETERMINATE RATE",ROUND($Y116*$V116,0)))</f>
        <v/>
      </c>
      <c r="AA116" s="39" t="str">
        <f aca="false">IF(SUM($Y116)=0,"",IF(AND(($Y116-SUM($Z116))&gt;0,$X116=""),"ENTER YIELD RATE",ROUND(($Y116-SUM($Z116))*SUM($X116),0)))</f>
        <v/>
      </c>
      <c r="AB116" s="39" t="str">
        <f aca="false">IF(SUM($Y116)=0,"",$Y116-SUM($Z116)-SUM($AA116))</f>
        <v/>
      </c>
      <c r="AC116" s="10" t="str">
        <f aca="false">IFERROR(1/(1/INDEX(Cascade!$BH:$BH,MATCH($E116,Cascade!$E:$E,0))),"")</f>
        <v/>
      </c>
      <c r="AD116" s="10" t="str">
        <f aca="false">IF(SUM($AA116)=0,"",$AA116)</f>
        <v/>
      </c>
      <c r="AE116" s="10" t="str">
        <f aca="false">IFERROR(1/(1/INDEX(TB!$P:$P,MATCH($E116,TB!$E:$E,0))),"")</f>
        <v/>
      </c>
      <c r="AF116" s="10" t="str">
        <f aca="false">IFERROR(1/(1/(SUM($AC116)-SUM($AD116:$AE116))),"")</f>
        <v/>
      </c>
    </row>
    <row r="117" customFormat="false" ht="15" hidden="false" customHeight="false" outlineLevel="0" collapsed="false">
      <c r="A117" s="0" t="str">
        <f aca="false">INDEX(Prioritization!$D:$D,MATCH($B117,Prioritization!$A:$A,0))</f>
        <v>INVALID</v>
      </c>
      <c r="B117" s="0" t="s">
        <v>219</v>
      </c>
      <c r="C117" s="0" t="s">
        <v>367</v>
      </c>
      <c r="D117" s="0" t="s">
        <v>48</v>
      </c>
      <c r="E117" s="0" t="str">
        <f aca="false">B117&amp;"|"&amp;C117&amp;"|"&amp;D117</f>
        <v>Nsanje District [rpw540fmNUz]|35-49|Male</v>
      </c>
      <c r="F117" s="10" t="n">
        <f aca="false">IF(LEFT($B117,4)="_Mil","",INDEX(Cascade!$T:$T,MATCH($E117,Cascade!$E:$E,0)))</f>
        <v>1055</v>
      </c>
      <c r="G117" s="10" t="str">
        <f aca="false">IF(LEFT($B117,4)="_Mil","",INDEX(Cascade!$U:$U,MATCH($E117,Cascade!$E:$E,0)))</f>
        <v/>
      </c>
      <c r="H117" s="86" t="n">
        <f aca="false">IF(LEFT($B117,4)="_Mil","",INDEX(Cascade!$W:$W,MATCH($E117,Cascade!$E:$E,0)))</f>
        <v>527</v>
      </c>
      <c r="I117" s="10" t="n">
        <f aca="false">IF(LEFT($B117,4)="_Mil","",INDEX(Cascade!$Z:$Z,MATCH($E117,Cascade!$E:$E,0)))</f>
        <v>1269</v>
      </c>
      <c r="J117" s="88" t="n">
        <f aca="false">IF(LEFT($B117,4)="_Mil","",INDEX(Cascade!$AA:$AA,MATCH($E117,Cascade!$E:$E,0)))</f>
        <v>1346</v>
      </c>
      <c r="K117" s="10"/>
      <c r="L117" s="10"/>
      <c r="M117" s="39" t="str">
        <f aca="false">IF(LEFT($B117,4)="_Mil","",IFERROR(1/(1/ROUND(INDEX(Spectrum!$N:$N,MATCH(RIGHT($B117,13)&amp;"|"&amp;$C117&amp;"|"&amp;$D117&amp;"|"&amp;M$14&amp;"|"&amp;"CY2023Q3",Spectrum!$R:$R,0)),0)),IF(SUM($L117)=0,"",$L117)))</f>
        <v/>
      </c>
      <c r="N117" s="39" t="str">
        <f aca="false">IF(LEFT($B117,4)="_Mil","",IFERROR(1/(1/ROUND(INDEX(Spectrum!$N:$N,MATCH(RIGHT($B117,13)&amp;"|"&amp;$C117&amp;"|"&amp;$D117&amp;"|"&amp;N$14&amp;"|"&amp;"CY2023Q3",Spectrum!$R:$R,0)),0)),IF(SUM($M117)=0,"",$M117)))</f>
        <v/>
      </c>
      <c r="O117" s="88" t="n">
        <f aca="false">IF(OR(LEFT($B117,4)="_Mil",SUM($F117)=0),"",SUM($N117)/$F117)</f>
        <v>0</v>
      </c>
      <c r="P117" s="88" t="n">
        <f aca="false">IF(OR(LEFT($B117,4)="_Mil",SUM($F117)=0),"",MAX(SUM($O117),80%))</f>
        <v>0.8</v>
      </c>
      <c r="Q117" s="39" t="n">
        <f aca="false">IF(OR(LEFT($B117,4)="_Mil",SUM($F117)=0),"",ROUND(SUM($F117)*$P117,0))</f>
        <v>844</v>
      </c>
      <c r="R117" s="39" t="n">
        <f aca="false">IF(OR(LEFT($B117,4)="_Mil",SUM($Q117)=0),"",ROUND(MAX($Q117-SUM($N117),0),0))</f>
        <v>844</v>
      </c>
      <c r="S117" s="88" t="str">
        <f aca="false">IF(LEFT($B117,4)="_Mil","",IF(SUM($L117)=0,"",IF(SUM($M117)=0,1,$L117/$M117)))</f>
        <v/>
      </c>
      <c r="T117" s="88" t="str">
        <f aca="false">IF(LEFT($B117,4)="_Mil",0,"")</f>
        <v/>
      </c>
      <c r="U117" s="88"/>
      <c r="V117" s="88" t="str">
        <f aca="false">IF($U117="","",$U117)</f>
        <v/>
      </c>
      <c r="W117" s="88"/>
      <c r="X117" s="88" t="str">
        <f aca="false">IF($W117="","",$W117)</f>
        <v/>
      </c>
      <c r="Y117" s="10" t="str">
        <f aca="false">IF(LEFT($B117,4)="_Mil",IF(SUM($L117)=0,"",ROUND($L117*(1+$T117),0)),IF(SUM($R117)=0,"",IF($S117="","ENTER IN COL S",ROUND($R117*$S117,0))))</f>
        <v>ENTER IN COL S</v>
      </c>
      <c r="Z117" s="39" t="str">
        <f aca="false">IF(SUM($Y117)=0,"",IF(AND(SUM($Y117)&gt;0,$V117=""),"ENTER INDETERMINATE RATE",ROUND($Y117*$V117,0)))</f>
        <v/>
      </c>
      <c r="AA117" s="39" t="str">
        <f aca="false">IF(SUM($Y117)=0,"",IF(AND(($Y117-SUM($Z117))&gt;0,$X117=""),"ENTER YIELD RATE",ROUND(($Y117-SUM($Z117))*SUM($X117),0)))</f>
        <v/>
      </c>
      <c r="AB117" s="39" t="str">
        <f aca="false">IF(SUM($Y117)=0,"",$Y117-SUM($Z117)-SUM($AA117))</f>
        <v/>
      </c>
      <c r="AC117" s="10" t="str">
        <f aca="false">IFERROR(1/(1/INDEX(Cascade!$BH:$BH,MATCH($E117,Cascade!$E:$E,0))),"")</f>
        <v/>
      </c>
      <c r="AD117" s="10" t="str">
        <f aca="false">IF(SUM($AA117)=0,"",$AA117)</f>
        <v/>
      </c>
      <c r="AE117" s="10" t="str">
        <f aca="false">IFERROR(1/(1/INDEX(TB!$P:$P,MATCH($E117,TB!$E:$E,0))),"")</f>
        <v/>
      </c>
      <c r="AF117" s="10" t="str">
        <f aca="false">IFERROR(1/(1/(SUM($AC117)-SUM($AD117:$AE117))),"")</f>
        <v/>
      </c>
    </row>
    <row r="118" customFormat="false" ht="15" hidden="false" customHeight="false" outlineLevel="0" collapsed="false">
      <c r="A118" s="0" t="str">
        <f aca="false">INDEX(Prioritization!$D:$D,MATCH($B118,Prioritization!$A:$A,0))</f>
        <v>INVALID</v>
      </c>
      <c r="B118" s="0" t="s">
        <v>219</v>
      </c>
      <c r="C118" s="0" t="s">
        <v>368</v>
      </c>
      <c r="D118" s="0" t="s">
        <v>48</v>
      </c>
      <c r="E118" s="0" t="str">
        <f aca="false">B118&amp;"|"&amp;C118&amp;"|"&amp;D118</f>
        <v>Nsanje District [rpw540fmNUz]|50+|Male</v>
      </c>
      <c r="F118" s="10" t="n">
        <f aca="false">IF(LEFT($B118,4)="_Mil","",INDEX(Cascade!$T:$T,MATCH($E118,Cascade!$E:$E,0)))</f>
        <v>983</v>
      </c>
      <c r="G118" s="10" t="str">
        <f aca="false">IF(LEFT($B118,4)="_Mil","",INDEX(Cascade!$U:$U,MATCH($E118,Cascade!$E:$E,0)))</f>
        <v/>
      </c>
      <c r="H118" s="86" t="n">
        <f aca="false">IF(LEFT($B118,4)="_Mil","",INDEX(Cascade!$W:$W,MATCH($E118,Cascade!$E:$E,0)))</f>
        <v>893</v>
      </c>
      <c r="I118" s="10" t="n">
        <f aca="false">IF(LEFT($B118,4)="_Mil","",INDEX(Cascade!$Z:$Z,MATCH($E118,Cascade!$E:$E,0)))</f>
        <v>1156</v>
      </c>
      <c r="J118" s="88" t="n">
        <f aca="false">IF(LEFT($B118,4)="_Mil","",INDEX(Cascade!$AA:$AA,MATCH($E118,Cascade!$E:$E,0)))</f>
        <v>1286</v>
      </c>
      <c r="K118" s="10"/>
      <c r="L118" s="10"/>
      <c r="M118" s="39" t="str">
        <f aca="false">IF(LEFT($B118,4)="_Mil","",IFERROR(1/(1/ROUND(INDEX(Spectrum!$N:$N,MATCH(RIGHT($B118,13)&amp;"|"&amp;$C118&amp;"|"&amp;$D118&amp;"|"&amp;M$14&amp;"|"&amp;"CY2023Q3",Spectrum!$R:$R,0)),0)),IF(SUM($L118)=0,"",$L118)))</f>
        <v/>
      </c>
      <c r="N118" s="39" t="str">
        <f aca="false">IF(LEFT($B118,4)="_Mil","",IFERROR(1/(1/ROUND(INDEX(Spectrum!$N:$N,MATCH(RIGHT($B118,13)&amp;"|"&amp;$C118&amp;"|"&amp;$D118&amp;"|"&amp;N$14&amp;"|"&amp;"CY2023Q3",Spectrum!$R:$R,0)),0)),IF(SUM($M118)=0,"",$M118)))</f>
        <v/>
      </c>
      <c r="O118" s="88" t="n">
        <f aca="false">IF(OR(LEFT($B118,4)="_Mil",SUM($F118)=0),"",SUM($N118)/$F118)</f>
        <v>0</v>
      </c>
      <c r="P118" s="88" t="n">
        <f aca="false">IF(OR(LEFT($B118,4)="_Mil",SUM($F118)=0),"",MAX(SUM($O118),80%))</f>
        <v>0.8</v>
      </c>
      <c r="Q118" s="39" t="n">
        <f aca="false">IF(OR(LEFT($B118,4)="_Mil",SUM($F118)=0),"",ROUND(SUM($F118)*$P118,0))</f>
        <v>786</v>
      </c>
      <c r="R118" s="39" t="n">
        <f aca="false">IF(OR(LEFT($B118,4)="_Mil",SUM($Q118)=0),"",ROUND(MAX($Q118-SUM($N118),0),0))</f>
        <v>786</v>
      </c>
      <c r="S118" s="88" t="str">
        <f aca="false">IF(LEFT($B118,4)="_Mil","",IF(SUM($L118)=0,"",IF(SUM($M118)=0,1,$L118/$M118)))</f>
        <v/>
      </c>
      <c r="T118" s="88" t="str">
        <f aca="false">IF(LEFT($B118,4)="_Mil",0,"")</f>
        <v/>
      </c>
      <c r="U118" s="88"/>
      <c r="V118" s="88" t="str">
        <f aca="false">IF($U118="","",$U118)</f>
        <v/>
      </c>
      <c r="W118" s="88"/>
      <c r="X118" s="88" t="str">
        <f aca="false">IF($W118="","",$W118)</f>
        <v/>
      </c>
      <c r="Y118" s="10" t="str">
        <f aca="false">IF(LEFT($B118,4)="_Mil",IF(SUM($L118)=0,"",ROUND($L118*(1+$T118),0)),IF(SUM($R118)=0,"",IF($S118="","ENTER IN COL S",ROUND($R118*$S118,0))))</f>
        <v>ENTER IN COL S</v>
      </c>
      <c r="Z118" s="39" t="str">
        <f aca="false">IF(SUM($Y118)=0,"",IF(AND(SUM($Y118)&gt;0,$V118=""),"ENTER INDETERMINATE RATE",ROUND($Y118*$V118,0)))</f>
        <v/>
      </c>
      <c r="AA118" s="39" t="str">
        <f aca="false">IF(SUM($Y118)=0,"",IF(AND(($Y118-SUM($Z118))&gt;0,$X118=""),"ENTER YIELD RATE",ROUND(($Y118-SUM($Z118))*SUM($X118),0)))</f>
        <v/>
      </c>
      <c r="AB118" s="39" t="str">
        <f aca="false">IF(SUM($Y118)=0,"",$Y118-SUM($Z118)-SUM($AA118))</f>
        <v/>
      </c>
      <c r="AC118" s="10" t="str">
        <f aca="false">IFERROR(1/(1/INDEX(Cascade!$BH:$BH,MATCH($E118,Cascade!$E:$E,0))),"")</f>
        <v/>
      </c>
      <c r="AD118" s="10" t="str">
        <f aca="false">IF(SUM($AA118)=0,"",$AA118)</f>
        <v/>
      </c>
      <c r="AE118" s="10" t="str">
        <f aca="false">IFERROR(1/(1/INDEX(TB!$P:$P,MATCH($E118,TB!$E:$E,0))),"")</f>
        <v/>
      </c>
      <c r="AF118" s="10" t="str">
        <f aca="false">IFERROR(1/(1/(SUM($AC118)-SUM($AD118:$AE118))),"")</f>
        <v/>
      </c>
    </row>
    <row r="119" customFormat="false" ht="15" hidden="false" customHeight="false" outlineLevel="0" collapsed="false">
      <c r="A119" s="0" t="str">
        <f aca="false">INDEX(Prioritization!$D:$D,MATCH($B119,Prioritization!$A:$A,0))</f>
        <v>INVALID</v>
      </c>
      <c r="B119" s="0" t="s">
        <v>220</v>
      </c>
      <c r="C119" s="0" t="s">
        <v>365</v>
      </c>
      <c r="D119" s="0" t="s">
        <v>48</v>
      </c>
      <c r="E119" s="0" t="str">
        <f aca="false">B119&amp;"|"&amp;C119&amp;"|"&amp;D119</f>
        <v>Phalombe District [AZyWpGzhcaA]|15-24|Male</v>
      </c>
      <c r="F119" s="10" t="n">
        <f aca="false">IF(LEFT($B119,4)="_Mil","",INDEX(Cascade!$T:$T,MATCH($E119,Cascade!$E:$E,0)))</f>
        <v>1600</v>
      </c>
      <c r="G119" s="10" t="str">
        <f aca="false">IF(LEFT($B119,4)="_Mil","",INDEX(Cascade!$U:$U,MATCH($E119,Cascade!$E:$E,0)))</f>
        <v/>
      </c>
      <c r="H119" s="86" t="n">
        <f aca="false">IF(LEFT($B119,4)="_Mil","",INDEX(Cascade!$W:$W,MATCH($E119,Cascade!$E:$E,0)))</f>
        <v>602</v>
      </c>
      <c r="I119" s="10" t="n">
        <f aca="false">IF(LEFT($B119,4)="_Mil","",INDEX(Cascade!$Z:$Z,MATCH($E119,Cascade!$E:$E,0)))</f>
        <v>547</v>
      </c>
      <c r="J119" s="88" t="n">
        <f aca="false">IF(LEFT($B119,4)="_Mil","",INDEX(Cascade!$AA:$AA,MATCH($E119,Cascade!$E:$E,0)))</f>
        <v>1031</v>
      </c>
      <c r="K119" s="10"/>
      <c r="L119" s="10"/>
      <c r="M119" s="39" t="str">
        <f aca="false">IF(LEFT($B119,4)="_Mil","",IFERROR(1/(1/ROUND(INDEX(Spectrum!$N:$N,MATCH(RIGHT($B119,13)&amp;"|"&amp;$C119&amp;"|"&amp;$D119&amp;"|"&amp;M$14&amp;"|"&amp;"CY2023Q3",Spectrum!$R:$R,0)),0)),IF(SUM($L119)=0,"",$L119)))</f>
        <v/>
      </c>
      <c r="N119" s="39" t="str">
        <f aca="false">IF(LEFT($B119,4)="_Mil","",IFERROR(1/(1/ROUND(INDEX(Spectrum!$N:$N,MATCH(RIGHT($B119,13)&amp;"|"&amp;$C119&amp;"|"&amp;$D119&amp;"|"&amp;N$14&amp;"|"&amp;"CY2023Q3",Spectrum!$R:$R,0)),0)),IF(SUM($M119)=0,"",$M119)))</f>
        <v/>
      </c>
      <c r="O119" s="88" t="n">
        <f aca="false">IF(OR(LEFT($B119,4)="_Mil",SUM($F119)=0),"",SUM($N119)/$F119)</f>
        <v>0</v>
      </c>
      <c r="P119" s="88" t="n">
        <f aca="false">IF(OR(LEFT($B119,4)="_Mil",SUM($F119)=0),"",MAX(SUM($O119),80%))</f>
        <v>0.8</v>
      </c>
      <c r="Q119" s="39" t="n">
        <f aca="false">IF(OR(LEFT($B119,4)="_Mil",SUM($F119)=0),"",ROUND(SUM($F119)*$P119,0))</f>
        <v>1280</v>
      </c>
      <c r="R119" s="39" t="n">
        <f aca="false">IF(OR(LEFT($B119,4)="_Mil",SUM($Q119)=0),"",ROUND(MAX($Q119-SUM($N119),0),0))</f>
        <v>1280</v>
      </c>
      <c r="S119" s="88" t="str">
        <f aca="false">IF(LEFT($B119,4)="_Mil","",IF(SUM($L119)=0,"",IF(SUM($M119)=0,1,$L119/$M119)))</f>
        <v/>
      </c>
      <c r="T119" s="88" t="str">
        <f aca="false">IF(LEFT($B119,4)="_Mil",0,"")</f>
        <v/>
      </c>
      <c r="U119" s="88"/>
      <c r="V119" s="88" t="str">
        <f aca="false">IF($U119="","",$U119)</f>
        <v/>
      </c>
      <c r="W119" s="88"/>
      <c r="X119" s="88" t="str">
        <f aca="false">IF($W119="","",$W119)</f>
        <v/>
      </c>
      <c r="Y119" s="10" t="str">
        <f aca="false">IF(LEFT($B119,4)="_Mil",IF(SUM($L119)=0,"",ROUND($L119*(1+$T119),0)),IF(SUM($R119)=0,"",IF($S119="","ENTER IN COL S",ROUND($R119*$S119,0))))</f>
        <v>ENTER IN COL S</v>
      </c>
      <c r="Z119" s="39" t="str">
        <f aca="false">IF(SUM($Y119)=0,"",IF(AND(SUM($Y119)&gt;0,$V119=""),"ENTER INDETERMINATE RATE",ROUND($Y119*$V119,0)))</f>
        <v/>
      </c>
      <c r="AA119" s="39" t="str">
        <f aca="false">IF(SUM($Y119)=0,"",IF(AND(($Y119-SUM($Z119))&gt;0,$X119=""),"ENTER YIELD RATE",ROUND(($Y119-SUM($Z119))*SUM($X119),0)))</f>
        <v/>
      </c>
      <c r="AB119" s="39" t="str">
        <f aca="false">IF(SUM($Y119)=0,"",$Y119-SUM($Z119)-SUM($AA119))</f>
        <v/>
      </c>
      <c r="AC119" s="10" t="str">
        <f aca="false">IFERROR(1/(1/INDEX(Cascade!$BH:$BH,MATCH($E119,Cascade!$E:$E,0))),"")</f>
        <v/>
      </c>
      <c r="AD119" s="10" t="str">
        <f aca="false">IF(SUM($AA119)=0,"",$AA119)</f>
        <v/>
      </c>
      <c r="AE119" s="10" t="str">
        <f aca="false">IFERROR(1/(1/INDEX(TB!$P:$P,MATCH($E119,TB!$E:$E,0))),"")</f>
        <v/>
      </c>
      <c r="AF119" s="10" t="str">
        <f aca="false">IFERROR(1/(1/(SUM($AC119)-SUM($AD119:$AE119))),"")</f>
        <v/>
      </c>
    </row>
    <row r="120" customFormat="false" ht="15" hidden="false" customHeight="false" outlineLevel="0" collapsed="false">
      <c r="A120" s="0" t="str">
        <f aca="false">INDEX(Prioritization!$D:$D,MATCH($B120,Prioritization!$A:$A,0))</f>
        <v>INVALID</v>
      </c>
      <c r="B120" s="0" t="s">
        <v>220</v>
      </c>
      <c r="C120" s="0" t="s">
        <v>366</v>
      </c>
      <c r="D120" s="0" t="s">
        <v>48</v>
      </c>
      <c r="E120" s="0" t="str">
        <f aca="false">B120&amp;"|"&amp;C120&amp;"|"&amp;D120</f>
        <v>Phalombe District [AZyWpGzhcaA]|25-34|Male</v>
      </c>
      <c r="F120" s="10" t="n">
        <f aca="false">IF(LEFT($B120,4)="_Mil","",INDEX(Cascade!$T:$T,MATCH($E120,Cascade!$E:$E,0)))</f>
        <v>774</v>
      </c>
      <c r="G120" s="10" t="str">
        <f aca="false">IF(LEFT($B120,4)="_Mil","",INDEX(Cascade!$U:$U,MATCH($E120,Cascade!$E:$E,0)))</f>
        <v/>
      </c>
      <c r="H120" s="86" t="n">
        <f aca="false">IF(LEFT($B120,4)="_Mil","",INDEX(Cascade!$W:$W,MATCH($E120,Cascade!$E:$E,0)))</f>
        <v>1325</v>
      </c>
      <c r="I120" s="10" t="n">
        <f aca="false">IF(LEFT($B120,4)="_Mil","",INDEX(Cascade!$Z:$Z,MATCH($E120,Cascade!$E:$E,0)))</f>
        <v>925</v>
      </c>
      <c r="J120" s="88" t="n">
        <f aca="false">IF(LEFT($B120,4)="_Mil","",INDEX(Cascade!$AA:$AA,MATCH($E120,Cascade!$E:$E,0)))</f>
        <v>1376</v>
      </c>
      <c r="K120" s="10"/>
      <c r="L120" s="10"/>
      <c r="M120" s="39" t="str">
        <f aca="false">IF(LEFT($B120,4)="_Mil","",IFERROR(1/(1/ROUND(INDEX(Spectrum!$N:$N,MATCH(RIGHT($B120,13)&amp;"|"&amp;$C120&amp;"|"&amp;$D120&amp;"|"&amp;M$14&amp;"|"&amp;"CY2023Q3",Spectrum!$R:$R,0)),0)),IF(SUM($L120)=0,"",$L120)))</f>
        <v/>
      </c>
      <c r="N120" s="39" t="str">
        <f aca="false">IF(LEFT($B120,4)="_Mil","",IFERROR(1/(1/ROUND(INDEX(Spectrum!$N:$N,MATCH(RIGHT($B120,13)&amp;"|"&amp;$C120&amp;"|"&amp;$D120&amp;"|"&amp;N$14&amp;"|"&amp;"CY2023Q3",Spectrum!$R:$R,0)),0)),IF(SUM($M120)=0,"",$M120)))</f>
        <v/>
      </c>
      <c r="O120" s="88" t="n">
        <f aca="false">IF(OR(LEFT($B120,4)="_Mil",SUM($F120)=0),"",SUM($N120)/$F120)</f>
        <v>0</v>
      </c>
      <c r="P120" s="88" t="n">
        <f aca="false">IF(OR(LEFT($B120,4)="_Mil",SUM($F120)=0),"",MAX(SUM($O120),80%))</f>
        <v>0.8</v>
      </c>
      <c r="Q120" s="39" t="n">
        <f aca="false">IF(OR(LEFT($B120,4)="_Mil",SUM($F120)=0),"",ROUND(SUM($F120)*$P120,0))</f>
        <v>619</v>
      </c>
      <c r="R120" s="39" t="n">
        <f aca="false">IF(OR(LEFT($B120,4)="_Mil",SUM($Q120)=0),"",ROUND(MAX($Q120-SUM($N120),0),0))</f>
        <v>619</v>
      </c>
      <c r="S120" s="88" t="str">
        <f aca="false">IF(LEFT($B120,4)="_Mil","",IF(SUM($L120)=0,"",IF(SUM($M120)=0,1,$L120/$M120)))</f>
        <v/>
      </c>
      <c r="T120" s="88" t="str">
        <f aca="false">IF(LEFT($B120,4)="_Mil",0,"")</f>
        <v/>
      </c>
      <c r="U120" s="88"/>
      <c r="V120" s="88" t="str">
        <f aca="false">IF($U120="","",$U120)</f>
        <v/>
      </c>
      <c r="W120" s="88"/>
      <c r="X120" s="88" t="str">
        <f aca="false">IF($W120="","",$W120)</f>
        <v/>
      </c>
      <c r="Y120" s="10" t="str">
        <f aca="false">IF(LEFT($B120,4)="_Mil",IF(SUM($L120)=0,"",ROUND($L120*(1+$T120),0)),IF(SUM($R120)=0,"",IF($S120="","ENTER IN COL S",ROUND($R120*$S120,0))))</f>
        <v>ENTER IN COL S</v>
      </c>
      <c r="Z120" s="39" t="str">
        <f aca="false">IF(SUM($Y120)=0,"",IF(AND(SUM($Y120)&gt;0,$V120=""),"ENTER INDETERMINATE RATE",ROUND($Y120*$V120,0)))</f>
        <v/>
      </c>
      <c r="AA120" s="39" t="str">
        <f aca="false">IF(SUM($Y120)=0,"",IF(AND(($Y120-SUM($Z120))&gt;0,$X120=""),"ENTER YIELD RATE",ROUND(($Y120-SUM($Z120))*SUM($X120),0)))</f>
        <v/>
      </c>
      <c r="AB120" s="39" t="str">
        <f aca="false">IF(SUM($Y120)=0,"",$Y120-SUM($Z120)-SUM($AA120))</f>
        <v/>
      </c>
      <c r="AC120" s="10" t="str">
        <f aca="false">IFERROR(1/(1/INDEX(Cascade!$BH:$BH,MATCH($E120,Cascade!$E:$E,0))),"")</f>
        <v/>
      </c>
      <c r="AD120" s="10" t="str">
        <f aca="false">IF(SUM($AA120)=0,"",$AA120)</f>
        <v/>
      </c>
      <c r="AE120" s="10" t="str">
        <f aca="false">IFERROR(1/(1/INDEX(TB!$P:$P,MATCH($E120,TB!$E:$E,0))),"")</f>
        <v/>
      </c>
      <c r="AF120" s="10" t="str">
        <f aca="false">IFERROR(1/(1/(SUM($AC120)-SUM($AD120:$AE120))),"")</f>
        <v/>
      </c>
    </row>
    <row r="121" customFormat="false" ht="15" hidden="false" customHeight="false" outlineLevel="0" collapsed="false">
      <c r="A121" s="0" t="str">
        <f aca="false">INDEX(Prioritization!$D:$D,MATCH($B121,Prioritization!$A:$A,0))</f>
        <v>INVALID</v>
      </c>
      <c r="B121" s="0" t="s">
        <v>220</v>
      </c>
      <c r="C121" s="0" t="s">
        <v>367</v>
      </c>
      <c r="D121" s="0" t="s">
        <v>48</v>
      </c>
      <c r="E121" s="0" t="str">
        <f aca="false">B121&amp;"|"&amp;C121&amp;"|"&amp;D121</f>
        <v>Phalombe District [AZyWpGzhcaA]|35-49|Male</v>
      </c>
      <c r="F121" s="10" t="n">
        <f aca="false">IF(LEFT($B121,4)="_Mil","",INDEX(Cascade!$T:$T,MATCH($E121,Cascade!$E:$E,0)))</f>
        <v>1355</v>
      </c>
      <c r="G121" s="10" t="str">
        <f aca="false">IF(LEFT($B121,4)="_Mil","",INDEX(Cascade!$U:$U,MATCH($E121,Cascade!$E:$E,0)))</f>
        <v/>
      </c>
      <c r="H121" s="86" t="n">
        <f aca="false">IF(LEFT($B121,4)="_Mil","",INDEX(Cascade!$W:$W,MATCH($E121,Cascade!$E:$E,0)))</f>
        <v>1176</v>
      </c>
      <c r="I121" s="10" t="n">
        <f aca="false">IF(LEFT($B121,4)="_Mil","",INDEX(Cascade!$Z:$Z,MATCH($E121,Cascade!$E:$E,0)))</f>
        <v>1134</v>
      </c>
      <c r="J121" s="88" t="n">
        <f aca="false">IF(LEFT($B121,4)="_Mil","",INDEX(Cascade!$AA:$AA,MATCH($E121,Cascade!$E:$E,0)))</f>
        <v>1029</v>
      </c>
      <c r="K121" s="10"/>
      <c r="L121" s="10"/>
      <c r="M121" s="39" t="str">
        <f aca="false">IF(LEFT($B121,4)="_Mil","",IFERROR(1/(1/ROUND(INDEX(Spectrum!$N:$N,MATCH(RIGHT($B121,13)&amp;"|"&amp;$C121&amp;"|"&amp;$D121&amp;"|"&amp;M$14&amp;"|"&amp;"CY2023Q3",Spectrum!$R:$R,0)),0)),IF(SUM($L121)=0,"",$L121)))</f>
        <v/>
      </c>
      <c r="N121" s="39" t="str">
        <f aca="false">IF(LEFT($B121,4)="_Mil","",IFERROR(1/(1/ROUND(INDEX(Spectrum!$N:$N,MATCH(RIGHT($B121,13)&amp;"|"&amp;$C121&amp;"|"&amp;$D121&amp;"|"&amp;N$14&amp;"|"&amp;"CY2023Q3",Spectrum!$R:$R,0)),0)),IF(SUM($M121)=0,"",$M121)))</f>
        <v/>
      </c>
      <c r="O121" s="88" t="n">
        <f aca="false">IF(OR(LEFT($B121,4)="_Mil",SUM($F121)=0),"",SUM($N121)/$F121)</f>
        <v>0</v>
      </c>
      <c r="P121" s="88" t="n">
        <f aca="false">IF(OR(LEFT($B121,4)="_Mil",SUM($F121)=0),"",MAX(SUM($O121),80%))</f>
        <v>0.8</v>
      </c>
      <c r="Q121" s="39" t="n">
        <f aca="false">IF(OR(LEFT($B121,4)="_Mil",SUM($F121)=0),"",ROUND(SUM($F121)*$P121,0))</f>
        <v>1084</v>
      </c>
      <c r="R121" s="39" t="n">
        <f aca="false">IF(OR(LEFT($B121,4)="_Mil",SUM($Q121)=0),"",ROUND(MAX($Q121-SUM($N121),0),0))</f>
        <v>1084</v>
      </c>
      <c r="S121" s="88" t="str">
        <f aca="false">IF(LEFT($B121,4)="_Mil","",IF(SUM($L121)=0,"",IF(SUM($M121)=0,1,$L121/$M121)))</f>
        <v/>
      </c>
      <c r="T121" s="88" t="str">
        <f aca="false">IF(LEFT($B121,4)="_Mil",0,"")</f>
        <v/>
      </c>
      <c r="U121" s="88"/>
      <c r="V121" s="88" t="str">
        <f aca="false">IF($U121="","",$U121)</f>
        <v/>
      </c>
      <c r="W121" s="88"/>
      <c r="X121" s="88" t="str">
        <f aca="false">IF($W121="","",$W121)</f>
        <v/>
      </c>
      <c r="Y121" s="10" t="str">
        <f aca="false">IF(LEFT($B121,4)="_Mil",IF(SUM($L121)=0,"",ROUND($L121*(1+$T121),0)),IF(SUM($R121)=0,"",IF($S121="","ENTER IN COL S",ROUND($R121*$S121,0))))</f>
        <v>ENTER IN COL S</v>
      </c>
      <c r="Z121" s="39" t="str">
        <f aca="false">IF(SUM($Y121)=0,"",IF(AND(SUM($Y121)&gt;0,$V121=""),"ENTER INDETERMINATE RATE",ROUND($Y121*$V121,0)))</f>
        <v/>
      </c>
      <c r="AA121" s="39" t="str">
        <f aca="false">IF(SUM($Y121)=0,"",IF(AND(($Y121-SUM($Z121))&gt;0,$X121=""),"ENTER YIELD RATE",ROUND(($Y121-SUM($Z121))*SUM($X121),0)))</f>
        <v/>
      </c>
      <c r="AB121" s="39" t="str">
        <f aca="false">IF(SUM($Y121)=0,"",$Y121-SUM($Z121)-SUM($AA121))</f>
        <v/>
      </c>
      <c r="AC121" s="10" t="str">
        <f aca="false">IFERROR(1/(1/INDEX(Cascade!$BH:$BH,MATCH($E121,Cascade!$E:$E,0))),"")</f>
        <v/>
      </c>
      <c r="AD121" s="10" t="str">
        <f aca="false">IF(SUM($AA121)=0,"",$AA121)</f>
        <v/>
      </c>
      <c r="AE121" s="10" t="str">
        <f aca="false">IFERROR(1/(1/INDEX(TB!$P:$P,MATCH($E121,TB!$E:$E,0))),"")</f>
        <v/>
      </c>
      <c r="AF121" s="10" t="str">
        <f aca="false">IFERROR(1/(1/(SUM($AC121)-SUM($AD121:$AE121))),"")</f>
        <v/>
      </c>
    </row>
    <row r="122" customFormat="false" ht="15" hidden="false" customHeight="false" outlineLevel="0" collapsed="false">
      <c r="A122" s="0" t="str">
        <f aca="false">INDEX(Prioritization!$D:$D,MATCH($B122,Prioritization!$A:$A,0))</f>
        <v>INVALID</v>
      </c>
      <c r="B122" s="0" t="s">
        <v>220</v>
      </c>
      <c r="C122" s="0" t="s">
        <v>368</v>
      </c>
      <c r="D122" s="0" t="s">
        <v>48</v>
      </c>
      <c r="E122" s="0" t="str">
        <f aca="false">B122&amp;"|"&amp;C122&amp;"|"&amp;D122</f>
        <v>Phalombe District [AZyWpGzhcaA]|50+|Male</v>
      </c>
      <c r="F122" s="10" t="n">
        <f aca="false">IF(LEFT($B122,4)="_Mil","",INDEX(Cascade!$T:$T,MATCH($E122,Cascade!$E:$E,0)))</f>
        <v>661</v>
      </c>
      <c r="G122" s="10" t="str">
        <f aca="false">IF(LEFT($B122,4)="_Mil","",INDEX(Cascade!$U:$U,MATCH($E122,Cascade!$E:$E,0)))</f>
        <v/>
      </c>
      <c r="H122" s="86" t="n">
        <f aca="false">IF(LEFT($B122,4)="_Mil","",INDEX(Cascade!$W:$W,MATCH($E122,Cascade!$E:$E,0)))</f>
        <v>1501</v>
      </c>
      <c r="I122" s="10" t="n">
        <f aca="false">IF(LEFT($B122,4)="_Mil","",INDEX(Cascade!$Z:$Z,MATCH($E122,Cascade!$E:$E,0)))</f>
        <v>1157</v>
      </c>
      <c r="J122" s="88" t="n">
        <f aca="false">IF(LEFT($B122,4)="_Mil","",INDEX(Cascade!$AA:$AA,MATCH($E122,Cascade!$E:$E,0)))</f>
        <v>1796</v>
      </c>
      <c r="K122" s="10"/>
      <c r="L122" s="10"/>
      <c r="M122" s="39" t="str">
        <f aca="false">IF(LEFT($B122,4)="_Mil","",IFERROR(1/(1/ROUND(INDEX(Spectrum!$N:$N,MATCH(RIGHT($B122,13)&amp;"|"&amp;$C122&amp;"|"&amp;$D122&amp;"|"&amp;M$14&amp;"|"&amp;"CY2023Q3",Spectrum!$R:$R,0)),0)),IF(SUM($L122)=0,"",$L122)))</f>
        <v/>
      </c>
      <c r="N122" s="39" t="str">
        <f aca="false">IF(LEFT($B122,4)="_Mil","",IFERROR(1/(1/ROUND(INDEX(Spectrum!$N:$N,MATCH(RIGHT($B122,13)&amp;"|"&amp;$C122&amp;"|"&amp;$D122&amp;"|"&amp;N$14&amp;"|"&amp;"CY2023Q3",Spectrum!$R:$R,0)),0)),IF(SUM($M122)=0,"",$M122)))</f>
        <v/>
      </c>
      <c r="O122" s="88" t="n">
        <f aca="false">IF(OR(LEFT($B122,4)="_Mil",SUM($F122)=0),"",SUM($N122)/$F122)</f>
        <v>0</v>
      </c>
      <c r="P122" s="88" t="n">
        <f aca="false">IF(OR(LEFT($B122,4)="_Mil",SUM($F122)=0),"",MAX(SUM($O122),80%))</f>
        <v>0.8</v>
      </c>
      <c r="Q122" s="39" t="n">
        <f aca="false">IF(OR(LEFT($B122,4)="_Mil",SUM($F122)=0),"",ROUND(SUM($F122)*$P122,0))</f>
        <v>529</v>
      </c>
      <c r="R122" s="39" t="n">
        <f aca="false">IF(OR(LEFT($B122,4)="_Mil",SUM($Q122)=0),"",ROUND(MAX($Q122-SUM($N122),0),0))</f>
        <v>529</v>
      </c>
      <c r="S122" s="88" t="str">
        <f aca="false">IF(LEFT($B122,4)="_Mil","",IF(SUM($L122)=0,"",IF(SUM($M122)=0,1,$L122/$M122)))</f>
        <v/>
      </c>
      <c r="T122" s="88" t="str">
        <f aca="false">IF(LEFT($B122,4)="_Mil",0,"")</f>
        <v/>
      </c>
      <c r="U122" s="88"/>
      <c r="V122" s="88" t="str">
        <f aca="false">IF($U122="","",$U122)</f>
        <v/>
      </c>
      <c r="W122" s="88"/>
      <c r="X122" s="88" t="str">
        <f aca="false">IF($W122="","",$W122)</f>
        <v/>
      </c>
      <c r="Y122" s="10" t="str">
        <f aca="false">IF(LEFT($B122,4)="_Mil",IF(SUM($L122)=0,"",ROUND($L122*(1+$T122),0)),IF(SUM($R122)=0,"",IF($S122="","ENTER IN COL S",ROUND($R122*$S122,0))))</f>
        <v>ENTER IN COL S</v>
      </c>
      <c r="Z122" s="39" t="str">
        <f aca="false">IF(SUM($Y122)=0,"",IF(AND(SUM($Y122)&gt;0,$V122=""),"ENTER INDETERMINATE RATE",ROUND($Y122*$V122,0)))</f>
        <v/>
      </c>
      <c r="AA122" s="39" t="str">
        <f aca="false">IF(SUM($Y122)=0,"",IF(AND(($Y122-SUM($Z122))&gt;0,$X122=""),"ENTER YIELD RATE",ROUND(($Y122-SUM($Z122))*SUM($X122),0)))</f>
        <v/>
      </c>
      <c r="AB122" s="39" t="str">
        <f aca="false">IF(SUM($Y122)=0,"",$Y122-SUM($Z122)-SUM($AA122))</f>
        <v/>
      </c>
      <c r="AC122" s="10" t="str">
        <f aca="false">IFERROR(1/(1/INDEX(Cascade!$BH:$BH,MATCH($E122,Cascade!$E:$E,0))),"")</f>
        <v/>
      </c>
      <c r="AD122" s="10" t="str">
        <f aca="false">IF(SUM($AA122)=0,"",$AA122)</f>
        <v/>
      </c>
      <c r="AE122" s="10" t="str">
        <f aca="false">IFERROR(1/(1/INDEX(TB!$P:$P,MATCH($E122,TB!$E:$E,0))),"")</f>
        <v/>
      </c>
      <c r="AF122" s="10" t="str">
        <f aca="false">IFERROR(1/(1/(SUM($AC122)-SUM($AD122:$AE122))),"")</f>
        <v/>
      </c>
    </row>
    <row r="123" customFormat="false" ht="15" hidden="false" customHeight="false" outlineLevel="0" collapsed="false">
      <c r="A123" s="0" t="str">
        <f aca="false">INDEX(Prioritization!$D:$D,MATCH($B123,Prioritization!$A:$A,0))</f>
        <v>1 - Scale-up: Saturation</v>
      </c>
      <c r="B123" s="0" t="s">
        <v>221</v>
      </c>
      <c r="C123" s="0" t="s">
        <v>365</v>
      </c>
      <c r="D123" s="0" t="s">
        <v>48</v>
      </c>
      <c r="E123" s="0" t="str">
        <f aca="false">B123&amp;"|"&amp;C123&amp;"|"&amp;D123</f>
        <v>Thyolo District [ul0y9diGujK]|15-24|Male</v>
      </c>
      <c r="F123" s="10" t="n">
        <f aca="false">IF(LEFT($B123,4)="_Mil","",INDEX(Cascade!$T:$T,MATCH($E123,Cascade!$E:$E,0)))</f>
        <v>1129</v>
      </c>
      <c r="G123" s="10" t="str">
        <f aca="false">IF(LEFT($B123,4)="_Mil","",INDEX(Cascade!$U:$U,MATCH($E123,Cascade!$E:$E,0)))</f>
        <v/>
      </c>
      <c r="H123" s="86" t="n">
        <f aca="false">IF(LEFT($B123,4)="_Mil","",INDEX(Cascade!$W:$W,MATCH($E123,Cascade!$E:$E,0)))</f>
        <v>1846</v>
      </c>
      <c r="I123" s="10" t="n">
        <f aca="false">IF(LEFT($B123,4)="_Mil","",INDEX(Cascade!$Z:$Z,MATCH($E123,Cascade!$E:$E,0)))</f>
        <v>1387</v>
      </c>
      <c r="J123" s="88" t="n">
        <f aca="false">IF(LEFT($B123,4)="_Mil","",INDEX(Cascade!$AA:$AA,MATCH($E123,Cascade!$E:$E,0)))</f>
        <v>1208</v>
      </c>
      <c r="K123" s="10"/>
      <c r="L123" s="10"/>
      <c r="M123" s="39" t="str">
        <f aca="false">IF(LEFT($B123,4)="_Mil","",IFERROR(1/(1/ROUND(INDEX(Spectrum!$N:$N,MATCH(RIGHT($B123,13)&amp;"|"&amp;$C123&amp;"|"&amp;$D123&amp;"|"&amp;M$14&amp;"|"&amp;"CY2023Q3",Spectrum!$R:$R,0)),0)),IF(SUM($L123)=0,"",$L123)))</f>
        <v/>
      </c>
      <c r="N123" s="39" t="str">
        <f aca="false">IF(LEFT($B123,4)="_Mil","",IFERROR(1/(1/ROUND(INDEX(Spectrum!$N:$N,MATCH(RIGHT($B123,13)&amp;"|"&amp;$C123&amp;"|"&amp;$D123&amp;"|"&amp;N$14&amp;"|"&amp;"CY2023Q3",Spectrum!$R:$R,0)),0)),IF(SUM($M123)=0,"",$M123)))</f>
        <v/>
      </c>
      <c r="O123" s="88" t="n">
        <f aca="false">IF(OR(LEFT($B123,4)="_Mil",SUM($F123)=0),"",SUM($N123)/$F123)</f>
        <v>0</v>
      </c>
      <c r="P123" s="88" t="n">
        <f aca="false">IF(OR(LEFT($B123,4)="_Mil",SUM($F123)=0),"",MAX(SUM($O123),80%))</f>
        <v>0.8</v>
      </c>
      <c r="Q123" s="39" t="n">
        <f aca="false">IF(OR(LEFT($B123,4)="_Mil",SUM($F123)=0),"",ROUND(SUM($F123)*$P123,0))</f>
        <v>903</v>
      </c>
      <c r="R123" s="39" t="n">
        <f aca="false">IF(OR(LEFT($B123,4)="_Mil",SUM($Q123)=0),"",ROUND(MAX($Q123-SUM($N123),0),0))</f>
        <v>903</v>
      </c>
      <c r="S123" s="88" t="str">
        <f aca="false">IF(LEFT($B123,4)="_Mil","",IF(SUM($L123)=0,"",IF(SUM($M123)=0,1,$L123/$M123)))</f>
        <v/>
      </c>
      <c r="T123" s="88" t="str">
        <f aca="false">IF(LEFT($B123,4)="_Mil",0,"")</f>
        <v/>
      </c>
      <c r="U123" s="88"/>
      <c r="V123" s="88" t="str">
        <f aca="false">IF($U123="","",$U123)</f>
        <v/>
      </c>
      <c r="W123" s="88"/>
      <c r="X123" s="88" t="str">
        <f aca="false">IF($W123="","",$W123)</f>
        <v/>
      </c>
      <c r="Y123" s="10" t="str">
        <f aca="false">IF(LEFT($B123,4)="_Mil",IF(SUM($L123)=0,"",ROUND($L123*(1+$T123),0)),IF(SUM($R123)=0,"",IF($S123="","ENTER IN COL S",ROUND($R123*$S123,0))))</f>
        <v>ENTER IN COL S</v>
      </c>
      <c r="Z123" s="39" t="str">
        <f aca="false">IF(SUM($Y123)=0,"",IF(AND(SUM($Y123)&gt;0,$V123=""),"ENTER INDETERMINATE RATE",ROUND($Y123*$V123,0)))</f>
        <v/>
      </c>
      <c r="AA123" s="39" t="str">
        <f aca="false">IF(SUM($Y123)=0,"",IF(AND(($Y123-SUM($Z123))&gt;0,$X123=""),"ENTER YIELD RATE",ROUND(($Y123-SUM($Z123))*SUM($X123),0)))</f>
        <v/>
      </c>
      <c r="AB123" s="39" t="str">
        <f aca="false">IF(SUM($Y123)=0,"",$Y123-SUM($Z123)-SUM($AA123))</f>
        <v/>
      </c>
      <c r="AC123" s="10" t="str">
        <f aca="false">IFERROR(1/(1/INDEX(Cascade!$BH:$BH,MATCH($E123,Cascade!$E:$E,0))),"")</f>
        <v/>
      </c>
      <c r="AD123" s="10" t="str">
        <f aca="false">IF(SUM($AA123)=0,"",$AA123)</f>
        <v/>
      </c>
      <c r="AE123" s="10" t="str">
        <f aca="false">IFERROR(1/(1/INDEX(TB!$P:$P,MATCH($E123,TB!$E:$E,0))),"")</f>
        <v/>
      </c>
      <c r="AF123" s="10" t="str">
        <f aca="false">IFERROR(1/(1/(SUM($AC123)-SUM($AD123:$AE123))),"")</f>
        <v/>
      </c>
    </row>
    <row r="124" customFormat="false" ht="15" hidden="false" customHeight="false" outlineLevel="0" collapsed="false">
      <c r="A124" s="0" t="str">
        <f aca="false">INDEX(Prioritization!$D:$D,MATCH($B124,Prioritization!$A:$A,0))</f>
        <v>1 - Scale-up: Saturation</v>
      </c>
      <c r="B124" s="0" t="s">
        <v>221</v>
      </c>
      <c r="C124" s="0" t="s">
        <v>366</v>
      </c>
      <c r="D124" s="0" t="s">
        <v>48</v>
      </c>
      <c r="E124" s="0" t="str">
        <f aca="false">B124&amp;"|"&amp;C124&amp;"|"&amp;D124</f>
        <v>Thyolo District [ul0y9diGujK]|25-34|Male</v>
      </c>
      <c r="F124" s="10" t="n">
        <f aca="false">IF(LEFT($B124,4)="_Mil","",INDEX(Cascade!$T:$T,MATCH($E124,Cascade!$E:$E,0)))</f>
        <v>1064</v>
      </c>
      <c r="G124" s="10" t="str">
        <f aca="false">IF(LEFT($B124,4)="_Mil","",INDEX(Cascade!$U:$U,MATCH($E124,Cascade!$E:$E,0)))</f>
        <v/>
      </c>
      <c r="H124" s="86" t="n">
        <f aca="false">IF(LEFT($B124,4)="_Mil","",INDEX(Cascade!$W:$W,MATCH($E124,Cascade!$E:$E,0)))</f>
        <v>1963</v>
      </c>
      <c r="I124" s="10" t="n">
        <f aca="false">IF(LEFT($B124,4)="_Mil","",INDEX(Cascade!$Z:$Z,MATCH($E124,Cascade!$E:$E,0)))</f>
        <v>1076</v>
      </c>
      <c r="J124" s="88" t="n">
        <f aca="false">IF(LEFT($B124,4)="_Mil","",INDEX(Cascade!$AA:$AA,MATCH($E124,Cascade!$E:$E,0)))</f>
        <v>1667</v>
      </c>
      <c r="K124" s="10"/>
      <c r="L124" s="10"/>
      <c r="M124" s="39" t="str">
        <f aca="false">IF(LEFT($B124,4)="_Mil","",IFERROR(1/(1/ROUND(INDEX(Spectrum!$N:$N,MATCH(RIGHT($B124,13)&amp;"|"&amp;$C124&amp;"|"&amp;$D124&amp;"|"&amp;M$14&amp;"|"&amp;"CY2023Q3",Spectrum!$R:$R,0)),0)),IF(SUM($L124)=0,"",$L124)))</f>
        <v/>
      </c>
      <c r="N124" s="39" t="str">
        <f aca="false">IF(LEFT($B124,4)="_Mil","",IFERROR(1/(1/ROUND(INDEX(Spectrum!$N:$N,MATCH(RIGHT($B124,13)&amp;"|"&amp;$C124&amp;"|"&amp;$D124&amp;"|"&amp;N$14&amp;"|"&amp;"CY2023Q3",Spectrum!$R:$R,0)),0)),IF(SUM($M124)=0,"",$M124)))</f>
        <v/>
      </c>
      <c r="O124" s="88" t="n">
        <f aca="false">IF(OR(LEFT($B124,4)="_Mil",SUM($F124)=0),"",SUM($N124)/$F124)</f>
        <v>0</v>
      </c>
      <c r="P124" s="88" t="n">
        <f aca="false">IF(OR(LEFT($B124,4)="_Mil",SUM($F124)=0),"",MAX(SUM($O124),80%))</f>
        <v>0.8</v>
      </c>
      <c r="Q124" s="39" t="n">
        <f aca="false">IF(OR(LEFT($B124,4)="_Mil",SUM($F124)=0),"",ROUND(SUM($F124)*$P124,0))</f>
        <v>851</v>
      </c>
      <c r="R124" s="39" t="n">
        <f aca="false">IF(OR(LEFT($B124,4)="_Mil",SUM($Q124)=0),"",ROUND(MAX($Q124-SUM($N124),0),0))</f>
        <v>851</v>
      </c>
      <c r="S124" s="88" t="str">
        <f aca="false">IF(LEFT($B124,4)="_Mil","",IF(SUM($L124)=0,"",IF(SUM($M124)=0,1,$L124/$M124)))</f>
        <v/>
      </c>
      <c r="T124" s="88" t="str">
        <f aca="false">IF(LEFT($B124,4)="_Mil",0,"")</f>
        <v/>
      </c>
      <c r="U124" s="88"/>
      <c r="V124" s="88" t="str">
        <f aca="false">IF($U124="","",$U124)</f>
        <v/>
      </c>
      <c r="W124" s="88"/>
      <c r="X124" s="88" t="str">
        <f aca="false">IF($W124="","",$W124)</f>
        <v/>
      </c>
      <c r="Y124" s="10" t="str">
        <f aca="false">IF(LEFT($B124,4)="_Mil",IF(SUM($L124)=0,"",ROUND($L124*(1+$T124),0)),IF(SUM($R124)=0,"",IF($S124="","ENTER IN COL S",ROUND($R124*$S124,0))))</f>
        <v>ENTER IN COL S</v>
      </c>
      <c r="Z124" s="39" t="str">
        <f aca="false">IF(SUM($Y124)=0,"",IF(AND(SUM($Y124)&gt;0,$V124=""),"ENTER INDETERMINATE RATE",ROUND($Y124*$V124,0)))</f>
        <v/>
      </c>
      <c r="AA124" s="39" t="str">
        <f aca="false">IF(SUM($Y124)=0,"",IF(AND(($Y124-SUM($Z124))&gt;0,$X124=""),"ENTER YIELD RATE",ROUND(($Y124-SUM($Z124))*SUM($X124),0)))</f>
        <v/>
      </c>
      <c r="AB124" s="39" t="str">
        <f aca="false">IF(SUM($Y124)=0,"",$Y124-SUM($Z124)-SUM($AA124))</f>
        <v/>
      </c>
      <c r="AC124" s="10" t="str">
        <f aca="false">IFERROR(1/(1/INDEX(Cascade!$BH:$BH,MATCH($E124,Cascade!$E:$E,0))),"")</f>
        <v/>
      </c>
      <c r="AD124" s="10" t="str">
        <f aca="false">IF(SUM($AA124)=0,"",$AA124)</f>
        <v/>
      </c>
      <c r="AE124" s="10" t="str">
        <f aca="false">IFERROR(1/(1/INDEX(TB!$P:$P,MATCH($E124,TB!$E:$E,0))),"")</f>
        <v/>
      </c>
      <c r="AF124" s="10" t="str">
        <f aca="false">IFERROR(1/(1/(SUM($AC124)-SUM($AD124:$AE124))),"")</f>
        <v/>
      </c>
    </row>
    <row r="125" customFormat="false" ht="15" hidden="false" customHeight="false" outlineLevel="0" collapsed="false">
      <c r="A125" s="0" t="str">
        <f aca="false">INDEX(Prioritization!$D:$D,MATCH($B125,Prioritization!$A:$A,0))</f>
        <v>1 - Scale-up: Saturation</v>
      </c>
      <c r="B125" s="0" t="s">
        <v>221</v>
      </c>
      <c r="C125" s="0" t="s">
        <v>367</v>
      </c>
      <c r="D125" s="0" t="s">
        <v>48</v>
      </c>
      <c r="E125" s="0" t="str">
        <f aca="false">B125&amp;"|"&amp;C125&amp;"|"&amp;D125</f>
        <v>Thyolo District [ul0y9diGujK]|35-49|Male</v>
      </c>
      <c r="F125" s="10" t="n">
        <f aca="false">IF(LEFT($B125,4)="_Mil","",INDEX(Cascade!$T:$T,MATCH($E125,Cascade!$E:$E,0)))</f>
        <v>1367</v>
      </c>
      <c r="G125" s="10" t="str">
        <f aca="false">IF(LEFT($B125,4)="_Mil","",INDEX(Cascade!$U:$U,MATCH($E125,Cascade!$E:$E,0)))</f>
        <v/>
      </c>
      <c r="H125" s="86" t="n">
        <f aca="false">IF(LEFT($B125,4)="_Mil","",INDEX(Cascade!$W:$W,MATCH($E125,Cascade!$E:$E,0)))</f>
        <v>1812</v>
      </c>
      <c r="I125" s="10" t="n">
        <f aca="false">IF(LEFT($B125,4)="_Mil","",INDEX(Cascade!$Z:$Z,MATCH($E125,Cascade!$E:$E,0)))</f>
        <v>1525</v>
      </c>
      <c r="J125" s="88" t="n">
        <f aca="false">IF(LEFT($B125,4)="_Mil","",INDEX(Cascade!$AA:$AA,MATCH($E125,Cascade!$E:$E,0)))</f>
        <v>835</v>
      </c>
      <c r="K125" s="10"/>
      <c r="L125" s="10"/>
      <c r="M125" s="39" t="str">
        <f aca="false">IF(LEFT($B125,4)="_Mil","",IFERROR(1/(1/ROUND(INDEX(Spectrum!$N:$N,MATCH(RIGHT($B125,13)&amp;"|"&amp;$C125&amp;"|"&amp;$D125&amp;"|"&amp;M$14&amp;"|"&amp;"CY2023Q3",Spectrum!$R:$R,0)),0)),IF(SUM($L125)=0,"",$L125)))</f>
        <v/>
      </c>
      <c r="N125" s="39" t="str">
        <f aca="false">IF(LEFT($B125,4)="_Mil","",IFERROR(1/(1/ROUND(INDEX(Spectrum!$N:$N,MATCH(RIGHT($B125,13)&amp;"|"&amp;$C125&amp;"|"&amp;$D125&amp;"|"&amp;N$14&amp;"|"&amp;"CY2023Q3",Spectrum!$R:$R,0)),0)),IF(SUM($M125)=0,"",$M125)))</f>
        <v/>
      </c>
      <c r="O125" s="88" t="n">
        <f aca="false">IF(OR(LEFT($B125,4)="_Mil",SUM($F125)=0),"",SUM($N125)/$F125)</f>
        <v>0</v>
      </c>
      <c r="P125" s="88" t="n">
        <f aca="false">IF(OR(LEFT($B125,4)="_Mil",SUM($F125)=0),"",MAX(SUM($O125),80%))</f>
        <v>0.8</v>
      </c>
      <c r="Q125" s="39" t="n">
        <f aca="false">IF(OR(LEFT($B125,4)="_Mil",SUM($F125)=0),"",ROUND(SUM($F125)*$P125,0))</f>
        <v>1094</v>
      </c>
      <c r="R125" s="39" t="n">
        <f aca="false">IF(OR(LEFT($B125,4)="_Mil",SUM($Q125)=0),"",ROUND(MAX($Q125-SUM($N125),0),0))</f>
        <v>1094</v>
      </c>
      <c r="S125" s="88" t="str">
        <f aca="false">IF(LEFT($B125,4)="_Mil","",IF(SUM($L125)=0,"",IF(SUM($M125)=0,1,$L125/$M125)))</f>
        <v/>
      </c>
      <c r="T125" s="88" t="str">
        <f aca="false">IF(LEFT($B125,4)="_Mil",0,"")</f>
        <v/>
      </c>
      <c r="U125" s="88"/>
      <c r="V125" s="88" t="str">
        <f aca="false">IF($U125="","",$U125)</f>
        <v/>
      </c>
      <c r="W125" s="88"/>
      <c r="X125" s="88" t="str">
        <f aca="false">IF($W125="","",$W125)</f>
        <v/>
      </c>
      <c r="Y125" s="10" t="str">
        <f aca="false">IF(LEFT($B125,4)="_Mil",IF(SUM($L125)=0,"",ROUND($L125*(1+$T125),0)),IF(SUM($R125)=0,"",IF($S125="","ENTER IN COL S",ROUND($R125*$S125,0))))</f>
        <v>ENTER IN COL S</v>
      </c>
      <c r="Z125" s="39" t="str">
        <f aca="false">IF(SUM($Y125)=0,"",IF(AND(SUM($Y125)&gt;0,$V125=""),"ENTER INDETERMINATE RATE",ROUND($Y125*$V125,0)))</f>
        <v/>
      </c>
      <c r="AA125" s="39" t="str">
        <f aca="false">IF(SUM($Y125)=0,"",IF(AND(($Y125-SUM($Z125))&gt;0,$X125=""),"ENTER YIELD RATE",ROUND(($Y125-SUM($Z125))*SUM($X125),0)))</f>
        <v/>
      </c>
      <c r="AB125" s="39" t="str">
        <f aca="false">IF(SUM($Y125)=0,"",$Y125-SUM($Z125)-SUM($AA125))</f>
        <v/>
      </c>
      <c r="AC125" s="10" t="str">
        <f aca="false">IFERROR(1/(1/INDEX(Cascade!$BH:$BH,MATCH($E125,Cascade!$E:$E,0))),"")</f>
        <v/>
      </c>
      <c r="AD125" s="10" t="str">
        <f aca="false">IF(SUM($AA125)=0,"",$AA125)</f>
        <v/>
      </c>
      <c r="AE125" s="10" t="str">
        <f aca="false">IFERROR(1/(1/INDEX(TB!$P:$P,MATCH($E125,TB!$E:$E,0))),"")</f>
        <v/>
      </c>
      <c r="AF125" s="10" t="str">
        <f aca="false">IFERROR(1/(1/(SUM($AC125)-SUM($AD125:$AE125))),"")</f>
        <v/>
      </c>
    </row>
    <row r="126" customFormat="false" ht="15" hidden="false" customHeight="false" outlineLevel="0" collapsed="false">
      <c r="A126" s="0" t="str">
        <f aca="false">INDEX(Prioritization!$D:$D,MATCH($B126,Prioritization!$A:$A,0))</f>
        <v>1 - Scale-up: Saturation</v>
      </c>
      <c r="B126" s="0" t="s">
        <v>221</v>
      </c>
      <c r="C126" s="0" t="s">
        <v>368</v>
      </c>
      <c r="D126" s="0" t="s">
        <v>48</v>
      </c>
      <c r="E126" s="0" t="str">
        <f aca="false">B126&amp;"|"&amp;C126&amp;"|"&amp;D126</f>
        <v>Thyolo District [ul0y9diGujK]|50+|Male</v>
      </c>
      <c r="F126" s="10" t="n">
        <f aca="false">IF(LEFT($B126,4)="_Mil","",INDEX(Cascade!$T:$T,MATCH($E126,Cascade!$E:$E,0)))</f>
        <v>1767</v>
      </c>
      <c r="G126" s="10" t="str">
        <f aca="false">IF(LEFT($B126,4)="_Mil","",INDEX(Cascade!$U:$U,MATCH($E126,Cascade!$E:$E,0)))</f>
        <v/>
      </c>
      <c r="H126" s="86" t="n">
        <f aca="false">IF(LEFT($B126,4)="_Mil","",INDEX(Cascade!$W:$W,MATCH($E126,Cascade!$E:$E,0)))</f>
        <v>967</v>
      </c>
      <c r="I126" s="10" t="n">
        <f aca="false">IF(LEFT($B126,4)="_Mil","",INDEX(Cascade!$Z:$Z,MATCH($E126,Cascade!$E:$E,0)))</f>
        <v>662</v>
      </c>
      <c r="J126" s="88" t="n">
        <f aca="false">IF(LEFT($B126,4)="_Mil","",INDEX(Cascade!$AA:$AA,MATCH($E126,Cascade!$E:$E,0)))</f>
        <v>1826</v>
      </c>
      <c r="K126" s="10"/>
      <c r="L126" s="10"/>
      <c r="M126" s="39" t="str">
        <f aca="false">IF(LEFT($B126,4)="_Mil","",IFERROR(1/(1/ROUND(INDEX(Spectrum!$N:$N,MATCH(RIGHT($B126,13)&amp;"|"&amp;$C126&amp;"|"&amp;$D126&amp;"|"&amp;M$14&amp;"|"&amp;"CY2023Q3",Spectrum!$R:$R,0)),0)),IF(SUM($L126)=0,"",$L126)))</f>
        <v/>
      </c>
      <c r="N126" s="39" t="str">
        <f aca="false">IF(LEFT($B126,4)="_Mil","",IFERROR(1/(1/ROUND(INDEX(Spectrum!$N:$N,MATCH(RIGHT($B126,13)&amp;"|"&amp;$C126&amp;"|"&amp;$D126&amp;"|"&amp;N$14&amp;"|"&amp;"CY2023Q3",Spectrum!$R:$R,0)),0)),IF(SUM($M126)=0,"",$M126)))</f>
        <v/>
      </c>
      <c r="O126" s="88" t="n">
        <f aca="false">IF(OR(LEFT($B126,4)="_Mil",SUM($F126)=0),"",SUM($N126)/$F126)</f>
        <v>0</v>
      </c>
      <c r="P126" s="88" t="n">
        <f aca="false">IF(OR(LEFT($B126,4)="_Mil",SUM($F126)=0),"",MAX(SUM($O126),80%))</f>
        <v>0.8</v>
      </c>
      <c r="Q126" s="39" t="n">
        <f aca="false">IF(OR(LEFT($B126,4)="_Mil",SUM($F126)=0),"",ROUND(SUM($F126)*$P126,0))</f>
        <v>1414</v>
      </c>
      <c r="R126" s="39" t="n">
        <f aca="false">IF(OR(LEFT($B126,4)="_Mil",SUM($Q126)=0),"",ROUND(MAX($Q126-SUM($N126),0),0))</f>
        <v>1414</v>
      </c>
      <c r="S126" s="88" t="str">
        <f aca="false">IF(LEFT($B126,4)="_Mil","",IF(SUM($L126)=0,"",IF(SUM($M126)=0,1,$L126/$M126)))</f>
        <v/>
      </c>
      <c r="T126" s="88" t="str">
        <f aca="false">IF(LEFT($B126,4)="_Mil",0,"")</f>
        <v/>
      </c>
      <c r="U126" s="88"/>
      <c r="V126" s="88" t="str">
        <f aca="false">IF($U126="","",$U126)</f>
        <v/>
      </c>
      <c r="W126" s="88"/>
      <c r="X126" s="88" t="str">
        <f aca="false">IF($W126="","",$W126)</f>
        <v/>
      </c>
      <c r="Y126" s="10" t="str">
        <f aca="false">IF(LEFT($B126,4)="_Mil",IF(SUM($L126)=0,"",ROUND($L126*(1+$T126),0)),IF(SUM($R126)=0,"",IF($S126="","ENTER IN COL S",ROUND($R126*$S126,0))))</f>
        <v>ENTER IN COL S</v>
      </c>
      <c r="Z126" s="39" t="str">
        <f aca="false">IF(SUM($Y126)=0,"",IF(AND(SUM($Y126)&gt;0,$V126=""),"ENTER INDETERMINATE RATE",ROUND($Y126*$V126,0)))</f>
        <v/>
      </c>
      <c r="AA126" s="39" t="str">
        <f aca="false">IF(SUM($Y126)=0,"",IF(AND(($Y126-SUM($Z126))&gt;0,$X126=""),"ENTER YIELD RATE",ROUND(($Y126-SUM($Z126))*SUM($X126),0)))</f>
        <v/>
      </c>
      <c r="AB126" s="39" t="str">
        <f aca="false">IF(SUM($Y126)=0,"",$Y126-SUM($Z126)-SUM($AA126))</f>
        <v/>
      </c>
      <c r="AC126" s="10" t="str">
        <f aca="false">IFERROR(1/(1/INDEX(Cascade!$BH:$BH,MATCH($E126,Cascade!$E:$E,0))),"")</f>
        <v/>
      </c>
      <c r="AD126" s="10" t="str">
        <f aca="false">IF(SUM($AA126)=0,"",$AA126)</f>
        <v/>
      </c>
      <c r="AE126" s="10" t="str">
        <f aca="false">IFERROR(1/(1/INDEX(TB!$P:$P,MATCH($E126,TB!$E:$E,0))),"")</f>
        <v/>
      </c>
      <c r="AF126" s="10" t="str">
        <f aca="false">IFERROR(1/(1/(SUM($AC126)-SUM($AD126:$AE126))),"")</f>
        <v/>
      </c>
    </row>
    <row r="127" customFormat="false" ht="15" hidden="false" customHeight="false" outlineLevel="0" collapsed="false">
      <c r="A127" s="0" t="str">
        <f aca="false">INDEX(Prioritization!$D:$D,MATCH($B127,Prioritization!$A:$A,0))</f>
        <v>1 - Scale-up: Saturation</v>
      </c>
      <c r="B127" s="0" t="s">
        <v>222</v>
      </c>
      <c r="C127" s="0" t="s">
        <v>365</v>
      </c>
      <c r="D127" s="0" t="s">
        <v>48</v>
      </c>
      <c r="E127" s="0" t="str">
        <f aca="false">B127&amp;"|"&amp;C127&amp;"|"&amp;D127</f>
        <v>Zomba District [fyEoGEPERdI]|15-24|Male</v>
      </c>
      <c r="F127" s="10" t="n">
        <f aca="false">IF(LEFT($B127,4)="_Mil","",INDEX(Cascade!$T:$T,MATCH($E127,Cascade!$E:$E,0)))</f>
        <v>1345</v>
      </c>
      <c r="G127" s="10" t="str">
        <f aca="false">IF(LEFT($B127,4)="_Mil","",INDEX(Cascade!$U:$U,MATCH($E127,Cascade!$E:$E,0)))</f>
        <v/>
      </c>
      <c r="H127" s="86" t="n">
        <f aca="false">IF(LEFT($B127,4)="_Mil","",INDEX(Cascade!$W:$W,MATCH($E127,Cascade!$E:$E,0)))</f>
        <v>892</v>
      </c>
      <c r="I127" s="10" t="n">
        <f aca="false">IF(LEFT($B127,4)="_Mil","",INDEX(Cascade!$Z:$Z,MATCH($E127,Cascade!$E:$E,0)))</f>
        <v>505</v>
      </c>
      <c r="J127" s="88" t="n">
        <f aca="false">IF(LEFT($B127,4)="_Mil","",INDEX(Cascade!$AA:$AA,MATCH($E127,Cascade!$E:$E,0)))</f>
        <v>1449</v>
      </c>
      <c r="K127" s="10"/>
      <c r="L127" s="10"/>
      <c r="M127" s="39" t="str">
        <f aca="false">IF(LEFT($B127,4)="_Mil","",IFERROR(1/(1/ROUND(INDEX(Spectrum!$N:$N,MATCH(RIGHT($B127,13)&amp;"|"&amp;$C127&amp;"|"&amp;$D127&amp;"|"&amp;M$14&amp;"|"&amp;"CY2023Q3",Spectrum!$R:$R,0)),0)),IF(SUM($L127)=0,"",$L127)))</f>
        <v/>
      </c>
      <c r="N127" s="39" t="str">
        <f aca="false">IF(LEFT($B127,4)="_Mil","",IFERROR(1/(1/ROUND(INDEX(Spectrum!$N:$N,MATCH(RIGHT($B127,13)&amp;"|"&amp;$C127&amp;"|"&amp;$D127&amp;"|"&amp;N$14&amp;"|"&amp;"CY2023Q3",Spectrum!$R:$R,0)),0)),IF(SUM($M127)=0,"",$M127)))</f>
        <v/>
      </c>
      <c r="O127" s="88" t="n">
        <f aca="false">IF(OR(LEFT($B127,4)="_Mil",SUM($F127)=0),"",SUM($N127)/$F127)</f>
        <v>0</v>
      </c>
      <c r="P127" s="88" t="n">
        <f aca="false">IF(OR(LEFT($B127,4)="_Mil",SUM($F127)=0),"",MAX(SUM($O127),80%))</f>
        <v>0.8</v>
      </c>
      <c r="Q127" s="39" t="n">
        <f aca="false">IF(OR(LEFT($B127,4)="_Mil",SUM($F127)=0),"",ROUND(SUM($F127)*$P127,0))</f>
        <v>1076</v>
      </c>
      <c r="R127" s="39" t="n">
        <f aca="false">IF(OR(LEFT($B127,4)="_Mil",SUM($Q127)=0),"",ROUND(MAX($Q127-SUM($N127),0),0))</f>
        <v>1076</v>
      </c>
      <c r="S127" s="88" t="str">
        <f aca="false">IF(LEFT($B127,4)="_Mil","",IF(SUM($L127)=0,"",IF(SUM($M127)=0,1,$L127/$M127)))</f>
        <v/>
      </c>
      <c r="T127" s="88" t="str">
        <f aca="false">IF(LEFT($B127,4)="_Mil",0,"")</f>
        <v/>
      </c>
      <c r="U127" s="88"/>
      <c r="V127" s="88" t="str">
        <f aca="false">IF($U127="","",$U127)</f>
        <v/>
      </c>
      <c r="W127" s="88"/>
      <c r="X127" s="88" t="str">
        <f aca="false">IF($W127="","",$W127)</f>
        <v/>
      </c>
      <c r="Y127" s="10" t="str">
        <f aca="false">IF(LEFT($B127,4)="_Mil",IF(SUM($L127)=0,"",ROUND($L127*(1+$T127),0)),IF(SUM($R127)=0,"",IF($S127="","ENTER IN COL S",ROUND($R127*$S127,0))))</f>
        <v>ENTER IN COL S</v>
      </c>
      <c r="Z127" s="39" t="str">
        <f aca="false">IF(SUM($Y127)=0,"",IF(AND(SUM($Y127)&gt;0,$V127=""),"ENTER INDETERMINATE RATE",ROUND($Y127*$V127,0)))</f>
        <v/>
      </c>
      <c r="AA127" s="39" t="str">
        <f aca="false">IF(SUM($Y127)=0,"",IF(AND(($Y127-SUM($Z127))&gt;0,$X127=""),"ENTER YIELD RATE",ROUND(($Y127-SUM($Z127))*SUM($X127),0)))</f>
        <v/>
      </c>
      <c r="AB127" s="39" t="str">
        <f aca="false">IF(SUM($Y127)=0,"",$Y127-SUM($Z127)-SUM($AA127))</f>
        <v/>
      </c>
      <c r="AC127" s="10" t="str">
        <f aca="false">IFERROR(1/(1/INDEX(Cascade!$BH:$BH,MATCH($E127,Cascade!$E:$E,0))),"")</f>
        <v/>
      </c>
      <c r="AD127" s="10" t="str">
        <f aca="false">IF(SUM($AA127)=0,"",$AA127)</f>
        <v/>
      </c>
      <c r="AE127" s="10" t="str">
        <f aca="false">IFERROR(1/(1/INDEX(TB!$P:$P,MATCH($E127,TB!$E:$E,0))),"")</f>
        <v/>
      </c>
      <c r="AF127" s="10" t="str">
        <f aca="false">IFERROR(1/(1/(SUM($AC127)-SUM($AD127:$AE127))),"")</f>
        <v/>
      </c>
    </row>
    <row r="128" customFormat="false" ht="15" hidden="false" customHeight="false" outlineLevel="0" collapsed="false">
      <c r="A128" s="0" t="str">
        <f aca="false">INDEX(Prioritization!$D:$D,MATCH($B128,Prioritization!$A:$A,0))</f>
        <v>1 - Scale-up: Saturation</v>
      </c>
      <c r="B128" s="0" t="s">
        <v>222</v>
      </c>
      <c r="C128" s="0" t="s">
        <v>366</v>
      </c>
      <c r="D128" s="0" t="s">
        <v>48</v>
      </c>
      <c r="E128" s="0" t="str">
        <f aca="false">B128&amp;"|"&amp;C128&amp;"|"&amp;D128</f>
        <v>Zomba District [fyEoGEPERdI]|25-34|Male</v>
      </c>
      <c r="F128" s="10" t="n">
        <f aca="false">IF(LEFT($B128,4)="_Mil","",INDEX(Cascade!$T:$T,MATCH($E128,Cascade!$E:$E,0)))</f>
        <v>927</v>
      </c>
      <c r="G128" s="10" t="str">
        <f aca="false">IF(LEFT($B128,4)="_Mil","",INDEX(Cascade!$U:$U,MATCH($E128,Cascade!$E:$E,0)))</f>
        <v/>
      </c>
      <c r="H128" s="86" t="n">
        <f aca="false">IF(LEFT($B128,4)="_Mil","",INDEX(Cascade!$W:$W,MATCH($E128,Cascade!$E:$E,0)))</f>
        <v>1505</v>
      </c>
      <c r="I128" s="10" t="n">
        <f aca="false">IF(LEFT($B128,4)="_Mil","",INDEX(Cascade!$Z:$Z,MATCH($E128,Cascade!$E:$E,0)))</f>
        <v>1554</v>
      </c>
      <c r="J128" s="88" t="n">
        <f aca="false">IF(LEFT($B128,4)="_Mil","",INDEX(Cascade!$AA:$AA,MATCH($E128,Cascade!$E:$E,0)))</f>
        <v>1332</v>
      </c>
      <c r="K128" s="10"/>
      <c r="L128" s="10"/>
      <c r="M128" s="39" t="str">
        <f aca="false">IF(LEFT($B128,4)="_Mil","",IFERROR(1/(1/ROUND(INDEX(Spectrum!$N:$N,MATCH(RIGHT($B128,13)&amp;"|"&amp;$C128&amp;"|"&amp;$D128&amp;"|"&amp;M$14&amp;"|"&amp;"CY2023Q3",Spectrum!$R:$R,0)),0)),IF(SUM($L128)=0,"",$L128)))</f>
        <v/>
      </c>
      <c r="N128" s="39" t="str">
        <f aca="false">IF(LEFT($B128,4)="_Mil","",IFERROR(1/(1/ROUND(INDEX(Spectrum!$N:$N,MATCH(RIGHT($B128,13)&amp;"|"&amp;$C128&amp;"|"&amp;$D128&amp;"|"&amp;N$14&amp;"|"&amp;"CY2023Q3",Spectrum!$R:$R,0)),0)),IF(SUM($M128)=0,"",$M128)))</f>
        <v/>
      </c>
      <c r="O128" s="88" t="n">
        <f aca="false">IF(OR(LEFT($B128,4)="_Mil",SUM($F128)=0),"",SUM($N128)/$F128)</f>
        <v>0</v>
      </c>
      <c r="P128" s="88" t="n">
        <f aca="false">IF(OR(LEFT($B128,4)="_Mil",SUM($F128)=0),"",MAX(SUM($O128),80%))</f>
        <v>0.8</v>
      </c>
      <c r="Q128" s="39" t="n">
        <f aca="false">IF(OR(LEFT($B128,4)="_Mil",SUM($F128)=0),"",ROUND(SUM($F128)*$P128,0))</f>
        <v>742</v>
      </c>
      <c r="R128" s="39" t="n">
        <f aca="false">IF(OR(LEFT($B128,4)="_Mil",SUM($Q128)=0),"",ROUND(MAX($Q128-SUM($N128),0),0))</f>
        <v>742</v>
      </c>
      <c r="S128" s="88" t="str">
        <f aca="false">IF(LEFT($B128,4)="_Mil","",IF(SUM($L128)=0,"",IF(SUM($M128)=0,1,$L128/$M128)))</f>
        <v/>
      </c>
      <c r="T128" s="88" t="str">
        <f aca="false">IF(LEFT($B128,4)="_Mil",0,"")</f>
        <v/>
      </c>
      <c r="U128" s="88"/>
      <c r="V128" s="88" t="str">
        <f aca="false">IF($U128="","",$U128)</f>
        <v/>
      </c>
      <c r="W128" s="88"/>
      <c r="X128" s="88" t="str">
        <f aca="false">IF($W128="","",$W128)</f>
        <v/>
      </c>
      <c r="Y128" s="10" t="str">
        <f aca="false">IF(LEFT($B128,4)="_Mil",IF(SUM($L128)=0,"",ROUND($L128*(1+$T128),0)),IF(SUM($R128)=0,"",IF($S128="","ENTER IN COL S",ROUND($R128*$S128,0))))</f>
        <v>ENTER IN COL S</v>
      </c>
      <c r="Z128" s="39" t="str">
        <f aca="false">IF(SUM($Y128)=0,"",IF(AND(SUM($Y128)&gt;0,$V128=""),"ENTER INDETERMINATE RATE",ROUND($Y128*$V128,0)))</f>
        <v/>
      </c>
      <c r="AA128" s="39" t="str">
        <f aca="false">IF(SUM($Y128)=0,"",IF(AND(($Y128-SUM($Z128))&gt;0,$X128=""),"ENTER YIELD RATE",ROUND(($Y128-SUM($Z128))*SUM($X128),0)))</f>
        <v/>
      </c>
      <c r="AB128" s="39" t="str">
        <f aca="false">IF(SUM($Y128)=0,"",$Y128-SUM($Z128)-SUM($AA128))</f>
        <v/>
      </c>
      <c r="AC128" s="10" t="str">
        <f aca="false">IFERROR(1/(1/INDEX(Cascade!$BH:$BH,MATCH($E128,Cascade!$E:$E,0))),"")</f>
        <v/>
      </c>
      <c r="AD128" s="10" t="str">
        <f aca="false">IF(SUM($AA128)=0,"",$AA128)</f>
        <v/>
      </c>
      <c r="AE128" s="10" t="str">
        <f aca="false">IFERROR(1/(1/INDEX(TB!$P:$P,MATCH($E128,TB!$E:$E,0))),"")</f>
        <v/>
      </c>
      <c r="AF128" s="10" t="str">
        <f aca="false">IFERROR(1/(1/(SUM($AC128)-SUM($AD128:$AE128))),"")</f>
        <v/>
      </c>
    </row>
    <row r="129" customFormat="false" ht="15" hidden="false" customHeight="false" outlineLevel="0" collapsed="false">
      <c r="A129" s="0" t="str">
        <f aca="false">INDEX(Prioritization!$D:$D,MATCH($B129,Prioritization!$A:$A,0))</f>
        <v>1 - Scale-up: Saturation</v>
      </c>
      <c r="B129" s="0" t="s">
        <v>222</v>
      </c>
      <c r="C129" s="0" t="s">
        <v>367</v>
      </c>
      <c r="D129" s="0" t="s">
        <v>48</v>
      </c>
      <c r="E129" s="0" t="str">
        <f aca="false">B129&amp;"|"&amp;C129&amp;"|"&amp;D129</f>
        <v>Zomba District [fyEoGEPERdI]|35-49|Male</v>
      </c>
      <c r="F129" s="10" t="n">
        <f aca="false">IF(LEFT($B129,4)="_Mil","",INDEX(Cascade!$T:$T,MATCH($E129,Cascade!$E:$E,0)))</f>
        <v>1032</v>
      </c>
      <c r="G129" s="10" t="str">
        <f aca="false">IF(LEFT($B129,4)="_Mil","",INDEX(Cascade!$U:$U,MATCH($E129,Cascade!$E:$E,0)))</f>
        <v/>
      </c>
      <c r="H129" s="86" t="n">
        <f aca="false">IF(LEFT($B129,4)="_Mil","",INDEX(Cascade!$W:$W,MATCH($E129,Cascade!$E:$E,0)))</f>
        <v>1565</v>
      </c>
      <c r="I129" s="10" t="n">
        <f aca="false">IF(LEFT($B129,4)="_Mil","",INDEX(Cascade!$Z:$Z,MATCH($E129,Cascade!$E:$E,0)))</f>
        <v>1018</v>
      </c>
      <c r="J129" s="88" t="n">
        <f aca="false">IF(LEFT($B129,4)="_Mil","",INDEX(Cascade!$AA:$AA,MATCH($E129,Cascade!$E:$E,0)))</f>
        <v>1946</v>
      </c>
      <c r="K129" s="10"/>
      <c r="L129" s="10"/>
      <c r="M129" s="39" t="str">
        <f aca="false">IF(LEFT($B129,4)="_Mil","",IFERROR(1/(1/ROUND(INDEX(Spectrum!$N:$N,MATCH(RIGHT($B129,13)&amp;"|"&amp;$C129&amp;"|"&amp;$D129&amp;"|"&amp;M$14&amp;"|"&amp;"CY2023Q3",Spectrum!$R:$R,0)),0)),IF(SUM($L129)=0,"",$L129)))</f>
        <v/>
      </c>
      <c r="N129" s="39" t="str">
        <f aca="false">IF(LEFT($B129,4)="_Mil","",IFERROR(1/(1/ROUND(INDEX(Spectrum!$N:$N,MATCH(RIGHT($B129,13)&amp;"|"&amp;$C129&amp;"|"&amp;$D129&amp;"|"&amp;N$14&amp;"|"&amp;"CY2023Q3",Spectrum!$R:$R,0)),0)),IF(SUM($M129)=0,"",$M129)))</f>
        <v/>
      </c>
      <c r="O129" s="88" t="n">
        <f aca="false">IF(OR(LEFT($B129,4)="_Mil",SUM($F129)=0),"",SUM($N129)/$F129)</f>
        <v>0</v>
      </c>
      <c r="P129" s="88" t="n">
        <f aca="false">IF(OR(LEFT($B129,4)="_Mil",SUM($F129)=0),"",MAX(SUM($O129),80%))</f>
        <v>0.8</v>
      </c>
      <c r="Q129" s="39" t="n">
        <f aca="false">IF(OR(LEFT($B129,4)="_Mil",SUM($F129)=0),"",ROUND(SUM($F129)*$P129,0))</f>
        <v>826</v>
      </c>
      <c r="R129" s="39" t="n">
        <f aca="false">IF(OR(LEFT($B129,4)="_Mil",SUM($Q129)=0),"",ROUND(MAX($Q129-SUM($N129),0),0))</f>
        <v>826</v>
      </c>
      <c r="S129" s="88" t="str">
        <f aca="false">IF(LEFT($B129,4)="_Mil","",IF(SUM($L129)=0,"",IF(SUM($M129)=0,1,$L129/$M129)))</f>
        <v/>
      </c>
      <c r="T129" s="88" t="str">
        <f aca="false">IF(LEFT($B129,4)="_Mil",0,"")</f>
        <v/>
      </c>
      <c r="U129" s="88"/>
      <c r="V129" s="88" t="str">
        <f aca="false">IF($U129="","",$U129)</f>
        <v/>
      </c>
      <c r="W129" s="88"/>
      <c r="X129" s="88" t="str">
        <f aca="false">IF($W129="","",$W129)</f>
        <v/>
      </c>
      <c r="Y129" s="10" t="str">
        <f aca="false">IF(LEFT($B129,4)="_Mil",IF(SUM($L129)=0,"",ROUND($L129*(1+$T129),0)),IF(SUM($R129)=0,"",IF($S129="","ENTER IN COL S",ROUND($R129*$S129,0))))</f>
        <v>ENTER IN COL S</v>
      </c>
      <c r="Z129" s="39" t="str">
        <f aca="false">IF(SUM($Y129)=0,"",IF(AND(SUM($Y129)&gt;0,$V129=""),"ENTER INDETERMINATE RATE",ROUND($Y129*$V129,0)))</f>
        <v/>
      </c>
      <c r="AA129" s="39" t="str">
        <f aca="false">IF(SUM($Y129)=0,"",IF(AND(($Y129-SUM($Z129))&gt;0,$X129=""),"ENTER YIELD RATE",ROUND(($Y129-SUM($Z129))*SUM($X129),0)))</f>
        <v/>
      </c>
      <c r="AB129" s="39" t="str">
        <f aca="false">IF(SUM($Y129)=0,"",$Y129-SUM($Z129)-SUM($AA129))</f>
        <v/>
      </c>
      <c r="AC129" s="10" t="str">
        <f aca="false">IFERROR(1/(1/INDEX(Cascade!$BH:$BH,MATCH($E129,Cascade!$E:$E,0))),"")</f>
        <v/>
      </c>
      <c r="AD129" s="10" t="str">
        <f aca="false">IF(SUM($AA129)=0,"",$AA129)</f>
        <v/>
      </c>
      <c r="AE129" s="10" t="str">
        <f aca="false">IFERROR(1/(1/INDEX(TB!$P:$P,MATCH($E129,TB!$E:$E,0))),"")</f>
        <v/>
      </c>
      <c r="AF129" s="10" t="str">
        <f aca="false">IFERROR(1/(1/(SUM($AC129)-SUM($AD129:$AE129))),"")</f>
        <v/>
      </c>
    </row>
    <row r="130" customFormat="false" ht="15" hidden="false" customHeight="false" outlineLevel="0" collapsed="false">
      <c r="A130" s="0" t="str">
        <f aca="false">INDEX(Prioritization!$D:$D,MATCH($B130,Prioritization!$A:$A,0))</f>
        <v>1 - Scale-up: Saturation</v>
      </c>
      <c r="B130" s="0" t="s">
        <v>222</v>
      </c>
      <c r="C130" s="0" t="s">
        <v>368</v>
      </c>
      <c r="D130" s="0" t="s">
        <v>48</v>
      </c>
      <c r="E130" s="0" t="str">
        <f aca="false">B130&amp;"|"&amp;C130&amp;"|"&amp;D130</f>
        <v>Zomba District [fyEoGEPERdI]|50+|Male</v>
      </c>
      <c r="F130" s="10" t="n">
        <f aca="false">IF(LEFT($B130,4)="_Mil","",INDEX(Cascade!$T:$T,MATCH($E130,Cascade!$E:$E,0)))</f>
        <v>677</v>
      </c>
      <c r="G130" s="10" t="str">
        <f aca="false">IF(LEFT($B130,4)="_Mil","",INDEX(Cascade!$U:$U,MATCH($E130,Cascade!$E:$E,0)))</f>
        <v/>
      </c>
      <c r="H130" s="86" t="n">
        <f aca="false">IF(LEFT($B130,4)="_Mil","",INDEX(Cascade!$W:$W,MATCH($E130,Cascade!$E:$E,0)))</f>
        <v>1933</v>
      </c>
      <c r="I130" s="10" t="n">
        <f aca="false">IF(LEFT($B130,4)="_Mil","",INDEX(Cascade!$Z:$Z,MATCH($E130,Cascade!$E:$E,0)))</f>
        <v>1689</v>
      </c>
      <c r="J130" s="88" t="n">
        <f aca="false">IF(LEFT($B130,4)="_Mil","",INDEX(Cascade!$AA:$AA,MATCH($E130,Cascade!$E:$E,0)))</f>
        <v>794</v>
      </c>
      <c r="K130" s="10"/>
      <c r="L130" s="10"/>
      <c r="M130" s="39" t="str">
        <f aca="false">IF(LEFT($B130,4)="_Mil","",IFERROR(1/(1/ROUND(INDEX(Spectrum!$N:$N,MATCH(RIGHT($B130,13)&amp;"|"&amp;$C130&amp;"|"&amp;$D130&amp;"|"&amp;M$14&amp;"|"&amp;"CY2023Q3",Spectrum!$R:$R,0)),0)),IF(SUM($L130)=0,"",$L130)))</f>
        <v/>
      </c>
      <c r="N130" s="39" t="str">
        <f aca="false">IF(LEFT($B130,4)="_Mil","",IFERROR(1/(1/ROUND(INDEX(Spectrum!$N:$N,MATCH(RIGHT($B130,13)&amp;"|"&amp;$C130&amp;"|"&amp;$D130&amp;"|"&amp;N$14&amp;"|"&amp;"CY2023Q3",Spectrum!$R:$R,0)),0)),IF(SUM($M130)=0,"",$M130)))</f>
        <v/>
      </c>
      <c r="O130" s="88" t="n">
        <f aca="false">IF(OR(LEFT($B130,4)="_Mil",SUM($F130)=0),"",SUM($N130)/$F130)</f>
        <v>0</v>
      </c>
      <c r="P130" s="88" t="n">
        <f aca="false">IF(OR(LEFT($B130,4)="_Mil",SUM($F130)=0),"",MAX(SUM($O130),80%))</f>
        <v>0.8</v>
      </c>
      <c r="Q130" s="39" t="n">
        <f aca="false">IF(OR(LEFT($B130,4)="_Mil",SUM($F130)=0),"",ROUND(SUM($F130)*$P130,0))</f>
        <v>542</v>
      </c>
      <c r="R130" s="39" t="n">
        <f aca="false">IF(OR(LEFT($B130,4)="_Mil",SUM($Q130)=0),"",ROUND(MAX($Q130-SUM($N130),0),0))</f>
        <v>542</v>
      </c>
      <c r="S130" s="88" t="str">
        <f aca="false">IF(LEFT($B130,4)="_Mil","",IF(SUM($L130)=0,"",IF(SUM($M130)=0,1,$L130/$M130)))</f>
        <v/>
      </c>
      <c r="T130" s="88" t="str">
        <f aca="false">IF(LEFT($B130,4)="_Mil",0,"")</f>
        <v/>
      </c>
      <c r="U130" s="88"/>
      <c r="V130" s="88" t="str">
        <f aca="false">IF($U130="","",$U130)</f>
        <v/>
      </c>
      <c r="W130" s="88"/>
      <c r="X130" s="88" t="str">
        <f aca="false">IF($W130="","",$W130)</f>
        <v/>
      </c>
      <c r="Y130" s="10" t="str">
        <f aca="false">IF(LEFT($B130,4)="_Mil",IF(SUM($L130)=0,"",ROUND($L130*(1+$T130),0)),IF(SUM($R130)=0,"",IF($S130="","ENTER IN COL S",ROUND($R130*$S130,0))))</f>
        <v>ENTER IN COL S</v>
      </c>
      <c r="Z130" s="39" t="str">
        <f aca="false">IF(SUM($Y130)=0,"",IF(AND(SUM($Y130)&gt;0,$V130=""),"ENTER INDETERMINATE RATE",ROUND($Y130*$V130,0)))</f>
        <v/>
      </c>
      <c r="AA130" s="39" t="str">
        <f aca="false">IF(SUM($Y130)=0,"",IF(AND(($Y130-SUM($Z130))&gt;0,$X130=""),"ENTER YIELD RATE",ROUND(($Y130-SUM($Z130))*SUM($X130),0)))</f>
        <v/>
      </c>
      <c r="AB130" s="39" t="str">
        <f aca="false">IF(SUM($Y130)=0,"",$Y130-SUM($Z130)-SUM($AA130))</f>
        <v/>
      </c>
      <c r="AC130" s="10" t="str">
        <f aca="false">IFERROR(1/(1/INDEX(Cascade!$BH:$BH,MATCH($E130,Cascade!$E:$E,0))),"")</f>
        <v/>
      </c>
      <c r="AD130" s="10" t="str">
        <f aca="false">IF(SUM($AA130)=0,"",$AA130)</f>
        <v/>
      </c>
      <c r="AE130" s="10" t="str">
        <f aca="false">IFERROR(1/(1/INDEX(TB!$P:$P,MATCH($E130,TB!$E:$E,0))),"")</f>
        <v/>
      </c>
      <c r="AF130" s="10" t="str">
        <f aca="false">IFERROR(1/(1/(SUM($AC130)-SUM($AD130:$AE130))),"")</f>
        <v/>
      </c>
    </row>
  </sheetData>
  <mergeCells count="1">
    <mergeCell ref="A2:B3"/>
  </mergeCells>
  <conditionalFormatting sqref="P1:P1048576">
    <cfRule type="expression" priority="2" aboveAverage="0" equalAverage="0" bottom="0" percent="0" rank="0" text="" dxfId="67">
      <formula>AND(ISNUMBER($P1),$P1&lt;0.8)</formula>
    </cfRule>
  </conditionalFormatting>
  <conditionalFormatting sqref="X1:X1048576">
    <cfRule type="expression" priority="3" aboveAverage="0" equalAverage="0" bottom="0" percent="0" rank="0" text="" dxfId="68">
      <formula>AND(ROW($X1)&gt;14,$AA1="ENTER YIELD RATE")</formula>
    </cfRule>
    <cfRule type="expression" priority="4" aboveAverage="0" equalAverage="0" bottom="0" percent="0" rank="0" text="" dxfId="69">
      <formula>AND(ROW($X1)&gt;14,ROUND(SUM($X1),2)&gt;0.01)</formula>
    </cfRule>
  </conditionalFormatting>
  <conditionalFormatting sqref="Q1:Q1048576">
    <cfRule type="expression" priority="5" aboveAverage="0" equalAverage="0" bottom="0" percent="0" rank="0" text="" dxfId="70">
      <formula>AND(ISNUMBER($Q1),$Q1&lt;$N1)</formula>
    </cfRule>
  </conditionalFormatting>
  <conditionalFormatting sqref="M1:N1048576">
    <cfRule type="expression" priority="6" aboveAverage="0" equalAverage="0" bottom="0" percent="0" rank="0" text="" dxfId="71">
      <formula>AND(ISNUMBER($M1),ISNUMBER($N1),$N1&lt;$M1)</formula>
    </cfRule>
  </conditionalFormatting>
  <conditionalFormatting sqref="V1:V1048576">
    <cfRule type="expression" priority="7" aboveAverage="0" equalAverage="0" bottom="0" percent="0" rank="0" text="" dxfId="72">
      <formula>AND(ROW($V1)&gt;14,$Z1="ENTER INDETERMINATE RATE")</formula>
    </cfRule>
  </conditionalFormatting>
  <conditionalFormatting sqref="F1:S1048576 U1:AF1048576">
    <cfRule type="expression" priority="8" aboveAverage="0" equalAverage="0" bottom="0" percent="0" rank="0" text="" dxfId="73">
      <formula>AND(ISNUMBER(F1),F1&lt;0)</formula>
    </cfRule>
  </conditionalFormatting>
  <conditionalFormatting sqref="H1:H1048576 O1:P1048576 S1:S1048576 U1:X1048576">
    <cfRule type="expression" priority="9" aboveAverage="0" equalAverage="0" bottom="0" percent="0" rank="0" text="" dxfId="74">
      <formula>AND(ISNUMBER(H1),H1&gt;1)</formula>
    </cfRule>
  </conditionalFormatting>
  <conditionalFormatting sqref="AC1:AF1048576">
    <cfRule type="expression" priority="10" aboveAverage="0" equalAverage="0" bottom="0" percent="0" rank="0" text="" dxfId="75">
      <formula>AND(ISNUMBER($AF1),OR(ISERROR($AF1),$AF1&lt;0))</formula>
    </cfRule>
  </conditionalFormatting>
  <conditionalFormatting sqref="F1:J1048576 M1:S1048576">
    <cfRule type="expression" priority="11" aboveAverage="0" equalAverage="0" bottom="0" percent="0" rank="0" text="" dxfId="76">
      <formula>LEFT($B1,4)="_Mil"</formula>
    </cfRule>
  </conditionalFormatting>
  <conditionalFormatting sqref="T1:T1048576">
    <cfRule type="expression" priority="12" aboveAverage="0" equalAverage="0" bottom="0" percent="0" rank="0" text="" dxfId="77">
      <formula>AND(ROW($T1)&gt;14,$E1&lt;&gt;"",LEFT($B1,4)&lt;&gt;"_Mil")</formula>
    </cfRule>
  </conditionalFormatting>
  <conditionalFormatting sqref="S1:S1048576">
    <cfRule type="expression" priority="13" aboveAverage="0" equalAverage="0" bottom="0" percent="0" rank="0" text="" dxfId="78">
      <formula>AND(SUM($R1)&lt;&gt;0,$S1="",LEFT($B21,4)&lt;&gt;"_Mil")</formula>
    </cfRule>
  </conditionalFormatting>
  <hyperlinks>
    <hyperlink ref="F3" location="Cascade!T:T" display="P.C. Est. Male Population (FY23)"/>
    <hyperlink ref="G3" location="Cascade!U:U" display="P.C. Est. PLHIV (FY23)"/>
    <hyperlink ref="H3" location="Cascade!V:V" display="P.C. Est. HIV Prevalence (FY23) (%)"/>
    <hyperlink ref="I3" location="Cascade!Y:Y" display="P.C. Est. # on ART (FY23)"/>
    <hyperlink ref="J3" location="Cascade!Z:Z" display="P.C. Est. ART Coverage (ART/PLHIV) (FY23) (%)"/>
    <hyperlink ref="AC3" location="Cascade!BE:BE" display="Total HTS_TST_POS (FY24)"/>
    <hyperlink ref="AD3" location="VMMC!AA:AA" display="Total Positives from VMMC_CIRC (FY24)"/>
    <hyperlink ref="AE3" location="TB!P:P" display="Total Positives from TB_STAT (FY24)"/>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P15" activeCellId="0" sqref="P15"/>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
    <col collapsed="false" customWidth="true" hidden="false" outlineLevel="0" max="17" min="6" style="0" width="11.83"/>
  </cols>
  <sheetData>
    <row r="1" customFormat="false" ht="30.75" hidden="false" customHeight="true" outlineLevel="0" collapsed="false">
      <c r="A1" s="41" t="s">
        <v>489</v>
      </c>
      <c r="B1" s="15"/>
      <c r="C1" s="15"/>
      <c r="D1" s="15"/>
      <c r="E1" s="15"/>
      <c r="F1" s="42" t="s">
        <v>372</v>
      </c>
      <c r="G1" s="43"/>
      <c r="H1" s="43"/>
      <c r="I1" s="43"/>
      <c r="J1" s="43"/>
      <c r="K1" s="43"/>
      <c r="L1" s="43"/>
      <c r="M1" s="42" t="s">
        <v>371</v>
      </c>
      <c r="N1" s="43"/>
      <c r="O1" s="43"/>
      <c r="P1" s="42" t="s">
        <v>1041</v>
      </c>
      <c r="Q1" s="43"/>
    </row>
    <row r="2" customFormat="false" ht="18.75" hidden="false" customHeight="true" outlineLevel="0" collapsed="false">
      <c r="A2" s="22"/>
      <c r="B2" s="19"/>
      <c r="C2" s="19"/>
      <c r="D2" s="19"/>
      <c r="E2" s="19"/>
      <c r="F2" s="50"/>
      <c r="G2" s="22"/>
      <c r="H2" s="22"/>
      <c r="I2" s="22"/>
      <c r="J2" s="22"/>
      <c r="K2" s="22"/>
      <c r="L2" s="21" t="s">
        <v>177</v>
      </c>
      <c r="M2" s="50"/>
      <c r="N2" s="22"/>
      <c r="O2" s="21" t="s">
        <v>177</v>
      </c>
      <c r="P2" s="50"/>
      <c r="Q2" s="21" t="s">
        <v>177</v>
      </c>
    </row>
    <row r="3" customFormat="false" ht="117" hidden="false" customHeight="true" outlineLevel="0" collapsed="false">
      <c r="A3" s="59"/>
      <c r="B3" s="23"/>
      <c r="C3" s="23"/>
      <c r="D3" s="23"/>
      <c r="E3" s="23"/>
      <c r="F3" s="137" t="s">
        <v>831</v>
      </c>
      <c r="G3" s="138" t="s">
        <v>1042</v>
      </c>
      <c r="H3" s="138" t="s">
        <v>623</v>
      </c>
      <c r="I3" s="138" t="s">
        <v>624</v>
      </c>
      <c r="J3" s="69" t="s">
        <v>1043</v>
      </c>
      <c r="K3" s="69" t="s">
        <v>1044</v>
      </c>
      <c r="L3" s="25" t="s">
        <v>573</v>
      </c>
      <c r="M3" s="24" t="s">
        <v>1045</v>
      </c>
      <c r="N3" s="69" t="s">
        <v>1046</v>
      </c>
      <c r="O3" s="25" t="s">
        <v>1047</v>
      </c>
      <c r="P3" s="60" t="s">
        <v>1048</v>
      </c>
      <c r="Q3" s="25" t="s">
        <v>1049</v>
      </c>
    </row>
    <row r="4" customFormat="false" ht="15" hidden="false" customHeight="false" outlineLevel="0" collapsed="false">
      <c r="A4" s="73"/>
      <c r="B4" s="27"/>
      <c r="C4" s="27"/>
      <c r="D4" s="27" t="s">
        <v>288</v>
      </c>
      <c r="E4" s="27"/>
      <c r="F4" s="74" t="n">
        <f aca="false">SUBTOTAL(109,F$15:INDEX(F:F,COUNTA($B:$B)+14-COUNTA($B$1:$B$14)))</f>
        <v>0</v>
      </c>
      <c r="G4" s="73" t="n">
        <f aca="false">SUBTOTAL(109,G$15:INDEX(G:G,COUNTA($B:$B)+14-COUNTA($B$1:$B$14)))</f>
        <v>0</v>
      </c>
      <c r="H4" s="73" t="n">
        <f aca="false">SUBTOTAL(109,H$15:INDEX(H:H,COUNTA($B:$B)+14-COUNTA($B$1:$B$14)))</f>
        <v>0</v>
      </c>
      <c r="I4" s="73" t="n">
        <f aca="false">SUBTOTAL(109,I$15:INDEX(I:I,COUNTA($B:$B)+14-COUNTA($B$1:$B$14)))</f>
        <v>0</v>
      </c>
      <c r="J4" s="73" t="n">
        <f aca="false">SUBTOTAL(109,J$15:INDEX(J:J,COUNTA($B:$B)+14-COUNTA($B$1:$B$14)))</f>
        <v>0</v>
      </c>
      <c r="K4" s="73" t="n">
        <f aca="false">SUBTOTAL(109,K$15:INDEX(K:K,COUNTA($B:$B)+14-COUNTA($B$1:$B$14)))</f>
        <v>0</v>
      </c>
      <c r="L4" s="82" t="n">
        <f aca="false">SUBTOTAL(109,L$15:INDEX(L:L,COUNTA($B:$B)+14-COUNTA($B$1:$B$14)))</f>
        <v>0</v>
      </c>
      <c r="M4" s="74" t="n">
        <f aca="false">SUBTOTAL(109,M$15:INDEX(M:M,COUNTA($B:$B)+14-COUNTA($B$1:$B$14)))</f>
        <v>0</v>
      </c>
      <c r="N4" s="73" t="n">
        <f aca="false">SUBTOTAL(109,N$15:INDEX(N:N,COUNTA($B:$B)+14-COUNTA($B$1:$B$14)))</f>
        <v>0</v>
      </c>
      <c r="O4" s="82" t="n">
        <f aca="false">SUBTOTAL(109,O$15:INDEX(O:O,COUNTA($B:$B)+14-COUNTA($B$1:$B$14)))</f>
        <v>0</v>
      </c>
      <c r="P4" s="74" t="str">
        <f aca="false">IF(SUM($O4)=0,"",SUM($Q4)/SUM($O4))</f>
        <v/>
      </c>
      <c r="Q4" s="82" t="n">
        <f aca="false">SUBTOTAL(109,Q$15:INDEX(Q:Q,COUNTA($B:$B)+14-COUNTA($B$1:$B$14)))</f>
        <v>0</v>
      </c>
    </row>
    <row r="5" customFormat="false" ht="12.8" hidden="false" customHeight="false" outlineLevel="0" collapsed="false">
      <c r="A5" s="0" t="s">
        <v>181</v>
      </c>
      <c r="B5" s="9" t="s">
        <v>181</v>
      </c>
      <c r="C5" s="9" t="s">
        <v>181</v>
      </c>
      <c r="D5" s="9" t="s">
        <v>181</v>
      </c>
      <c r="E5" s="9" t="s">
        <v>181</v>
      </c>
      <c r="F5" s="85" t="s">
        <v>181</v>
      </c>
      <c r="G5" s="10" t="s">
        <v>181</v>
      </c>
      <c r="H5" s="10" t="s">
        <v>181</v>
      </c>
      <c r="I5" s="10" t="s">
        <v>181</v>
      </c>
      <c r="J5" s="10" t="s">
        <v>289</v>
      </c>
      <c r="K5" s="10" t="s">
        <v>289</v>
      </c>
      <c r="L5" s="5" t="s">
        <v>289</v>
      </c>
      <c r="M5" s="85" t="s">
        <v>289</v>
      </c>
      <c r="N5" s="10" t="s">
        <v>289</v>
      </c>
      <c r="O5" s="5" t="s">
        <v>289</v>
      </c>
      <c r="P5" s="85" t="s">
        <v>181</v>
      </c>
      <c r="Q5" s="5" t="s">
        <v>289</v>
      </c>
    </row>
    <row r="6" customFormat="false" ht="12.8" hidden="false" customHeight="false" outlineLevel="0" collapsed="false">
      <c r="A6" s="0" t="s">
        <v>183</v>
      </c>
      <c r="B6" s="9" t="s">
        <v>183</v>
      </c>
      <c r="C6" s="9" t="s">
        <v>183</v>
      </c>
      <c r="D6" s="9" t="s">
        <v>183</v>
      </c>
      <c r="E6" s="9" t="s">
        <v>183</v>
      </c>
      <c r="F6" s="85" t="s">
        <v>186</v>
      </c>
      <c r="G6" s="10" t="s">
        <v>186</v>
      </c>
      <c r="H6" s="10" t="s">
        <v>186</v>
      </c>
      <c r="I6" s="10" t="s">
        <v>186</v>
      </c>
      <c r="J6" s="10" t="s">
        <v>184</v>
      </c>
      <c r="K6" s="10" t="s">
        <v>184</v>
      </c>
      <c r="L6" s="5" t="s">
        <v>185</v>
      </c>
      <c r="M6" s="85" t="s">
        <v>184</v>
      </c>
      <c r="N6" s="10" t="s">
        <v>184</v>
      </c>
      <c r="O6" s="5" t="s">
        <v>185</v>
      </c>
      <c r="P6" s="85" t="s">
        <v>291</v>
      </c>
      <c r="Q6" s="5" t="s">
        <v>185</v>
      </c>
    </row>
    <row r="7" customFormat="false" ht="12.8" hidden="false" customHeight="false" outlineLevel="0" collapsed="false">
      <c r="A7" s="0" t="s">
        <v>187</v>
      </c>
      <c r="B7" s="9" t="s">
        <v>187</v>
      </c>
      <c r="C7" s="9" t="s">
        <v>187</v>
      </c>
      <c r="D7" s="9" t="s">
        <v>187</v>
      </c>
      <c r="E7" s="9" t="s">
        <v>187</v>
      </c>
      <c r="F7" s="85" t="s">
        <v>188</v>
      </c>
      <c r="G7" s="10" t="s">
        <v>188</v>
      </c>
      <c r="H7" s="10" t="s">
        <v>188</v>
      </c>
      <c r="I7" s="10" t="s">
        <v>188</v>
      </c>
      <c r="J7" s="10" t="s">
        <v>188</v>
      </c>
      <c r="K7" s="10" t="s">
        <v>188</v>
      </c>
      <c r="L7" s="5" t="s">
        <v>188</v>
      </c>
      <c r="M7" s="85" t="s">
        <v>188</v>
      </c>
      <c r="N7" s="10" t="s">
        <v>188</v>
      </c>
      <c r="O7" s="5" t="s">
        <v>188</v>
      </c>
      <c r="P7" s="85" t="s">
        <v>188</v>
      </c>
      <c r="Q7" s="5" t="s">
        <v>188</v>
      </c>
    </row>
    <row r="8" customFormat="false" ht="12.8" hidden="false" customHeight="false" outlineLevel="0" collapsed="false">
      <c r="J8" s="126" t="s">
        <v>1050</v>
      </c>
      <c r="K8" s="94" t="s">
        <v>1051</v>
      </c>
      <c r="L8" s="97" t="s">
        <v>1051</v>
      </c>
      <c r="M8" s="125" t="s">
        <v>1052</v>
      </c>
      <c r="N8" s="94" t="s">
        <v>1053</v>
      </c>
      <c r="O8" s="97" t="s">
        <v>1053</v>
      </c>
      <c r="P8" s="112"/>
      <c r="Q8" s="97" t="s">
        <v>1054</v>
      </c>
    </row>
    <row r="9" customFormat="false" ht="12.8" hidden="false" customHeight="false" outlineLevel="0" collapsed="false">
      <c r="J9" s="126" t="s">
        <v>1055</v>
      </c>
      <c r="K9" s="94" t="s">
        <v>1056</v>
      </c>
      <c r="L9" s="97" t="s">
        <v>1056</v>
      </c>
      <c r="M9" s="125" t="s">
        <v>1057</v>
      </c>
      <c r="N9" s="94" t="s">
        <v>1058</v>
      </c>
      <c r="O9" s="97" t="s">
        <v>1058</v>
      </c>
      <c r="P9" s="112"/>
      <c r="Q9" s="97" t="s">
        <v>1059</v>
      </c>
    </row>
    <row r="10" customFormat="false" ht="12.8" hidden="false" customHeight="false" outlineLevel="0" collapsed="false">
      <c r="J10" s="94"/>
      <c r="K10" s="94"/>
      <c r="L10" s="97"/>
      <c r="M10" s="93"/>
      <c r="N10" s="94"/>
      <c r="O10" s="97"/>
      <c r="Q10" s="97" t="s">
        <v>431</v>
      </c>
    </row>
    <row r="11" customFormat="false" ht="12.8" hidden="false" customHeight="false" outlineLevel="0" collapsed="false">
      <c r="F11" s="85" t="s">
        <v>684</v>
      </c>
      <c r="G11" s="10" t="s">
        <v>684</v>
      </c>
      <c r="H11" s="10" t="s">
        <v>1060</v>
      </c>
      <c r="I11" s="10" t="s">
        <v>1060</v>
      </c>
      <c r="J11" s="10" t="s">
        <v>684</v>
      </c>
      <c r="K11" s="10" t="s">
        <v>684</v>
      </c>
      <c r="L11" s="5" t="s">
        <v>684</v>
      </c>
      <c r="M11" s="85" t="s">
        <v>684</v>
      </c>
      <c r="N11" s="10" t="s">
        <v>684</v>
      </c>
      <c r="O11" s="5" t="s">
        <v>684</v>
      </c>
      <c r="P11" s="85" t="s">
        <v>684</v>
      </c>
      <c r="Q11" s="5" t="s">
        <v>684</v>
      </c>
    </row>
    <row r="12" customFormat="false" ht="12.8" hidden="false" customHeight="false" outlineLevel="0" collapsed="false">
      <c r="F12" s="85" t="s">
        <v>317</v>
      </c>
      <c r="G12" s="10" t="s">
        <v>317</v>
      </c>
      <c r="H12" s="10" t="s">
        <v>690</v>
      </c>
      <c r="I12" s="10" t="s">
        <v>690</v>
      </c>
      <c r="J12" s="10" t="s">
        <v>317</v>
      </c>
      <c r="K12" s="10" t="s">
        <v>317</v>
      </c>
      <c r="L12" s="5" t="s">
        <v>317</v>
      </c>
      <c r="M12" s="85" t="s">
        <v>317</v>
      </c>
      <c r="N12" s="10" t="s">
        <v>317</v>
      </c>
      <c r="O12" s="5" t="s">
        <v>317</v>
      </c>
      <c r="P12" s="85" t="s">
        <v>317</v>
      </c>
      <c r="Q12" s="5" t="s">
        <v>317</v>
      </c>
    </row>
    <row r="13" customFormat="false" ht="12.8" hidden="false" customHeight="false" outlineLevel="0" collapsed="false"/>
    <row r="14" customFormat="false" ht="15" hidden="false" customHeight="false" outlineLevel="0" collapsed="false">
      <c r="A14" s="100" t="s">
        <v>176</v>
      </c>
      <c r="B14" s="33" t="s">
        <v>190</v>
      </c>
      <c r="C14" s="33" t="s">
        <v>318</v>
      </c>
      <c r="D14" s="33" t="s">
        <v>319</v>
      </c>
      <c r="E14" s="33" t="s">
        <v>20</v>
      </c>
      <c r="F14" s="101" t="s">
        <v>333</v>
      </c>
      <c r="G14" s="36" t="s">
        <v>1061</v>
      </c>
      <c r="H14" s="36" t="s">
        <v>794</v>
      </c>
      <c r="I14" s="36" t="s">
        <v>795</v>
      </c>
      <c r="J14" s="36" t="s">
        <v>1062</v>
      </c>
      <c r="K14" s="36" t="s">
        <v>1063</v>
      </c>
      <c r="L14" s="107" t="s">
        <v>744</v>
      </c>
      <c r="M14" s="101" t="s">
        <v>1064</v>
      </c>
      <c r="N14" s="36" t="s">
        <v>1065</v>
      </c>
      <c r="O14" s="107" t="s">
        <v>745</v>
      </c>
      <c r="P14" s="101" t="s">
        <v>1066</v>
      </c>
      <c r="Q14" s="107" t="s">
        <v>1067</v>
      </c>
    </row>
    <row r="15" customFormat="false" ht="15" hidden="false" customHeight="false" outlineLevel="0" collapsed="false">
      <c r="A15" s="0" t="str">
        <f aca="false">INDEX(Prioritization!$D:$D,MATCH($B15,Prioritization!$A:$A,0))</f>
        <v>Military</v>
      </c>
      <c r="B15" s="0" t="s">
        <v>194</v>
      </c>
      <c r="C15" s="0" t="s">
        <v>365</v>
      </c>
      <c r="D15" s="0" t="s">
        <v>30</v>
      </c>
      <c r="E15" s="9" t="str">
        <f aca="false">B15&amp;"|"&amp;C15&amp;"|"&amp;D15</f>
        <v>_Military Malawi [PQZgU9dagaH]|15-24|Female</v>
      </c>
      <c r="F15" s="85" t="str">
        <f aca="false">IF(LEFT($B15,4)="_Mil","",INDEX(Cascade!$U:$U,MATCH($E15,Cascade!$E:$E,0)))</f>
        <v/>
      </c>
      <c r="G15" s="10" t="str">
        <f aca="false">IFERROR(1/(1/INDEX(HTS!$AT:$AT,MATCH($E15,HTS!$E:$E,0))),"")</f>
        <v/>
      </c>
      <c r="H15" s="10" t="str">
        <f aca="false">IF(OR($C15="15-24",$C15="25-34"),IFERROR(1/(1/SUM(SUMIFS(AGYW!$S:$S,AGYW!$B:$B,$B15,AGYW!$C:$C,IF($C15="15-24",{"15-19","20-24"},{"25-29"}),AGYW!$D:$D,$D15))),""),"")</f>
        <v/>
      </c>
      <c r="I15" s="10" t="str">
        <f aca="false">IF(OR($C15="15-24",$C15="25-34"),IFERROR(1/(1/SUM(SUMIFS(AGYW!$T:$T,AGYW!$B:$B,$B15,AGYW!$C:$C,IF($C15="15-24",{"15-19","20-24"},{"25-29"}),AGYW!$D:$D,$D15))),""),"")</f>
        <v/>
      </c>
      <c r="J15" s="10"/>
      <c r="K15" s="10"/>
      <c r="L15" s="5" t="str">
        <f aca="false">IF(SUM($K15)=0,"",$K15)</f>
        <v/>
      </c>
      <c r="M15" s="10"/>
      <c r="N15" s="10"/>
      <c r="O15" s="5" t="str">
        <f aca="false">IF(SUM($N15)=0,"",$N15)</f>
        <v/>
      </c>
      <c r="P15" s="85" t="n">
        <f aca="false">2</f>
        <v>2</v>
      </c>
      <c r="Q15" s="5" t="str">
        <f aca="false">IF(SUM($O15)=0,"",$O15*$P15)</f>
        <v/>
      </c>
    </row>
    <row r="16" customFormat="false" ht="15" hidden="false" customHeight="false" outlineLevel="0" collapsed="false">
      <c r="A16" s="0" t="str">
        <f aca="false">INDEX(Prioritization!$D:$D,MATCH($B16,Prioritization!$A:$A,0))</f>
        <v>Military</v>
      </c>
      <c r="B16" s="0" t="s">
        <v>194</v>
      </c>
      <c r="C16" s="0" t="s">
        <v>365</v>
      </c>
      <c r="D16" s="0" t="s">
        <v>48</v>
      </c>
      <c r="E16" s="0" t="str">
        <f aca="false">B16&amp;"|"&amp;C16&amp;"|"&amp;D16</f>
        <v>_Military Malawi [PQZgU9dagaH]|15-24|Male</v>
      </c>
      <c r="F16" s="10" t="str">
        <f aca="false">IF(LEFT($B16,4)="_Mil","",INDEX(Cascade!$U:$U,MATCH($E16,Cascade!$E:$E,0)))</f>
        <v/>
      </c>
      <c r="G16" s="10" t="str">
        <f aca="false">IFERROR(1/(1/INDEX(HTS!$AT:$AT,MATCH($E16,HTS!$E:$E,0))),"")</f>
        <v/>
      </c>
      <c r="H16" s="10" t="str">
        <f aca="false">IF(OR($C16="15-24",$C16="25-34"),IFERROR(1/(1/SUM(SUMIFS(AGYW!$S:$S,AGYW!$B:$B,$B16,AGYW!$C:$C,IF($C16="15-24",{"15-19","20-24"},{"25-29"}),AGYW!$D:$D,$D16))),""),"")</f>
        <v/>
      </c>
      <c r="I16" s="10" t="str">
        <f aca="false">IF(OR($C16="15-24",$C16="25-34"),IFERROR(1/(1/SUM(SUMIFS(AGYW!$T:$T,AGYW!$B:$B,$B16,AGYW!$C:$C,IF($C16="15-24",{"15-19","20-24"},{"25-29"}),AGYW!$D:$D,$D16))),""),"")</f>
        <v/>
      </c>
      <c r="J16" s="10"/>
      <c r="K16" s="10"/>
      <c r="L16" s="39" t="str">
        <f aca="false">IF(SUM($K16)=0,"",$K16)</f>
        <v/>
      </c>
      <c r="M16" s="10"/>
      <c r="N16" s="10"/>
      <c r="O16" s="39" t="str">
        <f aca="false">IF(SUM($N16)=0,"",$N16)</f>
        <v/>
      </c>
      <c r="P16" s="10" t="n">
        <f aca="false">2</f>
        <v>2</v>
      </c>
      <c r="Q16" s="39" t="str">
        <f aca="false">IF(SUM($O16)=0,"",$O16*$P16)</f>
        <v/>
      </c>
    </row>
    <row r="17" customFormat="false" ht="15" hidden="false" customHeight="false" outlineLevel="0" collapsed="false">
      <c r="A17" s="0" t="str">
        <f aca="false">INDEX(Prioritization!$D:$D,MATCH($B17,Prioritization!$A:$A,0))</f>
        <v>Military</v>
      </c>
      <c r="B17" s="0" t="s">
        <v>194</v>
      </c>
      <c r="C17" s="0" t="s">
        <v>366</v>
      </c>
      <c r="D17" s="0" t="s">
        <v>30</v>
      </c>
      <c r="E17" s="0" t="str">
        <f aca="false">B17&amp;"|"&amp;C17&amp;"|"&amp;D17</f>
        <v>_Military Malawi [PQZgU9dagaH]|25-34|Female</v>
      </c>
      <c r="F17" s="10" t="str">
        <f aca="false">IF(LEFT($B17,4)="_Mil","",INDEX(Cascade!$U:$U,MATCH($E17,Cascade!$E:$E,0)))</f>
        <v/>
      </c>
      <c r="G17" s="10" t="str">
        <f aca="false">IFERROR(1/(1/INDEX(HTS!$AT:$AT,MATCH($E17,HTS!$E:$E,0))),"")</f>
        <v/>
      </c>
      <c r="H17" s="10" t="str">
        <f aca="false">IF(OR($C17="15-24",$C17="25-34"),IFERROR(1/(1/SUM(SUMIFS(AGYW!$S:$S,AGYW!$B:$B,$B17,AGYW!$C:$C,IF($C17="15-24",{"15-19","20-24"},{"25-29"}),AGYW!$D:$D,$D17))),""),"")</f>
        <v/>
      </c>
      <c r="I17" s="10" t="str">
        <f aca="false">IF(OR($C17="15-24",$C17="25-34"),IFERROR(1/(1/SUM(SUMIFS(AGYW!$T:$T,AGYW!$B:$B,$B17,AGYW!$C:$C,IF($C17="15-24",{"15-19","20-24"},{"25-29"}),AGYW!$D:$D,$D17))),""),"")</f>
        <v/>
      </c>
      <c r="J17" s="10"/>
      <c r="K17" s="10"/>
      <c r="L17" s="39" t="str">
        <f aca="false">IF(SUM($K17)=0,"",$K17)</f>
        <v/>
      </c>
      <c r="M17" s="10"/>
      <c r="N17" s="10"/>
      <c r="O17" s="39" t="str">
        <f aca="false">IF(SUM($N17)=0,"",$N17)</f>
        <v/>
      </c>
      <c r="P17" s="10" t="n">
        <f aca="false">2</f>
        <v>2</v>
      </c>
      <c r="Q17" s="39" t="str">
        <f aca="false">IF(SUM($O17)=0,"",$O17*$P17)</f>
        <v/>
      </c>
    </row>
    <row r="18" customFormat="false" ht="15" hidden="false" customHeight="false" outlineLevel="0" collapsed="false">
      <c r="A18" s="0" t="str">
        <f aca="false">INDEX(Prioritization!$D:$D,MATCH($B18,Prioritization!$A:$A,0))</f>
        <v>Military</v>
      </c>
      <c r="B18" s="0" t="s">
        <v>194</v>
      </c>
      <c r="C18" s="0" t="s">
        <v>366</v>
      </c>
      <c r="D18" s="0" t="s">
        <v>48</v>
      </c>
      <c r="E18" s="0" t="str">
        <f aca="false">B18&amp;"|"&amp;C18&amp;"|"&amp;D18</f>
        <v>_Military Malawi [PQZgU9dagaH]|25-34|Male</v>
      </c>
      <c r="F18" s="10" t="str">
        <f aca="false">IF(LEFT($B18,4)="_Mil","",INDEX(Cascade!$U:$U,MATCH($E18,Cascade!$E:$E,0)))</f>
        <v/>
      </c>
      <c r="G18" s="10" t="str">
        <f aca="false">IFERROR(1/(1/INDEX(HTS!$AT:$AT,MATCH($E18,HTS!$E:$E,0))),"")</f>
        <v/>
      </c>
      <c r="H18" s="10" t="str">
        <f aca="false">IF(OR($C18="15-24",$C18="25-34"),IFERROR(1/(1/SUM(SUMIFS(AGYW!$S:$S,AGYW!$B:$B,$B18,AGYW!$C:$C,IF($C18="15-24",{"15-19","20-24"},{"25-29"}),AGYW!$D:$D,$D18))),""),"")</f>
        <v/>
      </c>
      <c r="I18" s="10" t="str">
        <f aca="false">IF(OR($C18="15-24",$C18="25-34"),IFERROR(1/(1/SUM(SUMIFS(AGYW!$T:$T,AGYW!$B:$B,$B18,AGYW!$C:$C,IF($C18="15-24",{"15-19","20-24"},{"25-29"}),AGYW!$D:$D,$D18))),""),"")</f>
        <v/>
      </c>
      <c r="J18" s="10"/>
      <c r="K18" s="10"/>
      <c r="L18" s="39" t="str">
        <f aca="false">IF(SUM($K18)=0,"",$K18)</f>
        <v/>
      </c>
      <c r="M18" s="10"/>
      <c r="N18" s="10"/>
      <c r="O18" s="39" t="str">
        <f aca="false">IF(SUM($N18)=0,"",$N18)</f>
        <v/>
      </c>
      <c r="P18" s="10" t="n">
        <f aca="false">2</f>
        <v>2</v>
      </c>
      <c r="Q18" s="39" t="str">
        <f aca="false">IF(SUM($O18)=0,"",$O18*$P18)</f>
        <v/>
      </c>
    </row>
    <row r="19" customFormat="false" ht="15" hidden="false" customHeight="false" outlineLevel="0" collapsed="false">
      <c r="A19" s="0" t="str">
        <f aca="false">INDEX(Prioritization!$D:$D,MATCH($B19,Prioritization!$A:$A,0))</f>
        <v>Military</v>
      </c>
      <c r="B19" s="0" t="s">
        <v>194</v>
      </c>
      <c r="C19" s="0" t="s">
        <v>367</v>
      </c>
      <c r="D19" s="0" t="s">
        <v>30</v>
      </c>
      <c r="E19" s="0" t="str">
        <f aca="false">B19&amp;"|"&amp;C19&amp;"|"&amp;D19</f>
        <v>_Military Malawi [PQZgU9dagaH]|35-49|Female</v>
      </c>
      <c r="F19" s="10" t="str">
        <f aca="false">IF(LEFT($B19,4)="_Mil","",INDEX(Cascade!$U:$U,MATCH($E19,Cascade!$E:$E,0)))</f>
        <v/>
      </c>
      <c r="G19" s="10" t="str">
        <f aca="false">IFERROR(1/(1/INDEX(HTS!$AT:$AT,MATCH($E19,HTS!$E:$E,0))),"")</f>
        <v/>
      </c>
      <c r="H19" s="10" t="str">
        <f aca="false">IF(OR($C19="15-24",$C19="25-34"),IFERROR(1/(1/SUM(SUMIFS(AGYW!$S:$S,AGYW!$B:$B,$B19,AGYW!$C:$C,IF($C19="15-24",{"15-19","20-24"},{"25-29"}),AGYW!$D:$D,$D19))),""),"")</f>
        <v/>
      </c>
      <c r="I19" s="10" t="str">
        <f aca="false">IF(OR($C19="15-24",$C19="25-34"),IFERROR(1/(1/SUM(SUMIFS(AGYW!$T:$T,AGYW!$B:$B,$B19,AGYW!$C:$C,IF($C19="15-24",{"15-19","20-24"},{"25-29"}),AGYW!$D:$D,$D19))),""),"")</f>
        <v/>
      </c>
      <c r="J19" s="10"/>
      <c r="K19" s="10"/>
      <c r="L19" s="39" t="str">
        <f aca="false">IF(SUM($K19)=0,"",$K19)</f>
        <v/>
      </c>
      <c r="M19" s="10"/>
      <c r="N19" s="10"/>
      <c r="O19" s="39" t="str">
        <f aca="false">IF(SUM($N19)=0,"",$N19)</f>
        <v/>
      </c>
      <c r="P19" s="10" t="n">
        <f aca="false">2</f>
        <v>2</v>
      </c>
      <c r="Q19" s="39" t="str">
        <f aca="false">IF(SUM($O19)=0,"",$O19*$P19)</f>
        <v/>
      </c>
    </row>
    <row r="20" customFormat="false" ht="15" hidden="false" customHeight="false" outlineLevel="0" collapsed="false">
      <c r="A20" s="0" t="str">
        <f aca="false">INDEX(Prioritization!$D:$D,MATCH($B20,Prioritization!$A:$A,0))</f>
        <v>Military</v>
      </c>
      <c r="B20" s="0" t="s">
        <v>194</v>
      </c>
      <c r="C20" s="0" t="s">
        <v>367</v>
      </c>
      <c r="D20" s="0" t="s">
        <v>48</v>
      </c>
      <c r="E20" s="0" t="str">
        <f aca="false">B20&amp;"|"&amp;C20&amp;"|"&amp;D20</f>
        <v>_Military Malawi [PQZgU9dagaH]|35-49|Male</v>
      </c>
      <c r="F20" s="10" t="str">
        <f aca="false">IF(LEFT($B20,4)="_Mil","",INDEX(Cascade!$U:$U,MATCH($E20,Cascade!$E:$E,0)))</f>
        <v/>
      </c>
      <c r="G20" s="10" t="str">
        <f aca="false">IFERROR(1/(1/INDEX(HTS!$AT:$AT,MATCH($E20,HTS!$E:$E,0))),"")</f>
        <v/>
      </c>
      <c r="H20" s="10" t="str">
        <f aca="false">IF(OR($C20="15-24",$C20="25-34"),IFERROR(1/(1/SUM(SUMIFS(AGYW!$S:$S,AGYW!$B:$B,$B20,AGYW!$C:$C,IF($C20="15-24",{"15-19","20-24"},{"25-29"}),AGYW!$D:$D,$D20))),""),"")</f>
        <v/>
      </c>
      <c r="I20" s="10" t="str">
        <f aca="false">IF(OR($C20="15-24",$C20="25-34"),IFERROR(1/(1/SUM(SUMIFS(AGYW!$T:$T,AGYW!$B:$B,$B20,AGYW!$C:$C,IF($C20="15-24",{"15-19","20-24"},{"25-29"}),AGYW!$D:$D,$D20))),""),"")</f>
        <v/>
      </c>
      <c r="J20" s="10"/>
      <c r="K20" s="10"/>
      <c r="L20" s="39" t="str">
        <f aca="false">IF(SUM($K20)=0,"",$K20)</f>
        <v/>
      </c>
      <c r="M20" s="10"/>
      <c r="N20" s="10"/>
      <c r="O20" s="39" t="str">
        <f aca="false">IF(SUM($N20)=0,"",$N20)</f>
        <v/>
      </c>
      <c r="P20" s="10" t="n">
        <f aca="false">2</f>
        <v>2</v>
      </c>
      <c r="Q20" s="39" t="str">
        <f aca="false">IF(SUM($O20)=0,"",$O20*$P20)</f>
        <v/>
      </c>
    </row>
    <row r="21" customFormat="false" ht="15" hidden="false" customHeight="false" outlineLevel="0" collapsed="false">
      <c r="A21" s="0" t="str">
        <f aca="false">INDEX(Prioritization!$D:$D,MATCH($B21,Prioritization!$A:$A,0))</f>
        <v>Military</v>
      </c>
      <c r="B21" s="0" t="s">
        <v>194</v>
      </c>
      <c r="C21" s="0" t="s">
        <v>368</v>
      </c>
      <c r="D21" s="0" t="s">
        <v>30</v>
      </c>
      <c r="E21" s="0" t="str">
        <f aca="false">B21&amp;"|"&amp;C21&amp;"|"&amp;D21</f>
        <v>_Military Malawi [PQZgU9dagaH]|50+|Female</v>
      </c>
      <c r="F21" s="10" t="str">
        <f aca="false">IF(LEFT($B21,4)="_Mil","",INDEX(Cascade!$U:$U,MATCH($E21,Cascade!$E:$E,0)))</f>
        <v/>
      </c>
      <c r="G21" s="10" t="str">
        <f aca="false">IFERROR(1/(1/INDEX(HTS!$AT:$AT,MATCH($E21,HTS!$E:$E,0))),"")</f>
        <v/>
      </c>
      <c r="H21" s="10" t="str">
        <f aca="false">IF(OR($C21="15-24",$C21="25-34"),IFERROR(1/(1/SUM(SUMIFS(AGYW!$S:$S,AGYW!$B:$B,$B21,AGYW!$C:$C,IF($C21="15-24",{"15-19","20-24"},{"25-29"}),AGYW!$D:$D,$D21))),""),"")</f>
        <v/>
      </c>
      <c r="I21" s="10" t="str">
        <f aca="false">IF(OR($C21="15-24",$C21="25-34"),IFERROR(1/(1/SUM(SUMIFS(AGYW!$T:$T,AGYW!$B:$B,$B21,AGYW!$C:$C,IF($C21="15-24",{"15-19","20-24"},{"25-29"}),AGYW!$D:$D,$D21))),""),"")</f>
        <v/>
      </c>
      <c r="J21" s="10"/>
      <c r="K21" s="10"/>
      <c r="L21" s="39" t="str">
        <f aca="false">IF(SUM($K21)=0,"",$K21)</f>
        <v/>
      </c>
      <c r="M21" s="10"/>
      <c r="N21" s="10"/>
      <c r="O21" s="39" t="str">
        <f aca="false">IF(SUM($N21)=0,"",$N21)</f>
        <v/>
      </c>
      <c r="P21" s="10" t="n">
        <f aca="false">2</f>
        <v>2</v>
      </c>
      <c r="Q21" s="39" t="str">
        <f aca="false">IF(SUM($O21)=0,"",$O21*$P21)</f>
        <v/>
      </c>
    </row>
    <row r="22" customFormat="false" ht="15" hidden="false" customHeight="false" outlineLevel="0" collapsed="false">
      <c r="A22" s="0" t="str">
        <f aca="false">INDEX(Prioritization!$D:$D,MATCH($B22,Prioritization!$A:$A,0))</f>
        <v>Military</v>
      </c>
      <c r="B22" s="0" t="s">
        <v>194</v>
      </c>
      <c r="C22" s="0" t="s">
        <v>368</v>
      </c>
      <c r="D22" s="0" t="s">
        <v>48</v>
      </c>
      <c r="E22" s="0" t="str">
        <f aca="false">B22&amp;"|"&amp;C22&amp;"|"&amp;D22</f>
        <v>_Military Malawi [PQZgU9dagaH]|50+|Male</v>
      </c>
      <c r="F22" s="10" t="str">
        <f aca="false">IF(LEFT($B22,4)="_Mil","",INDEX(Cascade!$U:$U,MATCH($E22,Cascade!$E:$E,0)))</f>
        <v/>
      </c>
      <c r="G22" s="10" t="str">
        <f aca="false">IFERROR(1/(1/INDEX(HTS!$AT:$AT,MATCH($E22,HTS!$E:$E,0))),"")</f>
        <v/>
      </c>
      <c r="H22" s="10" t="str">
        <f aca="false">IF(OR($C22="15-24",$C22="25-34"),IFERROR(1/(1/SUM(SUMIFS(AGYW!$S:$S,AGYW!$B:$B,$B22,AGYW!$C:$C,IF($C22="15-24",{"15-19","20-24"},{"25-29"}),AGYW!$D:$D,$D22))),""),"")</f>
        <v/>
      </c>
      <c r="I22" s="10" t="str">
        <f aca="false">IF(OR($C22="15-24",$C22="25-34"),IFERROR(1/(1/SUM(SUMIFS(AGYW!$T:$T,AGYW!$B:$B,$B22,AGYW!$C:$C,IF($C22="15-24",{"15-19","20-24"},{"25-29"}),AGYW!$D:$D,$D22))),""),"")</f>
        <v/>
      </c>
      <c r="J22" s="10"/>
      <c r="K22" s="10"/>
      <c r="L22" s="39" t="str">
        <f aca="false">IF(SUM($K22)=0,"",$K22)</f>
        <v/>
      </c>
      <c r="M22" s="10"/>
      <c r="N22" s="10"/>
      <c r="O22" s="39" t="str">
        <f aca="false">IF(SUM($N22)=0,"",$N22)</f>
        <v/>
      </c>
      <c r="P22" s="10" t="n">
        <f aca="false">2</f>
        <v>2</v>
      </c>
      <c r="Q22" s="39" t="str">
        <f aca="false">IF(SUM($O22)=0,"",$O22*$P22)</f>
        <v/>
      </c>
    </row>
    <row r="23" customFormat="false" ht="15" hidden="false" customHeight="false" outlineLevel="0" collapsed="false">
      <c r="A23" s="0" t="str">
        <f aca="false">INDEX(Prioritization!$D:$D,MATCH($B23,Prioritization!$A:$A,0))</f>
        <v>1 - Scale-up: Saturation</v>
      </c>
      <c r="B23" s="0" t="s">
        <v>195</v>
      </c>
      <c r="C23" s="0" t="s">
        <v>365</v>
      </c>
      <c r="D23" s="0" t="s">
        <v>30</v>
      </c>
      <c r="E23" s="0" t="str">
        <f aca="false">B23&amp;"|"&amp;C23&amp;"|"&amp;D23</f>
        <v>Dedza District [PekKUkKHAzY]|15-24|Female</v>
      </c>
      <c r="F23" s="10" t="str">
        <f aca="false">IF(LEFT($B23,4)="_Mil","",INDEX(Cascade!$U:$U,MATCH($E23,Cascade!$E:$E,0)))</f>
        <v/>
      </c>
      <c r="G23" s="10" t="str">
        <f aca="false">IFERROR(1/(1/INDEX(HTS!$AT:$AT,MATCH($E23,HTS!$E:$E,0))),"")</f>
        <v/>
      </c>
      <c r="H23" s="10" t="str">
        <f aca="false">IF(OR($C23="15-24",$C23="25-34"),IFERROR(1/(1/SUM(SUMIFS(AGYW!$S:$S,AGYW!$B:$B,$B23,AGYW!$C:$C,IF($C23="15-24",{"15-19","20-24"},{"25-29"}),AGYW!$D:$D,$D23))),""),"")</f>
        <v/>
      </c>
      <c r="I23" s="10" t="str">
        <f aca="false">IF(OR($C23="15-24",$C23="25-34"),IFERROR(1/(1/SUM(SUMIFS(AGYW!$T:$T,AGYW!$B:$B,$B23,AGYW!$C:$C,IF($C23="15-24",{"15-19","20-24"},{"25-29"}),AGYW!$D:$D,$D23))),""),"")</f>
        <v/>
      </c>
      <c r="J23" s="10"/>
      <c r="K23" s="10"/>
      <c r="L23" s="39" t="str">
        <f aca="false">IF(SUM($K23)=0,"",$K23)</f>
        <v/>
      </c>
      <c r="M23" s="10"/>
      <c r="N23" s="10"/>
      <c r="O23" s="39" t="str">
        <f aca="false">IF(SUM($N23)=0,"",$N23)</f>
        <v/>
      </c>
      <c r="P23" s="10" t="n">
        <f aca="false">2</f>
        <v>2</v>
      </c>
      <c r="Q23" s="39" t="str">
        <f aca="false">IF(SUM($O23)=0,"",$O23*$P23)</f>
        <v/>
      </c>
    </row>
    <row r="24" customFormat="false" ht="15" hidden="false" customHeight="false" outlineLevel="0" collapsed="false">
      <c r="A24" s="0" t="str">
        <f aca="false">INDEX(Prioritization!$D:$D,MATCH($B24,Prioritization!$A:$A,0))</f>
        <v>1 - Scale-up: Saturation</v>
      </c>
      <c r="B24" s="0" t="s">
        <v>195</v>
      </c>
      <c r="C24" s="0" t="s">
        <v>365</v>
      </c>
      <c r="D24" s="0" t="s">
        <v>48</v>
      </c>
      <c r="E24" s="0" t="str">
        <f aca="false">B24&amp;"|"&amp;C24&amp;"|"&amp;D24</f>
        <v>Dedza District [PekKUkKHAzY]|15-24|Male</v>
      </c>
      <c r="F24" s="10" t="str">
        <f aca="false">IF(LEFT($B24,4)="_Mil","",INDEX(Cascade!$U:$U,MATCH($E24,Cascade!$E:$E,0)))</f>
        <v/>
      </c>
      <c r="G24" s="10" t="str">
        <f aca="false">IFERROR(1/(1/INDEX(HTS!$AT:$AT,MATCH($E24,HTS!$E:$E,0))),"")</f>
        <v/>
      </c>
      <c r="H24" s="10" t="str">
        <f aca="false">IF(OR($C24="15-24",$C24="25-34"),IFERROR(1/(1/SUM(SUMIFS(AGYW!$S:$S,AGYW!$B:$B,$B24,AGYW!$C:$C,IF($C24="15-24",{"15-19","20-24"},{"25-29"}),AGYW!$D:$D,$D24))),""),"")</f>
        <v/>
      </c>
      <c r="I24" s="10" t="str">
        <f aca="false">IF(OR($C24="15-24",$C24="25-34"),IFERROR(1/(1/SUM(SUMIFS(AGYW!$T:$T,AGYW!$B:$B,$B24,AGYW!$C:$C,IF($C24="15-24",{"15-19","20-24"},{"25-29"}),AGYW!$D:$D,$D24))),""),"")</f>
        <v/>
      </c>
      <c r="J24" s="10"/>
      <c r="K24" s="10"/>
      <c r="L24" s="39" t="str">
        <f aca="false">IF(SUM($K24)=0,"",$K24)</f>
        <v/>
      </c>
      <c r="M24" s="10"/>
      <c r="N24" s="10"/>
      <c r="O24" s="39" t="str">
        <f aca="false">IF(SUM($N24)=0,"",$N24)</f>
        <v/>
      </c>
      <c r="P24" s="10" t="n">
        <f aca="false">2</f>
        <v>2</v>
      </c>
      <c r="Q24" s="39" t="str">
        <f aca="false">IF(SUM($O24)=0,"",$O24*$P24)</f>
        <v/>
      </c>
    </row>
    <row r="25" customFormat="false" ht="15" hidden="false" customHeight="false" outlineLevel="0" collapsed="false">
      <c r="A25" s="0" t="str">
        <f aca="false">INDEX(Prioritization!$D:$D,MATCH($B25,Prioritization!$A:$A,0))</f>
        <v>1 - Scale-up: Saturation</v>
      </c>
      <c r="B25" s="0" t="s">
        <v>195</v>
      </c>
      <c r="C25" s="0" t="s">
        <v>366</v>
      </c>
      <c r="D25" s="0" t="s">
        <v>30</v>
      </c>
      <c r="E25" s="0" t="str">
        <f aca="false">B25&amp;"|"&amp;C25&amp;"|"&amp;D25</f>
        <v>Dedza District [PekKUkKHAzY]|25-34|Female</v>
      </c>
      <c r="F25" s="10" t="str">
        <f aca="false">IF(LEFT($B25,4)="_Mil","",INDEX(Cascade!$U:$U,MATCH($E25,Cascade!$E:$E,0)))</f>
        <v/>
      </c>
      <c r="G25" s="10" t="str">
        <f aca="false">IFERROR(1/(1/INDEX(HTS!$AT:$AT,MATCH($E25,HTS!$E:$E,0))),"")</f>
        <v/>
      </c>
      <c r="H25" s="10" t="str">
        <f aca="false">IF(OR($C25="15-24",$C25="25-34"),IFERROR(1/(1/SUM(SUMIFS(AGYW!$S:$S,AGYW!$B:$B,$B25,AGYW!$C:$C,IF($C25="15-24",{"15-19","20-24"},{"25-29"}),AGYW!$D:$D,$D25))),""),"")</f>
        <v/>
      </c>
      <c r="I25" s="10" t="str">
        <f aca="false">IF(OR($C25="15-24",$C25="25-34"),IFERROR(1/(1/SUM(SUMIFS(AGYW!$T:$T,AGYW!$B:$B,$B25,AGYW!$C:$C,IF($C25="15-24",{"15-19","20-24"},{"25-29"}),AGYW!$D:$D,$D25))),""),"")</f>
        <v/>
      </c>
      <c r="J25" s="10"/>
      <c r="K25" s="10"/>
      <c r="L25" s="39" t="str">
        <f aca="false">IF(SUM($K25)=0,"",$K25)</f>
        <v/>
      </c>
      <c r="M25" s="10"/>
      <c r="N25" s="10"/>
      <c r="O25" s="39" t="str">
        <f aca="false">IF(SUM($N25)=0,"",$N25)</f>
        <v/>
      </c>
      <c r="P25" s="10" t="n">
        <f aca="false">2</f>
        <v>2</v>
      </c>
      <c r="Q25" s="39" t="str">
        <f aca="false">IF(SUM($O25)=0,"",$O25*$P25)</f>
        <v/>
      </c>
    </row>
    <row r="26" customFormat="false" ht="15" hidden="false" customHeight="false" outlineLevel="0" collapsed="false">
      <c r="A26" s="0" t="str">
        <f aca="false">INDEX(Prioritization!$D:$D,MATCH($B26,Prioritization!$A:$A,0))</f>
        <v>1 - Scale-up: Saturation</v>
      </c>
      <c r="B26" s="0" t="s">
        <v>195</v>
      </c>
      <c r="C26" s="0" t="s">
        <v>366</v>
      </c>
      <c r="D26" s="0" t="s">
        <v>48</v>
      </c>
      <c r="E26" s="0" t="str">
        <f aca="false">B26&amp;"|"&amp;C26&amp;"|"&amp;D26</f>
        <v>Dedza District [PekKUkKHAzY]|25-34|Male</v>
      </c>
      <c r="F26" s="10" t="str">
        <f aca="false">IF(LEFT($B26,4)="_Mil","",INDEX(Cascade!$U:$U,MATCH($E26,Cascade!$E:$E,0)))</f>
        <v/>
      </c>
      <c r="G26" s="10" t="str">
        <f aca="false">IFERROR(1/(1/INDEX(HTS!$AT:$AT,MATCH($E26,HTS!$E:$E,0))),"")</f>
        <v/>
      </c>
      <c r="H26" s="10" t="str">
        <f aca="false">IF(OR($C26="15-24",$C26="25-34"),IFERROR(1/(1/SUM(SUMIFS(AGYW!$S:$S,AGYW!$B:$B,$B26,AGYW!$C:$C,IF($C26="15-24",{"15-19","20-24"},{"25-29"}),AGYW!$D:$D,$D26))),""),"")</f>
        <v/>
      </c>
      <c r="I26" s="10" t="str">
        <f aca="false">IF(OR($C26="15-24",$C26="25-34"),IFERROR(1/(1/SUM(SUMIFS(AGYW!$T:$T,AGYW!$B:$B,$B26,AGYW!$C:$C,IF($C26="15-24",{"15-19","20-24"},{"25-29"}),AGYW!$D:$D,$D26))),""),"")</f>
        <v/>
      </c>
      <c r="J26" s="10"/>
      <c r="K26" s="10"/>
      <c r="L26" s="39" t="str">
        <f aca="false">IF(SUM($K26)=0,"",$K26)</f>
        <v/>
      </c>
      <c r="M26" s="10"/>
      <c r="N26" s="10"/>
      <c r="O26" s="39" t="str">
        <f aca="false">IF(SUM($N26)=0,"",$N26)</f>
        <v/>
      </c>
      <c r="P26" s="10" t="n">
        <f aca="false">2</f>
        <v>2</v>
      </c>
      <c r="Q26" s="39" t="str">
        <f aca="false">IF(SUM($O26)=0,"",$O26*$P26)</f>
        <v/>
      </c>
    </row>
    <row r="27" customFormat="false" ht="15" hidden="false" customHeight="false" outlineLevel="0" collapsed="false">
      <c r="A27" s="0" t="str">
        <f aca="false">INDEX(Prioritization!$D:$D,MATCH($B27,Prioritization!$A:$A,0))</f>
        <v>1 - Scale-up: Saturation</v>
      </c>
      <c r="B27" s="0" t="s">
        <v>195</v>
      </c>
      <c r="C27" s="0" t="s">
        <v>367</v>
      </c>
      <c r="D27" s="0" t="s">
        <v>30</v>
      </c>
      <c r="E27" s="0" t="str">
        <f aca="false">B27&amp;"|"&amp;C27&amp;"|"&amp;D27</f>
        <v>Dedza District [PekKUkKHAzY]|35-49|Female</v>
      </c>
      <c r="F27" s="10" t="str">
        <f aca="false">IF(LEFT($B27,4)="_Mil","",INDEX(Cascade!$U:$U,MATCH($E27,Cascade!$E:$E,0)))</f>
        <v/>
      </c>
      <c r="G27" s="10" t="str">
        <f aca="false">IFERROR(1/(1/INDEX(HTS!$AT:$AT,MATCH($E27,HTS!$E:$E,0))),"")</f>
        <v/>
      </c>
      <c r="H27" s="10" t="str">
        <f aca="false">IF(OR($C27="15-24",$C27="25-34"),IFERROR(1/(1/SUM(SUMIFS(AGYW!$S:$S,AGYW!$B:$B,$B27,AGYW!$C:$C,IF($C27="15-24",{"15-19","20-24"},{"25-29"}),AGYW!$D:$D,$D27))),""),"")</f>
        <v/>
      </c>
      <c r="I27" s="10" t="str">
        <f aca="false">IF(OR($C27="15-24",$C27="25-34"),IFERROR(1/(1/SUM(SUMIFS(AGYW!$T:$T,AGYW!$B:$B,$B27,AGYW!$C:$C,IF($C27="15-24",{"15-19","20-24"},{"25-29"}),AGYW!$D:$D,$D27))),""),"")</f>
        <v/>
      </c>
      <c r="J27" s="10"/>
      <c r="K27" s="10"/>
      <c r="L27" s="39" t="str">
        <f aca="false">IF(SUM($K27)=0,"",$K27)</f>
        <v/>
      </c>
      <c r="M27" s="10"/>
      <c r="N27" s="10"/>
      <c r="O27" s="39" t="str">
        <f aca="false">IF(SUM($N27)=0,"",$N27)</f>
        <v/>
      </c>
      <c r="P27" s="10" t="n">
        <f aca="false">2</f>
        <v>2</v>
      </c>
      <c r="Q27" s="39" t="str">
        <f aca="false">IF(SUM($O27)=0,"",$O27*$P27)</f>
        <v/>
      </c>
    </row>
    <row r="28" customFormat="false" ht="15" hidden="false" customHeight="false" outlineLevel="0" collapsed="false">
      <c r="A28" s="0" t="str">
        <f aca="false">INDEX(Prioritization!$D:$D,MATCH($B28,Prioritization!$A:$A,0))</f>
        <v>1 - Scale-up: Saturation</v>
      </c>
      <c r="B28" s="0" t="s">
        <v>195</v>
      </c>
      <c r="C28" s="0" t="s">
        <v>367</v>
      </c>
      <c r="D28" s="0" t="s">
        <v>48</v>
      </c>
      <c r="E28" s="0" t="str">
        <f aca="false">B28&amp;"|"&amp;C28&amp;"|"&amp;D28</f>
        <v>Dedza District [PekKUkKHAzY]|35-49|Male</v>
      </c>
      <c r="F28" s="10" t="str">
        <f aca="false">IF(LEFT($B28,4)="_Mil","",INDEX(Cascade!$U:$U,MATCH($E28,Cascade!$E:$E,0)))</f>
        <v/>
      </c>
      <c r="G28" s="10" t="str">
        <f aca="false">IFERROR(1/(1/INDEX(HTS!$AT:$AT,MATCH($E28,HTS!$E:$E,0))),"")</f>
        <v/>
      </c>
      <c r="H28" s="10" t="str">
        <f aca="false">IF(OR($C28="15-24",$C28="25-34"),IFERROR(1/(1/SUM(SUMIFS(AGYW!$S:$S,AGYW!$B:$B,$B28,AGYW!$C:$C,IF($C28="15-24",{"15-19","20-24"},{"25-29"}),AGYW!$D:$D,$D28))),""),"")</f>
        <v/>
      </c>
      <c r="I28" s="10" t="str">
        <f aca="false">IF(OR($C28="15-24",$C28="25-34"),IFERROR(1/(1/SUM(SUMIFS(AGYW!$T:$T,AGYW!$B:$B,$B28,AGYW!$C:$C,IF($C28="15-24",{"15-19","20-24"},{"25-29"}),AGYW!$D:$D,$D28))),""),"")</f>
        <v/>
      </c>
      <c r="J28" s="10"/>
      <c r="K28" s="10"/>
      <c r="L28" s="39" t="str">
        <f aca="false">IF(SUM($K28)=0,"",$K28)</f>
        <v/>
      </c>
      <c r="M28" s="10"/>
      <c r="N28" s="10"/>
      <c r="O28" s="39" t="str">
        <f aca="false">IF(SUM($N28)=0,"",$N28)</f>
        <v/>
      </c>
      <c r="P28" s="10" t="n">
        <f aca="false">2</f>
        <v>2</v>
      </c>
      <c r="Q28" s="39" t="str">
        <f aca="false">IF(SUM($O28)=0,"",$O28*$P28)</f>
        <v/>
      </c>
    </row>
    <row r="29" customFormat="false" ht="15" hidden="false" customHeight="false" outlineLevel="0" collapsed="false">
      <c r="A29" s="0" t="str">
        <f aca="false">INDEX(Prioritization!$D:$D,MATCH($B29,Prioritization!$A:$A,0))</f>
        <v>1 - Scale-up: Saturation</v>
      </c>
      <c r="B29" s="0" t="s">
        <v>195</v>
      </c>
      <c r="C29" s="0" t="s">
        <v>368</v>
      </c>
      <c r="D29" s="0" t="s">
        <v>30</v>
      </c>
      <c r="E29" s="0" t="str">
        <f aca="false">B29&amp;"|"&amp;C29&amp;"|"&amp;D29</f>
        <v>Dedza District [PekKUkKHAzY]|50+|Female</v>
      </c>
      <c r="F29" s="10" t="str">
        <f aca="false">IF(LEFT($B29,4)="_Mil","",INDEX(Cascade!$U:$U,MATCH($E29,Cascade!$E:$E,0)))</f>
        <v/>
      </c>
      <c r="G29" s="10" t="str">
        <f aca="false">IFERROR(1/(1/INDEX(HTS!$AT:$AT,MATCH($E29,HTS!$E:$E,0))),"")</f>
        <v/>
      </c>
      <c r="H29" s="10" t="str">
        <f aca="false">IF(OR($C29="15-24",$C29="25-34"),IFERROR(1/(1/SUM(SUMIFS(AGYW!$S:$S,AGYW!$B:$B,$B29,AGYW!$C:$C,IF($C29="15-24",{"15-19","20-24"},{"25-29"}),AGYW!$D:$D,$D29))),""),"")</f>
        <v/>
      </c>
      <c r="I29" s="10" t="str">
        <f aca="false">IF(OR($C29="15-24",$C29="25-34"),IFERROR(1/(1/SUM(SUMIFS(AGYW!$T:$T,AGYW!$B:$B,$B29,AGYW!$C:$C,IF($C29="15-24",{"15-19","20-24"},{"25-29"}),AGYW!$D:$D,$D29))),""),"")</f>
        <v/>
      </c>
      <c r="J29" s="10"/>
      <c r="K29" s="10"/>
      <c r="L29" s="39" t="str">
        <f aca="false">IF(SUM($K29)=0,"",$K29)</f>
        <v/>
      </c>
      <c r="M29" s="10"/>
      <c r="N29" s="10"/>
      <c r="O29" s="39" t="str">
        <f aca="false">IF(SUM($N29)=0,"",$N29)</f>
        <v/>
      </c>
      <c r="P29" s="10" t="n">
        <f aca="false">2</f>
        <v>2</v>
      </c>
      <c r="Q29" s="39" t="str">
        <f aca="false">IF(SUM($O29)=0,"",$O29*$P29)</f>
        <v/>
      </c>
    </row>
    <row r="30" customFormat="false" ht="15" hidden="false" customHeight="false" outlineLevel="0" collapsed="false">
      <c r="A30" s="0" t="str">
        <f aca="false">INDEX(Prioritization!$D:$D,MATCH($B30,Prioritization!$A:$A,0))</f>
        <v>1 - Scale-up: Saturation</v>
      </c>
      <c r="B30" s="0" t="s">
        <v>195</v>
      </c>
      <c r="C30" s="0" t="s">
        <v>368</v>
      </c>
      <c r="D30" s="0" t="s">
        <v>48</v>
      </c>
      <c r="E30" s="0" t="str">
        <f aca="false">B30&amp;"|"&amp;C30&amp;"|"&amp;D30</f>
        <v>Dedza District [PekKUkKHAzY]|50+|Male</v>
      </c>
      <c r="F30" s="10" t="str">
        <f aca="false">IF(LEFT($B30,4)="_Mil","",INDEX(Cascade!$U:$U,MATCH($E30,Cascade!$E:$E,0)))</f>
        <v/>
      </c>
      <c r="G30" s="10" t="str">
        <f aca="false">IFERROR(1/(1/INDEX(HTS!$AT:$AT,MATCH($E30,HTS!$E:$E,0))),"")</f>
        <v/>
      </c>
      <c r="H30" s="10" t="str">
        <f aca="false">IF(OR($C30="15-24",$C30="25-34"),IFERROR(1/(1/SUM(SUMIFS(AGYW!$S:$S,AGYW!$B:$B,$B30,AGYW!$C:$C,IF($C30="15-24",{"15-19","20-24"},{"25-29"}),AGYW!$D:$D,$D30))),""),"")</f>
        <v/>
      </c>
      <c r="I30" s="10" t="str">
        <f aca="false">IF(OR($C30="15-24",$C30="25-34"),IFERROR(1/(1/SUM(SUMIFS(AGYW!$T:$T,AGYW!$B:$B,$B30,AGYW!$C:$C,IF($C30="15-24",{"15-19","20-24"},{"25-29"}),AGYW!$D:$D,$D30))),""),"")</f>
        <v/>
      </c>
      <c r="J30" s="10"/>
      <c r="K30" s="10"/>
      <c r="L30" s="39" t="str">
        <f aca="false">IF(SUM($K30)=0,"",$K30)</f>
        <v/>
      </c>
      <c r="M30" s="10"/>
      <c r="N30" s="10"/>
      <c r="O30" s="39" t="str">
        <f aca="false">IF(SUM($N30)=0,"",$N30)</f>
        <v/>
      </c>
      <c r="P30" s="10" t="n">
        <f aca="false">2</f>
        <v>2</v>
      </c>
      <c r="Q30" s="39" t="str">
        <f aca="false">IF(SUM($O30)=0,"",$O30*$P30)</f>
        <v/>
      </c>
    </row>
    <row r="31" customFormat="false" ht="15" hidden="false" customHeight="false" outlineLevel="0" collapsed="false">
      <c r="A31" s="0" t="str">
        <f aca="false">INDEX(Prioritization!$D:$D,MATCH($B31,Prioritization!$A:$A,0))</f>
        <v>1 - Scale-up: Saturation</v>
      </c>
      <c r="B31" s="0" t="s">
        <v>196</v>
      </c>
      <c r="C31" s="0" t="s">
        <v>365</v>
      </c>
      <c r="D31" s="0" t="s">
        <v>30</v>
      </c>
      <c r="E31" s="0" t="str">
        <f aca="false">B31&amp;"|"&amp;C31&amp;"|"&amp;D31</f>
        <v>Dowa District [zphK9WV8JB4]|15-24|Female</v>
      </c>
      <c r="F31" s="10" t="str">
        <f aca="false">IF(LEFT($B31,4)="_Mil","",INDEX(Cascade!$U:$U,MATCH($E31,Cascade!$E:$E,0)))</f>
        <v/>
      </c>
      <c r="G31" s="10" t="str">
        <f aca="false">IFERROR(1/(1/INDEX(HTS!$AT:$AT,MATCH($E31,HTS!$E:$E,0))),"")</f>
        <v/>
      </c>
      <c r="H31" s="10" t="str">
        <f aca="false">IF(OR($C31="15-24",$C31="25-34"),IFERROR(1/(1/SUM(SUMIFS(AGYW!$S:$S,AGYW!$B:$B,$B31,AGYW!$C:$C,IF($C31="15-24",{"15-19","20-24"},{"25-29"}),AGYW!$D:$D,$D31))),""),"")</f>
        <v/>
      </c>
      <c r="I31" s="10" t="str">
        <f aca="false">IF(OR($C31="15-24",$C31="25-34"),IFERROR(1/(1/SUM(SUMIFS(AGYW!$T:$T,AGYW!$B:$B,$B31,AGYW!$C:$C,IF($C31="15-24",{"15-19","20-24"},{"25-29"}),AGYW!$D:$D,$D31))),""),"")</f>
        <v/>
      </c>
      <c r="J31" s="10"/>
      <c r="K31" s="10"/>
      <c r="L31" s="39" t="str">
        <f aca="false">IF(SUM($K31)=0,"",$K31)</f>
        <v/>
      </c>
      <c r="M31" s="10"/>
      <c r="N31" s="10"/>
      <c r="O31" s="39" t="str">
        <f aca="false">IF(SUM($N31)=0,"",$N31)</f>
        <v/>
      </c>
      <c r="P31" s="10" t="n">
        <f aca="false">2</f>
        <v>2</v>
      </c>
      <c r="Q31" s="39" t="str">
        <f aca="false">IF(SUM($O31)=0,"",$O31*$P31)</f>
        <v/>
      </c>
    </row>
    <row r="32" customFormat="false" ht="15" hidden="false" customHeight="false" outlineLevel="0" collapsed="false">
      <c r="A32" s="0" t="str">
        <f aca="false">INDEX(Prioritization!$D:$D,MATCH($B32,Prioritization!$A:$A,0))</f>
        <v>1 - Scale-up: Saturation</v>
      </c>
      <c r="B32" s="0" t="s">
        <v>196</v>
      </c>
      <c r="C32" s="0" t="s">
        <v>365</v>
      </c>
      <c r="D32" s="0" t="s">
        <v>48</v>
      </c>
      <c r="E32" s="0" t="str">
        <f aca="false">B32&amp;"|"&amp;C32&amp;"|"&amp;D32</f>
        <v>Dowa District [zphK9WV8JB4]|15-24|Male</v>
      </c>
      <c r="F32" s="10" t="str">
        <f aca="false">IF(LEFT($B32,4)="_Mil","",INDEX(Cascade!$U:$U,MATCH($E32,Cascade!$E:$E,0)))</f>
        <v/>
      </c>
      <c r="G32" s="10" t="str">
        <f aca="false">IFERROR(1/(1/INDEX(HTS!$AT:$AT,MATCH($E32,HTS!$E:$E,0))),"")</f>
        <v/>
      </c>
      <c r="H32" s="10" t="str">
        <f aca="false">IF(OR($C32="15-24",$C32="25-34"),IFERROR(1/(1/SUM(SUMIFS(AGYW!$S:$S,AGYW!$B:$B,$B32,AGYW!$C:$C,IF($C32="15-24",{"15-19","20-24"},{"25-29"}),AGYW!$D:$D,$D32))),""),"")</f>
        <v/>
      </c>
      <c r="I32" s="10" t="str">
        <f aca="false">IF(OR($C32="15-24",$C32="25-34"),IFERROR(1/(1/SUM(SUMIFS(AGYW!$T:$T,AGYW!$B:$B,$B32,AGYW!$C:$C,IF($C32="15-24",{"15-19","20-24"},{"25-29"}),AGYW!$D:$D,$D32))),""),"")</f>
        <v/>
      </c>
      <c r="J32" s="10"/>
      <c r="K32" s="10"/>
      <c r="L32" s="39" t="str">
        <f aca="false">IF(SUM($K32)=0,"",$K32)</f>
        <v/>
      </c>
      <c r="M32" s="10"/>
      <c r="N32" s="10"/>
      <c r="O32" s="39" t="str">
        <f aca="false">IF(SUM($N32)=0,"",$N32)</f>
        <v/>
      </c>
      <c r="P32" s="10" t="n">
        <f aca="false">2</f>
        <v>2</v>
      </c>
      <c r="Q32" s="39" t="str">
        <f aca="false">IF(SUM($O32)=0,"",$O32*$P32)</f>
        <v/>
      </c>
    </row>
    <row r="33" customFormat="false" ht="15" hidden="false" customHeight="false" outlineLevel="0" collapsed="false">
      <c r="A33" s="0" t="str">
        <f aca="false">INDEX(Prioritization!$D:$D,MATCH($B33,Prioritization!$A:$A,0))</f>
        <v>1 - Scale-up: Saturation</v>
      </c>
      <c r="B33" s="0" t="s">
        <v>196</v>
      </c>
      <c r="C33" s="0" t="s">
        <v>366</v>
      </c>
      <c r="D33" s="0" t="s">
        <v>30</v>
      </c>
      <c r="E33" s="0" t="str">
        <f aca="false">B33&amp;"|"&amp;C33&amp;"|"&amp;D33</f>
        <v>Dowa District [zphK9WV8JB4]|25-34|Female</v>
      </c>
      <c r="F33" s="10" t="str">
        <f aca="false">IF(LEFT($B33,4)="_Mil","",INDEX(Cascade!$U:$U,MATCH($E33,Cascade!$E:$E,0)))</f>
        <v/>
      </c>
      <c r="G33" s="10" t="str">
        <f aca="false">IFERROR(1/(1/INDEX(HTS!$AT:$AT,MATCH($E33,HTS!$E:$E,0))),"")</f>
        <v/>
      </c>
      <c r="H33" s="10" t="str">
        <f aca="false">IF(OR($C33="15-24",$C33="25-34"),IFERROR(1/(1/SUM(SUMIFS(AGYW!$S:$S,AGYW!$B:$B,$B33,AGYW!$C:$C,IF($C33="15-24",{"15-19","20-24"},{"25-29"}),AGYW!$D:$D,$D33))),""),"")</f>
        <v/>
      </c>
      <c r="I33" s="10" t="str">
        <f aca="false">IF(OR($C33="15-24",$C33="25-34"),IFERROR(1/(1/SUM(SUMIFS(AGYW!$T:$T,AGYW!$B:$B,$B33,AGYW!$C:$C,IF($C33="15-24",{"15-19","20-24"},{"25-29"}),AGYW!$D:$D,$D33))),""),"")</f>
        <v/>
      </c>
      <c r="J33" s="10"/>
      <c r="K33" s="10"/>
      <c r="L33" s="39" t="str">
        <f aca="false">IF(SUM($K33)=0,"",$K33)</f>
        <v/>
      </c>
      <c r="M33" s="10"/>
      <c r="N33" s="10"/>
      <c r="O33" s="39" t="str">
        <f aca="false">IF(SUM($N33)=0,"",$N33)</f>
        <v/>
      </c>
      <c r="P33" s="10" t="n">
        <f aca="false">2</f>
        <v>2</v>
      </c>
      <c r="Q33" s="39" t="str">
        <f aca="false">IF(SUM($O33)=0,"",$O33*$P33)</f>
        <v/>
      </c>
    </row>
    <row r="34" customFormat="false" ht="15" hidden="false" customHeight="false" outlineLevel="0" collapsed="false">
      <c r="A34" s="0" t="str">
        <f aca="false">INDEX(Prioritization!$D:$D,MATCH($B34,Prioritization!$A:$A,0))</f>
        <v>1 - Scale-up: Saturation</v>
      </c>
      <c r="B34" s="0" t="s">
        <v>196</v>
      </c>
      <c r="C34" s="0" t="s">
        <v>366</v>
      </c>
      <c r="D34" s="0" t="s">
        <v>48</v>
      </c>
      <c r="E34" s="0" t="str">
        <f aca="false">B34&amp;"|"&amp;C34&amp;"|"&amp;D34</f>
        <v>Dowa District [zphK9WV8JB4]|25-34|Male</v>
      </c>
      <c r="F34" s="10" t="str">
        <f aca="false">IF(LEFT($B34,4)="_Mil","",INDEX(Cascade!$U:$U,MATCH($E34,Cascade!$E:$E,0)))</f>
        <v/>
      </c>
      <c r="G34" s="10" t="str">
        <f aca="false">IFERROR(1/(1/INDEX(HTS!$AT:$AT,MATCH($E34,HTS!$E:$E,0))),"")</f>
        <v/>
      </c>
      <c r="H34" s="10" t="str">
        <f aca="false">IF(OR($C34="15-24",$C34="25-34"),IFERROR(1/(1/SUM(SUMIFS(AGYW!$S:$S,AGYW!$B:$B,$B34,AGYW!$C:$C,IF($C34="15-24",{"15-19","20-24"},{"25-29"}),AGYW!$D:$D,$D34))),""),"")</f>
        <v/>
      </c>
      <c r="I34" s="10" t="str">
        <f aca="false">IF(OR($C34="15-24",$C34="25-34"),IFERROR(1/(1/SUM(SUMIFS(AGYW!$T:$T,AGYW!$B:$B,$B34,AGYW!$C:$C,IF($C34="15-24",{"15-19","20-24"},{"25-29"}),AGYW!$D:$D,$D34))),""),"")</f>
        <v/>
      </c>
      <c r="J34" s="10"/>
      <c r="K34" s="10"/>
      <c r="L34" s="39" t="str">
        <f aca="false">IF(SUM($K34)=0,"",$K34)</f>
        <v/>
      </c>
      <c r="M34" s="10"/>
      <c r="N34" s="10"/>
      <c r="O34" s="39" t="str">
        <f aca="false">IF(SUM($N34)=0,"",$N34)</f>
        <v/>
      </c>
      <c r="P34" s="10" t="n">
        <f aca="false">2</f>
        <v>2</v>
      </c>
      <c r="Q34" s="39" t="str">
        <f aca="false">IF(SUM($O34)=0,"",$O34*$P34)</f>
        <v/>
      </c>
    </row>
    <row r="35" customFormat="false" ht="15" hidden="false" customHeight="false" outlineLevel="0" collapsed="false">
      <c r="A35" s="0" t="str">
        <f aca="false">INDEX(Prioritization!$D:$D,MATCH($B35,Prioritization!$A:$A,0))</f>
        <v>1 - Scale-up: Saturation</v>
      </c>
      <c r="B35" s="0" t="s">
        <v>196</v>
      </c>
      <c r="C35" s="0" t="s">
        <v>367</v>
      </c>
      <c r="D35" s="0" t="s">
        <v>30</v>
      </c>
      <c r="E35" s="0" t="str">
        <f aca="false">B35&amp;"|"&amp;C35&amp;"|"&amp;D35</f>
        <v>Dowa District [zphK9WV8JB4]|35-49|Female</v>
      </c>
      <c r="F35" s="10" t="str">
        <f aca="false">IF(LEFT($B35,4)="_Mil","",INDEX(Cascade!$U:$U,MATCH($E35,Cascade!$E:$E,0)))</f>
        <v/>
      </c>
      <c r="G35" s="10" t="str">
        <f aca="false">IFERROR(1/(1/INDEX(HTS!$AT:$AT,MATCH($E35,HTS!$E:$E,0))),"")</f>
        <v/>
      </c>
      <c r="H35" s="10" t="str">
        <f aca="false">IF(OR($C35="15-24",$C35="25-34"),IFERROR(1/(1/SUM(SUMIFS(AGYW!$S:$S,AGYW!$B:$B,$B35,AGYW!$C:$C,IF($C35="15-24",{"15-19","20-24"},{"25-29"}),AGYW!$D:$D,$D35))),""),"")</f>
        <v/>
      </c>
      <c r="I35" s="10" t="str">
        <f aca="false">IF(OR($C35="15-24",$C35="25-34"),IFERROR(1/(1/SUM(SUMIFS(AGYW!$T:$T,AGYW!$B:$B,$B35,AGYW!$C:$C,IF($C35="15-24",{"15-19","20-24"},{"25-29"}),AGYW!$D:$D,$D35))),""),"")</f>
        <v/>
      </c>
      <c r="J35" s="10"/>
      <c r="K35" s="10"/>
      <c r="L35" s="39" t="str">
        <f aca="false">IF(SUM($K35)=0,"",$K35)</f>
        <v/>
      </c>
      <c r="M35" s="10"/>
      <c r="N35" s="10"/>
      <c r="O35" s="39" t="str">
        <f aca="false">IF(SUM($N35)=0,"",$N35)</f>
        <v/>
      </c>
      <c r="P35" s="10" t="n">
        <f aca="false">2</f>
        <v>2</v>
      </c>
      <c r="Q35" s="39" t="str">
        <f aca="false">IF(SUM($O35)=0,"",$O35*$P35)</f>
        <v/>
      </c>
    </row>
    <row r="36" customFormat="false" ht="15" hidden="false" customHeight="false" outlineLevel="0" collapsed="false">
      <c r="A36" s="0" t="str">
        <f aca="false">INDEX(Prioritization!$D:$D,MATCH($B36,Prioritization!$A:$A,0))</f>
        <v>1 - Scale-up: Saturation</v>
      </c>
      <c r="B36" s="0" t="s">
        <v>196</v>
      </c>
      <c r="C36" s="0" t="s">
        <v>367</v>
      </c>
      <c r="D36" s="0" t="s">
        <v>48</v>
      </c>
      <c r="E36" s="0" t="str">
        <f aca="false">B36&amp;"|"&amp;C36&amp;"|"&amp;D36</f>
        <v>Dowa District [zphK9WV8JB4]|35-49|Male</v>
      </c>
      <c r="F36" s="10" t="str">
        <f aca="false">IF(LEFT($B36,4)="_Mil","",INDEX(Cascade!$U:$U,MATCH($E36,Cascade!$E:$E,0)))</f>
        <v/>
      </c>
      <c r="G36" s="10" t="str">
        <f aca="false">IFERROR(1/(1/INDEX(HTS!$AT:$AT,MATCH($E36,HTS!$E:$E,0))),"")</f>
        <v/>
      </c>
      <c r="H36" s="10" t="str">
        <f aca="false">IF(OR($C36="15-24",$C36="25-34"),IFERROR(1/(1/SUM(SUMIFS(AGYW!$S:$S,AGYW!$B:$B,$B36,AGYW!$C:$C,IF($C36="15-24",{"15-19","20-24"},{"25-29"}),AGYW!$D:$D,$D36))),""),"")</f>
        <v/>
      </c>
      <c r="I36" s="10" t="str">
        <f aca="false">IF(OR($C36="15-24",$C36="25-34"),IFERROR(1/(1/SUM(SUMIFS(AGYW!$T:$T,AGYW!$B:$B,$B36,AGYW!$C:$C,IF($C36="15-24",{"15-19","20-24"},{"25-29"}),AGYW!$D:$D,$D36))),""),"")</f>
        <v/>
      </c>
      <c r="J36" s="10"/>
      <c r="K36" s="10"/>
      <c r="L36" s="39" t="str">
        <f aca="false">IF(SUM($K36)=0,"",$K36)</f>
        <v/>
      </c>
      <c r="M36" s="10"/>
      <c r="N36" s="10"/>
      <c r="O36" s="39" t="str">
        <f aca="false">IF(SUM($N36)=0,"",$N36)</f>
        <v/>
      </c>
      <c r="P36" s="10" t="n">
        <f aca="false">2</f>
        <v>2</v>
      </c>
      <c r="Q36" s="39" t="str">
        <f aca="false">IF(SUM($O36)=0,"",$O36*$P36)</f>
        <v/>
      </c>
    </row>
    <row r="37" customFormat="false" ht="15" hidden="false" customHeight="false" outlineLevel="0" collapsed="false">
      <c r="A37" s="0" t="str">
        <f aca="false">INDEX(Prioritization!$D:$D,MATCH($B37,Prioritization!$A:$A,0))</f>
        <v>1 - Scale-up: Saturation</v>
      </c>
      <c r="B37" s="0" t="s">
        <v>196</v>
      </c>
      <c r="C37" s="0" t="s">
        <v>368</v>
      </c>
      <c r="D37" s="0" t="s">
        <v>30</v>
      </c>
      <c r="E37" s="0" t="str">
        <f aca="false">B37&amp;"|"&amp;C37&amp;"|"&amp;D37</f>
        <v>Dowa District [zphK9WV8JB4]|50+|Female</v>
      </c>
      <c r="F37" s="10" t="str">
        <f aca="false">IF(LEFT($B37,4)="_Mil","",INDEX(Cascade!$U:$U,MATCH($E37,Cascade!$E:$E,0)))</f>
        <v/>
      </c>
      <c r="G37" s="10" t="str">
        <f aca="false">IFERROR(1/(1/INDEX(HTS!$AT:$AT,MATCH($E37,HTS!$E:$E,0))),"")</f>
        <v/>
      </c>
      <c r="H37" s="10" t="str">
        <f aca="false">IF(OR($C37="15-24",$C37="25-34"),IFERROR(1/(1/SUM(SUMIFS(AGYW!$S:$S,AGYW!$B:$B,$B37,AGYW!$C:$C,IF($C37="15-24",{"15-19","20-24"},{"25-29"}),AGYW!$D:$D,$D37))),""),"")</f>
        <v/>
      </c>
      <c r="I37" s="10" t="str">
        <f aca="false">IF(OR($C37="15-24",$C37="25-34"),IFERROR(1/(1/SUM(SUMIFS(AGYW!$T:$T,AGYW!$B:$B,$B37,AGYW!$C:$C,IF($C37="15-24",{"15-19","20-24"},{"25-29"}),AGYW!$D:$D,$D37))),""),"")</f>
        <v/>
      </c>
      <c r="J37" s="10"/>
      <c r="K37" s="10"/>
      <c r="L37" s="39" t="str">
        <f aca="false">IF(SUM($K37)=0,"",$K37)</f>
        <v/>
      </c>
      <c r="M37" s="10"/>
      <c r="N37" s="10"/>
      <c r="O37" s="39" t="str">
        <f aca="false">IF(SUM($N37)=0,"",$N37)</f>
        <v/>
      </c>
      <c r="P37" s="10" t="n">
        <f aca="false">2</f>
        <v>2</v>
      </c>
      <c r="Q37" s="39" t="str">
        <f aca="false">IF(SUM($O37)=0,"",$O37*$P37)</f>
        <v/>
      </c>
    </row>
    <row r="38" customFormat="false" ht="15" hidden="false" customHeight="false" outlineLevel="0" collapsed="false">
      <c r="A38" s="0" t="str">
        <f aca="false">INDEX(Prioritization!$D:$D,MATCH($B38,Prioritization!$A:$A,0))</f>
        <v>1 - Scale-up: Saturation</v>
      </c>
      <c r="B38" s="0" t="s">
        <v>196</v>
      </c>
      <c r="C38" s="0" t="s">
        <v>368</v>
      </c>
      <c r="D38" s="0" t="s">
        <v>48</v>
      </c>
      <c r="E38" s="0" t="str">
        <f aca="false">B38&amp;"|"&amp;C38&amp;"|"&amp;D38</f>
        <v>Dowa District [zphK9WV8JB4]|50+|Male</v>
      </c>
      <c r="F38" s="10" t="str">
        <f aca="false">IF(LEFT($B38,4)="_Mil","",INDEX(Cascade!$U:$U,MATCH($E38,Cascade!$E:$E,0)))</f>
        <v/>
      </c>
      <c r="G38" s="10" t="str">
        <f aca="false">IFERROR(1/(1/INDEX(HTS!$AT:$AT,MATCH($E38,HTS!$E:$E,0))),"")</f>
        <v/>
      </c>
      <c r="H38" s="10" t="str">
        <f aca="false">IF(OR($C38="15-24",$C38="25-34"),IFERROR(1/(1/SUM(SUMIFS(AGYW!$S:$S,AGYW!$B:$B,$B38,AGYW!$C:$C,IF($C38="15-24",{"15-19","20-24"},{"25-29"}),AGYW!$D:$D,$D38))),""),"")</f>
        <v/>
      </c>
      <c r="I38" s="10" t="str">
        <f aca="false">IF(OR($C38="15-24",$C38="25-34"),IFERROR(1/(1/SUM(SUMIFS(AGYW!$T:$T,AGYW!$B:$B,$B38,AGYW!$C:$C,IF($C38="15-24",{"15-19","20-24"},{"25-29"}),AGYW!$D:$D,$D38))),""),"")</f>
        <v/>
      </c>
      <c r="J38" s="10"/>
      <c r="K38" s="10"/>
      <c r="L38" s="39" t="str">
        <f aca="false">IF(SUM($K38)=0,"",$K38)</f>
        <v/>
      </c>
      <c r="M38" s="10"/>
      <c r="N38" s="10"/>
      <c r="O38" s="39" t="str">
        <f aca="false">IF(SUM($N38)=0,"",$N38)</f>
        <v/>
      </c>
      <c r="P38" s="10" t="n">
        <f aca="false">2</f>
        <v>2</v>
      </c>
      <c r="Q38" s="39" t="str">
        <f aca="false">IF(SUM($O38)=0,"",$O38*$P38)</f>
        <v/>
      </c>
    </row>
    <row r="39" customFormat="false" ht="15" hidden="false" customHeight="false" outlineLevel="0" collapsed="false">
      <c r="A39" s="0" t="str">
        <f aca="false">INDEX(Prioritization!$D:$D,MATCH($B39,Prioritization!$A:$A,0))</f>
        <v>INVALID</v>
      </c>
      <c r="B39" s="0" t="s">
        <v>197</v>
      </c>
      <c r="C39" s="0" t="s">
        <v>365</v>
      </c>
      <c r="D39" s="0" t="s">
        <v>30</v>
      </c>
      <c r="E39" s="0" t="str">
        <f aca="false">B39&amp;"|"&amp;C39&amp;"|"&amp;D39</f>
        <v>Kasungu District [JQKLKuVuY61]|15-24|Female</v>
      </c>
      <c r="F39" s="10" t="str">
        <f aca="false">IF(LEFT($B39,4)="_Mil","",INDEX(Cascade!$U:$U,MATCH($E39,Cascade!$E:$E,0)))</f>
        <v/>
      </c>
      <c r="G39" s="10" t="str">
        <f aca="false">IFERROR(1/(1/INDEX(HTS!$AT:$AT,MATCH($E39,HTS!$E:$E,0))),"")</f>
        <v/>
      </c>
      <c r="H39" s="10" t="str">
        <f aca="false">IF(OR($C39="15-24",$C39="25-34"),IFERROR(1/(1/SUM(SUMIFS(AGYW!$S:$S,AGYW!$B:$B,$B39,AGYW!$C:$C,IF($C39="15-24",{"15-19","20-24"},{"25-29"}),AGYW!$D:$D,$D39))),""),"")</f>
        <v/>
      </c>
      <c r="I39" s="10" t="str">
        <f aca="false">IF(OR($C39="15-24",$C39="25-34"),IFERROR(1/(1/SUM(SUMIFS(AGYW!$T:$T,AGYW!$B:$B,$B39,AGYW!$C:$C,IF($C39="15-24",{"15-19","20-24"},{"25-29"}),AGYW!$D:$D,$D39))),""),"")</f>
        <v/>
      </c>
      <c r="J39" s="10"/>
      <c r="K39" s="10"/>
      <c r="L39" s="39" t="str">
        <f aca="false">IF(SUM($K39)=0,"",$K39)</f>
        <v/>
      </c>
      <c r="M39" s="10"/>
      <c r="N39" s="10"/>
      <c r="O39" s="39" t="str">
        <f aca="false">IF(SUM($N39)=0,"",$N39)</f>
        <v/>
      </c>
      <c r="P39" s="10" t="n">
        <f aca="false">2</f>
        <v>2</v>
      </c>
      <c r="Q39" s="39" t="str">
        <f aca="false">IF(SUM($O39)=0,"",$O39*$P39)</f>
        <v/>
      </c>
    </row>
    <row r="40" customFormat="false" ht="15" hidden="false" customHeight="false" outlineLevel="0" collapsed="false">
      <c r="A40" s="0" t="str">
        <f aca="false">INDEX(Prioritization!$D:$D,MATCH($B40,Prioritization!$A:$A,0))</f>
        <v>INVALID</v>
      </c>
      <c r="B40" s="0" t="s">
        <v>197</v>
      </c>
      <c r="C40" s="0" t="s">
        <v>365</v>
      </c>
      <c r="D40" s="0" t="s">
        <v>48</v>
      </c>
      <c r="E40" s="0" t="str">
        <f aca="false">B40&amp;"|"&amp;C40&amp;"|"&amp;D40</f>
        <v>Kasungu District [JQKLKuVuY61]|15-24|Male</v>
      </c>
      <c r="F40" s="10" t="str">
        <f aca="false">IF(LEFT($B40,4)="_Mil","",INDEX(Cascade!$U:$U,MATCH($E40,Cascade!$E:$E,0)))</f>
        <v/>
      </c>
      <c r="G40" s="10" t="str">
        <f aca="false">IFERROR(1/(1/INDEX(HTS!$AT:$AT,MATCH($E40,HTS!$E:$E,0))),"")</f>
        <v/>
      </c>
      <c r="H40" s="10" t="str">
        <f aca="false">IF(OR($C40="15-24",$C40="25-34"),IFERROR(1/(1/SUM(SUMIFS(AGYW!$S:$S,AGYW!$B:$B,$B40,AGYW!$C:$C,IF($C40="15-24",{"15-19","20-24"},{"25-29"}),AGYW!$D:$D,$D40))),""),"")</f>
        <v/>
      </c>
      <c r="I40" s="10" t="str">
        <f aca="false">IF(OR($C40="15-24",$C40="25-34"),IFERROR(1/(1/SUM(SUMIFS(AGYW!$T:$T,AGYW!$B:$B,$B40,AGYW!$C:$C,IF($C40="15-24",{"15-19","20-24"},{"25-29"}),AGYW!$D:$D,$D40))),""),"")</f>
        <v/>
      </c>
      <c r="J40" s="10"/>
      <c r="K40" s="10"/>
      <c r="L40" s="39" t="str">
        <f aca="false">IF(SUM($K40)=0,"",$K40)</f>
        <v/>
      </c>
      <c r="M40" s="10"/>
      <c r="N40" s="10"/>
      <c r="O40" s="39" t="str">
        <f aca="false">IF(SUM($N40)=0,"",$N40)</f>
        <v/>
      </c>
      <c r="P40" s="10" t="n">
        <f aca="false">2</f>
        <v>2</v>
      </c>
      <c r="Q40" s="39" t="str">
        <f aca="false">IF(SUM($O40)=0,"",$O40*$P40)</f>
        <v/>
      </c>
    </row>
    <row r="41" customFormat="false" ht="15" hidden="false" customHeight="false" outlineLevel="0" collapsed="false">
      <c r="A41" s="0" t="str">
        <f aca="false">INDEX(Prioritization!$D:$D,MATCH($B41,Prioritization!$A:$A,0))</f>
        <v>INVALID</v>
      </c>
      <c r="B41" s="0" t="s">
        <v>197</v>
      </c>
      <c r="C41" s="0" t="s">
        <v>366</v>
      </c>
      <c r="D41" s="0" t="s">
        <v>30</v>
      </c>
      <c r="E41" s="0" t="str">
        <f aca="false">B41&amp;"|"&amp;C41&amp;"|"&amp;D41</f>
        <v>Kasungu District [JQKLKuVuY61]|25-34|Female</v>
      </c>
      <c r="F41" s="10" t="str">
        <f aca="false">IF(LEFT($B41,4)="_Mil","",INDEX(Cascade!$U:$U,MATCH($E41,Cascade!$E:$E,0)))</f>
        <v/>
      </c>
      <c r="G41" s="10" t="str">
        <f aca="false">IFERROR(1/(1/INDEX(HTS!$AT:$AT,MATCH($E41,HTS!$E:$E,0))),"")</f>
        <v/>
      </c>
      <c r="H41" s="10" t="str">
        <f aca="false">IF(OR($C41="15-24",$C41="25-34"),IFERROR(1/(1/SUM(SUMIFS(AGYW!$S:$S,AGYW!$B:$B,$B41,AGYW!$C:$C,IF($C41="15-24",{"15-19","20-24"},{"25-29"}),AGYW!$D:$D,$D41))),""),"")</f>
        <v/>
      </c>
      <c r="I41" s="10" t="str">
        <f aca="false">IF(OR($C41="15-24",$C41="25-34"),IFERROR(1/(1/SUM(SUMIFS(AGYW!$T:$T,AGYW!$B:$B,$B41,AGYW!$C:$C,IF($C41="15-24",{"15-19","20-24"},{"25-29"}),AGYW!$D:$D,$D41))),""),"")</f>
        <v/>
      </c>
      <c r="J41" s="10"/>
      <c r="K41" s="10"/>
      <c r="L41" s="39" t="str">
        <f aca="false">IF(SUM($K41)=0,"",$K41)</f>
        <v/>
      </c>
      <c r="M41" s="10"/>
      <c r="N41" s="10"/>
      <c r="O41" s="39" t="str">
        <f aca="false">IF(SUM($N41)=0,"",$N41)</f>
        <v/>
      </c>
      <c r="P41" s="10" t="n">
        <f aca="false">2</f>
        <v>2</v>
      </c>
      <c r="Q41" s="39" t="str">
        <f aca="false">IF(SUM($O41)=0,"",$O41*$P41)</f>
        <v/>
      </c>
    </row>
    <row r="42" customFormat="false" ht="15" hidden="false" customHeight="false" outlineLevel="0" collapsed="false">
      <c r="A42" s="0" t="str">
        <f aca="false">INDEX(Prioritization!$D:$D,MATCH($B42,Prioritization!$A:$A,0))</f>
        <v>INVALID</v>
      </c>
      <c r="B42" s="0" t="s">
        <v>197</v>
      </c>
      <c r="C42" s="0" t="s">
        <v>366</v>
      </c>
      <c r="D42" s="0" t="s">
        <v>48</v>
      </c>
      <c r="E42" s="0" t="str">
        <f aca="false">B42&amp;"|"&amp;C42&amp;"|"&amp;D42</f>
        <v>Kasungu District [JQKLKuVuY61]|25-34|Male</v>
      </c>
      <c r="F42" s="10" t="str">
        <f aca="false">IF(LEFT($B42,4)="_Mil","",INDEX(Cascade!$U:$U,MATCH($E42,Cascade!$E:$E,0)))</f>
        <v/>
      </c>
      <c r="G42" s="10" t="str">
        <f aca="false">IFERROR(1/(1/INDEX(HTS!$AT:$AT,MATCH($E42,HTS!$E:$E,0))),"")</f>
        <v/>
      </c>
      <c r="H42" s="10" t="str">
        <f aca="false">IF(OR($C42="15-24",$C42="25-34"),IFERROR(1/(1/SUM(SUMIFS(AGYW!$S:$S,AGYW!$B:$B,$B42,AGYW!$C:$C,IF($C42="15-24",{"15-19","20-24"},{"25-29"}),AGYW!$D:$D,$D42))),""),"")</f>
        <v/>
      </c>
      <c r="I42" s="10" t="str">
        <f aca="false">IF(OR($C42="15-24",$C42="25-34"),IFERROR(1/(1/SUM(SUMIFS(AGYW!$T:$T,AGYW!$B:$B,$B42,AGYW!$C:$C,IF($C42="15-24",{"15-19","20-24"},{"25-29"}),AGYW!$D:$D,$D42))),""),"")</f>
        <v/>
      </c>
      <c r="J42" s="10"/>
      <c r="K42" s="10"/>
      <c r="L42" s="39" t="str">
        <f aca="false">IF(SUM($K42)=0,"",$K42)</f>
        <v/>
      </c>
      <c r="M42" s="10"/>
      <c r="N42" s="10"/>
      <c r="O42" s="39" t="str">
        <f aca="false">IF(SUM($N42)=0,"",$N42)</f>
        <v/>
      </c>
      <c r="P42" s="10" t="n">
        <f aca="false">2</f>
        <v>2</v>
      </c>
      <c r="Q42" s="39" t="str">
        <f aca="false">IF(SUM($O42)=0,"",$O42*$P42)</f>
        <v/>
      </c>
    </row>
    <row r="43" customFormat="false" ht="15" hidden="false" customHeight="false" outlineLevel="0" collapsed="false">
      <c r="A43" s="0" t="str">
        <f aca="false">INDEX(Prioritization!$D:$D,MATCH($B43,Prioritization!$A:$A,0))</f>
        <v>INVALID</v>
      </c>
      <c r="B43" s="0" t="s">
        <v>197</v>
      </c>
      <c r="C43" s="0" t="s">
        <v>367</v>
      </c>
      <c r="D43" s="0" t="s">
        <v>30</v>
      </c>
      <c r="E43" s="0" t="str">
        <f aca="false">B43&amp;"|"&amp;C43&amp;"|"&amp;D43</f>
        <v>Kasungu District [JQKLKuVuY61]|35-49|Female</v>
      </c>
      <c r="F43" s="10" t="str">
        <f aca="false">IF(LEFT($B43,4)="_Mil","",INDEX(Cascade!$U:$U,MATCH($E43,Cascade!$E:$E,0)))</f>
        <v/>
      </c>
      <c r="G43" s="10" t="str">
        <f aca="false">IFERROR(1/(1/INDEX(HTS!$AT:$AT,MATCH($E43,HTS!$E:$E,0))),"")</f>
        <v/>
      </c>
      <c r="H43" s="10" t="str">
        <f aca="false">IF(OR($C43="15-24",$C43="25-34"),IFERROR(1/(1/SUM(SUMIFS(AGYW!$S:$S,AGYW!$B:$B,$B43,AGYW!$C:$C,IF($C43="15-24",{"15-19","20-24"},{"25-29"}),AGYW!$D:$D,$D43))),""),"")</f>
        <v/>
      </c>
      <c r="I43" s="10" t="str">
        <f aca="false">IF(OR($C43="15-24",$C43="25-34"),IFERROR(1/(1/SUM(SUMIFS(AGYW!$T:$T,AGYW!$B:$B,$B43,AGYW!$C:$C,IF($C43="15-24",{"15-19","20-24"},{"25-29"}),AGYW!$D:$D,$D43))),""),"")</f>
        <v/>
      </c>
      <c r="J43" s="10"/>
      <c r="K43" s="10"/>
      <c r="L43" s="39" t="str">
        <f aca="false">IF(SUM($K43)=0,"",$K43)</f>
        <v/>
      </c>
      <c r="M43" s="10"/>
      <c r="N43" s="10"/>
      <c r="O43" s="39" t="str">
        <f aca="false">IF(SUM($N43)=0,"",$N43)</f>
        <v/>
      </c>
      <c r="P43" s="10" t="n">
        <f aca="false">2</f>
        <v>2</v>
      </c>
      <c r="Q43" s="39" t="str">
        <f aca="false">IF(SUM($O43)=0,"",$O43*$P43)</f>
        <v/>
      </c>
    </row>
    <row r="44" customFormat="false" ht="15" hidden="false" customHeight="false" outlineLevel="0" collapsed="false">
      <c r="A44" s="0" t="str">
        <f aca="false">INDEX(Prioritization!$D:$D,MATCH($B44,Prioritization!$A:$A,0))</f>
        <v>INVALID</v>
      </c>
      <c r="B44" s="0" t="s">
        <v>197</v>
      </c>
      <c r="C44" s="0" t="s">
        <v>367</v>
      </c>
      <c r="D44" s="0" t="s">
        <v>48</v>
      </c>
      <c r="E44" s="0" t="str">
        <f aca="false">B44&amp;"|"&amp;C44&amp;"|"&amp;D44</f>
        <v>Kasungu District [JQKLKuVuY61]|35-49|Male</v>
      </c>
      <c r="F44" s="10" t="str">
        <f aca="false">IF(LEFT($B44,4)="_Mil","",INDEX(Cascade!$U:$U,MATCH($E44,Cascade!$E:$E,0)))</f>
        <v/>
      </c>
      <c r="G44" s="10" t="str">
        <f aca="false">IFERROR(1/(1/INDEX(HTS!$AT:$AT,MATCH($E44,HTS!$E:$E,0))),"")</f>
        <v/>
      </c>
      <c r="H44" s="10" t="str">
        <f aca="false">IF(OR($C44="15-24",$C44="25-34"),IFERROR(1/(1/SUM(SUMIFS(AGYW!$S:$S,AGYW!$B:$B,$B44,AGYW!$C:$C,IF($C44="15-24",{"15-19","20-24"},{"25-29"}),AGYW!$D:$D,$D44))),""),"")</f>
        <v/>
      </c>
      <c r="I44" s="10" t="str">
        <f aca="false">IF(OR($C44="15-24",$C44="25-34"),IFERROR(1/(1/SUM(SUMIFS(AGYW!$T:$T,AGYW!$B:$B,$B44,AGYW!$C:$C,IF($C44="15-24",{"15-19","20-24"},{"25-29"}),AGYW!$D:$D,$D44))),""),"")</f>
        <v/>
      </c>
      <c r="J44" s="10"/>
      <c r="K44" s="10"/>
      <c r="L44" s="39" t="str">
        <f aca="false">IF(SUM($K44)=0,"",$K44)</f>
        <v/>
      </c>
      <c r="M44" s="10"/>
      <c r="N44" s="10"/>
      <c r="O44" s="39" t="str">
        <f aca="false">IF(SUM($N44)=0,"",$N44)</f>
        <v/>
      </c>
      <c r="P44" s="10" t="n">
        <f aca="false">2</f>
        <v>2</v>
      </c>
      <c r="Q44" s="39" t="str">
        <f aca="false">IF(SUM($O44)=0,"",$O44*$P44)</f>
        <v/>
      </c>
    </row>
    <row r="45" customFormat="false" ht="15" hidden="false" customHeight="false" outlineLevel="0" collapsed="false">
      <c r="A45" s="0" t="str">
        <f aca="false">INDEX(Prioritization!$D:$D,MATCH($B45,Prioritization!$A:$A,0))</f>
        <v>INVALID</v>
      </c>
      <c r="B45" s="0" t="s">
        <v>197</v>
      </c>
      <c r="C45" s="0" t="s">
        <v>368</v>
      </c>
      <c r="D45" s="0" t="s">
        <v>30</v>
      </c>
      <c r="E45" s="0" t="str">
        <f aca="false">B45&amp;"|"&amp;C45&amp;"|"&amp;D45</f>
        <v>Kasungu District [JQKLKuVuY61]|50+|Female</v>
      </c>
      <c r="F45" s="10" t="str">
        <f aca="false">IF(LEFT($B45,4)="_Mil","",INDEX(Cascade!$U:$U,MATCH($E45,Cascade!$E:$E,0)))</f>
        <v/>
      </c>
      <c r="G45" s="10" t="str">
        <f aca="false">IFERROR(1/(1/INDEX(HTS!$AT:$AT,MATCH($E45,HTS!$E:$E,0))),"")</f>
        <v/>
      </c>
      <c r="H45" s="10" t="str">
        <f aca="false">IF(OR($C45="15-24",$C45="25-34"),IFERROR(1/(1/SUM(SUMIFS(AGYW!$S:$S,AGYW!$B:$B,$B45,AGYW!$C:$C,IF($C45="15-24",{"15-19","20-24"},{"25-29"}),AGYW!$D:$D,$D45))),""),"")</f>
        <v/>
      </c>
      <c r="I45" s="10" t="str">
        <f aca="false">IF(OR($C45="15-24",$C45="25-34"),IFERROR(1/(1/SUM(SUMIFS(AGYW!$T:$T,AGYW!$B:$B,$B45,AGYW!$C:$C,IF($C45="15-24",{"15-19","20-24"},{"25-29"}),AGYW!$D:$D,$D45))),""),"")</f>
        <v/>
      </c>
      <c r="J45" s="10"/>
      <c r="K45" s="10"/>
      <c r="L45" s="39" t="str">
        <f aca="false">IF(SUM($K45)=0,"",$K45)</f>
        <v/>
      </c>
      <c r="M45" s="10"/>
      <c r="N45" s="10"/>
      <c r="O45" s="39" t="str">
        <f aca="false">IF(SUM($N45)=0,"",$N45)</f>
        <v/>
      </c>
      <c r="P45" s="10" t="n">
        <f aca="false">2</f>
        <v>2</v>
      </c>
      <c r="Q45" s="39" t="str">
        <f aca="false">IF(SUM($O45)=0,"",$O45*$P45)</f>
        <v/>
      </c>
    </row>
    <row r="46" customFormat="false" ht="15" hidden="false" customHeight="false" outlineLevel="0" collapsed="false">
      <c r="A46" s="0" t="str">
        <f aca="false">INDEX(Prioritization!$D:$D,MATCH($B46,Prioritization!$A:$A,0))</f>
        <v>INVALID</v>
      </c>
      <c r="B46" s="0" t="s">
        <v>197</v>
      </c>
      <c r="C46" s="0" t="s">
        <v>368</v>
      </c>
      <c r="D46" s="0" t="s">
        <v>48</v>
      </c>
      <c r="E46" s="0" t="str">
        <f aca="false">B46&amp;"|"&amp;C46&amp;"|"&amp;D46</f>
        <v>Kasungu District [JQKLKuVuY61]|50+|Male</v>
      </c>
      <c r="F46" s="10" t="str">
        <f aca="false">IF(LEFT($B46,4)="_Mil","",INDEX(Cascade!$U:$U,MATCH($E46,Cascade!$E:$E,0)))</f>
        <v/>
      </c>
      <c r="G46" s="10" t="str">
        <f aca="false">IFERROR(1/(1/INDEX(HTS!$AT:$AT,MATCH($E46,HTS!$E:$E,0))),"")</f>
        <v/>
      </c>
      <c r="H46" s="10" t="str">
        <f aca="false">IF(OR($C46="15-24",$C46="25-34"),IFERROR(1/(1/SUM(SUMIFS(AGYW!$S:$S,AGYW!$B:$B,$B46,AGYW!$C:$C,IF($C46="15-24",{"15-19","20-24"},{"25-29"}),AGYW!$D:$D,$D46))),""),"")</f>
        <v/>
      </c>
      <c r="I46" s="10" t="str">
        <f aca="false">IF(OR($C46="15-24",$C46="25-34"),IFERROR(1/(1/SUM(SUMIFS(AGYW!$T:$T,AGYW!$B:$B,$B46,AGYW!$C:$C,IF($C46="15-24",{"15-19","20-24"},{"25-29"}),AGYW!$D:$D,$D46))),""),"")</f>
        <v/>
      </c>
      <c r="J46" s="10"/>
      <c r="K46" s="10"/>
      <c r="L46" s="39" t="str">
        <f aca="false">IF(SUM($K46)=0,"",$K46)</f>
        <v/>
      </c>
      <c r="M46" s="10"/>
      <c r="N46" s="10"/>
      <c r="O46" s="39" t="str">
        <f aca="false">IF(SUM($N46)=0,"",$N46)</f>
        <v/>
      </c>
      <c r="P46" s="10" t="n">
        <f aca="false">2</f>
        <v>2</v>
      </c>
      <c r="Q46" s="39" t="str">
        <f aca="false">IF(SUM($O46)=0,"",$O46*$P46)</f>
        <v/>
      </c>
    </row>
    <row r="47" customFormat="false" ht="15" hidden="false" customHeight="false" outlineLevel="0" collapsed="false">
      <c r="A47" s="0" t="str">
        <f aca="false">INDEX(Prioritization!$D:$D,MATCH($B47,Prioritization!$A:$A,0))</f>
        <v>1 - Scale-up: Saturation</v>
      </c>
      <c r="B47" s="0" t="s">
        <v>198</v>
      </c>
      <c r="C47" s="0" t="s">
        <v>365</v>
      </c>
      <c r="D47" s="0" t="s">
        <v>30</v>
      </c>
      <c r="E47" s="0" t="str">
        <f aca="false">B47&amp;"|"&amp;C47&amp;"|"&amp;D47</f>
        <v>Lilongwe District [ScR9iFKAasW]|15-24|Female</v>
      </c>
      <c r="F47" s="10" t="str">
        <f aca="false">IF(LEFT($B47,4)="_Mil","",INDEX(Cascade!$U:$U,MATCH($E47,Cascade!$E:$E,0)))</f>
        <v/>
      </c>
      <c r="G47" s="10" t="str">
        <f aca="false">IFERROR(1/(1/INDEX(HTS!$AT:$AT,MATCH($E47,HTS!$E:$E,0))),"")</f>
        <v/>
      </c>
      <c r="H47" s="10" t="str">
        <f aca="false">IF(OR($C47="15-24",$C47="25-34"),IFERROR(1/(1/SUM(SUMIFS(AGYW!$S:$S,AGYW!$B:$B,$B47,AGYW!$C:$C,IF($C47="15-24",{"15-19","20-24"},{"25-29"}),AGYW!$D:$D,$D47))),""),"")</f>
        <v/>
      </c>
      <c r="I47" s="10" t="str">
        <f aca="false">IF(OR($C47="15-24",$C47="25-34"),IFERROR(1/(1/SUM(SUMIFS(AGYW!$T:$T,AGYW!$B:$B,$B47,AGYW!$C:$C,IF($C47="15-24",{"15-19","20-24"},{"25-29"}),AGYW!$D:$D,$D47))),""),"")</f>
        <v/>
      </c>
      <c r="J47" s="10"/>
      <c r="K47" s="10"/>
      <c r="L47" s="39" t="str">
        <f aca="false">IF(SUM($K47)=0,"",$K47)</f>
        <v/>
      </c>
      <c r="M47" s="10"/>
      <c r="N47" s="10"/>
      <c r="O47" s="39" t="str">
        <f aca="false">IF(SUM($N47)=0,"",$N47)</f>
        <v/>
      </c>
      <c r="P47" s="10" t="n">
        <f aca="false">2</f>
        <v>2</v>
      </c>
      <c r="Q47" s="39" t="str">
        <f aca="false">IF(SUM($O47)=0,"",$O47*$P47)</f>
        <v/>
      </c>
    </row>
    <row r="48" customFormat="false" ht="15" hidden="false" customHeight="false" outlineLevel="0" collapsed="false">
      <c r="A48" s="0" t="str">
        <f aca="false">INDEX(Prioritization!$D:$D,MATCH($B48,Prioritization!$A:$A,0))</f>
        <v>1 - Scale-up: Saturation</v>
      </c>
      <c r="B48" s="0" t="s">
        <v>198</v>
      </c>
      <c r="C48" s="0" t="s">
        <v>365</v>
      </c>
      <c r="D48" s="0" t="s">
        <v>48</v>
      </c>
      <c r="E48" s="0" t="str">
        <f aca="false">B48&amp;"|"&amp;C48&amp;"|"&amp;D48</f>
        <v>Lilongwe District [ScR9iFKAasW]|15-24|Male</v>
      </c>
      <c r="F48" s="10" t="str">
        <f aca="false">IF(LEFT($B48,4)="_Mil","",INDEX(Cascade!$U:$U,MATCH($E48,Cascade!$E:$E,0)))</f>
        <v/>
      </c>
      <c r="G48" s="10" t="str">
        <f aca="false">IFERROR(1/(1/INDEX(HTS!$AT:$AT,MATCH($E48,HTS!$E:$E,0))),"")</f>
        <v/>
      </c>
      <c r="H48" s="10" t="str">
        <f aca="false">IF(OR($C48="15-24",$C48="25-34"),IFERROR(1/(1/SUM(SUMIFS(AGYW!$S:$S,AGYW!$B:$B,$B48,AGYW!$C:$C,IF($C48="15-24",{"15-19","20-24"},{"25-29"}),AGYW!$D:$D,$D48))),""),"")</f>
        <v/>
      </c>
      <c r="I48" s="10" t="str">
        <f aca="false">IF(OR($C48="15-24",$C48="25-34"),IFERROR(1/(1/SUM(SUMIFS(AGYW!$T:$T,AGYW!$B:$B,$B48,AGYW!$C:$C,IF($C48="15-24",{"15-19","20-24"},{"25-29"}),AGYW!$D:$D,$D48))),""),"")</f>
        <v/>
      </c>
      <c r="J48" s="10"/>
      <c r="K48" s="10"/>
      <c r="L48" s="39" t="str">
        <f aca="false">IF(SUM($K48)=0,"",$K48)</f>
        <v/>
      </c>
      <c r="M48" s="10"/>
      <c r="N48" s="10"/>
      <c r="O48" s="39" t="str">
        <f aca="false">IF(SUM($N48)=0,"",$N48)</f>
        <v/>
      </c>
      <c r="P48" s="10" t="n">
        <f aca="false">2</f>
        <v>2</v>
      </c>
      <c r="Q48" s="39" t="str">
        <f aca="false">IF(SUM($O48)=0,"",$O48*$P48)</f>
        <v/>
      </c>
    </row>
    <row r="49" customFormat="false" ht="15" hidden="false" customHeight="false" outlineLevel="0" collapsed="false">
      <c r="A49" s="0" t="str">
        <f aca="false">INDEX(Prioritization!$D:$D,MATCH($B49,Prioritization!$A:$A,0))</f>
        <v>1 - Scale-up: Saturation</v>
      </c>
      <c r="B49" s="0" t="s">
        <v>198</v>
      </c>
      <c r="C49" s="0" t="s">
        <v>366</v>
      </c>
      <c r="D49" s="0" t="s">
        <v>30</v>
      </c>
      <c r="E49" s="0" t="str">
        <f aca="false">B49&amp;"|"&amp;C49&amp;"|"&amp;D49</f>
        <v>Lilongwe District [ScR9iFKAasW]|25-34|Female</v>
      </c>
      <c r="F49" s="10" t="str">
        <f aca="false">IF(LEFT($B49,4)="_Mil","",INDEX(Cascade!$U:$U,MATCH($E49,Cascade!$E:$E,0)))</f>
        <v/>
      </c>
      <c r="G49" s="10" t="str">
        <f aca="false">IFERROR(1/(1/INDEX(HTS!$AT:$AT,MATCH($E49,HTS!$E:$E,0))),"")</f>
        <v/>
      </c>
      <c r="H49" s="10" t="str">
        <f aca="false">IF(OR($C49="15-24",$C49="25-34"),IFERROR(1/(1/SUM(SUMIFS(AGYW!$S:$S,AGYW!$B:$B,$B49,AGYW!$C:$C,IF($C49="15-24",{"15-19","20-24"},{"25-29"}),AGYW!$D:$D,$D49))),""),"")</f>
        <v/>
      </c>
      <c r="I49" s="10" t="str">
        <f aca="false">IF(OR($C49="15-24",$C49="25-34"),IFERROR(1/(1/SUM(SUMIFS(AGYW!$T:$T,AGYW!$B:$B,$B49,AGYW!$C:$C,IF($C49="15-24",{"15-19","20-24"},{"25-29"}),AGYW!$D:$D,$D49))),""),"")</f>
        <v/>
      </c>
      <c r="J49" s="10"/>
      <c r="K49" s="10"/>
      <c r="L49" s="39" t="str">
        <f aca="false">IF(SUM($K49)=0,"",$K49)</f>
        <v/>
      </c>
      <c r="M49" s="10"/>
      <c r="N49" s="10"/>
      <c r="O49" s="39" t="str">
        <f aca="false">IF(SUM($N49)=0,"",$N49)</f>
        <v/>
      </c>
      <c r="P49" s="10" t="n">
        <f aca="false">2</f>
        <v>2</v>
      </c>
      <c r="Q49" s="39" t="str">
        <f aca="false">IF(SUM($O49)=0,"",$O49*$P49)</f>
        <v/>
      </c>
    </row>
    <row r="50" customFormat="false" ht="15" hidden="false" customHeight="false" outlineLevel="0" collapsed="false">
      <c r="A50" s="0" t="str">
        <f aca="false">INDEX(Prioritization!$D:$D,MATCH($B50,Prioritization!$A:$A,0))</f>
        <v>1 - Scale-up: Saturation</v>
      </c>
      <c r="B50" s="0" t="s">
        <v>198</v>
      </c>
      <c r="C50" s="0" t="s">
        <v>366</v>
      </c>
      <c r="D50" s="0" t="s">
        <v>48</v>
      </c>
      <c r="E50" s="0" t="str">
        <f aca="false">B50&amp;"|"&amp;C50&amp;"|"&amp;D50</f>
        <v>Lilongwe District [ScR9iFKAasW]|25-34|Male</v>
      </c>
      <c r="F50" s="10" t="str">
        <f aca="false">IF(LEFT($B50,4)="_Mil","",INDEX(Cascade!$U:$U,MATCH($E50,Cascade!$E:$E,0)))</f>
        <v/>
      </c>
      <c r="G50" s="10" t="str">
        <f aca="false">IFERROR(1/(1/INDEX(HTS!$AT:$AT,MATCH($E50,HTS!$E:$E,0))),"")</f>
        <v/>
      </c>
      <c r="H50" s="10" t="str">
        <f aca="false">IF(OR($C50="15-24",$C50="25-34"),IFERROR(1/(1/SUM(SUMIFS(AGYW!$S:$S,AGYW!$B:$B,$B50,AGYW!$C:$C,IF($C50="15-24",{"15-19","20-24"},{"25-29"}),AGYW!$D:$D,$D50))),""),"")</f>
        <v/>
      </c>
      <c r="I50" s="10" t="str">
        <f aca="false">IF(OR($C50="15-24",$C50="25-34"),IFERROR(1/(1/SUM(SUMIFS(AGYW!$T:$T,AGYW!$B:$B,$B50,AGYW!$C:$C,IF($C50="15-24",{"15-19","20-24"},{"25-29"}),AGYW!$D:$D,$D50))),""),"")</f>
        <v/>
      </c>
      <c r="J50" s="10"/>
      <c r="K50" s="10"/>
      <c r="L50" s="39" t="str">
        <f aca="false">IF(SUM($K50)=0,"",$K50)</f>
        <v/>
      </c>
      <c r="M50" s="10"/>
      <c r="N50" s="10"/>
      <c r="O50" s="39" t="str">
        <f aca="false">IF(SUM($N50)=0,"",$N50)</f>
        <v/>
      </c>
      <c r="P50" s="10" t="n">
        <f aca="false">2</f>
        <v>2</v>
      </c>
      <c r="Q50" s="39" t="str">
        <f aca="false">IF(SUM($O50)=0,"",$O50*$P50)</f>
        <v/>
      </c>
    </row>
    <row r="51" customFormat="false" ht="15" hidden="false" customHeight="false" outlineLevel="0" collapsed="false">
      <c r="A51" s="0" t="str">
        <f aca="false">INDEX(Prioritization!$D:$D,MATCH($B51,Prioritization!$A:$A,0))</f>
        <v>1 - Scale-up: Saturation</v>
      </c>
      <c r="B51" s="0" t="s">
        <v>198</v>
      </c>
      <c r="C51" s="0" t="s">
        <v>367</v>
      </c>
      <c r="D51" s="0" t="s">
        <v>30</v>
      </c>
      <c r="E51" s="0" t="str">
        <f aca="false">B51&amp;"|"&amp;C51&amp;"|"&amp;D51</f>
        <v>Lilongwe District [ScR9iFKAasW]|35-49|Female</v>
      </c>
      <c r="F51" s="10" t="str">
        <f aca="false">IF(LEFT($B51,4)="_Mil","",INDEX(Cascade!$U:$U,MATCH($E51,Cascade!$E:$E,0)))</f>
        <v/>
      </c>
      <c r="G51" s="10" t="str">
        <f aca="false">IFERROR(1/(1/INDEX(HTS!$AT:$AT,MATCH($E51,HTS!$E:$E,0))),"")</f>
        <v/>
      </c>
      <c r="H51" s="10" t="str">
        <f aca="false">IF(OR($C51="15-24",$C51="25-34"),IFERROR(1/(1/SUM(SUMIFS(AGYW!$S:$S,AGYW!$B:$B,$B51,AGYW!$C:$C,IF($C51="15-24",{"15-19","20-24"},{"25-29"}),AGYW!$D:$D,$D51))),""),"")</f>
        <v/>
      </c>
      <c r="I51" s="10" t="str">
        <f aca="false">IF(OR($C51="15-24",$C51="25-34"),IFERROR(1/(1/SUM(SUMIFS(AGYW!$T:$T,AGYW!$B:$B,$B51,AGYW!$C:$C,IF($C51="15-24",{"15-19","20-24"},{"25-29"}),AGYW!$D:$D,$D51))),""),"")</f>
        <v/>
      </c>
      <c r="J51" s="10"/>
      <c r="K51" s="10"/>
      <c r="L51" s="39" t="str">
        <f aca="false">IF(SUM($K51)=0,"",$K51)</f>
        <v/>
      </c>
      <c r="M51" s="10"/>
      <c r="N51" s="10"/>
      <c r="O51" s="39" t="str">
        <f aca="false">IF(SUM($N51)=0,"",$N51)</f>
        <v/>
      </c>
      <c r="P51" s="10" t="n">
        <f aca="false">2</f>
        <v>2</v>
      </c>
      <c r="Q51" s="39" t="str">
        <f aca="false">IF(SUM($O51)=0,"",$O51*$P51)</f>
        <v/>
      </c>
    </row>
    <row r="52" customFormat="false" ht="15" hidden="false" customHeight="false" outlineLevel="0" collapsed="false">
      <c r="A52" s="0" t="str">
        <f aca="false">INDEX(Prioritization!$D:$D,MATCH($B52,Prioritization!$A:$A,0))</f>
        <v>1 - Scale-up: Saturation</v>
      </c>
      <c r="B52" s="0" t="s">
        <v>198</v>
      </c>
      <c r="C52" s="0" t="s">
        <v>367</v>
      </c>
      <c r="D52" s="0" t="s">
        <v>48</v>
      </c>
      <c r="E52" s="0" t="str">
        <f aca="false">B52&amp;"|"&amp;C52&amp;"|"&amp;D52</f>
        <v>Lilongwe District [ScR9iFKAasW]|35-49|Male</v>
      </c>
      <c r="F52" s="10" t="str">
        <f aca="false">IF(LEFT($B52,4)="_Mil","",INDEX(Cascade!$U:$U,MATCH($E52,Cascade!$E:$E,0)))</f>
        <v/>
      </c>
      <c r="G52" s="10" t="str">
        <f aca="false">IFERROR(1/(1/INDEX(HTS!$AT:$AT,MATCH($E52,HTS!$E:$E,0))),"")</f>
        <v/>
      </c>
      <c r="H52" s="10" t="str">
        <f aca="false">IF(OR($C52="15-24",$C52="25-34"),IFERROR(1/(1/SUM(SUMIFS(AGYW!$S:$S,AGYW!$B:$B,$B52,AGYW!$C:$C,IF($C52="15-24",{"15-19","20-24"},{"25-29"}),AGYW!$D:$D,$D52))),""),"")</f>
        <v/>
      </c>
      <c r="I52" s="10" t="str">
        <f aca="false">IF(OR($C52="15-24",$C52="25-34"),IFERROR(1/(1/SUM(SUMIFS(AGYW!$T:$T,AGYW!$B:$B,$B52,AGYW!$C:$C,IF($C52="15-24",{"15-19","20-24"},{"25-29"}),AGYW!$D:$D,$D52))),""),"")</f>
        <v/>
      </c>
      <c r="J52" s="10"/>
      <c r="K52" s="10"/>
      <c r="L52" s="39" t="str">
        <f aca="false">IF(SUM($K52)=0,"",$K52)</f>
        <v/>
      </c>
      <c r="M52" s="10"/>
      <c r="N52" s="10"/>
      <c r="O52" s="39" t="str">
        <f aca="false">IF(SUM($N52)=0,"",$N52)</f>
        <v/>
      </c>
      <c r="P52" s="10" t="n">
        <f aca="false">2</f>
        <v>2</v>
      </c>
      <c r="Q52" s="39" t="str">
        <f aca="false">IF(SUM($O52)=0,"",$O52*$P52)</f>
        <v/>
      </c>
    </row>
    <row r="53" customFormat="false" ht="15" hidden="false" customHeight="false" outlineLevel="0" collapsed="false">
      <c r="A53" s="0" t="str">
        <f aca="false">INDEX(Prioritization!$D:$D,MATCH($B53,Prioritization!$A:$A,0))</f>
        <v>1 - Scale-up: Saturation</v>
      </c>
      <c r="B53" s="0" t="s">
        <v>198</v>
      </c>
      <c r="C53" s="0" t="s">
        <v>368</v>
      </c>
      <c r="D53" s="0" t="s">
        <v>30</v>
      </c>
      <c r="E53" s="0" t="str">
        <f aca="false">B53&amp;"|"&amp;C53&amp;"|"&amp;D53</f>
        <v>Lilongwe District [ScR9iFKAasW]|50+|Female</v>
      </c>
      <c r="F53" s="10" t="str">
        <f aca="false">IF(LEFT($B53,4)="_Mil","",INDEX(Cascade!$U:$U,MATCH($E53,Cascade!$E:$E,0)))</f>
        <v/>
      </c>
      <c r="G53" s="10" t="str">
        <f aca="false">IFERROR(1/(1/INDEX(HTS!$AT:$AT,MATCH($E53,HTS!$E:$E,0))),"")</f>
        <v/>
      </c>
      <c r="H53" s="10" t="str">
        <f aca="false">IF(OR($C53="15-24",$C53="25-34"),IFERROR(1/(1/SUM(SUMIFS(AGYW!$S:$S,AGYW!$B:$B,$B53,AGYW!$C:$C,IF($C53="15-24",{"15-19","20-24"},{"25-29"}),AGYW!$D:$D,$D53))),""),"")</f>
        <v/>
      </c>
      <c r="I53" s="10" t="str">
        <f aca="false">IF(OR($C53="15-24",$C53="25-34"),IFERROR(1/(1/SUM(SUMIFS(AGYW!$T:$T,AGYW!$B:$B,$B53,AGYW!$C:$C,IF($C53="15-24",{"15-19","20-24"},{"25-29"}),AGYW!$D:$D,$D53))),""),"")</f>
        <v/>
      </c>
      <c r="J53" s="10" t="n">
        <v>5</v>
      </c>
      <c r="K53" s="10" t="n">
        <v>7</v>
      </c>
      <c r="L53" s="39" t="n">
        <f aca="false">IF(SUM($K53)=0,"",$K53)</f>
        <v>7</v>
      </c>
      <c r="M53" s="10"/>
      <c r="N53" s="10"/>
      <c r="O53" s="39" t="str">
        <f aca="false">IF(SUM($N53)=0,"",$N53)</f>
        <v/>
      </c>
      <c r="P53" s="10" t="n">
        <f aca="false">2</f>
        <v>2</v>
      </c>
      <c r="Q53" s="39" t="str">
        <f aca="false">IF(SUM($O53)=0,"",$O53*$P53)</f>
        <v/>
      </c>
    </row>
    <row r="54" customFormat="false" ht="15" hidden="false" customHeight="false" outlineLevel="0" collapsed="false">
      <c r="A54" s="0" t="str">
        <f aca="false">INDEX(Prioritization!$D:$D,MATCH($B54,Prioritization!$A:$A,0))</f>
        <v>1 - Scale-up: Saturation</v>
      </c>
      <c r="B54" s="0" t="s">
        <v>198</v>
      </c>
      <c r="C54" s="0" t="s">
        <v>368</v>
      </c>
      <c r="D54" s="0" t="s">
        <v>48</v>
      </c>
      <c r="E54" s="0" t="str">
        <f aca="false">B54&amp;"|"&amp;C54&amp;"|"&amp;D54</f>
        <v>Lilongwe District [ScR9iFKAasW]|50+|Male</v>
      </c>
      <c r="F54" s="10" t="str">
        <f aca="false">IF(LEFT($B54,4)="_Mil","",INDEX(Cascade!$U:$U,MATCH($E54,Cascade!$E:$E,0)))</f>
        <v/>
      </c>
      <c r="G54" s="10" t="str">
        <f aca="false">IFERROR(1/(1/INDEX(HTS!$AT:$AT,MATCH($E54,HTS!$E:$E,0))),"")</f>
        <v/>
      </c>
      <c r="H54" s="10" t="str">
        <f aca="false">IF(OR($C54="15-24",$C54="25-34"),IFERROR(1/(1/SUM(SUMIFS(AGYW!$S:$S,AGYW!$B:$B,$B54,AGYW!$C:$C,IF($C54="15-24",{"15-19","20-24"},{"25-29"}),AGYW!$D:$D,$D54))),""),"")</f>
        <v/>
      </c>
      <c r="I54" s="10" t="str">
        <f aca="false">IF(OR($C54="15-24",$C54="25-34"),IFERROR(1/(1/SUM(SUMIFS(AGYW!$T:$T,AGYW!$B:$B,$B54,AGYW!$C:$C,IF($C54="15-24",{"15-19","20-24"},{"25-29"}),AGYW!$D:$D,$D54))),""),"")</f>
        <v/>
      </c>
      <c r="J54" s="10" t="n">
        <v>9</v>
      </c>
      <c r="K54" s="10" t="n">
        <v>68</v>
      </c>
      <c r="L54" s="39" t="n">
        <f aca="false">IF(SUM($K54)=0,"",$K54)</f>
        <v>68</v>
      </c>
      <c r="M54" s="10"/>
      <c r="N54" s="10"/>
      <c r="O54" s="39" t="str">
        <f aca="false">IF(SUM($N54)=0,"",$N54)</f>
        <v/>
      </c>
      <c r="P54" s="10" t="n">
        <f aca="false">2</f>
        <v>2</v>
      </c>
      <c r="Q54" s="39" t="str">
        <f aca="false">IF(SUM($O54)=0,"",$O54*$P54)</f>
        <v/>
      </c>
    </row>
    <row r="55" customFormat="false" ht="15" hidden="false" customHeight="false" outlineLevel="0" collapsed="false">
      <c r="A55" s="0" t="str">
        <f aca="false">INDEX(Prioritization!$D:$D,MATCH($B55,Prioritization!$A:$A,0))</f>
        <v>1 - Scale-up: Saturation</v>
      </c>
      <c r="B55" s="0" t="s">
        <v>199</v>
      </c>
      <c r="C55" s="0" t="s">
        <v>365</v>
      </c>
      <c r="D55" s="0" t="s">
        <v>30</v>
      </c>
      <c r="E55" s="0" t="str">
        <f aca="false">B55&amp;"|"&amp;C55&amp;"|"&amp;D55</f>
        <v>Mchinji District [kxuuIFpOXyO]|15-24|Female</v>
      </c>
      <c r="F55" s="10" t="str">
        <f aca="false">IF(LEFT($B55,4)="_Mil","",INDEX(Cascade!$U:$U,MATCH($E55,Cascade!$E:$E,0)))</f>
        <v/>
      </c>
      <c r="G55" s="10" t="str">
        <f aca="false">IFERROR(1/(1/INDEX(HTS!$AT:$AT,MATCH($E55,HTS!$E:$E,0))),"")</f>
        <v/>
      </c>
      <c r="H55" s="10" t="str">
        <f aca="false">IF(OR($C55="15-24",$C55="25-34"),IFERROR(1/(1/SUM(SUMIFS(AGYW!$S:$S,AGYW!$B:$B,$B55,AGYW!$C:$C,IF($C55="15-24",{"15-19","20-24"},{"25-29"}),AGYW!$D:$D,$D55))),""),"")</f>
        <v/>
      </c>
      <c r="I55" s="10" t="str">
        <f aca="false">IF(OR($C55="15-24",$C55="25-34"),IFERROR(1/(1/SUM(SUMIFS(AGYW!$T:$T,AGYW!$B:$B,$B55,AGYW!$C:$C,IF($C55="15-24",{"15-19","20-24"},{"25-29"}),AGYW!$D:$D,$D55))),""),"")</f>
        <v/>
      </c>
      <c r="J55" s="10"/>
      <c r="K55" s="10"/>
      <c r="L55" s="39" t="str">
        <f aca="false">IF(SUM($K55)=0,"",$K55)</f>
        <v/>
      </c>
      <c r="M55" s="10"/>
      <c r="N55" s="10"/>
      <c r="O55" s="39" t="str">
        <f aca="false">IF(SUM($N55)=0,"",$N55)</f>
        <v/>
      </c>
      <c r="P55" s="10" t="n">
        <f aca="false">2</f>
        <v>2</v>
      </c>
      <c r="Q55" s="39" t="str">
        <f aca="false">IF(SUM($O55)=0,"",$O55*$P55)</f>
        <v/>
      </c>
    </row>
    <row r="56" customFormat="false" ht="15" hidden="false" customHeight="false" outlineLevel="0" collapsed="false">
      <c r="A56" s="0" t="str">
        <f aca="false">INDEX(Prioritization!$D:$D,MATCH($B56,Prioritization!$A:$A,0))</f>
        <v>1 - Scale-up: Saturation</v>
      </c>
      <c r="B56" s="0" t="s">
        <v>199</v>
      </c>
      <c r="C56" s="0" t="s">
        <v>365</v>
      </c>
      <c r="D56" s="0" t="s">
        <v>48</v>
      </c>
      <c r="E56" s="0" t="str">
        <f aca="false">B56&amp;"|"&amp;C56&amp;"|"&amp;D56</f>
        <v>Mchinji District [kxuuIFpOXyO]|15-24|Male</v>
      </c>
      <c r="F56" s="10" t="str">
        <f aca="false">IF(LEFT($B56,4)="_Mil","",INDEX(Cascade!$U:$U,MATCH($E56,Cascade!$E:$E,0)))</f>
        <v/>
      </c>
      <c r="G56" s="10" t="str">
        <f aca="false">IFERROR(1/(1/INDEX(HTS!$AT:$AT,MATCH($E56,HTS!$E:$E,0))),"")</f>
        <v/>
      </c>
      <c r="H56" s="10" t="str">
        <f aca="false">IF(OR($C56="15-24",$C56="25-34"),IFERROR(1/(1/SUM(SUMIFS(AGYW!$S:$S,AGYW!$B:$B,$B56,AGYW!$C:$C,IF($C56="15-24",{"15-19","20-24"},{"25-29"}),AGYW!$D:$D,$D56))),""),"")</f>
        <v/>
      </c>
      <c r="I56" s="10" t="str">
        <f aca="false">IF(OR($C56="15-24",$C56="25-34"),IFERROR(1/(1/SUM(SUMIFS(AGYW!$T:$T,AGYW!$B:$B,$B56,AGYW!$C:$C,IF($C56="15-24",{"15-19","20-24"},{"25-29"}),AGYW!$D:$D,$D56))),""),"")</f>
        <v/>
      </c>
      <c r="J56" s="10"/>
      <c r="K56" s="10"/>
      <c r="L56" s="39" t="str">
        <f aca="false">IF(SUM($K56)=0,"",$K56)</f>
        <v/>
      </c>
      <c r="M56" s="10"/>
      <c r="N56" s="10"/>
      <c r="O56" s="39" t="str">
        <f aca="false">IF(SUM($N56)=0,"",$N56)</f>
        <v/>
      </c>
      <c r="P56" s="10" t="n">
        <f aca="false">2</f>
        <v>2</v>
      </c>
      <c r="Q56" s="39" t="str">
        <f aca="false">IF(SUM($O56)=0,"",$O56*$P56)</f>
        <v/>
      </c>
    </row>
    <row r="57" customFormat="false" ht="15" hidden="false" customHeight="false" outlineLevel="0" collapsed="false">
      <c r="A57" s="0" t="str">
        <f aca="false">INDEX(Prioritization!$D:$D,MATCH($B57,Prioritization!$A:$A,0))</f>
        <v>1 - Scale-up: Saturation</v>
      </c>
      <c r="B57" s="0" t="s">
        <v>199</v>
      </c>
      <c r="C57" s="0" t="s">
        <v>366</v>
      </c>
      <c r="D57" s="0" t="s">
        <v>30</v>
      </c>
      <c r="E57" s="0" t="str">
        <f aca="false">B57&amp;"|"&amp;C57&amp;"|"&amp;D57</f>
        <v>Mchinji District [kxuuIFpOXyO]|25-34|Female</v>
      </c>
      <c r="F57" s="10" t="str">
        <f aca="false">IF(LEFT($B57,4)="_Mil","",INDEX(Cascade!$U:$U,MATCH($E57,Cascade!$E:$E,0)))</f>
        <v/>
      </c>
      <c r="G57" s="10" t="str">
        <f aca="false">IFERROR(1/(1/INDEX(HTS!$AT:$AT,MATCH($E57,HTS!$E:$E,0))),"")</f>
        <v/>
      </c>
      <c r="H57" s="10" t="str">
        <f aca="false">IF(OR($C57="15-24",$C57="25-34"),IFERROR(1/(1/SUM(SUMIFS(AGYW!$S:$S,AGYW!$B:$B,$B57,AGYW!$C:$C,IF($C57="15-24",{"15-19","20-24"},{"25-29"}),AGYW!$D:$D,$D57))),""),"")</f>
        <v/>
      </c>
      <c r="I57" s="10" t="str">
        <f aca="false">IF(OR($C57="15-24",$C57="25-34"),IFERROR(1/(1/SUM(SUMIFS(AGYW!$T:$T,AGYW!$B:$B,$B57,AGYW!$C:$C,IF($C57="15-24",{"15-19","20-24"},{"25-29"}),AGYW!$D:$D,$D57))),""),"")</f>
        <v/>
      </c>
      <c r="J57" s="10"/>
      <c r="K57" s="10"/>
      <c r="L57" s="39" t="str">
        <f aca="false">IF(SUM($K57)=0,"",$K57)</f>
        <v/>
      </c>
      <c r="M57" s="10"/>
      <c r="N57" s="10"/>
      <c r="O57" s="39" t="str">
        <f aca="false">IF(SUM($N57)=0,"",$N57)</f>
        <v/>
      </c>
      <c r="P57" s="10" t="n">
        <f aca="false">2</f>
        <v>2</v>
      </c>
      <c r="Q57" s="39" t="str">
        <f aca="false">IF(SUM($O57)=0,"",$O57*$P57)</f>
        <v/>
      </c>
    </row>
    <row r="58" customFormat="false" ht="15" hidden="false" customHeight="false" outlineLevel="0" collapsed="false">
      <c r="A58" s="0" t="str">
        <f aca="false">INDEX(Prioritization!$D:$D,MATCH($B58,Prioritization!$A:$A,0))</f>
        <v>1 - Scale-up: Saturation</v>
      </c>
      <c r="B58" s="0" t="s">
        <v>199</v>
      </c>
      <c r="C58" s="0" t="s">
        <v>366</v>
      </c>
      <c r="D58" s="0" t="s">
        <v>48</v>
      </c>
      <c r="E58" s="0" t="str">
        <f aca="false">B58&amp;"|"&amp;C58&amp;"|"&amp;D58</f>
        <v>Mchinji District [kxuuIFpOXyO]|25-34|Male</v>
      </c>
      <c r="F58" s="10" t="str">
        <f aca="false">IF(LEFT($B58,4)="_Mil","",INDEX(Cascade!$U:$U,MATCH($E58,Cascade!$E:$E,0)))</f>
        <v/>
      </c>
      <c r="G58" s="10" t="str">
        <f aca="false">IFERROR(1/(1/INDEX(HTS!$AT:$AT,MATCH($E58,HTS!$E:$E,0))),"")</f>
        <v/>
      </c>
      <c r="H58" s="10" t="str">
        <f aca="false">IF(OR($C58="15-24",$C58="25-34"),IFERROR(1/(1/SUM(SUMIFS(AGYW!$S:$S,AGYW!$B:$B,$B58,AGYW!$C:$C,IF($C58="15-24",{"15-19","20-24"},{"25-29"}),AGYW!$D:$D,$D58))),""),"")</f>
        <v/>
      </c>
      <c r="I58" s="10" t="str">
        <f aca="false">IF(OR($C58="15-24",$C58="25-34"),IFERROR(1/(1/SUM(SUMIFS(AGYW!$T:$T,AGYW!$B:$B,$B58,AGYW!$C:$C,IF($C58="15-24",{"15-19","20-24"},{"25-29"}),AGYW!$D:$D,$D58))),""),"")</f>
        <v/>
      </c>
      <c r="J58" s="10"/>
      <c r="K58" s="10"/>
      <c r="L58" s="39" t="str">
        <f aca="false">IF(SUM($K58)=0,"",$K58)</f>
        <v/>
      </c>
      <c r="M58" s="10"/>
      <c r="N58" s="10"/>
      <c r="O58" s="39" t="str">
        <f aca="false">IF(SUM($N58)=0,"",$N58)</f>
        <v/>
      </c>
      <c r="P58" s="10" t="n">
        <f aca="false">2</f>
        <v>2</v>
      </c>
      <c r="Q58" s="39" t="str">
        <f aca="false">IF(SUM($O58)=0,"",$O58*$P58)</f>
        <v/>
      </c>
    </row>
    <row r="59" customFormat="false" ht="15" hidden="false" customHeight="false" outlineLevel="0" collapsed="false">
      <c r="A59" s="0" t="str">
        <f aca="false">INDEX(Prioritization!$D:$D,MATCH($B59,Prioritization!$A:$A,0))</f>
        <v>1 - Scale-up: Saturation</v>
      </c>
      <c r="B59" s="0" t="s">
        <v>199</v>
      </c>
      <c r="C59" s="0" t="s">
        <v>367</v>
      </c>
      <c r="D59" s="0" t="s">
        <v>30</v>
      </c>
      <c r="E59" s="0" t="str">
        <f aca="false">B59&amp;"|"&amp;C59&amp;"|"&amp;D59</f>
        <v>Mchinji District [kxuuIFpOXyO]|35-49|Female</v>
      </c>
      <c r="F59" s="10" t="str">
        <f aca="false">IF(LEFT($B59,4)="_Mil","",INDEX(Cascade!$U:$U,MATCH($E59,Cascade!$E:$E,0)))</f>
        <v/>
      </c>
      <c r="G59" s="10" t="str">
        <f aca="false">IFERROR(1/(1/INDEX(HTS!$AT:$AT,MATCH($E59,HTS!$E:$E,0))),"")</f>
        <v/>
      </c>
      <c r="H59" s="10" t="str">
        <f aca="false">IF(OR($C59="15-24",$C59="25-34"),IFERROR(1/(1/SUM(SUMIFS(AGYW!$S:$S,AGYW!$B:$B,$B59,AGYW!$C:$C,IF($C59="15-24",{"15-19","20-24"},{"25-29"}),AGYW!$D:$D,$D59))),""),"")</f>
        <v/>
      </c>
      <c r="I59" s="10" t="str">
        <f aca="false">IF(OR($C59="15-24",$C59="25-34"),IFERROR(1/(1/SUM(SUMIFS(AGYW!$T:$T,AGYW!$B:$B,$B59,AGYW!$C:$C,IF($C59="15-24",{"15-19","20-24"},{"25-29"}),AGYW!$D:$D,$D59))),""),"")</f>
        <v/>
      </c>
      <c r="J59" s="10"/>
      <c r="K59" s="10"/>
      <c r="L59" s="39" t="str">
        <f aca="false">IF(SUM($K59)=0,"",$K59)</f>
        <v/>
      </c>
      <c r="M59" s="10"/>
      <c r="N59" s="10"/>
      <c r="O59" s="39" t="str">
        <f aca="false">IF(SUM($N59)=0,"",$N59)</f>
        <v/>
      </c>
      <c r="P59" s="10" t="n">
        <f aca="false">2</f>
        <v>2</v>
      </c>
      <c r="Q59" s="39" t="str">
        <f aca="false">IF(SUM($O59)=0,"",$O59*$P59)</f>
        <v/>
      </c>
    </row>
    <row r="60" customFormat="false" ht="15" hidden="false" customHeight="false" outlineLevel="0" collapsed="false">
      <c r="A60" s="0" t="str">
        <f aca="false">INDEX(Prioritization!$D:$D,MATCH($B60,Prioritization!$A:$A,0))</f>
        <v>1 - Scale-up: Saturation</v>
      </c>
      <c r="B60" s="0" t="s">
        <v>199</v>
      </c>
      <c r="C60" s="0" t="s">
        <v>367</v>
      </c>
      <c r="D60" s="0" t="s">
        <v>48</v>
      </c>
      <c r="E60" s="0" t="str">
        <f aca="false">B60&amp;"|"&amp;C60&amp;"|"&amp;D60</f>
        <v>Mchinji District [kxuuIFpOXyO]|35-49|Male</v>
      </c>
      <c r="F60" s="10" t="str">
        <f aca="false">IF(LEFT($B60,4)="_Mil","",INDEX(Cascade!$U:$U,MATCH($E60,Cascade!$E:$E,0)))</f>
        <v/>
      </c>
      <c r="G60" s="10" t="str">
        <f aca="false">IFERROR(1/(1/INDEX(HTS!$AT:$AT,MATCH($E60,HTS!$E:$E,0))),"")</f>
        <v/>
      </c>
      <c r="H60" s="10" t="str">
        <f aca="false">IF(OR($C60="15-24",$C60="25-34"),IFERROR(1/(1/SUM(SUMIFS(AGYW!$S:$S,AGYW!$B:$B,$B60,AGYW!$C:$C,IF($C60="15-24",{"15-19","20-24"},{"25-29"}),AGYW!$D:$D,$D60))),""),"")</f>
        <v/>
      </c>
      <c r="I60" s="10" t="str">
        <f aca="false">IF(OR($C60="15-24",$C60="25-34"),IFERROR(1/(1/SUM(SUMIFS(AGYW!$T:$T,AGYW!$B:$B,$B60,AGYW!$C:$C,IF($C60="15-24",{"15-19","20-24"},{"25-29"}),AGYW!$D:$D,$D60))),""),"")</f>
        <v/>
      </c>
      <c r="J60" s="10"/>
      <c r="K60" s="10"/>
      <c r="L60" s="39" t="str">
        <f aca="false">IF(SUM($K60)=0,"",$K60)</f>
        <v/>
      </c>
      <c r="M60" s="10"/>
      <c r="N60" s="10"/>
      <c r="O60" s="39" t="str">
        <f aca="false">IF(SUM($N60)=0,"",$N60)</f>
        <v/>
      </c>
      <c r="P60" s="10" t="n">
        <f aca="false">2</f>
        <v>2</v>
      </c>
      <c r="Q60" s="39" t="str">
        <f aca="false">IF(SUM($O60)=0,"",$O60*$P60)</f>
        <v/>
      </c>
    </row>
    <row r="61" customFormat="false" ht="15" hidden="false" customHeight="false" outlineLevel="0" collapsed="false">
      <c r="A61" s="0" t="str">
        <f aca="false">INDEX(Prioritization!$D:$D,MATCH($B61,Prioritization!$A:$A,0))</f>
        <v>1 - Scale-up: Saturation</v>
      </c>
      <c r="B61" s="0" t="s">
        <v>199</v>
      </c>
      <c r="C61" s="0" t="s">
        <v>368</v>
      </c>
      <c r="D61" s="0" t="s">
        <v>30</v>
      </c>
      <c r="E61" s="0" t="str">
        <f aca="false">B61&amp;"|"&amp;C61&amp;"|"&amp;D61</f>
        <v>Mchinji District [kxuuIFpOXyO]|50+|Female</v>
      </c>
      <c r="F61" s="10" t="str">
        <f aca="false">IF(LEFT($B61,4)="_Mil","",INDEX(Cascade!$U:$U,MATCH($E61,Cascade!$E:$E,0)))</f>
        <v/>
      </c>
      <c r="G61" s="10" t="str">
        <f aca="false">IFERROR(1/(1/INDEX(HTS!$AT:$AT,MATCH($E61,HTS!$E:$E,0))),"")</f>
        <v/>
      </c>
      <c r="H61" s="10" t="str">
        <f aca="false">IF(OR($C61="15-24",$C61="25-34"),IFERROR(1/(1/SUM(SUMIFS(AGYW!$S:$S,AGYW!$B:$B,$B61,AGYW!$C:$C,IF($C61="15-24",{"15-19","20-24"},{"25-29"}),AGYW!$D:$D,$D61))),""),"")</f>
        <v/>
      </c>
      <c r="I61" s="10" t="str">
        <f aca="false">IF(OR($C61="15-24",$C61="25-34"),IFERROR(1/(1/SUM(SUMIFS(AGYW!$T:$T,AGYW!$B:$B,$B61,AGYW!$C:$C,IF($C61="15-24",{"15-19","20-24"},{"25-29"}),AGYW!$D:$D,$D61))),""),"")</f>
        <v/>
      </c>
      <c r="J61" s="10"/>
      <c r="K61" s="10"/>
      <c r="L61" s="39" t="str">
        <f aca="false">IF(SUM($K61)=0,"",$K61)</f>
        <v/>
      </c>
      <c r="M61" s="10"/>
      <c r="N61" s="10"/>
      <c r="O61" s="39" t="str">
        <f aca="false">IF(SUM($N61)=0,"",$N61)</f>
        <v/>
      </c>
      <c r="P61" s="10" t="n">
        <f aca="false">2</f>
        <v>2</v>
      </c>
      <c r="Q61" s="39" t="str">
        <f aca="false">IF(SUM($O61)=0,"",$O61*$P61)</f>
        <v/>
      </c>
    </row>
    <row r="62" customFormat="false" ht="15" hidden="false" customHeight="false" outlineLevel="0" collapsed="false">
      <c r="A62" s="0" t="str">
        <f aca="false">INDEX(Prioritization!$D:$D,MATCH($B62,Prioritization!$A:$A,0))</f>
        <v>1 - Scale-up: Saturation</v>
      </c>
      <c r="B62" s="0" t="s">
        <v>199</v>
      </c>
      <c r="C62" s="0" t="s">
        <v>368</v>
      </c>
      <c r="D62" s="0" t="s">
        <v>48</v>
      </c>
      <c r="E62" s="0" t="str">
        <f aca="false">B62&amp;"|"&amp;C62&amp;"|"&amp;D62</f>
        <v>Mchinji District [kxuuIFpOXyO]|50+|Male</v>
      </c>
      <c r="F62" s="10" t="str">
        <f aca="false">IF(LEFT($B62,4)="_Mil","",INDEX(Cascade!$U:$U,MATCH($E62,Cascade!$E:$E,0)))</f>
        <v/>
      </c>
      <c r="G62" s="10" t="str">
        <f aca="false">IFERROR(1/(1/INDEX(HTS!$AT:$AT,MATCH($E62,HTS!$E:$E,0))),"")</f>
        <v/>
      </c>
      <c r="H62" s="10" t="str">
        <f aca="false">IF(OR($C62="15-24",$C62="25-34"),IFERROR(1/(1/SUM(SUMIFS(AGYW!$S:$S,AGYW!$B:$B,$B62,AGYW!$C:$C,IF($C62="15-24",{"15-19","20-24"},{"25-29"}),AGYW!$D:$D,$D62))),""),"")</f>
        <v/>
      </c>
      <c r="I62" s="10" t="str">
        <f aca="false">IF(OR($C62="15-24",$C62="25-34"),IFERROR(1/(1/SUM(SUMIFS(AGYW!$T:$T,AGYW!$B:$B,$B62,AGYW!$C:$C,IF($C62="15-24",{"15-19","20-24"},{"25-29"}),AGYW!$D:$D,$D62))),""),"")</f>
        <v/>
      </c>
      <c r="J62" s="10"/>
      <c r="K62" s="10"/>
      <c r="L62" s="39" t="str">
        <f aca="false">IF(SUM($K62)=0,"",$K62)</f>
        <v/>
      </c>
      <c r="M62" s="10"/>
      <c r="N62" s="10"/>
      <c r="O62" s="39" t="str">
        <f aca="false">IF(SUM($N62)=0,"",$N62)</f>
        <v/>
      </c>
      <c r="P62" s="10" t="n">
        <f aca="false">2</f>
        <v>2</v>
      </c>
      <c r="Q62" s="39" t="str">
        <f aca="false">IF(SUM($O62)=0,"",$O62*$P62)</f>
        <v/>
      </c>
    </row>
    <row r="63" customFormat="false" ht="15" hidden="false" customHeight="false" outlineLevel="0" collapsed="false">
      <c r="A63" s="0" t="str">
        <f aca="false">INDEX(Prioritization!$D:$D,MATCH($B63,Prioritization!$A:$A,0))</f>
        <v>1 - Scale-up: Saturation</v>
      </c>
      <c r="B63" s="0" t="s">
        <v>200</v>
      </c>
      <c r="C63" s="0" t="s">
        <v>365</v>
      </c>
      <c r="D63" s="0" t="s">
        <v>30</v>
      </c>
      <c r="E63" s="0" t="str">
        <f aca="false">B63&amp;"|"&amp;C63&amp;"|"&amp;D63</f>
        <v>Nkhotakota District [YCKiBAp8QAg]|15-24|Female</v>
      </c>
      <c r="F63" s="10" t="str">
        <f aca="false">IF(LEFT($B63,4)="_Mil","",INDEX(Cascade!$U:$U,MATCH($E63,Cascade!$E:$E,0)))</f>
        <v/>
      </c>
      <c r="G63" s="10" t="str">
        <f aca="false">IFERROR(1/(1/INDEX(HTS!$AT:$AT,MATCH($E63,HTS!$E:$E,0))),"")</f>
        <v/>
      </c>
      <c r="H63" s="10" t="str">
        <f aca="false">IF(OR($C63="15-24",$C63="25-34"),IFERROR(1/(1/SUM(SUMIFS(AGYW!$S:$S,AGYW!$B:$B,$B63,AGYW!$C:$C,IF($C63="15-24",{"15-19","20-24"},{"25-29"}),AGYW!$D:$D,$D63))),""),"")</f>
        <v/>
      </c>
      <c r="I63" s="10" t="str">
        <f aca="false">IF(OR($C63="15-24",$C63="25-34"),IFERROR(1/(1/SUM(SUMIFS(AGYW!$T:$T,AGYW!$B:$B,$B63,AGYW!$C:$C,IF($C63="15-24",{"15-19","20-24"},{"25-29"}),AGYW!$D:$D,$D63))),""),"")</f>
        <v/>
      </c>
      <c r="J63" s="10"/>
      <c r="K63" s="10"/>
      <c r="L63" s="39" t="str">
        <f aca="false">IF(SUM($K63)=0,"",$K63)</f>
        <v/>
      </c>
      <c r="M63" s="10"/>
      <c r="N63" s="10"/>
      <c r="O63" s="39" t="str">
        <f aca="false">IF(SUM($N63)=0,"",$N63)</f>
        <v/>
      </c>
      <c r="P63" s="10" t="n">
        <f aca="false">2</f>
        <v>2</v>
      </c>
      <c r="Q63" s="39" t="str">
        <f aca="false">IF(SUM($O63)=0,"",$O63*$P63)</f>
        <v/>
      </c>
    </row>
    <row r="64" customFormat="false" ht="15" hidden="false" customHeight="false" outlineLevel="0" collapsed="false">
      <c r="A64" s="0" t="str">
        <f aca="false">INDEX(Prioritization!$D:$D,MATCH($B64,Prioritization!$A:$A,0))</f>
        <v>1 - Scale-up: Saturation</v>
      </c>
      <c r="B64" s="0" t="s">
        <v>200</v>
      </c>
      <c r="C64" s="0" t="s">
        <v>365</v>
      </c>
      <c r="D64" s="0" t="s">
        <v>48</v>
      </c>
      <c r="E64" s="0" t="str">
        <f aca="false">B64&amp;"|"&amp;C64&amp;"|"&amp;D64</f>
        <v>Nkhotakota District [YCKiBAp8QAg]|15-24|Male</v>
      </c>
      <c r="F64" s="10" t="str">
        <f aca="false">IF(LEFT($B64,4)="_Mil","",INDEX(Cascade!$U:$U,MATCH($E64,Cascade!$E:$E,0)))</f>
        <v/>
      </c>
      <c r="G64" s="10" t="str">
        <f aca="false">IFERROR(1/(1/INDEX(HTS!$AT:$AT,MATCH($E64,HTS!$E:$E,0))),"")</f>
        <v/>
      </c>
      <c r="H64" s="10" t="str">
        <f aca="false">IF(OR($C64="15-24",$C64="25-34"),IFERROR(1/(1/SUM(SUMIFS(AGYW!$S:$S,AGYW!$B:$B,$B64,AGYW!$C:$C,IF($C64="15-24",{"15-19","20-24"},{"25-29"}),AGYW!$D:$D,$D64))),""),"")</f>
        <v/>
      </c>
      <c r="I64" s="10" t="str">
        <f aca="false">IF(OR($C64="15-24",$C64="25-34"),IFERROR(1/(1/SUM(SUMIFS(AGYW!$T:$T,AGYW!$B:$B,$B64,AGYW!$C:$C,IF($C64="15-24",{"15-19","20-24"},{"25-29"}),AGYW!$D:$D,$D64))),""),"")</f>
        <v/>
      </c>
      <c r="J64" s="10"/>
      <c r="K64" s="10"/>
      <c r="L64" s="39" t="str">
        <f aca="false">IF(SUM($K64)=0,"",$K64)</f>
        <v/>
      </c>
      <c r="M64" s="10"/>
      <c r="N64" s="10"/>
      <c r="O64" s="39" t="str">
        <f aca="false">IF(SUM($N64)=0,"",$N64)</f>
        <v/>
      </c>
      <c r="P64" s="10" t="n">
        <f aca="false">2</f>
        <v>2</v>
      </c>
      <c r="Q64" s="39" t="str">
        <f aca="false">IF(SUM($O64)=0,"",$O64*$P64)</f>
        <v/>
      </c>
    </row>
    <row r="65" customFormat="false" ht="15" hidden="false" customHeight="false" outlineLevel="0" collapsed="false">
      <c r="A65" s="0" t="str">
        <f aca="false">INDEX(Prioritization!$D:$D,MATCH($B65,Prioritization!$A:$A,0))</f>
        <v>1 - Scale-up: Saturation</v>
      </c>
      <c r="B65" s="0" t="s">
        <v>200</v>
      </c>
      <c r="C65" s="0" t="s">
        <v>366</v>
      </c>
      <c r="D65" s="0" t="s">
        <v>30</v>
      </c>
      <c r="E65" s="0" t="str">
        <f aca="false">B65&amp;"|"&amp;C65&amp;"|"&amp;D65</f>
        <v>Nkhotakota District [YCKiBAp8QAg]|25-34|Female</v>
      </c>
      <c r="F65" s="10" t="str">
        <f aca="false">IF(LEFT($B65,4)="_Mil","",INDEX(Cascade!$U:$U,MATCH($E65,Cascade!$E:$E,0)))</f>
        <v/>
      </c>
      <c r="G65" s="10" t="str">
        <f aca="false">IFERROR(1/(1/INDEX(HTS!$AT:$AT,MATCH($E65,HTS!$E:$E,0))),"")</f>
        <v/>
      </c>
      <c r="H65" s="10" t="str">
        <f aca="false">IF(OR($C65="15-24",$C65="25-34"),IFERROR(1/(1/SUM(SUMIFS(AGYW!$S:$S,AGYW!$B:$B,$B65,AGYW!$C:$C,IF($C65="15-24",{"15-19","20-24"},{"25-29"}),AGYW!$D:$D,$D65))),""),"")</f>
        <v/>
      </c>
      <c r="I65" s="10" t="str">
        <f aca="false">IF(OR($C65="15-24",$C65="25-34"),IFERROR(1/(1/SUM(SUMIFS(AGYW!$T:$T,AGYW!$B:$B,$B65,AGYW!$C:$C,IF($C65="15-24",{"15-19","20-24"},{"25-29"}),AGYW!$D:$D,$D65))),""),"")</f>
        <v/>
      </c>
      <c r="J65" s="10"/>
      <c r="K65" s="10"/>
      <c r="L65" s="39" t="str">
        <f aca="false">IF(SUM($K65)=0,"",$K65)</f>
        <v/>
      </c>
      <c r="M65" s="10"/>
      <c r="N65" s="10"/>
      <c r="O65" s="39" t="str">
        <f aca="false">IF(SUM($N65)=0,"",$N65)</f>
        <v/>
      </c>
      <c r="P65" s="10" t="n">
        <f aca="false">2</f>
        <v>2</v>
      </c>
      <c r="Q65" s="39" t="str">
        <f aca="false">IF(SUM($O65)=0,"",$O65*$P65)</f>
        <v/>
      </c>
    </row>
    <row r="66" customFormat="false" ht="15" hidden="false" customHeight="false" outlineLevel="0" collapsed="false">
      <c r="A66" s="0" t="str">
        <f aca="false">INDEX(Prioritization!$D:$D,MATCH($B66,Prioritization!$A:$A,0))</f>
        <v>1 - Scale-up: Saturation</v>
      </c>
      <c r="B66" s="0" t="s">
        <v>200</v>
      </c>
      <c r="C66" s="0" t="s">
        <v>366</v>
      </c>
      <c r="D66" s="0" t="s">
        <v>48</v>
      </c>
      <c r="E66" s="0" t="str">
        <f aca="false">B66&amp;"|"&amp;C66&amp;"|"&amp;D66</f>
        <v>Nkhotakota District [YCKiBAp8QAg]|25-34|Male</v>
      </c>
      <c r="F66" s="10" t="str">
        <f aca="false">IF(LEFT($B66,4)="_Mil","",INDEX(Cascade!$U:$U,MATCH($E66,Cascade!$E:$E,0)))</f>
        <v/>
      </c>
      <c r="G66" s="10" t="str">
        <f aca="false">IFERROR(1/(1/INDEX(HTS!$AT:$AT,MATCH($E66,HTS!$E:$E,0))),"")</f>
        <v/>
      </c>
      <c r="H66" s="10" t="str">
        <f aca="false">IF(OR($C66="15-24",$C66="25-34"),IFERROR(1/(1/SUM(SUMIFS(AGYW!$S:$S,AGYW!$B:$B,$B66,AGYW!$C:$C,IF($C66="15-24",{"15-19","20-24"},{"25-29"}),AGYW!$D:$D,$D66))),""),"")</f>
        <v/>
      </c>
      <c r="I66" s="10" t="str">
        <f aca="false">IF(OR($C66="15-24",$C66="25-34"),IFERROR(1/(1/SUM(SUMIFS(AGYW!$T:$T,AGYW!$B:$B,$B66,AGYW!$C:$C,IF($C66="15-24",{"15-19","20-24"},{"25-29"}),AGYW!$D:$D,$D66))),""),"")</f>
        <v/>
      </c>
      <c r="J66" s="10"/>
      <c r="K66" s="10"/>
      <c r="L66" s="39" t="str">
        <f aca="false">IF(SUM($K66)=0,"",$K66)</f>
        <v/>
      </c>
      <c r="M66" s="10"/>
      <c r="N66" s="10"/>
      <c r="O66" s="39" t="str">
        <f aca="false">IF(SUM($N66)=0,"",$N66)</f>
        <v/>
      </c>
      <c r="P66" s="10" t="n">
        <f aca="false">2</f>
        <v>2</v>
      </c>
      <c r="Q66" s="39" t="str">
        <f aca="false">IF(SUM($O66)=0,"",$O66*$P66)</f>
        <v/>
      </c>
    </row>
    <row r="67" customFormat="false" ht="15" hidden="false" customHeight="false" outlineLevel="0" collapsed="false">
      <c r="A67" s="0" t="str">
        <f aca="false">INDEX(Prioritization!$D:$D,MATCH($B67,Prioritization!$A:$A,0))</f>
        <v>1 - Scale-up: Saturation</v>
      </c>
      <c r="B67" s="0" t="s">
        <v>200</v>
      </c>
      <c r="C67" s="0" t="s">
        <v>367</v>
      </c>
      <c r="D67" s="0" t="s">
        <v>30</v>
      </c>
      <c r="E67" s="0" t="str">
        <f aca="false">B67&amp;"|"&amp;C67&amp;"|"&amp;D67</f>
        <v>Nkhotakota District [YCKiBAp8QAg]|35-49|Female</v>
      </c>
      <c r="F67" s="10" t="str">
        <f aca="false">IF(LEFT($B67,4)="_Mil","",INDEX(Cascade!$U:$U,MATCH($E67,Cascade!$E:$E,0)))</f>
        <v/>
      </c>
      <c r="G67" s="10" t="str">
        <f aca="false">IFERROR(1/(1/INDEX(HTS!$AT:$AT,MATCH($E67,HTS!$E:$E,0))),"")</f>
        <v/>
      </c>
      <c r="H67" s="10" t="str">
        <f aca="false">IF(OR($C67="15-24",$C67="25-34"),IFERROR(1/(1/SUM(SUMIFS(AGYW!$S:$S,AGYW!$B:$B,$B67,AGYW!$C:$C,IF($C67="15-24",{"15-19","20-24"},{"25-29"}),AGYW!$D:$D,$D67))),""),"")</f>
        <v/>
      </c>
      <c r="I67" s="10" t="str">
        <f aca="false">IF(OR($C67="15-24",$C67="25-34"),IFERROR(1/(1/SUM(SUMIFS(AGYW!$T:$T,AGYW!$B:$B,$B67,AGYW!$C:$C,IF($C67="15-24",{"15-19","20-24"},{"25-29"}),AGYW!$D:$D,$D67))),""),"")</f>
        <v/>
      </c>
      <c r="J67" s="10"/>
      <c r="K67" s="10"/>
      <c r="L67" s="39" t="str">
        <f aca="false">IF(SUM($K67)=0,"",$K67)</f>
        <v/>
      </c>
      <c r="M67" s="10"/>
      <c r="N67" s="10"/>
      <c r="O67" s="39" t="str">
        <f aca="false">IF(SUM($N67)=0,"",$N67)</f>
        <v/>
      </c>
      <c r="P67" s="10" t="n">
        <f aca="false">2</f>
        <v>2</v>
      </c>
      <c r="Q67" s="39" t="str">
        <f aca="false">IF(SUM($O67)=0,"",$O67*$P67)</f>
        <v/>
      </c>
    </row>
    <row r="68" customFormat="false" ht="15" hidden="false" customHeight="false" outlineLevel="0" collapsed="false">
      <c r="A68" s="0" t="str">
        <f aca="false">INDEX(Prioritization!$D:$D,MATCH($B68,Prioritization!$A:$A,0))</f>
        <v>1 - Scale-up: Saturation</v>
      </c>
      <c r="B68" s="0" t="s">
        <v>200</v>
      </c>
      <c r="C68" s="0" t="s">
        <v>367</v>
      </c>
      <c r="D68" s="0" t="s">
        <v>48</v>
      </c>
      <c r="E68" s="0" t="str">
        <f aca="false">B68&amp;"|"&amp;C68&amp;"|"&amp;D68</f>
        <v>Nkhotakota District [YCKiBAp8QAg]|35-49|Male</v>
      </c>
      <c r="F68" s="10" t="str">
        <f aca="false">IF(LEFT($B68,4)="_Mil","",INDEX(Cascade!$U:$U,MATCH($E68,Cascade!$E:$E,0)))</f>
        <v/>
      </c>
      <c r="G68" s="10" t="str">
        <f aca="false">IFERROR(1/(1/INDEX(HTS!$AT:$AT,MATCH($E68,HTS!$E:$E,0))),"")</f>
        <v/>
      </c>
      <c r="H68" s="10" t="str">
        <f aca="false">IF(OR($C68="15-24",$C68="25-34"),IFERROR(1/(1/SUM(SUMIFS(AGYW!$S:$S,AGYW!$B:$B,$B68,AGYW!$C:$C,IF($C68="15-24",{"15-19","20-24"},{"25-29"}),AGYW!$D:$D,$D68))),""),"")</f>
        <v/>
      </c>
      <c r="I68" s="10" t="str">
        <f aca="false">IF(OR($C68="15-24",$C68="25-34"),IFERROR(1/(1/SUM(SUMIFS(AGYW!$T:$T,AGYW!$B:$B,$B68,AGYW!$C:$C,IF($C68="15-24",{"15-19","20-24"},{"25-29"}),AGYW!$D:$D,$D68))),""),"")</f>
        <v/>
      </c>
      <c r="J68" s="10"/>
      <c r="K68" s="10"/>
      <c r="L68" s="39" t="str">
        <f aca="false">IF(SUM($K68)=0,"",$K68)</f>
        <v/>
      </c>
      <c r="M68" s="10"/>
      <c r="N68" s="10"/>
      <c r="O68" s="39" t="str">
        <f aca="false">IF(SUM($N68)=0,"",$N68)</f>
        <v/>
      </c>
      <c r="P68" s="10" t="n">
        <f aca="false">2</f>
        <v>2</v>
      </c>
      <c r="Q68" s="39" t="str">
        <f aca="false">IF(SUM($O68)=0,"",$O68*$P68)</f>
        <v/>
      </c>
    </row>
    <row r="69" customFormat="false" ht="15" hidden="false" customHeight="false" outlineLevel="0" collapsed="false">
      <c r="A69" s="0" t="str">
        <f aca="false">INDEX(Prioritization!$D:$D,MATCH($B69,Prioritization!$A:$A,0))</f>
        <v>1 - Scale-up: Saturation</v>
      </c>
      <c r="B69" s="0" t="s">
        <v>200</v>
      </c>
      <c r="C69" s="0" t="s">
        <v>368</v>
      </c>
      <c r="D69" s="0" t="s">
        <v>30</v>
      </c>
      <c r="E69" s="0" t="str">
        <f aca="false">B69&amp;"|"&amp;C69&amp;"|"&amp;D69</f>
        <v>Nkhotakota District [YCKiBAp8QAg]|50+|Female</v>
      </c>
      <c r="F69" s="10" t="str">
        <f aca="false">IF(LEFT($B69,4)="_Mil","",INDEX(Cascade!$U:$U,MATCH($E69,Cascade!$E:$E,0)))</f>
        <v/>
      </c>
      <c r="G69" s="10" t="str">
        <f aca="false">IFERROR(1/(1/INDEX(HTS!$AT:$AT,MATCH($E69,HTS!$E:$E,0))),"")</f>
        <v/>
      </c>
      <c r="H69" s="10" t="str">
        <f aca="false">IF(OR($C69="15-24",$C69="25-34"),IFERROR(1/(1/SUM(SUMIFS(AGYW!$S:$S,AGYW!$B:$B,$B69,AGYW!$C:$C,IF($C69="15-24",{"15-19","20-24"},{"25-29"}),AGYW!$D:$D,$D69))),""),"")</f>
        <v/>
      </c>
      <c r="I69" s="10" t="str">
        <f aca="false">IF(OR($C69="15-24",$C69="25-34"),IFERROR(1/(1/SUM(SUMIFS(AGYW!$T:$T,AGYW!$B:$B,$B69,AGYW!$C:$C,IF($C69="15-24",{"15-19","20-24"},{"25-29"}),AGYW!$D:$D,$D69))),""),"")</f>
        <v/>
      </c>
      <c r="J69" s="10"/>
      <c r="K69" s="10"/>
      <c r="L69" s="39" t="str">
        <f aca="false">IF(SUM($K69)=0,"",$K69)</f>
        <v/>
      </c>
      <c r="M69" s="10"/>
      <c r="N69" s="10"/>
      <c r="O69" s="39" t="str">
        <f aca="false">IF(SUM($N69)=0,"",$N69)</f>
        <v/>
      </c>
      <c r="P69" s="10" t="n">
        <f aca="false">2</f>
        <v>2</v>
      </c>
      <c r="Q69" s="39" t="str">
        <f aca="false">IF(SUM($O69)=0,"",$O69*$P69)</f>
        <v/>
      </c>
    </row>
    <row r="70" customFormat="false" ht="15" hidden="false" customHeight="false" outlineLevel="0" collapsed="false">
      <c r="A70" s="0" t="str">
        <f aca="false">INDEX(Prioritization!$D:$D,MATCH($B70,Prioritization!$A:$A,0))</f>
        <v>1 - Scale-up: Saturation</v>
      </c>
      <c r="B70" s="0" t="s">
        <v>200</v>
      </c>
      <c r="C70" s="0" t="s">
        <v>368</v>
      </c>
      <c r="D70" s="0" t="s">
        <v>48</v>
      </c>
      <c r="E70" s="0" t="str">
        <f aca="false">B70&amp;"|"&amp;C70&amp;"|"&amp;D70</f>
        <v>Nkhotakota District [YCKiBAp8QAg]|50+|Male</v>
      </c>
      <c r="F70" s="10" t="str">
        <f aca="false">IF(LEFT($B70,4)="_Mil","",INDEX(Cascade!$U:$U,MATCH($E70,Cascade!$E:$E,0)))</f>
        <v/>
      </c>
      <c r="G70" s="10" t="str">
        <f aca="false">IFERROR(1/(1/INDEX(HTS!$AT:$AT,MATCH($E70,HTS!$E:$E,0))),"")</f>
        <v/>
      </c>
      <c r="H70" s="10" t="str">
        <f aca="false">IF(OR($C70="15-24",$C70="25-34"),IFERROR(1/(1/SUM(SUMIFS(AGYW!$S:$S,AGYW!$B:$B,$B70,AGYW!$C:$C,IF($C70="15-24",{"15-19","20-24"},{"25-29"}),AGYW!$D:$D,$D70))),""),"")</f>
        <v/>
      </c>
      <c r="I70" s="10" t="str">
        <f aca="false">IF(OR($C70="15-24",$C70="25-34"),IFERROR(1/(1/SUM(SUMIFS(AGYW!$T:$T,AGYW!$B:$B,$B70,AGYW!$C:$C,IF($C70="15-24",{"15-19","20-24"},{"25-29"}),AGYW!$D:$D,$D70))),""),"")</f>
        <v/>
      </c>
      <c r="J70" s="10"/>
      <c r="K70" s="10"/>
      <c r="L70" s="39" t="str">
        <f aca="false">IF(SUM($K70)=0,"",$K70)</f>
        <v/>
      </c>
      <c r="M70" s="10"/>
      <c r="N70" s="10"/>
      <c r="O70" s="39" t="str">
        <f aca="false">IF(SUM($N70)=0,"",$N70)</f>
        <v/>
      </c>
      <c r="P70" s="10" t="n">
        <f aca="false">2</f>
        <v>2</v>
      </c>
      <c r="Q70" s="39" t="str">
        <f aca="false">IF(SUM($O70)=0,"",$O70*$P70)</f>
        <v/>
      </c>
    </row>
    <row r="71" customFormat="false" ht="15" hidden="false" customHeight="false" outlineLevel="0" collapsed="false">
      <c r="A71" s="0" t="str">
        <f aca="false">INDEX(Prioritization!$D:$D,MATCH($B71,Prioritization!$A:$A,0))</f>
        <v>INVALID</v>
      </c>
      <c r="B71" s="0" t="s">
        <v>201</v>
      </c>
      <c r="C71" s="0" t="s">
        <v>365</v>
      </c>
      <c r="D71" s="0" t="s">
        <v>30</v>
      </c>
      <c r="E71" s="0" t="str">
        <f aca="false">B71&amp;"|"&amp;C71&amp;"|"&amp;D71</f>
        <v>Ntcheu District [am530wpaGvr]|15-24|Female</v>
      </c>
      <c r="F71" s="10" t="str">
        <f aca="false">IF(LEFT($B71,4)="_Mil","",INDEX(Cascade!$U:$U,MATCH($E71,Cascade!$E:$E,0)))</f>
        <v/>
      </c>
      <c r="G71" s="10" t="str">
        <f aca="false">IFERROR(1/(1/INDEX(HTS!$AT:$AT,MATCH($E71,HTS!$E:$E,0))),"")</f>
        <v/>
      </c>
      <c r="H71" s="10" t="str">
        <f aca="false">IF(OR($C71="15-24",$C71="25-34"),IFERROR(1/(1/SUM(SUMIFS(AGYW!$S:$S,AGYW!$B:$B,$B71,AGYW!$C:$C,IF($C71="15-24",{"15-19","20-24"},{"25-29"}),AGYW!$D:$D,$D71))),""),"")</f>
        <v/>
      </c>
      <c r="I71" s="10" t="str">
        <f aca="false">IF(OR($C71="15-24",$C71="25-34"),IFERROR(1/(1/SUM(SUMIFS(AGYW!$T:$T,AGYW!$B:$B,$B71,AGYW!$C:$C,IF($C71="15-24",{"15-19","20-24"},{"25-29"}),AGYW!$D:$D,$D71))),""),"")</f>
        <v/>
      </c>
      <c r="J71" s="10"/>
      <c r="K71" s="10"/>
      <c r="L71" s="39" t="str">
        <f aca="false">IF(SUM($K71)=0,"",$K71)</f>
        <v/>
      </c>
      <c r="M71" s="10"/>
      <c r="N71" s="10"/>
      <c r="O71" s="39" t="str">
        <f aca="false">IF(SUM($N71)=0,"",$N71)</f>
        <v/>
      </c>
      <c r="P71" s="10" t="n">
        <f aca="false">2</f>
        <v>2</v>
      </c>
      <c r="Q71" s="39" t="str">
        <f aca="false">IF(SUM($O71)=0,"",$O71*$P71)</f>
        <v/>
      </c>
    </row>
    <row r="72" customFormat="false" ht="15" hidden="false" customHeight="false" outlineLevel="0" collapsed="false">
      <c r="A72" s="0" t="str">
        <f aca="false">INDEX(Prioritization!$D:$D,MATCH($B72,Prioritization!$A:$A,0))</f>
        <v>INVALID</v>
      </c>
      <c r="B72" s="0" t="s">
        <v>201</v>
      </c>
      <c r="C72" s="0" t="s">
        <v>365</v>
      </c>
      <c r="D72" s="0" t="s">
        <v>48</v>
      </c>
      <c r="E72" s="0" t="str">
        <f aca="false">B72&amp;"|"&amp;C72&amp;"|"&amp;D72</f>
        <v>Ntcheu District [am530wpaGvr]|15-24|Male</v>
      </c>
      <c r="F72" s="10" t="str">
        <f aca="false">IF(LEFT($B72,4)="_Mil","",INDEX(Cascade!$U:$U,MATCH($E72,Cascade!$E:$E,0)))</f>
        <v/>
      </c>
      <c r="G72" s="10" t="str">
        <f aca="false">IFERROR(1/(1/INDEX(HTS!$AT:$AT,MATCH($E72,HTS!$E:$E,0))),"")</f>
        <v/>
      </c>
      <c r="H72" s="10" t="str">
        <f aca="false">IF(OR($C72="15-24",$C72="25-34"),IFERROR(1/(1/SUM(SUMIFS(AGYW!$S:$S,AGYW!$B:$B,$B72,AGYW!$C:$C,IF($C72="15-24",{"15-19","20-24"},{"25-29"}),AGYW!$D:$D,$D72))),""),"")</f>
        <v/>
      </c>
      <c r="I72" s="10" t="str">
        <f aca="false">IF(OR($C72="15-24",$C72="25-34"),IFERROR(1/(1/SUM(SUMIFS(AGYW!$T:$T,AGYW!$B:$B,$B72,AGYW!$C:$C,IF($C72="15-24",{"15-19","20-24"},{"25-29"}),AGYW!$D:$D,$D72))),""),"")</f>
        <v/>
      </c>
      <c r="J72" s="10"/>
      <c r="K72" s="10"/>
      <c r="L72" s="39" t="str">
        <f aca="false">IF(SUM($K72)=0,"",$K72)</f>
        <v/>
      </c>
      <c r="M72" s="10"/>
      <c r="N72" s="10"/>
      <c r="O72" s="39" t="str">
        <f aca="false">IF(SUM($N72)=0,"",$N72)</f>
        <v/>
      </c>
      <c r="P72" s="10" t="n">
        <f aca="false">2</f>
        <v>2</v>
      </c>
      <c r="Q72" s="39" t="str">
        <f aca="false">IF(SUM($O72)=0,"",$O72*$P72)</f>
        <v/>
      </c>
    </row>
    <row r="73" customFormat="false" ht="15" hidden="false" customHeight="false" outlineLevel="0" collapsed="false">
      <c r="A73" s="0" t="str">
        <f aca="false">INDEX(Prioritization!$D:$D,MATCH($B73,Prioritization!$A:$A,0))</f>
        <v>INVALID</v>
      </c>
      <c r="B73" s="0" t="s">
        <v>201</v>
      </c>
      <c r="C73" s="0" t="s">
        <v>366</v>
      </c>
      <c r="D73" s="0" t="s">
        <v>30</v>
      </c>
      <c r="E73" s="0" t="str">
        <f aca="false">B73&amp;"|"&amp;C73&amp;"|"&amp;D73</f>
        <v>Ntcheu District [am530wpaGvr]|25-34|Female</v>
      </c>
      <c r="F73" s="10" t="str">
        <f aca="false">IF(LEFT($B73,4)="_Mil","",INDEX(Cascade!$U:$U,MATCH($E73,Cascade!$E:$E,0)))</f>
        <v/>
      </c>
      <c r="G73" s="10" t="str">
        <f aca="false">IFERROR(1/(1/INDEX(HTS!$AT:$AT,MATCH($E73,HTS!$E:$E,0))),"")</f>
        <v/>
      </c>
      <c r="H73" s="10" t="str">
        <f aca="false">IF(OR($C73="15-24",$C73="25-34"),IFERROR(1/(1/SUM(SUMIFS(AGYW!$S:$S,AGYW!$B:$B,$B73,AGYW!$C:$C,IF($C73="15-24",{"15-19","20-24"},{"25-29"}),AGYW!$D:$D,$D73))),""),"")</f>
        <v/>
      </c>
      <c r="I73" s="10" t="str">
        <f aca="false">IF(OR($C73="15-24",$C73="25-34"),IFERROR(1/(1/SUM(SUMIFS(AGYW!$T:$T,AGYW!$B:$B,$B73,AGYW!$C:$C,IF($C73="15-24",{"15-19","20-24"},{"25-29"}),AGYW!$D:$D,$D73))),""),"")</f>
        <v/>
      </c>
      <c r="J73" s="10"/>
      <c r="K73" s="10"/>
      <c r="L73" s="39" t="str">
        <f aca="false">IF(SUM($K73)=0,"",$K73)</f>
        <v/>
      </c>
      <c r="M73" s="10"/>
      <c r="N73" s="10"/>
      <c r="O73" s="39" t="str">
        <f aca="false">IF(SUM($N73)=0,"",$N73)</f>
        <v/>
      </c>
      <c r="P73" s="10" t="n">
        <f aca="false">2</f>
        <v>2</v>
      </c>
      <c r="Q73" s="39" t="str">
        <f aca="false">IF(SUM($O73)=0,"",$O73*$P73)</f>
        <v/>
      </c>
    </row>
    <row r="74" customFormat="false" ht="15" hidden="false" customHeight="false" outlineLevel="0" collapsed="false">
      <c r="A74" s="0" t="str">
        <f aca="false">INDEX(Prioritization!$D:$D,MATCH($B74,Prioritization!$A:$A,0))</f>
        <v>INVALID</v>
      </c>
      <c r="B74" s="0" t="s">
        <v>201</v>
      </c>
      <c r="C74" s="0" t="s">
        <v>366</v>
      </c>
      <c r="D74" s="0" t="s">
        <v>48</v>
      </c>
      <c r="E74" s="0" t="str">
        <f aca="false">B74&amp;"|"&amp;C74&amp;"|"&amp;D74</f>
        <v>Ntcheu District [am530wpaGvr]|25-34|Male</v>
      </c>
      <c r="F74" s="10" t="str">
        <f aca="false">IF(LEFT($B74,4)="_Mil","",INDEX(Cascade!$U:$U,MATCH($E74,Cascade!$E:$E,0)))</f>
        <v/>
      </c>
      <c r="G74" s="10" t="str">
        <f aca="false">IFERROR(1/(1/INDEX(HTS!$AT:$AT,MATCH($E74,HTS!$E:$E,0))),"")</f>
        <v/>
      </c>
      <c r="H74" s="10" t="str">
        <f aca="false">IF(OR($C74="15-24",$C74="25-34"),IFERROR(1/(1/SUM(SUMIFS(AGYW!$S:$S,AGYW!$B:$B,$B74,AGYW!$C:$C,IF($C74="15-24",{"15-19","20-24"},{"25-29"}),AGYW!$D:$D,$D74))),""),"")</f>
        <v/>
      </c>
      <c r="I74" s="10" t="str">
        <f aca="false">IF(OR($C74="15-24",$C74="25-34"),IFERROR(1/(1/SUM(SUMIFS(AGYW!$T:$T,AGYW!$B:$B,$B74,AGYW!$C:$C,IF($C74="15-24",{"15-19","20-24"},{"25-29"}),AGYW!$D:$D,$D74))),""),"")</f>
        <v/>
      </c>
      <c r="J74" s="10"/>
      <c r="K74" s="10"/>
      <c r="L74" s="39" t="str">
        <f aca="false">IF(SUM($K74)=0,"",$K74)</f>
        <v/>
      </c>
      <c r="M74" s="10"/>
      <c r="N74" s="10"/>
      <c r="O74" s="39" t="str">
        <f aca="false">IF(SUM($N74)=0,"",$N74)</f>
        <v/>
      </c>
      <c r="P74" s="10" t="n">
        <f aca="false">2</f>
        <v>2</v>
      </c>
      <c r="Q74" s="39" t="str">
        <f aca="false">IF(SUM($O74)=0,"",$O74*$P74)</f>
        <v/>
      </c>
    </row>
    <row r="75" customFormat="false" ht="15" hidden="false" customHeight="false" outlineLevel="0" collapsed="false">
      <c r="A75" s="0" t="str">
        <f aca="false">INDEX(Prioritization!$D:$D,MATCH($B75,Prioritization!$A:$A,0))</f>
        <v>INVALID</v>
      </c>
      <c r="B75" s="0" t="s">
        <v>201</v>
      </c>
      <c r="C75" s="0" t="s">
        <v>367</v>
      </c>
      <c r="D75" s="0" t="s">
        <v>30</v>
      </c>
      <c r="E75" s="0" t="str">
        <f aca="false">B75&amp;"|"&amp;C75&amp;"|"&amp;D75</f>
        <v>Ntcheu District [am530wpaGvr]|35-49|Female</v>
      </c>
      <c r="F75" s="10" t="str">
        <f aca="false">IF(LEFT($B75,4)="_Mil","",INDEX(Cascade!$U:$U,MATCH($E75,Cascade!$E:$E,0)))</f>
        <v/>
      </c>
      <c r="G75" s="10" t="str">
        <f aca="false">IFERROR(1/(1/INDEX(HTS!$AT:$AT,MATCH($E75,HTS!$E:$E,0))),"")</f>
        <v/>
      </c>
      <c r="H75" s="10" t="str">
        <f aca="false">IF(OR($C75="15-24",$C75="25-34"),IFERROR(1/(1/SUM(SUMIFS(AGYW!$S:$S,AGYW!$B:$B,$B75,AGYW!$C:$C,IF($C75="15-24",{"15-19","20-24"},{"25-29"}),AGYW!$D:$D,$D75))),""),"")</f>
        <v/>
      </c>
      <c r="I75" s="10" t="str">
        <f aca="false">IF(OR($C75="15-24",$C75="25-34"),IFERROR(1/(1/SUM(SUMIFS(AGYW!$T:$T,AGYW!$B:$B,$B75,AGYW!$C:$C,IF($C75="15-24",{"15-19","20-24"},{"25-29"}),AGYW!$D:$D,$D75))),""),"")</f>
        <v/>
      </c>
      <c r="J75" s="10"/>
      <c r="K75" s="10"/>
      <c r="L75" s="39" t="str">
        <f aca="false">IF(SUM($K75)=0,"",$K75)</f>
        <v/>
      </c>
      <c r="M75" s="10"/>
      <c r="N75" s="10"/>
      <c r="O75" s="39" t="str">
        <f aca="false">IF(SUM($N75)=0,"",$N75)</f>
        <v/>
      </c>
      <c r="P75" s="10" t="n">
        <f aca="false">2</f>
        <v>2</v>
      </c>
      <c r="Q75" s="39" t="str">
        <f aca="false">IF(SUM($O75)=0,"",$O75*$P75)</f>
        <v/>
      </c>
    </row>
    <row r="76" customFormat="false" ht="15" hidden="false" customHeight="false" outlineLevel="0" collapsed="false">
      <c r="A76" s="0" t="str">
        <f aca="false">INDEX(Prioritization!$D:$D,MATCH($B76,Prioritization!$A:$A,0))</f>
        <v>INVALID</v>
      </c>
      <c r="B76" s="0" t="s">
        <v>201</v>
      </c>
      <c r="C76" s="0" t="s">
        <v>367</v>
      </c>
      <c r="D76" s="0" t="s">
        <v>48</v>
      </c>
      <c r="E76" s="0" t="str">
        <f aca="false">B76&amp;"|"&amp;C76&amp;"|"&amp;D76</f>
        <v>Ntcheu District [am530wpaGvr]|35-49|Male</v>
      </c>
      <c r="F76" s="10" t="str">
        <f aca="false">IF(LEFT($B76,4)="_Mil","",INDEX(Cascade!$U:$U,MATCH($E76,Cascade!$E:$E,0)))</f>
        <v/>
      </c>
      <c r="G76" s="10" t="str">
        <f aca="false">IFERROR(1/(1/INDEX(HTS!$AT:$AT,MATCH($E76,HTS!$E:$E,0))),"")</f>
        <v/>
      </c>
      <c r="H76" s="10" t="str">
        <f aca="false">IF(OR($C76="15-24",$C76="25-34"),IFERROR(1/(1/SUM(SUMIFS(AGYW!$S:$S,AGYW!$B:$B,$B76,AGYW!$C:$C,IF($C76="15-24",{"15-19","20-24"},{"25-29"}),AGYW!$D:$D,$D76))),""),"")</f>
        <v/>
      </c>
      <c r="I76" s="10" t="str">
        <f aca="false">IF(OR($C76="15-24",$C76="25-34"),IFERROR(1/(1/SUM(SUMIFS(AGYW!$T:$T,AGYW!$B:$B,$B76,AGYW!$C:$C,IF($C76="15-24",{"15-19","20-24"},{"25-29"}),AGYW!$D:$D,$D76))),""),"")</f>
        <v/>
      </c>
      <c r="J76" s="10"/>
      <c r="K76" s="10"/>
      <c r="L76" s="39" t="str">
        <f aca="false">IF(SUM($K76)=0,"",$K76)</f>
        <v/>
      </c>
      <c r="M76" s="10"/>
      <c r="N76" s="10"/>
      <c r="O76" s="39" t="str">
        <f aca="false">IF(SUM($N76)=0,"",$N76)</f>
        <v/>
      </c>
      <c r="P76" s="10" t="n">
        <f aca="false">2</f>
        <v>2</v>
      </c>
      <c r="Q76" s="39" t="str">
        <f aca="false">IF(SUM($O76)=0,"",$O76*$P76)</f>
        <v/>
      </c>
    </row>
    <row r="77" customFormat="false" ht="15" hidden="false" customHeight="false" outlineLevel="0" collapsed="false">
      <c r="A77" s="0" t="str">
        <f aca="false">INDEX(Prioritization!$D:$D,MATCH($B77,Prioritization!$A:$A,0))</f>
        <v>INVALID</v>
      </c>
      <c r="B77" s="0" t="s">
        <v>201</v>
      </c>
      <c r="C77" s="0" t="s">
        <v>368</v>
      </c>
      <c r="D77" s="0" t="s">
        <v>30</v>
      </c>
      <c r="E77" s="0" t="str">
        <f aca="false">B77&amp;"|"&amp;C77&amp;"|"&amp;D77</f>
        <v>Ntcheu District [am530wpaGvr]|50+|Female</v>
      </c>
      <c r="F77" s="10" t="str">
        <f aca="false">IF(LEFT($B77,4)="_Mil","",INDEX(Cascade!$U:$U,MATCH($E77,Cascade!$E:$E,0)))</f>
        <v/>
      </c>
      <c r="G77" s="10" t="str">
        <f aca="false">IFERROR(1/(1/INDEX(HTS!$AT:$AT,MATCH($E77,HTS!$E:$E,0))),"")</f>
        <v/>
      </c>
      <c r="H77" s="10" t="str">
        <f aca="false">IF(OR($C77="15-24",$C77="25-34"),IFERROR(1/(1/SUM(SUMIFS(AGYW!$S:$S,AGYW!$B:$B,$B77,AGYW!$C:$C,IF($C77="15-24",{"15-19","20-24"},{"25-29"}),AGYW!$D:$D,$D77))),""),"")</f>
        <v/>
      </c>
      <c r="I77" s="10" t="str">
        <f aca="false">IF(OR($C77="15-24",$C77="25-34"),IFERROR(1/(1/SUM(SUMIFS(AGYW!$T:$T,AGYW!$B:$B,$B77,AGYW!$C:$C,IF($C77="15-24",{"15-19","20-24"},{"25-29"}),AGYW!$D:$D,$D77))),""),"")</f>
        <v/>
      </c>
      <c r="J77" s="10"/>
      <c r="K77" s="10"/>
      <c r="L77" s="39" t="str">
        <f aca="false">IF(SUM($K77)=0,"",$K77)</f>
        <v/>
      </c>
      <c r="M77" s="10"/>
      <c r="N77" s="10"/>
      <c r="O77" s="39" t="str">
        <f aca="false">IF(SUM($N77)=0,"",$N77)</f>
        <v/>
      </c>
      <c r="P77" s="10" t="n">
        <f aca="false">2</f>
        <v>2</v>
      </c>
      <c r="Q77" s="39" t="str">
        <f aca="false">IF(SUM($O77)=0,"",$O77*$P77)</f>
        <v/>
      </c>
    </row>
    <row r="78" customFormat="false" ht="15" hidden="false" customHeight="false" outlineLevel="0" collapsed="false">
      <c r="A78" s="0" t="str">
        <f aca="false">INDEX(Prioritization!$D:$D,MATCH($B78,Prioritization!$A:$A,0))</f>
        <v>INVALID</v>
      </c>
      <c r="B78" s="0" t="s">
        <v>201</v>
      </c>
      <c r="C78" s="0" t="s">
        <v>368</v>
      </c>
      <c r="D78" s="0" t="s">
        <v>48</v>
      </c>
      <c r="E78" s="0" t="str">
        <f aca="false">B78&amp;"|"&amp;C78&amp;"|"&amp;D78</f>
        <v>Ntcheu District [am530wpaGvr]|50+|Male</v>
      </c>
      <c r="F78" s="10" t="str">
        <f aca="false">IF(LEFT($B78,4)="_Mil","",INDEX(Cascade!$U:$U,MATCH($E78,Cascade!$E:$E,0)))</f>
        <v/>
      </c>
      <c r="G78" s="10" t="str">
        <f aca="false">IFERROR(1/(1/INDEX(HTS!$AT:$AT,MATCH($E78,HTS!$E:$E,0))),"")</f>
        <v/>
      </c>
      <c r="H78" s="10" t="str">
        <f aca="false">IF(OR($C78="15-24",$C78="25-34"),IFERROR(1/(1/SUM(SUMIFS(AGYW!$S:$S,AGYW!$B:$B,$B78,AGYW!$C:$C,IF($C78="15-24",{"15-19","20-24"},{"25-29"}),AGYW!$D:$D,$D78))),""),"")</f>
        <v/>
      </c>
      <c r="I78" s="10" t="str">
        <f aca="false">IF(OR($C78="15-24",$C78="25-34"),IFERROR(1/(1/SUM(SUMIFS(AGYW!$T:$T,AGYW!$B:$B,$B78,AGYW!$C:$C,IF($C78="15-24",{"15-19","20-24"},{"25-29"}),AGYW!$D:$D,$D78))),""),"")</f>
        <v/>
      </c>
      <c r="J78" s="10"/>
      <c r="K78" s="10"/>
      <c r="L78" s="39" t="str">
        <f aca="false">IF(SUM($K78)=0,"",$K78)</f>
        <v/>
      </c>
      <c r="M78" s="10"/>
      <c r="N78" s="10"/>
      <c r="O78" s="39" t="str">
        <f aca="false">IF(SUM($N78)=0,"",$N78)</f>
        <v/>
      </c>
      <c r="P78" s="10" t="n">
        <f aca="false">2</f>
        <v>2</v>
      </c>
      <c r="Q78" s="39" t="str">
        <f aca="false">IF(SUM($O78)=0,"",$O78*$P78)</f>
        <v/>
      </c>
    </row>
    <row r="79" customFormat="false" ht="15" hidden="false" customHeight="false" outlineLevel="0" collapsed="false">
      <c r="A79" s="0" t="str">
        <f aca="false">INDEX(Prioritization!$D:$D,MATCH($B79,Prioritization!$A:$A,0))</f>
        <v>INVALID</v>
      </c>
      <c r="B79" s="0" t="s">
        <v>202</v>
      </c>
      <c r="C79" s="0" t="s">
        <v>365</v>
      </c>
      <c r="D79" s="0" t="s">
        <v>30</v>
      </c>
      <c r="E79" s="0" t="str">
        <f aca="false">B79&amp;"|"&amp;C79&amp;"|"&amp;D79</f>
        <v>Ntchisi District [fiRkU6gEjLz]|15-24|Female</v>
      </c>
      <c r="F79" s="10" t="str">
        <f aca="false">IF(LEFT($B79,4)="_Mil","",INDEX(Cascade!$U:$U,MATCH($E79,Cascade!$E:$E,0)))</f>
        <v/>
      </c>
      <c r="G79" s="10" t="str">
        <f aca="false">IFERROR(1/(1/INDEX(HTS!$AT:$AT,MATCH($E79,HTS!$E:$E,0))),"")</f>
        <v/>
      </c>
      <c r="H79" s="10" t="str">
        <f aca="false">IF(OR($C79="15-24",$C79="25-34"),IFERROR(1/(1/SUM(SUMIFS(AGYW!$S:$S,AGYW!$B:$B,$B79,AGYW!$C:$C,IF($C79="15-24",{"15-19","20-24"},{"25-29"}),AGYW!$D:$D,$D79))),""),"")</f>
        <v/>
      </c>
      <c r="I79" s="10" t="str">
        <f aca="false">IF(OR($C79="15-24",$C79="25-34"),IFERROR(1/(1/SUM(SUMIFS(AGYW!$T:$T,AGYW!$B:$B,$B79,AGYW!$C:$C,IF($C79="15-24",{"15-19","20-24"},{"25-29"}),AGYW!$D:$D,$D79))),""),"")</f>
        <v/>
      </c>
      <c r="J79" s="10"/>
      <c r="K79" s="10"/>
      <c r="L79" s="39" t="str">
        <f aca="false">IF(SUM($K79)=0,"",$K79)</f>
        <v/>
      </c>
      <c r="M79" s="10"/>
      <c r="N79" s="10"/>
      <c r="O79" s="39" t="str">
        <f aca="false">IF(SUM($N79)=0,"",$N79)</f>
        <v/>
      </c>
      <c r="P79" s="10" t="n">
        <f aca="false">2</f>
        <v>2</v>
      </c>
      <c r="Q79" s="39" t="str">
        <f aca="false">IF(SUM($O79)=0,"",$O79*$P79)</f>
        <v/>
      </c>
    </row>
    <row r="80" customFormat="false" ht="15" hidden="false" customHeight="false" outlineLevel="0" collapsed="false">
      <c r="A80" s="0" t="str">
        <f aca="false">INDEX(Prioritization!$D:$D,MATCH($B80,Prioritization!$A:$A,0))</f>
        <v>INVALID</v>
      </c>
      <c r="B80" s="0" t="s">
        <v>202</v>
      </c>
      <c r="C80" s="0" t="s">
        <v>365</v>
      </c>
      <c r="D80" s="0" t="s">
        <v>48</v>
      </c>
      <c r="E80" s="0" t="str">
        <f aca="false">B80&amp;"|"&amp;C80&amp;"|"&amp;D80</f>
        <v>Ntchisi District [fiRkU6gEjLz]|15-24|Male</v>
      </c>
      <c r="F80" s="10" t="str">
        <f aca="false">IF(LEFT($B80,4)="_Mil","",INDEX(Cascade!$U:$U,MATCH($E80,Cascade!$E:$E,0)))</f>
        <v/>
      </c>
      <c r="G80" s="10" t="str">
        <f aca="false">IFERROR(1/(1/INDEX(HTS!$AT:$AT,MATCH($E80,HTS!$E:$E,0))),"")</f>
        <v/>
      </c>
      <c r="H80" s="10" t="str">
        <f aca="false">IF(OR($C80="15-24",$C80="25-34"),IFERROR(1/(1/SUM(SUMIFS(AGYW!$S:$S,AGYW!$B:$B,$B80,AGYW!$C:$C,IF($C80="15-24",{"15-19","20-24"},{"25-29"}),AGYW!$D:$D,$D80))),""),"")</f>
        <v/>
      </c>
      <c r="I80" s="10" t="str">
        <f aca="false">IF(OR($C80="15-24",$C80="25-34"),IFERROR(1/(1/SUM(SUMIFS(AGYW!$T:$T,AGYW!$B:$B,$B80,AGYW!$C:$C,IF($C80="15-24",{"15-19","20-24"},{"25-29"}),AGYW!$D:$D,$D80))),""),"")</f>
        <v/>
      </c>
      <c r="J80" s="10"/>
      <c r="K80" s="10"/>
      <c r="L80" s="39" t="str">
        <f aca="false">IF(SUM($K80)=0,"",$K80)</f>
        <v/>
      </c>
      <c r="M80" s="10"/>
      <c r="N80" s="10"/>
      <c r="O80" s="39" t="str">
        <f aca="false">IF(SUM($N80)=0,"",$N80)</f>
        <v/>
      </c>
      <c r="P80" s="10" t="n">
        <f aca="false">2</f>
        <v>2</v>
      </c>
      <c r="Q80" s="39" t="str">
        <f aca="false">IF(SUM($O80)=0,"",$O80*$P80)</f>
        <v/>
      </c>
    </row>
    <row r="81" customFormat="false" ht="15" hidden="false" customHeight="false" outlineLevel="0" collapsed="false">
      <c r="A81" s="0" t="str">
        <f aca="false">INDEX(Prioritization!$D:$D,MATCH($B81,Prioritization!$A:$A,0))</f>
        <v>INVALID</v>
      </c>
      <c r="B81" s="0" t="s">
        <v>202</v>
      </c>
      <c r="C81" s="0" t="s">
        <v>366</v>
      </c>
      <c r="D81" s="0" t="s">
        <v>30</v>
      </c>
      <c r="E81" s="0" t="str">
        <f aca="false">B81&amp;"|"&amp;C81&amp;"|"&amp;D81</f>
        <v>Ntchisi District [fiRkU6gEjLz]|25-34|Female</v>
      </c>
      <c r="F81" s="10" t="str">
        <f aca="false">IF(LEFT($B81,4)="_Mil","",INDEX(Cascade!$U:$U,MATCH($E81,Cascade!$E:$E,0)))</f>
        <v/>
      </c>
      <c r="G81" s="10" t="str">
        <f aca="false">IFERROR(1/(1/INDEX(HTS!$AT:$AT,MATCH($E81,HTS!$E:$E,0))),"")</f>
        <v/>
      </c>
      <c r="H81" s="10" t="str">
        <f aca="false">IF(OR($C81="15-24",$C81="25-34"),IFERROR(1/(1/SUM(SUMIFS(AGYW!$S:$S,AGYW!$B:$B,$B81,AGYW!$C:$C,IF($C81="15-24",{"15-19","20-24"},{"25-29"}),AGYW!$D:$D,$D81))),""),"")</f>
        <v/>
      </c>
      <c r="I81" s="10" t="str">
        <f aca="false">IF(OR($C81="15-24",$C81="25-34"),IFERROR(1/(1/SUM(SUMIFS(AGYW!$T:$T,AGYW!$B:$B,$B81,AGYW!$C:$C,IF($C81="15-24",{"15-19","20-24"},{"25-29"}),AGYW!$D:$D,$D81))),""),"")</f>
        <v/>
      </c>
      <c r="J81" s="10"/>
      <c r="K81" s="10"/>
      <c r="L81" s="39" t="str">
        <f aca="false">IF(SUM($K81)=0,"",$K81)</f>
        <v/>
      </c>
      <c r="M81" s="10"/>
      <c r="N81" s="10"/>
      <c r="O81" s="39" t="str">
        <f aca="false">IF(SUM($N81)=0,"",$N81)</f>
        <v/>
      </c>
      <c r="P81" s="10" t="n">
        <f aca="false">2</f>
        <v>2</v>
      </c>
      <c r="Q81" s="39" t="str">
        <f aca="false">IF(SUM($O81)=0,"",$O81*$P81)</f>
        <v/>
      </c>
    </row>
    <row r="82" customFormat="false" ht="15" hidden="false" customHeight="false" outlineLevel="0" collapsed="false">
      <c r="A82" s="0" t="str">
        <f aca="false">INDEX(Prioritization!$D:$D,MATCH($B82,Prioritization!$A:$A,0))</f>
        <v>INVALID</v>
      </c>
      <c r="B82" s="0" t="s">
        <v>202</v>
      </c>
      <c r="C82" s="0" t="s">
        <v>366</v>
      </c>
      <c r="D82" s="0" t="s">
        <v>48</v>
      </c>
      <c r="E82" s="0" t="str">
        <f aca="false">B82&amp;"|"&amp;C82&amp;"|"&amp;D82</f>
        <v>Ntchisi District [fiRkU6gEjLz]|25-34|Male</v>
      </c>
      <c r="F82" s="10" t="str">
        <f aca="false">IF(LEFT($B82,4)="_Mil","",INDEX(Cascade!$U:$U,MATCH($E82,Cascade!$E:$E,0)))</f>
        <v/>
      </c>
      <c r="G82" s="10" t="str">
        <f aca="false">IFERROR(1/(1/INDEX(HTS!$AT:$AT,MATCH($E82,HTS!$E:$E,0))),"")</f>
        <v/>
      </c>
      <c r="H82" s="10" t="str">
        <f aca="false">IF(OR($C82="15-24",$C82="25-34"),IFERROR(1/(1/SUM(SUMIFS(AGYW!$S:$S,AGYW!$B:$B,$B82,AGYW!$C:$C,IF($C82="15-24",{"15-19","20-24"},{"25-29"}),AGYW!$D:$D,$D82))),""),"")</f>
        <v/>
      </c>
      <c r="I82" s="10" t="str">
        <f aca="false">IF(OR($C82="15-24",$C82="25-34"),IFERROR(1/(1/SUM(SUMIFS(AGYW!$T:$T,AGYW!$B:$B,$B82,AGYW!$C:$C,IF($C82="15-24",{"15-19","20-24"},{"25-29"}),AGYW!$D:$D,$D82))),""),"")</f>
        <v/>
      </c>
      <c r="J82" s="10"/>
      <c r="K82" s="10"/>
      <c r="L82" s="39" t="str">
        <f aca="false">IF(SUM($K82)=0,"",$K82)</f>
        <v/>
      </c>
      <c r="M82" s="10"/>
      <c r="N82" s="10"/>
      <c r="O82" s="39" t="str">
        <f aca="false">IF(SUM($N82)=0,"",$N82)</f>
        <v/>
      </c>
      <c r="P82" s="10" t="n">
        <f aca="false">2</f>
        <v>2</v>
      </c>
      <c r="Q82" s="39" t="str">
        <f aca="false">IF(SUM($O82)=0,"",$O82*$P82)</f>
        <v/>
      </c>
    </row>
    <row r="83" customFormat="false" ht="15" hidden="false" customHeight="false" outlineLevel="0" collapsed="false">
      <c r="A83" s="0" t="str">
        <f aca="false">INDEX(Prioritization!$D:$D,MATCH($B83,Prioritization!$A:$A,0))</f>
        <v>INVALID</v>
      </c>
      <c r="B83" s="0" t="s">
        <v>202</v>
      </c>
      <c r="C83" s="0" t="s">
        <v>367</v>
      </c>
      <c r="D83" s="0" t="s">
        <v>30</v>
      </c>
      <c r="E83" s="0" t="str">
        <f aca="false">B83&amp;"|"&amp;C83&amp;"|"&amp;D83</f>
        <v>Ntchisi District [fiRkU6gEjLz]|35-49|Female</v>
      </c>
      <c r="F83" s="10" t="str">
        <f aca="false">IF(LEFT($B83,4)="_Mil","",INDEX(Cascade!$U:$U,MATCH($E83,Cascade!$E:$E,0)))</f>
        <v/>
      </c>
      <c r="G83" s="10" t="str">
        <f aca="false">IFERROR(1/(1/INDEX(HTS!$AT:$AT,MATCH($E83,HTS!$E:$E,0))),"")</f>
        <v/>
      </c>
      <c r="H83" s="10" t="str">
        <f aca="false">IF(OR($C83="15-24",$C83="25-34"),IFERROR(1/(1/SUM(SUMIFS(AGYW!$S:$S,AGYW!$B:$B,$B83,AGYW!$C:$C,IF($C83="15-24",{"15-19","20-24"},{"25-29"}),AGYW!$D:$D,$D83))),""),"")</f>
        <v/>
      </c>
      <c r="I83" s="10" t="str">
        <f aca="false">IF(OR($C83="15-24",$C83="25-34"),IFERROR(1/(1/SUM(SUMIFS(AGYW!$T:$T,AGYW!$B:$B,$B83,AGYW!$C:$C,IF($C83="15-24",{"15-19","20-24"},{"25-29"}),AGYW!$D:$D,$D83))),""),"")</f>
        <v/>
      </c>
      <c r="J83" s="10"/>
      <c r="K83" s="10"/>
      <c r="L83" s="39" t="str">
        <f aca="false">IF(SUM($K83)=0,"",$K83)</f>
        <v/>
      </c>
      <c r="M83" s="10"/>
      <c r="N83" s="10"/>
      <c r="O83" s="39" t="str">
        <f aca="false">IF(SUM($N83)=0,"",$N83)</f>
        <v/>
      </c>
      <c r="P83" s="10" t="n">
        <f aca="false">2</f>
        <v>2</v>
      </c>
      <c r="Q83" s="39" t="str">
        <f aca="false">IF(SUM($O83)=0,"",$O83*$P83)</f>
        <v/>
      </c>
    </row>
    <row r="84" customFormat="false" ht="15" hidden="false" customHeight="false" outlineLevel="0" collapsed="false">
      <c r="A84" s="0" t="str">
        <f aca="false">INDEX(Prioritization!$D:$D,MATCH($B84,Prioritization!$A:$A,0))</f>
        <v>INVALID</v>
      </c>
      <c r="B84" s="0" t="s">
        <v>202</v>
      </c>
      <c r="C84" s="0" t="s">
        <v>367</v>
      </c>
      <c r="D84" s="0" t="s">
        <v>48</v>
      </c>
      <c r="E84" s="0" t="str">
        <f aca="false">B84&amp;"|"&amp;C84&amp;"|"&amp;D84</f>
        <v>Ntchisi District [fiRkU6gEjLz]|35-49|Male</v>
      </c>
      <c r="F84" s="10" t="str">
        <f aca="false">IF(LEFT($B84,4)="_Mil","",INDEX(Cascade!$U:$U,MATCH($E84,Cascade!$E:$E,0)))</f>
        <v/>
      </c>
      <c r="G84" s="10" t="str">
        <f aca="false">IFERROR(1/(1/INDEX(HTS!$AT:$AT,MATCH($E84,HTS!$E:$E,0))),"")</f>
        <v/>
      </c>
      <c r="H84" s="10" t="str">
        <f aca="false">IF(OR($C84="15-24",$C84="25-34"),IFERROR(1/(1/SUM(SUMIFS(AGYW!$S:$S,AGYW!$B:$B,$B84,AGYW!$C:$C,IF($C84="15-24",{"15-19","20-24"},{"25-29"}),AGYW!$D:$D,$D84))),""),"")</f>
        <v/>
      </c>
      <c r="I84" s="10" t="str">
        <f aca="false">IF(OR($C84="15-24",$C84="25-34"),IFERROR(1/(1/SUM(SUMIFS(AGYW!$T:$T,AGYW!$B:$B,$B84,AGYW!$C:$C,IF($C84="15-24",{"15-19","20-24"},{"25-29"}),AGYW!$D:$D,$D84))),""),"")</f>
        <v/>
      </c>
      <c r="J84" s="10"/>
      <c r="K84" s="10"/>
      <c r="L84" s="39" t="str">
        <f aca="false">IF(SUM($K84)=0,"",$K84)</f>
        <v/>
      </c>
      <c r="M84" s="10"/>
      <c r="N84" s="10"/>
      <c r="O84" s="39" t="str">
        <f aca="false">IF(SUM($N84)=0,"",$N84)</f>
        <v/>
      </c>
      <c r="P84" s="10" t="n">
        <f aca="false">2</f>
        <v>2</v>
      </c>
      <c r="Q84" s="39" t="str">
        <f aca="false">IF(SUM($O84)=0,"",$O84*$P84)</f>
        <v/>
      </c>
    </row>
    <row r="85" customFormat="false" ht="15" hidden="false" customHeight="false" outlineLevel="0" collapsed="false">
      <c r="A85" s="0" t="str">
        <f aca="false">INDEX(Prioritization!$D:$D,MATCH($B85,Prioritization!$A:$A,0))</f>
        <v>INVALID</v>
      </c>
      <c r="B85" s="0" t="s">
        <v>202</v>
      </c>
      <c r="C85" s="0" t="s">
        <v>368</v>
      </c>
      <c r="D85" s="0" t="s">
        <v>30</v>
      </c>
      <c r="E85" s="0" t="str">
        <f aca="false">B85&amp;"|"&amp;C85&amp;"|"&amp;D85</f>
        <v>Ntchisi District [fiRkU6gEjLz]|50+|Female</v>
      </c>
      <c r="F85" s="10" t="str">
        <f aca="false">IF(LEFT($B85,4)="_Mil","",INDEX(Cascade!$U:$U,MATCH($E85,Cascade!$E:$E,0)))</f>
        <v/>
      </c>
      <c r="G85" s="10" t="str">
        <f aca="false">IFERROR(1/(1/INDEX(HTS!$AT:$AT,MATCH($E85,HTS!$E:$E,0))),"")</f>
        <v/>
      </c>
      <c r="H85" s="10" t="str">
        <f aca="false">IF(OR($C85="15-24",$C85="25-34"),IFERROR(1/(1/SUM(SUMIFS(AGYW!$S:$S,AGYW!$B:$B,$B85,AGYW!$C:$C,IF($C85="15-24",{"15-19","20-24"},{"25-29"}),AGYW!$D:$D,$D85))),""),"")</f>
        <v/>
      </c>
      <c r="I85" s="10" t="str">
        <f aca="false">IF(OR($C85="15-24",$C85="25-34"),IFERROR(1/(1/SUM(SUMIFS(AGYW!$T:$T,AGYW!$B:$B,$B85,AGYW!$C:$C,IF($C85="15-24",{"15-19","20-24"},{"25-29"}),AGYW!$D:$D,$D85))),""),"")</f>
        <v/>
      </c>
      <c r="J85" s="10"/>
      <c r="K85" s="10"/>
      <c r="L85" s="39" t="str">
        <f aca="false">IF(SUM($K85)=0,"",$K85)</f>
        <v/>
      </c>
      <c r="M85" s="10"/>
      <c r="N85" s="10"/>
      <c r="O85" s="39" t="str">
        <f aca="false">IF(SUM($N85)=0,"",$N85)</f>
        <v/>
      </c>
      <c r="P85" s="10" t="n">
        <f aca="false">2</f>
        <v>2</v>
      </c>
      <c r="Q85" s="39" t="str">
        <f aca="false">IF(SUM($O85)=0,"",$O85*$P85)</f>
        <v/>
      </c>
    </row>
    <row r="86" customFormat="false" ht="15" hidden="false" customHeight="false" outlineLevel="0" collapsed="false">
      <c r="A86" s="0" t="str">
        <f aca="false">INDEX(Prioritization!$D:$D,MATCH($B86,Prioritization!$A:$A,0))</f>
        <v>INVALID</v>
      </c>
      <c r="B86" s="0" t="s">
        <v>202</v>
      </c>
      <c r="C86" s="0" t="s">
        <v>368</v>
      </c>
      <c r="D86" s="0" t="s">
        <v>48</v>
      </c>
      <c r="E86" s="0" t="str">
        <f aca="false">B86&amp;"|"&amp;C86&amp;"|"&amp;D86</f>
        <v>Ntchisi District [fiRkU6gEjLz]|50+|Male</v>
      </c>
      <c r="F86" s="10" t="str">
        <f aca="false">IF(LEFT($B86,4)="_Mil","",INDEX(Cascade!$U:$U,MATCH($E86,Cascade!$E:$E,0)))</f>
        <v/>
      </c>
      <c r="G86" s="10" t="str">
        <f aca="false">IFERROR(1/(1/INDEX(HTS!$AT:$AT,MATCH($E86,HTS!$E:$E,0))),"")</f>
        <v/>
      </c>
      <c r="H86" s="10" t="str">
        <f aca="false">IF(OR($C86="15-24",$C86="25-34"),IFERROR(1/(1/SUM(SUMIFS(AGYW!$S:$S,AGYW!$B:$B,$B86,AGYW!$C:$C,IF($C86="15-24",{"15-19","20-24"},{"25-29"}),AGYW!$D:$D,$D86))),""),"")</f>
        <v/>
      </c>
      <c r="I86" s="10" t="str">
        <f aca="false">IF(OR($C86="15-24",$C86="25-34"),IFERROR(1/(1/SUM(SUMIFS(AGYW!$T:$T,AGYW!$B:$B,$B86,AGYW!$C:$C,IF($C86="15-24",{"15-19","20-24"},{"25-29"}),AGYW!$D:$D,$D86))),""),"")</f>
        <v/>
      </c>
      <c r="J86" s="10"/>
      <c r="K86" s="10"/>
      <c r="L86" s="39" t="str">
        <f aca="false">IF(SUM($K86)=0,"",$K86)</f>
        <v/>
      </c>
      <c r="M86" s="10"/>
      <c r="N86" s="10"/>
      <c r="O86" s="39" t="str">
        <f aca="false">IF(SUM($N86)=0,"",$N86)</f>
        <v/>
      </c>
      <c r="P86" s="10" t="n">
        <f aca="false">2</f>
        <v>2</v>
      </c>
      <c r="Q86" s="39" t="str">
        <f aca="false">IF(SUM($O86)=0,"",$O86*$P86)</f>
        <v/>
      </c>
    </row>
    <row r="87" customFormat="false" ht="15" hidden="false" customHeight="false" outlineLevel="0" collapsed="false">
      <c r="A87" s="0" t="str">
        <f aca="false">INDEX(Prioritization!$D:$D,MATCH($B87,Prioritization!$A:$A,0))</f>
        <v>INVALID</v>
      </c>
      <c r="B87" s="0" t="s">
        <v>203</v>
      </c>
      <c r="C87" s="0" t="s">
        <v>365</v>
      </c>
      <c r="D87" s="0" t="s">
        <v>30</v>
      </c>
      <c r="E87" s="0" t="str">
        <f aca="false">B87&amp;"|"&amp;C87&amp;"|"&amp;D87</f>
        <v>Salima District [msW2zpIN7up]|15-24|Female</v>
      </c>
      <c r="F87" s="10" t="str">
        <f aca="false">IF(LEFT($B87,4)="_Mil","",INDEX(Cascade!$U:$U,MATCH($E87,Cascade!$E:$E,0)))</f>
        <v/>
      </c>
      <c r="G87" s="10" t="str">
        <f aca="false">IFERROR(1/(1/INDEX(HTS!$AT:$AT,MATCH($E87,HTS!$E:$E,0))),"")</f>
        <v/>
      </c>
      <c r="H87" s="10" t="str">
        <f aca="false">IF(OR($C87="15-24",$C87="25-34"),IFERROR(1/(1/SUM(SUMIFS(AGYW!$S:$S,AGYW!$B:$B,$B87,AGYW!$C:$C,IF($C87="15-24",{"15-19","20-24"},{"25-29"}),AGYW!$D:$D,$D87))),""),"")</f>
        <v/>
      </c>
      <c r="I87" s="10" t="str">
        <f aca="false">IF(OR($C87="15-24",$C87="25-34"),IFERROR(1/(1/SUM(SUMIFS(AGYW!$T:$T,AGYW!$B:$B,$B87,AGYW!$C:$C,IF($C87="15-24",{"15-19","20-24"},{"25-29"}),AGYW!$D:$D,$D87))),""),"")</f>
        <v/>
      </c>
      <c r="J87" s="10"/>
      <c r="K87" s="10"/>
      <c r="L87" s="39" t="str">
        <f aca="false">IF(SUM($K87)=0,"",$K87)</f>
        <v/>
      </c>
      <c r="M87" s="10"/>
      <c r="N87" s="10"/>
      <c r="O87" s="39" t="str">
        <f aca="false">IF(SUM($N87)=0,"",$N87)</f>
        <v/>
      </c>
      <c r="P87" s="10" t="n">
        <f aca="false">2</f>
        <v>2</v>
      </c>
      <c r="Q87" s="39" t="str">
        <f aca="false">IF(SUM($O87)=0,"",$O87*$P87)</f>
        <v/>
      </c>
    </row>
    <row r="88" customFormat="false" ht="15" hidden="false" customHeight="false" outlineLevel="0" collapsed="false">
      <c r="A88" s="0" t="str">
        <f aca="false">INDEX(Prioritization!$D:$D,MATCH($B88,Prioritization!$A:$A,0))</f>
        <v>INVALID</v>
      </c>
      <c r="B88" s="0" t="s">
        <v>203</v>
      </c>
      <c r="C88" s="0" t="s">
        <v>365</v>
      </c>
      <c r="D88" s="0" t="s">
        <v>48</v>
      </c>
      <c r="E88" s="0" t="str">
        <f aca="false">B88&amp;"|"&amp;C88&amp;"|"&amp;D88</f>
        <v>Salima District [msW2zpIN7up]|15-24|Male</v>
      </c>
      <c r="F88" s="10" t="str">
        <f aca="false">IF(LEFT($B88,4)="_Mil","",INDEX(Cascade!$U:$U,MATCH($E88,Cascade!$E:$E,0)))</f>
        <v/>
      </c>
      <c r="G88" s="10" t="str">
        <f aca="false">IFERROR(1/(1/INDEX(HTS!$AT:$AT,MATCH($E88,HTS!$E:$E,0))),"")</f>
        <v/>
      </c>
      <c r="H88" s="10" t="str">
        <f aca="false">IF(OR($C88="15-24",$C88="25-34"),IFERROR(1/(1/SUM(SUMIFS(AGYW!$S:$S,AGYW!$B:$B,$B88,AGYW!$C:$C,IF($C88="15-24",{"15-19","20-24"},{"25-29"}),AGYW!$D:$D,$D88))),""),"")</f>
        <v/>
      </c>
      <c r="I88" s="10" t="str">
        <f aca="false">IF(OR($C88="15-24",$C88="25-34"),IFERROR(1/(1/SUM(SUMIFS(AGYW!$T:$T,AGYW!$B:$B,$B88,AGYW!$C:$C,IF($C88="15-24",{"15-19","20-24"},{"25-29"}),AGYW!$D:$D,$D88))),""),"")</f>
        <v/>
      </c>
      <c r="J88" s="10"/>
      <c r="K88" s="10"/>
      <c r="L88" s="39" t="str">
        <f aca="false">IF(SUM($K88)=0,"",$K88)</f>
        <v/>
      </c>
      <c r="M88" s="10"/>
      <c r="N88" s="10"/>
      <c r="O88" s="39" t="str">
        <f aca="false">IF(SUM($N88)=0,"",$N88)</f>
        <v/>
      </c>
      <c r="P88" s="10" t="n">
        <f aca="false">2</f>
        <v>2</v>
      </c>
      <c r="Q88" s="39" t="str">
        <f aca="false">IF(SUM($O88)=0,"",$O88*$P88)</f>
        <v/>
      </c>
    </row>
    <row r="89" customFormat="false" ht="15" hidden="false" customHeight="false" outlineLevel="0" collapsed="false">
      <c r="A89" s="0" t="str">
        <f aca="false">INDEX(Prioritization!$D:$D,MATCH($B89,Prioritization!$A:$A,0))</f>
        <v>INVALID</v>
      </c>
      <c r="B89" s="0" t="s">
        <v>203</v>
      </c>
      <c r="C89" s="0" t="s">
        <v>366</v>
      </c>
      <c r="D89" s="0" t="s">
        <v>30</v>
      </c>
      <c r="E89" s="0" t="str">
        <f aca="false">B89&amp;"|"&amp;C89&amp;"|"&amp;D89</f>
        <v>Salima District [msW2zpIN7up]|25-34|Female</v>
      </c>
      <c r="F89" s="10" t="str">
        <f aca="false">IF(LEFT($B89,4)="_Mil","",INDEX(Cascade!$U:$U,MATCH($E89,Cascade!$E:$E,0)))</f>
        <v/>
      </c>
      <c r="G89" s="10" t="str">
        <f aca="false">IFERROR(1/(1/INDEX(HTS!$AT:$AT,MATCH($E89,HTS!$E:$E,0))),"")</f>
        <v/>
      </c>
      <c r="H89" s="10" t="str">
        <f aca="false">IF(OR($C89="15-24",$C89="25-34"),IFERROR(1/(1/SUM(SUMIFS(AGYW!$S:$S,AGYW!$B:$B,$B89,AGYW!$C:$C,IF($C89="15-24",{"15-19","20-24"},{"25-29"}),AGYW!$D:$D,$D89))),""),"")</f>
        <v/>
      </c>
      <c r="I89" s="10" t="str">
        <f aca="false">IF(OR($C89="15-24",$C89="25-34"),IFERROR(1/(1/SUM(SUMIFS(AGYW!$T:$T,AGYW!$B:$B,$B89,AGYW!$C:$C,IF($C89="15-24",{"15-19","20-24"},{"25-29"}),AGYW!$D:$D,$D89))),""),"")</f>
        <v/>
      </c>
      <c r="J89" s="10"/>
      <c r="K89" s="10"/>
      <c r="L89" s="39" t="str">
        <f aca="false">IF(SUM($K89)=0,"",$K89)</f>
        <v/>
      </c>
      <c r="M89" s="10"/>
      <c r="N89" s="10"/>
      <c r="O89" s="39" t="str">
        <f aca="false">IF(SUM($N89)=0,"",$N89)</f>
        <v/>
      </c>
      <c r="P89" s="10" t="n">
        <f aca="false">2</f>
        <v>2</v>
      </c>
      <c r="Q89" s="39" t="str">
        <f aca="false">IF(SUM($O89)=0,"",$O89*$P89)</f>
        <v/>
      </c>
    </row>
    <row r="90" customFormat="false" ht="15" hidden="false" customHeight="false" outlineLevel="0" collapsed="false">
      <c r="A90" s="0" t="str">
        <f aca="false">INDEX(Prioritization!$D:$D,MATCH($B90,Prioritization!$A:$A,0))</f>
        <v>INVALID</v>
      </c>
      <c r="B90" s="0" t="s">
        <v>203</v>
      </c>
      <c r="C90" s="0" t="s">
        <v>366</v>
      </c>
      <c r="D90" s="0" t="s">
        <v>48</v>
      </c>
      <c r="E90" s="0" t="str">
        <f aca="false">B90&amp;"|"&amp;C90&amp;"|"&amp;D90</f>
        <v>Salima District [msW2zpIN7up]|25-34|Male</v>
      </c>
      <c r="F90" s="10" t="str">
        <f aca="false">IF(LEFT($B90,4)="_Mil","",INDEX(Cascade!$U:$U,MATCH($E90,Cascade!$E:$E,0)))</f>
        <v/>
      </c>
      <c r="G90" s="10" t="str">
        <f aca="false">IFERROR(1/(1/INDEX(HTS!$AT:$AT,MATCH($E90,HTS!$E:$E,0))),"")</f>
        <v/>
      </c>
      <c r="H90" s="10" t="str">
        <f aca="false">IF(OR($C90="15-24",$C90="25-34"),IFERROR(1/(1/SUM(SUMIFS(AGYW!$S:$S,AGYW!$B:$B,$B90,AGYW!$C:$C,IF($C90="15-24",{"15-19","20-24"},{"25-29"}),AGYW!$D:$D,$D90))),""),"")</f>
        <v/>
      </c>
      <c r="I90" s="10" t="str">
        <f aca="false">IF(OR($C90="15-24",$C90="25-34"),IFERROR(1/(1/SUM(SUMIFS(AGYW!$T:$T,AGYW!$B:$B,$B90,AGYW!$C:$C,IF($C90="15-24",{"15-19","20-24"},{"25-29"}),AGYW!$D:$D,$D90))),""),"")</f>
        <v/>
      </c>
      <c r="J90" s="10"/>
      <c r="K90" s="10"/>
      <c r="L90" s="39" t="str">
        <f aca="false">IF(SUM($K90)=0,"",$K90)</f>
        <v/>
      </c>
      <c r="M90" s="10"/>
      <c r="N90" s="10"/>
      <c r="O90" s="39" t="str">
        <f aca="false">IF(SUM($N90)=0,"",$N90)</f>
        <v/>
      </c>
      <c r="P90" s="10" t="n">
        <f aca="false">2</f>
        <v>2</v>
      </c>
      <c r="Q90" s="39" t="str">
        <f aca="false">IF(SUM($O90)=0,"",$O90*$P90)</f>
        <v/>
      </c>
    </row>
    <row r="91" customFormat="false" ht="15" hidden="false" customHeight="false" outlineLevel="0" collapsed="false">
      <c r="A91" s="0" t="str">
        <f aca="false">INDEX(Prioritization!$D:$D,MATCH($B91,Prioritization!$A:$A,0))</f>
        <v>INVALID</v>
      </c>
      <c r="B91" s="0" t="s">
        <v>203</v>
      </c>
      <c r="C91" s="0" t="s">
        <v>367</v>
      </c>
      <c r="D91" s="0" t="s">
        <v>30</v>
      </c>
      <c r="E91" s="0" t="str">
        <f aca="false">B91&amp;"|"&amp;C91&amp;"|"&amp;D91</f>
        <v>Salima District [msW2zpIN7up]|35-49|Female</v>
      </c>
      <c r="F91" s="10" t="str">
        <f aca="false">IF(LEFT($B91,4)="_Mil","",INDEX(Cascade!$U:$U,MATCH($E91,Cascade!$E:$E,0)))</f>
        <v/>
      </c>
      <c r="G91" s="10" t="str">
        <f aca="false">IFERROR(1/(1/INDEX(HTS!$AT:$AT,MATCH($E91,HTS!$E:$E,0))),"")</f>
        <v/>
      </c>
      <c r="H91" s="10" t="str">
        <f aca="false">IF(OR($C91="15-24",$C91="25-34"),IFERROR(1/(1/SUM(SUMIFS(AGYW!$S:$S,AGYW!$B:$B,$B91,AGYW!$C:$C,IF($C91="15-24",{"15-19","20-24"},{"25-29"}),AGYW!$D:$D,$D91))),""),"")</f>
        <v/>
      </c>
      <c r="I91" s="10" t="str">
        <f aca="false">IF(OR($C91="15-24",$C91="25-34"),IFERROR(1/(1/SUM(SUMIFS(AGYW!$T:$T,AGYW!$B:$B,$B91,AGYW!$C:$C,IF($C91="15-24",{"15-19","20-24"},{"25-29"}),AGYW!$D:$D,$D91))),""),"")</f>
        <v/>
      </c>
      <c r="J91" s="10"/>
      <c r="K91" s="10"/>
      <c r="L91" s="39" t="str">
        <f aca="false">IF(SUM($K91)=0,"",$K91)</f>
        <v/>
      </c>
      <c r="M91" s="10"/>
      <c r="N91" s="10"/>
      <c r="O91" s="39" t="str">
        <f aca="false">IF(SUM($N91)=0,"",$N91)</f>
        <v/>
      </c>
      <c r="P91" s="10" t="n">
        <f aca="false">2</f>
        <v>2</v>
      </c>
      <c r="Q91" s="39" t="str">
        <f aca="false">IF(SUM($O91)=0,"",$O91*$P91)</f>
        <v/>
      </c>
    </row>
    <row r="92" customFormat="false" ht="15" hidden="false" customHeight="false" outlineLevel="0" collapsed="false">
      <c r="A92" s="0" t="str">
        <f aca="false">INDEX(Prioritization!$D:$D,MATCH($B92,Prioritization!$A:$A,0))</f>
        <v>INVALID</v>
      </c>
      <c r="B92" s="0" t="s">
        <v>203</v>
      </c>
      <c r="C92" s="0" t="s">
        <v>367</v>
      </c>
      <c r="D92" s="0" t="s">
        <v>48</v>
      </c>
      <c r="E92" s="0" t="str">
        <f aca="false">B92&amp;"|"&amp;C92&amp;"|"&amp;D92</f>
        <v>Salima District [msW2zpIN7up]|35-49|Male</v>
      </c>
      <c r="F92" s="10" t="str">
        <f aca="false">IF(LEFT($B92,4)="_Mil","",INDEX(Cascade!$U:$U,MATCH($E92,Cascade!$E:$E,0)))</f>
        <v/>
      </c>
      <c r="G92" s="10" t="str">
        <f aca="false">IFERROR(1/(1/INDEX(HTS!$AT:$AT,MATCH($E92,HTS!$E:$E,0))),"")</f>
        <v/>
      </c>
      <c r="H92" s="10" t="str">
        <f aca="false">IF(OR($C92="15-24",$C92="25-34"),IFERROR(1/(1/SUM(SUMIFS(AGYW!$S:$S,AGYW!$B:$B,$B92,AGYW!$C:$C,IF($C92="15-24",{"15-19","20-24"},{"25-29"}),AGYW!$D:$D,$D92))),""),"")</f>
        <v/>
      </c>
      <c r="I92" s="10" t="str">
        <f aca="false">IF(OR($C92="15-24",$C92="25-34"),IFERROR(1/(1/SUM(SUMIFS(AGYW!$T:$T,AGYW!$B:$B,$B92,AGYW!$C:$C,IF($C92="15-24",{"15-19","20-24"},{"25-29"}),AGYW!$D:$D,$D92))),""),"")</f>
        <v/>
      </c>
      <c r="J92" s="10"/>
      <c r="K92" s="10"/>
      <c r="L92" s="39" t="str">
        <f aca="false">IF(SUM($K92)=0,"",$K92)</f>
        <v/>
      </c>
      <c r="M92" s="10"/>
      <c r="N92" s="10"/>
      <c r="O92" s="39" t="str">
        <f aca="false">IF(SUM($N92)=0,"",$N92)</f>
        <v/>
      </c>
      <c r="P92" s="10" t="n">
        <f aca="false">2</f>
        <v>2</v>
      </c>
      <c r="Q92" s="39" t="str">
        <f aca="false">IF(SUM($O92)=0,"",$O92*$P92)</f>
        <v/>
      </c>
    </row>
    <row r="93" customFormat="false" ht="15" hidden="false" customHeight="false" outlineLevel="0" collapsed="false">
      <c r="A93" s="0" t="str">
        <f aca="false">INDEX(Prioritization!$D:$D,MATCH($B93,Prioritization!$A:$A,0))</f>
        <v>INVALID</v>
      </c>
      <c r="B93" s="0" t="s">
        <v>203</v>
      </c>
      <c r="C93" s="0" t="s">
        <v>368</v>
      </c>
      <c r="D93" s="0" t="s">
        <v>30</v>
      </c>
      <c r="E93" s="0" t="str">
        <f aca="false">B93&amp;"|"&amp;C93&amp;"|"&amp;D93</f>
        <v>Salima District [msW2zpIN7up]|50+|Female</v>
      </c>
      <c r="F93" s="10" t="str">
        <f aca="false">IF(LEFT($B93,4)="_Mil","",INDEX(Cascade!$U:$U,MATCH($E93,Cascade!$E:$E,0)))</f>
        <v/>
      </c>
      <c r="G93" s="10" t="str">
        <f aca="false">IFERROR(1/(1/INDEX(HTS!$AT:$AT,MATCH($E93,HTS!$E:$E,0))),"")</f>
        <v/>
      </c>
      <c r="H93" s="10" t="str">
        <f aca="false">IF(OR($C93="15-24",$C93="25-34"),IFERROR(1/(1/SUM(SUMIFS(AGYW!$S:$S,AGYW!$B:$B,$B93,AGYW!$C:$C,IF($C93="15-24",{"15-19","20-24"},{"25-29"}),AGYW!$D:$D,$D93))),""),"")</f>
        <v/>
      </c>
      <c r="I93" s="10" t="str">
        <f aca="false">IF(OR($C93="15-24",$C93="25-34"),IFERROR(1/(1/SUM(SUMIFS(AGYW!$T:$T,AGYW!$B:$B,$B93,AGYW!$C:$C,IF($C93="15-24",{"15-19","20-24"},{"25-29"}),AGYW!$D:$D,$D93))),""),"")</f>
        <v/>
      </c>
      <c r="J93" s="10"/>
      <c r="K93" s="10"/>
      <c r="L93" s="39" t="str">
        <f aca="false">IF(SUM($K93)=0,"",$K93)</f>
        <v/>
      </c>
      <c r="M93" s="10"/>
      <c r="N93" s="10"/>
      <c r="O93" s="39" t="str">
        <f aca="false">IF(SUM($N93)=0,"",$N93)</f>
        <v/>
      </c>
      <c r="P93" s="10" t="n">
        <f aca="false">2</f>
        <v>2</v>
      </c>
      <c r="Q93" s="39" t="str">
        <f aca="false">IF(SUM($O93)=0,"",$O93*$P93)</f>
        <v/>
      </c>
    </row>
    <row r="94" customFormat="false" ht="15" hidden="false" customHeight="false" outlineLevel="0" collapsed="false">
      <c r="A94" s="0" t="str">
        <f aca="false">INDEX(Prioritization!$D:$D,MATCH($B94,Prioritization!$A:$A,0))</f>
        <v>INVALID</v>
      </c>
      <c r="B94" s="0" t="s">
        <v>203</v>
      </c>
      <c r="C94" s="0" t="s">
        <v>368</v>
      </c>
      <c r="D94" s="0" t="s">
        <v>48</v>
      </c>
      <c r="E94" s="0" t="str">
        <f aca="false">B94&amp;"|"&amp;C94&amp;"|"&amp;D94</f>
        <v>Salima District [msW2zpIN7up]|50+|Male</v>
      </c>
      <c r="F94" s="10" t="str">
        <f aca="false">IF(LEFT($B94,4)="_Mil","",INDEX(Cascade!$U:$U,MATCH($E94,Cascade!$E:$E,0)))</f>
        <v/>
      </c>
      <c r="G94" s="10" t="str">
        <f aca="false">IFERROR(1/(1/INDEX(HTS!$AT:$AT,MATCH($E94,HTS!$E:$E,0))),"")</f>
        <v/>
      </c>
      <c r="H94" s="10" t="str">
        <f aca="false">IF(OR($C94="15-24",$C94="25-34"),IFERROR(1/(1/SUM(SUMIFS(AGYW!$S:$S,AGYW!$B:$B,$B94,AGYW!$C:$C,IF($C94="15-24",{"15-19","20-24"},{"25-29"}),AGYW!$D:$D,$D94))),""),"")</f>
        <v/>
      </c>
      <c r="I94" s="10" t="str">
        <f aca="false">IF(OR($C94="15-24",$C94="25-34"),IFERROR(1/(1/SUM(SUMIFS(AGYW!$T:$T,AGYW!$B:$B,$B94,AGYW!$C:$C,IF($C94="15-24",{"15-19","20-24"},{"25-29"}),AGYW!$D:$D,$D94))),""),"")</f>
        <v/>
      </c>
      <c r="J94" s="10"/>
      <c r="K94" s="10"/>
      <c r="L94" s="39" t="str">
        <f aca="false">IF(SUM($K94)=0,"",$K94)</f>
        <v/>
      </c>
      <c r="M94" s="10"/>
      <c r="N94" s="10"/>
      <c r="O94" s="39" t="str">
        <f aca="false">IF(SUM($N94)=0,"",$N94)</f>
        <v/>
      </c>
      <c r="P94" s="10" t="n">
        <f aca="false">2</f>
        <v>2</v>
      </c>
      <c r="Q94" s="39" t="str">
        <f aca="false">IF(SUM($O94)=0,"",$O94*$P94)</f>
        <v/>
      </c>
    </row>
    <row r="95" customFormat="false" ht="15" hidden="false" customHeight="false" outlineLevel="0" collapsed="false">
      <c r="A95" s="0" t="str">
        <f aca="false">INDEX(Prioritization!$D:$D,MATCH($B95,Prioritization!$A:$A,0))</f>
        <v>1 - Scale-up: Saturation</v>
      </c>
      <c r="B95" s="0" t="s">
        <v>204</v>
      </c>
      <c r="C95" s="0" t="s">
        <v>365</v>
      </c>
      <c r="D95" s="0" t="s">
        <v>30</v>
      </c>
      <c r="E95" s="0" t="str">
        <f aca="false">B95&amp;"|"&amp;C95&amp;"|"&amp;D95</f>
        <v>Chitipa District [GkIwZrXy1h2]|15-24|Female</v>
      </c>
      <c r="F95" s="10" t="str">
        <f aca="false">IF(LEFT($B95,4)="_Mil","",INDEX(Cascade!$U:$U,MATCH($E95,Cascade!$E:$E,0)))</f>
        <v/>
      </c>
      <c r="G95" s="10" t="str">
        <f aca="false">IFERROR(1/(1/INDEX(HTS!$AT:$AT,MATCH($E95,HTS!$E:$E,0))),"")</f>
        <v/>
      </c>
      <c r="H95" s="10" t="str">
        <f aca="false">IF(OR($C95="15-24",$C95="25-34"),IFERROR(1/(1/SUM(SUMIFS(AGYW!$S:$S,AGYW!$B:$B,$B95,AGYW!$C:$C,IF($C95="15-24",{"15-19","20-24"},{"25-29"}),AGYW!$D:$D,$D95))),""),"")</f>
        <v/>
      </c>
      <c r="I95" s="10" t="str">
        <f aca="false">IF(OR($C95="15-24",$C95="25-34"),IFERROR(1/(1/SUM(SUMIFS(AGYW!$T:$T,AGYW!$B:$B,$B95,AGYW!$C:$C,IF($C95="15-24",{"15-19","20-24"},{"25-29"}),AGYW!$D:$D,$D95))),""),"")</f>
        <v/>
      </c>
      <c r="J95" s="10"/>
      <c r="K95" s="10"/>
      <c r="L95" s="39" t="str">
        <f aca="false">IF(SUM($K95)=0,"",$K95)</f>
        <v/>
      </c>
      <c r="M95" s="10"/>
      <c r="N95" s="10"/>
      <c r="O95" s="39" t="str">
        <f aca="false">IF(SUM($N95)=0,"",$N95)</f>
        <v/>
      </c>
      <c r="P95" s="10" t="n">
        <f aca="false">2</f>
        <v>2</v>
      </c>
      <c r="Q95" s="39" t="str">
        <f aca="false">IF(SUM($O95)=0,"",$O95*$P95)</f>
        <v/>
      </c>
    </row>
    <row r="96" customFormat="false" ht="15" hidden="false" customHeight="false" outlineLevel="0" collapsed="false">
      <c r="A96" s="0" t="str">
        <f aca="false">INDEX(Prioritization!$D:$D,MATCH($B96,Prioritization!$A:$A,0))</f>
        <v>1 - Scale-up: Saturation</v>
      </c>
      <c r="B96" s="0" t="s">
        <v>204</v>
      </c>
      <c r="C96" s="0" t="s">
        <v>365</v>
      </c>
      <c r="D96" s="0" t="s">
        <v>48</v>
      </c>
      <c r="E96" s="0" t="str">
        <f aca="false">B96&amp;"|"&amp;C96&amp;"|"&amp;D96</f>
        <v>Chitipa District [GkIwZrXy1h2]|15-24|Male</v>
      </c>
      <c r="F96" s="10" t="str">
        <f aca="false">IF(LEFT($B96,4)="_Mil","",INDEX(Cascade!$U:$U,MATCH($E96,Cascade!$E:$E,0)))</f>
        <v/>
      </c>
      <c r="G96" s="10" t="str">
        <f aca="false">IFERROR(1/(1/INDEX(HTS!$AT:$AT,MATCH($E96,HTS!$E:$E,0))),"")</f>
        <v/>
      </c>
      <c r="H96" s="10" t="str">
        <f aca="false">IF(OR($C96="15-24",$C96="25-34"),IFERROR(1/(1/SUM(SUMIFS(AGYW!$S:$S,AGYW!$B:$B,$B96,AGYW!$C:$C,IF($C96="15-24",{"15-19","20-24"},{"25-29"}),AGYW!$D:$D,$D96))),""),"")</f>
        <v/>
      </c>
      <c r="I96" s="10" t="str">
        <f aca="false">IF(OR($C96="15-24",$C96="25-34"),IFERROR(1/(1/SUM(SUMIFS(AGYW!$T:$T,AGYW!$B:$B,$B96,AGYW!$C:$C,IF($C96="15-24",{"15-19","20-24"},{"25-29"}),AGYW!$D:$D,$D96))),""),"")</f>
        <v/>
      </c>
      <c r="J96" s="10"/>
      <c r="K96" s="10"/>
      <c r="L96" s="39" t="str">
        <f aca="false">IF(SUM($K96)=0,"",$K96)</f>
        <v/>
      </c>
      <c r="M96" s="10"/>
      <c r="N96" s="10"/>
      <c r="O96" s="39" t="str">
        <f aca="false">IF(SUM($N96)=0,"",$N96)</f>
        <v/>
      </c>
      <c r="P96" s="10" t="n">
        <f aca="false">2</f>
        <v>2</v>
      </c>
      <c r="Q96" s="39" t="str">
        <f aca="false">IF(SUM($O96)=0,"",$O96*$P96)</f>
        <v/>
      </c>
    </row>
    <row r="97" customFormat="false" ht="15" hidden="false" customHeight="false" outlineLevel="0" collapsed="false">
      <c r="A97" s="0" t="str">
        <f aca="false">INDEX(Prioritization!$D:$D,MATCH($B97,Prioritization!$A:$A,0))</f>
        <v>1 - Scale-up: Saturation</v>
      </c>
      <c r="B97" s="0" t="s">
        <v>204</v>
      </c>
      <c r="C97" s="0" t="s">
        <v>366</v>
      </c>
      <c r="D97" s="0" t="s">
        <v>30</v>
      </c>
      <c r="E97" s="0" t="str">
        <f aca="false">B97&amp;"|"&amp;C97&amp;"|"&amp;D97</f>
        <v>Chitipa District [GkIwZrXy1h2]|25-34|Female</v>
      </c>
      <c r="F97" s="10" t="str">
        <f aca="false">IF(LEFT($B97,4)="_Mil","",INDEX(Cascade!$U:$U,MATCH($E97,Cascade!$E:$E,0)))</f>
        <v/>
      </c>
      <c r="G97" s="10" t="str">
        <f aca="false">IFERROR(1/(1/INDEX(HTS!$AT:$AT,MATCH($E97,HTS!$E:$E,0))),"")</f>
        <v/>
      </c>
      <c r="H97" s="10" t="str">
        <f aca="false">IF(OR($C97="15-24",$C97="25-34"),IFERROR(1/(1/SUM(SUMIFS(AGYW!$S:$S,AGYW!$B:$B,$B97,AGYW!$C:$C,IF($C97="15-24",{"15-19","20-24"},{"25-29"}),AGYW!$D:$D,$D97))),""),"")</f>
        <v/>
      </c>
      <c r="I97" s="10" t="str">
        <f aca="false">IF(OR($C97="15-24",$C97="25-34"),IFERROR(1/(1/SUM(SUMIFS(AGYW!$T:$T,AGYW!$B:$B,$B97,AGYW!$C:$C,IF($C97="15-24",{"15-19","20-24"},{"25-29"}),AGYW!$D:$D,$D97))),""),"")</f>
        <v/>
      </c>
      <c r="J97" s="10"/>
      <c r="K97" s="10"/>
      <c r="L97" s="39" t="str">
        <f aca="false">IF(SUM($K97)=0,"",$K97)</f>
        <v/>
      </c>
      <c r="M97" s="10"/>
      <c r="N97" s="10"/>
      <c r="O97" s="39" t="str">
        <f aca="false">IF(SUM($N97)=0,"",$N97)</f>
        <v/>
      </c>
      <c r="P97" s="10" t="n">
        <f aca="false">2</f>
        <v>2</v>
      </c>
      <c r="Q97" s="39" t="str">
        <f aca="false">IF(SUM($O97)=0,"",$O97*$P97)</f>
        <v/>
      </c>
    </row>
    <row r="98" customFormat="false" ht="15" hidden="false" customHeight="false" outlineLevel="0" collapsed="false">
      <c r="A98" s="0" t="str">
        <f aca="false">INDEX(Prioritization!$D:$D,MATCH($B98,Prioritization!$A:$A,0))</f>
        <v>1 - Scale-up: Saturation</v>
      </c>
      <c r="B98" s="0" t="s">
        <v>204</v>
      </c>
      <c r="C98" s="0" t="s">
        <v>366</v>
      </c>
      <c r="D98" s="0" t="s">
        <v>48</v>
      </c>
      <c r="E98" s="0" t="str">
        <f aca="false">B98&amp;"|"&amp;C98&amp;"|"&amp;D98</f>
        <v>Chitipa District [GkIwZrXy1h2]|25-34|Male</v>
      </c>
      <c r="F98" s="10" t="str">
        <f aca="false">IF(LEFT($B98,4)="_Mil","",INDEX(Cascade!$U:$U,MATCH($E98,Cascade!$E:$E,0)))</f>
        <v/>
      </c>
      <c r="G98" s="10" t="str">
        <f aca="false">IFERROR(1/(1/INDEX(HTS!$AT:$AT,MATCH($E98,HTS!$E:$E,0))),"")</f>
        <v/>
      </c>
      <c r="H98" s="10" t="str">
        <f aca="false">IF(OR($C98="15-24",$C98="25-34"),IFERROR(1/(1/SUM(SUMIFS(AGYW!$S:$S,AGYW!$B:$B,$B98,AGYW!$C:$C,IF($C98="15-24",{"15-19","20-24"},{"25-29"}),AGYW!$D:$D,$D98))),""),"")</f>
        <v/>
      </c>
      <c r="I98" s="10" t="str">
        <f aca="false">IF(OR($C98="15-24",$C98="25-34"),IFERROR(1/(1/SUM(SUMIFS(AGYW!$T:$T,AGYW!$B:$B,$B98,AGYW!$C:$C,IF($C98="15-24",{"15-19","20-24"},{"25-29"}),AGYW!$D:$D,$D98))),""),"")</f>
        <v/>
      </c>
      <c r="J98" s="10"/>
      <c r="K98" s="10"/>
      <c r="L98" s="39" t="str">
        <f aca="false">IF(SUM($K98)=0,"",$K98)</f>
        <v/>
      </c>
      <c r="M98" s="10"/>
      <c r="N98" s="10"/>
      <c r="O98" s="39" t="str">
        <f aca="false">IF(SUM($N98)=0,"",$N98)</f>
        <v/>
      </c>
      <c r="P98" s="10" t="n">
        <f aca="false">2</f>
        <v>2</v>
      </c>
      <c r="Q98" s="39" t="str">
        <f aca="false">IF(SUM($O98)=0,"",$O98*$P98)</f>
        <v/>
      </c>
    </row>
    <row r="99" customFormat="false" ht="15" hidden="false" customHeight="false" outlineLevel="0" collapsed="false">
      <c r="A99" s="0" t="str">
        <f aca="false">INDEX(Prioritization!$D:$D,MATCH($B99,Prioritization!$A:$A,0))</f>
        <v>1 - Scale-up: Saturation</v>
      </c>
      <c r="B99" s="0" t="s">
        <v>204</v>
      </c>
      <c r="C99" s="0" t="s">
        <v>367</v>
      </c>
      <c r="D99" s="0" t="s">
        <v>30</v>
      </c>
      <c r="E99" s="0" t="str">
        <f aca="false">B99&amp;"|"&amp;C99&amp;"|"&amp;D99</f>
        <v>Chitipa District [GkIwZrXy1h2]|35-49|Female</v>
      </c>
      <c r="F99" s="10" t="str">
        <f aca="false">IF(LEFT($B99,4)="_Mil","",INDEX(Cascade!$U:$U,MATCH($E99,Cascade!$E:$E,0)))</f>
        <v/>
      </c>
      <c r="G99" s="10" t="str">
        <f aca="false">IFERROR(1/(1/INDEX(HTS!$AT:$AT,MATCH($E99,HTS!$E:$E,0))),"")</f>
        <v/>
      </c>
      <c r="H99" s="10" t="str">
        <f aca="false">IF(OR($C99="15-24",$C99="25-34"),IFERROR(1/(1/SUM(SUMIFS(AGYW!$S:$S,AGYW!$B:$B,$B99,AGYW!$C:$C,IF($C99="15-24",{"15-19","20-24"},{"25-29"}),AGYW!$D:$D,$D99))),""),"")</f>
        <v/>
      </c>
      <c r="I99" s="10" t="str">
        <f aca="false">IF(OR($C99="15-24",$C99="25-34"),IFERROR(1/(1/SUM(SUMIFS(AGYW!$T:$T,AGYW!$B:$B,$B99,AGYW!$C:$C,IF($C99="15-24",{"15-19","20-24"},{"25-29"}),AGYW!$D:$D,$D99))),""),"")</f>
        <v/>
      </c>
      <c r="J99" s="10"/>
      <c r="K99" s="10"/>
      <c r="L99" s="39" t="str">
        <f aca="false">IF(SUM($K99)=0,"",$K99)</f>
        <v/>
      </c>
      <c r="M99" s="10"/>
      <c r="N99" s="10"/>
      <c r="O99" s="39" t="str">
        <f aca="false">IF(SUM($N99)=0,"",$N99)</f>
        <v/>
      </c>
      <c r="P99" s="10" t="n">
        <f aca="false">2</f>
        <v>2</v>
      </c>
      <c r="Q99" s="39" t="str">
        <f aca="false">IF(SUM($O99)=0,"",$O99*$P99)</f>
        <v/>
      </c>
    </row>
    <row r="100" customFormat="false" ht="15" hidden="false" customHeight="false" outlineLevel="0" collapsed="false">
      <c r="A100" s="0" t="str">
        <f aca="false">INDEX(Prioritization!$D:$D,MATCH($B100,Prioritization!$A:$A,0))</f>
        <v>1 - Scale-up: Saturation</v>
      </c>
      <c r="B100" s="0" t="s">
        <v>204</v>
      </c>
      <c r="C100" s="0" t="s">
        <v>367</v>
      </c>
      <c r="D100" s="0" t="s">
        <v>48</v>
      </c>
      <c r="E100" s="0" t="str">
        <f aca="false">B100&amp;"|"&amp;C100&amp;"|"&amp;D100</f>
        <v>Chitipa District [GkIwZrXy1h2]|35-49|Male</v>
      </c>
      <c r="F100" s="10" t="str">
        <f aca="false">IF(LEFT($B100,4)="_Mil","",INDEX(Cascade!$U:$U,MATCH($E100,Cascade!$E:$E,0)))</f>
        <v/>
      </c>
      <c r="G100" s="10" t="str">
        <f aca="false">IFERROR(1/(1/INDEX(HTS!$AT:$AT,MATCH($E100,HTS!$E:$E,0))),"")</f>
        <v/>
      </c>
      <c r="H100" s="10" t="str">
        <f aca="false">IF(OR($C100="15-24",$C100="25-34"),IFERROR(1/(1/SUM(SUMIFS(AGYW!$S:$S,AGYW!$B:$B,$B100,AGYW!$C:$C,IF($C100="15-24",{"15-19","20-24"},{"25-29"}),AGYW!$D:$D,$D100))),""),"")</f>
        <v/>
      </c>
      <c r="I100" s="10" t="str">
        <f aca="false">IF(OR($C100="15-24",$C100="25-34"),IFERROR(1/(1/SUM(SUMIFS(AGYW!$T:$T,AGYW!$B:$B,$B100,AGYW!$C:$C,IF($C100="15-24",{"15-19","20-24"},{"25-29"}),AGYW!$D:$D,$D100))),""),"")</f>
        <v/>
      </c>
      <c r="J100" s="10"/>
      <c r="K100" s="10"/>
      <c r="L100" s="39" t="str">
        <f aca="false">IF(SUM($K100)=0,"",$K100)</f>
        <v/>
      </c>
      <c r="M100" s="10"/>
      <c r="N100" s="10"/>
      <c r="O100" s="39" t="str">
        <f aca="false">IF(SUM($N100)=0,"",$N100)</f>
        <v/>
      </c>
      <c r="P100" s="10" t="n">
        <f aca="false">2</f>
        <v>2</v>
      </c>
      <c r="Q100" s="39" t="str">
        <f aca="false">IF(SUM($O100)=0,"",$O100*$P100)</f>
        <v/>
      </c>
    </row>
    <row r="101" customFormat="false" ht="15" hidden="false" customHeight="false" outlineLevel="0" collapsed="false">
      <c r="A101" s="0" t="str">
        <f aca="false">INDEX(Prioritization!$D:$D,MATCH($B101,Prioritization!$A:$A,0))</f>
        <v>1 - Scale-up: Saturation</v>
      </c>
      <c r="B101" s="0" t="s">
        <v>204</v>
      </c>
      <c r="C101" s="0" t="s">
        <v>368</v>
      </c>
      <c r="D101" s="0" t="s">
        <v>30</v>
      </c>
      <c r="E101" s="0" t="str">
        <f aca="false">B101&amp;"|"&amp;C101&amp;"|"&amp;D101</f>
        <v>Chitipa District [GkIwZrXy1h2]|50+|Female</v>
      </c>
      <c r="F101" s="10" t="str">
        <f aca="false">IF(LEFT($B101,4)="_Mil","",INDEX(Cascade!$U:$U,MATCH($E101,Cascade!$E:$E,0)))</f>
        <v/>
      </c>
      <c r="G101" s="10" t="str">
        <f aca="false">IFERROR(1/(1/INDEX(HTS!$AT:$AT,MATCH($E101,HTS!$E:$E,0))),"")</f>
        <v/>
      </c>
      <c r="H101" s="10" t="str">
        <f aca="false">IF(OR($C101="15-24",$C101="25-34"),IFERROR(1/(1/SUM(SUMIFS(AGYW!$S:$S,AGYW!$B:$B,$B101,AGYW!$C:$C,IF($C101="15-24",{"15-19","20-24"},{"25-29"}),AGYW!$D:$D,$D101))),""),"")</f>
        <v/>
      </c>
      <c r="I101" s="10" t="str">
        <f aca="false">IF(OR($C101="15-24",$C101="25-34"),IFERROR(1/(1/SUM(SUMIFS(AGYW!$T:$T,AGYW!$B:$B,$B101,AGYW!$C:$C,IF($C101="15-24",{"15-19","20-24"},{"25-29"}),AGYW!$D:$D,$D101))),""),"")</f>
        <v/>
      </c>
      <c r="J101" s="10"/>
      <c r="K101" s="10"/>
      <c r="L101" s="39" t="str">
        <f aca="false">IF(SUM($K101)=0,"",$K101)</f>
        <v/>
      </c>
      <c r="M101" s="10"/>
      <c r="N101" s="10"/>
      <c r="O101" s="39" t="str">
        <f aca="false">IF(SUM($N101)=0,"",$N101)</f>
        <v/>
      </c>
      <c r="P101" s="10" t="n">
        <f aca="false">2</f>
        <v>2</v>
      </c>
      <c r="Q101" s="39" t="str">
        <f aca="false">IF(SUM($O101)=0,"",$O101*$P101)</f>
        <v/>
      </c>
    </row>
    <row r="102" customFormat="false" ht="15" hidden="false" customHeight="false" outlineLevel="0" collapsed="false">
      <c r="A102" s="0" t="str">
        <f aca="false">INDEX(Prioritization!$D:$D,MATCH($B102,Prioritization!$A:$A,0))</f>
        <v>1 - Scale-up: Saturation</v>
      </c>
      <c r="B102" s="0" t="s">
        <v>204</v>
      </c>
      <c r="C102" s="0" t="s">
        <v>368</v>
      </c>
      <c r="D102" s="0" t="s">
        <v>48</v>
      </c>
      <c r="E102" s="0" t="str">
        <f aca="false">B102&amp;"|"&amp;C102&amp;"|"&amp;D102</f>
        <v>Chitipa District [GkIwZrXy1h2]|50+|Male</v>
      </c>
      <c r="F102" s="10" t="str">
        <f aca="false">IF(LEFT($B102,4)="_Mil","",INDEX(Cascade!$U:$U,MATCH($E102,Cascade!$E:$E,0)))</f>
        <v/>
      </c>
      <c r="G102" s="10" t="str">
        <f aca="false">IFERROR(1/(1/INDEX(HTS!$AT:$AT,MATCH($E102,HTS!$E:$E,0))),"")</f>
        <v/>
      </c>
      <c r="H102" s="10" t="str">
        <f aca="false">IF(OR($C102="15-24",$C102="25-34"),IFERROR(1/(1/SUM(SUMIFS(AGYW!$S:$S,AGYW!$B:$B,$B102,AGYW!$C:$C,IF($C102="15-24",{"15-19","20-24"},{"25-29"}),AGYW!$D:$D,$D102))),""),"")</f>
        <v/>
      </c>
      <c r="I102" s="10" t="str">
        <f aca="false">IF(OR($C102="15-24",$C102="25-34"),IFERROR(1/(1/SUM(SUMIFS(AGYW!$T:$T,AGYW!$B:$B,$B102,AGYW!$C:$C,IF($C102="15-24",{"15-19","20-24"},{"25-29"}),AGYW!$D:$D,$D102))),""),"")</f>
        <v/>
      </c>
      <c r="J102" s="10"/>
      <c r="K102" s="10"/>
      <c r="L102" s="39" t="str">
        <f aca="false">IF(SUM($K102)=0,"",$K102)</f>
        <v/>
      </c>
      <c r="M102" s="10"/>
      <c r="N102" s="10"/>
      <c r="O102" s="39" t="str">
        <f aca="false">IF(SUM($N102)=0,"",$N102)</f>
        <v/>
      </c>
      <c r="P102" s="10" t="n">
        <f aca="false">2</f>
        <v>2</v>
      </c>
      <c r="Q102" s="39" t="str">
        <f aca="false">IF(SUM($O102)=0,"",$O102*$P102)</f>
        <v/>
      </c>
    </row>
    <row r="103" customFormat="false" ht="15" hidden="false" customHeight="false" outlineLevel="0" collapsed="false">
      <c r="A103" s="0" t="str">
        <f aca="false">INDEX(Prioritization!$D:$D,MATCH($B103,Prioritization!$A:$A,0))</f>
        <v>INVALID</v>
      </c>
      <c r="B103" s="0" t="s">
        <v>205</v>
      </c>
      <c r="C103" s="0" t="s">
        <v>365</v>
      </c>
      <c r="D103" s="0" t="s">
        <v>30</v>
      </c>
      <c r="E103" s="0" t="str">
        <f aca="false">B103&amp;"|"&amp;C103&amp;"|"&amp;D103</f>
        <v>Karonga District [cPtvxaZqXIH]|15-24|Female</v>
      </c>
      <c r="F103" s="10" t="str">
        <f aca="false">IF(LEFT($B103,4)="_Mil","",INDEX(Cascade!$U:$U,MATCH($E103,Cascade!$E:$E,0)))</f>
        <v/>
      </c>
      <c r="G103" s="10" t="str">
        <f aca="false">IFERROR(1/(1/INDEX(HTS!$AT:$AT,MATCH($E103,HTS!$E:$E,0))),"")</f>
        <v/>
      </c>
      <c r="H103" s="10" t="str">
        <f aca="false">IF(OR($C103="15-24",$C103="25-34"),IFERROR(1/(1/SUM(SUMIFS(AGYW!$S:$S,AGYW!$B:$B,$B103,AGYW!$C:$C,IF($C103="15-24",{"15-19","20-24"},{"25-29"}),AGYW!$D:$D,$D103))),""),"")</f>
        <v/>
      </c>
      <c r="I103" s="10" t="str">
        <f aca="false">IF(OR($C103="15-24",$C103="25-34"),IFERROR(1/(1/SUM(SUMIFS(AGYW!$T:$T,AGYW!$B:$B,$B103,AGYW!$C:$C,IF($C103="15-24",{"15-19","20-24"},{"25-29"}),AGYW!$D:$D,$D103))),""),"")</f>
        <v/>
      </c>
      <c r="J103" s="10"/>
      <c r="K103" s="10"/>
      <c r="L103" s="39" t="str">
        <f aca="false">IF(SUM($K103)=0,"",$K103)</f>
        <v/>
      </c>
      <c r="M103" s="10"/>
      <c r="N103" s="10"/>
      <c r="O103" s="39" t="str">
        <f aca="false">IF(SUM($N103)=0,"",$N103)</f>
        <v/>
      </c>
      <c r="P103" s="10" t="n">
        <f aca="false">2</f>
        <v>2</v>
      </c>
      <c r="Q103" s="39" t="str">
        <f aca="false">IF(SUM($O103)=0,"",$O103*$P103)</f>
        <v/>
      </c>
    </row>
    <row r="104" customFormat="false" ht="15" hidden="false" customHeight="false" outlineLevel="0" collapsed="false">
      <c r="A104" s="0" t="str">
        <f aca="false">INDEX(Prioritization!$D:$D,MATCH($B104,Prioritization!$A:$A,0))</f>
        <v>INVALID</v>
      </c>
      <c r="B104" s="0" t="s">
        <v>205</v>
      </c>
      <c r="C104" s="0" t="s">
        <v>365</v>
      </c>
      <c r="D104" s="0" t="s">
        <v>48</v>
      </c>
      <c r="E104" s="0" t="str">
        <f aca="false">B104&amp;"|"&amp;C104&amp;"|"&amp;D104</f>
        <v>Karonga District [cPtvxaZqXIH]|15-24|Male</v>
      </c>
      <c r="F104" s="10" t="str">
        <f aca="false">IF(LEFT($B104,4)="_Mil","",INDEX(Cascade!$U:$U,MATCH($E104,Cascade!$E:$E,0)))</f>
        <v/>
      </c>
      <c r="G104" s="10" t="str">
        <f aca="false">IFERROR(1/(1/INDEX(HTS!$AT:$AT,MATCH($E104,HTS!$E:$E,0))),"")</f>
        <v/>
      </c>
      <c r="H104" s="10" t="str">
        <f aca="false">IF(OR($C104="15-24",$C104="25-34"),IFERROR(1/(1/SUM(SUMIFS(AGYW!$S:$S,AGYW!$B:$B,$B104,AGYW!$C:$C,IF($C104="15-24",{"15-19","20-24"},{"25-29"}),AGYW!$D:$D,$D104))),""),"")</f>
        <v/>
      </c>
      <c r="I104" s="10" t="str">
        <f aca="false">IF(OR($C104="15-24",$C104="25-34"),IFERROR(1/(1/SUM(SUMIFS(AGYW!$T:$T,AGYW!$B:$B,$B104,AGYW!$C:$C,IF($C104="15-24",{"15-19","20-24"},{"25-29"}),AGYW!$D:$D,$D104))),""),"")</f>
        <v/>
      </c>
      <c r="J104" s="10"/>
      <c r="K104" s="10"/>
      <c r="L104" s="39" t="str">
        <f aca="false">IF(SUM($K104)=0,"",$K104)</f>
        <v/>
      </c>
      <c r="M104" s="10"/>
      <c r="N104" s="10"/>
      <c r="O104" s="39" t="str">
        <f aca="false">IF(SUM($N104)=0,"",$N104)</f>
        <v/>
      </c>
      <c r="P104" s="10" t="n">
        <f aca="false">2</f>
        <v>2</v>
      </c>
      <c r="Q104" s="39" t="str">
        <f aca="false">IF(SUM($O104)=0,"",$O104*$P104)</f>
        <v/>
      </c>
    </row>
    <row r="105" customFormat="false" ht="15" hidden="false" customHeight="false" outlineLevel="0" collapsed="false">
      <c r="A105" s="0" t="str">
        <f aca="false">INDEX(Prioritization!$D:$D,MATCH($B105,Prioritization!$A:$A,0))</f>
        <v>INVALID</v>
      </c>
      <c r="B105" s="0" t="s">
        <v>205</v>
      </c>
      <c r="C105" s="0" t="s">
        <v>366</v>
      </c>
      <c r="D105" s="0" t="s">
        <v>30</v>
      </c>
      <c r="E105" s="0" t="str">
        <f aca="false">B105&amp;"|"&amp;C105&amp;"|"&amp;D105</f>
        <v>Karonga District [cPtvxaZqXIH]|25-34|Female</v>
      </c>
      <c r="F105" s="10" t="str">
        <f aca="false">IF(LEFT($B105,4)="_Mil","",INDEX(Cascade!$U:$U,MATCH($E105,Cascade!$E:$E,0)))</f>
        <v/>
      </c>
      <c r="G105" s="10" t="str">
        <f aca="false">IFERROR(1/(1/INDEX(HTS!$AT:$AT,MATCH($E105,HTS!$E:$E,0))),"")</f>
        <v/>
      </c>
      <c r="H105" s="10" t="str">
        <f aca="false">IF(OR($C105="15-24",$C105="25-34"),IFERROR(1/(1/SUM(SUMIFS(AGYW!$S:$S,AGYW!$B:$B,$B105,AGYW!$C:$C,IF($C105="15-24",{"15-19","20-24"},{"25-29"}),AGYW!$D:$D,$D105))),""),"")</f>
        <v/>
      </c>
      <c r="I105" s="10" t="str">
        <f aca="false">IF(OR($C105="15-24",$C105="25-34"),IFERROR(1/(1/SUM(SUMIFS(AGYW!$T:$T,AGYW!$B:$B,$B105,AGYW!$C:$C,IF($C105="15-24",{"15-19","20-24"},{"25-29"}),AGYW!$D:$D,$D105))),""),"")</f>
        <v/>
      </c>
      <c r="J105" s="10"/>
      <c r="K105" s="10"/>
      <c r="L105" s="39" t="str">
        <f aca="false">IF(SUM($K105)=0,"",$K105)</f>
        <v/>
      </c>
      <c r="M105" s="10"/>
      <c r="N105" s="10"/>
      <c r="O105" s="39" t="str">
        <f aca="false">IF(SUM($N105)=0,"",$N105)</f>
        <v/>
      </c>
      <c r="P105" s="10" t="n">
        <f aca="false">2</f>
        <v>2</v>
      </c>
      <c r="Q105" s="39" t="str">
        <f aca="false">IF(SUM($O105)=0,"",$O105*$P105)</f>
        <v/>
      </c>
    </row>
    <row r="106" customFormat="false" ht="15" hidden="false" customHeight="false" outlineLevel="0" collapsed="false">
      <c r="A106" s="0" t="str">
        <f aca="false">INDEX(Prioritization!$D:$D,MATCH($B106,Prioritization!$A:$A,0))</f>
        <v>INVALID</v>
      </c>
      <c r="B106" s="0" t="s">
        <v>205</v>
      </c>
      <c r="C106" s="0" t="s">
        <v>366</v>
      </c>
      <c r="D106" s="0" t="s">
        <v>48</v>
      </c>
      <c r="E106" s="0" t="str">
        <f aca="false">B106&amp;"|"&amp;C106&amp;"|"&amp;D106</f>
        <v>Karonga District [cPtvxaZqXIH]|25-34|Male</v>
      </c>
      <c r="F106" s="10" t="str">
        <f aca="false">IF(LEFT($B106,4)="_Mil","",INDEX(Cascade!$U:$U,MATCH($E106,Cascade!$E:$E,0)))</f>
        <v/>
      </c>
      <c r="G106" s="10" t="str">
        <f aca="false">IFERROR(1/(1/INDEX(HTS!$AT:$AT,MATCH($E106,HTS!$E:$E,0))),"")</f>
        <v/>
      </c>
      <c r="H106" s="10" t="str">
        <f aca="false">IF(OR($C106="15-24",$C106="25-34"),IFERROR(1/(1/SUM(SUMIFS(AGYW!$S:$S,AGYW!$B:$B,$B106,AGYW!$C:$C,IF($C106="15-24",{"15-19","20-24"},{"25-29"}),AGYW!$D:$D,$D106))),""),"")</f>
        <v/>
      </c>
      <c r="I106" s="10" t="str">
        <f aca="false">IF(OR($C106="15-24",$C106="25-34"),IFERROR(1/(1/SUM(SUMIFS(AGYW!$T:$T,AGYW!$B:$B,$B106,AGYW!$C:$C,IF($C106="15-24",{"15-19","20-24"},{"25-29"}),AGYW!$D:$D,$D106))),""),"")</f>
        <v/>
      </c>
      <c r="J106" s="10"/>
      <c r="K106" s="10"/>
      <c r="L106" s="39" t="str">
        <f aca="false">IF(SUM($K106)=0,"",$K106)</f>
        <v/>
      </c>
      <c r="M106" s="10"/>
      <c r="N106" s="10"/>
      <c r="O106" s="39" t="str">
        <f aca="false">IF(SUM($N106)=0,"",$N106)</f>
        <v/>
      </c>
      <c r="P106" s="10" t="n">
        <f aca="false">2</f>
        <v>2</v>
      </c>
      <c r="Q106" s="39" t="str">
        <f aca="false">IF(SUM($O106)=0,"",$O106*$P106)</f>
        <v/>
      </c>
    </row>
    <row r="107" customFormat="false" ht="15" hidden="false" customHeight="false" outlineLevel="0" collapsed="false">
      <c r="A107" s="0" t="str">
        <f aca="false">INDEX(Prioritization!$D:$D,MATCH($B107,Prioritization!$A:$A,0))</f>
        <v>INVALID</v>
      </c>
      <c r="B107" s="0" t="s">
        <v>205</v>
      </c>
      <c r="C107" s="0" t="s">
        <v>367</v>
      </c>
      <c r="D107" s="0" t="s">
        <v>30</v>
      </c>
      <c r="E107" s="0" t="str">
        <f aca="false">B107&amp;"|"&amp;C107&amp;"|"&amp;D107</f>
        <v>Karonga District [cPtvxaZqXIH]|35-49|Female</v>
      </c>
      <c r="F107" s="10" t="str">
        <f aca="false">IF(LEFT($B107,4)="_Mil","",INDEX(Cascade!$U:$U,MATCH($E107,Cascade!$E:$E,0)))</f>
        <v/>
      </c>
      <c r="G107" s="10" t="str">
        <f aca="false">IFERROR(1/(1/INDEX(HTS!$AT:$AT,MATCH($E107,HTS!$E:$E,0))),"")</f>
        <v/>
      </c>
      <c r="H107" s="10" t="str">
        <f aca="false">IF(OR($C107="15-24",$C107="25-34"),IFERROR(1/(1/SUM(SUMIFS(AGYW!$S:$S,AGYW!$B:$B,$B107,AGYW!$C:$C,IF($C107="15-24",{"15-19","20-24"},{"25-29"}),AGYW!$D:$D,$D107))),""),"")</f>
        <v/>
      </c>
      <c r="I107" s="10" t="str">
        <f aca="false">IF(OR($C107="15-24",$C107="25-34"),IFERROR(1/(1/SUM(SUMIFS(AGYW!$T:$T,AGYW!$B:$B,$B107,AGYW!$C:$C,IF($C107="15-24",{"15-19","20-24"},{"25-29"}),AGYW!$D:$D,$D107))),""),"")</f>
        <v/>
      </c>
      <c r="J107" s="10"/>
      <c r="K107" s="10"/>
      <c r="L107" s="39" t="str">
        <f aca="false">IF(SUM($K107)=0,"",$K107)</f>
        <v/>
      </c>
      <c r="M107" s="10"/>
      <c r="N107" s="10"/>
      <c r="O107" s="39" t="str">
        <f aca="false">IF(SUM($N107)=0,"",$N107)</f>
        <v/>
      </c>
      <c r="P107" s="10" t="n">
        <f aca="false">2</f>
        <v>2</v>
      </c>
      <c r="Q107" s="39" t="str">
        <f aca="false">IF(SUM($O107)=0,"",$O107*$P107)</f>
        <v/>
      </c>
    </row>
    <row r="108" customFormat="false" ht="15" hidden="false" customHeight="false" outlineLevel="0" collapsed="false">
      <c r="A108" s="0" t="str">
        <f aca="false">INDEX(Prioritization!$D:$D,MATCH($B108,Prioritization!$A:$A,0))</f>
        <v>INVALID</v>
      </c>
      <c r="B108" s="0" t="s">
        <v>205</v>
      </c>
      <c r="C108" s="0" t="s">
        <v>367</v>
      </c>
      <c r="D108" s="0" t="s">
        <v>48</v>
      </c>
      <c r="E108" s="0" t="str">
        <f aca="false">B108&amp;"|"&amp;C108&amp;"|"&amp;D108</f>
        <v>Karonga District [cPtvxaZqXIH]|35-49|Male</v>
      </c>
      <c r="F108" s="10" t="str">
        <f aca="false">IF(LEFT($B108,4)="_Mil","",INDEX(Cascade!$U:$U,MATCH($E108,Cascade!$E:$E,0)))</f>
        <v/>
      </c>
      <c r="G108" s="10" t="str">
        <f aca="false">IFERROR(1/(1/INDEX(HTS!$AT:$AT,MATCH($E108,HTS!$E:$E,0))),"")</f>
        <v/>
      </c>
      <c r="H108" s="10" t="str">
        <f aca="false">IF(OR($C108="15-24",$C108="25-34"),IFERROR(1/(1/SUM(SUMIFS(AGYW!$S:$S,AGYW!$B:$B,$B108,AGYW!$C:$C,IF($C108="15-24",{"15-19","20-24"},{"25-29"}),AGYW!$D:$D,$D108))),""),"")</f>
        <v/>
      </c>
      <c r="I108" s="10" t="str">
        <f aca="false">IF(OR($C108="15-24",$C108="25-34"),IFERROR(1/(1/SUM(SUMIFS(AGYW!$T:$T,AGYW!$B:$B,$B108,AGYW!$C:$C,IF($C108="15-24",{"15-19","20-24"},{"25-29"}),AGYW!$D:$D,$D108))),""),"")</f>
        <v/>
      </c>
      <c r="J108" s="10"/>
      <c r="K108" s="10"/>
      <c r="L108" s="39" t="str">
        <f aca="false">IF(SUM($K108)=0,"",$K108)</f>
        <v/>
      </c>
      <c r="M108" s="10"/>
      <c r="N108" s="10"/>
      <c r="O108" s="39" t="str">
        <f aca="false">IF(SUM($N108)=0,"",$N108)</f>
        <v/>
      </c>
      <c r="P108" s="10" t="n">
        <f aca="false">2</f>
        <v>2</v>
      </c>
      <c r="Q108" s="39" t="str">
        <f aca="false">IF(SUM($O108)=0,"",$O108*$P108)</f>
        <v/>
      </c>
    </row>
    <row r="109" customFormat="false" ht="15" hidden="false" customHeight="false" outlineLevel="0" collapsed="false">
      <c r="A109" s="0" t="str">
        <f aca="false">INDEX(Prioritization!$D:$D,MATCH($B109,Prioritization!$A:$A,0))</f>
        <v>INVALID</v>
      </c>
      <c r="B109" s="0" t="s">
        <v>205</v>
      </c>
      <c r="C109" s="0" t="s">
        <v>368</v>
      </c>
      <c r="D109" s="0" t="s">
        <v>30</v>
      </c>
      <c r="E109" s="0" t="str">
        <f aca="false">B109&amp;"|"&amp;C109&amp;"|"&amp;D109</f>
        <v>Karonga District [cPtvxaZqXIH]|50+|Female</v>
      </c>
      <c r="F109" s="10" t="str">
        <f aca="false">IF(LEFT($B109,4)="_Mil","",INDEX(Cascade!$U:$U,MATCH($E109,Cascade!$E:$E,0)))</f>
        <v/>
      </c>
      <c r="G109" s="10" t="str">
        <f aca="false">IFERROR(1/(1/INDEX(HTS!$AT:$AT,MATCH($E109,HTS!$E:$E,0))),"")</f>
        <v/>
      </c>
      <c r="H109" s="10" t="str">
        <f aca="false">IF(OR($C109="15-24",$C109="25-34"),IFERROR(1/(1/SUM(SUMIFS(AGYW!$S:$S,AGYW!$B:$B,$B109,AGYW!$C:$C,IF($C109="15-24",{"15-19","20-24"},{"25-29"}),AGYW!$D:$D,$D109))),""),"")</f>
        <v/>
      </c>
      <c r="I109" s="10" t="str">
        <f aca="false">IF(OR($C109="15-24",$C109="25-34"),IFERROR(1/(1/SUM(SUMIFS(AGYW!$T:$T,AGYW!$B:$B,$B109,AGYW!$C:$C,IF($C109="15-24",{"15-19","20-24"},{"25-29"}),AGYW!$D:$D,$D109))),""),"")</f>
        <v/>
      </c>
      <c r="J109" s="10"/>
      <c r="K109" s="10"/>
      <c r="L109" s="39" t="str">
        <f aca="false">IF(SUM($K109)=0,"",$K109)</f>
        <v/>
      </c>
      <c r="M109" s="10"/>
      <c r="N109" s="10"/>
      <c r="O109" s="39" t="str">
        <f aca="false">IF(SUM($N109)=0,"",$N109)</f>
        <v/>
      </c>
      <c r="P109" s="10" t="n">
        <f aca="false">2</f>
        <v>2</v>
      </c>
      <c r="Q109" s="39" t="str">
        <f aca="false">IF(SUM($O109)=0,"",$O109*$P109)</f>
        <v/>
      </c>
    </row>
    <row r="110" customFormat="false" ht="15" hidden="false" customHeight="false" outlineLevel="0" collapsed="false">
      <c r="A110" s="0" t="str">
        <f aca="false">INDEX(Prioritization!$D:$D,MATCH($B110,Prioritization!$A:$A,0))</f>
        <v>INVALID</v>
      </c>
      <c r="B110" s="0" t="s">
        <v>205</v>
      </c>
      <c r="C110" s="0" t="s">
        <v>368</v>
      </c>
      <c r="D110" s="0" t="s">
        <v>48</v>
      </c>
      <c r="E110" s="0" t="str">
        <f aca="false">B110&amp;"|"&amp;C110&amp;"|"&amp;D110</f>
        <v>Karonga District [cPtvxaZqXIH]|50+|Male</v>
      </c>
      <c r="F110" s="10" t="str">
        <f aca="false">IF(LEFT($B110,4)="_Mil","",INDEX(Cascade!$U:$U,MATCH($E110,Cascade!$E:$E,0)))</f>
        <v/>
      </c>
      <c r="G110" s="10" t="str">
        <f aca="false">IFERROR(1/(1/INDEX(HTS!$AT:$AT,MATCH($E110,HTS!$E:$E,0))),"")</f>
        <v/>
      </c>
      <c r="H110" s="10" t="str">
        <f aca="false">IF(OR($C110="15-24",$C110="25-34"),IFERROR(1/(1/SUM(SUMIFS(AGYW!$S:$S,AGYW!$B:$B,$B110,AGYW!$C:$C,IF($C110="15-24",{"15-19","20-24"},{"25-29"}),AGYW!$D:$D,$D110))),""),"")</f>
        <v/>
      </c>
      <c r="I110" s="10" t="str">
        <f aca="false">IF(OR($C110="15-24",$C110="25-34"),IFERROR(1/(1/SUM(SUMIFS(AGYW!$T:$T,AGYW!$B:$B,$B110,AGYW!$C:$C,IF($C110="15-24",{"15-19","20-24"},{"25-29"}),AGYW!$D:$D,$D110))),""),"")</f>
        <v/>
      </c>
      <c r="J110" s="10"/>
      <c r="K110" s="10"/>
      <c r="L110" s="39" t="str">
        <f aca="false">IF(SUM($K110)=0,"",$K110)</f>
        <v/>
      </c>
      <c r="M110" s="10"/>
      <c r="N110" s="10"/>
      <c r="O110" s="39" t="str">
        <f aca="false">IF(SUM($N110)=0,"",$N110)</f>
        <v/>
      </c>
      <c r="P110" s="10" t="n">
        <f aca="false">2</f>
        <v>2</v>
      </c>
      <c r="Q110" s="39" t="str">
        <f aca="false">IF(SUM($O110)=0,"",$O110*$P110)</f>
        <v/>
      </c>
    </row>
    <row r="111" customFormat="false" ht="15" hidden="false" customHeight="false" outlineLevel="0" collapsed="false">
      <c r="A111" s="0" t="str">
        <f aca="false">INDEX(Prioritization!$D:$D,MATCH($B111,Prioritization!$A:$A,0))</f>
        <v>INVALID</v>
      </c>
      <c r="B111" s="0" t="s">
        <v>206</v>
      </c>
      <c r="C111" s="0" t="s">
        <v>365</v>
      </c>
      <c r="D111" s="0" t="s">
        <v>30</v>
      </c>
      <c r="E111" s="0" t="str">
        <f aca="false">B111&amp;"|"&amp;C111&amp;"|"&amp;D111</f>
        <v>Likoma District [ZCjuwgaMB9u]|15-24|Female</v>
      </c>
      <c r="F111" s="10" t="str">
        <f aca="false">IF(LEFT($B111,4)="_Mil","",INDEX(Cascade!$U:$U,MATCH($E111,Cascade!$E:$E,0)))</f>
        <v/>
      </c>
      <c r="G111" s="10" t="str">
        <f aca="false">IFERROR(1/(1/INDEX(HTS!$AT:$AT,MATCH($E111,HTS!$E:$E,0))),"")</f>
        <v/>
      </c>
      <c r="H111" s="10" t="str">
        <f aca="false">IF(OR($C111="15-24",$C111="25-34"),IFERROR(1/(1/SUM(SUMIFS(AGYW!$S:$S,AGYW!$B:$B,$B111,AGYW!$C:$C,IF($C111="15-24",{"15-19","20-24"},{"25-29"}),AGYW!$D:$D,$D111))),""),"")</f>
        <v/>
      </c>
      <c r="I111" s="10" t="str">
        <f aca="false">IF(OR($C111="15-24",$C111="25-34"),IFERROR(1/(1/SUM(SUMIFS(AGYW!$T:$T,AGYW!$B:$B,$B111,AGYW!$C:$C,IF($C111="15-24",{"15-19","20-24"},{"25-29"}),AGYW!$D:$D,$D111))),""),"")</f>
        <v/>
      </c>
      <c r="J111" s="10"/>
      <c r="K111" s="10"/>
      <c r="L111" s="39" t="str">
        <f aca="false">IF(SUM($K111)=0,"",$K111)</f>
        <v/>
      </c>
      <c r="M111" s="10"/>
      <c r="N111" s="10"/>
      <c r="O111" s="39" t="str">
        <f aca="false">IF(SUM($N111)=0,"",$N111)</f>
        <v/>
      </c>
      <c r="P111" s="10" t="n">
        <f aca="false">2</f>
        <v>2</v>
      </c>
      <c r="Q111" s="39" t="str">
        <f aca="false">IF(SUM($O111)=0,"",$O111*$P111)</f>
        <v/>
      </c>
    </row>
    <row r="112" customFormat="false" ht="15" hidden="false" customHeight="false" outlineLevel="0" collapsed="false">
      <c r="A112" s="0" t="str">
        <f aca="false">INDEX(Prioritization!$D:$D,MATCH($B112,Prioritization!$A:$A,0))</f>
        <v>INVALID</v>
      </c>
      <c r="B112" s="0" t="s">
        <v>206</v>
      </c>
      <c r="C112" s="0" t="s">
        <v>365</v>
      </c>
      <c r="D112" s="0" t="s">
        <v>48</v>
      </c>
      <c r="E112" s="0" t="str">
        <f aca="false">B112&amp;"|"&amp;C112&amp;"|"&amp;D112</f>
        <v>Likoma District [ZCjuwgaMB9u]|15-24|Male</v>
      </c>
      <c r="F112" s="10" t="str">
        <f aca="false">IF(LEFT($B112,4)="_Mil","",INDEX(Cascade!$U:$U,MATCH($E112,Cascade!$E:$E,0)))</f>
        <v/>
      </c>
      <c r="G112" s="10" t="str">
        <f aca="false">IFERROR(1/(1/INDEX(HTS!$AT:$AT,MATCH($E112,HTS!$E:$E,0))),"")</f>
        <v/>
      </c>
      <c r="H112" s="10" t="str">
        <f aca="false">IF(OR($C112="15-24",$C112="25-34"),IFERROR(1/(1/SUM(SUMIFS(AGYW!$S:$S,AGYW!$B:$B,$B112,AGYW!$C:$C,IF($C112="15-24",{"15-19","20-24"},{"25-29"}),AGYW!$D:$D,$D112))),""),"")</f>
        <v/>
      </c>
      <c r="I112" s="10" t="str">
        <f aca="false">IF(OR($C112="15-24",$C112="25-34"),IFERROR(1/(1/SUM(SUMIFS(AGYW!$T:$T,AGYW!$B:$B,$B112,AGYW!$C:$C,IF($C112="15-24",{"15-19","20-24"},{"25-29"}),AGYW!$D:$D,$D112))),""),"")</f>
        <v/>
      </c>
      <c r="J112" s="10"/>
      <c r="K112" s="10"/>
      <c r="L112" s="39" t="str">
        <f aca="false">IF(SUM($K112)=0,"",$K112)</f>
        <v/>
      </c>
      <c r="M112" s="10"/>
      <c r="N112" s="10"/>
      <c r="O112" s="39" t="str">
        <f aca="false">IF(SUM($N112)=0,"",$N112)</f>
        <v/>
      </c>
      <c r="P112" s="10" t="n">
        <f aca="false">2</f>
        <v>2</v>
      </c>
      <c r="Q112" s="39" t="str">
        <f aca="false">IF(SUM($O112)=0,"",$O112*$P112)</f>
        <v/>
      </c>
    </row>
    <row r="113" customFormat="false" ht="15" hidden="false" customHeight="false" outlineLevel="0" collapsed="false">
      <c r="A113" s="0" t="str">
        <f aca="false">INDEX(Prioritization!$D:$D,MATCH($B113,Prioritization!$A:$A,0))</f>
        <v>INVALID</v>
      </c>
      <c r="B113" s="0" t="s">
        <v>206</v>
      </c>
      <c r="C113" s="0" t="s">
        <v>366</v>
      </c>
      <c r="D113" s="0" t="s">
        <v>30</v>
      </c>
      <c r="E113" s="0" t="str">
        <f aca="false">B113&amp;"|"&amp;C113&amp;"|"&amp;D113</f>
        <v>Likoma District [ZCjuwgaMB9u]|25-34|Female</v>
      </c>
      <c r="F113" s="10" t="str">
        <f aca="false">IF(LEFT($B113,4)="_Mil","",INDEX(Cascade!$U:$U,MATCH($E113,Cascade!$E:$E,0)))</f>
        <v/>
      </c>
      <c r="G113" s="10" t="str">
        <f aca="false">IFERROR(1/(1/INDEX(HTS!$AT:$AT,MATCH($E113,HTS!$E:$E,0))),"")</f>
        <v/>
      </c>
      <c r="H113" s="10" t="str">
        <f aca="false">IF(OR($C113="15-24",$C113="25-34"),IFERROR(1/(1/SUM(SUMIFS(AGYW!$S:$S,AGYW!$B:$B,$B113,AGYW!$C:$C,IF($C113="15-24",{"15-19","20-24"},{"25-29"}),AGYW!$D:$D,$D113))),""),"")</f>
        <v/>
      </c>
      <c r="I113" s="10" t="str">
        <f aca="false">IF(OR($C113="15-24",$C113="25-34"),IFERROR(1/(1/SUM(SUMIFS(AGYW!$T:$T,AGYW!$B:$B,$B113,AGYW!$C:$C,IF($C113="15-24",{"15-19","20-24"},{"25-29"}),AGYW!$D:$D,$D113))),""),"")</f>
        <v/>
      </c>
      <c r="J113" s="10"/>
      <c r="K113" s="10"/>
      <c r="L113" s="39" t="str">
        <f aca="false">IF(SUM($K113)=0,"",$K113)</f>
        <v/>
      </c>
      <c r="M113" s="10"/>
      <c r="N113" s="10"/>
      <c r="O113" s="39" t="str">
        <f aca="false">IF(SUM($N113)=0,"",$N113)</f>
        <v/>
      </c>
      <c r="P113" s="10" t="n">
        <f aca="false">2</f>
        <v>2</v>
      </c>
      <c r="Q113" s="39" t="str">
        <f aca="false">IF(SUM($O113)=0,"",$O113*$P113)</f>
        <v/>
      </c>
    </row>
    <row r="114" customFormat="false" ht="15" hidden="false" customHeight="false" outlineLevel="0" collapsed="false">
      <c r="A114" s="0" t="str">
        <f aca="false">INDEX(Prioritization!$D:$D,MATCH($B114,Prioritization!$A:$A,0))</f>
        <v>INVALID</v>
      </c>
      <c r="B114" s="0" t="s">
        <v>206</v>
      </c>
      <c r="C114" s="0" t="s">
        <v>366</v>
      </c>
      <c r="D114" s="0" t="s">
        <v>48</v>
      </c>
      <c r="E114" s="0" t="str">
        <f aca="false">B114&amp;"|"&amp;C114&amp;"|"&amp;D114</f>
        <v>Likoma District [ZCjuwgaMB9u]|25-34|Male</v>
      </c>
      <c r="F114" s="10" t="str">
        <f aca="false">IF(LEFT($B114,4)="_Mil","",INDEX(Cascade!$U:$U,MATCH($E114,Cascade!$E:$E,0)))</f>
        <v/>
      </c>
      <c r="G114" s="10" t="str">
        <f aca="false">IFERROR(1/(1/INDEX(HTS!$AT:$AT,MATCH($E114,HTS!$E:$E,0))),"")</f>
        <v/>
      </c>
      <c r="H114" s="10" t="str">
        <f aca="false">IF(OR($C114="15-24",$C114="25-34"),IFERROR(1/(1/SUM(SUMIFS(AGYW!$S:$S,AGYW!$B:$B,$B114,AGYW!$C:$C,IF($C114="15-24",{"15-19","20-24"},{"25-29"}),AGYW!$D:$D,$D114))),""),"")</f>
        <v/>
      </c>
      <c r="I114" s="10" t="str">
        <f aca="false">IF(OR($C114="15-24",$C114="25-34"),IFERROR(1/(1/SUM(SUMIFS(AGYW!$T:$T,AGYW!$B:$B,$B114,AGYW!$C:$C,IF($C114="15-24",{"15-19","20-24"},{"25-29"}),AGYW!$D:$D,$D114))),""),"")</f>
        <v/>
      </c>
      <c r="J114" s="10"/>
      <c r="K114" s="10"/>
      <c r="L114" s="39" t="str">
        <f aca="false">IF(SUM($K114)=0,"",$K114)</f>
        <v/>
      </c>
      <c r="M114" s="10"/>
      <c r="N114" s="10"/>
      <c r="O114" s="39" t="str">
        <f aca="false">IF(SUM($N114)=0,"",$N114)</f>
        <v/>
      </c>
      <c r="P114" s="10" t="n">
        <f aca="false">2</f>
        <v>2</v>
      </c>
      <c r="Q114" s="39" t="str">
        <f aca="false">IF(SUM($O114)=0,"",$O114*$P114)</f>
        <v/>
      </c>
    </row>
    <row r="115" customFormat="false" ht="15" hidden="false" customHeight="false" outlineLevel="0" collapsed="false">
      <c r="A115" s="0" t="str">
        <f aca="false">INDEX(Prioritization!$D:$D,MATCH($B115,Prioritization!$A:$A,0))</f>
        <v>INVALID</v>
      </c>
      <c r="B115" s="0" t="s">
        <v>206</v>
      </c>
      <c r="C115" s="0" t="s">
        <v>367</v>
      </c>
      <c r="D115" s="0" t="s">
        <v>30</v>
      </c>
      <c r="E115" s="0" t="str">
        <f aca="false">B115&amp;"|"&amp;C115&amp;"|"&amp;D115</f>
        <v>Likoma District [ZCjuwgaMB9u]|35-49|Female</v>
      </c>
      <c r="F115" s="10" t="str">
        <f aca="false">IF(LEFT($B115,4)="_Mil","",INDEX(Cascade!$U:$U,MATCH($E115,Cascade!$E:$E,0)))</f>
        <v/>
      </c>
      <c r="G115" s="10" t="str">
        <f aca="false">IFERROR(1/(1/INDEX(HTS!$AT:$AT,MATCH($E115,HTS!$E:$E,0))),"")</f>
        <v/>
      </c>
      <c r="H115" s="10" t="str">
        <f aca="false">IF(OR($C115="15-24",$C115="25-34"),IFERROR(1/(1/SUM(SUMIFS(AGYW!$S:$S,AGYW!$B:$B,$B115,AGYW!$C:$C,IF($C115="15-24",{"15-19","20-24"},{"25-29"}),AGYW!$D:$D,$D115))),""),"")</f>
        <v/>
      </c>
      <c r="I115" s="10" t="str">
        <f aca="false">IF(OR($C115="15-24",$C115="25-34"),IFERROR(1/(1/SUM(SUMIFS(AGYW!$T:$T,AGYW!$B:$B,$B115,AGYW!$C:$C,IF($C115="15-24",{"15-19","20-24"},{"25-29"}),AGYW!$D:$D,$D115))),""),"")</f>
        <v/>
      </c>
      <c r="J115" s="10"/>
      <c r="K115" s="10"/>
      <c r="L115" s="39" t="str">
        <f aca="false">IF(SUM($K115)=0,"",$K115)</f>
        <v/>
      </c>
      <c r="M115" s="10"/>
      <c r="N115" s="10"/>
      <c r="O115" s="39" t="str">
        <f aca="false">IF(SUM($N115)=0,"",$N115)</f>
        <v/>
      </c>
      <c r="P115" s="10" t="n">
        <f aca="false">2</f>
        <v>2</v>
      </c>
      <c r="Q115" s="39" t="str">
        <f aca="false">IF(SUM($O115)=0,"",$O115*$P115)</f>
        <v/>
      </c>
    </row>
    <row r="116" customFormat="false" ht="15" hidden="false" customHeight="false" outlineLevel="0" collapsed="false">
      <c r="A116" s="0" t="str">
        <f aca="false">INDEX(Prioritization!$D:$D,MATCH($B116,Prioritization!$A:$A,0))</f>
        <v>INVALID</v>
      </c>
      <c r="B116" s="0" t="s">
        <v>206</v>
      </c>
      <c r="C116" s="0" t="s">
        <v>367</v>
      </c>
      <c r="D116" s="0" t="s">
        <v>48</v>
      </c>
      <c r="E116" s="0" t="str">
        <f aca="false">B116&amp;"|"&amp;C116&amp;"|"&amp;D116</f>
        <v>Likoma District [ZCjuwgaMB9u]|35-49|Male</v>
      </c>
      <c r="F116" s="10" t="str">
        <f aca="false">IF(LEFT($B116,4)="_Mil","",INDEX(Cascade!$U:$U,MATCH($E116,Cascade!$E:$E,0)))</f>
        <v/>
      </c>
      <c r="G116" s="10" t="str">
        <f aca="false">IFERROR(1/(1/INDEX(HTS!$AT:$AT,MATCH($E116,HTS!$E:$E,0))),"")</f>
        <v/>
      </c>
      <c r="H116" s="10" t="str">
        <f aca="false">IF(OR($C116="15-24",$C116="25-34"),IFERROR(1/(1/SUM(SUMIFS(AGYW!$S:$S,AGYW!$B:$B,$B116,AGYW!$C:$C,IF($C116="15-24",{"15-19","20-24"},{"25-29"}),AGYW!$D:$D,$D116))),""),"")</f>
        <v/>
      </c>
      <c r="I116" s="10" t="str">
        <f aca="false">IF(OR($C116="15-24",$C116="25-34"),IFERROR(1/(1/SUM(SUMIFS(AGYW!$T:$T,AGYW!$B:$B,$B116,AGYW!$C:$C,IF($C116="15-24",{"15-19","20-24"},{"25-29"}),AGYW!$D:$D,$D116))),""),"")</f>
        <v/>
      </c>
      <c r="J116" s="10"/>
      <c r="K116" s="10"/>
      <c r="L116" s="39" t="str">
        <f aca="false">IF(SUM($K116)=0,"",$K116)</f>
        <v/>
      </c>
      <c r="M116" s="10"/>
      <c r="N116" s="10"/>
      <c r="O116" s="39" t="str">
        <f aca="false">IF(SUM($N116)=0,"",$N116)</f>
        <v/>
      </c>
      <c r="P116" s="10" t="n">
        <f aca="false">2</f>
        <v>2</v>
      </c>
      <c r="Q116" s="39" t="str">
        <f aca="false">IF(SUM($O116)=0,"",$O116*$P116)</f>
        <v/>
      </c>
    </row>
    <row r="117" customFormat="false" ht="15" hidden="false" customHeight="false" outlineLevel="0" collapsed="false">
      <c r="A117" s="0" t="str">
        <f aca="false">INDEX(Prioritization!$D:$D,MATCH($B117,Prioritization!$A:$A,0))</f>
        <v>INVALID</v>
      </c>
      <c r="B117" s="0" t="s">
        <v>206</v>
      </c>
      <c r="C117" s="0" t="s">
        <v>368</v>
      </c>
      <c r="D117" s="0" t="s">
        <v>30</v>
      </c>
      <c r="E117" s="0" t="str">
        <f aca="false">B117&amp;"|"&amp;C117&amp;"|"&amp;D117</f>
        <v>Likoma District [ZCjuwgaMB9u]|50+|Female</v>
      </c>
      <c r="F117" s="10" t="str">
        <f aca="false">IF(LEFT($B117,4)="_Mil","",INDEX(Cascade!$U:$U,MATCH($E117,Cascade!$E:$E,0)))</f>
        <v/>
      </c>
      <c r="G117" s="10" t="str">
        <f aca="false">IFERROR(1/(1/INDEX(HTS!$AT:$AT,MATCH($E117,HTS!$E:$E,0))),"")</f>
        <v/>
      </c>
      <c r="H117" s="10" t="str">
        <f aca="false">IF(OR($C117="15-24",$C117="25-34"),IFERROR(1/(1/SUM(SUMIFS(AGYW!$S:$S,AGYW!$B:$B,$B117,AGYW!$C:$C,IF($C117="15-24",{"15-19","20-24"},{"25-29"}),AGYW!$D:$D,$D117))),""),"")</f>
        <v/>
      </c>
      <c r="I117" s="10" t="str">
        <f aca="false">IF(OR($C117="15-24",$C117="25-34"),IFERROR(1/(1/SUM(SUMIFS(AGYW!$T:$T,AGYW!$B:$B,$B117,AGYW!$C:$C,IF($C117="15-24",{"15-19","20-24"},{"25-29"}),AGYW!$D:$D,$D117))),""),"")</f>
        <v/>
      </c>
      <c r="J117" s="10"/>
      <c r="K117" s="10"/>
      <c r="L117" s="39" t="str">
        <f aca="false">IF(SUM($K117)=0,"",$K117)</f>
        <v/>
      </c>
      <c r="M117" s="10"/>
      <c r="N117" s="10"/>
      <c r="O117" s="39" t="str">
        <f aca="false">IF(SUM($N117)=0,"",$N117)</f>
        <v/>
      </c>
      <c r="P117" s="10" t="n">
        <f aca="false">2</f>
        <v>2</v>
      </c>
      <c r="Q117" s="39" t="str">
        <f aca="false">IF(SUM($O117)=0,"",$O117*$P117)</f>
        <v/>
      </c>
    </row>
    <row r="118" customFormat="false" ht="15" hidden="false" customHeight="false" outlineLevel="0" collapsed="false">
      <c r="A118" s="0" t="str">
        <f aca="false">INDEX(Prioritization!$D:$D,MATCH($B118,Prioritization!$A:$A,0))</f>
        <v>INVALID</v>
      </c>
      <c r="B118" s="0" t="s">
        <v>206</v>
      </c>
      <c r="C118" s="0" t="s">
        <v>368</v>
      </c>
      <c r="D118" s="0" t="s">
        <v>48</v>
      </c>
      <c r="E118" s="0" t="str">
        <f aca="false">B118&amp;"|"&amp;C118&amp;"|"&amp;D118</f>
        <v>Likoma District [ZCjuwgaMB9u]|50+|Male</v>
      </c>
      <c r="F118" s="10" t="str">
        <f aca="false">IF(LEFT($B118,4)="_Mil","",INDEX(Cascade!$U:$U,MATCH($E118,Cascade!$E:$E,0)))</f>
        <v/>
      </c>
      <c r="G118" s="10" t="str">
        <f aca="false">IFERROR(1/(1/INDEX(HTS!$AT:$AT,MATCH($E118,HTS!$E:$E,0))),"")</f>
        <v/>
      </c>
      <c r="H118" s="10" t="str">
        <f aca="false">IF(OR($C118="15-24",$C118="25-34"),IFERROR(1/(1/SUM(SUMIFS(AGYW!$S:$S,AGYW!$B:$B,$B118,AGYW!$C:$C,IF($C118="15-24",{"15-19","20-24"},{"25-29"}),AGYW!$D:$D,$D118))),""),"")</f>
        <v/>
      </c>
      <c r="I118" s="10" t="str">
        <f aca="false">IF(OR($C118="15-24",$C118="25-34"),IFERROR(1/(1/SUM(SUMIFS(AGYW!$T:$T,AGYW!$B:$B,$B118,AGYW!$C:$C,IF($C118="15-24",{"15-19","20-24"},{"25-29"}),AGYW!$D:$D,$D118))),""),"")</f>
        <v/>
      </c>
      <c r="J118" s="10"/>
      <c r="K118" s="10"/>
      <c r="L118" s="39" t="str">
        <f aca="false">IF(SUM($K118)=0,"",$K118)</f>
        <v/>
      </c>
      <c r="M118" s="10"/>
      <c r="N118" s="10"/>
      <c r="O118" s="39" t="str">
        <f aca="false">IF(SUM($N118)=0,"",$N118)</f>
        <v/>
      </c>
      <c r="P118" s="10" t="n">
        <f aca="false">2</f>
        <v>2</v>
      </c>
      <c r="Q118" s="39" t="str">
        <f aca="false">IF(SUM($O118)=0,"",$O118*$P118)</f>
        <v/>
      </c>
    </row>
    <row r="119" customFormat="false" ht="15" hidden="false" customHeight="false" outlineLevel="0" collapsed="false">
      <c r="A119" s="0" t="str">
        <f aca="false">INDEX(Prioritization!$D:$D,MATCH($B119,Prioritization!$A:$A,0))</f>
        <v>1 - Scale-up: Saturation</v>
      </c>
      <c r="B119" s="0" t="s">
        <v>207</v>
      </c>
      <c r="C119" s="0" t="s">
        <v>365</v>
      </c>
      <c r="D119" s="0" t="s">
        <v>30</v>
      </c>
      <c r="E119" s="0" t="str">
        <f aca="false">B119&amp;"|"&amp;C119&amp;"|"&amp;D119</f>
        <v>Mzimba District [vA4NcHxfMBq]|15-24|Female</v>
      </c>
      <c r="F119" s="10" t="str">
        <f aca="false">IF(LEFT($B119,4)="_Mil","",INDEX(Cascade!$U:$U,MATCH($E119,Cascade!$E:$E,0)))</f>
        <v/>
      </c>
      <c r="G119" s="10" t="str">
        <f aca="false">IFERROR(1/(1/INDEX(HTS!$AT:$AT,MATCH($E119,HTS!$E:$E,0))),"")</f>
        <v/>
      </c>
      <c r="H119" s="10" t="str">
        <f aca="false">IF(OR($C119="15-24",$C119="25-34"),IFERROR(1/(1/SUM(SUMIFS(AGYW!$S:$S,AGYW!$B:$B,$B119,AGYW!$C:$C,IF($C119="15-24",{"15-19","20-24"},{"25-29"}),AGYW!$D:$D,$D119))),""),"")</f>
        <v/>
      </c>
      <c r="I119" s="10" t="str">
        <f aca="false">IF(OR($C119="15-24",$C119="25-34"),IFERROR(1/(1/SUM(SUMIFS(AGYW!$T:$T,AGYW!$B:$B,$B119,AGYW!$C:$C,IF($C119="15-24",{"15-19","20-24"},{"25-29"}),AGYW!$D:$D,$D119))),""),"")</f>
        <v/>
      </c>
      <c r="J119" s="10"/>
      <c r="K119" s="10"/>
      <c r="L119" s="39" t="str">
        <f aca="false">IF(SUM($K119)=0,"",$K119)</f>
        <v/>
      </c>
      <c r="M119" s="10"/>
      <c r="N119" s="10"/>
      <c r="O119" s="39" t="str">
        <f aca="false">IF(SUM($N119)=0,"",$N119)</f>
        <v/>
      </c>
      <c r="P119" s="10" t="n">
        <f aca="false">2</f>
        <v>2</v>
      </c>
      <c r="Q119" s="39" t="str">
        <f aca="false">IF(SUM($O119)=0,"",$O119*$P119)</f>
        <v/>
      </c>
    </row>
    <row r="120" customFormat="false" ht="15" hidden="false" customHeight="false" outlineLevel="0" collapsed="false">
      <c r="A120" s="0" t="str">
        <f aca="false">INDEX(Prioritization!$D:$D,MATCH($B120,Prioritization!$A:$A,0))</f>
        <v>1 - Scale-up: Saturation</v>
      </c>
      <c r="B120" s="0" t="s">
        <v>207</v>
      </c>
      <c r="C120" s="0" t="s">
        <v>365</v>
      </c>
      <c r="D120" s="0" t="s">
        <v>48</v>
      </c>
      <c r="E120" s="0" t="str">
        <f aca="false">B120&amp;"|"&amp;C120&amp;"|"&amp;D120</f>
        <v>Mzimba District [vA4NcHxfMBq]|15-24|Male</v>
      </c>
      <c r="F120" s="10" t="str">
        <f aca="false">IF(LEFT($B120,4)="_Mil","",INDEX(Cascade!$U:$U,MATCH($E120,Cascade!$E:$E,0)))</f>
        <v/>
      </c>
      <c r="G120" s="10" t="str">
        <f aca="false">IFERROR(1/(1/INDEX(HTS!$AT:$AT,MATCH($E120,HTS!$E:$E,0))),"")</f>
        <v/>
      </c>
      <c r="H120" s="10" t="str">
        <f aca="false">IF(OR($C120="15-24",$C120="25-34"),IFERROR(1/(1/SUM(SUMIFS(AGYW!$S:$S,AGYW!$B:$B,$B120,AGYW!$C:$C,IF($C120="15-24",{"15-19","20-24"},{"25-29"}),AGYW!$D:$D,$D120))),""),"")</f>
        <v/>
      </c>
      <c r="I120" s="10" t="str">
        <f aca="false">IF(OR($C120="15-24",$C120="25-34"),IFERROR(1/(1/SUM(SUMIFS(AGYW!$T:$T,AGYW!$B:$B,$B120,AGYW!$C:$C,IF($C120="15-24",{"15-19","20-24"},{"25-29"}),AGYW!$D:$D,$D120))),""),"")</f>
        <v/>
      </c>
      <c r="J120" s="10"/>
      <c r="K120" s="10"/>
      <c r="L120" s="39" t="str">
        <f aca="false">IF(SUM($K120)=0,"",$K120)</f>
        <v/>
      </c>
      <c r="M120" s="10"/>
      <c r="N120" s="10"/>
      <c r="O120" s="39" t="str">
        <f aca="false">IF(SUM($N120)=0,"",$N120)</f>
        <v/>
      </c>
      <c r="P120" s="10" t="n">
        <f aca="false">2</f>
        <v>2</v>
      </c>
      <c r="Q120" s="39" t="str">
        <f aca="false">IF(SUM($O120)=0,"",$O120*$P120)</f>
        <v/>
      </c>
    </row>
    <row r="121" customFormat="false" ht="15" hidden="false" customHeight="false" outlineLevel="0" collapsed="false">
      <c r="A121" s="0" t="str">
        <f aca="false">INDEX(Prioritization!$D:$D,MATCH($B121,Prioritization!$A:$A,0))</f>
        <v>1 - Scale-up: Saturation</v>
      </c>
      <c r="B121" s="0" t="s">
        <v>207</v>
      </c>
      <c r="C121" s="0" t="s">
        <v>366</v>
      </c>
      <c r="D121" s="0" t="s">
        <v>30</v>
      </c>
      <c r="E121" s="0" t="str">
        <f aca="false">B121&amp;"|"&amp;C121&amp;"|"&amp;D121</f>
        <v>Mzimba District [vA4NcHxfMBq]|25-34|Female</v>
      </c>
      <c r="F121" s="10" t="str">
        <f aca="false">IF(LEFT($B121,4)="_Mil","",INDEX(Cascade!$U:$U,MATCH($E121,Cascade!$E:$E,0)))</f>
        <v/>
      </c>
      <c r="G121" s="10" t="str">
        <f aca="false">IFERROR(1/(1/INDEX(HTS!$AT:$AT,MATCH($E121,HTS!$E:$E,0))),"")</f>
        <v/>
      </c>
      <c r="H121" s="10" t="str">
        <f aca="false">IF(OR($C121="15-24",$C121="25-34"),IFERROR(1/(1/SUM(SUMIFS(AGYW!$S:$S,AGYW!$B:$B,$B121,AGYW!$C:$C,IF($C121="15-24",{"15-19","20-24"},{"25-29"}),AGYW!$D:$D,$D121))),""),"")</f>
        <v/>
      </c>
      <c r="I121" s="10" t="str">
        <f aca="false">IF(OR($C121="15-24",$C121="25-34"),IFERROR(1/(1/SUM(SUMIFS(AGYW!$T:$T,AGYW!$B:$B,$B121,AGYW!$C:$C,IF($C121="15-24",{"15-19","20-24"},{"25-29"}),AGYW!$D:$D,$D121))),""),"")</f>
        <v/>
      </c>
      <c r="J121" s="10"/>
      <c r="K121" s="10"/>
      <c r="L121" s="39" t="str">
        <f aca="false">IF(SUM($K121)=0,"",$K121)</f>
        <v/>
      </c>
      <c r="M121" s="10"/>
      <c r="N121" s="10"/>
      <c r="O121" s="39" t="str">
        <f aca="false">IF(SUM($N121)=0,"",$N121)</f>
        <v/>
      </c>
      <c r="P121" s="10" t="n">
        <f aca="false">2</f>
        <v>2</v>
      </c>
      <c r="Q121" s="39" t="str">
        <f aca="false">IF(SUM($O121)=0,"",$O121*$P121)</f>
        <v/>
      </c>
    </row>
    <row r="122" customFormat="false" ht="15" hidden="false" customHeight="false" outlineLevel="0" collapsed="false">
      <c r="A122" s="0" t="str">
        <f aca="false">INDEX(Prioritization!$D:$D,MATCH($B122,Prioritization!$A:$A,0))</f>
        <v>1 - Scale-up: Saturation</v>
      </c>
      <c r="B122" s="0" t="s">
        <v>207</v>
      </c>
      <c r="C122" s="0" t="s">
        <v>366</v>
      </c>
      <c r="D122" s="0" t="s">
        <v>48</v>
      </c>
      <c r="E122" s="0" t="str">
        <f aca="false">B122&amp;"|"&amp;C122&amp;"|"&amp;D122</f>
        <v>Mzimba District [vA4NcHxfMBq]|25-34|Male</v>
      </c>
      <c r="F122" s="10" t="str">
        <f aca="false">IF(LEFT($B122,4)="_Mil","",INDEX(Cascade!$U:$U,MATCH($E122,Cascade!$E:$E,0)))</f>
        <v/>
      </c>
      <c r="G122" s="10" t="str">
        <f aca="false">IFERROR(1/(1/INDEX(HTS!$AT:$AT,MATCH($E122,HTS!$E:$E,0))),"")</f>
        <v/>
      </c>
      <c r="H122" s="10" t="str">
        <f aca="false">IF(OR($C122="15-24",$C122="25-34"),IFERROR(1/(1/SUM(SUMIFS(AGYW!$S:$S,AGYW!$B:$B,$B122,AGYW!$C:$C,IF($C122="15-24",{"15-19","20-24"},{"25-29"}),AGYW!$D:$D,$D122))),""),"")</f>
        <v/>
      </c>
      <c r="I122" s="10" t="str">
        <f aca="false">IF(OR($C122="15-24",$C122="25-34"),IFERROR(1/(1/SUM(SUMIFS(AGYW!$T:$T,AGYW!$B:$B,$B122,AGYW!$C:$C,IF($C122="15-24",{"15-19","20-24"},{"25-29"}),AGYW!$D:$D,$D122))),""),"")</f>
        <v/>
      </c>
      <c r="J122" s="10"/>
      <c r="K122" s="10"/>
      <c r="L122" s="39" t="str">
        <f aca="false">IF(SUM($K122)=0,"",$K122)</f>
        <v/>
      </c>
      <c r="M122" s="10"/>
      <c r="N122" s="10"/>
      <c r="O122" s="39" t="str">
        <f aca="false">IF(SUM($N122)=0,"",$N122)</f>
        <v/>
      </c>
      <c r="P122" s="10" t="n">
        <f aca="false">2</f>
        <v>2</v>
      </c>
      <c r="Q122" s="39" t="str">
        <f aca="false">IF(SUM($O122)=0,"",$O122*$P122)</f>
        <v/>
      </c>
    </row>
    <row r="123" customFormat="false" ht="15" hidden="false" customHeight="false" outlineLevel="0" collapsed="false">
      <c r="A123" s="0" t="str">
        <f aca="false">INDEX(Prioritization!$D:$D,MATCH($B123,Prioritization!$A:$A,0))</f>
        <v>1 - Scale-up: Saturation</v>
      </c>
      <c r="B123" s="0" t="s">
        <v>207</v>
      </c>
      <c r="C123" s="0" t="s">
        <v>367</v>
      </c>
      <c r="D123" s="0" t="s">
        <v>30</v>
      </c>
      <c r="E123" s="0" t="str">
        <f aca="false">B123&amp;"|"&amp;C123&amp;"|"&amp;D123</f>
        <v>Mzimba District [vA4NcHxfMBq]|35-49|Female</v>
      </c>
      <c r="F123" s="10" t="str">
        <f aca="false">IF(LEFT($B123,4)="_Mil","",INDEX(Cascade!$U:$U,MATCH($E123,Cascade!$E:$E,0)))</f>
        <v/>
      </c>
      <c r="G123" s="10" t="str">
        <f aca="false">IFERROR(1/(1/INDEX(HTS!$AT:$AT,MATCH($E123,HTS!$E:$E,0))),"")</f>
        <v/>
      </c>
      <c r="H123" s="10" t="str">
        <f aca="false">IF(OR($C123="15-24",$C123="25-34"),IFERROR(1/(1/SUM(SUMIFS(AGYW!$S:$S,AGYW!$B:$B,$B123,AGYW!$C:$C,IF($C123="15-24",{"15-19","20-24"},{"25-29"}),AGYW!$D:$D,$D123))),""),"")</f>
        <v/>
      </c>
      <c r="I123" s="10" t="str">
        <f aca="false">IF(OR($C123="15-24",$C123="25-34"),IFERROR(1/(1/SUM(SUMIFS(AGYW!$T:$T,AGYW!$B:$B,$B123,AGYW!$C:$C,IF($C123="15-24",{"15-19","20-24"},{"25-29"}),AGYW!$D:$D,$D123))),""),"")</f>
        <v/>
      </c>
      <c r="J123" s="10"/>
      <c r="K123" s="10"/>
      <c r="L123" s="39" t="str">
        <f aca="false">IF(SUM($K123)=0,"",$K123)</f>
        <v/>
      </c>
      <c r="M123" s="10"/>
      <c r="N123" s="10"/>
      <c r="O123" s="39" t="str">
        <f aca="false">IF(SUM($N123)=0,"",$N123)</f>
        <v/>
      </c>
      <c r="P123" s="10" t="n">
        <f aca="false">2</f>
        <v>2</v>
      </c>
      <c r="Q123" s="39" t="str">
        <f aca="false">IF(SUM($O123)=0,"",$O123*$P123)</f>
        <v/>
      </c>
    </row>
    <row r="124" customFormat="false" ht="15" hidden="false" customHeight="false" outlineLevel="0" collapsed="false">
      <c r="A124" s="0" t="str">
        <f aca="false">INDEX(Prioritization!$D:$D,MATCH($B124,Prioritization!$A:$A,0))</f>
        <v>1 - Scale-up: Saturation</v>
      </c>
      <c r="B124" s="0" t="s">
        <v>207</v>
      </c>
      <c r="C124" s="0" t="s">
        <v>367</v>
      </c>
      <c r="D124" s="0" t="s">
        <v>48</v>
      </c>
      <c r="E124" s="0" t="str">
        <f aca="false">B124&amp;"|"&amp;C124&amp;"|"&amp;D124</f>
        <v>Mzimba District [vA4NcHxfMBq]|35-49|Male</v>
      </c>
      <c r="F124" s="10" t="str">
        <f aca="false">IF(LEFT($B124,4)="_Mil","",INDEX(Cascade!$U:$U,MATCH($E124,Cascade!$E:$E,0)))</f>
        <v/>
      </c>
      <c r="G124" s="10" t="str">
        <f aca="false">IFERROR(1/(1/INDEX(HTS!$AT:$AT,MATCH($E124,HTS!$E:$E,0))),"")</f>
        <v/>
      </c>
      <c r="H124" s="10" t="str">
        <f aca="false">IF(OR($C124="15-24",$C124="25-34"),IFERROR(1/(1/SUM(SUMIFS(AGYW!$S:$S,AGYW!$B:$B,$B124,AGYW!$C:$C,IF($C124="15-24",{"15-19","20-24"},{"25-29"}),AGYW!$D:$D,$D124))),""),"")</f>
        <v/>
      </c>
      <c r="I124" s="10" t="str">
        <f aca="false">IF(OR($C124="15-24",$C124="25-34"),IFERROR(1/(1/SUM(SUMIFS(AGYW!$T:$T,AGYW!$B:$B,$B124,AGYW!$C:$C,IF($C124="15-24",{"15-19","20-24"},{"25-29"}),AGYW!$D:$D,$D124))),""),"")</f>
        <v/>
      </c>
      <c r="J124" s="10"/>
      <c r="K124" s="10"/>
      <c r="L124" s="39" t="str">
        <f aca="false">IF(SUM($K124)=0,"",$K124)</f>
        <v/>
      </c>
      <c r="M124" s="10"/>
      <c r="N124" s="10"/>
      <c r="O124" s="39" t="str">
        <f aca="false">IF(SUM($N124)=0,"",$N124)</f>
        <v/>
      </c>
      <c r="P124" s="10" t="n">
        <f aca="false">2</f>
        <v>2</v>
      </c>
      <c r="Q124" s="39" t="str">
        <f aca="false">IF(SUM($O124)=0,"",$O124*$P124)</f>
        <v/>
      </c>
    </row>
    <row r="125" customFormat="false" ht="15" hidden="false" customHeight="false" outlineLevel="0" collapsed="false">
      <c r="A125" s="0" t="str">
        <f aca="false">INDEX(Prioritization!$D:$D,MATCH($B125,Prioritization!$A:$A,0))</f>
        <v>1 - Scale-up: Saturation</v>
      </c>
      <c r="B125" s="0" t="s">
        <v>207</v>
      </c>
      <c r="C125" s="0" t="s">
        <v>368</v>
      </c>
      <c r="D125" s="0" t="s">
        <v>30</v>
      </c>
      <c r="E125" s="0" t="str">
        <f aca="false">B125&amp;"|"&amp;C125&amp;"|"&amp;D125</f>
        <v>Mzimba District [vA4NcHxfMBq]|50+|Female</v>
      </c>
      <c r="F125" s="10" t="str">
        <f aca="false">IF(LEFT($B125,4)="_Mil","",INDEX(Cascade!$U:$U,MATCH($E125,Cascade!$E:$E,0)))</f>
        <v/>
      </c>
      <c r="G125" s="10" t="str">
        <f aca="false">IFERROR(1/(1/INDEX(HTS!$AT:$AT,MATCH($E125,HTS!$E:$E,0))),"")</f>
        <v/>
      </c>
      <c r="H125" s="10" t="str">
        <f aca="false">IF(OR($C125="15-24",$C125="25-34"),IFERROR(1/(1/SUM(SUMIFS(AGYW!$S:$S,AGYW!$B:$B,$B125,AGYW!$C:$C,IF($C125="15-24",{"15-19","20-24"},{"25-29"}),AGYW!$D:$D,$D125))),""),"")</f>
        <v/>
      </c>
      <c r="I125" s="10" t="str">
        <f aca="false">IF(OR($C125="15-24",$C125="25-34"),IFERROR(1/(1/SUM(SUMIFS(AGYW!$T:$T,AGYW!$B:$B,$B125,AGYW!$C:$C,IF($C125="15-24",{"15-19","20-24"},{"25-29"}),AGYW!$D:$D,$D125))),""),"")</f>
        <v/>
      </c>
      <c r="J125" s="10" t="n">
        <v>0</v>
      </c>
      <c r="K125" s="10" t="n">
        <v>7</v>
      </c>
      <c r="L125" s="39" t="n">
        <f aca="false">IF(SUM($K125)=0,"",$K125)</f>
        <v>7</v>
      </c>
      <c r="M125" s="10"/>
      <c r="N125" s="10"/>
      <c r="O125" s="39" t="str">
        <f aca="false">IF(SUM($N125)=0,"",$N125)</f>
        <v/>
      </c>
      <c r="P125" s="10" t="n">
        <f aca="false">2</f>
        <v>2</v>
      </c>
      <c r="Q125" s="39" t="str">
        <f aca="false">IF(SUM($O125)=0,"",$O125*$P125)</f>
        <v/>
      </c>
    </row>
    <row r="126" customFormat="false" ht="15" hidden="false" customHeight="false" outlineLevel="0" collapsed="false">
      <c r="A126" s="0" t="str">
        <f aca="false">INDEX(Prioritization!$D:$D,MATCH($B126,Prioritization!$A:$A,0))</f>
        <v>1 - Scale-up: Saturation</v>
      </c>
      <c r="B126" s="0" t="s">
        <v>207</v>
      </c>
      <c r="C126" s="0" t="s">
        <v>368</v>
      </c>
      <c r="D126" s="0" t="s">
        <v>48</v>
      </c>
      <c r="E126" s="0" t="str">
        <f aca="false">B126&amp;"|"&amp;C126&amp;"|"&amp;D126</f>
        <v>Mzimba District [vA4NcHxfMBq]|50+|Male</v>
      </c>
      <c r="F126" s="10" t="str">
        <f aca="false">IF(LEFT($B126,4)="_Mil","",INDEX(Cascade!$U:$U,MATCH($E126,Cascade!$E:$E,0)))</f>
        <v/>
      </c>
      <c r="G126" s="10" t="str">
        <f aca="false">IFERROR(1/(1/INDEX(HTS!$AT:$AT,MATCH($E126,HTS!$E:$E,0))),"")</f>
        <v/>
      </c>
      <c r="H126" s="10" t="str">
        <f aca="false">IF(OR($C126="15-24",$C126="25-34"),IFERROR(1/(1/SUM(SUMIFS(AGYW!$S:$S,AGYW!$B:$B,$B126,AGYW!$C:$C,IF($C126="15-24",{"15-19","20-24"},{"25-29"}),AGYW!$D:$D,$D126))),""),"")</f>
        <v/>
      </c>
      <c r="I126" s="10" t="str">
        <f aca="false">IF(OR($C126="15-24",$C126="25-34"),IFERROR(1/(1/SUM(SUMIFS(AGYW!$T:$T,AGYW!$B:$B,$B126,AGYW!$C:$C,IF($C126="15-24",{"15-19","20-24"},{"25-29"}),AGYW!$D:$D,$D126))),""),"")</f>
        <v/>
      </c>
      <c r="J126" s="10" t="n">
        <v>0</v>
      </c>
      <c r="K126" s="10" t="n">
        <v>7</v>
      </c>
      <c r="L126" s="39" t="n">
        <f aca="false">IF(SUM($K126)=0,"",$K126)</f>
        <v>7</v>
      </c>
      <c r="M126" s="10"/>
      <c r="N126" s="10"/>
      <c r="O126" s="39" t="str">
        <f aca="false">IF(SUM($N126)=0,"",$N126)</f>
        <v/>
      </c>
      <c r="P126" s="10" t="n">
        <f aca="false">2</f>
        <v>2</v>
      </c>
      <c r="Q126" s="39" t="str">
        <f aca="false">IF(SUM($O126)=0,"",$O126*$P126)</f>
        <v/>
      </c>
    </row>
    <row r="127" customFormat="false" ht="15" hidden="false" customHeight="false" outlineLevel="0" collapsed="false">
      <c r="A127" s="0" t="str">
        <f aca="false">INDEX(Prioritization!$D:$D,MATCH($B127,Prioritization!$A:$A,0))</f>
        <v>INVALID</v>
      </c>
      <c r="B127" s="0" t="s">
        <v>208</v>
      </c>
      <c r="C127" s="0" t="s">
        <v>365</v>
      </c>
      <c r="D127" s="0" t="s">
        <v>30</v>
      </c>
      <c r="E127" s="0" t="str">
        <f aca="false">B127&amp;"|"&amp;C127&amp;"|"&amp;D127</f>
        <v>Nkhata Bay District [E7zpfyBt7Tw]|15-24|Female</v>
      </c>
      <c r="F127" s="10" t="str">
        <f aca="false">IF(LEFT($B127,4)="_Mil","",INDEX(Cascade!$U:$U,MATCH($E127,Cascade!$E:$E,0)))</f>
        <v/>
      </c>
      <c r="G127" s="10" t="str">
        <f aca="false">IFERROR(1/(1/INDEX(HTS!$AT:$AT,MATCH($E127,HTS!$E:$E,0))),"")</f>
        <v/>
      </c>
      <c r="H127" s="10" t="str">
        <f aca="false">IF(OR($C127="15-24",$C127="25-34"),IFERROR(1/(1/SUM(SUMIFS(AGYW!$S:$S,AGYW!$B:$B,$B127,AGYW!$C:$C,IF($C127="15-24",{"15-19","20-24"},{"25-29"}),AGYW!$D:$D,$D127))),""),"")</f>
        <v/>
      </c>
      <c r="I127" s="10" t="str">
        <f aca="false">IF(OR($C127="15-24",$C127="25-34"),IFERROR(1/(1/SUM(SUMIFS(AGYW!$T:$T,AGYW!$B:$B,$B127,AGYW!$C:$C,IF($C127="15-24",{"15-19","20-24"},{"25-29"}),AGYW!$D:$D,$D127))),""),"")</f>
        <v/>
      </c>
      <c r="J127" s="10"/>
      <c r="K127" s="10"/>
      <c r="L127" s="39" t="str">
        <f aca="false">IF(SUM($K127)=0,"",$K127)</f>
        <v/>
      </c>
      <c r="M127" s="10"/>
      <c r="N127" s="10"/>
      <c r="O127" s="39" t="str">
        <f aca="false">IF(SUM($N127)=0,"",$N127)</f>
        <v/>
      </c>
      <c r="P127" s="10" t="n">
        <f aca="false">2</f>
        <v>2</v>
      </c>
      <c r="Q127" s="39" t="str">
        <f aca="false">IF(SUM($O127)=0,"",$O127*$P127)</f>
        <v/>
      </c>
    </row>
    <row r="128" customFormat="false" ht="15" hidden="false" customHeight="false" outlineLevel="0" collapsed="false">
      <c r="A128" s="0" t="str">
        <f aca="false">INDEX(Prioritization!$D:$D,MATCH($B128,Prioritization!$A:$A,0))</f>
        <v>INVALID</v>
      </c>
      <c r="B128" s="0" t="s">
        <v>208</v>
      </c>
      <c r="C128" s="0" t="s">
        <v>365</v>
      </c>
      <c r="D128" s="0" t="s">
        <v>48</v>
      </c>
      <c r="E128" s="0" t="str">
        <f aca="false">B128&amp;"|"&amp;C128&amp;"|"&amp;D128</f>
        <v>Nkhata Bay District [E7zpfyBt7Tw]|15-24|Male</v>
      </c>
      <c r="F128" s="10" t="str">
        <f aca="false">IF(LEFT($B128,4)="_Mil","",INDEX(Cascade!$U:$U,MATCH($E128,Cascade!$E:$E,0)))</f>
        <v/>
      </c>
      <c r="G128" s="10" t="str">
        <f aca="false">IFERROR(1/(1/INDEX(HTS!$AT:$AT,MATCH($E128,HTS!$E:$E,0))),"")</f>
        <v/>
      </c>
      <c r="H128" s="10" t="str">
        <f aca="false">IF(OR($C128="15-24",$C128="25-34"),IFERROR(1/(1/SUM(SUMIFS(AGYW!$S:$S,AGYW!$B:$B,$B128,AGYW!$C:$C,IF($C128="15-24",{"15-19","20-24"},{"25-29"}),AGYW!$D:$D,$D128))),""),"")</f>
        <v/>
      </c>
      <c r="I128" s="10" t="str">
        <f aca="false">IF(OR($C128="15-24",$C128="25-34"),IFERROR(1/(1/SUM(SUMIFS(AGYW!$T:$T,AGYW!$B:$B,$B128,AGYW!$C:$C,IF($C128="15-24",{"15-19","20-24"},{"25-29"}),AGYW!$D:$D,$D128))),""),"")</f>
        <v/>
      </c>
      <c r="J128" s="10"/>
      <c r="K128" s="10"/>
      <c r="L128" s="39" t="str">
        <f aca="false">IF(SUM($K128)=0,"",$K128)</f>
        <v/>
      </c>
      <c r="M128" s="10"/>
      <c r="N128" s="10"/>
      <c r="O128" s="39" t="str">
        <f aca="false">IF(SUM($N128)=0,"",$N128)</f>
        <v/>
      </c>
      <c r="P128" s="10" t="n">
        <f aca="false">2</f>
        <v>2</v>
      </c>
      <c r="Q128" s="39" t="str">
        <f aca="false">IF(SUM($O128)=0,"",$O128*$P128)</f>
        <v/>
      </c>
    </row>
    <row r="129" customFormat="false" ht="15" hidden="false" customHeight="false" outlineLevel="0" collapsed="false">
      <c r="A129" s="0" t="str">
        <f aca="false">INDEX(Prioritization!$D:$D,MATCH($B129,Prioritization!$A:$A,0))</f>
        <v>INVALID</v>
      </c>
      <c r="B129" s="0" t="s">
        <v>208</v>
      </c>
      <c r="C129" s="0" t="s">
        <v>366</v>
      </c>
      <c r="D129" s="0" t="s">
        <v>30</v>
      </c>
      <c r="E129" s="0" t="str">
        <f aca="false">B129&amp;"|"&amp;C129&amp;"|"&amp;D129</f>
        <v>Nkhata Bay District [E7zpfyBt7Tw]|25-34|Female</v>
      </c>
      <c r="F129" s="10" t="str">
        <f aca="false">IF(LEFT($B129,4)="_Mil","",INDEX(Cascade!$U:$U,MATCH($E129,Cascade!$E:$E,0)))</f>
        <v/>
      </c>
      <c r="G129" s="10" t="str">
        <f aca="false">IFERROR(1/(1/INDEX(HTS!$AT:$AT,MATCH($E129,HTS!$E:$E,0))),"")</f>
        <v/>
      </c>
      <c r="H129" s="10" t="str">
        <f aca="false">IF(OR($C129="15-24",$C129="25-34"),IFERROR(1/(1/SUM(SUMIFS(AGYW!$S:$S,AGYW!$B:$B,$B129,AGYW!$C:$C,IF($C129="15-24",{"15-19","20-24"},{"25-29"}),AGYW!$D:$D,$D129))),""),"")</f>
        <v/>
      </c>
      <c r="I129" s="10" t="str">
        <f aca="false">IF(OR($C129="15-24",$C129="25-34"),IFERROR(1/(1/SUM(SUMIFS(AGYW!$T:$T,AGYW!$B:$B,$B129,AGYW!$C:$C,IF($C129="15-24",{"15-19","20-24"},{"25-29"}),AGYW!$D:$D,$D129))),""),"")</f>
        <v/>
      </c>
      <c r="J129" s="10"/>
      <c r="K129" s="10"/>
      <c r="L129" s="39" t="str">
        <f aca="false">IF(SUM($K129)=0,"",$K129)</f>
        <v/>
      </c>
      <c r="M129" s="10"/>
      <c r="N129" s="10"/>
      <c r="O129" s="39" t="str">
        <f aca="false">IF(SUM($N129)=0,"",$N129)</f>
        <v/>
      </c>
      <c r="P129" s="10" t="n">
        <f aca="false">2</f>
        <v>2</v>
      </c>
      <c r="Q129" s="39" t="str">
        <f aca="false">IF(SUM($O129)=0,"",$O129*$P129)</f>
        <v/>
      </c>
    </row>
    <row r="130" customFormat="false" ht="15" hidden="false" customHeight="false" outlineLevel="0" collapsed="false">
      <c r="A130" s="0" t="str">
        <f aca="false">INDEX(Prioritization!$D:$D,MATCH($B130,Prioritization!$A:$A,0))</f>
        <v>INVALID</v>
      </c>
      <c r="B130" s="0" t="s">
        <v>208</v>
      </c>
      <c r="C130" s="0" t="s">
        <v>366</v>
      </c>
      <c r="D130" s="0" t="s">
        <v>48</v>
      </c>
      <c r="E130" s="0" t="str">
        <f aca="false">B130&amp;"|"&amp;C130&amp;"|"&amp;D130</f>
        <v>Nkhata Bay District [E7zpfyBt7Tw]|25-34|Male</v>
      </c>
      <c r="F130" s="10" t="str">
        <f aca="false">IF(LEFT($B130,4)="_Mil","",INDEX(Cascade!$U:$U,MATCH($E130,Cascade!$E:$E,0)))</f>
        <v/>
      </c>
      <c r="G130" s="10" t="str">
        <f aca="false">IFERROR(1/(1/INDEX(HTS!$AT:$AT,MATCH($E130,HTS!$E:$E,0))),"")</f>
        <v/>
      </c>
      <c r="H130" s="10" t="str">
        <f aca="false">IF(OR($C130="15-24",$C130="25-34"),IFERROR(1/(1/SUM(SUMIFS(AGYW!$S:$S,AGYW!$B:$B,$B130,AGYW!$C:$C,IF($C130="15-24",{"15-19","20-24"},{"25-29"}),AGYW!$D:$D,$D130))),""),"")</f>
        <v/>
      </c>
      <c r="I130" s="10" t="str">
        <f aca="false">IF(OR($C130="15-24",$C130="25-34"),IFERROR(1/(1/SUM(SUMIFS(AGYW!$T:$T,AGYW!$B:$B,$B130,AGYW!$C:$C,IF($C130="15-24",{"15-19","20-24"},{"25-29"}),AGYW!$D:$D,$D130))),""),"")</f>
        <v/>
      </c>
      <c r="J130" s="10"/>
      <c r="K130" s="10"/>
      <c r="L130" s="39" t="str">
        <f aca="false">IF(SUM($K130)=0,"",$K130)</f>
        <v/>
      </c>
      <c r="M130" s="10"/>
      <c r="N130" s="10"/>
      <c r="O130" s="39" t="str">
        <f aca="false">IF(SUM($N130)=0,"",$N130)</f>
        <v/>
      </c>
      <c r="P130" s="10" t="n">
        <f aca="false">2</f>
        <v>2</v>
      </c>
      <c r="Q130" s="39" t="str">
        <f aca="false">IF(SUM($O130)=0,"",$O130*$P130)</f>
        <v/>
      </c>
    </row>
    <row r="131" customFormat="false" ht="15" hidden="false" customHeight="false" outlineLevel="0" collapsed="false">
      <c r="A131" s="0" t="str">
        <f aca="false">INDEX(Prioritization!$D:$D,MATCH($B131,Prioritization!$A:$A,0))</f>
        <v>INVALID</v>
      </c>
      <c r="B131" s="0" t="s">
        <v>208</v>
      </c>
      <c r="C131" s="0" t="s">
        <v>367</v>
      </c>
      <c r="D131" s="0" t="s">
        <v>30</v>
      </c>
      <c r="E131" s="0" t="str">
        <f aca="false">B131&amp;"|"&amp;C131&amp;"|"&amp;D131</f>
        <v>Nkhata Bay District [E7zpfyBt7Tw]|35-49|Female</v>
      </c>
      <c r="F131" s="10" t="str">
        <f aca="false">IF(LEFT($B131,4)="_Mil","",INDEX(Cascade!$U:$U,MATCH($E131,Cascade!$E:$E,0)))</f>
        <v/>
      </c>
      <c r="G131" s="10" t="str">
        <f aca="false">IFERROR(1/(1/INDEX(HTS!$AT:$AT,MATCH($E131,HTS!$E:$E,0))),"")</f>
        <v/>
      </c>
      <c r="H131" s="10" t="str">
        <f aca="false">IF(OR($C131="15-24",$C131="25-34"),IFERROR(1/(1/SUM(SUMIFS(AGYW!$S:$S,AGYW!$B:$B,$B131,AGYW!$C:$C,IF($C131="15-24",{"15-19","20-24"},{"25-29"}),AGYW!$D:$D,$D131))),""),"")</f>
        <v/>
      </c>
      <c r="I131" s="10" t="str">
        <f aca="false">IF(OR($C131="15-24",$C131="25-34"),IFERROR(1/(1/SUM(SUMIFS(AGYW!$T:$T,AGYW!$B:$B,$B131,AGYW!$C:$C,IF($C131="15-24",{"15-19","20-24"},{"25-29"}),AGYW!$D:$D,$D131))),""),"")</f>
        <v/>
      </c>
      <c r="J131" s="10"/>
      <c r="K131" s="10"/>
      <c r="L131" s="39" t="str">
        <f aca="false">IF(SUM($K131)=0,"",$K131)</f>
        <v/>
      </c>
      <c r="M131" s="10"/>
      <c r="N131" s="10"/>
      <c r="O131" s="39" t="str">
        <f aca="false">IF(SUM($N131)=0,"",$N131)</f>
        <v/>
      </c>
      <c r="P131" s="10" t="n">
        <f aca="false">2</f>
        <v>2</v>
      </c>
      <c r="Q131" s="39" t="str">
        <f aca="false">IF(SUM($O131)=0,"",$O131*$P131)</f>
        <v/>
      </c>
    </row>
    <row r="132" customFormat="false" ht="15" hidden="false" customHeight="false" outlineLevel="0" collapsed="false">
      <c r="A132" s="0" t="str">
        <f aca="false">INDEX(Prioritization!$D:$D,MATCH($B132,Prioritization!$A:$A,0))</f>
        <v>INVALID</v>
      </c>
      <c r="B132" s="0" t="s">
        <v>208</v>
      </c>
      <c r="C132" s="0" t="s">
        <v>367</v>
      </c>
      <c r="D132" s="0" t="s">
        <v>48</v>
      </c>
      <c r="E132" s="0" t="str">
        <f aca="false">B132&amp;"|"&amp;C132&amp;"|"&amp;D132</f>
        <v>Nkhata Bay District [E7zpfyBt7Tw]|35-49|Male</v>
      </c>
      <c r="F132" s="10" t="str">
        <f aca="false">IF(LEFT($B132,4)="_Mil","",INDEX(Cascade!$U:$U,MATCH($E132,Cascade!$E:$E,0)))</f>
        <v/>
      </c>
      <c r="G132" s="10" t="str">
        <f aca="false">IFERROR(1/(1/INDEX(HTS!$AT:$AT,MATCH($E132,HTS!$E:$E,0))),"")</f>
        <v/>
      </c>
      <c r="H132" s="10" t="str">
        <f aca="false">IF(OR($C132="15-24",$C132="25-34"),IFERROR(1/(1/SUM(SUMIFS(AGYW!$S:$S,AGYW!$B:$B,$B132,AGYW!$C:$C,IF($C132="15-24",{"15-19","20-24"},{"25-29"}),AGYW!$D:$D,$D132))),""),"")</f>
        <v/>
      </c>
      <c r="I132" s="10" t="str">
        <f aca="false">IF(OR($C132="15-24",$C132="25-34"),IFERROR(1/(1/SUM(SUMIFS(AGYW!$T:$T,AGYW!$B:$B,$B132,AGYW!$C:$C,IF($C132="15-24",{"15-19","20-24"},{"25-29"}),AGYW!$D:$D,$D132))),""),"")</f>
        <v/>
      </c>
      <c r="J132" s="10"/>
      <c r="K132" s="10"/>
      <c r="L132" s="39" t="str">
        <f aca="false">IF(SUM($K132)=0,"",$K132)</f>
        <v/>
      </c>
      <c r="M132" s="10"/>
      <c r="N132" s="10"/>
      <c r="O132" s="39" t="str">
        <f aca="false">IF(SUM($N132)=0,"",$N132)</f>
        <v/>
      </c>
      <c r="P132" s="10" t="n">
        <f aca="false">2</f>
        <v>2</v>
      </c>
      <c r="Q132" s="39" t="str">
        <f aca="false">IF(SUM($O132)=0,"",$O132*$P132)</f>
        <v/>
      </c>
    </row>
    <row r="133" customFormat="false" ht="15" hidden="false" customHeight="false" outlineLevel="0" collapsed="false">
      <c r="A133" s="0" t="str">
        <f aca="false">INDEX(Prioritization!$D:$D,MATCH($B133,Prioritization!$A:$A,0))</f>
        <v>INVALID</v>
      </c>
      <c r="B133" s="0" t="s">
        <v>208</v>
      </c>
      <c r="C133" s="0" t="s">
        <v>368</v>
      </c>
      <c r="D133" s="0" t="s">
        <v>30</v>
      </c>
      <c r="E133" s="0" t="str">
        <f aca="false">B133&amp;"|"&amp;C133&amp;"|"&amp;D133</f>
        <v>Nkhata Bay District [E7zpfyBt7Tw]|50+|Female</v>
      </c>
      <c r="F133" s="10" t="str">
        <f aca="false">IF(LEFT($B133,4)="_Mil","",INDEX(Cascade!$U:$U,MATCH($E133,Cascade!$E:$E,0)))</f>
        <v/>
      </c>
      <c r="G133" s="10" t="str">
        <f aca="false">IFERROR(1/(1/INDEX(HTS!$AT:$AT,MATCH($E133,HTS!$E:$E,0))),"")</f>
        <v/>
      </c>
      <c r="H133" s="10" t="str">
        <f aca="false">IF(OR($C133="15-24",$C133="25-34"),IFERROR(1/(1/SUM(SUMIFS(AGYW!$S:$S,AGYW!$B:$B,$B133,AGYW!$C:$C,IF($C133="15-24",{"15-19","20-24"},{"25-29"}),AGYW!$D:$D,$D133))),""),"")</f>
        <v/>
      </c>
      <c r="I133" s="10" t="str">
        <f aca="false">IF(OR($C133="15-24",$C133="25-34"),IFERROR(1/(1/SUM(SUMIFS(AGYW!$T:$T,AGYW!$B:$B,$B133,AGYW!$C:$C,IF($C133="15-24",{"15-19","20-24"},{"25-29"}),AGYW!$D:$D,$D133))),""),"")</f>
        <v/>
      </c>
      <c r="J133" s="10"/>
      <c r="K133" s="10"/>
      <c r="L133" s="39" t="str">
        <f aca="false">IF(SUM($K133)=0,"",$K133)</f>
        <v/>
      </c>
      <c r="M133" s="10"/>
      <c r="N133" s="10"/>
      <c r="O133" s="39" t="str">
        <f aca="false">IF(SUM($N133)=0,"",$N133)</f>
        <v/>
      </c>
      <c r="P133" s="10" t="n">
        <f aca="false">2</f>
        <v>2</v>
      </c>
      <c r="Q133" s="39" t="str">
        <f aca="false">IF(SUM($O133)=0,"",$O133*$P133)</f>
        <v/>
      </c>
    </row>
    <row r="134" customFormat="false" ht="15" hidden="false" customHeight="false" outlineLevel="0" collapsed="false">
      <c r="A134" s="0" t="str">
        <f aca="false">INDEX(Prioritization!$D:$D,MATCH($B134,Prioritization!$A:$A,0))</f>
        <v>INVALID</v>
      </c>
      <c r="B134" s="0" t="s">
        <v>208</v>
      </c>
      <c r="C134" s="0" t="s">
        <v>368</v>
      </c>
      <c r="D134" s="0" t="s">
        <v>48</v>
      </c>
      <c r="E134" s="0" t="str">
        <f aca="false">B134&amp;"|"&amp;C134&amp;"|"&amp;D134</f>
        <v>Nkhata Bay District [E7zpfyBt7Tw]|50+|Male</v>
      </c>
      <c r="F134" s="10" t="str">
        <f aca="false">IF(LEFT($B134,4)="_Mil","",INDEX(Cascade!$U:$U,MATCH($E134,Cascade!$E:$E,0)))</f>
        <v/>
      </c>
      <c r="G134" s="10" t="str">
        <f aca="false">IFERROR(1/(1/INDEX(HTS!$AT:$AT,MATCH($E134,HTS!$E:$E,0))),"")</f>
        <v/>
      </c>
      <c r="H134" s="10" t="str">
        <f aca="false">IF(OR($C134="15-24",$C134="25-34"),IFERROR(1/(1/SUM(SUMIFS(AGYW!$S:$S,AGYW!$B:$B,$B134,AGYW!$C:$C,IF($C134="15-24",{"15-19","20-24"},{"25-29"}),AGYW!$D:$D,$D134))),""),"")</f>
        <v/>
      </c>
      <c r="I134" s="10" t="str">
        <f aca="false">IF(OR($C134="15-24",$C134="25-34"),IFERROR(1/(1/SUM(SUMIFS(AGYW!$T:$T,AGYW!$B:$B,$B134,AGYW!$C:$C,IF($C134="15-24",{"15-19","20-24"},{"25-29"}),AGYW!$D:$D,$D134))),""),"")</f>
        <v/>
      </c>
      <c r="J134" s="10"/>
      <c r="K134" s="10"/>
      <c r="L134" s="39" t="str">
        <f aca="false">IF(SUM($K134)=0,"",$K134)</f>
        <v/>
      </c>
      <c r="M134" s="10"/>
      <c r="N134" s="10"/>
      <c r="O134" s="39" t="str">
        <f aca="false">IF(SUM($N134)=0,"",$N134)</f>
        <v/>
      </c>
      <c r="P134" s="10" t="n">
        <f aca="false">2</f>
        <v>2</v>
      </c>
      <c r="Q134" s="39" t="str">
        <f aca="false">IF(SUM($O134)=0,"",$O134*$P134)</f>
        <v/>
      </c>
    </row>
    <row r="135" customFormat="false" ht="15" hidden="false" customHeight="false" outlineLevel="0" collapsed="false">
      <c r="A135" s="0" t="str">
        <f aca="false">INDEX(Prioritization!$D:$D,MATCH($B135,Prioritization!$A:$A,0))</f>
        <v>INVALID</v>
      </c>
      <c r="B135" s="0" t="s">
        <v>209</v>
      </c>
      <c r="C135" s="0" t="s">
        <v>365</v>
      </c>
      <c r="D135" s="0" t="s">
        <v>30</v>
      </c>
      <c r="E135" s="0" t="str">
        <f aca="false">B135&amp;"|"&amp;C135&amp;"|"&amp;D135</f>
        <v>Rumphi District [lPTyjLi4w3d]|15-24|Female</v>
      </c>
      <c r="F135" s="10" t="str">
        <f aca="false">IF(LEFT($B135,4)="_Mil","",INDEX(Cascade!$U:$U,MATCH($E135,Cascade!$E:$E,0)))</f>
        <v/>
      </c>
      <c r="G135" s="10" t="str">
        <f aca="false">IFERROR(1/(1/INDEX(HTS!$AT:$AT,MATCH($E135,HTS!$E:$E,0))),"")</f>
        <v/>
      </c>
      <c r="H135" s="10" t="str">
        <f aca="false">IF(OR($C135="15-24",$C135="25-34"),IFERROR(1/(1/SUM(SUMIFS(AGYW!$S:$S,AGYW!$B:$B,$B135,AGYW!$C:$C,IF($C135="15-24",{"15-19","20-24"},{"25-29"}),AGYW!$D:$D,$D135))),""),"")</f>
        <v/>
      </c>
      <c r="I135" s="10" t="str">
        <f aca="false">IF(OR($C135="15-24",$C135="25-34"),IFERROR(1/(1/SUM(SUMIFS(AGYW!$T:$T,AGYW!$B:$B,$B135,AGYW!$C:$C,IF($C135="15-24",{"15-19","20-24"},{"25-29"}),AGYW!$D:$D,$D135))),""),"")</f>
        <v/>
      </c>
      <c r="J135" s="10"/>
      <c r="K135" s="10"/>
      <c r="L135" s="39" t="str">
        <f aca="false">IF(SUM($K135)=0,"",$K135)</f>
        <v/>
      </c>
      <c r="M135" s="10"/>
      <c r="N135" s="10"/>
      <c r="O135" s="39" t="str">
        <f aca="false">IF(SUM($N135)=0,"",$N135)</f>
        <v/>
      </c>
      <c r="P135" s="10" t="n">
        <f aca="false">2</f>
        <v>2</v>
      </c>
      <c r="Q135" s="39" t="str">
        <f aca="false">IF(SUM($O135)=0,"",$O135*$P135)</f>
        <v/>
      </c>
    </row>
    <row r="136" customFormat="false" ht="15" hidden="false" customHeight="false" outlineLevel="0" collapsed="false">
      <c r="A136" s="0" t="str">
        <f aca="false">INDEX(Prioritization!$D:$D,MATCH($B136,Prioritization!$A:$A,0))</f>
        <v>INVALID</v>
      </c>
      <c r="B136" s="0" t="s">
        <v>209</v>
      </c>
      <c r="C136" s="0" t="s">
        <v>365</v>
      </c>
      <c r="D136" s="0" t="s">
        <v>48</v>
      </c>
      <c r="E136" s="0" t="str">
        <f aca="false">B136&amp;"|"&amp;C136&amp;"|"&amp;D136</f>
        <v>Rumphi District [lPTyjLi4w3d]|15-24|Male</v>
      </c>
      <c r="F136" s="10" t="str">
        <f aca="false">IF(LEFT($B136,4)="_Mil","",INDEX(Cascade!$U:$U,MATCH($E136,Cascade!$E:$E,0)))</f>
        <v/>
      </c>
      <c r="G136" s="10" t="str">
        <f aca="false">IFERROR(1/(1/INDEX(HTS!$AT:$AT,MATCH($E136,HTS!$E:$E,0))),"")</f>
        <v/>
      </c>
      <c r="H136" s="10" t="str">
        <f aca="false">IF(OR($C136="15-24",$C136="25-34"),IFERROR(1/(1/SUM(SUMIFS(AGYW!$S:$S,AGYW!$B:$B,$B136,AGYW!$C:$C,IF($C136="15-24",{"15-19","20-24"},{"25-29"}),AGYW!$D:$D,$D136))),""),"")</f>
        <v/>
      </c>
      <c r="I136" s="10" t="str">
        <f aca="false">IF(OR($C136="15-24",$C136="25-34"),IFERROR(1/(1/SUM(SUMIFS(AGYW!$T:$T,AGYW!$B:$B,$B136,AGYW!$C:$C,IF($C136="15-24",{"15-19","20-24"},{"25-29"}),AGYW!$D:$D,$D136))),""),"")</f>
        <v/>
      </c>
      <c r="J136" s="10"/>
      <c r="K136" s="10"/>
      <c r="L136" s="39" t="str">
        <f aca="false">IF(SUM($K136)=0,"",$K136)</f>
        <v/>
      </c>
      <c r="M136" s="10"/>
      <c r="N136" s="10"/>
      <c r="O136" s="39" t="str">
        <f aca="false">IF(SUM($N136)=0,"",$N136)</f>
        <v/>
      </c>
      <c r="P136" s="10" t="n">
        <f aca="false">2</f>
        <v>2</v>
      </c>
      <c r="Q136" s="39" t="str">
        <f aca="false">IF(SUM($O136)=0,"",$O136*$P136)</f>
        <v/>
      </c>
    </row>
    <row r="137" customFormat="false" ht="15" hidden="false" customHeight="false" outlineLevel="0" collapsed="false">
      <c r="A137" s="0" t="str">
        <f aca="false">INDEX(Prioritization!$D:$D,MATCH($B137,Prioritization!$A:$A,0))</f>
        <v>INVALID</v>
      </c>
      <c r="B137" s="0" t="s">
        <v>209</v>
      </c>
      <c r="C137" s="0" t="s">
        <v>366</v>
      </c>
      <c r="D137" s="0" t="s">
        <v>30</v>
      </c>
      <c r="E137" s="0" t="str">
        <f aca="false">B137&amp;"|"&amp;C137&amp;"|"&amp;D137</f>
        <v>Rumphi District [lPTyjLi4w3d]|25-34|Female</v>
      </c>
      <c r="F137" s="10" t="str">
        <f aca="false">IF(LEFT($B137,4)="_Mil","",INDEX(Cascade!$U:$U,MATCH($E137,Cascade!$E:$E,0)))</f>
        <v/>
      </c>
      <c r="G137" s="10" t="str">
        <f aca="false">IFERROR(1/(1/INDEX(HTS!$AT:$AT,MATCH($E137,HTS!$E:$E,0))),"")</f>
        <v/>
      </c>
      <c r="H137" s="10" t="str">
        <f aca="false">IF(OR($C137="15-24",$C137="25-34"),IFERROR(1/(1/SUM(SUMIFS(AGYW!$S:$S,AGYW!$B:$B,$B137,AGYW!$C:$C,IF($C137="15-24",{"15-19","20-24"},{"25-29"}),AGYW!$D:$D,$D137))),""),"")</f>
        <v/>
      </c>
      <c r="I137" s="10" t="str">
        <f aca="false">IF(OR($C137="15-24",$C137="25-34"),IFERROR(1/(1/SUM(SUMIFS(AGYW!$T:$T,AGYW!$B:$B,$B137,AGYW!$C:$C,IF($C137="15-24",{"15-19","20-24"},{"25-29"}),AGYW!$D:$D,$D137))),""),"")</f>
        <v/>
      </c>
      <c r="J137" s="10"/>
      <c r="K137" s="10"/>
      <c r="L137" s="39" t="str">
        <f aca="false">IF(SUM($K137)=0,"",$K137)</f>
        <v/>
      </c>
      <c r="M137" s="10"/>
      <c r="N137" s="10"/>
      <c r="O137" s="39" t="str">
        <f aca="false">IF(SUM($N137)=0,"",$N137)</f>
        <v/>
      </c>
      <c r="P137" s="10" t="n">
        <f aca="false">2</f>
        <v>2</v>
      </c>
      <c r="Q137" s="39" t="str">
        <f aca="false">IF(SUM($O137)=0,"",$O137*$P137)</f>
        <v/>
      </c>
    </row>
    <row r="138" customFormat="false" ht="15" hidden="false" customHeight="false" outlineLevel="0" collapsed="false">
      <c r="A138" s="0" t="str">
        <f aca="false">INDEX(Prioritization!$D:$D,MATCH($B138,Prioritization!$A:$A,0))</f>
        <v>INVALID</v>
      </c>
      <c r="B138" s="0" t="s">
        <v>209</v>
      </c>
      <c r="C138" s="0" t="s">
        <v>366</v>
      </c>
      <c r="D138" s="0" t="s">
        <v>48</v>
      </c>
      <c r="E138" s="0" t="str">
        <f aca="false">B138&amp;"|"&amp;C138&amp;"|"&amp;D138</f>
        <v>Rumphi District [lPTyjLi4w3d]|25-34|Male</v>
      </c>
      <c r="F138" s="10" t="str">
        <f aca="false">IF(LEFT($B138,4)="_Mil","",INDEX(Cascade!$U:$U,MATCH($E138,Cascade!$E:$E,0)))</f>
        <v/>
      </c>
      <c r="G138" s="10" t="str">
        <f aca="false">IFERROR(1/(1/INDEX(HTS!$AT:$AT,MATCH($E138,HTS!$E:$E,0))),"")</f>
        <v/>
      </c>
      <c r="H138" s="10" t="str">
        <f aca="false">IF(OR($C138="15-24",$C138="25-34"),IFERROR(1/(1/SUM(SUMIFS(AGYW!$S:$S,AGYW!$B:$B,$B138,AGYW!$C:$C,IF($C138="15-24",{"15-19","20-24"},{"25-29"}),AGYW!$D:$D,$D138))),""),"")</f>
        <v/>
      </c>
      <c r="I138" s="10" t="str">
        <f aca="false">IF(OR($C138="15-24",$C138="25-34"),IFERROR(1/(1/SUM(SUMIFS(AGYW!$T:$T,AGYW!$B:$B,$B138,AGYW!$C:$C,IF($C138="15-24",{"15-19","20-24"},{"25-29"}),AGYW!$D:$D,$D138))),""),"")</f>
        <v/>
      </c>
      <c r="J138" s="10"/>
      <c r="K138" s="10"/>
      <c r="L138" s="39" t="str">
        <f aca="false">IF(SUM($K138)=0,"",$K138)</f>
        <v/>
      </c>
      <c r="M138" s="10"/>
      <c r="N138" s="10"/>
      <c r="O138" s="39" t="str">
        <f aca="false">IF(SUM($N138)=0,"",$N138)</f>
        <v/>
      </c>
      <c r="P138" s="10" t="n">
        <f aca="false">2</f>
        <v>2</v>
      </c>
      <c r="Q138" s="39" t="str">
        <f aca="false">IF(SUM($O138)=0,"",$O138*$P138)</f>
        <v/>
      </c>
    </row>
    <row r="139" customFormat="false" ht="15" hidden="false" customHeight="false" outlineLevel="0" collapsed="false">
      <c r="A139" s="0" t="str">
        <f aca="false">INDEX(Prioritization!$D:$D,MATCH($B139,Prioritization!$A:$A,0))</f>
        <v>INVALID</v>
      </c>
      <c r="B139" s="0" t="s">
        <v>209</v>
      </c>
      <c r="C139" s="0" t="s">
        <v>367</v>
      </c>
      <c r="D139" s="0" t="s">
        <v>30</v>
      </c>
      <c r="E139" s="0" t="str">
        <f aca="false">B139&amp;"|"&amp;C139&amp;"|"&amp;D139</f>
        <v>Rumphi District [lPTyjLi4w3d]|35-49|Female</v>
      </c>
      <c r="F139" s="10" t="str">
        <f aca="false">IF(LEFT($B139,4)="_Mil","",INDEX(Cascade!$U:$U,MATCH($E139,Cascade!$E:$E,0)))</f>
        <v/>
      </c>
      <c r="G139" s="10" t="str">
        <f aca="false">IFERROR(1/(1/INDEX(HTS!$AT:$AT,MATCH($E139,HTS!$E:$E,0))),"")</f>
        <v/>
      </c>
      <c r="H139" s="10" t="str">
        <f aca="false">IF(OR($C139="15-24",$C139="25-34"),IFERROR(1/(1/SUM(SUMIFS(AGYW!$S:$S,AGYW!$B:$B,$B139,AGYW!$C:$C,IF($C139="15-24",{"15-19","20-24"},{"25-29"}),AGYW!$D:$D,$D139))),""),"")</f>
        <v/>
      </c>
      <c r="I139" s="10" t="str">
        <f aca="false">IF(OR($C139="15-24",$C139="25-34"),IFERROR(1/(1/SUM(SUMIFS(AGYW!$T:$T,AGYW!$B:$B,$B139,AGYW!$C:$C,IF($C139="15-24",{"15-19","20-24"},{"25-29"}),AGYW!$D:$D,$D139))),""),"")</f>
        <v/>
      </c>
      <c r="J139" s="10"/>
      <c r="K139" s="10"/>
      <c r="L139" s="39" t="str">
        <f aca="false">IF(SUM($K139)=0,"",$K139)</f>
        <v/>
      </c>
      <c r="M139" s="10"/>
      <c r="N139" s="10"/>
      <c r="O139" s="39" t="str">
        <f aca="false">IF(SUM($N139)=0,"",$N139)</f>
        <v/>
      </c>
      <c r="P139" s="10" t="n">
        <f aca="false">2</f>
        <v>2</v>
      </c>
      <c r="Q139" s="39" t="str">
        <f aca="false">IF(SUM($O139)=0,"",$O139*$P139)</f>
        <v/>
      </c>
    </row>
    <row r="140" customFormat="false" ht="15" hidden="false" customHeight="false" outlineLevel="0" collapsed="false">
      <c r="A140" s="0" t="str">
        <f aca="false">INDEX(Prioritization!$D:$D,MATCH($B140,Prioritization!$A:$A,0))</f>
        <v>INVALID</v>
      </c>
      <c r="B140" s="0" t="s">
        <v>209</v>
      </c>
      <c r="C140" s="0" t="s">
        <v>367</v>
      </c>
      <c r="D140" s="0" t="s">
        <v>48</v>
      </c>
      <c r="E140" s="0" t="str">
        <f aca="false">B140&amp;"|"&amp;C140&amp;"|"&amp;D140</f>
        <v>Rumphi District [lPTyjLi4w3d]|35-49|Male</v>
      </c>
      <c r="F140" s="10" t="str">
        <f aca="false">IF(LEFT($B140,4)="_Mil","",INDEX(Cascade!$U:$U,MATCH($E140,Cascade!$E:$E,0)))</f>
        <v/>
      </c>
      <c r="G140" s="10" t="str">
        <f aca="false">IFERROR(1/(1/INDEX(HTS!$AT:$AT,MATCH($E140,HTS!$E:$E,0))),"")</f>
        <v/>
      </c>
      <c r="H140" s="10" t="str">
        <f aca="false">IF(OR($C140="15-24",$C140="25-34"),IFERROR(1/(1/SUM(SUMIFS(AGYW!$S:$S,AGYW!$B:$B,$B140,AGYW!$C:$C,IF($C140="15-24",{"15-19","20-24"},{"25-29"}),AGYW!$D:$D,$D140))),""),"")</f>
        <v/>
      </c>
      <c r="I140" s="10" t="str">
        <f aca="false">IF(OR($C140="15-24",$C140="25-34"),IFERROR(1/(1/SUM(SUMIFS(AGYW!$T:$T,AGYW!$B:$B,$B140,AGYW!$C:$C,IF($C140="15-24",{"15-19","20-24"},{"25-29"}),AGYW!$D:$D,$D140))),""),"")</f>
        <v/>
      </c>
      <c r="J140" s="10"/>
      <c r="K140" s="10"/>
      <c r="L140" s="39" t="str">
        <f aca="false">IF(SUM($K140)=0,"",$K140)</f>
        <v/>
      </c>
      <c r="M140" s="10"/>
      <c r="N140" s="10"/>
      <c r="O140" s="39" t="str">
        <f aca="false">IF(SUM($N140)=0,"",$N140)</f>
        <v/>
      </c>
      <c r="P140" s="10" t="n">
        <f aca="false">2</f>
        <v>2</v>
      </c>
      <c r="Q140" s="39" t="str">
        <f aca="false">IF(SUM($O140)=0,"",$O140*$P140)</f>
        <v/>
      </c>
    </row>
    <row r="141" customFormat="false" ht="15" hidden="false" customHeight="false" outlineLevel="0" collapsed="false">
      <c r="A141" s="0" t="str">
        <f aca="false">INDEX(Prioritization!$D:$D,MATCH($B141,Prioritization!$A:$A,0))</f>
        <v>INVALID</v>
      </c>
      <c r="B141" s="0" t="s">
        <v>209</v>
      </c>
      <c r="C141" s="0" t="s">
        <v>368</v>
      </c>
      <c r="D141" s="0" t="s">
        <v>30</v>
      </c>
      <c r="E141" s="0" t="str">
        <f aca="false">B141&amp;"|"&amp;C141&amp;"|"&amp;D141</f>
        <v>Rumphi District [lPTyjLi4w3d]|50+|Female</v>
      </c>
      <c r="F141" s="10" t="str">
        <f aca="false">IF(LEFT($B141,4)="_Mil","",INDEX(Cascade!$U:$U,MATCH($E141,Cascade!$E:$E,0)))</f>
        <v/>
      </c>
      <c r="G141" s="10" t="str">
        <f aca="false">IFERROR(1/(1/INDEX(HTS!$AT:$AT,MATCH($E141,HTS!$E:$E,0))),"")</f>
        <v/>
      </c>
      <c r="H141" s="10" t="str">
        <f aca="false">IF(OR($C141="15-24",$C141="25-34"),IFERROR(1/(1/SUM(SUMIFS(AGYW!$S:$S,AGYW!$B:$B,$B141,AGYW!$C:$C,IF($C141="15-24",{"15-19","20-24"},{"25-29"}),AGYW!$D:$D,$D141))),""),"")</f>
        <v/>
      </c>
      <c r="I141" s="10" t="str">
        <f aca="false">IF(OR($C141="15-24",$C141="25-34"),IFERROR(1/(1/SUM(SUMIFS(AGYW!$T:$T,AGYW!$B:$B,$B141,AGYW!$C:$C,IF($C141="15-24",{"15-19","20-24"},{"25-29"}),AGYW!$D:$D,$D141))),""),"")</f>
        <v/>
      </c>
      <c r="J141" s="10"/>
      <c r="K141" s="10"/>
      <c r="L141" s="39" t="str">
        <f aca="false">IF(SUM($K141)=0,"",$K141)</f>
        <v/>
      </c>
      <c r="M141" s="10"/>
      <c r="N141" s="10"/>
      <c r="O141" s="39" t="str">
        <f aca="false">IF(SUM($N141)=0,"",$N141)</f>
        <v/>
      </c>
      <c r="P141" s="10" t="n">
        <f aca="false">2</f>
        <v>2</v>
      </c>
      <c r="Q141" s="39" t="str">
        <f aca="false">IF(SUM($O141)=0,"",$O141*$P141)</f>
        <v/>
      </c>
    </row>
    <row r="142" customFormat="false" ht="15" hidden="false" customHeight="false" outlineLevel="0" collapsed="false">
      <c r="A142" s="0" t="str">
        <f aca="false">INDEX(Prioritization!$D:$D,MATCH($B142,Prioritization!$A:$A,0))</f>
        <v>INVALID</v>
      </c>
      <c r="B142" s="0" t="s">
        <v>209</v>
      </c>
      <c r="C142" s="0" t="s">
        <v>368</v>
      </c>
      <c r="D142" s="0" t="s">
        <v>48</v>
      </c>
      <c r="E142" s="0" t="str">
        <f aca="false">B142&amp;"|"&amp;C142&amp;"|"&amp;D142</f>
        <v>Rumphi District [lPTyjLi4w3d]|50+|Male</v>
      </c>
      <c r="F142" s="10" t="str">
        <f aca="false">IF(LEFT($B142,4)="_Mil","",INDEX(Cascade!$U:$U,MATCH($E142,Cascade!$E:$E,0)))</f>
        <v/>
      </c>
      <c r="G142" s="10" t="str">
        <f aca="false">IFERROR(1/(1/INDEX(HTS!$AT:$AT,MATCH($E142,HTS!$E:$E,0))),"")</f>
        <v/>
      </c>
      <c r="H142" s="10" t="str">
        <f aca="false">IF(OR($C142="15-24",$C142="25-34"),IFERROR(1/(1/SUM(SUMIFS(AGYW!$S:$S,AGYW!$B:$B,$B142,AGYW!$C:$C,IF($C142="15-24",{"15-19","20-24"},{"25-29"}),AGYW!$D:$D,$D142))),""),"")</f>
        <v/>
      </c>
      <c r="I142" s="10" t="str">
        <f aca="false">IF(OR($C142="15-24",$C142="25-34"),IFERROR(1/(1/SUM(SUMIFS(AGYW!$T:$T,AGYW!$B:$B,$B142,AGYW!$C:$C,IF($C142="15-24",{"15-19","20-24"},{"25-29"}),AGYW!$D:$D,$D142))),""),"")</f>
        <v/>
      </c>
      <c r="J142" s="10"/>
      <c r="K142" s="10"/>
      <c r="L142" s="39" t="str">
        <f aca="false">IF(SUM($K142)=0,"",$K142)</f>
        <v/>
      </c>
      <c r="M142" s="10"/>
      <c r="N142" s="10"/>
      <c r="O142" s="39" t="str">
        <f aca="false">IF(SUM($N142)=0,"",$N142)</f>
        <v/>
      </c>
      <c r="P142" s="10" t="n">
        <f aca="false">2</f>
        <v>2</v>
      </c>
      <c r="Q142" s="39" t="str">
        <f aca="false">IF(SUM($O142)=0,"",$O142*$P142)</f>
        <v/>
      </c>
    </row>
    <row r="143" customFormat="false" ht="15" hidden="false" customHeight="false" outlineLevel="0" collapsed="false">
      <c r="A143" s="0" t="str">
        <f aca="false">INDEX(Prioritization!$D:$D,MATCH($B143,Prioritization!$A:$A,0))</f>
        <v>1 - Scale-up: Saturation</v>
      </c>
      <c r="B143" s="0" t="s">
        <v>210</v>
      </c>
      <c r="C143" s="0" t="s">
        <v>365</v>
      </c>
      <c r="D143" s="0" t="s">
        <v>30</v>
      </c>
      <c r="E143" s="0" t="str">
        <f aca="false">B143&amp;"|"&amp;C143&amp;"|"&amp;D143</f>
        <v>Balaka District [ir8wuHHzoSs]|15-24|Female</v>
      </c>
      <c r="F143" s="10" t="str">
        <f aca="false">IF(LEFT($B143,4)="_Mil","",INDEX(Cascade!$U:$U,MATCH($E143,Cascade!$E:$E,0)))</f>
        <v/>
      </c>
      <c r="G143" s="10" t="str">
        <f aca="false">IFERROR(1/(1/INDEX(HTS!$AT:$AT,MATCH($E143,HTS!$E:$E,0))),"")</f>
        <v/>
      </c>
      <c r="H143" s="10" t="str">
        <f aca="false">IF(OR($C143="15-24",$C143="25-34"),IFERROR(1/(1/SUM(SUMIFS(AGYW!$S:$S,AGYW!$B:$B,$B143,AGYW!$C:$C,IF($C143="15-24",{"15-19","20-24"},{"25-29"}),AGYW!$D:$D,$D143))),""),"")</f>
        <v/>
      </c>
      <c r="I143" s="10" t="str">
        <f aca="false">IF(OR($C143="15-24",$C143="25-34"),IFERROR(1/(1/SUM(SUMIFS(AGYW!$T:$T,AGYW!$B:$B,$B143,AGYW!$C:$C,IF($C143="15-24",{"15-19","20-24"},{"25-29"}),AGYW!$D:$D,$D143))),""),"")</f>
        <v/>
      </c>
      <c r="J143" s="10"/>
      <c r="K143" s="10"/>
      <c r="L143" s="39" t="str">
        <f aca="false">IF(SUM($K143)=0,"",$K143)</f>
        <v/>
      </c>
      <c r="M143" s="10"/>
      <c r="N143" s="10"/>
      <c r="O143" s="39" t="str">
        <f aca="false">IF(SUM($N143)=0,"",$N143)</f>
        <v/>
      </c>
      <c r="P143" s="10" t="n">
        <f aca="false">2</f>
        <v>2</v>
      </c>
      <c r="Q143" s="39" t="str">
        <f aca="false">IF(SUM($O143)=0,"",$O143*$P143)</f>
        <v/>
      </c>
    </row>
    <row r="144" customFormat="false" ht="15" hidden="false" customHeight="false" outlineLevel="0" collapsed="false">
      <c r="A144" s="0" t="str">
        <f aca="false">INDEX(Prioritization!$D:$D,MATCH($B144,Prioritization!$A:$A,0))</f>
        <v>1 - Scale-up: Saturation</v>
      </c>
      <c r="B144" s="0" t="s">
        <v>210</v>
      </c>
      <c r="C144" s="0" t="s">
        <v>365</v>
      </c>
      <c r="D144" s="0" t="s">
        <v>48</v>
      </c>
      <c r="E144" s="0" t="str">
        <f aca="false">B144&amp;"|"&amp;C144&amp;"|"&amp;D144</f>
        <v>Balaka District [ir8wuHHzoSs]|15-24|Male</v>
      </c>
      <c r="F144" s="10" t="str">
        <f aca="false">IF(LEFT($B144,4)="_Mil","",INDEX(Cascade!$U:$U,MATCH($E144,Cascade!$E:$E,0)))</f>
        <v/>
      </c>
      <c r="G144" s="10" t="str">
        <f aca="false">IFERROR(1/(1/INDEX(HTS!$AT:$AT,MATCH($E144,HTS!$E:$E,0))),"")</f>
        <v/>
      </c>
      <c r="H144" s="10" t="str">
        <f aca="false">IF(OR($C144="15-24",$C144="25-34"),IFERROR(1/(1/SUM(SUMIFS(AGYW!$S:$S,AGYW!$B:$B,$B144,AGYW!$C:$C,IF($C144="15-24",{"15-19","20-24"},{"25-29"}),AGYW!$D:$D,$D144))),""),"")</f>
        <v/>
      </c>
      <c r="I144" s="10" t="str">
        <f aca="false">IF(OR($C144="15-24",$C144="25-34"),IFERROR(1/(1/SUM(SUMIFS(AGYW!$T:$T,AGYW!$B:$B,$B144,AGYW!$C:$C,IF($C144="15-24",{"15-19","20-24"},{"25-29"}),AGYW!$D:$D,$D144))),""),"")</f>
        <v/>
      </c>
      <c r="J144" s="10"/>
      <c r="K144" s="10"/>
      <c r="L144" s="39" t="str">
        <f aca="false">IF(SUM($K144)=0,"",$K144)</f>
        <v/>
      </c>
      <c r="M144" s="10"/>
      <c r="N144" s="10"/>
      <c r="O144" s="39" t="str">
        <f aca="false">IF(SUM($N144)=0,"",$N144)</f>
        <v/>
      </c>
      <c r="P144" s="10" t="n">
        <f aca="false">2</f>
        <v>2</v>
      </c>
      <c r="Q144" s="39" t="str">
        <f aca="false">IF(SUM($O144)=0,"",$O144*$P144)</f>
        <v/>
      </c>
    </row>
    <row r="145" customFormat="false" ht="15" hidden="false" customHeight="false" outlineLevel="0" collapsed="false">
      <c r="A145" s="0" t="str">
        <f aca="false">INDEX(Prioritization!$D:$D,MATCH($B145,Prioritization!$A:$A,0))</f>
        <v>1 - Scale-up: Saturation</v>
      </c>
      <c r="B145" s="0" t="s">
        <v>210</v>
      </c>
      <c r="C145" s="0" t="s">
        <v>366</v>
      </c>
      <c r="D145" s="0" t="s">
        <v>30</v>
      </c>
      <c r="E145" s="0" t="str">
        <f aca="false">B145&amp;"|"&amp;C145&amp;"|"&amp;D145</f>
        <v>Balaka District [ir8wuHHzoSs]|25-34|Female</v>
      </c>
      <c r="F145" s="10" t="str">
        <f aca="false">IF(LEFT($B145,4)="_Mil","",INDEX(Cascade!$U:$U,MATCH($E145,Cascade!$E:$E,0)))</f>
        <v/>
      </c>
      <c r="G145" s="10" t="str">
        <f aca="false">IFERROR(1/(1/INDEX(HTS!$AT:$AT,MATCH($E145,HTS!$E:$E,0))),"")</f>
        <v/>
      </c>
      <c r="H145" s="10" t="str">
        <f aca="false">IF(OR($C145="15-24",$C145="25-34"),IFERROR(1/(1/SUM(SUMIFS(AGYW!$S:$S,AGYW!$B:$B,$B145,AGYW!$C:$C,IF($C145="15-24",{"15-19","20-24"},{"25-29"}),AGYW!$D:$D,$D145))),""),"")</f>
        <v/>
      </c>
      <c r="I145" s="10" t="str">
        <f aca="false">IF(OR($C145="15-24",$C145="25-34"),IFERROR(1/(1/SUM(SUMIFS(AGYW!$T:$T,AGYW!$B:$B,$B145,AGYW!$C:$C,IF($C145="15-24",{"15-19","20-24"},{"25-29"}),AGYW!$D:$D,$D145))),""),"")</f>
        <v/>
      </c>
      <c r="J145" s="10"/>
      <c r="K145" s="10"/>
      <c r="L145" s="39" t="str">
        <f aca="false">IF(SUM($K145)=0,"",$K145)</f>
        <v/>
      </c>
      <c r="M145" s="10"/>
      <c r="N145" s="10"/>
      <c r="O145" s="39" t="str">
        <f aca="false">IF(SUM($N145)=0,"",$N145)</f>
        <v/>
      </c>
      <c r="P145" s="10" t="n">
        <f aca="false">2</f>
        <v>2</v>
      </c>
      <c r="Q145" s="39" t="str">
        <f aca="false">IF(SUM($O145)=0,"",$O145*$P145)</f>
        <v/>
      </c>
    </row>
    <row r="146" customFormat="false" ht="15" hidden="false" customHeight="false" outlineLevel="0" collapsed="false">
      <c r="A146" s="0" t="str">
        <f aca="false">INDEX(Prioritization!$D:$D,MATCH($B146,Prioritization!$A:$A,0))</f>
        <v>1 - Scale-up: Saturation</v>
      </c>
      <c r="B146" s="0" t="s">
        <v>210</v>
      </c>
      <c r="C146" s="0" t="s">
        <v>366</v>
      </c>
      <c r="D146" s="0" t="s">
        <v>48</v>
      </c>
      <c r="E146" s="0" t="str">
        <f aca="false">B146&amp;"|"&amp;C146&amp;"|"&amp;D146</f>
        <v>Balaka District [ir8wuHHzoSs]|25-34|Male</v>
      </c>
      <c r="F146" s="10" t="str">
        <f aca="false">IF(LEFT($B146,4)="_Mil","",INDEX(Cascade!$U:$U,MATCH($E146,Cascade!$E:$E,0)))</f>
        <v/>
      </c>
      <c r="G146" s="10" t="str">
        <f aca="false">IFERROR(1/(1/INDEX(HTS!$AT:$AT,MATCH($E146,HTS!$E:$E,0))),"")</f>
        <v/>
      </c>
      <c r="H146" s="10" t="str">
        <f aca="false">IF(OR($C146="15-24",$C146="25-34"),IFERROR(1/(1/SUM(SUMIFS(AGYW!$S:$S,AGYW!$B:$B,$B146,AGYW!$C:$C,IF($C146="15-24",{"15-19","20-24"},{"25-29"}),AGYW!$D:$D,$D146))),""),"")</f>
        <v/>
      </c>
      <c r="I146" s="10" t="str">
        <f aca="false">IF(OR($C146="15-24",$C146="25-34"),IFERROR(1/(1/SUM(SUMIFS(AGYW!$T:$T,AGYW!$B:$B,$B146,AGYW!$C:$C,IF($C146="15-24",{"15-19","20-24"},{"25-29"}),AGYW!$D:$D,$D146))),""),"")</f>
        <v/>
      </c>
      <c r="J146" s="10"/>
      <c r="K146" s="10"/>
      <c r="L146" s="39" t="str">
        <f aca="false">IF(SUM($K146)=0,"",$K146)</f>
        <v/>
      </c>
      <c r="M146" s="10"/>
      <c r="N146" s="10"/>
      <c r="O146" s="39" t="str">
        <f aca="false">IF(SUM($N146)=0,"",$N146)</f>
        <v/>
      </c>
      <c r="P146" s="10" t="n">
        <f aca="false">2</f>
        <v>2</v>
      </c>
      <c r="Q146" s="39" t="str">
        <f aca="false">IF(SUM($O146)=0,"",$O146*$P146)</f>
        <v/>
      </c>
    </row>
    <row r="147" customFormat="false" ht="15" hidden="false" customHeight="false" outlineLevel="0" collapsed="false">
      <c r="A147" s="0" t="str">
        <f aca="false">INDEX(Prioritization!$D:$D,MATCH($B147,Prioritization!$A:$A,0))</f>
        <v>1 - Scale-up: Saturation</v>
      </c>
      <c r="B147" s="0" t="s">
        <v>210</v>
      </c>
      <c r="C147" s="0" t="s">
        <v>367</v>
      </c>
      <c r="D147" s="0" t="s">
        <v>30</v>
      </c>
      <c r="E147" s="0" t="str">
        <f aca="false">B147&amp;"|"&amp;C147&amp;"|"&amp;D147</f>
        <v>Balaka District [ir8wuHHzoSs]|35-49|Female</v>
      </c>
      <c r="F147" s="10" t="str">
        <f aca="false">IF(LEFT($B147,4)="_Mil","",INDEX(Cascade!$U:$U,MATCH($E147,Cascade!$E:$E,0)))</f>
        <v/>
      </c>
      <c r="G147" s="10" t="str">
        <f aca="false">IFERROR(1/(1/INDEX(HTS!$AT:$AT,MATCH($E147,HTS!$E:$E,0))),"")</f>
        <v/>
      </c>
      <c r="H147" s="10" t="str">
        <f aca="false">IF(OR($C147="15-24",$C147="25-34"),IFERROR(1/(1/SUM(SUMIFS(AGYW!$S:$S,AGYW!$B:$B,$B147,AGYW!$C:$C,IF($C147="15-24",{"15-19","20-24"},{"25-29"}),AGYW!$D:$D,$D147))),""),"")</f>
        <v/>
      </c>
      <c r="I147" s="10" t="str">
        <f aca="false">IF(OR($C147="15-24",$C147="25-34"),IFERROR(1/(1/SUM(SUMIFS(AGYW!$T:$T,AGYW!$B:$B,$B147,AGYW!$C:$C,IF($C147="15-24",{"15-19","20-24"},{"25-29"}),AGYW!$D:$D,$D147))),""),"")</f>
        <v/>
      </c>
      <c r="J147" s="10"/>
      <c r="K147" s="10"/>
      <c r="L147" s="39" t="str">
        <f aca="false">IF(SUM($K147)=0,"",$K147)</f>
        <v/>
      </c>
      <c r="M147" s="10"/>
      <c r="N147" s="10"/>
      <c r="O147" s="39" t="str">
        <f aca="false">IF(SUM($N147)=0,"",$N147)</f>
        <v/>
      </c>
      <c r="P147" s="10" t="n">
        <f aca="false">2</f>
        <v>2</v>
      </c>
      <c r="Q147" s="39" t="str">
        <f aca="false">IF(SUM($O147)=0,"",$O147*$P147)</f>
        <v/>
      </c>
    </row>
    <row r="148" customFormat="false" ht="15" hidden="false" customHeight="false" outlineLevel="0" collapsed="false">
      <c r="A148" s="0" t="str">
        <f aca="false">INDEX(Prioritization!$D:$D,MATCH($B148,Prioritization!$A:$A,0))</f>
        <v>1 - Scale-up: Saturation</v>
      </c>
      <c r="B148" s="0" t="s">
        <v>210</v>
      </c>
      <c r="C148" s="0" t="s">
        <v>367</v>
      </c>
      <c r="D148" s="0" t="s">
        <v>48</v>
      </c>
      <c r="E148" s="0" t="str">
        <f aca="false">B148&amp;"|"&amp;C148&amp;"|"&amp;D148</f>
        <v>Balaka District [ir8wuHHzoSs]|35-49|Male</v>
      </c>
      <c r="F148" s="10" t="str">
        <f aca="false">IF(LEFT($B148,4)="_Mil","",INDEX(Cascade!$U:$U,MATCH($E148,Cascade!$E:$E,0)))</f>
        <v/>
      </c>
      <c r="G148" s="10" t="str">
        <f aca="false">IFERROR(1/(1/INDEX(HTS!$AT:$AT,MATCH($E148,HTS!$E:$E,0))),"")</f>
        <v/>
      </c>
      <c r="H148" s="10" t="str">
        <f aca="false">IF(OR($C148="15-24",$C148="25-34"),IFERROR(1/(1/SUM(SUMIFS(AGYW!$S:$S,AGYW!$B:$B,$B148,AGYW!$C:$C,IF($C148="15-24",{"15-19","20-24"},{"25-29"}),AGYW!$D:$D,$D148))),""),"")</f>
        <v/>
      </c>
      <c r="I148" s="10" t="str">
        <f aca="false">IF(OR($C148="15-24",$C148="25-34"),IFERROR(1/(1/SUM(SUMIFS(AGYW!$T:$T,AGYW!$B:$B,$B148,AGYW!$C:$C,IF($C148="15-24",{"15-19","20-24"},{"25-29"}),AGYW!$D:$D,$D148))),""),"")</f>
        <v/>
      </c>
      <c r="J148" s="10"/>
      <c r="K148" s="10"/>
      <c r="L148" s="39" t="str">
        <f aca="false">IF(SUM($K148)=0,"",$K148)</f>
        <v/>
      </c>
      <c r="M148" s="10"/>
      <c r="N148" s="10"/>
      <c r="O148" s="39" t="str">
        <f aca="false">IF(SUM($N148)=0,"",$N148)</f>
        <v/>
      </c>
      <c r="P148" s="10" t="n">
        <f aca="false">2</f>
        <v>2</v>
      </c>
      <c r="Q148" s="39" t="str">
        <f aca="false">IF(SUM($O148)=0,"",$O148*$P148)</f>
        <v/>
      </c>
    </row>
    <row r="149" customFormat="false" ht="15" hidden="false" customHeight="false" outlineLevel="0" collapsed="false">
      <c r="A149" s="0" t="str">
        <f aca="false">INDEX(Prioritization!$D:$D,MATCH($B149,Prioritization!$A:$A,0))</f>
        <v>1 - Scale-up: Saturation</v>
      </c>
      <c r="B149" s="0" t="s">
        <v>210</v>
      </c>
      <c r="C149" s="0" t="s">
        <v>368</v>
      </c>
      <c r="D149" s="0" t="s">
        <v>30</v>
      </c>
      <c r="E149" s="0" t="str">
        <f aca="false">B149&amp;"|"&amp;C149&amp;"|"&amp;D149</f>
        <v>Balaka District [ir8wuHHzoSs]|50+|Female</v>
      </c>
      <c r="F149" s="10" t="str">
        <f aca="false">IF(LEFT($B149,4)="_Mil","",INDEX(Cascade!$U:$U,MATCH($E149,Cascade!$E:$E,0)))</f>
        <v/>
      </c>
      <c r="G149" s="10" t="str">
        <f aca="false">IFERROR(1/(1/INDEX(HTS!$AT:$AT,MATCH($E149,HTS!$E:$E,0))),"")</f>
        <v/>
      </c>
      <c r="H149" s="10" t="str">
        <f aca="false">IF(OR($C149="15-24",$C149="25-34"),IFERROR(1/(1/SUM(SUMIFS(AGYW!$S:$S,AGYW!$B:$B,$B149,AGYW!$C:$C,IF($C149="15-24",{"15-19","20-24"},{"25-29"}),AGYW!$D:$D,$D149))),""),"")</f>
        <v/>
      </c>
      <c r="I149" s="10" t="str">
        <f aca="false">IF(OR($C149="15-24",$C149="25-34"),IFERROR(1/(1/SUM(SUMIFS(AGYW!$T:$T,AGYW!$B:$B,$B149,AGYW!$C:$C,IF($C149="15-24",{"15-19","20-24"},{"25-29"}),AGYW!$D:$D,$D149))),""),"")</f>
        <v/>
      </c>
      <c r="J149" s="10"/>
      <c r="K149" s="10" t="n">
        <v>0</v>
      </c>
      <c r="L149" s="39" t="str">
        <f aca="false">IF(SUM($K149)=0,"",$K149)</f>
        <v/>
      </c>
      <c r="M149" s="10"/>
      <c r="N149" s="10"/>
      <c r="O149" s="39" t="str">
        <f aca="false">IF(SUM($N149)=0,"",$N149)</f>
        <v/>
      </c>
      <c r="P149" s="10" t="n">
        <f aca="false">2</f>
        <v>2</v>
      </c>
      <c r="Q149" s="39" t="str">
        <f aca="false">IF(SUM($O149)=0,"",$O149*$P149)</f>
        <v/>
      </c>
    </row>
    <row r="150" customFormat="false" ht="15" hidden="false" customHeight="false" outlineLevel="0" collapsed="false">
      <c r="A150" s="0" t="str">
        <f aca="false">INDEX(Prioritization!$D:$D,MATCH($B150,Prioritization!$A:$A,0))</f>
        <v>1 - Scale-up: Saturation</v>
      </c>
      <c r="B150" s="0" t="s">
        <v>210</v>
      </c>
      <c r="C150" s="0" t="s">
        <v>368</v>
      </c>
      <c r="D150" s="0" t="s">
        <v>48</v>
      </c>
      <c r="E150" s="0" t="str">
        <f aca="false">B150&amp;"|"&amp;C150&amp;"|"&amp;D150</f>
        <v>Balaka District [ir8wuHHzoSs]|50+|Male</v>
      </c>
      <c r="F150" s="10" t="str">
        <f aca="false">IF(LEFT($B150,4)="_Mil","",INDEX(Cascade!$U:$U,MATCH($E150,Cascade!$E:$E,0)))</f>
        <v/>
      </c>
      <c r="G150" s="10" t="str">
        <f aca="false">IFERROR(1/(1/INDEX(HTS!$AT:$AT,MATCH($E150,HTS!$E:$E,0))),"")</f>
        <v/>
      </c>
      <c r="H150" s="10" t="str">
        <f aca="false">IF(OR($C150="15-24",$C150="25-34"),IFERROR(1/(1/SUM(SUMIFS(AGYW!$S:$S,AGYW!$B:$B,$B150,AGYW!$C:$C,IF($C150="15-24",{"15-19","20-24"},{"25-29"}),AGYW!$D:$D,$D150))),""),"")</f>
        <v/>
      </c>
      <c r="I150" s="10" t="str">
        <f aca="false">IF(OR($C150="15-24",$C150="25-34"),IFERROR(1/(1/SUM(SUMIFS(AGYW!$T:$T,AGYW!$B:$B,$B150,AGYW!$C:$C,IF($C150="15-24",{"15-19","20-24"},{"25-29"}),AGYW!$D:$D,$D150))),""),"")</f>
        <v/>
      </c>
      <c r="J150" s="10"/>
      <c r="K150" s="10" t="n">
        <v>10</v>
      </c>
      <c r="L150" s="39" t="n">
        <f aca="false">IF(SUM($K150)=0,"",$K150)</f>
        <v>10</v>
      </c>
      <c r="M150" s="10"/>
      <c r="N150" s="10"/>
      <c r="O150" s="39" t="str">
        <f aca="false">IF(SUM($N150)=0,"",$N150)</f>
        <v/>
      </c>
      <c r="P150" s="10" t="n">
        <f aca="false">2</f>
        <v>2</v>
      </c>
      <c r="Q150" s="39" t="str">
        <f aca="false">IF(SUM($O150)=0,"",$O150*$P150)</f>
        <v/>
      </c>
    </row>
    <row r="151" customFormat="false" ht="15" hidden="false" customHeight="false" outlineLevel="0" collapsed="false">
      <c r="A151" s="0" t="str">
        <f aca="false">INDEX(Prioritization!$D:$D,MATCH($B151,Prioritization!$A:$A,0))</f>
        <v>1 - Scale-up: Saturation</v>
      </c>
      <c r="B151" s="0" t="s">
        <v>211</v>
      </c>
      <c r="C151" s="0" t="s">
        <v>365</v>
      </c>
      <c r="D151" s="0" t="s">
        <v>30</v>
      </c>
      <c r="E151" s="0" t="str">
        <f aca="false">B151&amp;"|"&amp;C151&amp;"|"&amp;D151</f>
        <v>Blantyre District [mxqa3CDFmIT]|15-24|Female</v>
      </c>
      <c r="F151" s="10" t="str">
        <f aca="false">IF(LEFT($B151,4)="_Mil","",INDEX(Cascade!$U:$U,MATCH($E151,Cascade!$E:$E,0)))</f>
        <v/>
      </c>
      <c r="G151" s="10" t="str">
        <f aca="false">IFERROR(1/(1/INDEX(HTS!$AT:$AT,MATCH($E151,HTS!$E:$E,0))),"")</f>
        <v/>
      </c>
      <c r="H151" s="10" t="str">
        <f aca="false">IF(OR($C151="15-24",$C151="25-34"),IFERROR(1/(1/SUM(SUMIFS(AGYW!$S:$S,AGYW!$B:$B,$B151,AGYW!$C:$C,IF($C151="15-24",{"15-19","20-24"},{"25-29"}),AGYW!$D:$D,$D151))),""),"")</f>
        <v/>
      </c>
      <c r="I151" s="10" t="str">
        <f aca="false">IF(OR($C151="15-24",$C151="25-34"),IFERROR(1/(1/SUM(SUMIFS(AGYW!$T:$T,AGYW!$B:$B,$B151,AGYW!$C:$C,IF($C151="15-24",{"15-19","20-24"},{"25-29"}),AGYW!$D:$D,$D151))),""),"")</f>
        <v/>
      </c>
      <c r="J151" s="10"/>
      <c r="K151" s="10"/>
      <c r="L151" s="39" t="str">
        <f aca="false">IF(SUM($K151)=0,"",$K151)</f>
        <v/>
      </c>
      <c r="M151" s="10"/>
      <c r="N151" s="10"/>
      <c r="O151" s="39" t="str">
        <f aca="false">IF(SUM($N151)=0,"",$N151)</f>
        <v/>
      </c>
      <c r="P151" s="10" t="n">
        <f aca="false">2</f>
        <v>2</v>
      </c>
      <c r="Q151" s="39" t="str">
        <f aca="false">IF(SUM($O151)=0,"",$O151*$P151)</f>
        <v/>
      </c>
    </row>
    <row r="152" customFormat="false" ht="15" hidden="false" customHeight="false" outlineLevel="0" collapsed="false">
      <c r="A152" s="0" t="str">
        <f aca="false">INDEX(Prioritization!$D:$D,MATCH($B152,Prioritization!$A:$A,0))</f>
        <v>1 - Scale-up: Saturation</v>
      </c>
      <c r="B152" s="0" t="s">
        <v>211</v>
      </c>
      <c r="C152" s="0" t="s">
        <v>365</v>
      </c>
      <c r="D152" s="0" t="s">
        <v>48</v>
      </c>
      <c r="E152" s="0" t="str">
        <f aca="false">B152&amp;"|"&amp;C152&amp;"|"&amp;D152</f>
        <v>Blantyre District [mxqa3CDFmIT]|15-24|Male</v>
      </c>
      <c r="F152" s="10" t="str">
        <f aca="false">IF(LEFT($B152,4)="_Mil","",INDEX(Cascade!$U:$U,MATCH($E152,Cascade!$E:$E,0)))</f>
        <v/>
      </c>
      <c r="G152" s="10" t="str">
        <f aca="false">IFERROR(1/(1/INDEX(HTS!$AT:$AT,MATCH($E152,HTS!$E:$E,0))),"")</f>
        <v/>
      </c>
      <c r="H152" s="10" t="str">
        <f aca="false">IF(OR($C152="15-24",$C152="25-34"),IFERROR(1/(1/SUM(SUMIFS(AGYW!$S:$S,AGYW!$B:$B,$B152,AGYW!$C:$C,IF($C152="15-24",{"15-19","20-24"},{"25-29"}),AGYW!$D:$D,$D152))),""),"")</f>
        <v/>
      </c>
      <c r="I152" s="10" t="str">
        <f aca="false">IF(OR($C152="15-24",$C152="25-34"),IFERROR(1/(1/SUM(SUMIFS(AGYW!$T:$T,AGYW!$B:$B,$B152,AGYW!$C:$C,IF($C152="15-24",{"15-19","20-24"},{"25-29"}),AGYW!$D:$D,$D152))),""),"")</f>
        <v/>
      </c>
      <c r="J152" s="10"/>
      <c r="K152" s="10"/>
      <c r="L152" s="39" t="str">
        <f aca="false">IF(SUM($K152)=0,"",$K152)</f>
        <v/>
      </c>
      <c r="M152" s="10"/>
      <c r="N152" s="10"/>
      <c r="O152" s="39" t="str">
        <f aca="false">IF(SUM($N152)=0,"",$N152)</f>
        <v/>
      </c>
      <c r="P152" s="10" t="n">
        <f aca="false">2</f>
        <v>2</v>
      </c>
      <c r="Q152" s="39" t="str">
        <f aca="false">IF(SUM($O152)=0,"",$O152*$P152)</f>
        <v/>
      </c>
    </row>
    <row r="153" customFormat="false" ht="15" hidden="false" customHeight="false" outlineLevel="0" collapsed="false">
      <c r="A153" s="0" t="str">
        <f aca="false">INDEX(Prioritization!$D:$D,MATCH($B153,Prioritization!$A:$A,0))</f>
        <v>1 - Scale-up: Saturation</v>
      </c>
      <c r="B153" s="0" t="s">
        <v>211</v>
      </c>
      <c r="C153" s="0" t="s">
        <v>366</v>
      </c>
      <c r="D153" s="0" t="s">
        <v>30</v>
      </c>
      <c r="E153" s="0" t="str">
        <f aca="false">B153&amp;"|"&amp;C153&amp;"|"&amp;D153</f>
        <v>Blantyre District [mxqa3CDFmIT]|25-34|Female</v>
      </c>
      <c r="F153" s="10" t="str">
        <f aca="false">IF(LEFT($B153,4)="_Mil","",INDEX(Cascade!$U:$U,MATCH($E153,Cascade!$E:$E,0)))</f>
        <v/>
      </c>
      <c r="G153" s="10" t="str">
        <f aca="false">IFERROR(1/(1/INDEX(HTS!$AT:$AT,MATCH($E153,HTS!$E:$E,0))),"")</f>
        <v/>
      </c>
      <c r="H153" s="10" t="str">
        <f aca="false">IF(OR($C153="15-24",$C153="25-34"),IFERROR(1/(1/SUM(SUMIFS(AGYW!$S:$S,AGYW!$B:$B,$B153,AGYW!$C:$C,IF($C153="15-24",{"15-19","20-24"},{"25-29"}),AGYW!$D:$D,$D153))),""),"")</f>
        <v/>
      </c>
      <c r="I153" s="10" t="str">
        <f aca="false">IF(OR($C153="15-24",$C153="25-34"),IFERROR(1/(1/SUM(SUMIFS(AGYW!$T:$T,AGYW!$B:$B,$B153,AGYW!$C:$C,IF($C153="15-24",{"15-19","20-24"},{"25-29"}),AGYW!$D:$D,$D153))),""),"")</f>
        <v/>
      </c>
      <c r="J153" s="10"/>
      <c r="K153" s="10"/>
      <c r="L153" s="39" t="str">
        <f aca="false">IF(SUM($K153)=0,"",$K153)</f>
        <v/>
      </c>
      <c r="M153" s="10"/>
      <c r="N153" s="10"/>
      <c r="O153" s="39" t="str">
        <f aca="false">IF(SUM($N153)=0,"",$N153)</f>
        <v/>
      </c>
      <c r="P153" s="10" t="n">
        <f aca="false">2</f>
        <v>2</v>
      </c>
      <c r="Q153" s="39" t="str">
        <f aca="false">IF(SUM($O153)=0,"",$O153*$P153)</f>
        <v/>
      </c>
    </row>
    <row r="154" customFormat="false" ht="15" hidden="false" customHeight="false" outlineLevel="0" collapsed="false">
      <c r="A154" s="0" t="str">
        <f aca="false">INDEX(Prioritization!$D:$D,MATCH($B154,Prioritization!$A:$A,0))</f>
        <v>1 - Scale-up: Saturation</v>
      </c>
      <c r="B154" s="0" t="s">
        <v>211</v>
      </c>
      <c r="C154" s="0" t="s">
        <v>366</v>
      </c>
      <c r="D154" s="0" t="s">
        <v>48</v>
      </c>
      <c r="E154" s="0" t="str">
        <f aca="false">B154&amp;"|"&amp;C154&amp;"|"&amp;D154</f>
        <v>Blantyre District [mxqa3CDFmIT]|25-34|Male</v>
      </c>
      <c r="F154" s="10" t="str">
        <f aca="false">IF(LEFT($B154,4)="_Mil","",INDEX(Cascade!$U:$U,MATCH($E154,Cascade!$E:$E,0)))</f>
        <v/>
      </c>
      <c r="G154" s="10" t="str">
        <f aca="false">IFERROR(1/(1/INDEX(HTS!$AT:$AT,MATCH($E154,HTS!$E:$E,0))),"")</f>
        <v/>
      </c>
      <c r="H154" s="10" t="str">
        <f aca="false">IF(OR($C154="15-24",$C154="25-34"),IFERROR(1/(1/SUM(SUMIFS(AGYW!$S:$S,AGYW!$B:$B,$B154,AGYW!$C:$C,IF($C154="15-24",{"15-19","20-24"},{"25-29"}),AGYW!$D:$D,$D154))),""),"")</f>
        <v/>
      </c>
      <c r="I154" s="10" t="str">
        <f aca="false">IF(OR($C154="15-24",$C154="25-34"),IFERROR(1/(1/SUM(SUMIFS(AGYW!$T:$T,AGYW!$B:$B,$B154,AGYW!$C:$C,IF($C154="15-24",{"15-19","20-24"},{"25-29"}),AGYW!$D:$D,$D154))),""),"")</f>
        <v/>
      </c>
      <c r="J154" s="10"/>
      <c r="K154" s="10"/>
      <c r="L154" s="39" t="str">
        <f aca="false">IF(SUM($K154)=0,"",$K154)</f>
        <v/>
      </c>
      <c r="M154" s="10"/>
      <c r="N154" s="10"/>
      <c r="O154" s="39" t="str">
        <f aca="false">IF(SUM($N154)=0,"",$N154)</f>
        <v/>
      </c>
      <c r="P154" s="10" t="n">
        <f aca="false">2</f>
        <v>2</v>
      </c>
      <c r="Q154" s="39" t="str">
        <f aca="false">IF(SUM($O154)=0,"",$O154*$P154)</f>
        <v/>
      </c>
    </row>
    <row r="155" customFormat="false" ht="15" hidden="false" customHeight="false" outlineLevel="0" collapsed="false">
      <c r="A155" s="0" t="str">
        <f aca="false">INDEX(Prioritization!$D:$D,MATCH($B155,Prioritization!$A:$A,0))</f>
        <v>1 - Scale-up: Saturation</v>
      </c>
      <c r="B155" s="0" t="s">
        <v>211</v>
      </c>
      <c r="C155" s="0" t="s">
        <v>367</v>
      </c>
      <c r="D155" s="0" t="s">
        <v>30</v>
      </c>
      <c r="E155" s="0" t="str">
        <f aca="false">B155&amp;"|"&amp;C155&amp;"|"&amp;D155</f>
        <v>Blantyre District [mxqa3CDFmIT]|35-49|Female</v>
      </c>
      <c r="F155" s="10" t="str">
        <f aca="false">IF(LEFT($B155,4)="_Mil","",INDEX(Cascade!$U:$U,MATCH($E155,Cascade!$E:$E,0)))</f>
        <v/>
      </c>
      <c r="G155" s="10" t="str">
        <f aca="false">IFERROR(1/(1/INDEX(HTS!$AT:$AT,MATCH($E155,HTS!$E:$E,0))),"")</f>
        <v/>
      </c>
      <c r="H155" s="10" t="str">
        <f aca="false">IF(OR($C155="15-24",$C155="25-34"),IFERROR(1/(1/SUM(SUMIFS(AGYW!$S:$S,AGYW!$B:$B,$B155,AGYW!$C:$C,IF($C155="15-24",{"15-19","20-24"},{"25-29"}),AGYW!$D:$D,$D155))),""),"")</f>
        <v/>
      </c>
      <c r="I155" s="10" t="str">
        <f aca="false">IF(OR($C155="15-24",$C155="25-34"),IFERROR(1/(1/SUM(SUMIFS(AGYW!$T:$T,AGYW!$B:$B,$B155,AGYW!$C:$C,IF($C155="15-24",{"15-19","20-24"},{"25-29"}),AGYW!$D:$D,$D155))),""),"")</f>
        <v/>
      </c>
      <c r="J155" s="10"/>
      <c r="K155" s="10"/>
      <c r="L155" s="39" t="str">
        <f aca="false">IF(SUM($K155)=0,"",$K155)</f>
        <v/>
      </c>
      <c r="M155" s="10"/>
      <c r="N155" s="10"/>
      <c r="O155" s="39" t="str">
        <f aca="false">IF(SUM($N155)=0,"",$N155)</f>
        <v/>
      </c>
      <c r="P155" s="10" t="n">
        <f aca="false">2</f>
        <v>2</v>
      </c>
      <c r="Q155" s="39" t="str">
        <f aca="false">IF(SUM($O155)=0,"",$O155*$P155)</f>
        <v/>
      </c>
    </row>
    <row r="156" customFormat="false" ht="15" hidden="false" customHeight="false" outlineLevel="0" collapsed="false">
      <c r="A156" s="0" t="str">
        <f aca="false">INDEX(Prioritization!$D:$D,MATCH($B156,Prioritization!$A:$A,0))</f>
        <v>1 - Scale-up: Saturation</v>
      </c>
      <c r="B156" s="0" t="s">
        <v>211</v>
      </c>
      <c r="C156" s="0" t="s">
        <v>367</v>
      </c>
      <c r="D156" s="0" t="s">
        <v>48</v>
      </c>
      <c r="E156" s="0" t="str">
        <f aca="false">B156&amp;"|"&amp;C156&amp;"|"&amp;D156</f>
        <v>Blantyre District [mxqa3CDFmIT]|35-49|Male</v>
      </c>
      <c r="F156" s="10" t="str">
        <f aca="false">IF(LEFT($B156,4)="_Mil","",INDEX(Cascade!$U:$U,MATCH($E156,Cascade!$E:$E,0)))</f>
        <v/>
      </c>
      <c r="G156" s="10" t="str">
        <f aca="false">IFERROR(1/(1/INDEX(HTS!$AT:$AT,MATCH($E156,HTS!$E:$E,0))),"")</f>
        <v/>
      </c>
      <c r="H156" s="10" t="str">
        <f aca="false">IF(OR($C156="15-24",$C156="25-34"),IFERROR(1/(1/SUM(SUMIFS(AGYW!$S:$S,AGYW!$B:$B,$B156,AGYW!$C:$C,IF($C156="15-24",{"15-19","20-24"},{"25-29"}),AGYW!$D:$D,$D156))),""),"")</f>
        <v/>
      </c>
      <c r="I156" s="10" t="str">
        <f aca="false">IF(OR($C156="15-24",$C156="25-34"),IFERROR(1/(1/SUM(SUMIFS(AGYW!$T:$T,AGYW!$B:$B,$B156,AGYW!$C:$C,IF($C156="15-24",{"15-19","20-24"},{"25-29"}),AGYW!$D:$D,$D156))),""),"")</f>
        <v/>
      </c>
      <c r="J156" s="10"/>
      <c r="K156" s="10"/>
      <c r="L156" s="39" t="str">
        <f aca="false">IF(SUM($K156)=0,"",$K156)</f>
        <v/>
      </c>
      <c r="M156" s="10"/>
      <c r="N156" s="10"/>
      <c r="O156" s="39" t="str">
        <f aca="false">IF(SUM($N156)=0,"",$N156)</f>
        <v/>
      </c>
      <c r="P156" s="10" t="n">
        <f aca="false">2</f>
        <v>2</v>
      </c>
      <c r="Q156" s="39" t="str">
        <f aca="false">IF(SUM($O156)=0,"",$O156*$P156)</f>
        <v/>
      </c>
    </row>
    <row r="157" customFormat="false" ht="15" hidden="false" customHeight="false" outlineLevel="0" collapsed="false">
      <c r="A157" s="0" t="str">
        <f aca="false">INDEX(Prioritization!$D:$D,MATCH($B157,Prioritization!$A:$A,0))</f>
        <v>1 - Scale-up: Saturation</v>
      </c>
      <c r="B157" s="0" t="s">
        <v>211</v>
      </c>
      <c r="C157" s="0" t="s">
        <v>368</v>
      </c>
      <c r="D157" s="0" t="s">
        <v>30</v>
      </c>
      <c r="E157" s="0" t="str">
        <f aca="false">B157&amp;"|"&amp;C157&amp;"|"&amp;D157</f>
        <v>Blantyre District [mxqa3CDFmIT]|50+|Female</v>
      </c>
      <c r="F157" s="10" t="str">
        <f aca="false">IF(LEFT($B157,4)="_Mil","",INDEX(Cascade!$U:$U,MATCH($E157,Cascade!$E:$E,0)))</f>
        <v/>
      </c>
      <c r="G157" s="10" t="str">
        <f aca="false">IFERROR(1/(1/INDEX(HTS!$AT:$AT,MATCH($E157,HTS!$E:$E,0))),"")</f>
        <v/>
      </c>
      <c r="H157" s="10" t="str">
        <f aca="false">IF(OR($C157="15-24",$C157="25-34"),IFERROR(1/(1/SUM(SUMIFS(AGYW!$S:$S,AGYW!$B:$B,$B157,AGYW!$C:$C,IF($C157="15-24",{"15-19","20-24"},{"25-29"}),AGYW!$D:$D,$D157))),""),"")</f>
        <v/>
      </c>
      <c r="I157" s="10" t="str">
        <f aca="false">IF(OR($C157="15-24",$C157="25-34"),IFERROR(1/(1/SUM(SUMIFS(AGYW!$T:$T,AGYW!$B:$B,$B157,AGYW!$C:$C,IF($C157="15-24",{"15-19","20-24"},{"25-29"}),AGYW!$D:$D,$D157))),""),"")</f>
        <v/>
      </c>
      <c r="J157" s="10" t="n">
        <v>4</v>
      </c>
      <c r="K157" s="10" t="n">
        <v>1</v>
      </c>
      <c r="L157" s="39" t="n">
        <f aca="false">IF(SUM($K157)=0,"",$K157)</f>
        <v>1</v>
      </c>
      <c r="M157" s="10"/>
      <c r="N157" s="10"/>
      <c r="O157" s="39" t="str">
        <f aca="false">IF(SUM($N157)=0,"",$N157)</f>
        <v/>
      </c>
      <c r="P157" s="10" t="n">
        <f aca="false">2</f>
        <v>2</v>
      </c>
      <c r="Q157" s="39" t="str">
        <f aca="false">IF(SUM($O157)=0,"",$O157*$P157)</f>
        <v/>
      </c>
    </row>
    <row r="158" customFormat="false" ht="15" hidden="false" customHeight="false" outlineLevel="0" collapsed="false">
      <c r="A158" s="0" t="str">
        <f aca="false">INDEX(Prioritization!$D:$D,MATCH($B158,Prioritization!$A:$A,0))</f>
        <v>1 - Scale-up: Saturation</v>
      </c>
      <c r="B158" s="0" t="s">
        <v>211</v>
      </c>
      <c r="C158" s="0" t="s">
        <v>368</v>
      </c>
      <c r="D158" s="0" t="s">
        <v>48</v>
      </c>
      <c r="E158" s="0" t="str">
        <f aca="false">B158&amp;"|"&amp;C158&amp;"|"&amp;D158</f>
        <v>Blantyre District [mxqa3CDFmIT]|50+|Male</v>
      </c>
      <c r="F158" s="10" t="str">
        <f aca="false">IF(LEFT($B158,4)="_Mil","",INDEX(Cascade!$U:$U,MATCH($E158,Cascade!$E:$E,0)))</f>
        <v/>
      </c>
      <c r="G158" s="10" t="str">
        <f aca="false">IFERROR(1/(1/INDEX(HTS!$AT:$AT,MATCH($E158,HTS!$E:$E,0))),"")</f>
        <v/>
      </c>
      <c r="H158" s="10" t="str">
        <f aca="false">IF(OR($C158="15-24",$C158="25-34"),IFERROR(1/(1/SUM(SUMIFS(AGYW!$S:$S,AGYW!$B:$B,$B158,AGYW!$C:$C,IF($C158="15-24",{"15-19","20-24"},{"25-29"}),AGYW!$D:$D,$D158))),""),"")</f>
        <v/>
      </c>
      <c r="I158" s="10" t="str">
        <f aca="false">IF(OR($C158="15-24",$C158="25-34"),IFERROR(1/(1/SUM(SUMIFS(AGYW!$T:$T,AGYW!$B:$B,$B158,AGYW!$C:$C,IF($C158="15-24",{"15-19","20-24"},{"25-29"}),AGYW!$D:$D,$D158))),""),"")</f>
        <v/>
      </c>
      <c r="J158" s="10" t="n">
        <v>5</v>
      </c>
      <c r="K158" s="10" t="n">
        <v>9</v>
      </c>
      <c r="L158" s="39" t="n">
        <f aca="false">IF(SUM($K158)=0,"",$K158)</f>
        <v>9</v>
      </c>
      <c r="M158" s="10"/>
      <c r="N158" s="10"/>
      <c r="O158" s="39" t="str">
        <f aca="false">IF(SUM($N158)=0,"",$N158)</f>
        <v/>
      </c>
      <c r="P158" s="10" t="n">
        <f aca="false">2</f>
        <v>2</v>
      </c>
      <c r="Q158" s="39" t="str">
        <f aca="false">IF(SUM($O158)=0,"",$O158*$P158)</f>
        <v/>
      </c>
    </row>
    <row r="159" customFormat="false" ht="15" hidden="false" customHeight="false" outlineLevel="0" collapsed="false">
      <c r="A159" s="0" t="str">
        <f aca="false">INDEX(Prioritization!$D:$D,MATCH($B159,Prioritization!$A:$A,0))</f>
        <v>1 - Scale-up: Saturation</v>
      </c>
      <c r="B159" s="0" t="s">
        <v>212</v>
      </c>
      <c r="C159" s="0" t="s">
        <v>365</v>
      </c>
      <c r="D159" s="0" t="s">
        <v>30</v>
      </c>
      <c r="E159" s="0" t="str">
        <f aca="false">B159&amp;"|"&amp;C159&amp;"|"&amp;D159</f>
        <v>Chikwawa District [U8c0so51kT6]|15-24|Female</v>
      </c>
      <c r="F159" s="10" t="str">
        <f aca="false">IF(LEFT($B159,4)="_Mil","",INDEX(Cascade!$U:$U,MATCH($E159,Cascade!$E:$E,0)))</f>
        <v/>
      </c>
      <c r="G159" s="10" t="str">
        <f aca="false">IFERROR(1/(1/INDEX(HTS!$AT:$AT,MATCH($E159,HTS!$E:$E,0))),"")</f>
        <v/>
      </c>
      <c r="H159" s="10" t="str">
        <f aca="false">IF(OR($C159="15-24",$C159="25-34"),IFERROR(1/(1/SUM(SUMIFS(AGYW!$S:$S,AGYW!$B:$B,$B159,AGYW!$C:$C,IF($C159="15-24",{"15-19","20-24"},{"25-29"}),AGYW!$D:$D,$D159))),""),"")</f>
        <v/>
      </c>
      <c r="I159" s="10" t="str">
        <f aca="false">IF(OR($C159="15-24",$C159="25-34"),IFERROR(1/(1/SUM(SUMIFS(AGYW!$T:$T,AGYW!$B:$B,$B159,AGYW!$C:$C,IF($C159="15-24",{"15-19","20-24"},{"25-29"}),AGYW!$D:$D,$D159))),""),"")</f>
        <v/>
      </c>
      <c r="J159" s="10"/>
      <c r="K159" s="10"/>
      <c r="L159" s="39" t="str">
        <f aca="false">IF(SUM($K159)=0,"",$K159)</f>
        <v/>
      </c>
      <c r="M159" s="10"/>
      <c r="N159" s="10"/>
      <c r="O159" s="39" t="str">
        <f aca="false">IF(SUM($N159)=0,"",$N159)</f>
        <v/>
      </c>
      <c r="P159" s="10" t="n">
        <f aca="false">2</f>
        <v>2</v>
      </c>
      <c r="Q159" s="39" t="str">
        <f aca="false">IF(SUM($O159)=0,"",$O159*$P159)</f>
        <v/>
      </c>
    </row>
    <row r="160" customFormat="false" ht="15" hidden="false" customHeight="false" outlineLevel="0" collapsed="false">
      <c r="A160" s="0" t="str">
        <f aca="false">INDEX(Prioritization!$D:$D,MATCH($B160,Prioritization!$A:$A,0))</f>
        <v>1 - Scale-up: Saturation</v>
      </c>
      <c r="B160" s="0" t="s">
        <v>212</v>
      </c>
      <c r="C160" s="0" t="s">
        <v>365</v>
      </c>
      <c r="D160" s="0" t="s">
        <v>48</v>
      </c>
      <c r="E160" s="0" t="str">
        <f aca="false">B160&amp;"|"&amp;C160&amp;"|"&amp;D160</f>
        <v>Chikwawa District [U8c0so51kT6]|15-24|Male</v>
      </c>
      <c r="F160" s="10" t="str">
        <f aca="false">IF(LEFT($B160,4)="_Mil","",INDEX(Cascade!$U:$U,MATCH($E160,Cascade!$E:$E,0)))</f>
        <v/>
      </c>
      <c r="G160" s="10" t="str">
        <f aca="false">IFERROR(1/(1/INDEX(HTS!$AT:$AT,MATCH($E160,HTS!$E:$E,0))),"")</f>
        <v/>
      </c>
      <c r="H160" s="10" t="str">
        <f aca="false">IF(OR($C160="15-24",$C160="25-34"),IFERROR(1/(1/SUM(SUMIFS(AGYW!$S:$S,AGYW!$B:$B,$B160,AGYW!$C:$C,IF($C160="15-24",{"15-19","20-24"},{"25-29"}),AGYW!$D:$D,$D160))),""),"")</f>
        <v/>
      </c>
      <c r="I160" s="10" t="str">
        <f aca="false">IF(OR($C160="15-24",$C160="25-34"),IFERROR(1/(1/SUM(SUMIFS(AGYW!$T:$T,AGYW!$B:$B,$B160,AGYW!$C:$C,IF($C160="15-24",{"15-19","20-24"},{"25-29"}),AGYW!$D:$D,$D160))),""),"")</f>
        <v/>
      </c>
      <c r="J160" s="10"/>
      <c r="K160" s="10"/>
      <c r="L160" s="39" t="str">
        <f aca="false">IF(SUM($K160)=0,"",$K160)</f>
        <v/>
      </c>
      <c r="M160" s="10"/>
      <c r="N160" s="10"/>
      <c r="O160" s="39" t="str">
        <f aca="false">IF(SUM($N160)=0,"",$N160)</f>
        <v/>
      </c>
      <c r="P160" s="10" t="n">
        <f aca="false">2</f>
        <v>2</v>
      </c>
      <c r="Q160" s="39" t="str">
        <f aca="false">IF(SUM($O160)=0,"",$O160*$P160)</f>
        <v/>
      </c>
    </row>
    <row r="161" customFormat="false" ht="15" hidden="false" customHeight="false" outlineLevel="0" collapsed="false">
      <c r="A161" s="0" t="str">
        <f aca="false">INDEX(Prioritization!$D:$D,MATCH($B161,Prioritization!$A:$A,0))</f>
        <v>1 - Scale-up: Saturation</v>
      </c>
      <c r="B161" s="0" t="s">
        <v>212</v>
      </c>
      <c r="C161" s="0" t="s">
        <v>366</v>
      </c>
      <c r="D161" s="0" t="s">
        <v>30</v>
      </c>
      <c r="E161" s="0" t="str">
        <f aca="false">B161&amp;"|"&amp;C161&amp;"|"&amp;D161</f>
        <v>Chikwawa District [U8c0so51kT6]|25-34|Female</v>
      </c>
      <c r="F161" s="10" t="str">
        <f aca="false">IF(LEFT($B161,4)="_Mil","",INDEX(Cascade!$U:$U,MATCH($E161,Cascade!$E:$E,0)))</f>
        <v/>
      </c>
      <c r="G161" s="10" t="str">
        <f aca="false">IFERROR(1/(1/INDEX(HTS!$AT:$AT,MATCH($E161,HTS!$E:$E,0))),"")</f>
        <v/>
      </c>
      <c r="H161" s="10" t="str">
        <f aca="false">IF(OR($C161="15-24",$C161="25-34"),IFERROR(1/(1/SUM(SUMIFS(AGYW!$S:$S,AGYW!$B:$B,$B161,AGYW!$C:$C,IF($C161="15-24",{"15-19","20-24"},{"25-29"}),AGYW!$D:$D,$D161))),""),"")</f>
        <v/>
      </c>
      <c r="I161" s="10" t="str">
        <f aca="false">IF(OR($C161="15-24",$C161="25-34"),IFERROR(1/(1/SUM(SUMIFS(AGYW!$T:$T,AGYW!$B:$B,$B161,AGYW!$C:$C,IF($C161="15-24",{"15-19","20-24"},{"25-29"}),AGYW!$D:$D,$D161))),""),"")</f>
        <v/>
      </c>
      <c r="J161" s="10"/>
      <c r="K161" s="10"/>
      <c r="L161" s="39" t="str">
        <f aca="false">IF(SUM($K161)=0,"",$K161)</f>
        <v/>
      </c>
      <c r="M161" s="10"/>
      <c r="N161" s="10"/>
      <c r="O161" s="39" t="str">
        <f aca="false">IF(SUM($N161)=0,"",$N161)</f>
        <v/>
      </c>
      <c r="P161" s="10" t="n">
        <f aca="false">2</f>
        <v>2</v>
      </c>
      <c r="Q161" s="39" t="str">
        <f aca="false">IF(SUM($O161)=0,"",$O161*$P161)</f>
        <v/>
      </c>
    </row>
    <row r="162" customFormat="false" ht="15" hidden="false" customHeight="false" outlineLevel="0" collapsed="false">
      <c r="A162" s="0" t="str">
        <f aca="false">INDEX(Prioritization!$D:$D,MATCH($B162,Prioritization!$A:$A,0))</f>
        <v>1 - Scale-up: Saturation</v>
      </c>
      <c r="B162" s="0" t="s">
        <v>212</v>
      </c>
      <c r="C162" s="0" t="s">
        <v>366</v>
      </c>
      <c r="D162" s="0" t="s">
        <v>48</v>
      </c>
      <c r="E162" s="0" t="str">
        <f aca="false">B162&amp;"|"&amp;C162&amp;"|"&amp;D162</f>
        <v>Chikwawa District [U8c0so51kT6]|25-34|Male</v>
      </c>
      <c r="F162" s="10" t="str">
        <f aca="false">IF(LEFT($B162,4)="_Mil","",INDEX(Cascade!$U:$U,MATCH($E162,Cascade!$E:$E,0)))</f>
        <v/>
      </c>
      <c r="G162" s="10" t="str">
        <f aca="false">IFERROR(1/(1/INDEX(HTS!$AT:$AT,MATCH($E162,HTS!$E:$E,0))),"")</f>
        <v/>
      </c>
      <c r="H162" s="10" t="str">
        <f aca="false">IF(OR($C162="15-24",$C162="25-34"),IFERROR(1/(1/SUM(SUMIFS(AGYW!$S:$S,AGYW!$B:$B,$B162,AGYW!$C:$C,IF($C162="15-24",{"15-19","20-24"},{"25-29"}),AGYW!$D:$D,$D162))),""),"")</f>
        <v/>
      </c>
      <c r="I162" s="10" t="str">
        <f aca="false">IF(OR($C162="15-24",$C162="25-34"),IFERROR(1/(1/SUM(SUMIFS(AGYW!$T:$T,AGYW!$B:$B,$B162,AGYW!$C:$C,IF($C162="15-24",{"15-19","20-24"},{"25-29"}),AGYW!$D:$D,$D162))),""),"")</f>
        <v/>
      </c>
      <c r="J162" s="10"/>
      <c r="K162" s="10"/>
      <c r="L162" s="39" t="str">
        <f aca="false">IF(SUM($K162)=0,"",$K162)</f>
        <v/>
      </c>
      <c r="M162" s="10"/>
      <c r="N162" s="10"/>
      <c r="O162" s="39" t="str">
        <f aca="false">IF(SUM($N162)=0,"",$N162)</f>
        <v/>
      </c>
      <c r="P162" s="10" t="n">
        <f aca="false">2</f>
        <v>2</v>
      </c>
      <c r="Q162" s="39" t="str">
        <f aca="false">IF(SUM($O162)=0,"",$O162*$P162)</f>
        <v/>
      </c>
    </row>
    <row r="163" customFormat="false" ht="15" hidden="false" customHeight="false" outlineLevel="0" collapsed="false">
      <c r="A163" s="0" t="str">
        <f aca="false">INDEX(Prioritization!$D:$D,MATCH($B163,Prioritization!$A:$A,0))</f>
        <v>1 - Scale-up: Saturation</v>
      </c>
      <c r="B163" s="0" t="s">
        <v>212</v>
      </c>
      <c r="C163" s="0" t="s">
        <v>367</v>
      </c>
      <c r="D163" s="0" t="s">
        <v>30</v>
      </c>
      <c r="E163" s="0" t="str">
        <f aca="false">B163&amp;"|"&amp;C163&amp;"|"&amp;D163</f>
        <v>Chikwawa District [U8c0so51kT6]|35-49|Female</v>
      </c>
      <c r="F163" s="10" t="str">
        <f aca="false">IF(LEFT($B163,4)="_Mil","",INDEX(Cascade!$U:$U,MATCH($E163,Cascade!$E:$E,0)))</f>
        <v/>
      </c>
      <c r="G163" s="10" t="str">
        <f aca="false">IFERROR(1/(1/INDEX(HTS!$AT:$AT,MATCH($E163,HTS!$E:$E,0))),"")</f>
        <v/>
      </c>
      <c r="H163" s="10" t="str">
        <f aca="false">IF(OR($C163="15-24",$C163="25-34"),IFERROR(1/(1/SUM(SUMIFS(AGYW!$S:$S,AGYW!$B:$B,$B163,AGYW!$C:$C,IF($C163="15-24",{"15-19","20-24"},{"25-29"}),AGYW!$D:$D,$D163))),""),"")</f>
        <v/>
      </c>
      <c r="I163" s="10" t="str">
        <f aca="false">IF(OR($C163="15-24",$C163="25-34"),IFERROR(1/(1/SUM(SUMIFS(AGYW!$T:$T,AGYW!$B:$B,$B163,AGYW!$C:$C,IF($C163="15-24",{"15-19","20-24"},{"25-29"}),AGYW!$D:$D,$D163))),""),"")</f>
        <v/>
      </c>
      <c r="J163" s="10"/>
      <c r="K163" s="10"/>
      <c r="L163" s="39" t="str">
        <f aca="false">IF(SUM($K163)=0,"",$K163)</f>
        <v/>
      </c>
      <c r="M163" s="10"/>
      <c r="N163" s="10"/>
      <c r="O163" s="39" t="str">
        <f aca="false">IF(SUM($N163)=0,"",$N163)</f>
        <v/>
      </c>
      <c r="P163" s="10" t="n">
        <f aca="false">2</f>
        <v>2</v>
      </c>
      <c r="Q163" s="39" t="str">
        <f aca="false">IF(SUM($O163)=0,"",$O163*$P163)</f>
        <v/>
      </c>
    </row>
    <row r="164" customFormat="false" ht="15" hidden="false" customHeight="false" outlineLevel="0" collapsed="false">
      <c r="A164" s="0" t="str">
        <f aca="false">INDEX(Prioritization!$D:$D,MATCH($B164,Prioritization!$A:$A,0))</f>
        <v>1 - Scale-up: Saturation</v>
      </c>
      <c r="B164" s="0" t="s">
        <v>212</v>
      </c>
      <c r="C164" s="0" t="s">
        <v>367</v>
      </c>
      <c r="D164" s="0" t="s">
        <v>48</v>
      </c>
      <c r="E164" s="0" t="str">
        <f aca="false">B164&amp;"|"&amp;C164&amp;"|"&amp;D164</f>
        <v>Chikwawa District [U8c0so51kT6]|35-49|Male</v>
      </c>
      <c r="F164" s="10" t="str">
        <f aca="false">IF(LEFT($B164,4)="_Mil","",INDEX(Cascade!$U:$U,MATCH($E164,Cascade!$E:$E,0)))</f>
        <v/>
      </c>
      <c r="G164" s="10" t="str">
        <f aca="false">IFERROR(1/(1/INDEX(HTS!$AT:$AT,MATCH($E164,HTS!$E:$E,0))),"")</f>
        <v/>
      </c>
      <c r="H164" s="10" t="str">
        <f aca="false">IF(OR($C164="15-24",$C164="25-34"),IFERROR(1/(1/SUM(SUMIFS(AGYW!$S:$S,AGYW!$B:$B,$B164,AGYW!$C:$C,IF($C164="15-24",{"15-19","20-24"},{"25-29"}),AGYW!$D:$D,$D164))),""),"")</f>
        <v/>
      </c>
      <c r="I164" s="10" t="str">
        <f aca="false">IF(OR($C164="15-24",$C164="25-34"),IFERROR(1/(1/SUM(SUMIFS(AGYW!$T:$T,AGYW!$B:$B,$B164,AGYW!$C:$C,IF($C164="15-24",{"15-19","20-24"},{"25-29"}),AGYW!$D:$D,$D164))),""),"")</f>
        <v/>
      </c>
      <c r="J164" s="10"/>
      <c r="K164" s="10"/>
      <c r="L164" s="39" t="str">
        <f aca="false">IF(SUM($K164)=0,"",$K164)</f>
        <v/>
      </c>
      <c r="M164" s="10"/>
      <c r="N164" s="10"/>
      <c r="O164" s="39" t="str">
        <f aca="false">IF(SUM($N164)=0,"",$N164)</f>
        <v/>
      </c>
      <c r="P164" s="10" t="n">
        <f aca="false">2</f>
        <v>2</v>
      </c>
      <c r="Q164" s="39" t="str">
        <f aca="false">IF(SUM($O164)=0,"",$O164*$P164)</f>
        <v/>
      </c>
    </row>
    <row r="165" customFormat="false" ht="15" hidden="false" customHeight="false" outlineLevel="0" collapsed="false">
      <c r="A165" s="0" t="str">
        <f aca="false">INDEX(Prioritization!$D:$D,MATCH($B165,Prioritization!$A:$A,0))</f>
        <v>1 - Scale-up: Saturation</v>
      </c>
      <c r="B165" s="0" t="s">
        <v>212</v>
      </c>
      <c r="C165" s="0" t="s">
        <v>368</v>
      </c>
      <c r="D165" s="0" t="s">
        <v>30</v>
      </c>
      <c r="E165" s="0" t="str">
        <f aca="false">B165&amp;"|"&amp;C165&amp;"|"&amp;D165</f>
        <v>Chikwawa District [U8c0so51kT6]|50+|Female</v>
      </c>
      <c r="F165" s="10" t="str">
        <f aca="false">IF(LEFT($B165,4)="_Mil","",INDEX(Cascade!$U:$U,MATCH($E165,Cascade!$E:$E,0)))</f>
        <v/>
      </c>
      <c r="G165" s="10" t="str">
        <f aca="false">IFERROR(1/(1/INDEX(HTS!$AT:$AT,MATCH($E165,HTS!$E:$E,0))),"")</f>
        <v/>
      </c>
      <c r="H165" s="10" t="str">
        <f aca="false">IF(OR($C165="15-24",$C165="25-34"),IFERROR(1/(1/SUM(SUMIFS(AGYW!$S:$S,AGYW!$B:$B,$B165,AGYW!$C:$C,IF($C165="15-24",{"15-19","20-24"},{"25-29"}),AGYW!$D:$D,$D165))),""),"")</f>
        <v/>
      </c>
      <c r="I165" s="10" t="str">
        <f aca="false">IF(OR($C165="15-24",$C165="25-34"),IFERROR(1/(1/SUM(SUMIFS(AGYW!$T:$T,AGYW!$B:$B,$B165,AGYW!$C:$C,IF($C165="15-24",{"15-19","20-24"},{"25-29"}),AGYW!$D:$D,$D165))),""),"")</f>
        <v/>
      </c>
      <c r="J165" s="10" t="n">
        <v>0</v>
      </c>
      <c r="K165" s="10" t="n">
        <v>9</v>
      </c>
      <c r="L165" s="39" t="n">
        <f aca="false">IF(SUM($K165)=0,"",$K165)</f>
        <v>9</v>
      </c>
      <c r="M165" s="10"/>
      <c r="N165" s="10"/>
      <c r="O165" s="39" t="str">
        <f aca="false">IF(SUM($N165)=0,"",$N165)</f>
        <v/>
      </c>
      <c r="P165" s="10" t="n">
        <f aca="false">2</f>
        <v>2</v>
      </c>
      <c r="Q165" s="39" t="str">
        <f aca="false">IF(SUM($O165)=0,"",$O165*$P165)</f>
        <v/>
      </c>
    </row>
    <row r="166" customFormat="false" ht="15" hidden="false" customHeight="false" outlineLevel="0" collapsed="false">
      <c r="A166" s="0" t="str">
        <f aca="false">INDEX(Prioritization!$D:$D,MATCH($B166,Prioritization!$A:$A,0))</f>
        <v>1 - Scale-up: Saturation</v>
      </c>
      <c r="B166" s="0" t="s">
        <v>212</v>
      </c>
      <c r="C166" s="0" t="s">
        <v>368</v>
      </c>
      <c r="D166" s="0" t="s">
        <v>48</v>
      </c>
      <c r="E166" s="0" t="str">
        <f aca="false">B166&amp;"|"&amp;C166&amp;"|"&amp;D166</f>
        <v>Chikwawa District [U8c0so51kT6]|50+|Male</v>
      </c>
      <c r="F166" s="10" t="str">
        <f aca="false">IF(LEFT($B166,4)="_Mil","",INDEX(Cascade!$U:$U,MATCH($E166,Cascade!$E:$E,0)))</f>
        <v/>
      </c>
      <c r="G166" s="10" t="str">
        <f aca="false">IFERROR(1/(1/INDEX(HTS!$AT:$AT,MATCH($E166,HTS!$E:$E,0))),"")</f>
        <v/>
      </c>
      <c r="H166" s="10" t="str">
        <f aca="false">IF(OR($C166="15-24",$C166="25-34"),IFERROR(1/(1/SUM(SUMIFS(AGYW!$S:$S,AGYW!$B:$B,$B166,AGYW!$C:$C,IF($C166="15-24",{"15-19","20-24"},{"25-29"}),AGYW!$D:$D,$D166))),""),"")</f>
        <v/>
      </c>
      <c r="I166" s="10" t="str">
        <f aca="false">IF(OR($C166="15-24",$C166="25-34"),IFERROR(1/(1/SUM(SUMIFS(AGYW!$T:$T,AGYW!$B:$B,$B166,AGYW!$C:$C,IF($C166="15-24",{"15-19","20-24"},{"25-29"}),AGYW!$D:$D,$D166))),""),"")</f>
        <v/>
      </c>
      <c r="J166" s="10" t="n">
        <v>1</v>
      </c>
      <c r="K166" s="10" t="n">
        <v>3</v>
      </c>
      <c r="L166" s="39" t="n">
        <f aca="false">IF(SUM($K166)=0,"",$K166)</f>
        <v>3</v>
      </c>
      <c r="M166" s="10"/>
      <c r="N166" s="10"/>
      <c r="O166" s="39" t="str">
        <f aca="false">IF(SUM($N166)=0,"",$N166)</f>
        <v/>
      </c>
      <c r="P166" s="10" t="n">
        <f aca="false">2</f>
        <v>2</v>
      </c>
      <c r="Q166" s="39" t="str">
        <f aca="false">IF(SUM($O166)=0,"",$O166*$P166)</f>
        <v/>
      </c>
    </row>
    <row r="167" customFormat="false" ht="15" hidden="false" customHeight="false" outlineLevel="0" collapsed="false">
      <c r="A167" s="0" t="str">
        <f aca="false">INDEX(Prioritization!$D:$D,MATCH($B167,Prioritization!$A:$A,0))</f>
        <v>1 - Scale-up: Saturation</v>
      </c>
      <c r="B167" s="0" t="s">
        <v>213</v>
      </c>
      <c r="C167" s="0" t="s">
        <v>365</v>
      </c>
      <c r="D167" s="0" t="s">
        <v>30</v>
      </c>
      <c r="E167" s="0" t="str">
        <f aca="false">B167&amp;"|"&amp;C167&amp;"|"&amp;D167</f>
        <v>Chiradzulu District [oiPR2CiVJbf]|15-24|Female</v>
      </c>
      <c r="F167" s="10" t="str">
        <f aca="false">IF(LEFT($B167,4)="_Mil","",INDEX(Cascade!$U:$U,MATCH($E167,Cascade!$E:$E,0)))</f>
        <v/>
      </c>
      <c r="G167" s="10" t="str">
        <f aca="false">IFERROR(1/(1/INDEX(HTS!$AT:$AT,MATCH($E167,HTS!$E:$E,0))),"")</f>
        <v/>
      </c>
      <c r="H167" s="10" t="str">
        <f aca="false">IF(OR($C167="15-24",$C167="25-34"),IFERROR(1/(1/SUM(SUMIFS(AGYW!$S:$S,AGYW!$B:$B,$B167,AGYW!$C:$C,IF($C167="15-24",{"15-19","20-24"},{"25-29"}),AGYW!$D:$D,$D167))),""),"")</f>
        <v/>
      </c>
      <c r="I167" s="10" t="str">
        <f aca="false">IF(OR($C167="15-24",$C167="25-34"),IFERROR(1/(1/SUM(SUMIFS(AGYW!$T:$T,AGYW!$B:$B,$B167,AGYW!$C:$C,IF($C167="15-24",{"15-19","20-24"},{"25-29"}),AGYW!$D:$D,$D167))),""),"")</f>
        <v/>
      </c>
      <c r="J167" s="10"/>
      <c r="K167" s="10"/>
      <c r="L167" s="39" t="str">
        <f aca="false">IF(SUM($K167)=0,"",$K167)</f>
        <v/>
      </c>
      <c r="M167" s="10"/>
      <c r="N167" s="10"/>
      <c r="O167" s="39" t="str">
        <f aca="false">IF(SUM($N167)=0,"",$N167)</f>
        <v/>
      </c>
      <c r="P167" s="10" t="n">
        <f aca="false">2</f>
        <v>2</v>
      </c>
      <c r="Q167" s="39" t="str">
        <f aca="false">IF(SUM($O167)=0,"",$O167*$P167)</f>
        <v/>
      </c>
    </row>
    <row r="168" customFormat="false" ht="15" hidden="false" customHeight="false" outlineLevel="0" collapsed="false">
      <c r="A168" s="0" t="str">
        <f aca="false">INDEX(Prioritization!$D:$D,MATCH($B168,Prioritization!$A:$A,0))</f>
        <v>1 - Scale-up: Saturation</v>
      </c>
      <c r="B168" s="0" t="s">
        <v>213</v>
      </c>
      <c r="C168" s="0" t="s">
        <v>365</v>
      </c>
      <c r="D168" s="0" t="s">
        <v>48</v>
      </c>
      <c r="E168" s="0" t="str">
        <f aca="false">B168&amp;"|"&amp;C168&amp;"|"&amp;D168</f>
        <v>Chiradzulu District [oiPR2CiVJbf]|15-24|Male</v>
      </c>
      <c r="F168" s="10" t="str">
        <f aca="false">IF(LEFT($B168,4)="_Mil","",INDEX(Cascade!$U:$U,MATCH($E168,Cascade!$E:$E,0)))</f>
        <v/>
      </c>
      <c r="G168" s="10" t="str">
        <f aca="false">IFERROR(1/(1/INDEX(HTS!$AT:$AT,MATCH($E168,HTS!$E:$E,0))),"")</f>
        <v/>
      </c>
      <c r="H168" s="10" t="str">
        <f aca="false">IF(OR($C168="15-24",$C168="25-34"),IFERROR(1/(1/SUM(SUMIFS(AGYW!$S:$S,AGYW!$B:$B,$B168,AGYW!$C:$C,IF($C168="15-24",{"15-19","20-24"},{"25-29"}),AGYW!$D:$D,$D168))),""),"")</f>
        <v/>
      </c>
      <c r="I168" s="10" t="str">
        <f aca="false">IF(OR($C168="15-24",$C168="25-34"),IFERROR(1/(1/SUM(SUMIFS(AGYW!$T:$T,AGYW!$B:$B,$B168,AGYW!$C:$C,IF($C168="15-24",{"15-19","20-24"},{"25-29"}),AGYW!$D:$D,$D168))),""),"")</f>
        <v/>
      </c>
      <c r="J168" s="10"/>
      <c r="K168" s="10"/>
      <c r="L168" s="39" t="str">
        <f aca="false">IF(SUM($K168)=0,"",$K168)</f>
        <v/>
      </c>
      <c r="M168" s="10"/>
      <c r="N168" s="10"/>
      <c r="O168" s="39" t="str">
        <f aca="false">IF(SUM($N168)=0,"",$N168)</f>
        <v/>
      </c>
      <c r="P168" s="10" t="n">
        <f aca="false">2</f>
        <v>2</v>
      </c>
      <c r="Q168" s="39" t="str">
        <f aca="false">IF(SUM($O168)=0,"",$O168*$P168)</f>
        <v/>
      </c>
    </row>
    <row r="169" customFormat="false" ht="15" hidden="false" customHeight="false" outlineLevel="0" collapsed="false">
      <c r="A169" s="0" t="str">
        <f aca="false">INDEX(Prioritization!$D:$D,MATCH($B169,Prioritization!$A:$A,0))</f>
        <v>1 - Scale-up: Saturation</v>
      </c>
      <c r="B169" s="0" t="s">
        <v>213</v>
      </c>
      <c r="C169" s="0" t="s">
        <v>366</v>
      </c>
      <c r="D169" s="0" t="s">
        <v>30</v>
      </c>
      <c r="E169" s="0" t="str">
        <f aca="false">B169&amp;"|"&amp;C169&amp;"|"&amp;D169</f>
        <v>Chiradzulu District [oiPR2CiVJbf]|25-34|Female</v>
      </c>
      <c r="F169" s="10" t="str">
        <f aca="false">IF(LEFT($B169,4)="_Mil","",INDEX(Cascade!$U:$U,MATCH($E169,Cascade!$E:$E,0)))</f>
        <v/>
      </c>
      <c r="G169" s="10" t="str">
        <f aca="false">IFERROR(1/(1/INDEX(HTS!$AT:$AT,MATCH($E169,HTS!$E:$E,0))),"")</f>
        <v/>
      </c>
      <c r="H169" s="10" t="str">
        <f aca="false">IF(OR($C169="15-24",$C169="25-34"),IFERROR(1/(1/SUM(SUMIFS(AGYW!$S:$S,AGYW!$B:$B,$B169,AGYW!$C:$C,IF($C169="15-24",{"15-19","20-24"},{"25-29"}),AGYW!$D:$D,$D169))),""),"")</f>
        <v/>
      </c>
      <c r="I169" s="10" t="str">
        <f aca="false">IF(OR($C169="15-24",$C169="25-34"),IFERROR(1/(1/SUM(SUMIFS(AGYW!$T:$T,AGYW!$B:$B,$B169,AGYW!$C:$C,IF($C169="15-24",{"15-19","20-24"},{"25-29"}),AGYW!$D:$D,$D169))),""),"")</f>
        <v/>
      </c>
      <c r="J169" s="10"/>
      <c r="K169" s="10"/>
      <c r="L169" s="39" t="str">
        <f aca="false">IF(SUM($K169)=0,"",$K169)</f>
        <v/>
      </c>
      <c r="M169" s="10"/>
      <c r="N169" s="10"/>
      <c r="O169" s="39" t="str">
        <f aca="false">IF(SUM($N169)=0,"",$N169)</f>
        <v/>
      </c>
      <c r="P169" s="10" t="n">
        <f aca="false">2</f>
        <v>2</v>
      </c>
      <c r="Q169" s="39" t="str">
        <f aca="false">IF(SUM($O169)=0,"",$O169*$P169)</f>
        <v/>
      </c>
    </row>
    <row r="170" customFormat="false" ht="15" hidden="false" customHeight="false" outlineLevel="0" collapsed="false">
      <c r="A170" s="0" t="str">
        <f aca="false">INDEX(Prioritization!$D:$D,MATCH($B170,Prioritization!$A:$A,0))</f>
        <v>1 - Scale-up: Saturation</v>
      </c>
      <c r="B170" s="0" t="s">
        <v>213</v>
      </c>
      <c r="C170" s="0" t="s">
        <v>366</v>
      </c>
      <c r="D170" s="0" t="s">
        <v>48</v>
      </c>
      <c r="E170" s="0" t="str">
        <f aca="false">B170&amp;"|"&amp;C170&amp;"|"&amp;D170</f>
        <v>Chiradzulu District [oiPR2CiVJbf]|25-34|Male</v>
      </c>
      <c r="F170" s="10" t="str">
        <f aca="false">IF(LEFT($B170,4)="_Mil","",INDEX(Cascade!$U:$U,MATCH($E170,Cascade!$E:$E,0)))</f>
        <v/>
      </c>
      <c r="G170" s="10" t="str">
        <f aca="false">IFERROR(1/(1/INDEX(HTS!$AT:$AT,MATCH($E170,HTS!$E:$E,0))),"")</f>
        <v/>
      </c>
      <c r="H170" s="10" t="str">
        <f aca="false">IF(OR($C170="15-24",$C170="25-34"),IFERROR(1/(1/SUM(SUMIFS(AGYW!$S:$S,AGYW!$B:$B,$B170,AGYW!$C:$C,IF($C170="15-24",{"15-19","20-24"},{"25-29"}),AGYW!$D:$D,$D170))),""),"")</f>
        <v/>
      </c>
      <c r="I170" s="10" t="str">
        <f aca="false">IF(OR($C170="15-24",$C170="25-34"),IFERROR(1/(1/SUM(SUMIFS(AGYW!$T:$T,AGYW!$B:$B,$B170,AGYW!$C:$C,IF($C170="15-24",{"15-19","20-24"},{"25-29"}),AGYW!$D:$D,$D170))),""),"")</f>
        <v/>
      </c>
      <c r="J170" s="10"/>
      <c r="K170" s="10"/>
      <c r="L170" s="39" t="str">
        <f aca="false">IF(SUM($K170)=0,"",$K170)</f>
        <v/>
      </c>
      <c r="M170" s="10"/>
      <c r="N170" s="10"/>
      <c r="O170" s="39" t="str">
        <f aca="false">IF(SUM($N170)=0,"",$N170)</f>
        <v/>
      </c>
      <c r="P170" s="10" t="n">
        <f aca="false">2</f>
        <v>2</v>
      </c>
      <c r="Q170" s="39" t="str">
        <f aca="false">IF(SUM($O170)=0,"",$O170*$P170)</f>
        <v/>
      </c>
    </row>
    <row r="171" customFormat="false" ht="15" hidden="false" customHeight="false" outlineLevel="0" collapsed="false">
      <c r="A171" s="0" t="str">
        <f aca="false">INDEX(Prioritization!$D:$D,MATCH($B171,Prioritization!$A:$A,0))</f>
        <v>1 - Scale-up: Saturation</v>
      </c>
      <c r="B171" s="0" t="s">
        <v>213</v>
      </c>
      <c r="C171" s="0" t="s">
        <v>367</v>
      </c>
      <c r="D171" s="0" t="s">
        <v>30</v>
      </c>
      <c r="E171" s="0" t="str">
        <f aca="false">B171&amp;"|"&amp;C171&amp;"|"&amp;D171</f>
        <v>Chiradzulu District [oiPR2CiVJbf]|35-49|Female</v>
      </c>
      <c r="F171" s="10" t="str">
        <f aca="false">IF(LEFT($B171,4)="_Mil","",INDEX(Cascade!$U:$U,MATCH($E171,Cascade!$E:$E,0)))</f>
        <v/>
      </c>
      <c r="G171" s="10" t="str">
        <f aca="false">IFERROR(1/(1/INDEX(HTS!$AT:$AT,MATCH($E171,HTS!$E:$E,0))),"")</f>
        <v/>
      </c>
      <c r="H171" s="10" t="str">
        <f aca="false">IF(OR($C171="15-24",$C171="25-34"),IFERROR(1/(1/SUM(SUMIFS(AGYW!$S:$S,AGYW!$B:$B,$B171,AGYW!$C:$C,IF($C171="15-24",{"15-19","20-24"},{"25-29"}),AGYW!$D:$D,$D171))),""),"")</f>
        <v/>
      </c>
      <c r="I171" s="10" t="str">
        <f aca="false">IF(OR($C171="15-24",$C171="25-34"),IFERROR(1/(1/SUM(SUMIFS(AGYW!$T:$T,AGYW!$B:$B,$B171,AGYW!$C:$C,IF($C171="15-24",{"15-19","20-24"},{"25-29"}),AGYW!$D:$D,$D171))),""),"")</f>
        <v/>
      </c>
      <c r="J171" s="10"/>
      <c r="K171" s="10"/>
      <c r="L171" s="39" t="str">
        <f aca="false">IF(SUM($K171)=0,"",$K171)</f>
        <v/>
      </c>
      <c r="M171" s="10"/>
      <c r="N171" s="10"/>
      <c r="O171" s="39" t="str">
        <f aca="false">IF(SUM($N171)=0,"",$N171)</f>
        <v/>
      </c>
      <c r="P171" s="10" t="n">
        <f aca="false">2</f>
        <v>2</v>
      </c>
      <c r="Q171" s="39" t="str">
        <f aca="false">IF(SUM($O171)=0,"",$O171*$P171)</f>
        <v/>
      </c>
    </row>
    <row r="172" customFormat="false" ht="15" hidden="false" customHeight="false" outlineLevel="0" collapsed="false">
      <c r="A172" s="0" t="str">
        <f aca="false">INDEX(Prioritization!$D:$D,MATCH($B172,Prioritization!$A:$A,0))</f>
        <v>1 - Scale-up: Saturation</v>
      </c>
      <c r="B172" s="0" t="s">
        <v>213</v>
      </c>
      <c r="C172" s="0" t="s">
        <v>367</v>
      </c>
      <c r="D172" s="0" t="s">
        <v>48</v>
      </c>
      <c r="E172" s="0" t="str">
        <f aca="false">B172&amp;"|"&amp;C172&amp;"|"&amp;D172</f>
        <v>Chiradzulu District [oiPR2CiVJbf]|35-49|Male</v>
      </c>
      <c r="F172" s="10" t="str">
        <f aca="false">IF(LEFT($B172,4)="_Mil","",INDEX(Cascade!$U:$U,MATCH($E172,Cascade!$E:$E,0)))</f>
        <v/>
      </c>
      <c r="G172" s="10" t="str">
        <f aca="false">IFERROR(1/(1/INDEX(HTS!$AT:$AT,MATCH($E172,HTS!$E:$E,0))),"")</f>
        <v/>
      </c>
      <c r="H172" s="10" t="str">
        <f aca="false">IF(OR($C172="15-24",$C172="25-34"),IFERROR(1/(1/SUM(SUMIFS(AGYW!$S:$S,AGYW!$B:$B,$B172,AGYW!$C:$C,IF($C172="15-24",{"15-19","20-24"},{"25-29"}),AGYW!$D:$D,$D172))),""),"")</f>
        <v/>
      </c>
      <c r="I172" s="10" t="str">
        <f aca="false">IF(OR($C172="15-24",$C172="25-34"),IFERROR(1/(1/SUM(SUMIFS(AGYW!$T:$T,AGYW!$B:$B,$B172,AGYW!$C:$C,IF($C172="15-24",{"15-19","20-24"},{"25-29"}),AGYW!$D:$D,$D172))),""),"")</f>
        <v/>
      </c>
      <c r="J172" s="10"/>
      <c r="K172" s="10"/>
      <c r="L172" s="39" t="str">
        <f aca="false">IF(SUM($K172)=0,"",$K172)</f>
        <v/>
      </c>
      <c r="M172" s="10"/>
      <c r="N172" s="10"/>
      <c r="O172" s="39" t="str">
        <f aca="false">IF(SUM($N172)=0,"",$N172)</f>
        <v/>
      </c>
      <c r="P172" s="10" t="n">
        <f aca="false">2</f>
        <v>2</v>
      </c>
      <c r="Q172" s="39" t="str">
        <f aca="false">IF(SUM($O172)=0,"",$O172*$P172)</f>
        <v/>
      </c>
    </row>
    <row r="173" customFormat="false" ht="15" hidden="false" customHeight="false" outlineLevel="0" collapsed="false">
      <c r="A173" s="0" t="str">
        <f aca="false">INDEX(Prioritization!$D:$D,MATCH($B173,Prioritization!$A:$A,0))</f>
        <v>1 - Scale-up: Saturation</v>
      </c>
      <c r="B173" s="0" t="s">
        <v>213</v>
      </c>
      <c r="C173" s="0" t="s">
        <v>368</v>
      </c>
      <c r="D173" s="0" t="s">
        <v>30</v>
      </c>
      <c r="E173" s="0" t="str">
        <f aca="false">B173&amp;"|"&amp;C173&amp;"|"&amp;D173</f>
        <v>Chiradzulu District [oiPR2CiVJbf]|50+|Female</v>
      </c>
      <c r="F173" s="10" t="str">
        <f aca="false">IF(LEFT($B173,4)="_Mil","",INDEX(Cascade!$U:$U,MATCH($E173,Cascade!$E:$E,0)))</f>
        <v/>
      </c>
      <c r="G173" s="10" t="str">
        <f aca="false">IFERROR(1/(1/INDEX(HTS!$AT:$AT,MATCH($E173,HTS!$E:$E,0))),"")</f>
        <v/>
      </c>
      <c r="H173" s="10" t="str">
        <f aca="false">IF(OR($C173="15-24",$C173="25-34"),IFERROR(1/(1/SUM(SUMIFS(AGYW!$S:$S,AGYW!$B:$B,$B173,AGYW!$C:$C,IF($C173="15-24",{"15-19","20-24"},{"25-29"}),AGYW!$D:$D,$D173))),""),"")</f>
        <v/>
      </c>
      <c r="I173" s="10" t="str">
        <f aca="false">IF(OR($C173="15-24",$C173="25-34"),IFERROR(1/(1/SUM(SUMIFS(AGYW!$T:$T,AGYW!$B:$B,$B173,AGYW!$C:$C,IF($C173="15-24",{"15-19","20-24"},{"25-29"}),AGYW!$D:$D,$D173))),""),"")</f>
        <v/>
      </c>
      <c r="J173" s="10"/>
      <c r="K173" s="10" t="n">
        <v>0</v>
      </c>
      <c r="L173" s="39" t="str">
        <f aca="false">IF(SUM($K173)=0,"",$K173)</f>
        <v/>
      </c>
      <c r="M173" s="10"/>
      <c r="N173" s="10"/>
      <c r="O173" s="39" t="str">
        <f aca="false">IF(SUM($N173)=0,"",$N173)</f>
        <v/>
      </c>
      <c r="P173" s="10" t="n">
        <f aca="false">2</f>
        <v>2</v>
      </c>
      <c r="Q173" s="39" t="str">
        <f aca="false">IF(SUM($O173)=0,"",$O173*$P173)</f>
        <v/>
      </c>
    </row>
    <row r="174" customFormat="false" ht="15" hidden="false" customHeight="false" outlineLevel="0" collapsed="false">
      <c r="A174" s="0" t="str">
        <f aca="false">INDEX(Prioritization!$D:$D,MATCH($B174,Prioritization!$A:$A,0))</f>
        <v>1 - Scale-up: Saturation</v>
      </c>
      <c r="B174" s="0" t="s">
        <v>213</v>
      </c>
      <c r="C174" s="0" t="s">
        <v>368</v>
      </c>
      <c r="D174" s="0" t="s">
        <v>48</v>
      </c>
      <c r="E174" s="0" t="str">
        <f aca="false">B174&amp;"|"&amp;C174&amp;"|"&amp;D174</f>
        <v>Chiradzulu District [oiPR2CiVJbf]|50+|Male</v>
      </c>
      <c r="F174" s="10" t="str">
        <f aca="false">IF(LEFT($B174,4)="_Mil","",INDEX(Cascade!$U:$U,MATCH($E174,Cascade!$E:$E,0)))</f>
        <v/>
      </c>
      <c r="G174" s="10" t="str">
        <f aca="false">IFERROR(1/(1/INDEX(HTS!$AT:$AT,MATCH($E174,HTS!$E:$E,0))),"")</f>
        <v/>
      </c>
      <c r="H174" s="10" t="str">
        <f aca="false">IF(OR($C174="15-24",$C174="25-34"),IFERROR(1/(1/SUM(SUMIFS(AGYW!$S:$S,AGYW!$B:$B,$B174,AGYW!$C:$C,IF($C174="15-24",{"15-19","20-24"},{"25-29"}),AGYW!$D:$D,$D174))),""),"")</f>
        <v/>
      </c>
      <c r="I174" s="10" t="str">
        <f aca="false">IF(OR($C174="15-24",$C174="25-34"),IFERROR(1/(1/SUM(SUMIFS(AGYW!$T:$T,AGYW!$B:$B,$B174,AGYW!$C:$C,IF($C174="15-24",{"15-19","20-24"},{"25-29"}),AGYW!$D:$D,$D174))),""),"")</f>
        <v/>
      </c>
      <c r="J174" s="10" t="n">
        <v>1</v>
      </c>
      <c r="K174" s="10" t="n">
        <v>6</v>
      </c>
      <c r="L174" s="39" t="n">
        <f aca="false">IF(SUM($K174)=0,"",$K174)</f>
        <v>6</v>
      </c>
      <c r="M174" s="10"/>
      <c r="N174" s="10"/>
      <c r="O174" s="39" t="str">
        <f aca="false">IF(SUM($N174)=0,"",$N174)</f>
        <v/>
      </c>
      <c r="P174" s="10" t="n">
        <f aca="false">2</f>
        <v>2</v>
      </c>
      <c r="Q174" s="39" t="str">
        <f aca="false">IF(SUM($O174)=0,"",$O174*$P174)</f>
        <v/>
      </c>
    </row>
    <row r="175" customFormat="false" ht="15" hidden="false" customHeight="false" outlineLevel="0" collapsed="false">
      <c r="A175" s="0" t="str">
        <f aca="false">INDEX(Prioritization!$D:$D,MATCH($B175,Prioritization!$A:$A,0))</f>
        <v>1 - Scale-up: Saturation</v>
      </c>
      <c r="B175" s="0" t="s">
        <v>214</v>
      </c>
      <c r="C175" s="0" t="s">
        <v>365</v>
      </c>
      <c r="D175" s="0" t="s">
        <v>30</v>
      </c>
      <c r="E175" s="0" t="str">
        <f aca="false">B175&amp;"|"&amp;C175&amp;"|"&amp;D175</f>
        <v>Machinga District [TYnMSwzko3z]|15-24|Female</v>
      </c>
      <c r="F175" s="10" t="str">
        <f aca="false">IF(LEFT($B175,4)="_Mil","",INDEX(Cascade!$U:$U,MATCH($E175,Cascade!$E:$E,0)))</f>
        <v/>
      </c>
      <c r="G175" s="10" t="str">
        <f aca="false">IFERROR(1/(1/INDEX(HTS!$AT:$AT,MATCH($E175,HTS!$E:$E,0))),"")</f>
        <v/>
      </c>
      <c r="H175" s="10" t="str">
        <f aca="false">IF(OR($C175="15-24",$C175="25-34"),IFERROR(1/(1/SUM(SUMIFS(AGYW!$S:$S,AGYW!$B:$B,$B175,AGYW!$C:$C,IF($C175="15-24",{"15-19","20-24"},{"25-29"}),AGYW!$D:$D,$D175))),""),"")</f>
        <v/>
      </c>
      <c r="I175" s="10" t="str">
        <f aca="false">IF(OR($C175="15-24",$C175="25-34"),IFERROR(1/(1/SUM(SUMIFS(AGYW!$T:$T,AGYW!$B:$B,$B175,AGYW!$C:$C,IF($C175="15-24",{"15-19","20-24"},{"25-29"}),AGYW!$D:$D,$D175))),""),"")</f>
        <v/>
      </c>
      <c r="J175" s="10"/>
      <c r="K175" s="10"/>
      <c r="L175" s="39" t="str">
        <f aca="false">IF(SUM($K175)=0,"",$K175)</f>
        <v/>
      </c>
      <c r="M175" s="10"/>
      <c r="N175" s="10"/>
      <c r="O175" s="39" t="str">
        <f aca="false">IF(SUM($N175)=0,"",$N175)</f>
        <v/>
      </c>
      <c r="P175" s="10" t="n">
        <f aca="false">2</f>
        <v>2</v>
      </c>
      <c r="Q175" s="39" t="str">
        <f aca="false">IF(SUM($O175)=0,"",$O175*$P175)</f>
        <v/>
      </c>
    </row>
    <row r="176" customFormat="false" ht="15" hidden="false" customHeight="false" outlineLevel="0" collapsed="false">
      <c r="A176" s="0" t="str">
        <f aca="false">INDEX(Prioritization!$D:$D,MATCH($B176,Prioritization!$A:$A,0))</f>
        <v>1 - Scale-up: Saturation</v>
      </c>
      <c r="B176" s="0" t="s">
        <v>214</v>
      </c>
      <c r="C176" s="0" t="s">
        <v>365</v>
      </c>
      <c r="D176" s="0" t="s">
        <v>48</v>
      </c>
      <c r="E176" s="0" t="str">
        <f aca="false">B176&amp;"|"&amp;C176&amp;"|"&amp;D176</f>
        <v>Machinga District [TYnMSwzko3z]|15-24|Male</v>
      </c>
      <c r="F176" s="10" t="str">
        <f aca="false">IF(LEFT($B176,4)="_Mil","",INDEX(Cascade!$U:$U,MATCH($E176,Cascade!$E:$E,0)))</f>
        <v/>
      </c>
      <c r="G176" s="10" t="str">
        <f aca="false">IFERROR(1/(1/INDEX(HTS!$AT:$AT,MATCH($E176,HTS!$E:$E,0))),"")</f>
        <v/>
      </c>
      <c r="H176" s="10" t="str">
        <f aca="false">IF(OR($C176="15-24",$C176="25-34"),IFERROR(1/(1/SUM(SUMIFS(AGYW!$S:$S,AGYW!$B:$B,$B176,AGYW!$C:$C,IF($C176="15-24",{"15-19","20-24"},{"25-29"}),AGYW!$D:$D,$D176))),""),"")</f>
        <v/>
      </c>
      <c r="I176" s="10" t="str">
        <f aca="false">IF(OR($C176="15-24",$C176="25-34"),IFERROR(1/(1/SUM(SUMIFS(AGYW!$T:$T,AGYW!$B:$B,$B176,AGYW!$C:$C,IF($C176="15-24",{"15-19","20-24"},{"25-29"}),AGYW!$D:$D,$D176))),""),"")</f>
        <v/>
      </c>
      <c r="J176" s="10"/>
      <c r="K176" s="10"/>
      <c r="L176" s="39" t="str">
        <f aca="false">IF(SUM($K176)=0,"",$K176)</f>
        <v/>
      </c>
      <c r="M176" s="10"/>
      <c r="N176" s="10"/>
      <c r="O176" s="39" t="str">
        <f aca="false">IF(SUM($N176)=0,"",$N176)</f>
        <v/>
      </c>
      <c r="P176" s="10" t="n">
        <f aca="false">2</f>
        <v>2</v>
      </c>
      <c r="Q176" s="39" t="str">
        <f aca="false">IF(SUM($O176)=0,"",$O176*$P176)</f>
        <v/>
      </c>
    </row>
    <row r="177" customFormat="false" ht="15" hidden="false" customHeight="false" outlineLevel="0" collapsed="false">
      <c r="A177" s="0" t="str">
        <f aca="false">INDEX(Prioritization!$D:$D,MATCH($B177,Prioritization!$A:$A,0))</f>
        <v>1 - Scale-up: Saturation</v>
      </c>
      <c r="B177" s="0" t="s">
        <v>214</v>
      </c>
      <c r="C177" s="0" t="s">
        <v>366</v>
      </c>
      <c r="D177" s="0" t="s">
        <v>30</v>
      </c>
      <c r="E177" s="0" t="str">
        <f aca="false">B177&amp;"|"&amp;C177&amp;"|"&amp;D177</f>
        <v>Machinga District [TYnMSwzko3z]|25-34|Female</v>
      </c>
      <c r="F177" s="10" t="str">
        <f aca="false">IF(LEFT($B177,4)="_Mil","",INDEX(Cascade!$U:$U,MATCH($E177,Cascade!$E:$E,0)))</f>
        <v/>
      </c>
      <c r="G177" s="10" t="str">
        <f aca="false">IFERROR(1/(1/INDEX(HTS!$AT:$AT,MATCH($E177,HTS!$E:$E,0))),"")</f>
        <v/>
      </c>
      <c r="H177" s="10" t="str">
        <f aca="false">IF(OR($C177="15-24",$C177="25-34"),IFERROR(1/(1/SUM(SUMIFS(AGYW!$S:$S,AGYW!$B:$B,$B177,AGYW!$C:$C,IF($C177="15-24",{"15-19","20-24"},{"25-29"}),AGYW!$D:$D,$D177))),""),"")</f>
        <v/>
      </c>
      <c r="I177" s="10" t="str">
        <f aca="false">IF(OR($C177="15-24",$C177="25-34"),IFERROR(1/(1/SUM(SUMIFS(AGYW!$T:$T,AGYW!$B:$B,$B177,AGYW!$C:$C,IF($C177="15-24",{"15-19","20-24"},{"25-29"}),AGYW!$D:$D,$D177))),""),"")</f>
        <v/>
      </c>
      <c r="J177" s="10"/>
      <c r="K177" s="10"/>
      <c r="L177" s="39" t="str">
        <f aca="false">IF(SUM($K177)=0,"",$K177)</f>
        <v/>
      </c>
      <c r="M177" s="10"/>
      <c r="N177" s="10"/>
      <c r="O177" s="39" t="str">
        <f aca="false">IF(SUM($N177)=0,"",$N177)</f>
        <v/>
      </c>
      <c r="P177" s="10" t="n">
        <f aca="false">2</f>
        <v>2</v>
      </c>
      <c r="Q177" s="39" t="str">
        <f aca="false">IF(SUM($O177)=0,"",$O177*$P177)</f>
        <v/>
      </c>
    </row>
    <row r="178" customFormat="false" ht="15" hidden="false" customHeight="false" outlineLevel="0" collapsed="false">
      <c r="A178" s="0" t="str">
        <f aca="false">INDEX(Prioritization!$D:$D,MATCH($B178,Prioritization!$A:$A,0))</f>
        <v>1 - Scale-up: Saturation</v>
      </c>
      <c r="B178" s="0" t="s">
        <v>214</v>
      </c>
      <c r="C178" s="0" t="s">
        <v>366</v>
      </c>
      <c r="D178" s="0" t="s">
        <v>48</v>
      </c>
      <c r="E178" s="0" t="str">
        <f aca="false">B178&amp;"|"&amp;C178&amp;"|"&amp;D178</f>
        <v>Machinga District [TYnMSwzko3z]|25-34|Male</v>
      </c>
      <c r="F178" s="10" t="str">
        <f aca="false">IF(LEFT($B178,4)="_Mil","",INDEX(Cascade!$U:$U,MATCH($E178,Cascade!$E:$E,0)))</f>
        <v/>
      </c>
      <c r="G178" s="10" t="str">
        <f aca="false">IFERROR(1/(1/INDEX(HTS!$AT:$AT,MATCH($E178,HTS!$E:$E,0))),"")</f>
        <v/>
      </c>
      <c r="H178" s="10" t="str">
        <f aca="false">IF(OR($C178="15-24",$C178="25-34"),IFERROR(1/(1/SUM(SUMIFS(AGYW!$S:$S,AGYW!$B:$B,$B178,AGYW!$C:$C,IF($C178="15-24",{"15-19","20-24"},{"25-29"}),AGYW!$D:$D,$D178))),""),"")</f>
        <v/>
      </c>
      <c r="I178" s="10" t="str">
        <f aca="false">IF(OR($C178="15-24",$C178="25-34"),IFERROR(1/(1/SUM(SUMIFS(AGYW!$T:$T,AGYW!$B:$B,$B178,AGYW!$C:$C,IF($C178="15-24",{"15-19","20-24"},{"25-29"}),AGYW!$D:$D,$D178))),""),"")</f>
        <v/>
      </c>
      <c r="J178" s="10"/>
      <c r="K178" s="10"/>
      <c r="L178" s="39" t="str">
        <f aca="false">IF(SUM($K178)=0,"",$K178)</f>
        <v/>
      </c>
      <c r="M178" s="10"/>
      <c r="N178" s="10"/>
      <c r="O178" s="39" t="str">
        <f aca="false">IF(SUM($N178)=0,"",$N178)</f>
        <v/>
      </c>
      <c r="P178" s="10" t="n">
        <f aca="false">2</f>
        <v>2</v>
      </c>
      <c r="Q178" s="39" t="str">
        <f aca="false">IF(SUM($O178)=0,"",$O178*$P178)</f>
        <v/>
      </c>
    </row>
    <row r="179" customFormat="false" ht="15" hidden="false" customHeight="false" outlineLevel="0" collapsed="false">
      <c r="A179" s="0" t="str">
        <f aca="false">INDEX(Prioritization!$D:$D,MATCH($B179,Prioritization!$A:$A,0))</f>
        <v>1 - Scale-up: Saturation</v>
      </c>
      <c r="B179" s="0" t="s">
        <v>214</v>
      </c>
      <c r="C179" s="0" t="s">
        <v>367</v>
      </c>
      <c r="D179" s="0" t="s">
        <v>30</v>
      </c>
      <c r="E179" s="0" t="str">
        <f aca="false">B179&amp;"|"&amp;C179&amp;"|"&amp;D179</f>
        <v>Machinga District [TYnMSwzko3z]|35-49|Female</v>
      </c>
      <c r="F179" s="10" t="str">
        <f aca="false">IF(LEFT($B179,4)="_Mil","",INDEX(Cascade!$U:$U,MATCH($E179,Cascade!$E:$E,0)))</f>
        <v/>
      </c>
      <c r="G179" s="10" t="str">
        <f aca="false">IFERROR(1/(1/INDEX(HTS!$AT:$AT,MATCH($E179,HTS!$E:$E,0))),"")</f>
        <v/>
      </c>
      <c r="H179" s="10" t="str">
        <f aca="false">IF(OR($C179="15-24",$C179="25-34"),IFERROR(1/(1/SUM(SUMIFS(AGYW!$S:$S,AGYW!$B:$B,$B179,AGYW!$C:$C,IF($C179="15-24",{"15-19","20-24"},{"25-29"}),AGYW!$D:$D,$D179))),""),"")</f>
        <v/>
      </c>
      <c r="I179" s="10" t="str">
        <f aca="false">IF(OR($C179="15-24",$C179="25-34"),IFERROR(1/(1/SUM(SUMIFS(AGYW!$T:$T,AGYW!$B:$B,$B179,AGYW!$C:$C,IF($C179="15-24",{"15-19","20-24"},{"25-29"}),AGYW!$D:$D,$D179))),""),"")</f>
        <v/>
      </c>
      <c r="J179" s="10"/>
      <c r="K179" s="10"/>
      <c r="L179" s="39" t="str">
        <f aca="false">IF(SUM($K179)=0,"",$K179)</f>
        <v/>
      </c>
      <c r="M179" s="10"/>
      <c r="N179" s="10"/>
      <c r="O179" s="39" t="str">
        <f aca="false">IF(SUM($N179)=0,"",$N179)</f>
        <v/>
      </c>
      <c r="P179" s="10" t="n">
        <f aca="false">2</f>
        <v>2</v>
      </c>
      <c r="Q179" s="39" t="str">
        <f aca="false">IF(SUM($O179)=0,"",$O179*$P179)</f>
        <v/>
      </c>
    </row>
    <row r="180" customFormat="false" ht="15" hidden="false" customHeight="false" outlineLevel="0" collapsed="false">
      <c r="A180" s="0" t="str">
        <f aca="false">INDEX(Prioritization!$D:$D,MATCH($B180,Prioritization!$A:$A,0))</f>
        <v>1 - Scale-up: Saturation</v>
      </c>
      <c r="B180" s="0" t="s">
        <v>214</v>
      </c>
      <c r="C180" s="0" t="s">
        <v>367</v>
      </c>
      <c r="D180" s="0" t="s">
        <v>48</v>
      </c>
      <c r="E180" s="0" t="str">
        <f aca="false">B180&amp;"|"&amp;C180&amp;"|"&amp;D180</f>
        <v>Machinga District [TYnMSwzko3z]|35-49|Male</v>
      </c>
      <c r="F180" s="10" t="str">
        <f aca="false">IF(LEFT($B180,4)="_Mil","",INDEX(Cascade!$U:$U,MATCH($E180,Cascade!$E:$E,0)))</f>
        <v/>
      </c>
      <c r="G180" s="10" t="str">
        <f aca="false">IFERROR(1/(1/INDEX(HTS!$AT:$AT,MATCH($E180,HTS!$E:$E,0))),"")</f>
        <v/>
      </c>
      <c r="H180" s="10" t="str">
        <f aca="false">IF(OR($C180="15-24",$C180="25-34"),IFERROR(1/(1/SUM(SUMIFS(AGYW!$S:$S,AGYW!$B:$B,$B180,AGYW!$C:$C,IF($C180="15-24",{"15-19","20-24"},{"25-29"}),AGYW!$D:$D,$D180))),""),"")</f>
        <v/>
      </c>
      <c r="I180" s="10" t="str">
        <f aca="false">IF(OR($C180="15-24",$C180="25-34"),IFERROR(1/(1/SUM(SUMIFS(AGYW!$T:$T,AGYW!$B:$B,$B180,AGYW!$C:$C,IF($C180="15-24",{"15-19","20-24"},{"25-29"}),AGYW!$D:$D,$D180))),""),"")</f>
        <v/>
      </c>
      <c r="J180" s="10"/>
      <c r="K180" s="10"/>
      <c r="L180" s="39" t="str">
        <f aca="false">IF(SUM($K180)=0,"",$K180)</f>
        <v/>
      </c>
      <c r="M180" s="10"/>
      <c r="N180" s="10"/>
      <c r="O180" s="39" t="str">
        <f aca="false">IF(SUM($N180)=0,"",$N180)</f>
        <v/>
      </c>
      <c r="P180" s="10" t="n">
        <f aca="false">2</f>
        <v>2</v>
      </c>
      <c r="Q180" s="39" t="str">
        <f aca="false">IF(SUM($O180)=0,"",$O180*$P180)</f>
        <v/>
      </c>
    </row>
    <row r="181" customFormat="false" ht="15" hidden="false" customHeight="false" outlineLevel="0" collapsed="false">
      <c r="A181" s="0" t="str">
        <f aca="false">INDEX(Prioritization!$D:$D,MATCH($B181,Prioritization!$A:$A,0))</f>
        <v>1 - Scale-up: Saturation</v>
      </c>
      <c r="B181" s="0" t="s">
        <v>214</v>
      </c>
      <c r="C181" s="0" t="s">
        <v>368</v>
      </c>
      <c r="D181" s="0" t="s">
        <v>30</v>
      </c>
      <c r="E181" s="0" t="str">
        <f aca="false">B181&amp;"|"&amp;C181&amp;"|"&amp;D181</f>
        <v>Machinga District [TYnMSwzko3z]|50+|Female</v>
      </c>
      <c r="F181" s="10" t="str">
        <f aca="false">IF(LEFT($B181,4)="_Mil","",INDEX(Cascade!$U:$U,MATCH($E181,Cascade!$E:$E,0)))</f>
        <v/>
      </c>
      <c r="G181" s="10" t="str">
        <f aca="false">IFERROR(1/(1/INDEX(HTS!$AT:$AT,MATCH($E181,HTS!$E:$E,0))),"")</f>
        <v/>
      </c>
      <c r="H181" s="10" t="str">
        <f aca="false">IF(OR($C181="15-24",$C181="25-34"),IFERROR(1/(1/SUM(SUMIFS(AGYW!$S:$S,AGYW!$B:$B,$B181,AGYW!$C:$C,IF($C181="15-24",{"15-19","20-24"},{"25-29"}),AGYW!$D:$D,$D181))),""),"")</f>
        <v/>
      </c>
      <c r="I181" s="10" t="str">
        <f aca="false">IF(OR($C181="15-24",$C181="25-34"),IFERROR(1/(1/SUM(SUMIFS(AGYW!$T:$T,AGYW!$B:$B,$B181,AGYW!$C:$C,IF($C181="15-24",{"15-19","20-24"},{"25-29"}),AGYW!$D:$D,$D181))),""),"")</f>
        <v/>
      </c>
      <c r="J181" s="10" t="n">
        <v>4</v>
      </c>
      <c r="K181" s="10" t="n">
        <v>1</v>
      </c>
      <c r="L181" s="39" t="n">
        <f aca="false">IF(SUM($K181)=0,"",$K181)</f>
        <v>1</v>
      </c>
      <c r="M181" s="10"/>
      <c r="N181" s="10"/>
      <c r="O181" s="39" t="str">
        <f aca="false">IF(SUM($N181)=0,"",$N181)</f>
        <v/>
      </c>
      <c r="P181" s="10" t="n">
        <f aca="false">2</f>
        <v>2</v>
      </c>
      <c r="Q181" s="39" t="str">
        <f aca="false">IF(SUM($O181)=0,"",$O181*$P181)</f>
        <v/>
      </c>
    </row>
    <row r="182" customFormat="false" ht="15" hidden="false" customHeight="false" outlineLevel="0" collapsed="false">
      <c r="A182" s="0" t="str">
        <f aca="false">INDEX(Prioritization!$D:$D,MATCH($B182,Prioritization!$A:$A,0))</f>
        <v>1 - Scale-up: Saturation</v>
      </c>
      <c r="B182" s="0" t="s">
        <v>214</v>
      </c>
      <c r="C182" s="0" t="s">
        <v>368</v>
      </c>
      <c r="D182" s="0" t="s">
        <v>48</v>
      </c>
      <c r="E182" s="0" t="str">
        <f aca="false">B182&amp;"|"&amp;C182&amp;"|"&amp;D182</f>
        <v>Machinga District [TYnMSwzko3z]|50+|Male</v>
      </c>
      <c r="F182" s="10" t="str">
        <f aca="false">IF(LEFT($B182,4)="_Mil","",INDEX(Cascade!$U:$U,MATCH($E182,Cascade!$E:$E,0)))</f>
        <v/>
      </c>
      <c r="G182" s="10" t="str">
        <f aca="false">IFERROR(1/(1/INDEX(HTS!$AT:$AT,MATCH($E182,HTS!$E:$E,0))),"")</f>
        <v/>
      </c>
      <c r="H182" s="10" t="str">
        <f aca="false">IF(OR($C182="15-24",$C182="25-34"),IFERROR(1/(1/SUM(SUMIFS(AGYW!$S:$S,AGYW!$B:$B,$B182,AGYW!$C:$C,IF($C182="15-24",{"15-19","20-24"},{"25-29"}),AGYW!$D:$D,$D182))),""),"")</f>
        <v/>
      </c>
      <c r="I182" s="10" t="str">
        <f aca="false">IF(OR($C182="15-24",$C182="25-34"),IFERROR(1/(1/SUM(SUMIFS(AGYW!$T:$T,AGYW!$B:$B,$B182,AGYW!$C:$C,IF($C182="15-24",{"15-19","20-24"},{"25-29"}),AGYW!$D:$D,$D182))),""),"")</f>
        <v/>
      </c>
      <c r="J182" s="10" t="n">
        <v>1</v>
      </c>
      <c r="K182" s="10" t="n">
        <v>4</v>
      </c>
      <c r="L182" s="39" t="n">
        <f aca="false">IF(SUM($K182)=0,"",$K182)</f>
        <v>4</v>
      </c>
      <c r="M182" s="10"/>
      <c r="N182" s="10"/>
      <c r="O182" s="39" t="str">
        <f aca="false">IF(SUM($N182)=0,"",$N182)</f>
        <v/>
      </c>
      <c r="P182" s="10" t="n">
        <f aca="false">2</f>
        <v>2</v>
      </c>
      <c r="Q182" s="39" t="str">
        <f aca="false">IF(SUM($O182)=0,"",$O182*$P182)</f>
        <v/>
      </c>
    </row>
    <row r="183" customFormat="false" ht="15" hidden="false" customHeight="false" outlineLevel="0" collapsed="false">
      <c r="A183" s="0" t="str">
        <f aca="false">INDEX(Prioritization!$D:$D,MATCH($B183,Prioritization!$A:$A,0))</f>
        <v>INVALID</v>
      </c>
      <c r="B183" s="0" t="s">
        <v>215</v>
      </c>
      <c r="C183" s="0" t="s">
        <v>365</v>
      </c>
      <c r="D183" s="0" t="s">
        <v>30</v>
      </c>
      <c r="E183" s="0" t="str">
        <f aca="false">B183&amp;"|"&amp;C183&amp;"|"&amp;D183</f>
        <v>Mangochi District [lLDyBx5XyUi]|15-24|Female</v>
      </c>
      <c r="F183" s="10" t="str">
        <f aca="false">IF(LEFT($B183,4)="_Mil","",INDEX(Cascade!$U:$U,MATCH($E183,Cascade!$E:$E,0)))</f>
        <v/>
      </c>
      <c r="G183" s="10" t="str">
        <f aca="false">IFERROR(1/(1/INDEX(HTS!$AT:$AT,MATCH($E183,HTS!$E:$E,0))),"")</f>
        <v/>
      </c>
      <c r="H183" s="10" t="str">
        <f aca="false">IF(OR($C183="15-24",$C183="25-34"),IFERROR(1/(1/SUM(SUMIFS(AGYW!$S:$S,AGYW!$B:$B,$B183,AGYW!$C:$C,IF($C183="15-24",{"15-19","20-24"},{"25-29"}),AGYW!$D:$D,$D183))),""),"")</f>
        <v/>
      </c>
      <c r="I183" s="10" t="str">
        <f aca="false">IF(OR($C183="15-24",$C183="25-34"),IFERROR(1/(1/SUM(SUMIFS(AGYW!$T:$T,AGYW!$B:$B,$B183,AGYW!$C:$C,IF($C183="15-24",{"15-19","20-24"},{"25-29"}),AGYW!$D:$D,$D183))),""),"")</f>
        <v/>
      </c>
      <c r="J183" s="10"/>
      <c r="K183" s="10"/>
      <c r="L183" s="39" t="str">
        <f aca="false">IF(SUM($K183)=0,"",$K183)</f>
        <v/>
      </c>
      <c r="M183" s="10"/>
      <c r="N183" s="10"/>
      <c r="O183" s="39" t="str">
        <f aca="false">IF(SUM($N183)=0,"",$N183)</f>
        <v/>
      </c>
      <c r="P183" s="10" t="n">
        <f aca="false">2</f>
        <v>2</v>
      </c>
      <c r="Q183" s="39" t="str">
        <f aca="false">IF(SUM($O183)=0,"",$O183*$P183)</f>
        <v/>
      </c>
    </row>
    <row r="184" customFormat="false" ht="15" hidden="false" customHeight="false" outlineLevel="0" collapsed="false">
      <c r="A184" s="0" t="str">
        <f aca="false">INDEX(Prioritization!$D:$D,MATCH($B184,Prioritization!$A:$A,0))</f>
        <v>INVALID</v>
      </c>
      <c r="B184" s="0" t="s">
        <v>215</v>
      </c>
      <c r="C184" s="0" t="s">
        <v>365</v>
      </c>
      <c r="D184" s="0" t="s">
        <v>48</v>
      </c>
      <c r="E184" s="0" t="str">
        <f aca="false">B184&amp;"|"&amp;C184&amp;"|"&amp;D184</f>
        <v>Mangochi District [lLDyBx5XyUi]|15-24|Male</v>
      </c>
      <c r="F184" s="10" t="str">
        <f aca="false">IF(LEFT($B184,4)="_Mil","",INDEX(Cascade!$U:$U,MATCH($E184,Cascade!$E:$E,0)))</f>
        <v/>
      </c>
      <c r="G184" s="10" t="str">
        <f aca="false">IFERROR(1/(1/INDEX(HTS!$AT:$AT,MATCH($E184,HTS!$E:$E,0))),"")</f>
        <v/>
      </c>
      <c r="H184" s="10" t="str">
        <f aca="false">IF(OR($C184="15-24",$C184="25-34"),IFERROR(1/(1/SUM(SUMIFS(AGYW!$S:$S,AGYW!$B:$B,$B184,AGYW!$C:$C,IF($C184="15-24",{"15-19","20-24"},{"25-29"}),AGYW!$D:$D,$D184))),""),"")</f>
        <v/>
      </c>
      <c r="I184" s="10" t="str">
        <f aca="false">IF(OR($C184="15-24",$C184="25-34"),IFERROR(1/(1/SUM(SUMIFS(AGYW!$T:$T,AGYW!$B:$B,$B184,AGYW!$C:$C,IF($C184="15-24",{"15-19","20-24"},{"25-29"}),AGYW!$D:$D,$D184))),""),"")</f>
        <v/>
      </c>
      <c r="J184" s="10"/>
      <c r="K184" s="10"/>
      <c r="L184" s="39" t="str">
        <f aca="false">IF(SUM($K184)=0,"",$K184)</f>
        <v/>
      </c>
      <c r="M184" s="10"/>
      <c r="N184" s="10"/>
      <c r="O184" s="39" t="str">
        <f aca="false">IF(SUM($N184)=0,"",$N184)</f>
        <v/>
      </c>
      <c r="P184" s="10" t="n">
        <f aca="false">2</f>
        <v>2</v>
      </c>
      <c r="Q184" s="39" t="str">
        <f aca="false">IF(SUM($O184)=0,"",$O184*$P184)</f>
        <v/>
      </c>
    </row>
    <row r="185" customFormat="false" ht="15" hidden="false" customHeight="false" outlineLevel="0" collapsed="false">
      <c r="A185" s="0" t="str">
        <f aca="false">INDEX(Prioritization!$D:$D,MATCH($B185,Prioritization!$A:$A,0))</f>
        <v>INVALID</v>
      </c>
      <c r="B185" s="0" t="s">
        <v>215</v>
      </c>
      <c r="C185" s="0" t="s">
        <v>366</v>
      </c>
      <c r="D185" s="0" t="s">
        <v>30</v>
      </c>
      <c r="E185" s="0" t="str">
        <f aca="false">B185&amp;"|"&amp;C185&amp;"|"&amp;D185</f>
        <v>Mangochi District [lLDyBx5XyUi]|25-34|Female</v>
      </c>
      <c r="F185" s="10" t="str">
        <f aca="false">IF(LEFT($B185,4)="_Mil","",INDEX(Cascade!$U:$U,MATCH($E185,Cascade!$E:$E,0)))</f>
        <v/>
      </c>
      <c r="G185" s="10" t="str">
        <f aca="false">IFERROR(1/(1/INDEX(HTS!$AT:$AT,MATCH($E185,HTS!$E:$E,0))),"")</f>
        <v/>
      </c>
      <c r="H185" s="10" t="str">
        <f aca="false">IF(OR($C185="15-24",$C185="25-34"),IFERROR(1/(1/SUM(SUMIFS(AGYW!$S:$S,AGYW!$B:$B,$B185,AGYW!$C:$C,IF($C185="15-24",{"15-19","20-24"},{"25-29"}),AGYW!$D:$D,$D185))),""),"")</f>
        <v/>
      </c>
      <c r="I185" s="10" t="str">
        <f aca="false">IF(OR($C185="15-24",$C185="25-34"),IFERROR(1/(1/SUM(SUMIFS(AGYW!$T:$T,AGYW!$B:$B,$B185,AGYW!$C:$C,IF($C185="15-24",{"15-19","20-24"},{"25-29"}),AGYW!$D:$D,$D185))),""),"")</f>
        <v/>
      </c>
      <c r="J185" s="10"/>
      <c r="K185" s="10"/>
      <c r="L185" s="39" t="str">
        <f aca="false">IF(SUM($K185)=0,"",$K185)</f>
        <v/>
      </c>
      <c r="M185" s="10"/>
      <c r="N185" s="10"/>
      <c r="O185" s="39" t="str">
        <f aca="false">IF(SUM($N185)=0,"",$N185)</f>
        <v/>
      </c>
      <c r="P185" s="10" t="n">
        <f aca="false">2</f>
        <v>2</v>
      </c>
      <c r="Q185" s="39" t="str">
        <f aca="false">IF(SUM($O185)=0,"",$O185*$P185)</f>
        <v/>
      </c>
    </row>
    <row r="186" customFormat="false" ht="15" hidden="false" customHeight="false" outlineLevel="0" collapsed="false">
      <c r="A186" s="0" t="str">
        <f aca="false">INDEX(Prioritization!$D:$D,MATCH($B186,Prioritization!$A:$A,0))</f>
        <v>INVALID</v>
      </c>
      <c r="B186" s="0" t="s">
        <v>215</v>
      </c>
      <c r="C186" s="0" t="s">
        <v>366</v>
      </c>
      <c r="D186" s="0" t="s">
        <v>48</v>
      </c>
      <c r="E186" s="0" t="str">
        <f aca="false">B186&amp;"|"&amp;C186&amp;"|"&amp;D186</f>
        <v>Mangochi District [lLDyBx5XyUi]|25-34|Male</v>
      </c>
      <c r="F186" s="10" t="str">
        <f aca="false">IF(LEFT($B186,4)="_Mil","",INDEX(Cascade!$U:$U,MATCH($E186,Cascade!$E:$E,0)))</f>
        <v/>
      </c>
      <c r="G186" s="10" t="str">
        <f aca="false">IFERROR(1/(1/INDEX(HTS!$AT:$AT,MATCH($E186,HTS!$E:$E,0))),"")</f>
        <v/>
      </c>
      <c r="H186" s="10" t="str">
        <f aca="false">IF(OR($C186="15-24",$C186="25-34"),IFERROR(1/(1/SUM(SUMIFS(AGYW!$S:$S,AGYW!$B:$B,$B186,AGYW!$C:$C,IF($C186="15-24",{"15-19","20-24"},{"25-29"}),AGYW!$D:$D,$D186))),""),"")</f>
        <v/>
      </c>
      <c r="I186" s="10" t="str">
        <f aca="false">IF(OR($C186="15-24",$C186="25-34"),IFERROR(1/(1/SUM(SUMIFS(AGYW!$T:$T,AGYW!$B:$B,$B186,AGYW!$C:$C,IF($C186="15-24",{"15-19","20-24"},{"25-29"}),AGYW!$D:$D,$D186))),""),"")</f>
        <v/>
      </c>
      <c r="J186" s="10"/>
      <c r="K186" s="10"/>
      <c r="L186" s="39" t="str">
        <f aca="false">IF(SUM($K186)=0,"",$K186)</f>
        <v/>
      </c>
      <c r="M186" s="10"/>
      <c r="N186" s="10"/>
      <c r="O186" s="39" t="str">
        <f aca="false">IF(SUM($N186)=0,"",$N186)</f>
        <v/>
      </c>
      <c r="P186" s="10" t="n">
        <f aca="false">2</f>
        <v>2</v>
      </c>
      <c r="Q186" s="39" t="str">
        <f aca="false">IF(SUM($O186)=0,"",$O186*$P186)</f>
        <v/>
      </c>
    </row>
    <row r="187" customFormat="false" ht="15" hidden="false" customHeight="false" outlineLevel="0" collapsed="false">
      <c r="A187" s="0" t="str">
        <f aca="false">INDEX(Prioritization!$D:$D,MATCH($B187,Prioritization!$A:$A,0))</f>
        <v>INVALID</v>
      </c>
      <c r="B187" s="0" t="s">
        <v>215</v>
      </c>
      <c r="C187" s="0" t="s">
        <v>367</v>
      </c>
      <c r="D187" s="0" t="s">
        <v>30</v>
      </c>
      <c r="E187" s="0" t="str">
        <f aca="false">B187&amp;"|"&amp;C187&amp;"|"&amp;D187</f>
        <v>Mangochi District [lLDyBx5XyUi]|35-49|Female</v>
      </c>
      <c r="F187" s="10" t="str">
        <f aca="false">IF(LEFT($B187,4)="_Mil","",INDEX(Cascade!$U:$U,MATCH($E187,Cascade!$E:$E,0)))</f>
        <v/>
      </c>
      <c r="G187" s="10" t="str">
        <f aca="false">IFERROR(1/(1/INDEX(HTS!$AT:$AT,MATCH($E187,HTS!$E:$E,0))),"")</f>
        <v/>
      </c>
      <c r="H187" s="10" t="str">
        <f aca="false">IF(OR($C187="15-24",$C187="25-34"),IFERROR(1/(1/SUM(SUMIFS(AGYW!$S:$S,AGYW!$B:$B,$B187,AGYW!$C:$C,IF($C187="15-24",{"15-19","20-24"},{"25-29"}),AGYW!$D:$D,$D187))),""),"")</f>
        <v/>
      </c>
      <c r="I187" s="10" t="str">
        <f aca="false">IF(OR($C187="15-24",$C187="25-34"),IFERROR(1/(1/SUM(SUMIFS(AGYW!$T:$T,AGYW!$B:$B,$B187,AGYW!$C:$C,IF($C187="15-24",{"15-19","20-24"},{"25-29"}),AGYW!$D:$D,$D187))),""),"")</f>
        <v/>
      </c>
      <c r="J187" s="10"/>
      <c r="K187" s="10"/>
      <c r="L187" s="39" t="str">
        <f aca="false">IF(SUM($K187)=0,"",$K187)</f>
        <v/>
      </c>
      <c r="M187" s="10"/>
      <c r="N187" s="10"/>
      <c r="O187" s="39" t="str">
        <f aca="false">IF(SUM($N187)=0,"",$N187)</f>
        <v/>
      </c>
      <c r="P187" s="10" t="n">
        <f aca="false">2</f>
        <v>2</v>
      </c>
      <c r="Q187" s="39" t="str">
        <f aca="false">IF(SUM($O187)=0,"",$O187*$P187)</f>
        <v/>
      </c>
    </row>
    <row r="188" customFormat="false" ht="15" hidden="false" customHeight="false" outlineLevel="0" collapsed="false">
      <c r="A188" s="0" t="str">
        <f aca="false">INDEX(Prioritization!$D:$D,MATCH($B188,Prioritization!$A:$A,0))</f>
        <v>INVALID</v>
      </c>
      <c r="B188" s="0" t="s">
        <v>215</v>
      </c>
      <c r="C188" s="0" t="s">
        <v>367</v>
      </c>
      <c r="D188" s="0" t="s">
        <v>48</v>
      </c>
      <c r="E188" s="0" t="str">
        <f aca="false">B188&amp;"|"&amp;C188&amp;"|"&amp;D188</f>
        <v>Mangochi District [lLDyBx5XyUi]|35-49|Male</v>
      </c>
      <c r="F188" s="10" t="str">
        <f aca="false">IF(LEFT($B188,4)="_Mil","",INDEX(Cascade!$U:$U,MATCH($E188,Cascade!$E:$E,0)))</f>
        <v/>
      </c>
      <c r="G188" s="10" t="str">
        <f aca="false">IFERROR(1/(1/INDEX(HTS!$AT:$AT,MATCH($E188,HTS!$E:$E,0))),"")</f>
        <v/>
      </c>
      <c r="H188" s="10" t="str">
        <f aca="false">IF(OR($C188="15-24",$C188="25-34"),IFERROR(1/(1/SUM(SUMIFS(AGYW!$S:$S,AGYW!$B:$B,$B188,AGYW!$C:$C,IF($C188="15-24",{"15-19","20-24"},{"25-29"}),AGYW!$D:$D,$D188))),""),"")</f>
        <v/>
      </c>
      <c r="I188" s="10" t="str">
        <f aca="false">IF(OR($C188="15-24",$C188="25-34"),IFERROR(1/(1/SUM(SUMIFS(AGYW!$T:$T,AGYW!$B:$B,$B188,AGYW!$C:$C,IF($C188="15-24",{"15-19","20-24"},{"25-29"}),AGYW!$D:$D,$D188))),""),"")</f>
        <v/>
      </c>
      <c r="J188" s="10"/>
      <c r="K188" s="10"/>
      <c r="L188" s="39" t="str">
        <f aca="false">IF(SUM($K188)=0,"",$K188)</f>
        <v/>
      </c>
      <c r="M188" s="10"/>
      <c r="N188" s="10"/>
      <c r="O188" s="39" t="str">
        <f aca="false">IF(SUM($N188)=0,"",$N188)</f>
        <v/>
      </c>
      <c r="P188" s="10" t="n">
        <f aca="false">2</f>
        <v>2</v>
      </c>
      <c r="Q188" s="39" t="str">
        <f aca="false">IF(SUM($O188)=0,"",$O188*$P188)</f>
        <v/>
      </c>
    </row>
    <row r="189" customFormat="false" ht="15" hidden="false" customHeight="false" outlineLevel="0" collapsed="false">
      <c r="A189" s="0" t="str">
        <f aca="false">INDEX(Prioritization!$D:$D,MATCH($B189,Prioritization!$A:$A,0))</f>
        <v>INVALID</v>
      </c>
      <c r="B189" s="0" t="s">
        <v>215</v>
      </c>
      <c r="C189" s="0" t="s">
        <v>368</v>
      </c>
      <c r="D189" s="0" t="s">
        <v>30</v>
      </c>
      <c r="E189" s="0" t="str">
        <f aca="false">B189&amp;"|"&amp;C189&amp;"|"&amp;D189</f>
        <v>Mangochi District [lLDyBx5XyUi]|50+|Female</v>
      </c>
      <c r="F189" s="10" t="str">
        <f aca="false">IF(LEFT($B189,4)="_Mil","",INDEX(Cascade!$U:$U,MATCH($E189,Cascade!$E:$E,0)))</f>
        <v/>
      </c>
      <c r="G189" s="10" t="str">
        <f aca="false">IFERROR(1/(1/INDEX(HTS!$AT:$AT,MATCH($E189,HTS!$E:$E,0))),"")</f>
        <v/>
      </c>
      <c r="H189" s="10" t="str">
        <f aca="false">IF(OR($C189="15-24",$C189="25-34"),IFERROR(1/(1/SUM(SUMIFS(AGYW!$S:$S,AGYW!$B:$B,$B189,AGYW!$C:$C,IF($C189="15-24",{"15-19","20-24"},{"25-29"}),AGYW!$D:$D,$D189))),""),"")</f>
        <v/>
      </c>
      <c r="I189" s="10" t="str">
        <f aca="false">IF(OR($C189="15-24",$C189="25-34"),IFERROR(1/(1/SUM(SUMIFS(AGYW!$T:$T,AGYW!$B:$B,$B189,AGYW!$C:$C,IF($C189="15-24",{"15-19","20-24"},{"25-29"}),AGYW!$D:$D,$D189))),""),"")</f>
        <v/>
      </c>
      <c r="J189" s="10" t="n">
        <v>1</v>
      </c>
      <c r="K189" s="10" t="n">
        <v>4</v>
      </c>
      <c r="L189" s="39" t="n">
        <f aca="false">IF(SUM($K189)=0,"",$K189)</f>
        <v>4</v>
      </c>
      <c r="M189" s="10"/>
      <c r="N189" s="10"/>
      <c r="O189" s="39" t="str">
        <f aca="false">IF(SUM($N189)=0,"",$N189)</f>
        <v/>
      </c>
      <c r="P189" s="10" t="n">
        <f aca="false">2</f>
        <v>2</v>
      </c>
      <c r="Q189" s="39" t="str">
        <f aca="false">IF(SUM($O189)=0,"",$O189*$P189)</f>
        <v/>
      </c>
    </row>
    <row r="190" customFormat="false" ht="15" hidden="false" customHeight="false" outlineLevel="0" collapsed="false">
      <c r="A190" s="0" t="str">
        <f aca="false">INDEX(Prioritization!$D:$D,MATCH($B190,Prioritization!$A:$A,0))</f>
        <v>INVALID</v>
      </c>
      <c r="B190" s="0" t="s">
        <v>215</v>
      </c>
      <c r="C190" s="0" t="s">
        <v>368</v>
      </c>
      <c r="D190" s="0" t="s">
        <v>48</v>
      </c>
      <c r="E190" s="0" t="str">
        <f aca="false">B190&amp;"|"&amp;C190&amp;"|"&amp;D190</f>
        <v>Mangochi District [lLDyBx5XyUi]|50+|Male</v>
      </c>
      <c r="F190" s="10" t="str">
        <f aca="false">IF(LEFT($B190,4)="_Mil","",INDEX(Cascade!$U:$U,MATCH($E190,Cascade!$E:$E,0)))</f>
        <v/>
      </c>
      <c r="G190" s="10" t="str">
        <f aca="false">IFERROR(1/(1/INDEX(HTS!$AT:$AT,MATCH($E190,HTS!$E:$E,0))),"")</f>
        <v/>
      </c>
      <c r="H190" s="10" t="str">
        <f aca="false">IF(OR($C190="15-24",$C190="25-34"),IFERROR(1/(1/SUM(SUMIFS(AGYW!$S:$S,AGYW!$B:$B,$B190,AGYW!$C:$C,IF($C190="15-24",{"15-19","20-24"},{"25-29"}),AGYW!$D:$D,$D190))),""),"")</f>
        <v/>
      </c>
      <c r="I190" s="10" t="str">
        <f aca="false">IF(OR($C190="15-24",$C190="25-34"),IFERROR(1/(1/SUM(SUMIFS(AGYW!$T:$T,AGYW!$B:$B,$B190,AGYW!$C:$C,IF($C190="15-24",{"15-19","20-24"},{"25-29"}),AGYW!$D:$D,$D190))),""),"")</f>
        <v/>
      </c>
      <c r="J190" s="10" t="n">
        <v>0</v>
      </c>
      <c r="K190" s="10" t="n">
        <v>4</v>
      </c>
      <c r="L190" s="39" t="n">
        <f aca="false">IF(SUM($K190)=0,"",$K190)</f>
        <v>4</v>
      </c>
      <c r="M190" s="10"/>
      <c r="N190" s="10"/>
      <c r="O190" s="39" t="str">
        <f aca="false">IF(SUM($N190)=0,"",$N190)</f>
        <v/>
      </c>
      <c r="P190" s="10" t="n">
        <f aca="false">2</f>
        <v>2</v>
      </c>
      <c r="Q190" s="39" t="str">
        <f aca="false">IF(SUM($O190)=0,"",$O190*$P190)</f>
        <v/>
      </c>
    </row>
    <row r="191" customFormat="false" ht="15" hidden="false" customHeight="false" outlineLevel="0" collapsed="false">
      <c r="A191" s="0" t="str">
        <f aca="false">INDEX(Prioritization!$D:$D,MATCH($B191,Prioritization!$A:$A,0))</f>
        <v>INVALID</v>
      </c>
      <c r="B191" s="0" t="s">
        <v>216</v>
      </c>
      <c r="C191" s="0" t="s">
        <v>365</v>
      </c>
      <c r="D191" s="0" t="s">
        <v>30</v>
      </c>
      <c r="E191" s="0" t="str">
        <f aca="false">B191&amp;"|"&amp;C191&amp;"|"&amp;D191</f>
        <v>Mulanje District [umc2n1Z4wNv]|15-24|Female</v>
      </c>
      <c r="F191" s="10" t="str">
        <f aca="false">IF(LEFT($B191,4)="_Mil","",INDEX(Cascade!$U:$U,MATCH($E191,Cascade!$E:$E,0)))</f>
        <v/>
      </c>
      <c r="G191" s="10" t="str">
        <f aca="false">IFERROR(1/(1/INDEX(HTS!$AT:$AT,MATCH($E191,HTS!$E:$E,0))),"")</f>
        <v/>
      </c>
      <c r="H191" s="10" t="str">
        <f aca="false">IF(OR($C191="15-24",$C191="25-34"),IFERROR(1/(1/SUM(SUMIFS(AGYW!$S:$S,AGYW!$B:$B,$B191,AGYW!$C:$C,IF($C191="15-24",{"15-19","20-24"},{"25-29"}),AGYW!$D:$D,$D191))),""),"")</f>
        <v/>
      </c>
      <c r="I191" s="10" t="str">
        <f aca="false">IF(OR($C191="15-24",$C191="25-34"),IFERROR(1/(1/SUM(SUMIFS(AGYW!$T:$T,AGYW!$B:$B,$B191,AGYW!$C:$C,IF($C191="15-24",{"15-19","20-24"},{"25-29"}),AGYW!$D:$D,$D191))),""),"")</f>
        <v/>
      </c>
      <c r="J191" s="10"/>
      <c r="K191" s="10"/>
      <c r="L191" s="39" t="str">
        <f aca="false">IF(SUM($K191)=0,"",$K191)</f>
        <v/>
      </c>
      <c r="M191" s="10"/>
      <c r="N191" s="10"/>
      <c r="O191" s="39" t="str">
        <f aca="false">IF(SUM($N191)=0,"",$N191)</f>
        <v/>
      </c>
      <c r="P191" s="10" t="n">
        <f aca="false">2</f>
        <v>2</v>
      </c>
      <c r="Q191" s="39" t="str">
        <f aca="false">IF(SUM($O191)=0,"",$O191*$P191)</f>
        <v/>
      </c>
    </row>
    <row r="192" customFormat="false" ht="15" hidden="false" customHeight="false" outlineLevel="0" collapsed="false">
      <c r="A192" s="0" t="str">
        <f aca="false">INDEX(Prioritization!$D:$D,MATCH($B192,Prioritization!$A:$A,0))</f>
        <v>INVALID</v>
      </c>
      <c r="B192" s="0" t="s">
        <v>216</v>
      </c>
      <c r="C192" s="0" t="s">
        <v>365</v>
      </c>
      <c r="D192" s="0" t="s">
        <v>48</v>
      </c>
      <c r="E192" s="0" t="str">
        <f aca="false">B192&amp;"|"&amp;C192&amp;"|"&amp;D192</f>
        <v>Mulanje District [umc2n1Z4wNv]|15-24|Male</v>
      </c>
      <c r="F192" s="10" t="str">
        <f aca="false">IF(LEFT($B192,4)="_Mil","",INDEX(Cascade!$U:$U,MATCH($E192,Cascade!$E:$E,0)))</f>
        <v/>
      </c>
      <c r="G192" s="10" t="str">
        <f aca="false">IFERROR(1/(1/INDEX(HTS!$AT:$AT,MATCH($E192,HTS!$E:$E,0))),"")</f>
        <v/>
      </c>
      <c r="H192" s="10" t="str">
        <f aca="false">IF(OR($C192="15-24",$C192="25-34"),IFERROR(1/(1/SUM(SUMIFS(AGYW!$S:$S,AGYW!$B:$B,$B192,AGYW!$C:$C,IF($C192="15-24",{"15-19","20-24"},{"25-29"}),AGYW!$D:$D,$D192))),""),"")</f>
        <v/>
      </c>
      <c r="I192" s="10" t="str">
        <f aca="false">IF(OR($C192="15-24",$C192="25-34"),IFERROR(1/(1/SUM(SUMIFS(AGYW!$T:$T,AGYW!$B:$B,$B192,AGYW!$C:$C,IF($C192="15-24",{"15-19","20-24"},{"25-29"}),AGYW!$D:$D,$D192))),""),"")</f>
        <v/>
      </c>
      <c r="J192" s="10"/>
      <c r="K192" s="10"/>
      <c r="L192" s="39" t="str">
        <f aca="false">IF(SUM($K192)=0,"",$K192)</f>
        <v/>
      </c>
      <c r="M192" s="10"/>
      <c r="N192" s="10"/>
      <c r="O192" s="39" t="str">
        <f aca="false">IF(SUM($N192)=0,"",$N192)</f>
        <v/>
      </c>
      <c r="P192" s="10" t="n">
        <f aca="false">2</f>
        <v>2</v>
      </c>
      <c r="Q192" s="39" t="str">
        <f aca="false">IF(SUM($O192)=0,"",$O192*$P192)</f>
        <v/>
      </c>
    </row>
    <row r="193" customFormat="false" ht="15" hidden="false" customHeight="false" outlineLevel="0" collapsed="false">
      <c r="A193" s="0" t="str">
        <f aca="false">INDEX(Prioritization!$D:$D,MATCH($B193,Prioritization!$A:$A,0))</f>
        <v>INVALID</v>
      </c>
      <c r="B193" s="0" t="s">
        <v>216</v>
      </c>
      <c r="C193" s="0" t="s">
        <v>366</v>
      </c>
      <c r="D193" s="0" t="s">
        <v>30</v>
      </c>
      <c r="E193" s="0" t="str">
        <f aca="false">B193&amp;"|"&amp;C193&amp;"|"&amp;D193</f>
        <v>Mulanje District [umc2n1Z4wNv]|25-34|Female</v>
      </c>
      <c r="F193" s="10" t="str">
        <f aca="false">IF(LEFT($B193,4)="_Mil","",INDEX(Cascade!$U:$U,MATCH($E193,Cascade!$E:$E,0)))</f>
        <v/>
      </c>
      <c r="G193" s="10" t="str">
        <f aca="false">IFERROR(1/(1/INDEX(HTS!$AT:$AT,MATCH($E193,HTS!$E:$E,0))),"")</f>
        <v/>
      </c>
      <c r="H193" s="10" t="str">
        <f aca="false">IF(OR($C193="15-24",$C193="25-34"),IFERROR(1/(1/SUM(SUMIFS(AGYW!$S:$S,AGYW!$B:$B,$B193,AGYW!$C:$C,IF($C193="15-24",{"15-19","20-24"},{"25-29"}),AGYW!$D:$D,$D193))),""),"")</f>
        <v/>
      </c>
      <c r="I193" s="10" t="str">
        <f aca="false">IF(OR($C193="15-24",$C193="25-34"),IFERROR(1/(1/SUM(SUMIFS(AGYW!$T:$T,AGYW!$B:$B,$B193,AGYW!$C:$C,IF($C193="15-24",{"15-19","20-24"},{"25-29"}),AGYW!$D:$D,$D193))),""),"")</f>
        <v/>
      </c>
      <c r="J193" s="10"/>
      <c r="K193" s="10"/>
      <c r="L193" s="39" t="str">
        <f aca="false">IF(SUM($K193)=0,"",$K193)</f>
        <v/>
      </c>
      <c r="M193" s="10"/>
      <c r="N193" s="10"/>
      <c r="O193" s="39" t="str">
        <f aca="false">IF(SUM($N193)=0,"",$N193)</f>
        <v/>
      </c>
      <c r="P193" s="10" t="n">
        <f aca="false">2</f>
        <v>2</v>
      </c>
      <c r="Q193" s="39" t="str">
        <f aca="false">IF(SUM($O193)=0,"",$O193*$P193)</f>
        <v/>
      </c>
    </row>
    <row r="194" customFormat="false" ht="15" hidden="false" customHeight="false" outlineLevel="0" collapsed="false">
      <c r="A194" s="0" t="str">
        <f aca="false">INDEX(Prioritization!$D:$D,MATCH($B194,Prioritization!$A:$A,0))</f>
        <v>INVALID</v>
      </c>
      <c r="B194" s="0" t="s">
        <v>216</v>
      </c>
      <c r="C194" s="0" t="s">
        <v>366</v>
      </c>
      <c r="D194" s="0" t="s">
        <v>48</v>
      </c>
      <c r="E194" s="0" t="str">
        <f aca="false">B194&amp;"|"&amp;C194&amp;"|"&amp;D194</f>
        <v>Mulanje District [umc2n1Z4wNv]|25-34|Male</v>
      </c>
      <c r="F194" s="10" t="str">
        <f aca="false">IF(LEFT($B194,4)="_Mil","",INDEX(Cascade!$U:$U,MATCH($E194,Cascade!$E:$E,0)))</f>
        <v/>
      </c>
      <c r="G194" s="10" t="str">
        <f aca="false">IFERROR(1/(1/INDEX(HTS!$AT:$AT,MATCH($E194,HTS!$E:$E,0))),"")</f>
        <v/>
      </c>
      <c r="H194" s="10" t="str">
        <f aca="false">IF(OR($C194="15-24",$C194="25-34"),IFERROR(1/(1/SUM(SUMIFS(AGYW!$S:$S,AGYW!$B:$B,$B194,AGYW!$C:$C,IF($C194="15-24",{"15-19","20-24"},{"25-29"}),AGYW!$D:$D,$D194))),""),"")</f>
        <v/>
      </c>
      <c r="I194" s="10" t="str">
        <f aca="false">IF(OR($C194="15-24",$C194="25-34"),IFERROR(1/(1/SUM(SUMIFS(AGYW!$T:$T,AGYW!$B:$B,$B194,AGYW!$C:$C,IF($C194="15-24",{"15-19","20-24"},{"25-29"}),AGYW!$D:$D,$D194))),""),"")</f>
        <v/>
      </c>
      <c r="J194" s="10"/>
      <c r="K194" s="10"/>
      <c r="L194" s="39" t="str">
        <f aca="false">IF(SUM($K194)=0,"",$K194)</f>
        <v/>
      </c>
      <c r="M194" s="10"/>
      <c r="N194" s="10"/>
      <c r="O194" s="39" t="str">
        <f aca="false">IF(SUM($N194)=0,"",$N194)</f>
        <v/>
      </c>
      <c r="P194" s="10" t="n">
        <f aca="false">2</f>
        <v>2</v>
      </c>
      <c r="Q194" s="39" t="str">
        <f aca="false">IF(SUM($O194)=0,"",$O194*$P194)</f>
        <v/>
      </c>
    </row>
    <row r="195" customFormat="false" ht="15" hidden="false" customHeight="false" outlineLevel="0" collapsed="false">
      <c r="A195" s="0" t="str">
        <f aca="false">INDEX(Prioritization!$D:$D,MATCH($B195,Prioritization!$A:$A,0))</f>
        <v>INVALID</v>
      </c>
      <c r="B195" s="0" t="s">
        <v>216</v>
      </c>
      <c r="C195" s="0" t="s">
        <v>367</v>
      </c>
      <c r="D195" s="0" t="s">
        <v>30</v>
      </c>
      <c r="E195" s="0" t="str">
        <f aca="false">B195&amp;"|"&amp;C195&amp;"|"&amp;D195</f>
        <v>Mulanje District [umc2n1Z4wNv]|35-49|Female</v>
      </c>
      <c r="F195" s="10" t="str">
        <f aca="false">IF(LEFT($B195,4)="_Mil","",INDEX(Cascade!$U:$U,MATCH($E195,Cascade!$E:$E,0)))</f>
        <v/>
      </c>
      <c r="G195" s="10" t="str">
        <f aca="false">IFERROR(1/(1/INDEX(HTS!$AT:$AT,MATCH($E195,HTS!$E:$E,0))),"")</f>
        <v/>
      </c>
      <c r="H195" s="10" t="str">
        <f aca="false">IF(OR($C195="15-24",$C195="25-34"),IFERROR(1/(1/SUM(SUMIFS(AGYW!$S:$S,AGYW!$B:$B,$B195,AGYW!$C:$C,IF($C195="15-24",{"15-19","20-24"},{"25-29"}),AGYW!$D:$D,$D195))),""),"")</f>
        <v/>
      </c>
      <c r="I195" s="10" t="str">
        <f aca="false">IF(OR($C195="15-24",$C195="25-34"),IFERROR(1/(1/SUM(SUMIFS(AGYW!$T:$T,AGYW!$B:$B,$B195,AGYW!$C:$C,IF($C195="15-24",{"15-19","20-24"},{"25-29"}),AGYW!$D:$D,$D195))),""),"")</f>
        <v/>
      </c>
      <c r="J195" s="10"/>
      <c r="K195" s="10"/>
      <c r="L195" s="39" t="str">
        <f aca="false">IF(SUM($K195)=0,"",$K195)</f>
        <v/>
      </c>
      <c r="M195" s="10"/>
      <c r="N195" s="10"/>
      <c r="O195" s="39" t="str">
        <f aca="false">IF(SUM($N195)=0,"",$N195)</f>
        <v/>
      </c>
      <c r="P195" s="10" t="n">
        <f aca="false">2</f>
        <v>2</v>
      </c>
      <c r="Q195" s="39" t="str">
        <f aca="false">IF(SUM($O195)=0,"",$O195*$P195)</f>
        <v/>
      </c>
    </row>
    <row r="196" customFormat="false" ht="15" hidden="false" customHeight="false" outlineLevel="0" collapsed="false">
      <c r="A196" s="0" t="str">
        <f aca="false">INDEX(Prioritization!$D:$D,MATCH($B196,Prioritization!$A:$A,0))</f>
        <v>INVALID</v>
      </c>
      <c r="B196" s="0" t="s">
        <v>216</v>
      </c>
      <c r="C196" s="0" t="s">
        <v>367</v>
      </c>
      <c r="D196" s="0" t="s">
        <v>48</v>
      </c>
      <c r="E196" s="0" t="str">
        <f aca="false">B196&amp;"|"&amp;C196&amp;"|"&amp;D196</f>
        <v>Mulanje District [umc2n1Z4wNv]|35-49|Male</v>
      </c>
      <c r="F196" s="10" t="str">
        <f aca="false">IF(LEFT($B196,4)="_Mil","",INDEX(Cascade!$U:$U,MATCH($E196,Cascade!$E:$E,0)))</f>
        <v/>
      </c>
      <c r="G196" s="10" t="str">
        <f aca="false">IFERROR(1/(1/INDEX(HTS!$AT:$AT,MATCH($E196,HTS!$E:$E,0))),"")</f>
        <v/>
      </c>
      <c r="H196" s="10" t="str">
        <f aca="false">IF(OR($C196="15-24",$C196="25-34"),IFERROR(1/(1/SUM(SUMIFS(AGYW!$S:$S,AGYW!$B:$B,$B196,AGYW!$C:$C,IF($C196="15-24",{"15-19","20-24"},{"25-29"}),AGYW!$D:$D,$D196))),""),"")</f>
        <v/>
      </c>
      <c r="I196" s="10" t="str">
        <f aca="false">IF(OR($C196="15-24",$C196="25-34"),IFERROR(1/(1/SUM(SUMIFS(AGYW!$T:$T,AGYW!$B:$B,$B196,AGYW!$C:$C,IF($C196="15-24",{"15-19","20-24"},{"25-29"}),AGYW!$D:$D,$D196))),""),"")</f>
        <v/>
      </c>
      <c r="J196" s="10"/>
      <c r="K196" s="10"/>
      <c r="L196" s="39" t="str">
        <f aca="false">IF(SUM($K196)=0,"",$K196)</f>
        <v/>
      </c>
      <c r="M196" s="10"/>
      <c r="N196" s="10"/>
      <c r="O196" s="39" t="str">
        <f aca="false">IF(SUM($N196)=0,"",$N196)</f>
        <v/>
      </c>
      <c r="P196" s="10" t="n">
        <f aca="false">2</f>
        <v>2</v>
      </c>
      <c r="Q196" s="39" t="str">
        <f aca="false">IF(SUM($O196)=0,"",$O196*$P196)</f>
        <v/>
      </c>
    </row>
    <row r="197" customFormat="false" ht="15" hidden="false" customHeight="false" outlineLevel="0" collapsed="false">
      <c r="A197" s="0" t="str">
        <f aca="false">INDEX(Prioritization!$D:$D,MATCH($B197,Prioritization!$A:$A,0))</f>
        <v>INVALID</v>
      </c>
      <c r="B197" s="0" t="s">
        <v>216</v>
      </c>
      <c r="C197" s="0" t="s">
        <v>368</v>
      </c>
      <c r="D197" s="0" t="s">
        <v>30</v>
      </c>
      <c r="E197" s="0" t="str">
        <f aca="false">B197&amp;"|"&amp;C197&amp;"|"&amp;D197</f>
        <v>Mulanje District [umc2n1Z4wNv]|50+|Female</v>
      </c>
      <c r="F197" s="10" t="str">
        <f aca="false">IF(LEFT($B197,4)="_Mil","",INDEX(Cascade!$U:$U,MATCH($E197,Cascade!$E:$E,0)))</f>
        <v/>
      </c>
      <c r="G197" s="10" t="str">
        <f aca="false">IFERROR(1/(1/INDEX(HTS!$AT:$AT,MATCH($E197,HTS!$E:$E,0))),"")</f>
        <v/>
      </c>
      <c r="H197" s="10" t="str">
        <f aca="false">IF(OR($C197="15-24",$C197="25-34"),IFERROR(1/(1/SUM(SUMIFS(AGYW!$S:$S,AGYW!$B:$B,$B197,AGYW!$C:$C,IF($C197="15-24",{"15-19","20-24"},{"25-29"}),AGYW!$D:$D,$D197))),""),"")</f>
        <v/>
      </c>
      <c r="I197" s="10" t="str">
        <f aca="false">IF(OR($C197="15-24",$C197="25-34"),IFERROR(1/(1/SUM(SUMIFS(AGYW!$T:$T,AGYW!$B:$B,$B197,AGYW!$C:$C,IF($C197="15-24",{"15-19","20-24"},{"25-29"}),AGYW!$D:$D,$D197))),""),"")</f>
        <v/>
      </c>
      <c r="J197" s="10" t="n">
        <v>1</v>
      </c>
      <c r="K197" s="10"/>
      <c r="L197" s="39" t="str">
        <f aca="false">IF(SUM($K197)=0,"",$K197)</f>
        <v/>
      </c>
      <c r="M197" s="10"/>
      <c r="N197" s="10"/>
      <c r="O197" s="39" t="str">
        <f aca="false">IF(SUM($N197)=0,"",$N197)</f>
        <v/>
      </c>
      <c r="P197" s="10" t="n">
        <f aca="false">2</f>
        <v>2</v>
      </c>
      <c r="Q197" s="39" t="str">
        <f aca="false">IF(SUM($O197)=0,"",$O197*$P197)</f>
        <v/>
      </c>
    </row>
    <row r="198" customFormat="false" ht="15" hidden="false" customHeight="false" outlineLevel="0" collapsed="false">
      <c r="A198" s="0" t="str">
        <f aca="false">INDEX(Prioritization!$D:$D,MATCH($B198,Prioritization!$A:$A,0))</f>
        <v>INVALID</v>
      </c>
      <c r="B198" s="0" t="s">
        <v>216</v>
      </c>
      <c r="C198" s="0" t="s">
        <v>368</v>
      </c>
      <c r="D198" s="0" t="s">
        <v>48</v>
      </c>
      <c r="E198" s="0" t="str">
        <f aca="false">B198&amp;"|"&amp;C198&amp;"|"&amp;D198</f>
        <v>Mulanje District [umc2n1Z4wNv]|50+|Male</v>
      </c>
      <c r="F198" s="10" t="str">
        <f aca="false">IF(LEFT($B198,4)="_Mil","",INDEX(Cascade!$U:$U,MATCH($E198,Cascade!$E:$E,0)))</f>
        <v/>
      </c>
      <c r="G198" s="10" t="str">
        <f aca="false">IFERROR(1/(1/INDEX(HTS!$AT:$AT,MATCH($E198,HTS!$E:$E,0))),"")</f>
        <v/>
      </c>
      <c r="H198" s="10" t="str">
        <f aca="false">IF(OR($C198="15-24",$C198="25-34"),IFERROR(1/(1/SUM(SUMIFS(AGYW!$S:$S,AGYW!$B:$B,$B198,AGYW!$C:$C,IF($C198="15-24",{"15-19","20-24"},{"25-29"}),AGYW!$D:$D,$D198))),""),"")</f>
        <v/>
      </c>
      <c r="I198" s="10" t="str">
        <f aca="false">IF(OR($C198="15-24",$C198="25-34"),IFERROR(1/(1/SUM(SUMIFS(AGYW!$T:$T,AGYW!$B:$B,$B198,AGYW!$C:$C,IF($C198="15-24",{"15-19","20-24"},{"25-29"}),AGYW!$D:$D,$D198))),""),"")</f>
        <v/>
      </c>
      <c r="J198" s="10"/>
      <c r="K198" s="10"/>
      <c r="L198" s="39" t="str">
        <f aca="false">IF(SUM($K198)=0,"",$K198)</f>
        <v/>
      </c>
      <c r="M198" s="10"/>
      <c r="N198" s="10"/>
      <c r="O198" s="39" t="str">
        <f aca="false">IF(SUM($N198)=0,"",$N198)</f>
        <v/>
      </c>
      <c r="P198" s="10" t="n">
        <f aca="false">2</f>
        <v>2</v>
      </c>
      <c r="Q198" s="39" t="str">
        <f aca="false">IF(SUM($O198)=0,"",$O198*$P198)</f>
        <v/>
      </c>
    </row>
    <row r="199" customFormat="false" ht="15" hidden="false" customHeight="false" outlineLevel="0" collapsed="false">
      <c r="A199" s="0" t="str">
        <f aca="false">INDEX(Prioritization!$D:$D,MATCH($B199,Prioritization!$A:$A,0))</f>
        <v>INVALID</v>
      </c>
      <c r="B199" s="0" t="s">
        <v>217</v>
      </c>
      <c r="C199" s="0" t="s">
        <v>365</v>
      </c>
      <c r="D199" s="0" t="s">
        <v>30</v>
      </c>
      <c r="E199" s="0" t="str">
        <f aca="false">B199&amp;"|"&amp;C199&amp;"|"&amp;D199</f>
        <v>Mwanza District [wNqJp8oRIcF]|15-24|Female</v>
      </c>
      <c r="F199" s="10" t="str">
        <f aca="false">IF(LEFT($B199,4)="_Mil","",INDEX(Cascade!$U:$U,MATCH($E199,Cascade!$E:$E,0)))</f>
        <v/>
      </c>
      <c r="G199" s="10" t="str">
        <f aca="false">IFERROR(1/(1/INDEX(HTS!$AT:$AT,MATCH($E199,HTS!$E:$E,0))),"")</f>
        <v/>
      </c>
      <c r="H199" s="10" t="str">
        <f aca="false">IF(OR($C199="15-24",$C199="25-34"),IFERROR(1/(1/SUM(SUMIFS(AGYW!$S:$S,AGYW!$B:$B,$B199,AGYW!$C:$C,IF($C199="15-24",{"15-19","20-24"},{"25-29"}),AGYW!$D:$D,$D199))),""),"")</f>
        <v/>
      </c>
      <c r="I199" s="10" t="str">
        <f aca="false">IF(OR($C199="15-24",$C199="25-34"),IFERROR(1/(1/SUM(SUMIFS(AGYW!$T:$T,AGYW!$B:$B,$B199,AGYW!$C:$C,IF($C199="15-24",{"15-19","20-24"},{"25-29"}),AGYW!$D:$D,$D199))),""),"")</f>
        <v/>
      </c>
      <c r="J199" s="10"/>
      <c r="K199" s="10"/>
      <c r="L199" s="39" t="str">
        <f aca="false">IF(SUM($K199)=0,"",$K199)</f>
        <v/>
      </c>
      <c r="M199" s="10"/>
      <c r="N199" s="10"/>
      <c r="O199" s="39" t="str">
        <f aca="false">IF(SUM($N199)=0,"",$N199)</f>
        <v/>
      </c>
      <c r="P199" s="10" t="n">
        <f aca="false">2</f>
        <v>2</v>
      </c>
      <c r="Q199" s="39" t="str">
        <f aca="false">IF(SUM($O199)=0,"",$O199*$P199)</f>
        <v/>
      </c>
    </row>
    <row r="200" customFormat="false" ht="15" hidden="false" customHeight="false" outlineLevel="0" collapsed="false">
      <c r="A200" s="0" t="str">
        <f aca="false">INDEX(Prioritization!$D:$D,MATCH($B200,Prioritization!$A:$A,0))</f>
        <v>INVALID</v>
      </c>
      <c r="B200" s="0" t="s">
        <v>217</v>
      </c>
      <c r="C200" s="0" t="s">
        <v>365</v>
      </c>
      <c r="D200" s="0" t="s">
        <v>48</v>
      </c>
      <c r="E200" s="0" t="str">
        <f aca="false">B200&amp;"|"&amp;C200&amp;"|"&amp;D200</f>
        <v>Mwanza District [wNqJp8oRIcF]|15-24|Male</v>
      </c>
      <c r="F200" s="10" t="str">
        <f aca="false">IF(LEFT($B200,4)="_Mil","",INDEX(Cascade!$U:$U,MATCH($E200,Cascade!$E:$E,0)))</f>
        <v/>
      </c>
      <c r="G200" s="10" t="str">
        <f aca="false">IFERROR(1/(1/INDEX(HTS!$AT:$AT,MATCH($E200,HTS!$E:$E,0))),"")</f>
        <v/>
      </c>
      <c r="H200" s="10" t="str">
        <f aca="false">IF(OR($C200="15-24",$C200="25-34"),IFERROR(1/(1/SUM(SUMIFS(AGYW!$S:$S,AGYW!$B:$B,$B200,AGYW!$C:$C,IF($C200="15-24",{"15-19","20-24"},{"25-29"}),AGYW!$D:$D,$D200))),""),"")</f>
        <v/>
      </c>
      <c r="I200" s="10" t="str">
        <f aca="false">IF(OR($C200="15-24",$C200="25-34"),IFERROR(1/(1/SUM(SUMIFS(AGYW!$T:$T,AGYW!$B:$B,$B200,AGYW!$C:$C,IF($C200="15-24",{"15-19","20-24"},{"25-29"}),AGYW!$D:$D,$D200))),""),"")</f>
        <v/>
      </c>
      <c r="J200" s="10"/>
      <c r="K200" s="10"/>
      <c r="L200" s="39" t="str">
        <f aca="false">IF(SUM($K200)=0,"",$K200)</f>
        <v/>
      </c>
      <c r="M200" s="10"/>
      <c r="N200" s="10"/>
      <c r="O200" s="39" t="str">
        <f aca="false">IF(SUM($N200)=0,"",$N200)</f>
        <v/>
      </c>
      <c r="P200" s="10" t="n">
        <f aca="false">2</f>
        <v>2</v>
      </c>
      <c r="Q200" s="39" t="str">
        <f aca="false">IF(SUM($O200)=0,"",$O200*$P200)</f>
        <v/>
      </c>
    </row>
    <row r="201" customFormat="false" ht="15" hidden="false" customHeight="false" outlineLevel="0" collapsed="false">
      <c r="A201" s="0" t="str">
        <f aca="false">INDEX(Prioritization!$D:$D,MATCH($B201,Prioritization!$A:$A,0))</f>
        <v>INVALID</v>
      </c>
      <c r="B201" s="0" t="s">
        <v>217</v>
      </c>
      <c r="C201" s="0" t="s">
        <v>366</v>
      </c>
      <c r="D201" s="0" t="s">
        <v>30</v>
      </c>
      <c r="E201" s="0" t="str">
        <f aca="false">B201&amp;"|"&amp;C201&amp;"|"&amp;D201</f>
        <v>Mwanza District [wNqJp8oRIcF]|25-34|Female</v>
      </c>
      <c r="F201" s="10" t="str">
        <f aca="false">IF(LEFT($B201,4)="_Mil","",INDEX(Cascade!$U:$U,MATCH($E201,Cascade!$E:$E,0)))</f>
        <v/>
      </c>
      <c r="G201" s="10" t="str">
        <f aca="false">IFERROR(1/(1/INDEX(HTS!$AT:$AT,MATCH($E201,HTS!$E:$E,0))),"")</f>
        <v/>
      </c>
      <c r="H201" s="10" t="str">
        <f aca="false">IF(OR($C201="15-24",$C201="25-34"),IFERROR(1/(1/SUM(SUMIFS(AGYW!$S:$S,AGYW!$B:$B,$B201,AGYW!$C:$C,IF($C201="15-24",{"15-19","20-24"},{"25-29"}),AGYW!$D:$D,$D201))),""),"")</f>
        <v/>
      </c>
      <c r="I201" s="10" t="str">
        <f aca="false">IF(OR($C201="15-24",$C201="25-34"),IFERROR(1/(1/SUM(SUMIFS(AGYW!$T:$T,AGYW!$B:$B,$B201,AGYW!$C:$C,IF($C201="15-24",{"15-19","20-24"},{"25-29"}),AGYW!$D:$D,$D201))),""),"")</f>
        <v/>
      </c>
      <c r="J201" s="10"/>
      <c r="K201" s="10"/>
      <c r="L201" s="39" t="str">
        <f aca="false">IF(SUM($K201)=0,"",$K201)</f>
        <v/>
      </c>
      <c r="M201" s="10"/>
      <c r="N201" s="10"/>
      <c r="O201" s="39" t="str">
        <f aca="false">IF(SUM($N201)=0,"",$N201)</f>
        <v/>
      </c>
      <c r="P201" s="10" t="n">
        <f aca="false">2</f>
        <v>2</v>
      </c>
      <c r="Q201" s="39" t="str">
        <f aca="false">IF(SUM($O201)=0,"",$O201*$P201)</f>
        <v/>
      </c>
    </row>
    <row r="202" customFormat="false" ht="15" hidden="false" customHeight="false" outlineLevel="0" collapsed="false">
      <c r="A202" s="0" t="str">
        <f aca="false">INDEX(Prioritization!$D:$D,MATCH($B202,Prioritization!$A:$A,0))</f>
        <v>INVALID</v>
      </c>
      <c r="B202" s="0" t="s">
        <v>217</v>
      </c>
      <c r="C202" s="0" t="s">
        <v>366</v>
      </c>
      <c r="D202" s="0" t="s">
        <v>48</v>
      </c>
      <c r="E202" s="0" t="str">
        <f aca="false">B202&amp;"|"&amp;C202&amp;"|"&amp;D202</f>
        <v>Mwanza District [wNqJp8oRIcF]|25-34|Male</v>
      </c>
      <c r="F202" s="10" t="str">
        <f aca="false">IF(LEFT($B202,4)="_Mil","",INDEX(Cascade!$U:$U,MATCH($E202,Cascade!$E:$E,0)))</f>
        <v/>
      </c>
      <c r="G202" s="10" t="str">
        <f aca="false">IFERROR(1/(1/INDEX(HTS!$AT:$AT,MATCH($E202,HTS!$E:$E,0))),"")</f>
        <v/>
      </c>
      <c r="H202" s="10" t="str">
        <f aca="false">IF(OR($C202="15-24",$C202="25-34"),IFERROR(1/(1/SUM(SUMIFS(AGYW!$S:$S,AGYW!$B:$B,$B202,AGYW!$C:$C,IF($C202="15-24",{"15-19","20-24"},{"25-29"}),AGYW!$D:$D,$D202))),""),"")</f>
        <v/>
      </c>
      <c r="I202" s="10" t="str">
        <f aca="false">IF(OR($C202="15-24",$C202="25-34"),IFERROR(1/(1/SUM(SUMIFS(AGYW!$T:$T,AGYW!$B:$B,$B202,AGYW!$C:$C,IF($C202="15-24",{"15-19","20-24"},{"25-29"}),AGYW!$D:$D,$D202))),""),"")</f>
        <v/>
      </c>
      <c r="J202" s="10"/>
      <c r="K202" s="10"/>
      <c r="L202" s="39" t="str">
        <f aca="false">IF(SUM($K202)=0,"",$K202)</f>
        <v/>
      </c>
      <c r="M202" s="10"/>
      <c r="N202" s="10"/>
      <c r="O202" s="39" t="str">
        <f aca="false">IF(SUM($N202)=0,"",$N202)</f>
        <v/>
      </c>
      <c r="P202" s="10" t="n">
        <f aca="false">2</f>
        <v>2</v>
      </c>
      <c r="Q202" s="39" t="str">
        <f aca="false">IF(SUM($O202)=0,"",$O202*$P202)</f>
        <v/>
      </c>
    </row>
    <row r="203" customFormat="false" ht="15" hidden="false" customHeight="false" outlineLevel="0" collapsed="false">
      <c r="A203" s="0" t="str">
        <f aca="false">INDEX(Prioritization!$D:$D,MATCH($B203,Prioritization!$A:$A,0))</f>
        <v>INVALID</v>
      </c>
      <c r="B203" s="0" t="s">
        <v>217</v>
      </c>
      <c r="C203" s="0" t="s">
        <v>367</v>
      </c>
      <c r="D203" s="0" t="s">
        <v>30</v>
      </c>
      <c r="E203" s="0" t="str">
        <f aca="false">B203&amp;"|"&amp;C203&amp;"|"&amp;D203</f>
        <v>Mwanza District [wNqJp8oRIcF]|35-49|Female</v>
      </c>
      <c r="F203" s="10" t="str">
        <f aca="false">IF(LEFT($B203,4)="_Mil","",INDEX(Cascade!$U:$U,MATCH($E203,Cascade!$E:$E,0)))</f>
        <v/>
      </c>
      <c r="G203" s="10" t="str">
        <f aca="false">IFERROR(1/(1/INDEX(HTS!$AT:$AT,MATCH($E203,HTS!$E:$E,0))),"")</f>
        <v/>
      </c>
      <c r="H203" s="10" t="str">
        <f aca="false">IF(OR($C203="15-24",$C203="25-34"),IFERROR(1/(1/SUM(SUMIFS(AGYW!$S:$S,AGYW!$B:$B,$B203,AGYW!$C:$C,IF($C203="15-24",{"15-19","20-24"},{"25-29"}),AGYW!$D:$D,$D203))),""),"")</f>
        <v/>
      </c>
      <c r="I203" s="10" t="str">
        <f aca="false">IF(OR($C203="15-24",$C203="25-34"),IFERROR(1/(1/SUM(SUMIFS(AGYW!$T:$T,AGYW!$B:$B,$B203,AGYW!$C:$C,IF($C203="15-24",{"15-19","20-24"},{"25-29"}),AGYW!$D:$D,$D203))),""),"")</f>
        <v/>
      </c>
      <c r="J203" s="10"/>
      <c r="K203" s="10"/>
      <c r="L203" s="39" t="str">
        <f aca="false">IF(SUM($K203)=0,"",$K203)</f>
        <v/>
      </c>
      <c r="M203" s="10"/>
      <c r="N203" s="10"/>
      <c r="O203" s="39" t="str">
        <f aca="false">IF(SUM($N203)=0,"",$N203)</f>
        <v/>
      </c>
      <c r="P203" s="10" t="n">
        <f aca="false">2</f>
        <v>2</v>
      </c>
      <c r="Q203" s="39" t="str">
        <f aca="false">IF(SUM($O203)=0,"",$O203*$P203)</f>
        <v/>
      </c>
    </row>
    <row r="204" customFormat="false" ht="15" hidden="false" customHeight="false" outlineLevel="0" collapsed="false">
      <c r="A204" s="0" t="str">
        <f aca="false">INDEX(Prioritization!$D:$D,MATCH($B204,Prioritization!$A:$A,0))</f>
        <v>INVALID</v>
      </c>
      <c r="B204" s="0" t="s">
        <v>217</v>
      </c>
      <c r="C204" s="0" t="s">
        <v>367</v>
      </c>
      <c r="D204" s="0" t="s">
        <v>48</v>
      </c>
      <c r="E204" s="0" t="str">
        <f aca="false">B204&amp;"|"&amp;C204&amp;"|"&amp;D204</f>
        <v>Mwanza District [wNqJp8oRIcF]|35-49|Male</v>
      </c>
      <c r="F204" s="10" t="str">
        <f aca="false">IF(LEFT($B204,4)="_Mil","",INDEX(Cascade!$U:$U,MATCH($E204,Cascade!$E:$E,0)))</f>
        <v/>
      </c>
      <c r="G204" s="10" t="str">
        <f aca="false">IFERROR(1/(1/INDEX(HTS!$AT:$AT,MATCH($E204,HTS!$E:$E,0))),"")</f>
        <v/>
      </c>
      <c r="H204" s="10" t="str">
        <f aca="false">IF(OR($C204="15-24",$C204="25-34"),IFERROR(1/(1/SUM(SUMIFS(AGYW!$S:$S,AGYW!$B:$B,$B204,AGYW!$C:$C,IF($C204="15-24",{"15-19","20-24"},{"25-29"}),AGYW!$D:$D,$D204))),""),"")</f>
        <v/>
      </c>
      <c r="I204" s="10" t="str">
        <f aca="false">IF(OR($C204="15-24",$C204="25-34"),IFERROR(1/(1/SUM(SUMIFS(AGYW!$T:$T,AGYW!$B:$B,$B204,AGYW!$C:$C,IF($C204="15-24",{"15-19","20-24"},{"25-29"}),AGYW!$D:$D,$D204))),""),"")</f>
        <v/>
      </c>
      <c r="J204" s="10"/>
      <c r="K204" s="10"/>
      <c r="L204" s="39" t="str">
        <f aca="false">IF(SUM($K204)=0,"",$K204)</f>
        <v/>
      </c>
      <c r="M204" s="10"/>
      <c r="N204" s="10"/>
      <c r="O204" s="39" t="str">
        <f aca="false">IF(SUM($N204)=0,"",$N204)</f>
        <v/>
      </c>
      <c r="P204" s="10" t="n">
        <f aca="false">2</f>
        <v>2</v>
      </c>
      <c r="Q204" s="39" t="str">
        <f aca="false">IF(SUM($O204)=0,"",$O204*$P204)</f>
        <v/>
      </c>
    </row>
    <row r="205" customFormat="false" ht="15" hidden="false" customHeight="false" outlineLevel="0" collapsed="false">
      <c r="A205" s="0" t="str">
        <f aca="false">INDEX(Prioritization!$D:$D,MATCH($B205,Prioritization!$A:$A,0))</f>
        <v>INVALID</v>
      </c>
      <c r="B205" s="0" t="s">
        <v>217</v>
      </c>
      <c r="C205" s="0" t="s">
        <v>368</v>
      </c>
      <c r="D205" s="0" t="s">
        <v>30</v>
      </c>
      <c r="E205" s="0" t="str">
        <f aca="false">B205&amp;"|"&amp;C205&amp;"|"&amp;D205</f>
        <v>Mwanza District [wNqJp8oRIcF]|50+|Female</v>
      </c>
      <c r="F205" s="10" t="str">
        <f aca="false">IF(LEFT($B205,4)="_Mil","",INDEX(Cascade!$U:$U,MATCH($E205,Cascade!$E:$E,0)))</f>
        <v/>
      </c>
      <c r="G205" s="10" t="str">
        <f aca="false">IFERROR(1/(1/INDEX(HTS!$AT:$AT,MATCH($E205,HTS!$E:$E,0))),"")</f>
        <v/>
      </c>
      <c r="H205" s="10" t="str">
        <f aca="false">IF(OR($C205="15-24",$C205="25-34"),IFERROR(1/(1/SUM(SUMIFS(AGYW!$S:$S,AGYW!$B:$B,$B205,AGYW!$C:$C,IF($C205="15-24",{"15-19","20-24"},{"25-29"}),AGYW!$D:$D,$D205))),""),"")</f>
        <v/>
      </c>
      <c r="I205" s="10" t="str">
        <f aca="false">IF(OR($C205="15-24",$C205="25-34"),IFERROR(1/(1/SUM(SUMIFS(AGYW!$T:$T,AGYW!$B:$B,$B205,AGYW!$C:$C,IF($C205="15-24",{"15-19","20-24"},{"25-29"}),AGYW!$D:$D,$D205))),""),"")</f>
        <v/>
      </c>
      <c r="J205" s="10" t="n">
        <v>1</v>
      </c>
      <c r="K205" s="10" t="n">
        <v>1</v>
      </c>
      <c r="L205" s="39" t="n">
        <f aca="false">IF(SUM($K205)=0,"",$K205)</f>
        <v>1</v>
      </c>
      <c r="M205" s="10"/>
      <c r="N205" s="10"/>
      <c r="O205" s="39" t="str">
        <f aca="false">IF(SUM($N205)=0,"",$N205)</f>
        <v/>
      </c>
      <c r="P205" s="10" t="n">
        <f aca="false">2</f>
        <v>2</v>
      </c>
      <c r="Q205" s="39" t="str">
        <f aca="false">IF(SUM($O205)=0,"",$O205*$P205)</f>
        <v/>
      </c>
    </row>
    <row r="206" customFormat="false" ht="15" hidden="false" customHeight="false" outlineLevel="0" collapsed="false">
      <c r="A206" s="0" t="str">
        <f aca="false">INDEX(Prioritization!$D:$D,MATCH($B206,Prioritization!$A:$A,0))</f>
        <v>INVALID</v>
      </c>
      <c r="B206" s="0" t="s">
        <v>217</v>
      </c>
      <c r="C206" s="0" t="s">
        <v>368</v>
      </c>
      <c r="D206" s="0" t="s">
        <v>48</v>
      </c>
      <c r="E206" s="0" t="str">
        <f aca="false">B206&amp;"|"&amp;C206&amp;"|"&amp;D206</f>
        <v>Mwanza District [wNqJp8oRIcF]|50+|Male</v>
      </c>
      <c r="F206" s="10" t="str">
        <f aca="false">IF(LEFT($B206,4)="_Mil","",INDEX(Cascade!$U:$U,MATCH($E206,Cascade!$E:$E,0)))</f>
        <v/>
      </c>
      <c r="G206" s="10" t="str">
        <f aca="false">IFERROR(1/(1/INDEX(HTS!$AT:$AT,MATCH($E206,HTS!$E:$E,0))),"")</f>
        <v/>
      </c>
      <c r="H206" s="10" t="str">
        <f aca="false">IF(OR($C206="15-24",$C206="25-34"),IFERROR(1/(1/SUM(SUMIFS(AGYW!$S:$S,AGYW!$B:$B,$B206,AGYW!$C:$C,IF($C206="15-24",{"15-19","20-24"},{"25-29"}),AGYW!$D:$D,$D206))),""),"")</f>
        <v/>
      </c>
      <c r="I206" s="10" t="str">
        <f aca="false">IF(OR($C206="15-24",$C206="25-34"),IFERROR(1/(1/SUM(SUMIFS(AGYW!$T:$T,AGYW!$B:$B,$B206,AGYW!$C:$C,IF($C206="15-24",{"15-19","20-24"},{"25-29"}),AGYW!$D:$D,$D206))),""),"")</f>
        <v/>
      </c>
      <c r="J206" s="10" t="n">
        <v>1</v>
      </c>
      <c r="K206" s="10" t="n">
        <v>1</v>
      </c>
      <c r="L206" s="39" t="n">
        <f aca="false">IF(SUM($K206)=0,"",$K206)</f>
        <v>1</v>
      </c>
      <c r="M206" s="10"/>
      <c r="N206" s="10"/>
      <c r="O206" s="39" t="str">
        <f aca="false">IF(SUM($N206)=0,"",$N206)</f>
        <v/>
      </c>
      <c r="P206" s="10" t="n">
        <f aca="false">2</f>
        <v>2</v>
      </c>
      <c r="Q206" s="39" t="str">
        <f aca="false">IF(SUM($O206)=0,"",$O206*$P206)</f>
        <v/>
      </c>
    </row>
    <row r="207" customFormat="false" ht="15" hidden="false" customHeight="false" outlineLevel="0" collapsed="false">
      <c r="A207" s="0" t="str">
        <f aca="false">INDEX(Prioritization!$D:$D,MATCH($B207,Prioritization!$A:$A,0))</f>
        <v>INVALID</v>
      </c>
      <c r="B207" s="0" t="s">
        <v>218</v>
      </c>
      <c r="C207" s="0" t="s">
        <v>365</v>
      </c>
      <c r="D207" s="0" t="s">
        <v>30</v>
      </c>
      <c r="E207" s="0" t="str">
        <f aca="false">B207&amp;"|"&amp;C207&amp;"|"&amp;D207</f>
        <v>Neno District [gwVYinjBAe9]|15-24|Female</v>
      </c>
      <c r="F207" s="10" t="str">
        <f aca="false">IF(LEFT($B207,4)="_Mil","",INDEX(Cascade!$U:$U,MATCH($E207,Cascade!$E:$E,0)))</f>
        <v/>
      </c>
      <c r="G207" s="10" t="str">
        <f aca="false">IFERROR(1/(1/INDEX(HTS!$AT:$AT,MATCH($E207,HTS!$E:$E,0))),"")</f>
        <v/>
      </c>
      <c r="H207" s="10" t="str">
        <f aca="false">IF(OR($C207="15-24",$C207="25-34"),IFERROR(1/(1/SUM(SUMIFS(AGYW!$S:$S,AGYW!$B:$B,$B207,AGYW!$C:$C,IF($C207="15-24",{"15-19","20-24"},{"25-29"}),AGYW!$D:$D,$D207))),""),"")</f>
        <v/>
      </c>
      <c r="I207" s="10" t="str">
        <f aca="false">IF(OR($C207="15-24",$C207="25-34"),IFERROR(1/(1/SUM(SUMIFS(AGYW!$T:$T,AGYW!$B:$B,$B207,AGYW!$C:$C,IF($C207="15-24",{"15-19","20-24"},{"25-29"}),AGYW!$D:$D,$D207))),""),"")</f>
        <v/>
      </c>
      <c r="J207" s="10"/>
      <c r="K207" s="10"/>
      <c r="L207" s="39" t="str">
        <f aca="false">IF(SUM($K207)=0,"",$K207)</f>
        <v/>
      </c>
      <c r="M207" s="10"/>
      <c r="N207" s="10"/>
      <c r="O207" s="39" t="str">
        <f aca="false">IF(SUM($N207)=0,"",$N207)</f>
        <v/>
      </c>
      <c r="P207" s="10" t="n">
        <f aca="false">2</f>
        <v>2</v>
      </c>
      <c r="Q207" s="39" t="str">
        <f aca="false">IF(SUM($O207)=0,"",$O207*$P207)</f>
        <v/>
      </c>
    </row>
    <row r="208" customFormat="false" ht="15" hidden="false" customHeight="false" outlineLevel="0" collapsed="false">
      <c r="A208" s="0" t="str">
        <f aca="false">INDEX(Prioritization!$D:$D,MATCH($B208,Prioritization!$A:$A,0))</f>
        <v>INVALID</v>
      </c>
      <c r="B208" s="0" t="s">
        <v>218</v>
      </c>
      <c r="C208" s="0" t="s">
        <v>365</v>
      </c>
      <c r="D208" s="0" t="s">
        <v>48</v>
      </c>
      <c r="E208" s="0" t="str">
        <f aca="false">B208&amp;"|"&amp;C208&amp;"|"&amp;D208</f>
        <v>Neno District [gwVYinjBAe9]|15-24|Male</v>
      </c>
      <c r="F208" s="10" t="str">
        <f aca="false">IF(LEFT($B208,4)="_Mil","",INDEX(Cascade!$U:$U,MATCH($E208,Cascade!$E:$E,0)))</f>
        <v/>
      </c>
      <c r="G208" s="10" t="str">
        <f aca="false">IFERROR(1/(1/INDEX(HTS!$AT:$AT,MATCH($E208,HTS!$E:$E,0))),"")</f>
        <v/>
      </c>
      <c r="H208" s="10" t="str">
        <f aca="false">IF(OR($C208="15-24",$C208="25-34"),IFERROR(1/(1/SUM(SUMIFS(AGYW!$S:$S,AGYW!$B:$B,$B208,AGYW!$C:$C,IF($C208="15-24",{"15-19","20-24"},{"25-29"}),AGYW!$D:$D,$D208))),""),"")</f>
        <v/>
      </c>
      <c r="I208" s="10" t="str">
        <f aca="false">IF(OR($C208="15-24",$C208="25-34"),IFERROR(1/(1/SUM(SUMIFS(AGYW!$T:$T,AGYW!$B:$B,$B208,AGYW!$C:$C,IF($C208="15-24",{"15-19","20-24"},{"25-29"}),AGYW!$D:$D,$D208))),""),"")</f>
        <v/>
      </c>
      <c r="J208" s="10"/>
      <c r="K208" s="10"/>
      <c r="L208" s="39" t="str">
        <f aca="false">IF(SUM($K208)=0,"",$K208)</f>
        <v/>
      </c>
      <c r="M208" s="10"/>
      <c r="N208" s="10"/>
      <c r="O208" s="39" t="str">
        <f aca="false">IF(SUM($N208)=0,"",$N208)</f>
        <v/>
      </c>
      <c r="P208" s="10" t="n">
        <f aca="false">2</f>
        <v>2</v>
      </c>
      <c r="Q208" s="39" t="str">
        <f aca="false">IF(SUM($O208)=0,"",$O208*$P208)</f>
        <v/>
      </c>
    </row>
    <row r="209" customFormat="false" ht="15" hidden="false" customHeight="false" outlineLevel="0" collapsed="false">
      <c r="A209" s="0" t="str">
        <f aca="false">INDEX(Prioritization!$D:$D,MATCH($B209,Prioritization!$A:$A,0))</f>
        <v>INVALID</v>
      </c>
      <c r="B209" s="0" t="s">
        <v>218</v>
      </c>
      <c r="C209" s="0" t="s">
        <v>366</v>
      </c>
      <c r="D209" s="0" t="s">
        <v>30</v>
      </c>
      <c r="E209" s="0" t="str">
        <f aca="false">B209&amp;"|"&amp;C209&amp;"|"&amp;D209</f>
        <v>Neno District [gwVYinjBAe9]|25-34|Female</v>
      </c>
      <c r="F209" s="10" t="str">
        <f aca="false">IF(LEFT($B209,4)="_Mil","",INDEX(Cascade!$U:$U,MATCH($E209,Cascade!$E:$E,0)))</f>
        <v/>
      </c>
      <c r="G209" s="10" t="str">
        <f aca="false">IFERROR(1/(1/INDEX(HTS!$AT:$AT,MATCH($E209,HTS!$E:$E,0))),"")</f>
        <v/>
      </c>
      <c r="H209" s="10" t="str">
        <f aca="false">IF(OR($C209="15-24",$C209="25-34"),IFERROR(1/(1/SUM(SUMIFS(AGYW!$S:$S,AGYW!$B:$B,$B209,AGYW!$C:$C,IF($C209="15-24",{"15-19","20-24"},{"25-29"}),AGYW!$D:$D,$D209))),""),"")</f>
        <v/>
      </c>
      <c r="I209" s="10" t="str">
        <f aca="false">IF(OR($C209="15-24",$C209="25-34"),IFERROR(1/(1/SUM(SUMIFS(AGYW!$T:$T,AGYW!$B:$B,$B209,AGYW!$C:$C,IF($C209="15-24",{"15-19","20-24"},{"25-29"}),AGYW!$D:$D,$D209))),""),"")</f>
        <v/>
      </c>
      <c r="J209" s="10"/>
      <c r="K209" s="10"/>
      <c r="L209" s="39" t="str">
        <f aca="false">IF(SUM($K209)=0,"",$K209)</f>
        <v/>
      </c>
      <c r="M209" s="10"/>
      <c r="N209" s="10"/>
      <c r="O209" s="39" t="str">
        <f aca="false">IF(SUM($N209)=0,"",$N209)</f>
        <v/>
      </c>
      <c r="P209" s="10" t="n">
        <f aca="false">2</f>
        <v>2</v>
      </c>
      <c r="Q209" s="39" t="str">
        <f aca="false">IF(SUM($O209)=0,"",$O209*$P209)</f>
        <v/>
      </c>
    </row>
    <row r="210" customFormat="false" ht="15" hidden="false" customHeight="false" outlineLevel="0" collapsed="false">
      <c r="A210" s="0" t="str">
        <f aca="false">INDEX(Prioritization!$D:$D,MATCH($B210,Prioritization!$A:$A,0))</f>
        <v>INVALID</v>
      </c>
      <c r="B210" s="0" t="s">
        <v>218</v>
      </c>
      <c r="C210" s="0" t="s">
        <v>366</v>
      </c>
      <c r="D210" s="0" t="s">
        <v>48</v>
      </c>
      <c r="E210" s="0" t="str">
        <f aca="false">B210&amp;"|"&amp;C210&amp;"|"&amp;D210</f>
        <v>Neno District [gwVYinjBAe9]|25-34|Male</v>
      </c>
      <c r="F210" s="10" t="str">
        <f aca="false">IF(LEFT($B210,4)="_Mil","",INDEX(Cascade!$U:$U,MATCH($E210,Cascade!$E:$E,0)))</f>
        <v/>
      </c>
      <c r="G210" s="10" t="str">
        <f aca="false">IFERROR(1/(1/INDEX(HTS!$AT:$AT,MATCH($E210,HTS!$E:$E,0))),"")</f>
        <v/>
      </c>
      <c r="H210" s="10" t="str">
        <f aca="false">IF(OR($C210="15-24",$C210="25-34"),IFERROR(1/(1/SUM(SUMIFS(AGYW!$S:$S,AGYW!$B:$B,$B210,AGYW!$C:$C,IF($C210="15-24",{"15-19","20-24"},{"25-29"}),AGYW!$D:$D,$D210))),""),"")</f>
        <v/>
      </c>
      <c r="I210" s="10" t="str">
        <f aca="false">IF(OR($C210="15-24",$C210="25-34"),IFERROR(1/(1/SUM(SUMIFS(AGYW!$T:$T,AGYW!$B:$B,$B210,AGYW!$C:$C,IF($C210="15-24",{"15-19","20-24"},{"25-29"}),AGYW!$D:$D,$D210))),""),"")</f>
        <v/>
      </c>
      <c r="J210" s="10"/>
      <c r="K210" s="10"/>
      <c r="L210" s="39" t="str">
        <f aca="false">IF(SUM($K210)=0,"",$K210)</f>
        <v/>
      </c>
      <c r="M210" s="10"/>
      <c r="N210" s="10"/>
      <c r="O210" s="39" t="str">
        <f aca="false">IF(SUM($N210)=0,"",$N210)</f>
        <v/>
      </c>
      <c r="P210" s="10" t="n">
        <f aca="false">2</f>
        <v>2</v>
      </c>
      <c r="Q210" s="39" t="str">
        <f aca="false">IF(SUM($O210)=0,"",$O210*$P210)</f>
        <v/>
      </c>
    </row>
    <row r="211" customFormat="false" ht="15" hidden="false" customHeight="false" outlineLevel="0" collapsed="false">
      <c r="A211" s="0" t="str">
        <f aca="false">INDEX(Prioritization!$D:$D,MATCH($B211,Prioritization!$A:$A,0))</f>
        <v>INVALID</v>
      </c>
      <c r="B211" s="0" t="s">
        <v>218</v>
      </c>
      <c r="C211" s="0" t="s">
        <v>367</v>
      </c>
      <c r="D211" s="0" t="s">
        <v>30</v>
      </c>
      <c r="E211" s="0" t="str">
        <f aca="false">B211&amp;"|"&amp;C211&amp;"|"&amp;D211</f>
        <v>Neno District [gwVYinjBAe9]|35-49|Female</v>
      </c>
      <c r="F211" s="10" t="str">
        <f aca="false">IF(LEFT($B211,4)="_Mil","",INDEX(Cascade!$U:$U,MATCH($E211,Cascade!$E:$E,0)))</f>
        <v/>
      </c>
      <c r="G211" s="10" t="str">
        <f aca="false">IFERROR(1/(1/INDEX(HTS!$AT:$AT,MATCH($E211,HTS!$E:$E,0))),"")</f>
        <v/>
      </c>
      <c r="H211" s="10" t="str">
        <f aca="false">IF(OR($C211="15-24",$C211="25-34"),IFERROR(1/(1/SUM(SUMIFS(AGYW!$S:$S,AGYW!$B:$B,$B211,AGYW!$C:$C,IF($C211="15-24",{"15-19","20-24"},{"25-29"}),AGYW!$D:$D,$D211))),""),"")</f>
        <v/>
      </c>
      <c r="I211" s="10" t="str">
        <f aca="false">IF(OR($C211="15-24",$C211="25-34"),IFERROR(1/(1/SUM(SUMIFS(AGYW!$T:$T,AGYW!$B:$B,$B211,AGYW!$C:$C,IF($C211="15-24",{"15-19","20-24"},{"25-29"}),AGYW!$D:$D,$D211))),""),"")</f>
        <v/>
      </c>
      <c r="J211" s="10"/>
      <c r="K211" s="10"/>
      <c r="L211" s="39" t="str">
        <f aca="false">IF(SUM($K211)=0,"",$K211)</f>
        <v/>
      </c>
      <c r="M211" s="10"/>
      <c r="N211" s="10"/>
      <c r="O211" s="39" t="str">
        <f aca="false">IF(SUM($N211)=0,"",$N211)</f>
        <v/>
      </c>
      <c r="P211" s="10" t="n">
        <f aca="false">2</f>
        <v>2</v>
      </c>
      <c r="Q211" s="39" t="str">
        <f aca="false">IF(SUM($O211)=0,"",$O211*$P211)</f>
        <v/>
      </c>
    </row>
    <row r="212" customFormat="false" ht="15" hidden="false" customHeight="false" outlineLevel="0" collapsed="false">
      <c r="A212" s="0" t="str">
        <f aca="false">INDEX(Prioritization!$D:$D,MATCH($B212,Prioritization!$A:$A,0))</f>
        <v>INVALID</v>
      </c>
      <c r="B212" s="0" t="s">
        <v>218</v>
      </c>
      <c r="C212" s="0" t="s">
        <v>367</v>
      </c>
      <c r="D212" s="0" t="s">
        <v>48</v>
      </c>
      <c r="E212" s="0" t="str">
        <f aca="false">B212&amp;"|"&amp;C212&amp;"|"&amp;D212</f>
        <v>Neno District [gwVYinjBAe9]|35-49|Male</v>
      </c>
      <c r="F212" s="10" t="str">
        <f aca="false">IF(LEFT($B212,4)="_Mil","",INDEX(Cascade!$U:$U,MATCH($E212,Cascade!$E:$E,0)))</f>
        <v/>
      </c>
      <c r="G212" s="10" t="str">
        <f aca="false">IFERROR(1/(1/INDEX(HTS!$AT:$AT,MATCH($E212,HTS!$E:$E,0))),"")</f>
        <v/>
      </c>
      <c r="H212" s="10" t="str">
        <f aca="false">IF(OR($C212="15-24",$C212="25-34"),IFERROR(1/(1/SUM(SUMIFS(AGYW!$S:$S,AGYW!$B:$B,$B212,AGYW!$C:$C,IF($C212="15-24",{"15-19","20-24"},{"25-29"}),AGYW!$D:$D,$D212))),""),"")</f>
        <v/>
      </c>
      <c r="I212" s="10" t="str">
        <f aca="false">IF(OR($C212="15-24",$C212="25-34"),IFERROR(1/(1/SUM(SUMIFS(AGYW!$T:$T,AGYW!$B:$B,$B212,AGYW!$C:$C,IF($C212="15-24",{"15-19","20-24"},{"25-29"}),AGYW!$D:$D,$D212))),""),"")</f>
        <v/>
      </c>
      <c r="J212" s="10"/>
      <c r="K212" s="10"/>
      <c r="L212" s="39" t="str">
        <f aca="false">IF(SUM($K212)=0,"",$K212)</f>
        <v/>
      </c>
      <c r="M212" s="10"/>
      <c r="N212" s="10"/>
      <c r="O212" s="39" t="str">
        <f aca="false">IF(SUM($N212)=0,"",$N212)</f>
        <v/>
      </c>
      <c r="P212" s="10" t="n">
        <f aca="false">2</f>
        <v>2</v>
      </c>
      <c r="Q212" s="39" t="str">
        <f aca="false">IF(SUM($O212)=0,"",$O212*$P212)</f>
        <v/>
      </c>
    </row>
    <row r="213" customFormat="false" ht="15" hidden="false" customHeight="false" outlineLevel="0" collapsed="false">
      <c r="A213" s="0" t="str">
        <f aca="false">INDEX(Prioritization!$D:$D,MATCH($B213,Prioritization!$A:$A,0))</f>
        <v>INVALID</v>
      </c>
      <c r="B213" s="0" t="s">
        <v>218</v>
      </c>
      <c r="C213" s="0" t="s">
        <v>368</v>
      </c>
      <c r="D213" s="0" t="s">
        <v>30</v>
      </c>
      <c r="E213" s="0" t="str">
        <f aca="false">B213&amp;"|"&amp;C213&amp;"|"&amp;D213</f>
        <v>Neno District [gwVYinjBAe9]|50+|Female</v>
      </c>
      <c r="F213" s="10" t="str">
        <f aca="false">IF(LEFT($B213,4)="_Mil","",INDEX(Cascade!$U:$U,MATCH($E213,Cascade!$E:$E,0)))</f>
        <v/>
      </c>
      <c r="G213" s="10" t="str">
        <f aca="false">IFERROR(1/(1/INDEX(HTS!$AT:$AT,MATCH($E213,HTS!$E:$E,0))),"")</f>
        <v/>
      </c>
      <c r="H213" s="10" t="str">
        <f aca="false">IF(OR($C213="15-24",$C213="25-34"),IFERROR(1/(1/SUM(SUMIFS(AGYW!$S:$S,AGYW!$B:$B,$B213,AGYW!$C:$C,IF($C213="15-24",{"15-19","20-24"},{"25-29"}),AGYW!$D:$D,$D213))),""),"")</f>
        <v/>
      </c>
      <c r="I213" s="10" t="str">
        <f aca="false">IF(OR($C213="15-24",$C213="25-34"),IFERROR(1/(1/SUM(SUMIFS(AGYW!$T:$T,AGYW!$B:$B,$B213,AGYW!$C:$C,IF($C213="15-24",{"15-19","20-24"},{"25-29"}),AGYW!$D:$D,$D213))),""),"")</f>
        <v/>
      </c>
      <c r="J213" s="10"/>
      <c r="K213" s="10"/>
      <c r="L213" s="39" t="str">
        <f aca="false">IF(SUM($K213)=0,"",$K213)</f>
        <v/>
      </c>
      <c r="M213" s="10"/>
      <c r="N213" s="10"/>
      <c r="O213" s="39" t="str">
        <f aca="false">IF(SUM($N213)=0,"",$N213)</f>
        <v/>
      </c>
      <c r="P213" s="10" t="n">
        <f aca="false">2</f>
        <v>2</v>
      </c>
      <c r="Q213" s="39" t="str">
        <f aca="false">IF(SUM($O213)=0,"",$O213*$P213)</f>
        <v/>
      </c>
    </row>
    <row r="214" customFormat="false" ht="15" hidden="false" customHeight="false" outlineLevel="0" collapsed="false">
      <c r="A214" s="0" t="str">
        <f aca="false">INDEX(Prioritization!$D:$D,MATCH($B214,Prioritization!$A:$A,0))</f>
        <v>INVALID</v>
      </c>
      <c r="B214" s="0" t="s">
        <v>218</v>
      </c>
      <c r="C214" s="0" t="s">
        <v>368</v>
      </c>
      <c r="D214" s="0" t="s">
        <v>48</v>
      </c>
      <c r="E214" s="0" t="str">
        <f aca="false">B214&amp;"|"&amp;C214&amp;"|"&amp;D214</f>
        <v>Neno District [gwVYinjBAe9]|50+|Male</v>
      </c>
      <c r="F214" s="10" t="str">
        <f aca="false">IF(LEFT($B214,4)="_Mil","",INDEX(Cascade!$U:$U,MATCH($E214,Cascade!$E:$E,0)))</f>
        <v/>
      </c>
      <c r="G214" s="10" t="str">
        <f aca="false">IFERROR(1/(1/INDEX(HTS!$AT:$AT,MATCH($E214,HTS!$E:$E,0))),"")</f>
        <v/>
      </c>
      <c r="H214" s="10" t="str">
        <f aca="false">IF(OR($C214="15-24",$C214="25-34"),IFERROR(1/(1/SUM(SUMIFS(AGYW!$S:$S,AGYW!$B:$B,$B214,AGYW!$C:$C,IF($C214="15-24",{"15-19","20-24"},{"25-29"}),AGYW!$D:$D,$D214))),""),"")</f>
        <v/>
      </c>
      <c r="I214" s="10" t="str">
        <f aca="false">IF(OR($C214="15-24",$C214="25-34"),IFERROR(1/(1/SUM(SUMIFS(AGYW!$T:$T,AGYW!$B:$B,$B214,AGYW!$C:$C,IF($C214="15-24",{"15-19","20-24"},{"25-29"}),AGYW!$D:$D,$D214))),""),"")</f>
        <v/>
      </c>
      <c r="J214" s="10"/>
      <c r="K214" s="10"/>
      <c r="L214" s="39" t="str">
        <f aca="false">IF(SUM($K214)=0,"",$K214)</f>
        <v/>
      </c>
      <c r="M214" s="10"/>
      <c r="N214" s="10"/>
      <c r="O214" s="39" t="str">
        <f aca="false">IF(SUM($N214)=0,"",$N214)</f>
        <v/>
      </c>
      <c r="P214" s="10" t="n">
        <f aca="false">2</f>
        <v>2</v>
      </c>
      <c r="Q214" s="39" t="str">
        <f aca="false">IF(SUM($O214)=0,"",$O214*$P214)</f>
        <v/>
      </c>
    </row>
    <row r="215" customFormat="false" ht="15" hidden="false" customHeight="false" outlineLevel="0" collapsed="false">
      <c r="A215" s="0" t="str">
        <f aca="false">INDEX(Prioritization!$D:$D,MATCH($B215,Prioritization!$A:$A,0))</f>
        <v>INVALID</v>
      </c>
      <c r="B215" s="0" t="s">
        <v>219</v>
      </c>
      <c r="C215" s="0" t="s">
        <v>365</v>
      </c>
      <c r="D215" s="0" t="s">
        <v>30</v>
      </c>
      <c r="E215" s="0" t="str">
        <f aca="false">B215&amp;"|"&amp;C215&amp;"|"&amp;D215</f>
        <v>Nsanje District [rpw540fmNUz]|15-24|Female</v>
      </c>
      <c r="F215" s="10" t="str">
        <f aca="false">IF(LEFT($B215,4)="_Mil","",INDEX(Cascade!$U:$U,MATCH($E215,Cascade!$E:$E,0)))</f>
        <v/>
      </c>
      <c r="G215" s="10" t="str">
        <f aca="false">IFERROR(1/(1/INDEX(HTS!$AT:$AT,MATCH($E215,HTS!$E:$E,0))),"")</f>
        <v/>
      </c>
      <c r="H215" s="10" t="str">
        <f aca="false">IF(OR($C215="15-24",$C215="25-34"),IFERROR(1/(1/SUM(SUMIFS(AGYW!$S:$S,AGYW!$B:$B,$B215,AGYW!$C:$C,IF($C215="15-24",{"15-19","20-24"},{"25-29"}),AGYW!$D:$D,$D215))),""),"")</f>
        <v/>
      </c>
      <c r="I215" s="10" t="str">
        <f aca="false">IF(OR($C215="15-24",$C215="25-34"),IFERROR(1/(1/SUM(SUMIFS(AGYW!$T:$T,AGYW!$B:$B,$B215,AGYW!$C:$C,IF($C215="15-24",{"15-19","20-24"},{"25-29"}),AGYW!$D:$D,$D215))),""),"")</f>
        <v/>
      </c>
      <c r="J215" s="10"/>
      <c r="K215" s="10"/>
      <c r="L215" s="39" t="str">
        <f aca="false">IF(SUM($K215)=0,"",$K215)</f>
        <v/>
      </c>
      <c r="M215" s="10"/>
      <c r="N215" s="10"/>
      <c r="O215" s="39" t="str">
        <f aca="false">IF(SUM($N215)=0,"",$N215)</f>
        <v/>
      </c>
      <c r="P215" s="10" t="n">
        <f aca="false">2</f>
        <v>2</v>
      </c>
      <c r="Q215" s="39" t="str">
        <f aca="false">IF(SUM($O215)=0,"",$O215*$P215)</f>
        <v/>
      </c>
    </row>
    <row r="216" customFormat="false" ht="15" hidden="false" customHeight="false" outlineLevel="0" collapsed="false">
      <c r="A216" s="0" t="str">
        <f aca="false">INDEX(Prioritization!$D:$D,MATCH($B216,Prioritization!$A:$A,0))</f>
        <v>INVALID</v>
      </c>
      <c r="B216" s="0" t="s">
        <v>219</v>
      </c>
      <c r="C216" s="0" t="s">
        <v>365</v>
      </c>
      <c r="D216" s="0" t="s">
        <v>48</v>
      </c>
      <c r="E216" s="0" t="str">
        <f aca="false">B216&amp;"|"&amp;C216&amp;"|"&amp;D216</f>
        <v>Nsanje District [rpw540fmNUz]|15-24|Male</v>
      </c>
      <c r="F216" s="10" t="str">
        <f aca="false">IF(LEFT($B216,4)="_Mil","",INDEX(Cascade!$U:$U,MATCH($E216,Cascade!$E:$E,0)))</f>
        <v/>
      </c>
      <c r="G216" s="10" t="str">
        <f aca="false">IFERROR(1/(1/INDEX(HTS!$AT:$AT,MATCH($E216,HTS!$E:$E,0))),"")</f>
        <v/>
      </c>
      <c r="H216" s="10" t="str">
        <f aca="false">IF(OR($C216="15-24",$C216="25-34"),IFERROR(1/(1/SUM(SUMIFS(AGYW!$S:$S,AGYW!$B:$B,$B216,AGYW!$C:$C,IF($C216="15-24",{"15-19","20-24"},{"25-29"}),AGYW!$D:$D,$D216))),""),"")</f>
        <v/>
      </c>
      <c r="I216" s="10" t="str">
        <f aca="false">IF(OR($C216="15-24",$C216="25-34"),IFERROR(1/(1/SUM(SUMIFS(AGYW!$T:$T,AGYW!$B:$B,$B216,AGYW!$C:$C,IF($C216="15-24",{"15-19","20-24"},{"25-29"}),AGYW!$D:$D,$D216))),""),"")</f>
        <v/>
      </c>
      <c r="J216" s="10"/>
      <c r="K216" s="10"/>
      <c r="L216" s="39" t="str">
        <f aca="false">IF(SUM($K216)=0,"",$K216)</f>
        <v/>
      </c>
      <c r="M216" s="10"/>
      <c r="N216" s="10"/>
      <c r="O216" s="39" t="str">
        <f aca="false">IF(SUM($N216)=0,"",$N216)</f>
        <v/>
      </c>
      <c r="P216" s="10" t="n">
        <f aca="false">2</f>
        <v>2</v>
      </c>
      <c r="Q216" s="39" t="str">
        <f aca="false">IF(SUM($O216)=0,"",$O216*$P216)</f>
        <v/>
      </c>
    </row>
    <row r="217" customFormat="false" ht="15" hidden="false" customHeight="false" outlineLevel="0" collapsed="false">
      <c r="A217" s="0" t="str">
        <f aca="false">INDEX(Prioritization!$D:$D,MATCH($B217,Prioritization!$A:$A,0))</f>
        <v>INVALID</v>
      </c>
      <c r="B217" s="0" t="s">
        <v>219</v>
      </c>
      <c r="C217" s="0" t="s">
        <v>366</v>
      </c>
      <c r="D217" s="0" t="s">
        <v>30</v>
      </c>
      <c r="E217" s="0" t="str">
        <f aca="false">B217&amp;"|"&amp;C217&amp;"|"&amp;D217</f>
        <v>Nsanje District [rpw540fmNUz]|25-34|Female</v>
      </c>
      <c r="F217" s="10" t="str">
        <f aca="false">IF(LEFT($B217,4)="_Mil","",INDEX(Cascade!$U:$U,MATCH($E217,Cascade!$E:$E,0)))</f>
        <v/>
      </c>
      <c r="G217" s="10" t="str">
        <f aca="false">IFERROR(1/(1/INDEX(HTS!$AT:$AT,MATCH($E217,HTS!$E:$E,0))),"")</f>
        <v/>
      </c>
      <c r="H217" s="10" t="str">
        <f aca="false">IF(OR($C217="15-24",$C217="25-34"),IFERROR(1/(1/SUM(SUMIFS(AGYW!$S:$S,AGYW!$B:$B,$B217,AGYW!$C:$C,IF($C217="15-24",{"15-19","20-24"},{"25-29"}),AGYW!$D:$D,$D217))),""),"")</f>
        <v/>
      </c>
      <c r="I217" s="10" t="str">
        <f aca="false">IF(OR($C217="15-24",$C217="25-34"),IFERROR(1/(1/SUM(SUMIFS(AGYW!$T:$T,AGYW!$B:$B,$B217,AGYW!$C:$C,IF($C217="15-24",{"15-19","20-24"},{"25-29"}),AGYW!$D:$D,$D217))),""),"")</f>
        <v/>
      </c>
      <c r="J217" s="10"/>
      <c r="K217" s="10"/>
      <c r="L217" s="39" t="str">
        <f aca="false">IF(SUM($K217)=0,"",$K217)</f>
        <v/>
      </c>
      <c r="M217" s="10"/>
      <c r="N217" s="10"/>
      <c r="O217" s="39" t="str">
        <f aca="false">IF(SUM($N217)=0,"",$N217)</f>
        <v/>
      </c>
      <c r="P217" s="10" t="n">
        <f aca="false">2</f>
        <v>2</v>
      </c>
      <c r="Q217" s="39" t="str">
        <f aca="false">IF(SUM($O217)=0,"",$O217*$P217)</f>
        <v/>
      </c>
    </row>
    <row r="218" customFormat="false" ht="15" hidden="false" customHeight="false" outlineLevel="0" collapsed="false">
      <c r="A218" s="0" t="str">
        <f aca="false">INDEX(Prioritization!$D:$D,MATCH($B218,Prioritization!$A:$A,0))</f>
        <v>INVALID</v>
      </c>
      <c r="B218" s="0" t="s">
        <v>219</v>
      </c>
      <c r="C218" s="0" t="s">
        <v>366</v>
      </c>
      <c r="D218" s="0" t="s">
        <v>48</v>
      </c>
      <c r="E218" s="0" t="str">
        <f aca="false">B218&amp;"|"&amp;C218&amp;"|"&amp;D218</f>
        <v>Nsanje District [rpw540fmNUz]|25-34|Male</v>
      </c>
      <c r="F218" s="10" t="str">
        <f aca="false">IF(LEFT($B218,4)="_Mil","",INDEX(Cascade!$U:$U,MATCH($E218,Cascade!$E:$E,0)))</f>
        <v/>
      </c>
      <c r="G218" s="10" t="str">
        <f aca="false">IFERROR(1/(1/INDEX(HTS!$AT:$AT,MATCH($E218,HTS!$E:$E,0))),"")</f>
        <v/>
      </c>
      <c r="H218" s="10" t="str">
        <f aca="false">IF(OR($C218="15-24",$C218="25-34"),IFERROR(1/(1/SUM(SUMIFS(AGYW!$S:$S,AGYW!$B:$B,$B218,AGYW!$C:$C,IF($C218="15-24",{"15-19","20-24"},{"25-29"}),AGYW!$D:$D,$D218))),""),"")</f>
        <v/>
      </c>
      <c r="I218" s="10" t="str">
        <f aca="false">IF(OR($C218="15-24",$C218="25-34"),IFERROR(1/(1/SUM(SUMIFS(AGYW!$T:$T,AGYW!$B:$B,$B218,AGYW!$C:$C,IF($C218="15-24",{"15-19","20-24"},{"25-29"}),AGYW!$D:$D,$D218))),""),"")</f>
        <v/>
      </c>
      <c r="J218" s="10"/>
      <c r="K218" s="10"/>
      <c r="L218" s="39" t="str">
        <f aca="false">IF(SUM($K218)=0,"",$K218)</f>
        <v/>
      </c>
      <c r="M218" s="10"/>
      <c r="N218" s="10"/>
      <c r="O218" s="39" t="str">
        <f aca="false">IF(SUM($N218)=0,"",$N218)</f>
        <v/>
      </c>
      <c r="P218" s="10" t="n">
        <f aca="false">2</f>
        <v>2</v>
      </c>
      <c r="Q218" s="39" t="str">
        <f aca="false">IF(SUM($O218)=0,"",$O218*$P218)</f>
        <v/>
      </c>
    </row>
    <row r="219" customFormat="false" ht="15" hidden="false" customHeight="false" outlineLevel="0" collapsed="false">
      <c r="A219" s="0" t="str">
        <f aca="false">INDEX(Prioritization!$D:$D,MATCH($B219,Prioritization!$A:$A,0))</f>
        <v>INVALID</v>
      </c>
      <c r="B219" s="0" t="s">
        <v>219</v>
      </c>
      <c r="C219" s="0" t="s">
        <v>367</v>
      </c>
      <c r="D219" s="0" t="s">
        <v>30</v>
      </c>
      <c r="E219" s="0" t="str">
        <f aca="false">B219&amp;"|"&amp;C219&amp;"|"&amp;D219</f>
        <v>Nsanje District [rpw540fmNUz]|35-49|Female</v>
      </c>
      <c r="F219" s="10" t="str">
        <f aca="false">IF(LEFT($B219,4)="_Mil","",INDEX(Cascade!$U:$U,MATCH($E219,Cascade!$E:$E,0)))</f>
        <v/>
      </c>
      <c r="G219" s="10" t="str">
        <f aca="false">IFERROR(1/(1/INDEX(HTS!$AT:$AT,MATCH($E219,HTS!$E:$E,0))),"")</f>
        <v/>
      </c>
      <c r="H219" s="10" t="str">
        <f aca="false">IF(OR($C219="15-24",$C219="25-34"),IFERROR(1/(1/SUM(SUMIFS(AGYW!$S:$S,AGYW!$B:$B,$B219,AGYW!$C:$C,IF($C219="15-24",{"15-19","20-24"},{"25-29"}),AGYW!$D:$D,$D219))),""),"")</f>
        <v/>
      </c>
      <c r="I219" s="10" t="str">
        <f aca="false">IF(OR($C219="15-24",$C219="25-34"),IFERROR(1/(1/SUM(SUMIFS(AGYW!$T:$T,AGYW!$B:$B,$B219,AGYW!$C:$C,IF($C219="15-24",{"15-19","20-24"},{"25-29"}),AGYW!$D:$D,$D219))),""),"")</f>
        <v/>
      </c>
      <c r="J219" s="10"/>
      <c r="K219" s="10"/>
      <c r="L219" s="39" t="str">
        <f aca="false">IF(SUM($K219)=0,"",$K219)</f>
        <v/>
      </c>
      <c r="M219" s="10"/>
      <c r="N219" s="10"/>
      <c r="O219" s="39" t="str">
        <f aca="false">IF(SUM($N219)=0,"",$N219)</f>
        <v/>
      </c>
      <c r="P219" s="10" t="n">
        <f aca="false">2</f>
        <v>2</v>
      </c>
      <c r="Q219" s="39" t="str">
        <f aca="false">IF(SUM($O219)=0,"",$O219*$P219)</f>
        <v/>
      </c>
    </row>
    <row r="220" customFormat="false" ht="15" hidden="false" customHeight="false" outlineLevel="0" collapsed="false">
      <c r="A220" s="0" t="str">
        <f aca="false">INDEX(Prioritization!$D:$D,MATCH($B220,Prioritization!$A:$A,0))</f>
        <v>INVALID</v>
      </c>
      <c r="B220" s="0" t="s">
        <v>219</v>
      </c>
      <c r="C220" s="0" t="s">
        <v>367</v>
      </c>
      <c r="D220" s="0" t="s">
        <v>48</v>
      </c>
      <c r="E220" s="0" t="str">
        <f aca="false">B220&amp;"|"&amp;C220&amp;"|"&amp;D220</f>
        <v>Nsanje District [rpw540fmNUz]|35-49|Male</v>
      </c>
      <c r="F220" s="10" t="str">
        <f aca="false">IF(LEFT($B220,4)="_Mil","",INDEX(Cascade!$U:$U,MATCH($E220,Cascade!$E:$E,0)))</f>
        <v/>
      </c>
      <c r="G220" s="10" t="str">
        <f aca="false">IFERROR(1/(1/INDEX(HTS!$AT:$AT,MATCH($E220,HTS!$E:$E,0))),"")</f>
        <v/>
      </c>
      <c r="H220" s="10" t="str">
        <f aca="false">IF(OR($C220="15-24",$C220="25-34"),IFERROR(1/(1/SUM(SUMIFS(AGYW!$S:$S,AGYW!$B:$B,$B220,AGYW!$C:$C,IF($C220="15-24",{"15-19","20-24"},{"25-29"}),AGYW!$D:$D,$D220))),""),"")</f>
        <v/>
      </c>
      <c r="I220" s="10" t="str">
        <f aca="false">IF(OR($C220="15-24",$C220="25-34"),IFERROR(1/(1/SUM(SUMIFS(AGYW!$T:$T,AGYW!$B:$B,$B220,AGYW!$C:$C,IF($C220="15-24",{"15-19","20-24"},{"25-29"}),AGYW!$D:$D,$D220))),""),"")</f>
        <v/>
      </c>
      <c r="J220" s="10"/>
      <c r="K220" s="10"/>
      <c r="L220" s="39" t="str">
        <f aca="false">IF(SUM($K220)=0,"",$K220)</f>
        <v/>
      </c>
      <c r="M220" s="10"/>
      <c r="N220" s="10"/>
      <c r="O220" s="39" t="str">
        <f aca="false">IF(SUM($N220)=0,"",$N220)</f>
        <v/>
      </c>
      <c r="P220" s="10" t="n">
        <f aca="false">2</f>
        <v>2</v>
      </c>
      <c r="Q220" s="39" t="str">
        <f aca="false">IF(SUM($O220)=0,"",$O220*$P220)</f>
        <v/>
      </c>
    </row>
    <row r="221" customFormat="false" ht="15" hidden="false" customHeight="false" outlineLevel="0" collapsed="false">
      <c r="A221" s="0" t="str">
        <f aca="false">INDEX(Prioritization!$D:$D,MATCH($B221,Prioritization!$A:$A,0))</f>
        <v>INVALID</v>
      </c>
      <c r="B221" s="0" t="s">
        <v>219</v>
      </c>
      <c r="C221" s="0" t="s">
        <v>368</v>
      </c>
      <c r="D221" s="0" t="s">
        <v>30</v>
      </c>
      <c r="E221" s="0" t="str">
        <f aca="false">B221&amp;"|"&amp;C221&amp;"|"&amp;D221</f>
        <v>Nsanje District [rpw540fmNUz]|50+|Female</v>
      </c>
      <c r="F221" s="10" t="str">
        <f aca="false">IF(LEFT($B221,4)="_Mil","",INDEX(Cascade!$U:$U,MATCH($E221,Cascade!$E:$E,0)))</f>
        <v/>
      </c>
      <c r="G221" s="10" t="str">
        <f aca="false">IFERROR(1/(1/INDEX(HTS!$AT:$AT,MATCH($E221,HTS!$E:$E,0))),"")</f>
        <v/>
      </c>
      <c r="H221" s="10" t="str">
        <f aca="false">IF(OR($C221="15-24",$C221="25-34"),IFERROR(1/(1/SUM(SUMIFS(AGYW!$S:$S,AGYW!$B:$B,$B221,AGYW!$C:$C,IF($C221="15-24",{"15-19","20-24"},{"25-29"}),AGYW!$D:$D,$D221))),""),"")</f>
        <v/>
      </c>
      <c r="I221" s="10" t="str">
        <f aca="false">IF(OR($C221="15-24",$C221="25-34"),IFERROR(1/(1/SUM(SUMIFS(AGYW!$T:$T,AGYW!$B:$B,$B221,AGYW!$C:$C,IF($C221="15-24",{"15-19","20-24"},{"25-29"}),AGYW!$D:$D,$D221))),""),"")</f>
        <v/>
      </c>
      <c r="J221" s="10"/>
      <c r="K221" s="10"/>
      <c r="L221" s="39" t="str">
        <f aca="false">IF(SUM($K221)=0,"",$K221)</f>
        <v/>
      </c>
      <c r="M221" s="10"/>
      <c r="N221" s="10"/>
      <c r="O221" s="39" t="str">
        <f aca="false">IF(SUM($N221)=0,"",$N221)</f>
        <v/>
      </c>
      <c r="P221" s="10" t="n">
        <f aca="false">2</f>
        <v>2</v>
      </c>
      <c r="Q221" s="39" t="str">
        <f aca="false">IF(SUM($O221)=0,"",$O221*$P221)</f>
        <v/>
      </c>
    </row>
    <row r="222" customFormat="false" ht="15" hidden="false" customHeight="false" outlineLevel="0" collapsed="false">
      <c r="A222" s="0" t="str">
        <f aca="false">INDEX(Prioritization!$D:$D,MATCH($B222,Prioritization!$A:$A,0))</f>
        <v>INVALID</v>
      </c>
      <c r="B222" s="0" t="s">
        <v>219</v>
      </c>
      <c r="C222" s="0" t="s">
        <v>368</v>
      </c>
      <c r="D222" s="0" t="s">
        <v>48</v>
      </c>
      <c r="E222" s="0" t="str">
        <f aca="false">B222&amp;"|"&amp;C222&amp;"|"&amp;D222</f>
        <v>Nsanje District [rpw540fmNUz]|50+|Male</v>
      </c>
      <c r="F222" s="10" t="str">
        <f aca="false">IF(LEFT($B222,4)="_Mil","",INDEX(Cascade!$U:$U,MATCH($E222,Cascade!$E:$E,0)))</f>
        <v/>
      </c>
      <c r="G222" s="10" t="str">
        <f aca="false">IFERROR(1/(1/INDEX(HTS!$AT:$AT,MATCH($E222,HTS!$E:$E,0))),"")</f>
        <v/>
      </c>
      <c r="H222" s="10" t="str">
        <f aca="false">IF(OR($C222="15-24",$C222="25-34"),IFERROR(1/(1/SUM(SUMIFS(AGYW!$S:$S,AGYW!$B:$B,$B222,AGYW!$C:$C,IF($C222="15-24",{"15-19","20-24"},{"25-29"}),AGYW!$D:$D,$D222))),""),"")</f>
        <v/>
      </c>
      <c r="I222" s="10" t="str">
        <f aca="false">IF(OR($C222="15-24",$C222="25-34"),IFERROR(1/(1/SUM(SUMIFS(AGYW!$T:$T,AGYW!$B:$B,$B222,AGYW!$C:$C,IF($C222="15-24",{"15-19","20-24"},{"25-29"}),AGYW!$D:$D,$D222))),""),"")</f>
        <v/>
      </c>
      <c r="J222" s="10"/>
      <c r="K222" s="10"/>
      <c r="L222" s="39" t="str">
        <f aca="false">IF(SUM($K222)=0,"",$K222)</f>
        <v/>
      </c>
      <c r="M222" s="10"/>
      <c r="N222" s="10"/>
      <c r="O222" s="39" t="str">
        <f aca="false">IF(SUM($N222)=0,"",$N222)</f>
        <v/>
      </c>
      <c r="P222" s="10" t="n">
        <f aca="false">2</f>
        <v>2</v>
      </c>
      <c r="Q222" s="39" t="str">
        <f aca="false">IF(SUM($O222)=0,"",$O222*$P222)</f>
        <v/>
      </c>
    </row>
    <row r="223" customFormat="false" ht="15" hidden="false" customHeight="false" outlineLevel="0" collapsed="false">
      <c r="A223" s="0" t="str">
        <f aca="false">INDEX(Prioritization!$D:$D,MATCH($B223,Prioritization!$A:$A,0))</f>
        <v>INVALID</v>
      </c>
      <c r="B223" s="0" t="s">
        <v>220</v>
      </c>
      <c r="C223" s="0" t="s">
        <v>365</v>
      </c>
      <c r="D223" s="0" t="s">
        <v>30</v>
      </c>
      <c r="E223" s="0" t="str">
        <f aca="false">B223&amp;"|"&amp;C223&amp;"|"&amp;D223</f>
        <v>Phalombe District [AZyWpGzhcaA]|15-24|Female</v>
      </c>
      <c r="F223" s="10" t="str">
        <f aca="false">IF(LEFT($B223,4)="_Mil","",INDEX(Cascade!$U:$U,MATCH($E223,Cascade!$E:$E,0)))</f>
        <v/>
      </c>
      <c r="G223" s="10" t="str">
        <f aca="false">IFERROR(1/(1/INDEX(HTS!$AT:$AT,MATCH($E223,HTS!$E:$E,0))),"")</f>
        <v/>
      </c>
      <c r="H223" s="10" t="str">
        <f aca="false">IF(OR($C223="15-24",$C223="25-34"),IFERROR(1/(1/SUM(SUMIFS(AGYW!$S:$S,AGYW!$B:$B,$B223,AGYW!$C:$C,IF($C223="15-24",{"15-19","20-24"},{"25-29"}),AGYW!$D:$D,$D223))),""),"")</f>
        <v/>
      </c>
      <c r="I223" s="10" t="str">
        <f aca="false">IF(OR($C223="15-24",$C223="25-34"),IFERROR(1/(1/SUM(SUMIFS(AGYW!$T:$T,AGYW!$B:$B,$B223,AGYW!$C:$C,IF($C223="15-24",{"15-19","20-24"},{"25-29"}),AGYW!$D:$D,$D223))),""),"")</f>
        <v/>
      </c>
      <c r="J223" s="10"/>
      <c r="K223" s="10"/>
      <c r="L223" s="39" t="str">
        <f aca="false">IF(SUM($K223)=0,"",$K223)</f>
        <v/>
      </c>
      <c r="M223" s="10"/>
      <c r="N223" s="10"/>
      <c r="O223" s="39" t="str">
        <f aca="false">IF(SUM($N223)=0,"",$N223)</f>
        <v/>
      </c>
      <c r="P223" s="10" t="n">
        <f aca="false">2</f>
        <v>2</v>
      </c>
      <c r="Q223" s="39" t="str">
        <f aca="false">IF(SUM($O223)=0,"",$O223*$P223)</f>
        <v/>
      </c>
    </row>
    <row r="224" customFormat="false" ht="15" hidden="false" customHeight="false" outlineLevel="0" collapsed="false">
      <c r="A224" s="0" t="str">
        <f aca="false">INDEX(Prioritization!$D:$D,MATCH($B224,Prioritization!$A:$A,0))</f>
        <v>INVALID</v>
      </c>
      <c r="B224" s="0" t="s">
        <v>220</v>
      </c>
      <c r="C224" s="0" t="s">
        <v>365</v>
      </c>
      <c r="D224" s="0" t="s">
        <v>48</v>
      </c>
      <c r="E224" s="0" t="str">
        <f aca="false">B224&amp;"|"&amp;C224&amp;"|"&amp;D224</f>
        <v>Phalombe District [AZyWpGzhcaA]|15-24|Male</v>
      </c>
      <c r="F224" s="10" t="str">
        <f aca="false">IF(LEFT($B224,4)="_Mil","",INDEX(Cascade!$U:$U,MATCH($E224,Cascade!$E:$E,0)))</f>
        <v/>
      </c>
      <c r="G224" s="10" t="str">
        <f aca="false">IFERROR(1/(1/INDEX(HTS!$AT:$AT,MATCH($E224,HTS!$E:$E,0))),"")</f>
        <v/>
      </c>
      <c r="H224" s="10" t="str">
        <f aca="false">IF(OR($C224="15-24",$C224="25-34"),IFERROR(1/(1/SUM(SUMIFS(AGYW!$S:$S,AGYW!$B:$B,$B224,AGYW!$C:$C,IF($C224="15-24",{"15-19","20-24"},{"25-29"}),AGYW!$D:$D,$D224))),""),"")</f>
        <v/>
      </c>
      <c r="I224" s="10" t="str">
        <f aca="false">IF(OR($C224="15-24",$C224="25-34"),IFERROR(1/(1/SUM(SUMIFS(AGYW!$T:$T,AGYW!$B:$B,$B224,AGYW!$C:$C,IF($C224="15-24",{"15-19","20-24"},{"25-29"}),AGYW!$D:$D,$D224))),""),"")</f>
        <v/>
      </c>
      <c r="J224" s="10"/>
      <c r="K224" s="10"/>
      <c r="L224" s="39" t="str">
        <f aca="false">IF(SUM($K224)=0,"",$K224)</f>
        <v/>
      </c>
      <c r="M224" s="10"/>
      <c r="N224" s="10"/>
      <c r="O224" s="39" t="str">
        <f aca="false">IF(SUM($N224)=0,"",$N224)</f>
        <v/>
      </c>
      <c r="P224" s="10" t="n">
        <f aca="false">2</f>
        <v>2</v>
      </c>
      <c r="Q224" s="39" t="str">
        <f aca="false">IF(SUM($O224)=0,"",$O224*$P224)</f>
        <v/>
      </c>
    </row>
    <row r="225" customFormat="false" ht="15" hidden="false" customHeight="false" outlineLevel="0" collapsed="false">
      <c r="A225" s="0" t="str">
        <f aca="false">INDEX(Prioritization!$D:$D,MATCH($B225,Prioritization!$A:$A,0))</f>
        <v>INVALID</v>
      </c>
      <c r="B225" s="0" t="s">
        <v>220</v>
      </c>
      <c r="C225" s="0" t="s">
        <v>366</v>
      </c>
      <c r="D225" s="0" t="s">
        <v>30</v>
      </c>
      <c r="E225" s="0" t="str">
        <f aca="false">B225&amp;"|"&amp;C225&amp;"|"&amp;D225</f>
        <v>Phalombe District [AZyWpGzhcaA]|25-34|Female</v>
      </c>
      <c r="F225" s="10" t="str">
        <f aca="false">IF(LEFT($B225,4)="_Mil","",INDEX(Cascade!$U:$U,MATCH($E225,Cascade!$E:$E,0)))</f>
        <v/>
      </c>
      <c r="G225" s="10" t="str">
        <f aca="false">IFERROR(1/(1/INDEX(HTS!$AT:$AT,MATCH($E225,HTS!$E:$E,0))),"")</f>
        <v/>
      </c>
      <c r="H225" s="10" t="str">
        <f aca="false">IF(OR($C225="15-24",$C225="25-34"),IFERROR(1/(1/SUM(SUMIFS(AGYW!$S:$S,AGYW!$B:$B,$B225,AGYW!$C:$C,IF($C225="15-24",{"15-19","20-24"},{"25-29"}),AGYW!$D:$D,$D225))),""),"")</f>
        <v/>
      </c>
      <c r="I225" s="10" t="str">
        <f aca="false">IF(OR($C225="15-24",$C225="25-34"),IFERROR(1/(1/SUM(SUMIFS(AGYW!$T:$T,AGYW!$B:$B,$B225,AGYW!$C:$C,IF($C225="15-24",{"15-19","20-24"},{"25-29"}),AGYW!$D:$D,$D225))),""),"")</f>
        <v/>
      </c>
      <c r="J225" s="10"/>
      <c r="K225" s="10"/>
      <c r="L225" s="39" t="str">
        <f aca="false">IF(SUM($K225)=0,"",$K225)</f>
        <v/>
      </c>
      <c r="M225" s="10"/>
      <c r="N225" s="10"/>
      <c r="O225" s="39" t="str">
        <f aca="false">IF(SUM($N225)=0,"",$N225)</f>
        <v/>
      </c>
      <c r="P225" s="10" t="n">
        <f aca="false">2</f>
        <v>2</v>
      </c>
      <c r="Q225" s="39" t="str">
        <f aca="false">IF(SUM($O225)=0,"",$O225*$P225)</f>
        <v/>
      </c>
    </row>
    <row r="226" customFormat="false" ht="15" hidden="false" customHeight="false" outlineLevel="0" collapsed="false">
      <c r="A226" s="0" t="str">
        <f aca="false">INDEX(Prioritization!$D:$D,MATCH($B226,Prioritization!$A:$A,0))</f>
        <v>INVALID</v>
      </c>
      <c r="B226" s="0" t="s">
        <v>220</v>
      </c>
      <c r="C226" s="0" t="s">
        <v>366</v>
      </c>
      <c r="D226" s="0" t="s">
        <v>48</v>
      </c>
      <c r="E226" s="0" t="str">
        <f aca="false">B226&amp;"|"&amp;C226&amp;"|"&amp;D226</f>
        <v>Phalombe District [AZyWpGzhcaA]|25-34|Male</v>
      </c>
      <c r="F226" s="10" t="str">
        <f aca="false">IF(LEFT($B226,4)="_Mil","",INDEX(Cascade!$U:$U,MATCH($E226,Cascade!$E:$E,0)))</f>
        <v/>
      </c>
      <c r="G226" s="10" t="str">
        <f aca="false">IFERROR(1/(1/INDEX(HTS!$AT:$AT,MATCH($E226,HTS!$E:$E,0))),"")</f>
        <v/>
      </c>
      <c r="H226" s="10" t="str">
        <f aca="false">IF(OR($C226="15-24",$C226="25-34"),IFERROR(1/(1/SUM(SUMIFS(AGYW!$S:$S,AGYW!$B:$B,$B226,AGYW!$C:$C,IF($C226="15-24",{"15-19","20-24"},{"25-29"}),AGYW!$D:$D,$D226))),""),"")</f>
        <v/>
      </c>
      <c r="I226" s="10" t="str">
        <f aca="false">IF(OR($C226="15-24",$C226="25-34"),IFERROR(1/(1/SUM(SUMIFS(AGYW!$T:$T,AGYW!$B:$B,$B226,AGYW!$C:$C,IF($C226="15-24",{"15-19","20-24"},{"25-29"}),AGYW!$D:$D,$D226))),""),"")</f>
        <v/>
      </c>
      <c r="J226" s="10"/>
      <c r="K226" s="10"/>
      <c r="L226" s="39" t="str">
        <f aca="false">IF(SUM($K226)=0,"",$K226)</f>
        <v/>
      </c>
      <c r="M226" s="10"/>
      <c r="N226" s="10"/>
      <c r="O226" s="39" t="str">
        <f aca="false">IF(SUM($N226)=0,"",$N226)</f>
        <v/>
      </c>
      <c r="P226" s="10" t="n">
        <f aca="false">2</f>
        <v>2</v>
      </c>
      <c r="Q226" s="39" t="str">
        <f aca="false">IF(SUM($O226)=0,"",$O226*$P226)</f>
        <v/>
      </c>
    </row>
    <row r="227" customFormat="false" ht="15" hidden="false" customHeight="false" outlineLevel="0" collapsed="false">
      <c r="A227" s="0" t="str">
        <f aca="false">INDEX(Prioritization!$D:$D,MATCH($B227,Prioritization!$A:$A,0))</f>
        <v>INVALID</v>
      </c>
      <c r="B227" s="0" t="s">
        <v>220</v>
      </c>
      <c r="C227" s="0" t="s">
        <v>367</v>
      </c>
      <c r="D227" s="0" t="s">
        <v>30</v>
      </c>
      <c r="E227" s="0" t="str">
        <f aca="false">B227&amp;"|"&amp;C227&amp;"|"&amp;D227</f>
        <v>Phalombe District [AZyWpGzhcaA]|35-49|Female</v>
      </c>
      <c r="F227" s="10" t="str">
        <f aca="false">IF(LEFT($B227,4)="_Mil","",INDEX(Cascade!$U:$U,MATCH($E227,Cascade!$E:$E,0)))</f>
        <v/>
      </c>
      <c r="G227" s="10" t="str">
        <f aca="false">IFERROR(1/(1/INDEX(HTS!$AT:$AT,MATCH($E227,HTS!$E:$E,0))),"")</f>
        <v/>
      </c>
      <c r="H227" s="10" t="str">
        <f aca="false">IF(OR($C227="15-24",$C227="25-34"),IFERROR(1/(1/SUM(SUMIFS(AGYW!$S:$S,AGYW!$B:$B,$B227,AGYW!$C:$C,IF($C227="15-24",{"15-19","20-24"},{"25-29"}),AGYW!$D:$D,$D227))),""),"")</f>
        <v/>
      </c>
      <c r="I227" s="10" t="str">
        <f aca="false">IF(OR($C227="15-24",$C227="25-34"),IFERROR(1/(1/SUM(SUMIFS(AGYW!$T:$T,AGYW!$B:$B,$B227,AGYW!$C:$C,IF($C227="15-24",{"15-19","20-24"},{"25-29"}),AGYW!$D:$D,$D227))),""),"")</f>
        <v/>
      </c>
      <c r="J227" s="10"/>
      <c r="K227" s="10"/>
      <c r="L227" s="39" t="str">
        <f aca="false">IF(SUM($K227)=0,"",$K227)</f>
        <v/>
      </c>
      <c r="M227" s="10"/>
      <c r="N227" s="10"/>
      <c r="O227" s="39" t="str">
        <f aca="false">IF(SUM($N227)=0,"",$N227)</f>
        <v/>
      </c>
      <c r="P227" s="10" t="n">
        <f aca="false">2</f>
        <v>2</v>
      </c>
      <c r="Q227" s="39" t="str">
        <f aca="false">IF(SUM($O227)=0,"",$O227*$P227)</f>
        <v/>
      </c>
    </row>
    <row r="228" customFormat="false" ht="15" hidden="false" customHeight="false" outlineLevel="0" collapsed="false">
      <c r="A228" s="0" t="str">
        <f aca="false">INDEX(Prioritization!$D:$D,MATCH($B228,Prioritization!$A:$A,0))</f>
        <v>INVALID</v>
      </c>
      <c r="B228" s="0" t="s">
        <v>220</v>
      </c>
      <c r="C228" s="0" t="s">
        <v>367</v>
      </c>
      <c r="D228" s="0" t="s">
        <v>48</v>
      </c>
      <c r="E228" s="0" t="str">
        <f aca="false">B228&amp;"|"&amp;C228&amp;"|"&amp;D228</f>
        <v>Phalombe District [AZyWpGzhcaA]|35-49|Male</v>
      </c>
      <c r="F228" s="10" t="str">
        <f aca="false">IF(LEFT($B228,4)="_Mil","",INDEX(Cascade!$U:$U,MATCH($E228,Cascade!$E:$E,0)))</f>
        <v/>
      </c>
      <c r="G228" s="10" t="str">
        <f aca="false">IFERROR(1/(1/INDEX(HTS!$AT:$AT,MATCH($E228,HTS!$E:$E,0))),"")</f>
        <v/>
      </c>
      <c r="H228" s="10" t="str">
        <f aca="false">IF(OR($C228="15-24",$C228="25-34"),IFERROR(1/(1/SUM(SUMIFS(AGYW!$S:$S,AGYW!$B:$B,$B228,AGYW!$C:$C,IF($C228="15-24",{"15-19","20-24"},{"25-29"}),AGYW!$D:$D,$D228))),""),"")</f>
        <v/>
      </c>
      <c r="I228" s="10" t="str">
        <f aca="false">IF(OR($C228="15-24",$C228="25-34"),IFERROR(1/(1/SUM(SUMIFS(AGYW!$T:$T,AGYW!$B:$B,$B228,AGYW!$C:$C,IF($C228="15-24",{"15-19","20-24"},{"25-29"}),AGYW!$D:$D,$D228))),""),"")</f>
        <v/>
      </c>
      <c r="J228" s="10"/>
      <c r="K228" s="10"/>
      <c r="L228" s="39" t="str">
        <f aca="false">IF(SUM($K228)=0,"",$K228)</f>
        <v/>
      </c>
      <c r="M228" s="10"/>
      <c r="N228" s="10"/>
      <c r="O228" s="39" t="str">
        <f aca="false">IF(SUM($N228)=0,"",$N228)</f>
        <v/>
      </c>
      <c r="P228" s="10" t="n">
        <f aca="false">2</f>
        <v>2</v>
      </c>
      <c r="Q228" s="39" t="str">
        <f aca="false">IF(SUM($O228)=0,"",$O228*$P228)</f>
        <v/>
      </c>
    </row>
    <row r="229" customFormat="false" ht="15" hidden="false" customHeight="false" outlineLevel="0" collapsed="false">
      <c r="A229" s="0" t="str">
        <f aca="false">INDEX(Prioritization!$D:$D,MATCH($B229,Prioritization!$A:$A,0))</f>
        <v>INVALID</v>
      </c>
      <c r="B229" s="0" t="s">
        <v>220</v>
      </c>
      <c r="C229" s="0" t="s">
        <v>368</v>
      </c>
      <c r="D229" s="0" t="s">
        <v>30</v>
      </c>
      <c r="E229" s="0" t="str">
        <f aca="false">B229&amp;"|"&amp;C229&amp;"|"&amp;D229</f>
        <v>Phalombe District [AZyWpGzhcaA]|50+|Female</v>
      </c>
      <c r="F229" s="10" t="str">
        <f aca="false">IF(LEFT($B229,4)="_Mil","",INDEX(Cascade!$U:$U,MATCH($E229,Cascade!$E:$E,0)))</f>
        <v/>
      </c>
      <c r="G229" s="10" t="str">
        <f aca="false">IFERROR(1/(1/INDEX(HTS!$AT:$AT,MATCH($E229,HTS!$E:$E,0))),"")</f>
        <v/>
      </c>
      <c r="H229" s="10" t="str">
        <f aca="false">IF(OR($C229="15-24",$C229="25-34"),IFERROR(1/(1/SUM(SUMIFS(AGYW!$S:$S,AGYW!$B:$B,$B229,AGYW!$C:$C,IF($C229="15-24",{"15-19","20-24"},{"25-29"}),AGYW!$D:$D,$D229))),""),"")</f>
        <v/>
      </c>
      <c r="I229" s="10" t="str">
        <f aca="false">IF(OR($C229="15-24",$C229="25-34"),IFERROR(1/(1/SUM(SUMIFS(AGYW!$T:$T,AGYW!$B:$B,$B229,AGYW!$C:$C,IF($C229="15-24",{"15-19","20-24"},{"25-29"}),AGYW!$D:$D,$D229))),""),"")</f>
        <v/>
      </c>
      <c r="J229" s="10" t="n">
        <v>1</v>
      </c>
      <c r="K229" s="10" t="n">
        <v>1</v>
      </c>
      <c r="L229" s="39" t="n">
        <f aca="false">IF(SUM($K229)=0,"",$K229)</f>
        <v>1</v>
      </c>
      <c r="M229" s="10"/>
      <c r="N229" s="10"/>
      <c r="O229" s="39" t="str">
        <f aca="false">IF(SUM($N229)=0,"",$N229)</f>
        <v/>
      </c>
      <c r="P229" s="10" t="n">
        <f aca="false">2</f>
        <v>2</v>
      </c>
      <c r="Q229" s="39" t="str">
        <f aca="false">IF(SUM($O229)=0,"",$O229*$P229)</f>
        <v/>
      </c>
    </row>
    <row r="230" customFormat="false" ht="15" hidden="false" customHeight="false" outlineLevel="0" collapsed="false">
      <c r="A230" s="0" t="str">
        <f aca="false">INDEX(Prioritization!$D:$D,MATCH($B230,Prioritization!$A:$A,0))</f>
        <v>INVALID</v>
      </c>
      <c r="B230" s="0" t="s">
        <v>220</v>
      </c>
      <c r="C230" s="0" t="s">
        <v>368</v>
      </c>
      <c r="D230" s="0" t="s">
        <v>48</v>
      </c>
      <c r="E230" s="0" t="str">
        <f aca="false">B230&amp;"|"&amp;C230&amp;"|"&amp;D230</f>
        <v>Phalombe District [AZyWpGzhcaA]|50+|Male</v>
      </c>
      <c r="F230" s="10" t="str">
        <f aca="false">IF(LEFT($B230,4)="_Mil","",INDEX(Cascade!$U:$U,MATCH($E230,Cascade!$E:$E,0)))</f>
        <v/>
      </c>
      <c r="G230" s="10" t="str">
        <f aca="false">IFERROR(1/(1/INDEX(HTS!$AT:$AT,MATCH($E230,HTS!$E:$E,0))),"")</f>
        <v/>
      </c>
      <c r="H230" s="10" t="str">
        <f aca="false">IF(OR($C230="15-24",$C230="25-34"),IFERROR(1/(1/SUM(SUMIFS(AGYW!$S:$S,AGYW!$B:$B,$B230,AGYW!$C:$C,IF($C230="15-24",{"15-19","20-24"},{"25-29"}),AGYW!$D:$D,$D230))),""),"")</f>
        <v/>
      </c>
      <c r="I230" s="10" t="str">
        <f aca="false">IF(OR($C230="15-24",$C230="25-34"),IFERROR(1/(1/SUM(SUMIFS(AGYW!$T:$T,AGYW!$B:$B,$B230,AGYW!$C:$C,IF($C230="15-24",{"15-19","20-24"},{"25-29"}),AGYW!$D:$D,$D230))),""),"")</f>
        <v/>
      </c>
      <c r="J230" s="10"/>
      <c r="K230" s="10" t="n">
        <v>0</v>
      </c>
      <c r="L230" s="39" t="str">
        <f aca="false">IF(SUM($K230)=0,"",$K230)</f>
        <v/>
      </c>
      <c r="M230" s="10"/>
      <c r="N230" s="10"/>
      <c r="O230" s="39" t="str">
        <f aca="false">IF(SUM($N230)=0,"",$N230)</f>
        <v/>
      </c>
      <c r="P230" s="10" t="n">
        <f aca="false">2</f>
        <v>2</v>
      </c>
      <c r="Q230" s="39" t="str">
        <f aca="false">IF(SUM($O230)=0,"",$O230*$P230)</f>
        <v/>
      </c>
    </row>
    <row r="231" customFormat="false" ht="15" hidden="false" customHeight="false" outlineLevel="0" collapsed="false">
      <c r="A231" s="0" t="str">
        <f aca="false">INDEX(Prioritization!$D:$D,MATCH($B231,Prioritization!$A:$A,0))</f>
        <v>1 - Scale-up: Saturation</v>
      </c>
      <c r="B231" s="0" t="s">
        <v>221</v>
      </c>
      <c r="C231" s="0" t="s">
        <v>365</v>
      </c>
      <c r="D231" s="0" t="s">
        <v>30</v>
      </c>
      <c r="E231" s="0" t="str">
        <f aca="false">B231&amp;"|"&amp;C231&amp;"|"&amp;D231</f>
        <v>Thyolo District [ul0y9diGujK]|15-24|Female</v>
      </c>
      <c r="F231" s="10" t="str">
        <f aca="false">IF(LEFT($B231,4)="_Mil","",INDEX(Cascade!$U:$U,MATCH($E231,Cascade!$E:$E,0)))</f>
        <v/>
      </c>
      <c r="G231" s="10" t="str">
        <f aca="false">IFERROR(1/(1/INDEX(HTS!$AT:$AT,MATCH($E231,HTS!$E:$E,0))),"")</f>
        <v/>
      </c>
      <c r="H231" s="10" t="str">
        <f aca="false">IF(OR($C231="15-24",$C231="25-34"),IFERROR(1/(1/SUM(SUMIFS(AGYW!$S:$S,AGYW!$B:$B,$B231,AGYW!$C:$C,IF($C231="15-24",{"15-19","20-24"},{"25-29"}),AGYW!$D:$D,$D231))),""),"")</f>
        <v/>
      </c>
      <c r="I231" s="10" t="str">
        <f aca="false">IF(OR($C231="15-24",$C231="25-34"),IFERROR(1/(1/SUM(SUMIFS(AGYW!$T:$T,AGYW!$B:$B,$B231,AGYW!$C:$C,IF($C231="15-24",{"15-19","20-24"},{"25-29"}),AGYW!$D:$D,$D231))),""),"")</f>
        <v/>
      </c>
      <c r="J231" s="10"/>
      <c r="K231" s="10"/>
      <c r="L231" s="39" t="str">
        <f aca="false">IF(SUM($K231)=0,"",$K231)</f>
        <v/>
      </c>
      <c r="M231" s="10"/>
      <c r="N231" s="10"/>
      <c r="O231" s="39" t="str">
        <f aca="false">IF(SUM($N231)=0,"",$N231)</f>
        <v/>
      </c>
      <c r="P231" s="10" t="n">
        <f aca="false">2</f>
        <v>2</v>
      </c>
      <c r="Q231" s="39" t="str">
        <f aca="false">IF(SUM($O231)=0,"",$O231*$P231)</f>
        <v/>
      </c>
    </row>
    <row r="232" customFormat="false" ht="15" hidden="false" customHeight="false" outlineLevel="0" collapsed="false">
      <c r="A232" s="0" t="str">
        <f aca="false">INDEX(Prioritization!$D:$D,MATCH($B232,Prioritization!$A:$A,0))</f>
        <v>1 - Scale-up: Saturation</v>
      </c>
      <c r="B232" s="0" t="s">
        <v>221</v>
      </c>
      <c r="C232" s="0" t="s">
        <v>365</v>
      </c>
      <c r="D232" s="0" t="s">
        <v>48</v>
      </c>
      <c r="E232" s="0" t="str">
        <f aca="false">B232&amp;"|"&amp;C232&amp;"|"&amp;D232</f>
        <v>Thyolo District [ul0y9diGujK]|15-24|Male</v>
      </c>
      <c r="F232" s="10" t="str">
        <f aca="false">IF(LEFT($B232,4)="_Mil","",INDEX(Cascade!$U:$U,MATCH($E232,Cascade!$E:$E,0)))</f>
        <v/>
      </c>
      <c r="G232" s="10" t="str">
        <f aca="false">IFERROR(1/(1/INDEX(HTS!$AT:$AT,MATCH($E232,HTS!$E:$E,0))),"")</f>
        <v/>
      </c>
      <c r="H232" s="10" t="str">
        <f aca="false">IF(OR($C232="15-24",$C232="25-34"),IFERROR(1/(1/SUM(SUMIFS(AGYW!$S:$S,AGYW!$B:$B,$B232,AGYW!$C:$C,IF($C232="15-24",{"15-19","20-24"},{"25-29"}),AGYW!$D:$D,$D232))),""),"")</f>
        <v/>
      </c>
      <c r="I232" s="10" t="str">
        <f aca="false">IF(OR($C232="15-24",$C232="25-34"),IFERROR(1/(1/SUM(SUMIFS(AGYW!$T:$T,AGYW!$B:$B,$B232,AGYW!$C:$C,IF($C232="15-24",{"15-19","20-24"},{"25-29"}),AGYW!$D:$D,$D232))),""),"")</f>
        <v/>
      </c>
      <c r="J232" s="10"/>
      <c r="K232" s="10"/>
      <c r="L232" s="39" t="str">
        <f aca="false">IF(SUM($K232)=0,"",$K232)</f>
        <v/>
      </c>
      <c r="M232" s="10"/>
      <c r="N232" s="10"/>
      <c r="O232" s="39" t="str">
        <f aca="false">IF(SUM($N232)=0,"",$N232)</f>
        <v/>
      </c>
      <c r="P232" s="10" t="n">
        <f aca="false">2</f>
        <v>2</v>
      </c>
      <c r="Q232" s="39" t="str">
        <f aca="false">IF(SUM($O232)=0,"",$O232*$P232)</f>
        <v/>
      </c>
    </row>
    <row r="233" customFormat="false" ht="15" hidden="false" customHeight="false" outlineLevel="0" collapsed="false">
      <c r="A233" s="0" t="str">
        <f aca="false">INDEX(Prioritization!$D:$D,MATCH($B233,Prioritization!$A:$A,0))</f>
        <v>1 - Scale-up: Saturation</v>
      </c>
      <c r="B233" s="0" t="s">
        <v>221</v>
      </c>
      <c r="C233" s="0" t="s">
        <v>366</v>
      </c>
      <c r="D233" s="0" t="s">
        <v>30</v>
      </c>
      <c r="E233" s="0" t="str">
        <f aca="false">B233&amp;"|"&amp;C233&amp;"|"&amp;D233</f>
        <v>Thyolo District [ul0y9diGujK]|25-34|Female</v>
      </c>
      <c r="F233" s="10" t="str">
        <f aca="false">IF(LEFT($B233,4)="_Mil","",INDEX(Cascade!$U:$U,MATCH($E233,Cascade!$E:$E,0)))</f>
        <v/>
      </c>
      <c r="G233" s="10" t="str">
        <f aca="false">IFERROR(1/(1/INDEX(HTS!$AT:$AT,MATCH($E233,HTS!$E:$E,0))),"")</f>
        <v/>
      </c>
      <c r="H233" s="10" t="str">
        <f aca="false">IF(OR($C233="15-24",$C233="25-34"),IFERROR(1/(1/SUM(SUMIFS(AGYW!$S:$S,AGYW!$B:$B,$B233,AGYW!$C:$C,IF($C233="15-24",{"15-19","20-24"},{"25-29"}),AGYW!$D:$D,$D233))),""),"")</f>
        <v/>
      </c>
      <c r="I233" s="10" t="str">
        <f aca="false">IF(OR($C233="15-24",$C233="25-34"),IFERROR(1/(1/SUM(SUMIFS(AGYW!$T:$T,AGYW!$B:$B,$B233,AGYW!$C:$C,IF($C233="15-24",{"15-19","20-24"},{"25-29"}),AGYW!$D:$D,$D233))),""),"")</f>
        <v/>
      </c>
      <c r="J233" s="10"/>
      <c r="K233" s="10"/>
      <c r="L233" s="39" t="str">
        <f aca="false">IF(SUM($K233)=0,"",$K233)</f>
        <v/>
      </c>
      <c r="M233" s="10"/>
      <c r="N233" s="10"/>
      <c r="O233" s="39" t="str">
        <f aca="false">IF(SUM($N233)=0,"",$N233)</f>
        <v/>
      </c>
      <c r="P233" s="10" t="n">
        <f aca="false">2</f>
        <v>2</v>
      </c>
      <c r="Q233" s="39" t="str">
        <f aca="false">IF(SUM($O233)=0,"",$O233*$P233)</f>
        <v/>
      </c>
    </row>
    <row r="234" customFormat="false" ht="15" hidden="false" customHeight="false" outlineLevel="0" collapsed="false">
      <c r="A234" s="0" t="str">
        <f aca="false">INDEX(Prioritization!$D:$D,MATCH($B234,Prioritization!$A:$A,0))</f>
        <v>1 - Scale-up: Saturation</v>
      </c>
      <c r="B234" s="0" t="s">
        <v>221</v>
      </c>
      <c r="C234" s="0" t="s">
        <v>366</v>
      </c>
      <c r="D234" s="0" t="s">
        <v>48</v>
      </c>
      <c r="E234" s="0" t="str">
        <f aca="false">B234&amp;"|"&amp;C234&amp;"|"&amp;D234</f>
        <v>Thyolo District [ul0y9diGujK]|25-34|Male</v>
      </c>
      <c r="F234" s="10" t="str">
        <f aca="false">IF(LEFT($B234,4)="_Mil","",INDEX(Cascade!$U:$U,MATCH($E234,Cascade!$E:$E,0)))</f>
        <v/>
      </c>
      <c r="G234" s="10" t="str">
        <f aca="false">IFERROR(1/(1/INDEX(HTS!$AT:$AT,MATCH($E234,HTS!$E:$E,0))),"")</f>
        <v/>
      </c>
      <c r="H234" s="10" t="str">
        <f aca="false">IF(OR($C234="15-24",$C234="25-34"),IFERROR(1/(1/SUM(SUMIFS(AGYW!$S:$S,AGYW!$B:$B,$B234,AGYW!$C:$C,IF($C234="15-24",{"15-19","20-24"},{"25-29"}),AGYW!$D:$D,$D234))),""),"")</f>
        <v/>
      </c>
      <c r="I234" s="10" t="str">
        <f aca="false">IF(OR($C234="15-24",$C234="25-34"),IFERROR(1/(1/SUM(SUMIFS(AGYW!$T:$T,AGYW!$B:$B,$B234,AGYW!$C:$C,IF($C234="15-24",{"15-19","20-24"},{"25-29"}),AGYW!$D:$D,$D234))),""),"")</f>
        <v/>
      </c>
      <c r="J234" s="10"/>
      <c r="K234" s="10"/>
      <c r="L234" s="39" t="str">
        <f aca="false">IF(SUM($K234)=0,"",$K234)</f>
        <v/>
      </c>
      <c r="M234" s="10"/>
      <c r="N234" s="10"/>
      <c r="O234" s="39" t="str">
        <f aca="false">IF(SUM($N234)=0,"",$N234)</f>
        <v/>
      </c>
      <c r="P234" s="10" t="n">
        <f aca="false">2</f>
        <v>2</v>
      </c>
      <c r="Q234" s="39" t="str">
        <f aca="false">IF(SUM($O234)=0,"",$O234*$P234)</f>
        <v/>
      </c>
    </row>
    <row r="235" customFormat="false" ht="15" hidden="false" customHeight="false" outlineLevel="0" collapsed="false">
      <c r="A235" s="0" t="str">
        <f aca="false">INDEX(Prioritization!$D:$D,MATCH($B235,Prioritization!$A:$A,0))</f>
        <v>1 - Scale-up: Saturation</v>
      </c>
      <c r="B235" s="0" t="s">
        <v>221</v>
      </c>
      <c r="C235" s="0" t="s">
        <v>367</v>
      </c>
      <c r="D235" s="0" t="s">
        <v>30</v>
      </c>
      <c r="E235" s="0" t="str">
        <f aca="false">B235&amp;"|"&amp;C235&amp;"|"&amp;D235</f>
        <v>Thyolo District [ul0y9diGujK]|35-49|Female</v>
      </c>
      <c r="F235" s="10" t="str">
        <f aca="false">IF(LEFT($B235,4)="_Mil","",INDEX(Cascade!$U:$U,MATCH($E235,Cascade!$E:$E,0)))</f>
        <v/>
      </c>
      <c r="G235" s="10" t="str">
        <f aca="false">IFERROR(1/(1/INDEX(HTS!$AT:$AT,MATCH($E235,HTS!$E:$E,0))),"")</f>
        <v/>
      </c>
      <c r="H235" s="10" t="str">
        <f aca="false">IF(OR($C235="15-24",$C235="25-34"),IFERROR(1/(1/SUM(SUMIFS(AGYW!$S:$S,AGYW!$B:$B,$B235,AGYW!$C:$C,IF($C235="15-24",{"15-19","20-24"},{"25-29"}),AGYW!$D:$D,$D235))),""),"")</f>
        <v/>
      </c>
      <c r="I235" s="10" t="str">
        <f aca="false">IF(OR($C235="15-24",$C235="25-34"),IFERROR(1/(1/SUM(SUMIFS(AGYW!$T:$T,AGYW!$B:$B,$B235,AGYW!$C:$C,IF($C235="15-24",{"15-19","20-24"},{"25-29"}),AGYW!$D:$D,$D235))),""),"")</f>
        <v/>
      </c>
      <c r="J235" s="10"/>
      <c r="K235" s="10"/>
      <c r="L235" s="39" t="str">
        <f aca="false">IF(SUM($K235)=0,"",$K235)</f>
        <v/>
      </c>
      <c r="M235" s="10"/>
      <c r="N235" s="10"/>
      <c r="O235" s="39" t="str">
        <f aca="false">IF(SUM($N235)=0,"",$N235)</f>
        <v/>
      </c>
      <c r="P235" s="10" t="n">
        <f aca="false">2</f>
        <v>2</v>
      </c>
      <c r="Q235" s="39" t="str">
        <f aca="false">IF(SUM($O235)=0,"",$O235*$P235)</f>
        <v/>
      </c>
    </row>
    <row r="236" customFormat="false" ht="15" hidden="false" customHeight="false" outlineLevel="0" collapsed="false">
      <c r="A236" s="0" t="str">
        <f aca="false">INDEX(Prioritization!$D:$D,MATCH($B236,Prioritization!$A:$A,0))</f>
        <v>1 - Scale-up: Saturation</v>
      </c>
      <c r="B236" s="0" t="s">
        <v>221</v>
      </c>
      <c r="C236" s="0" t="s">
        <v>367</v>
      </c>
      <c r="D236" s="0" t="s">
        <v>48</v>
      </c>
      <c r="E236" s="0" t="str">
        <f aca="false">B236&amp;"|"&amp;C236&amp;"|"&amp;D236</f>
        <v>Thyolo District [ul0y9diGujK]|35-49|Male</v>
      </c>
      <c r="F236" s="10" t="str">
        <f aca="false">IF(LEFT($B236,4)="_Mil","",INDEX(Cascade!$U:$U,MATCH($E236,Cascade!$E:$E,0)))</f>
        <v/>
      </c>
      <c r="G236" s="10" t="str">
        <f aca="false">IFERROR(1/(1/INDEX(HTS!$AT:$AT,MATCH($E236,HTS!$E:$E,0))),"")</f>
        <v/>
      </c>
      <c r="H236" s="10" t="str">
        <f aca="false">IF(OR($C236="15-24",$C236="25-34"),IFERROR(1/(1/SUM(SUMIFS(AGYW!$S:$S,AGYW!$B:$B,$B236,AGYW!$C:$C,IF($C236="15-24",{"15-19","20-24"},{"25-29"}),AGYW!$D:$D,$D236))),""),"")</f>
        <v/>
      </c>
      <c r="I236" s="10" t="str">
        <f aca="false">IF(OR($C236="15-24",$C236="25-34"),IFERROR(1/(1/SUM(SUMIFS(AGYW!$T:$T,AGYW!$B:$B,$B236,AGYW!$C:$C,IF($C236="15-24",{"15-19","20-24"},{"25-29"}),AGYW!$D:$D,$D236))),""),"")</f>
        <v/>
      </c>
      <c r="J236" s="10"/>
      <c r="K236" s="10"/>
      <c r="L236" s="39" t="str">
        <f aca="false">IF(SUM($K236)=0,"",$K236)</f>
        <v/>
      </c>
      <c r="M236" s="10"/>
      <c r="N236" s="10"/>
      <c r="O236" s="39" t="str">
        <f aca="false">IF(SUM($N236)=0,"",$N236)</f>
        <v/>
      </c>
      <c r="P236" s="10" t="n">
        <f aca="false">2</f>
        <v>2</v>
      </c>
      <c r="Q236" s="39" t="str">
        <f aca="false">IF(SUM($O236)=0,"",$O236*$P236)</f>
        <v/>
      </c>
    </row>
    <row r="237" customFormat="false" ht="15" hidden="false" customHeight="false" outlineLevel="0" collapsed="false">
      <c r="A237" s="0" t="str">
        <f aca="false">INDEX(Prioritization!$D:$D,MATCH($B237,Prioritization!$A:$A,0))</f>
        <v>1 - Scale-up: Saturation</v>
      </c>
      <c r="B237" s="0" t="s">
        <v>221</v>
      </c>
      <c r="C237" s="0" t="s">
        <v>368</v>
      </c>
      <c r="D237" s="0" t="s">
        <v>30</v>
      </c>
      <c r="E237" s="0" t="str">
        <f aca="false">B237&amp;"|"&amp;C237&amp;"|"&amp;D237</f>
        <v>Thyolo District [ul0y9diGujK]|50+|Female</v>
      </c>
      <c r="F237" s="10" t="str">
        <f aca="false">IF(LEFT($B237,4)="_Mil","",INDEX(Cascade!$U:$U,MATCH($E237,Cascade!$E:$E,0)))</f>
        <v/>
      </c>
      <c r="G237" s="10" t="str">
        <f aca="false">IFERROR(1/(1/INDEX(HTS!$AT:$AT,MATCH($E237,HTS!$E:$E,0))),"")</f>
        <v/>
      </c>
      <c r="H237" s="10" t="str">
        <f aca="false">IF(OR($C237="15-24",$C237="25-34"),IFERROR(1/(1/SUM(SUMIFS(AGYW!$S:$S,AGYW!$B:$B,$B237,AGYW!$C:$C,IF($C237="15-24",{"15-19","20-24"},{"25-29"}),AGYW!$D:$D,$D237))),""),"")</f>
        <v/>
      </c>
      <c r="I237" s="10" t="str">
        <f aca="false">IF(OR($C237="15-24",$C237="25-34"),IFERROR(1/(1/SUM(SUMIFS(AGYW!$T:$T,AGYW!$B:$B,$B237,AGYW!$C:$C,IF($C237="15-24",{"15-19","20-24"},{"25-29"}),AGYW!$D:$D,$D237))),""),"")</f>
        <v/>
      </c>
      <c r="J237" s="10" t="n">
        <v>7</v>
      </c>
      <c r="K237" s="10"/>
      <c r="L237" s="39" t="str">
        <f aca="false">IF(SUM($K237)=0,"",$K237)</f>
        <v/>
      </c>
      <c r="M237" s="10"/>
      <c r="N237" s="10"/>
      <c r="O237" s="39" t="str">
        <f aca="false">IF(SUM($N237)=0,"",$N237)</f>
        <v/>
      </c>
      <c r="P237" s="10" t="n">
        <f aca="false">2</f>
        <v>2</v>
      </c>
      <c r="Q237" s="39" t="str">
        <f aca="false">IF(SUM($O237)=0,"",$O237*$P237)</f>
        <v/>
      </c>
    </row>
    <row r="238" customFormat="false" ht="15" hidden="false" customHeight="false" outlineLevel="0" collapsed="false">
      <c r="A238" s="0" t="str">
        <f aca="false">INDEX(Prioritization!$D:$D,MATCH($B238,Prioritization!$A:$A,0))</f>
        <v>1 - Scale-up: Saturation</v>
      </c>
      <c r="B238" s="0" t="s">
        <v>221</v>
      </c>
      <c r="C238" s="0" t="s">
        <v>368</v>
      </c>
      <c r="D238" s="0" t="s">
        <v>48</v>
      </c>
      <c r="E238" s="0" t="str">
        <f aca="false">B238&amp;"|"&amp;C238&amp;"|"&amp;D238</f>
        <v>Thyolo District [ul0y9diGujK]|50+|Male</v>
      </c>
      <c r="F238" s="10" t="str">
        <f aca="false">IF(LEFT($B238,4)="_Mil","",INDEX(Cascade!$U:$U,MATCH($E238,Cascade!$E:$E,0)))</f>
        <v/>
      </c>
      <c r="G238" s="10" t="str">
        <f aca="false">IFERROR(1/(1/INDEX(HTS!$AT:$AT,MATCH($E238,HTS!$E:$E,0))),"")</f>
        <v/>
      </c>
      <c r="H238" s="10" t="str">
        <f aca="false">IF(OR($C238="15-24",$C238="25-34"),IFERROR(1/(1/SUM(SUMIFS(AGYW!$S:$S,AGYW!$B:$B,$B238,AGYW!$C:$C,IF($C238="15-24",{"15-19","20-24"},{"25-29"}),AGYW!$D:$D,$D238))),""),"")</f>
        <v/>
      </c>
      <c r="I238" s="10" t="str">
        <f aca="false">IF(OR($C238="15-24",$C238="25-34"),IFERROR(1/(1/SUM(SUMIFS(AGYW!$T:$T,AGYW!$B:$B,$B238,AGYW!$C:$C,IF($C238="15-24",{"15-19","20-24"},{"25-29"}),AGYW!$D:$D,$D238))),""),"")</f>
        <v/>
      </c>
      <c r="J238" s="10" t="n">
        <v>8</v>
      </c>
      <c r="K238" s="10"/>
      <c r="L238" s="39" t="str">
        <f aca="false">IF(SUM($K238)=0,"",$K238)</f>
        <v/>
      </c>
      <c r="M238" s="10"/>
      <c r="N238" s="10"/>
      <c r="O238" s="39" t="str">
        <f aca="false">IF(SUM($N238)=0,"",$N238)</f>
        <v/>
      </c>
      <c r="P238" s="10" t="n">
        <f aca="false">2</f>
        <v>2</v>
      </c>
      <c r="Q238" s="39" t="str">
        <f aca="false">IF(SUM($O238)=0,"",$O238*$P238)</f>
        <v/>
      </c>
    </row>
    <row r="239" customFormat="false" ht="15" hidden="false" customHeight="false" outlineLevel="0" collapsed="false">
      <c r="A239" s="0" t="str">
        <f aca="false">INDEX(Prioritization!$D:$D,MATCH($B239,Prioritization!$A:$A,0))</f>
        <v>1 - Scale-up: Saturation</v>
      </c>
      <c r="B239" s="0" t="s">
        <v>222</v>
      </c>
      <c r="C239" s="0" t="s">
        <v>365</v>
      </c>
      <c r="D239" s="0" t="s">
        <v>30</v>
      </c>
      <c r="E239" s="0" t="str">
        <f aca="false">B239&amp;"|"&amp;C239&amp;"|"&amp;D239</f>
        <v>Zomba District [fyEoGEPERdI]|15-24|Female</v>
      </c>
      <c r="F239" s="10" t="str">
        <f aca="false">IF(LEFT($B239,4)="_Mil","",INDEX(Cascade!$U:$U,MATCH($E239,Cascade!$E:$E,0)))</f>
        <v/>
      </c>
      <c r="G239" s="10" t="str">
        <f aca="false">IFERROR(1/(1/INDEX(HTS!$AT:$AT,MATCH($E239,HTS!$E:$E,0))),"")</f>
        <v/>
      </c>
      <c r="H239" s="10" t="str">
        <f aca="false">IF(OR($C239="15-24",$C239="25-34"),IFERROR(1/(1/SUM(SUMIFS(AGYW!$S:$S,AGYW!$B:$B,$B239,AGYW!$C:$C,IF($C239="15-24",{"15-19","20-24"},{"25-29"}),AGYW!$D:$D,$D239))),""),"")</f>
        <v/>
      </c>
      <c r="I239" s="10" t="str">
        <f aca="false">IF(OR($C239="15-24",$C239="25-34"),IFERROR(1/(1/SUM(SUMIFS(AGYW!$T:$T,AGYW!$B:$B,$B239,AGYW!$C:$C,IF($C239="15-24",{"15-19","20-24"},{"25-29"}),AGYW!$D:$D,$D239))),""),"")</f>
        <v/>
      </c>
      <c r="J239" s="10"/>
      <c r="K239" s="10"/>
      <c r="L239" s="39" t="str">
        <f aca="false">IF(SUM($K239)=0,"",$K239)</f>
        <v/>
      </c>
      <c r="M239" s="10"/>
      <c r="N239" s="10"/>
      <c r="O239" s="39" t="str">
        <f aca="false">IF(SUM($N239)=0,"",$N239)</f>
        <v/>
      </c>
      <c r="P239" s="10" t="n">
        <f aca="false">2</f>
        <v>2</v>
      </c>
      <c r="Q239" s="39" t="str">
        <f aca="false">IF(SUM($O239)=0,"",$O239*$P239)</f>
        <v/>
      </c>
    </row>
    <row r="240" customFormat="false" ht="15" hidden="false" customHeight="false" outlineLevel="0" collapsed="false">
      <c r="A240" s="0" t="str">
        <f aca="false">INDEX(Prioritization!$D:$D,MATCH($B240,Prioritization!$A:$A,0))</f>
        <v>1 - Scale-up: Saturation</v>
      </c>
      <c r="B240" s="0" t="s">
        <v>222</v>
      </c>
      <c r="C240" s="0" t="s">
        <v>365</v>
      </c>
      <c r="D240" s="0" t="s">
        <v>48</v>
      </c>
      <c r="E240" s="0" t="str">
        <f aca="false">B240&amp;"|"&amp;C240&amp;"|"&amp;D240</f>
        <v>Zomba District [fyEoGEPERdI]|15-24|Male</v>
      </c>
      <c r="F240" s="10" t="str">
        <f aca="false">IF(LEFT($B240,4)="_Mil","",INDEX(Cascade!$U:$U,MATCH($E240,Cascade!$E:$E,0)))</f>
        <v/>
      </c>
      <c r="G240" s="10" t="str">
        <f aca="false">IFERROR(1/(1/INDEX(HTS!$AT:$AT,MATCH($E240,HTS!$E:$E,0))),"")</f>
        <v/>
      </c>
      <c r="H240" s="10" t="str">
        <f aca="false">IF(OR($C240="15-24",$C240="25-34"),IFERROR(1/(1/SUM(SUMIFS(AGYW!$S:$S,AGYW!$B:$B,$B240,AGYW!$C:$C,IF($C240="15-24",{"15-19","20-24"},{"25-29"}),AGYW!$D:$D,$D240))),""),"")</f>
        <v/>
      </c>
      <c r="I240" s="10" t="str">
        <f aca="false">IF(OR($C240="15-24",$C240="25-34"),IFERROR(1/(1/SUM(SUMIFS(AGYW!$T:$T,AGYW!$B:$B,$B240,AGYW!$C:$C,IF($C240="15-24",{"15-19","20-24"},{"25-29"}),AGYW!$D:$D,$D240))),""),"")</f>
        <v/>
      </c>
      <c r="J240" s="10"/>
      <c r="K240" s="10"/>
      <c r="L240" s="39" t="str">
        <f aca="false">IF(SUM($K240)=0,"",$K240)</f>
        <v/>
      </c>
      <c r="M240" s="10"/>
      <c r="N240" s="10"/>
      <c r="O240" s="39" t="str">
        <f aca="false">IF(SUM($N240)=0,"",$N240)</f>
        <v/>
      </c>
      <c r="P240" s="10" t="n">
        <f aca="false">2</f>
        <v>2</v>
      </c>
      <c r="Q240" s="39" t="str">
        <f aca="false">IF(SUM($O240)=0,"",$O240*$P240)</f>
        <v/>
      </c>
    </row>
    <row r="241" customFormat="false" ht="15" hidden="false" customHeight="false" outlineLevel="0" collapsed="false">
      <c r="A241" s="0" t="str">
        <f aca="false">INDEX(Prioritization!$D:$D,MATCH($B241,Prioritization!$A:$A,0))</f>
        <v>1 - Scale-up: Saturation</v>
      </c>
      <c r="B241" s="0" t="s">
        <v>222</v>
      </c>
      <c r="C241" s="0" t="s">
        <v>366</v>
      </c>
      <c r="D241" s="0" t="s">
        <v>30</v>
      </c>
      <c r="E241" s="0" t="str">
        <f aca="false">B241&amp;"|"&amp;C241&amp;"|"&amp;D241</f>
        <v>Zomba District [fyEoGEPERdI]|25-34|Female</v>
      </c>
      <c r="F241" s="10" t="str">
        <f aca="false">IF(LEFT($B241,4)="_Mil","",INDEX(Cascade!$U:$U,MATCH($E241,Cascade!$E:$E,0)))</f>
        <v/>
      </c>
      <c r="G241" s="10" t="str">
        <f aca="false">IFERROR(1/(1/INDEX(HTS!$AT:$AT,MATCH($E241,HTS!$E:$E,0))),"")</f>
        <v/>
      </c>
      <c r="H241" s="10" t="str">
        <f aca="false">IF(OR($C241="15-24",$C241="25-34"),IFERROR(1/(1/SUM(SUMIFS(AGYW!$S:$S,AGYW!$B:$B,$B241,AGYW!$C:$C,IF($C241="15-24",{"15-19","20-24"},{"25-29"}),AGYW!$D:$D,$D241))),""),"")</f>
        <v/>
      </c>
      <c r="I241" s="10" t="str">
        <f aca="false">IF(OR($C241="15-24",$C241="25-34"),IFERROR(1/(1/SUM(SUMIFS(AGYW!$T:$T,AGYW!$B:$B,$B241,AGYW!$C:$C,IF($C241="15-24",{"15-19","20-24"},{"25-29"}),AGYW!$D:$D,$D241))),""),"")</f>
        <v/>
      </c>
      <c r="J241" s="10"/>
      <c r="K241" s="10"/>
      <c r="L241" s="39" t="str">
        <f aca="false">IF(SUM($K241)=0,"",$K241)</f>
        <v/>
      </c>
      <c r="M241" s="10"/>
      <c r="N241" s="10"/>
      <c r="O241" s="39" t="str">
        <f aca="false">IF(SUM($N241)=0,"",$N241)</f>
        <v/>
      </c>
      <c r="P241" s="10" t="n">
        <f aca="false">2</f>
        <v>2</v>
      </c>
      <c r="Q241" s="39" t="str">
        <f aca="false">IF(SUM($O241)=0,"",$O241*$P241)</f>
        <v/>
      </c>
    </row>
    <row r="242" customFormat="false" ht="15" hidden="false" customHeight="false" outlineLevel="0" collapsed="false">
      <c r="A242" s="0" t="str">
        <f aca="false">INDEX(Prioritization!$D:$D,MATCH($B242,Prioritization!$A:$A,0))</f>
        <v>1 - Scale-up: Saturation</v>
      </c>
      <c r="B242" s="0" t="s">
        <v>222</v>
      </c>
      <c r="C242" s="0" t="s">
        <v>366</v>
      </c>
      <c r="D242" s="0" t="s">
        <v>48</v>
      </c>
      <c r="E242" s="0" t="str">
        <f aca="false">B242&amp;"|"&amp;C242&amp;"|"&amp;D242</f>
        <v>Zomba District [fyEoGEPERdI]|25-34|Male</v>
      </c>
      <c r="F242" s="10" t="str">
        <f aca="false">IF(LEFT($B242,4)="_Mil","",INDEX(Cascade!$U:$U,MATCH($E242,Cascade!$E:$E,0)))</f>
        <v/>
      </c>
      <c r="G242" s="10" t="str">
        <f aca="false">IFERROR(1/(1/INDEX(HTS!$AT:$AT,MATCH($E242,HTS!$E:$E,0))),"")</f>
        <v/>
      </c>
      <c r="H242" s="10" t="str">
        <f aca="false">IF(OR($C242="15-24",$C242="25-34"),IFERROR(1/(1/SUM(SUMIFS(AGYW!$S:$S,AGYW!$B:$B,$B242,AGYW!$C:$C,IF($C242="15-24",{"15-19","20-24"},{"25-29"}),AGYW!$D:$D,$D242))),""),"")</f>
        <v/>
      </c>
      <c r="I242" s="10" t="str">
        <f aca="false">IF(OR($C242="15-24",$C242="25-34"),IFERROR(1/(1/SUM(SUMIFS(AGYW!$T:$T,AGYW!$B:$B,$B242,AGYW!$C:$C,IF($C242="15-24",{"15-19","20-24"},{"25-29"}),AGYW!$D:$D,$D242))),""),"")</f>
        <v/>
      </c>
      <c r="J242" s="10"/>
      <c r="K242" s="10"/>
      <c r="L242" s="39" t="str">
        <f aca="false">IF(SUM($K242)=0,"",$K242)</f>
        <v/>
      </c>
      <c r="M242" s="10"/>
      <c r="N242" s="10"/>
      <c r="O242" s="39" t="str">
        <f aca="false">IF(SUM($N242)=0,"",$N242)</f>
        <v/>
      </c>
      <c r="P242" s="10" t="n">
        <f aca="false">2</f>
        <v>2</v>
      </c>
      <c r="Q242" s="39" t="str">
        <f aca="false">IF(SUM($O242)=0,"",$O242*$P242)</f>
        <v/>
      </c>
    </row>
    <row r="243" customFormat="false" ht="15" hidden="false" customHeight="false" outlineLevel="0" collapsed="false">
      <c r="A243" s="0" t="str">
        <f aca="false">INDEX(Prioritization!$D:$D,MATCH($B243,Prioritization!$A:$A,0))</f>
        <v>1 - Scale-up: Saturation</v>
      </c>
      <c r="B243" s="0" t="s">
        <v>222</v>
      </c>
      <c r="C243" s="0" t="s">
        <v>367</v>
      </c>
      <c r="D243" s="0" t="s">
        <v>30</v>
      </c>
      <c r="E243" s="0" t="str">
        <f aca="false">B243&amp;"|"&amp;C243&amp;"|"&amp;D243</f>
        <v>Zomba District [fyEoGEPERdI]|35-49|Female</v>
      </c>
      <c r="F243" s="10" t="str">
        <f aca="false">IF(LEFT($B243,4)="_Mil","",INDEX(Cascade!$U:$U,MATCH($E243,Cascade!$E:$E,0)))</f>
        <v/>
      </c>
      <c r="G243" s="10" t="str">
        <f aca="false">IFERROR(1/(1/INDEX(HTS!$AT:$AT,MATCH($E243,HTS!$E:$E,0))),"")</f>
        <v/>
      </c>
      <c r="H243" s="10" t="str">
        <f aca="false">IF(OR($C243="15-24",$C243="25-34"),IFERROR(1/(1/SUM(SUMIFS(AGYW!$S:$S,AGYW!$B:$B,$B243,AGYW!$C:$C,IF($C243="15-24",{"15-19","20-24"},{"25-29"}),AGYW!$D:$D,$D243))),""),"")</f>
        <v/>
      </c>
      <c r="I243" s="10" t="str">
        <f aca="false">IF(OR($C243="15-24",$C243="25-34"),IFERROR(1/(1/SUM(SUMIFS(AGYW!$T:$T,AGYW!$B:$B,$B243,AGYW!$C:$C,IF($C243="15-24",{"15-19","20-24"},{"25-29"}),AGYW!$D:$D,$D243))),""),"")</f>
        <v/>
      </c>
      <c r="J243" s="10"/>
      <c r="K243" s="10"/>
      <c r="L243" s="39" t="str">
        <f aca="false">IF(SUM($K243)=0,"",$K243)</f>
        <v/>
      </c>
      <c r="M243" s="10"/>
      <c r="N243" s="10"/>
      <c r="O243" s="39" t="str">
        <f aca="false">IF(SUM($N243)=0,"",$N243)</f>
        <v/>
      </c>
      <c r="P243" s="10" t="n">
        <f aca="false">2</f>
        <v>2</v>
      </c>
      <c r="Q243" s="39" t="str">
        <f aca="false">IF(SUM($O243)=0,"",$O243*$P243)</f>
        <v/>
      </c>
    </row>
    <row r="244" customFormat="false" ht="15" hidden="false" customHeight="false" outlineLevel="0" collapsed="false">
      <c r="A244" s="0" t="str">
        <f aca="false">INDEX(Prioritization!$D:$D,MATCH($B244,Prioritization!$A:$A,0))</f>
        <v>1 - Scale-up: Saturation</v>
      </c>
      <c r="B244" s="0" t="s">
        <v>222</v>
      </c>
      <c r="C244" s="0" t="s">
        <v>367</v>
      </c>
      <c r="D244" s="0" t="s">
        <v>48</v>
      </c>
      <c r="E244" s="0" t="str">
        <f aca="false">B244&amp;"|"&amp;C244&amp;"|"&amp;D244</f>
        <v>Zomba District [fyEoGEPERdI]|35-49|Male</v>
      </c>
      <c r="F244" s="10" t="str">
        <f aca="false">IF(LEFT($B244,4)="_Mil","",INDEX(Cascade!$U:$U,MATCH($E244,Cascade!$E:$E,0)))</f>
        <v/>
      </c>
      <c r="G244" s="10" t="str">
        <f aca="false">IFERROR(1/(1/INDEX(HTS!$AT:$AT,MATCH($E244,HTS!$E:$E,0))),"")</f>
        <v/>
      </c>
      <c r="H244" s="10" t="str">
        <f aca="false">IF(OR($C244="15-24",$C244="25-34"),IFERROR(1/(1/SUM(SUMIFS(AGYW!$S:$S,AGYW!$B:$B,$B244,AGYW!$C:$C,IF($C244="15-24",{"15-19","20-24"},{"25-29"}),AGYW!$D:$D,$D244))),""),"")</f>
        <v/>
      </c>
      <c r="I244" s="10" t="str">
        <f aca="false">IF(OR($C244="15-24",$C244="25-34"),IFERROR(1/(1/SUM(SUMIFS(AGYW!$T:$T,AGYW!$B:$B,$B244,AGYW!$C:$C,IF($C244="15-24",{"15-19","20-24"},{"25-29"}),AGYW!$D:$D,$D244))),""),"")</f>
        <v/>
      </c>
      <c r="J244" s="10"/>
      <c r="K244" s="10"/>
      <c r="L244" s="39" t="str">
        <f aca="false">IF(SUM($K244)=0,"",$K244)</f>
        <v/>
      </c>
      <c r="M244" s="10"/>
      <c r="N244" s="10"/>
      <c r="O244" s="39" t="str">
        <f aca="false">IF(SUM($N244)=0,"",$N244)</f>
        <v/>
      </c>
      <c r="P244" s="10" t="n">
        <f aca="false">2</f>
        <v>2</v>
      </c>
      <c r="Q244" s="39" t="str">
        <f aca="false">IF(SUM($O244)=0,"",$O244*$P244)</f>
        <v/>
      </c>
    </row>
    <row r="245" customFormat="false" ht="15" hidden="false" customHeight="false" outlineLevel="0" collapsed="false">
      <c r="A245" s="0" t="str">
        <f aca="false">INDEX(Prioritization!$D:$D,MATCH($B245,Prioritization!$A:$A,0))</f>
        <v>1 - Scale-up: Saturation</v>
      </c>
      <c r="B245" s="0" t="s">
        <v>222</v>
      </c>
      <c r="C245" s="0" t="s">
        <v>368</v>
      </c>
      <c r="D245" s="0" t="s">
        <v>30</v>
      </c>
      <c r="E245" s="0" t="str">
        <f aca="false">B245&amp;"|"&amp;C245&amp;"|"&amp;D245</f>
        <v>Zomba District [fyEoGEPERdI]|50+|Female</v>
      </c>
      <c r="F245" s="10" t="str">
        <f aca="false">IF(LEFT($B245,4)="_Mil","",INDEX(Cascade!$U:$U,MATCH($E245,Cascade!$E:$E,0)))</f>
        <v/>
      </c>
      <c r="G245" s="10" t="str">
        <f aca="false">IFERROR(1/(1/INDEX(HTS!$AT:$AT,MATCH($E245,HTS!$E:$E,0))),"")</f>
        <v/>
      </c>
      <c r="H245" s="10" t="str">
        <f aca="false">IF(OR($C245="15-24",$C245="25-34"),IFERROR(1/(1/SUM(SUMIFS(AGYW!$S:$S,AGYW!$B:$B,$B245,AGYW!$C:$C,IF($C245="15-24",{"15-19","20-24"},{"25-29"}),AGYW!$D:$D,$D245))),""),"")</f>
        <v/>
      </c>
      <c r="I245" s="10" t="str">
        <f aca="false">IF(OR($C245="15-24",$C245="25-34"),IFERROR(1/(1/SUM(SUMIFS(AGYW!$T:$T,AGYW!$B:$B,$B245,AGYW!$C:$C,IF($C245="15-24",{"15-19","20-24"},{"25-29"}),AGYW!$D:$D,$D245))),""),"")</f>
        <v/>
      </c>
      <c r="J245" s="10" t="n">
        <v>9</v>
      </c>
      <c r="K245" s="10" t="n">
        <v>3</v>
      </c>
      <c r="L245" s="39" t="n">
        <f aca="false">IF(SUM($K245)=0,"",$K245)</f>
        <v>3</v>
      </c>
      <c r="M245" s="10"/>
      <c r="N245" s="10"/>
      <c r="O245" s="39" t="str">
        <f aca="false">IF(SUM($N245)=0,"",$N245)</f>
        <v/>
      </c>
      <c r="P245" s="10" t="n">
        <f aca="false">2</f>
        <v>2</v>
      </c>
      <c r="Q245" s="39" t="str">
        <f aca="false">IF(SUM($O245)=0,"",$O245*$P245)</f>
        <v/>
      </c>
    </row>
    <row r="246" customFormat="false" ht="15" hidden="false" customHeight="false" outlineLevel="0" collapsed="false">
      <c r="A246" s="0" t="str">
        <f aca="false">INDEX(Prioritization!$D:$D,MATCH($B246,Prioritization!$A:$A,0))</f>
        <v>1 - Scale-up: Saturation</v>
      </c>
      <c r="B246" s="0" t="s">
        <v>222</v>
      </c>
      <c r="C246" s="0" t="s">
        <v>368</v>
      </c>
      <c r="D246" s="0" t="s">
        <v>48</v>
      </c>
      <c r="E246" s="0" t="str">
        <f aca="false">B246&amp;"|"&amp;C246&amp;"|"&amp;D246</f>
        <v>Zomba District [fyEoGEPERdI]|50+|Male</v>
      </c>
      <c r="F246" s="10" t="str">
        <f aca="false">IF(LEFT($B246,4)="_Mil","",INDEX(Cascade!$U:$U,MATCH($E246,Cascade!$E:$E,0)))</f>
        <v/>
      </c>
      <c r="G246" s="10" t="str">
        <f aca="false">IFERROR(1/(1/INDEX(HTS!$AT:$AT,MATCH($E246,HTS!$E:$E,0))),"")</f>
        <v/>
      </c>
      <c r="H246" s="10" t="str">
        <f aca="false">IF(OR($C246="15-24",$C246="25-34"),IFERROR(1/(1/SUM(SUMIFS(AGYW!$S:$S,AGYW!$B:$B,$B246,AGYW!$C:$C,IF($C246="15-24",{"15-19","20-24"},{"25-29"}),AGYW!$D:$D,$D246))),""),"")</f>
        <v/>
      </c>
      <c r="I246" s="10" t="str">
        <f aca="false">IF(OR($C246="15-24",$C246="25-34"),IFERROR(1/(1/SUM(SUMIFS(AGYW!$T:$T,AGYW!$B:$B,$B246,AGYW!$C:$C,IF($C246="15-24",{"15-19","20-24"},{"25-29"}),AGYW!$D:$D,$D246))),""),"")</f>
        <v/>
      </c>
      <c r="J246" s="10" t="n">
        <v>5</v>
      </c>
      <c r="K246" s="10" t="n">
        <v>4</v>
      </c>
      <c r="L246" s="39" t="n">
        <f aca="false">IF(SUM($K246)=0,"",$K246)</f>
        <v>4</v>
      </c>
      <c r="M246" s="10"/>
      <c r="N246" s="10"/>
      <c r="O246" s="39" t="str">
        <f aca="false">IF(SUM($N246)=0,"",$N246)</f>
        <v/>
      </c>
      <c r="P246" s="10" t="n">
        <f aca="false">2</f>
        <v>2</v>
      </c>
      <c r="Q246" s="39" t="str">
        <f aca="false">IF(SUM($O246)=0,"",$O246*$P246)</f>
        <v/>
      </c>
    </row>
  </sheetData>
  <conditionalFormatting sqref="H1:I1048576">
    <cfRule type="expression" priority="2" aboveAverage="0" equalAverage="0" bottom="0" percent="0" rank="0" text="" dxfId="79">
      <formula>AND(ROW(H1)&gt;14,$E1&lt;&gt;"",$D1&lt;&gt;"Female")</formula>
    </cfRule>
    <cfRule type="expression" priority="3" aboveAverage="0" equalAverage="0" bottom="0" percent="0" rank="0" text="" dxfId="80">
      <formula>AND(ROW(H1)&gt;14,$E1&lt;&gt;"",NOT(OR($C1="15-24",$C1="25-34")))</formula>
    </cfRule>
  </conditionalFormatting>
  <conditionalFormatting sqref="F1:F1048576">
    <cfRule type="expression" priority="4" aboveAverage="0" equalAverage="0" bottom="0" percent="0" rank="0" text="" dxfId="81">
      <formula>AND(ROW(F1)&gt;14,LEFT(B1,4)="_Mil")</formula>
    </cfRule>
  </conditionalFormatting>
  <conditionalFormatting sqref="F1:Q1048576">
    <cfRule type="expression" priority="5" aboveAverage="0" equalAverage="0" bottom="0" percent="0" rank="0" text="" dxfId="82">
      <formula>AND(ISNUMBER(F1),F1&lt;0)</formula>
    </cfRule>
  </conditionalFormatting>
  <hyperlinks>
    <hyperlink ref="F3" location="Cascade!U:U" display="P.C. Est. PLHIV (FY23)"/>
    <hyperlink ref="G3" location="HTS!AT:AT" display="HTS_TST_NEG&#10;(FY24)"/>
    <hyperlink ref="H3" location="AGYW!P:P" display="AGYW_PREV (D) (FY24)"/>
    <hyperlink ref="I3" location="AGYW!Q:Q" display="AGYW_PREV (N) (FY24)"/>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A3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V15" activeCellId="0" sqref="V15"/>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
    <col collapsed="false" customWidth="true" hidden="false" outlineLevel="0" max="53" min="6" style="0" width="11.83"/>
  </cols>
  <sheetData>
    <row r="1" customFormat="false" ht="30.75" hidden="false" customHeight="true" outlineLevel="0" collapsed="false">
      <c r="A1" s="41" t="s">
        <v>1068</v>
      </c>
      <c r="B1" s="15"/>
      <c r="C1" s="15"/>
      <c r="D1" s="15"/>
      <c r="E1" s="15"/>
      <c r="F1" s="48" t="s">
        <v>1069</v>
      </c>
      <c r="G1" s="43"/>
      <c r="H1" s="43"/>
      <c r="I1" s="43"/>
      <c r="J1" s="43"/>
      <c r="K1" s="43"/>
      <c r="L1" s="43"/>
      <c r="M1" s="48" t="s">
        <v>1070</v>
      </c>
      <c r="N1" s="47"/>
      <c r="O1" s="47"/>
      <c r="P1" s="47"/>
      <c r="Q1" s="47"/>
      <c r="R1" s="47"/>
      <c r="S1" s="47"/>
      <c r="T1" s="47"/>
      <c r="U1" s="47"/>
      <c r="V1" s="47"/>
      <c r="W1" s="48" t="s">
        <v>1071</v>
      </c>
      <c r="X1" s="43"/>
      <c r="Y1" s="43"/>
      <c r="Z1" s="48" t="s">
        <v>1072</v>
      </c>
      <c r="AA1" s="43"/>
      <c r="AB1" s="43"/>
      <c r="AC1" s="48" t="s">
        <v>1073</v>
      </c>
      <c r="AD1" s="43"/>
      <c r="AE1" s="43"/>
      <c r="AF1" s="48" t="s">
        <v>1074</v>
      </c>
      <c r="AG1" s="43"/>
      <c r="AH1" s="43"/>
      <c r="AI1" s="48" t="s">
        <v>1075</v>
      </c>
      <c r="AJ1" s="43"/>
      <c r="AK1" s="43"/>
      <c r="AL1" s="42" t="s">
        <v>1076</v>
      </c>
      <c r="AM1" s="43"/>
      <c r="AN1" s="43"/>
      <c r="AO1" s="43"/>
      <c r="AP1" s="43"/>
      <c r="AQ1" s="43"/>
      <c r="AR1" s="43"/>
      <c r="AS1" s="43"/>
      <c r="AT1" s="43"/>
      <c r="AU1" s="43"/>
      <c r="AV1" s="45"/>
      <c r="AW1" s="42" t="s">
        <v>1077</v>
      </c>
      <c r="AX1" s="47"/>
      <c r="AY1" s="43"/>
      <c r="AZ1" s="48" t="s">
        <v>375</v>
      </c>
      <c r="BA1" s="43"/>
    </row>
    <row r="2" customFormat="false" ht="18.75" hidden="false" customHeight="true" outlineLevel="0" collapsed="false">
      <c r="A2" s="158" t="s">
        <v>1078</v>
      </c>
      <c r="B2" s="158"/>
      <c r="C2" s="19"/>
      <c r="D2" s="19"/>
      <c r="E2" s="19"/>
      <c r="F2" s="54"/>
      <c r="G2" s="22"/>
      <c r="H2" s="22"/>
      <c r="I2" s="22"/>
      <c r="J2" s="22"/>
      <c r="K2" s="22"/>
      <c r="L2" s="22"/>
      <c r="M2" s="54"/>
      <c r="N2" s="52"/>
      <c r="O2" s="52"/>
      <c r="P2" s="52"/>
      <c r="Q2" s="52"/>
      <c r="R2" s="52"/>
      <c r="S2" s="52"/>
      <c r="T2" s="52"/>
      <c r="U2" s="52"/>
      <c r="V2" s="52"/>
      <c r="W2" s="54"/>
      <c r="X2" s="21" t="s">
        <v>177</v>
      </c>
      <c r="Y2" s="21" t="s">
        <v>177</v>
      </c>
      <c r="Z2" s="54"/>
      <c r="AA2" s="21" t="s">
        <v>177</v>
      </c>
      <c r="AB2" s="21" t="s">
        <v>177</v>
      </c>
      <c r="AC2" s="54"/>
      <c r="AD2" s="21" t="s">
        <v>177</v>
      </c>
      <c r="AE2" s="21" t="s">
        <v>177</v>
      </c>
      <c r="AF2" s="54"/>
      <c r="AG2" s="21" t="s">
        <v>177</v>
      </c>
      <c r="AH2" s="21" t="s">
        <v>177</v>
      </c>
      <c r="AI2" s="54"/>
      <c r="AJ2" s="21" t="s">
        <v>177</v>
      </c>
      <c r="AK2" s="21" t="s">
        <v>177</v>
      </c>
      <c r="AL2" s="50"/>
      <c r="AM2" s="133"/>
      <c r="AN2" s="22"/>
      <c r="AO2" s="22"/>
      <c r="AP2" s="22"/>
      <c r="AQ2" s="22"/>
      <c r="AR2" s="22"/>
      <c r="AS2" s="22"/>
      <c r="AT2" s="133"/>
      <c r="AU2" s="133"/>
      <c r="AV2" s="52"/>
      <c r="AW2" s="50"/>
      <c r="AX2" s="52"/>
      <c r="AY2" s="21" t="s">
        <v>177</v>
      </c>
      <c r="AZ2" s="54"/>
      <c r="BA2" s="21" t="s">
        <v>177</v>
      </c>
    </row>
    <row r="3" customFormat="false" ht="117" hidden="false" customHeight="true" outlineLevel="0" collapsed="false">
      <c r="A3" s="158"/>
      <c r="B3" s="158"/>
      <c r="C3" s="23"/>
      <c r="D3" s="23"/>
      <c r="E3" s="23"/>
      <c r="F3" s="168" t="s">
        <v>833</v>
      </c>
      <c r="G3" s="138" t="s">
        <v>864</v>
      </c>
      <c r="H3" s="138" t="s">
        <v>1079</v>
      </c>
      <c r="I3" s="138" t="s">
        <v>1080</v>
      </c>
      <c r="J3" s="138" t="s">
        <v>1081</v>
      </c>
      <c r="K3" s="138" t="s">
        <v>1082</v>
      </c>
      <c r="L3" s="69" t="s">
        <v>1083</v>
      </c>
      <c r="M3" s="168" t="s">
        <v>525</v>
      </c>
      <c r="N3" s="139" t="s">
        <v>526</v>
      </c>
      <c r="O3" s="139" t="s">
        <v>527</v>
      </c>
      <c r="P3" s="139" t="s">
        <v>528</v>
      </c>
      <c r="Q3" s="169" t="s">
        <v>1084</v>
      </c>
      <c r="R3" s="169" t="s">
        <v>1085</v>
      </c>
      <c r="S3" s="169" t="s">
        <v>1086</v>
      </c>
      <c r="T3" s="169" t="s">
        <v>1087</v>
      </c>
      <c r="U3" s="169" t="s">
        <v>1088</v>
      </c>
      <c r="V3" s="162" t="s">
        <v>534</v>
      </c>
      <c r="W3" s="170" t="s">
        <v>1089</v>
      </c>
      <c r="X3" s="167" t="s">
        <v>1090</v>
      </c>
      <c r="Y3" s="25" t="s">
        <v>1091</v>
      </c>
      <c r="Z3" s="170" t="s">
        <v>1089</v>
      </c>
      <c r="AA3" s="167" t="s">
        <v>1090</v>
      </c>
      <c r="AB3" s="25" t="s">
        <v>1091</v>
      </c>
      <c r="AC3" s="170" t="s">
        <v>1089</v>
      </c>
      <c r="AD3" s="167" t="s">
        <v>1090</v>
      </c>
      <c r="AE3" s="25" t="s">
        <v>1091</v>
      </c>
      <c r="AF3" s="170" t="s">
        <v>1089</v>
      </c>
      <c r="AG3" s="167" t="s">
        <v>1090</v>
      </c>
      <c r="AH3" s="25" t="s">
        <v>1091</v>
      </c>
      <c r="AI3" s="170" t="s">
        <v>1089</v>
      </c>
      <c r="AJ3" s="167" t="s">
        <v>1090</v>
      </c>
      <c r="AK3" s="25" t="s">
        <v>1091</v>
      </c>
      <c r="AL3" s="137" t="s">
        <v>1092</v>
      </c>
      <c r="AM3" s="72" t="s">
        <v>1093</v>
      </c>
      <c r="AN3" s="69" t="s">
        <v>1094</v>
      </c>
      <c r="AO3" s="138" t="s">
        <v>1095</v>
      </c>
      <c r="AP3" s="138" t="s">
        <v>1096</v>
      </c>
      <c r="AQ3" s="138" t="s">
        <v>1097</v>
      </c>
      <c r="AR3" s="138" t="s">
        <v>1098</v>
      </c>
      <c r="AS3" s="138" t="s">
        <v>1099</v>
      </c>
      <c r="AT3" s="72" t="s">
        <v>1100</v>
      </c>
      <c r="AU3" s="72" t="s">
        <v>1101</v>
      </c>
      <c r="AV3" s="162" t="s">
        <v>1102</v>
      </c>
      <c r="AW3" s="24" t="s">
        <v>1103</v>
      </c>
      <c r="AX3" s="160" t="s">
        <v>1104</v>
      </c>
      <c r="AY3" s="25" t="s">
        <v>539</v>
      </c>
      <c r="AZ3" s="170" t="s">
        <v>402</v>
      </c>
      <c r="BA3" s="72" t="s">
        <v>1105</v>
      </c>
    </row>
    <row r="4" customFormat="false" ht="15" hidden="false" customHeight="false" outlineLevel="0" collapsed="false">
      <c r="A4" s="73"/>
      <c r="B4" s="27"/>
      <c r="C4" s="27"/>
      <c r="D4" s="27" t="s">
        <v>288</v>
      </c>
      <c r="E4" s="27"/>
      <c r="F4" s="83"/>
      <c r="G4" s="73" t="n">
        <f aca="false">SUBTOTAL(109,G$15:INDEX(G:G,COUNTA($B:$B)+14-COUNTA($B$1:$B$14)))</f>
        <v>0</v>
      </c>
      <c r="H4" s="73" t="n">
        <f aca="false">SUBTOTAL(109,H$15:INDEX(H:H,COUNTA($B:$B)+14-COUNTA($B$1:$B$14)))</f>
        <v>0</v>
      </c>
      <c r="I4" s="73" t="n">
        <f aca="false">SUBTOTAL(109,I$15:INDEX(I:I,COUNTA($B:$B)+14-COUNTA($B$1:$B$14)))</f>
        <v>0</v>
      </c>
      <c r="J4" s="73" t="n">
        <f aca="false">SUBTOTAL(109,J$15:INDEX(J:J,COUNTA($B:$B)+14-COUNTA($B$1:$B$14)))</f>
        <v>0</v>
      </c>
      <c r="K4" s="73" t="n">
        <f aca="false">SUBTOTAL(109,K$15:INDEX(K:K,COUNTA($B:$B)+14-COUNTA($B$1:$B$14)))</f>
        <v>0</v>
      </c>
      <c r="L4" s="73" t="n">
        <f aca="false">SUBTOTAL(109,L$15:INDEX(L:L,COUNTA($B:$B)+14-COUNTA($B$1:$B$14)))</f>
        <v>0</v>
      </c>
      <c r="M4" s="83" t="str">
        <f aca="false">IF(OR(SUM($G$4)=0,SUM($H$4)=0),"",SUM($H$4)/SUM($G$4))</f>
        <v/>
      </c>
      <c r="N4" s="84" t="str">
        <f aca="false">IF(OR(SUM($G$4)=0,SUM($I$4)=0),"",SUM($I$4)/SUM($G$4))</f>
        <v/>
      </c>
      <c r="O4" s="84" t="str">
        <f aca="false">IF(OR(SUM($G$4)=0,SUM($J$4)=0),"",SUM($J$4)/SUM($G$4))</f>
        <v/>
      </c>
      <c r="P4" s="84" t="str">
        <f aca="false">IF(OR(SUM($G$4)=0,SUM($K$4)=0),"",SUM($K$4)/SUM($G$4))</f>
        <v/>
      </c>
      <c r="Q4" s="84" t="str">
        <f aca="false">IF(OR(SUM($G$4)=0,SUM($X$4)=0),"",SUM($X$4)/SUM($G$4))</f>
        <v/>
      </c>
      <c r="R4" s="84" t="str">
        <f aca="false">IF(OR(SUM($G$4)=0,SUM($AA$4)=0),"",SUM($AA$4)/SUM($G$4))</f>
        <v/>
      </c>
      <c r="S4" s="84" t="str">
        <f aca="false">IF(OR(SUM($G$4)=0,SUM($AD$4)=0),"",SUM($AD$4)/SUM($G$4))</f>
        <v/>
      </c>
      <c r="T4" s="84" t="str">
        <f aca="false">IF(OR(SUM($G$4)=0,SUM($AG$4)=0),"",SUM($AG$4)/SUM($G$4))</f>
        <v/>
      </c>
      <c r="U4" s="84" t="str">
        <f aca="false">IF(OR(SUM($G$4)=0,SUM($AJ$4)=0),"",SUM($AJ$4)/SUM($G$4))</f>
        <v/>
      </c>
      <c r="V4" s="84" t="n">
        <f aca="false">SUM($M4:$U4)</f>
        <v>0</v>
      </c>
      <c r="W4" s="83" t="str">
        <f aca="false">IF(SUM(X4:Y4)=0,"",X4/(SUM(X4:Y4)))</f>
        <v/>
      </c>
      <c r="X4" s="82" t="n">
        <f aca="false">SUBTOTAL(109,X$15:INDEX(X:X,COUNTA($B:$B)+14-COUNTA($B$1:$B$14)))</f>
        <v>0</v>
      </c>
      <c r="Y4" s="82" t="n">
        <f aca="false">SUBTOTAL(109,Y$15:INDEX(Y:Y,COUNTA($B:$B)+14-COUNTA($B$1:$B$14)))</f>
        <v>0</v>
      </c>
      <c r="Z4" s="83" t="str">
        <f aca="false">IF(SUM(AA4:AB4)=0,"",AA4/(SUM(AA4:AB4)))</f>
        <v/>
      </c>
      <c r="AA4" s="82" t="n">
        <f aca="false">SUBTOTAL(109,AA$15:INDEX(AA:AA,COUNTA($B:$B)+14-COUNTA($B$1:$B$14)))</f>
        <v>0</v>
      </c>
      <c r="AB4" s="82" t="n">
        <f aca="false">SUBTOTAL(109,AB$15:INDEX(AB:AB,COUNTA($B:$B)+14-COUNTA($B$1:$B$14)))</f>
        <v>0</v>
      </c>
      <c r="AC4" s="83" t="str">
        <f aca="false">IF(SUM(AD4:AE4)=0,"",AD4/(SUM(AD4:AE4)))</f>
        <v/>
      </c>
      <c r="AD4" s="82" t="n">
        <f aca="false">SUBTOTAL(109,AD$15:INDEX(AD:AD,COUNTA($B:$B)+14-COUNTA($B$1:$B$14)))</f>
        <v>0</v>
      </c>
      <c r="AE4" s="82" t="n">
        <f aca="false">SUBTOTAL(109,AE$15:INDEX(AE:AE,COUNTA($B:$B)+14-COUNTA($B$1:$B$14)))</f>
        <v>0</v>
      </c>
      <c r="AF4" s="83" t="str">
        <f aca="false">IF(SUM(AG4:AH4)=0,"",AG4/(SUM(AG4:AH4)))</f>
        <v/>
      </c>
      <c r="AG4" s="82" t="n">
        <f aca="false">SUBTOTAL(109,AG$15:INDEX(AG:AG,COUNTA($B:$B)+14-COUNTA($B$1:$B$14)))</f>
        <v>0</v>
      </c>
      <c r="AH4" s="82" t="n">
        <f aca="false">SUBTOTAL(109,AH$15:INDEX(AH:AH,COUNTA($B:$B)+14-COUNTA($B$1:$B$14)))</f>
        <v>0</v>
      </c>
      <c r="AI4" s="83" t="str">
        <f aca="false">IF(SUM(AJ4:AK4)=0,"",AJ4/(SUM(AJ4:AK4)))</f>
        <v/>
      </c>
      <c r="AJ4" s="82" t="n">
        <f aca="false">SUBTOTAL(109,AJ$15:INDEX(AJ:AJ,COUNTA($B:$B)+14-COUNTA($B$1:$B$14)))</f>
        <v>0</v>
      </c>
      <c r="AK4" s="82" t="n">
        <f aca="false">SUBTOTAL(109,AK$15:INDEX(AK:AK,COUNTA($B:$B)+14-COUNTA($B$1:$B$14)))</f>
        <v>0</v>
      </c>
      <c r="AL4" s="74" t="n">
        <f aca="false">SUBTOTAL(109,AL$15:INDEX(AL:AL,COUNTA($B:$B)+14-COUNTA($B$1:$B$14)))</f>
        <v>0</v>
      </c>
      <c r="AM4" s="82" t="n">
        <f aca="false">SUBTOTAL(109,AM$15:INDEX(AM:AM,COUNTA($B:$B)+14-COUNTA($B$1:$B$14)))</f>
        <v>0</v>
      </c>
      <c r="AN4" s="73" t="n">
        <f aca="false">SUBTOTAL(109,AN$15:INDEX(AN:AN,COUNTA($B:$B)+14-COUNTA($B$1:$B$14)))</f>
        <v>0</v>
      </c>
      <c r="AO4" s="73" t="n">
        <f aca="false">SUBTOTAL(109,AO$15:INDEX(AO:AO,COUNTA($B:$B)+14-COUNTA($B$1:$B$14)))</f>
        <v>0</v>
      </c>
      <c r="AP4" s="73" t="n">
        <f aca="false">SUBTOTAL(109,AP$15:INDEX(AP:AP,COUNTA($B:$B)+14-COUNTA($B$1:$B$14)))</f>
        <v>0</v>
      </c>
      <c r="AQ4" s="73" t="n">
        <f aca="false">SUBTOTAL(109,AQ$15:INDEX(AQ:AQ,COUNTA($B:$B)+14-COUNTA($B$1:$B$14)))</f>
        <v>0</v>
      </c>
      <c r="AR4" s="73" t="n">
        <f aca="false">SUBTOTAL(109,AR$15:INDEX(AR:AR,COUNTA($B:$B)+14-COUNTA($B$1:$B$14)))</f>
        <v>0</v>
      </c>
      <c r="AS4" s="73" t="n">
        <f aca="false">SUBTOTAL(109,AS$15:INDEX(AS:AS,COUNTA($B:$B)+14-COUNTA($B$1:$B$14)))</f>
        <v>0</v>
      </c>
      <c r="AT4" s="82" t="n">
        <f aca="false">SUBTOTAL(109,AT$15:INDEX(AT:AT,COUNTA($B:$B)+14-COUNTA($B$1:$B$14)))</f>
        <v>0</v>
      </c>
      <c r="AU4" s="82" t="n">
        <f aca="false">SUBTOTAL(109,AU$15:INDEX(AU:AU,COUNTA($B:$B)+14-COUNTA($B$1:$B$14)))</f>
        <v>0</v>
      </c>
      <c r="AV4" s="84" t="str">
        <f aca="false">IF($AU$4=0,"",$AM$4/$AU$4)</f>
        <v/>
      </c>
      <c r="AW4" s="74" t="n">
        <f aca="false">SUBTOTAL(109,AW$15:INDEX(AW:AW,COUNTA($B:$B)+14-COUNTA($B$1:$B$14)))</f>
        <v>0</v>
      </c>
      <c r="AX4" s="84" t="str">
        <f aca="false">IF($AW$4=0,"",$AY$4/$AW$4-1)</f>
        <v/>
      </c>
      <c r="AY4" s="82" t="n">
        <f aca="false">SUBTOTAL(109,AY$15:INDEX(AY:AY,COUNTA($B:$B)+14-COUNTA($B$1:$B$14)))</f>
        <v>0</v>
      </c>
      <c r="AZ4" s="83" t="str">
        <f aca="false">IF($AM$4=0,"",$BA$4/$AM$4)</f>
        <v/>
      </c>
      <c r="BA4" s="82" t="n">
        <f aca="false">SUBTOTAL(109,BA$15:INDEX(BA:BA,COUNTA($B:$B)+14-COUNTA($B$1:$B$14)))</f>
        <v>0</v>
      </c>
    </row>
    <row r="5" customFormat="false" ht="12.8" hidden="false" customHeight="false" outlineLevel="0" collapsed="false">
      <c r="A5" s="0" t="s">
        <v>181</v>
      </c>
      <c r="B5" s="9" t="s">
        <v>181</v>
      </c>
      <c r="C5" s="9" t="s">
        <v>181</v>
      </c>
      <c r="D5" s="9" t="s">
        <v>181</v>
      </c>
      <c r="E5" s="9" t="s">
        <v>181</v>
      </c>
      <c r="F5" s="92" t="s">
        <v>181</v>
      </c>
      <c r="G5" s="10" t="s">
        <v>181</v>
      </c>
      <c r="H5" s="10" t="s">
        <v>181</v>
      </c>
      <c r="I5" s="10" t="s">
        <v>181</v>
      </c>
      <c r="J5" s="10" t="s">
        <v>181</v>
      </c>
      <c r="K5" s="10" t="s">
        <v>181</v>
      </c>
      <c r="L5" s="10" t="s">
        <v>181</v>
      </c>
      <c r="M5" s="92" t="s">
        <v>181</v>
      </c>
      <c r="N5" s="88" t="s">
        <v>181</v>
      </c>
      <c r="O5" s="88" t="s">
        <v>181</v>
      </c>
      <c r="P5" s="88" t="s">
        <v>181</v>
      </c>
      <c r="Q5" s="88" t="s">
        <v>181</v>
      </c>
      <c r="R5" s="88" t="s">
        <v>181</v>
      </c>
      <c r="S5" s="88" t="s">
        <v>181</v>
      </c>
      <c r="T5" s="88" t="s">
        <v>181</v>
      </c>
      <c r="U5" s="88" t="s">
        <v>181</v>
      </c>
      <c r="V5" s="88" t="s">
        <v>181</v>
      </c>
      <c r="W5" s="92" t="s">
        <v>181</v>
      </c>
      <c r="X5" s="5" t="s">
        <v>289</v>
      </c>
      <c r="Y5" s="5" t="s">
        <v>289</v>
      </c>
      <c r="Z5" s="92" t="s">
        <v>181</v>
      </c>
      <c r="AA5" s="5" t="s">
        <v>289</v>
      </c>
      <c r="AB5" s="5" t="s">
        <v>289</v>
      </c>
      <c r="AC5" s="92" t="s">
        <v>181</v>
      </c>
      <c r="AD5" s="5" t="s">
        <v>289</v>
      </c>
      <c r="AE5" s="5" t="s">
        <v>289</v>
      </c>
      <c r="AF5" s="92" t="s">
        <v>181</v>
      </c>
      <c r="AG5" s="5" t="s">
        <v>289</v>
      </c>
      <c r="AH5" s="5" t="s">
        <v>289</v>
      </c>
      <c r="AI5" s="92" t="s">
        <v>181</v>
      </c>
      <c r="AJ5" s="5" t="s">
        <v>289</v>
      </c>
      <c r="AK5" s="5" t="s">
        <v>289</v>
      </c>
      <c r="AL5" s="85" t="s">
        <v>181</v>
      </c>
      <c r="AM5" s="5" t="s">
        <v>181</v>
      </c>
      <c r="AN5" s="10" t="s">
        <v>181</v>
      </c>
      <c r="AO5" s="10" t="s">
        <v>181</v>
      </c>
      <c r="AP5" s="10" t="s">
        <v>181</v>
      </c>
      <c r="AQ5" s="10" t="s">
        <v>181</v>
      </c>
      <c r="AR5" s="10" t="s">
        <v>181</v>
      </c>
      <c r="AS5" s="10" t="s">
        <v>181</v>
      </c>
      <c r="AT5" s="5" t="s">
        <v>181</v>
      </c>
      <c r="AU5" s="5" t="s">
        <v>181</v>
      </c>
      <c r="AV5" s="88" t="s">
        <v>181</v>
      </c>
      <c r="AW5" s="85" t="s">
        <v>289</v>
      </c>
      <c r="AX5" s="88" t="s">
        <v>181</v>
      </c>
      <c r="AY5" s="5" t="s">
        <v>289</v>
      </c>
      <c r="AZ5" s="92" t="s">
        <v>181</v>
      </c>
      <c r="BA5" s="5" t="s">
        <v>289</v>
      </c>
    </row>
    <row r="6" customFormat="false" ht="12.8" hidden="false" customHeight="false" outlineLevel="0" collapsed="false">
      <c r="A6" s="0" t="s">
        <v>183</v>
      </c>
      <c r="B6" s="9" t="s">
        <v>183</v>
      </c>
      <c r="C6" s="9" t="s">
        <v>183</v>
      </c>
      <c r="D6" s="9" t="s">
        <v>183</v>
      </c>
      <c r="E6" s="9" t="s">
        <v>183</v>
      </c>
      <c r="F6" s="92" t="s">
        <v>186</v>
      </c>
      <c r="G6" s="10" t="s">
        <v>186</v>
      </c>
      <c r="H6" s="10" t="s">
        <v>186</v>
      </c>
      <c r="I6" s="10" t="s">
        <v>186</v>
      </c>
      <c r="J6" s="10" t="s">
        <v>186</v>
      </c>
      <c r="K6" s="10" t="s">
        <v>186</v>
      </c>
      <c r="L6" s="10" t="s">
        <v>186</v>
      </c>
      <c r="M6" s="92" t="s">
        <v>186</v>
      </c>
      <c r="N6" s="88" t="s">
        <v>186</v>
      </c>
      <c r="O6" s="88" t="s">
        <v>186</v>
      </c>
      <c r="P6" s="88" t="s">
        <v>186</v>
      </c>
      <c r="Q6" s="88" t="s">
        <v>292</v>
      </c>
      <c r="R6" s="88" t="s">
        <v>292</v>
      </c>
      <c r="S6" s="88" t="s">
        <v>292</v>
      </c>
      <c r="T6" s="88" t="s">
        <v>292</v>
      </c>
      <c r="U6" s="88" t="s">
        <v>292</v>
      </c>
      <c r="V6" s="88" t="s">
        <v>186</v>
      </c>
      <c r="W6" s="92" t="s">
        <v>292</v>
      </c>
      <c r="X6" s="5" t="s">
        <v>185</v>
      </c>
      <c r="Y6" s="5" t="s">
        <v>185</v>
      </c>
      <c r="Z6" s="92" t="s">
        <v>292</v>
      </c>
      <c r="AA6" s="5" t="s">
        <v>185</v>
      </c>
      <c r="AB6" s="5" t="s">
        <v>185</v>
      </c>
      <c r="AC6" s="92" t="s">
        <v>292</v>
      </c>
      <c r="AD6" s="5" t="s">
        <v>185</v>
      </c>
      <c r="AE6" s="5" t="s">
        <v>185</v>
      </c>
      <c r="AF6" s="92" t="s">
        <v>292</v>
      </c>
      <c r="AG6" s="5" t="s">
        <v>185</v>
      </c>
      <c r="AH6" s="5" t="s">
        <v>185</v>
      </c>
      <c r="AI6" s="92" t="s">
        <v>292</v>
      </c>
      <c r="AJ6" s="5" t="s">
        <v>185</v>
      </c>
      <c r="AK6" s="5" t="s">
        <v>185</v>
      </c>
      <c r="AL6" s="85" t="s">
        <v>186</v>
      </c>
      <c r="AM6" s="5" t="s">
        <v>186</v>
      </c>
      <c r="AN6" s="10" t="s">
        <v>186</v>
      </c>
      <c r="AO6" s="10" t="s">
        <v>186</v>
      </c>
      <c r="AP6" s="10" t="s">
        <v>186</v>
      </c>
      <c r="AQ6" s="10" t="s">
        <v>186</v>
      </c>
      <c r="AR6" s="10" t="s">
        <v>186</v>
      </c>
      <c r="AS6" s="10" t="s">
        <v>186</v>
      </c>
      <c r="AT6" s="5" t="s">
        <v>186</v>
      </c>
      <c r="AU6" s="5" t="s">
        <v>186</v>
      </c>
      <c r="AV6" s="88" t="s">
        <v>186</v>
      </c>
      <c r="AW6" s="85" t="s">
        <v>184</v>
      </c>
      <c r="AX6" s="88" t="s">
        <v>291</v>
      </c>
      <c r="AY6" s="5" t="s">
        <v>185</v>
      </c>
      <c r="AZ6" s="92" t="s">
        <v>291</v>
      </c>
      <c r="BA6" s="5" t="s">
        <v>185</v>
      </c>
    </row>
    <row r="7" customFormat="false" ht="12.8" hidden="false" customHeight="false" outlineLevel="0" collapsed="false">
      <c r="A7" s="0" t="s">
        <v>187</v>
      </c>
      <c r="B7" s="9" t="s">
        <v>187</v>
      </c>
      <c r="C7" s="9" t="s">
        <v>187</v>
      </c>
      <c r="D7" s="9" t="s">
        <v>187</v>
      </c>
      <c r="E7" s="9" t="s">
        <v>187</v>
      </c>
      <c r="F7" s="92" t="s">
        <v>294</v>
      </c>
      <c r="G7" s="10" t="s">
        <v>188</v>
      </c>
      <c r="H7" s="10" t="s">
        <v>188</v>
      </c>
      <c r="I7" s="10" t="s">
        <v>188</v>
      </c>
      <c r="J7" s="10" t="s">
        <v>188</v>
      </c>
      <c r="K7" s="10" t="s">
        <v>188</v>
      </c>
      <c r="L7" s="10" t="s">
        <v>188</v>
      </c>
      <c r="M7" s="92" t="s">
        <v>294</v>
      </c>
      <c r="N7" s="88" t="s">
        <v>294</v>
      </c>
      <c r="O7" s="88" t="s">
        <v>294</v>
      </c>
      <c r="P7" s="88" t="s">
        <v>294</v>
      </c>
      <c r="Q7" s="88" t="s">
        <v>294</v>
      </c>
      <c r="R7" s="88" t="s">
        <v>294</v>
      </c>
      <c r="S7" s="88" t="s">
        <v>294</v>
      </c>
      <c r="T7" s="88" t="s">
        <v>294</v>
      </c>
      <c r="U7" s="88" t="s">
        <v>294</v>
      </c>
      <c r="V7" s="88" t="s">
        <v>294</v>
      </c>
      <c r="W7" s="92" t="s">
        <v>294</v>
      </c>
      <c r="X7" s="5" t="s">
        <v>188</v>
      </c>
      <c r="Y7" s="5" t="s">
        <v>188</v>
      </c>
      <c r="Z7" s="92" t="s">
        <v>294</v>
      </c>
      <c r="AA7" s="5" t="s">
        <v>188</v>
      </c>
      <c r="AB7" s="5" t="s">
        <v>188</v>
      </c>
      <c r="AC7" s="92" t="s">
        <v>294</v>
      </c>
      <c r="AD7" s="5" t="s">
        <v>188</v>
      </c>
      <c r="AE7" s="5" t="s">
        <v>188</v>
      </c>
      <c r="AF7" s="92" t="s">
        <v>294</v>
      </c>
      <c r="AG7" s="5" t="s">
        <v>188</v>
      </c>
      <c r="AH7" s="5" t="s">
        <v>188</v>
      </c>
      <c r="AI7" s="92" t="s">
        <v>294</v>
      </c>
      <c r="AJ7" s="5" t="s">
        <v>188</v>
      </c>
      <c r="AK7" s="5" t="s">
        <v>188</v>
      </c>
      <c r="AL7" s="85" t="s">
        <v>188</v>
      </c>
      <c r="AM7" s="5" t="s">
        <v>188</v>
      </c>
      <c r="AN7" s="10" t="s">
        <v>188</v>
      </c>
      <c r="AO7" s="10" t="s">
        <v>188</v>
      </c>
      <c r="AP7" s="10" t="s">
        <v>188</v>
      </c>
      <c r="AQ7" s="10" t="s">
        <v>188</v>
      </c>
      <c r="AR7" s="10" t="s">
        <v>188</v>
      </c>
      <c r="AS7" s="10" t="s">
        <v>188</v>
      </c>
      <c r="AT7" s="5" t="s">
        <v>188</v>
      </c>
      <c r="AU7" s="5" t="s">
        <v>188</v>
      </c>
      <c r="AV7" s="88" t="s">
        <v>294</v>
      </c>
      <c r="AW7" s="85" t="s">
        <v>188</v>
      </c>
      <c r="AX7" s="88" t="s">
        <v>294</v>
      </c>
      <c r="AY7" s="5" t="s">
        <v>188</v>
      </c>
      <c r="AZ7" s="92" t="s">
        <v>294</v>
      </c>
      <c r="BA7" s="5" t="s">
        <v>188</v>
      </c>
    </row>
    <row r="8" customFormat="false" ht="12.8" hidden="false" customHeight="false" outlineLevel="0" collapsed="false">
      <c r="B8" s="9"/>
      <c r="C8" s="9"/>
      <c r="D8" s="9"/>
      <c r="E8" s="9"/>
      <c r="F8" s="92"/>
      <c r="M8" s="92"/>
      <c r="N8" s="88"/>
      <c r="O8" s="88"/>
      <c r="P8" s="88"/>
      <c r="Q8" s="88"/>
      <c r="R8" s="88"/>
      <c r="S8" s="88"/>
      <c r="T8" s="88"/>
      <c r="U8" s="88"/>
      <c r="V8" s="88"/>
      <c r="W8" s="92"/>
      <c r="X8" s="97" t="s">
        <v>645</v>
      </c>
      <c r="Y8" s="97" t="s">
        <v>645</v>
      </c>
      <c r="Z8" s="92"/>
      <c r="AA8" s="97" t="s">
        <v>646</v>
      </c>
      <c r="AB8" s="97" t="s">
        <v>646</v>
      </c>
      <c r="AC8" s="92"/>
      <c r="AD8" s="97" t="s">
        <v>647</v>
      </c>
      <c r="AE8" s="97" t="s">
        <v>647</v>
      </c>
      <c r="AF8" s="92"/>
      <c r="AG8" s="97" t="s">
        <v>648</v>
      </c>
      <c r="AH8" s="97" t="s">
        <v>648</v>
      </c>
      <c r="AI8" s="92"/>
      <c r="AJ8" s="97" t="s">
        <v>649</v>
      </c>
      <c r="AK8" s="97" t="s">
        <v>649</v>
      </c>
      <c r="AV8" s="88"/>
      <c r="AW8" s="125" t="s">
        <v>1106</v>
      </c>
      <c r="AX8" s="88"/>
      <c r="AY8" s="97" t="s">
        <v>1106</v>
      </c>
      <c r="AZ8" s="92"/>
      <c r="BA8" s="97" t="s">
        <v>1107</v>
      </c>
    </row>
    <row r="9" customFormat="false" ht="12.8" hidden="false" customHeight="false" outlineLevel="0" collapsed="false">
      <c r="B9" s="9"/>
      <c r="C9" s="9"/>
      <c r="D9" s="9"/>
      <c r="E9" s="9"/>
      <c r="F9" s="92"/>
      <c r="M9" s="92"/>
      <c r="N9" s="88"/>
      <c r="O9" s="88"/>
      <c r="P9" s="88"/>
      <c r="Q9" s="88"/>
      <c r="R9" s="88"/>
      <c r="S9" s="88"/>
      <c r="T9" s="88"/>
      <c r="U9" s="88"/>
      <c r="V9" s="88"/>
      <c r="W9" s="92"/>
      <c r="X9" s="97" t="s">
        <v>1108</v>
      </c>
      <c r="Y9" s="97" t="s">
        <v>1108</v>
      </c>
      <c r="Z9" s="92"/>
      <c r="AA9" s="97" t="s">
        <v>1109</v>
      </c>
      <c r="AB9" s="97" t="s">
        <v>1109</v>
      </c>
      <c r="AC9" s="92"/>
      <c r="AD9" s="97" t="s">
        <v>1110</v>
      </c>
      <c r="AE9" s="97" t="s">
        <v>1110</v>
      </c>
      <c r="AF9" s="92"/>
      <c r="AG9" s="97" t="s">
        <v>1111</v>
      </c>
      <c r="AH9" s="97" t="s">
        <v>1111</v>
      </c>
      <c r="AI9" s="92"/>
      <c r="AJ9" s="97" t="s">
        <v>1112</v>
      </c>
      <c r="AK9" s="97" t="s">
        <v>1112</v>
      </c>
      <c r="AV9" s="88"/>
      <c r="AW9" s="125" t="s">
        <v>1113</v>
      </c>
      <c r="AX9" s="88"/>
      <c r="AY9" s="97" t="s">
        <v>1113</v>
      </c>
      <c r="AZ9" s="92"/>
      <c r="BA9" s="97" t="s">
        <v>1114</v>
      </c>
    </row>
    <row r="10" customFormat="false" ht="12.8" hidden="false" customHeight="false" outlineLevel="0" collapsed="false">
      <c r="B10" s="9"/>
      <c r="C10" s="9"/>
      <c r="D10" s="9"/>
      <c r="E10" s="9"/>
      <c r="F10" s="92"/>
      <c r="M10" s="92"/>
      <c r="N10" s="88"/>
      <c r="O10" s="88"/>
      <c r="P10" s="88"/>
      <c r="Q10" s="88"/>
      <c r="R10" s="88"/>
      <c r="S10" s="88"/>
      <c r="T10" s="88"/>
      <c r="U10" s="88"/>
      <c r="V10" s="88"/>
      <c r="W10" s="92"/>
      <c r="X10" s="97" t="s">
        <v>672</v>
      </c>
      <c r="Y10" s="97" t="s">
        <v>879</v>
      </c>
      <c r="Z10" s="92"/>
      <c r="AA10" s="97" t="s">
        <v>312</v>
      </c>
      <c r="AB10" s="97" t="s">
        <v>431</v>
      </c>
      <c r="AC10" s="92"/>
      <c r="AD10" s="97" t="s">
        <v>312</v>
      </c>
      <c r="AE10" s="97" t="s">
        <v>431</v>
      </c>
      <c r="AF10" s="92"/>
      <c r="AG10" s="97" t="s">
        <v>312</v>
      </c>
      <c r="AH10" s="97" t="s">
        <v>431</v>
      </c>
      <c r="AI10" s="92"/>
      <c r="AJ10" s="97" t="s">
        <v>312</v>
      </c>
      <c r="AK10" s="97" t="s">
        <v>431</v>
      </c>
      <c r="AV10" s="88"/>
      <c r="AW10" s="93"/>
      <c r="AX10" s="88"/>
      <c r="AY10" s="97"/>
      <c r="AZ10" s="92"/>
      <c r="BA10" s="97" t="s">
        <v>312</v>
      </c>
    </row>
    <row r="11" customFormat="false" ht="12.8" hidden="false" customHeight="false" outlineLevel="0" collapsed="false">
      <c r="B11" s="9"/>
      <c r="C11" s="9"/>
      <c r="D11" s="9"/>
      <c r="E11" s="9"/>
      <c r="F11" s="92" t="s">
        <v>314</v>
      </c>
      <c r="G11" s="10" t="s">
        <v>314</v>
      </c>
      <c r="H11" s="10" t="s">
        <v>683</v>
      </c>
      <c r="I11" s="10" t="s">
        <v>683</v>
      </c>
      <c r="J11" s="10" t="s">
        <v>314</v>
      </c>
      <c r="K11" s="10" t="s">
        <v>684</v>
      </c>
      <c r="L11" s="10" t="s">
        <v>314</v>
      </c>
      <c r="M11" s="92" t="s">
        <v>683</v>
      </c>
      <c r="N11" s="88" t="s">
        <v>683</v>
      </c>
      <c r="O11" s="88" t="s">
        <v>314</v>
      </c>
      <c r="P11" s="88" t="s">
        <v>684</v>
      </c>
      <c r="Q11" s="88" t="s">
        <v>314</v>
      </c>
      <c r="R11" s="88" t="s">
        <v>314</v>
      </c>
      <c r="S11" s="88" t="s">
        <v>314</v>
      </c>
      <c r="T11" s="88" t="s">
        <v>314</v>
      </c>
      <c r="U11" s="88" t="s">
        <v>314</v>
      </c>
      <c r="V11" s="88" t="s">
        <v>314</v>
      </c>
      <c r="W11" s="92" t="s">
        <v>314</v>
      </c>
      <c r="X11" s="5" t="s">
        <v>314</v>
      </c>
      <c r="Y11" s="5" t="s">
        <v>314</v>
      </c>
      <c r="Z11" s="92" t="s">
        <v>314</v>
      </c>
      <c r="AA11" s="5" t="s">
        <v>314</v>
      </c>
      <c r="AB11" s="5" t="s">
        <v>314</v>
      </c>
      <c r="AC11" s="92" t="s">
        <v>314</v>
      </c>
      <c r="AD11" s="5" t="s">
        <v>314</v>
      </c>
      <c r="AE11" s="5" t="s">
        <v>314</v>
      </c>
      <c r="AF11" s="92" t="s">
        <v>314</v>
      </c>
      <c r="AG11" s="5" t="s">
        <v>314</v>
      </c>
      <c r="AH11" s="5" t="s">
        <v>314</v>
      </c>
      <c r="AI11" s="92" t="s">
        <v>314</v>
      </c>
      <c r="AJ11" s="5" t="s">
        <v>314</v>
      </c>
      <c r="AK11" s="5" t="s">
        <v>314</v>
      </c>
      <c r="AL11" s="85" t="s">
        <v>314</v>
      </c>
      <c r="AM11" s="5" t="s">
        <v>314</v>
      </c>
      <c r="AN11" s="10" t="s">
        <v>314</v>
      </c>
      <c r="AO11" s="10" t="s">
        <v>683</v>
      </c>
      <c r="AP11" s="10" t="s">
        <v>683</v>
      </c>
      <c r="AQ11" s="10" t="s">
        <v>314</v>
      </c>
      <c r="AR11" s="10" t="s">
        <v>684</v>
      </c>
      <c r="AS11" s="10" t="s">
        <v>684</v>
      </c>
      <c r="AT11" s="5" t="s">
        <v>314</v>
      </c>
      <c r="AU11" s="5" t="s">
        <v>314</v>
      </c>
      <c r="AV11" s="88" t="s">
        <v>314</v>
      </c>
      <c r="AW11" s="85" t="s">
        <v>683</v>
      </c>
      <c r="AX11" s="88" t="s">
        <v>683</v>
      </c>
      <c r="AY11" s="5" t="s">
        <v>683</v>
      </c>
      <c r="AZ11" s="92" t="s">
        <v>684</v>
      </c>
      <c r="BA11" s="5" t="s">
        <v>684</v>
      </c>
    </row>
    <row r="12" customFormat="false" ht="12.8" hidden="false" customHeight="false" outlineLevel="0" collapsed="false">
      <c r="B12" s="9"/>
      <c r="C12" s="9"/>
      <c r="D12" s="9"/>
      <c r="E12" s="9"/>
      <c r="F12" s="92" t="s">
        <v>317</v>
      </c>
      <c r="G12" s="10" t="s">
        <v>317</v>
      </c>
      <c r="H12" s="10" t="s">
        <v>690</v>
      </c>
      <c r="I12" s="10" t="s">
        <v>690</v>
      </c>
      <c r="J12" s="10" t="s">
        <v>317</v>
      </c>
      <c r="K12" s="10" t="s">
        <v>691</v>
      </c>
      <c r="L12" s="10" t="s">
        <v>317</v>
      </c>
      <c r="M12" s="92" t="s">
        <v>690</v>
      </c>
      <c r="N12" s="88" t="s">
        <v>690</v>
      </c>
      <c r="O12" s="88" t="s">
        <v>317</v>
      </c>
      <c r="P12" s="88" t="s">
        <v>691</v>
      </c>
      <c r="Q12" s="88" t="s">
        <v>317</v>
      </c>
      <c r="R12" s="88" t="s">
        <v>317</v>
      </c>
      <c r="S12" s="88" t="s">
        <v>317</v>
      </c>
      <c r="T12" s="88" t="s">
        <v>317</v>
      </c>
      <c r="U12" s="88" t="s">
        <v>317</v>
      </c>
      <c r="V12" s="88" t="s">
        <v>317</v>
      </c>
      <c r="W12" s="92" t="s">
        <v>317</v>
      </c>
      <c r="X12" s="5" t="s">
        <v>317</v>
      </c>
      <c r="Y12" s="5" t="s">
        <v>317</v>
      </c>
      <c r="Z12" s="92" t="s">
        <v>317</v>
      </c>
      <c r="AA12" s="5" t="s">
        <v>317</v>
      </c>
      <c r="AB12" s="5" t="s">
        <v>317</v>
      </c>
      <c r="AC12" s="92" t="s">
        <v>317</v>
      </c>
      <c r="AD12" s="5" t="s">
        <v>317</v>
      </c>
      <c r="AE12" s="5" t="s">
        <v>317</v>
      </c>
      <c r="AF12" s="92" t="s">
        <v>317</v>
      </c>
      <c r="AG12" s="5" t="s">
        <v>317</v>
      </c>
      <c r="AH12" s="5" t="s">
        <v>317</v>
      </c>
      <c r="AI12" s="92" t="s">
        <v>317</v>
      </c>
      <c r="AJ12" s="5" t="s">
        <v>317</v>
      </c>
      <c r="AK12" s="5" t="s">
        <v>317</v>
      </c>
      <c r="AL12" s="85" t="s">
        <v>317</v>
      </c>
      <c r="AM12" s="5" t="s">
        <v>317</v>
      </c>
      <c r="AN12" s="10" t="s">
        <v>317</v>
      </c>
      <c r="AO12" s="10" t="s">
        <v>690</v>
      </c>
      <c r="AP12" s="10" t="s">
        <v>690</v>
      </c>
      <c r="AQ12" s="10" t="s">
        <v>317</v>
      </c>
      <c r="AR12" s="10" t="s">
        <v>691</v>
      </c>
      <c r="AS12" s="10" t="s">
        <v>317</v>
      </c>
      <c r="AT12" s="5" t="s">
        <v>317</v>
      </c>
      <c r="AU12" s="5" t="s">
        <v>317</v>
      </c>
      <c r="AV12" s="88" t="s">
        <v>317</v>
      </c>
      <c r="AW12" s="85" t="s">
        <v>317</v>
      </c>
      <c r="AX12" s="88" t="s">
        <v>317</v>
      </c>
      <c r="AY12" s="5" t="s">
        <v>317</v>
      </c>
      <c r="AZ12" s="92" t="s">
        <v>317</v>
      </c>
      <c r="BA12" s="5" t="s">
        <v>317</v>
      </c>
    </row>
    <row r="13" customFormat="false" ht="12.8" hidden="false" customHeight="false" outlineLevel="0" collapsed="false">
      <c r="B13" s="9"/>
      <c r="C13" s="9"/>
      <c r="D13" s="9"/>
      <c r="E13" s="9"/>
      <c r="F13" s="92"/>
      <c r="M13" s="92"/>
      <c r="N13" s="88"/>
      <c r="O13" s="88"/>
      <c r="P13" s="88"/>
      <c r="Q13" s="88"/>
      <c r="R13" s="88"/>
      <c r="S13" s="88"/>
      <c r="T13" s="88"/>
      <c r="U13" s="88"/>
      <c r="V13" s="88"/>
      <c r="W13" s="92"/>
      <c r="Z13" s="92"/>
      <c r="AC13" s="92"/>
      <c r="AF13" s="92"/>
      <c r="AI13" s="92"/>
      <c r="AV13" s="88"/>
      <c r="AX13" s="88"/>
      <c r="BA13" s="5"/>
    </row>
    <row r="14" customFormat="false" ht="15" hidden="false" customHeight="false" outlineLevel="0" collapsed="false">
      <c r="A14" s="100" t="s">
        <v>176</v>
      </c>
      <c r="B14" s="33" t="s">
        <v>190</v>
      </c>
      <c r="C14" s="33" t="s">
        <v>318</v>
      </c>
      <c r="D14" s="33" t="s">
        <v>319</v>
      </c>
      <c r="E14" s="33" t="s">
        <v>20</v>
      </c>
      <c r="F14" s="105" t="s">
        <v>145</v>
      </c>
      <c r="G14" s="36" t="s">
        <v>912</v>
      </c>
      <c r="H14" s="36" t="s">
        <v>892</v>
      </c>
      <c r="I14" s="36" t="s">
        <v>908</v>
      </c>
      <c r="J14" s="36" t="s">
        <v>989</v>
      </c>
      <c r="K14" s="36" t="s">
        <v>1039</v>
      </c>
      <c r="L14" s="36" t="s">
        <v>1115</v>
      </c>
      <c r="M14" s="105" t="s">
        <v>1116</v>
      </c>
      <c r="N14" s="103" t="s">
        <v>1117</v>
      </c>
      <c r="O14" s="103" t="s">
        <v>1118</v>
      </c>
      <c r="P14" s="103" t="s">
        <v>1119</v>
      </c>
      <c r="Q14" s="103" t="s">
        <v>1120</v>
      </c>
      <c r="R14" s="103" t="s">
        <v>1121</v>
      </c>
      <c r="S14" s="103" t="s">
        <v>1122</v>
      </c>
      <c r="T14" s="103" t="s">
        <v>1123</v>
      </c>
      <c r="U14" s="103" t="s">
        <v>1124</v>
      </c>
      <c r="V14" s="103" t="s">
        <v>1125</v>
      </c>
      <c r="W14" s="105" t="s">
        <v>1126</v>
      </c>
      <c r="X14" s="107" t="s">
        <v>1127</v>
      </c>
      <c r="Y14" s="107" t="s">
        <v>1128</v>
      </c>
      <c r="Z14" s="105" t="s">
        <v>1129</v>
      </c>
      <c r="AA14" s="107" t="s">
        <v>1130</v>
      </c>
      <c r="AB14" s="107" t="s">
        <v>1131</v>
      </c>
      <c r="AC14" s="105" t="s">
        <v>1132</v>
      </c>
      <c r="AD14" s="107" t="s">
        <v>1133</v>
      </c>
      <c r="AE14" s="107" t="s">
        <v>1134</v>
      </c>
      <c r="AF14" s="105" t="s">
        <v>1135</v>
      </c>
      <c r="AG14" s="107" t="s">
        <v>1136</v>
      </c>
      <c r="AH14" s="107" t="s">
        <v>1137</v>
      </c>
      <c r="AI14" s="105" t="s">
        <v>1138</v>
      </c>
      <c r="AJ14" s="107" t="s">
        <v>1139</v>
      </c>
      <c r="AK14" s="107" t="s">
        <v>1140</v>
      </c>
      <c r="AL14" s="101" t="s">
        <v>1141</v>
      </c>
      <c r="AM14" s="107" t="s">
        <v>1142</v>
      </c>
      <c r="AN14" s="36" t="s">
        <v>1143</v>
      </c>
      <c r="AO14" s="36" t="s">
        <v>893</v>
      </c>
      <c r="AP14" s="36" t="s">
        <v>909</v>
      </c>
      <c r="AQ14" s="36" t="s">
        <v>990</v>
      </c>
      <c r="AR14" s="36" t="s">
        <v>1040</v>
      </c>
      <c r="AS14" s="36" t="s">
        <v>1144</v>
      </c>
      <c r="AT14" s="107" t="s">
        <v>1145</v>
      </c>
      <c r="AU14" s="107" t="s">
        <v>1146</v>
      </c>
      <c r="AV14" s="103" t="s">
        <v>1147</v>
      </c>
      <c r="AW14" s="101" t="s">
        <v>1148</v>
      </c>
      <c r="AX14" s="103" t="s">
        <v>1149</v>
      </c>
      <c r="AY14" s="107" t="s">
        <v>735</v>
      </c>
      <c r="AZ14" s="105" t="s">
        <v>732</v>
      </c>
      <c r="BA14" s="107" t="s">
        <v>731</v>
      </c>
    </row>
    <row r="15" customFormat="false" ht="15" hidden="false" customHeight="false" outlineLevel="0" collapsed="false">
      <c r="A15" s="0" t="str">
        <f aca="false">INDEX(Prioritization!$D:$D,MATCH($B15,Prioritization!$A:$A,0))</f>
        <v>Military</v>
      </c>
      <c r="B15" s="9" t="s">
        <v>194</v>
      </c>
      <c r="C15" s="9" t="s">
        <v>363</v>
      </c>
      <c r="D15" s="9" t="s">
        <v>30</v>
      </c>
      <c r="E15" s="0" t="str">
        <f aca="false">$B15&amp;"|"&amp;$C15&amp;"|"&amp;$D15</f>
        <v>_Military Malawi [PQZgU9dagaH]|01-09|Female</v>
      </c>
      <c r="F15" s="92" t="str">
        <f aca="false">IF(LEFT($B15,4)="_Mil","",INDEX(Cascade!$AA:$AA,MATCH($E15,Cascade!$E:$E,0)))</f>
        <v/>
      </c>
      <c r="G15" s="10" t="n">
        <f aca="false">INDEX(Cascade!$BH:$BH,MATCH($E15,Cascade!$E:$E,0))</f>
        <v>0</v>
      </c>
      <c r="H15" s="10" t="str">
        <f aca="false">IF(OR($C15="01-09",$D15="Male"),"",INDEX(PMTCT!$AC:$AC,MATCH($E15,PMTCT!$E:$E,0)))</f>
        <v/>
      </c>
      <c r="I15" s="10" t="str">
        <f aca="false">IF(OR($C15="01-09",$D15="Male"),"",INDEX(PMTCT!$AS:$AS,MATCH($E15,PMTCT!$E:$E,0)))</f>
        <v/>
      </c>
      <c r="J15" s="10" t="str">
        <f aca="false">INDEX(TB!$P:$P,MATCH($E15,TB!$E:$E,0))</f>
        <v/>
      </c>
      <c r="K15" s="10" t="str">
        <f aca="false">IF(OR($C15="01-09",$C15="10-14",$D15="Female"),"",INDEX(VMMC!$AA:$AA,MATCH($E15,VMMC!$E:$E,0)))</f>
        <v/>
      </c>
      <c r="L15" s="10" t="n">
        <f aca="false">SUM($G15)-SUM($H15:$K15)</f>
        <v>0</v>
      </c>
      <c r="M15" s="92" t="str">
        <f aca="false">IF(OR($C15="01-09",$D15="Male",AND(SUM($G15)=0,SUM($H15)=0)),"",SUM($H15)/SUM($G15))</f>
        <v/>
      </c>
      <c r="N15" s="88" t="str">
        <f aca="false">IF(OR($C15="01-09",$D15="Male",AND(SUM($G15)=0,SUM($I15)=0)),"",SUM($I15)/SUM($G15))</f>
        <v/>
      </c>
      <c r="O15" s="88" t="str">
        <f aca="false">IF(AND(SUM($G15)=0,SUM($J15)=0),"",SUM($J15)/SUM($G15))</f>
        <v/>
      </c>
      <c r="P15" s="88" t="str">
        <f aca="false">IF(OR($C15="01-09",$C15="10-14",$D15="Female",AND(SUM($G15)=0,SUM($K15)=0)),"",SUM($K15)/SUM($G15))</f>
        <v/>
      </c>
      <c r="Q15" s="88"/>
      <c r="R15" s="88"/>
      <c r="S15" s="88"/>
      <c r="T15" s="88"/>
      <c r="U15" s="88"/>
      <c r="V15" s="88" t="str">
        <f aca="false">IF(SUM($G15)=0,"",SUM($M15:$U15))</f>
        <v/>
      </c>
      <c r="W15" s="92"/>
      <c r="X15" s="5" t="str">
        <f aca="false">IF(OR(SUM($G15)=0,SUM($Q15)=0),"",ROUND(SUM($G15)*SUM($Q15),0))</f>
        <v/>
      </c>
      <c r="Y15" s="5" t="str">
        <f aca="false">IF(SUM($X15)=0,"",IF(SUM($W15)=0,"ENTER YIELD",ROUND($X15/$W15,0)-$X15))</f>
        <v/>
      </c>
      <c r="Z15" s="92"/>
      <c r="AA15" s="5" t="str">
        <f aca="false">IF(OR(SUM($G15)=0,SUM($R15)=0),"",ROUND(SUM($G15)*SUM($R15),0))</f>
        <v/>
      </c>
      <c r="AB15" s="5" t="str">
        <f aca="false">IF(SUM($AA15)=0,"",IF(SUM($Z15)=0,"ENTER YIELD",ROUND($AA15/$Z15,0)-$AA15))</f>
        <v/>
      </c>
      <c r="AC15" s="92"/>
      <c r="AD15" s="5" t="str">
        <f aca="false">IF(OR(SUM($G15)=0,SUM($S15)=0),"",ROUND(SUM($G15)*SUM($S15),0))</f>
        <v/>
      </c>
      <c r="AE15" s="5" t="str">
        <f aca="false">IF(SUM($AD15)=0,"",IF(SUM($AC15)=0,"ENTER YIELD",ROUND($AD15/$AC15,0)-$AD15))</f>
        <v/>
      </c>
      <c r="AF15" s="92"/>
      <c r="AG15" s="5" t="str">
        <f aca="false">IF(OR(SUM($G15)=0,SUM($T15)=0),"",ROUND(SUM($G15)*SUM($T15),0))</f>
        <v/>
      </c>
      <c r="AH15" s="5" t="str">
        <f aca="false">IF(SUM($AG15)=0,"",IF(SUM($AF15)=0,"ENTER YIELD",ROUND($AG15/$AF15,0)-$AG15))</f>
        <v/>
      </c>
      <c r="AI15" s="92"/>
      <c r="AJ15" s="5" t="str">
        <f aca="false">IF(OR(SUM($G15)=0,SUM($U15)=0),"",ROUND(SUM($G15)*SUM($U15),0))</f>
        <v/>
      </c>
      <c r="AK15" s="5" t="str">
        <f aca="false">IF(SUM($AJ15)=0,"",IF(SUM($AI15)=0,"ENTER YIELD",ROUND($AJ15/$AI15,0)-$AJ15))</f>
        <v/>
      </c>
      <c r="AL15" s="85" t="str">
        <f aca="false">IF(SUM($G15)=0,"",$G15)</f>
        <v/>
      </c>
      <c r="AM15" s="5" t="str">
        <f aca="false">IFERROR(1/(1/SUM($H15:$K15,$X15,$AA15,$AD15,$AG15,$AJ15)),"")</f>
        <v/>
      </c>
      <c r="AN15" s="10" t="str">
        <f aca="false">IF(AND(SUM($AM15)=0,SUM($AL15)=0),"",$AM15-$AL15)</f>
        <v/>
      </c>
      <c r="AO15" s="10" t="str">
        <f aca="false">IF(OR($C15="01-09",$D15="Male"),"",INDEX(PMTCT!$AD:$AD,MATCH($E15,PMTCT!$E:$E,0)))</f>
        <v/>
      </c>
      <c r="AP15" s="10" t="str">
        <f aca="false">IF(OR($C15="01-09",$D15="Male"),"",INDEX(PMTCT!$AT:$AT,MATCH($E15,PMTCT!$E:$E,0)))</f>
        <v/>
      </c>
      <c r="AQ15" s="10" t="str">
        <f aca="false">INDEX(TB!$Q:$Q,MATCH($E15,TB!$E:$E,0))</f>
        <v/>
      </c>
      <c r="AR15" s="10" t="str">
        <f aca="false">IF(OR($C15="01-09",$C15="10-14",$D15="Female"),"",INDEX(VMMC!$AB:$AB,MATCH($E15,VMMC!$E:$E,0)))</f>
        <v/>
      </c>
      <c r="AS15" s="10" t="str">
        <f aca="false">IF(OR($C15="01-09",$C15="10-14"),"",INDEX(PrEP!$Q:$Q,MATCH($E15,PrEP!$E:$E,0)))</f>
        <v/>
      </c>
      <c r="AT15" s="5" t="str">
        <f aca="false">IFERROR(1/(1/SUM($Y15,$AB15,$AE15,$AH15,$AK15,$AO15:$AS15)),"")</f>
        <v/>
      </c>
      <c r="AU15" s="5" t="str">
        <f aca="false">IFERROR(1/(1/SUM($AT15,$AM15)),"")</f>
        <v/>
      </c>
      <c r="AV15" s="88" t="str">
        <f aca="false">IF(AND(SUM($AM15)=0,SUM($AU15)=0),"",$AM15/$AU15)</f>
        <v/>
      </c>
      <c r="AW15" s="10"/>
      <c r="AX15" s="88" t="str">
        <f aca="false">IF(OR($C15="01-09",SUM($AW15)=0),"",0%)</f>
        <v/>
      </c>
      <c r="AY15" s="5" t="str">
        <f aca="false">IF(OR($C15="01-09",SUM($AW15)=0),"",ROUND($AW15*(1+$AX15),0))</f>
        <v/>
      </c>
      <c r="AZ15" s="92" t="str">
        <f aca="false">IF(OR($C15="01-09",$C15="10-14"),"",100%)</f>
        <v/>
      </c>
      <c r="BA15" s="5" t="str">
        <f aca="false">IF(OR(SUM($AM15)=0,$C15="01-09",$C15="10-14"),"",$AM15*$AZ15)</f>
        <v/>
      </c>
    </row>
    <row r="16" customFormat="false" ht="15" hidden="false" customHeight="false" outlineLevel="0" collapsed="false">
      <c r="A16" s="0" t="str">
        <f aca="false">INDEX(Prioritization!$D:$D,MATCH($B16,Prioritization!$A:$A,0))</f>
        <v>Military</v>
      </c>
      <c r="B16" s="0" t="s">
        <v>194</v>
      </c>
      <c r="C16" s="0" t="s">
        <v>363</v>
      </c>
      <c r="D16" s="0" t="s">
        <v>48</v>
      </c>
      <c r="E16" s="0" t="str">
        <f aca="false">$B16&amp;"|"&amp;$C16&amp;"|"&amp;$D16</f>
        <v>_Military Malawi [PQZgU9dagaH]|01-09|Male</v>
      </c>
      <c r="F16" s="88" t="str">
        <f aca="false">IF(LEFT($B16,4)="_Mil","",INDEX(Cascade!$AA:$AA,MATCH($E16,Cascade!$E:$E,0)))</f>
        <v/>
      </c>
      <c r="G16" s="10" t="n">
        <f aca="false">INDEX(Cascade!$BH:$BH,MATCH($E16,Cascade!$E:$E,0))</f>
        <v>0</v>
      </c>
      <c r="H16" s="10" t="str">
        <f aca="false">IF(OR($C16="01-09",$D16="Male"),"",INDEX(PMTCT!$AC:$AC,MATCH($E16,PMTCT!$E:$E,0)))</f>
        <v/>
      </c>
      <c r="I16" s="10" t="str">
        <f aca="false">IF(OR($C16="01-09",$D16="Male"),"",INDEX(PMTCT!$AS:$AS,MATCH($E16,PMTCT!$E:$E,0)))</f>
        <v/>
      </c>
      <c r="J16" s="10" t="str">
        <f aca="false">INDEX(TB!$P:$P,MATCH($E16,TB!$E:$E,0))</f>
        <v/>
      </c>
      <c r="K16" s="10" t="str">
        <f aca="false">IF(OR($C16="01-09",$C16="10-14",$D16="Female"),"",INDEX(VMMC!$AA:$AA,MATCH($E16,VMMC!$E:$E,0)))</f>
        <v/>
      </c>
      <c r="L16" s="10" t="n">
        <f aca="false">SUM($G16)-SUM($H16:$K16)</f>
        <v>0</v>
      </c>
      <c r="M16" s="88" t="str">
        <f aca="false">IF(OR($C16="01-09",$D16="Male",AND(SUM($G16)=0,SUM($H16)=0)),"",SUM($H16)/SUM($G16))</f>
        <v/>
      </c>
      <c r="N16" s="88" t="str">
        <f aca="false">IF(OR($C16="01-09",$D16="Male",AND(SUM($G16)=0,SUM($I16)=0)),"",SUM($I16)/SUM($G16))</f>
        <v/>
      </c>
      <c r="O16" s="88" t="str">
        <f aca="false">IF(AND(SUM($G16)=0,SUM($J16)=0),"",SUM($J16)/SUM($G16))</f>
        <v/>
      </c>
      <c r="P16" s="88" t="str">
        <f aca="false">IF(OR($C16="01-09",$C16="10-14",$D16="Female",AND(SUM($G16)=0,SUM($K16)=0)),"",SUM($K16)/SUM($G16))</f>
        <v/>
      </c>
      <c r="Q16" s="88"/>
      <c r="R16" s="88"/>
      <c r="S16" s="88"/>
      <c r="T16" s="88"/>
      <c r="U16" s="88"/>
      <c r="V16" s="88" t="str">
        <f aca="false">IF(SUM($G16)=0,"",SUM($M16:$U16))</f>
        <v/>
      </c>
      <c r="W16" s="88"/>
      <c r="X16" s="39" t="str">
        <f aca="false">IF(OR(SUM($G16)=0,SUM($Q16)=0),"",ROUND(SUM($G16)*SUM($Q16),0))</f>
        <v/>
      </c>
      <c r="Y16" s="39" t="str">
        <f aca="false">IF(SUM($X16)=0,"",IF(SUM($W16)=0,"ENTER YIELD",ROUND($X16/$W16,0)-$X16))</f>
        <v/>
      </c>
      <c r="Z16" s="88"/>
      <c r="AA16" s="39" t="str">
        <f aca="false">IF(OR(SUM($G16)=0,SUM($R16)=0),"",ROUND(SUM($G16)*SUM($R16),0))</f>
        <v/>
      </c>
      <c r="AB16" s="39" t="str">
        <f aca="false">IF(SUM($AA16)=0,"",IF(SUM($Z16)=0,"ENTER YIELD",ROUND($AA16/$Z16,0)-$AA16))</f>
        <v/>
      </c>
      <c r="AC16" s="88"/>
      <c r="AD16" s="39" t="str">
        <f aca="false">IF(OR(SUM($G16)=0,SUM($S16)=0),"",ROUND(SUM($G16)*SUM($S16),0))</f>
        <v/>
      </c>
      <c r="AE16" s="39" t="str">
        <f aca="false">IF(SUM($AD16)=0,"",IF(SUM($AC16)=0,"ENTER YIELD",ROUND($AD16/$AC16,0)-$AD16))</f>
        <v/>
      </c>
      <c r="AF16" s="88"/>
      <c r="AG16" s="39" t="str">
        <f aca="false">IF(OR(SUM($G16)=0,SUM($T16)=0),"",ROUND(SUM($G16)*SUM($T16),0))</f>
        <v/>
      </c>
      <c r="AH16" s="39" t="str">
        <f aca="false">IF(SUM($AG16)=0,"",IF(SUM($AF16)=0,"ENTER YIELD",ROUND($AG16/$AF16,0)-$AG16))</f>
        <v/>
      </c>
      <c r="AI16" s="88"/>
      <c r="AJ16" s="39" t="str">
        <f aca="false">IF(OR(SUM($G16)=0,SUM($U16)=0),"",ROUND(SUM($G16)*SUM($U16),0))</f>
        <v/>
      </c>
      <c r="AK16" s="39" t="str">
        <f aca="false">IF(SUM($AJ16)=0,"",IF(SUM($AI16)=0,"ENTER YIELD",ROUND($AJ16/$AI16,0)-$AJ16))</f>
        <v/>
      </c>
      <c r="AL16" s="10" t="str">
        <f aca="false">IF(SUM($G16)=0,"",$G16)</f>
        <v/>
      </c>
      <c r="AM16" s="10" t="str">
        <f aca="false">IFERROR(1/(1/SUM($H16:$K16,$X16,$AA16,$AD16,$AG16,$AJ16)),"")</f>
        <v/>
      </c>
      <c r="AN16" s="10" t="str">
        <f aca="false">IF(AND(SUM($AM16)=0,SUM($AL16)=0),"",$AM16-$AL16)</f>
        <v/>
      </c>
      <c r="AO16" s="10" t="str">
        <f aca="false">IF(OR($C16="01-09",$D16="Male"),"",INDEX(PMTCT!$AD:$AD,MATCH($E16,PMTCT!$E:$E,0)))</f>
        <v/>
      </c>
      <c r="AP16" s="10" t="str">
        <f aca="false">IF(OR($C16="01-09",$D16="Male"),"",INDEX(PMTCT!$AT:$AT,MATCH($E16,PMTCT!$E:$E,0)))</f>
        <v/>
      </c>
      <c r="AQ16" s="10" t="str">
        <f aca="false">INDEX(TB!$Q:$Q,MATCH($E16,TB!$E:$E,0))</f>
        <v/>
      </c>
      <c r="AR16" s="10" t="str">
        <f aca="false">IF(OR($C16="01-09",$C16="10-14",$D16="Female"),"",INDEX(VMMC!$AB:$AB,MATCH($E16,VMMC!$E:$E,0)))</f>
        <v/>
      </c>
      <c r="AS16" s="10" t="str">
        <f aca="false">IF(OR($C16="01-09",$C16="10-14"),"",INDEX(PrEP!$Q:$Q,MATCH($E16,PrEP!$E:$E,0)))</f>
        <v/>
      </c>
      <c r="AT16" s="10" t="str">
        <f aca="false">IFERROR(1/(1/SUM($Y16,$AB16,$AE16,$AH16,$AK16,$AO16:$AS16)),"")</f>
        <v/>
      </c>
      <c r="AU16" s="10" t="str">
        <f aca="false">IFERROR(1/(1/SUM($AT16,$AM16)),"")</f>
        <v/>
      </c>
      <c r="AV16" s="88" t="str">
        <f aca="false">IF(AND(SUM($AM16)=0,SUM($AU16)=0),"",$AM16/$AU16)</f>
        <v/>
      </c>
      <c r="AW16" s="10"/>
      <c r="AX16" s="88" t="str">
        <f aca="false">IF(OR($C16="01-09",SUM($AW16)=0),"",0%)</f>
        <v/>
      </c>
      <c r="AY16" s="39" t="str">
        <f aca="false">IF(OR($C16="01-09",SUM($AW16)=0),"",ROUND($AW16*(1+$AX16),0))</f>
        <v/>
      </c>
      <c r="AZ16" s="88" t="str">
        <f aca="false">IF(OR($C16="01-09",$C16="10-14"),"",100%)</f>
        <v/>
      </c>
      <c r="BA16" s="39" t="str">
        <f aca="false">IF(OR(SUM($AM16)=0,$C16="01-09",$C16="10-14"),"",$AM16*$AZ16)</f>
        <v/>
      </c>
    </row>
    <row r="17" customFormat="false" ht="15" hidden="false" customHeight="false" outlineLevel="0" collapsed="false">
      <c r="A17" s="0" t="str">
        <f aca="false">INDEX(Prioritization!$D:$D,MATCH($B17,Prioritization!$A:$A,0))</f>
        <v>Military</v>
      </c>
      <c r="B17" s="0" t="s">
        <v>194</v>
      </c>
      <c r="C17" s="0" t="s">
        <v>364</v>
      </c>
      <c r="D17" s="0" t="s">
        <v>30</v>
      </c>
      <c r="E17" s="0" t="str">
        <f aca="false">$B17&amp;"|"&amp;$C17&amp;"|"&amp;$D17</f>
        <v>_Military Malawi [PQZgU9dagaH]|10-14|Female</v>
      </c>
      <c r="F17" s="88" t="str">
        <f aca="false">IF(LEFT($B17,4)="_Mil","",INDEX(Cascade!$AA:$AA,MATCH($E17,Cascade!$E:$E,0)))</f>
        <v/>
      </c>
      <c r="G17" s="10" t="n">
        <f aca="false">INDEX(Cascade!$BH:$BH,MATCH($E17,Cascade!$E:$E,0))</f>
        <v>-47</v>
      </c>
      <c r="H17" s="10" t="str">
        <f aca="false">IF(OR($C17="01-09",$D17="Male"),"",INDEX(PMTCT!$AC:$AC,MATCH($E17,PMTCT!$E:$E,0)))</f>
        <v>ENTER YIELD RATE</v>
      </c>
      <c r="I17" s="10" t="str">
        <f aca="false">IF(OR($C17="01-09",$D17="Male"),"",INDEX(PMTCT!$AS:$AS,MATCH($E17,PMTCT!$E:$E,0)))</f>
        <v>ENTER YIELD RATE</v>
      </c>
      <c r="J17" s="10" t="str">
        <f aca="false">INDEX(TB!$P:$P,MATCH($E17,TB!$E:$E,0))</f>
        <v/>
      </c>
      <c r="K17" s="10" t="str">
        <f aca="false">IF(OR($C17="01-09",$C17="10-14",$D17="Female"),"",INDEX(VMMC!$AA:$AA,MATCH($E17,VMMC!$E:$E,0)))</f>
        <v/>
      </c>
      <c r="L17" s="10" t="n">
        <f aca="false">SUM($G17)-SUM($H17:$K17)</f>
        <v>-47</v>
      </c>
      <c r="M17" s="88" t="n">
        <f aca="false">IF(OR($C17="01-09",$D17="Male",AND(SUM($G17)=0,SUM($H17)=0)),"",SUM($H17)/SUM($G17))</f>
        <v>-0</v>
      </c>
      <c r="N17" s="88" t="n">
        <f aca="false">IF(OR($C17="01-09",$D17="Male",AND(SUM($G17)=0,SUM($I17)=0)),"",SUM($I17)/SUM($G17))</f>
        <v>-0</v>
      </c>
      <c r="O17" s="88" t="n">
        <f aca="false">IF(AND(SUM($G17)=0,SUM($J17)=0),"",SUM($J17)/SUM($G17))</f>
        <v>-0</v>
      </c>
      <c r="P17" s="88" t="str">
        <f aca="false">IF(OR($C17="01-09",$C17="10-14",$D17="Female",AND(SUM($G17)=0,SUM($K17)=0)),"",SUM($K17)/SUM($G17))</f>
        <v/>
      </c>
      <c r="Q17" s="88" t="n">
        <v>0.731708627426997</v>
      </c>
      <c r="R17" s="88"/>
      <c r="S17" s="88"/>
      <c r="T17" s="88"/>
      <c r="U17" s="88" t="n">
        <v>0.369642418343574</v>
      </c>
      <c r="V17" s="88" t="n">
        <f aca="false">IF(SUM($G17)=0,"",SUM($M17:$U17))</f>
        <v>1.10135104577057</v>
      </c>
      <c r="W17" s="88"/>
      <c r="X17" s="39" t="n">
        <f aca="false">IF(OR(SUM($G17)=0,SUM($Q17)=0),"",ROUND(SUM($G17)*SUM($Q17),0))</f>
        <v>-34</v>
      </c>
      <c r="Y17" s="39" t="str">
        <f aca="false">IF(SUM($X17)=0,"",IF(SUM($W17)=0,"ENTER YIELD",ROUND($X17/$W17,0)-$X17))</f>
        <v>ENTER YIELD</v>
      </c>
      <c r="Z17" s="88"/>
      <c r="AA17" s="39" t="str">
        <f aca="false">IF(OR(SUM($G17)=0,SUM($R17)=0),"",ROUND(SUM($G17)*SUM($R17),0))</f>
        <v/>
      </c>
      <c r="AB17" s="39" t="str">
        <f aca="false">IF(SUM($AA17)=0,"",IF(SUM($Z17)=0,"ENTER YIELD",ROUND($AA17/$Z17,0)-$AA17))</f>
        <v/>
      </c>
      <c r="AC17" s="88"/>
      <c r="AD17" s="39" t="str">
        <f aca="false">IF(OR(SUM($G17)=0,SUM($S17)=0),"",ROUND(SUM($G17)*SUM($S17),0))</f>
        <v/>
      </c>
      <c r="AE17" s="39" t="str">
        <f aca="false">IF(SUM($AD17)=0,"",IF(SUM($AC17)=0,"ENTER YIELD",ROUND($AD17/$AC17,0)-$AD17))</f>
        <v/>
      </c>
      <c r="AF17" s="88"/>
      <c r="AG17" s="39" t="str">
        <f aca="false">IF(OR(SUM($G17)=0,SUM($T17)=0),"",ROUND(SUM($G17)*SUM($T17),0))</f>
        <v/>
      </c>
      <c r="AH17" s="39" t="str">
        <f aca="false">IF(SUM($AG17)=0,"",IF(SUM($AF17)=0,"ENTER YIELD",ROUND($AG17/$AF17,0)-$AG17))</f>
        <v/>
      </c>
      <c r="AI17" s="88" t="n">
        <v>0.739253441570327</v>
      </c>
      <c r="AJ17" s="39" t="n">
        <f aca="false">IF(OR(SUM($G17)=0,SUM($U17)=0),"",ROUND(SUM($G17)*SUM($U17),0))</f>
        <v>-17</v>
      </c>
      <c r="AK17" s="39" t="n">
        <f aca="false">IF(SUM($AJ17)=0,"",IF(SUM($AI17)=0,"ENTER YIELD",ROUND($AJ17/$AI17,0)-$AJ17))</f>
        <v>-6</v>
      </c>
      <c r="AL17" s="10" t="n">
        <f aca="false">IF(SUM($G17)=0,"",$G17)</f>
        <v>-47</v>
      </c>
      <c r="AM17" s="10" t="n">
        <f aca="false">IFERROR(1/(1/SUM($H17:$K17,$X17,$AA17,$AD17,$AG17,$AJ17)),"")</f>
        <v>-51</v>
      </c>
      <c r="AN17" s="10" t="n">
        <f aca="false">IF(AND(SUM($AM17)=0,SUM($AL17)=0),"",$AM17-$AL17)</f>
        <v>-4</v>
      </c>
      <c r="AO17" s="10" t="n">
        <f aca="false">IF(OR($C17="01-09",$D17="Male"),"",INDEX(PMTCT!$AD:$AD,MATCH($E17,PMTCT!$E:$E,0)))</f>
        <v>6</v>
      </c>
      <c r="AP17" s="10" t="n">
        <f aca="false">IF(OR($C17="01-09",$D17="Male"),"",INDEX(PMTCT!$AT:$AT,MATCH($E17,PMTCT!$E:$E,0)))</f>
        <v>6</v>
      </c>
      <c r="AQ17" s="10" t="str">
        <f aca="false">INDEX(TB!$Q:$Q,MATCH($E17,TB!$E:$E,0))</f>
        <v/>
      </c>
      <c r="AR17" s="10" t="str">
        <f aca="false">IF(OR($C17="01-09",$C17="10-14",$D17="Female"),"",INDEX(VMMC!$AB:$AB,MATCH($E17,VMMC!$E:$E,0)))</f>
        <v/>
      </c>
      <c r="AS17" s="10" t="str">
        <f aca="false">IF(OR($C17="01-09",$C17="10-14"),"",INDEX(PrEP!$Q:$Q,MATCH($E17,PrEP!$E:$E,0)))</f>
        <v/>
      </c>
      <c r="AT17" s="10" t="n">
        <f aca="false">IFERROR(1/(1/SUM($Y17,$AB17,$AE17,$AH17,$AK17,$AO17:$AS17)),"")</f>
        <v>6</v>
      </c>
      <c r="AU17" s="10" t="n">
        <f aca="false">IFERROR(1/(1/SUM($AT17,$AM17)),"")</f>
        <v>-45</v>
      </c>
      <c r="AV17" s="88" t="n">
        <f aca="false">IF(AND(SUM($AM17)=0,SUM($AU17)=0),"",$AM17/$AU17)</f>
        <v>1.13333333333333</v>
      </c>
      <c r="AW17" s="10"/>
      <c r="AX17" s="88" t="str">
        <f aca="false">IF(OR($C17="01-09",SUM($AW17)=0),"",0%)</f>
        <v/>
      </c>
      <c r="AY17" s="39" t="str">
        <f aca="false">IF(OR($C17="01-09",SUM($AW17)=0),"",ROUND($AW17*(1+$AX17),0))</f>
        <v/>
      </c>
      <c r="AZ17" s="88" t="str">
        <f aca="false">IF(OR($C17="01-09",$C17="10-14"),"",100%)</f>
        <v/>
      </c>
      <c r="BA17" s="39" t="str">
        <f aca="false">IF(OR(SUM($AM17)=0,$C17="01-09",$C17="10-14"),"",$AM17*$AZ17)</f>
        <v/>
      </c>
    </row>
    <row r="18" customFormat="false" ht="15" hidden="false" customHeight="false" outlineLevel="0" collapsed="false">
      <c r="A18" s="0" t="str">
        <f aca="false">INDEX(Prioritization!$D:$D,MATCH($B18,Prioritization!$A:$A,0))</f>
        <v>Military</v>
      </c>
      <c r="B18" s="0" t="s">
        <v>194</v>
      </c>
      <c r="C18" s="0" t="s">
        <v>364</v>
      </c>
      <c r="D18" s="0" t="s">
        <v>48</v>
      </c>
      <c r="E18" s="0" t="str">
        <f aca="false">$B18&amp;"|"&amp;$C18&amp;"|"&amp;$D18</f>
        <v>_Military Malawi [PQZgU9dagaH]|10-14|Male</v>
      </c>
      <c r="F18" s="88" t="str">
        <f aca="false">IF(LEFT($B18,4)="_Mil","",INDEX(Cascade!$AA:$AA,MATCH($E18,Cascade!$E:$E,0)))</f>
        <v/>
      </c>
      <c r="G18" s="10" t="n">
        <f aca="false">INDEX(Cascade!$BH:$BH,MATCH($E18,Cascade!$E:$E,0))</f>
        <v>-80</v>
      </c>
      <c r="H18" s="10" t="str">
        <f aca="false">IF(OR($C18="01-09",$D18="Male"),"",INDEX(PMTCT!$AC:$AC,MATCH($E18,PMTCT!$E:$E,0)))</f>
        <v/>
      </c>
      <c r="I18" s="10" t="str">
        <f aca="false">IF(OR($C18="01-09",$D18="Male"),"",INDEX(PMTCT!$AS:$AS,MATCH($E18,PMTCT!$E:$E,0)))</f>
        <v/>
      </c>
      <c r="J18" s="10" t="str">
        <f aca="false">INDEX(TB!$P:$P,MATCH($E18,TB!$E:$E,0))</f>
        <v/>
      </c>
      <c r="K18" s="10" t="str">
        <f aca="false">IF(OR($C18="01-09",$C18="10-14",$D18="Female"),"",INDEX(VMMC!$AA:$AA,MATCH($E18,VMMC!$E:$E,0)))</f>
        <v/>
      </c>
      <c r="L18" s="10" t="n">
        <f aca="false">SUM($G18)-SUM($H18:$K18)</f>
        <v>-80</v>
      </c>
      <c r="M18" s="88" t="str">
        <f aca="false">IF(OR($C18="01-09",$D18="Male",AND(SUM($G18)=0,SUM($H18)=0)),"",SUM($H18)/SUM($G18))</f>
        <v/>
      </c>
      <c r="N18" s="88" t="str">
        <f aca="false">IF(OR($C18="01-09",$D18="Male",AND(SUM($G18)=0,SUM($I18)=0)),"",SUM($I18)/SUM($G18))</f>
        <v/>
      </c>
      <c r="O18" s="88" t="n">
        <f aca="false">IF(AND(SUM($G18)=0,SUM($J18)=0),"",SUM($J18)/SUM($G18))</f>
        <v>-0</v>
      </c>
      <c r="P18" s="88" t="str">
        <f aca="false">IF(OR($C18="01-09",$C18="10-14",$D18="Female",AND(SUM($G18)=0,SUM($K18)=0)),"",SUM($K18)/SUM($G18))</f>
        <v/>
      </c>
      <c r="Q18" s="88" t="n">
        <v>0.61917488463223</v>
      </c>
      <c r="R18" s="88"/>
      <c r="S18" s="88"/>
      <c r="T18" s="88"/>
      <c r="U18" s="88" t="n">
        <v>0.543703582603484</v>
      </c>
      <c r="V18" s="88" t="n">
        <f aca="false">IF(SUM($G18)=0,"",SUM($M18:$U18))</f>
        <v>1.16287846723571</v>
      </c>
      <c r="W18" s="88"/>
      <c r="X18" s="39" t="n">
        <f aca="false">IF(OR(SUM($G18)=0,SUM($Q18)=0),"",ROUND(SUM($G18)*SUM($Q18),0))</f>
        <v>-50</v>
      </c>
      <c r="Y18" s="39" t="str">
        <f aca="false">IF(SUM($X18)=0,"",IF(SUM($W18)=0,"ENTER YIELD",ROUND($X18/$W18,0)-$X18))</f>
        <v>ENTER YIELD</v>
      </c>
      <c r="Z18" s="88"/>
      <c r="AA18" s="39" t="str">
        <f aca="false">IF(OR(SUM($G18)=0,SUM($R18)=0),"",ROUND(SUM($G18)*SUM($R18),0))</f>
        <v/>
      </c>
      <c r="AB18" s="39" t="str">
        <f aca="false">IF(SUM($AA18)=0,"",IF(SUM($Z18)=0,"ENTER YIELD",ROUND($AA18/$Z18,0)-$AA18))</f>
        <v/>
      </c>
      <c r="AC18" s="88"/>
      <c r="AD18" s="39" t="str">
        <f aca="false">IF(OR(SUM($G18)=0,SUM($S18)=0),"",ROUND(SUM($G18)*SUM($S18),0))</f>
        <v/>
      </c>
      <c r="AE18" s="39" t="str">
        <f aca="false">IF(SUM($AD18)=0,"",IF(SUM($AC18)=0,"ENTER YIELD",ROUND($AD18/$AC18,0)-$AD18))</f>
        <v/>
      </c>
      <c r="AF18" s="88"/>
      <c r="AG18" s="39" t="str">
        <f aca="false">IF(OR(SUM($G18)=0,SUM($T18)=0),"",ROUND(SUM($G18)*SUM($T18),0))</f>
        <v/>
      </c>
      <c r="AH18" s="39" t="str">
        <f aca="false">IF(SUM($AG18)=0,"",IF(SUM($AF18)=0,"ENTER YIELD",ROUND($AG18/$AF18,0)-$AG18))</f>
        <v/>
      </c>
      <c r="AI18" s="88" t="n">
        <v>0.994187103118747</v>
      </c>
      <c r="AJ18" s="39" t="n">
        <f aca="false">IF(OR(SUM($G18)=0,SUM($U18)=0),"",ROUND(SUM($G18)*SUM($U18),0))</f>
        <v>-43</v>
      </c>
      <c r="AK18" s="39" t="n">
        <f aca="false">IF(SUM($AJ18)=0,"",IF(SUM($AI18)=0,"ENTER YIELD",ROUND($AJ18/$AI18,0)-$AJ18))</f>
        <v>0</v>
      </c>
      <c r="AL18" s="10" t="n">
        <f aca="false">IF(SUM($G18)=0,"",$G18)</f>
        <v>-80</v>
      </c>
      <c r="AM18" s="10" t="n">
        <f aca="false">IFERROR(1/(1/SUM($H18:$K18,$X18,$AA18,$AD18,$AG18,$AJ18)),"")</f>
        <v>-93</v>
      </c>
      <c r="AN18" s="10" t="n">
        <f aca="false">IF(AND(SUM($AM18)=0,SUM($AL18)=0),"",$AM18-$AL18)</f>
        <v>-13</v>
      </c>
      <c r="AO18" s="10" t="str">
        <f aca="false">IF(OR($C18="01-09",$D18="Male"),"",INDEX(PMTCT!$AD:$AD,MATCH($E18,PMTCT!$E:$E,0)))</f>
        <v/>
      </c>
      <c r="AP18" s="10" t="str">
        <f aca="false">IF(OR($C18="01-09",$D18="Male"),"",INDEX(PMTCT!$AT:$AT,MATCH($E18,PMTCT!$E:$E,0)))</f>
        <v/>
      </c>
      <c r="AQ18" s="10" t="str">
        <f aca="false">INDEX(TB!$Q:$Q,MATCH($E18,TB!$E:$E,0))</f>
        <v/>
      </c>
      <c r="AR18" s="10" t="str">
        <f aca="false">IF(OR($C18="01-09",$C18="10-14",$D18="Female"),"",INDEX(VMMC!$AB:$AB,MATCH($E18,VMMC!$E:$E,0)))</f>
        <v/>
      </c>
      <c r="AS18" s="10" t="str">
        <f aca="false">IF(OR($C18="01-09",$C18="10-14"),"",INDEX(PrEP!$Q:$Q,MATCH($E18,PrEP!$E:$E,0)))</f>
        <v/>
      </c>
      <c r="AT18" s="10" t="str">
        <f aca="false">IFERROR(1/(1/SUM($Y18,$AB18,$AE18,$AH18,$AK18,$AO18:$AS18)),"")</f>
        <v/>
      </c>
      <c r="AU18" s="10" t="n">
        <f aca="false">IFERROR(1/(1/SUM($AT18,$AM18)),"")</f>
        <v>-93</v>
      </c>
      <c r="AV18" s="88" t="n">
        <f aca="false">IF(AND(SUM($AM18)=0,SUM($AU18)=0),"",$AM18/$AU18)</f>
        <v>1</v>
      </c>
      <c r="AW18" s="10"/>
      <c r="AX18" s="88" t="str">
        <f aca="false">IF(OR($C18="01-09",SUM($AW18)=0),"",0%)</f>
        <v/>
      </c>
      <c r="AY18" s="39" t="str">
        <f aca="false">IF(OR($C18="01-09",SUM($AW18)=0),"",ROUND($AW18*(1+$AX18),0))</f>
        <v/>
      </c>
      <c r="AZ18" s="88" t="str">
        <f aca="false">IF(OR($C18="01-09",$C18="10-14"),"",100%)</f>
        <v/>
      </c>
      <c r="BA18" s="39" t="str">
        <f aca="false">IF(OR(SUM($AM18)=0,$C18="01-09",$C18="10-14"),"",$AM18*$AZ18)</f>
        <v/>
      </c>
    </row>
    <row r="19" customFormat="false" ht="15" hidden="false" customHeight="false" outlineLevel="0" collapsed="false">
      <c r="A19" s="0" t="str">
        <f aca="false">INDEX(Prioritization!$D:$D,MATCH($B19,Prioritization!$A:$A,0))</f>
        <v>Military</v>
      </c>
      <c r="B19" s="0" t="s">
        <v>194</v>
      </c>
      <c r="C19" s="0" t="s">
        <v>365</v>
      </c>
      <c r="D19" s="0" t="s">
        <v>30</v>
      </c>
      <c r="E19" s="0" t="str">
        <f aca="false">$B19&amp;"|"&amp;$C19&amp;"|"&amp;$D19</f>
        <v>_Military Malawi [PQZgU9dagaH]|15-24|Female</v>
      </c>
      <c r="F19" s="88" t="str">
        <f aca="false">IF(LEFT($B19,4)="_Mil","",INDEX(Cascade!$AA:$AA,MATCH($E19,Cascade!$E:$E,0)))</f>
        <v/>
      </c>
      <c r="G19" s="10" t="n">
        <f aca="false">INDEX(Cascade!$BH:$BH,MATCH($E19,Cascade!$E:$E,0))</f>
        <v>0</v>
      </c>
      <c r="H19" s="10" t="str">
        <f aca="false">IF(OR($C19="01-09",$D19="Male"),"",INDEX(PMTCT!$AC:$AC,MATCH($E19,PMTCT!$E:$E,0)))</f>
        <v/>
      </c>
      <c r="I19" s="10" t="str">
        <f aca="false">IF(OR($C19="01-09",$D19="Male"),"",INDEX(PMTCT!$AS:$AS,MATCH($E19,PMTCT!$E:$E,0)))</f>
        <v/>
      </c>
      <c r="J19" s="10" t="str">
        <f aca="false">INDEX(TB!$P:$P,MATCH($E19,TB!$E:$E,0))</f>
        <v/>
      </c>
      <c r="K19" s="10" t="str">
        <f aca="false">IF(OR($C19="01-09",$C19="10-14",$D19="Female"),"",INDEX(VMMC!$AA:$AA,MATCH($E19,VMMC!$E:$E,0)))</f>
        <v/>
      </c>
      <c r="L19" s="10" t="n">
        <f aca="false">SUM($G19)-SUM($H19:$K19)</f>
        <v>0</v>
      </c>
      <c r="M19" s="88" t="str">
        <f aca="false">IF(OR($C19="01-09",$D19="Male",AND(SUM($G19)=0,SUM($H19)=0)),"",SUM($H19)/SUM($G19))</f>
        <v/>
      </c>
      <c r="N19" s="88" t="str">
        <f aca="false">IF(OR($C19="01-09",$D19="Male",AND(SUM($G19)=0,SUM($I19)=0)),"",SUM($I19)/SUM($G19))</f>
        <v/>
      </c>
      <c r="O19" s="88" t="str">
        <f aca="false">IF(AND(SUM($G19)=0,SUM($J19)=0),"",SUM($J19)/SUM($G19))</f>
        <v/>
      </c>
      <c r="P19" s="88" t="str">
        <f aca="false">IF(OR($C19="01-09",$C19="10-14",$D19="Female",AND(SUM($G19)=0,SUM($K19)=0)),"",SUM($K19)/SUM($G19))</f>
        <v/>
      </c>
      <c r="Q19" s="88"/>
      <c r="R19" s="88"/>
      <c r="S19" s="88"/>
      <c r="T19" s="88"/>
      <c r="U19" s="88"/>
      <c r="V19" s="88" t="str">
        <f aca="false">IF(SUM($G19)=0,"",SUM($M19:$U19))</f>
        <v/>
      </c>
      <c r="W19" s="88"/>
      <c r="X19" s="39" t="str">
        <f aca="false">IF(OR(SUM($G19)=0,SUM($Q19)=0),"",ROUND(SUM($G19)*SUM($Q19),0))</f>
        <v/>
      </c>
      <c r="Y19" s="39" t="str">
        <f aca="false">IF(SUM($X19)=0,"",IF(SUM($W19)=0,"ENTER YIELD",ROUND($X19/$W19,0)-$X19))</f>
        <v/>
      </c>
      <c r="Z19" s="88"/>
      <c r="AA19" s="39" t="str">
        <f aca="false">IF(OR(SUM($G19)=0,SUM($R19)=0),"",ROUND(SUM($G19)*SUM($R19),0))</f>
        <v/>
      </c>
      <c r="AB19" s="39" t="str">
        <f aca="false">IF(SUM($AA19)=0,"",IF(SUM($Z19)=0,"ENTER YIELD",ROUND($AA19/$Z19,0)-$AA19))</f>
        <v/>
      </c>
      <c r="AC19" s="88"/>
      <c r="AD19" s="39" t="str">
        <f aca="false">IF(OR(SUM($G19)=0,SUM($S19)=0),"",ROUND(SUM($G19)*SUM($S19),0))</f>
        <v/>
      </c>
      <c r="AE19" s="39" t="str">
        <f aca="false">IF(SUM($AD19)=0,"",IF(SUM($AC19)=0,"ENTER YIELD",ROUND($AD19/$AC19,0)-$AD19))</f>
        <v/>
      </c>
      <c r="AF19" s="88"/>
      <c r="AG19" s="39" t="str">
        <f aca="false">IF(OR(SUM($G19)=0,SUM($T19)=0),"",ROUND(SUM($G19)*SUM($T19),0))</f>
        <v/>
      </c>
      <c r="AH19" s="39" t="str">
        <f aca="false">IF(SUM($AG19)=0,"",IF(SUM($AF19)=0,"ENTER YIELD",ROUND($AG19/$AF19,0)-$AG19))</f>
        <v/>
      </c>
      <c r="AI19" s="88"/>
      <c r="AJ19" s="39" t="str">
        <f aca="false">IF(OR(SUM($G19)=0,SUM($U19)=0),"",ROUND(SUM($G19)*SUM($U19),0))</f>
        <v/>
      </c>
      <c r="AK19" s="39" t="str">
        <f aca="false">IF(SUM($AJ19)=0,"",IF(SUM($AI19)=0,"ENTER YIELD",ROUND($AJ19/$AI19,0)-$AJ19))</f>
        <v/>
      </c>
      <c r="AL19" s="10" t="str">
        <f aca="false">IF(SUM($G19)=0,"",$G19)</f>
        <v/>
      </c>
      <c r="AM19" s="10" t="str">
        <f aca="false">IFERROR(1/(1/SUM($H19:$K19,$X19,$AA19,$AD19,$AG19,$AJ19)),"")</f>
        <v/>
      </c>
      <c r="AN19" s="10" t="str">
        <f aca="false">IF(AND(SUM($AM19)=0,SUM($AL19)=0),"",$AM19-$AL19)</f>
        <v/>
      </c>
      <c r="AO19" s="10" t="str">
        <f aca="false">IF(OR($C19="01-09",$D19="Male"),"",INDEX(PMTCT!$AD:$AD,MATCH($E19,PMTCT!$E:$E,0)))</f>
        <v/>
      </c>
      <c r="AP19" s="10" t="str">
        <f aca="false">IF(OR($C19="01-09",$D19="Male"),"",INDEX(PMTCT!$AT:$AT,MATCH($E19,PMTCT!$E:$E,0)))</f>
        <v/>
      </c>
      <c r="AQ19" s="10" t="str">
        <f aca="false">INDEX(TB!$Q:$Q,MATCH($E19,TB!$E:$E,0))</f>
        <v/>
      </c>
      <c r="AR19" s="10" t="str">
        <f aca="false">IF(OR($C19="01-09",$C19="10-14",$D19="Female"),"",INDEX(VMMC!$AB:$AB,MATCH($E19,VMMC!$E:$E,0)))</f>
        <v/>
      </c>
      <c r="AS19" s="10" t="str">
        <f aca="false">IF(OR($C19="01-09",$C19="10-14"),"",INDEX(PrEP!$Q:$Q,MATCH($E19,PrEP!$E:$E,0)))</f>
        <v/>
      </c>
      <c r="AT19" s="10" t="str">
        <f aca="false">IFERROR(1/(1/SUM($Y19,$AB19,$AE19,$AH19,$AK19,$AO19:$AS19)),"")</f>
        <v/>
      </c>
      <c r="AU19" s="10" t="str">
        <f aca="false">IFERROR(1/(1/SUM($AT19,$AM19)),"")</f>
        <v/>
      </c>
      <c r="AV19" s="88" t="str">
        <f aca="false">IF(AND(SUM($AM19)=0,SUM($AU19)=0),"",$AM19/$AU19)</f>
        <v/>
      </c>
      <c r="AW19" s="10"/>
      <c r="AX19" s="88" t="str">
        <f aca="false">IF(OR($C19="01-09",SUM($AW19)=0),"",0%)</f>
        <v/>
      </c>
      <c r="AY19" s="39" t="str">
        <f aca="false">IF(OR($C19="01-09",SUM($AW19)=0),"",ROUND($AW19*(1+$AX19),0))</f>
        <v/>
      </c>
      <c r="AZ19" s="88" t="n">
        <f aca="false">IF(OR($C19="01-09",$C19="10-14"),"",100%)</f>
        <v>1</v>
      </c>
      <c r="BA19" s="39" t="str">
        <f aca="false">IF(OR(SUM($AM19)=0,$C19="01-09",$C19="10-14"),"",$AM19*$AZ19)</f>
        <v/>
      </c>
    </row>
    <row r="20" customFormat="false" ht="15" hidden="false" customHeight="false" outlineLevel="0" collapsed="false">
      <c r="A20" s="0" t="str">
        <f aca="false">INDEX(Prioritization!$D:$D,MATCH($B20,Prioritization!$A:$A,0))</f>
        <v>Military</v>
      </c>
      <c r="B20" s="0" t="s">
        <v>194</v>
      </c>
      <c r="C20" s="0" t="s">
        <v>365</v>
      </c>
      <c r="D20" s="0" t="s">
        <v>48</v>
      </c>
      <c r="E20" s="0" t="str">
        <f aca="false">$B20&amp;"|"&amp;$C20&amp;"|"&amp;$D20</f>
        <v>_Military Malawi [PQZgU9dagaH]|15-24|Male</v>
      </c>
      <c r="F20" s="88" t="str">
        <f aca="false">IF(LEFT($B20,4)="_Mil","",INDEX(Cascade!$AA:$AA,MATCH($E20,Cascade!$E:$E,0)))</f>
        <v/>
      </c>
      <c r="G20" s="10" t="n">
        <f aca="false">INDEX(Cascade!$BH:$BH,MATCH($E20,Cascade!$E:$E,0))</f>
        <v>0</v>
      </c>
      <c r="H20" s="10" t="str">
        <f aca="false">IF(OR($C20="01-09",$D20="Male"),"",INDEX(PMTCT!$AC:$AC,MATCH($E20,PMTCT!$E:$E,0)))</f>
        <v/>
      </c>
      <c r="I20" s="10" t="str">
        <f aca="false">IF(OR($C20="01-09",$D20="Male"),"",INDEX(PMTCT!$AS:$AS,MATCH($E20,PMTCT!$E:$E,0)))</f>
        <v/>
      </c>
      <c r="J20" s="10" t="str">
        <f aca="false">INDEX(TB!$P:$P,MATCH($E20,TB!$E:$E,0))</f>
        <v/>
      </c>
      <c r="K20" s="10" t="str">
        <f aca="false">IF(OR($C20="01-09",$C20="10-14",$D20="Female"),"",INDEX(VMMC!$AA:$AA,MATCH($E20,VMMC!$E:$E,0)))</f>
        <v/>
      </c>
      <c r="L20" s="10" t="n">
        <f aca="false">SUM($G20)-SUM($H20:$K20)</f>
        <v>0</v>
      </c>
      <c r="M20" s="88" t="str">
        <f aca="false">IF(OR($C20="01-09",$D20="Male",AND(SUM($G20)=0,SUM($H20)=0)),"",SUM($H20)/SUM($G20))</f>
        <v/>
      </c>
      <c r="N20" s="88" t="str">
        <f aca="false">IF(OR($C20="01-09",$D20="Male",AND(SUM($G20)=0,SUM($I20)=0)),"",SUM($I20)/SUM($G20))</f>
        <v/>
      </c>
      <c r="O20" s="88" t="str">
        <f aca="false">IF(AND(SUM($G20)=0,SUM($J20)=0),"",SUM($J20)/SUM($G20))</f>
        <v/>
      </c>
      <c r="P20" s="88" t="str">
        <f aca="false">IF(OR($C20="01-09",$C20="10-14",$D20="Female",AND(SUM($G20)=0,SUM($K20)=0)),"",SUM($K20)/SUM($G20))</f>
        <v/>
      </c>
      <c r="Q20" s="88"/>
      <c r="R20" s="88"/>
      <c r="S20" s="88"/>
      <c r="T20" s="88"/>
      <c r="U20" s="88"/>
      <c r="V20" s="88" t="str">
        <f aca="false">IF(SUM($G20)=0,"",SUM($M20:$U20))</f>
        <v/>
      </c>
      <c r="W20" s="88"/>
      <c r="X20" s="39" t="str">
        <f aca="false">IF(OR(SUM($G20)=0,SUM($Q20)=0),"",ROUND(SUM($G20)*SUM($Q20),0))</f>
        <v/>
      </c>
      <c r="Y20" s="39" t="str">
        <f aca="false">IF(SUM($X20)=0,"",IF(SUM($W20)=0,"ENTER YIELD",ROUND($X20/$W20,0)-$X20))</f>
        <v/>
      </c>
      <c r="Z20" s="88"/>
      <c r="AA20" s="39" t="str">
        <f aca="false">IF(OR(SUM($G20)=0,SUM($R20)=0),"",ROUND(SUM($G20)*SUM($R20),0))</f>
        <v/>
      </c>
      <c r="AB20" s="39" t="str">
        <f aca="false">IF(SUM($AA20)=0,"",IF(SUM($Z20)=0,"ENTER YIELD",ROUND($AA20/$Z20,0)-$AA20))</f>
        <v/>
      </c>
      <c r="AC20" s="88"/>
      <c r="AD20" s="39" t="str">
        <f aca="false">IF(OR(SUM($G20)=0,SUM($S20)=0),"",ROUND(SUM($G20)*SUM($S20),0))</f>
        <v/>
      </c>
      <c r="AE20" s="39" t="str">
        <f aca="false">IF(SUM($AD20)=0,"",IF(SUM($AC20)=0,"ENTER YIELD",ROUND($AD20/$AC20,0)-$AD20))</f>
        <v/>
      </c>
      <c r="AF20" s="88"/>
      <c r="AG20" s="39" t="str">
        <f aca="false">IF(OR(SUM($G20)=0,SUM($T20)=0),"",ROUND(SUM($G20)*SUM($T20),0))</f>
        <v/>
      </c>
      <c r="AH20" s="39" t="str">
        <f aca="false">IF(SUM($AG20)=0,"",IF(SUM($AF20)=0,"ENTER YIELD",ROUND($AG20/$AF20,0)-$AG20))</f>
        <v/>
      </c>
      <c r="AI20" s="88"/>
      <c r="AJ20" s="39" t="str">
        <f aca="false">IF(OR(SUM($G20)=0,SUM($U20)=0),"",ROUND(SUM($G20)*SUM($U20),0))</f>
        <v/>
      </c>
      <c r="AK20" s="39" t="str">
        <f aca="false">IF(SUM($AJ20)=0,"",IF(SUM($AI20)=0,"ENTER YIELD",ROUND($AJ20/$AI20,0)-$AJ20))</f>
        <v/>
      </c>
      <c r="AL20" s="10" t="str">
        <f aca="false">IF(SUM($G20)=0,"",$G20)</f>
        <v/>
      </c>
      <c r="AM20" s="10" t="str">
        <f aca="false">IFERROR(1/(1/SUM($H20:$K20,$X20,$AA20,$AD20,$AG20,$AJ20)),"")</f>
        <v/>
      </c>
      <c r="AN20" s="10" t="str">
        <f aca="false">IF(AND(SUM($AM20)=0,SUM($AL20)=0),"",$AM20-$AL20)</f>
        <v/>
      </c>
      <c r="AO20" s="10" t="str">
        <f aca="false">IF(OR($C20="01-09",$D20="Male"),"",INDEX(PMTCT!$AD:$AD,MATCH($E20,PMTCT!$E:$E,0)))</f>
        <v/>
      </c>
      <c r="AP20" s="10" t="str">
        <f aca="false">IF(OR($C20="01-09",$D20="Male"),"",INDEX(PMTCT!$AT:$AT,MATCH($E20,PMTCT!$E:$E,0)))</f>
        <v/>
      </c>
      <c r="AQ20" s="10" t="str">
        <f aca="false">INDEX(TB!$Q:$Q,MATCH($E20,TB!$E:$E,0))</f>
        <v/>
      </c>
      <c r="AR20" s="10" t="str">
        <f aca="false">IF(OR($C20="01-09",$C20="10-14",$D20="Female"),"",INDEX(VMMC!$AB:$AB,MATCH($E20,VMMC!$E:$E,0)))</f>
        <v/>
      </c>
      <c r="AS20" s="10" t="str">
        <f aca="false">IF(OR($C20="01-09",$C20="10-14"),"",INDEX(PrEP!$Q:$Q,MATCH($E20,PrEP!$E:$E,0)))</f>
        <v/>
      </c>
      <c r="AT20" s="10" t="str">
        <f aca="false">IFERROR(1/(1/SUM($Y20,$AB20,$AE20,$AH20,$AK20,$AO20:$AS20)),"")</f>
        <v/>
      </c>
      <c r="AU20" s="10" t="str">
        <f aca="false">IFERROR(1/(1/SUM($AT20,$AM20)),"")</f>
        <v/>
      </c>
      <c r="AV20" s="88" t="str">
        <f aca="false">IF(AND(SUM($AM20)=0,SUM($AU20)=0),"",$AM20/$AU20)</f>
        <v/>
      </c>
      <c r="AW20" s="10"/>
      <c r="AX20" s="88" t="str">
        <f aca="false">IF(OR($C20="01-09",SUM($AW20)=0),"",0%)</f>
        <v/>
      </c>
      <c r="AY20" s="39" t="str">
        <f aca="false">IF(OR($C20="01-09",SUM($AW20)=0),"",ROUND($AW20*(1+$AX20),0))</f>
        <v/>
      </c>
      <c r="AZ20" s="88" t="n">
        <f aca="false">IF(OR($C20="01-09",$C20="10-14"),"",100%)</f>
        <v>1</v>
      </c>
      <c r="BA20" s="39" t="str">
        <f aca="false">IF(OR(SUM($AM20)=0,$C20="01-09",$C20="10-14"),"",$AM20*$AZ20)</f>
        <v/>
      </c>
    </row>
    <row r="21" customFormat="false" ht="15" hidden="false" customHeight="false" outlineLevel="0" collapsed="false">
      <c r="A21" s="0" t="str">
        <f aca="false">INDEX(Prioritization!$D:$D,MATCH($B21,Prioritization!$A:$A,0))</f>
        <v>Military</v>
      </c>
      <c r="B21" s="0" t="s">
        <v>194</v>
      </c>
      <c r="C21" s="0" t="s">
        <v>366</v>
      </c>
      <c r="D21" s="0" t="s">
        <v>30</v>
      </c>
      <c r="E21" s="0" t="str">
        <f aca="false">$B21&amp;"|"&amp;$C21&amp;"|"&amp;$D21</f>
        <v>_Military Malawi [PQZgU9dagaH]|25-34|Female</v>
      </c>
      <c r="F21" s="88" t="str">
        <f aca="false">IF(LEFT($B21,4)="_Mil","",INDEX(Cascade!$AA:$AA,MATCH($E21,Cascade!$E:$E,0)))</f>
        <v/>
      </c>
      <c r="G21" s="10" t="n">
        <f aca="false">INDEX(Cascade!$BH:$BH,MATCH($E21,Cascade!$E:$E,0))</f>
        <v>0</v>
      </c>
      <c r="H21" s="10" t="str">
        <f aca="false">IF(OR($C21="01-09",$D21="Male"),"",INDEX(PMTCT!$AC:$AC,MATCH($E21,PMTCT!$E:$E,0)))</f>
        <v/>
      </c>
      <c r="I21" s="10" t="str">
        <f aca="false">IF(OR($C21="01-09",$D21="Male"),"",INDEX(PMTCT!$AS:$AS,MATCH($E21,PMTCT!$E:$E,0)))</f>
        <v/>
      </c>
      <c r="J21" s="10" t="str">
        <f aca="false">INDEX(TB!$P:$P,MATCH($E21,TB!$E:$E,0))</f>
        <v/>
      </c>
      <c r="K21" s="10" t="str">
        <f aca="false">IF(OR($C21="01-09",$C21="10-14",$D21="Female"),"",INDEX(VMMC!$AA:$AA,MATCH($E21,VMMC!$E:$E,0)))</f>
        <v/>
      </c>
      <c r="L21" s="10" t="n">
        <f aca="false">SUM($G21)-SUM($H21:$K21)</f>
        <v>0</v>
      </c>
      <c r="M21" s="88" t="str">
        <f aca="false">IF(OR($C21="01-09",$D21="Male",AND(SUM($G21)=0,SUM($H21)=0)),"",SUM($H21)/SUM($G21))</f>
        <v/>
      </c>
      <c r="N21" s="88" t="str">
        <f aca="false">IF(OR($C21="01-09",$D21="Male",AND(SUM($G21)=0,SUM($I21)=0)),"",SUM($I21)/SUM($G21))</f>
        <v/>
      </c>
      <c r="O21" s="88" t="str">
        <f aca="false">IF(AND(SUM($G21)=0,SUM($J21)=0),"",SUM($J21)/SUM($G21))</f>
        <v/>
      </c>
      <c r="P21" s="88" t="str">
        <f aca="false">IF(OR($C21="01-09",$C21="10-14",$D21="Female",AND(SUM($G21)=0,SUM($K21)=0)),"",SUM($K21)/SUM($G21))</f>
        <v/>
      </c>
      <c r="Q21" s="88"/>
      <c r="R21" s="88"/>
      <c r="S21" s="88"/>
      <c r="T21" s="88"/>
      <c r="U21" s="88"/>
      <c r="V21" s="88" t="str">
        <f aca="false">IF(SUM($G21)=0,"",SUM($M21:$U21))</f>
        <v/>
      </c>
      <c r="W21" s="88"/>
      <c r="X21" s="39" t="str">
        <f aca="false">IF(OR(SUM($G21)=0,SUM($Q21)=0),"",ROUND(SUM($G21)*SUM($Q21),0))</f>
        <v/>
      </c>
      <c r="Y21" s="39" t="str">
        <f aca="false">IF(SUM($X21)=0,"",IF(SUM($W21)=0,"ENTER YIELD",ROUND($X21/$W21,0)-$X21))</f>
        <v/>
      </c>
      <c r="Z21" s="88"/>
      <c r="AA21" s="39" t="str">
        <f aca="false">IF(OR(SUM($G21)=0,SUM($R21)=0),"",ROUND(SUM($G21)*SUM($R21),0))</f>
        <v/>
      </c>
      <c r="AB21" s="39" t="str">
        <f aca="false">IF(SUM($AA21)=0,"",IF(SUM($Z21)=0,"ENTER YIELD",ROUND($AA21/$Z21,0)-$AA21))</f>
        <v/>
      </c>
      <c r="AC21" s="88"/>
      <c r="AD21" s="39" t="str">
        <f aca="false">IF(OR(SUM($G21)=0,SUM($S21)=0),"",ROUND(SUM($G21)*SUM($S21),0))</f>
        <v/>
      </c>
      <c r="AE21" s="39" t="str">
        <f aca="false">IF(SUM($AD21)=0,"",IF(SUM($AC21)=0,"ENTER YIELD",ROUND($AD21/$AC21,0)-$AD21))</f>
        <v/>
      </c>
      <c r="AF21" s="88"/>
      <c r="AG21" s="39" t="str">
        <f aca="false">IF(OR(SUM($G21)=0,SUM($T21)=0),"",ROUND(SUM($G21)*SUM($T21),0))</f>
        <v/>
      </c>
      <c r="AH21" s="39" t="str">
        <f aca="false">IF(SUM($AG21)=0,"",IF(SUM($AF21)=0,"ENTER YIELD",ROUND($AG21/$AF21,0)-$AG21))</f>
        <v/>
      </c>
      <c r="AI21" s="88"/>
      <c r="AJ21" s="39" t="str">
        <f aca="false">IF(OR(SUM($G21)=0,SUM($U21)=0),"",ROUND(SUM($G21)*SUM($U21),0))</f>
        <v/>
      </c>
      <c r="AK21" s="39" t="str">
        <f aca="false">IF(SUM($AJ21)=0,"",IF(SUM($AI21)=0,"ENTER YIELD",ROUND($AJ21/$AI21,0)-$AJ21))</f>
        <v/>
      </c>
      <c r="AL21" s="10" t="str">
        <f aca="false">IF(SUM($G21)=0,"",$G21)</f>
        <v/>
      </c>
      <c r="AM21" s="10" t="str">
        <f aca="false">IFERROR(1/(1/SUM($H21:$K21,$X21,$AA21,$AD21,$AG21,$AJ21)),"")</f>
        <v/>
      </c>
      <c r="AN21" s="10" t="str">
        <f aca="false">IF(AND(SUM($AM21)=0,SUM($AL21)=0),"",$AM21-$AL21)</f>
        <v/>
      </c>
      <c r="AO21" s="10" t="str">
        <f aca="false">IF(OR($C21="01-09",$D21="Male"),"",INDEX(PMTCT!$AD:$AD,MATCH($E21,PMTCT!$E:$E,0)))</f>
        <v/>
      </c>
      <c r="AP21" s="10" t="str">
        <f aca="false">IF(OR($C21="01-09",$D21="Male"),"",INDEX(PMTCT!$AT:$AT,MATCH($E21,PMTCT!$E:$E,0)))</f>
        <v/>
      </c>
      <c r="AQ21" s="10" t="str">
        <f aca="false">INDEX(TB!$Q:$Q,MATCH($E21,TB!$E:$E,0))</f>
        <v/>
      </c>
      <c r="AR21" s="10" t="str">
        <f aca="false">IF(OR($C21="01-09",$C21="10-14",$D21="Female"),"",INDEX(VMMC!$AB:$AB,MATCH($E21,VMMC!$E:$E,0)))</f>
        <v/>
      </c>
      <c r="AS21" s="10" t="str">
        <f aca="false">IF(OR($C21="01-09",$C21="10-14"),"",INDEX(PrEP!$Q:$Q,MATCH($E21,PrEP!$E:$E,0)))</f>
        <v/>
      </c>
      <c r="AT21" s="10" t="str">
        <f aca="false">IFERROR(1/(1/SUM($Y21,$AB21,$AE21,$AH21,$AK21,$AO21:$AS21)),"")</f>
        <v/>
      </c>
      <c r="AU21" s="10" t="str">
        <f aca="false">IFERROR(1/(1/SUM($AT21,$AM21)),"")</f>
        <v/>
      </c>
      <c r="AV21" s="88" t="str">
        <f aca="false">IF(AND(SUM($AM21)=0,SUM($AU21)=0),"",$AM21/$AU21)</f>
        <v/>
      </c>
      <c r="AW21" s="10"/>
      <c r="AX21" s="88" t="str">
        <f aca="false">IF(OR($C21="01-09",SUM($AW21)=0),"",0%)</f>
        <v/>
      </c>
      <c r="AY21" s="39" t="str">
        <f aca="false">IF(OR($C21="01-09",SUM($AW21)=0),"",ROUND($AW21*(1+$AX21),0))</f>
        <v/>
      </c>
      <c r="AZ21" s="88" t="n">
        <f aca="false">IF(OR($C21="01-09",$C21="10-14"),"",100%)</f>
        <v>1</v>
      </c>
      <c r="BA21" s="39" t="str">
        <f aca="false">IF(OR(SUM($AM21)=0,$C21="01-09",$C21="10-14"),"",$AM21*$AZ21)</f>
        <v/>
      </c>
    </row>
    <row r="22" customFormat="false" ht="15" hidden="false" customHeight="false" outlineLevel="0" collapsed="false">
      <c r="A22" s="0" t="str">
        <f aca="false">INDEX(Prioritization!$D:$D,MATCH($B22,Prioritization!$A:$A,0))</f>
        <v>Military</v>
      </c>
      <c r="B22" s="0" t="s">
        <v>194</v>
      </c>
      <c r="C22" s="0" t="s">
        <v>366</v>
      </c>
      <c r="D22" s="0" t="s">
        <v>48</v>
      </c>
      <c r="E22" s="0" t="str">
        <f aca="false">$B22&amp;"|"&amp;$C22&amp;"|"&amp;$D22</f>
        <v>_Military Malawi [PQZgU9dagaH]|25-34|Male</v>
      </c>
      <c r="F22" s="88" t="str">
        <f aca="false">IF(LEFT($B22,4)="_Mil","",INDEX(Cascade!$AA:$AA,MATCH($E22,Cascade!$E:$E,0)))</f>
        <v/>
      </c>
      <c r="G22" s="10" t="n">
        <f aca="false">INDEX(Cascade!$BH:$BH,MATCH($E22,Cascade!$E:$E,0))</f>
        <v>0</v>
      </c>
      <c r="H22" s="10" t="str">
        <f aca="false">IF(OR($C22="01-09",$D22="Male"),"",INDEX(PMTCT!$AC:$AC,MATCH($E22,PMTCT!$E:$E,0)))</f>
        <v/>
      </c>
      <c r="I22" s="10" t="str">
        <f aca="false">IF(OR($C22="01-09",$D22="Male"),"",INDEX(PMTCT!$AS:$AS,MATCH($E22,PMTCT!$E:$E,0)))</f>
        <v/>
      </c>
      <c r="J22" s="10" t="str">
        <f aca="false">INDEX(TB!$P:$P,MATCH($E22,TB!$E:$E,0))</f>
        <v/>
      </c>
      <c r="K22" s="10" t="str">
        <f aca="false">IF(OR($C22="01-09",$C22="10-14",$D22="Female"),"",INDEX(VMMC!$AA:$AA,MATCH($E22,VMMC!$E:$E,0)))</f>
        <v/>
      </c>
      <c r="L22" s="10" t="n">
        <f aca="false">SUM($G22)-SUM($H22:$K22)</f>
        <v>0</v>
      </c>
      <c r="M22" s="88" t="str">
        <f aca="false">IF(OR($C22="01-09",$D22="Male",AND(SUM($G22)=0,SUM($H22)=0)),"",SUM($H22)/SUM($G22))</f>
        <v/>
      </c>
      <c r="N22" s="88" t="str">
        <f aca="false">IF(OR($C22="01-09",$D22="Male",AND(SUM($G22)=0,SUM($I22)=0)),"",SUM($I22)/SUM($G22))</f>
        <v/>
      </c>
      <c r="O22" s="88" t="str">
        <f aca="false">IF(AND(SUM($G22)=0,SUM($J22)=0),"",SUM($J22)/SUM($G22))</f>
        <v/>
      </c>
      <c r="P22" s="88" t="str">
        <f aca="false">IF(OR($C22="01-09",$C22="10-14",$D22="Female",AND(SUM($G22)=0,SUM($K22)=0)),"",SUM($K22)/SUM($G22))</f>
        <v/>
      </c>
      <c r="Q22" s="88"/>
      <c r="R22" s="88"/>
      <c r="S22" s="88"/>
      <c r="T22" s="88"/>
      <c r="U22" s="88"/>
      <c r="V22" s="88" t="str">
        <f aca="false">IF(SUM($G22)=0,"",SUM($M22:$U22))</f>
        <v/>
      </c>
      <c r="W22" s="88"/>
      <c r="X22" s="39" t="str">
        <f aca="false">IF(OR(SUM($G22)=0,SUM($Q22)=0),"",ROUND(SUM($G22)*SUM($Q22),0))</f>
        <v/>
      </c>
      <c r="Y22" s="39" t="str">
        <f aca="false">IF(SUM($X22)=0,"",IF(SUM($W22)=0,"ENTER YIELD",ROUND($X22/$W22,0)-$X22))</f>
        <v/>
      </c>
      <c r="Z22" s="88"/>
      <c r="AA22" s="39" t="str">
        <f aca="false">IF(OR(SUM($G22)=0,SUM($R22)=0),"",ROUND(SUM($G22)*SUM($R22),0))</f>
        <v/>
      </c>
      <c r="AB22" s="39" t="str">
        <f aca="false">IF(SUM($AA22)=0,"",IF(SUM($Z22)=0,"ENTER YIELD",ROUND($AA22/$Z22,0)-$AA22))</f>
        <v/>
      </c>
      <c r="AC22" s="88"/>
      <c r="AD22" s="39" t="str">
        <f aca="false">IF(OR(SUM($G22)=0,SUM($S22)=0),"",ROUND(SUM($G22)*SUM($S22),0))</f>
        <v/>
      </c>
      <c r="AE22" s="39" t="str">
        <f aca="false">IF(SUM($AD22)=0,"",IF(SUM($AC22)=0,"ENTER YIELD",ROUND($AD22/$AC22,0)-$AD22))</f>
        <v/>
      </c>
      <c r="AF22" s="88"/>
      <c r="AG22" s="39" t="str">
        <f aca="false">IF(OR(SUM($G22)=0,SUM($T22)=0),"",ROUND(SUM($G22)*SUM($T22),0))</f>
        <v/>
      </c>
      <c r="AH22" s="39" t="str">
        <f aca="false">IF(SUM($AG22)=0,"",IF(SUM($AF22)=0,"ENTER YIELD",ROUND($AG22/$AF22,0)-$AG22))</f>
        <v/>
      </c>
      <c r="AI22" s="88"/>
      <c r="AJ22" s="39" t="str">
        <f aca="false">IF(OR(SUM($G22)=0,SUM($U22)=0),"",ROUND(SUM($G22)*SUM($U22),0))</f>
        <v/>
      </c>
      <c r="AK22" s="39" t="str">
        <f aca="false">IF(SUM($AJ22)=0,"",IF(SUM($AI22)=0,"ENTER YIELD",ROUND($AJ22/$AI22,0)-$AJ22))</f>
        <v/>
      </c>
      <c r="AL22" s="10" t="str">
        <f aca="false">IF(SUM($G22)=0,"",$G22)</f>
        <v/>
      </c>
      <c r="AM22" s="10" t="str">
        <f aca="false">IFERROR(1/(1/SUM($H22:$K22,$X22,$AA22,$AD22,$AG22,$AJ22)),"")</f>
        <v/>
      </c>
      <c r="AN22" s="10" t="str">
        <f aca="false">IF(AND(SUM($AM22)=0,SUM($AL22)=0),"",$AM22-$AL22)</f>
        <v/>
      </c>
      <c r="AO22" s="10" t="str">
        <f aca="false">IF(OR($C22="01-09",$D22="Male"),"",INDEX(PMTCT!$AD:$AD,MATCH($E22,PMTCT!$E:$E,0)))</f>
        <v/>
      </c>
      <c r="AP22" s="10" t="str">
        <f aca="false">IF(OR($C22="01-09",$D22="Male"),"",INDEX(PMTCT!$AT:$AT,MATCH($E22,PMTCT!$E:$E,0)))</f>
        <v/>
      </c>
      <c r="AQ22" s="10" t="str">
        <f aca="false">INDEX(TB!$Q:$Q,MATCH($E22,TB!$E:$E,0))</f>
        <v/>
      </c>
      <c r="AR22" s="10" t="str">
        <f aca="false">IF(OR($C22="01-09",$C22="10-14",$D22="Female"),"",INDEX(VMMC!$AB:$AB,MATCH($E22,VMMC!$E:$E,0)))</f>
        <v/>
      </c>
      <c r="AS22" s="10" t="str">
        <f aca="false">IF(OR($C22="01-09",$C22="10-14"),"",INDEX(PrEP!$Q:$Q,MATCH($E22,PrEP!$E:$E,0)))</f>
        <v/>
      </c>
      <c r="AT22" s="10" t="str">
        <f aca="false">IFERROR(1/(1/SUM($Y22,$AB22,$AE22,$AH22,$AK22,$AO22:$AS22)),"")</f>
        <v/>
      </c>
      <c r="AU22" s="10" t="str">
        <f aca="false">IFERROR(1/(1/SUM($AT22,$AM22)),"")</f>
        <v/>
      </c>
      <c r="AV22" s="88" t="str">
        <f aca="false">IF(AND(SUM($AM22)=0,SUM($AU22)=0),"",$AM22/$AU22)</f>
        <v/>
      </c>
      <c r="AW22" s="10"/>
      <c r="AX22" s="88" t="str">
        <f aca="false">IF(OR($C22="01-09",SUM($AW22)=0),"",0%)</f>
        <v/>
      </c>
      <c r="AY22" s="39" t="str">
        <f aca="false">IF(OR($C22="01-09",SUM($AW22)=0),"",ROUND($AW22*(1+$AX22),0))</f>
        <v/>
      </c>
      <c r="AZ22" s="88" t="n">
        <f aca="false">IF(OR($C22="01-09",$C22="10-14"),"",100%)</f>
        <v>1</v>
      </c>
      <c r="BA22" s="39" t="str">
        <f aca="false">IF(OR(SUM($AM22)=0,$C22="01-09",$C22="10-14"),"",$AM22*$AZ22)</f>
        <v/>
      </c>
    </row>
    <row r="23" customFormat="false" ht="15" hidden="false" customHeight="false" outlineLevel="0" collapsed="false">
      <c r="A23" s="0" t="str">
        <f aca="false">INDEX(Prioritization!$D:$D,MATCH($B23,Prioritization!$A:$A,0))</f>
        <v>Military</v>
      </c>
      <c r="B23" s="0" t="s">
        <v>194</v>
      </c>
      <c r="C23" s="0" t="s">
        <v>367</v>
      </c>
      <c r="D23" s="0" t="s">
        <v>30</v>
      </c>
      <c r="E23" s="0" t="str">
        <f aca="false">$B23&amp;"|"&amp;$C23&amp;"|"&amp;$D23</f>
        <v>_Military Malawi [PQZgU9dagaH]|35-49|Female</v>
      </c>
      <c r="F23" s="88" t="str">
        <f aca="false">IF(LEFT($B23,4)="_Mil","",INDEX(Cascade!$AA:$AA,MATCH($E23,Cascade!$E:$E,0)))</f>
        <v/>
      </c>
      <c r="G23" s="10" t="n">
        <f aca="false">INDEX(Cascade!$BH:$BH,MATCH($E23,Cascade!$E:$E,0))</f>
        <v>0</v>
      </c>
      <c r="H23" s="10" t="str">
        <f aca="false">IF(OR($C23="01-09",$D23="Male"),"",INDEX(PMTCT!$AC:$AC,MATCH($E23,PMTCT!$E:$E,0)))</f>
        <v/>
      </c>
      <c r="I23" s="10" t="str">
        <f aca="false">IF(OR($C23="01-09",$D23="Male"),"",INDEX(PMTCT!$AS:$AS,MATCH($E23,PMTCT!$E:$E,0)))</f>
        <v/>
      </c>
      <c r="J23" s="10" t="str">
        <f aca="false">INDEX(TB!$P:$P,MATCH($E23,TB!$E:$E,0))</f>
        <v/>
      </c>
      <c r="K23" s="10" t="str">
        <f aca="false">IF(OR($C23="01-09",$C23="10-14",$D23="Female"),"",INDEX(VMMC!$AA:$AA,MATCH($E23,VMMC!$E:$E,0)))</f>
        <v/>
      </c>
      <c r="L23" s="10" t="n">
        <f aca="false">SUM($G23)-SUM($H23:$K23)</f>
        <v>0</v>
      </c>
      <c r="M23" s="88" t="str">
        <f aca="false">IF(OR($C23="01-09",$D23="Male",AND(SUM($G23)=0,SUM($H23)=0)),"",SUM($H23)/SUM($G23))</f>
        <v/>
      </c>
      <c r="N23" s="88" t="str">
        <f aca="false">IF(OR($C23="01-09",$D23="Male",AND(SUM($G23)=0,SUM($I23)=0)),"",SUM($I23)/SUM($G23))</f>
        <v/>
      </c>
      <c r="O23" s="88" t="str">
        <f aca="false">IF(AND(SUM($G23)=0,SUM($J23)=0),"",SUM($J23)/SUM($G23))</f>
        <v/>
      </c>
      <c r="P23" s="88" t="str">
        <f aca="false">IF(OR($C23="01-09",$C23="10-14",$D23="Female",AND(SUM($G23)=0,SUM($K23)=0)),"",SUM($K23)/SUM($G23))</f>
        <v/>
      </c>
      <c r="Q23" s="88"/>
      <c r="R23" s="88"/>
      <c r="S23" s="88"/>
      <c r="T23" s="88"/>
      <c r="U23" s="88"/>
      <c r="V23" s="88" t="str">
        <f aca="false">IF(SUM($G23)=0,"",SUM($M23:$U23))</f>
        <v/>
      </c>
      <c r="W23" s="88"/>
      <c r="X23" s="39" t="str">
        <f aca="false">IF(OR(SUM($G23)=0,SUM($Q23)=0),"",ROUND(SUM($G23)*SUM($Q23),0))</f>
        <v/>
      </c>
      <c r="Y23" s="39" t="str">
        <f aca="false">IF(SUM($X23)=0,"",IF(SUM($W23)=0,"ENTER YIELD",ROUND($X23/$W23,0)-$X23))</f>
        <v/>
      </c>
      <c r="Z23" s="88"/>
      <c r="AA23" s="39" t="str">
        <f aca="false">IF(OR(SUM($G23)=0,SUM($R23)=0),"",ROUND(SUM($G23)*SUM($R23),0))</f>
        <v/>
      </c>
      <c r="AB23" s="39" t="str">
        <f aca="false">IF(SUM($AA23)=0,"",IF(SUM($Z23)=0,"ENTER YIELD",ROUND($AA23/$Z23,0)-$AA23))</f>
        <v/>
      </c>
      <c r="AC23" s="88"/>
      <c r="AD23" s="39" t="str">
        <f aca="false">IF(OR(SUM($G23)=0,SUM($S23)=0),"",ROUND(SUM($G23)*SUM($S23),0))</f>
        <v/>
      </c>
      <c r="AE23" s="39" t="str">
        <f aca="false">IF(SUM($AD23)=0,"",IF(SUM($AC23)=0,"ENTER YIELD",ROUND($AD23/$AC23,0)-$AD23))</f>
        <v/>
      </c>
      <c r="AF23" s="88"/>
      <c r="AG23" s="39" t="str">
        <f aca="false">IF(OR(SUM($G23)=0,SUM($T23)=0),"",ROUND(SUM($G23)*SUM($T23),0))</f>
        <v/>
      </c>
      <c r="AH23" s="39" t="str">
        <f aca="false">IF(SUM($AG23)=0,"",IF(SUM($AF23)=0,"ENTER YIELD",ROUND($AG23/$AF23,0)-$AG23))</f>
        <v/>
      </c>
      <c r="AI23" s="88"/>
      <c r="AJ23" s="39" t="str">
        <f aca="false">IF(OR(SUM($G23)=0,SUM($U23)=0),"",ROUND(SUM($G23)*SUM($U23),0))</f>
        <v/>
      </c>
      <c r="AK23" s="39" t="str">
        <f aca="false">IF(SUM($AJ23)=0,"",IF(SUM($AI23)=0,"ENTER YIELD",ROUND($AJ23/$AI23,0)-$AJ23))</f>
        <v/>
      </c>
      <c r="AL23" s="10" t="str">
        <f aca="false">IF(SUM($G23)=0,"",$G23)</f>
        <v/>
      </c>
      <c r="AM23" s="10" t="str">
        <f aca="false">IFERROR(1/(1/SUM($H23:$K23,$X23,$AA23,$AD23,$AG23,$AJ23)),"")</f>
        <v/>
      </c>
      <c r="AN23" s="10" t="str">
        <f aca="false">IF(AND(SUM($AM23)=0,SUM($AL23)=0),"",$AM23-$AL23)</f>
        <v/>
      </c>
      <c r="AO23" s="10" t="str">
        <f aca="false">IF(OR($C23="01-09",$D23="Male"),"",INDEX(PMTCT!$AD:$AD,MATCH($E23,PMTCT!$E:$E,0)))</f>
        <v/>
      </c>
      <c r="AP23" s="10" t="str">
        <f aca="false">IF(OR($C23="01-09",$D23="Male"),"",INDEX(PMTCT!$AT:$AT,MATCH($E23,PMTCT!$E:$E,0)))</f>
        <v/>
      </c>
      <c r="AQ23" s="10" t="str">
        <f aca="false">INDEX(TB!$Q:$Q,MATCH($E23,TB!$E:$E,0))</f>
        <v/>
      </c>
      <c r="AR23" s="10" t="str">
        <f aca="false">IF(OR($C23="01-09",$C23="10-14",$D23="Female"),"",INDEX(VMMC!$AB:$AB,MATCH($E23,VMMC!$E:$E,0)))</f>
        <v/>
      </c>
      <c r="AS23" s="10" t="str">
        <f aca="false">IF(OR($C23="01-09",$C23="10-14"),"",INDEX(PrEP!$Q:$Q,MATCH($E23,PrEP!$E:$E,0)))</f>
        <v/>
      </c>
      <c r="AT23" s="10" t="str">
        <f aca="false">IFERROR(1/(1/SUM($Y23,$AB23,$AE23,$AH23,$AK23,$AO23:$AS23)),"")</f>
        <v/>
      </c>
      <c r="AU23" s="10" t="str">
        <f aca="false">IFERROR(1/(1/SUM($AT23,$AM23)),"")</f>
        <v/>
      </c>
      <c r="AV23" s="88" t="str">
        <f aca="false">IF(AND(SUM($AM23)=0,SUM($AU23)=0),"",$AM23/$AU23)</f>
        <v/>
      </c>
      <c r="AW23" s="10"/>
      <c r="AX23" s="88" t="str">
        <f aca="false">IF(OR($C23="01-09",SUM($AW23)=0),"",0%)</f>
        <v/>
      </c>
      <c r="AY23" s="39" t="str">
        <f aca="false">IF(OR($C23="01-09",SUM($AW23)=0),"",ROUND($AW23*(1+$AX23),0))</f>
        <v/>
      </c>
      <c r="AZ23" s="88" t="n">
        <f aca="false">IF(OR($C23="01-09",$C23="10-14"),"",100%)</f>
        <v>1</v>
      </c>
      <c r="BA23" s="39" t="str">
        <f aca="false">IF(OR(SUM($AM23)=0,$C23="01-09",$C23="10-14"),"",$AM23*$AZ23)</f>
        <v/>
      </c>
    </row>
    <row r="24" customFormat="false" ht="15" hidden="false" customHeight="false" outlineLevel="0" collapsed="false">
      <c r="A24" s="0" t="str">
        <f aca="false">INDEX(Prioritization!$D:$D,MATCH($B24,Prioritization!$A:$A,0))</f>
        <v>Military</v>
      </c>
      <c r="B24" s="0" t="s">
        <v>194</v>
      </c>
      <c r="C24" s="0" t="s">
        <v>367</v>
      </c>
      <c r="D24" s="0" t="s">
        <v>48</v>
      </c>
      <c r="E24" s="0" t="str">
        <f aca="false">$B24&amp;"|"&amp;$C24&amp;"|"&amp;$D24</f>
        <v>_Military Malawi [PQZgU9dagaH]|35-49|Male</v>
      </c>
      <c r="F24" s="88" t="str">
        <f aca="false">IF(LEFT($B24,4)="_Mil","",INDEX(Cascade!$AA:$AA,MATCH($E24,Cascade!$E:$E,0)))</f>
        <v/>
      </c>
      <c r="G24" s="10" t="n">
        <f aca="false">INDEX(Cascade!$BH:$BH,MATCH($E24,Cascade!$E:$E,0))</f>
        <v>0</v>
      </c>
      <c r="H24" s="10" t="str">
        <f aca="false">IF(OR($C24="01-09",$D24="Male"),"",INDEX(PMTCT!$AC:$AC,MATCH($E24,PMTCT!$E:$E,0)))</f>
        <v/>
      </c>
      <c r="I24" s="10" t="str">
        <f aca="false">IF(OR($C24="01-09",$D24="Male"),"",INDEX(PMTCT!$AS:$AS,MATCH($E24,PMTCT!$E:$E,0)))</f>
        <v/>
      </c>
      <c r="J24" s="10" t="str">
        <f aca="false">INDEX(TB!$P:$P,MATCH($E24,TB!$E:$E,0))</f>
        <v/>
      </c>
      <c r="K24" s="10" t="str">
        <f aca="false">IF(OR($C24="01-09",$C24="10-14",$D24="Female"),"",INDEX(VMMC!$AA:$AA,MATCH($E24,VMMC!$E:$E,0)))</f>
        <v/>
      </c>
      <c r="L24" s="10" t="n">
        <f aca="false">SUM($G24)-SUM($H24:$K24)</f>
        <v>0</v>
      </c>
      <c r="M24" s="88" t="str">
        <f aca="false">IF(OR($C24="01-09",$D24="Male",AND(SUM($G24)=0,SUM($H24)=0)),"",SUM($H24)/SUM($G24))</f>
        <v/>
      </c>
      <c r="N24" s="88" t="str">
        <f aca="false">IF(OR($C24="01-09",$D24="Male",AND(SUM($G24)=0,SUM($I24)=0)),"",SUM($I24)/SUM($G24))</f>
        <v/>
      </c>
      <c r="O24" s="88" t="str">
        <f aca="false">IF(AND(SUM($G24)=0,SUM($J24)=0),"",SUM($J24)/SUM($G24))</f>
        <v/>
      </c>
      <c r="P24" s="88" t="str">
        <f aca="false">IF(OR($C24="01-09",$C24="10-14",$D24="Female",AND(SUM($G24)=0,SUM($K24)=0)),"",SUM($K24)/SUM($G24))</f>
        <v/>
      </c>
      <c r="Q24" s="88"/>
      <c r="R24" s="88"/>
      <c r="S24" s="88"/>
      <c r="T24" s="88"/>
      <c r="U24" s="88"/>
      <c r="V24" s="88" t="str">
        <f aca="false">IF(SUM($G24)=0,"",SUM($M24:$U24))</f>
        <v/>
      </c>
      <c r="W24" s="88"/>
      <c r="X24" s="39" t="str">
        <f aca="false">IF(OR(SUM($G24)=0,SUM($Q24)=0),"",ROUND(SUM($G24)*SUM($Q24),0))</f>
        <v/>
      </c>
      <c r="Y24" s="39" t="str">
        <f aca="false">IF(SUM($X24)=0,"",IF(SUM($W24)=0,"ENTER YIELD",ROUND($X24/$W24,0)-$X24))</f>
        <v/>
      </c>
      <c r="Z24" s="88"/>
      <c r="AA24" s="39" t="str">
        <f aca="false">IF(OR(SUM($G24)=0,SUM($R24)=0),"",ROUND(SUM($G24)*SUM($R24),0))</f>
        <v/>
      </c>
      <c r="AB24" s="39" t="str">
        <f aca="false">IF(SUM($AA24)=0,"",IF(SUM($Z24)=0,"ENTER YIELD",ROUND($AA24/$Z24,0)-$AA24))</f>
        <v/>
      </c>
      <c r="AC24" s="88"/>
      <c r="AD24" s="39" t="str">
        <f aca="false">IF(OR(SUM($G24)=0,SUM($S24)=0),"",ROUND(SUM($G24)*SUM($S24),0))</f>
        <v/>
      </c>
      <c r="AE24" s="39" t="str">
        <f aca="false">IF(SUM($AD24)=0,"",IF(SUM($AC24)=0,"ENTER YIELD",ROUND($AD24/$AC24,0)-$AD24))</f>
        <v/>
      </c>
      <c r="AF24" s="88"/>
      <c r="AG24" s="39" t="str">
        <f aca="false">IF(OR(SUM($G24)=0,SUM($T24)=0),"",ROUND(SUM($G24)*SUM($T24),0))</f>
        <v/>
      </c>
      <c r="AH24" s="39" t="str">
        <f aca="false">IF(SUM($AG24)=0,"",IF(SUM($AF24)=0,"ENTER YIELD",ROUND($AG24/$AF24,0)-$AG24))</f>
        <v/>
      </c>
      <c r="AI24" s="88"/>
      <c r="AJ24" s="39" t="str">
        <f aca="false">IF(OR(SUM($G24)=0,SUM($U24)=0),"",ROUND(SUM($G24)*SUM($U24),0))</f>
        <v/>
      </c>
      <c r="AK24" s="39" t="str">
        <f aca="false">IF(SUM($AJ24)=0,"",IF(SUM($AI24)=0,"ENTER YIELD",ROUND($AJ24/$AI24,0)-$AJ24))</f>
        <v/>
      </c>
      <c r="AL24" s="10" t="str">
        <f aca="false">IF(SUM($G24)=0,"",$G24)</f>
        <v/>
      </c>
      <c r="AM24" s="10" t="str">
        <f aca="false">IFERROR(1/(1/SUM($H24:$K24,$X24,$AA24,$AD24,$AG24,$AJ24)),"")</f>
        <v/>
      </c>
      <c r="AN24" s="10" t="str">
        <f aca="false">IF(AND(SUM($AM24)=0,SUM($AL24)=0),"",$AM24-$AL24)</f>
        <v/>
      </c>
      <c r="AO24" s="10" t="str">
        <f aca="false">IF(OR($C24="01-09",$D24="Male"),"",INDEX(PMTCT!$AD:$AD,MATCH($E24,PMTCT!$E:$E,0)))</f>
        <v/>
      </c>
      <c r="AP24" s="10" t="str">
        <f aca="false">IF(OR($C24="01-09",$D24="Male"),"",INDEX(PMTCT!$AT:$AT,MATCH($E24,PMTCT!$E:$E,0)))</f>
        <v/>
      </c>
      <c r="AQ24" s="10" t="str">
        <f aca="false">INDEX(TB!$Q:$Q,MATCH($E24,TB!$E:$E,0))</f>
        <v/>
      </c>
      <c r="AR24" s="10" t="str">
        <f aca="false">IF(OR($C24="01-09",$C24="10-14",$D24="Female"),"",INDEX(VMMC!$AB:$AB,MATCH($E24,VMMC!$E:$E,0)))</f>
        <v/>
      </c>
      <c r="AS24" s="10" t="str">
        <f aca="false">IF(OR($C24="01-09",$C24="10-14"),"",INDEX(PrEP!$Q:$Q,MATCH($E24,PrEP!$E:$E,0)))</f>
        <v/>
      </c>
      <c r="AT24" s="10" t="str">
        <f aca="false">IFERROR(1/(1/SUM($Y24,$AB24,$AE24,$AH24,$AK24,$AO24:$AS24)),"")</f>
        <v/>
      </c>
      <c r="AU24" s="10" t="str">
        <f aca="false">IFERROR(1/(1/SUM($AT24,$AM24)),"")</f>
        <v/>
      </c>
      <c r="AV24" s="88" t="str">
        <f aca="false">IF(AND(SUM($AM24)=0,SUM($AU24)=0),"",$AM24/$AU24)</f>
        <v/>
      </c>
      <c r="AW24" s="10"/>
      <c r="AX24" s="88" t="str">
        <f aca="false">IF(OR($C24="01-09",SUM($AW24)=0),"",0%)</f>
        <v/>
      </c>
      <c r="AY24" s="39" t="str">
        <f aca="false">IF(OR($C24="01-09",SUM($AW24)=0),"",ROUND($AW24*(1+$AX24),0))</f>
        <v/>
      </c>
      <c r="AZ24" s="88" t="n">
        <f aca="false">IF(OR($C24="01-09",$C24="10-14"),"",100%)</f>
        <v>1</v>
      </c>
      <c r="BA24" s="39" t="str">
        <f aca="false">IF(OR(SUM($AM24)=0,$C24="01-09",$C24="10-14"),"",$AM24*$AZ24)</f>
        <v/>
      </c>
    </row>
    <row r="25" customFormat="false" ht="15" hidden="false" customHeight="false" outlineLevel="0" collapsed="false">
      <c r="A25" s="0" t="str">
        <f aca="false">INDEX(Prioritization!$D:$D,MATCH($B25,Prioritization!$A:$A,0))</f>
        <v>Military</v>
      </c>
      <c r="B25" s="0" t="s">
        <v>194</v>
      </c>
      <c r="C25" s="0" t="s">
        <v>368</v>
      </c>
      <c r="D25" s="0" t="s">
        <v>30</v>
      </c>
      <c r="E25" s="0" t="str">
        <f aca="false">$B25&amp;"|"&amp;$C25&amp;"|"&amp;$D25</f>
        <v>_Military Malawi [PQZgU9dagaH]|50+|Female</v>
      </c>
      <c r="F25" s="88" t="str">
        <f aca="false">IF(LEFT($B25,4)="_Mil","",INDEX(Cascade!$AA:$AA,MATCH($E25,Cascade!$E:$E,0)))</f>
        <v/>
      </c>
      <c r="G25" s="10" t="n">
        <f aca="false">INDEX(Cascade!$BH:$BH,MATCH($E25,Cascade!$E:$E,0))</f>
        <v>0</v>
      </c>
      <c r="H25" s="10" t="str">
        <f aca="false">IF(OR($C25="01-09",$D25="Male"),"",INDEX(PMTCT!$AC:$AC,MATCH($E25,PMTCT!$E:$E,0)))</f>
        <v/>
      </c>
      <c r="I25" s="10" t="str">
        <f aca="false">IF(OR($C25="01-09",$D25="Male"),"",INDEX(PMTCT!$AS:$AS,MATCH($E25,PMTCT!$E:$E,0)))</f>
        <v/>
      </c>
      <c r="J25" s="10" t="str">
        <f aca="false">INDEX(TB!$P:$P,MATCH($E25,TB!$E:$E,0))</f>
        <v/>
      </c>
      <c r="K25" s="10" t="str">
        <f aca="false">IF(OR($C25="01-09",$C25="10-14",$D25="Female"),"",INDEX(VMMC!$AA:$AA,MATCH($E25,VMMC!$E:$E,0)))</f>
        <v/>
      </c>
      <c r="L25" s="10" t="n">
        <f aca="false">SUM($G25)-SUM($H25:$K25)</f>
        <v>0</v>
      </c>
      <c r="M25" s="88" t="str">
        <f aca="false">IF(OR($C25="01-09",$D25="Male",AND(SUM($G25)=0,SUM($H25)=0)),"",SUM($H25)/SUM($G25))</f>
        <v/>
      </c>
      <c r="N25" s="88" t="str">
        <f aca="false">IF(OR($C25="01-09",$D25="Male",AND(SUM($G25)=0,SUM($I25)=0)),"",SUM($I25)/SUM($G25))</f>
        <v/>
      </c>
      <c r="O25" s="88" t="str">
        <f aca="false">IF(AND(SUM($G25)=0,SUM($J25)=0),"",SUM($J25)/SUM($G25))</f>
        <v/>
      </c>
      <c r="P25" s="88" t="str">
        <f aca="false">IF(OR($C25="01-09",$C25="10-14",$D25="Female",AND(SUM($G25)=0,SUM($K25)=0)),"",SUM($K25)/SUM($G25))</f>
        <v/>
      </c>
      <c r="Q25" s="88"/>
      <c r="R25" s="88"/>
      <c r="S25" s="88"/>
      <c r="T25" s="88" t="n">
        <v>0.508464402751997</v>
      </c>
      <c r="U25" s="88" t="n">
        <v>0.847017840249464</v>
      </c>
      <c r="V25" s="88" t="str">
        <f aca="false">IF(SUM($G25)=0,"",SUM($M25:$U25))</f>
        <v/>
      </c>
      <c r="W25" s="88"/>
      <c r="X25" s="39" t="str">
        <f aca="false">IF(OR(SUM($G25)=0,SUM($Q25)=0),"",ROUND(SUM($G25)*SUM($Q25),0))</f>
        <v/>
      </c>
      <c r="Y25" s="39" t="str">
        <f aca="false">IF(SUM($X25)=0,"",IF(SUM($W25)=0,"ENTER YIELD",ROUND($X25/$W25,0)-$X25))</f>
        <v/>
      </c>
      <c r="Z25" s="88"/>
      <c r="AA25" s="39" t="str">
        <f aca="false">IF(OR(SUM($G25)=0,SUM($R25)=0),"",ROUND(SUM($G25)*SUM($R25),0))</f>
        <v/>
      </c>
      <c r="AB25" s="39" t="str">
        <f aca="false">IF(SUM($AA25)=0,"",IF(SUM($Z25)=0,"ENTER YIELD",ROUND($AA25/$Z25,0)-$AA25))</f>
        <v/>
      </c>
      <c r="AC25" s="88"/>
      <c r="AD25" s="39" t="str">
        <f aca="false">IF(OR(SUM($G25)=0,SUM($S25)=0),"",ROUND(SUM($G25)*SUM($S25),0))</f>
        <v/>
      </c>
      <c r="AE25" s="39" t="str">
        <f aca="false">IF(SUM($AD25)=0,"",IF(SUM($AC25)=0,"ENTER YIELD",ROUND($AD25/$AC25,0)-$AD25))</f>
        <v/>
      </c>
      <c r="AF25" s="88"/>
      <c r="AG25" s="39" t="str">
        <f aca="false">IF(OR(SUM($G25)=0,SUM($T25)=0),"",ROUND(SUM($G25)*SUM($T25),0))</f>
        <v/>
      </c>
      <c r="AH25" s="39" t="str">
        <f aca="false">IF(SUM($AG25)=0,"",IF(SUM($AF25)=0,"ENTER YIELD",ROUND($AG25/$AF25,0)-$AG25))</f>
        <v/>
      </c>
      <c r="AI25" s="88" t="n">
        <v>0.697166693396866</v>
      </c>
      <c r="AJ25" s="39" t="str">
        <f aca="false">IF(OR(SUM($G25)=0,SUM($U25)=0),"",ROUND(SUM($G25)*SUM($U25),0))</f>
        <v/>
      </c>
      <c r="AK25" s="39" t="str">
        <f aca="false">IF(SUM($AJ25)=0,"",IF(SUM($AI25)=0,"ENTER YIELD",ROUND($AJ25/$AI25,0)-$AJ25))</f>
        <v/>
      </c>
      <c r="AL25" s="10" t="str">
        <f aca="false">IF(SUM($G25)=0,"",$G25)</f>
        <v/>
      </c>
      <c r="AM25" s="10" t="str">
        <f aca="false">IFERROR(1/(1/SUM($H25:$K25,$X25,$AA25,$AD25,$AG25,$AJ25)),"")</f>
        <v/>
      </c>
      <c r="AN25" s="10" t="str">
        <f aca="false">IF(AND(SUM($AM25)=0,SUM($AL25)=0),"",$AM25-$AL25)</f>
        <v/>
      </c>
      <c r="AO25" s="10" t="str">
        <f aca="false">IF(OR($C25="01-09",$D25="Male"),"",INDEX(PMTCT!$AD:$AD,MATCH($E25,PMTCT!$E:$E,0)))</f>
        <v/>
      </c>
      <c r="AP25" s="10" t="str">
        <f aca="false">IF(OR($C25="01-09",$D25="Male"),"",INDEX(PMTCT!$AT:$AT,MATCH($E25,PMTCT!$E:$E,0)))</f>
        <v/>
      </c>
      <c r="AQ25" s="10" t="str">
        <f aca="false">INDEX(TB!$Q:$Q,MATCH($E25,TB!$E:$E,0))</f>
        <v/>
      </c>
      <c r="AR25" s="10" t="str">
        <f aca="false">IF(OR($C25="01-09",$C25="10-14",$D25="Female"),"",INDEX(VMMC!$AB:$AB,MATCH($E25,VMMC!$E:$E,0)))</f>
        <v/>
      </c>
      <c r="AS25" s="10" t="str">
        <f aca="false">IF(OR($C25="01-09",$C25="10-14"),"",INDEX(PrEP!$Q:$Q,MATCH($E25,PrEP!$E:$E,0)))</f>
        <v/>
      </c>
      <c r="AT25" s="10" t="str">
        <f aca="false">IFERROR(1/(1/SUM($Y25,$AB25,$AE25,$AH25,$AK25,$AO25:$AS25)),"")</f>
        <v/>
      </c>
      <c r="AU25" s="10" t="str">
        <f aca="false">IFERROR(1/(1/SUM($AT25,$AM25)),"")</f>
        <v/>
      </c>
      <c r="AV25" s="88" t="str">
        <f aca="false">IF(AND(SUM($AM25)=0,SUM($AU25)=0),"",$AM25/$AU25)</f>
        <v/>
      </c>
      <c r="AW25" s="10" t="n">
        <v>79</v>
      </c>
      <c r="AX25" s="88" t="n">
        <f aca="false">IF(OR($C25="01-09",SUM($AW25)=0),"",0%)</f>
        <v>0</v>
      </c>
      <c r="AY25" s="39" t="n">
        <f aca="false">IF(OR($C25="01-09",SUM($AW25)=0),"",ROUND($AW25*(1+$AX25),0))</f>
        <v>79</v>
      </c>
      <c r="AZ25" s="88" t="n">
        <f aca="false">IF(OR($C25="01-09",$C25="10-14"),"",100%)</f>
        <v>1</v>
      </c>
      <c r="BA25" s="39" t="str">
        <f aca="false">IF(OR(SUM($AM25)=0,$C25="01-09",$C25="10-14"),"",$AM25*$AZ25)</f>
        <v/>
      </c>
    </row>
    <row r="26" customFormat="false" ht="15" hidden="false" customHeight="false" outlineLevel="0" collapsed="false">
      <c r="A26" s="0" t="str">
        <f aca="false">INDEX(Prioritization!$D:$D,MATCH($B26,Prioritization!$A:$A,0))</f>
        <v>Military</v>
      </c>
      <c r="B26" s="0" t="s">
        <v>194</v>
      </c>
      <c r="C26" s="0" t="s">
        <v>368</v>
      </c>
      <c r="D26" s="0" t="s">
        <v>48</v>
      </c>
      <c r="E26" s="0" t="str">
        <f aca="false">$B26&amp;"|"&amp;$C26&amp;"|"&amp;$D26</f>
        <v>_Military Malawi [PQZgU9dagaH]|50+|Male</v>
      </c>
      <c r="F26" s="88" t="str">
        <f aca="false">IF(LEFT($B26,4)="_Mil","",INDEX(Cascade!$AA:$AA,MATCH($E26,Cascade!$E:$E,0)))</f>
        <v/>
      </c>
      <c r="G26" s="10" t="n">
        <f aca="false">INDEX(Cascade!$BH:$BH,MATCH($E26,Cascade!$E:$E,0))</f>
        <v>0</v>
      </c>
      <c r="H26" s="10" t="str">
        <f aca="false">IF(OR($C26="01-09",$D26="Male"),"",INDEX(PMTCT!$AC:$AC,MATCH($E26,PMTCT!$E:$E,0)))</f>
        <v/>
      </c>
      <c r="I26" s="10" t="str">
        <f aca="false">IF(OR($C26="01-09",$D26="Male"),"",INDEX(PMTCT!$AS:$AS,MATCH($E26,PMTCT!$E:$E,0)))</f>
        <v/>
      </c>
      <c r="J26" s="10" t="str">
        <f aca="false">INDEX(TB!$P:$P,MATCH($E26,TB!$E:$E,0))</f>
        <v/>
      </c>
      <c r="K26" s="10" t="str">
        <f aca="false">IF(OR($C26="01-09",$C26="10-14",$D26="Female"),"",INDEX(VMMC!$AA:$AA,MATCH($E26,VMMC!$E:$E,0)))</f>
        <v/>
      </c>
      <c r="L26" s="10" t="n">
        <f aca="false">SUM($G26)-SUM($H26:$K26)</f>
        <v>0</v>
      </c>
      <c r="M26" s="88" t="str">
        <f aca="false">IF(OR($C26="01-09",$D26="Male",AND(SUM($G26)=0,SUM($H26)=0)),"",SUM($H26)/SUM($G26))</f>
        <v/>
      </c>
      <c r="N26" s="88" t="str">
        <f aca="false">IF(OR($C26="01-09",$D26="Male",AND(SUM($G26)=0,SUM($I26)=0)),"",SUM($I26)/SUM($G26))</f>
        <v/>
      </c>
      <c r="O26" s="88" t="str">
        <f aca="false">IF(AND(SUM($G26)=0,SUM($J26)=0),"",SUM($J26)/SUM($G26))</f>
        <v/>
      </c>
      <c r="P26" s="88" t="str">
        <f aca="false">IF(OR($C26="01-09",$C26="10-14",$D26="Female",AND(SUM($G26)=0,SUM($K26)=0)),"",SUM($K26)/SUM($G26))</f>
        <v/>
      </c>
      <c r="Q26" s="88"/>
      <c r="R26" s="88"/>
      <c r="S26" s="88"/>
      <c r="T26" s="88" t="n">
        <v>0.200645535485819</v>
      </c>
      <c r="U26" s="88" t="n">
        <v>0.18489344092086</v>
      </c>
      <c r="V26" s="88" t="str">
        <f aca="false">IF(SUM($G26)=0,"",SUM($M26:$U26))</f>
        <v/>
      </c>
      <c r="W26" s="88"/>
      <c r="X26" s="39" t="str">
        <f aca="false">IF(OR(SUM($G26)=0,SUM($Q26)=0),"",ROUND(SUM($G26)*SUM($Q26),0))</f>
        <v/>
      </c>
      <c r="Y26" s="39" t="str">
        <f aca="false">IF(SUM($X26)=0,"",IF(SUM($W26)=0,"ENTER YIELD",ROUND($X26/$W26,0)-$X26))</f>
        <v/>
      </c>
      <c r="Z26" s="88"/>
      <c r="AA26" s="39" t="str">
        <f aca="false">IF(OR(SUM($G26)=0,SUM($R26)=0),"",ROUND(SUM($G26)*SUM($R26),0))</f>
        <v/>
      </c>
      <c r="AB26" s="39" t="str">
        <f aca="false">IF(SUM($AA26)=0,"",IF(SUM($Z26)=0,"ENTER YIELD",ROUND($AA26/$Z26,0)-$AA26))</f>
        <v/>
      </c>
      <c r="AC26" s="88"/>
      <c r="AD26" s="39" t="str">
        <f aca="false">IF(OR(SUM($G26)=0,SUM($S26)=0),"",ROUND(SUM($G26)*SUM($S26),0))</f>
        <v/>
      </c>
      <c r="AE26" s="39" t="str">
        <f aca="false">IF(SUM($AD26)=0,"",IF(SUM($AC26)=0,"ENTER YIELD",ROUND($AD26/$AC26,0)-$AD26))</f>
        <v/>
      </c>
      <c r="AF26" s="88"/>
      <c r="AG26" s="39" t="str">
        <f aca="false">IF(OR(SUM($G26)=0,SUM($T26)=0),"",ROUND(SUM($G26)*SUM($T26),0))</f>
        <v/>
      </c>
      <c r="AH26" s="39" t="str">
        <f aca="false">IF(SUM($AG26)=0,"",IF(SUM($AF26)=0,"ENTER YIELD",ROUND($AG26/$AF26,0)-$AG26))</f>
        <v/>
      </c>
      <c r="AI26" s="88" t="n">
        <v>0.839869761839509</v>
      </c>
      <c r="AJ26" s="39" t="str">
        <f aca="false">IF(OR(SUM($G26)=0,SUM($U26)=0),"",ROUND(SUM($G26)*SUM($U26),0))</f>
        <v/>
      </c>
      <c r="AK26" s="39" t="str">
        <f aca="false">IF(SUM($AJ26)=0,"",IF(SUM($AI26)=0,"ENTER YIELD",ROUND($AJ26/$AI26,0)-$AJ26))</f>
        <v/>
      </c>
      <c r="AL26" s="10" t="str">
        <f aca="false">IF(SUM($G26)=0,"",$G26)</f>
        <v/>
      </c>
      <c r="AM26" s="10" t="str">
        <f aca="false">IFERROR(1/(1/SUM($H26:$K26,$X26,$AA26,$AD26,$AG26,$AJ26)),"")</f>
        <v/>
      </c>
      <c r="AN26" s="10" t="str">
        <f aca="false">IF(AND(SUM($AM26)=0,SUM($AL26)=0),"",$AM26-$AL26)</f>
        <v/>
      </c>
      <c r="AO26" s="10" t="str">
        <f aca="false">IF(OR($C26="01-09",$D26="Male"),"",INDEX(PMTCT!$AD:$AD,MATCH($E26,PMTCT!$E:$E,0)))</f>
        <v/>
      </c>
      <c r="AP26" s="10" t="str">
        <f aca="false">IF(OR($C26="01-09",$D26="Male"),"",INDEX(PMTCT!$AT:$AT,MATCH($E26,PMTCT!$E:$E,0)))</f>
        <v/>
      </c>
      <c r="AQ26" s="10" t="str">
        <f aca="false">INDEX(TB!$Q:$Q,MATCH($E26,TB!$E:$E,0))</f>
        <v/>
      </c>
      <c r="AR26" s="10" t="str">
        <f aca="false">IF(OR($C26="01-09",$C26="10-14",$D26="Female"),"",INDEX(VMMC!$AB:$AB,MATCH($E26,VMMC!$E:$E,0)))</f>
        <v/>
      </c>
      <c r="AS26" s="10" t="str">
        <f aca="false">IF(OR($C26="01-09",$C26="10-14"),"",INDEX(PrEP!$Q:$Q,MATCH($E26,PrEP!$E:$E,0)))</f>
        <v/>
      </c>
      <c r="AT26" s="10" t="str">
        <f aca="false">IFERROR(1/(1/SUM($Y26,$AB26,$AE26,$AH26,$AK26,$AO26:$AS26)),"")</f>
        <v/>
      </c>
      <c r="AU26" s="10" t="str">
        <f aca="false">IFERROR(1/(1/SUM($AT26,$AM26)),"")</f>
        <v/>
      </c>
      <c r="AV26" s="88" t="str">
        <f aca="false">IF(AND(SUM($AM26)=0,SUM($AU26)=0),"",$AM26/$AU26)</f>
        <v/>
      </c>
      <c r="AW26" s="10" t="n">
        <v>13</v>
      </c>
      <c r="AX26" s="88" t="n">
        <f aca="false">IF(OR($C26="01-09",SUM($AW26)=0),"",0%)</f>
        <v>0</v>
      </c>
      <c r="AY26" s="39" t="n">
        <f aca="false">IF(OR($C26="01-09",SUM($AW26)=0),"",ROUND($AW26*(1+$AX26),0))</f>
        <v>13</v>
      </c>
      <c r="AZ26" s="88" t="n">
        <f aca="false">IF(OR($C26="01-09",$C26="10-14"),"",100%)</f>
        <v>1</v>
      </c>
      <c r="BA26" s="39" t="str">
        <f aca="false">IF(OR(SUM($AM26)=0,$C26="01-09",$C26="10-14"),"",$AM26*$AZ26)</f>
        <v/>
      </c>
    </row>
    <row r="27" customFormat="false" ht="15" hidden="false" customHeight="false" outlineLevel="0" collapsed="false">
      <c r="A27" s="0" t="str">
        <f aca="false">INDEX(Prioritization!$D:$D,MATCH($B27,Prioritization!$A:$A,0))</f>
        <v>1 - Scale-up: Saturation</v>
      </c>
      <c r="B27" s="0" t="s">
        <v>195</v>
      </c>
      <c r="C27" s="0" t="s">
        <v>363</v>
      </c>
      <c r="D27" s="0" t="s">
        <v>30</v>
      </c>
      <c r="E27" s="0" t="str">
        <f aca="false">$B27&amp;"|"&amp;$C27&amp;"|"&amp;$D27</f>
        <v>Dedza District [PekKUkKHAzY]|01-09|Female</v>
      </c>
      <c r="F27" s="88" t="n">
        <f aca="false">IF(LEFT($B27,4)="_Mil","",INDEX(Cascade!$AA:$AA,MATCH($E27,Cascade!$E:$E,0)))</f>
        <v>1993</v>
      </c>
      <c r="G27" s="10" t="n">
        <f aca="false">INDEX(Cascade!$BH:$BH,MATCH($E27,Cascade!$E:$E,0))</f>
        <v>0</v>
      </c>
      <c r="H27" s="10" t="str">
        <f aca="false">IF(OR($C27="01-09",$D27="Male"),"",INDEX(PMTCT!$AC:$AC,MATCH($E27,PMTCT!$E:$E,0)))</f>
        <v/>
      </c>
      <c r="I27" s="10" t="str">
        <f aca="false">IF(OR($C27="01-09",$D27="Male"),"",INDEX(PMTCT!$AS:$AS,MATCH($E27,PMTCT!$E:$E,0)))</f>
        <v/>
      </c>
      <c r="J27" s="10" t="str">
        <f aca="false">INDEX(TB!$P:$P,MATCH($E27,TB!$E:$E,0))</f>
        <v/>
      </c>
      <c r="K27" s="10" t="str">
        <f aca="false">IF(OR($C27="01-09",$C27="10-14",$D27="Female"),"",INDEX(VMMC!$AA:$AA,MATCH($E27,VMMC!$E:$E,0)))</f>
        <v/>
      </c>
      <c r="L27" s="10" t="n">
        <f aca="false">SUM($G27)-SUM($H27:$K27)</f>
        <v>0</v>
      </c>
      <c r="M27" s="88" t="str">
        <f aca="false">IF(OR($C27="01-09",$D27="Male",AND(SUM($G27)=0,SUM($H27)=0)),"",SUM($H27)/SUM($G27))</f>
        <v/>
      </c>
      <c r="N27" s="88" t="str">
        <f aca="false">IF(OR($C27="01-09",$D27="Male",AND(SUM($G27)=0,SUM($I27)=0)),"",SUM($I27)/SUM($G27))</f>
        <v/>
      </c>
      <c r="O27" s="88" t="str">
        <f aca="false">IF(AND(SUM($G27)=0,SUM($J27)=0),"",SUM($J27)/SUM($G27))</f>
        <v/>
      </c>
      <c r="P27" s="88" t="str">
        <f aca="false">IF(OR($C27="01-09",$C27="10-14",$D27="Female",AND(SUM($G27)=0,SUM($K27)=0)),"",SUM($K27)/SUM($G27))</f>
        <v/>
      </c>
      <c r="Q27" s="88"/>
      <c r="R27" s="88"/>
      <c r="S27" s="88"/>
      <c r="T27" s="88"/>
      <c r="U27" s="88"/>
      <c r="V27" s="88" t="str">
        <f aca="false">IF(SUM($G27)=0,"",SUM($M27:$U27))</f>
        <v/>
      </c>
      <c r="W27" s="88"/>
      <c r="X27" s="39" t="str">
        <f aca="false">IF(OR(SUM($G27)=0,SUM($Q27)=0),"",ROUND(SUM($G27)*SUM($Q27),0))</f>
        <v/>
      </c>
      <c r="Y27" s="39" t="str">
        <f aca="false">IF(SUM($X27)=0,"",IF(SUM($W27)=0,"ENTER YIELD",ROUND($X27/$W27,0)-$X27))</f>
        <v/>
      </c>
      <c r="Z27" s="88"/>
      <c r="AA27" s="39" t="str">
        <f aca="false">IF(OR(SUM($G27)=0,SUM($R27)=0),"",ROUND(SUM($G27)*SUM($R27),0))</f>
        <v/>
      </c>
      <c r="AB27" s="39" t="str">
        <f aca="false">IF(SUM($AA27)=0,"",IF(SUM($Z27)=0,"ENTER YIELD",ROUND($AA27/$Z27,0)-$AA27))</f>
        <v/>
      </c>
      <c r="AC27" s="88"/>
      <c r="AD27" s="39" t="str">
        <f aca="false">IF(OR(SUM($G27)=0,SUM($S27)=0),"",ROUND(SUM($G27)*SUM($S27),0))</f>
        <v/>
      </c>
      <c r="AE27" s="39" t="str">
        <f aca="false">IF(SUM($AD27)=0,"",IF(SUM($AC27)=0,"ENTER YIELD",ROUND($AD27/$AC27,0)-$AD27))</f>
        <v/>
      </c>
      <c r="AF27" s="88"/>
      <c r="AG27" s="39" t="str">
        <f aca="false">IF(OR(SUM($G27)=0,SUM($T27)=0),"",ROUND(SUM($G27)*SUM($T27),0))</f>
        <v/>
      </c>
      <c r="AH27" s="39" t="str">
        <f aca="false">IF(SUM($AG27)=0,"",IF(SUM($AF27)=0,"ENTER YIELD",ROUND($AG27/$AF27,0)-$AG27))</f>
        <v/>
      </c>
      <c r="AI27" s="88"/>
      <c r="AJ27" s="39" t="str">
        <f aca="false">IF(OR(SUM($G27)=0,SUM($U27)=0),"",ROUND(SUM($G27)*SUM($U27),0))</f>
        <v/>
      </c>
      <c r="AK27" s="39" t="str">
        <f aca="false">IF(SUM($AJ27)=0,"",IF(SUM($AI27)=0,"ENTER YIELD",ROUND($AJ27/$AI27,0)-$AJ27))</f>
        <v/>
      </c>
      <c r="AL27" s="10" t="str">
        <f aca="false">IF(SUM($G27)=0,"",$G27)</f>
        <v/>
      </c>
      <c r="AM27" s="10" t="str">
        <f aca="false">IFERROR(1/(1/SUM($H27:$K27,$X27,$AA27,$AD27,$AG27,$AJ27)),"")</f>
        <v/>
      </c>
      <c r="AN27" s="10" t="str">
        <f aca="false">IF(AND(SUM($AM27)=0,SUM($AL27)=0),"",$AM27-$AL27)</f>
        <v/>
      </c>
      <c r="AO27" s="10" t="str">
        <f aca="false">IF(OR($C27="01-09",$D27="Male"),"",INDEX(PMTCT!$AD:$AD,MATCH($E27,PMTCT!$E:$E,0)))</f>
        <v/>
      </c>
      <c r="AP27" s="10" t="str">
        <f aca="false">IF(OR($C27="01-09",$D27="Male"),"",INDEX(PMTCT!$AT:$AT,MATCH($E27,PMTCT!$E:$E,0)))</f>
        <v/>
      </c>
      <c r="AQ27" s="10" t="str">
        <f aca="false">INDEX(TB!$Q:$Q,MATCH($E27,TB!$E:$E,0))</f>
        <v/>
      </c>
      <c r="AR27" s="10" t="str">
        <f aca="false">IF(OR($C27="01-09",$C27="10-14",$D27="Female"),"",INDEX(VMMC!$AB:$AB,MATCH($E27,VMMC!$E:$E,0)))</f>
        <v/>
      </c>
      <c r="AS27" s="10" t="str">
        <f aca="false">IF(OR($C27="01-09",$C27="10-14"),"",INDEX(PrEP!$Q:$Q,MATCH($E27,PrEP!$E:$E,0)))</f>
        <v/>
      </c>
      <c r="AT27" s="10" t="str">
        <f aca="false">IFERROR(1/(1/SUM($Y27,$AB27,$AE27,$AH27,$AK27,$AO27:$AS27)),"")</f>
        <v/>
      </c>
      <c r="AU27" s="10" t="str">
        <f aca="false">IFERROR(1/(1/SUM($AT27,$AM27)),"")</f>
        <v/>
      </c>
      <c r="AV27" s="88" t="str">
        <f aca="false">IF(AND(SUM($AM27)=0,SUM($AU27)=0),"",$AM27/$AU27)</f>
        <v/>
      </c>
      <c r="AW27" s="10"/>
      <c r="AX27" s="88" t="str">
        <f aca="false">IF(OR($C27="01-09",SUM($AW27)=0),"",0%)</f>
        <v/>
      </c>
      <c r="AY27" s="39" t="str">
        <f aca="false">IF(OR($C27="01-09",SUM($AW27)=0),"",ROUND($AW27*(1+$AX27),0))</f>
        <v/>
      </c>
      <c r="AZ27" s="88" t="str">
        <f aca="false">IF(OR($C27="01-09",$C27="10-14"),"",100%)</f>
        <v/>
      </c>
      <c r="BA27" s="39" t="str">
        <f aca="false">IF(OR(SUM($AM27)=0,$C27="01-09",$C27="10-14"),"",$AM27*$AZ27)</f>
        <v/>
      </c>
    </row>
    <row r="28" customFormat="false" ht="15" hidden="false" customHeight="false" outlineLevel="0" collapsed="false">
      <c r="A28" s="0" t="str">
        <f aca="false">INDEX(Prioritization!$D:$D,MATCH($B28,Prioritization!$A:$A,0))</f>
        <v>1 - Scale-up: Saturation</v>
      </c>
      <c r="B28" s="0" t="s">
        <v>195</v>
      </c>
      <c r="C28" s="0" t="s">
        <v>363</v>
      </c>
      <c r="D28" s="0" t="s">
        <v>48</v>
      </c>
      <c r="E28" s="0" t="str">
        <f aca="false">$B28&amp;"|"&amp;$C28&amp;"|"&amp;$D28</f>
        <v>Dedza District [PekKUkKHAzY]|01-09|Male</v>
      </c>
      <c r="F28" s="88" t="n">
        <f aca="false">IF(LEFT($B28,4)="_Mil","",INDEX(Cascade!$AA:$AA,MATCH($E28,Cascade!$E:$E,0)))</f>
        <v>1004</v>
      </c>
      <c r="G28" s="10" t="n">
        <f aca="false">INDEX(Cascade!$BH:$BH,MATCH($E28,Cascade!$E:$E,0))</f>
        <v>0</v>
      </c>
      <c r="H28" s="10" t="str">
        <f aca="false">IF(OR($C28="01-09",$D28="Male"),"",INDEX(PMTCT!$AC:$AC,MATCH($E28,PMTCT!$E:$E,0)))</f>
        <v/>
      </c>
      <c r="I28" s="10" t="str">
        <f aca="false">IF(OR($C28="01-09",$D28="Male"),"",INDEX(PMTCT!$AS:$AS,MATCH($E28,PMTCT!$E:$E,0)))</f>
        <v/>
      </c>
      <c r="J28" s="10" t="str">
        <f aca="false">INDEX(TB!$P:$P,MATCH($E28,TB!$E:$E,0))</f>
        <v/>
      </c>
      <c r="K28" s="10" t="str">
        <f aca="false">IF(OR($C28="01-09",$C28="10-14",$D28="Female"),"",INDEX(VMMC!$AA:$AA,MATCH($E28,VMMC!$E:$E,0)))</f>
        <v/>
      </c>
      <c r="L28" s="10" t="n">
        <f aca="false">SUM($G28)-SUM($H28:$K28)</f>
        <v>0</v>
      </c>
      <c r="M28" s="88" t="str">
        <f aca="false">IF(OR($C28="01-09",$D28="Male",AND(SUM($G28)=0,SUM($H28)=0)),"",SUM($H28)/SUM($G28))</f>
        <v/>
      </c>
      <c r="N28" s="88" t="str">
        <f aca="false">IF(OR($C28="01-09",$D28="Male",AND(SUM($G28)=0,SUM($I28)=0)),"",SUM($I28)/SUM($G28))</f>
        <v/>
      </c>
      <c r="O28" s="88" t="str">
        <f aca="false">IF(AND(SUM($G28)=0,SUM($J28)=0),"",SUM($J28)/SUM($G28))</f>
        <v/>
      </c>
      <c r="P28" s="88" t="str">
        <f aca="false">IF(OR($C28="01-09",$C28="10-14",$D28="Female",AND(SUM($G28)=0,SUM($K28)=0)),"",SUM($K28)/SUM($G28))</f>
        <v/>
      </c>
      <c r="Q28" s="88"/>
      <c r="R28" s="88"/>
      <c r="S28" s="88"/>
      <c r="T28" s="88"/>
      <c r="U28" s="88"/>
      <c r="V28" s="88" t="str">
        <f aca="false">IF(SUM($G28)=0,"",SUM($M28:$U28))</f>
        <v/>
      </c>
      <c r="W28" s="88"/>
      <c r="X28" s="39" t="str">
        <f aca="false">IF(OR(SUM($G28)=0,SUM($Q28)=0),"",ROUND(SUM($G28)*SUM($Q28),0))</f>
        <v/>
      </c>
      <c r="Y28" s="39" t="str">
        <f aca="false">IF(SUM($X28)=0,"",IF(SUM($W28)=0,"ENTER YIELD",ROUND($X28/$W28,0)-$X28))</f>
        <v/>
      </c>
      <c r="Z28" s="88"/>
      <c r="AA28" s="39" t="str">
        <f aca="false">IF(OR(SUM($G28)=0,SUM($R28)=0),"",ROUND(SUM($G28)*SUM($R28),0))</f>
        <v/>
      </c>
      <c r="AB28" s="39" t="str">
        <f aca="false">IF(SUM($AA28)=0,"",IF(SUM($Z28)=0,"ENTER YIELD",ROUND($AA28/$Z28,0)-$AA28))</f>
        <v/>
      </c>
      <c r="AC28" s="88"/>
      <c r="AD28" s="39" t="str">
        <f aca="false">IF(OR(SUM($G28)=0,SUM($S28)=0),"",ROUND(SUM($G28)*SUM($S28),0))</f>
        <v/>
      </c>
      <c r="AE28" s="39" t="str">
        <f aca="false">IF(SUM($AD28)=0,"",IF(SUM($AC28)=0,"ENTER YIELD",ROUND($AD28/$AC28,0)-$AD28))</f>
        <v/>
      </c>
      <c r="AF28" s="88"/>
      <c r="AG28" s="39" t="str">
        <f aca="false">IF(OR(SUM($G28)=0,SUM($T28)=0),"",ROUND(SUM($G28)*SUM($T28),0))</f>
        <v/>
      </c>
      <c r="AH28" s="39" t="str">
        <f aca="false">IF(SUM($AG28)=0,"",IF(SUM($AF28)=0,"ENTER YIELD",ROUND($AG28/$AF28,0)-$AG28))</f>
        <v/>
      </c>
      <c r="AI28" s="88"/>
      <c r="AJ28" s="39" t="str">
        <f aca="false">IF(OR(SUM($G28)=0,SUM($U28)=0),"",ROUND(SUM($G28)*SUM($U28),0))</f>
        <v/>
      </c>
      <c r="AK28" s="39" t="str">
        <f aca="false">IF(SUM($AJ28)=0,"",IF(SUM($AI28)=0,"ENTER YIELD",ROUND($AJ28/$AI28,0)-$AJ28))</f>
        <v/>
      </c>
      <c r="AL28" s="10" t="str">
        <f aca="false">IF(SUM($G28)=0,"",$G28)</f>
        <v/>
      </c>
      <c r="AM28" s="10" t="str">
        <f aca="false">IFERROR(1/(1/SUM($H28:$K28,$X28,$AA28,$AD28,$AG28,$AJ28)),"")</f>
        <v/>
      </c>
      <c r="AN28" s="10" t="str">
        <f aca="false">IF(AND(SUM($AM28)=0,SUM($AL28)=0),"",$AM28-$AL28)</f>
        <v/>
      </c>
      <c r="AO28" s="10" t="str">
        <f aca="false">IF(OR($C28="01-09",$D28="Male"),"",INDEX(PMTCT!$AD:$AD,MATCH($E28,PMTCT!$E:$E,0)))</f>
        <v/>
      </c>
      <c r="AP28" s="10" t="str">
        <f aca="false">IF(OR($C28="01-09",$D28="Male"),"",INDEX(PMTCT!$AT:$AT,MATCH($E28,PMTCT!$E:$E,0)))</f>
        <v/>
      </c>
      <c r="AQ28" s="10" t="str">
        <f aca="false">INDEX(TB!$Q:$Q,MATCH($E28,TB!$E:$E,0))</f>
        <v/>
      </c>
      <c r="AR28" s="10" t="str">
        <f aca="false">IF(OR($C28="01-09",$C28="10-14",$D28="Female"),"",INDEX(VMMC!$AB:$AB,MATCH($E28,VMMC!$E:$E,0)))</f>
        <v/>
      </c>
      <c r="AS28" s="10" t="str">
        <f aca="false">IF(OR($C28="01-09",$C28="10-14"),"",INDEX(PrEP!$Q:$Q,MATCH($E28,PrEP!$E:$E,0)))</f>
        <v/>
      </c>
      <c r="AT28" s="10" t="str">
        <f aca="false">IFERROR(1/(1/SUM($Y28,$AB28,$AE28,$AH28,$AK28,$AO28:$AS28)),"")</f>
        <v/>
      </c>
      <c r="AU28" s="10" t="str">
        <f aca="false">IFERROR(1/(1/SUM($AT28,$AM28)),"")</f>
        <v/>
      </c>
      <c r="AV28" s="88" t="str">
        <f aca="false">IF(AND(SUM($AM28)=0,SUM($AU28)=0),"",$AM28/$AU28)</f>
        <v/>
      </c>
      <c r="AW28" s="10"/>
      <c r="AX28" s="88" t="str">
        <f aca="false">IF(OR($C28="01-09",SUM($AW28)=0),"",0%)</f>
        <v/>
      </c>
      <c r="AY28" s="39" t="str">
        <f aca="false">IF(OR($C28="01-09",SUM($AW28)=0),"",ROUND($AW28*(1+$AX28),0))</f>
        <v/>
      </c>
      <c r="AZ28" s="88" t="str">
        <f aca="false">IF(OR($C28="01-09",$C28="10-14"),"",100%)</f>
        <v/>
      </c>
      <c r="BA28" s="39" t="str">
        <f aca="false">IF(OR(SUM($AM28)=0,$C28="01-09",$C28="10-14"),"",$AM28*$AZ28)</f>
        <v/>
      </c>
    </row>
    <row r="29" customFormat="false" ht="15" hidden="false" customHeight="false" outlineLevel="0" collapsed="false">
      <c r="A29" s="0" t="str">
        <f aca="false">INDEX(Prioritization!$D:$D,MATCH($B29,Prioritization!$A:$A,0))</f>
        <v>1 - Scale-up: Saturation</v>
      </c>
      <c r="B29" s="0" t="s">
        <v>195</v>
      </c>
      <c r="C29" s="0" t="s">
        <v>364</v>
      </c>
      <c r="D29" s="0" t="s">
        <v>30</v>
      </c>
      <c r="E29" s="0" t="str">
        <f aca="false">$B29&amp;"|"&amp;$C29&amp;"|"&amp;$D29</f>
        <v>Dedza District [PekKUkKHAzY]|10-14|Female</v>
      </c>
      <c r="F29" s="88" t="n">
        <f aca="false">IF(LEFT($B29,4)="_Mil","",INDEX(Cascade!$AA:$AA,MATCH($E29,Cascade!$E:$E,0)))</f>
        <v>1044</v>
      </c>
      <c r="G29" s="10" t="n">
        <f aca="false">INDEX(Cascade!$BH:$BH,MATCH($E29,Cascade!$E:$E,0))</f>
        <v>-76</v>
      </c>
      <c r="H29" s="10" t="str">
        <f aca="false">IF(OR($C29="01-09",$D29="Male"),"",INDEX(PMTCT!$AC:$AC,MATCH($E29,PMTCT!$E:$E,0)))</f>
        <v>ENTER YIELD RATE</v>
      </c>
      <c r="I29" s="10" t="str">
        <f aca="false">IF(OR($C29="01-09",$D29="Male"),"",INDEX(PMTCT!$AS:$AS,MATCH($E29,PMTCT!$E:$E,0)))</f>
        <v>ENTER YIELD RATE</v>
      </c>
      <c r="J29" s="10" t="str">
        <f aca="false">INDEX(TB!$P:$P,MATCH($E29,TB!$E:$E,0))</f>
        <v/>
      </c>
      <c r="K29" s="10" t="str">
        <f aca="false">IF(OR($C29="01-09",$C29="10-14",$D29="Female"),"",INDEX(VMMC!$AA:$AA,MATCH($E29,VMMC!$E:$E,0)))</f>
        <v/>
      </c>
      <c r="L29" s="10" t="n">
        <f aca="false">SUM($G29)-SUM($H29:$K29)</f>
        <v>-76</v>
      </c>
      <c r="M29" s="88" t="n">
        <f aca="false">IF(OR($C29="01-09",$D29="Male",AND(SUM($G29)=0,SUM($H29)=0)),"",SUM($H29)/SUM($G29))</f>
        <v>-0</v>
      </c>
      <c r="N29" s="88" t="n">
        <f aca="false">IF(OR($C29="01-09",$D29="Male",AND(SUM($G29)=0,SUM($I29)=0)),"",SUM($I29)/SUM($G29))</f>
        <v>-0</v>
      </c>
      <c r="O29" s="88" t="n">
        <f aca="false">IF(AND(SUM($G29)=0,SUM($J29)=0),"",SUM($J29)/SUM($G29))</f>
        <v>-0</v>
      </c>
      <c r="P29" s="88" t="str">
        <f aca="false">IF(OR($C29="01-09",$C29="10-14",$D29="Female",AND(SUM($G29)=0,SUM($K29)=0)),"",SUM($K29)/SUM($G29))</f>
        <v/>
      </c>
      <c r="Q29" s="88" t="n">
        <v>0.907439927803352</v>
      </c>
      <c r="R29" s="88"/>
      <c r="S29" s="88"/>
      <c r="T29" s="88"/>
      <c r="U29" s="88" t="n">
        <v>0.640300273895264</v>
      </c>
      <c r="V29" s="88" t="n">
        <f aca="false">IF(SUM($G29)=0,"",SUM($M29:$U29))</f>
        <v>1.54774020169862</v>
      </c>
      <c r="W29" s="88"/>
      <c r="X29" s="39" t="n">
        <f aca="false">IF(OR(SUM($G29)=0,SUM($Q29)=0),"",ROUND(SUM($G29)*SUM($Q29),0))</f>
        <v>-69</v>
      </c>
      <c r="Y29" s="39" t="str">
        <f aca="false">IF(SUM($X29)=0,"",IF(SUM($W29)=0,"ENTER YIELD",ROUND($X29/$W29,0)-$X29))</f>
        <v>ENTER YIELD</v>
      </c>
      <c r="Z29" s="88"/>
      <c r="AA29" s="39" t="str">
        <f aca="false">IF(OR(SUM($G29)=0,SUM($R29)=0),"",ROUND(SUM($G29)*SUM($R29),0))</f>
        <v/>
      </c>
      <c r="AB29" s="39" t="str">
        <f aca="false">IF(SUM($AA29)=0,"",IF(SUM($Z29)=0,"ENTER YIELD",ROUND($AA29/$Z29,0)-$AA29))</f>
        <v/>
      </c>
      <c r="AC29" s="88"/>
      <c r="AD29" s="39" t="str">
        <f aca="false">IF(OR(SUM($G29)=0,SUM($S29)=0),"",ROUND(SUM($G29)*SUM($S29),0))</f>
        <v/>
      </c>
      <c r="AE29" s="39" t="str">
        <f aca="false">IF(SUM($AD29)=0,"",IF(SUM($AC29)=0,"ENTER YIELD",ROUND($AD29/$AC29,0)-$AD29))</f>
        <v/>
      </c>
      <c r="AF29" s="88"/>
      <c r="AG29" s="39" t="str">
        <f aca="false">IF(OR(SUM($G29)=0,SUM($T29)=0),"",ROUND(SUM($G29)*SUM($T29),0))</f>
        <v/>
      </c>
      <c r="AH29" s="39" t="str">
        <f aca="false">IF(SUM($AG29)=0,"",IF(SUM($AF29)=0,"ENTER YIELD",ROUND($AG29/$AF29,0)-$AG29))</f>
        <v/>
      </c>
      <c r="AI29" s="88"/>
      <c r="AJ29" s="39" t="n">
        <f aca="false">IF(OR(SUM($G29)=0,SUM($U29)=0),"",ROUND(SUM($G29)*SUM($U29),0))</f>
        <v>-49</v>
      </c>
      <c r="AK29" s="39" t="str">
        <f aca="false">IF(SUM($AJ29)=0,"",IF(SUM($AI29)=0,"ENTER YIELD",ROUND($AJ29/$AI29,0)-$AJ29))</f>
        <v>ENTER YIELD</v>
      </c>
      <c r="AL29" s="10" t="n">
        <f aca="false">IF(SUM($G29)=0,"",$G29)</f>
        <v>-76</v>
      </c>
      <c r="AM29" s="10" t="n">
        <f aca="false">IFERROR(1/(1/SUM($H29:$K29,$X29,$AA29,$AD29,$AG29,$AJ29)),"")</f>
        <v>-118</v>
      </c>
      <c r="AN29" s="10" t="n">
        <f aca="false">IF(AND(SUM($AM29)=0,SUM($AL29)=0),"",$AM29-$AL29)</f>
        <v>-42</v>
      </c>
      <c r="AO29" s="10" t="n">
        <f aca="false">IF(OR($C29="01-09",$D29="Male"),"",INDEX(PMTCT!$AD:$AD,MATCH($E29,PMTCT!$E:$E,0)))</f>
        <v>3</v>
      </c>
      <c r="AP29" s="10" t="n">
        <f aca="false">IF(OR($C29="01-09",$D29="Male"),"",INDEX(PMTCT!$AT:$AT,MATCH($E29,PMTCT!$E:$E,0)))</f>
        <v>3</v>
      </c>
      <c r="AQ29" s="10" t="str">
        <f aca="false">INDEX(TB!$Q:$Q,MATCH($E29,TB!$E:$E,0))</f>
        <v/>
      </c>
      <c r="AR29" s="10" t="str">
        <f aca="false">IF(OR($C29="01-09",$C29="10-14",$D29="Female"),"",INDEX(VMMC!$AB:$AB,MATCH($E29,VMMC!$E:$E,0)))</f>
        <v/>
      </c>
      <c r="AS29" s="10" t="str">
        <f aca="false">IF(OR($C29="01-09",$C29="10-14"),"",INDEX(PrEP!$Q:$Q,MATCH($E29,PrEP!$E:$E,0)))</f>
        <v/>
      </c>
      <c r="AT29" s="10" t="n">
        <f aca="false">IFERROR(1/(1/SUM($Y29,$AB29,$AE29,$AH29,$AK29,$AO29:$AS29)),"")</f>
        <v>6</v>
      </c>
      <c r="AU29" s="10" t="n">
        <f aca="false">IFERROR(1/(1/SUM($AT29,$AM29)),"")</f>
        <v>-112</v>
      </c>
      <c r="AV29" s="88" t="n">
        <f aca="false">IF(AND(SUM($AM29)=0,SUM($AU29)=0),"",$AM29/$AU29)</f>
        <v>1.05357142857143</v>
      </c>
      <c r="AW29" s="10"/>
      <c r="AX29" s="88" t="str">
        <f aca="false">IF(OR($C29="01-09",SUM($AW29)=0),"",0%)</f>
        <v/>
      </c>
      <c r="AY29" s="39" t="str">
        <f aca="false">IF(OR($C29="01-09",SUM($AW29)=0),"",ROUND($AW29*(1+$AX29),0))</f>
        <v/>
      </c>
      <c r="AZ29" s="88" t="str">
        <f aca="false">IF(OR($C29="01-09",$C29="10-14"),"",100%)</f>
        <v/>
      </c>
      <c r="BA29" s="39" t="str">
        <f aca="false">IF(OR(SUM($AM29)=0,$C29="01-09",$C29="10-14"),"",$AM29*$AZ29)</f>
        <v/>
      </c>
    </row>
    <row r="30" customFormat="false" ht="15" hidden="false" customHeight="false" outlineLevel="0" collapsed="false">
      <c r="A30" s="0" t="str">
        <f aca="false">INDEX(Prioritization!$D:$D,MATCH($B30,Prioritization!$A:$A,0))</f>
        <v>1 - Scale-up: Saturation</v>
      </c>
      <c r="B30" s="0" t="s">
        <v>195</v>
      </c>
      <c r="C30" s="0" t="s">
        <v>364</v>
      </c>
      <c r="D30" s="0" t="s">
        <v>48</v>
      </c>
      <c r="E30" s="0" t="str">
        <f aca="false">$B30&amp;"|"&amp;$C30&amp;"|"&amp;$D30</f>
        <v>Dedza District [PekKUkKHAzY]|10-14|Male</v>
      </c>
      <c r="F30" s="88" t="n">
        <f aca="false">IF(LEFT($B30,4)="_Mil","",INDEX(Cascade!$AA:$AA,MATCH($E30,Cascade!$E:$E,0)))</f>
        <v>1312</v>
      </c>
      <c r="G30" s="10" t="n">
        <f aca="false">INDEX(Cascade!$BH:$BH,MATCH($E30,Cascade!$E:$E,0))</f>
        <v>-91</v>
      </c>
      <c r="H30" s="10" t="str">
        <f aca="false">IF(OR($C30="01-09",$D30="Male"),"",INDEX(PMTCT!$AC:$AC,MATCH($E30,PMTCT!$E:$E,0)))</f>
        <v/>
      </c>
      <c r="I30" s="10" t="str">
        <f aca="false">IF(OR($C30="01-09",$D30="Male"),"",INDEX(PMTCT!$AS:$AS,MATCH($E30,PMTCT!$E:$E,0)))</f>
        <v/>
      </c>
      <c r="J30" s="10" t="str">
        <f aca="false">INDEX(TB!$P:$P,MATCH($E30,TB!$E:$E,0))</f>
        <v>ENTER YIELD RATE</v>
      </c>
      <c r="K30" s="10" t="str">
        <f aca="false">IF(OR($C30="01-09",$C30="10-14",$D30="Female"),"",INDEX(VMMC!$AA:$AA,MATCH($E30,VMMC!$E:$E,0)))</f>
        <v/>
      </c>
      <c r="L30" s="10" t="n">
        <f aca="false">SUM($G30)-SUM($H30:$K30)</f>
        <v>-91</v>
      </c>
      <c r="M30" s="88" t="str">
        <f aca="false">IF(OR($C30="01-09",$D30="Male",AND(SUM($G30)=0,SUM($H30)=0)),"",SUM($H30)/SUM($G30))</f>
        <v/>
      </c>
      <c r="N30" s="88" t="str">
        <f aca="false">IF(OR($C30="01-09",$D30="Male",AND(SUM($G30)=0,SUM($I30)=0)),"",SUM($I30)/SUM($G30))</f>
        <v/>
      </c>
      <c r="O30" s="88" t="n">
        <f aca="false">IF(AND(SUM($G30)=0,SUM($J30)=0),"",SUM($J30)/SUM($G30))</f>
        <v>-0</v>
      </c>
      <c r="P30" s="88" t="str">
        <f aca="false">IF(OR($C30="01-09",$C30="10-14",$D30="Female",AND(SUM($G30)=0,SUM($K30)=0)),"",SUM($K30)/SUM($G30))</f>
        <v/>
      </c>
      <c r="Q30" s="88" t="n">
        <v>0.383402122184634</v>
      </c>
      <c r="R30" s="88"/>
      <c r="S30" s="88"/>
      <c r="T30" s="88"/>
      <c r="U30" s="88" t="n">
        <v>0.335044551175088</v>
      </c>
      <c r="V30" s="88" t="n">
        <f aca="false">IF(SUM($G30)=0,"",SUM($M30:$U30))</f>
        <v>0.718446673359722</v>
      </c>
      <c r="W30" s="88"/>
      <c r="X30" s="39" t="n">
        <f aca="false">IF(OR(SUM($G30)=0,SUM($Q30)=0),"",ROUND(SUM($G30)*SUM($Q30),0))</f>
        <v>-35</v>
      </c>
      <c r="Y30" s="39" t="str">
        <f aca="false">IF(SUM($X30)=0,"",IF(SUM($W30)=0,"ENTER YIELD",ROUND($X30/$W30,0)-$X30))</f>
        <v>ENTER YIELD</v>
      </c>
      <c r="Z30" s="88"/>
      <c r="AA30" s="39" t="str">
        <f aca="false">IF(OR(SUM($G30)=0,SUM($R30)=0),"",ROUND(SUM($G30)*SUM($R30),0))</f>
        <v/>
      </c>
      <c r="AB30" s="39" t="str">
        <f aca="false">IF(SUM($AA30)=0,"",IF(SUM($Z30)=0,"ENTER YIELD",ROUND($AA30/$Z30,0)-$AA30))</f>
        <v/>
      </c>
      <c r="AC30" s="88"/>
      <c r="AD30" s="39" t="str">
        <f aca="false">IF(OR(SUM($G30)=0,SUM($S30)=0),"",ROUND(SUM($G30)*SUM($S30),0))</f>
        <v/>
      </c>
      <c r="AE30" s="39" t="str">
        <f aca="false">IF(SUM($AD30)=0,"",IF(SUM($AC30)=0,"ENTER YIELD",ROUND($AD30/$AC30,0)-$AD30))</f>
        <v/>
      </c>
      <c r="AF30" s="88"/>
      <c r="AG30" s="39" t="str">
        <f aca="false">IF(OR(SUM($G30)=0,SUM($T30)=0),"",ROUND(SUM($G30)*SUM($T30),0))</f>
        <v/>
      </c>
      <c r="AH30" s="39" t="str">
        <f aca="false">IF(SUM($AG30)=0,"",IF(SUM($AF30)=0,"ENTER YIELD",ROUND($AG30/$AF30,0)-$AG30))</f>
        <v/>
      </c>
      <c r="AI30" s="88"/>
      <c r="AJ30" s="39" t="n">
        <f aca="false">IF(OR(SUM($G30)=0,SUM($U30)=0),"",ROUND(SUM($G30)*SUM($U30),0))</f>
        <v>-30</v>
      </c>
      <c r="AK30" s="39" t="str">
        <f aca="false">IF(SUM($AJ30)=0,"",IF(SUM($AI30)=0,"ENTER YIELD",ROUND($AJ30/$AI30,0)-$AJ30))</f>
        <v>ENTER YIELD</v>
      </c>
      <c r="AL30" s="10" t="n">
        <f aca="false">IF(SUM($G30)=0,"",$G30)</f>
        <v>-91</v>
      </c>
      <c r="AM30" s="10" t="n">
        <f aca="false">IFERROR(1/(1/SUM($H30:$K30,$X30,$AA30,$AD30,$AG30,$AJ30)),"")</f>
        <v>-65</v>
      </c>
      <c r="AN30" s="10" t="n">
        <f aca="false">IF(AND(SUM($AM30)=0,SUM($AL30)=0),"",$AM30-$AL30)</f>
        <v>26</v>
      </c>
      <c r="AO30" s="10" t="str">
        <f aca="false">IF(OR($C30="01-09",$D30="Male"),"",INDEX(PMTCT!$AD:$AD,MATCH($E30,PMTCT!$E:$E,0)))</f>
        <v/>
      </c>
      <c r="AP30" s="10" t="str">
        <f aca="false">IF(OR($C30="01-09",$D30="Male"),"",INDEX(PMTCT!$AT:$AT,MATCH($E30,PMTCT!$E:$E,0)))</f>
        <v/>
      </c>
      <c r="AQ30" s="10" t="n">
        <f aca="false">INDEX(TB!$Q:$Q,MATCH($E30,TB!$E:$E,0))</f>
        <v>1</v>
      </c>
      <c r="AR30" s="10" t="str">
        <f aca="false">IF(OR($C30="01-09",$C30="10-14",$D30="Female"),"",INDEX(VMMC!$AB:$AB,MATCH($E30,VMMC!$E:$E,0)))</f>
        <v/>
      </c>
      <c r="AS30" s="10" t="str">
        <f aca="false">IF(OR($C30="01-09",$C30="10-14"),"",INDEX(PrEP!$Q:$Q,MATCH($E30,PrEP!$E:$E,0)))</f>
        <v/>
      </c>
      <c r="AT30" s="10" t="n">
        <f aca="false">IFERROR(1/(1/SUM($Y30,$AB30,$AE30,$AH30,$AK30,$AO30:$AS30)),"")</f>
        <v>1</v>
      </c>
      <c r="AU30" s="10" t="n">
        <f aca="false">IFERROR(1/(1/SUM($AT30,$AM30)),"")</f>
        <v>-64</v>
      </c>
      <c r="AV30" s="88" t="n">
        <f aca="false">IF(AND(SUM($AM30)=0,SUM($AU30)=0),"",$AM30/$AU30)</f>
        <v>1.015625</v>
      </c>
      <c r="AW30" s="10"/>
      <c r="AX30" s="88" t="str">
        <f aca="false">IF(OR($C30="01-09",SUM($AW30)=0),"",0%)</f>
        <v/>
      </c>
      <c r="AY30" s="39" t="str">
        <f aca="false">IF(OR($C30="01-09",SUM($AW30)=0),"",ROUND($AW30*(1+$AX30),0))</f>
        <v/>
      </c>
      <c r="AZ30" s="88" t="str">
        <f aca="false">IF(OR($C30="01-09",$C30="10-14"),"",100%)</f>
        <v/>
      </c>
      <c r="BA30" s="39" t="str">
        <f aca="false">IF(OR(SUM($AM30)=0,$C30="01-09",$C30="10-14"),"",$AM30*$AZ30)</f>
        <v/>
      </c>
    </row>
    <row r="31" customFormat="false" ht="15" hidden="false" customHeight="false" outlineLevel="0" collapsed="false">
      <c r="A31" s="0" t="str">
        <f aca="false">INDEX(Prioritization!$D:$D,MATCH($B31,Prioritization!$A:$A,0))</f>
        <v>1 - Scale-up: Saturation</v>
      </c>
      <c r="B31" s="0" t="s">
        <v>195</v>
      </c>
      <c r="C31" s="0" t="s">
        <v>365</v>
      </c>
      <c r="D31" s="0" t="s">
        <v>30</v>
      </c>
      <c r="E31" s="0" t="str">
        <f aca="false">$B31&amp;"|"&amp;$C31&amp;"|"&amp;$D31</f>
        <v>Dedza District [PekKUkKHAzY]|15-24|Female</v>
      </c>
      <c r="F31" s="88" t="n">
        <f aca="false">IF(LEFT($B31,4)="_Mil","",INDEX(Cascade!$AA:$AA,MATCH($E31,Cascade!$E:$E,0)))</f>
        <v>1089</v>
      </c>
      <c r="G31" s="10" t="n">
        <f aca="false">INDEX(Cascade!$BH:$BH,MATCH($E31,Cascade!$E:$E,0))</f>
        <v>0</v>
      </c>
      <c r="H31" s="10" t="str">
        <f aca="false">IF(OR($C31="01-09",$D31="Male"),"",INDEX(PMTCT!$AC:$AC,MATCH($E31,PMTCT!$E:$E,0)))</f>
        <v/>
      </c>
      <c r="I31" s="10" t="str">
        <f aca="false">IF(OR($C31="01-09",$D31="Male"),"",INDEX(PMTCT!$AS:$AS,MATCH($E31,PMTCT!$E:$E,0)))</f>
        <v/>
      </c>
      <c r="J31" s="10" t="str">
        <f aca="false">INDEX(TB!$P:$P,MATCH($E31,TB!$E:$E,0))</f>
        <v/>
      </c>
      <c r="K31" s="10" t="str">
        <f aca="false">IF(OR($C31="01-09",$C31="10-14",$D31="Female"),"",INDEX(VMMC!$AA:$AA,MATCH($E31,VMMC!$E:$E,0)))</f>
        <v/>
      </c>
      <c r="L31" s="10" t="n">
        <f aca="false">SUM($G31)-SUM($H31:$K31)</f>
        <v>0</v>
      </c>
      <c r="M31" s="88" t="str">
        <f aca="false">IF(OR($C31="01-09",$D31="Male",AND(SUM($G31)=0,SUM($H31)=0)),"",SUM($H31)/SUM($G31))</f>
        <v/>
      </c>
      <c r="N31" s="88" t="str">
        <f aca="false">IF(OR($C31="01-09",$D31="Male",AND(SUM($G31)=0,SUM($I31)=0)),"",SUM($I31)/SUM($G31))</f>
        <v/>
      </c>
      <c r="O31" s="88" t="str">
        <f aca="false">IF(AND(SUM($G31)=0,SUM($J31)=0),"",SUM($J31)/SUM($G31))</f>
        <v/>
      </c>
      <c r="P31" s="88" t="str">
        <f aca="false">IF(OR($C31="01-09",$C31="10-14",$D31="Female",AND(SUM($G31)=0,SUM($K31)=0)),"",SUM($K31)/SUM($G31))</f>
        <v/>
      </c>
      <c r="Q31" s="88"/>
      <c r="R31" s="88"/>
      <c r="S31" s="88"/>
      <c r="T31" s="88"/>
      <c r="U31" s="88"/>
      <c r="V31" s="88" t="str">
        <f aca="false">IF(SUM($G31)=0,"",SUM($M31:$U31))</f>
        <v/>
      </c>
      <c r="W31" s="88"/>
      <c r="X31" s="39" t="str">
        <f aca="false">IF(OR(SUM($G31)=0,SUM($Q31)=0),"",ROUND(SUM($G31)*SUM($Q31),0))</f>
        <v/>
      </c>
      <c r="Y31" s="39" t="str">
        <f aca="false">IF(SUM($X31)=0,"",IF(SUM($W31)=0,"ENTER YIELD",ROUND($X31/$W31,0)-$X31))</f>
        <v/>
      </c>
      <c r="Z31" s="88"/>
      <c r="AA31" s="39" t="str">
        <f aca="false">IF(OR(SUM($G31)=0,SUM($R31)=0),"",ROUND(SUM($G31)*SUM($R31),0))</f>
        <v/>
      </c>
      <c r="AB31" s="39" t="str">
        <f aca="false">IF(SUM($AA31)=0,"",IF(SUM($Z31)=0,"ENTER YIELD",ROUND($AA31/$Z31,0)-$AA31))</f>
        <v/>
      </c>
      <c r="AC31" s="88"/>
      <c r="AD31" s="39" t="str">
        <f aca="false">IF(OR(SUM($G31)=0,SUM($S31)=0),"",ROUND(SUM($G31)*SUM($S31),0))</f>
        <v/>
      </c>
      <c r="AE31" s="39" t="str">
        <f aca="false">IF(SUM($AD31)=0,"",IF(SUM($AC31)=0,"ENTER YIELD",ROUND($AD31/$AC31,0)-$AD31))</f>
        <v/>
      </c>
      <c r="AF31" s="88"/>
      <c r="AG31" s="39" t="str">
        <f aca="false">IF(OR(SUM($G31)=0,SUM($T31)=0),"",ROUND(SUM($G31)*SUM($T31),0))</f>
        <v/>
      </c>
      <c r="AH31" s="39" t="str">
        <f aca="false">IF(SUM($AG31)=0,"",IF(SUM($AF31)=0,"ENTER YIELD",ROUND($AG31/$AF31,0)-$AG31))</f>
        <v/>
      </c>
      <c r="AI31" s="88"/>
      <c r="AJ31" s="39" t="str">
        <f aca="false">IF(OR(SUM($G31)=0,SUM($U31)=0),"",ROUND(SUM($G31)*SUM($U31),0))</f>
        <v/>
      </c>
      <c r="AK31" s="39" t="str">
        <f aca="false">IF(SUM($AJ31)=0,"",IF(SUM($AI31)=0,"ENTER YIELD",ROUND($AJ31/$AI31,0)-$AJ31))</f>
        <v/>
      </c>
      <c r="AL31" s="10" t="str">
        <f aca="false">IF(SUM($G31)=0,"",$G31)</f>
        <v/>
      </c>
      <c r="AM31" s="10" t="str">
        <f aca="false">IFERROR(1/(1/SUM($H31:$K31,$X31,$AA31,$AD31,$AG31,$AJ31)),"")</f>
        <v/>
      </c>
      <c r="AN31" s="10" t="str">
        <f aca="false">IF(AND(SUM($AM31)=0,SUM($AL31)=0),"",$AM31-$AL31)</f>
        <v/>
      </c>
      <c r="AO31" s="10" t="str">
        <f aca="false">IF(OR($C31="01-09",$D31="Male"),"",INDEX(PMTCT!$AD:$AD,MATCH($E31,PMTCT!$E:$E,0)))</f>
        <v/>
      </c>
      <c r="AP31" s="10" t="str">
        <f aca="false">IF(OR($C31="01-09",$D31="Male"),"",INDEX(PMTCT!$AT:$AT,MATCH($E31,PMTCT!$E:$E,0)))</f>
        <v/>
      </c>
      <c r="AQ31" s="10" t="str">
        <f aca="false">INDEX(TB!$Q:$Q,MATCH($E31,TB!$E:$E,0))</f>
        <v/>
      </c>
      <c r="AR31" s="10" t="str">
        <f aca="false">IF(OR($C31="01-09",$C31="10-14",$D31="Female"),"",INDEX(VMMC!$AB:$AB,MATCH($E31,VMMC!$E:$E,0)))</f>
        <v/>
      </c>
      <c r="AS31" s="10" t="str">
        <f aca="false">IF(OR($C31="01-09",$C31="10-14"),"",INDEX(PrEP!$Q:$Q,MATCH($E31,PrEP!$E:$E,0)))</f>
        <v/>
      </c>
      <c r="AT31" s="10" t="str">
        <f aca="false">IFERROR(1/(1/SUM($Y31,$AB31,$AE31,$AH31,$AK31,$AO31:$AS31)),"")</f>
        <v/>
      </c>
      <c r="AU31" s="10" t="str">
        <f aca="false">IFERROR(1/(1/SUM($AT31,$AM31)),"")</f>
        <v/>
      </c>
      <c r="AV31" s="88" t="str">
        <f aca="false">IF(AND(SUM($AM31)=0,SUM($AU31)=0),"",$AM31/$AU31)</f>
        <v/>
      </c>
      <c r="AW31" s="10"/>
      <c r="AX31" s="88" t="str">
        <f aca="false">IF(OR($C31="01-09",SUM($AW31)=0),"",0%)</f>
        <v/>
      </c>
      <c r="AY31" s="39" t="str">
        <f aca="false">IF(OR($C31="01-09",SUM($AW31)=0),"",ROUND($AW31*(1+$AX31),0))</f>
        <v/>
      </c>
      <c r="AZ31" s="88" t="n">
        <f aca="false">IF(OR($C31="01-09",$C31="10-14"),"",100%)</f>
        <v>1</v>
      </c>
      <c r="BA31" s="39" t="str">
        <f aca="false">IF(OR(SUM($AM31)=0,$C31="01-09",$C31="10-14"),"",$AM31*$AZ31)</f>
        <v/>
      </c>
    </row>
    <row r="32" customFormat="false" ht="15" hidden="false" customHeight="false" outlineLevel="0" collapsed="false">
      <c r="A32" s="0" t="str">
        <f aca="false">INDEX(Prioritization!$D:$D,MATCH($B32,Prioritization!$A:$A,0))</f>
        <v>1 - Scale-up: Saturation</v>
      </c>
      <c r="B32" s="0" t="s">
        <v>195</v>
      </c>
      <c r="C32" s="0" t="s">
        <v>365</v>
      </c>
      <c r="D32" s="0" t="s">
        <v>48</v>
      </c>
      <c r="E32" s="0" t="str">
        <f aca="false">$B32&amp;"|"&amp;$C32&amp;"|"&amp;$D32</f>
        <v>Dedza District [PekKUkKHAzY]|15-24|Male</v>
      </c>
      <c r="F32" s="88" t="n">
        <f aca="false">IF(LEFT($B32,4)="_Mil","",INDEX(Cascade!$AA:$AA,MATCH($E32,Cascade!$E:$E,0)))</f>
        <v>911</v>
      </c>
      <c r="G32" s="10" t="n">
        <f aca="false">INDEX(Cascade!$BH:$BH,MATCH($E32,Cascade!$E:$E,0))</f>
        <v>0</v>
      </c>
      <c r="H32" s="10" t="str">
        <f aca="false">IF(OR($C32="01-09",$D32="Male"),"",INDEX(PMTCT!$AC:$AC,MATCH($E32,PMTCT!$E:$E,0)))</f>
        <v/>
      </c>
      <c r="I32" s="10" t="str">
        <f aca="false">IF(OR($C32="01-09",$D32="Male"),"",INDEX(PMTCT!$AS:$AS,MATCH($E32,PMTCT!$E:$E,0)))</f>
        <v/>
      </c>
      <c r="J32" s="10" t="str">
        <f aca="false">INDEX(TB!$P:$P,MATCH($E32,TB!$E:$E,0))</f>
        <v/>
      </c>
      <c r="K32" s="10" t="str">
        <f aca="false">IF(OR($C32="01-09",$C32="10-14",$D32="Female"),"",INDEX(VMMC!$AA:$AA,MATCH($E32,VMMC!$E:$E,0)))</f>
        <v/>
      </c>
      <c r="L32" s="10" t="n">
        <f aca="false">SUM($G32)-SUM($H32:$K32)</f>
        <v>0</v>
      </c>
      <c r="M32" s="88" t="str">
        <f aca="false">IF(OR($C32="01-09",$D32="Male",AND(SUM($G32)=0,SUM($H32)=0)),"",SUM($H32)/SUM($G32))</f>
        <v/>
      </c>
      <c r="N32" s="88" t="str">
        <f aca="false">IF(OR($C32="01-09",$D32="Male",AND(SUM($G32)=0,SUM($I32)=0)),"",SUM($I32)/SUM($G32))</f>
        <v/>
      </c>
      <c r="O32" s="88" t="str">
        <f aca="false">IF(AND(SUM($G32)=0,SUM($J32)=0),"",SUM($J32)/SUM($G32))</f>
        <v/>
      </c>
      <c r="P32" s="88" t="str">
        <f aca="false">IF(OR($C32="01-09",$C32="10-14",$D32="Female",AND(SUM($G32)=0,SUM($K32)=0)),"",SUM($K32)/SUM($G32))</f>
        <v/>
      </c>
      <c r="Q32" s="88"/>
      <c r="R32" s="88"/>
      <c r="S32" s="88"/>
      <c r="T32" s="88"/>
      <c r="U32" s="88"/>
      <c r="V32" s="88" t="str">
        <f aca="false">IF(SUM($G32)=0,"",SUM($M32:$U32))</f>
        <v/>
      </c>
      <c r="W32" s="88"/>
      <c r="X32" s="39" t="str">
        <f aca="false">IF(OR(SUM($G32)=0,SUM($Q32)=0),"",ROUND(SUM($G32)*SUM($Q32),0))</f>
        <v/>
      </c>
      <c r="Y32" s="39" t="str">
        <f aca="false">IF(SUM($X32)=0,"",IF(SUM($W32)=0,"ENTER YIELD",ROUND($X32/$W32,0)-$X32))</f>
        <v/>
      </c>
      <c r="Z32" s="88"/>
      <c r="AA32" s="39" t="str">
        <f aca="false">IF(OR(SUM($G32)=0,SUM($R32)=0),"",ROUND(SUM($G32)*SUM($R32),0))</f>
        <v/>
      </c>
      <c r="AB32" s="39" t="str">
        <f aca="false">IF(SUM($AA32)=0,"",IF(SUM($Z32)=0,"ENTER YIELD",ROUND($AA32/$Z32,0)-$AA32))</f>
        <v/>
      </c>
      <c r="AC32" s="88"/>
      <c r="AD32" s="39" t="str">
        <f aca="false">IF(OR(SUM($G32)=0,SUM($S32)=0),"",ROUND(SUM($G32)*SUM($S32),0))</f>
        <v/>
      </c>
      <c r="AE32" s="39" t="str">
        <f aca="false">IF(SUM($AD32)=0,"",IF(SUM($AC32)=0,"ENTER YIELD",ROUND($AD32/$AC32,0)-$AD32))</f>
        <v/>
      </c>
      <c r="AF32" s="88"/>
      <c r="AG32" s="39" t="str">
        <f aca="false">IF(OR(SUM($G32)=0,SUM($T32)=0),"",ROUND(SUM($G32)*SUM($T32),0))</f>
        <v/>
      </c>
      <c r="AH32" s="39" t="str">
        <f aca="false">IF(SUM($AG32)=0,"",IF(SUM($AF32)=0,"ENTER YIELD",ROUND($AG32/$AF32,0)-$AG32))</f>
        <v/>
      </c>
      <c r="AI32" s="88"/>
      <c r="AJ32" s="39" t="str">
        <f aca="false">IF(OR(SUM($G32)=0,SUM($U32)=0),"",ROUND(SUM($G32)*SUM($U32),0))</f>
        <v/>
      </c>
      <c r="AK32" s="39" t="str">
        <f aca="false">IF(SUM($AJ32)=0,"",IF(SUM($AI32)=0,"ENTER YIELD",ROUND($AJ32/$AI32,0)-$AJ32))</f>
        <v/>
      </c>
      <c r="AL32" s="10" t="str">
        <f aca="false">IF(SUM($G32)=0,"",$G32)</f>
        <v/>
      </c>
      <c r="AM32" s="10" t="str">
        <f aca="false">IFERROR(1/(1/SUM($H32:$K32,$X32,$AA32,$AD32,$AG32,$AJ32)),"")</f>
        <v/>
      </c>
      <c r="AN32" s="10" t="str">
        <f aca="false">IF(AND(SUM($AM32)=0,SUM($AL32)=0),"",$AM32-$AL32)</f>
        <v/>
      </c>
      <c r="AO32" s="10" t="str">
        <f aca="false">IF(OR($C32="01-09",$D32="Male"),"",INDEX(PMTCT!$AD:$AD,MATCH($E32,PMTCT!$E:$E,0)))</f>
        <v/>
      </c>
      <c r="AP32" s="10" t="str">
        <f aca="false">IF(OR($C32="01-09",$D32="Male"),"",INDEX(PMTCT!$AT:$AT,MATCH($E32,PMTCT!$E:$E,0)))</f>
        <v/>
      </c>
      <c r="AQ32" s="10" t="str">
        <f aca="false">INDEX(TB!$Q:$Q,MATCH($E32,TB!$E:$E,0))</f>
        <v/>
      </c>
      <c r="AR32" s="10" t="str">
        <f aca="false">IF(OR($C32="01-09",$C32="10-14",$D32="Female"),"",INDEX(VMMC!$AB:$AB,MATCH($E32,VMMC!$E:$E,0)))</f>
        <v/>
      </c>
      <c r="AS32" s="10" t="str">
        <f aca="false">IF(OR($C32="01-09",$C32="10-14"),"",INDEX(PrEP!$Q:$Q,MATCH($E32,PrEP!$E:$E,0)))</f>
        <v/>
      </c>
      <c r="AT32" s="10" t="str">
        <f aca="false">IFERROR(1/(1/SUM($Y32,$AB32,$AE32,$AH32,$AK32,$AO32:$AS32)),"")</f>
        <v/>
      </c>
      <c r="AU32" s="10" t="str">
        <f aca="false">IFERROR(1/(1/SUM($AT32,$AM32)),"")</f>
        <v/>
      </c>
      <c r="AV32" s="88" t="str">
        <f aca="false">IF(AND(SUM($AM32)=0,SUM($AU32)=0),"",$AM32/$AU32)</f>
        <v/>
      </c>
      <c r="AW32" s="10"/>
      <c r="AX32" s="88" t="str">
        <f aca="false">IF(OR($C32="01-09",SUM($AW32)=0),"",0%)</f>
        <v/>
      </c>
      <c r="AY32" s="39" t="str">
        <f aca="false">IF(OR($C32="01-09",SUM($AW32)=0),"",ROUND($AW32*(1+$AX32),0))</f>
        <v/>
      </c>
      <c r="AZ32" s="88" t="n">
        <f aca="false">IF(OR($C32="01-09",$C32="10-14"),"",100%)</f>
        <v>1</v>
      </c>
      <c r="BA32" s="39" t="str">
        <f aca="false">IF(OR(SUM($AM32)=0,$C32="01-09",$C32="10-14"),"",$AM32*$AZ32)</f>
        <v/>
      </c>
    </row>
    <row r="33" customFormat="false" ht="15" hidden="false" customHeight="false" outlineLevel="0" collapsed="false">
      <c r="A33" s="0" t="str">
        <f aca="false">INDEX(Prioritization!$D:$D,MATCH($B33,Prioritization!$A:$A,0))</f>
        <v>1 - Scale-up: Saturation</v>
      </c>
      <c r="B33" s="0" t="s">
        <v>195</v>
      </c>
      <c r="C33" s="0" t="s">
        <v>366</v>
      </c>
      <c r="D33" s="0" t="s">
        <v>30</v>
      </c>
      <c r="E33" s="0" t="str">
        <f aca="false">$B33&amp;"|"&amp;$C33&amp;"|"&amp;$D33</f>
        <v>Dedza District [PekKUkKHAzY]|25-34|Female</v>
      </c>
      <c r="F33" s="88" t="n">
        <f aca="false">IF(LEFT($B33,4)="_Mil","",INDEX(Cascade!$AA:$AA,MATCH($E33,Cascade!$E:$E,0)))</f>
        <v>835</v>
      </c>
      <c r="G33" s="10" t="n">
        <f aca="false">INDEX(Cascade!$BH:$BH,MATCH($E33,Cascade!$E:$E,0))</f>
        <v>0</v>
      </c>
      <c r="H33" s="10" t="str">
        <f aca="false">IF(OR($C33="01-09",$D33="Male"),"",INDEX(PMTCT!$AC:$AC,MATCH($E33,PMTCT!$E:$E,0)))</f>
        <v/>
      </c>
      <c r="I33" s="10" t="str">
        <f aca="false">IF(OR($C33="01-09",$D33="Male"),"",INDEX(PMTCT!$AS:$AS,MATCH($E33,PMTCT!$E:$E,0)))</f>
        <v/>
      </c>
      <c r="J33" s="10" t="str">
        <f aca="false">INDEX(TB!$P:$P,MATCH($E33,TB!$E:$E,0))</f>
        <v/>
      </c>
      <c r="K33" s="10" t="str">
        <f aca="false">IF(OR($C33="01-09",$C33="10-14",$D33="Female"),"",INDEX(VMMC!$AA:$AA,MATCH($E33,VMMC!$E:$E,0)))</f>
        <v/>
      </c>
      <c r="L33" s="10" t="n">
        <f aca="false">SUM($G33)-SUM($H33:$K33)</f>
        <v>0</v>
      </c>
      <c r="M33" s="88" t="str">
        <f aca="false">IF(OR($C33="01-09",$D33="Male",AND(SUM($G33)=0,SUM($H33)=0)),"",SUM($H33)/SUM($G33))</f>
        <v/>
      </c>
      <c r="N33" s="88" t="str">
        <f aca="false">IF(OR($C33="01-09",$D33="Male",AND(SUM($G33)=0,SUM($I33)=0)),"",SUM($I33)/SUM($G33))</f>
        <v/>
      </c>
      <c r="O33" s="88" t="str">
        <f aca="false">IF(AND(SUM($G33)=0,SUM($J33)=0),"",SUM($J33)/SUM($G33))</f>
        <v/>
      </c>
      <c r="P33" s="88" t="str">
        <f aca="false">IF(OR($C33="01-09",$C33="10-14",$D33="Female",AND(SUM($G33)=0,SUM($K33)=0)),"",SUM($K33)/SUM($G33))</f>
        <v/>
      </c>
      <c r="Q33" s="88"/>
      <c r="R33" s="88"/>
      <c r="S33" s="88"/>
      <c r="T33" s="88"/>
      <c r="U33" s="88"/>
      <c r="V33" s="88" t="str">
        <f aca="false">IF(SUM($G33)=0,"",SUM($M33:$U33))</f>
        <v/>
      </c>
      <c r="W33" s="88"/>
      <c r="X33" s="39" t="str">
        <f aca="false">IF(OR(SUM($G33)=0,SUM($Q33)=0),"",ROUND(SUM($G33)*SUM($Q33),0))</f>
        <v/>
      </c>
      <c r="Y33" s="39" t="str">
        <f aca="false">IF(SUM($X33)=0,"",IF(SUM($W33)=0,"ENTER YIELD",ROUND($X33/$W33,0)-$X33))</f>
        <v/>
      </c>
      <c r="Z33" s="88"/>
      <c r="AA33" s="39" t="str">
        <f aca="false">IF(OR(SUM($G33)=0,SUM($R33)=0),"",ROUND(SUM($G33)*SUM($R33),0))</f>
        <v/>
      </c>
      <c r="AB33" s="39" t="str">
        <f aca="false">IF(SUM($AA33)=0,"",IF(SUM($Z33)=0,"ENTER YIELD",ROUND($AA33/$Z33,0)-$AA33))</f>
        <v/>
      </c>
      <c r="AC33" s="88"/>
      <c r="AD33" s="39" t="str">
        <f aca="false">IF(OR(SUM($G33)=0,SUM($S33)=0),"",ROUND(SUM($G33)*SUM($S33),0))</f>
        <v/>
      </c>
      <c r="AE33" s="39" t="str">
        <f aca="false">IF(SUM($AD33)=0,"",IF(SUM($AC33)=0,"ENTER YIELD",ROUND($AD33/$AC33,0)-$AD33))</f>
        <v/>
      </c>
      <c r="AF33" s="88"/>
      <c r="AG33" s="39" t="str">
        <f aca="false">IF(OR(SUM($G33)=0,SUM($T33)=0),"",ROUND(SUM($G33)*SUM($T33),0))</f>
        <v/>
      </c>
      <c r="AH33" s="39" t="str">
        <f aca="false">IF(SUM($AG33)=0,"",IF(SUM($AF33)=0,"ENTER YIELD",ROUND($AG33/$AF33,0)-$AG33))</f>
        <v/>
      </c>
      <c r="AI33" s="88"/>
      <c r="AJ33" s="39" t="str">
        <f aca="false">IF(OR(SUM($G33)=0,SUM($U33)=0),"",ROUND(SUM($G33)*SUM($U33),0))</f>
        <v/>
      </c>
      <c r="AK33" s="39" t="str">
        <f aca="false">IF(SUM($AJ33)=0,"",IF(SUM($AI33)=0,"ENTER YIELD",ROUND($AJ33/$AI33,0)-$AJ33))</f>
        <v/>
      </c>
      <c r="AL33" s="10" t="str">
        <f aca="false">IF(SUM($G33)=0,"",$G33)</f>
        <v/>
      </c>
      <c r="AM33" s="10" t="str">
        <f aca="false">IFERROR(1/(1/SUM($H33:$K33,$X33,$AA33,$AD33,$AG33,$AJ33)),"")</f>
        <v/>
      </c>
      <c r="AN33" s="10" t="str">
        <f aca="false">IF(AND(SUM($AM33)=0,SUM($AL33)=0),"",$AM33-$AL33)</f>
        <v/>
      </c>
      <c r="AO33" s="10" t="str">
        <f aca="false">IF(OR($C33="01-09",$D33="Male"),"",INDEX(PMTCT!$AD:$AD,MATCH($E33,PMTCT!$E:$E,0)))</f>
        <v/>
      </c>
      <c r="AP33" s="10" t="str">
        <f aca="false">IF(OR($C33="01-09",$D33="Male"),"",INDEX(PMTCT!$AT:$AT,MATCH($E33,PMTCT!$E:$E,0)))</f>
        <v/>
      </c>
      <c r="AQ33" s="10" t="str">
        <f aca="false">INDEX(TB!$Q:$Q,MATCH($E33,TB!$E:$E,0))</f>
        <v/>
      </c>
      <c r="AR33" s="10" t="str">
        <f aca="false">IF(OR($C33="01-09",$C33="10-14",$D33="Female"),"",INDEX(VMMC!$AB:$AB,MATCH($E33,VMMC!$E:$E,0)))</f>
        <v/>
      </c>
      <c r="AS33" s="10" t="str">
        <f aca="false">IF(OR($C33="01-09",$C33="10-14"),"",INDEX(PrEP!$Q:$Q,MATCH($E33,PrEP!$E:$E,0)))</f>
        <v/>
      </c>
      <c r="AT33" s="10" t="str">
        <f aca="false">IFERROR(1/(1/SUM($Y33,$AB33,$AE33,$AH33,$AK33,$AO33:$AS33)),"")</f>
        <v/>
      </c>
      <c r="AU33" s="10" t="str">
        <f aca="false">IFERROR(1/(1/SUM($AT33,$AM33)),"")</f>
        <v/>
      </c>
      <c r="AV33" s="88" t="str">
        <f aca="false">IF(AND(SUM($AM33)=0,SUM($AU33)=0),"",$AM33/$AU33)</f>
        <v/>
      </c>
      <c r="AW33" s="10"/>
      <c r="AX33" s="88" t="str">
        <f aca="false">IF(OR($C33="01-09",SUM($AW33)=0),"",0%)</f>
        <v/>
      </c>
      <c r="AY33" s="39" t="str">
        <f aca="false">IF(OR($C33="01-09",SUM($AW33)=0),"",ROUND($AW33*(1+$AX33),0))</f>
        <v/>
      </c>
      <c r="AZ33" s="88" t="n">
        <f aca="false">IF(OR($C33="01-09",$C33="10-14"),"",100%)</f>
        <v>1</v>
      </c>
      <c r="BA33" s="39" t="str">
        <f aca="false">IF(OR(SUM($AM33)=0,$C33="01-09",$C33="10-14"),"",$AM33*$AZ33)</f>
        <v/>
      </c>
    </row>
    <row r="34" customFormat="false" ht="15" hidden="false" customHeight="false" outlineLevel="0" collapsed="false">
      <c r="A34" s="0" t="str">
        <f aca="false">INDEX(Prioritization!$D:$D,MATCH($B34,Prioritization!$A:$A,0))</f>
        <v>1 - Scale-up: Saturation</v>
      </c>
      <c r="B34" s="0" t="s">
        <v>195</v>
      </c>
      <c r="C34" s="0" t="s">
        <v>366</v>
      </c>
      <c r="D34" s="0" t="s">
        <v>48</v>
      </c>
      <c r="E34" s="0" t="str">
        <f aca="false">$B34&amp;"|"&amp;$C34&amp;"|"&amp;$D34</f>
        <v>Dedza District [PekKUkKHAzY]|25-34|Male</v>
      </c>
      <c r="F34" s="88" t="n">
        <f aca="false">IF(LEFT($B34,4)="_Mil","",INDEX(Cascade!$AA:$AA,MATCH($E34,Cascade!$E:$E,0)))</f>
        <v>707</v>
      </c>
      <c r="G34" s="10" t="n">
        <f aca="false">INDEX(Cascade!$BH:$BH,MATCH($E34,Cascade!$E:$E,0))</f>
        <v>0</v>
      </c>
      <c r="H34" s="10" t="str">
        <f aca="false">IF(OR($C34="01-09",$D34="Male"),"",INDEX(PMTCT!$AC:$AC,MATCH($E34,PMTCT!$E:$E,0)))</f>
        <v/>
      </c>
      <c r="I34" s="10" t="str">
        <f aca="false">IF(OR($C34="01-09",$D34="Male"),"",INDEX(PMTCT!$AS:$AS,MATCH($E34,PMTCT!$E:$E,0)))</f>
        <v/>
      </c>
      <c r="J34" s="10" t="str">
        <f aca="false">INDEX(TB!$P:$P,MATCH($E34,TB!$E:$E,0))</f>
        <v/>
      </c>
      <c r="K34" s="10" t="str">
        <f aca="false">IF(OR($C34="01-09",$C34="10-14",$D34="Female"),"",INDEX(VMMC!$AA:$AA,MATCH($E34,VMMC!$E:$E,0)))</f>
        <v/>
      </c>
      <c r="L34" s="10" t="n">
        <f aca="false">SUM($G34)-SUM($H34:$K34)</f>
        <v>0</v>
      </c>
      <c r="M34" s="88" t="str">
        <f aca="false">IF(OR($C34="01-09",$D34="Male",AND(SUM($G34)=0,SUM($H34)=0)),"",SUM($H34)/SUM($G34))</f>
        <v/>
      </c>
      <c r="N34" s="88" t="str">
        <f aca="false">IF(OR($C34="01-09",$D34="Male",AND(SUM($G34)=0,SUM($I34)=0)),"",SUM($I34)/SUM($G34))</f>
        <v/>
      </c>
      <c r="O34" s="88" t="str">
        <f aca="false">IF(AND(SUM($G34)=0,SUM($J34)=0),"",SUM($J34)/SUM($G34))</f>
        <v/>
      </c>
      <c r="P34" s="88" t="str">
        <f aca="false">IF(OR($C34="01-09",$C34="10-14",$D34="Female",AND(SUM($G34)=0,SUM($K34)=0)),"",SUM($K34)/SUM($G34))</f>
        <v/>
      </c>
      <c r="Q34" s="88"/>
      <c r="R34" s="88"/>
      <c r="S34" s="88"/>
      <c r="T34" s="88"/>
      <c r="U34" s="88"/>
      <c r="V34" s="88" t="str">
        <f aca="false">IF(SUM($G34)=0,"",SUM($M34:$U34))</f>
        <v/>
      </c>
      <c r="W34" s="88"/>
      <c r="X34" s="39" t="str">
        <f aca="false">IF(OR(SUM($G34)=0,SUM($Q34)=0),"",ROUND(SUM($G34)*SUM($Q34),0))</f>
        <v/>
      </c>
      <c r="Y34" s="39" t="str">
        <f aca="false">IF(SUM($X34)=0,"",IF(SUM($W34)=0,"ENTER YIELD",ROUND($X34/$W34,0)-$X34))</f>
        <v/>
      </c>
      <c r="Z34" s="88"/>
      <c r="AA34" s="39" t="str">
        <f aca="false">IF(OR(SUM($G34)=0,SUM($R34)=0),"",ROUND(SUM($G34)*SUM($R34),0))</f>
        <v/>
      </c>
      <c r="AB34" s="39" t="str">
        <f aca="false">IF(SUM($AA34)=0,"",IF(SUM($Z34)=0,"ENTER YIELD",ROUND($AA34/$Z34,0)-$AA34))</f>
        <v/>
      </c>
      <c r="AC34" s="88"/>
      <c r="AD34" s="39" t="str">
        <f aca="false">IF(OR(SUM($G34)=0,SUM($S34)=0),"",ROUND(SUM($G34)*SUM($S34),0))</f>
        <v/>
      </c>
      <c r="AE34" s="39" t="str">
        <f aca="false">IF(SUM($AD34)=0,"",IF(SUM($AC34)=0,"ENTER YIELD",ROUND($AD34/$AC34,0)-$AD34))</f>
        <v/>
      </c>
      <c r="AF34" s="88"/>
      <c r="AG34" s="39" t="str">
        <f aca="false">IF(OR(SUM($G34)=0,SUM($T34)=0),"",ROUND(SUM($G34)*SUM($T34),0))</f>
        <v/>
      </c>
      <c r="AH34" s="39" t="str">
        <f aca="false">IF(SUM($AG34)=0,"",IF(SUM($AF34)=0,"ENTER YIELD",ROUND($AG34/$AF34,0)-$AG34))</f>
        <v/>
      </c>
      <c r="AI34" s="88"/>
      <c r="AJ34" s="39" t="str">
        <f aca="false">IF(OR(SUM($G34)=0,SUM($U34)=0),"",ROUND(SUM($G34)*SUM($U34),0))</f>
        <v/>
      </c>
      <c r="AK34" s="39" t="str">
        <f aca="false">IF(SUM($AJ34)=0,"",IF(SUM($AI34)=0,"ENTER YIELD",ROUND($AJ34/$AI34,0)-$AJ34))</f>
        <v/>
      </c>
      <c r="AL34" s="10" t="str">
        <f aca="false">IF(SUM($G34)=0,"",$G34)</f>
        <v/>
      </c>
      <c r="AM34" s="10" t="str">
        <f aca="false">IFERROR(1/(1/SUM($H34:$K34,$X34,$AA34,$AD34,$AG34,$AJ34)),"")</f>
        <v/>
      </c>
      <c r="AN34" s="10" t="str">
        <f aca="false">IF(AND(SUM($AM34)=0,SUM($AL34)=0),"",$AM34-$AL34)</f>
        <v/>
      </c>
      <c r="AO34" s="10" t="str">
        <f aca="false">IF(OR($C34="01-09",$D34="Male"),"",INDEX(PMTCT!$AD:$AD,MATCH($E34,PMTCT!$E:$E,0)))</f>
        <v/>
      </c>
      <c r="AP34" s="10" t="str">
        <f aca="false">IF(OR($C34="01-09",$D34="Male"),"",INDEX(PMTCT!$AT:$AT,MATCH($E34,PMTCT!$E:$E,0)))</f>
        <v/>
      </c>
      <c r="AQ34" s="10" t="str">
        <f aca="false">INDEX(TB!$Q:$Q,MATCH($E34,TB!$E:$E,0))</f>
        <v/>
      </c>
      <c r="AR34" s="10" t="str">
        <f aca="false">IF(OR($C34="01-09",$C34="10-14",$D34="Female"),"",INDEX(VMMC!$AB:$AB,MATCH($E34,VMMC!$E:$E,0)))</f>
        <v/>
      </c>
      <c r="AS34" s="10" t="str">
        <f aca="false">IF(OR($C34="01-09",$C34="10-14"),"",INDEX(PrEP!$Q:$Q,MATCH($E34,PrEP!$E:$E,0)))</f>
        <v/>
      </c>
      <c r="AT34" s="10" t="str">
        <f aca="false">IFERROR(1/(1/SUM($Y34,$AB34,$AE34,$AH34,$AK34,$AO34:$AS34)),"")</f>
        <v/>
      </c>
      <c r="AU34" s="10" t="str">
        <f aca="false">IFERROR(1/(1/SUM($AT34,$AM34)),"")</f>
        <v/>
      </c>
      <c r="AV34" s="88" t="str">
        <f aca="false">IF(AND(SUM($AM34)=0,SUM($AU34)=0),"",$AM34/$AU34)</f>
        <v/>
      </c>
      <c r="AW34" s="10"/>
      <c r="AX34" s="88" t="str">
        <f aca="false">IF(OR($C34="01-09",SUM($AW34)=0),"",0%)</f>
        <v/>
      </c>
      <c r="AY34" s="39" t="str">
        <f aca="false">IF(OR($C34="01-09",SUM($AW34)=0),"",ROUND($AW34*(1+$AX34),0))</f>
        <v/>
      </c>
      <c r="AZ34" s="88" t="n">
        <f aca="false">IF(OR($C34="01-09",$C34="10-14"),"",100%)</f>
        <v>1</v>
      </c>
      <c r="BA34" s="39" t="str">
        <f aca="false">IF(OR(SUM($AM34)=0,$C34="01-09",$C34="10-14"),"",$AM34*$AZ34)</f>
        <v/>
      </c>
    </row>
    <row r="35" customFormat="false" ht="15" hidden="false" customHeight="false" outlineLevel="0" collapsed="false">
      <c r="A35" s="0" t="str">
        <f aca="false">INDEX(Prioritization!$D:$D,MATCH($B35,Prioritization!$A:$A,0))</f>
        <v>1 - Scale-up: Saturation</v>
      </c>
      <c r="B35" s="0" t="s">
        <v>195</v>
      </c>
      <c r="C35" s="0" t="s">
        <v>367</v>
      </c>
      <c r="D35" s="0" t="s">
        <v>30</v>
      </c>
      <c r="E35" s="0" t="str">
        <f aca="false">$B35&amp;"|"&amp;$C35&amp;"|"&amp;$D35</f>
        <v>Dedza District [PekKUkKHAzY]|35-49|Female</v>
      </c>
      <c r="F35" s="88" t="n">
        <f aca="false">IF(LEFT($B35,4)="_Mil","",INDEX(Cascade!$AA:$AA,MATCH($E35,Cascade!$E:$E,0)))</f>
        <v>1942</v>
      </c>
      <c r="G35" s="10" t="n">
        <f aca="false">INDEX(Cascade!$BH:$BH,MATCH($E35,Cascade!$E:$E,0))</f>
        <v>0</v>
      </c>
      <c r="H35" s="10" t="str">
        <f aca="false">IF(OR($C35="01-09",$D35="Male"),"",INDEX(PMTCT!$AC:$AC,MATCH($E35,PMTCT!$E:$E,0)))</f>
        <v/>
      </c>
      <c r="I35" s="10" t="str">
        <f aca="false">IF(OR($C35="01-09",$D35="Male"),"",INDEX(PMTCT!$AS:$AS,MATCH($E35,PMTCT!$E:$E,0)))</f>
        <v/>
      </c>
      <c r="J35" s="10" t="str">
        <f aca="false">INDEX(TB!$P:$P,MATCH($E35,TB!$E:$E,0))</f>
        <v/>
      </c>
      <c r="K35" s="10" t="str">
        <f aca="false">IF(OR($C35="01-09",$C35="10-14",$D35="Female"),"",INDEX(VMMC!$AA:$AA,MATCH($E35,VMMC!$E:$E,0)))</f>
        <v/>
      </c>
      <c r="L35" s="10" t="n">
        <f aca="false">SUM($G35)-SUM($H35:$K35)</f>
        <v>0</v>
      </c>
      <c r="M35" s="88" t="str">
        <f aca="false">IF(OR($C35="01-09",$D35="Male",AND(SUM($G35)=0,SUM($H35)=0)),"",SUM($H35)/SUM($G35))</f>
        <v/>
      </c>
      <c r="N35" s="88" t="str">
        <f aca="false">IF(OR($C35="01-09",$D35="Male",AND(SUM($G35)=0,SUM($I35)=0)),"",SUM($I35)/SUM($G35))</f>
        <v/>
      </c>
      <c r="O35" s="88" t="str">
        <f aca="false">IF(AND(SUM($G35)=0,SUM($J35)=0),"",SUM($J35)/SUM($G35))</f>
        <v/>
      </c>
      <c r="P35" s="88" t="str">
        <f aca="false">IF(OR($C35="01-09",$C35="10-14",$D35="Female",AND(SUM($G35)=0,SUM($K35)=0)),"",SUM($K35)/SUM($G35))</f>
        <v/>
      </c>
      <c r="Q35" s="88"/>
      <c r="R35" s="88"/>
      <c r="S35" s="88"/>
      <c r="T35" s="88"/>
      <c r="U35" s="88"/>
      <c r="V35" s="88" t="str">
        <f aca="false">IF(SUM($G35)=0,"",SUM($M35:$U35))</f>
        <v/>
      </c>
      <c r="W35" s="88"/>
      <c r="X35" s="39" t="str">
        <f aca="false">IF(OR(SUM($G35)=0,SUM($Q35)=0),"",ROUND(SUM($G35)*SUM($Q35),0))</f>
        <v/>
      </c>
      <c r="Y35" s="39" t="str">
        <f aca="false">IF(SUM($X35)=0,"",IF(SUM($W35)=0,"ENTER YIELD",ROUND($X35/$W35,0)-$X35))</f>
        <v/>
      </c>
      <c r="Z35" s="88"/>
      <c r="AA35" s="39" t="str">
        <f aca="false">IF(OR(SUM($G35)=0,SUM($R35)=0),"",ROUND(SUM($G35)*SUM($R35),0))</f>
        <v/>
      </c>
      <c r="AB35" s="39" t="str">
        <f aca="false">IF(SUM($AA35)=0,"",IF(SUM($Z35)=0,"ENTER YIELD",ROUND($AA35/$Z35,0)-$AA35))</f>
        <v/>
      </c>
      <c r="AC35" s="88"/>
      <c r="AD35" s="39" t="str">
        <f aca="false">IF(OR(SUM($G35)=0,SUM($S35)=0),"",ROUND(SUM($G35)*SUM($S35),0))</f>
        <v/>
      </c>
      <c r="AE35" s="39" t="str">
        <f aca="false">IF(SUM($AD35)=0,"",IF(SUM($AC35)=0,"ENTER YIELD",ROUND($AD35/$AC35,0)-$AD35))</f>
        <v/>
      </c>
      <c r="AF35" s="88"/>
      <c r="AG35" s="39" t="str">
        <f aca="false">IF(OR(SUM($G35)=0,SUM($T35)=0),"",ROUND(SUM($G35)*SUM($T35),0))</f>
        <v/>
      </c>
      <c r="AH35" s="39" t="str">
        <f aca="false">IF(SUM($AG35)=0,"",IF(SUM($AF35)=0,"ENTER YIELD",ROUND($AG35/$AF35,0)-$AG35))</f>
        <v/>
      </c>
      <c r="AI35" s="88"/>
      <c r="AJ35" s="39" t="str">
        <f aca="false">IF(OR(SUM($G35)=0,SUM($U35)=0),"",ROUND(SUM($G35)*SUM($U35),0))</f>
        <v/>
      </c>
      <c r="AK35" s="39" t="str">
        <f aca="false">IF(SUM($AJ35)=0,"",IF(SUM($AI35)=0,"ENTER YIELD",ROUND($AJ35/$AI35,0)-$AJ35))</f>
        <v/>
      </c>
      <c r="AL35" s="10" t="str">
        <f aca="false">IF(SUM($G35)=0,"",$G35)</f>
        <v/>
      </c>
      <c r="AM35" s="10" t="str">
        <f aca="false">IFERROR(1/(1/SUM($H35:$K35,$X35,$AA35,$AD35,$AG35,$AJ35)),"")</f>
        <v/>
      </c>
      <c r="AN35" s="10" t="str">
        <f aca="false">IF(AND(SUM($AM35)=0,SUM($AL35)=0),"",$AM35-$AL35)</f>
        <v/>
      </c>
      <c r="AO35" s="10" t="str">
        <f aca="false">IF(OR($C35="01-09",$D35="Male"),"",INDEX(PMTCT!$AD:$AD,MATCH($E35,PMTCT!$E:$E,0)))</f>
        <v/>
      </c>
      <c r="AP35" s="10" t="str">
        <f aca="false">IF(OR($C35="01-09",$D35="Male"),"",INDEX(PMTCT!$AT:$AT,MATCH($E35,PMTCT!$E:$E,0)))</f>
        <v/>
      </c>
      <c r="AQ35" s="10" t="str">
        <f aca="false">INDEX(TB!$Q:$Q,MATCH($E35,TB!$E:$E,0))</f>
        <v/>
      </c>
      <c r="AR35" s="10" t="str">
        <f aca="false">IF(OR($C35="01-09",$C35="10-14",$D35="Female"),"",INDEX(VMMC!$AB:$AB,MATCH($E35,VMMC!$E:$E,0)))</f>
        <v/>
      </c>
      <c r="AS35" s="10" t="str">
        <f aca="false">IF(OR($C35="01-09",$C35="10-14"),"",INDEX(PrEP!$Q:$Q,MATCH($E35,PrEP!$E:$E,0)))</f>
        <v/>
      </c>
      <c r="AT35" s="10" t="str">
        <f aca="false">IFERROR(1/(1/SUM($Y35,$AB35,$AE35,$AH35,$AK35,$AO35:$AS35)),"")</f>
        <v/>
      </c>
      <c r="AU35" s="10" t="str">
        <f aca="false">IFERROR(1/(1/SUM($AT35,$AM35)),"")</f>
        <v/>
      </c>
      <c r="AV35" s="88" t="str">
        <f aca="false">IF(AND(SUM($AM35)=0,SUM($AU35)=0),"",$AM35/$AU35)</f>
        <v/>
      </c>
      <c r="AW35" s="10"/>
      <c r="AX35" s="88" t="str">
        <f aca="false">IF(OR($C35="01-09",SUM($AW35)=0),"",0%)</f>
        <v/>
      </c>
      <c r="AY35" s="39" t="str">
        <f aca="false">IF(OR($C35="01-09",SUM($AW35)=0),"",ROUND($AW35*(1+$AX35),0))</f>
        <v/>
      </c>
      <c r="AZ35" s="88" t="n">
        <f aca="false">IF(OR($C35="01-09",$C35="10-14"),"",100%)</f>
        <v>1</v>
      </c>
      <c r="BA35" s="39" t="str">
        <f aca="false">IF(OR(SUM($AM35)=0,$C35="01-09",$C35="10-14"),"",$AM35*$AZ35)</f>
        <v/>
      </c>
    </row>
    <row r="36" customFormat="false" ht="15" hidden="false" customHeight="false" outlineLevel="0" collapsed="false">
      <c r="A36" s="0" t="str">
        <f aca="false">INDEX(Prioritization!$D:$D,MATCH($B36,Prioritization!$A:$A,0))</f>
        <v>1 - Scale-up: Saturation</v>
      </c>
      <c r="B36" s="0" t="s">
        <v>195</v>
      </c>
      <c r="C36" s="0" t="s">
        <v>367</v>
      </c>
      <c r="D36" s="0" t="s">
        <v>48</v>
      </c>
      <c r="E36" s="0" t="str">
        <f aca="false">$B36&amp;"|"&amp;$C36&amp;"|"&amp;$D36</f>
        <v>Dedza District [PekKUkKHAzY]|35-49|Male</v>
      </c>
      <c r="F36" s="88" t="n">
        <f aca="false">IF(LEFT($B36,4)="_Mil","",INDEX(Cascade!$AA:$AA,MATCH($E36,Cascade!$E:$E,0)))</f>
        <v>1114</v>
      </c>
      <c r="G36" s="10" t="n">
        <f aca="false">INDEX(Cascade!$BH:$BH,MATCH($E36,Cascade!$E:$E,0))</f>
        <v>0</v>
      </c>
      <c r="H36" s="10" t="str">
        <f aca="false">IF(OR($C36="01-09",$D36="Male"),"",INDEX(PMTCT!$AC:$AC,MATCH($E36,PMTCT!$E:$E,0)))</f>
        <v/>
      </c>
      <c r="I36" s="10" t="str">
        <f aca="false">IF(OR($C36="01-09",$D36="Male"),"",INDEX(PMTCT!$AS:$AS,MATCH($E36,PMTCT!$E:$E,0)))</f>
        <v/>
      </c>
      <c r="J36" s="10" t="str">
        <f aca="false">INDEX(TB!$P:$P,MATCH($E36,TB!$E:$E,0))</f>
        <v/>
      </c>
      <c r="K36" s="10" t="str">
        <f aca="false">IF(OR($C36="01-09",$C36="10-14",$D36="Female"),"",INDEX(VMMC!$AA:$AA,MATCH($E36,VMMC!$E:$E,0)))</f>
        <v/>
      </c>
      <c r="L36" s="10" t="n">
        <f aca="false">SUM($G36)-SUM($H36:$K36)</f>
        <v>0</v>
      </c>
      <c r="M36" s="88" t="str">
        <f aca="false">IF(OR($C36="01-09",$D36="Male",AND(SUM($G36)=0,SUM($H36)=0)),"",SUM($H36)/SUM($G36))</f>
        <v/>
      </c>
      <c r="N36" s="88" t="str">
        <f aca="false">IF(OR($C36="01-09",$D36="Male",AND(SUM($G36)=0,SUM($I36)=0)),"",SUM($I36)/SUM($G36))</f>
        <v/>
      </c>
      <c r="O36" s="88" t="str">
        <f aca="false">IF(AND(SUM($G36)=0,SUM($J36)=0),"",SUM($J36)/SUM($G36))</f>
        <v/>
      </c>
      <c r="P36" s="88" t="str">
        <f aca="false">IF(OR($C36="01-09",$C36="10-14",$D36="Female",AND(SUM($G36)=0,SUM($K36)=0)),"",SUM($K36)/SUM($G36))</f>
        <v/>
      </c>
      <c r="Q36" s="88"/>
      <c r="R36" s="88"/>
      <c r="S36" s="88"/>
      <c r="T36" s="88"/>
      <c r="U36" s="88"/>
      <c r="V36" s="88" t="str">
        <f aca="false">IF(SUM($G36)=0,"",SUM($M36:$U36))</f>
        <v/>
      </c>
      <c r="W36" s="88"/>
      <c r="X36" s="39" t="str">
        <f aca="false">IF(OR(SUM($G36)=0,SUM($Q36)=0),"",ROUND(SUM($G36)*SUM($Q36),0))</f>
        <v/>
      </c>
      <c r="Y36" s="39" t="str">
        <f aca="false">IF(SUM($X36)=0,"",IF(SUM($W36)=0,"ENTER YIELD",ROUND($X36/$W36,0)-$X36))</f>
        <v/>
      </c>
      <c r="Z36" s="88"/>
      <c r="AA36" s="39" t="str">
        <f aca="false">IF(OR(SUM($G36)=0,SUM($R36)=0),"",ROUND(SUM($G36)*SUM($R36),0))</f>
        <v/>
      </c>
      <c r="AB36" s="39" t="str">
        <f aca="false">IF(SUM($AA36)=0,"",IF(SUM($Z36)=0,"ENTER YIELD",ROUND($AA36/$Z36,0)-$AA36))</f>
        <v/>
      </c>
      <c r="AC36" s="88"/>
      <c r="AD36" s="39" t="str">
        <f aca="false">IF(OR(SUM($G36)=0,SUM($S36)=0),"",ROUND(SUM($G36)*SUM($S36),0))</f>
        <v/>
      </c>
      <c r="AE36" s="39" t="str">
        <f aca="false">IF(SUM($AD36)=0,"",IF(SUM($AC36)=0,"ENTER YIELD",ROUND($AD36/$AC36,0)-$AD36))</f>
        <v/>
      </c>
      <c r="AF36" s="88"/>
      <c r="AG36" s="39" t="str">
        <f aca="false">IF(OR(SUM($G36)=0,SUM($T36)=0),"",ROUND(SUM($G36)*SUM($T36),0))</f>
        <v/>
      </c>
      <c r="AH36" s="39" t="str">
        <f aca="false">IF(SUM($AG36)=0,"",IF(SUM($AF36)=0,"ENTER YIELD",ROUND($AG36/$AF36,0)-$AG36))</f>
        <v/>
      </c>
      <c r="AI36" s="88"/>
      <c r="AJ36" s="39" t="str">
        <f aca="false">IF(OR(SUM($G36)=0,SUM($U36)=0),"",ROUND(SUM($G36)*SUM($U36),0))</f>
        <v/>
      </c>
      <c r="AK36" s="39" t="str">
        <f aca="false">IF(SUM($AJ36)=0,"",IF(SUM($AI36)=0,"ENTER YIELD",ROUND($AJ36/$AI36,0)-$AJ36))</f>
        <v/>
      </c>
      <c r="AL36" s="10" t="str">
        <f aca="false">IF(SUM($G36)=0,"",$G36)</f>
        <v/>
      </c>
      <c r="AM36" s="10" t="str">
        <f aca="false">IFERROR(1/(1/SUM($H36:$K36,$X36,$AA36,$AD36,$AG36,$AJ36)),"")</f>
        <v/>
      </c>
      <c r="AN36" s="10" t="str">
        <f aca="false">IF(AND(SUM($AM36)=0,SUM($AL36)=0),"",$AM36-$AL36)</f>
        <v/>
      </c>
      <c r="AO36" s="10" t="str">
        <f aca="false">IF(OR($C36="01-09",$D36="Male"),"",INDEX(PMTCT!$AD:$AD,MATCH($E36,PMTCT!$E:$E,0)))</f>
        <v/>
      </c>
      <c r="AP36" s="10" t="str">
        <f aca="false">IF(OR($C36="01-09",$D36="Male"),"",INDEX(PMTCT!$AT:$AT,MATCH($E36,PMTCT!$E:$E,0)))</f>
        <v/>
      </c>
      <c r="AQ36" s="10" t="str">
        <f aca="false">INDEX(TB!$Q:$Q,MATCH($E36,TB!$E:$E,0))</f>
        <v/>
      </c>
      <c r="AR36" s="10" t="str">
        <f aca="false">IF(OR($C36="01-09",$C36="10-14",$D36="Female"),"",INDEX(VMMC!$AB:$AB,MATCH($E36,VMMC!$E:$E,0)))</f>
        <v/>
      </c>
      <c r="AS36" s="10" t="str">
        <f aca="false">IF(OR($C36="01-09",$C36="10-14"),"",INDEX(PrEP!$Q:$Q,MATCH($E36,PrEP!$E:$E,0)))</f>
        <v/>
      </c>
      <c r="AT36" s="10" t="str">
        <f aca="false">IFERROR(1/(1/SUM($Y36,$AB36,$AE36,$AH36,$AK36,$AO36:$AS36)),"")</f>
        <v/>
      </c>
      <c r="AU36" s="10" t="str">
        <f aca="false">IFERROR(1/(1/SUM($AT36,$AM36)),"")</f>
        <v/>
      </c>
      <c r="AV36" s="88" t="str">
        <f aca="false">IF(AND(SUM($AM36)=0,SUM($AU36)=0),"",$AM36/$AU36)</f>
        <v/>
      </c>
      <c r="AW36" s="10"/>
      <c r="AX36" s="88" t="str">
        <f aca="false">IF(OR($C36="01-09",SUM($AW36)=0),"",0%)</f>
        <v/>
      </c>
      <c r="AY36" s="39" t="str">
        <f aca="false">IF(OR($C36="01-09",SUM($AW36)=0),"",ROUND($AW36*(1+$AX36),0))</f>
        <v/>
      </c>
      <c r="AZ36" s="88" t="n">
        <f aca="false">IF(OR($C36="01-09",$C36="10-14"),"",100%)</f>
        <v>1</v>
      </c>
      <c r="BA36" s="39" t="str">
        <f aca="false">IF(OR(SUM($AM36)=0,$C36="01-09",$C36="10-14"),"",$AM36*$AZ36)</f>
        <v/>
      </c>
    </row>
    <row r="37" customFormat="false" ht="15" hidden="false" customHeight="false" outlineLevel="0" collapsed="false">
      <c r="A37" s="0" t="str">
        <f aca="false">INDEX(Prioritization!$D:$D,MATCH($B37,Prioritization!$A:$A,0))</f>
        <v>1 - Scale-up: Saturation</v>
      </c>
      <c r="B37" s="0" t="s">
        <v>195</v>
      </c>
      <c r="C37" s="0" t="s">
        <v>368</v>
      </c>
      <c r="D37" s="0" t="s">
        <v>30</v>
      </c>
      <c r="E37" s="0" t="str">
        <f aca="false">$B37&amp;"|"&amp;$C37&amp;"|"&amp;$D37</f>
        <v>Dedza District [PekKUkKHAzY]|50+|Female</v>
      </c>
      <c r="F37" s="88" t="n">
        <f aca="false">IF(LEFT($B37,4)="_Mil","",INDEX(Cascade!$AA:$AA,MATCH($E37,Cascade!$E:$E,0)))</f>
        <v>873</v>
      </c>
      <c r="G37" s="10" t="n">
        <f aca="false">INDEX(Cascade!$BH:$BH,MATCH($E37,Cascade!$E:$E,0))</f>
        <v>0</v>
      </c>
      <c r="H37" s="10" t="str">
        <f aca="false">IF(OR($C37="01-09",$D37="Male"),"",INDEX(PMTCT!$AC:$AC,MATCH($E37,PMTCT!$E:$E,0)))</f>
        <v/>
      </c>
      <c r="I37" s="10" t="str">
        <f aca="false">IF(OR($C37="01-09",$D37="Male"),"",INDEX(PMTCT!$AS:$AS,MATCH($E37,PMTCT!$E:$E,0)))</f>
        <v/>
      </c>
      <c r="J37" s="10" t="str">
        <f aca="false">INDEX(TB!$P:$P,MATCH($E37,TB!$E:$E,0))</f>
        <v/>
      </c>
      <c r="K37" s="10" t="str">
        <f aca="false">IF(OR($C37="01-09",$C37="10-14",$D37="Female"),"",INDEX(VMMC!$AA:$AA,MATCH($E37,VMMC!$E:$E,0)))</f>
        <v/>
      </c>
      <c r="L37" s="10" t="n">
        <f aca="false">SUM($G37)-SUM($H37:$K37)</f>
        <v>0</v>
      </c>
      <c r="M37" s="88" t="str">
        <f aca="false">IF(OR($C37="01-09",$D37="Male",AND(SUM($G37)=0,SUM($H37)=0)),"",SUM($H37)/SUM($G37))</f>
        <v/>
      </c>
      <c r="N37" s="88" t="str">
        <f aca="false">IF(OR($C37="01-09",$D37="Male",AND(SUM($G37)=0,SUM($I37)=0)),"",SUM($I37)/SUM($G37))</f>
        <v/>
      </c>
      <c r="O37" s="88" t="str">
        <f aca="false">IF(AND(SUM($G37)=0,SUM($J37)=0),"",SUM($J37)/SUM($G37))</f>
        <v/>
      </c>
      <c r="P37" s="88" t="str">
        <f aca="false">IF(OR($C37="01-09",$C37="10-14",$D37="Female",AND(SUM($G37)=0,SUM($K37)=0)),"",SUM($K37)/SUM($G37))</f>
        <v/>
      </c>
      <c r="Q37" s="88"/>
      <c r="R37" s="88"/>
      <c r="S37" s="88"/>
      <c r="T37" s="88"/>
      <c r="U37" s="88" t="n">
        <v>0.86119780363515</v>
      </c>
      <c r="V37" s="88" t="str">
        <f aca="false">IF(SUM($G37)=0,"",SUM($M37:$U37))</f>
        <v/>
      </c>
      <c r="W37" s="88"/>
      <c r="X37" s="39" t="str">
        <f aca="false">IF(OR(SUM($G37)=0,SUM($Q37)=0),"",ROUND(SUM($G37)*SUM($Q37),0))</f>
        <v/>
      </c>
      <c r="Y37" s="39" t="str">
        <f aca="false">IF(SUM($X37)=0,"",IF(SUM($W37)=0,"ENTER YIELD",ROUND($X37/$W37,0)-$X37))</f>
        <v/>
      </c>
      <c r="Z37" s="88"/>
      <c r="AA37" s="39" t="str">
        <f aca="false">IF(OR(SUM($G37)=0,SUM($R37)=0),"",ROUND(SUM($G37)*SUM($R37),0))</f>
        <v/>
      </c>
      <c r="AB37" s="39" t="str">
        <f aca="false">IF(SUM($AA37)=0,"",IF(SUM($Z37)=0,"ENTER YIELD",ROUND($AA37/$Z37,0)-$AA37))</f>
        <v/>
      </c>
      <c r="AC37" s="88"/>
      <c r="AD37" s="39" t="str">
        <f aca="false">IF(OR(SUM($G37)=0,SUM($S37)=0),"",ROUND(SUM($G37)*SUM($S37),0))</f>
        <v/>
      </c>
      <c r="AE37" s="39" t="str">
        <f aca="false">IF(SUM($AD37)=0,"",IF(SUM($AC37)=0,"ENTER YIELD",ROUND($AD37/$AC37,0)-$AD37))</f>
        <v/>
      </c>
      <c r="AF37" s="88"/>
      <c r="AG37" s="39" t="str">
        <f aca="false">IF(OR(SUM($G37)=0,SUM($T37)=0),"",ROUND(SUM($G37)*SUM($T37),0))</f>
        <v/>
      </c>
      <c r="AH37" s="39" t="str">
        <f aca="false">IF(SUM($AG37)=0,"",IF(SUM($AF37)=0,"ENTER YIELD",ROUND($AG37/$AF37,0)-$AG37))</f>
        <v/>
      </c>
      <c r="AI37" s="88"/>
      <c r="AJ37" s="39" t="str">
        <f aca="false">IF(OR(SUM($G37)=0,SUM($U37)=0),"",ROUND(SUM($G37)*SUM($U37),0))</f>
        <v/>
      </c>
      <c r="AK37" s="39" t="str">
        <f aca="false">IF(SUM($AJ37)=0,"",IF(SUM($AI37)=0,"ENTER YIELD",ROUND($AJ37/$AI37,0)-$AJ37))</f>
        <v/>
      </c>
      <c r="AL37" s="10" t="str">
        <f aca="false">IF(SUM($G37)=0,"",$G37)</f>
        <v/>
      </c>
      <c r="AM37" s="10" t="str">
        <f aca="false">IFERROR(1/(1/SUM($H37:$K37,$X37,$AA37,$AD37,$AG37,$AJ37)),"")</f>
        <v/>
      </c>
      <c r="AN37" s="10" t="str">
        <f aca="false">IF(AND(SUM($AM37)=0,SUM($AL37)=0),"",$AM37-$AL37)</f>
        <v/>
      </c>
      <c r="AO37" s="10" t="str">
        <f aca="false">IF(OR($C37="01-09",$D37="Male"),"",INDEX(PMTCT!$AD:$AD,MATCH($E37,PMTCT!$E:$E,0)))</f>
        <v/>
      </c>
      <c r="AP37" s="10" t="str">
        <f aca="false">IF(OR($C37="01-09",$D37="Male"),"",INDEX(PMTCT!$AT:$AT,MATCH($E37,PMTCT!$E:$E,0)))</f>
        <v/>
      </c>
      <c r="AQ37" s="10" t="str">
        <f aca="false">INDEX(TB!$Q:$Q,MATCH($E37,TB!$E:$E,0))</f>
        <v/>
      </c>
      <c r="AR37" s="10" t="str">
        <f aca="false">IF(OR($C37="01-09",$C37="10-14",$D37="Female"),"",INDEX(VMMC!$AB:$AB,MATCH($E37,VMMC!$E:$E,0)))</f>
        <v/>
      </c>
      <c r="AS37" s="10" t="str">
        <f aca="false">IF(OR($C37="01-09",$C37="10-14"),"",INDEX(PrEP!$Q:$Q,MATCH($E37,PrEP!$E:$E,0)))</f>
        <v/>
      </c>
      <c r="AT37" s="10" t="str">
        <f aca="false">IFERROR(1/(1/SUM($Y37,$AB37,$AE37,$AH37,$AK37,$AO37:$AS37)),"")</f>
        <v/>
      </c>
      <c r="AU37" s="10" t="str">
        <f aca="false">IFERROR(1/(1/SUM($AT37,$AM37)),"")</f>
        <v/>
      </c>
      <c r="AV37" s="88" t="str">
        <f aca="false">IF(AND(SUM($AM37)=0,SUM($AU37)=0),"",$AM37/$AU37)</f>
        <v/>
      </c>
      <c r="AW37" s="10" t="n">
        <v>7</v>
      </c>
      <c r="AX37" s="88" t="n">
        <f aca="false">IF(OR($C37="01-09",SUM($AW37)=0),"",0%)</f>
        <v>0</v>
      </c>
      <c r="AY37" s="39" t="n">
        <f aca="false">IF(OR($C37="01-09",SUM($AW37)=0),"",ROUND($AW37*(1+$AX37),0))</f>
        <v>7</v>
      </c>
      <c r="AZ37" s="88" t="n">
        <f aca="false">IF(OR($C37="01-09",$C37="10-14"),"",100%)</f>
        <v>1</v>
      </c>
      <c r="BA37" s="39" t="str">
        <f aca="false">IF(OR(SUM($AM37)=0,$C37="01-09",$C37="10-14"),"",$AM37*$AZ37)</f>
        <v/>
      </c>
    </row>
    <row r="38" customFormat="false" ht="15" hidden="false" customHeight="false" outlineLevel="0" collapsed="false">
      <c r="A38" s="0" t="str">
        <f aca="false">INDEX(Prioritization!$D:$D,MATCH($B38,Prioritization!$A:$A,0))</f>
        <v>1 - Scale-up: Saturation</v>
      </c>
      <c r="B38" s="0" t="s">
        <v>195</v>
      </c>
      <c r="C38" s="0" t="s">
        <v>368</v>
      </c>
      <c r="D38" s="0" t="s">
        <v>48</v>
      </c>
      <c r="E38" s="0" t="str">
        <f aca="false">$B38&amp;"|"&amp;$C38&amp;"|"&amp;$D38</f>
        <v>Dedza District [PekKUkKHAzY]|50+|Male</v>
      </c>
      <c r="F38" s="88" t="n">
        <f aca="false">IF(LEFT($B38,4)="_Mil","",INDEX(Cascade!$AA:$AA,MATCH($E38,Cascade!$E:$E,0)))</f>
        <v>1974</v>
      </c>
      <c r="G38" s="10" t="n">
        <f aca="false">INDEX(Cascade!$BH:$BH,MATCH($E38,Cascade!$E:$E,0))</f>
        <v>0</v>
      </c>
      <c r="H38" s="10" t="str">
        <f aca="false">IF(OR($C38="01-09",$D38="Male"),"",INDEX(PMTCT!$AC:$AC,MATCH($E38,PMTCT!$E:$E,0)))</f>
        <v/>
      </c>
      <c r="I38" s="10" t="str">
        <f aca="false">IF(OR($C38="01-09",$D38="Male"),"",INDEX(PMTCT!$AS:$AS,MATCH($E38,PMTCT!$E:$E,0)))</f>
        <v/>
      </c>
      <c r="J38" s="10" t="str">
        <f aca="false">INDEX(TB!$P:$P,MATCH($E38,TB!$E:$E,0))</f>
        <v/>
      </c>
      <c r="K38" s="10" t="str">
        <f aca="false">IF(OR($C38="01-09",$C38="10-14",$D38="Female"),"",INDEX(VMMC!$AA:$AA,MATCH($E38,VMMC!$E:$E,0)))</f>
        <v/>
      </c>
      <c r="L38" s="10" t="n">
        <f aca="false">SUM($G38)-SUM($H38:$K38)</f>
        <v>0</v>
      </c>
      <c r="M38" s="88" t="str">
        <f aca="false">IF(OR($C38="01-09",$D38="Male",AND(SUM($G38)=0,SUM($H38)=0)),"",SUM($H38)/SUM($G38))</f>
        <v/>
      </c>
      <c r="N38" s="88" t="str">
        <f aca="false">IF(OR($C38="01-09",$D38="Male",AND(SUM($G38)=0,SUM($I38)=0)),"",SUM($I38)/SUM($G38))</f>
        <v/>
      </c>
      <c r="O38" s="88" t="str">
        <f aca="false">IF(AND(SUM($G38)=0,SUM($J38)=0),"",SUM($J38)/SUM($G38))</f>
        <v/>
      </c>
      <c r="P38" s="88" t="str">
        <f aca="false">IF(OR($C38="01-09",$C38="10-14",$D38="Female",AND(SUM($G38)=0,SUM($K38)=0)),"",SUM($K38)/SUM($G38))</f>
        <v/>
      </c>
      <c r="Q38" s="88"/>
      <c r="R38" s="88"/>
      <c r="S38" s="88"/>
      <c r="T38" s="88"/>
      <c r="U38" s="88" t="n">
        <v>0.689262836938724</v>
      </c>
      <c r="V38" s="88" t="str">
        <f aca="false">IF(SUM($G38)=0,"",SUM($M38:$U38))</f>
        <v/>
      </c>
      <c r="W38" s="88"/>
      <c r="X38" s="39" t="str">
        <f aca="false">IF(OR(SUM($G38)=0,SUM($Q38)=0),"",ROUND(SUM($G38)*SUM($Q38),0))</f>
        <v/>
      </c>
      <c r="Y38" s="39" t="str">
        <f aca="false">IF(SUM($X38)=0,"",IF(SUM($W38)=0,"ENTER YIELD",ROUND($X38/$W38,0)-$X38))</f>
        <v/>
      </c>
      <c r="Z38" s="88"/>
      <c r="AA38" s="39" t="str">
        <f aca="false">IF(OR(SUM($G38)=0,SUM($R38)=0),"",ROUND(SUM($G38)*SUM($R38),0))</f>
        <v/>
      </c>
      <c r="AB38" s="39" t="str">
        <f aca="false">IF(SUM($AA38)=0,"",IF(SUM($Z38)=0,"ENTER YIELD",ROUND($AA38/$Z38,0)-$AA38))</f>
        <v/>
      </c>
      <c r="AC38" s="88"/>
      <c r="AD38" s="39" t="str">
        <f aca="false">IF(OR(SUM($G38)=0,SUM($S38)=0),"",ROUND(SUM($G38)*SUM($S38),0))</f>
        <v/>
      </c>
      <c r="AE38" s="39" t="str">
        <f aca="false">IF(SUM($AD38)=0,"",IF(SUM($AC38)=0,"ENTER YIELD",ROUND($AD38/$AC38,0)-$AD38))</f>
        <v/>
      </c>
      <c r="AF38" s="88"/>
      <c r="AG38" s="39" t="str">
        <f aca="false">IF(OR(SUM($G38)=0,SUM($T38)=0),"",ROUND(SUM($G38)*SUM($T38),0))</f>
        <v/>
      </c>
      <c r="AH38" s="39" t="str">
        <f aca="false">IF(SUM($AG38)=0,"",IF(SUM($AF38)=0,"ENTER YIELD",ROUND($AG38/$AF38,0)-$AG38))</f>
        <v/>
      </c>
      <c r="AI38" s="88"/>
      <c r="AJ38" s="39" t="str">
        <f aca="false">IF(OR(SUM($G38)=0,SUM($U38)=0),"",ROUND(SUM($G38)*SUM($U38),0))</f>
        <v/>
      </c>
      <c r="AK38" s="39" t="str">
        <f aca="false">IF(SUM($AJ38)=0,"",IF(SUM($AI38)=0,"ENTER YIELD",ROUND($AJ38/$AI38,0)-$AJ38))</f>
        <v/>
      </c>
      <c r="AL38" s="10" t="str">
        <f aca="false">IF(SUM($G38)=0,"",$G38)</f>
        <v/>
      </c>
      <c r="AM38" s="10" t="str">
        <f aca="false">IFERROR(1/(1/SUM($H38:$K38,$X38,$AA38,$AD38,$AG38,$AJ38)),"")</f>
        <v/>
      </c>
      <c r="AN38" s="10" t="str">
        <f aca="false">IF(AND(SUM($AM38)=0,SUM($AL38)=0),"",$AM38-$AL38)</f>
        <v/>
      </c>
      <c r="AO38" s="10" t="str">
        <f aca="false">IF(OR($C38="01-09",$D38="Male"),"",INDEX(PMTCT!$AD:$AD,MATCH($E38,PMTCT!$E:$E,0)))</f>
        <v/>
      </c>
      <c r="AP38" s="10" t="str">
        <f aca="false">IF(OR($C38="01-09",$D38="Male"),"",INDEX(PMTCT!$AT:$AT,MATCH($E38,PMTCT!$E:$E,0)))</f>
        <v/>
      </c>
      <c r="AQ38" s="10" t="str">
        <f aca="false">INDEX(TB!$Q:$Q,MATCH($E38,TB!$E:$E,0))</f>
        <v/>
      </c>
      <c r="AR38" s="10" t="str">
        <f aca="false">IF(OR($C38="01-09",$C38="10-14",$D38="Female"),"",INDEX(VMMC!$AB:$AB,MATCH($E38,VMMC!$E:$E,0)))</f>
        <v/>
      </c>
      <c r="AS38" s="10" t="str">
        <f aca="false">IF(OR($C38="01-09",$C38="10-14"),"",INDEX(PrEP!$Q:$Q,MATCH($E38,PrEP!$E:$E,0)))</f>
        <v/>
      </c>
      <c r="AT38" s="10" t="str">
        <f aca="false">IFERROR(1/(1/SUM($Y38,$AB38,$AE38,$AH38,$AK38,$AO38:$AS38)),"")</f>
        <v/>
      </c>
      <c r="AU38" s="10" t="str">
        <f aca="false">IFERROR(1/(1/SUM($AT38,$AM38)),"")</f>
        <v/>
      </c>
      <c r="AV38" s="88" t="str">
        <f aca="false">IF(AND(SUM($AM38)=0,SUM($AU38)=0),"",$AM38/$AU38)</f>
        <v/>
      </c>
      <c r="AW38" s="10" t="n">
        <v>5</v>
      </c>
      <c r="AX38" s="88" t="n">
        <f aca="false">IF(OR($C38="01-09",SUM($AW38)=0),"",0%)</f>
        <v>0</v>
      </c>
      <c r="AY38" s="39" t="n">
        <f aca="false">IF(OR($C38="01-09",SUM($AW38)=0),"",ROUND($AW38*(1+$AX38),0))</f>
        <v>5</v>
      </c>
      <c r="AZ38" s="88" t="n">
        <f aca="false">IF(OR($C38="01-09",$C38="10-14"),"",100%)</f>
        <v>1</v>
      </c>
      <c r="BA38" s="39" t="str">
        <f aca="false">IF(OR(SUM($AM38)=0,$C38="01-09",$C38="10-14"),"",$AM38*$AZ38)</f>
        <v/>
      </c>
    </row>
    <row r="39" customFormat="false" ht="15" hidden="false" customHeight="false" outlineLevel="0" collapsed="false">
      <c r="A39" s="0" t="str">
        <f aca="false">INDEX(Prioritization!$D:$D,MATCH($B39,Prioritization!$A:$A,0))</f>
        <v>1 - Scale-up: Saturation</v>
      </c>
      <c r="B39" s="0" t="s">
        <v>196</v>
      </c>
      <c r="C39" s="0" t="s">
        <v>363</v>
      </c>
      <c r="D39" s="0" t="s">
        <v>30</v>
      </c>
      <c r="E39" s="0" t="str">
        <f aca="false">$B39&amp;"|"&amp;$C39&amp;"|"&amp;$D39</f>
        <v>Dowa District [zphK9WV8JB4]|01-09|Female</v>
      </c>
      <c r="F39" s="88" t="n">
        <f aca="false">IF(LEFT($B39,4)="_Mil","",INDEX(Cascade!$AA:$AA,MATCH($E39,Cascade!$E:$E,0)))</f>
        <v>1089</v>
      </c>
      <c r="G39" s="10" t="n">
        <f aca="false">INDEX(Cascade!$BH:$BH,MATCH($E39,Cascade!$E:$E,0))</f>
        <v>0</v>
      </c>
      <c r="H39" s="10" t="str">
        <f aca="false">IF(OR($C39="01-09",$D39="Male"),"",INDEX(PMTCT!$AC:$AC,MATCH($E39,PMTCT!$E:$E,0)))</f>
        <v/>
      </c>
      <c r="I39" s="10" t="str">
        <f aca="false">IF(OR($C39="01-09",$D39="Male"),"",INDEX(PMTCT!$AS:$AS,MATCH($E39,PMTCT!$E:$E,0)))</f>
        <v/>
      </c>
      <c r="J39" s="10" t="str">
        <f aca="false">INDEX(TB!$P:$P,MATCH($E39,TB!$E:$E,0))</f>
        <v/>
      </c>
      <c r="K39" s="10" t="str">
        <f aca="false">IF(OR($C39="01-09",$C39="10-14",$D39="Female"),"",INDEX(VMMC!$AA:$AA,MATCH($E39,VMMC!$E:$E,0)))</f>
        <v/>
      </c>
      <c r="L39" s="10" t="n">
        <f aca="false">SUM($G39)-SUM($H39:$K39)</f>
        <v>0</v>
      </c>
      <c r="M39" s="88" t="str">
        <f aca="false">IF(OR($C39="01-09",$D39="Male",AND(SUM($G39)=0,SUM($H39)=0)),"",SUM($H39)/SUM($G39))</f>
        <v/>
      </c>
      <c r="N39" s="88" t="str">
        <f aca="false">IF(OR($C39="01-09",$D39="Male",AND(SUM($G39)=0,SUM($I39)=0)),"",SUM($I39)/SUM($G39))</f>
        <v/>
      </c>
      <c r="O39" s="88" t="str">
        <f aca="false">IF(AND(SUM($G39)=0,SUM($J39)=0),"",SUM($J39)/SUM($G39))</f>
        <v/>
      </c>
      <c r="P39" s="88" t="str">
        <f aca="false">IF(OR($C39="01-09",$C39="10-14",$D39="Female",AND(SUM($G39)=0,SUM($K39)=0)),"",SUM($K39)/SUM($G39))</f>
        <v/>
      </c>
      <c r="Q39" s="88"/>
      <c r="R39" s="88"/>
      <c r="S39" s="88"/>
      <c r="T39" s="88"/>
      <c r="U39" s="88"/>
      <c r="V39" s="88" t="str">
        <f aca="false">IF(SUM($G39)=0,"",SUM($M39:$U39))</f>
        <v/>
      </c>
      <c r="W39" s="88"/>
      <c r="X39" s="39" t="str">
        <f aca="false">IF(OR(SUM($G39)=0,SUM($Q39)=0),"",ROUND(SUM($G39)*SUM($Q39),0))</f>
        <v/>
      </c>
      <c r="Y39" s="39" t="str">
        <f aca="false">IF(SUM($X39)=0,"",IF(SUM($W39)=0,"ENTER YIELD",ROUND($X39/$W39,0)-$X39))</f>
        <v/>
      </c>
      <c r="Z39" s="88"/>
      <c r="AA39" s="39" t="str">
        <f aca="false">IF(OR(SUM($G39)=0,SUM($R39)=0),"",ROUND(SUM($G39)*SUM($R39),0))</f>
        <v/>
      </c>
      <c r="AB39" s="39" t="str">
        <f aca="false">IF(SUM($AA39)=0,"",IF(SUM($Z39)=0,"ENTER YIELD",ROUND($AA39/$Z39,0)-$AA39))</f>
        <v/>
      </c>
      <c r="AC39" s="88"/>
      <c r="AD39" s="39" t="str">
        <f aca="false">IF(OR(SUM($G39)=0,SUM($S39)=0),"",ROUND(SUM($G39)*SUM($S39),0))</f>
        <v/>
      </c>
      <c r="AE39" s="39" t="str">
        <f aca="false">IF(SUM($AD39)=0,"",IF(SUM($AC39)=0,"ENTER YIELD",ROUND($AD39/$AC39,0)-$AD39))</f>
        <v/>
      </c>
      <c r="AF39" s="88"/>
      <c r="AG39" s="39" t="str">
        <f aca="false">IF(OR(SUM($G39)=0,SUM($T39)=0),"",ROUND(SUM($G39)*SUM($T39),0))</f>
        <v/>
      </c>
      <c r="AH39" s="39" t="str">
        <f aca="false">IF(SUM($AG39)=0,"",IF(SUM($AF39)=0,"ENTER YIELD",ROUND($AG39/$AF39,0)-$AG39))</f>
        <v/>
      </c>
      <c r="AI39" s="88"/>
      <c r="AJ39" s="39" t="str">
        <f aca="false">IF(OR(SUM($G39)=0,SUM($U39)=0),"",ROUND(SUM($G39)*SUM($U39),0))</f>
        <v/>
      </c>
      <c r="AK39" s="39" t="str">
        <f aca="false">IF(SUM($AJ39)=0,"",IF(SUM($AI39)=0,"ENTER YIELD",ROUND($AJ39/$AI39,0)-$AJ39))</f>
        <v/>
      </c>
      <c r="AL39" s="10" t="str">
        <f aca="false">IF(SUM($G39)=0,"",$G39)</f>
        <v/>
      </c>
      <c r="AM39" s="10" t="str">
        <f aca="false">IFERROR(1/(1/SUM($H39:$K39,$X39,$AA39,$AD39,$AG39,$AJ39)),"")</f>
        <v/>
      </c>
      <c r="AN39" s="10" t="str">
        <f aca="false">IF(AND(SUM($AM39)=0,SUM($AL39)=0),"",$AM39-$AL39)</f>
        <v/>
      </c>
      <c r="AO39" s="10" t="str">
        <f aca="false">IF(OR($C39="01-09",$D39="Male"),"",INDEX(PMTCT!$AD:$AD,MATCH($E39,PMTCT!$E:$E,0)))</f>
        <v/>
      </c>
      <c r="AP39" s="10" t="str">
        <f aca="false">IF(OR($C39="01-09",$D39="Male"),"",INDEX(PMTCT!$AT:$AT,MATCH($E39,PMTCT!$E:$E,0)))</f>
        <v/>
      </c>
      <c r="AQ39" s="10" t="str">
        <f aca="false">INDEX(TB!$Q:$Q,MATCH($E39,TB!$E:$E,0))</f>
        <v/>
      </c>
      <c r="AR39" s="10" t="str">
        <f aca="false">IF(OR($C39="01-09",$C39="10-14",$D39="Female"),"",INDEX(VMMC!$AB:$AB,MATCH($E39,VMMC!$E:$E,0)))</f>
        <v/>
      </c>
      <c r="AS39" s="10" t="str">
        <f aca="false">IF(OR($C39="01-09",$C39="10-14"),"",INDEX(PrEP!$Q:$Q,MATCH($E39,PrEP!$E:$E,0)))</f>
        <v/>
      </c>
      <c r="AT39" s="10" t="str">
        <f aca="false">IFERROR(1/(1/SUM($Y39,$AB39,$AE39,$AH39,$AK39,$AO39:$AS39)),"")</f>
        <v/>
      </c>
      <c r="AU39" s="10" t="str">
        <f aca="false">IFERROR(1/(1/SUM($AT39,$AM39)),"")</f>
        <v/>
      </c>
      <c r="AV39" s="88" t="str">
        <f aca="false">IF(AND(SUM($AM39)=0,SUM($AU39)=0),"",$AM39/$AU39)</f>
        <v/>
      </c>
      <c r="AW39" s="10"/>
      <c r="AX39" s="88" t="str">
        <f aca="false">IF(OR($C39="01-09",SUM($AW39)=0),"",0%)</f>
        <v/>
      </c>
      <c r="AY39" s="39" t="str">
        <f aca="false">IF(OR($C39="01-09",SUM($AW39)=0),"",ROUND($AW39*(1+$AX39),0))</f>
        <v/>
      </c>
      <c r="AZ39" s="88" t="str">
        <f aca="false">IF(OR($C39="01-09",$C39="10-14"),"",100%)</f>
        <v/>
      </c>
      <c r="BA39" s="39" t="str">
        <f aca="false">IF(OR(SUM($AM39)=0,$C39="01-09",$C39="10-14"),"",$AM39*$AZ39)</f>
        <v/>
      </c>
    </row>
    <row r="40" customFormat="false" ht="15" hidden="false" customHeight="false" outlineLevel="0" collapsed="false">
      <c r="A40" s="0" t="str">
        <f aca="false">INDEX(Prioritization!$D:$D,MATCH($B40,Prioritization!$A:$A,0))</f>
        <v>1 - Scale-up: Saturation</v>
      </c>
      <c r="B40" s="0" t="s">
        <v>196</v>
      </c>
      <c r="C40" s="0" t="s">
        <v>363</v>
      </c>
      <c r="D40" s="0" t="s">
        <v>48</v>
      </c>
      <c r="E40" s="0" t="str">
        <f aca="false">$B40&amp;"|"&amp;$C40&amp;"|"&amp;$D40</f>
        <v>Dowa District [zphK9WV8JB4]|01-09|Male</v>
      </c>
      <c r="F40" s="88" t="n">
        <f aca="false">IF(LEFT($B40,4)="_Mil","",INDEX(Cascade!$AA:$AA,MATCH($E40,Cascade!$E:$E,0)))</f>
        <v>961</v>
      </c>
      <c r="G40" s="10" t="n">
        <f aca="false">INDEX(Cascade!$BH:$BH,MATCH($E40,Cascade!$E:$E,0))</f>
        <v>0</v>
      </c>
      <c r="H40" s="10" t="str">
        <f aca="false">IF(OR($C40="01-09",$D40="Male"),"",INDEX(PMTCT!$AC:$AC,MATCH($E40,PMTCT!$E:$E,0)))</f>
        <v/>
      </c>
      <c r="I40" s="10" t="str">
        <f aca="false">IF(OR($C40="01-09",$D40="Male"),"",INDEX(PMTCT!$AS:$AS,MATCH($E40,PMTCT!$E:$E,0)))</f>
        <v/>
      </c>
      <c r="J40" s="10" t="str">
        <f aca="false">INDEX(TB!$P:$P,MATCH($E40,TB!$E:$E,0))</f>
        <v/>
      </c>
      <c r="K40" s="10" t="str">
        <f aca="false">IF(OR($C40="01-09",$C40="10-14",$D40="Female"),"",INDEX(VMMC!$AA:$AA,MATCH($E40,VMMC!$E:$E,0)))</f>
        <v/>
      </c>
      <c r="L40" s="10" t="n">
        <f aca="false">SUM($G40)-SUM($H40:$K40)</f>
        <v>0</v>
      </c>
      <c r="M40" s="88" t="str">
        <f aca="false">IF(OR($C40="01-09",$D40="Male",AND(SUM($G40)=0,SUM($H40)=0)),"",SUM($H40)/SUM($G40))</f>
        <v/>
      </c>
      <c r="N40" s="88" t="str">
        <f aca="false">IF(OR($C40="01-09",$D40="Male",AND(SUM($G40)=0,SUM($I40)=0)),"",SUM($I40)/SUM($G40))</f>
        <v/>
      </c>
      <c r="O40" s="88" t="str">
        <f aca="false">IF(AND(SUM($G40)=0,SUM($J40)=0),"",SUM($J40)/SUM($G40))</f>
        <v/>
      </c>
      <c r="P40" s="88" t="str">
        <f aca="false">IF(OR($C40="01-09",$C40="10-14",$D40="Female",AND(SUM($G40)=0,SUM($K40)=0)),"",SUM($K40)/SUM($G40))</f>
        <v/>
      </c>
      <c r="Q40" s="88"/>
      <c r="R40" s="88"/>
      <c r="S40" s="88"/>
      <c r="T40" s="88"/>
      <c r="U40" s="88"/>
      <c r="V40" s="88" t="str">
        <f aca="false">IF(SUM($G40)=0,"",SUM($M40:$U40))</f>
        <v/>
      </c>
      <c r="W40" s="88"/>
      <c r="X40" s="39" t="str">
        <f aca="false">IF(OR(SUM($G40)=0,SUM($Q40)=0),"",ROUND(SUM($G40)*SUM($Q40),0))</f>
        <v/>
      </c>
      <c r="Y40" s="39" t="str">
        <f aca="false">IF(SUM($X40)=0,"",IF(SUM($W40)=0,"ENTER YIELD",ROUND($X40/$W40,0)-$X40))</f>
        <v/>
      </c>
      <c r="Z40" s="88"/>
      <c r="AA40" s="39" t="str">
        <f aca="false">IF(OR(SUM($G40)=0,SUM($R40)=0),"",ROUND(SUM($G40)*SUM($R40),0))</f>
        <v/>
      </c>
      <c r="AB40" s="39" t="str">
        <f aca="false">IF(SUM($AA40)=0,"",IF(SUM($Z40)=0,"ENTER YIELD",ROUND($AA40/$Z40,0)-$AA40))</f>
        <v/>
      </c>
      <c r="AC40" s="88"/>
      <c r="AD40" s="39" t="str">
        <f aca="false">IF(OR(SUM($G40)=0,SUM($S40)=0),"",ROUND(SUM($G40)*SUM($S40),0))</f>
        <v/>
      </c>
      <c r="AE40" s="39" t="str">
        <f aca="false">IF(SUM($AD40)=0,"",IF(SUM($AC40)=0,"ENTER YIELD",ROUND($AD40/$AC40,0)-$AD40))</f>
        <v/>
      </c>
      <c r="AF40" s="88"/>
      <c r="AG40" s="39" t="str">
        <f aca="false">IF(OR(SUM($G40)=0,SUM($T40)=0),"",ROUND(SUM($G40)*SUM($T40),0))</f>
        <v/>
      </c>
      <c r="AH40" s="39" t="str">
        <f aca="false">IF(SUM($AG40)=0,"",IF(SUM($AF40)=0,"ENTER YIELD",ROUND($AG40/$AF40,0)-$AG40))</f>
        <v/>
      </c>
      <c r="AI40" s="88"/>
      <c r="AJ40" s="39" t="str">
        <f aca="false">IF(OR(SUM($G40)=0,SUM($U40)=0),"",ROUND(SUM($G40)*SUM($U40),0))</f>
        <v/>
      </c>
      <c r="AK40" s="39" t="str">
        <f aca="false">IF(SUM($AJ40)=0,"",IF(SUM($AI40)=0,"ENTER YIELD",ROUND($AJ40/$AI40,0)-$AJ40))</f>
        <v/>
      </c>
      <c r="AL40" s="10" t="str">
        <f aca="false">IF(SUM($G40)=0,"",$G40)</f>
        <v/>
      </c>
      <c r="AM40" s="10" t="str">
        <f aca="false">IFERROR(1/(1/SUM($H40:$K40,$X40,$AA40,$AD40,$AG40,$AJ40)),"")</f>
        <v/>
      </c>
      <c r="AN40" s="10" t="str">
        <f aca="false">IF(AND(SUM($AM40)=0,SUM($AL40)=0),"",$AM40-$AL40)</f>
        <v/>
      </c>
      <c r="AO40" s="10" t="str">
        <f aca="false">IF(OR($C40="01-09",$D40="Male"),"",INDEX(PMTCT!$AD:$AD,MATCH($E40,PMTCT!$E:$E,0)))</f>
        <v/>
      </c>
      <c r="AP40" s="10" t="str">
        <f aca="false">IF(OR($C40="01-09",$D40="Male"),"",INDEX(PMTCT!$AT:$AT,MATCH($E40,PMTCT!$E:$E,0)))</f>
        <v/>
      </c>
      <c r="AQ40" s="10" t="str">
        <f aca="false">INDEX(TB!$Q:$Q,MATCH($E40,TB!$E:$E,0))</f>
        <v/>
      </c>
      <c r="AR40" s="10" t="str">
        <f aca="false">IF(OR($C40="01-09",$C40="10-14",$D40="Female"),"",INDEX(VMMC!$AB:$AB,MATCH($E40,VMMC!$E:$E,0)))</f>
        <v/>
      </c>
      <c r="AS40" s="10" t="str">
        <f aca="false">IF(OR($C40="01-09",$C40="10-14"),"",INDEX(PrEP!$Q:$Q,MATCH($E40,PrEP!$E:$E,0)))</f>
        <v/>
      </c>
      <c r="AT40" s="10" t="str">
        <f aca="false">IFERROR(1/(1/SUM($Y40,$AB40,$AE40,$AH40,$AK40,$AO40:$AS40)),"")</f>
        <v/>
      </c>
      <c r="AU40" s="10" t="str">
        <f aca="false">IFERROR(1/(1/SUM($AT40,$AM40)),"")</f>
        <v/>
      </c>
      <c r="AV40" s="88" t="str">
        <f aca="false">IF(AND(SUM($AM40)=0,SUM($AU40)=0),"",$AM40/$AU40)</f>
        <v/>
      </c>
      <c r="AW40" s="10"/>
      <c r="AX40" s="88" t="str">
        <f aca="false">IF(OR($C40="01-09",SUM($AW40)=0),"",0%)</f>
        <v/>
      </c>
      <c r="AY40" s="39" t="str">
        <f aca="false">IF(OR($C40="01-09",SUM($AW40)=0),"",ROUND($AW40*(1+$AX40),0))</f>
        <v/>
      </c>
      <c r="AZ40" s="88" t="str">
        <f aca="false">IF(OR($C40="01-09",$C40="10-14"),"",100%)</f>
        <v/>
      </c>
      <c r="BA40" s="39" t="str">
        <f aca="false">IF(OR(SUM($AM40)=0,$C40="01-09",$C40="10-14"),"",$AM40*$AZ40)</f>
        <v/>
      </c>
    </row>
    <row r="41" customFormat="false" ht="15" hidden="false" customHeight="false" outlineLevel="0" collapsed="false">
      <c r="A41" s="0" t="str">
        <f aca="false">INDEX(Prioritization!$D:$D,MATCH($B41,Prioritization!$A:$A,0))</f>
        <v>1 - Scale-up: Saturation</v>
      </c>
      <c r="B41" s="0" t="s">
        <v>196</v>
      </c>
      <c r="C41" s="0" t="s">
        <v>364</v>
      </c>
      <c r="D41" s="0" t="s">
        <v>30</v>
      </c>
      <c r="E41" s="0" t="str">
        <f aca="false">$B41&amp;"|"&amp;$C41&amp;"|"&amp;$D41</f>
        <v>Dowa District [zphK9WV8JB4]|10-14|Female</v>
      </c>
      <c r="F41" s="88" t="n">
        <f aca="false">IF(LEFT($B41,4)="_Mil","",INDEX(Cascade!$AA:$AA,MATCH($E41,Cascade!$E:$E,0)))</f>
        <v>1756</v>
      </c>
      <c r="G41" s="10" t="n">
        <f aca="false">INDEX(Cascade!$BH:$BH,MATCH($E41,Cascade!$E:$E,0))</f>
        <v>-85</v>
      </c>
      <c r="H41" s="10" t="str">
        <f aca="false">IF(OR($C41="01-09",$D41="Male"),"",INDEX(PMTCT!$AC:$AC,MATCH($E41,PMTCT!$E:$E,0)))</f>
        <v>ENTER YIELD RATE</v>
      </c>
      <c r="I41" s="10" t="str">
        <f aca="false">IF(OR($C41="01-09",$D41="Male"),"",INDEX(PMTCT!$AS:$AS,MATCH($E41,PMTCT!$E:$E,0)))</f>
        <v>ENTER YIELD RATE</v>
      </c>
      <c r="J41" s="10" t="str">
        <f aca="false">INDEX(TB!$P:$P,MATCH($E41,TB!$E:$E,0))</f>
        <v>ENTER YIELD RATE</v>
      </c>
      <c r="K41" s="10" t="str">
        <f aca="false">IF(OR($C41="01-09",$C41="10-14",$D41="Female"),"",INDEX(VMMC!$AA:$AA,MATCH($E41,VMMC!$E:$E,0)))</f>
        <v/>
      </c>
      <c r="L41" s="10" t="n">
        <f aca="false">SUM($G41)-SUM($H41:$K41)</f>
        <v>-85</v>
      </c>
      <c r="M41" s="88" t="n">
        <f aca="false">IF(OR($C41="01-09",$D41="Male",AND(SUM($G41)=0,SUM($H41)=0)),"",SUM($H41)/SUM($G41))</f>
        <v>-0</v>
      </c>
      <c r="N41" s="88" t="n">
        <f aca="false">IF(OR($C41="01-09",$D41="Male",AND(SUM($G41)=0,SUM($I41)=0)),"",SUM($I41)/SUM($G41))</f>
        <v>-0</v>
      </c>
      <c r="O41" s="88" t="n">
        <f aca="false">IF(AND(SUM($G41)=0,SUM($J41)=0),"",SUM($J41)/SUM($G41))</f>
        <v>-0</v>
      </c>
      <c r="P41" s="88" t="str">
        <f aca="false">IF(OR($C41="01-09",$C41="10-14",$D41="Female",AND(SUM($G41)=0,SUM($K41)=0)),"",SUM($K41)/SUM($G41))</f>
        <v/>
      </c>
      <c r="Q41" s="88" t="n">
        <v>0.246561964740977</v>
      </c>
      <c r="R41" s="88"/>
      <c r="S41" s="88"/>
      <c r="T41" s="88"/>
      <c r="U41" s="88" t="n">
        <v>0.857574959285557</v>
      </c>
      <c r="V41" s="88" t="n">
        <f aca="false">IF(SUM($G41)=0,"",SUM($M41:$U41))</f>
        <v>1.10413692402653</v>
      </c>
      <c r="W41" s="88"/>
      <c r="X41" s="39" t="n">
        <f aca="false">IF(OR(SUM($G41)=0,SUM($Q41)=0),"",ROUND(SUM($G41)*SUM($Q41),0))</f>
        <v>-21</v>
      </c>
      <c r="Y41" s="39" t="str">
        <f aca="false">IF(SUM($X41)=0,"",IF(SUM($W41)=0,"ENTER YIELD",ROUND($X41/$W41,0)-$X41))</f>
        <v>ENTER YIELD</v>
      </c>
      <c r="Z41" s="88"/>
      <c r="AA41" s="39" t="str">
        <f aca="false">IF(OR(SUM($G41)=0,SUM($R41)=0),"",ROUND(SUM($G41)*SUM($R41),0))</f>
        <v/>
      </c>
      <c r="AB41" s="39" t="str">
        <f aca="false">IF(SUM($AA41)=0,"",IF(SUM($Z41)=0,"ENTER YIELD",ROUND($AA41/$Z41,0)-$AA41))</f>
        <v/>
      </c>
      <c r="AC41" s="88"/>
      <c r="AD41" s="39" t="str">
        <f aca="false">IF(OR(SUM($G41)=0,SUM($S41)=0),"",ROUND(SUM($G41)*SUM($S41),0))</f>
        <v/>
      </c>
      <c r="AE41" s="39" t="str">
        <f aca="false">IF(SUM($AD41)=0,"",IF(SUM($AC41)=0,"ENTER YIELD",ROUND($AD41/$AC41,0)-$AD41))</f>
        <v/>
      </c>
      <c r="AF41" s="88"/>
      <c r="AG41" s="39" t="str">
        <f aca="false">IF(OR(SUM($G41)=0,SUM($T41)=0),"",ROUND(SUM($G41)*SUM($T41),0))</f>
        <v/>
      </c>
      <c r="AH41" s="39" t="str">
        <f aca="false">IF(SUM($AG41)=0,"",IF(SUM($AF41)=0,"ENTER YIELD",ROUND($AG41/$AF41,0)-$AG41))</f>
        <v/>
      </c>
      <c r="AI41" s="88"/>
      <c r="AJ41" s="39" t="n">
        <f aca="false">IF(OR(SUM($G41)=0,SUM($U41)=0),"",ROUND(SUM($G41)*SUM($U41),0))</f>
        <v>-73</v>
      </c>
      <c r="AK41" s="39" t="str">
        <f aca="false">IF(SUM($AJ41)=0,"",IF(SUM($AI41)=0,"ENTER YIELD",ROUND($AJ41/$AI41,0)-$AJ41))</f>
        <v>ENTER YIELD</v>
      </c>
      <c r="AL41" s="10" t="n">
        <f aca="false">IF(SUM($G41)=0,"",$G41)</f>
        <v>-85</v>
      </c>
      <c r="AM41" s="10" t="n">
        <f aca="false">IFERROR(1/(1/SUM($H41:$K41,$X41,$AA41,$AD41,$AG41,$AJ41)),"")</f>
        <v>-94</v>
      </c>
      <c r="AN41" s="10" t="n">
        <f aca="false">IF(AND(SUM($AM41)=0,SUM($AL41)=0),"",$AM41-$AL41)</f>
        <v>-9</v>
      </c>
      <c r="AO41" s="10" t="n">
        <f aca="false">IF(OR($C41="01-09",$D41="Male"),"",INDEX(PMTCT!$AD:$AD,MATCH($E41,PMTCT!$E:$E,0)))</f>
        <v>7</v>
      </c>
      <c r="AP41" s="10" t="n">
        <f aca="false">IF(OR($C41="01-09",$D41="Male"),"",INDEX(PMTCT!$AT:$AT,MATCH($E41,PMTCT!$E:$E,0)))</f>
        <v>7</v>
      </c>
      <c r="AQ41" s="10" t="n">
        <f aca="false">INDEX(TB!$Q:$Q,MATCH($E41,TB!$E:$E,0))</f>
        <v>1</v>
      </c>
      <c r="AR41" s="10" t="str">
        <f aca="false">IF(OR($C41="01-09",$C41="10-14",$D41="Female"),"",INDEX(VMMC!$AB:$AB,MATCH($E41,VMMC!$E:$E,0)))</f>
        <v/>
      </c>
      <c r="AS41" s="10" t="str">
        <f aca="false">IF(OR($C41="01-09",$C41="10-14"),"",INDEX(PrEP!$Q:$Q,MATCH($E41,PrEP!$E:$E,0)))</f>
        <v/>
      </c>
      <c r="AT41" s="10" t="n">
        <f aca="false">IFERROR(1/(1/SUM($Y41,$AB41,$AE41,$AH41,$AK41,$AO41:$AS41)),"")</f>
        <v>15</v>
      </c>
      <c r="AU41" s="10" t="n">
        <f aca="false">IFERROR(1/(1/SUM($AT41,$AM41)),"")</f>
        <v>-79</v>
      </c>
      <c r="AV41" s="88" t="n">
        <f aca="false">IF(AND(SUM($AM41)=0,SUM($AU41)=0),"",$AM41/$AU41)</f>
        <v>1.18987341772152</v>
      </c>
      <c r="AW41" s="10"/>
      <c r="AX41" s="88" t="str">
        <f aca="false">IF(OR($C41="01-09",SUM($AW41)=0),"",0%)</f>
        <v/>
      </c>
      <c r="AY41" s="39" t="str">
        <f aca="false">IF(OR($C41="01-09",SUM($AW41)=0),"",ROUND($AW41*(1+$AX41),0))</f>
        <v/>
      </c>
      <c r="AZ41" s="88" t="str">
        <f aca="false">IF(OR($C41="01-09",$C41="10-14"),"",100%)</f>
        <v/>
      </c>
      <c r="BA41" s="39" t="str">
        <f aca="false">IF(OR(SUM($AM41)=0,$C41="01-09",$C41="10-14"),"",$AM41*$AZ41)</f>
        <v/>
      </c>
    </row>
    <row r="42" customFormat="false" ht="15" hidden="false" customHeight="false" outlineLevel="0" collapsed="false">
      <c r="A42" s="0" t="str">
        <f aca="false">INDEX(Prioritization!$D:$D,MATCH($B42,Prioritization!$A:$A,0))</f>
        <v>1 - Scale-up: Saturation</v>
      </c>
      <c r="B42" s="0" t="s">
        <v>196</v>
      </c>
      <c r="C42" s="0" t="s">
        <v>364</v>
      </c>
      <c r="D42" s="0" t="s">
        <v>48</v>
      </c>
      <c r="E42" s="0" t="str">
        <f aca="false">$B42&amp;"|"&amp;$C42&amp;"|"&amp;$D42</f>
        <v>Dowa District [zphK9WV8JB4]|10-14|Male</v>
      </c>
      <c r="F42" s="88" t="n">
        <f aca="false">IF(LEFT($B42,4)="_Mil","",INDEX(Cascade!$AA:$AA,MATCH($E42,Cascade!$E:$E,0)))</f>
        <v>617</v>
      </c>
      <c r="G42" s="10" t="n">
        <f aca="false">INDEX(Cascade!$BH:$BH,MATCH($E42,Cascade!$E:$E,0))</f>
        <v>-74</v>
      </c>
      <c r="H42" s="10" t="str">
        <f aca="false">IF(OR($C42="01-09",$D42="Male"),"",INDEX(PMTCT!$AC:$AC,MATCH($E42,PMTCT!$E:$E,0)))</f>
        <v/>
      </c>
      <c r="I42" s="10" t="str">
        <f aca="false">IF(OR($C42="01-09",$D42="Male"),"",INDEX(PMTCT!$AS:$AS,MATCH($E42,PMTCT!$E:$E,0)))</f>
        <v/>
      </c>
      <c r="J42" s="10" t="str">
        <f aca="false">INDEX(TB!$P:$P,MATCH($E42,TB!$E:$E,0))</f>
        <v/>
      </c>
      <c r="K42" s="10" t="str">
        <f aca="false">IF(OR($C42="01-09",$C42="10-14",$D42="Female"),"",INDEX(VMMC!$AA:$AA,MATCH($E42,VMMC!$E:$E,0)))</f>
        <v/>
      </c>
      <c r="L42" s="10" t="n">
        <f aca="false">SUM($G42)-SUM($H42:$K42)</f>
        <v>-74</v>
      </c>
      <c r="M42" s="88" t="str">
        <f aca="false">IF(OR($C42="01-09",$D42="Male",AND(SUM($G42)=0,SUM($H42)=0)),"",SUM($H42)/SUM($G42))</f>
        <v/>
      </c>
      <c r="N42" s="88" t="str">
        <f aca="false">IF(OR($C42="01-09",$D42="Male",AND(SUM($G42)=0,SUM($I42)=0)),"",SUM($I42)/SUM($G42))</f>
        <v/>
      </c>
      <c r="O42" s="88" t="n">
        <f aca="false">IF(AND(SUM($G42)=0,SUM($J42)=0),"",SUM($J42)/SUM($G42))</f>
        <v>-0</v>
      </c>
      <c r="P42" s="88" t="str">
        <f aca="false">IF(OR($C42="01-09",$C42="10-14",$D42="Female",AND(SUM($G42)=0,SUM($K42)=0)),"",SUM($K42)/SUM($G42))</f>
        <v/>
      </c>
      <c r="Q42" s="88" t="n">
        <v>0.734174985438585</v>
      </c>
      <c r="R42" s="88"/>
      <c r="S42" s="88"/>
      <c r="T42" s="88"/>
      <c r="U42" s="88" t="n">
        <v>0.857392228441313</v>
      </c>
      <c r="V42" s="88" t="n">
        <f aca="false">IF(SUM($G42)=0,"",SUM($M42:$U42))</f>
        <v>1.5915672138799</v>
      </c>
      <c r="W42" s="88"/>
      <c r="X42" s="39" t="n">
        <f aca="false">IF(OR(SUM($G42)=0,SUM($Q42)=0),"",ROUND(SUM($G42)*SUM($Q42),0))</f>
        <v>-54</v>
      </c>
      <c r="Y42" s="39" t="str">
        <f aca="false">IF(SUM($X42)=0,"",IF(SUM($W42)=0,"ENTER YIELD",ROUND($X42/$W42,0)-$X42))</f>
        <v>ENTER YIELD</v>
      </c>
      <c r="Z42" s="88"/>
      <c r="AA42" s="39" t="str">
        <f aca="false">IF(OR(SUM($G42)=0,SUM($R42)=0),"",ROUND(SUM($G42)*SUM($R42),0))</f>
        <v/>
      </c>
      <c r="AB42" s="39" t="str">
        <f aca="false">IF(SUM($AA42)=0,"",IF(SUM($Z42)=0,"ENTER YIELD",ROUND($AA42/$Z42,0)-$AA42))</f>
        <v/>
      </c>
      <c r="AC42" s="88"/>
      <c r="AD42" s="39" t="str">
        <f aca="false">IF(OR(SUM($G42)=0,SUM($S42)=0),"",ROUND(SUM($G42)*SUM($S42),0))</f>
        <v/>
      </c>
      <c r="AE42" s="39" t="str">
        <f aca="false">IF(SUM($AD42)=0,"",IF(SUM($AC42)=0,"ENTER YIELD",ROUND($AD42/$AC42,0)-$AD42))</f>
        <v/>
      </c>
      <c r="AF42" s="88"/>
      <c r="AG42" s="39" t="str">
        <f aca="false">IF(OR(SUM($G42)=0,SUM($T42)=0),"",ROUND(SUM($G42)*SUM($T42),0))</f>
        <v/>
      </c>
      <c r="AH42" s="39" t="str">
        <f aca="false">IF(SUM($AG42)=0,"",IF(SUM($AF42)=0,"ENTER YIELD",ROUND($AG42/$AF42,0)-$AG42))</f>
        <v/>
      </c>
      <c r="AI42" s="88"/>
      <c r="AJ42" s="39" t="n">
        <f aca="false">IF(OR(SUM($G42)=0,SUM($U42)=0),"",ROUND(SUM($G42)*SUM($U42),0))</f>
        <v>-63</v>
      </c>
      <c r="AK42" s="39" t="str">
        <f aca="false">IF(SUM($AJ42)=0,"",IF(SUM($AI42)=0,"ENTER YIELD",ROUND($AJ42/$AI42,0)-$AJ42))</f>
        <v>ENTER YIELD</v>
      </c>
      <c r="AL42" s="10" t="n">
        <f aca="false">IF(SUM($G42)=0,"",$G42)</f>
        <v>-74</v>
      </c>
      <c r="AM42" s="10" t="n">
        <f aca="false">IFERROR(1/(1/SUM($H42:$K42,$X42,$AA42,$AD42,$AG42,$AJ42)),"")</f>
        <v>-117</v>
      </c>
      <c r="AN42" s="10" t="n">
        <f aca="false">IF(AND(SUM($AM42)=0,SUM($AL42)=0),"",$AM42-$AL42)</f>
        <v>-43</v>
      </c>
      <c r="AO42" s="10" t="str">
        <f aca="false">IF(OR($C42="01-09",$D42="Male"),"",INDEX(PMTCT!$AD:$AD,MATCH($E42,PMTCT!$E:$E,0)))</f>
        <v/>
      </c>
      <c r="AP42" s="10" t="str">
        <f aca="false">IF(OR($C42="01-09",$D42="Male"),"",INDEX(PMTCT!$AT:$AT,MATCH($E42,PMTCT!$E:$E,0)))</f>
        <v/>
      </c>
      <c r="AQ42" s="10" t="str">
        <f aca="false">INDEX(TB!$Q:$Q,MATCH($E42,TB!$E:$E,0))</f>
        <v/>
      </c>
      <c r="AR42" s="10" t="str">
        <f aca="false">IF(OR($C42="01-09",$C42="10-14",$D42="Female"),"",INDEX(VMMC!$AB:$AB,MATCH($E42,VMMC!$E:$E,0)))</f>
        <v/>
      </c>
      <c r="AS42" s="10" t="str">
        <f aca="false">IF(OR($C42="01-09",$C42="10-14"),"",INDEX(PrEP!$Q:$Q,MATCH($E42,PrEP!$E:$E,0)))</f>
        <v/>
      </c>
      <c r="AT42" s="10" t="str">
        <f aca="false">IFERROR(1/(1/SUM($Y42,$AB42,$AE42,$AH42,$AK42,$AO42:$AS42)),"")</f>
        <v/>
      </c>
      <c r="AU42" s="10" t="n">
        <f aca="false">IFERROR(1/(1/SUM($AT42,$AM42)),"")</f>
        <v>-117</v>
      </c>
      <c r="AV42" s="88" t="n">
        <f aca="false">IF(AND(SUM($AM42)=0,SUM($AU42)=0),"",$AM42/$AU42)</f>
        <v>1</v>
      </c>
      <c r="AW42" s="10"/>
      <c r="AX42" s="88" t="str">
        <f aca="false">IF(OR($C42="01-09",SUM($AW42)=0),"",0%)</f>
        <v/>
      </c>
      <c r="AY42" s="39" t="str">
        <f aca="false">IF(OR($C42="01-09",SUM($AW42)=0),"",ROUND($AW42*(1+$AX42),0))</f>
        <v/>
      </c>
      <c r="AZ42" s="88" t="str">
        <f aca="false">IF(OR($C42="01-09",$C42="10-14"),"",100%)</f>
        <v/>
      </c>
      <c r="BA42" s="39" t="str">
        <f aca="false">IF(OR(SUM($AM42)=0,$C42="01-09",$C42="10-14"),"",$AM42*$AZ42)</f>
        <v/>
      </c>
    </row>
    <row r="43" customFormat="false" ht="15" hidden="false" customHeight="false" outlineLevel="0" collapsed="false">
      <c r="A43" s="0" t="str">
        <f aca="false">INDEX(Prioritization!$D:$D,MATCH($B43,Prioritization!$A:$A,0))</f>
        <v>1 - Scale-up: Saturation</v>
      </c>
      <c r="B43" s="0" t="s">
        <v>196</v>
      </c>
      <c r="C43" s="0" t="s">
        <v>365</v>
      </c>
      <c r="D43" s="0" t="s">
        <v>30</v>
      </c>
      <c r="E43" s="0" t="str">
        <f aca="false">$B43&amp;"|"&amp;$C43&amp;"|"&amp;$D43</f>
        <v>Dowa District [zphK9WV8JB4]|15-24|Female</v>
      </c>
      <c r="F43" s="88" t="n">
        <f aca="false">IF(LEFT($B43,4)="_Mil","",INDEX(Cascade!$AA:$AA,MATCH($E43,Cascade!$E:$E,0)))</f>
        <v>1568</v>
      </c>
      <c r="G43" s="10" t="n">
        <f aca="false">INDEX(Cascade!$BH:$BH,MATCH($E43,Cascade!$E:$E,0))</f>
        <v>0</v>
      </c>
      <c r="H43" s="10" t="str">
        <f aca="false">IF(OR($C43="01-09",$D43="Male"),"",INDEX(PMTCT!$AC:$AC,MATCH($E43,PMTCT!$E:$E,0)))</f>
        <v/>
      </c>
      <c r="I43" s="10" t="str">
        <f aca="false">IF(OR($C43="01-09",$D43="Male"),"",INDEX(PMTCT!$AS:$AS,MATCH($E43,PMTCT!$E:$E,0)))</f>
        <v/>
      </c>
      <c r="J43" s="10" t="str">
        <f aca="false">INDEX(TB!$P:$P,MATCH($E43,TB!$E:$E,0))</f>
        <v/>
      </c>
      <c r="K43" s="10" t="str">
        <f aca="false">IF(OR($C43="01-09",$C43="10-14",$D43="Female"),"",INDEX(VMMC!$AA:$AA,MATCH($E43,VMMC!$E:$E,0)))</f>
        <v/>
      </c>
      <c r="L43" s="10" t="n">
        <f aca="false">SUM($G43)-SUM($H43:$K43)</f>
        <v>0</v>
      </c>
      <c r="M43" s="88" t="str">
        <f aca="false">IF(OR($C43="01-09",$D43="Male",AND(SUM($G43)=0,SUM($H43)=0)),"",SUM($H43)/SUM($G43))</f>
        <v/>
      </c>
      <c r="N43" s="88" t="str">
        <f aca="false">IF(OR($C43="01-09",$D43="Male",AND(SUM($G43)=0,SUM($I43)=0)),"",SUM($I43)/SUM($G43))</f>
        <v/>
      </c>
      <c r="O43" s="88" t="str">
        <f aca="false">IF(AND(SUM($G43)=0,SUM($J43)=0),"",SUM($J43)/SUM($G43))</f>
        <v/>
      </c>
      <c r="P43" s="88" t="str">
        <f aca="false">IF(OR($C43="01-09",$C43="10-14",$D43="Female",AND(SUM($G43)=0,SUM($K43)=0)),"",SUM($K43)/SUM($G43))</f>
        <v/>
      </c>
      <c r="Q43" s="88"/>
      <c r="R43" s="88"/>
      <c r="S43" s="88"/>
      <c r="T43" s="88"/>
      <c r="U43" s="88"/>
      <c r="V43" s="88" t="str">
        <f aca="false">IF(SUM($G43)=0,"",SUM($M43:$U43))</f>
        <v/>
      </c>
      <c r="W43" s="88"/>
      <c r="X43" s="39" t="str">
        <f aca="false">IF(OR(SUM($G43)=0,SUM($Q43)=0),"",ROUND(SUM($G43)*SUM($Q43),0))</f>
        <v/>
      </c>
      <c r="Y43" s="39" t="str">
        <f aca="false">IF(SUM($X43)=0,"",IF(SUM($W43)=0,"ENTER YIELD",ROUND($X43/$W43,0)-$X43))</f>
        <v/>
      </c>
      <c r="Z43" s="88"/>
      <c r="AA43" s="39" t="str">
        <f aca="false">IF(OR(SUM($G43)=0,SUM($R43)=0),"",ROUND(SUM($G43)*SUM($R43),0))</f>
        <v/>
      </c>
      <c r="AB43" s="39" t="str">
        <f aca="false">IF(SUM($AA43)=0,"",IF(SUM($Z43)=0,"ENTER YIELD",ROUND($AA43/$Z43,0)-$AA43))</f>
        <v/>
      </c>
      <c r="AC43" s="88"/>
      <c r="AD43" s="39" t="str">
        <f aca="false">IF(OR(SUM($G43)=0,SUM($S43)=0),"",ROUND(SUM($G43)*SUM($S43),0))</f>
        <v/>
      </c>
      <c r="AE43" s="39" t="str">
        <f aca="false">IF(SUM($AD43)=0,"",IF(SUM($AC43)=0,"ENTER YIELD",ROUND($AD43/$AC43,0)-$AD43))</f>
        <v/>
      </c>
      <c r="AF43" s="88"/>
      <c r="AG43" s="39" t="str">
        <f aca="false">IF(OR(SUM($G43)=0,SUM($T43)=0),"",ROUND(SUM($G43)*SUM($T43),0))</f>
        <v/>
      </c>
      <c r="AH43" s="39" t="str">
        <f aca="false">IF(SUM($AG43)=0,"",IF(SUM($AF43)=0,"ENTER YIELD",ROUND($AG43/$AF43,0)-$AG43))</f>
        <v/>
      </c>
      <c r="AI43" s="88"/>
      <c r="AJ43" s="39" t="str">
        <f aca="false">IF(OR(SUM($G43)=0,SUM($U43)=0),"",ROUND(SUM($G43)*SUM($U43),0))</f>
        <v/>
      </c>
      <c r="AK43" s="39" t="str">
        <f aca="false">IF(SUM($AJ43)=0,"",IF(SUM($AI43)=0,"ENTER YIELD",ROUND($AJ43/$AI43,0)-$AJ43))</f>
        <v/>
      </c>
      <c r="AL43" s="10" t="str">
        <f aca="false">IF(SUM($G43)=0,"",$G43)</f>
        <v/>
      </c>
      <c r="AM43" s="10" t="str">
        <f aca="false">IFERROR(1/(1/SUM($H43:$K43,$X43,$AA43,$AD43,$AG43,$AJ43)),"")</f>
        <v/>
      </c>
      <c r="AN43" s="10" t="str">
        <f aca="false">IF(AND(SUM($AM43)=0,SUM($AL43)=0),"",$AM43-$AL43)</f>
        <v/>
      </c>
      <c r="AO43" s="10" t="str">
        <f aca="false">IF(OR($C43="01-09",$D43="Male"),"",INDEX(PMTCT!$AD:$AD,MATCH($E43,PMTCT!$E:$E,0)))</f>
        <v/>
      </c>
      <c r="AP43" s="10" t="str">
        <f aca="false">IF(OR($C43="01-09",$D43="Male"),"",INDEX(PMTCT!$AT:$AT,MATCH($E43,PMTCT!$E:$E,0)))</f>
        <v/>
      </c>
      <c r="AQ43" s="10" t="str">
        <f aca="false">INDEX(TB!$Q:$Q,MATCH($E43,TB!$E:$E,0))</f>
        <v/>
      </c>
      <c r="AR43" s="10" t="str">
        <f aca="false">IF(OR($C43="01-09",$C43="10-14",$D43="Female"),"",INDEX(VMMC!$AB:$AB,MATCH($E43,VMMC!$E:$E,0)))</f>
        <v/>
      </c>
      <c r="AS43" s="10" t="str">
        <f aca="false">IF(OR($C43="01-09",$C43="10-14"),"",INDEX(PrEP!$Q:$Q,MATCH($E43,PrEP!$E:$E,0)))</f>
        <v/>
      </c>
      <c r="AT43" s="10" t="str">
        <f aca="false">IFERROR(1/(1/SUM($Y43,$AB43,$AE43,$AH43,$AK43,$AO43:$AS43)),"")</f>
        <v/>
      </c>
      <c r="AU43" s="10" t="str">
        <f aca="false">IFERROR(1/(1/SUM($AT43,$AM43)),"")</f>
        <v/>
      </c>
      <c r="AV43" s="88" t="str">
        <f aca="false">IF(AND(SUM($AM43)=0,SUM($AU43)=0),"",$AM43/$AU43)</f>
        <v/>
      </c>
      <c r="AW43" s="10"/>
      <c r="AX43" s="88" t="str">
        <f aca="false">IF(OR($C43="01-09",SUM($AW43)=0),"",0%)</f>
        <v/>
      </c>
      <c r="AY43" s="39" t="str">
        <f aca="false">IF(OR($C43="01-09",SUM($AW43)=0),"",ROUND($AW43*(1+$AX43),0))</f>
        <v/>
      </c>
      <c r="AZ43" s="88" t="n">
        <f aca="false">IF(OR($C43="01-09",$C43="10-14"),"",100%)</f>
        <v>1</v>
      </c>
      <c r="BA43" s="39" t="str">
        <f aca="false">IF(OR(SUM($AM43)=0,$C43="01-09",$C43="10-14"),"",$AM43*$AZ43)</f>
        <v/>
      </c>
    </row>
    <row r="44" customFormat="false" ht="15" hidden="false" customHeight="false" outlineLevel="0" collapsed="false">
      <c r="A44" s="0" t="str">
        <f aca="false">INDEX(Prioritization!$D:$D,MATCH($B44,Prioritization!$A:$A,0))</f>
        <v>1 - Scale-up: Saturation</v>
      </c>
      <c r="B44" s="0" t="s">
        <v>196</v>
      </c>
      <c r="C44" s="0" t="s">
        <v>365</v>
      </c>
      <c r="D44" s="0" t="s">
        <v>48</v>
      </c>
      <c r="E44" s="0" t="str">
        <f aca="false">$B44&amp;"|"&amp;$C44&amp;"|"&amp;$D44</f>
        <v>Dowa District [zphK9WV8JB4]|15-24|Male</v>
      </c>
      <c r="F44" s="88" t="n">
        <f aca="false">IF(LEFT($B44,4)="_Mil","",INDEX(Cascade!$AA:$AA,MATCH($E44,Cascade!$E:$E,0)))</f>
        <v>1202</v>
      </c>
      <c r="G44" s="10" t="n">
        <f aca="false">INDEX(Cascade!$BH:$BH,MATCH($E44,Cascade!$E:$E,0))</f>
        <v>0</v>
      </c>
      <c r="H44" s="10" t="str">
        <f aca="false">IF(OR($C44="01-09",$D44="Male"),"",INDEX(PMTCT!$AC:$AC,MATCH($E44,PMTCT!$E:$E,0)))</f>
        <v/>
      </c>
      <c r="I44" s="10" t="str">
        <f aca="false">IF(OR($C44="01-09",$D44="Male"),"",INDEX(PMTCT!$AS:$AS,MATCH($E44,PMTCT!$E:$E,0)))</f>
        <v/>
      </c>
      <c r="J44" s="10" t="str">
        <f aca="false">INDEX(TB!$P:$P,MATCH($E44,TB!$E:$E,0))</f>
        <v/>
      </c>
      <c r="K44" s="10" t="str">
        <f aca="false">IF(OR($C44="01-09",$C44="10-14",$D44="Female"),"",INDEX(VMMC!$AA:$AA,MATCH($E44,VMMC!$E:$E,0)))</f>
        <v/>
      </c>
      <c r="L44" s="10" t="n">
        <f aca="false">SUM($G44)-SUM($H44:$K44)</f>
        <v>0</v>
      </c>
      <c r="M44" s="88" t="str">
        <f aca="false">IF(OR($C44="01-09",$D44="Male",AND(SUM($G44)=0,SUM($H44)=0)),"",SUM($H44)/SUM($G44))</f>
        <v/>
      </c>
      <c r="N44" s="88" t="str">
        <f aca="false">IF(OR($C44="01-09",$D44="Male",AND(SUM($G44)=0,SUM($I44)=0)),"",SUM($I44)/SUM($G44))</f>
        <v/>
      </c>
      <c r="O44" s="88" t="str">
        <f aca="false">IF(AND(SUM($G44)=0,SUM($J44)=0),"",SUM($J44)/SUM($G44))</f>
        <v/>
      </c>
      <c r="P44" s="88" t="str">
        <f aca="false">IF(OR($C44="01-09",$C44="10-14",$D44="Female",AND(SUM($G44)=0,SUM($K44)=0)),"",SUM($K44)/SUM($G44))</f>
        <v/>
      </c>
      <c r="Q44" s="88"/>
      <c r="R44" s="88"/>
      <c r="S44" s="88"/>
      <c r="T44" s="88"/>
      <c r="U44" s="88"/>
      <c r="V44" s="88" t="str">
        <f aca="false">IF(SUM($G44)=0,"",SUM($M44:$U44))</f>
        <v/>
      </c>
      <c r="W44" s="88"/>
      <c r="X44" s="39" t="str">
        <f aca="false">IF(OR(SUM($G44)=0,SUM($Q44)=0),"",ROUND(SUM($G44)*SUM($Q44),0))</f>
        <v/>
      </c>
      <c r="Y44" s="39" t="str">
        <f aca="false">IF(SUM($X44)=0,"",IF(SUM($W44)=0,"ENTER YIELD",ROUND($X44/$W44,0)-$X44))</f>
        <v/>
      </c>
      <c r="Z44" s="88"/>
      <c r="AA44" s="39" t="str">
        <f aca="false">IF(OR(SUM($G44)=0,SUM($R44)=0),"",ROUND(SUM($G44)*SUM($R44),0))</f>
        <v/>
      </c>
      <c r="AB44" s="39" t="str">
        <f aca="false">IF(SUM($AA44)=0,"",IF(SUM($Z44)=0,"ENTER YIELD",ROUND($AA44/$Z44,0)-$AA44))</f>
        <v/>
      </c>
      <c r="AC44" s="88"/>
      <c r="AD44" s="39" t="str">
        <f aca="false">IF(OR(SUM($G44)=0,SUM($S44)=0),"",ROUND(SUM($G44)*SUM($S44),0))</f>
        <v/>
      </c>
      <c r="AE44" s="39" t="str">
        <f aca="false">IF(SUM($AD44)=0,"",IF(SUM($AC44)=0,"ENTER YIELD",ROUND($AD44/$AC44,0)-$AD44))</f>
        <v/>
      </c>
      <c r="AF44" s="88"/>
      <c r="AG44" s="39" t="str">
        <f aca="false">IF(OR(SUM($G44)=0,SUM($T44)=0),"",ROUND(SUM($G44)*SUM($T44),0))</f>
        <v/>
      </c>
      <c r="AH44" s="39" t="str">
        <f aca="false">IF(SUM($AG44)=0,"",IF(SUM($AF44)=0,"ENTER YIELD",ROUND($AG44/$AF44,0)-$AG44))</f>
        <v/>
      </c>
      <c r="AI44" s="88"/>
      <c r="AJ44" s="39" t="str">
        <f aca="false">IF(OR(SUM($G44)=0,SUM($U44)=0),"",ROUND(SUM($G44)*SUM($U44),0))</f>
        <v/>
      </c>
      <c r="AK44" s="39" t="str">
        <f aca="false">IF(SUM($AJ44)=0,"",IF(SUM($AI44)=0,"ENTER YIELD",ROUND($AJ44/$AI44,0)-$AJ44))</f>
        <v/>
      </c>
      <c r="AL44" s="10" t="str">
        <f aca="false">IF(SUM($G44)=0,"",$G44)</f>
        <v/>
      </c>
      <c r="AM44" s="10" t="str">
        <f aca="false">IFERROR(1/(1/SUM($H44:$K44,$X44,$AA44,$AD44,$AG44,$AJ44)),"")</f>
        <v/>
      </c>
      <c r="AN44" s="10" t="str">
        <f aca="false">IF(AND(SUM($AM44)=0,SUM($AL44)=0),"",$AM44-$AL44)</f>
        <v/>
      </c>
      <c r="AO44" s="10" t="str">
        <f aca="false">IF(OR($C44="01-09",$D44="Male"),"",INDEX(PMTCT!$AD:$AD,MATCH($E44,PMTCT!$E:$E,0)))</f>
        <v/>
      </c>
      <c r="AP44" s="10" t="str">
        <f aca="false">IF(OR($C44="01-09",$D44="Male"),"",INDEX(PMTCT!$AT:$AT,MATCH($E44,PMTCT!$E:$E,0)))</f>
        <v/>
      </c>
      <c r="AQ44" s="10" t="str">
        <f aca="false">INDEX(TB!$Q:$Q,MATCH($E44,TB!$E:$E,0))</f>
        <v/>
      </c>
      <c r="AR44" s="10" t="str">
        <f aca="false">IF(OR($C44="01-09",$C44="10-14",$D44="Female"),"",INDEX(VMMC!$AB:$AB,MATCH($E44,VMMC!$E:$E,0)))</f>
        <v/>
      </c>
      <c r="AS44" s="10" t="str">
        <f aca="false">IF(OR($C44="01-09",$C44="10-14"),"",INDEX(PrEP!$Q:$Q,MATCH($E44,PrEP!$E:$E,0)))</f>
        <v/>
      </c>
      <c r="AT44" s="10" t="str">
        <f aca="false">IFERROR(1/(1/SUM($Y44,$AB44,$AE44,$AH44,$AK44,$AO44:$AS44)),"")</f>
        <v/>
      </c>
      <c r="AU44" s="10" t="str">
        <f aca="false">IFERROR(1/(1/SUM($AT44,$AM44)),"")</f>
        <v/>
      </c>
      <c r="AV44" s="88" t="str">
        <f aca="false">IF(AND(SUM($AM44)=0,SUM($AU44)=0),"",$AM44/$AU44)</f>
        <v/>
      </c>
      <c r="AW44" s="10"/>
      <c r="AX44" s="88" t="str">
        <f aca="false">IF(OR($C44="01-09",SUM($AW44)=0),"",0%)</f>
        <v/>
      </c>
      <c r="AY44" s="39" t="str">
        <f aca="false">IF(OR($C44="01-09",SUM($AW44)=0),"",ROUND($AW44*(1+$AX44),0))</f>
        <v/>
      </c>
      <c r="AZ44" s="88" t="n">
        <f aca="false">IF(OR($C44="01-09",$C44="10-14"),"",100%)</f>
        <v>1</v>
      </c>
      <c r="BA44" s="39" t="str">
        <f aca="false">IF(OR(SUM($AM44)=0,$C44="01-09",$C44="10-14"),"",$AM44*$AZ44)</f>
        <v/>
      </c>
    </row>
    <row r="45" customFormat="false" ht="15" hidden="false" customHeight="false" outlineLevel="0" collapsed="false">
      <c r="A45" s="0" t="str">
        <f aca="false">INDEX(Prioritization!$D:$D,MATCH($B45,Prioritization!$A:$A,0))</f>
        <v>1 - Scale-up: Saturation</v>
      </c>
      <c r="B45" s="0" t="s">
        <v>196</v>
      </c>
      <c r="C45" s="0" t="s">
        <v>366</v>
      </c>
      <c r="D45" s="0" t="s">
        <v>30</v>
      </c>
      <c r="E45" s="0" t="str">
        <f aca="false">$B45&amp;"|"&amp;$C45&amp;"|"&amp;$D45</f>
        <v>Dowa District [zphK9WV8JB4]|25-34|Female</v>
      </c>
      <c r="F45" s="88" t="n">
        <f aca="false">IF(LEFT($B45,4)="_Mil","",INDEX(Cascade!$AA:$AA,MATCH($E45,Cascade!$E:$E,0)))</f>
        <v>1569</v>
      </c>
      <c r="G45" s="10" t="n">
        <f aca="false">INDEX(Cascade!$BH:$BH,MATCH($E45,Cascade!$E:$E,0))</f>
        <v>0</v>
      </c>
      <c r="H45" s="10" t="str">
        <f aca="false">IF(OR($C45="01-09",$D45="Male"),"",INDEX(PMTCT!$AC:$AC,MATCH($E45,PMTCT!$E:$E,0)))</f>
        <v/>
      </c>
      <c r="I45" s="10" t="str">
        <f aca="false">IF(OR($C45="01-09",$D45="Male"),"",INDEX(PMTCT!$AS:$AS,MATCH($E45,PMTCT!$E:$E,0)))</f>
        <v/>
      </c>
      <c r="J45" s="10" t="str">
        <f aca="false">INDEX(TB!$P:$P,MATCH($E45,TB!$E:$E,0))</f>
        <v/>
      </c>
      <c r="K45" s="10" t="str">
        <f aca="false">IF(OR($C45="01-09",$C45="10-14",$D45="Female"),"",INDEX(VMMC!$AA:$AA,MATCH($E45,VMMC!$E:$E,0)))</f>
        <v/>
      </c>
      <c r="L45" s="10" t="n">
        <f aca="false">SUM($G45)-SUM($H45:$K45)</f>
        <v>0</v>
      </c>
      <c r="M45" s="88" t="str">
        <f aca="false">IF(OR($C45="01-09",$D45="Male",AND(SUM($G45)=0,SUM($H45)=0)),"",SUM($H45)/SUM($G45))</f>
        <v/>
      </c>
      <c r="N45" s="88" t="str">
        <f aca="false">IF(OR($C45="01-09",$D45="Male",AND(SUM($G45)=0,SUM($I45)=0)),"",SUM($I45)/SUM($G45))</f>
        <v/>
      </c>
      <c r="O45" s="88" t="str">
        <f aca="false">IF(AND(SUM($G45)=0,SUM($J45)=0),"",SUM($J45)/SUM($G45))</f>
        <v/>
      </c>
      <c r="P45" s="88" t="str">
        <f aca="false">IF(OR($C45="01-09",$C45="10-14",$D45="Female",AND(SUM($G45)=0,SUM($K45)=0)),"",SUM($K45)/SUM($G45))</f>
        <v/>
      </c>
      <c r="Q45" s="88"/>
      <c r="R45" s="88"/>
      <c r="S45" s="88"/>
      <c r="T45" s="88"/>
      <c r="U45" s="88"/>
      <c r="V45" s="88" t="str">
        <f aca="false">IF(SUM($G45)=0,"",SUM($M45:$U45))</f>
        <v/>
      </c>
      <c r="W45" s="88"/>
      <c r="X45" s="39" t="str">
        <f aca="false">IF(OR(SUM($G45)=0,SUM($Q45)=0),"",ROUND(SUM($G45)*SUM($Q45),0))</f>
        <v/>
      </c>
      <c r="Y45" s="39" t="str">
        <f aca="false">IF(SUM($X45)=0,"",IF(SUM($W45)=0,"ENTER YIELD",ROUND($X45/$W45,0)-$X45))</f>
        <v/>
      </c>
      <c r="Z45" s="88"/>
      <c r="AA45" s="39" t="str">
        <f aca="false">IF(OR(SUM($G45)=0,SUM($R45)=0),"",ROUND(SUM($G45)*SUM($R45),0))</f>
        <v/>
      </c>
      <c r="AB45" s="39" t="str">
        <f aca="false">IF(SUM($AA45)=0,"",IF(SUM($Z45)=0,"ENTER YIELD",ROUND($AA45/$Z45,0)-$AA45))</f>
        <v/>
      </c>
      <c r="AC45" s="88"/>
      <c r="AD45" s="39" t="str">
        <f aca="false">IF(OR(SUM($G45)=0,SUM($S45)=0),"",ROUND(SUM($G45)*SUM($S45),0))</f>
        <v/>
      </c>
      <c r="AE45" s="39" t="str">
        <f aca="false">IF(SUM($AD45)=0,"",IF(SUM($AC45)=0,"ENTER YIELD",ROUND($AD45/$AC45,0)-$AD45))</f>
        <v/>
      </c>
      <c r="AF45" s="88"/>
      <c r="AG45" s="39" t="str">
        <f aca="false">IF(OR(SUM($G45)=0,SUM($T45)=0),"",ROUND(SUM($G45)*SUM($T45),0))</f>
        <v/>
      </c>
      <c r="AH45" s="39" t="str">
        <f aca="false">IF(SUM($AG45)=0,"",IF(SUM($AF45)=0,"ENTER YIELD",ROUND($AG45/$AF45,0)-$AG45))</f>
        <v/>
      </c>
      <c r="AI45" s="88"/>
      <c r="AJ45" s="39" t="str">
        <f aca="false">IF(OR(SUM($G45)=0,SUM($U45)=0),"",ROUND(SUM($G45)*SUM($U45),0))</f>
        <v/>
      </c>
      <c r="AK45" s="39" t="str">
        <f aca="false">IF(SUM($AJ45)=0,"",IF(SUM($AI45)=0,"ENTER YIELD",ROUND($AJ45/$AI45,0)-$AJ45))</f>
        <v/>
      </c>
      <c r="AL45" s="10" t="str">
        <f aca="false">IF(SUM($G45)=0,"",$G45)</f>
        <v/>
      </c>
      <c r="AM45" s="10" t="str">
        <f aca="false">IFERROR(1/(1/SUM($H45:$K45,$X45,$AA45,$AD45,$AG45,$AJ45)),"")</f>
        <v/>
      </c>
      <c r="AN45" s="10" t="str">
        <f aca="false">IF(AND(SUM($AM45)=0,SUM($AL45)=0),"",$AM45-$AL45)</f>
        <v/>
      </c>
      <c r="AO45" s="10" t="str">
        <f aca="false">IF(OR($C45="01-09",$D45="Male"),"",INDEX(PMTCT!$AD:$AD,MATCH($E45,PMTCT!$E:$E,0)))</f>
        <v/>
      </c>
      <c r="AP45" s="10" t="str">
        <f aca="false">IF(OR($C45="01-09",$D45="Male"),"",INDEX(PMTCT!$AT:$AT,MATCH($E45,PMTCT!$E:$E,0)))</f>
        <v/>
      </c>
      <c r="AQ45" s="10" t="str">
        <f aca="false">INDEX(TB!$Q:$Q,MATCH($E45,TB!$E:$E,0))</f>
        <v/>
      </c>
      <c r="AR45" s="10" t="str">
        <f aca="false">IF(OR($C45="01-09",$C45="10-14",$D45="Female"),"",INDEX(VMMC!$AB:$AB,MATCH($E45,VMMC!$E:$E,0)))</f>
        <v/>
      </c>
      <c r="AS45" s="10" t="str">
        <f aca="false">IF(OR($C45="01-09",$C45="10-14"),"",INDEX(PrEP!$Q:$Q,MATCH($E45,PrEP!$E:$E,0)))</f>
        <v/>
      </c>
      <c r="AT45" s="10" t="str">
        <f aca="false">IFERROR(1/(1/SUM($Y45,$AB45,$AE45,$AH45,$AK45,$AO45:$AS45)),"")</f>
        <v/>
      </c>
      <c r="AU45" s="10" t="str">
        <f aca="false">IFERROR(1/(1/SUM($AT45,$AM45)),"")</f>
        <v/>
      </c>
      <c r="AV45" s="88" t="str">
        <f aca="false">IF(AND(SUM($AM45)=0,SUM($AU45)=0),"",$AM45/$AU45)</f>
        <v/>
      </c>
      <c r="AW45" s="10"/>
      <c r="AX45" s="88" t="str">
        <f aca="false">IF(OR($C45="01-09",SUM($AW45)=0),"",0%)</f>
        <v/>
      </c>
      <c r="AY45" s="39" t="str">
        <f aca="false">IF(OR($C45="01-09",SUM($AW45)=0),"",ROUND($AW45*(1+$AX45),0))</f>
        <v/>
      </c>
      <c r="AZ45" s="88" t="n">
        <f aca="false">IF(OR($C45="01-09",$C45="10-14"),"",100%)</f>
        <v>1</v>
      </c>
      <c r="BA45" s="39" t="str">
        <f aca="false">IF(OR(SUM($AM45)=0,$C45="01-09",$C45="10-14"),"",$AM45*$AZ45)</f>
        <v/>
      </c>
    </row>
    <row r="46" customFormat="false" ht="15" hidden="false" customHeight="false" outlineLevel="0" collapsed="false">
      <c r="A46" s="0" t="str">
        <f aca="false">INDEX(Prioritization!$D:$D,MATCH($B46,Prioritization!$A:$A,0))</f>
        <v>1 - Scale-up: Saturation</v>
      </c>
      <c r="B46" s="0" t="s">
        <v>196</v>
      </c>
      <c r="C46" s="0" t="s">
        <v>366</v>
      </c>
      <c r="D46" s="0" t="s">
        <v>48</v>
      </c>
      <c r="E46" s="0" t="str">
        <f aca="false">$B46&amp;"|"&amp;$C46&amp;"|"&amp;$D46</f>
        <v>Dowa District [zphK9WV8JB4]|25-34|Male</v>
      </c>
      <c r="F46" s="88" t="n">
        <f aca="false">IF(LEFT($B46,4)="_Mil","",INDEX(Cascade!$AA:$AA,MATCH($E46,Cascade!$E:$E,0)))</f>
        <v>1826</v>
      </c>
      <c r="G46" s="10" t="n">
        <f aca="false">INDEX(Cascade!$BH:$BH,MATCH($E46,Cascade!$E:$E,0))</f>
        <v>0</v>
      </c>
      <c r="H46" s="10" t="str">
        <f aca="false">IF(OR($C46="01-09",$D46="Male"),"",INDEX(PMTCT!$AC:$AC,MATCH($E46,PMTCT!$E:$E,0)))</f>
        <v/>
      </c>
      <c r="I46" s="10" t="str">
        <f aca="false">IF(OR($C46="01-09",$D46="Male"),"",INDEX(PMTCT!$AS:$AS,MATCH($E46,PMTCT!$E:$E,0)))</f>
        <v/>
      </c>
      <c r="J46" s="10" t="str">
        <f aca="false">INDEX(TB!$P:$P,MATCH($E46,TB!$E:$E,0))</f>
        <v/>
      </c>
      <c r="K46" s="10" t="str">
        <f aca="false">IF(OR($C46="01-09",$C46="10-14",$D46="Female"),"",INDEX(VMMC!$AA:$AA,MATCH($E46,VMMC!$E:$E,0)))</f>
        <v/>
      </c>
      <c r="L46" s="10" t="n">
        <f aca="false">SUM($G46)-SUM($H46:$K46)</f>
        <v>0</v>
      </c>
      <c r="M46" s="88" t="str">
        <f aca="false">IF(OR($C46="01-09",$D46="Male",AND(SUM($G46)=0,SUM($H46)=0)),"",SUM($H46)/SUM($G46))</f>
        <v/>
      </c>
      <c r="N46" s="88" t="str">
        <f aca="false">IF(OR($C46="01-09",$D46="Male",AND(SUM($G46)=0,SUM($I46)=0)),"",SUM($I46)/SUM($G46))</f>
        <v/>
      </c>
      <c r="O46" s="88" t="str">
        <f aca="false">IF(AND(SUM($G46)=0,SUM($J46)=0),"",SUM($J46)/SUM($G46))</f>
        <v/>
      </c>
      <c r="P46" s="88" t="str">
        <f aca="false">IF(OR($C46="01-09",$C46="10-14",$D46="Female",AND(SUM($G46)=0,SUM($K46)=0)),"",SUM($K46)/SUM($G46))</f>
        <v/>
      </c>
      <c r="Q46" s="88"/>
      <c r="R46" s="88"/>
      <c r="S46" s="88"/>
      <c r="T46" s="88"/>
      <c r="U46" s="88"/>
      <c r="V46" s="88" t="str">
        <f aca="false">IF(SUM($G46)=0,"",SUM($M46:$U46))</f>
        <v/>
      </c>
      <c r="W46" s="88"/>
      <c r="X46" s="39" t="str">
        <f aca="false">IF(OR(SUM($G46)=0,SUM($Q46)=0),"",ROUND(SUM($G46)*SUM($Q46),0))</f>
        <v/>
      </c>
      <c r="Y46" s="39" t="str">
        <f aca="false">IF(SUM($X46)=0,"",IF(SUM($W46)=0,"ENTER YIELD",ROUND($X46/$W46,0)-$X46))</f>
        <v/>
      </c>
      <c r="Z46" s="88"/>
      <c r="AA46" s="39" t="str">
        <f aca="false">IF(OR(SUM($G46)=0,SUM($R46)=0),"",ROUND(SUM($G46)*SUM($R46),0))</f>
        <v/>
      </c>
      <c r="AB46" s="39" t="str">
        <f aca="false">IF(SUM($AA46)=0,"",IF(SUM($Z46)=0,"ENTER YIELD",ROUND($AA46/$Z46,0)-$AA46))</f>
        <v/>
      </c>
      <c r="AC46" s="88"/>
      <c r="AD46" s="39" t="str">
        <f aca="false">IF(OR(SUM($G46)=0,SUM($S46)=0),"",ROUND(SUM($G46)*SUM($S46),0))</f>
        <v/>
      </c>
      <c r="AE46" s="39" t="str">
        <f aca="false">IF(SUM($AD46)=0,"",IF(SUM($AC46)=0,"ENTER YIELD",ROUND($AD46/$AC46,0)-$AD46))</f>
        <v/>
      </c>
      <c r="AF46" s="88"/>
      <c r="AG46" s="39" t="str">
        <f aca="false">IF(OR(SUM($G46)=0,SUM($T46)=0),"",ROUND(SUM($G46)*SUM($T46),0))</f>
        <v/>
      </c>
      <c r="AH46" s="39" t="str">
        <f aca="false">IF(SUM($AG46)=0,"",IF(SUM($AF46)=0,"ENTER YIELD",ROUND($AG46/$AF46,0)-$AG46))</f>
        <v/>
      </c>
      <c r="AI46" s="88"/>
      <c r="AJ46" s="39" t="str">
        <f aca="false">IF(OR(SUM($G46)=0,SUM($U46)=0),"",ROUND(SUM($G46)*SUM($U46),0))</f>
        <v/>
      </c>
      <c r="AK46" s="39" t="str">
        <f aca="false">IF(SUM($AJ46)=0,"",IF(SUM($AI46)=0,"ENTER YIELD",ROUND($AJ46/$AI46,0)-$AJ46))</f>
        <v/>
      </c>
      <c r="AL46" s="10" t="str">
        <f aca="false">IF(SUM($G46)=0,"",$G46)</f>
        <v/>
      </c>
      <c r="AM46" s="10" t="str">
        <f aca="false">IFERROR(1/(1/SUM($H46:$K46,$X46,$AA46,$AD46,$AG46,$AJ46)),"")</f>
        <v/>
      </c>
      <c r="AN46" s="10" t="str">
        <f aca="false">IF(AND(SUM($AM46)=0,SUM($AL46)=0),"",$AM46-$AL46)</f>
        <v/>
      </c>
      <c r="AO46" s="10" t="str">
        <f aca="false">IF(OR($C46="01-09",$D46="Male"),"",INDEX(PMTCT!$AD:$AD,MATCH($E46,PMTCT!$E:$E,0)))</f>
        <v/>
      </c>
      <c r="AP46" s="10" t="str">
        <f aca="false">IF(OR($C46="01-09",$D46="Male"),"",INDEX(PMTCT!$AT:$AT,MATCH($E46,PMTCT!$E:$E,0)))</f>
        <v/>
      </c>
      <c r="AQ46" s="10" t="str">
        <f aca="false">INDEX(TB!$Q:$Q,MATCH($E46,TB!$E:$E,0))</f>
        <v/>
      </c>
      <c r="AR46" s="10" t="str">
        <f aca="false">IF(OR($C46="01-09",$C46="10-14",$D46="Female"),"",INDEX(VMMC!$AB:$AB,MATCH($E46,VMMC!$E:$E,0)))</f>
        <v/>
      </c>
      <c r="AS46" s="10" t="str">
        <f aca="false">IF(OR($C46="01-09",$C46="10-14"),"",INDEX(PrEP!$Q:$Q,MATCH($E46,PrEP!$E:$E,0)))</f>
        <v/>
      </c>
      <c r="AT46" s="10" t="str">
        <f aca="false">IFERROR(1/(1/SUM($Y46,$AB46,$AE46,$AH46,$AK46,$AO46:$AS46)),"")</f>
        <v/>
      </c>
      <c r="AU46" s="10" t="str">
        <f aca="false">IFERROR(1/(1/SUM($AT46,$AM46)),"")</f>
        <v/>
      </c>
      <c r="AV46" s="88" t="str">
        <f aca="false">IF(AND(SUM($AM46)=0,SUM($AU46)=0),"",$AM46/$AU46)</f>
        <v/>
      </c>
      <c r="AW46" s="10"/>
      <c r="AX46" s="88" t="str">
        <f aca="false">IF(OR($C46="01-09",SUM($AW46)=0),"",0%)</f>
        <v/>
      </c>
      <c r="AY46" s="39" t="str">
        <f aca="false">IF(OR($C46="01-09",SUM($AW46)=0),"",ROUND($AW46*(1+$AX46),0))</f>
        <v/>
      </c>
      <c r="AZ46" s="88" t="n">
        <f aca="false">IF(OR($C46="01-09",$C46="10-14"),"",100%)</f>
        <v>1</v>
      </c>
      <c r="BA46" s="39" t="str">
        <f aca="false">IF(OR(SUM($AM46)=0,$C46="01-09",$C46="10-14"),"",$AM46*$AZ46)</f>
        <v/>
      </c>
    </row>
    <row r="47" customFormat="false" ht="15" hidden="false" customHeight="false" outlineLevel="0" collapsed="false">
      <c r="A47" s="0" t="str">
        <f aca="false">INDEX(Prioritization!$D:$D,MATCH($B47,Prioritization!$A:$A,0))</f>
        <v>1 - Scale-up: Saturation</v>
      </c>
      <c r="B47" s="0" t="s">
        <v>196</v>
      </c>
      <c r="C47" s="0" t="s">
        <v>367</v>
      </c>
      <c r="D47" s="0" t="s">
        <v>30</v>
      </c>
      <c r="E47" s="0" t="str">
        <f aca="false">$B47&amp;"|"&amp;$C47&amp;"|"&amp;$D47</f>
        <v>Dowa District [zphK9WV8JB4]|35-49|Female</v>
      </c>
      <c r="F47" s="88" t="n">
        <f aca="false">IF(LEFT($B47,4)="_Mil","",INDEX(Cascade!$AA:$AA,MATCH($E47,Cascade!$E:$E,0)))</f>
        <v>606</v>
      </c>
      <c r="G47" s="10" t="n">
        <f aca="false">INDEX(Cascade!$BH:$BH,MATCH($E47,Cascade!$E:$E,0))</f>
        <v>0</v>
      </c>
      <c r="H47" s="10" t="str">
        <f aca="false">IF(OR($C47="01-09",$D47="Male"),"",INDEX(PMTCT!$AC:$AC,MATCH($E47,PMTCT!$E:$E,0)))</f>
        <v/>
      </c>
      <c r="I47" s="10" t="str">
        <f aca="false">IF(OR($C47="01-09",$D47="Male"),"",INDEX(PMTCT!$AS:$AS,MATCH($E47,PMTCT!$E:$E,0)))</f>
        <v/>
      </c>
      <c r="J47" s="10" t="str">
        <f aca="false">INDEX(TB!$P:$P,MATCH($E47,TB!$E:$E,0))</f>
        <v/>
      </c>
      <c r="K47" s="10" t="str">
        <f aca="false">IF(OR($C47="01-09",$C47="10-14",$D47="Female"),"",INDEX(VMMC!$AA:$AA,MATCH($E47,VMMC!$E:$E,0)))</f>
        <v/>
      </c>
      <c r="L47" s="10" t="n">
        <f aca="false">SUM($G47)-SUM($H47:$K47)</f>
        <v>0</v>
      </c>
      <c r="M47" s="88" t="str">
        <f aca="false">IF(OR($C47="01-09",$D47="Male",AND(SUM($G47)=0,SUM($H47)=0)),"",SUM($H47)/SUM($G47))</f>
        <v/>
      </c>
      <c r="N47" s="88" t="str">
        <f aca="false">IF(OR($C47="01-09",$D47="Male",AND(SUM($G47)=0,SUM($I47)=0)),"",SUM($I47)/SUM($G47))</f>
        <v/>
      </c>
      <c r="O47" s="88" t="str">
        <f aca="false">IF(AND(SUM($G47)=0,SUM($J47)=0),"",SUM($J47)/SUM($G47))</f>
        <v/>
      </c>
      <c r="P47" s="88" t="str">
        <f aca="false">IF(OR($C47="01-09",$C47="10-14",$D47="Female",AND(SUM($G47)=0,SUM($K47)=0)),"",SUM($K47)/SUM($G47))</f>
        <v/>
      </c>
      <c r="Q47" s="88"/>
      <c r="R47" s="88"/>
      <c r="S47" s="88"/>
      <c r="T47" s="88"/>
      <c r="U47" s="88"/>
      <c r="V47" s="88" t="str">
        <f aca="false">IF(SUM($G47)=0,"",SUM($M47:$U47))</f>
        <v/>
      </c>
      <c r="W47" s="88"/>
      <c r="X47" s="39" t="str">
        <f aca="false">IF(OR(SUM($G47)=0,SUM($Q47)=0),"",ROUND(SUM($G47)*SUM($Q47),0))</f>
        <v/>
      </c>
      <c r="Y47" s="39" t="str">
        <f aca="false">IF(SUM($X47)=0,"",IF(SUM($W47)=0,"ENTER YIELD",ROUND($X47/$W47,0)-$X47))</f>
        <v/>
      </c>
      <c r="Z47" s="88"/>
      <c r="AA47" s="39" t="str">
        <f aca="false">IF(OR(SUM($G47)=0,SUM($R47)=0),"",ROUND(SUM($G47)*SUM($R47),0))</f>
        <v/>
      </c>
      <c r="AB47" s="39" t="str">
        <f aca="false">IF(SUM($AA47)=0,"",IF(SUM($Z47)=0,"ENTER YIELD",ROUND($AA47/$Z47,0)-$AA47))</f>
        <v/>
      </c>
      <c r="AC47" s="88"/>
      <c r="AD47" s="39" t="str">
        <f aca="false">IF(OR(SUM($G47)=0,SUM($S47)=0),"",ROUND(SUM($G47)*SUM($S47),0))</f>
        <v/>
      </c>
      <c r="AE47" s="39" t="str">
        <f aca="false">IF(SUM($AD47)=0,"",IF(SUM($AC47)=0,"ENTER YIELD",ROUND($AD47/$AC47,0)-$AD47))</f>
        <v/>
      </c>
      <c r="AF47" s="88"/>
      <c r="AG47" s="39" t="str">
        <f aca="false">IF(OR(SUM($G47)=0,SUM($T47)=0),"",ROUND(SUM($G47)*SUM($T47),0))</f>
        <v/>
      </c>
      <c r="AH47" s="39" t="str">
        <f aca="false">IF(SUM($AG47)=0,"",IF(SUM($AF47)=0,"ENTER YIELD",ROUND($AG47/$AF47,0)-$AG47))</f>
        <v/>
      </c>
      <c r="AI47" s="88"/>
      <c r="AJ47" s="39" t="str">
        <f aca="false">IF(OR(SUM($G47)=0,SUM($U47)=0),"",ROUND(SUM($G47)*SUM($U47),0))</f>
        <v/>
      </c>
      <c r="AK47" s="39" t="str">
        <f aca="false">IF(SUM($AJ47)=0,"",IF(SUM($AI47)=0,"ENTER YIELD",ROUND($AJ47/$AI47,0)-$AJ47))</f>
        <v/>
      </c>
      <c r="AL47" s="10" t="str">
        <f aca="false">IF(SUM($G47)=0,"",$G47)</f>
        <v/>
      </c>
      <c r="AM47" s="10" t="str">
        <f aca="false">IFERROR(1/(1/SUM($H47:$K47,$X47,$AA47,$AD47,$AG47,$AJ47)),"")</f>
        <v/>
      </c>
      <c r="AN47" s="10" t="str">
        <f aca="false">IF(AND(SUM($AM47)=0,SUM($AL47)=0),"",$AM47-$AL47)</f>
        <v/>
      </c>
      <c r="AO47" s="10" t="str">
        <f aca="false">IF(OR($C47="01-09",$D47="Male"),"",INDEX(PMTCT!$AD:$AD,MATCH($E47,PMTCT!$E:$E,0)))</f>
        <v/>
      </c>
      <c r="AP47" s="10" t="str">
        <f aca="false">IF(OR($C47="01-09",$D47="Male"),"",INDEX(PMTCT!$AT:$AT,MATCH($E47,PMTCT!$E:$E,0)))</f>
        <v/>
      </c>
      <c r="AQ47" s="10" t="str">
        <f aca="false">INDEX(TB!$Q:$Q,MATCH($E47,TB!$E:$E,0))</f>
        <v/>
      </c>
      <c r="AR47" s="10" t="str">
        <f aca="false">IF(OR($C47="01-09",$C47="10-14",$D47="Female"),"",INDEX(VMMC!$AB:$AB,MATCH($E47,VMMC!$E:$E,0)))</f>
        <v/>
      </c>
      <c r="AS47" s="10" t="str">
        <f aca="false">IF(OR($C47="01-09",$C47="10-14"),"",INDEX(PrEP!$Q:$Q,MATCH($E47,PrEP!$E:$E,0)))</f>
        <v/>
      </c>
      <c r="AT47" s="10" t="str">
        <f aca="false">IFERROR(1/(1/SUM($Y47,$AB47,$AE47,$AH47,$AK47,$AO47:$AS47)),"")</f>
        <v/>
      </c>
      <c r="AU47" s="10" t="str">
        <f aca="false">IFERROR(1/(1/SUM($AT47,$AM47)),"")</f>
        <v/>
      </c>
      <c r="AV47" s="88" t="str">
        <f aca="false">IF(AND(SUM($AM47)=0,SUM($AU47)=0),"",$AM47/$AU47)</f>
        <v/>
      </c>
      <c r="AW47" s="10"/>
      <c r="AX47" s="88" t="str">
        <f aca="false">IF(OR($C47="01-09",SUM($AW47)=0),"",0%)</f>
        <v/>
      </c>
      <c r="AY47" s="39" t="str">
        <f aca="false">IF(OR($C47="01-09",SUM($AW47)=0),"",ROUND($AW47*(1+$AX47),0))</f>
        <v/>
      </c>
      <c r="AZ47" s="88" t="n">
        <f aca="false">IF(OR($C47="01-09",$C47="10-14"),"",100%)</f>
        <v>1</v>
      </c>
      <c r="BA47" s="39" t="str">
        <f aca="false">IF(OR(SUM($AM47)=0,$C47="01-09",$C47="10-14"),"",$AM47*$AZ47)</f>
        <v/>
      </c>
    </row>
    <row r="48" customFormat="false" ht="15" hidden="false" customHeight="false" outlineLevel="0" collapsed="false">
      <c r="A48" s="0" t="str">
        <f aca="false">INDEX(Prioritization!$D:$D,MATCH($B48,Prioritization!$A:$A,0))</f>
        <v>1 - Scale-up: Saturation</v>
      </c>
      <c r="B48" s="0" t="s">
        <v>196</v>
      </c>
      <c r="C48" s="0" t="s">
        <v>367</v>
      </c>
      <c r="D48" s="0" t="s">
        <v>48</v>
      </c>
      <c r="E48" s="0" t="str">
        <f aca="false">$B48&amp;"|"&amp;$C48&amp;"|"&amp;$D48</f>
        <v>Dowa District [zphK9WV8JB4]|35-49|Male</v>
      </c>
      <c r="F48" s="88" t="n">
        <f aca="false">IF(LEFT($B48,4)="_Mil","",INDEX(Cascade!$AA:$AA,MATCH($E48,Cascade!$E:$E,0)))</f>
        <v>1724</v>
      </c>
      <c r="G48" s="10" t="n">
        <f aca="false">INDEX(Cascade!$BH:$BH,MATCH($E48,Cascade!$E:$E,0))</f>
        <v>0</v>
      </c>
      <c r="H48" s="10" t="str">
        <f aca="false">IF(OR($C48="01-09",$D48="Male"),"",INDEX(PMTCT!$AC:$AC,MATCH($E48,PMTCT!$E:$E,0)))</f>
        <v/>
      </c>
      <c r="I48" s="10" t="str">
        <f aca="false">IF(OR($C48="01-09",$D48="Male"),"",INDEX(PMTCT!$AS:$AS,MATCH($E48,PMTCT!$E:$E,0)))</f>
        <v/>
      </c>
      <c r="J48" s="10" t="str">
        <f aca="false">INDEX(TB!$P:$P,MATCH($E48,TB!$E:$E,0))</f>
        <v/>
      </c>
      <c r="K48" s="10" t="str">
        <f aca="false">IF(OR($C48="01-09",$C48="10-14",$D48="Female"),"",INDEX(VMMC!$AA:$AA,MATCH($E48,VMMC!$E:$E,0)))</f>
        <v/>
      </c>
      <c r="L48" s="10" t="n">
        <f aca="false">SUM($G48)-SUM($H48:$K48)</f>
        <v>0</v>
      </c>
      <c r="M48" s="88" t="str">
        <f aca="false">IF(OR($C48="01-09",$D48="Male",AND(SUM($G48)=0,SUM($H48)=0)),"",SUM($H48)/SUM($G48))</f>
        <v/>
      </c>
      <c r="N48" s="88" t="str">
        <f aca="false">IF(OR($C48="01-09",$D48="Male",AND(SUM($G48)=0,SUM($I48)=0)),"",SUM($I48)/SUM($G48))</f>
        <v/>
      </c>
      <c r="O48" s="88" t="str">
        <f aca="false">IF(AND(SUM($G48)=0,SUM($J48)=0),"",SUM($J48)/SUM($G48))</f>
        <v/>
      </c>
      <c r="P48" s="88" t="str">
        <f aca="false">IF(OR($C48="01-09",$C48="10-14",$D48="Female",AND(SUM($G48)=0,SUM($K48)=0)),"",SUM($K48)/SUM($G48))</f>
        <v/>
      </c>
      <c r="Q48" s="88"/>
      <c r="R48" s="88"/>
      <c r="S48" s="88"/>
      <c r="T48" s="88"/>
      <c r="U48" s="88"/>
      <c r="V48" s="88" t="str">
        <f aca="false">IF(SUM($G48)=0,"",SUM($M48:$U48))</f>
        <v/>
      </c>
      <c r="W48" s="88"/>
      <c r="X48" s="39" t="str">
        <f aca="false">IF(OR(SUM($G48)=0,SUM($Q48)=0),"",ROUND(SUM($G48)*SUM($Q48),0))</f>
        <v/>
      </c>
      <c r="Y48" s="39" t="str">
        <f aca="false">IF(SUM($X48)=0,"",IF(SUM($W48)=0,"ENTER YIELD",ROUND($X48/$W48,0)-$X48))</f>
        <v/>
      </c>
      <c r="Z48" s="88"/>
      <c r="AA48" s="39" t="str">
        <f aca="false">IF(OR(SUM($G48)=0,SUM($R48)=0),"",ROUND(SUM($G48)*SUM($R48),0))</f>
        <v/>
      </c>
      <c r="AB48" s="39" t="str">
        <f aca="false">IF(SUM($AA48)=0,"",IF(SUM($Z48)=0,"ENTER YIELD",ROUND($AA48/$Z48,0)-$AA48))</f>
        <v/>
      </c>
      <c r="AC48" s="88"/>
      <c r="AD48" s="39" t="str">
        <f aca="false">IF(OR(SUM($G48)=0,SUM($S48)=0),"",ROUND(SUM($G48)*SUM($S48),0))</f>
        <v/>
      </c>
      <c r="AE48" s="39" t="str">
        <f aca="false">IF(SUM($AD48)=0,"",IF(SUM($AC48)=0,"ENTER YIELD",ROUND($AD48/$AC48,0)-$AD48))</f>
        <v/>
      </c>
      <c r="AF48" s="88"/>
      <c r="AG48" s="39" t="str">
        <f aca="false">IF(OR(SUM($G48)=0,SUM($T48)=0),"",ROUND(SUM($G48)*SUM($T48),0))</f>
        <v/>
      </c>
      <c r="AH48" s="39" t="str">
        <f aca="false">IF(SUM($AG48)=0,"",IF(SUM($AF48)=0,"ENTER YIELD",ROUND($AG48/$AF48,0)-$AG48))</f>
        <v/>
      </c>
      <c r="AI48" s="88"/>
      <c r="AJ48" s="39" t="str">
        <f aca="false">IF(OR(SUM($G48)=0,SUM($U48)=0),"",ROUND(SUM($G48)*SUM($U48),0))</f>
        <v/>
      </c>
      <c r="AK48" s="39" t="str">
        <f aca="false">IF(SUM($AJ48)=0,"",IF(SUM($AI48)=0,"ENTER YIELD",ROUND($AJ48/$AI48,0)-$AJ48))</f>
        <v/>
      </c>
      <c r="AL48" s="10" t="str">
        <f aca="false">IF(SUM($G48)=0,"",$G48)</f>
        <v/>
      </c>
      <c r="AM48" s="10" t="str">
        <f aca="false">IFERROR(1/(1/SUM($H48:$K48,$X48,$AA48,$AD48,$AG48,$AJ48)),"")</f>
        <v/>
      </c>
      <c r="AN48" s="10" t="str">
        <f aca="false">IF(AND(SUM($AM48)=0,SUM($AL48)=0),"",$AM48-$AL48)</f>
        <v/>
      </c>
      <c r="AO48" s="10" t="str">
        <f aca="false">IF(OR($C48="01-09",$D48="Male"),"",INDEX(PMTCT!$AD:$AD,MATCH($E48,PMTCT!$E:$E,0)))</f>
        <v/>
      </c>
      <c r="AP48" s="10" t="str">
        <f aca="false">IF(OR($C48="01-09",$D48="Male"),"",INDEX(PMTCT!$AT:$AT,MATCH($E48,PMTCT!$E:$E,0)))</f>
        <v/>
      </c>
      <c r="AQ48" s="10" t="str">
        <f aca="false">INDEX(TB!$Q:$Q,MATCH($E48,TB!$E:$E,0))</f>
        <v/>
      </c>
      <c r="AR48" s="10" t="str">
        <f aca="false">IF(OR($C48="01-09",$C48="10-14",$D48="Female"),"",INDEX(VMMC!$AB:$AB,MATCH($E48,VMMC!$E:$E,0)))</f>
        <v/>
      </c>
      <c r="AS48" s="10" t="str">
        <f aca="false">IF(OR($C48="01-09",$C48="10-14"),"",INDEX(PrEP!$Q:$Q,MATCH($E48,PrEP!$E:$E,0)))</f>
        <v/>
      </c>
      <c r="AT48" s="10" t="str">
        <f aca="false">IFERROR(1/(1/SUM($Y48,$AB48,$AE48,$AH48,$AK48,$AO48:$AS48)),"")</f>
        <v/>
      </c>
      <c r="AU48" s="10" t="str">
        <f aca="false">IFERROR(1/(1/SUM($AT48,$AM48)),"")</f>
        <v/>
      </c>
      <c r="AV48" s="88" t="str">
        <f aca="false">IF(AND(SUM($AM48)=0,SUM($AU48)=0),"",$AM48/$AU48)</f>
        <v/>
      </c>
      <c r="AW48" s="10"/>
      <c r="AX48" s="88" t="str">
        <f aca="false">IF(OR($C48="01-09",SUM($AW48)=0),"",0%)</f>
        <v/>
      </c>
      <c r="AY48" s="39" t="str">
        <f aca="false">IF(OR($C48="01-09",SUM($AW48)=0),"",ROUND($AW48*(1+$AX48),0))</f>
        <v/>
      </c>
      <c r="AZ48" s="88" t="n">
        <f aca="false">IF(OR($C48="01-09",$C48="10-14"),"",100%)</f>
        <v>1</v>
      </c>
      <c r="BA48" s="39" t="str">
        <f aca="false">IF(OR(SUM($AM48)=0,$C48="01-09",$C48="10-14"),"",$AM48*$AZ48)</f>
        <v/>
      </c>
    </row>
    <row r="49" customFormat="false" ht="15" hidden="false" customHeight="false" outlineLevel="0" collapsed="false">
      <c r="A49" s="0" t="str">
        <f aca="false">INDEX(Prioritization!$D:$D,MATCH($B49,Prioritization!$A:$A,0))</f>
        <v>1 - Scale-up: Saturation</v>
      </c>
      <c r="B49" s="0" t="s">
        <v>196</v>
      </c>
      <c r="C49" s="0" t="s">
        <v>368</v>
      </c>
      <c r="D49" s="0" t="s">
        <v>30</v>
      </c>
      <c r="E49" s="0" t="str">
        <f aca="false">$B49&amp;"|"&amp;$C49&amp;"|"&amp;$D49</f>
        <v>Dowa District [zphK9WV8JB4]|50+|Female</v>
      </c>
      <c r="F49" s="88" t="n">
        <f aca="false">IF(LEFT($B49,4)="_Mil","",INDEX(Cascade!$AA:$AA,MATCH($E49,Cascade!$E:$E,0)))</f>
        <v>838</v>
      </c>
      <c r="G49" s="10" t="n">
        <f aca="false">INDEX(Cascade!$BH:$BH,MATCH($E49,Cascade!$E:$E,0))</f>
        <v>0</v>
      </c>
      <c r="H49" s="10" t="str">
        <f aca="false">IF(OR($C49="01-09",$D49="Male"),"",INDEX(PMTCT!$AC:$AC,MATCH($E49,PMTCT!$E:$E,0)))</f>
        <v/>
      </c>
      <c r="I49" s="10" t="str">
        <f aca="false">IF(OR($C49="01-09",$D49="Male"),"",INDEX(PMTCT!$AS:$AS,MATCH($E49,PMTCT!$E:$E,0)))</f>
        <v/>
      </c>
      <c r="J49" s="10" t="str">
        <f aca="false">INDEX(TB!$P:$P,MATCH($E49,TB!$E:$E,0))</f>
        <v/>
      </c>
      <c r="K49" s="10" t="str">
        <f aca="false">IF(OR($C49="01-09",$C49="10-14",$D49="Female"),"",INDEX(VMMC!$AA:$AA,MATCH($E49,VMMC!$E:$E,0)))</f>
        <v/>
      </c>
      <c r="L49" s="10" t="n">
        <f aca="false">SUM($G49)-SUM($H49:$K49)</f>
        <v>0</v>
      </c>
      <c r="M49" s="88" t="str">
        <f aca="false">IF(OR($C49="01-09",$D49="Male",AND(SUM($G49)=0,SUM($H49)=0)),"",SUM($H49)/SUM($G49))</f>
        <v/>
      </c>
      <c r="N49" s="88" t="str">
        <f aca="false">IF(OR($C49="01-09",$D49="Male",AND(SUM($G49)=0,SUM($I49)=0)),"",SUM($I49)/SUM($G49))</f>
        <v/>
      </c>
      <c r="O49" s="88" t="str">
        <f aca="false">IF(AND(SUM($G49)=0,SUM($J49)=0),"",SUM($J49)/SUM($G49))</f>
        <v/>
      </c>
      <c r="P49" s="88" t="str">
        <f aca="false">IF(OR($C49="01-09",$C49="10-14",$D49="Female",AND(SUM($G49)=0,SUM($K49)=0)),"",SUM($K49)/SUM($G49))</f>
        <v/>
      </c>
      <c r="Q49" s="88"/>
      <c r="R49" s="88"/>
      <c r="S49" s="88"/>
      <c r="T49" s="88"/>
      <c r="U49" s="88" t="n">
        <v>0.940901766298339</v>
      </c>
      <c r="V49" s="88" t="str">
        <f aca="false">IF(SUM($G49)=0,"",SUM($M49:$U49))</f>
        <v/>
      </c>
      <c r="W49" s="88"/>
      <c r="X49" s="39" t="str">
        <f aca="false">IF(OR(SUM($G49)=0,SUM($Q49)=0),"",ROUND(SUM($G49)*SUM($Q49),0))</f>
        <v/>
      </c>
      <c r="Y49" s="39" t="str">
        <f aca="false">IF(SUM($X49)=0,"",IF(SUM($W49)=0,"ENTER YIELD",ROUND($X49/$W49,0)-$X49))</f>
        <v/>
      </c>
      <c r="Z49" s="88"/>
      <c r="AA49" s="39" t="str">
        <f aca="false">IF(OR(SUM($G49)=0,SUM($R49)=0),"",ROUND(SUM($G49)*SUM($R49),0))</f>
        <v/>
      </c>
      <c r="AB49" s="39" t="str">
        <f aca="false">IF(SUM($AA49)=0,"",IF(SUM($Z49)=0,"ENTER YIELD",ROUND($AA49/$Z49,0)-$AA49))</f>
        <v/>
      </c>
      <c r="AC49" s="88"/>
      <c r="AD49" s="39" t="str">
        <f aca="false">IF(OR(SUM($G49)=0,SUM($S49)=0),"",ROUND(SUM($G49)*SUM($S49),0))</f>
        <v/>
      </c>
      <c r="AE49" s="39" t="str">
        <f aca="false">IF(SUM($AD49)=0,"",IF(SUM($AC49)=0,"ENTER YIELD",ROUND($AD49/$AC49,0)-$AD49))</f>
        <v/>
      </c>
      <c r="AF49" s="88"/>
      <c r="AG49" s="39" t="str">
        <f aca="false">IF(OR(SUM($G49)=0,SUM($T49)=0),"",ROUND(SUM($G49)*SUM($T49),0))</f>
        <v/>
      </c>
      <c r="AH49" s="39" t="str">
        <f aca="false">IF(SUM($AG49)=0,"",IF(SUM($AF49)=0,"ENTER YIELD",ROUND($AG49/$AF49,0)-$AG49))</f>
        <v/>
      </c>
      <c r="AI49" s="88"/>
      <c r="AJ49" s="39" t="str">
        <f aca="false">IF(OR(SUM($G49)=0,SUM($U49)=0),"",ROUND(SUM($G49)*SUM($U49),0))</f>
        <v/>
      </c>
      <c r="AK49" s="39" t="str">
        <f aca="false">IF(SUM($AJ49)=0,"",IF(SUM($AI49)=0,"ENTER YIELD",ROUND($AJ49/$AI49,0)-$AJ49))</f>
        <v/>
      </c>
      <c r="AL49" s="10" t="str">
        <f aca="false">IF(SUM($G49)=0,"",$G49)</f>
        <v/>
      </c>
      <c r="AM49" s="10" t="str">
        <f aca="false">IFERROR(1/(1/SUM($H49:$K49,$X49,$AA49,$AD49,$AG49,$AJ49)),"")</f>
        <v/>
      </c>
      <c r="AN49" s="10" t="str">
        <f aca="false">IF(AND(SUM($AM49)=0,SUM($AL49)=0),"",$AM49-$AL49)</f>
        <v/>
      </c>
      <c r="AO49" s="10" t="str">
        <f aca="false">IF(OR($C49="01-09",$D49="Male"),"",INDEX(PMTCT!$AD:$AD,MATCH($E49,PMTCT!$E:$E,0)))</f>
        <v/>
      </c>
      <c r="AP49" s="10" t="str">
        <f aca="false">IF(OR($C49="01-09",$D49="Male"),"",INDEX(PMTCT!$AT:$AT,MATCH($E49,PMTCT!$E:$E,0)))</f>
        <v/>
      </c>
      <c r="AQ49" s="10" t="str">
        <f aca="false">INDEX(TB!$Q:$Q,MATCH($E49,TB!$E:$E,0))</f>
        <v/>
      </c>
      <c r="AR49" s="10" t="str">
        <f aca="false">IF(OR($C49="01-09",$C49="10-14",$D49="Female"),"",INDEX(VMMC!$AB:$AB,MATCH($E49,VMMC!$E:$E,0)))</f>
        <v/>
      </c>
      <c r="AS49" s="10" t="str">
        <f aca="false">IF(OR($C49="01-09",$C49="10-14"),"",INDEX(PrEP!$Q:$Q,MATCH($E49,PrEP!$E:$E,0)))</f>
        <v/>
      </c>
      <c r="AT49" s="10" t="str">
        <f aca="false">IFERROR(1/(1/SUM($Y49,$AB49,$AE49,$AH49,$AK49,$AO49:$AS49)),"")</f>
        <v/>
      </c>
      <c r="AU49" s="10" t="str">
        <f aca="false">IFERROR(1/(1/SUM($AT49,$AM49)),"")</f>
        <v/>
      </c>
      <c r="AV49" s="88" t="str">
        <f aca="false">IF(AND(SUM($AM49)=0,SUM($AU49)=0),"",$AM49/$AU49)</f>
        <v/>
      </c>
      <c r="AW49" s="10" t="n">
        <v>2</v>
      </c>
      <c r="AX49" s="88" t="n">
        <f aca="false">IF(OR($C49="01-09",SUM($AW49)=0),"",0%)</f>
        <v>0</v>
      </c>
      <c r="AY49" s="39" t="n">
        <f aca="false">IF(OR($C49="01-09",SUM($AW49)=0),"",ROUND($AW49*(1+$AX49),0))</f>
        <v>2</v>
      </c>
      <c r="AZ49" s="88" t="n">
        <f aca="false">IF(OR($C49="01-09",$C49="10-14"),"",100%)</f>
        <v>1</v>
      </c>
      <c r="BA49" s="39" t="str">
        <f aca="false">IF(OR(SUM($AM49)=0,$C49="01-09",$C49="10-14"),"",$AM49*$AZ49)</f>
        <v/>
      </c>
    </row>
    <row r="50" customFormat="false" ht="15" hidden="false" customHeight="false" outlineLevel="0" collapsed="false">
      <c r="A50" s="0" t="str">
        <f aca="false">INDEX(Prioritization!$D:$D,MATCH($B50,Prioritization!$A:$A,0))</f>
        <v>1 - Scale-up: Saturation</v>
      </c>
      <c r="B50" s="0" t="s">
        <v>196</v>
      </c>
      <c r="C50" s="0" t="s">
        <v>368</v>
      </c>
      <c r="D50" s="0" t="s">
        <v>48</v>
      </c>
      <c r="E50" s="0" t="str">
        <f aca="false">$B50&amp;"|"&amp;$C50&amp;"|"&amp;$D50</f>
        <v>Dowa District [zphK9WV8JB4]|50+|Male</v>
      </c>
      <c r="F50" s="88" t="n">
        <f aca="false">IF(LEFT($B50,4)="_Mil","",INDEX(Cascade!$AA:$AA,MATCH($E50,Cascade!$E:$E,0)))</f>
        <v>1591</v>
      </c>
      <c r="G50" s="10" t="n">
        <f aca="false">INDEX(Cascade!$BH:$BH,MATCH($E50,Cascade!$E:$E,0))</f>
        <v>0</v>
      </c>
      <c r="H50" s="10" t="str">
        <f aca="false">IF(OR($C50="01-09",$D50="Male"),"",INDEX(PMTCT!$AC:$AC,MATCH($E50,PMTCT!$E:$E,0)))</f>
        <v/>
      </c>
      <c r="I50" s="10" t="str">
        <f aca="false">IF(OR($C50="01-09",$D50="Male"),"",INDEX(PMTCT!$AS:$AS,MATCH($E50,PMTCT!$E:$E,0)))</f>
        <v/>
      </c>
      <c r="J50" s="10" t="str">
        <f aca="false">INDEX(TB!$P:$P,MATCH($E50,TB!$E:$E,0))</f>
        <v/>
      </c>
      <c r="K50" s="10" t="str">
        <f aca="false">IF(OR($C50="01-09",$C50="10-14",$D50="Female"),"",INDEX(VMMC!$AA:$AA,MATCH($E50,VMMC!$E:$E,0)))</f>
        <v/>
      </c>
      <c r="L50" s="10" t="n">
        <f aca="false">SUM($G50)-SUM($H50:$K50)</f>
        <v>0</v>
      </c>
      <c r="M50" s="88" t="str">
        <f aca="false">IF(OR($C50="01-09",$D50="Male",AND(SUM($G50)=0,SUM($H50)=0)),"",SUM($H50)/SUM($G50))</f>
        <v/>
      </c>
      <c r="N50" s="88" t="str">
        <f aca="false">IF(OR($C50="01-09",$D50="Male",AND(SUM($G50)=0,SUM($I50)=0)),"",SUM($I50)/SUM($G50))</f>
        <v/>
      </c>
      <c r="O50" s="88" t="str">
        <f aca="false">IF(AND(SUM($G50)=0,SUM($J50)=0),"",SUM($J50)/SUM($G50))</f>
        <v/>
      </c>
      <c r="P50" s="88" t="str">
        <f aca="false">IF(OR($C50="01-09",$C50="10-14",$D50="Female",AND(SUM($G50)=0,SUM($K50)=0)),"",SUM($K50)/SUM($G50))</f>
        <v/>
      </c>
      <c r="Q50" s="88"/>
      <c r="R50" s="88"/>
      <c r="S50" s="88"/>
      <c r="T50" s="88"/>
      <c r="U50" s="88" t="n">
        <v>0.947098298929632</v>
      </c>
      <c r="V50" s="88" t="str">
        <f aca="false">IF(SUM($G50)=0,"",SUM($M50:$U50))</f>
        <v/>
      </c>
      <c r="W50" s="88"/>
      <c r="X50" s="39" t="str">
        <f aca="false">IF(OR(SUM($G50)=0,SUM($Q50)=0),"",ROUND(SUM($G50)*SUM($Q50),0))</f>
        <v/>
      </c>
      <c r="Y50" s="39" t="str">
        <f aca="false">IF(SUM($X50)=0,"",IF(SUM($W50)=0,"ENTER YIELD",ROUND($X50/$W50,0)-$X50))</f>
        <v/>
      </c>
      <c r="Z50" s="88"/>
      <c r="AA50" s="39" t="str">
        <f aca="false">IF(OR(SUM($G50)=0,SUM($R50)=0),"",ROUND(SUM($G50)*SUM($R50),0))</f>
        <v/>
      </c>
      <c r="AB50" s="39" t="str">
        <f aca="false">IF(SUM($AA50)=0,"",IF(SUM($Z50)=0,"ENTER YIELD",ROUND($AA50/$Z50,0)-$AA50))</f>
        <v/>
      </c>
      <c r="AC50" s="88"/>
      <c r="AD50" s="39" t="str">
        <f aca="false">IF(OR(SUM($G50)=0,SUM($S50)=0),"",ROUND(SUM($G50)*SUM($S50),0))</f>
        <v/>
      </c>
      <c r="AE50" s="39" t="str">
        <f aca="false">IF(SUM($AD50)=0,"",IF(SUM($AC50)=0,"ENTER YIELD",ROUND($AD50/$AC50,0)-$AD50))</f>
        <v/>
      </c>
      <c r="AF50" s="88"/>
      <c r="AG50" s="39" t="str">
        <f aca="false">IF(OR(SUM($G50)=0,SUM($T50)=0),"",ROUND(SUM($G50)*SUM($T50),0))</f>
        <v/>
      </c>
      <c r="AH50" s="39" t="str">
        <f aca="false">IF(SUM($AG50)=0,"",IF(SUM($AF50)=0,"ENTER YIELD",ROUND($AG50/$AF50,0)-$AG50))</f>
        <v/>
      </c>
      <c r="AI50" s="88"/>
      <c r="AJ50" s="39" t="str">
        <f aca="false">IF(OR(SUM($G50)=0,SUM($U50)=0),"",ROUND(SUM($G50)*SUM($U50),0))</f>
        <v/>
      </c>
      <c r="AK50" s="39" t="str">
        <f aca="false">IF(SUM($AJ50)=0,"",IF(SUM($AI50)=0,"ENTER YIELD",ROUND($AJ50/$AI50,0)-$AJ50))</f>
        <v/>
      </c>
      <c r="AL50" s="10" t="str">
        <f aca="false">IF(SUM($G50)=0,"",$G50)</f>
        <v/>
      </c>
      <c r="AM50" s="10" t="str">
        <f aca="false">IFERROR(1/(1/SUM($H50:$K50,$X50,$AA50,$AD50,$AG50,$AJ50)),"")</f>
        <v/>
      </c>
      <c r="AN50" s="10" t="str">
        <f aca="false">IF(AND(SUM($AM50)=0,SUM($AL50)=0),"",$AM50-$AL50)</f>
        <v/>
      </c>
      <c r="AO50" s="10" t="str">
        <f aca="false">IF(OR($C50="01-09",$D50="Male"),"",INDEX(PMTCT!$AD:$AD,MATCH($E50,PMTCT!$E:$E,0)))</f>
        <v/>
      </c>
      <c r="AP50" s="10" t="str">
        <f aca="false">IF(OR($C50="01-09",$D50="Male"),"",INDEX(PMTCT!$AT:$AT,MATCH($E50,PMTCT!$E:$E,0)))</f>
        <v/>
      </c>
      <c r="AQ50" s="10" t="str">
        <f aca="false">INDEX(TB!$Q:$Q,MATCH($E50,TB!$E:$E,0))</f>
        <v/>
      </c>
      <c r="AR50" s="10" t="str">
        <f aca="false">IF(OR($C50="01-09",$C50="10-14",$D50="Female"),"",INDEX(VMMC!$AB:$AB,MATCH($E50,VMMC!$E:$E,0)))</f>
        <v/>
      </c>
      <c r="AS50" s="10" t="str">
        <f aca="false">IF(OR($C50="01-09",$C50="10-14"),"",INDEX(PrEP!$Q:$Q,MATCH($E50,PrEP!$E:$E,0)))</f>
        <v/>
      </c>
      <c r="AT50" s="10" t="str">
        <f aca="false">IFERROR(1/(1/SUM($Y50,$AB50,$AE50,$AH50,$AK50,$AO50:$AS50)),"")</f>
        <v/>
      </c>
      <c r="AU50" s="10" t="str">
        <f aca="false">IFERROR(1/(1/SUM($AT50,$AM50)),"")</f>
        <v/>
      </c>
      <c r="AV50" s="88" t="str">
        <f aca="false">IF(AND(SUM($AM50)=0,SUM($AU50)=0),"",$AM50/$AU50)</f>
        <v/>
      </c>
      <c r="AW50" s="10" t="n">
        <v>9</v>
      </c>
      <c r="AX50" s="88" t="n">
        <f aca="false">IF(OR($C50="01-09",SUM($AW50)=0),"",0%)</f>
        <v>0</v>
      </c>
      <c r="AY50" s="39" t="n">
        <f aca="false">IF(OR($C50="01-09",SUM($AW50)=0),"",ROUND($AW50*(1+$AX50),0))</f>
        <v>9</v>
      </c>
      <c r="AZ50" s="88" t="n">
        <f aca="false">IF(OR($C50="01-09",$C50="10-14"),"",100%)</f>
        <v>1</v>
      </c>
      <c r="BA50" s="39" t="str">
        <f aca="false">IF(OR(SUM($AM50)=0,$C50="01-09",$C50="10-14"),"",$AM50*$AZ50)</f>
        <v/>
      </c>
    </row>
    <row r="51" customFormat="false" ht="15" hidden="false" customHeight="false" outlineLevel="0" collapsed="false">
      <c r="A51" s="0" t="str">
        <f aca="false">INDEX(Prioritization!$D:$D,MATCH($B51,Prioritization!$A:$A,0))</f>
        <v>INVALID</v>
      </c>
      <c r="B51" s="0" t="s">
        <v>197</v>
      </c>
      <c r="C51" s="0" t="s">
        <v>363</v>
      </c>
      <c r="D51" s="0" t="s">
        <v>30</v>
      </c>
      <c r="E51" s="0" t="str">
        <f aca="false">$B51&amp;"|"&amp;$C51&amp;"|"&amp;$D51</f>
        <v>Kasungu District [JQKLKuVuY61]|01-09|Female</v>
      </c>
      <c r="F51" s="88" t="n">
        <f aca="false">IF(LEFT($B51,4)="_Mil","",INDEX(Cascade!$AA:$AA,MATCH($E51,Cascade!$E:$E,0)))</f>
        <v>1209</v>
      </c>
      <c r="G51" s="10" t="n">
        <f aca="false">INDEX(Cascade!$BH:$BH,MATCH($E51,Cascade!$E:$E,0))</f>
        <v>0</v>
      </c>
      <c r="H51" s="10" t="str">
        <f aca="false">IF(OR($C51="01-09",$D51="Male"),"",INDEX(PMTCT!$AC:$AC,MATCH($E51,PMTCT!$E:$E,0)))</f>
        <v/>
      </c>
      <c r="I51" s="10" t="str">
        <f aca="false">IF(OR($C51="01-09",$D51="Male"),"",INDEX(PMTCT!$AS:$AS,MATCH($E51,PMTCT!$E:$E,0)))</f>
        <v/>
      </c>
      <c r="J51" s="10" t="str">
        <f aca="false">INDEX(TB!$P:$P,MATCH($E51,TB!$E:$E,0))</f>
        <v/>
      </c>
      <c r="K51" s="10" t="str">
        <f aca="false">IF(OR($C51="01-09",$C51="10-14",$D51="Female"),"",INDEX(VMMC!$AA:$AA,MATCH($E51,VMMC!$E:$E,0)))</f>
        <v/>
      </c>
      <c r="L51" s="10" t="n">
        <f aca="false">SUM($G51)-SUM($H51:$K51)</f>
        <v>0</v>
      </c>
      <c r="M51" s="88" t="str">
        <f aca="false">IF(OR($C51="01-09",$D51="Male",AND(SUM($G51)=0,SUM($H51)=0)),"",SUM($H51)/SUM($G51))</f>
        <v/>
      </c>
      <c r="N51" s="88" t="str">
        <f aca="false">IF(OR($C51="01-09",$D51="Male",AND(SUM($G51)=0,SUM($I51)=0)),"",SUM($I51)/SUM($G51))</f>
        <v/>
      </c>
      <c r="O51" s="88" t="str">
        <f aca="false">IF(AND(SUM($G51)=0,SUM($J51)=0),"",SUM($J51)/SUM($G51))</f>
        <v/>
      </c>
      <c r="P51" s="88" t="str">
        <f aca="false">IF(OR($C51="01-09",$C51="10-14",$D51="Female",AND(SUM($G51)=0,SUM($K51)=0)),"",SUM($K51)/SUM($G51))</f>
        <v/>
      </c>
      <c r="Q51" s="88"/>
      <c r="R51" s="88"/>
      <c r="S51" s="88"/>
      <c r="T51" s="88"/>
      <c r="U51" s="88"/>
      <c r="V51" s="88" t="str">
        <f aca="false">IF(SUM($G51)=0,"",SUM($M51:$U51))</f>
        <v/>
      </c>
      <c r="W51" s="88"/>
      <c r="X51" s="39" t="str">
        <f aca="false">IF(OR(SUM($G51)=0,SUM($Q51)=0),"",ROUND(SUM($G51)*SUM($Q51),0))</f>
        <v/>
      </c>
      <c r="Y51" s="39" t="str">
        <f aca="false">IF(SUM($X51)=0,"",IF(SUM($W51)=0,"ENTER YIELD",ROUND($X51/$W51,0)-$X51))</f>
        <v/>
      </c>
      <c r="Z51" s="88"/>
      <c r="AA51" s="39" t="str">
        <f aca="false">IF(OR(SUM($G51)=0,SUM($R51)=0),"",ROUND(SUM($G51)*SUM($R51),0))</f>
        <v/>
      </c>
      <c r="AB51" s="39" t="str">
        <f aca="false">IF(SUM($AA51)=0,"",IF(SUM($Z51)=0,"ENTER YIELD",ROUND($AA51/$Z51,0)-$AA51))</f>
        <v/>
      </c>
      <c r="AC51" s="88"/>
      <c r="AD51" s="39" t="str">
        <f aca="false">IF(OR(SUM($G51)=0,SUM($S51)=0),"",ROUND(SUM($G51)*SUM($S51),0))</f>
        <v/>
      </c>
      <c r="AE51" s="39" t="str">
        <f aca="false">IF(SUM($AD51)=0,"",IF(SUM($AC51)=0,"ENTER YIELD",ROUND($AD51/$AC51,0)-$AD51))</f>
        <v/>
      </c>
      <c r="AF51" s="88"/>
      <c r="AG51" s="39" t="str">
        <f aca="false">IF(OR(SUM($G51)=0,SUM($T51)=0),"",ROUND(SUM($G51)*SUM($T51),0))</f>
        <v/>
      </c>
      <c r="AH51" s="39" t="str">
        <f aca="false">IF(SUM($AG51)=0,"",IF(SUM($AF51)=0,"ENTER YIELD",ROUND($AG51/$AF51,0)-$AG51))</f>
        <v/>
      </c>
      <c r="AI51" s="88"/>
      <c r="AJ51" s="39" t="str">
        <f aca="false">IF(OR(SUM($G51)=0,SUM($U51)=0),"",ROUND(SUM($G51)*SUM($U51),0))</f>
        <v/>
      </c>
      <c r="AK51" s="39" t="str">
        <f aca="false">IF(SUM($AJ51)=0,"",IF(SUM($AI51)=0,"ENTER YIELD",ROUND($AJ51/$AI51,0)-$AJ51))</f>
        <v/>
      </c>
      <c r="AL51" s="10" t="str">
        <f aca="false">IF(SUM($G51)=0,"",$G51)</f>
        <v/>
      </c>
      <c r="AM51" s="10" t="str">
        <f aca="false">IFERROR(1/(1/SUM($H51:$K51,$X51,$AA51,$AD51,$AG51,$AJ51)),"")</f>
        <v/>
      </c>
      <c r="AN51" s="10" t="str">
        <f aca="false">IF(AND(SUM($AM51)=0,SUM($AL51)=0),"",$AM51-$AL51)</f>
        <v/>
      </c>
      <c r="AO51" s="10" t="str">
        <f aca="false">IF(OR($C51="01-09",$D51="Male"),"",INDEX(PMTCT!$AD:$AD,MATCH($E51,PMTCT!$E:$E,0)))</f>
        <v/>
      </c>
      <c r="AP51" s="10" t="str">
        <f aca="false">IF(OR($C51="01-09",$D51="Male"),"",INDEX(PMTCT!$AT:$AT,MATCH($E51,PMTCT!$E:$E,0)))</f>
        <v/>
      </c>
      <c r="AQ51" s="10" t="str">
        <f aca="false">INDEX(TB!$Q:$Q,MATCH($E51,TB!$E:$E,0))</f>
        <v/>
      </c>
      <c r="AR51" s="10" t="str">
        <f aca="false">IF(OR($C51="01-09",$C51="10-14",$D51="Female"),"",INDEX(VMMC!$AB:$AB,MATCH($E51,VMMC!$E:$E,0)))</f>
        <v/>
      </c>
      <c r="AS51" s="10" t="str">
        <f aca="false">IF(OR($C51="01-09",$C51="10-14"),"",INDEX(PrEP!$Q:$Q,MATCH($E51,PrEP!$E:$E,0)))</f>
        <v/>
      </c>
      <c r="AT51" s="10" t="str">
        <f aca="false">IFERROR(1/(1/SUM($Y51,$AB51,$AE51,$AH51,$AK51,$AO51:$AS51)),"")</f>
        <v/>
      </c>
      <c r="AU51" s="10" t="str">
        <f aca="false">IFERROR(1/(1/SUM($AT51,$AM51)),"")</f>
        <v/>
      </c>
      <c r="AV51" s="88" t="str">
        <f aca="false">IF(AND(SUM($AM51)=0,SUM($AU51)=0),"",$AM51/$AU51)</f>
        <v/>
      </c>
      <c r="AW51" s="10"/>
      <c r="AX51" s="88" t="str">
        <f aca="false">IF(OR($C51="01-09",SUM($AW51)=0),"",0%)</f>
        <v/>
      </c>
      <c r="AY51" s="39" t="str">
        <f aca="false">IF(OR($C51="01-09",SUM($AW51)=0),"",ROUND($AW51*(1+$AX51),0))</f>
        <v/>
      </c>
      <c r="AZ51" s="88" t="str">
        <f aca="false">IF(OR($C51="01-09",$C51="10-14"),"",100%)</f>
        <v/>
      </c>
      <c r="BA51" s="39" t="str">
        <f aca="false">IF(OR(SUM($AM51)=0,$C51="01-09",$C51="10-14"),"",$AM51*$AZ51)</f>
        <v/>
      </c>
    </row>
    <row r="52" customFormat="false" ht="15" hidden="false" customHeight="false" outlineLevel="0" collapsed="false">
      <c r="A52" s="0" t="str">
        <f aca="false">INDEX(Prioritization!$D:$D,MATCH($B52,Prioritization!$A:$A,0))</f>
        <v>INVALID</v>
      </c>
      <c r="B52" s="0" t="s">
        <v>197</v>
      </c>
      <c r="C52" s="0" t="s">
        <v>363</v>
      </c>
      <c r="D52" s="0" t="s">
        <v>48</v>
      </c>
      <c r="E52" s="0" t="str">
        <f aca="false">$B52&amp;"|"&amp;$C52&amp;"|"&amp;$D52</f>
        <v>Kasungu District [JQKLKuVuY61]|01-09|Male</v>
      </c>
      <c r="F52" s="88" t="n">
        <f aca="false">IF(LEFT($B52,4)="_Mil","",INDEX(Cascade!$AA:$AA,MATCH($E52,Cascade!$E:$E,0)))</f>
        <v>1599</v>
      </c>
      <c r="G52" s="10" t="n">
        <f aca="false">INDEX(Cascade!$BH:$BH,MATCH($E52,Cascade!$E:$E,0))</f>
        <v>0</v>
      </c>
      <c r="H52" s="10" t="str">
        <f aca="false">IF(OR($C52="01-09",$D52="Male"),"",INDEX(PMTCT!$AC:$AC,MATCH($E52,PMTCT!$E:$E,0)))</f>
        <v/>
      </c>
      <c r="I52" s="10" t="str">
        <f aca="false">IF(OR($C52="01-09",$D52="Male"),"",INDEX(PMTCT!$AS:$AS,MATCH($E52,PMTCT!$E:$E,0)))</f>
        <v/>
      </c>
      <c r="J52" s="10" t="str">
        <f aca="false">INDEX(TB!$P:$P,MATCH($E52,TB!$E:$E,0))</f>
        <v/>
      </c>
      <c r="K52" s="10" t="str">
        <f aca="false">IF(OR($C52="01-09",$C52="10-14",$D52="Female"),"",INDEX(VMMC!$AA:$AA,MATCH($E52,VMMC!$E:$E,0)))</f>
        <v/>
      </c>
      <c r="L52" s="10" t="n">
        <f aca="false">SUM($G52)-SUM($H52:$K52)</f>
        <v>0</v>
      </c>
      <c r="M52" s="88" t="str">
        <f aca="false">IF(OR($C52="01-09",$D52="Male",AND(SUM($G52)=0,SUM($H52)=0)),"",SUM($H52)/SUM($G52))</f>
        <v/>
      </c>
      <c r="N52" s="88" t="str">
        <f aca="false">IF(OR($C52="01-09",$D52="Male",AND(SUM($G52)=0,SUM($I52)=0)),"",SUM($I52)/SUM($G52))</f>
        <v/>
      </c>
      <c r="O52" s="88" t="str">
        <f aca="false">IF(AND(SUM($G52)=0,SUM($J52)=0),"",SUM($J52)/SUM($G52))</f>
        <v/>
      </c>
      <c r="P52" s="88" t="str">
        <f aca="false">IF(OR($C52="01-09",$C52="10-14",$D52="Female",AND(SUM($G52)=0,SUM($K52)=0)),"",SUM($K52)/SUM($G52))</f>
        <v/>
      </c>
      <c r="Q52" s="88"/>
      <c r="R52" s="88"/>
      <c r="S52" s="88"/>
      <c r="T52" s="88"/>
      <c r="U52" s="88"/>
      <c r="V52" s="88" t="str">
        <f aca="false">IF(SUM($G52)=0,"",SUM($M52:$U52))</f>
        <v/>
      </c>
      <c r="W52" s="88"/>
      <c r="X52" s="39" t="str">
        <f aca="false">IF(OR(SUM($G52)=0,SUM($Q52)=0),"",ROUND(SUM($G52)*SUM($Q52),0))</f>
        <v/>
      </c>
      <c r="Y52" s="39" t="str">
        <f aca="false">IF(SUM($X52)=0,"",IF(SUM($W52)=0,"ENTER YIELD",ROUND($X52/$W52,0)-$X52))</f>
        <v/>
      </c>
      <c r="Z52" s="88"/>
      <c r="AA52" s="39" t="str">
        <f aca="false">IF(OR(SUM($G52)=0,SUM($R52)=0),"",ROUND(SUM($G52)*SUM($R52),0))</f>
        <v/>
      </c>
      <c r="AB52" s="39" t="str">
        <f aca="false">IF(SUM($AA52)=0,"",IF(SUM($Z52)=0,"ENTER YIELD",ROUND($AA52/$Z52,0)-$AA52))</f>
        <v/>
      </c>
      <c r="AC52" s="88"/>
      <c r="AD52" s="39" t="str">
        <f aca="false">IF(OR(SUM($G52)=0,SUM($S52)=0),"",ROUND(SUM($G52)*SUM($S52),0))</f>
        <v/>
      </c>
      <c r="AE52" s="39" t="str">
        <f aca="false">IF(SUM($AD52)=0,"",IF(SUM($AC52)=0,"ENTER YIELD",ROUND($AD52/$AC52,0)-$AD52))</f>
        <v/>
      </c>
      <c r="AF52" s="88"/>
      <c r="AG52" s="39" t="str">
        <f aca="false">IF(OR(SUM($G52)=0,SUM($T52)=0),"",ROUND(SUM($G52)*SUM($T52),0))</f>
        <v/>
      </c>
      <c r="AH52" s="39" t="str">
        <f aca="false">IF(SUM($AG52)=0,"",IF(SUM($AF52)=0,"ENTER YIELD",ROUND($AG52/$AF52,0)-$AG52))</f>
        <v/>
      </c>
      <c r="AI52" s="88"/>
      <c r="AJ52" s="39" t="str">
        <f aca="false">IF(OR(SUM($G52)=0,SUM($U52)=0),"",ROUND(SUM($G52)*SUM($U52),0))</f>
        <v/>
      </c>
      <c r="AK52" s="39" t="str">
        <f aca="false">IF(SUM($AJ52)=0,"",IF(SUM($AI52)=0,"ENTER YIELD",ROUND($AJ52/$AI52,0)-$AJ52))</f>
        <v/>
      </c>
      <c r="AL52" s="10" t="str">
        <f aca="false">IF(SUM($G52)=0,"",$G52)</f>
        <v/>
      </c>
      <c r="AM52" s="10" t="str">
        <f aca="false">IFERROR(1/(1/SUM($H52:$K52,$X52,$AA52,$AD52,$AG52,$AJ52)),"")</f>
        <v/>
      </c>
      <c r="AN52" s="10" t="str">
        <f aca="false">IF(AND(SUM($AM52)=0,SUM($AL52)=0),"",$AM52-$AL52)</f>
        <v/>
      </c>
      <c r="AO52" s="10" t="str">
        <f aca="false">IF(OR($C52="01-09",$D52="Male"),"",INDEX(PMTCT!$AD:$AD,MATCH($E52,PMTCT!$E:$E,0)))</f>
        <v/>
      </c>
      <c r="AP52" s="10" t="str">
        <f aca="false">IF(OR($C52="01-09",$D52="Male"),"",INDEX(PMTCT!$AT:$AT,MATCH($E52,PMTCT!$E:$E,0)))</f>
        <v/>
      </c>
      <c r="AQ52" s="10" t="str">
        <f aca="false">INDEX(TB!$Q:$Q,MATCH($E52,TB!$E:$E,0))</f>
        <v/>
      </c>
      <c r="AR52" s="10" t="str">
        <f aca="false">IF(OR($C52="01-09",$C52="10-14",$D52="Female"),"",INDEX(VMMC!$AB:$AB,MATCH($E52,VMMC!$E:$E,0)))</f>
        <v/>
      </c>
      <c r="AS52" s="10" t="str">
        <f aca="false">IF(OR($C52="01-09",$C52="10-14"),"",INDEX(PrEP!$Q:$Q,MATCH($E52,PrEP!$E:$E,0)))</f>
        <v/>
      </c>
      <c r="AT52" s="10" t="str">
        <f aca="false">IFERROR(1/(1/SUM($Y52,$AB52,$AE52,$AH52,$AK52,$AO52:$AS52)),"")</f>
        <v/>
      </c>
      <c r="AU52" s="10" t="str">
        <f aca="false">IFERROR(1/(1/SUM($AT52,$AM52)),"")</f>
        <v/>
      </c>
      <c r="AV52" s="88" t="str">
        <f aca="false">IF(AND(SUM($AM52)=0,SUM($AU52)=0),"",$AM52/$AU52)</f>
        <v/>
      </c>
      <c r="AW52" s="10"/>
      <c r="AX52" s="88" t="str">
        <f aca="false">IF(OR($C52="01-09",SUM($AW52)=0),"",0%)</f>
        <v/>
      </c>
      <c r="AY52" s="39" t="str">
        <f aca="false">IF(OR($C52="01-09",SUM($AW52)=0),"",ROUND($AW52*(1+$AX52),0))</f>
        <v/>
      </c>
      <c r="AZ52" s="88" t="str">
        <f aca="false">IF(OR($C52="01-09",$C52="10-14"),"",100%)</f>
        <v/>
      </c>
      <c r="BA52" s="39" t="str">
        <f aca="false">IF(OR(SUM($AM52)=0,$C52="01-09",$C52="10-14"),"",$AM52*$AZ52)</f>
        <v/>
      </c>
    </row>
    <row r="53" customFormat="false" ht="15" hidden="false" customHeight="false" outlineLevel="0" collapsed="false">
      <c r="A53" s="0" t="str">
        <f aca="false">INDEX(Prioritization!$D:$D,MATCH($B53,Prioritization!$A:$A,0))</f>
        <v>INVALID</v>
      </c>
      <c r="B53" s="0" t="s">
        <v>197</v>
      </c>
      <c r="C53" s="0" t="s">
        <v>364</v>
      </c>
      <c r="D53" s="0" t="s">
        <v>30</v>
      </c>
      <c r="E53" s="0" t="str">
        <f aca="false">$B53&amp;"|"&amp;$C53&amp;"|"&amp;$D53</f>
        <v>Kasungu District [JQKLKuVuY61]|10-14|Female</v>
      </c>
      <c r="F53" s="88" t="n">
        <f aca="false">IF(LEFT($B53,4)="_Mil","",INDEX(Cascade!$AA:$AA,MATCH($E53,Cascade!$E:$E,0)))</f>
        <v>1612</v>
      </c>
      <c r="G53" s="10" t="n">
        <f aca="false">INDEX(Cascade!$BH:$BH,MATCH($E53,Cascade!$E:$E,0))</f>
        <v>-93</v>
      </c>
      <c r="H53" s="10" t="str">
        <f aca="false">IF(OR($C53="01-09",$D53="Male"),"",INDEX(PMTCT!$AC:$AC,MATCH($E53,PMTCT!$E:$E,0)))</f>
        <v>ENTER YIELD RATE</v>
      </c>
      <c r="I53" s="10" t="str">
        <f aca="false">IF(OR($C53="01-09",$D53="Male"),"",INDEX(PMTCT!$AS:$AS,MATCH($E53,PMTCT!$E:$E,0)))</f>
        <v>ENTER YIELD RATE</v>
      </c>
      <c r="J53" s="10" t="str">
        <f aca="false">INDEX(TB!$P:$P,MATCH($E53,TB!$E:$E,0))</f>
        <v>ENTER YIELD RATE</v>
      </c>
      <c r="K53" s="10" t="str">
        <f aca="false">IF(OR($C53="01-09",$C53="10-14",$D53="Female"),"",INDEX(VMMC!$AA:$AA,MATCH($E53,VMMC!$E:$E,0)))</f>
        <v/>
      </c>
      <c r="L53" s="10" t="n">
        <f aca="false">SUM($G53)-SUM($H53:$K53)</f>
        <v>-93</v>
      </c>
      <c r="M53" s="88" t="n">
        <f aca="false">IF(OR($C53="01-09",$D53="Male",AND(SUM($G53)=0,SUM($H53)=0)),"",SUM($H53)/SUM($G53))</f>
        <v>-0</v>
      </c>
      <c r="N53" s="88" t="n">
        <f aca="false">IF(OR($C53="01-09",$D53="Male",AND(SUM($G53)=0,SUM($I53)=0)),"",SUM($I53)/SUM($G53))</f>
        <v>-0</v>
      </c>
      <c r="O53" s="88" t="n">
        <f aca="false">IF(AND(SUM($G53)=0,SUM($J53)=0),"",SUM($J53)/SUM($G53))</f>
        <v>-0</v>
      </c>
      <c r="P53" s="88" t="str">
        <f aca="false">IF(OR($C53="01-09",$C53="10-14",$D53="Female",AND(SUM($G53)=0,SUM($K53)=0)),"",SUM($K53)/SUM($G53))</f>
        <v/>
      </c>
      <c r="Q53" s="88" t="n">
        <v>0.598960268544033</v>
      </c>
      <c r="R53" s="88"/>
      <c r="S53" s="88"/>
      <c r="T53" s="88"/>
      <c r="U53" s="88" t="n">
        <v>0.283857697388157</v>
      </c>
      <c r="V53" s="88" t="n">
        <f aca="false">IF(SUM($G53)=0,"",SUM($M53:$U53))</f>
        <v>0.88281796593219</v>
      </c>
      <c r="W53" s="88"/>
      <c r="X53" s="39" t="n">
        <f aca="false">IF(OR(SUM($G53)=0,SUM($Q53)=0),"",ROUND(SUM($G53)*SUM($Q53),0))</f>
        <v>-56</v>
      </c>
      <c r="Y53" s="39" t="str">
        <f aca="false">IF(SUM($X53)=0,"",IF(SUM($W53)=0,"ENTER YIELD",ROUND($X53/$W53,0)-$X53))</f>
        <v>ENTER YIELD</v>
      </c>
      <c r="Z53" s="88"/>
      <c r="AA53" s="39" t="str">
        <f aca="false">IF(OR(SUM($G53)=0,SUM($R53)=0),"",ROUND(SUM($G53)*SUM($R53),0))</f>
        <v/>
      </c>
      <c r="AB53" s="39" t="str">
        <f aca="false">IF(SUM($AA53)=0,"",IF(SUM($Z53)=0,"ENTER YIELD",ROUND($AA53/$Z53,0)-$AA53))</f>
        <v/>
      </c>
      <c r="AC53" s="88"/>
      <c r="AD53" s="39" t="str">
        <f aca="false">IF(OR(SUM($G53)=0,SUM($S53)=0),"",ROUND(SUM($G53)*SUM($S53),0))</f>
        <v/>
      </c>
      <c r="AE53" s="39" t="str">
        <f aca="false">IF(SUM($AD53)=0,"",IF(SUM($AC53)=0,"ENTER YIELD",ROUND($AD53/$AC53,0)-$AD53))</f>
        <v/>
      </c>
      <c r="AF53" s="88"/>
      <c r="AG53" s="39" t="str">
        <f aca="false">IF(OR(SUM($G53)=0,SUM($T53)=0),"",ROUND(SUM($G53)*SUM($T53),0))</f>
        <v/>
      </c>
      <c r="AH53" s="39" t="str">
        <f aca="false">IF(SUM($AG53)=0,"",IF(SUM($AF53)=0,"ENTER YIELD",ROUND($AG53/$AF53,0)-$AG53))</f>
        <v/>
      </c>
      <c r="AI53" s="88"/>
      <c r="AJ53" s="39" t="n">
        <f aca="false">IF(OR(SUM($G53)=0,SUM($U53)=0),"",ROUND(SUM($G53)*SUM($U53),0))</f>
        <v>-26</v>
      </c>
      <c r="AK53" s="39" t="str">
        <f aca="false">IF(SUM($AJ53)=0,"",IF(SUM($AI53)=0,"ENTER YIELD",ROUND($AJ53/$AI53,0)-$AJ53))</f>
        <v>ENTER YIELD</v>
      </c>
      <c r="AL53" s="10" t="n">
        <f aca="false">IF(SUM($G53)=0,"",$G53)</f>
        <v>-93</v>
      </c>
      <c r="AM53" s="10" t="n">
        <f aca="false">IFERROR(1/(1/SUM($H53:$K53,$X53,$AA53,$AD53,$AG53,$AJ53)),"")</f>
        <v>-82</v>
      </c>
      <c r="AN53" s="10" t="n">
        <f aca="false">IF(AND(SUM($AM53)=0,SUM($AL53)=0),"",$AM53-$AL53)</f>
        <v>11</v>
      </c>
      <c r="AO53" s="10" t="n">
        <f aca="false">IF(OR($C53="01-09",$D53="Male"),"",INDEX(PMTCT!$AD:$AD,MATCH($E53,PMTCT!$E:$E,0)))</f>
        <v>8</v>
      </c>
      <c r="AP53" s="10" t="n">
        <f aca="false">IF(OR($C53="01-09",$D53="Male"),"",INDEX(PMTCT!$AT:$AT,MATCH($E53,PMTCT!$E:$E,0)))</f>
        <v>8</v>
      </c>
      <c r="AQ53" s="10" t="n">
        <f aca="false">INDEX(TB!$Q:$Q,MATCH($E53,TB!$E:$E,0))</f>
        <v>1</v>
      </c>
      <c r="AR53" s="10" t="str">
        <f aca="false">IF(OR($C53="01-09",$C53="10-14",$D53="Female"),"",INDEX(VMMC!$AB:$AB,MATCH($E53,VMMC!$E:$E,0)))</f>
        <v/>
      </c>
      <c r="AS53" s="10" t="str">
        <f aca="false">IF(OR($C53="01-09",$C53="10-14"),"",INDEX(PrEP!$Q:$Q,MATCH($E53,PrEP!$E:$E,0)))</f>
        <v/>
      </c>
      <c r="AT53" s="10" t="n">
        <f aca="false">IFERROR(1/(1/SUM($Y53,$AB53,$AE53,$AH53,$AK53,$AO53:$AS53)),"")</f>
        <v>17</v>
      </c>
      <c r="AU53" s="10" t="n">
        <f aca="false">IFERROR(1/(1/SUM($AT53,$AM53)),"")</f>
        <v>-65</v>
      </c>
      <c r="AV53" s="88" t="n">
        <f aca="false">IF(AND(SUM($AM53)=0,SUM($AU53)=0),"",$AM53/$AU53)</f>
        <v>1.26153846153846</v>
      </c>
      <c r="AW53" s="10"/>
      <c r="AX53" s="88" t="str">
        <f aca="false">IF(OR($C53="01-09",SUM($AW53)=0),"",0%)</f>
        <v/>
      </c>
      <c r="AY53" s="39" t="str">
        <f aca="false">IF(OR($C53="01-09",SUM($AW53)=0),"",ROUND($AW53*(1+$AX53),0))</f>
        <v/>
      </c>
      <c r="AZ53" s="88" t="str">
        <f aca="false">IF(OR($C53="01-09",$C53="10-14"),"",100%)</f>
        <v/>
      </c>
      <c r="BA53" s="39" t="str">
        <f aca="false">IF(OR(SUM($AM53)=0,$C53="01-09",$C53="10-14"),"",$AM53*$AZ53)</f>
        <v/>
      </c>
    </row>
    <row r="54" customFormat="false" ht="15" hidden="false" customHeight="false" outlineLevel="0" collapsed="false">
      <c r="A54" s="0" t="str">
        <f aca="false">INDEX(Prioritization!$D:$D,MATCH($B54,Prioritization!$A:$A,0))</f>
        <v>INVALID</v>
      </c>
      <c r="B54" s="0" t="s">
        <v>197</v>
      </c>
      <c r="C54" s="0" t="s">
        <v>364</v>
      </c>
      <c r="D54" s="0" t="s">
        <v>48</v>
      </c>
      <c r="E54" s="0" t="str">
        <f aca="false">$B54&amp;"|"&amp;$C54&amp;"|"&amp;$D54</f>
        <v>Kasungu District [JQKLKuVuY61]|10-14|Male</v>
      </c>
      <c r="F54" s="88" t="n">
        <f aca="false">IF(LEFT($B54,4)="_Mil","",INDEX(Cascade!$AA:$AA,MATCH($E54,Cascade!$E:$E,0)))</f>
        <v>1885</v>
      </c>
      <c r="G54" s="10" t="n">
        <f aca="false">INDEX(Cascade!$BH:$BH,MATCH($E54,Cascade!$E:$E,0))</f>
        <v>-99</v>
      </c>
      <c r="H54" s="10" t="str">
        <f aca="false">IF(OR($C54="01-09",$D54="Male"),"",INDEX(PMTCT!$AC:$AC,MATCH($E54,PMTCT!$E:$E,0)))</f>
        <v/>
      </c>
      <c r="I54" s="10" t="str">
        <f aca="false">IF(OR($C54="01-09",$D54="Male"),"",INDEX(PMTCT!$AS:$AS,MATCH($E54,PMTCT!$E:$E,0)))</f>
        <v/>
      </c>
      <c r="J54" s="10" t="str">
        <f aca="false">INDEX(TB!$P:$P,MATCH($E54,TB!$E:$E,0))</f>
        <v/>
      </c>
      <c r="K54" s="10" t="str">
        <f aca="false">IF(OR($C54="01-09",$C54="10-14",$D54="Female"),"",INDEX(VMMC!$AA:$AA,MATCH($E54,VMMC!$E:$E,0)))</f>
        <v/>
      </c>
      <c r="L54" s="10" t="n">
        <f aca="false">SUM($G54)-SUM($H54:$K54)</f>
        <v>-99</v>
      </c>
      <c r="M54" s="88" t="str">
        <f aca="false">IF(OR($C54="01-09",$D54="Male",AND(SUM($G54)=0,SUM($H54)=0)),"",SUM($H54)/SUM($G54))</f>
        <v/>
      </c>
      <c r="N54" s="88" t="str">
        <f aca="false">IF(OR($C54="01-09",$D54="Male",AND(SUM($G54)=0,SUM($I54)=0)),"",SUM($I54)/SUM($G54))</f>
        <v/>
      </c>
      <c r="O54" s="88" t="n">
        <f aca="false">IF(AND(SUM($G54)=0,SUM($J54)=0),"",SUM($J54)/SUM($G54))</f>
        <v>-0</v>
      </c>
      <c r="P54" s="88" t="str">
        <f aca="false">IF(OR($C54="01-09",$C54="10-14",$D54="Female",AND(SUM($G54)=0,SUM($K54)=0)),"",SUM($K54)/SUM($G54))</f>
        <v/>
      </c>
      <c r="Q54" s="88" t="n">
        <v>0.650892126839608</v>
      </c>
      <c r="R54" s="88"/>
      <c r="S54" s="88"/>
      <c r="T54" s="88"/>
      <c r="U54" s="88" t="n">
        <v>0.609204032225534</v>
      </c>
      <c r="V54" s="88" t="n">
        <f aca="false">IF(SUM($G54)=0,"",SUM($M54:$U54))</f>
        <v>1.26009615906514</v>
      </c>
      <c r="W54" s="88"/>
      <c r="X54" s="39" t="n">
        <f aca="false">IF(OR(SUM($G54)=0,SUM($Q54)=0),"",ROUND(SUM($G54)*SUM($Q54),0))</f>
        <v>-64</v>
      </c>
      <c r="Y54" s="39" t="str">
        <f aca="false">IF(SUM($X54)=0,"",IF(SUM($W54)=0,"ENTER YIELD",ROUND($X54/$W54,0)-$X54))</f>
        <v>ENTER YIELD</v>
      </c>
      <c r="Z54" s="88"/>
      <c r="AA54" s="39" t="str">
        <f aca="false">IF(OR(SUM($G54)=0,SUM($R54)=0),"",ROUND(SUM($G54)*SUM($R54),0))</f>
        <v/>
      </c>
      <c r="AB54" s="39" t="str">
        <f aca="false">IF(SUM($AA54)=0,"",IF(SUM($Z54)=0,"ENTER YIELD",ROUND($AA54/$Z54,0)-$AA54))</f>
        <v/>
      </c>
      <c r="AC54" s="88"/>
      <c r="AD54" s="39" t="str">
        <f aca="false">IF(OR(SUM($G54)=0,SUM($S54)=0),"",ROUND(SUM($G54)*SUM($S54),0))</f>
        <v/>
      </c>
      <c r="AE54" s="39" t="str">
        <f aca="false">IF(SUM($AD54)=0,"",IF(SUM($AC54)=0,"ENTER YIELD",ROUND($AD54/$AC54,0)-$AD54))</f>
        <v/>
      </c>
      <c r="AF54" s="88"/>
      <c r="AG54" s="39" t="str">
        <f aca="false">IF(OR(SUM($G54)=0,SUM($T54)=0),"",ROUND(SUM($G54)*SUM($T54),0))</f>
        <v/>
      </c>
      <c r="AH54" s="39" t="str">
        <f aca="false">IF(SUM($AG54)=0,"",IF(SUM($AF54)=0,"ENTER YIELD",ROUND($AG54/$AF54,0)-$AG54))</f>
        <v/>
      </c>
      <c r="AI54" s="88"/>
      <c r="AJ54" s="39" t="n">
        <f aca="false">IF(OR(SUM($G54)=0,SUM($U54)=0),"",ROUND(SUM($G54)*SUM($U54),0))</f>
        <v>-60</v>
      </c>
      <c r="AK54" s="39" t="str">
        <f aca="false">IF(SUM($AJ54)=0,"",IF(SUM($AI54)=0,"ENTER YIELD",ROUND($AJ54/$AI54,0)-$AJ54))</f>
        <v>ENTER YIELD</v>
      </c>
      <c r="AL54" s="10" t="n">
        <f aca="false">IF(SUM($G54)=0,"",$G54)</f>
        <v>-99</v>
      </c>
      <c r="AM54" s="10" t="n">
        <f aca="false">IFERROR(1/(1/SUM($H54:$K54,$X54,$AA54,$AD54,$AG54,$AJ54)),"")</f>
        <v>-124</v>
      </c>
      <c r="AN54" s="10" t="n">
        <f aca="false">IF(AND(SUM($AM54)=0,SUM($AL54)=0),"",$AM54-$AL54)</f>
        <v>-25</v>
      </c>
      <c r="AO54" s="10" t="str">
        <f aca="false">IF(OR($C54="01-09",$D54="Male"),"",INDEX(PMTCT!$AD:$AD,MATCH($E54,PMTCT!$E:$E,0)))</f>
        <v/>
      </c>
      <c r="AP54" s="10" t="str">
        <f aca="false">IF(OR($C54="01-09",$D54="Male"),"",INDEX(PMTCT!$AT:$AT,MATCH($E54,PMTCT!$E:$E,0)))</f>
        <v/>
      </c>
      <c r="AQ54" s="10" t="str">
        <f aca="false">INDEX(TB!$Q:$Q,MATCH($E54,TB!$E:$E,0))</f>
        <v/>
      </c>
      <c r="AR54" s="10" t="str">
        <f aca="false">IF(OR($C54="01-09",$C54="10-14",$D54="Female"),"",INDEX(VMMC!$AB:$AB,MATCH($E54,VMMC!$E:$E,0)))</f>
        <v/>
      </c>
      <c r="AS54" s="10" t="str">
        <f aca="false">IF(OR($C54="01-09",$C54="10-14"),"",INDEX(PrEP!$Q:$Q,MATCH($E54,PrEP!$E:$E,0)))</f>
        <v/>
      </c>
      <c r="AT54" s="10" t="str">
        <f aca="false">IFERROR(1/(1/SUM($Y54,$AB54,$AE54,$AH54,$AK54,$AO54:$AS54)),"")</f>
        <v/>
      </c>
      <c r="AU54" s="10" t="n">
        <f aca="false">IFERROR(1/(1/SUM($AT54,$AM54)),"")</f>
        <v>-124</v>
      </c>
      <c r="AV54" s="88" t="n">
        <f aca="false">IF(AND(SUM($AM54)=0,SUM($AU54)=0),"",$AM54/$AU54)</f>
        <v>1</v>
      </c>
      <c r="AW54" s="10"/>
      <c r="AX54" s="88" t="str">
        <f aca="false">IF(OR($C54="01-09",SUM($AW54)=0),"",0%)</f>
        <v/>
      </c>
      <c r="AY54" s="39" t="str">
        <f aca="false">IF(OR($C54="01-09",SUM($AW54)=0),"",ROUND($AW54*(1+$AX54),0))</f>
        <v/>
      </c>
      <c r="AZ54" s="88" t="str">
        <f aca="false">IF(OR($C54="01-09",$C54="10-14"),"",100%)</f>
        <v/>
      </c>
      <c r="BA54" s="39" t="str">
        <f aca="false">IF(OR(SUM($AM54)=0,$C54="01-09",$C54="10-14"),"",$AM54*$AZ54)</f>
        <v/>
      </c>
    </row>
    <row r="55" customFormat="false" ht="15" hidden="false" customHeight="false" outlineLevel="0" collapsed="false">
      <c r="A55" s="0" t="str">
        <f aca="false">INDEX(Prioritization!$D:$D,MATCH($B55,Prioritization!$A:$A,0))</f>
        <v>INVALID</v>
      </c>
      <c r="B55" s="0" t="s">
        <v>197</v>
      </c>
      <c r="C55" s="0" t="s">
        <v>365</v>
      </c>
      <c r="D55" s="0" t="s">
        <v>30</v>
      </c>
      <c r="E55" s="0" t="str">
        <f aca="false">$B55&amp;"|"&amp;$C55&amp;"|"&amp;$D55</f>
        <v>Kasungu District [JQKLKuVuY61]|15-24|Female</v>
      </c>
      <c r="F55" s="88" t="n">
        <f aca="false">IF(LEFT($B55,4)="_Mil","",INDEX(Cascade!$AA:$AA,MATCH($E55,Cascade!$E:$E,0)))</f>
        <v>1973</v>
      </c>
      <c r="G55" s="10" t="n">
        <f aca="false">INDEX(Cascade!$BH:$BH,MATCH($E55,Cascade!$E:$E,0))</f>
        <v>0</v>
      </c>
      <c r="H55" s="10" t="str">
        <f aca="false">IF(OR($C55="01-09",$D55="Male"),"",INDEX(PMTCT!$AC:$AC,MATCH($E55,PMTCT!$E:$E,0)))</f>
        <v/>
      </c>
      <c r="I55" s="10" t="str">
        <f aca="false">IF(OR($C55="01-09",$D55="Male"),"",INDEX(PMTCT!$AS:$AS,MATCH($E55,PMTCT!$E:$E,0)))</f>
        <v/>
      </c>
      <c r="J55" s="10" t="str">
        <f aca="false">INDEX(TB!$P:$P,MATCH($E55,TB!$E:$E,0))</f>
        <v/>
      </c>
      <c r="K55" s="10" t="str">
        <f aca="false">IF(OR($C55="01-09",$C55="10-14",$D55="Female"),"",INDEX(VMMC!$AA:$AA,MATCH($E55,VMMC!$E:$E,0)))</f>
        <v/>
      </c>
      <c r="L55" s="10" t="n">
        <f aca="false">SUM($G55)-SUM($H55:$K55)</f>
        <v>0</v>
      </c>
      <c r="M55" s="88" t="str">
        <f aca="false">IF(OR($C55="01-09",$D55="Male",AND(SUM($G55)=0,SUM($H55)=0)),"",SUM($H55)/SUM($G55))</f>
        <v/>
      </c>
      <c r="N55" s="88" t="str">
        <f aca="false">IF(OR($C55="01-09",$D55="Male",AND(SUM($G55)=0,SUM($I55)=0)),"",SUM($I55)/SUM($G55))</f>
        <v/>
      </c>
      <c r="O55" s="88" t="str">
        <f aca="false">IF(AND(SUM($G55)=0,SUM($J55)=0),"",SUM($J55)/SUM($G55))</f>
        <v/>
      </c>
      <c r="P55" s="88" t="str">
        <f aca="false">IF(OR($C55="01-09",$C55="10-14",$D55="Female",AND(SUM($G55)=0,SUM($K55)=0)),"",SUM($K55)/SUM($G55))</f>
        <v/>
      </c>
      <c r="Q55" s="88"/>
      <c r="R55" s="88"/>
      <c r="S55" s="88"/>
      <c r="T55" s="88"/>
      <c r="U55" s="88"/>
      <c r="V55" s="88" t="str">
        <f aca="false">IF(SUM($G55)=0,"",SUM($M55:$U55))</f>
        <v/>
      </c>
      <c r="W55" s="88"/>
      <c r="X55" s="39" t="str">
        <f aca="false">IF(OR(SUM($G55)=0,SUM($Q55)=0),"",ROUND(SUM($G55)*SUM($Q55),0))</f>
        <v/>
      </c>
      <c r="Y55" s="39" t="str">
        <f aca="false">IF(SUM($X55)=0,"",IF(SUM($W55)=0,"ENTER YIELD",ROUND($X55/$W55,0)-$X55))</f>
        <v/>
      </c>
      <c r="Z55" s="88"/>
      <c r="AA55" s="39" t="str">
        <f aca="false">IF(OR(SUM($G55)=0,SUM($R55)=0),"",ROUND(SUM($G55)*SUM($R55),0))</f>
        <v/>
      </c>
      <c r="AB55" s="39" t="str">
        <f aca="false">IF(SUM($AA55)=0,"",IF(SUM($Z55)=0,"ENTER YIELD",ROUND($AA55/$Z55,0)-$AA55))</f>
        <v/>
      </c>
      <c r="AC55" s="88"/>
      <c r="AD55" s="39" t="str">
        <f aca="false">IF(OR(SUM($G55)=0,SUM($S55)=0),"",ROUND(SUM($G55)*SUM($S55),0))</f>
        <v/>
      </c>
      <c r="AE55" s="39" t="str">
        <f aca="false">IF(SUM($AD55)=0,"",IF(SUM($AC55)=0,"ENTER YIELD",ROUND($AD55/$AC55,0)-$AD55))</f>
        <v/>
      </c>
      <c r="AF55" s="88"/>
      <c r="AG55" s="39" t="str">
        <f aca="false">IF(OR(SUM($G55)=0,SUM($T55)=0),"",ROUND(SUM($G55)*SUM($T55),0))</f>
        <v/>
      </c>
      <c r="AH55" s="39" t="str">
        <f aca="false">IF(SUM($AG55)=0,"",IF(SUM($AF55)=0,"ENTER YIELD",ROUND($AG55/$AF55,0)-$AG55))</f>
        <v/>
      </c>
      <c r="AI55" s="88"/>
      <c r="AJ55" s="39" t="str">
        <f aca="false">IF(OR(SUM($G55)=0,SUM($U55)=0),"",ROUND(SUM($G55)*SUM($U55),0))</f>
        <v/>
      </c>
      <c r="AK55" s="39" t="str">
        <f aca="false">IF(SUM($AJ55)=0,"",IF(SUM($AI55)=0,"ENTER YIELD",ROUND($AJ55/$AI55,0)-$AJ55))</f>
        <v/>
      </c>
      <c r="AL55" s="10" t="str">
        <f aca="false">IF(SUM($G55)=0,"",$G55)</f>
        <v/>
      </c>
      <c r="AM55" s="10" t="str">
        <f aca="false">IFERROR(1/(1/SUM($H55:$K55,$X55,$AA55,$AD55,$AG55,$AJ55)),"")</f>
        <v/>
      </c>
      <c r="AN55" s="10" t="str">
        <f aca="false">IF(AND(SUM($AM55)=0,SUM($AL55)=0),"",$AM55-$AL55)</f>
        <v/>
      </c>
      <c r="AO55" s="10" t="str">
        <f aca="false">IF(OR($C55="01-09",$D55="Male"),"",INDEX(PMTCT!$AD:$AD,MATCH($E55,PMTCT!$E:$E,0)))</f>
        <v/>
      </c>
      <c r="AP55" s="10" t="str">
        <f aca="false">IF(OR($C55="01-09",$D55="Male"),"",INDEX(PMTCT!$AT:$AT,MATCH($E55,PMTCT!$E:$E,0)))</f>
        <v/>
      </c>
      <c r="AQ55" s="10" t="str">
        <f aca="false">INDEX(TB!$Q:$Q,MATCH($E55,TB!$E:$E,0))</f>
        <v/>
      </c>
      <c r="AR55" s="10" t="str">
        <f aca="false">IF(OR($C55="01-09",$C55="10-14",$D55="Female"),"",INDEX(VMMC!$AB:$AB,MATCH($E55,VMMC!$E:$E,0)))</f>
        <v/>
      </c>
      <c r="AS55" s="10" t="str">
        <f aca="false">IF(OR($C55="01-09",$C55="10-14"),"",INDEX(PrEP!$Q:$Q,MATCH($E55,PrEP!$E:$E,0)))</f>
        <v/>
      </c>
      <c r="AT55" s="10" t="str">
        <f aca="false">IFERROR(1/(1/SUM($Y55,$AB55,$AE55,$AH55,$AK55,$AO55:$AS55)),"")</f>
        <v/>
      </c>
      <c r="AU55" s="10" t="str">
        <f aca="false">IFERROR(1/(1/SUM($AT55,$AM55)),"")</f>
        <v/>
      </c>
      <c r="AV55" s="88" t="str">
        <f aca="false">IF(AND(SUM($AM55)=0,SUM($AU55)=0),"",$AM55/$AU55)</f>
        <v/>
      </c>
      <c r="AW55" s="10"/>
      <c r="AX55" s="88" t="str">
        <f aca="false">IF(OR($C55="01-09",SUM($AW55)=0),"",0%)</f>
        <v/>
      </c>
      <c r="AY55" s="39" t="str">
        <f aca="false">IF(OR($C55="01-09",SUM($AW55)=0),"",ROUND($AW55*(1+$AX55),0))</f>
        <v/>
      </c>
      <c r="AZ55" s="88" t="n">
        <f aca="false">IF(OR($C55="01-09",$C55="10-14"),"",100%)</f>
        <v>1</v>
      </c>
      <c r="BA55" s="39" t="str">
        <f aca="false">IF(OR(SUM($AM55)=0,$C55="01-09",$C55="10-14"),"",$AM55*$AZ55)</f>
        <v/>
      </c>
    </row>
    <row r="56" customFormat="false" ht="15" hidden="false" customHeight="false" outlineLevel="0" collapsed="false">
      <c r="A56" s="0" t="str">
        <f aca="false">INDEX(Prioritization!$D:$D,MATCH($B56,Prioritization!$A:$A,0))</f>
        <v>INVALID</v>
      </c>
      <c r="B56" s="0" t="s">
        <v>197</v>
      </c>
      <c r="C56" s="0" t="s">
        <v>365</v>
      </c>
      <c r="D56" s="0" t="s">
        <v>48</v>
      </c>
      <c r="E56" s="0" t="str">
        <f aca="false">$B56&amp;"|"&amp;$C56&amp;"|"&amp;$D56</f>
        <v>Kasungu District [JQKLKuVuY61]|15-24|Male</v>
      </c>
      <c r="F56" s="88" t="n">
        <f aca="false">IF(LEFT($B56,4)="_Mil","",INDEX(Cascade!$AA:$AA,MATCH($E56,Cascade!$E:$E,0)))</f>
        <v>1382</v>
      </c>
      <c r="G56" s="10" t="n">
        <f aca="false">INDEX(Cascade!$BH:$BH,MATCH($E56,Cascade!$E:$E,0))</f>
        <v>0</v>
      </c>
      <c r="H56" s="10" t="str">
        <f aca="false">IF(OR($C56="01-09",$D56="Male"),"",INDEX(PMTCT!$AC:$AC,MATCH($E56,PMTCT!$E:$E,0)))</f>
        <v/>
      </c>
      <c r="I56" s="10" t="str">
        <f aca="false">IF(OR($C56="01-09",$D56="Male"),"",INDEX(PMTCT!$AS:$AS,MATCH($E56,PMTCT!$E:$E,0)))</f>
        <v/>
      </c>
      <c r="J56" s="10" t="str">
        <f aca="false">INDEX(TB!$P:$P,MATCH($E56,TB!$E:$E,0))</f>
        <v/>
      </c>
      <c r="K56" s="10" t="str">
        <f aca="false">IF(OR($C56="01-09",$C56="10-14",$D56="Female"),"",INDEX(VMMC!$AA:$AA,MATCH($E56,VMMC!$E:$E,0)))</f>
        <v/>
      </c>
      <c r="L56" s="10" t="n">
        <f aca="false">SUM($G56)-SUM($H56:$K56)</f>
        <v>0</v>
      </c>
      <c r="M56" s="88" t="str">
        <f aca="false">IF(OR($C56="01-09",$D56="Male",AND(SUM($G56)=0,SUM($H56)=0)),"",SUM($H56)/SUM($G56))</f>
        <v/>
      </c>
      <c r="N56" s="88" t="str">
        <f aca="false">IF(OR($C56="01-09",$D56="Male",AND(SUM($G56)=0,SUM($I56)=0)),"",SUM($I56)/SUM($G56))</f>
        <v/>
      </c>
      <c r="O56" s="88" t="str">
        <f aca="false">IF(AND(SUM($G56)=0,SUM($J56)=0),"",SUM($J56)/SUM($G56))</f>
        <v/>
      </c>
      <c r="P56" s="88" t="str">
        <f aca="false">IF(OR($C56="01-09",$C56="10-14",$D56="Female",AND(SUM($G56)=0,SUM($K56)=0)),"",SUM($K56)/SUM($G56))</f>
        <v/>
      </c>
      <c r="Q56" s="88"/>
      <c r="R56" s="88"/>
      <c r="S56" s="88"/>
      <c r="T56" s="88"/>
      <c r="U56" s="88"/>
      <c r="V56" s="88" t="str">
        <f aca="false">IF(SUM($G56)=0,"",SUM($M56:$U56))</f>
        <v/>
      </c>
      <c r="W56" s="88"/>
      <c r="X56" s="39" t="str">
        <f aca="false">IF(OR(SUM($G56)=0,SUM($Q56)=0),"",ROUND(SUM($G56)*SUM($Q56),0))</f>
        <v/>
      </c>
      <c r="Y56" s="39" t="str">
        <f aca="false">IF(SUM($X56)=0,"",IF(SUM($W56)=0,"ENTER YIELD",ROUND($X56/$W56,0)-$X56))</f>
        <v/>
      </c>
      <c r="Z56" s="88"/>
      <c r="AA56" s="39" t="str">
        <f aca="false">IF(OR(SUM($G56)=0,SUM($R56)=0),"",ROUND(SUM($G56)*SUM($R56),0))</f>
        <v/>
      </c>
      <c r="AB56" s="39" t="str">
        <f aca="false">IF(SUM($AA56)=0,"",IF(SUM($Z56)=0,"ENTER YIELD",ROUND($AA56/$Z56,0)-$AA56))</f>
        <v/>
      </c>
      <c r="AC56" s="88"/>
      <c r="AD56" s="39" t="str">
        <f aca="false">IF(OR(SUM($G56)=0,SUM($S56)=0),"",ROUND(SUM($G56)*SUM($S56),0))</f>
        <v/>
      </c>
      <c r="AE56" s="39" t="str">
        <f aca="false">IF(SUM($AD56)=0,"",IF(SUM($AC56)=0,"ENTER YIELD",ROUND($AD56/$AC56,0)-$AD56))</f>
        <v/>
      </c>
      <c r="AF56" s="88"/>
      <c r="AG56" s="39" t="str">
        <f aca="false">IF(OR(SUM($G56)=0,SUM($T56)=0),"",ROUND(SUM($G56)*SUM($T56),0))</f>
        <v/>
      </c>
      <c r="AH56" s="39" t="str">
        <f aca="false">IF(SUM($AG56)=0,"",IF(SUM($AF56)=0,"ENTER YIELD",ROUND($AG56/$AF56,0)-$AG56))</f>
        <v/>
      </c>
      <c r="AI56" s="88"/>
      <c r="AJ56" s="39" t="str">
        <f aca="false">IF(OR(SUM($G56)=0,SUM($U56)=0),"",ROUND(SUM($G56)*SUM($U56),0))</f>
        <v/>
      </c>
      <c r="AK56" s="39" t="str">
        <f aca="false">IF(SUM($AJ56)=0,"",IF(SUM($AI56)=0,"ENTER YIELD",ROUND($AJ56/$AI56,0)-$AJ56))</f>
        <v/>
      </c>
      <c r="AL56" s="10" t="str">
        <f aca="false">IF(SUM($G56)=0,"",$G56)</f>
        <v/>
      </c>
      <c r="AM56" s="10" t="str">
        <f aca="false">IFERROR(1/(1/SUM($H56:$K56,$X56,$AA56,$AD56,$AG56,$AJ56)),"")</f>
        <v/>
      </c>
      <c r="AN56" s="10" t="str">
        <f aca="false">IF(AND(SUM($AM56)=0,SUM($AL56)=0),"",$AM56-$AL56)</f>
        <v/>
      </c>
      <c r="AO56" s="10" t="str">
        <f aca="false">IF(OR($C56="01-09",$D56="Male"),"",INDEX(PMTCT!$AD:$AD,MATCH($E56,PMTCT!$E:$E,0)))</f>
        <v/>
      </c>
      <c r="AP56" s="10" t="str">
        <f aca="false">IF(OR($C56="01-09",$D56="Male"),"",INDEX(PMTCT!$AT:$AT,MATCH($E56,PMTCT!$E:$E,0)))</f>
        <v/>
      </c>
      <c r="AQ56" s="10" t="str">
        <f aca="false">INDEX(TB!$Q:$Q,MATCH($E56,TB!$E:$E,0))</f>
        <v/>
      </c>
      <c r="AR56" s="10" t="str">
        <f aca="false">IF(OR($C56="01-09",$C56="10-14",$D56="Female"),"",INDEX(VMMC!$AB:$AB,MATCH($E56,VMMC!$E:$E,0)))</f>
        <v/>
      </c>
      <c r="AS56" s="10" t="str">
        <f aca="false">IF(OR($C56="01-09",$C56="10-14"),"",INDEX(PrEP!$Q:$Q,MATCH($E56,PrEP!$E:$E,0)))</f>
        <v/>
      </c>
      <c r="AT56" s="10" t="str">
        <f aca="false">IFERROR(1/(1/SUM($Y56,$AB56,$AE56,$AH56,$AK56,$AO56:$AS56)),"")</f>
        <v/>
      </c>
      <c r="AU56" s="10" t="str">
        <f aca="false">IFERROR(1/(1/SUM($AT56,$AM56)),"")</f>
        <v/>
      </c>
      <c r="AV56" s="88" t="str">
        <f aca="false">IF(AND(SUM($AM56)=0,SUM($AU56)=0),"",$AM56/$AU56)</f>
        <v/>
      </c>
      <c r="AW56" s="10"/>
      <c r="AX56" s="88" t="str">
        <f aca="false">IF(OR($C56="01-09",SUM($AW56)=0),"",0%)</f>
        <v/>
      </c>
      <c r="AY56" s="39" t="str">
        <f aca="false">IF(OR($C56="01-09",SUM($AW56)=0),"",ROUND($AW56*(1+$AX56),0))</f>
        <v/>
      </c>
      <c r="AZ56" s="88" t="n">
        <f aca="false">IF(OR($C56="01-09",$C56="10-14"),"",100%)</f>
        <v>1</v>
      </c>
      <c r="BA56" s="39" t="str">
        <f aca="false">IF(OR(SUM($AM56)=0,$C56="01-09",$C56="10-14"),"",$AM56*$AZ56)</f>
        <v/>
      </c>
    </row>
    <row r="57" customFormat="false" ht="15" hidden="false" customHeight="false" outlineLevel="0" collapsed="false">
      <c r="A57" s="0" t="str">
        <f aca="false">INDEX(Prioritization!$D:$D,MATCH($B57,Prioritization!$A:$A,0))</f>
        <v>INVALID</v>
      </c>
      <c r="B57" s="0" t="s">
        <v>197</v>
      </c>
      <c r="C57" s="0" t="s">
        <v>366</v>
      </c>
      <c r="D57" s="0" t="s">
        <v>30</v>
      </c>
      <c r="E57" s="0" t="str">
        <f aca="false">$B57&amp;"|"&amp;$C57&amp;"|"&amp;$D57</f>
        <v>Kasungu District [JQKLKuVuY61]|25-34|Female</v>
      </c>
      <c r="F57" s="88" t="n">
        <f aca="false">IF(LEFT($B57,4)="_Mil","",INDEX(Cascade!$AA:$AA,MATCH($E57,Cascade!$E:$E,0)))</f>
        <v>1159</v>
      </c>
      <c r="G57" s="10" t="n">
        <f aca="false">INDEX(Cascade!$BH:$BH,MATCH($E57,Cascade!$E:$E,0))</f>
        <v>0</v>
      </c>
      <c r="H57" s="10" t="str">
        <f aca="false">IF(OR($C57="01-09",$D57="Male"),"",INDEX(PMTCT!$AC:$AC,MATCH($E57,PMTCT!$E:$E,0)))</f>
        <v/>
      </c>
      <c r="I57" s="10" t="str">
        <f aca="false">IF(OR($C57="01-09",$D57="Male"),"",INDEX(PMTCT!$AS:$AS,MATCH($E57,PMTCT!$E:$E,0)))</f>
        <v/>
      </c>
      <c r="J57" s="10" t="str">
        <f aca="false">INDEX(TB!$P:$P,MATCH($E57,TB!$E:$E,0))</f>
        <v/>
      </c>
      <c r="K57" s="10" t="str">
        <f aca="false">IF(OR($C57="01-09",$C57="10-14",$D57="Female"),"",INDEX(VMMC!$AA:$AA,MATCH($E57,VMMC!$E:$E,0)))</f>
        <v/>
      </c>
      <c r="L57" s="10" t="n">
        <f aca="false">SUM($G57)-SUM($H57:$K57)</f>
        <v>0</v>
      </c>
      <c r="M57" s="88" t="str">
        <f aca="false">IF(OR($C57="01-09",$D57="Male",AND(SUM($G57)=0,SUM($H57)=0)),"",SUM($H57)/SUM($G57))</f>
        <v/>
      </c>
      <c r="N57" s="88" t="str">
        <f aca="false">IF(OR($C57="01-09",$D57="Male",AND(SUM($G57)=0,SUM($I57)=0)),"",SUM($I57)/SUM($G57))</f>
        <v/>
      </c>
      <c r="O57" s="88" t="str">
        <f aca="false">IF(AND(SUM($G57)=0,SUM($J57)=0),"",SUM($J57)/SUM($G57))</f>
        <v/>
      </c>
      <c r="P57" s="88" t="str">
        <f aca="false">IF(OR($C57="01-09",$C57="10-14",$D57="Female",AND(SUM($G57)=0,SUM($K57)=0)),"",SUM($K57)/SUM($G57))</f>
        <v/>
      </c>
      <c r="Q57" s="88"/>
      <c r="R57" s="88"/>
      <c r="S57" s="88"/>
      <c r="T57" s="88"/>
      <c r="U57" s="88"/>
      <c r="V57" s="88" t="str">
        <f aca="false">IF(SUM($G57)=0,"",SUM($M57:$U57))</f>
        <v/>
      </c>
      <c r="W57" s="88"/>
      <c r="X57" s="39" t="str">
        <f aca="false">IF(OR(SUM($G57)=0,SUM($Q57)=0),"",ROUND(SUM($G57)*SUM($Q57),0))</f>
        <v/>
      </c>
      <c r="Y57" s="39" t="str">
        <f aca="false">IF(SUM($X57)=0,"",IF(SUM($W57)=0,"ENTER YIELD",ROUND($X57/$W57,0)-$X57))</f>
        <v/>
      </c>
      <c r="Z57" s="88"/>
      <c r="AA57" s="39" t="str">
        <f aca="false">IF(OR(SUM($G57)=0,SUM($R57)=0),"",ROUND(SUM($G57)*SUM($R57),0))</f>
        <v/>
      </c>
      <c r="AB57" s="39" t="str">
        <f aca="false">IF(SUM($AA57)=0,"",IF(SUM($Z57)=0,"ENTER YIELD",ROUND($AA57/$Z57,0)-$AA57))</f>
        <v/>
      </c>
      <c r="AC57" s="88"/>
      <c r="AD57" s="39" t="str">
        <f aca="false">IF(OR(SUM($G57)=0,SUM($S57)=0),"",ROUND(SUM($G57)*SUM($S57),0))</f>
        <v/>
      </c>
      <c r="AE57" s="39" t="str">
        <f aca="false">IF(SUM($AD57)=0,"",IF(SUM($AC57)=0,"ENTER YIELD",ROUND($AD57/$AC57,0)-$AD57))</f>
        <v/>
      </c>
      <c r="AF57" s="88"/>
      <c r="AG57" s="39" t="str">
        <f aca="false">IF(OR(SUM($G57)=0,SUM($T57)=0),"",ROUND(SUM($G57)*SUM($T57),0))</f>
        <v/>
      </c>
      <c r="AH57" s="39" t="str">
        <f aca="false">IF(SUM($AG57)=0,"",IF(SUM($AF57)=0,"ENTER YIELD",ROUND($AG57/$AF57,0)-$AG57))</f>
        <v/>
      </c>
      <c r="AI57" s="88"/>
      <c r="AJ57" s="39" t="str">
        <f aca="false">IF(OR(SUM($G57)=0,SUM($U57)=0),"",ROUND(SUM($G57)*SUM($U57),0))</f>
        <v/>
      </c>
      <c r="AK57" s="39" t="str">
        <f aca="false">IF(SUM($AJ57)=0,"",IF(SUM($AI57)=0,"ENTER YIELD",ROUND($AJ57/$AI57,0)-$AJ57))</f>
        <v/>
      </c>
      <c r="AL57" s="10" t="str">
        <f aca="false">IF(SUM($G57)=0,"",$G57)</f>
        <v/>
      </c>
      <c r="AM57" s="10" t="str">
        <f aca="false">IFERROR(1/(1/SUM($H57:$K57,$X57,$AA57,$AD57,$AG57,$AJ57)),"")</f>
        <v/>
      </c>
      <c r="AN57" s="10" t="str">
        <f aca="false">IF(AND(SUM($AM57)=0,SUM($AL57)=0),"",$AM57-$AL57)</f>
        <v/>
      </c>
      <c r="AO57" s="10" t="str">
        <f aca="false">IF(OR($C57="01-09",$D57="Male"),"",INDEX(PMTCT!$AD:$AD,MATCH($E57,PMTCT!$E:$E,0)))</f>
        <v/>
      </c>
      <c r="AP57" s="10" t="str">
        <f aca="false">IF(OR($C57="01-09",$D57="Male"),"",INDEX(PMTCT!$AT:$AT,MATCH($E57,PMTCT!$E:$E,0)))</f>
        <v/>
      </c>
      <c r="AQ57" s="10" t="str">
        <f aca="false">INDEX(TB!$Q:$Q,MATCH($E57,TB!$E:$E,0))</f>
        <v/>
      </c>
      <c r="AR57" s="10" t="str">
        <f aca="false">IF(OR($C57="01-09",$C57="10-14",$D57="Female"),"",INDEX(VMMC!$AB:$AB,MATCH($E57,VMMC!$E:$E,0)))</f>
        <v/>
      </c>
      <c r="AS57" s="10" t="str">
        <f aca="false">IF(OR($C57="01-09",$C57="10-14"),"",INDEX(PrEP!$Q:$Q,MATCH($E57,PrEP!$E:$E,0)))</f>
        <v/>
      </c>
      <c r="AT57" s="10" t="str">
        <f aca="false">IFERROR(1/(1/SUM($Y57,$AB57,$AE57,$AH57,$AK57,$AO57:$AS57)),"")</f>
        <v/>
      </c>
      <c r="AU57" s="10" t="str">
        <f aca="false">IFERROR(1/(1/SUM($AT57,$AM57)),"")</f>
        <v/>
      </c>
      <c r="AV57" s="88" t="str">
        <f aca="false">IF(AND(SUM($AM57)=0,SUM($AU57)=0),"",$AM57/$AU57)</f>
        <v/>
      </c>
      <c r="AW57" s="10"/>
      <c r="AX57" s="88" t="str">
        <f aca="false">IF(OR($C57="01-09",SUM($AW57)=0),"",0%)</f>
        <v/>
      </c>
      <c r="AY57" s="39" t="str">
        <f aca="false">IF(OR($C57="01-09",SUM($AW57)=0),"",ROUND($AW57*(1+$AX57),0))</f>
        <v/>
      </c>
      <c r="AZ57" s="88" t="n">
        <f aca="false">IF(OR($C57="01-09",$C57="10-14"),"",100%)</f>
        <v>1</v>
      </c>
      <c r="BA57" s="39" t="str">
        <f aca="false">IF(OR(SUM($AM57)=0,$C57="01-09",$C57="10-14"),"",$AM57*$AZ57)</f>
        <v/>
      </c>
    </row>
    <row r="58" customFormat="false" ht="15" hidden="false" customHeight="false" outlineLevel="0" collapsed="false">
      <c r="A58" s="0" t="str">
        <f aca="false">INDEX(Prioritization!$D:$D,MATCH($B58,Prioritization!$A:$A,0))</f>
        <v>INVALID</v>
      </c>
      <c r="B58" s="0" t="s">
        <v>197</v>
      </c>
      <c r="C58" s="0" t="s">
        <v>366</v>
      </c>
      <c r="D58" s="0" t="s">
        <v>48</v>
      </c>
      <c r="E58" s="0" t="str">
        <f aca="false">$B58&amp;"|"&amp;$C58&amp;"|"&amp;$D58</f>
        <v>Kasungu District [JQKLKuVuY61]|25-34|Male</v>
      </c>
      <c r="F58" s="88" t="n">
        <f aca="false">IF(LEFT($B58,4)="_Mil","",INDEX(Cascade!$AA:$AA,MATCH($E58,Cascade!$E:$E,0)))</f>
        <v>1340</v>
      </c>
      <c r="G58" s="10" t="n">
        <f aca="false">INDEX(Cascade!$BH:$BH,MATCH($E58,Cascade!$E:$E,0))</f>
        <v>0</v>
      </c>
      <c r="H58" s="10" t="str">
        <f aca="false">IF(OR($C58="01-09",$D58="Male"),"",INDEX(PMTCT!$AC:$AC,MATCH($E58,PMTCT!$E:$E,0)))</f>
        <v/>
      </c>
      <c r="I58" s="10" t="str">
        <f aca="false">IF(OR($C58="01-09",$D58="Male"),"",INDEX(PMTCT!$AS:$AS,MATCH($E58,PMTCT!$E:$E,0)))</f>
        <v/>
      </c>
      <c r="J58" s="10" t="str">
        <f aca="false">INDEX(TB!$P:$P,MATCH($E58,TB!$E:$E,0))</f>
        <v/>
      </c>
      <c r="K58" s="10" t="str">
        <f aca="false">IF(OR($C58="01-09",$C58="10-14",$D58="Female"),"",INDEX(VMMC!$AA:$AA,MATCH($E58,VMMC!$E:$E,0)))</f>
        <v/>
      </c>
      <c r="L58" s="10" t="n">
        <f aca="false">SUM($G58)-SUM($H58:$K58)</f>
        <v>0</v>
      </c>
      <c r="M58" s="88" t="str">
        <f aca="false">IF(OR($C58="01-09",$D58="Male",AND(SUM($G58)=0,SUM($H58)=0)),"",SUM($H58)/SUM($G58))</f>
        <v/>
      </c>
      <c r="N58" s="88" t="str">
        <f aca="false">IF(OR($C58="01-09",$D58="Male",AND(SUM($G58)=0,SUM($I58)=0)),"",SUM($I58)/SUM($G58))</f>
        <v/>
      </c>
      <c r="O58" s="88" t="str">
        <f aca="false">IF(AND(SUM($G58)=0,SUM($J58)=0),"",SUM($J58)/SUM($G58))</f>
        <v/>
      </c>
      <c r="P58" s="88" t="str">
        <f aca="false">IF(OR($C58="01-09",$C58="10-14",$D58="Female",AND(SUM($G58)=0,SUM($K58)=0)),"",SUM($K58)/SUM($G58))</f>
        <v/>
      </c>
      <c r="Q58" s="88"/>
      <c r="R58" s="88"/>
      <c r="S58" s="88"/>
      <c r="T58" s="88"/>
      <c r="U58" s="88"/>
      <c r="V58" s="88" t="str">
        <f aca="false">IF(SUM($G58)=0,"",SUM($M58:$U58))</f>
        <v/>
      </c>
      <c r="W58" s="88"/>
      <c r="X58" s="39" t="str">
        <f aca="false">IF(OR(SUM($G58)=0,SUM($Q58)=0),"",ROUND(SUM($G58)*SUM($Q58),0))</f>
        <v/>
      </c>
      <c r="Y58" s="39" t="str">
        <f aca="false">IF(SUM($X58)=0,"",IF(SUM($W58)=0,"ENTER YIELD",ROUND($X58/$W58,0)-$X58))</f>
        <v/>
      </c>
      <c r="Z58" s="88"/>
      <c r="AA58" s="39" t="str">
        <f aca="false">IF(OR(SUM($G58)=0,SUM($R58)=0),"",ROUND(SUM($G58)*SUM($R58),0))</f>
        <v/>
      </c>
      <c r="AB58" s="39" t="str">
        <f aca="false">IF(SUM($AA58)=0,"",IF(SUM($Z58)=0,"ENTER YIELD",ROUND($AA58/$Z58,0)-$AA58))</f>
        <v/>
      </c>
      <c r="AC58" s="88"/>
      <c r="AD58" s="39" t="str">
        <f aca="false">IF(OR(SUM($G58)=0,SUM($S58)=0),"",ROUND(SUM($G58)*SUM($S58),0))</f>
        <v/>
      </c>
      <c r="AE58" s="39" t="str">
        <f aca="false">IF(SUM($AD58)=0,"",IF(SUM($AC58)=0,"ENTER YIELD",ROUND($AD58/$AC58,0)-$AD58))</f>
        <v/>
      </c>
      <c r="AF58" s="88"/>
      <c r="AG58" s="39" t="str">
        <f aca="false">IF(OR(SUM($G58)=0,SUM($T58)=0),"",ROUND(SUM($G58)*SUM($T58),0))</f>
        <v/>
      </c>
      <c r="AH58" s="39" t="str">
        <f aca="false">IF(SUM($AG58)=0,"",IF(SUM($AF58)=0,"ENTER YIELD",ROUND($AG58/$AF58,0)-$AG58))</f>
        <v/>
      </c>
      <c r="AI58" s="88"/>
      <c r="AJ58" s="39" t="str">
        <f aca="false">IF(OR(SUM($G58)=0,SUM($U58)=0),"",ROUND(SUM($G58)*SUM($U58),0))</f>
        <v/>
      </c>
      <c r="AK58" s="39" t="str">
        <f aca="false">IF(SUM($AJ58)=0,"",IF(SUM($AI58)=0,"ENTER YIELD",ROUND($AJ58/$AI58,0)-$AJ58))</f>
        <v/>
      </c>
      <c r="AL58" s="10" t="str">
        <f aca="false">IF(SUM($G58)=0,"",$G58)</f>
        <v/>
      </c>
      <c r="AM58" s="10" t="str">
        <f aca="false">IFERROR(1/(1/SUM($H58:$K58,$X58,$AA58,$AD58,$AG58,$AJ58)),"")</f>
        <v/>
      </c>
      <c r="AN58" s="10" t="str">
        <f aca="false">IF(AND(SUM($AM58)=0,SUM($AL58)=0),"",$AM58-$AL58)</f>
        <v/>
      </c>
      <c r="AO58" s="10" t="str">
        <f aca="false">IF(OR($C58="01-09",$D58="Male"),"",INDEX(PMTCT!$AD:$AD,MATCH($E58,PMTCT!$E:$E,0)))</f>
        <v/>
      </c>
      <c r="AP58" s="10" t="str">
        <f aca="false">IF(OR($C58="01-09",$D58="Male"),"",INDEX(PMTCT!$AT:$AT,MATCH($E58,PMTCT!$E:$E,0)))</f>
        <v/>
      </c>
      <c r="AQ58" s="10" t="str">
        <f aca="false">INDEX(TB!$Q:$Q,MATCH($E58,TB!$E:$E,0))</f>
        <v/>
      </c>
      <c r="AR58" s="10" t="str">
        <f aca="false">IF(OR($C58="01-09",$C58="10-14",$D58="Female"),"",INDEX(VMMC!$AB:$AB,MATCH($E58,VMMC!$E:$E,0)))</f>
        <v/>
      </c>
      <c r="AS58" s="10" t="str">
        <f aca="false">IF(OR($C58="01-09",$C58="10-14"),"",INDEX(PrEP!$Q:$Q,MATCH($E58,PrEP!$E:$E,0)))</f>
        <v/>
      </c>
      <c r="AT58" s="10" t="str">
        <f aca="false">IFERROR(1/(1/SUM($Y58,$AB58,$AE58,$AH58,$AK58,$AO58:$AS58)),"")</f>
        <v/>
      </c>
      <c r="AU58" s="10" t="str">
        <f aca="false">IFERROR(1/(1/SUM($AT58,$AM58)),"")</f>
        <v/>
      </c>
      <c r="AV58" s="88" t="str">
        <f aca="false">IF(AND(SUM($AM58)=0,SUM($AU58)=0),"",$AM58/$AU58)</f>
        <v/>
      </c>
      <c r="AW58" s="10"/>
      <c r="AX58" s="88" t="str">
        <f aca="false">IF(OR($C58="01-09",SUM($AW58)=0),"",0%)</f>
        <v/>
      </c>
      <c r="AY58" s="39" t="str">
        <f aca="false">IF(OR($C58="01-09",SUM($AW58)=0),"",ROUND($AW58*(1+$AX58),0))</f>
        <v/>
      </c>
      <c r="AZ58" s="88" t="n">
        <f aca="false">IF(OR($C58="01-09",$C58="10-14"),"",100%)</f>
        <v>1</v>
      </c>
      <c r="BA58" s="39" t="str">
        <f aca="false">IF(OR(SUM($AM58)=0,$C58="01-09",$C58="10-14"),"",$AM58*$AZ58)</f>
        <v/>
      </c>
    </row>
    <row r="59" customFormat="false" ht="15" hidden="false" customHeight="false" outlineLevel="0" collapsed="false">
      <c r="A59" s="0" t="str">
        <f aca="false">INDEX(Prioritization!$D:$D,MATCH($B59,Prioritization!$A:$A,0))</f>
        <v>INVALID</v>
      </c>
      <c r="B59" s="0" t="s">
        <v>197</v>
      </c>
      <c r="C59" s="0" t="s">
        <v>367</v>
      </c>
      <c r="D59" s="0" t="s">
        <v>30</v>
      </c>
      <c r="E59" s="0" t="str">
        <f aca="false">$B59&amp;"|"&amp;$C59&amp;"|"&amp;$D59</f>
        <v>Kasungu District [JQKLKuVuY61]|35-49|Female</v>
      </c>
      <c r="F59" s="88" t="n">
        <f aca="false">IF(LEFT($B59,4)="_Mil","",INDEX(Cascade!$AA:$AA,MATCH($E59,Cascade!$E:$E,0)))</f>
        <v>1063</v>
      </c>
      <c r="G59" s="10" t="n">
        <f aca="false">INDEX(Cascade!$BH:$BH,MATCH($E59,Cascade!$E:$E,0))</f>
        <v>0</v>
      </c>
      <c r="H59" s="10" t="str">
        <f aca="false">IF(OR($C59="01-09",$D59="Male"),"",INDEX(PMTCT!$AC:$AC,MATCH($E59,PMTCT!$E:$E,0)))</f>
        <v/>
      </c>
      <c r="I59" s="10" t="str">
        <f aca="false">IF(OR($C59="01-09",$D59="Male"),"",INDEX(PMTCT!$AS:$AS,MATCH($E59,PMTCT!$E:$E,0)))</f>
        <v/>
      </c>
      <c r="J59" s="10" t="str">
        <f aca="false">INDEX(TB!$P:$P,MATCH($E59,TB!$E:$E,0))</f>
        <v/>
      </c>
      <c r="K59" s="10" t="str">
        <f aca="false">IF(OR($C59="01-09",$C59="10-14",$D59="Female"),"",INDEX(VMMC!$AA:$AA,MATCH($E59,VMMC!$E:$E,0)))</f>
        <v/>
      </c>
      <c r="L59" s="10" t="n">
        <f aca="false">SUM($G59)-SUM($H59:$K59)</f>
        <v>0</v>
      </c>
      <c r="M59" s="88" t="str">
        <f aca="false">IF(OR($C59="01-09",$D59="Male",AND(SUM($G59)=0,SUM($H59)=0)),"",SUM($H59)/SUM($G59))</f>
        <v/>
      </c>
      <c r="N59" s="88" t="str">
        <f aca="false">IF(OR($C59="01-09",$D59="Male",AND(SUM($G59)=0,SUM($I59)=0)),"",SUM($I59)/SUM($G59))</f>
        <v/>
      </c>
      <c r="O59" s="88" t="str">
        <f aca="false">IF(AND(SUM($G59)=0,SUM($J59)=0),"",SUM($J59)/SUM($G59))</f>
        <v/>
      </c>
      <c r="P59" s="88" t="str">
        <f aca="false">IF(OR($C59="01-09",$C59="10-14",$D59="Female",AND(SUM($G59)=0,SUM($K59)=0)),"",SUM($K59)/SUM($G59))</f>
        <v/>
      </c>
      <c r="Q59" s="88"/>
      <c r="R59" s="88"/>
      <c r="S59" s="88"/>
      <c r="T59" s="88"/>
      <c r="U59" s="88"/>
      <c r="V59" s="88" t="str">
        <f aca="false">IF(SUM($G59)=0,"",SUM($M59:$U59))</f>
        <v/>
      </c>
      <c r="W59" s="88"/>
      <c r="X59" s="39" t="str">
        <f aca="false">IF(OR(SUM($G59)=0,SUM($Q59)=0),"",ROUND(SUM($G59)*SUM($Q59),0))</f>
        <v/>
      </c>
      <c r="Y59" s="39" t="str">
        <f aca="false">IF(SUM($X59)=0,"",IF(SUM($W59)=0,"ENTER YIELD",ROUND($X59/$W59,0)-$X59))</f>
        <v/>
      </c>
      <c r="Z59" s="88"/>
      <c r="AA59" s="39" t="str">
        <f aca="false">IF(OR(SUM($G59)=0,SUM($R59)=0),"",ROUND(SUM($G59)*SUM($R59),0))</f>
        <v/>
      </c>
      <c r="AB59" s="39" t="str">
        <f aca="false">IF(SUM($AA59)=0,"",IF(SUM($Z59)=0,"ENTER YIELD",ROUND($AA59/$Z59,0)-$AA59))</f>
        <v/>
      </c>
      <c r="AC59" s="88"/>
      <c r="AD59" s="39" t="str">
        <f aca="false">IF(OR(SUM($G59)=0,SUM($S59)=0),"",ROUND(SUM($G59)*SUM($S59),0))</f>
        <v/>
      </c>
      <c r="AE59" s="39" t="str">
        <f aca="false">IF(SUM($AD59)=0,"",IF(SUM($AC59)=0,"ENTER YIELD",ROUND($AD59/$AC59,0)-$AD59))</f>
        <v/>
      </c>
      <c r="AF59" s="88"/>
      <c r="AG59" s="39" t="str">
        <f aca="false">IF(OR(SUM($G59)=0,SUM($T59)=0),"",ROUND(SUM($G59)*SUM($T59),0))</f>
        <v/>
      </c>
      <c r="AH59" s="39" t="str">
        <f aca="false">IF(SUM($AG59)=0,"",IF(SUM($AF59)=0,"ENTER YIELD",ROUND($AG59/$AF59,0)-$AG59))</f>
        <v/>
      </c>
      <c r="AI59" s="88"/>
      <c r="AJ59" s="39" t="str">
        <f aca="false">IF(OR(SUM($G59)=0,SUM($U59)=0),"",ROUND(SUM($G59)*SUM($U59),0))</f>
        <v/>
      </c>
      <c r="AK59" s="39" t="str">
        <f aca="false">IF(SUM($AJ59)=0,"",IF(SUM($AI59)=0,"ENTER YIELD",ROUND($AJ59/$AI59,0)-$AJ59))</f>
        <v/>
      </c>
      <c r="AL59" s="10" t="str">
        <f aca="false">IF(SUM($G59)=0,"",$G59)</f>
        <v/>
      </c>
      <c r="AM59" s="10" t="str">
        <f aca="false">IFERROR(1/(1/SUM($H59:$K59,$X59,$AA59,$AD59,$AG59,$AJ59)),"")</f>
        <v/>
      </c>
      <c r="AN59" s="10" t="str">
        <f aca="false">IF(AND(SUM($AM59)=0,SUM($AL59)=0),"",$AM59-$AL59)</f>
        <v/>
      </c>
      <c r="AO59" s="10" t="str">
        <f aca="false">IF(OR($C59="01-09",$D59="Male"),"",INDEX(PMTCT!$AD:$AD,MATCH($E59,PMTCT!$E:$E,0)))</f>
        <v/>
      </c>
      <c r="AP59" s="10" t="str">
        <f aca="false">IF(OR($C59="01-09",$D59="Male"),"",INDEX(PMTCT!$AT:$AT,MATCH($E59,PMTCT!$E:$E,0)))</f>
        <v/>
      </c>
      <c r="AQ59" s="10" t="str">
        <f aca="false">INDEX(TB!$Q:$Q,MATCH($E59,TB!$E:$E,0))</f>
        <v/>
      </c>
      <c r="AR59" s="10" t="str">
        <f aca="false">IF(OR($C59="01-09",$C59="10-14",$D59="Female"),"",INDEX(VMMC!$AB:$AB,MATCH($E59,VMMC!$E:$E,0)))</f>
        <v/>
      </c>
      <c r="AS59" s="10" t="str">
        <f aca="false">IF(OR($C59="01-09",$C59="10-14"),"",INDEX(PrEP!$Q:$Q,MATCH($E59,PrEP!$E:$E,0)))</f>
        <v/>
      </c>
      <c r="AT59" s="10" t="str">
        <f aca="false">IFERROR(1/(1/SUM($Y59,$AB59,$AE59,$AH59,$AK59,$AO59:$AS59)),"")</f>
        <v/>
      </c>
      <c r="AU59" s="10" t="str">
        <f aca="false">IFERROR(1/(1/SUM($AT59,$AM59)),"")</f>
        <v/>
      </c>
      <c r="AV59" s="88" t="str">
        <f aca="false">IF(AND(SUM($AM59)=0,SUM($AU59)=0),"",$AM59/$AU59)</f>
        <v/>
      </c>
      <c r="AW59" s="10"/>
      <c r="AX59" s="88" t="str">
        <f aca="false">IF(OR($C59="01-09",SUM($AW59)=0),"",0%)</f>
        <v/>
      </c>
      <c r="AY59" s="39" t="str">
        <f aca="false">IF(OR($C59="01-09",SUM($AW59)=0),"",ROUND($AW59*(1+$AX59),0))</f>
        <v/>
      </c>
      <c r="AZ59" s="88" t="n">
        <f aca="false">IF(OR($C59="01-09",$C59="10-14"),"",100%)</f>
        <v>1</v>
      </c>
      <c r="BA59" s="39" t="str">
        <f aca="false">IF(OR(SUM($AM59)=0,$C59="01-09",$C59="10-14"),"",$AM59*$AZ59)</f>
        <v/>
      </c>
    </row>
    <row r="60" customFormat="false" ht="15" hidden="false" customHeight="false" outlineLevel="0" collapsed="false">
      <c r="A60" s="0" t="str">
        <f aca="false">INDEX(Prioritization!$D:$D,MATCH($B60,Prioritization!$A:$A,0))</f>
        <v>INVALID</v>
      </c>
      <c r="B60" s="0" t="s">
        <v>197</v>
      </c>
      <c r="C60" s="0" t="s">
        <v>367</v>
      </c>
      <c r="D60" s="0" t="s">
        <v>48</v>
      </c>
      <c r="E60" s="0" t="str">
        <f aca="false">$B60&amp;"|"&amp;$C60&amp;"|"&amp;$D60</f>
        <v>Kasungu District [JQKLKuVuY61]|35-49|Male</v>
      </c>
      <c r="F60" s="88" t="n">
        <f aca="false">IF(LEFT($B60,4)="_Mil","",INDEX(Cascade!$AA:$AA,MATCH($E60,Cascade!$E:$E,0)))</f>
        <v>1735</v>
      </c>
      <c r="G60" s="10" t="n">
        <f aca="false">INDEX(Cascade!$BH:$BH,MATCH($E60,Cascade!$E:$E,0))</f>
        <v>0</v>
      </c>
      <c r="H60" s="10" t="str">
        <f aca="false">IF(OR($C60="01-09",$D60="Male"),"",INDEX(PMTCT!$AC:$AC,MATCH($E60,PMTCT!$E:$E,0)))</f>
        <v/>
      </c>
      <c r="I60" s="10" t="str">
        <f aca="false">IF(OR($C60="01-09",$D60="Male"),"",INDEX(PMTCT!$AS:$AS,MATCH($E60,PMTCT!$E:$E,0)))</f>
        <v/>
      </c>
      <c r="J60" s="10" t="str">
        <f aca="false">INDEX(TB!$P:$P,MATCH($E60,TB!$E:$E,0))</f>
        <v/>
      </c>
      <c r="K60" s="10" t="str">
        <f aca="false">IF(OR($C60="01-09",$C60="10-14",$D60="Female"),"",INDEX(VMMC!$AA:$AA,MATCH($E60,VMMC!$E:$E,0)))</f>
        <v/>
      </c>
      <c r="L60" s="10" t="n">
        <f aca="false">SUM($G60)-SUM($H60:$K60)</f>
        <v>0</v>
      </c>
      <c r="M60" s="88" t="str">
        <f aca="false">IF(OR($C60="01-09",$D60="Male",AND(SUM($G60)=0,SUM($H60)=0)),"",SUM($H60)/SUM($G60))</f>
        <v/>
      </c>
      <c r="N60" s="88" t="str">
        <f aca="false">IF(OR($C60="01-09",$D60="Male",AND(SUM($G60)=0,SUM($I60)=0)),"",SUM($I60)/SUM($G60))</f>
        <v/>
      </c>
      <c r="O60" s="88" t="str">
        <f aca="false">IF(AND(SUM($G60)=0,SUM($J60)=0),"",SUM($J60)/SUM($G60))</f>
        <v/>
      </c>
      <c r="P60" s="88" t="str">
        <f aca="false">IF(OR($C60="01-09",$C60="10-14",$D60="Female",AND(SUM($G60)=0,SUM($K60)=0)),"",SUM($K60)/SUM($G60))</f>
        <v/>
      </c>
      <c r="Q60" s="88"/>
      <c r="R60" s="88"/>
      <c r="S60" s="88"/>
      <c r="T60" s="88"/>
      <c r="U60" s="88"/>
      <c r="V60" s="88" t="str">
        <f aca="false">IF(SUM($G60)=0,"",SUM($M60:$U60))</f>
        <v/>
      </c>
      <c r="W60" s="88"/>
      <c r="X60" s="39" t="str">
        <f aca="false">IF(OR(SUM($G60)=0,SUM($Q60)=0),"",ROUND(SUM($G60)*SUM($Q60),0))</f>
        <v/>
      </c>
      <c r="Y60" s="39" t="str">
        <f aca="false">IF(SUM($X60)=0,"",IF(SUM($W60)=0,"ENTER YIELD",ROUND($X60/$W60,0)-$X60))</f>
        <v/>
      </c>
      <c r="Z60" s="88"/>
      <c r="AA60" s="39" t="str">
        <f aca="false">IF(OR(SUM($G60)=0,SUM($R60)=0),"",ROUND(SUM($G60)*SUM($R60),0))</f>
        <v/>
      </c>
      <c r="AB60" s="39" t="str">
        <f aca="false">IF(SUM($AA60)=0,"",IF(SUM($Z60)=0,"ENTER YIELD",ROUND($AA60/$Z60,0)-$AA60))</f>
        <v/>
      </c>
      <c r="AC60" s="88"/>
      <c r="AD60" s="39" t="str">
        <f aca="false">IF(OR(SUM($G60)=0,SUM($S60)=0),"",ROUND(SUM($G60)*SUM($S60),0))</f>
        <v/>
      </c>
      <c r="AE60" s="39" t="str">
        <f aca="false">IF(SUM($AD60)=0,"",IF(SUM($AC60)=0,"ENTER YIELD",ROUND($AD60/$AC60,0)-$AD60))</f>
        <v/>
      </c>
      <c r="AF60" s="88"/>
      <c r="AG60" s="39" t="str">
        <f aca="false">IF(OR(SUM($G60)=0,SUM($T60)=0),"",ROUND(SUM($G60)*SUM($T60),0))</f>
        <v/>
      </c>
      <c r="AH60" s="39" t="str">
        <f aca="false">IF(SUM($AG60)=0,"",IF(SUM($AF60)=0,"ENTER YIELD",ROUND($AG60/$AF60,0)-$AG60))</f>
        <v/>
      </c>
      <c r="AI60" s="88"/>
      <c r="AJ60" s="39" t="str">
        <f aca="false">IF(OR(SUM($G60)=0,SUM($U60)=0),"",ROUND(SUM($G60)*SUM($U60),0))</f>
        <v/>
      </c>
      <c r="AK60" s="39" t="str">
        <f aca="false">IF(SUM($AJ60)=0,"",IF(SUM($AI60)=0,"ENTER YIELD",ROUND($AJ60/$AI60,0)-$AJ60))</f>
        <v/>
      </c>
      <c r="AL60" s="10" t="str">
        <f aca="false">IF(SUM($G60)=0,"",$G60)</f>
        <v/>
      </c>
      <c r="AM60" s="10" t="str">
        <f aca="false">IFERROR(1/(1/SUM($H60:$K60,$X60,$AA60,$AD60,$AG60,$AJ60)),"")</f>
        <v/>
      </c>
      <c r="AN60" s="10" t="str">
        <f aca="false">IF(AND(SUM($AM60)=0,SUM($AL60)=0),"",$AM60-$AL60)</f>
        <v/>
      </c>
      <c r="AO60" s="10" t="str">
        <f aca="false">IF(OR($C60="01-09",$D60="Male"),"",INDEX(PMTCT!$AD:$AD,MATCH($E60,PMTCT!$E:$E,0)))</f>
        <v/>
      </c>
      <c r="AP60" s="10" t="str">
        <f aca="false">IF(OR($C60="01-09",$D60="Male"),"",INDEX(PMTCT!$AT:$AT,MATCH($E60,PMTCT!$E:$E,0)))</f>
        <v/>
      </c>
      <c r="AQ60" s="10" t="str">
        <f aca="false">INDEX(TB!$Q:$Q,MATCH($E60,TB!$E:$E,0))</f>
        <v/>
      </c>
      <c r="AR60" s="10" t="str">
        <f aca="false">IF(OR($C60="01-09",$C60="10-14",$D60="Female"),"",INDEX(VMMC!$AB:$AB,MATCH($E60,VMMC!$E:$E,0)))</f>
        <v/>
      </c>
      <c r="AS60" s="10" t="str">
        <f aca="false">IF(OR($C60="01-09",$C60="10-14"),"",INDEX(PrEP!$Q:$Q,MATCH($E60,PrEP!$E:$E,0)))</f>
        <v/>
      </c>
      <c r="AT60" s="10" t="str">
        <f aca="false">IFERROR(1/(1/SUM($Y60,$AB60,$AE60,$AH60,$AK60,$AO60:$AS60)),"")</f>
        <v/>
      </c>
      <c r="AU60" s="10" t="str">
        <f aca="false">IFERROR(1/(1/SUM($AT60,$AM60)),"")</f>
        <v/>
      </c>
      <c r="AV60" s="88" t="str">
        <f aca="false">IF(AND(SUM($AM60)=0,SUM($AU60)=0),"",$AM60/$AU60)</f>
        <v/>
      </c>
      <c r="AW60" s="10"/>
      <c r="AX60" s="88" t="str">
        <f aca="false">IF(OR($C60="01-09",SUM($AW60)=0),"",0%)</f>
        <v/>
      </c>
      <c r="AY60" s="39" t="str">
        <f aca="false">IF(OR($C60="01-09",SUM($AW60)=0),"",ROUND($AW60*(1+$AX60),0))</f>
        <v/>
      </c>
      <c r="AZ60" s="88" t="n">
        <f aca="false">IF(OR($C60="01-09",$C60="10-14"),"",100%)</f>
        <v>1</v>
      </c>
      <c r="BA60" s="39" t="str">
        <f aca="false">IF(OR(SUM($AM60)=0,$C60="01-09",$C60="10-14"),"",$AM60*$AZ60)</f>
        <v/>
      </c>
    </row>
    <row r="61" customFormat="false" ht="15" hidden="false" customHeight="false" outlineLevel="0" collapsed="false">
      <c r="A61" s="0" t="str">
        <f aca="false">INDEX(Prioritization!$D:$D,MATCH($B61,Prioritization!$A:$A,0))</f>
        <v>INVALID</v>
      </c>
      <c r="B61" s="0" t="s">
        <v>197</v>
      </c>
      <c r="C61" s="0" t="s">
        <v>368</v>
      </c>
      <c r="D61" s="0" t="s">
        <v>30</v>
      </c>
      <c r="E61" s="0" t="str">
        <f aca="false">$B61&amp;"|"&amp;$C61&amp;"|"&amp;$D61</f>
        <v>Kasungu District [JQKLKuVuY61]|50+|Female</v>
      </c>
      <c r="F61" s="88" t="n">
        <f aca="false">IF(LEFT($B61,4)="_Mil","",INDEX(Cascade!$AA:$AA,MATCH($E61,Cascade!$E:$E,0)))</f>
        <v>1446</v>
      </c>
      <c r="G61" s="10" t="n">
        <f aca="false">INDEX(Cascade!$BH:$BH,MATCH($E61,Cascade!$E:$E,0))</f>
        <v>0</v>
      </c>
      <c r="H61" s="10" t="str">
        <f aca="false">IF(OR($C61="01-09",$D61="Male"),"",INDEX(PMTCT!$AC:$AC,MATCH($E61,PMTCT!$E:$E,0)))</f>
        <v/>
      </c>
      <c r="I61" s="10" t="str">
        <f aca="false">IF(OR($C61="01-09",$D61="Male"),"",INDEX(PMTCT!$AS:$AS,MATCH($E61,PMTCT!$E:$E,0)))</f>
        <v/>
      </c>
      <c r="J61" s="10" t="str">
        <f aca="false">INDEX(TB!$P:$P,MATCH($E61,TB!$E:$E,0))</f>
        <v/>
      </c>
      <c r="K61" s="10" t="str">
        <f aca="false">IF(OR($C61="01-09",$C61="10-14",$D61="Female"),"",INDEX(VMMC!$AA:$AA,MATCH($E61,VMMC!$E:$E,0)))</f>
        <v/>
      </c>
      <c r="L61" s="10" t="n">
        <f aca="false">SUM($G61)-SUM($H61:$K61)</f>
        <v>0</v>
      </c>
      <c r="M61" s="88" t="str">
        <f aca="false">IF(OR($C61="01-09",$D61="Male",AND(SUM($G61)=0,SUM($H61)=0)),"",SUM($H61)/SUM($G61))</f>
        <v/>
      </c>
      <c r="N61" s="88" t="str">
        <f aca="false">IF(OR($C61="01-09",$D61="Male",AND(SUM($G61)=0,SUM($I61)=0)),"",SUM($I61)/SUM($G61))</f>
        <v/>
      </c>
      <c r="O61" s="88" t="str">
        <f aca="false">IF(AND(SUM($G61)=0,SUM($J61)=0),"",SUM($J61)/SUM($G61))</f>
        <v/>
      </c>
      <c r="P61" s="88" t="str">
        <f aca="false">IF(OR($C61="01-09",$C61="10-14",$D61="Female",AND(SUM($G61)=0,SUM($K61)=0)),"",SUM($K61)/SUM($G61))</f>
        <v/>
      </c>
      <c r="Q61" s="88"/>
      <c r="R61" s="88"/>
      <c r="S61" s="88"/>
      <c r="T61" s="88"/>
      <c r="U61" s="88" t="n">
        <v>0.722437425050884</v>
      </c>
      <c r="V61" s="88" t="str">
        <f aca="false">IF(SUM($G61)=0,"",SUM($M61:$U61))</f>
        <v/>
      </c>
      <c r="W61" s="88"/>
      <c r="X61" s="39" t="str">
        <f aca="false">IF(OR(SUM($G61)=0,SUM($Q61)=0),"",ROUND(SUM($G61)*SUM($Q61),0))</f>
        <v/>
      </c>
      <c r="Y61" s="39" t="str">
        <f aca="false">IF(SUM($X61)=0,"",IF(SUM($W61)=0,"ENTER YIELD",ROUND($X61/$W61,0)-$X61))</f>
        <v/>
      </c>
      <c r="Z61" s="88"/>
      <c r="AA61" s="39" t="str">
        <f aca="false">IF(OR(SUM($G61)=0,SUM($R61)=0),"",ROUND(SUM($G61)*SUM($R61),0))</f>
        <v/>
      </c>
      <c r="AB61" s="39" t="str">
        <f aca="false">IF(SUM($AA61)=0,"",IF(SUM($Z61)=0,"ENTER YIELD",ROUND($AA61/$Z61,0)-$AA61))</f>
        <v/>
      </c>
      <c r="AC61" s="88"/>
      <c r="AD61" s="39" t="str">
        <f aca="false">IF(OR(SUM($G61)=0,SUM($S61)=0),"",ROUND(SUM($G61)*SUM($S61),0))</f>
        <v/>
      </c>
      <c r="AE61" s="39" t="str">
        <f aca="false">IF(SUM($AD61)=0,"",IF(SUM($AC61)=0,"ENTER YIELD",ROUND($AD61/$AC61,0)-$AD61))</f>
        <v/>
      </c>
      <c r="AF61" s="88"/>
      <c r="AG61" s="39" t="str">
        <f aca="false">IF(OR(SUM($G61)=0,SUM($T61)=0),"",ROUND(SUM($G61)*SUM($T61),0))</f>
        <v/>
      </c>
      <c r="AH61" s="39" t="str">
        <f aca="false">IF(SUM($AG61)=0,"",IF(SUM($AF61)=0,"ENTER YIELD",ROUND($AG61/$AF61,0)-$AG61))</f>
        <v/>
      </c>
      <c r="AI61" s="88"/>
      <c r="AJ61" s="39" t="str">
        <f aca="false">IF(OR(SUM($G61)=0,SUM($U61)=0),"",ROUND(SUM($G61)*SUM($U61),0))</f>
        <v/>
      </c>
      <c r="AK61" s="39" t="str">
        <f aca="false">IF(SUM($AJ61)=0,"",IF(SUM($AI61)=0,"ENTER YIELD",ROUND($AJ61/$AI61,0)-$AJ61))</f>
        <v/>
      </c>
      <c r="AL61" s="10" t="str">
        <f aca="false">IF(SUM($G61)=0,"",$G61)</f>
        <v/>
      </c>
      <c r="AM61" s="10" t="str">
        <f aca="false">IFERROR(1/(1/SUM($H61:$K61,$X61,$AA61,$AD61,$AG61,$AJ61)),"")</f>
        <v/>
      </c>
      <c r="AN61" s="10" t="str">
        <f aca="false">IF(AND(SUM($AM61)=0,SUM($AL61)=0),"",$AM61-$AL61)</f>
        <v/>
      </c>
      <c r="AO61" s="10" t="str">
        <f aca="false">IF(OR($C61="01-09",$D61="Male"),"",INDEX(PMTCT!$AD:$AD,MATCH($E61,PMTCT!$E:$E,0)))</f>
        <v/>
      </c>
      <c r="AP61" s="10" t="str">
        <f aca="false">IF(OR($C61="01-09",$D61="Male"),"",INDEX(PMTCT!$AT:$AT,MATCH($E61,PMTCT!$E:$E,0)))</f>
        <v/>
      </c>
      <c r="AQ61" s="10" t="str">
        <f aca="false">INDEX(TB!$Q:$Q,MATCH($E61,TB!$E:$E,0))</f>
        <v/>
      </c>
      <c r="AR61" s="10" t="str">
        <f aca="false">IF(OR($C61="01-09",$C61="10-14",$D61="Female"),"",INDEX(VMMC!$AB:$AB,MATCH($E61,VMMC!$E:$E,0)))</f>
        <v/>
      </c>
      <c r="AS61" s="10" t="str">
        <f aca="false">IF(OR($C61="01-09",$C61="10-14"),"",INDEX(PrEP!$Q:$Q,MATCH($E61,PrEP!$E:$E,0)))</f>
        <v/>
      </c>
      <c r="AT61" s="10" t="str">
        <f aca="false">IFERROR(1/(1/SUM($Y61,$AB61,$AE61,$AH61,$AK61,$AO61:$AS61)),"")</f>
        <v/>
      </c>
      <c r="AU61" s="10" t="str">
        <f aca="false">IFERROR(1/(1/SUM($AT61,$AM61)),"")</f>
        <v/>
      </c>
      <c r="AV61" s="88" t="str">
        <f aca="false">IF(AND(SUM($AM61)=0,SUM($AU61)=0),"",$AM61/$AU61)</f>
        <v/>
      </c>
      <c r="AW61" s="10" t="n">
        <v>9</v>
      </c>
      <c r="AX61" s="88" t="n">
        <f aca="false">IF(OR($C61="01-09",SUM($AW61)=0),"",0%)</f>
        <v>0</v>
      </c>
      <c r="AY61" s="39" t="n">
        <f aca="false">IF(OR($C61="01-09",SUM($AW61)=0),"",ROUND($AW61*(1+$AX61),0))</f>
        <v>9</v>
      </c>
      <c r="AZ61" s="88" t="n">
        <f aca="false">IF(OR($C61="01-09",$C61="10-14"),"",100%)</f>
        <v>1</v>
      </c>
      <c r="BA61" s="39" t="str">
        <f aca="false">IF(OR(SUM($AM61)=0,$C61="01-09",$C61="10-14"),"",$AM61*$AZ61)</f>
        <v/>
      </c>
    </row>
    <row r="62" customFormat="false" ht="15" hidden="false" customHeight="false" outlineLevel="0" collapsed="false">
      <c r="A62" s="0" t="str">
        <f aca="false">INDEX(Prioritization!$D:$D,MATCH($B62,Prioritization!$A:$A,0))</f>
        <v>INVALID</v>
      </c>
      <c r="B62" s="0" t="s">
        <v>197</v>
      </c>
      <c r="C62" s="0" t="s">
        <v>368</v>
      </c>
      <c r="D62" s="0" t="s">
        <v>48</v>
      </c>
      <c r="E62" s="0" t="str">
        <f aca="false">$B62&amp;"|"&amp;$C62&amp;"|"&amp;$D62</f>
        <v>Kasungu District [JQKLKuVuY61]|50+|Male</v>
      </c>
      <c r="F62" s="88" t="n">
        <f aca="false">IF(LEFT($B62,4)="_Mil","",INDEX(Cascade!$AA:$AA,MATCH($E62,Cascade!$E:$E,0)))</f>
        <v>501</v>
      </c>
      <c r="G62" s="10" t="n">
        <f aca="false">INDEX(Cascade!$BH:$BH,MATCH($E62,Cascade!$E:$E,0))</f>
        <v>0</v>
      </c>
      <c r="H62" s="10" t="str">
        <f aca="false">IF(OR($C62="01-09",$D62="Male"),"",INDEX(PMTCT!$AC:$AC,MATCH($E62,PMTCT!$E:$E,0)))</f>
        <v/>
      </c>
      <c r="I62" s="10" t="str">
        <f aca="false">IF(OR($C62="01-09",$D62="Male"),"",INDEX(PMTCT!$AS:$AS,MATCH($E62,PMTCT!$E:$E,0)))</f>
        <v/>
      </c>
      <c r="J62" s="10" t="str">
        <f aca="false">INDEX(TB!$P:$P,MATCH($E62,TB!$E:$E,0))</f>
        <v/>
      </c>
      <c r="K62" s="10" t="str">
        <f aca="false">IF(OR($C62="01-09",$C62="10-14",$D62="Female"),"",INDEX(VMMC!$AA:$AA,MATCH($E62,VMMC!$E:$E,0)))</f>
        <v/>
      </c>
      <c r="L62" s="10" t="n">
        <f aca="false">SUM($G62)-SUM($H62:$K62)</f>
        <v>0</v>
      </c>
      <c r="M62" s="88" t="str">
        <f aca="false">IF(OR($C62="01-09",$D62="Male",AND(SUM($G62)=0,SUM($H62)=0)),"",SUM($H62)/SUM($G62))</f>
        <v/>
      </c>
      <c r="N62" s="88" t="str">
        <f aca="false">IF(OR($C62="01-09",$D62="Male",AND(SUM($G62)=0,SUM($I62)=0)),"",SUM($I62)/SUM($G62))</f>
        <v/>
      </c>
      <c r="O62" s="88" t="str">
        <f aca="false">IF(AND(SUM($G62)=0,SUM($J62)=0),"",SUM($J62)/SUM($G62))</f>
        <v/>
      </c>
      <c r="P62" s="88" t="str">
        <f aca="false">IF(OR($C62="01-09",$C62="10-14",$D62="Female",AND(SUM($G62)=0,SUM($K62)=0)),"",SUM($K62)/SUM($G62))</f>
        <v/>
      </c>
      <c r="Q62" s="88"/>
      <c r="R62" s="88"/>
      <c r="S62" s="88"/>
      <c r="T62" s="88"/>
      <c r="U62" s="88" t="n">
        <v>0.39891774370335</v>
      </c>
      <c r="V62" s="88" t="str">
        <f aca="false">IF(SUM($G62)=0,"",SUM($M62:$U62))</f>
        <v/>
      </c>
      <c r="W62" s="88"/>
      <c r="X62" s="39" t="str">
        <f aca="false">IF(OR(SUM($G62)=0,SUM($Q62)=0),"",ROUND(SUM($G62)*SUM($Q62),0))</f>
        <v/>
      </c>
      <c r="Y62" s="39" t="str">
        <f aca="false">IF(SUM($X62)=0,"",IF(SUM($W62)=0,"ENTER YIELD",ROUND($X62/$W62,0)-$X62))</f>
        <v/>
      </c>
      <c r="Z62" s="88"/>
      <c r="AA62" s="39" t="str">
        <f aca="false">IF(OR(SUM($G62)=0,SUM($R62)=0),"",ROUND(SUM($G62)*SUM($R62),0))</f>
        <v/>
      </c>
      <c r="AB62" s="39" t="str">
        <f aca="false">IF(SUM($AA62)=0,"",IF(SUM($Z62)=0,"ENTER YIELD",ROUND($AA62/$Z62,0)-$AA62))</f>
        <v/>
      </c>
      <c r="AC62" s="88"/>
      <c r="AD62" s="39" t="str">
        <f aca="false">IF(OR(SUM($G62)=0,SUM($S62)=0),"",ROUND(SUM($G62)*SUM($S62),0))</f>
        <v/>
      </c>
      <c r="AE62" s="39" t="str">
        <f aca="false">IF(SUM($AD62)=0,"",IF(SUM($AC62)=0,"ENTER YIELD",ROUND($AD62/$AC62,0)-$AD62))</f>
        <v/>
      </c>
      <c r="AF62" s="88"/>
      <c r="AG62" s="39" t="str">
        <f aca="false">IF(OR(SUM($G62)=0,SUM($T62)=0),"",ROUND(SUM($G62)*SUM($T62),0))</f>
        <v/>
      </c>
      <c r="AH62" s="39" t="str">
        <f aca="false">IF(SUM($AG62)=0,"",IF(SUM($AF62)=0,"ENTER YIELD",ROUND($AG62/$AF62,0)-$AG62))</f>
        <v/>
      </c>
      <c r="AI62" s="88"/>
      <c r="AJ62" s="39" t="str">
        <f aca="false">IF(OR(SUM($G62)=0,SUM($U62)=0),"",ROUND(SUM($G62)*SUM($U62),0))</f>
        <v/>
      </c>
      <c r="AK62" s="39" t="str">
        <f aca="false">IF(SUM($AJ62)=0,"",IF(SUM($AI62)=0,"ENTER YIELD",ROUND($AJ62/$AI62,0)-$AJ62))</f>
        <v/>
      </c>
      <c r="AL62" s="10" t="str">
        <f aca="false">IF(SUM($G62)=0,"",$G62)</f>
        <v/>
      </c>
      <c r="AM62" s="10" t="str">
        <f aca="false">IFERROR(1/(1/SUM($H62:$K62,$X62,$AA62,$AD62,$AG62,$AJ62)),"")</f>
        <v/>
      </c>
      <c r="AN62" s="10" t="str">
        <f aca="false">IF(AND(SUM($AM62)=0,SUM($AL62)=0),"",$AM62-$AL62)</f>
        <v/>
      </c>
      <c r="AO62" s="10" t="str">
        <f aca="false">IF(OR($C62="01-09",$D62="Male"),"",INDEX(PMTCT!$AD:$AD,MATCH($E62,PMTCT!$E:$E,0)))</f>
        <v/>
      </c>
      <c r="AP62" s="10" t="str">
        <f aca="false">IF(OR($C62="01-09",$D62="Male"),"",INDEX(PMTCT!$AT:$AT,MATCH($E62,PMTCT!$E:$E,0)))</f>
        <v/>
      </c>
      <c r="AQ62" s="10" t="str">
        <f aca="false">INDEX(TB!$Q:$Q,MATCH($E62,TB!$E:$E,0))</f>
        <v/>
      </c>
      <c r="AR62" s="10" t="str">
        <f aca="false">IF(OR($C62="01-09",$C62="10-14",$D62="Female"),"",INDEX(VMMC!$AB:$AB,MATCH($E62,VMMC!$E:$E,0)))</f>
        <v/>
      </c>
      <c r="AS62" s="10" t="str">
        <f aca="false">IF(OR($C62="01-09",$C62="10-14"),"",INDEX(PrEP!$Q:$Q,MATCH($E62,PrEP!$E:$E,0)))</f>
        <v/>
      </c>
      <c r="AT62" s="10" t="str">
        <f aca="false">IFERROR(1/(1/SUM($Y62,$AB62,$AE62,$AH62,$AK62,$AO62:$AS62)),"")</f>
        <v/>
      </c>
      <c r="AU62" s="10" t="str">
        <f aca="false">IFERROR(1/(1/SUM($AT62,$AM62)),"")</f>
        <v/>
      </c>
      <c r="AV62" s="88" t="str">
        <f aca="false">IF(AND(SUM($AM62)=0,SUM($AU62)=0),"",$AM62/$AU62)</f>
        <v/>
      </c>
      <c r="AW62" s="10" t="n">
        <v>2</v>
      </c>
      <c r="AX62" s="88" t="n">
        <f aca="false">IF(OR($C62="01-09",SUM($AW62)=0),"",0%)</f>
        <v>0</v>
      </c>
      <c r="AY62" s="39" t="n">
        <f aca="false">IF(OR($C62="01-09",SUM($AW62)=0),"",ROUND($AW62*(1+$AX62),0))</f>
        <v>2</v>
      </c>
      <c r="AZ62" s="88" t="n">
        <f aca="false">IF(OR($C62="01-09",$C62="10-14"),"",100%)</f>
        <v>1</v>
      </c>
      <c r="BA62" s="39" t="str">
        <f aca="false">IF(OR(SUM($AM62)=0,$C62="01-09",$C62="10-14"),"",$AM62*$AZ62)</f>
        <v/>
      </c>
    </row>
    <row r="63" customFormat="false" ht="15" hidden="false" customHeight="false" outlineLevel="0" collapsed="false">
      <c r="A63" s="0" t="str">
        <f aca="false">INDEX(Prioritization!$D:$D,MATCH($B63,Prioritization!$A:$A,0))</f>
        <v>1 - Scale-up: Saturation</v>
      </c>
      <c r="B63" s="0" t="s">
        <v>198</v>
      </c>
      <c r="C63" s="0" t="s">
        <v>363</v>
      </c>
      <c r="D63" s="0" t="s">
        <v>30</v>
      </c>
      <c r="E63" s="0" t="str">
        <f aca="false">$B63&amp;"|"&amp;$C63&amp;"|"&amp;$D63</f>
        <v>Lilongwe District [ScR9iFKAasW]|01-09|Female</v>
      </c>
      <c r="F63" s="88" t="n">
        <f aca="false">IF(LEFT($B63,4)="_Mil","",INDEX(Cascade!$AA:$AA,MATCH($E63,Cascade!$E:$E,0)))</f>
        <v>997</v>
      </c>
      <c r="G63" s="10" t="n">
        <f aca="false">INDEX(Cascade!$BH:$BH,MATCH($E63,Cascade!$E:$E,0))</f>
        <v>0</v>
      </c>
      <c r="H63" s="10" t="str">
        <f aca="false">IF(OR($C63="01-09",$D63="Male"),"",INDEX(PMTCT!$AC:$AC,MATCH($E63,PMTCT!$E:$E,0)))</f>
        <v/>
      </c>
      <c r="I63" s="10" t="str">
        <f aca="false">IF(OR($C63="01-09",$D63="Male"),"",INDEX(PMTCT!$AS:$AS,MATCH($E63,PMTCT!$E:$E,0)))</f>
        <v/>
      </c>
      <c r="J63" s="10" t="str">
        <f aca="false">INDEX(TB!$P:$P,MATCH($E63,TB!$E:$E,0))</f>
        <v/>
      </c>
      <c r="K63" s="10" t="str">
        <f aca="false">IF(OR($C63="01-09",$C63="10-14",$D63="Female"),"",INDEX(VMMC!$AA:$AA,MATCH($E63,VMMC!$E:$E,0)))</f>
        <v/>
      </c>
      <c r="L63" s="10" t="n">
        <f aca="false">SUM($G63)-SUM($H63:$K63)</f>
        <v>0</v>
      </c>
      <c r="M63" s="88" t="str">
        <f aca="false">IF(OR($C63="01-09",$D63="Male",AND(SUM($G63)=0,SUM($H63)=0)),"",SUM($H63)/SUM($G63))</f>
        <v/>
      </c>
      <c r="N63" s="88" t="str">
        <f aca="false">IF(OR($C63="01-09",$D63="Male",AND(SUM($G63)=0,SUM($I63)=0)),"",SUM($I63)/SUM($G63))</f>
        <v/>
      </c>
      <c r="O63" s="88" t="str">
        <f aca="false">IF(AND(SUM($G63)=0,SUM($J63)=0),"",SUM($J63)/SUM($G63))</f>
        <v/>
      </c>
      <c r="P63" s="88" t="str">
        <f aca="false">IF(OR($C63="01-09",$C63="10-14",$D63="Female",AND(SUM($G63)=0,SUM($K63)=0)),"",SUM($K63)/SUM($G63))</f>
        <v/>
      </c>
      <c r="Q63" s="88"/>
      <c r="R63" s="88"/>
      <c r="S63" s="88"/>
      <c r="T63" s="88"/>
      <c r="U63" s="88"/>
      <c r="V63" s="88" t="str">
        <f aca="false">IF(SUM($G63)=0,"",SUM($M63:$U63))</f>
        <v/>
      </c>
      <c r="W63" s="88"/>
      <c r="X63" s="39" t="str">
        <f aca="false">IF(OR(SUM($G63)=0,SUM($Q63)=0),"",ROUND(SUM($G63)*SUM($Q63),0))</f>
        <v/>
      </c>
      <c r="Y63" s="39" t="str">
        <f aca="false">IF(SUM($X63)=0,"",IF(SUM($W63)=0,"ENTER YIELD",ROUND($X63/$W63,0)-$X63))</f>
        <v/>
      </c>
      <c r="Z63" s="88"/>
      <c r="AA63" s="39" t="str">
        <f aca="false">IF(OR(SUM($G63)=0,SUM($R63)=0),"",ROUND(SUM($G63)*SUM($R63),0))</f>
        <v/>
      </c>
      <c r="AB63" s="39" t="str">
        <f aca="false">IF(SUM($AA63)=0,"",IF(SUM($Z63)=0,"ENTER YIELD",ROUND($AA63/$Z63,0)-$AA63))</f>
        <v/>
      </c>
      <c r="AC63" s="88"/>
      <c r="AD63" s="39" t="str">
        <f aca="false">IF(OR(SUM($G63)=0,SUM($S63)=0),"",ROUND(SUM($G63)*SUM($S63),0))</f>
        <v/>
      </c>
      <c r="AE63" s="39" t="str">
        <f aca="false">IF(SUM($AD63)=0,"",IF(SUM($AC63)=0,"ENTER YIELD",ROUND($AD63/$AC63,0)-$AD63))</f>
        <v/>
      </c>
      <c r="AF63" s="88"/>
      <c r="AG63" s="39" t="str">
        <f aca="false">IF(OR(SUM($G63)=0,SUM($T63)=0),"",ROUND(SUM($G63)*SUM($T63),0))</f>
        <v/>
      </c>
      <c r="AH63" s="39" t="str">
        <f aca="false">IF(SUM($AG63)=0,"",IF(SUM($AF63)=0,"ENTER YIELD",ROUND($AG63/$AF63,0)-$AG63))</f>
        <v/>
      </c>
      <c r="AI63" s="88"/>
      <c r="AJ63" s="39" t="str">
        <f aca="false">IF(OR(SUM($G63)=0,SUM($U63)=0),"",ROUND(SUM($G63)*SUM($U63),0))</f>
        <v/>
      </c>
      <c r="AK63" s="39" t="str">
        <f aca="false">IF(SUM($AJ63)=0,"",IF(SUM($AI63)=0,"ENTER YIELD",ROUND($AJ63/$AI63,0)-$AJ63))</f>
        <v/>
      </c>
      <c r="AL63" s="10" t="str">
        <f aca="false">IF(SUM($G63)=0,"",$G63)</f>
        <v/>
      </c>
      <c r="AM63" s="10" t="str">
        <f aca="false">IFERROR(1/(1/SUM($H63:$K63,$X63,$AA63,$AD63,$AG63,$AJ63)),"")</f>
        <v/>
      </c>
      <c r="AN63" s="10" t="str">
        <f aca="false">IF(AND(SUM($AM63)=0,SUM($AL63)=0),"",$AM63-$AL63)</f>
        <v/>
      </c>
      <c r="AO63" s="10" t="str">
        <f aca="false">IF(OR($C63="01-09",$D63="Male"),"",INDEX(PMTCT!$AD:$AD,MATCH($E63,PMTCT!$E:$E,0)))</f>
        <v/>
      </c>
      <c r="AP63" s="10" t="str">
        <f aca="false">IF(OR($C63="01-09",$D63="Male"),"",INDEX(PMTCT!$AT:$AT,MATCH($E63,PMTCT!$E:$E,0)))</f>
        <v/>
      </c>
      <c r="AQ63" s="10" t="str">
        <f aca="false">INDEX(TB!$Q:$Q,MATCH($E63,TB!$E:$E,0))</f>
        <v/>
      </c>
      <c r="AR63" s="10" t="str">
        <f aca="false">IF(OR($C63="01-09",$C63="10-14",$D63="Female"),"",INDEX(VMMC!$AB:$AB,MATCH($E63,VMMC!$E:$E,0)))</f>
        <v/>
      </c>
      <c r="AS63" s="10" t="str">
        <f aca="false">IF(OR($C63="01-09",$C63="10-14"),"",INDEX(PrEP!$Q:$Q,MATCH($E63,PrEP!$E:$E,0)))</f>
        <v/>
      </c>
      <c r="AT63" s="10" t="str">
        <f aca="false">IFERROR(1/(1/SUM($Y63,$AB63,$AE63,$AH63,$AK63,$AO63:$AS63)),"")</f>
        <v/>
      </c>
      <c r="AU63" s="10" t="str">
        <f aca="false">IFERROR(1/(1/SUM($AT63,$AM63)),"")</f>
        <v/>
      </c>
      <c r="AV63" s="88" t="str">
        <f aca="false">IF(AND(SUM($AM63)=0,SUM($AU63)=0),"",$AM63/$AU63)</f>
        <v/>
      </c>
      <c r="AW63" s="10"/>
      <c r="AX63" s="88" t="str">
        <f aca="false">IF(OR($C63="01-09",SUM($AW63)=0),"",0%)</f>
        <v/>
      </c>
      <c r="AY63" s="39" t="str">
        <f aca="false">IF(OR($C63="01-09",SUM($AW63)=0),"",ROUND($AW63*(1+$AX63),0))</f>
        <v/>
      </c>
      <c r="AZ63" s="88" t="str">
        <f aca="false">IF(OR($C63="01-09",$C63="10-14"),"",100%)</f>
        <v/>
      </c>
      <c r="BA63" s="39" t="str">
        <f aca="false">IF(OR(SUM($AM63)=0,$C63="01-09",$C63="10-14"),"",$AM63*$AZ63)</f>
        <v/>
      </c>
    </row>
    <row r="64" customFormat="false" ht="15" hidden="false" customHeight="false" outlineLevel="0" collapsed="false">
      <c r="A64" s="0" t="str">
        <f aca="false">INDEX(Prioritization!$D:$D,MATCH($B64,Prioritization!$A:$A,0))</f>
        <v>1 - Scale-up: Saturation</v>
      </c>
      <c r="B64" s="0" t="s">
        <v>198</v>
      </c>
      <c r="C64" s="0" t="s">
        <v>363</v>
      </c>
      <c r="D64" s="0" t="s">
        <v>48</v>
      </c>
      <c r="E64" s="0" t="str">
        <f aca="false">$B64&amp;"|"&amp;$C64&amp;"|"&amp;$D64</f>
        <v>Lilongwe District [ScR9iFKAasW]|01-09|Male</v>
      </c>
      <c r="F64" s="88" t="n">
        <f aca="false">IF(LEFT($B64,4)="_Mil","",INDEX(Cascade!$AA:$AA,MATCH($E64,Cascade!$E:$E,0)))</f>
        <v>1709</v>
      </c>
      <c r="G64" s="10" t="n">
        <f aca="false">INDEX(Cascade!$BH:$BH,MATCH($E64,Cascade!$E:$E,0))</f>
        <v>0</v>
      </c>
      <c r="H64" s="10" t="str">
        <f aca="false">IF(OR($C64="01-09",$D64="Male"),"",INDEX(PMTCT!$AC:$AC,MATCH($E64,PMTCT!$E:$E,0)))</f>
        <v/>
      </c>
      <c r="I64" s="10" t="str">
        <f aca="false">IF(OR($C64="01-09",$D64="Male"),"",INDEX(PMTCT!$AS:$AS,MATCH($E64,PMTCT!$E:$E,0)))</f>
        <v/>
      </c>
      <c r="J64" s="10" t="str">
        <f aca="false">INDEX(TB!$P:$P,MATCH($E64,TB!$E:$E,0))</f>
        <v/>
      </c>
      <c r="K64" s="10" t="str">
        <f aca="false">IF(OR($C64="01-09",$C64="10-14",$D64="Female"),"",INDEX(VMMC!$AA:$AA,MATCH($E64,VMMC!$E:$E,0)))</f>
        <v/>
      </c>
      <c r="L64" s="10" t="n">
        <f aca="false">SUM($G64)-SUM($H64:$K64)</f>
        <v>0</v>
      </c>
      <c r="M64" s="88" t="str">
        <f aca="false">IF(OR($C64="01-09",$D64="Male",AND(SUM($G64)=0,SUM($H64)=0)),"",SUM($H64)/SUM($G64))</f>
        <v/>
      </c>
      <c r="N64" s="88" t="str">
        <f aca="false">IF(OR($C64="01-09",$D64="Male",AND(SUM($G64)=0,SUM($I64)=0)),"",SUM($I64)/SUM($G64))</f>
        <v/>
      </c>
      <c r="O64" s="88" t="str">
        <f aca="false">IF(AND(SUM($G64)=0,SUM($J64)=0),"",SUM($J64)/SUM($G64))</f>
        <v/>
      </c>
      <c r="P64" s="88" t="str">
        <f aca="false">IF(OR($C64="01-09",$C64="10-14",$D64="Female",AND(SUM($G64)=0,SUM($K64)=0)),"",SUM($K64)/SUM($G64))</f>
        <v/>
      </c>
      <c r="Q64" s="88"/>
      <c r="R64" s="88"/>
      <c r="S64" s="88"/>
      <c r="T64" s="88"/>
      <c r="U64" s="88"/>
      <c r="V64" s="88" t="str">
        <f aca="false">IF(SUM($G64)=0,"",SUM($M64:$U64))</f>
        <v/>
      </c>
      <c r="W64" s="88"/>
      <c r="X64" s="39" t="str">
        <f aca="false">IF(OR(SUM($G64)=0,SUM($Q64)=0),"",ROUND(SUM($G64)*SUM($Q64),0))</f>
        <v/>
      </c>
      <c r="Y64" s="39" t="str">
        <f aca="false">IF(SUM($X64)=0,"",IF(SUM($W64)=0,"ENTER YIELD",ROUND($X64/$W64,0)-$X64))</f>
        <v/>
      </c>
      <c r="Z64" s="88"/>
      <c r="AA64" s="39" t="str">
        <f aca="false">IF(OR(SUM($G64)=0,SUM($R64)=0),"",ROUND(SUM($G64)*SUM($R64),0))</f>
        <v/>
      </c>
      <c r="AB64" s="39" t="str">
        <f aca="false">IF(SUM($AA64)=0,"",IF(SUM($Z64)=0,"ENTER YIELD",ROUND($AA64/$Z64,0)-$AA64))</f>
        <v/>
      </c>
      <c r="AC64" s="88"/>
      <c r="AD64" s="39" t="str">
        <f aca="false">IF(OR(SUM($G64)=0,SUM($S64)=0),"",ROUND(SUM($G64)*SUM($S64),0))</f>
        <v/>
      </c>
      <c r="AE64" s="39" t="str">
        <f aca="false">IF(SUM($AD64)=0,"",IF(SUM($AC64)=0,"ENTER YIELD",ROUND($AD64/$AC64,0)-$AD64))</f>
        <v/>
      </c>
      <c r="AF64" s="88"/>
      <c r="AG64" s="39" t="str">
        <f aca="false">IF(OR(SUM($G64)=0,SUM($T64)=0),"",ROUND(SUM($G64)*SUM($T64),0))</f>
        <v/>
      </c>
      <c r="AH64" s="39" t="str">
        <f aca="false">IF(SUM($AG64)=0,"",IF(SUM($AF64)=0,"ENTER YIELD",ROUND($AG64/$AF64,0)-$AG64))</f>
        <v/>
      </c>
      <c r="AI64" s="88"/>
      <c r="AJ64" s="39" t="str">
        <f aca="false">IF(OR(SUM($G64)=0,SUM($U64)=0),"",ROUND(SUM($G64)*SUM($U64),0))</f>
        <v/>
      </c>
      <c r="AK64" s="39" t="str">
        <f aca="false">IF(SUM($AJ64)=0,"",IF(SUM($AI64)=0,"ENTER YIELD",ROUND($AJ64/$AI64,0)-$AJ64))</f>
        <v/>
      </c>
      <c r="AL64" s="10" t="str">
        <f aca="false">IF(SUM($G64)=0,"",$G64)</f>
        <v/>
      </c>
      <c r="AM64" s="10" t="str">
        <f aca="false">IFERROR(1/(1/SUM($H64:$K64,$X64,$AA64,$AD64,$AG64,$AJ64)),"")</f>
        <v/>
      </c>
      <c r="AN64" s="10" t="str">
        <f aca="false">IF(AND(SUM($AM64)=0,SUM($AL64)=0),"",$AM64-$AL64)</f>
        <v/>
      </c>
      <c r="AO64" s="10" t="str">
        <f aca="false">IF(OR($C64="01-09",$D64="Male"),"",INDEX(PMTCT!$AD:$AD,MATCH($E64,PMTCT!$E:$E,0)))</f>
        <v/>
      </c>
      <c r="AP64" s="10" t="str">
        <f aca="false">IF(OR($C64="01-09",$D64="Male"),"",INDEX(PMTCT!$AT:$AT,MATCH($E64,PMTCT!$E:$E,0)))</f>
        <v/>
      </c>
      <c r="AQ64" s="10" t="str">
        <f aca="false">INDEX(TB!$Q:$Q,MATCH($E64,TB!$E:$E,0))</f>
        <v/>
      </c>
      <c r="AR64" s="10" t="str">
        <f aca="false">IF(OR($C64="01-09",$C64="10-14",$D64="Female"),"",INDEX(VMMC!$AB:$AB,MATCH($E64,VMMC!$E:$E,0)))</f>
        <v/>
      </c>
      <c r="AS64" s="10" t="str">
        <f aca="false">IF(OR($C64="01-09",$C64="10-14"),"",INDEX(PrEP!$Q:$Q,MATCH($E64,PrEP!$E:$E,0)))</f>
        <v/>
      </c>
      <c r="AT64" s="10" t="str">
        <f aca="false">IFERROR(1/(1/SUM($Y64,$AB64,$AE64,$AH64,$AK64,$AO64:$AS64)),"")</f>
        <v/>
      </c>
      <c r="AU64" s="10" t="str">
        <f aca="false">IFERROR(1/(1/SUM($AT64,$AM64)),"")</f>
        <v/>
      </c>
      <c r="AV64" s="88" t="str">
        <f aca="false">IF(AND(SUM($AM64)=0,SUM($AU64)=0),"",$AM64/$AU64)</f>
        <v/>
      </c>
      <c r="AW64" s="10"/>
      <c r="AX64" s="88" t="str">
        <f aca="false">IF(OR($C64="01-09",SUM($AW64)=0),"",0%)</f>
        <v/>
      </c>
      <c r="AY64" s="39" t="str">
        <f aca="false">IF(OR($C64="01-09",SUM($AW64)=0),"",ROUND($AW64*(1+$AX64),0))</f>
        <v/>
      </c>
      <c r="AZ64" s="88" t="str">
        <f aca="false">IF(OR($C64="01-09",$C64="10-14"),"",100%)</f>
        <v/>
      </c>
      <c r="BA64" s="39" t="str">
        <f aca="false">IF(OR(SUM($AM64)=0,$C64="01-09",$C64="10-14"),"",$AM64*$AZ64)</f>
        <v/>
      </c>
    </row>
    <row r="65" customFormat="false" ht="15" hidden="false" customHeight="false" outlineLevel="0" collapsed="false">
      <c r="A65" s="0" t="str">
        <f aca="false">INDEX(Prioritization!$D:$D,MATCH($B65,Prioritization!$A:$A,0))</f>
        <v>1 - Scale-up: Saturation</v>
      </c>
      <c r="B65" s="0" t="s">
        <v>198</v>
      </c>
      <c r="C65" s="0" t="s">
        <v>364</v>
      </c>
      <c r="D65" s="0" t="s">
        <v>30</v>
      </c>
      <c r="E65" s="0" t="str">
        <f aca="false">$B65&amp;"|"&amp;$C65&amp;"|"&amp;$D65</f>
        <v>Lilongwe District [ScR9iFKAasW]|10-14|Female</v>
      </c>
      <c r="F65" s="88" t="n">
        <f aca="false">IF(LEFT($B65,4)="_Mil","",INDEX(Cascade!$AA:$AA,MATCH($E65,Cascade!$E:$E,0)))</f>
        <v>1545</v>
      </c>
      <c r="G65" s="10" t="n">
        <f aca="false">INDEX(Cascade!$BH:$BH,MATCH($E65,Cascade!$E:$E,0))</f>
        <v>-431</v>
      </c>
      <c r="H65" s="10" t="str">
        <f aca="false">IF(OR($C65="01-09",$D65="Male"),"",INDEX(PMTCT!$AC:$AC,MATCH($E65,PMTCT!$E:$E,0)))</f>
        <v>ENTER YIELD RATE</v>
      </c>
      <c r="I65" s="10" t="n">
        <f aca="false">IF(OR($C65="01-09",$D65="Male"),"",INDEX(PMTCT!$AS:$AS,MATCH($E65,PMTCT!$E:$E,0)))</f>
        <v>14</v>
      </c>
      <c r="J65" s="10" t="str">
        <f aca="false">INDEX(TB!$P:$P,MATCH($E65,TB!$E:$E,0))</f>
        <v>ENTER YIELD RATE</v>
      </c>
      <c r="K65" s="10" t="str">
        <f aca="false">IF(OR($C65="01-09",$C65="10-14",$D65="Female"),"",INDEX(VMMC!$AA:$AA,MATCH($E65,VMMC!$E:$E,0)))</f>
        <v/>
      </c>
      <c r="L65" s="10" t="n">
        <f aca="false">SUM($G65)-SUM($H65:$K65)</f>
        <v>-445</v>
      </c>
      <c r="M65" s="88" t="n">
        <f aca="false">IF(OR($C65="01-09",$D65="Male",AND(SUM($G65)=0,SUM($H65)=0)),"",SUM($H65)/SUM($G65))</f>
        <v>-0</v>
      </c>
      <c r="N65" s="88" t="n">
        <f aca="false">IF(OR($C65="01-09",$D65="Male",AND(SUM($G65)=0,SUM($I65)=0)),"",SUM($I65)/SUM($G65))</f>
        <v>-0.0324825986078886</v>
      </c>
      <c r="O65" s="88" t="n">
        <f aca="false">IF(AND(SUM($G65)=0,SUM($J65)=0),"",SUM($J65)/SUM($G65))</f>
        <v>-0</v>
      </c>
      <c r="P65" s="88" t="str">
        <f aca="false">IF(OR($C65="01-09",$C65="10-14",$D65="Female",AND(SUM($G65)=0,SUM($K65)=0)),"",SUM($K65)/SUM($G65))</f>
        <v/>
      </c>
      <c r="Q65" s="88" t="n">
        <v>0.507633686065674</v>
      </c>
      <c r="R65" s="88"/>
      <c r="S65" s="88"/>
      <c r="T65" s="88"/>
      <c r="U65" s="88" t="n">
        <v>0.993601361522451</v>
      </c>
      <c r="V65" s="88" t="n">
        <f aca="false">IF(SUM($G65)=0,"",SUM($M65:$U65))</f>
        <v>1.46875244898024</v>
      </c>
      <c r="W65" s="88"/>
      <c r="X65" s="39" t="n">
        <f aca="false">IF(OR(SUM($G65)=0,SUM($Q65)=0),"",ROUND(SUM($G65)*SUM($Q65),0))</f>
        <v>-219</v>
      </c>
      <c r="Y65" s="39" t="str">
        <f aca="false">IF(SUM($X65)=0,"",IF(SUM($W65)=0,"ENTER YIELD",ROUND($X65/$W65,0)-$X65))</f>
        <v>ENTER YIELD</v>
      </c>
      <c r="Z65" s="88"/>
      <c r="AA65" s="39" t="str">
        <f aca="false">IF(OR(SUM($G65)=0,SUM($R65)=0),"",ROUND(SUM($G65)*SUM($R65),0))</f>
        <v/>
      </c>
      <c r="AB65" s="39" t="str">
        <f aca="false">IF(SUM($AA65)=0,"",IF(SUM($Z65)=0,"ENTER YIELD",ROUND($AA65/$Z65,0)-$AA65))</f>
        <v/>
      </c>
      <c r="AC65" s="88"/>
      <c r="AD65" s="39" t="str">
        <f aca="false">IF(OR(SUM($G65)=0,SUM($S65)=0),"",ROUND(SUM($G65)*SUM($S65),0))</f>
        <v/>
      </c>
      <c r="AE65" s="39" t="str">
        <f aca="false">IF(SUM($AD65)=0,"",IF(SUM($AC65)=0,"ENTER YIELD",ROUND($AD65/$AC65,0)-$AD65))</f>
        <v/>
      </c>
      <c r="AF65" s="88"/>
      <c r="AG65" s="39" t="str">
        <f aca="false">IF(OR(SUM($G65)=0,SUM($T65)=0),"",ROUND(SUM($G65)*SUM($T65),0))</f>
        <v/>
      </c>
      <c r="AH65" s="39" t="str">
        <f aca="false">IF(SUM($AG65)=0,"",IF(SUM($AF65)=0,"ENTER YIELD",ROUND($AG65/$AF65,0)-$AG65))</f>
        <v/>
      </c>
      <c r="AI65" s="88" t="n">
        <v>0.497707082424313</v>
      </c>
      <c r="AJ65" s="39" t="n">
        <f aca="false">IF(OR(SUM($G65)=0,SUM($U65)=0),"",ROUND(SUM($G65)*SUM($U65),0))</f>
        <v>-428</v>
      </c>
      <c r="AK65" s="39" t="n">
        <f aca="false">IF(SUM($AJ65)=0,"",IF(SUM($AI65)=0,"ENTER YIELD",ROUND($AJ65/$AI65,0)-$AJ65))</f>
        <v>-432</v>
      </c>
      <c r="AL65" s="10" t="n">
        <f aca="false">IF(SUM($G65)=0,"",$G65)</f>
        <v>-431</v>
      </c>
      <c r="AM65" s="10" t="n">
        <f aca="false">IFERROR(1/(1/SUM($H65:$K65,$X65,$AA65,$AD65,$AG65,$AJ65)),"")</f>
        <v>-633</v>
      </c>
      <c r="AN65" s="10" t="n">
        <f aca="false">IF(AND(SUM($AM65)=0,SUM($AL65)=0),"",$AM65-$AL65)</f>
        <v>-202</v>
      </c>
      <c r="AO65" s="10" t="n">
        <f aca="false">IF(OR($C65="01-09",$D65="Male"),"",INDEX(PMTCT!$AD:$AD,MATCH($E65,PMTCT!$E:$E,0)))</f>
        <v>19</v>
      </c>
      <c r="AP65" s="10" t="n">
        <f aca="false">IF(OR($C65="01-09",$D65="Male"),"",INDEX(PMTCT!$AT:$AT,MATCH($E65,PMTCT!$E:$E,0)))</f>
        <v>5</v>
      </c>
      <c r="AQ65" s="10" t="n">
        <f aca="false">INDEX(TB!$Q:$Q,MATCH($E65,TB!$E:$E,0))</f>
        <v>8</v>
      </c>
      <c r="AR65" s="10" t="str">
        <f aca="false">IF(OR($C65="01-09",$C65="10-14",$D65="Female"),"",INDEX(VMMC!$AB:$AB,MATCH($E65,VMMC!$E:$E,0)))</f>
        <v/>
      </c>
      <c r="AS65" s="10" t="str">
        <f aca="false">IF(OR($C65="01-09",$C65="10-14"),"",INDEX(PrEP!$Q:$Q,MATCH($E65,PrEP!$E:$E,0)))</f>
        <v/>
      </c>
      <c r="AT65" s="10" t="n">
        <f aca="false">IFERROR(1/(1/SUM($Y65,$AB65,$AE65,$AH65,$AK65,$AO65:$AS65)),"")</f>
        <v>-400</v>
      </c>
      <c r="AU65" s="10" t="n">
        <f aca="false">IFERROR(1/(1/SUM($AT65,$AM65)),"")</f>
        <v>-1033</v>
      </c>
      <c r="AV65" s="88" t="n">
        <f aca="false">IF(AND(SUM($AM65)=0,SUM($AU65)=0),"",$AM65/$AU65)</f>
        <v>0.612778315585673</v>
      </c>
      <c r="AW65" s="10"/>
      <c r="AX65" s="88" t="str">
        <f aca="false">IF(OR($C65="01-09",SUM($AW65)=0),"",0%)</f>
        <v/>
      </c>
      <c r="AY65" s="39" t="str">
        <f aca="false">IF(OR($C65="01-09",SUM($AW65)=0),"",ROUND($AW65*(1+$AX65),0))</f>
        <v/>
      </c>
      <c r="AZ65" s="88" t="str">
        <f aca="false">IF(OR($C65="01-09",$C65="10-14"),"",100%)</f>
        <v/>
      </c>
      <c r="BA65" s="39" t="str">
        <f aca="false">IF(OR(SUM($AM65)=0,$C65="01-09",$C65="10-14"),"",$AM65*$AZ65)</f>
        <v/>
      </c>
    </row>
    <row r="66" customFormat="false" ht="15" hidden="false" customHeight="false" outlineLevel="0" collapsed="false">
      <c r="A66" s="0" t="str">
        <f aca="false">INDEX(Prioritization!$D:$D,MATCH($B66,Prioritization!$A:$A,0))</f>
        <v>1 - Scale-up: Saturation</v>
      </c>
      <c r="B66" s="0" t="s">
        <v>198</v>
      </c>
      <c r="C66" s="0" t="s">
        <v>364</v>
      </c>
      <c r="D66" s="0" t="s">
        <v>48</v>
      </c>
      <c r="E66" s="0" t="str">
        <f aca="false">$B66&amp;"|"&amp;$C66&amp;"|"&amp;$D66</f>
        <v>Lilongwe District [ScR9iFKAasW]|10-14|Male</v>
      </c>
      <c r="F66" s="88" t="n">
        <f aca="false">IF(LEFT($B66,4)="_Mil","",INDEX(Cascade!$AA:$AA,MATCH($E66,Cascade!$E:$E,0)))</f>
        <v>1220</v>
      </c>
      <c r="G66" s="10" t="n">
        <f aca="false">INDEX(Cascade!$BH:$BH,MATCH($E66,Cascade!$E:$E,0))</f>
        <v>-777</v>
      </c>
      <c r="H66" s="10" t="str">
        <f aca="false">IF(OR($C66="01-09",$D66="Male"),"",INDEX(PMTCT!$AC:$AC,MATCH($E66,PMTCT!$E:$E,0)))</f>
        <v/>
      </c>
      <c r="I66" s="10" t="str">
        <f aca="false">IF(OR($C66="01-09",$D66="Male"),"",INDEX(PMTCT!$AS:$AS,MATCH($E66,PMTCT!$E:$E,0)))</f>
        <v/>
      </c>
      <c r="J66" s="10" t="str">
        <f aca="false">INDEX(TB!$P:$P,MATCH($E66,TB!$E:$E,0))</f>
        <v>ENTER YIELD RATE</v>
      </c>
      <c r="K66" s="10" t="str">
        <f aca="false">IF(OR($C66="01-09",$C66="10-14",$D66="Female"),"",INDEX(VMMC!$AA:$AA,MATCH($E66,VMMC!$E:$E,0)))</f>
        <v/>
      </c>
      <c r="L66" s="10" t="n">
        <f aca="false">SUM($G66)-SUM($H66:$K66)</f>
        <v>-777</v>
      </c>
      <c r="M66" s="88" t="str">
        <f aca="false">IF(OR($C66="01-09",$D66="Male",AND(SUM($G66)=0,SUM($H66)=0)),"",SUM($H66)/SUM($G66))</f>
        <v/>
      </c>
      <c r="N66" s="88" t="str">
        <f aca="false">IF(OR($C66="01-09",$D66="Male",AND(SUM($G66)=0,SUM($I66)=0)),"",SUM($I66)/SUM($G66))</f>
        <v/>
      </c>
      <c r="O66" s="88" t="n">
        <f aca="false">IF(AND(SUM($G66)=0,SUM($J66)=0),"",SUM($J66)/SUM($G66))</f>
        <v>-0</v>
      </c>
      <c r="P66" s="88" t="str">
        <f aca="false">IF(OR($C66="01-09",$C66="10-14",$D66="Female",AND(SUM($G66)=0,SUM($K66)=0)),"",SUM($K66)/SUM($G66))</f>
        <v/>
      </c>
      <c r="Q66" s="88" t="n">
        <v>0.15653834445402</v>
      </c>
      <c r="R66" s="88"/>
      <c r="S66" s="88"/>
      <c r="T66" s="88"/>
      <c r="U66" s="88" t="n">
        <v>0.821611122228205</v>
      </c>
      <c r="V66" s="88" t="n">
        <f aca="false">IF(SUM($G66)=0,"",SUM($M66:$U66))</f>
        <v>0.978149466682225</v>
      </c>
      <c r="W66" s="88"/>
      <c r="X66" s="39" t="n">
        <f aca="false">IF(OR(SUM($G66)=0,SUM($Q66)=0),"",ROUND(SUM($G66)*SUM($Q66),0))</f>
        <v>-122</v>
      </c>
      <c r="Y66" s="39" t="str">
        <f aca="false">IF(SUM($X66)=0,"",IF(SUM($W66)=0,"ENTER YIELD",ROUND($X66/$W66,0)-$X66))</f>
        <v>ENTER YIELD</v>
      </c>
      <c r="Z66" s="88"/>
      <c r="AA66" s="39" t="str">
        <f aca="false">IF(OR(SUM($G66)=0,SUM($R66)=0),"",ROUND(SUM($G66)*SUM($R66),0))</f>
        <v/>
      </c>
      <c r="AB66" s="39" t="str">
        <f aca="false">IF(SUM($AA66)=0,"",IF(SUM($Z66)=0,"ENTER YIELD",ROUND($AA66/$Z66,0)-$AA66))</f>
        <v/>
      </c>
      <c r="AC66" s="88"/>
      <c r="AD66" s="39" t="str">
        <f aca="false">IF(OR(SUM($G66)=0,SUM($S66)=0),"",ROUND(SUM($G66)*SUM($S66),0))</f>
        <v/>
      </c>
      <c r="AE66" s="39" t="str">
        <f aca="false">IF(SUM($AD66)=0,"",IF(SUM($AC66)=0,"ENTER YIELD",ROUND($AD66/$AC66,0)-$AD66))</f>
        <v/>
      </c>
      <c r="AF66" s="88"/>
      <c r="AG66" s="39" t="str">
        <f aca="false">IF(OR(SUM($G66)=0,SUM($T66)=0),"",ROUND(SUM($G66)*SUM($T66),0))</f>
        <v/>
      </c>
      <c r="AH66" s="39" t="str">
        <f aca="false">IF(SUM($AG66)=0,"",IF(SUM($AF66)=0,"ENTER YIELD",ROUND($AG66/$AF66,0)-$AG66))</f>
        <v/>
      </c>
      <c r="AI66" s="88" t="n">
        <v>0.398270906182006</v>
      </c>
      <c r="AJ66" s="39" t="n">
        <f aca="false">IF(OR(SUM($G66)=0,SUM($U66)=0),"",ROUND(SUM($G66)*SUM($U66),0))</f>
        <v>-638</v>
      </c>
      <c r="AK66" s="39" t="n">
        <f aca="false">IF(SUM($AJ66)=0,"",IF(SUM($AI66)=0,"ENTER YIELD",ROUND($AJ66/$AI66,0)-$AJ66))</f>
        <v>-964</v>
      </c>
      <c r="AL66" s="10" t="n">
        <f aca="false">IF(SUM($G66)=0,"",$G66)</f>
        <v>-777</v>
      </c>
      <c r="AM66" s="10" t="n">
        <f aca="false">IFERROR(1/(1/SUM($H66:$K66,$X66,$AA66,$AD66,$AG66,$AJ66)),"")</f>
        <v>-760</v>
      </c>
      <c r="AN66" s="10" t="n">
        <f aca="false">IF(AND(SUM($AM66)=0,SUM($AL66)=0),"",$AM66-$AL66)</f>
        <v>17</v>
      </c>
      <c r="AO66" s="10" t="str">
        <f aca="false">IF(OR($C66="01-09",$D66="Male"),"",INDEX(PMTCT!$AD:$AD,MATCH($E66,PMTCT!$E:$E,0)))</f>
        <v/>
      </c>
      <c r="AP66" s="10" t="str">
        <f aca="false">IF(OR($C66="01-09",$D66="Male"),"",INDEX(PMTCT!$AT:$AT,MATCH($E66,PMTCT!$E:$E,0)))</f>
        <v/>
      </c>
      <c r="AQ66" s="10" t="n">
        <f aca="false">INDEX(TB!$Q:$Q,MATCH($E66,TB!$E:$E,0))</f>
        <v>3</v>
      </c>
      <c r="AR66" s="10" t="str">
        <f aca="false">IF(OR($C66="01-09",$C66="10-14",$D66="Female"),"",INDEX(VMMC!$AB:$AB,MATCH($E66,VMMC!$E:$E,0)))</f>
        <v/>
      </c>
      <c r="AS66" s="10" t="str">
        <f aca="false">IF(OR($C66="01-09",$C66="10-14"),"",INDEX(PrEP!$Q:$Q,MATCH($E66,PrEP!$E:$E,0)))</f>
        <v/>
      </c>
      <c r="AT66" s="10" t="n">
        <f aca="false">IFERROR(1/(1/SUM($Y66,$AB66,$AE66,$AH66,$AK66,$AO66:$AS66)),"")</f>
        <v>-961</v>
      </c>
      <c r="AU66" s="10" t="n">
        <f aca="false">IFERROR(1/(1/SUM($AT66,$AM66)),"")</f>
        <v>-1721</v>
      </c>
      <c r="AV66" s="88" t="n">
        <f aca="false">IF(AND(SUM($AM66)=0,SUM($AU66)=0),"",$AM66/$AU66)</f>
        <v>0.441603718768158</v>
      </c>
      <c r="AW66" s="10"/>
      <c r="AX66" s="88" t="str">
        <f aca="false">IF(OR($C66="01-09",SUM($AW66)=0),"",0%)</f>
        <v/>
      </c>
      <c r="AY66" s="39" t="str">
        <f aca="false">IF(OR($C66="01-09",SUM($AW66)=0),"",ROUND($AW66*(1+$AX66),0))</f>
        <v/>
      </c>
      <c r="AZ66" s="88" t="str">
        <f aca="false">IF(OR($C66="01-09",$C66="10-14"),"",100%)</f>
        <v/>
      </c>
      <c r="BA66" s="39" t="str">
        <f aca="false">IF(OR(SUM($AM66)=0,$C66="01-09",$C66="10-14"),"",$AM66*$AZ66)</f>
        <v/>
      </c>
    </row>
    <row r="67" customFormat="false" ht="15" hidden="false" customHeight="false" outlineLevel="0" collapsed="false">
      <c r="A67" s="0" t="str">
        <f aca="false">INDEX(Prioritization!$D:$D,MATCH($B67,Prioritization!$A:$A,0))</f>
        <v>1 - Scale-up: Saturation</v>
      </c>
      <c r="B67" s="0" t="s">
        <v>198</v>
      </c>
      <c r="C67" s="0" t="s">
        <v>365</v>
      </c>
      <c r="D67" s="0" t="s">
        <v>30</v>
      </c>
      <c r="E67" s="0" t="str">
        <f aca="false">$B67&amp;"|"&amp;$C67&amp;"|"&amp;$D67</f>
        <v>Lilongwe District [ScR9iFKAasW]|15-24|Female</v>
      </c>
      <c r="F67" s="88" t="n">
        <f aca="false">IF(LEFT($B67,4)="_Mil","",INDEX(Cascade!$AA:$AA,MATCH($E67,Cascade!$E:$E,0)))</f>
        <v>1520</v>
      </c>
      <c r="G67" s="10" t="n">
        <f aca="false">INDEX(Cascade!$BH:$BH,MATCH($E67,Cascade!$E:$E,0))</f>
        <v>0</v>
      </c>
      <c r="H67" s="10" t="str">
        <f aca="false">IF(OR($C67="01-09",$D67="Male"),"",INDEX(PMTCT!$AC:$AC,MATCH($E67,PMTCT!$E:$E,0)))</f>
        <v/>
      </c>
      <c r="I67" s="10" t="str">
        <f aca="false">IF(OR($C67="01-09",$D67="Male"),"",INDEX(PMTCT!$AS:$AS,MATCH($E67,PMTCT!$E:$E,0)))</f>
        <v/>
      </c>
      <c r="J67" s="10" t="str">
        <f aca="false">INDEX(TB!$P:$P,MATCH($E67,TB!$E:$E,0))</f>
        <v/>
      </c>
      <c r="K67" s="10" t="str">
        <f aca="false">IF(OR($C67="01-09",$C67="10-14",$D67="Female"),"",INDEX(VMMC!$AA:$AA,MATCH($E67,VMMC!$E:$E,0)))</f>
        <v/>
      </c>
      <c r="L67" s="10" t="n">
        <f aca="false">SUM($G67)-SUM($H67:$K67)</f>
        <v>0</v>
      </c>
      <c r="M67" s="88" t="str">
        <f aca="false">IF(OR($C67="01-09",$D67="Male",AND(SUM($G67)=0,SUM($H67)=0)),"",SUM($H67)/SUM($G67))</f>
        <v/>
      </c>
      <c r="N67" s="88" t="str">
        <f aca="false">IF(OR($C67="01-09",$D67="Male",AND(SUM($G67)=0,SUM($I67)=0)),"",SUM($I67)/SUM($G67))</f>
        <v/>
      </c>
      <c r="O67" s="88" t="str">
        <f aca="false">IF(AND(SUM($G67)=0,SUM($J67)=0),"",SUM($J67)/SUM($G67))</f>
        <v/>
      </c>
      <c r="P67" s="88" t="str">
        <f aca="false">IF(OR($C67="01-09",$C67="10-14",$D67="Female",AND(SUM($G67)=0,SUM($K67)=0)),"",SUM($K67)/SUM($G67))</f>
        <v/>
      </c>
      <c r="Q67" s="88"/>
      <c r="R67" s="88"/>
      <c r="S67" s="88"/>
      <c r="T67" s="88"/>
      <c r="U67" s="88"/>
      <c r="V67" s="88" t="str">
        <f aca="false">IF(SUM($G67)=0,"",SUM($M67:$U67))</f>
        <v/>
      </c>
      <c r="W67" s="88"/>
      <c r="X67" s="39" t="str">
        <f aca="false">IF(OR(SUM($G67)=0,SUM($Q67)=0),"",ROUND(SUM($G67)*SUM($Q67),0))</f>
        <v/>
      </c>
      <c r="Y67" s="39" t="str">
        <f aca="false">IF(SUM($X67)=0,"",IF(SUM($W67)=0,"ENTER YIELD",ROUND($X67/$W67,0)-$X67))</f>
        <v/>
      </c>
      <c r="Z67" s="88"/>
      <c r="AA67" s="39" t="str">
        <f aca="false">IF(OR(SUM($G67)=0,SUM($R67)=0),"",ROUND(SUM($G67)*SUM($R67),0))</f>
        <v/>
      </c>
      <c r="AB67" s="39" t="str">
        <f aca="false">IF(SUM($AA67)=0,"",IF(SUM($Z67)=0,"ENTER YIELD",ROUND($AA67/$Z67,0)-$AA67))</f>
        <v/>
      </c>
      <c r="AC67" s="88"/>
      <c r="AD67" s="39" t="str">
        <f aca="false">IF(OR(SUM($G67)=0,SUM($S67)=0),"",ROUND(SUM($G67)*SUM($S67),0))</f>
        <v/>
      </c>
      <c r="AE67" s="39" t="str">
        <f aca="false">IF(SUM($AD67)=0,"",IF(SUM($AC67)=0,"ENTER YIELD",ROUND($AD67/$AC67,0)-$AD67))</f>
        <v/>
      </c>
      <c r="AF67" s="88"/>
      <c r="AG67" s="39" t="str">
        <f aca="false">IF(OR(SUM($G67)=0,SUM($T67)=0),"",ROUND(SUM($G67)*SUM($T67),0))</f>
        <v/>
      </c>
      <c r="AH67" s="39" t="str">
        <f aca="false">IF(SUM($AG67)=0,"",IF(SUM($AF67)=0,"ENTER YIELD",ROUND($AG67/$AF67,0)-$AG67))</f>
        <v/>
      </c>
      <c r="AI67" s="88"/>
      <c r="AJ67" s="39" t="str">
        <f aca="false">IF(OR(SUM($G67)=0,SUM($U67)=0),"",ROUND(SUM($G67)*SUM($U67),0))</f>
        <v/>
      </c>
      <c r="AK67" s="39" t="str">
        <f aca="false">IF(SUM($AJ67)=0,"",IF(SUM($AI67)=0,"ENTER YIELD",ROUND($AJ67/$AI67,0)-$AJ67))</f>
        <v/>
      </c>
      <c r="AL67" s="10" t="str">
        <f aca="false">IF(SUM($G67)=0,"",$G67)</f>
        <v/>
      </c>
      <c r="AM67" s="10" t="str">
        <f aca="false">IFERROR(1/(1/SUM($H67:$K67,$X67,$AA67,$AD67,$AG67,$AJ67)),"")</f>
        <v/>
      </c>
      <c r="AN67" s="10" t="str">
        <f aca="false">IF(AND(SUM($AM67)=0,SUM($AL67)=0),"",$AM67-$AL67)</f>
        <v/>
      </c>
      <c r="AO67" s="10" t="str">
        <f aca="false">IF(OR($C67="01-09",$D67="Male"),"",INDEX(PMTCT!$AD:$AD,MATCH($E67,PMTCT!$E:$E,0)))</f>
        <v/>
      </c>
      <c r="AP67" s="10" t="str">
        <f aca="false">IF(OR($C67="01-09",$D67="Male"),"",INDEX(PMTCT!$AT:$AT,MATCH($E67,PMTCT!$E:$E,0)))</f>
        <v/>
      </c>
      <c r="AQ67" s="10" t="str">
        <f aca="false">INDEX(TB!$Q:$Q,MATCH($E67,TB!$E:$E,0))</f>
        <v/>
      </c>
      <c r="AR67" s="10" t="str">
        <f aca="false">IF(OR($C67="01-09",$C67="10-14",$D67="Female"),"",INDEX(VMMC!$AB:$AB,MATCH($E67,VMMC!$E:$E,0)))</f>
        <v/>
      </c>
      <c r="AS67" s="10" t="str">
        <f aca="false">IF(OR($C67="01-09",$C67="10-14"),"",INDEX(PrEP!$Q:$Q,MATCH($E67,PrEP!$E:$E,0)))</f>
        <v/>
      </c>
      <c r="AT67" s="10" t="str">
        <f aca="false">IFERROR(1/(1/SUM($Y67,$AB67,$AE67,$AH67,$AK67,$AO67:$AS67)),"")</f>
        <v/>
      </c>
      <c r="AU67" s="10" t="str">
        <f aca="false">IFERROR(1/(1/SUM($AT67,$AM67)),"")</f>
        <v/>
      </c>
      <c r="AV67" s="88" t="str">
        <f aca="false">IF(AND(SUM($AM67)=0,SUM($AU67)=0),"",$AM67/$AU67)</f>
        <v/>
      </c>
      <c r="AW67" s="10"/>
      <c r="AX67" s="88" t="str">
        <f aca="false">IF(OR($C67="01-09",SUM($AW67)=0),"",0%)</f>
        <v/>
      </c>
      <c r="AY67" s="39" t="str">
        <f aca="false">IF(OR($C67="01-09",SUM($AW67)=0),"",ROUND($AW67*(1+$AX67),0))</f>
        <v/>
      </c>
      <c r="AZ67" s="88" t="n">
        <f aca="false">IF(OR($C67="01-09",$C67="10-14"),"",100%)</f>
        <v>1</v>
      </c>
      <c r="BA67" s="39" t="str">
        <f aca="false">IF(OR(SUM($AM67)=0,$C67="01-09",$C67="10-14"),"",$AM67*$AZ67)</f>
        <v/>
      </c>
    </row>
    <row r="68" customFormat="false" ht="15" hidden="false" customHeight="false" outlineLevel="0" collapsed="false">
      <c r="A68" s="0" t="str">
        <f aca="false">INDEX(Prioritization!$D:$D,MATCH($B68,Prioritization!$A:$A,0))</f>
        <v>1 - Scale-up: Saturation</v>
      </c>
      <c r="B68" s="0" t="s">
        <v>198</v>
      </c>
      <c r="C68" s="0" t="s">
        <v>365</v>
      </c>
      <c r="D68" s="0" t="s">
        <v>48</v>
      </c>
      <c r="E68" s="0" t="str">
        <f aca="false">$B68&amp;"|"&amp;$C68&amp;"|"&amp;$D68</f>
        <v>Lilongwe District [ScR9iFKAasW]|15-24|Male</v>
      </c>
      <c r="F68" s="88" t="n">
        <f aca="false">IF(LEFT($B68,4)="_Mil","",INDEX(Cascade!$AA:$AA,MATCH($E68,Cascade!$E:$E,0)))</f>
        <v>590</v>
      </c>
      <c r="G68" s="10" t="n">
        <f aca="false">INDEX(Cascade!$BH:$BH,MATCH($E68,Cascade!$E:$E,0))</f>
        <v>0</v>
      </c>
      <c r="H68" s="10" t="str">
        <f aca="false">IF(OR($C68="01-09",$D68="Male"),"",INDEX(PMTCT!$AC:$AC,MATCH($E68,PMTCT!$E:$E,0)))</f>
        <v/>
      </c>
      <c r="I68" s="10" t="str">
        <f aca="false">IF(OR($C68="01-09",$D68="Male"),"",INDEX(PMTCT!$AS:$AS,MATCH($E68,PMTCT!$E:$E,0)))</f>
        <v/>
      </c>
      <c r="J68" s="10" t="str">
        <f aca="false">INDEX(TB!$P:$P,MATCH($E68,TB!$E:$E,0))</f>
        <v/>
      </c>
      <c r="K68" s="10" t="str">
        <f aca="false">IF(OR($C68="01-09",$C68="10-14",$D68="Female"),"",INDEX(VMMC!$AA:$AA,MATCH($E68,VMMC!$E:$E,0)))</f>
        <v/>
      </c>
      <c r="L68" s="10" t="n">
        <f aca="false">SUM($G68)-SUM($H68:$K68)</f>
        <v>0</v>
      </c>
      <c r="M68" s="88" t="str">
        <f aca="false">IF(OR($C68="01-09",$D68="Male",AND(SUM($G68)=0,SUM($H68)=0)),"",SUM($H68)/SUM($G68))</f>
        <v/>
      </c>
      <c r="N68" s="88" t="str">
        <f aca="false">IF(OR($C68="01-09",$D68="Male",AND(SUM($G68)=0,SUM($I68)=0)),"",SUM($I68)/SUM($G68))</f>
        <v/>
      </c>
      <c r="O68" s="88" t="str">
        <f aca="false">IF(AND(SUM($G68)=0,SUM($J68)=0),"",SUM($J68)/SUM($G68))</f>
        <v/>
      </c>
      <c r="P68" s="88" t="str">
        <f aca="false">IF(OR($C68="01-09",$C68="10-14",$D68="Female",AND(SUM($G68)=0,SUM($K68)=0)),"",SUM($K68)/SUM($G68))</f>
        <v/>
      </c>
      <c r="Q68" s="88"/>
      <c r="R68" s="88"/>
      <c r="S68" s="88"/>
      <c r="T68" s="88"/>
      <c r="U68" s="88"/>
      <c r="V68" s="88" t="str">
        <f aca="false">IF(SUM($G68)=0,"",SUM($M68:$U68))</f>
        <v/>
      </c>
      <c r="W68" s="88"/>
      <c r="X68" s="39" t="str">
        <f aca="false">IF(OR(SUM($G68)=0,SUM($Q68)=0),"",ROUND(SUM($G68)*SUM($Q68),0))</f>
        <v/>
      </c>
      <c r="Y68" s="39" t="str">
        <f aca="false">IF(SUM($X68)=0,"",IF(SUM($W68)=0,"ENTER YIELD",ROUND($X68/$W68,0)-$X68))</f>
        <v/>
      </c>
      <c r="Z68" s="88"/>
      <c r="AA68" s="39" t="str">
        <f aca="false">IF(OR(SUM($G68)=0,SUM($R68)=0),"",ROUND(SUM($G68)*SUM($R68),0))</f>
        <v/>
      </c>
      <c r="AB68" s="39" t="str">
        <f aca="false">IF(SUM($AA68)=0,"",IF(SUM($Z68)=0,"ENTER YIELD",ROUND($AA68/$Z68,0)-$AA68))</f>
        <v/>
      </c>
      <c r="AC68" s="88"/>
      <c r="AD68" s="39" t="str">
        <f aca="false">IF(OR(SUM($G68)=0,SUM($S68)=0),"",ROUND(SUM($G68)*SUM($S68),0))</f>
        <v/>
      </c>
      <c r="AE68" s="39" t="str">
        <f aca="false">IF(SUM($AD68)=0,"",IF(SUM($AC68)=0,"ENTER YIELD",ROUND($AD68/$AC68,0)-$AD68))</f>
        <v/>
      </c>
      <c r="AF68" s="88"/>
      <c r="AG68" s="39" t="str">
        <f aca="false">IF(OR(SUM($G68)=0,SUM($T68)=0),"",ROUND(SUM($G68)*SUM($T68),0))</f>
        <v/>
      </c>
      <c r="AH68" s="39" t="str">
        <f aca="false">IF(SUM($AG68)=0,"",IF(SUM($AF68)=0,"ENTER YIELD",ROUND($AG68/$AF68,0)-$AG68))</f>
        <v/>
      </c>
      <c r="AI68" s="88"/>
      <c r="AJ68" s="39" t="str">
        <f aca="false">IF(OR(SUM($G68)=0,SUM($U68)=0),"",ROUND(SUM($G68)*SUM($U68),0))</f>
        <v/>
      </c>
      <c r="AK68" s="39" t="str">
        <f aca="false">IF(SUM($AJ68)=0,"",IF(SUM($AI68)=0,"ENTER YIELD",ROUND($AJ68/$AI68,0)-$AJ68))</f>
        <v/>
      </c>
      <c r="AL68" s="10" t="str">
        <f aca="false">IF(SUM($G68)=0,"",$G68)</f>
        <v/>
      </c>
      <c r="AM68" s="10" t="str">
        <f aca="false">IFERROR(1/(1/SUM($H68:$K68,$X68,$AA68,$AD68,$AG68,$AJ68)),"")</f>
        <v/>
      </c>
      <c r="AN68" s="10" t="str">
        <f aca="false">IF(AND(SUM($AM68)=0,SUM($AL68)=0),"",$AM68-$AL68)</f>
        <v/>
      </c>
      <c r="AO68" s="10" t="str">
        <f aca="false">IF(OR($C68="01-09",$D68="Male"),"",INDEX(PMTCT!$AD:$AD,MATCH($E68,PMTCT!$E:$E,0)))</f>
        <v/>
      </c>
      <c r="AP68" s="10" t="str">
        <f aca="false">IF(OR($C68="01-09",$D68="Male"),"",INDEX(PMTCT!$AT:$AT,MATCH($E68,PMTCT!$E:$E,0)))</f>
        <v/>
      </c>
      <c r="AQ68" s="10" t="str">
        <f aca="false">INDEX(TB!$Q:$Q,MATCH($E68,TB!$E:$E,0))</f>
        <v/>
      </c>
      <c r="AR68" s="10" t="str">
        <f aca="false">IF(OR($C68="01-09",$C68="10-14",$D68="Female"),"",INDEX(VMMC!$AB:$AB,MATCH($E68,VMMC!$E:$E,0)))</f>
        <v/>
      </c>
      <c r="AS68" s="10" t="str">
        <f aca="false">IF(OR($C68="01-09",$C68="10-14"),"",INDEX(PrEP!$Q:$Q,MATCH($E68,PrEP!$E:$E,0)))</f>
        <v/>
      </c>
      <c r="AT68" s="10" t="str">
        <f aca="false">IFERROR(1/(1/SUM($Y68,$AB68,$AE68,$AH68,$AK68,$AO68:$AS68)),"")</f>
        <v/>
      </c>
      <c r="AU68" s="10" t="str">
        <f aca="false">IFERROR(1/(1/SUM($AT68,$AM68)),"")</f>
        <v/>
      </c>
      <c r="AV68" s="88" t="str">
        <f aca="false">IF(AND(SUM($AM68)=0,SUM($AU68)=0),"",$AM68/$AU68)</f>
        <v/>
      </c>
      <c r="AW68" s="10"/>
      <c r="AX68" s="88" t="str">
        <f aca="false">IF(OR($C68="01-09",SUM($AW68)=0),"",0%)</f>
        <v/>
      </c>
      <c r="AY68" s="39" t="str">
        <f aca="false">IF(OR($C68="01-09",SUM($AW68)=0),"",ROUND($AW68*(1+$AX68),0))</f>
        <v/>
      </c>
      <c r="AZ68" s="88" t="n">
        <f aca="false">IF(OR($C68="01-09",$C68="10-14"),"",100%)</f>
        <v>1</v>
      </c>
      <c r="BA68" s="39" t="str">
        <f aca="false">IF(OR(SUM($AM68)=0,$C68="01-09",$C68="10-14"),"",$AM68*$AZ68)</f>
        <v/>
      </c>
    </row>
    <row r="69" customFormat="false" ht="15" hidden="false" customHeight="false" outlineLevel="0" collapsed="false">
      <c r="A69" s="0" t="str">
        <f aca="false">INDEX(Prioritization!$D:$D,MATCH($B69,Prioritization!$A:$A,0))</f>
        <v>1 - Scale-up: Saturation</v>
      </c>
      <c r="B69" s="0" t="s">
        <v>198</v>
      </c>
      <c r="C69" s="0" t="s">
        <v>366</v>
      </c>
      <c r="D69" s="0" t="s">
        <v>30</v>
      </c>
      <c r="E69" s="0" t="str">
        <f aca="false">$B69&amp;"|"&amp;$C69&amp;"|"&amp;$D69</f>
        <v>Lilongwe District [ScR9iFKAasW]|25-34|Female</v>
      </c>
      <c r="F69" s="88" t="n">
        <f aca="false">IF(LEFT($B69,4)="_Mil","",INDEX(Cascade!$AA:$AA,MATCH($E69,Cascade!$E:$E,0)))</f>
        <v>1656</v>
      </c>
      <c r="G69" s="10" t="n">
        <f aca="false">INDEX(Cascade!$BH:$BH,MATCH($E69,Cascade!$E:$E,0))</f>
        <v>0</v>
      </c>
      <c r="H69" s="10" t="str">
        <f aca="false">IF(OR($C69="01-09",$D69="Male"),"",INDEX(PMTCT!$AC:$AC,MATCH($E69,PMTCT!$E:$E,0)))</f>
        <v/>
      </c>
      <c r="I69" s="10" t="str">
        <f aca="false">IF(OR($C69="01-09",$D69="Male"),"",INDEX(PMTCT!$AS:$AS,MATCH($E69,PMTCT!$E:$E,0)))</f>
        <v/>
      </c>
      <c r="J69" s="10" t="str">
        <f aca="false">INDEX(TB!$P:$P,MATCH($E69,TB!$E:$E,0))</f>
        <v/>
      </c>
      <c r="K69" s="10" t="str">
        <f aca="false">IF(OR($C69="01-09",$C69="10-14",$D69="Female"),"",INDEX(VMMC!$AA:$AA,MATCH($E69,VMMC!$E:$E,0)))</f>
        <v/>
      </c>
      <c r="L69" s="10" t="n">
        <f aca="false">SUM($G69)-SUM($H69:$K69)</f>
        <v>0</v>
      </c>
      <c r="M69" s="88" t="str">
        <f aca="false">IF(OR($C69="01-09",$D69="Male",AND(SUM($G69)=0,SUM($H69)=0)),"",SUM($H69)/SUM($G69))</f>
        <v/>
      </c>
      <c r="N69" s="88" t="str">
        <f aca="false">IF(OR($C69="01-09",$D69="Male",AND(SUM($G69)=0,SUM($I69)=0)),"",SUM($I69)/SUM($G69))</f>
        <v/>
      </c>
      <c r="O69" s="88" t="str">
        <f aca="false">IF(AND(SUM($G69)=0,SUM($J69)=0),"",SUM($J69)/SUM($G69))</f>
        <v/>
      </c>
      <c r="P69" s="88" t="str">
        <f aca="false">IF(OR($C69="01-09",$C69="10-14",$D69="Female",AND(SUM($G69)=0,SUM($K69)=0)),"",SUM($K69)/SUM($G69))</f>
        <v/>
      </c>
      <c r="Q69" s="88"/>
      <c r="R69" s="88"/>
      <c r="S69" s="88"/>
      <c r="T69" s="88"/>
      <c r="U69" s="88"/>
      <c r="V69" s="88" t="str">
        <f aca="false">IF(SUM($G69)=0,"",SUM($M69:$U69))</f>
        <v/>
      </c>
      <c r="W69" s="88"/>
      <c r="X69" s="39" t="str">
        <f aca="false">IF(OR(SUM($G69)=0,SUM($Q69)=0),"",ROUND(SUM($G69)*SUM($Q69),0))</f>
        <v/>
      </c>
      <c r="Y69" s="39" t="str">
        <f aca="false">IF(SUM($X69)=0,"",IF(SUM($W69)=0,"ENTER YIELD",ROUND($X69/$W69,0)-$X69))</f>
        <v/>
      </c>
      <c r="Z69" s="88"/>
      <c r="AA69" s="39" t="str">
        <f aca="false">IF(OR(SUM($G69)=0,SUM($R69)=0),"",ROUND(SUM($G69)*SUM($R69),0))</f>
        <v/>
      </c>
      <c r="AB69" s="39" t="str">
        <f aca="false">IF(SUM($AA69)=0,"",IF(SUM($Z69)=0,"ENTER YIELD",ROUND($AA69/$Z69,0)-$AA69))</f>
        <v/>
      </c>
      <c r="AC69" s="88"/>
      <c r="AD69" s="39" t="str">
        <f aca="false">IF(OR(SUM($G69)=0,SUM($S69)=0),"",ROUND(SUM($G69)*SUM($S69),0))</f>
        <v/>
      </c>
      <c r="AE69" s="39" t="str">
        <f aca="false">IF(SUM($AD69)=0,"",IF(SUM($AC69)=0,"ENTER YIELD",ROUND($AD69/$AC69,0)-$AD69))</f>
        <v/>
      </c>
      <c r="AF69" s="88"/>
      <c r="AG69" s="39" t="str">
        <f aca="false">IF(OR(SUM($G69)=0,SUM($T69)=0),"",ROUND(SUM($G69)*SUM($T69),0))</f>
        <v/>
      </c>
      <c r="AH69" s="39" t="str">
        <f aca="false">IF(SUM($AG69)=0,"",IF(SUM($AF69)=0,"ENTER YIELD",ROUND($AG69/$AF69,0)-$AG69))</f>
        <v/>
      </c>
      <c r="AI69" s="88"/>
      <c r="AJ69" s="39" t="str">
        <f aca="false">IF(OR(SUM($G69)=0,SUM($U69)=0),"",ROUND(SUM($G69)*SUM($U69),0))</f>
        <v/>
      </c>
      <c r="AK69" s="39" t="str">
        <f aca="false">IF(SUM($AJ69)=0,"",IF(SUM($AI69)=0,"ENTER YIELD",ROUND($AJ69/$AI69,0)-$AJ69))</f>
        <v/>
      </c>
      <c r="AL69" s="10" t="str">
        <f aca="false">IF(SUM($G69)=0,"",$G69)</f>
        <v/>
      </c>
      <c r="AM69" s="10" t="str">
        <f aca="false">IFERROR(1/(1/SUM($H69:$K69,$X69,$AA69,$AD69,$AG69,$AJ69)),"")</f>
        <v/>
      </c>
      <c r="AN69" s="10" t="str">
        <f aca="false">IF(AND(SUM($AM69)=0,SUM($AL69)=0),"",$AM69-$AL69)</f>
        <v/>
      </c>
      <c r="AO69" s="10" t="str">
        <f aca="false">IF(OR($C69="01-09",$D69="Male"),"",INDEX(PMTCT!$AD:$AD,MATCH($E69,PMTCT!$E:$E,0)))</f>
        <v/>
      </c>
      <c r="AP69" s="10" t="str">
        <f aca="false">IF(OR($C69="01-09",$D69="Male"),"",INDEX(PMTCT!$AT:$AT,MATCH($E69,PMTCT!$E:$E,0)))</f>
        <v/>
      </c>
      <c r="AQ69" s="10" t="str">
        <f aca="false">INDEX(TB!$Q:$Q,MATCH($E69,TB!$E:$E,0))</f>
        <v/>
      </c>
      <c r="AR69" s="10" t="str">
        <f aca="false">IF(OR($C69="01-09",$C69="10-14",$D69="Female"),"",INDEX(VMMC!$AB:$AB,MATCH($E69,VMMC!$E:$E,0)))</f>
        <v/>
      </c>
      <c r="AS69" s="10" t="str">
        <f aca="false">IF(OR($C69="01-09",$C69="10-14"),"",INDEX(PrEP!$Q:$Q,MATCH($E69,PrEP!$E:$E,0)))</f>
        <v/>
      </c>
      <c r="AT69" s="10" t="str">
        <f aca="false">IFERROR(1/(1/SUM($Y69,$AB69,$AE69,$AH69,$AK69,$AO69:$AS69)),"")</f>
        <v/>
      </c>
      <c r="AU69" s="10" t="str">
        <f aca="false">IFERROR(1/(1/SUM($AT69,$AM69)),"")</f>
        <v/>
      </c>
      <c r="AV69" s="88" t="str">
        <f aca="false">IF(AND(SUM($AM69)=0,SUM($AU69)=0),"",$AM69/$AU69)</f>
        <v/>
      </c>
      <c r="AW69" s="10"/>
      <c r="AX69" s="88" t="str">
        <f aca="false">IF(OR($C69="01-09",SUM($AW69)=0),"",0%)</f>
        <v/>
      </c>
      <c r="AY69" s="39" t="str">
        <f aca="false">IF(OR($C69="01-09",SUM($AW69)=0),"",ROUND($AW69*(1+$AX69),0))</f>
        <v/>
      </c>
      <c r="AZ69" s="88" t="n">
        <f aca="false">IF(OR($C69="01-09",$C69="10-14"),"",100%)</f>
        <v>1</v>
      </c>
      <c r="BA69" s="39" t="str">
        <f aca="false">IF(OR(SUM($AM69)=0,$C69="01-09",$C69="10-14"),"",$AM69*$AZ69)</f>
        <v/>
      </c>
    </row>
    <row r="70" customFormat="false" ht="15" hidden="false" customHeight="false" outlineLevel="0" collapsed="false">
      <c r="A70" s="0" t="str">
        <f aca="false">INDEX(Prioritization!$D:$D,MATCH($B70,Prioritization!$A:$A,0))</f>
        <v>1 - Scale-up: Saturation</v>
      </c>
      <c r="B70" s="0" t="s">
        <v>198</v>
      </c>
      <c r="C70" s="0" t="s">
        <v>366</v>
      </c>
      <c r="D70" s="0" t="s">
        <v>48</v>
      </c>
      <c r="E70" s="0" t="str">
        <f aca="false">$B70&amp;"|"&amp;$C70&amp;"|"&amp;$D70</f>
        <v>Lilongwe District [ScR9iFKAasW]|25-34|Male</v>
      </c>
      <c r="F70" s="88" t="n">
        <f aca="false">IF(LEFT($B70,4)="_Mil","",INDEX(Cascade!$AA:$AA,MATCH($E70,Cascade!$E:$E,0)))</f>
        <v>1520</v>
      </c>
      <c r="G70" s="10" t="n">
        <f aca="false">INDEX(Cascade!$BH:$BH,MATCH($E70,Cascade!$E:$E,0))</f>
        <v>0</v>
      </c>
      <c r="H70" s="10" t="str">
        <f aca="false">IF(OR($C70="01-09",$D70="Male"),"",INDEX(PMTCT!$AC:$AC,MATCH($E70,PMTCT!$E:$E,0)))</f>
        <v/>
      </c>
      <c r="I70" s="10" t="str">
        <f aca="false">IF(OR($C70="01-09",$D70="Male"),"",INDEX(PMTCT!$AS:$AS,MATCH($E70,PMTCT!$E:$E,0)))</f>
        <v/>
      </c>
      <c r="J70" s="10" t="str">
        <f aca="false">INDEX(TB!$P:$P,MATCH($E70,TB!$E:$E,0))</f>
        <v/>
      </c>
      <c r="K70" s="10" t="str">
        <f aca="false">IF(OR($C70="01-09",$C70="10-14",$D70="Female"),"",INDEX(VMMC!$AA:$AA,MATCH($E70,VMMC!$E:$E,0)))</f>
        <v/>
      </c>
      <c r="L70" s="10" t="n">
        <f aca="false">SUM($G70)-SUM($H70:$K70)</f>
        <v>0</v>
      </c>
      <c r="M70" s="88" t="str">
        <f aca="false">IF(OR($C70="01-09",$D70="Male",AND(SUM($G70)=0,SUM($H70)=0)),"",SUM($H70)/SUM($G70))</f>
        <v/>
      </c>
      <c r="N70" s="88" t="str">
        <f aca="false">IF(OR($C70="01-09",$D70="Male",AND(SUM($G70)=0,SUM($I70)=0)),"",SUM($I70)/SUM($G70))</f>
        <v/>
      </c>
      <c r="O70" s="88" t="str">
        <f aca="false">IF(AND(SUM($G70)=0,SUM($J70)=0),"",SUM($J70)/SUM($G70))</f>
        <v/>
      </c>
      <c r="P70" s="88" t="str">
        <f aca="false">IF(OR($C70="01-09",$C70="10-14",$D70="Female",AND(SUM($G70)=0,SUM($K70)=0)),"",SUM($K70)/SUM($G70))</f>
        <v/>
      </c>
      <c r="Q70" s="88"/>
      <c r="R70" s="88"/>
      <c r="S70" s="88"/>
      <c r="T70" s="88"/>
      <c r="U70" s="88"/>
      <c r="V70" s="88" t="str">
        <f aca="false">IF(SUM($G70)=0,"",SUM($M70:$U70))</f>
        <v/>
      </c>
      <c r="W70" s="88"/>
      <c r="X70" s="39" t="str">
        <f aca="false">IF(OR(SUM($G70)=0,SUM($Q70)=0),"",ROUND(SUM($G70)*SUM($Q70),0))</f>
        <v/>
      </c>
      <c r="Y70" s="39" t="str">
        <f aca="false">IF(SUM($X70)=0,"",IF(SUM($W70)=0,"ENTER YIELD",ROUND($X70/$W70,0)-$X70))</f>
        <v/>
      </c>
      <c r="Z70" s="88"/>
      <c r="AA70" s="39" t="str">
        <f aca="false">IF(OR(SUM($G70)=0,SUM($R70)=0),"",ROUND(SUM($G70)*SUM($R70),0))</f>
        <v/>
      </c>
      <c r="AB70" s="39" t="str">
        <f aca="false">IF(SUM($AA70)=0,"",IF(SUM($Z70)=0,"ENTER YIELD",ROUND($AA70/$Z70,0)-$AA70))</f>
        <v/>
      </c>
      <c r="AC70" s="88"/>
      <c r="AD70" s="39" t="str">
        <f aca="false">IF(OR(SUM($G70)=0,SUM($S70)=0),"",ROUND(SUM($G70)*SUM($S70),0))</f>
        <v/>
      </c>
      <c r="AE70" s="39" t="str">
        <f aca="false">IF(SUM($AD70)=0,"",IF(SUM($AC70)=0,"ENTER YIELD",ROUND($AD70/$AC70,0)-$AD70))</f>
        <v/>
      </c>
      <c r="AF70" s="88"/>
      <c r="AG70" s="39" t="str">
        <f aca="false">IF(OR(SUM($G70)=0,SUM($T70)=0),"",ROUND(SUM($G70)*SUM($T70),0))</f>
        <v/>
      </c>
      <c r="AH70" s="39" t="str">
        <f aca="false">IF(SUM($AG70)=0,"",IF(SUM($AF70)=0,"ENTER YIELD",ROUND($AG70/$AF70,0)-$AG70))</f>
        <v/>
      </c>
      <c r="AI70" s="88"/>
      <c r="AJ70" s="39" t="str">
        <f aca="false">IF(OR(SUM($G70)=0,SUM($U70)=0),"",ROUND(SUM($G70)*SUM($U70),0))</f>
        <v/>
      </c>
      <c r="AK70" s="39" t="str">
        <f aca="false">IF(SUM($AJ70)=0,"",IF(SUM($AI70)=0,"ENTER YIELD",ROUND($AJ70/$AI70,0)-$AJ70))</f>
        <v/>
      </c>
      <c r="AL70" s="10" t="str">
        <f aca="false">IF(SUM($G70)=0,"",$G70)</f>
        <v/>
      </c>
      <c r="AM70" s="10" t="str">
        <f aca="false">IFERROR(1/(1/SUM($H70:$K70,$X70,$AA70,$AD70,$AG70,$AJ70)),"")</f>
        <v/>
      </c>
      <c r="AN70" s="10" t="str">
        <f aca="false">IF(AND(SUM($AM70)=0,SUM($AL70)=0),"",$AM70-$AL70)</f>
        <v/>
      </c>
      <c r="AO70" s="10" t="str">
        <f aca="false">IF(OR($C70="01-09",$D70="Male"),"",INDEX(PMTCT!$AD:$AD,MATCH($E70,PMTCT!$E:$E,0)))</f>
        <v/>
      </c>
      <c r="AP70" s="10" t="str">
        <f aca="false">IF(OR($C70="01-09",$D70="Male"),"",INDEX(PMTCT!$AT:$AT,MATCH($E70,PMTCT!$E:$E,0)))</f>
        <v/>
      </c>
      <c r="AQ70" s="10" t="str">
        <f aca="false">INDEX(TB!$Q:$Q,MATCH($E70,TB!$E:$E,0))</f>
        <v/>
      </c>
      <c r="AR70" s="10" t="str">
        <f aca="false">IF(OR($C70="01-09",$C70="10-14",$D70="Female"),"",INDEX(VMMC!$AB:$AB,MATCH($E70,VMMC!$E:$E,0)))</f>
        <v/>
      </c>
      <c r="AS70" s="10" t="str">
        <f aca="false">IF(OR($C70="01-09",$C70="10-14"),"",INDEX(PrEP!$Q:$Q,MATCH($E70,PrEP!$E:$E,0)))</f>
        <v/>
      </c>
      <c r="AT70" s="10" t="str">
        <f aca="false">IFERROR(1/(1/SUM($Y70,$AB70,$AE70,$AH70,$AK70,$AO70:$AS70)),"")</f>
        <v/>
      </c>
      <c r="AU70" s="10" t="str">
        <f aca="false">IFERROR(1/(1/SUM($AT70,$AM70)),"")</f>
        <v/>
      </c>
      <c r="AV70" s="88" t="str">
        <f aca="false">IF(AND(SUM($AM70)=0,SUM($AU70)=0),"",$AM70/$AU70)</f>
        <v/>
      </c>
      <c r="AW70" s="10"/>
      <c r="AX70" s="88" t="str">
        <f aca="false">IF(OR($C70="01-09",SUM($AW70)=0),"",0%)</f>
        <v/>
      </c>
      <c r="AY70" s="39" t="str">
        <f aca="false">IF(OR($C70="01-09",SUM($AW70)=0),"",ROUND($AW70*(1+$AX70),0))</f>
        <v/>
      </c>
      <c r="AZ70" s="88" t="n">
        <f aca="false">IF(OR($C70="01-09",$C70="10-14"),"",100%)</f>
        <v>1</v>
      </c>
      <c r="BA70" s="39" t="str">
        <f aca="false">IF(OR(SUM($AM70)=0,$C70="01-09",$C70="10-14"),"",$AM70*$AZ70)</f>
        <v/>
      </c>
    </row>
    <row r="71" customFormat="false" ht="15" hidden="false" customHeight="false" outlineLevel="0" collapsed="false">
      <c r="A71" s="0" t="str">
        <f aca="false">INDEX(Prioritization!$D:$D,MATCH($B71,Prioritization!$A:$A,0))</f>
        <v>1 - Scale-up: Saturation</v>
      </c>
      <c r="B71" s="0" t="s">
        <v>198</v>
      </c>
      <c r="C71" s="0" t="s">
        <v>367</v>
      </c>
      <c r="D71" s="0" t="s">
        <v>30</v>
      </c>
      <c r="E71" s="0" t="str">
        <f aca="false">$B71&amp;"|"&amp;$C71&amp;"|"&amp;$D71</f>
        <v>Lilongwe District [ScR9iFKAasW]|35-49|Female</v>
      </c>
      <c r="F71" s="88" t="n">
        <f aca="false">IF(LEFT($B71,4)="_Mil","",INDEX(Cascade!$AA:$AA,MATCH($E71,Cascade!$E:$E,0)))</f>
        <v>1181</v>
      </c>
      <c r="G71" s="10" t="n">
        <f aca="false">INDEX(Cascade!$BH:$BH,MATCH($E71,Cascade!$E:$E,0))</f>
        <v>0</v>
      </c>
      <c r="H71" s="10" t="str">
        <f aca="false">IF(OR($C71="01-09",$D71="Male"),"",INDEX(PMTCT!$AC:$AC,MATCH($E71,PMTCT!$E:$E,0)))</f>
        <v/>
      </c>
      <c r="I71" s="10" t="str">
        <f aca="false">IF(OR($C71="01-09",$D71="Male"),"",INDEX(PMTCT!$AS:$AS,MATCH($E71,PMTCT!$E:$E,0)))</f>
        <v/>
      </c>
      <c r="J71" s="10" t="str">
        <f aca="false">INDEX(TB!$P:$P,MATCH($E71,TB!$E:$E,0))</f>
        <v/>
      </c>
      <c r="K71" s="10" t="str">
        <f aca="false">IF(OR($C71="01-09",$C71="10-14",$D71="Female"),"",INDEX(VMMC!$AA:$AA,MATCH($E71,VMMC!$E:$E,0)))</f>
        <v/>
      </c>
      <c r="L71" s="10" t="n">
        <f aca="false">SUM($G71)-SUM($H71:$K71)</f>
        <v>0</v>
      </c>
      <c r="M71" s="88" t="str">
        <f aca="false">IF(OR($C71="01-09",$D71="Male",AND(SUM($G71)=0,SUM($H71)=0)),"",SUM($H71)/SUM($G71))</f>
        <v/>
      </c>
      <c r="N71" s="88" t="str">
        <f aca="false">IF(OR($C71="01-09",$D71="Male",AND(SUM($G71)=0,SUM($I71)=0)),"",SUM($I71)/SUM($G71))</f>
        <v/>
      </c>
      <c r="O71" s="88" t="str">
        <f aca="false">IF(AND(SUM($G71)=0,SUM($J71)=0),"",SUM($J71)/SUM($G71))</f>
        <v/>
      </c>
      <c r="P71" s="88" t="str">
        <f aca="false">IF(OR($C71="01-09",$C71="10-14",$D71="Female",AND(SUM($G71)=0,SUM($K71)=0)),"",SUM($K71)/SUM($G71))</f>
        <v/>
      </c>
      <c r="Q71" s="88"/>
      <c r="R71" s="88"/>
      <c r="S71" s="88"/>
      <c r="T71" s="88"/>
      <c r="U71" s="88"/>
      <c r="V71" s="88" t="str">
        <f aca="false">IF(SUM($G71)=0,"",SUM($M71:$U71))</f>
        <v/>
      </c>
      <c r="W71" s="88"/>
      <c r="X71" s="39" t="str">
        <f aca="false">IF(OR(SUM($G71)=0,SUM($Q71)=0),"",ROUND(SUM($G71)*SUM($Q71),0))</f>
        <v/>
      </c>
      <c r="Y71" s="39" t="str">
        <f aca="false">IF(SUM($X71)=0,"",IF(SUM($W71)=0,"ENTER YIELD",ROUND($X71/$W71,0)-$X71))</f>
        <v/>
      </c>
      <c r="Z71" s="88"/>
      <c r="AA71" s="39" t="str">
        <f aca="false">IF(OR(SUM($G71)=0,SUM($R71)=0),"",ROUND(SUM($G71)*SUM($R71),0))</f>
        <v/>
      </c>
      <c r="AB71" s="39" t="str">
        <f aca="false">IF(SUM($AA71)=0,"",IF(SUM($Z71)=0,"ENTER YIELD",ROUND($AA71/$Z71,0)-$AA71))</f>
        <v/>
      </c>
      <c r="AC71" s="88"/>
      <c r="AD71" s="39" t="str">
        <f aca="false">IF(OR(SUM($G71)=0,SUM($S71)=0),"",ROUND(SUM($G71)*SUM($S71),0))</f>
        <v/>
      </c>
      <c r="AE71" s="39" t="str">
        <f aca="false">IF(SUM($AD71)=0,"",IF(SUM($AC71)=0,"ENTER YIELD",ROUND($AD71/$AC71,0)-$AD71))</f>
        <v/>
      </c>
      <c r="AF71" s="88"/>
      <c r="AG71" s="39" t="str">
        <f aca="false">IF(OR(SUM($G71)=0,SUM($T71)=0),"",ROUND(SUM($G71)*SUM($T71),0))</f>
        <v/>
      </c>
      <c r="AH71" s="39" t="str">
        <f aca="false">IF(SUM($AG71)=0,"",IF(SUM($AF71)=0,"ENTER YIELD",ROUND($AG71/$AF71,0)-$AG71))</f>
        <v/>
      </c>
      <c r="AI71" s="88"/>
      <c r="AJ71" s="39" t="str">
        <f aca="false">IF(OR(SUM($G71)=0,SUM($U71)=0),"",ROUND(SUM($G71)*SUM($U71),0))</f>
        <v/>
      </c>
      <c r="AK71" s="39" t="str">
        <f aca="false">IF(SUM($AJ71)=0,"",IF(SUM($AI71)=0,"ENTER YIELD",ROUND($AJ71/$AI71,0)-$AJ71))</f>
        <v/>
      </c>
      <c r="AL71" s="10" t="str">
        <f aca="false">IF(SUM($G71)=0,"",$G71)</f>
        <v/>
      </c>
      <c r="AM71" s="10" t="str">
        <f aca="false">IFERROR(1/(1/SUM($H71:$K71,$X71,$AA71,$AD71,$AG71,$AJ71)),"")</f>
        <v/>
      </c>
      <c r="AN71" s="10" t="str">
        <f aca="false">IF(AND(SUM($AM71)=0,SUM($AL71)=0),"",$AM71-$AL71)</f>
        <v/>
      </c>
      <c r="AO71" s="10" t="str">
        <f aca="false">IF(OR($C71="01-09",$D71="Male"),"",INDEX(PMTCT!$AD:$AD,MATCH($E71,PMTCT!$E:$E,0)))</f>
        <v/>
      </c>
      <c r="AP71" s="10" t="str">
        <f aca="false">IF(OR($C71="01-09",$D71="Male"),"",INDEX(PMTCT!$AT:$AT,MATCH($E71,PMTCT!$E:$E,0)))</f>
        <v/>
      </c>
      <c r="AQ71" s="10" t="str">
        <f aca="false">INDEX(TB!$Q:$Q,MATCH($E71,TB!$E:$E,0))</f>
        <v/>
      </c>
      <c r="AR71" s="10" t="str">
        <f aca="false">IF(OR($C71="01-09",$C71="10-14",$D71="Female"),"",INDEX(VMMC!$AB:$AB,MATCH($E71,VMMC!$E:$E,0)))</f>
        <v/>
      </c>
      <c r="AS71" s="10" t="str">
        <f aca="false">IF(OR($C71="01-09",$C71="10-14"),"",INDEX(PrEP!$Q:$Q,MATCH($E71,PrEP!$E:$E,0)))</f>
        <v/>
      </c>
      <c r="AT71" s="10" t="str">
        <f aca="false">IFERROR(1/(1/SUM($Y71,$AB71,$AE71,$AH71,$AK71,$AO71:$AS71)),"")</f>
        <v/>
      </c>
      <c r="AU71" s="10" t="str">
        <f aca="false">IFERROR(1/(1/SUM($AT71,$AM71)),"")</f>
        <v/>
      </c>
      <c r="AV71" s="88" t="str">
        <f aca="false">IF(AND(SUM($AM71)=0,SUM($AU71)=0),"",$AM71/$AU71)</f>
        <v/>
      </c>
      <c r="AW71" s="10"/>
      <c r="AX71" s="88" t="str">
        <f aca="false">IF(OR($C71="01-09",SUM($AW71)=0),"",0%)</f>
        <v/>
      </c>
      <c r="AY71" s="39" t="str">
        <f aca="false">IF(OR($C71="01-09",SUM($AW71)=0),"",ROUND($AW71*(1+$AX71),0))</f>
        <v/>
      </c>
      <c r="AZ71" s="88" t="n">
        <f aca="false">IF(OR($C71="01-09",$C71="10-14"),"",100%)</f>
        <v>1</v>
      </c>
      <c r="BA71" s="39" t="str">
        <f aca="false">IF(OR(SUM($AM71)=0,$C71="01-09",$C71="10-14"),"",$AM71*$AZ71)</f>
        <v/>
      </c>
    </row>
    <row r="72" customFormat="false" ht="15" hidden="false" customHeight="false" outlineLevel="0" collapsed="false">
      <c r="A72" s="0" t="str">
        <f aca="false">INDEX(Prioritization!$D:$D,MATCH($B72,Prioritization!$A:$A,0))</f>
        <v>1 - Scale-up: Saturation</v>
      </c>
      <c r="B72" s="0" t="s">
        <v>198</v>
      </c>
      <c r="C72" s="0" t="s">
        <v>367</v>
      </c>
      <c r="D72" s="0" t="s">
        <v>48</v>
      </c>
      <c r="E72" s="0" t="str">
        <f aca="false">$B72&amp;"|"&amp;$C72&amp;"|"&amp;$D72</f>
        <v>Lilongwe District [ScR9iFKAasW]|35-49|Male</v>
      </c>
      <c r="F72" s="88" t="n">
        <f aca="false">IF(LEFT($B72,4)="_Mil","",INDEX(Cascade!$AA:$AA,MATCH($E72,Cascade!$E:$E,0)))</f>
        <v>1735</v>
      </c>
      <c r="G72" s="10" t="n">
        <f aca="false">INDEX(Cascade!$BH:$BH,MATCH($E72,Cascade!$E:$E,0))</f>
        <v>0</v>
      </c>
      <c r="H72" s="10" t="str">
        <f aca="false">IF(OR($C72="01-09",$D72="Male"),"",INDEX(PMTCT!$AC:$AC,MATCH($E72,PMTCT!$E:$E,0)))</f>
        <v/>
      </c>
      <c r="I72" s="10" t="str">
        <f aca="false">IF(OR($C72="01-09",$D72="Male"),"",INDEX(PMTCT!$AS:$AS,MATCH($E72,PMTCT!$E:$E,0)))</f>
        <v/>
      </c>
      <c r="J72" s="10" t="str">
        <f aca="false">INDEX(TB!$P:$P,MATCH($E72,TB!$E:$E,0))</f>
        <v/>
      </c>
      <c r="K72" s="10" t="str">
        <f aca="false">IF(OR($C72="01-09",$C72="10-14",$D72="Female"),"",INDEX(VMMC!$AA:$AA,MATCH($E72,VMMC!$E:$E,0)))</f>
        <v/>
      </c>
      <c r="L72" s="10" t="n">
        <f aca="false">SUM($G72)-SUM($H72:$K72)</f>
        <v>0</v>
      </c>
      <c r="M72" s="88" t="str">
        <f aca="false">IF(OR($C72="01-09",$D72="Male",AND(SUM($G72)=0,SUM($H72)=0)),"",SUM($H72)/SUM($G72))</f>
        <v/>
      </c>
      <c r="N72" s="88" t="str">
        <f aca="false">IF(OR($C72="01-09",$D72="Male",AND(SUM($G72)=0,SUM($I72)=0)),"",SUM($I72)/SUM($G72))</f>
        <v/>
      </c>
      <c r="O72" s="88" t="str">
        <f aca="false">IF(AND(SUM($G72)=0,SUM($J72)=0),"",SUM($J72)/SUM($G72))</f>
        <v/>
      </c>
      <c r="P72" s="88" t="str">
        <f aca="false">IF(OR($C72="01-09",$C72="10-14",$D72="Female",AND(SUM($G72)=0,SUM($K72)=0)),"",SUM($K72)/SUM($G72))</f>
        <v/>
      </c>
      <c r="Q72" s="88"/>
      <c r="R72" s="88"/>
      <c r="S72" s="88"/>
      <c r="T72" s="88"/>
      <c r="U72" s="88"/>
      <c r="V72" s="88" t="str">
        <f aca="false">IF(SUM($G72)=0,"",SUM($M72:$U72))</f>
        <v/>
      </c>
      <c r="W72" s="88"/>
      <c r="X72" s="39" t="str">
        <f aca="false">IF(OR(SUM($G72)=0,SUM($Q72)=0),"",ROUND(SUM($G72)*SUM($Q72),0))</f>
        <v/>
      </c>
      <c r="Y72" s="39" t="str">
        <f aca="false">IF(SUM($X72)=0,"",IF(SUM($W72)=0,"ENTER YIELD",ROUND($X72/$W72,0)-$X72))</f>
        <v/>
      </c>
      <c r="Z72" s="88"/>
      <c r="AA72" s="39" t="str">
        <f aca="false">IF(OR(SUM($G72)=0,SUM($R72)=0),"",ROUND(SUM($G72)*SUM($R72),0))</f>
        <v/>
      </c>
      <c r="AB72" s="39" t="str">
        <f aca="false">IF(SUM($AA72)=0,"",IF(SUM($Z72)=0,"ENTER YIELD",ROUND($AA72/$Z72,0)-$AA72))</f>
        <v/>
      </c>
      <c r="AC72" s="88"/>
      <c r="AD72" s="39" t="str">
        <f aca="false">IF(OR(SUM($G72)=0,SUM($S72)=0),"",ROUND(SUM($G72)*SUM($S72),0))</f>
        <v/>
      </c>
      <c r="AE72" s="39" t="str">
        <f aca="false">IF(SUM($AD72)=0,"",IF(SUM($AC72)=0,"ENTER YIELD",ROUND($AD72/$AC72,0)-$AD72))</f>
        <v/>
      </c>
      <c r="AF72" s="88"/>
      <c r="AG72" s="39" t="str">
        <f aca="false">IF(OR(SUM($G72)=0,SUM($T72)=0),"",ROUND(SUM($G72)*SUM($T72),0))</f>
        <v/>
      </c>
      <c r="AH72" s="39" t="str">
        <f aca="false">IF(SUM($AG72)=0,"",IF(SUM($AF72)=0,"ENTER YIELD",ROUND($AG72/$AF72,0)-$AG72))</f>
        <v/>
      </c>
      <c r="AI72" s="88"/>
      <c r="AJ72" s="39" t="str">
        <f aca="false">IF(OR(SUM($G72)=0,SUM($U72)=0),"",ROUND(SUM($G72)*SUM($U72),0))</f>
        <v/>
      </c>
      <c r="AK72" s="39" t="str">
        <f aca="false">IF(SUM($AJ72)=0,"",IF(SUM($AI72)=0,"ENTER YIELD",ROUND($AJ72/$AI72,0)-$AJ72))</f>
        <v/>
      </c>
      <c r="AL72" s="10" t="str">
        <f aca="false">IF(SUM($G72)=0,"",$G72)</f>
        <v/>
      </c>
      <c r="AM72" s="10" t="str">
        <f aca="false">IFERROR(1/(1/SUM($H72:$K72,$X72,$AA72,$AD72,$AG72,$AJ72)),"")</f>
        <v/>
      </c>
      <c r="AN72" s="10" t="str">
        <f aca="false">IF(AND(SUM($AM72)=0,SUM($AL72)=0),"",$AM72-$AL72)</f>
        <v/>
      </c>
      <c r="AO72" s="10" t="str">
        <f aca="false">IF(OR($C72="01-09",$D72="Male"),"",INDEX(PMTCT!$AD:$AD,MATCH($E72,PMTCT!$E:$E,0)))</f>
        <v/>
      </c>
      <c r="AP72" s="10" t="str">
        <f aca="false">IF(OR($C72="01-09",$D72="Male"),"",INDEX(PMTCT!$AT:$AT,MATCH($E72,PMTCT!$E:$E,0)))</f>
        <v/>
      </c>
      <c r="AQ72" s="10" t="str">
        <f aca="false">INDEX(TB!$Q:$Q,MATCH($E72,TB!$E:$E,0))</f>
        <v/>
      </c>
      <c r="AR72" s="10" t="str">
        <f aca="false">IF(OR($C72="01-09",$C72="10-14",$D72="Female"),"",INDEX(VMMC!$AB:$AB,MATCH($E72,VMMC!$E:$E,0)))</f>
        <v/>
      </c>
      <c r="AS72" s="10" t="str">
        <f aca="false">IF(OR($C72="01-09",$C72="10-14"),"",INDEX(PrEP!$Q:$Q,MATCH($E72,PrEP!$E:$E,0)))</f>
        <v/>
      </c>
      <c r="AT72" s="10" t="str">
        <f aca="false">IFERROR(1/(1/SUM($Y72,$AB72,$AE72,$AH72,$AK72,$AO72:$AS72)),"")</f>
        <v/>
      </c>
      <c r="AU72" s="10" t="str">
        <f aca="false">IFERROR(1/(1/SUM($AT72,$AM72)),"")</f>
        <v/>
      </c>
      <c r="AV72" s="88" t="str">
        <f aca="false">IF(AND(SUM($AM72)=0,SUM($AU72)=0),"",$AM72/$AU72)</f>
        <v/>
      </c>
      <c r="AW72" s="10"/>
      <c r="AX72" s="88" t="str">
        <f aca="false">IF(OR($C72="01-09",SUM($AW72)=0),"",0%)</f>
        <v/>
      </c>
      <c r="AY72" s="39" t="str">
        <f aca="false">IF(OR($C72="01-09",SUM($AW72)=0),"",ROUND($AW72*(1+$AX72),0))</f>
        <v/>
      </c>
      <c r="AZ72" s="88" t="n">
        <f aca="false">IF(OR($C72="01-09",$C72="10-14"),"",100%)</f>
        <v>1</v>
      </c>
      <c r="BA72" s="39" t="str">
        <f aca="false">IF(OR(SUM($AM72)=0,$C72="01-09",$C72="10-14"),"",$AM72*$AZ72)</f>
        <v/>
      </c>
    </row>
    <row r="73" customFormat="false" ht="15" hidden="false" customHeight="false" outlineLevel="0" collapsed="false">
      <c r="A73" s="0" t="str">
        <f aca="false">INDEX(Prioritization!$D:$D,MATCH($B73,Prioritization!$A:$A,0))</f>
        <v>1 - Scale-up: Saturation</v>
      </c>
      <c r="B73" s="0" t="s">
        <v>198</v>
      </c>
      <c r="C73" s="0" t="s">
        <v>368</v>
      </c>
      <c r="D73" s="0" t="s">
        <v>30</v>
      </c>
      <c r="E73" s="0" t="str">
        <f aca="false">$B73&amp;"|"&amp;$C73&amp;"|"&amp;$D73</f>
        <v>Lilongwe District [ScR9iFKAasW]|50+|Female</v>
      </c>
      <c r="F73" s="88" t="n">
        <f aca="false">IF(LEFT($B73,4)="_Mil","",INDEX(Cascade!$AA:$AA,MATCH($E73,Cascade!$E:$E,0)))</f>
        <v>1925</v>
      </c>
      <c r="G73" s="10" t="n">
        <f aca="false">INDEX(Cascade!$BH:$BH,MATCH($E73,Cascade!$E:$E,0))</f>
        <v>0</v>
      </c>
      <c r="H73" s="10" t="str">
        <f aca="false">IF(OR($C73="01-09",$D73="Male"),"",INDEX(PMTCT!$AC:$AC,MATCH($E73,PMTCT!$E:$E,0)))</f>
        <v/>
      </c>
      <c r="I73" s="10" t="str">
        <f aca="false">IF(OR($C73="01-09",$D73="Male"),"",INDEX(PMTCT!$AS:$AS,MATCH($E73,PMTCT!$E:$E,0)))</f>
        <v/>
      </c>
      <c r="J73" s="10" t="str">
        <f aca="false">INDEX(TB!$P:$P,MATCH($E73,TB!$E:$E,0))</f>
        <v/>
      </c>
      <c r="K73" s="10" t="str">
        <f aca="false">IF(OR($C73="01-09",$C73="10-14",$D73="Female"),"",INDEX(VMMC!$AA:$AA,MATCH($E73,VMMC!$E:$E,0)))</f>
        <v/>
      </c>
      <c r="L73" s="10" t="n">
        <f aca="false">SUM($G73)-SUM($H73:$K73)</f>
        <v>0</v>
      </c>
      <c r="M73" s="88" t="str">
        <f aca="false">IF(OR($C73="01-09",$D73="Male",AND(SUM($G73)=0,SUM($H73)=0)),"",SUM($H73)/SUM($G73))</f>
        <v/>
      </c>
      <c r="N73" s="88" t="str">
        <f aca="false">IF(OR($C73="01-09",$D73="Male",AND(SUM($G73)=0,SUM($I73)=0)),"",SUM($I73)/SUM($G73))</f>
        <v/>
      </c>
      <c r="O73" s="88" t="str">
        <f aca="false">IF(AND(SUM($G73)=0,SUM($J73)=0),"",SUM($J73)/SUM($G73))</f>
        <v/>
      </c>
      <c r="P73" s="88" t="str">
        <f aca="false">IF(OR($C73="01-09",$C73="10-14",$D73="Female",AND(SUM($G73)=0,SUM($K73)=0)),"",SUM($K73)/SUM($G73))</f>
        <v/>
      </c>
      <c r="Q73" s="88"/>
      <c r="R73" s="88"/>
      <c r="S73" s="88"/>
      <c r="T73" s="88"/>
      <c r="U73" s="88" t="n">
        <v>0.6684073836077</v>
      </c>
      <c r="V73" s="88" t="str">
        <f aca="false">IF(SUM($G73)=0,"",SUM($M73:$U73))</f>
        <v/>
      </c>
      <c r="W73" s="88"/>
      <c r="X73" s="39" t="str">
        <f aca="false">IF(OR(SUM($G73)=0,SUM($Q73)=0),"",ROUND(SUM($G73)*SUM($Q73),0))</f>
        <v/>
      </c>
      <c r="Y73" s="39" t="str">
        <f aca="false">IF(SUM($X73)=0,"",IF(SUM($W73)=0,"ENTER YIELD",ROUND($X73/$W73,0)-$X73))</f>
        <v/>
      </c>
      <c r="Z73" s="88"/>
      <c r="AA73" s="39" t="str">
        <f aca="false">IF(OR(SUM($G73)=0,SUM($R73)=0),"",ROUND(SUM($G73)*SUM($R73),0))</f>
        <v/>
      </c>
      <c r="AB73" s="39" t="str">
        <f aca="false">IF(SUM($AA73)=0,"",IF(SUM($Z73)=0,"ENTER YIELD",ROUND($AA73/$Z73,0)-$AA73))</f>
        <v/>
      </c>
      <c r="AC73" s="88"/>
      <c r="AD73" s="39" t="str">
        <f aca="false">IF(OR(SUM($G73)=0,SUM($S73)=0),"",ROUND(SUM($G73)*SUM($S73),0))</f>
        <v/>
      </c>
      <c r="AE73" s="39" t="str">
        <f aca="false">IF(SUM($AD73)=0,"",IF(SUM($AC73)=0,"ENTER YIELD",ROUND($AD73/$AC73,0)-$AD73))</f>
        <v/>
      </c>
      <c r="AF73" s="88"/>
      <c r="AG73" s="39" t="str">
        <f aca="false">IF(OR(SUM($G73)=0,SUM($T73)=0),"",ROUND(SUM($G73)*SUM($T73),0))</f>
        <v/>
      </c>
      <c r="AH73" s="39" t="str">
        <f aca="false">IF(SUM($AG73)=0,"",IF(SUM($AF73)=0,"ENTER YIELD",ROUND($AG73/$AF73,0)-$AG73))</f>
        <v/>
      </c>
      <c r="AI73" s="88" t="n">
        <v>0.567553736967966</v>
      </c>
      <c r="AJ73" s="39" t="str">
        <f aca="false">IF(OR(SUM($G73)=0,SUM($U73)=0),"",ROUND(SUM($G73)*SUM($U73),0))</f>
        <v/>
      </c>
      <c r="AK73" s="39" t="str">
        <f aca="false">IF(SUM($AJ73)=0,"",IF(SUM($AI73)=0,"ENTER YIELD",ROUND($AJ73/$AI73,0)-$AJ73))</f>
        <v/>
      </c>
      <c r="AL73" s="10" t="str">
        <f aca="false">IF(SUM($G73)=0,"",$G73)</f>
        <v/>
      </c>
      <c r="AM73" s="10" t="str">
        <f aca="false">IFERROR(1/(1/SUM($H73:$K73,$X73,$AA73,$AD73,$AG73,$AJ73)),"")</f>
        <v/>
      </c>
      <c r="AN73" s="10" t="str">
        <f aca="false">IF(AND(SUM($AM73)=0,SUM($AL73)=0),"",$AM73-$AL73)</f>
        <v/>
      </c>
      <c r="AO73" s="10" t="str">
        <f aca="false">IF(OR($C73="01-09",$D73="Male"),"",INDEX(PMTCT!$AD:$AD,MATCH($E73,PMTCT!$E:$E,0)))</f>
        <v/>
      </c>
      <c r="AP73" s="10" t="str">
        <f aca="false">IF(OR($C73="01-09",$D73="Male"),"",INDEX(PMTCT!$AT:$AT,MATCH($E73,PMTCT!$E:$E,0)))</f>
        <v/>
      </c>
      <c r="AQ73" s="10" t="str">
        <f aca="false">INDEX(TB!$Q:$Q,MATCH($E73,TB!$E:$E,0))</f>
        <v/>
      </c>
      <c r="AR73" s="10" t="str">
        <f aca="false">IF(OR($C73="01-09",$C73="10-14",$D73="Female"),"",INDEX(VMMC!$AB:$AB,MATCH($E73,VMMC!$E:$E,0)))</f>
        <v/>
      </c>
      <c r="AS73" s="10" t="str">
        <f aca="false">IF(OR($C73="01-09",$C73="10-14"),"",INDEX(PrEP!$Q:$Q,MATCH($E73,PrEP!$E:$E,0)))</f>
        <v/>
      </c>
      <c r="AT73" s="10" t="str">
        <f aca="false">IFERROR(1/(1/SUM($Y73,$AB73,$AE73,$AH73,$AK73,$AO73:$AS73)),"")</f>
        <v/>
      </c>
      <c r="AU73" s="10" t="str">
        <f aca="false">IFERROR(1/(1/SUM($AT73,$AM73)),"")</f>
        <v/>
      </c>
      <c r="AV73" s="88" t="str">
        <f aca="false">IF(AND(SUM($AM73)=0,SUM($AU73)=0),"",$AM73/$AU73)</f>
        <v/>
      </c>
      <c r="AW73" s="10" t="n">
        <v>41</v>
      </c>
      <c r="AX73" s="88" t="n">
        <f aca="false">IF(OR($C73="01-09",SUM($AW73)=0),"",0%)</f>
        <v>0</v>
      </c>
      <c r="AY73" s="39" t="n">
        <f aca="false">IF(OR($C73="01-09",SUM($AW73)=0),"",ROUND($AW73*(1+$AX73),0))</f>
        <v>41</v>
      </c>
      <c r="AZ73" s="88" t="n">
        <f aca="false">IF(OR($C73="01-09",$C73="10-14"),"",100%)</f>
        <v>1</v>
      </c>
      <c r="BA73" s="39" t="str">
        <f aca="false">IF(OR(SUM($AM73)=0,$C73="01-09",$C73="10-14"),"",$AM73*$AZ73)</f>
        <v/>
      </c>
    </row>
    <row r="74" customFormat="false" ht="15" hidden="false" customHeight="false" outlineLevel="0" collapsed="false">
      <c r="A74" s="0" t="str">
        <f aca="false">INDEX(Prioritization!$D:$D,MATCH($B74,Prioritization!$A:$A,0))</f>
        <v>1 - Scale-up: Saturation</v>
      </c>
      <c r="B74" s="0" t="s">
        <v>198</v>
      </c>
      <c r="C74" s="0" t="s">
        <v>368</v>
      </c>
      <c r="D74" s="0" t="s">
        <v>48</v>
      </c>
      <c r="E74" s="0" t="str">
        <f aca="false">$B74&amp;"|"&amp;$C74&amp;"|"&amp;$D74</f>
        <v>Lilongwe District [ScR9iFKAasW]|50+|Male</v>
      </c>
      <c r="F74" s="88" t="n">
        <f aca="false">IF(LEFT($B74,4)="_Mil","",INDEX(Cascade!$AA:$AA,MATCH($E74,Cascade!$E:$E,0)))</f>
        <v>1820</v>
      </c>
      <c r="G74" s="10" t="n">
        <f aca="false">INDEX(Cascade!$BH:$BH,MATCH($E74,Cascade!$E:$E,0))</f>
        <v>0</v>
      </c>
      <c r="H74" s="10" t="str">
        <f aca="false">IF(OR($C74="01-09",$D74="Male"),"",INDEX(PMTCT!$AC:$AC,MATCH($E74,PMTCT!$E:$E,0)))</f>
        <v/>
      </c>
      <c r="I74" s="10" t="str">
        <f aca="false">IF(OR($C74="01-09",$D74="Male"),"",INDEX(PMTCT!$AS:$AS,MATCH($E74,PMTCT!$E:$E,0)))</f>
        <v/>
      </c>
      <c r="J74" s="10" t="str">
        <f aca="false">INDEX(TB!$P:$P,MATCH($E74,TB!$E:$E,0))</f>
        <v/>
      </c>
      <c r="K74" s="10" t="str">
        <f aca="false">IF(OR($C74="01-09",$C74="10-14",$D74="Female"),"",INDEX(VMMC!$AA:$AA,MATCH($E74,VMMC!$E:$E,0)))</f>
        <v/>
      </c>
      <c r="L74" s="10" t="n">
        <f aca="false">SUM($G74)-SUM($H74:$K74)</f>
        <v>0</v>
      </c>
      <c r="M74" s="88" t="str">
        <f aca="false">IF(OR($C74="01-09",$D74="Male",AND(SUM($G74)=0,SUM($H74)=0)),"",SUM($H74)/SUM($G74))</f>
        <v/>
      </c>
      <c r="N74" s="88" t="str">
        <f aca="false">IF(OR($C74="01-09",$D74="Male",AND(SUM($G74)=0,SUM($I74)=0)),"",SUM($I74)/SUM($G74))</f>
        <v/>
      </c>
      <c r="O74" s="88" t="str">
        <f aca="false">IF(AND(SUM($G74)=0,SUM($J74)=0),"",SUM($J74)/SUM($G74))</f>
        <v/>
      </c>
      <c r="P74" s="88" t="str">
        <f aca="false">IF(OR($C74="01-09",$C74="10-14",$D74="Female",AND(SUM($G74)=0,SUM($K74)=0)),"",SUM($K74)/SUM($G74))</f>
        <v/>
      </c>
      <c r="Q74" s="88"/>
      <c r="R74" s="88"/>
      <c r="S74" s="88"/>
      <c r="T74" s="88"/>
      <c r="U74" s="88" t="n">
        <v>0.821416205493733</v>
      </c>
      <c r="V74" s="88" t="str">
        <f aca="false">IF(SUM($G74)=0,"",SUM($M74:$U74))</f>
        <v/>
      </c>
      <c r="W74" s="88"/>
      <c r="X74" s="39" t="str">
        <f aca="false">IF(OR(SUM($G74)=0,SUM($Q74)=0),"",ROUND(SUM($G74)*SUM($Q74),0))</f>
        <v/>
      </c>
      <c r="Y74" s="39" t="str">
        <f aca="false">IF(SUM($X74)=0,"",IF(SUM($W74)=0,"ENTER YIELD",ROUND($X74/$W74,0)-$X74))</f>
        <v/>
      </c>
      <c r="Z74" s="88"/>
      <c r="AA74" s="39" t="str">
        <f aca="false">IF(OR(SUM($G74)=0,SUM($R74)=0),"",ROUND(SUM($G74)*SUM($R74),0))</f>
        <v/>
      </c>
      <c r="AB74" s="39" t="str">
        <f aca="false">IF(SUM($AA74)=0,"",IF(SUM($Z74)=0,"ENTER YIELD",ROUND($AA74/$Z74,0)-$AA74))</f>
        <v/>
      </c>
      <c r="AC74" s="88"/>
      <c r="AD74" s="39" t="str">
        <f aca="false">IF(OR(SUM($G74)=0,SUM($S74)=0),"",ROUND(SUM($G74)*SUM($S74),0))</f>
        <v/>
      </c>
      <c r="AE74" s="39" t="str">
        <f aca="false">IF(SUM($AD74)=0,"",IF(SUM($AC74)=0,"ENTER YIELD",ROUND($AD74/$AC74,0)-$AD74))</f>
        <v/>
      </c>
      <c r="AF74" s="88"/>
      <c r="AG74" s="39" t="str">
        <f aca="false">IF(OR(SUM($G74)=0,SUM($T74)=0),"",ROUND(SUM($G74)*SUM($T74),0))</f>
        <v/>
      </c>
      <c r="AH74" s="39" t="str">
        <f aca="false">IF(SUM($AG74)=0,"",IF(SUM($AF74)=0,"ENTER YIELD",ROUND($AG74/$AF74,0)-$AG74))</f>
        <v/>
      </c>
      <c r="AI74" s="88" t="n">
        <v>0.920342574827373</v>
      </c>
      <c r="AJ74" s="39" t="str">
        <f aca="false">IF(OR(SUM($G74)=0,SUM($U74)=0),"",ROUND(SUM($G74)*SUM($U74),0))</f>
        <v/>
      </c>
      <c r="AK74" s="39" t="str">
        <f aca="false">IF(SUM($AJ74)=0,"",IF(SUM($AI74)=0,"ENTER YIELD",ROUND($AJ74/$AI74,0)-$AJ74))</f>
        <v/>
      </c>
      <c r="AL74" s="10" t="str">
        <f aca="false">IF(SUM($G74)=0,"",$G74)</f>
        <v/>
      </c>
      <c r="AM74" s="10" t="str">
        <f aca="false">IFERROR(1/(1/SUM($H74:$K74,$X74,$AA74,$AD74,$AG74,$AJ74)),"")</f>
        <v/>
      </c>
      <c r="AN74" s="10" t="str">
        <f aca="false">IF(AND(SUM($AM74)=0,SUM($AL74)=0),"",$AM74-$AL74)</f>
        <v/>
      </c>
      <c r="AO74" s="10" t="str">
        <f aca="false">IF(OR($C74="01-09",$D74="Male"),"",INDEX(PMTCT!$AD:$AD,MATCH($E74,PMTCT!$E:$E,0)))</f>
        <v/>
      </c>
      <c r="AP74" s="10" t="str">
        <f aca="false">IF(OR($C74="01-09",$D74="Male"),"",INDEX(PMTCT!$AT:$AT,MATCH($E74,PMTCT!$E:$E,0)))</f>
        <v/>
      </c>
      <c r="AQ74" s="10" t="str">
        <f aca="false">INDEX(TB!$Q:$Q,MATCH($E74,TB!$E:$E,0))</f>
        <v/>
      </c>
      <c r="AR74" s="10" t="str">
        <f aca="false">IF(OR($C74="01-09",$C74="10-14",$D74="Female"),"",INDEX(VMMC!$AB:$AB,MATCH($E74,VMMC!$E:$E,0)))</f>
        <v/>
      </c>
      <c r="AS74" s="10" t="str">
        <f aca="false">IF(OR($C74="01-09",$C74="10-14"),"",INDEX(PrEP!$Q:$Q,MATCH($E74,PrEP!$E:$E,0)))</f>
        <v/>
      </c>
      <c r="AT74" s="10" t="str">
        <f aca="false">IFERROR(1/(1/SUM($Y74,$AB74,$AE74,$AH74,$AK74,$AO74:$AS74)),"")</f>
        <v/>
      </c>
      <c r="AU74" s="10" t="str">
        <f aca="false">IFERROR(1/(1/SUM($AT74,$AM74)),"")</f>
        <v/>
      </c>
      <c r="AV74" s="88" t="str">
        <f aca="false">IF(AND(SUM($AM74)=0,SUM($AU74)=0),"",$AM74/$AU74)</f>
        <v/>
      </c>
      <c r="AW74" s="10" t="n">
        <v>942</v>
      </c>
      <c r="AX74" s="88" t="n">
        <f aca="false">IF(OR($C74="01-09",SUM($AW74)=0),"",0%)</f>
        <v>0</v>
      </c>
      <c r="AY74" s="39" t="n">
        <f aca="false">IF(OR($C74="01-09",SUM($AW74)=0),"",ROUND($AW74*(1+$AX74),0))</f>
        <v>942</v>
      </c>
      <c r="AZ74" s="88" t="n">
        <f aca="false">IF(OR($C74="01-09",$C74="10-14"),"",100%)</f>
        <v>1</v>
      </c>
      <c r="BA74" s="39" t="str">
        <f aca="false">IF(OR(SUM($AM74)=0,$C74="01-09",$C74="10-14"),"",$AM74*$AZ74)</f>
        <v/>
      </c>
    </row>
    <row r="75" customFormat="false" ht="15" hidden="false" customHeight="false" outlineLevel="0" collapsed="false">
      <c r="A75" s="0" t="str">
        <f aca="false">INDEX(Prioritization!$D:$D,MATCH($B75,Prioritization!$A:$A,0))</f>
        <v>1 - Scale-up: Saturation</v>
      </c>
      <c r="B75" s="0" t="s">
        <v>199</v>
      </c>
      <c r="C75" s="0" t="s">
        <v>363</v>
      </c>
      <c r="D75" s="0" t="s">
        <v>30</v>
      </c>
      <c r="E75" s="0" t="str">
        <f aca="false">$B75&amp;"|"&amp;$C75&amp;"|"&amp;$D75</f>
        <v>Mchinji District [kxuuIFpOXyO]|01-09|Female</v>
      </c>
      <c r="F75" s="88" t="n">
        <f aca="false">IF(LEFT($B75,4)="_Mil","",INDEX(Cascade!$AA:$AA,MATCH($E75,Cascade!$E:$E,0)))</f>
        <v>1421</v>
      </c>
      <c r="G75" s="10" t="n">
        <f aca="false">INDEX(Cascade!$BH:$BH,MATCH($E75,Cascade!$E:$E,0))</f>
        <v>0</v>
      </c>
      <c r="H75" s="10" t="str">
        <f aca="false">IF(OR($C75="01-09",$D75="Male"),"",INDEX(PMTCT!$AC:$AC,MATCH($E75,PMTCT!$E:$E,0)))</f>
        <v/>
      </c>
      <c r="I75" s="10" t="str">
        <f aca="false">IF(OR($C75="01-09",$D75="Male"),"",INDEX(PMTCT!$AS:$AS,MATCH($E75,PMTCT!$E:$E,0)))</f>
        <v/>
      </c>
      <c r="J75" s="10" t="str">
        <f aca="false">INDEX(TB!$P:$P,MATCH($E75,TB!$E:$E,0))</f>
        <v/>
      </c>
      <c r="K75" s="10" t="str">
        <f aca="false">IF(OR($C75="01-09",$C75="10-14",$D75="Female"),"",INDEX(VMMC!$AA:$AA,MATCH($E75,VMMC!$E:$E,0)))</f>
        <v/>
      </c>
      <c r="L75" s="10" t="n">
        <f aca="false">SUM($G75)-SUM($H75:$K75)</f>
        <v>0</v>
      </c>
      <c r="M75" s="88" t="str">
        <f aca="false">IF(OR($C75="01-09",$D75="Male",AND(SUM($G75)=0,SUM($H75)=0)),"",SUM($H75)/SUM($G75))</f>
        <v/>
      </c>
      <c r="N75" s="88" t="str">
        <f aca="false">IF(OR($C75="01-09",$D75="Male",AND(SUM($G75)=0,SUM($I75)=0)),"",SUM($I75)/SUM($G75))</f>
        <v/>
      </c>
      <c r="O75" s="88" t="str">
        <f aca="false">IF(AND(SUM($G75)=0,SUM($J75)=0),"",SUM($J75)/SUM($G75))</f>
        <v/>
      </c>
      <c r="P75" s="88" t="str">
        <f aca="false">IF(OR($C75="01-09",$C75="10-14",$D75="Female",AND(SUM($G75)=0,SUM($K75)=0)),"",SUM($K75)/SUM($G75))</f>
        <v/>
      </c>
      <c r="Q75" s="88"/>
      <c r="R75" s="88"/>
      <c r="S75" s="88"/>
      <c r="T75" s="88"/>
      <c r="U75" s="88"/>
      <c r="V75" s="88" t="str">
        <f aca="false">IF(SUM($G75)=0,"",SUM($M75:$U75))</f>
        <v/>
      </c>
      <c r="W75" s="88"/>
      <c r="X75" s="39" t="str">
        <f aca="false">IF(OR(SUM($G75)=0,SUM($Q75)=0),"",ROUND(SUM($G75)*SUM($Q75),0))</f>
        <v/>
      </c>
      <c r="Y75" s="39" t="str">
        <f aca="false">IF(SUM($X75)=0,"",IF(SUM($W75)=0,"ENTER YIELD",ROUND($X75/$W75,0)-$X75))</f>
        <v/>
      </c>
      <c r="Z75" s="88"/>
      <c r="AA75" s="39" t="str">
        <f aca="false">IF(OR(SUM($G75)=0,SUM($R75)=0),"",ROUND(SUM($G75)*SUM($R75),0))</f>
        <v/>
      </c>
      <c r="AB75" s="39" t="str">
        <f aca="false">IF(SUM($AA75)=0,"",IF(SUM($Z75)=0,"ENTER YIELD",ROUND($AA75/$Z75,0)-$AA75))</f>
        <v/>
      </c>
      <c r="AC75" s="88"/>
      <c r="AD75" s="39" t="str">
        <f aca="false">IF(OR(SUM($G75)=0,SUM($S75)=0),"",ROUND(SUM($G75)*SUM($S75),0))</f>
        <v/>
      </c>
      <c r="AE75" s="39" t="str">
        <f aca="false">IF(SUM($AD75)=0,"",IF(SUM($AC75)=0,"ENTER YIELD",ROUND($AD75/$AC75,0)-$AD75))</f>
        <v/>
      </c>
      <c r="AF75" s="88"/>
      <c r="AG75" s="39" t="str">
        <f aca="false">IF(OR(SUM($G75)=0,SUM($T75)=0),"",ROUND(SUM($G75)*SUM($T75),0))</f>
        <v/>
      </c>
      <c r="AH75" s="39" t="str">
        <f aca="false">IF(SUM($AG75)=0,"",IF(SUM($AF75)=0,"ENTER YIELD",ROUND($AG75/$AF75,0)-$AG75))</f>
        <v/>
      </c>
      <c r="AI75" s="88"/>
      <c r="AJ75" s="39" t="str">
        <f aca="false">IF(OR(SUM($G75)=0,SUM($U75)=0),"",ROUND(SUM($G75)*SUM($U75),0))</f>
        <v/>
      </c>
      <c r="AK75" s="39" t="str">
        <f aca="false">IF(SUM($AJ75)=0,"",IF(SUM($AI75)=0,"ENTER YIELD",ROUND($AJ75/$AI75,0)-$AJ75))</f>
        <v/>
      </c>
      <c r="AL75" s="10" t="str">
        <f aca="false">IF(SUM($G75)=0,"",$G75)</f>
        <v/>
      </c>
      <c r="AM75" s="10" t="str">
        <f aca="false">IFERROR(1/(1/SUM($H75:$K75,$X75,$AA75,$AD75,$AG75,$AJ75)),"")</f>
        <v/>
      </c>
      <c r="AN75" s="10" t="str">
        <f aca="false">IF(AND(SUM($AM75)=0,SUM($AL75)=0),"",$AM75-$AL75)</f>
        <v/>
      </c>
      <c r="AO75" s="10" t="str">
        <f aca="false">IF(OR($C75="01-09",$D75="Male"),"",INDEX(PMTCT!$AD:$AD,MATCH($E75,PMTCT!$E:$E,0)))</f>
        <v/>
      </c>
      <c r="AP75" s="10" t="str">
        <f aca="false">IF(OR($C75="01-09",$D75="Male"),"",INDEX(PMTCT!$AT:$AT,MATCH($E75,PMTCT!$E:$E,0)))</f>
        <v/>
      </c>
      <c r="AQ75" s="10" t="str">
        <f aca="false">INDEX(TB!$Q:$Q,MATCH($E75,TB!$E:$E,0))</f>
        <v/>
      </c>
      <c r="AR75" s="10" t="str">
        <f aca="false">IF(OR($C75="01-09",$C75="10-14",$D75="Female"),"",INDEX(VMMC!$AB:$AB,MATCH($E75,VMMC!$E:$E,0)))</f>
        <v/>
      </c>
      <c r="AS75" s="10" t="str">
        <f aca="false">IF(OR($C75="01-09",$C75="10-14"),"",INDEX(PrEP!$Q:$Q,MATCH($E75,PrEP!$E:$E,0)))</f>
        <v/>
      </c>
      <c r="AT75" s="10" t="str">
        <f aca="false">IFERROR(1/(1/SUM($Y75,$AB75,$AE75,$AH75,$AK75,$AO75:$AS75)),"")</f>
        <v/>
      </c>
      <c r="AU75" s="10" t="str">
        <f aca="false">IFERROR(1/(1/SUM($AT75,$AM75)),"")</f>
        <v/>
      </c>
      <c r="AV75" s="88" t="str">
        <f aca="false">IF(AND(SUM($AM75)=0,SUM($AU75)=0),"",$AM75/$AU75)</f>
        <v/>
      </c>
      <c r="AW75" s="10"/>
      <c r="AX75" s="88" t="str">
        <f aca="false">IF(OR($C75="01-09",SUM($AW75)=0),"",0%)</f>
        <v/>
      </c>
      <c r="AY75" s="39" t="str">
        <f aca="false">IF(OR($C75="01-09",SUM($AW75)=0),"",ROUND($AW75*(1+$AX75),0))</f>
        <v/>
      </c>
      <c r="AZ75" s="88" t="str">
        <f aca="false">IF(OR($C75="01-09",$C75="10-14"),"",100%)</f>
        <v/>
      </c>
      <c r="BA75" s="39" t="str">
        <f aca="false">IF(OR(SUM($AM75)=0,$C75="01-09",$C75="10-14"),"",$AM75*$AZ75)</f>
        <v/>
      </c>
    </row>
    <row r="76" customFormat="false" ht="15" hidden="false" customHeight="false" outlineLevel="0" collapsed="false">
      <c r="A76" s="0" t="str">
        <f aca="false">INDEX(Prioritization!$D:$D,MATCH($B76,Prioritization!$A:$A,0))</f>
        <v>1 - Scale-up: Saturation</v>
      </c>
      <c r="B76" s="0" t="s">
        <v>199</v>
      </c>
      <c r="C76" s="0" t="s">
        <v>363</v>
      </c>
      <c r="D76" s="0" t="s">
        <v>48</v>
      </c>
      <c r="E76" s="0" t="str">
        <f aca="false">$B76&amp;"|"&amp;$C76&amp;"|"&amp;$D76</f>
        <v>Mchinji District [kxuuIFpOXyO]|01-09|Male</v>
      </c>
      <c r="F76" s="88" t="n">
        <f aca="false">IF(LEFT($B76,4)="_Mil","",INDEX(Cascade!$AA:$AA,MATCH($E76,Cascade!$E:$E,0)))</f>
        <v>1003</v>
      </c>
      <c r="G76" s="10" t="n">
        <f aca="false">INDEX(Cascade!$BH:$BH,MATCH($E76,Cascade!$E:$E,0))</f>
        <v>0</v>
      </c>
      <c r="H76" s="10" t="str">
        <f aca="false">IF(OR($C76="01-09",$D76="Male"),"",INDEX(PMTCT!$AC:$AC,MATCH($E76,PMTCT!$E:$E,0)))</f>
        <v/>
      </c>
      <c r="I76" s="10" t="str">
        <f aca="false">IF(OR($C76="01-09",$D76="Male"),"",INDEX(PMTCT!$AS:$AS,MATCH($E76,PMTCT!$E:$E,0)))</f>
        <v/>
      </c>
      <c r="J76" s="10" t="str">
        <f aca="false">INDEX(TB!$P:$P,MATCH($E76,TB!$E:$E,0))</f>
        <v/>
      </c>
      <c r="K76" s="10" t="str">
        <f aca="false">IF(OR($C76="01-09",$C76="10-14",$D76="Female"),"",INDEX(VMMC!$AA:$AA,MATCH($E76,VMMC!$E:$E,0)))</f>
        <v/>
      </c>
      <c r="L76" s="10" t="n">
        <f aca="false">SUM($G76)-SUM($H76:$K76)</f>
        <v>0</v>
      </c>
      <c r="M76" s="88" t="str">
        <f aca="false">IF(OR($C76="01-09",$D76="Male",AND(SUM($G76)=0,SUM($H76)=0)),"",SUM($H76)/SUM($G76))</f>
        <v/>
      </c>
      <c r="N76" s="88" t="str">
        <f aca="false">IF(OR($C76="01-09",$D76="Male",AND(SUM($G76)=0,SUM($I76)=0)),"",SUM($I76)/SUM($G76))</f>
        <v/>
      </c>
      <c r="O76" s="88" t="str">
        <f aca="false">IF(AND(SUM($G76)=0,SUM($J76)=0),"",SUM($J76)/SUM($G76))</f>
        <v/>
      </c>
      <c r="P76" s="88" t="str">
        <f aca="false">IF(OR($C76="01-09",$C76="10-14",$D76="Female",AND(SUM($G76)=0,SUM($K76)=0)),"",SUM($K76)/SUM($G76))</f>
        <v/>
      </c>
      <c r="Q76" s="88"/>
      <c r="R76" s="88"/>
      <c r="S76" s="88"/>
      <c r="T76" s="88"/>
      <c r="U76" s="88"/>
      <c r="V76" s="88" t="str">
        <f aca="false">IF(SUM($G76)=0,"",SUM($M76:$U76))</f>
        <v/>
      </c>
      <c r="W76" s="88"/>
      <c r="X76" s="39" t="str">
        <f aca="false">IF(OR(SUM($G76)=0,SUM($Q76)=0),"",ROUND(SUM($G76)*SUM($Q76),0))</f>
        <v/>
      </c>
      <c r="Y76" s="39" t="str">
        <f aca="false">IF(SUM($X76)=0,"",IF(SUM($W76)=0,"ENTER YIELD",ROUND($X76/$W76,0)-$X76))</f>
        <v/>
      </c>
      <c r="Z76" s="88"/>
      <c r="AA76" s="39" t="str">
        <f aca="false">IF(OR(SUM($G76)=0,SUM($R76)=0),"",ROUND(SUM($G76)*SUM($R76),0))</f>
        <v/>
      </c>
      <c r="AB76" s="39" t="str">
        <f aca="false">IF(SUM($AA76)=0,"",IF(SUM($Z76)=0,"ENTER YIELD",ROUND($AA76/$Z76,0)-$AA76))</f>
        <v/>
      </c>
      <c r="AC76" s="88"/>
      <c r="AD76" s="39" t="str">
        <f aca="false">IF(OR(SUM($G76)=0,SUM($S76)=0),"",ROUND(SUM($G76)*SUM($S76),0))</f>
        <v/>
      </c>
      <c r="AE76" s="39" t="str">
        <f aca="false">IF(SUM($AD76)=0,"",IF(SUM($AC76)=0,"ENTER YIELD",ROUND($AD76/$AC76,0)-$AD76))</f>
        <v/>
      </c>
      <c r="AF76" s="88"/>
      <c r="AG76" s="39" t="str">
        <f aca="false">IF(OR(SUM($G76)=0,SUM($T76)=0),"",ROUND(SUM($G76)*SUM($T76),0))</f>
        <v/>
      </c>
      <c r="AH76" s="39" t="str">
        <f aca="false">IF(SUM($AG76)=0,"",IF(SUM($AF76)=0,"ENTER YIELD",ROUND($AG76/$AF76,0)-$AG76))</f>
        <v/>
      </c>
      <c r="AI76" s="88"/>
      <c r="AJ76" s="39" t="str">
        <f aca="false">IF(OR(SUM($G76)=0,SUM($U76)=0),"",ROUND(SUM($G76)*SUM($U76),0))</f>
        <v/>
      </c>
      <c r="AK76" s="39" t="str">
        <f aca="false">IF(SUM($AJ76)=0,"",IF(SUM($AI76)=0,"ENTER YIELD",ROUND($AJ76/$AI76,0)-$AJ76))</f>
        <v/>
      </c>
      <c r="AL76" s="10" t="str">
        <f aca="false">IF(SUM($G76)=0,"",$G76)</f>
        <v/>
      </c>
      <c r="AM76" s="10" t="str">
        <f aca="false">IFERROR(1/(1/SUM($H76:$K76,$X76,$AA76,$AD76,$AG76,$AJ76)),"")</f>
        <v/>
      </c>
      <c r="AN76" s="10" t="str">
        <f aca="false">IF(AND(SUM($AM76)=0,SUM($AL76)=0),"",$AM76-$AL76)</f>
        <v/>
      </c>
      <c r="AO76" s="10" t="str">
        <f aca="false">IF(OR($C76="01-09",$D76="Male"),"",INDEX(PMTCT!$AD:$AD,MATCH($E76,PMTCT!$E:$E,0)))</f>
        <v/>
      </c>
      <c r="AP76" s="10" t="str">
        <f aca="false">IF(OR($C76="01-09",$D76="Male"),"",INDEX(PMTCT!$AT:$AT,MATCH($E76,PMTCT!$E:$E,0)))</f>
        <v/>
      </c>
      <c r="AQ76" s="10" t="str">
        <f aca="false">INDEX(TB!$Q:$Q,MATCH($E76,TB!$E:$E,0))</f>
        <v/>
      </c>
      <c r="AR76" s="10" t="str">
        <f aca="false">IF(OR($C76="01-09",$C76="10-14",$D76="Female"),"",INDEX(VMMC!$AB:$AB,MATCH($E76,VMMC!$E:$E,0)))</f>
        <v/>
      </c>
      <c r="AS76" s="10" t="str">
        <f aca="false">IF(OR($C76="01-09",$C76="10-14"),"",INDEX(PrEP!$Q:$Q,MATCH($E76,PrEP!$E:$E,0)))</f>
        <v/>
      </c>
      <c r="AT76" s="10" t="str">
        <f aca="false">IFERROR(1/(1/SUM($Y76,$AB76,$AE76,$AH76,$AK76,$AO76:$AS76)),"")</f>
        <v/>
      </c>
      <c r="AU76" s="10" t="str">
        <f aca="false">IFERROR(1/(1/SUM($AT76,$AM76)),"")</f>
        <v/>
      </c>
      <c r="AV76" s="88" t="str">
        <f aca="false">IF(AND(SUM($AM76)=0,SUM($AU76)=0),"",$AM76/$AU76)</f>
        <v/>
      </c>
      <c r="AW76" s="10"/>
      <c r="AX76" s="88" t="str">
        <f aca="false">IF(OR($C76="01-09",SUM($AW76)=0),"",0%)</f>
        <v/>
      </c>
      <c r="AY76" s="39" t="str">
        <f aca="false">IF(OR($C76="01-09",SUM($AW76)=0),"",ROUND($AW76*(1+$AX76),0))</f>
        <v/>
      </c>
      <c r="AZ76" s="88" t="str">
        <f aca="false">IF(OR($C76="01-09",$C76="10-14"),"",100%)</f>
        <v/>
      </c>
      <c r="BA76" s="39" t="str">
        <f aca="false">IF(OR(SUM($AM76)=0,$C76="01-09",$C76="10-14"),"",$AM76*$AZ76)</f>
        <v/>
      </c>
    </row>
    <row r="77" customFormat="false" ht="15" hidden="false" customHeight="false" outlineLevel="0" collapsed="false">
      <c r="A77" s="0" t="str">
        <f aca="false">INDEX(Prioritization!$D:$D,MATCH($B77,Prioritization!$A:$A,0))</f>
        <v>1 - Scale-up: Saturation</v>
      </c>
      <c r="B77" s="0" t="s">
        <v>199</v>
      </c>
      <c r="C77" s="0" t="s">
        <v>364</v>
      </c>
      <c r="D77" s="0" t="s">
        <v>30</v>
      </c>
      <c r="E77" s="0" t="str">
        <f aca="false">$B77&amp;"|"&amp;$C77&amp;"|"&amp;$D77</f>
        <v>Mchinji District [kxuuIFpOXyO]|10-14|Female</v>
      </c>
      <c r="F77" s="88" t="n">
        <f aca="false">IF(LEFT($B77,4)="_Mil","",INDEX(Cascade!$AA:$AA,MATCH($E77,Cascade!$E:$E,0)))</f>
        <v>911</v>
      </c>
      <c r="G77" s="10" t="n">
        <f aca="false">INDEX(Cascade!$BH:$BH,MATCH($E77,Cascade!$E:$E,0))</f>
        <v>-75</v>
      </c>
      <c r="H77" s="10" t="str">
        <f aca="false">IF(OR($C77="01-09",$D77="Male"),"",INDEX(PMTCT!$AC:$AC,MATCH($E77,PMTCT!$E:$E,0)))</f>
        <v>ENTER YIELD RATE</v>
      </c>
      <c r="I77" s="10" t="str">
        <f aca="false">IF(OR($C77="01-09",$D77="Male"),"",INDEX(PMTCT!$AS:$AS,MATCH($E77,PMTCT!$E:$E,0)))</f>
        <v>ENTER YIELD RATE</v>
      </c>
      <c r="J77" s="10" t="str">
        <f aca="false">INDEX(TB!$P:$P,MATCH($E77,TB!$E:$E,0))</f>
        <v>ENTER YIELD RATE</v>
      </c>
      <c r="K77" s="10" t="str">
        <f aca="false">IF(OR($C77="01-09",$C77="10-14",$D77="Female"),"",INDEX(VMMC!$AA:$AA,MATCH($E77,VMMC!$E:$E,0)))</f>
        <v/>
      </c>
      <c r="L77" s="10" t="n">
        <f aca="false">SUM($G77)-SUM($H77:$K77)</f>
        <v>-75</v>
      </c>
      <c r="M77" s="88" t="n">
        <f aca="false">IF(OR($C77="01-09",$D77="Male",AND(SUM($G77)=0,SUM($H77)=0)),"",SUM($H77)/SUM($G77))</f>
        <v>-0</v>
      </c>
      <c r="N77" s="88" t="n">
        <f aca="false">IF(OR($C77="01-09",$D77="Male",AND(SUM($G77)=0,SUM($I77)=0)),"",SUM($I77)/SUM($G77))</f>
        <v>-0</v>
      </c>
      <c r="O77" s="88" t="n">
        <f aca="false">IF(AND(SUM($G77)=0,SUM($J77)=0),"",SUM($J77)/SUM($G77))</f>
        <v>-0</v>
      </c>
      <c r="P77" s="88" t="str">
        <f aca="false">IF(OR($C77="01-09",$C77="10-14",$D77="Female",AND(SUM($G77)=0,SUM($K77)=0)),"",SUM($K77)/SUM($G77))</f>
        <v/>
      </c>
      <c r="Q77" s="88" t="n">
        <v>0.620383732719347</v>
      </c>
      <c r="R77" s="88"/>
      <c r="S77" s="88"/>
      <c r="T77" s="88"/>
      <c r="U77" s="88" t="n">
        <v>0.462508130120113</v>
      </c>
      <c r="V77" s="88" t="n">
        <f aca="false">IF(SUM($G77)=0,"",SUM($M77:$U77))</f>
        <v>1.08289186283946</v>
      </c>
      <c r="W77" s="88"/>
      <c r="X77" s="39" t="n">
        <f aca="false">IF(OR(SUM($G77)=0,SUM($Q77)=0),"",ROUND(SUM($G77)*SUM($Q77),0))</f>
        <v>-47</v>
      </c>
      <c r="Y77" s="39" t="str">
        <f aca="false">IF(SUM($X77)=0,"",IF(SUM($W77)=0,"ENTER YIELD",ROUND($X77/$W77,0)-$X77))</f>
        <v>ENTER YIELD</v>
      </c>
      <c r="Z77" s="88"/>
      <c r="AA77" s="39" t="str">
        <f aca="false">IF(OR(SUM($G77)=0,SUM($R77)=0),"",ROUND(SUM($G77)*SUM($R77),0))</f>
        <v/>
      </c>
      <c r="AB77" s="39" t="str">
        <f aca="false">IF(SUM($AA77)=0,"",IF(SUM($Z77)=0,"ENTER YIELD",ROUND($AA77/$Z77,0)-$AA77))</f>
        <v/>
      </c>
      <c r="AC77" s="88"/>
      <c r="AD77" s="39" t="str">
        <f aca="false">IF(OR(SUM($G77)=0,SUM($S77)=0),"",ROUND(SUM($G77)*SUM($S77),0))</f>
        <v/>
      </c>
      <c r="AE77" s="39" t="str">
        <f aca="false">IF(SUM($AD77)=0,"",IF(SUM($AC77)=0,"ENTER YIELD",ROUND($AD77/$AC77,0)-$AD77))</f>
        <v/>
      </c>
      <c r="AF77" s="88"/>
      <c r="AG77" s="39" t="str">
        <f aca="false">IF(OR(SUM($G77)=0,SUM($T77)=0),"",ROUND(SUM($G77)*SUM($T77),0))</f>
        <v/>
      </c>
      <c r="AH77" s="39" t="str">
        <f aca="false">IF(SUM($AG77)=0,"",IF(SUM($AF77)=0,"ENTER YIELD",ROUND($AG77/$AF77,0)-$AG77))</f>
        <v/>
      </c>
      <c r="AI77" s="88"/>
      <c r="AJ77" s="39" t="n">
        <f aca="false">IF(OR(SUM($G77)=0,SUM($U77)=0),"",ROUND(SUM($G77)*SUM($U77),0))</f>
        <v>-35</v>
      </c>
      <c r="AK77" s="39" t="str">
        <f aca="false">IF(SUM($AJ77)=0,"",IF(SUM($AI77)=0,"ENTER YIELD",ROUND($AJ77/$AI77,0)-$AJ77))</f>
        <v>ENTER YIELD</v>
      </c>
      <c r="AL77" s="10" t="n">
        <f aca="false">IF(SUM($G77)=0,"",$G77)</f>
        <v>-75</v>
      </c>
      <c r="AM77" s="10" t="n">
        <f aca="false">IFERROR(1/(1/SUM($H77:$K77,$X77,$AA77,$AD77,$AG77,$AJ77)),"")</f>
        <v>-82</v>
      </c>
      <c r="AN77" s="10" t="n">
        <f aca="false">IF(AND(SUM($AM77)=0,SUM($AL77)=0),"",$AM77-$AL77)</f>
        <v>-7</v>
      </c>
      <c r="AO77" s="10" t="n">
        <f aca="false">IF(OR($C77="01-09",$D77="Male"),"",INDEX(PMTCT!$AD:$AD,MATCH($E77,PMTCT!$E:$E,0)))</f>
        <v>7</v>
      </c>
      <c r="AP77" s="10" t="n">
        <f aca="false">IF(OR($C77="01-09",$D77="Male"),"",INDEX(PMTCT!$AT:$AT,MATCH($E77,PMTCT!$E:$E,0)))</f>
        <v>7</v>
      </c>
      <c r="AQ77" s="10" t="n">
        <f aca="false">INDEX(TB!$Q:$Q,MATCH($E77,TB!$E:$E,0))</f>
        <v>1</v>
      </c>
      <c r="AR77" s="10" t="str">
        <f aca="false">IF(OR($C77="01-09",$C77="10-14",$D77="Female"),"",INDEX(VMMC!$AB:$AB,MATCH($E77,VMMC!$E:$E,0)))</f>
        <v/>
      </c>
      <c r="AS77" s="10" t="str">
        <f aca="false">IF(OR($C77="01-09",$C77="10-14"),"",INDEX(PrEP!$Q:$Q,MATCH($E77,PrEP!$E:$E,0)))</f>
        <v/>
      </c>
      <c r="AT77" s="10" t="n">
        <f aca="false">IFERROR(1/(1/SUM($Y77,$AB77,$AE77,$AH77,$AK77,$AO77:$AS77)),"")</f>
        <v>15</v>
      </c>
      <c r="AU77" s="10" t="n">
        <f aca="false">IFERROR(1/(1/SUM($AT77,$AM77)),"")</f>
        <v>-67</v>
      </c>
      <c r="AV77" s="88" t="n">
        <f aca="false">IF(AND(SUM($AM77)=0,SUM($AU77)=0),"",$AM77/$AU77)</f>
        <v>1.22388059701493</v>
      </c>
      <c r="AW77" s="10"/>
      <c r="AX77" s="88" t="str">
        <f aca="false">IF(OR($C77="01-09",SUM($AW77)=0),"",0%)</f>
        <v/>
      </c>
      <c r="AY77" s="39" t="str">
        <f aca="false">IF(OR($C77="01-09",SUM($AW77)=0),"",ROUND($AW77*(1+$AX77),0))</f>
        <v/>
      </c>
      <c r="AZ77" s="88" t="str">
        <f aca="false">IF(OR($C77="01-09",$C77="10-14"),"",100%)</f>
        <v/>
      </c>
      <c r="BA77" s="39" t="str">
        <f aca="false">IF(OR(SUM($AM77)=0,$C77="01-09",$C77="10-14"),"",$AM77*$AZ77)</f>
        <v/>
      </c>
    </row>
    <row r="78" customFormat="false" ht="15" hidden="false" customHeight="false" outlineLevel="0" collapsed="false">
      <c r="A78" s="0" t="str">
        <f aca="false">INDEX(Prioritization!$D:$D,MATCH($B78,Prioritization!$A:$A,0))</f>
        <v>1 - Scale-up: Saturation</v>
      </c>
      <c r="B78" s="0" t="s">
        <v>199</v>
      </c>
      <c r="C78" s="0" t="s">
        <v>364</v>
      </c>
      <c r="D78" s="0" t="s">
        <v>48</v>
      </c>
      <c r="E78" s="0" t="str">
        <f aca="false">$B78&amp;"|"&amp;$C78&amp;"|"&amp;$D78</f>
        <v>Mchinji District [kxuuIFpOXyO]|10-14|Male</v>
      </c>
      <c r="F78" s="88" t="n">
        <f aca="false">IF(LEFT($B78,4)="_Mil","",INDEX(Cascade!$AA:$AA,MATCH($E78,Cascade!$E:$E,0)))</f>
        <v>1496</v>
      </c>
      <c r="G78" s="10" t="n">
        <f aca="false">INDEX(Cascade!$BH:$BH,MATCH($E78,Cascade!$E:$E,0))</f>
        <v>-94</v>
      </c>
      <c r="H78" s="10" t="str">
        <f aca="false">IF(OR($C78="01-09",$D78="Male"),"",INDEX(PMTCT!$AC:$AC,MATCH($E78,PMTCT!$E:$E,0)))</f>
        <v/>
      </c>
      <c r="I78" s="10" t="str">
        <f aca="false">IF(OR($C78="01-09",$D78="Male"),"",INDEX(PMTCT!$AS:$AS,MATCH($E78,PMTCT!$E:$E,0)))</f>
        <v/>
      </c>
      <c r="J78" s="10" t="str">
        <f aca="false">INDEX(TB!$P:$P,MATCH($E78,TB!$E:$E,0))</f>
        <v>ENTER YIELD RATE</v>
      </c>
      <c r="K78" s="10" t="str">
        <f aca="false">IF(OR($C78="01-09",$C78="10-14",$D78="Female"),"",INDEX(VMMC!$AA:$AA,MATCH($E78,VMMC!$E:$E,0)))</f>
        <v/>
      </c>
      <c r="L78" s="10" t="n">
        <f aca="false">SUM($G78)-SUM($H78:$K78)</f>
        <v>-94</v>
      </c>
      <c r="M78" s="88" t="str">
        <f aca="false">IF(OR($C78="01-09",$D78="Male",AND(SUM($G78)=0,SUM($H78)=0)),"",SUM($H78)/SUM($G78))</f>
        <v/>
      </c>
      <c r="N78" s="88" t="str">
        <f aca="false">IF(OR($C78="01-09",$D78="Male",AND(SUM($G78)=0,SUM($I78)=0)),"",SUM($I78)/SUM($G78))</f>
        <v/>
      </c>
      <c r="O78" s="88" t="n">
        <f aca="false">IF(AND(SUM($G78)=0,SUM($J78)=0),"",SUM($J78)/SUM($G78))</f>
        <v>-0</v>
      </c>
      <c r="P78" s="88" t="str">
        <f aca="false">IF(OR($C78="01-09",$C78="10-14",$D78="Female",AND(SUM($G78)=0,SUM($K78)=0)),"",SUM($K78)/SUM($G78))</f>
        <v/>
      </c>
      <c r="Q78" s="88" t="n">
        <v>0.199435440590605</v>
      </c>
      <c r="R78" s="88"/>
      <c r="S78" s="88"/>
      <c r="T78" s="88"/>
      <c r="U78" s="88" t="n">
        <v>0.974918024614453</v>
      </c>
      <c r="V78" s="88" t="n">
        <f aca="false">IF(SUM($G78)=0,"",SUM($M78:$U78))</f>
        <v>1.17435346520506</v>
      </c>
      <c r="W78" s="88"/>
      <c r="X78" s="39" t="n">
        <f aca="false">IF(OR(SUM($G78)=0,SUM($Q78)=0),"",ROUND(SUM($G78)*SUM($Q78),0))</f>
        <v>-19</v>
      </c>
      <c r="Y78" s="39" t="str">
        <f aca="false">IF(SUM($X78)=0,"",IF(SUM($W78)=0,"ENTER YIELD",ROUND($X78/$W78,0)-$X78))</f>
        <v>ENTER YIELD</v>
      </c>
      <c r="Z78" s="88"/>
      <c r="AA78" s="39" t="str">
        <f aca="false">IF(OR(SUM($G78)=0,SUM($R78)=0),"",ROUND(SUM($G78)*SUM($R78),0))</f>
        <v/>
      </c>
      <c r="AB78" s="39" t="str">
        <f aca="false">IF(SUM($AA78)=0,"",IF(SUM($Z78)=0,"ENTER YIELD",ROUND($AA78/$Z78,0)-$AA78))</f>
        <v/>
      </c>
      <c r="AC78" s="88"/>
      <c r="AD78" s="39" t="str">
        <f aca="false">IF(OR(SUM($G78)=0,SUM($S78)=0),"",ROUND(SUM($G78)*SUM($S78),0))</f>
        <v/>
      </c>
      <c r="AE78" s="39" t="str">
        <f aca="false">IF(SUM($AD78)=0,"",IF(SUM($AC78)=0,"ENTER YIELD",ROUND($AD78/$AC78,0)-$AD78))</f>
        <v/>
      </c>
      <c r="AF78" s="88"/>
      <c r="AG78" s="39" t="str">
        <f aca="false">IF(OR(SUM($G78)=0,SUM($T78)=0),"",ROUND(SUM($G78)*SUM($T78),0))</f>
        <v/>
      </c>
      <c r="AH78" s="39" t="str">
        <f aca="false">IF(SUM($AG78)=0,"",IF(SUM($AF78)=0,"ENTER YIELD",ROUND($AG78/$AF78,0)-$AG78))</f>
        <v/>
      </c>
      <c r="AI78" s="88"/>
      <c r="AJ78" s="39" t="n">
        <f aca="false">IF(OR(SUM($G78)=0,SUM($U78)=0),"",ROUND(SUM($G78)*SUM($U78),0))</f>
        <v>-92</v>
      </c>
      <c r="AK78" s="39" t="str">
        <f aca="false">IF(SUM($AJ78)=0,"",IF(SUM($AI78)=0,"ENTER YIELD",ROUND($AJ78/$AI78,0)-$AJ78))</f>
        <v>ENTER YIELD</v>
      </c>
      <c r="AL78" s="10" t="n">
        <f aca="false">IF(SUM($G78)=0,"",$G78)</f>
        <v>-94</v>
      </c>
      <c r="AM78" s="10" t="n">
        <f aca="false">IFERROR(1/(1/SUM($H78:$K78,$X78,$AA78,$AD78,$AG78,$AJ78)),"")</f>
        <v>-111</v>
      </c>
      <c r="AN78" s="10" t="n">
        <f aca="false">IF(AND(SUM($AM78)=0,SUM($AL78)=0),"",$AM78-$AL78)</f>
        <v>-17</v>
      </c>
      <c r="AO78" s="10" t="str">
        <f aca="false">IF(OR($C78="01-09",$D78="Male"),"",INDEX(PMTCT!$AD:$AD,MATCH($E78,PMTCT!$E:$E,0)))</f>
        <v/>
      </c>
      <c r="AP78" s="10" t="str">
        <f aca="false">IF(OR($C78="01-09",$D78="Male"),"",INDEX(PMTCT!$AT:$AT,MATCH($E78,PMTCT!$E:$E,0)))</f>
        <v/>
      </c>
      <c r="AQ78" s="10" t="n">
        <f aca="false">INDEX(TB!$Q:$Q,MATCH($E78,TB!$E:$E,0))</f>
        <v>1</v>
      </c>
      <c r="AR78" s="10" t="str">
        <f aca="false">IF(OR($C78="01-09",$C78="10-14",$D78="Female"),"",INDEX(VMMC!$AB:$AB,MATCH($E78,VMMC!$E:$E,0)))</f>
        <v/>
      </c>
      <c r="AS78" s="10" t="str">
        <f aca="false">IF(OR($C78="01-09",$C78="10-14"),"",INDEX(PrEP!$Q:$Q,MATCH($E78,PrEP!$E:$E,0)))</f>
        <v/>
      </c>
      <c r="AT78" s="10" t="n">
        <f aca="false">IFERROR(1/(1/SUM($Y78,$AB78,$AE78,$AH78,$AK78,$AO78:$AS78)),"")</f>
        <v>1</v>
      </c>
      <c r="AU78" s="10" t="n">
        <f aca="false">IFERROR(1/(1/SUM($AT78,$AM78)),"")</f>
        <v>-110</v>
      </c>
      <c r="AV78" s="88" t="n">
        <f aca="false">IF(AND(SUM($AM78)=0,SUM($AU78)=0),"",$AM78/$AU78)</f>
        <v>1.00909090909091</v>
      </c>
      <c r="AW78" s="10"/>
      <c r="AX78" s="88" t="str">
        <f aca="false">IF(OR($C78="01-09",SUM($AW78)=0),"",0%)</f>
        <v/>
      </c>
      <c r="AY78" s="39" t="str">
        <f aca="false">IF(OR($C78="01-09",SUM($AW78)=0),"",ROUND($AW78*(1+$AX78),0))</f>
        <v/>
      </c>
      <c r="AZ78" s="88" t="str">
        <f aca="false">IF(OR($C78="01-09",$C78="10-14"),"",100%)</f>
        <v/>
      </c>
      <c r="BA78" s="39" t="str">
        <f aca="false">IF(OR(SUM($AM78)=0,$C78="01-09",$C78="10-14"),"",$AM78*$AZ78)</f>
        <v/>
      </c>
    </row>
    <row r="79" customFormat="false" ht="15" hidden="false" customHeight="false" outlineLevel="0" collapsed="false">
      <c r="A79" s="0" t="str">
        <f aca="false">INDEX(Prioritization!$D:$D,MATCH($B79,Prioritization!$A:$A,0))</f>
        <v>1 - Scale-up: Saturation</v>
      </c>
      <c r="B79" s="0" t="s">
        <v>199</v>
      </c>
      <c r="C79" s="0" t="s">
        <v>365</v>
      </c>
      <c r="D79" s="0" t="s">
        <v>30</v>
      </c>
      <c r="E79" s="0" t="str">
        <f aca="false">$B79&amp;"|"&amp;$C79&amp;"|"&amp;$D79</f>
        <v>Mchinji District [kxuuIFpOXyO]|15-24|Female</v>
      </c>
      <c r="F79" s="88" t="n">
        <f aca="false">IF(LEFT($B79,4)="_Mil","",INDEX(Cascade!$AA:$AA,MATCH($E79,Cascade!$E:$E,0)))</f>
        <v>1889</v>
      </c>
      <c r="G79" s="10" t="n">
        <f aca="false">INDEX(Cascade!$BH:$BH,MATCH($E79,Cascade!$E:$E,0))</f>
        <v>0</v>
      </c>
      <c r="H79" s="10" t="str">
        <f aca="false">IF(OR($C79="01-09",$D79="Male"),"",INDEX(PMTCT!$AC:$AC,MATCH($E79,PMTCT!$E:$E,0)))</f>
        <v/>
      </c>
      <c r="I79" s="10" t="str">
        <f aca="false">IF(OR($C79="01-09",$D79="Male"),"",INDEX(PMTCT!$AS:$AS,MATCH($E79,PMTCT!$E:$E,0)))</f>
        <v/>
      </c>
      <c r="J79" s="10" t="str">
        <f aca="false">INDEX(TB!$P:$P,MATCH($E79,TB!$E:$E,0))</f>
        <v/>
      </c>
      <c r="K79" s="10" t="str">
        <f aca="false">IF(OR($C79="01-09",$C79="10-14",$D79="Female"),"",INDEX(VMMC!$AA:$AA,MATCH($E79,VMMC!$E:$E,0)))</f>
        <v/>
      </c>
      <c r="L79" s="10" t="n">
        <f aca="false">SUM($G79)-SUM($H79:$K79)</f>
        <v>0</v>
      </c>
      <c r="M79" s="88" t="str">
        <f aca="false">IF(OR($C79="01-09",$D79="Male",AND(SUM($G79)=0,SUM($H79)=0)),"",SUM($H79)/SUM($G79))</f>
        <v/>
      </c>
      <c r="N79" s="88" t="str">
        <f aca="false">IF(OR($C79="01-09",$D79="Male",AND(SUM($G79)=0,SUM($I79)=0)),"",SUM($I79)/SUM($G79))</f>
        <v/>
      </c>
      <c r="O79" s="88" t="str">
        <f aca="false">IF(AND(SUM($G79)=0,SUM($J79)=0),"",SUM($J79)/SUM($G79))</f>
        <v/>
      </c>
      <c r="P79" s="88" t="str">
        <f aca="false">IF(OR($C79="01-09",$C79="10-14",$D79="Female",AND(SUM($G79)=0,SUM($K79)=0)),"",SUM($K79)/SUM($G79))</f>
        <v/>
      </c>
      <c r="Q79" s="88"/>
      <c r="R79" s="88"/>
      <c r="S79" s="88"/>
      <c r="T79" s="88"/>
      <c r="U79" s="88"/>
      <c r="V79" s="88" t="str">
        <f aca="false">IF(SUM($G79)=0,"",SUM($M79:$U79))</f>
        <v/>
      </c>
      <c r="W79" s="88"/>
      <c r="X79" s="39" t="str">
        <f aca="false">IF(OR(SUM($G79)=0,SUM($Q79)=0),"",ROUND(SUM($G79)*SUM($Q79),0))</f>
        <v/>
      </c>
      <c r="Y79" s="39" t="str">
        <f aca="false">IF(SUM($X79)=0,"",IF(SUM($W79)=0,"ENTER YIELD",ROUND($X79/$W79,0)-$X79))</f>
        <v/>
      </c>
      <c r="Z79" s="88"/>
      <c r="AA79" s="39" t="str">
        <f aca="false">IF(OR(SUM($G79)=0,SUM($R79)=0),"",ROUND(SUM($G79)*SUM($R79),0))</f>
        <v/>
      </c>
      <c r="AB79" s="39" t="str">
        <f aca="false">IF(SUM($AA79)=0,"",IF(SUM($Z79)=0,"ENTER YIELD",ROUND($AA79/$Z79,0)-$AA79))</f>
        <v/>
      </c>
      <c r="AC79" s="88"/>
      <c r="AD79" s="39" t="str">
        <f aca="false">IF(OR(SUM($G79)=0,SUM($S79)=0),"",ROUND(SUM($G79)*SUM($S79),0))</f>
        <v/>
      </c>
      <c r="AE79" s="39" t="str">
        <f aca="false">IF(SUM($AD79)=0,"",IF(SUM($AC79)=0,"ENTER YIELD",ROUND($AD79/$AC79,0)-$AD79))</f>
        <v/>
      </c>
      <c r="AF79" s="88"/>
      <c r="AG79" s="39" t="str">
        <f aca="false">IF(OR(SUM($G79)=0,SUM($T79)=0),"",ROUND(SUM($G79)*SUM($T79),0))</f>
        <v/>
      </c>
      <c r="AH79" s="39" t="str">
        <f aca="false">IF(SUM($AG79)=0,"",IF(SUM($AF79)=0,"ENTER YIELD",ROUND($AG79/$AF79,0)-$AG79))</f>
        <v/>
      </c>
      <c r="AI79" s="88"/>
      <c r="AJ79" s="39" t="str">
        <f aca="false">IF(OR(SUM($G79)=0,SUM($U79)=0),"",ROUND(SUM($G79)*SUM($U79),0))</f>
        <v/>
      </c>
      <c r="AK79" s="39" t="str">
        <f aca="false">IF(SUM($AJ79)=0,"",IF(SUM($AI79)=0,"ENTER YIELD",ROUND($AJ79/$AI79,0)-$AJ79))</f>
        <v/>
      </c>
      <c r="AL79" s="10" t="str">
        <f aca="false">IF(SUM($G79)=0,"",$G79)</f>
        <v/>
      </c>
      <c r="AM79" s="10" t="str">
        <f aca="false">IFERROR(1/(1/SUM($H79:$K79,$X79,$AA79,$AD79,$AG79,$AJ79)),"")</f>
        <v/>
      </c>
      <c r="AN79" s="10" t="str">
        <f aca="false">IF(AND(SUM($AM79)=0,SUM($AL79)=0),"",$AM79-$AL79)</f>
        <v/>
      </c>
      <c r="AO79" s="10" t="str">
        <f aca="false">IF(OR($C79="01-09",$D79="Male"),"",INDEX(PMTCT!$AD:$AD,MATCH($E79,PMTCT!$E:$E,0)))</f>
        <v/>
      </c>
      <c r="AP79" s="10" t="str">
        <f aca="false">IF(OR($C79="01-09",$D79="Male"),"",INDEX(PMTCT!$AT:$AT,MATCH($E79,PMTCT!$E:$E,0)))</f>
        <v/>
      </c>
      <c r="AQ79" s="10" t="str">
        <f aca="false">INDEX(TB!$Q:$Q,MATCH($E79,TB!$E:$E,0))</f>
        <v/>
      </c>
      <c r="AR79" s="10" t="str">
        <f aca="false">IF(OR($C79="01-09",$C79="10-14",$D79="Female"),"",INDEX(VMMC!$AB:$AB,MATCH($E79,VMMC!$E:$E,0)))</f>
        <v/>
      </c>
      <c r="AS79" s="10" t="str">
        <f aca="false">IF(OR($C79="01-09",$C79="10-14"),"",INDEX(PrEP!$Q:$Q,MATCH($E79,PrEP!$E:$E,0)))</f>
        <v/>
      </c>
      <c r="AT79" s="10" t="str">
        <f aca="false">IFERROR(1/(1/SUM($Y79,$AB79,$AE79,$AH79,$AK79,$AO79:$AS79)),"")</f>
        <v/>
      </c>
      <c r="AU79" s="10" t="str">
        <f aca="false">IFERROR(1/(1/SUM($AT79,$AM79)),"")</f>
        <v/>
      </c>
      <c r="AV79" s="88" t="str">
        <f aca="false">IF(AND(SUM($AM79)=0,SUM($AU79)=0),"",$AM79/$AU79)</f>
        <v/>
      </c>
      <c r="AW79" s="10"/>
      <c r="AX79" s="88" t="str">
        <f aca="false">IF(OR($C79="01-09",SUM($AW79)=0),"",0%)</f>
        <v/>
      </c>
      <c r="AY79" s="39" t="str">
        <f aca="false">IF(OR($C79="01-09",SUM($AW79)=0),"",ROUND($AW79*(1+$AX79),0))</f>
        <v/>
      </c>
      <c r="AZ79" s="88" t="n">
        <f aca="false">IF(OR($C79="01-09",$C79="10-14"),"",100%)</f>
        <v>1</v>
      </c>
      <c r="BA79" s="39" t="str">
        <f aca="false">IF(OR(SUM($AM79)=0,$C79="01-09",$C79="10-14"),"",$AM79*$AZ79)</f>
        <v/>
      </c>
    </row>
    <row r="80" customFormat="false" ht="15" hidden="false" customHeight="false" outlineLevel="0" collapsed="false">
      <c r="A80" s="0" t="str">
        <f aca="false">INDEX(Prioritization!$D:$D,MATCH($B80,Prioritization!$A:$A,0))</f>
        <v>1 - Scale-up: Saturation</v>
      </c>
      <c r="B80" s="0" t="s">
        <v>199</v>
      </c>
      <c r="C80" s="0" t="s">
        <v>365</v>
      </c>
      <c r="D80" s="0" t="s">
        <v>48</v>
      </c>
      <c r="E80" s="0" t="str">
        <f aca="false">$B80&amp;"|"&amp;$C80&amp;"|"&amp;$D80</f>
        <v>Mchinji District [kxuuIFpOXyO]|15-24|Male</v>
      </c>
      <c r="F80" s="88" t="n">
        <f aca="false">IF(LEFT($B80,4)="_Mil","",INDEX(Cascade!$AA:$AA,MATCH($E80,Cascade!$E:$E,0)))</f>
        <v>742</v>
      </c>
      <c r="G80" s="10" t="n">
        <f aca="false">INDEX(Cascade!$BH:$BH,MATCH($E80,Cascade!$E:$E,0))</f>
        <v>0</v>
      </c>
      <c r="H80" s="10" t="str">
        <f aca="false">IF(OR($C80="01-09",$D80="Male"),"",INDEX(PMTCT!$AC:$AC,MATCH($E80,PMTCT!$E:$E,0)))</f>
        <v/>
      </c>
      <c r="I80" s="10" t="str">
        <f aca="false">IF(OR($C80="01-09",$D80="Male"),"",INDEX(PMTCT!$AS:$AS,MATCH($E80,PMTCT!$E:$E,0)))</f>
        <v/>
      </c>
      <c r="J80" s="10" t="str">
        <f aca="false">INDEX(TB!$P:$P,MATCH($E80,TB!$E:$E,0))</f>
        <v/>
      </c>
      <c r="K80" s="10" t="str">
        <f aca="false">IF(OR($C80="01-09",$C80="10-14",$D80="Female"),"",INDEX(VMMC!$AA:$AA,MATCH($E80,VMMC!$E:$E,0)))</f>
        <v/>
      </c>
      <c r="L80" s="10" t="n">
        <f aca="false">SUM($G80)-SUM($H80:$K80)</f>
        <v>0</v>
      </c>
      <c r="M80" s="88" t="str">
        <f aca="false">IF(OR($C80="01-09",$D80="Male",AND(SUM($G80)=0,SUM($H80)=0)),"",SUM($H80)/SUM($G80))</f>
        <v/>
      </c>
      <c r="N80" s="88" t="str">
        <f aca="false">IF(OR($C80="01-09",$D80="Male",AND(SUM($G80)=0,SUM($I80)=0)),"",SUM($I80)/SUM($G80))</f>
        <v/>
      </c>
      <c r="O80" s="88" t="str">
        <f aca="false">IF(AND(SUM($G80)=0,SUM($J80)=0),"",SUM($J80)/SUM($G80))</f>
        <v/>
      </c>
      <c r="P80" s="88" t="str">
        <f aca="false">IF(OR($C80="01-09",$C80="10-14",$D80="Female",AND(SUM($G80)=0,SUM($K80)=0)),"",SUM($K80)/SUM($G80))</f>
        <v/>
      </c>
      <c r="Q80" s="88"/>
      <c r="R80" s="88"/>
      <c r="S80" s="88"/>
      <c r="T80" s="88"/>
      <c r="U80" s="88"/>
      <c r="V80" s="88" t="str">
        <f aca="false">IF(SUM($G80)=0,"",SUM($M80:$U80))</f>
        <v/>
      </c>
      <c r="W80" s="88"/>
      <c r="X80" s="39" t="str">
        <f aca="false">IF(OR(SUM($G80)=0,SUM($Q80)=0),"",ROUND(SUM($G80)*SUM($Q80),0))</f>
        <v/>
      </c>
      <c r="Y80" s="39" t="str">
        <f aca="false">IF(SUM($X80)=0,"",IF(SUM($W80)=0,"ENTER YIELD",ROUND($X80/$W80,0)-$X80))</f>
        <v/>
      </c>
      <c r="Z80" s="88"/>
      <c r="AA80" s="39" t="str">
        <f aca="false">IF(OR(SUM($G80)=0,SUM($R80)=0),"",ROUND(SUM($G80)*SUM($R80),0))</f>
        <v/>
      </c>
      <c r="AB80" s="39" t="str">
        <f aca="false">IF(SUM($AA80)=0,"",IF(SUM($Z80)=0,"ENTER YIELD",ROUND($AA80/$Z80,0)-$AA80))</f>
        <v/>
      </c>
      <c r="AC80" s="88"/>
      <c r="AD80" s="39" t="str">
        <f aca="false">IF(OR(SUM($G80)=0,SUM($S80)=0),"",ROUND(SUM($G80)*SUM($S80),0))</f>
        <v/>
      </c>
      <c r="AE80" s="39" t="str">
        <f aca="false">IF(SUM($AD80)=0,"",IF(SUM($AC80)=0,"ENTER YIELD",ROUND($AD80/$AC80,0)-$AD80))</f>
        <v/>
      </c>
      <c r="AF80" s="88"/>
      <c r="AG80" s="39" t="str">
        <f aca="false">IF(OR(SUM($G80)=0,SUM($T80)=0),"",ROUND(SUM($G80)*SUM($T80),0))</f>
        <v/>
      </c>
      <c r="AH80" s="39" t="str">
        <f aca="false">IF(SUM($AG80)=0,"",IF(SUM($AF80)=0,"ENTER YIELD",ROUND($AG80/$AF80,0)-$AG80))</f>
        <v/>
      </c>
      <c r="AI80" s="88"/>
      <c r="AJ80" s="39" t="str">
        <f aca="false">IF(OR(SUM($G80)=0,SUM($U80)=0),"",ROUND(SUM($G80)*SUM($U80),0))</f>
        <v/>
      </c>
      <c r="AK80" s="39" t="str">
        <f aca="false">IF(SUM($AJ80)=0,"",IF(SUM($AI80)=0,"ENTER YIELD",ROUND($AJ80/$AI80,0)-$AJ80))</f>
        <v/>
      </c>
      <c r="AL80" s="10" t="str">
        <f aca="false">IF(SUM($G80)=0,"",$G80)</f>
        <v/>
      </c>
      <c r="AM80" s="10" t="str">
        <f aca="false">IFERROR(1/(1/SUM($H80:$K80,$X80,$AA80,$AD80,$AG80,$AJ80)),"")</f>
        <v/>
      </c>
      <c r="AN80" s="10" t="str">
        <f aca="false">IF(AND(SUM($AM80)=0,SUM($AL80)=0),"",$AM80-$AL80)</f>
        <v/>
      </c>
      <c r="AO80" s="10" t="str">
        <f aca="false">IF(OR($C80="01-09",$D80="Male"),"",INDEX(PMTCT!$AD:$AD,MATCH($E80,PMTCT!$E:$E,0)))</f>
        <v/>
      </c>
      <c r="AP80" s="10" t="str">
        <f aca="false">IF(OR($C80="01-09",$D80="Male"),"",INDEX(PMTCT!$AT:$AT,MATCH($E80,PMTCT!$E:$E,0)))</f>
        <v/>
      </c>
      <c r="AQ80" s="10" t="str">
        <f aca="false">INDEX(TB!$Q:$Q,MATCH($E80,TB!$E:$E,0))</f>
        <v/>
      </c>
      <c r="AR80" s="10" t="str">
        <f aca="false">IF(OR($C80="01-09",$C80="10-14",$D80="Female"),"",INDEX(VMMC!$AB:$AB,MATCH($E80,VMMC!$E:$E,0)))</f>
        <v/>
      </c>
      <c r="AS80" s="10" t="str">
        <f aca="false">IF(OR($C80="01-09",$C80="10-14"),"",INDEX(PrEP!$Q:$Q,MATCH($E80,PrEP!$E:$E,0)))</f>
        <v/>
      </c>
      <c r="AT80" s="10" t="str">
        <f aca="false">IFERROR(1/(1/SUM($Y80,$AB80,$AE80,$AH80,$AK80,$AO80:$AS80)),"")</f>
        <v/>
      </c>
      <c r="AU80" s="10" t="str">
        <f aca="false">IFERROR(1/(1/SUM($AT80,$AM80)),"")</f>
        <v/>
      </c>
      <c r="AV80" s="88" t="str">
        <f aca="false">IF(AND(SUM($AM80)=0,SUM($AU80)=0),"",$AM80/$AU80)</f>
        <v/>
      </c>
      <c r="AW80" s="10"/>
      <c r="AX80" s="88" t="str">
        <f aca="false">IF(OR($C80="01-09",SUM($AW80)=0),"",0%)</f>
        <v/>
      </c>
      <c r="AY80" s="39" t="str">
        <f aca="false">IF(OR($C80="01-09",SUM($AW80)=0),"",ROUND($AW80*(1+$AX80),0))</f>
        <v/>
      </c>
      <c r="AZ80" s="88" t="n">
        <f aca="false">IF(OR($C80="01-09",$C80="10-14"),"",100%)</f>
        <v>1</v>
      </c>
      <c r="BA80" s="39" t="str">
        <f aca="false">IF(OR(SUM($AM80)=0,$C80="01-09",$C80="10-14"),"",$AM80*$AZ80)</f>
        <v/>
      </c>
    </row>
    <row r="81" customFormat="false" ht="15" hidden="false" customHeight="false" outlineLevel="0" collapsed="false">
      <c r="A81" s="0" t="str">
        <f aca="false">INDEX(Prioritization!$D:$D,MATCH($B81,Prioritization!$A:$A,0))</f>
        <v>1 - Scale-up: Saturation</v>
      </c>
      <c r="B81" s="0" t="s">
        <v>199</v>
      </c>
      <c r="C81" s="0" t="s">
        <v>366</v>
      </c>
      <c r="D81" s="0" t="s">
        <v>30</v>
      </c>
      <c r="E81" s="0" t="str">
        <f aca="false">$B81&amp;"|"&amp;$C81&amp;"|"&amp;$D81</f>
        <v>Mchinji District [kxuuIFpOXyO]|25-34|Female</v>
      </c>
      <c r="F81" s="88" t="n">
        <f aca="false">IF(LEFT($B81,4)="_Mil","",INDEX(Cascade!$AA:$AA,MATCH($E81,Cascade!$E:$E,0)))</f>
        <v>1744</v>
      </c>
      <c r="G81" s="10" t="n">
        <f aca="false">INDEX(Cascade!$BH:$BH,MATCH($E81,Cascade!$E:$E,0))</f>
        <v>0</v>
      </c>
      <c r="H81" s="10" t="str">
        <f aca="false">IF(OR($C81="01-09",$D81="Male"),"",INDEX(PMTCT!$AC:$AC,MATCH($E81,PMTCT!$E:$E,0)))</f>
        <v/>
      </c>
      <c r="I81" s="10" t="str">
        <f aca="false">IF(OR($C81="01-09",$D81="Male"),"",INDEX(PMTCT!$AS:$AS,MATCH($E81,PMTCT!$E:$E,0)))</f>
        <v/>
      </c>
      <c r="J81" s="10" t="str">
        <f aca="false">INDEX(TB!$P:$P,MATCH($E81,TB!$E:$E,0))</f>
        <v/>
      </c>
      <c r="K81" s="10" t="str">
        <f aca="false">IF(OR($C81="01-09",$C81="10-14",$D81="Female"),"",INDEX(VMMC!$AA:$AA,MATCH($E81,VMMC!$E:$E,0)))</f>
        <v/>
      </c>
      <c r="L81" s="10" t="n">
        <f aca="false">SUM($G81)-SUM($H81:$K81)</f>
        <v>0</v>
      </c>
      <c r="M81" s="88" t="str">
        <f aca="false">IF(OR($C81="01-09",$D81="Male",AND(SUM($G81)=0,SUM($H81)=0)),"",SUM($H81)/SUM($G81))</f>
        <v/>
      </c>
      <c r="N81" s="88" t="str">
        <f aca="false">IF(OR($C81="01-09",$D81="Male",AND(SUM($G81)=0,SUM($I81)=0)),"",SUM($I81)/SUM($G81))</f>
        <v/>
      </c>
      <c r="O81" s="88" t="str">
        <f aca="false">IF(AND(SUM($G81)=0,SUM($J81)=0),"",SUM($J81)/SUM($G81))</f>
        <v/>
      </c>
      <c r="P81" s="88" t="str">
        <f aca="false">IF(OR($C81="01-09",$C81="10-14",$D81="Female",AND(SUM($G81)=0,SUM($K81)=0)),"",SUM($K81)/SUM($G81))</f>
        <v/>
      </c>
      <c r="Q81" s="88"/>
      <c r="R81" s="88"/>
      <c r="S81" s="88"/>
      <c r="T81" s="88"/>
      <c r="U81" s="88"/>
      <c r="V81" s="88" t="str">
        <f aca="false">IF(SUM($G81)=0,"",SUM($M81:$U81))</f>
        <v/>
      </c>
      <c r="W81" s="88"/>
      <c r="X81" s="39" t="str">
        <f aca="false">IF(OR(SUM($G81)=0,SUM($Q81)=0),"",ROUND(SUM($G81)*SUM($Q81),0))</f>
        <v/>
      </c>
      <c r="Y81" s="39" t="str">
        <f aca="false">IF(SUM($X81)=0,"",IF(SUM($W81)=0,"ENTER YIELD",ROUND($X81/$W81,0)-$X81))</f>
        <v/>
      </c>
      <c r="Z81" s="88"/>
      <c r="AA81" s="39" t="str">
        <f aca="false">IF(OR(SUM($G81)=0,SUM($R81)=0),"",ROUND(SUM($G81)*SUM($R81),0))</f>
        <v/>
      </c>
      <c r="AB81" s="39" t="str">
        <f aca="false">IF(SUM($AA81)=0,"",IF(SUM($Z81)=0,"ENTER YIELD",ROUND($AA81/$Z81,0)-$AA81))</f>
        <v/>
      </c>
      <c r="AC81" s="88"/>
      <c r="AD81" s="39" t="str">
        <f aca="false">IF(OR(SUM($G81)=0,SUM($S81)=0),"",ROUND(SUM($G81)*SUM($S81),0))</f>
        <v/>
      </c>
      <c r="AE81" s="39" t="str">
        <f aca="false">IF(SUM($AD81)=0,"",IF(SUM($AC81)=0,"ENTER YIELD",ROUND($AD81/$AC81,0)-$AD81))</f>
        <v/>
      </c>
      <c r="AF81" s="88"/>
      <c r="AG81" s="39" t="str">
        <f aca="false">IF(OR(SUM($G81)=0,SUM($T81)=0),"",ROUND(SUM($G81)*SUM($T81),0))</f>
        <v/>
      </c>
      <c r="AH81" s="39" t="str">
        <f aca="false">IF(SUM($AG81)=0,"",IF(SUM($AF81)=0,"ENTER YIELD",ROUND($AG81/$AF81,0)-$AG81))</f>
        <v/>
      </c>
      <c r="AI81" s="88"/>
      <c r="AJ81" s="39" t="str">
        <f aca="false">IF(OR(SUM($G81)=0,SUM($U81)=0),"",ROUND(SUM($G81)*SUM($U81),0))</f>
        <v/>
      </c>
      <c r="AK81" s="39" t="str">
        <f aca="false">IF(SUM($AJ81)=0,"",IF(SUM($AI81)=0,"ENTER YIELD",ROUND($AJ81/$AI81,0)-$AJ81))</f>
        <v/>
      </c>
      <c r="AL81" s="10" t="str">
        <f aca="false">IF(SUM($G81)=0,"",$G81)</f>
        <v/>
      </c>
      <c r="AM81" s="10" t="str">
        <f aca="false">IFERROR(1/(1/SUM($H81:$K81,$X81,$AA81,$AD81,$AG81,$AJ81)),"")</f>
        <v/>
      </c>
      <c r="AN81" s="10" t="str">
        <f aca="false">IF(AND(SUM($AM81)=0,SUM($AL81)=0),"",$AM81-$AL81)</f>
        <v/>
      </c>
      <c r="AO81" s="10" t="str">
        <f aca="false">IF(OR($C81="01-09",$D81="Male"),"",INDEX(PMTCT!$AD:$AD,MATCH($E81,PMTCT!$E:$E,0)))</f>
        <v/>
      </c>
      <c r="AP81" s="10" t="str">
        <f aca="false">IF(OR($C81="01-09",$D81="Male"),"",INDEX(PMTCT!$AT:$AT,MATCH($E81,PMTCT!$E:$E,0)))</f>
        <v/>
      </c>
      <c r="AQ81" s="10" t="str">
        <f aca="false">INDEX(TB!$Q:$Q,MATCH($E81,TB!$E:$E,0))</f>
        <v/>
      </c>
      <c r="AR81" s="10" t="str">
        <f aca="false">IF(OR($C81="01-09",$C81="10-14",$D81="Female"),"",INDEX(VMMC!$AB:$AB,MATCH($E81,VMMC!$E:$E,0)))</f>
        <v/>
      </c>
      <c r="AS81" s="10" t="str">
        <f aca="false">IF(OR($C81="01-09",$C81="10-14"),"",INDEX(PrEP!$Q:$Q,MATCH($E81,PrEP!$E:$E,0)))</f>
        <v/>
      </c>
      <c r="AT81" s="10" t="str">
        <f aca="false">IFERROR(1/(1/SUM($Y81,$AB81,$AE81,$AH81,$AK81,$AO81:$AS81)),"")</f>
        <v/>
      </c>
      <c r="AU81" s="10" t="str">
        <f aca="false">IFERROR(1/(1/SUM($AT81,$AM81)),"")</f>
        <v/>
      </c>
      <c r="AV81" s="88" t="str">
        <f aca="false">IF(AND(SUM($AM81)=0,SUM($AU81)=0),"",$AM81/$AU81)</f>
        <v/>
      </c>
      <c r="AW81" s="10"/>
      <c r="AX81" s="88" t="str">
        <f aca="false">IF(OR($C81="01-09",SUM($AW81)=0),"",0%)</f>
        <v/>
      </c>
      <c r="AY81" s="39" t="str">
        <f aca="false">IF(OR($C81="01-09",SUM($AW81)=0),"",ROUND($AW81*(1+$AX81),0))</f>
        <v/>
      </c>
      <c r="AZ81" s="88" t="n">
        <f aca="false">IF(OR($C81="01-09",$C81="10-14"),"",100%)</f>
        <v>1</v>
      </c>
      <c r="BA81" s="39" t="str">
        <f aca="false">IF(OR(SUM($AM81)=0,$C81="01-09",$C81="10-14"),"",$AM81*$AZ81)</f>
        <v/>
      </c>
    </row>
    <row r="82" customFormat="false" ht="15" hidden="false" customHeight="false" outlineLevel="0" collapsed="false">
      <c r="A82" s="0" t="str">
        <f aca="false">INDEX(Prioritization!$D:$D,MATCH($B82,Prioritization!$A:$A,0))</f>
        <v>1 - Scale-up: Saturation</v>
      </c>
      <c r="B82" s="0" t="s">
        <v>199</v>
      </c>
      <c r="C82" s="0" t="s">
        <v>366</v>
      </c>
      <c r="D82" s="0" t="s">
        <v>48</v>
      </c>
      <c r="E82" s="0" t="str">
        <f aca="false">$B82&amp;"|"&amp;$C82&amp;"|"&amp;$D82</f>
        <v>Mchinji District [kxuuIFpOXyO]|25-34|Male</v>
      </c>
      <c r="F82" s="88" t="n">
        <f aca="false">IF(LEFT($B82,4)="_Mil","",INDEX(Cascade!$AA:$AA,MATCH($E82,Cascade!$E:$E,0)))</f>
        <v>539</v>
      </c>
      <c r="G82" s="10" t="n">
        <f aca="false">INDEX(Cascade!$BH:$BH,MATCH($E82,Cascade!$E:$E,0))</f>
        <v>0</v>
      </c>
      <c r="H82" s="10" t="str">
        <f aca="false">IF(OR($C82="01-09",$D82="Male"),"",INDEX(PMTCT!$AC:$AC,MATCH($E82,PMTCT!$E:$E,0)))</f>
        <v/>
      </c>
      <c r="I82" s="10" t="str">
        <f aca="false">IF(OR($C82="01-09",$D82="Male"),"",INDEX(PMTCT!$AS:$AS,MATCH($E82,PMTCT!$E:$E,0)))</f>
        <v/>
      </c>
      <c r="J82" s="10" t="str">
        <f aca="false">INDEX(TB!$P:$P,MATCH($E82,TB!$E:$E,0))</f>
        <v/>
      </c>
      <c r="K82" s="10" t="str">
        <f aca="false">IF(OR($C82="01-09",$C82="10-14",$D82="Female"),"",INDEX(VMMC!$AA:$AA,MATCH($E82,VMMC!$E:$E,0)))</f>
        <v/>
      </c>
      <c r="L82" s="10" t="n">
        <f aca="false">SUM($G82)-SUM($H82:$K82)</f>
        <v>0</v>
      </c>
      <c r="M82" s="88" t="str">
        <f aca="false">IF(OR($C82="01-09",$D82="Male",AND(SUM($G82)=0,SUM($H82)=0)),"",SUM($H82)/SUM($G82))</f>
        <v/>
      </c>
      <c r="N82" s="88" t="str">
        <f aca="false">IF(OR($C82="01-09",$D82="Male",AND(SUM($G82)=0,SUM($I82)=0)),"",SUM($I82)/SUM($G82))</f>
        <v/>
      </c>
      <c r="O82" s="88" t="str">
        <f aca="false">IF(AND(SUM($G82)=0,SUM($J82)=0),"",SUM($J82)/SUM($G82))</f>
        <v/>
      </c>
      <c r="P82" s="88" t="str">
        <f aca="false">IF(OR($C82="01-09",$C82="10-14",$D82="Female",AND(SUM($G82)=0,SUM($K82)=0)),"",SUM($K82)/SUM($G82))</f>
        <v/>
      </c>
      <c r="Q82" s="88"/>
      <c r="R82" s="88"/>
      <c r="S82" s="88"/>
      <c r="T82" s="88"/>
      <c r="U82" s="88"/>
      <c r="V82" s="88" t="str">
        <f aca="false">IF(SUM($G82)=0,"",SUM($M82:$U82))</f>
        <v/>
      </c>
      <c r="W82" s="88"/>
      <c r="X82" s="39" t="str">
        <f aca="false">IF(OR(SUM($G82)=0,SUM($Q82)=0),"",ROUND(SUM($G82)*SUM($Q82),0))</f>
        <v/>
      </c>
      <c r="Y82" s="39" t="str">
        <f aca="false">IF(SUM($X82)=0,"",IF(SUM($W82)=0,"ENTER YIELD",ROUND($X82/$W82,0)-$X82))</f>
        <v/>
      </c>
      <c r="Z82" s="88"/>
      <c r="AA82" s="39" t="str">
        <f aca="false">IF(OR(SUM($G82)=0,SUM($R82)=0),"",ROUND(SUM($G82)*SUM($R82),0))</f>
        <v/>
      </c>
      <c r="AB82" s="39" t="str">
        <f aca="false">IF(SUM($AA82)=0,"",IF(SUM($Z82)=0,"ENTER YIELD",ROUND($AA82/$Z82,0)-$AA82))</f>
        <v/>
      </c>
      <c r="AC82" s="88"/>
      <c r="AD82" s="39" t="str">
        <f aca="false">IF(OR(SUM($G82)=0,SUM($S82)=0),"",ROUND(SUM($G82)*SUM($S82),0))</f>
        <v/>
      </c>
      <c r="AE82" s="39" t="str">
        <f aca="false">IF(SUM($AD82)=0,"",IF(SUM($AC82)=0,"ENTER YIELD",ROUND($AD82/$AC82,0)-$AD82))</f>
        <v/>
      </c>
      <c r="AF82" s="88"/>
      <c r="AG82" s="39" t="str">
        <f aca="false">IF(OR(SUM($G82)=0,SUM($T82)=0),"",ROUND(SUM($G82)*SUM($T82),0))</f>
        <v/>
      </c>
      <c r="AH82" s="39" t="str">
        <f aca="false">IF(SUM($AG82)=0,"",IF(SUM($AF82)=0,"ENTER YIELD",ROUND($AG82/$AF82,0)-$AG82))</f>
        <v/>
      </c>
      <c r="AI82" s="88"/>
      <c r="AJ82" s="39" t="str">
        <f aca="false">IF(OR(SUM($G82)=0,SUM($U82)=0),"",ROUND(SUM($G82)*SUM($U82),0))</f>
        <v/>
      </c>
      <c r="AK82" s="39" t="str">
        <f aca="false">IF(SUM($AJ82)=0,"",IF(SUM($AI82)=0,"ENTER YIELD",ROUND($AJ82/$AI82,0)-$AJ82))</f>
        <v/>
      </c>
      <c r="AL82" s="10" t="str">
        <f aca="false">IF(SUM($G82)=0,"",$G82)</f>
        <v/>
      </c>
      <c r="AM82" s="10" t="str">
        <f aca="false">IFERROR(1/(1/SUM($H82:$K82,$X82,$AA82,$AD82,$AG82,$AJ82)),"")</f>
        <v/>
      </c>
      <c r="AN82" s="10" t="str">
        <f aca="false">IF(AND(SUM($AM82)=0,SUM($AL82)=0),"",$AM82-$AL82)</f>
        <v/>
      </c>
      <c r="AO82" s="10" t="str">
        <f aca="false">IF(OR($C82="01-09",$D82="Male"),"",INDEX(PMTCT!$AD:$AD,MATCH($E82,PMTCT!$E:$E,0)))</f>
        <v/>
      </c>
      <c r="AP82" s="10" t="str">
        <f aca="false">IF(OR($C82="01-09",$D82="Male"),"",INDEX(PMTCT!$AT:$AT,MATCH($E82,PMTCT!$E:$E,0)))</f>
        <v/>
      </c>
      <c r="AQ82" s="10" t="str">
        <f aca="false">INDEX(TB!$Q:$Q,MATCH($E82,TB!$E:$E,0))</f>
        <v/>
      </c>
      <c r="AR82" s="10" t="str">
        <f aca="false">IF(OR($C82="01-09",$C82="10-14",$D82="Female"),"",INDEX(VMMC!$AB:$AB,MATCH($E82,VMMC!$E:$E,0)))</f>
        <v/>
      </c>
      <c r="AS82" s="10" t="str">
        <f aca="false">IF(OR($C82="01-09",$C82="10-14"),"",INDEX(PrEP!$Q:$Q,MATCH($E82,PrEP!$E:$E,0)))</f>
        <v/>
      </c>
      <c r="AT82" s="10" t="str">
        <f aca="false">IFERROR(1/(1/SUM($Y82,$AB82,$AE82,$AH82,$AK82,$AO82:$AS82)),"")</f>
        <v/>
      </c>
      <c r="AU82" s="10" t="str">
        <f aca="false">IFERROR(1/(1/SUM($AT82,$AM82)),"")</f>
        <v/>
      </c>
      <c r="AV82" s="88" t="str">
        <f aca="false">IF(AND(SUM($AM82)=0,SUM($AU82)=0),"",$AM82/$AU82)</f>
        <v/>
      </c>
      <c r="AW82" s="10"/>
      <c r="AX82" s="88" t="str">
        <f aca="false">IF(OR($C82="01-09",SUM($AW82)=0),"",0%)</f>
        <v/>
      </c>
      <c r="AY82" s="39" t="str">
        <f aca="false">IF(OR($C82="01-09",SUM($AW82)=0),"",ROUND($AW82*(1+$AX82),0))</f>
        <v/>
      </c>
      <c r="AZ82" s="88" t="n">
        <f aca="false">IF(OR($C82="01-09",$C82="10-14"),"",100%)</f>
        <v>1</v>
      </c>
      <c r="BA82" s="39" t="str">
        <f aca="false">IF(OR(SUM($AM82)=0,$C82="01-09",$C82="10-14"),"",$AM82*$AZ82)</f>
        <v/>
      </c>
    </row>
    <row r="83" customFormat="false" ht="15" hidden="false" customHeight="false" outlineLevel="0" collapsed="false">
      <c r="A83" s="0" t="str">
        <f aca="false">INDEX(Prioritization!$D:$D,MATCH($B83,Prioritization!$A:$A,0))</f>
        <v>1 - Scale-up: Saturation</v>
      </c>
      <c r="B83" s="0" t="s">
        <v>199</v>
      </c>
      <c r="C83" s="0" t="s">
        <v>367</v>
      </c>
      <c r="D83" s="0" t="s">
        <v>30</v>
      </c>
      <c r="E83" s="0" t="str">
        <f aca="false">$B83&amp;"|"&amp;$C83&amp;"|"&amp;$D83</f>
        <v>Mchinji District [kxuuIFpOXyO]|35-49|Female</v>
      </c>
      <c r="F83" s="88" t="n">
        <f aca="false">IF(LEFT($B83,4)="_Mil","",INDEX(Cascade!$AA:$AA,MATCH($E83,Cascade!$E:$E,0)))</f>
        <v>647</v>
      </c>
      <c r="G83" s="10" t="n">
        <f aca="false">INDEX(Cascade!$BH:$BH,MATCH($E83,Cascade!$E:$E,0))</f>
        <v>0</v>
      </c>
      <c r="H83" s="10" t="str">
        <f aca="false">IF(OR($C83="01-09",$D83="Male"),"",INDEX(PMTCT!$AC:$AC,MATCH($E83,PMTCT!$E:$E,0)))</f>
        <v/>
      </c>
      <c r="I83" s="10" t="str">
        <f aca="false">IF(OR($C83="01-09",$D83="Male"),"",INDEX(PMTCT!$AS:$AS,MATCH($E83,PMTCT!$E:$E,0)))</f>
        <v/>
      </c>
      <c r="J83" s="10" t="str">
        <f aca="false">INDEX(TB!$P:$P,MATCH($E83,TB!$E:$E,0))</f>
        <v/>
      </c>
      <c r="K83" s="10" t="str">
        <f aca="false">IF(OR($C83="01-09",$C83="10-14",$D83="Female"),"",INDEX(VMMC!$AA:$AA,MATCH($E83,VMMC!$E:$E,0)))</f>
        <v/>
      </c>
      <c r="L83" s="10" t="n">
        <f aca="false">SUM($G83)-SUM($H83:$K83)</f>
        <v>0</v>
      </c>
      <c r="M83" s="88" t="str">
        <f aca="false">IF(OR($C83="01-09",$D83="Male",AND(SUM($G83)=0,SUM($H83)=0)),"",SUM($H83)/SUM($G83))</f>
        <v/>
      </c>
      <c r="N83" s="88" t="str">
        <f aca="false">IF(OR($C83="01-09",$D83="Male",AND(SUM($G83)=0,SUM($I83)=0)),"",SUM($I83)/SUM($G83))</f>
        <v/>
      </c>
      <c r="O83" s="88" t="str">
        <f aca="false">IF(AND(SUM($G83)=0,SUM($J83)=0),"",SUM($J83)/SUM($G83))</f>
        <v/>
      </c>
      <c r="P83" s="88" t="str">
        <f aca="false">IF(OR($C83="01-09",$C83="10-14",$D83="Female",AND(SUM($G83)=0,SUM($K83)=0)),"",SUM($K83)/SUM($G83))</f>
        <v/>
      </c>
      <c r="Q83" s="88"/>
      <c r="R83" s="88"/>
      <c r="S83" s="88"/>
      <c r="T83" s="88"/>
      <c r="U83" s="88"/>
      <c r="V83" s="88" t="str">
        <f aca="false">IF(SUM($G83)=0,"",SUM($M83:$U83))</f>
        <v/>
      </c>
      <c r="W83" s="88"/>
      <c r="X83" s="39" t="str">
        <f aca="false">IF(OR(SUM($G83)=0,SUM($Q83)=0),"",ROUND(SUM($G83)*SUM($Q83),0))</f>
        <v/>
      </c>
      <c r="Y83" s="39" t="str">
        <f aca="false">IF(SUM($X83)=0,"",IF(SUM($W83)=0,"ENTER YIELD",ROUND($X83/$W83,0)-$X83))</f>
        <v/>
      </c>
      <c r="Z83" s="88"/>
      <c r="AA83" s="39" t="str">
        <f aca="false">IF(OR(SUM($G83)=0,SUM($R83)=0),"",ROUND(SUM($G83)*SUM($R83),0))</f>
        <v/>
      </c>
      <c r="AB83" s="39" t="str">
        <f aca="false">IF(SUM($AA83)=0,"",IF(SUM($Z83)=0,"ENTER YIELD",ROUND($AA83/$Z83,0)-$AA83))</f>
        <v/>
      </c>
      <c r="AC83" s="88"/>
      <c r="AD83" s="39" t="str">
        <f aca="false">IF(OR(SUM($G83)=0,SUM($S83)=0),"",ROUND(SUM($G83)*SUM($S83),0))</f>
        <v/>
      </c>
      <c r="AE83" s="39" t="str">
        <f aca="false">IF(SUM($AD83)=0,"",IF(SUM($AC83)=0,"ENTER YIELD",ROUND($AD83/$AC83,0)-$AD83))</f>
        <v/>
      </c>
      <c r="AF83" s="88"/>
      <c r="AG83" s="39" t="str">
        <f aca="false">IF(OR(SUM($G83)=0,SUM($T83)=0),"",ROUND(SUM($G83)*SUM($T83),0))</f>
        <v/>
      </c>
      <c r="AH83" s="39" t="str">
        <f aca="false">IF(SUM($AG83)=0,"",IF(SUM($AF83)=0,"ENTER YIELD",ROUND($AG83/$AF83,0)-$AG83))</f>
        <v/>
      </c>
      <c r="AI83" s="88"/>
      <c r="AJ83" s="39" t="str">
        <f aca="false">IF(OR(SUM($G83)=0,SUM($U83)=0),"",ROUND(SUM($G83)*SUM($U83),0))</f>
        <v/>
      </c>
      <c r="AK83" s="39" t="str">
        <f aca="false">IF(SUM($AJ83)=0,"",IF(SUM($AI83)=0,"ENTER YIELD",ROUND($AJ83/$AI83,0)-$AJ83))</f>
        <v/>
      </c>
      <c r="AL83" s="10" t="str">
        <f aca="false">IF(SUM($G83)=0,"",$G83)</f>
        <v/>
      </c>
      <c r="AM83" s="10" t="str">
        <f aca="false">IFERROR(1/(1/SUM($H83:$K83,$X83,$AA83,$AD83,$AG83,$AJ83)),"")</f>
        <v/>
      </c>
      <c r="AN83" s="10" t="str">
        <f aca="false">IF(AND(SUM($AM83)=0,SUM($AL83)=0),"",$AM83-$AL83)</f>
        <v/>
      </c>
      <c r="AO83" s="10" t="str">
        <f aca="false">IF(OR($C83="01-09",$D83="Male"),"",INDEX(PMTCT!$AD:$AD,MATCH($E83,PMTCT!$E:$E,0)))</f>
        <v/>
      </c>
      <c r="AP83" s="10" t="str">
        <f aca="false">IF(OR($C83="01-09",$D83="Male"),"",INDEX(PMTCT!$AT:$AT,MATCH($E83,PMTCT!$E:$E,0)))</f>
        <v/>
      </c>
      <c r="AQ83" s="10" t="str">
        <f aca="false">INDEX(TB!$Q:$Q,MATCH($E83,TB!$E:$E,0))</f>
        <v/>
      </c>
      <c r="AR83" s="10" t="str">
        <f aca="false">IF(OR($C83="01-09",$C83="10-14",$D83="Female"),"",INDEX(VMMC!$AB:$AB,MATCH($E83,VMMC!$E:$E,0)))</f>
        <v/>
      </c>
      <c r="AS83" s="10" t="str">
        <f aca="false">IF(OR($C83="01-09",$C83="10-14"),"",INDEX(PrEP!$Q:$Q,MATCH($E83,PrEP!$E:$E,0)))</f>
        <v/>
      </c>
      <c r="AT83" s="10" t="str">
        <f aca="false">IFERROR(1/(1/SUM($Y83,$AB83,$AE83,$AH83,$AK83,$AO83:$AS83)),"")</f>
        <v/>
      </c>
      <c r="AU83" s="10" t="str">
        <f aca="false">IFERROR(1/(1/SUM($AT83,$AM83)),"")</f>
        <v/>
      </c>
      <c r="AV83" s="88" t="str">
        <f aca="false">IF(AND(SUM($AM83)=0,SUM($AU83)=0),"",$AM83/$AU83)</f>
        <v/>
      </c>
      <c r="AW83" s="10"/>
      <c r="AX83" s="88" t="str">
        <f aca="false">IF(OR($C83="01-09",SUM($AW83)=0),"",0%)</f>
        <v/>
      </c>
      <c r="AY83" s="39" t="str">
        <f aca="false">IF(OR($C83="01-09",SUM($AW83)=0),"",ROUND($AW83*(1+$AX83),0))</f>
        <v/>
      </c>
      <c r="AZ83" s="88" t="n">
        <f aca="false">IF(OR($C83="01-09",$C83="10-14"),"",100%)</f>
        <v>1</v>
      </c>
      <c r="BA83" s="39" t="str">
        <f aca="false">IF(OR(SUM($AM83)=0,$C83="01-09",$C83="10-14"),"",$AM83*$AZ83)</f>
        <v/>
      </c>
    </row>
    <row r="84" customFormat="false" ht="15" hidden="false" customHeight="false" outlineLevel="0" collapsed="false">
      <c r="A84" s="0" t="str">
        <f aca="false">INDEX(Prioritization!$D:$D,MATCH($B84,Prioritization!$A:$A,0))</f>
        <v>1 - Scale-up: Saturation</v>
      </c>
      <c r="B84" s="0" t="s">
        <v>199</v>
      </c>
      <c r="C84" s="0" t="s">
        <v>367</v>
      </c>
      <c r="D84" s="0" t="s">
        <v>48</v>
      </c>
      <c r="E84" s="0" t="str">
        <f aca="false">$B84&amp;"|"&amp;$C84&amp;"|"&amp;$D84</f>
        <v>Mchinji District [kxuuIFpOXyO]|35-49|Male</v>
      </c>
      <c r="F84" s="88" t="n">
        <f aca="false">IF(LEFT($B84,4)="_Mil","",INDEX(Cascade!$AA:$AA,MATCH($E84,Cascade!$E:$E,0)))</f>
        <v>1493</v>
      </c>
      <c r="G84" s="10" t="n">
        <f aca="false">INDEX(Cascade!$BH:$BH,MATCH($E84,Cascade!$E:$E,0))</f>
        <v>0</v>
      </c>
      <c r="H84" s="10" t="str">
        <f aca="false">IF(OR($C84="01-09",$D84="Male"),"",INDEX(PMTCT!$AC:$AC,MATCH($E84,PMTCT!$E:$E,0)))</f>
        <v/>
      </c>
      <c r="I84" s="10" t="str">
        <f aca="false">IF(OR($C84="01-09",$D84="Male"),"",INDEX(PMTCT!$AS:$AS,MATCH($E84,PMTCT!$E:$E,0)))</f>
        <v/>
      </c>
      <c r="J84" s="10" t="str">
        <f aca="false">INDEX(TB!$P:$P,MATCH($E84,TB!$E:$E,0))</f>
        <v/>
      </c>
      <c r="K84" s="10" t="str">
        <f aca="false">IF(OR($C84="01-09",$C84="10-14",$D84="Female"),"",INDEX(VMMC!$AA:$AA,MATCH($E84,VMMC!$E:$E,0)))</f>
        <v/>
      </c>
      <c r="L84" s="10" t="n">
        <f aca="false">SUM($G84)-SUM($H84:$K84)</f>
        <v>0</v>
      </c>
      <c r="M84" s="88" t="str">
        <f aca="false">IF(OR($C84="01-09",$D84="Male",AND(SUM($G84)=0,SUM($H84)=0)),"",SUM($H84)/SUM($G84))</f>
        <v/>
      </c>
      <c r="N84" s="88" t="str">
        <f aca="false">IF(OR($C84="01-09",$D84="Male",AND(SUM($G84)=0,SUM($I84)=0)),"",SUM($I84)/SUM($G84))</f>
        <v/>
      </c>
      <c r="O84" s="88" t="str">
        <f aca="false">IF(AND(SUM($G84)=0,SUM($J84)=0),"",SUM($J84)/SUM($G84))</f>
        <v/>
      </c>
      <c r="P84" s="88" t="str">
        <f aca="false">IF(OR($C84="01-09",$C84="10-14",$D84="Female",AND(SUM($G84)=0,SUM($K84)=0)),"",SUM($K84)/SUM($G84))</f>
        <v/>
      </c>
      <c r="Q84" s="88"/>
      <c r="R84" s="88"/>
      <c r="S84" s="88"/>
      <c r="T84" s="88"/>
      <c r="U84" s="88"/>
      <c r="V84" s="88" t="str">
        <f aca="false">IF(SUM($G84)=0,"",SUM($M84:$U84))</f>
        <v/>
      </c>
      <c r="W84" s="88"/>
      <c r="X84" s="39" t="str">
        <f aca="false">IF(OR(SUM($G84)=0,SUM($Q84)=0),"",ROUND(SUM($G84)*SUM($Q84),0))</f>
        <v/>
      </c>
      <c r="Y84" s="39" t="str">
        <f aca="false">IF(SUM($X84)=0,"",IF(SUM($W84)=0,"ENTER YIELD",ROUND($X84/$W84,0)-$X84))</f>
        <v/>
      </c>
      <c r="Z84" s="88"/>
      <c r="AA84" s="39" t="str">
        <f aca="false">IF(OR(SUM($G84)=0,SUM($R84)=0),"",ROUND(SUM($G84)*SUM($R84),0))</f>
        <v/>
      </c>
      <c r="AB84" s="39" t="str">
        <f aca="false">IF(SUM($AA84)=0,"",IF(SUM($Z84)=0,"ENTER YIELD",ROUND($AA84/$Z84,0)-$AA84))</f>
        <v/>
      </c>
      <c r="AC84" s="88"/>
      <c r="AD84" s="39" t="str">
        <f aca="false">IF(OR(SUM($G84)=0,SUM($S84)=0),"",ROUND(SUM($G84)*SUM($S84),0))</f>
        <v/>
      </c>
      <c r="AE84" s="39" t="str">
        <f aca="false">IF(SUM($AD84)=0,"",IF(SUM($AC84)=0,"ENTER YIELD",ROUND($AD84/$AC84,0)-$AD84))</f>
        <v/>
      </c>
      <c r="AF84" s="88"/>
      <c r="AG84" s="39" t="str">
        <f aca="false">IF(OR(SUM($G84)=0,SUM($T84)=0),"",ROUND(SUM($G84)*SUM($T84),0))</f>
        <v/>
      </c>
      <c r="AH84" s="39" t="str">
        <f aca="false">IF(SUM($AG84)=0,"",IF(SUM($AF84)=0,"ENTER YIELD",ROUND($AG84/$AF84,0)-$AG84))</f>
        <v/>
      </c>
      <c r="AI84" s="88"/>
      <c r="AJ84" s="39" t="str">
        <f aca="false">IF(OR(SUM($G84)=0,SUM($U84)=0),"",ROUND(SUM($G84)*SUM($U84),0))</f>
        <v/>
      </c>
      <c r="AK84" s="39" t="str">
        <f aca="false">IF(SUM($AJ84)=0,"",IF(SUM($AI84)=0,"ENTER YIELD",ROUND($AJ84/$AI84,0)-$AJ84))</f>
        <v/>
      </c>
      <c r="AL84" s="10" t="str">
        <f aca="false">IF(SUM($G84)=0,"",$G84)</f>
        <v/>
      </c>
      <c r="AM84" s="10" t="str">
        <f aca="false">IFERROR(1/(1/SUM($H84:$K84,$X84,$AA84,$AD84,$AG84,$AJ84)),"")</f>
        <v/>
      </c>
      <c r="AN84" s="10" t="str">
        <f aca="false">IF(AND(SUM($AM84)=0,SUM($AL84)=0),"",$AM84-$AL84)</f>
        <v/>
      </c>
      <c r="AO84" s="10" t="str">
        <f aca="false">IF(OR($C84="01-09",$D84="Male"),"",INDEX(PMTCT!$AD:$AD,MATCH($E84,PMTCT!$E:$E,0)))</f>
        <v/>
      </c>
      <c r="AP84" s="10" t="str">
        <f aca="false">IF(OR($C84="01-09",$D84="Male"),"",INDEX(PMTCT!$AT:$AT,MATCH($E84,PMTCT!$E:$E,0)))</f>
        <v/>
      </c>
      <c r="AQ84" s="10" t="str">
        <f aca="false">INDEX(TB!$Q:$Q,MATCH($E84,TB!$E:$E,0))</f>
        <v/>
      </c>
      <c r="AR84" s="10" t="str">
        <f aca="false">IF(OR($C84="01-09",$C84="10-14",$D84="Female"),"",INDEX(VMMC!$AB:$AB,MATCH($E84,VMMC!$E:$E,0)))</f>
        <v/>
      </c>
      <c r="AS84" s="10" t="str">
        <f aca="false">IF(OR($C84="01-09",$C84="10-14"),"",INDEX(PrEP!$Q:$Q,MATCH($E84,PrEP!$E:$E,0)))</f>
        <v/>
      </c>
      <c r="AT84" s="10" t="str">
        <f aca="false">IFERROR(1/(1/SUM($Y84,$AB84,$AE84,$AH84,$AK84,$AO84:$AS84)),"")</f>
        <v/>
      </c>
      <c r="AU84" s="10" t="str">
        <f aca="false">IFERROR(1/(1/SUM($AT84,$AM84)),"")</f>
        <v/>
      </c>
      <c r="AV84" s="88" t="str">
        <f aca="false">IF(AND(SUM($AM84)=0,SUM($AU84)=0),"",$AM84/$AU84)</f>
        <v/>
      </c>
      <c r="AW84" s="10"/>
      <c r="AX84" s="88" t="str">
        <f aca="false">IF(OR($C84="01-09",SUM($AW84)=0),"",0%)</f>
        <v/>
      </c>
      <c r="AY84" s="39" t="str">
        <f aca="false">IF(OR($C84="01-09",SUM($AW84)=0),"",ROUND($AW84*(1+$AX84),0))</f>
        <v/>
      </c>
      <c r="AZ84" s="88" t="n">
        <f aca="false">IF(OR($C84="01-09",$C84="10-14"),"",100%)</f>
        <v>1</v>
      </c>
      <c r="BA84" s="39" t="str">
        <f aca="false">IF(OR(SUM($AM84)=0,$C84="01-09",$C84="10-14"),"",$AM84*$AZ84)</f>
        <v/>
      </c>
    </row>
    <row r="85" customFormat="false" ht="15" hidden="false" customHeight="false" outlineLevel="0" collapsed="false">
      <c r="A85" s="0" t="str">
        <f aca="false">INDEX(Prioritization!$D:$D,MATCH($B85,Prioritization!$A:$A,0))</f>
        <v>1 - Scale-up: Saturation</v>
      </c>
      <c r="B85" s="0" t="s">
        <v>199</v>
      </c>
      <c r="C85" s="0" t="s">
        <v>368</v>
      </c>
      <c r="D85" s="0" t="s">
        <v>30</v>
      </c>
      <c r="E85" s="0" t="str">
        <f aca="false">$B85&amp;"|"&amp;$C85&amp;"|"&amp;$D85</f>
        <v>Mchinji District [kxuuIFpOXyO]|50+|Female</v>
      </c>
      <c r="F85" s="88" t="n">
        <f aca="false">IF(LEFT($B85,4)="_Mil","",INDEX(Cascade!$AA:$AA,MATCH($E85,Cascade!$E:$E,0)))</f>
        <v>1492</v>
      </c>
      <c r="G85" s="10" t="n">
        <f aca="false">INDEX(Cascade!$BH:$BH,MATCH($E85,Cascade!$E:$E,0))</f>
        <v>0</v>
      </c>
      <c r="H85" s="10" t="str">
        <f aca="false">IF(OR($C85="01-09",$D85="Male"),"",INDEX(PMTCT!$AC:$AC,MATCH($E85,PMTCT!$E:$E,0)))</f>
        <v/>
      </c>
      <c r="I85" s="10" t="str">
        <f aca="false">IF(OR($C85="01-09",$D85="Male"),"",INDEX(PMTCT!$AS:$AS,MATCH($E85,PMTCT!$E:$E,0)))</f>
        <v/>
      </c>
      <c r="J85" s="10" t="str">
        <f aca="false">INDEX(TB!$P:$P,MATCH($E85,TB!$E:$E,0))</f>
        <v/>
      </c>
      <c r="K85" s="10" t="str">
        <f aca="false">IF(OR($C85="01-09",$C85="10-14",$D85="Female"),"",INDEX(VMMC!$AA:$AA,MATCH($E85,VMMC!$E:$E,0)))</f>
        <v/>
      </c>
      <c r="L85" s="10" t="n">
        <f aca="false">SUM($G85)-SUM($H85:$K85)</f>
        <v>0</v>
      </c>
      <c r="M85" s="88" t="str">
        <f aca="false">IF(OR($C85="01-09",$D85="Male",AND(SUM($G85)=0,SUM($H85)=0)),"",SUM($H85)/SUM($G85))</f>
        <v/>
      </c>
      <c r="N85" s="88" t="str">
        <f aca="false">IF(OR($C85="01-09",$D85="Male",AND(SUM($G85)=0,SUM($I85)=0)),"",SUM($I85)/SUM($G85))</f>
        <v/>
      </c>
      <c r="O85" s="88" t="str">
        <f aca="false">IF(AND(SUM($G85)=0,SUM($J85)=0),"",SUM($J85)/SUM($G85))</f>
        <v/>
      </c>
      <c r="P85" s="88" t="str">
        <f aca="false">IF(OR($C85="01-09",$C85="10-14",$D85="Female",AND(SUM($G85)=0,SUM($K85)=0)),"",SUM($K85)/SUM($G85))</f>
        <v/>
      </c>
      <c r="Q85" s="88"/>
      <c r="R85" s="88"/>
      <c r="S85" s="88"/>
      <c r="T85" s="88"/>
      <c r="U85" s="88" t="n">
        <v>0.368956881342456</v>
      </c>
      <c r="V85" s="88" t="str">
        <f aca="false">IF(SUM($G85)=0,"",SUM($M85:$U85))</f>
        <v/>
      </c>
      <c r="W85" s="88"/>
      <c r="X85" s="39" t="str">
        <f aca="false">IF(OR(SUM($G85)=0,SUM($Q85)=0),"",ROUND(SUM($G85)*SUM($Q85),0))</f>
        <v/>
      </c>
      <c r="Y85" s="39" t="str">
        <f aca="false">IF(SUM($X85)=0,"",IF(SUM($W85)=0,"ENTER YIELD",ROUND($X85/$W85,0)-$X85))</f>
        <v/>
      </c>
      <c r="Z85" s="88"/>
      <c r="AA85" s="39" t="str">
        <f aca="false">IF(OR(SUM($G85)=0,SUM($R85)=0),"",ROUND(SUM($G85)*SUM($R85),0))</f>
        <v/>
      </c>
      <c r="AB85" s="39" t="str">
        <f aca="false">IF(SUM($AA85)=0,"",IF(SUM($Z85)=0,"ENTER YIELD",ROUND($AA85/$Z85,0)-$AA85))</f>
        <v/>
      </c>
      <c r="AC85" s="88"/>
      <c r="AD85" s="39" t="str">
        <f aca="false">IF(OR(SUM($G85)=0,SUM($S85)=0),"",ROUND(SUM($G85)*SUM($S85),0))</f>
        <v/>
      </c>
      <c r="AE85" s="39" t="str">
        <f aca="false">IF(SUM($AD85)=0,"",IF(SUM($AC85)=0,"ENTER YIELD",ROUND($AD85/$AC85,0)-$AD85))</f>
        <v/>
      </c>
      <c r="AF85" s="88"/>
      <c r="AG85" s="39" t="str">
        <f aca="false">IF(OR(SUM($G85)=0,SUM($T85)=0),"",ROUND(SUM($G85)*SUM($T85),0))</f>
        <v/>
      </c>
      <c r="AH85" s="39" t="str">
        <f aca="false">IF(SUM($AG85)=0,"",IF(SUM($AF85)=0,"ENTER YIELD",ROUND($AG85/$AF85,0)-$AG85))</f>
        <v/>
      </c>
      <c r="AI85" s="88"/>
      <c r="AJ85" s="39" t="str">
        <f aca="false">IF(OR(SUM($G85)=0,SUM($U85)=0),"",ROUND(SUM($G85)*SUM($U85),0))</f>
        <v/>
      </c>
      <c r="AK85" s="39" t="str">
        <f aca="false">IF(SUM($AJ85)=0,"",IF(SUM($AI85)=0,"ENTER YIELD",ROUND($AJ85/$AI85,0)-$AJ85))</f>
        <v/>
      </c>
      <c r="AL85" s="10" t="str">
        <f aca="false">IF(SUM($G85)=0,"",$G85)</f>
        <v/>
      </c>
      <c r="AM85" s="10" t="str">
        <f aca="false">IFERROR(1/(1/SUM($H85:$K85,$X85,$AA85,$AD85,$AG85,$AJ85)),"")</f>
        <v/>
      </c>
      <c r="AN85" s="10" t="str">
        <f aca="false">IF(AND(SUM($AM85)=0,SUM($AL85)=0),"",$AM85-$AL85)</f>
        <v/>
      </c>
      <c r="AO85" s="10" t="str">
        <f aca="false">IF(OR($C85="01-09",$D85="Male"),"",INDEX(PMTCT!$AD:$AD,MATCH($E85,PMTCT!$E:$E,0)))</f>
        <v/>
      </c>
      <c r="AP85" s="10" t="str">
        <f aca="false">IF(OR($C85="01-09",$D85="Male"),"",INDEX(PMTCT!$AT:$AT,MATCH($E85,PMTCT!$E:$E,0)))</f>
        <v/>
      </c>
      <c r="AQ85" s="10" t="str">
        <f aca="false">INDEX(TB!$Q:$Q,MATCH($E85,TB!$E:$E,0))</f>
        <v/>
      </c>
      <c r="AR85" s="10" t="str">
        <f aca="false">IF(OR($C85="01-09",$C85="10-14",$D85="Female"),"",INDEX(VMMC!$AB:$AB,MATCH($E85,VMMC!$E:$E,0)))</f>
        <v/>
      </c>
      <c r="AS85" s="10" t="str">
        <f aca="false">IF(OR($C85="01-09",$C85="10-14"),"",INDEX(PrEP!$Q:$Q,MATCH($E85,PrEP!$E:$E,0)))</f>
        <v/>
      </c>
      <c r="AT85" s="10" t="str">
        <f aca="false">IFERROR(1/(1/SUM($Y85,$AB85,$AE85,$AH85,$AK85,$AO85:$AS85)),"")</f>
        <v/>
      </c>
      <c r="AU85" s="10" t="str">
        <f aca="false">IFERROR(1/(1/SUM($AT85,$AM85)),"")</f>
        <v/>
      </c>
      <c r="AV85" s="88" t="str">
        <f aca="false">IF(AND(SUM($AM85)=0,SUM($AU85)=0),"",$AM85/$AU85)</f>
        <v/>
      </c>
      <c r="AW85" s="10" t="n">
        <v>4</v>
      </c>
      <c r="AX85" s="88" t="n">
        <f aca="false">IF(OR($C85="01-09",SUM($AW85)=0),"",0%)</f>
        <v>0</v>
      </c>
      <c r="AY85" s="39" t="n">
        <f aca="false">IF(OR($C85="01-09",SUM($AW85)=0),"",ROUND($AW85*(1+$AX85),0))</f>
        <v>4</v>
      </c>
      <c r="AZ85" s="88" t="n">
        <f aca="false">IF(OR($C85="01-09",$C85="10-14"),"",100%)</f>
        <v>1</v>
      </c>
      <c r="BA85" s="39" t="str">
        <f aca="false">IF(OR(SUM($AM85)=0,$C85="01-09",$C85="10-14"),"",$AM85*$AZ85)</f>
        <v/>
      </c>
    </row>
    <row r="86" customFormat="false" ht="15" hidden="false" customHeight="false" outlineLevel="0" collapsed="false">
      <c r="A86" s="0" t="str">
        <f aca="false">INDEX(Prioritization!$D:$D,MATCH($B86,Prioritization!$A:$A,0))</f>
        <v>1 - Scale-up: Saturation</v>
      </c>
      <c r="B86" s="0" t="s">
        <v>199</v>
      </c>
      <c r="C86" s="0" t="s">
        <v>368</v>
      </c>
      <c r="D86" s="0" t="s">
        <v>48</v>
      </c>
      <c r="E86" s="0" t="str">
        <f aca="false">$B86&amp;"|"&amp;$C86&amp;"|"&amp;$D86</f>
        <v>Mchinji District [kxuuIFpOXyO]|50+|Male</v>
      </c>
      <c r="F86" s="88" t="n">
        <f aca="false">IF(LEFT($B86,4)="_Mil","",INDEX(Cascade!$AA:$AA,MATCH($E86,Cascade!$E:$E,0)))</f>
        <v>1145</v>
      </c>
      <c r="G86" s="10" t="n">
        <f aca="false">INDEX(Cascade!$BH:$BH,MATCH($E86,Cascade!$E:$E,0))</f>
        <v>0</v>
      </c>
      <c r="H86" s="10" t="str">
        <f aca="false">IF(OR($C86="01-09",$D86="Male"),"",INDEX(PMTCT!$AC:$AC,MATCH($E86,PMTCT!$E:$E,0)))</f>
        <v/>
      </c>
      <c r="I86" s="10" t="str">
        <f aca="false">IF(OR($C86="01-09",$D86="Male"),"",INDEX(PMTCT!$AS:$AS,MATCH($E86,PMTCT!$E:$E,0)))</f>
        <v/>
      </c>
      <c r="J86" s="10" t="str">
        <f aca="false">INDEX(TB!$P:$P,MATCH($E86,TB!$E:$E,0))</f>
        <v/>
      </c>
      <c r="K86" s="10" t="str">
        <f aca="false">IF(OR($C86="01-09",$C86="10-14",$D86="Female"),"",INDEX(VMMC!$AA:$AA,MATCH($E86,VMMC!$E:$E,0)))</f>
        <v/>
      </c>
      <c r="L86" s="10" t="n">
        <f aca="false">SUM($G86)-SUM($H86:$K86)</f>
        <v>0</v>
      </c>
      <c r="M86" s="88" t="str">
        <f aca="false">IF(OR($C86="01-09",$D86="Male",AND(SUM($G86)=0,SUM($H86)=0)),"",SUM($H86)/SUM($G86))</f>
        <v/>
      </c>
      <c r="N86" s="88" t="str">
        <f aca="false">IF(OR($C86="01-09",$D86="Male",AND(SUM($G86)=0,SUM($I86)=0)),"",SUM($I86)/SUM($G86))</f>
        <v/>
      </c>
      <c r="O86" s="88" t="str">
        <f aca="false">IF(AND(SUM($G86)=0,SUM($J86)=0),"",SUM($J86)/SUM($G86))</f>
        <v/>
      </c>
      <c r="P86" s="88" t="str">
        <f aca="false">IF(OR($C86="01-09",$C86="10-14",$D86="Female",AND(SUM($G86)=0,SUM($K86)=0)),"",SUM($K86)/SUM($G86))</f>
        <v/>
      </c>
      <c r="Q86" s="88"/>
      <c r="R86" s="88"/>
      <c r="S86" s="88"/>
      <c r="T86" s="88"/>
      <c r="U86" s="88" t="n">
        <v>0.427016818197444</v>
      </c>
      <c r="V86" s="88" t="str">
        <f aca="false">IF(SUM($G86)=0,"",SUM($M86:$U86))</f>
        <v/>
      </c>
      <c r="W86" s="88"/>
      <c r="X86" s="39" t="str">
        <f aca="false">IF(OR(SUM($G86)=0,SUM($Q86)=0),"",ROUND(SUM($G86)*SUM($Q86),0))</f>
        <v/>
      </c>
      <c r="Y86" s="39" t="str">
        <f aca="false">IF(SUM($X86)=0,"",IF(SUM($W86)=0,"ENTER YIELD",ROUND($X86/$W86,0)-$X86))</f>
        <v/>
      </c>
      <c r="Z86" s="88"/>
      <c r="AA86" s="39" t="str">
        <f aca="false">IF(OR(SUM($G86)=0,SUM($R86)=0),"",ROUND(SUM($G86)*SUM($R86),0))</f>
        <v/>
      </c>
      <c r="AB86" s="39" t="str">
        <f aca="false">IF(SUM($AA86)=0,"",IF(SUM($Z86)=0,"ENTER YIELD",ROUND($AA86/$Z86,0)-$AA86))</f>
        <v/>
      </c>
      <c r="AC86" s="88"/>
      <c r="AD86" s="39" t="str">
        <f aca="false">IF(OR(SUM($G86)=0,SUM($S86)=0),"",ROUND(SUM($G86)*SUM($S86),0))</f>
        <v/>
      </c>
      <c r="AE86" s="39" t="str">
        <f aca="false">IF(SUM($AD86)=0,"",IF(SUM($AC86)=0,"ENTER YIELD",ROUND($AD86/$AC86,0)-$AD86))</f>
        <v/>
      </c>
      <c r="AF86" s="88"/>
      <c r="AG86" s="39" t="str">
        <f aca="false">IF(OR(SUM($G86)=0,SUM($T86)=0),"",ROUND(SUM($G86)*SUM($T86),0))</f>
        <v/>
      </c>
      <c r="AH86" s="39" t="str">
        <f aca="false">IF(SUM($AG86)=0,"",IF(SUM($AF86)=0,"ENTER YIELD",ROUND($AG86/$AF86,0)-$AG86))</f>
        <v/>
      </c>
      <c r="AI86" s="88"/>
      <c r="AJ86" s="39" t="str">
        <f aca="false">IF(OR(SUM($G86)=0,SUM($U86)=0),"",ROUND(SUM($G86)*SUM($U86),0))</f>
        <v/>
      </c>
      <c r="AK86" s="39" t="str">
        <f aca="false">IF(SUM($AJ86)=0,"",IF(SUM($AI86)=0,"ENTER YIELD",ROUND($AJ86/$AI86,0)-$AJ86))</f>
        <v/>
      </c>
      <c r="AL86" s="10" t="str">
        <f aca="false">IF(SUM($G86)=0,"",$G86)</f>
        <v/>
      </c>
      <c r="AM86" s="10" t="str">
        <f aca="false">IFERROR(1/(1/SUM($H86:$K86,$X86,$AA86,$AD86,$AG86,$AJ86)),"")</f>
        <v/>
      </c>
      <c r="AN86" s="10" t="str">
        <f aca="false">IF(AND(SUM($AM86)=0,SUM($AL86)=0),"",$AM86-$AL86)</f>
        <v/>
      </c>
      <c r="AO86" s="10" t="str">
        <f aca="false">IF(OR($C86="01-09",$D86="Male"),"",INDEX(PMTCT!$AD:$AD,MATCH($E86,PMTCT!$E:$E,0)))</f>
        <v/>
      </c>
      <c r="AP86" s="10" t="str">
        <f aca="false">IF(OR($C86="01-09",$D86="Male"),"",INDEX(PMTCT!$AT:$AT,MATCH($E86,PMTCT!$E:$E,0)))</f>
        <v/>
      </c>
      <c r="AQ86" s="10" t="str">
        <f aca="false">INDEX(TB!$Q:$Q,MATCH($E86,TB!$E:$E,0))</f>
        <v/>
      </c>
      <c r="AR86" s="10" t="str">
        <f aca="false">IF(OR($C86="01-09",$C86="10-14",$D86="Female"),"",INDEX(VMMC!$AB:$AB,MATCH($E86,VMMC!$E:$E,0)))</f>
        <v/>
      </c>
      <c r="AS86" s="10" t="str">
        <f aca="false">IF(OR($C86="01-09",$C86="10-14"),"",INDEX(PrEP!$Q:$Q,MATCH($E86,PrEP!$E:$E,0)))</f>
        <v/>
      </c>
      <c r="AT86" s="10" t="str">
        <f aca="false">IFERROR(1/(1/SUM($Y86,$AB86,$AE86,$AH86,$AK86,$AO86:$AS86)),"")</f>
        <v/>
      </c>
      <c r="AU86" s="10" t="str">
        <f aca="false">IFERROR(1/(1/SUM($AT86,$AM86)),"")</f>
        <v/>
      </c>
      <c r="AV86" s="88" t="str">
        <f aca="false">IF(AND(SUM($AM86)=0,SUM($AU86)=0),"",$AM86/$AU86)</f>
        <v/>
      </c>
      <c r="AW86" s="10" t="n">
        <v>8</v>
      </c>
      <c r="AX86" s="88" t="n">
        <f aca="false">IF(OR($C86="01-09",SUM($AW86)=0),"",0%)</f>
        <v>0</v>
      </c>
      <c r="AY86" s="39" t="n">
        <f aca="false">IF(OR($C86="01-09",SUM($AW86)=0),"",ROUND($AW86*(1+$AX86),0))</f>
        <v>8</v>
      </c>
      <c r="AZ86" s="88" t="n">
        <f aca="false">IF(OR($C86="01-09",$C86="10-14"),"",100%)</f>
        <v>1</v>
      </c>
      <c r="BA86" s="39" t="str">
        <f aca="false">IF(OR(SUM($AM86)=0,$C86="01-09",$C86="10-14"),"",$AM86*$AZ86)</f>
        <v/>
      </c>
    </row>
    <row r="87" customFormat="false" ht="15" hidden="false" customHeight="false" outlineLevel="0" collapsed="false">
      <c r="A87" s="0" t="str">
        <f aca="false">INDEX(Prioritization!$D:$D,MATCH($B87,Prioritization!$A:$A,0))</f>
        <v>1 - Scale-up: Saturation</v>
      </c>
      <c r="B87" s="0" t="s">
        <v>200</v>
      </c>
      <c r="C87" s="0" t="s">
        <v>363</v>
      </c>
      <c r="D87" s="0" t="s">
        <v>30</v>
      </c>
      <c r="E87" s="0" t="str">
        <f aca="false">$B87&amp;"|"&amp;$C87&amp;"|"&amp;$D87</f>
        <v>Nkhotakota District [YCKiBAp8QAg]|01-09|Female</v>
      </c>
      <c r="F87" s="88" t="n">
        <f aca="false">IF(LEFT($B87,4)="_Mil","",INDEX(Cascade!$AA:$AA,MATCH($E87,Cascade!$E:$E,0)))</f>
        <v>1192</v>
      </c>
      <c r="G87" s="10" t="n">
        <f aca="false">INDEX(Cascade!$BH:$BH,MATCH($E87,Cascade!$E:$E,0))</f>
        <v>0</v>
      </c>
      <c r="H87" s="10" t="str">
        <f aca="false">IF(OR($C87="01-09",$D87="Male"),"",INDEX(PMTCT!$AC:$AC,MATCH($E87,PMTCT!$E:$E,0)))</f>
        <v/>
      </c>
      <c r="I87" s="10" t="str">
        <f aca="false">IF(OR($C87="01-09",$D87="Male"),"",INDEX(PMTCT!$AS:$AS,MATCH($E87,PMTCT!$E:$E,0)))</f>
        <v/>
      </c>
      <c r="J87" s="10" t="str">
        <f aca="false">INDEX(TB!$P:$P,MATCH($E87,TB!$E:$E,0))</f>
        <v/>
      </c>
      <c r="K87" s="10" t="str">
        <f aca="false">IF(OR($C87="01-09",$C87="10-14",$D87="Female"),"",INDEX(VMMC!$AA:$AA,MATCH($E87,VMMC!$E:$E,0)))</f>
        <v/>
      </c>
      <c r="L87" s="10" t="n">
        <f aca="false">SUM($G87)-SUM($H87:$K87)</f>
        <v>0</v>
      </c>
      <c r="M87" s="88" t="str">
        <f aca="false">IF(OR($C87="01-09",$D87="Male",AND(SUM($G87)=0,SUM($H87)=0)),"",SUM($H87)/SUM($G87))</f>
        <v/>
      </c>
      <c r="N87" s="88" t="str">
        <f aca="false">IF(OR($C87="01-09",$D87="Male",AND(SUM($G87)=0,SUM($I87)=0)),"",SUM($I87)/SUM($G87))</f>
        <v/>
      </c>
      <c r="O87" s="88" t="str">
        <f aca="false">IF(AND(SUM($G87)=0,SUM($J87)=0),"",SUM($J87)/SUM($G87))</f>
        <v/>
      </c>
      <c r="P87" s="88" t="str">
        <f aca="false">IF(OR($C87="01-09",$C87="10-14",$D87="Female",AND(SUM($G87)=0,SUM($K87)=0)),"",SUM($K87)/SUM($G87))</f>
        <v/>
      </c>
      <c r="Q87" s="88"/>
      <c r="R87" s="88"/>
      <c r="S87" s="88"/>
      <c r="T87" s="88"/>
      <c r="U87" s="88"/>
      <c r="V87" s="88" t="str">
        <f aca="false">IF(SUM($G87)=0,"",SUM($M87:$U87))</f>
        <v/>
      </c>
      <c r="W87" s="88"/>
      <c r="X87" s="39" t="str">
        <f aca="false">IF(OR(SUM($G87)=0,SUM($Q87)=0),"",ROUND(SUM($G87)*SUM($Q87),0))</f>
        <v/>
      </c>
      <c r="Y87" s="39" t="str">
        <f aca="false">IF(SUM($X87)=0,"",IF(SUM($W87)=0,"ENTER YIELD",ROUND($X87/$W87,0)-$X87))</f>
        <v/>
      </c>
      <c r="Z87" s="88"/>
      <c r="AA87" s="39" t="str">
        <f aca="false">IF(OR(SUM($G87)=0,SUM($R87)=0),"",ROUND(SUM($G87)*SUM($R87),0))</f>
        <v/>
      </c>
      <c r="AB87" s="39" t="str">
        <f aca="false">IF(SUM($AA87)=0,"",IF(SUM($Z87)=0,"ENTER YIELD",ROUND($AA87/$Z87,0)-$AA87))</f>
        <v/>
      </c>
      <c r="AC87" s="88"/>
      <c r="AD87" s="39" t="str">
        <f aca="false">IF(OR(SUM($G87)=0,SUM($S87)=0),"",ROUND(SUM($G87)*SUM($S87),0))</f>
        <v/>
      </c>
      <c r="AE87" s="39" t="str">
        <f aca="false">IF(SUM($AD87)=0,"",IF(SUM($AC87)=0,"ENTER YIELD",ROUND($AD87/$AC87,0)-$AD87))</f>
        <v/>
      </c>
      <c r="AF87" s="88"/>
      <c r="AG87" s="39" t="str">
        <f aca="false">IF(OR(SUM($G87)=0,SUM($T87)=0),"",ROUND(SUM($G87)*SUM($T87),0))</f>
        <v/>
      </c>
      <c r="AH87" s="39" t="str">
        <f aca="false">IF(SUM($AG87)=0,"",IF(SUM($AF87)=0,"ENTER YIELD",ROUND($AG87/$AF87,0)-$AG87))</f>
        <v/>
      </c>
      <c r="AI87" s="88"/>
      <c r="AJ87" s="39" t="str">
        <f aca="false">IF(OR(SUM($G87)=0,SUM($U87)=0),"",ROUND(SUM($G87)*SUM($U87),0))</f>
        <v/>
      </c>
      <c r="AK87" s="39" t="str">
        <f aca="false">IF(SUM($AJ87)=0,"",IF(SUM($AI87)=0,"ENTER YIELD",ROUND($AJ87/$AI87,0)-$AJ87))</f>
        <v/>
      </c>
      <c r="AL87" s="10" t="str">
        <f aca="false">IF(SUM($G87)=0,"",$G87)</f>
        <v/>
      </c>
      <c r="AM87" s="10" t="str">
        <f aca="false">IFERROR(1/(1/SUM($H87:$K87,$X87,$AA87,$AD87,$AG87,$AJ87)),"")</f>
        <v/>
      </c>
      <c r="AN87" s="10" t="str">
        <f aca="false">IF(AND(SUM($AM87)=0,SUM($AL87)=0),"",$AM87-$AL87)</f>
        <v/>
      </c>
      <c r="AO87" s="10" t="str">
        <f aca="false">IF(OR($C87="01-09",$D87="Male"),"",INDEX(PMTCT!$AD:$AD,MATCH($E87,PMTCT!$E:$E,0)))</f>
        <v/>
      </c>
      <c r="AP87" s="10" t="str">
        <f aca="false">IF(OR($C87="01-09",$D87="Male"),"",INDEX(PMTCT!$AT:$AT,MATCH($E87,PMTCT!$E:$E,0)))</f>
        <v/>
      </c>
      <c r="AQ87" s="10" t="str">
        <f aca="false">INDEX(TB!$Q:$Q,MATCH($E87,TB!$E:$E,0))</f>
        <v/>
      </c>
      <c r="AR87" s="10" t="str">
        <f aca="false">IF(OR($C87="01-09",$C87="10-14",$D87="Female"),"",INDEX(VMMC!$AB:$AB,MATCH($E87,VMMC!$E:$E,0)))</f>
        <v/>
      </c>
      <c r="AS87" s="10" t="str">
        <f aca="false">IF(OR($C87="01-09",$C87="10-14"),"",INDEX(PrEP!$Q:$Q,MATCH($E87,PrEP!$E:$E,0)))</f>
        <v/>
      </c>
      <c r="AT87" s="10" t="str">
        <f aca="false">IFERROR(1/(1/SUM($Y87,$AB87,$AE87,$AH87,$AK87,$AO87:$AS87)),"")</f>
        <v/>
      </c>
      <c r="AU87" s="10" t="str">
        <f aca="false">IFERROR(1/(1/SUM($AT87,$AM87)),"")</f>
        <v/>
      </c>
      <c r="AV87" s="88" t="str">
        <f aca="false">IF(AND(SUM($AM87)=0,SUM($AU87)=0),"",$AM87/$AU87)</f>
        <v/>
      </c>
      <c r="AW87" s="10"/>
      <c r="AX87" s="88" t="str">
        <f aca="false">IF(OR($C87="01-09",SUM($AW87)=0),"",0%)</f>
        <v/>
      </c>
      <c r="AY87" s="39" t="str">
        <f aca="false">IF(OR($C87="01-09",SUM($AW87)=0),"",ROUND($AW87*(1+$AX87),0))</f>
        <v/>
      </c>
      <c r="AZ87" s="88" t="str">
        <f aca="false">IF(OR($C87="01-09",$C87="10-14"),"",100%)</f>
        <v/>
      </c>
      <c r="BA87" s="39" t="str">
        <f aca="false">IF(OR(SUM($AM87)=0,$C87="01-09",$C87="10-14"),"",$AM87*$AZ87)</f>
        <v/>
      </c>
    </row>
    <row r="88" customFormat="false" ht="15" hidden="false" customHeight="false" outlineLevel="0" collapsed="false">
      <c r="A88" s="0" t="str">
        <f aca="false">INDEX(Prioritization!$D:$D,MATCH($B88,Prioritization!$A:$A,0))</f>
        <v>1 - Scale-up: Saturation</v>
      </c>
      <c r="B88" s="0" t="s">
        <v>200</v>
      </c>
      <c r="C88" s="0" t="s">
        <v>363</v>
      </c>
      <c r="D88" s="0" t="s">
        <v>48</v>
      </c>
      <c r="E88" s="0" t="str">
        <f aca="false">$B88&amp;"|"&amp;$C88&amp;"|"&amp;$D88</f>
        <v>Nkhotakota District [YCKiBAp8QAg]|01-09|Male</v>
      </c>
      <c r="F88" s="88" t="n">
        <f aca="false">IF(LEFT($B88,4)="_Mil","",INDEX(Cascade!$AA:$AA,MATCH($E88,Cascade!$E:$E,0)))</f>
        <v>1659</v>
      </c>
      <c r="G88" s="10" t="n">
        <f aca="false">INDEX(Cascade!$BH:$BH,MATCH($E88,Cascade!$E:$E,0))</f>
        <v>0</v>
      </c>
      <c r="H88" s="10" t="str">
        <f aca="false">IF(OR($C88="01-09",$D88="Male"),"",INDEX(PMTCT!$AC:$AC,MATCH($E88,PMTCT!$E:$E,0)))</f>
        <v/>
      </c>
      <c r="I88" s="10" t="str">
        <f aca="false">IF(OR($C88="01-09",$D88="Male"),"",INDEX(PMTCT!$AS:$AS,MATCH($E88,PMTCT!$E:$E,0)))</f>
        <v/>
      </c>
      <c r="J88" s="10" t="str">
        <f aca="false">INDEX(TB!$P:$P,MATCH($E88,TB!$E:$E,0))</f>
        <v/>
      </c>
      <c r="K88" s="10" t="str">
        <f aca="false">IF(OR($C88="01-09",$C88="10-14",$D88="Female"),"",INDEX(VMMC!$AA:$AA,MATCH($E88,VMMC!$E:$E,0)))</f>
        <v/>
      </c>
      <c r="L88" s="10" t="n">
        <f aca="false">SUM($G88)-SUM($H88:$K88)</f>
        <v>0</v>
      </c>
      <c r="M88" s="88" t="str">
        <f aca="false">IF(OR($C88="01-09",$D88="Male",AND(SUM($G88)=0,SUM($H88)=0)),"",SUM($H88)/SUM($G88))</f>
        <v/>
      </c>
      <c r="N88" s="88" t="str">
        <f aca="false">IF(OR($C88="01-09",$D88="Male",AND(SUM($G88)=0,SUM($I88)=0)),"",SUM($I88)/SUM($G88))</f>
        <v/>
      </c>
      <c r="O88" s="88" t="str">
        <f aca="false">IF(AND(SUM($G88)=0,SUM($J88)=0),"",SUM($J88)/SUM($G88))</f>
        <v/>
      </c>
      <c r="P88" s="88" t="str">
        <f aca="false">IF(OR($C88="01-09",$C88="10-14",$D88="Female",AND(SUM($G88)=0,SUM($K88)=0)),"",SUM($K88)/SUM($G88))</f>
        <v/>
      </c>
      <c r="Q88" s="88"/>
      <c r="R88" s="88"/>
      <c r="S88" s="88"/>
      <c r="T88" s="88"/>
      <c r="U88" s="88"/>
      <c r="V88" s="88" t="str">
        <f aca="false">IF(SUM($G88)=0,"",SUM($M88:$U88))</f>
        <v/>
      </c>
      <c r="W88" s="88"/>
      <c r="X88" s="39" t="str">
        <f aca="false">IF(OR(SUM($G88)=0,SUM($Q88)=0),"",ROUND(SUM($G88)*SUM($Q88),0))</f>
        <v/>
      </c>
      <c r="Y88" s="39" t="str">
        <f aca="false">IF(SUM($X88)=0,"",IF(SUM($W88)=0,"ENTER YIELD",ROUND($X88/$W88,0)-$X88))</f>
        <v/>
      </c>
      <c r="Z88" s="88"/>
      <c r="AA88" s="39" t="str">
        <f aca="false">IF(OR(SUM($G88)=0,SUM($R88)=0),"",ROUND(SUM($G88)*SUM($R88),0))</f>
        <v/>
      </c>
      <c r="AB88" s="39" t="str">
        <f aca="false">IF(SUM($AA88)=0,"",IF(SUM($Z88)=0,"ENTER YIELD",ROUND($AA88/$Z88,0)-$AA88))</f>
        <v/>
      </c>
      <c r="AC88" s="88"/>
      <c r="AD88" s="39" t="str">
        <f aca="false">IF(OR(SUM($G88)=0,SUM($S88)=0),"",ROUND(SUM($G88)*SUM($S88),0))</f>
        <v/>
      </c>
      <c r="AE88" s="39" t="str">
        <f aca="false">IF(SUM($AD88)=0,"",IF(SUM($AC88)=0,"ENTER YIELD",ROUND($AD88/$AC88,0)-$AD88))</f>
        <v/>
      </c>
      <c r="AF88" s="88"/>
      <c r="AG88" s="39" t="str">
        <f aca="false">IF(OR(SUM($G88)=0,SUM($T88)=0),"",ROUND(SUM($G88)*SUM($T88),0))</f>
        <v/>
      </c>
      <c r="AH88" s="39" t="str">
        <f aca="false">IF(SUM($AG88)=0,"",IF(SUM($AF88)=0,"ENTER YIELD",ROUND($AG88/$AF88,0)-$AG88))</f>
        <v/>
      </c>
      <c r="AI88" s="88"/>
      <c r="AJ88" s="39" t="str">
        <f aca="false">IF(OR(SUM($G88)=0,SUM($U88)=0),"",ROUND(SUM($G88)*SUM($U88),0))</f>
        <v/>
      </c>
      <c r="AK88" s="39" t="str">
        <f aca="false">IF(SUM($AJ88)=0,"",IF(SUM($AI88)=0,"ENTER YIELD",ROUND($AJ88/$AI88,0)-$AJ88))</f>
        <v/>
      </c>
      <c r="AL88" s="10" t="str">
        <f aca="false">IF(SUM($G88)=0,"",$G88)</f>
        <v/>
      </c>
      <c r="AM88" s="10" t="str">
        <f aca="false">IFERROR(1/(1/SUM($H88:$K88,$X88,$AA88,$AD88,$AG88,$AJ88)),"")</f>
        <v/>
      </c>
      <c r="AN88" s="10" t="str">
        <f aca="false">IF(AND(SUM($AM88)=0,SUM($AL88)=0),"",$AM88-$AL88)</f>
        <v/>
      </c>
      <c r="AO88" s="10" t="str">
        <f aca="false">IF(OR($C88="01-09",$D88="Male"),"",INDEX(PMTCT!$AD:$AD,MATCH($E88,PMTCT!$E:$E,0)))</f>
        <v/>
      </c>
      <c r="AP88" s="10" t="str">
        <f aca="false">IF(OR($C88="01-09",$D88="Male"),"",INDEX(PMTCT!$AT:$AT,MATCH($E88,PMTCT!$E:$E,0)))</f>
        <v/>
      </c>
      <c r="AQ88" s="10" t="str">
        <f aca="false">INDEX(TB!$Q:$Q,MATCH($E88,TB!$E:$E,0))</f>
        <v/>
      </c>
      <c r="AR88" s="10" t="str">
        <f aca="false">IF(OR($C88="01-09",$C88="10-14",$D88="Female"),"",INDEX(VMMC!$AB:$AB,MATCH($E88,VMMC!$E:$E,0)))</f>
        <v/>
      </c>
      <c r="AS88" s="10" t="str">
        <f aca="false">IF(OR($C88="01-09",$C88="10-14"),"",INDEX(PrEP!$Q:$Q,MATCH($E88,PrEP!$E:$E,0)))</f>
        <v/>
      </c>
      <c r="AT88" s="10" t="str">
        <f aca="false">IFERROR(1/(1/SUM($Y88,$AB88,$AE88,$AH88,$AK88,$AO88:$AS88)),"")</f>
        <v/>
      </c>
      <c r="AU88" s="10" t="str">
        <f aca="false">IFERROR(1/(1/SUM($AT88,$AM88)),"")</f>
        <v/>
      </c>
      <c r="AV88" s="88" t="str">
        <f aca="false">IF(AND(SUM($AM88)=0,SUM($AU88)=0),"",$AM88/$AU88)</f>
        <v/>
      </c>
      <c r="AW88" s="10"/>
      <c r="AX88" s="88" t="str">
        <f aca="false">IF(OR($C88="01-09",SUM($AW88)=0),"",0%)</f>
        <v/>
      </c>
      <c r="AY88" s="39" t="str">
        <f aca="false">IF(OR($C88="01-09",SUM($AW88)=0),"",ROUND($AW88*(1+$AX88),0))</f>
        <v/>
      </c>
      <c r="AZ88" s="88" t="str">
        <f aca="false">IF(OR($C88="01-09",$C88="10-14"),"",100%)</f>
        <v/>
      </c>
      <c r="BA88" s="39" t="str">
        <f aca="false">IF(OR(SUM($AM88)=0,$C88="01-09",$C88="10-14"),"",$AM88*$AZ88)</f>
        <v/>
      </c>
    </row>
    <row r="89" customFormat="false" ht="15" hidden="false" customHeight="false" outlineLevel="0" collapsed="false">
      <c r="A89" s="0" t="str">
        <f aca="false">INDEX(Prioritization!$D:$D,MATCH($B89,Prioritization!$A:$A,0))</f>
        <v>1 - Scale-up: Saturation</v>
      </c>
      <c r="B89" s="0" t="s">
        <v>200</v>
      </c>
      <c r="C89" s="0" t="s">
        <v>364</v>
      </c>
      <c r="D89" s="0" t="s">
        <v>30</v>
      </c>
      <c r="E89" s="0" t="str">
        <f aca="false">$B89&amp;"|"&amp;$C89&amp;"|"&amp;$D89</f>
        <v>Nkhotakota District [YCKiBAp8QAg]|10-14|Female</v>
      </c>
      <c r="F89" s="88" t="n">
        <f aca="false">IF(LEFT($B89,4)="_Mil","",INDEX(Cascade!$AA:$AA,MATCH($E89,Cascade!$E:$E,0)))</f>
        <v>1913</v>
      </c>
      <c r="G89" s="10" t="n">
        <f aca="false">INDEX(Cascade!$BH:$BH,MATCH($E89,Cascade!$E:$E,0))</f>
        <v>-86</v>
      </c>
      <c r="H89" s="10" t="str">
        <f aca="false">IF(OR($C89="01-09",$D89="Male"),"",INDEX(PMTCT!$AC:$AC,MATCH($E89,PMTCT!$E:$E,0)))</f>
        <v>ENTER YIELD RATE</v>
      </c>
      <c r="I89" s="10" t="str">
        <f aca="false">IF(OR($C89="01-09",$D89="Male"),"",INDEX(PMTCT!$AS:$AS,MATCH($E89,PMTCT!$E:$E,0)))</f>
        <v>ENTER YIELD RATE</v>
      </c>
      <c r="J89" s="10" t="str">
        <f aca="false">INDEX(TB!$P:$P,MATCH($E89,TB!$E:$E,0))</f>
        <v>ENTER YIELD RATE</v>
      </c>
      <c r="K89" s="10" t="str">
        <f aca="false">IF(OR($C89="01-09",$C89="10-14",$D89="Female"),"",INDEX(VMMC!$AA:$AA,MATCH($E89,VMMC!$E:$E,0)))</f>
        <v/>
      </c>
      <c r="L89" s="10" t="n">
        <f aca="false">SUM($G89)-SUM($H89:$K89)</f>
        <v>-86</v>
      </c>
      <c r="M89" s="88" t="n">
        <f aca="false">IF(OR($C89="01-09",$D89="Male",AND(SUM($G89)=0,SUM($H89)=0)),"",SUM($H89)/SUM($G89))</f>
        <v>-0</v>
      </c>
      <c r="N89" s="88" t="n">
        <f aca="false">IF(OR($C89="01-09",$D89="Male",AND(SUM($G89)=0,SUM($I89)=0)),"",SUM($I89)/SUM($G89))</f>
        <v>-0</v>
      </c>
      <c r="O89" s="88" t="n">
        <f aca="false">IF(AND(SUM($G89)=0,SUM($J89)=0),"",SUM($J89)/SUM($G89))</f>
        <v>-0</v>
      </c>
      <c r="P89" s="88" t="str">
        <f aca="false">IF(OR($C89="01-09",$C89="10-14",$D89="Female",AND(SUM($G89)=0,SUM($K89)=0)),"",SUM($K89)/SUM($G89))</f>
        <v/>
      </c>
      <c r="Q89" s="88" t="n">
        <v>0.87240156182088</v>
      </c>
      <c r="R89" s="88"/>
      <c r="S89" s="88"/>
      <c r="T89" s="88"/>
      <c r="U89" s="88" t="n">
        <v>0.192938309861347</v>
      </c>
      <c r="V89" s="88" t="n">
        <f aca="false">IF(SUM($G89)=0,"",SUM($M89:$U89))</f>
        <v>1.06533987168223</v>
      </c>
      <c r="W89" s="88"/>
      <c r="X89" s="39" t="n">
        <f aca="false">IF(OR(SUM($G89)=0,SUM($Q89)=0),"",ROUND(SUM($G89)*SUM($Q89),0))</f>
        <v>-75</v>
      </c>
      <c r="Y89" s="39" t="str">
        <f aca="false">IF(SUM($X89)=0,"",IF(SUM($W89)=0,"ENTER YIELD",ROUND($X89/$W89,0)-$X89))</f>
        <v>ENTER YIELD</v>
      </c>
      <c r="Z89" s="88"/>
      <c r="AA89" s="39" t="str">
        <f aca="false">IF(OR(SUM($G89)=0,SUM($R89)=0),"",ROUND(SUM($G89)*SUM($R89),0))</f>
        <v/>
      </c>
      <c r="AB89" s="39" t="str">
        <f aca="false">IF(SUM($AA89)=0,"",IF(SUM($Z89)=0,"ENTER YIELD",ROUND($AA89/$Z89,0)-$AA89))</f>
        <v/>
      </c>
      <c r="AC89" s="88"/>
      <c r="AD89" s="39" t="str">
        <f aca="false">IF(OR(SUM($G89)=0,SUM($S89)=0),"",ROUND(SUM($G89)*SUM($S89),0))</f>
        <v/>
      </c>
      <c r="AE89" s="39" t="str">
        <f aca="false">IF(SUM($AD89)=0,"",IF(SUM($AC89)=0,"ENTER YIELD",ROUND($AD89/$AC89,0)-$AD89))</f>
        <v/>
      </c>
      <c r="AF89" s="88"/>
      <c r="AG89" s="39" t="str">
        <f aca="false">IF(OR(SUM($G89)=0,SUM($T89)=0),"",ROUND(SUM($G89)*SUM($T89),0))</f>
        <v/>
      </c>
      <c r="AH89" s="39" t="str">
        <f aca="false">IF(SUM($AG89)=0,"",IF(SUM($AF89)=0,"ENTER YIELD",ROUND($AG89/$AF89,0)-$AG89))</f>
        <v/>
      </c>
      <c r="AI89" s="88"/>
      <c r="AJ89" s="39" t="n">
        <f aca="false">IF(OR(SUM($G89)=0,SUM($U89)=0),"",ROUND(SUM($G89)*SUM($U89),0))</f>
        <v>-17</v>
      </c>
      <c r="AK89" s="39" t="str">
        <f aca="false">IF(SUM($AJ89)=0,"",IF(SUM($AI89)=0,"ENTER YIELD",ROUND($AJ89/$AI89,0)-$AJ89))</f>
        <v>ENTER YIELD</v>
      </c>
      <c r="AL89" s="10" t="n">
        <f aca="false">IF(SUM($G89)=0,"",$G89)</f>
        <v>-86</v>
      </c>
      <c r="AM89" s="10" t="n">
        <f aca="false">IFERROR(1/(1/SUM($H89:$K89,$X89,$AA89,$AD89,$AG89,$AJ89)),"")</f>
        <v>-92</v>
      </c>
      <c r="AN89" s="10" t="n">
        <f aca="false">IF(AND(SUM($AM89)=0,SUM($AL89)=0),"",$AM89-$AL89)</f>
        <v>-6</v>
      </c>
      <c r="AO89" s="10" t="n">
        <f aca="false">IF(OR($C89="01-09",$D89="Male"),"",INDEX(PMTCT!$AD:$AD,MATCH($E89,PMTCT!$E:$E,0)))</f>
        <v>2</v>
      </c>
      <c r="AP89" s="10" t="n">
        <f aca="false">IF(OR($C89="01-09",$D89="Male"),"",INDEX(PMTCT!$AT:$AT,MATCH($E89,PMTCT!$E:$E,0)))</f>
        <v>2</v>
      </c>
      <c r="AQ89" s="10" t="n">
        <f aca="false">INDEX(TB!$Q:$Q,MATCH($E89,TB!$E:$E,0))</f>
        <v>1</v>
      </c>
      <c r="AR89" s="10" t="str">
        <f aca="false">IF(OR($C89="01-09",$C89="10-14",$D89="Female"),"",INDEX(VMMC!$AB:$AB,MATCH($E89,VMMC!$E:$E,0)))</f>
        <v/>
      </c>
      <c r="AS89" s="10" t="str">
        <f aca="false">IF(OR($C89="01-09",$C89="10-14"),"",INDEX(PrEP!$Q:$Q,MATCH($E89,PrEP!$E:$E,0)))</f>
        <v/>
      </c>
      <c r="AT89" s="10" t="n">
        <f aca="false">IFERROR(1/(1/SUM($Y89,$AB89,$AE89,$AH89,$AK89,$AO89:$AS89)),"")</f>
        <v>5</v>
      </c>
      <c r="AU89" s="10" t="n">
        <f aca="false">IFERROR(1/(1/SUM($AT89,$AM89)),"")</f>
        <v>-87</v>
      </c>
      <c r="AV89" s="88" t="n">
        <f aca="false">IF(AND(SUM($AM89)=0,SUM($AU89)=0),"",$AM89/$AU89)</f>
        <v>1.05747126436782</v>
      </c>
      <c r="AW89" s="10"/>
      <c r="AX89" s="88" t="str">
        <f aca="false">IF(OR($C89="01-09",SUM($AW89)=0),"",0%)</f>
        <v/>
      </c>
      <c r="AY89" s="39" t="str">
        <f aca="false">IF(OR($C89="01-09",SUM($AW89)=0),"",ROUND($AW89*(1+$AX89),0))</f>
        <v/>
      </c>
      <c r="AZ89" s="88" t="str">
        <f aca="false">IF(OR($C89="01-09",$C89="10-14"),"",100%)</f>
        <v/>
      </c>
      <c r="BA89" s="39" t="str">
        <f aca="false">IF(OR(SUM($AM89)=0,$C89="01-09",$C89="10-14"),"",$AM89*$AZ89)</f>
        <v/>
      </c>
    </row>
    <row r="90" customFormat="false" ht="15" hidden="false" customHeight="false" outlineLevel="0" collapsed="false">
      <c r="A90" s="0" t="str">
        <f aca="false">INDEX(Prioritization!$D:$D,MATCH($B90,Prioritization!$A:$A,0))</f>
        <v>1 - Scale-up: Saturation</v>
      </c>
      <c r="B90" s="0" t="s">
        <v>200</v>
      </c>
      <c r="C90" s="0" t="s">
        <v>364</v>
      </c>
      <c r="D90" s="0" t="s">
        <v>48</v>
      </c>
      <c r="E90" s="0" t="str">
        <f aca="false">$B90&amp;"|"&amp;$C90&amp;"|"&amp;$D90</f>
        <v>Nkhotakota District [YCKiBAp8QAg]|10-14|Male</v>
      </c>
      <c r="F90" s="88" t="n">
        <f aca="false">IF(LEFT($B90,4)="_Mil","",INDEX(Cascade!$AA:$AA,MATCH($E90,Cascade!$E:$E,0)))</f>
        <v>854</v>
      </c>
      <c r="G90" s="10" t="n">
        <f aca="false">INDEX(Cascade!$BH:$BH,MATCH($E90,Cascade!$E:$E,0))</f>
        <v>-86</v>
      </c>
      <c r="H90" s="10" t="str">
        <f aca="false">IF(OR($C90="01-09",$D90="Male"),"",INDEX(PMTCT!$AC:$AC,MATCH($E90,PMTCT!$E:$E,0)))</f>
        <v/>
      </c>
      <c r="I90" s="10" t="str">
        <f aca="false">IF(OR($C90="01-09",$D90="Male"),"",INDEX(PMTCT!$AS:$AS,MATCH($E90,PMTCT!$E:$E,0)))</f>
        <v/>
      </c>
      <c r="J90" s="10" t="str">
        <f aca="false">INDEX(TB!$P:$P,MATCH($E90,TB!$E:$E,0))</f>
        <v/>
      </c>
      <c r="K90" s="10" t="str">
        <f aca="false">IF(OR($C90="01-09",$C90="10-14",$D90="Female"),"",INDEX(VMMC!$AA:$AA,MATCH($E90,VMMC!$E:$E,0)))</f>
        <v/>
      </c>
      <c r="L90" s="10" t="n">
        <f aca="false">SUM($G90)-SUM($H90:$K90)</f>
        <v>-86</v>
      </c>
      <c r="M90" s="88" t="str">
        <f aca="false">IF(OR($C90="01-09",$D90="Male",AND(SUM($G90)=0,SUM($H90)=0)),"",SUM($H90)/SUM($G90))</f>
        <v/>
      </c>
      <c r="N90" s="88" t="str">
        <f aca="false">IF(OR($C90="01-09",$D90="Male",AND(SUM($G90)=0,SUM($I90)=0)),"",SUM($I90)/SUM($G90))</f>
        <v/>
      </c>
      <c r="O90" s="88" t="n">
        <f aca="false">IF(AND(SUM($G90)=0,SUM($J90)=0),"",SUM($J90)/SUM($G90))</f>
        <v>-0</v>
      </c>
      <c r="P90" s="88" t="str">
        <f aca="false">IF(OR($C90="01-09",$C90="10-14",$D90="Female",AND(SUM($G90)=0,SUM($K90)=0)),"",SUM($K90)/SUM($G90))</f>
        <v/>
      </c>
      <c r="Q90" s="88" t="n">
        <v>0.135023915208876</v>
      </c>
      <c r="R90" s="88"/>
      <c r="S90" s="88"/>
      <c r="T90" s="88"/>
      <c r="U90" s="88" t="n">
        <v>0.840542414458469</v>
      </c>
      <c r="V90" s="88" t="n">
        <f aca="false">IF(SUM($G90)=0,"",SUM($M90:$U90))</f>
        <v>0.975566329667345</v>
      </c>
      <c r="W90" s="88"/>
      <c r="X90" s="39" t="n">
        <f aca="false">IF(OR(SUM($G90)=0,SUM($Q90)=0),"",ROUND(SUM($G90)*SUM($Q90),0))</f>
        <v>-12</v>
      </c>
      <c r="Y90" s="39" t="str">
        <f aca="false">IF(SUM($X90)=0,"",IF(SUM($W90)=0,"ENTER YIELD",ROUND($X90/$W90,0)-$X90))</f>
        <v>ENTER YIELD</v>
      </c>
      <c r="Z90" s="88"/>
      <c r="AA90" s="39" t="str">
        <f aca="false">IF(OR(SUM($G90)=0,SUM($R90)=0),"",ROUND(SUM($G90)*SUM($R90),0))</f>
        <v/>
      </c>
      <c r="AB90" s="39" t="str">
        <f aca="false">IF(SUM($AA90)=0,"",IF(SUM($Z90)=0,"ENTER YIELD",ROUND($AA90/$Z90,0)-$AA90))</f>
        <v/>
      </c>
      <c r="AC90" s="88"/>
      <c r="AD90" s="39" t="str">
        <f aca="false">IF(OR(SUM($G90)=0,SUM($S90)=0),"",ROUND(SUM($G90)*SUM($S90),0))</f>
        <v/>
      </c>
      <c r="AE90" s="39" t="str">
        <f aca="false">IF(SUM($AD90)=0,"",IF(SUM($AC90)=0,"ENTER YIELD",ROUND($AD90/$AC90,0)-$AD90))</f>
        <v/>
      </c>
      <c r="AF90" s="88"/>
      <c r="AG90" s="39" t="str">
        <f aca="false">IF(OR(SUM($G90)=0,SUM($T90)=0),"",ROUND(SUM($G90)*SUM($T90),0))</f>
        <v/>
      </c>
      <c r="AH90" s="39" t="str">
        <f aca="false">IF(SUM($AG90)=0,"",IF(SUM($AF90)=0,"ENTER YIELD",ROUND($AG90/$AF90,0)-$AG90))</f>
        <v/>
      </c>
      <c r="AI90" s="88"/>
      <c r="AJ90" s="39" t="n">
        <f aca="false">IF(OR(SUM($G90)=0,SUM($U90)=0),"",ROUND(SUM($G90)*SUM($U90),0))</f>
        <v>-72</v>
      </c>
      <c r="AK90" s="39" t="str">
        <f aca="false">IF(SUM($AJ90)=0,"",IF(SUM($AI90)=0,"ENTER YIELD",ROUND($AJ90/$AI90,0)-$AJ90))</f>
        <v>ENTER YIELD</v>
      </c>
      <c r="AL90" s="10" t="n">
        <f aca="false">IF(SUM($G90)=0,"",$G90)</f>
        <v>-86</v>
      </c>
      <c r="AM90" s="10" t="n">
        <f aca="false">IFERROR(1/(1/SUM($H90:$K90,$X90,$AA90,$AD90,$AG90,$AJ90)),"")</f>
        <v>-84</v>
      </c>
      <c r="AN90" s="10" t="n">
        <f aca="false">IF(AND(SUM($AM90)=0,SUM($AL90)=0),"",$AM90-$AL90)</f>
        <v>2</v>
      </c>
      <c r="AO90" s="10" t="str">
        <f aca="false">IF(OR($C90="01-09",$D90="Male"),"",INDEX(PMTCT!$AD:$AD,MATCH($E90,PMTCT!$E:$E,0)))</f>
        <v/>
      </c>
      <c r="AP90" s="10" t="str">
        <f aca="false">IF(OR($C90="01-09",$D90="Male"),"",INDEX(PMTCT!$AT:$AT,MATCH($E90,PMTCT!$E:$E,0)))</f>
        <v/>
      </c>
      <c r="AQ90" s="10" t="str">
        <f aca="false">INDEX(TB!$Q:$Q,MATCH($E90,TB!$E:$E,0))</f>
        <v/>
      </c>
      <c r="AR90" s="10" t="str">
        <f aca="false">IF(OR($C90="01-09",$C90="10-14",$D90="Female"),"",INDEX(VMMC!$AB:$AB,MATCH($E90,VMMC!$E:$E,0)))</f>
        <v/>
      </c>
      <c r="AS90" s="10" t="str">
        <f aca="false">IF(OR($C90="01-09",$C90="10-14"),"",INDEX(PrEP!$Q:$Q,MATCH($E90,PrEP!$E:$E,0)))</f>
        <v/>
      </c>
      <c r="AT90" s="10" t="str">
        <f aca="false">IFERROR(1/(1/SUM($Y90,$AB90,$AE90,$AH90,$AK90,$AO90:$AS90)),"")</f>
        <v/>
      </c>
      <c r="AU90" s="10" t="n">
        <f aca="false">IFERROR(1/(1/SUM($AT90,$AM90)),"")</f>
        <v>-84</v>
      </c>
      <c r="AV90" s="88" t="n">
        <f aca="false">IF(AND(SUM($AM90)=0,SUM($AU90)=0),"",$AM90/$AU90)</f>
        <v>1</v>
      </c>
      <c r="AW90" s="10"/>
      <c r="AX90" s="88" t="str">
        <f aca="false">IF(OR($C90="01-09",SUM($AW90)=0),"",0%)</f>
        <v/>
      </c>
      <c r="AY90" s="39" t="str">
        <f aca="false">IF(OR($C90="01-09",SUM($AW90)=0),"",ROUND($AW90*(1+$AX90),0))</f>
        <v/>
      </c>
      <c r="AZ90" s="88" t="str">
        <f aca="false">IF(OR($C90="01-09",$C90="10-14"),"",100%)</f>
        <v/>
      </c>
      <c r="BA90" s="39" t="str">
        <f aca="false">IF(OR(SUM($AM90)=0,$C90="01-09",$C90="10-14"),"",$AM90*$AZ90)</f>
        <v/>
      </c>
    </row>
    <row r="91" customFormat="false" ht="15" hidden="false" customHeight="false" outlineLevel="0" collapsed="false">
      <c r="A91" s="0" t="str">
        <f aca="false">INDEX(Prioritization!$D:$D,MATCH($B91,Prioritization!$A:$A,0))</f>
        <v>1 - Scale-up: Saturation</v>
      </c>
      <c r="B91" s="0" t="s">
        <v>200</v>
      </c>
      <c r="C91" s="0" t="s">
        <v>365</v>
      </c>
      <c r="D91" s="0" t="s">
        <v>30</v>
      </c>
      <c r="E91" s="0" t="str">
        <f aca="false">$B91&amp;"|"&amp;$C91&amp;"|"&amp;$D91</f>
        <v>Nkhotakota District [YCKiBAp8QAg]|15-24|Female</v>
      </c>
      <c r="F91" s="88" t="n">
        <f aca="false">IF(LEFT($B91,4)="_Mil","",INDEX(Cascade!$AA:$AA,MATCH($E91,Cascade!$E:$E,0)))</f>
        <v>607</v>
      </c>
      <c r="G91" s="10" t="n">
        <f aca="false">INDEX(Cascade!$BH:$BH,MATCH($E91,Cascade!$E:$E,0))</f>
        <v>0</v>
      </c>
      <c r="H91" s="10" t="str">
        <f aca="false">IF(OR($C91="01-09",$D91="Male"),"",INDEX(PMTCT!$AC:$AC,MATCH($E91,PMTCT!$E:$E,0)))</f>
        <v/>
      </c>
      <c r="I91" s="10" t="str">
        <f aca="false">IF(OR($C91="01-09",$D91="Male"),"",INDEX(PMTCT!$AS:$AS,MATCH($E91,PMTCT!$E:$E,0)))</f>
        <v/>
      </c>
      <c r="J91" s="10" t="str">
        <f aca="false">INDEX(TB!$P:$P,MATCH($E91,TB!$E:$E,0))</f>
        <v/>
      </c>
      <c r="K91" s="10" t="str">
        <f aca="false">IF(OR($C91="01-09",$C91="10-14",$D91="Female"),"",INDEX(VMMC!$AA:$AA,MATCH($E91,VMMC!$E:$E,0)))</f>
        <v/>
      </c>
      <c r="L91" s="10" t="n">
        <f aca="false">SUM($G91)-SUM($H91:$K91)</f>
        <v>0</v>
      </c>
      <c r="M91" s="88" t="str">
        <f aca="false">IF(OR($C91="01-09",$D91="Male",AND(SUM($G91)=0,SUM($H91)=0)),"",SUM($H91)/SUM($G91))</f>
        <v/>
      </c>
      <c r="N91" s="88" t="str">
        <f aca="false">IF(OR($C91="01-09",$D91="Male",AND(SUM($G91)=0,SUM($I91)=0)),"",SUM($I91)/SUM($G91))</f>
        <v/>
      </c>
      <c r="O91" s="88" t="str">
        <f aca="false">IF(AND(SUM($G91)=0,SUM($J91)=0),"",SUM($J91)/SUM($G91))</f>
        <v/>
      </c>
      <c r="P91" s="88" t="str">
        <f aca="false">IF(OR($C91="01-09",$C91="10-14",$D91="Female",AND(SUM($G91)=0,SUM($K91)=0)),"",SUM($K91)/SUM($G91))</f>
        <v/>
      </c>
      <c r="Q91" s="88"/>
      <c r="R91" s="88"/>
      <c r="S91" s="88"/>
      <c r="T91" s="88"/>
      <c r="U91" s="88"/>
      <c r="V91" s="88" t="str">
        <f aca="false">IF(SUM($G91)=0,"",SUM($M91:$U91))</f>
        <v/>
      </c>
      <c r="W91" s="88"/>
      <c r="X91" s="39" t="str">
        <f aca="false">IF(OR(SUM($G91)=0,SUM($Q91)=0),"",ROUND(SUM($G91)*SUM($Q91),0))</f>
        <v/>
      </c>
      <c r="Y91" s="39" t="str">
        <f aca="false">IF(SUM($X91)=0,"",IF(SUM($W91)=0,"ENTER YIELD",ROUND($X91/$W91,0)-$X91))</f>
        <v/>
      </c>
      <c r="Z91" s="88"/>
      <c r="AA91" s="39" t="str">
        <f aca="false">IF(OR(SUM($G91)=0,SUM($R91)=0),"",ROUND(SUM($G91)*SUM($R91),0))</f>
        <v/>
      </c>
      <c r="AB91" s="39" t="str">
        <f aca="false">IF(SUM($AA91)=0,"",IF(SUM($Z91)=0,"ENTER YIELD",ROUND($AA91/$Z91,0)-$AA91))</f>
        <v/>
      </c>
      <c r="AC91" s="88"/>
      <c r="AD91" s="39" t="str">
        <f aca="false">IF(OR(SUM($G91)=0,SUM($S91)=0),"",ROUND(SUM($G91)*SUM($S91),0))</f>
        <v/>
      </c>
      <c r="AE91" s="39" t="str">
        <f aca="false">IF(SUM($AD91)=0,"",IF(SUM($AC91)=0,"ENTER YIELD",ROUND($AD91/$AC91,0)-$AD91))</f>
        <v/>
      </c>
      <c r="AF91" s="88"/>
      <c r="AG91" s="39" t="str">
        <f aca="false">IF(OR(SUM($G91)=0,SUM($T91)=0),"",ROUND(SUM($G91)*SUM($T91),0))</f>
        <v/>
      </c>
      <c r="AH91" s="39" t="str">
        <f aca="false">IF(SUM($AG91)=0,"",IF(SUM($AF91)=0,"ENTER YIELD",ROUND($AG91/$AF91,0)-$AG91))</f>
        <v/>
      </c>
      <c r="AI91" s="88"/>
      <c r="AJ91" s="39" t="str">
        <f aca="false">IF(OR(SUM($G91)=0,SUM($U91)=0),"",ROUND(SUM($G91)*SUM($U91),0))</f>
        <v/>
      </c>
      <c r="AK91" s="39" t="str">
        <f aca="false">IF(SUM($AJ91)=0,"",IF(SUM($AI91)=0,"ENTER YIELD",ROUND($AJ91/$AI91,0)-$AJ91))</f>
        <v/>
      </c>
      <c r="AL91" s="10" t="str">
        <f aca="false">IF(SUM($G91)=0,"",$G91)</f>
        <v/>
      </c>
      <c r="AM91" s="10" t="str">
        <f aca="false">IFERROR(1/(1/SUM($H91:$K91,$X91,$AA91,$AD91,$AG91,$AJ91)),"")</f>
        <v/>
      </c>
      <c r="AN91" s="10" t="str">
        <f aca="false">IF(AND(SUM($AM91)=0,SUM($AL91)=0),"",$AM91-$AL91)</f>
        <v/>
      </c>
      <c r="AO91" s="10" t="str">
        <f aca="false">IF(OR($C91="01-09",$D91="Male"),"",INDEX(PMTCT!$AD:$AD,MATCH($E91,PMTCT!$E:$E,0)))</f>
        <v/>
      </c>
      <c r="AP91" s="10" t="str">
        <f aca="false">IF(OR($C91="01-09",$D91="Male"),"",INDEX(PMTCT!$AT:$AT,MATCH($E91,PMTCT!$E:$E,0)))</f>
        <v/>
      </c>
      <c r="AQ91" s="10" t="str">
        <f aca="false">INDEX(TB!$Q:$Q,MATCH($E91,TB!$E:$E,0))</f>
        <v/>
      </c>
      <c r="AR91" s="10" t="str">
        <f aca="false">IF(OR($C91="01-09",$C91="10-14",$D91="Female"),"",INDEX(VMMC!$AB:$AB,MATCH($E91,VMMC!$E:$E,0)))</f>
        <v/>
      </c>
      <c r="AS91" s="10" t="str">
        <f aca="false">IF(OR($C91="01-09",$C91="10-14"),"",INDEX(PrEP!$Q:$Q,MATCH($E91,PrEP!$E:$E,0)))</f>
        <v/>
      </c>
      <c r="AT91" s="10" t="str">
        <f aca="false">IFERROR(1/(1/SUM($Y91,$AB91,$AE91,$AH91,$AK91,$AO91:$AS91)),"")</f>
        <v/>
      </c>
      <c r="AU91" s="10" t="str">
        <f aca="false">IFERROR(1/(1/SUM($AT91,$AM91)),"")</f>
        <v/>
      </c>
      <c r="AV91" s="88" t="str">
        <f aca="false">IF(AND(SUM($AM91)=0,SUM($AU91)=0),"",$AM91/$AU91)</f>
        <v/>
      </c>
      <c r="AW91" s="10"/>
      <c r="AX91" s="88" t="str">
        <f aca="false">IF(OR($C91="01-09",SUM($AW91)=0),"",0%)</f>
        <v/>
      </c>
      <c r="AY91" s="39" t="str">
        <f aca="false">IF(OR($C91="01-09",SUM($AW91)=0),"",ROUND($AW91*(1+$AX91),0))</f>
        <v/>
      </c>
      <c r="AZ91" s="88" t="n">
        <f aca="false">IF(OR($C91="01-09",$C91="10-14"),"",100%)</f>
        <v>1</v>
      </c>
      <c r="BA91" s="39" t="str">
        <f aca="false">IF(OR(SUM($AM91)=0,$C91="01-09",$C91="10-14"),"",$AM91*$AZ91)</f>
        <v/>
      </c>
    </row>
    <row r="92" customFormat="false" ht="15" hidden="false" customHeight="false" outlineLevel="0" collapsed="false">
      <c r="A92" s="0" t="str">
        <f aca="false">INDEX(Prioritization!$D:$D,MATCH($B92,Prioritization!$A:$A,0))</f>
        <v>1 - Scale-up: Saturation</v>
      </c>
      <c r="B92" s="0" t="s">
        <v>200</v>
      </c>
      <c r="C92" s="0" t="s">
        <v>365</v>
      </c>
      <c r="D92" s="0" t="s">
        <v>48</v>
      </c>
      <c r="E92" s="0" t="str">
        <f aca="false">$B92&amp;"|"&amp;$C92&amp;"|"&amp;$D92</f>
        <v>Nkhotakota District [YCKiBAp8QAg]|15-24|Male</v>
      </c>
      <c r="F92" s="88" t="n">
        <f aca="false">IF(LEFT($B92,4)="_Mil","",INDEX(Cascade!$AA:$AA,MATCH($E92,Cascade!$E:$E,0)))</f>
        <v>1020</v>
      </c>
      <c r="G92" s="10" t="n">
        <f aca="false">INDEX(Cascade!$BH:$BH,MATCH($E92,Cascade!$E:$E,0))</f>
        <v>0</v>
      </c>
      <c r="H92" s="10" t="str">
        <f aca="false">IF(OR($C92="01-09",$D92="Male"),"",INDEX(PMTCT!$AC:$AC,MATCH($E92,PMTCT!$E:$E,0)))</f>
        <v/>
      </c>
      <c r="I92" s="10" t="str">
        <f aca="false">IF(OR($C92="01-09",$D92="Male"),"",INDEX(PMTCT!$AS:$AS,MATCH($E92,PMTCT!$E:$E,0)))</f>
        <v/>
      </c>
      <c r="J92" s="10" t="str">
        <f aca="false">INDEX(TB!$P:$P,MATCH($E92,TB!$E:$E,0))</f>
        <v/>
      </c>
      <c r="K92" s="10" t="str">
        <f aca="false">IF(OR($C92="01-09",$C92="10-14",$D92="Female"),"",INDEX(VMMC!$AA:$AA,MATCH($E92,VMMC!$E:$E,0)))</f>
        <v/>
      </c>
      <c r="L92" s="10" t="n">
        <f aca="false">SUM($G92)-SUM($H92:$K92)</f>
        <v>0</v>
      </c>
      <c r="M92" s="88" t="str">
        <f aca="false">IF(OR($C92="01-09",$D92="Male",AND(SUM($G92)=0,SUM($H92)=0)),"",SUM($H92)/SUM($G92))</f>
        <v/>
      </c>
      <c r="N92" s="88" t="str">
        <f aca="false">IF(OR($C92="01-09",$D92="Male",AND(SUM($G92)=0,SUM($I92)=0)),"",SUM($I92)/SUM($G92))</f>
        <v/>
      </c>
      <c r="O92" s="88" t="str">
        <f aca="false">IF(AND(SUM($G92)=0,SUM($J92)=0),"",SUM($J92)/SUM($G92))</f>
        <v/>
      </c>
      <c r="P92" s="88" t="str">
        <f aca="false">IF(OR($C92="01-09",$C92="10-14",$D92="Female",AND(SUM($G92)=0,SUM($K92)=0)),"",SUM($K92)/SUM($G92))</f>
        <v/>
      </c>
      <c r="Q92" s="88"/>
      <c r="R92" s="88"/>
      <c r="S92" s="88"/>
      <c r="T92" s="88"/>
      <c r="U92" s="88"/>
      <c r="V92" s="88" t="str">
        <f aca="false">IF(SUM($G92)=0,"",SUM($M92:$U92))</f>
        <v/>
      </c>
      <c r="W92" s="88"/>
      <c r="X92" s="39" t="str">
        <f aca="false">IF(OR(SUM($G92)=0,SUM($Q92)=0),"",ROUND(SUM($G92)*SUM($Q92),0))</f>
        <v/>
      </c>
      <c r="Y92" s="39" t="str">
        <f aca="false">IF(SUM($X92)=0,"",IF(SUM($W92)=0,"ENTER YIELD",ROUND($X92/$W92,0)-$X92))</f>
        <v/>
      </c>
      <c r="Z92" s="88"/>
      <c r="AA92" s="39" t="str">
        <f aca="false">IF(OR(SUM($G92)=0,SUM($R92)=0),"",ROUND(SUM($G92)*SUM($R92),0))</f>
        <v/>
      </c>
      <c r="AB92" s="39" t="str">
        <f aca="false">IF(SUM($AA92)=0,"",IF(SUM($Z92)=0,"ENTER YIELD",ROUND($AA92/$Z92,0)-$AA92))</f>
        <v/>
      </c>
      <c r="AC92" s="88"/>
      <c r="AD92" s="39" t="str">
        <f aca="false">IF(OR(SUM($G92)=0,SUM($S92)=0),"",ROUND(SUM($G92)*SUM($S92),0))</f>
        <v/>
      </c>
      <c r="AE92" s="39" t="str">
        <f aca="false">IF(SUM($AD92)=0,"",IF(SUM($AC92)=0,"ENTER YIELD",ROUND($AD92/$AC92,0)-$AD92))</f>
        <v/>
      </c>
      <c r="AF92" s="88"/>
      <c r="AG92" s="39" t="str">
        <f aca="false">IF(OR(SUM($G92)=0,SUM($T92)=0),"",ROUND(SUM($G92)*SUM($T92),0))</f>
        <v/>
      </c>
      <c r="AH92" s="39" t="str">
        <f aca="false">IF(SUM($AG92)=0,"",IF(SUM($AF92)=0,"ENTER YIELD",ROUND($AG92/$AF92,0)-$AG92))</f>
        <v/>
      </c>
      <c r="AI92" s="88"/>
      <c r="AJ92" s="39" t="str">
        <f aca="false">IF(OR(SUM($G92)=0,SUM($U92)=0),"",ROUND(SUM($G92)*SUM($U92),0))</f>
        <v/>
      </c>
      <c r="AK92" s="39" t="str">
        <f aca="false">IF(SUM($AJ92)=0,"",IF(SUM($AI92)=0,"ENTER YIELD",ROUND($AJ92/$AI92,0)-$AJ92))</f>
        <v/>
      </c>
      <c r="AL92" s="10" t="str">
        <f aca="false">IF(SUM($G92)=0,"",$G92)</f>
        <v/>
      </c>
      <c r="AM92" s="10" t="str">
        <f aca="false">IFERROR(1/(1/SUM($H92:$K92,$X92,$AA92,$AD92,$AG92,$AJ92)),"")</f>
        <v/>
      </c>
      <c r="AN92" s="10" t="str">
        <f aca="false">IF(AND(SUM($AM92)=0,SUM($AL92)=0),"",$AM92-$AL92)</f>
        <v/>
      </c>
      <c r="AO92" s="10" t="str">
        <f aca="false">IF(OR($C92="01-09",$D92="Male"),"",INDEX(PMTCT!$AD:$AD,MATCH($E92,PMTCT!$E:$E,0)))</f>
        <v/>
      </c>
      <c r="AP92" s="10" t="str">
        <f aca="false">IF(OR($C92="01-09",$D92="Male"),"",INDEX(PMTCT!$AT:$AT,MATCH($E92,PMTCT!$E:$E,0)))</f>
        <v/>
      </c>
      <c r="AQ92" s="10" t="str">
        <f aca="false">INDEX(TB!$Q:$Q,MATCH($E92,TB!$E:$E,0))</f>
        <v/>
      </c>
      <c r="AR92" s="10" t="str">
        <f aca="false">IF(OR($C92="01-09",$C92="10-14",$D92="Female"),"",INDEX(VMMC!$AB:$AB,MATCH($E92,VMMC!$E:$E,0)))</f>
        <v/>
      </c>
      <c r="AS92" s="10" t="str">
        <f aca="false">IF(OR($C92="01-09",$C92="10-14"),"",INDEX(PrEP!$Q:$Q,MATCH($E92,PrEP!$E:$E,0)))</f>
        <v/>
      </c>
      <c r="AT92" s="10" t="str">
        <f aca="false">IFERROR(1/(1/SUM($Y92,$AB92,$AE92,$AH92,$AK92,$AO92:$AS92)),"")</f>
        <v/>
      </c>
      <c r="AU92" s="10" t="str">
        <f aca="false">IFERROR(1/(1/SUM($AT92,$AM92)),"")</f>
        <v/>
      </c>
      <c r="AV92" s="88" t="str">
        <f aca="false">IF(AND(SUM($AM92)=0,SUM($AU92)=0),"",$AM92/$AU92)</f>
        <v/>
      </c>
      <c r="AW92" s="10"/>
      <c r="AX92" s="88" t="str">
        <f aca="false">IF(OR($C92="01-09",SUM($AW92)=0),"",0%)</f>
        <v/>
      </c>
      <c r="AY92" s="39" t="str">
        <f aca="false">IF(OR($C92="01-09",SUM($AW92)=0),"",ROUND($AW92*(1+$AX92),0))</f>
        <v/>
      </c>
      <c r="AZ92" s="88" t="n">
        <f aca="false">IF(OR($C92="01-09",$C92="10-14"),"",100%)</f>
        <v>1</v>
      </c>
      <c r="BA92" s="39" t="str">
        <f aca="false">IF(OR(SUM($AM92)=0,$C92="01-09",$C92="10-14"),"",$AM92*$AZ92)</f>
        <v/>
      </c>
    </row>
    <row r="93" customFormat="false" ht="15" hidden="false" customHeight="false" outlineLevel="0" collapsed="false">
      <c r="A93" s="0" t="str">
        <f aca="false">INDEX(Prioritization!$D:$D,MATCH($B93,Prioritization!$A:$A,0))</f>
        <v>1 - Scale-up: Saturation</v>
      </c>
      <c r="B93" s="0" t="s">
        <v>200</v>
      </c>
      <c r="C93" s="0" t="s">
        <v>366</v>
      </c>
      <c r="D93" s="0" t="s">
        <v>30</v>
      </c>
      <c r="E93" s="0" t="str">
        <f aca="false">$B93&amp;"|"&amp;$C93&amp;"|"&amp;$D93</f>
        <v>Nkhotakota District [YCKiBAp8QAg]|25-34|Female</v>
      </c>
      <c r="F93" s="88" t="n">
        <f aca="false">IF(LEFT($B93,4)="_Mil","",INDEX(Cascade!$AA:$AA,MATCH($E93,Cascade!$E:$E,0)))</f>
        <v>990</v>
      </c>
      <c r="G93" s="10" t="n">
        <f aca="false">INDEX(Cascade!$BH:$BH,MATCH($E93,Cascade!$E:$E,0))</f>
        <v>0</v>
      </c>
      <c r="H93" s="10" t="str">
        <f aca="false">IF(OR($C93="01-09",$D93="Male"),"",INDEX(PMTCT!$AC:$AC,MATCH($E93,PMTCT!$E:$E,0)))</f>
        <v/>
      </c>
      <c r="I93" s="10" t="str">
        <f aca="false">IF(OR($C93="01-09",$D93="Male"),"",INDEX(PMTCT!$AS:$AS,MATCH($E93,PMTCT!$E:$E,0)))</f>
        <v/>
      </c>
      <c r="J93" s="10" t="str">
        <f aca="false">INDEX(TB!$P:$P,MATCH($E93,TB!$E:$E,0))</f>
        <v/>
      </c>
      <c r="K93" s="10" t="str">
        <f aca="false">IF(OR($C93="01-09",$C93="10-14",$D93="Female"),"",INDEX(VMMC!$AA:$AA,MATCH($E93,VMMC!$E:$E,0)))</f>
        <v/>
      </c>
      <c r="L93" s="10" t="n">
        <f aca="false">SUM($G93)-SUM($H93:$K93)</f>
        <v>0</v>
      </c>
      <c r="M93" s="88" t="str">
        <f aca="false">IF(OR($C93="01-09",$D93="Male",AND(SUM($G93)=0,SUM($H93)=0)),"",SUM($H93)/SUM($G93))</f>
        <v/>
      </c>
      <c r="N93" s="88" t="str">
        <f aca="false">IF(OR($C93="01-09",$D93="Male",AND(SUM($G93)=0,SUM($I93)=0)),"",SUM($I93)/SUM($G93))</f>
        <v/>
      </c>
      <c r="O93" s="88" t="str">
        <f aca="false">IF(AND(SUM($G93)=0,SUM($J93)=0),"",SUM($J93)/SUM($G93))</f>
        <v/>
      </c>
      <c r="P93" s="88" t="str">
        <f aca="false">IF(OR($C93="01-09",$C93="10-14",$D93="Female",AND(SUM($G93)=0,SUM($K93)=0)),"",SUM($K93)/SUM($G93))</f>
        <v/>
      </c>
      <c r="Q93" s="88"/>
      <c r="R93" s="88"/>
      <c r="S93" s="88"/>
      <c r="T93" s="88"/>
      <c r="U93" s="88"/>
      <c r="V93" s="88" t="str">
        <f aca="false">IF(SUM($G93)=0,"",SUM($M93:$U93))</f>
        <v/>
      </c>
      <c r="W93" s="88"/>
      <c r="X93" s="39" t="str">
        <f aca="false">IF(OR(SUM($G93)=0,SUM($Q93)=0),"",ROUND(SUM($G93)*SUM($Q93),0))</f>
        <v/>
      </c>
      <c r="Y93" s="39" t="str">
        <f aca="false">IF(SUM($X93)=0,"",IF(SUM($W93)=0,"ENTER YIELD",ROUND($X93/$W93,0)-$X93))</f>
        <v/>
      </c>
      <c r="Z93" s="88"/>
      <c r="AA93" s="39" t="str">
        <f aca="false">IF(OR(SUM($G93)=0,SUM($R93)=0),"",ROUND(SUM($G93)*SUM($R93),0))</f>
        <v/>
      </c>
      <c r="AB93" s="39" t="str">
        <f aca="false">IF(SUM($AA93)=0,"",IF(SUM($Z93)=0,"ENTER YIELD",ROUND($AA93/$Z93,0)-$AA93))</f>
        <v/>
      </c>
      <c r="AC93" s="88"/>
      <c r="AD93" s="39" t="str">
        <f aca="false">IF(OR(SUM($G93)=0,SUM($S93)=0),"",ROUND(SUM($G93)*SUM($S93),0))</f>
        <v/>
      </c>
      <c r="AE93" s="39" t="str">
        <f aca="false">IF(SUM($AD93)=0,"",IF(SUM($AC93)=0,"ENTER YIELD",ROUND($AD93/$AC93,0)-$AD93))</f>
        <v/>
      </c>
      <c r="AF93" s="88"/>
      <c r="AG93" s="39" t="str">
        <f aca="false">IF(OR(SUM($G93)=0,SUM($T93)=0),"",ROUND(SUM($G93)*SUM($T93),0))</f>
        <v/>
      </c>
      <c r="AH93" s="39" t="str">
        <f aca="false">IF(SUM($AG93)=0,"",IF(SUM($AF93)=0,"ENTER YIELD",ROUND($AG93/$AF93,0)-$AG93))</f>
        <v/>
      </c>
      <c r="AI93" s="88"/>
      <c r="AJ93" s="39" t="str">
        <f aca="false">IF(OR(SUM($G93)=0,SUM($U93)=0),"",ROUND(SUM($G93)*SUM($U93),0))</f>
        <v/>
      </c>
      <c r="AK93" s="39" t="str">
        <f aca="false">IF(SUM($AJ93)=0,"",IF(SUM($AI93)=0,"ENTER YIELD",ROUND($AJ93/$AI93,0)-$AJ93))</f>
        <v/>
      </c>
      <c r="AL93" s="10" t="str">
        <f aca="false">IF(SUM($G93)=0,"",$G93)</f>
        <v/>
      </c>
      <c r="AM93" s="10" t="str">
        <f aca="false">IFERROR(1/(1/SUM($H93:$K93,$X93,$AA93,$AD93,$AG93,$AJ93)),"")</f>
        <v/>
      </c>
      <c r="AN93" s="10" t="str">
        <f aca="false">IF(AND(SUM($AM93)=0,SUM($AL93)=0),"",$AM93-$AL93)</f>
        <v/>
      </c>
      <c r="AO93" s="10" t="str">
        <f aca="false">IF(OR($C93="01-09",$D93="Male"),"",INDEX(PMTCT!$AD:$AD,MATCH($E93,PMTCT!$E:$E,0)))</f>
        <v/>
      </c>
      <c r="AP93" s="10" t="str">
        <f aca="false">IF(OR($C93="01-09",$D93="Male"),"",INDEX(PMTCT!$AT:$AT,MATCH($E93,PMTCT!$E:$E,0)))</f>
        <v/>
      </c>
      <c r="AQ93" s="10" t="str">
        <f aca="false">INDEX(TB!$Q:$Q,MATCH($E93,TB!$E:$E,0))</f>
        <v/>
      </c>
      <c r="AR93" s="10" t="str">
        <f aca="false">IF(OR($C93="01-09",$C93="10-14",$D93="Female"),"",INDEX(VMMC!$AB:$AB,MATCH($E93,VMMC!$E:$E,0)))</f>
        <v/>
      </c>
      <c r="AS93" s="10" t="str">
        <f aca="false">IF(OR($C93="01-09",$C93="10-14"),"",INDEX(PrEP!$Q:$Q,MATCH($E93,PrEP!$E:$E,0)))</f>
        <v/>
      </c>
      <c r="AT93" s="10" t="str">
        <f aca="false">IFERROR(1/(1/SUM($Y93,$AB93,$AE93,$AH93,$AK93,$AO93:$AS93)),"")</f>
        <v/>
      </c>
      <c r="AU93" s="10" t="str">
        <f aca="false">IFERROR(1/(1/SUM($AT93,$AM93)),"")</f>
        <v/>
      </c>
      <c r="AV93" s="88" t="str">
        <f aca="false">IF(AND(SUM($AM93)=0,SUM($AU93)=0),"",$AM93/$AU93)</f>
        <v/>
      </c>
      <c r="AW93" s="10"/>
      <c r="AX93" s="88" t="str">
        <f aca="false">IF(OR($C93="01-09",SUM($AW93)=0),"",0%)</f>
        <v/>
      </c>
      <c r="AY93" s="39" t="str">
        <f aca="false">IF(OR($C93="01-09",SUM($AW93)=0),"",ROUND($AW93*(1+$AX93),0))</f>
        <v/>
      </c>
      <c r="AZ93" s="88" t="n">
        <f aca="false">IF(OR($C93="01-09",$C93="10-14"),"",100%)</f>
        <v>1</v>
      </c>
      <c r="BA93" s="39" t="str">
        <f aca="false">IF(OR(SUM($AM93)=0,$C93="01-09",$C93="10-14"),"",$AM93*$AZ93)</f>
        <v/>
      </c>
    </row>
    <row r="94" customFormat="false" ht="15" hidden="false" customHeight="false" outlineLevel="0" collapsed="false">
      <c r="A94" s="0" t="str">
        <f aca="false">INDEX(Prioritization!$D:$D,MATCH($B94,Prioritization!$A:$A,0))</f>
        <v>1 - Scale-up: Saturation</v>
      </c>
      <c r="B94" s="0" t="s">
        <v>200</v>
      </c>
      <c r="C94" s="0" t="s">
        <v>366</v>
      </c>
      <c r="D94" s="0" t="s">
        <v>48</v>
      </c>
      <c r="E94" s="0" t="str">
        <f aca="false">$B94&amp;"|"&amp;$C94&amp;"|"&amp;$D94</f>
        <v>Nkhotakota District [YCKiBAp8QAg]|25-34|Male</v>
      </c>
      <c r="F94" s="88" t="n">
        <f aca="false">IF(LEFT($B94,4)="_Mil","",INDEX(Cascade!$AA:$AA,MATCH($E94,Cascade!$E:$E,0)))</f>
        <v>1603</v>
      </c>
      <c r="G94" s="10" t="n">
        <f aca="false">INDEX(Cascade!$BH:$BH,MATCH($E94,Cascade!$E:$E,0))</f>
        <v>0</v>
      </c>
      <c r="H94" s="10" t="str">
        <f aca="false">IF(OR($C94="01-09",$D94="Male"),"",INDEX(PMTCT!$AC:$AC,MATCH($E94,PMTCT!$E:$E,0)))</f>
        <v/>
      </c>
      <c r="I94" s="10" t="str">
        <f aca="false">IF(OR($C94="01-09",$D94="Male"),"",INDEX(PMTCT!$AS:$AS,MATCH($E94,PMTCT!$E:$E,0)))</f>
        <v/>
      </c>
      <c r="J94" s="10" t="str">
        <f aca="false">INDEX(TB!$P:$P,MATCH($E94,TB!$E:$E,0))</f>
        <v/>
      </c>
      <c r="K94" s="10" t="str">
        <f aca="false">IF(OR($C94="01-09",$C94="10-14",$D94="Female"),"",INDEX(VMMC!$AA:$AA,MATCH($E94,VMMC!$E:$E,0)))</f>
        <v/>
      </c>
      <c r="L94" s="10" t="n">
        <f aca="false">SUM($G94)-SUM($H94:$K94)</f>
        <v>0</v>
      </c>
      <c r="M94" s="88" t="str">
        <f aca="false">IF(OR($C94="01-09",$D94="Male",AND(SUM($G94)=0,SUM($H94)=0)),"",SUM($H94)/SUM($G94))</f>
        <v/>
      </c>
      <c r="N94" s="88" t="str">
        <f aca="false">IF(OR($C94="01-09",$D94="Male",AND(SUM($G94)=0,SUM($I94)=0)),"",SUM($I94)/SUM($G94))</f>
        <v/>
      </c>
      <c r="O94" s="88" t="str">
        <f aca="false">IF(AND(SUM($G94)=0,SUM($J94)=0),"",SUM($J94)/SUM($G94))</f>
        <v/>
      </c>
      <c r="P94" s="88" t="str">
        <f aca="false">IF(OR($C94="01-09",$C94="10-14",$D94="Female",AND(SUM($G94)=0,SUM($K94)=0)),"",SUM($K94)/SUM($G94))</f>
        <v/>
      </c>
      <c r="Q94" s="88"/>
      <c r="R94" s="88"/>
      <c r="S94" s="88"/>
      <c r="T94" s="88"/>
      <c r="U94" s="88"/>
      <c r="V94" s="88" t="str">
        <f aca="false">IF(SUM($G94)=0,"",SUM($M94:$U94))</f>
        <v/>
      </c>
      <c r="W94" s="88"/>
      <c r="X94" s="39" t="str">
        <f aca="false">IF(OR(SUM($G94)=0,SUM($Q94)=0),"",ROUND(SUM($G94)*SUM($Q94),0))</f>
        <v/>
      </c>
      <c r="Y94" s="39" t="str">
        <f aca="false">IF(SUM($X94)=0,"",IF(SUM($W94)=0,"ENTER YIELD",ROUND($X94/$W94,0)-$X94))</f>
        <v/>
      </c>
      <c r="Z94" s="88"/>
      <c r="AA94" s="39" t="str">
        <f aca="false">IF(OR(SUM($G94)=0,SUM($R94)=0),"",ROUND(SUM($G94)*SUM($R94),0))</f>
        <v/>
      </c>
      <c r="AB94" s="39" t="str">
        <f aca="false">IF(SUM($AA94)=0,"",IF(SUM($Z94)=0,"ENTER YIELD",ROUND($AA94/$Z94,0)-$AA94))</f>
        <v/>
      </c>
      <c r="AC94" s="88"/>
      <c r="AD94" s="39" t="str">
        <f aca="false">IF(OR(SUM($G94)=0,SUM($S94)=0),"",ROUND(SUM($G94)*SUM($S94),0))</f>
        <v/>
      </c>
      <c r="AE94" s="39" t="str">
        <f aca="false">IF(SUM($AD94)=0,"",IF(SUM($AC94)=0,"ENTER YIELD",ROUND($AD94/$AC94,0)-$AD94))</f>
        <v/>
      </c>
      <c r="AF94" s="88"/>
      <c r="AG94" s="39" t="str">
        <f aca="false">IF(OR(SUM($G94)=0,SUM($T94)=0),"",ROUND(SUM($G94)*SUM($T94),0))</f>
        <v/>
      </c>
      <c r="AH94" s="39" t="str">
        <f aca="false">IF(SUM($AG94)=0,"",IF(SUM($AF94)=0,"ENTER YIELD",ROUND($AG94/$AF94,0)-$AG94))</f>
        <v/>
      </c>
      <c r="AI94" s="88"/>
      <c r="AJ94" s="39" t="str">
        <f aca="false">IF(OR(SUM($G94)=0,SUM($U94)=0),"",ROUND(SUM($G94)*SUM($U94),0))</f>
        <v/>
      </c>
      <c r="AK94" s="39" t="str">
        <f aca="false">IF(SUM($AJ94)=0,"",IF(SUM($AI94)=0,"ENTER YIELD",ROUND($AJ94/$AI94,0)-$AJ94))</f>
        <v/>
      </c>
      <c r="AL94" s="10" t="str">
        <f aca="false">IF(SUM($G94)=0,"",$G94)</f>
        <v/>
      </c>
      <c r="AM94" s="10" t="str">
        <f aca="false">IFERROR(1/(1/SUM($H94:$K94,$X94,$AA94,$AD94,$AG94,$AJ94)),"")</f>
        <v/>
      </c>
      <c r="AN94" s="10" t="str">
        <f aca="false">IF(AND(SUM($AM94)=0,SUM($AL94)=0),"",$AM94-$AL94)</f>
        <v/>
      </c>
      <c r="AO94" s="10" t="str">
        <f aca="false">IF(OR($C94="01-09",$D94="Male"),"",INDEX(PMTCT!$AD:$AD,MATCH($E94,PMTCT!$E:$E,0)))</f>
        <v/>
      </c>
      <c r="AP94" s="10" t="str">
        <f aca="false">IF(OR($C94="01-09",$D94="Male"),"",INDEX(PMTCT!$AT:$AT,MATCH($E94,PMTCT!$E:$E,0)))</f>
        <v/>
      </c>
      <c r="AQ94" s="10" t="str">
        <f aca="false">INDEX(TB!$Q:$Q,MATCH($E94,TB!$E:$E,0))</f>
        <v/>
      </c>
      <c r="AR94" s="10" t="str">
        <f aca="false">IF(OR($C94="01-09",$C94="10-14",$D94="Female"),"",INDEX(VMMC!$AB:$AB,MATCH($E94,VMMC!$E:$E,0)))</f>
        <v/>
      </c>
      <c r="AS94" s="10" t="str">
        <f aca="false">IF(OR($C94="01-09",$C94="10-14"),"",INDEX(PrEP!$Q:$Q,MATCH($E94,PrEP!$E:$E,0)))</f>
        <v/>
      </c>
      <c r="AT94" s="10" t="str">
        <f aca="false">IFERROR(1/(1/SUM($Y94,$AB94,$AE94,$AH94,$AK94,$AO94:$AS94)),"")</f>
        <v/>
      </c>
      <c r="AU94" s="10" t="str">
        <f aca="false">IFERROR(1/(1/SUM($AT94,$AM94)),"")</f>
        <v/>
      </c>
      <c r="AV94" s="88" t="str">
        <f aca="false">IF(AND(SUM($AM94)=0,SUM($AU94)=0),"",$AM94/$AU94)</f>
        <v/>
      </c>
      <c r="AW94" s="10"/>
      <c r="AX94" s="88" t="str">
        <f aca="false">IF(OR($C94="01-09",SUM($AW94)=0),"",0%)</f>
        <v/>
      </c>
      <c r="AY94" s="39" t="str">
        <f aca="false">IF(OR($C94="01-09",SUM($AW94)=0),"",ROUND($AW94*(1+$AX94),0))</f>
        <v/>
      </c>
      <c r="AZ94" s="88" t="n">
        <f aca="false">IF(OR($C94="01-09",$C94="10-14"),"",100%)</f>
        <v>1</v>
      </c>
      <c r="BA94" s="39" t="str">
        <f aca="false">IF(OR(SUM($AM94)=0,$C94="01-09",$C94="10-14"),"",$AM94*$AZ94)</f>
        <v/>
      </c>
    </row>
    <row r="95" customFormat="false" ht="15" hidden="false" customHeight="false" outlineLevel="0" collapsed="false">
      <c r="A95" s="0" t="str">
        <f aca="false">INDEX(Prioritization!$D:$D,MATCH($B95,Prioritization!$A:$A,0))</f>
        <v>1 - Scale-up: Saturation</v>
      </c>
      <c r="B95" s="0" t="s">
        <v>200</v>
      </c>
      <c r="C95" s="0" t="s">
        <v>367</v>
      </c>
      <c r="D95" s="0" t="s">
        <v>30</v>
      </c>
      <c r="E95" s="0" t="str">
        <f aca="false">$B95&amp;"|"&amp;$C95&amp;"|"&amp;$D95</f>
        <v>Nkhotakota District [YCKiBAp8QAg]|35-49|Female</v>
      </c>
      <c r="F95" s="88" t="n">
        <f aca="false">IF(LEFT($B95,4)="_Mil","",INDEX(Cascade!$AA:$AA,MATCH($E95,Cascade!$E:$E,0)))</f>
        <v>667</v>
      </c>
      <c r="G95" s="10" t="n">
        <f aca="false">INDEX(Cascade!$BH:$BH,MATCH($E95,Cascade!$E:$E,0))</f>
        <v>0</v>
      </c>
      <c r="H95" s="10" t="str">
        <f aca="false">IF(OR($C95="01-09",$D95="Male"),"",INDEX(PMTCT!$AC:$AC,MATCH($E95,PMTCT!$E:$E,0)))</f>
        <v/>
      </c>
      <c r="I95" s="10" t="str">
        <f aca="false">IF(OR($C95="01-09",$D95="Male"),"",INDEX(PMTCT!$AS:$AS,MATCH($E95,PMTCT!$E:$E,0)))</f>
        <v/>
      </c>
      <c r="J95" s="10" t="str">
        <f aca="false">INDEX(TB!$P:$P,MATCH($E95,TB!$E:$E,0))</f>
        <v/>
      </c>
      <c r="K95" s="10" t="str">
        <f aca="false">IF(OR($C95="01-09",$C95="10-14",$D95="Female"),"",INDEX(VMMC!$AA:$AA,MATCH($E95,VMMC!$E:$E,0)))</f>
        <v/>
      </c>
      <c r="L95" s="10" t="n">
        <f aca="false">SUM($G95)-SUM($H95:$K95)</f>
        <v>0</v>
      </c>
      <c r="M95" s="88" t="str">
        <f aca="false">IF(OR($C95="01-09",$D95="Male",AND(SUM($G95)=0,SUM($H95)=0)),"",SUM($H95)/SUM($G95))</f>
        <v/>
      </c>
      <c r="N95" s="88" t="str">
        <f aca="false">IF(OR($C95="01-09",$D95="Male",AND(SUM($G95)=0,SUM($I95)=0)),"",SUM($I95)/SUM($G95))</f>
        <v/>
      </c>
      <c r="O95" s="88" t="str">
        <f aca="false">IF(AND(SUM($G95)=0,SUM($J95)=0),"",SUM($J95)/SUM($G95))</f>
        <v/>
      </c>
      <c r="P95" s="88" t="str">
        <f aca="false">IF(OR($C95="01-09",$C95="10-14",$D95="Female",AND(SUM($G95)=0,SUM($K95)=0)),"",SUM($K95)/SUM($G95))</f>
        <v/>
      </c>
      <c r="Q95" s="88"/>
      <c r="R95" s="88"/>
      <c r="S95" s="88"/>
      <c r="T95" s="88"/>
      <c r="U95" s="88"/>
      <c r="V95" s="88" t="str">
        <f aca="false">IF(SUM($G95)=0,"",SUM($M95:$U95))</f>
        <v/>
      </c>
      <c r="W95" s="88"/>
      <c r="X95" s="39" t="str">
        <f aca="false">IF(OR(SUM($G95)=0,SUM($Q95)=0),"",ROUND(SUM($G95)*SUM($Q95),0))</f>
        <v/>
      </c>
      <c r="Y95" s="39" t="str">
        <f aca="false">IF(SUM($X95)=0,"",IF(SUM($W95)=0,"ENTER YIELD",ROUND($X95/$W95,0)-$X95))</f>
        <v/>
      </c>
      <c r="Z95" s="88"/>
      <c r="AA95" s="39" t="str">
        <f aca="false">IF(OR(SUM($G95)=0,SUM($R95)=0),"",ROUND(SUM($G95)*SUM($R95),0))</f>
        <v/>
      </c>
      <c r="AB95" s="39" t="str">
        <f aca="false">IF(SUM($AA95)=0,"",IF(SUM($Z95)=0,"ENTER YIELD",ROUND($AA95/$Z95,0)-$AA95))</f>
        <v/>
      </c>
      <c r="AC95" s="88"/>
      <c r="AD95" s="39" t="str">
        <f aca="false">IF(OR(SUM($G95)=0,SUM($S95)=0),"",ROUND(SUM($G95)*SUM($S95),0))</f>
        <v/>
      </c>
      <c r="AE95" s="39" t="str">
        <f aca="false">IF(SUM($AD95)=0,"",IF(SUM($AC95)=0,"ENTER YIELD",ROUND($AD95/$AC95,0)-$AD95))</f>
        <v/>
      </c>
      <c r="AF95" s="88"/>
      <c r="AG95" s="39" t="str">
        <f aca="false">IF(OR(SUM($G95)=0,SUM($T95)=0),"",ROUND(SUM($G95)*SUM($T95),0))</f>
        <v/>
      </c>
      <c r="AH95" s="39" t="str">
        <f aca="false">IF(SUM($AG95)=0,"",IF(SUM($AF95)=0,"ENTER YIELD",ROUND($AG95/$AF95,0)-$AG95))</f>
        <v/>
      </c>
      <c r="AI95" s="88"/>
      <c r="AJ95" s="39" t="str">
        <f aca="false">IF(OR(SUM($G95)=0,SUM($U95)=0),"",ROUND(SUM($G95)*SUM($U95),0))</f>
        <v/>
      </c>
      <c r="AK95" s="39" t="str">
        <f aca="false">IF(SUM($AJ95)=0,"",IF(SUM($AI95)=0,"ENTER YIELD",ROUND($AJ95/$AI95,0)-$AJ95))</f>
        <v/>
      </c>
      <c r="AL95" s="10" t="str">
        <f aca="false">IF(SUM($G95)=0,"",$G95)</f>
        <v/>
      </c>
      <c r="AM95" s="10" t="str">
        <f aca="false">IFERROR(1/(1/SUM($H95:$K95,$X95,$AA95,$AD95,$AG95,$AJ95)),"")</f>
        <v/>
      </c>
      <c r="AN95" s="10" t="str">
        <f aca="false">IF(AND(SUM($AM95)=0,SUM($AL95)=0),"",$AM95-$AL95)</f>
        <v/>
      </c>
      <c r="AO95" s="10" t="str">
        <f aca="false">IF(OR($C95="01-09",$D95="Male"),"",INDEX(PMTCT!$AD:$AD,MATCH($E95,PMTCT!$E:$E,0)))</f>
        <v/>
      </c>
      <c r="AP95" s="10" t="str">
        <f aca="false">IF(OR($C95="01-09",$D95="Male"),"",INDEX(PMTCT!$AT:$AT,MATCH($E95,PMTCT!$E:$E,0)))</f>
        <v/>
      </c>
      <c r="AQ95" s="10" t="str">
        <f aca="false">INDEX(TB!$Q:$Q,MATCH($E95,TB!$E:$E,0))</f>
        <v/>
      </c>
      <c r="AR95" s="10" t="str">
        <f aca="false">IF(OR($C95="01-09",$C95="10-14",$D95="Female"),"",INDEX(VMMC!$AB:$AB,MATCH($E95,VMMC!$E:$E,0)))</f>
        <v/>
      </c>
      <c r="AS95" s="10" t="str">
        <f aca="false">IF(OR($C95="01-09",$C95="10-14"),"",INDEX(PrEP!$Q:$Q,MATCH($E95,PrEP!$E:$E,0)))</f>
        <v/>
      </c>
      <c r="AT95" s="10" t="str">
        <f aca="false">IFERROR(1/(1/SUM($Y95,$AB95,$AE95,$AH95,$AK95,$AO95:$AS95)),"")</f>
        <v/>
      </c>
      <c r="AU95" s="10" t="str">
        <f aca="false">IFERROR(1/(1/SUM($AT95,$AM95)),"")</f>
        <v/>
      </c>
      <c r="AV95" s="88" t="str">
        <f aca="false">IF(AND(SUM($AM95)=0,SUM($AU95)=0),"",$AM95/$AU95)</f>
        <v/>
      </c>
      <c r="AW95" s="10"/>
      <c r="AX95" s="88" t="str">
        <f aca="false">IF(OR($C95="01-09",SUM($AW95)=0),"",0%)</f>
        <v/>
      </c>
      <c r="AY95" s="39" t="str">
        <f aca="false">IF(OR($C95="01-09",SUM($AW95)=0),"",ROUND($AW95*(1+$AX95),0))</f>
        <v/>
      </c>
      <c r="AZ95" s="88" t="n">
        <f aca="false">IF(OR($C95="01-09",$C95="10-14"),"",100%)</f>
        <v>1</v>
      </c>
      <c r="BA95" s="39" t="str">
        <f aca="false">IF(OR(SUM($AM95)=0,$C95="01-09",$C95="10-14"),"",$AM95*$AZ95)</f>
        <v/>
      </c>
    </row>
    <row r="96" customFormat="false" ht="15" hidden="false" customHeight="false" outlineLevel="0" collapsed="false">
      <c r="A96" s="0" t="str">
        <f aca="false">INDEX(Prioritization!$D:$D,MATCH($B96,Prioritization!$A:$A,0))</f>
        <v>1 - Scale-up: Saturation</v>
      </c>
      <c r="B96" s="0" t="s">
        <v>200</v>
      </c>
      <c r="C96" s="0" t="s">
        <v>367</v>
      </c>
      <c r="D96" s="0" t="s">
        <v>48</v>
      </c>
      <c r="E96" s="0" t="str">
        <f aca="false">$B96&amp;"|"&amp;$C96&amp;"|"&amp;$D96</f>
        <v>Nkhotakota District [YCKiBAp8QAg]|35-49|Male</v>
      </c>
      <c r="F96" s="88" t="n">
        <f aca="false">IF(LEFT($B96,4)="_Mil","",INDEX(Cascade!$AA:$AA,MATCH($E96,Cascade!$E:$E,0)))</f>
        <v>1398</v>
      </c>
      <c r="G96" s="10" t="n">
        <f aca="false">INDEX(Cascade!$BH:$BH,MATCH($E96,Cascade!$E:$E,0))</f>
        <v>0</v>
      </c>
      <c r="H96" s="10" t="str">
        <f aca="false">IF(OR($C96="01-09",$D96="Male"),"",INDEX(PMTCT!$AC:$AC,MATCH($E96,PMTCT!$E:$E,0)))</f>
        <v/>
      </c>
      <c r="I96" s="10" t="str">
        <f aca="false">IF(OR($C96="01-09",$D96="Male"),"",INDEX(PMTCT!$AS:$AS,MATCH($E96,PMTCT!$E:$E,0)))</f>
        <v/>
      </c>
      <c r="J96" s="10" t="str">
        <f aca="false">INDEX(TB!$P:$P,MATCH($E96,TB!$E:$E,0))</f>
        <v/>
      </c>
      <c r="K96" s="10" t="str">
        <f aca="false">IF(OR($C96="01-09",$C96="10-14",$D96="Female"),"",INDEX(VMMC!$AA:$AA,MATCH($E96,VMMC!$E:$E,0)))</f>
        <v/>
      </c>
      <c r="L96" s="10" t="n">
        <f aca="false">SUM($G96)-SUM($H96:$K96)</f>
        <v>0</v>
      </c>
      <c r="M96" s="88" t="str">
        <f aca="false">IF(OR($C96="01-09",$D96="Male",AND(SUM($G96)=0,SUM($H96)=0)),"",SUM($H96)/SUM($G96))</f>
        <v/>
      </c>
      <c r="N96" s="88" t="str">
        <f aca="false">IF(OR($C96="01-09",$D96="Male",AND(SUM($G96)=0,SUM($I96)=0)),"",SUM($I96)/SUM($G96))</f>
        <v/>
      </c>
      <c r="O96" s="88" t="str">
        <f aca="false">IF(AND(SUM($G96)=0,SUM($J96)=0),"",SUM($J96)/SUM($G96))</f>
        <v/>
      </c>
      <c r="P96" s="88" t="str">
        <f aca="false">IF(OR($C96="01-09",$C96="10-14",$D96="Female",AND(SUM($G96)=0,SUM($K96)=0)),"",SUM($K96)/SUM($G96))</f>
        <v/>
      </c>
      <c r="Q96" s="88"/>
      <c r="R96" s="88"/>
      <c r="S96" s="88"/>
      <c r="T96" s="88"/>
      <c r="U96" s="88"/>
      <c r="V96" s="88" t="str">
        <f aca="false">IF(SUM($G96)=0,"",SUM($M96:$U96))</f>
        <v/>
      </c>
      <c r="W96" s="88"/>
      <c r="X96" s="39" t="str">
        <f aca="false">IF(OR(SUM($G96)=0,SUM($Q96)=0),"",ROUND(SUM($G96)*SUM($Q96),0))</f>
        <v/>
      </c>
      <c r="Y96" s="39" t="str">
        <f aca="false">IF(SUM($X96)=0,"",IF(SUM($W96)=0,"ENTER YIELD",ROUND($X96/$W96,0)-$X96))</f>
        <v/>
      </c>
      <c r="Z96" s="88"/>
      <c r="AA96" s="39" t="str">
        <f aca="false">IF(OR(SUM($G96)=0,SUM($R96)=0),"",ROUND(SUM($G96)*SUM($R96),0))</f>
        <v/>
      </c>
      <c r="AB96" s="39" t="str">
        <f aca="false">IF(SUM($AA96)=0,"",IF(SUM($Z96)=0,"ENTER YIELD",ROUND($AA96/$Z96,0)-$AA96))</f>
        <v/>
      </c>
      <c r="AC96" s="88"/>
      <c r="AD96" s="39" t="str">
        <f aca="false">IF(OR(SUM($G96)=0,SUM($S96)=0),"",ROUND(SUM($G96)*SUM($S96),0))</f>
        <v/>
      </c>
      <c r="AE96" s="39" t="str">
        <f aca="false">IF(SUM($AD96)=0,"",IF(SUM($AC96)=0,"ENTER YIELD",ROUND($AD96/$AC96,0)-$AD96))</f>
        <v/>
      </c>
      <c r="AF96" s="88"/>
      <c r="AG96" s="39" t="str">
        <f aca="false">IF(OR(SUM($G96)=0,SUM($T96)=0),"",ROUND(SUM($G96)*SUM($T96),0))</f>
        <v/>
      </c>
      <c r="AH96" s="39" t="str">
        <f aca="false">IF(SUM($AG96)=0,"",IF(SUM($AF96)=0,"ENTER YIELD",ROUND($AG96/$AF96,0)-$AG96))</f>
        <v/>
      </c>
      <c r="AI96" s="88"/>
      <c r="AJ96" s="39" t="str">
        <f aca="false">IF(OR(SUM($G96)=0,SUM($U96)=0),"",ROUND(SUM($G96)*SUM($U96),0))</f>
        <v/>
      </c>
      <c r="AK96" s="39" t="str">
        <f aca="false">IF(SUM($AJ96)=0,"",IF(SUM($AI96)=0,"ENTER YIELD",ROUND($AJ96/$AI96,0)-$AJ96))</f>
        <v/>
      </c>
      <c r="AL96" s="10" t="str">
        <f aca="false">IF(SUM($G96)=0,"",$G96)</f>
        <v/>
      </c>
      <c r="AM96" s="10" t="str">
        <f aca="false">IFERROR(1/(1/SUM($H96:$K96,$X96,$AA96,$AD96,$AG96,$AJ96)),"")</f>
        <v/>
      </c>
      <c r="AN96" s="10" t="str">
        <f aca="false">IF(AND(SUM($AM96)=0,SUM($AL96)=0),"",$AM96-$AL96)</f>
        <v/>
      </c>
      <c r="AO96" s="10" t="str">
        <f aca="false">IF(OR($C96="01-09",$D96="Male"),"",INDEX(PMTCT!$AD:$AD,MATCH($E96,PMTCT!$E:$E,0)))</f>
        <v/>
      </c>
      <c r="AP96" s="10" t="str">
        <f aca="false">IF(OR($C96="01-09",$D96="Male"),"",INDEX(PMTCT!$AT:$AT,MATCH($E96,PMTCT!$E:$E,0)))</f>
        <v/>
      </c>
      <c r="AQ96" s="10" t="str">
        <f aca="false">INDEX(TB!$Q:$Q,MATCH($E96,TB!$E:$E,0))</f>
        <v/>
      </c>
      <c r="AR96" s="10" t="str">
        <f aca="false">IF(OR($C96="01-09",$C96="10-14",$D96="Female"),"",INDEX(VMMC!$AB:$AB,MATCH($E96,VMMC!$E:$E,0)))</f>
        <v/>
      </c>
      <c r="AS96" s="10" t="str">
        <f aca="false">IF(OR($C96="01-09",$C96="10-14"),"",INDEX(PrEP!$Q:$Q,MATCH($E96,PrEP!$E:$E,0)))</f>
        <v/>
      </c>
      <c r="AT96" s="10" t="str">
        <f aca="false">IFERROR(1/(1/SUM($Y96,$AB96,$AE96,$AH96,$AK96,$AO96:$AS96)),"")</f>
        <v/>
      </c>
      <c r="AU96" s="10" t="str">
        <f aca="false">IFERROR(1/(1/SUM($AT96,$AM96)),"")</f>
        <v/>
      </c>
      <c r="AV96" s="88" t="str">
        <f aca="false">IF(AND(SUM($AM96)=0,SUM($AU96)=0),"",$AM96/$AU96)</f>
        <v/>
      </c>
      <c r="AW96" s="10"/>
      <c r="AX96" s="88" t="str">
        <f aca="false">IF(OR($C96="01-09",SUM($AW96)=0),"",0%)</f>
        <v/>
      </c>
      <c r="AY96" s="39" t="str">
        <f aca="false">IF(OR($C96="01-09",SUM($AW96)=0),"",ROUND($AW96*(1+$AX96),0))</f>
        <v/>
      </c>
      <c r="AZ96" s="88" t="n">
        <f aca="false">IF(OR($C96="01-09",$C96="10-14"),"",100%)</f>
        <v>1</v>
      </c>
      <c r="BA96" s="39" t="str">
        <f aca="false">IF(OR(SUM($AM96)=0,$C96="01-09",$C96="10-14"),"",$AM96*$AZ96)</f>
        <v/>
      </c>
    </row>
    <row r="97" customFormat="false" ht="15" hidden="false" customHeight="false" outlineLevel="0" collapsed="false">
      <c r="A97" s="0" t="str">
        <f aca="false">INDEX(Prioritization!$D:$D,MATCH($B97,Prioritization!$A:$A,0))</f>
        <v>1 - Scale-up: Saturation</v>
      </c>
      <c r="B97" s="0" t="s">
        <v>200</v>
      </c>
      <c r="C97" s="0" t="s">
        <v>368</v>
      </c>
      <c r="D97" s="0" t="s">
        <v>30</v>
      </c>
      <c r="E97" s="0" t="str">
        <f aca="false">$B97&amp;"|"&amp;$C97&amp;"|"&amp;$D97</f>
        <v>Nkhotakota District [YCKiBAp8QAg]|50+|Female</v>
      </c>
      <c r="F97" s="88" t="n">
        <f aca="false">IF(LEFT($B97,4)="_Mil","",INDEX(Cascade!$AA:$AA,MATCH($E97,Cascade!$E:$E,0)))</f>
        <v>842</v>
      </c>
      <c r="G97" s="10" t="n">
        <f aca="false">INDEX(Cascade!$BH:$BH,MATCH($E97,Cascade!$E:$E,0))</f>
        <v>0</v>
      </c>
      <c r="H97" s="10" t="str">
        <f aca="false">IF(OR($C97="01-09",$D97="Male"),"",INDEX(PMTCT!$AC:$AC,MATCH($E97,PMTCT!$E:$E,0)))</f>
        <v/>
      </c>
      <c r="I97" s="10" t="str">
        <f aca="false">IF(OR($C97="01-09",$D97="Male"),"",INDEX(PMTCT!$AS:$AS,MATCH($E97,PMTCT!$E:$E,0)))</f>
        <v/>
      </c>
      <c r="J97" s="10" t="str">
        <f aca="false">INDEX(TB!$P:$P,MATCH($E97,TB!$E:$E,0))</f>
        <v/>
      </c>
      <c r="K97" s="10" t="str">
        <f aca="false">IF(OR($C97="01-09",$C97="10-14",$D97="Female"),"",INDEX(VMMC!$AA:$AA,MATCH($E97,VMMC!$E:$E,0)))</f>
        <v/>
      </c>
      <c r="L97" s="10" t="n">
        <f aca="false">SUM($G97)-SUM($H97:$K97)</f>
        <v>0</v>
      </c>
      <c r="M97" s="88" t="str">
        <f aca="false">IF(OR($C97="01-09",$D97="Male",AND(SUM($G97)=0,SUM($H97)=0)),"",SUM($H97)/SUM($G97))</f>
        <v/>
      </c>
      <c r="N97" s="88" t="str">
        <f aca="false">IF(OR($C97="01-09",$D97="Male",AND(SUM($G97)=0,SUM($I97)=0)),"",SUM($I97)/SUM($G97))</f>
        <v/>
      </c>
      <c r="O97" s="88" t="str">
        <f aca="false">IF(AND(SUM($G97)=0,SUM($J97)=0),"",SUM($J97)/SUM($G97))</f>
        <v/>
      </c>
      <c r="P97" s="88" t="str">
        <f aca="false">IF(OR($C97="01-09",$C97="10-14",$D97="Female",AND(SUM($G97)=0,SUM($K97)=0)),"",SUM($K97)/SUM($G97))</f>
        <v/>
      </c>
      <c r="Q97" s="88"/>
      <c r="R97" s="88"/>
      <c r="S97" s="88"/>
      <c r="T97" s="88"/>
      <c r="U97" s="88" t="n">
        <v>0.283808838808909</v>
      </c>
      <c r="V97" s="88" t="str">
        <f aca="false">IF(SUM($G97)=0,"",SUM($M97:$U97))</f>
        <v/>
      </c>
      <c r="W97" s="88"/>
      <c r="X97" s="39" t="str">
        <f aca="false">IF(OR(SUM($G97)=0,SUM($Q97)=0),"",ROUND(SUM($G97)*SUM($Q97),0))</f>
        <v/>
      </c>
      <c r="Y97" s="39" t="str">
        <f aca="false">IF(SUM($X97)=0,"",IF(SUM($W97)=0,"ENTER YIELD",ROUND($X97/$W97,0)-$X97))</f>
        <v/>
      </c>
      <c r="Z97" s="88"/>
      <c r="AA97" s="39" t="str">
        <f aca="false">IF(OR(SUM($G97)=0,SUM($R97)=0),"",ROUND(SUM($G97)*SUM($R97),0))</f>
        <v/>
      </c>
      <c r="AB97" s="39" t="str">
        <f aca="false">IF(SUM($AA97)=0,"",IF(SUM($Z97)=0,"ENTER YIELD",ROUND($AA97/$Z97,0)-$AA97))</f>
        <v/>
      </c>
      <c r="AC97" s="88"/>
      <c r="AD97" s="39" t="str">
        <f aca="false">IF(OR(SUM($G97)=0,SUM($S97)=0),"",ROUND(SUM($G97)*SUM($S97),0))</f>
        <v/>
      </c>
      <c r="AE97" s="39" t="str">
        <f aca="false">IF(SUM($AD97)=0,"",IF(SUM($AC97)=0,"ENTER YIELD",ROUND($AD97/$AC97,0)-$AD97))</f>
        <v/>
      </c>
      <c r="AF97" s="88"/>
      <c r="AG97" s="39" t="str">
        <f aca="false">IF(OR(SUM($G97)=0,SUM($T97)=0),"",ROUND(SUM($G97)*SUM($T97),0))</f>
        <v/>
      </c>
      <c r="AH97" s="39" t="str">
        <f aca="false">IF(SUM($AG97)=0,"",IF(SUM($AF97)=0,"ENTER YIELD",ROUND($AG97/$AF97,0)-$AG97))</f>
        <v/>
      </c>
      <c r="AI97" s="88"/>
      <c r="AJ97" s="39" t="str">
        <f aca="false">IF(OR(SUM($G97)=0,SUM($U97)=0),"",ROUND(SUM($G97)*SUM($U97),0))</f>
        <v/>
      </c>
      <c r="AK97" s="39" t="str">
        <f aca="false">IF(SUM($AJ97)=0,"",IF(SUM($AI97)=0,"ENTER YIELD",ROUND($AJ97/$AI97,0)-$AJ97))</f>
        <v/>
      </c>
      <c r="AL97" s="10" t="str">
        <f aca="false">IF(SUM($G97)=0,"",$G97)</f>
        <v/>
      </c>
      <c r="AM97" s="10" t="str">
        <f aca="false">IFERROR(1/(1/SUM($H97:$K97,$X97,$AA97,$AD97,$AG97,$AJ97)),"")</f>
        <v/>
      </c>
      <c r="AN97" s="10" t="str">
        <f aca="false">IF(AND(SUM($AM97)=0,SUM($AL97)=0),"",$AM97-$AL97)</f>
        <v/>
      </c>
      <c r="AO97" s="10" t="str">
        <f aca="false">IF(OR($C97="01-09",$D97="Male"),"",INDEX(PMTCT!$AD:$AD,MATCH($E97,PMTCT!$E:$E,0)))</f>
        <v/>
      </c>
      <c r="AP97" s="10" t="str">
        <f aca="false">IF(OR($C97="01-09",$D97="Male"),"",INDEX(PMTCT!$AT:$AT,MATCH($E97,PMTCT!$E:$E,0)))</f>
        <v/>
      </c>
      <c r="AQ97" s="10" t="str">
        <f aca="false">INDEX(TB!$Q:$Q,MATCH($E97,TB!$E:$E,0))</f>
        <v/>
      </c>
      <c r="AR97" s="10" t="str">
        <f aca="false">IF(OR($C97="01-09",$C97="10-14",$D97="Female"),"",INDEX(VMMC!$AB:$AB,MATCH($E97,VMMC!$E:$E,0)))</f>
        <v/>
      </c>
      <c r="AS97" s="10" t="str">
        <f aca="false">IF(OR($C97="01-09",$C97="10-14"),"",INDEX(PrEP!$Q:$Q,MATCH($E97,PrEP!$E:$E,0)))</f>
        <v/>
      </c>
      <c r="AT97" s="10" t="str">
        <f aca="false">IFERROR(1/(1/SUM($Y97,$AB97,$AE97,$AH97,$AK97,$AO97:$AS97)),"")</f>
        <v/>
      </c>
      <c r="AU97" s="10" t="str">
        <f aca="false">IFERROR(1/(1/SUM($AT97,$AM97)),"")</f>
        <v/>
      </c>
      <c r="AV97" s="88" t="str">
        <f aca="false">IF(AND(SUM($AM97)=0,SUM($AU97)=0),"",$AM97/$AU97)</f>
        <v/>
      </c>
      <c r="AW97" s="10" t="n">
        <v>6</v>
      </c>
      <c r="AX97" s="88" t="n">
        <f aca="false">IF(OR($C97="01-09",SUM($AW97)=0),"",0%)</f>
        <v>0</v>
      </c>
      <c r="AY97" s="39" t="n">
        <f aca="false">IF(OR($C97="01-09",SUM($AW97)=0),"",ROUND($AW97*(1+$AX97),0))</f>
        <v>6</v>
      </c>
      <c r="AZ97" s="88" t="n">
        <f aca="false">IF(OR($C97="01-09",$C97="10-14"),"",100%)</f>
        <v>1</v>
      </c>
      <c r="BA97" s="39" t="str">
        <f aca="false">IF(OR(SUM($AM97)=0,$C97="01-09",$C97="10-14"),"",$AM97*$AZ97)</f>
        <v/>
      </c>
    </row>
    <row r="98" customFormat="false" ht="15" hidden="false" customHeight="false" outlineLevel="0" collapsed="false">
      <c r="A98" s="0" t="str">
        <f aca="false">INDEX(Prioritization!$D:$D,MATCH($B98,Prioritization!$A:$A,0))</f>
        <v>1 - Scale-up: Saturation</v>
      </c>
      <c r="B98" s="0" t="s">
        <v>200</v>
      </c>
      <c r="C98" s="0" t="s">
        <v>368</v>
      </c>
      <c r="D98" s="0" t="s">
        <v>48</v>
      </c>
      <c r="E98" s="0" t="str">
        <f aca="false">$B98&amp;"|"&amp;$C98&amp;"|"&amp;$D98</f>
        <v>Nkhotakota District [YCKiBAp8QAg]|50+|Male</v>
      </c>
      <c r="F98" s="88" t="n">
        <f aca="false">IF(LEFT($B98,4)="_Mil","",INDEX(Cascade!$AA:$AA,MATCH($E98,Cascade!$E:$E,0)))</f>
        <v>1711</v>
      </c>
      <c r="G98" s="10" t="n">
        <f aca="false">INDEX(Cascade!$BH:$BH,MATCH($E98,Cascade!$E:$E,0))</f>
        <v>0</v>
      </c>
      <c r="H98" s="10" t="str">
        <f aca="false">IF(OR($C98="01-09",$D98="Male"),"",INDEX(PMTCT!$AC:$AC,MATCH($E98,PMTCT!$E:$E,0)))</f>
        <v/>
      </c>
      <c r="I98" s="10" t="str">
        <f aca="false">IF(OR($C98="01-09",$D98="Male"),"",INDEX(PMTCT!$AS:$AS,MATCH($E98,PMTCT!$E:$E,0)))</f>
        <v/>
      </c>
      <c r="J98" s="10" t="str">
        <f aca="false">INDEX(TB!$P:$P,MATCH($E98,TB!$E:$E,0))</f>
        <v/>
      </c>
      <c r="K98" s="10" t="str">
        <f aca="false">IF(OR($C98="01-09",$C98="10-14",$D98="Female"),"",INDEX(VMMC!$AA:$AA,MATCH($E98,VMMC!$E:$E,0)))</f>
        <v/>
      </c>
      <c r="L98" s="10" t="n">
        <f aca="false">SUM($G98)-SUM($H98:$K98)</f>
        <v>0</v>
      </c>
      <c r="M98" s="88" t="str">
        <f aca="false">IF(OR($C98="01-09",$D98="Male",AND(SUM($G98)=0,SUM($H98)=0)),"",SUM($H98)/SUM($G98))</f>
        <v/>
      </c>
      <c r="N98" s="88" t="str">
        <f aca="false">IF(OR($C98="01-09",$D98="Male",AND(SUM($G98)=0,SUM($I98)=0)),"",SUM($I98)/SUM($G98))</f>
        <v/>
      </c>
      <c r="O98" s="88" t="str">
        <f aca="false">IF(AND(SUM($G98)=0,SUM($J98)=0),"",SUM($J98)/SUM($G98))</f>
        <v/>
      </c>
      <c r="P98" s="88" t="str">
        <f aca="false">IF(OR($C98="01-09",$C98="10-14",$D98="Female",AND(SUM($G98)=0,SUM($K98)=0)),"",SUM($K98)/SUM($G98))</f>
        <v/>
      </c>
      <c r="Q98" s="88"/>
      <c r="R98" s="88"/>
      <c r="S98" s="88"/>
      <c r="T98" s="88"/>
      <c r="U98" s="88" t="n">
        <v>0.947111301124096</v>
      </c>
      <c r="V98" s="88" t="str">
        <f aca="false">IF(SUM($G98)=0,"",SUM($M98:$U98))</f>
        <v/>
      </c>
      <c r="W98" s="88"/>
      <c r="X98" s="39" t="str">
        <f aca="false">IF(OR(SUM($G98)=0,SUM($Q98)=0),"",ROUND(SUM($G98)*SUM($Q98),0))</f>
        <v/>
      </c>
      <c r="Y98" s="39" t="str">
        <f aca="false">IF(SUM($X98)=0,"",IF(SUM($W98)=0,"ENTER YIELD",ROUND($X98/$W98,0)-$X98))</f>
        <v/>
      </c>
      <c r="Z98" s="88"/>
      <c r="AA98" s="39" t="str">
        <f aca="false">IF(OR(SUM($G98)=0,SUM($R98)=0),"",ROUND(SUM($G98)*SUM($R98),0))</f>
        <v/>
      </c>
      <c r="AB98" s="39" t="str">
        <f aca="false">IF(SUM($AA98)=0,"",IF(SUM($Z98)=0,"ENTER YIELD",ROUND($AA98/$Z98,0)-$AA98))</f>
        <v/>
      </c>
      <c r="AC98" s="88"/>
      <c r="AD98" s="39" t="str">
        <f aca="false">IF(OR(SUM($G98)=0,SUM($S98)=0),"",ROUND(SUM($G98)*SUM($S98),0))</f>
        <v/>
      </c>
      <c r="AE98" s="39" t="str">
        <f aca="false">IF(SUM($AD98)=0,"",IF(SUM($AC98)=0,"ENTER YIELD",ROUND($AD98/$AC98,0)-$AD98))</f>
        <v/>
      </c>
      <c r="AF98" s="88"/>
      <c r="AG98" s="39" t="str">
        <f aca="false">IF(OR(SUM($G98)=0,SUM($T98)=0),"",ROUND(SUM($G98)*SUM($T98),0))</f>
        <v/>
      </c>
      <c r="AH98" s="39" t="str">
        <f aca="false">IF(SUM($AG98)=0,"",IF(SUM($AF98)=0,"ENTER YIELD",ROUND($AG98/$AF98,0)-$AG98))</f>
        <v/>
      </c>
      <c r="AI98" s="88"/>
      <c r="AJ98" s="39" t="str">
        <f aca="false">IF(OR(SUM($G98)=0,SUM($U98)=0),"",ROUND(SUM($G98)*SUM($U98),0))</f>
        <v/>
      </c>
      <c r="AK98" s="39" t="str">
        <f aca="false">IF(SUM($AJ98)=0,"",IF(SUM($AI98)=0,"ENTER YIELD",ROUND($AJ98/$AI98,0)-$AJ98))</f>
        <v/>
      </c>
      <c r="AL98" s="10" t="str">
        <f aca="false">IF(SUM($G98)=0,"",$G98)</f>
        <v/>
      </c>
      <c r="AM98" s="10" t="str">
        <f aca="false">IFERROR(1/(1/SUM($H98:$K98,$X98,$AA98,$AD98,$AG98,$AJ98)),"")</f>
        <v/>
      </c>
      <c r="AN98" s="10" t="str">
        <f aca="false">IF(AND(SUM($AM98)=0,SUM($AL98)=0),"",$AM98-$AL98)</f>
        <v/>
      </c>
      <c r="AO98" s="10" t="str">
        <f aca="false">IF(OR($C98="01-09",$D98="Male"),"",INDEX(PMTCT!$AD:$AD,MATCH($E98,PMTCT!$E:$E,0)))</f>
        <v/>
      </c>
      <c r="AP98" s="10" t="str">
        <f aca="false">IF(OR($C98="01-09",$D98="Male"),"",INDEX(PMTCT!$AT:$AT,MATCH($E98,PMTCT!$E:$E,0)))</f>
        <v/>
      </c>
      <c r="AQ98" s="10" t="str">
        <f aca="false">INDEX(TB!$Q:$Q,MATCH($E98,TB!$E:$E,0))</f>
        <v/>
      </c>
      <c r="AR98" s="10" t="str">
        <f aca="false">IF(OR($C98="01-09",$C98="10-14",$D98="Female"),"",INDEX(VMMC!$AB:$AB,MATCH($E98,VMMC!$E:$E,0)))</f>
        <v/>
      </c>
      <c r="AS98" s="10" t="str">
        <f aca="false">IF(OR($C98="01-09",$C98="10-14"),"",INDEX(PrEP!$Q:$Q,MATCH($E98,PrEP!$E:$E,0)))</f>
        <v/>
      </c>
      <c r="AT98" s="10" t="str">
        <f aca="false">IFERROR(1/(1/SUM($Y98,$AB98,$AE98,$AH98,$AK98,$AO98:$AS98)),"")</f>
        <v/>
      </c>
      <c r="AU98" s="10" t="str">
        <f aca="false">IFERROR(1/(1/SUM($AT98,$AM98)),"")</f>
        <v/>
      </c>
      <c r="AV98" s="88" t="str">
        <f aca="false">IF(AND(SUM($AM98)=0,SUM($AU98)=0),"",$AM98/$AU98)</f>
        <v/>
      </c>
      <c r="AW98" s="10" t="n">
        <v>2</v>
      </c>
      <c r="AX98" s="88" t="n">
        <f aca="false">IF(OR($C98="01-09",SUM($AW98)=0),"",0%)</f>
        <v>0</v>
      </c>
      <c r="AY98" s="39" t="n">
        <f aca="false">IF(OR($C98="01-09",SUM($AW98)=0),"",ROUND($AW98*(1+$AX98),0))</f>
        <v>2</v>
      </c>
      <c r="AZ98" s="88" t="n">
        <f aca="false">IF(OR($C98="01-09",$C98="10-14"),"",100%)</f>
        <v>1</v>
      </c>
      <c r="BA98" s="39" t="str">
        <f aca="false">IF(OR(SUM($AM98)=0,$C98="01-09",$C98="10-14"),"",$AM98*$AZ98)</f>
        <v/>
      </c>
    </row>
    <row r="99" customFormat="false" ht="15" hidden="false" customHeight="false" outlineLevel="0" collapsed="false">
      <c r="A99" s="0" t="str">
        <f aca="false">INDEX(Prioritization!$D:$D,MATCH($B99,Prioritization!$A:$A,0))</f>
        <v>INVALID</v>
      </c>
      <c r="B99" s="0" t="s">
        <v>201</v>
      </c>
      <c r="C99" s="0" t="s">
        <v>363</v>
      </c>
      <c r="D99" s="0" t="s">
        <v>30</v>
      </c>
      <c r="E99" s="0" t="str">
        <f aca="false">$B99&amp;"|"&amp;$C99&amp;"|"&amp;$D99</f>
        <v>Ntcheu District [am530wpaGvr]|01-09|Female</v>
      </c>
      <c r="F99" s="88" t="n">
        <f aca="false">IF(LEFT($B99,4)="_Mil","",INDEX(Cascade!$AA:$AA,MATCH($E99,Cascade!$E:$E,0)))</f>
        <v>527</v>
      </c>
      <c r="G99" s="10" t="n">
        <f aca="false">INDEX(Cascade!$BH:$BH,MATCH($E99,Cascade!$E:$E,0))</f>
        <v>0</v>
      </c>
      <c r="H99" s="10" t="str">
        <f aca="false">IF(OR($C99="01-09",$D99="Male"),"",INDEX(PMTCT!$AC:$AC,MATCH($E99,PMTCT!$E:$E,0)))</f>
        <v/>
      </c>
      <c r="I99" s="10" t="str">
        <f aca="false">IF(OR($C99="01-09",$D99="Male"),"",INDEX(PMTCT!$AS:$AS,MATCH($E99,PMTCT!$E:$E,0)))</f>
        <v/>
      </c>
      <c r="J99" s="10" t="str">
        <f aca="false">INDEX(TB!$P:$P,MATCH($E99,TB!$E:$E,0))</f>
        <v/>
      </c>
      <c r="K99" s="10" t="str">
        <f aca="false">IF(OR($C99="01-09",$C99="10-14",$D99="Female"),"",INDEX(VMMC!$AA:$AA,MATCH($E99,VMMC!$E:$E,0)))</f>
        <v/>
      </c>
      <c r="L99" s="10" t="n">
        <f aca="false">SUM($G99)-SUM($H99:$K99)</f>
        <v>0</v>
      </c>
      <c r="M99" s="88" t="str">
        <f aca="false">IF(OR($C99="01-09",$D99="Male",AND(SUM($G99)=0,SUM($H99)=0)),"",SUM($H99)/SUM($G99))</f>
        <v/>
      </c>
      <c r="N99" s="88" t="str">
        <f aca="false">IF(OR($C99="01-09",$D99="Male",AND(SUM($G99)=0,SUM($I99)=0)),"",SUM($I99)/SUM($G99))</f>
        <v/>
      </c>
      <c r="O99" s="88" t="str">
        <f aca="false">IF(AND(SUM($G99)=0,SUM($J99)=0),"",SUM($J99)/SUM($G99))</f>
        <v/>
      </c>
      <c r="P99" s="88" t="str">
        <f aca="false">IF(OR($C99="01-09",$C99="10-14",$D99="Female",AND(SUM($G99)=0,SUM($K99)=0)),"",SUM($K99)/SUM($G99))</f>
        <v/>
      </c>
      <c r="Q99" s="88"/>
      <c r="R99" s="88"/>
      <c r="S99" s="88"/>
      <c r="T99" s="88"/>
      <c r="U99" s="88"/>
      <c r="V99" s="88" t="str">
        <f aca="false">IF(SUM($G99)=0,"",SUM($M99:$U99))</f>
        <v/>
      </c>
      <c r="W99" s="88"/>
      <c r="X99" s="39" t="str">
        <f aca="false">IF(OR(SUM($G99)=0,SUM($Q99)=0),"",ROUND(SUM($G99)*SUM($Q99),0))</f>
        <v/>
      </c>
      <c r="Y99" s="39" t="str">
        <f aca="false">IF(SUM($X99)=0,"",IF(SUM($W99)=0,"ENTER YIELD",ROUND($X99/$W99,0)-$X99))</f>
        <v/>
      </c>
      <c r="Z99" s="88"/>
      <c r="AA99" s="39" t="str">
        <f aca="false">IF(OR(SUM($G99)=0,SUM($R99)=0),"",ROUND(SUM($G99)*SUM($R99),0))</f>
        <v/>
      </c>
      <c r="AB99" s="39" t="str">
        <f aca="false">IF(SUM($AA99)=0,"",IF(SUM($Z99)=0,"ENTER YIELD",ROUND($AA99/$Z99,0)-$AA99))</f>
        <v/>
      </c>
      <c r="AC99" s="88"/>
      <c r="AD99" s="39" t="str">
        <f aca="false">IF(OR(SUM($G99)=0,SUM($S99)=0),"",ROUND(SUM($G99)*SUM($S99),0))</f>
        <v/>
      </c>
      <c r="AE99" s="39" t="str">
        <f aca="false">IF(SUM($AD99)=0,"",IF(SUM($AC99)=0,"ENTER YIELD",ROUND($AD99/$AC99,0)-$AD99))</f>
        <v/>
      </c>
      <c r="AF99" s="88"/>
      <c r="AG99" s="39" t="str">
        <f aca="false">IF(OR(SUM($G99)=0,SUM($T99)=0),"",ROUND(SUM($G99)*SUM($T99),0))</f>
        <v/>
      </c>
      <c r="AH99" s="39" t="str">
        <f aca="false">IF(SUM($AG99)=0,"",IF(SUM($AF99)=0,"ENTER YIELD",ROUND($AG99/$AF99,0)-$AG99))</f>
        <v/>
      </c>
      <c r="AI99" s="88"/>
      <c r="AJ99" s="39" t="str">
        <f aca="false">IF(OR(SUM($G99)=0,SUM($U99)=0),"",ROUND(SUM($G99)*SUM($U99),0))</f>
        <v/>
      </c>
      <c r="AK99" s="39" t="str">
        <f aca="false">IF(SUM($AJ99)=0,"",IF(SUM($AI99)=0,"ENTER YIELD",ROUND($AJ99/$AI99,0)-$AJ99))</f>
        <v/>
      </c>
      <c r="AL99" s="10" t="str">
        <f aca="false">IF(SUM($G99)=0,"",$G99)</f>
        <v/>
      </c>
      <c r="AM99" s="10" t="str">
        <f aca="false">IFERROR(1/(1/SUM($H99:$K99,$X99,$AA99,$AD99,$AG99,$AJ99)),"")</f>
        <v/>
      </c>
      <c r="AN99" s="10" t="str">
        <f aca="false">IF(AND(SUM($AM99)=0,SUM($AL99)=0),"",$AM99-$AL99)</f>
        <v/>
      </c>
      <c r="AO99" s="10" t="str">
        <f aca="false">IF(OR($C99="01-09",$D99="Male"),"",INDEX(PMTCT!$AD:$AD,MATCH($E99,PMTCT!$E:$E,0)))</f>
        <v/>
      </c>
      <c r="AP99" s="10" t="str">
        <f aca="false">IF(OR($C99="01-09",$D99="Male"),"",INDEX(PMTCT!$AT:$AT,MATCH($E99,PMTCT!$E:$E,0)))</f>
        <v/>
      </c>
      <c r="AQ99" s="10" t="str">
        <f aca="false">INDEX(TB!$Q:$Q,MATCH($E99,TB!$E:$E,0))</f>
        <v/>
      </c>
      <c r="AR99" s="10" t="str">
        <f aca="false">IF(OR($C99="01-09",$C99="10-14",$D99="Female"),"",INDEX(VMMC!$AB:$AB,MATCH($E99,VMMC!$E:$E,0)))</f>
        <v/>
      </c>
      <c r="AS99" s="10" t="str">
        <f aca="false">IF(OR($C99="01-09",$C99="10-14"),"",INDEX(PrEP!$Q:$Q,MATCH($E99,PrEP!$E:$E,0)))</f>
        <v/>
      </c>
      <c r="AT99" s="10" t="str">
        <f aca="false">IFERROR(1/(1/SUM($Y99,$AB99,$AE99,$AH99,$AK99,$AO99:$AS99)),"")</f>
        <v/>
      </c>
      <c r="AU99" s="10" t="str">
        <f aca="false">IFERROR(1/(1/SUM($AT99,$AM99)),"")</f>
        <v/>
      </c>
      <c r="AV99" s="88" t="str">
        <f aca="false">IF(AND(SUM($AM99)=0,SUM($AU99)=0),"",$AM99/$AU99)</f>
        <v/>
      </c>
      <c r="AW99" s="10"/>
      <c r="AX99" s="88" t="str">
        <f aca="false">IF(OR($C99="01-09",SUM($AW99)=0),"",0%)</f>
        <v/>
      </c>
      <c r="AY99" s="39" t="str">
        <f aca="false">IF(OR($C99="01-09",SUM($AW99)=0),"",ROUND($AW99*(1+$AX99),0))</f>
        <v/>
      </c>
      <c r="AZ99" s="88" t="str">
        <f aca="false">IF(OR($C99="01-09",$C99="10-14"),"",100%)</f>
        <v/>
      </c>
      <c r="BA99" s="39" t="str">
        <f aca="false">IF(OR(SUM($AM99)=0,$C99="01-09",$C99="10-14"),"",$AM99*$AZ99)</f>
        <v/>
      </c>
    </row>
    <row r="100" customFormat="false" ht="15" hidden="false" customHeight="false" outlineLevel="0" collapsed="false">
      <c r="A100" s="0" t="str">
        <f aca="false">INDEX(Prioritization!$D:$D,MATCH($B100,Prioritization!$A:$A,0))</f>
        <v>INVALID</v>
      </c>
      <c r="B100" s="0" t="s">
        <v>201</v>
      </c>
      <c r="C100" s="0" t="s">
        <v>363</v>
      </c>
      <c r="D100" s="0" t="s">
        <v>48</v>
      </c>
      <c r="E100" s="0" t="str">
        <f aca="false">$B100&amp;"|"&amp;$C100&amp;"|"&amp;$D100</f>
        <v>Ntcheu District [am530wpaGvr]|01-09|Male</v>
      </c>
      <c r="F100" s="88" t="n">
        <f aca="false">IF(LEFT($B100,4)="_Mil","",INDEX(Cascade!$AA:$AA,MATCH($E100,Cascade!$E:$E,0)))</f>
        <v>1346</v>
      </c>
      <c r="G100" s="10" t="n">
        <f aca="false">INDEX(Cascade!$BH:$BH,MATCH($E100,Cascade!$E:$E,0))</f>
        <v>0</v>
      </c>
      <c r="H100" s="10" t="str">
        <f aca="false">IF(OR($C100="01-09",$D100="Male"),"",INDEX(PMTCT!$AC:$AC,MATCH($E100,PMTCT!$E:$E,0)))</f>
        <v/>
      </c>
      <c r="I100" s="10" t="str">
        <f aca="false">IF(OR($C100="01-09",$D100="Male"),"",INDEX(PMTCT!$AS:$AS,MATCH($E100,PMTCT!$E:$E,0)))</f>
        <v/>
      </c>
      <c r="J100" s="10" t="str">
        <f aca="false">INDEX(TB!$P:$P,MATCH($E100,TB!$E:$E,0))</f>
        <v/>
      </c>
      <c r="K100" s="10" t="str">
        <f aca="false">IF(OR($C100="01-09",$C100="10-14",$D100="Female"),"",INDEX(VMMC!$AA:$AA,MATCH($E100,VMMC!$E:$E,0)))</f>
        <v/>
      </c>
      <c r="L100" s="10" t="n">
        <f aca="false">SUM($G100)-SUM($H100:$K100)</f>
        <v>0</v>
      </c>
      <c r="M100" s="88" t="str">
        <f aca="false">IF(OR($C100="01-09",$D100="Male",AND(SUM($G100)=0,SUM($H100)=0)),"",SUM($H100)/SUM($G100))</f>
        <v/>
      </c>
      <c r="N100" s="88" t="str">
        <f aca="false">IF(OR($C100="01-09",$D100="Male",AND(SUM($G100)=0,SUM($I100)=0)),"",SUM($I100)/SUM($G100))</f>
        <v/>
      </c>
      <c r="O100" s="88" t="str">
        <f aca="false">IF(AND(SUM($G100)=0,SUM($J100)=0),"",SUM($J100)/SUM($G100))</f>
        <v/>
      </c>
      <c r="P100" s="88" t="str">
        <f aca="false">IF(OR($C100="01-09",$C100="10-14",$D100="Female",AND(SUM($G100)=0,SUM($K100)=0)),"",SUM($K100)/SUM($G100))</f>
        <v/>
      </c>
      <c r="Q100" s="88"/>
      <c r="R100" s="88"/>
      <c r="S100" s="88"/>
      <c r="T100" s="88"/>
      <c r="U100" s="88"/>
      <c r="V100" s="88" t="str">
        <f aca="false">IF(SUM($G100)=0,"",SUM($M100:$U100))</f>
        <v/>
      </c>
      <c r="W100" s="88"/>
      <c r="X100" s="39" t="str">
        <f aca="false">IF(OR(SUM($G100)=0,SUM($Q100)=0),"",ROUND(SUM($G100)*SUM($Q100),0))</f>
        <v/>
      </c>
      <c r="Y100" s="39" t="str">
        <f aca="false">IF(SUM($X100)=0,"",IF(SUM($W100)=0,"ENTER YIELD",ROUND($X100/$W100,0)-$X100))</f>
        <v/>
      </c>
      <c r="Z100" s="88"/>
      <c r="AA100" s="39" t="str">
        <f aca="false">IF(OR(SUM($G100)=0,SUM($R100)=0),"",ROUND(SUM($G100)*SUM($R100),0))</f>
        <v/>
      </c>
      <c r="AB100" s="39" t="str">
        <f aca="false">IF(SUM($AA100)=0,"",IF(SUM($Z100)=0,"ENTER YIELD",ROUND($AA100/$Z100,0)-$AA100))</f>
        <v/>
      </c>
      <c r="AC100" s="88"/>
      <c r="AD100" s="39" t="str">
        <f aca="false">IF(OR(SUM($G100)=0,SUM($S100)=0),"",ROUND(SUM($G100)*SUM($S100),0))</f>
        <v/>
      </c>
      <c r="AE100" s="39" t="str">
        <f aca="false">IF(SUM($AD100)=0,"",IF(SUM($AC100)=0,"ENTER YIELD",ROUND($AD100/$AC100,0)-$AD100))</f>
        <v/>
      </c>
      <c r="AF100" s="88"/>
      <c r="AG100" s="39" t="str">
        <f aca="false">IF(OR(SUM($G100)=0,SUM($T100)=0),"",ROUND(SUM($G100)*SUM($T100),0))</f>
        <v/>
      </c>
      <c r="AH100" s="39" t="str">
        <f aca="false">IF(SUM($AG100)=0,"",IF(SUM($AF100)=0,"ENTER YIELD",ROUND($AG100/$AF100,0)-$AG100))</f>
        <v/>
      </c>
      <c r="AI100" s="88"/>
      <c r="AJ100" s="39" t="str">
        <f aca="false">IF(OR(SUM($G100)=0,SUM($U100)=0),"",ROUND(SUM($G100)*SUM($U100),0))</f>
        <v/>
      </c>
      <c r="AK100" s="39" t="str">
        <f aca="false">IF(SUM($AJ100)=0,"",IF(SUM($AI100)=0,"ENTER YIELD",ROUND($AJ100/$AI100,0)-$AJ100))</f>
        <v/>
      </c>
      <c r="AL100" s="10" t="str">
        <f aca="false">IF(SUM($G100)=0,"",$G100)</f>
        <v/>
      </c>
      <c r="AM100" s="10" t="str">
        <f aca="false">IFERROR(1/(1/SUM($H100:$K100,$X100,$AA100,$AD100,$AG100,$AJ100)),"")</f>
        <v/>
      </c>
      <c r="AN100" s="10" t="str">
        <f aca="false">IF(AND(SUM($AM100)=0,SUM($AL100)=0),"",$AM100-$AL100)</f>
        <v/>
      </c>
      <c r="AO100" s="10" t="str">
        <f aca="false">IF(OR($C100="01-09",$D100="Male"),"",INDEX(PMTCT!$AD:$AD,MATCH($E100,PMTCT!$E:$E,0)))</f>
        <v/>
      </c>
      <c r="AP100" s="10" t="str">
        <f aca="false">IF(OR($C100="01-09",$D100="Male"),"",INDEX(PMTCT!$AT:$AT,MATCH($E100,PMTCT!$E:$E,0)))</f>
        <v/>
      </c>
      <c r="AQ100" s="10" t="str">
        <f aca="false">INDEX(TB!$Q:$Q,MATCH($E100,TB!$E:$E,0))</f>
        <v/>
      </c>
      <c r="AR100" s="10" t="str">
        <f aca="false">IF(OR($C100="01-09",$C100="10-14",$D100="Female"),"",INDEX(VMMC!$AB:$AB,MATCH($E100,VMMC!$E:$E,0)))</f>
        <v/>
      </c>
      <c r="AS100" s="10" t="str">
        <f aca="false">IF(OR($C100="01-09",$C100="10-14"),"",INDEX(PrEP!$Q:$Q,MATCH($E100,PrEP!$E:$E,0)))</f>
        <v/>
      </c>
      <c r="AT100" s="10" t="str">
        <f aca="false">IFERROR(1/(1/SUM($Y100,$AB100,$AE100,$AH100,$AK100,$AO100:$AS100)),"")</f>
        <v/>
      </c>
      <c r="AU100" s="10" t="str">
        <f aca="false">IFERROR(1/(1/SUM($AT100,$AM100)),"")</f>
        <v/>
      </c>
      <c r="AV100" s="88" t="str">
        <f aca="false">IF(AND(SUM($AM100)=0,SUM($AU100)=0),"",$AM100/$AU100)</f>
        <v/>
      </c>
      <c r="AW100" s="10"/>
      <c r="AX100" s="88" t="str">
        <f aca="false">IF(OR($C100="01-09",SUM($AW100)=0),"",0%)</f>
        <v/>
      </c>
      <c r="AY100" s="39" t="str">
        <f aca="false">IF(OR($C100="01-09",SUM($AW100)=0),"",ROUND($AW100*(1+$AX100),0))</f>
        <v/>
      </c>
      <c r="AZ100" s="88" t="str">
        <f aca="false">IF(OR($C100="01-09",$C100="10-14"),"",100%)</f>
        <v/>
      </c>
      <c r="BA100" s="39" t="str">
        <f aca="false">IF(OR(SUM($AM100)=0,$C100="01-09",$C100="10-14"),"",$AM100*$AZ100)</f>
        <v/>
      </c>
    </row>
    <row r="101" customFormat="false" ht="15" hidden="false" customHeight="false" outlineLevel="0" collapsed="false">
      <c r="A101" s="0" t="str">
        <f aca="false">INDEX(Prioritization!$D:$D,MATCH($B101,Prioritization!$A:$A,0))</f>
        <v>INVALID</v>
      </c>
      <c r="B101" s="0" t="s">
        <v>201</v>
      </c>
      <c r="C101" s="0" t="s">
        <v>364</v>
      </c>
      <c r="D101" s="0" t="s">
        <v>30</v>
      </c>
      <c r="E101" s="0" t="str">
        <f aca="false">$B101&amp;"|"&amp;$C101&amp;"|"&amp;$D101</f>
        <v>Ntcheu District [am530wpaGvr]|10-14|Female</v>
      </c>
      <c r="F101" s="88" t="n">
        <f aca="false">IF(LEFT($B101,4)="_Mil","",INDEX(Cascade!$AA:$AA,MATCH($E101,Cascade!$E:$E,0)))</f>
        <v>1730</v>
      </c>
      <c r="G101" s="10" t="n">
        <f aca="false">INDEX(Cascade!$BH:$BH,MATCH($E101,Cascade!$E:$E,0))</f>
        <v>-84</v>
      </c>
      <c r="H101" s="10" t="str">
        <f aca="false">IF(OR($C101="01-09",$D101="Male"),"",INDEX(PMTCT!$AC:$AC,MATCH($E101,PMTCT!$E:$E,0)))</f>
        <v>ENTER YIELD RATE</v>
      </c>
      <c r="I101" s="10" t="str">
        <f aca="false">IF(OR($C101="01-09",$D101="Male"),"",INDEX(PMTCT!$AS:$AS,MATCH($E101,PMTCT!$E:$E,0)))</f>
        <v>ENTER YIELD RATE</v>
      </c>
      <c r="J101" s="10" t="str">
        <f aca="false">INDEX(TB!$P:$P,MATCH($E101,TB!$E:$E,0))</f>
        <v>ENTER YIELD RATE</v>
      </c>
      <c r="K101" s="10" t="str">
        <f aca="false">IF(OR($C101="01-09",$C101="10-14",$D101="Female"),"",INDEX(VMMC!$AA:$AA,MATCH($E101,VMMC!$E:$E,0)))</f>
        <v/>
      </c>
      <c r="L101" s="10" t="n">
        <f aca="false">SUM($G101)-SUM($H101:$K101)</f>
        <v>-84</v>
      </c>
      <c r="M101" s="88" t="n">
        <f aca="false">IF(OR($C101="01-09",$D101="Male",AND(SUM($G101)=0,SUM($H101)=0)),"",SUM($H101)/SUM($G101))</f>
        <v>-0</v>
      </c>
      <c r="N101" s="88" t="n">
        <f aca="false">IF(OR($C101="01-09",$D101="Male",AND(SUM($G101)=0,SUM($I101)=0)),"",SUM($I101)/SUM($G101))</f>
        <v>-0</v>
      </c>
      <c r="O101" s="88" t="n">
        <f aca="false">IF(AND(SUM($G101)=0,SUM($J101)=0),"",SUM($J101)/SUM($G101))</f>
        <v>-0</v>
      </c>
      <c r="P101" s="88" t="str">
        <f aca="false">IF(OR($C101="01-09",$C101="10-14",$D101="Female",AND(SUM($G101)=0,SUM($K101)=0)),"",SUM($K101)/SUM($G101))</f>
        <v/>
      </c>
      <c r="Q101" s="88" t="n">
        <v>0.416559035889804</v>
      </c>
      <c r="R101" s="88"/>
      <c r="S101" s="88"/>
      <c r="T101" s="88"/>
      <c r="U101" s="88" t="n">
        <v>0.79674935224466</v>
      </c>
      <c r="V101" s="88" t="n">
        <f aca="false">IF(SUM($G101)=0,"",SUM($M101:$U101))</f>
        <v>1.21330838813446</v>
      </c>
      <c r="W101" s="88"/>
      <c r="X101" s="39" t="n">
        <f aca="false">IF(OR(SUM($G101)=0,SUM($Q101)=0),"",ROUND(SUM($G101)*SUM($Q101),0))</f>
        <v>-35</v>
      </c>
      <c r="Y101" s="39" t="str">
        <f aca="false">IF(SUM($X101)=0,"",IF(SUM($W101)=0,"ENTER YIELD",ROUND($X101/$W101,0)-$X101))</f>
        <v>ENTER YIELD</v>
      </c>
      <c r="Z101" s="88"/>
      <c r="AA101" s="39" t="str">
        <f aca="false">IF(OR(SUM($G101)=0,SUM($R101)=0),"",ROUND(SUM($G101)*SUM($R101),0))</f>
        <v/>
      </c>
      <c r="AB101" s="39" t="str">
        <f aca="false">IF(SUM($AA101)=0,"",IF(SUM($Z101)=0,"ENTER YIELD",ROUND($AA101/$Z101,0)-$AA101))</f>
        <v/>
      </c>
      <c r="AC101" s="88"/>
      <c r="AD101" s="39" t="str">
        <f aca="false">IF(OR(SUM($G101)=0,SUM($S101)=0),"",ROUND(SUM($G101)*SUM($S101),0))</f>
        <v/>
      </c>
      <c r="AE101" s="39" t="str">
        <f aca="false">IF(SUM($AD101)=0,"",IF(SUM($AC101)=0,"ENTER YIELD",ROUND($AD101/$AC101,0)-$AD101))</f>
        <v/>
      </c>
      <c r="AF101" s="88"/>
      <c r="AG101" s="39" t="str">
        <f aca="false">IF(OR(SUM($G101)=0,SUM($T101)=0),"",ROUND(SUM($G101)*SUM($T101),0))</f>
        <v/>
      </c>
      <c r="AH101" s="39" t="str">
        <f aca="false">IF(SUM($AG101)=0,"",IF(SUM($AF101)=0,"ENTER YIELD",ROUND($AG101/$AF101,0)-$AG101))</f>
        <v/>
      </c>
      <c r="AI101" s="88"/>
      <c r="AJ101" s="39" t="n">
        <f aca="false">IF(OR(SUM($G101)=0,SUM($U101)=0),"",ROUND(SUM($G101)*SUM($U101),0))</f>
        <v>-67</v>
      </c>
      <c r="AK101" s="39" t="str">
        <f aca="false">IF(SUM($AJ101)=0,"",IF(SUM($AI101)=0,"ENTER YIELD",ROUND($AJ101/$AI101,0)-$AJ101))</f>
        <v>ENTER YIELD</v>
      </c>
      <c r="AL101" s="10" t="n">
        <f aca="false">IF(SUM($G101)=0,"",$G101)</f>
        <v>-84</v>
      </c>
      <c r="AM101" s="10" t="n">
        <f aca="false">IFERROR(1/(1/SUM($H101:$K101,$X101,$AA101,$AD101,$AG101,$AJ101)),"")</f>
        <v>-102</v>
      </c>
      <c r="AN101" s="10" t="n">
        <f aca="false">IF(AND(SUM($AM101)=0,SUM($AL101)=0),"",$AM101-$AL101)</f>
        <v>-18</v>
      </c>
      <c r="AO101" s="10" t="n">
        <f aca="false">IF(OR($C101="01-09",$D101="Male"),"",INDEX(PMTCT!$AD:$AD,MATCH($E101,PMTCT!$E:$E,0)))</f>
        <v>7</v>
      </c>
      <c r="AP101" s="10" t="n">
        <f aca="false">IF(OR($C101="01-09",$D101="Male"),"",INDEX(PMTCT!$AT:$AT,MATCH($E101,PMTCT!$E:$E,0)))</f>
        <v>7</v>
      </c>
      <c r="AQ101" s="10" t="n">
        <f aca="false">INDEX(TB!$Q:$Q,MATCH($E101,TB!$E:$E,0))</f>
        <v>1</v>
      </c>
      <c r="AR101" s="10" t="str">
        <f aca="false">IF(OR($C101="01-09",$C101="10-14",$D101="Female"),"",INDEX(VMMC!$AB:$AB,MATCH($E101,VMMC!$E:$E,0)))</f>
        <v/>
      </c>
      <c r="AS101" s="10" t="str">
        <f aca="false">IF(OR($C101="01-09",$C101="10-14"),"",INDEX(PrEP!$Q:$Q,MATCH($E101,PrEP!$E:$E,0)))</f>
        <v/>
      </c>
      <c r="AT101" s="10" t="n">
        <f aca="false">IFERROR(1/(1/SUM($Y101,$AB101,$AE101,$AH101,$AK101,$AO101:$AS101)),"")</f>
        <v>15</v>
      </c>
      <c r="AU101" s="10" t="n">
        <f aca="false">IFERROR(1/(1/SUM($AT101,$AM101)),"")</f>
        <v>-87</v>
      </c>
      <c r="AV101" s="88" t="n">
        <f aca="false">IF(AND(SUM($AM101)=0,SUM($AU101)=0),"",$AM101/$AU101)</f>
        <v>1.17241379310345</v>
      </c>
      <c r="AW101" s="10"/>
      <c r="AX101" s="88" t="str">
        <f aca="false">IF(OR($C101="01-09",SUM($AW101)=0),"",0%)</f>
        <v/>
      </c>
      <c r="AY101" s="39" t="str">
        <f aca="false">IF(OR($C101="01-09",SUM($AW101)=0),"",ROUND($AW101*(1+$AX101),0))</f>
        <v/>
      </c>
      <c r="AZ101" s="88" t="str">
        <f aca="false">IF(OR($C101="01-09",$C101="10-14"),"",100%)</f>
        <v/>
      </c>
      <c r="BA101" s="39" t="str">
        <f aca="false">IF(OR(SUM($AM101)=0,$C101="01-09",$C101="10-14"),"",$AM101*$AZ101)</f>
        <v/>
      </c>
    </row>
    <row r="102" customFormat="false" ht="15" hidden="false" customHeight="false" outlineLevel="0" collapsed="false">
      <c r="A102" s="0" t="str">
        <f aca="false">INDEX(Prioritization!$D:$D,MATCH($B102,Prioritization!$A:$A,0))</f>
        <v>INVALID</v>
      </c>
      <c r="B102" s="0" t="s">
        <v>201</v>
      </c>
      <c r="C102" s="0" t="s">
        <v>364</v>
      </c>
      <c r="D102" s="0" t="s">
        <v>48</v>
      </c>
      <c r="E102" s="0" t="str">
        <f aca="false">$B102&amp;"|"&amp;$C102&amp;"|"&amp;$D102</f>
        <v>Ntcheu District [am530wpaGvr]|10-14|Male</v>
      </c>
      <c r="F102" s="88" t="n">
        <f aca="false">IF(LEFT($B102,4)="_Mil","",INDEX(Cascade!$AA:$AA,MATCH($E102,Cascade!$E:$E,0)))</f>
        <v>1385</v>
      </c>
      <c r="G102" s="10" t="n">
        <f aca="false">INDEX(Cascade!$BH:$BH,MATCH($E102,Cascade!$E:$E,0))</f>
        <v>-44</v>
      </c>
      <c r="H102" s="10" t="str">
        <f aca="false">IF(OR($C102="01-09",$D102="Male"),"",INDEX(PMTCT!$AC:$AC,MATCH($E102,PMTCT!$E:$E,0)))</f>
        <v/>
      </c>
      <c r="I102" s="10" t="str">
        <f aca="false">IF(OR($C102="01-09",$D102="Male"),"",INDEX(PMTCT!$AS:$AS,MATCH($E102,PMTCT!$E:$E,0)))</f>
        <v/>
      </c>
      <c r="J102" s="10" t="str">
        <f aca="false">INDEX(TB!$P:$P,MATCH($E102,TB!$E:$E,0))</f>
        <v>ENTER YIELD RATE</v>
      </c>
      <c r="K102" s="10" t="str">
        <f aca="false">IF(OR($C102="01-09",$C102="10-14",$D102="Female"),"",INDEX(VMMC!$AA:$AA,MATCH($E102,VMMC!$E:$E,0)))</f>
        <v/>
      </c>
      <c r="L102" s="10" t="n">
        <f aca="false">SUM($G102)-SUM($H102:$K102)</f>
        <v>-44</v>
      </c>
      <c r="M102" s="88" t="str">
        <f aca="false">IF(OR($C102="01-09",$D102="Male",AND(SUM($G102)=0,SUM($H102)=0)),"",SUM($H102)/SUM($G102))</f>
        <v/>
      </c>
      <c r="N102" s="88" t="str">
        <f aca="false">IF(OR($C102="01-09",$D102="Male",AND(SUM($G102)=0,SUM($I102)=0)),"",SUM($I102)/SUM($G102))</f>
        <v/>
      </c>
      <c r="O102" s="88" t="n">
        <f aca="false">IF(AND(SUM($G102)=0,SUM($J102)=0),"",SUM($J102)/SUM($G102))</f>
        <v>-0</v>
      </c>
      <c r="P102" s="88" t="str">
        <f aca="false">IF(OR($C102="01-09",$C102="10-14",$D102="Female",AND(SUM($G102)=0,SUM($K102)=0)),"",SUM($K102)/SUM($G102))</f>
        <v/>
      </c>
      <c r="Q102" s="88" t="n">
        <v>0.603785216109827</v>
      </c>
      <c r="R102" s="88"/>
      <c r="S102" s="88"/>
      <c r="T102" s="88"/>
      <c r="U102" s="88" t="n">
        <v>0.369236372876912</v>
      </c>
      <c r="V102" s="88" t="n">
        <f aca="false">IF(SUM($G102)=0,"",SUM($M102:$U102))</f>
        <v>0.973021588986739</v>
      </c>
      <c r="W102" s="88"/>
      <c r="X102" s="39" t="n">
        <f aca="false">IF(OR(SUM($G102)=0,SUM($Q102)=0),"",ROUND(SUM($G102)*SUM($Q102),0))</f>
        <v>-27</v>
      </c>
      <c r="Y102" s="39" t="str">
        <f aca="false">IF(SUM($X102)=0,"",IF(SUM($W102)=0,"ENTER YIELD",ROUND($X102/$W102,0)-$X102))</f>
        <v>ENTER YIELD</v>
      </c>
      <c r="Z102" s="88"/>
      <c r="AA102" s="39" t="str">
        <f aca="false">IF(OR(SUM($G102)=0,SUM($R102)=0),"",ROUND(SUM($G102)*SUM($R102),0))</f>
        <v/>
      </c>
      <c r="AB102" s="39" t="str">
        <f aca="false">IF(SUM($AA102)=0,"",IF(SUM($Z102)=0,"ENTER YIELD",ROUND($AA102/$Z102,0)-$AA102))</f>
        <v/>
      </c>
      <c r="AC102" s="88"/>
      <c r="AD102" s="39" t="str">
        <f aca="false">IF(OR(SUM($G102)=0,SUM($S102)=0),"",ROUND(SUM($G102)*SUM($S102),0))</f>
        <v/>
      </c>
      <c r="AE102" s="39" t="str">
        <f aca="false">IF(SUM($AD102)=0,"",IF(SUM($AC102)=0,"ENTER YIELD",ROUND($AD102/$AC102,0)-$AD102))</f>
        <v/>
      </c>
      <c r="AF102" s="88"/>
      <c r="AG102" s="39" t="str">
        <f aca="false">IF(OR(SUM($G102)=0,SUM($T102)=0),"",ROUND(SUM($G102)*SUM($T102),0))</f>
        <v/>
      </c>
      <c r="AH102" s="39" t="str">
        <f aca="false">IF(SUM($AG102)=0,"",IF(SUM($AF102)=0,"ENTER YIELD",ROUND($AG102/$AF102,0)-$AG102))</f>
        <v/>
      </c>
      <c r="AI102" s="88"/>
      <c r="AJ102" s="39" t="n">
        <f aca="false">IF(OR(SUM($G102)=0,SUM($U102)=0),"",ROUND(SUM($G102)*SUM($U102),0))</f>
        <v>-16</v>
      </c>
      <c r="AK102" s="39" t="str">
        <f aca="false">IF(SUM($AJ102)=0,"",IF(SUM($AI102)=0,"ENTER YIELD",ROUND($AJ102/$AI102,0)-$AJ102))</f>
        <v>ENTER YIELD</v>
      </c>
      <c r="AL102" s="10" t="n">
        <f aca="false">IF(SUM($G102)=0,"",$G102)</f>
        <v>-44</v>
      </c>
      <c r="AM102" s="10" t="n">
        <f aca="false">IFERROR(1/(1/SUM($H102:$K102,$X102,$AA102,$AD102,$AG102,$AJ102)),"")</f>
        <v>-43</v>
      </c>
      <c r="AN102" s="10" t="n">
        <f aca="false">IF(AND(SUM($AM102)=0,SUM($AL102)=0),"",$AM102-$AL102)</f>
        <v>1</v>
      </c>
      <c r="AO102" s="10" t="str">
        <f aca="false">IF(OR($C102="01-09",$D102="Male"),"",INDEX(PMTCT!$AD:$AD,MATCH($E102,PMTCT!$E:$E,0)))</f>
        <v/>
      </c>
      <c r="AP102" s="10" t="str">
        <f aca="false">IF(OR($C102="01-09",$D102="Male"),"",INDEX(PMTCT!$AT:$AT,MATCH($E102,PMTCT!$E:$E,0)))</f>
        <v/>
      </c>
      <c r="AQ102" s="10" t="n">
        <f aca="false">INDEX(TB!$Q:$Q,MATCH($E102,TB!$E:$E,0))</f>
        <v>1</v>
      </c>
      <c r="AR102" s="10" t="str">
        <f aca="false">IF(OR($C102="01-09",$C102="10-14",$D102="Female"),"",INDEX(VMMC!$AB:$AB,MATCH($E102,VMMC!$E:$E,0)))</f>
        <v/>
      </c>
      <c r="AS102" s="10" t="str">
        <f aca="false">IF(OR($C102="01-09",$C102="10-14"),"",INDEX(PrEP!$Q:$Q,MATCH($E102,PrEP!$E:$E,0)))</f>
        <v/>
      </c>
      <c r="AT102" s="10" t="n">
        <f aca="false">IFERROR(1/(1/SUM($Y102,$AB102,$AE102,$AH102,$AK102,$AO102:$AS102)),"")</f>
        <v>1</v>
      </c>
      <c r="AU102" s="10" t="n">
        <f aca="false">IFERROR(1/(1/SUM($AT102,$AM102)),"")</f>
        <v>-42</v>
      </c>
      <c r="AV102" s="88" t="n">
        <f aca="false">IF(AND(SUM($AM102)=0,SUM($AU102)=0),"",$AM102/$AU102)</f>
        <v>1.02380952380952</v>
      </c>
      <c r="AW102" s="10"/>
      <c r="AX102" s="88" t="str">
        <f aca="false">IF(OR($C102="01-09",SUM($AW102)=0),"",0%)</f>
        <v/>
      </c>
      <c r="AY102" s="39" t="str">
        <f aca="false">IF(OR($C102="01-09",SUM($AW102)=0),"",ROUND($AW102*(1+$AX102),0))</f>
        <v/>
      </c>
      <c r="AZ102" s="88" t="str">
        <f aca="false">IF(OR($C102="01-09",$C102="10-14"),"",100%)</f>
        <v/>
      </c>
      <c r="BA102" s="39" t="str">
        <f aca="false">IF(OR(SUM($AM102)=0,$C102="01-09",$C102="10-14"),"",$AM102*$AZ102)</f>
        <v/>
      </c>
    </row>
    <row r="103" customFormat="false" ht="15" hidden="false" customHeight="false" outlineLevel="0" collapsed="false">
      <c r="A103" s="0" t="str">
        <f aca="false">INDEX(Prioritization!$D:$D,MATCH($B103,Prioritization!$A:$A,0))</f>
        <v>INVALID</v>
      </c>
      <c r="B103" s="0" t="s">
        <v>201</v>
      </c>
      <c r="C103" s="0" t="s">
        <v>365</v>
      </c>
      <c r="D103" s="0" t="s">
        <v>30</v>
      </c>
      <c r="E103" s="0" t="str">
        <f aca="false">$B103&amp;"|"&amp;$C103&amp;"|"&amp;$D103</f>
        <v>Ntcheu District [am530wpaGvr]|15-24|Female</v>
      </c>
      <c r="F103" s="88" t="n">
        <f aca="false">IF(LEFT($B103,4)="_Mil","",INDEX(Cascade!$AA:$AA,MATCH($E103,Cascade!$E:$E,0)))</f>
        <v>1897</v>
      </c>
      <c r="G103" s="10" t="n">
        <f aca="false">INDEX(Cascade!$BH:$BH,MATCH($E103,Cascade!$E:$E,0))</f>
        <v>0</v>
      </c>
      <c r="H103" s="10" t="str">
        <f aca="false">IF(OR($C103="01-09",$D103="Male"),"",INDEX(PMTCT!$AC:$AC,MATCH($E103,PMTCT!$E:$E,0)))</f>
        <v/>
      </c>
      <c r="I103" s="10" t="str">
        <f aca="false">IF(OR($C103="01-09",$D103="Male"),"",INDEX(PMTCT!$AS:$AS,MATCH($E103,PMTCT!$E:$E,0)))</f>
        <v/>
      </c>
      <c r="J103" s="10" t="str">
        <f aca="false">INDEX(TB!$P:$P,MATCH($E103,TB!$E:$E,0))</f>
        <v/>
      </c>
      <c r="K103" s="10" t="str">
        <f aca="false">IF(OR($C103="01-09",$C103="10-14",$D103="Female"),"",INDEX(VMMC!$AA:$AA,MATCH($E103,VMMC!$E:$E,0)))</f>
        <v/>
      </c>
      <c r="L103" s="10" t="n">
        <f aca="false">SUM($G103)-SUM($H103:$K103)</f>
        <v>0</v>
      </c>
      <c r="M103" s="88" t="str">
        <f aca="false">IF(OR($C103="01-09",$D103="Male",AND(SUM($G103)=0,SUM($H103)=0)),"",SUM($H103)/SUM($G103))</f>
        <v/>
      </c>
      <c r="N103" s="88" t="str">
        <f aca="false">IF(OR($C103="01-09",$D103="Male",AND(SUM($G103)=0,SUM($I103)=0)),"",SUM($I103)/SUM($G103))</f>
        <v/>
      </c>
      <c r="O103" s="88" t="str">
        <f aca="false">IF(AND(SUM($G103)=0,SUM($J103)=0),"",SUM($J103)/SUM($G103))</f>
        <v/>
      </c>
      <c r="P103" s="88" t="str">
        <f aca="false">IF(OR($C103="01-09",$C103="10-14",$D103="Female",AND(SUM($G103)=0,SUM($K103)=0)),"",SUM($K103)/SUM($G103))</f>
        <v/>
      </c>
      <c r="Q103" s="88"/>
      <c r="R103" s="88"/>
      <c r="S103" s="88"/>
      <c r="T103" s="88"/>
      <c r="U103" s="88"/>
      <c r="V103" s="88" t="str">
        <f aca="false">IF(SUM($G103)=0,"",SUM($M103:$U103))</f>
        <v/>
      </c>
      <c r="W103" s="88"/>
      <c r="X103" s="39" t="str">
        <f aca="false">IF(OR(SUM($G103)=0,SUM($Q103)=0),"",ROUND(SUM($G103)*SUM($Q103),0))</f>
        <v/>
      </c>
      <c r="Y103" s="39" t="str">
        <f aca="false">IF(SUM($X103)=0,"",IF(SUM($W103)=0,"ENTER YIELD",ROUND($X103/$W103,0)-$X103))</f>
        <v/>
      </c>
      <c r="Z103" s="88"/>
      <c r="AA103" s="39" t="str">
        <f aca="false">IF(OR(SUM($G103)=0,SUM($R103)=0),"",ROUND(SUM($G103)*SUM($R103),0))</f>
        <v/>
      </c>
      <c r="AB103" s="39" t="str">
        <f aca="false">IF(SUM($AA103)=0,"",IF(SUM($Z103)=0,"ENTER YIELD",ROUND($AA103/$Z103,0)-$AA103))</f>
        <v/>
      </c>
      <c r="AC103" s="88"/>
      <c r="AD103" s="39" t="str">
        <f aca="false">IF(OR(SUM($G103)=0,SUM($S103)=0),"",ROUND(SUM($G103)*SUM($S103),0))</f>
        <v/>
      </c>
      <c r="AE103" s="39" t="str">
        <f aca="false">IF(SUM($AD103)=0,"",IF(SUM($AC103)=0,"ENTER YIELD",ROUND($AD103/$AC103,0)-$AD103))</f>
        <v/>
      </c>
      <c r="AF103" s="88"/>
      <c r="AG103" s="39" t="str">
        <f aca="false">IF(OR(SUM($G103)=0,SUM($T103)=0),"",ROUND(SUM($G103)*SUM($T103),0))</f>
        <v/>
      </c>
      <c r="AH103" s="39" t="str">
        <f aca="false">IF(SUM($AG103)=0,"",IF(SUM($AF103)=0,"ENTER YIELD",ROUND($AG103/$AF103,0)-$AG103))</f>
        <v/>
      </c>
      <c r="AI103" s="88"/>
      <c r="AJ103" s="39" t="str">
        <f aca="false">IF(OR(SUM($G103)=0,SUM($U103)=0),"",ROUND(SUM($G103)*SUM($U103),0))</f>
        <v/>
      </c>
      <c r="AK103" s="39" t="str">
        <f aca="false">IF(SUM($AJ103)=0,"",IF(SUM($AI103)=0,"ENTER YIELD",ROUND($AJ103/$AI103,0)-$AJ103))</f>
        <v/>
      </c>
      <c r="AL103" s="10" t="str">
        <f aca="false">IF(SUM($G103)=0,"",$G103)</f>
        <v/>
      </c>
      <c r="AM103" s="10" t="str">
        <f aca="false">IFERROR(1/(1/SUM($H103:$K103,$X103,$AA103,$AD103,$AG103,$AJ103)),"")</f>
        <v/>
      </c>
      <c r="AN103" s="10" t="str">
        <f aca="false">IF(AND(SUM($AM103)=0,SUM($AL103)=0),"",$AM103-$AL103)</f>
        <v/>
      </c>
      <c r="AO103" s="10" t="str">
        <f aca="false">IF(OR($C103="01-09",$D103="Male"),"",INDEX(PMTCT!$AD:$AD,MATCH($E103,PMTCT!$E:$E,0)))</f>
        <v/>
      </c>
      <c r="AP103" s="10" t="str">
        <f aca="false">IF(OR($C103="01-09",$D103="Male"),"",INDEX(PMTCT!$AT:$AT,MATCH($E103,PMTCT!$E:$E,0)))</f>
        <v/>
      </c>
      <c r="AQ103" s="10" t="str">
        <f aca="false">INDEX(TB!$Q:$Q,MATCH($E103,TB!$E:$E,0))</f>
        <v/>
      </c>
      <c r="AR103" s="10" t="str">
        <f aca="false">IF(OR($C103="01-09",$C103="10-14",$D103="Female"),"",INDEX(VMMC!$AB:$AB,MATCH($E103,VMMC!$E:$E,0)))</f>
        <v/>
      </c>
      <c r="AS103" s="10" t="str">
        <f aca="false">IF(OR($C103="01-09",$C103="10-14"),"",INDEX(PrEP!$Q:$Q,MATCH($E103,PrEP!$E:$E,0)))</f>
        <v/>
      </c>
      <c r="AT103" s="10" t="str">
        <f aca="false">IFERROR(1/(1/SUM($Y103,$AB103,$AE103,$AH103,$AK103,$AO103:$AS103)),"")</f>
        <v/>
      </c>
      <c r="AU103" s="10" t="str">
        <f aca="false">IFERROR(1/(1/SUM($AT103,$AM103)),"")</f>
        <v/>
      </c>
      <c r="AV103" s="88" t="str">
        <f aca="false">IF(AND(SUM($AM103)=0,SUM($AU103)=0),"",$AM103/$AU103)</f>
        <v/>
      </c>
      <c r="AW103" s="10"/>
      <c r="AX103" s="88" t="str">
        <f aca="false">IF(OR($C103="01-09",SUM($AW103)=0),"",0%)</f>
        <v/>
      </c>
      <c r="AY103" s="39" t="str">
        <f aca="false">IF(OR($C103="01-09",SUM($AW103)=0),"",ROUND($AW103*(1+$AX103),0))</f>
        <v/>
      </c>
      <c r="AZ103" s="88" t="n">
        <f aca="false">IF(OR($C103="01-09",$C103="10-14"),"",100%)</f>
        <v>1</v>
      </c>
      <c r="BA103" s="39" t="str">
        <f aca="false">IF(OR(SUM($AM103)=0,$C103="01-09",$C103="10-14"),"",$AM103*$AZ103)</f>
        <v/>
      </c>
    </row>
    <row r="104" customFormat="false" ht="15" hidden="false" customHeight="false" outlineLevel="0" collapsed="false">
      <c r="A104" s="0" t="str">
        <f aca="false">INDEX(Prioritization!$D:$D,MATCH($B104,Prioritization!$A:$A,0))</f>
        <v>INVALID</v>
      </c>
      <c r="B104" s="0" t="s">
        <v>201</v>
      </c>
      <c r="C104" s="0" t="s">
        <v>365</v>
      </c>
      <c r="D104" s="0" t="s">
        <v>48</v>
      </c>
      <c r="E104" s="0" t="str">
        <f aca="false">$B104&amp;"|"&amp;$C104&amp;"|"&amp;$D104</f>
        <v>Ntcheu District [am530wpaGvr]|15-24|Male</v>
      </c>
      <c r="F104" s="88" t="n">
        <f aca="false">IF(LEFT($B104,4)="_Mil","",INDEX(Cascade!$AA:$AA,MATCH($E104,Cascade!$E:$E,0)))</f>
        <v>1256</v>
      </c>
      <c r="G104" s="10" t="n">
        <f aca="false">INDEX(Cascade!$BH:$BH,MATCH($E104,Cascade!$E:$E,0))</f>
        <v>0</v>
      </c>
      <c r="H104" s="10" t="str">
        <f aca="false">IF(OR($C104="01-09",$D104="Male"),"",INDEX(PMTCT!$AC:$AC,MATCH($E104,PMTCT!$E:$E,0)))</f>
        <v/>
      </c>
      <c r="I104" s="10" t="str">
        <f aca="false">IF(OR($C104="01-09",$D104="Male"),"",INDEX(PMTCT!$AS:$AS,MATCH($E104,PMTCT!$E:$E,0)))</f>
        <v/>
      </c>
      <c r="J104" s="10" t="str">
        <f aca="false">INDEX(TB!$P:$P,MATCH($E104,TB!$E:$E,0))</f>
        <v/>
      </c>
      <c r="K104" s="10" t="str">
        <f aca="false">IF(OR($C104="01-09",$C104="10-14",$D104="Female"),"",INDEX(VMMC!$AA:$AA,MATCH($E104,VMMC!$E:$E,0)))</f>
        <v/>
      </c>
      <c r="L104" s="10" t="n">
        <f aca="false">SUM($G104)-SUM($H104:$K104)</f>
        <v>0</v>
      </c>
      <c r="M104" s="88" t="str">
        <f aca="false">IF(OR($C104="01-09",$D104="Male",AND(SUM($G104)=0,SUM($H104)=0)),"",SUM($H104)/SUM($G104))</f>
        <v/>
      </c>
      <c r="N104" s="88" t="str">
        <f aca="false">IF(OR($C104="01-09",$D104="Male",AND(SUM($G104)=0,SUM($I104)=0)),"",SUM($I104)/SUM($G104))</f>
        <v/>
      </c>
      <c r="O104" s="88" t="str">
        <f aca="false">IF(AND(SUM($G104)=0,SUM($J104)=0),"",SUM($J104)/SUM($G104))</f>
        <v/>
      </c>
      <c r="P104" s="88" t="str">
        <f aca="false">IF(OR($C104="01-09",$C104="10-14",$D104="Female",AND(SUM($G104)=0,SUM($K104)=0)),"",SUM($K104)/SUM($G104))</f>
        <v/>
      </c>
      <c r="Q104" s="88"/>
      <c r="R104" s="88"/>
      <c r="S104" s="88"/>
      <c r="T104" s="88"/>
      <c r="U104" s="88"/>
      <c r="V104" s="88" t="str">
        <f aca="false">IF(SUM($G104)=0,"",SUM($M104:$U104))</f>
        <v/>
      </c>
      <c r="W104" s="88"/>
      <c r="X104" s="39" t="str">
        <f aca="false">IF(OR(SUM($G104)=0,SUM($Q104)=0),"",ROUND(SUM($G104)*SUM($Q104),0))</f>
        <v/>
      </c>
      <c r="Y104" s="39" t="str">
        <f aca="false">IF(SUM($X104)=0,"",IF(SUM($W104)=0,"ENTER YIELD",ROUND($X104/$W104,0)-$X104))</f>
        <v/>
      </c>
      <c r="Z104" s="88"/>
      <c r="AA104" s="39" t="str">
        <f aca="false">IF(OR(SUM($G104)=0,SUM($R104)=0),"",ROUND(SUM($G104)*SUM($R104),0))</f>
        <v/>
      </c>
      <c r="AB104" s="39" t="str">
        <f aca="false">IF(SUM($AA104)=0,"",IF(SUM($Z104)=0,"ENTER YIELD",ROUND($AA104/$Z104,0)-$AA104))</f>
        <v/>
      </c>
      <c r="AC104" s="88"/>
      <c r="AD104" s="39" t="str">
        <f aca="false">IF(OR(SUM($G104)=0,SUM($S104)=0),"",ROUND(SUM($G104)*SUM($S104),0))</f>
        <v/>
      </c>
      <c r="AE104" s="39" t="str">
        <f aca="false">IF(SUM($AD104)=0,"",IF(SUM($AC104)=0,"ENTER YIELD",ROUND($AD104/$AC104,0)-$AD104))</f>
        <v/>
      </c>
      <c r="AF104" s="88"/>
      <c r="AG104" s="39" t="str">
        <f aca="false">IF(OR(SUM($G104)=0,SUM($T104)=0),"",ROUND(SUM($G104)*SUM($T104),0))</f>
        <v/>
      </c>
      <c r="AH104" s="39" t="str">
        <f aca="false">IF(SUM($AG104)=0,"",IF(SUM($AF104)=0,"ENTER YIELD",ROUND($AG104/$AF104,0)-$AG104))</f>
        <v/>
      </c>
      <c r="AI104" s="88"/>
      <c r="AJ104" s="39" t="str">
        <f aca="false">IF(OR(SUM($G104)=0,SUM($U104)=0),"",ROUND(SUM($G104)*SUM($U104),0))</f>
        <v/>
      </c>
      <c r="AK104" s="39" t="str">
        <f aca="false">IF(SUM($AJ104)=0,"",IF(SUM($AI104)=0,"ENTER YIELD",ROUND($AJ104/$AI104,0)-$AJ104))</f>
        <v/>
      </c>
      <c r="AL104" s="10" t="str">
        <f aca="false">IF(SUM($G104)=0,"",$G104)</f>
        <v/>
      </c>
      <c r="AM104" s="10" t="str">
        <f aca="false">IFERROR(1/(1/SUM($H104:$K104,$X104,$AA104,$AD104,$AG104,$AJ104)),"")</f>
        <v/>
      </c>
      <c r="AN104" s="10" t="str">
        <f aca="false">IF(AND(SUM($AM104)=0,SUM($AL104)=0),"",$AM104-$AL104)</f>
        <v/>
      </c>
      <c r="AO104" s="10" t="str">
        <f aca="false">IF(OR($C104="01-09",$D104="Male"),"",INDEX(PMTCT!$AD:$AD,MATCH($E104,PMTCT!$E:$E,0)))</f>
        <v/>
      </c>
      <c r="AP104" s="10" t="str">
        <f aca="false">IF(OR($C104="01-09",$D104="Male"),"",INDEX(PMTCT!$AT:$AT,MATCH($E104,PMTCT!$E:$E,0)))</f>
        <v/>
      </c>
      <c r="AQ104" s="10" t="str">
        <f aca="false">INDEX(TB!$Q:$Q,MATCH($E104,TB!$E:$E,0))</f>
        <v/>
      </c>
      <c r="AR104" s="10" t="str">
        <f aca="false">IF(OR($C104="01-09",$C104="10-14",$D104="Female"),"",INDEX(VMMC!$AB:$AB,MATCH($E104,VMMC!$E:$E,0)))</f>
        <v/>
      </c>
      <c r="AS104" s="10" t="str">
        <f aca="false">IF(OR($C104="01-09",$C104="10-14"),"",INDEX(PrEP!$Q:$Q,MATCH($E104,PrEP!$E:$E,0)))</f>
        <v/>
      </c>
      <c r="AT104" s="10" t="str">
        <f aca="false">IFERROR(1/(1/SUM($Y104,$AB104,$AE104,$AH104,$AK104,$AO104:$AS104)),"")</f>
        <v/>
      </c>
      <c r="AU104" s="10" t="str">
        <f aca="false">IFERROR(1/(1/SUM($AT104,$AM104)),"")</f>
        <v/>
      </c>
      <c r="AV104" s="88" t="str">
        <f aca="false">IF(AND(SUM($AM104)=0,SUM($AU104)=0),"",$AM104/$AU104)</f>
        <v/>
      </c>
      <c r="AW104" s="10"/>
      <c r="AX104" s="88" t="str">
        <f aca="false">IF(OR($C104="01-09",SUM($AW104)=0),"",0%)</f>
        <v/>
      </c>
      <c r="AY104" s="39" t="str">
        <f aca="false">IF(OR($C104="01-09",SUM($AW104)=0),"",ROUND($AW104*(1+$AX104),0))</f>
        <v/>
      </c>
      <c r="AZ104" s="88" t="n">
        <f aca="false">IF(OR($C104="01-09",$C104="10-14"),"",100%)</f>
        <v>1</v>
      </c>
      <c r="BA104" s="39" t="str">
        <f aca="false">IF(OR(SUM($AM104)=0,$C104="01-09",$C104="10-14"),"",$AM104*$AZ104)</f>
        <v/>
      </c>
    </row>
    <row r="105" customFormat="false" ht="15" hidden="false" customHeight="false" outlineLevel="0" collapsed="false">
      <c r="A105" s="0" t="str">
        <f aca="false">INDEX(Prioritization!$D:$D,MATCH($B105,Prioritization!$A:$A,0))</f>
        <v>INVALID</v>
      </c>
      <c r="B105" s="0" t="s">
        <v>201</v>
      </c>
      <c r="C105" s="0" t="s">
        <v>366</v>
      </c>
      <c r="D105" s="0" t="s">
        <v>30</v>
      </c>
      <c r="E105" s="0" t="str">
        <f aca="false">$B105&amp;"|"&amp;$C105&amp;"|"&amp;$D105</f>
        <v>Ntcheu District [am530wpaGvr]|25-34|Female</v>
      </c>
      <c r="F105" s="88" t="n">
        <f aca="false">IF(LEFT($B105,4)="_Mil","",INDEX(Cascade!$AA:$AA,MATCH($E105,Cascade!$E:$E,0)))</f>
        <v>1115</v>
      </c>
      <c r="G105" s="10" t="n">
        <f aca="false">INDEX(Cascade!$BH:$BH,MATCH($E105,Cascade!$E:$E,0))</f>
        <v>0</v>
      </c>
      <c r="H105" s="10" t="str">
        <f aca="false">IF(OR($C105="01-09",$D105="Male"),"",INDEX(PMTCT!$AC:$AC,MATCH($E105,PMTCT!$E:$E,0)))</f>
        <v/>
      </c>
      <c r="I105" s="10" t="str">
        <f aca="false">IF(OR($C105="01-09",$D105="Male"),"",INDEX(PMTCT!$AS:$AS,MATCH($E105,PMTCT!$E:$E,0)))</f>
        <v/>
      </c>
      <c r="J105" s="10" t="str">
        <f aca="false">INDEX(TB!$P:$P,MATCH($E105,TB!$E:$E,0))</f>
        <v/>
      </c>
      <c r="K105" s="10" t="str">
        <f aca="false">IF(OR($C105="01-09",$C105="10-14",$D105="Female"),"",INDEX(VMMC!$AA:$AA,MATCH($E105,VMMC!$E:$E,0)))</f>
        <v/>
      </c>
      <c r="L105" s="10" t="n">
        <f aca="false">SUM($G105)-SUM($H105:$K105)</f>
        <v>0</v>
      </c>
      <c r="M105" s="88" t="str">
        <f aca="false">IF(OR($C105="01-09",$D105="Male",AND(SUM($G105)=0,SUM($H105)=0)),"",SUM($H105)/SUM($G105))</f>
        <v/>
      </c>
      <c r="N105" s="88" t="str">
        <f aca="false">IF(OR($C105="01-09",$D105="Male",AND(SUM($G105)=0,SUM($I105)=0)),"",SUM($I105)/SUM($G105))</f>
        <v/>
      </c>
      <c r="O105" s="88" t="str">
        <f aca="false">IF(AND(SUM($G105)=0,SUM($J105)=0),"",SUM($J105)/SUM($G105))</f>
        <v/>
      </c>
      <c r="P105" s="88" t="str">
        <f aca="false">IF(OR($C105="01-09",$C105="10-14",$D105="Female",AND(SUM($G105)=0,SUM($K105)=0)),"",SUM($K105)/SUM($G105))</f>
        <v/>
      </c>
      <c r="Q105" s="88"/>
      <c r="R105" s="88"/>
      <c r="S105" s="88"/>
      <c r="T105" s="88"/>
      <c r="U105" s="88"/>
      <c r="V105" s="88" t="str">
        <f aca="false">IF(SUM($G105)=0,"",SUM($M105:$U105))</f>
        <v/>
      </c>
      <c r="W105" s="88"/>
      <c r="X105" s="39" t="str">
        <f aca="false">IF(OR(SUM($G105)=0,SUM($Q105)=0),"",ROUND(SUM($G105)*SUM($Q105),0))</f>
        <v/>
      </c>
      <c r="Y105" s="39" t="str">
        <f aca="false">IF(SUM($X105)=0,"",IF(SUM($W105)=0,"ENTER YIELD",ROUND($X105/$W105,0)-$X105))</f>
        <v/>
      </c>
      <c r="Z105" s="88"/>
      <c r="AA105" s="39" t="str">
        <f aca="false">IF(OR(SUM($G105)=0,SUM($R105)=0),"",ROUND(SUM($G105)*SUM($R105),0))</f>
        <v/>
      </c>
      <c r="AB105" s="39" t="str">
        <f aca="false">IF(SUM($AA105)=0,"",IF(SUM($Z105)=0,"ENTER YIELD",ROUND($AA105/$Z105,0)-$AA105))</f>
        <v/>
      </c>
      <c r="AC105" s="88"/>
      <c r="AD105" s="39" t="str">
        <f aca="false">IF(OR(SUM($G105)=0,SUM($S105)=0),"",ROUND(SUM($G105)*SUM($S105),0))</f>
        <v/>
      </c>
      <c r="AE105" s="39" t="str">
        <f aca="false">IF(SUM($AD105)=0,"",IF(SUM($AC105)=0,"ENTER YIELD",ROUND($AD105/$AC105,0)-$AD105))</f>
        <v/>
      </c>
      <c r="AF105" s="88"/>
      <c r="AG105" s="39" t="str">
        <f aca="false">IF(OR(SUM($G105)=0,SUM($T105)=0),"",ROUND(SUM($G105)*SUM($T105),0))</f>
        <v/>
      </c>
      <c r="AH105" s="39" t="str">
        <f aca="false">IF(SUM($AG105)=0,"",IF(SUM($AF105)=0,"ENTER YIELD",ROUND($AG105/$AF105,0)-$AG105))</f>
        <v/>
      </c>
      <c r="AI105" s="88"/>
      <c r="AJ105" s="39" t="str">
        <f aca="false">IF(OR(SUM($G105)=0,SUM($U105)=0),"",ROUND(SUM($G105)*SUM($U105),0))</f>
        <v/>
      </c>
      <c r="AK105" s="39" t="str">
        <f aca="false">IF(SUM($AJ105)=0,"",IF(SUM($AI105)=0,"ENTER YIELD",ROUND($AJ105/$AI105,0)-$AJ105))</f>
        <v/>
      </c>
      <c r="AL105" s="10" t="str">
        <f aca="false">IF(SUM($G105)=0,"",$G105)</f>
        <v/>
      </c>
      <c r="AM105" s="10" t="str">
        <f aca="false">IFERROR(1/(1/SUM($H105:$K105,$X105,$AA105,$AD105,$AG105,$AJ105)),"")</f>
        <v/>
      </c>
      <c r="AN105" s="10" t="str">
        <f aca="false">IF(AND(SUM($AM105)=0,SUM($AL105)=0),"",$AM105-$AL105)</f>
        <v/>
      </c>
      <c r="AO105" s="10" t="str">
        <f aca="false">IF(OR($C105="01-09",$D105="Male"),"",INDEX(PMTCT!$AD:$AD,MATCH($E105,PMTCT!$E:$E,0)))</f>
        <v/>
      </c>
      <c r="AP105" s="10" t="str">
        <f aca="false">IF(OR($C105="01-09",$D105="Male"),"",INDEX(PMTCT!$AT:$AT,MATCH($E105,PMTCT!$E:$E,0)))</f>
        <v/>
      </c>
      <c r="AQ105" s="10" t="str">
        <f aca="false">INDEX(TB!$Q:$Q,MATCH($E105,TB!$E:$E,0))</f>
        <v/>
      </c>
      <c r="AR105" s="10" t="str">
        <f aca="false">IF(OR($C105="01-09",$C105="10-14",$D105="Female"),"",INDEX(VMMC!$AB:$AB,MATCH($E105,VMMC!$E:$E,0)))</f>
        <v/>
      </c>
      <c r="AS105" s="10" t="str">
        <f aca="false">IF(OR($C105="01-09",$C105="10-14"),"",INDEX(PrEP!$Q:$Q,MATCH($E105,PrEP!$E:$E,0)))</f>
        <v/>
      </c>
      <c r="AT105" s="10" t="str">
        <f aca="false">IFERROR(1/(1/SUM($Y105,$AB105,$AE105,$AH105,$AK105,$AO105:$AS105)),"")</f>
        <v/>
      </c>
      <c r="AU105" s="10" t="str">
        <f aca="false">IFERROR(1/(1/SUM($AT105,$AM105)),"")</f>
        <v/>
      </c>
      <c r="AV105" s="88" t="str">
        <f aca="false">IF(AND(SUM($AM105)=0,SUM($AU105)=0),"",$AM105/$AU105)</f>
        <v/>
      </c>
      <c r="AW105" s="10"/>
      <c r="AX105" s="88" t="str">
        <f aca="false">IF(OR($C105="01-09",SUM($AW105)=0),"",0%)</f>
        <v/>
      </c>
      <c r="AY105" s="39" t="str">
        <f aca="false">IF(OR($C105="01-09",SUM($AW105)=0),"",ROUND($AW105*(1+$AX105),0))</f>
        <v/>
      </c>
      <c r="AZ105" s="88" t="n">
        <f aca="false">IF(OR($C105="01-09",$C105="10-14"),"",100%)</f>
        <v>1</v>
      </c>
      <c r="BA105" s="39" t="str">
        <f aca="false">IF(OR(SUM($AM105)=0,$C105="01-09",$C105="10-14"),"",$AM105*$AZ105)</f>
        <v/>
      </c>
    </row>
    <row r="106" customFormat="false" ht="15" hidden="false" customHeight="false" outlineLevel="0" collapsed="false">
      <c r="A106" s="0" t="str">
        <f aca="false">INDEX(Prioritization!$D:$D,MATCH($B106,Prioritization!$A:$A,0))</f>
        <v>INVALID</v>
      </c>
      <c r="B106" s="0" t="s">
        <v>201</v>
      </c>
      <c r="C106" s="0" t="s">
        <v>366</v>
      </c>
      <c r="D106" s="0" t="s">
        <v>48</v>
      </c>
      <c r="E106" s="0" t="str">
        <f aca="false">$B106&amp;"|"&amp;$C106&amp;"|"&amp;$D106</f>
        <v>Ntcheu District [am530wpaGvr]|25-34|Male</v>
      </c>
      <c r="F106" s="88" t="n">
        <f aca="false">IF(LEFT($B106,4)="_Mil","",INDEX(Cascade!$AA:$AA,MATCH($E106,Cascade!$E:$E,0)))</f>
        <v>506</v>
      </c>
      <c r="G106" s="10" t="n">
        <f aca="false">INDEX(Cascade!$BH:$BH,MATCH($E106,Cascade!$E:$E,0))</f>
        <v>0</v>
      </c>
      <c r="H106" s="10" t="str">
        <f aca="false">IF(OR($C106="01-09",$D106="Male"),"",INDEX(PMTCT!$AC:$AC,MATCH($E106,PMTCT!$E:$E,0)))</f>
        <v/>
      </c>
      <c r="I106" s="10" t="str">
        <f aca="false">IF(OR($C106="01-09",$D106="Male"),"",INDEX(PMTCT!$AS:$AS,MATCH($E106,PMTCT!$E:$E,0)))</f>
        <v/>
      </c>
      <c r="J106" s="10" t="str">
        <f aca="false">INDEX(TB!$P:$P,MATCH($E106,TB!$E:$E,0))</f>
        <v/>
      </c>
      <c r="K106" s="10" t="str">
        <f aca="false">IF(OR($C106="01-09",$C106="10-14",$D106="Female"),"",INDEX(VMMC!$AA:$AA,MATCH($E106,VMMC!$E:$E,0)))</f>
        <v/>
      </c>
      <c r="L106" s="10" t="n">
        <f aca="false">SUM($G106)-SUM($H106:$K106)</f>
        <v>0</v>
      </c>
      <c r="M106" s="88" t="str">
        <f aca="false">IF(OR($C106="01-09",$D106="Male",AND(SUM($G106)=0,SUM($H106)=0)),"",SUM($H106)/SUM($G106))</f>
        <v/>
      </c>
      <c r="N106" s="88" t="str">
        <f aca="false">IF(OR($C106="01-09",$D106="Male",AND(SUM($G106)=0,SUM($I106)=0)),"",SUM($I106)/SUM($G106))</f>
        <v/>
      </c>
      <c r="O106" s="88" t="str">
        <f aca="false">IF(AND(SUM($G106)=0,SUM($J106)=0),"",SUM($J106)/SUM($G106))</f>
        <v/>
      </c>
      <c r="P106" s="88" t="str">
        <f aca="false">IF(OR($C106="01-09",$C106="10-14",$D106="Female",AND(SUM($G106)=0,SUM($K106)=0)),"",SUM($K106)/SUM($G106))</f>
        <v/>
      </c>
      <c r="Q106" s="88"/>
      <c r="R106" s="88"/>
      <c r="S106" s="88"/>
      <c r="T106" s="88"/>
      <c r="U106" s="88"/>
      <c r="V106" s="88" t="str">
        <f aca="false">IF(SUM($G106)=0,"",SUM($M106:$U106))</f>
        <v/>
      </c>
      <c r="W106" s="88"/>
      <c r="X106" s="39" t="str">
        <f aca="false">IF(OR(SUM($G106)=0,SUM($Q106)=0),"",ROUND(SUM($G106)*SUM($Q106),0))</f>
        <v/>
      </c>
      <c r="Y106" s="39" t="str">
        <f aca="false">IF(SUM($X106)=0,"",IF(SUM($W106)=0,"ENTER YIELD",ROUND($X106/$W106,0)-$X106))</f>
        <v/>
      </c>
      <c r="Z106" s="88"/>
      <c r="AA106" s="39" t="str">
        <f aca="false">IF(OR(SUM($G106)=0,SUM($R106)=0),"",ROUND(SUM($G106)*SUM($R106),0))</f>
        <v/>
      </c>
      <c r="AB106" s="39" t="str">
        <f aca="false">IF(SUM($AA106)=0,"",IF(SUM($Z106)=0,"ENTER YIELD",ROUND($AA106/$Z106,0)-$AA106))</f>
        <v/>
      </c>
      <c r="AC106" s="88"/>
      <c r="AD106" s="39" t="str">
        <f aca="false">IF(OR(SUM($G106)=0,SUM($S106)=0),"",ROUND(SUM($G106)*SUM($S106),0))</f>
        <v/>
      </c>
      <c r="AE106" s="39" t="str">
        <f aca="false">IF(SUM($AD106)=0,"",IF(SUM($AC106)=0,"ENTER YIELD",ROUND($AD106/$AC106,0)-$AD106))</f>
        <v/>
      </c>
      <c r="AF106" s="88"/>
      <c r="AG106" s="39" t="str">
        <f aca="false">IF(OR(SUM($G106)=0,SUM($T106)=0),"",ROUND(SUM($G106)*SUM($T106),0))</f>
        <v/>
      </c>
      <c r="AH106" s="39" t="str">
        <f aca="false">IF(SUM($AG106)=0,"",IF(SUM($AF106)=0,"ENTER YIELD",ROUND($AG106/$AF106,0)-$AG106))</f>
        <v/>
      </c>
      <c r="AI106" s="88"/>
      <c r="AJ106" s="39" t="str">
        <f aca="false">IF(OR(SUM($G106)=0,SUM($U106)=0),"",ROUND(SUM($G106)*SUM($U106),0))</f>
        <v/>
      </c>
      <c r="AK106" s="39" t="str">
        <f aca="false">IF(SUM($AJ106)=0,"",IF(SUM($AI106)=0,"ENTER YIELD",ROUND($AJ106/$AI106,0)-$AJ106))</f>
        <v/>
      </c>
      <c r="AL106" s="10" t="str">
        <f aca="false">IF(SUM($G106)=0,"",$G106)</f>
        <v/>
      </c>
      <c r="AM106" s="10" t="str">
        <f aca="false">IFERROR(1/(1/SUM($H106:$K106,$X106,$AA106,$AD106,$AG106,$AJ106)),"")</f>
        <v/>
      </c>
      <c r="AN106" s="10" t="str">
        <f aca="false">IF(AND(SUM($AM106)=0,SUM($AL106)=0),"",$AM106-$AL106)</f>
        <v/>
      </c>
      <c r="AO106" s="10" t="str">
        <f aca="false">IF(OR($C106="01-09",$D106="Male"),"",INDEX(PMTCT!$AD:$AD,MATCH($E106,PMTCT!$E:$E,0)))</f>
        <v/>
      </c>
      <c r="AP106" s="10" t="str">
        <f aca="false">IF(OR($C106="01-09",$D106="Male"),"",INDEX(PMTCT!$AT:$AT,MATCH($E106,PMTCT!$E:$E,0)))</f>
        <v/>
      </c>
      <c r="AQ106" s="10" t="str">
        <f aca="false">INDEX(TB!$Q:$Q,MATCH($E106,TB!$E:$E,0))</f>
        <v/>
      </c>
      <c r="AR106" s="10" t="str">
        <f aca="false">IF(OR($C106="01-09",$C106="10-14",$D106="Female"),"",INDEX(VMMC!$AB:$AB,MATCH($E106,VMMC!$E:$E,0)))</f>
        <v/>
      </c>
      <c r="AS106" s="10" t="str">
        <f aca="false">IF(OR($C106="01-09",$C106="10-14"),"",INDEX(PrEP!$Q:$Q,MATCH($E106,PrEP!$E:$E,0)))</f>
        <v/>
      </c>
      <c r="AT106" s="10" t="str">
        <f aca="false">IFERROR(1/(1/SUM($Y106,$AB106,$AE106,$AH106,$AK106,$AO106:$AS106)),"")</f>
        <v/>
      </c>
      <c r="AU106" s="10" t="str">
        <f aca="false">IFERROR(1/(1/SUM($AT106,$AM106)),"")</f>
        <v/>
      </c>
      <c r="AV106" s="88" t="str">
        <f aca="false">IF(AND(SUM($AM106)=0,SUM($AU106)=0),"",$AM106/$AU106)</f>
        <v/>
      </c>
      <c r="AW106" s="10"/>
      <c r="AX106" s="88" t="str">
        <f aca="false">IF(OR($C106="01-09",SUM($AW106)=0),"",0%)</f>
        <v/>
      </c>
      <c r="AY106" s="39" t="str">
        <f aca="false">IF(OR($C106="01-09",SUM($AW106)=0),"",ROUND($AW106*(1+$AX106),0))</f>
        <v/>
      </c>
      <c r="AZ106" s="88" t="n">
        <f aca="false">IF(OR($C106="01-09",$C106="10-14"),"",100%)</f>
        <v>1</v>
      </c>
      <c r="BA106" s="39" t="str">
        <f aca="false">IF(OR(SUM($AM106)=0,$C106="01-09",$C106="10-14"),"",$AM106*$AZ106)</f>
        <v/>
      </c>
    </row>
    <row r="107" customFormat="false" ht="15" hidden="false" customHeight="false" outlineLevel="0" collapsed="false">
      <c r="A107" s="0" t="str">
        <f aca="false">INDEX(Prioritization!$D:$D,MATCH($B107,Prioritization!$A:$A,0))</f>
        <v>INVALID</v>
      </c>
      <c r="B107" s="0" t="s">
        <v>201</v>
      </c>
      <c r="C107" s="0" t="s">
        <v>367</v>
      </c>
      <c r="D107" s="0" t="s">
        <v>30</v>
      </c>
      <c r="E107" s="0" t="str">
        <f aca="false">$B107&amp;"|"&amp;$C107&amp;"|"&amp;$D107</f>
        <v>Ntcheu District [am530wpaGvr]|35-49|Female</v>
      </c>
      <c r="F107" s="88" t="n">
        <f aca="false">IF(LEFT($B107,4)="_Mil","",INDEX(Cascade!$AA:$AA,MATCH($E107,Cascade!$E:$E,0)))</f>
        <v>1338</v>
      </c>
      <c r="G107" s="10" t="n">
        <f aca="false">INDEX(Cascade!$BH:$BH,MATCH($E107,Cascade!$E:$E,0))</f>
        <v>0</v>
      </c>
      <c r="H107" s="10" t="str">
        <f aca="false">IF(OR($C107="01-09",$D107="Male"),"",INDEX(PMTCT!$AC:$AC,MATCH($E107,PMTCT!$E:$E,0)))</f>
        <v/>
      </c>
      <c r="I107" s="10" t="str">
        <f aca="false">IF(OR($C107="01-09",$D107="Male"),"",INDEX(PMTCT!$AS:$AS,MATCH($E107,PMTCT!$E:$E,0)))</f>
        <v/>
      </c>
      <c r="J107" s="10" t="str">
        <f aca="false">INDEX(TB!$P:$P,MATCH($E107,TB!$E:$E,0))</f>
        <v/>
      </c>
      <c r="K107" s="10" t="str">
        <f aca="false">IF(OR($C107="01-09",$C107="10-14",$D107="Female"),"",INDEX(VMMC!$AA:$AA,MATCH($E107,VMMC!$E:$E,0)))</f>
        <v/>
      </c>
      <c r="L107" s="10" t="n">
        <f aca="false">SUM($G107)-SUM($H107:$K107)</f>
        <v>0</v>
      </c>
      <c r="M107" s="88" t="str">
        <f aca="false">IF(OR($C107="01-09",$D107="Male",AND(SUM($G107)=0,SUM($H107)=0)),"",SUM($H107)/SUM($G107))</f>
        <v/>
      </c>
      <c r="N107" s="88" t="str">
        <f aca="false">IF(OR($C107="01-09",$D107="Male",AND(SUM($G107)=0,SUM($I107)=0)),"",SUM($I107)/SUM($G107))</f>
        <v/>
      </c>
      <c r="O107" s="88" t="str">
        <f aca="false">IF(AND(SUM($G107)=0,SUM($J107)=0),"",SUM($J107)/SUM($G107))</f>
        <v/>
      </c>
      <c r="P107" s="88" t="str">
        <f aca="false">IF(OR($C107="01-09",$C107="10-14",$D107="Female",AND(SUM($G107)=0,SUM($K107)=0)),"",SUM($K107)/SUM($G107))</f>
        <v/>
      </c>
      <c r="Q107" s="88"/>
      <c r="R107" s="88"/>
      <c r="S107" s="88"/>
      <c r="T107" s="88"/>
      <c r="U107" s="88"/>
      <c r="V107" s="88" t="str">
        <f aca="false">IF(SUM($G107)=0,"",SUM($M107:$U107))</f>
        <v/>
      </c>
      <c r="W107" s="88"/>
      <c r="X107" s="39" t="str">
        <f aca="false">IF(OR(SUM($G107)=0,SUM($Q107)=0),"",ROUND(SUM($G107)*SUM($Q107),0))</f>
        <v/>
      </c>
      <c r="Y107" s="39" t="str">
        <f aca="false">IF(SUM($X107)=0,"",IF(SUM($W107)=0,"ENTER YIELD",ROUND($X107/$W107,0)-$X107))</f>
        <v/>
      </c>
      <c r="Z107" s="88"/>
      <c r="AA107" s="39" t="str">
        <f aca="false">IF(OR(SUM($G107)=0,SUM($R107)=0),"",ROUND(SUM($G107)*SUM($R107),0))</f>
        <v/>
      </c>
      <c r="AB107" s="39" t="str">
        <f aca="false">IF(SUM($AA107)=0,"",IF(SUM($Z107)=0,"ENTER YIELD",ROUND($AA107/$Z107,0)-$AA107))</f>
        <v/>
      </c>
      <c r="AC107" s="88"/>
      <c r="AD107" s="39" t="str">
        <f aca="false">IF(OR(SUM($G107)=0,SUM($S107)=0),"",ROUND(SUM($G107)*SUM($S107),0))</f>
        <v/>
      </c>
      <c r="AE107" s="39" t="str">
        <f aca="false">IF(SUM($AD107)=0,"",IF(SUM($AC107)=0,"ENTER YIELD",ROUND($AD107/$AC107,0)-$AD107))</f>
        <v/>
      </c>
      <c r="AF107" s="88"/>
      <c r="AG107" s="39" t="str">
        <f aca="false">IF(OR(SUM($G107)=0,SUM($T107)=0),"",ROUND(SUM($G107)*SUM($T107),0))</f>
        <v/>
      </c>
      <c r="AH107" s="39" t="str">
        <f aca="false">IF(SUM($AG107)=0,"",IF(SUM($AF107)=0,"ENTER YIELD",ROUND($AG107/$AF107,0)-$AG107))</f>
        <v/>
      </c>
      <c r="AI107" s="88"/>
      <c r="AJ107" s="39" t="str">
        <f aca="false">IF(OR(SUM($G107)=0,SUM($U107)=0),"",ROUND(SUM($G107)*SUM($U107),0))</f>
        <v/>
      </c>
      <c r="AK107" s="39" t="str">
        <f aca="false">IF(SUM($AJ107)=0,"",IF(SUM($AI107)=0,"ENTER YIELD",ROUND($AJ107/$AI107,0)-$AJ107))</f>
        <v/>
      </c>
      <c r="AL107" s="10" t="str">
        <f aca="false">IF(SUM($G107)=0,"",$G107)</f>
        <v/>
      </c>
      <c r="AM107" s="10" t="str">
        <f aca="false">IFERROR(1/(1/SUM($H107:$K107,$X107,$AA107,$AD107,$AG107,$AJ107)),"")</f>
        <v/>
      </c>
      <c r="AN107" s="10" t="str">
        <f aca="false">IF(AND(SUM($AM107)=0,SUM($AL107)=0),"",$AM107-$AL107)</f>
        <v/>
      </c>
      <c r="AO107" s="10" t="str">
        <f aca="false">IF(OR($C107="01-09",$D107="Male"),"",INDEX(PMTCT!$AD:$AD,MATCH($E107,PMTCT!$E:$E,0)))</f>
        <v/>
      </c>
      <c r="AP107" s="10" t="str">
        <f aca="false">IF(OR($C107="01-09",$D107="Male"),"",INDEX(PMTCT!$AT:$AT,MATCH($E107,PMTCT!$E:$E,0)))</f>
        <v/>
      </c>
      <c r="AQ107" s="10" t="str">
        <f aca="false">INDEX(TB!$Q:$Q,MATCH($E107,TB!$E:$E,0))</f>
        <v/>
      </c>
      <c r="AR107" s="10" t="str">
        <f aca="false">IF(OR($C107="01-09",$C107="10-14",$D107="Female"),"",INDEX(VMMC!$AB:$AB,MATCH($E107,VMMC!$E:$E,0)))</f>
        <v/>
      </c>
      <c r="AS107" s="10" t="str">
        <f aca="false">IF(OR($C107="01-09",$C107="10-14"),"",INDEX(PrEP!$Q:$Q,MATCH($E107,PrEP!$E:$E,0)))</f>
        <v/>
      </c>
      <c r="AT107" s="10" t="str">
        <f aca="false">IFERROR(1/(1/SUM($Y107,$AB107,$AE107,$AH107,$AK107,$AO107:$AS107)),"")</f>
        <v/>
      </c>
      <c r="AU107" s="10" t="str">
        <f aca="false">IFERROR(1/(1/SUM($AT107,$AM107)),"")</f>
        <v/>
      </c>
      <c r="AV107" s="88" t="str">
        <f aca="false">IF(AND(SUM($AM107)=0,SUM($AU107)=0),"",$AM107/$AU107)</f>
        <v/>
      </c>
      <c r="AW107" s="10"/>
      <c r="AX107" s="88" t="str">
        <f aca="false">IF(OR($C107="01-09",SUM($AW107)=0),"",0%)</f>
        <v/>
      </c>
      <c r="AY107" s="39" t="str">
        <f aca="false">IF(OR($C107="01-09",SUM($AW107)=0),"",ROUND($AW107*(1+$AX107),0))</f>
        <v/>
      </c>
      <c r="AZ107" s="88" t="n">
        <f aca="false">IF(OR($C107="01-09",$C107="10-14"),"",100%)</f>
        <v>1</v>
      </c>
      <c r="BA107" s="39" t="str">
        <f aca="false">IF(OR(SUM($AM107)=0,$C107="01-09",$C107="10-14"),"",$AM107*$AZ107)</f>
        <v/>
      </c>
    </row>
    <row r="108" customFormat="false" ht="15" hidden="false" customHeight="false" outlineLevel="0" collapsed="false">
      <c r="A108" s="0" t="str">
        <f aca="false">INDEX(Prioritization!$D:$D,MATCH($B108,Prioritization!$A:$A,0))</f>
        <v>INVALID</v>
      </c>
      <c r="B108" s="0" t="s">
        <v>201</v>
      </c>
      <c r="C108" s="0" t="s">
        <v>367</v>
      </c>
      <c r="D108" s="0" t="s">
        <v>48</v>
      </c>
      <c r="E108" s="0" t="str">
        <f aca="false">$B108&amp;"|"&amp;$C108&amp;"|"&amp;$D108</f>
        <v>Ntcheu District [am530wpaGvr]|35-49|Male</v>
      </c>
      <c r="F108" s="88" t="n">
        <f aca="false">IF(LEFT($B108,4)="_Mil","",INDEX(Cascade!$AA:$AA,MATCH($E108,Cascade!$E:$E,0)))</f>
        <v>697</v>
      </c>
      <c r="G108" s="10" t="n">
        <f aca="false">INDEX(Cascade!$BH:$BH,MATCH($E108,Cascade!$E:$E,0))</f>
        <v>0</v>
      </c>
      <c r="H108" s="10" t="str">
        <f aca="false">IF(OR($C108="01-09",$D108="Male"),"",INDEX(PMTCT!$AC:$AC,MATCH($E108,PMTCT!$E:$E,0)))</f>
        <v/>
      </c>
      <c r="I108" s="10" t="str">
        <f aca="false">IF(OR($C108="01-09",$D108="Male"),"",INDEX(PMTCT!$AS:$AS,MATCH($E108,PMTCT!$E:$E,0)))</f>
        <v/>
      </c>
      <c r="J108" s="10" t="str">
        <f aca="false">INDEX(TB!$P:$P,MATCH($E108,TB!$E:$E,0))</f>
        <v/>
      </c>
      <c r="K108" s="10" t="str">
        <f aca="false">IF(OR($C108="01-09",$C108="10-14",$D108="Female"),"",INDEX(VMMC!$AA:$AA,MATCH($E108,VMMC!$E:$E,0)))</f>
        <v/>
      </c>
      <c r="L108" s="10" t="n">
        <f aca="false">SUM($G108)-SUM($H108:$K108)</f>
        <v>0</v>
      </c>
      <c r="M108" s="88" t="str">
        <f aca="false">IF(OR($C108="01-09",$D108="Male",AND(SUM($G108)=0,SUM($H108)=0)),"",SUM($H108)/SUM($G108))</f>
        <v/>
      </c>
      <c r="N108" s="88" t="str">
        <f aca="false">IF(OR($C108="01-09",$D108="Male",AND(SUM($G108)=0,SUM($I108)=0)),"",SUM($I108)/SUM($G108))</f>
        <v/>
      </c>
      <c r="O108" s="88" t="str">
        <f aca="false">IF(AND(SUM($G108)=0,SUM($J108)=0),"",SUM($J108)/SUM($G108))</f>
        <v/>
      </c>
      <c r="P108" s="88" t="str">
        <f aca="false">IF(OR($C108="01-09",$C108="10-14",$D108="Female",AND(SUM($G108)=0,SUM($K108)=0)),"",SUM($K108)/SUM($G108))</f>
        <v/>
      </c>
      <c r="Q108" s="88"/>
      <c r="R108" s="88"/>
      <c r="S108" s="88"/>
      <c r="T108" s="88"/>
      <c r="U108" s="88"/>
      <c r="V108" s="88" t="str">
        <f aca="false">IF(SUM($G108)=0,"",SUM($M108:$U108))</f>
        <v/>
      </c>
      <c r="W108" s="88"/>
      <c r="X108" s="39" t="str">
        <f aca="false">IF(OR(SUM($G108)=0,SUM($Q108)=0),"",ROUND(SUM($G108)*SUM($Q108),0))</f>
        <v/>
      </c>
      <c r="Y108" s="39" t="str">
        <f aca="false">IF(SUM($X108)=0,"",IF(SUM($W108)=0,"ENTER YIELD",ROUND($X108/$W108,0)-$X108))</f>
        <v/>
      </c>
      <c r="Z108" s="88"/>
      <c r="AA108" s="39" t="str">
        <f aca="false">IF(OR(SUM($G108)=0,SUM($R108)=0),"",ROUND(SUM($G108)*SUM($R108),0))</f>
        <v/>
      </c>
      <c r="AB108" s="39" t="str">
        <f aca="false">IF(SUM($AA108)=0,"",IF(SUM($Z108)=0,"ENTER YIELD",ROUND($AA108/$Z108,0)-$AA108))</f>
        <v/>
      </c>
      <c r="AC108" s="88"/>
      <c r="AD108" s="39" t="str">
        <f aca="false">IF(OR(SUM($G108)=0,SUM($S108)=0),"",ROUND(SUM($G108)*SUM($S108),0))</f>
        <v/>
      </c>
      <c r="AE108" s="39" t="str">
        <f aca="false">IF(SUM($AD108)=0,"",IF(SUM($AC108)=0,"ENTER YIELD",ROUND($AD108/$AC108,0)-$AD108))</f>
        <v/>
      </c>
      <c r="AF108" s="88"/>
      <c r="AG108" s="39" t="str">
        <f aca="false">IF(OR(SUM($G108)=0,SUM($T108)=0),"",ROUND(SUM($G108)*SUM($T108),0))</f>
        <v/>
      </c>
      <c r="AH108" s="39" t="str">
        <f aca="false">IF(SUM($AG108)=0,"",IF(SUM($AF108)=0,"ENTER YIELD",ROUND($AG108/$AF108,0)-$AG108))</f>
        <v/>
      </c>
      <c r="AI108" s="88"/>
      <c r="AJ108" s="39" t="str">
        <f aca="false">IF(OR(SUM($G108)=0,SUM($U108)=0),"",ROUND(SUM($G108)*SUM($U108),0))</f>
        <v/>
      </c>
      <c r="AK108" s="39" t="str">
        <f aca="false">IF(SUM($AJ108)=0,"",IF(SUM($AI108)=0,"ENTER YIELD",ROUND($AJ108/$AI108,0)-$AJ108))</f>
        <v/>
      </c>
      <c r="AL108" s="10" t="str">
        <f aca="false">IF(SUM($G108)=0,"",$G108)</f>
        <v/>
      </c>
      <c r="AM108" s="10" t="str">
        <f aca="false">IFERROR(1/(1/SUM($H108:$K108,$X108,$AA108,$AD108,$AG108,$AJ108)),"")</f>
        <v/>
      </c>
      <c r="AN108" s="10" t="str">
        <f aca="false">IF(AND(SUM($AM108)=0,SUM($AL108)=0),"",$AM108-$AL108)</f>
        <v/>
      </c>
      <c r="AO108" s="10" t="str">
        <f aca="false">IF(OR($C108="01-09",$D108="Male"),"",INDEX(PMTCT!$AD:$AD,MATCH($E108,PMTCT!$E:$E,0)))</f>
        <v/>
      </c>
      <c r="AP108" s="10" t="str">
        <f aca="false">IF(OR($C108="01-09",$D108="Male"),"",INDEX(PMTCT!$AT:$AT,MATCH($E108,PMTCT!$E:$E,0)))</f>
        <v/>
      </c>
      <c r="AQ108" s="10" t="str">
        <f aca="false">INDEX(TB!$Q:$Q,MATCH($E108,TB!$E:$E,0))</f>
        <v/>
      </c>
      <c r="AR108" s="10" t="str">
        <f aca="false">IF(OR($C108="01-09",$C108="10-14",$D108="Female"),"",INDEX(VMMC!$AB:$AB,MATCH($E108,VMMC!$E:$E,0)))</f>
        <v/>
      </c>
      <c r="AS108" s="10" t="str">
        <f aca="false">IF(OR($C108="01-09",$C108="10-14"),"",INDEX(PrEP!$Q:$Q,MATCH($E108,PrEP!$E:$E,0)))</f>
        <v/>
      </c>
      <c r="AT108" s="10" t="str">
        <f aca="false">IFERROR(1/(1/SUM($Y108,$AB108,$AE108,$AH108,$AK108,$AO108:$AS108)),"")</f>
        <v/>
      </c>
      <c r="AU108" s="10" t="str">
        <f aca="false">IFERROR(1/(1/SUM($AT108,$AM108)),"")</f>
        <v/>
      </c>
      <c r="AV108" s="88" t="str">
        <f aca="false">IF(AND(SUM($AM108)=0,SUM($AU108)=0),"",$AM108/$AU108)</f>
        <v/>
      </c>
      <c r="AW108" s="10"/>
      <c r="AX108" s="88" t="str">
        <f aca="false">IF(OR($C108="01-09",SUM($AW108)=0),"",0%)</f>
        <v/>
      </c>
      <c r="AY108" s="39" t="str">
        <f aca="false">IF(OR($C108="01-09",SUM($AW108)=0),"",ROUND($AW108*(1+$AX108),0))</f>
        <v/>
      </c>
      <c r="AZ108" s="88" t="n">
        <f aca="false">IF(OR($C108="01-09",$C108="10-14"),"",100%)</f>
        <v>1</v>
      </c>
      <c r="BA108" s="39" t="str">
        <f aca="false">IF(OR(SUM($AM108)=0,$C108="01-09",$C108="10-14"),"",$AM108*$AZ108)</f>
        <v/>
      </c>
    </row>
    <row r="109" customFormat="false" ht="15" hidden="false" customHeight="false" outlineLevel="0" collapsed="false">
      <c r="A109" s="0" t="str">
        <f aca="false">INDEX(Prioritization!$D:$D,MATCH($B109,Prioritization!$A:$A,0))</f>
        <v>INVALID</v>
      </c>
      <c r="B109" s="0" t="s">
        <v>201</v>
      </c>
      <c r="C109" s="0" t="s">
        <v>368</v>
      </c>
      <c r="D109" s="0" t="s">
        <v>30</v>
      </c>
      <c r="E109" s="0" t="str">
        <f aca="false">$B109&amp;"|"&amp;$C109&amp;"|"&amp;$D109</f>
        <v>Ntcheu District [am530wpaGvr]|50+|Female</v>
      </c>
      <c r="F109" s="88" t="n">
        <f aca="false">IF(LEFT($B109,4)="_Mil","",INDEX(Cascade!$AA:$AA,MATCH($E109,Cascade!$E:$E,0)))</f>
        <v>1518</v>
      </c>
      <c r="G109" s="10" t="n">
        <f aca="false">INDEX(Cascade!$BH:$BH,MATCH($E109,Cascade!$E:$E,0))</f>
        <v>0</v>
      </c>
      <c r="H109" s="10" t="str">
        <f aca="false">IF(OR($C109="01-09",$D109="Male"),"",INDEX(PMTCT!$AC:$AC,MATCH($E109,PMTCT!$E:$E,0)))</f>
        <v/>
      </c>
      <c r="I109" s="10" t="str">
        <f aca="false">IF(OR($C109="01-09",$D109="Male"),"",INDEX(PMTCT!$AS:$AS,MATCH($E109,PMTCT!$E:$E,0)))</f>
        <v/>
      </c>
      <c r="J109" s="10" t="str">
        <f aca="false">INDEX(TB!$P:$P,MATCH($E109,TB!$E:$E,0))</f>
        <v/>
      </c>
      <c r="K109" s="10" t="str">
        <f aca="false">IF(OR($C109="01-09",$C109="10-14",$D109="Female"),"",INDEX(VMMC!$AA:$AA,MATCH($E109,VMMC!$E:$E,0)))</f>
        <v/>
      </c>
      <c r="L109" s="10" t="n">
        <f aca="false">SUM($G109)-SUM($H109:$K109)</f>
        <v>0</v>
      </c>
      <c r="M109" s="88" t="str">
        <f aca="false">IF(OR($C109="01-09",$D109="Male",AND(SUM($G109)=0,SUM($H109)=0)),"",SUM($H109)/SUM($G109))</f>
        <v/>
      </c>
      <c r="N109" s="88" t="str">
        <f aca="false">IF(OR($C109="01-09",$D109="Male",AND(SUM($G109)=0,SUM($I109)=0)),"",SUM($I109)/SUM($G109))</f>
        <v/>
      </c>
      <c r="O109" s="88" t="str">
        <f aca="false">IF(AND(SUM($G109)=0,SUM($J109)=0),"",SUM($J109)/SUM($G109))</f>
        <v/>
      </c>
      <c r="P109" s="88" t="str">
        <f aca="false">IF(OR($C109="01-09",$C109="10-14",$D109="Female",AND(SUM($G109)=0,SUM($K109)=0)),"",SUM($K109)/SUM($G109))</f>
        <v/>
      </c>
      <c r="Q109" s="88"/>
      <c r="R109" s="88"/>
      <c r="S109" s="88"/>
      <c r="T109" s="88"/>
      <c r="U109" s="88" t="n">
        <v>0.6232959353365</v>
      </c>
      <c r="V109" s="88" t="str">
        <f aca="false">IF(SUM($G109)=0,"",SUM($M109:$U109))</f>
        <v/>
      </c>
      <c r="W109" s="88"/>
      <c r="X109" s="39" t="str">
        <f aca="false">IF(OR(SUM($G109)=0,SUM($Q109)=0),"",ROUND(SUM($G109)*SUM($Q109),0))</f>
        <v/>
      </c>
      <c r="Y109" s="39" t="str">
        <f aca="false">IF(SUM($X109)=0,"",IF(SUM($W109)=0,"ENTER YIELD",ROUND($X109/$W109,0)-$X109))</f>
        <v/>
      </c>
      <c r="Z109" s="88"/>
      <c r="AA109" s="39" t="str">
        <f aca="false">IF(OR(SUM($G109)=0,SUM($R109)=0),"",ROUND(SUM($G109)*SUM($R109),0))</f>
        <v/>
      </c>
      <c r="AB109" s="39" t="str">
        <f aca="false">IF(SUM($AA109)=0,"",IF(SUM($Z109)=0,"ENTER YIELD",ROUND($AA109/$Z109,0)-$AA109))</f>
        <v/>
      </c>
      <c r="AC109" s="88"/>
      <c r="AD109" s="39" t="str">
        <f aca="false">IF(OR(SUM($G109)=0,SUM($S109)=0),"",ROUND(SUM($G109)*SUM($S109),0))</f>
        <v/>
      </c>
      <c r="AE109" s="39" t="str">
        <f aca="false">IF(SUM($AD109)=0,"",IF(SUM($AC109)=0,"ENTER YIELD",ROUND($AD109/$AC109,0)-$AD109))</f>
        <v/>
      </c>
      <c r="AF109" s="88"/>
      <c r="AG109" s="39" t="str">
        <f aca="false">IF(OR(SUM($G109)=0,SUM($T109)=0),"",ROUND(SUM($G109)*SUM($T109),0))</f>
        <v/>
      </c>
      <c r="AH109" s="39" t="str">
        <f aca="false">IF(SUM($AG109)=0,"",IF(SUM($AF109)=0,"ENTER YIELD",ROUND($AG109/$AF109,0)-$AG109))</f>
        <v/>
      </c>
      <c r="AI109" s="88"/>
      <c r="AJ109" s="39" t="str">
        <f aca="false">IF(OR(SUM($G109)=0,SUM($U109)=0),"",ROUND(SUM($G109)*SUM($U109),0))</f>
        <v/>
      </c>
      <c r="AK109" s="39" t="str">
        <f aca="false">IF(SUM($AJ109)=0,"",IF(SUM($AI109)=0,"ENTER YIELD",ROUND($AJ109/$AI109,0)-$AJ109))</f>
        <v/>
      </c>
      <c r="AL109" s="10" t="str">
        <f aca="false">IF(SUM($G109)=0,"",$G109)</f>
        <v/>
      </c>
      <c r="AM109" s="10" t="str">
        <f aca="false">IFERROR(1/(1/SUM($H109:$K109,$X109,$AA109,$AD109,$AG109,$AJ109)),"")</f>
        <v/>
      </c>
      <c r="AN109" s="10" t="str">
        <f aca="false">IF(AND(SUM($AM109)=0,SUM($AL109)=0),"",$AM109-$AL109)</f>
        <v/>
      </c>
      <c r="AO109" s="10" t="str">
        <f aca="false">IF(OR($C109="01-09",$D109="Male"),"",INDEX(PMTCT!$AD:$AD,MATCH($E109,PMTCT!$E:$E,0)))</f>
        <v/>
      </c>
      <c r="AP109" s="10" t="str">
        <f aca="false">IF(OR($C109="01-09",$D109="Male"),"",INDEX(PMTCT!$AT:$AT,MATCH($E109,PMTCT!$E:$E,0)))</f>
        <v/>
      </c>
      <c r="AQ109" s="10" t="str">
        <f aca="false">INDEX(TB!$Q:$Q,MATCH($E109,TB!$E:$E,0))</f>
        <v/>
      </c>
      <c r="AR109" s="10" t="str">
        <f aca="false">IF(OR($C109="01-09",$C109="10-14",$D109="Female"),"",INDEX(VMMC!$AB:$AB,MATCH($E109,VMMC!$E:$E,0)))</f>
        <v/>
      </c>
      <c r="AS109" s="10" t="str">
        <f aca="false">IF(OR($C109="01-09",$C109="10-14"),"",INDEX(PrEP!$Q:$Q,MATCH($E109,PrEP!$E:$E,0)))</f>
        <v/>
      </c>
      <c r="AT109" s="10" t="str">
        <f aca="false">IFERROR(1/(1/SUM($Y109,$AB109,$AE109,$AH109,$AK109,$AO109:$AS109)),"")</f>
        <v/>
      </c>
      <c r="AU109" s="10" t="str">
        <f aca="false">IFERROR(1/(1/SUM($AT109,$AM109)),"")</f>
        <v/>
      </c>
      <c r="AV109" s="88" t="str">
        <f aca="false">IF(AND(SUM($AM109)=0,SUM($AU109)=0),"",$AM109/$AU109)</f>
        <v/>
      </c>
      <c r="AW109" s="10" t="n">
        <v>6</v>
      </c>
      <c r="AX109" s="88" t="n">
        <f aca="false">IF(OR($C109="01-09",SUM($AW109)=0),"",0%)</f>
        <v>0</v>
      </c>
      <c r="AY109" s="39" t="n">
        <f aca="false">IF(OR($C109="01-09",SUM($AW109)=0),"",ROUND($AW109*(1+$AX109),0))</f>
        <v>6</v>
      </c>
      <c r="AZ109" s="88" t="n">
        <f aca="false">IF(OR($C109="01-09",$C109="10-14"),"",100%)</f>
        <v>1</v>
      </c>
      <c r="BA109" s="39" t="str">
        <f aca="false">IF(OR(SUM($AM109)=0,$C109="01-09",$C109="10-14"),"",$AM109*$AZ109)</f>
        <v/>
      </c>
    </row>
    <row r="110" customFormat="false" ht="15" hidden="false" customHeight="false" outlineLevel="0" collapsed="false">
      <c r="A110" s="0" t="str">
        <f aca="false">INDEX(Prioritization!$D:$D,MATCH($B110,Prioritization!$A:$A,0))</f>
        <v>INVALID</v>
      </c>
      <c r="B110" s="0" t="s">
        <v>201</v>
      </c>
      <c r="C110" s="0" t="s">
        <v>368</v>
      </c>
      <c r="D110" s="0" t="s">
        <v>48</v>
      </c>
      <c r="E110" s="0" t="str">
        <f aca="false">$B110&amp;"|"&amp;$C110&amp;"|"&amp;$D110</f>
        <v>Ntcheu District [am530wpaGvr]|50+|Male</v>
      </c>
      <c r="F110" s="88" t="n">
        <f aca="false">IF(LEFT($B110,4)="_Mil","",INDEX(Cascade!$AA:$AA,MATCH($E110,Cascade!$E:$E,0)))</f>
        <v>1977</v>
      </c>
      <c r="G110" s="10" t="n">
        <f aca="false">INDEX(Cascade!$BH:$BH,MATCH($E110,Cascade!$E:$E,0))</f>
        <v>0</v>
      </c>
      <c r="H110" s="10" t="str">
        <f aca="false">IF(OR($C110="01-09",$D110="Male"),"",INDEX(PMTCT!$AC:$AC,MATCH($E110,PMTCT!$E:$E,0)))</f>
        <v/>
      </c>
      <c r="I110" s="10" t="str">
        <f aca="false">IF(OR($C110="01-09",$D110="Male"),"",INDEX(PMTCT!$AS:$AS,MATCH($E110,PMTCT!$E:$E,0)))</f>
        <v/>
      </c>
      <c r="J110" s="10" t="str">
        <f aca="false">INDEX(TB!$P:$P,MATCH($E110,TB!$E:$E,0))</f>
        <v/>
      </c>
      <c r="K110" s="10" t="str">
        <f aca="false">IF(OR($C110="01-09",$C110="10-14",$D110="Female"),"",INDEX(VMMC!$AA:$AA,MATCH($E110,VMMC!$E:$E,0)))</f>
        <v/>
      </c>
      <c r="L110" s="10" t="n">
        <f aca="false">SUM($G110)-SUM($H110:$K110)</f>
        <v>0</v>
      </c>
      <c r="M110" s="88" t="str">
        <f aca="false">IF(OR($C110="01-09",$D110="Male",AND(SUM($G110)=0,SUM($H110)=0)),"",SUM($H110)/SUM($G110))</f>
        <v/>
      </c>
      <c r="N110" s="88" t="str">
        <f aca="false">IF(OR($C110="01-09",$D110="Male",AND(SUM($G110)=0,SUM($I110)=0)),"",SUM($I110)/SUM($G110))</f>
        <v/>
      </c>
      <c r="O110" s="88" t="str">
        <f aca="false">IF(AND(SUM($G110)=0,SUM($J110)=0),"",SUM($J110)/SUM($G110))</f>
        <v/>
      </c>
      <c r="P110" s="88" t="str">
        <f aca="false">IF(OR($C110="01-09",$C110="10-14",$D110="Female",AND(SUM($G110)=0,SUM($K110)=0)),"",SUM($K110)/SUM($G110))</f>
        <v/>
      </c>
      <c r="Q110" s="88"/>
      <c r="R110" s="88"/>
      <c r="S110" s="88"/>
      <c r="T110" s="88"/>
      <c r="U110" s="88" t="n">
        <v>0.375813293969259</v>
      </c>
      <c r="V110" s="88" t="str">
        <f aca="false">IF(SUM($G110)=0,"",SUM($M110:$U110))</f>
        <v/>
      </c>
      <c r="W110" s="88"/>
      <c r="X110" s="39" t="str">
        <f aca="false">IF(OR(SUM($G110)=0,SUM($Q110)=0),"",ROUND(SUM($G110)*SUM($Q110),0))</f>
        <v/>
      </c>
      <c r="Y110" s="39" t="str">
        <f aca="false">IF(SUM($X110)=0,"",IF(SUM($W110)=0,"ENTER YIELD",ROUND($X110/$W110,0)-$X110))</f>
        <v/>
      </c>
      <c r="Z110" s="88"/>
      <c r="AA110" s="39" t="str">
        <f aca="false">IF(OR(SUM($G110)=0,SUM($R110)=0),"",ROUND(SUM($G110)*SUM($R110),0))</f>
        <v/>
      </c>
      <c r="AB110" s="39" t="str">
        <f aca="false">IF(SUM($AA110)=0,"",IF(SUM($Z110)=0,"ENTER YIELD",ROUND($AA110/$Z110,0)-$AA110))</f>
        <v/>
      </c>
      <c r="AC110" s="88"/>
      <c r="AD110" s="39" t="str">
        <f aca="false">IF(OR(SUM($G110)=0,SUM($S110)=0),"",ROUND(SUM($G110)*SUM($S110),0))</f>
        <v/>
      </c>
      <c r="AE110" s="39" t="str">
        <f aca="false">IF(SUM($AD110)=0,"",IF(SUM($AC110)=0,"ENTER YIELD",ROUND($AD110/$AC110,0)-$AD110))</f>
        <v/>
      </c>
      <c r="AF110" s="88"/>
      <c r="AG110" s="39" t="str">
        <f aca="false">IF(OR(SUM($G110)=0,SUM($T110)=0),"",ROUND(SUM($G110)*SUM($T110),0))</f>
        <v/>
      </c>
      <c r="AH110" s="39" t="str">
        <f aca="false">IF(SUM($AG110)=0,"",IF(SUM($AF110)=0,"ENTER YIELD",ROUND($AG110/$AF110,0)-$AG110))</f>
        <v/>
      </c>
      <c r="AI110" s="88"/>
      <c r="AJ110" s="39" t="str">
        <f aca="false">IF(OR(SUM($G110)=0,SUM($U110)=0),"",ROUND(SUM($G110)*SUM($U110),0))</f>
        <v/>
      </c>
      <c r="AK110" s="39" t="str">
        <f aca="false">IF(SUM($AJ110)=0,"",IF(SUM($AI110)=0,"ENTER YIELD",ROUND($AJ110/$AI110,0)-$AJ110))</f>
        <v/>
      </c>
      <c r="AL110" s="10" t="str">
        <f aca="false">IF(SUM($G110)=0,"",$G110)</f>
        <v/>
      </c>
      <c r="AM110" s="10" t="str">
        <f aca="false">IFERROR(1/(1/SUM($H110:$K110,$X110,$AA110,$AD110,$AG110,$AJ110)),"")</f>
        <v/>
      </c>
      <c r="AN110" s="10" t="str">
        <f aca="false">IF(AND(SUM($AM110)=0,SUM($AL110)=0),"",$AM110-$AL110)</f>
        <v/>
      </c>
      <c r="AO110" s="10" t="str">
        <f aca="false">IF(OR($C110="01-09",$D110="Male"),"",INDEX(PMTCT!$AD:$AD,MATCH($E110,PMTCT!$E:$E,0)))</f>
        <v/>
      </c>
      <c r="AP110" s="10" t="str">
        <f aca="false">IF(OR($C110="01-09",$D110="Male"),"",INDEX(PMTCT!$AT:$AT,MATCH($E110,PMTCT!$E:$E,0)))</f>
        <v/>
      </c>
      <c r="AQ110" s="10" t="str">
        <f aca="false">INDEX(TB!$Q:$Q,MATCH($E110,TB!$E:$E,0))</f>
        <v/>
      </c>
      <c r="AR110" s="10" t="str">
        <f aca="false">IF(OR($C110="01-09",$C110="10-14",$D110="Female"),"",INDEX(VMMC!$AB:$AB,MATCH($E110,VMMC!$E:$E,0)))</f>
        <v/>
      </c>
      <c r="AS110" s="10" t="str">
        <f aca="false">IF(OR($C110="01-09",$C110="10-14"),"",INDEX(PrEP!$Q:$Q,MATCH($E110,PrEP!$E:$E,0)))</f>
        <v/>
      </c>
      <c r="AT110" s="10" t="str">
        <f aca="false">IFERROR(1/(1/SUM($Y110,$AB110,$AE110,$AH110,$AK110,$AO110:$AS110)),"")</f>
        <v/>
      </c>
      <c r="AU110" s="10" t="str">
        <f aca="false">IFERROR(1/(1/SUM($AT110,$AM110)),"")</f>
        <v/>
      </c>
      <c r="AV110" s="88" t="str">
        <f aca="false">IF(AND(SUM($AM110)=0,SUM($AU110)=0),"",$AM110/$AU110)</f>
        <v/>
      </c>
      <c r="AW110" s="10" t="n">
        <v>9</v>
      </c>
      <c r="AX110" s="88" t="n">
        <f aca="false">IF(OR($C110="01-09",SUM($AW110)=0),"",0%)</f>
        <v>0</v>
      </c>
      <c r="AY110" s="39" t="n">
        <f aca="false">IF(OR($C110="01-09",SUM($AW110)=0),"",ROUND($AW110*(1+$AX110),0))</f>
        <v>9</v>
      </c>
      <c r="AZ110" s="88" t="n">
        <f aca="false">IF(OR($C110="01-09",$C110="10-14"),"",100%)</f>
        <v>1</v>
      </c>
      <c r="BA110" s="39" t="str">
        <f aca="false">IF(OR(SUM($AM110)=0,$C110="01-09",$C110="10-14"),"",$AM110*$AZ110)</f>
        <v/>
      </c>
    </row>
    <row r="111" customFormat="false" ht="15" hidden="false" customHeight="false" outlineLevel="0" collapsed="false">
      <c r="A111" s="0" t="str">
        <f aca="false">INDEX(Prioritization!$D:$D,MATCH($B111,Prioritization!$A:$A,0))</f>
        <v>INVALID</v>
      </c>
      <c r="B111" s="0" t="s">
        <v>202</v>
      </c>
      <c r="C111" s="0" t="s">
        <v>363</v>
      </c>
      <c r="D111" s="0" t="s">
        <v>30</v>
      </c>
      <c r="E111" s="0" t="str">
        <f aca="false">$B111&amp;"|"&amp;$C111&amp;"|"&amp;$D111</f>
        <v>Ntchisi District [fiRkU6gEjLz]|01-09|Female</v>
      </c>
      <c r="F111" s="88" t="n">
        <f aca="false">IF(LEFT($B111,4)="_Mil","",INDEX(Cascade!$AA:$AA,MATCH($E111,Cascade!$E:$E,0)))</f>
        <v>1045</v>
      </c>
      <c r="G111" s="10" t="n">
        <f aca="false">INDEX(Cascade!$BH:$BH,MATCH($E111,Cascade!$E:$E,0))</f>
        <v>0</v>
      </c>
      <c r="H111" s="10" t="str">
        <f aca="false">IF(OR($C111="01-09",$D111="Male"),"",INDEX(PMTCT!$AC:$AC,MATCH($E111,PMTCT!$E:$E,0)))</f>
        <v/>
      </c>
      <c r="I111" s="10" t="str">
        <f aca="false">IF(OR($C111="01-09",$D111="Male"),"",INDEX(PMTCT!$AS:$AS,MATCH($E111,PMTCT!$E:$E,0)))</f>
        <v/>
      </c>
      <c r="J111" s="10" t="str">
        <f aca="false">INDEX(TB!$P:$P,MATCH($E111,TB!$E:$E,0))</f>
        <v/>
      </c>
      <c r="K111" s="10" t="str">
        <f aca="false">IF(OR($C111="01-09",$C111="10-14",$D111="Female"),"",INDEX(VMMC!$AA:$AA,MATCH($E111,VMMC!$E:$E,0)))</f>
        <v/>
      </c>
      <c r="L111" s="10" t="n">
        <f aca="false">SUM($G111)-SUM($H111:$K111)</f>
        <v>0</v>
      </c>
      <c r="M111" s="88" t="str">
        <f aca="false">IF(OR($C111="01-09",$D111="Male",AND(SUM($G111)=0,SUM($H111)=0)),"",SUM($H111)/SUM($G111))</f>
        <v/>
      </c>
      <c r="N111" s="88" t="str">
        <f aca="false">IF(OR($C111="01-09",$D111="Male",AND(SUM($G111)=0,SUM($I111)=0)),"",SUM($I111)/SUM($G111))</f>
        <v/>
      </c>
      <c r="O111" s="88" t="str">
        <f aca="false">IF(AND(SUM($G111)=0,SUM($J111)=0),"",SUM($J111)/SUM($G111))</f>
        <v/>
      </c>
      <c r="P111" s="88" t="str">
        <f aca="false">IF(OR($C111="01-09",$C111="10-14",$D111="Female",AND(SUM($G111)=0,SUM($K111)=0)),"",SUM($K111)/SUM($G111))</f>
        <v/>
      </c>
      <c r="Q111" s="88"/>
      <c r="R111" s="88"/>
      <c r="S111" s="88"/>
      <c r="T111" s="88"/>
      <c r="U111" s="88"/>
      <c r="V111" s="88" t="str">
        <f aca="false">IF(SUM($G111)=0,"",SUM($M111:$U111))</f>
        <v/>
      </c>
      <c r="W111" s="88"/>
      <c r="X111" s="39" t="str">
        <f aca="false">IF(OR(SUM($G111)=0,SUM($Q111)=0),"",ROUND(SUM($G111)*SUM($Q111),0))</f>
        <v/>
      </c>
      <c r="Y111" s="39" t="str">
        <f aca="false">IF(SUM($X111)=0,"",IF(SUM($W111)=0,"ENTER YIELD",ROUND($X111/$W111,0)-$X111))</f>
        <v/>
      </c>
      <c r="Z111" s="88"/>
      <c r="AA111" s="39" t="str">
        <f aca="false">IF(OR(SUM($G111)=0,SUM($R111)=0),"",ROUND(SUM($G111)*SUM($R111),0))</f>
        <v/>
      </c>
      <c r="AB111" s="39" t="str">
        <f aca="false">IF(SUM($AA111)=0,"",IF(SUM($Z111)=0,"ENTER YIELD",ROUND($AA111/$Z111,0)-$AA111))</f>
        <v/>
      </c>
      <c r="AC111" s="88"/>
      <c r="AD111" s="39" t="str">
        <f aca="false">IF(OR(SUM($G111)=0,SUM($S111)=0),"",ROUND(SUM($G111)*SUM($S111),0))</f>
        <v/>
      </c>
      <c r="AE111" s="39" t="str">
        <f aca="false">IF(SUM($AD111)=0,"",IF(SUM($AC111)=0,"ENTER YIELD",ROUND($AD111/$AC111,0)-$AD111))</f>
        <v/>
      </c>
      <c r="AF111" s="88"/>
      <c r="AG111" s="39" t="str">
        <f aca="false">IF(OR(SUM($G111)=0,SUM($T111)=0),"",ROUND(SUM($G111)*SUM($T111),0))</f>
        <v/>
      </c>
      <c r="AH111" s="39" t="str">
        <f aca="false">IF(SUM($AG111)=0,"",IF(SUM($AF111)=0,"ENTER YIELD",ROUND($AG111/$AF111,0)-$AG111))</f>
        <v/>
      </c>
      <c r="AI111" s="88"/>
      <c r="AJ111" s="39" t="str">
        <f aca="false">IF(OR(SUM($G111)=0,SUM($U111)=0),"",ROUND(SUM($G111)*SUM($U111),0))</f>
        <v/>
      </c>
      <c r="AK111" s="39" t="str">
        <f aca="false">IF(SUM($AJ111)=0,"",IF(SUM($AI111)=0,"ENTER YIELD",ROUND($AJ111/$AI111,0)-$AJ111))</f>
        <v/>
      </c>
      <c r="AL111" s="10" t="str">
        <f aca="false">IF(SUM($G111)=0,"",$G111)</f>
        <v/>
      </c>
      <c r="AM111" s="10" t="str">
        <f aca="false">IFERROR(1/(1/SUM($H111:$K111,$X111,$AA111,$AD111,$AG111,$AJ111)),"")</f>
        <v/>
      </c>
      <c r="AN111" s="10" t="str">
        <f aca="false">IF(AND(SUM($AM111)=0,SUM($AL111)=0),"",$AM111-$AL111)</f>
        <v/>
      </c>
      <c r="AO111" s="10" t="str">
        <f aca="false">IF(OR($C111="01-09",$D111="Male"),"",INDEX(PMTCT!$AD:$AD,MATCH($E111,PMTCT!$E:$E,0)))</f>
        <v/>
      </c>
      <c r="AP111" s="10" t="str">
        <f aca="false">IF(OR($C111="01-09",$D111="Male"),"",INDEX(PMTCT!$AT:$AT,MATCH($E111,PMTCT!$E:$E,0)))</f>
        <v/>
      </c>
      <c r="AQ111" s="10" t="str">
        <f aca="false">INDEX(TB!$Q:$Q,MATCH($E111,TB!$E:$E,0))</f>
        <v/>
      </c>
      <c r="AR111" s="10" t="str">
        <f aca="false">IF(OR($C111="01-09",$C111="10-14",$D111="Female"),"",INDEX(VMMC!$AB:$AB,MATCH($E111,VMMC!$E:$E,0)))</f>
        <v/>
      </c>
      <c r="AS111" s="10" t="str">
        <f aca="false">IF(OR($C111="01-09",$C111="10-14"),"",INDEX(PrEP!$Q:$Q,MATCH($E111,PrEP!$E:$E,0)))</f>
        <v/>
      </c>
      <c r="AT111" s="10" t="str">
        <f aca="false">IFERROR(1/(1/SUM($Y111,$AB111,$AE111,$AH111,$AK111,$AO111:$AS111)),"")</f>
        <v/>
      </c>
      <c r="AU111" s="10" t="str">
        <f aca="false">IFERROR(1/(1/SUM($AT111,$AM111)),"")</f>
        <v/>
      </c>
      <c r="AV111" s="88" t="str">
        <f aca="false">IF(AND(SUM($AM111)=0,SUM($AU111)=0),"",$AM111/$AU111)</f>
        <v/>
      </c>
      <c r="AW111" s="10"/>
      <c r="AX111" s="88" t="str">
        <f aca="false">IF(OR($C111="01-09",SUM($AW111)=0),"",0%)</f>
        <v/>
      </c>
      <c r="AY111" s="39" t="str">
        <f aca="false">IF(OR($C111="01-09",SUM($AW111)=0),"",ROUND($AW111*(1+$AX111),0))</f>
        <v/>
      </c>
      <c r="AZ111" s="88" t="str">
        <f aca="false">IF(OR($C111="01-09",$C111="10-14"),"",100%)</f>
        <v/>
      </c>
      <c r="BA111" s="39" t="str">
        <f aca="false">IF(OR(SUM($AM111)=0,$C111="01-09",$C111="10-14"),"",$AM111*$AZ111)</f>
        <v/>
      </c>
    </row>
    <row r="112" customFormat="false" ht="15" hidden="false" customHeight="false" outlineLevel="0" collapsed="false">
      <c r="A112" s="0" t="str">
        <f aca="false">INDEX(Prioritization!$D:$D,MATCH($B112,Prioritization!$A:$A,0))</f>
        <v>INVALID</v>
      </c>
      <c r="B112" s="0" t="s">
        <v>202</v>
      </c>
      <c r="C112" s="0" t="s">
        <v>363</v>
      </c>
      <c r="D112" s="0" t="s">
        <v>48</v>
      </c>
      <c r="E112" s="0" t="str">
        <f aca="false">$B112&amp;"|"&amp;$C112&amp;"|"&amp;$D112</f>
        <v>Ntchisi District [fiRkU6gEjLz]|01-09|Male</v>
      </c>
      <c r="F112" s="88" t="n">
        <f aca="false">IF(LEFT($B112,4)="_Mil","",INDEX(Cascade!$AA:$AA,MATCH($E112,Cascade!$E:$E,0)))</f>
        <v>1936</v>
      </c>
      <c r="G112" s="10" t="n">
        <f aca="false">INDEX(Cascade!$BH:$BH,MATCH($E112,Cascade!$E:$E,0))</f>
        <v>0</v>
      </c>
      <c r="H112" s="10" t="str">
        <f aca="false">IF(OR($C112="01-09",$D112="Male"),"",INDEX(PMTCT!$AC:$AC,MATCH($E112,PMTCT!$E:$E,0)))</f>
        <v/>
      </c>
      <c r="I112" s="10" t="str">
        <f aca="false">IF(OR($C112="01-09",$D112="Male"),"",INDEX(PMTCT!$AS:$AS,MATCH($E112,PMTCT!$E:$E,0)))</f>
        <v/>
      </c>
      <c r="J112" s="10" t="str">
        <f aca="false">INDEX(TB!$P:$P,MATCH($E112,TB!$E:$E,0))</f>
        <v/>
      </c>
      <c r="K112" s="10" t="str">
        <f aca="false">IF(OR($C112="01-09",$C112="10-14",$D112="Female"),"",INDEX(VMMC!$AA:$AA,MATCH($E112,VMMC!$E:$E,0)))</f>
        <v/>
      </c>
      <c r="L112" s="10" t="n">
        <f aca="false">SUM($G112)-SUM($H112:$K112)</f>
        <v>0</v>
      </c>
      <c r="M112" s="88" t="str">
        <f aca="false">IF(OR($C112="01-09",$D112="Male",AND(SUM($G112)=0,SUM($H112)=0)),"",SUM($H112)/SUM($G112))</f>
        <v/>
      </c>
      <c r="N112" s="88" t="str">
        <f aca="false">IF(OR($C112="01-09",$D112="Male",AND(SUM($G112)=0,SUM($I112)=0)),"",SUM($I112)/SUM($G112))</f>
        <v/>
      </c>
      <c r="O112" s="88" t="str">
        <f aca="false">IF(AND(SUM($G112)=0,SUM($J112)=0),"",SUM($J112)/SUM($G112))</f>
        <v/>
      </c>
      <c r="P112" s="88" t="str">
        <f aca="false">IF(OR($C112="01-09",$C112="10-14",$D112="Female",AND(SUM($G112)=0,SUM($K112)=0)),"",SUM($K112)/SUM($G112))</f>
        <v/>
      </c>
      <c r="Q112" s="88"/>
      <c r="R112" s="88"/>
      <c r="S112" s="88"/>
      <c r="T112" s="88"/>
      <c r="U112" s="88"/>
      <c r="V112" s="88" t="str">
        <f aca="false">IF(SUM($G112)=0,"",SUM($M112:$U112))</f>
        <v/>
      </c>
      <c r="W112" s="88"/>
      <c r="X112" s="39" t="str">
        <f aca="false">IF(OR(SUM($G112)=0,SUM($Q112)=0),"",ROUND(SUM($G112)*SUM($Q112),0))</f>
        <v/>
      </c>
      <c r="Y112" s="39" t="str">
        <f aca="false">IF(SUM($X112)=0,"",IF(SUM($W112)=0,"ENTER YIELD",ROUND($X112/$W112,0)-$X112))</f>
        <v/>
      </c>
      <c r="Z112" s="88"/>
      <c r="AA112" s="39" t="str">
        <f aca="false">IF(OR(SUM($G112)=0,SUM($R112)=0),"",ROUND(SUM($G112)*SUM($R112),0))</f>
        <v/>
      </c>
      <c r="AB112" s="39" t="str">
        <f aca="false">IF(SUM($AA112)=0,"",IF(SUM($Z112)=0,"ENTER YIELD",ROUND($AA112/$Z112,0)-$AA112))</f>
        <v/>
      </c>
      <c r="AC112" s="88"/>
      <c r="AD112" s="39" t="str">
        <f aca="false">IF(OR(SUM($G112)=0,SUM($S112)=0),"",ROUND(SUM($G112)*SUM($S112),0))</f>
        <v/>
      </c>
      <c r="AE112" s="39" t="str">
        <f aca="false">IF(SUM($AD112)=0,"",IF(SUM($AC112)=0,"ENTER YIELD",ROUND($AD112/$AC112,0)-$AD112))</f>
        <v/>
      </c>
      <c r="AF112" s="88"/>
      <c r="AG112" s="39" t="str">
        <f aca="false">IF(OR(SUM($G112)=0,SUM($T112)=0),"",ROUND(SUM($G112)*SUM($T112),0))</f>
        <v/>
      </c>
      <c r="AH112" s="39" t="str">
        <f aca="false">IF(SUM($AG112)=0,"",IF(SUM($AF112)=0,"ENTER YIELD",ROUND($AG112/$AF112,0)-$AG112))</f>
        <v/>
      </c>
      <c r="AI112" s="88"/>
      <c r="AJ112" s="39" t="str">
        <f aca="false">IF(OR(SUM($G112)=0,SUM($U112)=0),"",ROUND(SUM($G112)*SUM($U112),0))</f>
        <v/>
      </c>
      <c r="AK112" s="39" t="str">
        <f aca="false">IF(SUM($AJ112)=0,"",IF(SUM($AI112)=0,"ENTER YIELD",ROUND($AJ112/$AI112,0)-$AJ112))</f>
        <v/>
      </c>
      <c r="AL112" s="10" t="str">
        <f aca="false">IF(SUM($G112)=0,"",$G112)</f>
        <v/>
      </c>
      <c r="AM112" s="10" t="str">
        <f aca="false">IFERROR(1/(1/SUM($H112:$K112,$X112,$AA112,$AD112,$AG112,$AJ112)),"")</f>
        <v/>
      </c>
      <c r="AN112" s="10" t="str">
        <f aca="false">IF(AND(SUM($AM112)=0,SUM($AL112)=0),"",$AM112-$AL112)</f>
        <v/>
      </c>
      <c r="AO112" s="10" t="str">
        <f aca="false">IF(OR($C112="01-09",$D112="Male"),"",INDEX(PMTCT!$AD:$AD,MATCH($E112,PMTCT!$E:$E,0)))</f>
        <v/>
      </c>
      <c r="AP112" s="10" t="str">
        <f aca="false">IF(OR($C112="01-09",$D112="Male"),"",INDEX(PMTCT!$AT:$AT,MATCH($E112,PMTCT!$E:$E,0)))</f>
        <v/>
      </c>
      <c r="AQ112" s="10" t="str">
        <f aca="false">INDEX(TB!$Q:$Q,MATCH($E112,TB!$E:$E,0))</f>
        <v/>
      </c>
      <c r="AR112" s="10" t="str">
        <f aca="false">IF(OR($C112="01-09",$C112="10-14",$D112="Female"),"",INDEX(VMMC!$AB:$AB,MATCH($E112,VMMC!$E:$E,0)))</f>
        <v/>
      </c>
      <c r="AS112" s="10" t="str">
        <f aca="false">IF(OR($C112="01-09",$C112="10-14"),"",INDEX(PrEP!$Q:$Q,MATCH($E112,PrEP!$E:$E,0)))</f>
        <v/>
      </c>
      <c r="AT112" s="10" t="str">
        <f aca="false">IFERROR(1/(1/SUM($Y112,$AB112,$AE112,$AH112,$AK112,$AO112:$AS112)),"")</f>
        <v/>
      </c>
      <c r="AU112" s="10" t="str">
        <f aca="false">IFERROR(1/(1/SUM($AT112,$AM112)),"")</f>
        <v/>
      </c>
      <c r="AV112" s="88" t="str">
        <f aca="false">IF(AND(SUM($AM112)=0,SUM($AU112)=0),"",$AM112/$AU112)</f>
        <v/>
      </c>
      <c r="AW112" s="10"/>
      <c r="AX112" s="88" t="str">
        <f aca="false">IF(OR($C112="01-09",SUM($AW112)=0),"",0%)</f>
        <v/>
      </c>
      <c r="AY112" s="39" t="str">
        <f aca="false">IF(OR($C112="01-09",SUM($AW112)=0),"",ROUND($AW112*(1+$AX112),0))</f>
        <v/>
      </c>
      <c r="AZ112" s="88" t="str">
        <f aca="false">IF(OR($C112="01-09",$C112="10-14"),"",100%)</f>
        <v/>
      </c>
      <c r="BA112" s="39" t="str">
        <f aca="false">IF(OR(SUM($AM112)=0,$C112="01-09",$C112="10-14"),"",$AM112*$AZ112)</f>
        <v/>
      </c>
    </row>
    <row r="113" customFormat="false" ht="15" hidden="false" customHeight="false" outlineLevel="0" collapsed="false">
      <c r="A113" s="0" t="str">
        <f aca="false">INDEX(Prioritization!$D:$D,MATCH($B113,Prioritization!$A:$A,0))</f>
        <v>INVALID</v>
      </c>
      <c r="B113" s="0" t="s">
        <v>202</v>
      </c>
      <c r="C113" s="0" t="s">
        <v>364</v>
      </c>
      <c r="D113" s="0" t="s">
        <v>30</v>
      </c>
      <c r="E113" s="0" t="str">
        <f aca="false">$B113&amp;"|"&amp;$C113&amp;"|"&amp;$D113</f>
        <v>Ntchisi District [fiRkU6gEjLz]|10-14|Female</v>
      </c>
      <c r="F113" s="88" t="n">
        <f aca="false">IF(LEFT($B113,4)="_Mil","",INDEX(Cascade!$AA:$AA,MATCH($E113,Cascade!$E:$E,0)))</f>
        <v>1332</v>
      </c>
      <c r="G113" s="10" t="n">
        <f aca="false">INDEX(Cascade!$BH:$BH,MATCH($E113,Cascade!$E:$E,0))</f>
        <v>-7</v>
      </c>
      <c r="H113" s="10" t="str">
        <f aca="false">IF(OR($C113="01-09",$D113="Male"),"",INDEX(PMTCT!$AC:$AC,MATCH($E113,PMTCT!$E:$E,0)))</f>
        <v>ENTER YIELD RATE</v>
      </c>
      <c r="I113" s="10" t="str">
        <f aca="false">IF(OR($C113="01-09",$D113="Male"),"",INDEX(PMTCT!$AS:$AS,MATCH($E113,PMTCT!$E:$E,0)))</f>
        <v>ENTER YIELD RATE</v>
      </c>
      <c r="J113" s="10" t="str">
        <f aca="false">INDEX(TB!$P:$P,MATCH($E113,TB!$E:$E,0))</f>
        <v/>
      </c>
      <c r="K113" s="10" t="str">
        <f aca="false">IF(OR($C113="01-09",$C113="10-14",$D113="Female"),"",INDEX(VMMC!$AA:$AA,MATCH($E113,VMMC!$E:$E,0)))</f>
        <v/>
      </c>
      <c r="L113" s="10" t="n">
        <f aca="false">SUM($G113)-SUM($H113:$K113)</f>
        <v>-7</v>
      </c>
      <c r="M113" s="88" t="n">
        <f aca="false">IF(OR($C113="01-09",$D113="Male",AND(SUM($G113)=0,SUM($H113)=0)),"",SUM($H113)/SUM($G113))</f>
        <v>-0</v>
      </c>
      <c r="N113" s="88" t="n">
        <f aca="false">IF(OR($C113="01-09",$D113="Male",AND(SUM($G113)=0,SUM($I113)=0)),"",SUM($I113)/SUM($G113))</f>
        <v>-0</v>
      </c>
      <c r="O113" s="88" t="n">
        <f aca="false">IF(AND(SUM($G113)=0,SUM($J113)=0),"",SUM($J113)/SUM($G113))</f>
        <v>-0</v>
      </c>
      <c r="P113" s="88" t="str">
        <f aca="false">IF(OR($C113="01-09",$C113="10-14",$D113="Female",AND(SUM($G113)=0,SUM($K113)=0)),"",SUM($K113)/SUM($G113))</f>
        <v/>
      </c>
      <c r="Q113" s="88" t="n">
        <v>0.076353465905413</v>
      </c>
      <c r="R113" s="88"/>
      <c r="S113" s="88"/>
      <c r="T113" s="88"/>
      <c r="U113" s="88" t="n">
        <v>0.992838819045573</v>
      </c>
      <c r="V113" s="88" t="n">
        <f aca="false">IF(SUM($G113)=0,"",SUM($M113:$U113))</f>
        <v>1.06919228495099</v>
      </c>
      <c r="W113" s="88"/>
      <c r="X113" s="39" t="n">
        <f aca="false">IF(OR(SUM($G113)=0,SUM($Q113)=0),"",ROUND(SUM($G113)*SUM($Q113),0))</f>
        <v>-1</v>
      </c>
      <c r="Y113" s="39" t="str">
        <f aca="false">IF(SUM($X113)=0,"",IF(SUM($W113)=0,"ENTER YIELD",ROUND($X113/$W113,0)-$X113))</f>
        <v>ENTER YIELD</v>
      </c>
      <c r="Z113" s="88"/>
      <c r="AA113" s="39" t="str">
        <f aca="false">IF(OR(SUM($G113)=0,SUM($R113)=0),"",ROUND(SUM($G113)*SUM($R113),0))</f>
        <v/>
      </c>
      <c r="AB113" s="39" t="str">
        <f aca="false">IF(SUM($AA113)=0,"",IF(SUM($Z113)=0,"ENTER YIELD",ROUND($AA113/$Z113,0)-$AA113))</f>
        <v/>
      </c>
      <c r="AC113" s="88"/>
      <c r="AD113" s="39" t="str">
        <f aca="false">IF(OR(SUM($G113)=0,SUM($S113)=0),"",ROUND(SUM($G113)*SUM($S113),0))</f>
        <v/>
      </c>
      <c r="AE113" s="39" t="str">
        <f aca="false">IF(SUM($AD113)=0,"",IF(SUM($AC113)=0,"ENTER YIELD",ROUND($AD113/$AC113,0)-$AD113))</f>
        <v/>
      </c>
      <c r="AF113" s="88"/>
      <c r="AG113" s="39" t="str">
        <f aca="false">IF(OR(SUM($G113)=0,SUM($T113)=0),"",ROUND(SUM($G113)*SUM($T113),0))</f>
        <v/>
      </c>
      <c r="AH113" s="39" t="str">
        <f aca="false">IF(SUM($AG113)=0,"",IF(SUM($AF113)=0,"ENTER YIELD",ROUND($AG113/$AF113,0)-$AG113))</f>
        <v/>
      </c>
      <c r="AI113" s="88"/>
      <c r="AJ113" s="39" t="n">
        <f aca="false">IF(OR(SUM($G113)=0,SUM($U113)=0),"",ROUND(SUM($G113)*SUM($U113),0))</f>
        <v>-7</v>
      </c>
      <c r="AK113" s="39" t="str">
        <f aca="false">IF(SUM($AJ113)=0,"",IF(SUM($AI113)=0,"ENTER YIELD",ROUND($AJ113/$AI113,0)-$AJ113))</f>
        <v>ENTER YIELD</v>
      </c>
      <c r="AL113" s="10" t="n">
        <f aca="false">IF(SUM($G113)=0,"",$G113)</f>
        <v>-7</v>
      </c>
      <c r="AM113" s="10" t="n">
        <f aca="false">IFERROR(1/(1/SUM($H113:$K113,$X113,$AA113,$AD113,$AG113,$AJ113)),"")</f>
        <v>-8</v>
      </c>
      <c r="AN113" s="10" t="n">
        <f aca="false">IF(AND(SUM($AM113)=0,SUM($AL113)=0),"",$AM113-$AL113)</f>
        <v>-1</v>
      </c>
      <c r="AO113" s="10" t="n">
        <f aca="false">IF(OR($C113="01-09",$D113="Male"),"",INDEX(PMTCT!$AD:$AD,MATCH($E113,PMTCT!$E:$E,0)))</f>
        <v>5</v>
      </c>
      <c r="AP113" s="10" t="n">
        <f aca="false">IF(OR($C113="01-09",$D113="Male"),"",INDEX(PMTCT!$AT:$AT,MATCH($E113,PMTCT!$E:$E,0)))</f>
        <v>5</v>
      </c>
      <c r="AQ113" s="10" t="str">
        <f aca="false">INDEX(TB!$Q:$Q,MATCH($E113,TB!$E:$E,0))</f>
        <v/>
      </c>
      <c r="AR113" s="10" t="str">
        <f aca="false">IF(OR($C113="01-09",$C113="10-14",$D113="Female"),"",INDEX(VMMC!$AB:$AB,MATCH($E113,VMMC!$E:$E,0)))</f>
        <v/>
      </c>
      <c r="AS113" s="10" t="str">
        <f aca="false">IF(OR($C113="01-09",$C113="10-14"),"",INDEX(PrEP!$Q:$Q,MATCH($E113,PrEP!$E:$E,0)))</f>
        <v/>
      </c>
      <c r="AT113" s="10" t="n">
        <f aca="false">IFERROR(1/(1/SUM($Y113,$AB113,$AE113,$AH113,$AK113,$AO113:$AS113)),"")</f>
        <v>10</v>
      </c>
      <c r="AU113" s="10" t="n">
        <f aca="false">IFERROR(1/(1/SUM($AT113,$AM113)),"")</f>
        <v>2</v>
      </c>
      <c r="AV113" s="88" t="n">
        <f aca="false">IF(AND(SUM($AM113)=0,SUM($AU113)=0),"",$AM113/$AU113)</f>
        <v>-4</v>
      </c>
      <c r="AW113" s="10"/>
      <c r="AX113" s="88" t="str">
        <f aca="false">IF(OR($C113="01-09",SUM($AW113)=0),"",0%)</f>
        <v/>
      </c>
      <c r="AY113" s="39" t="str">
        <f aca="false">IF(OR($C113="01-09",SUM($AW113)=0),"",ROUND($AW113*(1+$AX113),0))</f>
        <v/>
      </c>
      <c r="AZ113" s="88" t="str">
        <f aca="false">IF(OR($C113="01-09",$C113="10-14"),"",100%)</f>
        <v/>
      </c>
      <c r="BA113" s="39" t="str">
        <f aca="false">IF(OR(SUM($AM113)=0,$C113="01-09",$C113="10-14"),"",$AM113*$AZ113)</f>
        <v/>
      </c>
    </row>
    <row r="114" customFormat="false" ht="15" hidden="false" customHeight="false" outlineLevel="0" collapsed="false">
      <c r="A114" s="0" t="str">
        <f aca="false">INDEX(Prioritization!$D:$D,MATCH($B114,Prioritization!$A:$A,0))</f>
        <v>INVALID</v>
      </c>
      <c r="B114" s="0" t="s">
        <v>202</v>
      </c>
      <c r="C114" s="0" t="s">
        <v>364</v>
      </c>
      <c r="D114" s="0" t="s">
        <v>48</v>
      </c>
      <c r="E114" s="0" t="str">
        <f aca="false">$B114&amp;"|"&amp;$C114&amp;"|"&amp;$D114</f>
        <v>Ntchisi District [fiRkU6gEjLz]|10-14|Male</v>
      </c>
      <c r="F114" s="88" t="n">
        <f aca="false">IF(LEFT($B114,4)="_Mil","",INDEX(Cascade!$AA:$AA,MATCH($E114,Cascade!$E:$E,0)))</f>
        <v>1561</v>
      </c>
      <c r="G114" s="10" t="n">
        <f aca="false">INDEX(Cascade!$BH:$BH,MATCH($E114,Cascade!$E:$E,0))</f>
        <v>-11</v>
      </c>
      <c r="H114" s="10" t="str">
        <f aca="false">IF(OR($C114="01-09",$D114="Male"),"",INDEX(PMTCT!$AC:$AC,MATCH($E114,PMTCT!$E:$E,0)))</f>
        <v/>
      </c>
      <c r="I114" s="10" t="str">
        <f aca="false">IF(OR($C114="01-09",$D114="Male"),"",INDEX(PMTCT!$AS:$AS,MATCH($E114,PMTCT!$E:$E,0)))</f>
        <v/>
      </c>
      <c r="J114" s="10" t="str">
        <f aca="false">INDEX(TB!$P:$P,MATCH($E114,TB!$E:$E,0))</f>
        <v>ENTER YIELD RATE</v>
      </c>
      <c r="K114" s="10" t="str">
        <f aca="false">IF(OR($C114="01-09",$C114="10-14",$D114="Female"),"",INDEX(VMMC!$AA:$AA,MATCH($E114,VMMC!$E:$E,0)))</f>
        <v/>
      </c>
      <c r="L114" s="10" t="n">
        <f aca="false">SUM($G114)-SUM($H114:$K114)</f>
        <v>-11</v>
      </c>
      <c r="M114" s="88" t="str">
        <f aca="false">IF(OR($C114="01-09",$D114="Male",AND(SUM($G114)=0,SUM($H114)=0)),"",SUM($H114)/SUM($G114))</f>
        <v/>
      </c>
      <c r="N114" s="88" t="str">
        <f aca="false">IF(OR($C114="01-09",$D114="Male",AND(SUM($G114)=0,SUM($I114)=0)),"",SUM($I114)/SUM($G114))</f>
        <v/>
      </c>
      <c r="O114" s="88" t="n">
        <f aca="false">IF(AND(SUM($G114)=0,SUM($J114)=0),"",SUM($J114)/SUM($G114))</f>
        <v>-0</v>
      </c>
      <c r="P114" s="88" t="str">
        <f aca="false">IF(OR($C114="01-09",$C114="10-14",$D114="Female",AND(SUM($G114)=0,SUM($K114)=0)),"",SUM($K114)/SUM($G114))</f>
        <v/>
      </c>
      <c r="Q114" s="88" t="n">
        <v>0.261329128639773</v>
      </c>
      <c r="R114" s="88"/>
      <c r="S114" s="88"/>
      <c r="T114" s="88"/>
      <c r="U114" s="88"/>
      <c r="V114" s="88" t="n">
        <f aca="false">IF(SUM($G114)=0,"",SUM($M114:$U114))</f>
        <v>0.261329128639773</v>
      </c>
      <c r="W114" s="88"/>
      <c r="X114" s="39" t="n">
        <f aca="false">IF(OR(SUM($G114)=0,SUM($Q114)=0),"",ROUND(SUM($G114)*SUM($Q114),0))</f>
        <v>-3</v>
      </c>
      <c r="Y114" s="39" t="str">
        <f aca="false">IF(SUM($X114)=0,"",IF(SUM($W114)=0,"ENTER YIELD",ROUND($X114/$W114,0)-$X114))</f>
        <v>ENTER YIELD</v>
      </c>
      <c r="Z114" s="88"/>
      <c r="AA114" s="39" t="str">
        <f aca="false">IF(OR(SUM($G114)=0,SUM($R114)=0),"",ROUND(SUM($G114)*SUM($R114),0))</f>
        <v/>
      </c>
      <c r="AB114" s="39" t="str">
        <f aca="false">IF(SUM($AA114)=0,"",IF(SUM($Z114)=0,"ENTER YIELD",ROUND($AA114/$Z114,0)-$AA114))</f>
        <v/>
      </c>
      <c r="AC114" s="88"/>
      <c r="AD114" s="39" t="str">
        <f aca="false">IF(OR(SUM($G114)=0,SUM($S114)=0),"",ROUND(SUM($G114)*SUM($S114),0))</f>
        <v/>
      </c>
      <c r="AE114" s="39" t="str">
        <f aca="false">IF(SUM($AD114)=0,"",IF(SUM($AC114)=0,"ENTER YIELD",ROUND($AD114/$AC114,0)-$AD114))</f>
        <v/>
      </c>
      <c r="AF114" s="88"/>
      <c r="AG114" s="39" t="str">
        <f aca="false">IF(OR(SUM($G114)=0,SUM($T114)=0),"",ROUND(SUM($G114)*SUM($T114),0))</f>
        <v/>
      </c>
      <c r="AH114" s="39" t="str">
        <f aca="false">IF(SUM($AG114)=0,"",IF(SUM($AF114)=0,"ENTER YIELD",ROUND($AG114/$AF114,0)-$AG114))</f>
        <v/>
      </c>
      <c r="AI114" s="88"/>
      <c r="AJ114" s="39" t="str">
        <f aca="false">IF(OR(SUM($G114)=0,SUM($U114)=0),"",ROUND(SUM($G114)*SUM($U114),0))</f>
        <v/>
      </c>
      <c r="AK114" s="39" t="str">
        <f aca="false">IF(SUM($AJ114)=0,"",IF(SUM($AI114)=0,"ENTER YIELD",ROUND($AJ114/$AI114,0)-$AJ114))</f>
        <v/>
      </c>
      <c r="AL114" s="10" t="n">
        <f aca="false">IF(SUM($G114)=0,"",$G114)</f>
        <v>-11</v>
      </c>
      <c r="AM114" s="10" t="n">
        <f aca="false">IFERROR(1/(1/SUM($H114:$K114,$X114,$AA114,$AD114,$AG114,$AJ114)),"")</f>
        <v>-3</v>
      </c>
      <c r="AN114" s="10" t="n">
        <f aca="false">IF(AND(SUM($AM114)=0,SUM($AL114)=0),"",$AM114-$AL114)</f>
        <v>8</v>
      </c>
      <c r="AO114" s="10" t="str">
        <f aca="false">IF(OR($C114="01-09",$D114="Male"),"",INDEX(PMTCT!$AD:$AD,MATCH($E114,PMTCT!$E:$E,0)))</f>
        <v/>
      </c>
      <c r="AP114" s="10" t="str">
        <f aca="false">IF(OR($C114="01-09",$D114="Male"),"",INDEX(PMTCT!$AT:$AT,MATCH($E114,PMTCT!$E:$E,0)))</f>
        <v/>
      </c>
      <c r="AQ114" s="10" t="n">
        <f aca="false">INDEX(TB!$Q:$Q,MATCH($E114,TB!$E:$E,0))</f>
        <v>1</v>
      </c>
      <c r="AR114" s="10" t="str">
        <f aca="false">IF(OR($C114="01-09",$C114="10-14",$D114="Female"),"",INDEX(VMMC!$AB:$AB,MATCH($E114,VMMC!$E:$E,0)))</f>
        <v/>
      </c>
      <c r="AS114" s="10" t="str">
        <f aca="false">IF(OR($C114="01-09",$C114="10-14"),"",INDEX(PrEP!$Q:$Q,MATCH($E114,PrEP!$E:$E,0)))</f>
        <v/>
      </c>
      <c r="AT114" s="10" t="n">
        <f aca="false">IFERROR(1/(1/SUM($Y114,$AB114,$AE114,$AH114,$AK114,$AO114:$AS114)),"")</f>
        <v>1</v>
      </c>
      <c r="AU114" s="10" t="n">
        <f aca="false">IFERROR(1/(1/SUM($AT114,$AM114)),"")</f>
        <v>-2</v>
      </c>
      <c r="AV114" s="88" t="n">
        <f aca="false">IF(AND(SUM($AM114)=0,SUM($AU114)=0),"",$AM114/$AU114)</f>
        <v>1.5</v>
      </c>
      <c r="AW114" s="10"/>
      <c r="AX114" s="88" t="str">
        <f aca="false">IF(OR($C114="01-09",SUM($AW114)=0),"",0%)</f>
        <v/>
      </c>
      <c r="AY114" s="39" t="str">
        <f aca="false">IF(OR($C114="01-09",SUM($AW114)=0),"",ROUND($AW114*(1+$AX114),0))</f>
        <v/>
      </c>
      <c r="AZ114" s="88" t="str">
        <f aca="false">IF(OR($C114="01-09",$C114="10-14"),"",100%)</f>
        <v/>
      </c>
      <c r="BA114" s="39" t="str">
        <f aca="false">IF(OR(SUM($AM114)=0,$C114="01-09",$C114="10-14"),"",$AM114*$AZ114)</f>
        <v/>
      </c>
    </row>
    <row r="115" customFormat="false" ht="15" hidden="false" customHeight="false" outlineLevel="0" collapsed="false">
      <c r="A115" s="0" t="str">
        <f aca="false">INDEX(Prioritization!$D:$D,MATCH($B115,Prioritization!$A:$A,0))</f>
        <v>INVALID</v>
      </c>
      <c r="B115" s="0" t="s">
        <v>202</v>
      </c>
      <c r="C115" s="0" t="s">
        <v>365</v>
      </c>
      <c r="D115" s="0" t="s">
        <v>30</v>
      </c>
      <c r="E115" s="0" t="str">
        <f aca="false">$B115&amp;"|"&amp;$C115&amp;"|"&amp;$D115</f>
        <v>Ntchisi District [fiRkU6gEjLz]|15-24|Female</v>
      </c>
      <c r="F115" s="88" t="n">
        <f aca="false">IF(LEFT($B115,4)="_Mil","",INDEX(Cascade!$AA:$AA,MATCH($E115,Cascade!$E:$E,0)))</f>
        <v>630</v>
      </c>
      <c r="G115" s="10" t="n">
        <f aca="false">INDEX(Cascade!$BH:$BH,MATCH($E115,Cascade!$E:$E,0))</f>
        <v>0</v>
      </c>
      <c r="H115" s="10" t="str">
        <f aca="false">IF(OR($C115="01-09",$D115="Male"),"",INDEX(PMTCT!$AC:$AC,MATCH($E115,PMTCT!$E:$E,0)))</f>
        <v/>
      </c>
      <c r="I115" s="10" t="str">
        <f aca="false">IF(OR($C115="01-09",$D115="Male"),"",INDEX(PMTCT!$AS:$AS,MATCH($E115,PMTCT!$E:$E,0)))</f>
        <v/>
      </c>
      <c r="J115" s="10" t="str">
        <f aca="false">INDEX(TB!$P:$P,MATCH($E115,TB!$E:$E,0))</f>
        <v/>
      </c>
      <c r="K115" s="10" t="str">
        <f aca="false">IF(OR($C115="01-09",$C115="10-14",$D115="Female"),"",INDEX(VMMC!$AA:$AA,MATCH($E115,VMMC!$E:$E,0)))</f>
        <v/>
      </c>
      <c r="L115" s="10" t="n">
        <f aca="false">SUM($G115)-SUM($H115:$K115)</f>
        <v>0</v>
      </c>
      <c r="M115" s="88" t="str">
        <f aca="false">IF(OR($C115="01-09",$D115="Male",AND(SUM($G115)=0,SUM($H115)=0)),"",SUM($H115)/SUM($G115))</f>
        <v/>
      </c>
      <c r="N115" s="88" t="str">
        <f aca="false">IF(OR($C115="01-09",$D115="Male",AND(SUM($G115)=0,SUM($I115)=0)),"",SUM($I115)/SUM($G115))</f>
        <v/>
      </c>
      <c r="O115" s="88" t="str">
        <f aca="false">IF(AND(SUM($G115)=0,SUM($J115)=0),"",SUM($J115)/SUM($G115))</f>
        <v/>
      </c>
      <c r="P115" s="88" t="str">
        <f aca="false">IF(OR($C115="01-09",$C115="10-14",$D115="Female",AND(SUM($G115)=0,SUM($K115)=0)),"",SUM($K115)/SUM($G115))</f>
        <v/>
      </c>
      <c r="Q115" s="88"/>
      <c r="R115" s="88"/>
      <c r="S115" s="88"/>
      <c r="T115" s="88"/>
      <c r="U115" s="88"/>
      <c r="V115" s="88" t="str">
        <f aca="false">IF(SUM($G115)=0,"",SUM($M115:$U115))</f>
        <v/>
      </c>
      <c r="W115" s="88"/>
      <c r="X115" s="39" t="str">
        <f aca="false">IF(OR(SUM($G115)=0,SUM($Q115)=0),"",ROUND(SUM($G115)*SUM($Q115),0))</f>
        <v/>
      </c>
      <c r="Y115" s="39" t="str">
        <f aca="false">IF(SUM($X115)=0,"",IF(SUM($W115)=0,"ENTER YIELD",ROUND($X115/$W115,0)-$X115))</f>
        <v/>
      </c>
      <c r="Z115" s="88"/>
      <c r="AA115" s="39" t="str">
        <f aca="false">IF(OR(SUM($G115)=0,SUM($R115)=0),"",ROUND(SUM($G115)*SUM($R115),0))</f>
        <v/>
      </c>
      <c r="AB115" s="39" t="str">
        <f aca="false">IF(SUM($AA115)=0,"",IF(SUM($Z115)=0,"ENTER YIELD",ROUND($AA115/$Z115,0)-$AA115))</f>
        <v/>
      </c>
      <c r="AC115" s="88"/>
      <c r="AD115" s="39" t="str">
        <f aca="false">IF(OR(SUM($G115)=0,SUM($S115)=0),"",ROUND(SUM($G115)*SUM($S115),0))</f>
        <v/>
      </c>
      <c r="AE115" s="39" t="str">
        <f aca="false">IF(SUM($AD115)=0,"",IF(SUM($AC115)=0,"ENTER YIELD",ROUND($AD115/$AC115,0)-$AD115))</f>
        <v/>
      </c>
      <c r="AF115" s="88"/>
      <c r="AG115" s="39" t="str">
        <f aca="false">IF(OR(SUM($G115)=0,SUM($T115)=0),"",ROUND(SUM($G115)*SUM($T115),0))</f>
        <v/>
      </c>
      <c r="AH115" s="39" t="str">
        <f aca="false">IF(SUM($AG115)=0,"",IF(SUM($AF115)=0,"ENTER YIELD",ROUND($AG115/$AF115,0)-$AG115))</f>
        <v/>
      </c>
      <c r="AI115" s="88"/>
      <c r="AJ115" s="39" t="str">
        <f aca="false">IF(OR(SUM($G115)=0,SUM($U115)=0),"",ROUND(SUM($G115)*SUM($U115),0))</f>
        <v/>
      </c>
      <c r="AK115" s="39" t="str">
        <f aca="false">IF(SUM($AJ115)=0,"",IF(SUM($AI115)=0,"ENTER YIELD",ROUND($AJ115/$AI115,0)-$AJ115))</f>
        <v/>
      </c>
      <c r="AL115" s="10" t="str">
        <f aca="false">IF(SUM($G115)=0,"",$G115)</f>
        <v/>
      </c>
      <c r="AM115" s="10" t="str">
        <f aca="false">IFERROR(1/(1/SUM($H115:$K115,$X115,$AA115,$AD115,$AG115,$AJ115)),"")</f>
        <v/>
      </c>
      <c r="AN115" s="10" t="str">
        <f aca="false">IF(AND(SUM($AM115)=0,SUM($AL115)=0),"",$AM115-$AL115)</f>
        <v/>
      </c>
      <c r="AO115" s="10" t="str">
        <f aca="false">IF(OR($C115="01-09",$D115="Male"),"",INDEX(PMTCT!$AD:$AD,MATCH($E115,PMTCT!$E:$E,0)))</f>
        <v/>
      </c>
      <c r="AP115" s="10" t="str">
        <f aca="false">IF(OR($C115="01-09",$D115="Male"),"",INDEX(PMTCT!$AT:$AT,MATCH($E115,PMTCT!$E:$E,0)))</f>
        <v/>
      </c>
      <c r="AQ115" s="10" t="str">
        <f aca="false">INDEX(TB!$Q:$Q,MATCH($E115,TB!$E:$E,0))</f>
        <v/>
      </c>
      <c r="AR115" s="10" t="str">
        <f aca="false">IF(OR($C115="01-09",$C115="10-14",$D115="Female"),"",INDEX(VMMC!$AB:$AB,MATCH($E115,VMMC!$E:$E,0)))</f>
        <v/>
      </c>
      <c r="AS115" s="10" t="str">
        <f aca="false">IF(OR($C115="01-09",$C115="10-14"),"",INDEX(PrEP!$Q:$Q,MATCH($E115,PrEP!$E:$E,0)))</f>
        <v/>
      </c>
      <c r="AT115" s="10" t="str">
        <f aca="false">IFERROR(1/(1/SUM($Y115,$AB115,$AE115,$AH115,$AK115,$AO115:$AS115)),"")</f>
        <v/>
      </c>
      <c r="AU115" s="10" t="str">
        <f aca="false">IFERROR(1/(1/SUM($AT115,$AM115)),"")</f>
        <v/>
      </c>
      <c r="AV115" s="88" t="str">
        <f aca="false">IF(AND(SUM($AM115)=0,SUM($AU115)=0),"",$AM115/$AU115)</f>
        <v/>
      </c>
      <c r="AW115" s="10"/>
      <c r="AX115" s="88" t="str">
        <f aca="false">IF(OR($C115="01-09",SUM($AW115)=0),"",0%)</f>
        <v/>
      </c>
      <c r="AY115" s="39" t="str">
        <f aca="false">IF(OR($C115="01-09",SUM($AW115)=0),"",ROUND($AW115*(1+$AX115),0))</f>
        <v/>
      </c>
      <c r="AZ115" s="88" t="n">
        <f aca="false">IF(OR($C115="01-09",$C115="10-14"),"",100%)</f>
        <v>1</v>
      </c>
      <c r="BA115" s="39" t="str">
        <f aca="false">IF(OR(SUM($AM115)=0,$C115="01-09",$C115="10-14"),"",$AM115*$AZ115)</f>
        <v/>
      </c>
    </row>
    <row r="116" customFormat="false" ht="15" hidden="false" customHeight="false" outlineLevel="0" collapsed="false">
      <c r="A116" s="0" t="str">
        <f aca="false">INDEX(Prioritization!$D:$D,MATCH($B116,Prioritization!$A:$A,0))</f>
        <v>INVALID</v>
      </c>
      <c r="B116" s="0" t="s">
        <v>202</v>
      </c>
      <c r="C116" s="0" t="s">
        <v>365</v>
      </c>
      <c r="D116" s="0" t="s">
        <v>48</v>
      </c>
      <c r="E116" s="0" t="str">
        <f aca="false">$B116&amp;"|"&amp;$C116&amp;"|"&amp;$D116</f>
        <v>Ntchisi District [fiRkU6gEjLz]|15-24|Male</v>
      </c>
      <c r="F116" s="88" t="n">
        <f aca="false">IF(LEFT($B116,4)="_Mil","",INDEX(Cascade!$AA:$AA,MATCH($E116,Cascade!$E:$E,0)))</f>
        <v>1616</v>
      </c>
      <c r="G116" s="10" t="n">
        <f aca="false">INDEX(Cascade!$BH:$BH,MATCH($E116,Cascade!$E:$E,0))</f>
        <v>0</v>
      </c>
      <c r="H116" s="10" t="str">
        <f aca="false">IF(OR($C116="01-09",$D116="Male"),"",INDEX(PMTCT!$AC:$AC,MATCH($E116,PMTCT!$E:$E,0)))</f>
        <v/>
      </c>
      <c r="I116" s="10" t="str">
        <f aca="false">IF(OR($C116="01-09",$D116="Male"),"",INDEX(PMTCT!$AS:$AS,MATCH($E116,PMTCT!$E:$E,0)))</f>
        <v/>
      </c>
      <c r="J116" s="10" t="str">
        <f aca="false">INDEX(TB!$P:$P,MATCH($E116,TB!$E:$E,0))</f>
        <v/>
      </c>
      <c r="K116" s="10" t="str">
        <f aca="false">IF(OR($C116="01-09",$C116="10-14",$D116="Female"),"",INDEX(VMMC!$AA:$AA,MATCH($E116,VMMC!$E:$E,0)))</f>
        <v/>
      </c>
      <c r="L116" s="10" t="n">
        <f aca="false">SUM($G116)-SUM($H116:$K116)</f>
        <v>0</v>
      </c>
      <c r="M116" s="88" t="str">
        <f aca="false">IF(OR($C116="01-09",$D116="Male",AND(SUM($G116)=0,SUM($H116)=0)),"",SUM($H116)/SUM($G116))</f>
        <v/>
      </c>
      <c r="N116" s="88" t="str">
        <f aca="false">IF(OR($C116="01-09",$D116="Male",AND(SUM($G116)=0,SUM($I116)=0)),"",SUM($I116)/SUM($G116))</f>
        <v/>
      </c>
      <c r="O116" s="88" t="str">
        <f aca="false">IF(AND(SUM($G116)=0,SUM($J116)=0),"",SUM($J116)/SUM($G116))</f>
        <v/>
      </c>
      <c r="P116" s="88" t="str">
        <f aca="false">IF(OR($C116="01-09",$C116="10-14",$D116="Female",AND(SUM($G116)=0,SUM($K116)=0)),"",SUM($K116)/SUM($G116))</f>
        <v/>
      </c>
      <c r="Q116" s="88"/>
      <c r="R116" s="88"/>
      <c r="S116" s="88"/>
      <c r="T116" s="88"/>
      <c r="U116" s="88"/>
      <c r="V116" s="88" t="str">
        <f aca="false">IF(SUM($G116)=0,"",SUM($M116:$U116))</f>
        <v/>
      </c>
      <c r="W116" s="88"/>
      <c r="X116" s="39" t="str">
        <f aca="false">IF(OR(SUM($G116)=0,SUM($Q116)=0),"",ROUND(SUM($G116)*SUM($Q116),0))</f>
        <v/>
      </c>
      <c r="Y116" s="39" t="str">
        <f aca="false">IF(SUM($X116)=0,"",IF(SUM($W116)=0,"ENTER YIELD",ROUND($X116/$W116,0)-$X116))</f>
        <v/>
      </c>
      <c r="Z116" s="88"/>
      <c r="AA116" s="39" t="str">
        <f aca="false">IF(OR(SUM($G116)=0,SUM($R116)=0),"",ROUND(SUM($G116)*SUM($R116),0))</f>
        <v/>
      </c>
      <c r="AB116" s="39" t="str">
        <f aca="false">IF(SUM($AA116)=0,"",IF(SUM($Z116)=0,"ENTER YIELD",ROUND($AA116/$Z116,0)-$AA116))</f>
        <v/>
      </c>
      <c r="AC116" s="88"/>
      <c r="AD116" s="39" t="str">
        <f aca="false">IF(OR(SUM($G116)=0,SUM($S116)=0),"",ROUND(SUM($G116)*SUM($S116),0))</f>
        <v/>
      </c>
      <c r="AE116" s="39" t="str">
        <f aca="false">IF(SUM($AD116)=0,"",IF(SUM($AC116)=0,"ENTER YIELD",ROUND($AD116/$AC116,0)-$AD116))</f>
        <v/>
      </c>
      <c r="AF116" s="88"/>
      <c r="AG116" s="39" t="str">
        <f aca="false">IF(OR(SUM($G116)=0,SUM($T116)=0),"",ROUND(SUM($G116)*SUM($T116),0))</f>
        <v/>
      </c>
      <c r="AH116" s="39" t="str">
        <f aca="false">IF(SUM($AG116)=0,"",IF(SUM($AF116)=0,"ENTER YIELD",ROUND($AG116/$AF116,0)-$AG116))</f>
        <v/>
      </c>
      <c r="AI116" s="88"/>
      <c r="AJ116" s="39" t="str">
        <f aca="false">IF(OR(SUM($G116)=0,SUM($U116)=0),"",ROUND(SUM($G116)*SUM($U116),0))</f>
        <v/>
      </c>
      <c r="AK116" s="39" t="str">
        <f aca="false">IF(SUM($AJ116)=0,"",IF(SUM($AI116)=0,"ENTER YIELD",ROUND($AJ116/$AI116,0)-$AJ116))</f>
        <v/>
      </c>
      <c r="AL116" s="10" t="str">
        <f aca="false">IF(SUM($G116)=0,"",$G116)</f>
        <v/>
      </c>
      <c r="AM116" s="10" t="str">
        <f aca="false">IFERROR(1/(1/SUM($H116:$K116,$X116,$AA116,$AD116,$AG116,$AJ116)),"")</f>
        <v/>
      </c>
      <c r="AN116" s="10" t="str">
        <f aca="false">IF(AND(SUM($AM116)=0,SUM($AL116)=0),"",$AM116-$AL116)</f>
        <v/>
      </c>
      <c r="AO116" s="10" t="str">
        <f aca="false">IF(OR($C116="01-09",$D116="Male"),"",INDEX(PMTCT!$AD:$AD,MATCH($E116,PMTCT!$E:$E,0)))</f>
        <v/>
      </c>
      <c r="AP116" s="10" t="str">
        <f aca="false">IF(OR($C116="01-09",$D116="Male"),"",INDEX(PMTCT!$AT:$AT,MATCH($E116,PMTCT!$E:$E,0)))</f>
        <v/>
      </c>
      <c r="AQ116" s="10" t="str">
        <f aca="false">INDEX(TB!$Q:$Q,MATCH($E116,TB!$E:$E,0))</f>
        <v/>
      </c>
      <c r="AR116" s="10" t="str">
        <f aca="false">IF(OR($C116="01-09",$C116="10-14",$D116="Female"),"",INDEX(VMMC!$AB:$AB,MATCH($E116,VMMC!$E:$E,0)))</f>
        <v/>
      </c>
      <c r="AS116" s="10" t="str">
        <f aca="false">IF(OR($C116="01-09",$C116="10-14"),"",INDEX(PrEP!$Q:$Q,MATCH($E116,PrEP!$E:$E,0)))</f>
        <v/>
      </c>
      <c r="AT116" s="10" t="str">
        <f aca="false">IFERROR(1/(1/SUM($Y116,$AB116,$AE116,$AH116,$AK116,$AO116:$AS116)),"")</f>
        <v/>
      </c>
      <c r="AU116" s="10" t="str">
        <f aca="false">IFERROR(1/(1/SUM($AT116,$AM116)),"")</f>
        <v/>
      </c>
      <c r="AV116" s="88" t="str">
        <f aca="false">IF(AND(SUM($AM116)=0,SUM($AU116)=0),"",$AM116/$AU116)</f>
        <v/>
      </c>
      <c r="AW116" s="10"/>
      <c r="AX116" s="88" t="str">
        <f aca="false">IF(OR($C116="01-09",SUM($AW116)=0),"",0%)</f>
        <v/>
      </c>
      <c r="AY116" s="39" t="str">
        <f aca="false">IF(OR($C116="01-09",SUM($AW116)=0),"",ROUND($AW116*(1+$AX116),0))</f>
        <v/>
      </c>
      <c r="AZ116" s="88" t="n">
        <f aca="false">IF(OR($C116="01-09",$C116="10-14"),"",100%)</f>
        <v>1</v>
      </c>
      <c r="BA116" s="39" t="str">
        <f aca="false">IF(OR(SUM($AM116)=0,$C116="01-09",$C116="10-14"),"",$AM116*$AZ116)</f>
        <v/>
      </c>
    </row>
    <row r="117" customFormat="false" ht="15" hidden="false" customHeight="false" outlineLevel="0" collapsed="false">
      <c r="A117" s="0" t="str">
        <f aca="false">INDEX(Prioritization!$D:$D,MATCH($B117,Prioritization!$A:$A,0))</f>
        <v>INVALID</v>
      </c>
      <c r="B117" s="0" t="s">
        <v>202</v>
      </c>
      <c r="C117" s="0" t="s">
        <v>366</v>
      </c>
      <c r="D117" s="0" t="s">
        <v>30</v>
      </c>
      <c r="E117" s="0" t="str">
        <f aca="false">$B117&amp;"|"&amp;$C117&amp;"|"&amp;$D117</f>
        <v>Ntchisi District [fiRkU6gEjLz]|25-34|Female</v>
      </c>
      <c r="F117" s="88" t="n">
        <f aca="false">IF(LEFT($B117,4)="_Mil","",INDEX(Cascade!$AA:$AA,MATCH($E117,Cascade!$E:$E,0)))</f>
        <v>1180</v>
      </c>
      <c r="G117" s="10" t="n">
        <f aca="false">INDEX(Cascade!$BH:$BH,MATCH($E117,Cascade!$E:$E,0))</f>
        <v>0</v>
      </c>
      <c r="H117" s="10" t="str">
        <f aca="false">IF(OR($C117="01-09",$D117="Male"),"",INDEX(PMTCT!$AC:$AC,MATCH($E117,PMTCT!$E:$E,0)))</f>
        <v/>
      </c>
      <c r="I117" s="10" t="str">
        <f aca="false">IF(OR($C117="01-09",$D117="Male"),"",INDEX(PMTCT!$AS:$AS,MATCH($E117,PMTCT!$E:$E,0)))</f>
        <v/>
      </c>
      <c r="J117" s="10" t="str">
        <f aca="false">INDEX(TB!$P:$P,MATCH($E117,TB!$E:$E,0))</f>
        <v/>
      </c>
      <c r="K117" s="10" t="str">
        <f aca="false">IF(OR($C117="01-09",$C117="10-14",$D117="Female"),"",INDEX(VMMC!$AA:$AA,MATCH($E117,VMMC!$E:$E,0)))</f>
        <v/>
      </c>
      <c r="L117" s="10" t="n">
        <f aca="false">SUM($G117)-SUM($H117:$K117)</f>
        <v>0</v>
      </c>
      <c r="M117" s="88" t="str">
        <f aca="false">IF(OR($C117="01-09",$D117="Male",AND(SUM($G117)=0,SUM($H117)=0)),"",SUM($H117)/SUM($G117))</f>
        <v/>
      </c>
      <c r="N117" s="88" t="str">
        <f aca="false">IF(OR($C117="01-09",$D117="Male",AND(SUM($G117)=0,SUM($I117)=0)),"",SUM($I117)/SUM($G117))</f>
        <v/>
      </c>
      <c r="O117" s="88" t="str">
        <f aca="false">IF(AND(SUM($G117)=0,SUM($J117)=0),"",SUM($J117)/SUM($G117))</f>
        <v/>
      </c>
      <c r="P117" s="88" t="str">
        <f aca="false">IF(OR($C117="01-09",$C117="10-14",$D117="Female",AND(SUM($G117)=0,SUM($K117)=0)),"",SUM($K117)/SUM($G117))</f>
        <v/>
      </c>
      <c r="Q117" s="88"/>
      <c r="R117" s="88"/>
      <c r="S117" s="88"/>
      <c r="T117" s="88"/>
      <c r="U117" s="88"/>
      <c r="V117" s="88" t="str">
        <f aca="false">IF(SUM($G117)=0,"",SUM($M117:$U117))</f>
        <v/>
      </c>
      <c r="W117" s="88"/>
      <c r="X117" s="39" t="str">
        <f aca="false">IF(OR(SUM($G117)=0,SUM($Q117)=0),"",ROUND(SUM($G117)*SUM($Q117),0))</f>
        <v/>
      </c>
      <c r="Y117" s="39" t="str">
        <f aca="false">IF(SUM($X117)=0,"",IF(SUM($W117)=0,"ENTER YIELD",ROUND($X117/$W117,0)-$X117))</f>
        <v/>
      </c>
      <c r="Z117" s="88"/>
      <c r="AA117" s="39" t="str">
        <f aca="false">IF(OR(SUM($G117)=0,SUM($R117)=0),"",ROUND(SUM($G117)*SUM($R117),0))</f>
        <v/>
      </c>
      <c r="AB117" s="39" t="str">
        <f aca="false">IF(SUM($AA117)=0,"",IF(SUM($Z117)=0,"ENTER YIELD",ROUND($AA117/$Z117,0)-$AA117))</f>
        <v/>
      </c>
      <c r="AC117" s="88"/>
      <c r="AD117" s="39" t="str">
        <f aca="false">IF(OR(SUM($G117)=0,SUM($S117)=0),"",ROUND(SUM($G117)*SUM($S117),0))</f>
        <v/>
      </c>
      <c r="AE117" s="39" t="str">
        <f aca="false">IF(SUM($AD117)=0,"",IF(SUM($AC117)=0,"ENTER YIELD",ROUND($AD117/$AC117,0)-$AD117))</f>
        <v/>
      </c>
      <c r="AF117" s="88"/>
      <c r="AG117" s="39" t="str">
        <f aca="false">IF(OR(SUM($G117)=0,SUM($T117)=0),"",ROUND(SUM($G117)*SUM($T117),0))</f>
        <v/>
      </c>
      <c r="AH117" s="39" t="str">
        <f aca="false">IF(SUM($AG117)=0,"",IF(SUM($AF117)=0,"ENTER YIELD",ROUND($AG117/$AF117,0)-$AG117))</f>
        <v/>
      </c>
      <c r="AI117" s="88"/>
      <c r="AJ117" s="39" t="str">
        <f aca="false">IF(OR(SUM($G117)=0,SUM($U117)=0),"",ROUND(SUM($G117)*SUM($U117),0))</f>
        <v/>
      </c>
      <c r="AK117" s="39" t="str">
        <f aca="false">IF(SUM($AJ117)=0,"",IF(SUM($AI117)=0,"ENTER YIELD",ROUND($AJ117/$AI117,0)-$AJ117))</f>
        <v/>
      </c>
      <c r="AL117" s="10" t="str">
        <f aca="false">IF(SUM($G117)=0,"",$G117)</f>
        <v/>
      </c>
      <c r="AM117" s="10" t="str">
        <f aca="false">IFERROR(1/(1/SUM($H117:$K117,$X117,$AA117,$AD117,$AG117,$AJ117)),"")</f>
        <v/>
      </c>
      <c r="AN117" s="10" t="str">
        <f aca="false">IF(AND(SUM($AM117)=0,SUM($AL117)=0),"",$AM117-$AL117)</f>
        <v/>
      </c>
      <c r="AO117" s="10" t="str">
        <f aca="false">IF(OR($C117="01-09",$D117="Male"),"",INDEX(PMTCT!$AD:$AD,MATCH($E117,PMTCT!$E:$E,0)))</f>
        <v/>
      </c>
      <c r="AP117" s="10" t="str">
        <f aca="false">IF(OR($C117="01-09",$D117="Male"),"",INDEX(PMTCT!$AT:$AT,MATCH($E117,PMTCT!$E:$E,0)))</f>
        <v/>
      </c>
      <c r="AQ117" s="10" t="str">
        <f aca="false">INDEX(TB!$Q:$Q,MATCH($E117,TB!$E:$E,0))</f>
        <v/>
      </c>
      <c r="AR117" s="10" t="str">
        <f aca="false">IF(OR($C117="01-09",$C117="10-14",$D117="Female"),"",INDEX(VMMC!$AB:$AB,MATCH($E117,VMMC!$E:$E,0)))</f>
        <v/>
      </c>
      <c r="AS117" s="10" t="str">
        <f aca="false">IF(OR($C117="01-09",$C117="10-14"),"",INDEX(PrEP!$Q:$Q,MATCH($E117,PrEP!$E:$E,0)))</f>
        <v/>
      </c>
      <c r="AT117" s="10" t="str">
        <f aca="false">IFERROR(1/(1/SUM($Y117,$AB117,$AE117,$AH117,$AK117,$AO117:$AS117)),"")</f>
        <v/>
      </c>
      <c r="AU117" s="10" t="str">
        <f aca="false">IFERROR(1/(1/SUM($AT117,$AM117)),"")</f>
        <v/>
      </c>
      <c r="AV117" s="88" t="str">
        <f aca="false">IF(AND(SUM($AM117)=0,SUM($AU117)=0),"",$AM117/$AU117)</f>
        <v/>
      </c>
      <c r="AW117" s="10"/>
      <c r="AX117" s="88" t="str">
        <f aca="false">IF(OR($C117="01-09",SUM($AW117)=0),"",0%)</f>
        <v/>
      </c>
      <c r="AY117" s="39" t="str">
        <f aca="false">IF(OR($C117="01-09",SUM($AW117)=0),"",ROUND($AW117*(1+$AX117),0))</f>
        <v/>
      </c>
      <c r="AZ117" s="88" t="n">
        <f aca="false">IF(OR($C117="01-09",$C117="10-14"),"",100%)</f>
        <v>1</v>
      </c>
      <c r="BA117" s="39" t="str">
        <f aca="false">IF(OR(SUM($AM117)=0,$C117="01-09",$C117="10-14"),"",$AM117*$AZ117)</f>
        <v/>
      </c>
    </row>
    <row r="118" customFormat="false" ht="15" hidden="false" customHeight="false" outlineLevel="0" collapsed="false">
      <c r="A118" s="0" t="str">
        <f aca="false">INDEX(Prioritization!$D:$D,MATCH($B118,Prioritization!$A:$A,0))</f>
        <v>INVALID</v>
      </c>
      <c r="B118" s="0" t="s">
        <v>202</v>
      </c>
      <c r="C118" s="0" t="s">
        <v>366</v>
      </c>
      <c r="D118" s="0" t="s">
        <v>48</v>
      </c>
      <c r="E118" s="0" t="str">
        <f aca="false">$B118&amp;"|"&amp;$C118&amp;"|"&amp;$D118</f>
        <v>Ntchisi District [fiRkU6gEjLz]|25-34|Male</v>
      </c>
      <c r="F118" s="88" t="n">
        <f aca="false">IF(LEFT($B118,4)="_Mil","",INDEX(Cascade!$AA:$AA,MATCH($E118,Cascade!$E:$E,0)))</f>
        <v>1790</v>
      </c>
      <c r="G118" s="10" t="n">
        <f aca="false">INDEX(Cascade!$BH:$BH,MATCH($E118,Cascade!$E:$E,0))</f>
        <v>0</v>
      </c>
      <c r="H118" s="10" t="str">
        <f aca="false">IF(OR($C118="01-09",$D118="Male"),"",INDEX(PMTCT!$AC:$AC,MATCH($E118,PMTCT!$E:$E,0)))</f>
        <v/>
      </c>
      <c r="I118" s="10" t="str">
        <f aca="false">IF(OR($C118="01-09",$D118="Male"),"",INDEX(PMTCT!$AS:$AS,MATCH($E118,PMTCT!$E:$E,0)))</f>
        <v/>
      </c>
      <c r="J118" s="10" t="str">
        <f aca="false">INDEX(TB!$P:$P,MATCH($E118,TB!$E:$E,0))</f>
        <v/>
      </c>
      <c r="K118" s="10" t="str">
        <f aca="false">IF(OR($C118="01-09",$C118="10-14",$D118="Female"),"",INDEX(VMMC!$AA:$AA,MATCH($E118,VMMC!$E:$E,0)))</f>
        <v/>
      </c>
      <c r="L118" s="10" t="n">
        <f aca="false">SUM($G118)-SUM($H118:$K118)</f>
        <v>0</v>
      </c>
      <c r="M118" s="88" t="str">
        <f aca="false">IF(OR($C118="01-09",$D118="Male",AND(SUM($G118)=0,SUM($H118)=0)),"",SUM($H118)/SUM($G118))</f>
        <v/>
      </c>
      <c r="N118" s="88" t="str">
        <f aca="false">IF(OR($C118="01-09",$D118="Male",AND(SUM($G118)=0,SUM($I118)=0)),"",SUM($I118)/SUM($G118))</f>
        <v/>
      </c>
      <c r="O118" s="88" t="str">
        <f aca="false">IF(AND(SUM($G118)=0,SUM($J118)=0),"",SUM($J118)/SUM($G118))</f>
        <v/>
      </c>
      <c r="P118" s="88" t="str">
        <f aca="false">IF(OR($C118="01-09",$C118="10-14",$D118="Female",AND(SUM($G118)=0,SUM($K118)=0)),"",SUM($K118)/SUM($G118))</f>
        <v/>
      </c>
      <c r="Q118" s="88"/>
      <c r="R118" s="88"/>
      <c r="S118" s="88"/>
      <c r="T118" s="88"/>
      <c r="U118" s="88"/>
      <c r="V118" s="88" t="str">
        <f aca="false">IF(SUM($G118)=0,"",SUM($M118:$U118))</f>
        <v/>
      </c>
      <c r="W118" s="88"/>
      <c r="X118" s="39" t="str">
        <f aca="false">IF(OR(SUM($G118)=0,SUM($Q118)=0),"",ROUND(SUM($G118)*SUM($Q118),0))</f>
        <v/>
      </c>
      <c r="Y118" s="39" t="str">
        <f aca="false">IF(SUM($X118)=0,"",IF(SUM($W118)=0,"ENTER YIELD",ROUND($X118/$W118,0)-$X118))</f>
        <v/>
      </c>
      <c r="Z118" s="88"/>
      <c r="AA118" s="39" t="str">
        <f aca="false">IF(OR(SUM($G118)=0,SUM($R118)=0),"",ROUND(SUM($G118)*SUM($R118),0))</f>
        <v/>
      </c>
      <c r="AB118" s="39" t="str">
        <f aca="false">IF(SUM($AA118)=0,"",IF(SUM($Z118)=0,"ENTER YIELD",ROUND($AA118/$Z118,0)-$AA118))</f>
        <v/>
      </c>
      <c r="AC118" s="88"/>
      <c r="AD118" s="39" t="str">
        <f aca="false">IF(OR(SUM($G118)=0,SUM($S118)=0),"",ROUND(SUM($G118)*SUM($S118),0))</f>
        <v/>
      </c>
      <c r="AE118" s="39" t="str">
        <f aca="false">IF(SUM($AD118)=0,"",IF(SUM($AC118)=0,"ENTER YIELD",ROUND($AD118/$AC118,0)-$AD118))</f>
        <v/>
      </c>
      <c r="AF118" s="88"/>
      <c r="AG118" s="39" t="str">
        <f aca="false">IF(OR(SUM($G118)=0,SUM($T118)=0),"",ROUND(SUM($G118)*SUM($T118),0))</f>
        <v/>
      </c>
      <c r="AH118" s="39" t="str">
        <f aca="false">IF(SUM($AG118)=0,"",IF(SUM($AF118)=0,"ENTER YIELD",ROUND($AG118/$AF118,0)-$AG118))</f>
        <v/>
      </c>
      <c r="AI118" s="88"/>
      <c r="AJ118" s="39" t="str">
        <f aca="false">IF(OR(SUM($G118)=0,SUM($U118)=0),"",ROUND(SUM($G118)*SUM($U118),0))</f>
        <v/>
      </c>
      <c r="AK118" s="39" t="str">
        <f aca="false">IF(SUM($AJ118)=0,"",IF(SUM($AI118)=0,"ENTER YIELD",ROUND($AJ118/$AI118,0)-$AJ118))</f>
        <v/>
      </c>
      <c r="AL118" s="10" t="str">
        <f aca="false">IF(SUM($G118)=0,"",$G118)</f>
        <v/>
      </c>
      <c r="AM118" s="10" t="str">
        <f aca="false">IFERROR(1/(1/SUM($H118:$K118,$X118,$AA118,$AD118,$AG118,$AJ118)),"")</f>
        <v/>
      </c>
      <c r="AN118" s="10" t="str">
        <f aca="false">IF(AND(SUM($AM118)=0,SUM($AL118)=0),"",$AM118-$AL118)</f>
        <v/>
      </c>
      <c r="AO118" s="10" t="str">
        <f aca="false">IF(OR($C118="01-09",$D118="Male"),"",INDEX(PMTCT!$AD:$AD,MATCH($E118,PMTCT!$E:$E,0)))</f>
        <v/>
      </c>
      <c r="AP118" s="10" t="str">
        <f aca="false">IF(OR($C118="01-09",$D118="Male"),"",INDEX(PMTCT!$AT:$AT,MATCH($E118,PMTCT!$E:$E,0)))</f>
        <v/>
      </c>
      <c r="AQ118" s="10" t="str">
        <f aca="false">INDEX(TB!$Q:$Q,MATCH($E118,TB!$E:$E,0))</f>
        <v/>
      </c>
      <c r="AR118" s="10" t="str">
        <f aca="false">IF(OR($C118="01-09",$C118="10-14",$D118="Female"),"",INDEX(VMMC!$AB:$AB,MATCH($E118,VMMC!$E:$E,0)))</f>
        <v/>
      </c>
      <c r="AS118" s="10" t="str">
        <f aca="false">IF(OR($C118="01-09",$C118="10-14"),"",INDEX(PrEP!$Q:$Q,MATCH($E118,PrEP!$E:$E,0)))</f>
        <v/>
      </c>
      <c r="AT118" s="10" t="str">
        <f aca="false">IFERROR(1/(1/SUM($Y118,$AB118,$AE118,$AH118,$AK118,$AO118:$AS118)),"")</f>
        <v/>
      </c>
      <c r="AU118" s="10" t="str">
        <f aca="false">IFERROR(1/(1/SUM($AT118,$AM118)),"")</f>
        <v/>
      </c>
      <c r="AV118" s="88" t="str">
        <f aca="false">IF(AND(SUM($AM118)=0,SUM($AU118)=0),"",$AM118/$AU118)</f>
        <v/>
      </c>
      <c r="AW118" s="10"/>
      <c r="AX118" s="88" t="str">
        <f aca="false">IF(OR($C118="01-09",SUM($AW118)=0),"",0%)</f>
        <v/>
      </c>
      <c r="AY118" s="39" t="str">
        <f aca="false">IF(OR($C118="01-09",SUM($AW118)=0),"",ROUND($AW118*(1+$AX118),0))</f>
        <v/>
      </c>
      <c r="AZ118" s="88" t="n">
        <f aca="false">IF(OR($C118="01-09",$C118="10-14"),"",100%)</f>
        <v>1</v>
      </c>
      <c r="BA118" s="39" t="str">
        <f aca="false">IF(OR(SUM($AM118)=0,$C118="01-09",$C118="10-14"),"",$AM118*$AZ118)</f>
        <v/>
      </c>
    </row>
    <row r="119" customFormat="false" ht="15" hidden="false" customHeight="false" outlineLevel="0" collapsed="false">
      <c r="A119" s="0" t="str">
        <f aca="false">INDEX(Prioritization!$D:$D,MATCH($B119,Prioritization!$A:$A,0))</f>
        <v>INVALID</v>
      </c>
      <c r="B119" s="0" t="s">
        <v>202</v>
      </c>
      <c r="C119" s="0" t="s">
        <v>367</v>
      </c>
      <c r="D119" s="0" t="s">
        <v>30</v>
      </c>
      <c r="E119" s="0" t="str">
        <f aca="false">$B119&amp;"|"&amp;$C119&amp;"|"&amp;$D119</f>
        <v>Ntchisi District [fiRkU6gEjLz]|35-49|Female</v>
      </c>
      <c r="F119" s="88" t="n">
        <f aca="false">IF(LEFT($B119,4)="_Mil","",INDEX(Cascade!$AA:$AA,MATCH($E119,Cascade!$E:$E,0)))</f>
        <v>711</v>
      </c>
      <c r="G119" s="10" t="n">
        <f aca="false">INDEX(Cascade!$BH:$BH,MATCH($E119,Cascade!$E:$E,0))</f>
        <v>0</v>
      </c>
      <c r="H119" s="10" t="str">
        <f aca="false">IF(OR($C119="01-09",$D119="Male"),"",INDEX(PMTCT!$AC:$AC,MATCH($E119,PMTCT!$E:$E,0)))</f>
        <v/>
      </c>
      <c r="I119" s="10" t="str">
        <f aca="false">IF(OR($C119="01-09",$D119="Male"),"",INDEX(PMTCT!$AS:$AS,MATCH($E119,PMTCT!$E:$E,0)))</f>
        <v/>
      </c>
      <c r="J119" s="10" t="str">
        <f aca="false">INDEX(TB!$P:$P,MATCH($E119,TB!$E:$E,0))</f>
        <v/>
      </c>
      <c r="K119" s="10" t="str">
        <f aca="false">IF(OR($C119="01-09",$C119="10-14",$D119="Female"),"",INDEX(VMMC!$AA:$AA,MATCH($E119,VMMC!$E:$E,0)))</f>
        <v/>
      </c>
      <c r="L119" s="10" t="n">
        <f aca="false">SUM($G119)-SUM($H119:$K119)</f>
        <v>0</v>
      </c>
      <c r="M119" s="88" t="str">
        <f aca="false">IF(OR($C119="01-09",$D119="Male",AND(SUM($G119)=0,SUM($H119)=0)),"",SUM($H119)/SUM($G119))</f>
        <v/>
      </c>
      <c r="N119" s="88" t="str">
        <f aca="false">IF(OR($C119="01-09",$D119="Male",AND(SUM($G119)=0,SUM($I119)=0)),"",SUM($I119)/SUM($G119))</f>
        <v/>
      </c>
      <c r="O119" s="88" t="str">
        <f aca="false">IF(AND(SUM($G119)=0,SUM($J119)=0),"",SUM($J119)/SUM($G119))</f>
        <v/>
      </c>
      <c r="P119" s="88" t="str">
        <f aca="false">IF(OR($C119="01-09",$C119="10-14",$D119="Female",AND(SUM($G119)=0,SUM($K119)=0)),"",SUM($K119)/SUM($G119))</f>
        <v/>
      </c>
      <c r="Q119" s="88"/>
      <c r="R119" s="88"/>
      <c r="S119" s="88"/>
      <c r="T119" s="88"/>
      <c r="U119" s="88"/>
      <c r="V119" s="88" t="str">
        <f aca="false">IF(SUM($G119)=0,"",SUM($M119:$U119))</f>
        <v/>
      </c>
      <c r="W119" s="88"/>
      <c r="X119" s="39" t="str">
        <f aca="false">IF(OR(SUM($G119)=0,SUM($Q119)=0),"",ROUND(SUM($G119)*SUM($Q119),0))</f>
        <v/>
      </c>
      <c r="Y119" s="39" t="str">
        <f aca="false">IF(SUM($X119)=0,"",IF(SUM($W119)=0,"ENTER YIELD",ROUND($X119/$W119,0)-$X119))</f>
        <v/>
      </c>
      <c r="Z119" s="88"/>
      <c r="AA119" s="39" t="str">
        <f aca="false">IF(OR(SUM($G119)=0,SUM($R119)=0),"",ROUND(SUM($G119)*SUM($R119),0))</f>
        <v/>
      </c>
      <c r="AB119" s="39" t="str">
        <f aca="false">IF(SUM($AA119)=0,"",IF(SUM($Z119)=0,"ENTER YIELD",ROUND($AA119/$Z119,0)-$AA119))</f>
        <v/>
      </c>
      <c r="AC119" s="88"/>
      <c r="AD119" s="39" t="str">
        <f aca="false">IF(OR(SUM($G119)=0,SUM($S119)=0),"",ROUND(SUM($G119)*SUM($S119),0))</f>
        <v/>
      </c>
      <c r="AE119" s="39" t="str">
        <f aca="false">IF(SUM($AD119)=0,"",IF(SUM($AC119)=0,"ENTER YIELD",ROUND($AD119/$AC119,0)-$AD119))</f>
        <v/>
      </c>
      <c r="AF119" s="88"/>
      <c r="AG119" s="39" t="str">
        <f aca="false">IF(OR(SUM($G119)=0,SUM($T119)=0),"",ROUND(SUM($G119)*SUM($T119),0))</f>
        <v/>
      </c>
      <c r="AH119" s="39" t="str">
        <f aca="false">IF(SUM($AG119)=0,"",IF(SUM($AF119)=0,"ENTER YIELD",ROUND($AG119/$AF119,0)-$AG119))</f>
        <v/>
      </c>
      <c r="AI119" s="88"/>
      <c r="AJ119" s="39" t="str">
        <f aca="false">IF(OR(SUM($G119)=0,SUM($U119)=0),"",ROUND(SUM($G119)*SUM($U119),0))</f>
        <v/>
      </c>
      <c r="AK119" s="39" t="str">
        <f aca="false">IF(SUM($AJ119)=0,"",IF(SUM($AI119)=0,"ENTER YIELD",ROUND($AJ119/$AI119,0)-$AJ119))</f>
        <v/>
      </c>
      <c r="AL119" s="10" t="str">
        <f aca="false">IF(SUM($G119)=0,"",$G119)</f>
        <v/>
      </c>
      <c r="AM119" s="10" t="str">
        <f aca="false">IFERROR(1/(1/SUM($H119:$K119,$X119,$AA119,$AD119,$AG119,$AJ119)),"")</f>
        <v/>
      </c>
      <c r="AN119" s="10" t="str">
        <f aca="false">IF(AND(SUM($AM119)=0,SUM($AL119)=0),"",$AM119-$AL119)</f>
        <v/>
      </c>
      <c r="AO119" s="10" t="str">
        <f aca="false">IF(OR($C119="01-09",$D119="Male"),"",INDEX(PMTCT!$AD:$AD,MATCH($E119,PMTCT!$E:$E,0)))</f>
        <v/>
      </c>
      <c r="AP119" s="10" t="str">
        <f aca="false">IF(OR($C119="01-09",$D119="Male"),"",INDEX(PMTCT!$AT:$AT,MATCH($E119,PMTCT!$E:$E,0)))</f>
        <v/>
      </c>
      <c r="AQ119" s="10" t="str">
        <f aca="false">INDEX(TB!$Q:$Q,MATCH($E119,TB!$E:$E,0))</f>
        <v/>
      </c>
      <c r="AR119" s="10" t="str">
        <f aca="false">IF(OR($C119="01-09",$C119="10-14",$D119="Female"),"",INDEX(VMMC!$AB:$AB,MATCH($E119,VMMC!$E:$E,0)))</f>
        <v/>
      </c>
      <c r="AS119" s="10" t="str">
        <f aca="false">IF(OR($C119="01-09",$C119="10-14"),"",INDEX(PrEP!$Q:$Q,MATCH($E119,PrEP!$E:$E,0)))</f>
        <v/>
      </c>
      <c r="AT119" s="10" t="str">
        <f aca="false">IFERROR(1/(1/SUM($Y119,$AB119,$AE119,$AH119,$AK119,$AO119:$AS119)),"")</f>
        <v/>
      </c>
      <c r="AU119" s="10" t="str">
        <f aca="false">IFERROR(1/(1/SUM($AT119,$AM119)),"")</f>
        <v/>
      </c>
      <c r="AV119" s="88" t="str">
        <f aca="false">IF(AND(SUM($AM119)=0,SUM($AU119)=0),"",$AM119/$AU119)</f>
        <v/>
      </c>
      <c r="AW119" s="10"/>
      <c r="AX119" s="88" t="str">
        <f aca="false">IF(OR($C119="01-09",SUM($AW119)=0),"",0%)</f>
        <v/>
      </c>
      <c r="AY119" s="39" t="str">
        <f aca="false">IF(OR($C119="01-09",SUM($AW119)=0),"",ROUND($AW119*(1+$AX119),0))</f>
        <v/>
      </c>
      <c r="AZ119" s="88" t="n">
        <f aca="false">IF(OR($C119="01-09",$C119="10-14"),"",100%)</f>
        <v>1</v>
      </c>
      <c r="BA119" s="39" t="str">
        <f aca="false">IF(OR(SUM($AM119)=0,$C119="01-09",$C119="10-14"),"",$AM119*$AZ119)</f>
        <v/>
      </c>
    </row>
    <row r="120" customFormat="false" ht="15" hidden="false" customHeight="false" outlineLevel="0" collapsed="false">
      <c r="A120" s="0" t="str">
        <f aca="false">INDEX(Prioritization!$D:$D,MATCH($B120,Prioritization!$A:$A,0))</f>
        <v>INVALID</v>
      </c>
      <c r="B120" s="0" t="s">
        <v>202</v>
      </c>
      <c r="C120" s="0" t="s">
        <v>367</v>
      </c>
      <c r="D120" s="0" t="s">
        <v>48</v>
      </c>
      <c r="E120" s="0" t="str">
        <f aca="false">$B120&amp;"|"&amp;$C120&amp;"|"&amp;$D120</f>
        <v>Ntchisi District [fiRkU6gEjLz]|35-49|Male</v>
      </c>
      <c r="F120" s="88" t="n">
        <f aca="false">IF(LEFT($B120,4)="_Mil","",INDEX(Cascade!$AA:$AA,MATCH($E120,Cascade!$E:$E,0)))</f>
        <v>670</v>
      </c>
      <c r="G120" s="10" t="n">
        <f aca="false">INDEX(Cascade!$BH:$BH,MATCH($E120,Cascade!$E:$E,0))</f>
        <v>0</v>
      </c>
      <c r="H120" s="10" t="str">
        <f aca="false">IF(OR($C120="01-09",$D120="Male"),"",INDEX(PMTCT!$AC:$AC,MATCH($E120,PMTCT!$E:$E,0)))</f>
        <v/>
      </c>
      <c r="I120" s="10" t="str">
        <f aca="false">IF(OR($C120="01-09",$D120="Male"),"",INDEX(PMTCT!$AS:$AS,MATCH($E120,PMTCT!$E:$E,0)))</f>
        <v/>
      </c>
      <c r="J120" s="10" t="str">
        <f aca="false">INDEX(TB!$P:$P,MATCH($E120,TB!$E:$E,0))</f>
        <v/>
      </c>
      <c r="K120" s="10" t="str">
        <f aca="false">IF(OR($C120="01-09",$C120="10-14",$D120="Female"),"",INDEX(VMMC!$AA:$AA,MATCH($E120,VMMC!$E:$E,0)))</f>
        <v/>
      </c>
      <c r="L120" s="10" t="n">
        <f aca="false">SUM($G120)-SUM($H120:$K120)</f>
        <v>0</v>
      </c>
      <c r="M120" s="88" t="str">
        <f aca="false">IF(OR($C120="01-09",$D120="Male",AND(SUM($G120)=0,SUM($H120)=0)),"",SUM($H120)/SUM($G120))</f>
        <v/>
      </c>
      <c r="N120" s="88" t="str">
        <f aca="false">IF(OR($C120="01-09",$D120="Male",AND(SUM($G120)=0,SUM($I120)=0)),"",SUM($I120)/SUM($G120))</f>
        <v/>
      </c>
      <c r="O120" s="88" t="str">
        <f aca="false">IF(AND(SUM($G120)=0,SUM($J120)=0),"",SUM($J120)/SUM($G120))</f>
        <v/>
      </c>
      <c r="P120" s="88" t="str">
        <f aca="false">IF(OR($C120="01-09",$C120="10-14",$D120="Female",AND(SUM($G120)=0,SUM($K120)=0)),"",SUM($K120)/SUM($G120))</f>
        <v/>
      </c>
      <c r="Q120" s="88"/>
      <c r="R120" s="88"/>
      <c r="S120" s="88"/>
      <c r="T120" s="88"/>
      <c r="U120" s="88"/>
      <c r="V120" s="88" t="str">
        <f aca="false">IF(SUM($G120)=0,"",SUM($M120:$U120))</f>
        <v/>
      </c>
      <c r="W120" s="88"/>
      <c r="X120" s="39" t="str">
        <f aca="false">IF(OR(SUM($G120)=0,SUM($Q120)=0),"",ROUND(SUM($G120)*SUM($Q120),0))</f>
        <v/>
      </c>
      <c r="Y120" s="39" t="str">
        <f aca="false">IF(SUM($X120)=0,"",IF(SUM($W120)=0,"ENTER YIELD",ROUND($X120/$W120,0)-$X120))</f>
        <v/>
      </c>
      <c r="Z120" s="88"/>
      <c r="AA120" s="39" t="str">
        <f aca="false">IF(OR(SUM($G120)=0,SUM($R120)=0),"",ROUND(SUM($G120)*SUM($R120),0))</f>
        <v/>
      </c>
      <c r="AB120" s="39" t="str">
        <f aca="false">IF(SUM($AA120)=0,"",IF(SUM($Z120)=0,"ENTER YIELD",ROUND($AA120/$Z120,0)-$AA120))</f>
        <v/>
      </c>
      <c r="AC120" s="88"/>
      <c r="AD120" s="39" t="str">
        <f aca="false">IF(OR(SUM($G120)=0,SUM($S120)=0),"",ROUND(SUM($G120)*SUM($S120),0))</f>
        <v/>
      </c>
      <c r="AE120" s="39" t="str">
        <f aca="false">IF(SUM($AD120)=0,"",IF(SUM($AC120)=0,"ENTER YIELD",ROUND($AD120/$AC120,0)-$AD120))</f>
        <v/>
      </c>
      <c r="AF120" s="88"/>
      <c r="AG120" s="39" t="str">
        <f aca="false">IF(OR(SUM($G120)=0,SUM($T120)=0),"",ROUND(SUM($G120)*SUM($T120),0))</f>
        <v/>
      </c>
      <c r="AH120" s="39" t="str">
        <f aca="false">IF(SUM($AG120)=0,"",IF(SUM($AF120)=0,"ENTER YIELD",ROUND($AG120/$AF120,0)-$AG120))</f>
        <v/>
      </c>
      <c r="AI120" s="88"/>
      <c r="AJ120" s="39" t="str">
        <f aca="false">IF(OR(SUM($G120)=0,SUM($U120)=0),"",ROUND(SUM($G120)*SUM($U120),0))</f>
        <v/>
      </c>
      <c r="AK120" s="39" t="str">
        <f aca="false">IF(SUM($AJ120)=0,"",IF(SUM($AI120)=0,"ENTER YIELD",ROUND($AJ120/$AI120,0)-$AJ120))</f>
        <v/>
      </c>
      <c r="AL120" s="10" t="str">
        <f aca="false">IF(SUM($G120)=0,"",$G120)</f>
        <v/>
      </c>
      <c r="AM120" s="10" t="str">
        <f aca="false">IFERROR(1/(1/SUM($H120:$K120,$X120,$AA120,$AD120,$AG120,$AJ120)),"")</f>
        <v/>
      </c>
      <c r="AN120" s="10" t="str">
        <f aca="false">IF(AND(SUM($AM120)=0,SUM($AL120)=0),"",$AM120-$AL120)</f>
        <v/>
      </c>
      <c r="AO120" s="10" t="str">
        <f aca="false">IF(OR($C120="01-09",$D120="Male"),"",INDEX(PMTCT!$AD:$AD,MATCH($E120,PMTCT!$E:$E,0)))</f>
        <v/>
      </c>
      <c r="AP120" s="10" t="str">
        <f aca="false">IF(OR($C120="01-09",$D120="Male"),"",INDEX(PMTCT!$AT:$AT,MATCH($E120,PMTCT!$E:$E,0)))</f>
        <v/>
      </c>
      <c r="AQ120" s="10" t="str">
        <f aca="false">INDEX(TB!$Q:$Q,MATCH($E120,TB!$E:$E,0))</f>
        <v/>
      </c>
      <c r="AR120" s="10" t="str">
        <f aca="false">IF(OR($C120="01-09",$C120="10-14",$D120="Female"),"",INDEX(VMMC!$AB:$AB,MATCH($E120,VMMC!$E:$E,0)))</f>
        <v/>
      </c>
      <c r="AS120" s="10" t="str">
        <f aca="false">IF(OR($C120="01-09",$C120="10-14"),"",INDEX(PrEP!$Q:$Q,MATCH($E120,PrEP!$E:$E,0)))</f>
        <v/>
      </c>
      <c r="AT120" s="10" t="str">
        <f aca="false">IFERROR(1/(1/SUM($Y120,$AB120,$AE120,$AH120,$AK120,$AO120:$AS120)),"")</f>
        <v/>
      </c>
      <c r="AU120" s="10" t="str">
        <f aca="false">IFERROR(1/(1/SUM($AT120,$AM120)),"")</f>
        <v/>
      </c>
      <c r="AV120" s="88" t="str">
        <f aca="false">IF(AND(SUM($AM120)=0,SUM($AU120)=0),"",$AM120/$AU120)</f>
        <v/>
      </c>
      <c r="AW120" s="10"/>
      <c r="AX120" s="88" t="str">
        <f aca="false">IF(OR($C120="01-09",SUM($AW120)=0),"",0%)</f>
        <v/>
      </c>
      <c r="AY120" s="39" t="str">
        <f aca="false">IF(OR($C120="01-09",SUM($AW120)=0),"",ROUND($AW120*(1+$AX120),0))</f>
        <v/>
      </c>
      <c r="AZ120" s="88" t="n">
        <f aca="false">IF(OR($C120="01-09",$C120="10-14"),"",100%)</f>
        <v>1</v>
      </c>
      <c r="BA120" s="39" t="str">
        <f aca="false">IF(OR(SUM($AM120)=0,$C120="01-09",$C120="10-14"),"",$AM120*$AZ120)</f>
        <v/>
      </c>
    </row>
    <row r="121" customFormat="false" ht="15" hidden="false" customHeight="false" outlineLevel="0" collapsed="false">
      <c r="A121" s="0" t="str">
        <f aca="false">INDEX(Prioritization!$D:$D,MATCH($B121,Prioritization!$A:$A,0))</f>
        <v>INVALID</v>
      </c>
      <c r="B121" s="0" t="s">
        <v>202</v>
      </c>
      <c r="C121" s="0" t="s">
        <v>368</v>
      </c>
      <c r="D121" s="0" t="s">
        <v>30</v>
      </c>
      <c r="E121" s="0" t="str">
        <f aca="false">$B121&amp;"|"&amp;$C121&amp;"|"&amp;$D121</f>
        <v>Ntchisi District [fiRkU6gEjLz]|50+|Female</v>
      </c>
      <c r="F121" s="88" t="n">
        <f aca="false">IF(LEFT($B121,4)="_Mil","",INDEX(Cascade!$AA:$AA,MATCH($E121,Cascade!$E:$E,0)))</f>
        <v>1492</v>
      </c>
      <c r="G121" s="10" t="n">
        <f aca="false">INDEX(Cascade!$BH:$BH,MATCH($E121,Cascade!$E:$E,0))</f>
        <v>0</v>
      </c>
      <c r="H121" s="10" t="str">
        <f aca="false">IF(OR($C121="01-09",$D121="Male"),"",INDEX(PMTCT!$AC:$AC,MATCH($E121,PMTCT!$E:$E,0)))</f>
        <v/>
      </c>
      <c r="I121" s="10" t="str">
        <f aca="false">IF(OR($C121="01-09",$D121="Male"),"",INDEX(PMTCT!$AS:$AS,MATCH($E121,PMTCT!$E:$E,0)))</f>
        <v/>
      </c>
      <c r="J121" s="10" t="str">
        <f aca="false">INDEX(TB!$P:$P,MATCH($E121,TB!$E:$E,0))</f>
        <v/>
      </c>
      <c r="K121" s="10" t="str">
        <f aca="false">IF(OR($C121="01-09",$C121="10-14",$D121="Female"),"",INDEX(VMMC!$AA:$AA,MATCH($E121,VMMC!$E:$E,0)))</f>
        <v/>
      </c>
      <c r="L121" s="10" t="n">
        <f aca="false">SUM($G121)-SUM($H121:$K121)</f>
        <v>0</v>
      </c>
      <c r="M121" s="88" t="str">
        <f aca="false">IF(OR($C121="01-09",$D121="Male",AND(SUM($G121)=0,SUM($H121)=0)),"",SUM($H121)/SUM($G121))</f>
        <v/>
      </c>
      <c r="N121" s="88" t="str">
        <f aca="false">IF(OR($C121="01-09",$D121="Male",AND(SUM($G121)=0,SUM($I121)=0)),"",SUM($I121)/SUM($G121))</f>
        <v/>
      </c>
      <c r="O121" s="88" t="str">
        <f aca="false">IF(AND(SUM($G121)=0,SUM($J121)=0),"",SUM($J121)/SUM($G121))</f>
        <v/>
      </c>
      <c r="P121" s="88" t="str">
        <f aca="false">IF(OR($C121="01-09",$C121="10-14",$D121="Female",AND(SUM($G121)=0,SUM($K121)=0)),"",SUM($K121)/SUM($G121))</f>
        <v/>
      </c>
      <c r="Q121" s="88"/>
      <c r="R121" s="88"/>
      <c r="S121" s="88"/>
      <c r="T121" s="88"/>
      <c r="U121" s="88" t="n">
        <v>0.112473258981481</v>
      </c>
      <c r="V121" s="88" t="str">
        <f aca="false">IF(SUM($G121)=0,"",SUM($M121:$U121))</f>
        <v/>
      </c>
      <c r="W121" s="88"/>
      <c r="X121" s="39" t="str">
        <f aca="false">IF(OR(SUM($G121)=0,SUM($Q121)=0),"",ROUND(SUM($G121)*SUM($Q121),0))</f>
        <v/>
      </c>
      <c r="Y121" s="39" t="str">
        <f aca="false">IF(SUM($X121)=0,"",IF(SUM($W121)=0,"ENTER YIELD",ROUND($X121/$W121,0)-$X121))</f>
        <v/>
      </c>
      <c r="Z121" s="88"/>
      <c r="AA121" s="39" t="str">
        <f aca="false">IF(OR(SUM($G121)=0,SUM($R121)=0),"",ROUND(SUM($G121)*SUM($R121),0))</f>
        <v/>
      </c>
      <c r="AB121" s="39" t="str">
        <f aca="false">IF(SUM($AA121)=0,"",IF(SUM($Z121)=0,"ENTER YIELD",ROUND($AA121/$Z121,0)-$AA121))</f>
        <v/>
      </c>
      <c r="AC121" s="88"/>
      <c r="AD121" s="39" t="str">
        <f aca="false">IF(OR(SUM($G121)=0,SUM($S121)=0),"",ROUND(SUM($G121)*SUM($S121),0))</f>
        <v/>
      </c>
      <c r="AE121" s="39" t="str">
        <f aca="false">IF(SUM($AD121)=0,"",IF(SUM($AC121)=0,"ENTER YIELD",ROUND($AD121/$AC121,0)-$AD121))</f>
        <v/>
      </c>
      <c r="AF121" s="88"/>
      <c r="AG121" s="39" t="str">
        <f aca="false">IF(OR(SUM($G121)=0,SUM($T121)=0),"",ROUND(SUM($G121)*SUM($T121),0))</f>
        <v/>
      </c>
      <c r="AH121" s="39" t="str">
        <f aca="false">IF(SUM($AG121)=0,"",IF(SUM($AF121)=0,"ENTER YIELD",ROUND($AG121/$AF121,0)-$AG121))</f>
        <v/>
      </c>
      <c r="AI121" s="88"/>
      <c r="AJ121" s="39" t="str">
        <f aca="false">IF(OR(SUM($G121)=0,SUM($U121)=0),"",ROUND(SUM($G121)*SUM($U121),0))</f>
        <v/>
      </c>
      <c r="AK121" s="39" t="str">
        <f aca="false">IF(SUM($AJ121)=0,"",IF(SUM($AI121)=0,"ENTER YIELD",ROUND($AJ121/$AI121,0)-$AJ121))</f>
        <v/>
      </c>
      <c r="AL121" s="10" t="str">
        <f aca="false">IF(SUM($G121)=0,"",$G121)</f>
        <v/>
      </c>
      <c r="AM121" s="10" t="str">
        <f aca="false">IFERROR(1/(1/SUM($H121:$K121,$X121,$AA121,$AD121,$AG121,$AJ121)),"")</f>
        <v/>
      </c>
      <c r="AN121" s="10" t="str">
        <f aca="false">IF(AND(SUM($AM121)=0,SUM($AL121)=0),"",$AM121-$AL121)</f>
        <v/>
      </c>
      <c r="AO121" s="10" t="str">
        <f aca="false">IF(OR($C121="01-09",$D121="Male"),"",INDEX(PMTCT!$AD:$AD,MATCH($E121,PMTCT!$E:$E,0)))</f>
        <v/>
      </c>
      <c r="AP121" s="10" t="str">
        <f aca="false">IF(OR($C121="01-09",$D121="Male"),"",INDEX(PMTCT!$AT:$AT,MATCH($E121,PMTCT!$E:$E,0)))</f>
        <v/>
      </c>
      <c r="AQ121" s="10" t="str">
        <f aca="false">INDEX(TB!$Q:$Q,MATCH($E121,TB!$E:$E,0))</f>
        <v/>
      </c>
      <c r="AR121" s="10" t="str">
        <f aca="false">IF(OR($C121="01-09",$C121="10-14",$D121="Female"),"",INDEX(VMMC!$AB:$AB,MATCH($E121,VMMC!$E:$E,0)))</f>
        <v/>
      </c>
      <c r="AS121" s="10" t="str">
        <f aca="false">IF(OR($C121="01-09",$C121="10-14"),"",INDEX(PrEP!$Q:$Q,MATCH($E121,PrEP!$E:$E,0)))</f>
        <v/>
      </c>
      <c r="AT121" s="10" t="str">
        <f aca="false">IFERROR(1/(1/SUM($Y121,$AB121,$AE121,$AH121,$AK121,$AO121:$AS121)),"")</f>
        <v/>
      </c>
      <c r="AU121" s="10" t="str">
        <f aca="false">IFERROR(1/(1/SUM($AT121,$AM121)),"")</f>
        <v/>
      </c>
      <c r="AV121" s="88" t="str">
        <f aca="false">IF(AND(SUM($AM121)=0,SUM($AU121)=0),"",$AM121/$AU121)</f>
        <v/>
      </c>
      <c r="AW121" s="10" t="n">
        <v>3</v>
      </c>
      <c r="AX121" s="88" t="n">
        <f aca="false">IF(OR($C121="01-09",SUM($AW121)=0),"",0%)</f>
        <v>0</v>
      </c>
      <c r="AY121" s="39" t="n">
        <f aca="false">IF(OR($C121="01-09",SUM($AW121)=0),"",ROUND($AW121*(1+$AX121),0))</f>
        <v>3</v>
      </c>
      <c r="AZ121" s="88" t="n">
        <f aca="false">IF(OR($C121="01-09",$C121="10-14"),"",100%)</f>
        <v>1</v>
      </c>
      <c r="BA121" s="39" t="str">
        <f aca="false">IF(OR(SUM($AM121)=0,$C121="01-09",$C121="10-14"),"",$AM121*$AZ121)</f>
        <v/>
      </c>
    </row>
    <row r="122" customFormat="false" ht="15" hidden="false" customHeight="false" outlineLevel="0" collapsed="false">
      <c r="A122" s="0" t="str">
        <f aca="false">INDEX(Prioritization!$D:$D,MATCH($B122,Prioritization!$A:$A,0))</f>
        <v>INVALID</v>
      </c>
      <c r="B122" s="0" t="s">
        <v>202</v>
      </c>
      <c r="C122" s="0" t="s">
        <v>368</v>
      </c>
      <c r="D122" s="0" t="s">
        <v>48</v>
      </c>
      <c r="E122" s="0" t="str">
        <f aca="false">$B122&amp;"|"&amp;$C122&amp;"|"&amp;$D122</f>
        <v>Ntchisi District [fiRkU6gEjLz]|50+|Male</v>
      </c>
      <c r="F122" s="88" t="n">
        <f aca="false">IF(LEFT($B122,4)="_Mil","",INDEX(Cascade!$AA:$AA,MATCH($E122,Cascade!$E:$E,0)))</f>
        <v>1011</v>
      </c>
      <c r="G122" s="10" t="n">
        <f aca="false">INDEX(Cascade!$BH:$BH,MATCH($E122,Cascade!$E:$E,0))</f>
        <v>0</v>
      </c>
      <c r="H122" s="10" t="str">
        <f aca="false">IF(OR($C122="01-09",$D122="Male"),"",INDEX(PMTCT!$AC:$AC,MATCH($E122,PMTCT!$E:$E,0)))</f>
        <v/>
      </c>
      <c r="I122" s="10" t="str">
        <f aca="false">IF(OR($C122="01-09",$D122="Male"),"",INDEX(PMTCT!$AS:$AS,MATCH($E122,PMTCT!$E:$E,0)))</f>
        <v/>
      </c>
      <c r="J122" s="10" t="str">
        <f aca="false">INDEX(TB!$P:$P,MATCH($E122,TB!$E:$E,0))</f>
        <v/>
      </c>
      <c r="K122" s="10" t="str">
        <f aca="false">IF(OR($C122="01-09",$C122="10-14",$D122="Female"),"",INDEX(VMMC!$AA:$AA,MATCH($E122,VMMC!$E:$E,0)))</f>
        <v/>
      </c>
      <c r="L122" s="10" t="n">
        <f aca="false">SUM($G122)-SUM($H122:$K122)</f>
        <v>0</v>
      </c>
      <c r="M122" s="88" t="str">
        <f aca="false">IF(OR($C122="01-09",$D122="Male",AND(SUM($G122)=0,SUM($H122)=0)),"",SUM($H122)/SUM($G122))</f>
        <v/>
      </c>
      <c r="N122" s="88" t="str">
        <f aca="false">IF(OR($C122="01-09",$D122="Male",AND(SUM($G122)=0,SUM($I122)=0)),"",SUM($I122)/SUM($G122))</f>
        <v/>
      </c>
      <c r="O122" s="88" t="str">
        <f aca="false">IF(AND(SUM($G122)=0,SUM($J122)=0),"",SUM($J122)/SUM($G122))</f>
        <v/>
      </c>
      <c r="P122" s="88" t="str">
        <f aca="false">IF(OR($C122="01-09",$C122="10-14",$D122="Female",AND(SUM($G122)=0,SUM($K122)=0)),"",SUM($K122)/SUM($G122))</f>
        <v/>
      </c>
      <c r="Q122" s="88"/>
      <c r="R122" s="88"/>
      <c r="S122" s="88"/>
      <c r="T122" s="88"/>
      <c r="U122" s="88" t="n">
        <v>0.0461667813360691</v>
      </c>
      <c r="V122" s="88" t="str">
        <f aca="false">IF(SUM($G122)=0,"",SUM($M122:$U122))</f>
        <v/>
      </c>
      <c r="W122" s="88"/>
      <c r="X122" s="39" t="str">
        <f aca="false">IF(OR(SUM($G122)=0,SUM($Q122)=0),"",ROUND(SUM($G122)*SUM($Q122),0))</f>
        <v/>
      </c>
      <c r="Y122" s="39" t="str">
        <f aca="false">IF(SUM($X122)=0,"",IF(SUM($W122)=0,"ENTER YIELD",ROUND($X122/$W122,0)-$X122))</f>
        <v/>
      </c>
      <c r="Z122" s="88"/>
      <c r="AA122" s="39" t="str">
        <f aca="false">IF(OR(SUM($G122)=0,SUM($R122)=0),"",ROUND(SUM($G122)*SUM($R122),0))</f>
        <v/>
      </c>
      <c r="AB122" s="39" t="str">
        <f aca="false">IF(SUM($AA122)=0,"",IF(SUM($Z122)=0,"ENTER YIELD",ROUND($AA122/$Z122,0)-$AA122))</f>
        <v/>
      </c>
      <c r="AC122" s="88"/>
      <c r="AD122" s="39" t="str">
        <f aca="false">IF(OR(SUM($G122)=0,SUM($S122)=0),"",ROUND(SUM($G122)*SUM($S122),0))</f>
        <v/>
      </c>
      <c r="AE122" s="39" t="str">
        <f aca="false">IF(SUM($AD122)=0,"",IF(SUM($AC122)=0,"ENTER YIELD",ROUND($AD122/$AC122,0)-$AD122))</f>
        <v/>
      </c>
      <c r="AF122" s="88"/>
      <c r="AG122" s="39" t="str">
        <f aca="false">IF(OR(SUM($G122)=0,SUM($T122)=0),"",ROUND(SUM($G122)*SUM($T122),0))</f>
        <v/>
      </c>
      <c r="AH122" s="39" t="str">
        <f aca="false">IF(SUM($AG122)=0,"",IF(SUM($AF122)=0,"ENTER YIELD",ROUND($AG122/$AF122,0)-$AG122))</f>
        <v/>
      </c>
      <c r="AI122" s="88"/>
      <c r="AJ122" s="39" t="str">
        <f aca="false">IF(OR(SUM($G122)=0,SUM($U122)=0),"",ROUND(SUM($G122)*SUM($U122),0))</f>
        <v/>
      </c>
      <c r="AK122" s="39" t="str">
        <f aca="false">IF(SUM($AJ122)=0,"",IF(SUM($AI122)=0,"ENTER YIELD",ROUND($AJ122/$AI122,0)-$AJ122))</f>
        <v/>
      </c>
      <c r="AL122" s="10" t="str">
        <f aca="false">IF(SUM($G122)=0,"",$G122)</f>
        <v/>
      </c>
      <c r="AM122" s="10" t="str">
        <f aca="false">IFERROR(1/(1/SUM($H122:$K122,$X122,$AA122,$AD122,$AG122,$AJ122)),"")</f>
        <v/>
      </c>
      <c r="AN122" s="10" t="str">
        <f aca="false">IF(AND(SUM($AM122)=0,SUM($AL122)=0),"",$AM122-$AL122)</f>
        <v/>
      </c>
      <c r="AO122" s="10" t="str">
        <f aca="false">IF(OR($C122="01-09",$D122="Male"),"",INDEX(PMTCT!$AD:$AD,MATCH($E122,PMTCT!$E:$E,0)))</f>
        <v/>
      </c>
      <c r="AP122" s="10" t="str">
        <f aca="false">IF(OR($C122="01-09",$D122="Male"),"",INDEX(PMTCT!$AT:$AT,MATCH($E122,PMTCT!$E:$E,0)))</f>
        <v/>
      </c>
      <c r="AQ122" s="10" t="str">
        <f aca="false">INDEX(TB!$Q:$Q,MATCH($E122,TB!$E:$E,0))</f>
        <v/>
      </c>
      <c r="AR122" s="10" t="str">
        <f aca="false">IF(OR($C122="01-09",$C122="10-14",$D122="Female"),"",INDEX(VMMC!$AB:$AB,MATCH($E122,VMMC!$E:$E,0)))</f>
        <v/>
      </c>
      <c r="AS122" s="10" t="str">
        <f aca="false">IF(OR($C122="01-09",$C122="10-14"),"",INDEX(PrEP!$Q:$Q,MATCH($E122,PrEP!$E:$E,0)))</f>
        <v/>
      </c>
      <c r="AT122" s="10" t="str">
        <f aca="false">IFERROR(1/(1/SUM($Y122,$AB122,$AE122,$AH122,$AK122,$AO122:$AS122)),"")</f>
        <v/>
      </c>
      <c r="AU122" s="10" t="str">
        <f aca="false">IFERROR(1/(1/SUM($AT122,$AM122)),"")</f>
        <v/>
      </c>
      <c r="AV122" s="88" t="str">
        <f aca="false">IF(AND(SUM($AM122)=0,SUM($AU122)=0),"",$AM122/$AU122)</f>
        <v/>
      </c>
      <c r="AW122" s="10" t="n">
        <v>8</v>
      </c>
      <c r="AX122" s="88" t="n">
        <f aca="false">IF(OR($C122="01-09",SUM($AW122)=0),"",0%)</f>
        <v>0</v>
      </c>
      <c r="AY122" s="39" t="n">
        <f aca="false">IF(OR($C122="01-09",SUM($AW122)=0),"",ROUND($AW122*(1+$AX122),0))</f>
        <v>8</v>
      </c>
      <c r="AZ122" s="88" t="n">
        <f aca="false">IF(OR($C122="01-09",$C122="10-14"),"",100%)</f>
        <v>1</v>
      </c>
      <c r="BA122" s="39" t="str">
        <f aca="false">IF(OR(SUM($AM122)=0,$C122="01-09",$C122="10-14"),"",$AM122*$AZ122)</f>
        <v/>
      </c>
    </row>
    <row r="123" customFormat="false" ht="15" hidden="false" customHeight="false" outlineLevel="0" collapsed="false">
      <c r="A123" s="0" t="str">
        <f aca="false">INDEX(Prioritization!$D:$D,MATCH($B123,Prioritization!$A:$A,0))</f>
        <v>INVALID</v>
      </c>
      <c r="B123" s="0" t="s">
        <v>203</v>
      </c>
      <c r="C123" s="0" t="s">
        <v>363</v>
      </c>
      <c r="D123" s="0" t="s">
        <v>30</v>
      </c>
      <c r="E123" s="0" t="str">
        <f aca="false">$B123&amp;"|"&amp;$C123&amp;"|"&amp;$D123</f>
        <v>Salima District [msW2zpIN7up]|01-09|Female</v>
      </c>
      <c r="F123" s="88" t="n">
        <f aca="false">IF(LEFT($B123,4)="_Mil","",INDEX(Cascade!$AA:$AA,MATCH($E123,Cascade!$E:$E,0)))</f>
        <v>772</v>
      </c>
      <c r="G123" s="10" t="n">
        <f aca="false">INDEX(Cascade!$BH:$BH,MATCH($E123,Cascade!$E:$E,0))</f>
        <v>0</v>
      </c>
      <c r="H123" s="10" t="str">
        <f aca="false">IF(OR($C123="01-09",$D123="Male"),"",INDEX(PMTCT!$AC:$AC,MATCH($E123,PMTCT!$E:$E,0)))</f>
        <v/>
      </c>
      <c r="I123" s="10" t="str">
        <f aca="false">IF(OR($C123="01-09",$D123="Male"),"",INDEX(PMTCT!$AS:$AS,MATCH($E123,PMTCT!$E:$E,0)))</f>
        <v/>
      </c>
      <c r="J123" s="10" t="str">
        <f aca="false">INDEX(TB!$P:$P,MATCH($E123,TB!$E:$E,0))</f>
        <v/>
      </c>
      <c r="K123" s="10" t="str">
        <f aca="false">IF(OR($C123="01-09",$C123="10-14",$D123="Female"),"",INDEX(VMMC!$AA:$AA,MATCH($E123,VMMC!$E:$E,0)))</f>
        <v/>
      </c>
      <c r="L123" s="10" t="n">
        <f aca="false">SUM($G123)-SUM($H123:$K123)</f>
        <v>0</v>
      </c>
      <c r="M123" s="88" t="str">
        <f aca="false">IF(OR($C123="01-09",$D123="Male",AND(SUM($G123)=0,SUM($H123)=0)),"",SUM($H123)/SUM($G123))</f>
        <v/>
      </c>
      <c r="N123" s="88" t="str">
        <f aca="false">IF(OR($C123="01-09",$D123="Male",AND(SUM($G123)=0,SUM($I123)=0)),"",SUM($I123)/SUM($G123))</f>
        <v/>
      </c>
      <c r="O123" s="88" t="str">
        <f aca="false">IF(AND(SUM($G123)=0,SUM($J123)=0),"",SUM($J123)/SUM($G123))</f>
        <v/>
      </c>
      <c r="P123" s="88" t="str">
        <f aca="false">IF(OR($C123="01-09",$C123="10-14",$D123="Female",AND(SUM($G123)=0,SUM($K123)=0)),"",SUM($K123)/SUM($G123))</f>
        <v/>
      </c>
      <c r="Q123" s="88"/>
      <c r="R123" s="88"/>
      <c r="S123" s="88"/>
      <c r="T123" s="88"/>
      <c r="U123" s="88"/>
      <c r="V123" s="88" t="str">
        <f aca="false">IF(SUM($G123)=0,"",SUM($M123:$U123))</f>
        <v/>
      </c>
      <c r="W123" s="88"/>
      <c r="X123" s="39" t="str">
        <f aca="false">IF(OR(SUM($G123)=0,SUM($Q123)=0),"",ROUND(SUM($G123)*SUM($Q123),0))</f>
        <v/>
      </c>
      <c r="Y123" s="39" t="str">
        <f aca="false">IF(SUM($X123)=0,"",IF(SUM($W123)=0,"ENTER YIELD",ROUND($X123/$W123,0)-$X123))</f>
        <v/>
      </c>
      <c r="Z123" s="88"/>
      <c r="AA123" s="39" t="str">
        <f aca="false">IF(OR(SUM($G123)=0,SUM($R123)=0),"",ROUND(SUM($G123)*SUM($R123),0))</f>
        <v/>
      </c>
      <c r="AB123" s="39" t="str">
        <f aca="false">IF(SUM($AA123)=0,"",IF(SUM($Z123)=0,"ENTER YIELD",ROUND($AA123/$Z123,0)-$AA123))</f>
        <v/>
      </c>
      <c r="AC123" s="88"/>
      <c r="AD123" s="39" t="str">
        <f aca="false">IF(OR(SUM($G123)=0,SUM($S123)=0),"",ROUND(SUM($G123)*SUM($S123),0))</f>
        <v/>
      </c>
      <c r="AE123" s="39" t="str">
        <f aca="false">IF(SUM($AD123)=0,"",IF(SUM($AC123)=0,"ENTER YIELD",ROUND($AD123/$AC123,0)-$AD123))</f>
        <v/>
      </c>
      <c r="AF123" s="88"/>
      <c r="AG123" s="39" t="str">
        <f aca="false">IF(OR(SUM($G123)=0,SUM($T123)=0),"",ROUND(SUM($G123)*SUM($T123),0))</f>
        <v/>
      </c>
      <c r="AH123" s="39" t="str">
        <f aca="false">IF(SUM($AG123)=0,"",IF(SUM($AF123)=0,"ENTER YIELD",ROUND($AG123/$AF123,0)-$AG123))</f>
        <v/>
      </c>
      <c r="AI123" s="88"/>
      <c r="AJ123" s="39" t="str">
        <f aca="false">IF(OR(SUM($G123)=0,SUM($U123)=0),"",ROUND(SUM($G123)*SUM($U123),0))</f>
        <v/>
      </c>
      <c r="AK123" s="39" t="str">
        <f aca="false">IF(SUM($AJ123)=0,"",IF(SUM($AI123)=0,"ENTER YIELD",ROUND($AJ123/$AI123,0)-$AJ123))</f>
        <v/>
      </c>
      <c r="AL123" s="10" t="str">
        <f aca="false">IF(SUM($G123)=0,"",$G123)</f>
        <v/>
      </c>
      <c r="AM123" s="10" t="str">
        <f aca="false">IFERROR(1/(1/SUM($H123:$K123,$X123,$AA123,$AD123,$AG123,$AJ123)),"")</f>
        <v/>
      </c>
      <c r="AN123" s="10" t="str">
        <f aca="false">IF(AND(SUM($AM123)=0,SUM($AL123)=0),"",$AM123-$AL123)</f>
        <v/>
      </c>
      <c r="AO123" s="10" t="str">
        <f aca="false">IF(OR($C123="01-09",$D123="Male"),"",INDEX(PMTCT!$AD:$AD,MATCH($E123,PMTCT!$E:$E,0)))</f>
        <v/>
      </c>
      <c r="AP123" s="10" t="str">
        <f aca="false">IF(OR($C123="01-09",$D123="Male"),"",INDEX(PMTCT!$AT:$AT,MATCH($E123,PMTCT!$E:$E,0)))</f>
        <v/>
      </c>
      <c r="AQ123" s="10" t="str">
        <f aca="false">INDEX(TB!$Q:$Q,MATCH($E123,TB!$E:$E,0))</f>
        <v/>
      </c>
      <c r="AR123" s="10" t="str">
        <f aca="false">IF(OR($C123="01-09",$C123="10-14",$D123="Female"),"",INDEX(VMMC!$AB:$AB,MATCH($E123,VMMC!$E:$E,0)))</f>
        <v/>
      </c>
      <c r="AS123" s="10" t="str">
        <f aca="false">IF(OR($C123="01-09",$C123="10-14"),"",INDEX(PrEP!$Q:$Q,MATCH($E123,PrEP!$E:$E,0)))</f>
        <v/>
      </c>
      <c r="AT123" s="10" t="str">
        <f aca="false">IFERROR(1/(1/SUM($Y123,$AB123,$AE123,$AH123,$AK123,$AO123:$AS123)),"")</f>
        <v/>
      </c>
      <c r="AU123" s="10" t="str">
        <f aca="false">IFERROR(1/(1/SUM($AT123,$AM123)),"")</f>
        <v/>
      </c>
      <c r="AV123" s="88" t="str">
        <f aca="false">IF(AND(SUM($AM123)=0,SUM($AU123)=0),"",$AM123/$AU123)</f>
        <v/>
      </c>
      <c r="AW123" s="10"/>
      <c r="AX123" s="88" t="str">
        <f aca="false">IF(OR($C123="01-09",SUM($AW123)=0),"",0%)</f>
        <v/>
      </c>
      <c r="AY123" s="39" t="str">
        <f aca="false">IF(OR($C123="01-09",SUM($AW123)=0),"",ROUND($AW123*(1+$AX123),0))</f>
        <v/>
      </c>
      <c r="AZ123" s="88" t="str">
        <f aca="false">IF(OR($C123="01-09",$C123="10-14"),"",100%)</f>
        <v/>
      </c>
      <c r="BA123" s="39" t="str">
        <f aca="false">IF(OR(SUM($AM123)=0,$C123="01-09",$C123="10-14"),"",$AM123*$AZ123)</f>
        <v/>
      </c>
    </row>
    <row r="124" customFormat="false" ht="15" hidden="false" customHeight="false" outlineLevel="0" collapsed="false">
      <c r="A124" s="0" t="str">
        <f aca="false">INDEX(Prioritization!$D:$D,MATCH($B124,Prioritization!$A:$A,0))</f>
        <v>INVALID</v>
      </c>
      <c r="B124" s="0" t="s">
        <v>203</v>
      </c>
      <c r="C124" s="0" t="s">
        <v>363</v>
      </c>
      <c r="D124" s="0" t="s">
        <v>48</v>
      </c>
      <c r="E124" s="0" t="str">
        <f aca="false">$B124&amp;"|"&amp;$C124&amp;"|"&amp;$D124</f>
        <v>Salima District [msW2zpIN7up]|01-09|Male</v>
      </c>
      <c r="F124" s="88" t="n">
        <f aca="false">IF(LEFT($B124,4)="_Mil","",INDEX(Cascade!$AA:$AA,MATCH($E124,Cascade!$E:$E,0)))</f>
        <v>554</v>
      </c>
      <c r="G124" s="10" t="n">
        <f aca="false">INDEX(Cascade!$BH:$BH,MATCH($E124,Cascade!$E:$E,0))</f>
        <v>0</v>
      </c>
      <c r="H124" s="10" t="str">
        <f aca="false">IF(OR($C124="01-09",$D124="Male"),"",INDEX(PMTCT!$AC:$AC,MATCH($E124,PMTCT!$E:$E,0)))</f>
        <v/>
      </c>
      <c r="I124" s="10" t="str">
        <f aca="false">IF(OR($C124="01-09",$D124="Male"),"",INDEX(PMTCT!$AS:$AS,MATCH($E124,PMTCT!$E:$E,0)))</f>
        <v/>
      </c>
      <c r="J124" s="10" t="str">
        <f aca="false">INDEX(TB!$P:$P,MATCH($E124,TB!$E:$E,0))</f>
        <v/>
      </c>
      <c r="K124" s="10" t="str">
        <f aca="false">IF(OR($C124="01-09",$C124="10-14",$D124="Female"),"",INDEX(VMMC!$AA:$AA,MATCH($E124,VMMC!$E:$E,0)))</f>
        <v/>
      </c>
      <c r="L124" s="10" t="n">
        <f aca="false">SUM($G124)-SUM($H124:$K124)</f>
        <v>0</v>
      </c>
      <c r="M124" s="88" t="str">
        <f aca="false">IF(OR($C124="01-09",$D124="Male",AND(SUM($G124)=0,SUM($H124)=0)),"",SUM($H124)/SUM($G124))</f>
        <v/>
      </c>
      <c r="N124" s="88" t="str">
        <f aca="false">IF(OR($C124="01-09",$D124="Male",AND(SUM($G124)=0,SUM($I124)=0)),"",SUM($I124)/SUM($G124))</f>
        <v/>
      </c>
      <c r="O124" s="88" t="str">
        <f aca="false">IF(AND(SUM($G124)=0,SUM($J124)=0),"",SUM($J124)/SUM($G124))</f>
        <v/>
      </c>
      <c r="P124" s="88" t="str">
        <f aca="false">IF(OR($C124="01-09",$C124="10-14",$D124="Female",AND(SUM($G124)=0,SUM($K124)=0)),"",SUM($K124)/SUM($G124))</f>
        <v/>
      </c>
      <c r="Q124" s="88"/>
      <c r="R124" s="88"/>
      <c r="S124" s="88"/>
      <c r="T124" s="88"/>
      <c r="U124" s="88"/>
      <c r="V124" s="88" t="str">
        <f aca="false">IF(SUM($G124)=0,"",SUM($M124:$U124))</f>
        <v/>
      </c>
      <c r="W124" s="88"/>
      <c r="X124" s="39" t="str">
        <f aca="false">IF(OR(SUM($G124)=0,SUM($Q124)=0),"",ROUND(SUM($G124)*SUM($Q124),0))</f>
        <v/>
      </c>
      <c r="Y124" s="39" t="str">
        <f aca="false">IF(SUM($X124)=0,"",IF(SUM($W124)=0,"ENTER YIELD",ROUND($X124/$W124,0)-$X124))</f>
        <v/>
      </c>
      <c r="Z124" s="88"/>
      <c r="AA124" s="39" t="str">
        <f aca="false">IF(OR(SUM($G124)=0,SUM($R124)=0),"",ROUND(SUM($G124)*SUM($R124),0))</f>
        <v/>
      </c>
      <c r="AB124" s="39" t="str">
        <f aca="false">IF(SUM($AA124)=0,"",IF(SUM($Z124)=0,"ENTER YIELD",ROUND($AA124/$Z124,0)-$AA124))</f>
        <v/>
      </c>
      <c r="AC124" s="88"/>
      <c r="AD124" s="39" t="str">
        <f aca="false">IF(OR(SUM($G124)=0,SUM($S124)=0),"",ROUND(SUM($G124)*SUM($S124),0))</f>
        <v/>
      </c>
      <c r="AE124" s="39" t="str">
        <f aca="false">IF(SUM($AD124)=0,"",IF(SUM($AC124)=0,"ENTER YIELD",ROUND($AD124/$AC124,0)-$AD124))</f>
        <v/>
      </c>
      <c r="AF124" s="88"/>
      <c r="AG124" s="39" t="str">
        <f aca="false">IF(OR(SUM($G124)=0,SUM($T124)=0),"",ROUND(SUM($G124)*SUM($T124),0))</f>
        <v/>
      </c>
      <c r="AH124" s="39" t="str">
        <f aca="false">IF(SUM($AG124)=0,"",IF(SUM($AF124)=0,"ENTER YIELD",ROUND($AG124/$AF124,0)-$AG124))</f>
        <v/>
      </c>
      <c r="AI124" s="88"/>
      <c r="AJ124" s="39" t="str">
        <f aca="false">IF(OR(SUM($G124)=0,SUM($U124)=0),"",ROUND(SUM($G124)*SUM($U124),0))</f>
        <v/>
      </c>
      <c r="AK124" s="39" t="str">
        <f aca="false">IF(SUM($AJ124)=0,"",IF(SUM($AI124)=0,"ENTER YIELD",ROUND($AJ124/$AI124,0)-$AJ124))</f>
        <v/>
      </c>
      <c r="AL124" s="10" t="str">
        <f aca="false">IF(SUM($G124)=0,"",$G124)</f>
        <v/>
      </c>
      <c r="AM124" s="10" t="str">
        <f aca="false">IFERROR(1/(1/SUM($H124:$K124,$X124,$AA124,$AD124,$AG124,$AJ124)),"")</f>
        <v/>
      </c>
      <c r="AN124" s="10" t="str">
        <f aca="false">IF(AND(SUM($AM124)=0,SUM($AL124)=0),"",$AM124-$AL124)</f>
        <v/>
      </c>
      <c r="AO124" s="10" t="str">
        <f aca="false">IF(OR($C124="01-09",$D124="Male"),"",INDEX(PMTCT!$AD:$AD,MATCH($E124,PMTCT!$E:$E,0)))</f>
        <v/>
      </c>
      <c r="AP124" s="10" t="str">
        <f aca="false">IF(OR($C124="01-09",$D124="Male"),"",INDEX(PMTCT!$AT:$AT,MATCH($E124,PMTCT!$E:$E,0)))</f>
        <v/>
      </c>
      <c r="AQ124" s="10" t="str">
        <f aca="false">INDEX(TB!$Q:$Q,MATCH($E124,TB!$E:$E,0))</f>
        <v/>
      </c>
      <c r="AR124" s="10" t="str">
        <f aca="false">IF(OR($C124="01-09",$C124="10-14",$D124="Female"),"",INDEX(VMMC!$AB:$AB,MATCH($E124,VMMC!$E:$E,0)))</f>
        <v/>
      </c>
      <c r="AS124" s="10" t="str">
        <f aca="false">IF(OR($C124="01-09",$C124="10-14"),"",INDEX(PrEP!$Q:$Q,MATCH($E124,PrEP!$E:$E,0)))</f>
        <v/>
      </c>
      <c r="AT124" s="10" t="str">
        <f aca="false">IFERROR(1/(1/SUM($Y124,$AB124,$AE124,$AH124,$AK124,$AO124:$AS124)),"")</f>
        <v/>
      </c>
      <c r="AU124" s="10" t="str">
        <f aca="false">IFERROR(1/(1/SUM($AT124,$AM124)),"")</f>
        <v/>
      </c>
      <c r="AV124" s="88" t="str">
        <f aca="false">IF(AND(SUM($AM124)=0,SUM($AU124)=0),"",$AM124/$AU124)</f>
        <v/>
      </c>
      <c r="AW124" s="10"/>
      <c r="AX124" s="88" t="str">
        <f aca="false">IF(OR($C124="01-09",SUM($AW124)=0),"",0%)</f>
        <v/>
      </c>
      <c r="AY124" s="39" t="str">
        <f aca="false">IF(OR($C124="01-09",SUM($AW124)=0),"",ROUND($AW124*(1+$AX124),0))</f>
        <v/>
      </c>
      <c r="AZ124" s="88" t="str">
        <f aca="false">IF(OR($C124="01-09",$C124="10-14"),"",100%)</f>
        <v/>
      </c>
      <c r="BA124" s="39" t="str">
        <f aca="false">IF(OR(SUM($AM124)=0,$C124="01-09",$C124="10-14"),"",$AM124*$AZ124)</f>
        <v/>
      </c>
    </row>
    <row r="125" customFormat="false" ht="15" hidden="false" customHeight="false" outlineLevel="0" collapsed="false">
      <c r="A125" s="0" t="str">
        <f aca="false">INDEX(Prioritization!$D:$D,MATCH($B125,Prioritization!$A:$A,0))</f>
        <v>INVALID</v>
      </c>
      <c r="B125" s="0" t="s">
        <v>203</v>
      </c>
      <c r="C125" s="0" t="s">
        <v>364</v>
      </c>
      <c r="D125" s="0" t="s">
        <v>30</v>
      </c>
      <c r="E125" s="0" t="str">
        <f aca="false">$B125&amp;"|"&amp;$C125&amp;"|"&amp;$D125</f>
        <v>Salima District [msW2zpIN7up]|10-14|Female</v>
      </c>
      <c r="F125" s="88" t="n">
        <f aca="false">IF(LEFT($B125,4)="_Mil","",INDEX(Cascade!$AA:$AA,MATCH($E125,Cascade!$E:$E,0)))</f>
        <v>842</v>
      </c>
      <c r="G125" s="10" t="n">
        <f aca="false">INDEX(Cascade!$BH:$BH,MATCH($E125,Cascade!$E:$E,0))</f>
        <v>-82</v>
      </c>
      <c r="H125" s="10" t="str">
        <f aca="false">IF(OR($C125="01-09",$D125="Male"),"",INDEX(PMTCT!$AC:$AC,MATCH($E125,PMTCT!$E:$E,0)))</f>
        <v>ENTER YIELD RATE</v>
      </c>
      <c r="I125" s="10" t="str">
        <f aca="false">IF(OR($C125="01-09",$D125="Male"),"",INDEX(PMTCT!$AS:$AS,MATCH($E125,PMTCT!$E:$E,0)))</f>
        <v>ENTER YIELD RATE</v>
      </c>
      <c r="J125" s="10" t="str">
        <f aca="false">INDEX(TB!$P:$P,MATCH($E125,TB!$E:$E,0))</f>
        <v/>
      </c>
      <c r="K125" s="10" t="str">
        <f aca="false">IF(OR($C125="01-09",$C125="10-14",$D125="Female"),"",INDEX(VMMC!$AA:$AA,MATCH($E125,VMMC!$E:$E,0)))</f>
        <v/>
      </c>
      <c r="L125" s="10" t="n">
        <f aca="false">SUM($G125)-SUM($H125:$K125)</f>
        <v>-82</v>
      </c>
      <c r="M125" s="88" t="n">
        <f aca="false">IF(OR($C125="01-09",$D125="Male",AND(SUM($G125)=0,SUM($H125)=0)),"",SUM($H125)/SUM($G125))</f>
        <v>-0</v>
      </c>
      <c r="N125" s="88" t="n">
        <f aca="false">IF(OR($C125="01-09",$D125="Male",AND(SUM($G125)=0,SUM($I125)=0)),"",SUM($I125)/SUM($G125))</f>
        <v>-0</v>
      </c>
      <c r="O125" s="88" t="n">
        <f aca="false">IF(AND(SUM($G125)=0,SUM($J125)=0),"",SUM($J125)/SUM($G125))</f>
        <v>-0</v>
      </c>
      <c r="P125" s="88" t="str">
        <f aca="false">IF(OR($C125="01-09",$C125="10-14",$D125="Female",AND(SUM($G125)=0,SUM($K125)=0)),"",SUM($K125)/SUM($G125))</f>
        <v/>
      </c>
      <c r="Q125" s="88"/>
      <c r="R125" s="88"/>
      <c r="S125" s="88"/>
      <c r="T125" s="88"/>
      <c r="U125" s="88"/>
      <c r="V125" s="88" t="n">
        <f aca="false">IF(SUM($G125)=0,"",SUM($M125:$U125))</f>
        <v>0</v>
      </c>
      <c r="W125" s="88"/>
      <c r="X125" s="39" t="str">
        <f aca="false">IF(OR(SUM($G125)=0,SUM($Q125)=0),"",ROUND(SUM($G125)*SUM($Q125),0))</f>
        <v/>
      </c>
      <c r="Y125" s="39" t="str">
        <f aca="false">IF(SUM($X125)=0,"",IF(SUM($W125)=0,"ENTER YIELD",ROUND($X125/$W125,0)-$X125))</f>
        <v/>
      </c>
      <c r="Z125" s="88"/>
      <c r="AA125" s="39" t="str">
        <f aca="false">IF(OR(SUM($G125)=0,SUM($R125)=0),"",ROUND(SUM($G125)*SUM($R125),0))</f>
        <v/>
      </c>
      <c r="AB125" s="39" t="str">
        <f aca="false">IF(SUM($AA125)=0,"",IF(SUM($Z125)=0,"ENTER YIELD",ROUND($AA125/$Z125,0)-$AA125))</f>
        <v/>
      </c>
      <c r="AC125" s="88"/>
      <c r="AD125" s="39" t="str">
        <f aca="false">IF(OR(SUM($G125)=0,SUM($S125)=0),"",ROUND(SUM($G125)*SUM($S125),0))</f>
        <v/>
      </c>
      <c r="AE125" s="39" t="str">
        <f aca="false">IF(SUM($AD125)=0,"",IF(SUM($AC125)=0,"ENTER YIELD",ROUND($AD125/$AC125,0)-$AD125))</f>
        <v/>
      </c>
      <c r="AF125" s="88"/>
      <c r="AG125" s="39" t="str">
        <f aca="false">IF(OR(SUM($G125)=0,SUM($T125)=0),"",ROUND(SUM($G125)*SUM($T125),0))</f>
        <v/>
      </c>
      <c r="AH125" s="39" t="str">
        <f aca="false">IF(SUM($AG125)=0,"",IF(SUM($AF125)=0,"ENTER YIELD",ROUND($AG125/$AF125,0)-$AG125))</f>
        <v/>
      </c>
      <c r="AI125" s="88" t="n">
        <v>0.295772176468745</v>
      </c>
      <c r="AJ125" s="39" t="str">
        <f aca="false">IF(OR(SUM($G125)=0,SUM($U125)=0),"",ROUND(SUM($G125)*SUM($U125),0))</f>
        <v/>
      </c>
      <c r="AK125" s="39" t="str">
        <f aca="false">IF(SUM($AJ125)=0,"",IF(SUM($AI125)=0,"ENTER YIELD",ROUND($AJ125/$AI125,0)-$AJ125))</f>
        <v/>
      </c>
      <c r="AL125" s="10" t="n">
        <f aca="false">IF(SUM($G125)=0,"",$G125)</f>
        <v>-82</v>
      </c>
      <c r="AM125" s="10" t="str">
        <f aca="false">IFERROR(1/(1/SUM($H125:$K125,$X125,$AA125,$AD125,$AG125,$AJ125)),"")</f>
        <v/>
      </c>
      <c r="AN125" s="10" t="e">
        <f aca="false">IF(AND(SUM($AM125)=0,SUM($AL125)=0),"",$AM125-$AL125)</f>
        <v>#VALUE!</v>
      </c>
      <c r="AO125" s="10" t="n">
        <f aca="false">IF(OR($C125="01-09",$D125="Male"),"",INDEX(PMTCT!$AD:$AD,MATCH($E125,PMTCT!$E:$E,0)))</f>
        <v>10</v>
      </c>
      <c r="AP125" s="10" t="n">
        <f aca="false">IF(OR($C125="01-09",$D125="Male"),"",INDEX(PMTCT!$AT:$AT,MATCH($E125,PMTCT!$E:$E,0)))</f>
        <v>10</v>
      </c>
      <c r="AQ125" s="10" t="str">
        <f aca="false">INDEX(TB!$Q:$Q,MATCH($E125,TB!$E:$E,0))</f>
        <v/>
      </c>
      <c r="AR125" s="10" t="str">
        <f aca="false">IF(OR($C125="01-09",$C125="10-14",$D125="Female"),"",INDEX(VMMC!$AB:$AB,MATCH($E125,VMMC!$E:$E,0)))</f>
        <v/>
      </c>
      <c r="AS125" s="10" t="str">
        <f aca="false">IF(OR($C125="01-09",$C125="10-14"),"",INDEX(PrEP!$Q:$Q,MATCH($E125,PrEP!$E:$E,0)))</f>
        <v/>
      </c>
      <c r="AT125" s="10" t="n">
        <f aca="false">IFERROR(1/(1/SUM($Y125,$AB125,$AE125,$AH125,$AK125,$AO125:$AS125)),"")</f>
        <v>20</v>
      </c>
      <c r="AU125" s="10" t="n">
        <f aca="false">IFERROR(1/(1/SUM($AT125,$AM125)),"")</f>
        <v>20</v>
      </c>
      <c r="AV125" s="88" t="e">
        <f aca="false">IF(AND(SUM($AM125)=0,SUM($AU125)=0),"",$AM125/$AU125)</f>
        <v>#VALUE!</v>
      </c>
      <c r="AW125" s="10"/>
      <c r="AX125" s="88" t="str">
        <f aca="false">IF(OR($C125="01-09",SUM($AW125)=0),"",0%)</f>
        <v/>
      </c>
      <c r="AY125" s="39" t="str">
        <f aca="false">IF(OR($C125="01-09",SUM($AW125)=0),"",ROUND($AW125*(1+$AX125),0))</f>
        <v/>
      </c>
      <c r="AZ125" s="88" t="str">
        <f aca="false">IF(OR($C125="01-09",$C125="10-14"),"",100%)</f>
        <v/>
      </c>
      <c r="BA125" s="39" t="str">
        <f aca="false">IF(OR(SUM($AM125)=0,$C125="01-09",$C125="10-14"),"",$AM125*$AZ125)</f>
        <v/>
      </c>
    </row>
    <row r="126" customFormat="false" ht="15" hidden="false" customHeight="false" outlineLevel="0" collapsed="false">
      <c r="A126" s="0" t="str">
        <f aca="false">INDEX(Prioritization!$D:$D,MATCH($B126,Prioritization!$A:$A,0))</f>
        <v>INVALID</v>
      </c>
      <c r="B126" s="0" t="s">
        <v>203</v>
      </c>
      <c r="C126" s="0" t="s">
        <v>364</v>
      </c>
      <c r="D126" s="0" t="s">
        <v>48</v>
      </c>
      <c r="E126" s="0" t="str">
        <f aca="false">$B126&amp;"|"&amp;$C126&amp;"|"&amp;$D126</f>
        <v>Salima District [msW2zpIN7up]|10-14|Male</v>
      </c>
      <c r="F126" s="88" t="n">
        <f aca="false">IF(LEFT($B126,4)="_Mil","",INDEX(Cascade!$AA:$AA,MATCH($E126,Cascade!$E:$E,0)))</f>
        <v>751</v>
      </c>
      <c r="G126" s="10" t="n">
        <f aca="false">INDEX(Cascade!$BH:$BH,MATCH($E126,Cascade!$E:$E,0))</f>
        <v>-77</v>
      </c>
      <c r="H126" s="10" t="str">
        <f aca="false">IF(OR($C126="01-09",$D126="Male"),"",INDEX(PMTCT!$AC:$AC,MATCH($E126,PMTCT!$E:$E,0)))</f>
        <v/>
      </c>
      <c r="I126" s="10" t="str">
        <f aca="false">IF(OR($C126="01-09",$D126="Male"),"",INDEX(PMTCT!$AS:$AS,MATCH($E126,PMTCT!$E:$E,0)))</f>
        <v/>
      </c>
      <c r="J126" s="10" t="str">
        <f aca="false">INDEX(TB!$P:$P,MATCH($E126,TB!$E:$E,0))</f>
        <v>ENTER YIELD RATE</v>
      </c>
      <c r="K126" s="10" t="str">
        <f aca="false">IF(OR($C126="01-09",$C126="10-14",$D126="Female"),"",INDEX(VMMC!$AA:$AA,MATCH($E126,VMMC!$E:$E,0)))</f>
        <v/>
      </c>
      <c r="L126" s="10" t="n">
        <f aca="false">SUM($G126)-SUM($H126:$K126)</f>
        <v>-77</v>
      </c>
      <c r="M126" s="88" t="str">
        <f aca="false">IF(OR($C126="01-09",$D126="Male",AND(SUM($G126)=0,SUM($H126)=0)),"",SUM($H126)/SUM($G126))</f>
        <v/>
      </c>
      <c r="N126" s="88" t="str">
        <f aca="false">IF(OR($C126="01-09",$D126="Male",AND(SUM($G126)=0,SUM($I126)=0)),"",SUM($I126)/SUM($G126))</f>
        <v/>
      </c>
      <c r="O126" s="88" t="n">
        <f aca="false">IF(AND(SUM($G126)=0,SUM($J126)=0),"",SUM($J126)/SUM($G126))</f>
        <v>-0</v>
      </c>
      <c r="P126" s="88" t="str">
        <f aca="false">IF(OR($C126="01-09",$C126="10-14",$D126="Female",AND(SUM($G126)=0,SUM($K126)=0)),"",SUM($K126)/SUM($G126))</f>
        <v/>
      </c>
      <c r="Q126" s="88"/>
      <c r="R126" s="88"/>
      <c r="S126" s="88"/>
      <c r="T126" s="88"/>
      <c r="U126" s="88"/>
      <c r="V126" s="88" t="n">
        <f aca="false">IF(SUM($G126)=0,"",SUM($M126:$U126))</f>
        <v>0</v>
      </c>
      <c r="W126" s="88"/>
      <c r="X126" s="39" t="str">
        <f aca="false">IF(OR(SUM($G126)=0,SUM($Q126)=0),"",ROUND(SUM($G126)*SUM($Q126),0))</f>
        <v/>
      </c>
      <c r="Y126" s="39" t="str">
        <f aca="false">IF(SUM($X126)=0,"",IF(SUM($W126)=0,"ENTER YIELD",ROUND($X126/$W126,0)-$X126))</f>
        <v/>
      </c>
      <c r="Z126" s="88"/>
      <c r="AA126" s="39" t="str">
        <f aca="false">IF(OR(SUM($G126)=0,SUM($R126)=0),"",ROUND(SUM($G126)*SUM($R126),0))</f>
        <v/>
      </c>
      <c r="AB126" s="39" t="str">
        <f aca="false">IF(SUM($AA126)=0,"",IF(SUM($Z126)=0,"ENTER YIELD",ROUND($AA126/$Z126,0)-$AA126))</f>
        <v/>
      </c>
      <c r="AC126" s="88"/>
      <c r="AD126" s="39" t="str">
        <f aca="false">IF(OR(SUM($G126)=0,SUM($S126)=0),"",ROUND(SUM($G126)*SUM($S126),0))</f>
        <v/>
      </c>
      <c r="AE126" s="39" t="str">
        <f aca="false">IF(SUM($AD126)=0,"",IF(SUM($AC126)=0,"ENTER YIELD",ROUND($AD126/$AC126,0)-$AD126))</f>
        <v/>
      </c>
      <c r="AF126" s="88"/>
      <c r="AG126" s="39" t="str">
        <f aca="false">IF(OR(SUM($G126)=0,SUM($T126)=0),"",ROUND(SUM($G126)*SUM($T126),0))</f>
        <v/>
      </c>
      <c r="AH126" s="39" t="str">
        <f aca="false">IF(SUM($AG126)=0,"",IF(SUM($AF126)=0,"ENTER YIELD",ROUND($AG126/$AF126,0)-$AG126))</f>
        <v/>
      </c>
      <c r="AI126" s="88" t="n">
        <v>0.0668691077735275</v>
      </c>
      <c r="AJ126" s="39" t="str">
        <f aca="false">IF(OR(SUM($G126)=0,SUM($U126)=0),"",ROUND(SUM($G126)*SUM($U126),0))</f>
        <v/>
      </c>
      <c r="AK126" s="39" t="str">
        <f aca="false">IF(SUM($AJ126)=0,"",IF(SUM($AI126)=0,"ENTER YIELD",ROUND($AJ126/$AI126,0)-$AJ126))</f>
        <v/>
      </c>
      <c r="AL126" s="10" t="n">
        <f aca="false">IF(SUM($G126)=0,"",$G126)</f>
        <v>-77</v>
      </c>
      <c r="AM126" s="10" t="str">
        <f aca="false">IFERROR(1/(1/SUM($H126:$K126,$X126,$AA126,$AD126,$AG126,$AJ126)),"")</f>
        <v/>
      </c>
      <c r="AN126" s="10" t="e">
        <f aca="false">IF(AND(SUM($AM126)=0,SUM($AL126)=0),"",$AM126-$AL126)</f>
        <v>#VALUE!</v>
      </c>
      <c r="AO126" s="10" t="str">
        <f aca="false">IF(OR($C126="01-09",$D126="Male"),"",INDEX(PMTCT!$AD:$AD,MATCH($E126,PMTCT!$E:$E,0)))</f>
        <v/>
      </c>
      <c r="AP126" s="10" t="str">
        <f aca="false">IF(OR($C126="01-09",$D126="Male"),"",INDEX(PMTCT!$AT:$AT,MATCH($E126,PMTCT!$E:$E,0)))</f>
        <v/>
      </c>
      <c r="AQ126" s="10" t="n">
        <f aca="false">INDEX(TB!$Q:$Q,MATCH($E126,TB!$E:$E,0))</f>
        <v>1</v>
      </c>
      <c r="AR126" s="10" t="str">
        <f aca="false">IF(OR($C126="01-09",$C126="10-14",$D126="Female"),"",INDEX(VMMC!$AB:$AB,MATCH($E126,VMMC!$E:$E,0)))</f>
        <v/>
      </c>
      <c r="AS126" s="10" t="str">
        <f aca="false">IF(OR($C126="01-09",$C126="10-14"),"",INDEX(PrEP!$Q:$Q,MATCH($E126,PrEP!$E:$E,0)))</f>
        <v/>
      </c>
      <c r="AT126" s="10" t="n">
        <f aca="false">IFERROR(1/(1/SUM($Y126,$AB126,$AE126,$AH126,$AK126,$AO126:$AS126)),"")</f>
        <v>1</v>
      </c>
      <c r="AU126" s="10" t="n">
        <f aca="false">IFERROR(1/(1/SUM($AT126,$AM126)),"")</f>
        <v>1</v>
      </c>
      <c r="AV126" s="88" t="e">
        <f aca="false">IF(AND(SUM($AM126)=0,SUM($AU126)=0),"",$AM126/$AU126)</f>
        <v>#VALUE!</v>
      </c>
      <c r="AW126" s="10"/>
      <c r="AX126" s="88" t="str">
        <f aca="false">IF(OR($C126="01-09",SUM($AW126)=0),"",0%)</f>
        <v/>
      </c>
      <c r="AY126" s="39" t="str">
        <f aca="false">IF(OR($C126="01-09",SUM($AW126)=0),"",ROUND($AW126*(1+$AX126),0))</f>
        <v/>
      </c>
      <c r="AZ126" s="88" t="str">
        <f aca="false">IF(OR($C126="01-09",$C126="10-14"),"",100%)</f>
        <v/>
      </c>
      <c r="BA126" s="39" t="str">
        <f aca="false">IF(OR(SUM($AM126)=0,$C126="01-09",$C126="10-14"),"",$AM126*$AZ126)</f>
        <v/>
      </c>
    </row>
    <row r="127" customFormat="false" ht="15" hidden="false" customHeight="false" outlineLevel="0" collapsed="false">
      <c r="A127" s="0" t="str">
        <f aca="false">INDEX(Prioritization!$D:$D,MATCH($B127,Prioritization!$A:$A,0))</f>
        <v>INVALID</v>
      </c>
      <c r="B127" s="0" t="s">
        <v>203</v>
      </c>
      <c r="C127" s="0" t="s">
        <v>365</v>
      </c>
      <c r="D127" s="0" t="s">
        <v>30</v>
      </c>
      <c r="E127" s="0" t="str">
        <f aca="false">$B127&amp;"|"&amp;$C127&amp;"|"&amp;$D127</f>
        <v>Salima District [msW2zpIN7up]|15-24|Female</v>
      </c>
      <c r="F127" s="88" t="n">
        <f aca="false">IF(LEFT($B127,4)="_Mil","",INDEX(Cascade!$AA:$AA,MATCH($E127,Cascade!$E:$E,0)))</f>
        <v>1176</v>
      </c>
      <c r="G127" s="10" t="n">
        <f aca="false">INDEX(Cascade!$BH:$BH,MATCH($E127,Cascade!$E:$E,0))</f>
        <v>0</v>
      </c>
      <c r="H127" s="10" t="str">
        <f aca="false">IF(OR($C127="01-09",$D127="Male"),"",INDEX(PMTCT!$AC:$AC,MATCH($E127,PMTCT!$E:$E,0)))</f>
        <v/>
      </c>
      <c r="I127" s="10" t="str">
        <f aca="false">IF(OR($C127="01-09",$D127="Male"),"",INDEX(PMTCT!$AS:$AS,MATCH($E127,PMTCT!$E:$E,0)))</f>
        <v/>
      </c>
      <c r="J127" s="10" t="str">
        <f aca="false">INDEX(TB!$P:$P,MATCH($E127,TB!$E:$E,0))</f>
        <v/>
      </c>
      <c r="K127" s="10" t="str">
        <f aca="false">IF(OR($C127="01-09",$C127="10-14",$D127="Female"),"",INDEX(VMMC!$AA:$AA,MATCH($E127,VMMC!$E:$E,0)))</f>
        <v/>
      </c>
      <c r="L127" s="10" t="n">
        <f aca="false">SUM($G127)-SUM($H127:$K127)</f>
        <v>0</v>
      </c>
      <c r="M127" s="88" t="str">
        <f aca="false">IF(OR($C127="01-09",$D127="Male",AND(SUM($G127)=0,SUM($H127)=0)),"",SUM($H127)/SUM($G127))</f>
        <v/>
      </c>
      <c r="N127" s="88" t="str">
        <f aca="false">IF(OR($C127="01-09",$D127="Male",AND(SUM($G127)=0,SUM($I127)=0)),"",SUM($I127)/SUM($G127))</f>
        <v/>
      </c>
      <c r="O127" s="88" t="str">
        <f aca="false">IF(AND(SUM($G127)=0,SUM($J127)=0),"",SUM($J127)/SUM($G127))</f>
        <v/>
      </c>
      <c r="P127" s="88" t="str">
        <f aca="false">IF(OR($C127="01-09",$C127="10-14",$D127="Female",AND(SUM($G127)=0,SUM($K127)=0)),"",SUM($K127)/SUM($G127))</f>
        <v/>
      </c>
      <c r="Q127" s="88"/>
      <c r="R127" s="88"/>
      <c r="S127" s="88"/>
      <c r="T127" s="88"/>
      <c r="U127" s="88"/>
      <c r="V127" s="88" t="str">
        <f aca="false">IF(SUM($G127)=0,"",SUM($M127:$U127))</f>
        <v/>
      </c>
      <c r="W127" s="88"/>
      <c r="X127" s="39" t="str">
        <f aca="false">IF(OR(SUM($G127)=0,SUM($Q127)=0),"",ROUND(SUM($G127)*SUM($Q127),0))</f>
        <v/>
      </c>
      <c r="Y127" s="39" t="str">
        <f aca="false">IF(SUM($X127)=0,"",IF(SUM($W127)=0,"ENTER YIELD",ROUND($X127/$W127,0)-$X127))</f>
        <v/>
      </c>
      <c r="Z127" s="88"/>
      <c r="AA127" s="39" t="str">
        <f aca="false">IF(OR(SUM($G127)=0,SUM($R127)=0),"",ROUND(SUM($G127)*SUM($R127),0))</f>
        <v/>
      </c>
      <c r="AB127" s="39" t="str">
        <f aca="false">IF(SUM($AA127)=0,"",IF(SUM($Z127)=0,"ENTER YIELD",ROUND($AA127/$Z127,0)-$AA127))</f>
        <v/>
      </c>
      <c r="AC127" s="88"/>
      <c r="AD127" s="39" t="str">
        <f aca="false">IF(OR(SUM($G127)=0,SUM($S127)=0),"",ROUND(SUM($G127)*SUM($S127),0))</f>
        <v/>
      </c>
      <c r="AE127" s="39" t="str">
        <f aca="false">IF(SUM($AD127)=0,"",IF(SUM($AC127)=0,"ENTER YIELD",ROUND($AD127/$AC127,0)-$AD127))</f>
        <v/>
      </c>
      <c r="AF127" s="88"/>
      <c r="AG127" s="39" t="str">
        <f aca="false">IF(OR(SUM($G127)=0,SUM($T127)=0),"",ROUND(SUM($G127)*SUM($T127),0))</f>
        <v/>
      </c>
      <c r="AH127" s="39" t="str">
        <f aca="false">IF(SUM($AG127)=0,"",IF(SUM($AF127)=0,"ENTER YIELD",ROUND($AG127/$AF127,0)-$AG127))</f>
        <v/>
      </c>
      <c r="AI127" s="88"/>
      <c r="AJ127" s="39" t="str">
        <f aca="false">IF(OR(SUM($G127)=0,SUM($U127)=0),"",ROUND(SUM($G127)*SUM($U127),0))</f>
        <v/>
      </c>
      <c r="AK127" s="39" t="str">
        <f aca="false">IF(SUM($AJ127)=0,"",IF(SUM($AI127)=0,"ENTER YIELD",ROUND($AJ127/$AI127,0)-$AJ127))</f>
        <v/>
      </c>
      <c r="AL127" s="10" t="str">
        <f aca="false">IF(SUM($G127)=0,"",$G127)</f>
        <v/>
      </c>
      <c r="AM127" s="10" t="str">
        <f aca="false">IFERROR(1/(1/SUM($H127:$K127,$X127,$AA127,$AD127,$AG127,$AJ127)),"")</f>
        <v/>
      </c>
      <c r="AN127" s="10" t="str">
        <f aca="false">IF(AND(SUM($AM127)=0,SUM($AL127)=0),"",$AM127-$AL127)</f>
        <v/>
      </c>
      <c r="AO127" s="10" t="str">
        <f aca="false">IF(OR($C127="01-09",$D127="Male"),"",INDEX(PMTCT!$AD:$AD,MATCH($E127,PMTCT!$E:$E,0)))</f>
        <v/>
      </c>
      <c r="AP127" s="10" t="str">
        <f aca="false">IF(OR($C127="01-09",$D127="Male"),"",INDEX(PMTCT!$AT:$AT,MATCH($E127,PMTCT!$E:$E,0)))</f>
        <v/>
      </c>
      <c r="AQ127" s="10" t="str">
        <f aca="false">INDEX(TB!$Q:$Q,MATCH($E127,TB!$E:$E,0))</f>
        <v/>
      </c>
      <c r="AR127" s="10" t="str">
        <f aca="false">IF(OR($C127="01-09",$C127="10-14",$D127="Female"),"",INDEX(VMMC!$AB:$AB,MATCH($E127,VMMC!$E:$E,0)))</f>
        <v/>
      </c>
      <c r="AS127" s="10" t="str">
        <f aca="false">IF(OR($C127="01-09",$C127="10-14"),"",INDEX(PrEP!$Q:$Q,MATCH($E127,PrEP!$E:$E,0)))</f>
        <v/>
      </c>
      <c r="AT127" s="10" t="str">
        <f aca="false">IFERROR(1/(1/SUM($Y127,$AB127,$AE127,$AH127,$AK127,$AO127:$AS127)),"")</f>
        <v/>
      </c>
      <c r="AU127" s="10" t="str">
        <f aca="false">IFERROR(1/(1/SUM($AT127,$AM127)),"")</f>
        <v/>
      </c>
      <c r="AV127" s="88" t="str">
        <f aca="false">IF(AND(SUM($AM127)=0,SUM($AU127)=0),"",$AM127/$AU127)</f>
        <v/>
      </c>
      <c r="AW127" s="10"/>
      <c r="AX127" s="88" t="str">
        <f aca="false">IF(OR($C127="01-09",SUM($AW127)=0),"",0%)</f>
        <v/>
      </c>
      <c r="AY127" s="39" t="str">
        <f aca="false">IF(OR($C127="01-09",SUM($AW127)=0),"",ROUND($AW127*(1+$AX127),0))</f>
        <v/>
      </c>
      <c r="AZ127" s="88" t="n">
        <f aca="false">IF(OR($C127="01-09",$C127="10-14"),"",100%)</f>
        <v>1</v>
      </c>
      <c r="BA127" s="39" t="str">
        <f aca="false">IF(OR(SUM($AM127)=0,$C127="01-09",$C127="10-14"),"",$AM127*$AZ127)</f>
        <v/>
      </c>
    </row>
    <row r="128" customFormat="false" ht="15" hidden="false" customHeight="false" outlineLevel="0" collapsed="false">
      <c r="A128" s="0" t="str">
        <f aca="false">INDEX(Prioritization!$D:$D,MATCH($B128,Prioritization!$A:$A,0))</f>
        <v>INVALID</v>
      </c>
      <c r="B128" s="0" t="s">
        <v>203</v>
      </c>
      <c r="C128" s="0" t="s">
        <v>365</v>
      </c>
      <c r="D128" s="0" t="s">
        <v>48</v>
      </c>
      <c r="E128" s="0" t="str">
        <f aca="false">$B128&amp;"|"&amp;$C128&amp;"|"&amp;$D128</f>
        <v>Salima District [msW2zpIN7up]|15-24|Male</v>
      </c>
      <c r="F128" s="88" t="n">
        <f aca="false">IF(LEFT($B128,4)="_Mil","",INDEX(Cascade!$AA:$AA,MATCH($E128,Cascade!$E:$E,0)))</f>
        <v>1321</v>
      </c>
      <c r="G128" s="10" t="n">
        <f aca="false">INDEX(Cascade!$BH:$BH,MATCH($E128,Cascade!$E:$E,0))</f>
        <v>0</v>
      </c>
      <c r="H128" s="10" t="str">
        <f aca="false">IF(OR($C128="01-09",$D128="Male"),"",INDEX(PMTCT!$AC:$AC,MATCH($E128,PMTCT!$E:$E,0)))</f>
        <v/>
      </c>
      <c r="I128" s="10" t="str">
        <f aca="false">IF(OR($C128="01-09",$D128="Male"),"",INDEX(PMTCT!$AS:$AS,MATCH($E128,PMTCT!$E:$E,0)))</f>
        <v/>
      </c>
      <c r="J128" s="10" t="str">
        <f aca="false">INDEX(TB!$P:$P,MATCH($E128,TB!$E:$E,0))</f>
        <v/>
      </c>
      <c r="K128" s="10" t="str">
        <f aca="false">IF(OR($C128="01-09",$C128="10-14",$D128="Female"),"",INDEX(VMMC!$AA:$AA,MATCH($E128,VMMC!$E:$E,0)))</f>
        <v/>
      </c>
      <c r="L128" s="10" t="n">
        <f aca="false">SUM($G128)-SUM($H128:$K128)</f>
        <v>0</v>
      </c>
      <c r="M128" s="88" t="str">
        <f aca="false">IF(OR($C128="01-09",$D128="Male",AND(SUM($G128)=0,SUM($H128)=0)),"",SUM($H128)/SUM($G128))</f>
        <v/>
      </c>
      <c r="N128" s="88" t="str">
        <f aca="false">IF(OR($C128="01-09",$D128="Male",AND(SUM($G128)=0,SUM($I128)=0)),"",SUM($I128)/SUM($G128))</f>
        <v/>
      </c>
      <c r="O128" s="88" t="str">
        <f aca="false">IF(AND(SUM($G128)=0,SUM($J128)=0),"",SUM($J128)/SUM($G128))</f>
        <v/>
      </c>
      <c r="P128" s="88" t="str">
        <f aca="false">IF(OR($C128="01-09",$C128="10-14",$D128="Female",AND(SUM($G128)=0,SUM($K128)=0)),"",SUM($K128)/SUM($G128))</f>
        <v/>
      </c>
      <c r="Q128" s="88"/>
      <c r="R128" s="88"/>
      <c r="S128" s="88"/>
      <c r="T128" s="88"/>
      <c r="U128" s="88"/>
      <c r="V128" s="88" t="str">
        <f aca="false">IF(SUM($G128)=0,"",SUM($M128:$U128))</f>
        <v/>
      </c>
      <c r="W128" s="88"/>
      <c r="X128" s="39" t="str">
        <f aca="false">IF(OR(SUM($G128)=0,SUM($Q128)=0),"",ROUND(SUM($G128)*SUM($Q128),0))</f>
        <v/>
      </c>
      <c r="Y128" s="39" t="str">
        <f aca="false">IF(SUM($X128)=0,"",IF(SUM($W128)=0,"ENTER YIELD",ROUND($X128/$W128,0)-$X128))</f>
        <v/>
      </c>
      <c r="Z128" s="88"/>
      <c r="AA128" s="39" t="str">
        <f aca="false">IF(OR(SUM($G128)=0,SUM($R128)=0),"",ROUND(SUM($G128)*SUM($R128),0))</f>
        <v/>
      </c>
      <c r="AB128" s="39" t="str">
        <f aca="false">IF(SUM($AA128)=0,"",IF(SUM($Z128)=0,"ENTER YIELD",ROUND($AA128/$Z128,0)-$AA128))</f>
        <v/>
      </c>
      <c r="AC128" s="88"/>
      <c r="AD128" s="39" t="str">
        <f aca="false">IF(OR(SUM($G128)=0,SUM($S128)=0),"",ROUND(SUM($G128)*SUM($S128),0))</f>
        <v/>
      </c>
      <c r="AE128" s="39" t="str">
        <f aca="false">IF(SUM($AD128)=0,"",IF(SUM($AC128)=0,"ENTER YIELD",ROUND($AD128/$AC128,0)-$AD128))</f>
        <v/>
      </c>
      <c r="AF128" s="88"/>
      <c r="AG128" s="39" t="str">
        <f aca="false">IF(OR(SUM($G128)=0,SUM($T128)=0),"",ROUND(SUM($G128)*SUM($T128),0))</f>
        <v/>
      </c>
      <c r="AH128" s="39" t="str">
        <f aca="false">IF(SUM($AG128)=0,"",IF(SUM($AF128)=0,"ENTER YIELD",ROUND($AG128/$AF128,0)-$AG128))</f>
        <v/>
      </c>
      <c r="AI128" s="88"/>
      <c r="AJ128" s="39" t="str">
        <f aca="false">IF(OR(SUM($G128)=0,SUM($U128)=0),"",ROUND(SUM($G128)*SUM($U128),0))</f>
        <v/>
      </c>
      <c r="AK128" s="39" t="str">
        <f aca="false">IF(SUM($AJ128)=0,"",IF(SUM($AI128)=0,"ENTER YIELD",ROUND($AJ128/$AI128,0)-$AJ128))</f>
        <v/>
      </c>
      <c r="AL128" s="10" t="str">
        <f aca="false">IF(SUM($G128)=0,"",$G128)</f>
        <v/>
      </c>
      <c r="AM128" s="10" t="str">
        <f aca="false">IFERROR(1/(1/SUM($H128:$K128,$X128,$AA128,$AD128,$AG128,$AJ128)),"")</f>
        <v/>
      </c>
      <c r="AN128" s="10" t="str">
        <f aca="false">IF(AND(SUM($AM128)=0,SUM($AL128)=0),"",$AM128-$AL128)</f>
        <v/>
      </c>
      <c r="AO128" s="10" t="str">
        <f aca="false">IF(OR($C128="01-09",$D128="Male"),"",INDEX(PMTCT!$AD:$AD,MATCH($E128,PMTCT!$E:$E,0)))</f>
        <v/>
      </c>
      <c r="AP128" s="10" t="str">
        <f aca="false">IF(OR($C128="01-09",$D128="Male"),"",INDEX(PMTCT!$AT:$AT,MATCH($E128,PMTCT!$E:$E,0)))</f>
        <v/>
      </c>
      <c r="AQ128" s="10" t="str">
        <f aca="false">INDEX(TB!$Q:$Q,MATCH($E128,TB!$E:$E,0))</f>
        <v/>
      </c>
      <c r="AR128" s="10" t="str">
        <f aca="false">IF(OR($C128="01-09",$C128="10-14",$D128="Female"),"",INDEX(VMMC!$AB:$AB,MATCH($E128,VMMC!$E:$E,0)))</f>
        <v/>
      </c>
      <c r="AS128" s="10" t="str">
        <f aca="false">IF(OR($C128="01-09",$C128="10-14"),"",INDEX(PrEP!$Q:$Q,MATCH($E128,PrEP!$E:$E,0)))</f>
        <v/>
      </c>
      <c r="AT128" s="10" t="str">
        <f aca="false">IFERROR(1/(1/SUM($Y128,$AB128,$AE128,$AH128,$AK128,$AO128:$AS128)),"")</f>
        <v/>
      </c>
      <c r="AU128" s="10" t="str">
        <f aca="false">IFERROR(1/(1/SUM($AT128,$AM128)),"")</f>
        <v/>
      </c>
      <c r="AV128" s="88" t="str">
        <f aca="false">IF(AND(SUM($AM128)=0,SUM($AU128)=0),"",$AM128/$AU128)</f>
        <v/>
      </c>
      <c r="AW128" s="10"/>
      <c r="AX128" s="88" t="str">
        <f aca="false">IF(OR($C128="01-09",SUM($AW128)=0),"",0%)</f>
        <v/>
      </c>
      <c r="AY128" s="39" t="str">
        <f aca="false">IF(OR($C128="01-09",SUM($AW128)=0),"",ROUND($AW128*(1+$AX128),0))</f>
        <v/>
      </c>
      <c r="AZ128" s="88" t="n">
        <f aca="false">IF(OR($C128="01-09",$C128="10-14"),"",100%)</f>
        <v>1</v>
      </c>
      <c r="BA128" s="39" t="str">
        <f aca="false">IF(OR(SUM($AM128)=0,$C128="01-09",$C128="10-14"),"",$AM128*$AZ128)</f>
        <v/>
      </c>
    </row>
    <row r="129" customFormat="false" ht="15" hidden="false" customHeight="false" outlineLevel="0" collapsed="false">
      <c r="A129" s="0" t="str">
        <f aca="false">INDEX(Prioritization!$D:$D,MATCH($B129,Prioritization!$A:$A,0))</f>
        <v>INVALID</v>
      </c>
      <c r="B129" s="0" t="s">
        <v>203</v>
      </c>
      <c r="C129" s="0" t="s">
        <v>366</v>
      </c>
      <c r="D129" s="0" t="s">
        <v>30</v>
      </c>
      <c r="E129" s="0" t="str">
        <f aca="false">$B129&amp;"|"&amp;$C129&amp;"|"&amp;$D129</f>
        <v>Salima District [msW2zpIN7up]|25-34|Female</v>
      </c>
      <c r="F129" s="88" t="n">
        <f aca="false">IF(LEFT($B129,4)="_Mil","",INDEX(Cascade!$AA:$AA,MATCH($E129,Cascade!$E:$E,0)))</f>
        <v>1721</v>
      </c>
      <c r="G129" s="10" t="n">
        <f aca="false">INDEX(Cascade!$BH:$BH,MATCH($E129,Cascade!$E:$E,0))</f>
        <v>0</v>
      </c>
      <c r="H129" s="10" t="str">
        <f aca="false">IF(OR($C129="01-09",$D129="Male"),"",INDEX(PMTCT!$AC:$AC,MATCH($E129,PMTCT!$E:$E,0)))</f>
        <v/>
      </c>
      <c r="I129" s="10" t="str">
        <f aca="false">IF(OR($C129="01-09",$D129="Male"),"",INDEX(PMTCT!$AS:$AS,MATCH($E129,PMTCT!$E:$E,0)))</f>
        <v/>
      </c>
      <c r="J129" s="10" t="str">
        <f aca="false">INDEX(TB!$P:$P,MATCH($E129,TB!$E:$E,0))</f>
        <v/>
      </c>
      <c r="K129" s="10" t="str">
        <f aca="false">IF(OR($C129="01-09",$C129="10-14",$D129="Female"),"",INDEX(VMMC!$AA:$AA,MATCH($E129,VMMC!$E:$E,0)))</f>
        <v/>
      </c>
      <c r="L129" s="10" t="n">
        <f aca="false">SUM($G129)-SUM($H129:$K129)</f>
        <v>0</v>
      </c>
      <c r="M129" s="88" t="str">
        <f aca="false">IF(OR($C129="01-09",$D129="Male",AND(SUM($G129)=0,SUM($H129)=0)),"",SUM($H129)/SUM($G129))</f>
        <v/>
      </c>
      <c r="N129" s="88" t="str">
        <f aca="false">IF(OR($C129="01-09",$D129="Male",AND(SUM($G129)=0,SUM($I129)=0)),"",SUM($I129)/SUM($G129))</f>
        <v/>
      </c>
      <c r="O129" s="88" t="str">
        <f aca="false">IF(AND(SUM($G129)=0,SUM($J129)=0),"",SUM($J129)/SUM($G129))</f>
        <v/>
      </c>
      <c r="P129" s="88" t="str">
        <f aca="false">IF(OR($C129="01-09",$C129="10-14",$D129="Female",AND(SUM($G129)=0,SUM($K129)=0)),"",SUM($K129)/SUM($G129))</f>
        <v/>
      </c>
      <c r="Q129" s="88"/>
      <c r="R129" s="88"/>
      <c r="S129" s="88"/>
      <c r="T129" s="88"/>
      <c r="U129" s="88"/>
      <c r="V129" s="88" t="str">
        <f aca="false">IF(SUM($G129)=0,"",SUM($M129:$U129))</f>
        <v/>
      </c>
      <c r="W129" s="88"/>
      <c r="X129" s="39" t="str">
        <f aca="false">IF(OR(SUM($G129)=0,SUM($Q129)=0),"",ROUND(SUM($G129)*SUM($Q129),0))</f>
        <v/>
      </c>
      <c r="Y129" s="39" t="str">
        <f aca="false">IF(SUM($X129)=0,"",IF(SUM($W129)=0,"ENTER YIELD",ROUND($X129/$W129,0)-$X129))</f>
        <v/>
      </c>
      <c r="Z129" s="88"/>
      <c r="AA129" s="39" t="str">
        <f aca="false">IF(OR(SUM($G129)=0,SUM($R129)=0),"",ROUND(SUM($G129)*SUM($R129),0))</f>
        <v/>
      </c>
      <c r="AB129" s="39" t="str">
        <f aca="false">IF(SUM($AA129)=0,"",IF(SUM($Z129)=0,"ENTER YIELD",ROUND($AA129/$Z129,0)-$AA129))</f>
        <v/>
      </c>
      <c r="AC129" s="88"/>
      <c r="AD129" s="39" t="str">
        <f aca="false">IF(OR(SUM($G129)=0,SUM($S129)=0),"",ROUND(SUM($G129)*SUM($S129),0))</f>
        <v/>
      </c>
      <c r="AE129" s="39" t="str">
        <f aca="false">IF(SUM($AD129)=0,"",IF(SUM($AC129)=0,"ENTER YIELD",ROUND($AD129/$AC129,0)-$AD129))</f>
        <v/>
      </c>
      <c r="AF129" s="88"/>
      <c r="AG129" s="39" t="str">
        <f aca="false">IF(OR(SUM($G129)=0,SUM($T129)=0),"",ROUND(SUM($G129)*SUM($T129),0))</f>
        <v/>
      </c>
      <c r="AH129" s="39" t="str">
        <f aca="false">IF(SUM($AG129)=0,"",IF(SUM($AF129)=0,"ENTER YIELD",ROUND($AG129/$AF129,0)-$AG129))</f>
        <v/>
      </c>
      <c r="AI129" s="88"/>
      <c r="AJ129" s="39" t="str">
        <f aca="false">IF(OR(SUM($G129)=0,SUM($U129)=0),"",ROUND(SUM($G129)*SUM($U129),0))</f>
        <v/>
      </c>
      <c r="AK129" s="39" t="str">
        <f aca="false">IF(SUM($AJ129)=0,"",IF(SUM($AI129)=0,"ENTER YIELD",ROUND($AJ129/$AI129,0)-$AJ129))</f>
        <v/>
      </c>
      <c r="AL129" s="10" t="str">
        <f aca="false">IF(SUM($G129)=0,"",$G129)</f>
        <v/>
      </c>
      <c r="AM129" s="10" t="str">
        <f aca="false">IFERROR(1/(1/SUM($H129:$K129,$X129,$AA129,$AD129,$AG129,$AJ129)),"")</f>
        <v/>
      </c>
      <c r="AN129" s="10" t="str">
        <f aca="false">IF(AND(SUM($AM129)=0,SUM($AL129)=0),"",$AM129-$AL129)</f>
        <v/>
      </c>
      <c r="AO129" s="10" t="str">
        <f aca="false">IF(OR($C129="01-09",$D129="Male"),"",INDEX(PMTCT!$AD:$AD,MATCH($E129,PMTCT!$E:$E,0)))</f>
        <v/>
      </c>
      <c r="AP129" s="10" t="str">
        <f aca="false">IF(OR($C129="01-09",$D129="Male"),"",INDEX(PMTCT!$AT:$AT,MATCH($E129,PMTCT!$E:$E,0)))</f>
        <v/>
      </c>
      <c r="AQ129" s="10" t="str">
        <f aca="false">INDEX(TB!$Q:$Q,MATCH($E129,TB!$E:$E,0))</f>
        <v/>
      </c>
      <c r="AR129" s="10" t="str">
        <f aca="false">IF(OR($C129="01-09",$C129="10-14",$D129="Female"),"",INDEX(VMMC!$AB:$AB,MATCH($E129,VMMC!$E:$E,0)))</f>
        <v/>
      </c>
      <c r="AS129" s="10" t="str">
        <f aca="false">IF(OR($C129="01-09",$C129="10-14"),"",INDEX(PrEP!$Q:$Q,MATCH($E129,PrEP!$E:$E,0)))</f>
        <v/>
      </c>
      <c r="AT129" s="10" t="str">
        <f aca="false">IFERROR(1/(1/SUM($Y129,$AB129,$AE129,$AH129,$AK129,$AO129:$AS129)),"")</f>
        <v/>
      </c>
      <c r="AU129" s="10" t="str">
        <f aca="false">IFERROR(1/(1/SUM($AT129,$AM129)),"")</f>
        <v/>
      </c>
      <c r="AV129" s="88" t="str">
        <f aca="false">IF(AND(SUM($AM129)=0,SUM($AU129)=0),"",$AM129/$AU129)</f>
        <v/>
      </c>
      <c r="AW129" s="10"/>
      <c r="AX129" s="88" t="str">
        <f aca="false">IF(OR($C129="01-09",SUM($AW129)=0),"",0%)</f>
        <v/>
      </c>
      <c r="AY129" s="39" t="str">
        <f aca="false">IF(OR($C129="01-09",SUM($AW129)=0),"",ROUND($AW129*(1+$AX129),0))</f>
        <v/>
      </c>
      <c r="AZ129" s="88" t="n">
        <f aca="false">IF(OR($C129="01-09",$C129="10-14"),"",100%)</f>
        <v>1</v>
      </c>
      <c r="BA129" s="39" t="str">
        <f aca="false">IF(OR(SUM($AM129)=0,$C129="01-09",$C129="10-14"),"",$AM129*$AZ129)</f>
        <v/>
      </c>
    </row>
    <row r="130" customFormat="false" ht="15" hidden="false" customHeight="false" outlineLevel="0" collapsed="false">
      <c r="A130" s="0" t="str">
        <f aca="false">INDEX(Prioritization!$D:$D,MATCH($B130,Prioritization!$A:$A,0))</f>
        <v>INVALID</v>
      </c>
      <c r="B130" s="0" t="s">
        <v>203</v>
      </c>
      <c r="C130" s="0" t="s">
        <v>366</v>
      </c>
      <c r="D130" s="0" t="s">
        <v>48</v>
      </c>
      <c r="E130" s="0" t="str">
        <f aca="false">$B130&amp;"|"&amp;$C130&amp;"|"&amp;$D130</f>
        <v>Salima District [msW2zpIN7up]|25-34|Male</v>
      </c>
      <c r="F130" s="88" t="n">
        <f aca="false">IF(LEFT($B130,4)="_Mil","",INDEX(Cascade!$AA:$AA,MATCH($E130,Cascade!$E:$E,0)))</f>
        <v>509</v>
      </c>
      <c r="G130" s="10" t="n">
        <f aca="false">INDEX(Cascade!$BH:$BH,MATCH($E130,Cascade!$E:$E,0))</f>
        <v>0</v>
      </c>
      <c r="H130" s="10" t="str">
        <f aca="false">IF(OR($C130="01-09",$D130="Male"),"",INDEX(PMTCT!$AC:$AC,MATCH($E130,PMTCT!$E:$E,0)))</f>
        <v/>
      </c>
      <c r="I130" s="10" t="str">
        <f aca="false">IF(OR($C130="01-09",$D130="Male"),"",INDEX(PMTCT!$AS:$AS,MATCH($E130,PMTCT!$E:$E,0)))</f>
        <v/>
      </c>
      <c r="J130" s="10" t="str">
        <f aca="false">INDEX(TB!$P:$P,MATCH($E130,TB!$E:$E,0))</f>
        <v/>
      </c>
      <c r="K130" s="10" t="str">
        <f aca="false">IF(OR($C130="01-09",$C130="10-14",$D130="Female"),"",INDEX(VMMC!$AA:$AA,MATCH($E130,VMMC!$E:$E,0)))</f>
        <v/>
      </c>
      <c r="L130" s="10" t="n">
        <f aca="false">SUM($G130)-SUM($H130:$K130)</f>
        <v>0</v>
      </c>
      <c r="M130" s="88" t="str">
        <f aca="false">IF(OR($C130="01-09",$D130="Male",AND(SUM($G130)=0,SUM($H130)=0)),"",SUM($H130)/SUM($G130))</f>
        <v/>
      </c>
      <c r="N130" s="88" t="str">
        <f aca="false">IF(OR($C130="01-09",$D130="Male",AND(SUM($G130)=0,SUM($I130)=0)),"",SUM($I130)/SUM($G130))</f>
        <v/>
      </c>
      <c r="O130" s="88" t="str">
        <f aca="false">IF(AND(SUM($G130)=0,SUM($J130)=0),"",SUM($J130)/SUM($G130))</f>
        <v/>
      </c>
      <c r="P130" s="88" t="str">
        <f aca="false">IF(OR($C130="01-09",$C130="10-14",$D130="Female",AND(SUM($G130)=0,SUM($K130)=0)),"",SUM($K130)/SUM($G130))</f>
        <v/>
      </c>
      <c r="Q130" s="88"/>
      <c r="R130" s="88"/>
      <c r="S130" s="88"/>
      <c r="T130" s="88"/>
      <c r="U130" s="88"/>
      <c r="V130" s="88" t="str">
        <f aca="false">IF(SUM($G130)=0,"",SUM($M130:$U130))</f>
        <v/>
      </c>
      <c r="W130" s="88"/>
      <c r="X130" s="39" t="str">
        <f aca="false">IF(OR(SUM($G130)=0,SUM($Q130)=0),"",ROUND(SUM($G130)*SUM($Q130),0))</f>
        <v/>
      </c>
      <c r="Y130" s="39" t="str">
        <f aca="false">IF(SUM($X130)=0,"",IF(SUM($W130)=0,"ENTER YIELD",ROUND($X130/$W130,0)-$X130))</f>
        <v/>
      </c>
      <c r="Z130" s="88"/>
      <c r="AA130" s="39" t="str">
        <f aca="false">IF(OR(SUM($G130)=0,SUM($R130)=0),"",ROUND(SUM($G130)*SUM($R130),0))</f>
        <v/>
      </c>
      <c r="AB130" s="39" t="str">
        <f aca="false">IF(SUM($AA130)=0,"",IF(SUM($Z130)=0,"ENTER YIELD",ROUND($AA130/$Z130,0)-$AA130))</f>
        <v/>
      </c>
      <c r="AC130" s="88"/>
      <c r="AD130" s="39" t="str">
        <f aca="false">IF(OR(SUM($G130)=0,SUM($S130)=0),"",ROUND(SUM($G130)*SUM($S130),0))</f>
        <v/>
      </c>
      <c r="AE130" s="39" t="str">
        <f aca="false">IF(SUM($AD130)=0,"",IF(SUM($AC130)=0,"ENTER YIELD",ROUND($AD130/$AC130,0)-$AD130))</f>
        <v/>
      </c>
      <c r="AF130" s="88"/>
      <c r="AG130" s="39" t="str">
        <f aca="false">IF(OR(SUM($G130)=0,SUM($T130)=0),"",ROUND(SUM($G130)*SUM($T130),0))</f>
        <v/>
      </c>
      <c r="AH130" s="39" t="str">
        <f aca="false">IF(SUM($AG130)=0,"",IF(SUM($AF130)=0,"ENTER YIELD",ROUND($AG130/$AF130,0)-$AG130))</f>
        <v/>
      </c>
      <c r="AI130" s="88"/>
      <c r="AJ130" s="39" t="str">
        <f aca="false">IF(OR(SUM($G130)=0,SUM($U130)=0),"",ROUND(SUM($G130)*SUM($U130),0))</f>
        <v/>
      </c>
      <c r="AK130" s="39" t="str">
        <f aca="false">IF(SUM($AJ130)=0,"",IF(SUM($AI130)=0,"ENTER YIELD",ROUND($AJ130/$AI130,0)-$AJ130))</f>
        <v/>
      </c>
      <c r="AL130" s="10" t="str">
        <f aca="false">IF(SUM($G130)=0,"",$G130)</f>
        <v/>
      </c>
      <c r="AM130" s="10" t="str">
        <f aca="false">IFERROR(1/(1/SUM($H130:$K130,$X130,$AA130,$AD130,$AG130,$AJ130)),"")</f>
        <v/>
      </c>
      <c r="AN130" s="10" t="str">
        <f aca="false">IF(AND(SUM($AM130)=0,SUM($AL130)=0),"",$AM130-$AL130)</f>
        <v/>
      </c>
      <c r="AO130" s="10" t="str">
        <f aca="false">IF(OR($C130="01-09",$D130="Male"),"",INDEX(PMTCT!$AD:$AD,MATCH($E130,PMTCT!$E:$E,0)))</f>
        <v/>
      </c>
      <c r="AP130" s="10" t="str">
        <f aca="false">IF(OR($C130="01-09",$D130="Male"),"",INDEX(PMTCT!$AT:$AT,MATCH($E130,PMTCT!$E:$E,0)))</f>
        <v/>
      </c>
      <c r="AQ130" s="10" t="str">
        <f aca="false">INDEX(TB!$Q:$Q,MATCH($E130,TB!$E:$E,0))</f>
        <v/>
      </c>
      <c r="AR130" s="10" t="str">
        <f aca="false">IF(OR($C130="01-09",$C130="10-14",$D130="Female"),"",INDEX(VMMC!$AB:$AB,MATCH($E130,VMMC!$E:$E,0)))</f>
        <v/>
      </c>
      <c r="AS130" s="10" t="str">
        <f aca="false">IF(OR($C130="01-09",$C130="10-14"),"",INDEX(PrEP!$Q:$Q,MATCH($E130,PrEP!$E:$E,0)))</f>
        <v/>
      </c>
      <c r="AT130" s="10" t="str">
        <f aca="false">IFERROR(1/(1/SUM($Y130,$AB130,$AE130,$AH130,$AK130,$AO130:$AS130)),"")</f>
        <v/>
      </c>
      <c r="AU130" s="10" t="str">
        <f aca="false">IFERROR(1/(1/SUM($AT130,$AM130)),"")</f>
        <v/>
      </c>
      <c r="AV130" s="88" t="str">
        <f aca="false">IF(AND(SUM($AM130)=0,SUM($AU130)=0),"",$AM130/$AU130)</f>
        <v/>
      </c>
      <c r="AW130" s="10"/>
      <c r="AX130" s="88" t="str">
        <f aca="false">IF(OR($C130="01-09",SUM($AW130)=0),"",0%)</f>
        <v/>
      </c>
      <c r="AY130" s="39" t="str">
        <f aca="false">IF(OR($C130="01-09",SUM($AW130)=0),"",ROUND($AW130*(1+$AX130),0))</f>
        <v/>
      </c>
      <c r="AZ130" s="88" t="n">
        <f aca="false">IF(OR($C130="01-09",$C130="10-14"),"",100%)</f>
        <v>1</v>
      </c>
      <c r="BA130" s="39" t="str">
        <f aca="false">IF(OR(SUM($AM130)=0,$C130="01-09",$C130="10-14"),"",$AM130*$AZ130)</f>
        <v/>
      </c>
    </row>
    <row r="131" customFormat="false" ht="15" hidden="false" customHeight="false" outlineLevel="0" collapsed="false">
      <c r="A131" s="0" t="str">
        <f aca="false">INDEX(Prioritization!$D:$D,MATCH($B131,Prioritization!$A:$A,0))</f>
        <v>INVALID</v>
      </c>
      <c r="B131" s="0" t="s">
        <v>203</v>
      </c>
      <c r="C131" s="0" t="s">
        <v>367</v>
      </c>
      <c r="D131" s="0" t="s">
        <v>30</v>
      </c>
      <c r="E131" s="0" t="str">
        <f aca="false">$B131&amp;"|"&amp;$C131&amp;"|"&amp;$D131</f>
        <v>Salima District [msW2zpIN7up]|35-49|Female</v>
      </c>
      <c r="F131" s="88" t="n">
        <f aca="false">IF(LEFT($B131,4)="_Mil","",INDEX(Cascade!$AA:$AA,MATCH($E131,Cascade!$E:$E,0)))</f>
        <v>1206</v>
      </c>
      <c r="G131" s="10" t="n">
        <f aca="false">INDEX(Cascade!$BH:$BH,MATCH($E131,Cascade!$E:$E,0))</f>
        <v>0</v>
      </c>
      <c r="H131" s="10" t="str">
        <f aca="false">IF(OR($C131="01-09",$D131="Male"),"",INDEX(PMTCT!$AC:$AC,MATCH($E131,PMTCT!$E:$E,0)))</f>
        <v/>
      </c>
      <c r="I131" s="10" t="str">
        <f aca="false">IF(OR($C131="01-09",$D131="Male"),"",INDEX(PMTCT!$AS:$AS,MATCH($E131,PMTCT!$E:$E,0)))</f>
        <v/>
      </c>
      <c r="J131" s="10" t="str">
        <f aca="false">INDEX(TB!$P:$P,MATCH($E131,TB!$E:$E,0))</f>
        <v/>
      </c>
      <c r="K131" s="10" t="str">
        <f aca="false">IF(OR($C131="01-09",$C131="10-14",$D131="Female"),"",INDEX(VMMC!$AA:$AA,MATCH($E131,VMMC!$E:$E,0)))</f>
        <v/>
      </c>
      <c r="L131" s="10" t="n">
        <f aca="false">SUM($G131)-SUM($H131:$K131)</f>
        <v>0</v>
      </c>
      <c r="M131" s="88" t="str">
        <f aca="false">IF(OR($C131="01-09",$D131="Male",AND(SUM($G131)=0,SUM($H131)=0)),"",SUM($H131)/SUM($G131))</f>
        <v/>
      </c>
      <c r="N131" s="88" t="str">
        <f aca="false">IF(OR($C131="01-09",$D131="Male",AND(SUM($G131)=0,SUM($I131)=0)),"",SUM($I131)/SUM($G131))</f>
        <v/>
      </c>
      <c r="O131" s="88" t="str">
        <f aca="false">IF(AND(SUM($G131)=0,SUM($J131)=0),"",SUM($J131)/SUM($G131))</f>
        <v/>
      </c>
      <c r="P131" s="88" t="str">
        <f aca="false">IF(OR($C131="01-09",$C131="10-14",$D131="Female",AND(SUM($G131)=0,SUM($K131)=0)),"",SUM($K131)/SUM($G131))</f>
        <v/>
      </c>
      <c r="Q131" s="88"/>
      <c r="R131" s="88"/>
      <c r="S131" s="88"/>
      <c r="T131" s="88"/>
      <c r="U131" s="88"/>
      <c r="V131" s="88" t="str">
        <f aca="false">IF(SUM($G131)=0,"",SUM($M131:$U131))</f>
        <v/>
      </c>
      <c r="W131" s="88"/>
      <c r="X131" s="39" t="str">
        <f aca="false">IF(OR(SUM($G131)=0,SUM($Q131)=0),"",ROUND(SUM($G131)*SUM($Q131),0))</f>
        <v/>
      </c>
      <c r="Y131" s="39" t="str">
        <f aca="false">IF(SUM($X131)=0,"",IF(SUM($W131)=0,"ENTER YIELD",ROUND($X131/$W131,0)-$X131))</f>
        <v/>
      </c>
      <c r="Z131" s="88"/>
      <c r="AA131" s="39" t="str">
        <f aca="false">IF(OR(SUM($G131)=0,SUM($R131)=0),"",ROUND(SUM($G131)*SUM($R131),0))</f>
        <v/>
      </c>
      <c r="AB131" s="39" t="str">
        <f aca="false">IF(SUM($AA131)=0,"",IF(SUM($Z131)=0,"ENTER YIELD",ROUND($AA131/$Z131,0)-$AA131))</f>
        <v/>
      </c>
      <c r="AC131" s="88"/>
      <c r="AD131" s="39" t="str">
        <f aca="false">IF(OR(SUM($G131)=0,SUM($S131)=0),"",ROUND(SUM($G131)*SUM($S131),0))</f>
        <v/>
      </c>
      <c r="AE131" s="39" t="str">
        <f aca="false">IF(SUM($AD131)=0,"",IF(SUM($AC131)=0,"ENTER YIELD",ROUND($AD131/$AC131,0)-$AD131))</f>
        <v/>
      </c>
      <c r="AF131" s="88"/>
      <c r="AG131" s="39" t="str">
        <f aca="false">IF(OR(SUM($G131)=0,SUM($T131)=0),"",ROUND(SUM($G131)*SUM($T131),0))</f>
        <v/>
      </c>
      <c r="AH131" s="39" t="str">
        <f aca="false">IF(SUM($AG131)=0,"",IF(SUM($AF131)=0,"ENTER YIELD",ROUND($AG131/$AF131,0)-$AG131))</f>
        <v/>
      </c>
      <c r="AI131" s="88"/>
      <c r="AJ131" s="39" t="str">
        <f aca="false">IF(OR(SUM($G131)=0,SUM($U131)=0),"",ROUND(SUM($G131)*SUM($U131),0))</f>
        <v/>
      </c>
      <c r="AK131" s="39" t="str">
        <f aca="false">IF(SUM($AJ131)=0,"",IF(SUM($AI131)=0,"ENTER YIELD",ROUND($AJ131/$AI131,0)-$AJ131))</f>
        <v/>
      </c>
      <c r="AL131" s="10" t="str">
        <f aca="false">IF(SUM($G131)=0,"",$G131)</f>
        <v/>
      </c>
      <c r="AM131" s="10" t="str">
        <f aca="false">IFERROR(1/(1/SUM($H131:$K131,$X131,$AA131,$AD131,$AG131,$AJ131)),"")</f>
        <v/>
      </c>
      <c r="AN131" s="10" t="str">
        <f aca="false">IF(AND(SUM($AM131)=0,SUM($AL131)=0),"",$AM131-$AL131)</f>
        <v/>
      </c>
      <c r="AO131" s="10" t="str">
        <f aca="false">IF(OR($C131="01-09",$D131="Male"),"",INDEX(PMTCT!$AD:$AD,MATCH($E131,PMTCT!$E:$E,0)))</f>
        <v/>
      </c>
      <c r="AP131" s="10" t="str">
        <f aca="false">IF(OR($C131="01-09",$D131="Male"),"",INDEX(PMTCT!$AT:$AT,MATCH($E131,PMTCT!$E:$E,0)))</f>
        <v/>
      </c>
      <c r="AQ131" s="10" t="str">
        <f aca="false">INDEX(TB!$Q:$Q,MATCH($E131,TB!$E:$E,0))</f>
        <v/>
      </c>
      <c r="AR131" s="10" t="str">
        <f aca="false">IF(OR($C131="01-09",$C131="10-14",$D131="Female"),"",INDEX(VMMC!$AB:$AB,MATCH($E131,VMMC!$E:$E,0)))</f>
        <v/>
      </c>
      <c r="AS131" s="10" t="str">
        <f aca="false">IF(OR($C131="01-09",$C131="10-14"),"",INDEX(PrEP!$Q:$Q,MATCH($E131,PrEP!$E:$E,0)))</f>
        <v/>
      </c>
      <c r="AT131" s="10" t="str">
        <f aca="false">IFERROR(1/(1/SUM($Y131,$AB131,$AE131,$AH131,$AK131,$AO131:$AS131)),"")</f>
        <v/>
      </c>
      <c r="AU131" s="10" t="str">
        <f aca="false">IFERROR(1/(1/SUM($AT131,$AM131)),"")</f>
        <v/>
      </c>
      <c r="AV131" s="88" t="str">
        <f aca="false">IF(AND(SUM($AM131)=0,SUM($AU131)=0),"",$AM131/$AU131)</f>
        <v/>
      </c>
      <c r="AW131" s="10"/>
      <c r="AX131" s="88" t="str">
        <f aca="false">IF(OR($C131="01-09",SUM($AW131)=0),"",0%)</f>
        <v/>
      </c>
      <c r="AY131" s="39" t="str">
        <f aca="false">IF(OR($C131="01-09",SUM($AW131)=0),"",ROUND($AW131*(1+$AX131),0))</f>
        <v/>
      </c>
      <c r="AZ131" s="88" t="n">
        <f aca="false">IF(OR($C131="01-09",$C131="10-14"),"",100%)</f>
        <v>1</v>
      </c>
      <c r="BA131" s="39" t="str">
        <f aca="false">IF(OR(SUM($AM131)=0,$C131="01-09",$C131="10-14"),"",$AM131*$AZ131)</f>
        <v/>
      </c>
    </row>
    <row r="132" customFormat="false" ht="15" hidden="false" customHeight="false" outlineLevel="0" collapsed="false">
      <c r="A132" s="0" t="str">
        <f aca="false">INDEX(Prioritization!$D:$D,MATCH($B132,Prioritization!$A:$A,0))</f>
        <v>INVALID</v>
      </c>
      <c r="B132" s="0" t="s">
        <v>203</v>
      </c>
      <c r="C132" s="0" t="s">
        <v>367</v>
      </c>
      <c r="D132" s="0" t="s">
        <v>48</v>
      </c>
      <c r="E132" s="0" t="str">
        <f aca="false">$B132&amp;"|"&amp;$C132&amp;"|"&amp;$D132</f>
        <v>Salima District [msW2zpIN7up]|35-49|Male</v>
      </c>
      <c r="F132" s="88" t="n">
        <f aca="false">IF(LEFT($B132,4)="_Mil","",INDEX(Cascade!$AA:$AA,MATCH($E132,Cascade!$E:$E,0)))</f>
        <v>1338</v>
      </c>
      <c r="G132" s="10" t="n">
        <f aca="false">INDEX(Cascade!$BH:$BH,MATCH($E132,Cascade!$E:$E,0))</f>
        <v>0</v>
      </c>
      <c r="H132" s="10" t="str">
        <f aca="false">IF(OR($C132="01-09",$D132="Male"),"",INDEX(PMTCT!$AC:$AC,MATCH($E132,PMTCT!$E:$E,0)))</f>
        <v/>
      </c>
      <c r="I132" s="10" t="str">
        <f aca="false">IF(OR($C132="01-09",$D132="Male"),"",INDEX(PMTCT!$AS:$AS,MATCH($E132,PMTCT!$E:$E,0)))</f>
        <v/>
      </c>
      <c r="J132" s="10" t="str">
        <f aca="false">INDEX(TB!$P:$P,MATCH($E132,TB!$E:$E,0))</f>
        <v/>
      </c>
      <c r="K132" s="10" t="str">
        <f aca="false">IF(OR($C132="01-09",$C132="10-14",$D132="Female"),"",INDEX(VMMC!$AA:$AA,MATCH($E132,VMMC!$E:$E,0)))</f>
        <v/>
      </c>
      <c r="L132" s="10" t="n">
        <f aca="false">SUM($G132)-SUM($H132:$K132)</f>
        <v>0</v>
      </c>
      <c r="M132" s="88" t="str">
        <f aca="false">IF(OR($C132="01-09",$D132="Male",AND(SUM($G132)=0,SUM($H132)=0)),"",SUM($H132)/SUM($G132))</f>
        <v/>
      </c>
      <c r="N132" s="88" t="str">
        <f aca="false">IF(OR($C132="01-09",$D132="Male",AND(SUM($G132)=0,SUM($I132)=0)),"",SUM($I132)/SUM($G132))</f>
        <v/>
      </c>
      <c r="O132" s="88" t="str">
        <f aca="false">IF(AND(SUM($G132)=0,SUM($J132)=0),"",SUM($J132)/SUM($G132))</f>
        <v/>
      </c>
      <c r="P132" s="88" t="str">
        <f aca="false">IF(OR($C132="01-09",$C132="10-14",$D132="Female",AND(SUM($G132)=0,SUM($K132)=0)),"",SUM($K132)/SUM($G132))</f>
        <v/>
      </c>
      <c r="Q132" s="88"/>
      <c r="R132" s="88"/>
      <c r="S132" s="88"/>
      <c r="T132" s="88"/>
      <c r="U132" s="88"/>
      <c r="V132" s="88" t="str">
        <f aca="false">IF(SUM($G132)=0,"",SUM($M132:$U132))</f>
        <v/>
      </c>
      <c r="W132" s="88"/>
      <c r="X132" s="39" t="str">
        <f aca="false">IF(OR(SUM($G132)=0,SUM($Q132)=0),"",ROUND(SUM($G132)*SUM($Q132),0))</f>
        <v/>
      </c>
      <c r="Y132" s="39" t="str">
        <f aca="false">IF(SUM($X132)=0,"",IF(SUM($W132)=0,"ENTER YIELD",ROUND($X132/$W132,0)-$X132))</f>
        <v/>
      </c>
      <c r="Z132" s="88"/>
      <c r="AA132" s="39" t="str">
        <f aca="false">IF(OR(SUM($G132)=0,SUM($R132)=0),"",ROUND(SUM($G132)*SUM($R132),0))</f>
        <v/>
      </c>
      <c r="AB132" s="39" t="str">
        <f aca="false">IF(SUM($AA132)=0,"",IF(SUM($Z132)=0,"ENTER YIELD",ROUND($AA132/$Z132,0)-$AA132))</f>
        <v/>
      </c>
      <c r="AC132" s="88"/>
      <c r="AD132" s="39" t="str">
        <f aca="false">IF(OR(SUM($G132)=0,SUM($S132)=0),"",ROUND(SUM($G132)*SUM($S132),0))</f>
        <v/>
      </c>
      <c r="AE132" s="39" t="str">
        <f aca="false">IF(SUM($AD132)=0,"",IF(SUM($AC132)=0,"ENTER YIELD",ROUND($AD132/$AC132,0)-$AD132))</f>
        <v/>
      </c>
      <c r="AF132" s="88"/>
      <c r="AG132" s="39" t="str">
        <f aca="false">IF(OR(SUM($G132)=0,SUM($T132)=0),"",ROUND(SUM($G132)*SUM($T132),0))</f>
        <v/>
      </c>
      <c r="AH132" s="39" t="str">
        <f aca="false">IF(SUM($AG132)=0,"",IF(SUM($AF132)=0,"ENTER YIELD",ROUND($AG132/$AF132,0)-$AG132))</f>
        <v/>
      </c>
      <c r="AI132" s="88"/>
      <c r="AJ132" s="39" t="str">
        <f aca="false">IF(OR(SUM($G132)=0,SUM($U132)=0),"",ROUND(SUM($G132)*SUM($U132),0))</f>
        <v/>
      </c>
      <c r="AK132" s="39" t="str">
        <f aca="false">IF(SUM($AJ132)=0,"",IF(SUM($AI132)=0,"ENTER YIELD",ROUND($AJ132/$AI132,0)-$AJ132))</f>
        <v/>
      </c>
      <c r="AL132" s="10" t="str">
        <f aca="false">IF(SUM($G132)=0,"",$G132)</f>
        <v/>
      </c>
      <c r="AM132" s="10" t="str">
        <f aca="false">IFERROR(1/(1/SUM($H132:$K132,$X132,$AA132,$AD132,$AG132,$AJ132)),"")</f>
        <v/>
      </c>
      <c r="AN132" s="10" t="str">
        <f aca="false">IF(AND(SUM($AM132)=0,SUM($AL132)=0),"",$AM132-$AL132)</f>
        <v/>
      </c>
      <c r="AO132" s="10" t="str">
        <f aca="false">IF(OR($C132="01-09",$D132="Male"),"",INDEX(PMTCT!$AD:$AD,MATCH($E132,PMTCT!$E:$E,0)))</f>
        <v/>
      </c>
      <c r="AP132" s="10" t="str">
        <f aca="false">IF(OR($C132="01-09",$D132="Male"),"",INDEX(PMTCT!$AT:$AT,MATCH($E132,PMTCT!$E:$E,0)))</f>
        <v/>
      </c>
      <c r="AQ132" s="10" t="str">
        <f aca="false">INDEX(TB!$Q:$Q,MATCH($E132,TB!$E:$E,0))</f>
        <v/>
      </c>
      <c r="AR132" s="10" t="str">
        <f aca="false">IF(OR($C132="01-09",$C132="10-14",$D132="Female"),"",INDEX(VMMC!$AB:$AB,MATCH($E132,VMMC!$E:$E,0)))</f>
        <v/>
      </c>
      <c r="AS132" s="10" t="str">
        <f aca="false">IF(OR($C132="01-09",$C132="10-14"),"",INDEX(PrEP!$Q:$Q,MATCH($E132,PrEP!$E:$E,0)))</f>
        <v/>
      </c>
      <c r="AT132" s="10" t="str">
        <f aca="false">IFERROR(1/(1/SUM($Y132,$AB132,$AE132,$AH132,$AK132,$AO132:$AS132)),"")</f>
        <v/>
      </c>
      <c r="AU132" s="10" t="str">
        <f aca="false">IFERROR(1/(1/SUM($AT132,$AM132)),"")</f>
        <v/>
      </c>
      <c r="AV132" s="88" t="str">
        <f aca="false">IF(AND(SUM($AM132)=0,SUM($AU132)=0),"",$AM132/$AU132)</f>
        <v/>
      </c>
      <c r="AW132" s="10"/>
      <c r="AX132" s="88" t="str">
        <f aca="false">IF(OR($C132="01-09",SUM($AW132)=0),"",0%)</f>
        <v/>
      </c>
      <c r="AY132" s="39" t="str">
        <f aca="false">IF(OR($C132="01-09",SUM($AW132)=0),"",ROUND($AW132*(1+$AX132),0))</f>
        <v/>
      </c>
      <c r="AZ132" s="88" t="n">
        <f aca="false">IF(OR($C132="01-09",$C132="10-14"),"",100%)</f>
        <v>1</v>
      </c>
      <c r="BA132" s="39" t="str">
        <f aca="false">IF(OR(SUM($AM132)=0,$C132="01-09",$C132="10-14"),"",$AM132*$AZ132)</f>
        <v/>
      </c>
    </row>
    <row r="133" customFormat="false" ht="15" hidden="false" customHeight="false" outlineLevel="0" collapsed="false">
      <c r="A133" s="0" t="str">
        <f aca="false">INDEX(Prioritization!$D:$D,MATCH($B133,Prioritization!$A:$A,0))</f>
        <v>INVALID</v>
      </c>
      <c r="B133" s="0" t="s">
        <v>203</v>
      </c>
      <c r="C133" s="0" t="s">
        <v>368</v>
      </c>
      <c r="D133" s="0" t="s">
        <v>30</v>
      </c>
      <c r="E133" s="0" t="str">
        <f aca="false">$B133&amp;"|"&amp;$C133&amp;"|"&amp;$D133</f>
        <v>Salima District [msW2zpIN7up]|50+|Female</v>
      </c>
      <c r="F133" s="88" t="n">
        <f aca="false">IF(LEFT($B133,4)="_Mil","",INDEX(Cascade!$AA:$AA,MATCH($E133,Cascade!$E:$E,0)))</f>
        <v>1991</v>
      </c>
      <c r="G133" s="10" t="n">
        <f aca="false">INDEX(Cascade!$BH:$BH,MATCH($E133,Cascade!$E:$E,0))</f>
        <v>0</v>
      </c>
      <c r="H133" s="10" t="str">
        <f aca="false">IF(OR($C133="01-09",$D133="Male"),"",INDEX(PMTCT!$AC:$AC,MATCH($E133,PMTCT!$E:$E,0)))</f>
        <v/>
      </c>
      <c r="I133" s="10" t="str">
        <f aca="false">IF(OR($C133="01-09",$D133="Male"),"",INDEX(PMTCT!$AS:$AS,MATCH($E133,PMTCT!$E:$E,0)))</f>
        <v/>
      </c>
      <c r="J133" s="10" t="str">
        <f aca="false">INDEX(TB!$P:$P,MATCH($E133,TB!$E:$E,0))</f>
        <v/>
      </c>
      <c r="K133" s="10" t="str">
        <f aca="false">IF(OR($C133="01-09",$C133="10-14",$D133="Female"),"",INDEX(VMMC!$AA:$AA,MATCH($E133,VMMC!$E:$E,0)))</f>
        <v/>
      </c>
      <c r="L133" s="10" t="n">
        <f aca="false">SUM($G133)-SUM($H133:$K133)</f>
        <v>0</v>
      </c>
      <c r="M133" s="88" t="str">
        <f aca="false">IF(OR($C133="01-09",$D133="Male",AND(SUM($G133)=0,SUM($H133)=0)),"",SUM($H133)/SUM($G133))</f>
        <v/>
      </c>
      <c r="N133" s="88" t="str">
        <f aca="false">IF(OR($C133="01-09",$D133="Male",AND(SUM($G133)=0,SUM($I133)=0)),"",SUM($I133)/SUM($G133))</f>
        <v/>
      </c>
      <c r="O133" s="88" t="str">
        <f aca="false">IF(AND(SUM($G133)=0,SUM($J133)=0),"",SUM($J133)/SUM($G133))</f>
        <v/>
      </c>
      <c r="P133" s="88" t="str">
        <f aca="false">IF(OR($C133="01-09",$C133="10-14",$D133="Female",AND(SUM($G133)=0,SUM($K133)=0)),"",SUM($K133)/SUM($G133))</f>
        <v/>
      </c>
      <c r="Q133" s="88"/>
      <c r="R133" s="88"/>
      <c r="S133" s="88"/>
      <c r="T133" s="88"/>
      <c r="U133" s="88" t="n">
        <v>0.192650827812031</v>
      </c>
      <c r="V133" s="88" t="str">
        <f aca="false">IF(SUM($G133)=0,"",SUM($M133:$U133))</f>
        <v/>
      </c>
      <c r="W133" s="88"/>
      <c r="X133" s="39" t="str">
        <f aca="false">IF(OR(SUM($G133)=0,SUM($Q133)=0),"",ROUND(SUM($G133)*SUM($Q133),0))</f>
        <v/>
      </c>
      <c r="Y133" s="39" t="str">
        <f aca="false">IF(SUM($X133)=0,"",IF(SUM($W133)=0,"ENTER YIELD",ROUND($X133/$W133,0)-$X133))</f>
        <v/>
      </c>
      <c r="Z133" s="88"/>
      <c r="AA133" s="39" t="str">
        <f aca="false">IF(OR(SUM($G133)=0,SUM($R133)=0),"",ROUND(SUM($G133)*SUM($R133),0))</f>
        <v/>
      </c>
      <c r="AB133" s="39" t="str">
        <f aca="false">IF(SUM($AA133)=0,"",IF(SUM($Z133)=0,"ENTER YIELD",ROUND($AA133/$Z133,0)-$AA133))</f>
        <v/>
      </c>
      <c r="AC133" s="88"/>
      <c r="AD133" s="39" t="str">
        <f aca="false">IF(OR(SUM($G133)=0,SUM($S133)=0),"",ROUND(SUM($G133)*SUM($S133),0))</f>
        <v/>
      </c>
      <c r="AE133" s="39" t="str">
        <f aca="false">IF(SUM($AD133)=0,"",IF(SUM($AC133)=0,"ENTER YIELD",ROUND($AD133/$AC133,0)-$AD133))</f>
        <v/>
      </c>
      <c r="AF133" s="88"/>
      <c r="AG133" s="39" t="str">
        <f aca="false">IF(OR(SUM($G133)=0,SUM($T133)=0),"",ROUND(SUM($G133)*SUM($T133),0))</f>
        <v/>
      </c>
      <c r="AH133" s="39" t="str">
        <f aca="false">IF(SUM($AG133)=0,"",IF(SUM($AF133)=0,"ENTER YIELD",ROUND($AG133/$AF133,0)-$AG133))</f>
        <v/>
      </c>
      <c r="AI133" s="88" t="n">
        <v>0.635068218456581</v>
      </c>
      <c r="AJ133" s="39" t="str">
        <f aca="false">IF(OR(SUM($G133)=0,SUM($U133)=0),"",ROUND(SUM($G133)*SUM($U133),0))</f>
        <v/>
      </c>
      <c r="AK133" s="39" t="str">
        <f aca="false">IF(SUM($AJ133)=0,"",IF(SUM($AI133)=0,"ENTER YIELD",ROUND($AJ133/$AI133,0)-$AJ133))</f>
        <v/>
      </c>
      <c r="AL133" s="10" t="str">
        <f aca="false">IF(SUM($G133)=0,"",$G133)</f>
        <v/>
      </c>
      <c r="AM133" s="10" t="str">
        <f aca="false">IFERROR(1/(1/SUM($H133:$K133,$X133,$AA133,$AD133,$AG133,$AJ133)),"")</f>
        <v/>
      </c>
      <c r="AN133" s="10" t="str">
        <f aca="false">IF(AND(SUM($AM133)=0,SUM($AL133)=0),"",$AM133-$AL133)</f>
        <v/>
      </c>
      <c r="AO133" s="10" t="str">
        <f aca="false">IF(OR($C133="01-09",$D133="Male"),"",INDEX(PMTCT!$AD:$AD,MATCH($E133,PMTCT!$E:$E,0)))</f>
        <v/>
      </c>
      <c r="AP133" s="10" t="str">
        <f aca="false">IF(OR($C133="01-09",$D133="Male"),"",INDEX(PMTCT!$AT:$AT,MATCH($E133,PMTCT!$E:$E,0)))</f>
        <v/>
      </c>
      <c r="AQ133" s="10" t="str">
        <f aca="false">INDEX(TB!$Q:$Q,MATCH($E133,TB!$E:$E,0))</f>
        <v/>
      </c>
      <c r="AR133" s="10" t="str">
        <f aca="false">IF(OR($C133="01-09",$C133="10-14",$D133="Female"),"",INDEX(VMMC!$AB:$AB,MATCH($E133,VMMC!$E:$E,0)))</f>
        <v/>
      </c>
      <c r="AS133" s="10" t="str">
        <f aca="false">IF(OR($C133="01-09",$C133="10-14"),"",INDEX(PrEP!$Q:$Q,MATCH($E133,PrEP!$E:$E,0)))</f>
        <v/>
      </c>
      <c r="AT133" s="10" t="str">
        <f aca="false">IFERROR(1/(1/SUM($Y133,$AB133,$AE133,$AH133,$AK133,$AO133:$AS133)),"")</f>
        <v/>
      </c>
      <c r="AU133" s="10" t="str">
        <f aca="false">IFERROR(1/(1/SUM($AT133,$AM133)),"")</f>
        <v/>
      </c>
      <c r="AV133" s="88" t="str">
        <f aca="false">IF(AND(SUM($AM133)=0,SUM($AU133)=0),"",$AM133/$AU133)</f>
        <v/>
      </c>
      <c r="AW133" s="10" t="n">
        <v>81</v>
      </c>
      <c r="AX133" s="88" t="n">
        <f aca="false">IF(OR($C133="01-09",SUM($AW133)=0),"",0%)</f>
        <v>0</v>
      </c>
      <c r="AY133" s="39" t="n">
        <f aca="false">IF(OR($C133="01-09",SUM($AW133)=0),"",ROUND($AW133*(1+$AX133),0))</f>
        <v>81</v>
      </c>
      <c r="AZ133" s="88" t="n">
        <f aca="false">IF(OR($C133="01-09",$C133="10-14"),"",100%)</f>
        <v>1</v>
      </c>
      <c r="BA133" s="39" t="str">
        <f aca="false">IF(OR(SUM($AM133)=0,$C133="01-09",$C133="10-14"),"",$AM133*$AZ133)</f>
        <v/>
      </c>
    </row>
    <row r="134" customFormat="false" ht="15" hidden="false" customHeight="false" outlineLevel="0" collapsed="false">
      <c r="A134" s="0" t="str">
        <f aca="false">INDEX(Prioritization!$D:$D,MATCH($B134,Prioritization!$A:$A,0))</f>
        <v>INVALID</v>
      </c>
      <c r="B134" s="0" t="s">
        <v>203</v>
      </c>
      <c r="C134" s="0" t="s">
        <v>368</v>
      </c>
      <c r="D134" s="0" t="s">
        <v>48</v>
      </c>
      <c r="E134" s="0" t="str">
        <f aca="false">$B134&amp;"|"&amp;$C134&amp;"|"&amp;$D134</f>
        <v>Salima District [msW2zpIN7up]|50+|Male</v>
      </c>
      <c r="F134" s="88" t="n">
        <f aca="false">IF(LEFT($B134,4)="_Mil","",INDEX(Cascade!$AA:$AA,MATCH($E134,Cascade!$E:$E,0)))</f>
        <v>716</v>
      </c>
      <c r="G134" s="10" t="n">
        <f aca="false">INDEX(Cascade!$BH:$BH,MATCH($E134,Cascade!$E:$E,0))</f>
        <v>0</v>
      </c>
      <c r="H134" s="10" t="str">
        <f aca="false">IF(OR($C134="01-09",$D134="Male"),"",INDEX(PMTCT!$AC:$AC,MATCH($E134,PMTCT!$E:$E,0)))</f>
        <v/>
      </c>
      <c r="I134" s="10" t="str">
        <f aca="false">IF(OR($C134="01-09",$D134="Male"),"",INDEX(PMTCT!$AS:$AS,MATCH($E134,PMTCT!$E:$E,0)))</f>
        <v/>
      </c>
      <c r="J134" s="10" t="str">
        <f aca="false">INDEX(TB!$P:$P,MATCH($E134,TB!$E:$E,0))</f>
        <v/>
      </c>
      <c r="K134" s="10" t="str">
        <f aca="false">IF(OR($C134="01-09",$C134="10-14",$D134="Female"),"",INDEX(VMMC!$AA:$AA,MATCH($E134,VMMC!$E:$E,0)))</f>
        <v/>
      </c>
      <c r="L134" s="10" t="n">
        <f aca="false">SUM($G134)-SUM($H134:$K134)</f>
        <v>0</v>
      </c>
      <c r="M134" s="88" t="str">
        <f aca="false">IF(OR($C134="01-09",$D134="Male",AND(SUM($G134)=0,SUM($H134)=0)),"",SUM($H134)/SUM($G134))</f>
        <v/>
      </c>
      <c r="N134" s="88" t="str">
        <f aca="false">IF(OR($C134="01-09",$D134="Male",AND(SUM($G134)=0,SUM($I134)=0)),"",SUM($I134)/SUM($G134))</f>
        <v/>
      </c>
      <c r="O134" s="88" t="str">
        <f aca="false">IF(AND(SUM($G134)=0,SUM($J134)=0),"",SUM($J134)/SUM($G134))</f>
        <v/>
      </c>
      <c r="P134" s="88" t="str">
        <f aca="false">IF(OR($C134="01-09",$C134="10-14",$D134="Female",AND(SUM($G134)=0,SUM($K134)=0)),"",SUM($K134)/SUM($G134))</f>
        <v/>
      </c>
      <c r="Q134" s="88"/>
      <c r="R134" s="88"/>
      <c r="S134" s="88"/>
      <c r="T134" s="88"/>
      <c r="U134" s="88" t="n">
        <v>0.638942450284958</v>
      </c>
      <c r="V134" s="88" t="str">
        <f aca="false">IF(SUM($G134)=0,"",SUM($M134:$U134))</f>
        <v/>
      </c>
      <c r="W134" s="88"/>
      <c r="X134" s="39" t="str">
        <f aca="false">IF(OR(SUM($G134)=0,SUM($Q134)=0),"",ROUND(SUM($G134)*SUM($Q134),0))</f>
        <v/>
      </c>
      <c r="Y134" s="39" t="str">
        <f aca="false">IF(SUM($X134)=0,"",IF(SUM($W134)=0,"ENTER YIELD",ROUND($X134/$W134,0)-$X134))</f>
        <v/>
      </c>
      <c r="Z134" s="88"/>
      <c r="AA134" s="39" t="str">
        <f aca="false">IF(OR(SUM($G134)=0,SUM($R134)=0),"",ROUND(SUM($G134)*SUM($R134),0))</f>
        <v/>
      </c>
      <c r="AB134" s="39" t="str">
        <f aca="false">IF(SUM($AA134)=0,"",IF(SUM($Z134)=0,"ENTER YIELD",ROUND($AA134/$Z134,0)-$AA134))</f>
        <v/>
      </c>
      <c r="AC134" s="88"/>
      <c r="AD134" s="39" t="str">
        <f aca="false">IF(OR(SUM($G134)=0,SUM($S134)=0),"",ROUND(SUM($G134)*SUM($S134),0))</f>
        <v/>
      </c>
      <c r="AE134" s="39" t="str">
        <f aca="false">IF(SUM($AD134)=0,"",IF(SUM($AC134)=0,"ENTER YIELD",ROUND($AD134/$AC134,0)-$AD134))</f>
        <v/>
      </c>
      <c r="AF134" s="88"/>
      <c r="AG134" s="39" t="str">
        <f aca="false">IF(OR(SUM($G134)=0,SUM($T134)=0),"",ROUND(SUM($G134)*SUM($T134),0))</f>
        <v/>
      </c>
      <c r="AH134" s="39" t="str">
        <f aca="false">IF(SUM($AG134)=0,"",IF(SUM($AF134)=0,"ENTER YIELD",ROUND($AG134/$AF134,0)-$AG134))</f>
        <v/>
      </c>
      <c r="AI134" s="88" t="n">
        <v>0.187522463966161</v>
      </c>
      <c r="AJ134" s="39" t="str">
        <f aca="false">IF(OR(SUM($G134)=0,SUM($U134)=0),"",ROUND(SUM($G134)*SUM($U134),0))</f>
        <v/>
      </c>
      <c r="AK134" s="39" t="str">
        <f aca="false">IF(SUM($AJ134)=0,"",IF(SUM($AI134)=0,"ENTER YIELD",ROUND($AJ134/$AI134,0)-$AJ134))</f>
        <v/>
      </c>
      <c r="AL134" s="10" t="str">
        <f aca="false">IF(SUM($G134)=0,"",$G134)</f>
        <v/>
      </c>
      <c r="AM134" s="10" t="str">
        <f aca="false">IFERROR(1/(1/SUM($H134:$K134,$X134,$AA134,$AD134,$AG134,$AJ134)),"")</f>
        <v/>
      </c>
      <c r="AN134" s="10" t="str">
        <f aca="false">IF(AND(SUM($AM134)=0,SUM($AL134)=0),"",$AM134-$AL134)</f>
        <v/>
      </c>
      <c r="AO134" s="10" t="str">
        <f aca="false">IF(OR($C134="01-09",$D134="Male"),"",INDEX(PMTCT!$AD:$AD,MATCH($E134,PMTCT!$E:$E,0)))</f>
        <v/>
      </c>
      <c r="AP134" s="10" t="str">
        <f aca="false">IF(OR($C134="01-09",$D134="Male"),"",INDEX(PMTCT!$AT:$AT,MATCH($E134,PMTCT!$E:$E,0)))</f>
        <v/>
      </c>
      <c r="AQ134" s="10" t="str">
        <f aca="false">INDEX(TB!$Q:$Q,MATCH($E134,TB!$E:$E,0))</f>
        <v/>
      </c>
      <c r="AR134" s="10" t="str">
        <f aca="false">IF(OR($C134="01-09",$C134="10-14",$D134="Female"),"",INDEX(VMMC!$AB:$AB,MATCH($E134,VMMC!$E:$E,0)))</f>
        <v/>
      </c>
      <c r="AS134" s="10" t="str">
        <f aca="false">IF(OR($C134="01-09",$C134="10-14"),"",INDEX(PrEP!$Q:$Q,MATCH($E134,PrEP!$E:$E,0)))</f>
        <v/>
      </c>
      <c r="AT134" s="10" t="str">
        <f aca="false">IFERROR(1/(1/SUM($Y134,$AB134,$AE134,$AH134,$AK134,$AO134:$AS134)),"")</f>
        <v/>
      </c>
      <c r="AU134" s="10" t="str">
        <f aca="false">IFERROR(1/(1/SUM($AT134,$AM134)),"")</f>
        <v/>
      </c>
      <c r="AV134" s="88" t="str">
        <f aca="false">IF(AND(SUM($AM134)=0,SUM($AU134)=0),"",$AM134/$AU134)</f>
        <v/>
      </c>
      <c r="AW134" s="10" t="n">
        <v>11</v>
      </c>
      <c r="AX134" s="88" t="n">
        <f aca="false">IF(OR($C134="01-09",SUM($AW134)=0),"",0%)</f>
        <v>0</v>
      </c>
      <c r="AY134" s="39" t="n">
        <f aca="false">IF(OR($C134="01-09",SUM($AW134)=0),"",ROUND($AW134*(1+$AX134),0))</f>
        <v>11</v>
      </c>
      <c r="AZ134" s="88" t="n">
        <f aca="false">IF(OR($C134="01-09",$C134="10-14"),"",100%)</f>
        <v>1</v>
      </c>
      <c r="BA134" s="39" t="str">
        <f aca="false">IF(OR(SUM($AM134)=0,$C134="01-09",$C134="10-14"),"",$AM134*$AZ134)</f>
        <v/>
      </c>
    </row>
    <row r="135" customFormat="false" ht="15" hidden="false" customHeight="false" outlineLevel="0" collapsed="false">
      <c r="A135" s="0" t="str">
        <f aca="false">INDEX(Prioritization!$D:$D,MATCH($B135,Prioritization!$A:$A,0))</f>
        <v>1 - Scale-up: Saturation</v>
      </c>
      <c r="B135" s="0" t="s">
        <v>204</v>
      </c>
      <c r="C135" s="0" t="s">
        <v>363</v>
      </c>
      <c r="D135" s="0" t="s">
        <v>30</v>
      </c>
      <c r="E135" s="0" t="str">
        <f aca="false">$B135&amp;"|"&amp;$C135&amp;"|"&amp;$D135</f>
        <v>Chitipa District [GkIwZrXy1h2]|01-09|Female</v>
      </c>
      <c r="F135" s="88" t="n">
        <f aca="false">IF(LEFT($B135,4)="_Mil","",INDEX(Cascade!$AA:$AA,MATCH($E135,Cascade!$E:$E,0)))</f>
        <v>1608</v>
      </c>
      <c r="G135" s="10" t="n">
        <f aca="false">INDEX(Cascade!$BH:$BH,MATCH($E135,Cascade!$E:$E,0))</f>
        <v>0</v>
      </c>
      <c r="H135" s="10" t="str">
        <f aca="false">IF(OR($C135="01-09",$D135="Male"),"",INDEX(PMTCT!$AC:$AC,MATCH($E135,PMTCT!$E:$E,0)))</f>
        <v/>
      </c>
      <c r="I135" s="10" t="str">
        <f aca="false">IF(OR($C135="01-09",$D135="Male"),"",INDEX(PMTCT!$AS:$AS,MATCH($E135,PMTCT!$E:$E,0)))</f>
        <v/>
      </c>
      <c r="J135" s="10" t="str">
        <f aca="false">INDEX(TB!$P:$P,MATCH($E135,TB!$E:$E,0))</f>
        <v/>
      </c>
      <c r="K135" s="10" t="str">
        <f aca="false">IF(OR($C135="01-09",$C135="10-14",$D135="Female"),"",INDEX(VMMC!$AA:$AA,MATCH($E135,VMMC!$E:$E,0)))</f>
        <v/>
      </c>
      <c r="L135" s="10" t="n">
        <f aca="false">SUM($G135)-SUM($H135:$K135)</f>
        <v>0</v>
      </c>
      <c r="M135" s="88" t="str">
        <f aca="false">IF(OR($C135="01-09",$D135="Male",AND(SUM($G135)=0,SUM($H135)=0)),"",SUM($H135)/SUM($G135))</f>
        <v/>
      </c>
      <c r="N135" s="88" t="str">
        <f aca="false">IF(OR($C135="01-09",$D135="Male",AND(SUM($G135)=0,SUM($I135)=0)),"",SUM($I135)/SUM($G135))</f>
        <v/>
      </c>
      <c r="O135" s="88" t="str">
        <f aca="false">IF(AND(SUM($G135)=0,SUM($J135)=0),"",SUM($J135)/SUM($G135))</f>
        <v/>
      </c>
      <c r="P135" s="88" t="str">
        <f aca="false">IF(OR($C135="01-09",$C135="10-14",$D135="Female",AND(SUM($G135)=0,SUM($K135)=0)),"",SUM($K135)/SUM($G135))</f>
        <v/>
      </c>
      <c r="Q135" s="88"/>
      <c r="R135" s="88"/>
      <c r="S135" s="88"/>
      <c r="T135" s="88"/>
      <c r="U135" s="88"/>
      <c r="V135" s="88" t="str">
        <f aca="false">IF(SUM($G135)=0,"",SUM($M135:$U135))</f>
        <v/>
      </c>
      <c r="W135" s="88"/>
      <c r="X135" s="39" t="str">
        <f aca="false">IF(OR(SUM($G135)=0,SUM($Q135)=0),"",ROUND(SUM($G135)*SUM($Q135),0))</f>
        <v/>
      </c>
      <c r="Y135" s="39" t="str">
        <f aca="false">IF(SUM($X135)=0,"",IF(SUM($W135)=0,"ENTER YIELD",ROUND($X135/$W135,0)-$X135))</f>
        <v/>
      </c>
      <c r="Z135" s="88"/>
      <c r="AA135" s="39" t="str">
        <f aca="false">IF(OR(SUM($G135)=0,SUM($R135)=0),"",ROUND(SUM($G135)*SUM($R135),0))</f>
        <v/>
      </c>
      <c r="AB135" s="39" t="str">
        <f aca="false">IF(SUM($AA135)=0,"",IF(SUM($Z135)=0,"ENTER YIELD",ROUND($AA135/$Z135,0)-$AA135))</f>
        <v/>
      </c>
      <c r="AC135" s="88"/>
      <c r="AD135" s="39" t="str">
        <f aca="false">IF(OR(SUM($G135)=0,SUM($S135)=0),"",ROUND(SUM($G135)*SUM($S135),0))</f>
        <v/>
      </c>
      <c r="AE135" s="39" t="str">
        <f aca="false">IF(SUM($AD135)=0,"",IF(SUM($AC135)=0,"ENTER YIELD",ROUND($AD135/$AC135,0)-$AD135))</f>
        <v/>
      </c>
      <c r="AF135" s="88"/>
      <c r="AG135" s="39" t="str">
        <f aca="false">IF(OR(SUM($G135)=0,SUM($T135)=0),"",ROUND(SUM($G135)*SUM($T135),0))</f>
        <v/>
      </c>
      <c r="AH135" s="39" t="str">
        <f aca="false">IF(SUM($AG135)=0,"",IF(SUM($AF135)=0,"ENTER YIELD",ROUND($AG135/$AF135,0)-$AG135))</f>
        <v/>
      </c>
      <c r="AI135" s="88"/>
      <c r="AJ135" s="39" t="str">
        <f aca="false">IF(OR(SUM($G135)=0,SUM($U135)=0),"",ROUND(SUM($G135)*SUM($U135),0))</f>
        <v/>
      </c>
      <c r="AK135" s="39" t="str">
        <f aca="false">IF(SUM($AJ135)=0,"",IF(SUM($AI135)=0,"ENTER YIELD",ROUND($AJ135/$AI135,0)-$AJ135))</f>
        <v/>
      </c>
      <c r="AL135" s="10" t="str">
        <f aca="false">IF(SUM($G135)=0,"",$G135)</f>
        <v/>
      </c>
      <c r="AM135" s="10" t="str">
        <f aca="false">IFERROR(1/(1/SUM($H135:$K135,$X135,$AA135,$AD135,$AG135,$AJ135)),"")</f>
        <v/>
      </c>
      <c r="AN135" s="10" t="str">
        <f aca="false">IF(AND(SUM($AM135)=0,SUM($AL135)=0),"",$AM135-$AL135)</f>
        <v/>
      </c>
      <c r="AO135" s="10" t="str">
        <f aca="false">IF(OR($C135="01-09",$D135="Male"),"",INDEX(PMTCT!$AD:$AD,MATCH($E135,PMTCT!$E:$E,0)))</f>
        <v/>
      </c>
      <c r="AP135" s="10" t="str">
        <f aca="false">IF(OR($C135="01-09",$D135="Male"),"",INDEX(PMTCT!$AT:$AT,MATCH($E135,PMTCT!$E:$E,0)))</f>
        <v/>
      </c>
      <c r="AQ135" s="10" t="str">
        <f aca="false">INDEX(TB!$Q:$Q,MATCH($E135,TB!$E:$E,0))</f>
        <v/>
      </c>
      <c r="AR135" s="10" t="str">
        <f aca="false">IF(OR($C135="01-09",$C135="10-14",$D135="Female"),"",INDEX(VMMC!$AB:$AB,MATCH($E135,VMMC!$E:$E,0)))</f>
        <v/>
      </c>
      <c r="AS135" s="10" t="str">
        <f aca="false">IF(OR($C135="01-09",$C135="10-14"),"",INDEX(PrEP!$Q:$Q,MATCH($E135,PrEP!$E:$E,0)))</f>
        <v/>
      </c>
      <c r="AT135" s="10" t="str">
        <f aca="false">IFERROR(1/(1/SUM($Y135,$AB135,$AE135,$AH135,$AK135,$AO135:$AS135)),"")</f>
        <v/>
      </c>
      <c r="AU135" s="10" t="str">
        <f aca="false">IFERROR(1/(1/SUM($AT135,$AM135)),"")</f>
        <v/>
      </c>
      <c r="AV135" s="88" t="str">
        <f aca="false">IF(AND(SUM($AM135)=0,SUM($AU135)=0),"",$AM135/$AU135)</f>
        <v/>
      </c>
      <c r="AW135" s="10"/>
      <c r="AX135" s="88" t="str">
        <f aca="false">IF(OR($C135="01-09",SUM($AW135)=0),"",0%)</f>
        <v/>
      </c>
      <c r="AY135" s="39" t="str">
        <f aca="false">IF(OR($C135="01-09",SUM($AW135)=0),"",ROUND($AW135*(1+$AX135),0))</f>
        <v/>
      </c>
      <c r="AZ135" s="88" t="str">
        <f aca="false">IF(OR($C135="01-09",$C135="10-14"),"",100%)</f>
        <v/>
      </c>
      <c r="BA135" s="39" t="str">
        <f aca="false">IF(OR(SUM($AM135)=0,$C135="01-09",$C135="10-14"),"",$AM135*$AZ135)</f>
        <v/>
      </c>
    </row>
    <row r="136" customFormat="false" ht="15" hidden="false" customHeight="false" outlineLevel="0" collapsed="false">
      <c r="A136" s="0" t="str">
        <f aca="false">INDEX(Prioritization!$D:$D,MATCH($B136,Prioritization!$A:$A,0))</f>
        <v>1 - Scale-up: Saturation</v>
      </c>
      <c r="B136" s="0" t="s">
        <v>204</v>
      </c>
      <c r="C136" s="0" t="s">
        <v>363</v>
      </c>
      <c r="D136" s="0" t="s">
        <v>48</v>
      </c>
      <c r="E136" s="0" t="str">
        <f aca="false">$B136&amp;"|"&amp;$C136&amp;"|"&amp;$D136</f>
        <v>Chitipa District [GkIwZrXy1h2]|01-09|Male</v>
      </c>
      <c r="F136" s="88" t="n">
        <f aca="false">IF(LEFT($B136,4)="_Mil","",INDEX(Cascade!$AA:$AA,MATCH($E136,Cascade!$E:$E,0)))</f>
        <v>1392</v>
      </c>
      <c r="G136" s="10" t="n">
        <f aca="false">INDEX(Cascade!$BH:$BH,MATCH($E136,Cascade!$E:$E,0))</f>
        <v>0</v>
      </c>
      <c r="H136" s="10" t="str">
        <f aca="false">IF(OR($C136="01-09",$D136="Male"),"",INDEX(PMTCT!$AC:$AC,MATCH($E136,PMTCT!$E:$E,0)))</f>
        <v/>
      </c>
      <c r="I136" s="10" t="str">
        <f aca="false">IF(OR($C136="01-09",$D136="Male"),"",INDEX(PMTCT!$AS:$AS,MATCH($E136,PMTCT!$E:$E,0)))</f>
        <v/>
      </c>
      <c r="J136" s="10" t="str">
        <f aca="false">INDEX(TB!$P:$P,MATCH($E136,TB!$E:$E,0))</f>
        <v/>
      </c>
      <c r="K136" s="10" t="str">
        <f aca="false">IF(OR($C136="01-09",$C136="10-14",$D136="Female"),"",INDEX(VMMC!$AA:$AA,MATCH($E136,VMMC!$E:$E,0)))</f>
        <v/>
      </c>
      <c r="L136" s="10" t="n">
        <f aca="false">SUM($G136)-SUM($H136:$K136)</f>
        <v>0</v>
      </c>
      <c r="M136" s="88" t="str">
        <f aca="false">IF(OR($C136="01-09",$D136="Male",AND(SUM($G136)=0,SUM($H136)=0)),"",SUM($H136)/SUM($G136))</f>
        <v/>
      </c>
      <c r="N136" s="88" t="str">
        <f aca="false">IF(OR($C136="01-09",$D136="Male",AND(SUM($G136)=0,SUM($I136)=0)),"",SUM($I136)/SUM($G136))</f>
        <v/>
      </c>
      <c r="O136" s="88" t="str">
        <f aca="false">IF(AND(SUM($G136)=0,SUM($J136)=0),"",SUM($J136)/SUM($G136))</f>
        <v/>
      </c>
      <c r="P136" s="88" t="str">
        <f aca="false">IF(OR($C136="01-09",$C136="10-14",$D136="Female",AND(SUM($G136)=0,SUM($K136)=0)),"",SUM($K136)/SUM($G136))</f>
        <v/>
      </c>
      <c r="Q136" s="88"/>
      <c r="R136" s="88"/>
      <c r="S136" s="88"/>
      <c r="T136" s="88"/>
      <c r="U136" s="88"/>
      <c r="V136" s="88" t="str">
        <f aca="false">IF(SUM($G136)=0,"",SUM($M136:$U136))</f>
        <v/>
      </c>
      <c r="W136" s="88"/>
      <c r="X136" s="39" t="str">
        <f aca="false">IF(OR(SUM($G136)=0,SUM($Q136)=0),"",ROUND(SUM($G136)*SUM($Q136),0))</f>
        <v/>
      </c>
      <c r="Y136" s="39" t="str">
        <f aca="false">IF(SUM($X136)=0,"",IF(SUM($W136)=0,"ENTER YIELD",ROUND($X136/$W136,0)-$X136))</f>
        <v/>
      </c>
      <c r="Z136" s="88"/>
      <c r="AA136" s="39" t="str">
        <f aca="false">IF(OR(SUM($G136)=0,SUM($R136)=0),"",ROUND(SUM($G136)*SUM($R136),0))</f>
        <v/>
      </c>
      <c r="AB136" s="39" t="str">
        <f aca="false">IF(SUM($AA136)=0,"",IF(SUM($Z136)=0,"ENTER YIELD",ROUND($AA136/$Z136,0)-$AA136))</f>
        <v/>
      </c>
      <c r="AC136" s="88"/>
      <c r="AD136" s="39" t="str">
        <f aca="false">IF(OR(SUM($G136)=0,SUM($S136)=0),"",ROUND(SUM($G136)*SUM($S136),0))</f>
        <v/>
      </c>
      <c r="AE136" s="39" t="str">
        <f aca="false">IF(SUM($AD136)=0,"",IF(SUM($AC136)=0,"ENTER YIELD",ROUND($AD136/$AC136,0)-$AD136))</f>
        <v/>
      </c>
      <c r="AF136" s="88"/>
      <c r="AG136" s="39" t="str">
        <f aca="false">IF(OR(SUM($G136)=0,SUM($T136)=0),"",ROUND(SUM($G136)*SUM($T136),0))</f>
        <v/>
      </c>
      <c r="AH136" s="39" t="str">
        <f aca="false">IF(SUM($AG136)=0,"",IF(SUM($AF136)=0,"ENTER YIELD",ROUND($AG136/$AF136,0)-$AG136))</f>
        <v/>
      </c>
      <c r="AI136" s="88"/>
      <c r="AJ136" s="39" t="str">
        <f aca="false">IF(OR(SUM($G136)=0,SUM($U136)=0),"",ROUND(SUM($G136)*SUM($U136),0))</f>
        <v/>
      </c>
      <c r="AK136" s="39" t="str">
        <f aca="false">IF(SUM($AJ136)=0,"",IF(SUM($AI136)=0,"ENTER YIELD",ROUND($AJ136/$AI136,0)-$AJ136))</f>
        <v/>
      </c>
      <c r="AL136" s="10" t="str">
        <f aca="false">IF(SUM($G136)=0,"",$G136)</f>
        <v/>
      </c>
      <c r="AM136" s="10" t="str">
        <f aca="false">IFERROR(1/(1/SUM($H136:$K136,$X136,$AA136,$AD136,$AG136,$AJ136)),"")</f>
        <v/>
      </c>
      <c r="AN136" s="10" t="str">
        <f aca="false">IF(AND(SUM($AM136)=0,SUM($AL136)=0),"",$AM136-$AL136)</f>
        <v/>
      </c>
      <c r="AO136" s="10" t="str">
        <f aca="false">IF(OR($C136="01-09",$D136="Male"),"",INDEX(PMTCT!$AD:$AD,MATCH($E136,PMTCT!$E:$E,0)))</f>
        <v/>
      </c>
      <c r="AP136" s="10" t="str">
        <f aca="false">IF(OR($C136="01-09",$D136="Male"),"",INDEX(PMTCT!$AT:$AT,MATCH($E136,PMTCT!$E:$E,0)))</f>
        <v/>
      </c>
      <c r="AQ136" s="10" t="str">
        <f aca="false">INDEX(TB!$Q:$Q,MATCH($E136,TB!$E:$E,0))</f>
        <v/>
      </c>
      <c r="AR136" s="10" t="str">
        <f aca="false">IF(OR($C136="01-09",$C136="10-14",$D136="Female"),"",INDEX(VMMC!$AB:$AB,MATCH($E136,VMMC!$E:$E,0)))</f>
        <v/>
      </c>
      <c r="AS136" s="10" t="str">
        <f aca="false">IF(OR($C136="01-09",$C136="10-14"),"",INDEX(PrEP!$Q:$Q,MATCH($E136,PrEP!$E:$E,0)))</f>
        <v/>
      </c>
      <c r="AT136" s="10" t="str">
        <f aca="false">IFERROR(1/(1/SUM($Y136,$AB136,$AE136,$AH136,$AK136,$AO136:$AS136)),"")</f>
        <v/>
      </c>
      <c r="AU136" s="10" t="str">
        <f aca="false">IFERROR(1/(1/SUM($AT136,$AM136)),"")</f>
        <v/>
      </c>
      <c r="AV136" s="88" t="str">
        <f aca="false">IF(AND(SUM($AM136)=0,SUM($AU136)=0),"",$AM136/$AU136)</f>
        <v/>
      </c>
      <c r="AW136" s="10"/>
      <c r="AX136" s="88" t="str">
        <f aca="false">IF(OR($C136="01-09",SUM($AW136)=0),"",0%)</f>
        <v/>
      </c>
      <c r="AY136" s="39" t="str">
        <f aca="false">IF(OR($C136="01-09",SUM($AW136)=0),"",ROUND($AW136*(1+$AX136),0))</f>
        <v/>
      </c>
      <c r="AZ136" s="88" t="str">
        <f aca="false">IF(OR($C136="01-09",$C136="10-14"),"",100%)</f>
        <v/>
      </c>
      <c r="BA136" s="39" t="str">
        <f aca="false">IF(OR(SUM($AM136)=0,$C136="01-09",$C136="10-14"),"",$AM136*$AZ136)</f>
        <v/>
      </c>
    </row>
    <row r="137" customFormat="false" ht="15" hidden="false" customHeight="false" outlineLevel="0" collapsed="false">
      <c r="A137" s="0" t="str">
        <f aca="false">INDEX(Prioritization!$D:$D,MATCH($B137,Prioritization!$A:$A,0))</f>
        <v>1 - Scale-up: Saturation</v>
      </c>
      <c r="B137" s="0" t="s">
        <v>204</v>
      </c>
      <c r="C137" s="0" t="s">
        <v>364</v>
      </c>
      <c r="D137" s="0" t="s">
        <v>30</v>
      </c>
      <c r="E137" s="0" t="str">
        <f aca="false">$B137&amp;"|"&amp;$C137&amp;"|"&amp;$D137</f>
        <v>Chitipa District [GkIwZrXy1h2]|10-14|Female</v>
      </c>
      <c r="F137" s="88" t="n">
        <f aca="false">IF(LEFT($B137,4)="_Mil","",INDEX(Cascade!$AA:$AA,MATCH($E137,Cascade!$E:$E,0)))</f>
        <v>1803</v>
      </c>
      <c r="G137" s="10" t="n">
        <f aca="false">INDEX(Cascade!$BH:$BH,MATCH($E137,Cascade!$E:$E,0))</f>
        <v>-6</v>
      </c>
      <c r="H137" s="10" t="str">
        <f aca="false">IF(OR($C137="01-09",$D137="Male"),"",INDEX(PMTCT!$AC:$AC,MATCH($E137,PMTCT!$E:$E,0)))</f>
        <v>ENTER YIELD RATE</v>
      </c>
      <c r="I137" s="10" t="str">
        <f aca="false">IF(OR($C137="01-09",$D137="Male"),"",INDEX(PMTCT!$AS:$AS,MATCH($E137,PMTCT!$E:$E,0)))</f>
        <v>ENTER YIELD RATE</v>
      </c>
      <c r="J137" s="10" t="str">
        <f aca="false">INDEX(TB!$P:$P,MATCH($E137,TB!$E:$E,0))</f>
        <v/>
      </c>
      <c r="K137" s="10" t="str">
        <f aca="false">IF(OR($C137="01-09",$C137="10-14",$D137="Female"),"",INDEX(VMMC!$AA:$AA,MATCH($E137,VMMC!$E:$E,0)))</f>
        <v/>
      </c>
      <c r="L137" s="10" t="n">
        <f aca="false">SUM($G137)-SUM($H137:$K137)</f>
        <v>-6</v>
      </c>
      <c r="M137" s="88" t="n">
        <f aca="false">IF(OR($C137="01-09",$D137="Male",AND(SUM($G137)=0,SUM($H137)=0)),"",SUM($H137)/SUM($G137))</f>
        <v>-0</v>
      </c>
      <c r="N137" s="88" t="n">
        <f aca="false">IF(OR($C137="01-09",$D137="Male",AND(SUM($G137)=0,SUM($I137)=0)),"",SUM($I137)/SUM($G137))</f>
        <v>-0</v>
      </c>
      <c r="O137" s="88" t="n">
        <f aca="false">IF(AND(SUM($G137)=0,SUM($J137)=0),"",SUM($J137)/SUM($G137))</f>
        <v>-0</v>
      </c>
      <c r="P137" s="88" t="str">
        <f aca="false">IF(OR($C137="01-09",$C137="10-14",$D137="Female",AND(SUM($G137)=0,SUM($K137)=0)),"",SUM($K137)/SUM($G137))</f>
        <v/>
      </c>
      <c r="Q137" s="88" t="n">
        <v>0.707165644038469</v>
      </c>
      <c r="R137" s="88"/>
      <c r="S137" s="88"/>
      <c r="T137" s="88"/>
      <c r="U137" s="88" t="n">
        <v>0.110052963718772</v>
      </c>
      <c r="V137" s="88" t="n">
        <f aca="false">IF(SUM($G137)=0,"",SUM($M137:$U137))</f>
        <v>0.817218607757241</v>
      </c>
      <c r="W137" s="88"/>
      <c r="X137" s="39" t="n">
        <f aca="false">IF(OR(SUM($G137)=0,SUM($Q137)=0),"",ROUND(SUM($G137)*SUM($Q137),0))</f>
        <v>-4</v>
      </c>
      <c r="Y137" s="39" t="str">
        <f aca="false">IF(SUM($X137)=0,"",IF(SUM($W137)=0,"ENTER YIELD",ROUND($X137/$W137,0)-$X137))</f>
        <v>ENTER YIELD</v>
      </c>
      <c r="Z137" s="88"/>
      <c r="AA137" s="39" t="str">
        <f aca="false">IF(OR(SUM($G137)=0,SUM($R137)=0),"",ROUND(SUM($G137)*SUM($R137),0))</f>
        <v/>
      </c>
      <c r="AB137" s="39" t="str">
        <f aca="false">IF(SUM($AA137)=0,"",IF(SUM($Z137)=0,"ENTER YIELD",ROUND($AA137/$Z137,0)-$AA137))</f>
        <v/>
      </c>
      <c r="AC137" s="88"/>
      <c r="AD137" s="39" t="str">
        <f aca="false">IF(OR(SUM($G137)=0,SUM($S137)=0),"",ROUND(SUM($G137)*SUM($S137),0))</f>
        <v/>
      </c>
      <c r="AE137" s="39" t="str">
        <f aca="false">IF(SUM($AD137)=0,"",IF(SUM($AC137)=0,"ENTER YIELD",ROUND($AD137/$AC137,0)-$AD137))</f>
        <v/>
      </c>
      <c r="AF137" s="88"/>
      <c r="AG137" s="39" t="str">
        <f aca="false">IF(OR(SUM($G137)=0,SUM($T137)=0),"",ROUND(SUM($G137)*SUM($T137),0))</f>
        <v/>
      </c>
      <c r="AH137" s="39" t="str">
        <f aca="false">IF(SUM($AG137)=0,"",IF(SUM($AF137)=0,"ENTER YIELD",ROUND($AG137/$AF137,0)-$AG137))</f>
        <v/>
      </c>
      <c r="AI137" s="88"/>
      <c r="AJ137" s="39" t="n">
        <f aca="false">IF(OR(SUM($G137)=0,SUM($U137)=0),"",ROUND(SUM($G137)*SUM($U137),0))</f>
        <v>-1</v>
      </c>
      <c r="AK137" s="39" t="str">
        <f aca="false">IF(SUM($AJ137)=0,"",IF(SUM($AI137)=0,"ENTER YIELD",ROUND($AJ137/$AI137,0)-$AJ137))</f>
        <v>ENTER YIELD</v>
      </c>
      <c r="AL137" s="10" t="n">
        <f aca="false">IF(SUM($G137)=0,"",$G137)</f>
        <v>-6</v>
      </c>
      <c r="AM137" s="10" t="n">
        <f aca="false">IFERROR(1/(1/SUM($H137:$K137,$X137,$AA137,$AD137,$AG137,$AJ137)),"")</f>
        <v>-5</v>
      </c>
      <c r="AN137" s="10" t="n">
        <f aca="false">IF(AND(SUM($AM137)=0,SUM($AL137)=0),"",$AM137-$AL137)</f>
        <v>1</v>
      </c>
      <c r="AO137" s="10" t="n">
        <f aca="false">IF(OR($C137="01-09",$D137="Male"),"",INDEX(PMTCT!$AD:$AD,MATCH($E137,PMTCT!$E:$E,0)))</f>
        <v>1</v>
      </c>
      <c r="AP137" s="10" t="n">
        <f aca="false">IF(OR($C137="01-09",$D137="Male"),"",INDEX(PMTCT!$AT:$AT,MATCH($E137,PMTCT!$E:$E,0)))</f>
        <v>1</v>
      </c>
      <c r="AQ137" s="10" t="str">
        <f aca="false">INDEX(TB!$Q:$Q,MATCH($E137,TB!$E:$E,0))</f>
        <v/>
      </c>
      <c r="AR137" s="10" t="str">
        <f aca="false">IF(OR($C137="01-09",$C137="10-14",$D137="Female"),"",INDEX(VMMC!$AB:$AB,MATCH($E137,VMMC!$E:$E,0)))</f>
        <v/>
      </c>
      <c r="AS137" s="10" t="str">
        <f aca="false">IF(OR($C137="01-09",$C137="10-14"),"",INDEX(PrEP!$Q:$Q,MATCH($E137,PrEP!$E:$E,0)))</f>
        <v/>
      </c>
      <c r="AT137" s="10" t="n">
        <f aca="false">IFERROR(1/(1/SUM($Y137,$AB137,$AE137,$AH137,$AK137,$AO137:$AS137)),"")</f>
        <v>2</v>
      </c>
      <c r="AU137" s="10" t="n">
        <f aca="false">IFERROR(1/(1/SUM($AT137,$AM137)),"")</f>
        <v>-3</v>
      </c>
      <c r="AV137" s="88" t="n">
        <f aca="false">IF(AND(SUM($AM137)=0,SUM($AU137)=0),"",$AM137/$AU137)</f>
        <v>1.66666666666667</v>
      </c>
      <c r="AW137" s="10"/>
      <c r="AX137" s="88" t="str">
        <f aca="false">IF(OR($C137="01-09",SUM($AW137)=0),"",0%)</f>
        <v/>
      </c>
      <c r="AY137" s="39" t="str">
        <f aca="false">IF(OR($C137="01-09",SUM($AW137)=0),"",ROUND($AW137*(1+$AX137),0))</f>
        <v/>
      </c>
      <c r="AZ137" s="88" t="str">
        <f aca="false">IF(OR($C137="01-09",$C137="10-14"),"",100%)</f>
        <v/>
      </c>
      <c r="BA137" s="39" t="str">
        <f aca="false">IF(OR(SUM($AM137)=0,$C137="01-09",$C137="10-14"),"",$AM137*$AZ137)</f>
        <v/>
      </c>
    </row>
    <row r="138" customFormat="false" ht="15" hidden="false" customHeight="false" outlineLevel="0" collapsed="false">
      <c r="A138" s="0" t="str">
        <f aca="false">INDEX(Prioritization!$D:$D,MATCH($B138,Prioritization!$A:$A,0))</f>
        <v>1 - Scale-up: Saturation</v>
      </c>
      <c r="B138" s="0" t="s">
        <v>204</v>
      </c>
      <c r="C138" s="0" t="s">
        <v>364</v>
      </c>
      <c r="D138" s="0" t="s">
        <v>48</v>
      </c>
      <c r="E138" s="0" t="str">
        <f aca="false">$B138&amp;"|"&amp;$C138&amp;"|"&amp;$D138</f>
        <v>Chitipa District [GkIwZrXy1h2]|10-14|Male</v>
      </c>
      <c r="F138" s="88" t="n">
        <f aca="false">IF(LEFT($B138,4)="_Mil","",INDEX(Cascade!$AA:$AA,MATCH($E138,Cascade!$E:$E,0)))</f>
        <v>1825</v>
      </c>
      <c r="G138" s="10" t="n">
        <f aca="false">INDEX(Cascade!$BH:$BH,MATCH($E138,Cascade!$E:$E,0))</f>
        <v>-85</v>
      </c>
      <c r="H138" s="10" t="str">
        <f aca="false">IF(OR($C138="01-09",$D138="Male"),"",INDEX(PMTCT!$AC:$AC,MATCH($E138,PMTCT!$E:$E,0)))</f>
        <v/>
      </c>
      <c r="I138" s="10" t="str">
        <f aca="false">IF(OR($C138="01-09",$D138="Male"),"",INDEX(PMTCT!$AS:$AS,MATCH($E138,PMTCT!$E:$E,0)))</f>
        <v/>
      </c>
      <c r="J138" s="10" t="str">
        <f aca="false">INDEX(TB!$P:$P,MATCH($E138,TB!$E:$E,0))</f>
        <v/>
      </c>
      <c r="K138" s="10" t="str">
        <f aca="false">IF(OR($C138="01-09",$C138="10-14",$D138="Female"),"",INDEX(VMMC!$AA:$AA,MATCH($E138,VMMC!$E:$E,0)))</f>
        <v/>
      </c>
      <c r="L138" s="10" t="n">
        <f aca="false">SUM($G138)-SUM($H138:$K138)</f>
        <v>-85</v>
      </c>
      <c r="M138" s="88" t="str">
        <f aca="false">IF(OR($C138="01-09",$D138="Male",AND(SUM($G138)=0,SUM($H138)=0)),"",SUM($H138)/SUM($G138))</f>
        <v/>
      </c>
      <c r="N138" s="88" t="str">
        <f aca="false">IF(OR($C138="01-09",$D138="Male",AND(SUM($G138)=0,SUM($I138)=0)),"",SUM($I138)/SUM($G138))</f>
        <v/>
      </c>
      <c r="O138" s="88" t="n">
        <f aca="false">IF(AND(SUM($G138)=0,SUM($J138)=0),"",SUM($J138)/SUM($G138))</f>
        <v>-0</v>
      </c>
      <c r="P138" s="88" t="str">
        <f aca="false">IF(OR($C138="01-09",$C138="10-14",$D138="Female",AND(SUM($G138)=0,SUM($K138)=0)),"",SUM($K138)/SUM($G138))</f>
        <v/>
      </c>
      <c r="Q138" s="88" t="n">
        <v>0.624598091002554</v>
      </c>
      <c r="R138" s="88"/>
      <c r="S138" s="88"/>
      <c r="T138" s="88"/>
      <c r="U138" s="88" t="n">
        <v>0.580216505099088</v>
      </c>
      <c r="V138" s="88" t="n">
        <f aca="false">IF(SUM($G138)=0,"",SUM($M138:$U138))</f>
        <v>1.20481459610164</v>
      </c>
      <c r="W138" s="88"/>
      <c r="X138" s="39" t="n">
        <f aca="false">IF(OR(SUM($G138)=0,SUM($Q138)=0),"",ROUND(SUM($G138)*SUM($Q138),0))</f>
        <v>-53</v>
      </c>
      <c r="Y138" s="39" t="str">
        <f aca="false">IF(SUM($X138)=0,"",IF(SUM($W138)=0,"ENTER YIELD",ROUND($X138/$W138,0)-$X138))</f>
        <v>ENTER YIELD</v>
      </c>
      <c r="Z138" s="88"/>
      <c r="AA138" s="39" t="str">
        <f aca="false">IF(OR(SUM($G138)=0,SUM($R138)=0),"",ROUND(SUM($G138)*SUM($R138),0))</f>
        <v/>
      </c>
      <c r="AB138" s="39" t="str">
        <f aca="false">IF(SUM($AA138)=0,"",IF(SUM($Z138)=0,"ENTER YIELD",ROUND($AA138/$Z138,0)-$AA138))</f>
        <v/>
      </c>
      <c r="AC138" s="88"/>
      <c r="AD138" s="39" t="str">
        <f aca="false">IF(OR(SUM($G138)=0,SUM($S138)=0),"",ROUND(SUM($G138)*SUM($S138),0))</f>
        <v/>
      </c>
      <c r="AE138" s="39" t="str">
        <f aca="false">IF(SUM($AD138)=0,"",IF(SUM($AC138)=0,"ENTER YIELD",ROUND($AD138/$AC138,0)-$AD138))</f>
        <v/>
      </c>
      <c r="AF138" s="88"/>
      <c r="AG138" s="39" t="str">
        <f aca="false">IF(OR(SUM($G138)=0,SUM($T138)=0),"",ROUND(SUM($G138)*SUM($T138),0))</f>
        <v/>
      </c>
      <c r="AH138" s="39" t="str">
        <f aca="false">IF(SUM($AG138)=0,"",IF(SUM($AF138)=0,"ENTER YIELD",ROUND($AG138/$AF138,0)-$AG138))</f>
        <v/>
      </c>
      <c r="AI138" s="88"/>
      <c r="AJ138" s="39" t="n">
        <f aca="false">IF(OR(SUM($G138)=0,SUM($U138)=0),"",ROUND(SUM($G138)*SUM($U138),0))</f>
        <v>-49</v>
      </c>
      <c r="AK138" s="39" t="str">
        <f aca="false">IF(SUM($AJ138)=0,"",IF(SUM($AI138)=0,"ENTER YIELD",ROUND($AJ138/$AI138,0)-$AJ138))</f>
        <v>ENTER YIELD</v>
      </c>
      <c r="AL138" s="10" t="n">
        <f aca="false">IF(SUM($G138)=0,"",$G138)</f>
        <v>-85</v>
      </c>
      <c r="AM138" s="10" t="n">
        <f aca="false">IFERROR(1/(1/SUM($H138:$K138,$X138,$AA138,$AD138,$AG138,$AJ138)),"")</f>
        <v>-102</v>
      </c>
      <c r="AN138" s="10" t="n">
        <f aca="false">IF(AND(SUM($AM138)=0,SUM($AL138)=0),"",$AM138-$AL138)</f>
        <v>-17</v>
      </c>
      <c r="AO138" s="10" t="str">
        <f aca="false">IF(OR($C138="01-09",$D138="Male"),"",INDEX(PMTCT!$AD:$AD,MATCH($E138,PMTCT!$E:$E,0)))</f>
        <v/>
      </c>
      <c r="AP138" s="10" t="str">
        <f aca="false">IF(OR($C138="01-09",$D138="Male"),"",INDEX(PMTCT!$AT:$AT,MATCH($E138,PMTCT!$E:$E,0)))</f>
        <v/>
      </c>
      <c r="AQ138" s="10" t="str">
        <f aca="false">INDEX(TB!$Q:$Q,MATCH($E138,TB!$E:$E,0))</f>
        <v/>
      </c>
      <c r="AR138" s="10" t="str">
        <f aca="false">IF(OR($C138="01-09",$C138="10-14",$D138="Female"),"",INDEX(VMMC!$AB:$AB,MATCH($E138,VMMC!$E:$E,0)))</f>
        <v/>
      </c>
      <c r="AS138" s="10" t="str">
        <f aca="false">IF(OR($C138="01-09",$C138="10-14"),"",INDEX(PrEP!$Q:$Q,MATCH($E138,PrEP!$E:$E,0)))</f>
        <v/>
      </c>
      <c r="AT138" s="10" t="str">
        <f aca="false">IFERROR(1/(1/SUM($Y138,$AB138,$AE138,$AH138,$AK138,$AO138:$AS138)),"")</f>
        <v/>
      </c>
      <c r="AU138" s="10" t="n">
        <f aca="false">IFERROR(1/(1/SUM($AT138,$AM138)),"")</f>
        <v>-102</v>
      </c>
      <c r="AV138" s="88" t="n">
        <f aca="false">IF(AND(SUM($AM138)=0,SUM($AU138)=0),"",$AM138/$AU138)</f>
        <v>1</v>
      </c>
      <c r="AW138" s="10"/>
      <c r="AX138" s="88" t="str">
        <f aca="false">IF(OR($C138="01-09",SUM($AW138)=0),"",0%)</f>
        <v/>
      </c>
      <c r="AY138" s="39" t="str">
        <f aca="false">IF(OR($C138="01-09",SUM($AW138)=0),"",ROUND($AW138*(1+$AX138),0))</f>
        <v/>
      </c>
      <c r="AZ138" s="88" t="str">
        <f aca="false">IF(OR($C138="01-09",$C138="10-14"),"",100%)</f>
        <v/>
      </c>
      <c r="BA138" s="39" t="str">
        <f aca="false">IF(OR(SUM($AM138)=0,$C138="01-09",$C138="10-14"),"",$AM138*$AZ138)</f>
        <v/>
      </c>
    </row>
    <row r="139" customFormat="false" ht="15" hidden="false" customHeight="false" outlineLevel="0" collapsed="false">
      <c r="A139" s="0" t="str">
        <f aca="false">INDEX(Prioritization!$D:$D,MATCH($B139,Prioritization!$A:$A,0))</f>
        <v>1 - Scale-up: Saturation</v>
      </c>
      <c r="B139" s="0" t="s">
        <v>204</v>
      </c>
      <c r="C139" s="0" t="s">
        <v>365</v>
      </c>
      <c r="D139" s="0" t="s">
        <v>30</v>
      </c>
      <c r="E139" s="0" t="str">
        <f aca="false">$B139&amp;"|"&amp;$C139&amp;"|"&amp;$D139</f>
        <v>Chitipa District [GkIwZrXy1h2]|15-24|Female</v>
      </c>
      <c r="F139" s="88" t="n">
        <f aca="false">IF(LEFT($B139,4)="_Mil","",INDEX(Cascade!$AA:$AA,MATCH($E139,Cascade!$E:$E,0)))</f>
        <v>1790</v>
      </c>
      <c r="G139" s="10" t="n">
        <f aca="false">INDEX(Cascade!$BH:$BH,MATCH($E139,Cascade!$E:$E,0))</f>
        <v>0</v>
      </c>
      <c r="H139" s="10" t="str">
        <f aca="false">IF(OR($C139="01-09",$D139="Male"),"",INDEX(PMTCT!$AC:$AC,MATCH($E139,PMTCT!$E:$E,0)))</f>
        <v/>
      </c>
      <c r="I139" s="10" t="str">
        <f aca="false">IF(OR($C139="01-09",$D139="Male"),"",INDEX(PMTCT!$AS:$AS,MATCH($E139,PMTCT!$E:$E,0)))</f>
        <v/>
      </c>
      <c r="J139" s="10" t="str">
        <f aca="false">INDEX(TB!$P:$P,MATCH($E139,TB!$E:$E,0))</f>
        <v/>
      </c>
      <c r="K139" s="10" t="str">
        <f aca="false">IF(OR($C139="01-09",$C139="10-14",$D139="Female"),"",INDEX(VMMC!$AA:$AA,MATCH($E139,VMMC!$E:$E,0)))</f>
        <v/>
      </c>
      <c r="L139" s="10" t="n">
        <f aca="false">SUM($G139)-SUM($H139:$K139)</f>
        <v>0</v>
      </c>
      <c r="M139" s="88" t="str">
        <f aca="false">IF(OR($C139="01-09",$D139="Male",AND(SUM($G139)=0,SUM($H139)=0)),"",SUM($H139)/SUM($G139))</f>
        <v/>
      </c>
      <c r="N139" s="88" t="str">
        <f aca="false">IF(OR($C139="01-09",$D139="Male",AND(SUM($G139)=0,SUM($I139)=0)),"",SUM($I139)/SUM($G139))</f>
        <v/>
      </c>
      <c r="O139" s="88" t="str">
        <f aca="false">IF(AND(SUM($G139)=0,SUM($J139)=0),"",SUM($J139)/SUM($G139))</f>
        <v/>
      </c>
      <c r="P139" s="88" t="str">
        <f aca="false">IF(OR($C139="01-09",$C139="10-14",$D139="Female",AND(SUM($G139)=0,SUM($K139)=0)),"",SUM($K139)/SUM($G139))</f>
        <v/>
      </c>
      <c r="Q139" s="88"/>
      <c r="R139" s="88"/>
      <c r="S139" s="88"/>
      <c r="T139" s="88"/>
      <c r="U139" s="88"/>
      <c r="V139" s="88" t="str">
        <f aca="false">IF(SUM($G139)=0,"",SUM($M139:$U139))</f>
        <v/>
      </c>
      <c r="W139" s="88"/>
      <c r="X139" s="39" t="str">
        <f aca="false">IF(OR(SUM($G139)=0,SUM($Q139)=0),"",ROUND(SUM($G139)*SUM($Q139),0))</f>
        <v/>
      </c>
      <c r="Y139" s="39" t="str">
        <f aca="false">IF(SUM($X139)=0,"",IF(SUM($W139)=0,"ENTER YIELD",ROUND($X139/$W139,0)-$X139))</f>
        <v/>
      </c>
      <c r="Z139" s="88"/>
      <c r="AA139" s="39" t="str">
        <f aca="false">IF(OR(SUM($G139)=0,SUM($R139)=0),"",ROUND(SUM($G139)*SUM($R139),0))</f>
        <v/>
      </c>
      <c r="AB139" s="39" t="str">
        <f aca="false">IF(SUM($AA139)=0,"",IF(SUM($Z139)=0,"ENTER YIELD",ROUND($AA139/$Z139,0)-$AA139))</f>
        <v/>
      </c>
      <c r="AC139" s="88"/>
      <c r="AD139" s="39" t="str">
        <f aca="false">IF(OR(SUM($G139)=0,SUM($S139)=0),"",ROUND(SUM($G139)*SUM($S139),0))</f>
        <v/>
      </c>
      <c r="AE139" s="39" t="str">
        <f aca="false">IF(SUM($AD139)=0,"",IF(SUM($AC139)=0,"ENTER YIELD",ROUND($AD139/$AC139,0)-$AD139))</f>
        <v/>
      </c>
      <c r="AF139" s="88"/>
      <c r="AG139" s="39" t="str">
        <f aca="false">IF(OR(SUM($G139)=0,SUM($T139)=0),"",ROUND(SUM($G139)*SUM($T139),0))</f>
        <v/>
      </c>
      <c r="AH139" s="39" t="str">
        <f aca="false">IF(SUM($AG139)=0,"",IF(SUM($AF139)=0,"ENTER YIELD",ROUND($AG139/$AF139,0)-$AG139))</f>
        <v/>
      </c>
      <c r="AI139" s="88"/>
      <c r="AJ139" s="39" t="str">
        <f aca="false">IF(OR(SUM($G139)=0,SUM($U139)=0),"",ROUND(SUM($G139)*SUM($U139),0))</f>
        <v/>
      </c>
      <c r="AK139" s="39" t="str">
        <f aca="false">IF(SUM($AJ139)=0,"",IF(SUM($AI139)=0,"ENTER YIELD",ROUND($AJ139/$AI139,0)-$AJ139))</f>
        <v/>
      </c>
      <c r="AL139" s="10" t="str">
        <f aca="false">IF(SUM($G139)=0,"",$G139)</f>
        <v/>
      </c>
      <c r="AM139" s="10" t="str">
        <f aca="false">IFERROR(1/(1/SUM($H139:$K139,$X139,$AA139,$AD139,$AG139,$AJ139)),"")</f>
        <v/>
      </c>
      <c r="AN139" s="10" t="str">
        <f aca="false">IF(AND(SUM($AM139)=0,SUM($AL139)=0),"",$AM139-$AL139)</f>
        <v/>
      </c>
      <c r="AO139" s="10" t="str">
        <f aca="false">IF(OR($C139="01-09",$D139="Male"),"",INDEX(PMTCT!$AD:$AD,MATCH($E139,PMTCT!$E:$E,0)))</f>
        <v/>
      </c>
      <c r="AP139" s="10" t="str">
        <f aca="false">IF(OR($C139="01-09",$D139="Male"),"",INDEX(PMTCT!$AT:$AT,MATCH($E139,PMTCT!$E:$E,0)))</f>
        <v/>
      </c>
      <c r="AQ139" s="10" t="str">
        <f aca="false">INDEX(TB!$Q:$Q,MATCH($E139,TB!$E:$E,0))</f>
        <v/>
      </c>
      <c r="AR139" s="10" t="str">
        <f aca="false">IF(OR($C139="01-09",$C139="10-14",$D139="Female"),"",INDEX(VMMC!$AB:$AB,MATCH($E139,VMMC!$E:$E,0)))</f>
        <v/>
      </c>
      <c r="AS139" s="10" t="str">
        <f aca="false">IF(OR($C139="01-09",$C139="10-14"),"",INDEX(PrEP!$Q:$Q,MATCH($E139,PrEP!$E:$E,0)))</f>
        <v/>
      </c>
      <c r="AT139" s="10" t="str">
        <f aca="false">IFERROR(1/(1/SUM($Y139,$AB139,$AE139,$AH139,$AK139,$AO139:$AS139)),"")</f>
        <v/>
      </c>
      <c r="AU139" s="10" t="str">
        <f aca="false">IFERROR(1/(1/SUM($AT139,$AM139)),"")</f>
        <v/>
      </c>
      <c r="AV139" s="88" t="str">
        <f aca="false">IF(AND(SUM($AM139)=0,SUM($AU139)=0),"",$AM139/$AU139)</f>
        <v/>
      </c>
      <c r="AW139" s="10"/>
      <c r="AX139" s="88" t="str">
        <f aca="false">IF(OR($C139="01-09",SUM($AW139)=0),"",0%)</f>
        <v/>
      </c>
      <c r="AY139" s="39" t="str">
        <f aca="false">IF(OR($C139="01-09",SUM($AW139)=0),"",ROUND($AW139*(1+$AX139),0))</f>
        <v/>
      </c>
      <c r="AZ139" s="88" t="n">
        <f aca="false">IF(OR($C139="01-09",$C139="10-14"),"",100%)</f>
        <v>1</v>
      </c>
      <c r="BA139" s="39" t="str">
        <f aca="false">IF(OR(SUM($AM139)=0,$C139="01-09",$C139="10-14"),"",$AM139*$AZ139)</f>
        <v/>
      </c>
    </row>
    <row r="140" customFormat="false" ht="15" hidden="false" customHeight="false" outlineLevel="0" collapsed="false">
      <c r="A140" s="0" t="str">
        <f aca="false">INDEX(Prioritization!$D:$D,MATCH($B140,Prioritization!$A:$A,0))</f>
        <v>1 - Scale-up: Saturation</v>
      </c>
      <c r="B140" s="0" t="s">
        <v>204</v>
      </c>
      <c r="C140" s="0" t="s">
        <v>365</v>
      </c>
      <c r="D140" s="0" t="s">
        <v>48</v>
      </c>
      <c r="E140" s="0" t="str">
        <f aca="false">$B140&amp;"|"&amp;$C140&amp;"|"&amp;$D140</f>
        <v>Chitipa District [GkIwZrXy1h2]|15-24|Male</v>
      </c>
      <c r="F140" s="88" t="n">
        <f aca="false">IF(LEFT($B140,4)="_Mil","",INDEX(Cascade!$AA:$AA,MATCH($E140,Cascade!$E:$E,0)))</f>
        <v>690</v>
      </c>
      <c r="G140" s="10" t="n">
        <f aca="false">INDEX(Cascade!$BH:$BH,MATCH($E140,Cascade!$E:$E,0))</f>
        <v>0</v>
      </c>
      <c r="H140" s="10" t="str">
        <f aca="false">IF(OR($C140="01-09",$D140="Male"),"",INDEX(PMTCT!$AC:$AC,MATCH($E140,PMTCT!$E:$E,0)))</f>
        <v/>
      </c>
      <c r="I140" s="10" t="str">
        <f aca="false">IF(OR($C140="01-09",$D140="Male"),"",INDEX(PMTCT!$AS:$AS,MATCH($E140,PMTCT!$E:$E,0)))</f>
        <v/>
      </c>
      <c r="J140" s="10" t="str">
        <f aca="false">INDEX(TB!$P:$P,MATCH($E140,TB!$E:$E,0))</f>
        <v/>
      </c>
      <c r="K140" s="10" t="str">
        <f aca="false">IF(OR($C140="01-09",$C140="10-14",$D140="Female"),"",INDEX(VMMC!$AA:$AA,MATCH($E140,VMMC!$E:$E,0)))</f>
        <v/>
      </c>
      <c r="L140" s="10" t="n">
        <f aca="false">SUM($G140)-SUM($H140:$K140)</f>
        <v>0</v>
      </c>
      <c r="M140" s="88" t="str">
        <f aca="false">IF(OR($C140="01-09",$D140="Male",AND(SUM($G140)=0,SUM($H140)=0)),"",SUM($H140)/SUM($G140))</f>
        <v/>
      </c>
      <c r="N140" s="88" t="str">
        <f aca="false">IF(OR($C140="01-09",$D140="Male",AND(SUM($G140)=0,SUM($I140)=0)),"",SUM($I140)/SUM($G140))</f>
        <v/>
      </c>
      <c r="O140" s="88" t="str">
        <f aca="false">IF(AND(SUM($G140)=0,SUM($J140)=0),"",SUM($J140)/SUM($G140))</f>
        <v/>
      </c>
      <c r="P140" s="88" t="str">
        <f aca="false">IF(OR($C140="01-09",$C140="10-14",$D140="Female",AND(SUM($G140)=0,SUM($K140)=0)),"",SUM($K140)/SUM($G140))</f>
        <v/>
      </c>
      <c r="Q140" s="88"/>
      <c r="R140" s="88"/>
      <c r="S140" s="88"/>
      <c r="T140" s="88"/>
      <c r="U140" s="88"/>
      <c r="V140" s="88" t="str">
        <f aca="false">IF(SUM($G140)=0,"",SUM($M140:$U140))</f>
        <v/>
      </c>
      <c r="W140" s="88"/>
      <c r="X140" s="39" t="str">
        <f aca="false">IF(OR(SUM($G140)=0,SUM($Q140)=0),"",ROUND(SUM($G140)*SUM($Q140),0))</f>
        <v/>
      </c>
      <c r="Y140" s="39" t="str">
        <f aca="false">IF(SUM($X140)=0,"",IF(SUM($W140)=0,"ENTER YIELD",ROUND($X140/$W140,0)-$X140))</f>
        <v/>
      </c>
      <c r="Z140" s="88"/>
      <c r="AA140" s="39" t="str">
        <f aca="false">IF(OR(SUM($G140)=0,SUM($R140)=0),"",ROUND(SUM($G140)*SUM($R140),0))</f>
        <v/>
      </c>
      <c r="AB140" s="39" t="str">
        <f aca="false">IF(SUM($AA140)=0,"",IF(SUM($Z140)=0,"ENTER YIELD",ROUND($AA140/$Z140,0)-$AA140))</f>
        <v/>
      </c>
      <c r="AC140" s="88"/>
      <c r="AD140" s="39" t="str">
        <f aca="false">IF(OR(SUM($G140)=0,SUM($S140)=0),"",ROUND(SUM($G140)*SUM($S140),0))</f>
        <v/>
      </c>
      <c r="AE140" s="39" t="str">
        <f aca="false">IF(SUM($AD140)=0,"",IF(SUM($AC140)=0,"ENTER YIELD",ROUND($AD140/$AC140,0)-$AD140))</f>
        <v/>
      </c>
      <c r="AF140" s="88"/>
      <c r="AG140" s="39" t="str">
        <f aca="false">IF(OR(SUM($G140)=0,SUM($T140)=0),"",ROUND(SUM($G140)*SUM($T140),0))</f>
        <v/>
      </c>
      <c r="AH140" s="39" t="str">
        <f aca="false">IF(SUM($AG140)=0,"",IF(SUM($AF140)=0,"ENTER YIELD",ROUND($AG140/$AF140,0)-$AG140))</f>
        <v/>
      </c>
      <c r="AI140" s="88"/>
      <c r="AJ140" s="39" t="str">
        <f aca="false">IF(OR(SUM($G140)=0,SUM($U140)=0),"",ROUND(SUM($G140)*SUM($U140),0))</f>
        <v/>
      </c>
      <c r="AK140" s="39" t="str">
        <f aca="false">IF(SUM($AJ140)=0,"",IF(SUM($AI140)=0,"ENTER YIELD",ROUND($AJ140/$AI140,0)-$AJ140))</f>
        <v/>
      </c>
      <c r="AL140" s="10" t="str">
        <f aca="false">IF(SUM($G140)=0,"",$G140)</f>
        <v/>
      </c>
      <c r="AM140" s="10" t="str">
        <f aca="false">IFERROR(1/(1/SUM($H140:$K140,$X140,$AA140,$AD140,$AG140,$AJ140)),"")</f>
        <v/>
      </c>
      <c r="AN140" s="10" t="str">
        <f aca="false">IF(AND(SUM($AM140)=0,SUM($AL140)=0),"",$AM140-$AL140)</f>
        <v/>
      </c>
      <c r="AO140" s="10" t="str">
        <f aca="false">IF(OR($C140="01-09",$D140="Male"),"",INDEX(PMTCT!$AD:$AD,MATCH($E140,PMTCT!$E:$E,0)))</f>
        <v/>
      </c>
      <c r="AP140" s="10" t="str">
        <f aca="false">IF(OR($C140="01-09",$D140="Male"),"",INDEX(PMTCT!$AT:$AT,MATCH($E140,PMTCT!$E:$E,0)))</f>
        <v/>
      </c>
      <c r="AQ140" s="10" t="str">
        <f aca="false">INDEX(TB!$Q:$Q,MATCH($E140,TB!$E:$E,0))</f>
        <v/>
      </c>
      <c r="AR140" s="10" t="str">
        <f aca="false">IF(OR($C140="01-09",$C140="10-14",$D140="Female"),"",INDEX(VMMC!$AB:$AB,MATCH($E140,VMMC!$E:$E,0)))</f>
        <v/>
      </c>
      <c r="AS140" s="10" t="str">
        <f aca="false">IF(OR($C140="01-09",$C140="10-14"),"",INDEX(PrEP!$Q:$Q,MATCH($E140,PrEP!$E:$E,0)))</f>
        <v/>
      </c>
      <c r="AT140" s="10" t="str">
        <f aca="false">IFERROR(1/(1/SUM($Y140,$AB140,$AE140,$AH140,$AK140,$AO140:$AS140)),"")</f>
        <v/>
      </c>
      <c r="AU140" s="10" t="str">
        <f aca="false">IFERROR(1/(1/SUM($AT140,$AM140)),"")</f>
        <v/>
      </c>
      <c r="AV140" s="88" t="str">
        <f aca="false">IF(AND(SUM($AM140)=0,SUM($AU140)=0),"",$AM140/$AU140)</f>
        <v/>
      </c>
      <c r="AW140" s="10"/>
      <c r="AX140" s="88" t="str">
        <f aca="false">IF(OR($C140="01-09",SUM($AW140)=0),"",0%)</f>
        <v/>
      </c>
      <c r="AY140" s="39" t="str">
        <f aca="false">IF(OR($C140="01-09",SUM($AW140)=0),"",ROUND($AW140*(1+$AX140),0))</f>
        <v/>
      </c>
      <c r="AZ140" s="88" t="n">
        <f aca="false">IF(OR($C140="01-09",$C140="10-14"),"",100%)</f>
        <v>1</v>
      </c>
      <c r="BA140" s="39" t="str">
        <f aca="false">IF(OR(SUM($AM140)=0,$C140="01-09",$C140="10-14"),"",$AM140*$AZ140)</f>
        <v/>
      </c>
    </row>
    <row r="141" customFormat="false" ht="15" hidden="false" customHeight="false" outlineLevel="0" collapsed="false">
      <c r="A141" s="0" t="str">
        <f aca="false">INDEX(Prioritization!$D:$D,MATCH($B141,Prioritization!$A:$A,0))</f>
        <v>1 - Scale-up: Saturation</v>
      </c>
      <c r="B141" s="0" t="s">
        <v>204</v>
      </c>
      <c r="C141" s="0" t="s">
        <v>366</v>
      </c>
      <c r="D141" s="0" t="s">
        <v>30</v>
      </c>
      <c r="E141" s="0" t="str">
        <f aca="false">$B141&amp;"|"&amp;$C141&amp;"|"&amp;$D141</f>
        <v>Chitipa District [GkIwZrXy1h2]|25-34|Female</v>
      </c>
      <c r="F141" s="88" t="n">
        <f aca="false">IF(LEFT($B141,4)="_Mil","",INDEX(Cascade!$AA:$AA,MATCH($E141,Cascade!$E:$E,0)))</f>
        <v>739</v>
      </c>
      <c r="G141" s="10" t="n">
        <f aca="false">INDEX(Cascade!$BH:$BH,MATCH($E141,Cascade!$E:$E,0))</f>
        <v>0</v>
      </c>
      <c r="H141" s="10" t="str">
        <f aca="false">IF(OR($C141="01-09",$D141="Male"),"",INDEX(PMTCT!$AC:$AC,MATCH($E141,PMTCT!$E:$E,0)))</f>
        <v/>
      </c>
      <c r="I141" s="10" t="str">
        <f aca="false">IF(OR($C141="01-09",$D141="Male"),"",INDEX(PMTCT!$AS:$AS,MATCH($E141,PMTCT!$E:$E,0)))</f>
        <v/>
      </c>
      <c r="J141" s="10" t="str">
        <f aca="false">INDEX(TB!$P:$P,MATCH($E141,TB!$E:$E,0))</f>
        <v/>
      </c>
      <c r="K141" s="10" t="str">
        <f aca="false">IF(OR($C141="01-09",$C141="10-14",$D141="Female"),"",INDEX(VMMC!$AA:$AA,MATCH($E141,VMMC!$E:$E,0)))</f>
        <v/>
      </c>
      <c r="L141" s="10" t="n">
        <f aca="false">SUM($G141)-SUM($H141:$K141)</f>
        <v>0</v>
      </c>
      <c r="M141" s="88" t="str">
        <f aca="false">IF(OR($C141="01-09",$D141="Male",AND(SUM($G141)=0,SUM($H141)=0)),"",SUM($H141)/SUM($G141))</f>
        <v/>
      </c>
      <c r="N141" s="88" t="str">
        <f aca="false">IF(OR($C141="01-09",$D141="Male",AND(SUM($G141)=0,SUM($I141)=0)),"",SUM($I141)/SUM($G141))</f>
        <v/>
      </c>
      <c r="O141" s="88" t="str">
        <f aca="false">IF(AND(SUM($G141)=0,SUM($J141)=0),"",SUM($J141)/SUM($G141))</f>
        <v/>
      </c>
      <c r="P141" s="88" t="str">
        <f aca="false">IF(OR($C141="01-09",$C141="10-14",$D141="Female",AND(SUM($G141)=0,SUM($K141)=0)),"",SUM($K141)/SUM($G141))</f>
        <v/>
      </c>
      <c r="Q141" s="88"/>
      <c r="R141" s="88"/>
      <c r="S141" s="88"/>
      <c r="T141" s="88"/>
      <c r="U141" s="88"/>
      <c r="V141" s="88" t="str">
        <f aca="false">IF(SUM($G141)=0,"",SUM($M141:$U141))</f>
        <v/>
      </c>
      <c r="W141" s="88"/>
      <c r="X141" s="39" t="str">
        <f aca="false">IF(OR(SUM($G141)=0,SUM($Q141)=0),"",ROUND(SUM($G141)*SUM($Q141),0))</f>
        <v/>
      </c>
      <c r="Y141" s="39" t="str">
        <f aca="false">IF(SUM($X141)=0,"",IF(SUM($W141)=0,"ENTER YIELD",ROUND($X141/$W141,0)-$X141))</f>
        <v/>
      </c>
      <c r="Z141" s="88"/>
      <c r="AA141" s="39" t="str">
        <f aca="false">IF(OR(SUM($G141)=0,SUM($R141)=0),"",ROUND(SUM($G141)*SUM($R141),0))</f>
        <v/>
      </c>
      <c r="AB141" s="39" t="str">
        <f aca="false">IF(SUM($AA141)=0,"",IF(SUM($Z141)=0,"ENTER YIELD",ROUND($AA141/$Z141,0)-$AA141))</f>
        <v/>
      </c>
      <c r="AC141" s="88"/>
      <c r="AD141" s="39" t="str">
        <f aca="false">IF(OR(SUM($G141)=0,SUM($S141)=0),"",ROUND(SUM($G141)*SUM($S141),0))</f>
        <v/>
      </c>
      <c r="AE141" s="39" t="str">
        <f aca="false">IF(SUM($AD141)=0,"",IF(SUM($AC141)=0,"ENTER YIELD",ROUND($AD141/$AC141,0)-$AD141))</f>
        <v/>
      </c>
      <c r="AF141" s="88"/>
      <c r="AG141" s="39" t="str">
        <f aca="false">IF(OR(SUM($G141)=0,SUM($T141)=0),"",ROUND(SUM($G141)*SUM($T141),0))</f>
        <v/>
      </c>
      <c r="AH141" s="39" t="str">
        <f aca="false">IF(SUM($AG141)=0,"",IF(SUM($AF141)=0,"ENTER YIELD",ROUND($AG141/$AF141,0)-$AG141))</f>
        <v/>
      </c>
      <c r="AI141" s="88"/>
      <c r="AJ141" s="39" t="str">
        <f aca="false">IF(OR(SUM($G141)=0,SUM($U141)=0),"",ROUND(SUM($G141)*SUM($U141),0))</f>
        <v/>
      </c>
      <c r="AK141" s="39" t="str">
        <f aca="false">IF(SUM($AJ141)=0,"",IF(SUM($AI141)=0,"ENTER YIELD",ROUND($AJ141/$AI141,0)-$AJ141))</f>
        <v/>
      </c>
      <c r="AL141" s="10" t="str">
        <f aca="false">IF(SUM($G141)=0,"",$G141)</f>
        <v/>
      </c>
      <c r="AM141" s="10" t="str">
        <f aca="false">IFERROR(1/(1/SUM($H141:$K141,$X141,$AA141,$AD141,$AG141,$AJ141)),"")</f>
        <v/>
      </c>
      <c r="AN141" s="10" t="str">
        <f aca="false">IF(AND(SUM($AM141)=0,SUM($AL141)=0),"",$AM141-$AL141)</f>
        <v/>
      </c>
      <c r="AO141" s="10" t="str">
        <f aca="false">IF(OR($C141="01-09",$D141="Male"),"",INDEX(PMTCT!$AD:$AD,MATCH($E141,PMTCT!$E:$E,0)))</f>
        <v/>
      </c>
      <c r="AP141" s="10" t="str">
        <f aca="false">IF(OR($C141="01-09",$D141="Male"),"",INDEX(PMTCT!$AT:$AT,MATCH($E141,PMTCT!$E:$E,0)))</f>
        <v/>
      </c>
      <c r="AQ141" s="10" t="str">
        <f aca="false">INDEX(TB!$Q:$Q,MATCH($E141,TB!$E:$E,0))</f>
        <v/>
      </c>
      <c r="AR141" s="10" t="str">
        <f aca="false">IF(OR($C141="01-09",$C141="10-14",$D141="Female"),"",INDEX(VMMC!$AB:$AB,MATCH($E141,VMMC!$E:$E,0)))</f>
        <v/>
      </c>
      <c r="AS141" s="10" t="str">
        <f aca="false">IF(OR($C141="01-09",$C141="10-14"),"",INDEX(PrEP!$Q:$Q,MATCH($E141,PrEP!$E:$E,0)))</f>
        <v/>
      </c>
      <c r="AT141" s="10" t="str">
        <f aca="false">IFERROR(1/(1/SUM($Y141,$AB141,$AE141,$AH141,$AK141,$AO141:$AS141)),"")</f>
        <v/>
      </c>
      <c r="AU141" s="10" t="str">
        <f aca="false">IFERROR(1/(1/SUM($AT141,$AM141)),"")</f>
        <v/>
      </c>
      <c r="AV141" s="88" t="str">
        <f aca="false">IF(AND(SUM($AM141)=0,SUM($AU141)=0),"",$AM141/$AU141)</f>
        <v/>
      </c>
      <c r="AW141" s="10"/>
      <c r="AX141" s="88" t="str">
        <f aca="false">IF(OR($C141="01-09",SUM($AW141)=0),"",0%)</f>
        <v/>
      </c>
      <c r="AY141" s="39" t="str">
        <f aca="false">IF(OR($C141="01-09",SUM($AW141)=0),"",ROUND($AW141*(1+$AX141),0))</f>
        <v/>
      </c>
      <c r="AZ141" s="88" t="n">
        <f aca="false">IF(OR($C141="01-09",$C141="10-14"),"",100%)</f>
        <v>1</v>
      </c>
      <c r="BA141" s="39" t="str">
        <f aca="false">IF(OR(SUM($AM141)=0,$C141="01-09",$C141="10-14"),"",$AM141*$AZ141)</f>
        <v/>
      </c>
    </row>
    <row r="142" customFormat="false" ht="15" hidden="false" customHeight="false" outlineLevel="0" collapsed="false">
      <c r="A142" s="0" t="str">
        <f aca="false">INDEX(Prioritization!$D:$D,MATCH($B142,Prioritization!$A:$A,0))</f>
        <v>1 - Scale-up: Saturation</v>
      </c>
      <c r="B142" s="0" t="s">
        <v>204</v>
      </c>
      <c r="C142" s="0" t="s">
        <v>366</v>
      </c>
      <c r="D142" s="0" t="s">
        <v>48</v>
      </c>
      <c r="E142" s="0" t="str">
        <f aca="false">$B142&amp;"|"&amp;$C142&amp;"|"&amp;$D142</f>
        <v>Chitipa District [GkIwZrXy1h2]|25-34|Male</v>
      </c>
      <c r="F142" s="88" t="n">
        <f aca="false">IF(LEFT($B142,4)="_Mil","",INDEX(Cascade!$AA:$AA,MATCH($E142,Cascade!$E:$E,0)))</f>
        <v>647</v>
      </c>
      <c r="G142" s="10" t="n">
        <f aca="false">INDEX(Cascade!$BH:$BH,MATCH($E142,Cascade!$E:$E,0))</f>
        <v>0</v>
      </c>
      <c r="H142" s="10" t="str">
        <f aca="false">IF(OR($C142="01-09",$D142="Male"),"",INDEX(PMTCT!$AC:$AC,MATCH($E142,PMTCT!$E:$E,0)))</f>
        <v/>
      </c>
      <c r="I142" s="10" t="str">
        <f aca="false">IF(OR($C142="01-09",$D142="Male"),"",INDEX(PMTCT!$AS:$AS,MATCH($E142,PMTCT!$E:$E,0)))</f>
        <v/>
      </c>
      <c r="J142" s="10" t="str">
        <f aca="false">INDEX(TB!$P:$P,MATCH($E142,TB!$E:$E,0))</f>
        <v/>
      </c>
      <c r="K142" s="10" t="str">
        <f aca="false">IF(OR($C142="01-09",$C142="10-14",$D142="Female"),"",INDEX(VMMC!$AA:$AA,MATCH($E142,VMMC!$E:$E,0)))</f>
        <v/>
      </c>
      <c r="L142" s="10" t="n">
        <f aca="false">SUM($G142)-SUM($H142:$K142)</f>
        <v>0</v>
      </c>
      <c r="M142" s="88" t="str">
        <f aca="false">IF(OR($C142="01-09",$D142="Male",AND(SUM($G142)=0,SUM($H142)=0)),"",SUM($H142)/SUM($G142))</f>
        <v/>
      </c>
      <c r="N142" s="88" t="str">
        <f aca="false">IF(OR($C142="01-09",$D142="Male",AND(SUM($G142)=0,SUM($I142)=0)),"",SUM($I142)/SUM($G142))</f>
        <v/>
      </c>
      <c r="O142" s="88" t="str">
        <f aca="false">IF(AND(SUM($G142)=0,SUM($J142)=0),"",SUM($J142)/SUM($G142))</f>
        <v/>
      </c>
      <c r="P142" s="88" t="str">
        <f aca="false">IF(OR($C142="01-09",$C142="10-14",$D142="Female",AND(SUM($G142)=0,SUM($K142)=0)),"",SUM($K142)/SUM($G142))</f>
        <v/>
      </c>
      <c r="Q142" s="88"/>
      <c r="R142" s="88"/>
      <c r="S142" s="88"/>
      <c r="T142" s="88"/>
      <c r="U142" s="88"/>
      <c r="V142" s="88" t="str">
        <f aca="false">IF(SUM($G142)=0,"",SUM($M142:$U142))</f>
        <v/>
      </c>
      <c r="W142" s="88"/>
      <c r="X142" s="39" t="str">
        <f aca="false">IF(OR(SUM($G142)=0,SUM($Q142)=0),"",ROUND(SUM($G142)*SUM($Q142),0))</f>
        <v/>
      </c>
      <c r="Y142" s="39" t="str">
        <f aca="false">IF(SUM($X142)=0,"",IF(SUM($W142)=0,"ENTER YIELD",ROUND($X142/$W142,0)-$X142))</f>
        <v/>
      </c>
      <c r="Z142" s="88"/>
      <c r="AA142" s="39" t="str">
        <f aca="false">IF(OR(SUM($G142)=0,SUM($R142)=0),"",ROUND(SUM($G142)*SUM($R142),0))</f>
        <v/>
      </c>
      <c r="AB142" s="39" t="str">
        <f aca="false">IF(SUM($AA142)=0,"",IF(SUM($Z142)=0,"ENTER YIELD",ROUND($AA142/$Z142,0)-$AA142))</f>
        <v/>
      </c>
      <c r="AC142" s="88"/>
      <c r="AD142" s="39" t="str">
        <f aca="false">IF(OR(SUM($G142)=0,SUM($S142)=0),"",ROUND(SUM($G142)*SUM($S142),0))</f>
        <v/>
      </c>
      <c r="AE142" s="39" t="str">
        <f aca="false">IF(SUM($AD142)=0,"",IF(SUM($AC142)=0,"ENTER YIELD",ROUND($AD142/$AC142,0)-$AD142))</f>
        <v/>
      </c>
      <c r="AF142" s="88"/>
      <c r="AG142" s="39" t="str">
        <f aca="false">IF(OR(SUM($G142)=0,SUM($T142)=0),"",ROUND(SUM($G142)*SUM($T142),0))</f>
        <v/>
      </c>
      <c r="AH142" s="39" t="str">
        <f aca="false">IF(SUM($AG142)=0,"",IF(SUM($AF142)=0,"ENTER YIELD",ROUND($AG142/$AF142,0)-$AG142))</f>
        <v/>
      </c>
      <c r="AI142" s="88"/>
      <c r="AJ142" s="39" t="str">
        <f aca="false">IF(OR(SUM($G142)=0,SUM($U142)=0),"",ROUND(SUM($G142)*SUM($U142),0))</f>
        <v/>
      </c>
      <c r="AK142" s="39" t="str">
        <f aca="false">IF(SUM($AJ142)=0,"",IF(SUM($AI142)=0,"ENTER YIELD",ROUND($AJ142/$AI142,0)-$AJ142))</f>
        <v/>
      </c>
      <c r="AL142" s="10" t="str">
        <f aca="false">IF(SUM($G142)=0,"",$G142)</f>
        <v/>
      </c>
      <c r="AM142" s="10" t="str">
        <f aca="false">IFERROR(1/(1/SUM($H142:$K142,$X142,$AA142,$AD142,$AG142,$AJ142)),"")</f>
        <v/>
      </c>
      <c r="AN142" s="10" t="str">
        <f aca="false">IF(AND(SUM($AM142)=0,SUM($AL142)=0),"",$AM142-$AL142)</f>
        <v/>
      </c>
      <c r="AO142" s="10" t="str">
        <f aca="false">IF(OR($C142="01-09",$D142="Male"),"",INDEX(PMTCT!$AD:$AD,MATCH($E142,PMTCT!$E:$E,0)))</f>
        <v/>
      </c>
      <c r="AP142" s="10" t="str">
        <f aca="false">IF(OR($C142="01-09",$D142="Male"),"",INDEX(PMTCT!$AT:$AT,MATCH($E142,PMTCT!$E:$E,0)))</f>
        <v/>
      </c>
      <c r="AQ142" s="10" t="str">
        <f aca="false">INDEX(TB!$Q:$Q,MATCH($E142,TB!$E:$E,0))</f>
        <v/>
      </c>
      <c r="AR142" s="10" t="str">
        <f aca="false">IF(OR($C142="01-09",$C142="10-14",$D142="Female"),"",INDEX(VMMC!$AB:$AB,MATCH($E142,VMMC!$E:$E,0)))</f>
        <v/>
      </c>
      <c r="AS142" s="10" t="str">
        <f aca="false">IF(OR($C142="01-09",$C142="10-14"),"",INDEX(PrEP!$Q:$Q,MATCH($E142,PrEP!$E:$E,0)))</f>
        <v/>
      </c>
      <c r="AT142" s="10" t="str">
        <f aca="false">IFERROR(1/(1/SUM($Y142,$AB142,$AE142,$AH142,$AK142,$AO142:$AS142)),"")</f>
        <v/>
      </c>
      <c r="AU142" s="10" t="str">
        <f aca="false">IFERROR(1/(1/SUM($AT142,$AM142)),"")</f>
        <v/>
      </c>
      <c r="AV142" s="88" t="str">
        <f aca="false">IF(AND(SUM($AM142)=0,SUM($AU142)=0),"",$AM142/$AU142)</f>
        <v/>
      </c>
      <c r="AW142" s="10"/>
      <c r="AX142" s="88" t="str">
        <f aca="false">IF(OR($C142="01-09",SUM($AW142)=0),"",0%)</f>
        <v/>
      </c>
      <c r="AY142" s="39" t="str">
        <f aca="false">IF(OR($C142="01-09",SUM($AW142)=0),"",ROUND($AW142*(1+$AX142),0))</f>
        <v/>
      </c>
      <c r="AZ142" s="88" t="n">
        <f aca="false">IF(OR($C142="01-09",$C142="10-14"),"",100%)</f>
        <v>1</v>
      </c>
      <c r="BA142" s="39" t="str">
        <f aca="false">IF(OR(SUM($AM142)=0,$C142="01-09",$C142="10-14"),"",$AM142*$AZ142)</f>
        <v/>
      </c>
    </row>
    <row r="143" customFormat="false" ht="15" hidden="false" customHeight="false" outlineLevel="0" collapsed="false">
      <c r="A143" s="0" t="str">
        <f aca="false">INDEX(Prioritization!$D:$D,MATCH($B143,Prioritization!$A:$A,0))</f>
        <v>1 - Scale-up: Saturation</v>
      </c>
      <c r="B143" s="0" t="s">
        <v>204</v>
      </c>
      <c r="C143" s="0" t="s">
        <v>367</v>
      </c>
      <c r="D143" s="0" t="s">
        <v>30</v>
      </c>
      <c r="E143" s="0" t="str">
        <f aca="false">$B143&amp;"|"&amp;$C143&amp;"|"&amp;$D143</f>
        <v>Chitipa District [GkIwZrXy1h2]|35-49|Female</v>
      </c>
      <c r="F143" s="88" t="n">
        <f aca="false">IF(LEFT($B143,4)="_Mil","",INDEX(Cascade!$AA:$AA,MATCH($E143,Cascade!$E:$E,0)))</f>
        <v>1516</v>
      </c>
      <c r="G143" s="10" t="n">
        <f aca="false">INDEX(Cascade!$BH:$BH,MATCH($E143,Cascade!$E:$E,0))</f>
        <v>0</v>
      </c>
      <c r="H143" s="10" t="str">
        <f aca="false">IF(OR($C143="01-09",$D143="Male"),"",INDEX(PMTCT!$AC:$AC,MATCH($E143,PMTCT!$E:$E,0)))</f>
        <v/>
      </c>
      <c r="I143" s="10" t="str">
        <f aca="false">IF(OR($C143="01-09",$D143="Male"),"",INDEX(PMTCT!$AS:$AS,MATCH($E143,PMTCT!$E:$E,0)))</f>
        <v/>
      </c>
      <c r="J143" s="10" t="str">
        <f aca="false">INDEX(TB!$P:$P,MATCH($E143,TB!$E:$E,0))</f>
        <v/>
      </c>
      <c r="K143" s="10" t="str">
        <f aca="false">IF(OR($C143="01-09",$C143="10-14",$D143="Female"),"",INDEX(VMMC!$AA:$AA,MATCH($E143,VMMC!$E:$E,0)))</f>
        <v/>
      </c>
      <c r="L143" s="10" t="n">
        <f aca="false">SUM($G143)-SUM($H143:$K143)</f>
        <v>0</v>
      </c>
      <c r="M143" s="88" t="str">
        <f aca="false">IF(OR($C143="01-09",$D143="Male",AND(SUM($G143)=0,SUM($H143)=0)),"",SUM($H143)/SUM($G143))</f>
        <v/>
      </c>
      <c r="N143" s="88" t="str">
        <f aca="false">IF(OR($C143="01-09",$D143="Male",AND(SUM($G143)=0,SUM($I143)=0)),"",SUM($I143)/SUM($G143))</f>
        <v/>
      </c>
      <c r="O143" s="88" t="str">
        <f aca="false">IF(AND(SUM($G143)=0,SUM($J143)=0),"",SUM($J143)/SUM($G143))</f>
        <v/>
      </c>
      <c r="P143" s="88" t="str">
        <f aca="false">IF(OR($C143="01-09",$C143="10-14",$D143="Female",AND(SUM($G143)=0,SUM($K143)=0)),"",SUM($K143)/SUM($G143))</f>
        <v/>
      </c>
      <c r="Q143" s="88"/>
      <c r="R143" s="88"/>
      <c r="S143" s="88"/>
      <c r="T143" s="88"/>
      <c r="U143" s="88"/>
      <c r="V143" s="88" t="str">
        <f aca="false">IF(SUM($G143)=0,"",SUM($M143:$U143))</f>
        <v/>
      </c>
      <c r="W143" s="88"/>
      <c r="X143" s="39" t="str">
        <f aca="false">IF(OR(SUM($G143)=0,SUM($Q143)=0),"",ROUND(SUM($G143)*SUM($Q143),0))</f>
        <v/>
      </c>
      <c r="Y143" s="39" t="str">
        <f aca="false">IF(SUM($X143)=0,"",IF(SUM($W143)=0,"ENTER YIELD",ROUND($X143/$W143,0)-$X143))</f>
        <v/>
      </c>
      <c r="Z143" s="88"/>
      <c r="AA143" s="39" t="str">
        <f aca="false">IF(OR(SUM($G143)=0,SUM($R143)=0),"",ROUND(SUM($G143)*SUM($R143),0))</f>
        <v/>
      </c>
      <c r="AB143" s="39" t="str">
        <f aca="false">IF(SUM($AA143)=0,"",IF(SUM($Z143)=0,"ENTER YIELD",ROUND($AA143/$Z143,0)-$AA143))</f>
        <v/>
      </c>
      <c r="AC143" s="88"/>
      <c r="AD143" s="39" t="str">
        <f aca="false">IF(OR(SUM($G143)=0,SUM($S143)=0),"",ROUND(SUM($G143)*SUM($S143),0))</f>
        <v/>
      </c>
      <c r="AE143" s="39" t="str">
        <f aca="false">IF(SUM($AD143)=0,"",IF(SUM($AC143)=0,"ENTER YIELD",ROUND($AD143/$AC143,0)-$AD143))</f>
        <v/>
      </c>
      <c r="AF143" s="88"/>
      <c r="AG143" s="39" t="str">
        <f aca="false">IF(OR(SUM($G143)=0,SUM($T143)=0),"",ROUND(SUM($G143)*SUM($T143),0))</f>
        <v/>
      </c>
      <c r="AH143" s="39" t="str">
        <f aca="false">IF(SUM($AG143)=0,"",IF(SUM($AF143)=0,"ENTER YIELD",ROUND($AG143/$AF143,0)-$AG143))</f>
        <v/>
      </c>
      <c r="AI143" s="88"/>
      <c r="AJ143" s="39" t="str">
        <f aca="false">IF(OR(SUM($G143)=0,SUM($U143)=0),"",ROUND(SUM($G143)*SUM($U143),0))</f>
        <v/>
      </c>
      <c r="AK143" s="39" t="str">
        <f aca="false">IF(SUM($AJ143)=0,"",IF(SUM($AI143)=0,"ENTER YIELD",ROUND($AJ143/$AI143,0)-$AJ143))</f>
        <v/>
      </c>
      <c r="AL143" s="10" t="str">
        <f aca="false">IF(SUM($G143)=0,"",$G143)</f>
        <v/>
      </c>
      <c r="AM143" s="10" t="str">
        <f aca="false">IFERROR(1/(1/SUM($H143:$K143,$X143,$AA143,$AD143,$AG143,$AJ143)),"")</f>
        <v/>
      </c>
      <c r="AN143" s="10" t="str">
        <f aca="false">IF(AND(SUM($AM143)=0,SUM($AL143)=0),"",$AM143-$AL143)</f>
        <v/>
      </c>
      <c r="AO143" s="10" t="str">
        <f aca="false">IF(OR($C143="01-09",$D143="Male"),"",INDEX(PMTCT!$AD:$AD,MATCH($E143,PMTCT!$E:$E,0)))</f>
        <v/>
      </c>
      <c r="AP143" s="10" t="str">
        <f aca="false">IF(OR($C143="01-09",$D143="Male"),"",INDEX(PMTCT!$AT:$AT,MATCH($E143,PMTCT!$E:$E,0)))</f>
        <v/>
      </c>
      <c r="AQ143" s="10" t="str">
        <f aca="false">INDEX(TB!$Q:$Q,MATCH($E143,TB!$E:$E,0))</f>
        <v/>
      </c>
      <c r="AR143" s="10" t="str">
        <f aca="false">IF(OR($C143="01-09",$C143="10-14",$D143="Female"),"",INDEX(VMMC!$AB:$AB,MATCH($E143,VMMC!$E:$E,0)))</f>
        <v/>
      </c>
      <c r="AS143" s="10" t="str">
        <f aca="false">IF(OR($C143="01-09",$C143="10-14"),"",INDEX(PrEP!$Q:$Q,MATCH($E143,PrEP!$E:$E,0)))</f>
        <v/>
      </c>
      <c r="AT143" s="10" t="str">
        <f aca="false">IFERROR(1/(1/SUM($Y143,$AB143,$AE143,$AH143,$AK143,$AO143:$AS143)),"")</f>
        <v/>
      </c>
      <c r="AU143" s="10" t="str">
        <f aca="false">IFERROR(1/(1/SUM($AT143,$AM143)),"")</f>
        <v/>
      </c>
      <c r="AV143" s="88" t="str">
        <f aca="false">IF(AND(SUM($AM143)=0,SUM($AU143)=0),"",$AM143/$AU143)</f>
        <v/>
      </c>
      <c r="AW143" s="10"/>
      <c r="AX143" s="88" t="str">
        <f aca="false">IF(OR($C143="01-09",SUM($AW143)=0),"",0%)</f>
        <v/>
      </c>
      <c r="AY143" s="39" t="str">
        <f aca="false">IF(OR($C143="01-09",SUM($AW143)=0),"",ROUND($AW143*(1+$AX143),0))</f>
        <v/>
      </c>
      <c r="AZ143" s="88" t="n">
        <f aca="false">IF(OR($C143="01-09",$C143="10-14"),"",100%)</f>
        <v>1</v>
      </c>
      <c r="BA143" s="39" t="str">
        <f aca="false">IF(OR(SUM($AM143)=0,$C143="01-09",$C143="10-14"),"",$AM143*$AZ143)</f>
        <v/>
      </c>
    </row>
    <row r="144" customFormat="false" ht="15" hidden="false" customHeight="false" outlineLevel="0" collapsed="false">
      <c r="A144" s="0" t="str">
        <f aca="false">INDEX(Prioritization!$D:$D,MATCH($B144,Prioritization!$A:$A,0))</f>
        <v>1 - Scale-up: Saturation</v>
      </c>
      <c r="B144" s="0" t="s">
        <v>204</v>
      </c>
      <c r="C144" s="0" t="s">
        <v>367</v>
      </c>
      <c r="D144" s="0" t="s">
        <v>48</v>
      </c>
      <c r="E144" s="0" t="str">
        <f aca="false">$B144&amp;"|"&amp;$C144&amp;"|"&amp;$D144</f>
        <v>Chitipa District [GkIwZrXy1h2]|35-49|Male</v>
      </c>
      <c r="F144" s="88" t="n">
        <f aca="false">IF(LEFT($B144,4)="_Mil","",INDEX(Cascade!$AA:$AA,MATCH($E144,Cascade!$E:$E,0)))</f>
        <v>1192</v>
      </c>
      <c r="G144" s="10" t="n">
        <f aca="false">INDEX(Cascade!$BH:$BH,MATCH($E144,Cascade!$E:$E,0))</f>
        <v>0</v>
      </c>
      <c r="H144" s="10" t="str">
        <f aca="false">IF(OR($C144="01-09",$D144="Male"),"",INDEX(PMTCT!$AC:$AC,MATCH($E144,PMTCT!$E:$E,0)))</f>
        <v/>
      </c>
      <c r="I144" s="10" t="str">
        <f aca="false">IF(OR($C144="01-09",$D144="Male"),"",INDEX(PMTCT!$AS:$AS,MATCH($E144,PMTCT!$E:$E,0)))</f>
        <v/>
      </c>
      <c r="J144" s="10" t="str">
        <f aca="false">INDEX(TB!$P:$P,MATCH($E144,TB!$E:$E,0))</f>
        <v/>
      </c>
      <c r="K144" s="10" t="str">
        <f aca="false">IF(OR($C144="01-09",$C144="10-14",$D144="Female"),"",INDEX(VMMC!$AA:$AA,MATCH($E144,VMMC!$E:$E,0)))</f>
        <v/>
      </c>
      <c r="L144" s="10" t="n">
        <f aca="false">SUM($G144)-SUM($H144:$K144)</f>
        <v>0</v>
      </c>
      <c r="M144" s="88" t="str">
        <f aca="false">IF(OR($C144="01-09",$D144="Male",AND(SUM($G144)=0,SUM($H144)=0)),"",SUM($H144)/SUM($G144))</f>
        <v/>
      </c>
      <c r="N144" s="88" t="str">
        <f aca="false">IF(OR($C144="01-09",$D144="Male",AND(SUM($G144)=0,SUM($I144)=0)),"",SUM($I144)/SUM($G144))</f>
        <v/>
      </c>
      <c r="O144" s="88" t="str">
        <f aca="false">IF(AND(SUM($G144)=0,SUM($J144)=0),"",SUM($J144)/SUM($G144))</f>
        <v/>
      </c>
      <c r="P144" s="88" t="str">
        <f aca="false">IF(OR($C144="01-09",$C144="10-14",$D144="Female",AND(SUM($G144)=0,SUM($K144)=0)),"",SUM($K144)/SUM($G144))</f>
        <v/>
      </c>
      <c r="Q144" s="88"/>
      <c r="R144" s="88"/>
      <c r="S144" s="88"/>
      <c r="T144" s="88"/>
      <c r="U144" s="88"/>
      <c r="V144" s="88" t="str">
        <f aca="false">IF(SUM($G144)=0,"",SUM($M144:$U144))</f>
        <v/>
      </c>
      <c r="W144" s="88"/>
      <c r="X144" s="39" t="str">
        <f aca="false">IF(OR(SUM($G144)=0,SUM($Q144)=0),"",ROUND(SUM($G144)*SUM($Q144),0))</f>
        <v/>
      </c>
      <c r="Y144" s="39" t="str">
        <f aca="false">IF(SUM($X144)=0,"",IF(SUM($W144)=0,"ENTER YIELD",ROUND($X144/$W144,0)-$X144))</f>
        <v/>
      </c>
      <c r="Z144" s="88"/>
      <c r="AA144" s="39" t="str">
        <f aca="false">IF(OR(SUM($G144)=0,SUM($R144)=0),"",ROUND(SUM($G144)*SUM($R144),0))</f>
        <v/>
      </c>
      <c r="AB144" s="39" t="str">
        <f aca="false">IF(SUM($AA144)=0,"",IF(SUM($Z144)=0,"ENTER YIELD",ROUND($AA144/$Z144,0)-$AA144))</f>
        <v/>
      </c>
      <c r="AC144" s="88"/>
      <c r="AD144" s="39" t="str">
        <f aca="false">IF(OR(SUM($G144)=0,SUM($S144)=0),"",ROUND(SUM($G144)*SUM($S144),0))</f>
        <v/>
      </c>
      <c r="AE144" s="39" t="str">
        <f aca="false">IF(SUM($AD144)=0,"",IF(SUM($AC144)=0,"ENTER YIELD",ROUND($AD144/$AC144,0)-$AD144))</f>
        <v/>
      </c>
      <c r="AF144" s="88"/>
      <c r="AG144" s="39" t="str">
        <f aca="false">IF(OR(SUM($G144)=0,SUM($T144)=0),"",ROUND(SUM($G144)*SUM($T144),0))</f>
        <v/>
      </c>
      <c r="AH144" s="39" t="str">
        <f aca="false">IF(SUM($AG144)=0,"",IF(SUM($AF144)=0,"ENTER YIELD",ROUND($AG144/$AF144,0)-$AG144))</f>
        <v/>
      </c>
      <c r="AI144" s="88"/>
      <c r="AJ144" s="39" t="str">
        <f aca="false">IF(OR(SUM($G144)=0,SUM($U144)=0),"",ROUND(SUM($G144)*SUM($U144),0))</f>
        <v/>
      </c>
      <c r="AK144" s="39" t="str">
        <f aca="false">IF(SUM($AJ144)=0,"",IF(SUM($AI144)=0,"ENTER YIELD",ROUND($AJ144/$AI144,0)-$AJ144))</f>
        <v/>
      </c>
      <c r="AL144" s="10" t="str">
        <f aca="false">IF(SUM($G144)=0,"",$G144)</f>
        <v/>
      </c>
      <c r="AM144" s="10" t="str">
        <f aca="false">IFERROR(1/(1/SUM($H144:$K144,$X144,$AA144,$AD144,$AG144,$AJ144)),"")</f>
        <v/>
      </c>
      <c r="AN144" s="10" t="str">
        <f aca="false">IF(AND(SUM($AM144)=0,SUM($AL144)=0),"",$AM144-$AL144)</f>
        <v/>
      </c>
      <c r="AO144" s="10" t="str">
        <f aca="false">IF(OR($C144="01-09",$D144="Male"),"",INDEX(PMTCT!$AD:$AD,MATCH($E144,PMTCT!$E:$E,0)))</f>
        <v/>
      </c>
      <c r="AP144" s="10" t="str">
        <f aca="false">IF(OR($C144="01-09",$D144="Male"),"",INDEX(PMTCT!$AT:$AT,MATCH($E144,PMTCT!$E:$E,0)))</f>
        <v/>
      </c>
      <c r="AQ144" s="10" t="str">
        <f aca="false">INDEX(TB!$Q:$Q,MATCH($E144,TB!$E:$E,0))</f>
        <v/>
      </c>
      <c r="AR144" s="10" t="str">
        <f aca="false">IF(OR($C144="01-09",$C144="10-14",$D144="Female"),"",INDEX(VMMC!$AB:$AB,MATCH($E144,VMMC!$E:$E,0)))</f>
        <v/>
      </c>
      <c r="AS144" s="10" t="str">
        <f aca="false">IF(OR($C144="01-09",$C144="10-14"),"",INDEX(PrEP!$Q:$Q,MATCH($E144,PrEP!$E:$E,0)))</f>
        <v/>
      </c>
      <c r="AT144" s="10" t="str">
        <f aca="false">IFERROR(1/(1/SUM($Y144,$AB144,$AE144,$AH144,$AK144,$AO144:$AS144)),"")</f>
        <v/>
      </c>
      <c r="AU144" s="10" t="str">
        <f aca="false">IFERROR(1/(1/SUM($AT144,$AM144)),"")</f>
        <v/>
      </c>
      <c r="AV144" s="88" t="str">
        <f aca="false">IF(AND(SUM($AM144)=0,SUM($AU144)=0),"",$AM144/$AU144)</f>
        <v/>
      </c>
      <c r="AW144" s="10"/>
      <c r="AX144" s="88" t="str">
        <f aca="false">IF(OR($C144="01-09",SUM($AW144)=0),"",0%)</f>
        <v/>
      </c>
      <c r="AY144" s="39" t="str">
        <f aca="false">IF(OR($C144="01-09",SUM($AW144)=0),"",ROUND($AW144*(1+$AX144),0))</f>
        <v/>
      </c>
      <c r="AZ144" s="88" t="n">
        <f aca="false">IF(OR($C144="01-09",$C144="10-14"),"",100%)</f>
        <v>1</v>
      </c>
      <c r="BA144" s="39" t="str">
        <f aca="false">IF(OR(SUM($AM144)=0,$C144="01-09",$C144="10-14"),"",$AM144*$AZ144)</f>
        <v/>
      </c>
    </row>
    <row r="145" customFormat="false" ht="15" hidden="false" customHeight="false" outlineLevel="0" collapsed="false">
      <c r="A145" s="0" t="str">
        <f aca="false">INDEX(Prioritization!$D:$D,MATCH($B145,Prioritization!$A:$A,0))</f>
        <v>1 - Scale-up: Saturation</v>
      </c>
      <c r="B145" s="0" t="s">
        <v>204</v>
      </c>
      <c r="C145" s="0" t="s">
        <v>368</v>
      </c>
      <c r="D145" s="0" t="s">
        <v>30</v>
      </c>
      <c r="E145" s="0" t="str">
        <f aca="false">$B145&amp;"|"&amp;$C145&amp;"|"&amp;$D145</f>
        <v>Chitipa District [GkIwZrXy1h2]|50+|Female</v>
      </c>
      <c r="F145" s="88" t="n">
        <f aca="false">IF(LEFT($B145,4)="_Mil","",INDEX(Cascade!$AA:$AA,MATCH($E145,Cascade!$E:$E,0)))</f>
        <v>868</v>
      </c>
      <c r="G145" s="10" t="n">
        <f aca="false">INDEX(Cascade!$BH:$BH,MATCH($E145,Cascade!$E:$E,0))</f>
        <v>0</v>
      </c>
      <c r="H145" s="10" t="str">
        <f aca="false">IF(OR($C145="01-09",$D145="Male"),"",INDEX(PMTCT!$AC:$AC,MATCH($E145,PMTCT!$E:$E,0)))</f>
        <v/>
      </c>
      <c r="I145" s="10" t="str">
        <f aca="false">IF(OR($C145="01-09",$D145="Male"),"",INDEX(PMTCT!$AS:$AS,MATCH($E145,PMTCT!$E:$E,0)))</f>
        <v/>
      </c>
      <c r="J145" s="10" t="str">
        <f aca="false">INDEX(TB!$P:$P,MATCH($E145,TB!$E:$E,0))</f>
        <v/>
      </c>
      <c r="K145" s="10" t="str">
        <f aca="false">IF(OR($C145="01-09",$C145="10-14",$D145="Female"),"",INDEX(VMMC!$AA:$AA,MATCH($E145,VMMC!$E:$E,0)))</f>
        <v/>
      </c>
      <c r="L145" s="10" t="n">
        <f aca="false">SUM($G145)-SUM($H145:$K145)</f>
        <v>0</v>
      </c>
      <c r="M145" s="88" t="str">
        <f aca="false">IF(OR($C145="01-09",$D145="Male",AND(SUM($G145)=0,SUM($H145)=0)),"",SUM($H145)/SUM($G145))</f>
        <v/>
      </c>
      <c r="N145" s="88" t="str">
        <f aca="false">IF(OR($C145="01-09",$D145="Male",AND(SUM($G145)=0,SUM($I145)=0)),"",SUM($I145)/SUM($G145))</f>
        <v/>
      </c>
      <c r="O145" s="88" t="str">
        <f aca="false">IF(AND(SUM($G145)=0,SUM($J145)=0),"",SUM($J145)/SUM($G145))</f>
        <v/>
      </c>
      <c r="P145" s="88" t="str">
        <f aca="false">IF(OR($C145="01-09",$C145="10-14",$D145="Female",AND(SUM($G145)=0,SUM($K145)=0)),"",SUM($K145)/SUM($G145))</f>
        <v/>
      </c>
      <c r="Q145" s="88"/>
      <c r="R145" s="88"/>
      <c r="S145" s="88"/>
      <c r="T145" s="88"/>
      <c r="U145" s="88" t="n">
        <v>0.877819881541654</v>
      </c>
      <c r="V145" s="88" t="str">
        <f aca="false">IF(SUM($G145)=0,"",SUM($M145:$U145))</f>
        <v/>
      </c>
      <c r="W145" s="88"/>
      <c r="X145" s="39" t="str">
        <f aca="false">IF(OR(SUM($G145)=0,SUM($Q145)=0),"",ROUND(SUM($G145)*SUM($Q145),0))</f>
        <v/>
      </c>
      <c r="Y145" s="39" t="str">
        <f aca="false">IF(SUM($X145)=0,"",IF(SUM($W145)=0,"ENTER YIELD",ROUND($X145/$W145,0)-$X145))</f>
        <v/>
      </c>
      <c r="Z145" s="88"/>
      <c r="AA145" s="39" t="str">
        <f aca="false">IF(OR(SUM($G145)=0,SUM($R145)=0),"",ROUND(SUM($G145)*SUM($R145),0))</f>
        <v/>
      </c>
      <c r="AB145" s="39" t="str">
        <f aca="false">IF(SUM($AA145)=0,"",IF(SUM($Z145)=0,"ENTER YIELD",ROUND($AA145/$Z145,0)-$AA145))</f>
        <v/>
      </c>
      <c r="AC145" s="88"/>
      <c r="AD145" s="39" t="str">
        <f aca="false">IF(OR(SUM($G145)=0,SUM($S145)=0),"",ROUND(SUM($G145)*SUM($S145),0))</f>
        <v/>
      </c>
      <c r="AE145" s="39" t="str">
        <f aca="false">IF(SUM($AD145)=0,"",IF(SUM($AC145)=0,"ENTER YIELD",ROUND($AD145/$AC145,0)-$AD145))</f>
        <v/>
      </c>
      <c r="AF145" s="88"/>
      <c r="AG145" s="39" t="str">
        <f aca="false">IF(OR(SUM($G145)=0,SUM($T145)=0),"",ROUND(SUM($G145)*SUM($T145),0))</f>
        <v/>
      </c>
      <c r="AH145" s="39" t="str">
        <f aca="false">IF(SUM($AG145)=0,"",IF(SUM($AF145)=0,"ENTER YIELD",ROUND($AG145/$AF145,0)-$AG145))</f>
        <v/>
      </c>
      <c r="AI145" s="88"/>
      <c r="AJ145" s="39" t="str">
        <f aca="false">IF(OR(SUM($G145)=0,SUM($U145)=0),"",ROUND(SUM($G145)*SUM($U145),0))</f>
        <v/>
      </c>
      <c r="AK145" s="39" t="str">
        <f aca="false">IF(SUM($AJ145)=0,"",IF(SUM($AI145)=0,"ENTER YIELD",ROUND($AJ145/$AI145,0)-$AJ145))</f>
        <v/>
      </c>
      <c r="AL145" s="10" t="str">
        <f aca="false">IF(SUM($G145)=0,"",$G145)</f>
        <v/>
      </c>
      <c r="AM145" s="10" t="str">
        <f aca="false">IFERROR(1/(1/SUM($H145:$K145,$X145,$AA145,$AD145,$AG145,$AJ145)),"")</f>
        <v/>
      </c>
      <c r="AN145" s="10" t="str">
        <f aca="false">IF(AND(SUM($AM145)=0,SUM($AL145)=0),"",$AM145-$AL145)</f>
        <v/>
      </c>
      <c r="AO145" s="10" t="str">
        <f aca="false">IF(OR($C145="01-09",$D145="Male"),"",INDEX(PMTCT!$AD:$AD,MATCH($E145,PMTCT!$E:$E,0)))</f>
        <v/>
      </c>
      <c r="AP145" s="10" t="str">
        <f aca="false">IF(OR($C145="01-09",$D145="Male"),"",INDEX(PMTCT!$AT:$AT,MATCH($E145,PMTCT!$E:$E,0)))</f>
        <v/>
      </c>
      <c r="AQ145" s="10" t="str">
        <f aca="false">INDEX(TB!$Q:$Q,MATCH($E145,TB!$E:$E,0))</f>
        <v/>
      </c>
      <c r="AR145" s="10" t="str">
        <f aca="false">IF(OR($C145="01-09",$C145="10-14",$D145="Female"),"",INDEX(VMMC!$AB:$AB,MATCH($E145,VMMC!$E:$E,0)))</f>
        <v/>
      </c>
      <c r="AS145" s="10" t="str">
        <f aca="false">IF(OR($C145="01-09",$C145="10-14"),"",INDEX(PrEP!$Q:$Q,MATCH($E145,PrEP!$E:$E,0)))</f>
        <v/>
      </c>
      <c r="AT145" s="10" t="str">
        <f aca="false">IFERROR(1/(1/SUM($Y145,$AB145,$AE145,$AH145,$AK145,$AO145:$AS145)),"")</f>
        <v/>
      </c>
      <c r="AU145" s="10" t="str">
        <f aca="false">IFERROR(1/(1/SUM($AT145,$AM145)),"")</f>
        <v/>
      </c>
      <c r="AV145" s="88" t="str">
        <f aca="false">IF(AND(SUM($AM145)=0,SUM($AU145)=0),"",$AM145/$AU145)</f>
        <v/>
      </c>
      <c r="AW145" s="10" t="n">
        <v>1</v>
      </c>
      <c r="AX145" s="88" t="n">
        <f aca="false">IF(OR($C145="01-09",SUM($AW145)=0),"",0%)</f>
        <v>0</v>
      </c>
      <c r="AY145" s="39" t="n">
        <f aca="false">IF(OR($C145="01-09",SUM($AW145)=0),"",ROUND($AW145*(1+$AX145),0))</f>
        <v>1</v>
      </c>
      <c r="AZ145" s="88" t="n">
        <f aca="false">IF(OR($C145="01-09",$C145="10-14"),"",100%)</f>
        <v>1</v>
      </c>
      <c r="BA145" s="39" t="str">
        <f aca="false">IF(OR(SUM($AM145)=0,$C145="01-09",$C145="10-14"),"",$AM145*$AZ145)</f>
        <v/>
      </c>
    </row>
    <row r="146" customFormat="false" ht="15" hidden="false" customHeight="false" outlineLevel="0" collapsed="false">
      <c r="A146" s="0" t="str">
        <f aca="false">INDEX(Prioritization!$D:$D,MATCH($B146,Prioritization!$A:$A,0))</f>
        <v>1 - Scale-up: Saturation</v>
      </c>
      <c r="B146" s="0" t="s">
        <v>204</v>
      </c>
      <c r="C146" s="0" t="s">
        <v>368</v>
      </c>
      <c r="D146" s="0" t="s">
        <v>48</v>
      </c>
      <c r="E146" s="0" t="str">
        <f aca="false">$B146&amp;"|"&amp;$C146&amp;"|"&amp;$D146</f>
        <v>Chitipa District [GkIwZrXy1h2]|50+|Male</v>
      </c>
      <c r="F146" s="88" t="n">
        <f aca="false">IF(LEFT($B146,4)="_Mil","",INDEX(Cascade!$AA:$AA,MATCH($E146,Cascade!$E:$E,0)))</f>
        <v>1816</v>
      </c>
      <c r="G146" s="10" t="n">
        <f aca="false">INDEX(Cascade!$BH:$BH,MATCH($E146,Cascade!$E:$E,0))</f>
        <v>0</v>
      </c>
      <c r="H146" s="10" t="str">
        <f aca="false">IF(OR($C146="01-09",$D146="Male"),"",INDEX(PMTCT!$AC:$AC,MATCH($E146,PMTCT!$E:$E,0)))</f>
        <v/>
      </c>
      <c r="I146" s="10" t="str">
        <f aca="false">IF(OR($C146="01-09",$D146="Male"),"",INDEX(PMTCT!$AS:$AS,MATCH($E146,PMTCT!$E:$E,0)))</f>
        <v/>
      </c>
      <c r="J146" s="10" t="str">
        <f aca="false">INDEX(TB!$P:$P,MATCH($E146,TB!$E:$E,0))</f>
        <v/>
      </c>
      <c r="K146" s="10" t="str">
        <f aca="false">IF(OR($C146="01-09",$C146="10-14",$D146="Female"),"",INDEX(VMMC!$AA:$AA,MATCH($E146,VMMC!$E:$E,0)))</f>
        <v/>
      </c>
      <c r="L146" s="10" t="n">
        <f aca="false">SUM($G146)-SUM($H146:$K146)</f>
        <v>0</v>
      </c>
      <c r="M146" s="88" t="str">
        <f aca="false">IF(OR($C146="01-09",$D146="Male",AND(SUM($G146)=0,SUM($H146)=0)),"",SUM($H146)/SUM($G146))</f>
        <v/>
      </c>
      <c r="N146" s="88" t="str">
        <f aca="false">IF(OR($C146="01-09",$D146="Male",AND(SUM($G146)=0,SUM($I146)=0)),"",SUM($I146)/SUM($G146))</f>
        <v/>
      </c>
      <c r="O146" s="88" t="str">
        <f aca="false">IF(AND(SUM($G146)=0,SUM($J146)=0),"",SUM($J146)/SUM($G146))</f>
        <v/>
      </c>
      <c r="P146" s="88" t="str">
        <f aca="false">IF(OR($C146="01-09",$C146="10-14",$D146="Female",AND(SUM($G146)=0,SUM($K146)=0)),"",SUM($K146)/SUM($G146))</f>
        <v/>
      </c>
      <c r="Q146" s="88"/>
      <c r="R146" s="88"/>
      <c r="S146" s="88"/>
      <c r="T146" s="88"/>
      <c r="U146" s="88" t="n">
        <v>0.06427609664388</v>
      </c>
      <c r="V146" s="88" t="str">
        <f aca="false">IF(SUM($G146)=0,"",SUM($M146:$U146))</f>
        <v/>
      </c>
      <c r="W146" s="88"/>
      <c r="X146" s="39" t="str">
        <f aca="false">IF(OR(SUM($G146)=0,SUM($Q146)=0),"",ROUND(SUM($G146)*SUM($Q146),0))</f>
        <v/>
      </c>
      <c r="Y146" s="39" t="str">
        <f aca="false">IF(SUM($X146)=0,"",IF(SUM($W146)=0,"ENTER YIELD",ROUND($X146/$W146,0)-$X146))</f>
        <v/>
      </c>
      <c r="Z146" s="88"/>
      <c r="AA146" s="39" t="str">
        <f aca="false">IF(OR(SUM($G146)=0,SUM($R146)=0),"",ROUND(SUM($G146)*SUM($R146),0))</f>
        <v/>
      </c>
      <c r="AB146" s="39" t="str">
        <f aca="false">IF(SUM($AA146)=0,"",IF(SUM($Z146)=0,"ENTER YIELD",ROUND($AA146/$Z146,0)-$AA146))</f>
        <v/>
      </c>
      <c r="AC146" s="88"/>
      <c r="AD146" s="39" t="str">
        <f aca="false">IF(OR(SUM($G146)=0,SUM($S146)=0),"",ROUND(SUM($G146)*SUM($S146),0))</f>
        <v/>
      </c>
      <c r="AE146" s="39" t="str">
        <f aca="false">IF(SUM($AD146)=0,"",IF(SUM($AC146)=0,"ENTER YIELD",ROUND($AD146/$AC146,0)-$AD146))</f>
        <v/>
      </c>
      <c r="AF146" s="88"/>
      <c r="AG146" s="39" t="str">
        <f aca="false">IF(OR(SUM($G146)=0,SUM($T146)=0),"",ROUND(SUM($G146)*SUM($T146),0))</f>
        <v/>
      </c>
      <c r="AH146" s="39" t="str">
        <f aca="false">IF(SUM($AG146)=0,"",IF(SUM($AF146)=0,"ENTER YIELD",ROUND($AG146/$AF146,0)-$AG146))</f>
        <v/>
      </c>
      <c r="AI146" s="88"/>
      <c r="AJ146" s="39" t="str">
        <f aca="false">IF(OR(SUM($G146)=0,SUM($U146)=0),"",ROUND(SUM($G146)*SUM($U146),0))</f>
        <v/>
      </c>
      <c r="AK146" s="39" t="str">
        <f aca="false">IF(SUM($AJ146)=0,"",IF(SUM($AI146)=0,"ENTER YIELD",ROUND($AJ146/$AI146,0)-$AJ146))</f>
        <v/>
      </c>
      <c r="AL146" s="10" t="str">
        <f aca="false">IF(SUM($G146)=0,"",$G146)</f>
        <v/>
      </c>
      <c r="AM146" s="10" t="str">
        <f aca="false">IFERROR(1/(1/SUM($H146:$K146,$X146,$AA146,$AD146,$AG146,$AJ146)),"")</f>
        <v/>
      </c>
      <c r="AN146" s="10" t="str">
        <f aca="false">IF(AND(SUM($AM146)=0,SUM($AL146)=0),"",$AM146-$AL146)</f>
        <v/>
      </c>
      <c r="AO146" s="10" t="str">
        <f aca="false">IF(OR($C146="01-09",$D146="Male"),"",INDEX(PMTCT!$AD:$AD,MATCH($E146,PMTCT!$E:$E,0)))</f>
        <v/>
      </c>
      <c r="AP146" s="10" t="str">
        <f aca="false">IF(OR($C146="01-09",$D146="Male"),"",INDEX(PMTCT!$AT:$AT,MATCH($E146,PMTCT!$E:$E,0)))</f>
        <v/>
      </c>
      <c r="AQ146" s="10" t="str">
        <f aca="false">INDEX(TB!$Q:$Q,MATCH($E146,TB!$E:$E,0))</f>
        <v/>
      </c>
      <c r="AR146" s="10" t="str">
        <f aca="false">IF(OR($C146="01-09",$C146="10-14",$D146="Female"),"",INDEX(VMMC!$AB:$AB,MATCH($E146,VMMC!$E:$E,0)))</f>
        <v/>
      </c>
      <c r="AS146" s="10" t="str">
        <f aca="false">IF(OR($C146="01-09",$C146="10-14"),"",INDEX(PrEP!$Q:$Q,MATCH($E146,PrEP!$E:$E,0)))</f>
        <v/>
      </c>
      <c r="AT146" s="10" t="str">
        <f aca="false">IFERROR(1/(1/SUM($Y146,$AB146,$AE146,$AH146,$AK146,$AO146:$AS146)),"")</f>
        <v/>
      </c>
      <c r="AU146" s="10" t="str">
        <f aca="false">IFERROR(1/(1/SUM($AT146,$AM146)),"")</f>
        <v/>
      </c>
      <c r="AV146" s="88" t="str">
        <f aca="false">IF(AND(SUM($AM146)=0,SUM($AU146)=0),"",$AM146/$AU146)</f>
        <v/>
      </c>
      <c r="AW146" s="10" t="n">
        <v>0</v>
      </c>
      <c r="AX146" s="88" t="str">
        <f aca="false">IF(OR($C146="01-09",SUM($AW146)=0),"",0%)</f>
        <v/>
      </c>
      <c r="AY146" s="39" t="str">
        <f aca="false">IF(OR($C146="01-09",SUM($AW146)=0),"",ROUND($AW146*(1+$AX146),0))</f>
        <v/>
      </c>
      <c r="AZ146" s="88" t="n">
        <f aca="false">IF(OR($C146="01-09",$C146="10-14"),"",100%)</f>
        <v>1</v>
      </c>
      <c r="BA146" s="39" t="str">
        <f aca="false">IF(OR(SUM($AM146)=0,$C146="01-09",$C146="10-14"),"",$AM146*$AZ146)</f>
        <v/>
      </c>
    </row>
    <row r="147" customFormat="false" ht="15" hidden="false" customHeight="false" outlineLevel="0" collapsed="false">
      <c r="A147" s="0" t="str">
        <f aca="false">INDEX(Prioritization!$D:$D,MATCH($B147,Prioritization!$A:$A,0))</f>
        <v>INVALID</v>
      </c>
      <c r="B147" s="0" t="s">
        <v>205</v>
      </c>
      <c r="C147" s="0" t="s">
        <v>363</v>
      </c>
      <c r="D147" s="0" t="s">
        <v>30</v>
      </c>
      <c r="E147" s="0" t="str">
        <f aca="false">$B147&amp;"|"&amp;$C147&amp;"|"&amp;$D147</f>
        <v>Karonga District [cPtvxaZqXIH]|01-09|Female</v>
      </c>
      <c r="F147" s="88" t="n">
        <f aca="false">IF(LEFT($B147,4)="_Mil","",INDEX(Cascade!$AA:$AA,MATCH($E147,Cascade!$E:$E,0)))</f>
        <v>1171</v>
      </c>
      <c r="G147" s="10" t="n">
        <f aca="false">INDEX(Cascade!$BH:$BH,MATCH($E147,Cascade!$E:$E,0))</f>
        <v>0</v>
      </c>
      <c r="H147" s="10" t="str">
        <f aca="false">IF(OR($C147="01-09",$D147="Male"),"",INDEX(PMTCT!$AC:$AC,MATCH($E147,PMTCT!$E:$E,0)))</f>
        <v/>
      </c>
      <c r="I147" s="10" t="str">
        <f aca="false">IF(OR($C147="01-09",$D147="Male"),"",INDEX(PMTCT!$AS:$AS,MATCH($E147,PMTCT!$E:$E,0)))</f>
        <v/>
      </c>
      <c r="J147" s="10" t="str">
        <f aca="false">INDEX(TB!$P:$P,MATCH($E147,TB!$E:$E,0))</f>
        <v/>
      </c>
      <c r="K147" s="10" t="str">
        <f aca="false">IF(OR($C147="01-09",$C147="10-14",$D147="Female"),"",INDEX(VMMC!$AA:$AA,MATCH($E147,VMMC!$E:$E,0)))</f>
        <v/>
      </c>
      <c r="L147" s="10" t="n">
        <f aca="false">SUM($G147)-SUM($H147:$K147)</f>
        <v>0</v>
      </c>
      <c r="M147" s="88" t="str">
        <f aca="false">IF(OR($C147="01-09",$D147="Male",AND(SUM($G147)=0,SUM($H147)=0)),"",SUM($H147)/SUM($G147))</f>
        <v/>
      </c>
      <c r="N147" s="88" t="str">
        <f aca="false">IF(OR($C147="01-09",$D147="Male",AND(SUM($G147)=0,SUM($I147)=0)),"",SUM($I147)/SUM($G147))</f>
        <v/>
      </c>
      <c r="O147" s="88" t="str">
        <f aca="false">IF(AND(SUM($G147)=0,SUM($J147)=0),"",SUM($J147)/SUM($G147))</f>
        <v/>
      </c>
      <c r="P147" s="88" t="str">
        <f aca="false">IF(OR($C147="01-09",$C147="10-14",$D147="Female",AND(SUM($G147)=0,SUM($K147)=0)),"",SUM($K147)/SUM($G147))</f>
        <v/>
      </c>
      <c r="Q147" s="88"/>
      <c r="R147" s="88"/>
      <c r="S147" s="88"/>
      <c r="T147" s="88"/>
      <c r="U147" s="88"/>
      <c r="V147" s="88" t="str">
        <f aca="false">IF(SUM($G147)=0,"",SUM($M147:$U147))</f>
        <v/>
      </c>
      <c r="W147" s="88"/>
      <c r="X147" s="39" t="str">
        <f aca="false">IF(OR(SUM($G147)=0,SUM($Q147)=0),"",ROUND(SUM($G147)*SUM($Q147),0))</f>
        <v/>
      </c>
      <c r="Y147" s="39" t="str">
        <f aca="false">IF(SUM($X147)=0,"",IF(SUM($W147)=0,"ENTER YIELD",ROUND($X147/$W147,0)-$X147))</f>
        <v/>
      </c>
      <c r="Z147" s="88"/>
      <c r="AA147" s="39" t="str">
        <f aca="false">IF(OR(SUM($G147)=0,SUM($R147)=0),"",ROUND(SUM($G147)*SUM($R147),0))</f>
        <v/>
      </c>
      <c r="AB147" s="39" t="str">
        <f aca="false">IF(SUM($AA147)=0,"",IF(SUM($Z147)=0,"ENTER YIELD",ROUND($AA147/$Z147,0)-$AA147))</f>
        <v/>
      </c>
      <c r="AC147" s="88"/>
      <c r="AD147" s="39" t="str">
        <f aca="false">IF(OR(SUM($G147)=0,SUM($S147)=0),"",ROUND(SUM($G147)*SUM($S147),0))</f>
        <v/>
      </c>
      <c r="AE147" s="39" t="str">
        <f aca="false">IF(SUM($AD147)=0,"",IF(SUM($AC147)=0,"ENTER YIELD",ROUND($AD147/$AC147,0)-$AD147))</f>
        <v/>
      </c>
      <c r="AF147" s="88"/>
      <c r="AG147" s="39" t="str">
        <f aca="false">IF(OR(SUM($G147)=0,SUM($T147)=0),"",ROUND(SUM($G147)*SUM($T147),0))</f>
        <v/>
      </c>
      <c r="AH147" s="39" t="str">
        <f aca="false">IF(SUM($AG147)=0,"",IF(SUM($AF147)=0,"ENTER YIELD",ROUND($AG147/$AF147,0)-$AG147))</f>
        <v/>
      </c>
      <c r="AI147" s="88"/>
      <c r="AJ147" s="39" t="str">
        <f aca="false">IF(OR(SUM($G147)=0,SUM($U147)=0),"",ROUND(SUM($G147)*SUM($U147),0))</f>
        <v/>
      </c>
      <c r="AK147" s="39" t="str">
        <f aca="false">IF(SUM($AJ147)=0,"",IF(SUM($AI147)=0,"ENTER YIELD",ROUND($AJ147/$AI147,0)-$AJ147))</f>
        <v/>
      </c>
      <c r="AL147" s="10" t="str">
        <f aca="false">IF(SUM($G147)=0,"",$G147)</f>
        <v/>
      </c>
      <c r="AM147" s="10" t="str">
        <f aca="false">IFERROR(1/(1/SUM($H147:$K147,$X147,$AA147,$AD147,$AG147,$AJ147)),"")</f>
        <v/>
      </c>
      <c r="AN147" s="10" t="str">
        <f aca="false">IF(AND(SUM($AM147)=0,SUM($AL147)=0),"",$AM147-$AL147)</f>
        <v/>
      </c>
      <c r="AO147" s="10" t="str">
        <f aca="false">IF(OR($C147="01-09",$D147="Male"),"",INDEX(PMTCT!$AD:$AD,MATCH($E147,PMTCT!$E:$E,0)))</f>
        <v/>
      </c>
      <c r="AP147" s="10" t="str">
        <f aca="false">IF(OR($C147="01-09",$D147="Male"),"",INDEX(PMTCT!$AT:$AT,MATCH($E147,PMTCT!$E:$E,0)))</f>
        <v/>
      </c>
      <c r="AQ147" s="10" t="str">
        <f aca="false">INDEX(TB!$Q:$Q,MATCH($E147,TB!$E:$E,0))</f>
        <v/>
      </c>
      <c r="AR147" s="10" t="str">
        <f aca="false">IF(OR($C147="01-09",$C147="10-14",$D147="Female"),"",INDEX(VMMC!$AB:$AB,MATCH($E147,VMMC!$E:$E,0)))</f>
        <v/>
      </c>
      <c r="AS147" s="10" t="str">
        <f aca="false">IF(OR($C147="01-09",$C147="10-14"),"",INDEX(PrEP!$Q:$Q,MATCH($E147,PrEP!$E:$E,0)))</f>
        <v/>
      </c>
      <c r="AT147" s="10" t="str">
        <f aca="false">IFERROR(1/(1/SUM($Y147,$AB147,$AE147,$AH147,$AK147,$AO147:$AS147)),"")</f>
        <v/>
      </c>
      <c r="AU147" s="10" t="str">
        <f aca="false">IFERROR(1/(1/SUM($AT147,$AM147)),"")</f>
        <v/>
      </c>
      <c r="AV147" s="88" t="str">
        <f aca="false">IF(AND(SUM($AM147)=0,SUM($AU147)=0),"",$AM147/$AU147)</f>
        <v/>
      </c>
      <c r="AW147" s="10"/>
      <c r="AX147" s="88" t="str">
        <f aca="false">IF(OR($C147="01-09",SUM($AW147)=0),"",0%)</f>
        <v/>
      </c>
      <c r="AY147" s="39" t="str">
        <f aca="false">IF(OR($C147="01-09",SUM($AW147)=0),"",ROUND($AW147*(1+$AX147),0))</f>
        <v/>
      </c>
      <c r="AZ147" s="88" t="str">
        <f aca="false">IF(OR($C147="01-09",$C147="10-14"),"",100%)</f>
        <v/>
      </c>
      <c r="BA147" s="39" t="str">
        <f aca="false">IF(OR(SUM($AM147)=0,$C147="01-09",$C147="10-14"),"",$AM147*$AZ147)</f>
        <v/>
      </c>
    </row>
    <row r="148" customFormat="false" ht="15" hidden="false" customHeight="false" outlineLevel="0" collapsed="false">
      <c r="A148" s="0" t="str">
        <f aca="false">INDEX(Prioritization!$D:$D,MATCH($B148,Prioritization!$A:$A,0))</f>
        <v>INVALID</v>
      </c>
      <c r="B148" s="0" t="s">
        <v>205</v>
      </c>
      <c r="C148" s="0" t="s">
        <v>363</v>
      </c>
      <c r="D148" s="0" t="s">
        <v>48</v>
      </c>
      <c r="E148" s="0" t="str">
        <f aca="false">$B148&amp;"|"&amp;$C148&amp;"|"&amp;$D148</f>
        <v>Karonga District [cPtvxaZqXIH]|01-09|Male</v>
      </c>
      <c r="F148" s="88" t="n">
        <f aca="false">IF(LEFT($B148,4)="_Mil","",INDEX(Cascade!$AA:$AA,MATCH($E148,Cascade!$E:$E,0)))</f>
        <v>1417</v>
      </c>
      <c r="G148" s="10" t="n">
        <f aca="false">INDEX(Cascade!$BH:$BH,MATCH($E148,Cascade!$E:$E,0))</f>
        <v>0</v>
      </c>
      <c r="H148" s="10" t="str">
        <f aca="false">IF(OR($C148="01-09",$D148="Male"),"",INDEX(PMTCT!$AC:$AC,MATCH($E148,PMTCT!$E:$E,0)))</f>
        <v/>
      </c>
      <c r="I148" s="10" t="str">
        <f aca="false">IF(OR($C148="01-09",$D148="Male"),"",INDEX(PMTCT!$AS:$AS,MATCH($E148,PMTCT!$E:$E,0)))</f>
        <v/>
      </c>
      <c r="J148" s="10" t="str">
        <f aca="false">INDEX(TB!$P:$P,MATCH($E148,TB!$E:$E,0))</f>
        <v/>
      </c>
      <c r="K148" s="10" t="str">
        <f aca="false">IF(OR($C148="01-09",$C148="10-14",$D148="Female"),"",INDEX(VMMC!$AA:$AA,MATCH($E148,VMMC!$E:$E,0)))</f>
        <v/>
      </c>
      <c r="L148" s="10" t="n">
        <f aca="false">SUM($G148)-SUM($H148:$K148)</f>
        <v>0</v>
      </c>
      <c r="M148" s="88" t="str">
        <f aca="false">IF(OR($C148="01-09",$D148="Male",AND(SUM($G148)=0,SUM($H148)=0)),"",SUM($H148)/SUM($G148))</f>
        <v/>
      </c>
      <c r="N148" s="88" t="str">
        <f aca="false">IF(OR($C148="01-09",$D148="Male",AND(SUM($G148)=0,SUM($I148)=0)),"",SUM($I148)/SUM($G148))</f>
        <v/>
      </c>
      <c r="O148" s="88" t="str">
        <f aca="false">IF(AND(SUM($G148)=0,SUM($J148)=0),"",SUM($J148)/SUM($G148))</f>
        <v/>
      </c>
      <c r="P148" s="88" t="str">
        <f aca="false">IF(OR($C148="01-09",$C148="10-14",$D148="Female",AND(SUM($G148)=0,SUM($K148)=0)),"",SUM($K148)/SUM($G148))</f>
        <v/>
      </c>
      <c r="Q148" s="88"/>
      <c r="R148" s="88"/>
      <c r="S148" s="88"/>
      <c r="T148" s="88"/>
      <c r="U148" s="88"/>
      <c r="V148" s="88" t="str">
        <f aca="false">IF(SUM($G148)=0,"",SUM($M148:$U148))</f>
        <v/>
      </c>
      <c r="W148" s="88"/>
      <c r="X148" s="39" t="str">
        <f aca="false">IF(OR(SUM($G148)=0,SUM($Q148)=0),"",ROUND(SUM($G148)*SUM($Q148),0))</f>
        <v/>
      </c>
      <c r="Y148" s="39" t="str">
        <f aca="false">IF(SUM($X148)=0,"",IF(SUM($W148)=0,"ENTER YIELD",ROUND($X148/$W148,0)-$X148))</f>
        <v/>
      </c>
      <c r="Z148" s="88"/>
      <c r="AA148" s="39" t="str">
        <f aca="false">IF(OR(SUM($G148)=0,SUM($R148)=0),"",ROUND(SUM($G148)*SUM($R148),0))</f>
        <v/>
      </c>
      <c r="AB148" s="39" t="str">
        <f aca="false">IF(SUM($AA148)=0,"",IF(SUM($Z148)=0,"ENTER YIELD",ROUND($AA148/$Z148,0)-$AA148))</f>
        <v/>
      </c>
      <c r="AC148" s="88"/>
      <c r="AD148" s="39" t="str">
        <f aca="false">IF(OR(SUM($G148)=0,SUM($S148)=0),"",ROUND(SUM($G148)*SUM($S148),0))</f>
        <v/>
      </c>
      <c r="AE148" s="39" t="str">
        <f aca="false">IF(SUM($AD148)=0,"",IF(SUM($AC148)=0,"ENTER YIELD",ROUND($AD148/$AC148,0)-$AD148))</f>
        <v/>
      </c>
      <c r="AF148" s="88"/>
      <c r="AG148" s="39" t="str">
        <f aca="false">IF(OR(SUM($G148)=0,SUM($T148)=0),"",ROUND(SUM($G148)*SUM($T148),0))</f>
        <v/>
      </c>
      <c r="AH148" s="39" t="str">
        <f aca="false">IF(SUM($AG148)=0,"",IF(SUM($AF148)=0,"ENTER YIELD",ROUND($AG148/$AF148,0)-$AG148))</f>
        <v/>
      </c>
      <c r="AI148" s="88"/>
      <c r="AJ148" s="39" t="str">
        <f aca="false">IF(OR(SUM($G148)=0,SUM($U148)=0),"",ROUND(SUM($G148)*SUM($U148),0))</f>
        <v/>
      </c>
      <c r="AK148" s="39" t="str">
        <f aca="false">IF(SUM($AJ148)=0,"",IF(SUM($AI148)=0,"ENTER YIELD",ROUND($AJ148/$AI148,0)-$AJ148))</f>
        <v/>
      </c>
      <c r="AL148" s="10" t="str">
        <f aca="false">IF(SUM($G148)=0,"",$G148)</f>
        <v/>
      </c>
      <c r="AM148" s="10" t="str">
        <f aca="false">IFERROR(1/(1/SUM($H148:$K148,$X148,$AA148,$AD148,$AG148,$AJ148)),"")</f>
        <v/>
      </c>
      <c r="AN148" s="10" t="str">
        <f aca="false">IF(AND(SUM($AM148)=0,SUM($AL148)=0),"",$AM148-$AL148)</f>
        <v/>
      </c>
      <c r="AO148" s="10" t="str">
        <f aca="false">IF(OR($C148="01-09",$D148="Male"),"",INDEX(PMTCT!$AD:$AD,MATCH($E148,PMTCT!$E:$E,0)))</f>
        <v/>
      </c>
      <c r="AP148" s="10" t="str">
        <f aca="false">IF(OR($C148="01-09",$D148="Male"),"",INDEX(PMTCT!$AT:$AT,MATCH($E148,PMTCT!$E:$E,0)))</f>
        <v/>
      </c>
      <c r="AQ148" s="10" t="str">
        <f aca="false">INDEX(TB!$Q:$Q,MATCH($E148,TB!$E:$E,0))</f>
        <v/>
      </c>
      <c r="AR148" s="10" t="str">
        <f aca="false">IF(OR($C148="01-09",$C148="10-14",$D148="Female"),"",INDEX(VMMC!$AB:$AB,MATCH($E148,VMMC!$E:$E,0)))</f>
        <v/>
      </c>
      <c r="AS148" s="10" t="str">
        <f aca="false">IF(OR($C148="01-09",$C148="10-14"),"",INDEX(PrEP!$Q:$Q,MATCH($E148,PrEP!$E:$E,0)))</f>
        <v/>
      </c>
      <c r="AT148" s="10" t="str">
        <f aca="false">IFERROR(1/(1/SUM($Y148,$AB148,$AE148,$AH148,$AK148,$AO148:$AS148)),"")</f>
        <v/>
      </c>
      <c r="AU148" s="10" t="str">
        <f aca="false">IFERROR(1/(1/SUM($AT148,$AM148)),"")</f>
        <v/>
      </c>
      <c r="AV148" s="88" t="str">
        <f aca="false">IF(AND(SUM($AM148)=0,SUM($AU148)=0),"",$AM148/$AU148)</f>
        <v/>
      </c>
      <c r="AW148" s="10"/>
      <c r="AX148" s="88" t="str">
        <f aca="false">IF(OR($C148="01-09",SUM($AW148)=0),"",0%)</f>
        <v/>
      </c>
      <c r="AY148" s="39" t="str">
        <f aca="false">IF(OR($C148="01-09",SUM($AW148)=0),"",ROUND($AW148*(1+$AX148),0))</f>
        <v/>
      </c>
      <c r="AZ148" s="88" t="str">
        <f aca="false">IF(OR($C148="01-09",$C148="10-14"),"",100%)</f>
        <v/>
      </c>
      <c r="BA148" s="39" t="str">
        <f aca="false">IF(OR(SUM($AM148)=0,$C148="01-09",$C148="10-14"),"",$AM148*$AZ148)</f>
        <v/>
      </c>
    </row>
    <row r="149" customFormat="false" ht="15" hidden="false" customHeight="false" outlineLevel="0" collapsed="false">
      <c r="A149" s="0" t="str">
        <f aca="false">INDEX(Prioritization!$D:$D,MATCH($B149,Prioritization!$A:$A,0))</f>
        <v>INVALID</v>
      </c>
      <c r="B149" s="0" t="s">
        <v>205</v>
      </c>
      <c r="C149" s="0" t="s">
        <v>364</v>
      </c>
      <c r="D149" s="0" t="s">
        <v>30</v>
      </c>
      <c r="E149" s="0" t="str">
        <f aca="false">$B149&amp;"|"&amp;$C149&amp;"|"&amp;$D149</f>
        <v>Karonga District [cPtvxaZqXIH]|10-14|Female</v>
      </c>
      <c r="F149" s="88" t="n">
        <f aca="false">IF(LEFT($B149,4)="_Mil","",INDEX(Cascade!$AA:$AA,MATCH($E149,Cascade!$E:$E,0)))</f>
        <v>1487</v>
      </c>
      <c r="G149" s="10" t="n">
        <f aca="false">INDEX(Cascade!$BH:$BH,MATCH($E149,Cascade!$E:$E,0))</f>
        <v>-96</v>
      </c>
      <c r="H149" s="10" t="str">
        <f aca="false">IF(OR($C149="01-09",$D149="Male"),"",INDEX(PMTCT!$AC:$AC,MATCH($E149,PMTCT!$E:$E,0)))</f>
        <v>ENTER YIELD RATE</v>
      </c>
      <c r="I149" s="10" t="str">
        <f aca="false">IF(OR($C149="01-09",$D149="Male"),"",INDEX(PMTCT!$AS:$AS,MATCH($E149,PMTCT!$E:$E,0)))</f>
        <v>ENTER YIELD RATE</v>
      </c>
      <c r="J149" s="10" t="str">
        <f aca="false">INDEX(TB!$P:$P,MATCH($E149,TB!$E:$E,0))</f>
        <v>ENTER YIELD RATE</v>
      </c>
      <c r="K149" s="10" t="str">
        <f aca="false">IF(OR($C149="01-09",$C149="10-14",$D149="Female"),"",INDEX(VMMC!$AA:$AA,MATCH($E149,VMMC!$E:$E,0)))</f>
        <v/>
      </c>
      <c r="L149" s="10" t="n">
        <f aca="false">SUM($G149)-SUM($H149:$K149)</f>
        <v>-96</v>
      </c>
      <c r="M149" s="88" t="n">
        <f aca="false">IF(OR($C149="01-09",$D149="Male",AND(SUM($G149)=0,SUM($H149)=0)),"",SUM($H149)/SUM($G149))</f>
        <v>-0</v>
      </c>
      <c r="N149" s="88" t="n">
        <f aca="false">IF(OR($C149="01-09",$D149="Male",AND(SUM($G149)=0,SUM($I149)=0)),"",SUM($I149)/SUM($G149))</f>
        <v>-0</v>
      </c>
      <c r="O149" s="88" t="n">
        <f aca="false">IF(AND(SUM($G149)=0,SUM($J149)=0),"",SUM($J149)/SUM($G149))</f>
        <v>-0</v>
      </c>
      <c r="P149" s="88" t="str">
        <f aca="false">IF(OR($C149="01-09",$C149="10-14",$D149="Female",AND(SUM($G149)=0,SUM($K149)=0)),"",SUM($K149)/SUM($G149))</f>
        <v/>
      </c>
      <c r="Q149" s="88" t="n">
        <v>0.174631955334917</v>
      </c>
      <c r="R149" s="88"/>
      <c r="S149" s="88"/>
      <c r="T149" s="88"/>
      <c r="U149" s="88" t="n">
        <v>0.62198473373428</v>
      </c>
      <c r="V149" s="88" t="n">
        <f aca="false">IF(SUM($G149)=0,"",SUM($M149:$U149))</f>
        <v>0.796616689069197</v>
      </c>
      <c r="W149" s="88"/>
      <c r="X149" s="39" t="n">
        <f aca="false">IF(OR(SUM($G149)=0,SUM($Q149)=0),"",ROUND(SUM($G149)*SUM($Q149),0))</f>
        <v>-17</v>
      </c>
      <c r="Y149" s="39" t="str">
        <f aca="false">IF(SUM($X149)=0,"",IF(SUM($W149)=0,"ENTER YIELD",ROUND($X149/$W149,0)-$X149))</f>
        <v>ENTER YIELD</v>
      </c>
      <c r="Z149" s="88"/>
      <c r="AA149" s="39" t="str">
        <f aca="false">IF(OR(SUM($G149)=0,SUM($R149)=0),"",ROUND(SUM($G149)*SUM($R149),0))</f>
        <v/>
      </c>
      <c r="AB149" s="39" t="str">
        <f aca="false">IF(SUM($AA149)=0,"",IF(SUM($Z149)=0,"ENTER YIELD",ROUND($AA149/$Z149,0)-$AA149))</f>
        <v/>
      </c>
      <c r="AC149" s="88"/>
      <c r="AD149" s="39" t="str">
        <f aca="false">IF(OR(SUM($G149)=0,SUM($S149)=0),"",ROUND(SUM($G149)*SUM($S149),0))</f>
        <v/>
      </c>
      <c r="AE149" s="39" t="str">
        <f aca="false">IF(SUM($AD149)=0,"",IF(SUM($AC149)=0,"ENTER YIELD",ROUND($AD149/$AC149,0)-$AD149))</f>
        <v/>
      </c>
      <c r="AF149" s="88"/>
      <c r="AG149" s="39" t="str">
        <f aca="false">IF(OR(SUM($G149)=0,SUM($T149)=0),"",ROUND(SUM($G149)*SUM($T149),0))</f>
        <v/>
      </c>
      <c r="AH149" s="39" t="str">
        <f aca="false">IF(SUM($AG149)=0,"",IF(SUM($AF149)=0,"ENTER YIELD",ROUND($AG149/$AF149,0)-$AG149))</f>
        <v/>
      </c>
      <c r="AI149" s="88"/>
      <c r="AJ149" s="39" t="n">
        <f aca="false">IF(OR(SUM($G149)=0,SUM($U149)=0),"",ROUND(SUM($G149)*SUM($U149),0))</f>
        <v>-60</v>
      </c>
      <c r="AK149" s="39" t="str">
        <f aca="false">IF(SUM($AJ149)=0,"",IF(SUM($AI149)=0,"ENTER YIELD",ROUND($AJ149/$AI149,0)-$AJ149))</f>
        <v>ENTER YIELD</v>
      </c>
      <c r="AL149" s="10" t="n">
        <f aca="false">IF(SUM($G149)=0,"",$G149)</f>
        <v>-96</v>
      </c>
      <c r="AM149" s="10" t="n">
        <f aca="false">IFERROR(1/(1/SUM($H149:$K149,$X149,$AA149,$AD149,$AG149,$AJ149)),"")</f>
        <v>-77</v>
      </c>
      <c r="AN149" s="10" t="n">
        <f aca="false">IF(AND(SUM($AM149)=0,SUM($AL149)=0),"",$AM149-$AL149)</f>
        <v>19</v>
      </c>
      <c r="AO149" s="10" t="n">
        <f aca="false">IF(OR($C149="01-09",$D149="Male"),"",INDEX(PMTCT!$AD:$AD,MATCH($E149,PMTCT!$E:$E,0)))</f>
        <v>5</v>
      </c>
      <c r="AP149" s="10" t="n">
        <f aca="false">IF(OR($C149="01-09",$D149="Male"),"",INDEX(PMTCT!$AT:$AT,MATCH($E149,PMTCT!$E:$E,0)))</f>
        <v>5</v>
      </c>
      <c r="AQ149" s="10" t="n">
        <f aca="false">INDEX(TB!$Q:$Q,MATCH($E149,TB!$E:$E,0))</f>
        <v>1</v>
      </c>
      <c r="AR149" s="10" t="str">
        <f aca="false">IF(OR($C149="01-09",$C149="10-14",$D149="Female"),"",INDEX(VMMC!$AB:$AB,MATCH($E149,VMMC!$E:$E,0)))</f>
        <v/>
      </c>
      <c r="AS149" s="10" t="str">
        <f aca="false">IF(OR($C149="01-09",$C149="10-14"),"",INDEX(PrEP!$Q:$Q,MATCH($E149,PrEP!$E:$E,0)))</f>
        <v/>
      </c>
      <c r="AT149" s="10" t="n">
        <f aca="false">IFERROR(1/(1/SUM($Y149,$AB149,$AE149,$AH149,$AK149,$AO149:$AS149)),"")</f>
        <v>11</v>
      </c>
      <c r="AU149" s="10" t="n">
        <f aca="false">IFERROR(1/(1/SUM($AT149,$AM149)),"")</f>
        <v>-66</v>
      </c>
      <c r="AV149" s="88" t="n">
        <f aca="false">IF(AND(SUM($AM149)=0,SUM($AU149)=0),"",$AM149/$AU149)</f>
        <v>1.16666666666667</v>
      </c>
      <c r="AW149" s="10"/>
      <c r="AX149" s="88" t="str">
        <f aca="false">IF(OR($C149="01-09",SUM($AW149)=0),"",0%)</f>
        <v/>
      </c>
      <c r="AY149" s="39" t="str">
        <f aca="false">IF(OR($C149="01-09",SUM($AW149)=0),"",ROUND($AW149*(1+$AX149),0))</f>
        <v/>
      </c>
      <c r="AZ149" s="88" t="str">
        <f aca="false">IF(OR($C149="01-09",$C149="10-14"),"",100%)</f>
        <v/>
      </c>
      <c r="BA149" s="39" t="str">
        <f aca="false">IF(OR(SUM($AM149)=0,$C149="01-09",$C149="10-14"),"",$AM149*$AZ149)</f>
        <v/>
      </c>
    </row>
    <row r="150" customFormat="false" ht="15" hidden="false" customHeight="false" outlineLevel="0" collapsed="false">
      <c r="A150" s="0" t="str">
        <f aca="false">INDEX(Prioritization!$D:$D,MATCH($B150,Prioritization!$A:$A,0))</f>
        <v>INVALID</v>
      </c>
      <c r="B150" s="0" t="s">
        <v>205</v>
      </c>
      <c r="C150" s="0" t="s">
        <v>364</v>
      </c>
      <c r="D150" s="0" t="s">
        <v>48</v>
      </c>
      <c r="E150" s="0" t="str">
        <f aca="false">$B150&amp;"|"&amp;$C150&amp;"|"&amp;$D150</f>
        <v>Karonga District [cPtvxaZqXIH]|10-14|Male</v>
      </c>
      <c r="F150" s="88" t="n">
        <f aca="false">IF(LEFT($B150,4)="_Mil","",INDEX(Cascade!$AA:$AA,MATCH($E150,Cascade!$E:$E,0)))</f>
        <v>1518</v>
      </c>
      <c r="G150" s="10" t="n">
        <f aca="false">INDEX(Cascade!$BH:$BH,MATCH($E150,Cascade!$E:$E,0))</f>
        <v>-85</v>
      </c>
      <c r="H150" s="10" t="str">
        <f aca="false">IF(OR($C150="01-09",$D150="Male"),"",INDEX(PMTCT!$AC:$AC,MATCH($E150,PMTCT!$E:$E,0)))</f>
        <v/>
      </c>
      <c r="I150" s="10" t="str">
        <f aca="false">IF(OR($C150="01-09",$D150="Male"),"",INDEX(PMTCT!$AS:$AS,MATCH($E150,PMTCT!$E:$E,0)))</f>
        <v/>
      </c>
      <c r="J150" s="10" t="str">
        <f aca="false">INDEX(TB!$P:$P,MATCH($E150,TB!$E:$E,0))</f>
        <v>ENTER YIELD RATE</v>
      </c>
      <c r="K150" s="10" t="str">
        <f aca="false">IF(OR($C150="01-09",$C150="10-14",$D150="Female"),"",INDEX(VMMC!$AA:$AA,MATCH($E150,VMMC!$E:$E,0)))</f>
        <v/>
      </c>
      <c r="L150" s="10" t="n">
        <f aca="false">SUM($G150)-SUM($H150:$K150)</f>
        <v>-85</v>
      </c>
      <c r="M150" s="88" t="str">
        <f aca="false">IF(OR($C150="01-09",$D150="Male",AND(SUM($G150)=0,SUM($H150)=0)),"",SUM($H150)/SUM($G150))</f>
        <v/>
      </c>
      <c r="N150" s="88" t="str">
        <f aca="false">IF(OR($C150="01-09",$D150="Male",AND(SUM($G150)=0,SUM($I150)=0)),"",SUM($I150)/SUM($G150))</f>
        <v/>
      </c>
      <c r="O150" s="88" t="n">
        <f aca="false">IF(AND(SUM($G150)=0,SUM($J150)=0),"",SUM($J150)/SUM($G150))</f>
        <v>-0</v>
      </c>
      <c r="P150" s="88" t="str">
        <f aca="false">IF(OR($C150="01-09",$C150="10-14",$D150="Female",AND(SUM($G150)=0,SUM($K150)=0)),"",SUM($K150)/SUM($G150))</f>
        <v/>
      </c>
      <c r="Q150" s="88" t="n">
        <v>0.885791895678267</v>
      </c>
      <c r="R150" s="88"/>
      <c r="S150" s="88"/>
      <c r="T150" s="88"/>
      <c r="U150" s="88" t="n">
        <v>0.399469673400745</v>
      </c>
      <c r="V150" s="88" t="n">
        <f aca="false">IF(SUM($G150)=0,"",SUM($M150:$U150))</f>
        <v>1.28526156907901</v>
      </c>
      <c r="W150" s="88"/>
      <c r="X150" s="39" t="n">
        <f aca="false">IF(OR(SUM($G150)=0,SUM($Q150)=0),"",ROUND(SUM($G150)*SUM($Q150),0))</f>
        <v>-75</v>
      </c>
      <c r="Y150" s="39" t="str">
        <f aca="false">IF(SUM($X150)=0,"",IF(SUM($W150)=0,"ENTER YIELD",ROUND($X150/$W150,0)-$X150))</f>
        <v>ENTER YIELD</v>
      </c>
      <c r="Z150" s="88"/>
      <c r="AA150" s="39" t="str">
        <f aca="false">IF(OR(SUM($G150)=0,SUM($R150)=0),"",ROUND(SUM($G150)*SUM($R150),0))</f>
        <v/>
      </c>
      <c r="AB150" s="39" t="str">
        <f aca="false">IF(SUM($AA150)=0,"",IF(SUM($Z150)=0,"ENTER YIELD",ROUND($AA150/$Z150,0)-$AA150))</f>
        <v/>
      </c>
      <c r="AC150" s="88"/>
      <c r="AD150" s="39" t="str">
        <f aca="false">IF(OR(SUM($G150)=0,SUM($S150)=0),"",ROUND(SUM($G150)*SUM($S150),0))</f>
        <v/>
      </c>
      <c r="AE150" s="39" t="str">
        <f aca="false">IF(SUM($AD150)=0,"",IF(SUM($AC150)=0,"ENTER YIELD",ROUND($AD150/$AC150,0)-$AD150))</f>
        <v/>
      </c>
      <c r="AF150" s="88"/>
      <c r="AG150" s="39" t="str">
        <f aca="false">IF(OR(SUM($G150)=0,SUM($T150)=0),"",ROUND(SUM($G150)*SUM($T150),0))</f>
        <v/>
      </c>
      <c r="AH150" s="39" t="str">
        <f aca="false">IF(SUM($AG150)=0,"",IF(SUM($AF150)=0,"ENTER YIELD",ROUND($AG150/$AF150,0)-$AG150))</f>
        <v/>
      </c>
      <c r="AI150" s="88"/>
      <c r="AJ150" s="39" t="n">
        <f aca="false">IF(OR(SUM($G150)=0,SUM($U150)=0),"",ROUND(SUM($G150)*SUM($U150),0))</f>
        <v>-34</v>
      </c>
      <c r="AK150" s="39" t="str">
        <f aca="false">IF(SUM($AJ150)=0,"",IF(SUM($AI150)=0,"ENTER YIELD",ROUND($AJ150/$AI150,0)-$AJ150))</f>
        <v>ENTER YIELD</v>
      </c>
      <c r="AL150" s="10" t="n">
        <f aca="false">IF(SUM($G150)=0,"",$G150)</f>
        <v>-85</v>
      </c>
      <c r="AM150" s="10" t="n">
        <f aca="false">IFERROR(1/(1/SUM($H150:$K150,$X150,$AA150,$AD150,$AG150,$AJ150)),"")</f>
        <v>-109</v>
      </c>
      <c r="AN150" s="10" t="n">
        <f aca="false">IF(AND(SUM($AM150)=0,SUM($AL150)=0),"",$AM150-$AL150)</f>
        <v>-24</v>
      </c>
      <c r="AO150" s="10" t="str">
        <f aca="false">IF(OR($C150="01-09",$D150="Male"),"",INDEX(PMTCT!$AD:$AD,MATCH($E150,PMTCT!$E:$E,0)))</f>
        <v/>
      </c>
      <c r="AP150" s="10" t="str">
        <f aca="false">IF(OR($C150="01-09",$D150="Male"),"",INDEX(PMTCT!$AT:$AT,MATCH($E150,PMTCT!$E:$E,0)))</f>
        <v/>
      </c>
      <c r="AQ150" s="10" t="n">
        <f aca="false">INDEX(TB!$Q:$Q,MATCH($E150,TB!$E:$E,0))</f>
        <v>1</v>
      </c>
      <c r="AR150" s="10" t="str">
        <f aca="false">IF(OR($C150="01-09",$C150="10-14",$D150="Female"),"",INDEX(VMMC!$AB:$AB,MATCH($E150,VMMC!$E:$E,0)))</f>
        <v/>
      </c>
      <c r="AS150" s="10" t="str">
        <f aca="false">IF(OR($C150="01-09",$C150="10-14"),"",INDEX(PrEP!$Q:$Q,MATCH($E150,PrEP!$E:$E,0)))</f>
        <v/>
      </c>
      <c r="AT150" s="10" t="n">
        <f aca="false">IFERROR(1/(1/SUM($Y150,$AB150,$AE150,$AH150,$AK150,$AO150:$AS150)),"")</f>
        <v>1</v>
      </c>
      <c r="AU150" s="10" t="n">
        <f aca="false">IFERROR(1/(1/SUM($AT150,$AM150)),"")</f>
        <v>-108</v>
      </c>
      <c r="AV150" s="88" t="n">
        <f aca="false">IF(AND(SUM($AM150)=0,SUM($AU150)=0),"",$AM150/$AU150)</f>
        <v>1.00925925925926</v>
      </c>
      <c r="AW150" s="10"/>
      <c r="AX150" s="88" t="str">
        <f aca="false">IF(OR($C150="01-09",SUM($AW150)=0),"",0%)</f>
        <v/>
      </c>
      <c r="AY150" s="39" t="str">
        <f aca="false">IF(OR($C150="01-09",SUM($AW150)=0),"",ROUND($AW150*(1+$AX150),0))</f>
        <v/>
      </c>
      <c r="AZ150" s="88" t="str">
        <f aca="false">IF(OR($C150="01-09",$C150="10-14"),"",100%)</f>
        <v/>
      </c>
      <c r="BA150" s="39" t="str">
        <f aca="false">IF(OR(SUM($AM150)=0,$C150="01-09",$C150="10-14"),"",$AM150*$AZ150)</f>
        <v/>
      </c>
    </row>
    <row r="151" customFormat="false" ht="15" hidden="false" customHeight="false" outlineLevel="0" collapsed="false">
      <c r="A151" s="0" t="str">
        <f aca="false">INDEX(Prioritization!$D:$D,MATCH($B151,Prioritization!$A:$A,0))</f>
        <v>INVALID</v>
      </c>
      <c r="B151" s="0" t="s">
        <v>205</v>
      </c>
      <c r="C151" s="0" t="s">
        <v>365</v>
      </c>
      <c r="D151" s="0" t="s">
        <v>30</v>
      </c>
      <c r="E151" s="0" t="str">
        <f aca="false">$B151&amp;"|"&amp;$C151&amp;"|"&amp;$D151</f>
        <v>Karonga District [cPtvxaZqXIH]|15-24|Female</v>
      </c>
      <c r="F151" s="88" t="n">
        <f aca="false">IF(LEFT($B151,4)="_Mil","",INDEX(Cascade!$AA:$AA,MATCH($E151,Cascade!$E:$E,0)))</f>
        <v>1022</v>
      </c>
      <c r="G151" s="10" t="n">
        <f aca="false">INDEX(Cascade!$BH:$BH,MATCH($E151,Cascade!$E:$E,0))</f>
        <v>0</v>
      </c>
      <c r="H151" s="10" t="str">
        <f aca="false">IF(OR($C151="01-09",$D151="Male"),"",INDEX(PMTCT!$AC:$AC,MATCH($E151,PMTCT!$E:$E,0)))</f>
        <v/>
      </c>
      <c r="I151" s="10" t="str">
        <f aca="false">IF(OR($C151="01-09",$D151="Male"),"",INDEX(PMTCT!$AS:$AS,MATCH($E151,PMTCT!$E:$E,0)))</f>
        <v/>
      </c>
      <c r="J151" s="10" t="str">
        <f aca="false">INDEX(TB!$P:$P,MATCH($E151,TB!$E:$E,0))</f>
        <v/>
      </c>
      <c r="K151" s="10" t="str">
        <f aca="false">IF(OR($C151="01-09",$C151="10-14",$D151="Female"),"",INDEX(VMMC!$AA:$AA,MATCH($E151,VMMC!$E:$E,0)))</f>
        <v/>
      </c>
      <c r="L151" s="10" t="n">
        <f aca="false">SUM($G151)-SUM($H151:$K151)</f>
        <v>0</v>
      </c>
      <c r="M151" s="88" t="str">
        <f aca="false">IF(OR($C151="01-09",$D151="Male",AND(SUM($G151)=0,SUM($H151)=0)),"",SUM($H151)/SUM($G151))</f>
        <v/>
      </c>
      <c r="N151" s="88" t="str">
        <f aca="false">IF(OR($C151="01-09",$D151="Male",AND(SUM($G151)=0,SUM($I151)=0)),"",SUM($I151)/SUM($G151))</f>
        <v/>
      </c>
      <c r="O151" s="88" t="str">
        <f aca="false">IF(AND(SUM($G151)=0,SUM($J151)=0),"",SUM($J151)/SUM($G151))</f>
        <v/>
      </c>
      <c r="P151" s="88" t="str">
        <f aca="false">IF(OR($C151="01-09",$C151="10-14",$D151="Female",AND(SUM($G151)=0,SUM($K151)=0)),"",SUM($K151)/SUM($G151))</f>
        <v/>
      </c>
      <c r="Q151" s="88"/>
      <c r="R151" s="88"/>
      <c r="S151" s="88"/>
      <c r="T151" s="88"/>
      <c r="U151" s="88"/>
      <c r="V151" s="88" t="str">
        <f aca="false">IF(SUM($G151)=0,"",SUM($M151:$U151))</f>
        <v/>
      </c>
      <c r="W151" s="88"/>
      <c r="X151" s="39" t="str">
        <f aca="false">IF(OR(SUM($G151)=0,SUM($Q151)=0),"",ROUND(SUM($G151)*SUM($Q151),0))</f>
        <v/>
      </c>
      <c r="Y151" s="39" t="str">
        <f aca="false">IF(SUM($X151)=0,"",IF(SUM($W151)=0,"ENTER YIELD",ROUND($X151/$W151,0)-$X151))</f>
        <v/>
      </c>
      <c r="Z151" s="88"/>
      <c r="AA151" s="39" t="str">
        <f aca="false">IF(OR(SUM($G151)=0,SUM($R151)=0),"",ROUND(SUM($G151)*SUM($R151),0))</f>
        <v/>
      </c>
      <c r="AB151" s="39" t="str">
        <f aca="false">IF(SUM($AA151)=0,"",IF(SUM($Z151)=0,"ENTER YIELD",ROUND($AA151/$Z151,0)-$AA151))</f>
        <v/>
      </c>
      <c r="AC151" s="88"/>
      <c r="AD151" s="39" t="str">
        <f aca="false">IF(OR(SUM($G151)=0,SUM($S151)=0),"",ROUND(SUM($G151)*SUM($S151),0))</f>
        <v/>
      </c>
      <c r="AE151" s="39" t="str">
        <f aca="false">IF(SUM($AD151)=0,"",IF(SUM($AC151)=0,"ENTER YIELD",ROUND($AD151/$AC151,0)-$AD151))</f>
        <v/>
      </c>
      <c r="AF151" s="88"/>
      <c r="AG151" s="39" t="str">
        <f aca="false">IF(OR(SUM($G151)=0,SUM($T151)=0),"",ROUND(SUM($G151)*SUM($T151),0))</f>
        <v/>
      </c>
      <c r="AH151" s="39" t="str">
        <f aca="false">IF(SUM($AG151)=0,"",IF(SUM($AF151)=0,"ENTER YIELD",ROUND($AG151/$AF151,0)-$AG151))</f>
        <v/>
      </c>
      <c r="AI151" s="88"/>
      <c r="AJ151" s="39" t="str">
        <f aca="false">IF(OR(SUM($G151)=0,SUM($U151)=0),"",ROUND(SUM($G151)*SUM($U151),0))</f>
        <v/>
      </c>
      <c r="AK151" s="39" t="str">
        <f aca="false">IF(SUM($AJ151)=0,"",IF(SUM($AI151)=0,"ENTER YIELD",ROUND($AJ151/$AI151,0)-$AJ151))</f>
        <v/>
      </c>
      <c r="AL151" s="10" t="str">
        <f aca="false">IF(SUM($G151)=0,"",$G151)</f>
        <v/>
      </c>
      <c r="AM151" s="10" t="str">
        <f aca="false">IFERROR(1/(1/SUM($H151:$K151,$X151,$AA151,$AD151,$AG151,$AJ151)),"")</f>
        <v/>
      </c>
      <c r="AN151" s="10" t="str">
        <f aca="false">IF(AND(SUM($AM151)=0,SUM($AL151)=0),"",$AM151-$AL151)</f>
        <v/>
      </c>
      <c r="AO151" s="10" t="str">
        <f aca="false">IF(OR($C151="01-09",$D151="Male"),"",INDEX(PMTCT!$AD:$AD,MATCH($E151,PMTCT!$E:$E,0)))</f>
        <v/>
      </c>
      <c r="AP151" s="10" t="str">
        <f aca="false">IF(OR($C151="01-09",$D151="Male"),"",INDEX(PMTCT!$AT:$AT,MATCH($E151,PMTCT!$E:$E,0)))</f>
        <v/>
      </c>
      <c r="AQ151" s="10" t="str">
        <f aca="false">INDEX(TB!$Q:$Q,MATCH($E151,TB!$E:$E,0))</f>
        <v/>
      </c>
      <c r="AR151" s="10" t="str">
        <f aca="false">IF(OR($C151="01-09",$C151="10-14",$D151="Female"),"",INDEX(VMMC!$AB:$AB,MATCH($E151,VMMC!$E:$E,0)))</f>
        <v/>
      </c>
      <c r="AS151" s="10" t="str">
        <f aca="false">IF(OR($C151="01-09",$C151="10-14"),"",INDEX(PrEP!$Q:$Q,MATCH($E151,PrEP!$E:$E,0)))</f>
        <v/>
      </c>
      <c r="AT151" s="10" t="str">
        <f aca="false">IFERROR(1/(1/SUM($Y151,$AB151,$AE151,$AH151,$AK151,$AO151:$AS151)),"")</f>
        <v/>
      </c>
      <c r="AU151" s="10" t="str">
        <f aca="false">IFERROR(1/(1/SUM($AT151,$AM151)),"")</f>
        <v/>
      </c>
      <c r="AV151" s="88" t="str">
        <f aca="false">IF(AND(SUM($AM151)=0,SUM($AU151)=0),"",$AM151/$AU151)</f>
        <v/>
      </c>
      <c r="AW151" s="10"/>
      <c r="AX151" s="88" t="str">
        <f aca="false">IF(OR($C151="01-09",SUM($AW151)=0),"",0%)</f>
        <v/>
      </c>
      <c r="AY151" s="39" t="str">
        <f aca="false">IF(OR($C151="01-09",SUM($AW151)=0),"",ROUND($AW151*(1+$AX151),0))</f>
        <v/>
      </c>
      <c r="AZ151" s="88" t="n">
        <f aca="false">IF(OR($C151="01-09",$C151="10-14"),"",100%)</f>
        <v>1</v>
      </c>
      <c r="BA151" s="39" t="str">
        <f aca="false">IF(OR(SUM($AM151)=0,$C151="01-09",$C151="10-14"),"",$AM151*$AZ151)</f>
        <v/>
      </c>
    </row>
    <row r="152" customFormat="false" ht="15" hidden="false" customHeight="false" outlineLevel="0" collapsed="false">
      <c r="A152" s="0" t="str">
        <f aca="false">INDEX(Prioritization!$D:$D,MATCH($B152,Prioritization!$A:$A,0))</f>
        <v>INVALID</v>
      </c>
      <c r="B152" s="0" t="s">
        <v>205</v>
      </c>
      <c r="C152" s="0" t="s">
        <v>365</v>
      </c>
      <c r="D152" s="0" t="s">
        <v>48</v>
      </c>
      <c r="E152" s="0" t="str">
        <f aca="false">$B152&amp;"|"&amp;$C152&amp;"|"&amp;$D152</f>
        <v>Karonga District [cPtvxaZqXIH]|15-24|Male</v>
      </c>
      <c r="F152" s="88" t="n">
        <f aca="false">IF(LEFT($B152,4)="_Mil","",INDEX(Cascade!$AA:$AA,MATCH($E152,Cascade!$E:$E,0)))</f>
        <v>569</v>
      </c>
      <c r="G152" s="10" t="n">
        <f aca="false">INDEX(Cascade!$BH:$BH,MATCH($E152,Cascade!$E:$E,0))</f>
        <v>0</v>
      </c>
      <c r="H152" s="10" t="str">
        <f aca="false">IF(OR($C152="01-09",$D152="Male"),"",INDEX(PMTCT!$AC:$AC,MATCH($E152,PMTCT!$E:$E,0)))</f>
        <v/>
      </c>
      <c r="I152" s="10" t="str">
        <f aca="false">IF(OR($C152="01-09",$D152="Male"),"",INDEX(PMTCT!$AS:$AS,MATCH($E152,PMTCT!$E:$E,0)))</f>
        <v/>
      </c>
      <c r="J152" s="10" t="str">
        <f aca="false">INDEX(TB!$P:$P,MATCH($E152,TB!$E:$E,0))</f>
        <v/>
      </c>
      <c r="K152" s="10" t="str">
        <f aca="false">IF(OR($C152="01-09",$C152="10-14",$D152="Female"),"",INDEX(VMMC!$AA:$AA,MATCH($E152,VMMC!$E:$E,0)))</f>
        <v/>
      </c>
      <c r="L152" s="10" t="n">
        <f aca="false">SUM($G152)-SUM($H152:$K152)</f>
        <v>0</v>
      </c>
      <c r="M152" s="88" t="str">
        <f aca="false">IF(OR($C152="01-09",$D152="Male",AND(SUM($G152)=0,SUM($H152)=0)),"",SUM($H152)/SUM($G152))</f>
        <v/>
      </c>
      <c r="N152" s="88" t="str">
        <f aca="false">IF(OR($C152="01-09",$D152="Male",AND(SUM($G152)=0,SUM($I152)=0)),"",SUM($I152)/SUM($G152))</f>
        <v/>
      </c>
      <c r="O152" s="88" t="str">
        <f aca="false">IF(AND(SUM($G152)=0,SUM($J152)=0),"",SUM($J152)/SUM($G152))</f>
        <v/>
      </c>
      <c r="P152" s="88" t="str">
        <f aca="false">IF(OR($C152="01-09",$C152="10-14",$D152="Female",AND(SUM($G152)=0,SUM($K152)=0)),"",SUM($K152)/SUM($G152))</f>
        <v/>
      </c>
      <c r="Q152" s="88"/>
      <c r="R152" s="88"/>
      <c r="S152" s="88"/>
      <c r="T152" s="88"/>
      <c r="U152" s="88"/>
      <c r="V152" s="88" t="str">
        <f aca="false">IF(SUM($G152)=0,"",SUM($M152:$U152))</f>
        <v/>
      </c>
      <c r="W152" s="88"/>
      <c r="X152" s="39" t="str">
        <f aca="false">IF(OR(SUM($G152)=0,SUM($Q152)=0),"",ROUND(SUM($G152)*SUM($Q152),0))</f>
        <v/>
      </c>
      <c r="Y152" s="39" t="str">
        <f aca="false">IF(SUM($X152)=0,"",IF(SUM($W152)=0,"ENTER YIELD",ROUND($X152/$W152,0)-$X152))</f>
        <v/>
      </c>
      <c r="Z152" s="88"/>
      <c r="AA152" s="39" t="str">
        <f aca="false">IF(OR(SUM($G152)=0,SUM($R152)=0),"",ROUND(SUM($G152)*SUM($R152),0))</f>
        <v/>
      </c>
      <c r="AB152" s="39" t="str">
        <f aca="false">IF(SUM($AA152)=0,"",IF(SUM($Z152)=0,"ENTER YIELD",ROUND($AA152/$Z152,0)-$AA152))</f>
        <v/>
      </c>
      <c r="AC152" s="88"/>
      <c r="AD152" s="39" t="str">
        <f aca="false">IF(OR(SUM($G152)=0,SUM($S152)=0),"",ROUND(SUM($G152)*SUM($S152),0))</f>
        <v/>
      </c>
      <c r="AE152" s="39" t="str">
        <f aca="false">IF(SUM($AD152)=0,"",IF(SUM($AC152)=0,"ENTER YIELD",ROUND($AD152/$AC152,0)-$AD152))</f>
        <v/>
      </c>
      <c r="AF152" s="88"/>
      <c r="AG152" s="39" t="str">
        <f aca="false">IF(OR(SUM($G152)=0,SUM($T152)=0),"",ROUND(SUM($G152)*SUM($T152),0))</f>
        <v/>
      </c>
      <c r="AH152" s="39" t="str">
        <f aca="false">IF(SUM($AG152)=0,"",IF(SUM($AF152)=0,"ENTER YIELD",ROUND($AG152/$AF152,0)-$AG152))</f>
        <v/>
      </c>
      <c r="AI152" s="88"/>
      <c r="AJ152" s="39" t="str">
        <f aca="false">IF(OR(SUM($G152)=0,SUM($U152)=0),"",ROUND(SUM($G152)*SUM($U152),0))</f>
        <v/>
      </c>
      <c r="AK152" s="39" t="str">
        <f aca="false">IF(SUM($AJ152)=0,"",IF(SUM($AI152)=0,"ENTER YIELD",ROUND($AJ152/$AI152,0)-$AJ152))</f>
        <v/>
      </c>
      <c r="AL152" s="10" t="str">
        <f aca="false">IF(SUM($G152)=0,"",$G152)</f>
        <v/>
      </c>
      <c r="AM152" s="10" t="str">
        <f aca="false">IFERROR(1/(1/SUM($H152:$K152,$X152,$AA152,$AD152,$AG152,$AJ152)),"")</f>
        <v/>
      </c>
      <c r="AN152" s="10" t="str">
        <f aca="false">IF(AND(SUM($AM152)=0,SUM($AL152)=0),"",$AM152-$AL152)</f>
        <v/>
      </c>
      <c r="AO152" s="10" t="str">
        <f aca="false">IF(OR($C152="01-09",$D152="Male"),"",INDEX(PMTCT!$AD:$AD,MATCH($E152,PMTCT!$E:$E,0)))</f>
        <v/>
      </c>
      <c r="AP152" s="10" t="str">
        <f aca="false">IF(OR($C152="01-09",$D152="Male"),"",INDEX(PMTCT!$AT:$AT,MATCH($E152,PMTCT!$E:$E,0)))</f>
        <v/>
      </c>
      <c r="AQ152" s="10" t="str">
        <f aca="false">INDEX(TB!$Q:$Q,MATCH($E152,TB!$E:$E,0))</f>
        <v/>
      </c>
      <c r="AR152" s="10" t="str">
        <f aca="false">IF(OR($C152="01-09",$C152="10-14",$D152="Female"),"",INDEX(VMMC!$AB:$AB,MATCH($E152,VMMC!$E:$E,0)))</f>
        <v/>
      </c>
      <c r="AS152" s="10" t="str">
        <f aca="false">IF(OR($C152="01-09",$C152="10-14"),"",INDEX(PrEP!$Q:$Q,MATCH($E152,PrEP!$E:$E,0)))</f>
        <v/>
      </c>
      <c r="AT152" s="10" t="str">
        <f aca="false">IFERROR(1/(1/SUM($Y152,$AB152,$AE152,$AH152,$AK152,$AO152:$AS152)),"")</f>
        <v/>
      </c>
      <c r="AU152" s="10" t="str">
        <f aca="false">IFERROR(1/(1/SUM($AT152,$AM152)),"")</f>
        <v/>
      </c>
      <c r="AV152" s="88" t="str">
        <f aca="false">IF(AND(SUM($AM152)=0,SUM($AU152)=0),"",$AM152/$AU152)</f>
        <v/>
      </c>
      <c r="AW152" s="10"/>
      <c r="AX152" s="88" t="str">
        <f aca="false">IF(OR($C152="01-09",SUM($AW152)=0),"",0%)</f>
        <v/>
      </c>
      <c r="AY152" s="39" t="str">
        <f aca="false">IF(OR($C152="01-09",SUM($AW152)=0),"",ROUND($AW152*(1+$AX152),0))</f>
        <v/>
      </c>
      <c r="AZ152" s="88" t="n">
        <f aca="false">IF(OR($C152="01-09",$C152="10-14"),"",100%)</f>
        <v>1</v>
      </c>
      <c r="BA152" s="39" t="str">
        <f aca="false">IF(OR(SUM($AM152)=0,$C152="01-09",$C152="10-14"),"",$AM152*$AZ152)</f>
        <v/>
      </c>
    </row>
    <row r="153" customFormat="false" ht="15" hidden="false" customHeight="false" outlineLevel="0" collapsed="false">
      <c r="A153" s="0" t="str">
        <f aca="false">INDEX(Prioritization!$D:$D,MATCH($B153,Prioritization!$A:$A,0))</f>
        <v>INVALID</v>
      </c>
      <c r="B153" s="0" t="s">
        <v>205</v>
      </c>
      <c r="C153" s="0" t="s">
        <v>366</v>
      </c>
      <c r="D153" s="0" t="s">
        <v>30</v>
      </c>
      <c r="E153" s="0" t="str">
        <f aca="false">$B153&amp;"|"&amp;$C153&amp;"|"&amp;$D153</f>
        <v>Karonga District [cPtvxaZqXIH]|25-34|Female</v>
      </c>
      <c r="F153" s="88" t="n">
        <f aca="false">IF(LEFT($B153,4)="_Mil","",INDEX(Cascade!$AA:$AA,MATCH($E153,Cascade!$E:$E,0)))</f>
        <v>1236</v>
      </c>
      <c r="G153" s="10" t="n">
        <f aca="false">INDEX(Cascade!$BH:$BH,MATCH($E153,Cascade!$E:$E,0))</f>
        <v>0</v>
      </c>
      <c r="H153" s="10" t="str">
        <f aca="false">IF(OR($C153="01-09",$D153="Male"),"",INDEX(PMTCT!$AC:$AC,MATCH($E153,PMTCT!$E:$E,0)))</f>
        <v/>
      </c>
      <c r="I153" s="10" t="str">
        <f aca="false">IF(OR($C153="01-09",$D153="Male"),"",INDEX(PMTCT!$AS:$AS,MATCH($E153,PMTCT!$E:$E,0)))</f>
        <v/>
      </c>
      <c r="J153" s="10" t="str">
        <f aca="false">INDEX(TB!$P:$P,MATCH($E153,TB!$E:$E,0))</f>
        <v/>
      </c>
      <c r="K153" s="10" t="str">
        <f aca="false">IF(OR($C153="01-09",$C153="10-14",$D153="Female"),"",INDEX(VMMC!$AA:$AA,MATCH($E153,VMMC!$E:$E,0)))</f>
        <v/>
      </c>
      <c r="L153" s="10" t="n">
        <f aca="false">SUM($G153)-SUM($H153:$K153)</f>
        <v>0</v>
      </c>
      <c r="M153" s="88" t="str">
        <f aca="false">IF(OR($C153="01-09",$D153="Male",AND(SUM($G153)=0,SUM($H153)=0)),"",SUM($H153)/SUM($G153))</f>
        <v/>
      </c>
      <c r="N153" s="88" t="str">
        <f aca="false">IF(OR($C153="01-09",$D153="Male",AND(SUM($G153)=0,SUM($I153)=0)),"",SUM($I153)/SUM($G153))</f>
        <v/>
      </c>
      <c r="O153" s="88" t="str">
        <f aca="false">IF(AND(SUM($G153)=0,SUM($J153)=0),"",SUM($J153)/SUM($G153))</f>
        <v/>
      </c>
      <c r="P153" s="88" t="str">
        <f aca="false">IF(OR($C153="01-09",$C153="10-14",$D153="Female",AND(SUM($G153)=0,SUM($K153)=0)),"",SUM($K153)/SUM($G153))</f>
        <v/>
      </c>
      <c r="Q153" s="88"/>
      <c r="R153" s="88"/>
      <c r="S153" s="88"/>
      <c r="T153" s="88"/>
      <c r="U153" s="88"/>
      <c r="V153" s="88" t="str">
        <f aca="false">IF(SUM($G153)=0,"",SUM($M153:$U153))</f>
        <v/>
      </c>
      <c r="W153" s="88"/>
      <c r="X153" s="39" t="str">
        <f aca="false">IF(OR(SUM($G153)=0,SUM($Q153)=0),"",ROUND(SUM($G153)*SUM($Q153),0))</f>
        <v/>
      </c>
      <c r="Y153" s="39" t="str">
        <f aca="false">IF(SUM($X153)=0,"",IF(SUM($W153)=0,"ENTER YIELD",ROUND($X153/$W153,0)-$X153))</f>
        <v/>
      </c>
      <c r="Z153" s="88"/>
      <c r="AA153" s="39" t="str">
        <f aca="false">IF(OR(SUM($G153)=0,SUM($R153)=0),"",ROUND(SUM($G153)*SUM($R153),0))</f>
        <v/>
      </c>
      <c r="AB153" s="39" t="str">
        <f aca="false">IF(SUM($AA153)=0,"",IF(SUM($Z153)=0,"ENTER YIELD",ROUND($AA153/$Z153,0)-$AA153))</f>
        <v/>
      </c>
      <c r="AC153" s="88"/>
      <c r="AD153" s="39" t="str">
        <f aca="false">IF(OR(SUM($G153)=0,SUM($S153)=0),"",ROUND(SUM($G153)*SUM($S153),0))</f>
        <v/>
      </c>
      <c r="AE153" s="39" t="str">
        <f aca="false">IF(SUM($AD153)=0,"",IF(SUM($AC153)=0,"ENTER YIELD",ROUND($AD153/$AC153,0)-$AD153))</f>
        <v/>
      </c>
      <c r="AF153" s="88"/>
      <c r="AG153" s="39" t="str">
        <f aca="false">IF(OR(SUM($G153)=0,SUM($T153)=0),"",ROUND(SUM($G153)*SUM($T153),0))</f>
        <v/>
      </c>
      <c r="AH153" s="39" t="str">
        <f aca="false">IF(SUM($AG153)=0,"",IF(SUM($AF153)=0,"ENTER YIELD",ROUND($AG153/$AF153,0)-$AG153))</f>
        <v/>
      </c>
      <c r="AI153" s="88"/>
      <c r="AJ153" s="39" t="str">
        <f aca="false">IF(OR(SUM($G153)=0,SUM($U153)=0),"",ROUND(SUM($G153)*SUM($U153),0))</f>
        <v/>
      </c>
      <c r="AK153" s="39" t="str">
        <f aca="false">IF(SUM($AJ153)=0,"",IF(SUM($AI153)=0,"ENTER YIELD",ROUND($AJ153/$AI153,0)-$AJ153))</f>
        <v/>
      </c>
      <c r="AL153" s="10" t="str">
        <f aca="false">IF(SUM($G153)=0,"",$G153)</f>
        <v/>
      </c>
      <c r="AM153" s="10" t="str">
        <f aca="false">IFERROR(1/(1/SUM($H153:$K153,$X153,$AA153,$AD153,$AG153,$AJ153)),"")</f>
        <v/>
      </c>
      <c r="AN153" s="10" t="str">
        <f aca="false">IF(AND(SUM($AM153)=0,SUM($AL153)=0),"",$AM153-$AL153)</f>
        <v/>
      </c>
      <c r="AO153" s="10" t="str">
        <f aca="false">IF(OR($C153="01-09",$D153="Male"),"",INDEX(PMTCT!$AD:$AD,MATCH($E153,PMTCT!$E:$E,0)))</f>
        <v/>
      </c>
      <c r="AP153" s="10" t="str">
        <f aca="false">IF(OR($C153="01-09",$D153="Male"),"",INDEX(PMTCT!$AT:$AT,MATCH($E153,PMTCT!$E:$E,0)))</f>
        <v/>
      </c>
      <c r="AQ153" s="10" t="str">
        <f aca="false">INDEX(TB!$Q:$Q,MATCH($E153,TB!$E:$E,0))</f>
        <v/>
      </c>
      <c r="AR153" s="10" t="str">
        <f aca="false">IF(OR($C153="01-09",$C153="10-14",$D153="Female"),"",INDEX(VMMC!$AB:$AB,MATCH($E153,VMMC!$E:$E,0)))</f>
        <v/>
      </c>
      <c r="AS153" s="10" t="str">
        <f aca="false">IF(OR($C153="01-09",$C153="10-14"),"",INDEX(PrEP!$Q:$Q,MATCH($E153,PrEP!$E:$E,0)))</f>
        <v/>
      </c>
      <c r="AT153" s="10" t="str">
        <f aca="false">IFERROR(1/(1/SUM($Y153,$AB153,$AE153,$AH153,$AK153,$AO153:$AS153)),"")</f>
        <v/>
      </c>
      <c r="AU153" s="10" t="str">
        <f aca="false">IFERROR(1/(1/SUM($AT153,$AM153)),"")</f>
        <v/>
      </c>
      <c r="AV153" s="88" t="str">
        <f aca="false">IF(AND(SUM($AM153)=0,SUM($AU153)=0),"",$AM153/$AU153)</f>
        <v/>
      </c>
      <c r="AW153" s="10"/>
      <c r="AX153" s="88" t="str">
        <f aca="false">IF(OR($C153="01-09",SUM($AW153)=0),"",0%)</f>
        <v/>
      </c>
      <c r="AY153" s="39" t="str">
        <f aca="false">IF(OR($C153="01-09",SUM($AW153)=0),"",ROUND($AW153*(1+$AX153),0))</f>
        <v/>
      </c>
      <c r="AZ153" s="88" t="n">
        <f aca="false">IF(OR($C153="01-09",$C153="10-14"),"",100%)</f>
        <v>1</v>
      </c>
      <c r="BA153" s="39" t="str">
        <f aca="false">IF(OR(SUM($AM153)=0,$C153="01-09",$C153="10-14"),"",$AM153*$AZ153)</f>
        <v/>
      </c>
    </row>
    <row r="154" customFormat="false" ht="15" hidden="false" customHeight="false" outlineLevel="0" collapsed="false">
      <c r="A154" s="0" t="str">
        <f aca="false">INDEX(Prioritization!$D:$D,MATCH($B154,Prioritization!$A:$A,0))</f>
        <v>INVALID</v>
      </c>
      <c r="B154" s="0" t="s">
        <v>205</v>
      </c>
      <c r="C154" s="0" t="s">
        <v>366</v>
      </c>
      <c r="D154" s="0" t="s">
        <v>48</v>
      </c>
      <c r="E154" s="0" t="str">
        <f aca="false">$B154&amp;"|"&amp;$C154&amp;"|"&amp;$D154</f>
        <v>Karonga District [cPtvxaZqXIH]|25-34|Male</v>
      </c>
      <c r="F154" s="88" t="n">
        <f aca="false">IF(LEFT($B154,4)="_Mil","",INDEX(Cascade!$AA:$AA,MATCH($E154,Cascade!$E:$E,0)))</f>
        <v>751</v>
      </c>
      <c r="G154" s="10" t="n">
        <f aca="false">INDEX(Cascade!$BH:$BH,MATCH($E154,Cascade!$E:$E,0))</f>
        <v>0</v>
      </c>
      <c r="H154" s="10" t="str">
        <f aca="false">IF(OR($C154="01-09",$D154="Male"),"",INDEX(PMTCT!$AC:$AC,MATCH($E154,PMTCT!$E:$E,0)))</f>
        <v/>
      </c>
      <c r="I154" s="10" t="str">
        <f aca="false">IF(OR($C154="01-09",$D154="Male"),"",INDEX(PMTCT!$AS:$AS,MATCH($E154,PMTCT!$E:$E,0)))</f>
        <v/>
      </c>
      <c r="J154" s="10" t="str">
        <f aca="false">INDEX(TB!$P:$P,MATCH($E154,TB!$E:$E,0))</f>
        <v/>
      </c>
      <c r="K154" s="10" t="str">
        <f aca="false">IF(OR($C154="01-09",$C154="10-14",$D154="Female"),"",INDEX(VMMC!$AA:$AA,MATCH($E154,VMMC!$E:$E,0)))</f>
        <v/>
      </c>
      <c r="L154" s="10" t="n">
        <f aca="false">SUM($G154)-SUM($H154:$K154)</f>
        <v>0</v>
      </c>
      <c r="M154" s="88" t="str">
        <f aca="false">IF(OR($C154="01-09",$D154="Male",AND(SUM($G154)=0,SUM($H154)=0)),"",SUM($H154)/SUM($G154))</f>
        <v/>
      </c>
      <c r="N154" s="88" t="str">
        <f aca="false">IF(OR($C154="01-09",$D154="Male",AND(SUM($G154)=0,SUM($I154)=0)),"",SUM($I154)/SUM($G154))</f>
        <v/>
      </c>
      <c r="O154" s="88" t="str">
        <f aca="false">IF(AND(SUM($G154)=0,SUM($J154)=0),"",SUM($J154)/SUM($G154))</f>
        <v/>
      </c>
      <c r="P154" s="88" t="str">
        <f aca="false">IF(OR($C154="01-09",$C154="10-14",$D154="Female",AND(SUM($G154)=0,SUM($K154)=0)),"",SUM($K154)/SUM($G154))</f>
        <v/>
      </c>
      <c r="Q154" s="88"/>
      <c r="R154" s="88"/>
      <c r="S154" s="88"/>
      <c r="T154" s="88"/>
      <c r="U154" s="88"/>
      <c r="V154" s="88" t="str">
        <f aca="false">IF(SUM($G154)=0,"",SUM($M154:$U154))</f>
        <v/>
      </c>
      <c r="W154" s="88"/>
      <c r="X154" s="39" t="str">
        <f aca="false">IF(OR(SUM($G154)=0,SUM($Q154)=0),"",ROUND(SUM($G154)*SUM($Q154),0))</f>
        <v/>
      </c>
      <c r="Y154" s="39" t="str">
        <f aca="false">IF(SUM($X154)=0,"",IF(SUM($W154)=0,"ENTER YIELD",ROUND($X154/$W154,0)-$X154))</f>
        <v/>
      </c>
      <c r="Z154" s="88"/>
      <c r="AA154" s="39" t="str">
        <f aca="false">IF(OR(SUM($G154)=0,SUM($R154)=0),"",ROUND(SUM($G154)*SUM($R154),0))</f>
        <v/>
      </c>
      <c r="AB154" s="39" t="str">
        <f aca="false">IF(SUM($AA154)=0,"",IF(SUM($Z154)=0,"ENTER YIELD",ROUND($AA154/$Z154,0)-$AA154))</f>
        <v/>
      </c>
      <c r="AC154" s="88"/>
      <c r="AD154" s="39" t="str">
        <f aca="false">IF(OR(SUM($G154)=0,SUM($S154)=0),"",ROUND(SUM($G154)*SUM($S154),0))</f>
        <v/>
      </c>
      <c r="AE154" s="39" t="str">
        <f aca="false">IF(SUM($AD154)=0,"",IF(SUM($AC154)=0,"ENTER YIELD",ROUND($AD154/$AC154,0)-$AD154))</f>
        <v/>
      </c>
      <c r="AF154" s="88"/>
      <c r="AG154" s="39" t="str">
        <f aca="false">IF(OR(SUM($G154)=0,SUM($T154)=0),"",ROUND(SUM($G154)*SUM($T154),0))</f>
        <v/>
      </c>
      <c r="AH154" s="39" t="str">
        <f aca="false">IF(SUM($AG154)=0,"",IF(SUM($AF154)=0,"ENTER YIELD",ROUND($AG154/$AF154,0)-$AG154))</f>
        <v/>
      </c>
      <c r="AI154" s="88"/>
      <c r="AJ154" s="39" t="str">
        <f aca="false">IF(OR(SUM($G154)=0,SUM($U154)=0),"",ROUND(SUM($G154)*SUM($U154),0))</f>
        <v/>
      </c>
      <c r="AK154" s="39" t="str">
        <f aca="false">IF(SUM($AJ154)=0,"",IF(SUM($AI154)=0,"ENTER YIELD",ROUND($AJ154/$AI154,0)-$AJ154))</f>
        <v/>
      </c>
      <c r="AL154" s="10" t="str">
        <f aca="false">IF(SUM($G154)=0,"",$G154)</f>
        <v/>
      </c>
      <c r="AM154" s="10" t="str">
        <f aca="false">IFERROR(1/(1/SUM($H154:$K154,$X154,$AA154,$AD154,$AG154,$AJ154)),"")</f>
        <v/>
      </c>
      <c r="AN154" s="10" t="str">
        <f aca="false">IF(AND(SUM($AM154)=0,SUM($AL154)=0),"",$AM154-$AL154)</f>
        <v/>
      </c>
      <c r="AO154" s="10" t="str">
        <f aca="false">IF(OR($C154="01-09",$D154="Male"),"",INDEX(PMTCT!$AD:$AD,MATCH($E154,PMTCT!$E:$E,0)))</f>
        <v/>
      </c>
      <c r="AP154" s="10" t="str">
        <f aca="false">IF(OR($C154="01-09",$D154="Male"),"",INDEX(PMTCT!$AT:$AT,MATCH($E154,PMTCT!$E:$E,0)))</f>
        <v/>
      </c>
      <c r="AQ154" s="10" t="str">
        <f aca="false">INDEX(TB!$Q:$Q,MATCH($E154,TB!$E:$E,0))</f>
        <v/>
      </c>
      <c r="AR154" s="10" t="str">
        <f aca="false">IF(OR($C154="01-09",$C154="10-14",$D154="Female"),"",INDEX(VMMC!$AB:$AB,MATCH($E154,VMMC!$E:$E,0)))</f>
        <v/>
      </c>
      <c r="AS154" s="10" t="str">
        <f aca="false">IF(OR($C154="01-09",$C154="10-14"),"",INDEX(PrEP!$Q:$Q,MATCH($E154,PrEP!$E:$E,0)))</f>
        <v/>
      </c>
      <c r="AT154" s="10" t="str">
        <f aca="false">IFERROR(1/(1/SUM($Y154,$AB154,$AE154,$AH154,$AK154,$AO154:$AS154)),"")</f>
        <v/>
      </c>
      <c r="AU154" s="10" t="str">
        <f aca="false">IFERROR(1/(1/SUM($AT154,$AM154)),"")</f>
        <v/>
      </c>
      <c r="AV154" s="88" t="str">
        <f aca="false">IF(AND(SUM($AM154)=0,SUM($AU154)=0),"",$AM154/$AU154)</f>
        <v/>
      </c>
      <c r="AW154" s="10"/>
      <c r="AX154" s="88" t="str">
        <f aca="false">IF(OR($C154="01-09",SUM($AW154)=0),"",0%)</f>
        <v/>
      </c>
      <c r="AY154" s="39" t="str">
        <f aca="false">IF(OR($C154="01-09",SUM($AW154)=0),"",ROUND($AW154*(1+$AX154),0))</f>
        <v/>
      </c>
      <c r="AZ154" s="88" t="n">
        <f aca="false">IF(OR($C154="01-09",$C154="10-14"),"",100%)</f>
        <v>1</v>
      </c>
      <c r="BA154" s="39" t="str">
        <f aca="false">IF(OR(SUM($AM154)=0,$C154="01-09",$C154="10-14"),"",$AM154*$AZ154)</f>
        <v/>
      </c>
    </row>
    <row r="155" customFormat="false" ht="15" hidden="false" customHeight="false" outlineLevel="0" collapsed="false">
      <c r="A155" s="0" t="str">
        <f aca="false">INDEX(Prioritization!$D:$D,MATCH($B155,Prioritization!$A:$A,0))</f>
        <v>INVALID</v>
      </c>
      <c r="B155" s="0" t="s">
        <v>205</v>
      </c>
      <c r="C155" s="0" t="s">
        <v>367</v>
      </c>
      <c r="D155" s="0" t="s">
        <v>30</v>
      </c>
      <c r="E155" s="0" t="str">
        <f aca="false">$B155&amp;"|"&amp;$C155&amp;"|"&amp;$D155</f>
        <v>Karonga District [cPtvxaZqXIH]|35-49|Female</v>
      </c>
      <c r="F155" s="88" t="n">
        <f aca="false">IF(LEFT($B155,4)="_Mil","",INDEX(Cascade!$AA:$AA,MATCH($E155,Cascade!$E:$E,0)))</f>
        <v>1838</v>
      </c>
      <c r="G155" s="10" t="n">
        <f aca="false">INDEX(Cascade!$BH:$BH,MATCH($E155,Cascade!$E:$E,0))</f>
        <v>0</v>
      </c>
      <c r="H155" s="10" t="str">
        <f aca="false">IF(OR($C155="01-09",$D155="Male"),"",INDEX(PMTCT!$AC:$AC,MATCH($E155,PMTCT!$E:$E,0)))</f>
        <v/>
      </c>
      <c r="I155" s="10" t="str">
        <f aca="false">IF(OR($C155="01-09",$D155="Male"),"",INDEX(PMTCT!$AS:$AS,MATCH($E155,PMTCT!$E:$E,0)))</f>
        <v/>
      </c>
      <c r="J155" s="10" t="str">
        <f aca="false">INDEX(TB!$P:$P,MATCH($E155,TB!$E:$E,0))</f>
        <v/>
      </c>
      <c r="K155" s="10" t="str">
        <f aca="false">IF(OR($C155="01-09",$C155="10-14",$D155="Female"),"",INDEX(VMMC!$AA:$AA,MATCH($E155,VMMC!$E:$E,0)))</f>
        <v/>
      </c>
      <c r="L155" s="10" t="n">
        <f aca="false">SUM($G155)-SUM($H155:$K155)</f>
        <v>0</v>
      </c>
      <c r="M155" s="88" t="str">
        <f aca="false">IF(OR($C155="01-09",$D155="Male",AND(SUM($G155)=0,SUM($H155)=0)),"",SUM($H155)/SUM($G155))</f>
        <v/>
      </c>
      <c r="N155" s="88" t="str">
        <f aca="false">IF(OR($C155="01-09",$D155="Male",AND(SUM($G155)=0,SUM($I155)=0)),"",SUM($I155)/SUM($G155))</f>
        <v/>
      </c>
      <c r="O155" s="88" t="str">
        <f aca="false">IF(AND(SUM($G155)=0,SUM($J155)=0),"",SUM($J155)/SUM($G155))</f>
        <v/>
      </c>
      <c r="P155" s="88" t="str">
        <f aca="false">IF(OR($C155="01-09",$C155="10-14",$D155="Female",AND(SUM($G155)=0,SUM($K155)=0)),"",SUM($K155)/SUM($G155))</f>
        <v/>
      </c>
      <c r="Q155" s="88"/>
      <c r="R155" s="88"/>
      <c r="S155" s="88"/>
      <c r="T155" s="88"/>
      <c r="U155" s="88"/>
      <c r="V155" s="88" t="str">
        <f aca="false">IF(SUM($G155)=0,"",SUM($M155:$U155))</f>
        <v/>
      </c>
      <c r="W155" s="88"/>
      <c r="X155" s="39" t="str">
        <f aca="false">IF(OR(SUM($G155)=0,SUM($Q155)=0),"",ROUND(SUM($G155)*SUM($Q155),0))</f>
        <v/>
      </c>
      <c r="Y155" s="39" t="str">
        <f aca="false">IF(SUM($X155)=0,"",IF(SUM($W155)=0,"ENTER YIELD",ROUND($X155/$W155,0)-$X155))</f>
        <v/>
      </c>
      <c r="Z155" s="88"/>
      <c r="AA155" s="39" t="str">
        <f aca="false">IF(OR(SUM($G155)=0,SUM($R155)=0),"",ROUND(SUM($G155)*SUM($R155),0))</f>
        <v/>
      </c>
      <c r="AB155" s="39" t="str">
        <f aca="false">IF(SUM($AA155)=0,"",IF(SUM($Z155)=0,"ENTER YIELD",ROUND($AA155/$Z155,0)-$AA155))</f>
        <v/>
      </c>
      <c r="AC155" s="88"/>
      <c r="AD155" s="39" t="str">
        <f aca="false">IF(OR(SUM($G155)=0,SUM($S155)=0),"",ROUND(SUM($G155)*SUM($S155),0))</f>
        <v/>
      </c>
      <c r="AE155" s="39" t="str">
        <f aca="false">IF(SUM($AD155)=0,"",IF(SUM($AC155)=0,"ENTER YIELD",ROUND($AD155/$AC155,0)-$AD155))</f>
        <v/>
      </c>
      <c r="AF155" s="88"/>
      <c r="AG155" s="39" t="str">
        <f aca="false">IF(OR(SUM($G155)=0,SUM($T155)=0),"",ROUND(SUM($G155)*SUM($T155),0))</f>
        <v/>
      </c>
      <c r="AH155" s="39" t="str">
        <f aca="false">IF(SUM($AG155)=0,"",IF(SUM($AF155)=0,"ENTER YIELD",ROUND($AG155/$AF155,0)-$AG155))</f>
        <v/>
      </c>
      <c r="AI155" s="88"/>
      <c r="AJ155" s="39" t="str">
        <f aca="false">IF(OR(SUM($G155)=0,SUM($U155)=0),"",ROUND(SUM($G155)*SUM($U155),0))</f>
        <v/>
      </c>
      <c r="AK155" s="39" t="str">
        <f aca="false">IF(SUM($AJ155)=0,"",IF(SUM($AI155)=0,"ENTER YIELD",ROUND($AJ155/$AI155,0)-$AJ155))</f>
        <v/>
      </c>
      <c r="AL155" s="10" t="str">
        <f aca="false">IF(SUM($G155)=0,"",$G155)</f>
        <v/>
      </c>
      <c r="AM155" s="10" t="str">
        <f aca="false">IFERROR(1/(1/SUM($H155:$K155,$X155,$AA155,$AD155,$AG155,$AJ155)),"")</f>
        <v/>
      </c>
      <c r="AN155" s="10" t="str">
        <f aca="false">IF(AND(SUM($AM155)=0,SUM($AL155)=0),"",$AM155-$AL155)</f>
        <v/>
      </c>
      <c r="AO155" s="10" t="str">
        <f aca="false">IF(OR($C155="01-09",$D155="Male"),"",INDEX(PMTCT!$AD:$AD,MATCH($E155,PMTCT!$E:$E,0)))</f>
        <v/>
      </c>
      <c r="AP155" s="10" t="str">
        <f aca="false">IF(OR($C155="01-09",$D155="Male"),"",INDEX(PMTCT!$AT:$AT,MATCH($E155,PMTCT!$E:$E,0)))</f>
        <v/>
      </c>
      <c r="AQ155" s="10" t="str">
        <f aca="false">INDEX(TB!$Q:$Q,MATCH($E155,TB!$E:$E,0))</f>
        <v/>
      </c>
      <c r="AR155" s="10" t="str">
        <f aca="false">IF(OR($C155="01-09",$C155="10-14",$D155="Female"),"",INDEX(VMMC!$AB:$AB,MATCH($E155,VMMC!$E:$E,0)))</f>
        <v/>
      </c>
      <c r="AS155" s="10" t="str">
        <f aca="false">IF(OR($C155="01-09",$C155="10-14"),"",INDEX(PrEP!$Q:$Q,MATCH($E155,PrEP!$E:$E,0)))</f>
        <v/>
      </c>
      <c r="AT155" s="10" t="str">
        <f aca="false">IFERROR(1/(1/SUM($Y155,$AB155,$AE155,$AH155,$AK155,$AO155:$AS155)),"")</f>
        <v/>
      </c>
      <c r="AU155" s="10" t="str">
        <f aca="false">IFERROR(1/(1/SUM($AT155,$AM155)),"")</f>
        <v/>
      </c>
      <c r="AV155" s="88" t="str">
        <f aca="false">IF(AND(SUM($AM155)=0,SUM($AU155)=0),"",$AM155/$AU155)</f>
        <v/>
      </c>
      <c r="AW155" s="10"/>
      <c r="AX155" s="88" t="str">
        <f aca="false">IF(OR($C155="01-09",SUM($AW155)=0),"",0%)</f>
        <v/>
      </c>
      <c r="AY155" s="39" t="str">
        <f aca="false">IF(OR($C155="01-09",SUM($AW155)=0),"",ROUND($AW155*(1+$AX155),0))</f>
        <v/>
      </c>
      <c r="AZ155" s="88" t="n">
        <f aca="false">IF(OR($C155="01-09",$C155="10-14"),"",100%)</f>
        <v>1</v>
      </c>
      <c r="BA155" s="39" t="str">
        <f aca="false">IF(OR(SUM($AM155)=0,$C155="01-09",$C155="10-14"),"",$AM155*$AZ155)</f>
        <v/>
      </c>
    </row>
    <row r="156" customFormat="false" ht="15" hidden="false" customHeight="false" outlineLevel="0" collapsed="false">
      <c r="A156" s="0" t="str">
        <f aca="false">INDEX(Prioritization!$D:$D,MATCH($B156,Prioritization!$A:$A,0))</f>
        <v>INVALID</v>
      </c>
      <c r="B156" s="0" t="s">
        <v>205</v>
      </c>
      <c r="C156" s="0" t="s">
        <v>367</v>
      </c>
      <c r="D156" s="0" t="s">
        <v>48</v>
      </c>
      <c r="E156" s="0" t="str">
        <f aca="false">$B156&amp;"|"&amp;$C156&amp;"|"&amp;$D156</f>
        <v>Karonga District [cPtvxaZqXIH]|35-49|Male</v>
      </c>
      <c r="F156" s="88" t="n">
        <f aca="false">IF(LEFT($B156,4)="_Mil","",INDEX(Cascade!$AA:$AA,MATCH($E156,Cascade!$E:$E,0)))</f>
        <v>771</v>
      </c>
      <c r="G156" s="10" t="n">
        <f aca="false">INDEX(Cascade!$BH:$BH,MATCH($E156,Cascade!$E:$E,0))</f>
        <v>0</v>
      </c>
      <c r="H156" s="10" t="str">
        <f aca="false">IF(OR($C156="01-09",$D156="Male"),"",INDEX(PMTCT!$AC:$AC,MATCH($E156,PMTCT!$E:$E,0)))</f>
        <v/>
      </c>
      <c r="I156" s="10" t="str">
        <f aca="false">IF(OR($C156="01-09",$D156="Male"),"",INDEX(PMTCT!$AS:$AS,MATCH($E156,PMTCT!$E:$E,0)))</f>
        <v/>
      </c>
      <c r="J156" s="10" t="str">
        <f aca="false">INDEX(TB!$P:$P,MATCH($E156,TB!$E:$E,0))</f>
        <v/>
      </c>
      <c r="K156" s="10" t="str">
        <f aca="false">IF(OR($C156="01-09",$C156="10-14",$D156="Female"),"",INDEX(VMMC!$AA:$AA,MATCH($E156,VMMC!$E:$E,0)))</f>
        <v/>
      </c>
      <c r="L156" s="10" t="n">
        <f aca="false">SUM($G156)-SUM($H156:$K156)</f>
        <v>0</v>
      </c>
      <c r="M156" s="88" t="str">
        <f aca="false">IF(OR($C156="01-09",$D156="Male",AND(SUM($G156)=0,SUM($H156)=0)),"",SUM($H156)/SUM($G156))</f>
        <v/>
      </c>
      <c r="N156" s="88" t="str">
        <f aca="false">IF(OR($C156="01-09",$D156="Male",AND(SUM($G156)=0,SUM($I156)=0)),"",SUM($I156)/SUM($G156))</f>
        <v/>
      </c>
      <c r="O156" s="88" t="str">
        <f aca="false">IF(AND(SUM($G156)=0,SUM($J156)=0),"",SUM($J156)/SUM($G156))</f>
        <v/>
      </c>
      <c r="P156" s="88" t="str">
        <f aca="false">IF(OR($C156="01-09",$C156="10-14",$D156="Female",AND(SUM($G156)=0,SUM($K156)=0)),"",SUM($K156)/SUM($G156))</f>
        <v/>
      </c>
      <c r="Q156" s="88"/>
      <c r="R156" s="88"/>
      <c r="S156" s="88"/>
      <c r="T156" s="88"/>
      <c r="U156" s="88"/>
      <c r="V156" s="88" t="str">
        <f aca="false">IF(SUM($G156)=0,"",SUM($M156:$U156))</f>
        <v/>
      </c>
      <c r="W156" s="88"/>
      <c r="X156" s="39" t="str">
        <f aca="false">IF(OR(SUM($G156)=0,SUM($Q156)=0),"",ROUND(SUM($G156)*SUM($Q156),0))</f>
        <v/>
      </c>
      <c r="Y156" s="39" t="str">
        <f aca="false">IF(SUM($X156)=0,"",IF(SUM($W156)=0,"ENTER YIELD",ROUND($X156/$W156,0)-$X156))</f>
        <v/>
      </c>
      <c r="Z156" s="88"/>
      <c r="AA156" s="39" t="str">
        <f aca="false">IF(OR(SUM($G156)=0,SUM($R156)=0),"",ROUND(SUM($G156)*SUM($R156),0))</f>
        <v/>
      </c>
      <c r="AB156" s="39" t="str">
        <f aca="false">IF(SUM($AA156)=0,"",IF(SUM($Z156)=0,"ENTER YIELD",ROUND($AA156/$Z156,0)-$AA156))</f>
        <v/>
      </c>
      <c r="AC156" s="88"/>
      <c r="AD156" s="39" t="str">
        <f aca="false">IF(OR(SUM($G156)=0,SUM($S156)=0),"",ROUND(SUM($G156)*SUM($S156),0))</f>
        <v/>
      </c>
      <c r="AE156" s="39" t="str">
        <f aca="false">IF(SUM($AD156)=0,"",IF(SUM($AC156)=0,"ENTER YIELD",ROUND($AD156/$AC156,0)-$AD156))</f>
        <v/>
      </c>
      <c r="AF156" s="88"/>
      <c r="AG156" s="39" t="str">
        <f aca="false">IF(OR(SUM($G156)=0,SUM($T156)=0),"",ROUND(SUM($G156)*SUM($T156),0))</f>
        <v/>
      </c>
      <c r="AH156" s="39" t="str">
        <f aca="false">IF(SUM($AG156)=0,"",IF(SUM($AF156)=0,"ENTER YIELD",ROUND($AG156/$AF156,0)-$AG156))</f>
        <v/>
      </c>
      <c r="AI156" s="88"/>
      <c r="AJ156" s="39" t="str">
        <f aca="false">IF(OR(SUM($G156)=0,SUM($U156)=0),"",ROUND(SUM($G156)*SUM($U156),0))</f>
        <v/>
      </c>
      <c r="AK156" s="39" t="str">
        <f aca="false">IF(SUM($AJ156)=0,"",IF(SUM($AI156)=0,"ENTER YIELD",ROUND($AJ156/$AI156,0)-$AJ156))</f>
        <v/>
      </c>
      <c r="AL156" s="10" t="str">
        <f aca="false">IF(SUM($G156)=0,"",$G156)</f>
        <v/>
      </c>
      <c r="AM156" s="10" t="str">
        <f aca="false">IFERROR(1/(1/SUM($H156:$K156,$X156,$AA156,$AD156,$AG156,$AJ156)),"")</f>
        <v/>
      </c>
      <c r="AN156" s="10" t="str">
        <f aca="false">IF(AND(SUM($AM156)=0,SUM($AL156)=0),"",$AM156-$AL156)</f>
        <v/>
      </c>
      <c r="AO156" s="10" t="str">
        <f aca="false">IF(OR($C156="01-09",$D156="Male"),"",INDEX(PMTCT!$AD:$AD,MATCH($E156,PMTCT!$E:$E,0)))</f>
        <v/>
      </c>
      <c r="AP156" s="10" t="str">
        <f aca="false">IF(OR($C156="01-09",$D156="Male"),"",INDEX(PMTCT!$AT:$AT,MATCH($E156,PMTCT!$E:$E,0)))</f>
        <v/>
      </c>
      <c r="AQ156" s="10" t="str">
        <f aca="false">INDEX(TB!$Q:$Q,MATCH($E156,TB!$E:$E,0))</f>
        <v/>
      </c>
      <c r="AR156" s="10" t="str">
        <f aca="false">IF(OR($C156="01-09",$C156="10-14",$D156="Female"),"",INDEX(VMMC!$AB:$AB,MATCH($E156,VMMC!$E:$E,0)))</f>
        <v/>
      </c>
      <c r="AS156" s="10" t="str">
        <f aca="false">IF(OR($C156="01-09",$C156="10-14"),"",INDEX(PrEP!$Q:$Q,MATCH($E156,PrEP!$E:$E,0)))</f>
        <v/>
      </c>
      <c r="AT156" s="10" t="str">
        <f aca="false">IFERROR(1/(1/SUM($Y156,$AB156,$AE156,$AH156,$AK156,$AO156:$AS156)),"")</f>
        <v/>
      </c>
      <c r="AU156" s="10" t="str">
        <f aca="false">IFERROR(1/(1/SUM($AT156,$AM156)),"")</f>
        <v/>
      </c>
      <c r="AV156" s="88" t="str">
        <f aca="false">IF(AND(SUM($AM156)=0,SUM($AU156)=0),"",$AM156/$AU156)</f>
        <v/>
      </c>
      <c r="AW156" s="10"/>
      <c r="AX156" s="88" t="str">
        <f aca="false">IF(OR($C156="01-09",SUM($AW156)=0),"",0%)</f>
        <v/>
      </c>
      <c r="AY156" s="39" t="str">
        <f aca="false">IF(OR($C156="01-09",SUM($AW156)=0),"",ROUND($AW156*(1+$AX156),0))</f>
        <v/>
      </c>
      <c r="AZ156" s="88" t="n">
        <f aca="false">IF(OR($C156="01-09",$C156="10-14"),"",100%)</f>
        <v>1</v>
      </c>
      <c r="BA156" s="39" t="str">
        <f aca="false">IF(OR(SUM($AM156)=0,$C156="01-09",$C156="10-14"),"",$AM156*$AZ156)</f>
        <v/>
      </c>
    </row>
    <row r="157" customFormat="false" ht="15" hidden="false" customHeight="false" outlineLevel="0" collapsed="false">
      <c r="A157" s="0" t="str">
        <f aca="false">INDEX(Prioritization!$D:$D,MATCH($B157,Prioritization!$A:$A,0))</f>
        <v>INVALID</v>
      </c>
      <c r="B157" s="0" t="s">
        <v>205</v>
      </c>
      <c r="C157" s="0" t="s">
        <v>368</v>
      </c>
      <c r="D157" s="0" t="s">
        <v>30</v>
      </c>
      <c r="E157" s="0" t="str">
        <f aca="false">$B157&amp;"|"&amp;$C157&amp;"|"&amp;$D157</f>
        <v>Karonga District [cPtvxaZqXIH]|50+|Female</v>
      </c>
      <c r="F157" s="88" t="n">
        <f aca="false">IF(LEFT($B157,4)="_Mil","",INDEX(Cascade!$AA:$AA,MATCH($E157,Cascade!$E:$E,0)))</f>
        <v>1027</v>
      </c>
      <c r="G157" s="10" t="n">
        <f aca="false">INDEX(Cascade!$BH:$BH,MATCH($E157,Cascade!$E:$E,0))</f>
        <v>0</v>
      </c>
      <c r="H157" s="10" t="str">
        <f aca="false">IF(OR($C157="01-09",$D157="Male"),"",INDEX(PMTCT!$AC:$AC,MATCH($E157,PMTCT!$E:$E,0)))</f>
        <v/>
      </c>
      <c r="I157" s="10" t="str">
        <f aca="false">IF(OR($C157="01-09",$D157="Male"),"",INDEX(PMTCT!$AS:$AS,MATCH($E157,PMTCT!$E:$E,0)))</f>
        <v/>
      </c>
      <c r="J157" s="10" t="str">
        <f aca="false">INDEX(TB!$P:$P,MATCH($E157,TB!$E:$E,0))</f>
        <v/>
      </c>
      <c r="K157" s="10" t="str">
        <f aca="false">IF(OR($C157="01-09",$C157="10-14",$D157="Female"),"",INDEX(VMMC!$AA:$AA,MATCH($E157,VMMC!$E:$E,0)))</f>
        <v/>
      </c>
      <c r="L157" s="10" t="n">
        <f aca="false">SUM($G157)-SUM($H157:$K157)</f>
        <v>0</v>
      </c>
      <c r="M157" s="88" t="str">
        <f aca="false">IF(OR($C157="01-09",$D157="Male",AND(SUM($G157)=0,SUM($H157)=0)),"",SUM($H157)/SUM($G157))</f>
        <v/>
      </c>
      <c r="N157" s="88" t="str">
        <f aca="false">IF(OR($C157="01-09",$D157="Male",AND(SUM($G157)=0,SUM($I157)=0)),"",SUM($I157)/SUM($G157))</f>
        <v/>
      </c>
      <c r="O157" s="88" t="str">
        <f aca="false">IF(AND(SUM($G157)=0,SUM($J157)=0),"",SUM($J157)/SUM($G157))</f>
        <v/>
      </c>
      <c r="P157" s="88" t="str">
        <f aca="false">IF(OR($C157="01-09",$C157="10-14",$D157="Female",AND(SUM($G157)=0,SUM($K157)=0)),"",SUM($K157)/SUM($G157))</f>
        <v/>
      </c>
      <c r="Q157" s="88"/>
      <c r="R157" s="88"/>
      <c r="S157" s="88"/>
      <c r="T157" s="88"/>
      <c r="U157" s="88" t="n">
        <v>0.227393728680909</v>
      </c>
      <c r="V157" s="88" t="str">
        <f aca="false">IF(SUM($G157)=0,"",SUM($M157:$U157))</f>
        <v/>
      </c>
      <c r="W157" s="88"/>
      <c r="X157" s="39" t="str">
        <f aca="false">IF(OR(SUM($G157)=0,SUM($Q157)=0),"",ROUND(SUM($G157)*SUM($Q157),0))</f>
        <v/>
      </c>
      <c r="Y157" s="39" t="str">
        <f aca="false">IF(SUM($X157)=0,"",IF(SUM($W157)=0,"ENTER YIELD",ROUND($X157/$W157,0)-$X157))</f>
        <v/>
      </c>
      <c r="Z157" s="88"/>
      <c r="AA157" s="39" t="str">
        <f aca="false">IF(OR(SUM($G157)=0,SUM($R157)=0),"",ROUND(SUM($G157)*SUM($R157),0))</f>
        <v/>
      </c>
      <c r="AB157" s="39" t="str">
        <f aca="false">IF(SUM($AA157)=0,"",IF(SUM($Z157)=0,"ENTER YIELD",ROUND($AA157/$Z157,0)-$AA157))</f>
        <v/>
      </c>
      <c r="AC157" s="88"/>
      <c r="AD157" s="39" t="str">
        <f aca="false">IF(OR(SUM($G157)=0,SUM($S157)=0),"",ROUND(SUM($G157)*SUM($S157),0))</f>
        <v/>
      </c>
      <c r="AE157" s="39" t="str">
        <f aca="false">IF(SUM($AD157)=0,"",IF(SUM($AC157)=0,"ENTER YIELD",ROUND($AD157/$AC157,0)-$AD157))</f>
        <v/>
      </c>
      <c r="AF157" s="88"/>
      <c r="AG157" s="39" t="str">
        <f aca="false">IF(OR(SUM($G157)=0,SUM($T157)=0),"",ROUND(SUM($G157)*SUM($T157),0))</f>
        <v/>
      </c>
      <c r="AH157" s="39" t="str">
        <f aca="false">IF(SUM($AG157)=0,"",IF(SUM($AF157)=0,"ENTER YIELD",ROUND($AG157/$AF157,0)-$AG157))</f>
        <v/>
      </c>
      <c r="AI157" s="88"/>
      <c r="AJ157" s="39" t="str">
        <f aca="false">IF(OR(SUM($G157)=0,SUM($U157)=0),"",ROUND(SUM($G157)*SUM($U157),0))</f>
        <v/>
      </c>
      <c r="AK157" s="39" t="str">
        <f aca="false">IF(SUM($AJ157)=0,"",IF(SUM($AI157)=0,"ENTER YIELD",ROUND($AJ157/$AI157,0)-$AJ157))</f>
        <v/>
      </c>
      <c r="AL157" s="10" t="str">
        <f aca="false">IF(SUM($G157)=0,"",$G157)</f>
        <v/>
      </c>
      <c r="AM157" s="10" t="str">
        <f aca="false">IFERROR(1/(1/SUM($H157:$K157,$X157,$AA157,$AD157,$AG157,$AJ157)),"")</f>
        <v/>
      </c>
      <c r="AN157" s="10" t="str">
        <f aca="false">IF(AND(SUM($AM157)=0,SUM($AL157)=0),"",$AM157-$AL157)</f>
        <v/>
      </c>
      <c r="AO157" s="10" t="str">
        <f aca="false">IF(OR($C157="01-09",$D157="Male"),"",INDEX(PMTCT!$AD:$AD,MATCH($E157,PMTCT!$E:$E,0)))</f>
        <v/>
      </c>
      <c r="AP157" s="10" t="str">
        <f aca="false">IF(OR($C157="01-09",$D157="Male"),"",INDEX(PMTCT!$AT:$AT,MATCH($E157,PMTCT!$E:$E,0)))</f>
        <v/>
      </c>
      <c r="AQ157" s="10" t="str">
        <f aca="false">INDEX(TB!$Q:$Q,MATCH($E157,TB!$E:$E,0))</f>
        <v/>
      </c>
      <c r="AR157" s="10" t="str">
        <f aca="false">IF(OR($C157="01-09",$C157="10-14",$D157="Female"),"",INDEX(VMMC!$AB:$AB,MATCH($E157,VMMC!$E:$E,0)))</f>
        <v/>
      </c>
      <c r="AS157" s="10" t="str">
        <f aca="false">IF(OR($C157="01-09",$C157="10-14"),"",INDEX(PrEP!$Q:$Q,MATCH($E157,PrEP!$E:$E,0)))</f>
        <v/>
      </c>
      <c r="AT157" s="10" t="str">
        <f aca="false">IFERROR(1/(1/SUM($Y157,$AB157,$AE157,$AH157,$AK157,$AO157:$AS157)),"")</f>
        <v/>
      </c>
      <c r="AU157" s="10" t="str">
        <f aca="false">IFERROR(1/(1/SUM($AT157,$AM157)),"")</f>
        <v/>
      </c>
      <c r="AV157" s="88" t="str">
        <f aca="false">IF(AND(SUM($AM157)=0,SUM($AU157)=0),"",$AM157/$AU157)</f>
        <v/>
      </c>
      <c r="AW157" s="10" t="n">
        <v>7</v>
      </c>
      <c r="AX157" s="88" t="n">
        <f aca="false">IF(OR($C157="01-09",SUM($AW157)=0),"",0%)</f>
        <v>0</v>
      </c>
      <c r="AY157" s="39" t="n">
        <f aca="false">IF(OR($C157="01-09",SUM($AW157)=0),"",ROUND($AW157*(1+$AX157),0))</f>
        <v>7</v>
      </c>
      <c r="AZ157" s="88" t="n">
        <f aca="false">IF(OR($C157="01-09",$C157="10-14"),"",100%)</f>
        <v>1</v>
      </c>
      <c r="BA157" s="39" t="str">
        <f aca="false">IF(OR(SUM($AM157)=0,$C157="01-09",$C157="10-14"),"",$AM157*$AZ157)</f>
        <v/>
      </c>
    </row>
    <row r="158" customFormat="false" ht="15" hidden="false" customHeight="false" outlineLevel="0" collapsed="false">
      <c r="A158" s="0" t="str">
        <f aca="false">INDEX(Prioritization!$D:$D,MATCH($B158,Prioritization!$A:$A,0))</f>
        <v>INVALID</v>
      </c>
      <c r="B158" s="0" t="s">
        <v>205</v>
      </c>
      <c r="C158" s="0" t="s">
        <v>368</v>
      </c>
      <c r="D158" s="0" t="s">
        <v>48</v>
      </c>
      <c r="E158" s="0" t="str">
        <f aca="false">$B158&amp;"|"&amp;$C158&amp;"|"&amp;$D158</f>
        <v>Karonga District [cPtvxaZqXIH]|50+|Male</v>
      </c>
      <c r="F158" s="88" t="n">
        <f aca="false">IF(LEFT($B158,4)="_Mil","",INDEX(Cascade!$AA:$AA,MATCH($E158,Cascade!$E:$E,0)))</f>
        <v>1897</v>
      </c>
      <c r="G158" s="10" t="n">
        <f aca="false">INDEX(Cascade!$BH:$BH,MATCH($E158,Cascade!$E:$E,0))</f>
        <v>0</v>
      </c>
      <c r="H158" s="10" t="str">
        <f aca="false">IF(OR($C158="01-09",$D158="Male"),"",INDEX(PMTCT!$AC:$AC,MATCH($E158,PMTCT!$E:$E,0)))</f>
        <v/>
      </c>
      <c r="I158" s="10" t="str">
        <f aca="false">IF(OR($C158="01-09",$D158="Male"),"",INDEX(PMTCT!$AS:$AS,MATCH($E158,PMTCT!$E:$E,0)))</f>
        <v/>
      </c>
      <c r="J158" s="10" t="str">
        <f aca="false">INDEX(TB!$P:$P,MATCH($E158,TB!$E:$E,0))</f>
        <v/>
      </c>
      <c r="K158" s="10" t="str">
        <f aca="false">IF(OR($C158="01-09",$C158="10-14",$D158="Female"),"",INDEX(VMMC!$AA:$AA,MATCH($E158,VMMC!$E:$E,0)))</f>
        <v/>
      </c>
      <c r="L158" s="10" t="n">
        <f aca="false">SUM($G158)-SUM($H158:$K158)</f>
        <v>0</v>
      </c>
      <c r="M158" s="88" t="str">
        <f aca="false">IF(OR($C158="01-09",$D158="Male",AND(SUM($G158)=0,SUM($H158)=0)),"",SUM($H158)/SUM($G158))</f>
        <v/>
      </c>
      <c r="N158" s="88" t="str">
        <f aca="false">IF(OR($C158="01-09",$D158="Male",AND(SUM($G158)=0,SUM($I158)=0)),"",SUM($I158)/SUM($G158))</f>
        <v/>
      </c>
      <c r="O158" s="88" t="str">
        <f aca="false">IF(AND(SUM($G158)=0,SUM($J158)=0),"",SUM($J158)/SUM($G158))</f>
        <v/>
      </c>
      <c r="P158" s="88" t="str">
        <f aca="false">IF(OR($C158="01-09",$C158="10-14",$D158="Female",AND(SUM($G158)=0,SUM($K158)=0)),"",SUM($K158)/SUM($G158))</f>
        <v/>
      </c>
      <c r="Q158" s="88"/>
      <c r="R158" s="88"/>
      <c r="S158" s="88"/>
      <c r="T158" s="88"/>
      <c r="U158" s="88" t="n">
        <v>0.554448383394629</v>
      </c>
      <c r="V158" s="88" t="str">
        <f aca="false">IF(SUM($G158)=0,"",SUM($M158:$U158))</f>
        <v/>
      </c>
      <c r="W158" s="88"/>
      <c r="X158" s="39" t="str">
        <f aca="false">IF(OR(SUM($G158)=0,SUM($Q158)=0),"",ROUND(SUM($G158)*SUM($Q158),0))</f>
        <v/>
      </c>
      <c r="Y158" s="39" t="str">
        <f aca="false">IF(SUM($X158)=0,"",IF(SUM($W158)=0,"ENTER YIELD",ROUND($X158/$W158,0)-$X158))</f>
        <v/>
      </c>
      <c r="Z158" s="88"/>
      <c r="AA158" s="39" t="str">
        <f aca="false">IF(OR(SUM($G158)=0,SUM($R158)=0),"",ROUND(SUM($G158)*SUM($R158),0))</f>
        <v/>
      </c>
      <c r="AB158" s="39" t="str">
        <f aca="false">IF(SUM($AA158)=0,"",IF(SUM($Z158)=0,"ENTER YIELD",ROUND($AA158/$Z158,0)-$AA158))</f>
        <v/>
      </c>
      <c r="AC158" s="88"/>
      <c r="AD158" s="39" t="str">
        <f aca="false">IF(OR(SUM($G158)=0,SUM($S158)=0),"",ROUND(SUM($G158)*SUM($S158),0))</f>
        <v/>
      </c>
      <c r="AE158" s="39" t="str">
        <f aca="false">IF(SUM($AD158)=0,"",IF(SUM($AC158)=0,"ENTER YIELD",ROUND($AD158/$AC158,0)-$AD158))</f>
        <v/>
      </c>
      <c r="AF158" s="88"/>
      <c r="AG158" s="39" t="str">
        <f aca="false">IF(OR(SUM($G158)=0,SUM($T158)=0),"",ROUND(SUM($G158)*SUM($T158),0))</f>
        <v/>
      </c>
      <c r="AH158" s="39" t="str">
        <f aca="false">IF(SUM($AG158)=0,"",IF(SUM($AF158)=0,"ENTER YIELD",ROUND($AG158/$AF158,0)-$AG158))</f>
        <v/>
      </c>
      <c r="AI158" s="88"/>
      <c r="AJ158" s="39" t="str">
        <f aca="false">IF(OR(SUM($G158)=0,SUM($U158)=0),"",ROUND(SUM($G158)*SUM($U158),0))</f>
        <v/>
      </c>
      <c r="AK158" s="39" t="str">
        <f aca="false">IF(SUM($AJ158)=0,"",IF(SUM($AI158)=0,"ENTER YIELD",ROUND($AJ158/$AI158,0)-$AJ158))</f>
        <v/>
      </c>
      <c r="AL158" s="10" t="str">
        <f aca="false">IF(SUM($G158)=0,"",$G158)</f>
        <v/>
      </c>
      <c r="AM158" s="10" t="str">
        <f aca="false">IFERROR(1/(1/SUM($H158:$K158,$X158,$AA158,$AD158,$AG158,$AJ158)),"")</f>
        <v/>
      </c>
      <c r="AN158" s="10" t="str">
        <f aca="false">IF(AND(SUM($AM158)=0,SUM($AL158)=0),"",$AM158-$AL158)</f>
        <v/>
      </c>
      <c r="AO158" s="10" t="str">
        <f aca="false">IF(OR($C158="01-09",$D158="Male"),"",INDEX(PMTCT!$AD:$AD,MATCH($E158,PMTCT!$E:$E,0)))</f>
        <v/>
      </c>
      <c r="AP158" s="10" t="str">
        <f aca="false">IF(OR($C158="01-09",$D158="Male"),"",INDEX(PMTCT!$AT:$AT,MATCH($E158,PMTCT!$E:$E,0)))</f>
        <v/>
      </c>
      <c r="AQ158" s="10" t="str">
        <f aca="false">INDEX(TB!$Q:$Q,MATCH($E158,TB!$E:$E,0))</f>
        <v/>
      </c>
      <c r="AR158" s="10" t="str">
        <f aca="false">IF(OR($C158="01-09",$C158="10-14",$D158="Female"),"",INDEX(VMMC!$AB:$AB,MATCH($E158,VMMC!$E:$E,0)))</f>
        <v/>
      </c>
      <c r="AS158" s="10" t="str">
        <f aca="false">IF(OR($C158="01-09",$C158="10-14"),"",INDEX(PrEP!$Q:$Q,MATCH($E158,PrEP!$E:$E,0)))</f>
        <v/>
      </c>
      <c r="AT158" s="10" t="str">
        <f aca="false">IFERROR(1/(1/SUM($Y158,$AB158,$AE158,$AH158,$AK158,$AO158:$AS158)),"")</f>
        <v/>
      </c>
      <c r="AU158" s="10" t="str">
        <f aca="false">IFERROR(1/(1/SUM($AT158,$AM158)),"")</f>
        <v/>
      </c>
      <c r="AV158" s="88" t="str">
        <f aca="false">IF(AND(SUM($AM158)=0,SUM($AU158)=0),"",$AM158/$AU158)</f>
        <v/>
      </c>
      <c r="AW158" s="10" t="n">
        <v>4</v>
      </c>
      <c r="AX158" s="88" t="n">
        <f aca="false">IF(OR($C158="01-09",SUM($AW158)=0),"",0%)</f>
        <v>0</v>
      </c>
      <c r="AY158" s="39" t="n">
        <f aca="false">IF(OR($C158="01-09",SUM($AW158)=0),"",ROUND($AW158*(1+$AX158),0))</f>
        <v>4</v>
      </c>
      <c r="AZ158" s="88" t="n">
        <f aca="false">IF(OR($C158="01-09",$C158="10-14"),"",100%)</f>
        <v>1</v>
      </c>
      <c r="BA158" s="39" t="str">
        <f aca="false">IF(OR(SUM($AM158)=0,$C158="01-09",$C158="10-14"),"",$AM158*$AZ158)</f>
        <v/>
      </c>
    </row>
    <row r="159" customFormat="false" ht="15" hidden="false" customHeight="false" outlineLevel="0" collapsed="false">
      <c r="A159" s="0" t="str">
        <f aca="false">INDEX(Prioritization!$D:$D,MATCH($B159,Prioritization!$A:$A,0))</f>
        <v>INVALID</v>
      </c>
      <c r="B159" s="0" t="s">
        <v>206</v>
      </c>
      <c r="C159" s="0" t="s">
        <v>363</v>
      </c>
      <c r="D159" s="0" t="s">
        <v>30</v>
      </c>
      <c r="E159" s="0" t="str">
        <f aca="false">$B159&amp;"|"&amp;$C159&amp;"|"&amp;$D159</f>
        <v>Likoma District [ZCjuwgaMB9u]|01-09|Female</v>
      </c>
      <c r="F159" s="88" t="n">
        <f aca="false">IF(LEFT($B159,4)="_Mil","",INDEX(Cascade!$AA:$AA,MATCH($E159,Cascade!$E:$E,0)))</f>
        <v>827</v>
      </c>
      <c r="G159" s="10" t="n">
        <f aca="false">INDEX(Cascade!$BH:$BH,MATCH($E159,Cascade!$E:$E,0))</f>
        <v>0</v>
      </c>
      <c r="H159" s="10" t="str">
        <f aca="false">IF(OR($C159="01-09",$D159="Male"),"",INDEX(PMTCT!$AC:$AC,MATCH($E159,PMTCT!$E:$E,0)))</f>
        <v/>
      </c>
      <c r="I159" s="10" t="str">
        <f aca="false">IF(OR($C159="01-09",$D159="Male"),"",INDEX(PMTCT!$AS:$AS,MATCH($E159,PMTCT!$E:$E,0)))</f>
        <v/>
      </c>
      <c r="J159" s="10" t="str">
        <f aca="false">INDEX(TB!$P:$P,MATCH($E159,TB!$E:$E,0))</f>
        <v/>
      </c>
      <c r="K159" s="10" t="str">
        <f aca="false">IF(OR($C159="01-09",$C159="10-14",$D159="Female"),"",INDEX(VMMC!$AA:$AA,MATCH($E159,VMMC!$E:$E,0)))</f>
        <v/>
      </c>
      <c r="L159" s="10" t="n">
        <f aca="false">SUM($G159)-SUM($H159:$K159)</f>
        <v>0</v>
      </c>
      <c r="M159" s="88" t="str">
        <f aca="false">IF(OR($C159="01-09",$D159="Male",AND(SUM($G159)=0,SUM($H159)=0)),"",SUM($H159)/SUM($G159))</f>
        <v/>
      </c>
      <c r="N159" s="88" t="str">
        <f aca="false">IF(OR($C159="01-09",$D159="Male",AND(SUM($G159)=0,SUM($I159)=0)),"",SUM($I159)/SUM($G159))</f>
        <v/>
      </c>
      <c r="O159" s="88" t="str">
        <f aca="false">IF(AND(SUM($G159)=0,SUM($J159)=0),"",SUM($J159)/SUM($G159))</f>
        <v/>
      </c>
      <c r="P159" s="88" t="str">
        <f aca="false">IF(OR($C159="01-09",$C159="10-14",$D159="Female",AND(SUM($G159)=0,SUM($K159)=0)),"",SUM($K159)/SUM($G159))</f>
        <v/>
      </c>
      <c r="Q159" s="88"/>
      <c r="R159" s="88"/>
      <c r="S159" s="88"/>
      <c r="T159" s="88"/>
      <c r="U159" s="88"/>
      <c r="V159" s="88" t="str">
        <f aca="false">IF(SUM($G159)=0,"",SUM($M159:$U159))</f>
        <v/>
      </c>
      <c r="W159" s="88"/>
      <c r="X159" s="39" t="str">
        <f aca="false">IF(OR(SUM($G159)=0,SUM($Q159)=0),"",ROUND(SUM($G159)*SUM($Q159),0))</f>
        <v/>
      </c>
      <c r="Y159" s="39" t="str">
        <f aca="false">IF(SUM($X159)=0,"",IF(SUM($W159)=0,"ENTER YIELD",ROUND($X159/$W159,0)-$X159))</f>
        <v/>
      </c>
      <c r="Z159" s="88"/>
      <c r="AA159" s="39" t="str">
        <f aca="false">IF(OR(SUM($G159)=0,SUM($R159)=0),"",ROUND(SUM($G159)*SUM($R159),0))</f>
        <v/>
      </c>
      <c r="AB159" s="39" t="str">
        <f aca="false">IF(SUM($AA159)=0,"",IF(SUM($Z159)=0,"ENTER YIELD",ROUND($AA159/$Z159,0)-$AA159))</f>
        <v/>
      </c>
      <c r="AC159" s="88"/>
      <c r="AD159" s="39" t="str">
        <f aca="false">IF(OR(SUM($G159)=0,SUM($S159)=0),"",ROUND(SUM($G159)*SUM($S159),0))</f>
        <v/>
      </c>
      <c r="AE159" s="39" t="str">
        <f aca="false">IF(SUM($AD159)=0,"",IF(SUM($AC159)=0,"ENTER YIELD",ROUND($AD159/$AC159,0)-$AD159))</f>
        <v/>
      </c>
      <c r="AF159" s="88"/>
      <c r="AG159" s="39" t="str">
        <f aca="false">IF(OR(SUM($G159)=0,SUM($T159)=0),"",ROUND(SUM($G159)*SUM($T159),0))</f>
        <v/>
      </c>
      <c r="AH159" s="39" t="str">
        <f aca="false">IF(SUM($AG159)=0,"",IF(SUM($AF159)=0,"ENTER YIELD",ROUND($AG159/$AF159,0)-$AG159))</f>
        <v/>
      </c>
      <c r="AI159" s="88"/>
      <c r="AJ159" s="39" t="str">
        <f aca="false">IF(OR(SUM($G159)=0,SUM($U159)=0),"",ROUND(SUM($G159)*SUM($U159),0))</f>
        <v/>
      </c>
      <c r="AK159" s="39" t="str">
        <f aca="false">IF(SUM($AJ159)=0,"",IF(SUM($AI159)=0,"ENTER YIELD",ROUND($AJ159/$AI159,0)-$AJ159))</f>
        <v/>
      </c>
      <c r="AL159" s="10" t="str">
        <f aca="false">IF(SUM($G159)=0,"",$G159)</f>
        <v/>
      </c>
      <c r="AM159" s="10" t="str">
        <f aca="false">IFERROR(1/(1/SUM($H159:$K159,$X159,$AA159,$AD159,$AG159,$AJ159)),"")</f>
        <v/>
      </c>
      <c r="AN159" s="10" t="str">
        <f aca="false">IF(AND(SUM($AM159)=0,SUM($AL159)=0),"",$AM159-$AL159)</f>
        <v/>
      </c>
      <c r="AO159" s="10" t="str">
        <f aca="false">IF(OR($C159="01-09",$D159="Male"),"",INDEX(PMTCT!$AD:$AD,MATCH($E159,PMTCT!$E:$E,0)))</f>
        <v/>
      </c>
      <c r="AP159" s="10" t="str">
        <f aca="false">IF(OR($C159="01-09",$D159="Male"),"",INDEX(PMTCT!$AT:$AT,MATCH($E159,PMTCT!$E:$E,0)))</f>
        <v/>
      </c>
      <c r="AQ159" s="10" t="str">
        <f aca="false">INDEX(TB!$Q:$Q,MATCH($E159,TB!$E:$E,0))</f>
        <v/>
      </c>
      <c r="AR159" s="10" t="str">
        <f aca="false">IF(OR($C159="01-09",$C159="10-14",$D159="Female"),"",INDEX(VMMC!$AB:$AB,MATCH($E159,VMMC!$E:$E,0)))</f>
        <v/>
      </c>
      <c r="AS159" s="10" t="str">
        <f aca="false">IF(OR($C159="01-09",$C159="10-14"),"",INDEX(PrEP!$Q:$Q,MATCH($E159,PrEP!$E:$E,0)))</f>
        <v/>
      </c>
      <c r="AT159" s="10" t="str">
        <f aca="false">IFERROR(1/(1/SUM($Y159,$AB159,$AE159,$AH159,$AK159,$AO159:$AS159)),"")</f>
        <v/>
      </c>
      <c r="AU159" s="10" t="str">
        <f aca="false">IFERROR(1/(1/SUM($AT159,$AM159)),"")</f>
        <v/>
      </c>
      <c r="AV159" s="88" t="str">
        <f aca="false">IF(AND(SUM($AM159)=0,SUM($AU159)=0),"",$AM159/$AU159)</f>
        <v/>
      </c>
      <c r="AW159" s="10"/>
      <c r="AX159" s="88" t="str">
        <f aca="false">IF(OR($C159="01-09",SUM($AW159)=0),"",0%)</f>
        <v/>
      </c>
      <c r="AY159" s="39" t="str">
        <f aca="false">IF(OR($C159="01-09",SUM($AW159)=0),"",ROUND($AW159*(1+$AX159),0))</f>
        <v/>
      </c>
      <c r="AZ159" s="88" t="str">
        <f aca="false">IF(OR($C159="01-09",$C159="10-14"),"",100%)</f>
        <v/>
      </c>
      <c r="BA159" s="39" t="str">
        <f aca="false">IF(OR(SUM($AM159)=0,$C159="01-09",$C159="10-14"),"",$AM159*$AZ159)</f>
        <v/>
      </c>
    </row>
    <row r="160" customFormat="false" ht="15" hidden="false" customHeight="false" outlineLevel="0" collapsed="false">
      <c r="A160" s="0" t="str">
        <f aca="false">INDEX(Prioritization!$D:$D,MATCH($B160,Prioritization!$A:$A,0))</f>
        <v>INVALID</v>
      </c>
      <c r="B160" s="0" t="s">
        <v>206</v>
      </c>
      <c r="C160" s="0" t="s">
        <v>363</v>
      </c>
      <c r="D160" s="0" t="s">
        <v>48</v>
      </c>
      <c r="E160" s="0" t="str">
        <f aca="false">$B160&amp;"|"&amp;$C160&amp;"|"&amp;$D160</f>
        <v>Likoma District [ZCjuwgaMB9u]|01-09|Male</v>
      </c>
      <c r="F160" s="88" t="n">
        <f aca="false">IF(LEFT($B160,4)="_Mil","",INDEX(Cascade!$AA:$AA,MATCH($E160,Cascade!$E:$E,0)))</f>
        <v>1106</v>
      </c>
      <c r="G160" s="10" t="n">
        <f aca="false">INDEX(Cascade!$BH:$BH,MATCH($E160,Cascade!$E:$E,0))</f>
        <v>0</v>
      </c>
      <c r="H160" s="10" t="str">
        <f aca="false">IF(OR($C160="01-09",$D160="Male"),"",INDEX(PMTCT!$AC:$AC,MATCH($E160,PMTCT!$E:$E,0)))</f>
        <v/>
      </c>
      <c r="I160" s="10" t="str">
        <f aca="false">IF(OR($C160="01-09",$D160="Male"),"",INDEX(PMTCT!$AS:$AS,MATCH($E160,PMTCT!$E:$E,0)))</f>
        <v/>
      </c>
      <c r="J160" s="10" t="str">
        <f aca="false">INDEX(TB!$P:$P,MATCH($E160,TB!$E:$E,0))</f>
        <v/>
      </c>
      <c r="K160" s="10" t="str">
        <f aca="false">IF(OR($C160="01-09",$C160="10-14",$D160="Female"),"",INDEX(VMMC!$AA:$AA,MATCH($E160,VMMC!$E:$E,0)))</f>
        <v/>
      </c>
      <c r="L160" s="10" t="n">
        <f aca="false">SUM($G160)-SUM($H160:$K160)</f>
        <v>0</v>
      </c>
      <c r="M160" s="88" t="str">
        <f aca="false">IF(OR($C160="01-09",$D160="Male",AND(SUM($G160)=0,SUM($H160)=0)),"",SUM($H160)/SUM($G160))</f>
        <v/>
      </c>
      <c r="N160" s="88" t="str">
        <f aca="false">IF(OR($C160="01-09",$D160="Male",AND(SUM($G160)=0,SUM($I160)=0)),"",SUM($I160)/SUM($G160))</f>
        <v/>
      </c>
      <c r="O160" s="88" t="str">
        <f aca="false">IF(AND(SUM($G160)=0,SUM($J160)=0),"",SUM($J160)/SUM($G160))</f>
        <v/>
      </c>
      <c r="P160" s="88" t="str">
        <f aca="false">IF(OR($C160="01-09",$C160="10-14",$D160="Female",AND(SUM($G160)=0,SUM($K160)=0)),"",SUM($K160)/SUM($G160))</f>
        <v/>
      </c>
      <c r="Q160" s="88"/>
      <c r="R160" s="88"/>
      <c r="S160" s="88"/>
      <c r="T160" s="88"/>
      <c r="U160" s="88"/>
      <c r="V160" s="88" t="str">
        <f aca="false">IF(SUM($G160)=0,"",SUM($M160:$U160))</f>
        <v/>
      </c>
      <c r="W160" s="88"/>
      <c r="X160" s="39" t="str">
        <f aca="false">IF(OR(SUM($G160)=0,SUM($Q160)=0),"",ROUND(SUM($G160)*SUM($Q160),0))</f>
        <v/>
      </c>
      <c r="Y160" s="39" t="str">
        <f aca="false">IF(SUM($X160)=0,"",IF(SUM($W160)=0,"ENTER YIELD",ROUND($X160/$W160,0)-$X160))</f>
        <v/>
      </c>
      <c r="Z160" s="88"/>
      <c r="AA160" s="39" t="str">
        <f aca="false">IF(OR(SUM($G160)=0,SUM($R160)=0),"",ROUND(SUM($G160)*SUM($R160),0))</f>
        <v/>
      </c>
      <c r="AB160" s="39" t="str">
        <f aca="false">IF(SUM($AA160)=0,"",IF(SUM($Z160)=0,"ENTER YIELD",ROUND($AA160/$Z160,0)-$AA160))</f>
        <v/>
      </c>
      <c r="AC160" s="88"/>
      <c r="AD160" s="39" t="str">
        <f aca="false">IF(OR(SUM($G160)=0,SUM($S160)=0),"",ROUND(SUM($G160)*SUM($S160),0))</f>
        <v/>
      </c>
      <c r="AE160" s="39" t="str">
        <f aca="false">IF(SUM($AD160)=0,"",IF(SUM($AC160)=0,"ENTER YIELD",ROUND($AD160/$AC160,0)-$AD160))</f>
        <v/>
      </c>
      <c r="AF160" s="88"/>
      <c r="AG160" s="39" t="str">
        <f aca="false">IF(OR(SUM($G160)=0,SUM($T160)=0),"",ROUND(SUM($G160)*SUM($T160),0))</f>
        <v/>
      </c>
      <c r="AH160" s="39" t="str">
        <f aca="false">IF(SUM($AG160)=0,"",IF(SUM($AF160)=0,"ENTER YIELD",ROUND($AG160/$AF160,0)-$AG160))</f>
        <v/>
      </c>
      <c r="AI160" s="88"/>
      <c r="AJ160" s="39" t="str">
        <f aca="false">IF(OR(SUM($G160)=0,SUM($U160)=0),"",ROUND(SUM($G160)*SUM($U160),0))</f>
        <v/>
      </c>
      <c r="AK160" s="39" t="str">
        <f aca="false">IF(SUM($AJ160)=0,"",IF(SUM($AI160)=0,"ENTER YIELD",ROUND($AJ160/$AI160,0)-$AJ160))</f>
        <v/>
      </c>
      <c r="AL160" s="10" t="str">
        <f aca="false">IF(SUM($G160)=0,"",$G160)</f>
        <v/>
      </c>
      <c r="AM160" s="10" t="str">
        <f aca="false">IFERROR(1/(1/SUM($H160:$K160,$X160,$AA160,$AD160,$AG160,$AJ160)),"")</f>
        <v/>
      </c>
      <c r="AN160" s="10" t="str">
        <f aca="false">IF(AND(SUM($AM160)=0,SUM($AL160)=0),"",$AM160-$AL160)</f>
        <v/>
      </c>
      <c r="AO160" s="10" t="str">
        <f aca="false">IF(OR($C160="01-09",$D160="Male"),"",INDEX(PMTCT!$AD:$AD,MATCH($E160,PMTCT!$E:$E,0)))</f>
        <v/>
      </c>
      <c r="AP160" s="10" t="str">
        <f aca="false">IF(OR($C160="01-09",$D160="Male"),"",INDEX(PMTCT!$AT:$AT,MATCH($E160,PMTCT!$E:$E,0)))</f>
        <v/>
      </c>
      <c r="AQ160" s="10" t="str">
        <f aca="false">INDEX(TB!$Q:$Q,MATCH($E160,TB!$E:$E,0))</f>
        <v/>
      </c>
      <c r="AR160" s="10" t="str">
        <f aca="false">IF(OR($C160="01-09",$C160="10-14",$D160="Female"),"",INDEX(VMMC!$AB:$AB,MATCH($E160,VMMC!$E:$E,0)))</f>
        <v/>
      </c>
      <c r="AS160" s="10" t="str">
        <f aca="false">IF(OR($C160="01-09",$C160="10-14"),"",INDEX(PrEP!$Q:$Q,MATCH($E160,PrEP!$E:$E,0)))</f>
        <v/>
      </c>
      <c r="AT160" s="10" t="str">
        <f aca="false">IFERROR(1/(1/SUM($Y160,$AB160,$AE160,$AH160,$AK160,$AO160:$AS160)),"")</f>
        <v/>
      </c>
      <c r="AU160" s="10" t="str">
        <f aca="false">IFERROR(1/(1/SUM($AT160,$AM160)),"")</f>
        <v/>
      </c>
      <c r="AV160" s="88" t="str">
        <f aca="false">IF(AND(SUM($AM160)=0,SUM($AU160)=0),"",$AM160/$AU160)</f>
        <v/>
      </c>
      <c r="AW160" s="10"/>
      <c r="AX160" s="88" t="str">
        <f aca="false">IF(OR($C160="01-09",SUM($AW160)=0),"",0%)</f>
        <v/>
      </c>
      <c r="AY160" s="39" t="str">
        <f aca="false">IF(OR($C160="01-09",SUM($AW160)=0),"",ROUND($AW160*(1+$AX160),0))</f>
        <v/>
      </c>
      <c r="AZ160" s="88" t="str">
        <f aca="false">IF(OR($C160="01-09",$C160="10-14"),"",100%)</f>
        <v/>
      </c>
      <c r="BA160" s="39" t="str">
        <f aca="false">IF(OR(SUM($AM160)=0,$C160="01-09",$C160="10-14"),"",$AM160*$AZ160)</f>
        <v/>
      </c>
    </row>
    <row r="161" customFormat="false" ht="15" hidden="false" customHeight="false" outlineLevel="0" collapsed="false">
      <c r="A161" s="0" t="str">
        <f aca="false">INDEX(Prioritization!$D:$D,MATCH($B161,Prioritization!$A:$A,0))</f>
        <v>INVALID</v>
      </c>
      <c r="B161" s="0" t="s">
        <v>206</v>
      </c>
      <c r="C161" s="0" t="s">
        <v>364</v>
      </c>
      <c r="D161" s="0" t="s">
        <v>30</v>
      </c>
      <c r="E161" s="0" t="str">
        <f aca="false">$B161&amp;"|"&amp;$C161&amp;"|"&amp;$D161</f>
        <v>Likoma District [ZCjuwgaMB9u]|10-14|Female</v>
      </c>
      <c r="F161" s="88" t="n">
        <f aca="false">IF(LEFT($B161,4)="_Mil","",INDEX(Cascade!$AA:$AA,MATCH($E161,Cascade!$E:$E,0)))</f>
        <v>1054</v>
      </c>
      <c r="G161" s="10" t="n">
        <f aca="false">INDEX(Cascade!$BH:$BH,MATCH($E161,Cascade!$E:$E,0))</f>
        <v>-5</v>
      </c>
      <c r="H161" s="10" t="str">
        <f aca="false">IF(OR($C161="01-09",$D161="Male"),"",INDEX(PMTCT!$AC:$AC,MATCH($E161,PMTCT!$E:$E,0)))</f>
        <v/>
      </c>
      <c r="I161" s="10" t="str">
        <f aca="false">IF(OR($C161="01-09",$D161="Male"),"",INDEX(PMTCT!$AS:$AS,MATCH($E161,PMTCT!$E:$E,0)))</f>
        <v/>
      </c>
      <c r="J161" s="10" t="str">
        <f aca="false">INDEX(TB!$P:$P,MATCH($E161,TB!$E:$E,0))</f>
        <v/>
      </c>
      <c r="K161" s="10" t="str">
        <f aca="false">IF(OR($C161="01-09",$C161="10-14",$D161="Female"),"",INDEX(VMMC!$AA:$AA,MATCH($E161,VMMC!$E:$E,0)))</f>
        <v/>
      </c>
      <c r="L161" s="10" t="n">
        <f aca="false">SUM($G161)-SUM($H161:$K161)</f>
        <v>-5</v>
      </c>
      <c r="M161" s="88" t="n">
        <f aca="false">IF(OR($C161="01-09",$D161="Male",AND(SUM($G161)=0,SUM($H161)=0)),"",SUM($H161)/SUM($G161))</f>
        <v>-0</v>
      </c>
      <c r="N161" s="88" t="n">
        <f aca="false">IF(OR($C161="01-09",$D161="Male",AND(SUM($G161)=0,SUM($I161)=0)),"",SUM($I161)/SUM($G161))</f>
        <v>-0</v>
      </c>
      <c r="O161" s="88" t="n">
        <f aca="false">IF(AND(SUM($G161)=0,SUM($J161)=0),"",SUM($J161)/SUM($G161))</f>
        <v>-0</v>
      </c>
      <c r="P161" s="88" t="str">
        <f aca="false">IF(OR($C161="01-09",$C161="10-14",$D161="Female",AND(SUM($G161)=0,SUM($K161)=0)),"",SUM($K161)/SUM($G161))</f>
        <v/>
      </c>
      <c r="Q161" s="88" t="n">
        <v>0.39679703861475</v>
      </c>
      <c r="R161" s="88"/>
      <c r="S161" s="88"/>
      <c r="T161" s="88"/>
      <c r="U161" s="88" t="n">
        <v>0.503824796294793</v>
      </c>
      <c r="V161" s="88" t="n">
        <f aca="false">IF(SUM($G161)=0,"",SUM($M161:$U161))</f>
        <v>0.900621834909543</v>
      </c>
      <c r="W161" s="88"/>
      <c r="X161" s="39" t="n">
        <f aca="false">IF(OR(SUM($G161)=0,SUM($Q161)=0),"",ROUND(SUM($G161)*SUM($Q161),0))</f>
        <v>-2</v>
      </c>
      <c r="Y161" s="39" t="str">
        <f aca="false">IF(SUM($X161)=0,"",IF(SUM($W161)=0,"ENTER YIELD",ROUND($X161/$W161,0)-$X161))</f>
        <v>ENTER YIELD</v>
      </c>
      <c r="Z161" s="88"/>
      <c r="AA161" s="39" t="str">
        <f aca="false">IF(OR(SUM($G161)=0,SUM($R161)=0),"",ROUND(SUM($G161)*SUM($R161),0))</f>
        <v/>
      </c>
      <c r="AB161" s="39" t="str">
        <f aca="false">IF(SUM($AA161)=0,"",IF(SUM($Z161)=0,"ENTER YIELD",ROUND($AA161/$Z161,0)-$AA161))</f>
        <v/>
      </c>
      <c r="AC161" s="88"/>
      <c r="AD161" s="39" t="str">
        <f aca="false">IF(OR(SUM($G161)=0,SUM($S161)=0),"",ROUND(SUM($G161)*SUM($S161),0))</f>
        <v/>
      </c>
      <c r="AE161" s="39" t="str">
        <f aca="false">IF(SUM($AD161)=0,"",IF(SUM($AC161)=0,"ENTER YIELD",ROUND($AD161/$AC161,0)-$AD161))</f>
        <v/>
      </c>
      <c r="AF161" s="88"/>
      <c r="AG161" s="39" t="str">
        <f aca="false">IF(OR(SUM($G161)=0,SUM($T161)=0),"",ROUND(SUM($G161)*SUM($T161),0))</f>
        <v/>
      </c>
      <c r="AH161" s="39" t="str">
        <f aca="false">IF(SUM($AG161)=0,"",IF(SUM($AF161)=0,"ENTER YIELD",ROUND($AG161/$AF161,0)-$AG161))</f>
        <v/>
      </c>
      <c r="AI161" s="88"/>
      <c r="AJ161" s="39" t="n">
        <f aca="false">IF(OR(SUM($G161)=0,SUM($U161)=0),"",ROUND(SUM($G161)*SUM($U161),0))</f>
        <v>-3</v>
      </c>
      <c r="AK161" s="39" t="str">
        <f aca="false">IF(SUM($AJ161)=0,"",IF(SUM($AI161)=0,"ENTER YIELD",ROUND($AJ161/$AI161,0)-$AJ161))</f>
        <v>ENTER YIELD</v>
      </c>
      <c r="AL161" s="10" t="n">
        <f aca="false">IF(SUM($G161)=0,"",$G161)</f>
        <v>-5</v>
      </c>
      <c r="AM161" s="10" t="n">
        <f aca="false">IFERROR(1/(1/SUM($H161:$K161,$X161,$AA161,$AD161,$AG161,$AJ161)),"")</f>
        <v>-5</v>
      </c>
      <c r="AN161" s="10" t="n">
        <f aca="false">IF(AND(SUM($AM161)=0,SUM($AL161)=0),"",$AM161-$AL161)</f>
        <v>0</v>
      </c>
      <c r="AO161" s="10" t="str">
        <f aca="false">IF(OR($C161="01-09",$D161="Male"),"",INDEX(PMTCT!$AD:$AD,MATCH($E161,PMTCT!$E:$E,0)))</f>
        <v/>
      </c>
      <c r="AP161" s="10" t="str">
        <f aca="false">IF(OR($C161="01-09",$D161="Male"),"",INDEX(PMTCT!$AT:$AT,MATCH($E161,PMTCT!$E:$E,0)))</f>
        <v/>
      </c>
      <c r="AQ161" s="10" t="str">
        <f aca="false">INDEX(TB!$Q:$Q,MATCH($E161,TB!$E:$E,0))</f>
        <v/>
      </c>
      <c r="AR161" s="10" t="str">
        <f aca="false">IF(OR($C161="01-09",$C161="10-14",$D161="Female"),"",INDEX(VMMC!$AB:$AB,MATCH($E161,VMMC!$E:$E,0)))</f>
        <v/>
      </c>
      <c r="AS161" s="10" t="str">
        <f aca="false">IF(OR($C161="01-09",$C161="10-14"),"",INDEX(PrEP!$Q:$Q,MATCH($E161,PrEP!$E:$E,0)))</f>
        <v/>
      </c>
      <c r="AT161" s="10" t="str">
        <f aca="false">IFERROR(1/(1/SUM($Y161,$AB161,$AE161,$AH161,$AK161,$AO161:$AS161)),"")</f>
        <v/>
      </c>
      <c r="AU161" s="10" t="n">
        <f aca="false">IFERROR(1/(1/SUM($AT161,$AM161)),"")</f>
        <v>-5</v>
      </c>
      <c r="AV161" s="88" t="n">
        <f aca="false">IF(AND(SUM($AM161)=0,SUM($AU161)=0),"",$AM161/$AU161)</f>
        <v>1</v>
      </c>
      <c r="AW161" s="10"/>
      <c r="AX161" s="88" t="str">
        <f aca="false">IF(OR($C161="01-09",SUM($AW161)=0),"",0%)</f>
        <v/>
      </c>
      <c r="AY161" s="39" t="str">
        <f aca="false">IF(OR($C161="01-09",SUM($AW161)=0),"",ROUND($AW161*(1+$AX161),0))</f>
        <v/>
      </c>
      <c r="AZ161" s="88" t="str">
        <f aca="false">IF(OR($C161="01-09",$C161="10-14"),"",100%)</f>
        <v/>
      </c>
      <c r="BA161" s="39" t="str">
        <f aca="false">IF(OR(SUM($AM161)=0,$C161="01-09",$C161="10-14"),"",$AM161*$AZ161)</f>
        <v/>
      </c>
    </row>
    <row r="162" customFormat="false" ht="15" hidden="false" customHeight="false" outlineLevel="0" collapsed="false">
      <c r="A162" s="0" t="str">
        <f aca="false">INDEX(Prioritization!$D:$D,MATCH($B162,Prioritization!$A:$A,0))</f>
        <v>INVALID</v>
      </c>
      <c r="B162" s="0" t="s">
        <v>206</v>
      </c>
      <c r="C162" s="0" t="s">
        <v>364</v>
      </c>
      <c r="D162" s="0" t="s">
        <v>48</v>
      </c>
      <c r="E162" s="0" t="str">
        <f aca="false">$B162&amp;"|"&amp;$C162&amp;"|"&amp;$D162</f>
        <v>Likoma District [ZCjuwgaMB9u]|10-14|Male</v>
      </c>
      <c r="F162" s="88" t="n">
        <f aca="false">IF(LEFT($B162,4)="_Mil","",INDEX(Cascade!$AA:$AA,MATCH($E162,Cascade!$E:$E,0)))</f>
        <v>1917</v>
      </c>
      <c r="G162" s="10" t="n">
        <f aca="false">INDEX(Cascade!$BH:$BH,MATCH($E162,Cascade!$E:$E,0))</f>
        <v>-4</v>
      </c>
      <c r="H162" s="10" t="str">
        <f aca="false">IF(OR($C162="01-09",$D162="Male"),"",INDEX(PMTCT!$AC:$AC,MATCH($E162,PMTCT!$E:$E,0)))</f>
        <v/>
      </c>
      <c r="I162" s="10" t="str">
        <f aca="false">IF(OR($C162="01-09",$D162="Male"),"",INDEX(PMTCT!$AS:$AS,MATCH($E162,PMTCT!$E:$E,0)))</f>
        <v/>
      </c>
      <c r="J162" s="10" t="str">
        <f aca="false">INDEX(TB!$P:$P,MATCH($E162,TB!$E:$E,0))</f>
        <v/>
      </c>
      <c r="K162" s="10" t="str">
        <f aca="false">IF(OR($C162="01-09",$C162="10-14",$D162="Female"),"",INDEX(VMMC!$AA:$AA,MATCH($E162,VMMC!$E:$E,0)))</f>
        <v/>
      </c>
      <c r="L162" s="10" t="n">
        <f aca="false">SUM($G162)-SUM($H162:$K162)</f>
        <v>-4</v>
      </c>
      <c r="M162" s="88" t="str">
        <f aca="false">IF(OR($C162="01-09",$D162="Male",AND(SUM($G162)=0,SUM($H162)=0)),"",SUM($H162)/SUM($G162))</f>
        <v/>
      </c>
      <c r="N162" s="88" t="str">
        <f aca="false">IF(OR($C162="01-09",$D162="Male",AND(SUM($G162)=0,SUM($I162)=0)),"",SUM($I162)/SUM($G162))</f>
        <v/>
      </c>
      <c r="O162" s="88" t="n">
        <f aca="false">IF(AND(SUM($G162)=0,SUM($J162)=0),"",SUM($J162)/SUM($G162))</f>
        <v>-0</v>
      </c>
      <c r="P162" s="88" t="str">
        <f aca="false">IF(OR($C162="01-09",$C162="10-14",$D162="Female",AND(SUM($G162)=0,SUM($K162)=0)),"",SUM($K162)/SUM($G162))</f>
        <v/>
      </c>
      <c r="Q162" s="88" t="n">
        <v>0.843310760799795</v>
      </c>
      <c r="R162" s="88"/>
      <c r="S162" s="88"/>
      <c r="T162" s="88"/>
      <c r="U162" s="88" t="n">
        <v>0.361107030650601</v>
      </c>
      <c r="V162" s="88" t="n">
        <f aca="false">IF(SUM($G162)=0,"",SUM($M162:$U162))</f>
        <v>1.2044177914504</v>
      </c>
      <c r="W162" s="88"/>
      <c r="X162" s="39" t="n">
        <f aca="false">IF(OR(SUM($G162)=0,SUM($Q162)=0),"",ROUND(SUM($G162)*SUM($Q162),0))</f>
        <v>-3</v>
      </c>
      <c r="Y162" s="39" t="str">
        <f aca="false">IF(SUM($X162)=0,"",IF(SUM($W162)=0,"ENTER YIELD",ROUND($X162/$W162,0)-$X162))</f>
        <v>ENTER YIELD</v>
      </c>
      <c r="Z162" s="88"/>
      <c r="AA162" s="39" t="str">
        <f aca="false">IF(OR(SUM($G162)=0,SUM($R162)=0),"",ROUND(SUM($G162)*SUM($R162),0))</f>
        <v/>
      </c>
      <c r="AB162" s="39" t="str">
        <f aca="false">IF(SUM($AA162)=0,"",IF(SUM($Z162)=0,"ENTER YIELD",ROUND($AA162/$Z162,0)-$AA162))</f>
        <v/>
      </c>
      <c r="AC162" s="88"/>
      <c r="AD162" s="39" t="str">
        <f aca="false">IF(OR(SUM($G162)=0,SUM($S162)=0),"",ROUND(SUM($G162)*SUM($S162),0))</f>
        <v/>
      </c>
      <c r="AE162" s="39" t="str">
        <f aca="false">IF(SUM($AD162)=0,"",IF(SUM($AC162)=0,"ENTER YIELD",ROUND($AD162/$AC162,0)-$AD162))</f>
        <v/>
      </c>
      <c r="AF162" s="88"/>
      <c r="AG162" s="39" t="str">
        <f aca="false">IF(OR(SUM($G162)=0,SUM($T162)=0),"",ROUND(SUM($G162)*SUM($T162),0))</f>
        <v/>
      </c>
      <c r="AH162" s="39" t="str">
        <f aca="false">IF(SUM($AG162)=0,"",IF(SUM($AF162)=0,"ENTER YIELD",ROUND($AG162/$AF162,0)-$AG162))</f>
        <v/>
      </c>
      <c r="AI162" s="88"/>
      <c r="AJ162" s="39" t="n">
        <f aca="false">IF(OR(SUM($G162)=0,SUM($U162)=0),"",ROUND(SUM($G162)*SUM($U162),0))</f>
        <v>-1</v>
      </c>
      <c r="AK162" s="39" t="str">
        <f aca="false">IF(SUM($AJ162)=0,"",IF(SUM($AI162)=0,"ENTER YIELD",ROUND($AJ162/$AI162,0)-$AJ162))</f>
        <v>ENTER YIELD</v>
      </c>
      <c r="AL162" s="10" t="n">
        <f aca="false">IF(SUM($G162)=0,"",$G162)</f>
        <v>-4</v>
      </c>
      <c r="AM162" s="10" t="n">
        <f aca="false">IFERROR(1/(1/SUM($H162:$K162,$X162,$AA162,$AD162,$AG162,$AJ162)),"")</f>
        <v>-4</v>
      </c>
      <c r="AN162" s="10" t="n">
        <f aca="false">IF(AND(SUM($AM162)=0,SUM($AL162)=0),"",$AM162-$AL162)</f>
        <v>0</v>
      </c>
      <c r="AO162" s="10" t="str">
        <f aca="false">IF(OR($C162="01-09",$D162="Male"),"",INDEX(PMTCT!$AD:$AD,MATCH($E162,PMTCT!$E:$E,0)))</f>
        <v/>
      </c>
      <c r="AP162" s="10" t="str">
        <f aca="false">IF(OR($C162="01-09",$D162="Male"),"",INDEX(PMTCT!$AT:$AT,MATCH($E162,PMTCT!$E:$E,0)))</f>
        <v/>
      </c>
      <c r="AQ162" s="10" t="str">
        <f aca="false">INDEX(TB!$Q:$Q,MATCH($E162,TB!$E:$E,0))</f>
        <v/>
      </c>
      <c r="AR162" s="10" t="str">
        <f aca="false">IF(OR($C162="01-09",$C162="10-14",$D162="Female"),"",INDEX(VMMC!$AB:$AB,MATCH($E162,VMMC!$E:$E,0)))</f>
        <v/>
      </c>
      <c r="AS162" s="10" t="str">
        <f aca="false">IF(OR($C162="01-09",$C162="10-14"),"",INDEX(PrEP!$Q:$Q,MATCH($E162,PrEP!$E:$E,0)))</f>
        <v/>
      </c>
      <c r="AT162" s="10" t="str">
        <f aca="false">IFERROR(1/(1/SUM($Y162,$AB162,$AE162,$AH162,$AK162,$AO162:$AS162)),"")</f>
        <v/>
      </c>
      <c r="AU162" s="10" t="n">
        <f aca="false">IFERROR(1/(1/SUM($AT162,$AM162)),"")</f>
        <v>-4</v>
      </c>
      <c r="AV162" s="88" t="n">
        <f aca="false">IF(AND(SUM($AM162)=0,SUM($AU162)=0),"",$AM162/$AU162)</f>
        <v>1</v>
      </c>
      <c r="AW162" s="10"/>
      <c r="AX162" s="88" t="str">
        <f aca="false">IF(OR($C162="01-09",SUM($AW162)=0),"",0%)</f>
        <v/>
      </c>
      <c r="AY162" s="39" t="str">
        <f aca="false">IF(OR($C162="01-09",SUM($AW162)=0),"",ROUND($AW162*(1+$AX162),0))</f>
        <v/>
      </c>
      <c r="AZ162" s="88" t="str">
        <f aca="false">IF(OR($C162="01-09",$C162="10-14"),"",100%)</f>
        <v/>
      </c>
      <c r="BA162" s="39" t="str">
        <f aca="false">IF(OR(SUM($AM162)=0,$C162="01-09",$C162="10-14"),"",$AM162*$AZ162)</f>
        <v/>
      </c>
    </row>
    <row r="163" customFormat="false" ht="15" hidden="false" customHeight="false" outlineLevel="0" collapsed="false">
      <c r="A163" s="0" t="str">
        <f aca="false">INDEX(Prioritization!$D:$D,MATCH($B163,Prioritization!$A:$A,0))</f>
        <v>INVALID</v>
      </c>
      <c r="B163" s="0" t="s">
        <v>206</v>
      </c>
      <c r="C163" s="0" t="s">
        <v>365</v>
      </c>
      <c r="D163" s="0" t="s">
        <v>30</v>
      </c>
      <c r="E163" s="0" t="str">
        <f aca="false">$B163&amp;"|"&amp;$C163&amp;"|"&amp;$D163</f>
        <v>Likoma District [ZCjuwgaMB9u]|15-24|Female</v>
      </c>
      <c r="F163" s="88" t="n">
        <f aca="false">IF(LEFT($B163,4)="_Mil","",INDEX(Cascade!$AA:$AA,MATCH($E163,Cascade!$E:$E,0)))</f>
        <v>953</v>
      </c>
      <c r="G163" s="10" t="n">
        <f aca="false">INDEX(Cascade!$BH:$BH,MATCH($E163,Cascade!$E:$E,0))</f>
        <v>0</v>
      </c>
      <c r="H163" s="10" t="str">
        <f aca="false">IF(OR($C163="01-09",$D163="Male"),"",INDEX(PMTCT!$AC:$AC,MATCH($E163,PMTCT!$E:$E,0)))</f>
        <v/>
      </c>
      <c r="I163" s="10" t="str">
        <f aca="false">IF(OR($C163="01-09",$D163="Male"),"",INDEX(PMTCT!$AS:$AS,MATCH($E163,PMTCT!$E:$E,0)))</f>
        <v/>
      </c>
      <c r="J163" s="10" t="str">
        <f aca="false">INDEX(TB!$P:$P,MATCH($E163,TB!$E:$E,0))</f>
        <v/>
      </c>
      <c r="K163" s="10" t="str">
        <f aca="false">IF(OR($C163="01-09",$C163="10-14",$D163="Female"),"",INDEX(VMMC!$AA:$AA,MATCH($E163,VMMC!$E:$E,0)))</f>
        <v/>
      </c>
      <c r="L163" s="10" t="n">
        <f aca="false">SUM($G163)-SUM($H163:$K163)</f>
        <v>0</v>
      </c>
      <c r="M163" s="88" t="str">
        <f aca="false">IF(OR($C163="01-09",$D163="Male",AND(SUM($G163)=0,SUM($H163)=0)),"",SUM($H163)/SUM($G163))</f>
        <v/>
      </c>
      <c r="N163" s="88" t="str">
        <f aca="false">IF(OR($C163="01-09",$D163="Male",AND(SUM($G163)=0,SUM($I163)=0)),"",SUM($I163)/SUM($G163))</f>
        <v/>
      </c>
      <c r="O163" s="88" t="str">
        <f aca="false">IF(AND(SUM($G163)=0,SUM($J163)=0),"",SUM($J163)/SUM($G163))</f>
        <v/>
      </c>
      <c r="P163" s="88" t="str">
        <f aca="false">IF(OR($C163="01-09",$C163="10-14",$D163="Female",AND(SUM($G163)=0,SUM($K163)=0)),"",SUM($K163)/SUM($G163))</f>
        <v/>
      </c>
      <c r="Q163" s="88"/>
      <c r="R163" s="88"/>
      <c r="S163" s="88"/>
      <c r="T163" s="88"/>
      <c r="U163" s="88"/>
      <c r="V163" s="88" t="str">
        <f aca="false">IF(SUM($G163)=0,"",SUM($M163:$U163))</f>
        <v/>
      </c>
      <c r="W163" s="88"/>
      <c r="X163" s="39" t="str">
        <f aca="false">IF(OR(SUM($G163)=0,SUM($Q163)=0),"",ROUND(SUM($G163)*SUM($Q163),0))</f>
        <v/>
      </c>
      <c r="Y163" s="39" t="str">
        <f aca="false">IF(SUM($X163)=0,"",IF(SUM($W163)=0,"ENTER YIELD",ROUND($X163/$W163,0)-$X163))</f>
        <v/>
      </c>
      <c r="Z163" s="88"/>
      <c r="AA163" s="39" t="str">
        <f aca="false">IF(OR(SUM($G163)=0,SUM($R163)=0),"",ROUND(SUM($G163)*SUM($R163),0))</f>
        <v/>
      </c>
      <c r="AB163" s="39" t="str">
        <f aca="false">IF(SUM($AA163)=0,"",IF(SUM($Z163)=0,"ENTER YIELD",ROUND($AA163/$Z163,0)-$AA163))</f>
        <v/>
      </c>
      <c r="AC163" s="88"/>
      <c r="AD163" s="39" t="str">
        <f aca="false">IF(OR(SUM($G163)=0,SUM($S163)=0),"",ROUND(SUM($G163)*SUM($S163),0))</f>
        <v/>
      </c>
      <c r="AE163" s="39" t="str">
        <f aca="false">IF(SUM($AD163)=0,"",IF(SUM($AC163)=0,"ENTER YIELD",ROUND($AD163/$AC163,0)-$AD163))</f>
        <v/>
      </c>
      <c r="AF163" s="88"/>
      <c r="AG163" s="39" t="str">
        <f aca="false">IF(OR(SUM($G163)=0,SUM($T163)=0),"",ROUND(SUM($G163)*SUM($T163),0))</f>
        <v/>
      </c>
      <c r="AH163" s="39" t="str">
        <f aca="false">IF(SUM($AG163)=0,"",IF(SUM($AF163)=0,"ENTER YIELD",ROUND($AG163/$AF163,0)-$AG163))</f>
        <v/>
      </c>
      <c r="AI163" s="88"/>
      <c r="AJ163" s="39" t="str">
        <f aca="false">IF(OR(SUM($G163)=0,SUM($U163)=0),"",ROUND(SUM($G163)*SUM($U163),0))</f>
        <v/>
      </c>
      <c r="AK163" s="39" t="str">
        <f aca="false">IF(SUM($AJ163)=0,"",IF(SUM($AI163)=0,"ENTER YIELD",ROUND($AJ163/$AI163,0)-$AJ163))</f>
        <v/>
      </c>
      <c r="AL163" s="10" t="str">
        <f aca="false">IF(SUM($G163)=0,"",$G163)</f>
        <v/>
      </c>
      <c r="AM163" s="10" t="str">
        <f aca="false">IFERROR(1/(1/SUM($H163:$K163,$X163,$AA163,$AD163,$AG163,$AJ163)),"")</f>
        <v/>
      </c>
      <c r="AN163" s="10" t="str">
        <f aca="false">IF(AND(SUM($AM163)=0,SUM($AL163)=0),"",$AM163-$AL163)</f>
        <v/>
      </c>
      <c r="AO163" s="10" t="str">
        <f aca="false">IF(OR($C163="01-09",$D163="Male"),"",INDEX(PMTCT!$AD:$AD,MATCH($E163,PMTCT!$E:$E,0)))</f>
        <v/>
      </c>
      <c r="AP163" s="10" t="str">
        <f aca="false">IF(OR($C163="01-09",$D163="Male"),"",INDEX(PMTCT!$AT:$AT,MATCH($E163,PMTCT!$E:$E,0)))</f>
        <v/>
      </c>
      <c r="AQ163" s="10" t="str">
        <f aca="false">INDEX(TB!$Q:$Q,MATCH($E163,TB!$E:$E,0))</f>
        <v/>
      </c>
      <c r="AR163" s="10" t="str">
        <f aca="false">IF(OR($C163="01-09",$C163="10-14",$D163="Female"),"",INDEX(VMMC!$AB:$AB,MATCH($E163,VMMC!$E:$E,0)))</f>
        <v/>
      </c>
      <c r="AS163" s="10" t="str">
        <f aca="false">IF(OR($C163="01-09",$C163="10-14"),"",INDEX(PrEP!$Q:$Q,MATCH($E163,PrEP!$E:$E,0)))</f>
        <v/>
      </c>
      <c r="AT163" s="10" t="str">
        <f aca="false">IFERROR(1/(1/SUM($Y163,$AB163,$AE163,$AH163,$AK163,$AO163:$AS163)),"")</f>
        <v/>
      </c>
      <c r="AU163" s="10" t="str">
        <f aca="false">IFERROR(1/(1/SUM($AT163,$AM163)),"")</f>
        <v/>
      </c>
      <c r="AV163" s="88" t="str">
        <f aca="false">IF(AND(SUM($AM163)=0,SUM($AU163)=0),"",$AM163/$AU163)</f>
        <v/>
      </c>
      <c r="AW163" s="10"/>
      <c r="AX163" s="88" t="str">
        <f aca="false">IF(OR($C163="01-09",SUM($AW163)=0),"",0%)</f>
        <v/>
      </c>
      <c r="AY163" s="39" t="str">
        <f aca="false">IF(OR($C163="01-09",SUM($AW163)=0),"",ROUND($AW163*(1+$AX163),0))</f>
        <v/>
      </c>
      <c r="AZ163" s="88" t="n">
        <f aca="false">IF(OR($C163="01-09",$C163="10-14"),"",100%)</f>
        <v>1</v>
      </c>
      <c r="BA163" s="39" t="str">
        <f aca="false">IF(OR(SUM($AM163)=0,$C163="01-09",$C163="10-14"),"",$AM163*$AZ163)</f>
        <v/>
      </c>
    </row>
    <row r="164" customFormat="false" ht="15" hidden="false" customHeight="false" outlineLevel="0" collapsed="false">
      <c r="A164" s="0" t="str">
        <f aca="false">INDEX(Prioritization!$D:$D,MATCH($B164,Prioritization!$A:$A,0))</f>
        <v>INVALID</v>
      </c>
      <c r="B164" s="0" t="s">
        <v>206</v>
      </c>
      <c r="C164" s="0" t="s">
        <v>365</v>
      </c>
      <c r="D164" s="0" t="s">
        <v>48</v>
      </c>
      <c r="E164" s="0" t="str">
        <f aca="false">$B164&amp;"|"&amp;$C164&amp;"|"&amp;$D164</f>
        <v>Likoma District [ZCjuwgaMB9u]|15-24|Male</v>
      </c>
      <c r="F164" s="88" t="n">
        <f aca="false">IF(LEFT($B164,4)="_Mil","",INDEX(Cascade!$AA:$AA,MATCH($E164,Cascade!$E:$E,0)))</f>
        <v>1116</v>
      </c>
      <c r="G164" s="10" t="n">
        <f aca="false">INDEX(Cascade!$BH:$BH,MATCH($E164,Cascade!$E:$E,0))</f>
        <v>0</v>
      </c>
      <c r="H164" s="10" t="str">
        <f aca="false">IF(OR($C164="01-09",$D164="Male"),"",INDEX(PMTCT!$AC:$AC,MATCH($E164,PMTCT!$E:$E,0)))</f>
        <v/>
      </c>
      <c r="I164" s="10" t="str">
        <f aca="false">IF(OR($C164="01-09",$D164="Male"),"",INDEX(PMTCT!$AS:$AS,MATCH($E164,PMTCT!$E:$E,0)))</f>
        <v/>
      </c>
      <c r="J164" s="10" t="str">
        <f aca="false">INDEX(TB!$P:$P,MATCH($E164,TB!$E:$E,0))</f>
        <v/>
      </c>
      <c r="K164" s="10" t="str">
        <f aca="false">IF(OR($C164="01-09",$C164="10-14",$D164="Female"),"",INDEX(VMMC!$AA:$AA,MATCH($E164,VMMC!$E:$E,0)))</f>
        <v/>
      </c>
      <c r="L164" s="10" t="n">
        <f aca="false">SUM($G164)-SUM($H164:$K164)</f>
        <v>0</v>
      </c>
      <c r="M164" s="88" t="str">
        <f aca="false">IF(OR($C164="01-09",$D164="Male",AND(SUM($G164)=0,SUM($H164)=0)),"",SUM($H164)/SUM($G164))</f>
        <v/>
      </c>
      <c r="N164" s="88" t="str">
        <f aca="false">IF(OR($C164="01-09",$D164="Male",AND(SUM($G164)=0,SUM($I164)=0)),"",SUM($I164)/SUM($G164))</f>
        <v/>
      </c>
      <c r="O164" s="88" t="str">
        <f aca="false">IF(AND(SUM($G164)=0,SUM($J164)=0),"",SUM($J164)/SUM($G164))</f>
        <v/>
      </c>
      <c r="P164" s="88" t="str">
        <f aca="false">IF(OR($C164="01-09",$C164="10-14",$D164="Female",AND(SUM($G164)=0,SUM($K164)=0)),"",SUM($K164)/SUM($G164))</f>
        <v/>
      </c>
      <c r="Q164" s="88"/>
      <c r="R164" s="88"/>
      <c r="S164" s="88"/>
      <c r="T164" s="88"/>
      <c r="U164" s="88"/>
      <c r="V164" s="88" t="str">
        <f aca="false">IF(SUM($G164)=0,"",SUM($M164:$U164))</f>
        <v/>
      </c>
      <c r="W164" s="88"/>
      <c r="X164" s="39" t="str">
        <f aca="false">IF(OR(SUM($G164)=0,SUM($Q164)=0),"",ROUND(SUM($G164)*SUM($Q164),0))</f>
        <v/>
      </c>
      <c r="Y164" s="39" t="str">
        <f aca="false">IF(SUM($X164)=0,"",IF(SUM($W164)=0,"ENTER YIELD",ROUND($X164/$W164,0)-$X164))</f>
        <v/>
      </c>
      <c r="Z164" s="88"/>
      <c r="AA164" s="39" t="str">
        <f aca="false">IF(OR(SUM($G164)=0,SUM($R164)=0),"",ROUND(SUM($G164)*SUM($R164),0))</f>
        <v/>
      </c>
      <c r="AB164" s="39" t="str">
        <f aca="false">IF(SUM($AA164)=0,"",IF(SUM($Z164)=0,"ENTER YIELD",ROUND($AA164/$Z164,0)-$AA164))</f>
        <v/>
      </c>
      <c r="AC164" s="88"/>
      <c r="AD164" s="39" t="str">
        <f aca="false">IF(OR(SUM($G164)=0,SUM($S164)=0),"",ROUND(SUM($G164)*SUM($S164),0))</f>
        <v/>
      </c>
      <c r="AE164" s="39" t="str">
        <f aca="false">IF(SUM($AD164)=0,"",IF(SUM($AC164)=0,"ENTER YIELD",ROUND($AD164/$AC164,0)-$AD164))</f>
        <v/>
      </c>
      <c r="AF164" s="88"/>
      <c r="AG164" s="39" t="str">
        <f aca="false">IF(OR(SUM($G164)=0,SUM($T164)=0),"",ROUND(SUM($G164)*SUM($T164),0))</f>
        <v/>
      </c>
      <c r="AH164" s="39" t="str">
        <f aca="false">IF(SUM($AG164)=0,"",IF(SUM($AF164)=0,"ENTER YIELD",ROUND($AG164/$AF164,0)-$AG164))</f>
        <v/>
      </c>
      <c r="AI164" s="88"/>
      <c r="AJ164" s="39" t="str">
        <f aca="false">IF(OR(SUM($G164)=0,SUM($U164)=0),"",ROUND(SUM($G164)*SUM($U164),0))</f>
        <v/>
      </c>
      <c r="AK164" s="39" t="str">
        <f aca="false">IF(SUM($AJ164)=0,"",IF(SUM($AI164)=0,"ENTER YIELD",ROUND($AJ164/$AI164,0)-$AJ164))</f>
        <v/>
      </c>
      <c r="AL164" s="10" t="str">
        <f aca="false">IF(SUM($G164)=0,"",$G164)</f>
        <v/>
      </c>
      <c r="AM164" s="10" t="str">
        <f aca="false">IFERROR(1/(1/SUM($H164:$K164,$X164,$AA164,$AD164,$AG164,$AJ164)),"")</f>
        <v/>
      </c>
      <c r="AN164" s="10" t="str">
        <f aca="false">IF(AND(SUM($AM164)=0,SUM($AL164)=0),"",$AM164-$AL164)</f>
        <v/>
      </c>
      <c r="AO164" s="10" t="str">
        <f aca="false">IF(OR($C164="01-09",$D164="Male"),"",INDEX(PMTCT!$AD:$AD,MATCH($E164,PMTCT!$E:$E,0)))</f>
        <v/>
      </c>
      <c r="AP164" s="10" t="str">
        <f aca="false">IF(OR($C164="01-09",$D164="Male"),"",INDEX(PMTCT!$AT:$AT,MATCH($E164,PMTCT!$E:$E,0)))</f>
        <v/>
      </c>
      <c r="AQ164" s="10" t="str">
        <f aca="false">INDEX(TB!$Q:$Q,MATCH($E164,TB!$E:$E,0))</f>
        <v/>
      </c>
      <c r="AR164" s="10" t="str">
        <f aca="false">IF(OR($C164="01-09",$C164="10-14",$D164="Female"),"",INDEX(VMMC!$AB:$AB,MATCH($E164,VMMC!$E:$E,0)))</f>
        <v/>
      </c>
      <c r="AS164" s="10" t="str">
        <f aca="false">IF(OR($C164="01-09",$C164="10-14"),"",INDEX(PrEP!$Q:$Q,MATCH($E164,PrEP!$E:$E,0)))</f>
        <v/>
      </c>
      <c r="AT164" s="10" t="str">
        <f aca="false">IFERROR(1/(1/SUM($Y164,$AB164,$AE164,$AH164,$AK164,$AO164:$AS164)),"")</f>
        <v/>
      </c>
      <c r="AU164" s="10" t="str">
        <f aca="false">IFERROR(1/(1/SUM($AT164,$AM164)),"")</f>
        <v/>
      </c>
      <c r="AV164" s="88" t="str">
        <f aca="false">IF(AND(SUM($AM164)=0,SUM($AU164)=0),"",$AM164/$AU164)</f>
        <v/>
      </c>
      <c r="AW164" s="10"/>
      <c r="AX164" s="88" t="str">
        <f aca="false">IF(OR($C164="01-09",SUM($AW164)=0),"",0%)</f>
        <v/>
      </c>
      <c r="AY164" s="39" t="str">
        <f aca="false">IF(OR($C164="01-09",SUM($AW164)=0),"",ROUND($AW164*(1+$AX164),0))</f>
        <v/>
      </c>
      <c r="AZ164" s="88" t="n">
        <f aca="false">IF(OR($C164="01-09",$C164="10-14"),"",100%)</f>
        <v>1</v>
      </c>
      <c r="BA164" s="39" t="str">
        <f aca="false">IF(OR(SUM($AM164)=0,$C164="01-09",$C164="10-14"),"",$AM164*$AZ164)</f>
        <v/>
      </c>
    </row>
    <row r="165" customFormat="false" ht="15" hidden="false" customHeight="false" outlineLevel="0" collapsed="false">
      <c r="A165" s="0" t="str">
        <f aca="false">INDEX(Prioritization!$D:$D,MATCH($B165,Prioritization!$A:$A,0))</f>
        <v>INVALID</v>
      </c>
      <c r="B165" s="0" t="s">
        <v>206</v>
      </c>
      <c r="C165" s="0" t="s">
        <v>366</v>
      </c>
      <c r="D165" s="0" t="s">
        <v>30</v>
      </c>
      <c r="E165" s="0" t="str">
        <f aca="false">$B165&amp;"|"&amp;$C165&amp;"|"&amp;$D165</f>
        <v>Likoma District [ZCjuwgaMB9u]|25-34|Female</v>
      </c>
      <c r="F165" s="88" t="n">
        <f aca="false">IF(LEFT($B165,4)="_Mil","",INDEX(Cascade!$AA:$AA,MATCH($E165,Cascade!$E:$E,0)))</f>
        <v>507</v>
      </c>
      <c r="G165" s="10" t="n">
        <f aca="false">INDEX(Cascade!$BH:$BH,MATCH($E165,Cascade!$E:$E,0))</f>
        <v>0</v>
      </c>
      <c r="H165" s="10" t="str">
        <f aca="false">IF(OR($C165="01-09",$D165="Male"),"",INDEX(PMTCT!$AC:$AC,MATCH($E165,PMTCT!$E:$E,0)))</f>
        <v/>
      </c>
      <c r="I165" s="10" t="str">
        <f aca="false">IF(OR($C165="01-09",$D165="Male"),"",INDEX(PMTCT!$AS:$AS,MATCH($E165,PMTCT!$E:$E,0)))</f>
        <v/>
      </c>
      <c r="J165" s="10" t="str">
        <f aca="false">INDEX(TB!$P:$P,MATCH($E165,TB!$E:$E,0))</f>
        <v/>
      </c>
      <c r="K165" s="10" t="str">
        <f aca="false">IF(OR($C165="01-09",$C165="10-14",$D165="Female"),"",INDEX(VMMC!$AA:$AA,MATCH($E165,VMMC!$E:$E,0)))</f>
        <v/>
      </c>
      <c r="L165" s="10" t="n">
        <f aca="false">SUM($G165)-SUM($H165:$K165)</f>
        <v>0</v>
      </c>
      <c r="M165" s="88" t="str">
        <f aca="false">IF(OR($C165="01-09",$D165="Male",AND(SUM($G165)=0,SUM($H165)=0)),"",SUM($H165)/SUM($G165))</f>
        <v/>
      </c>
      <c r="N165" s="88" t="str">
        <f aca="false">IF(OR($C165="01-09",$D165="Male",AND(SUM($G165)=0,SUM($I165)=0)),"",SUM($I165)/SUM($G165))</f>
        <v/>
      </c>
      <c r="O165" s="88" t="str">
        <f aca="false">IF(AND(SUM($G165)=0,SUM($J165)=0),"",SUM($J165)/SUM($G165))</f>
        <v/>
      </c>
      <c r="P165" s="88" t="str">
        <f aca="false">IF(OR($C165="01-09",$C165="10-14",$D165="Female",AND(SUM($G165)=0,SUM($K165)=0)),"",SUM($K165)/SUM($G165))</f>
        <v/>
      </c>
      <c r="Q165" s="88"/>
      <c r="R165" s="88"/>
      <c r="S165" s="88"/>
      <c r="T165" s="88"/>
      <c r="U165" s="88"/>
      <c r="V165" s="88" t="str">
        <f aca="false">IF(SUM($G165)=0,"",SUM($M165:$U165))</f>
        <v/>
      </c>
      <c r="W165" s="88"/>
      <c r="X165" s="39" t="str">
        <f aca="false">IF(OR(SUM($G165)=0,SUM($Q165)=0),"",ROUND(SUM($G165)*SUM($Q165),0))</f>
        <v/>
      </c>
      <c r="Y165" s="39" t="str">
        <f aca="false">IF(SUM($X165)=0,"",IF(SUM($W165)=0,"ENTER YIELD",ROUND($X165/$W165,0)-$X165))</f>
        <v/>
      </c>
      <c r="Z165" s="88"/>
      <c r="AA165" s="39" t="str">
        <f aca="false">IF(OR(SUM($G165)=0,SUM($R165)=0),"",ROUND(SUM($G165)*SUM($R165),0))</f>
        <v/>
      </c>
      <c r="AB165" s="39" t="str">
        <f aca="false">IF(SUM($AA165)=0,"",IF(SUM($Z165)=0,"ENTER YIELD",ROUND($AA165/$Z165,0)-$AA165))</f>
        <v/>
      </c>
      <c r="AC165" s="88"/>
      <c r="AD165" s="39" t="str">
        <f aca="false">IF(OR(SUM($G165)=0,SUM($S165)=0),"",ROUND(SUM($G165)*SUM($S165),0))</f>
        <v/>
      </c>
      <c r="AE165" s="39" t="str">
        <f aca="false">IF(SUM($AD165)=0,"",IF(SUM($AC165)=0,"ENTER YIELD",ROUND($AD165/$AC165,0)-$AD165))</f>
        <v/>
      </c>
      <c r="AF165" s="88"/>
      <c r="AG165" s="39" t="str">
        <f aca="false">IF(OR(SUM($G165)=0,SUM($T165)=0),"",ROUND(SUM($G165)*SUM($T165),0))</f>
        <v/>
      </c>
      <c r="AH165" s="39" t="str">
        <f aca="false">IF(SUM($AG165)=0,"",IF(SUM($AF165)=0,"ENTER YIELD",ROUND($AG165/$AF165,0)-$AG165))</f>
        <v/>
      </c>
      <c r="AI165" s="88"/>
      <c r="AJ165" s="39" t="str">
        <f aca="false">IF(OR(SUM($G165)=0,SUM($U165)=0),"",ROUND(SUM($G165)*SUM($U165),0))</f>
        <v/>
      </c>
      <c r="AK165" s="39" t="str">
        <f aca="false">IF(SUM($AJ165)=0,"",IF(SUM($AI165)=0,"ENTER YIELD",ROUND($AJ165/$AI165,0)-$AJ165))</f>
        <v/>
      </c>
      <c r="AL165" s="10" t="str">
        <f aca="false">IF(SUM($G165)=0,"",$G165)</f>
        <v/>
      </c>
      <c r="AM165" s="10" t="str">
        <f aca="false">IFERROR(1/(1/SUM($H165:$K165,$X165,$AA165,$AD165,$AG165,$AJ165)),"")</f>
        <v/>
      </c>
      <c r="AN165" s="10" t="str">
        <f aca="false">IF(AND(SUM($AM165)=0,SUM($AL165)=0),"",$AM165-$AL165)</f>
        <v/>
      </c>
      <c r="AO165" s="10" t="str">
        <f aca="false">IF(OR($C165="01-09",$D165="Male"),"",INDEX(PMTCT!$AD:$AD,MATCH($E165,PMTCT!$E:$E,0)))</f>
        <v/>
      </c>
      <c r="AP165" s="10" t="str">
        <f aca="false">IF(OR($C165="01-09",$D165="Male"),"",INDEX(PMTCT!$AT:$AT,MATCH($E165,PMTCT!$E:$E,0)))</f>
        <v/>
      </c>
      <c r="AQ165" s="10" t="str">
        <f aca="false">INDEX(TB!$Q:$Q,MATCH($E165,TB!$E:$E,0))</f>
        <v/>
      </c>
      <c r="AR165" s="10" t="str">
        <f aca="false">IF(OR($C165="01-09",$C165="10-14",$D165="Female"),"",INDEX(VMMC!$AB:$AB,MATCH($E165,VMMC!$E:$E,0)))</f>
        <v/>
      </c>
      <c r="AS165" s="10" t="str">
        <f aca="false">IF(OR($C165="01-09",$C165="10-14"),"",INDEX(PrEP!$Q:$Q,MATCH($E165,PrEP!$E:$E,0)))</f>
        <v/>
      </c>
      <c r="AT165" s="10" t="str">
        <f aca="false">IFERROR(1/(1/SUM($Y165,$AB165,$AE165,$AH165,$AK165,$AO165:$AS165)),"")</f>
        <v/>
      </c>
      <c r="AU165" s="10" t="str">
        <f aca="false">IFERROR(1/(1/SUM($AT165,$AM165)),"")</f>
        <v/>
      </c>
      <c r="AV165" s="88" t="str">
        <f aca="false">IF(AND(SUM($AM165)=0,SUM($AU165)=0),"",$AM165/$AU165)</f>
        <v/>
      </c>
      <c r="AW165" s="10"/>
      <c r="AX165" s="88" t="str">
        <f aca="false">IF(OR($C165="01-09",SUM($AW165)=0),"",0%)</f>
        <v/>
      </c>
      <c r="AY165" s="39" t="str">
        <f aca="false">IF(OR($C165="01-09",SUM($AW165)=0),"",ROUND($AW165*(1+$AX165),0))</f>
        <v/>
      </c>
      <c r="AZ165" s="88" t="n">
        <f aca="false">IF(OR($C165="01-09",$C165="10-14"),"",100%)</f>
        <v>1</v>
      </c>
      <c r="BA165" s="39" t="str">
        <f aca="false">IF(OR(SUM($AM165)=0,$C165="01-09",$C165="10-14"),"",$AM165*$AZ165)</f>
        <v/>
      </c>
    </row>
    <row r="166" customFormat="false" ht="15" hidden="false" customHeight="false" outlineLevel="0" collapsed="false">
      <c r="A166" s="0" t="str">
        <f aca="false">INDEX(Prioritization!$D:$D,MATCH($B166,Prioritization!$A:$A,0))</f>
        <v>INVALID</v>
      </c>
      <c r="B166" s="0" t="s">
        <v>206</v>
      </c>
      <c r="C166" s="0" t="s">
        <v>366</v>
      </c>
      <c r="D166" s="0" t="s">
        <v>48</v>
      </c>
      <c r="E166" s="0" t="str">
        <f aca="false">$B166&amp;"|"&amp;$C166&amp;"|"&amp;$D166</f>
        <v>Likoma District [ZCjuwgaMB9u]|25-34|Male</v>
      </c>
      <c r="F166" s="88" t="n">
        <f aca="false">IF(LEFT($B166,4)="_Mil","",INDEX(Cascade!$AA:$AA,MATCH($E166,Cascade!$E:$E,0)))</f>
        <v>1520</v>
      </c>
      <c r="G166" s="10" t="n">
        <f aca="false">INDEX(Cascade!$BH:$BH,MATCH($E166,Cascade!$E:$E,0))</f>
        <v>0</v>
      </c>
      <c r="H166" s="10" t="str">
        <f aca="false">IF(OR($C166="01-09",$D166="Male"),"",INDEX(PMTCT!$AC:$AC,MATCH($E166,PMTCT!$E:$E,0)))</f>
        <v/>
      </c>
      <c r="I166" s="10" t="str">
        <f aca="false">IF(OR($C166="01-09",$D166="Male"),"",INDEX(PMTCT!$AS:$AS,MATCH($E166,PMTCT!$E:$E,0)))</f>
        <v/>
      </c>
      <c r="J166" s="10" t="str">
        <f aca="false">INDEX(TB!$P:$P,MATCH($E166,TB!$E:$E,0))</f>
        <v/>
      </c>
      <c r="K166" s="10" t="str">
        <f aca="false">IF(OR($C166="01-09",$C166="10-14",$D166="Female"),"",INDEX(VMMC!$AA:$AA,MATCH($E166,VMMC!$E:$E,0)))</f>
        <v/>
      </c>
      <c r="L166" s="10" t="n">
        <f aca="false">SUM($G166)-SUM($H166:$K166)</f>
        <v>0</v>
      </c>
      <c r="M166" s="88" t="str">
        <f aca="false">IF(OR($C166="01-09",$D166="Male",AND(SUM($G166)=0,SUM($H166)=0)),"",SUM($H166)/SUM($G166))</f>
        <v/>
      </c>
      <c r="N166" s="88" t="str">
        <f aca="false">IF(OR($C166="01-09",$D166="Male",AND(SUM($G166)=0,SUM($I166)=0)),"",SUM($I166)/SUM($G166))</f>
        <v/>
      </c>
      <c r="O166" s="88" t="str">
        <f aca="false">IF(AND(SUM($G166)=0,SUM($J166)=0),"",SUM($J166)/SUM($G166))</f>
        <v/>
      </c>
      <c r="P166" s="88" t="str">
        <f aca="false">IF(OR($C166="01-09",$C166="10-14",$D166="Female",AND(SUM($G166)=0,SUM($K166)=0)),"",SUM($K166)/SUM($G166))</f>
        <v/>
      </c>
      <c r="Q166" s="88"/>
      <c r="R166" s="88"/>
      <c r="S166" s="88"/>
      <c r="T166" s="88"/>
      <c r="U166" s="88"/>
      <c r="V166" s="88" t="str">
        <f aca="false">IF(SUM($G166)=0,"",SUM($M166:$U166))</f>
        <v/>
      </c>
      <c r="W166" s="88"/>
      <c r="X166" s="39" t="str">
        <f aca="false">IF(OR(SUM($G166)=0,SUM($Q166)=0),"",ROUND(SUM($G166)*SUM($Q166),0))</f>
        <v/>
      </c>
      <c r="Y166" s="39" t="str">
        <f aca="false">IF(SUM($X166)=0,"",IF(SUM($W166)=0,"ENTER YIELD",ROUND($X166/$W166,0)-$X166))</f>
        <v/>
      </c>
      <c r="Z166" s="88"/>
      <c r="AA166" s="39" t="str">
        <f aca="false">IF(OR(SUM($G166)=0,SUM($R166)=0),"",ROUND(SUM($G166)*SUM($R166),0))</f>
        <v/>
      </c>
      <c r="AB166" s="39" t="str">
        <f aca="false">IF(SUM($AA166)=0,"",IF(SUM($Z166)=0,"ENTER YIELD",ROUND($AA166/$Z166,0)-$AA166))</f>
        <v/>
      </c>
      <c r="AC166" s="88"/>
      <c r="AD166" s="39" t="str">
        <f aca="false">IF(OR(SUM($G166)=0,SUM($S166)=0),"",ROUND(SUM($G166)*SUM($S166),0))</f>
        <v/>
      </c>
      <c r="AE166" s="39" t="str">
        <f aca="false">IF(SUM($AD166)=0,"",IF(SUM($AC166)=0,"ENTER YIELD",ROUND($AD166/$AC166,0)-$AD166))</f>
        <v/>
      </c>
      <c r="AF166" s="88"/>
      <c r="AG166" s="39" t="str">
        <f aca="false">IF(OR(SUM($G166)=0,SUM($T166)=0),"",ROUND(SUM($G166)*SUM($T166),0))</f>
        <v/>
      </c>
      <c r="AH166" s="39" t="str">
        <f aca="false">IF(SUM($AG166)=0,"",IF(SUM($AF166)=0,"ENTER YIELD",ROUND($AG166/$AF166,0)-$AG166))</f>
        <v/>
      </c>
      <c r="AI166" s="88"/>
      <c r="AJ166" s="39" t="str">
        <f aca="false">IF(OR(SUM($G166)=0,SUM($U166)=0),"",ROUND(SUM($G166)*SUM($U166),0))</f>
        <v/>
      </c>
      <c r="AK166" s="39" t="str">
        <f aca="false">IF(SUM($AJ166)=0,"",IF(SUM($AI166)=0,"ENTER YIELD",ROUND($AJ166/$AI166,0)-$AJ166))</f>
        <v/>
      </c>
      <c r="AL166" s="10" t="str">
        <f aca="false">IF(SUM($G166)=0,"",$G166)</f>
        <v/>
      </c>
      <c r="AM166" s="10" t="str">
        <f aca="false">IFERROR(1/(1/SUM($H166:$K166,$X166,$AA166,$AD166,$AG166,$AJ166)),"")</f>
        <v/>
      </c>
      <c r="AN166" s="10" t="str">
        <f aca="false">IF(AND(SUM($AM166)=0,SUM($AL166)=0),"",$AM166-$AL166)</f>
        <v/>
      </c>
      <c r="AO166" s="10" t="str">
        <f aca="false">IF(OR($C166="01-09",$D166="Male"),"",INDEX(PMTCT!$AD:$AD,MATCH($E166,PMTCT!$E:$E,0)))</f>
        <v/>
      </c>
      <c r="AP166" s="10" t="str">
        <f aca="false">IF(OR($C166="01-09",$D166="Male"),"",INDEX(PMTCT!$AT:$AT,MATCH($E166,PMTCT!$E:$E,0)))</f>
        <v/>
      </c>
      <c r="AQ166" s="10" t="str">
        <f aca="false">INDEX(TB!$Q:$Q,MATCH($E166,TB!$E:$E,0))</f>
        <v/>
      </c>
      <c r="AR166" s="10" t="str">
        <f aca="false">IF(OR($C166="01-09",$C166="10-14",$D166="Female"),"",INDEX(VMMC!$AB:$AB,MATCH($E166,VMMC!$E:$E,0)))</f>
        <v/>
      </c>
      <c r="AS166" s="10" t="str">
        <f aca="false">IF(OR($C166="01-09",$C166="10-14"),"",INDEX(PrEP!$Q:$Q,MATCH($E166,PrEP!$E:$E,0)))</f>
        <v/>
      </c>
      <c r="AT166" s="10" t="str">
        <f aca="false">IFERROR(1/(1/SUM($Y166,$AB166,$AE166,$AH166,$AK166,$AO166:$AS166)),"")</f>
        <v/>
      </c>
      <c r="AU166" s="10" t="str">
        <f aca="false">IFERROR(1/(1/SUM($AT166,$AM166)),"")</f>
        <v/>
      </c>
      <c r="AV166" s="88" t="str">
        <f aca="false">IF(AND(SUM($AM166)=0,SUM($AU166)=0),"",$AM166/$AU166)</f>
        <v/>
      </c>
      <c r="AW166" s="10"/>
      <c r="AX166" s="88" t="str">
        <f aca="false">IF(OR($C166="01-09",SUM($AW166)=0),"",0%)</f>
        <v/>
      </c>
      <c r="AY166" s="39" t="str">
        <f aca="false">IF(OR($C166="01-09",SUM($AW166)=0),"",ROUND($AW166*(1+$AX166),0))</f>
        <v/>
      </c>
      <c r="AZ166" s="88" t="n">
        <f aca="false">IF(OR($C166="01-09",$C166="10-14"),"",100%)</f>
        <v>1</v>
      </c>
      <c r="BA166" s="39" t="str">
        <f aca="false">IF(OR(SUM($AM166)=0,$C166="01-09",$C166="10-14"),"",$AM166*$AZ166)</f>
        <v/>
      </c>
    </row>
    <row r="167" customFormat="false" ht="15" hidden="false" customHeight="false" outlineLevel="0" collapsed="false">
      <c r="A167" s="0" t="str">
        <f aca="false">INDEX(Prioritization!$D:$D,MATCH($B167,Prioritization!$A:$A,0))</f>
        <v>INVALID</v>
      </c>
      <c r="B167" s="0" t="s">
        <v>206</v>
      </c>
      <c r="C167" s="0" t="s">
        <v>367</v>
      </c>
      <c r="D167" s="0" t="s">
        <v>30</v>
      </c>
      <c r="E167" s="0" t="str">
        <f aca="false">$B167&amp;"|"&amp;$C167&amp;"|"&amp;$D167</f>
        <v>Likoma District [ZCjuwgaMB9u]|35-49|Female</v>
      </c>
      <c r="F167" s="88" t="n">
        <f aca="false">IF(LEFT($B167,4)="_Mil","",INDEX(Cascade!$AA:$AA,MATCH($E167,Cascade!$E:$E,0)))</f>
        <v>727</v>
      </c>
      <c r="G167" s="10" t="n">
        <f aca="false">INDEX(Cascade!$BH:$BH,MATCH($E167,Cascade!$E:$E,0))</f>
        <v>0</v>
      </c>
      <c r="H167" s="10" t="str">
        <f aca="false">IF(OR($C167="01-09",$D167="Male"),"",INDEX(PMTCT!$AC:$AC,MATCH($E167,PMTCT!$E:$E,0)))</f>
        <v/>
      </c>
      <c r="I167" s="10" t="str">
        <f aca="false">IF(OR($C167="01-09",$D167="Male"),"",INDEX(PMTCT!$AS:$AS,MATCH($E167,PMTCT!$E:$E,0)))</f>
        <v/>
      </c>
      <c r="J167" s="10" t="str">
        <f aca="false">INDEX(TB!$P:$P,MATCH($E167,TB!$E:$E,0))</f>
        <v/>
      </c>
      <c r="K167" s="10" t="str">
        <f aca="false">IF(OR($C167="01-09",$C167="10-14",$D167="Female"),"",INDEX(VMMC!$AA:$AA,MATCH($E167,VMMC!$E:$E,0)))</f>
        <v/>
      </c>
      <c r="L167" s="10" t="n">
        <f aca="false">SUM($G167)-SUM($H167:$K167)</f>
        <v>0</v>
      </c>
      <c r="M167" s="88" t="str">
        <f aca="false">IF(OR($C167="01-09",$D167="Male",AND(SUM($G167)=0,SUM($H167)=0)),"",SUM($H167)/SUM($G167))</f>
        <v/>
      </c>
      <c r="N167" s="88" t="str">
        <f aca="false">IF(OR($C167="01-09",$D167="Male",AND(SUM($G167)=0,SUM($I167)=0)),"",SUM($I167)/SUM($G167))</f>
        <v/>
      </c>
      <c r="O167" s="88" t="str">
        <f aca="false">IF(AND(SUM($G167)=0,SUM($J167)=0),"",SUM($J167)/SUM($G167))</f>
        <v/>
      </c>
      <c r="P167" s="88" t="str">
        <f aca="false">IF(OR($C167="01-09",$C167="10-14",$D167="Female",AND(SUM($G167)=0,SUM($K167)=0)),"",SUM($K167)/SUM($G167))</f>
        <v/>
      </c>
      <c r="Q167" s="88"/>
      <c r="R167" s="88"/>
      <c r="S167" s="88"/>
      <c r="T167" s="88"/>
      <c r="U167" s="88"/>
      <c r="V167" s="88" t="str">
        <f aca="false">IF(SUM($G167)=0,"",SUM($M167:$U167))</f>
        <v/>
      </c>
      <c r="W167" s="88"/>
      <c r="X167" s="39" t="str">
        <f aca="false">IF(OR(SUM($G167)=0,SUM($Q167)=0),"",ROUND(SUM($G167)*SUM($Q167),0))</f>
        <v/>
      </c>
      <c r="Y167" s="39" t="str">
        <f aca="false">IF(SUM($X167)=0,"",IF(SUM($W167)=0,"ENTER YIELD",ROUND($X167/$W167,0)-$X167))</f>
        <v/>
      </c>
      <c r="Z167" s="88"/>
      <c r="AA167" s="39" t="str">
        <f aca="false">IF(OR(SUM($G167)=0,SUM($R167)=0),"",ROUND(SUM($G167)*SUM($R167),0))</f>
        <v/>
      </c>
      <c r="AB167" s="39" t="str">
        <f aca="false">IF(SUM($AA167)=0,"",IF(SUM($Z167)=0,"ENTER YIELD",ROUND($AA167/$Z167,0)-$AA167))</f>
        <v/>
      </c>
      <c r="AC167" s="88"/>
      <c r="AD167" s="39" t="str">
        <f aca="false">IF(OR(SUM($G167)=0,SUM($S167)=0),"",ROUND(SUM($G167)*SUM($S167),0))</f>
        <v/>
      </c>
      <c r="AE167" s="39" t="str">
        <f aca="false">IF(SUM($AD167)=0,"",IF(SUM($AC167)=0,"ENTER YIELD",ROUND($AD167/$AC167,0)-$AD167))</f>
        <v/>
      </c>
      <c r="AF167" s="88"/>
      <c r="AG167" s="39" t="str">
        <f aca="false">IF(OR(SUM($G167)=0,SUM($T167)=0),"",ROUND(SUM($G167)*SUM($T167),0))</f>
        <v/>
      </c>
      <c r="AH167" s="39" t="str">
        <f aca="false">IF(SUM($AG167)=0,"",IF(SUM($AF167)=0,"ENTER YIELD",ROUND($AG167/$AF167,0)-$AG167))</f>
        <v/>
      </c>
      <c r="AI167" s="88"/>
      <c r="AJ167" s="39" t="str">
        <f aca="false">IF(OR(SUM($G167)=0,SUM($U167)=0),"",ROUND(SUM($G167)*SUM($U167),0))</f>
        <v/>
      </c>
      <c r="AK167" s="39" t="str">
        <f aca="false">IF(SUM($AJ167)=0,"",IF(SUM($AI167)=0,"ENTER YIELD",ROUND($AJ167/$AI167,0)-$AJ167))</f>
        <v/>
      </c>
      <c r="AL167" s="10" t="str">
        <f aca="false">IF(SUM($G167)=0,"",$G167)</f>
        <v/>
      </c>
      <c r="AM167" s="10" t="str">
        <f aca="false">IFERROR(1/(1/SUM($H167:$K167,$X167,$AA167,$AD167,$AG167,$AJ167)),"")</f>
        <v/>
      </c>
      <c r="AN167" s="10" t="str">
        <f aca="false">IF(AND(SUM($AM167)=0,SUM($AL167)=0),"",$AM167-$AL167)</f>
        <v/>
      </c>
      <c r="AO167" s="10" t="str">
        <f aca="false">IF(OR($C167="01-09",$D167="Male"),"",INDEX(PMTCT!$AD:$AD,MATCH($E167,PMTCT!$E:$E,0)))</f>
        <v/>
      </c>
      <c r="AP167" s="10" t="str">
        <f aca="false">IF(OR($C167="01-09",$D167="Male"),"",INDEX(PMTCT!$AT:$AT,MATCH($E167,PMTCT!$E:$E,0)))</f>
        <v/>
      </c>
      <c r="AQ167" s="10" t="str">
        <f aca="false">INDEX(TB!$Q:$Q,MATCH($E167,TB!$E:$E,0))</f>
        <v/>
      </c>
      <c r="AR167" s="10" t="str">
        <f aca="false">IF(OR($C167="01-09",$C167="10-14",$D167="Female"),"",INDEX(VMMC!$AB:$AB,MATCH($E167,VMMC!$E:$E,0)))</f>
        <v/>
      </c>
      <c r="AS167" s="10" t="str">
        <f aca="false">IF(OR($C167="01-09",$C167="10-14"),"",INDEX(PrEP!$Q:$Q,MATCH($E167,PrEP!$E:$E,0)))</f>
        <v/>
      </c>
      <c r="AT167" s="10" t="str">
        <f aca="false">IFERROR(1/(1/SUM($Y167,$AB167,$AE167,$AH167,$AK167,$AO167:$AS167)),"")</f>
        <v/>
      </c>
      <c r="AU167" s="10" t="str">
        <f aca="false">IFERROR(1/(1/SUM($AT167,$AM167)),"")</f>
        <v/>
      </c>
      <c r="AV167" s="88" t="str">
        <f aca="false">IF(AND(SUM($AM167)=0,SUM($AU167)=0),"",$AM167/$AU167)</f>
        <v/>
      </c>
      <c r="AW167" s="10"/>
      <c r="AX167" s="88" t="str">
        <f aca="false">IF(OR($C167="01-09",SUM($AW167)=0),"",0%)</f>
        <v/>
      </c>
      <c r="AY167" s="39" t="str">
        <f aca="false">IF(OR($C167="01-09",SUM($AW167)=0),"",ROUND($AW167*(1+$AX167),0))</f>
        <v/>
      </c>
      <c r="AZ167" s="88" t="n">
        <f aca="false">IF(OR($C167="01-09",$C167="10-14"),"",100%)</f>
        <v>1</v>
      </c>
      <c r="BA167" s="39" t="str">
        <f aca="false">IF(OR(SUM($AM167)=0,$C167="01-09",$C167="10-14"),"",$AM167*$AZ167)</f>
        <v/>
      </c>
    </row>
    <row r="168" customFormat="false" ht="15" hidden="false" customHeight="false" outlineLevel="0" collapsed="false">
      <c r="A168" s="0" t="str">
        <f aca="false">INDEX(Prioritization!$D:$D,MATCH($B168,Prioritization!$A:$A,0))</f>
        <v>INVALID</v>
      </c>
      <c r="B168" s="0" t="s">
        <v>206</v>
      </c>
      <c r="C168" s="0" t="s">
        <v>367</v>
      </c>
      <c r="D168" s="0" t="s">
        <v>48</v>
      </c>
      <c r="E168" s="0" t="str">
        <f aca="false">$B168&amp;"|"&amp;$C168&amp;"|"&amp;$D168</f>
        <v>Likoma District [ZCjuwgaMB9u]|35-49|Male</v>
      </c>
      <c r="F168" s="88" t="n">
        <f aca="false">IF(LEFT($B168,4)="_Mil","",INDEX(Cascade!$AA:$AA,MATCH($E168,Cascade!$E:$E,0)))</f>
        <v>1913</v>
      </c>
      <c r="G168" s="10" t="n">
        <f aca="false">INDEX(Cascade!$BH:$BH,MATCH($E168,Cascade!$E:$E,0))</f>
        <v>0</v>
      </c>
      <c r="H168" s="10" t="str">
        <f aca="false">IF(OR($C168="01-09",$D168="Male"),"",INDEX(PMTCT!$AC:$AC,MATCH($E168,PMTCT!$E:$E,0)))</f>
        <v/>
      </c>
      <c r="I168" s="10" t="str">
        <f aca="false">IF(OR($C168="01-09",$D168="Male"),"",INDEX(PMTCT!$AS:$AS,MATCH($E168,PMTCT!$E:$E,0)))</f>
        <v/>
      </c>
      <c r="J168" s="10" t="str">
        <f aca="false">INDEX(TB!$P:$P,MATCH($E168,TB!$E:$E,0))</f>
        <v/>
      </c>
      <c r="K168" s="10" t="str">
        <f aca="false">IF(OR($C168="01-09",$C168="10-14",$D168="Female"),"",INDEX(VMMC!$AA:$AA,MATCH($E168,VMMC!$E:$E,0)))</f>
        <v/>
      </c>
      <c r="L168" s="10" t="n">
        <f aca="false">SUM($G168)-SUM($H168:$K168)</f>
        <v>0</v>
      </c>
      <c r="M168" s="88" t="str">
        <f aca="false">IF(OR($C168="01-09",$D168="Male",AND(SUM($G168)=0,SUM($H168)=0)),"",SUM($H168)/SUM($G168))</f>
        <v/>
      </c>
      <c r="N168" s="88" t="str">
        <f aca="false">IF(OR($C168="01-09",$D168="Male",AND(SUM($G168)=0,SUM($I168)=0)),"",SUM($I168)/SUM($G168))</f>
        <v/>
      </c>
      <c r="O168" s="88" t="str">
        <f aca="false">IF(AND(SUM($G168)=0,SUM($J168)=0),"",SUM($J168)/SUM($G168))</f>
        <v/>
      </c>
      <c r="P168" s="88" t="str">
        <f aca="false">IF(OR($C168="01-09",$C168="10-14",$D168="Female",AND(SUM($G168)=0,SUM($K168)=0)),"",SUM($K168)/SUM($G168))</f>
        <v/>
      </c>
      <c r="Q168" s="88"/>
      <c r="R168" s="88"/>
      <c r="S168" s="88"/>
      <c r="T168" s="88"/>
      <c r="U168" s="88"/>
      <c r="V168" s="88" t="str">
        <f aca="false">IF(SUM($G168)=0,"",SUM($M168:$U168))</f>
        <v/>
      </c>
      <c r="W168" s="88"/>
      <c r="X168" s="39" t="str">
        <f aca="false">IF(OR(SUM($G168)=0,SUM($Q168)=0),"",ROUND(SUM($G168)*SUM($Q168),0))</f>
        <v/>
      </c>
      <c r="Y168" s="39" t="str">
        <f aca="false">IF(SUM($X168)=0,"",IF(SUM($W168)=0,"ENTER YIELD",ROUND($X168/$W168,0)-$X168))</f>
        <v/>
      </c>
      <c r="Z168" s="88"/>
      <c r="AA168" s="39" t="str">
        <f aca="false">IF(OR(SUM($G168)=0,SUM($R168)=0),"",ROUND(SUM($G168)*SUM($R168),0))</f>
        <v/>
      </c>
      <c r="AB168" s="39" t="str">
        <f aca="false">IF(SUM($AA168)=0,"",IF(SUM($Z168)=0,"ENTER YIELD",ROUND($AA168/$Z168,0)-$AA168))</f>
        <v/>
      </c>
      <c r="AC168" s="88"/>
      <c r="AD168" s="39" t="str">
        <f aca="false">IF(OR(SUM($G168)=0,SUM($S168)=0),"",ROUND(SUM($G168)*SUM($S168),0))</f>
        <v/>
      </c>
      <c r="AE168" s="39" t="str">
        <f aca="false">IF(SUM($AD168)=0,"",IF(SUM($AC168)=0,"ENTER YIELD",ROUND($AD168/$AC168,0)-$AD168))</f>
        <v/>
      </c>
      <c r="AF168" s="88"/>
      <c r="AG168" s="39" t="str">
        <f aca="false">IF(OR(SUM($G168)=0,SUM($T168)=0),"",ROUND(SUM($G168)*SUM($T168),0))</f>
        <v/>
      </c>
      <c r="AH168" s="39" t="str">
        <f aca="false">IF(SUM($AG168)=0,"",IF(SUM($AF168)=0,"ENTER YIELD",ROUND($AG168/$AF168,0)-$AG168))</f>
        <v/>
      </c>
      <c r="AI168" s="88"/>
      <c r="AJ168" s="39" t="str">
        <f aca="false">IF(OR(SUM($G168)=0,SUM($U168)=0),"",ROUND(SUM($G168)*SUM($U168),0))</f>
        <v/>
      </c>
      <c r="AK168" s="39" t="str">
        <f aca="false">IF(SUM($AJ168)=0,"",IF(SUM($AI168)=0,"ENTER YIELD",ROUND($AJ168/$AI168,0)-$AJ168))</f>
        <v/>
      </c>
      <c r="AL168" s="10" t="str">
        <f aca="false">IF(SUM($G168)=0,"",$G168)</f>
        <v/>
      </c>
      <c r="AM168" s="10" t="str">
        <f aca="false">IFERROR(1/(1/SUM($H168:$K168,$X168,$AA168,$AD168,$AG168,$AJ168)),"")</f>
        <v/>
      </c>
      <c r="AN168" s="10" t="str">
        <f aca="false">IF(AND(SUM($AM168)=0,SUM($AL168)=0),"",$AM168-$AL168)</f>
        <v/>
      </c>
      <c r="AO168" s="10" t="str">
        <f aca="false">IF(OR($C168="01-09",$D168="Male"),"",INDEX(PMTCT!$AD:$AD,MATCH($E168,PMTCT!$E:$E,0)))</f>
        <v/>
      </c>
      <c r="AP168" s="10" t="str">
        <f aca="false">IF(OR($C168="01-09",$D168="Male"),"",INDEX(PMTCT!$AT:$AT,MATCH($E168,PMTCT!$E:$E,0)))</f>
        <v/>
      </c>
      <c r="AQ168" s="10" t="str">
        <f aca="false">INDEX(TB!$Q:$Q,MATCH($E168,TB!$E:$E,0))</f>
        <v/>
      </c>
      <c r="AR168" s="10" t="str">
        <f aca="false">IF(OR($C168="01-09",$C168="10-14",$D168="Female"),"",INDEX(VMMC!$AB:$AB,MATCH($E168,VMMC!$E:$E,0)))</f>
        <v/>
      </c>
      <c r="AS168" s="10" t="str">
        <f aca="false">IF(OR($C168="01-09",$C168="10-14"),"",INDEX(PrEP!$Q:$Q,MATCH($E168,PrEP!$E:$E,0)))</f>
        <v/>
      </c>
      <c r="AT168" s="10" t="str">
        <f aca="false">IFERROR(1/(1/SUM($Y168,$AB168,$AE168,$AH168,$AK168,$AO168:$AS168)),"")</f>
        <v/>
      </c>
      <c r="AU168" s="10" t="str">
        <f aca="false">IFERROR(1/(1/SUM($AT168,$AM168)),"")</f>
        <v/>
      </c>
      <c r="AV168" s="88" t="str">
        <f aca="false">IF(AND(SUM($AM168)=0,SUM($AU168)=0),"",$AM168/$AU168)</f>
        <v/>
      </c>
      <c r="AW168" s="10"/>
      <c r="AX168" s="88" t="str">
        <f aca="false">IF(OR($C168="01-09",SUM($AW168)=0),"",0%)</f>
        <v/>
      </c>
      <c r="AY168" s="39" t="str">
        <f aca="false">IF(OR($C168="01-09",SUM($AW168)=0),"",ROUND($AW168*(1+$AX168),0))</f>
        <v/>
      </c>
      <c r="AZ168" s="88" t="n">
        <f aca="false">IF(OR($C168="01-09",$C168="10-14"),"",100%)</f>
        <v>1</v>
      </c>
      <c r="BA168" s="39" t="str">
        <f aca="false">IF(OR(SUM($AM168)=0,$C168="01-09",$C168="10-14"),"",$AM168*$AZ168)</f>
        <v/>
      </c>
    </row>
    <row r="169" customFormat="false" ht="15" hidden="false" customHeight="false" outlineLevel="0" collapsed="false">
      <c r="A169" s="0" t="str">
        <f aca="false">INDEX(Prioritization!$D:$D,MATCH($B169,Prioritization!$A:$A,0))</f>
        <v>INVALID</v>
      </c>
      <c r="B169" s="0" t="s">
        <v>206</v>
      </c>
      <c r="C169" s="0" t="s">
        <v>368</v>
      </c>
      <c r="D169" s="0" t="s">
        <v>30</v>
      </c>
      <c r="E169" s="0" t="str">
        <f aca="false">$B169&amp;"|"&amp;$C169&amp;"|"&amp;$D169</f>
        <v>Likoma District [ZCjuwgaMB9u]|50+|Female</v>
      </c>
      <c r="F169" s="88" t="n">
        <f aca="false">IF(LEFT($B169,4)="_Mil","",INDEX(Cascade!$AA:$AA,MATCH($E169,Cascade!$E:$E,0)))</f>
        <v>1261</v>
      </c>
      <c r="G169" s="10" t="n">
        <f aca="false">INDEX(Cascade!$BH:$BH,MATCH($E169,Cascade!$E:$E,0))</f>
        <v>0</v>
      </c>
      <c r="H169" s="10" t="str">
        <f aca="false">IF(OR($C169="01-09",$D169="Male"),"",INDEX(PMTCT!$AC:$AC,MATCH($E169,PMTCT!$E:$E,0)))</f>
        <v/>
      </c>
      <c r="I169" s="10" t="str">
        <f aca="false">IF(OR($C169="01-09",$D169="Male"),"",INDEX(PMTCT!$AS:$AS,MATCH($E169,PMTCT!$E:$E,0)))</f>
        <v/>
      </c>
      <c r="J169" s="10" t="str">
        <f aca="false">INDEX(TB!$P:$P,MATCH($E169,TB!$E:$E,0))</f>
        <v/>
      </c>
      <c r="K169" s="10" t="str">
        <f aca="false">IF(OR($C169="01-09",$C169="10-14",$D169="Female"),"",INDEX(VMMC!$AA:$AA,MATCH($E169,VMMC!$E:$E,0)))</f>
        <v/>
      </c>
      <c r="L169" s="10" t="n">
        <f aca="false">SUM($G169)-SUM($H169:$K169)</f>
        <v>0</v>
      </c>
      <c r="M169" s="88" t="str">
        <f aca="false">IF(OR($C169="01-09",$D169="Male",AND(SUM($G169)=0,SUM($H169)=0)),"",SUM($H169)/SUM($G169))</f>
        <v/>
      </c>
      <c r="N169" s="88" t="str">
        <f aca="false">IF(OR($C169="01-09",$D169="Male",AND(SUM($G169)=0,SUM($I169)=0)),"",SUM($I169)/SUM($G169))</f>
        <v/>
      </c>
      <c r="O169" s="88" t="str">
        <f aca="false">IF(AND(SUM($G169)=0,SUM($J169)=0),"",SUM($J169)/SUM($G169))</f>
        <v/>
      </c>
      <c r="P169" s="88" t="str">
        <f aca="false">IF(OR($C169="01-09",$C169="10-14",$D169="Female",AND(SUM($G169)=0,SUM($K169)=0)),"",SUM($K169)/SUM($G169))</f>
        <v/>
      </c>
      <c r="Q169" s="88"/>
      <c r="R169" s="88"/>
      <c r="S169" s="88"/>
      <c r="T169" s="88"/>
      <c r="U169" s="88" t="n">
        <v>0.217568903695792</v>
      </c>
      <c r="V169" s="88" t="str">
        <f aca="false">IF(SUM($G169)=0,"",SUM($M169:$U169))</f>
        <v/>
      </c>
      <c r="W169" s="88"/>
      <c r="X169" s="39" t="str">
        <f aca="false">IF(OR(SUM($G169)=0,SUM($Q169)=0),"",ROUND(SUM($G169)*SUM($Q169),0))</f>
        <v/>
      </c>
      <c r="Y169" s="39" t="str">
        <f aca="false">IF(SUM($X169)=0,"",IF(SUM($W169)=0,"ENTER YIELD",ROUND($X169/$W169,0)-$X169))</f>
        <v/>
      </c>
      <c r="Z169" s="88"/>
      <c r="AA169" s="39" t="str">
        <f aca="false">IF(OR(SUM($G169)=0,SUM($R169)=0),"",ROUND(SUM($G169)*SUM($R169),0))</f>
        <v/>
      </c>
      <c r="AB169" s="39" t="str">
        <f aca="false">IF(SUM($AA169)=0,"",IF(SUM($Z169)=0,"ENTER YIELD",ROUND($AA169/$Z169,0)-$AA169))</f>
        <v/>
      </c>
      <c r="AC169" s="88"/>
      <c r="AD169" s="39" t="str">
        <f aca="false">IF(OR(SUM($G169)=0,SUM($S169)=0),"",ROUND(SUM($G169)*SUM($S169),0))</f>
        <v/>
      </c>
      <c r="AE169" s="39" t="str">
        <f aca="false">IF(SUM($AD169)=0,"",IF(SUM($AC169)=0,"ENTER YIELD",ROUND($AD169/$AC169,0)-$AD169))</f>
        <v/>
      </c>
      <c r="AF169" s="88"/>
      <c r="AG169" s="39" t="str">
        <f aca="false">IF(OR(SUM($G169)=0,SUM($T169)=0),"",ROUND(SUM($G169)*SUM($T169),0))</f>
        <v/>
      </c>
      <c r="AH169" s="39" t="str">
        <f aca="false">IF(SUM($AG169)=0,"",IF(SUM($AF169)=0,"ENTER YIELD",ROUND($AG169/$AF169,0)-$AG169))</f>
        <v/>
      </c>
      <c r="AI169" s="88"/>
      <c r="AJ169" s="39" t="str">
        <f aca="false">IF(OR(SUM($G169)=0,SUM($U169)=0),"",ROUND(SUM($G169)*SUM($U169),0))</f>
        <v/>
      </c>
      <c r="AK169" s="39" t="str">
        <f aca="false">IF(SUM($AJ169)=0,"",IF(SUM($AI169)=0,"ENTER YIELD",ROUND($AJ169/$AI169,0)-$AJ169))</f>
        <v/>
      </c>
      <c r="AL169" s="10" t="str">
        <f aca="false">IF(SUM($G169)=0,"",$G169)</f>
        <v/>
      </c>
      <c r="AM169" s="10" t="str">
        <f aca="false">IFERROR(1/(1/SUM($H169:$K169,$X169,$AA169,$AD169,$AG169,$AJ169)),"")</f>
        <v/>
      </c>
      <c r="AN169" s="10" t="str">
        <f aca="false">IF(AND(SUM($AM169)=0,SUM($AL169)=0),"",$AM169-$AL169)</f>
        <v/>
      </c>
      <c r="AO169" s="10" t="str">
        <f aca="false">IF(OR($C169="01-09",$D169="Male"),"",INDEX(PMTCT!$AD:$AD,MATCH($E169,PMTCT!$E:$E,0)))</f>
        <v/>
      </c>
      <c r="AP169" s="10" t="str">
        <f aca="false">IF(OR($C169="01-09",$D169="Male"),"",INDEX(PMTCT!$AT:$AT,MATCH($E169,PMTCT!$E:$E,0)))</f>
        <v/>
      </c>
      <c r="AQ169" s="10" t="str">
        <f aca="false">INDEX(TB!$Q:$Q,MATCH($E169,TB!$E:$E,0))</f>
        <v/>
      </c>
      <c r="AR169" s="10" t="str">
        <f aca="false">IF(OR($C169="01-09",$C169="10-14",$D169="Female"),"",INDEX(VMMC!$AB:$AB,MATCH($E169,VMMC!$E:$E,0)))</f>
        <v/>
      </c>
      <c r="AS169" s="10" t="str">
        <f aca="false">IF(OR($C169="01-09",$C169="10-14"),"",INDEX(PrEP!$Q:$Q,MATCH($E169,PrEP!$E:$E,0)))</f>
        <v/>
      </c>
      <c r="AT169" s="10" t="str">
        <f aca="false">IFERROR(1/(1/SUM($Y169,$AB169,$AE169,$AH169,$AK169,$AO169:$AS169)),"")</f>
        <v/>
      </c>
      <c r="AU169" s="10" t="str">
        <f aca="false">IFERROR(1/(1/SUM($AT169,$AM169)),"")</f>
        <v/>
      </c>
      <c r="AV169" s="88" t="str">
        <f aca="false">IF(AND(SUM($AM169)=0,SUM($AU169)=0),"",$AM169/$AU169)</f>
        <v/>
      </c>
      <c r="AW169" s="10" t="n">
        <v>1</v>
      </c>
      <c r="AX169" s="88" t="n">
        <f aca="false">IF(OR($C169="01-09",SUM($AW169)=0),"",0%)</f>
        <v>0</v>
      </c>
      <c r="AY169" s="39" t="n">
        <f aca="false">IF(OR($C169="01-09",SUM($AW169)=0),"",ROUND($AW169*(1+$AX169),0))</f>
        <v>1</v>
      </c>
      <c r="AZ169" s="88" t="n">
        <f aca="false">IF(OR($C169="01-09",$C169="10-14"),"",100%)</f>
        <v>1</v>
      </c>
      <c r="BA169" s="39" t="str">
        <f aca="false">IF(OR(SUM($AM169)=0,$C169="01-09",$C169="10-14"),"",$AM169*$AZ169)</f>
        <v/>
      </c>
    </row>
    <row r="170" customFormat="false" ht="15" hidden="false" customHeight="false" outlineLevel="0" collapsed="false">
      <c r="A170" s="0" t="str">
        <f aca="false">INDEX(Prioritization!$D:$D,MATCH($B170,Prioritization!$A:$A,0))</f>
        <v>INVALID</v>
      </c>
      <c r="B170" s="0" t="s">
        <v>206</v>
      </c>
      <c r="C170" s="0" t="s">
        <v>368</v>
      </c>
      <c r="D170" s="0" t="s">
        <v>48</v>
      </c>
      <c r="E170" s="0" t="str">
        <f aca="false">$B170&amp;"|"&amp;$C170&amp;"|"&amp;$D170</f>
        <v>Likoma District [ZCjuwgaMB9u]|50+|Male</v>
      </c>
      <c r="F170" s="88" t="n">
        <f aca="false">IF(LEFT($B170,4)="_Mil","",INDEX(Cascade!$AA:$AA,MATCH($E170,Cascade!$E:$E,0)))</f>
        <v>1918</v>
      </c>
      <c r="G170" s="10" t="n">
        <f aca="false">INDEX(Cascade!$BH:$BH,MATCH($E170,Cascade!$E:$E,0))</f>
        <v>0</v>
      </c>
      <c r="H170" s="10" t="str">
        <f aca="false">IF(OR($C170="01-09",$D170="Male"),"",INDEX(PMTCT!$AC:$AC,MATCH($E170,PMTCT!$E:$E,0)))</f>
        <v/>
      </c>
      <c r="I170" s="10" t="str">
        <f aca="false">IF(OR($C170="01-09",$D170="Male"),"",INDEX(PMTCT!$AS:$AS,MATCH($E170,PMTCT!$E:$E,0)))</f>
        <v/>
      </c>
      <c r="J170" s="10" t="str">
        <f aca="false">INDEX(TB!$P:$P,MATCH($E170,TB!$E:$E,0))</f>
        <v/>
      </c>
      <c r="K170" s="10" t="str">
        <f aca="false">IF(OR($C170="01-09",$C170="10-14",$D170="Female"),"",INDEX(VMMC!$AA:$AA,MATCH($E170,VMMC!$E:$E,0)))</f>
        <v/>
      </c>
      <c r="L170" s="10" t="n">
        <f aca="false">SUM($G170)-SUM($H170:$K170)</f>
        <v>0</v>
      </c>
      <c r="M170" s="88" t="str">
        <f aca="false">IF(OR($C170="01-09",$D170="Male",AND(SUM($G170)=0,SUM($H170)=0)),"",SUM($H170)/SUM($G170))</f>
        <v/>
      </c>
      <c r="N170" s="88" t="str">
        <f aca="false">IF(OR($C170="01-09",$D170="Male",AND(SUM($G170)=0,SUM($I170)=0)),"",SUM($I170)/SUM($G170))</f>
        <v/>
      </c>
      <c r="O170" s="88" t="str">
        <f aca="false">IF(AND(SUM($G170)=0,SUM($J170)=0),"",SUM($J170)/SUM($G170))</f>
        <v/>
      </c>
      <c r="P170" s="88" t="str">
        <f aca="false">IF(OR($C170="01-09",$C170="10-14",$D170="Female",AND(SUM($G170)=0,SUM($K170)=0)),"",SUM($K170)/SUM($G170))</f>
        <v/>
      </c>
      <c r="Q170" s="88"/>
      <c r="R170" s="88"/>
      <c r="S170" s="88"/>
      <c r="T170" s="88"/>
      <c r="U170" s="88" t="n">
        <v>0.487276380648836</v>
      </c>
      <c r="V170" s="88" t="str">
        <f aca="false">IF(SUM($G170)=0,"",SUM($M170:$U170))</f>
        <v/>
      </c>
      <c r="W170" s="88"/>
      <c r="X170" s="39" t="str">
        <f aca="false">IF(OR(SUM($G170)=0,SUM($Q170)=0),"",ROUND(SUM($G170)*SUM($Q170),0))</f>
        <v/>
      </c>
      <c r="Y170" s="39" t="str">
        <f aca="false">IF(SUM($X170)=0,"",IF(SUM($W170)=0,"ENTER YIELD",ROUND($X170/$W170,0)-$X170))</f>
        <v/>
      </c>
      <c r="Z170" s="88"/>
      <c r="AA170" s="39" t="str">
        <f aca="false">IF(OR(SUM($G170)=0,SUM($R170)=0),"",ROUND(SUM($G170)*SUM($R170),0))</f>
        <v/>
      </c>
      <c r="AB170" s="39" t="str">
        <f aca="false">IF(SUM($AA170)=0,"",IF(SUM($Z170)=0,"ENTER YIELD",ROUND($AA170/$Z170,0)-$AA170))</f>
        <v/>
      </c>
      <c r="AC170" s="88"/>
      <c r="AD170" s="39" t="str">
        <f aca="false">IF(OR(SUM($G170)=0,SUM($S170)=0),"",ROUND(SUM($G170)*SUM($S170),0))</f>
        <v/>
      </c>
      <c r="AE170" s="39" t="str">
        <f aca="false">IF(SUM($AD170)=0,"",IF(SUM($AC170)=0,"ENTER YIELD",ROUND($AD170/$AC170,0)-$AD170))</f>
        <v/>
      </c>
      <c r="AF170" s="88"/>
      <c r="AG170" s="39" t="str">
        <f aca="false">IF(OR(SUM($G170)=0,SUM($T170)=0),"",ROUND(SUM($G170)*SUM($T170),0))</f>
        <v/>
      </c>
      <c r="AH170" s="39" t="str">
        <f aca="false">IF(SUM($AG170)=0,"",IF(SUM($AF170)=0,"ENTER YIELD",ROUND($AG170/$AF170,0)-$AG170))</f>
        <v/>
      </c>
      <c r="AI170" s="88"/>
      <c r="AJ170" s="39" t="str">
        <f aca="false">IF(OR(SUM($G170)=0,SUM($U170)=0),"",ROUND(SUM($G170)*SUM($U170),0))</f>
        <v/>
      </c>
      <c r="AK170" s="39" t="str">
        <f aca="false">IF(SUM($AJ170)=0,"",IF(SUM($AI170)=0,"ENTER YIELD",ROUND($AJ170/$AI170,0)-$AJ170))</f>
        <v/>
      </c>
      <c r="AL170" s="10" t="str">
        <f aca="false">IF(SUM($G170)=0,"",$G170)</f>
        <v/>
      </c>
      <c r="AM170" s="10" t="str">
        <f aca="false">IFERROR(1/(1/SUM($H170:$K170,$X170,$AA170,$AD170,$AG170,$AJ170)),"")</f>
        <v/>
      </c>
      <c r="AN170" s="10" t="str">
        <f aca="false">IF(AND(SUM($AM170)=0,SUM($AL170)=0),"",$AM170-$AL170)</f>
        <v/>
      </c>
      <c r="AO170" s="10" t="str">
        <f aca="false">IF(OR($C170="01-09",$D170="Male"),"",INDEX(PMTCT!$AD:$AD,MATCH($E170,PMTCT!$E:$E,0)))</f>
        <v/>
      </c>
      <c r="AP170" s="10" t="str">
        <f aca="false">IF(OR($C170="01-09",$D170="Male"),"",INDEX(PMTCT!$AT:$AT,MATCH($E170,PMTCT!$E:$E,0)))</f>
        <v/>
      </c>
      <c r="AQ170" s="10" t="str">
        <f aca="false">INDEX(TB!$Q:$Q,MATCH($E170,TB!$E:$E,0))</f>
        <v/>
      </c>
      <c r="AR170" s="10" t="str">
        <f aca="false">IF(OR($C170="01-09",$C170="10-14",$D170="Female"),"",INDEX(VMMC!$AB:$AB,MATCH($E170,VMMC!$E:$E,0)))</f>
        <v/>
      </c>
      <c r="AS170" s="10" t="str">
        <f aca="false">IF(OR($C170="01-09",$C170="10-14"),"",INDEX(PrEP!$Q:$Q,MATCH($E170,PrEP!$E:$E,0)))</f>
        <v/>
      </c>
      <c r="AT170" s="10" t="str">
        <f aca="false">IFERROR(1/(1/SUM($Y170,$AB170,$AE170,$AH170,$AK170,$AO170:$AS170)),"")</f>
        <v/>
      </c>
      <c r="AU170" s="10" t="str">
        <f aca="false">IFERROR(1/(1/SUM($AT170,$AM170)),"")</f>
        <v/>
      </c>
      <c r="AV170" s="88" t="str">
        <f aca="false">IF(AND(SUM($AM170)=0,SUM($AU170)=0),"",$AM170/$AU170)</f>
        <v/>
      </c>
      <c r="AW170" s="10" t="n">
        <v>1</v>
      </c>
      <c r="AX170" s="88" t="n">
        <f aca="false">IF(OR($C170="01-09",SUM($AW170)=0),"",0%)</f>
        <v>0</v>
      </c>
      <c r="AY170" s="39" t="n">
        <f aca="false">IF(OR($C170="01-09",SUM($AW170)=0),"",ROUND($AW170*(1+$AX170),0))</f>
        <v>1</v>
      </c>
      <c r="AZ170" s="88" t="n">
        <f aca="false">IF(OR($C170="01-09",$C170="10-14"),"",100%)</f>
        <v>1</v>
      </c>
      <c r="BA170" s="39" t="str">
        <f aca="false">IF(OR(SUM($AM170)=0,$C170="01-09",$C170="10-14"),"",$AM170*$AZ170)</f>
        <v/>
      </c>
    </row>
    <row r="171" customFormat="false" ht="15" hidden="false" customHeight="false" outlineLevel="0" collapsed="false">
      <c r="A171" s="0" t="str">
        <f aca="false">INDEX(Prioritization!$D:$D,MATCH($B171,Prioritization!$A:$A,0))</f>
        <v>1 - Scale-up: Saturation</v>
      </c>
      <c r="B171" s="0" t="s">
        <v>207</v>
      </c>
      <c r="C171" s="0" t="s">
        <v>363</v>
      </c>
      <c r="D171" s="0" t="s">
        <v>30</v>
      </c>
      <c r="E171" s="0" t="str">
        <f aca="false">$B171&amp;"|"&amp;$C171&amp;"|"&amp;$D171</f>
        <v>Mzimba District [vA4NcHxfMBq]|01-09|Female</v>
      </c>
      <c r="F171" s="88" t="n">
        <f aca="false">IF(LEFT($B171,4)="_Mil","",INDEX(Cascade!$AA:$AA,MATCH($E171,Cascade!$E:$E,0)))</f>
        <v>1961</v>
      </c>
      <c r="G171" s="10" t="n">
        <f aca="false">INDEX(Cascade!$BH:$BH,MATCH($E171,Cascade!$E:$E,0))</f>
        <v>0</v>
      </c>
      <c r="H171" s="10" t="str">
        <f aca="false">IF(OR($C171="01-09",$D171="Male"),"",INDEX(PMTCT!$AC:$AC,MATCH($E171,PMTCT!$E:$E,0)))</f>
        <v/>
      </c>
      <c r="I171" s="10" t="str">
        <f aca="false">IF(OR($C171="01-09",$D171="Male"),"",INDEX(PMTCT!$AS:$AS,MATCH($E171,PMTCT!$E:$E,0)))</f>
        <v/>
      </c>
      <c r="J171" s="10" t="str">
        <f aca="false">INDEX(TB!$P:$P,MATCH($E171,TB!$E:$E,0))</f>
        <v/>
      </c>
      <c r="K171" s="10" t="str">
        <f aca="false">IF(OR($C171="01-09",$C171="10-14",$D171="Female"),"",INDEX(VMMC!$AA:$AA,MATCH($E171,VMMC!$E:$E,0)))</f>
        <v/>
      </c>
      <c r="L171" s="10" t="n">
        <f aca="false">SUM($G171)-SUM($H171:$K171)</f>
        <v>0</v>
      </c>
      <c r="M171" s="88" t="str">
        <f aca="false">IF(OR($C171="01-09",$D171="Male",AND(SUM($G171)=0,SUM($H171)=0)),"",SUM($H171)/SUM($G171))</f>
        <v/>
      </c>
      <c r="N171" s="88" t="str">
        <f aca="false">IF(OR($C171="01-09",$D171="Male",AND(SUM($G171)=0,SUM($I171)=0)),"",SUM($I171)/SUM($G171))</f>
        <v/>
      </c>
      <c r="O171" s="88" t="str">
        <f aca="false">IF(AND(SUM($G171)=0,SUM($J171)=0),"",SUM($J171)/SUM($G171))</f>
        <v/>
      </c>
      <c r="P171" s="88" t="str">
        <f aca="false">IF(OR($C171="01-09",$C171="10-14",$D171="Female",AND(SUM($G171)=0,SUM($K171)=0)),"",SUM($K171)/SUM($G171))</f>
        <v/>
      </c>
      <c r="Q171" s="88"/>
      <c r="R171" s="88"/>
      <c r="S171" s="88"/>
      <c r="T171" s="88"/>
      <c r="U171" s="88"/>
      <c r="V171" s="88" t="str">
        <f aca="false">IF(SUM($G171)=0,"",SUM($M171:$U171))</f>
        <v/>
      </c>
      <c r="W171" s="88"/>
      <c r="X171" s="39" t="str">
        <f aca="false">IF(OR(SUM($G171)=0,SUM($Q171)=0),"",ROUND(SUM($G171)*SUM($Q171),0))</f>
        <v/>
      </c>
      <c r="Y171" s="39" t="str">
        <f aca="false">IF(SUM($X171)=0,"",IF(SUM($W171)=0,"ENTER YIELD",ROUND($X171/$W171,0)-$X171))</f>
        <v/>
      </c>
      <c r="Z171" s="88"/>
      <c r="AA171" s="39" t="str">
        <f aca="false">IF(OR(SUM($G171)=0,SUM($R171)=0),"",ROUND(SUM($G171)*SUM($R171),0))</f>
        <v/>
      </c>
      <c r="AB171" s="39" t="str">
        <f aca="false">IF(SUM($AA171)=0,"",IF(SUM($Z171)=0,"ENTER YIELD",ROUND($AA171/$Z171,0)-$AA171))</f>
        <v/>
      </c>
      <c r="AC171" s="88"/>
      <c r="AD171" s="39" t="str">
        <f aca="false">IF(OR(SUM($G171)=0,SUM($S171)=0),"",ROUND(SUM($G171)*SUM($S171),0))</f>
        <v/>
      </c>
      <c r="AE171" s="39" t="str">
        <f aca="false">IF(SUM($AD171)=0,"",IF(SUM($AC171)=0,"ENTER YIELD",ROUND($AD171/$AC171,0)-$AD171))</f>
        <v/>
      </c>
      <c r="AF171" s="88"/>
      <c r="AG171" s="39" t="str">
        <f aca="false">IF(OR(SUM($G171)=0,SUM($T171)=0),"",ROUND(SUM($G171)*SUM($T171),0))</f>
        <v/>
      </c>
      <c r="AH171" s="39" t="str">
        <f aca="false">IF(SUM($AG171)=0,"",IF(SUM($AF171)=0,"ENTER YIELD",ROUND($AG171/$AF171,0)-$AG171))</f>
        <v/>
      </c>
      <c r="AI171" s="88"/>
      <c r="AJ171" s="39" t="str">
        <f aca="false">IF(OR(SUM($G171)=0,SUM($U171)=0),"",ROUND(SUM($G171)*SUM($U171),0))</f>
        <v/>
      </c>
      <c r="AK171" s="39" t="str">
        <f aca="false">IF(SUM($AJ171)=0,"",IF(SUM($AI171)=0,"ENTER YIELD",ROUND($AJ171/$AI171,0)-$AJ171))</f>
        <v/>
      </c>
      <c r="AL171" s="10" t="str">
        <f aca="false">IF(SUM($G171)=0,"",$G171)</f>
        <v/>
      </c>
      <c r="AM171" s="10" t="str">
        <f aca="false">IFERROR(1/(1/SUM($H171:$K171,$X171,$AA171,$AD171,$AG171,$AJ171)),"")</f>
        <v/>
      </c>
      <c r="AN171" s="10" t="str">
        <f aca="false">IF(AND(SUM($AM171)=0,SUM($AL171)=0),"",$AM171-$AL171)</f>
        <v/>
      </c>
      <c r="AO171" s="10" t="str">
        <f aca="false">IF(OR($C171="01-09",$D171="Male"),"",INDEX(PMTCT!$AD:$AD,MATCH($E171,PMTCT!$E:$E,0)))</f>
        <v/>
      </c>
      <c r="AP171" s="10" t="str">
        <f aca="false">IF(OR($C171="01-09",$D171="Male"),"",INDEX(PMTCT!$AT:$AT,MATCH($E171,PMTCT!$E:$E,0)))</f>
        <v/>
      </c>
      <c r="AQ171" s="10" t="str">
        <f aca="false">INDEX(TB!$Q:$Q,MATCH($E171,TB!$E:$E,0))</f>
        <v/>
      </c>
      <c r="AR171" s="10" t="str">
        <f aca="false">IF(OR($C171="01-09",$C171="10-14",$D171="Female"),"",INDEX(VMMC!$AB:$AB,MATCH($E171,VMMC!$E:$E,0)))</f>
        <v/>
      </c>
      <c r="AS171" s="10" t="str">
        <f aca="false">IF(OR($C171="01-09",$C171="10-14"),"",INDEX(PrEP!$Q:$Q,MATCH($E171,PrEP!$E:$E,0)))</f>
        <v/>
      </c>
      <c r="AT171" s="10" t="str">
        <f aca="false">IFERROR(1/(1/SUM($Y171,$AB171,$AE171,$AH171,$AK171,$AO171:$AS171)),"")</f>
        <v/>
      </c>
      <c r="AU171" s="10" t="str">
        <f aca="false">IFERROR(1/(1/SUM($AT171,$AM171)),"")</f>
        <v/>
      </c>
      <c r="AV171" s="88" t="str">
        <f aca="false">IF(AND(SUM($AM171)=0,SUM($AU171)=0),"",$AM171/$AU171)</f>
        <v/>
      </c>
      <c r="AW171" s="10"/>
      <c r="AX171" s="88" t="str">
        <f aca="false">IF(OR($C171="01-09",SUM($AW171)=0),"",0%)</f>
        <v/>
      </c>
      <c r="AY171" s="39" t="str">
        <f aca="false">IF(OR($C171="01-09",SUM($AW171)=0),"",ROUND($AW171*(1+$AX171),0))</f>
        <v/>
      </c>
      <c r="AZ171" s="88" t="str">
        <f aca="false">IF(OR($C171="01-09",$C171="10-14"),"",100%)</f>
        <v/>
      </c>
      <c r="BA171" s="39" t="str">
        <f aca="false">IF(OR(SUM($AM171)=0,$C171="01-09",$C171="10-14"),"",$AM171*$AZ171)</f>
        <v/>
      </c>
    </row>
    <row r="172" customFormat="false" ht="15" hidden="false" customHeight="false" outlineLevel="0" collapsed="false">
      <c r="A172" s="0" t="str">
        <f aca="false">INDEX(Prioritization!$D:$D,MATCH($B172,Prioritization!$A:$A,0))</f>
        <v>1 - Scale-up: Saturation</v>
      </c>
      <c r="B172" s="0" t="s">
        <v>207</v>
      </c>
      <c r="C172" s="0" t="s">
        <v>363</v>
      </c>
      <c r="D172" s="0" t="s">
        <v>48</v>
      </c>
      <c r="E172" s="0" t="str">
        <f aca="false">$B172&amp;"|"&amp;$C172&amp;"|"&amp;$D172</f>
        <v>Mzimba District [vA4NcHxfMBq]|01-09|Male</v>
      </c>
      <c r="F172" s="88" t="n">
        <f aca="false">IF(LEFT($B172,4)="_Mil","",INDEX(Cascade!$AA:$AA,MATCH($E172,Cascade!$E:$E,0)))</f>
        <v>996</v>
      </c>
      <c r="G172" s="10" t="n">
        <f aca="false">INDEX(Cascade!$BH:$BH,MATCH($E172,Cascade!$E:$E,0))</f>
        <v>0</v>
      </c>
      <c r="H172" s="10" t="str">
        <f aca="false">IF(OR($C172="01-09",$D172="Male"),"",INDEX(PMTCT!$AC:$AC,MATCH($E172,PMTCT!$E:$E,0)))</f>
        <v/>
      </c>
      <c r="I172" s="10" t="str">
        <f aca="false">IF(OR($C172="01-09",$D172="Male"),"",INDEX(PMTCT!$AS:$AS,MATCH($E172,PMTCT!$E:$E,0)))</f>
        <v/>
      </c>
      <c r="J172" s="10" t="str">
        <f aca="false">INDEX(TB!$P:$P,MATCH($E172,TB!$E:$E,0))</f>
        <v/>
      </c>
      <c r="K172" s="10" t="str">
        <f aca="false">IF(OR($C172="01-09",$C172="10-14",$D172="Female"),"",INDEX(VMMC!$AA:$AA,MATCH($E172,VMMC!$E:$E,0)))</f>
        <v/>
      </c>
      <c r="L172" s="10" t="n">
        <f aca="false">SUM($G172)-SUM($H172:$K172)</f>
        <v>0</v>
      </c>
      <c r="M172" s="88" t="str">
        <f aca="false">IF(OR($C172="01-09",$D172="Male",AND(SUM($G172)=0,SUM($H172)=0)),"",SUM($H172)/SUM($G172))</f>
        <v/>
      </c>
      <c r="N172" s="88" t="str">
        <f aca="false">IF(OR($C172="01-09",$D172="Male",AND(SUM($G172)=0,SUM($I172)=0)),"",SUM($I172)/SUM($G172))</f>
        <v/>
      </c>
      <c r="O172" s="88" t="str">
        <f aca="false">IF(AND(SUM($G172)=0,SUM($J172)=0),"",SUM($J172)/SUM($G172))</f>
        <v/>
      </c>
      <c r="P172" s="88" t="str">
        <f aca="false">IF(OR($C172="01-09",$C172="10-14",$D172="Female",AND(SUM($G172)=0,SUM($K172)=0)),"",SUM($K172)/SUM($G172))</f>
        <v/>
      </c>
      <c r="Q172" s="88"/>
      <c r="R172" s="88"/>
      <c r="S172" s="88"/>
      <c r="T172" s="88"/>
      <c r="U172" s="88"/>
      <c r="V172" s="88" t="str">
        <f aca="false">IF(SUM($G172)=0,"",SUM($M172:$U172))</f>
        <v/>
      </c>
      <c r="W172" s="88"/>
      <c r="X172" s="39" t="str">
        <f aca="false">IF(OR(SUM($G172)=0,SUM($Q172)=0),"",ROUND(SUM($G172)*SUM($Q172),0))</f>
        <v/>
      </c>
      <c r="Y172" s="39" t="str">
        <f aca="false">IF(SUM($X172)=0,"",IF(SUM($W172)=0,"ENTER YIELD",ROUND($X172/$W172,0)-$X172))</f>
        <v/>
      </c>
      <c r="Z172" s="88"/>
      <c r="AA172" s="39" t="str">
        <f aca="false">IF(OR(SUM($G172)=0,SUM($R172)=0),"",ROUND(SUM($G172)*SUM($R172),0))</f>
        <v/>
      </c>
      <c r="AB172" s="39" t="str">
        <f aca="false">IF(SUM($AA172)=0,"",IF(SUM($Z172)=0,"ENTER YIELD",ROUND($AA172/$Z172,0)-$AA172))</f>
        <v/>
      </c>
      <c r="AC172" s="88"/>
      <c r="AD172" s="39" t="str">
        <f aca="false">IF(OR(SUM($G172)=0,SUM($S172)=0),"",ROUND(SUM($G172)*SUM($S172),0))</f>
        <v/>
      </c>
      <c r="AE172" s="39" t="str">
        <f aca="false">IF(SUM($AD172)=0,"",IF(SUM($AC172)=0,"ENTER YIELD",ROUND($AD172/$AC172,0)-$AD172))</f>
        <v/>
      </c>
      <c r="AF172" s="88"/>
      <c r="AG172" s="39" t="str">
        <f aca="false">IF(OR(SUM($G172)=0,SUM($T172)=0),"",ROUND(SUM($G172)*SUM($T172),0))</f>
        <v/>
      </c>
      <c r="AH172" s="39" t="str">
        <f aca="false">IF(SUM($AG172)=0,"",IF(SUM($AF172)=0,"ENTER YIELD",ROUND($AG172/$AF172,0)-$AG172))</f>
        <v/>
      </c>
      <c r="AI172" s="88"/>
      <c r="AJ172" s="39" t="str">
        <f aca="false">IF(OR(SUM($G172)=0,SUM($U172)=0),"",ROUND(SUM($G172)*SUM($U172),0))</f>
        <v/>
      </c>
      <c r="AK172" s="39" t="str">
        <f aca="false">IF(SUM($AJ172)=0,"",IF(SUM($AI172)=0,"ENTER YIELD",ROUND($AJ172/$AI172,0)-$AJ172))</f>
        <v/>
      </c>
      <c r="AL172" s="10" t="str">
        <f aca="false">IF(SUM($G172)=0,"",$G172)</f>
        <v/>
      </c>
      <c r="AM172" s="10" t="str">
        <f aca="false">IFERROR(1/(1/SUM($H172:$K172,$X172,$AA172,$AD172,$AG172,$AJ172)),"")</f>
        <v/>
      </c>
      <c r="AN172" s="10" t="str">
        <f aca="false">IF(AND(SUM($AM172)=0,SUM($AL172)=0),"",$AM172-$AL172)</f>
        <v/>
      </c>
      <c r="AO172" s="10" t="str">
        <f aca="false">IF(OR($C172="01-09",$D172="Male"),"",INDEX(PMTCT!$AD:$AD,MATCH($E172,PMTCT!$E:$E,0)))</f>
        <v/>
      </c>
      <c r="AP172" s="10" t="str">
        <f aca="false">IF(OR($C172="01-09",$D172="Male"),"",INDEX(PMTCT!$AT:$AT,MATCH($E172,PMTCT!$E:$E,0)))</f>
        <v/>
      </c>
      <c r="AQ172" s="10" t="str">
        <f aca="false">INDEX(TB!$Q:$Q,MATCH($E172,TB!$E:$E,0))</f>
        <v/>
      </c>
      <c r="AR172" s="10" t="str">
        <f aca="false">IF(OR($C172="01-09",$C172="10-14",$D172="Female"),"",INDEX(VMMC!$AB:$AB,MATCH($E172,VMMC!$E:$E,0)))</f>
        <v/>
      </c>
      <c r="AS172" s="10" t="str">
        <f aca="false">IF(OR($C172="01-09",$C172="10-14"),"",INDEX(PrEP!$Q:$Q,MATCH($E172,PrEP!$E:$E,0)))</f>
        <v/>
      </c>
      <c r="AT172" s="10" t="str">
        <f aca="false">IFERROR(1/(1/SUM($Y172,$AB172,$AE172,$AH172,$AK172,$AO172:$AS172)),"")</f>
        <v/>
      </c>
      <c r="AU172" s="10" t="str">
        <f aca="false">IFERROR(1/(1/SUM($AT172,$AM172)),"")</f>
        <v/>
      </c>
      <c r="AV172" s="88" t="str">
        <f aca="false">IF(AND(SUM($AM172)=0,SUM($AU172)=0),"",$AM172/$AU172)</f>
        <v/>
      </c>
      <c r="AW172" s="10"/>
      <c r="AX172" s="88" t="str">
        <f aca="false">IF(OR($C172="01-09",SUM($AW172)=0),"",0%)</f>
        <v/>
      </c>
      <c r="AY172" s="39" t="str">
        <f aca="false">IF(OR($C172="01-09",SUM($AW172)=0),"",ROUND($AW172*(1+$AX172),0))</f>
        <v/>
      </c>
      <c r="AZ172" s="88" t="str">
        <f aca="false">IF(OR($C172="01-09",$C172="10-14"),"",100%)</f>
        <v/>
      </c>
      <c r="BA172" s="39" t="str">
        <f aca="false">IF(OR(SUM($AM172)=0,$C172="01-09",$C172="10-14"),"",$AM172*$AZ172)</f>
        <v/>
      </c>
    </row>
    <row r="173" customFormat="false" ht="15" hidden="false" customHeight="false" outlineLevel="0" collapsed="false">
      <c r="A173" s="0" t="str">
        <f aca="false">INDEX(Prioritization!$D:$D,MATCH($B173,Prioritization!$A:$A,0))</f>
        <v>1 - Scale-up: Saturation</v>
      </c>
      <c r="B173" s="0" t="s">
        <v>207</v>
      </c>
      <c r="C173" s="0" t="s">
        <v>364</v>
      </c>
      <c r="D173" s="0" t="s">
        <v>30</v>
      </c>
      <c r="E173" s="0" t="str">
        <f aca="false">$B173&amp;"|"&amp;$C173&amp;"|"&amp;$D173</f>
        <v>Mzimba District [vA4NcHxfMBq]|10-14|Female</v>
      </c>
      <c r="F173" s="88" t="n">
        <f aca="false">IF(LEFT($B173,4)="_Mil","",INDEX(Cascade!$AA:$AA,MATCH($E173,Cascade!$E:$E,0)))</f>
        <v>1946</v>
      </c>
      <c r="G173" s="10" t="n">
        <f aca="false">INDEX(Cascade!$BH:$BH,MATCH($E173,Cascade!$E:$E,0))</f>
        <v>-98</v>
      </c>
      <c r="H173" s="10" t="str">
        <f aca="false">IF(OR($C173="01-09",$D173="Male"),"",INDEX(PMTCT!$AC:$AC,MATCH($E173,PMTCT!$E:$E,0)))</f>
        <v>ENTER YIELD RATE</v>
      </c>
      <c r="I173" s="10" t="str">
        <f aca="false">IF(OR($C173="01-09",$D173="Male"),"",INDEX(PMTCT!$AS:$AS,MATCH($E173,PMTCT!$E:$E,0)))</f>
        <v>ENTER YIELD RATE</v>
      </c>
      <c r="J173" s="10" t="str">
        <f aca="false">INDEX(TB!$P:$P,MATCH($E173,TB!$E:$E,0))</f>
        <v>ENTER YIELD RATE</v>
      </c>
      <c r="K173" s="10" t="str">
        <f aca="false">IF(OR($C173="01-09",$C173="10-14",$D173="Female"),"",INDEX(VMMC!$AA:$AA,MATCH($E173,VMMC!$E:$E,0)))</f>
        <v/>
      </c>
      <c r="L173" s="10" t="n">
        <f aca="false">SUM($G173)-SUM($H173:$K173)</f>
        <v>-98</v>
      </c>
      <c r="M173" s="88" t="n">
        <f aca="false">IF(OR($C173="01-09",$D173="Male",AND(SUM($G173)=0,SUM($H173)=0)),"",SUM($H173)/SUM($G173))</f>
        <v>-0</v>
      </c>
      <c r="N173" s="88" t="n">
        <f aca="false">IF(OR($C173="01-09",$D173="Male",AND(SUM($G173)=0,SUM($I173)=0)),"",SUM($I173)/SUM($G173))</f>
        <v>-0</v>
      </c>
      <c r="O173" s="88" t="n">
        <f aca="false">IF(AND(SUM($G173)=0,SUM($J173)=0),"",SUM($J173)/SUM($G173))</f>
        <v>-0</v>
      </c>
      <c r="P173" s="88" t="str">
        <f aca="false">IF(OR($C173="01-09",$C173="10-14",$D173="Female",AND(SUM($G173)=0,SUM($K173)=0)),"",SUM($K173)/SUM($G173))</f>
        <v/>
      </c>
      <c r="Q173" s="88" t="n">
        <v>0.662884256569669</v>
      </c>
      <c r="R173" s="88"/>
      <c r="S173" s="88"/>
      <c r="T173" s="88"/>
      <c r="U173" s="88" t="n">
        <v>0.797235077945516</v>
      </c>
      <c r="V173" s="88" t="n">
        <f aca="false">IF(SUM($G173)=0,"",SUM($M173:$U173))</f>
        <v>1.46011933451519</v>
      </c>
      <c r="W173" s="88"/>
      <c r="X173" s="39" t="n">
        <f aca="false">IF(OR(SUM($G173)=0,SUM($Q173)=0),"",ROUND(SUM($G173)*SUM($Q173),0))</f>
        <v>-65</v>
      </c>
      <c r="Y173" s="39" t="str">
        <f aca="false">IF(SUM($X173)=0,"",IF(SUM($W173)=0,"ENTER YIELD",ROUND($X173/$W173,0)-$X173))</f>
        <v>ENTER YIELD</v>
      </c>
      <c r="Z173" s="88"/>
      <c r="AA173" s="39" t="str">
        <f aca="false">IF(OR(SUM($G173)=0,SUM($R173)=0),"",ROUND(SUM($G173)*SUM($R173),0))</f>
        <v/>
      </c>
      <c r="AB173" s="39" t="str">
        <f aca="false">IF(SUM($AA173)=0,"",IF(SUM($Z173)=0,"ENTER YIELD",ROUND($AA173/$Z173,0)-$AA173))</f>
        <v/>
      </c>
      <c r="AC173" s="88"/>
      <c r="AD173" s="39" t="str">
        <f aca="false">IF(OR(SUM($G173)=0,SUM($S173)=0),"",ROUND(SUM($G173)*SUM($S173),0))</f>
        <v/>
      </c>
      <c r="AE173" s="39" t="str">
        <f aca="false">IF(SUM($AD173)=0,"",IF(SUM($AC173)=0,"ENTER YIELD",ROUND($AD173/$AC173,0)-$AD173))</f>
        <v/>
      </c>
      <c r="AF173" s="88"/>
      <c r="AG173" s="39" t="str">
        <f aca="false">IF(OR(SUM($G173)=0,SUM($T173)=0),"",ROUND(SUM($G173)*SUM($T173),0))</f>
        <v/>
      </c>
      <c r="AH173" s="39" t="str">
        <f aca="false">IF(SUM($AG173)=0,"",IF(SUM($AF173)=0,"ENTER YIELD",ROUND($AG173/$AF173,0)-$AG173))</f>
        <v/>
      </c>
      <c r="AI173" s="88"/>
      <c r="AJ173" s="39" t="n">
        <f aca="false">IF(OR(SUM($G173)=0,SUM($U173)=0),"",ROUND(SUM($G173)*SUM($U173),0))</f>
        <v>-78</v>
      </c>
      <c r="AK173" s="39" t="str">
        <f aca="false">IF(SUM($AJ173)=0,"",IF(SUM($AI173)=0,"ENTER YIELD",ROUND($AJ173/$AI173,0)-$AJ173))</f>
        <v>ENTER YIELD</v>
      </c>
      <c r="AL173" s="10" t="n">
        <f aca="false">IF(SUM($G173)=0,"",$G173)</f>
        <v>-98</v>
      </c>
      <c r="AM173" s="10" t="n">
        <f aca="false">IFERROR(1/(1/SUM($H173:$K173,$X173,$AA173,$AD173,$AG173,$AJ173)),"")</f>
        <v>-143</v>
      </c>
      <c r="AN173" s="10" t="n">
        <f aca="false">IF(AND(SUM($AM173)=0,SUM($AL173)=0),"",$AM173-$AL173)</f>
        <v>-45</v>
      </c>
      <c r="AO173" s="10" t="n">
        <f aca="false">IF(OR($C173="01-09",$D173="Male"),"",INDEX(PMTCT!$AD:$AD,MATCH($E173,PMTCT!$E:$E,0)))</f>
        <v>7</v>
      </c>
      <c r="AP173" s="10" t="n">
        <f aca="false">IF(OR($C173="01-09",$D173="Male"),"",INDEX(PMTCT!$AT:$AT,MATCH($E173,PMTCT!$E:$E,0)))</f>
        <v>7</v>
      </c>
      <c r="AQ173" s="10" t="n">
        <f aca="false">INDEX(TB!$Q:$Q,MATCH($E173,TB!$E:$E,0))</f>
        <v>5</v>
      </c>
      <c r="AR173" s="10" t="str">
        <f aca="false">IF(OR($C173="01-09",$C173="10-14",$D173="Female"),"",INDEX(VMMC!$AB:$AB,MATCH($E173,VMMC!$E:$E,0)))</f>
        <v/>
      </c>
      <c r="AS173" s="10" t="str">
        <f aca="false">IF(OR($C173="01-09",$C173="10-14"),"",INDEX(PrEP!$Q:$Q,MATCH($E173,PrEP!$E:$E,0)))</f>
        <v/>
      </c>
      <c r="AT173" s="10" t="n">
        <f aca="false">IFERROR(1/(1/SUM($Y173,$AB173,$AE173,$AH173,$AK173,$AO173:$AS173)),"")</f>
        <v>19</v>
      </c>
      <c r="AU173" s="10" t="n">
        <f aca="false">IFERROR(1/(1/SUM($AT173,$AM173)),"")</f>
        <v>-124</v>
      </c>
      <c r="AV173" s="88" t="n">
        <f aca="false">IF(AND(SUM($AM173)=0,SUM($AU173)=0),"",$AM173/$AU173)</f>
        <v>1.15322580645161</v>
      </c>
      <c r="AW173" s="10"/>
      <c r="AX173" s="88" t="str">
        <f aca="false">IF(OR($C173="01-09",SUM($AW173)=0),"",0%)</f>
        <v/>
      </c>
      <c r="AY173" s="39" t="str">
        <f aca="false">IF(OR($C173="01-09",SUM($AW173)=0),"",ROUND($AW173*(1+$AX173),0))</f>
        <v/>
      </c>
      <c r="AZ173" s="88" t="str">
        <f aca="false">IF(OR($C173="01-09",$C173="10-14"),"",100%)</f>
        <v/>
      </c>
      <c r="BA173" s="39" t="str">
        <f aca="false">IF(OR(SUM($AM173)=0,$C173="01-09",$C173="10-14"),"",$AM173*$AZ173)</f>
        <v/>
      </c>
    </row>
    <row r="174" customFormat="false" ht="15" hidden="false" customHeight="false" outlineLevel="0" collapsed="false">
      <c r="A174" s="0" t="str">
        <f aca="false">INDEX(Prioritization!$D:$D,MATCH($B174,Prioritization!$A:$A,0))</f>
        <v>1 - Scale-up: Saturation</v>
      </c>
      <c r="B174" s="0" t="s">
        <v>207</v>
      </c>
      <c r="C174" s="0" t="s">
        <v>364</v>
      </c>
      <c r="D174" s="0" t="s">
        <v>48</v>
      </c>
      <c r="E174" s="0" t="str">
        <f aca="false">$B174&amp;"|"&amp;$C174&amp;"|"&amp;$D174</f>
        <v>Mzimba District [vA4NcHxfMBq]|10-14|Male</v>
      </c>
      <c r="F174" s="88" t="n">
        <f aca="false">IF(LEFT($B174,4)="_Mil","",INDEX(Cascade!$AA:$AA,MATCH($E174,Cascade!$E:$E,0)))</f>
        <v>802</v>
      </c>
      <c r="G174" s="10" t="n">
        <f aca="false">INDEX(Cascade!$BH:$BH,MATCH($E174,Cascade!$E:$E,0))</f>
        <v>-99</v>
      </c>
      <c r="H174" s="10" t="str">
        <f aca="false">IF(OR($C174="01-09",$D174="Male"),"",INDEX(PMTCT!$AC:$AC,MATCH($E174,PMTCT!$E:$E,0)))</f>
        <v/>
      </c>
      <c r="I174" s="10" t="str">
        <f aca="false">IF(OR($C174="01-09",$D174="Male"),"",INDEX(PMTCT!$AS:$AS,MATCH($E174,PMTCT!$E:$E,0)))</f>
        <v/>
      </c>
      <c r="J174" s="10" t="str">
        <f aca="false">INDEX(TB!$P:$P,MATCH($E174,TB!$E:$E,0))</f>
        <v>ENTER YIELD RATE</v>
      </c>
      <c r="K174" s="10" t="str">
        <f aca="false">IF(OR($C174="01-09",$C174="10-14",$D174="Female"),"",INDEX(VMMC!$AA:$AA,MATCH($E174,VMMC!$E:$E,0)))</f>
        <v/>
      </c>
      <c r="L174" s="10" t="n">
        <f aca="false">SUM($G174)-SUM($H174:$K174)</f>
        <v>-99</v>
      </c>
      <c r="M174" s="88" t="str">
        <f aca="false">IF(OR($C174="01-09",$D174="Male",AND(SUM($G174)=0,SUM($H174)=0)),"",SUM($H174)/SUM($G174))</f>
        <v/>
      </c>
      <c r="N174" s="88" t="str">
        <f aca="false">IF(OR($C174="01-09",$D174="Male",AND(SUM($G174)=0,SUM($I174)=0)),"",SUM($I174)/SUM($G174))</f>
        <v/>
      </c>
      <c r="O174" s="88" t="n">
        <f aca="false">IF(AND(SUM($G174)=0,SUM($J174)=0),"",SUM($J174)/SUM($G174))</f>
        <v>-0</v>
      </c>
      <c r="P174" s="88" t="str">
        <f aca="false">IF(OR($C174="01-09",$C174="10-14",$D174="Female",AND(SUM($G174)=0,SUM($K174)=0)),"",SUM($K174)/SUM($G174))</f>
        <v/>
      </c>
      <c r="Q174" s="88" t="n">
        <v>0.761032482609153</v>
      </c>
      <c r="R174" s="88"/>
      <c r="S174" s="88"/>
      <c r="T174" s="88"/>
      <c r="U174" s="88" t="n">
        <v>0.836274645524099</v>
      </c>
      <c r="V174" s="88" t="n">
        <f aca="false">IF(SUM($G174)=0,"",SUM($M174:$U174))</f>
        <v>1.59730712813325</v>
      </c>
      <c r="W174" s="88"/>
      <c r="X174" s="39" t="n">
        <f aca="false">IF(OR(SUM($G174)=0,SUM($Q174)=0),"",ROUND(SUM($G174)*SUM($Q174),0))</f>
        <v>-75</v>
      </c>
      <c r="Y174" s="39" t="str">
        <f aca="false">IF(SUM($X174)=0,"",IF(SUM($W174)=0,"ENTER YIELD",ROUND($X174/$W174,0)-$X174))</f>
        <v>ENTER YIELD</v>
      </c>
      <c r="Z174" s="88"/>
      <c r="AA174" s="39" t="str">
        <f aca="false">IF(OR(SUM($G174)=0,SUM($R174)=0),"",ROUND(SUM($G174)*SUM($R174),0))</f>
        <v/>
      </c>
      <c r="AB174" s="39" t="str">
        <f aca="false">IF(SUM($AA174)=0,"",IF(SUM($Z174)=0,"ENTER YIELD",ROUND($AA174/$Z174,0)-$AA174))</f>
        <v/>
      </c>
      <c r="AC174" s="88"/>
      <c r="AD174" s="39" t="str">
        <f aca="false">IF(OR(SUM($G174)=0,SUM($S174)=0),"",ROUND(SUM($G174)*SUM($S174),0))</f>
        <v/>
      </c>
      <c r="AE174" s="39" t="str">
        <f aca="false">IF(SUM($AD174)=0,"",IF(SUM($AC174)=0,"ENTER YIELD",ROUND($AD174/$AC174,0)-$AD174))</f>
        <v/>
      </c>
      <c r="AF174" s="88"/>
      <c r="AG174" s="39" t="str">
        <f aca="false">IF(OR(SUM($G174)=0,SUM($T174)=0),"",ROUND(SUM($G174)*SUM($T174),0))</f>
        <v/>
      </c>
      <c r="AH174" s="39" t="str">
        <f aca="false">IF(SUM($AG174)=0,"",IF(SUM($AF174)=0,"ENTER YIELD",ROUND($AG174/$AF174,0)-$AG174))</f>
        <v/>
      </c>
      <c r="AI174" s="88"/>
      <c r="AJ174" s="39" t="n">
        <f aca="false">IF(OR(SUM($G174)=0,SUM($U174)=0),"",ROUND(SUM($G174)*SUM($U174),0))</f>
        <v>-83</v>
      </c>
      <c r="AK174" s="39" t="str">
        <f aca="false">IF(SUM($AJ174)=0,"",IF(SUM($AI174)=0,"ENTER YIELD",ROUND($AJ174/$AI174,0)-$AJ174))</f>
        <v>ENTER YIELD</v>
      </c>
      <c r="AL174" s="10" t="n">
        <f aca="false">IF(SUM($G174)=0,"",$G174)</f>
        <v>-99</v>
      </c>
      <c r="AM174" s="10" t="n">
        <f aca="false">IFERROR(1/(1/SUM($H174:$K174,$X174,$AA174,$AD174,$AG174,$AJ174)),"")</f>
        <v>-158</v>
      </c>
      <c r="AN174" s="10" t="n">
        <f aca="false">IF(AND(SUM($AM174)=0,SUM($AL174)=0),"",$AM174-$AL174)</f>
        <v>-59</v>
      </c>
      <c r="AO174" s="10" t="str">
        <f aca="false">IF(OR($C174="01-09",$D174="Male"),"",INDEX(PMTCT!$AD:$AD,MATCH($E174,PMTCT!$E:$E,0)))</f>
        <v/>
      </c>
      <c r="AP174" s="10" t="str">
        <f aca="false">IF(OR($C174="01-09",$D174="Male"),"",INDEX(PMTCT!$AT:$AT,MATCH($E174,PMTCT!$E:$E,0)))</f>
        <v/>
      </c>
      <c r="AQ174" s="10" t="n">
        <f aca="false">INDEX(TB!$Q:$Q,MATCH($E174,TB!$E:$E,0))</f>
        <v>4</v>
      </c>
      <c r="AR174" s="10" t="str">
        <f aca="false">IF(OR($C174="01-09",$C174="10-14",$D174="Female"),"",INDEX(VMMC!$AB:$AB,MATCH($E174,VMMC!$E:$E,0)))</f>
        <v/>
      </c>
      <c r="AS174" s="10" t="str">
        <f aca="false">IF(OR($C174="01-09",$C174="10-14"),"",INDEX(PrEP!$Q:$Q,MATCH($E174,PrEP!$E:$E,0)))</f>
        <v/>
      </c>
      <c r="AT174" s="10" t="n">
        <f aca="false">IFERROR(1/(1/SUM($Y174,$AB174,$AE174,$AH174,$AK174,$AO174:$AS174)),"")</f>
        <v>4</v>
      </c>
      <c r="AU174" s="10" t="n">
        <f aca="false">IFERROR(1/(1/SUM($AT174,$AM174)),"")</f>
        <v>-154</v>
      </c>
      <c r="AV174" s="88" t="n">
        <f aca="false">IF(AND(SUM($AM174)=0,SUM($AU174)=0),"",$AM174/$AU174)</f>
        <v>1.02597402597403</v>
      </c>
      <c r="AW174" s="10"/>
      <c r="AX174" s="88" t="str">
        <f aca="false">IF(OR($C174="01-09",SUM($AW174)=0),"",0%)</f>
        <v/>
      </c>
      <c r="AY174" s="39" t="str">
        <f aca="false">IF(OR($C174="01-09",SUM($AW174)=0),"",ROUND($AW174*(1+$AX174),0))</f>
        <v/>
      </c>
      <c r="AZ174" s="88" t="str">
        <f aca="false">IF(OR($C174="01-09",$C174="10-14"),"",100%)</f>
        <v/>
      </c>
      <c r="BA174" s="39" t="str">
        <f aca="false">IF(OR(SUM($AM174)=0,$C174="01-09",$C174="10-14"),"",$AM174*$AZ174)</f>
        <v/>
      </c>
    </row>
    <row r="175" customFormat="false" ht="15" hidden="false" customHeight="false" outlineLevel="0" collapsed="false">
      <c r="A175" s="0" t="str">
        <f aca="false">INDEX(Prioritization!$D:$D,MATCH($B175,Prioritization!$A:$A,0))</f>
        <v>1 - Scale-up: Saturation</v>
      </c>
      <c r="B175" s="0" t="s">
        <v>207</v>
      </c>
      <c r="C175" s="0" t="s">
        <v>365</v>
      </c>
      <c r="D175" s="0" t="s">
        <v>30</v>
      </c>
      <c r="E175" s="0" t="str">
        <f aca="false">$B175&amp;"|"&amp;$C175&amp;"|"&amp;$D175</f>
        <v>Mzimba District [vA4NcHxfMBq]|15-24|Female</v>
      </c>
      <c r="F175" s="88" t="n">
        <f aca="false">IF(LEFT($B175,4)="_Mil","",INDEX(Cascade!$AA:$AA,MATCH($E175,Cascade!$E:$E,0)))</f>
        <v>765</v>
      </c>
      <c r="G175" s="10" t="n">
        <f aca="false">INDEX(Cascade!$BH:$BH,MATCH($E175,Cascade!$E:$E,0))</f>
        <v>0</v>
      </c>
      <c r="H175" s="10" t="str">
        <f aca="false">IF(OR($C175="01-09",$D175="Male"),"",INDEX(PMTCT!$AC:$AC,MATCH($E175,PMTCT!$E:$E,0)))</f>
        <v/>
      </c>
      <c r="I175" s="10" t="str">
        <f aca="false">IF(OR($C175="01-09",$D175="Male"),"",INDEX(PMTCT!$AS:$AS,MATCH($E175,PMTCT!$E:$E,0)))</f>
        <v/>
      </c>
      <c r="J175" s="10" t="str">
        <f aca="false">INDEX(TB!$P:$P,MATCH($E175,TB!$E:$E,0))</f>
        <v/>
      </c>
      <c r="K175" s="10" t="str">
        <f aca="false">IF(OR($C175="01-09",$C175="10-14",$D175="Female"),"",INDEX(VMMC!$AA:$AA,MATCH($E175,VMMC!$E:$E,0)))</f>
        <v/>
      </c>
      <c r="L175" s="10" t="n">
        <f aca="false">SUM($G175)-SUM($H175:$K175)</f>
        <v>0</v>
      </c>
      <c r="M175" s="88" t="str">
        <f aca="false">IF(OR($C175="01-09",$D175="Male",AND(SUM($G175)=0,SUM($H175)=0)),"",SUM($H175)/SUM($G175))</f>
        <v/>
      </c>
      <c r="N175" s="88" t="str">
        <f aca="false">IF(OR($C175="01-09",$D175="Male",AND(SUM($G175)=0,SUM($I175)=0)),"",SUM($I175)/SUM($G175))</f>
        <v/>
      </c>
      <c r="O175" s="88" t="str">
        <f aca="false">IF(AND(SUM($G175)=0,SUM($J175)=0),"",SUM($J175)/SUM($G175))</f>
        <v/>
      </c>
      <c r="P175" s="88" t="str">
        <f aca="false">IF(OR($C175="01-09",$C175="10-14",$D175="Female",AND(SUM($G175)=0,SUM($K175)=0)),"",SUM($K175)/SUM($G175))</f>
        <v/>
      </c>
      <c r="Q175" s="88"/>
      <c r="R175" s="88"/>
      <c r="S175" s="88"/>
      <c r="T175" s="88"/>
      <c r="U175" s="88"/>
      <c r="V175" s="88" t="str">
        <f aca="false">IF(SUM($G175)=0,"",SUM($M175:$U175))</f>
        <v/>
      </c>
      <c r="W175" s="88"/>
      <c r="X175" s="39" t="str">
        <f aca="false">IF(OR(SUM($G175)=0,SUM($Q175)=0),"",ROUND(SUM($G175)*SUM($Q175),0))</f>
        <v/>
      </c>
      <c r="Y175" s="39" t="str">
        <f aca="false">IF(SUM($X175)=0,"",IF(SUM($W175)=0,"ENTER YIELD",ROUND($X175/$W175,0)-$X175))</f>
        <v/>
      </c>
      <c r="Z175" s="88"/>
      <c r="AA175" s="39" t="str">
        <f aca="false">IF(OR(SUM($G175)=0,SUM($R175)=0),"",ROUND(SUM($G175)*SUM($R175),0))</f>
        <v/>
      </c>
      <c r="AB175" s="39" t="str">
        <f aca="false">IF(SUM($AA175)=0,"",IF(SUM($Z175)=0,"ENTER YIELD",ROUND($AA175/$Z175,0)-$AA175))</f>
        <v/>
      </c>
      <c r="AC175" s="88"/>
      <c r="AD175" s="39" t="str">
        <f aca="false">IF(OR(SUM($G175)=0,SUM($S175)=0),"",ROUND(SUM($G175)*SUM($S175),0))</f>
        <v/>
      </c>
      <c r="AE175" s="39" t="str">
        <f aca="false">IF(SUM($AD175)=0,"",IF(SUM($AC175)=0,"ENTER YIELD",ROUND($AD175/$AC175,0)-$AD175))</f>
        <v/>
      </c>
      <c r="AF175" s="88"/>
      <c r="AG175" s="39" t="str">
        <f aca="false">IF(OR(SUM($G175)=0,SUM($T175)=0),"",ROUND(SUM($G175)*SUM($T175),0))</f>
        <v/>
      </c>
      <c r="AH175" s="39" t="str">
        <f aca="false">IF(SUM($AG175)=0,"",IF(SUM($AF175)=0,"ENTER YIELD",ROUND($AG175/$AF175,0)-$AG175))</f>
        <v/>
      </c>
      <c r="AI175" s="88"/>
      <c r="AJ175" s="39" t="str">
        <f aca="false">IF(OR(SUM($G175)=0,SUM($U175)=0),"",ROUND(SUM($G175)*SUM($U175),0))</f>
        <v/>
      </c>
      <c r="AK175" s="39" t="str">
        <f aca="false">IF(SUM($AJ175)=0,"",IF(SUM($AI175)=0,"ENTER YIELD",ROUND($AJ175/$AI175,0)-$AJ175))</f>
        <v/>
      </c>
      <c r="AL175" s="10" t="str">
        <f aca="false">IF(SUM($G175)=0,"",$G175)</f>
        <v/>
      </c>
      <c r="AM175" s="10" t="str">
        <f aca="false">IFERROR(1/(1/SUM($H175:$K175,$X175,$AA175,$AD175,$AG175,$AJ175)),"")</f>
        <v/>
      </c>
      <c r="AN175" s="10" t="str">
        <f aca="false">IF(AND(SUM($AM175)=0,SUM($AL175)=0),"",$AM175-$AL175)</f>
        <v/>
      </c>
      <c r="AO175" s="10" t="str">
        <f aca="false">IF(OR($C175="01-09",$D175="Male"),"",INDEX(PMTCT!$AD:$AD,MATCH($E175,PMTCT!$E:$E,0)))</f>
        <v/>
      </c>
      <c r="AP175" s="10" t="str">
        <f aca="false">IF(OR($C175="01-09",$D175="Male"),"",INDEX(PMTCT!$AT:$AT,MATCH($E175,PMTCT!$E:$E,0)))</f>
        <v/>
      </c>
      <c r="AQ175" s="10" t="str">
        <f aca="false">INDEX(TB!$Q:$Q,MATCH($E175,TB!$E:$E,0))</f>
        <v/>
      </c>
      <c r="AR175" s="10" t="str">
        <f aca="false">IF(OR($C175="01-09",$C175="10-14",$D175="Female"),"",INDEX(VMMC!$AB:$AB,MATCH($E175,VMMC!$E:$E,0)))</f>
        <v/>
      </c>
      <c r="AS175" s="10" t="str">
        <f aca="false">IF(OR($C175="01-09",$C175="10-14"),"",INDEX(PrEP!$Q:$Q,MATCH($E175,PrEP!$E:$E,0)))</f>
        <v/>
      </c>
      <c r="AT175" s="10" t="str">
        <f aca="false">IFERROR(1/(1/SUM($Y175,$AB175,$AE175,$AH175,$AK175,$AO175:$AS175)),"")</f>
        <v/>
      </c>
      <c r="AU175" s="10" t="str">
        <f aca="false">IFERROR(1/(1/SUM($AT175,$AM175)),"")</f>
        <v/>
      </c>
      <c r="AV175" s="88" t="str">
        <f aca="false">IF(AND(SUM($AM175)=0,SUM($AU175)=0),"",$AM175/$AU175)</f>
        <v/>
      </c>
      <c r="AW175" s="10"/>
      <c r="AX175" s="88" t="str">
        <f aca="false">IF(OR($C175="01-09",SUM($AW175)=0),"",0%)</f>
        <v/>
      </c>
      <c r="AY175" s="39" t="str">
        <f aca="false">IF(OR($C175="01-09",SUM($AW175)=0),"",ROUND($AW175*(1+$AX175),0))</f>
        <v/>
      </c>
      <c r="AZ175" s="88" t="n">
        <f aca="false">IF(OR($C175="01-09",$C175="10-14"),"",100%)</f>
        <v>1</v>
      </c>
      <c r="BA175" s="39" t="str">
        <f aca="false">IF(OR(SUM($AM175)=0,$C175="01-09",$C175="10-14"),"",$AM175*$AZ175)</f>
        <v/>
      </c>
    </row>
    <row r="176" customFormat="false" ht="15" hidden="false" customHeight="false" outlineLevel="0" collapsed="false">
      <c r="A176" s="0" t="str">
        <f aca="false">INDEX(Prioritization!$D:$D,MATCH($B176,Prioritization!$A:$A,0))</f>
        <v>1 - Scale-up: Saturation</v>
      </c>
      <c r="B176" s="0" t="s">
        <v>207</v>
      </c>
      <c r="C176" s="0" t="s">
        <v>365</v>
      </c>
      <c r="D176" s="0" t="s">
        <v>48</v>
      </c>
      <c r="E176" s="0" t="str">
        <f aca="false">$B176&amp;"|"&amp;$C176&amp;"|"&amp;$D176</f>
        <v>Mzimba District [vA4NcHxfMBq]|15-24|Male</v>
      </c>
      <c r="F176" s="88" t="n">
        <f aca="false">IF(LEFT($B176,4)="_Mil","",INDEX(Cascade!$AA:$AA,MATCH($E176,Cascade!$E:$E,0)))</f>
        <v>1946</v>
      </c>
      <c r="G176" s="10" t="n">
        <f aca="false">INDEX(Cascade!$BH:$BH,MATCH($E176,Cascade!$E:$E,0))</f>
        <v>0</v>
      </c>
      <c r="H176" s="10" t="str">
        <f aca="false">IF(OR($C176="01-09",$D176="Male"),"",INDEX(PMTCT!$AC:$AC,MATCH($E176,PMTCT!$E:$E,0)))</f>
        <v/>
      </c>
      <c r="I176" s="10" t="str">
        <f aca="false">IF(OR($C176="01-09",$D176="Male"),"",INDEX(PMTCT!$AS:$AS,MATCH($E176,PMTCT!$E:$E,0)))</f>
        <v/>
      </c>
      <c r="J176" s="10" t="str">
        <f aca="false">INDEX(TB!$P:$P,MATCH($E176,TB!$E:$E,0))</f>
        <v/>
      </c>
      <c r="K176" s="10" t="str">
        <f aca="false">IF(OR($C176="01-09",$C176="10-14",$D176="Female"),"",INDEX(VMMC!$AA:$AA,MATCH($E176,VMMC!$E:$E,0)))</f>
        <v/>
      </c>
      <c r="L176" s="10" t="n">
        <f aca="false">SUM($G176)-SUM($H176:$K176)</f>
        <v>0</v>
      </c>
      <c r="M176" s="88" t="str">
        <f aca="false">IF(OR($C176="01-09",$D176="Male",AND(SUM($G176)=0,SUM($H176)=0)),"",SUM($H176)/SUM($G176))</f>
        <v/>
      </c>
      <c r="N176" s="88" t="str">
        <f aca="false">IF(OR($C176="01-09",$D176="Male",AND(SUM($G176)=0,SUM($I176)=0)),"",SUM($I176)/SUM($G176))</f>
        <v/>
      </c>
      <c r="O176" s="88" t="str">
        <f aca="false">IF(AND(SUM($G176)=0,SUM($J176)=0),"",SUM($J176)/SUM($G176))</f>
        <v/>
      </c>
      <c r="P176" s="88" t="str">
        <f aca="false">IF(OR($C176="01-09",$C176="10-14",$D176="Female",AND(SUM($G176)=0,SUM($K176)=0)),"",SUM($K176)/SUM($G176))</f>
        <v/>
      </c>
      <c r="Q176" s="88"/>
      <c r="R176" s="88"/>
      <c r="S176" s="88"/>
      <c r="T176" s="88"/>
      <c r="U176" s="88"/>
      <c r="V176" s="88" t="str">
        <f aca="false">IF(SUM($G176)=0,"",SUM($M176:$U176))</f>
        <v/>
      </c>
      <c r="W176" s="88"/>
      <c r="X176" s="39" t="str">
        <f aca="false">IF(OR(SUM($G176)=0,SUM($Q176)=0),"",ROUND(SUM($G176)*SUM($Q176),0))</f>
        <v/>
      </c>
      <c r="Y176" s="39" t="str">
        <f aca="false">IF(SUM($X176)=0,"",IF(SUM($W176)=0,"ENTER YIELD",ROUND($X176/$W176,0)-$X176))</f>
        <v/>
      </c>
      <c r="Z176" s="88"/>
      <c r="AA176" s="39" t="str">
        <f aca="false">IF(OR(SUM($G176)=0,SUM($R176)=0),"",ROUND(SUM($G176)*SUM($R176),0))</f>
        <v/>
      </c>
      <c r="AB176" s="39" t="str">
        <f aca="false">IF(SUM($AA176)=0,"",IF(SUM($Z176)=0,"ENTER YIELD",ROUND($AA176/$Z176,0)-$AA176))</f>
        <v/>
      </c>
      <c r="AC176" s="88"/>
      <c r="AD176" s="39" t="str">
        <f aca="false">IF(OR(SUM($G176)=0,SUM($S176)=0),"",ROUND(SUM($G176)*SUM($S176),0))</f>
        <v/>
      </c>
      <c r="AE176" s="39" t="str">
        <f aca="false">IF(SUM($AD176)=0,"",IF(SUM($AC176)=0,"ENTER YIELD",ROUND($AD176/$AC176,0)-$AD176))</f>
        <v/>
      </c>
      <c r="AF176" s="88"/>
      <c r="AG176" s="39" t="str">
        <f aca="false">IF(OR(SUM($G176)=0,SUM($T176)=0),"",ROUND(SUM($G176)*SUM($T176),0))</f>
        <v/>
      </c>
      <c r="AH176" s="39" t="str">
        <f aca="false">IF(SUM($AG176)=0,"",IF(SUM($AF176)=0,"ENTER YIELD",ROUND($AG176/$AF176,0)-$AG176))</f>
        <v/>
      </c>
      <c r="AI176" s="88"/>
      <c r="AJ176" s="39" t="str">
        <f aca="false">IF(OR(SUM($G176)=0,SUM($U176)=0),"",ROUND(SUM($G176)*SUM($U176),0))</f>
        <v/>
      </c>
      <c r="AK176" s="39" t="str">
        <f aca="false">IF(SUM($AJ176)=0,"",IF(SUM($AI176)=0,"ENTER YIELD",ROUND($AJ176/$AI176,0)-$AJ176))</f>
        <v/>
      </c>
      <c r="AL176" s="10" t="str">
        <f aca="false">IF(SUM($G176)=0,"",$G176)</f>
        <v/>
      </c>
      <c r="AM176" s="10" t="str">
        <f aca="false">IFERROR(1/(1/SUM($H176:$K176,$X176,$AA176,$AD176,$AG176,$AJ176)),"")</f>
        <v/>
      </c>
      <c r="AN176" s="10" t="str">
        <f aca="false">IF(AND(SUM($AM176)=0,SUM($AL176)=0),"",$AM176-$AL176)</f>
        <v/>
      </c>
      <c r="AO176" s="10" t="str">
        <f aca="false">IF(OR($C176="01-09",$D176="Male"),"",INDEX(PMTCT!$AD:$AD,MATCH($E176,PMTCT!$E:$E,0)))</f>
        <v/>
      </c>
      <c r="AP176" s="10" t="str">
        <f aca="false">IF(OR($C176="01-09",$D176="Male"),"",INDEX(PMTCT!$AT:$AT,MATCH($E176,PMTCT!$E:$E,0)))</f>
        <v/>
      </c>
      <c r="AQ176" s="10" t="str">
        <f aca="false">INDEX(TB!$Q:$Q,MATCH($E176,TB!$E:$E,0))</f>
        <v/>
      </c>
      <c r="AR176" s="10" t="str">
        <f aca="false">IF(OR($C176="01-09",$C176="10-14",$D176="Female"),"",INDEX(VMMC!$AB:$AB,MATCH($E176,VMMC!$E:$E,0)))</f>
        <v/>
      </c>
      <c r="AS176" s="10" t="str">
        <f aca="false">IF(OR($C176="01-09",$C176="10-14"),"",INDEX(PrEP!$Q:$Q,MATCH($E176,PrEP!$E:$E,0)))</f>
        <v/>
      </c>
      <c r="AT176" s="10" t="str">
        <f aca="false">IFERROR(1/(1/SUM($Y176,$AB176,$AE176,$AH176,$AK176,$AO176:$AS176)),"")</f>
        <v/>
      </c>
      <c r="AU176" s="10" t="str">
        <f aca="false">IFERROR(1/(1/SUM($AT176,$AM176)),"")</f>
        <v/>
      </c>
      <c r="AV176" s="88" t="str">
        <f aca="false">IF(AND(SUM($AM176)=0,SUM($AU176)=0),"",$AM176/$AU176)</f>
        <v/>
      </c>
      <c r="AW176" s="10"/>
      <c r="AX176" s="88" t="str">
        <f aca="false">IF(OR($C176="01-09",SUM($AW176)=0),"",0%)</f>
        <v/>
      </c>
      <c r="AY176" s="39" t="str">
        <f aca="false">IF(OR($C176="01-09",SUM($AW176)=0),"",ROUND($AW176*(1+$AX176),0))</f>
        <v/>
      </c>
      <c r="AZ176" s="88" t="n">
        <f aca="false">IF(OR($C176="01-09",$C176="10-14"),"",100%)</f>
        <v>1</v>
      </c>
      <c r="BA176" s="39" t="str">
        <f aca="false">IF(OR(SUM($AM176)=0,$C176="01-09",$C176="10-14"),"",$AM176*$AZ176)</f>
        <v/>
      </c>
    </row>
    <row r="177" customFormat="false" ht="15" hidden="false" customHeight="false" outlineLevel="0" collapsed="false">
      <c r="A177" s="0" t="str">
        <f aca="false">INDEX(Prioritization!$D:$D,MATCH($B177,Prioritization!$A:$A,0))</f>
        <v>1 - Scale-up: Saturation</v>
      </c>
      <c r="B177" s="0" t="s">
        <v>207</v>
      </c>
      <c r="C177" s="0" t="s">
        <v>366</v>
      </c>
      <c r="D177" s="0" t="s">
        <v>30</v>
      </c>
      <c r="E177" s="0" t="str">
        <f aca="false">$B177&amp;"|"&amp;$C177&amp;"|"&amp;$D177</f>
        <v>Mzimba District [vA4NcHxfMBq]|25-34|Female</v>
      </c>
      <c r="F177" s="88" t="n">
        <f aca="false">IF(LEFT($B177,4)="_Mil","",INDEX(Cascade!$AA:$AA,MATCH($E177,Cascade!$E:$E,0)))</f>
        <v>1569</v>
      </c>
      <c r="G177" s="10" t="n">
        <f aca="false">INDEX(Cascade!$BH:$BH,MATCH($E177,Cascade!$E:$E,0))</f>
        <v>0</v>
      </c>
      <c r="H177" s="10" t="str">
        <f aca="false">IF(OR($C177="01-09",$D177="Male"),"",INDEX(PMTCT!$AC:$AC,MATCH($E177,PMTCT!$E:$E,0)))</f>
        <v/>
      </c>
      <c r="I177" s="10" t="str">
        <f aca="false">IF(OR($C177="01-09",$D177="Male"),"",INDEX(PMTCT!$AS:$AS,MATCH($E177,PMTCT!$E:$E,0)))</f>
        <v/>
      </c>
      <c r="J177" s="10" t="str">
        <f aca="false">INDEX(TB!$P:$P,MATCH($E177,TB!$E:$E,0))</f>
        <v/>
      </c>
      <c r="K177" s="10" t="str">
        <f aca="false">IF(OR($C177="01-09",$C177="10-14",$D177="Female"),"",INDEX(VMMC!$AA:$AA,MATCH($E177,VMMC!$E:$E,0)))</f>
        <v/>
      </c>
      <c r="L177" s="10" t="n">
        <f aca="false">SUM($G177)-SUM($H177:$K177)</f>
        <v>0</v>
      </c>
      <c r="M177" s="88" t="str">
        <f aca="false">IF(OR($C177="01-09",$D177="Male",AND(SUM($G177)=0,SUM($H177)=0)),"",SUM($H177)/SUM($G177))</f>
        <v/>
      </c>
      <c r="N177" s="88" t="str">
        <f aca="false">IF(OR($C177="01-09",$D177="Male",AND(SUM($G177)=0,SUM($I177)=0)),"",SUM($I177)/SUM($G177))</f>
        <v/>
      </c>
      <c r="O177" s="88" t="str">
        <f aca="false">IF(AND(SUM($G177)=0,SUM($J177)=0),"",SUM($J177)/SUM($G177))</f>
        <v/>
      </c>
      <c r="P177" s="88" t="str">
        <f aca="false">IF(OR($C177="01-09",$C177="10-14",$D177="Female",AND(SUM($G177)=0,SUM($K177)=0)),"",SUM($K177)/SUM($G177))</f>
        <v/>
      </c>
      <c r="Q177" s="88"/>
      <c r="R177" s="88"/>
      <c r="S177" s="88"/>
      <c r="T177" s="88"/>
      <c r="U177" s="88"/>
      <c r="V177" s="88" t="str">
        <f aca="false">IF(SUM($G177)=0,"",SUM($M177:$U177))</f>
        <v/>
      </c>
      <c r="W177" s="88"/>
      <c r="X177" s="39" t="str">
        <f aca="false">IF(OR(SUM($G177)=0,SUM($Q177)=0),"",ROUND(SUM($G177)*SUM($Q177),0))</f>
        <v/>
      </c>
      <c r="Y177" s="39" t="str">
        <f aca="false">IF(SUM($X177)=0,"",IF(SUM($W177)=0,"ENTER YIELD",ROUND($X177/$W177,0)-$X177))</f>
        <v/>
      </c>
      <c r="Z177" s="88"/>
      <c r="AA177" s="39" t="str">
        <f aca="false">IF(OR(SUM($G177)=0,SUM($R177)=0),"",ROUND(SUM($G177)*SUM($R177),0))</f>
        <v/>
      </c>
      <c r="AB177" s="39" t="str">
        <f aca="false">IF(SUM($AA177)=0,"",IF(SUM($Z177)=0,"ENTER YIELD",ROUND($AA177/$Z177,0)-$AA177))</f>
        <v/>
      </c>
      <c r="AC177" s="88"/>
      <c r="AD177" s="39" t="str">
        <f aca="false">IF(OR(SUM($G177)=0,SUM($S177)=0),"",ROUND(SUM($G177)*SUM($S177),0))</f>
        <v/>
      </c>
      <c r="AE177" s="39" t="str">
        <f aca="false">IF(SUM($AD177)=0,"",IF(SUM($AC177)=0,"ENTER YIELD",ROUND($AD177/$AC177,0)-$AD177))</f>
        <v/>
      </c>
      <c r="AF177" s="88"/>
      <c r="AG177" s="39" t="str">
        <f aca="false">IF(OR(SUM($G177)=0,SUM($T177)=0),"",ROUND(SUM($G177)*SUM($T177),0))</f>
        <v/>
      </c>
      <c r="AH177" s="39" t="str">
        <f aca="false">IF(SUM($AG177)=0,"",IF(SUM($AF177)=0,"ENTER YIELD",ROUND($AG177/$AF177,0)-$AG177))</f>
        <v/>
      </c>
      <c r="AI177" s="88"/>
      <c r="AJ177" s="39" t="str">
        <f aca="false">IF(OR(SUM($G177)=0,SUM($U177)=0),"",ROUND(SUM($G177)*SUM($U177),0))</f>
        <v/>
      </c>
      <c r="AK177" s="39" t="str">
        <f aca="false">IF(SUM($AJ177)=0,"",IF(SUM($AI177)=0,"ENTER YIELD",ROUND($AJ177/$AI177,0)-$AJ177))</f>
        <v/>
      </c>
      <c r="AL177" s="10" t="str">
        <f aca="false">IF(SUM($G177)=0,"",$G177)</f>
        <v/>
      </c>
      <c r="AM177" s="10" t="str">
        <f aca="false">IFERROR(1/(1/SUM($H177:$K177,$X177,$AA177,$AD177,$AG177,$AJ177)),"")</f>
        <v/>
      </c>
      <c r="AN177" s="10" t="str">
        <f aca="false">IF(AND(SUM($AM177)=0,SUM($AL177)=0),"",$AM177-$AL177)</f>
        <v/>
      </c>
      <c r="AO177" s="10" t="str">
        <f aca="false">IF(OR($C177="01-09",$D177="Male"),"",INDEX(PMTCT!$AD:$AD,MATCH($E177,PMTCT!$E:$E,0)))</f>
        <v/>
      </c>
      <c r="AP177" s="10" t="str">
        <f aca="false">IF(OR($C177="01-09",$D177="Male"),"",INDEX(PMTCT!$AT:$AT,MATCH($E177,PMTCT!$E:$E,0)))</f>
        <v/>
      </c>
      <c r="AQ177" s="10" t="str">
        <f aca="false">INDEX(TB!$Q:$Q,MATCH($E177,TB!$E:$E,0))</f>
        <v/>
      </c>
      <c r="AR177" s="10" t="str">
        <f aca="false">IF(OR($C177="01-09",$C177="10-14",$D177="Female"),"",INDEX(VMMC!$AB:$AB,MATCH($E177,VMMC!$E:$E,0)))</f>
        <v/>
      </c>
      <c r="AS177" s="10" t="str">
        <f aca="false">IF(OR($C177="01-09",$C177="10-14"),"",INDEX(PrEP!$Q:$Q,MATCH($E177,PrEP!$E:$E,0)))</f>
        <v/>
      </c>
      <c r="AT177" s="10" t="str">
        <f aca="false">IFERROR(1/(1/SUM($Y177,$AB177,$AE177,$AH177,$AK177,$AO177:$AS177)),"")</f>
        <v/>
      </c>
      <c r="AU177" s="10" t="str">
        <f aca="false">IFERROR(1/(1/SUM($AT177,$AM177)),"")</f>
        <v/>
      </c>
      <c r="AV177" s="88" t="str">
        <f aca="false">IF(AND(SUM($AM177)=0,SUM($AU177)=0),"",$AM177/$AU177)</f>
        <v/>
      </c>
      <c r="AW177" s="10"/>
      <c r="AX177" s="88" t="str">
        <f aca="false">IF(OR($C177="01-09",SUM($AW177)=0),"",0%)</f>
        <v/>
      </c>
      <c r="AY177" s="39" t="str">
        <f aca="false">IF(OR($C177="01-09",SUM($AW177)=0),"",ROUND($AW177*(1+$AX177),0))</f>
        <v/>
      </c>
      <c r="AZ177" s="88" t="n">
        <f aca="false">IF(OR($C177="01-09",$C177="10-14"),"",100%)</f>
        <v>1</v>
      </c>
      <c r="BA177" s="39" t="str">
        <f aca="false">IF(OR(SUM($AM177)=0,$C177="01-09",$C177="10-14"),"",$AM177*$AZ177)</f>
        <v/>
      </c>
    </row>
    <row r="178" customFormat="false" ht="15" hidden="false" customHeight="false" outlineLevel="0" collapsed="false">
      <c r="A178" s="0" t="str">
        <f aca="false">INDEX(Prioritization!$D:$D,MATCH($B178,Prioritization!$A:$A,0))</f>
        <v>1 - Scale-up: Saturation</v>
      </c>
      <c r="B178" s="0" t="s">
        <v>207</v>
      </c>
      <c r="C178" s="0" t="s">
        <v>366</v>
      </c>
      <c r="D178" s="0" t="s">
        <v>48</v>
      </c>
      <c r="E178" s="0" t="str">
        <f aca="false">$B178&amp;"|"&amp;$C178&amp;"|"&amp;$D178</f>
        <v>Mzimba District [vA4NcHxfMBq]|25-34|Male</v>
      </c>
      <c r="F178" s="88" t="n">
        <f aca="false">IF(LEFT($B178,4)="_Mil","",INDEX(Cascade!$AA:$AA,MATCH($E178,Cascade!$E:$E,0)))</f>
        <v>1023</v>
      </c>
      <c r="G178" s="10" t="n">
        <f aca="false">INDEX(Cascade!$BH:$BH,MATCH($E178,Cascade!$E:$E,0))</f>
        <v>0</v>
      </c>
      <c r="H178" s="10" t="str">
        <f aca="false">IF(OR($C178="01-09",$D178="Male"),"",INDEX(PMTCT!$AC:$AC,MATCH($E178,PMTCT!$E:$E,0)))</f>
        <v/>
      </c>
      <c r="I178" s="10" t="str">
        <f aca="false">IF(OR($C178="01-09",$D178="Male"),"",INDEX(PMTCT!$AS:$AS,MATCH($E178,PMTCT!$E:$E,0)))</f>
        <v/>
      </c>
      <c r="J178" s="10" t="str">
        <f aca="false">INDEX(TB!$P:$P,MATCH($E178,TB!$E:$E,0))</f>
        <v/>
      </c>
      <c r="K178" s="10" t="str">
        <f aca="false">IF(OR($C178="01-09",$C178="10-14",$D178="Female"),"",INDEX(VMMC!$AA:$AA,MATCH($E178,VMMC!$E:$E,0)))</f>
        <v/>
      </c>
      <c r="L178" s="10" t="n">
        <f aca="false">SUM($G178)-SUM($H178:$K178)</f>
        <v>0</v>
      </c>
      <c r="M178" s="88" t="str">
        <f aca="false">IF(OR($C178="01-09",$D178="Male",AND(SUM($G178)=0,SUM($H178)=0)),"",SUM($H178)/SUM($G178))</f>
        <v/>
      </c>
      <c r="N178" s="88" t="str">
        <f aca="false">IF(OR($C178="01-09",$D178="Male",AND(SUM($G178)=0,SUM($I178)=0)),"",SUM($I178)/SUM($G178))</f>
        <v/>
      </c>
      <c r="O178" s="88" t="str">
        <f aca="false">IF(AND(SUM($G178)=0,SUM($J178)=0),"",SUM($J178)/SUM($G178))</f>
        <v/>
      </c>
      <c r="P178" s="88" t="str">
        <f aca="false">IF(OR($C178="01-09",$C178="10-14",$D178="Female",AND(SUM($G178)=0,SUM($K178)=0)),"",SUM($K178)/SUM($G178))</f>
        <v/>
      </c>
      <c r="Q178" s="88"/>
      <c r="R178" s="88"/>
      <c r="S178" s="88"/>
      <c r="T178" s="88"/>
      <c r="U178" s="88"/>
      <c r="V178" s="88" t="str">
        <f aca="false">IF(SUM($G178)=0,"",SUM($M178:$U178))</f>
        <v/>
      </c>
      <c r="W178" s="88"/>
      <c r="X178" s="39" t="str">
        <f aca="false">IF(OR(SUM($G178)=0,SUM($Q178)=0),"",ROUND(SUM($G178)*SUM($Q178),0))</f>
        <v/>
      </c>
      <c r="Y178" s="39" t="str">
        <f aca="false">IF(SUM($X178)=0,"",IF(SUM($W178)=0,"ENTER YIELD",ROUND($X178/$W178,0)-$X178))</f>
        <v/>
      </c>
      <c r="Z178" s="88"/>
      <c r="AA178" s="39" t="str">
        <f aca="false">IF(OR(SUM($G178)=0,SUM($R178)=0),"",ROUND(SUM($G178)*SUM($R178),0))</f>
        <v/>
      </c>
      <c r="AB178" s="39" t="str">
        <f aca="false">IF(SUM($AA178)=0,"",IF(SUM($Z178)=0,"ENTER YIELD",ROUND($AA178/$Z178,0)-$AA178))</f>
        <v/>
      </c>
      <c r="AC178" s="88"/>
      <c r="AD178" s="39" t="str">
        <f aca="false">IF(OR(SUM($G178)=0,SUM($S178)=0),"",ROUND(SUM($G178)*SUM($S178),0))</f>
        <v/>
      </c>
      <c r="AE178" s="39" t="str">
        <f aca="false">IF(SUM($AD178)=0,"",IF(SUM($AC178)=0,"ENTER YIELD",ROUND($AD178/$AC178,0)-$AD178))</f>
        <v/>
      </c>
      <c r="AF178" s="88"/>
      <c r="AG178" s="39" t="str">
        <f aca="false">IF(OR(SUM($G178)=0,SUM($T178)=0),"",ROUND(SUM($G178)*SUM($T178),0))</f>
        <v/>
      </c>
      <c r="AH178" s="39" t="str">
        <f aca="false">IF(SUM($AG178)=0,"",IF(SUM($AF178)=0,"ENTER YIELD",ROUND($AG178/$AF178,0)-$AG178))</f>
        <v/>
      </c>
      <c r="AI178" s="88"/>
      <c r="AJ178" s="39" t="str">
        <f aca="false">IF(OR(SUM($G178)=0,SUM($U178)=0),"",ROUND(SUM($G178)*SUM($U178),0))</f>
        <v/>
      </c>
      <c r="AK178" s="39" t="str">
        <f aca="false">IF(SUM($AJ178)=0,"",IF(SUM($AI178)=0,"ENTER YIELD",ROUND($AJ178/$AI178,0)-$AJ178))</f>
        <v/>
      </c>
      <c r="AL178" s="10" t="str">
        <f aca="false">IF(SUM($G178)=0,"",$G178)</f>
        <v/>
      </c>
      <c r="AM178" s="10" t="str">
        <f aca="false">IFERROR(1/(1/SUM($H178:$K178,$X178,$AA178,$AD178,$AG178,$AJ178)),"")</f>
        <v/>
      </c>
      <c r="AN178" s="10" t="str">
        <f aca="false">IF(AND(SUM($AM178)=0,SUM($AL178)=0),"",$AM178-$AL178)</f>
        <v/>
      </c>
      <c r="AO178" s="10" t="str">
        <f aca="false">IF(OR($C178="01-09",$D178="Male"),"",INDEX(PMTCT!$AD:$AD,MATCH($E178,PMTCT!$E:$E,0)))</f>
        <v/>
      </c>
      <c r="AP178" s="10" t="str">
        <f aca="false">IF(OR($C178="01-09",$D178="Male"),"",INDEX(PMTCT!$AT:$AT,MATCH($E178,PMTCT!$E:$E,0)))</f>
        <v/>
      </c>
      <c r="AQ178" s="10" t="str">
        <f aca="false">INDEX(TB!$Q:$Q,MATCH($E178,TB!$E:$E,0))</f>
        <v/>
      </c>
      <c r="AR178" s="10" t="str">
        <f aca="false">IF(OR($C178="01-09",$C178="10-14",$D178="Female"),"",INDEX(VMMC!$AB:$AB,MATCH($E178,VMMC!$E:$E,0)))</f>
        <v/>
      </c>
      <c r="AS178" s="10" t="str">
        <f aca="false">IF(OR($C178="01-09",$C178="10-14"),"",INDEX(PrEP!$Q:$Q,MATCH($E178,PrEP!$E:$E,0)))</f>
        <v/>
      </c>
      <c r="AT178" s="10" t="str">
        <f aca="false">IFERROR(1/(1/SUM($Y178,$AB178,$AE178,$AH178,$AK178,$AO178:$AS178)),"")</f>
        <v/>
      </c>
      <c r="AU178" s="10" t="str">
        <f aca="false">IFERROR(1/(1/SUM($AT178,$AM178)),"")</f>
        <v/>
      </c>
      <c r="AV178" s="88" t="str">
        <f aca="false">IF(AND(SUM($AM178)=0,SUM($AU178)=0),"",$AM178/$AU178)</f>
        <v/>
      </c>
      <c r="AW178" s="10"/>
      <c r="AX178" s="88" t="str">
        <f aca="false">IF(OR($C178="01-09",SUM($AW178)=0),"",0%)</f>
        <v/>
      </c>
      <c r="AY178" s="39" t="str">
        <f aca="false">IF(OR($C178="01-09",SUM($AW178)=0),"",ROUND($AW178*(1+$AX178),0))</f>
        <v/>
      </c>
      <c r="AZ178" s="88" t="n">
        <f aca="false">IF(OR($C178="01-09",$C178="10-14"),"",100%)</f>
        <v>1</v>
      </c>
      <c r="BA178" s="39" t="str">
        <f aca="false">IF(OR(SUM($AM178)=0,$C178="01-09",$C178="10-14"),"",$AM178*$AZ178)</f>
        <v/>
      </c>
    </row>
    <row r="179" customFormat="false" ht="15" hidden="false" customHeight="false" outlineLevel="0" collapsed="false">
      <c r="A179" s="0" t="str">
        <f aca="false">INDEX(Prioritization!$D:$D,MATCH($B179,Prioritization!$A:$A,0))</f>
        <v>1 - Scale-up: Saturation</v>
      </c>
      <c r="B179" s="0" t="s">
        <v>207</v>
      </c>
      <c r="C179" s="0" t="s">
        <v>367</v>
      </c>
      <c r="D179" s="0" t="s">
        <v>30</v>
      </c>
      <c r="E179" s="0" t="str">
        <f aca="false">$B179&amp;"|"&amp;$C179&amp;"|"&amp;$D179</f>
        <v>Mzimba District [vA4NcHxfMBq]|35-49|Female</v>
      </c>
      <c r="F179" s="88" t="n">
        <f aca="false">IF(LEFT($B179,4)="_Mil","",INDEX(Cascade!$AA:$AA,MATCH($E179,Cascade!$E:$E,0)))</f>
        <v>918</v>
      </c>
      <c r="G179" s="10" t="n">
        <f aca="false">INDEX(Cascade!$BH:$BH,MATCH($E179,Cascade!$E:$E,0))</f>
        <v>0</v>
      </c>
      <c r="H179" s="10" t="str">
        <f aca="false">IF(OR($C179="01-09",$D179="Male"),"",INDEX(PMTCT!$AC:$AC,MATCH($E179,PMTCT!$E:$E,0)))</f>
        <v/>
      </c>
      <c r="I179" s="10" t="str">
        <f aca="false">IF(OR($C179="01-09",$D179="Male"),"",INDEX(PMTCT!$AS:$AS,MATCH($E179,PMTCT!$E:$E,0)))</f>
        <v/>
      </c>
      <c r="J179" s="10" t="str">
        <f aca="false">INDEX(TB!$P:$P,MATCH($E179,TB!$E:$E,0))</f>
        <v/>
      </c>
      <c r="K179" s="10" t="str">
        <f aca="false">IF(OR($C179="01-09",$C179="10-14",$D179="Female"),"",INDEX(VMMC!$AA:$AA,MATCH($E179,VMMC!$E:$E,0)))</f>
        <v/>
      </c>
      <c r="L179" s="10" t="n">
        <f aca="false">SUM($G179)-SUM($H179:$K179)</f>
        <v>0</v>
      </c>
      <c r="M179" s="88" t="str">
        <f aca="false">IF(OR($C179="01-09",$D179="Male",AND(SUM($G179)=0,SUM($H179)=0)),"",SUM($H179)/SUM($G179))</f>
        <v/>
      </c>
      <c r="N179" s="88" t="str">
        <f aca="false">IF(OR($C179="01-09",$D179="Male",AND(SUM($G179)=0,SUM($I179)=0)),"",SUM($I179)/SUM($G179))</f>
        <v/>
      </c>
      <c r="O179" s="88" t="str">
        <f aca="false">IF(AND(SUM($G179)=0,SUM($J179)=0),"",SUM($J179)/SUM($G179))</f>
        <v/>
      </c>
      <c r="P179" s="88" t="str">
        <f aca="false">IF(OR($C179="01-09",$C179="10-14",$D179="Female",AND(SUM($G179)=0,SUM($K179)=0)),"",SUM($K179)/SUM($G179))</f>
        <v/>
      </c>
      <c r="Q179" s="88"/>
      <c r="R179" s="88"/>
      <c r="S179" s="88"/>
      <c r="T179" s="88"/>
      <c r="U179" s="88"/>
      <c r="V179" s="88" t="str">
        <f aca="false">IF(SUM($G179)=0,"",SUM($M179:$U179))</f>
        <v/>
      </c>
      <c r="W179" s="88"/>
      <c r="X179" s="39" t="str">
        <f aca="false">IF(OR(SUM($G179)=0,SUM($Q179)=0),"",ROUND(SUM($G179)*SUM($Q179),0))</f>
        <v/>
      </c>
      <c r="Y179" s="39" t="str">
        <f aca="false">IF(SUM($X179)=0,"",IF(SUM($W179)=0,"ENTER YIELD",ROUND($X179/$W179,0)-$X179))</f>
        <v/>
      </c>
      <c r="Z179" s="88"/>
      <c r="AA179" s="39" t="str">
        <f aca="false">IF(OR(SUM($G179)=0,SUM($R179)=0),"",ROUND(SUM($G179)*SUM($R179),0))</f>
        <v/>
      </c>
      <c r="AB179" s="39" t="str">
        <f aca="false">IF(SUM($AA179)=0,"",IF(SUM($Z179)=0,"ENTER YIELD",ROUND($AA179/$Z179,0)-$AA179))</f>
        <v/>
      </c>
      <c r="AC179" s="88"/>
      <c r="AD179" s="39" t="str">
        <f aca="false">IF(OR(SUM($G179)=0,SUM($S179)=0),"",ROUND(SUM($G179)*SUM($S179),0))</f>
        <v/>
      </c>
      <c r="AE179" s="39" t="str">
        <f aca="false">IF(SUM($AD179)=0,"",IF(SUM($AC179)=0,"ENTER YIELD",ROUND($AD179/$AC179,0)-$AD179))</f>
        <v/>
      </c>
      <c r="AF179" s="88"/>
      <c r="AG179" s="39" t="str">
        <f aca="false">IF(OR(SUM($G179)=0,SUM($T179)=0),"",ROUND(SUM($G179)*SUM($T179),0))</f>
        <v/>
      </c>
      <c r="AH179" s="39" t="str">
        <f aca="false">IF(SUM($AG179)=0,"",IF(SUM($AF179)=0,"ENTER YIELD",ROUND($AG179/$AF179,0)-$AG179))</f>
        <v/>
      </c>
      <c r="AI179" s="88"/>
      <c r="AJ179" s="39" t="str">
        <f aca="false">IF(OR(SUM($G179)=0,SUM($U179)=0),"",ROUND(SUM($G179)*SUM($U179),0))</f>
        <v/>
      </c>
      <c r="AK179" s="39" t="str">
        <f aca="false">IF(SUM($AJ179)=0,"",IF(SUM($AI179)=0,"ENTER YIELD",ROUND($AJ179/$AI179,0)-$AJ179))</f>
        <v/>
      </c>
      <c r="AL179" s="10" t="str">
        <f aca="false">IF(SUM($G179)=0,"",$G179)</f>
        <v/>
      </c>
      <c r="AM179" s="10" t="str">
        <f aca="false">IFERROR(1/(1/SUM($H179:$K179,$X179,$AA179,$AD179,$AG179,$AJ179)),"")</f>
        <v/>
      </c>
      <c r="AN179" s="10" t="str">
        <f aca="false">IF(AND(SUM($AM179)=0,SUM($AL179)=0),"",$AM179-$AL179)</f>
        <v/>
      </c>
      <c r="AO179" s="10" t="str">
        <f aca="false">IF(OR($C179="01-09",$D179="Male"),"",INDEX(PMTCT!$AD:$AD,MATCH($E179,PMTCT!$E:$E,0)))</f>
        <v/>
      </c>
      <c r="AP179" s="10" t="str">
        <f aca="false">IF(OR($C179="01-09",$D179="Male"),"",INDEX(PMTCT!$AT:$AT,MATCH($E179,PMTCT!$E:$E,0)))</f>
        <v/>
      </c>
      <c r="AQ179" s="10" t="str">
        <f aca="false">INDEX(TB!$Q:$Q,MATCH($E179,TB!$E:$E,0))</f>
        <v/>
      </c>
      <c r="AR179" s="10" t="str">
        <f aca="false">IF(OR($C179="01-09",$C179="10-14",$D179="Female"),"",INDEX(VMMC!$AB:$AB,MATCH($E179,VMMC!$E:$E,0)))</f>
        <v/>
      </c>
      <c r="AS179" s="10" t="str">
        <f aca="false">IF(OR($C179="01-09",$C179="10-14"),"",INDEX(PrEP!$Q:$Q,MATCH($E179,PrEP!$E:$E,0)))</f>
        <v/>
      </c>
      <c r="AT179" s="10" t="str">
        <f aca="false">IFERROR(1/(1/SUM($Y179,$AB179,$AE179,$AH179,$AK179,$AO179:$AS179)),"")</f>
        <v/>
      </c>
      <c r="AU179" s="10" t="str">
        <f aca="false">IFERROR(1/(1/SUM($AT179,$AM179)),"")</f>
        <v/>
      </c>
      <c r="AV179" s="88" t="str">
        <f aca="false">IF(AND(SUM($AM179)=0,SUM($AU179)=0),"",$AM179/$AU179)</f>
        <v/>
      </c>
      <c r="AW179" s="10"/>
      <c r="AX179" s="88" t="str">
        <f aca="false">IF(OR($C179="01-09",SUM($AW179)=0),"",0%)</f>
        <v/>
      </c>
      <c r="AY179" s="39" t="str">
        <f aca="false">IF(OR($C179="01-09",SUM($AW179)=0),"",ROUND($AW179*(1+$AX179),0))</f>
        <v/>
      </c>
      <c r="AZ179" s="88" t="n">
        <f aca="false">IF(OR($C179="01-09",$C179="10-14"),"",100%)</f>
        <v>1</v>
      </c>
      <c r="BA179" s="39" t="str">
        <f aca="false">IF(OR(SUM($AM179)=0,$C179="01-09",$C179="10-14"),"",$AM179*$AZ179)</f>
        <v/>
      </c>
    </row>
    <row r="180" customFormat="false" ht="15" hidden="false" customHeight="false" outlineLevel="0" collapsed="false">
      <c r="A180" s="0" t="str">
        <f aca="false">INDEX(Prioritization!$D:$D,MATCH($B180,Prioritization!$A:$A,0))</f>
        <v>1 - Scale-up: Saturation</v>
      </c>
      <c r="B180" s="0" t="s">
        <v>207</v>
      </c>
      <c r="C180" s="0" t="s">
        <v>367</v>
      </c>
      <c r="D180" s="0" t="s">
        <v>48</v>
      </c>
      <c r="E180" s="0" t="str">
        <f aca="false">$B180&amp;"|"&amp;$C180&amp;"|"&amp;$D180</f>
        <v>Mzimba District [vA4NcHxfMBq]|35-49|Male</v>
      </c>
      <c r="F180" s="88" t="n">
        <f aca="false">IF(LEFT($B180,4)="_Mil","",INDEX(Cascade!$AA:$AA,MATCH($E180,Cascade!$E:$E,0)))</f>
        <v>1021</v>
      </c>
      <c r="G180" s="10" t="n">
        <f aca="false">INDEX(Cascade!$BH:$BH,MATCH($E180,Cascade!$E:$E,0))</f>
        <v>0</v>
      </c>
      <c r="H180" s="10" t="str">
        <f aca="false">IF(OR($C180="01-09",$D180="Male"),"",INDEX(PMTCT!$AC:$AC,MATCH($E180,PMTCT!$E:$E,0)))</f>
        <v/>
      </c>
      <c r="I180" s="10" t="str">
        <f aca="false">IF(OR($C180="01-09",$D180="Male"),"",INDEX(PMTCT!$AS:$AS,MATCH($E180,PMTCT!$E:$E,0)))</f>
        <v/>
      </c>
      <c r="J180" s="10" t="str">
        <f aca="false">INDEX(TB!$P:$P,MATCH($E180,TB!$E:$E,0))</f>
        <v/>
      </c>
      <c r="K180" s="10" t="str">
        <f aca="false">IF(OR($C180="01-09",$C180="10-14",$D180="Female"),"",INDEX(VMMC!$AA:$AA,MATCH($E180,VMMC!$E:$E,0)))</f>
        <v/>
      </c>
      <c r="L180" s="10" t="n">
        <f aca="false">SUM($G180)-SUM($H180:$K180)</f>
        <v>0</v>
      </c>
      <c r="M180" s="88" t="str">
        <f aca="false">IF(OR($C180="01-09",$D180="Male",AND(SUM($G180)=0,SUM($H180)=0)),"",SUM($H180)/SUM($G180))</f>
        <v/>
      </c>
      <c r="N180" s="88" t="str">
        <f aca="false">IF(OR($C180="01-09",$D180="Male",AND(SUM($G180)=0,SUM($I180)=0)),"",SUM($I180)/SUM($G180))</f>
        <v/>
      </c>
      <c r="O180" s="88" t="str">
        <f aca="false">IF(AND(SUM($G180)=0,SUM($J180)=0),"",SUM($J180)/SUM($G180))</f>
        <v/>
      </c>
      <c r="P180" s="88" t="str">
        <f aca="false">IF(OR($C180="01-09",$C180="10-14",$D180="Female",AND(SUM($G180)=0,SUM($K180)=0)),"",SUM($K180)/SUM($G180))</f>
        <v/>
      </c>
      <c r="Q180" s="88"/>
      <c r="R180" s="88"/>
      <c r="S180" s="88"/>
      <c r="T180" s="88"/>
      <c r="U180" s="88"/>
      <c r="V180" s="88" t="str">
        <f aca="false">IF(SUM($G180)=0,"",SUM($M180:$U180))</f>
        <v/>
      </c>
      <c r="W180" s="88"/>
      <c r="X180" s="39" t="str">
        <f aca="false">IF(OR(SUM($G180)=0,SUM($Q180)=0),"",ROUND(SUM($G180)*SUM($Q180),0))</f>
        <v/>
      </c>
      <c r="Y180" s="39" t="str">
        <f aca="false">IF(SUM($X180)=0,"",IF(SUM($W180)=0,"ENTER YIELD",ROUND($X180/$W180,0)-$X180))</f>
        <v/>
      </c>
      <c r="Z180" s="88"/>
      <c r="AA180" s="39" t="str">
        <f aca="false">IF(OR(SUM($G180)=0,SUM($R180)=0),"",ROUND(SUM($G180)*SUM($R180),0))</f>
        <v/>
      </c>
      <c r="AB180" s="39" t="str">
        <f aca="false">IF(SUM($AA180)=0,"",IF(SUM($Z180)=0,"ENTER YIELD",ROUND($AA180/$Z180,0)-$AA180))</f>
        <v/>
      </c>
      <c r="AC180" s="88"/>
      <c r="AD180" s="39" t="str">
        <f aca="false">IF(OR(SUM($G180)=0,SUM($S180)=0),"",ROUND(SUM($G180)*SUM($S180),0))</f>
        <v/>
      </c>
      <c r="AE180" s="39" t="str">
        <f aca="false">IF(SUM($AD180)=0,"",IF(SUM($AC180)=0,"ENTER YIELD",ROUND($AD180/$AC180,0)-$AD180))</f>
        <v/>
      </c>
      <c r="AF180" s="88"/>
      <c r="AG180" s="39" t="str">
        <f aca="false">IF(OR(SUM($G180)=0,SUM($T180)=0),"",ROUND(SUM($G180)*SUM($T180),0))</f>
        <v/>
      </c>
      <c r="AH180" s="39" t="str">
        <f aca="false">IF(SUM($AG180)=0,"",IF(SUM($AF180)=0,"ENTER YIELD",ROUND($AG180/$AF180,0)-$AG180))</f>
        <v/>
      </c>
      <c r="AI180" s="88"/>
      <c r="AJ180" s="39" t="str">
        <f aca="false">IF(OR(SUM($G180)=0,SUM($U180)=0),"",ROUND(SUM($G180)*SUM($U180),0))</f>
        <v/>
      </c>
      <c r="AK180" s="39" t="str">
        <f aca="false">IF(SUM($AJ180)=0,"",IF(SUM($AI180)=0,"ENTER YIELD",ROUND($AJ180/$AI180,0)-$AJ180))</f>
        <v/>
      </c>
      <c r="AL180" s="10" t="str">
        <f aca="false">IF(SUM($G180)=0,"",$G180)</f>
        <v/>
      </c>
      <c r="AM180" s="10" t="str">
        <f aca="false">IFERROR(1/(1/SUM($H180:$K180,$X180,$AA180,$AD180,$AG180,$AJ180)),"")</f>
        <v/>
      </c>
      <c r="AN180" s="10" t="str">
        <f aca="false">IF(AND(SUM($AM180)=0,SUM($AL180)=0),"",$AM180-$AL180)</f>
        <v/>
      </c>
      <c r="AO180" s="10" t="str">
        <f aca="false">IF(OR($C180="01-09",$D180="Male"),"",INDEX(PMTCT!$AD:$AD,MATCH($E180,PMTCT!$E:$E,0)))</f>
        <v/>
      </c>
      <c r="AP180" s="10" t="str">
        <f aca="false">IF(OR($C180="01-09",$D180="Male"),"",INDEX(PMTCT!$AT:$AT,MATCH($E180,PMTCT!$E:$E,0)))</f>
        <v/>
      </c>
      <c r="AQ180" s="10" t="str">
        <f aca="false">INDEX(TB!$Q:$Q,MATCH($E180,TB!$E:$E,0))</f>
        <v/>
      </c>
      <c r="AR180" s="10" t="str">
        <f aca="false">IF(OR($C180="01-09",$C180="10-14",$D180="Female"),"",INDEX(VMMC!$AB:$AB,MATCH($E180,VMMC!$E:$E,0)))</f>
        <v/>
      </c>
      <c r="AS180" s="10" t="str">
        <f aca="false">IF(OR($C180="01-09",$C180="10-14"),"",INDEX(PrEP!$Q:$Q,MATCH($E180,PrEP!$E:$E,0)))</f>
        <v/>
      </c>
      <c r="AT180" s="10" t="str">
        <f aca="false">IFERROR(1/(1/SUM($Y180,$AB180,$AE180,$AH180,$AK180,$AO180:$AS180)),"")</f>
        <v/>
      </c>
      <c r="AU180" s="10" t="str">
        <f aca="false">IFERROR(1/(1/SUM($AT180,$AM180)),"")</f>
        <v/>
      </c>
      <c r="AV180" s="88" t="str">
        <f aca="false">IF(AND(SUM($AM180)=0,SUM($AU180)=0),"",$AM180/$AU180)</f>
        <v/>
      </c>
      <c r="AW180" s="10"/>
      <c r="AX180" s="88" t="str">
        <f aca="false">IF(OR($C180="01-09",SUM($AW180)=0),"",0%)</f>
        <v/>
      </c>
      <c r="AY180" s="39" t="str">
        <f aca="false">IF(OR($C180="01-09",SUM($AW180)=0),"",ROUND($AW180*(1+$AX180),0))</f>
        <v/>
      </c>
      <c r="AZ180" s="88" t="n">
        <f aca="false">IF(OR($C180="01-09",$C180="10-14"),"",100%)</f>
        <v>1</v>
      </c>
      <c r="BA180" s="39" t="str">
        <f aca="false">IF(OR(SUM($AM180)=0,$C180="01-09",$C180="10-14"),"",$AM180*$AZ180)</f>
        <v/>
      </c>
    </row>
    <row r="181" customFormat="false" ht="15" hidden="false" customHeight="false" outlineLevel="0" collapsed="false">
      <c r="A181" s="0" t="str">
        <f aca="false">INDEX(Prioritization!$D:$D,MATCH($B181,Prioritization!$A:$A,0))</f>
        <v>1 - Scale-up: Saturation</v>
      </c>
      <c r="B181" s="0" t="s">
        <v>207</v>
      </c>
      <c r="C181" s="0" t="s">
        <v>368</v>
      </c>
      <c r="D181" s="0" t="s">
        <v>30</v>
      </c>
      <c r="E181" s="0" t="str">
        <f aca="false">$B181&amp;"|"&amp;$C181&amp;"|"&amp;$D181</f>
        <v>Mzimba District [vA4NcHxfMBq]|50+|Female</v>
      </c>
      <c r="F181" s="88" t="n">
        <f aca="false">IF(LEFT($B181,4)="_Mil","",INDEX(Cascade!$AA:$AA,MATCH($E181,Cascade!$E:$E,0)))</f>
        <v>1687</v>
      </c>
      <c r="G181" s="10" t="n">
        <f aca="false">INDEX(Cascade!$BH:$BH,MATCH($E181,Cascade!$E:$E,0))</f>
        <v>0</v>
      </c>
      <c r="H181" s="10" t="str">
        <f aca="false">IF(OR($C181="01-09",$D181="Male"),"",INDEX(PMTCT!$AC:$AC,MATCH($E181,PMTCT!$E:$E,0)))</f>
        <v/>
      </c>
      <c r="I181" s="10" t="str">
        <f aca="false">IF(OR($C181="01-09",$D181="Male"),"",INDEX(PMTCT!$AS:$AS,MATCH($E181,PMTCT!$E:$E,0)))</f>
        <v/>
      </c>
      <c r="J181" s="10" t="str">
        <f aca="false">INDEX(TB!$P:$P,MATCH($E181,TB!$E:$E,0))</f>
        <v/>
      </c>
      <c r="K181" s="10" t="str">
        <f aca="false">IF(OR($C181="01-09",$C181="10-14",$D181="Female"),"",INDEX(VMMC!$AA:$AA,MATCH($E181,VMMC!$E:$E,0)))</f>
        <v/>
      </c>
      <c r="L181" s="10" t="n">
        <f aca="false">SUM($G181)-SUM($H181:$K181)</f>
        <v>0</v>
      </c>
      <c r="M181" s="88" t="str">
        <f aca="false">IF(OR($C181="01-09",$D181="Male",AND(SUM($G181)=0,SUM($H181)=0)),"",SUM($H181)/SUM($G181))</f>
        <v/>
      </c>
      <c r="N181" s="88" t="str">
        <f aca="false">IF(OR($C181="01-09",$D181="Male",AND(SUM($G181)=0,SUM($I181)=0)),"",SUM($I181)/SUM($G181))</f>
        <v/>
      </c>
      <c r="O181" s="88" t="str">
        <f aca="false">IF(AND(SUM($G181)=0,SUM($J181)=0),"",SUM($J181)/SUM($G181))</f>
        <v/>
      </c>
      <c r="P181" s="88" t="str">
        <f aca="false">IF(OR($C181="01-09",$C181="10-14",$D181="Female",AND(SUM($G181)=0,SUM($K181)=0)),"",SUM($K181)/SUM($G181))</f>
        <v/>
      </c>
      <c r="Q181" s="88"/>
      <c r="R181" s="88"/>
      <c r="S181" s="88"/>
      <c r="T181" s="88"/>
      <c r="U181" s="88" t="n">
        <v>0.852845483925194</v>
      </c>
      <c r="V181" s="88" t="str">
        <f aca="false">IF(SUM($G181)=0,"",SUM($M181:$U181))</f>
        <v/>
      </c>
      <c r="W181" s="88"/>
      <c r="X181" s="39" t="str">
        <f aca="false">IF(OR(SUM($G181)=0,SUM($Q181)=0),"",ROUND(SUM($G181)*SUM($Q181),0))</f>
        <v/>
      </c>
      <c r="Y181" s="39" t="str">
        <f aca="false">IF(SUM($X181)=0,"",IF(SUM($W181)=0,"ENTER YIELD",ROUND($X181/$W181,0)-$X181))</f>
        <v/>
      </c>
      <c r="Z181" s="88"/>
      <c r="AA181" s="39" t="str">
        <f aca="false">IF(OR(SUM($G181)=0,SUM($R181)=0),"",ROUND(SUM($G181)*SUM($R181),0))</f>
        <v/>
      </c>
      <c r="AB181" s="39" t="str">
        <f aca="false">IF(SUM($AA181)=0,"",IF(SUM($Z181)=0,"ENTER YIELD",ROUND($AA181/$Z181,0)-$AA181))</f>
        <v/>
      </c>
      <c r="AC181" s="88"/>
      <c r="AD181" s="39" t="str">
        <f aca="false">IF(OR(SUM($G181)=0,SUM($S181)=0),"",ROUND(SUM($G181)*SUM($S181),0))</f>
        <v/>
      </c>
      <c r="AE181" s="39" t="str">
        <f aca="false">IF(SUM($AD181)=0,"",IF(SUM($AC181)=0,"ENTER YIELD",ROUND($AD181/$AC181,0)-$AD181))</f>
        <v/>
      </c>
      <c r="AF181" s="88"/>
      <c r="AG181" s="39" t="str">
        <f aca="false">IF(OR(SUM($G181)=0,SUM($T181)=0),"",ROUND(SUM($G181)*SUM($T181),0))</f>
        <v/>
      </c>
      <c r="AH181" s="39" t="str">
        <f aca="false">IF(SUM($AG181)=0,"",IF(SUM($AF181)=0,"ENTER YIELD",ROUND($AG181/$AF181,0)-$AG181))</f>
        <v/>
      </c>
      <c r="AI181" s="88"/>
      <c r="AJ181" s="39" t="str">
        <f aca="false">IF(OR(SUM($G181)=0,SUM($U181)=0),"",ROUND(SUM($G181)*SUM($U181),0))</f>
        <v/>
      </c>
      <c r="AK181" s="39" t="str">
        <f aca="false">IF(SUM($AJ181)=0,"",IF(SUM($AI181)=0,"ENTER YIELD",ROUND($AJ181/$AI181,0)-$AJ181))</f>
        <v/>
      </c>
      <c r="AL181" s="10" t="str">
        <f aca="false">IF(SUM($G181)=0,"",$G181)</f>
        <v/>
      </c>
      <c r="AM181" s="10" t="str">
        <f aca="false">IFERROR(1/(1/SUM($H181:$K181,$X181,$AA181,$AD181,$AG181,$AJ181)),"")</f>
        <v/>
      </c>
      <c r="AN181" s="10" t="str">
        <f aca="false">IF(AND(SUM($AM181)=0,SUM($AL181)=0),"",$AM181-$AL181)</f>
        <v/>
      </c>
      <c r="AO181" s="10" t="str">
        <f aca="false">IF(OR($C181="01-09",$D181="Male"),"",INDEX(PMTCT!$AD:$AD,MATCH($E181,PMTCT!$E:$E,0)))</f>
        <v/>
      </c>
      <c r="AP181" s="10" t="str">
        <f aca="false">IF(OR($C181="01-09",$D181="Male"),"",INDEX(PMTCT!$AT:$AT,MATCH($E181,PMTCT!$E:$E,0)))</f>
        <v/>
      </c>
      <c r="AQ181" s="10" t="str">
        <f aca="false">INDEX(TB!$Q:$Q,MATCH($E181,TB!$E:$E,0))</f>
        <v/>
      </c>
      <c r="AR181" s="10" t="str">
        <f aca="false">IF(OR($C181="01-09",$C181="10-14",$D181="Female"),"",INDEX(VMMC!$AB:$AB,MATCH($E181,VMMC!$E:$E,0)))</f>
        <v/>
      </c>
      <c r="AS181" s="10" t="str">
        <f aca="false">IF(OR($C181="01-09",$C181="10-14"),"",INDEX(PrEP!$Q:$Q,MATCH($E181,PrEP!$E:$E,0)))</f>
        <v/>
      </c>
      <c r="AT181" s="10" t="str">
        <f aca="false">IFERROR(1/(1/SUM($Y181,$AB181,$AE181,$AH181,$AK181,$AO181:$AS181)),"")</f>
        <v/>
      </c>
      <c r="AU181" s="10" t="str">
        <f aca="false">IFERROR(1/(1/SUM($AT181,$AM181)),"")</f>
        <v/>
      </c>
      <c r="AV181" s="88" t="str">
        <f aca="false">IF(AND(SUM($AM181)=0,SUM($AU181)=0),"",$AM181/$AU181)</f>
        <v/>
      </c>
      <c r="AW181" s="10" t="n">
        <v>72</v>
      </c>
      <c r="AX181" s="88" t="n">
        <f aca="false">IF(OR($C181="01-09",SUM($AW181)=0),"",0%)</f>
        <v>0</v>
      </c>
      <c r="AY181" s="39" t="n">
        <f aca="false">IF(OR($C181="01-09",SUM($AW181)=0),"",ROUND($AW181*(1+$AX181),0))</f>
        <v>72</v>
      </c>
      <c r="AZ181" s="88" t="n">
        <f aca="false">IF(OR($C181="01-09",$C181="10-14"),"",100%)</f>
        <v>1</v>
      </c>
      <c r="BA181" s="39" t="str">
        <f aca="false">IF(OR(SUM($AM181)=0,$C181="01-09",$C181="10-14"),"",$AM181*$AZ181)</f>
        <v/>
      </c>
    </row>
    <row r="182" customFormat="false" ht="15" hidden="false" customHeight="false" outlineLevel="0" collapsed="false">
      <c r="A182" s="0" t="str">
        <f aca="false">INDEX(Prioritization!$D:$D,MATCH($B182,Prioritization!$A:$A,0))</f>
        <v>1 - Scale-up: Saturation</v>
      </c>
      <c r="B182" s="0" t="s">
        <v>207</v>
      </c>
      <c r="C182" s="0" t="s">
        <v>368</v>
      </c>
      <c r="D182" s="0" t="s">
        <v>48</v>
      </c>
      <c r="E182" s="0" t="str">
        <f aca="false">$B182&amp;"|"&amp;$C182&amp;"|"&amp;$D182</f>
        <v>Mzimba District [vA4NcHxfMBq]|50+|Male</v>
      </c>
      <c r="F182" s="88" t="n">
        <f aca="false">IF(LEFT($B182,4)="_Mil","",INDEX(Cascade!$AA:$AA,MATCH($E182,Cascade!$E:$E,0)))</f>
        <v>1119</v>
      </c>
      <c r="G182" s="10" t="n">
        <f aca="false">INDEX(Cascade!$BH:$BH,MATCH($E182,Cascade!$E:$E,0))</f>
        <v>0</v>
      </c>
      <c r="H182" s="10" t="str">
        <f aca="false">IF(OR($C182="01-09",$D182="Male"),"",INDEX(PMTCT!$AC:$AC,MATCH($E182,PMTCT!$E:$E,0)))</f>
        <v/>
      </c>
      <c r="I182" s="10" t="str">
        <f aca="false">IF(OR($C182="01-09",$D182="Male"),"",INDEX(PMTCT!$AS:$AS,MATCH($E182,PMTCT!$E:$E,0)))</f>
        <v/>
      </c>
      <c r="J182" s="10" t="str">
        <f aca="false">INDEX(TB!$P:$P,MATCH($E182,TB!$E:$E,0))</f>
        <v/>
      </c>
      <c r="K182" s="10" t="str">
        <f aca="false">IF(OR($C182="01-09",$C182="10-14",$D182="Female"),"",INDEX(VMMC!$AA:$AA,MATCH($E182,VMMC!$E:$E,0)))</f>
        <v/>
      </c>
      <c r="L182" s="10" t="n">
        <f aca="false">SUM($G182)-SUM($H182:$K182)</f>
        <v>0</v>
      </c>
      <c r="M182" s="88" t="str">
        <f aca="false">IF(OR($C182="01-09",$D182="Male",AND(SUM($G182)=0,SUM($H182)=0)),"",SUM($H182)/SUM($G182))</f>
        <v/>
      </c>
      <c r="N182" s="88" t="str">
        <f aca="false">IF(OR($C182="01-09",$D182="Male",AND(SUM($G182)=0,SUM($I182)=0)),"",SUM($I182)/SUM($G182))</f>
        <v/>
      </c>
      <c r="O182" s="88" t="str">
        <f aca="false">IF(AND(SUM($G182)=0,SUM($J182)=0),"",SUM($J182)/SUM($G182))</f>
        <v/>
      </c>
      <c r="P182" s="88" t="str">
        <f aca="false">IF(OR($C182="01-09",$C182="10-14",$D182="Female",AND(SUM($G182)=0,SUM($K182)=0)),"",SUM($K182)/SUM($G182))</f>
        <v/>
      </c>
      <c r="Q182" s="88"/>
      <c r="R182" s="88"/>
      <c r="S182" s="88"/>
      <c r="T182" s="88"/>
      <c r="U182" s="88" t="n">
        <v>0.224582921946421</v>
      </c>
      <c r="V182" s="88" t="str">
        <f aca="false">IF(SUM($G182)=0,"",SUM($M182:$U182))</f>
        <v/>
      </c>
      <c r="W182" s="88"/>
      <c r="X182" s="39" t="str">
        <f aca="false">IF(OR(SUM($G182)=0,SUM($Q182)=0),"",ROUND(SUM($G182)*SUM($Q182),0))</f>
        <v/>
      </c>
      <c r="Y182" s="39" t="str">
        <f aca="false">IF(SUM($X182)=0,"",IF(SUM($W182)=0,"ENTER YIELD",ROUND($X182/$W182,0)-$X182))</f>
        <v/>
      </c>
      <c r="Z182" s="88"/>
      <c r="AA182" s="39" t="str">
        <f aca="false">IF(OR(SUM($G182)=0,SUM($R182)=0),"",ROUND(SUM($G182)*SUM($R182),0))</f>
        <v/>
      </c>
      <c r="AB182" s="39" t="str">
        <f aca="false">IF(SUM($AA182)=0,"",IF(SUM($Z182)=0,"ENTER YIELD",ROUND($AA182/$Z182,0)-$AA182))</f>
        <v/>
      </c>
      <c r="AC182" s="88"/>
      <c r="AD182" s="39" t="str">
        <f aca="false">IF(OR(SUM($G182)=0,SUM($S182)=0),"",ROUND(SUM($G182)*SUM($S182),0))</f>
        <v/>
      </c>
      <c r="AE182" s="39" t="str">
        <f aca="false">IF(SUM($AD182)=0,"",IF(SUM($AC182)=0,"ENTER YIELD",ROUND($AD182/$AC182,0)-$AD182))</f>
        <v/>
      </c>
      <c r="AF182" s="88"/>
      <c r="AG182" s="39" t="str">
        <f aca="false">IF(OR(SUM($G182)=0,SUM($T182)=0),"",ROUND(SUM($G182)*SUM($T182),0))</f>
        <v/>
      </c>
      <c r="AH182" s="39" t="str">
        <f aca="false">IF(SUM($AG182)=0,"",IF(SUM($AF182)=0,"ENTER YIELD",ROUND($AG182/$AF182,0)-$AG182))</f>
        <v/>
      </c>
      <c r="AI182" s="88"/>
      <c r="AJ182" s="39" t="str">
        <f aca="false">IF(OR(SUM($G182)=0,SUM($U182)=0),"",ROUND(SUM($G182)*SUM($U182),0))</f>
        <v/>
      </c>
      <c r="AK182" s="39" t="str">
        <f aca="false">IF(SUM($AJ182)=0,"",IF(SUM($AI182)=0,"ENTER YIELD",ROUND($AJ182/$AI182,0)-$AJ182))</f>
        <v/>
      </c>
      <c r="AL182" s="10" t="str">
        <f aca="false">IF(SUM($G182)=0,"",$G182)</f>
        <v/>
      </c>
      <c r="AM182" s="10" t="str">
        <f aca="false">IFERROR(1/(1/SUM($H182:$K182,$X182,$AA182,$AD182,$AG182,$AJ182)),"")</f>
        <v/>
      </c>
      <c r="AN182" s="10" t="str">
        <f aca="false">IF(AND(SUM($AM182)=0,SUM($AL182)=0),"",$AM182-$AL182)</f>
        <v/>
      </c>
      <c r="AO182" s="10" t="str">
        <f aca="false">IF(OR($C182="01-09",$D182="Male"),"",INDEX(PMTCT!$AD:$AD,MATCH($E182,PMTCT!$E:$E,0)))</f>
        <v/>
      </c>
      <c r="AP182" s="10" t="str">
        <f aca="false">IF(OR($C182="01-09",$D182="Male"),"",INDEX(PMTCT!$AT:$AT,MATCH($E182,PMTCT!$E:$E,0)))</f>
        <v/>
      </c>
      <c r="AQ182" s="10" t="str">
        <f aca="false">INDEX(TB!$Q:$Q,MATCH($E182,TB!$E:$E,0))</f>
        <v/>
      </c>
      <c r="AR182" s="10" t="str">
        <f aca="false">IF(OR($C182="01-09",$C182="10-14",$D182="Female"),"",INDEX(VMMC!$AB:$AB,MATCH($E182,VMMC!$E:$E,0)))</f>
        <v/>
      </c>
      <c r="AS182" s="10" t="str">
        <f aca="false">IF(OR($C182="01-09",$C182="10-14"),"",INDEX(PrEP!$Q:$Q,MATCH($E182,PrEP!$E:$E,0)))</f>
        <v/>
      </c>
      <c r="AT182" s="10" t="str">
        <f aca="false">IFERROR(1/(1/SUM($Y182,$AB182,$AE182,$AH182,$AK182,$AO182:$AS182)),"")</f>
        <v/>
      </c>
      <c r="AU182" s="10" t="str">
        <f aca="false">IFERROR(1/(1/SUM($AT182,$AM182)),"")</f>
        <v/>
      </c>
      <c r="AV182" s="88" t="str">
        <f aca="false">IF(AND(SUM($AM182)=0,SUM($AU182)=0),"",$AM182/$AU182)</f>
        <v/>
      </c>
      <c r="AW182" s="10" t="n">
        <v>55</v>
      </c>
      <c r="AX182" s="88" t="n">
        <f aca="false">IF(OR($C182="01-09",SUM($AW182)=0),"",0%)</f>
        <v>0</v>
      </c>
      <c r="AY182" s="39" t="n">
        <f aca="false">IF(OR($C182="01-09",SUM($AW182)=0),"",ROUND($AW182*(1+$AX182),0))</f>
        <v>55</v>
      </c>
      <c r="AZ182" s="88" t="n">
        <f aca="false">IF(OR($C182="01-09",$C182="10-14"),"",100%)</f>
        <v>1</v>
      </c>
      <c r="BA182" s="39" t="str">
        <f aca="false">IF(OR(SUM($AM182)=0,$C182="01-09",$C182="10-14"),"",$AM182*$AZ182)</f>
        <v/>
      </c>
    </row>
    <row r="183" customFormat="false" ht="15" hidden="false" customHeight="false" outlineLevel="0" collapsed="false">
      <c r="A183" s="0" t="str">
        <f aca="false">INDEX(Prioritization!$D:$D,MATCH($B183,Prioritization!$A:$A,0))</f>
        <v>INVALID</v>
      </c>
      <c r="B183" s="0" t="s">
        <v>208</v>
      </c>
      <c r="C183" s="0" t="s">
        <v>363</v>
      </c>
      <c r="D183" s="0" t="s">
        <v>30</v>
      </c>
      <c r="E183" s="0" t="str">
        <f aca="false">$B183&amp;"|"&amp;$C183&amp;"|"&amp;$D183</f>
        <v>Nkhata Bay District [E7zpfyBt7Tw]|01-09|Female</v>
      </c>
      <c r="F183" s="88" t="n">
        <f aca="false">IF(LEFT($B183,4)="_Mil","",INDEX(Cascade!$AA:$AA,MATCH($E183,Cascade!$E:$E,0)))</f>
        <v>675</v>
      </c>
      <c r="G183" s="10" t="n">
        <f aca="false">INDEX(Cascade!$BH:$BH,MATCH($E183,Cascade!$E:$E,0))</f>
        <v>0</v>
      </c>
      <c r="H183" s="10" t="str">
        <f aca="false">IF(OR($C183="01-09",$D183="Male"),"",INDEX(PMTCT!$AC:$AC,MATCH($E183,PMTCT!$E:$E,0)))</f>
        <v/>
      </c>
      <c r="I183" s="10" t="str">
        <f aca="false">IF(OR($C183="01-09",$D183="Male"),"",INDEX(PMTCT!$AS:$AS,MATCH($E183,PMTCT!$E:$E,0)))</f>
        <v/>
      </c>
      <c r="J183" s="10" t="str">
        <f aca="false">INDEX(TB!$P:$P,MATCH($E183,TB!$E:$E,0))</f>
        <v/>
      </c>
      <c r="K183" s="10" t="str">
        <f aca="false">IF(OR($C183="01-09",$C183="10-14",$D183="Female"),"",INDEX(VMMC!$AA:$AA,MATCH($E183,VMMC!$E:$E,0)))</f>
        <v/>
      </c>
      <c r="L183" s="10" t="n">
        <f aca="false">SUM($G183)-SUM($H183:$K183)</f>
        <v>0</v>
      </c>
      <c r="M183" s="88" t="str">
        <f aca="false">IF(OR($C183="01-09",$D183="Male",AND(SUM($G183)=0,SUM($H183)=0)),"",SUM($H183)/SUM($G183))</f>
        <v/>
      </c>
      <c r="N183" s="88" t="str">
        <f aca="false">IF(OR($C183="01-09",$D183="Male",AND(SUM($G183)=0,SUM($I183)=0)),"",SUM($I183)/SUM($G183))</f>
        <v/>
      </c>
      <c r="O183" s="88" t="str">
        <f aca="false">IF(AND(SUM($G183)=0,SUM($J183)=0),"",SUM($J183)/SUM($G183))</f>
        <v/>
      </c>
      <c r="P183" s="88" t="str">
        <f aca="false">IF(OR($C183="01-09",$C183="10-14",$D183="Female",AND(SUM($G183)=0,SUM($K183)=0)),"",SUM($K183)/SUM($G183))</f>
        <v/>
      </c>
      <c r="Q183" s="88"/>
      <c r="R183" s="88"/>
      <c r="S183" s="88"/>
      <c r="T183" s="88"/>
      <c r="U183" s="88"/>
      <c r="V183" s="88" t="str">
        <f aca="false">IF(SUM($G183)=0,"",SUM($M183:$U183))</f>
        <v/>
      </c>
      <c r="W183" s="88"/>
      <c r="X183" s="39" t="str">
        <f aca="false">IF(OR(SUM($G183)=0,SUM($Q183)=0),"",ROUND(SUM($G183)*SUM($Q183),0))</f>
        <v/>
      </c>
      <c r="Y183" s="39" t="str">
        <f aca="false">IF(SUM($X183)=0,"",IF(SUM($W183)=0,"ENTER YIELD",ROUND($X183/$W183,0)-$X183))</f>
        <v/>
      </c>
      <c r="Z183" s="88"/>
      <c r="AA183" s="39" t="str">
        <f aca="false">IF(OR(SUM($G183)=0,SUM($R183)=0),"",ROUND(SUM($G183)*SUM($R183),0))</f>
        <v/>
      </c>
      <c r="AB183" s="39" t="str">
        <f aca="false">IF(SUM($AA183)=0,"",IF(SUM($Z183)=0,"ENTER YIELD",ROUND($AA183/$Z183,0)-$AA183))</f>
        <v/>
      </c>
      <c r="AC183" s="88"/>
      <c r="AD183" s="39" t="str">
        <f aca="false">IF(OR(SUM($G183)=0,SUM($S183)=0),"",ROUND(SUM($G183)*SUM($S183),0))</f>
        <v/>
      </c>
      <c r="AE183" s="39" t="str">
        <f aca="false">IF(SUM($AD183)=0,"",IF(SUM($AC183)=0,"ENTER YIELD",ROUND($AD183/$AC183,0)-$AD183))</f>
        <v/>
      </c>
      <c r="AF183" s="88"/>
      <c r="AG183" s="39" t="str">
        <f aca="false">IF(OR(SUM($G183)=0,SUM($T183)=0),"",ROUND(SUM($G183)*SUM($T183),0))</f>
        <v/>
      </c>
      <c r="AH183" s="39" t="str">
        <f aca="false">IF(SUM($AG183)=0,"",IF(SUM($AF183)=0,"ENTER YIELD",ROUND($AG183/$AF183,0)-$AG183))</f>
        <v/>
      </c>
      <c r="AI183" s="88"/>
      <c r="AJ183" s="39" t="str">
        <f aca="false">IF(OR(SUM($G183)=0,SUM($U183)=0),"",ROUND(SUM($G183)*SUM($U183),0))</f>
        <v/>
      </c>
      <c r="AK183" s="39" t="str">
        <f aca="false">IF(SUM($AJ183)=0,"",IF(SUM($AI183)=0,"ENTER YIELD",ROUND($AJ183/$AI183,0)-$AJ183))</f>
        <v/>
      </c>
      <c r="AL183" s="10" t="str">
        <f aca="false">IF(SUM($G183)=0,"",$G183)</f>
        <v/>
      </c>
      <c r="AM183" s="10" t="str">
        <f aca="false">IFERROR(1/(1/SUM($H183:$K183,$X183,$AA183,$AD183,$AG183,$AJ183)),"")</f>
        <v/>
      </c>
      <c r="AN183" s="10" t="str">
        <f aca="false">IF(AND(SUM($AM183)=0,SUM($AL183)=0),"",$AM183-$AL183)</f>
        <v/>
      </c>
      <c r="AO183" s="10" t="str">
        <f aca="false">IF(OR($C183="01-09",$D183="Male"),"",INDEX(PMTCT!$AD:$AD,MATCH($E183,PMTCT!$E:$E,0)))</f>
        <v/>
      </c>
      <c r="AP183" s="10" t="str">
        <f aca="false">IF(OR($C183="01-09",$D183="Male"),"",INDEX(PMTCT!$AT:$AT,MATCH($E183,PMTCT!$E:$E,0)))</f>
        <v/>
      </c>
      <c r="AQ183" s="10" t="str">
        <f aca="false">INDEX(TB!$Q:$Q,MATCH($E183,TB!$E:$E,0))</f>
        <v/>
      </c>
      <c r="AR183" s="10" t="str">
        <f aca="false">IF(OR($C183="01-09",$C183="10-14",$D183="Female"),"",INDEX(VMMC!$AB:$AB,MATCH($E183,VMMC!$E:$E,0)))</f>
        <v/>
      </c>
      <c r="AS183" s="10" t="str">
        <f aca="false">IF(OR($C183="01-09",$C183="10-14"),"",INDEX(PrEP!$Q:$Q,MATCH($E183,PrEP!$E:$E,0)))</f>
        <v/>
      </c>
      <c r="AT183" s="10" t="str">
        <f aca="false">IFERROR(1/(1/SUM($Y183,$AB183,$AE183,$AH183,$AK183,$AO183:$AS183)),"")</f>
        <v/>
      </c>
      <c r="AU183" s="10" t="str">
        <f aca="false">IFERROR(1/(1/SUM($AT183,$AM183)),"")</f>
        <v/>
      </c>
      <c r="AV183" s="88" t="str">
        <f aca="false">IF(AND(SUM($AM183)=0,SUM($AU183)=0),"",$AM183/$AU183)</f>
        <v/>
      </c>
      <c r="AW183" s="10"/>
      <c r="AX183" s="88" t="str">
        <f aca="false">IF(OR($C183="01-09",SUM($AW183)=0),"",0%)</f>
        <v/>
      </c>
      <c r="AY183" s="39" t="str">
        <f aca="false">IF(OR($C183="01-09",SUM($AW183)=0),"",ROUND($AW183*(1+$AX183),0))</f>
        <v/>
      </c>
      <c r="AZ183" s="88" t="str">
        <f aca="false">IF(OR($C183="01-09",$C183="10-14"),"",100%)</f>
        <v/>
      </c>
      <c r="BA183" s="39" t="str">
        <f aca="false">IF(OR(SUM($AM183)=0,$C183="01-09",$C183="10-14"),"",$AM183*$AZ183)</f>
        <v/>
      </c>
    </row>
    <row r="184" customFormat="false" ht="15" hidden="false" customHeight="false" outlineLevel="0" collapsed="false">
      <c r="A184" s="0" t="str">
        <f aca="false">INDEX(Prioritization!$D:$D,MATCH($B184,Prioritization!$A:$A,0))</f>
        <v>INVALID</v>
      </c>
      <c r="B184" s="0" t="s">
        <v>208</v>
      </c>
      <c r="C184" s="0" t="s">
        <v>363</v>
      </c>
      <c r="D184" s="0" t="s">
        <v>48</v>
      </c>
      <c r="E184" s="0" t="str">
        <f aca="false">$B184&amp;"|"&amp;$C184&amp;"|"&amp;$D184</f>
        <v>Nkhata Bay District [E7zpfyBt7Tw]|01-09|Male</v>
      </c>
      <c r="F184" s="88" t="n">
        <f aca="false">IF(LEFT($B184,4)="_Mil","",INDEX(Cascade!$AA:$AA,MATCH($E184,Cascade!$E:$E,0)))</f>
        <v>1609</v>
      </c>
      <c r="G184" s="10" t="n">
        <f aca="false">INDEX(Cascade!$BH:$BH,MATCH($E184,Cascade!$E:$E,0))</f>
        <v>0</v>
      </c>
      <c r="H184" s="10" t="str">
        <f aca="false">IF(OR($C184="01-09",$D184="Male"),"",INDEX(PMTCT!$AC:$AC,MATCH($E184,PMTCT!$E:$E,0)))</f>
        <v/>
      </c>
      <c r="I184" s="10" t="str">
        <f aca="false">IF(OR($C184="01-09",$D184="Male"),"",INDEX(PMTCT!$AS:$AS,MATCH($E184,PMTCT!$E:$E,0)))</f>
        <v/>
      </c>
      <c r="J184" s="10" t="str">
        <f aca="false">INDEX(TB!$P:$P,MATCH($E184,TB!$E:$E,0))</f>
        <v/>
      </c>
      <c r="K184" s="10" t="str">
        <f aca="false">IF(OR($C184="01-09",$C184="10-14",$D184="Female"),"",INDEX(VMMC!$AA:$AA,MATCH($E184,VMMC!$E:$E,0)))</f>
        <v/>
      </c>
      <c r="L184" s="10" t="n">
        <f aca="false">SUM($G184)-SUM($H184:$K184)</f>
        <v>0</v>
      </c>
      <c r="M184" s="88" t="str">
        <f aca="false">IF(OR($C184="01-09",$D184="Male",AND(SUM($G184)=0,SUM($H184)=0)),"",SUM($H184)/SUM($G184))</f>
        <v/>
      </c>
      <c r="N184" s="88" t="str">
        <f aca="false">IF(OR($C184="01-09",$D184="Male",AND(SUM($G184)=0,SUM($I184)=0)),"",SUM($I184)/SUM($G184))</f>
        <v/>
      </c>
      <c r="O184" s="88" t="str">
        <f aca="false">IF(AND(SUM($G184)=0,SUM($J184)=0),"",SUM($J184)/SUM($G184))</f>
        <v/>
      </c>
      <c r="P184" s="88" t="str">
        <f aca="false">IF(OR($C184="01-09",$C184="10-14",$D184="Female",AND(SUM($G184)=0,SUM($K184)=0)),"",SUM($K184)/SUM($G184))</f>
        <v/>
      </c>
      <c r="Q184" s="88"/>
      <c r="R184" s="88"/>
      <c r="S184" s="88"/>
      <c r="T184" s="88"/>
      <c r="U184" s="88"/>
      <c r="V184" s="88" t="str">
        <f aca="false">IF(SUM($G184)=0,"",SUM($M184:$U184))</f>
        <v/>
      </c>
      <c r="W184" s="88"/>
      <c r="X184" s="39" t="str">
        <f aca="false">IF(OR(SUM($G184)=0,SUM($Q184)=0),"",ROUND(SUM($G184)*SUM($Q184),0))</f>
        <v/>
      </c>
      <c r="Y184" s="39" t="str">
        <f aca="false">IF(SUM($X184)=0,"",IF(SUM($W184)=0,"ENTER YIELD",ROUND($X184/$W184,0)-$X184))</f>
        <v/>
      </c>
      <c r="Z184" s="88"/>
      <c r="AA184" s="39" t="str">
        <f aca="false">IF(OR(SUM($G184)=0,SUM($R184)=0),"",ROUND(SUM($G184)*SUM($R184),0))</f>
        <v/>
      </c>
      <c r="AB184" s="39" t="str">
        <f aca="false">IF(SUM($AA184)=0,"",IF(SUM($Z184)=0,"ENTER YIELD",ROUND($AA184/$Z184,0)-$AA184))</f>
        <v/>
      </c>
      <c r="AC184" s="88"/>
      <c r="AD184" s="39" t="str">
        <f aca="false">IF(OR(SUM($G184)=0,SUM($S184)=0),"",ROUND(SUM($G184)*SUM($S184),0))</f>
        <v/>
      </c>
      <c r="AE184" s="39" t="str">
        <f aca="false">IF(SUM($AD184)=0,"",IF(SUM($AC184)=0,"ENTER YIELD",ROUND($AD184/$AC184,0)-$AD184))</f>
        <v/>
      </c>
      <c r="AF184" s="88"/>
      <c r="AG184" s="39" t="str">
        <f aca="false">IF(OR(SUM($G184)=0,SUM($T184)=0),"",ROUND(SUM($G184)*SUM($T184),0))</f>
        <v/>
      </c>
      <c r="AH184" s="39" t="str">
        <f aca="false">IF(SUM($AG184)=0,"",IF(SUM($AF184)=0,"ENTER YIELD",ROUND($AG184/$AF184,0)-$AG184))</f>
        <v/>
      </c>
      <c r="AI184" s="88"/>
      <c r="AJ184" s="39" t="str">
        <f aca="false">IF(OR(SUM($G184)=0,SUM($U184)=0),"",ROUND(SUM($G184)*SUM($U184),0))</f>
        <v/>
      </c>
      <c r="AK184" s="39" t="str">
        <f aca="false">IF(SUM($AJ184)=0,"",IF(SUM($AI184)=0,"ENTER YIELD",ROUND($AJ184/$AI184,0)-$AJ184))</f>
        <v/>
      </c>
      <c r="AL184" s="10" t="str">
        <f aca="false">IF(SUM($G184)=0,"",$G184)</f>
        <v/>
      </c>
      <c r="AM184" s="10" t="str">
        <f aca="false">IFERROR(1/(1/SUM($H184:$K184,$X184,$AA184,$AD184,$AG184,$AJ184)),"")</f>
        <v/>
      </c>
      <c r="AN184" s="10" t="str">
        <f aca="false">IF(AND(SUM($AM184)=0,SUM($AL184)=0),"",$AM184-$AL184)</f>
        <v/>
      </c>
      <c r="AO184" s="10" t="str">
        <f aca="false">IF(OR($C184="01-09",$D184="Male"),"",INDEX(PMTCT!$AD:$AD,MATCH($E184,PMTCT!$E:$E,0)))</f>
        <v/>
      </c>
      <c r="AP184" s="10" t="str">
        <f aca="false">IF(OR($C184="01-09",$D184="Male"),"",INDEX(PMTCT!$AT:$AT,MATCH($E184,PMTCT!$E:$E,0)))</f>
        <v/>
      </c>
      <c r="AQ184" s="10" t="str">
        <f aca="false">INDEX(TB!$Q:$Q,MATCH($E184,TB!$E:$E,0))</f>
        <v/>
      </c>
      <c r="AR184" s="10" t="str">
        <f aca="false">IF(OR($C184="01-09",$C184="10-14",$D184="Female"),"",INDEX(VMMC!$AB:$AB,MATCH($E184,VMMC!$E:$E,0)))</f>
        <v/>
      </c>
      <c r="AS184" s="10" t="str">
        <f aca="false">IF(OR($C184="01-09",$C184="10-14"),"",INDEX(PrEP!$Q:$Q,MATCH($E184,PrEP!$E:$E,0)))</f>
        <v/>
      </c>
      <c r="AT184" s="10" t="str">
        <f aca="false">IFERROR(1/(1/SUM($Y184,$AB184,$AE184,$AH184,$AK184,$AO184:$AS184)),"")</f>
        <v/>
      </c>
      <c r="AU184" s="10" t="str">
        <f aca="false">IFERROR(1/(1/SUM($AT184,$AM184)),"")</f>
        <v/>
      </c>
      <c r="AV184" s="88" t="str">
        <f aca="false">IF(AND(SUM($AM184)=0,SUM($AU184)=0),"",$AM184/$AU184)</f>
        <v/>
      </c>
      <c r="AW184" s="10"/>
      <c r="AX184" s="88" t="str">
        <f aca="false">IF(OR($C184="01-09",SUM($AW184)=0),"",0%)</f>
        <v/>
      </c>
      <c r="AY184" s="39" t="str">
        <f aca="false">IF(OR($C184="01-09",SUM($AW184)=0),"",ROUND($AW184*(1+$AX184),0))</f>
        <v/>
      </c>
      <c r="AZ184" s="88" t="str">
        <f aca="false">IF(OR($C184="01-09",$C184="10-14"),"",100%)</f>
        <v/>
      </c>
      <c r="BA184" s="39" t="str">
        <f aca="false">IF(OR(SUM($AM184)=0,$C184="01-09",$C184="10-14"),"",$AM184*$AZ184)</f>
        <v/>
      </c>
    </row>
    <row r="185" customFormat="false" ht="15" hidden="false" customHeight="false" outlineLevel="0" collapsed="false">
      <c r="A185" s="0" t="str">
        <f aca="false">INDEX(Prioritization!$D:$D,MATCH($B185,Prioritization!$A:$A,0))</f>
        <v>INVALID</v>
      </c>
      <c r="B185" s="0" t="s">
        <v>208</v>
      </c>
      <c r="C185" s="0" t="s">
        <v>364</v>
      </c>
      <c r="D185" s="0" t="s">
        <v>30</v>
      </c>
      <c r="E185" s="0" t="str">
        <f aca="false">$B185&amp;"|"&amp;$C185&amp;"|"&amp;$D185</f>
        <v>Nkhata Bay District [E7zpfyBt7Tw]|10-14|Female</v>
      </c>
      <c r="F185" s="88" t="n">
        <f aca="false">IF(LEFT($B185,4)="_Mil","",INDEX(Cascade!$AA:$AA,MATCH($E185,Cascade!$E:$E,0)))</f>
        <v>1348</v>
      </c>
      <c r="G185" s="10" t="n">
        <f aca="false">INDEX(Cascade!$BH:$BH,MATCH($E185,Cascade!$E:$E,0))</f>
        <v>-76</v>
      </c>
      <c r="H185" s="10" t="str">
        <f aca="false">IF(OR($C185="01-09",$D185="Male"),"",INDEX(PMTCT!$AC:$AC,MATCH($E185,PMTCT!$E:$E,0)))</f>
        <v>ENTER YIELD RATE</v>
      </c>
      <c r="I185" s="10" t="str">
        <f aca="false">IF(OR($C185="01-09",$D185="Male"),"",INDEX(PMTCT!$AS:$AS,MATCH($E185,PMTCT!$E:$E,0)))</f>
        <v>ENTER YIELD RATE</v>
      </c>
      <c r="J185" s="10" t="str">
        <f aca="false">INDEX(TB!$P:$P,MATCH($E185,TB!$E:$E,0))</f>
        <v>ENTER YIELD RATE</v>
      </c>
      <c r="K185" s="10" t="str">
        <f aca="false">IF(OR($C185="01-09",$C185="10-14",$D185="Female"),"",INDEX(VMMC!$AA:$AA,MATCH($E185,VMMC!$E:$E,0)))</f>
        <v/>
      </c>
      <c r="L185" s="10" t="n">
        <f aca="false">SUM($G185)-SUM($H185:$K185)</f>
        <v>-76</v>
      </c>
      <c r="M185" s="88" t="n">
        <f aca="false">IF(OR($C185="01-09",$D185="Male",AND(SUM($G185)=0,SUM($H185)=0)),"",SUM($H185)/SUM($G185))</f>
        <v>-0</v>
      </c>
      <c r="N185" s="88" t="n">
        <f aca="false">IF(OR($C185="01-09",$D185="Male",AND(SUM($G185)=0,SUM($I185)=0)),"",SUM($I185)/SUM($G185))</f>
        <v>-0</v>
      </c>
      <c r="O185" s="88" t="n">
        <f aca="false">IF(AND(SUM($G185)=0,SUM($J185)=0),"",SUM($J185)/SUM($G185))</f>
        <v>-0</v>
      </c>
      <c r="P185" s="88" t="str">
        <f aca="false">IF(OR($C185="01-09",$C185="10-14",$D185="Female",AND(SUM($G185)=0,SUM($K185)=0)),"",SUM($K185)/SUM($G185))</f>
        <v/>
      </c>
      <c r="Q185" s="88" t="n">
        <v>0.194351903395727</v>
      </c>
      <c r="R185" s="88"/>
      <c r="S185" s="88"/>
      <c r="T185" s="88"/>
      <c r="U185" s="88" t="n">
        <v>0.336536151356995</v>
      </c>
      <c r="V185" s="88" t="n">
        <f aca="false">IF(SUM($G185)=0,"",SUM($M185:$U185))</f>
        <v>0.530888054752722</v>
      </c>
      <c r="W185" s="88"/>
      <c r="X185" s="39" t="n">
        <f aca="false">IF(OR(SUM($G185)=0,SUM($Q185)=0),"",ROUND(SUM($G185)*SUM($Q185),0))</f>
        <v>-15</v>
      </c>
      <c r="Y185" s="39" t="str">
        <f aca="false">IF(SUM($X185)=0,"",IF(SUM($W185)=0,"ENTER YIELD",ROUND($X185/$W185,0)-$X185))</f>
        <v>ENTER YIELD</v>
      </c>
      <c r="Z185" s="88"/>
      <c r="AA185" s="39" t="str">
        <f aca="false">IF(OR(SUM($G185)=0,SUM($R185)=0),"",ROUND(SUM($G185)*SUM($R185),0))</f>
        <v/>
      </c>
      <c r="AB185" s="39" t="str">
        <f aca="false">IF(SUM($AA185)=0,"",IF(SUM($Z185)=0,"ENTER YIELD",ROUND($AA185/$Z185,0)-$AA185))</f>
        <v/>
      </c>
      <c r="AC185" s="88"/>
      <c r="AD185" s="39" t="str">
        <f aca="false">IF(OR(SUM($G185)=0,SUM($S185)=0),"",ROUND(SUM($G185)*SUM($S185),0))</f>
        <v/>
      </c>
      <c r="AE185" s="39" t="str">
        <f aca="false">IF(SUM($AD185)=0,"",IF(SUM($AC185)=0,"ENTER YIELD",ROUND($AD185/$AC185,0)-$AD185))</f>
        <v/>
      </c>
      <c r="AF185" s="88"/>
      <c r="AG185" s="39" t="str">
        <f aca="false">IF(OR(SUM($G185)=0,SUM($T185)=0),"",ROUND(SUM($G185)*SUM($T185),0))</f>
        <v/>
      </c>
      <c r="AH185" s="39" t="str">
        <f aca="false">IF(SUM($AG185)=0,"",IF(SUM($AF185)=0,"ENTER YIELD",ROUND($AG185/$AF185,0)-$AG185))</f>
        <v/>
      </c>
      <c r="AI185" s="88"/>
      <c r="AJ185" s="39" t="n">
        <f aca="false">IF(OR(SUM($G185)=0,SUM($U185)=0),"",ROUND(SUM($G185)*SUM($U185),0))</f>
        <v>-26</v>
      </c>
      <c r="AK185" s="39" t="str">
        <f aca="false">IF(SUM($AJ185)=0,"",IF(SUM($AI185)=0,"ENTER YIELD",ROUND($AJ185/$AI185,0)-$AJ185))</f>
        <v>ENTER YIELD</v>
      </c>
      <c r="AL185" s="10" t="n">
        <f aca="false">IF(SUM($G185)=0,"",$G185)</f>
        <v>-76</v>
      </c>
      <c r="AM185" s="10" t="n">
        <f aca="false">IFERROR(1/(1/SUM($H185:$K185,$X185,$AA185,$AD185,$AG185,$AJ185)),"")</f>
        <v>-41</v>
      </c>
      <c r="AN185" s="10" t="n">
        <f aca="false">IF(AND(SUM($AM185)=0,SUM($AL185)=0),"",$AM185-$AL185)</f>
        <v>35</v>
      </c>
      <c r="AO185" s="10" t="n">
        <f aca="false">IF(OR($C185="01-09",$D185="Male"),"",INDEX(PMTCT!$AD:$AD,MATCH($E185,PMTCT!$E:$E,0)))</f>
        <v>4</v>
      </c>
      <c r="AP185" s="10" t="n">
        <f aca="false">IF(OR($C185="01-09",$D185="Male"),"",INDEX(PMTCT!$AT:$AT,MATCH($E185,PMTCT!$E:$E,0)))</f>
        <v>4</v>
      </c>
      <c r="AQ185" s="10" t="n">
        <f aca="false">INDEX(TB!$Q:$Q,MATCH($E185,TB!$E:$E,0))</f>
        <v>1</v>
      </c>
      <c r="AR185" s="10" t="str">
        <f aca="false">IF(OR($C185="01-09",$C185="10-14",$D185="Female"),"",INDEX(VMMC!$AB:$AB,MATCH($E185,VMMC!$E:$E,0)))</f>
        <v/>
      </c>
      <c r="AS185" s="10" t="str">
        <f aca="false">IF(OR($C185="01-09",$C185="10-14"),"",INDEX(PrEP!$Q:$Q,MATCH($E185,PrEP!$E:$E,0)))</f>
        <v/>
      </c>
      <c r="AT185" s="10" t="n">
        <f aca="false">IFERROR(1/(1/SUM($Y185,$AB185,$AE185,$AH185,$AK185,$AO185:$AS185)),"")</f>
        <v>9</v>
      </c>
      <c r="AU185" s="10" t="n">
        <f aca="false">IFERROR(1/(1/SUM($AT185,$AM185)),"")</f>
        <v>-32</v>
      </c>
      <c r="AV185" s="88" t="n">
        <f aca="false">IF(AND(SUM($AM185)=0,SUM($AU185)=0),"",$AM185/$AU185)</f>
        <v>1.28125</v>
      </c>
      <c r="AW185" s="10"/>
      <c r="AX185" s="88" t="str">
        <f aca="false">IF(OR($C185="01-09",SUM($AW185)=0),"",0%)</f>
        <v/>
      </c>
      <c r="AY185" s="39" t="str">
        <f aca="false">IF(OR($C185="01-09",SUM($AW185)=0),"",ROUND($AW185*(1+$AX185),0))</f>
        <v/>
      </c>
      <c r="AZ185" s="88" t="str">
        <f aca="false">IF(OR($C185="01-09",$C185="10-14"),"",100%)</f>
        <v/>
      </c>
      <c r="BA185" s="39" t="str">
        <f aca="false">IF(OR(SUM($AM185)=0,$C185="01-09",$C185="10-14"),"",$AM185*$AZ185)</f>
        <v/>
      </c>
    </row>
    <row r="186" customFormat="false" ht="15" hidden="false" customHeight="false" outlineLevel="0" collapsed="false">
      <c r="A186" s="0" t="str">
        <f aca="false">INDEX(Prioritization!$D:$D,MATCH($B186,Prioritization!$A:$A,0))</f>
        <v>INVALID</v>
      </c>
      <c r="B186" s="0" t="s">
        <v>208</v>
      </c>
      <c r="C186" s="0" t="s">
        <v>364</v>
      </c>
      <c r="D186" s="0" t="s">
        <v>48</v>
      </c>
      <c r="E186" s="0" t="str">
        <f aca="false">$B186&amp;"|"&amp;$C186&amp;"|"&amp;$D186</f>
        <v>Nkhata Bay District [E7zpfyBt7Tw]|10-14|Male</v>
      </c>
      <c r="F186" s="88" t="n">
        <f aca="false">IF(LEFT($B186,4)="_Mil","",INDEX(Cascade!$AA:$AA,MATCH($E186,Cascade!$E:$E,0)))</f>
        <v>1570</v>
      </c>
      <c r="G186" s="10" t="n">
        <f aca="false">INDEX(Cascade!$BH:$BH,MATCH($E186,Cascade!$E:$E,0))</f>
        <v>-87</v>
      </c>
      <c r="H186" s="10" t="str">
        <f aca="false">IF(OR($C186="01-09",$D186="Male"),"",INDEX(PMTCT!$AC:$AC,MATCH($E186,PMTCT!$E:$E,0)))</f>
        <v/>
      </c>
      <c r="I186" s="10" t="str">
        <f aca="false">IF(OR($C186="01-09",$D186="Male"),"",INDEX(PMTCT!$AS:$AS,MATCH($E186,PMTCT!$E:$E,0)))</f>
        <v/>
      </c>
      <c r="J186" s="10" t="str">
        <f aca="false">INDEX(TB!$P:$P,MATCH($E186,TB!$E:$E,0))</f>
        <v/>
      </c>
      <c r="K186" s="10" t="str">
        <f aca="false">IF(OR($C186="01-09",$C186="10-14",$D186="Female"),"",INDEX(VMMC!$AA:$AA,MATCH($E186,VMMC!$E:$E,0)))</f>
        <v/>
      </c>
      <c r="L186" s="10" t="n">
        <f aca="false">SUM($G186)-SUM($H186:$K186)</f>
        <v>-87</v>
      </c>
      <c r="M186" s="88" t="str">
        <f aca="false">IF(OR($C186="01-09",$D186="Male",AND(SUM($G186)=0,SUM($H186)=0)),"",SUM($H186)/SUM($G186))</f>
        <v/>
      </c>
      <c r="N186" s="88" t="str">
        <f aca="false">IF(OR($C186="01-09",$D186="Male",AND(SUM($G186)=0,SUM($I186)=0)),"",SUM($I186)/SUM($G186))</f>
        <v/>
      </c>
      <c r="O186" s="88" t="n">
        <f aca="false">IF(AND(SUM($G186)=0,SUM($J186)=0),"",SUM($J186)/SUM($G186))</f>
        <v>-0</v>
      </c>
      <c r="P186" s="88" t="str">
        <f aca="false">IF(OR($C186="01-09",$C186="10-14",$D186="Female",AND(SUM($G186)=0,SUM($K186)=0)),"",SUM($K186)/SUM($G186))</f>
        <v/>
      </c>
      <c r="Q186" s="88" t="n">
        <v>0.794102665502578</v>
      </c>
      <c r="R186" s="88"/>
      <c r="S186" s="88"/>
      <c r="T186" s="88"/>
      <c r="U186" s="88" t="n">
        <v>0.571895190048963</v>
      </c>
      <c r="V186" s="88" t="n">
        <f aca="false">IF(SUM($G186)=0,"",SUM($M186:$U186))</f>
        <v>1.36599785555154</v>
      </c>
      <c r="W186" s="88"/>
      <c r="X186" s="39" t="n">
        <f aca="false">IF(OR(SUM($G186)=0,SUM($Q186)=0),"",ROUND(SUM($G186)*SUM($Q186),0))</f>
        <v>-69</v>
      </c>
      <c r="Y186" s="39" t="str">
        <f aca="false">IF(SUM($X186)=0,"",IF(SUM($W186)=0,"ENTER YIELD",ROUND($X186/$W186,0)-$X186))</f>
        <v>ENTER YIELD</v>
      </c>
      <c r="Z186" s="88"/>
      <c r="AA186" s="39" t="str">
        <f aca="false">IF(OR(SUM($G186)=0,SUM($R186)=0),"",ROUND(SUM($G186)*SUM($R186),0))</f>
        <v/>
      </c>
      <c r="AB186" s="39" t="str">
        <f aca="false">IF(SUM($AA186)=0,"",IF(SUM($Z186)=0,"ENTER YIELD",ROUND($AA186/$Z186,0)-$AA186))</f>
        <v/>
      </c>
      <c r="AC186" s="88"/>
      <c r="AD186" s="39" t="str">
        <f aca="false">IF(OR(SUM($G186)=0,SUM($S186)=0),"",ROUND(SUM($G186)*SUM($S186),0))</f>
        <v/>
      </c>
      <c r="AE186" s="39" t="str">
        <f aca="false">IF(SUM($AD186)=0,"",IF(SUM($AC186)=0,"ENTER YIELD",ROUND($AD186/$AC186,0)-$AD186))</f>
        <v/>
      </c>
      <c r="AF186" s="88"/>
      <c r="AG186" s="39" t="str">
        <f aca="false">IF(OR(SUM($G186)=0,SUM($T186)=0),"",ROUND(SUM($G186)*SUM($T186),0))</f>
        <v/>
      </c>
      <c r="AH186" s="39" t="str">
        <f aca="false">IF(SUM($AG186)=0,"",IF(SUM($AF186)=0,"ENTER YIELD",ROUND($AG186/$AF186,0)-$AG186))</f>
        <v/>
      </c>
      <c r="AI186" s="88"/>
      <c r="AJ186" s="39" t="n">
        <f aca="false">IF(OR(SUM($G186)=0,SUM($U186)=0),"",ROUND(SUM($G186)*SUM($U186),0))</f>
        <v>-50</v>
      </c>
      <c r="AK186" s="39" t="str">
        <f aca="false">IF(SUM($AJ186)=0,"",IF(SUM($AI186)=0,"ENTER YIELD",ROUND($AJ186/$AI186,0)-$AJ186))</f>
        <v>ENTER YIELD</v>
      </c>
      <c r="AL186" s="10" t="n">
        <f aca="false">IF(SUM($G186)=0,"",$G186)</f>
        <v>-87</v>
      </c>
      <c r="AM186" s="10" t="n">
        <f aca="false">IFERROR(1/(1/SUM($H186:$K186,$X186,$AA186,$AD186,$AG186,$AJ186)),"")</f>
        <v>-119</v>
      </c>
      <c r="AN186" s="10" t="n">
        <f aca="false">IF(AND(SUM($AM186)=0,SUM($AL186)=0),"",$AM186-$AL186)</f>
        <v>-32</v>
      </c>
      <c r="AO186" s="10" t="str">
        <f aca="false">IF(OR($C186="01-09",$D186="Male"),"",INDEX(PMTCT!$AD:$AD,MATCH($E186,PMTCT!$E:$E,0)))</f>
        <v/>
      </c>
      <c r="AP186" s="10" t="str">
        <f aca="false">IF(OR($C186="01-09",$D186="Male"),"",INDEX(PMTCT!$AT:$AT,MATCH($E186,PMTCT!$E:$E,0)))</f>
        <v/>
      </c>
      <c r="AQ186" s="10" t="str">
        <f aca="false">INDEX(TB!$Q:$Q,MATCH($E186,TB!$E:$E,0))</f>
        <v/>
      </c>
      <c r="AR186" s="10" t="str">
        <f aca="false">IF(OR($C186="01-09",$C186="10-14",$D186="Female"),"",INDEX(VMMC!$AB:$AB,MATCH($E186,VMMC!$E:$E,0)))</f>
        <v/>
      </c>
      <c r="AS186" s="10" t="str">
        <f aca="false">IF(OR($C186="01-09",$C186="10-14"),"",INDEX(PrEP!$Q:$Q,MATCH($E186,PrEP!$E:$E,0)))</f>
        <v/>
      </c>
      <c r="AT186" s="10" t="str">
        <f aca="false">IFERROR(1/(1/SUM($Y186,$AB186,$AE186,$AH186,$AK186,$AO186:$AS186)),"")</f>
        <v/>
      </c>
      <c r="AU186" s="10" t="n">
        <f aca="false">IFERROR(1/(1/SUM($AT186,$AM186)),"")</f>
        <v>-119</v>
      </c>
      <c r="AV186" s="88" t="n">
        <f aca="false">IF(AND(SUM($AM186)=0,SUM($AU186)=0),"",$AM186/$AU186)</f>
        <v>1</v>
      </c>
      <c r="AW186" s="10"/>
      <c r="AX186" s="88" t="str">
        <f aca="false">IF(OR($C186="01-09",SUM($AW186)=0),"",0%)</f>
        <v/>
      </c>
      <c r="AY186" s="39" t="str">
        <f aca="false">IF(OR($C186="01-09",SUM($AW186)=0),"",ROUND($AW186*(1+$AX186),0))</f>
        <v/>
      </c>
      <c r="AZ186" s="88" t="str">
        <f aca="false">IF(OR($C186="01-09",$C186="10-14"),"",100%)</f>
        <v/>
      </c>
      <c r="BA186" s="39" t="str">
        <f aca="false">IF(OR(SUM($AM186)=0,$C186="01-09",$C186="10-14"),"",$AM186*$AZ186)</f>
        <v/>
      </c>
    </row>
    <row r="187" customFormat="false" ht="15" hidden="false" customHeight="false" outlineLevel="0" collapsed="false">
      <c r="A187" s="0" t="str">
        <f aca="false">INDEX(Prioritization!$D:$D,MATCH($B187,Prioritization!$A:$A,0))</f>
        <v>INVALID</v>
      </c>
      <c r="B187" s="0" t="s">
        <v>208</v>
      </c>
      <c r="C187" s="0" t="s">
        <v>365</v>
      </c>
      <c r="D187" s="0" t="s">
        <v>30</v>
      </c>
      <c r="E187" s="0" t="str">
        <f aca="false">$B187&amp;"|"&amp;$C187&amp;"|"&amp;$D187</f>
        <v>Nkhata Bay District [E7zpfyBt7Tw]|15-24|Female</v>
      </c>
      <c r="F187" s="88" t="n">
        <f aca="false">IF(LEFT($B187,4)="_Mil","",INDEX(Cascade!$AA:$AA,MATCH($E187,Cascade!$E:$E,0)))</f>
        <v>1731</v>
      </c>
      <c r="G187" s="10" t="n">
        <f aca="false">INDEX(Cascade!$BH:$BH,MATCH($E187,Cascade!$E:$E,0))</f>
        <v>0</v>
      </c>
      <c r="H187" s="10" t="str">
        <f aca="false">IF(OR($C187="01-09",$D187="Male"),"",INDEX(PMTCT!$AC:$AC,MATCH($E187,PMTCT!$E:$E,0)))</f>
        <v/>
      </c>
      <c r="I187" s="10" t="str">
        <f aca="false">IF(OR($C187="01-09",$D187="Male"),"",INDEX(PMTCT!$AS:$AS,MATCH($E187,PMTCT!$E:$E,0)))</f>
        <v/>
      </c>
      <c r="J187" s="10" t="str">
        <f aca="false">INDEX(TB!$P:$P,MATCH($E187,TB!$E:$E,0))</f>
        <v/>
      </c>
      <c r="K187" s="10" t="str">
        <f aca="false">IF(OR($C187="01-09",$C187="10-14",$D187="Female"),"",INDEX(VMMC!$AA:$AA,MATCH($E187,VMMC!$E:$E,0)))</f>
        <v/>
      </c>
      <c r="L187" s="10" t="n">
        <f aca="false">SUM($G187)-SUM($H187:$K187)</f>
        <v>0</v>
      </c>
      <c r="M187" s="88" t="str">
        <f aca="false">IF(OR($C187="01-09",$D187="Male",AND(SUM($G187)=0,SUM($H187)=0)),"",SUM($H187)/SUM($G187))</f>
        <v/>
      </c>
      <c r="N187" s="88" t="str">
        <f aca="false">IF(OR($C187="01-09",$D187="Male",AND(SUM($G187)=0,SUM($I187)=0)),"",SUM($I187)/SUM($G187))</f>
        <v/>
      </c>
      <c r="O187" s="88" t="str">
        <f aca="false">IF(AND(SUM($G187)=0,SUM($J187)=0),"",SUM($J187)/SUM($G187))</f>
        <v/>
      </c>
      <c r="P187" s="88" t="str">
        <f aca="false">IF(OR($C187="01-09",$C187="10-14",$D187="Female",AND(SUM($G187)=0,SUM($K187)=0)),"",SUM($K187)/SUM($G187))</f>
        <v/>
      </c>
      <c r="Q187" s="88"/>
      <c r="R187" s="88"/>
      <c r="S187" s="88"/>
      <c r="T187" s="88"/>
      <c r="U187" s="88"/>
      <c r="V187" s="88" t="str">
        <f aca="false">IF(SUM($G187)=0,"",SUM($M187:$U187))</f>
        <v/>
      </c>
      <c r="W187" s="88"/>
      <c r="X187" s="39" t="str">
        <f aca="false">IF(OR(SUM($G187)=0,SUM($Q187)=0),"",ROUND(SUM($G187)*SUM($Q187),0))</f>
        <v/>
      </c>
      <c r="Y187" s="39" t="str">
        <f aca="false">IF(SUM($X187)=0,"",IF(SUM($W187)=0,"ENTER YIELD",ROUND($X187/$W187,0)-$X187))</f>
        <v/>
      </c>
      <c r="Z187" s="88"/>
      <c r="AA187" s="39" t="str">
        <f aca="false">IF(OR(SUM($G187)=0,SUM($R187)=0),"",ROUND(SUM($G187)*SUM($R187),0))</f>
        <v/>
      </c>
      <c r="AB187" s="39" t="str">
        <f aca="false">IF(SUM($AA187)=0,"",IF(SUM($Z187)=0,"ENTER YIELD",ROUND($AA187/$Z187,0)-$AA187))</f>
        <v/>
      </c>
      <c r="AC187" s="88"/>
      <c r="AD187" s="39" t="str">
        <f aca="false">IF(OR(SUM($G187)=0,SUM($S187)=0),"",ROUND(SUM($G187)*SUM($S187),0))</f>
        <v/>
      </c>
      <c r="AE187" s="39" t="str">
        <f aca="false">IF(SUM($AD187)=0,"",IF(SUM($AC187)=0,"ENTER YIELD",ROUND($AD187/$AC187,0)-$AD187))</f>
        <v/>
      </c>
      <c r="AF187" s="88"/>
      <c r="AG187" s="39" t="str">
        <f aca="false">IF(OR(SUM($G187)=0,SUM($T187)=0),"",ROUND(SUM($G187)*SUM($T187),0))</f>
        <v/>
      </c>
      <c r="AH187" s="39" t="str">
        <f aca="false">IF(SUM($AG187)=0,"",IF(SUM($AF187)=0,"ENTER YIELD",ROUND($AG187/$AF187,0)-$AG187))</f>
        <v/>
      </c>
      <c r="AI187" s="88"/>
      <c r="AJ187" s="39" t="str">
        <f aca="false">IF(OR(SUM($G187)=0,SUM($U187)=0),"",ROUND(SUM($G187)*SUM($U187),0))</f>
        <v/>
      </c>
      <c r="AK187" s="39" t="str">
        <f aca="false">IF(SUM($AJ187)=0,"",IF(SUM($AI187)=0,"ENTER YIELD",ROUND($AJ187/$AI187,0)-$AJ187))</f>
        <v/>
      </c>
      <c r="AL187" s="10" t="str">
        <f aca="false">IF(SUM($G187)=0,"",$G187)</f>
        <v/>
      </c>
      <c r="AM187" s="10" t="str">
        <f aca="false">IFERROR(1/(1/SUM($H187:$K187,$X187,$AA187,$AD187,$AG187,$AJ187)),"")</f>
        <v/>
      </c>
      <c r="AN187" s="10" t="str">
        <f aca="false">IF(AND(SUM($AM187)=0,SUM($AL187)=0),"",$AM187-$AL187)</f>
        <v/>
      </c>
      <c r="AO187" s="10" t="str">
        <f aca="false">IF(OR($C187="01-09",$D187="Male"),"",INDEX(PMTCT!$AD:$AD,MATCH($E187,PMTCT!$E:$E,0)))</f>
        <v/>
      </c>
      <c r="AP187" s="10" t="str">
        <f aca="false">IF(OR($C187="01-09",$D187="Male"),"",INDEX(PMTCT!$AT:$AT,MATCH($E187,PMTCT!$E:$E,0)))</f>
        <v/>
      </c>
      <c r="AQ187" s="10" t="str">
        <f aca="false">INDEX(TB!$Q:$Q,MATCH($E187,TB!$E:$E,0))</f>
        <v/>
      </c>
      <c r="AR187" s="10" t="str">
        <f aca="false">IF(OR($C187="01-09",$C187="10-14",$D187="Female"),"",INDEX(VMMC!$AB:$AB,MATCH($E187,VMMC!$E:$E,0)))</f>
        <v/>
      </c>
      <c r="AS187" s="10" t="str">
        <f aca="false">IF(OR($C187="01-09",$C187="10-14"),"",INDEX(PrEP!$Q:$Q,MATCH($E187,PrEP!$E:$E,0)))</f>
        <v/>
      </c>
      <c r="AT187" s="10" t="str">
        <f aca="false">IFERROR(1/(1/SUM($Y187,$AB187,$AE187,$AH187,$AK187,$AO187:$AS187)),"")</f>
        <v/>
      </c>
      <c r="AU187" s="10" t="str">
        <f aca="false">IFERROR(1/(1/SUM($AT187,$AM187)),"")</f>
        <v/>
      </c>
      <c r="AV187" s="88" t="str">
        <f aca="false">IF(AND(SUM($AM187)=0,SUM($AU187)=0),"",$AM187/$AU187)</f>
        <v/>
      </c>
      <c r="AW187" s="10"/>
      <c r="AX187" s="88" t="str">
        <f aca="false">IF(OR($C187="01-09",SUM($AW187)=0),"",0%)</f>
        <v/>
      </c>
      <c r="AY187" s="39" t="str">
        <f aca="false">IF(OR($C187="01-09",SUM($AW187)=0),"",ROUND($AW187*(1+$AX187),0))</f>
        <v/>
      </c>
      <c r="AZ187" s="88" t="n">
        <f aca="false">IF(OR($C187="01-09",$C187="10-14"),"",100%)</f>
        <v>1</v>
      </c>
      <c r="BA187" s="39" t="str">
        <f aca="false">IF(OR(SUM($AM187)=0,$C187="01-09",$C187="10-14"),"",$AM187*$AZ187)</f>
        <v/>
      </c>
    </row>
    <row r="188" customFormat="false" ht="15" hidden="false" customHeight="false" outlineLevel="0" collapsed="false">
      <c r="A188" s="0" t="str">
        <f aca="false">INDEX(Prioritization!$D:$D,MATCH($B188,Prioritization!$A:$A,0))</f>
        <v>INVALID</v>
      </c>
      <c r="B188" s="0" t="s">
        <v>208</v>
      </c>
      <c r="C188" s="0" t="s">
        <v>365</v>
      </c>
      <c r="D188" s="0" t="s">
        <v>48</v>
      </c>
      <c r="E188" s="0" t="str">
        <f aca="false">$B188&amp;"|"&amp;$C188&amp;"|"&amp;$D188</f>
        <v>Nkhata Bay District [E7zpfyBt7Tw]|15-24|Male</v>
      </c>
      <c r="F188" s="88" t="n">
        <f aca="false">IF(LEFT($B188,4)="_Mil","",INDEX(Cascade!$AA:$AA,MATCH($E188,Cascade!$E:$E,0)))</f>
        <v>953</v>
      </c>
      <c r="G188" s="10" t="n">
        <f aca="false">INDEX(Cascade!$BH:$BH,MATCH($E188,Cascade!$E:$E,0))</f>
        <v>0</v>
      </c>
      <c r="H188" s="10" t="str">
        <f aca="false">IF(OR($C188="01-09",$D188="Male"),"",INDEX(PMTCT!$AC:$AC,MATCH($E188,PMTCT!$E:$E,0)))</f>
        <v/>
      </c>
      <c r="I188" s="10" t="str">
        <f aca="false">IF(OR($C188="01-09",$D188="Male"),"",INDEX(PMTCT!$AS:$AS,MATCH($E188,PMTCT!$E:$E,0)))</f>
        <v/>
      </c>
      <c r="J188" s="10" t="str">
        <f aca="false">INDEX(TB!$P:$P,MATCH($E188,TB!$E:$E,0))</f>
        <v/>
      </c>
      <c r="K188" s="10" t="str">
        <f aca="false">IF(OR($C188="01-09",$C188="10-14",$D188="Female"),"",INDEX(VMMC!$AA:$AA,MATCH($E188,VMMC!$E:$E,0)))</f>
        <v/>
      </c>
      <c r="L188" s="10" t="n">
        <f aca="false">SUM($G188)-SUM($H188:$K188)</f>
        <v>0</v>
      </c>
      <c r="M188" s="88" t="str">
        <f aca="false">IF(OR($C188="01-09",$D188="Male",AND(SUM($G188)=0,SUM($H188)=0)),"",SUM($H188)/SUM($G188))</f>
        <v/>
      </c>
      <c r="N188" s="88" t="str">
        <f aca="false">IF(OR($C188="01-09",$D188="Male",AND(SUM($G188)=0,SUM($I188)=0)),"",SUM($I188)/SUM($G188))</f>
        <v/>
      </c>
      <c r="O188" s="88" t="str">
        <f aca="false">IF(AND(SUM($G188)=0,SUM($J188)=0),"",SUM($J188)/SUM($G188))</f>
        <v/>
      </c>
      <c r="P188" s="88" t="str">
        <f aca="false">IF(OR($C188="01-09",$C188="10-14",$D188="Female",AND(SUM($G188)=0,SUM($K188)=0)),"",SUM($K188)/SUM($G188))</f>
        <v/>
      </c>
      <c r="Q188" s="88"/>
      <c r="R188" s="88"/>
      <c r="S188" s="88"/>
      <c r="T188" s="88"/>
      <c r="U188" s="88"/>
      <c r="V188" s="88" t="str">
        <f aca="false">IF(SUM($G188)=0,"",SUM($M188:$U188))</f>
        <v/>
      </c>
      <c r="W188" s="88"/>
      <c r="X188" s="39" t="str">
        <f aca="false">IF(OR(SUM($G188)=0,SUM($Q188)=0),"",ROUND(SUM($G188)*SUM($Q188),0))</f>
        <v/>
      </c>
      <c r="Y188" s="39" t="str">
        <f aca="false">IF(SUM($X188)=0,"",IF(SUM($W188)=0,"ENTER YIELD",ROUND($X188/$W188,0)-$X188))</f>
        <v/>
      </c>
      <c r="Z188" s="88"/>
      <c r="AA188" s="39" t="str">
        <f aca="false">IF(OR(SUM($G188)=0,SUM($R188)=0),"",ROUND(SUM($G188)*SUM($R188),0))</f>
        <v/>
      </c>
      <c r="AB188" s="39" t="str">
        <f aca="false">IF(SUM($AA188)=0,"",IF(SUM($Z188)=0,"ENTER YIELD",ROUND($AA188/$Z188,0)-$AA188))</f>
        <v/>
      </c>
      <c r="AC188" s="88"/>
      <c r="AD188" s="39" t="str">
        <f aca="false">IF(OR(SUM($G188)=0,SUM($S188)=0),"",ROUND(SUM($G188)*SUM($S188),0))</f>
        <v/>
      </c>
      <c r="AE188" s="39" t="str">
        <f aca="false">IF(SUM($AD188)=0,"",IF(SUM($AC188)=0,"ENTER YIELD",ROUND($AD188/$AC188,0)-$AD188))</f>
        <v/>
      </c>
      <c r="AF188" s="88"/>
      <c r="AG188" s="39" t="str">
        <f aca="false">IF(OR(SUM($G188)=0,SUM($T188)=0),"",ROUND(SUM($G188)*SUM($T188),0))</f>
        <v/>
      </c>
      <c r="AH188" s="39" t="str">
        <f aca="false">IF(SUM($AG188)=0,"",IF(SUM($AF188)=0,"ENTER YIELD",ROUND($AG188/$AF188,0)-$AG188))</f>
        <v/>
      </c>
      <c r="AI188" s="88"/>
      <c r="AJ188" s="39" t="str">
        <f aca="false">IF(OR(SUM($G188)=0,SUM($U188)=0),"",ROUND(SUM($G188)*SUM($U188),0))</f>
        <v/>
      </c>
      <c r="AK188" s="39" t="str">
        <f aca="false">IF(SUM($AJ188)=0,"",IF(SUM($AI188)=0,"ENTER YIELD",ROUND($AJ188/$AI188,0)-$AJ188))</f>
        <v/>
      </c>
      <c r="AL188" s="10" t="str">
        <f aca="false">IF(SUM($G188)=0,"",$G188)</f>
        <v/>
      </c>
      <c r="AM188" s="10" t="str">
        <f aca="false">IFERROR(1/(1/SUM($H188:$K188,$X188,$AA188,$AD188,$AG188,$AJ188)),"")</f>
        <v/>
      </c>
      <c r="AN188" s="10" t="str">
        <f aca="false">IF(AND(SUM($AM188)=0,SUM($AL188)=0),"",$AM188-$AL188)</f>
        <v/>
      </c>
      <c r="AO188" s="10" t="str">
        <f aca="false">IF(OR($C188="01-09",$D188="Male"),"",INDEX(PMTCT!$AD:$AD,MATCH($E188,PMTCT!$E:$E,0)))</f>
        <v/>
      </c>
      <c r="AP188" s="10" t="str">
        <f aca="false">IF(OR($C188="01-09",$D188="Male"),"",INDEX(PMTCT!$AT:$AT,MATCH($E188,PMTCT!$E:$E,0)))</f>
        <v/>
      </c>
      <c r="AQ188" s="10" t="str">
        <f aca="false">INDEX(TB!$Q:$Q,MATCH($E188,TB!$E:$E,0))</f>
        <v/>
      </c>
      <c r="AR188" s="10" t="str">
        <f aca="false">IF(OR($C188="01-09",$C188="10-14",$D188="Female"),"",INDEX(VMMC!$AB:$AB,MATCH($E188,VMMC!$E:$E,0)))</f>
        <v/>
      </c>
      <c r="AS188" s="10" t="str">
        <f aca="false">IF(OR($C188="01-09",$C188="10-14"),"",INDEX(PrEP!$Q:$Q,MATCH($E188,PrEP!$E:$E,0)))</f>
        <v/>
      </c>
      <c r="AT188" s="10" t="str">
        <f aca="false">IFERROR(1/(1/SUM($Y188,$AB188,$AE188,$AH188,$AK188,$AO188:$AS188)),"")</f>
        <v/>
      </c>
      <c r="AU188" s="10" t="str">
        <f aca="false">IFERROR(1/(1/SUM($AT188,$AM188)),"")</f>
        <v/>
      </c>
      <c r="AV188" s="88" t="str">
        <f aca="false">IF(AND(SUM($AM188)=0,SUM($AU188)=0),"",$AM188/$AU188)</f>
        <v/>
      </c>
      <c r="AW188" s="10"/>
      <c r="AX188" s="88" t="str">
        <f aca="false">IF(OR($C188="01-09",SUM($AW188)=0),"",0%)</f>
        <v/>
      </c>
      <c r="AY188" s="39" t="str">
        <f aca="false">IF(OR($C188="01-09",SUM($AW188)=0),"",ROUND($AW188*(1+$AX188),0))</f>
        <v/>
      </c>
      <c r="AZ188" s="88" t="n">
        <f aca="false">IF(OR($C188="01-09",$C188="10-14"),"",100%)</f>
        <v>1</v>
      </c>
      <c r="BA188" s="39" t="str">
        <f aca="false">IF(OR(SUM($AM188)=0,$C188="01-09",$C188="10-14"),"",$AM188*$AZ188)</f>
        <v/>
      </c>
    </row>
    <row r="189" customFormat="false" ht="15" hidden="false" customHeight="false" outlineLevel="0" collapsed="false">
      <c r="A189" s="0" t="str">
        <f aca="false">INDEX(Prioritization!$D:$D,MATCH($B189,Prioritization!$A:$A,0))</f>
        <v>INVALID</v>
      </c>
      <c r="B189" s="0" t="s">
        <v>208</v>
      </c>
      <c r="C189" s="0" t="s">
        <v>366</v>
      </c>
      <c r="D189" s="0" t="s">
        <v>30</v>
      </c>
      <c r="E189" s="0" t="str">
        <f aca="false">$B189&amp;"|"&amp;$C189&amp;"|"&amp;$D189</f>
        <v>Nkhata Bay District [E7zpfyBt7Tw]|25-34|Female</v>
      </c>
      <c r="F189" s="88" t="n">
        <f aca="false">IF(LEFT($B189,4)="_Mil","",INDEX(Cascade!$AA:$AA,MATCH($E189,Cascade!$E:$E,0)))</f>
        <v>2000</v>
      </c>
      <c r="G189" s="10" t="n">
        <f aca="false">INDEX(Cascade!$BH:$BH,MATCH($E189,Cascade!$E:$E,0))</f>
        <v>0</v>
      </c>
      <c r="H189" s="10" t="str">
        <f aca="false">IF(OR($C189="01-09",$D189="Male"),"",INDEX(PMTCT!$AC:$AC,MATCH($E189,PMTCT!$E:$E,0)))</f>
        <v/>
      </c>
      <c r="I189" s="10" t="str">
        <f aca="false">IF(OR($C189="01-09",$D189="Male"),"",INDEX(PMTCT!$AS:$AS,MATCH($E189,PMTCT!$E:$E,0)))</f>
        <v/>
      </c>
      <c r="J189" s="10" t="str">
        <f aca="false">INDEX(TB!$P:$P,MATCH($E189,TB!$E:$E,0))</f>
        <v/>
      </c>
      <c r="K189" s="10" t="str">
        <f aca="false">IF(OR($C189="01-09",$C189="10-14",$D189="Female"),"",INDEX(VMMC!$AA:$AA,MATCH($E189,VMMC!$E:$E,0)))</f>
        <v/>
      </c>
      <c r="L189" s="10" t="n">
        <f aca="false">SUM($G189)-SUM($H189:$K189)</f>
        <v>0</v>
      </c>
      <c r="M189" s="88" t="str">
        <f aca="false">IF(OR($C189="01-09",$D189="Male",AND(SUM($G189)=0,SUM($H189)=0)),"",SUM($H189)/SUM($G189))</f>
        <v/>
      </c>
      <c r="N189" s="88" t="str">
        <f aca="false">IF(OR($C189="01-09",$D189="Male",AND(SUM($G189)=0,SUM($I189)=0)),"",SUM($I189)/SUM($G189))</f>
        <v/>
      </c>
      <c r="O189" s="88" t="str">
        <f aca="false">IF(AND(SUM($G189)=0,SUM($J189)=0),"",SUM($J189)/SUM($G189))</f>
        <v/>
      </c>
      <c r="P189" s="88" t="str">
        <f aca="false">IF(OR($C189="01-09",$C189="10-14",$D189="Female",AND(SUM($G189)=0,SUM($K189)=0)),"",SUM($K189)/SUM($G189))</f>
        <v/>
      </c>
      <c r="Q189" s="88"/>
      <c r="R189" s="88"/>
      <c r="S189" s="88"/>
      <c r="T189" s="88"/>
      <c r="U189" s="88"/>
      <c r="V189" s="88" t="str">
        <f aca="false">IF(SUM($G189)=0,"",SUM($M189:$U189))</f>
        <v/>
      </c>
      <c r="W189" s="88"/>
      <c r="X189" s="39" t="str">
        <f aca="false">IF(OR(SUM($G189)=0,SUM($Q189)=0),"",ROUND(SUM($G189)*SUM($Q189),0))</f>
        <v/>
      </c>
      <c r="Y189" s="39" t="str">
        <f aca="false">IF(SUM($X189)=0,"",IF(SUM($W189)=0,"ENTER YIELD",ROUND($X189/$W189,0)-$X189))</f>
        <v/>
      </c>
      <c r="Z189" s="88"/>
      <c r="AA189" s="39" t="str">
        <f aca="false">IF(OR(SUM($G189)=0,SUM($R189)=0),"",ROUND(SUM($G189)*SUM($R189),0))</f>
        <v/>
      </c>
      <c r="AB189" s="39" t="str">
        <f aca="false">IF(SUM($AA189)=0,"",IF(SUM($Z189)=0,"ENTER YIELD",ROUND($AA189/$Z189,0)-$AA189))</f>
        <v/>
      </c>
      <c r="AC189" s="88"/>
      <c r="AD189" s="39" t="str">
        <f aca="false">IF(OR(SUM($G189)=0,SUM($S189)=0),"",ROUND(SUM($G189)*SUM($S189),0))</f>
        <v/>
      </c>
      <c r="AE189" s="39" t="str">
        <f aca="false">IF(SUM($AD189)=0,"",IF(SUM($AC189)=0,"ENTER YIELD",ROUND($AD189/$AC189,0)-$AD189))</f>
        <v/>
      </c>
      <c r="AF189" s="88"/>
      <c r="AG189" s="39" t="str">
        <f aca="false">IF(OR(SUM($G189)=0,SUM($T189)=0),"",ROUND(SUM($G189)*SUM($T189),0))</f>
        <v/>
      </c>
      <c r="AH189" s="39" t="str">
        <f aca="false">IF(SUM($AG189)=0,"",IF(SUM($AF189)=0,"ENTER YIELD",ROUND($AG189/$AF189,0)-$AG189))</f>
        <v/>
      </c>
      <c r="AI189" s="88"/>
      <c r="AJ189" s="39" t="str">
        <f aca="false">IF(OR(SUM($G189)=0,SUM($U189)=0),"",ROUND(SUM($G189)*SUM($U189),0))</f>
        <v/>
      </c>
      <c r="AK189" s="39" t="str">
        <f aca="false">IF(SUM($AJ189)=0,"",IF(SUM($AI189)=0,"ENTER YIELD",ROUND($AJ189/$AI189,0)-$AJ189))</f>
        <v/>
      </c>
      <c r="AL189" s="10" t="str">
        <f aca="false">IF(SUM($G189)=0,"",$G189)</f>
        <v/>
      </c>
      <c r="AM189" s="10" t="str">
        <f aca="false">IFERROR(1/(1/SUM($H189:$K189,$X189,$AA189,$AD189,$AG189,$AJ189)),"")</f>
        <v/>
      </c>
      <c r="AN189" s="10" t="str">
        <f aca="false">IF(AND(SUM($AM189)=0,SUM($AL189)=0),"",$AM189-$AL189)</f>
        <v/>
      </c>
      <c r="AO189" s="10" t="str">
        <f aca="false">IF(OR($C189="01-09",$D189="Male"),"",INDEX(PMTCT!$AD:$AD,MATCH($E189,PMTCT!$E:$E,0)))</f>
        <v/>
      </c>
      <c r="AP189" s="10" t="str">
        <f aca="false">IF(OR($C189="01-09",$D189="Male"),"",INDEX(PMTCT!$AT:$AT,MATCH($E189,PMTCT!$E:$E,0)))</f>
        <v/>
      </c>
      <c r="AQ189" s="10" t="str">
        <f aca="false">INDEX(TB!$Q:$Q,MATCH($E189,TB!$E:$E,0))</f>
        <v/>
      </c>
      <c r="AR189" s="10" t="str">
        <f aca="false">IF(OR($C189="01-09",$C189="10-14",$D189="Female"),"",INDEX(VMMC!$AB:$AB,MATCH($E189,VMMC!$E:$E,0)))</f>
        <v/>
      </c>
      <c r="AS189" s="10" t="str">
        <f aca="false">IF(OR($C189="01-09",$C189="10-14"),"",INDEX(PrEP!$Q:$Q,MATCH($E189,PrEP!$E:$E,0)))</f>
        <v/>
      </c>
      <c r="AT189" s="10" t="str">
        <f aca="false">IFERROR(1/(1/SUM($Y189,$AB189,$AE189,$AH189,$AK189,$AO189:$AS189)),"")</f>
        <v/>
      </c>
      <c r="AU189" s="10" t="str">
        <f aca="false">IFERROR(1/(1/SUM($AT189,$AM189)),"")</f>
        <v/>
      </c>
      <c r="AV189" s="88" t="str">
        <f aca="false">IF(AND(SUM($AM189)=0,SUM($AU189)=0),"",$AM189/$AU189)</f>
        <v/>
      </c>
      <c r="AW189" s="10"/>
      <c r="AX189" s="88" t="str">
        <f aca="false">IF(OR($C189="01-09",SUM($AW189)=0),"",0%)</f>
        <v/>
      </c>
      <c r="AY189" s="39" t="str">
        <f aca="false">IF(OR($C189="01-09",SUM($AW189)=0),"",ROUND($AW189*(1+$AX189),0))</f>
        <v/>
      </c>
      <c r="AZ189" s="88" t="n">
        <f aca="false">IF(OR($C189="01-09",$C189="10-14"),"",100%)</f>
        <v>1</v>
      </c>
      <c r="BA189" s="39" t="str">
        <f aca="false">IF(OR(SUM($AM189)=0,$C189="01-09",$C189="10-14"),"",$AM189*$AZ189)</f>
        <v/>
      </c>
    </row>
    <row r="190" customFormat="false" ht="15" hidden="false" customHeight="false" outlineLevel="0" collapsed="false">
      <c r="A190" s="0" t="str">
        <f aca="false">INDEX(Prioritization!$D:$D,MATCH($B190,Prioritization!$A:$A,0))</f>
        <v>INVALID</v>
      </c>
      <c r="B190" s="0" t="s">
        <v>208</v>
      </c>
      <c r="C190" s="0" t="s">
        <v>366</v>
      </c>
      <c r="D190" s="0" t="s">
        <v>48</v>
      </c>
      <c r="E190" s="0" t="str">
        <f aca="false">$B190&amp;"|"&amp;$C190&amp;"|"&amp;$D190</f>
        <v>Nkhata Bay District [E7zpfyBt7Tw]|25-34|Male</v>
      </c>
      <c r="F190" s="88" t="n">
        <f aca="false">IF(LEFT($B190,4)="_Mil","",INDEX(Cascade!$AA:$AA,MATCH($E190,Cascade!$E:$E,0)))</f>
        <v>1023</v>
      </c>
      <c r="G190" s="10" t="n">
        <f aca="false">INDEX(Cascade!$BH:$BH,MATCH($E190,Cascade!$E:$E,0))</f>
        <v>0</v>
      </c>
      <c r="H190" s="10" t="str">
        <f aca="false">IF(OR($C190="01-09",$D190="Male"),"",INDEX(PMTCT!$AC:$AC,MATCH($E190,PMTCT!$E:$E,0)))</f>
        <v/>
      </c>
      <c r="I190" s="10" t="str">
        <f aca="false">IF(OR($C190="01-09",$D190="Male"),"",INDEX(PMTCT!$AS:$AS,MATCH($E190,PMTCT!$E:$E,0)))</f>
        <v/>
      </c>
      <c r="J190" s="10" t="str">
        <f aca="false">INDEX(TB!$P:$P,MATCH($E190,TB!$E:$E,0))</f>
        <v/>
      </c>
      <c r="K190" s="10" t="str">
        <f aca="false">IF(OR($C190="01-09",$C190="10-14",$D190="Female"),"",INDEX(VMMC!$AA:$AA,MATCH($E190,VMMC!$E:$E,0)))</f>
        <v/>
      </c>
      <c r="L190" s="10" t="n">
        <f aca="false">SUM($G190)-SUM($H190:$K190)</f>
        <v>0</v>
      </c>
      <c r="M190" s="88" t="str">
        <f aca="false">IF(OR($C190="01-09",$D190="Male",AND(SUM($G190)=0,SUM($H190)=0)),"",SUM($H190)/SUM($G190))</f>
        <v/>
      </c>
      <c r="N190" s="88" t="str">
        <f aca="false">IF(OR($C190="01-09",$D190="Male",AND(SUM($G190)=0,SUM($I190)=0)),"",SUM($I190)/SUM($G190))</f>
        <v/>
      </c>
      <c r="O190" s="88" t="str">
        <f aca="false">IF(AND(SUM($G190)=0,SUM($J190)=0),"",SUM($J190)/SUM($G190))</f>
        <v/>
      </c>
      <c r="P190" s="88" t="str">
        <f aca="false">IF(OR($C190="01-09",$C190="10-14",$D190="Female",AND(SUM($G190)=0,SUM($K190)=0)),"",SUM($K190)/SUM($G190))</f>
        <v/>
      </c>
      <c r="Q190" s="88"/>
      <c r="R190" s="88"/>
      <c r="S190" s="88"/>
      <c r="T190" s="88"/>
      <c r="U190" s="88"/>
      <c r="V190" s="88" t="str">
        <f aca="false">IF(SUM($G190)=0,"",SUM($M190:$U190))</f>
        <v/>
      </c>
      <c r="W190" s="88"/>
      <c r="X190" s="39" t="str">
        <f aca="false">IF(OR(SUM($G190)=0,SUM($Q190)=0),"",ROUND(SUM($G190)*SUM($Q190),0))</f>
        <v/>
      </c>
      <c r="Y190" s="39" t="str">
        <f aca="false">IF(SUM($X190)=0,"",IF(SUM($W190)=0,"ENTER YIELD",ROUND($X190/$W190,0)-$X190))</f>
        <v/>
      </c>
      <c r="Z190" s="88"/>
      <c r="AA190" s="39" t="str">
        <f aca="false">IF(OR(SUM($G190)=0,SUM($R190)=0),"",ROUND(SUM($G190)*SUM($R190),0))</f>
        <v/>
      </c>
      <c r="AB190" s="39" t="str">
        <f aca="false">IF(SUM($AA190)=0,"",IF(SUM($Z190)=0,"ENTER YIELD",ROUND($AA190/$Z190,0)-$AA190))</f>
        <v/>
      </c>
      <c r="AC190" s="88"/>
      <c r="AD190" s="39" t="str">
        <f aca="false">IF(OR(SUM($G190)=0,SUM($S190)=0),"",ROUND(SUM($G190)*SUM($S190),0))</f>
        <v/>
      </c>
      <c r="AE190" s="39" t="str">
        <f aca="false">IF(SUM($AD190)=0,"",IF(SUM($AC190)=0,"ENTER YIELD",ROUND($AD190/$AC190,0)-$AD190))</f>
        <v/>
      </c>
      <c r="AF190" s="88"/>
      <c r="AG190" s="39" t="str">
        <f aca="false">IF(OR(SUM($G190)=0,SUM($T190)=0),"",ROUND(SUM($G190)*SUM($T190),0))</f>
        <v/>
      </c>
      <c r="AH190" s="39" t="str">
        <f aca="false">IF(SUM($AG190)=0,"",IF(SUM($AF190)=0,"ENTER YIELD",ROUND($AG190/$AF190,0)-$AG190))</f>
        <v/>
      </c>
      <c r="AI190" s="88"/>
      <c r="AJ190" s="39" t="str">
        <f aca="false">IF(OR(SUM($G190)=0,SUM($U190)=0),"",ROUND(SUM($G190)*SUM($U190),0))</f>
        <v/>
      </c>
      <c r="AK190" s="39" t="str">
        <f aca="false">IF(SUM($AJ190)=0,"",IF(SUM($AI190)=0,"ENTER YIELD",ROUND($AJ190/$AI190,0)-$AJ190))</f>
        <v/>
      </c>
      <c r="AL190" s="10" t="str">
        <f aca="false">IF(SUM($G190)=0,"",$G190)</f>
        <v/>
      </c>
      <c r="AM190" s="10" t="str">
        <f aca="false">IFERROR(1/(1/SUM($H190:$K190,$X190,$AA190,$AD190,$AG190,$AJ190)),"")</f>
        <v/>
      </c>
      <c r="AN190" s="10" t="str">
        <f aca="false">IF(AND(SUM($AM190)=0,SUM($AL190)=0),"",$AM190-$AL190)</f>
        <v/>
      </c>
      <c r="AO190" s="10" t="str">
        <f aca="false">IF(OR($C190="01-09",$D190="Male"),"",INDEX(PMTCT!$AD:$AD,MATCH($E190,PMTCT!$E:$E,0)))</f>
        <v/>
      </c>
      <c r="AP190" s="10" t="str">
        <f aca="false">IF(OR($C190="01-09",$D190="Male"),"",INDEX(PMTCT!$AT:$AT,MATCH($E190,PMTCT!$E:$E,0)))</f>
        <v/>
      </c>
      <c r="AQ190" s="10" t="str">
        <f aca="false">INDEX(TB!$Q:$Q,MATCH($E190,TB!$E:$E,0))</f>
        <v/>
      </c>
      <c r="AR190" s="10" t="str">
        <f aca="false">IF(OR($C190="01-09",$C190="10-14",$D190="Female"),"",INDEX(VMMC!$AB:$AB,MATCH($E190,VMMC!$E:$E,0)))</f>
        <v/>
      </c>
      <c r="AS190" s="10" t="str">
        <f aca="false">IF(OR($C190="01-09",$C190="10-14"),"",INDEX(PrEP!$Q:$Q,MATCH($E190,PrEP!$E:$E,0)))</f>
        <v/>
      </c>
      <c r="AT190" s="10" t="str">
        <f aca="false">IFERROR(1/(1/SUM($Y190,$AB190,$AE190,$AH190,$AK190,$AO190:$AS190)),"")</f>
        <v/>
      </c>
      <c r="AU190" s="10" t="str">
        <f aca="false">IFERROR(1/(1/SUM($AT190,$AM190)),"")</f>
        <v/>
      </c>
      <c r="AV190" s="88" t="str">
        <f aca="false">IF(AND(SUM($AM190)=0,SUM($AU190)=0),"",$AM190/$AU190)</f>
        <v/>
      </c>
      <c r="AW190" s="10"/>
      <c r="AX190" s="88" t="str">
        <f aca="false">IF(OR($C190="01-09",SUM($AW190)=0),"",0%)</f>
        <v/>
      </c>
      <c r="AY190" s="39" t="str">
        <f aca="false">IF(OR($C190="01-09",SUM($AW190)=0),"",ROUND($AW190*(1+$AX190),0))</f>
        <v/>
      </c>
      <c r="AZ190" s="88" t="n">
        <f aca="false">IF(OR($C190="01-09",$C190="10-14"),"",100%)</f>
        <v>1</v>
      </c>
      <c r="BA190" s="39" t="str">
        <f aca="false">IF(OR(SUM($AM190)=0,$C190="01-09",$C190="10-14"),"",$AM190*$AZ190)</f>
        <v/>
      </c>
    </row>
    <row r="191" customFormat="false" ht="15" hidden="false" customHeight="false" outlineLevel="0" collapsed="false">
      <c r="A191" s="0" t="str">
        <f aca="false">INDEX(Prioritization!$D:$D,MATCH($B191,Prioritization!$A:$A,0))</f>
        <v>INVALID</v>
      </c>
      <c r="B191" s="0" t="s">
        <v>208</v>
      </c>
      <c r="C191" s="0" t="s">
        <v>367</v>
      </c>
      <c r="D191" s="0" t="s">
        <v>30</v>
      </c>
      <c r="E191" s="0" t="str">
        <f aca="false">$B191&amp;"|"&amp;$C191&amp;"|"&amp;$D191</f>
        <v>Nkhata Bay District [E7zpfyBt7Tw]|35-49|Female</v>
      </c>
      <c r="F191" s="88" t="n">
        <f aca="false">IF(LEFT($B191,4)="_Mil","",INDEX(Cascade!$AA:$AA,MATCH($E191,Cascade!$E:$E,0)))</f>
        <v>665</v>
      </c>
      <c r="G191" s="10" t="n">
        <f aca="false">INDEX(Cascade!$BH:$BH,MATCH($E191,Cascade!$E:$E,0))</f>
        <v>0</v>
      </c>
      <c r="H191" s="10" t="str">
        <f aca="false">IF(OR($C191="01-09",$D191="Male"),"",INDEX(PMTCT!$AC:$AC,MATCH($E191,PMTCT!$E:$E,0)))</f>
        <v/>
      </c>
      <c r="I191" s="10" t="str">
        <f aca="false">IF(OR($C191="01-09",$D191="Male"),"",INDEX(PMTCT!$AS:$AS,MATCH($E191,PMTCT!$E:$E,0)))</f>
        <v/>
      </c>
      <c r="J191" s="10" t="str">
        <f aca="false">INDEX(TB!$P:$P,MATCH($E191,TB!$E:$E,0))</f>
        <v/>
      </c>
      <c r="K191" s="10" t="str">
        <f aca="false">IF(OR($C191="01-09",$C191="10-14",$D191="Female"),"",INDEX(VMMC!$AA:$AA,MATCH($E191,VMMC!$E:$E,0)))</f>
        <v/>
      </c>
      <c r="L191" s="10" t="n">
        <f aca="false">SUM($G191)-SUM($H191:$K191)</f>
        <v>0</v>
      </c>
      <c r="M191" s="88" t="str">
        <f aca="false">IF(OR($C191="01-09",$D191="Male",AND(SUM($G191)=0,SUM($H191)=0)),"",SUM($H191)/SUM($G191))</f>
        <v/>
      </c>
      <c r="N191" s="88" t="str">
        <f aca="false">IF(OR($C191="01-09",$D191="Male",AND(SUM($G191)=0,SUM($I191)=0)),"",SUM($I191)/SUM($G191))</f>
        <v/>
      </c>
      <c r="O191" s="88" t="str">
        <f aca="false">IF(AND(SUM($G191)=0,SUM($J191)=0),"",SUM($J191)/SUM($G191))</f>
        <v/>
      </c>
      <c r="P191" s="88" t="str">
        <f aca="false">IF(OR($C191="01-09",$C191="10-14",$D191="Female",AND(SUM($G191)=0,SUM($K191)=0)),"",SUM($K191)/SUM($G191))</f>
        <v/>
      </c>
      <c r="Q191" s="88"/>
      <c r="R191" s="88"/>
      <c r="S191" s="88"/>
      <c r="T191" s="88"/>
      <c r="U191" s="88"/>
      <c r="V191" s="88" t="str">
        <f aca="false">IF(SUM($G191)=0,"",SUM($M191:$U191))</f>
        <v/>
      </c>
      <c r="W191" s="88"/>
      <c r="X191" s="39" t="str">
        <f aca="false">IF(OR(SUM($G191)=0,SUM($Q191)=0),"",ROUND(SUM($G191)*SUM($Q191),0))</f>
        <v/>
      </c>
      <c r="Y191" s="39" t="str">
        <f aca="false">IF(SUM($X191)=0,"",IF(SUM($W191)=0,"ENTER YIELD",ROUND($X191/$W191,0)-$X191))</f>
        <v/>
      </c>
      <c r="Z191" s="88"/>
      <c r="AA191" s="39" t="str">
        <f aca="false">IF(OR(SUM($G191)=0,SUM($R191)=0),"",ROUND(SUM($G191)*SUM($R191),0))</f>
        <v/>
      </c>
      <c r="AB191" s="39" t="str">
        <f aca="false">IF(SUM($AA191)=0,"",IF(SUM($Z191)=0,"ENTER YIELD",ROUND($AA191/$Z191,0)-$AA191))</f>
        <v/>
      </c>
      <c r="AC191" s="88"/>
      <c r="AD191" s="39" t="str">
        <f aca="false">IF(OR(SUM($G191)=0,SUM($S191)=0),"",ROUND(SUM($G191)*SUM($S191),0))</f>
        <v/>
      </c>
      <c r="AE191" s="39" t="str">
        <f aca="false">IF(SUM($AD191)=0,"",IF(SUM($AC191)=0,"ENTER YIELD",ROUND($AD191/$AC191,0)-$AD191))</f>
        <v/>
      </c>
      <c r="AF191" s="88"/>
      <c r="AG191" s="39" t="str">
        <f aca="false">IF(OR(SUM($G191)=0,SUM($T191)=0),"",ROUND(SUM($G191)*SUM($T191),0))</f>
        <v/>
      </c>
      <c r="AH191" s="39" t="str">
        <f aca="false">IF(SUM($AG191)=0,"",IF(SUM($AF191)=0,"ENTER YIELD",ROUND($AG191/$AF191,0)-$AG191))</f>
        <v/>
      </c>
      <c r="AI191" s="88"/>
      <c r="AJ191" s="39" t="str">
        <f aca="false">IF(OR(SUM($G191)=0,SUM($U191)=0),"",ROUND(SUM($G191)*SUM($U191),0))</f>
        <v/>
      </c>
      <c r="AK191" s="39" t="str">
        <f aca="false">IF(SUM($AJ191)=0,"",IF(SUM($AI191)=0,"ENTER YIELD",ROUND($AJ191/$AI191,0)-$AJ191))</f>
        <v/>
      </c>
      <c r="AL191" s="10" t="str">
        <f aca="false">IF(SUM($G191)=0,"",$G191)</f>
        <v/>
      </c>
      <c r="AM191" s="10" t="str">
        <f aca="false">IFERROR(1/(1/SUM($H191:$K191,$X191,$AA191,$AD191,$AG191,$AJ191)),"")</f>
        <v/>
      </c>
      <c r="AN191" s="10" t="str">
        <f aca="false">IF(AND(SUM($AM191)=0,SUM($AL191)=0),"",$AM191-$AL191)</f>
        <v/>
      </c>
      <c r="AO191" s="10" t="str">
        <f aca="false">IF(OR($C191="01-09",$D191="Male"),"",INDEX(PMTCT!$AD:$AD,MATCH($E191,PMTCT!$E:$E,0)))</f>
        <v/>
      </c>
      <c r="AP191" s="10" t="str">
        <f aca="false">IF(OR($C191="01-09",$D191="Male"),"",INDEX(PMTCT!$AT:$AT,MATCH($E191,PMTCT!$E:$E,0)))</f>
        <v/>
      </c>
      <c r="AQ191" s="10" t="str">
        <f aca="false">INDEX(TB!$Q:$Q,MATCH($E191,TB!$E:$E,0))</f>
        <v/>
      </c>
      <c r="AR191" s="10" t="str">
        <f aca="false">IF(OR($C191="01-09",$C191="10-14",$D191="Female"),"",INDEX(VMMC!$AB:$AB,MATCH($E191,VMMC!$E:$E,0)))</f>
        <v/>
      </c>
      <c r="AS191" s="10" t="str">
        <f aca="false">IF(OR($C191="01-09",$C191="10-14"),"",INDEX(PrEP!$Q:$Q,MATCH($E191,PrEP!$E:$E,0)))</f>
        <v/>
      </c>
      <c r="AT191" s="10" t="str">
        <f aca="false">IFERROR(1/(1/SUM($Y191,$AB191,$AE191,$AH191,$AK191,$AO191:$AS191)),"")</f>
        <v/>
      </c>
      <c r="AU191" s="10" t="str">
        <f aca="false">IFERROR(1/(1/SUM($AT191,$AM191)),"")</f>
        <v/>
      </c>
      <c r="AV191" s="88" t="str">
        <f aca="false">IF(AND(SUM($AM191)=0,SUM($AU191)=0),"",$AM191/$AU191)</f>
        <v/>
      </c>
      <c r="AW191" s="10"/>
      <c r="AX191" s="88" t="str">
        <f aca="false">IF(OR($C191="01-09",SUM($AW191)=0),"",0%)</f>
        <v/>
      </c>
      <c r="AY191" s="39" t="str">
        <f aca="false">IF(OR($C191="01-09",SUM($AW191)=0),"",ROUND($AW191*(1+$AX191),0))</f>
        <v/>
      </c>
      <c r="AZ191" s="88" t="n">
        <f aca="false">IF(OR($C191="01-09",$C191="10-14"),"",100%)</f>
        <v>1</v>
      </c>
      <c r="BA191" s="39" t="str">
        <f aca="false">IF(OR(SUM($AM191)=0,$C191="01-09",$C191="10-14"),"",$AM191*$AZ191)</f>
        <v/>
      </c>
    </row>
    <row r="192" customFormat="false" ht="15" hidden="false" customHeight="false" outlineLevel="0" collapsed="false">
      <c r="A192" s="0" t="str">
        <f aca="false">INDEX(Prioritization!$D:$D,MATCH($B192,Prioritization!$A:$A,0))</f>
        <v>INVALID</v>
      </c>
      <c r="B192" s="0" t="s">
        <v>208</v>
      </c>
      <c r="C192" s="0" t="s">
        <v>367</v>
      </c>
      <c r="D192" s="0" t="s">
        <v>48</v>
      </c>
      <c r="E192" s="0" t="str">
        <f aca="false">$B192&amp;"|"&amp;$C192&amp;"|"&amp;$D192</f>
        <v>Nkhata Bay District [E7zpfyBt7Tw]|35-49|Male</v>
      </c>
      <c r="F192" s="88" t="n">
        <f aca="false">IF(LEFT($B192,4)="_Mil","",INDEX(Cascade!$AA:$AA,MATCH($E192,Cascade!$E:$E,0)))</f>
        <v>1819</v>
      </c>
      <c r="G192" s="10" t="n">
        <f aca="false">INDEX(Cascade!$BH:$BH,MATCH($E192,Cascade!$E:$E,0))</f>
        <v>0</v>
      </c>
      <c r="H192" s="10" t="str">
        <f aca="false">IF(OR($C192="01-09",$D192="Male"),"",INDEX(PMTCT!$AC:$AC,MATCH($E192,PMTCT!$E:$E,0)))</f>
        <v/>
      </c>
      <c r="I192" s="10" t="str">
        <f aca="false">IF(OR($C192="01-09",$D192="Male"),"",INDEX(PMTCT!$AS:$AS,MATCH($E192,PMTCT!$E:$E,0)))</f>
        <v/>
      </c>
      <c r="J192" s="10" t="str">
        <f aca="false">INDEX(TB!$P:$P,MATCH($E192,TB!$E:$E,0))</f>
        <v/>
      </c>
      <c r="K192" s="10" t="str">
        <f aca="false">IF(OR($C192="01-09",$C192="10-14",$D192="Female"),"",INDEX(VMMC!$AA:$AA,MATCH($E192,VMMC!$E:$E,0)))</f>
        <v/>
      </c>
      <c r="L192" s="10" t="n">
        <f aca="false">SUM($G192)-SUM($H192:$K192)</f>
        <v>0</v>
      </c>
      <c r="M192" s="88" t="str">
        <f aca="false">IF(OR($C192="01-09",$D192="Male",AND(SUM($G192)=0,SUM($H192)=0)),"",SUM($H192)/SUM($G192))</f>
        <v/>
      </c>
      <c r="N192" s="88" t="str">
        <f aca="false">IF(OR($C192="01-09",$D192="Male",AND(SUM($G192)=0,SUM($I192)=0)),"",SUM($I192)/SUM($G192))</f>
        <v/>
      </c>
      <c r="O192" s="88" t="str">
        <f aca="false">IF(AND(SUM($G192)=0,SUM($J192)=0),"",SUM($J192)/SUM($G192))</f>
        <v/>
      </c>
      <c r="P192" s="88" t="str">
        <f aca="false">IF(OR($C192="01-09",$C192="10-14",$D192="Female",AND(SUM($G192)=0,SUM($K192)=0)),"",SUM($K192)/SUM($G192))</f>
        <v/>
      </c>
      <c r="Q192" s="88"/>
      <c r="R192" s="88"/>
      <c r="S192" s="88"/>
      <c r="T192" s="88"/>
      <c r="U192" s="88"/>
      <c r="V192" s="88" t="str">
        <f aca="false">IF(SUM($G192)=0,"",SUM($M192:$U192))</f>
        <v/>
      </c>
      <c r="W192" s="88"/>
      <c r="X192" s="39" t="str">
        <f aca="false">IF(OR(SUM($G192)=0,SUM($Q192)=0),"",ROUND(SUM($G192)*SUM($Q192),0))</f>
        <v/>
      </c>
      <c r="Y192" s="39" t="str">
        <f aca="false">IF(SUM($X192)=0,"",IF(SUM($W192)=0,"ENTER YIELD",ROUND($X192/$W192,0)-$X192))</f>
        <v/>
      </c>
      <c r="Z192" s="88"/>
      <c r="AA192" s="39" t="str">
        <f aca="false">IF(OR(SUM($G192)=0,SUM($R192)=0),"",ROUND(SUM($G192)*SUM($R192),0))</f>
        <v/>
      </c>
      <c r="AB192" s="39" t="str">
        <f aca="false">IF(SUM($AA192)=0,"",IF(SUM($Z192)=0,"ENTER YIELD",ROUND($AA192/$Z192,0)-$AA192))</f>
        <v/>
      </c>
      <c r="AC192" s="88"/>
      <c r="AD192" s="39" t="str">
        <f aca="false">IF(OR(SUM($G192)=0,SUM($S192)=0),"",ROUND(SUM($G192)*SUM($S192),0))</f>
        <v/>
      </c>
      <c r="AE192" s="39" t="str">
        <f aca="false">IF(SUM($AD192)=0,"",IF(SUM($AC192)=0,"ENTER YIELD",ROUND($AD192/$AC192,0)-$AD192))</f>
        <v/>
      </c>
      <c r="AF192" s="88"/>
      <c r="AG192" s="39" t="str">
        <f aca="false">IF(OR(SUM($G192)=0,SUM($T192)=0),"",ROUND(SUM($G192)*SUM($T192),0))</f>
        <v/>
      </c>
      <c r="AH192" s="39" t="str">
        <f aca="false">IF(SUM($AG192)=0,"",IF(SUM($AF192)=0,"ENTER YIELD",ROUND($AG192/$AF192,0)-$AG192))</f>
        <v/>
      </c>
      <c r="AI192" s="88"/>
      <c r="AJ192" s="39" t="str">
        <f aca="false">IF(OR(SUM($G192)=0,SUM($U192)=0),"",ROUND(SUM($G192)*SUM($U192),0))</f>
        <v/>
      </c>
      <c r="AK192" s="39" t="str">
        <f aca="false">IF(SUM($AJ192)=0,"",IF(SUM($AI192)=0,"ENTER YIELD",ROUND($AJ192/$AI192,0)-$AJ192))</f>
        <v/>
      </c>
      <c r="AL192" s="10" t="str">
        <f aca="false">IF(SUM($G192)=0,"",$G192)</f>
        <v/>
      </c>
      <c r="AM192" s="10" t="str">
        <f aca="false">IFERROR(1/(1/SUM($H192:$K192,$X192,$AA192,$AD192,$AG192,$AJ192)),"")</f>
        <v/>
      </c>
      <c r="AN192" s="10" t="str">
        <f aca="false">IF(AND(SUM($AM192)=0,SUM($AL192)=0),"",$AM192-$AL192)</f>
        <v/>
      </c>
      <c r="AO192" s="10" t="str">
        <f aca="false">IF(OR($C192="01-09",$D192="Male"),"",INDEX(PMTCT!$AD:$AD,MATCH($E192,PMTCT!$E:$E,0)))</f>
        <v/>
      </c>
      <c r="AP192" s="10" t="str">
        <f aca="false">IF(OR($C192="01-09",$D192="Male"),"",INDEX(PMTCT!$AT:$AT,MATCH($E192,PMTCT!$E:$E,0)))</f>
        <v/>
      </c>
      <c r="AQ192" s="10" t="str">
        <f aca="false">INDEX(TB!$Q:$Q,MATCH($E192,TB!$E:$E,0))</f>
        <v/>
      </c>
      <c r="AR192" s="10" t="str">
        <f aca="false">IF(OR($C192="01-09",$C192="10-14",$D192="Female"),"",INDEX(VMMC!$AB:$AB,MATCH($E192,VMMC!$E:$E,0)))</f>
        <v/>
      </c>
      <c r="AS192" s="10" t="str">
        <f aca="false">IF(OR($C192="01-09",$C192="10-14"),"",INDEX(PrEP!$Q:$Q,MATCH($E192,PrEP!$E:$E,0)))</f>
        <v/>
      </c>
      <c r="AT192" s="10" t="str">
        <f aca="false">IFERROR(1/(1/SUM($Y192,$AB192,$AE192,$AH192,$AK192,$AO192:$AS192)),"")</f>
        <v/>
      </c>
      <c r="AU192" s="10" t="str">
        <f aca="false">IFERROR(1/(1/SUM($AT192,$AM192)),"")</f>
        <v/>
      </c>
      <c r="AV192" s="88" t="str">
        <f aca="false">IF(AND(SUM($AM192)=0,SUM($AU192)=0),"",$AM192/$AU192)</f>
        <v/>
      </c>
      <c r="AW192" s="10"/>
      <c r="AX192" s="88" t="str">
        <f aca="false">IF(OR($C192="01-09",SUM($AW192)=0),"",0%)</f>
        <v/>
      </c>
      <c r="AY192" s="39" t="str">
        <f aca="false">IF(OR($C192="01-09",SUM($AW192)=0),"",ROUND($AW192*(1+$AX192),0))</f>
        <v/>
      </c>
      <c r="AZ192" s="88" t="n">
        <f aca="false">IF(OR($C192="01-09",$C192="10-14"),"",100%)</f>
        <v>1</v>
      </c>
      <c r="BA192" s="39" t="str">
        <f aca="false">IF(OR(SUM($AM192)=0,$C192="01-09",$C192="10-14"),"",$AM192*$AZ192)</f>
        <v/>
      </c>
    </row>
    <row r="193" customFormat="false" ht="15" hidden="false" customHeight="false" outlineLevel="0" collapsed="false">
      <c r="A193" s="0" t="str">
        <f aca="false">INDEX(Prioritization!$D:$D,MATCH($B193,Prioritization!$A:$A,0))</f>
        <v>INVALID</v>
      </c>
      <c r="B193" s="0" t="s">
        <v>208</v>
      </c>
      <c r="C193" s="0" t="s">
        <v>368</v>
      </c>
      <c r="D193" s="0" t="s">
        <v>30</v>
      </c>
      <c r="E193" s="0" t="str">
        <f aca="false">$B193&amp;"|"&amp;$C193&amp;"|"&amp;$D193</f>
        <v>Nkhata Bay District [E7zpfyBt7Tw]|50+|Female</v>
      </c>
      <c r="F193" s="88" t="n">
        <f aca="false">IF(LEFT($B193,4)="_Mil","",INDEX(Cascade!$AA:$AA,MATCH($E193,Cascade!$E:$E,0)))</f>
        <v>1564</v>
      </c>
      <c r="G193" s="10" t="n">
        <f aca="false">INDEX(Cascade!$BH:$BH,MATCH($E193,Cascade!$E:$E,0))</f>
        <v>0</v>
      </c>
      <c r="H193" s="10" t="str">
        <f aca="false">IF(OR($C193="01-09",$D193="Male"),"",INDEX(PMTCT!$AC:$AC,MATCH($E193,PMTCT!$E:$E,0)))</f>
        <v/>
      </c>
      <c r="I193" s="10" t="str">
        <f aca="false">IF(OR($C193="01-09",$D193="Male"),"",INDEX(PMTCT!$AS:$AS,MATCH($E193,PMTCT!$E:$E,0)))</f>
        <v/>
      </c>
      <c r="J193" s="10" t="str">
        <f aca="false">INDEX(TB!$P:$P,MATCH($E193,TB!$E:$E,0))</f>
        <v/>
      </c>
      <c r="K193" s="10" t="str">
        <f aca="false">IF(OR($C193="01-09",$C193="10-14",$D193="Female"),"",INDEX(VMMC!$AA:$AA,MATCH($E193,VMMC!$E:$E,0)))</f>
        <v/>
      </c>
      <c r="L193" s="10" t="n">
        <f aca="false">SUM($G193)-SUM($H193:$K193)</f>
        <v>0</v>
      </c>
      <c r="M193" s="88" t="str">
        <f aca="false">IF(OR($C193="01-09",$D193="Male",AND(SUM($G193)=0,SUM($H193)=0)),"",SUM($H193)/SUM($G193))</f>
        <v/>
      </c>
      <c r="N193" s="88" t="str">
        <f aca="false">IF(OR($C193="01-09",$D193="Male",AND(SUM($G193)=0,SUM($I193)=0)),"",SUM($I193)/SUM($G193))</f>
        <v/>
      </c>
      <c r="O193" s="88" t="str">
        <f aca="false">IF(AND(SUM($G193)=0,SUM($J193)=0),"",SUM($J193)/SUM($G193))</f>
        <v/>
      </c>
      <c r="P193" s="88" t="str">
        <f aca="false">IF(OR($C193="01-09",$C193="10-14",$D193="Female",AND(SUM($G193)=0,SUM($K193)=0)),"",SUM($K193)/SUM($G193))</f>
        <v/>
      </c>
      <c r="Q193" s="88"/>
      <c r="R193" s="88"/>
      <c r="S193" s="88"/>
      <c r="T193" s="88"/>
      <c r="U193" s="88" t="n">
        <v>0.341678799595684</v>
      </c>
      <c r="V193" s="88" t="str">
        <f aca="false">IF(SUM($G193)=0,"",SUM($M193:$U193))</f>
        <v/>
      </c>
      <c r="W193" s="88"/>
      <c r="X193" s="39" t="str">
        <f aca="false">IF(OR(SUM($G193)=0,SUM($Q193)=0),"",ROUND(SUM($G193)*SUM($Q193),0))</f>
        <v/>
      </c>
      <c r="Y193" s="39" t="str">
        <f aca="false">IF(SUM($X193)=0,"",IF(SUM($W193)=0,"ENTER YIELD",ROUND($X193/$W193,0)-$X193))</f>
        <v/>
      </c>
      <c r="Z193" s="88"/>
      <c r="AA193" s="39" t="str">
        <f aca="false">IF(OR(SUM($G193)=0,SUM($R193)=0),"",ROUND(SUM($G193)*SUM($R193),0))</f>
        <v/>
      </c>
      <c r="AB193" s="39" t="str">
        <f aca="false">IF(SUM($AA193)=0,"",IF(SUM($Z193)=0,"ENTER YIELD",ROUND($AA193/$Z193,0)-$AA193))</f>
        <v/>
      </c>
      <c r="AC193" s="88"/>
      <c r="AD193" s="39" t="str">
        <f aca="false">IF(OR(SUM($G193)=0,SUM($S193)=0),"",ROUND(SUM($G193)*SUM($S193),0))</f>
        <v/>
      </c>
      <c r="AE193" s="39" t="str">
        <f aca="false">IF(SUM($AD193)=0,"",IF(SUM($AC193)=0,"ENTER YIELD",ROUND($AD193/$AC193,0)-$AD193))</f>
        <v/>
      </c>
      <c r="AF193" s="88"/>
      <c r="AG193" s="39" t="str">
        <f aca="false">IF(OR(SUM($G193)=0,SUM($T193)=0),"",ROUND(SUM($G193)*SUM($T193),0))</f>
        <v/>
      </c>
      <c r="AH193" s="39" t="str">
        <f aca="false">IF(SUM($AG193)=0,"",IF(SUM($AF193)=0,"ENTER YIELD",ROUND($AG193/$AF193,0)-$AG193))</f>
        <v/>
      </c>
      <c r="AI193" s="88"/>
      <c r="AJ193" s="39" t="str">
        <f aca="false">IF(OR(SUM($G193)=0,SUM($U193)=0),"",ROUND(SUM($G193)*SUM($U193),0))</f>
        <v/>
      </c>
      <c r="AK193" s="39" t="str">
        <f aca="false">IF(SUM($AJ193)=0,"",IF(SUM($AI193)=0,"ENTER YIELD",ROUND($AJ193/$AI193,0)-$AJ193))</f>
        <v/>
      </c>
      <c r="AL193" s="10" t="str">
        <f aca="false">IF(SUM($G193)=0,"",$G193)</f>
        <v/>
      </c>
      <c r="AM193" s="10" t="str">
        <f aca="false">IFERROR(1/(1/SUM($H193:$K193,$X193,$AA193,$AD193,$AG193,$AJ193)),"")</f>
        <v/>
      </c>
      <c r="AN193" s="10" t="str">
        <f aca="false">IF(AND(SUM($AM193)=0,SUM($AL193)=0),"",$AM193-$AL193)</f>
        <v/>
      </c>
      <c r="AO193" s="10" t="str">
        <f aca="false">IF(OR($C193="01-09",$D193="Male"),"",INDEX(PMTCT!$AD:$AD,MATCH($E193,PMTCT!$E:$E,0)))</f>
        <v/>
      </c>
      <c r="AP193" s="10" t="str">
        <f aca="false">IF(OR($C193="01-09",$D193="Male"),"",INDEX(PMTCT!$AT:$AT,MATCH($E193,PMTCT!$E:$E,0)))</f>
        <v/>
      </c>
      <c r="AQ193" s="10" t="str">
        <f aca="false">INDEX(TB!$Q:$Q,MATCH($E193,TB!$E:$E,0))</f>
        <v/>
      </c>
      <c r="AR193" s="10" t="str">
        <f aca="false">IF(OR($C193="01-09",$C193="10-14",$D193="Female"),"",INDEX(VMMC!$AB:$AB,MATCH($E193,VMMC!$E:$E,0)))</f>
        <v/>
      </c>
      <c r="AS193" s="10" t="str">
        <f aca="false">IF(OR($C193="01-09",$C193="10-14"),"",INDEX(PrEP!$Q:$Q,MATCH($E193,PrEP!$E:$E,0)))</f>
        <v/>
      </c>
      <c r="AT193" s="10" t="str">
        <f aca="false">IFERROR(1/(1/SUM($Y193,$AB193,$AE193,$AH193,$AK193,$AO193:$AS193)),"")</f>
        <v/>
      </c>
      <c r="AU193" s="10" t="str">
        <f aca="false">IFERROR(1/(1/SUM($AT193,$AM193)),"")</f>
        <v/>
      </c>
      <c r="AV193" s="88" t="str">
        <f aca="false">IF(AND(SUM($AM193)=0,SUM($AU193)=0),"",$AM193/$AU193)</f>
        <v/>
      </c>
      <c r="AW193" s="10" t="n">
        <v>7</v>
      </c>
      <c r="AX193" s="88" t="n">
        <f aca="false">IF(OR($C193="01-09",SUM($AW193)=0),"",0%)</f>
        <v>0</v>
      </c>
      <c r="AY193" s="39" t="n">
        <f aca="false">IF(OR($C193="01-09",SUM($AW193)=0),"",ROUND($AW193*(1+$AX193),0))</f>
        <v>7</v>
      </c>
      <c r="AZ193" s="88" t="n">
        <f aca="false">IF(OR($C193="01-09",$C193="10-14"),"",100%)</f>
        <v>1</v>
      </c>
      <c r="BA193" s="39" t="str">
        <f aca="false">IF(OR(SUM($AM193)=0,$C193="01-09",$C193="10-14"),"",$AM193*$AZ193)</f>
        <v/>
      </c>
    </row>
    <row r="194" customFormat="false" ht="15" hidden="false" customHeight="false" outlineLevel="0" collapsed="false">
      <c r="A194" s="0" t="str">
        <f aca="false">INDEX(Prioritization!$D:$D,MATCH($B194,Prioritization!$A:$A,0))</f>
        <v>INVALID</v>
      </c>
      <c r="B194" s="0" t="s">
        <v>208</v>
      </c>
      <c r="C194" s="0" t="s">
        <v>368</v>
      </c>
      <c r="D194" s="0" t="s">
        <v>48</v>
      </c>
      <c r="E194" s="0" t="str">
        <f aca="false">$B194&amp;"|"&amp;$C194&amp;"|"&amp;$D194</f>
        <v>Nkhata Bay District [E7zpfyBt7Tw]|50+|Male</v>
      </c>
      <c r="F194" s="88" t="n">
        <f aca="false">IF(LEFT($B194,4)="_Mil","",INDEX(Cascade!$AA:$AA,MATCH($E194,Cascade!$E:$E,0)))</f>
        <v>1677</v>
      </c>
      <c r="G194" s="10" t="n">
        <f aca="false">INDEX(Cascade!$BH:$BH,MATCH($E194,Cascade!$E:$E,0))</f>
        <v>0</v>
      </c>
      <c r="H194" s="10" t="str">
        <f aca="false">IF(OR($C194="01-09",$D194="Male"),"",INDEX(PMTCT!$AC:$AC,MATCH($E194,PMTCT!$E:$E,0)))</f>
        <v/>
      </c>
      <c r="I194" s="10" t="str">
        <f aca="false">IF(OR($C194="01-09",$D194="Male"),"",INDEX(PMTCT!$AS:$AS,MATCH($E194,PMTCT!$E:$E,0)))</f>
        <v/>
      </c>
      <c r="J194" s="10" t="str">
        <f aca="false">INDEX(TB!$P:$P,MATCH($E194,TB!$E:$E,0))</f>
        <v/>
      </c>
      <c r="K194" s="10" t="str">
        <f aca="false">IF(OR($C194="01-09",$C194="10-14",$D194="Female"),"",INDEX(VMMC!$AA:$AA,MATCH($E194,VMMC!$E:$E,0)))</f>
        <v/>
      </c>
      <c r="L194" s="10" t="n">
        <f aca="false">SUM($G194)-SUM($H194:$K194)</f>
        <v>0</v>
      </c>
      <c r="M194" s="88" t="str">
        <f aca="false">IF(OR($C194="01-09",$D194="Male",AND(SUM($G194)=0,SUM($H194)=0)),"",SUM($H194)/SUM($G194))</f>
        <v/>
      </c>
      <c r="N194" s="88" t="str">
        <f aca="false">IF(OR($C194="01-09",$D194="Male",AND(SUM($G194)=0,SUM($I194)=0)),"",SUM($I194)/SUM($G194))</f>
        <v/>
      </c>
      <c r="O194" s="88" t="str">
        <f aca="false">IF(AND(SUM($G194)=0,SUM($J194)=0),"",SUM($J194)/SUM($G194))</f>
        <v/>
      </c>
      <c r="P194" s="88" t="str">
        <f aca="false">IF(OR($C194="01-09",$C194="10-14",$D194="Female",AND(SUM($G194)=0,SUM($K194)=0)),"",SUM($K194)/SUM($G194))</f>
        <v/>
      </c>
      <c r="Q194" s="88"/>
      <c r="R194" s="88"/>
      <c r="S194" s="88"/>
      <c r="T194" s="88"/>
      <c r="U194" s="88" t="n">
        <v>0.386485086055472</v>
      </c>
      <c r="V194" s="88" t="str">
        <f aca="false">IF(SUM($G194)=0,"",SUM($M194:$U194))</f>
        <v/>
      </c>
      <c r="W194" s="88"/>
      <c r="X194" s="39" t="str">
        <f aca="false">IF(OR(SUM($G194)=0,SUM($Q194)=0),"",ROUND(SUM($G194)*SUM($Q194),0))</f>
        <v/>
      </c>
      <c r="Y194" s="39" t="str">
        <f aca="false">IF(SUM($X194)=0,"",IF(SUM($W194)=0,"ENTER YIELD",ROUND($X194/$W194,0)-$X194))</f>
        <v/>
      </c>
      <c r="Z194" s="88"/>
      <c r="AA194" s="39" t="str">
        <f aca="false">IF(OR(SUM($G194)=0,SUM($R194)=0),"",ROUND(SUM($G194)*SUM($R194),0))</f>
        <v/>
      </c>
      <c r="AB194" s="39" t="str">
        <f aca="false">IF(SUM($AA194)=0,"",IF(SUM($Z194)=0,"ENTER YIELD",ROUND($AA194/$Z194,0)-$AA194))</f>
        <v/>
      </c>
      <c r="AC194" s="88"/>
      <c r="AD194" s="39" t="str">
        <f aca="false">IF(OR(SUM($G194)=0,SUM($S194)=0),"",ROUND(SUM($G194)*SUM($S194),0))</f>
        <v/>
      </c>
      <c r="AE194" s="39" t="str">
        <f aca="false">IF(SUM($AD194)=0,"",IF(SUM($AC194)=0,"ENTER YIELD",ROUND($AD194/$AC194,0)-$AD194))</f>
        <v/>
      </c>
      <c r="AF194" s="88"/>
      <c r="AG194" s="39" t="str">
        <f aca="false">IF(OR(SUM($G194)=0,SUM($T194)=0),"",ROUND(SUM($G194)*SUM($T194),0))</f>
        <v/>
      </c>
      <c r="AH194" s="39" t="str">
        <f aca="false">IF(SUM($AG194)=0,"",IF(SUM($AF194)=0,"ENTER YIELD",ROUND($AG194/$AF194,0)-$AG194))</f>
        <v/>
      </c>
      <c r="AI194" s="88"/>
      <c r="AJ194" s="39" t="str">
        <f aca="false">IF(OR(SUM($G194)=0,SUM($U194)=0),"",ROUND(SUM($G194)*SUM($U194),0))</f>
        <v/>
      </c>
      <c r="AK194" s="39" t="str">
        <f aca="false">IF(SUM($AJ194)=0,"",IF(SUM($AI194)=0,"ENTER YIELD",ROUND($AJ194/$AI194,0)-$AJ194))</f>
        <v/>
      </c>
      <c r="AL194" s="10" t="str">
        <f aca="false">IF(SUM($G194)=0,"",$G194)</f>
        <v/>
      </c>
      <c r="AM194" s="10" t="str">
        <f aca="false">IFERROR(1/(1/SUM($H194:$K194,$X194,$AA194,$AD194,$AG194,$AJ194)),"")</f>
        <v/>
      </c>
      <c r="AN194" s="10" t="str">
        <f aca="false">IF(AND(SUM($AM194)=0,SUM($AL194)=0),"",$AM194-$AL194)</f>
        <v/>
      </c>
      <c r="AO194" s="10" t="str">
        <f aca="false">IF(OR($C194="01-09",$D194="Male"),"",INDEX(PMTCT!$AD:$AD,MATCH($E194,PMTCT!$E:$E,0)))</f>
        <v/>
      </c>
      <c r="AP194" s="10" t="str">
        <f aca="false">IF(OR($C194="01-09",$D194="Male"),"",INDEX(PMTCT!$AT:$AT,MATCH($E194,PMTCT!$E:$E,0)))</f>
        <v/>
      </c>
      <c r="AQ194" s="10" t="str">
        <f aca="false">INDEX(TB!$Q:$Q,MATCH($E194,TB!$E:$E,0))</f>
        <v/>
      </c>
      <c r="AR194" s="10" t="str">
        <f aca="false">IF(OR($C194="01-09",$C194="10-14",$D194="Female"),"",INDEX(VMMC!$AB:$AB,MATCH($E194,VMMC!$E:$E,0)))</f>
        <v/>
      </c>
      <c r="AS194" s="10" t="str">
        <f aca="false">IF(OR($C194="01-09",$C194="10-14"),"",INDEX(PrEP!$Q:$Q,MATCH($E194,PrEP!$E:$E,0)))</f>
        <v/>
      </c>
      <c r="AT194" s="10" t="str">
        <f aca="false">IFERROR(1/(1/SUM($Y194,$AB194,$AE194,$AH194,$AK194,$AO194:$AS194)),"")</f>
        <v/>
      </c>
      <c r="AU194" s="10" t="str">
        <f aca="false">IFERROR(1/(1/SUM($AT194,$AM194)),"")</f>
        <v/>
      </c>
      <c r="AV194" s="88" t="str">
        <f aca="false">IF(AND(SUM($AM194)=0,SUM($AU194)=0),"",$AM194/$AU194)</f>
        <v/>
      </c>
      <c r="AW194" s="10" t="n">
        <v>6</v>
      </c>
      <c r="AX194" s="88" t="n">
        <f aca="false">IF(OR($C194="01-09",SUM($AW194)=0),"",0%)</f>
        <v>0</v>
      </c>
      <c r="AY194" s="39" t="n">
        <f aca="false">IF(OR($C194="01-09",SUM($AW194)=0),"",ROUND($AW194*(1+$AX194),0))</f>
        <v>6</v>
      </c>
      <c r="AZ194" s="88" t="n">
        <f aca="false">IF(OR($C194="01-09",$C194="10-14"),"",100%)</f>
        <v>1</v>
      </c>
      <c r="BA194" s="39" t="str">
        <f aca="false">IF(OR(SUM($AM194)=0,$C194="01-09",$C194="10-14"),"",$AM194*$AZ194)</f>
        <v/>
      </c>
    </row>
    <row r="195" customFormat="false" ht="15" hidden="false" customHeight="false" outlineLevel="0" collapsed="false">
      <c r="A195" s="0" t="str">
        <f aca="false">INDEX(Prioritization!$D:$D,MATCH($B195,Prioritization!$A:$A,0))</f>
        <v>INVALID</v>
      </c>
      <c r="B195" s="0" t="s">
        <v>209</v>
      </c>
      <c r="C195" s="0" t="s">
        <v>363</v>
      </c>
      <c r="D195" s="0" t="s">
        <v>30</v>
      </c>
      <c r="E195" s="0" t="str">
        <f aca="false">$B195&amp;"|"&amp;$C195&amp;"|"&amp;$D195</f>
        <v>Rumphi District [lPTyjLi4w3d]|01-09|Female</v>
      </c>
      <c r="F195" s="88" t="n">
        <f aca="false">IF(LEFT($B195,4)="_Mil","",INDEX(Cascade!$AA:$AA,MATCH($E195,Cascade!$E:$E,0)))</f>
        <v>754</v>
      </c>
      <c r="G195" s="10" t="n">
        <f aca="false">INDEX(Cascade!$BH:$BH,MATCH($E195,Cascade!$E:$E,0))</f>
        <v>0</v>
      </c>
      <c r="H195" s="10" t="str">
        <f aca="false">IF(OR($C195="01-09",$D195="Male"),"",INDEX(PMTCT!$AC:$AC,MATCH($E195,PMTCT!$E:$E,0)))</f>
        <v/>
      </c>
      <c r="I195" s="10" t="str">
        <f aca="false">IF(OR($C195="01-09",$D195="Male"),"",INDEX(PMTCT!$AS:$AS,MATCH($E195,PMTCT!$E:$E,0)))</f>
        <v/>
      </c>
      <c r="J195" s="10" t="str">
        <f aca="false">INDEX(TB!$P:$P,MATCH($E195,TB!$E:$E,0))</f>
        <v/>
      </c>
      <c r="K195" s="10" t="str">
        <f aca="false">IF(OR($C195="01-09",$C195="10-14",$D195="Female"),"",INDEX(VMMC!$AA:$AA,MATCH($E195,VMMC!$E:$E,0)))</f>
        <v/>
      </c>
      <c r="L195" s="10" t="n">
        <f aca="false">SUM($G195)-SUM($H195:$K195)</f>
        <v>0</v>
      </c>
      <c r="M195" s="88" t="str">
        <f aca="false">IF(OR($C195="01-09",$D195="Male",AND(SUM($G195)=0,SUM($H195)=0)),"",SUM($H195)/SUM($G195))</f>
        <v/>
      </c>
      <c r="N195" s="88" t="str">
        <f aca="false">IF(OR($C195="01-09",$D195="Male",AND(SUM($G195)=0,SUM($I195)=0)),"",SUM($I195)/SUM($G195))</f>
        <v/>
      </c>
      <c r="O195" s="88" t="str">
        <f aca="false">IF(AND(SUM($G195)=0,SUM($J195)=0),"",SUM($J195)/SUM($G195))</f>
        <v/>
      </c>
      <c r="P195" s="88" t="str">
        <f aca="false">IF(OR($C195="01-09",$C195="10-14",$D195="Female",AND(SUM($G195)=0,SUM($K195)=0)),"",SUM($K195)/SUM($G195))</f>
        <v/>
      </c>
      <c r="Q195" s="88"/>
      <c r="R195" s="88"/>
      <c r="S195" s="88"/>
      <c r="T195" s="88"/>
      <c r="U195" s="88"/>
      <c r="V195" s="88" t="str">
        <f aca="false">IF(SUM($G195)=0,"",SUM($M195:$U195))</f>
        <v/>
      </c>
      <c r="W195" s="88"/>
      <c r="X195" s="39" t="str">
        <f aca="false">IF(OR(SUM($G195)=0,SUM($Q195)=0),"",ROUND(SUM($G195)*SUM($Q195),0))</f>
        <v/>
      </c>
      <c r="Y195" s="39" t="str">
        <f aca="false">IF(SUM($X195)=0,"",IF(SUM($W195)=0,"ENTER YIELD",ROUND($X195/$W195,0)-$X195))</f>
        <v/>
      </c>
      <c r="Z195" s="88"/>
      <c r="AA195" s="39" t="str">
        <f aca="false">IF(OR(SUM($G195)=0,SUM($R195)=0),"",ROUND(SUM($G195)*SUM($R195),0))</f>
        <v/>
      </c>
      <c r="AB195" s="39" t="str">
        <f aca="false">IF(SUM($AA195)=0,"",IF(SUM($Z195)=0,"ENTER YIELD",ROUND($AA195/$Z195,0)-$AA195))</f>
        <v/>
      </c>
      <c r="AC195" s="88"/>
      <c r="AD195" s="39" t="str">
        <f aca="false">IF(OR(SUM($G195)=0,SUM($S195)=0),"",ROUND(SUM($G195)*SUM($S195),0))</f>
        <v/>
      </c>
      <c r="AE195" s="39" t="str">
        <f aca="false">IF(SUM($AD195)=0,"",IF(SUM($AC195)=0,"ENTER YIELD",ROUND($AD195/$AC195,0)-$AD195))</f>
        <v/>
      </c>
      <c r="AF195" s="88"/>
      <c r="AG195" s="39" t="str">
        <f aca="false">IF(OR(SUM($G195)=0,SUM($T195)=0),"",ROUND(SUM($G195)*SUM($T195),0))</f>
        <v/>
      </c>
      <c r="AH195" s="39" t="str">
        <f aca="false">IF(SUM($AG195)=0,"",IF(SUM($AF195)=0,"ENTER YIELD",ROUND($AG195/$AF195,0)-$AG195))</f>
        <v/>
      </c>
      <c r="AI195" s="88"/>
      <c r="AJ195" s="39" t="str">
        <f aca="false">IF(OR(SUM($G195)=0,SUM($U195)=0),"",ROUND(SUM($G195)*SUM($U195),0))</f>
        <v/>
      </c>
      <c r="AK195" s="39" t="str">
        <f aca="false">IF(SUM($AJ195)=0,"",IF(SUM($AI195)=0,"ENTER YIELD",ROUND($AJ195/$AI195,0)-$AJ195))</f>
        <v/>
      </c>
      <c r="AL195" s="10" t="str">
        <f aca="false">IF(SUM($G195)=0,"",$G195)</f>
        <v/>
      </c>
      <c r="AM195" s="10" t="str">
        <f aca="false">IFERROR(1/(1/SUM($H195:$K195,$X195,$AA195,$AD195,$AG195,$AJ195)),"")</f>
        <v/>
      </c>
      <c r="AN195" s="10" t="str">
        <f aca="false">IF(AND(SUM($AM195)=0,SUM($AL195)=0),"",$AM195-$AL195)</f>
        <v/>
      </c>
      <c r="AO195" s="10" t="str">
        <f aca="false">IF(OR($C195="01-09",$D195="Male"),"",INDEX(PMTCT!$AD:$AD,MATCH($E195,PMTCT!$E:$E,0)))</f>
        <v/>
      </c>
      <c r="AP195" s="10" t="str">
        <f aca="false">IF(OR($C195="01-09",$D195="Male"),"",INDEX(PMTCT!$AT:$AT,MATCH($E195,PMTCT!$E:$E,0)))</f>
        <v/>
      </c>
      <c r="AQ195" s="10" t="str">
        <f aca="false">INDEX(TB!$Q:$Q,MATCH($E195,TB!$E:$E,0))</f>
        <v/>
      </c>
      <c r="AR195" s="10" t="str">
        <f aca="false">IF(OR($C195="01-09",$C195="10-14",$D195="Female"),"",INDEX(VMMC!$AB:$AB,MATCH($E195,VMMC!$E:$E,0)))</f>
        <v/>
      </c>
      <c r="AS195" s="10" t="str">
        <f aca="false">IF(OR($C195="01-09",$C195="10-14"),"",INDEX(PrEP!$Q:$Q,MATCH($E195,PrEP!$E:$E,0)))</f>
        <v/>
      </c>
      <c r="AT195" s="10" t="str">
        <f aca="false">IFERROR(1/(1/SUM($Y195,$AB195,$AE195,$AH195,$AK195,$AO195:$AS195)),"")</f>
        <v/>
      </c>
      <c r="AU195" s="10" t="str">
        <f aca="false">IFERROR(1/(1/SUM($AT195,$AM195)),"")</f>
        <v/>
      </c>
      <c r="AV195" s="88" t="str">
        <f aca="false">IF(AND(SUM($AM195)=0,SUM($AU195)=0),"",$AM195/$AU195)</f>
        <v/>
      </c>
      <c r="AW195" s="10"/>
      <c r="AX195" s="88" t="str">
        <f aca="false">IF(OR($C195="01-09",SUM($AW195)=0),"",0%)</f>
        <v/>
      </c>
      <c r="AY195" s="39" t="str">
        <f aca="false">IF(OR($C195="01-09",SUM($AW195)=0),"",ROUND($AW195*(1+$AX195),0))</f>
        <v/>
      </c>
      <c r="AZ195" s="88" t="str">
        <f aca="false">IF(OR($C195="01-09",$C195="10-14"),"",100%)</f>
        <v/>
      </c>
      <c r="BA195" s="39" t="str">
        <f aca="false">IF(OR(SUM($AM195)=0,$C195="01-09",$C195="10-14"),"",$AM195*$AZ195)</f>
        <v/>
      </c>
    </row>
    <row r="196" customFormat="false" ht="15" hidden="false" customHeight="false" outlineLevel="0" collapsed="false">
      <c r="A196" s="0" t="str">
        <f aca="false">INDEX(Prioritization!$D:$D,MATCH($B196,Prioritization!$A:$A,0))</f>
        <v>INVALID</v>
      </c>
      <c r="B196" s="0" t="s">
        <v>209</v>
      </c>
      <c r="C196" s="0" t="s">
        <v>363</v>
      </c>
      <c r="D196" s="0" t="s">
        <v>48</v>
      </c>
      <c r="E196" s="0" t="str">
        <f aca="false">$B196&amp;"|"&amp;$C196&amp;"|"&amp;$D196</f>
        <v>Rumphi District [lPTyjLi4w3d]|01-09|Male</v>
      </c>
      <c r="F196" s="88" t="n">
        <f aca="false">IF(LEFT($B196,4)="_Mil","",INDEX(Cascade!$AA:$AA,MATCH($E196,Cascade!$E:$E,0)))</f>
        <v>796</v>
      </c>
      <c r="G196" s="10" t="n">
        <f aca="false">INDEX(Cascade!$BH:$BH,MATCH($E196,Cascade!$E:$E,0))</f>
        <v>0</v>
      </c>
      <c r="H196" s="10" t="str">
        <f aca="false">IF(OR($C196="01-09",$D196="Male"),"",INDEX(PMTCT!$AC:$AC,MATCH($E196,PMTCT!$E:$E,0)))</f>
        <v/>
      </c>
      <c r="I196" s="10" t="str">
        <f aca="false">IF(OR($C196="01-09",$D196="Male"),"",INDEX(PMTCT!$AS:$AS,MATCH($E196,PMTCT!$E:$E,0)))</f>
        <v/>
      </c>
      <c r="J196" s="10" t="str">
        <f aca="false">INDEX(TB!$P:$P,MATCH($E196,TB!$E:$E,0))</f>
        <v/>
      </c>
      <c r="K196" s="10" t="str">
        <f aca="false">IF(OR($C196="01-09",$C196="10-14",$D196="Female"),"",INDEX(VMMC!$AA:$AA,MATCH($E196,VMMC!$E:$E,0)))</f>
        <v/>
      </c>
      <c r="L196" s="10" t="n">
        <f aca="false">SUM($G196)-SUM($H196:$K196)</f>
        <v>0</v>
      </c>
      <c r="M196" s="88" t="str">
        <f aca="false">IF(OR($C196="01-09",$D196="Male",AND(SUM($G196)=0,SUM($H196)=0)),"",SUM($H196)/SUM($G196))</f>
        <v/>
      </c>
      <c r="N196" s="88" t="str">
        <f aca="false">IF(OR($C196="01-09",$D196="Male",AND(SUM($G196)=0,SUM($I196)=0)),"",SUM($I196)/SUM($G196))</f>
        <v/>
      </c>
      <c r="O196" s="88" t="str">
        <f aca="false">IF(AND(SUM($G196)=0,SUM($J196)=0),"",SUM($J196)/SUM($G196))</f>
        <v/>
      </c>
      <c r="P196" s="88" t="str">
        <f aca="false">IF(OR($C196="01-09",$C196="10-14",$D196="Female",AND(SUM($G196)=0,SUM($K196)=0)),"",SUM($K196)/SUM($G196))</f>
        <v/>
      </c>
      <c r="Q196" s="88"/>
      <c r="R196" s="88"/>
      <c r="S196" s="88"/>
      <c r="T196" s="88"/>
      <c r="U196" s="88"/>
      <c r="V196" s="88" t="str">
        <f aca="false">IF(SUM($G196)=0,"",SUM($M196:$U196))</f>
        <v/>
      </c>
      <c r="W196" s="88"/>
      <c r="X196" s="39" t="str">
        <f aca="false">IF(OR(SUM($G196)=0,SUM($Q196)=0),"",ROUND(SUM($G196)*SUM($Q196),0))</f>
        <v/>
      </c>
      <c r="Y196" s="39" t="str">
        <f aca="false">IF(SUM($X196)=0,"",IF(SUM($W196)=0,"ENTER YIELD",ROUND($X196/$W196,0)-$X196))</f>
        <v/>
      </c>
      <c r="Z196" s="88"/>
      <c r="AA196" s="39" t="str">
        <f aca="false">IF(OR(SUM($G196)=0,SUM($R196)=0),"",ROUND(SUM($G196)*SUM($R196),0))</f>
        <v/>
      </c>
      <c r="AB196" s="39" t="str">
        <f aca="false">IF(SUM($AA196)=0,"",IF(SUM($Z196)=0,"ENTER YIELD",ROUND($AA196/$Z196,0)-$AA196))</f>
        <v/>
      </c>
      <c r="AC196" s="88"/>
      <c r="AD196" s="39" t="str">
        <f aca="false">IF(OR(SUM($G196)=0,SUM($S196)=0),"",ROUND(SUM($G196)*SUM($S196),0))</f>
        <v/>
      </c>
      <c r="AE196" s="39" t="str">
        <f aca="false">IF(SUM($AD196)=0,"",IF(SUM($AC196)=0,"ENTER YIELD",ROUND($AD196/$AC196,0)-$AD196))</f>
        <v/>
      </c>
      <c r="AF196" s="88"/>
      <c r="AG196" s="39" t="str">
        <f aca="false">IF(OR(SUM($G196)=0,SUM($T196)=0),"",ROUND(SUM($G196)*SUM($T196),0))</f>
        <v/>
      </c>
      <c r="AH196" s="39" t="str">
        <f aca="false">IF(SUM($AG196)=0,"",IF(SUM($AF196)=0,"ENTER YIELD",ROUND($AG196/$AF196,0)-$AG196))</f>
        <v/>
      </c>
      <c r="AI196" s="88"/>
      <c r="AJ196" s="39" t="str">
        <f aca="false">IF(OR(SUM($G196)=0,SUM($U196)=0),"",ROUND(SUM($G196)*SUM($U196),0))</f>
        <v/>
      </c>
      <c r="AK196" s="39" t="str">
        <f aca="false">IF(SUM($AJ196)=0,"",IF(SUM($AI196)=0,"ENTER YIELD",ROUND($AJ196/$AI196,0)-$AJ196))</f>
        <v/>
      </c>
      <c r="AL196" s="10" t="str">
        <f aca="false">IF(SUM($G196)=0,"",$G196)</f>
        <v/>
      </c>
      <c r="AM196" s="10" t="str">
        <f aca="false">IFERROR(1/(1/SUM($H196:$K196,$X196,$AA196,$AD196,$AG196,$AJ196)),"")</f>
        <v/>
      </c>
      <c r="AN196" s="10" t="str">
        <f aca="false">IF(AND(SUM($AM196)=0,SUM($AL196)=0),"",$AM196-$AL196)</f>
        <v/>
      </c>
      <c r="AO196" s="10" t="str">
        <f aca="false">IF(OR($C196="01-09",$D196="Male"),"",INDEX(PMTCT!$AD:$AD,MATCH($E196,PMTCT!$E:$E,0)))</f>
        <v/>
      </c>
      <c r="AP196" s="10" t="str">
        <f aca="false">IF(OR($C196="01-09",$D196="Male"),"",INDEX(PMTCT!$AT:$AT,MATCH($E196,PMTCT!$E:$E,0)))</f>
        <v/>
      </c>
      <c r="AQ196" s="10" t="str">
        <f aca="false">INDEX(TB!$Q:$Q,MATCH($E196,TB!$E:$E,0))</f>
        <v/>
      </c>
      <c r="AR196" s="10" t="str">
        <f aca="false">IF(OR($C196="01-09",$C196="10-14",$D196="Female"),"",INDEX(VMMC!$AB:$AB,MATCH($E196,VMMC!$E:$E,0)))</f>
        <v/>
      </c>
      <c r="AS196" s="10" t="str">
        <f aca="false">IF(OR($C196="01-09",$C196="10-14"),"",INDEX(PrEP!$Q:$Q,MATCH($E196,PrEP!$E:$E,0)))</f>
        <v/>
      </c>
      <c r="AT196" s="10" t="str">
        <f aca="false">IFERROR(1/(1/SUM($Y196,$AB196,$AE196,$AH196,$AK196,$AO196:$AS196)),"")</f>
        <v/>
      </c>
      <c r="AU196" s="10" t="str">
        <f aca="false">IFERROR(1/(1/SUM($AT196,$AM196)),"")</f>
        <v/>
      </c>
      <c r="AV196" s="88" t="str">
        <f aca="false">IF(AND(SUM($AM196)=0,SUM($AU196)=0),"",$AM196/$AU196)</f>
        <v/>
      </c>
      <c r="AW196" s="10"/>
      <c r="AX196" s="88" t="str">
        <f aca="false">IF(OR($C196="01-09",SUM($AW196)=0),"",0%)</f>
        <v/>
      </c>
      <c r="AY196" s="39" t="str">
        <f aca="false">IF(OR($C196="01-09",SUM($AW196)=0),"",ROUND($AW196*(1+$AX196),0))</f>
        <v/>
      </c>
      <c r="AZ196" s="88" t="str">
        <f aca="false">IF(OR($C196="01-09",$C196="10-14"),"",100%)</f>
        <v/>
      </c>
      <c r="BA196" s="39" t="str">
        <f aca="false">IF(OR(SUM($AM196)=0,$C196="01-09",$C196="10-14"),"",$AM196*$AZ196)</f>
        <v/>
      </c>
    </row>
    <row r="197" customFormat="false" ht="15" hidden="false" customHeight="false" outlineLevel="0" collapsed="false">
      <c r="A197" s="0" t="str">
        <f aca="false">INDEX(Prioritization!$D:$D,MATCH($B197,Prioritization!$A:$A,0))</f>
        <v>INVALID</v>
      </c>
      <c r="B197" s="0" t="s">
        <v>209</v>
      </c>
      <c r="C197" s="0" t="s">
        <v>364</v>
      </c>
      <c r="D197" s="0" t="s">
        <v>30</v>
      </c>
      <c r="E197" s="0" t="str">
        <f aca="false">$B197&amp;"|"&amp;$C197&amp;"|"&amp;$D197</f>
        <v>Rumphi District [lPTyjLi4w3d]|10-14|Female</v>
      </c>
      <c r="F197" s="88" t="n">
        <f aca="false">IF(LEFT($B197,4)="_Mil","",INDEX(Cascade!$AA:$AA,MATCH($E197,Cascade!$E:$E,0)))</f>
        <v>1448</v>
      </c>
      <c r="G197" s="10" t="n">
        <f aca="false">INDEX(Cascade!$BH:$BH,MATCH($E197,Cascade!$E:$E,0))</f>
        <v>-63</v>
      </c>
      <c r="H197" s="10" t="str">
        <f aca="false">IF(OR($C197="01-09",$D197="Male"),"",INDEX(PMTCT!$AC:$AC,MATCH($E197,PMTCT!$E:$E,0)))</f>
        <v>ENTER YIELD RATE</v>
      </c>
      <c r="I197" s="10" t="str">
        <f aca="false">IF(OR($C197="01-09",$D197="Male"),"",INDEX(PMTCT!$AS:$AS,MATCH($E197,PMTCT!$E:$E,0)))</f>
        <v>ENTER YIELD RATE</v>
      </c>
      <c r="J197" s="10" t="str">
        <f aca="false">INDEX(TB!$P:$P,MATCH($E197,TB!$E:$E,0))</f>
        <v>ENTER YIELD RATE</v>
      </c>
      <c r="K197" s="10" t="str">
        <f aca="false">IF(OR($C197="01-09",$C197="10-14",$D197="Female"),"",INDEX(VMMC!$AA:$AA,MATCH($E197,VMMC!$E:$E,0)))</f>
        <v/>
      </c>
      <c r="L197" s="10" t="n">
        <f aca="false">SUM($G197)-SUM($H197:$K197)</f>
        <v>-63</v>
      </c>
      <c r="M197" s="88" t="n">
        <f aca="false">IF(OR($C197="01-09",$D197="Male",AND(SUM($G197)=0,SUM($H197)=0)),"",SUM($H197)/SUM($G197))</f>
        <v>-0</v>
      </c>
      <c r="N197" s="88" t="n">
        <f aca="false">IF(OR($C197="01-09",$D197="Male",AND(SUM($G197)=0,SUM($I197)=0)),"",SUM($I197)/SUM($G197))</f>
        <v>-0</v>
      </c>
      <c r="O197" s="88" t="n">
        <f aca="false">IF(AND(SUM($G197)=0,SUM($J197)=0),"",SUM($J197)/SUM($G197))</f>
        <v>-0</v>
      </c>
      <c r="P197" s="88" t="str">
        <f aca="false">IF(OR($C197="01-09",$C197="10-14",$D197="Female",AND(SUM($G197)=0,SUM($K197)=0)),"",SUM($K197)/SUM($G197))</f>
        <v/>
      </c>
      <c r="Q197" s="88" t="n">
        <v>0.618946118978783</v>
      </c>
      <c r="R197" s="88"/>
      <c r="S197" s="88"/>
      <c r="T197" s="88"/>
      <c r="U197" s="88" t="n">
        <v>0.677710336633027</v>
      </c>
      <c r="V197" s="88" t="n">
        <f aca="false">IF(SUM($G197)=0,"",SUM($M197:$U197))</f>
        <v>1.29665645561181</v>
      </c>
      <c r="W197" s="88"/>
      <c r="X197" s="39" t="n">
        <f aca="false">IF(OR(SUM($G197)=0,SUM($Q197)=0),"",ROUND(SUM($G197)*SUM($Q197),0))</f>
        <v>-39</v>
      </c>
      <c r="Y197" s="39" t="str">
        <f aca="false">IF(SUM($X197)=0,"",IF(SUM($W197)=0,"ENTER YIELD",ROUND($X197/$W197,0)-$X197))</f>
        <v>ENTER YIELD</v>
      </c>
      <c r="Z197" s="88"/>
      <c r="AA197" s="39" t="str">
        <f aca="false">IF(OR(SUM($G197)=0,SUM($R197)=0),"",ROUND(SUM($G197)*SUM($R197),0))</f>
        <v/>
      </c>
      <c r="AB197" s="39" t="str">
        <f aca="false">IF(SUM($AA197)=0,"",IF(SUM($Z197)=0,"ENTER YIELD",ROUND($AA197/$Z197,0)-$AA197))</f>
        <v/>
      </c>
      <c r="AC197" s="88"/>
      <c r="AD197" s="39" t="str">
        <f aca="false">IF(OR(SUM($G197)=0,SUM($S197)=0),"",ROUND(SUM($G197)*SUM($S197),0))</f>
        <v/>
      </c>
      <c r="AE197" s="39" t="str">
        <f aca="false">IF(SUM($AD197)=0,"",IF(SUM($AC197)=0,"ENTER YIELD",ROUND($AD197/$AC197,0)-$AD197))</f>
        <v/>
      </c>
      <c r="AF197" s="88"/>
      <c r="AG197" s="39" t="str">
        <f aca="false">IF(OR(SUM($G197)=0,SUM($T197)=0),"",ROUND(SUM($G197)*SUM($T197),0))</f>
        <v/>
      </c>
      <c r="AH197" s="39" t="str">
        <f aca="false">IF(SUM($AG197)=0,"",IF(SUM($AF197)=0,"ENTER YIELD",ROUND($AG197/$AF197,0)-$AG197))</f>
        <v/>
      </c>
      <c r="AI197" s="88"/>
      <c r="AJ197" s="39" t="n">
        <f aca="false">IF(OR(SUM($G197)=0,SUM($U197)=0),"",ROUND(SUM($G197)*SUM($U197),0))</f>
        <v>-43</v>
      </c>
      <c r="AK197" s="39" t="str">
        <f aca="false">IF(SUM($AJ197)=0,"",IF(SUM($AI197)=0,"ENTER YIELD",ROUND($AJ197/$AI197,0)-$AJ197))</f>
        <v>ENTER YIELD</v>
      </c>
      <c r="AL197" s="10" t="n">
        <f aca="false">IF(SUM($G197)=0,"",$G197)</f>
        <v>-63</v>
      </c>
      <c r="AM197" s="10" t="n">
        <f aca="false">IFERROR(1/(1/SUM($H197:$K197,$X197,$AA197,$AD197,$AG197,$AJ197)),"")</f>
        <v>-82</v>
      </c>
      <c r="AN197" s="10" t="n">
        <f aca="false">IF(AND(SUM($AM197)=0,SUM($AL197)=0),"",$AM197-$AL197)</f>
        <v>-19</v>
      </c>
      <c r="AO197" s="10" t="n">
        <f aca="false">IF(OR($C197="01-09",$D197="Male"),"",INDEX(PMTCT!$AD:$AD,MATCH($E197,PMTCT!$E:$E,0)))</f>
        <v>9</v>
      </c>
      <c r="AP197" s="10" t="n">
        <f aca="false">IF(OR($C197="01-09",$D197="Male"),"",INDEX(PMTCT!$AT:$AT,MATCH($E197,PMTCT!$E:$E,0)))</f>
        <v>9</v>
      </c>
      <c r="AQ197" s="10" t="n">
        <f aca="false">INDEX(TB!$Q:$Q,MATCH($E197,TB!$E:$E,0))</f>
        <v>1</v>
      </c>
      <c r="AR197" s="10" t="str">
        <f aca="false">IF(OR($C197="01-09",$C197="10-14",$D197="Female"),"",INDEX(VMMC!$AB:$AB,MATCH($E197,VMMC!$E:$E,0)))</f>
        <v/>
      </c>
      <c r="AS197" s="10" t="str">
        <f aca="false">IF(OR($C197="01-09",$C197="10-14"),"",INDEX(PrEP!$Q:$Q,MATCH($E197,PrEP!$E:$E,0)))</f>
        <v/>
      </c>
      <c r="AT197" s="10" t="n">
        <f aca="false">IFERROR(1/(1/SUM($Y197,$AB197,$AE197,$AH197,$AK197,$AO197:$AS197)),"")</f>
        <v>19</v>
      </c>
      <c r="AU197" s="10" t="n">
        <f aca="false">IFERROR(1/(1/SUM($AT197,$AM197)),"")</f>
        <v>-63</v>
      </c>
      <c r="AV197" s="88" t="n">
        <f aca="false">IF(AND(SUM($AM197)=0,SUM($AU197)=0),"",$AM197/$AU197)</f>
        <v>1.3015873015873</v>
      </c>
      <c r="AW197" s="10"/>
      <c r="AX197" s="88" t="str">
        <f aca="false">IF(OR($C197="01-09",SUM($AW197)=0),"",0%)</f>
        <v/>
      </c>
      <c r="AY197" s="39" t="str">
        <f aca="false">IF(OR($C197="01-09",SUM($AW197)=0),"",ROUND($AW197*(1+$AX197),0))</f>
        <v/>
      </c>
      <c r="AZ197" s="88" t="str">
        <f aca="false">IF(OR($C197="01-09",$C197="10-14"),"",100%)</f>
        <v/>
      </c>
      <c r="BA197" s="39" t="str">
        <f aca="false">IF(OR(SUM($AM197)=0,$C197="01-09",$C197="10-14"),"",$AM197*$AZ197)</f>
        <v/>
      </c>
    </row>
    <row r="198" customFormat="false" ht="15" hidden="false" customHeight="false" outlineLevel="0" collapsed="false">
      <c r="A198" s="0" t="str">
        <f aca="false">INDEX(Prioritization!$D:$D,MATCH($B198,Prioritization!$A:$A,0))</f>
        <v>INVALID</v>
      </c>
      <c r="B198" s="0" t="s">
        <v>209</v>
      </c>
      <c r="C198" s="0" t="s">
        <v>364</v>
      </c>
      <c r="D198" s="0" t="s">
        <v>48</v>
      </c>
      <c r="E198" s="0" t="str">
        <f aca="false">$B198&amp;"|"&amp;$C198&amp;"|"&amp;$D198</f>
        <v>Rumphi District [lPTyjLi4w3d]|10-14|Male</v>
      </c>
      <c r="F198" s="88" t="n">
        <f aca="false">IF(LEFT($B198,4)="_Mil","",INDEX(Cascade!$AA:$AA,MATCH($E198,Cascade!$E:$E,0)))</f>
        <v>1149</v>
      </c>
      <c r="G198" s="10" t="n">
        <f aca="false">INDEX(Cascade!$BH:$BH,MATCH($E198,Cascade!$E:$E,0))</f>
        <v>-98</v>
      </c>
      <c r="H198" s="10" t="str">
        <f aca="false">IF(OR($C198="01-09",$D198="Male"),"",INDEX(PMTCT!$AC:$AC,MATCH($E198,PMTCT!$E:$E,0)))</f>
        <v/>
      </c>
      <c r="I198" s="10" t="str">
        <f aca="false">IF(OR($C198="01-09",$D198="Male"),"",INDEX(PMTCT!$AS:$AS,MATCH($E198,PMTCT!$E:$E,0)))</f>
        <v/>
      </c>
      <c r="J198" s="10" t="str">
        <f aca="false">INDEX(TB!$P:$P,MATCH($E198,TB!$E:$E,0))</f>
        <v/>
      </c>
      <c r="K198" s="10" t="str">
        <f aca="false">IF(OR($C198="01-09",$C198="10-14",$D198="Female"),"",INDEX(VMMC!$AA:$AA,MATCH($E198,VMMC!$E:$E,0)))</f>
        <v/>
      </c>
      <c r="L198" s="10" t="n">
        <f aca="false">SUM($G198)-SUM($H198:$K198)</f>
        <v>-98</v>
      </c>
      <c r="M198" s="88" t="str">
        <f aca="false">IF(OR($C198="01-09",$D198="Male",AND(SUM($G198)=0,SUM($H198)=0)),"",SUM($H198)/SUM($G198))</f>
        <v/>
      </c>
      <c r="N198" s="88" t="str">
        <f aca="false">IF(OR($C198="01-09",$D198="Male",AND(SUM($G198)=0,SUM($I198)=0)),"",SUM($I198)/SUM($G198))</f>
        <v/>
      </c>
      <c r="O198" s="88" t="n">
        <f aca="false">IF(AND(SUM($G198)=0,SUM($J198)=0),"",SUM($J198)/SUM($G198))</f>
        <v>-0</v>
      </c>
      <c r="P198" s="88" t="str">
        <f aca="false">IF(OR($C198="01-09",$C198="10-14",$D198="Female",AND(SUM($G198)=0,SUM($K198)=0)),"",SUM($K198)/SUM($G198))</f>
        <v/>
      </c>
      <c r="Q198" s="88" t="n">
        <v>0.476614867104217</v>
      </c>
      <c r="R198" s="88"/>
      <c r="S198" s="88"/>
      <c r="T198" s="88"/>
      <c r="U198" s="88" t="n">
        <v>0.473545993445441</v>
      </c>
      <c r="V198" s="88" t="n">
        <f aca="false">IF(SUM($G198)=0,"",SUM($M198:$U198))</f>
        <v>0.950160860549658</v>
      </c>
      <c r="W198" s="88"/>
      <c r="X198" s="39" t="n">
        <f aca="false">IF(OR(SUM($G198)=0,SUM($Q198)=0),"",ROUND(SUM($G198)*SUM($Q198),0))</f>
        <v>-47</v>
      </c>
      <c r="Y198" s="39" t="str">
        <f aca="false">IF(SUM($X198)=0,"",IF(SUM($W198)=0,"ENTER YIELD",ROUND($X198/$W198,0)-$X198))</f>
        <v>ENTER YIELD</v>
      </c>
      <c r="Z198" s="88"/>
      <c r="AA198" s="39" t="str">
        <f aca="false">IF(OR(SUM($G198)=0,SUM($R198)=0),"",ROUND(SUM($G198)*SUM($R198),0))</f>
        <v/>
      </c>
      <c r="AB198" s="39" t="str">
        <f aca="false">IF(SUM($AA198)=0,"",IF(SUM($Z198)=0,"ENTER YIELD",ROUND($AA198/$Z198,0)-$AA198))</f>
        <v/>
      </c>
      <c r="AC198" s="88"/>
      <c r="AD198" s="39" t="str">
        <f aca="false">IF(OR(SUM($G198)=0,SUM($S198)=0),"",ROUND(SUM($G198)*SUM($S198),0))</f>
        <v/>
      </c>
      <c r="AE198" s="39" t="str">
        <f aca="false">IF(SUM($AD198)=0,"",IF(SUM($AC198)=0,"ENTER YIELD",ROUND($AD198/$AC198,0)-$AD198))</f>
        <v/>
      </c>
      <c r="AF198" s="88"/>
      <c r="AG198" s="39" t="str">
        <f aca="false">IF(OR(SUM($G198)=0,SUM($T198)=0),"",ROUND(SUM($G198)*SUM($T198),0))</f>
        <v/>
      </c>
      <c r="AH198" s="39" t="str">
        <f aca="false">IF(SUM($AG198)=0,"",IF(SUM($AF198)=0,"ENTER YIELD",ROUND($AG198/$AF198,0)-$AG198))</f>
        <v/>
      </c>
      <c r="AI198" s="88"/>
      <c r="AJ198" s="39" t="n">
        <f aca="false">IF(OR(SUM($G198)=0,SUM($U198)=0),"",ROUND(SUM($G198)*SUM($U198),0))</f>
        <v>-46</v>
      </c>
      <c r="AK198" s="39" t="str">
        <f aca="false">IF(SUM($AJ198)=0,"",IF(SUM($AI198)=0,"ENTER YIELD",ROUND($AJ198/$AI198,0)-$AJ198))</f>
        <v>ENTER YIELD</v>
      </c>
      <c r="AL198" s="10" t="n">
        <f aca="false">IF(SUM($G198)=0,"",$G198)</f>
        <v>-98</v>
      </c>
      <c r="AM198" s="10" t="n">
        <f aca="false">IFERROR(1/(1/SUM($H198:$K198,$X198,$AA198,$AD198,$AG198,$AJ198)),"")</f>
        <v>-93</v>
      </c>
      <c r="AN198" s="10" t="n">
        <f aca="false">IF(AND(SUM($AM198)=0,SUM($AL198)=0),"",$AM198-$AL198)</f>
        <v>5.00000000000001</v>
      </c>
      <c r="AO198" s="10" t="str">
        <f aca="false">IF(OR($C198="01-09",$D198="Male"),"",INDEX(PMTCT!$AD:$AD,MATCH($E198,PMTCT!$E:$E,0)))</f>
        <v/>
      </c>
      <c r="AP198" s="10" t="str">
        <f aca="false">IF(OR($C198="01-09",$D198="Male"),"",INDEX(PMTCT!$AT:$AT,MATCH($E198,PMTCT!$E:$E,0)))</f>
        <v/>
      </c>
      <c r="AQ198" s="10" t="str">
        <f aca="false">INDEX(TB!$Q:$Q,MATCH($E198,TB!$E:$E,0))</f>
        <v/>
      </c>
      <c r="AR198" s="10" t="str">
        <f aca="false">IF(OR($C198="01-09",$C198="10-14",$D198="Female"),"",INDEX(VMMC!$AB:$AB,MATCH($E198,VMMC!$E:$E,0)))</f>
        <v/>
      </c>
      <c r="AS198" s="10" t="str">
        <f aca="false">IF(OR($C198="01-09",$C198="10-14"),"",INDEX(PrEP!$Q:$Q,MATCH($E198,PrEP!$E:$E,0)))</f>
        <v/>
      </c>
      <c r="AT198" s="10" t="str">
        <f aca="false">IFERROR(1/(1/SUM($Y198,$AB198,$AE198,$AH198,$AK198,$AO198:$AS198)),"")</f>
        <v/>
      </c>
      <c r="AU198" s="10" t="n">
        <f aca="false">IFERROR(1/(1/SUM($AT198,$AM198)),"")</f>
        <v>-93</v>
      </c>
      <c r="AV198" s="88" t="n">
        <f aca="false">IF(AND(SUM($AM198)=0,SUM($AU198)=0),"",$AM198/$AU198)</f>
        <v>1</v>
      </c>
      <c r="AW198" s="10"/>
      <c r="AX198" s="88" t="str">
        <f aca="false">IF(OR($C198="01-09",SUM($AW198)=0),"",0%)</f>
        <v/>
      </c>
      <c r="AY198" s="39" t="str">
        <f aca="false">IF(OR($C198="01-09",SUM($AW198)=0),"",ROUND($AW198*(1+$AX198),0))</f>
        <v/>
      </c>
      <c r="AZ198" s="88" t="str">
        <f aca="false">IF(OR($C198="01-09",$C198="10-14"),"",100%)</f>
        <v/>
      </c>
      <c r="BA198" s="39" t="str">
        <f aca="false">IF(OR(SUM($AM198)=0,$C198="01-09",$C198="10-14"),"",$AM198*$AZ198)</f>
        <v/>
      </c>
    </row>
    <row r="199" customFormat="false" ht="15" hidden="false" customHeight="false" outlineLevel="0" collapsed="false">
      <c r="A199" s="0" t="str">
        <f aca="false">INDEX(Prioritization!$D:$D,MATCH($B199,Prioritization!$A:$A,0))</f>
        <v>INVALID</v>
      </c>
      <c r="B199" s="0" t="s">
        <v>209</v>
      </c>
      <c r="C199" s="0" t="s">
        <v>365</v>
      </c>
      <c r="D199" s="0" t="s">
        <v>30</v>
      </c>
      <c r="E199" s="0" t="str">
        <f aca="false">$B199&amp;"|"&amp;$C199&amp;"|"&amp;$D199</f>
        <v>Rumphi District [lPTyjLi4w3d]|15-24|Female</v>
      </c>
      <c r="F199" s="88" t="n">
        <f aca="false">IF(LEFT($B199,4)="_Mil","",INDEX(Cascade!$AA:$AA,MATCH($E199,Cascade!$E:$E,0)))</f>
        <v>1175</v>
      </c>
      <c r="G199" s="10" t="n">
        <f aca="false">INDEX(Cascade!$BH:$BH,MATCH($E199,Cascade!$E:$E,0))</f>
        <v>0</v>
      </c>
      <c r="H199" s="10" t="str">
        <f aca="false">IF(OR($C199="01-09",$D199="Male"),"",INDEX(PMTCT!$AC:$AC,MATCH($E199,PMTCT!$E:$E,0)))</f>
        <v/>
      </c>
      <c r="I199" s="10" t="str">
        <f aca="false">IF(OR($C199="01-09",$D199="Male"),"",INDEX(PMTCT!$AS:$AS,MATCH($E199,PMTCT!$E:$E,0)))</f>
        <v/>
      </c>
      <c r="J199" s="10" t="str">
        <f aca="false">INDEX(TB!$P:$P,MATCH($E199,TB!$E:$E,0))</f>
        <v/>
      </c>
      <c r="K199" s="10" t="str">
        <f aca="false">IF(OR($C199="01-09",$C199="10-14",$D199="Female"),"",INDEX(VMMC!$AA:$AA,MATCH($E199,VMMC!$E:$E,0)))</f>
        <v/>
      </c>
      <c r="L199" s="10" t="n">
        <f aca="false">SUM($G199)-SUM($H199:$K199)</f>
        <v>0</v>
      </c>
      <c r="M199" s="88" t="str">
        <f aca="false">IF(OR($C199="01-09",$D199="Male",AND(SUM($G199)=0,SUM($H199)=0)),"",SUM($H199)/SUM($G199))</f>
        <v/>
      </c>
      <c r="N199" s="88" t="str">
        <f aca="false">IF(OR($C199="01-09",$D199="Male",AND(SUM($G199)=0,SUM($I199)=0)),"",SUM($I199)/SUM($G199))</f>
        <v/>
      </c>
      <c r="O199" s="88" t="str">
        <f aca="false">IF(AND(SUM($G199)=0,SUM($J199)=0),"",SUM($J199)/SUM($G199))</f>
        <v/>
      </c>
      <c r="P199" s="88" t="str">
        <f aca="false">IF(OR($C199="01-09",$C199="10-14",$D199="Female",AND(SUM($G199)=0,SUM($K199)=0)),"",SUM($K199)/SUM($G199))</f>
        <v/>
      </c>
      <c r="Q199" s="88"/>
      <c r="R199" s="88"/>
      <c r="S199" s="88"/>
      <c r="T199" s="88"/>
      <c r="U199" s="88"/>
      <c r="V199" s="88" t="str">
        <f aca="false">IF(SUM($G199)=0,"",SUM($M199:$U199))</f>
        <v/>
      </c>
      <c r="W199" s="88"/>
      <c r="X199" s="39" t="str">
        <f aca="false">IF(OR(SUM($G199)=0,SUM($Q199)=0),"",ROUND(SUM($G199)*SUM($Q199),0))</f>
        <v/>
      </c>
      <c r="Y199" s="39" t="str">
        <f aca="false">IF(SUM($X199)=0,"",IF(SUM($W199)=0,"ENTER YIELD",ROUND($X199/$W199,0)-$X199))</f>
        <v/>
      </c>
      <c r="Z199" s="88"/>
      <c r="AA199" s="39" t="str">
        <f aca="false">IF(OR(SUM($G199)=0,SUM($R199)=0),"",ROUND(SUM($G199)*SUM($R199),0))</f>
        <v/>
      </c>
      <c r="AB199" s="39" t="str">
        <f aca="false">IF(SUM($AA199)=0,"",IF(SUM($Z199)=0,"ENTER YIELD",ROUND($AA199/$Z199,0)-$AA199))</f>
        <v/>
      </c>
      <c r="AC199" s="88"/>
      <c r="AD199" s="39" t="str">
        <f aca="false">IF(OR(SUM($G199)=0,SUM($S199)=0),"",ROUND(SUM($G199)*SUM($S199),0))</f>
        <v/>
      </c>
      <c r="AE199" s="39" t="str">
        <f aca="false">IF(SUM($AD199)=0,"",IF(SUM($AC199)=0,"ENTER YIELD",ROUND($AD199/$AC199,0)-$AD199))</f>
        <v/>
      </c>
      <c r="AF199" s="88"/>
      <c r="AG199" s="39" t="str">
        <f aca="false">IF(OR(SUM($G199)=0,SUM($T199)=0),"",ROUND(SUM($G199)*SUM($T199),0))</f>
        <v/>
      </c>
      <c r="AH199" s="39" t="str">
        <f aca="false">IF(SUM($AG199)=0,"",IF(SUM($AF199)=0,"ENTER YIELD",ROUND($AG199/$AF199,0)-$AG199))</f>
        <v/>
      </c>
      <c r="AI199" s="88"/>
      <c r="AJ199" s="39" t="str">
        <f aca="false">IF(OR(SUM($G199)=0,SUM($U199)=0),"",ROUND(SUM($G199)*SUM($U199),0))</f>
        <v/>
      </c>
      <c r="AK199" s="39" t="str">
        <f aca="false">IF(SUM($AJ199)=0,"",IF(SUM($AI199)=0,"ENTER YIELD",ROUND($AJ199/$AI199,0)-$AJ199))</f>
        <v/>
      </c>
      <c r="AL199" s="10" t="str">
        <f aca="false">IF(SUM($G199)=0,"",$G199)</f>
        <v/>
      </c>
      <c r="AM199" s="10" t="str">
        <f aca="false">IFERROR(1/(1/SUM($H199:$K199,$X199,$AA199,$AD199,$AG199,$AJ199)),"")</f>
        <v/>
      </c>
      <c r="AN199" s="10" t="str">
        <f aca="false">IF(AND(SUM($AM199)=0,SUM($AL199)=0),"",$AM199-$AL199)</f>
        <v/>
      </c>
      <c r="AO199" s="10" t="str">
        <f aca="false">IF(OR($C199="01-09",$D199="Male"),"",INDEX(PMTCT!$AD:$AD,MATCH($E199,PMTCT!$E:$E,0)))</f>
        <v/>
      </c>
      <c r="AP199" s="10" t="str">
        <f aca="false">IF(OR($C199="01-09",$D199="Male"),"",INDEX(PMTCT!$AT:$AT,MATCH($E199,PMTCT!$E:$E,0)))</f>
        <v/>
      </c>
      <c r="AQ199" s="10" t="str">
        <f aca="false">INDEX(TB!$Q:$Q,MATCH($E199,TB!$E:$E,0))</f>
        <v/>
      </c>
      <c r="AR199" s="10" t="str">
        <f aca="false">IF(OR($C199="01-09",$C199="10-14",$D199="Female"),"",INDEX(VMMC!$AB:$AB,MATCH($E199,VMMC!$E:$E,0)))</f>
        <v/>
      </c>
      <c r="AS199" s="10" t="str">
        <f aca="false">IF(OR($C199="01-09",$C199="10-14"),"",INDEX(PrEP!$Q:$Q,MATCH($E199,PrEP!$E:$E,0)))</f>
        <v/>
      </c>
      <c r="AT199" s="10" t="str">
        <f aca="false">IFERROR(1/(1/SUM($Y199,$AB199,$AE199,$AH199,$AK199,$AO199:$AS199)),"")</f>
        <v/>
      </c>
      <c r="AU199" s="10" t="str">
        <f aca="false">IFERROR(1/(1/SUM($AT199,$AM199)),"")</f>
        <v/>
      </c>
      <c r="AV199" s="88" t="str">
        <f aca="false">IF(AND(SUM($AM199)=0,SUM($AU199)=0),"",$AM199/$AU199)</f>
        <v/>
      </c>
      <c r="AW199" s="10"/>
      <c r="AX199" s="88" t="str">
        <f aca="false">IF(OR($C199="01-09",SUM($AW199)=0),"",0%)</f>
        <v/>
      </c>
      <c r="AY199" s="39" t="str">
        <f aca="false">IF(OR($C199="01-09",SUM($AW199)=0),"",ROUND($AW199*(1+$AX199),0))</f>
        <v/>
      </c>
      <c r="AZ199" s="88" t="n">
        <f aca="false">IF(OR($C199="01-09",$C199="10-14"),"",100%)</f>
        <v>1</v>
      </c>
      <c r="BA199" s="39" t="str">
        <f aca="false">IF(OR(SUM($AM199)=0,$C199="01-09",$C199="10-14"),"",$AM199*$AZ199)</f>
        <v/>
      </c>
    </row>
    <row r="200" customFormat="false" ht="15" hidden="false" customHeight="false" outlineLevel="0" collapsed="false">
      <c r="A200" s="0" t="str">
        <f aca="false">INDEX(Prioritization!$D:$D,MATCH($B200,Prioritization!$A:$A,0))</f>
        <v>INVALID</v>
      </c>
      <c r="B200" s="0" t="s">
        <v>209</v>
      </c>
      <c r="C200" s="0" t="s">
        <v>365</v>
      </c>
      <c r="D200" s="0" t="s">
        <v>48</v>
      </c>
      <c r="E200" s="0" t="str">
        <f aca="false">$B200&amp;"|"&amp;$C200&amp;"|"&amp;$D200</f>
        <v>Rumphi District [lPTyjLi4w3d]|15-24|Male</v>
      </c>
      <c r="F200" s="88" t="n">
        <f aca="false">IF(LEFT($B200,4)="_Mil","",INDEX(Cascade!$AA:$AA,MATCH($E200,Cascade!$E:$E,0)))</f>
        <v>1548</v>
      </c>
      <c r="G200" s="10" t="n">
        <f aca="false">INDEX(Cascade!$BH:$BH,MATCH($E200,Cascade!$E:$E,0))</f>
        <v>0</v>
      </c>
      <c r="H200" s="10" t="str">
        <f aca="false">IF(OR($C200="01-09",$D200="Male"),"",INDEX(PMTCT!$AC:$AC,MATCH($E200,PMTCT!$E:$E,0)))</f>
        <v/>
      </c>
      <c r="I200" s="10" t="str">
        <f aca="false">IF(OR($C200="01-09",$D200="Male"),"",INDEX(PMTCT!$AS:$AS,MATCH($E200,PMTCT!$E:$E,0)))</f>
        <v/>
      </c>
      <c r="J200" s="10" t="str">
        <f aca="false">INDEX(TB!$P:$P,MATCH($E200,TB!$E:$E,0))</f>
        <v/>
      </c>
      <c r="K200" s="10" t="str">
        <f aca="false">IF(OR($C200="01-09",$C200="10-14",$D200="Female"),"",INDEX(VMMC!$AA:$AA,MATCH($E200,VMMC!$E:$E,0)))</f>
        <v/>
      </c>
      <c r="L200" s="10" t="n">
        <f aca="false">SUM($G200)-SUM($H200:$K200)</f>
        <v>0</v>
      </c>
      <c r="M200" s="88" t="str">
        <f aca="false">IF(OR($C200="01-09",$D200="Male",AND(SUM($G200)=0,SUM($H200)=0)),"",SUM($H200)/SUM($G200))</f>
        <v/>
      </c>
      <c r="N200" s="88" t="str">
        <f aca="false">IF(OR($C200="01-09",$D200="Male",AND(SUM($G200)=0,SUM($I200)=0)),"",SUM($I200)/SUM($G200))</f>
        <v/>
      </c>
      <c r="O200" s="88" t="str">
        <f aca="false">IF(AND(SUM($G200)=0,SUM($J200)=0),"",SUM($J200)/SUM($G200))</f>
        <v/>
      </c>
      <c r="P200" s="88" t="str">
        <f aca="false">IF(OR($C200="01-09",$C200="10-14",$D200="Female",AND(SUM($G200)=0,SUM($K200)=0)),"",SUM($K200)/SUM($G200))</f>
        <v/>
      </c>
      <c r="Q200" s="88"/>
      <c r="R200" s="88"/>
      <c r="S200" s="88"/>
      <c r="T200" s="88"/>
      <c r="U200" s="88"/>
      <c r="V200" s="88" t="str">
        <f aca="false">IF(SUM($G200)=0,"",SUM($M200:$U200))</f>
        <v/>
      </c>
      <c r="W200" s="88"/>
      <c r="X200" s="39" t="str">
        <f aca="false">IF(OR(SUM($G200)=0,SUM($Q200)=0),"",ROUND(SUM($G200)*SUM($Q200),0))</f>
        <v/>
      </c>
      <c r="Y200" s="39" t="str">
        <f aca="false">IF(SUM($X200)=0,"",IF(SUM($W200)=0,"ENTER YIELD",ROUND($X200/$W200,0)-$X200))</f>
        <v/>
      </c>
      <c r="Z200" s="88"/>
      <c r="AA200" s="39" t="str">
        <f aca="false">IF(OR(SUM($G200)=0,SUM($R200)=0),"",ROUND(SUM($G200)*SUM($R200),0))</f>
        <v/>
      </c>
      <c r="AB200" s="39" t="str">
        <f aca="false">IF(SUM($AA200)=0,"",IF(SUM($Z200)=0,"ENTER YIELD",ROUND($AA200/$Z200,0)-$AA200))</f>
        <v/>
      </c>
      <c r="AC200" s="88"/>
      <c r="AD200" s="39" t="str">
        <f aca="false">IF(OR(SUM($G200)=0,SUM($S200)=0),"",ROUND(SUM($G200)*SUM($S200),0))</f>
        <v/>
      </c>
      <c r="AE200" s="39" t="str">
        <f aca="false">IF(SUM($AD200)=0,"",IF(SUM($AC200)=0,"ENTER YIELD",ROUND($AD200/$AC200,0)-$AD200))</f>
        <v/>
      </c>
      <c r="AF200" s="88"/>
      <c r="AG200" s="39" t="str">
        <f aca="false">IF(OR(SUM($G200)=0,SUM($T200)=0),"",ROUND(SUM($G200)*SUM($T200),0))</f>
        <v/>
      </c>
      <c r="AH200" s="39" t="str">
        <f aca="false">IF(SUM($AG200)=0,"",IF(SUM($AF200)=0,"ENTER YIELD",ROUND($AG200/$AF200,0)-$AG200))</f>
        <v/>
      </c>
      <c r="AI200" s="88"/>
      <c r="AJ200" s="39" t="str">
        <f aca="false">IF(OR(SUM($G200)=0,SUM($U200)=0),"",ROUND(SUM($G200)*SUM($U200),0))</f>
        <v/>
      </c>
      <c r="AK200" s="39" t="str">
        <f aca="false">IF(SUM($AJ200)=0,"",IF(SUM($AI200)=0,"ENTER YIELD",ROUND($AJ200/$AI200,0)-$AJ200))</f>
        <v/>
      </c>
      <c r="AL200" s="10" t="str">
        <f aca="false">IF(SUM($G200)=0,"",$G200)</f>
        <v/>
      </c>
      <c r="AM200" s="10" t="str">
        <f aca="false">IFERROR(1/(1/SUM($H200:$K200,$X200,$AA200,$AD200,$AG200,$AJ200)),"")</f>
        <v/>
      </c>
      <c r="AN200" s="10" t="str">
        <f aca="false">IF(AND(SUM($AM200)=0,SUM($AL200)=0),"",$AM200-$AL200)</f>
        <v/>
      </c>
      <c r="AO200" s="10" t="str">
        <f aca="false">IF(OR($C200="01-09",$D200="Male"),"",INDEX(PMTCT!$AD:$AD,MATCH($E200,PMTCT!$E:$E,0)))</f>
        <v/>
      </c>
      <c r="AP200" s="10" t="str">
        <f aca="false">IF(OR($C200="01-09",$D200="Male"),"",INDEX(PMTCT!$AT:$AT,MATCH($E200,PMTCT!$E:$E,0)))</f>
        <v/>
      </c>
      <c r="AQ200" s="10" t="str">
        <f aca="false">INDEX(TB!$Q:$Q,MATCH($E200,TB!$E:$E,0))</f>
        <v/>
      </c>
      <c r="AR200" s="10" t="str">
        <f aca="false">IF(OR($C200="01-09",$C200="10-14",$D200="Female"),"",INDEX(VMMC!$AB:$AB,MATCH($E200,VMMC!$E:$E,0)))</f>
        <v/>
      </c>
      <c r="AS200" s="10" t="str">
        <f aca="false">IF(OR($C200="01-09",$C200="10-14"),"",INDEX(PrEP!$Q:$Q,MATCH($E200,PrEP!$E:$E,0)))</f>
        <v/>
      </c>
      <c r="AT200" s="10" t="str">
        <f aca="false">IFERROR(1/(1/SUM($Y200,$AB200,$AE200,$AH200,$AK200,$AO200:$AS200)),"")</f>
        <v/>
      </c>
      <c r="AU200" s="10" t="str">
        <f aca="false">IFERROR(1/(1/SUM($AT200,$AM200)),"")</f>
        <v/>
      </c>
      <c r="AV200" s="88" t="str">
        <f aca="false">IF(AND(SUM($AM200)=0,SUM($AU200)=0),"",$AM200/$AU200)</f>
        <v/>
      </c>
      <c r="AW200" s="10"/>
      <c r="AX200" s="88" t="str">
        <f aca="false">IF(OR($C200="01-09",SUM($AW200)=0),"",0%)</f>
        <v/>
      </c>
      <c r="AY200" s="39" t="str">
        <f aca="false">IF(OR($C200="01-09",SUM($AW200)=0),"",ROUND($AW200*(1+$AX200),0))</f>
        <v/>
      </c>
      <c r="AZ200" s="88" t="n">
        <f aca="false">IF(OR($C200="01-09",$C200="10-14"),"",100%)</f>
        <v>1</v>
      </c>
      <c r="BA200" s="39" t="str">
        <f aca="false">IF(OR(SUM($AM200)=0,$C200="01-09",$C200="10-14"),"",$AM200*$AZ200)</f>
        <v/>
      </c>
    </row>
    <row r="201" customFormat="false" ht="15" hidden="false" customHeight="false" outlineLevel="0" collapsed="false">
      <c r="A201" s="0" t="str">
        <f aca="false">INDEX(Prioritization!$D:$D,MATCH($B201,Prioritization!$A:$A,0))</f>
        <v>INVALID</v>
      </c>
      <c r="B201" s="0" t="s">
        <v>209</v>
      </c>
      <c r="C201" s="0" t="s">
        <v>366</v>
      </c>
      <c r="D201" s="0" t="s">
        <v>30</v>
      </c>
      <c r="E201" s="0" t="str">
        <f aca="false">$B201&amp;"|"&amp;$C201&amp;"|"&amp;$D201</f>
        <v>Rumphi District [lPTyjLi4w3d]|25-34|Female</v>
      </c>
      <c r="F201" s="88" t="n">
        <f aca="false">IF(LEFT($B201,4)="_Mil","",INDEX(Cascade!$AA:$AA,MATCH($E201,Cascade!$E:$E,0)))</f>
        <v>1520</v>
      </c>
      <c r="G201" s="10" t="n">
        <f aca="false">INDEX(Cascade!$BH:$BH,MATCH($E201,Cascade!$E:$E,0))</f>
        <v>0</v>
      </c>
      <c r="H201" s="10" t="str">
        <f aca="false">IF(OR($C201="01-09",$D201="Male"),"",INDEX(PMTCT!$AC:$AC,MATCH($E201,PMTCT!$E:$E,0)))</f>
        <v/>
      </c>
      <c r="I201" s="10" t="str">
        <f aca="false">IF(OR($C201="01-09",$D201="Male"),"",INDEX(PMTCT!$AS:$AS,MATCH($E201,PMTCT!$E:$E,0)))</f>
        <v/>
      </c>
      <c r="J201" s="10" t="str">
        <f aca="false">INDEX(TB!$P:$P,MATCH($E201,TB!$E:$E,0))</f>
        <v/>
      </c>
      <c r="K201" s="10" t="str">
        <f aca="false">IF(OR($C201="01-09",$C201="10-14",$D201="Female"),"",INDEX(VMMC!$AA:$AA,MATCH($E201,VMMC!$E:$E,0)))</f>
        <v/>
      </c>
      <c r="L201" s="10" t="n">
        <f aca="false">SUM($G201)-SUM($H201:$K201)</f>
        <v>0</v>
      </c>
      <c r="M201" s="88" t="str">
        <f aca="false">IF(OR($C201="01-09",$D201="Male",AND(SUM($G201)=0,SUM($H201)=0)),"",SUM($H201)/SUM($G201))</f>
        <v/>
      </c>
      <c r="N201" s="88" t="str">
        <f aca="false">IF(OR($C201="01-09",$D201="Male",AND(SUM($G201)=0,SUM($I201)=0)),"",SUM($I201)/SUM($G201))</f>
        <v/>
      </c>
      <c r="O201" s="88" t="str">
        <f aca="false">IF(AND(SUM($G201)=0,SUM($J201)=0),"",SUM($J201)/SUM($G201))</f>
        <v/>
      </c>
      <c r="P201" s="88" t="str">
        <f aca="false">IF(OR($C201="01-09",$C201="10-14",$D201="Female",AND(SUM($G201)=0,SUM($K201)=0)),"",SUM($K201)/SUM($G201))</f>
        <v/>
      </c>
      <c r="Q201" s="88"/>
      <c r="R201" s="88"/>
      <c r="S201" s="88"/>
      <c r="T201" s="88"/>
      <c r="U201" s="88"/>
      <c r="V201" s="88" t="str">
        <f aca="false">IF(SUM($G201)=0,"",SUM($M201:$U201))</f>
        <v/>
      </c>
      <c r="W201" s="88"/>
      <c r="X201" s="39" t="str">
        <f aca="false">IF(OR(SUM($G201)=0,SUM($Q201)=0),"",ROUND(SUM($G201)*SUM($Q201),0))</f>
        <v/>
      </c>
      <c r="Y201" s="39" t="str">
        <f aca="false">IF(SUM($X201)=0,"",IF(SUM($W201)=0,"ENTER YIELD",ROUND($X201/$W201,0)-$X201))</f>
        <v/>
      </c>
      <c r="Z201" s="88"/>
      <c r="AA201" s="39" t="str">
        <f aca="false">IF(OR(SUM($G201)=0,SUM($R201)=0),"",ROUND(SUM($G201)*SUM($R201),0))</f>
        <v/>
      </c>
      <c r="AB201" s="39" t="str">
        <f aca="false">IF(SUM($AA201)=0,"",IF(SUM($Z201)=0,"ENTER YIELD",ROUND($AA201/$Z201,0)-$AA201))</f>
        <v/>
      </c>
      <c r="AC201" s="88"/>
      <c r="AD201" s="39" t="str">
        <f aca="false">IF(OR(SUM($G201)=0,SUM($S201)=0),"",ROUND(SUM($G201)*SUM($S201),0))</f>
        <v/>
      </c>
      <c r="AE201" s="39" t="str">
        <f aca="false">IF(SUM($AD201)=0,"",IF(SUM($AC201)=0,"ENTER YIELD",ROUND($AD201/$AC201,0)-$AD201))</f>
        <v/>
      </c>
      <c r="AF201" s="88"/>
      <c r="AG201" s="39" t="str">
        <f aca="false">IF(OR(SUM($G201)=0,SUM($T201)=0),"",ROUND(SUM($G201)*SUM($T201),0))</f>
        <v/>
      </c>
      <c r="AH201" s="39" t="str">
        <f aca="false">IF(SUM($AG201)=0,"",IF(SUM($AF201)=0,"ENTER YIELD",ROUND($AG201/$AF201,0)-$AG201))</f>
        <v/>
      </c>
      <c r="AI201" s="88"/>
      <c r="AJ201" s="39" t="str">
        <f aca="false">IF(OR(SUM($G201)=0,SUM($U201)=0),"",ROUND(SUM($G201)*SUM($U201),0))</f>
        <v/>
      </c>
      <c r="AK201" s="39" t="str">
        <f aca="false">IF(SUM($AJ201)=0,"",IF(SUM($AI201)=0,"ENTER YIELD",ROUND($AJ201/$AI201,0)-$AJ201))</f>
        <v/>
      </c>
      <c r="AL201" s="10" t="str">
        <f aca="false">IF(SUM($G201)=0,"",$G201)</f>
        <v/>
      </c>
      <c r="AM201" s="10" t="str">
        <f aca="false">IFERROR(1/(1/SUM($H201:$K201,$X201,$AA201,$AD201,$AG201,$AJ201)),"")</f>
        <v/>
      </c>
      <c r="AN201" s="10" t="str">
        <f aca="false">IF(AND(SUM($AM201)=0,SUM($AL201)=0),"",$AM201-$AL201)</f>
        <v/>
      </c>
      <c r="AO201" s="10" t="str">
        <f aca="false">IF(OR($C201="01-09",$D201="Male"),"",INDEX(PMTCT!$AD:$AD,MATCH($E201,PMTCT!$E:$E,0)))</f>
        <v/>
      </c>
      <c r="AP201" s="10" t="str">
        <f aca="false">IF(OR($C201="01-09",$D201="Male"),"",INDEX(PMTCT!$AT:$AT,MATCH($E201,PMTCT!$E:$E,0)))</f>
        <v/>
      </c>
      <c r="AQ201" s="10" t="str">
        <f aca="false">INDEX(TB!$Q:$Q,MATCH($E201,TB!$E:$E,0))</f>
        <v/>
      </c>
      <c r="AR201" s="10" t="str">
        <f aca="false">IF(OR($C201="01-09",$C201="10-14",$D201="Female"),"",INDEX(VMMC!$AB:$AB,MATCH($E201,VMMC!$E:$E,0)))</f>
        <v/>
      </c>
      <c r="AS201" s="10" t="str">
        <f aca="false">IF(OR($C201="01-09",$C201="10-14"),"",INDEX(PrEP!$Q:$Q,MATCH($E201,PrEP!$E:$E,0)))</f>
        <v/>
      </c>
      <c r="AT201" s="10" t="str">
        <f aca="false">IFERROR(1/(1/SUM($Y201,$AB201,$AE201,$AH201,$AK201,$AO201:$AS201)),"")</f>
        <v/>
      </c>
      <c r="AU201" s="10" t="str">
        <f aca="false">IFERROR(1/(1/SUM($AT201,$AM201)),"")</f>
        <v/>
      </c>
      <c r="AV201" s="88" t="str">
        <f aca="false">IF(AND(SUM($AM201)=0,SUM($AU201)=0),"",$AM201/$AU201)</f>
        <v/>
      </c>
      <c r="AW201" s="10"/>
      <c r="AX201" s="88" t="str">
        <f aca="false">IF(OR($C201="01-09",SUM($AW201)=0),"",0%)</f>
        <v/>
      </c>
      <c r="AY201" s="39" t="str">
        <f aca="false">IF(OR($C201="01-09",SUM($AW201)=0),"",ROUND($AW201*(1+$AX201),0))</f>
        <v/>
      </c>
      <c r="AZ201" s="88" t="n">
        <f aca="false">IF(OR($C201="01-09",$C201="10-14"),"",100%)</f>
        <v>1</v>
      </c>
      <c r="BA201" s="39" t="str">
        <f aca="false">IF(OR(SUM($AM201)=0,$C201="01-09",$C201="10-14"),"",$AM201*$AZ201)</f>
        <v/>
      </c>
    </row>
    <row r="202" customFormat="false" ht="15" hidden="false" customHeight="false" outlineLevel="0" collapsed="false">
      <c r="A202" s="0" t="str">
        <f aca="false">INDEX(Prioritization!$D:$D,MATCH($B202,Prioritization!$A:$A,0))</f>
        <v>INVALID</v>
      </c>
      <c r="B202" s="0" t="s">
        <v>209</v>
      </c>
      <c r="C202" s="0" t="s">
        <v>366</v>
      </c>
      <c r="D202" s="0" t="s">
        <v>48</v>
      </c>
      <c r="E202" s="0" t="str">
        <f aca="false">$B202&amp;"|"&amp;$C202&amp;"|"&amp;$D202</f>
        <v>Rumphi District [lPTyjLi4w3d]|25-34|Male</v>
      </c>
      <c r="F202" s="88" t="n">
        <f aca="false">IF(LEFT($B202,4)="_Mil","",INDEX(Cascade!$AA:$AA,MATCH($E202,Cascade!$E:$E,0)))</f>
        <v>1048</v>
      </c>
      <c r="G202" s="10" t="n">
        <f aca="false">INDEX(Cascade!$BH:$BH,MATCH($E202,Cascade!$E:$E,0))</f>
        <v>0</v>
      </c>
      <c r="H202" s="10" t="str">
        <f aca="false">IF(OR($C202="01-09",$D202="Male"),"",INDEX(PMTCT!$AC:$AC,MATCH($E202,PMTCT!$E:$E,0)))</f>
        <v/>
      </c>
      <c r="I202" s="10" t="str">
        <f aca="false">IF(OR($C202="01-09",$D202="Male"),"",INDEX(PMTCT!$AS:$AS,MATCH($E202,PMTCT!$E:$E,0)))</f>
        <v/>
      </c>
      <c r="J202" s="10" t="str">
        <f aca="false">INDEX(TB!$P:$P,MATCH($E202,TB!$E:$E,0))</f>
        <v/>
      </c>
      <c r="K202" s="10" t="str">
        <f aca="false">IF(OR($C202="01-09",$C202="10-14",$D202="Female"),"",INDEX(VMMC!$AA:$AA,MATCH($E202,VMMC!$E:$E,0)))</f>
        <v/>
      </c>
      <c r="L202" s="10" t="n">
        <f aca="false">SUM($G202)-SUM($H202:$K202)</f>
        <v>0</v>
      </c>
      <c r="M202" s="88" t="str">
        <f aca="false">IF(OR($C202="01-09",$D202="Male",AND(SUM($G202)=0,SUM($H202)=0)),"",SUM($H202)/SUM($G202))</f>
        <v/>
      </c>
      <c r="N202" s="88" t="str">
        <f aca="false">IF(OR($C202="01-09",$D202="Male",AND(SUM($G202)=0,SUM($I202)=0)),"",SUM($I202)/SUM($G202))</f>
        <v/>
      </c>
      <c r="O202" s="88" t="str">
        <f aca="false">IF(AND(SUM($G202)=0,SUM($J202)=0),"",SUM($J202)/SUM($G202))</f>
        <v/>
      </c>
      <c r="P202" s="88" t="str">
        <f aca="false">IF(OR($C202="01-09",$C202="10-14",$D202="Female",AND(SUM($G202)=0,SUM($K202)=0)),"",SUM($K202)/SUM($G202))</f>
        <v/>
      </c>
      <c r="Q202" s="88"/>
      <c r="R202" s="88"/>
      <c r="S202" s="88"/>
      <c r="T202" s="88"/>
      <c r="U202" s="88"/>
      <c r="V202" s="88" t="str">
        <f aca="false">IF(SUM($G202)=0,"",SUM($M202:$U202))</f>
        <v/>
      </c>
      <c r="W202" s="88"/>
      <c r="X202" s="39" t="str">
        <f aca="false">IF(OR(SUM($G202)=0,SUM($Q202)=0),"",ROUND(SUM($G202)*SUM($Q202),0))</f>
        <v/>
      </c>
      <c r="Y202" s="39" t="str">
        <f aca="false">IF(SUM($X202)=0,"",IF(SUM($W202)=0,"ENTER YIELD",ROUND($X202/$W202,0)-$X202))</f>
        <v/>
      </c>
      <c r="Z202" s="88"/>
      <c r="AA202" s="39" t="str">
        <f aca="false">IF(OR(SUM($G202)=0,SUM($R202)=0),"",ROUND(SUM($G202)*SUM($R202),0))</f>
        <v/>
      </c>
      <c r="AB202" s="39" t="str">
        <f aca="false">IF(SUM($AA202)=0,"",IF(SUM($Z202)=0,"ENTER YIELD",ROUND($AA202/$Z202,0)-$AA202))</f>
        <v/>
      </c>
      <c r="AC202" s="88"/>
      <c r="AD202" s="39" t="str">
        <f aca="false">IF(OR(SUM($G202)=0,SUM($S202)=0),"",ROUND(SUM($G202)*SUM($S202),0))</f>
        <v/>
      </c>
      <c r="AE202" s="39" t="str">
        <f aca="false">IF(SUM($AD202)=0,"",IF(SUM($AC202)=0,"ENTER YIELD",ROUND($AD202/$AC202,0)-$AD202))</f>
        <v/>
      </c>
      <c r="AF202" s="88"/>
      <c r="AG202" s="39" t="str">
        <f aca="false">IF(OR(SUM($G202)=0,SUM($T202)=0),"",ROUND(SUM($G202)*SUM($T202),0))</f>
        <v/>
      </c>
      <c r="AH202" s="39" t="str">
        <f aca="false">IF(SUM($AG202)=0,"",IF(SUM($AF202)=0,"ENTER YIELD",ROUND($AG202/$AF202,0)-$AG202))</f>
        <v/>
      </c>
      <c r="AI202" s="88"/>
      <c r="AJ202" s="39" t="str">
        <f aca="false">IF(OR(SUM($G202)=0,SUM($U202)=0),"",ROUND(SUM($G202)*SUM($U202),0))</f>
        <v/>
      </c>
      <c r="AK202" s="39" t="str">
        <f aca="false">IF(SUM($AJ202)=0,"",IF(SUM($AI202)=0,"ENTER YIELD",ROUND($AJ202/$AI202,0)-$AJ202))</f>
        <v/>
      </c>
      <c r="AL202" s="10" t="str">
        <f aca="false">IF(SUM($G202)=0,"",$G202)</f>
        <v/>
      </c>
      <c r="AM202" s="10" t="str">
        <f aca="false">IFERROR(1/(1/SUM($H202:$K202,$X202,$AA202,$AD202,$AG202,$AJ202)),"")</f>
        <v/>
      </c>
      <c r="AN202" s="10" t="str">
        <f aca="false">IF(AND(SUM($AM202)=0,SUM($AL202)=0),"",$AM202-$AL202)</f>
        <v/>
      </c>
      <c r="AO202" s="10" t="str">
        <f aca="false">IF(OR($C202="01-09",$D202="Male"),"",INDEX(PMTCT!$AD:$AD,MATCH($E202,PMTCT!$E:$E,0)))</f>
        <v/>
      </c>
      <c r="AP202" s="10" t="str">
        <f aca="false">IF(OR($C202="01-09",$D202="Male"),"",INDEX(PMTCT!$AT:$AT,MATCH($E202,PMTCT!$E:$E,0)))</f>
        <v/>
      </c>
      <c r="AQ202" s="10" t="str">
        <f aca="false">INDEX(TB!$Q:$Q,MATCH($E202,TB!$E:$E,0))</f>
        <v/>
      </c>
      <c r="AR202" s="10" t="str">
        <f aca="false">IF(OR($C202="01-09",$C202="10-14",$D202="Female"),"",INDEX(VMMC!$AB:$AB,MATCH($E202,VMMC!$E:$E,0)))</f>
        <v/>
      </c>
      <c r="AS202" s="10" t="str">
        <f aca="false">IF(OR($C202="01-09",$C202="10-14"),"",INDEX(PrEP!$Q:$Q,MATCH($E202,PrEP!$E:$E,0)))</f>
        <v/>
      </c>
      <c r="AT202" s="10" t="str">
        <f aca="false">IFERROR(1/(1/SUM($Y202,$AB202,$AE202,$AH202,$AK202,$AO202:$AS202)),"")</f>
        <v/>
      </c>
      <c r="AU202" s="10" t="str">
        <f aca="false">IFERROR(1/(1/SUM($AT202,$AM202)),"")</f>
        <v/>
      </c>
      <c r="AV202" s="88" t="str">
        <f aca="false">IF(AND(SUM($AM202)=0,SUM($AU202)=0),"",$AM202/$AU202)</f>
        <v/>
      </c>
      <c r="AW202" s="10"/>
      <c r="AX202" s="88" t="str">
        <f aca="false">IF(OR($C202="01-09",SUM($AW202)=0),"",0%)</f>
        <v/>
      </c>
      <c r="AY202" s="39" t="str">
        <f aca="false">IF(OR($C202="01-09",SUM($AW202)=0),"",ROUND($AW202*(1+$AX202),0))</f>
        <v/>
      </c>
      <c r="AZ202" s="88" t="n">
        <f aca="false">IF(OR($C202="01-09",$C202="10-14"),"",100%)</f>
        <v>1</v>
      </c>
      <c r="BA202" s="39" t="str">
        <f aca="false">IF(OR(SUM($AM202)=0,$C202="01-09",$C202="10-14"),"",$AM202*$AZ202)</f>
        <v/>
      </c>
    </row>
    <row r="203" customFormat="false" ht="15" hidden="false" customHeight="false" outlineLevel="0" collapsed="false">
      <c r="A203" s="0" t="str">
        <f aca="false">INDEX(Prioritization!$D:$D,MATCH($B203,Prioritization!$A:$A,0))</f>
        <v>INVALID</v>
      </c>
      <c r="B203" s="0" t="s">
        <v>209</v>
      </c>
      <c r="C203" s="0" t="s">
        <v>367</v>
      </c>
      <c r="D203" s="0" t="s">
        <v>30</v>
      </c>
      <c r="E203" s="0" t="str">
        <f aca="false">$B203&amp;"|"&amp;$C203&amp;"|"&amp;$D203</f>
        <v>Rumphi District [lPTyjLi4w3d]|35-49|Female</v>
      </c>
      <c r="F203" s="88" t="n">
        <f aca="false">IF(LEFT($B203,4)="_Mil","",INDEX(Cascade!$AA:$AA,MATCH($E203,Cascade!$E:$E,0)))</f>
        <v>971</v>
      </c>
      <c r="G203" s="10" t="n">
        <f aca="false">INDEX(Cascade!$BH:$BH,MATCH($E203,Cascade!$E:$E,0))</f>
        <v>0</v>
      </c>
      <c r="H203" s="10" t="str">
        <f aca="false">IF(OR($C203="01-09",$D203="Male"),"",INDEX(PMTCT!$AC:$AC,MATCH($E203,PMTCT!$E:$E,0)))</f>
        <v/>
      </c>
      <c r="I203" s="10" t="str">
        <f aca="false">IF(OR($C203="01-09",$D203="Male"),"",INDEX(PMTCT!$AS:$AS,MATCH($E203,PMTCT!$E:$E,0)))</f>
        <v/>
      </c>
      <c r="J203" s="10" t="str">
        <f aca="false">INDEX(TB!$P:$P,MATCH($E203,TB!$E:$E,0))</f>
        <v/>
      </c>
      <c r="K203" s="10" t="str">
        <f aca="false">IF(OR($C203="01-09",$C203="10-14",$D203="Female"),"",INDEX(VMMC!$AA:$AA,MATCH($E203,VMMC!$E:$E,0)))</f>
        <v/>
      </c>
      <c r="L203" s="10" t="n">
        <f aca="false">SUM($G203)-SUM($H203:$K203)</f>
        <v>0</v>
      </c>
      <c r="M203" s="88" t="str">
        <f aca="false">IF(OR($C203="01-09",$D203="Male",AND(SUM($G203)=0,SUM($H203)=0)),"",SUM($H203)/SUM($G203))</f>
        <v/>
      </c>
      <c r="N203" s="88" t="str">
        <f aca="false">IF(OR($C203="01-09",$D203="Male",AND(SUM($G203)=0,SUM($I203)=0)),"",SUM($I203)/SUM($G203))</f>
        <v/>
      </c>
      <c r="O203" s="88" t="str">
        <f aca="false">IF(AND(SUM($G203)=0,SUM($J203)=0),"",SUM($J203)/SUM($G203))</f>
        <v/>
      </c>
      <c r="P203" s="88" t="str">
        <f aca="false">IF(OR($C203="01-09",$C203="10-14",$D203="Female",AND(SUM($G203)=0,SUM($K203)=0)),"",SUM($K203)/SUM($G203))</f>
        <v/>
      </c>
      <c r="Q203" s="88"/>
      <c r="R203" s="88"/>
      <c r="S203" s="88"/>
      <c r="T203" s="88"/>
      <c r="U203" s="88"/>
      <c r="V203" s="88" t="str">
        <f aca="false">IF(SUM($G203)=0,"",SUM($M203:$U203))</f>
        <v/>
      </c>
      <c r="W203" s="88"/>
      <c r="X203" s="39" t="str">
        <f aca="false">IF(OR(SUM($G203)=0,SUM($Q203)=0),"",ROUND(SUM($G203)*SUM($Q203),0))</f>
        <v/>
      </c>
      <c r="Y203" s="39" t="str">
        <f aca="false">IF(SUM($X203)=0,"",IF(SUM($W203)=0,"ENTER YIELD",ROUND($X203/$W203,0)-$X203))</f>
        <v/>
      </c>
      <c r="Z203" s="88"/>
      <c r="AA203" s="39" t="str">
        <f aca="false">IF(OR(SUM($G203)=0,SUM($R203)=0),"",ROUND(SUM($G203)*SUM($R203),0))</f>
        <v/>
      </c>
      <c r="AB203" s="39" t="str">
        <f aca="false">IF(SUM($AA203)=0,"",IF(SUM($Z203)=0,"ENTER YIELD",ROUND($AA203/$Z203,0)-$AA203))</f>
        <v/>
      </c>
      <c r="AC203" s="88"/>
      <c r="AD203" s="39" t="str">
        <f aca="false">IF(OR(SUM($G203)=0,SUM($S203)=0),"",ROUND(SUM($G203)*SUM($S203),0))</f>
        <v/>
      </c>
      <c r="AE203" s="39" t="str">
        <f aca="false">IF(SUM($AD203)=0,"",IF(SUM($AC203)=0,"ENTER YIELD",ROUND($AD203/$AC203,0)-$AD203))</f>
        <v/>
      </c>
      <c r="AF203" s="88"/>
      <c r="AG203" s="39" t="str">
        <f aca="false">IF(OR(SUM($G203)=0,SUM($T203)=0),"",ROUND(SUM($G203)*SUM($T203),0))</f>
        <v/>
      </c>
      <c r="AH203" s="39" t="str">
        <f aca="false">IF(SUM($AG203)=0,"",IF(SUM($AF203)=0,"ENTER YIELD",ROUND($AG203/$AF203,0)-$AG203))</f>
        <v/>
      </c>
      <c r="AI203" s="88"/>
      <c r="AJ203" s="39" t="str">
        <f aca="false">IF(OR(SUM($G203)=0,SUM($U203)=0),"",ROUND(SUM($G203)*SUM($U203),0))</f>
        <v/>
      </c>
      <c r="AK203" s="39" t="str">
        <f aca="false">IF(SUM($AJ203)=0,"",IF(SUM($AI203)=0,"ENTER YIELD",ROUND($AJ203/$AI203,0)-$AJ203))</f>
        <v/>
      </c>
      <c r="AL203" s="10" t="str">
        <f aca="false">IF(SUM($G203)=0,"",$G203)</f>
        <v/>
      </c>
      <c r="AM203" s="10" t="str">
        <f aca="false">IFERROR(1/(1/SUM($H203:$K203,$X203,$AA203,$AD203,$AG203,$AJ203)),"")</f>
        <v/>
      </c>
      <c r="AN203" s="10" t="str">
        <f aca="false">IF(AND(SUM($AM203)=0,SUM($AL203)=0),"",$AM203-$AL203)</f>
        <v/>
      </c>
      <c r="AO203" s="10" t="str">
        <f aca="false">IF(OR($C203="01-09",$D203="Male"),"",INDEX(PMTCT!$AD:$AD,MATCH($E203,PMTCT!$E:$E,0)))</f>
        <v/>
      </c>
      <c r="AP203" s="10" t="str">
        <f aca="false">IF(OR($C203="01-09",$D203="Male"),"",INDEX(PMTCT!$AT:$AT,MATCH($E203,PMTCT!$E:$E,0)))</f>
        <v/>
      </c>
      <c r="AQ203" s="10" t="str">
        <f aca="false">INDEX(TB!$Q:$Q,MATCH($E203,TB!$E:$E,0))</f>
        <v/>
      </c>
      <c r="AR203" s="10" t="str">
        <f aca="false">IF(OR($C203="01-09",$C203="10-14",$D203="Female"),"",INDEX(VMMC!$AB:$AB,MATCH($E203,VMMC!$E:$E,0)))</f>
        <v/>
      </c>
      <c r="AS203" s="10" t="str">
        <f aca="false">IF(OR($C203="01-09",$C203="10-14"),"",INDEX(PrEP!$Q:$Q,MATCH($E203,PrEP!$E:$E,0)))</f>
        <v/>
      </c>
      <c r="AT203" s="10" t="str">
        <f aca="false">IFERROR(1/(1/SUM($Y203,$AB203,$AE203,$AH203,$AK203,$AO203:$AS203)),"")</f>
        <v/>
      </c>
      <c r="AU203" s="10" t="str">
        <f aca="false">IFERROR(1/(1/SUM($AT203,$AM203)),"")</f>
        <v/>
      </c>
      <c r="AV203" s="88" t="str">
        <f aca="false">IF(AND(SUM($AM203)=0,SUM($AU203)=0),"",$AM203/$AU203)</f>
        <v/>
      </c>
      <c r="AW203" s="10"/>
      <c r="AX203" s="88" t="str">
        <f aca="false">IF(OR($C203="01-09",SUM($AW203)=0),"",0%)</f>
        <v/>
      </c>
      <c r="AY203" s="39" t="str">
        <f aca="false">IF(OR($C203="01-09",SUM($AW203)=0),"",ROUND($AW203*(1+$AX203),0))</f>
        <v/>
      </c>
      <c r="AZ203" s="88" t="n">
        <f aca="false">IF(OR($C203="01-09",$C203="10-14"),"",100%)</f>
        <v>1</v>
      </c>
      <c r="BA203" s="39" t="str">
        <f aca="false">IF(OR(SUM($AM203)=0,$C203="01-09",$C203="10-14"),"",$AM203*$AZ203)</f>
        <v/>
      </c>
    </row>
    <row r="204" customFormat="false" ht="15" hidden="false" customHeight="false" outlineLevel="0" collapsed="false">
      <c r="A204" s="0" t="str">
        <f aca="false">INDEX(Prioritization!$D:$D,MATCH($B204,Prioritization!$A:$A,0))</f>
        <v>INVALID</v>
      </c>
      <c r="B204" s="0" t="s">
        <v>209</v>
      </c>
      <c r="C204" s="0" t="s">
        <v>367</v>
      </c>
      <c r="D204" s="0" t="s">
        <v>48</v>
      </c>
      <c r="E204" s="0" t="str">
        <f aca="false">$B204&amp;"|"&amp;$C204&amp;"|"&amp;$D204</f>
        <v>Rumphi District [lPTyjLi4w3d]|35-49|Male</v>
      </c>
      <c r="F204" s="88" t="n">
        <f aca="false">IF(LEFT($B204,4)="_Mil","",INDEX(Cascade!$AA:$AA,MATCH($E204,Cascade!$E:$E,0)))</f>
        <v>1836</v>
      </c>
      <c r="G204" s="10" t="n">
        <f aca="false">INDEX(Cascade!$BH:$BH,MATCH($E204,Cascade!$E:$E,0))</f>
        <v>0</v>
      </c>
      <c r="H204" s="10" t="str">
        <f aca="false">IF(OR($C204="01-09",$D204="Male"),"",INDEX(PMTCT!$AC:$AC,MATCH($E204,PMTCT!$E:$E,0)))</f>
        <v/>
      </c>
      <c r="I204" s="10" t="str">
        <f aca="false">IF(OR($C204="01-09",$D204="Male"),"",INDEX(PMTCT!$AS:$AS,MATCH($E204,PMTCT!$E:$E,0)))</f>
        <v/>
      </c>
      <c r="J204" s="10" t="str">
        <f aca="false">INDEX(TB!$P:$P,MATCH($E204,TB!$E:$E,0))</f>
        <v/>
      </c>
      <c r="K204" s="10" t="str">
        <f aca="false">IF(OR($C204="01-09",$C204="10-14",$D204="Female"),"",INDEX(VMMC!$AA:$AA,MATCH($E204,VMMC!$E:$E,0)))</f>
        <v/>
      </c>
      <c r="L204" s="10" t="n">
        <f aca="false">SUM($G204)-SUM($H204:$K204)</f>
        <v>0</v>
      </c>
      <c r="M204" s="88" t="str">
        <f aca="false">IF(OR($C204="01-09",$D204="Male",AND(SUM($G204)=0,SUM($H204)=0)),"",SUM($H204)/SUM($G204))</f>
        <v/>
      </c>
      <c r="N204" s="88" t="str">
        <f aca="false">IF(OR($C204="01-09",$D204="Male",AND(SUM($G204)=0,SUM($I204)=0)),"",SUM($I204)/SUM($G204))</f>
        <v/>
      </c>
      <c r="O204" s="88" t="str">
        <f aca="false">IF(AND(SUM($G204)=0,SUM($J204)=0),"",SUM($J204)/SUM($G204))</f>
        <v/>
      </c>
      <c r="P204" s="88" t="str">
        <f aca="false">IF(OR($C204="01-09",$C204="10-14",$D204="Female",AND(SUM($G204)=0,SUM($K204)=0)),"",SUM($K204)/SUM($G204))</f>
        <v/>
      </c>
      <c r="Q204" s="88"/>
      <c r="R204" s="88"/>
      <c r="S204" s="88"/>
      <c r="T204" s="88"/>
      <c r="U204" s="88"/>
      <c r="V204" s="88" t="str">
        <f aca="false">IF(SUM($G204)=0,"",SUM($M204:$U204))</f>
        <v/>
      </c>
      <c r="W204" s="88"/>
      <c r="X204" s="39" t="str">
        <f aca="false">IF(OR(SUM($G204)=0,SUM($Q204)=0),"",ROUND(SUM($G204)*SUM($Q204),0))</f>
        <v/>
      </c>
      <c r="Y204" s="39" t="str">
        <f aca="false">IF(SUM($X204)=0,"",IF(SUM($W204)=0,"ENTER YIELD",ROUND($X204/$W204,0)-$X204))</f>
        <v/>
      </c>
      <c r="Z204" s="88"/>
      <c r="AA204" s="39" t="str">
        <f aca="false">IF(OR(SUM($G204)=0,SUM($R204)=0),"",ROUND(SUM($G204)*SUM($R204),0))</f>
        <v/>
      </c>
      <c r="AB204" s="39" t="str">
        <f aca="false">IF(SUM($AA204)=0,"",IF(SUM($Z204)=0,"ENTER YIELD",ROUND($AA204/$Z204,0)-$AA204))</f>
        <v/>
      </c>
      <c r="AC204" s="88"/>
      <c r="AD204" s="39" t="str">
        <f aca="false">IF(OR(SUM($G204)=0,SUM($S204)=0),"",ROUND(SUM($G204)*SUM($S204),0))</f>
        <v/>
      </c>
      <c r="AE204" s="39" t="str">
        <f aca="false">IF(SUM($AD204)=0,"",IF(SUM($AC204)=0,"ENTER YIELD",ROUND($AD204/$AC204,0)-$AD204))</f>
        <v/>
      </c>
      <c r="AF204" s="88"/>
      <c r="AG204" s="39" t="str">
        <f aca="false">IF(OR(SUM($G204)=0,SUM($T204)=0),"",ROUND(SUM($G204)*SUM($T204),0))</f>
        <v/>
      </c>
      <c r="AH204" s="39" t="str">
        <f aca="false">IF(SUM($AG204)=0,"",IF(SUM($AF204)=0,"ENTER YIELD",ROUND($AG204/$AF204,0)-$AG204))</f>
        <v/>
      </c>
      <c r="AI204" s="88"/>
      <c r="AJ204" s="39" t="str">
        <f aca="false">IF(OR(SUM($G204)=0,SUM($U204)=0),"",ROUND(SUM($G204)*SUM($U204),0))</f>
        <v/>
      </c>
      <c r="AK204" s="39" t="str">
        <f aca="false">IF(SUM($AJ204)=0,"",IF(SUM($AI204)=0,"ENTER YIELD",ROUND($AJ204/$AI204,0)-$AJ204))</f>
        <v/>
      </c>
      <c r="AL204" s="10" t="str">
        <f aca="false">IF(SUM($G204)=0,"",$G204)</f>
        <v/>
      </c>
      <c r="AM204" s="10" t="str">
        <f aca="false">IFERROR(1/(1/SUM($H204:$K204,$X204,$AA204,$AD204,$AG204,$AJ204)),"")</f>
        <v/>
      </c>
      <c r="AN204" s="10" t="str">
        <f aca="false">IF(AND(SUM($AM204)=0,SUM($AL204)=0),"",$AM204-$AL204)</f>
        <v/>
      </c>
      <c r="AO204" s="10" t="str">
        <f aca="false">IF(OR($C204="01-09",$D204="Male"),"",INDEX(PMTCT!$AD:$AD,MATCH($E204,PMTCT!$E:$E,0)))</f>
        <v/>
      </c>
      <c r="AP204" s="10" t="str">
        <f aca="false">IF(OR($C204="01-09",$D204="Male"),"",INDEX(PMTCT!$AT:$AT,MATCH($E204,PMTCT!$E:$E,0)))</f>
        <v/>
      </c>
      <c r="AQ204" s="10" t="str">
        <f aca="false">INDEX(TB!$Q:$Q,MATCH($E204,TB!$E:$E,0))</f>
        <v/>
      </c>
      <c r="AR204" s="10" t="str">
        <f aca="false">IF(OR($C204="01-09",$C204="10-14",$D204="Female"),"",INDEX(VMMC!$AB:$AB,MATCH($E204,VMMC!$E:$E,0)))</f>
        <v/>
      </c>
      <c r="AS204" s="10" t="str">
        <f aca="false">IF(OR($C204="01-09",$C204="10-14"),"",INDEX(PrEP!$Q:$Q,MATCH($E204,PrEP!$E:$E,0)))</f>
        <v/>
      </c>
      <c r="AT204" s="10" t="str">
        <f aca="false">IFERROR(1/(1/SUM($Y204,$AB204,$AE204,$AH204,$AK204,$AO204:$AS204)),"")</f>
        <v/>
      </c>
      <c r="AU204" s="10" t="str">
        <f aca="false">IFERROR(1/(1/SUM($AT204,$AM204)),"")</f>
        <v/>
      </c>
      <c r="AV204" s="88" t="str">
        <f aca="false">IF(AND(SUM($AM204)=0,SUM($AU204)=0),"",$AM204/$AU204)</f>
        <v/>
      </c>
      <c r="AW204" s="10"/>
      <c r="AX204" s="88" t="str">
        <f aca="false">IF(OR($C204="01-09",SUM($AW204)=0),"",0%)</f>
        <v/>
      </c>
      <c r="AY204" s="39" t="str">
        <f aca="false">IF(OR($C204="01-09",SUM($AW204)=0),"",ROUND($AW204*(1+$AX204),0))</f>
        <v/>
      </c>
      <c r="AZ204" s="88" t="n">
        <f aca="false">IF(OR($C204="01-09",$C204="10-14"),"",100%)</f>
        <v>1</v>
      </c>
      <c r="BA204" s="39" t="str">
        <f aca="false">IF(OR(SUM($AM204)=0,$C204="01-09",$C204="10-14"),"",$AM204*$AZ204)</f>
        <v/>
      </c>
    </row>
    <row r="205" customFormat="false" ht="15" hidden="false" customHeight="false" outlineLevel="0" collapsed="false">
      <c r="A205" s="0" t="str">
        <f aca="false">INDEX(Prioritization!$D:$D,MATCH($B205,Prioritization!$A:$A,0))</f>
        <v>INVALID</v>
      </c>
      <c r="B205" s="0" t="s">
        <v>209</v>
      </c>
      <c r="C205" s="0" t="s">
        <v>368</v>
      </c>
      <c r="D205" s="0" t="s">
        <v>30</v>
      </c>
      <c r="E205" s="0" t="str">
        <f aca="false">$B205&amp;"|"&amp;$C205&amp;"|"&amp;$D205</f>
        <v>Rumphi District [lPTyjLi4w3d]|50+|Female</v>
      </c>
      <c r="F205" s="88" t="n">
        <f aca="false">IF(LEFT($B205,4)="_Mil","",INDEX(Cascade!$AA:$AA,MATCH($E205,Cascade!$E:$E,0)))</f>
        <v>1370</v>
      </c>
      <c r="G205" s="10" t="n">
        <f aca="false">INDEX(Cascade!$BH:$BH,MATCH($E205,Cascade!$E:$E,0))</f>
        <v>0</v>
      </c>
      <c r="H205" s="10" t="str">
        <f aca="false">IF(OR($C205="01-09",$D205="Male"),"",INDEX(PMTCT!$AC:$AC,MATCH($E205,PMTCT!$E:$E,0)))</f>
        <v/>
      </c>
      <c r="I205" s="10" t="str">
        <f aca="false">IF(OR($C205="01-09",$D205="Male"),"",INDEX(PMTCT!$AS:$AS,MATCH($E205,PMTCT!$E:$E,0)))</f>
        <v/>
      </c>
      <c r="J205" s="10" t="str">
        <f aca="false">INDEX(TB!$P:$P,MATCH($E205,TB!$E:$E,0))</f>
        <v/>
      </c>
      <c r="K205" s="10" t="str">
        <f aca="false">IF(OR($C205="01-09",$C205="10-14",$D205="Female"),"",INDEX(VMMC!$AA:$AA,MATCH($E205,VMMC!$E:$E,0)))</f>
        <v/>
      </c>
      <c r="L205" s="10" t="n">
        <f aca="false">SUM($G205)-SUM($H205:$K205)</f>
        <v>0</v>
      </c>
      <c r="M205" s="88" t="str">
        <f aca="false">IF(OR($C205="01-09",$D205="Male",AND(SUM($G205)=0,SUM($H205)=0)),"",SUM($H205)/SUM($G205))</f>
        <v/>
      </c>
      <c r="N205" s="88" t="str">
        <f aca="false">IF(OR($C205="01-09",$D205="Male",AND(SUM($G205)=0,SUM($I205)=0)),"",SUM($I205)/SUM($G205))</f>
        <v/>
      </c>
      <c r="O205" s="88" t="str">
        <f aca="false">IF(AND(SUM($G205)=0,SUM($J205)=0),"",SUM($J205)/SUM($G205))</f>
        <v/>
      </c>
      <c r="P205" s="88" t="str">
        <f aca="false">IF(OR($C205="01-09",$C205="10-14",$D205="Female",AND(SUM($G205)=0,SUM($K205)=0)),"",SUM($K205)/SUM($G205))</f>
        <v/>
      </c>
      <c r="Q205" s="88"/>
      <c r="R205" s="88"/>
      <c r="S205" s="88"/>
      <c r="T205" s="88"/>
      <c r="U205" s="88" t="n">
        <v>0.296840876806527</v>
      </c>
      <c r="V205" s="88" t="str">
        <f aca="false">IF(SUM($G205)=0,"",SUM($M205:$U205))</f>
        <v/>
      </c>
      <c r="W205" s="88"/>
      <c r="X205" s="39" t="str">
        <f aca="false">IF(OR(SUM($G205)=0,SUM($Q205)=0),"",ROUND(SUM($G205)*SUM($Q205),0))</f>
        <v/>
      </c>
      <c r="Y205" s="39" t="str">
        <f aca="false">IF(SUM($X205)=0,"",IF(SUM($W205)=0,"ENTER YIELD",ROUND($X205/$W205,0)-$X205))</f>
        <v/>
      </c>
      <c r="Z205" s="88"/>
      <c r="AA205" s="39" t="str">
        <f aca="false">IF(OR(SUM($G205)=0,SUM($R205)=0),"",ROUND(SUM($G205)*SUM($R205),0))</f>
        <v/>
      </c>
      <c r="AB205" s="39" t="str">
        <f aca="false">IF(SUM($AA205)=0,"",IF(SUM($Z205)=0,"ENTER YIELD",ROUND($AA205/$Z205,0)-$AA205))</f>
        <v/>
      </c>
      <c r="AC205" s="88"/>
      <c r="AD205" s="39" t="str">
        <f aca="false">IF(OR(SUM($G205)=0,SUM($S205)=0),"",ROUND(SUM($G205)*SUM($S205),0))</f>
        <v/>
      </c>
      <c r="AE205" s="39" t="str">
        <f aca="false">IF(SUM($AD205)=0,"",IF(SUM($AC205)=0,"ENTER YIELD",ROUND($AD205/$AC205,0)-$AD205))</f>
        <v/>
      </c>
      <c r="AF205" s="88"/>
      <c r="AG205" s="39" t="str">
        <f aca="false">IF(OR(SUM($G205)=0,SUM($T205)=0),"",ROUND(SUM($G205)*SUM($T205),0))</f>
        <v/>
      </c>
      <c r="AH205" s="39" t="str">
        <f aca="false">IF(SUM($AG205)=0,"",IF(SUM($AF205)=0,"ENTER YIELD",ROUND($AG205/$AF205,0)-$AG205))</f>
        <v/>
      </c>
      <c r="AI205" s="88"/>
      <c r="AJ205" s="39" t="str">
        <f aca="false">IF(OR(SUM($G205)=0,SUM($U205)=0),"",ROUND(SUM($G205)*SUM($U205),0))</f>
        <v/>
      </c>
      <c r="AK205" s="39" t="str">
        <f aca="false">IF(SUM($AJ205)=0,"",IF(SUM($AI205)=0,"ENTER YIELD",ROUND($AJ205/$AI205,0)-$AJ205))</f>
        <v/>
      </c>
      <c r="AL205" s="10" t="str">
        <f aca="false">IF(SUM($G205)=0,"",$G205)</f>
        <v/>
      </c>
      <c r="AM205" s="10" t="str">
        <f aca="false">IFERROR(1/(1/SUM($H205:$K205,$X205,$AA205,$AD205,$AG205,$AJ205)),"")</f>
        <v/>
      </c>
      <c r="AN205" s="10" t="str">
        <f aca="false">IF(AND(SUM($AM205)=0,SUM($AL205)=0),"",$AM205-$AL205)</f>
        <v/>
      </c>
      <c r="AO205" s="10" t="str">
        <f aca="false">IF(OR($C205="01-09",$D205="Male"),"",INDEX(PMTCT!$AD:$AD,MATCH($E205,PMTCT!$E:$E,0)))</f>
        <v/>
      </c>
      <c r="AP205" s="10" t="str">
        <f aca="false">IF(OR($C205="01-09",$D205="Male"),"",INDEX(PMTCT!$AT:$AT,MATCH($E205,PMTCT!$E:$E,0)))</f>
        <v/>
      </c>
      <c r="AQ205" s="10" t="str">
        <f aca="false">INDEX(TB!$Q:$Q,MATCH($E205,TB!$E:$E,0))</f>
        <v/>
      </c>
      <c r="AR205" s="10" t="str">
        <f aca="false">IF(OR($C205="01-09",$C205="10-14",$D205="Female"),"",INDEX(VMMC!$AB:$AB,MATCH($E205,VMMC!$E:$E,0)))</f>
        <v/>
      </c>
      <c r="AS205" s="10" t="str">
        <f aca="false">IF(OR($C205="01-09",$C205="10-14"),"",INDEX(PrEP!$Q:$Q,MATCH($E205,PrEP!$E:$E,0)))</f>
        <v/>
      </c>
      <c r="AT205" s="10" t="str">
        <f aca="false">IFERROR(1/(1/SUM($Y205,$AB205,$AE205,$AH205,$AK205,$AO205:$AS205)),"")</f>
        <v/>
      </c>
      <c r="AU205" s="10" t="str">
        <f aca="false">IFERROR(1/(1/SUM($AT205,$AM205)),"")</f>
        <v/>
      </c>
      <c r="AV205" s="88" t="str">
        <f aca="false">IF(AND(SUM($AM205)=0,SUM($AU205)=0),"",$AM205/$AU205)</f>
        <v/>
      </c>
      <c r="AW205" s="10" t="n">
        <v>2</v>
      </c>
      <c r="AX205" s="88" t="n">
        <f aca="false">IF(OR($C205="01-09",SUM($AW205)=0),"",0%)</f>
        <v>0</v>
      </c>
      <c r="AY205" s="39" t="n">
        <f aca="false">IF(OR($C205="01-09",SUM($AW205)=0),"",ROUND($AW205*(1+$AX205),0))</f>
        <v>2</v>
      </c>
      <c r="AZ205" s="88" t="n">
        <f aca="false">IF(OR($C205="01-09",$C205="10-14"),"",100%)</f>
        <v>1</v>
      </c>
      <c r="BA205" s="39" t="str">
        <f aca="false">IF(OR(SUM($AM205)=0,$C205="01-09",$C205="10-14"),"",$AM205*$AZ205)</f>
        <v/>
      </c>
    </row>
    <row r="206" customFormat="false" ht="15" hidden="false" customHeight="false" outlineLevel="0" collapsed="false">
      <c r="A206" s="0" t="str">
        <f aca="false">INDEX(Prioritization!$D:$D,MATCH($B206,Prioritization!$A:$A,0))</f>
        <v>INVALID</v>
      </c>
      <c r="B206" s="0" t="s">
        <v>209</v>
      </c>
      <c r="C206" s="0" t="s">
        <v>368</v>
      </c>
      <c r="D206" s="0" t="s">
        <v>48</v>
      </c>
      <c r="E206" s="0" t="str">
        <f aca="false">$B206&amp;"|"&amp;$C206&amp;"|"&amp;$D206</f>
        <v>Rumphi District [lPTyjLi4w3d]|50+|Male</v>
      </c>
      <c r="F206" s="88" t="n">
        <f aca="false">IF(LEFT($B206,4)="_Mil","",INDEX(Cascade!$AA:$AA,MATCH($E206,Cascade!$E:$E,0)))</f>
        <v>1898</v>
      </c>
      <c r="G206" s="10" t="n">
        <f aca="false">INDEX(Cascade!$BH:$BH,MATCH($E206,Cascade!$E:$E,0))</f>
        <v>0</v>
      </c>
      <c r="H206" s="10" t="str">
        <f aca="false">IF(OR($C206="01-09",$D206="Male"),"",INDEX(PMTCT!$AC:$AC,MATCH($E206,PMTCT!$E:$E,0)))</f>
        <v/>
      </c>
      <c r="I206" s="10" t="str">
        <f aca="false">IF(OR($C206="01-09",$D206="Male"),"",INDEX(PMTCT!$AS:$AS,MATCH($E206,PMTCT!$E:$E,0)))</f>
        <v/>
      </c>
      <c r="J206" s="10" t="str">
        <f aca="false">INDEX(TB!$P:$P,MATCH($E206,TB!$E:$E,0))</f>
        <v/>
      </c>
      <c r="K206" s="10" t="str">
        <f aca="false">IF(OR($C206="01-09",$C206="10-14",$D206="Female"),"",INDEX(VMMC!$AA:$AA,MATCH($E206,VMMC!$E:$E,0)))</f>
        <v/>
      </c>
      <c r="L206" s="10" t="n">
        <f aca="false">SUM($G206)-SUM($H206:$K206)</f>
        <v>0</v>
      </c>
      <c r="M206" s="88" t="str">
        <f aca="false">IF(OR($C206="01-09",$D206="Male",AND(SUM($G206)=0,SUM($H206)=0)),"",SUM($H206)/SUM($G206))</f>
        <v/>
      </c>
      <c r="N206" s="88" t="str">
        <f aca="false">IF(OR($C206="01-09",$D206="Male",AND(SUM($G206)=0,SUM($I206)=0)),"",SUM($I206)/SUM($G206))</f>
        <v/>
      </c>
      <c r="O206" s="88" t="str">
        <f aca="false">IF(AND(SUM($G206)=0,SUM($J206)=0),"",SUM($J206)/SUM($G206))</f>
        <v/>
      </c>
      <c r="P206" s="88" t="str">
        <f aca="false">IF(OR($C206="01-09",$C206="10-14",$D206="Female",AND(SUM($G206)=0,SUM($K206)=0)),"",SUM($K206)/SUM($G206))</f>
        <v/>
      </c>
      <c r="Q206" s="88"/>
      <c r="R206" s="88"/>
      <c r="S206" s="88"/>
      <c r="T206" s="88"/>
      <c r="U206" s="88" t="n">
        <v>0.299113511573523</v>
      </c>
      <c r="V206" s="88" t="str">
        <f aca="false">IF(SUM($G206)=0,"",SUM($M206:$U206))</f>
        <v/>
      </c>
      <c r="W206" s="88"/>
      <c r="X206" s="39" t="str">
        <f aca="false">IF(OR(SUM($G206)=0,SUM($Q206)=0),"",ROUND(SUM($G206)*SUM($Q206),0))</f>
        <v/>
      </c>
      <c r="Y206" s="39" t="str">
        <f aca="false">IF(SUM($X206)=0,"",IF(SUM($W206)=0,"ENTER YIELD",ROUND($X206/$W206,0)-$X206))</f>
        <v/>
      </c>
      <c r="Z206" s="88"/>
      <c r="AA206" s="39" t="str">
        <f aca="false">IF(OR(SUM($G206)=0,SUM($R206)=0),"",ROUND(SUM($G206)*SUM($R206),0))</f>
        <v/>
      </c>
      <c r="AB206" s="39" t="str">
        <f aca="false">IF(SUM($AA206)=0,"",IF(SUM($Z206)=0,"ENTER YIELD",ROUND($AA206/$Z206,0)-$AA206))</f>
        <v/>
      </c>
      <c r="AC206" s="88"/>
      <c r="AD206" s="39" t="str">
        <f aca="false">IF(OR(SUM($G206)=0,SUM($S206)=0),"",ROUND(SUM($G206)*SUM($S206),0))</f>
        <v/>
      </c>
      <c r="AE206" s="39" t="str">
        <f aca="false">IF(SUM($AD206)=0,"",IF(SUM($AC206)=0,"ENTER YIELD",ROUND($AD206/$AC206,0)-$AD206))</f>
        <v/>
      </c>
      <c r="AF206" s="88"/>
      <c r="AG206" s="39" t="str">
        <f aca="false">IF(OR(SUM($G206)=0,SUM($T206)=0),"",ROUND(SUM($G206)*SUM($T206),0))</f>
        <v/>
      </c>
      <c r="AH206" s="39" t="str">
        <f aca="false">IF(SUM($AG206)=0,"",IF(SUM($AF206)=0,"ENTER YIELD",ROUND($AG206/$AF206,0)-$AG206))</f>
        <v/>
      </c>
      <c r="AI206" s="88"/>
      <c r="AJ206" s="39" t="str">
        <f aca="false">IF(OR(SUM($G206)=0,SUM($U206)=0),"",ROUND(SUM($G206)*SUM($U206),0))</f>
        <v/>
      </c>
      <c r="AK206" s="39" t="str">
        <f aca="false">IF(SUM($AJ206)=0,"",IF(SUM($AI206)=0,"ENTER YIELD",ROUND($AJ206/$AI206,0)-$AJ206))</f>
        <v/>
      </c>
      <c r="AL206" s="10" t="str">
        <f aca="false">IF(SUM($G206)=0,"",$G206)</f>
        <v/>
      </c>
      <c r="AM206" s="10" t="str">
        <f aca="false">IFERROR(1/(1/SUM($H206:$K206,$X206,$AA206,$AD206,$AG206,$AJ206)),"")</f>
        <v/>
      </c>
      <c r="AN206" s="10" t="str">
        <f aca="false">IF(AND(SUM($AM206)=0,SUM($AL206)=0),"",$AM206-$AL206)</f>
        <v/>
      </c>
      <c r="AO206" s="10" t="str">
        <f aca="false">IF(OR($C206="01-09",$D206="Male"),"",INDEX(PMTCT!$AD:$AD,MATCH($E206,PMTCT!$E:$E,0)))</f>
        <v/>
      </c>
      <c r="AP206" s="10" t="str">
        <f aca="false">IF(OR($C206="01-09",$D206="Male"),"",INDEX(PMTCT!$AT:$AT,MATCH($E206,PMTCT!$E:$E,0)))</f>
        <v/>
      </c>
      <c r="AQ206" s="10" t="str">
        <f aca="false">INDEX(TB!$Q:$Q,MATCH($E206,TB!$E:$E,0))</f>
        <v/>
      </c>
      <c r="AR206" s="10" t="str">
        <f aca="false">IF(OR($C206="01-09",$C206="10-14",$D206="Female"),"",INDEX(VMMC!$AB:$AB,MATCH($E206,VMMC!$E:$E,0)))</f>
        <v/>
      </c>
      <c r="AS206" s="10" t="str">
        <f aca="false">IF(OR($C206="01-09",$C206="10-14"),"",INDEX(PrEP!$Q:$Q,MATCH($E206,PrEP!$E:$E,0)))</f>
        <v/>
      </c>
      <c r="AT206" s="10" t="str">
        <f aca="false">IFERROR(1/(1/SUM($Y206,$AB206,$AE206,$AH206,$AK206,$AO206:$AS206)),"")</f>
        <v/>
      </c>
      <c r="AU206" s="10" t="str">
        <f aca="false">IFERROR(1/(1/SUM($AT206,$AM206)),"")</f>
        <v/>
      </c>
      <c r="AV206" s="88" t="str">
        <f aca="false">IF(AND(SUM($AM206)=0,SUM($AU206)=0),"",$AM206/$AU206)</f>
        <v/>
      </c>
      <c r="AW206" s="10" t="n">
        <v>9</v>
      </c>
      <c r="AX206" s="88" t="n">
        <f aca="false">IF(OR($C206="01-09",SUM($AW206)=0),"",0%)</f>
        <v>0</v>
      </c>
      <c r="AY206" s="39" t="n">
        <f aca="false">IF(OR($C206="01-09",SUM($AW206)=0),"",ROUND($AW206*(1+$AX206),0))</f>
        <v>9</v>
      </c>
      <c r="AZ206" s="88" t="n">
        <f aca="false">IF(OR($C206="01-09",$C206="10-14"),"",100%)</f>
        <v>1</v>
      </c>
      <c r="BA206" s="39" t="str">
        <f aca="false">IF(OR(SUM($AM206)=0,$C206="01-09",$C206="10-14"),"",$AM206*$AZ206)</f>
        <v/>
      </c>
    </row>
    <row r="207" customFormat="false" ht="15" hidden="false" customHeight="false" outlineLevel="0" collapsed="false">
      <c r="A207" s="0" t="str">
        <f aca="false">INDEX(Prioritization!$D:$D,MATCH($B207,Prioritization!$A:$A,0))</f>
        <v>1 - Scale-up: Saturation</v>
      </c>
      <c r="B207" s="0" t="s">
        <v>210</v>
      </c>
      <c r="C207" s="0" t="s">
        <v>363</v>
      </c>
      <c r="D207" s="0" t="s">
        <v>30</v>
      </c>
      <c r="E207" s="0" t="str">
        <f aca="false">$B207&amp;"|"&amp;$C207&amp;"|"&amp;$D207</f>
        <v>Balaka District [ir8wuHHzoSs]|01-09|Female</v>
      </c>
      <c r="F207" s="88" t="n">
        <f aca="false">IF(LEFT($B207,4)="_Mil","",INDEX(Cascade!$AA:$AA,MATCH($E207,Cascade!$E:$E,0)))</f>
        <v>670</v>
      </c>
      <c r="G207" s="10" t="n">
        <f aca="false">INDEX(Cascade!$BH:$BH,MATCH($E207,Cascade!$E:$E,0))</f>
        <v>0</v>
      </c>
      <c r="H207" s="10" t="str">
        <f aca="false">IF(OR($C207="01-09",$D207="Male"),"",INDEX(PMTCT!$AC:$AC,MATCH($E207,PMTCT!$E:$E,0)))</f>
        <v/>
      </c>
      <c r="I207" s="10" t="str">
        <f aca="false">IF(OR($C207="01-09",$D207="Male"),"",INDEX(PMTCT!$AS:$AS,MATCH($E207,PMTCT!$E:$E,0)))</f>
        <v/>
      </c>
      <c r="J207" s="10" t="str">
        <f aca="false">INDEX(TB!$P:$P,MATCH($E207,TB!$E:$E,0))</f>
        <v/>
      </c>
      <c r="K207" s="10" t="str">
        <f aca="false">IF(OR($C207="01-09",$C207="10-14",$D207="Female"),"",INDEX(VMMC!$AA:$AA,MATCH($E207,VMMC!$E:$E,0)))</f>
        <v/>
      </c>
      <c r="L207" s="10" t="n">
        <f aca="false">SUM($G207)-SUM($H207:$K207)</f>
        <v>0</v>
      </c>
      <c r="M207" s="88" t="str">
        <f aca="false">IF(OR($C207="01-09",$D207="Male",AND(SUM($G207)=0,SUM($H207)=0)),"",SUM($H207)/SUM($G207))</f>
        <v/>
      </c>
      <c r="N207" s="88" t="str">
        <f aca="false">IF(OR($C207="01-09",$D207="Male",AND(SUM($G207)=0,SUM($I207)=0)),"",SUM($I207)/SUM($G207))</f>
        <v/>
      </c>
      <c r="O207" s="88" t="str">
        <f aca="false">IF(AND(SUM($G207)=0,SUM($J207)=0),"",SUM($J207)/SUM($G207))</f>
        <v/>
      </c>
      <c r="P207" s="88" t="str">
        <f aca="false">IF(OR($C207="01-09",$C207="10-14",$D207="Female",AND(SUM($G207)=0,SUM($K207)=0)),"",SUM($K207)/SUM($G207))</f>
        <v/>
      </c>
      <c r="Q207" s="88"/>
      <c r="R207" s="88"/>
      <c r="S207" s="88"/>
      <c r="T207" s="88"/>
      <c r="U207" s="88"/>
      <c r="V207" s="88" t="str">
        <f aca="false">IF(SUM($G207)=0,"",SUM($M207:$U207))</f>
        <v/>
      </c>
      <c r="W207" s="88"/>
      <c r="X207" s="39" t="str">
        <f aca="false">IF(OR(SUM($G207)=0,SUM($Q207)=0),"",ROUND(SUM($G207)*SUM($Q207),0))</f>
        <v/>
      </c>
      <c r="Y207" s="39" t="str">
        <f aca="false">IF(SUM($X207)=0,"",IF(SUM($W207)=0,"ENTER YIELD",ROUND($X207/$W207,0)-$X207))</f>
        <v/>
      </c>
      <c r="Z207" s="88"/>
      <c r="AA207" s="39" t="str">
        <f aca="false">IF(OR(SUM($G207)=0,SUM($R207)=0),"",ROUND(SUM($G207)*SUM($R207),0))</f>
        <v/>
      </c>
      <c r="AB207" s="39" t="str">
        <f aca="false">IF(SUM($AA207)=0,"",IF(SUM($Z207)=0,"ENTER YIELD",ROUND($AA207/$Z207,0)-$AA207))</f>
        <v/>
      </c>
      <c r="AC207" s="88"/>
      <c r="AD207" s="39" t="str">
        <f aca="false">IF(OR(SUM($G207)=0,SUM($S207)=0),"",ROUND(SUM($G207)*SUM($S207),0))</f>
        <v/>
      </c>
      <c r="AE207" s="39" t="str">
        <f aca="false">IF(SUM($AD207)=0,"",IF(SUM($AC207)=0,"ENTER YIELD",ROUND($AD207/$AC207,0)-$AD207))</f>
        <v/>
      </c>
      <c r="AF207" s="88"/>
      <c r="AG207" s="39" t="str">
        <f aca="false">IF(OR(SUM($G207)=0,SUM($T207)=0),"",ROUND(SUM($G207)*SUM($T207),0))</f>
        <v/>
      </c>
      <c r="AH207" s="39" t="str">
        <f aca="false">IF(SUM($AG207)=0,"",IF(SUM($AF207)=0,"ENTER YIELD",ROUND($AG207/$AF207,0)-$AG207))</f>
        <v/>
      </c>
      <c r="AI207" s="88"/>
      <c r="AJ207" s="39" t="str">
        <f aca="false">IF(OR(SUM($G207)=0,SUM($U207)=0),"",ROUND(SUM($G207)*SUM($U207),0))</f>
        <v/>
      </c>
      <c r="AK207" s="39" t="str">
        <f aca="false">IF(SUM($AJ207)=0,"",IF(SUM($AI207)=0,"ENTER YIELD",ROUND($AJ207/$AI207,0)-$AJ207))</f>
        <v/>
      </c>
      <c r="AL207" s="10" t="str">
        <f aca="false">IF(SUM($G207)=0,"",$G207)</f>
        <v/>
      </c>
      <c r="AM207" s="10" t="str">
        <f aca="false">IFERROR(1/(1/SUM($H207:$K207,$X207,$AA207,$AD207,$AG207,$AJ207)),"")</f>
        <v/>
      </c>
      <c r="AN207" s="10" t="str">
        <f aca="false">IF(AND(SUM($AM207)=0,SUM($AL207)=0),"",$AM207-$AL207)</f>
        <v/>
      </c>
      <c r="AO207" s="10" t="str">
        <f aca="false">IF(OR($C207="01-09",$D207="Male"),"",INDEX(PMTCT!$AD:$AD,MATCH($E207,PMTCT!$E:$E,0)))</f>
        <v/>
      </c>
      <c r="AP207" s="10" t="str">
        <f aca="false">IF(OR($C207="01-09",$D207="Male"),"",INDEX(PMTCT!$AT:$AT,MATCH($E207,PMTCT!$E:$E,0)))</f>
        <v/>
      </c>
      <c r="AQ207" s="10" t="str">
        <f aca="false">INDEX(TB!$Q:$Q,MATCH($E207,TB!$E:$E,0))</f>
        <v/>
      </c>
      <c r="AR207" s="10" t="str">
        <f aca="false">IF(OR($C207="01-09",$C207="10-14",$D207="Female"),"",INDEX(VMMC!$AB:$AB,MATCH($E207,VMMC!$E:$E,0)))</f>
        <v/>
      </c>
      <c r="AS207" s="10" t="str">
        <f aca="false">IF(OR($C207="01-09",$C207="10-14"),"",INDEX(PrEP!$Q:$Q,MATCH($E207,PrEP!$E:$E,0)))</f>
        <v/>
      </c>
      <c r="AT207" s="10" t="str">
        <f aca="false">IFERROR(1/(1/SUM($Y207,$AB207,$AE207,$AH207,$AK207,$AO207:$AS207)),"")</f>
        <v/>
      </c>
      <c r="AU207" s="10" t="str">
        <f aca="false">IFERROR(1/(1/SUM($AT207,$AM207)),"")</f>
        <v/>
      </c>
      <c r="AV207" s="88" t="str">
        <f aca="false">IF(AND(SUM($AM207)=0,SUM($AU207)=0),"",$AM207/$AU207)</f>
        <v/>
      </c>
      <c r="AW207" s="10"/>
      <c r="AX207" s="88" t="str">
        <f aca="false">IF(OR($C207="01-09",SUM($AW207)=0),"",0%)</f>
        <v/>
      </c>
      <c r="AY207" s="39" t="str">
        <f aca="false">IF(OR($C207="01-09",SUM($AW207)=0),"",ROUND($AW207*(1+$AX207),0))</f>
        <v/>
      </c>
      <c r="AZ207" s="88" t="str">
        <f aca="false">IF(OR($C207="01-09",$C207="10-14"),"",100%)</f>
        <v/>
      </c>
      <c r="BA207" s="39" t="str">
        <f aca="false">IF(OR(SUM($AM207)=0,$C207="01-09",$C207="10-14"),"",$AM207*$AZ207)</f>
        <v/>
      </c>
    </row>
    <row r="208" customFormat="false" ht="15" hidden="false" customHeight="false" outlineLevel="0" collapsed="false">
      <c r="A208" s="0" t="str">
        <f aca="false">INDEX(Prioritization!$D:$D,MATCH($B208,Prioritization!$A:$A,0))</f>
        <v>1 - Scale-up: Saturation</v>
      </c>
      <c r="B208" s="0" t="s">
        <v>210</v>
      </c>
      <c r="C208" s="0" t="s">
        <v>363</v>
      </c>
      <c r="D208" s="0" t="s">
        <v>48</v>
      </c>
      <c r="E208" s="0" t="str">
        <f aca="false">$B208&amp;"|"&amp;$C208&amp;"|"&amp;$D208</f>
        <v>Balaka District [ir8wuHHzoSs]|01-09|Male</v>
      </c>
      <c r="F208" s="88" t="n">
        <f aca="false">IF(LEFT($B208,4)="_Mil","",INDEX(Cascade!$AA:$AA,MATCH($E208,Cascade!$E:$E,0)))</f>
        <v>602</v>
      </c>
      <c r="G208" s="10" t="n">
        <f aca="false">INDEX(Cascade!$BH:$BH,MATCH($E208,Cascade!$E:$E,0))</f>
        <v>0</v>
      </c>
      <c r="H208" s="10" t="str">
        <f aca="false">IF(OR($C208="01-09",$D208="Male"),"",INDEX(PMTCT!$AC:$AC,MATCH($E208,PMTCT!$E:$E,0)))</f>
        <v/>
      </c>
      <c r="I208" s="10" t="str">
        <f aca="false">IF(OR($C208="01-09",$D208="Male"),"",INDEX(PMTCT!$AS:$AS,MATCH($E208,PMTCT!$E:$E,0)))</f>
        <v/>
      </c>
      <c r="J208" s="10" t="str">
        <f aca="false">INDEX(TB!$P:$P,MATCH($E208,TB!$E:$E,0))</f>
        <v/>
      </c>
      <c r="K208" s="10" t="str">
        <f aca="false">IF(OR($C208="01-09",$C208="10-14",$D208="Female"),"",INDEX(VMMC!$AA:$AA,MATCH($E208,VMMC!$E:$E,0)))</f>
        <v/>
      </c>
      <c r="L208" s="10" t="n">
        <f aca="false">SUM($G208)-SUM($H208:$K208)</f>
        <v>0</v>
      </c>
      <c r="M208" s="88" t="str">
        <f aca="false">IF(OR($C208="01-09",$D208="Male",AND(SUM($G208)=0,SUM($H208)=0)),"",SUM($H208)/SUM($G208))</f>
        <v/>
      </c>
      <c r="N208" s="88" t="str">
        <f aca="false">IF(OR($C208="01-09",$D208="Male",AND(SUM($G208)=0,SUM($I208)=0)),"",SUM($I208)/SUM($G208))</f>
        <v/>
      </c>
      <c r="O208" s="88" t="str">
        <f aca="false">IF(AND(SUM($G208)=0,SUM($J208)=0),"",SUM($J208)/SUM($G208))</f>
        <v/>
      </c>
      <c r="P208" s="88" t="str">
        <f aca="false">IF(OR($C208="01-09",$C208="10-14",$D208="Female",AND(SUM($G208)=0,SUM($K208)=0)),"",SUM($K208)/SUM($G208))</f>
        <v/>
      </c>
      <c r="Q208" s="88"/>
      <c r="R208" s="88"/>
      <c r="S208" s="88"/>
      <c r="T208" s="88"/>
      <c r="U208" s="88"/>
      <c r="V208" s="88" t="str">
        <f aca="false">IF(SUM($G208)=0,"",SUM($M208:$U208))</f>
        <v/>
      </c>
      <c r="W208" s="88"/>
      <c r="X208" s="39" t="str">
        <f aca="false">IF(OR(SUM($G208)=0,SUM($Q208)=0),"",ROUND(SUM($G208)*SUM($Q208),0))</f>
        <v/>
      </c>
      <c r="Y208" s="39" t="str">
        <f aca="false">IF(SUM($X208)=0,"",IF(SUM($W208)=0,"ENTER YIELD",ROUND($X208/$W208,0)-$X208))</f>
        <v/>
      </c>
      <c r="Z208" s="88"/>
      <c r="AA208" s="39" t="str">
        <f aca="false">IF(OR(SUM($G208)=0,SUM($R208)=0),"",ROUND(SUM($G208)*SUM($R208),0))</f>
        <v/>
      </c>
      <c r="AB208" s="39" t="str">
        <f aca="false">IF(SUM($AA208)=0,"",IF(SUM($Z208)=0,"ENTER YIELD",ROUND($AA208/$Z208,0)-$AA208))</f>
        <v/>
      </c>
      <c r="AC208" s="88"/>
      <c r="AD208" s="39" t="str">
        <f aca="false">IF(OR(SUM($G208)=0,SUM($S208)=0),"",ROUND(SUM($G208)*SUM($S208),0))</f>
        <v/>
      </c>
      <c r="AE208" s="39" t="str">
        <f aca="false">IF(SUM($AD208)=0,"",IF(SUM($AC208)=0,"ENTER YIELD",ROUND($AD208/$AC208,0)-$AD208))</f>
        <v/>
      </c>
      <c r="AF208" s="88"/>
      <c r="AG208" s="39" t="str">
        <f aca="false">IF(OR(SUM($G208)=0,SUM($T208)=0),"",ROUND(SUM($G208)*SUM($T208),0))</f>
        <v/>
      </c>
      <c r="AH208" s="39" t="str">
        <f aca="false">IF(SUM($AG208)=0,"",IF(SUM($AF208)=0,"ENTER YIELD",ROUND($AG208/$AF208,0)-$AG208))</f>
        <v/>
      </c>
      <c r="AI208" s="88"/>
      <c r="AJ208" s="39" t="str">
        <f aca="false">IF(OR(SUM($G208)=0,SUM($U208)=0),"",ROUND(SUM($G208)*SUM($U208),0))</f>
        <v/>
      </c>
      <c r="AK208" s="39" t="str">
        <f aca="false">IF(SUM($AJ208)=0,"",IF(SUM($AI208)=0,"ENTER YIELD",ROUND($AJ208/$AI208,0)-$AJ208))</f>
        <v/>
      </c>
      <c r="AL208" s="10" t="str">
        <f aca="false">IF(SUM($G208)=0,"",$G208)</f>
        <v/>
      </c>
      <c r="AM208" s="10" t="str">
        <f aca="false">IFERROR(1/(1/SUM($H208:$K208,$X208,$AA208,$AD208,$AG208,$AJ208)),"")</f>
        <v/>
      </c>
      <c r="AN208" s="10" t="str">
        <f aca="false">IF(AND(SUM($AM208)=0,SUM($AL208)=0),"",$AM208-$AL208)</f>
        <v/>
      </c>
      <c r="AO208" s="10" t="str">
        <f aca="false">IF(OR($C208="01-09",$D208="Male"),"",INDEX(PMTCT!$AD:$AD,MATCH($E208,PMTCT!$E:$E,0)))</f>
        <v/>
      </c>
      <c r="AP208" s="10" t="str">
        <f aca="false">IF(OR($C208="01-09",$D208="Male"),"",INDEX(PMTCT!$AT:$AT,MATCH($E208,PMTCT!$E:$E,0)))</f>
        <v/>
      </c>
      <c r="AQ208" s="10" t="str">
        <f aca="false">INDEX(TB!$Q:$Q,MATCH($E208,TB!$E:$E,0))</f>
        <v/>
      </c>
      <c r="AR208" s="10" t="str">
        <f aca="false">IF(OR($C208="01-09",$C208="10-14",$D208="Female"),"",INDEX(VMMC!$AB:$AB,MATCH($E208,VMMC!$E:$E,0)))</f>
        <v/>
      </c>
      <c r="AS208" s="10" t="str">
        <f aca="false">IF(OR($C208="01-09",$C208="10-14"),"",INDEX(PrEP!$Q:$Q,MATCH($E208,PrEP!$E:$E,0)))</f>
        <v/>
      </c>
      <c r="AT208" s="10" t="str">
        <f aca="false">IFERROR(1/(1/SUM($Y208,$AB208,$AE208,$AH208,$AK208,$AO208:$AS208)),"")</f>
        <v/>
      </c>
      <c r="AU208" s="10" t="str">
        <f aca="false">IFERROR(1/(1/SUM($AT208,$AM208)),"")</f>
        <v/>
      </c>
      <c r="AV208" s="88" t="str">
        <f aca="false">IF(AND(SUM($AM208)=0,SUM($AU208)=0),"",$AM208/$AU208)</f>
        <v/>
      </c>
      <c r="AW208" s="10"/>
      <c r="AX208" s="88" t="str">
        <f aca="false">IF(OR($C208="01-09",SUM($AW208)=0),"",0%)</f>
        <v/>
      </c>
      <c r="AY208" s="39" t="str">
        <f aca="false">IF(OR($C208="01-09",SUM($AW208)=0),"",ROUND($AW208*(1+$AX208),0))</f>
        <v/>
      </c>
      <c r="AZ208" s="88" t="str">
        <f aca="false">IF(OR($C208="01-09",$C208="10-14"),"",100%)</f>
        <v/>
      </c>
      <c r="BA208" s="39" t="str">
        <f aca="false">IF(OR(SUM($AM208)=0,$C208="01-09",$C208="10-14"),"",$AM208*$AZ208)</f>
        <v/>
      </c>
    </row>
    <row r="209" customFormat="false" ht="15" hidden="false" customHeight="false" outlineLevel="0" collapsed="false">
      <c r="A209" s="0" t="str">
        <f aca="false">INDEX(Prioritization!$D:$D,MATCH($B209,Prioritization!$A:$A,0))</f>
        <v>1 - Scale-up: Saturation</v>
      </c>
      <c r="B209" s="0" t="s">
        <v>210</v>
      </c>
      <c r="C209" s="0" t="s">
        <v>364</v>
      </c>
      <c r="D209" s="0" t="s">
        <v>30</v>
      </c>
      <c r="E209" s="0" t="str">
        <f aca="false">$B209&amp;"|"&amp;$C209&amp;"|"&amp;$D209</f>
        <v>Balaka District [ir8wuHHzoSs]|10-14|Female</v>
      </c>
      <c r="F209" s="88" t="n">
        <f aca="false">IF(LEFT($B209,4)="_Mil","",INDEX(Cascade!$AA:$AA,MATCH($E209,Cascade!$E:$E,0)))</f>
        <v>698</v>
      </c>
      <c r="G209" s="10" t="n">
        <f aca="false">INDEX(Cascade!$BH:$BH,MATCH($E209,Cascade!$E:$E,0))</f>
        <v>-97</v>
      </c>
      <c r="H209" s="10" t="str">
        <f aca="false">IF(OR($C209="01-09",$D209="Male"),"",INDEX(PMTCT!$AC:$AC,MATCH($E209,PMTCT!$E:$E,0)))</f>
        <v>ENTER YIELD RATE</v>
      </c>
      <c r="I209" s="10" t="str">
        <f aca="false">IF(OR($C209="01-09",$D209="Male"),"",INDEX(PMTCT!$AS:$AS,MATCH($E209,PMTCT!$E:$E,0)))</f>
        <v>ENTER YIELD RATE</v>
      </c>
      <c r="J209" s="10" t="str">
        <f aca="false">INDEX(TB!$P:$P,MATCH($E209,TB!$E:$E,0))</f>
        <v>ENTER YIELD RATE</v>
      </c>
      <c r="K209" s="10" t="str">
        <f aca="false">IF(OR($C209="01-09",$C209="10-14",$D209="Female"),"",INDEX(VMMC!$AA:$AA,MATCH($E209,VMMC!$E:$E,0)))</f>
        <v/>
      </c>
      <c r="L209" s="10" t="n">
        <f aca="false">SUM($G209)-SUM($H209:$K209)</f>
        <v>-97</v>
      </c>
      <c r="M209" s="88" t="n">
        <f aca="false">IF(OR($C209="01-09",$D209="Male",AND(SUM($G209)=0,SUM($H209)=0)),"",SUM($H209)/SUM($G209))</f>
        <v>-0</v>
      </c>
      <c r="N209" s="88" t="n">
        <f aca="false">IF(OR($C209="01-09",$D209="Male",AND(SUM($G209)=0,SUM($I209)=0)),"",SUM($I209)/SUM($G209))</f>
        <v>-0</v>
      </c>
      <c r="O209" s="88" t="n">
        <f aca="false">IF(AND(SUM($G209)=0,SUM($J209)=0),"",SUM($J209)/SUM($G209))</f>
        <v>-0</v>
      </c>
      <c r="P209" s="88" t="str">
        <f aca="false">IF(OR($C209="01-09",$C209="10-14",$D209="Female",AND(SUM($G209)=0,SUM($K209)=0)),"",SUM($K209)/SUM($G209))</f>
        <v/>
      </c>
      <c r="Q209" s="88" t="n">
        <v>0.600387161131948</v>
      </c>
      <c r="R209" s="88"/>
      <c r="S209" s="88"/>
      <c r="T209" s="88"/>
      <c r="U209" s="88" t="n">
        <v>0.439273363677785</v>
      </c>
      <c r="V209" s="88" t="n">
        <f aca="false">IF(SUM($G209)=0,"",SUM($M209:$U209))</f>
        <v>1.03966052480973</v>
      </c>
      <c r="W209" s="88"/>
      <c r="X209" s="39" t="n">
        <f aca="false">IF(OR(SUM($G209)=0,SUM($Q209)=0),"",ROUND(SUM($G209)*SUM($Q209),0))</f>
        <v>-58</v>
      </c>
      <c r="Y209" s="39" t="str">
        <f aca="false">IF(SUM($X209)=0,"",IF(SUM($W209)=0,"ENTER YIELD",ROUND($X209/$W209,0)-$X209))</f>
        <v>ENTER YIELD</v>
      </c>
      <c r="Z209" s="88"/>
      <c r="AA209" s="39" t="str">
        <f aca="false">IF(OR(SUM($G209)=0,SUM($R209)=0),"",ROUND(SUM($G209)*SUM($R209),0))</f>
        <v/>
      </c>
      <c r="AB209" s="39" t="str">
        <f aca="false">IF(SUM($AA209)=0,"",IF(SUM($Z209)=0,"ENTER YIELD",ROUND($AA209/$Z209,0)-$AA209))</f>
        <v/>
      </c>
      <c r="AC209" s="88"/>
      <c r="AD209" s="39" t="str">
        <f aca="false">IF(OR(SUM($G209)=0,SUM($S209)=0),"",ROUND(SUM($G209)*SUM($S209),0))</f>
        <v/>
      </c>
      <c r="AE209" s="39" t="str">
        <f aca="false">IF(SUM($AD209)=0,"",IF(SUM($AC209)=0,"ENTER YIELD",ROUND($AD209/$AC209,0)-$AD209))</f>
        <v/>
      </c>
      <c r="AF209" s="88"/>
      <c r="AG209" s="39" t="str">
        <f aca="false">IF(OR(SUM($G209)=0,SUM($T209)=0),"",ROUND(SUM($G209)*SUM($T209),0))</f>
        <v/>
      </c>
      <c r="AH209" s="39" t="str">
        <f aca="false">IF(SUM($AG209)=0,"",IF(SUM($AF209)=0,"ENTER YIELD",ROUND($AG209/$AF209,0)-$AG209))</f>
        <v/>
      </c>
      <c r="AI209" s="88" t="n">
        <v>0.0256982103455812</v>
      </c>
      <c r="AJ209" s="39" t="n">
        <f aca="false">IF(OR(SUM($G209)=0,SUM($U209)=0),"",ROUND(SUM($G209)*SUM($U209),0))</f>
        <v>-43</v>
      </c>
      <c r="AK209" s="39" t="n">
        <f aca="false">IF(SUM($AJ209)=0,"",IF(SUM($AI209)=0,"ENTER YIELD",ROUND($AJ209/$AI209,0)-$AJ209))</f>
        <v>-1630</v>
      </c>
      <c r="AL209" s="10" t="n">
        <f aca="false">IF(SUM($G209)=0,"",$G209)</f>
        <v>-97</v>
      </c>
      <c r="AM209" s="10" t="n">
        <f aca="false">IFERROR(1/(1/SUM($H209:$K209,$X209,$AA209,$AD209,$AG209,$AJ209)),"")</f>
        <v>-101</v>
      </c>
      <c r="AN209" s="10" t="n">
        <f aca="false">IF(AND(SUM($AM209)=0,SUM($AL209)=0),"",$AM209-$AL209)</f>
        <v>-4</v>
      </c>
      <c r="AO209" s="10" t="n">
        <f aca="false">IF(OR($C209="01-09",$D209="Male"),"",INDEX(PMTCT!$AD:$AD,MATCH($E209,PMTCT!$E:$E,0)))</f>
        <v>1</v>
      </c>
      <c r="AP209" s="10" t="n">
        <f aca="false">IF(OR($C209="01-09",$D209="Male"),"",INDEX(PMTCT!$AT:$AT,MATCH($E209,PMTCT!$E:$E,0)))</f>
        <v>1</v>
      </c>
      <c r="AQ209" s="10" t="n">
        <f aca="false">INDEX(TB!$Q:$Q,MATCH($E209,TB!$E:$E,0))</f>
        <v>1</v>
      </c>
      <c r="AR209" s="10" t="str">
        <f aca="false">IF(OR($C209="01-09",$C209="10-14",$D209="Female"),"",INDEX(VMMC!$AB:$AB,MATCH($E209,VMMC!$E:$E,0)))</f>
        <v/>
      </c>
      <c r="AS209" s="10" t="str">
        <f aca="false">IF(OR($C209="01-09",$C209="10-14"),"",INDEX(PrEP!$Q:$Q,MATCH($E209,PrEP!$E:$E,0)))</f>
        <v/>
      </c>
      <c r="AT209" s="10" t="n">
        <f aca="false">IFERROR(1/(1/SUM($Y209,$AB209,$AE209,$AH209,$AK209,$AO209:$AS209)),"")</f>
        <v>-1627</v>
      </c>
      <c r="AU209" s="10" t="n">
        <f aca="false">IFERROR(1/(1/SUM($AT209,$AM209)),"")</f>
        <v>-1728</v>
      </c>
      <c r="AV209" s="88" t="n">
        <f aca="false">IF(AND(SUM($AM209)=0,SUM($AU209)=0),"",$AM209/$AU209)</f>
        <v>0.0584490740740741</v>
      </c>
      <c r="AW209" s="10"/>
      <c r="AX209" s="88" t="str">
        <f aca="false">IF(OR($C209="01-09",SUM($AW209)=0),"",0%)</f>
        <v/>
      </c>
      <c r="AY209" s="39" t="str">
        <f aca="false">IF(OR($C209="01-09",SUM($AW209)=0),"",ROUND($AW209*(1+$AX209),0))</f>
        <v/>
      </c>
      <c r="AZ209" s="88" t="str">
        <f aca="false">IF(OR($C209="01-09",$C209="10-14"),"",100%)</f>
        <v/>
      </c>
      <c r="BA209" s="39" t="str">
        <f aca="false">IF(OR(SUM($AM209)=0,$C209="01-09",$C209="10-14"),"",$AM209*$AZ209)</f>
        <v/>
      </c>
    </row>
    <row r="210" customFormat="false" ht="15" hidden="false" customHeight="false" outlineLevel="0" collapsed="false">
      <c r="A210" s="0" t="str">
        <f aca="false">INDEX(Prioritization!$D:$D,MATCH($B210,Prioritization!$A:$A,0))</f>
        <v>1 - Scale-up: Saturation</v>
      </c>
      <c r="B210" s="0" t="s">
        <v>210</v>
      </c>
      <c r="C210" s="0" t="s">
        <v>364</v>
      </c>
      <c r="D210" s="0" t="s">
        <v>48</v>
      </c>
      <c r="E210" s="0" t="str">
        <f aca="false">$B210&amp;"|"&amp;$C210&amp;"|"&amp;$D210</f>
        <v>Balaka District [ir8wuHHzoSs]|10-14|Male</v>
      </c>
      <c r="F210" s="88" t="n">
        <f aca="false">IF(LEFT($B210,4)="_Mil","",INDEX(Cascade!$AA:$AA,MATCH($E210,Cascade!$E:$E,0)))</f>
        <v>1493</v>
      </c>
      <c r="G210" s="10" t="n">
        <f aca="false">INDEX(Cascade!$BH:$BH,MATCH($E210,Cascade!$E:$E,0))</f>
        <v>-40</v>
      </c>
      <c r="H210" s="10" t="str">
        <f aca="false">IF(OR($C210="01-09",$D210="Male"),"",INDEX(PMTCT!$AC:$AC,MATCH($E210,PMTCT!$E:$E,0)))</f>
        <v/>
      </c>
      <c r="I210" s="10" t="str">
        <f aca="false">IF(OR($C210="01-09",$D210="Male"),"",INDEX(PMTCT!$AS:$AS,MATCH($E210,PMTCT!$E:$E,0)))</f>
        <v/>
      </c>
      <c r="J210" s="10" t="str">
        <f aca="false">INDEX(TB!$P:$P,MATCH($E210,TB!$E:$E,0))</f>
        <v/>
      </c>
      <c r="K210" s="10" t="str">
        <f aca="false">IF(OR($C210="01-09",$C210="10-14",$D210="Female"),"",INDEX(VMMC!$AA:$AA,MATCH($E210,VMMC!$E:$E,0)))</f>
        <v/>
      </c>
      <c r="L210" s="10" t="n">
        <f aca="false">SUM($G210)-SUM($H210:$K210)</f>
        <v>-40</v>
      </c>
      <c r="M210" s="88" t="str">
        <f aca="false">IF(OR($C210="01-09",$D210="Male",AND(SUM($G210)=0,SUM($H210)=0)),"",SUM($H210)/SUM($G210))</f>
        <v/>
      </c>
      <c r="N210" s="88" t="str">
        <f aca="false">IF(OR($C210="01-09",$D210="Male",AND(SUM($G210)=0,SUM($I210)=0)),"",SUM($I210)/SUM($G210))</f>
        <v/>
      </c>
      <c r="O210" s="88" t="n">
        <f aca="false">IF(AND(SUM($G210)=0,SUM($J210)=0),"",SUM($J210)/SUM($G210))</f>
        <v>-0</v>
      </c>
      <c r="P210" s="88" t="str">
        <f aca="false">IF(OR($C210="01-09",$C210="10-14",$D210="Female",AND(SUM($G210)=0,SUM($K210)=0)),"",SUM($K210)/SUM($G210))</f>
        <v/>
      </c>
      <c r="Q210" s="88" t="n">
        <v>0.513007103931159</v>
      </c>
      <c r="R210" s="88"/>
      <c r="S210" s="88"/>
      <c r="T210" s="88"/>
      <c r="U210" s="88"/>
      <c r="V210" s="88" t="n">
        <f aca="false">IF(SUM($G210)=0,"",SUM($M210:$U210))</f>
        <v>0.513007103931159</v>
      </c>
      <c r="W210" s="88"/>
      <c r="X210" s="39" t="n">
        <f aca="false">IF(OR(SUM($G210)=0,SUM($Q210)=0),"",ROUND(SUM($G210)*SUM($Q210),0))</f>
        <v>-21</v>
      </c>
      <c r="Y210" s="39" t="str">
        <f aca="false">IF(SUM($X210)=0,"",IF(SUM($W210)=0,"ENTER YIELD",ROUND($X210/$W210,0)-$X210))</f>
        <v>ENTER YIELD</v>
      </c>
      <c r="Z210" s="88"/>
      <c r="AA210" s="39" t="str">
        <f aca="false">IF(OR(SUM($G210)=0,SUM($R210)=0),"",ROUND(SUM($G210)*SUM($R210),0))</f>
        <v/>
      </c>
      <c r="AB210" s="39" t="str">
        <f aca="false">IF(SUM($AA210)=0,"",IF(SUM($Z210)=0,"ENTER YIELD",ROUND($AA210/$Z210,0)-$AA210))</f>
        <v/>
      </c>
      <c r="AC210" s="88"/>
      <c r="AD210" s="39" t="str">
        <f aca="false">IF(OR(SUM($G210)=0,SUM($S210)=0),"",ROUND(SUM($G210)*SUM($S210),0))</f>
        <v/>
      </c>
      <c r="AE210" s="39" t="str">
        <f aca="false">IF(SUM($AD210)=0,"",IF(SUM($AC210)=0,"ENTER YIELD",ROUND($AD210/$AC210,0)-$AD210))</f>
        <v/>
      </c>
      <c r="AF210" s="88"/>
      <c r="AG210" s="39" t="str">
        <f aca="false">IF(OR(SUM($G210)=0,SUM($T210)=0),"",ROUND(SUM($G210)*SUM($T210),0))</f>
        <v/>
      </c>
      <c r="AH210" s="39" t="str">
        <f aca="false">IF(SUM($AG210)=0,"",IF(SUM($AF210)=0,"ENTER YIELD",ROUND($AG210/$AF210,0)-$AG210))</f>
        <v/>
      </c>
      <c r="AI210" s="88" t="n">
        <v>0.584195560775697</v>
      </c>
      <c r="AJ210" s="39" t="str">
        <f aca="false">IF(OR(SUM($G210)=0,SUM($U210)=0),"",ROUND(SUM($G210)*SUM($U210),0))</f>
        <v/>
      </c>
      <c r="AK210" s="39" t="str">
        <f aca="false">IF(SUM($AJ210)=0,"",IF(SUM($AI210)=0,"ENTER YIELD",ROUND($AJ210/$AI210,0)-$AJ210))</f>
        <v/>
      </c>
      <c r="AL210" s="10" t="n">
        <f aca="false">IF(SUM($G210)=0,"",$G210)</f>
        <v>-40</v>
      </c>
      <c r="AM210" s="10" t="n">
        <f aca="false">IFERROR(1/(1/SUM($H210:$K210,$X210,$AA210,$AD210,$AG210,$AJ210)),"")</f>
        <v>-21</v>
      </c>
      <c r="AN210" s="10" t="n">
        <f aca="false">IF(AND(SUM($AM210)=0,SUM($AL210)=0),"",$AM210-$AL210)</f>
        <v>19</v>
      </c>
      <c r="AO210" s="10" t="str">
        <f aca="false">IF(OR($C210="01-09",$D210="Male"),"",INDEX(PMTCT!$AD:$AD,MATCH($E210,PMTCT!$E:$E,0)))</f>
        <v/>
      </c>
      <c r="AP210" s="10" t="str">
        <f aca="false">IF(OR($C210="01-09",$D210="Male"),"",INDEX(PMTCT!$AT:$AT,MATCH($E210,PMTCT!$E:$E,0)))</f>
        <v/>
      </c>
      <c r="AQ210" s="10" t="str">
        <f aca="false">INDEX(TB!$Q:$Q,MATCH($E210,TB!$E:$E,0))</f>
        <v/>
      </c>
      <c r="AR210" s="10" t="str">
        <f aca="false">IF(OR($C210="01-09",$C210="10-14",$D210="Female"),"",INDEX(VMMC!$AB:$AB,MATCH($E210,VMMC!$E:$E,0)))</f>
        <v/>
      </c>
      <c r="AS210" s="10" t="str">
        <f aca="false">IF(OR($C210="01-09",$C210="10-14"),"",INDEX(PrEP!$Q:$Q,MATCH($E210,PrEP!$E:$E,0)))</f>
        <v/>
      </c>
      <c r="AT210" s="10" t="str">
        <f aca="false">IFERROR(1/(1/SUM($Y210,$AB210,$AE210,$AH210,$AK210,$AO210:$AS210)),"")</f>
        <v/>
      </c>
      <c r="AU210" s="10" t="n">
        <f aca="false">IFERROR(1/(1/SUM($AT210,$AM210)),"")</f>
        <v>-21</v>
      </c>
      <c r="AV210" s="88" t="n">
        <f aca="false">IF(AND(SUM($AM210)=0,SUM($AU210)=0),"",$AM210/$AU210)</f>
        <v>1</v>
      </c>
      <c r="AW210" s="10"/>
      <c r="AX210" s="88" t="str">
        <f aca="false">IF(OR($C210="01-09",SUM($AW210)=0),"",0%)</f>
        <v/>
      </c>
      <c r="AY210" s="39" t="str">
        <f aca="false">IF(OR($C210="01-09",SUM($AW210)=0),"",ROUND($AW210*(1+$AX210),0))</f>
        <v/>
      </c>
      <c r="AZ210" s="88" t="str">
        <f aca="false">IF(OR($C210="01-09",$C210="10-14"),"",100%)</f>
        <v/>
      </c>
      <c r="BA210" s="39" t="str">
        <f aca="false">IF(OR(SUM($AM210)=0,$C210="01-09",$C210="10-14"),"",$AM210*$AZ210)</f>
        <v/>
      </c>
    </row>
    <row r="211" customFormat="false" ht="15" hidden="false" customHeight="false" outlineLevel="0" collapsed="false">
      <c r="A211" s="0" t="str">
        <f aca="false">INDEX(Prioritization!$D:$D,MATCH($B211,Prioritization!$A:$A,0))</f>
        <v>1 - Scale-up: Saturation</v>
      </c>
      <c r="B211" s="0" t="s">
        <v>210</v>
      </c>
      <c r="C211" s="0" t="s">
        <v>365</v>
      </c>
      <c r="D211" s="0" t="s">
        <v>30</v>
      </c>
      <c r="E211" s="0" t="str">
        <f aca="false">$B211&amp;"|"&amp;$C211&amp;"|"&amp;$D211</f>
        <v>Balaka District [ir8wuHHzoSs]|15-24|Female</v>
      </c>
      <c r="F211" s="88" t="n">
        <f aca="false">IF(LEFT($B211,4)="_Mil","",INDEX(Cascade!$AA:$AA,MATCH($E211,Cascade!$E:$E,0)))</f>
        <v>1157</v>
      </c>
      <c r="G211" s="10" t="n">
        <f aca="false">INDEX(Cascade!$BH:$BH,MATCH($E211,Cascade!$E:$E,0))</f>
        <v>0</v>
      </c>
      <c r="H211" s="10" t="str">
        <f aca="false">IF(OR($C211="01-09",$D211="Male"),"",INDEX(PMTCT!$AC:$AC,MATCH($E211,PMTCT!$E:$E,0)))</f>
        <v/>
      </c>
      <c r="I211" s="10" t="str">
        <f aca="false">IF(OR($C211="01-09",$D211="Male"),"",INDEX(PMTCT!$AS:$AS,MATCH($E211,PMTCT!$E:$E,0)))</f>
        <v/>
      </c>
      <c r="J211" s="10" t="str">
        <f aca="false">INDEX(TB!$P:$P,MATCH($E211,TB!$E:$E,0))</f>
        <v/>
      </c>
      <c r="K211" s="10" t="str">
        <f aca="false">IF(OR($C211="01-09",$C211="10-14",$D211="Female"),"",INDEX(VMMC!$AA:$AA,MATCH($E211,VMMC!$E:$E,0)))</f>
        <v/>
      </c>
      <c r="L211" s="10" t="n">
        <f aca="false">SUM($G211)-SUM($H211:$K211)</f>
        <v>0</v>
      </c>
      <c r="M211" s="88" t="str">
        <f aca="false">IF(OR($C211="01-09",$D211="Male",AND(SUM($G211)=0,SUM($H211)=0)),"",SUM($H211)/SUM($G211))</f>
        <v/>
      </c>
      <c r="N211" s="88" t="str">
        <f aca="false">IF(OR($C211="01-09",$D211="Male",AND(SUM($G211)=0,SUM($I211)=0)),"",SUM($I211)/SUM($G211))</f>
        <v/>
      </c>
      <c r="O211" s="88" t="str">
        <f aca="false">IF(AND(SUM($G211)=0,SUM($J211)=0),"",SUM($J211)/SUM($G211))</f>
        <v/>
      </c>
      <c r="P211" s="88" t="str">
        <f aca="false">IF(OR($C211="01-09",$C211="10-14",$D211="Female",AND(SUM($G211)=0,SUM($K211)=0)),"",SUM($K211)/SUM($G211))</f>
        <v/>
      </c>
      <c r="Q211" s="88"/>
      <c r="R211" s="88"/>
      <c r="S211" s="88"/>
      <c r="T211" s="88"/>
      <c r="U211" s="88"/>
      <c r="V211" s="88" t="str">
        <f aca="false">IF(SUM($G211)=0,"",SUM($M211:$U211))</f>
        <v/>
      </c>
      <c r="W211" s="88"/>
      <c r="X211" s="39" t="str">
        <f aca="false">IF(OR(SUM($G211)=0,SUM($Q211)=0),"",ROUND(SUM($G211)*SUM($Q211),0))</f>
        <v/>
      </c>
      <c r="Y211" s="39" t="str">
        <f aca="false">IF(SUM($X211)=0,"",IF(SUM($W211)=0,"ENTER YIELD",ROUND($X211/$W211,0)-$X211))</f>
        <v/>
      </c>
      <c r="Z211" s="88"/>
      <c r="AA211" s="39" t="str">
        <f aca="false">IF(OR(SUM($G211)=0,SUM($R211)=0),"",ROUND(SUM($G211)*SUM($R211),0))</f>
        <v/>
      </c>
      <c r="AB211" s="39" t="str">
        <f aca="false">IF(SUM($AA211)=0,"",IF(SUM($Z211)=0,"ENTER YIELD",ROUND($AA211/$Z211,0)-$AA211))</f>
        <v/>
      </c>
      <c r="AC211" s="88"/>
      <c r="AD211" s="39" t="str">
        <f aca="false">IF(OR(SUM($G211)=0,SUM($S211)=0),"",ROUND(SUM($G211)*SUM($S211),0))</f>
        <v/>
      </c>
      <c r="AE211" s="39" t="str">
        <f aca="false">IF(SUM($AD211)=0,"",IF(SUM($AC211)=0,"ENTER YIELD",ROUND($AD211/$AC211,0)-$AD211))</f>
        <v/>
      </c>
      <c r="AF211" s="88"/>
      <c r="AG211" s="39" t="str">
        <f aca="false">IF(OR(SUM($G211)=0,SUM($T211)=0),"",ROUND(SUM($G211)*SUM($T211),0))</f>
        <v/>
      </c>
      <c r="AH211" s="39" t="str">
        <f aca="false">IF(SUM($AG211)=0,"",IF(SUM($AF211)=0,"ENTER YIELD",ROUND($AG211/$AF211,0)-$AG211))</f>
        <v/>
      </c>
      <c r="AI211" s="88"/>
      <c r="AJ211" s="39" t="str">
        <f aca="false">IF(OR(SUM($G211)=0,SUM($U211)=0),"",ROUND(SUM($G211)*SUM($U211),0))</f>
        <v/>
      </c>
      <c r="AK211" s="39" t="str">
        <f aca="false">IF(SUM($AJ211)=0,"",IF(SUM($AI211)=0,"ENTER YIELD",ROUND($AJ211/$AI211,0)-$AJ211))</f>
        <v/>
      </c>
      <c r="AL211" s="10" t="str">
        <f aca="false">IF(SUM($G211)=0,"",$G211)</f>
        <v/>
      </c>
      <c r="AM211" s="10" t="str">
        <f aca="false">IFERROR(1/(1/SUM($H211:$K211,$X211,$AA211,$AD211,$AG211,$AJ211)),"")</f>
        <v/>
      </c>
      <c r="AN211" s="10" t="str">
        <f aca="false">IF(AND(SUM($AM211)=0,SUM($AL211)=0),"",$AM211-$AL211)</f>
        <v/>
      </c>
      <c r="AO211" s="10" t="str">
        <f aca="false">IF(OR($C211="01-09",$D211="Male"),"",INDEX(PMTCT!$AD:$AD,MATCH($E211,PMTCT!$E:$E,0)))</f>
        <v/>
      </c>
      <c r="AP211" s="10" t="str">
        <f aca="false">IF(OR($C211="01-09",$D211="Male"),"",INDEX(PMTCT!$AT:$AT,MATCH($E211,PMTCT!$E:$E,0)))</f>
        <v/>
      </c>
      <c r="AQ211" s="10" t="str">
        <f aca="false">INDEX(TB!$Q:$Q,MATCH($E211,TB!$E:$E,0))</f>
        <v/>
      </c>
      <c r="AR211" s="10" t="str">
        <f aca="false">IF(OR($C211="01-09",$C211="10-14",$D211="Female"),"",INDEX(VMMC!$AB:$AB,MATCH($E211,VMMC!$E:$E,0)))</f>
        <v/>
      </c>
      <c r="AS211" s="10" t="str">
        <f aca="false">IF(OR($C211="01-09",$C211="10-14"),"",INDEX(PrEP!$Q:$Q,MATCH($E211,PrEP!$E:$E,0)))</f>
        <v/>
      </c>
      <c r="AT211" s="10" t="str">
        <f aca="false">IFERROR(1/(1/SUM($Y211,$AB211,$AE211,$AH211,$AK211,$AO211:$AS211)),"")</f>
        <v/>
      </c>
      <c r="AU211" s="10" t="str">
        <f aca="false">IFERROR(1/(1/SUM($AT211,$AM211)),"")</f>
        <v/>
      </c>
      <c r="AV211" s="88" t="str">
        <f aca="false">IF(AND(SUM($AM211)=0,SUM($AU211)=0),"",$AM211/$AU211)</f>
        <v/>
      </c>
      <c r="AW211" s="10"/>
      <c r="AX211" s="88" t="str">
        <f aca="false">IF(OR($C211="01-09",SUM($AW211)=0),"",0%)</f>
        <v/>
      </c>
      <c r="AY211" s="39" t="str">
        <f aca="false">IF(OR($C211="01-09",SUM($AW211)=0),"",ROUND($AW211*(1+$AX211),0))</f>
        <v/>
      </c>
      <c r="AZ211" s="88" t="n">
        <f aca="false">IF(OR($C211="01-09",$C211="10-14"),"",100%)</f>
        <v>1</v>
      </c>
      <c r="BA211" s="39" t="str">
        <f aca="false">IF(OR(SUM($AM211)=0,$C211="01-09",$C211="10-14"),"",$AM211*$AZ211)</f>
        <v/>
      </c>
    </row>
    <row r="212" customFormat="false" ht="15" hidden="false" customHeight="false" outlineLevel="0" collapsed="false">
      <c r="A212" s="0" t="str">
        <f aca="false">INDEX(Prioritization!$D:$D,MATCH($B212,Prioritization!$A:$A,0))</f>
        <v>1 - Scale-up: Saturation</v>
      </c>
      <c r="B212" s="0" t="s">
        <v>210</v>
      </c>
      <c r="C212" s="0" t="s">
        <v>365</v>
      </c>
      <c r="D212" s="0" t="s">
        <v>48</v>
      </c>
      <c r="E212" s="0" t="str">
        <f aca="false">$B212&amp;"|"&amp;$C212&amp;"|"&amp;$D212</f>
        <v>Balaka District [ir8wuHHzoSs]|15-24|Male</v>
      </c>
      <c r="F212" s="88" t="n">
        <f aca="false">IF(LEFT($B212,4)="_Mil","",INDEX(Cascade!$AA:$AA,MATCH($E212,Cascade!$E:$E,0)))</f>
        <v>802</v>
      </c>
      <c r="G212" s="10" t="n">
        <f aca="false">INDEX(Cascade!$BH:$BH,MATCH($E212,Cascade!$E:$E,0))</f>
        <v>0</v>
      </c>
      <c r="H212" s="10" t="str">
        <f aca="false">IF(OR($C212="01-09",$D212="Male"),"",INDEX(PMTCT!$AC:$AC,MATCH($E212,PMTCT!$E:$E,0)))</f>
        <v/>
      </c>
      <c r="I212" s="10" t="str">
        <f aca="false">IF(OR($C212="01-09",$D212="Male"),"",INDEX(PMTCT!$AS:$AS,MATCH($E212,PMTCT!$E:$E,0)))</f>
        <v/>
      </c>
      <c r="J212" s="10" t="str">
        <f aca="false">INDEX(TB!$P:$P,MATCH($E212,TB!$E:$E,0))</f>
        <v/>
      </c>
      <c r="K212" s="10" t="str">
        <f aca="false">IF(OR($C212="01-09",$C212="10-14",$D212="Female"),"",INDEX(VMMC!$AA:$AA,MATCH($E212,VMMC!$E:$E,0)))</f>
        <v/>
      </c>
      <c r="L212" s="10" t="n">
        <f aca="false">SUM($G212)-SUM($H212:$K212)</f>
        <v>0</v>
      </c>
      <c r="M212" s="88" t="str">
        <f aca="false">IF(OR($C212="01-09",$D212="Male",AND(SUM($G212)=0,SUM($H212)=0)),"",SUM($H212)/SUM($G212))</f>
        <v/>
      </c>
      <c r="N212" s="88" t="str">
        <f aca="false">IF(OR($C212="01-09",$D212="Male",AND(SUM($G212)=0,SUM($I212)=0)),"",SUM($I212)/SUM($G212))</f>
        <v/>
      </c>
      <c r="O212" s="88" t="str">
        <f aca="false">IF(AND(SUM($G212)=0,SUM($J212)=0),"",SUM($J212)/SUM($G212))</f>
        <v/>
      </c>
      <c r="P212" s="88" t="str">
        <f aca="false">IF(OR($C212="01-09",$C212="10-14",$D212="Female",AND(SUM($G212)=0,SUM($K212)=0)),"",SUM($K212)/SUM($G212))</f>
        <v/>
      </c>
      <c r="Q212" s="88"/>
      <c r="R212" s="88"/>
      <c r="S212" s="88"/>
      <c r="T212" s="88"/>
      <c r="U212" s="88"/>
      <c r="V212" s="88" t="str">
        <f aca="false">IF(SUM($G212)=0,"",SUM($M212:$U212))</f>
        <v/>
      </c>
      <c r="W212" s="88"/>
      <c r="X212" s="39" t="str">
        <f aca="false">IF(OR(SUM($G212)=0,SUM($Q212)=0),"",ROUND(SUM($G212)*SUM($Q212),0))</f>
        <v/>
      </c>
      <c r="Y212" s="39" t="str">
        <f aca="false">IF(SUM($X212)=0,"",IF(SUM($W212)=0,"ENTER YIELD",ROUND($X212/$W212,0)-$X212))</f>
        <v/>
      </c>
      <c r="Z212" s="88"/>
      <c r="AA212" s="39" t="str">
        <f aca="false">IF(OR(SUM($G212)=0,SUM($R212)=0),"",ROUND(SUM($G212)*SUM($R212),0))</f>
        <v/>
      </c>
      <c r="AB212" s="39" t="str">
        <f aca="false">IF(SUM($AA212)=0,"",IF(SUM($Z212)=0,"ENTER YIELD",ROUND($AA212/$Z212,0)-$AA212))</f>
        <v/>
      </c>
      <c r="AC212" s="88"/>
      <c r="AD212" s="39" t="str">
        <f aca="false">IF(OR(SUM($G212)=0,SUM($S212)=0),"",ROUND(SUM($G212)*SUM($S212),0))</f>
        <v/>
      </c>
      <c r="AE212" s="39" t="str">
        <f aca="false">IF(SUM($AD212)=0,"",IF(SUM($AC212)=0,"ENTER YIELD",ROUND($AD212/$AC212,0)-$AD212))</f>
        <v/>
      </c>
      <c r="AF212" s="88"/>
      <c r="AG212" s="39" t="str">
        <f aca="false">IF(OR(SUM($G212)=0,SUM($T212)=0),"",ROUND(SUM($G212)*SUM($T212),0))</f>
        <v/>
      </c>
      <c r="AH212" s="39" t="str">
        <f aca="false">IF(SUM($AG212)=0,"",IF(SUM($AF212)=0,"ENTER YIELD",ROUND($AG212/$AF212,0)-$AG212))</f>
        <v/>
      </c>
      <c r="AI212" s="88"/>
      <c r="AJ212" s="39" t="str">
        <f aca="false">IF(OR(SUM($G212)=0,SUM($U212)=0),"",ROUND(SUM($G212)*SUM($U212),0))</f>
        <v/>
      </c>
      <c r="AK212" s="39" t="str">
        <f aca="false">IF(SUM($AJ212)=0,"",IF(SUM($AI212)=0,"ENTER YIELD",ROUND($AJ212/$AI212,0)-$AJ212))</f>
        <v/>
      </c>
      <c r="AL212" s="10" t="str">
        <f aca="false">IF(SUM($G212)=0,"",$G212)</f>
        <v/>
      </c>
      <c r="AM212" s="10" t="str">
        <f aca="false">IFERROR(1/(1/SUM($H212:$K212,$X212,$AA212,$AD212,$AG212,$AJ212)),"")</f>
        <v/>
      </c>
      <c r="AN212" s="10" t="str">
        <f aca="false">IF(AND(SUM($AM212)=0,SUM($AL212)=0),"",$AM212-$AL212)</f>
        <v/>
      </c>
      <c r="AO212" s="10" t="str">
        <f aca="false">IF(OR($C212="01-09",$D212="Male"),"",INDEX(PMTCT!$AD:$AD,MATCH($E212,PMTCT!$E:$E,0)))</f>
        <v/>
      </c>
      <c r="AP212" s="10" t="str">
        <f aca="false">IF(OR($C212="01-09",$D212="Male"),"",INDEX(PMTCT!$AT:$AT,MATCH($E212,PMTCT!$E:$E,0)))</f>
        <v/>
      </c>
      <c r="AQ212" s="10" t="str">
        <f aca="false">INDEX(TB!$Q:$Q,MATCH($E212,TB!$E:$E,0))</f>
        <v/>
      </c>
      <c r="AR212" s="10" t="str">
        <f aca="false">IF(OR($C212="01-09",$C212="10-14",$D212="Female"),"",INDEX(VMMC!$AB:$AB,MATCH($E212,VMMC!$E:$E,0)))</f>
        <v/>
      </c>
      <c r="AS212" s="10" t="str">
        <f aca="false">IF(OR($C212="01-09",$C212="10-14"),"",INDEX(PrEP!$Q:$Q,MATCH($E212,PrEP!$E:$E,0)))</f>
        <v/>
      </c>
      <c r="AT212" s="10" t="str">
        <f aca="false">IFERROR(1/(1/SUM($Y212,$AB212,$AE212,$AH212,$AK212,$AO212:$AS212)),"")</f>
        <v/>
      </c>
      <c r="AU212" s="10" t="str">
        <f aca="false">IFERROR(1/(1/SUM($AT212,$AM212)),"")</f>
        <v/>
      </c>
      <c r="AV212" s="88" t="str">
        <f aca="false">IF(AND(SUM($AM212)=0,SUM($AU212)=0),"",$AM212/$AU212)</f>
        <v/>
      </c>
      <c r="AW212" s="10"/>
      <c r="AX212" s="88" t="str">
        <f aca="false">IF(OR($C212="01-09",SUM($AW212)=0),"",0%)</f>
        <v/>
      </c>
      <c r="AY212" s="39" t="str">
        <f aca="false">IF(OR($C212="01-09",SUM($AW212)=0),"",ROUND($AW212*(1+$AX212),0))</f>
        <v/>
      </c>
      <c r="AZ212" s="88" t="n">
        <f aca="false">IF(OR($C212="01-09",$C212="10-14"),"",100%)</f>
        <v>1</v>
      </c>
      <c r="BA212" s="39" t="str">
        <f aca="false">IF(OR(SUM($AM212)=0,$C212="01-09",$C212="10-14"),"",$AM212*$AZ212)</f>
        <v/>
      </c>
    </row>
    <row r="213" customFormat="false" ht="15" hidden="false" customHeight="false" outlineLevel="0" collapsed="false">
      <c r="A213" s="0" t="str">
        <f aca="false">INDEX(Prioritization!$D:$D,MATCH($B213,Prioritization!$A:$A,0))</f>
        <v>1 - Scale-up: Saturation</v>
      </c>
      <c r="B213" s="0" t="s">
        <v>210</v>
      </c>
      <c r="C213" s="0" t="s">
        <v>366</v>
      </c>
      <c r="D213" s="0" t="s">
        <v>30</v>
      </c>
      <c r="E213" s="0" t="str">
        <f aca="false">$B213&amp;"|"&amp;$C213&amp;"|"&amp;$D213</f>
        <v>Balaka District [ir8wuHHzoSs]|25-34|Female</v>
      </c>
      <c r="F213" s="88" t="n">
        <f aca="false">IF(LEFT($B213,4)="_Mil","",INDEX(Cascade!$AA:$AA,MATCH($E213,Cascade!$E:$E,0)))</f>
        <v>1496</v>
      </c>
      <c r="G213" s="10" t="n">
        <f aca="false">INDEX(Cascade!$BH:$BH,MATCH($E213,Cascade!$E:$E,0))</f>
        <v>0</v>
      </c>
      <c r="H213" s="10" t="str">
        <f aca="false">IF(OR($C213="01-09",$D213="Male"),"",INDEX(PMTCT!$AC:$AC,MATCH($E213,PMTCT!$E:$E,0)))</f>
        <v/>
      </c>
      <c r="I213" s="10" t="str">
        <f aca="false">IF(OR($C213="01-09",$D213="Male"),"",INDEX(PMTCT!$AS:$AS,MATCH($E213,PMTCT!$E:$E,0)))</f>
        <v/>
      </c>
      <c r="J213" s="10" t="str">
        <f aca="false">INDEX(TB!$P:$P,MATCH($E213,TB!$E:$E,0))</f>
        <v/>
      </c>
      <c r="K213" s="10" t="str">
        <f aca="false">IF(OR($C213="01-09",$C213="10-14",$D213="Female"),"",INDEX(VMMC!$AA:$AA,MATCH($E213,VMMC!$E:$E,0)))</f>
        <v/>
      </c>
      <c r="L213" s="10" t="n">
        <f aca="false">SUM($G213)-SUM($H213:$K213)</f>
        <v>0</v>
      </c>
      <c r="M213" s="88" t="str">
        <f aca="false">IF(OR($C213="01-09",$D213="Male",AND(SUM($G213)=0,SUM($H213)=0)),"",SUM($H213)/SUM($G213))</f>
        <v/>
      </c>
      <c r="N213" s="88" t="str">
        <f aca="false">IF(OR($C213="01-09",$D213="Male",AND(SUM($G213)=0,SUM($I213)=0)),"",SUM($I213)/SUM($G213))</f>
        <v/>
      </c>
      <c r="O213" s="88" t="str">
        <f aca="false">IF(AND(SUM($G213)=0,SUM($J213)=0),"",SUM($J213)/SUM($G213))</f>
        <v/>
      </c>
      <c r="P213" s="88" t="str">
        <f aca="false">IF(OR($C213="01-09",$C213="10-14",$D213="Female",AND(SUM($G213)=0,SUM($K213)=0)),"",SUM($K213)/SUM($G213))</f>
        <v/>
      </c>
      <c r="Q213" s="88"/>
      <c r="R213" s="88"/>
      <c r="S213" s="88"/>
      <c r="T213" s="88"/>
      <c r="U213" s="88"/>
      <c r="V213" s="88" t="str">
        <f aca="false">IF(SUM($G213)=0,"",SUM($M213:$U213))</f>
        <v/>
      </c>
      <c r="W213" s="88"/>
      <c r="X213" s="39" t="str">
        <f aca="false">IF(OR(SUM($G213)=0,SUM($Q213)=0),"",ROUND(SUM($G213)*SUM($Q213),0))</f>
        <v/>
      </c>
      <c r="Y213" s="39" t="str">
        <f aca="false">IF(SUM($X213)=0,"",IF(SUM($W213)=0,"ENTER YIELD",ROUND($X213/$W213,0)-$X213))</f>
        <v/>
      </c>
      <c r="Z213" s="88"/>
      <c r="AA213" s="39" t="str">
        <f aca="false">IF(OR(SUM($G213)=0,SUM($R213)=0),"",ROUND(SUM($G213)*SUM($R213),0))</f>
        <v/>
      </c>
      <c r="AB213" s="39" t="str">
        <f aca="false">IF(SUM($AA213)=0,"",IF(SUM($Z213)=0,"ENTER YIELD",ROUND($AA213/$Z213,0)-$AA213))</f>
        <v/>
      </c>
      <c r="AC213" s="88"/>
      <c r="AD213" s="39" t="str">
        <f aca="false">IF(OR(SUM($G213)=0,SUM($S213)=0),"",ROUND(SUM($G213)*SUM($S213),0))</f>
        <v/>
      </c>
      <c r="AE213" s="39" t="str">
        <f aca="false">IF(SUM($AD213)=0,"",IF(SUM($AC213)=0,"ENTER YIELD",ROUND($AD213/$AC213,0)-$AD213))</f>
        <v/>
      </c>
      <c r="AF213" s="88"/>
      <c r="AG213" s="39" t="str">
        <f aca="false">IF(OR(SUM($G213)=0,SUM($T213)=0),"",ROUND(SUM($G213)*SUM($T213),0))</f>
        <v/>
      </c>
      <c r="AH213" s="39" t="str">
        <f aca="false">IF(SUM($AG213)=0,"",IF(SUM($AF213)=0,"ENTER YIELD",ROUND($AG213/$AF213,0)-$AG213))</f>
        <v/>
      </c>
      <c r="AI213" s="88"/>
      <c r="AJ213" s="39" t="str">
        <f aca="false">IF(OR(SUM($G213)=0,SUM($U213)=0),"",ROUND(SUM($G213)*SUM($U213),0))</f>
        <v/>
      </c>
      <c r="AK213" s="39" t="str">
        <f aca="false">IF(SUM($AJ213)=0,"",IF(SUM($AI213)=0,"ENTER YIELD",ROUND($AJ213/$AI213,0)-$AJ213))</f>
        <v/>
      </c>
      <c r="AL213" s="10" t="str">
        <f aca="false">IF(SUM($G213)=0,"",$G213)</f>
        <v/>
      </c>
      <c r="AM213" s="10" t="str">
        <f aca="false">IFERROR(1/(1/SUM($H213:$K213,$X213,$AA213,$AD213,$AG213,$AJ213)),"")</f>
        <v/>
      </c>
      <c r="AN213" s="10" t="str">
        <f aca="false">IF(AND(SUM($AM213)=0,SUM($AL213)=0),"",$AM213-$AL213)</f>
        <v/>
      </c>
      <c r="AO213" s="10" t="str">
        <f aca="false">IF(OR($C213="01-09",$D213="Male"),"",INDEX(PMTCT!$AD:$AD,MATCH($E213,PMTCT!$E:$E,0)))</f>
        <v/>
      </c>
      <c r="AP213" s="10" t="str">
        <f aca="false">IF(OR($C213="01-09",$D213="Male"),"",INDEX(PMTCT!$AT:$AT,MATCH($E213,PMTCT!$E:$E,0)))</f>
        <v/>
      </c>
      <c r="AQ213" s="10" t="str">
        <f aca="false">INDEX(TB!$Q:$Q,MATCH($E213,TB!$E:$E,0))</f>
        <v/>
      </c>
      <c r="AR213" s="10" t="str">
        <f aca="false">IF(OR($C213="01-09",$C213="10-14",$D213="Female"),"",INDEX(VMMC!$AB:$AB,MATCH($E213,VMMC!$E:$E,0)))</f>
        <v/>
      </c>
      <c r="AS213" s="10" t="str">
        <f aca="false">IF(OR($C213="01-09",$C213="10-14"),"",INDEX(PrEP!$Q:$Q,MATCH($E213,PrEP!$E:$E,0)))</f>
        <v/>
      </c>
      <c r="AT213" s="10" t="str">
        <f aca="false">IFERROR(1/(1/SUM($Y213,$AB213,$AE213,$AH213,$AK213,$AO213:$AS213)),"")</f>
        <v/>
      </c>
      <c r="AU213" s="10" t="str">
        <f aca="false">IFERROR(1/(1/SUM($AT213,$AM213)),"")</f>
        <v/>
      </c>
      <c r="AV213" s="88" t="str">
        <f aca="false">IF(AND(SUM($AM213)=0,SUM($AU213)=0),"",$AM213/$AU213)</f>
        <v/>
      </c>
      <c r="AW213" s="10"/>
      <c r="AX213" s="88" t="str">
        <f aca="false">IF(OR($C213="01-09",SUM($AW213)=0),"",0%)</f>
        <v/>
      </c>
      <c r="AY213" s="39" t="str">
        <f aca="false">IF(OR($C213="01-09",SUM($AW213)=0),"",ROUND($AW213*(1+$AX213),0))</f>
        <v/>
      </c>
      <c r="AZ213" s="88" t="n">
        <f aca="false">IF(OR($C213="01-09",$C213="10-14"),"",100%)</f>
        <v>1</v>
      </c>
      <c r="BA213" s="39" t="str">
        <f aca="false">IF(OR(SUM($AM213)=0,$C213="01-09",$C213="10-14"),"",$AM213*$AZ213)</f>
        <v/>
      </c>
    </row>
    <row r="214" customFormat="false" ht="15" hidden="false" customHeight="false" outlineLevel="0" collapsed="false">
      <c r="A214" s="0" t="str">
        <f aca="false">INDEX(Prioritization!$D:$D,MATCH($B214,Prioritization!$A:$A,0))</f>
        <v>1 - Scale-up: Saturation</v>
      </c>
      <c r="B214" s="0" t="s">
        <v>210</v>
      </c>
      <c r="C214" s="0" t="s">
        <v>366</v>
      </c>
      <c r="D214" s="0" t="s">
        <v>48</v>
      </c>
      <c r="E214" s="0" t="str">
        <f aca="false">$B214&amp;"|"&amp;$C214&amp;"|"&amp;$D214</f>
        <v>Balaka District [ir8wuHHzoSs]|25-34|Male</v>
      </c>
      <c r="F214" s="88" t="n">
        <f aca="false">IF(LEFT($B214,4)="_Mil","",INDEX(Cascade!$AA:$AA,MATCH($E214,Cascade!$E:$E,0)))</f>
        <v>1361</v>
      </c>
      <c r="G214" s="10" t="n">
        <f aca="false">INDEX(Cascade!$BH:$BH,MATCH($E214,Cascade!$E:$E,0))</f>
        <v>0</v>
      </c>
      <c r="H214" s="10" t="str">
        <f aca="false">IF(OR($C214="01-09",$D214="Male"),"",INDEX(PMTCT!$AC:$AC,MATCH($E214,PMTCT!$E:$E,0)))</f>
        <v/>
      </c>
      <c r="I214" s="10" t="str">
        <f aca="false">IF(OR($C214="01-09",$D214="Male"),"",INDEX(PMTCT!$AS:$AS,MATCH($E214,PMTCT!$E:$E,0)))</f>
        <v/>
      </c>
      <c r="J214" s="10" t="str">
        <f aca="false">INDEX(TB!$P:$P,MATCH($E214,TB!$E:$E,0))</f>
        <v/>
      </c>
      <c r="K214" s="10" t="str">
        <f aca="false">IF(OR($C214="01-09",$C214="10-14",$D214="Female"),"",INDEX(VMMC!$AA:$AA,MATCH($E214,VMMC!$E:$E,0)))</f>
        <v/>
      </c>
      <c r="L214" s="10" t="n">
        <f aca="false">SUM($G214)-SUM($H214:$K214)</f>
        <v>0</v>
      </c>
      <c r="M214" s="88" t="str">
        <f aca="false">IF(OR($C214="01-09",$D214="Male",AND(SUM($G214)=0,SUM($H214)=0)),"",SUM($H214)/SUM($G214))</f>
        <v/>
      </c>
      <c r="N214" s="88" t="str">
        <f aca="false">IF(OR($C214="01-09",$D214="Male",AND(SUM($G214)=0,SUM($I214)=0)),"",SUM($I214)/SUM($G214))</f>
        <v/>
      </c>
      <c r="O214" s="88" t="str">
        <f aca="false">IF(AND(SUM($G214)=0,SUM($J214)=0),"",SUM($J214)/SUM($G214))</f>
        <v/>
      </c>
      <c r="P214" s="88" t="str">
        <f aca="false">IF(OR($C214="01-09",$C214="10-14",$D214="Female",AND(SUM($G214)=0,SUM($K214)=0)),"",SUM($K214)/SUM($G214))</f>
        <v/>
      </c>
      <c r="Q214" s="88"/>
      <c r="R214" s="88"/>
      <c r="S214" s="88"/>
      <c r="T214" s="88"/>
      <c r="U214" s="88"/>
      <c r="V214" s="88" t="str">
        <f aca="false">IF(SUM($G214)=0,"",SUM($M214:$U214))</f>
        <v/>
      </c>
      <c r="W214" s="88"/>
      <c r="X214" s="39" t="str">
        <f aca="false">IF(OR(SUM($G214)=0,SUM($Q214)=0),"",ROUND(SUM($G214)*SUM($Q214),0))</f>
        <v/>
      </c>
      <c r="Y214" s="39" t="str">
        <f aca="false">IF(SUM($X214)=0,"",IF(SUM($W214)=0,"ENTER YIELD",ROUND($X214/$W214,0)-$X214))</f>
        <v/>
      </c>
      <c r="Z214" s="88"/>
      <c r="AA214" s="39" t="str">
        <f aca="false">IF(OR(SUM($G214)=0,SUM($R214)=0),"",ROUND(SUM($G214)*SUM($R214),0))</f>
        <v/>
      </c>
      <c r="AB214" s="39" t="str">
        <f aca="false">IF(SUM($AA214)=0,"",IF(SUM($Z214)=0,"ENTER YIELD",ROUND($AA214/$Z214,0)-$AA214))</f>
        <v/>
      </c>
      <c r="AC214" s="88"/>
      <c r="AD214" s="39" t="str">
        <f aca="false">IF(OR(SUM($G214)=0,SUM($S214)=0),"",ROUND(SUM($G214)*SUM($S214),0))</f>
        <v/>
      </c>
      <c r="AE214" s="39" t="str">
        <f aca="false">IF(SUM($AD214)=0,"",IF(SUM($AC214)=0,"ENTER YIELD",ROUND($AD214/$AC214,0)-$AD214))</f>
        <v/>
      </c>
      <c r="AF214" s="88"/>
      <c r="AG214" s="39" t="str">
        <f aca="false">IF(OR(SUM($G214)=0,SUM($T214)=0),"",ROUND(SUM($G214)*SUM($T214),0))</f>
        <v/>
      </c>
      <c r="AH214" s="39" t="str">
        <f aca="false">IF(SUM($AG214)=0,"",IF(SUM($AF214)=0,"ENTER YIELD",ROUND($AG214/$AF214,0)-$AG214))</f>
        <v/>
      </c>
      <c r="AI214" s="88"/>
      <c r="AJ214" s="39" t="str">
        <f aca="false">IF(OR(SUM($G214)=0,SUM($U214)=0),"",ROUND(SUM($G214)*SUM($U214),0))</f>
        <v/>
      </c>
      <c r="AK214" s="39" t="str">
        <f aca="false">IF(SUM($AJ214)=0,"",IF(SUM($AI214)=0,"ENTER YIELD",ROUND($AJ214/$AI214,0)-$AJ214))</f>
        <v/>
      </c>
      <c r="AL214" s="10" t="str">
        <f aca="false">IF(SUM($G214)=0,"",$G214)</f>
        <v/>
      </c>
      <c r="AM214" s="10" t="str">
        <f aca="false">IFERROR(1/(1/SUM($H214:$K214,$X214,$AA214,$AD214,$AG214,$AJ214)),"")</f>
        <v/>
      </c>
      <c r="AN214" s="10" t="str">
        <f aca="false">IF(AND(SUM($AM214)=0,SUM($AL214)=0),"",$AM214-$AL214)</f>
        <v/>
      </c>
      <c r="AO214" s="10" t="str">
        <f aca="false">IF(OR($C214="01-09",$D214="Male"),"",INDEX(PMTCT!$AD:$AD,MATCH($E214,PMTCT!$E:$E,0)))</f>
        <v/>
      </c>
      <c r="AP214" s="10" t="str">
        <f aca="false">IF(OR($C214="01-09",$D214="Male"),"",INDEX(PMTCT!$AT:$AT,MATCH($E214,PMTCT!$E:$E,0)))</f>
        <v/>
      </c>
      <c r="AQ214" s="10" t="str">
        <f aca="false">INDEX(TB!$Q:$Q,MATCH($E214,TB!$E:$E,0))</f>
        <v/>
      </c>
      <c r="AR214" s="10" t="str">
        <f aca="false">IF(OR($C214="01-09",$C214="10-14",$D214="Female"),"",INDEX(VMMC!$AB:$AB,MATCH($E214,VMMC!$E:$E,0)))</f>
        <v/>
      </c>
      <c r="AS214" s="10" t="str">
        <f aca="false">IF(OR($C214="01-09",$C214="10-14"),"",INDEX(PrEP!$Q:$Q,MATCH($E214,PrEP!$E:$E,0)))</f>
        <v/>
      </c>
      <c r="AT214" s="10" t="str">
        <f aca="false">IFERROR(1/(1/SUM($Y214,$AB214,$AE214,$AH214,$AK214,$AO214:$AS214)),"")</f>
        <v/>
      </c>
      <c r="AU214" s="10" t="str">
        <f aca="false">IFERROR(1/(1/SUM($AT214,$AM214)),"")</f>
        <v/>
      </c>
      <c r="AV214" s="88" t="str">
        <f aca="false">IF(AND(SUM($AM214)=0,SUM($AU214)=0),"",$AM214/$AU214)</f>
        <v/>
      </c>
      <c r="AW214" s="10"/>
      <c r="AX214" s="88" t="str">
        <f aca="false">IF(OR($C214="01-09",SUM($AW214)=0),"",0%)</f>
        <v/>
      </c>
      <c r="AY214" s="39" t="str">
        <f aca="false">IF(OR($C214="01-09",SUM($AW214)=0),"",ROUND($AW214*(1+$AX214),0))</f>
        <v/>
      </c>
      <c r="AZ214" s="88" t="n">
        <f aca="false">IF(OR($C214="01-09",$C214="10-14"),"",100%)</f>
        <v>1</v>
      </c>
      <c r="BA214" s="39" t="str">
        <f aca="false">IF(OR(SUM($AM214)=0,$C214="01-09",$C214="10-14"),"",$AM214*$AZ214)</f>
        <v/>
      </c>
    </row>
    <row r="215" customFormat="false" ht="15" hidden="false" customHeight="false" outlineLevel="0" collapsed="false">
      <c r="A215" s="0" t="str">
        <f aca="false">INDEX(Prioritization!$D:$D,MATCH($B215,Prioritization!$A:$A,0))</f>
        <v>1 - Scale-up: Saturation</v>
      </c>
      <c r="B215" s="0" t="s">
        <v>210</v>
      </c>
      <c r="C215" s="0" t="s">
        <v>367</v>
      </c>
      <c r="D215" s="0" t="s">
        <v>30</v>
      </c>
      <c r="E215" s="0" t="str">
        <f aca="false">$B215&amp;"|"&amp;$C215&amp;"|"&amp;$D215</f>
        <v>Balaka District [ir8wuHHzoSs]|35-49|Female</v>
      </c>
      <c r="F215" s="88" t="n">
        <f aca="false">IF(LEFT($B215,4)="_Mil","",INDEX(Cascade!$AA:$AA,MATCH($E215,Cascade!$E:$E,0)))</f>
        <v>522</v>
      </c>
      <c r="G215" s="10" t="n">
        <f aca="false">INDEX(Cascade!$BH:$BH,MATCH($E215,Cascade!$E:$E,0))</f>
        <v>0</v>
      </c>
      <c r="H215" s="10" t="str">
        <f aca="false">IF(OR($C215="01-09",$D215="Male"),"",INDEX(PMTCT!$AC:$AC,MATCH($E215,PMTCT!$E:$E,0)))</f>
        <v/>
      </c>
      <c r="I215" s="10" t="str">
        <f aca="false">IF(OR($C215="01-09",$D215="Male"),"",INDEX(PMTCT!$AS:$AS,MATCH($E215,PMTCT!$E:$E,0)))</f>
        <v/>
      </c>
      <c r="J215" s="10" t="str">
        <f aca="false">INDEX(TB!$P:$P,MATCH($E215,TB!$E:$E,0))</f>
        <v/>
      </c>
      <c r="K215" s="10" t="str">
        <f aca="false">IF(OR($C215="01-09",$C215="10-14",$D215="Female"),"",INDEX(VMMC!$AA:$AA,MATCH($E215,VMMC!$E:$E,0)))</f>
        <v/>
      </c>
      <c r="L215" s="10" t="n">
        <f aca="false">SUM($G215)-SUM($H215:$K215)</f>
        <v>0</v>
      </c>
      <c r="M215" s="88" t="str">
        <f aca="false">IF(OR($C215="01-09",$D215="Male",AND(SUM($G215)=0,SUM($H215)=0)),"",SUM($H215)/SUM($G215))</f>
        <v/>
      </c>
      <c r="N215" s="88" t="str">
        <f aca="false">IF(OR($C215="01-09",$D215="Male",AND(SUM($G215)=0,SUM($I215)=0)),"",SUM($I215)/SUM($G215))</f>
        <v/>
      </c>
      <c r="O215" s="88" t="str">
        <f aca="false">IF(AND(SUM($G215)=0,SUM($J215)=0),"",SUM($J215)/SUM($G215))</f>
        <v/>
      </c>
      <c r="P215" s="88" t="str">
        <f aca="false">IF(OR($C215="01-09",$C215="10-14",$D215="Female",AND(SUM($G215)=0,SUM($K215)=0)),"",SUM($K215)/SUM($G215))</f>
        <v/>
      </c>
      <c r="Q215" s="88"/>
      <c r="R215" s="88"/>
      <c r="S215" s="88"/>
      <c r="T215" s="88"/>
      <c r="U215" s="88"/>
      <c r="V215" s="88" t="str">
        <f aca="false">IF(SUM($G215)=0,"",SUM($M215:$U215))</f>
        <v/>
      </c>
      <c r="W215" s="88"/>
      <c r="X215" s="39" t="str">
        <f aca="false">IF(OR(SUM($G215)=0,SUM($Q215)=0),"",ROUND(SUM($G215)*SUM($Q215),0))</f>
        <v/>
      </c>
      <c r="Y215" s="39" t="str">
        <f aca="false">IF(SUM($X215)=0,"",IF(SUM($W215)=0,"ENTER YIELD",ROUND($X215/$W215,0)-$X215))</f>
        <v/>
      </c>
      <c r="Z215" s="88"/>
      <c r="AA215" s="39" t="str">
        <f aca="false">IF(OR(SUM($G215)=0,SUM($R215)=0),"",ROUND(SUM($G215)*SUM($R215),0))</f>
        <v/>
      </c>
      <c r="AB215" s="39" t="str">
        <f aca="false">IF(SUM($AA215)=0,"",IF(SUM($Z215)=0,"ENTER YIELD",ROUND($AA215/$Z215,0)-$AA215))</f>
        <v/>
      </c>
      <c r="AC215" s="88"/>
      <c r="AD215" s="39" t="str">
        <f aca="false">IF(OR(SUM($G215)=0,SUM($S215)=0),"",ROUND(SUM($G215)*SUM($S215),0))</f>
        <v/>
      </c>
      <c r="AE215" s="39" t="str">
        <f aca="false">IF(SUM($AD215)=0,"",IF(SUM($AC215)=0,"ENTER YIELD",ROUND($AD215/$AC215,0)-$AD215))</f>
        <v/>
      </c>
      <c r="AF215" s="88"/>
      <c r="AG215" s="39" t="str">
        <f aca="false">IF(OR(SUM($G215)=0,SUM($T215)=0),"",ROUND(SUM($G215)*SUM($T215),0))</f>
        <v/>
      </c>
      <c r="AH215" s="39" t="str">
        <f aca="false">IF(SUM($AG215)=0,"",IF(SUM($AF215)=0,"ENTER YIELD",ROUND($AG215/$AF215,0)-$AG215))</f>
        <v/>
      </c>
      <c r="AI215" s="88"/>
      <c r="AJ215" s="39" t="str">
        <f aca="false">IF(OR(SUM($G215)=0,SUM($U215)=0),"",ROUND(SUM($G215)*SUM($U215),0))</f>
        <v/>
      </c>
      <c r="AK215" s="39" t="str">
        <f aca="false">IF(SUM($AJ215)=0,"",IF(SUM($AI215)=0,"ENTER YIELD",ROUND($AJ215/$AI215,0)-$AJ215))</f>
        <v/>
      </c>
      <c r="AL215" s="10" t="str">
        <f aca="false">IF(SUM($G215)=0,"",$G215)</f>
        <v/>
      </c>
      <c r="AM215" s="10" t="str">
        <f aca="false">IFERROR(1/(1/SUM($H215:$K215,$X215,$AA215,$AD215,$AG215,$AJ215)),"")</f>
        <v/>
      </c>
      <c r="AN215" s="10" t="str">
        <f aca="false">IF(AND(SUM($AM215)=0,SUM($AL215)=0),"",$AM215-$AL215)</f>
        <v/>
      </c>
      <c r="AO215" s="10" t="str">
        <f aca="false">IF(OR($C215="01-09",$D215="Male"),"",INDEX(PMTCT!$AD:$AD,MATCH($E215,PMTCT!$E:$E,0)))</f>
        <v/>
      </c>
      <c r="AP215" s="10" t="str">
        <f aca="false">IF(OR($C215="01-09",$D215="Male"),"",INDEX(PMTCT!$AT:$AT,MATCH($E215,PMTCT!$E:$E,0)))</f>
        <v/>
      </c>
      <c r="AQ215" s="10" t="str">
        <f aca="false">INDEX(TB!$Q:$Q,MATCH($E215,TB!$E:$E,0))</f>
        <v/>
      </c>
      <c r="AR215" s="10" t="str">
        <f aca="false">IF(OR($C215="01-09",$C215="10-14",$D215="Female"),"",INDEX(VMMC!$AB:$AB,MATCH($E215,VMMC!$E:$E,0)))</f>
        <v/>
      </c>
      <c r="AS215" s="10" t="str">
        <f aca="false">IF(OR($C215="01-09",$C215="10-14"),"",INDEX(PrEP!$Q:$Q,MATCH($E215,PrEP!$E:$E,0)))</f>
        <v/>
      </c>
      <c r="AT215" s="10" t="str">
        <f aca="false">IFERROR(1/(1/SUM($Y215,$AB215,$AE215,$AH215,$AK215,$AO215:$AS215)),"")</f>
        <v/>
      </c>
      <c r="AU215" s="10" t="str">
        <f aca="false">IFERROR(1/(1/SUM($AT215,$AM215)),"")</f>
        <v/>
      </c>
      <c r="AV215" s="88" t="str">
        <f aca="false">IF(AND(SUM($AM215)=0,SUM($AU215)=0),"",$AM215/$AU215)</f>
        <v/>
      </c>
      <c r="AW215" s="10"/>
      <c r="AX215" s="88" t="str">
        <f aca="false">IF(OR($C215="01-09",SUM($AW215)=0),"",0%)</f>
        <v/>
      </c>
      <c r="AY215" s="39" t="str">
        <f aca="false">IF(OR($C215="01-09",SUM($AW215)=0),"",ROUND($AW215*(1+$AX215),0))</f>
        <v/>
      </c>
      <c r="AZ215" s="88" t="n">
        <f aca="false">IF(OR($C215="01-09",$C215="10-14"),"",100%)</f>
        <v>1</v>
      </c>
      <c r="BA215" s="39" t="str">
        <f aca="false">IF(OR(SUM($AM215)=0,$C215="01-09",$C215="10-14"),"",$AM215*$AZ215)</f>
        <v/>
      </c>
    </row>
    <row r="216" customFormat="false" ht="15" hidden="false" customHeight="false" outlineLevel="0" collapsed="false">
      <c r="A216" s="0" t="str">
        <f aca="false">INDEX(Prioritization!$D:$D,MATCH($B216,Prioritization!$A:$A,0))</f>
        <v>1 - Scale-up: Saturation</v>
      </c>
      <c r="B216" s="0" t="s">
        <v>210</v>
      </c>
      <c r="C216" s="0" t="s">
        <v>367</v>
      </c>
      <c r="D216" s="0" t="s">
        <v>48</v>
      </c>
      <c r="E216" s="0" t="str">
        <f aca="false">$B216&amp;"|"&amp;$C216&amp;"|"&amp;$D216</f>
        <v>Balaka District [ir8wuHHzoSs]|35-49|Male</v>
      </c>
      <c r="F216" s="88" t="n">
        <f aca="false">IF(LEFT($B216,4)="_Mil","",INDEX(Cascade!$AA:$AA,MATCH($E216,Cascade!$E:$E,0)))</f>
        <v>1800</v>
      </c>
      <c r="G216" s="10" t="n">
        <f aca="false">INDEX(Cascade!$BH:$BH,MATCH($E216,Cascade!$E:$E,0))</f>
        <v>0</v>
      </c>
      <c r="H216" s="10" t="str">
        <f aca="false">IF(OR($C216="01-09",$D216="Male"),"",INDEX(PMTCT!$AC:$AC,MATCH($E216,PMTCT!$E:$E,0)))</f>
        <v/>
      </c>
      <c r="I216" s="10" t="str">
        <f aca="false">IF(OR($C216="01-09",$D216="Male"),"",INDEX(PMTCT!$AS:$AS,MATCH($E216,PMTCT!$E:$E,0)))</f>
        <v/>
      </c>
      <c r="J216" s="10" t="str">
        <f aca="false">INDEX(TB!$P:$P,MATCH($E216,TB!$E:$E,0))</f>
        <v/>
      </c>
      <c r="K216" s="10" t="str">
        <f aca="false">IF(OR($C216="01-09",$C216="10-14",$D216="Female"),"",INDEX(VMMC!$AA:$AA,MATCH($E216,VMMC!$E:$E,0)))</f>
        <v/>
      </c>
      <c r="L216" s="10" t="n">
        <f aca="false">SUM($G216)-SUM($H216:$K216)</f>
        <v>0</v>
      </c>
      <c r="M216" s="88" t="str">
        <f aca="false">IF(OR($C216="01-09",$D216="Male",AND(SUM($G216)=0,SUM($H216)=0)),"",SUM($H216)/SUM($G216))</f>
        <v/>
      </c>
      <c r="N216" s="88" t="str">
        <f aca="false">IF(OR($C216="01-09",$D216="Male",AND(SUM($G216)=0,SUM($I216)=0)),"",SUM($I216)/SUM($G216))</f>
        <v/>
      </c>
      <c r="O216" s="88" t="str">
        <f aca="false">IF(AND(SUM($G216)=0,SUM($J216)=0),"",SUM($J216)/SUM($G216))</f>
        <v/>
      </c>
      <c r="P216" s="88" t="str">
        <f aca="false">IF(OR($C216="01-09",$C216="10-14",$D216="Female",AND(SUM($G216)=0,SUM($K216)=0)),"",SUM($K216)/SUM($G216))</f>
        <v/>
      </c>
      <c r="Q216" s="88"/>
      <c r="R216" s="88"/>
      <c r="S216" s="88"/>
      <c r="T216" s="88"/>
      <c r="U216" s="88"/>
      <c r="V216" s="88" t="str">
        <f aca="false">IF(SUM($G216)=0,"",SUM($M216:$U216))</f>
        <v/>
      </c>
      <c r="W216" s="88"/>
      <c r="X216" s="39" t="str">
        <f aca="false">IF(OR(SUM($G216)=0,SUM($Q216)=0),"",ROUND(SUM($G216)*SUM($Q216),0))</f>
        <v/>
      </c>
      <c r="Y216" s="39" t="str">
        <f aca="false">IF(SUM($X216)=0,"",IF(SUM($W216)=0,"ENTER YIELD",ROUND($X216/$W216,0)-$X216))</f>
        <v/>
      </c>
      <c r="Z216" s="88"/>
      <c r="AA216" s="39" t="str">
        <f aca="false">IF(OR(SUM($G216)=0,SUM($R216)=0),"",ROUND(SUM($G216)*SUM($R216),0))</f>
        <v/>
      </c>
      <c r="AB216" s="39" t="str">
        <f aca="false">IF(SUM($AA216)=0,"",IF(SUM($Z216)=0,"ENTER YIELD",ROUND($AA216/$Z216,0)-$AA216))</f>
        <v/>
      </c>
      <c r="AC216" s="88"/>
      <c r="AD216" s="39" t="str">
        <f aca="false">IF(OR(SUM($G216)=0,SUM($S216)=0),"",ROUND(SUM($G216)*SUM($S216),0))</f>
        <v/>
      </c>
      <c r="AE216" s="39" t="str">
        <f aca="false">IF(SUM($AD216)=0,"",IF(SUM($AC216)=0,"ENTER YIELD",ROUND($AD216/$AC216,0)-$AD216))</f>
        <v/>
      </c>
      <c r="AF216" s="88"/>
      <c r="AG216" s="39" t="str">
        <f aca="false">IF(OR(SUM($G216)=0,SUM($T216)=0),"",ROUND(SUM($G216)*SUM($T216),0))</f>
        <v/>
      </c>
      <c r="AH216" s="39" t="str">
        <f aca="false">IF(SUM($AG216)=0,"",IF(SUM($AF216)=0,"ENTER YIELD",ROUND($AG216/$AF216,0)-$AG216))</f>
        <v/>
      </c>
      <c r="AI216" s="88"/>
      <c r="AJ216" s="39" t="str">
        <f aca="false">IF(OR(SUM($G216)=0,SUM($U216)=0),"",ROUND(SUM($G216)*SUM($U216),0))</f>
        <v/>
      </c>
      <c r="AK216" s="39" t="str">
        <f aca="false">IF(SUM($AJ216)=0,"",IF(SUM($AI216)=0,"ENTER YIELD",ROUND($AJ216/$AI216,0)-$AJ216))</f>
        <v/>
      </c>
      <c r="AL216" s="10" t="str">
        <f aca="false">IF(SUM($G216)=0,"",$G216)</f>
        <v/>
      </c>
      <c r="AM216" s="10" t="str">
        <f aca="false">IFERROR(1/(1/SUM($H216:$K216,$X216,$AA216,$AD216,$AG216,$AJ216)),"")</f>
        <v/>
      </c>
      <c r="AN216" s="10" t="str">
        <f aca="false">IF(AND(SUM($AM216)=0,SUM($AL216)=0),"",$AM216-$AL216)</f>
        <v/>
      </c>
      <c r="AO216" s="10" t="str">
        <f aca="false">IF(OR($C216="01-09",$D216="Male"),"",INDEX(PMTCT!$AD:$AD,MATCH($E216,PMTCT!$E:$E,0)))</f>
        <v/>
      </c>
      <c r="AP216" s="10" t="str">
        <f aca="false">IF(OR($C216="01-09",$D216="Male"),"",INDEX(PMTCT!$AT:$AT,MATCH($E216,PMTCT!$E:$E,0)))</f>
        <v/>
      </c>
      <c r="AQ216" s="10" t="str">
        <f aca="false">INDEX(TB!$Q:$Q,MATCH($E216,TB!$E:$E,0))</f>
        <v/>
      </c>
      <c r="AR216" s="10" t="str">
        <f aca="false">IF(OR($C216="01-09",$C216="10-14",$D216="Female"),"",INDEX(VMMC!$AB:$AB,MATCH($E216,VMMC!$E:$E,0)))</f>
        <v/>
      </c>
      <c r="AS216" s="10" t="str">
        <f aca="false">IF(OR($C216="01-09",$C216="10-14"),"",INDEX(PrEP!$Q:$Q,MATCH($E216,PrEP!$E:$E,0)))</f>
        <v/>
      </c>
      <c r="AT216" s="10" t="str">
        <f aca="false">IFERROR(1/(1/SUM($Y216,$AB216,$AE216,$AH216,$AK216,$AO216:$AS216)),"")</f>
        <v/>
      </c>
      <c r="AU216" s="10" t="str">
        <f aca="false">IFERROR(1/(1/SUM($AT216,$AM216)),"")</f>
        <v/>
      </c>
      <c r="AV216" s="88" t="str">
        <f aca="false">IF(AND(SUM($AM216)=0,SUM($AU216)=0),"",$AM216/$AU216)</f>
        <v/>
      </c>
      <c r="AW216" s="10"/>
      <c r="AX216" s="88" t="str">
        <f aca="false">IF(OR($C216="01-09",SUM($AW216)=0),"",0%)</f>
        <v/>
      </c>
      <c r="AY216" s="39" t="str">
        <f aca="false">IF(OR($C216="01-09",SUM($AW216)=0),"",ROUND($AW216*(1+$AX216),0))</f>
        <v/>
      </c>
      <c r="AZ216" s="88" t="n">
        <f aca="false">IF(OR($C216="01-09",$C216="10-14"),"",100%)</f>
        <v>1</v>
      </c>
      <c r="BA216" s="39" t="str">
        <f aca="false">IF(OR(SUM($AM216)=0,$C216="01-09",$C216="10-14"),"",$AM216*$AZ216)</f>
        <v/>
      </c>
    </row>
    <row r="217" customFormat="false" ht="15" hidden="false" customHeight="false" outlineLevel="0" collapsed="false">
      <c r="A217" s="0" t="str">
        <f aca="false">INDEX(Prioritization!$D:$D,MATCH($B217,Prioritization!$A:$A,0))</f>
        <v>1 - Scale-up: Saturation</v>
      </c>
      <c r="B217" s="0" t="s">
        <v>210</v>
      </c>
      <c r="C217" s="0" t="s">
        <v>368</v>
      </c>
      <c r="D217" s="0" t="s">
        <v>30</v>
      </c>
      <c r="E217" s="0" t="str">
        <f aca="false">$B217&amp;"|"&amp;$C217&amp;"|"&amp;$D217</f>
        <v>Balaka District [ir8wuHHzoSs]|50+|Female</v>
      </c>
      <c r="F217" s="88" t="n">
        <f aca="false">IF(LEFT($B217,4)="_Mil","",INDEX(Cascade!$AA:$AA,MATCH($E217,Cascade!$E:$E,0)))</f>
        <v>1763</v>
      </c>
      <c r="G217" s="10" t="n">
        <f aca="false">INDEX(Cascade!$BH:$BH,MATCH($E217,Cascade!$E:$E,0))</f>
        <v>0</v>
      </c>
      <c r="H217" s="10" t="str">
        <f aca="false">IF(OR($C217="01-09",$D217="Male"),"",INDEX(PMTCT!$AC:$AC,MATCH($E217,PMTCT!$E:$E,0)))</f>
        <v/>
      </c>
      <c r="I217" s="10" t="str">
        <f aca="false">IF(OR($C217="01-09",$D217="Male"),"",INDEX(PMTCT!$AS:$AS,MATCH($E217,PMTCT!$E:$E,0)))</f>
        <v/>
      </c>
      <c r="J217" s="10" t="str">
        <f aca="false">INDEX(TB!$P:$P,MATCH($E217,TB!$E:$E,0))</f>
        <v/>
      </c>
      <c r="K217" s="10" t="str">
        <f aca="false">IF(OR($C217="01-09",$C217="10-14",$D217="Female"),"",INDEX(VMMC!$AA:$AA,MATCH($E217,VMMC!$E:$E,0)))</f>
        <v/>
      </c>
      <c r="L217" s="10" t="n">
        <f aca="false">SUM($G217)-SUM($H217:$K217)</f>
        <v>0</v>
      </c>
      <c r="M217" s="88" t="str">
        <f aca="false">IF(OR($C217="01-09",$D217="Male",AND(SUM($G217)=0,SUM($H217)=0)),"",SUM($H217)/SUM($G217))</f>
        <v/>
      </c>
      <c r="N217" s="88" t="str">
        <f aca="false">IF(OR($C217="01-09",$D217="Male",AND(SUM($G217)=0,SUM($I217)=0)),"",SUM($I217)/SUM($G217))</f>
        <v/>
      </c>
      <c r="O217" s="88" t="str">
        <f aca="false">IF(AND(SUM($G217)=0,SUM($J217)=0),"",SUM($J217)/SUM($G217))</f>
        <v/>
      </c>
      <c r="P217" s="88" t="str">
        <f aca="false">IF(OR($C217="01-09",$C217="10-14",$D217="Female",AND(SUM($G217)=0,SUM($K217)=0)),"",SUM($K217)/SUM($G217))</f>
        <v/>
      </c>
      <c r="Q217" s="88"/>
      <c r="R217" s="88"/>
      <c r="S217" s="88"/>
      <c r="T217" s="88"/>
      <c r="U217" s="88" t="n">
        <v>0.421828974504024</v>
      </c>
      <c r="V217" s="88" t="str">
        <f aca="false">IF(SUM($G217)=0,"",SUM($M217:$U217))</f>
        <v/>
      </c>
      <c r="W217" s="88"/>
      <c r="X217" s="39" t="str">
        <f aca="false">IF(OR(SUM($G217)=0,SUM($Q217)=0),"",ROUND(SUM($G217)*SUM($Q217),0))</f>
        <v/>
      </c>
      <c r="Y217" s="39" t="str">
        <f aca="false">IF(SUM($X217)=0,"",IF(SUM($W217)=0,"ENTER YIELD",ROUND($X217/$W217,0)-$X217))</f>
        <v/>
      </c>
      <c r="Z217" s="88"/>
      <c r="AA217" s="39" t="str">
        <f aca="false">IF(OR(SUM($G217)=0,SUM($R217)=0),"",ROUND(SUM($G217)*SUM($R217),0))</f>
        <v/>
      </c>
      <c r="AB217" s="39" t="str">
        <f aca="false">IF(SUM($AA217)=0,"",IF(SUM($Z217)=0,"ENTER YIELD",ROUND($AA217/$Z217,0)-$AA217))</f>
        <v/>
      </c>
      <c r="AC217" s="88"/>
      <c r="AD217" s="39" t="str">
        <f aca="false">IF(OR(SUM($G217)=0,SUM($S217)=0),"",ROUND(SUM($G217)*SUM($S217),0))</f>
        <v/>
      </c>
      <c r="AE217" s="39" t="str">
        <f aca="false">IF(SUM($AD217)=0,"",IF(SUM($AC217)=0,"ENTER YIELD",ROUND($AD217/$AC217,0)-$AD217))</f>
        <v/>
      </c>
      <c r="AF217" s="88"/>
      <c r="AG217" s="39" t="str">
        <f aca="false">IF(OR(SUM($G217)=0,SUM($T217)=0),"",ROUND(SUM($G217)*SUM($T217),0))</f>
        <v/>
      </c>
      <c r="AH217" s="39" t="str">
        <f aca="false">IF(SUM($AG217)=0,"",IF(SUM($AF217)=0,"ENTER YIELD",ROUND($AG217/$AF217,0)-$AG217))</f>
        <v/>
      </c>
      <c r="AI217" s="88" t="n">
        <v>0.590170537820086</v>
      </c>
      <c r="AJ217" s="39" t="str">
        <f aca="false">IF(OR(SUM($G217)=0,SUM($U217)=0),"",ROUND(SUM($G217)*SUM($U217),0))</f>
        <v/>
      </c>
      <c r="AK217" s="39" t="str">
        <f aca="false">IF(SUM($AJ217)=0,"",IF(SUM($AI217)=0,"ENTER YIELD",ROUND($AJ217/$AI217,0)-$AJ217))</f>
        <v/>
      </c>
      <c r="AL217" s="10" t="str">
        <f aca="false">IF(SUM($G217)=0,"",$G217)</f>
        <v/>
      </c>
      <c r="AM217" s="10" t="str">
        <f aca="false">IFERROR(1/(1/SUM($H217:$K217,$X217,$AA217,$AD217,$AG217,$AJ217)),"")</f>
        <v/>
      </c>
      <c r="AN217" s="10" t="str">
        <f aca="false">IF(AND(SUM($AM217)=0,SUM($AL217)=0),"",$AM217-$AL217)</f>
        <v/>
      </c>
      <c r="AO217" s="10" t="str">
        <f aca="false">IF(OR($C217="01-09",$D217="Male"),"",INDEX(PMTCT!$AD:$AD,MATCH($E217,PMTCT!$E:$E,0)))</f>
        <v/>
      </c>
      <c r="AP217" s="10" t="str">
        <f aca="false">IF(OR($C217="01-09",$D217="Male"),"",INDEX(PMTCT!$AT:$AT,MATCH($E217,PMTCT!$E:$E,0)))</f>
        <v/>
      </c>
      <c r="AQ217" s="10" t="str">
        <f aca="false">INDEX(TB!$Q:$Q,MATCH($E217,TB!$E:$E,0))</f>
        <v/>
      </c>
      <c r="AR217" s="10" t="str">
        <f aca="false">IF(OR($C217="01-09",$C217="10-14",$D217="Female"),"",INDEX(VMMC!$AB:$AB,MATCH($E217,VMMC!$E:$E,0)))</f>
        <v/>
      </c>
      <c r="AS217" s="10" t="str">
        <f aca="false">IF(OR($C217="01-09",$C217="10-14"),"",INDEX(PrEP!$Q:$Q,MATCH($E217,PrEP!$E:$E,0)))</f>
        <v/>
      </c>
      <c r="AT217" s="10" t="str">
        <f aca="false">IFERROR(1/(1/SUM($Y217,$AB217,$AE217,$AH217,$AK217,$AO217:$AS217)),"")</f>
        <v/>
      </c>
      <c r="AU217" s="10" t="str">
        <f aca="false">IFERROR(1/(1/SUM($AT217,$AM217)),"")</f>
        <v/>
      </c>
      <c r="AV217" s="88" t="str">
        <f aca="false">IF(AND(SUM($AM217)=0,SUM($AU217)=0),"",$AM217/$AU217)</f>
        <v/>
      </c>
      <c r="AW217" s="10" t="n">
        <v>45</v>
      </c>
      <c r="AX217" s="88" t="n">
        <f aca="false">IF(OR($C217="01-09",SUM($AW217)=0),"",0%)</f>
        <v>0</v>
      </c>
      <c r="AY217" s="39" t="n">
        <f aca="false">IF(OR($C217="01-09",SUM($AW217)=0),"",ROUND($AW217*(1+$AX217),0))</f>
        <v>45</v>
      </c>
      <c r="AZ217" s="88" t="n">
        <f aca="false">IF(OR($C217="01-09",$C217="10-14"),"",100%)</f>
        <v>1</v>
      </c>
      <c r="BA217" s="39" t="str">
        <f aca="false">IF(OR(SUM($AM217)=0,$C217="01-09",$C217="10-14"),"",$AM217*$AZ217)</f>
        <v/>
      </c>
    </row>
    <row r="218" customFormat="false" ht="15" hidden="false" customHeight="false" outlineLevel="0" collapsed="false">
      <c r="A218" s="0" t="str">
        <f aca="false">INDEX(Prioritization!$D:$D,MATCH($B218,Prioritization!$A:$A,0))</f>
        <v>1 - Scale-up: Saturation</v>
      </c>
      <c r="B218" s="0" t="s">
        <v>210</v>
      </c>
      <c r="C218" s="0" t="s">
        <v>368</v>
      </c>
      <c r="D218" s="0" t="s">
        <v>48</v>
      </c>
      <c r="E218" s="0" t="str">
        <f aca="false">$B218&amp;"|"&amp;$C218&amp;"|"&amp;$D218</f>
        <v>Balaka District [ir8wuHHzoSs]|50+|Male</v>
      </c>
      <c r="F218" s="88" t="n">
        <f aca="false">IF(LEFT($B218,4)="_Mil","",INDEX(Cascade!$AA:$AA,MATCH($E218,Cascade!$E:$E,0)))</f>
        <v>1036</v>
      </c>
      <c r="G218" s="10" t="n">
        <f aca="false">INDEX(Cascade!$BH:$BH,MATCH($E218,Cascade!$E:$E,0))</f>
        <v>0</v>
      </c>
      <c r="H218" s="10" t="str">
        <f aca="false">IF(OR($C218="01-09",$D218="Male"),"",INDEX(PMTCT!$AC:$AC,MATCH($E218,PMTCT!$E:$E,0)))</f>
        <v/>
      </c>
      <c r="I218" s="10" t="str">
        <f aca="false">IF(OR($C218="01-09",$D218="Male"),"",INDEX(PMTCT!$AS:$AS,MATCH($E218,PMTCT!$E:$E,0)))</f>
        <v/>
      </c>
      <c r="J218" s="10" t="str">
        <f aca="false">INDEX(TB!$P:$P,MATCH($E218,TB!$E:$E,0))</f>
        <v/>
      </c>
      <c r="K218" s="10" t="str">
        <f aca="false">IF(OR($C218="01-09",$C218="10-14",$D218="Female"),"",INDEX(VMMC!$AA:$AA,MATCH($E218,VMMC!$E:$E,0)))</f>
        <v/>
      </c>
      <c r="L218" s="10" t="n">
        <f aca="false">SUM($G218)-SUM($H218:$K218)</f>
        <v>0</v>
      </c>
      <c r="M218" s="88" t="str">
        <f aca="false">IF(OR($C218="01-09",$D218="Male",AND(SUM($G218)=0,SUM($H218)=0)),"",SUM($H218)/SUM($G218))</f>
        <v/>
      </c>
      <c r="N218" s="88" t="str">
        <f aca="false">IF(OR($C218="01-09",$D218="Male",AND(SUM($G218)=0,SUM($I218)=0)),"",SUM($I218)/SUM($G218))</f>
        <v/>
      </c>
      <c r="O218" s="88" t="str">
        <f aca="false">IF(AND(SUM($G218)=0,SUM($J218)=0),"",SUM($J218)/SUM($G218))</f>
        <v/>
      </c>
      <c r="P218" s="88" t="str">
        <f aca="false">IF(OR($C218="01-09",$C218="10-14",$D218="Female",AND(SUM($G218)=0,SUM($K218)=0)),"",SUM($K218)/SUM($G218))</f>
        <v/>
      </c>
      <c r="Q218" s="88"/>
      <c r="R218" s="88"/>
      <c r="S218" s="88"/>
      <c r="T218" s="88"/>
      <c r="U218" s="88" t="n">
        <v>0.593402645085007</v>
      </c>
      <c r="V218" s="88" t="str">
        <f aca="false">IF(SUM($G218)=0,"",SUM($M218:$U218))</f>
        <v/>
      </c>
      <c r="W218" s="88"/>
      <c r="X218" s="39" t="str">
        <f aca="false">IF(OR(SUM($G218)=0,SUM($Q218)=0),"",ROUND(SUM($G218)*SUM($Q218),0))</f>
        <v/>
      </c>
      <c r="Y218" s="39" t="str">
        <f aca="false">IF(SUM($X218)=0,"",IF(SUM($W218)=0,"ENTER YIELD",ROUND($X218/$W218,0)-$X218))</f>
        <v/>
      </c>
      <c r="Z218" s="88"/>
      <c r="AA218" s="39" t="str">
        <f aca="false">IF(OR(SUM($G218)=0,SUM($R218)=0),"",ROUND(SUM($G218)*SUM($R218),0))</f>
        <v/>
      </c>
      <c r="AB218" s="39" t="str">
        <f aca="false">IF(SUM($AA218)=0,"",IF(SUM($Z218)=0,"ENTER YIELD",ROUND($AA218/$Z218,0)-$AA218))</f>
        <v/>
      </c>
      <c r="AC218" s="88"/>
      <c r="AD218" s="39" t="str">
        <f aca="false">IF(OR(SUM($G218)=0,SUM($S218)=0),"",ROUND(SUM($G218)*SUM($S218),0))</f>
        <v/>
      </c>
      <c r="AE218" s="39" t="str">
        <f aca="false">IF(SUM($AD218)=0,"",IF(SUM($AC218)=0,"ENTER YIELD",ROUND($AD218/$AC218,0)-$AD218))</f>
        <v/>
      </c>
      <c r="AF218" s="88"/>
      <c r="AG218" s="39" t="str">
        <f aca="false">IF(OR(SUM($G218)=0,SUM($T218)=0),"",ROUND(SUM($G218)*SUM($T218),0))</f>
        <v/>
      </c>
      <c r="AH218" s="39" t="str">
        <f aca="false">IF(SUM($AG218)=0,"",IF(SUM($AF218)=0,"ENTER YIELD",ROUND($AG218/$AF218,0)-$AG218))</f>
        <v/>
      </c>
      <c r="AI218" s="88" t="n">
        <v>0.641248977277428</v>
      </c>
      <c r="AJ218" s="39" t="str">
        <f aca="false">IF(OR(SUM($G218)=0,SUM($U218)=0),"",ROUND(SUM($G218)*SUM($U218),0))</f>
        <v/>
      </c>
      <c r="AK218" s="39" t="str">
        <f aca="false">IF(SUM($AJ218)=0,"",IF(SUM($AI218)=0,"ENTER YIELD",ROUND($AJ218/$AI218,0)-$AJ218))</f>
        <v/>
      </c>
      <c r="AL218" s="10" t="str">
        <f aca="false">IF(SUM($G218)=0,"",$G218)</f>
        <v/>
      </c>
      <c r="AM218" s="10" t="str">
        <f aca="false">IFERROR(1/(1/SUM($H218:$K218,$X218,$AA218,$AD218,$AG218,$AJ218)),"")</f>
        <v/>
      </c>
      <c r="AN218" s="10" t="str">
        <f aca="false">IF(AND(SUM($AM218)=0,SUM($AL218)=0),"",$AM218-$AL218)</f>
        <v/>
      </c>
      <c r="AO218" s="10" t="str">
        <f aca="false">IF(OR($C218="01-09",$D218="Male"),"",INDEX(PMTCT!$AD:$AD,MATCH($E218,PMTCT!$E:$E,0)))</f>
        <v/>
      </c>
      <c r="AP218" s="10" t="str">
        <f aca="false">IF(OR($C218="01-09",$D218="Male"),"",INDEX(PMTCT!$AT:$AT,MATCH($E218,PMTCT!$E:$E,0)))</f>
        <v/>
      </c>
      <c r="AQ218" s="10" t="str">
        <f aca="false">INDEX(TB!$Q:$Q,MATCH($E218,TB!$E:$E,0))</f>
        <v/>
      </c>
      <c r="AR218" s="10" t="str">
        <f aca="false">IF(OR($C218="01-09",$C218="10-14",$D218="Female"),"",INDEX(VMMC!$AB:$AB,MATCH($E218,VMMC!$E:$E,0)))</f>
        <v/>
      </c>
      <c r="AS218" s="10" t="str">
        <f aca="false">IF(OR($C218="01-09",$C218="10-14"),"",INDEX(PrEP!$Q:$Q,MATCH($E218,PrEP!$E:$E,0)))</f>
        <v/>
      </c>
      <c r="AT218" s="10" t="str">
        <f aca="false">IFERROR(1/(1/SUM($Y218,$AB218,$AE218,$AH218,$AK218,$AO218:$AS218)),"")</f>
        <v/>
      </c>
      <c r="AU218" s="10" t="str">
        <f aca="false">IFERROR(1/(1/SUM($AT218,$AM218)),"")</f>
        <v/>
      </c>
      <c r="AV218" s="88" t="str">
        <f aca="false">IF(AND(SUM($AM218)=0,SUM($AU218)=0),"",$AM218/$AU218)</f>
        <v/>
      </c>
      <c r="AW218" s="10" t="n">
        <v>72</v>
      </c>
      <c r="AX218" s="88" t="n">
        <f aca="false">IF(OR($C218="01-09",SUM($AW218)=0),"",0%)</f>
        <v>0</v>
      </c>
      <c r="AY218" s="39" t="n">
        <f aca="false">IF(OR($C218="01-09",SUM($AW218)=0),"",ROUND($AW218*(1+$AX218),0))</f>
        <v>72</v>
      </c>
      <c r="AZ218" s="88" t="n">
        <f aca="false">IF(OR($C218="01-09",$C218="10-14"),"",100%)</f>
        <v>1</v>
      </c>
      <c r="BA218" s="39" t="str">
        <f aca="false">IF(OR(SUM($AM218)=0,$C218="01-09",$C218="10-14"),"",$AM218*$AZ218)</f>
        <v/>
      </c>
    </row>
    <row r="219" customFormat="false" ht="15" hidden="false" customHeight="false" outlineLevel="0" collapsed="false">
      <c r="A219" s="0" t="str">
        <f aca="false">INDEX(Prioritization!$D:$D,MATCH($B219,Prioritization!$A:$A,0))</f>
        <v>1 - Scale-up: Saturation</v>
      </c>
      <c r="B219" s="0" t="s">
        <v>211</v>
      </c>
      <c r="C219" s="0" t="s">
        <v>363</v>
      </c>
      <c r="D219" s="0" t="s">
        <v>30</v>
      </c>
      <c r="E219" s="0" t="str">
        <f aca="false">$B219&amp;"|"&amp;$C219&amp;"|"&amp;$D219</f>
        <v>Blantyre District [mxqa3CDFmIT]|01-09|Female</v>
      </c>
      <c r="F219" s="88" t="n">
        <f aca="false">IF(LEFT($B219,4)="_Mil","",INDEX(Cascade!$AA:$AA,MATCH($E219,Cascade!$E:$E,0)))</f>
        <v>1393</v>
      </c>
      <c r="G219" s="10" t="n">
        <f aca="false">INDEX(Cascade!$BH:$BH,MATCH($E219,Cascade!$E:$E,0))</f>
        <v>0</v>
      </c>
      <c r="H219" s="10" t="str">
        <f aca="false">IF(OR($C219="01-09",$D219="Male"),"",INDEX(PMTCT!$AC:$AC,MATCH($E219,PMTCT!$E:$E,0)))</f>
        <v/>
      </c>
      <c r="I219" s="10" t="str">
        <f aca="false">IF(OR($C219="01-09",$D219="Male"),"",INDEX(PMTCT!$AS:$AS,MATCH($E219,PMTCT!$E:$E,0)))</f>
        <v/>
      </c>
      <c r="J219" s="10" t="str">
        <f aca="false">INDEX(TB!$P:$P,MATCH($E219,TB!$E:$E,0))</f>
        <v/>
      </c>
      <c r="K219" s="10" t="str">
        <f aca="false">IF(OR($C219="01-09",$C219="10-14",$D219="Female"),"",INDEX(VMMC!$AA:$AA,MATCH($E219,VMMC!$E:$E,0)))</f>
        <v/>
      </c>
      <c r="L219" s="10" t="n">
        <f aca="false">SUM($G219)-SUM($H219:$K219)</f>
        <v>0</v>
      </c>
      <c r="M219" s="88" t="str">
        <f aca="false">IF(OR($C219="01-09",$D219="Male",AND(SUM($G219)=0,SUM($H219)=0)),"",SUM($H219)/SUM($G219))</f>
        <v/>
      </c>
      <c r="N219" s="88" t="str">
        <f aca="false">IF(OR($C219="01-09",$D219="Male",AND(SUM($G219)=0,SUM($I219)=0)),"",SUM($I219)/SUM($G219))</f>
        <v/>
      </c>
      <c r="O219" s="88" t="str">
        <f aca="false">IF(AND(SUM($G219)=0,SUM($J219)=0),"",SUM($J219)/SUM($G219))</f>
        <v/>
      </c>
      <c r="P219" s="88" t="str">
        <f aca="false">IF(OR($C219="01-09",$C219="10-14",$D219="Female",AND(SUM($G219)=0,SUM($K219)=0)),"",SUM($K219)/SUM($G219))</f>
        <v/>
      </c>
      <c r="Q219" s="88"/>
      <c r="R219" s="88"/>
      <c r="S219" s="88"/>
      <c r="T219" s="88"/>
      <c r="U219" s="88"/>
      <c r="V219" s="88" t="str">
        <f aca="false">IF(SUM($G219)=0,"",SUM($M219:$U219))</f>
        <v/>
      </c>
      <c r="W219" s="88"/>
      <c r="X219" s="39" t="str">
        <f aca="false">IF(OR(SUM($G219)=0,SUM($Q219)=0),"",ROUND(SUM($G219)*SUM($Q219),0))</f>
        <v/>
      </c>
      <c r="Y219" s="39" t="str">
        <f aca="false">IF(SUM($X219)=0,"",IF(SUM($W219)=0,"ENTER YIELD",ROUND($X219/$W219,0)-$X219))</f>
        <v/>
      </c>
      <c r="Z219" s="88"/>
      <c r="AA219" s="39" t="str">
        <f aca="false">IF(OR(SUM($G219)=0,SUM($R219)=0),"",ROUND(SUM($G219)*SUM($R219),0))</f>
        <v/>
      </c>
      <c r="AB219" s="39" t="str">
        <f aca="false">IF(SUM($AA219)=0,"",IF(SUM($Z219)=0,"ENTER YIELD",ROUND($AA219/$Z219,0)-$AA219))</f>
        <v/>
      </c>
      <c r="AC219" s="88"/>
      <c r="AD219" s="39" t="str">
        <f aca="false">IF(OR(SUM($G219)=0,SUM($S219)=0),"",ROUND(SUM($G219)*SUM($S219),0))</f>
        <v/>
      </c>
      <c r="AE219" s="39" t="str">
        <f aca="false">IF(SUM($AD219)=0,"",IF(SUM($AC219)=0,"ENTER YIELD",ROUND($AD219/$AC219,0)-$AD219))</f>
        <v/>
      </c>
      <c r="AF219" s="88"/>
      <c r="AG219" s="39" t="str">
        <f aca="false">IF(OR(SUM($G219)=0,SUM($T219)=0),"",ROUND(SUM($G219)*SUM($T219),0))</f>
        <v/>
      </c>
      <c r="AH219" s="39" t="str">
        <f aca="false">IF(SUM($AG219)=0,"",IF(SUM($AF219)=0,"ENTER YIELD",ROUND($AG219/$AF219,0)-$AG219))</f>
        <v/>
      </c>
      <c r="AI219" s="88"/>
      <c r="AJ219" s="39" t="str">
        <f aca="false">IF(OR(SUM($G219)=0,SUM($U219)=0),"",ROUND(SUM($G219)*SUM($U219),0))</f>
        <v/>
      </c>
      <c r="AK219" s="39" t="str">
        <f aca="false">IF(SUM($AJ219)=0,"",IF(SUM($AI219)=0,"ENTER YIELD",ROUND($AJ219/$AI219,0)-$AJ219))</f>
        <v/>
      </c>
      <c r="AL219" s="10" t="str">
        <f aca="false">IF(SUM($G219)=0,"",$G219)</f>
        <v/>
      </c>
      <c r="AM219" s="10" t="str">
        <f aca="false">IFERROR(1/(1/SUM($H219:$K219,$X219,$AA219,$AD219,$AG219,$AJ219)),"")</f>
        <v/>
      </c>
      <c r="AN219" s="10" t="str">
        <f aca="false">IF(AND(SUM($AM219)=0,SUM($AL219)=0),"",$AM219-$AL219)</f>
        <v/>
      </c>
      <c r="AO219" s="10" t="str">
        <f aca="false">IF(OR($C219="01-09",$D219="Male"),"",INDEX(PMTCT!$AD:$AD,MATCH($E219,PMTCT!$E:$E,0)))</f>
        <v/>
      </c>
      <c r="AP219" s="10" t="str">
        <f aca="false">IF(OR($C219="01-09",$D219="Male"),"",INDEX(PMTCT!$AT:$AT,MATCH($E219,PMTCT!$E:$E,0)))</f>
        <v/>
      </c>
      <c r="AQ219" s="10" t="str">
        <f aca="false">INDEX(TB!$Q:$Q,MATCH($E219,TB!$E:$E,0))</f>
        <v/>
      </c>
      <c r="AR219" s="10" t="str">
        <f aca="false">IF(OR($C219="01-09",$C219="10-14",$D219="Female"),"",INDEX(VMMC!$AB:$AB,MATCH($E219,VMMC!$E:$E,0)))</f>
        <v/>
      </c>
      <c r="AS219" s="10" t="str">
        <f aca="false">IF(OR($C219="01-09",$C219="10-14"),"",INDEX(PrEP!$Q:$Q,MATCH($E219,PrEP!$E:$E,0)))</f>
        <v/>
      </c>
      <c r="AT219" s="10" t="str">
        <f aca="false">IFERROR(1/(1/SUM($Y219,$AB219,$AE219,$AH219,$AK219,$AO219:$AS219)),"")</f>
        <v/>
      </c>
      <c r="AU219" s="10" t="str">
        <f aca="false">IFERROR(1/(1/SUM($AT219,$AM219)),"")</f>
        <v/>
      </c>
      <c r="AV219" s="88" t="str">
        <f aca="false">IF(AND(SUM($AM219)=0,SUM($AU219)=0),"",$AM219/$AU219)</f>
        <v/>
      </c>
      <c r="AW219" s="10"/>
      <c r="AX219" s="88" t="str">
        <f aca="false">IF(OR($C219="01-09",SUM($AW219)=0),"",0%)</f>
        <v/>
      </c>
      <c r="AY219" s="39" t="str">
        <f aca="false">IF(OR($C219="01-09",SUM($AW219)=0),"",ROUND($AW219*(1+$AX219),0))</f>
        <v/>
      </c>
      <c r="AZ219" s="88" t="str">
        <f aca="false">IF(OR($C219="01-09",$C219="10-14"),"",100%)</f>
        <v/>
      </c>
      <c r="BA219" s="39" t="str">
        <f aca="false">IF(OR(SUM($AM219)=0,$C219="01-09",$C219="10-14"),"",$AM219*$AZ219)</f>
        <v/>
      </c>
    </row>
    <row r="220" customFormat="false" ht="15" hidden="false" customHeight="false" outlineLevel="0" collapsed="false">
      <c r="A220" s="0" t="str">
        <f aca="false">INDEX(Prioritization!$D:$D,MATCH($B220,Prioritization!$A:$A,0))</f>
        <v>1 - Scale-up: Saturation</v>
      </c>
      <c r="B220" s="0" t="s">
        <v>211</v>
      </c>
      <c r="C220" s="0" t="s">
        <v>363</v>
      </c>
      <c r="D220" s="0" t="s">
        <v>48</v>
      </c>
      <c r="E220" s="0" t="str">
        <f aca="false">$B220&amp;"|"&amp;$C220&amp;"|"&amp;$D220</f>
        <v>Blantyre District [mxqa3CDFmIT]|01-09|Male</v>
      </c>
      <c r="F220" s="88" t="n">
        <f aca="false">IF(LEFT($B220,4)="_Mil","",INDEX(Cascade!$AA:$AA,MATCH($E220,Cascade!$E:$E,0)))</f>
        <v>1471</v>
      </c>
      <c r="G220" s="10" t="n">
        <f aca="false">INDEX(Cascade!$BH:$BH,MATCH($E220,Cascade!$E:$E,0))</f>
        <v>0</v>
      </c>
      <c r="H220" s="10" t="str">
        <f aca="false">IF(OR($C220="01-09",$D220="Male"),"",INDEX(PMTCT!$AC:$AC,MATCH($E220,PMTCT!$E:$E,0)))</f>
        <v/>
      </c>
      <c r="I220" s="10" t="str">
        <f aca="false">IF(OR($C220="01-09",$D220="Male"),"",INDEX(PMTCT!$AS:$AS,MATCH($E220,PMTCT!$E:$E,0)))</f>
        <v/>
      </c>
      <c r="J220" s="10" t="str">
        <f aca="false">INDEX(TB!$P:$P,MATCH($E220,TB!$E:$E,0))</f>
        <v/>
      </c>
      <c r="K220" s="10" t="str">
        <f aca="false">IF(OR($C220="01-09",$C220="10-14",$D220="Female"),"",INDEX(VMMC!$AA:$AA,MATCH($E220,VMMC!$E:$E,0)))</f>
        <v/>
      </c>
      <c r="L220" s="10" t="n">
        <f aca="false">SUM($G220)-SUM($H220:$K220)</f>
        <v>0</v>
      </c>
      <c r="M220" s="88" t="str">
        <f aca="false">IF(OR($C220="01-09",$D220="Male",AND(SUM($G220)=0,SUM($H220)=0)),"",SUM($H220)/SUM($G220))</f>
        <v/>
      </c>
      <c r="N220" s="88" t="str">
        <f aca="false">IF(OR($C220="01-09",$D220="Male",AND(SUM($G220)=0,SUM($I220)=0)),"",SUM($I220)/SUM($G220))</f>
        <v/>
      </c>
      <c r="O220" s="88" t="str">
        <f aca="false">IF(AND(SUM($G220)=0,SUM($J220)=0),"",SUM($J220)/SUM($G220))</f>
        <v/>
      </c>
      <c r="P220" s="88" t="str">
        <f aca="false">IF(OR($C220="01-09",$C220="10-14",$D220="Female",AND(SUM($G220)=0,SUM($K220)=0)),"",SUM($K220)/SUM($G220))</f>
        <v/>
      </c>
      <c r="Q220" s="88"/>
      <c r="R220" s="88"/>
      <c r="S220" s="88"/>
      <c r="T220" s="88"/>
      <c r="U220" s="88"/>
      <c r="V220" s="88" t="str">
        <f aca="false">IF(SUM($G220)=0,"",SUM($M220:$U220))</f>
        <v/>
      </c>
      <c r="W220" s="88"/>
      <c r="X220" s="39" t="str">
        <f aca="false">IF(OR(SUM($G220)=0,SUM($Q220)=0),"",ROUND(SUM($G220)*SUM($Q220),0))</f>
        <v/>
      </c>
      <c r="Y220" s="39" t="str">
        <f aca="false">IF(SUM($X220)=0,"",IF(SUM($W220)=0,"ENTER YIELD",ROUND($X220/$W220,0)-$X220))</f>
        <v/>
      </c>
      <c r="Z220" s="88"/>
      <c r="AA220" s="39" t="str">
        <f aca="false">IF(OR(SUM($G220)=0,SUM($R220)=0),"",ROUND(SUM($G220)*SUM($R220),0))</f>
        <v/>
      </c>
      <c r="AB220" s="39" t="str">
        <f aca="false">IF(SUM($AA220)=0,"",IF(SUM($Z220)=0,"ENTER YIELD",ROUND($AA220/$Z220,0)-$AA220))</f>
        <v/>
      </c>
      <c r="AC220" s="88"/>
      <c r="AD220" s="39" t="str">
        <f aca="false">IF(OR(SUM($G220)=0,SUM($S220)=0),"",ROUND(SUM($G220)*SUM($S220),0))</f>
        <v/>
      </c>
      <c r="AE220" s="39" t="str">
        <f aca="false">IF(SUM($AD220)=0,"",IF(SUM($AC220)=0,"ENTER YIELD",ROUND($AD220/$AC220,0)-$AD220))</f>
        <v/>
      </c>
      <c r="AF220" s="88"/>
      <c r="AG220" s="39" t="str">
        <f aca="false">IF(OR(SUM($G220)=0,SUM($T220)=0),"",ROUND(SUM($G220)*SUM($T220),0))</f>
        <v/>
      </c>
      <c r="AH220" s="39" t="str">
        <f aca="false">IF(SUM($AG220)=0,"",IF(SUM($AF220)=0,"ENTER YIELD",ROUND($AG220/$AF220,0)-$AG220))</f>
        <v/>
      </c>
      <c r="AI220" s="88"/>
      <c r="AJ220" s="39" t="str">
        <f aca="false">IF(OR(SUM($G220)=0,SUM($U220)=0),"",ROUND(SUM($G220)*SUM($U220),0))</f>
        <v/>
      </c>
      <c r="AK220" s="39" t="str">
        <f aca="false">IF(SUM($AJ220)=0,"",IF(SUM($AI220)=0,"ENTER YIELD",ROUND($AJ220/$AI220,0)-$AJ220))</f>
        <v/>
      </c>
      <c r="AL220" s="10" t="str">
        <f aca="false">IF(SUM($G220)=0,"",$G220)</f>
        <v/>
      </c>
      <c r="AM220" s="10" t="str">
        <f aca="false">IFERROR(1/(1/SUM($H220:$K220,$X220,$AA220,$AD220,$AG220,$AJ220)),"")</f>
        <v/>
      </c>
      <c r="AN220" s="10" t="str">
        <f aca="false">IF(AND(SUM($AM220)=0,SUM($AL220)=0),"",$AM220-$AL220)</f>
        <v/>
      </c>
      <c r="AO220" s="10" t="str">
        <f aca="false">IF(OR($C220="01-09",$D220="Male"),"",INDEX(PMTCT!$AD:$AD,MATCH($E220,PMTCT!$E:$E,0)))</f>
        <v/>
      </c>
      <c r="AP220" s="10" t="str">
        <f aca="false">IF(OR($C220="01-09",$D220="Male"),"",INDEX(PMTCT!$AT:$AT,MATCH($E220,PMTCT!$E:$E,0)))</f>
        <v/>
      </c>
      <c r="AQ220" s="10" t="str">
        <f aca="false">INDEX(TB!$Q:$Q,MATCH($E220,TB!$E:$E,0))</f>
        <v/>
      </c>
      <c r="AR220" s="10" t="str">
        <f aca="false">IF(OR($C220="01-09",$C220="10-14",$D220="Female"),"",INDEX(VMMC!$AB:$AB,MATCH($E220,VMMC!$E:$E,0)))</f>
        <v/>
      </c>
      <c r="AS220" s="10" t="str">
        <f aca="false">IF(OR($C220="01-09",$C220="10-14"),"",INDEX(PrEP!$Q:$Q,MATCH($E220,PrEP!$E:$E,0)))</f>
        <v/>
      </c>
      <c r="AT220" s="10" t="str">
        <f aca="false">IFERROR(1/(1/SUM($Y220,$AB220,$AE220,$AH220,$AK220,$AO220:$AS220)),"")</f>
        <v/>
      </c>
      <c r="AU220" s="10" t="str">
        <f aca="false">IFERROR(1/(1/SUM($AT220,$AM220)),"")</f>
        <v/>
      </c>
      <c r="AV220" s="88" t="str">
        <f aca="false">IF(AND(SUM($AM220)=0,SUM($AU220)=0),"",$AM220/$AU220)</f>
        <v/>
      </c>
      <c r="AW220" s="10"/>
      <c r="AX220" s="88" t="str">
        <f aca="false">IF(OR($C220="01-09",SUM($AW220)=0),"",0%)</f>
        <v/>
      </c>
      <c r="AY220" s="39" t="str">
        <f aca="false">IF(OR($C220="01-09",SUM($AW220)=0),"",ROUND($AW220*(1+$AX220),0))</f>
        <v/>
      </c>
      <c r="AZ220" s="88" t="str">
        <f aca="false">IF(OR($C220="01-09",$C220="10-14"),"",100%)</f>
        <v/>
      </c>
      <c r="BA220" s="39" t="str">
        <f aca="false">IF(OR(SUM($AM220)=0,$C220="01-09",$C220="10-14"),"",$AM220*$AZ220)</f>
        <v/>
      </c>
    </row>
    <row r="221" customFormat="false" ht="15" hidden="false" customHeight="false" outlineLevel="0" collapsed="false">
      <c r="A221" s="0" t="str">
        <f aca="false">INDEX(Prioritization!$D:$D,MATCH($B221,Prioritization!$A:$A,0))</f>
        <v>1 - Scale-up: Saturation</v>
      </c>
      <c r="B221" s="0" t="s">
        <v>211</v>
      </c>
      <c r="C221" s="0" t="s">
        <v>364</v>
      </c>
      <c r="D221" s="0" t="s">
        <v>30</v>
      </c>
      <c r="E221" s="0" t="str">
        <f aca="false">$B221&amp;"|"&amp;$C221&amp;"|"&amp;$D221</f>
        <v>Blantyre District [mxqa3CDFmIT]|10-14|Female</v>
      </c>
      <c r="F221" s="88" t="n">
        <f aca="false">IF(LEFT($B221,4)="_Mil","",INDEX(Cascade!$AA:$AA,MATCH($E221,Cascade!$E:$E,0)))</f>
        <v>628</v>
      </c>
      <c r="G221" s="10" t="n">
        <f aca="false">INDEX(Cascade!$BH:$BH,MATCH($E221,Cascade!$E:$E,0))</f>
        <v>-208</v>
      </c>
      <c r="H221" s="10" t="n">
        <f aca="false">IF(OR($C221="01-09",$D221="Male"),"",INDEX(PMTCT!$AC:$AC,MATCH($E221,PMTCT!$E:$E,0)))</f>
        <v>1</v>
      </c>
      <c r="I221" s="10" t="n">
        <f aca="false">IF(OR($C221="01-09",$D221="Male"),"",INDEX(PMTCT!$AS:$AS,MATCH($E221,PMTCT!$E:$E,0)))</f>
        <v>1</v>
      </c>
      <c r="J221" s="10" t="str">
        <f aca="false">INDEX(TB!$P:$P,MATCH($E221,TB!$E:$E,0))</f>
        <v>ENTER YIELD RATE</v>
      </c>
      <c r="K221" s="10" t="str">
        <f aca="false">IF(OR($C221="01-09",$C221="10-14",$D221="Female"),"",INDEX(VMMC!$AA:$AA,MATCH($E221,VMMC!$E:$E,0)))</f>
        <v/>
      </c>
      <c r="L221" s="10" t="n">
        <f aca="false">SUM($G221)-SUM($H221:$K221)</f>
        <v>-210</v>
      </c>
      <c r="M221" s="88" t="n">
        <f aca="false">IF(OR($C221="01-09",$D221="Male",AND(SUM($G221)=0,SUM($H221)=0)),"",SUM($H221)/SUM($G221))</f>
        <v>-0.00480769230769231</v>
      </c>
      <c r="N221" s="88" t="n">
        <f aca="false">IF(OR($C221="01-09",$D221="Male",AND(SUM($G221)=0,SUM($I221)=0)),"",SUM($I221)/SUM($G221))</f>
        <v>-0.00480769230769231</v>
      </c>
      <c r="O221" s="88" t="n">
        <f aca="false">IF(AND(SUM($G221)=0,SUM($J221)=0),"",SUM($J221)/SUM($G221))</f>
        <v>-0</v>
      </c>
      <c r="P221" s="88" t="str">
        <f aca="false">IF(OR($C221="01-09",$C221="10-14",$D221="Female",AND(SUM($G221)=0,SUM($K221)=0)),"",SUM($K221)/SUM($G221))</f>
        <v/>
      </c>
      <c r="Q221" s="88" t="n">
        <v>0.607036514207721</v>
      </c>
      <c r="R221" s="88"/>
      <c r="S221" s="88"/>
      <c r="T221" s="88"/>
      <c r="U221" s="88" t="n">
        <v>0.655793148092926</v>
      </c>
      <c r="V221" s="88" t="n">
        <f aca="false">IF(SUM($G221)=0,"",SUM($M221:$U221))</f>
        <v>1.25321427768526</v>
      </c>
      <c r="W221" s="88"/>
      <c r="X221" s="39" t="n">
        <f aca="false">IF(OR(SUM($G221)=0,SUM($Q221)=0),"",ROUND(SUM($G221)*SUM($Q221),0))</f>
        <v>-126</v>
      </c>
      <c r="Y221" s="39" t="str">
        <f aca="false">IF(SUM($X221)=0,"",IF(SUM($W221)=0,"ENTER YIELD",ROUND($X221/$W221,0)-$X221))</f>
        <v>ENTER YIELD</v>
      </c>
      <c r="Z221" s="88"/>
      <c r="AA221" s="39" t="str">
        <f aca="false">IF(OR(SUM($G221)=0,SUM($R221)=0),"",ROUND(SUM($G221)*SUM($R221),0))</f>
        <v/>
      </c>
      <c r="AB221" s="39" t="str">
        <f aca="false">IF(SUM($AA221)=0,"",IF(SUM($Z221)=0,"ENTER YIELD",ROUND($AA221/$Z221,0)-$AA221))</f>
        <v/>
      </c>
      <c r="AC221" s="88"/>
      <c r="AD221" s="39" t="str">
        <f aca="false">IF(OR(SUM($G221)=0,SUM($S221)=0),"",ROUND(SUM($G221)*SUM($S221),0))</f>
        <v/>
      </c>
      <c r="AE221" s="39" t="str">
        <f aca="false">IF(SUM($AD221)=0,"",IF(SUM($AC221)=0,"ENTER YIELD",ROUND($AD221/$AC221,0)-$AD221))</f>
        <v/>
      </c>
      <c r="AF221" s="88"/>
      <c r="AG221" s="39" t="str">
        <f aca="false">IF(OR(SUM($G221)=0,SUM($T221)=0),"",ROUND(SUM($G221)*SUM($T221),0))</f>
        <v/>
      </c>
      <c r="AH221" s="39" t="str">
        <f aca="false">IF(SUM($AG221)=0,"",IF(SUM($AF221)=0,"ENTER YIELD",ROUND($AG221/$AF221,0)-$AG221))</f>
        <v/>
      </c>
      <c r="AI221" s="88" t="n">
        <v>0.244563604937866</v>
      </c>
      <c r="AJ221" s="39" t="n">
        <f aca="false">IF(OR(SUM($G221)=0,SUM($U221)=0),"",ROUND(SUM($G221)*SUM($U221),0))</f>
        <v>-136</v>
      </c>
      <c r="AK221" s="39" t="n">
        <f aca="false">IF(SUM($AJ221)=0,"",IF(SUM($AI221)=0,"ENTER YIELD",ROUND($AJ221/$AI221,0)-$AJ221))</f>
        <v>-420</v>
      </c>
      <c r="AL221" s="10" t="n">
        <f aca="false">IF(SUM($G221)=0,"",$G221)</f>
        <v>-208</v>
      </c>
      <c r="AM221" s="10" t="n">
        <f aca="false">IFERROR(1/(1/SUM($H221:$K221,$X221,$AA221,$AD221,$AG221,$AJ221)),"")</f>
        <v>-260</v>
      </c>
      <c r="AN221" s="10" t="n">
        <f aca="false">IF(AND(SUM($AM221)=0,SUM($AL221)=0),"",$AM221-$AL221)</f>
        <v>-52</v>
      </c>
      <c r="AO221" s="10" t="n">
        <f aca="false">IF(OR($C221="01-09",$D221="Male"),"",INDEX(PMTCT!$AD:$AD,MATCH($E221,PMTCT!$E:$E,0)))</f>
        <v>1</v>
      </c>
      <c r="AP221" s="10" t="n">
        <f aca="false">IF(OR($C221="01-09",$D221="Male"),"",INDEX(PMTCT!$AT:$AT,MATCH($E221,PMTCT!$E:$E,0)))</f>
        <v>0</v>
      </c>
      <c r="AQ221" s="10" t="n">
        <f aca="false">INDEX(TB!$Q:$Q,MATCH($E221,TB!$E:$E,0))</f>
        <v>8</v>
      </c>
      <c r="AR221" s="10" t="str">
        <f aca="false">IF(OR($C221="01-09",$C221="10-14",$D221="Female"),"",INDEX(VMMC!$AB:$AB,MATCH($E221,VMMC!$E:$E,0)))</f>
        <v/>
      </c>
      <c r="AS221" s="10" t="str">
        <f aca="false">IF(OR($C221="01-09",$C221="10-14"),"",INDEX(PrEP!$Q:$Q,MATCH($E221,PrEP!$E:$E,0)))</f>
        <v/>
      </c>
      <c r="AT221" s="10" t="n">
        <f aca="false">IFERROR(1/(1/SUM($Y221,$AB221,$AE221,$AH221,$AK221,$AO221:$AS221)),"")</f>
        <v>-411</v>
      </c>
      <c r="AU221" s="10" t="n">
        <f aca="false">IFERROR(1/(1/SUM($AT221,$AM221)),"")</f>
        <v>-671</v>
      </c>
      <c r="AV221" s="88" t="n">
        <f aca="false">IF(AND(SUM($AM221)=0,SUM($AU221)=0),"",$AM221/$AU221)</f>
        <v>0.387481371087928</v>
      </c>
      <c r="AW221" s="10" t="n">
        <v>9154</v>
      </c>
      <c r="AX221" s="88" t="n">
        <f aca="false">IF(OR($C221="01-09",SUM($AW221)=0),"",0%)</f>
        <v>0</v>
      </c>
      <c r="AY221" s="39" t="n">
        <f aca="false">IF(OR($C221="01-09",SUM($AW221)=0),"",ROUND($AW221*(1+$AX221),0))</f>
        <v>9154</v>
      </c>
      <c r="AZ221" s="88" t="str">
        <f aca="false">IF(OR($C221="01-09",$C221="10-14"),"",100%)</f>
        <v/>
      </c>
      <c r="BA221" s="39" t="str">
        <f aca="false">IF(OR(SUM($AM221)=0,$C221="01-09",$C221="10-14"),"",$AM221*$AZ221)</f>
        <v/>
      </c>
    </row>
    <row r="222" customFormat="false" ht="15" hidden="false" customHeight="false" outlineLevel="0" collapsed="false">
      <c r="A222" s="0" t="str">
        <f aca="false">INDEX(Prioritization!$D:$D,MATCH($B222,Prioritization!$A:$A,0))</f>
        <v>1 - Scale-up: Saturation</v>
      </c>
      <c r="B222" s="0" t="s">
        <v>211</v>
      </c>
      <c r="C222" s="0" t="s">
        <v>364</v>
      </c>
      <c r="D222" s="0" t="s">
        <v>48</v>
      </c>
      <c r="E222" s="0" t="str">
        <f aca="false">$B222&amp;"|"&amp;$C222&amp;"|"&amp;$D222</f>
        <v>Blantyre District [mxqa3CDFmIT]|10-14|Male</v>
      </c>
      <c r="F222" s="88" t="n">
        <f aca="false">IF(LEFT($B222,4)="_Mil","",INDEX(Cascade!$AA:$AA,MATCH($E222,Cascade!$E:$E,0)))</f>
        <v>936</v>
      </c>
      <c r="G222" s="10" t="n">
        <f aca="false">INDEX(Cascade!$BH:$BH,MATCH($E222,Cascade!$E:$E,0))</f>
        <v>-600</v>
      </c>
      <c r="H222" s="10" t="str">
        <f aca="false">IF(OR($C222="01-09",$D222="Male"),"",INDEX(PMTCT!$AC:$AC,MATCH($E222,PMTCT!$E:$E,0)))</f>
        <v/>
      </c>
      <c r="I222" s="10" t="str">
        <f aca="false">IF(OR($C222="01-09",$D222="Male"),"",INDEX(PMTCT!$AS:$AS,MATCH($E222,PMTCT!$E:$E,0)))</f>
        <v/>
      </c>
      <c r="J222" s="10" t="str">
        <f aca="false">INDEX(TB!$P:$P,MATCH($E222,TB!$E:$E,0))</f>
        <v>ENTER YIELD RATE</v>
      </c>
      <c r="K222" s="10" t="str">
        <f aca="false">IF(OR($C222="01-09",$C222="10-14",$D222="Female"),"",INDEX(VMMC!$AA:$AA,MATCH($E222,VMMC!$E:$E,0)))</f>
        <v/>
      </c>
      <c r="L222" s="10" t="n">
        <f aca="false">SUM($G222)-SUM($H222:$K222)</f>
        <v>-600</v>
      </c>
      <c r="M222" s="88" t="str">
        <f aca="false">IF(OR($C222="01-09",$D222="Male",AND(SUM($G222)=0,SUM($H222)=0)),"",SUM($H222)/SUM($G222))</f>
        <v/>
      </c>
      <c r="N222" s="88" t="str">
        <f aca="false">IF(OR($C222="01-09",$D222="Male",AND(SUM($G222)=0,SUM($I222)=0)),"",SUM($I222)/SUM($G222))</f>
        <v/>
      </c>
      <c r="O222" s="88" t="n">
        <f aca="false">IF(AND(SUM($G222)=0,SUM($J222)=0),"",SUM($J222)/SUM($G222))</f>
        <v>-0</v>
      </c>
      <c r="P222" s="88" t="str">
        <f aca="false">IF(OR($C222="01-09",$C222="10-14",$D222="Female",AND(SUM($G222)=0,SUM($K222)=0)),"",SUM($K222)/SUM($G222))</f>
        <v/>
      </c>
      <c r="Q222" s="88" t="n">
        <v>0.0921501612756401</v>
      </c>
      <c r="R222" s="88"/>
      <c r="S222" s="88"/>
      <c r="T222" s="88"/>
      <c r="U222" s="88" t="n">
        <v>0.626300245290622</v>
      </c>
      <c r="V222" s="88" t="n">
        <f aca="false">IF(SUM($G222)=0,"",SUM($M222:$U222))</f>
        <v>0.718450406566262</v>
      </c>
      <c r="W222" s="88"/>
      <c r="X222" s="39" t="n">
        <f aca="false">IF(OR(SUM($G222)=0,SUM($Q222)=0),"",ROUND(SUM($G222)*SUM($Q222),0))</f>
        <v>-55</v>
      </c>
      <c r="Y222" s="39" t="str">
        <f aca="false">IF(SUM($X222)=0,"",IF(SUM($W222)=0,"ENTER YIELD",ROUND($X222/$W222,0)-$X222))</f>
        <v>ENTER YIELD</v>
      </c>
      <c r="Z222" s="88"/>
      <c r="AA222" s="39" t="str">
        <f aca="false">IF(OR(SUM($G222)=0,SUM($R222)=0),"",ROUND(SUM($G222)*SUM($R222),0))</f>
        <v/>
      </c>
      <c r="AB222" s="39" t="str">
        <f aca="false">IF(SUM($AA222)=0,"",IF(SUM($Z222)=0,"ENTER YIELD",ROUND($AA222/$Z222,0)-$AA222))</f>
        <v/>
      </c>
      <c r="AC222" s="88"/>
      <c r="AD222" s="39" t="str">
        <f aca="false">IF(OR(SUM($G222)=0,SUM($S222)=0),"",ROUND(SUM($G222)*SUM($S222),0))</f>
        <v/>
      </c>
      <c r="AE222" s="39" t="str">
        <f aca="false">IF(SUM($AD222)=0,"",IF(SUM($AC222)=0,"ENTER YIELD",ROUND($AD222/$AC222,0)-$AD222))</f>
        <v/>
      </c>
      <c r="AF222" s="88"/>
      <c r="AG222" s="39" t="str">
        <f aca="false">IF(OR(SUM($G222)=0,SUM($T222)=0),"",ROUND(SUM($G222)*SUM($T222),0))</f>
        <v/>
      </c>
      <c r="AH222" s="39" t="str">
        <f aca="false">IF(SUM($AG222)=0,"",IF(SUM($AF222)=0,"ENTER YIELD",ROUND($AG222/$AF222,0)-$AG222))</f>
        <v/>
      </c>
      <c r="AI222" s="88" t="n">
        <v>0.307179919676855</v>
      </c>
      <c r="AJ222" s="39" t="n">
        <f aca="false">IF(OR(SUM($G222)=0,SUM($U222)=0),"",ROUND(SUM($G222)*SUM($U222),0))</f>
        <v>-376</v>
      </c>
      <c r="AK222" s="39" t="n">
        <f aca="false">IF(SUM($AJ222)=0,"",IF(SUM($AI222)=0,"ENTER YIELD",ROUND($AJ222/$AI222,0)-$AJ222))</f>
        <v>-848</v>
      </c>
      <c r="AL222" s="10" t="n">
        <f aca="false">IF(SUM($G222)=0,"",$G222)</f>
        <v>-600</v>
      </c>
      <c r="AM222" s="10" t="n">
        <f aca="false">IFERROR(1/(1/SUM($H222:$K222,$X222,$AA222,$AD222,$AG222,$AJ222)),"")</f>
        <v>-431</v>
      </c>
      <c r="AN222" s="10" t="n">
        <f aca="false">IF(AND(SUM($AM222)=0,SUM($AL222)=0),"",$AM222-$AL222)</f>
        <v>169</v>
      </c>
      <c r="AO222" s="10" t="str">
        <f aca="false">IF(OR($C222="01-09",$D222="Male"),"",INDEX(PMTCT!$AD:$AD,MATCH($E222,PMTCT!$E:$E,0)))</f>
        <v/>
      </c>
      <c r="AP222" s="10" t="str">
        <f aca="false">IF(OR($C222="01-09",$D222="Male"),"",INDEX(PMTCT!$AT:$AT,MATCH($E222,PMTCT!$E:$E,0)))</f>
        <v/>
      </c>
      <c r="AQ222" s="10" t="n">
        <f aca="false">INDEX(TB!$Q:$Q,MATCH($E222,TB!$E:$E,0))</f>
        <v>3</v>
      </c>
      <c r="AR222" s="10" t="str">
        <f aca="false">IF(OR($C222="01-09",$C222="10-14",$D222="Female"),"",INDEX(VMMC!$AB:$AB,MATCH($E222,VMMC!$E:$E,0)))</f>
        <v/>
      </c>
      <c r="AS222" s="10" t="str">
        <f aca="false">IF(OR($C222="01-09",$C222="10-14"),"",INDEX(PrEP!$Q:$Q,MATCH($E222,PrEP!$E:$E,0)))</f>
        <v/>
      </c>
      <c r="AT222" s="10" t="n">
        <f aca="false">IFERROR(1/(1/SUM($Y222,$AB222,$AE222,$AH222,$AK222,$AO222:$AS222)),"")</f>
        <v>-845</v>
      </c>
      <c r="AU222" s="10" t="n">
        <f aca="false">IFERROR(1/(1/SUM($AT222,$AM222)),"")</f>
        <v>-1276</v>
      </c>
      <c r="AV222" s="88" t="n">
        <f aca="false">IF(AND(SUM($AM222)=0,SUM($AU222)=0),"",$AM222/$AU222)</f>
        <v>0.337774294670846</v>
      </c>
      <c r="AW222" s="10"/>
      <c r="AX222" s="88" t="str">
        <f aca="false">IF(OR($C222="01-09",SUM($AW222)=0),"",0%)</f>
        <v/>
      </c>
      <c r="AY222" s="39" t="str">
        <f aca="false">IF(OR($C222="01-09",SUM($AW222)=0),"",ROUND($AW222*(1+$AX222),0))</f>
        <v/>
      </c>
      <c r="AZ222" s="88" t="str">
        <f aca="false">IF(OR($C222="01-09",$C222="10-14"),"",100%)</f>
        <v/>
      </c>
      <c r="BA222" s="39" t="str">
        <f aca="false">IF(OR(SUM($AM222)=0,$C222="01-09",$C222="10-14"),"",$AM222*$AZ222)</f>
        <v/>
      </c>
    </row>
    <row r="223" customFormat="false" ht="15" hidden="false" customHeight="false" outlineLevel="0" collapsed="false">
      <c r="A223" s="0" t="str">
        <f aca="false">INDEX(Prioritization!$D:$D,MATCH($B223,Prioritization!$A:$A,0))</f>
        <v>1 - Scale-up: Saturation</v>
      </c>
      <c r="B223" s="0" t="s">
        <v>211</v>
      </c>
      <c r="C223" s="0" t="s">
        <v>365</v>
      </c>
      <c r="D223" s="0" t="s">
        <v>30</v>
      </c>
      <c r="E223" s="0" t="str">
        <f aca="false">$B223&amp;"|"&amp;$C223&amp;"|"&amp;$D223</f>
        <v>Blantyre District [mxqa3CDFmIT]|15-24|Female</v>
      </c>
      <c r="F223" s="88" t="n">
        <f aca="false">IF(LEFT($B223,4)="_Mil","",INDEX(Cascade!$AA:$AA,MATCH($E223,Cascade!$E:$E,0)))</f>
        <v>534</v>
      </c>
      <c r="G223" s="10" t="n">
        <f aca="false">INDEX(Cascade!$BH:$BH,MATCH($E223,Cascade!$E:$E,0))</f>
        <v>0</v>
      </c>
      <c r="H223" s="10" t="str">
        <f aca="false">IF(OR($C223="01-09",$D223="Male"),"",INDEX(PMTCT!$AC:$AC,MATCH($E223,PMTCT!$E:$E,0)))</f>
        <v/>
      </c>
      <c r="I223" s="10" t="str">
        <f aca="false">IF(OR($C223="01-09",$D223="Male"),"",INDEX(PMTCT!$AS:$AS,MATCH($E223,PMTCT!$E:$E,0)))</f>
        <v/>
      </c>
      <c r="J223" s="10" t="str">
        <f aca="false">INDEX(TB!$P:$P,MATCH($E223,TB!$E:$E,0))</f>
        <v/>
      </c>
      <c r="K223" s="10" t="str">
        <f aca="false">IF(OR($C223="01-09",$C223="10-14",$D223="Female"),"",INDEX(VMMC!$AA:$AA,MATCH($E223,VMMC!$E:$E,0)))</f>
        <v/>
      </c>
      <c r="L223" s="10" t="n">
        <f aca="false">SUM($G223)-SUM($H223:$K223)</f>
        <v>0</v>
      </c>
      <c r="M223" s="88" t="str">
        <f aca="false">IF(OR($C223="01-09",$D223="Male",AND(SUM($G223)=0,SUM($H223)=0)),"",SUM($H223)/SUM($G223))</f>
        <v/>
      </c>
      <c r="N223" s="88" t="str">
        <f aca="false">IF(OR($C223="01-09",$D223="Male",AND(SUM($G223)=0,SUM($I223)=0)),"",SUM($I223)/SUM($G223))</f>
        <v/>
      </c>
      <c r="O223" s="88" t="str">
        <f aca="false">IF(AND(SUM($G223)=0,SUM($J223)=0),"",SUM($J223)/SUM($G223))</f>
        <v/>
      </c>
      <c r="P223" s="88" t="str">
        <f aca="false">IF(OR($C223="01-09",$C223="10-14",$D223="Female",AND(SUM($G223)=0,SUM($K223)=0)),"",SUM($K223)/SUM($G223))</f>
        <v/>
      </c>
      <c r="Q223" s="88"/>
      <c r="R223" s="88"/>
      <c r="S223" s="88"/>
      <c r="T223" s="88"/>
      <c r="U223" s="88"/>
      <c r="V223" s="88" t="str">
        <f aca="false">IF(SUM($G223)=0,"",SUM($M223:$U223))</f>
        <v/>
      </c>
      <c r="W223" s="88"/>
      <c r="X223" s="39" t="str">
        <f aca="false">IF(OR(SUM($G223)=0,SUM($Q223)=0),"",ROUND(SUM($G223)*SUM($Q223),0))</f>
        <v/>
      </c>
      <c r="Y223" s="39" t="str">
        <f aca="false">IF(SUM($X223)=0,"",IF(SUM($W223)=0,"ENTER YIELD",ROUND($X223/$W223,0)-$X223))</f>
        <v/>
      </c>
      <c r="Z223" s="88"/>
      <c r="AA223" s="39" t="str">
        <f aca="false">IF(OR(SUM($G223)=0,SUM($R223)=0),"",ROUND(SUM($G223)*SUM($R223),0))</f>
        <v/>
      </c>
      <c r="AB223" s="39" t="str">
        <f aca="false">IF(SUM($AA223)=0,"",IF(SUM($Z223)=0,"ENTER YIELD",ROUND($AA223/$Z223,0)-$AA223))</f>
        <v/>
      </c>
      <c r="AC223" s="88"/>
      <c r="AD223" s="39" t="str">
        <f aca="false">IF(OR(SUM($G223)=0,SUM($S223)=0),"",ROUND(SUM($G223)*SUM($S223),0))</f>
        <v/>
      </c>
      <c r="AE223" s="39" t="str">
        <f aca="false">IF(SUM($AD223)=0,"",IF(SUM($AC223)=0,"ENTER YIELD",ROUND($AD223/$AC223,0)-$AD223))</f>
        <v/>
      </c>
      <c r="AF223" s="88"/>
      <c r="AG223" s="39" t="str">
        <f aca="false">IF(OR(SUM($G223)=0,SUM($T223)=0),"",ROUND(SUM($G223)*SUM($T223),0))</f>
        <v/>
      </c>
      <c r="AH223" s="39" t="str">
        <f aca="false">IF(SUM($AG223)=0,"",IF(SUM($AF223)=0,"ENTER YIELD",ROUND($AG223/$AF223,0)-$AG223))</f>
        <v/>
      </c>
      <c r="AI223" s="88"/>
      <c r="AJ223" s="39" t="str">
        <f aca="false">IF(OR(SUM($G223)=0,SUM($U223)=0),"",ROUND(SUM($G223)*SUM($U223),0))</f>
        <v/>
      </c>
      <c r="AK223" s="39" t="str">
        <f aca="false">IF(SUM($AJ223)=0,"",IF(SUM($AI223)=0,"ENTER YIELD",ROUND($AJ223/$AI223,0)-$AJ223))</f>
        <v/>
      </c>
      <c r="AL223" s="10" t="str">
        <f aca="false">IF(SUM($G223)=0,"",$G223)</f>
        <v/>
      </c>
      <c r="AM223" s="10" t="str">
        <f aca="false">IFERROR(1/(1/SUM($H223:$K223,$X223,$AA223,$AD223,$AG223,$AJ223)),"")</f>
        <v/>
      </c>
      <c r="AN223" s="10" t="str">
        <f aca="false">IF(AND(SUM($AM223)=0,SUM($AL223)=0),"",$AM223-$AL223)</f>
        <v/>
      </c>
      <c r="AO223" s="10" t="str">
        <f aca="false">IF(OR($C223="01-09",$D223="Male"),"",INDEX(PMTCT!$AD:$AD,MATCH($E223,PMTCT!$E:$E,0)))</f>
        <v/>
      </c>
      <c r="AP223" s="10" t="str">
        <f aca="false">IF(OR($C223="01-09",$D223="Male"),"",INDEX(PMTCT!$AT:$AT,MATCH($E223,PMTCT!$E:$E,0)))</f>
        <v/>
      </c>
      <c r="AQ223" s="10" t="str">
        <f aca="false">INDEX(TB!$Q:$Q,MATCH($E223,TB!$E:$E,0))</f>
        <v/>
      </c>
      <c r="AR223" s="10" t="str">
        <f aca="false">IF(OR($C223="01-09",$C223="10-14",$D223="Female"),"",INDEX(VMMC!$AB:$AB,MATCH($E223,VMMC!$E:$E,0)))</f>
        <v/>
      </c>
      <c r="AS223" s="10" t="str">
        <f aca="false">IF(OR($C223="01-09",$C223="10-14"),"",INDEX(PrEP!$Q:$Q,MATCH($E223,PrEP!$E:$E,0)))</f>
        <v/>
      </c>
      <c r="AT223" s="10" t="str">
        <f aca="false">IFERROR(1/(1/SUM($Y223,$AB223,$AE223,$AH223,$AK223,$AO223:$AS223)),"")</f>
        <v/>
      </c>
      <c r="AU223" s="10" t="str">
        <f aca="false">IFERROR(1/(1/SUM($AT223,$AM223)),"")</f>
        <v/>
      </c>
      <c r="AV223" s="88" t="str">
        <f aca="false">IF(AND(SUM($AM223)=0,SUM($AU223)=0),"",$AM223/$AU223)</f>
        <v/>
      </c>
      <c r="AW223" s="10"/>
      <c r="AX223" s="88" t="str">
        <f aca="false">IF(OR($C223="01-09",SUM($AW223)=0),"",0%)</f>
        <v/>
      </c>
      <c r="AY223" s="39" t="str">
        <f aca="false">IF(OR($C223="01-09",SUM($AW223)=0),"",ROUND($AW223*(1+$AX223),0))</f>
        <v/>
      </c>
      <c r="AZ223" s="88" t="n">
        <f aca="false">IF(OR($C223="01-09",$C223="10-14"),"",100%)</f>
        <v>1</v>
      </c>
      <c r="BA223" s="39" t="str">
        <f aca="false">IF(OR(SUM($AM223)=0,$C223="01-09",$C223="10-14"),"",$AM223*$AZ223)</f>
        <v/>
      </c>
    </row>
    <row r="224" customFormat="false" ht="15" hidden="false" customHeight="false" outlineLevel="0" collapsed="false">
      <c r="A224" s="0" t="str">
        <f aca="false">INDEX(Prioritization!$D:$D,MATCH($B224,Prioritization!$A:$A,0))</f>
        <v>1 - Scale-up: Saturation</v>
      </c>
      <c r="B224" s="0" t="s">
        <v>211</v>
      </c>
      <c r="C224" s="0" t="s">
        <v>365</v>
      </c>
      <c r="D224" s="0" t="s">
        <v>48</v>
      </c>
      <c r="E224" s="0" t="str">
        <f aca="false">$B224&amp;"|"&amp;$C224&amp;"|"&amp;$D224</f>
        <v>Blantyre District [mxqa3CDFmIT]|15-24|Male</v>
      </c>
      <c r="F224" s="88" t="n">
        <f aca="false">IF(LEFT($B224,4)="_Mil","",INDEX(Cascade!$AA:$AA,MATCH($E224,Cascade!$E:$E,0)))</f>
        <v>1085</v>
      </c>
      <c r="G224" s="10" t="n">
        <f aca="false">INDEX(Cascade!$BH:$BH,MATCH($E224,Cascade!$E:$E,0))</f>
        <v>0</v>
      </c>
      <c r="H224" s="10" t="str">
        <f aca="false">IF(OR($C224="01-09",$D224="Male"),"",INDEX(PMTCT!$AC:$AC,MATCH($E224,PMTCT!$E:$E,0)))</f>
        <v/>
      </c>
      <c r="I224" s="10" t="str">
        <f aca="false">IF(OR($C224="01-09",$D224="Male"),"",INDEX(PMTCT!$AS:$AS,MATCH($E224,PMTCT!$E:$E,0)))</f>
        <v/>
      </c>
      <c r="J224" s="10" t="str">
        <f aca="false">INDEX(TB!$P:$P,MATCH($E224,TB!$E:$E,0))</f>
        <v/>
      </c>
      <c r="K224" s="10" t="str">
        <f aca="false">IF(OR($C224="01-09",$C224="10-14",$D224="Female"),"",INDEX(VMMC!$AA:$AA,MATCH($E224,VMMC!$E:$E,0)))</f>
        <v/>
      </c>
      <c r="L224" s="10" t="n">
        <f aca="false">SUM($G224)-SUM($H224:$K224)</f>
        <v>0</v>
      </c>
      <c r="M224" s="88" t="str">
        <f aca="false">IF(OR($C224="01-09",$D224="Male",AND(SUM($G224)=0,SUM($H224)=0)),"",SUM($H224)/SUM($G224))</f>
        <v/>
      </c>
      <c r="N224" s="88" t="str">
        <f aca="false">IF(OR($C224="01-09",$D224="Male",AND(SUM($G224)=0,SUM($I224)=0)),"",SUM($I224)/SUM($G224))</f>
        <v/>
      </c>
      <c r="O224" s="88" t="str">
        <f aca="false">IF(AND(SUM($G224)=0,SUM($J224)=0),"",SUM($J224)/SUM($G224))</f>
        <v/>
      </c>
      <c r="P224" s="88" t="str">
        <f aca="false">IF(OR($C224="01-09",$C224="10-14",$D224="Female",AND(SUM($G224)=0,SUM($K224)=0)),"",SUM($K224)/SUM($G224))</f>
        <v/>
      </c>
      <c r="Q224" s="88"/>
      <c r="R224" s="88"/>
      <c r="S224" s="88"/>
      <c r="T224" s="88"/>
      <c r="U224" s="88"/>
      <c r="V224" s="88" t="str">
        <f aca="false">IF(SUM($G224)=0,"",SUM($M224:$U224))</f>
        <v/>
      </c>
      <c r="W224" s="88"/>
      <c r="X224" s="39" t="str">
        <f aca="false">IF(OR(SUM($G224)=0,SUM($Q224)=0),"",ROUND(SUM($G224)*SUM($Q224),0))</f>
        <v/>
      </c>
      <c r="Y224" s="39" t="str">
        <f aca="false">IF(SUM($X224)=0,"",IF(SUM($W224)=0,"ENTER YIELD",ROUND($X224/$W224,0)-$X224))</f>
        <v/>
      </c>
      <c r="Z224" s="88"/>
      <c r="AA224" s="39" t="str">
        <f aca="false">IF(OR(SUM($G224)=0,SUM($R224)=0),"",ROUND(SUM($G224)*SUM($R224),0))</f>
        <v/>
      </c>
      <c r="AB224" s="39" t="str">
        <f aca="false">IF(SUM($AA224)=0,"",IF(SUM($Z224)=0,"ENTER YIELD",ROUND($AA224/$Z224,0)-$AA224))</f>
        <v/>
      </c>
      <c r="AC224" s="88"/>
      <c r="AD224" s="39" t="str">
        <f aca="false">IF(OR(SUM($G224)=0,SUM($S224)=0),"",ROUND(SUM($G224)*SUM($S224),0))</f>
        <v/>
      </c>
      <c r="AE224" s="39" t="str">
        <f aca="false">IF(SUM($AD224)=0,"",IF(SUM($AC224)=0,"ENTER YIELD",ROUND($AD224/$AC224,0)-$AD224))</f>
        <v/>
      </c>
      <c r="AF224" s="88"/>
      <c r="AG224" s="39" t="str">
        <f aca="false">IF(OR(SUM($G224)=0,SUM($T224)=0),"",ROUND(SUM($G224)*SUM($T224),0))</f>
        <v/>
      </c>
      <c r="AH224" s="39" t="str">
        <f aca="false">IF(SUM($AG224)=0,"",IF(SUM($AF224)=0,"ENTER YIELD",ROUND($AG224/$AF224,0)-$AG224))</f>
        <v/>
      </c>
      <c r="AI224" s="88"/>
      <c r="AJ224" s="39" t="str">
        <f aca="false">IF(OR(SUM($G224)=0,SUM($U224)=0),"",ROUND(SUM($G224)*SUM($U224),0))</f>
        <v/>
      </c>
      <c r="AK224" s="39" t="str">
        <f aca="false">IF(SUM($AJ224)=0,"",IF(SUM($AI224)=0,"ENTER YIELD",ROUND($AJ224/$AI224,0)-$AJ224))</f>
        <v/>
      </c>
      <c r="AL224" s="10" t="str">
        <f aca="false">IF(SUM($G224)=0,"",$G224)</f>
        <v/>
      </c>
      <c r="AM224" s="10" t="str">
        <f aca="false">IFERROR(1/(1/SUM($H224:$K224,$X224,$AA224,$AD224,$AG224,$AJ224)),"")</f>
        <v/>
      </c>
      <c r="AN224" s="10" t="str">
        <f aca="false">IF(AND(SUM($AM224)=0,SUM($AL224)=0),"",$AM224-$AL224)</f>
        <v/>
      </c>
      <c r="AO224" s="10" t="str">
        <f aca="false">IF(OR($C224="01-09",$D224="Male"),"",INDEX(PMTCT!$AD:$AD,MATCH($E224,PMTCT!$E:$E,0)))</f>
        <v/>
      </c>
      <c r="AP224" s="10" t="str">
        <f aca="false">IF(OR($C224="01-09",$D224="Male"),"",INDEX(PMTCT!$AT:$AT,MATCH($E224,PMTCT!$E:$E,0)))</f>
        <v/>
      </c>
      <c r="AQ224" s="10" t="str">
        <f aca="false">INDEX(TB!$Q:$Q,MATCH($E224,TB!$E:$E,0))</f>
        <v/>
      </c>
      <c r="AR224" s="10" t="str">
        <f aca="false">IF(OR($C224="01-09",$C224="10-14",$D224="Female"),"",INDEX(VMMC!$AB:$AB,MATCH($E224,VMMC!$E:$E,0)))</f>
        <v/>
      </c>
      <c r="AS224" s="10" t="str">
        <f aca="false">IF(OR($C224="01-09",$C224="10-14"),"",INDEX(PrEP!$Q:$Q,MATCH($E224,PrEP!$E:$E,0)))</f>
        <v/>
      </c>
      <c r="AT224" s="10" t="str">
        <f aca="false">IFERROR(1/(1/SUM($Y224,$AB224,$AE224,$AH224,$AK224,$AO224:$AS224)),"")</f>
        <v/>
      </c>
      <c r="AU224" s="10" t="str">
        <f aca="false">IFERROR(1/(1/SUM($AT224,$AM224)),"")</f>
        <v/>
      </c>
      <c r="AV224" s="88" t="str">
        <f aca="false">IF(AND(SUM($AM224)=0,SUM($AU224)=0),"",$AM224/$AU224)</f>
        <v/>
      </c>
      <c r="AW224" s="10"/>
      <c r="AX224" s="88" t="str">
        <f aca="false">IF(OR($C224="01-09",SUM($AW224)=0),"",0%)</f>
        <v/>
      </c>
      <c r="AY224" s="39" t="str">
        <f aca="false">IF(OR($C224="01-09",SUM($AW224)=0),"",ROUND($AW224*(1+$AX224),0))</f>
        <v/>
      </c>
      <c r="AZ224" s="88" t="n">
        <f aca="false">IF(OR($C224="01-09",$C224="10-14"),"",100%)</f>
        <v>1</v>
      </c>
      <c r="BA224" s="39" t="str">
        <f aca="false">IF(OR(SUM($AM224)=0,$C224="01-09",$C224="10-14"),"",$AM224*$AZ224)</f>
        <v/>
      </c>
    </row>
    <row r="225" customFormat="false" ht="15" hidden="false" customHeight="false" outlineLevel="0" collapsed="false">
      <c r="A225" s="0" t="str">
        <f aca="false">INDEX(Prioritization!$D:$D,MATCH($B225,Prioritization!$A:$A,0))</f>
        <v>1 - Scale-up: Saturation</v>
      </c>
      <c r="B225" s="0" t="s">
        <v>211</v>
      </c>
      <c r="C225" s="0" t="s">
        <v>366</v>
      </c>
      <c r="D225" s="0" t="s">
        <v>30</v>
      </c>
      <c r="E225" s="0" t="str">
        <f aca="false">$B225&amp;"|"&amp;$C225&amp;"|"&amp;$D225</f>
        <v>Blantyre District [mxqa3CDFmIT]|25-34|Female</v>
      </c>
      <c r="F225" s="88" t="n">
        <f aca="false">IF(LEFT($B225,4)="_Mil","",INDEX(Cascade!$AA:$AA,MATCH($E225,Cascade!$E:$E,0)))</f>
        <v>553</v>
      </c>
      <c r="G225" s="10" t="n">
        <f aca="false">INDEX(Cascade!$BH:$BH,MATCH($E225,Cascade!$E:$E,0))</f>
        <v>0</v>
      </c>
      <c r="H225" s="10" t="str">
        <f aca="false">IF(OR($C225="01-09",$D225="Male"),"",INDEX(PMTCT!$AC:$AC,MATCH($E225,PMTCT!$E:$E,0)))</f>
        <v/>
      </c>
      <c r="I225" s="10" t="str">
        <f aca="false">IF(OR($C225="01-09",$D225="Male"),"",INDEX(PMTCT!$AS:$AS,MATCH($E225,PMTCT!$E:$E,0)))</f>
        <v/>
      </c>
      <c r="J225" s="10" t="str">
        <f aca="false">INDEX(TB!$P:$P,MATCH($E225,TB!$E:$E,0))</f>
        <v/>
      </c>
      <c r="K225" s="10" t="str">
        <f aca="false">IF(OR($C225="01-09",$C225="10-14",$D225="Female"),"",INDEX(VMMC!$AA:$AA,MATCH($E225,VMMC!$E:$E,0)))</f>
        <v/>
      </c>
      <c r="L225" s="10" t="n">
        <f aca="false">SUM($G225)-SUM($H225:$K225)</f>
        <v>0</v>
      </c>
      <c r="M225" s="88" t="str">
        <f aca="false">IF(OR($C225="01-09",$D225="Male",AND(SUM($G225)=0,SUM($H225)=0)),"",SUM($H225)/SUM($G225))</f>
        <v/>
      </c>
      <c r="N225" s="88" t="str">
        <f aca="false">IF(OR($C225="01-09",$D225="Male",AND(SUM($G225)=0,SUM($I225)=0)),"",SUM($I225)/SUM($G225))</f>
        <v/>
      </c>
      <c r="O225" s="88" t="str">
        <f aca="false">IF(AND(SUM($G225)=0,SUM($J225)=0),"",SUM($J225)/SUM($G225))</f>
        <v/>
      </c>
      <c r="P225" s="88" t="str">
        <f aca="false">IF(OR($C225="01-09",$C225="10-14",$D225="Female",AND(SUM($G225)=0,SUM($K225)=0)),"",SUM($K225)/SUM($G225))</f>
        <v/>
      </c>
      <c r="Q225" s="88"/>
      <c r="R225" s="88"/>
      <c r="S225" s="88"/>
      <c r="T225" s="88"/>
      <c r="U225" s="88"/>
      <c r="V225" s="88" t="str">
        <f aca="false">IF(SUM($G225)=0,"",SUM($M225:$U225))</f>
        <v/>
      </c>
      <c r="W225" s="88"/>
      <c r="X225" s="39" t="str">
        <f aca="false">IF(OR(SUM($G225)=0,SUM($Q225)=0),"",ROUND(SUM($G225)*SUM($Q225),0))</f>
        <v/>
      </c>
      <c r="Y225" s="39" t="str">
        <f aca="false">IF(SUM($X225)=0,"",IF(SUM($W225)=0,"ENTER YIELD",ROUND($X225/$W225,0)-$X225))</f>
        <v/>
      </c>
      <c r="Z225" s="88"/>
      <c r="AA225" s="39" t="str">
        <f aca="false">IF(OR(SUM($G225)=0,SUM($R225)=0),"",ROUND(SUM($G225)*SUM($R225),0))</f>
        <v/>
      </c>
      <c r="AB225" s="39" t="str">
        <f aca="false">IF(SUM($AA225)=0,"",IF(SUM($Z225)=0,"ENTER YIELD",ROUND($AA225/$Z225,0)-$AA225))</f>
        <v/>
      </c>
      <c r="AC225" s="88"/>
      <c r="AD225" s="39" t="str">
        <f aca="false">IF(OR(SUM($G225)=0,SUM($S225)=0),"",ROUND(SUM($G225)*SUM($S225),0))</f>
        <v/>
      </c>
      <c r="AE225" s="39" t="str">
        <f aca="false">IF(SUM($AD225)=0,"",IF(SUM($AC225)=0,"ENTER YIELD",ROUND($AD225/$AC225,0)-$AD225))</f>
        <v/>
      </c>
      <c r="AF225" s="88"/>
      <c r="AG225" s="39" t="str">
        <f aca="false">IF(OR(SUM($G225)=0,SUM($T225)=0),"",ROUND(SUM($G225)*SUM($T225),0))</f>
        <v/>
      </c>
      <c r="AH225" s="39" t="str">
        <f aca="false">IF(SUM($AG225)=0,"",IF(SUM($AF225)=0,"ENTER YIELD",ROUND($AG225/$AF225,0)-$AG225))</f>
        <v/>
      </c>
      <c r="AI225" s="88"/>
      <c r="AJ225" s="39" t="str">
        <f aca="false">IF(OR(SUM($G225)=0,SUM($U225)=0),"",ROUND(SUM($G225)*SUM($U225),0))</f>
        <v/>
      </c>
      <c r="AK225" s="39" t="str">
        <f aca="false">IF(SUM($AJ225)=0,"",IF(SUM($AI225)=0,"ENTER YIELD",ROUND($AJ225/$AI225,0)-$AJ225))</f>
        <v/>
      </c>
      <c r="AL225" s="10" t="str">
        <f aca="false">IF(SUM($G225)=0,"",$G225)</f>
        <v/>
      </c>
      <c r="AM225" s="10" t="str">
        <f aca="false">IFERROR(1/(1/SUM($H225:$K225,$X225,$AA225,$AD225,$AG225,$AJ225)),"")</f>
        <v/>
      </c>
      <c r="AN225" s="10" t="str">
        <f aca="false">IF(AND(SUM($AM225)=0,SUM($AL225)=0),"",$AM225-$AL225)</f>
        <v/>
      </c>
      <c r="AO225" s="10" t="str">
        <f aca="false">IF(OR($C225="01-09",$D225="Male"),"",INDEX(PMTCT!$AD:$AD,MATCH($E225,PMTCT!$E:$E,0)))</f>
        <v/>
      </c>
      <c r="AP225" s="10" t="str">
        <f aca="false">IF(OR($C225="01-09",$D225="Male"),"",INDEX(PMTCT!$AT:$AT,MATCH($E225,PMTCT!$E:$E,0)))</f>
        <v/>
      </c>
      <c r="AQ225" s="10" t="str">
        <f aca="false">INDEX(TB!$Q:$Q,MATCH($E225,TB!$E:$E,0))</f>
        <v/>
      </c>
      <c r="AR225" s="10" t="str">
        <f aca="false">IF(OR($C225="01-09",$C225="10-14",$D225="Female"),"",INDEX(VMMC!$AB:$AB,MATCH($E225,VMMC!$E:$E,0)))</f>
        <v/>
      </c>
      <c r="AS225" s="10" t="str">
        <f aca="false">IF(OR($C225="01-09",$C225="10-14"),"",INDEX(PrEP!$Q:$Q,MATCH($E225,PrEP!$E:$E,0)))</f>
        <v/>
      </c>
      <c r="AT225" s="10" t="str">
        <f aca="false">IFERROR(1/(1/SUM($Y225,$AB225,$AE225,$AH225,$AK225,$AO225:$AS225)),"")</f>
        <v/>
      </c>
      <c r="AU225" s="10" t="str">
        <f aca="false">IFERROR(1/(1/SUM($AT225,$AM225)),"")</f>
        <v/>
      </c>
      <c r="AV225" s="88" t="str">
        <f aca="false">IF(AND(SUM($AM225)=0,SUM($AU225)=0),"",$AM225/$AU225)</f>
        <v/>
      </c>
      <c r="AW225" s="10"/>
      <c r="AX225" s="88" t="str">
        <f aca="false">IF(OR($C225="01-09",SUM($AW225)=0),"",0%)</f>
        <v/>
      </c>
      <c r="AY225" s="39" t="str">
        <f aca="false">IF(OR($C225="01-09",SUM($AW225)=0),"",ROUND($AW225*(1+$AX225),0))</f>
        <v/>
      </c>
      <c r="AZ225" s="88" t="n">
        <f aca="false">IF(OR($C225="01-09",$C225="10-14"),"",100%)</f>
        <v>1</v>
      </c>
      <c r="BA225" s="39" t="str">
        <f aca="false">IF(OR(SUM($AM225)=0,$C225="01-09",$C225="10-14"),"",$AM225*$AZ225)</f>
        <v/>
      </c>
    </row>
    <row r="226" customFormat="false" ht="15" hidden="false" customHeight="false" outlineLevel="0" collapsed="false">
      <c r="A226" s="0" t="str">
        <f aca="false">INDEX(Prioritization!$D:$D,MATCH($B226,Prioritization!$A:$A,0))</f>
        <v>1 - Scale-up: Saturation</v>
      </c>
      <c r="B226" s="0" t="s">
        <v>211</v>
      </c>
      <c r="C226" s="0" t="s">
        <v>366</v>
      </c>
      <c r="D226" s="0" t="s">
        <v>48</v>
      </c>
      <c r="E226" s="0" t="str">
        <f aca="false">$B226&amp;"|"&amp;$C226&amp;"|"&amp;$D226</f>
        <v>Blantyre District [mxqa3CDFmIT]|25-34|Male</v>
      </c>
      <c r="F226" s="88" t="n">
        <f aca="false">IF(LEFT($B226,4)="_Mil","",INDEX(Cascade!$AA:$AA,MATCH($E226,Cascade!$E:$E,0)))</f>
        <v>1673</v>
      </c>
      <c r="G226" s="10" t="n">
        <f aca="false">INDEX(Cascade!$BH:$BH,MATCH($E226,Cascade!$E:$E,0))</f>
        <v>0</v>
      </c>
      <c r="H226" s="10" t="str">
        <f aca="false">IF(OR($C226="01-09",$D226="Male"),"",INDEX(PMTCT!$AC:$AC,MATCH($E226,PMTCT!$E:$E,0)))</f>
        <v/>
      </c>
      <c r="I226" s="10" t="str">
        <f aca="false">IF(OR($C226="01-09",$D226="Male"),"",INDEX(PMTCT!$AS:$AS,MATCH($E226,PMTCT!$E:$E,0)))</f>
        <v/>
      </c>
      <c r="J226" s="10" t="str">
        <f aca="false">INDEX(TB!$P:$P,MATCH($E226,TB!$E:$E,0))</f>
        <v/>
      </c>
      <c r="K226" s="10" t="str">
        <f aca="false">IF(OR($C226="01-09",$C226="10-14",$D226="Female"),"",INDEX(VMMC!$AA:$AA,MATCH($E226,VMMC!$E:$E,0)))</f>
        <v/>
      </c>
      <c r="L226" s="10" t="n">
        <f aca="false">SUM($G226)-SUM($H226:$K226)</f>
        <v>0</v>
      </c>
      <c r="M226" s="88" t="str">
        <f aca="false">IF(OR($C226="01-09",$D226="Male",AND(SUM($G226)=0,SUM($H226)=0)),"",SUM($H226)/SUM($G226))</f>
        <v/>
      </c>
      <c r="N226" s="88" t="str">
        <f aca="false">IF(OR($C226="01-09",$D226="Male",AND(SUM($G226)=0,SUM($I226)=0)),"",SUM($I226)/SUM($G226))</f>
        <v/>
      </c>
      <c r="O226" s="88" t="str">
        <f aca="false">IF(AND(SUM($G226)=0,SUM($J226)=0),"",SUM($J226)/SUM($G226))</f>
        <v/>
      </c>
      <c r="P226" s="88" t="str">
        <f aca="false">IF(OR($C226="01-09",$C226="10-14",$D226="Female",AND(SUM($G226)=0,SUM($K226)=0)),"",SUM($K226)/SUM($G226))</f>
        <v/>
      </c>
      <c r="Q226" s="88"/>
      <c r="R226" s="88"/>
      <c r="S226" s="88"/>
      <c r="T226" s="88"/>
      <c r="U226" s="88"/>
      <c r="V226" s="88" t="str">
        <f aca="false">IF(SUM($G226)=0,"",SUM($M226:$U226))</f>
        <v/>
      </c>
      <c r="W226" s="88"/>
      <c r="X226" s="39" t="str">
        <f aca="false">IF(OR(SUM($G226)=0,SUM($Q226)=0),"",ROUND(SUM($G226)*SUM($Q226),0))</f>
        <v/>
      </c>
      <c r="Y226" s="39" t="str">
        <f aca="false">IF(SUM($X226)=0,"",IF(SUM($W226)=0,"ENTER YIELD",ROUND($X226/$W226,0)-$X226))</f>
        <v/>
      </c>
      <c r="Z226" s="88"/>
      <c r="AA226" s="39" t="str">
        <f aca="false">IF(OR(SUM($G226)=0,SUM($R226)=0),"",ROUND(SUM($G226)*SUM($R226),0))</f>
        <v/>
      </c>
      <c r="AB226" s="39" t="str">
        <f aca="false">IF(SUM($AA226)=0,"",IF(SUM($Z226)=0,"ENTER YIELD",ROUND($AA226/$Z226,0)-$AA226))</f>
        <v/>
      </c>
      <c r="AC226" s="88"/>
      <c r="AD226" s="39" t="str">
        <f aca="false">IF(OR(SUM($G226)=0,SUM($S226)=0),"",ROUND(SUM($G226)*SUM($S226),0))</f>
        <v/>
      </c>
      <c r="AE226" s="39" t="str">
        <f aca="false">IF(SUM($AD226)=0,"",IF(SUM($AC226)=0,"ENTER YIELD",ROUND($AD226/$AC226,0)-$AD226))</f>
        <v/>
      </c>
      <c r="AF226" s="88"/>
      <c r="AG226" s="39" t="str">
        <f aca="false">IF(OR(SUM($G226)=0,SUM($T226)=0),"",ROUND(SUM($G226)*SUM($T226),0))</f>
        <v/>
      </c>
      <c r="AH226" s="39" t="str">
        <f aca="false">IF(SUM($AG226)=0,"",IF(SUM($AF226)=0,"ENTER YIELD",ROUND($AG226/$AF226,0)-$AG226))</f>
        <v/>
      </c>
      <c r="AI226" s="88"/>
      <c r="AJ226" s="39" t="str">
        <f aca="false">IF(OR(SUM($G226)=0,SUM($U226)=0),"",ROUND(SUM($G226)*SUM($U226),0))</f>
        <v/>
      </c>
      <c r="AK226" s="39" t="str">
        <f aca="false">IF(SUM($AJ226)=0,"",IF(SUM($AI226)=0,"ENTER YIELD",ROUND($AJ226/$AI226,0)-$AJ226))</f>
        <v/>
      </c>
      <c r="AL226" s="10" t="str">
        <f aca="false">IF(SUM($G226)=0,"",$G226)</f>
        <v/>
      </c>
      <c r="AM226" s="10" t="str">
        <f aca="false">IFERROR(1/(1/SUM($H226:$K226,$X226,$AA226,$AD226,$AG226,$AJ226)),"")</f>
        <v/>
      </c>
      <c r="AN226" s="10" t="str">
        <f aca="false">IF(AND(SUM($AM226)=0,SUM($AL226)=0),"",$AM226-$AL226)</f>
        <v/>
      </c>
      <c r="AO226" s="10" t="str">
        <f aca="false">IF(OR($C226="01-09",$D226="Male"),"",INDEX(PMTCT!$AD:$AD,MATCH($E226,PMTCT!$E:$E,0)))</f>
        <v/>
      </c>
      <c r="AP226" s="10" t="str">
        <f aca="false">IF(OR($C226="01-09",$D226="Male"),"",INDEX(PMTCT!$AT:$AT,MATCH($E226,PMTCT!$E:$E,0)))</f>
        <v/>
      </c>
      <c r="AQ226" s="10" t="str">
        <f aca="false">INDEX(TB!$Q:$Q,MATCH($E226,TB!$E:$E,0))</f>
        <v/>
      </c>
      <c r="AR226" s="10" t="str">
        <f aca="false">IF(OR($C226="01-09",$C226="10-14",$D226="Female"),"",INDEX(VMMC!$AB:$AB,MATCH($E226,VMMC!$E:$E,0)))</f>
        <v/>
      </c>
      <c r="AS226" s="10" t="str">
        <f aca="false">IF(OR($C226="01-09",$C226="10-14"),"",INDEX(PrEP!$Q:$Q,MATCH($E226,PrEP!$E:$E,0)))</f>
        <v/>
      </c>
      <c r="AT226" s="10" t="str">
        <f aca="false">IFERROR(1/(1/SUM($Y226,$AB226,$AE226,$AH226,$AK226,$AO226:$AS226)),"")</f>
        <v/>
      </c>
      <c r="AU226" s="10" t="str">
        <f aca="false">IFERROR(1/(1/SUM($AT226,$AM226)),"")</f>
        <v/>
      </c>
      <c r="AV226" s="88" t="str">
        <f aca="false">IF(AND(SUM($AM226)=0,SUM($AU226)=0),"",$AM226/$AU226)</f>
        <v/>
      </c>
      <c r="AW226" s="10"/>
      <c r="AX226" s="88" t="str">
        <f aca="false">IF(OR($C226="01-09",SUM($AW226)=0),"",0%)</f>
        <v/>
      </c>
      <c r="AY226" s="39" t="str">
        <f aca="false">IF(OR($C226="01-09",SUM($AW226)=0),"",ROUND($AW226*(1+$AX226),0))</f>
        <v/>
      </c>
      <c r="AZ226" s="88" t="n">
        <f aca="false">IF(OR($C226="01-09",$C226="10-14"),"",100%)</f>
        <v>1</v>
      </c>
      <c r="BA226" s="39" t="str">
        <f aca="false">IF(OR(SUM($AM226)=0,$C226="01-09",$C226="10-14"),"",$AM226*$AZ226)</f>
        <v/>
      </c>
    </row>
    <row r="227" customFormat="false" ht="15" hidden="false" customHeight="false" outlineLevel="0" collapsed="false">
      <c r="A227" s="0" t="str">
        <f aca="false">INDEX(Prioritization!$D:$D,MATCH($B227,Prioritization!$A:$A,0))</f>
        <v>1 - Scale-up: Saturation</v>
      </c>
      <c r="B227" s="0" t="s">
        <v>211</v>
      </c>
      <c r="C227" s="0" t="s">
        <v>367</v>
      </c>
      <c r="D227" s="0" t="s">
        <v>30</v>
      </c>
      <c r="E227" s="0" t="str">
        <f aca="false">$B227&amp;"|"&amp;$C227&amp;"|"&amp;$D227</f>
        <v>Blantyre District [mxqa3CDFmIT]|35-49|Female</v>
      </c>
      <c r="F227" s="88" t="n">
        <f aca="false">IF(LEFT($B227,4)="_Mil","",INDEX(Cascade!$AA:$AA,MATCH($E227,Cascade!$E:$E,0)))</f>
        <v>1227</v>
      </c>
      <c r="G227" s="10" t="n">
        <f aca="false">INDEX(Cascade!$BH:$BH,MATCH($E227,Cascade!$E:$E,0))</f>
        <v>0</v>
      </c>
      <c r="H227" s="10" t="str">
        <f aca="false">IF(OR($C227="01-09",$D227="Male"),"",INDEX(PMTCT!$AC:$AC,MATCH($E227,PMTCT!$E:$E,0)))</f>
        <v/>
      </c>
      <c r="I227" s="10" t="str">
        <f aca="false">IF(OR($C227="01-09",$D227="Male"),"",INDEX(PMTCT!$AS:$AS,MATCH($E227,PMTCT!$E:$E,0)))</f>
        <v/>
      </c>
      <c r="J227" s="10" t="str">
        <f aca="false">INDEX(TB!$P:$P,MATCH($E227,TB!$E:$E,0))</f>
        <v/>
      </c>
      <c r="K227" s="10" t="str">
        <f aca="false">IF(OR($C227="01-09",$C227="10-14",$D227="Female"),"",INDEX(VMMC!$AA:$AA,MATCH($E227,VMMC!$E:$E,0)))</f>
        <v/>
      </c>
      <c r="L227" s="10" t="n">
        <f aca="false">SUM($G227)-SUM($H227:$K227)</f>
        <v>0</v>
      </c>
      <c r="M227" s="88" t="str">
        <f aca="false">IF(OR($C227="01-09",$D227="Male",AND(SUM($G227)=0,SUM($H227)=0)),"",SUM($H227)/SUM($G227))</f>
        <v/>
      </c>
      <c r="N227" s="88" t="str">
        <f aca="false">IF(OR($C227="01-09",$D227="Male",AND(SUM($G227)=0,SUM($I227)=0)),"",SUM($I227)/SUM($G227))</f>
        <v/>
      </c>
      <c r="O227" s="88" t="str">
        <f aca="false">IF(AND(SUM($G227)=0,SUM($J227)=0),"",SUM($J227)/SUM($G227))</f>
        <v/>
      </c>
      <c r="P227" s="88" t="str">
        <f aca="false">IF(OR($C227="01-09",$C227="10-14",$D227="Female",AND(SUM($G227)=0,SUM($K227)=0)),"",SUM($K227)/SUM($G227))</f>
        <v/>
      </c>
      <c r="Q227" s="88"/>
      <c r="R227" s="88"/>
      <c r="S227" s="88"/>
      <c r="T227" s="88"/>
      <c r="U227" s="88"/>
      <c r="V227" s="88" t="str">
        <f aca="false">IF(SUM($G227)=0,"",SUM($M227:$U227))</f>
        <v/>
      </c>
      <c r="W227" s="88"/>
      <c r="X227" s="39" t="str">
        <f aca="false">IF(OR(SUM($G227)=0,SUM($Q227)=0),"",ROUND(SUM($G227)*SUM($Q227),0))</f>
        <v/>
      </c>
      <c r="Y227" s="39" t="str">
        <f aca="false">IF(SUM($X227)=0,"",IF(SUM($W227)=0,"ENTER YIELD",ROUND($X227/$W227,0)-$X227))</f>
        <v/>
      </c>
      <c r="Z227" s="88"/>
      <c r="AA227" s="39" t="str">
        <f aca="false">IF(OR(SUM($G227)=0,SUM($R227)=0),"",ROUND(SUM($G227)*SUM($R227),0))</f>
        <v/>
      </c>
      <c r="AB227" s="39" t="str">
        <f aca="false">IF(SUM($AA227)=0,"",IF(SUM($Z227)=0,"ENTER YIELD",ROUND($AA227/$Z227,0)-$AA227))</f>
        <v/>
      </c>
      <c r="AC227" s="88"/>
      <c r="AD227" s="39" t="str">
        <f aca="false">IF(OR(SUM($G227)=0,SUM($S227)=0),"",ROUND(SUM($G227)*SUM($S227),0))</f>
        <v/>
      </c>
      <c r="AE227" s="39" t="str">
        <f aca="false">IF(SUM($AD227)=0,"",IF(SUM($AC227)=0,"ENTER YIELD",ROUND($AD227/$AC227,0)-$AD227))</f>
        <v/>
      </c>
      <c r="AF227" s="88"/>
      <c r="AG227" s="39" t="str">
        <f aca="false">IF(OR(SUM($G227)=0,SUM($T227)=0),"",ROUND(SUM($G227)*SUM($T227),0))</f>
        <v/>
      </c>
      <c r="AH227" s="39" t="str">
        <f aca="false">IF(SUM($AG227)=0,"",IF(SUM($AF227)=0,"ENTER YIELD",ROUND($AG227/$AF227,0)-$AG227))</f>
        <v/>
      </c>
      <c r="AI227" s="88"/>
      <c r="AJ227" s="39" t="str">
        <f aca="false">IF(OR(SUM($G227)=0,SUM($U227)=0),"",ROUND(SUM($G227)*SUM($U227),0))</f>
        <v/>
      </c>
      <c r="AK227" s="39" t="str">
        <f aca="false">IF(SUM($AJ227)=0,"",IF(SUM($AI227)=0,"ENTER YIELD",ROUND($AJ227/$AI227,0)-$AJ227))</f>
        <v/>
      </c>
      <c r="AL227" s="10" t="str">
        <f aca="false">IF(SUM($G227)=0,"",$G227)</f>
        <v/>
      </c>
      <c r="AM227" s="10" t="str">
        <f aca="false">IFERROR(1/(1/SUM($H227:$K227,$X227,$AA227,$AD227,$AG227,$AJ227)),"")</f>
        <v/>
      </c>
      <c r="AN227" s="10" t="str">
        <f aca="false">IF(AND(SUM($AM227)=0,SUM($AL227)=0),"",$AM227-$AL227)</f>
        <v/>
      </c>
      <c r="AO227" s="10" t="str">
        <f aca="false">IF(OR($C227="01-09",$D227="Male"),"",INDEX(PMTCT!$AD:$AD,MATCH($E227,PMTCT!$E:$E,0)))</f>
        <v/>
      </c>
      <c r="AP227" s="10" t="str">
        <f aca="false">IF(OR($C227="01-09",$D227="Male"),"",INDEX(PMTCT!$AT:$AT,MATCH($E227,PMTCT!$E:$E,0)))</f>
        <v/>
      </c>
      <c r="AQ227" s="10" t="str">
        <f aca="false">INDEX(TB!$Q:$Q,MATCH($E227,TB!$E:$E,0))</f>
        <v/>
      </c>
      <c r="AR227" s="10" t="str">
        <f aca="false">IF(OR($C227="01-09",$C227="10-14",$D227="Female"),"",INDEX(VMMC!$AB:$AB,MATCH($E227,VMMC!$E:$E,0)))</f>
        <v/>
      </c>
      <c r="AS227" s="10" t="str">
        <f aca="false">IF(OR($C227="01-09",$C227="10-14"),"",INDEX(PrEP!$Q:$Q,MATCH($E227,PrEP!$E:$E,0)))</f>
        <v/>
      </c>
      <c r="AT227" s="10" t="str">
        <f aca="false">IFERROR(1/(1/SUM($Y227,$AB227,$AE227,$AH227,$AK227,$AO227:$AS227)),"")</f>
        <v/>
      </c>
      <c r="AU227" s="10" t="str">
        <f aca="false">IFERROR(1/(1/SUM($AT227,$AM227)),"")</f>
        <v/>
      </c>
      <c r="AV227" s="88" t="str">
        <f aca="false">IF(AND(SUM($AM227)=0,SUM($AU227)=0),"",$AM227/$AU227)</f>
        <v/>
      </c>
      <c r="AW227" s="10"/>
      <c r="AX227" s="88" t="str">
        <f aca="false">IF(OR($C227="01-09",SUM($AW227)=0),"",0%)</f>
        <v/>
      </c>
      <c r="AY227" s="39" t="str">
        <f aca="false">IF(OR($C227="01-09",SUM($AW227)=0),"",ROUND($AW227*(1+$AX227),0))</f>
        <v/>
      </c>
      <c r="AZ227" s="88" t="n">
        <f aca="false">IF(OR($C227="01-09",$C227="10-14"),"",100%)</f>
        <v>1</v>
      </c>
      <c r="BA227" s="39" t="str">
        <f aca="false">IF(OR(SUM($AM227)=0,$C227="01-09",$C227="10-14"),"",$AM227*$AZ227)</f>
        <v/>
      </c>
    </row>
    <row r="228" customFormat="false" ht="15" hidden="false" customHeight="false" outlineLevel="0" collapsed="false">
      <c r="A228" s="0" t="str">
        <f aca="false">INDEX(Prioritization!$D:$D,MATCH($B228,Prioritization!$A:$A,0))</f>
        <v>1 - Scale-up: Saturation</v>
      </c>
      <c r="B228" s="0" t="s">
        <v>211</v>
      </c>
      <c r="C228" s="0" t="s">
        <v>367</v>
      </c>
      <c r="D228" s="0" t="s">
        <v>48</v>
      </c>
      <c r="E228" s="0" t="str">
        <f aca="false">$B228&amp;"|"&amp;$C228&amp;"|"&amp;$D228</f>
        <v>Blantyre District [mxqa3CDFmIT]|35-49|Male</v>
      </c>
      <c r="F228" s="88" t="n">
        <f aca="false">IF(LEFT($B228,4)="_Mil","",INDEX(Cascade!$AA:$AA,MATCH($E228,Cascade!$E:$E,0)))</f>
        <v>1340</v>
      </c>
      <c r="G228" s="10" t="n">
        <f aca="false">INDEX(Cascade!$BH:$BH,MATCH($E228,Cascade!$E:$E,0))</f>
        <v>0</v>
      </c>
      <c r="H228" s="10" t="str">
        <f aca="false">IF(OR($C228="01-09",$D228="Male"),"",INDEX(PMTCT!$AC:$AC,MATCH($E228,PMTCT!$E:$E,0)))</f>
        <v/>
      </c>
      <c r="I228" s="10" t="str">
        <f aca="false">IF(OR($C228="01-09",$D228="Male"),"",INDEX(PMTCT!$AS:$AS,MATCH($E228,PMTCT!$E:$E,0)))</f>
        <v/>
      </c>
      <c r="J228" s="10" t="str">
        <f aca="false">INDEX(TB!$P:$P,MATCH($E228,TB!$E:$E,0))</f>
        <v/>
      </c>
      <c r="K228" s="10" t="str">
        <f aca="false">IF(OR($C228="01-09",$C228="10-14",$D228="Female"),"",INDEX(VMMC!$AA:$AA,MATCH($E228,VMMC!$E:$E,0)))</f>
        <v/>
      </c>
      <c r="L228" s="10" t="n">
        <f aca="false">SUM($G228)-SUM($H228:$K228)</f>
        <v>0</v>
      </c>
      <c r="M228" s="88" t="str">
        <f aca="false">IF(OR($C228="01-09",$D228="Male",AND(SUM($G228)=0,SUM($H228)=0)),"",SUM($H228)/SUM($G228))</f>
        <v/>
      </c>
      <c r="N228" s="88" t="str">
        <f aca="false">IF(OR($C228="01-09",$D228="Male",AND(SUM($G228)=0,SUM($I228)=0)),"",SUM($I228)/SUM($G228))</f>
        <v/>
      </c>
      <c r="O228" s="88" t="str">
        <f aca="false">IF(AND(SUM($G228)=0,SUM($J228)=0),"",SUM($J228)/SUM($G228))</f>
        <v/>
      </c>
      <c r="P228" s="88" t="str">
        <f aca="false">IF(OR($C228="01-09",$C228="10-14",$D228="Female",AND(SUM($G228)=0,SUM($K228)=0)),"",SUM($K228)/SUM($G228))</f>
        <v/>
      </c>
      <c r="Q228" s="88"/>
      <c r="R228" s="88"/>
      <c r="S228" s="88"/>
      <c r="T228" s="88"/>
      <c r="U228" s="88"/>
      <c r="V228" s="88" t="str">
        <f aca="false">IF(SUM($G228)=0,"",SUM($M228:$U228))</f>
        <v/>
      </c>
      <c r="W228" s="88"/>
      <c r="X228" s="39" t="str">
        <f aca="false">IF(OR(SUM($G228)=0,SUM($Q228)=0),"",ROUND(SUM($G228)*SUM($Q228),0))</f>
        <v/>
      </c>
      <c r="Y228" s="39" t="str">
        <f aca="false">IF(SUM($X228)=0,"",IF(SUM($W228)=0,"ENTER YIELD",ROUND($X228/$W228,0)-$X228))</f>
        <v/>
      </c>
      <c r="Z228" s="88"/>
      <c r="AA228" s="39" t="str">
        <f aca="false">IF(OR(SUM($G228)=0,SUM($R228)=0),"",ROUND(SUM($G228)*SUM($R228),0))</f>
        <v/>
      </c>
      <c r="AB228" s="39" t="str">
        <f aca="false">IF(SUM($AA228)=0,"",IF(SUM($Z228)=0,"ENTER YIELD",ROUND($AA228/$Z228,0)-$AA228))</f>
        <v/>
      </c>
      <c r="AC228" s="88"/>
      <c r="AD228" s="39" t="str">
        <f aca="false">IF(OR(SUM($G228)=0,SUM($S228)=0),"",ROUND(SUM($G228)*SUM($S228),0))</f>
        <v/>
      </c>
      <c r="AE228" s="39" t="str">
        <f aca="false">IF(SUM($AD228)=0,"",IF(SUM($AC228)=0,"ENTER YIELD",ROUND($AD228/$AC228,0)-$AD228))</f>
        <v/>
      </c>
      <c r="AF228" s="88"/>
      <c r="AG228" s="39" t="str">
        <f aca="false">IF(OR(SUM($G228)=0,SUM($T228)=0),"",ROUND(SUM($G228)*SUM($T228),0))</f>
        <v/>
      </c>
      <c r="AH228" s="39" t="str">
        <f aca="false">IF(SUM($AG228)=0,"",IF(SUM($AF228)=0,"ENTER YIELD",ROUND($AG228/$AF228,0)-$AG228))</f>
        <v/>
      </c>
      <c r="AI228" s="88"/>
      <c r="AJ228" s="39" t="str">
        <f aca="false">IF(OR(SUM($G228)=0,SUM($U228)=0),"",ROUND(SUM($G228)*SUM($U228),0))</f>
        <v/>
      </c>
      <c r="AK228" s="39" t="str">
        <f aca="false">IF(SUM($AJ228)=0,"",IF(SUM($AI228)=0,"ENTER YIELD",ROUND($AJ228/$AI228,0)-$AJ228))</f>
        <v/>
      </c>
      <c r="AL228" s="10" t="str">
        <f aca="false">IF(SUM($G228)=0,"",$G228)</f>
        <v/>
      </c>
      <c r="AM228" s="10" t="str">
        <f aca="false">IFERROR(1/(1/SUM($H228:$K228,$X228,$AA228,$AD228,$AG228,$AJ228)),"")</f>
        <v/>
      </c>
      <c r="AN228" s="10" t="str">
        <f aca="false">IF(AND(SUM($AM228)=0,SUM($AL228)=0),"",$AM228-$AL228)</f>
        <v/>
      </c>
      <c r="AO228" s="10" t="str">
        <f aca="false">IF(OR($C228="01-09",$D228="Male"),"",INDEX(PMTCT!$AD:$AD,MATCH($E228,PMTCT!$E:$E,0)))</f>
        <v/>
      </c>
      <c r="AP228" s="10" t="str">
        <f aca="false">IF(OR($C228="01-09",$D228="Male"),"",INDEX(PMTCT!$AT:$AT,MATCH($E228,PMTCT!$E:$E,0)))</f>
        <v/>
      </c>
      <c r="AQ228" s="10" t="str">
        <f aca="false">INDEX(TB!$Q:$Q,MATCH($E228,TB!$E:$E,0))</f>
        <v/>
      </c>
      <c r="AR228" s="10" t="str">
        <f aca="false">IF(OR($C228="01-09",$C228="10-14",$D228="Female"),"",INDEX(VMMC!$AB:$AB,MATCH($E228,VMMC!$E:$E,0)))</f>
        <v/>
      </c>
      <c r="AS228" s="10" t="str">
        <f aca="false">IF(OR($C228="01-09",$C228="10-14"),"",INDEX(PrEP!$Q:$Q,MATCH($E228,PrEP!$E:$E,0)))</f>
        <v/>
      </c>
      <c r="AT228" s="10" t="str">
        <f aca="false">IFERROR(1/(1/SUM($Y228,$AB228,$AE228,$AH228,$AK228,$AO228:$AS228)),"")</f>
        <v/>
      </c>
      <c r="AU228" s="10" t="str">
        <f aca="false">IFERROR(1/(1/SUM($AT228,$AM228)),"")</f>
        <v/>
      </c>
      <c r="AV228" s="88" t="str">
        <f aca="false">IF(AND(SUM($AM228)=0,SUM($AU228)=0),"",$AM228/$AU228)</f>
        <v/>
      </c>
      <c r="AW228" s="10"/>
      <c r="AX228" s="88" t="str">
        <f aca="false">IF(OR($C228="01-09",SUM($AW228)=0),"",0%)</f>
        <v/>
      </c>
      <c r="AY228" s="39" t="str">
        <f aca="false">IF(OR($C228="01-09",SUM($AW228)=0),"",ROUND($AW228*(1+$AX228),0))</f>
        <v/>
      </c>
      <c r="AZ228" s="88" t="n">
        <f aca="false">IF(OR($C228="01-09",$C228="10-14"),"",100%)</f>
        <v>1</v>
      </c>
      <c r="BA228" s="39" t="str">
        <f aca="false">IF(OR(SUM($AM228)=0,$C228="01-09",$C228="10-14"),"",$AM228*$AZ228)</f>
        <v/>
      </c>
    </row>
    <row r="229" customFormat="false" ht="15" hidden="false" customHeight="false" outlineLevel="0" collapsed="false">
      <c r="A229" s="0" t="str">
        <f aca="false">INDEX(Prioritization!$D:$D,MATCH($B229,Prioritization!$A:$A,0))</f>
        <v>1 - Scale-up: Saturation</v>
      </c>
      <c r="B229" s="0" t="s">
        <v>211</v>
      </c>
      <c r="C229" s="0" t="s">
        <v>368</v>
      </c>
      <c r="D229" s="0" t="s">
        <v>30</v>
      </c>
      <c r="E229" s="0" t="str">
        <f aca="false">$B229&amp;"|"&amp;$C229&amp;"|"&amp;$D229</f>
        <v>Blantyre District [mxqa3CDFmIT]|50+|Female</v>
      </c>
      <c r="F229" s="88" t="n">
        <f aca="false">IF(LEFT($B229,4)="_Mil","",INDEX(Cascade!$AA:$AA,MATCH($E229,Cascade!$E:$E,0)))</f>
        <v>673</v>
      </c>
      <c r="G229" s="10" t="n">
        <f aca="false">INDEX(Cascade!$BH:$BH,MATCH($E229,Cascade!$E:$E,0))</f>
        <v>0</v>
      </c>
      <c r="H229" s="10" t="str">
        <f aca="false">IF(OR($C229="01-09",$D229="Male"),"",INDEX(PMTCT!$AC:$AC,MATCH($E229,PMTCT!$E:$E,0)))</f>
        <v/>
      </c>
      <c r="I229" s="10" t="str">
        <f aca="false">IF(OR($C229="01-09",$D229="Male"),"",INDEX(PMTCT!$AS:$AS,MATCH($E229,PMTCT!$E:$E,0)))</f>
        <v/>
      </c>
      <c r="J229" s="10" t="str">
        <f aca="false">INDEX(TB!$P:$P,MATCH($E229,TB!$E:$E,0))</f>
        <v/>
      </c>
      <c r="K229" s="10" t="str">
        <f aca="false">IF(OR($C229="01-09",$C229="10-14",$D229="Female"),"",INDEX(VMMC!$AA:$AA,MATCH($E229,VMMC!$E:$E,0)))</f>
        <v/>
      </c>
      <c r="L229" s="10" t="n">
        <f aca="false">SUM($G229)-SUM($H229:$K229)</f>
        <v>0</v>
      </c>
      <c r="M229" s="88" t="str">
        <f aca="false">IF(OR($C229="01-09",$D229="Male",AND(SUM($G229)=0,SUM($H229)=0)),"",SUM($H229)/SUM($G229))</f>
        <v/>
      </c>
      <c r="N229" s="88" t="str">
        <f aca="false">IF(OR($C229="01-09",$D229="Male",AND(SUM($G229)=0,SUM($I229)=0)),"",SUM($I229)/SUM($G229))</f>
        <v/>
      </c>
      <c r="O229" s="88" t="str">
        <f aca="false">IF(AND(SUM($G229)=0,SUM($J229)=0),"",SUM($J229)/SUM($G229))</f>
        <v/>
      </c>
      <c r="P229" s="88" t="str">
        <f aca="false">IF(OR($C229="01-09",$C229="10-14",$D229="Female",AND(SUM($G229)=0,SUM($K229)=0)),"",SUM($K229)/SUM($G229))</f>
        <v/>
      </c>
      <c r="Q229" s="88"/>
      <c r="R229" s="88"/>
      <c r="S229" s="88"/>
      <c r="T229" s="88"/>
      <c r="U229" s="88" t="n">
        <v>0.870706336572766</v>
      </c>
      <c r="V229" s="88" t="str">
        <f aca="false">IF(SUM($G229)=0,"",SUM($M229:$U229))</f>
        <v/>
      </c>
      <c r="W229" s="88"/>
      <c r="X229" s="39" t="str">
        <f aca="false">IF(OR(SUM($G229)=0,SUM($Q229)=0),"",ROUND(SUM($G229)*SUM($Q229),0))</f>
        <v/>
      </c>
      <c r="Y229" s="39" t="str">
        <f aca="false">IF(SUM($X229)=0,"",IF(SUM($W229)=0,"ENTER YIELD",ROUND($X229/$W229,0)-$X229))</f>
        <v/>
      </c>
      <c r="Z229" s="88"/>
      <c r="AA229" s="39" t="str">
        <f aca="false">IF(OR(SUM($G229)=0,SUM($R229)=0),"",ROUND(SUM($G229)*SUM($R229),0))</f>
        <v/>
      </c>
      <c r="AB229" s="39" t="str">
        <f aca="false">IF(SUM($AA229)=0,"",IF(SUM($Z229)=0,"ENTER YIELD",ROUND($AA229/$Z229,0)-$AA229))</f>
        <v/>
      </c>
      <c r="AC229" s="88"/>
      <c r="AD229" s="39" t="str">
        <f aca="false">IF(OR(SUM($G229)=0,SUM($S229)=0),"",ROUND(SUM($G229)*SUM($S229),0))</f>
        <v/>
      </c>
      <c r="AE229" s="39" t="str">
        <f aca="false">IF(SUM($AD229)=0,"",IF(SUM($AC229)=0,"ENTER YIELD",ROUND($AD229/$AC229,0)-$AD229))</f>
        <v/>
      </c>
      <c r="AF229" s="88"/>
      <c r="AG229" s="39" t="str">
        <f aca="false">IF(OR(SUM($G229)=0,SUM($T229)=0),"",ROUND(SUM($G229)*SUM($T229),0))</f>
        <v/>
      </c>
      <c r="AH229" s="39" t="str">
        <f aca="false">IF(SUM($AG229)=0,"",IF(SUM($AF229)=0,"ENTER YIELD",ROUND($AG229/$AF229,0)-$AG229))</f>
        <v/>
      </c>
      <c r="AI229" s="88" t="n">
        <v>0.938131265342236</v>
      </c>
      <c r="AJ229" s="39" t="str">
        <f aca="false">IF(OR(SUM($G229)=0,SUM($U229)=0),"",ROUND(SUM($G229)*SUM($U229),0))</f>
        <v/>
      </c>
      <c r="AK229" s="39" t="str">
        <f aca="false">IF(SUM($AJ229)=0,"",IF(SUM($AI229)=0,"ENTER YIELD",ROUND($AJ229/$AI229,0)-$AJ229))</f>
        <v/>
      </c>
      <c r="AL229" s="10" t="str">
        <f aca="false">IF(SUM($G229)=0,"",$G229)</f>
        <v/>
      </c>
      <c r="AM229" s="10" t="str">
        <f aca="false">IFERROR(1/(1/SUM($H229:$K229,$X229,$AA229,$AD229,$AG229,$AJ229)),"")</f>
        <v/>
      </c>
      <c r="AN229" s="10" t="str">
        <f aca="false">IF(AND(SUM($AM229)=0,SUM($AL229)=0),"",$AM229-$AL229)</f>
        <v/>
      </c>
      <c r="AO229" s="10" t="str">
        <f aca="false">IF(OR($C229="01-09",$D229="Male"),"",INDEX(PMTCT!$AD:$AD,MATCH($E229,PMTCT!$E:$E,0)))</f>
        <v/>
      </c>
      <c r="AP229" s="10" t="str">
        <f aca="false">IF(OR($C229="01-09",$D229="Male"),"",INDEX(PMTCT!$AT:$AT,MATCH($E229,PMTCT!$E:$E,0)))</f>
        <v/>
      </c>
      <c r="AQ229" s="10" t="str">
        <f aca="false">INDEX(TB!$Q:$Q,MATCH($E229,TB!$E:$E,0))</f>
        <v/>
      </c>
      <c r="AR229" s="10" t="str">
        <f aca="false">IF(OR($C229="01-09",$C229="10-14",$D229="Female"),"",INDEX(VMMC!$AB:$AB,MATCH($E229,VMMC!$E:$E,0)))</f>
        <v/>
      </c>
      <c r="AS229" s="10" t="str">
        <f aca="false">IF(OR($C229="01-09",$C229="10-14"),"",INDEX(PrEP!$Q:$Q,MATCH($E229,PrEP!$E:$E,0)))</f>
        <v/>
      </c>
      <c r="AT229" s="10" t="str">
        <f aca="false">IFERROR(1/(1/SUM($Y229,$AB229,$AE229,$AH229,$AK229,$AO229:$AS229)),"")</f>
        <v/>
      </c>
      <c r="AU229" s="10" t="str">
        <f aca="false">IFERROR(1/(1/SUM($AT229,$AM229)),"")</f>
        <v/>
      </c>
      <c r="AV229" s="88" t="str">
        <f aca="false">IF(AND(SUM($AM229)=0,SUM($AU229)=0),"",$AM229/$AU229)</f>
        <v/>
      </c>
      <c r="AW229" s="10" t="n">
        <v>945</v>
      </c>
      <c r="AX229" s="88" t="n">
        <f aca="false">IF(OR($C229="01-09",SUM($AW229)=0),"",0%)</f>
        <v>0</v>
      </c>
      <c r="AY229" s="39" t="n">
        <f aca="false">IF(OR($C229="01-09",SUM($AW229)=0),"",ROUND($AW229*(1+$AX229),0))</f>
        <v>945</v>
      </c>
      <c r="AZ229" s="88" t="n">
        <f aca="false">IF(OR($C229="01-09",$C229="10-14"),"",100%)</f>
        <v>1</v>
      </c>
      <c r="BA229" s="39" t="str">
        <f aca="false">IF(OR(SUM($AM229)=0,$C229="01-09",$C229="10-14"),"",$AM229*$AZ229)</f>
        <v/>
      </c>
    </row>
    <row r="230" customFormat="false" ht="15" hidden="false" customHeight="false" outlineLevel="0" collapsed="false">
      <c r="A230" s="0" t="str">
        <f aca="false">INDEX(Prioritization!$D:$D,MATCH($B230,Prioritization!$A:$A,0))</f>
        <v>1 - Scale-up: Saturation</v>
      </c>
      <c r="B230" s="0" t="s">
        <v>211</v>
      </c>
      <c r="C230" s="0" t="s">
        <v>368</v>
      </c>
      <c r="D230" s="0" t="s">
        <v>48</v>
      </c>
      <c r="E230" s="0" t="str">
        <f aca="false">$B230&amp;"|"&amp;$C230&amp;"|"&amp;$D230</f>
        <v>Blantyre District [mxqa3CDFmIT]|50+|Male</v>
      </c>
      <c r="F230" s="88" t="n">
        <f aca="false">IF(LEFT($B230,4)="_Mil","",INDEX(Cascade!$AA:$AA,MATCH($E230,Cascade!$E:$E,0)))</f>
        <v>747</v>
      </c>
      <c r="G230" s="10" t="n">
        <f aca="false">INDEX(Cascade!$BH:$BH,MATCH($E230,Cascade!$E:$E,0))</f>
        <v>0</v>
      </c>
      <c r="H230" s="10" t="str">
        <f aca="false">IF(OR($C230="01-09",$D230="Male"),"",INDEX(PMTCT!$AC:$AC,MATCH($E230,PMTCT!$E:$E,0)))</f>
        <v/>
      </c>
      <c r="I230" s="10" t="str">
        <f aca="false">IF(OR($C230="01-09",$D230="Male"),"",INDEX(PMTCT!$AS:$AS,MATCH($E230,PMTCT!$E:$E,0)))</f>
        <v/>
      </c>
      <c r="J230" s="10" t="str">
        <f aca="false">INDEX(TB!$P:$P,MATCH($E230,TB!$E:$E,0))</f>
        <v/>
      </c>
      <c r="K230" s="10" t="str">
        <f aca="false">IF(OR($C230="01-09",$C230="10-14",$D230="Female"),"",INDEX(VMMC!$AA:$AA,MATCH($E230,VMMC!$E:$E,0)))</f>
        <v/>
      </c>
      <c r="L230" s="10" t="n">
        <f aca="false">SUM($G230)-SUM($H230:$K230)</f>
        <v>0</v>
      </c>
      <c r="M230" s="88" t="str">
        <f aca="false">IF(OR($C230="01-09",$D230="Male",AND(SUM($G230)=0,SUM($H230)=0)),"",SUM($H230)/SUM($G230))</f>
        <v/>
      </c>
      <c r="N230" s="88" t="str">
        <f aca="false">IF(OR($C230="01-09",$D230="Male",AND(SUM($G230)=0,SUM($I230)=0)),"",SUM($I230)/SUM($G230))</f>
        <v/>
      </c>
      <c r="O230" s="88" t="str">
        <f aca="false">IF(AND(SUM($G230)=0,SUM($J230)=0),"",SUM($J230)/SUM($G230))</f>
        <v/>
      </c>
      <c r="P230" s="88" t="str">
        <f aca="false">IF(OR($C230="01-09",$C230="10-14",$D230="Female",AND(SUM($G230)=0,SUM($K230)=0)),"",SUM($K230)/SUM($G230))</f>
        <v/>
      </c>
      <c r="Q230" s="88"/>
      <c r="R230" s="88"/>
      <c r="S230" s="88"/>
      <c r="T230" s="88"/>
      <c r="U230" s="88" t="n">
        <v>0.715841975761577</v>
      </c>
      <c r="V230" s="88" t="str">
        <f aca="false">IF(SUM($G230)=0,"",SUM($M230:$U230))</f>
        <v/>
      </c>
      <c r="W230" s="88"/>
      <c r="X230" s="39" t="str">
        <f aca="false">IF(OR(SUM($G230)=0,SUM($Q230)=0),"",ROUND(SUM($G230)*SUM($Q230),0))</f>
        <v/>
      </c>
      <c r="Y230" s="39" t="str">
        <f aca="false">IF(SUM($X230)=0,"",IF(SUM($W230)=0,"ENTER YIELD",ROUND($X230/$W230,0)-$X230))</f>
        <v/>
      </c>
      <c r="Z230" s="88"/>
      <c r="AA230" s="39" t="str">
        <f aca="false">IF(OR(SUM($G230)=0,SUM($R230)=0),"",ROUND(SUM($G230)*SUM($R230),0))</f>
        <v/>
      </c>
      <c r="AB230" s="39" t="str">
        <f aca="false">IF(SUM($AA230)=0,"",IF(SUM($Z230)=0,"ENTER YIELD",ROUND($AA230/$Z230,0)-$AA230))</f>
        <v/>
      </c>
      <c r="AC230" s="88"/>
      <c r="AD230" s="39" t="str">
        <f aca="false">IF(OR(SUM($G230)=0,SUM($S230)=0),"",ROUND(SUM($G230)*SUM($S230),0))</f>
        <v/>
      </c>
      <c r="AE230" s="39" t="str">
        <f aca="false">IF(SUM($AD230)=0,"",IF(SUM($AC230)=0,"ENTER YIELD",ROUND($AD230/$AC230,0)-$AD230))</f>
        <v/>
      </c>
      <c r="AF230" s="88"/>
      <c r="AG230" s="39" t="str">
        <f aca="false">IF(OR(SUM($G230)=0,SUM($T230)=0),"",ROUND(SUM($G230)*SUM($T230),0))</f>
        <v/>
      </c>
      <c r="AH230" s="39" t="str">
        <f aca="false">IF(SUM($AG230)=0,"",IF(SUM($AF230)=0,"ENTER YIELD",ROUND($AG230/$AF230,0)-$AG230))</f>
        <v/>
      </c>
      <c r="AI230" s="88" t="n">
        <v>0.418207846116275</v>
      </c>
      <c r="AJ230" s="39" t="str">
        <f aca="false">IF(OR(SUM($G230)=0,SUM($U230)=0),"",ROUND(SUM($G230)*SUM($U230),0))</f>
        <v/>
      </c>
      <c r="AK230" s="39" t="str">
        <f aca="false">IF(SUM($AJ230)=0,"",IF(SUM($AI230)=0,"ENTER YIELD",ROUND($AJ230/$AI230,0)-$AJ230))</f>
        <v/>
      </c>
      <c r="AL230" s="10" t="str">
        <f aca="false">IF(SUM($G230)=0,"",$G230)</f>
        <v/>
      </c>
      <c r="AM230" s="10" t="str">
        <f aca="false">IFERROR(1/(1/SUM($H230:$K230,$X230,$AA230,$AD230,$AG230,$AJ230)),"")</f>
        <v/>
      </c>
      <c r="AN230" s="10" t="str">
        <f aca="false">IF(AND(SUM($AM230)=0,SUM($AL230)=0),"",$AM230-$AL230)</f>
        <v/>
      </c>
      <c r="AO230" s="10" t="str">
        <f aca="false">IF(OR($C230="01-09",$D230="Male"),"",INDEX(PMTCT!$AD:$AD,MATCH($E230,PMTCT!$E:$E,0)))</f>
        <v/>
      </c>
      <c r="AP230" s="10" t="str">
        <f aca="false">IF(OR($C230="01-09",$D230="Male"),"",INDEX(PMTCT!$AT:$AT,MATCH($E230,PMTCT!$E:$E,0)))</f>
        <v/>
      </c>
      <c r="AQ230" s="10" t="str">
        <f aca="false">INDEX(TB!$Q:$Q,MATCH($E230,TB!$E:$E,0))</f>
        <v/>
      </c>
      <c r="AR230" s="10" t="str">
        <f aca="false">IF(OR($C230="01-09",$C230="10-14",$D230="Female"),"",INDEX(VMMC!$AB:$AB,MATCH($E230,VMMC!$E:$E,0)))</f>
        <v/>
      </c>
      <c r="AS230" s="10" t="str">
        <f aca="false">IF(OR($C230="01-09",$C230="10-14"),"",INDEX(PrEP!$Q:$Q,MATCH($E230,PrEP!$E:$E,0)))</f>
        <v/>
      </c>
      <c r="AT230" s="10" t="str">
        <f aca="false">IFERROR(1/(1/SUM($Y230,$AB230,$AE230,$AH230,$AK230,$AO230:$AS230)),"")</f>
        <v/>
      </c>
      <c r="AU230" s="10" t="str">
        <f aca="false">IFERROR(1/(1/SUM($AT230,$AM230)),"")</f>
        <v/>
      </c>
      <c r="AV230" s="88" t="str">
        <f aca="false">IF(AND(SUM($AM230)=0,SUM($AU230)=0),"",$AM230/$AU230)</f>
        <v/>
      </c>
      <c r="AW230" s="10" t="n">
        <v>513</v>
      </c>
      <c r="AX230" s="88" t="n">
        <f aca="false">IF(OR($C230="01-09",SUM($AW230)=0),"",0%)</f>
        <v>0</v>
      </c>
      <c r="AY230" s="39" t="n">
        <f aca="false">IF(OR($C230="01-09",SUM($AW230)=0),"",ROUND($AW230*(1+$AX230),0))</f>
        <v>513</v>
      </c>
      <c r="AZ230" s="88" t="n">
        <f aca="false">IF(OR($C230="01-09",$C230="10-14"),"",100%)</f>
        <v>1</v>
      </c>
      <c r="BA230" s="39" t="str">
        <f aca="false">IF(OR(SUM($AM230)=0,$C230="01-09",$C230="10-14"),"",$AM230*$AZ230)</f>
        <v/>
      </c>
    </row>
    <row r="231" customFormat="false" ht="15" hidden="false" customHeight="false" outlineLevel="0" collapsed="false">
      <c r="A231" s="0" t="str">
        <f aca="false">INDEX(Prioritization!$D:$D,MATCH($B231,Prioritization!$A:$A,0))</f>
        <v>1 - Scale-up: Saturation</v>
      </c>
      <c r="B231" s="0" t="s">
        <v>212</v>
      </c>
      <c r="C231" s="0" t="s">
        <v>363</v>
      </c>
      <c r="D231" s="0" t="s">
        <v>30</v>
      </c>
      <c r="E231" s="0" t="str">
        <f aca="false">$B231&amp;"|"&amp;$C231&amp;"|"&amp;$D231</f>
        <v>Chikwawa District [U8c0so51kT6]|01-09|Female</v>
      </c>
      <c r="F231" s="88" t="n">
        <f aca="false">IF(LEFT($B231,4)="_Mil","",INDEX(Cascade!$AA:$AA,MATCH($E231,Cascade!$E:$E,0)))</f>
        <v>1437</v>
      </c>
      <c r="G231" s="10" t="n">
        <f aca="false">INDEX(Cascade!$BH:$BH,MATCH($E231,Cascade!$E:$E,0))</f>
        <v>0</v>
      </c>
      <c r="H231" s="10" t="str">
        <f aca="false">IF(OR($C231="01-09",$D231="Male"),"",INDEX(PMTCT!$AC:$AC,MATCH($E231,PMTCT!$E:$E,0)))</f>
        <v/>
      </c>
      <c r="I231" s="10" t="str">
        <f aca="false">IF(OR($C231="01-09",$D231="Male"),"",INDEX(PMTCT!$AS:$AS,MATCH($E231,PMTCT!$E:$E,0)))</f>
        <v/>
      </c>
      <c r="J231" s="10" t="str">
        <f aca="false">INDEX(TB!$P:$P,MATCH($E231,TB!$E:$E,0))</f>
        <v/>
      </c>
      <c r="K231" s="10" t="str">
        <f aca="false">IF(OR($C231="01-09",$C231="10-14",$D231="Female"),"",INDEX(VMMC!$AA:$AA,MATCH($E231,VMMC!$E:$E,0)))</f>
        <v/>
      </c>
      <c r="L231" s="10" t="n">
        <f aca="false">SUM($G231)-SUM($H231:$K231)</f>
        <v>0</v>
      </c>
      <c r="M231" s="88" t="str">
        <f aca="false">IF(OR($C231="01-09",$D231="Male",AND(SUM($G231)=0,SUM($H231)=0)),"",SUM($H231)/SUM($G231))</f>
        <v/>
      </c>
      <c r="N231" s="88" t="str">
        <f aca="false">IF(OR($C231="01-09",$D231="Male",AND(SUM($G231)=0,SUM($I231)=0)),"",SUM($I231)/SUM($G231))</f>
        <v/>
      </c>
      <c r="O231" s="88" t="str">
        <f aca="false">IF(AND(SUM($G231)=0,SUM($J231)=0),"",SUM($J231)/SUM($G231))</f>
        <v/>
      </c>
      <c r="P231" s="88" t="str">
        <f aca="false">IF(OR($C231="01-09",$C231="10-14",$D231="Female",AND(SUM($G231)=0,SUM($K231)=0)),"",SUM($K231)/SUM($G231))</f>
        <v/>
      </c>
      <c r="Q231" s="88"/>
      <c r="R231" s="88"/>
      <c r="S231" s="88"/>
      <c r="T231" s="88"/>
      <c r="U231" s="88"/>
      <c r="V231" s="88" t="str">
        <f aca="false">IF(SUM($G231)=0,"",SUM($M231:$U231))</f>
        <v/>
      </c>
      <c r="W231" s="88"/>
      <c r="X231" s="39" t="str">
        <f aca="false">IF(OR(SUM($G231)=0,SUM($Q231)=0),"",ROUND(SUM($G231)*SUM($Q231),0))</f>
        <v/>
      </c>
      <c r="Y231" s="39" t="str">
        <f aca="false">IF(SUM($X231)=0,"",IF(SUM($W231)=0,"ENTER YIELD",ROUND($X231/$W231,0)-$X231))</f>
        <v/>
      </c>
      <c r="Z231" s="88"/>
      <c r="AA231" s="39" t="str">
        <f aca="false">IF(OR(SUM($G231)=0,SUM($R231)=0),"",ROUND(SUM($G231)*SUM($R231),0))</f>
        <v/>
      </c>
      <c r="AB231" s="39" t="str">
        <f aca="false">IF(SUM($AA231)=0,"",IF(SUM($Z231)=0,"ENTER YIELD",ROUND($AA231/$Z231,0)-$AA231))</f>
        <v/>
      </c>
      <c r="AC231" s="88"/>
      <c r="AD231" s="39" t="str">
        <f aca="false">IF(OR(SUM($G231)=0,SUM($S231)=0),"",ROUND(SUM($G231)*SUM($S231),0))</f>
        <v/>
      </c>
      <c r="AE231" s="39" t="str">
        <f aca="false">IF(SUM($AD231)=0,"",IF(SUM($AC231)=0,"ENTER YIELD",ROUND($AD231/$AC231,0)-$AD231))</f>
        <v/>
      </c>
      <c r="AF231" s="88"/>
      <c r="AG231" s="39" t="str">
        <f aca="false">IF(OR(SUM($G231)=0,SUM($T231)=0),"",ROUND(SUM($G231)*SUM($T231),0))</f>
        <v/>
      </c>
      <c r="AH231" s="39" t="str">
        <f aca="false">IF(SUM($AG231)=0,"",IF(SUM($AF231)=0,"ENTER YIELD",ROUND($AG231/$AF231,0)-$AG231))</f>
        <v/>
      </c>
      <c r="AI231" s="88"/>
      <c r="AJ231" s="39" t="str">
        <f aca="false">IF(OR(SUM($G231)=0,SUM($U231)=0),"",ROUND(SUM($G231)*SUM($U231),0))</f>
        <v/>
      </c>
      <c r="AK231" s="39" t="str">
        <f aca="false">IF(SUM($AJ231)=0,"",IF(SUM($AI231)=0,"ENTER YIELD",ROUND($AJ231/$AI231,0)-$AJ231))</f>
        <v/>
      </c>
      <c r="AL231" s="10" t="str">
        <f aca="false">IF(SUM($G231)=0,"",$G231)</f>
        <v/>
      </c>
      <c r="AM231" s="10" t="str">
        <f aca="false">IFERROR(1/(1/SUM($H231:$K231,$X231,$AA231,$AD231,$AG231,$AJ231)),"")</f>
        <v/>
      </c>
      <c r="AN231" s="10" t="str">
        <f aca="false">IF(AND(SUM($AM231)=0,SUM($AL231)=0),"",$AM231-$AL231)</f>
        <v/>
      </c>
      <c r="AO231" s="10" t="str">
        <f aca="false">IF(OR($C231="01-09",$D231="Male"),"",INDEX(PMTCT!$AD:$AD,MATCH($E231,PMTCT!$E:$E,0)))</f>
        <v/>
      </c>
      <c r="AP231" s="10" t="str">
        <f aca="false">IF(OR($C231="01-09",$D231="Male"),"",INDEX(PMTCT!$AT:$AT,MATCH($E231,PMTCT!$E:$E,0)))</f>
        <v/>
      </c>
      <c r="AQ231" s="10" t="str">
        <f aca="false">INDEX(TB!$Q:$Q,MATCH($E231,TB!$E:$E,0))</f>
        <v/>
      </c>
      <c r="AR231" s="10" t="str">
        <f aca="false">IF(OR($C231="01-09",$C231="10-14",$D231="Female"),"",INDEX(VMMC!$AB:$AB,MATCH($E231,VMMC!$E:$E,0)))</f>
        <v/>
      </c>
      <c r="AS231" s="10" t="str">
        <f aca="false">IF(OR($C231="01-09",$C231="10-14"),"",INDEX(PrEP!$Q:$Q,MATCH($E231,PrEP!$E:$E,0)))</f>
        <v/>
      </c>
      <c r="AT231" s="10" t="str">
        <f aca="false">IFERROR(1/(1/SUM($Y231,$AB231,$AE231,$AH231,$AK231,$AO231:$AS231)),"")</f>
        <v/>
      </c>
      <c r="AU231" s="10" t="str">
        <f aca="false">IFERROR(1/(1/SUM($AT231,$AM231)),"")</f>
        <v/>
      </c>
      <c r="AV231" s="88" t="str">
        <f aca="false">IF(AND(SUM($AM231)=0,SUM($AU231)=0),"",$AM231/$AU231)</f>
        <v/>
      </c>
      <c r="AW231" s="10"/>
      <c r="AX231" s="88" t="str">
        <f aca="false">IF(OR($C231="01-09",SUM($AW231)=0),"",0%)</f>
        <v/>
      </c>
      <c r="AY231" s="39" t="str">
        <f aca="false">IF(OR($C231="01-09",SUM($AW231)=0),"",ROUND($AW231*(1+$AX231),0))</f>
        <v/>
      </c>
      <c r="AZ231" s="88" t="str">
        <f aca="false">IF(OR($C231="01-09",$C231="10-14"),"",100%)</f>
        <v/>
      </c>
      <c r="BA231" s="39" t="str">
        <f aca="false">IF(OR(SUM($AM231)=0,$C231="01-09",$C231="10-14"),"",$AM231*$AZ231)</f>
        <v/>
      </c>
    </row>
    <row r="232" customFormat="false" ht="15" hidden="false" customHeight="false" outlineLevel="0" collapsed="false">
      <c r="A232" s="0" t="str">
        <f aca="false">INDEX(Prioritization!$D:$D,MATCH($B232,Prioritization!$A:$A,0))</f>
        <v>1 - Scale-up: Saturation</v>
      </c>
      <c r="B232" s="0" t="s">
        <v>212</v>
      </c>
      <c r="C232" s="0" t="s">
        <v>363</v>
      </c>
      <c r="D232" s="0" t="s">
        <v>48</v>
      </c>
      <c r="E232" s="0" t="str">
        <f aca="false">$B232&amp;"|"&amp;$C232&amp;"|"&amp;$D232</f>
        <v>Chikwawa District [U8c0so51kT6]|01-09|Male</v>
      </c>
      <c r="F232" s="88" t="n">
        <f aca="false">IF(LEFT($B232,4)="_Mil","",INDEX(Cascade!$AA:$AA,MATCH($E232,Cascade!$E:$E,0)))</f>
        <v>522</v>
      </c>
      <c r="G232" s="10" t="n">
        <f aca="false">INDEX(Cascade!$BH:$BH,MATCH($E232,Cascade!$E:$E,0))</f>
        <v>0</v>
      </c>
      <c r="H232" s="10" t="str">
        <f aca="false">IF(OR($C232="01-09",$D232="Male"),"",INDEX(PMTCT!$AC:$AC,MATCH($E232,PMTCT!$E:$E,0)))</f>
        <v/>
      </c>
      <c r="I232" s="10" t="str">
        <f aca="false">IF(OR($C232="01-09",$D232="Male"),"",INDEX(PMTCT!$AS:$AS,MATCH($E232,PMTCT!$E:$E,0)))</f>
        <v/>
      </c>
      <c r="J232" s="10" t="str">
        <f aca="false">INDEX(TB!$P:$P,MATCH($E232,TB!$E:$E,0))</f>
        <v/>
      </c>
      <c r="K232" s="10" t="str">
        <f aca="false">IF(OR($C232="01-09",$C232="10-14",$D232="Female"),"",INDEX(VMMC!$AA:$AA,MATCH($E232,VMMC!$E:$E,0)))</f>
        <v/>
      </c>
      <c r="L232" s="10" t="n">
        <f aca="false">SUM($G232)-SUM($H232:$K232)</f>
        <v>0</v>
      </c>
      <c r="M232" s="88" t="str">
        <f aca="false">IF(OR($C232="01-09",$D232="Male",AND(SUM($G232)=0,SUM($H232)=0)),"",SUM($H232)/SUM($G232))</f>
        <v/>
      </c>
      <c r="N232" s="88" t="str">
        <f aca="false">IF(OR($C232="01-09",$D232="Male",AND(SUM($G232)=0,SUM($I232)=0)),"",SUM($I232)/SUM($G232))</f>
        <v/>
      </c>
      <c r="O232" s="88" t="str">
        <f aca="false">IF(AND(SUM($G232)=0,SUM($J232)=0),"",SUM($J232)/SUM($G232))</f>
        <v/>
      </c>
      <c r="P232" s="88" t="str">
        <f aca="false">IF(OR($C232="01-09",$C232="10-14",$D232="Female",AND(SUM($G232)=0,SUM($K232)=0)),"",SUM($K232)/SUM($G232))</f>
        <v/>
      </c>
      <c r="Q232" s="88"/>
      <c r="R232" s="88"/>
      <c r="S232" s="88"/>
      <c r="T232" s="88"/>
      <c r="U232" s="88"/>
      <c r="V232" s="88" t="str">
        <f aca="false">IF(SUM($G232)=0,"",SUM($M232:$U232))</f>
        <v/>
      </c>
      <c r="W232" s="88"/>
      <c r="X232" s="39" t="str">
        <f aca="false">IF(OR(SUM($G232)=0,SUM($Q232)=0),"",ROUND(SUM($G232)*SUM($Q232),0))</f>
        <v/>
      </c>
      <c r="Y232" s="39" t="str">
        <f aca="false">IF(SUM($X232)=0,"",IF(SUM($W232)=0,"ENTER YIELD",ROUND($X232/$W232,0)-$X232))</f>
        <v/>
      </c>
      <c r="Z232" s="88"/>
      <c r="AA232" s="39" t="str">
        <f aca="false">IF(OR(SUM($G232)=0,SUM($R232)=0),"",ROUND(SUM($G232)*SUM($R232),0))</f>
        <v/>
      </c>
      <c r="AB232" s="39" t="str">
        <f aca="false">IF(SUM($AA232)=0,"",IF(SUM($Z232)=0,"ENTER YIELD",ROUND($AA232/$Z232,0)-$AA232))</f>
        <v/>
      </c>
      <c r="AC232" s="88"/>
      <c r="AD232" s="39" t="str">
        <f aca="false">IF(OR(SUM($G232)=0,SUM($S232)=0),"",ROUND(SUM($G232)*SUM($S232),0))</f>
        <v/>
      </c>
      <c r="AE232" s="39" t="str">
        <f aca="false">IF(SUM($AD232)=0,"",IF(SUM($AC232)=0,"ENTER YIELD",ROUND($AD232/$AC232,0)-$AD232))</f>
        <v/>
      </c>
      <c r="AF232" s="88"/>
      <c r="AG232" s="39" t="str">
        <f aca="false">IF(OR(SUM($G232)=0,SUM($T232)=0),"",ROUND(SUM($G232)*SUM($T232),0))</f>
        <v/>
      </c>
      <c r="AH232" s="39" t="str">
        <f aca="false">IF(SUM($AG232)=0,"",IF(SUM($AF232)=0,"ENTER YIELD",ROUND($AG232/$AF232,0)-$AG232))</f>
        <v/>
      </c>
      <c r="AI232" s="88"/>
      <c r="AJ232" s="39" t="str">
        <f aca="false">IF(OR(SUM($G232)=0,SUM($U232)=0),"",ROUND(SUM($G232)*SUM($U232),0))</f>
        <v/>
      </c>
      <c r="AK232" s="39" t="str">
        <f aca="false">IF(SUM($AJ232)=0,"",IF(SUM($AI232)=0,"ENTER YIELD",ROUND($AJ232/$AI232,0)-$AJ232))</f>
        <v/>
      </c>
      <c r="AL232" s="10" t="str">
        <f aca="false">IF(SUM($G232)=0,"",$G232)</f>
        <v/>
      </c>
      <c r="AM232" s="10" t="str">
        <f aca="false">IFERROR(1/(1/SUM($H232:$K232,$X232,$AA232,$AD232,$AG232,$AJ232)),"")</f>
        <v/>
      </c>
      <c r="AN232" s="10" t="str">
        <f aca="false">IF(AND(SUM($AM232)=0,SUM($AL232)=0),"",$AM232-$AL232)</f>
        <v/>
      </c>
      <c r="AO232" s="10" t="str">
        <f aca="false">IF(OR($C232="01-09",$D232="Male"),"",INDEX(PMTCT!$AD:$AD,MATCH($E232,PMTCT!$E:$E,0)))</f>
        <v/>
      </c>
      <c r="AP232" s="10" t="str">
        <f aca="false">IF(OR($C232="01-09",$D232="Male"),"",INDEX(PMTCT!$AT:$AT,MATCH($E232,PMTCT!$E:$E,0)))</f>
        <v/>
      </c>
      <c r="AQ232" s="10" t="str">
        <f aca="false">INDEX(TB!$Q:$Q,MATCH($E232,TB!$E:$E,0))</f>
        <v/>
      </c>
      <c r="AR232" s="10" t="str">
        <f aca="false">IF(OR($C232="01-09",$C232="10-14",$D232="Female"),"",INDEX(VMMC!$AB:$AB,MATCH($E232,VMMC!$E:$E,0)))</f>
        <v/>
      </c>
      <c r="AS232" s="10" t="str">
        <f aca="false">IF(OR($C232="01-09",$C232="10-14"),"",INDEX(PrEP!$Q:$Q,MATCH($E232,PrEP!$E:$E,0)))</f>
        <v/>
      </c>
      <c r="AT232" s="10" t="str">
        <f aca="false">IFERROR(1/(1/SUM($Y232,$AB232,$AE232,$AH232,$AK232,$AO232:$AS232)),"")</f>
        <v/>
      </c>
      <c r="AU232" s="10" t="str">
        <f aca="false">IFERROR(1/(1/SUM($AT232,$AM232)),"")</f>
        <v/>
      </c>
      <c r="AV232" s="88" t="str">
        <f aca="false">IF(AND(SUM($AM232)=0,SUM($AU232)=0),"",$AM232/$AU232)</f>
        <v/>
      </c>
      <c r="AW232" s="10"/>
      <c r="AX232" s="88" t="str">
        <f aca="false">IF(OR($C232="01-09",SUM($AW232)=0),"",0%)</f>
        <v/>
      </c>
      <c r="AY232" s="39" t="str">
        <f aca="false">IF(OR($C232="01-09",SUM($AW232)=0),"",ROUND($AW232*(1+$AX232),0))</f>
        <v/>
      </c>
      <c r="AZ232" s="88" t="str">
        <f aca="false">IF(OR($C232="01-09",$C232="10-14"),"",100%)</f>
        <v/>
      </c>
      <c r="BA232" s="39" t="str">
        <f aca="false">IF(OR(SUM($AM232)=0,$C232="01-09",$C232="10-14"),"",$AM232*$AZ232)</f>
        <v/>
      </c>
    </row>
    <row r="233" customFormat="false" ht="15" hidden="false" customHeight="false" outlineLevel="0" collapsed="false">
      <c r="A233" s="0" t="str">
        <f aca="false">INDEX(Prioritization!$D:$D,MATCH($B233,Prioritization!$A:$A,0))</f>
        <v>1 - Scale-up: Saturation</v>
      </c>
      <c r="B233" s="0" t="s">
        <v>212</v>
      </c>
      <c r="C233" s="0" t="s">
        <v>364</v>
      </c>
      <c r="D233" s="0" t="s">
        <v>30</v>
      </c>
      <c r="E233" s="0" t="str">
        <f aca="false">$B233&amp;"|"&amp;$C233&amp;"|"&amp;$D233</f>
        <v>Chikwawa District [U8c0so51kT6]|10-14|Female</v>
      </c>
      <c r="F233" s="88" t="n">
        <f aca="false">IF(LEFT($B233,4)="_Mil","",INDEX(Cascade!$AA:$AA,MATCH($E233,Cascade!$E:$E,0)))</f>
        <v>1243</v>
      </c>
      <c r="G233" s="10" t="n">
        <f aca="false">INDEX(Cascade!$BH:$BH,MATCH($E233,Cascade!$E:$E,0))</f>
        <v>-94</v>
      </c>
      <c r="H233" s="10" t="n">
        <f aca="false">IF(OR($C233="01-09",$D233="Male"),"",INDEX(PMTCT!$AC:$AC,MATCH($E233,PMTCT!$E:$E,0)))</f>
        <v>4</v>
      </c>
      <c r="I233" s="10" t="str">
        <f aca="false">IF(OR($C233="01-09",$D233="Male"),"",INDEX(PMTCT!$AS:$AS,MATCH($E233,PMTCT!$E:$E,0)))</f>
        <v/>
      </c>
      <c r="J233" s="10" t="str">
        <f aca="false">INDEX(TB!$P:$P,MATCH($E233,TB!$E:$E,0))</f>
        <v/>
      </c>
      <c r="K233" s="10" t="str">
        <f aca="false">IF(OR($C233="01-09",$C233="10-14",$D233="Female"),"",INDEX(VMMC!$AA:$AA,MATCH($E233,VMMC!$E:$E,0)))</f>
        <v/>
      </c>
      <c r="L233" s="10" t="n">
        <f aca="false">SUM($G233)-SUM($H233:$K233)</f>
        <v>-98</v>
      </c>
      <c r="M233" s="88" t="n">
        <f aca="false">IF(OR($C233="01-09",$D233="Male",AND(SUM($G233)=0,SUM($H233)=0)),"",SUM($H233)/SUM($G233))</f>
        <v>-0.0425531914893617</v>
      </c>
      <c r="N233" s="88" t="n">
        <f aca="false">IF(OR($C233="01-09",$D233="Male",AND(SUM($G233)=0,SUM($I233)=0)),"",SUM($I233)/SUM($G233))</f>
        <v>-0</v>
      </c>
      <c r="O233" s="88" t="n">
        <f aca="false">IF(AND(SUM($G233)=0,SUM($J233)=0),"",SUM($J233)/SUM($G233))</f>
        <v>-0</v>
      </c>
      <c r="P233" s="88" t="str">
        <f aca="false">IF(OR($C233="01-09",$C233="10-14",$D233="Female",AND(SUM($G233)=0,SUM($K233)=0)),"",SUM($K233)/SUM($G233))</f>
        <v/>
      </c>
      <c r="Q233" s="88" t="n">
        <v>0.821639906382188</v>
      </c>
      <c r="R233" s="88"/>
      <c r="S233" s="88"/>
      <c r="T233" s="88"/>
      <c r="U233" s="88" t="n">
        <v>0.925533292349428</v>
      </c>
      <c r="V233" s="88" t="n">
        <f aca="false">IF(SUM($G233)=0,"",SUM($M233:$U233))</f>
        <v>1.70462000724225</v>
      </c>
      <c r="W233" s="88"/>
      <c r="X233" s="39" t="n">
        <f aca="false">IF(OR(SUM($G233)=0,SUM($Q233)=0),"",ROUND(SUM($G233)*SUM($Q233),0))</f>
        <v>-77</v>
      </c>
      <c r="Y233" s="39" t="str">
        <f aca="false">IF(SUM($X233)=0,"",IF(SUM($W233)=0,"ENTER YIELD",ROUND($X233/$W233,0)-$X233))</f>
        <v>ENTER YIELD</v>
      </c>
      <c r="Z233" s="88"/>
      <c r="AA233" s="39" t="str">
        <f aca="false">IF(OR(SUM($G233)=0,SUM($R233)=0),"",ROUND(SUM($G233)*SUM($R233),0))</f>
        <v/>
      </c>
      <c r="AB233" s="39" t="str">
        <f aca="false">IF(SUM($AA233)=0,"",IF(SUM($Z233)=0,"ENTER YIELD",ROUND($AA233/$Z233,0)-$AA233))</f>
        <v/>
      </c>
      <c r="AC233" s="88"/>
      <c r="AD233" s="39" t="str">
        <f aca="false">IF(OR(SUM($G233)=0,SUM($S233)=0),"",ROUND(SUM($G233)*SUM($S233),0))</f>
        <v/>
      </c>
      <c r="AE233" s="39" t="str">
        <f aca="false">IF(SUM($AD233)=0,"",IF(SUM($AC233)=0,"ENTER YIELD",ROUND($AD233/$AC233,0)-$AD233))</f>
        <v/>
      </c>
      <c r="AF233" s="88"/>
      <c r="AG233" s="39" t="str">
        <f aca="false">IF(OR(SUM($G233)=0,SUM($T233)=0),"",ROUND(SUM($G233)*SUM($T233),0))</f>
        <v/>
      </c>
      <c r="AH233" s="39" t="str">
        <f aca="false">IF(SUM($AG233)=0,"",IF(SUM($AF233)=0,"ENTER YIELD",ROUND($AG233/$AF233,0)-$AG233))</f>
        <v/>
      </c>
      <c r="AI233" s="88" t="n">
        <v>0.833908567437902</v>
      </c>
      <c r="AJ233" s="39" t="n">
        <f aca="false">IF(OR(SUM($G233)=0,SUM($U233)=0),"",ROUND(SUM($G233)*SUM($U233),0))</f>
        <v>-87</v>
      </c>
      <c r="AK233" s="39" t="n">
        <f aca="false">IF(SUM($AJ233)=0,"",IF(SUM($AI233)=0,"ENTER YIELD",ROUND($AJ233/$AI233,0)-$AJ233))</f>
        <v>-17</v>
      </c>
      <c r="AL233" s="10" t="n">
        <f aca="false">IF(SUM($G233)=0,"",$G233)</f>
        <v>-94</v>
      </c>
      <c r="AM233" s="10" t="n">
        <f aca="false">IFERROR(1/(1/SUM($H233:$K233,$X233,$AA233,$AD233,$AG233,$AJ233)),"")</f>
        <v>-160</v>
      </c>
      <c r="AN233" s="10" t="n">
        <f aca="false">IF(AND(SUM($AM233)=0,SUM($AL233)=0),"",$AM233-$AL233)</f>
        <v>-66</v>
      </c>
      <c r="AO233" s="10" t="n">
        <f aca="false">IF(OR($C233="01-09",$D233="Male"),"",INDEX(PMTCT!$AD:$AD,MATCH($E233,PMTCT!$E:$E,0)))</f>
        <v>0</v>
      </c>
      <c r="AP233" s="10" t="str">
        <f aca="false">IF(OR($C233="01-09",$D233="Male"),"",INDEX(PMTCT!$AT:$AT,MATCH($E233,PMTCT!$E:$E,0)))</f>
        <v/>
      </c>
      <c r="AQ233" s="10" t="str">
        <f aca="false">INDEX(TB!$Q:$Q,MATCH($E233,TB!$E:$E,0))</f>
        <v/>
      </c>
      <c r="AR233" s="10" t="str">
        <f aca="false">IF(OR($C233="01-09",$C233="10-14",$D233="Female"),"",INDEX(VMMC!$AB:$AB,MATCH($E233,VMMC!$E:$E,0)))</f>
        <v/>
      </c>
      <c r="AS233" s="10" t="str">
        <f aca="false">IF(OR($C233="01-09",$C233="10-14"),"",INDEX(PrEP!$Q:$Q,MATCH($E233,PrEP!$E:$E,0)))</f>
        <v/>
      </c>
      <c r="AT233" s="10" t="n">
        <f aca="false">IFERROR(1/(1/SUM($Y233,$AB233,$AE233,$AH233,$AK233,$AO233:$AS233)),"")</f>
        <v>-17</v>
      </c>
      <c r="AU233" s="10" t="n">
        <f aca="false">IFERROR(1/(1/SUM($AT233,$AM233)),"")</f>
        <v>-177</v>
      </c>
      <c r="AV233" s="88" t="n">
        <f aca="false">IF(AND(SUM($AM233)=0,SUM($AU233)=0),"",$AM233/$AU233)</f>
        <v>0.903954802259887</v>
      </c>
      <c r="AW233" s="10"/>
      <c r="AX233" s="88" t="str">
        <f aca="false">IF(OR($C233="01-09",SUM($AW233)=0),"",0%)</f>
        <v/>
      </c>
      <c r="AY233" s="39" t="str">
        <f aca="false">IF(OR($C233="01-09",SUM($AW233)=0),"",ROUND($AW233*(1+$AX233),0))</f>
        <v/>
      </c>
      <c r="AZ233" s="88" t="str">
        <f aca="false">IF(OR($C233="01-09",$C233="10-14"),"",100%)</f>
        <v/>
      </c>
      <c r="BA233" s="39" t="str">
        <f aca="false">IF(OR(SUM($AM233)=0,$C233="01-09",$C233="10-14"),"",$AM233*$AZ233)</f>
        <v/>
      </c>
    </row>
    <row r="234" customFormat="false" ht="15" hidden="false" customHeight="false" outlineLevel="0" collapsed="false">
      <c r="A234" s="0" t="str">
        <f aca="false">INDEX(Prioritization!$D:$D,MATCH($B234,Prioritization!$A:$A,0))</f>
        <v>1 - Scale-up: Saturation</v>
      </c>
      <c r="B234" s="0" t="s">
        <v>212</v>
      </c>
      <c r="C234" s="0" t="s">
        <v>364</v>
      </c>
      <c r="D234" s="0" t="s">
        <v>48</v>
      </c>
      <c r="E234" s="0" t="str">
        <f aca="false">$B234&amp;"|"&amp;$C234&amp;"|"&amp;$D234</f>
        <v>Chikwawa District [U8c0so51kT6]|10-14|Male</v>
      </c>
      <c r="F234" s="88" t="n">
        <f aca="false">IF(LEFT($B234,4)="_Mil","",INDEX(Cascade!$AA:$AA,MATCH($E234,Cascade!$E:$E,0)))</f>
        <v>915</v>
      </c>
      <c r="G234" s="10" t="n">
        <f aca="false">INDEX(Cascade!$BH:$BH,MATCH($E234,Cascade!$E:$E,0))</f>
        <v>-96</v>
      </c>
      <c r="H234" s="10" t="str">
        <f aca="false">IF(OR($C234="01-09",$D234="Male"),"",INDEX(PMTCT!$AC:$AC,MATCH($E234,PMTCT!$E:$E,0)))</f>
        <v/>
      </c>
      <c r="I234" s="10" t="str">
        <f aca="false">IF(OR($C234="01-09",$D234="Male"),"",INDEX(PMTCT!$AS:$AS,MATCH($E234,PMTCT!$E:$E,0)))</f>
        <v/>
      </c>
      <c r="J234" s="10" t="str">
        <f aca="false">INDEX(TB!$P:$P,MATCH($E234,TB!$E:$E,0))</f>
        <v>ENTER YIELD RATE</v>
      </c>
      <c r="K234" s="10" t="str">
        <f aca="false">IF(OR($C234="01-09",$C234="10-14",$D234="Female"),"",INDEX(VMMC!$AA:$AA,MATCH($E234,VMMC!$E:$E,0)))</f>
        <v/>
      </c>
      <c r="L234" s="10" t="n">
        <f aca="false">SUM($G234)-SUM($H234:$K234)</f>
        <v>-96</v>
      </c>
      <c r="M234" s="88" t="str">
        <f aca="false">IF(OR($C234="01-09",$D234="Male",AND(SUM($G234)=0,SUM($H234)=0)),"",SUM($H234)/SUM($G234))</f>
        <v/>
      </c>
      <c r="N234" s="88" t="str">
        <f aca="false">IF(OR($C234="01-09",$D234="Male",AND(SUM($G234)=0,SUM($I234)=0)),"",SUM($I234)/SUM($G234))</f>
        <v/>
      </c>
      <c r="O234" s="88" t="n">
        <f aca="false">IF(AND(SUM($G234)=0,SUM($J234)=0),"",SUM($J234)/SUM($G234))</f>
        <v>-0</v>
      </c>
      <c r="P234" s="88" t="str">
        <f aca="false">IF(OR($C234="01-09",$C234="10-14",$D234="Female",AND(SUM($G234)=0,SUM($K234)=0)),"",SUM($K234)/SUM($G234))</f>
        <v/>
      </c>
      <c r="Q234" s="88" t="n">
        <v>0.482733029639348</v>
      </c>
      <c r="R234" s="88"/>
      <c r="S234" s="88"/>
      <c r="T234" s="88"/>
      <c r="U234" s="88" t="n">
        <v>0.93354829121381</v>
      </c>
      <c r="V234" s="88" t="n">
        <f aca="false">IF(SUM($G234)=0,"",SUM($M234:$U234))</f>
        <v>1.41628132085316</v>
      </c>
      <c r="W234" s="88"/>
      <c r="X234" s="39" t="n">
        <f aca="false">IF(OR(SUM($G234)=0,SUM($Q234)=0),"",ROUND(SUM($G234)*SUM($Q234),0))</f>
        <v>-46</v>
      </c>
      <c r="Y234" s="39" t="str">
        <f aca="false">IF(SUM($X234)=0,"",IF(SUM($W234)=0,"ENTER YIELD",ROUND($X234/$W234,0)-$X234))</f>
        <v>ENTER YIELD</v>
      </c>
      <c r="Z234" s="88"/>
      <c r="AA234" s="39" t="str">
        <f aca="false">IF(OR(SUM($G234)=0,SUM($R234)=0),"",ROUND(SUM($G234)*SUM($R234),0))</f>
        <v/>
      </c>
      <c r="AB234" s="39" t="str">
        <f aca="false">IF(SUM($AA234)=0,"",IF(SUM($Z234)=0,"ENTER YIELD",ROUND($AA234/$Z234,0)-$AA234))</f>
        <v/>
      </c>
      <c r="AC234" s="88"/>
      <c r="AD234" s="39" t="str">
        <f aca="false">IF(OR(SUM($G234)=0,SUM($S234)=0),"",ROUND(SUM($G234)*SUM($S234),0))</f>
        <v/>
      </c>
      <c r="AE234" s="39" t="str">
        <f aca="false">IF(SUM($AD234)=0,"",IF(SUM($AC234)=0,"ENTER YIELD",ROUND($AD234/$AC234,0)-$AD234))</f>
        <v/>
      </c>
      <c r="AF234" s="88"/>
      <c r="AG234" s="39" t="str">
        <f aca="false">IF(OR(SUM($G234)=0,SUM($T234)=0),"",ROUND(SUM($G234)*SUM($T234),0))</f>
        <v/>
      </c>
      <c r="AH234" s="39" t="str">
        <f aca="false">IF(SUM($AG234)=0,"",IF(SUM($AF234)=0,"ENTER YIELD",ROUND($AG234/$AF234,0)-$AG234))</f>
        <v/>
      </c>
      <c r="AI234" s="88" t="n">
        <v>0.980529811233282</v>
      </c>
      <c r="AJ234" s="39" t="n">
        <f aca="false">IF(OR(SUM($G234)=0,SUM($U234)=0),"",ROUND(SUM($G234)*SUM($U234),0))</f>
        <v>-90</v>
      </c>
      <c r="AK234" s="39" t="n">
        <f aca="false">IF(SUM($AJ234)=0,"",IF(SUM($AI234)=0,"ENTER YIELD",ROUND($AJ234/$AI234,0)-$AJ234))</f>
        <v>-2</v>
      </c>
      <c r="AL234" s="10" t="n">
        <f aca="false">IF(SUM($G234)=0,"",$G234)</f>
        <v>-96</v>
      </c>
      <c r="AM234" s="10" t="n">
        <f aca="false">IFERROR(1/(1/SUM($H234:$K234,$X234,$AA234,$AD234,$AG234,$AJ234)),"")</f>
        <v>-136</v>
      </c>
      <c r="AN234" s="10" t="n">
        <f aca="false">IF(AND(SUM($AM234)=0,SUM($AL234)=0),"",$AM234-$AL234)</f>
        <v>-40</v>
      </c>
      <c r="AO234" s="10" t="str">
        <f aca="false">IF(OR($C234="01-09",$D234="Male"),"",INDEX(PMTCT!$AD:$AD,MATCH($E234,PMTCT!$E:$E,0)))</f>
        <v/>
      </c>
      <c r="AP234" s="10" t="str">
        <f aca="false">IF(OR($C234="01-09",$D234="Male"),"",INDEX(PMTCT!$AT:$AT,MATCH($E234,PMTCT!$E:$E,0)))</f>
        <v/>
      </c>
      <c r="AQ234" s="10" t="n">
        <f aca="false">INDEX(TB!$Q:$Q,MATCH($E234,TB!$E:$E,0))</f>
        <v>1</v>
      </c>
      <c r="AR234" s="10" t="str">
        <f aca="false">IF(OR($C234="01-09",$C234="10-14",$D234="Female"),"",INDEX(VMMC!$AB:$AB,MATCH($E234,VMMC!$E:$E,0)))</f>
        <v/>
      </c>
      <c r="AS234" s="10" t="str">
        <f aca="false">IF(OR($C234="01-09",$C234="10-14"),"",INDEX(PrEP!$Q:$Q,MATCH($E234,PrEP!$E:$E,0)))</f>
        <v/>
      </c>
      <c r="AT234" s="10" t="n">
        <f aca="false">IFERROR(1/(1/SUM($Y234,$AB234,$AE234,$AH234,$AK234,$AO234:$AS234)),"")</f>
        <v>-1</v>
      </c>
      <c r="AU234" s="10" t="n">
        <f aca="false">IFERROR(1/(1/SUM($AT234,$AM234)),"")</f>
        <v>-137</v>
      </c>
      <c r="AV234" s="88" t="n">
        <f aca="false">IF(AND(SUM($AM234)=0,SUM($AU234)=0),"",$AM234/$AU234)</f>
        <v>0.992700729927007</v>
      </c>
      <c r="AW234" s="10"/>
      <c r="AX234" s="88" t="str">
        <f aca="false">IF(OR($C234="01-09",SUM($AW234)=0),"",0%)</f>
        <v/>
      </c>
      <c r="AY234" s="39" t="str">
        <f aca="false">IF(OR($C234="01-09",SUM($AW234)=0),"",ROUND($AW234*(1+$AX234),0))</f>
        <v/>
      </c>
      <c r="AZ234" s="88" t="str">
        <f aca="false">IF(OR($C234="01-09",$C234="10-14"),"",100%)</f>
        <v/>
      </c>
      <c r="BA234" s="39" t="str">
        <f aca="false">IF(OR(SUM($AM234)=0,$C234="01-09",$C234="10-14"),"",$AM234*$AZ234)</f>
        <v/>
      </c>
    </row>
    <row r="235" customFormat="false" ht="15" hidden="false" customHeight="false" outlineLevel="0" collapsed="false">
      <c r="A235" s="0" t="str">
        <f aca="false">INDEX(Prioritization!$D:$D,MATCH($B235,Prioritization!$A:$A,0))</f>
        <v>1 - Scale-up: Saturation</v>
      </c>
      <c r="B235" s="0" t="s">
        <v>212</v>
      </c>
      <c r="C235" s="0" t="s">
        <v>365</v>
      </c>
      <c r="D235" s="0" t="s">
        <v>30</v>
      </c>
      <c r="E235" s="0" t="str">
        <f aca="false">$B235&amp;"|"&amp;$C235&amp;"|"&amp;$D235</f>
        <v>Chikwawa District [U8c0so51kT6]|15-24|Female</v>
      </c>
      <c r="F235" s="88" t="n">
        <f aca="false">IF(LEFT($B235,4)="_Mil","",INDEX(Cascade!$AA:$AA,MATCH($E235,Cascade!$E:$E,0)))</f>
        <v>800</v>
      </c>
      <c r="G235" s="10" t="n">
        <f aca="false">INDEX(Cascade!$BH:$BH,MATCH($E235,Cascade!$E:$E,0))</f>
        <v>0</v>
      </c>
      <c r="H235" s="10" t="str">
        <f aca="false">IF(OR($C235="01-09",$D235="Male"),"",INDEX(PMTCT!$AC:$AC,MATCH($E235,PMTCT!$E:$E,0)))</f>
        <v/>
      </c>
      <c r="I235" s="10" t="str">
        <f aca="false">IF(OR($C235="01-09",$D235="Male"),"",INDEX(PMTCT!$AS:$AS,MATCH($E235,PMTCT!$E:$E,0)))</f>
        <v/>
      </c>
      <c r="J235" s="10" t="str">
        <f aca="false">INDEX(TB!$P:$P,MATCH($E235,TB!$E:$E,0))</f>
        <v/>
      </c>
      <c r="K235" s="10" t="str">
        <f aca="false">IF(OR($C235="01-09",$C235="10-14",$D235="Female"),"",INDEX(VMMC!$AA:$AA,MATCH($E235,VMMC!$E:$E,0)))</f>
        <v/>
      </c>
      <c r="L235" s="10" t="n">
        <f aca="false">SUM($G235)-SUM($H235:$K235)</f>
        <v>0</v>
      </c>
      <c r="M235" s="88" t="str">
        <f aca="false">IF(OR($C235="01-09",$D235="Male",AND(SUM($G235)=0,SUM($H235)=0)),"",SUM($H235)/SUM($G235))</f>
        <v/>
      </c>
      <c r="N235" s="88" t="str">
        <f aca="false">IF(OR($C235="01-09",$D235="Male",AND(SUM($G235)=0,SUM($I235)=0)),"",SUM($I235)/SUM($G235))</f>
        <v/>
      </c>
      <c r="O235" s="88" t="str">
        <f aca="false">IF(AND(SUM($G235)=0,SUM($J235)=0),"",SUM($J235)/SUM($G235))</f>
        <v/>
      </c>
      <c r="P235" s="88" t="str">
        <f aca="false">IF(OR($C235="01-09",$C235="10-14",$D235="Female",AND(SUM($G235)=0,SUM($K235)=0)),"",SUM($K235)/SUM($G235))</f>
        <v/>
      </c>
      <c r="Q235" s="88"/>
      <c r="R235" s="88"/>
      <c r="S235" s="88"/>
      <c r="T235" s="88"/>
      <c r="U235" s="88"/>
      <c r="V235" s="88" t="str">
        <f aca="false">IF(SUM($G235)=0,"",SUM($M235:$U235))</f>
        <v/>
      </c>
      <c r="W235" s="88"/>
      <c r="X235" s="39" t="str">
        <f aca="false">IF(OR(SUM($G235)=0,SUM($Q235)=0),"",ROUND(SUM($G235)*SUM($Q235),0))</f>
        <v/>
      </c>
      <c r="Y235" s="39" t="str">
        <f aca="false">IF(SUM($X235)=0,"",IF(SUM($W235)=0,"ENTER YIELD",ROUND($X235/$W235,0)-$X235))</f>
        <v/>
      </c>
      <c r="Z235" s="88"/>
      <c r="AA235" s="39" t="str">
        <f aca="false">IF(OR(SUM($G235)=0,SUM($R235)=0),"",ROUND(SUM($G235)*SUM($R235),0))</f>
        <v/>
      </c>
      <c r="AB235" s="39" t="str">
        <f aca="false">IF(SUM($AA235)=0,"",IF(SUM($Z235)=0,"ENTER YIELD",ROUND($AA235/$Z235,0)-$AA235))</f>
        <v/>
      </c>
      <c r="AC235" s="88"/>
      <c r="AD235" s="39" t="str">
        <f aca="false">IF(OR(SUM($G235)=0,SUM($S235)=0),"",ROUND(SUM($G235)*SUM($S235),0))</f>
        <v/>
      </c>
      <c r="AE235" s="39" t="str">
        <f aca="false">IF(SUM($AD235)=0,"",IF(SUM($AC235)=0,"ENTER YIELD",ROUND($AD235/$AC235,0)-$AD235))</f>
        <v/>
      </c>
      <c r="AF235" s="88"/>
      <c r="AG235" s="39" t="str">
        <f aca="false">IF(OR(SUM($G235)=0,SUM($T235)=0),"",ROUND(SUM($G235)*SUM($T235),0))</f>
        <v/>
      </c>
      <c r="AH235" s="39" t="str">
        <f aca="false">IF(SUM($AG235)=0,"",IF(SUM($AF235)=0,"ENTER YIELD",ROUND($AG235/$AF235,0)-$AG235))</f>
        <v/>
      </c>
      <c r="AI235" s="88"/>
      <c r="AJ235" s="39" t="str">
        <f aca="false">IF(OR(SUM($G235)=0,SUM($U235)=0),"",ROUND(SUM($G235)*SUM($U235),0))</f>
        <v/>
      </c>
      <c r="AK235" s="39" t="str">
        <f aca="false">IF(SUM($AJ235)=0,"",IF(SUM($AI235)=0,"ENTER YIELD",ROUND($AJ235/$AI235,0)-$AJ235))</f>
        <v/>
      </c>
      <c r="AL235" s="10" t="str">
        <f aca="false">IF(SUM($G235)=0,"",$G235)</f>
        <v/>
      </c>
      <c r="AM235" s="10" t="str">
        <f aca="false">IFERROR(1/(1/SUM($H235:$K235,$X235,$AA235,$AD235,$AG235,$AJ235)),"")</f>
        <v/>
      </c>
      <c r="AN235" s="10" t="str">
        <f aca="false">IF(AND(SUM($AM235)=0,SUM($AL235)=0),"",$AM235-$AL235)</f>
        <v/>
      </c>
      <c r="AO235" s="10" t="str">
        <f aca="false">IF(OR($C235="01-09",$D235="Male"),"",INDEX(PMTCT!$AD:$AD,MATCH($E235,PMTCT!$E:$E,0)))</f>
        <v/>
      </c>
      <c r="AP235" s="10" t="str">
        <f aca="false">IF(OR($C235="01-09",$D235="Male"),"",INDEX(PMTCT!$AT:$AT,MATCH($E235,PMTCT!$E:$E,0)))</f>
        <v/>
      </c>
      <c r="AQ235" s="10" t="str">
        <f aca="false">INDEX(TB!$Q:$Q,MATCH($E235,TB!$E:$E,0))</f>
        <v/>
      </c>
      <c r="AR235" s="10" t="str">
        <f aca="false">IF(OR($C235="01-09",$C235="10-14",$D235="Female"),"",INDEX(VMMC!$AB:$AB,MATCH($E235,VMMC!$E:$E,0)))</f>
        <v/>
      </c>
      <c r="AS235" s="10" t="str">
        <f aca="false">IF(OR($C235="01-09",$C235="10-14"),"",INDEX(PrEP!$Q:$Q,MATCH($E235,PrEP!$E:$E,0)))</f>
        <v/>
      </c>
      <c r="AT235" s="10" t="str">
        <f aca="false">IFERROR(1/(1/SUM($Y235,$AB235,$AE235,$AH235,$AK235,$AO235:$AS235)),"")</f>
        <v/>
      </c>
      <c r="AU235" s="10" t="str">
        <f aca="false">IFERROR(1/(1/SUM($AT235,$AM235)),"")</f>
        <v/>
      </c>
      <c r="AV235" s="88" t="str">
        <f aca="false">IF(AND(SUM($AM235)=0,SUM($AU235)=0),"",$AM235/$AU235)</f>
        <v/>
      </c>
      <c r="AW235" s="10"/>
      <c r="AX235" s="88" t="str">
        <f aca="false">IF(OR($C235="01-09",SUM($AW235)=0),"",0%)</f>
        <v/>
      </c>
      <c r="AY235" s="39" t="str">
        <f aca="false">IF(OR($C235="01-09",SUM($AW235)=0),"",ROUND($AW235*(1+$AX235),0))</f>
        <v/>
      </c>
      <c r="AZ235" s="88" t="n">
        <f aca="false">IF(OR($C235="01-09",$C235="10-14"),"",100%)</f>
        <v>1</v>
      </c>
      <c r="BA235" s="39" t="str">
        <f aca="false">IF(OR(SUM($AM235)=0,$C235="01-09",$C235="10-14"),"",$AM235*$AZ235)</f>
        <v/>
      </c>
    </row>
    <row r="236" customFormat="false" ht="15" hidden="false" customHeight="false" outlineLevel="0" collapsed="false">
      <c r="A236" s="0" t="str">
        <f aca="false">INDEX(Prioritization!$D:$D,MATCH($B236,Prioritization!$A:$A,0))</f>
        <v>1 - Scale-up: Saturation</v>
      </c>
      <c r="B236" s="0" t="s">
        <v>212</v>
      </c>
      <c r="C236" s="0" t="s">
        <v>365</v>
      </c>
      <c r="D236" s="0" t="s">
        <v>48</v>
      </c>
      <c r="E236" s="0" t="str">
        <f aca="false">$B236&amp;"|"&amp;$C236&amp;"|"&amp;$D236</f>
        <v>Chikwawa District [U8c0so51kT6]|15-24|Male</v>
      </c>
      <c r="F236" s="88" t="n">
        <f aca="false">IF(LEFT($B236,4)="_Mil","",INDEX(Cascade!$AA:$AA,MATCH($E236,Cascade!$E:$E,0)))</f>
        <v>1268</v>
      </c>
      <c r="G236" s="10" t="n">
        <f aca="false">INDEX(Cascade!$BH:$BH,MATCH($E236,Cascade!$E:$E,0))</f>
        <v>0</v>
      </c>
      <c r="H236" s="10" t="str">
        <f aca="false">IF(OR($C236="01-09",$D236="Male"),"",INDEX(PMTCT!$AC:$AC,MATCH($E236,PMTCT!$E:$E,0)))</f>
        <v/>
      </c>
      <c r="I236" s="10" t="str">
        <f aca="false">IF(OR($C236="01-09",$D236="Male"),"",INDEX(PMTCT!$AS:$AS,MATCH($E236,PMTCT!$E:$E,0)))</f>
        <v/>
      </c>
      <c r="J236" s="10" t="str">
        <f aca="false">INDEX(TB!$P:$P,MATCH($E236,TB!$E:$E,0))</f>
        <v/>
      </c>
      <c r="K236" s="10" t="str">
        <f aca="false">IF(OR($C236="01-09",$C236="10-14",$D236="Female"),"",INDEX(VMMC!$AA:$AA,MATCH($E236,VMMC!$E:$E,0)))</f>
        <v/>
      </c>
      <c r="L236" s="10" t="n">
        <f aca="false">SUM($G236)-SUM($H236:$K236)</f>
        <v>0</v>
      </c>
      <c r="M236" s="88" t="str">
        <f aca="false">IF(OR($C236="01-09",$D236="Male",AND(SUM($G236)=0,SUM($H236)=0)),"",SUM($H236)/SUM($G236))</f>
        <v/>
      </c>
      <c r="N236" s="88" t="str">
        <f aca="false">IF(OR($C236="01-09",$D236="Male",AND(SUM($G236)=0,SUM($I236)=0)),"",SUM($I236)/SUM($G236))</f>
        <v/>
      </c>
      <c r="O236" s="88" t="str">
        <f aca="false">IF(AND(SUM($G236)=0,SUM($J236)=0),"",SUM($J236)/SUM($G236))</f>
        <v/>
      </c>
      <c r="P236" s="88" t="str">
        <f aca="false">IF(OR($C236="01-09",$C236="10-14",$D236="Female",AND(SUM($G236)=0,SUM($K236)=0)),"",SUM($K236)/SUM($G236))</f>
        <v/>
      </c>
      <c r="Q236" s="88"/>
      <c r="R236" s="88"/>
      <c r="S236" s="88"/>
      <c r="T236" s="88"/>
      <c r="U236" s="88"/>
      <c r="V236" s="88" t="str">
        <f aca="false">IF(SUM($G236)=0,"",SUM($M236:$U236))</f>
        <v/>
      </c>
      <c r="W236" s="88"/>
      <c r="X236" s="39" t="str">
        <f aca="false">IF(OR(SUM($G236)=0,SUM($Q236)=0),"",ROUND(SUM($G236)*SUM($Q236),0))</f>
        <v/>
      </c>
      <c r="Y236" s="39" t="str">
        <f aca="false">IF(SUM($X236)=0,"",IF(SUM($W236)=0,"ENTER YIELD",ROUND($X236/$W236,0)-$X236))</f>
        <v/>
      </c>
      <c r="Z236" s="88"/>
      <c r="AA236" s="39" t="str">
        <f aca="false">IF(OR(SUM($G236)=0,SUM($R236)=0),"",ROUND(SUM($G236)*SUM($R236),0))</f>
        <v/>
      </c>
      <c r="AB236" s="39" t="str">
        <f aca="false">IF(SUM($AA236)=0,"",IF(SUM($Z236)=0,"ENTER YIELD",ROUND($AA236/$Z236,0)-$AA236))</f>
        <v/>
      </c>
      <c r="AC236" s="88"/>
      <c r="AD236" s="39" t="str">
        <f aca="false">IF(OR(SUM($G236)=0,SUM($S236)=0),"",ROUND(SUM($G236)*SUM($S236),0))</f>
        <v/>
      </c>
      <c r="AE236" s="39" t="str">
        <f aca="false">IF(SUM($AD236)=0,"",IF(SUM($AC236)=0,"ENTER YIELD",ROUND($AD236/$AC236,0)-$AD236))</f>
        <v/>
      </c>
      <c r="AF236" s="88"/>
      <c r="AG236" s="39" t="str">
        <f aca="false">IF(OR(SUM($G236)=0,SUM($T236)=0),"",ROUND(SUM($G236)*SUM($T236),0))</f>
        <v/>
      </c>
      <c r="AH236" s="39" t="str">
        <f aca="false">IF(SUM($AG236)=0,"",IF(SUM($AF236)=0,"ENTER YIELD",ROUND($AG236/$AF236,0)-$AG236))</f>
        <v/>
      </c>
      <c r="AI236" s="88"/>
      <c r="AJ236" s="39" t="str">
        <f aca="false">IF(OR(SUM($G236)=0,SUM($U236)=0),"",ROUND(SUM($G236)*SUM($U236),0))</f>
        <v/>
      </c>
      <c r="AK236" s="39" t="str">
        <f aca="false">IF(SUM($AJ236)=0,"",IF(SUM($AI236)=0,"ENTER YIELD",ROUND($AJ236/$AI236,0)-$AJ236))</f>
        <v/>
      </c>
      <c r="AL236" s="10" t="str">
        <f aca="false">IF(SUM($G236)=0,"",$G236)</f>
        <v/>
      </c>
      <c r="AM236" s="10" t="str">
        <f aca="false">IFERROR(1/(1/SUM($H236:$K236,$X236,$AA236,$AD236,$AG236,$AJ236)),"")</f>
        <v/>
      </c>
      <c r="AN236" s="10" t="str">
        <f aca="false">IF(AND(SUM($AM236)=0,SUM($AL236)=0),"",$AM236-$AL236)</f>
        <v/>
      </c>
      <c r="AO236" s="10" t="str">
        <f aca="false">IF(OR($C236="01-09",$D236="Male"),"",INDEX(PMTCT!$AD:$AD,MATCH($E236,PMTCT!$E:$E,0)))</f>
        <v/>
      </c>
      <c r="AP236" s="10" t="str">
        <f aca="false">IF(OR($C236="01-09",$D236="Male"),"",INDEX(PMTCT!$AT:$AT,MATCH($E236,PMTCT!$E:$E,0)))</f>
        <v/>
      </c>
      <c r="AQ236" s="10" t="str">
        <f aca="false">INDEX(TB!$Q:$Q,MATCH($E236,TB!$E:$E,0))</f>
        <v/>
      </c>
      <c r="AR236" s="10" t="str">
        <f aca="false">IF(OR($C236="01-09",$C236="10-14",$D236="Female"),"",INDEX(VMMC!$AB:$AB,MATCH($E236,VMMC!$E:$E,0)))</f>
        <v/>
      </c>
      <c r="AS236" s="10" t="str">
        <f aca="false">IF(OR($C236="01-09",$C236="10-14"),"",INDEX(PrEP!$Q:$Q,MATCH($E236,PrEP!$E:$E,0)))</f>
        <v/>
      </c>
      <c r="AT236" s="10" t="str">
        <f aca="false">IFERROR(1/(1/SUM($Y236,$AB236,$AE236,$AH236,$AK236,$AO236:$AS236)),"")</f>
        <v/>
      </c>
      <c r="AU236" s="10" t="str">
        <f aca="false">IFERROR(1/(1/SUM($AT236,$AM236)),"")</f>
        <v/>
      </c>
      <c r="AV236" s="88" t="str">
        <f aca="false">IF(AND(SUM($AM236)=0,SUM($AU236)=0),"",$AM236/$AU236)</f>
        <v/>
      </c>
      <c r="AW236" s="10"/>
      <c r="AX236" s="88" t="str">
        <f aca="false">IF(OR($C236="01-09",SUM($AW236)=0),"",0%)</f>
        <v/>
      </c>
      <c r="AY236" s="39" t="str">
        <f aca="false">IF(OR($C236="01-09",SUM($AW236)=0),"",ROUND($AW236*(1+$AX236),0))</f>
        <v/>
      </c>
      <c r="AZ236" s="88" t="n">
        <f aca="false">IF(OR($C236="01-09",$C236="10-14"),"",100%)</f>
        <v>1</v>
      </c>
      <c r="BA236" s="39" t="str">
        <f aca="false">IF(OR(SUM($AM236)=0,$C236="01-09",$C236="10-14"),"",$AM236*$AZ236)</f>
        <v/>
      </c>
    </row>
    <row r="237" customFormat="false" ht="15" hidden="false" customHeight="false" outlineLevel="0" collapsed="false">
      <c r="A237" s="0" t="str">
        <f aca="false">INDEX(Prioritization!$D:$D,MATCH($B237,Prioritization!$A:$A,0))</f>
        <v>1 - Scale-up: Saturation</v>
      </c>
      <c r="B237" s="0" t="s">
        <v>212</v>
      </c>
      <c r="C237" s="0" t="s">
        <v>366</v>
      </c>
      <c r="D237" s="0" t="s">
        <v>30</v>
      </c>
      <c r="E237" s="0" t="str">
        <f aca="false">$B237&amp;"|"&amp;$C237&amp;"|"&amp;$D237</f>
        <v>Chikwawa District [U8c0so51kT6]|25-34|Female</v>
      </c>
      <c r="F237" s="88" t="n">
        <f aca="false">IF(LEFT($B237,4)="_Mil","",INDEX(Cascade!$AA:$AA,MATCH($E237,Cascade!$E:$E,0)))</f>
        <v>885</v>
      </c>
      <c r="G237" s="10" t="n">
        <f aca="false">INDEX(Cascade!$BH:$BH,MATCH($E237,Cascade!$E:$E,0))</f>
        <v>0</v>
      </c>
      <c r="H237" s="10" t="str">
        <f aca="false">IF(OR($C237="01-09",$D237="Male"),"",INDEX(PMTCT!$AC:$AC,MATCH($E237,PMTCT!$E:$E,0)))</f>
        <v/>
      </c>
      <c r="I237" s="10" t="str">
        <f aca="false">IF(OR($C237="01-09",$D237="Male"),"",INDEX(PMTCT!$AS:$AS,MATCH($E237,PMTCT!$E:$E,0)))</f>
        <v/>
      </c>
      <c r="J237" s="10" t="str">
        <f aca="false">INDEX(TB!$P:$P,MATCH($E237,TB!$E:$E,0))</f>
        <v/>
      </c>
      <c r="K237" s="10" t="str">
        <f aca="false">IF(OR($C237="01-09",$C237="10-14",$D237="Female"),"",INDEX(VMMC!$AA:$AA,MATCH($E237,VMMC!$E:$E,0)))</f>
        <v/>
      </c>
      <c r="L237" s="10" t="n">
        <f aca="false">SUM($G237)-SUM($H237:$K237)</f>
        <v>0</v>
      </c>
      <c r="M237" s="88" t="str">
        <f aca="false">IF(OR($C237="01-09",$D237="Male",AND(SUM($G237)=0,SUM($H237)=0)),"",SUM($H237)/SUM($G237))</f>
        <v/>
      </c>
      <c r="N237" s="88" t="str">
        <f aca="false">IF(OR($C237="01-09",$D237="Male",AND(SUM($G237)=0,SUM($I237)=0)),"",SUM($I237)/SUM($G237))</f>
        <v/>
      </c>
      <c r="O237" s="88" t="str">
        <f aca="false">IF(AND(SUM($G237)=0,SUM($J237)=0),"",SUM($J237)/SUM($G237))</f>
        <v/>
      </c>
      <c r="P237" s="88" t="str">
        <f aca="false">IF(OR($C237="01-09",$C237="10-14",$D237="Female",AND(SUM($G237)=0,SUM($K237)=0)),"",SUM($K237)/SUM($G237))</f>
        <v/>
      </c>
      <c r="Q237" s="88"/>
      <c r="R237" s="88"/>
      <c r="S237" s="88"/>
      <c r="T237" s="88"/>
      <c r="U237" s="88"/>
      <c r="V237" s="88" t="str">
        <f aca="false">IF(SUM($G237)=0,"",SUM($M237:$U237))</f>
        <v/>
      </c>
      <c r="W237" s="88"/>
      <c r="X237" s="39" t="str">
        <f aca="false">IF(OR(SUM($G237)=0,SUM($Q237)=0),"",ROUND(SUM($G237)*SUM($Q237),0))</f>
        <v/>
      </c>
      <c r="Y237" s="39" t="str">
        <f aca="false">IF(SUM($X237)=0,"",IF(SUM($W237)=0,"ENTER YIELD",ROUND($X237/$W237,0)-$X237))</f>
        <v/>
      </c>
      <c r="Z237" s="88"/>
      <c r="AA237" s="39" t="str">
        <f aca="false">IF(OR(SUM($G237)=0,SUM($R237)=0),"",ROUND(SUM($G237)*SUM($R237),0))</f>
        <v/>
      </c>
      <c r="AB237" s="39" t="str">
        <f aca="false">IF(SUM($AA237)=0,"",IF(SUM($Z237)=0,"ENTER YIELD",ROUND($AA237/$Z237,0)-$AA237))</f>
        <v/>
      </c>
      <c r="AC237" s="88"/>
      <c r="AD237" s="39" t="str">
        <f aca="false">IF(OR(SUM($G237)=0,SUM($S237)=0),"",ROUND(SUM($G237)*SUM($S237),0))</f>
        <v/>
      </c>
      <c r="AE237" s="39" t="str">
        <f aca="false">IF(SUM($AD237)=0,"",IF(SUM($AC237)=0,"ENTER YIELD",ROUND($AD237/$AC237,0)-$AD237))</f>
        <v/>
      </c>
      <c r="AF237" s="88"/>
      <c r="AG237" s="39" t="str">
        <f aca="false">IF(OR(SUM($G237)=0,SUM($T237)=0),"",ROUND(SUM($G237)*SUM($T237),0))</f>
        <v/>
      </c>
      <c r="AH237" s="39" t="str">
        <f aca="false">IF(SUM($AG237)=0,"",IF(SUM($AF237)=0,"ENTER YIELD",ROUND($AG237/$AF237,0)-$AG237))</f>
        <v/>
      </c>
      <c r="AI237" s="88"/>
      <c r="AJ237" s="39" t="str">
        <f aca="false">IF(OR(SUM($G237)=0,SUM($U237)=0),"",ROUND(SUM($G237)*SUM($U237),0))</f>
        <v/>
      </c>
      <c r="AK237" s="39" t="str">
        <f aca="false">IF(SUM($AJ237)=0,"",IF(SUM($AI237)=0,"ENTER YIELD",ROUND($AJ237/$AI237,0)-$AJ237))</f>
        <v/>
      </c>
      <c r="AL237" s="10" t="str">
        <f aca="false">IF(SUM($G237)=0,"",$G237)</f>
        <v/>
      </c>
      <c r="AM237" s="10" t="str">
        <f aca="false">IFERROR(1/(1/SUM($H237:$K237,$X237,$AA237,$AD237,$AG237,$AJ237)),"")</f>
        <v/>
      </c>
      <c r="AN237" s="10" t="str">
        <f aca="false">IF(AND(SUM($AM237)=0,SUM($AL237)=0),"",$AM237-$AL237)</f>
        <v/>
      </c>
      <c r="AO237" s="10" t="str">
        <f aca="false">IF(OR($C237="01-09",$D237="Male"),"",INDEX(PMTCT!$AD:$AD,MATCH($E237,PMTCT!$E:$E,0)))</f>
        <v/>
      </c>
      <c r="AP237" s="10" t="str">
        <f aca="false">IF(OR($C237="01-09",$D237="Male"),"",INDEX(PMTCT!$AT:$AT,MATCH($E237,PMTCT!$E:$E,0)))</f>
        <v/>
      </c>
      <c r="AQ237" s="10" t="str">
        <f aca="false">INDEX(TB!$Q:$Q,MATCH($E237,TB!$E:$E,0))</f>
        <v/>
      </c>
      <c r="AR237" s="10" t="str">
        <f aca="false">IF(OR($C237="01-09",$C237="10-14",$D237="Female"),"",INDEX(VMMC!$AB:$AB,MATCH($E237,VMMC!$E:$E,0)))</f>
        <v/>
      </c>
      <c r="AS237" s="10" t="str">
        <f aca="false">IF(OR($C237="01-09",$C237="10-14"),"",INDEX(PrEP!$Q:$Q,MATCH($E237,PrEP!$E:$E,0)))</f>
        <v/>
      </c>
      <c r="AT237" s="10" t="str">
        <f aca="false">IFERROR(1/(1/SUM($Y237,$AB237,$AE237,$AH237,$AK237,$AO237:$AS237)),"")</f>
        <v/>
      </c>
      <c r="AU237" s="10" t="str">
        <f aca="false">IFERROR(1/(1/SUM($AT237,$AM237)),"")</f>
        <v/>
      </c>
      <c r="AV237" s="88" t="str">
        <f aca="false">IF(AND(SUM($AM237)=0,SUM($AU237)=0),"",$AM237/$AU237)</f>
        <v/>
      </c>
      <c r="AW237" s="10"/>
      <c r="AX237" s="88" t="str">
        <f aca="false">IF(OR($C237="01-09",SUM($AW237)=0),"",0%)</f>
        <v/>
      </c>
      <c r="AY237" s="39" t="str">
        <f aca="false">IF(OR($C237="01-09",SUM($AW237)=0),"",ROUND($AW237*(1+$AX237),0))</f>
        <v/>
      </c>
      <c r="AZ237" s="88" t="n">
        <f aca="false">IF(OR($C237="01-09",$C237="10-14"),"",100%)</f>
        <v>1</v>
      </c>
      <c r="BA237" s="39" t="str">
        <f aca="false">IF(OR(SUM($AM237)=0,$C237="01-09",$C237="10-14"),"",$AM237*$AZ237)</f>
        <v/>
      </c>
    </row>
    <row r="238" customFormat="false" ht="15" hidden="false" customHeight="false" outlineLevel="0" collapsed="false">
      <c r="A238" s="0" t="str">
        <f aca="false">INDEX(Prioritization!$D:$D,MATCH($B238,Prioritization!$A:$A,0))</f>
        <v>1 - Scale-up: Saturation</v>
      </c>
      <c r="B238" s="0" t="s">
        <v>212</v>
      </c>
      <c r="C238" s="0" t="s">
        <v>366</v>
      </c>
      <c r="D238" s="0" t="s">
        <v>48</v>
      </c>
      <c r="E238" s="0" t="str">
        <f aca="false">$B238&amp;"|"&amp;$C238&amp;"|"&amp;$D238</f>
        <v>Chikwawa District [U8c0so51kT6]|25-34|Male</v>
      </c>
      <c r="F238" s="88" t="n">
        <f aca="false">IF(LEFT($B238,4)="_Mil","",INDEX(Cascade!$AA:$AA,MATCH($E238,Cascade!$E:$E,0)))</f>
        <v>1897</v>
      </c>
      <c r="G238" s="10" t="n">
        <f aca="false">INDEX(Cascade!$BH:$BH,MATCH($E238,Cascade!$E:$E,0))</f>
        <v>0</v>
      </c>
      <c r="H238" s="10" t="str">
        <f aca="false">IF(OR($C238="01-09",$D238="Male"),"",INDEX(PMTCT!$AC:$AC,MATCH($E238,PMTCT!$E:$E,0)))</f>
        <v/>
      </c>
      <c r="I238" s="10" t="str">
        <f aca="false">IF(OR($C238="01-09",$D238="Male"),"",INDEX(PMTCT!$AS:$AS,MATCH($E238,PMTCT!$E:$E,0)))</f>
        <v/>
      </c>
      <c r="J238" s="10" t="str">
        <f aca="false">INDEX(TB!$P:$P,MATCH($E238,TB!$E:$E,0))</f>
        <v/>
      </c>
      <c r="K238" s="10" t="str">
        <f aca="false">IF(OR($C238="01-09",$C238="10-14",$D238="Female"),"",INDEX(VMMC!$AA:$AA,MATCH($E238,VMMC!$E:$E,0)))</f>
        <v/>
      </c>
      <c r="L238" s="10" t="n">
        <f aca="false">SUM($G238)-SUM($H238:$K238)</f>
        <v>0</v>
      </c>
      <c r="M238" s="88" t="str">
        <f aca="false">IF(OR($C238="01-09",$D238="Male",AND(SUM($G238)=0,SUM($H238)=0)),"",SUM($H238)/SUM($G238))</f>
        <v/>
      </c>
      <c r="N238" s="88" t="str">
        <f aca="false">IF(OR($C238="01-09",$D238="Male",AND(SUM($G238)=0,SUM($I238)=0)),"",SUM($I238)/SUM($G238))</f>
        <v/>
      </c>
      <c r="O238" s="88" t="str">
        <f aca="false">IF(AND(SUM($G238)=0,SUM($J238)=0),"",SUM($J238)/SUM($G238))</f>
        <v/>
      </c>
      <c r="P238" s="88" t="str">
        <f aca="false">IF(OR($C238="01-09",$C238="10-14",$D238="Female",AND(SUM($G238)=0,SUM($K238)=0)),"",SUM($K238)/SUM($G238))</f>
        <v/>
      </c>
      <c r="Q238" s="88"/>
      <c r="R238" s="88"/>
      <c r="S238" s="88"/>
      <c r="T238" s="88"/>
      <c r="U238" s="88"/>
      <c r="V238" s="88" t="str">
        <f aca="false">IF(SUM($G238)=0,"",SUM($M238:$U238))</f>
        <v/>
      </c>
      <c r="W238" s="88"/>
      <c r="X238" s="39" t="str">
        <f aca="false">IF(OR(SUM($G238)=0,SUM($Q238)=0),"",ROUND(SUM($G238)*SUM($Q238),0))</f>
        <v/>
      </c>
      <c r="Y238" s="39" t="str">
        <f aca="false">IF(SUM($X238)=0,"",IF(SUM($W238)=0,"ENTER YIELD",ROUND($X238/$W238,0)-$X238))</f>
        <v/>
      </c>
      <c r="Z238" s="88"/>
      <c r="AA238" s="39" t="str">
        <f aca="false">IF(OR(SUM($G238)=0,SUM($R238)=0),"",ROUND(SUM($G238)*SUM($R238),0))</f>
        <v/>
      </c>
      <c r="AB238" s="39" t="str">
        <f aca="false">IF(SUM($AA238)=0,"",IF(SUM($Z238)=0,"ENTER YIELD",ROUND($AA238/$Z238,0)-$AA238))</f>
        <v/>
      </c>
      <c r="AC238" s="88"/>
      <c r="AD238" s="39" t="str">
        <f aca="false">IF(OR(SUM($G238)=0,SUM($S238)=0),"",ROUND(SUM($G238)*SUM($S238),0))</f>
        <v/>
      </c>
      <c r="AE238" s="39" t="str">
        <f aca="false">IF(SUM($AD238)=0,"",IF(SUM($AC238)=0,"ENTER YIELD",ROUND($AD238/$AC238,0)-$AD238))</f>
        <v/>
      </c>
      <c r="AF238" s="88"/>
      <c r="AG238" s="39" t="str">
        <f aca="false">IF(OR(SUM($G238)=0,SUM($T238)=0),"",ROUND(SUM($G238)*SUM($T238),0))</f>
        <v/>
      </c>
      <c r="AH238" s="39" t="str">
        <f aca="false">IF(SUM($AG238)=0,"",IF(SUM($AF238)=0,"ENTER YIELD",ROUND($AG238/$AF238,0)-$AG238))</f>
        <v/>
      </c>
      <c r="AI238" s="88"/>
      <c r="AJ238" s="39" t="str">
        <f aca="false">IF(OR(SUM($G238)=0,SUM($U238)=0),"",ROUND(SUM($G238)*SUM($U238),0))</f>
        <v/>
      </c>
      <c r="AK238" s="39" t="str">
        <f aca="false">IF(SUM($AJ238)=0,"",IF(SUM($AI238)=0,"ENTER YIELD",ROUND($AJ238/$AI238,0)-$AJ238))</f>
        <v/>
      </c>
      <c r="AL238" s="10" t="str">
        <f aca="false">IF(SUM($G238)=0,"",$G238)</f>
        <v/>
      </c>
      <c r="AM238" s="10" t="str">
        <f aca="false">IFERROR(1/(1/SUM($H238:$K238,$X238,$AA238,$AD238,$AG238,$AJ238)),"")</f>
        <v/>
      </c>
      <c r="AN238" s="10" t="str">
        <f aca="false">IF(AND(SUM($AM238)=0,SUM($AL238)=0),"",$AM238-$AL238)</f>
        <v/>
      </c>
      <c r="AO238" s="10" t="str">
        <f aca="false">IF(OR($C238="01-09",$D238="Male"),"",INDEX(PMTCT!$AD:$AD,MATCH($E238,PMTCT!$E:$E,0)))</f>
        <v/>
      </c>
      <c r="AP238" s="10" t="str">
        <f aca="false">IF(OR($C238="01-09",$D238="Male"),"",INDEX(PMTCT!$AT:$AT,MATCH($E238,PMTCT!$E:$E,0)))</f>
        <v/>
      </c>
      <c r="AQ238" s="10" t="str">
        <f aca="false">INDEX(TB!$Q:$Q,MATCH($E238,TB!$E:$E,0))</f>
        <v/>
      </c>
      <c r="AR238" s="10" t="str">
        <f aca="false">IF(OR($C238="01-09",$C238="10-14",$D238="Female"),"",INDEX(VMMC!$AB:$AB,MATCH($E238,VMMC!$E:$E,0)))</f>
        <v/>
      </c>
      <c r="AS238" s="10" t="str">
        <f aca="false">IF(OR($C238="01-09",$C238="10-14"),"",INDEX(PrEP!$Q:$Q,MATCH($E238,PrEP!$E:$E,0)))</f>
        <v/>
      </c>
      <c r="AT238" s="10" t="str">
        <f aca="false">IFERROR(1/(1/SUM($Y238,$AB238,$AE238,$AH238,$AK238,$AO238:$AS238)),"")</f>
        <v/>
      </c>
      <c r="AU238" s="10" t="str">
        <f aca="false">IFERROR(1/(1/SUM($AT238,$AM238)),"")</f>
        <v/>
      </c>
      <c r="AV238" s="88" t="str">
        <f aca="false">IF(AND(SUM($AM238)=0,SUM($AU238)=0),"",$AM238/$AU238)</f>
        <v/>
      </c>
      <c r="AW238" s="10"/>
      <c r="AX238" s="88" t="str">
        <f aca="false">IF(OR($C238="01-09",SUM($AW238)=0),"",0%)</f>
        <v/>
      </c>
      <c r="AY238" s="39" t="str">
        <f aca="false">IF(OR($C238="01-09",SUM($AW238)=0),"",ROUND($AW238*(1+$AX238),0))</f>
        <v/>
      </c>
      <c r="AZ238" s="88" t="n">
        <f aca="false">IF(OR($C238="01-09",$C238="10-14"),"",100%)</f>
        <v>1</v>
      </c>
      <c r="BA238" s="39" t="str">
        <f aca="false">IF(OR(SUM($AM238)=0,$C238="01-09",$C238="10-14"),"",$AM238*$AZ238)</f>
        <v/>
      </c>
    </row>
    <row r="239" customFormat="false" ht="15" hidden="false" customHeight="false" outlineLevel="0" collapsed="false">
      <c r="A239" s="0" t="str">
        <f aca="false">INDEX(Prioritization!$D:$D,MATCH($B239,Prioritization!$A:$A,0))</f>
        <v>1 - Scale-up: Saturation</v>
      </c>
      <c r="B239" s="0" t="s">
        <v>212</v>
      </c>
      <c r="C239" s="0" t="s">
        <v>367</v>
      </c>
      <c r="D239" s="0" t="s">
        <v>30</v>
      </c>
      <c r="E239" s="0" t="str">
        <f aca="false">$B239&amp;"|"&amp;$C239&amp;"|"&amp;$D239</f>
        <v>Chikwawa District [U8c0so51kT6]|35-49|Female</v>
      </c>
      <c r="F239" s="88" t="n">
        <f aca="false">IF(LEFT($B239,4)="_Mil","",INDEX(Cascade!$AA:$AA,MATCH($E239,Cascade!$E:$E,0)))</f>
        <v>1024</v>
      </c>
      <c r="G239" s="10" t="n">
        <f aca="false">INDEX(Cascade!$BH:$BH,MATCH($E239,Cascade!$E:$E,0))</f>
        <v>0</v>
      </c>
      <c r="H239" s="10" t="str">
        <f aca="false">IF(OR($C239="01-09",$D239="Male"),"",INDEX(PMTCT!$AC:$AC,MATCH($E239,PMTCT!$E:$E,0)))</f>
        <v/>
      </c>
      <c r="I239" s="10" t="str">
        <f aca="false">IF(OR($C239="01-09",$D239="Male"),"",INDEX(PMTCT!$AS:$AS,MATCH($E239,PMTCT!$E:$E,0)))</f>
        <v/>
      </c>
      <c r="J239" s="10" t="str">
        <f aca="false">INDEX(TB!$P:$P,MATCH($E239,TB!$E:$E,0))</f>
        <v/>
      </c>
      <c r="K239" s="10" t="str">
        <f aca="false">IF(OR($C239="01-09",$C239="10-14",$D239="Female"),"",INDEX(VMMC!$AA:$AA,MATCH($E239,VMMC!$E:$E,0)))</f>
        <v/>
      </c>
      <c r="L239" s="10" t="n">
        <f aca="false">SUM($G239)-SUM($H239:$K239)</f>
        <v>0</v>
      </c>
      <c r="M239" s="88" t="str">
        <f aca="false">IF(OR($C239="01-09",$D239="Male",AND(SUM($G239)=0,SUM($H239)=0)),"",SUM($H239)/SUM($G239))</f>
        <v/>
      </c>
      <c r="N239" s="88" t="str">
        <f aca="false">IF(OR($C239="01-09",$D239="Male",AND(SUM($G239)=0,SUM($I239)=0)),"",SUM($I239)/SUM($G239))</f>
        <v/>
      </c>
      <c r="O239" s="88" t="str">
        <f aca="false">IF(AND(SUM($G239)=0,SUM($J239)=0),"",SUM($J239)/SUM($G239))</f>
        <v/>
      </c>
      <c r="P239" s="88" t="str">
        <f aca="false">IF(OR($C239="01-09",$C239="10-14",$D239="Female",AND(SUM($G239)=0,SUM($K239)=0)),"",SUM($K239)/SUM($G239))</f>
        <v/>
      </c>
      <c r="Q239" s="88"/>
      <c r="R239" s="88"/>
      <c r="S239" s="88"/>
      <c r="T239" s="88"/>
      <c r="U239" s="88"/>
      <c r="V239" s="88" t="str">
        <f aca="false">IF(SUM($G239)=0,"",SUM($M239:$U239))</f>
        <v/>
      </c>
      <c r="W239" s="88"/>
      <c r="X239" s="39" t="str">
        <f aca="false">IF(OR(SUM($G239)=0,SUM($Q239)=0),"",ROUND(SUM($G239)*SUM($Q239),0))</f>
        <v/>
      </c>
      <c r="Y239" s="39" t="str">
        <f aca="false">IF(SUM($X239)=0,"",IF(SUM($W239)=0,"ENTER YIELD",ROUND($X239/$W239,0)-$X239))</f>
        <v/>
      </c>
      <c r="Z239" s="88"/>
      <c r="AA239" s="39" t="str">
        <f aca="false">IF(OR(SUM($G239)=0,SUM($R239)=0),"",ROUND(SUM($G239)*SUM($R239),0))</f>
        <v/>
      </c>
      <c r="AB239" s="39" t="str">
        <f aca="false">IF(SUM($AA239)=0,"",IF(SUM($Z239)=0,"ENTER YIELD",ROUND($AA239/$Z239,0)-$AA239))</f>
        <v/>
      </c>
      <c r="AC239" s="88"/>
      <c r="AD239" s="39" t="str">
        <f aca="false">IF(OR(SUM($G239)=0,SUM($S239)=0),"",ROUND(SUM($G239)*SUM($S239),0))</f>
        <v/>
      </c>
      <c r="AE239" s="39" t="str">
        <f aca="false">IF(SUM($AD239)=0,"",IF(SUM($AC239)=0,"ENTER YIELD",ROUND($AD239/$AC239,0)-$AD239))</f>
        <v/>
      </c>
      <c r="AF239" s="88"/>
      <c r="AG239" s="39" t="str">
        <f aca="false">IF(OR(SUM($G239)=0,SUM($T239)=0),"",ROUND(SUM($G239)*SUM($T239),0))</f>
        <v/>
      </c>
      <c r="AH239" s="39" t="str">
        <f aca="false">IF(SUM($AG239)=0,"",IF(SUM($AF239)=0,"ENTER YIELD",ROUND($AG239/$AF239,0)-$AG239))</f>
        <v/>
      </c>
      <c r="AI239" s="88"/>
      <c r="AJ239" s="39" t="str">
        <f aca="false">IF(OR(SUM($G239)=0,SUM($U239)=0),"",ROUND(SUM($G239)*SUM($U239),0))</f>
        <v/>
      </c>
      <c r="AK239" s="39" t="str">
        <f aca="false">IF(SUM($AJ239)=0,"",IF(SUM($AI239)=0,"ENTER YIELD",ROUND($AJ239/$AI239,0)-$AJ239))</f>
        <v/>
      </c>
      <c r="AL239" s="10" t="str">
        <f aca="false">IF(SUM($G239)=0,"",$G239)</f>
        <v/>
      </c>
      <c r="AM239" s="10" t="str">
        <f aca="false">IFERROR(1/(1/SUM($H239:$K239,$X239,$AA239,$AD239,$AG239,$AJ239)),"")</f>
        <v/>
      </c>
      <c r="AN239" s="10" t="str">
        <f aca="false">IF(AND(SUM($AM239)=0,SUM($AL239)=0),"",$AM239-$AL239)</f>
        <v/>
      </c>
      <c r="AO239" s="10" t="str">
        <f aca="false">IF(OR($C239="01-09",$D239="Male"),"",INDEX(PMTCT!$AD:$AD,MATCH($E239,PMTCT!$E:$E,0)))</f>
        <v/>
      </c>
      <c r="AP239" s="10" t="str">
        <f aca="false">IF(OR($C239="01-09",$D239="Male"),"",INDEX(PMTCT!$AT:$AT,MATCH($E239,PMTCT!$E:$E,0)))</f>
        <v/>
      </c>
      <c r="AQ239" s="10" t="str">
        <f aca="false">INDEX(TB!$Q:$Q,MATCH($E239,TB!$E:$E,0))</f>
        <v/>
      </c>
      <c r="AR239" s="10" t="str">
        <f aca="false">IF(OR($C239="01-09",$C239="10-14",$D239="Female"),"",INDEX(VMMC!$AB:$AB,MATCH($E239,VMMC!$E:$E,0)))</f>
        <v/>
      </c>
      <c r="AS239" s="10" t="str">
        <f aca="false">IF(OR($C239="01-09",$C239="10-14"),"",INDEX(PrEP!$Q:$Q,MATCH($E239,PrEP!$E:$E,0)))</f>
        <v/>
      </c>
      <c r="AT239" s="10" t="str">
        <f aca="false">IFERROR(1/(1/SUM($Y239,$AB239,$AE239,$AH239,$AK239,$AO239:$AS239)),"")</f>
        <v/>
      </c>
      <c r="AU239" s="10" t="str">
        <f aca="false">IFERROR(1/(1/SUM($AT239,$AM239)),"")</f>
        <v/>
      </c>
      <c r="AV239" s="88" t="str">
        <f aca="false">IF(AND(SUM($AM239)=0,SUM($AU239)=0),"",$AM239/$AU239)</f>
        <v/>
      </c>
      <c r="AW239" s="10"/>
      <c r="AX239" s="88" t="str">
        <f aca="false">IF(OR($C239="01-09",SUM($AW239)=0),"",0%)</f>
        <v/>
      </c>
      <c r="AY239" s="39" t="str">
        <f aca="false">IF(OR($C239="01-09",SUM($AW239)=0),"",ROUND($AW239*(1+$AX239),0))</f>
        <v/>
      </c>
      <c r="AZ239" s="88" t="n">
        <f aca="false">IF(OR($C239="01-09",$C239="10-14"),"",100%)</f>
        <v>1</v>
      </c>
      <c r="BA239" s="39" t="str">
        <f aca="false">IF(OR(SUM($AM239)=0,$C239="01-09",$C239="10-14"),"",$AM239*$AZ239)</f>
        <v/>
      </c>
    </row>
    <row r="240" customFormat="false" ht="15" hidden="false" customHeight="false" outlineLevel="0" collapsed="false">
      <c r="A240" s="0" t="str">
        <f aca="false">INDEX(Prioritization!$D:$D,MATCH($B240,Prioritization!$A:$A,0))</f>
        <v>1 - Scale-up: Saturation</v>
      </c>
      <c r="B240" s="0" t="s">
        <v>212</v>
      </c>
      <c r="C240" s="0" t="s">
        <v>367</v>
      </c>
      <c r="D240" s="0" t="s">
        <v>48</v>
      </c>
      <c r="E240" s="0" t="str">
        <f aca="false">$B240&amp;"|"&amp;$C240&amp;"|"&amp;$D240</f>
        <v>Chikwawa District [U8c0so51kT6]|35-49|Male</v>
      </c>
      <c r="F240" s="88" t="n">
        <f aca="false">IF(LEFT($B240,4)="_Mil","",INDEX(Cascade!$AA:$AA,MATCH($E240,Cascade!$E:$E,0)))</f>
        <v>506</v>
      </c>
      <c r="G240" s="10" t="n">
        <f aca="false">INDEX(Cascade!$BH:$BH,MATCH($E240,Cascade!$E:$E,0))</f>
        <v>0</v>
      </c>
      <c r="H240" s="10" t="str">
        <f aca="false">IF(OR($C240="01-09",$D240="Male"),"",INDEX(PMTCT!$AC:$AC,MATCH($E240,PMTCT!$E:$E,0)))</f>
        <v/>
      </c>
      <c r="I240" s="10" t="str">
        <f aca="false">IF(OR($C240="01-09",$D240="Male"),"",INDEX(PMTCT!$AS:$AS,MATCH($E240,PMTCT!$E:$E,0)))</f>
        <v/>
      </c>
      <c r="J240" s="10" t="str">
        <f aca="false">INDEX(TB!$P:$P,MATCH($E240,TB!$E:$E,0))</f>
        <v/>
      </c>
      <c r="K240" s="10" t="str">
        <f aca="false">IF(OR($C240="01-09",$C240="10-14",$D240="Female"),"",INDEX(VMMC!$AA:$AA,MATCH($E240,VMMC!$E:$E,0)))</f>
        <v/>
      </c>
      <c r="L240" s="10" t="n">
        <f aca="false">SUM($G240)-SUM($H240:$K240)</f>
        <v>0</v>
      </c>
      <c r="M240" s="88" t="str">
        <f aca="false">IF(OR($C240="01-09",$D240="Male",AND(SUM($G240)=0,SUM($H240)=0)),"",SUM($H240)/SUM($G240))</f>
        <v/>
      </c>
      <c r="N240" s="88" t="str">
        <f aca="false">IF(OR($C240="01-09",$D240="Male",AND(SUM($G240)=0,SUM($I240)=0)),"",SUM($I240)/SUM($G240))</f>
        <v/>
      </c>
      <c r="O240" s="88" t="str">
        <f aca="false">IF(AND(SUM($G240)=0,SUM($J240)=0),"",SUM($J240)/SUM($G240))</f>
        <v/>
      </c>
      <c r="P240" s="88" t="str">
        <f aca="false">IF(OR($C240="01-09",$C240="10-14",$D240="Female",AND(SUM($G240)=0,SUM($K240)=0)),"",SUM($K240)/SUM($G240))</f>
        <v/>
      </c>
      <c r="Q240" s="88"/>
      <c r="R240" s="88"/>
      <c r="S240" s="88"/>
      <c r="T240" s="88"/>
      <c r="U240" s="88"/>
      <c r="V240" s="88" t="str">
        <f aca="false">IF(SUM($G240)=0,"",SUM($M240:$U240))</f>
        <v/>
      </c>
      <c r="W240" s="88"/>
      <c r="X240" s="39" t="str">
        <f aca="false">IF(OR(SUM($G240)=0,SUM($Q240)=0),"",ROUND(SUM($G240)*SUM($Q240),0))</f>
        <v/>
      </c>
      <c r="Y240" s="39" t="str">
        <f aca="false">IF(SUM($X240)=0,"",IF(SUM($W240)=0,"ENTER YIELD",ROUND($X240/$W240,0)-$X240))</f>
        <v/>
      </c>
      <c r="Z240" s="88"/>
      <c r="AA240" s="39" t="str">
        <f aca="false">IF(OR(SUM($G240)=0,SUM($R240)=0),"",ROUND(SUM($G240)*SUM($R240),0))</f>
        <v/>
      </c>
      <c r="AB240" s="39" t="str">
        <f aca="false">IF(SUM($AA240)=0,"",IF(SUM($Z240)=0,"ENTER YIELD",ROUND($AA240/$Z240,0)-$AA240))</f>
        <v/>
      </c>
      <c r="AC240" s="88"/>
      <c r="AD240" s="39" t="str">
        <f aca="false">IF(OR(SUM($G240)=0,SUM($S240)=0),"",ROUND(SUM($G240)*SUM($S240),0))</f>
        <v/>
      </c>
      <c r="AE240" s="39" t="str">
        <f aca="false">IF(SUM($AD240)=0,"",IF(SUM($AC240)=0,"ENTER YIELD",ROUND($AD240/$AC240,0)-$AD240))</f>
        <v/>
      </c>
      <c r="AF240" s="88"/>
      <c r="AG240" s="39" t="str">
        <f aca="false">IF(OR(SUM($G240)=0,SUM($T240)=0),"",ROUND(SUM($G240)*SUM($T240),0))</f>
        <v/>
      </c>
      <c r="AH240" s="39" t="str">
        <f aca="false">IF(SUM($AG240)=0,"",IF(SUM($AF240)=0,"ENTER YIELD",ROUND($AG240/$AF240,0)-$AG240))</f>
        <v/>
      </c>
      <c r="AI240" s="88"/>
      <c r="AJ240" s="39" t="str">
        <f aca="false">IF(OR(SUM($G240)=0,SUM($U240)=0),"",ROUND(SUM($G240)*SUM($U240),0))</f>
        <v/>
      </c>
      <c r="AK240" s="39" t="str">
        <f aca="false">IF(SUM($AJ240)=0,"",IF(SUM($AI240)=0,"ENTER YIELD",ROUND($AJ240/$AI240,0)-$AJ240))</f>
        <v/>
      </c>
      <c r="AL240" s="10" t="str">
        <f aca="false">IF(SUM($G240)=0,"",$G240)</f>
        <v/>
      </c>
      <c r="AM240" s="10" t="str">
        <f aca="false">IFERROR(1/(1/SUM($H240:$K240,$X240,$AA240,$AD240,$AG240,$AJ240)),"")</f>
        <v/>
      </c>
      <c r="AN240" s="10" t="str">
        <f aca="false">IF(AND(SUM($AM240)=0,SUM($AL240)=0),"",$AM240-$AL240)</f>
        <v/>
      </c>
      <c r="AO240" s="10" t="str">
        <f aca="false">IF(OR($C240="01-09",$D240="Male"),"",INDEX(PMTCT!$AD:$AD,MATCH($E240,PMTCT!$E:$E,0)))</f>
        <v/>
      </c>
      <c r="AP240" s="10" t="str">
        <f aca="false">IF(OR($C240="01-09",$D240="Male"),"",INDEX(PMTCT!$AT:$AT,MATCH($E240,PMTCT!$E:$E,0)))</f>
        <v/>
      </c>
      <c r="AQ240" s="10" t="str">
        <f aca="false">INDEX(TB!$Q:$Q,MATCH($E240,TB!$E:$E,0))</f>
        <v/>
      </c>
      <c r="AR240" s="10" t="str">
        <f aca="false">IF(OR($C240="01-09",$C240="10-14",$D240="Female"),"",INDEX(VMMC!$AB:$AB,MATCH($E240,VMMC!$E:$E,0)))</f>
        <v/>
      </c>
      <c r="AS240" s="10" t="str">
        <f aca="false">IF(OR($C240="01-09",$C240="10-14"),"",INDEX(PrEP!$Q:$Q,MATCH($E240,PrEP!$E:$E,0)))</f>
        <v/>
      </c>
      <c r="AT240" s="10" t="str">
        <f aca="false">IFERROR(1/(1/SUM($Y240,$AB240,$AE240,$AH240,$AK240,$AO240:$AS240)),"")</f>
        <v/>
      </c>
      <c r="AU240" s="10" t="str">
        <f aca="false">IFERROR(1/(1/SUM($AT240,$AM240)),"")</f>
        <v/>
      </c>
      <c r="AV240" s="88" t="str">
        <f aca="false">IF(AND(SUM($AM240)=0,SUM($AU240)=0),"",$AM240/$AU240)</f>
        <v/>
      </c>
      <c r="AW240" s="10"/>
      <c r="AX240" s="88" t="str">
        <f aca="false">IF(OR($C240="01-09",SUM($AW240)=0),"",0%)</f>
        <v/>
      </c>
      <c r="AY240" s="39" t="str">
        <f aca="false">IF(OR($C240="01-09",SUM($AW240)=0),"",ROUND($AW240*(1+$AX240),0))</f>
        <v/>
      </c>
      <c r="AZ240" s="88" t="n">
        <f aca="false">IF(OR($C240="01-09",$C240="10-14"),"",100%)</f>
        <v>1</v>
      </c>
      <c r="BA240" s="39" t="str">
        <f aca="false">IF(OR(SUM($AM240)=0,$C240="01-09",$C240="10-14"),"",$AM240*$AZ240)</f>
        <v/>
      </c>
    </row>
    <row r="241" customFormat="false" ht="15" hidden="false" customHeight="false" outlineLevel="0" collapsed="false">
      <c r="A241" s="0" t="str">
        <f aca="false">INDEX(Prioritization!$D:$D,MATCH($B241,Prioritization!$A:$A,0))</f>
        <v>1 - Scale-up: Saturation</v>
      </c>
      <c r="B241" s="0" t="s">
        <v>212</v>
      </c>
      <c r="C241" s="0" t="s">
        <v>368</v>
      </c>
      <c r="D241" s="0" t="s">
        <v>30</v>
      </c>
      <c r="E241" s="0" t="str">
        <f aca="false">$B241&amp;"|"&amp;$C241&amp;"|"&amp;$D241</f>
        <v>Chikwawa District [U8c0so51kT6]|50+|Female</v>
      </c>
      <c r="F241" s="88" t="n">
        <f aca="false">IF(LEFT($B241,4)="_Mil","",INDEX(Cascade!$AA:$AA,MATCH($E241,Cascade!$E:$E,0)))</f>
        <v>1469</v>
      </c>
      <c r="G241" s="10" t="n">
        <f aca="false">INDEX(Cascade!$BH:$BH,MATCH($E241,Cascade!$E:$E,0))</f>
        <v>0</v>
      </c>
      <c r="H241" s="10" t="str">
        <f aca="false">IF(OR($C241="01-09",$D241="Male"),"",INDEX(PMTCT!$AC:$AC,MATCH($E241,PMTCT!$E:$E,0)))</f>
        <v/>
      </c>
      <c r="I241" s="10" t="str">
        <f aca="false">IF(OR($C241="01-09",$D241="Male"),"",INDEX(PMTCT!$AS:$AS,MATCH($E241,PMTCT!$E:$E,0)))</f>
        <v/>
      </c>
      <c r="J241" s="10" t="str">
        <f aca="false">INDEX(TB!$P:$P,MATCH($E241,TB!$E:$E,0))</f>
        <v/>
      </c>
      <c r="K241" s="10" t="str">
        <f aca="false">IF(OR($C241="01-09",$C241="10-14",$D241="Female"),"",INDEX(VMMC!$AA:$AA,MATCH($E241,VMMC!$E:$E,0)))</f>
        <v/>
      </c>
      <c r="L241" s="10" t="n">
        <f aca="false">SUM($G241)-SUM($H241:$K241)</f>
        <v>0</v>
      </c>
      <c r="M241" s="88" t="str">
        <f aca="false">IF(OR($C241="01-09",$D241="Male",AND(SUM($G241)=0,SUM($H241)=0)),"",SUM($H241)/SUM($G241))</f>
        <v/>
      </c>
      <c r="N241" s="88" t="str">
        <f aca="false">IF(OR($C241="01-09",$D241="Male",AND(SUM($G241)=0,SUM($I241)=0)),"",SUM($I241)/SUM($G241))</f>
        <v/>
      </c>
      <c r="O241" s="88" t="str">
        <f aca="false">IF(AND(SUM($G241)=0,SUM($J241)=0),"",SUM($J241)/SUM($G241))</f>
        <v/>
      </c>
      <c r="P241" s="88" t="str">
        <f aca="false">IF(OR($C241="01-09",$C241="10-14",$D241="Female",AND(SUM($G241)=0,SUM($K241)=0)),"",SUM($K241)/SUM($G241))</f>
        <v/>
      </c>
      <c r="Q241" s="88"/>
      <c r="R241" s="88"/>
      <c r="S241" s="88"/>
      <c r="T241" s="88"/>
      <c r="U241" s="88" t="n">
        <v>0.629599858541042</v>
      </c>
      <c r="V241" s="88" t="str">
        <f aca="false">IF(SUM($G241)=0,"",SUM($M241:$U241))</f>
        <v/>
      </c>
      <c r="W241" s="88"/>
      <c r="X241" s="39" t="str">
        <f aca="false">IF(OR(SUM($G241)=0,SUM($Q241)=0),"",ROUND(SUM($G241)*SUM($Q241),0))</f>
        <v/>
      </c>
      <c r="Y241" s="39" t="str">
        <f aca="false">IF(SUM($X241)=0,"",IF(SUM($W241)=0,"ENTER YIELD",ROUND($X241/$W241,0)-$X241))</f>
        <v/>
      </c>
      <c r="Z241" s="88"/>
      <c r="AA241" s="39" t="str">
        <f aca="false">IF(OR(SUM($G241)=0,SUM($R241)=0),"",ROUND(SUM($G241)*SUM($R241),0))</f>
        <v/>
      </c>
      <c r="AB241" s="39" t="str">
        <f aca="false">IF(SUM($AA241)=0,"",IF(SUM($Z241)=0,"ENTER YIELD",ROUND($AA241/$Z241,0)-$AA241))</f>
        <v/>
      </c>
      <c r="AC241" s="88"/>
      <c r="AD241" s="39" t="str">
        <f aca="false">IF(OR(SUM($G241)=0,SUM($S241)=0),"",ROUND(SUM($G241)*SUM($S241),0))</f>
        <v/>
      </c>
      <c r="AE241" s="39" t="str">
        <f aca="false">IF(SUM($AD241)=0,"",IF(SUM($AC241)=0,"ENTER YIELD",ROUND($AD241/$AC241,0)-$AD241))</f>
        <v/>
      </c>
      <c r="AF241" s="88"/>
      <c r="AG241" s="39" t="str">
        <f aca="false">IF(OR(SUM($G241)=0,SUM($T241)=0),"",ROUND(SUM($G241)*SUM($T241),0))</f>
        <v/>
      </c>
      <c r="AH241" s="39" t="str">
        <f aca="false">IF(SUM($AG241)=0,"",IF(SUM($AF241)=0,"ENTER YIELD",ROUND($AG241/$AF241,0)-$AG241))</f>
        <v/>
      </c>
      <c r="AI241" s="88" t="n">
        <v>0.676231261109933</v>
      </c>
      <c r="AJ241" s="39" t="str">
        <f aca="false">IF(OR(SUM($G241)=0,SUM($U241)=0),"",ROUND(SUM($G241)*SUM($U241),0))</f>
        <v/>
      </c>
      <c r="AK241" s="39" t="str">
        <f aca="false">IF(SUM($AJ241)=0,"",IF(SUM($AI241)=0,"ENTER YIELD",ROUND($AJ241/$AI241,0)-$AJ241))</f>
        <v/>
      </c>
      <c r="AL241" s="10" t="str">
        <f aca="false">IF(SUM($G241)=0,"",$G241)</f>
        <v/>
      </c>
      <c r="AM241" s="10" t="str">
        <f aca="false">IFERROR(1/(1/SUM($H241:$K241,$X241,$AA241,$AD241,$AG241,$AJ241)),"")</f>
        <v/>
      </c>
      <c r="AN241" s="10" t="str">
        <f aca="false">IF(AND(SUM($AM241)=0,SUM($AL241)=0),"",$AM241-$AL241)</f>
        <v/>
      </c>
      <c r="AO241" s="10" t="str">
        <f aca="false">IF(OR($C241="01-09",$D241="Male"),"",INDEX(PMTCT!$AD:$AD,MATCH($E241,PMTCT!$E:$E,0)))</f>
        <v/>
      </c>
      <c r="AP241" s="10" t="str">
        <f aca="false">IF(OR($C241="01-09",$D241="Male"),"",INDEX(PMTCT!$AT:$AT,MATCH($E241,PMTCT!$E:$E,0)))</f>
        <v/>
      </c>
      <c r="AQ241" s="10" t="str">
        <f aca="false">INDEX(TB!$Q:$Q,MATCH($E241,TB!$E:$E,0))</f>
        <v/>
      </c>
      <c r="AR241" s="10" t="str">
        <f aca="false">IF(OR($C241="01-09",$C241="10-14",$D241="Female"),"",INDEX(VMMC!$AB:$AB,MATCH($E241,VMMC!$E:$E,0)))</f>
        <v/>
      </c>
      <c r="AS241" s="10" t="str">
        <f aca="false">IF(OR($C241="01-09",$C241="10-14"),"",INDEX(PrEP!$Q:$Q,MATCH($E241,PrEP!$E:$E,0)))</f>
        <v/>
      </c>
      <c r="AT241" s="10" t="str">
        <f aca="false">IFERROR(1/(1/SUM($Y241,$AB241,$AE241,$AH241,$AK241,$AO241:$AS241)),"")</f>
        <v/>
      </c>
      <c r="AU241" s="10" t="str">
        <f aca="false">IFERROR(1/(1/SUM($AT241,$AM241)),"")</f>
        <v/>
      </c>
      <c r="AV241" s="88" t="str">
        <f aca="false">IF(AND(SUM($AM241)=0,SUM($AU241)=0),"",$AM241/$AU241)</f>
        <v/>
      </c>
      <c r="AW241" s="10" t="n">
        <v>458</v>
      </c>
      <c r="AX241" s="88" t="n">
        <f aca="false">IF(OR($C241="01-09",SUM($AW241)=0),"",0%)</f>
        <v>0</v>
      </c>
      <c r="AY241" s="39" t="n">
        <f aca="false">IF(OR($C241="01-09",SUM($AW241)=0),"",ROUND($AW241*(1+$AX241),0))</f>
        <v>458</v>
      </c>
      <c r="AZ241" s="88" t="n">
        <f aca="false">IF(OR($C241="01-09",$C241="10-14"),"",100%)</f>
        <v>1</v>
      </c>
      <c r="BA241" s="39" t="str">
        <f aca="false">IF(OR(SUM($AM241)=0,$C241="01-09",$C241="10-14"),"",$AM241*$AZ241)</f>
        <v/>
      </c>
    </row>
    <row r="242" customFormat="false" ht="15" hidden="false" customHeight="false" outlineLevel="0" collapsed="false">
      <c r="A242" s="0" t="str">
        <f aca="false">INDEX(Prioritization!$D:$D,MATCH($B242,Prioritization!$A:$A,0))</f>
        <v>1 - Scale-up: Saturation</v>
      </c>
      <c r="B242" s="0" t="s">
        <v>212</v>
      </c>
      <c r="C242" s="0" t="s">
        <v>368</v>
      </c>
      <c r="D242" s="0" t="s">
        <v>48</v>
      </c>
      <c r="E242" s="0" t="str">
        <f aca="false">$B242&amp;"|"&amp;$C242&amp;"|"&amp;$D242</f>
        <v>Chikwawa District [U8c0so51kT6]|50+|Male</v>
      </c>
      <c r="F242" s="88" t="n">
        <f aca="false">IF(LEFT($B242,4)="_Mil","",INDEX(Cascade!$AA:$AA,MATCH($E242,Cascade!$E:$E,0)))</f>
        <v>1963</v>
      </c>
      <c r="G242" s="10" t="n">
        <f aca="false">INDEX(Cascade!$BH:$BH,MATCH($E242,Cascade!$E:$E,0))</f>
        <v>0</v>
      </c>
      <c r="H242" s="10" t="str">
        <f aca="false">IF(OR($C242="01-09",$D242="Male"),"",INDEX(PMTCT!$AC:$AC,MATCH($E242,PMTCT!$E:$E,0)))</f>
        <v/>
      </c>
      <c r="I242" s="10" t="str">
        <f aca="false">IF(OR($C242="01-09",$D242="Male"),"",INDEX(PMTCT!$AS:$AS,MATCH($E242,PMTCT!$E:$E,0)))</f>
        <v/>
      </c>
      <c r="J242" s="10" t="str">
        <f aca="false">INDEX(TB!$P:$P,MATCH($E242,TB!$E:$E,0))</f>
        <v/>
      </c>
      <c r="K242" s="10" t="str">
        <f aca="false">IF(OR($C242="01-09",$C242="10-14",$D242="Female"),"",INDEX(VMMC!$AA:$AA,MATCH($E242,VMMC!$E:$E,0)))</f>
        <v/>
      </c>
      <c r="L242" s="10" t="n">
        <f aca="false">SUM($G242)-SUM($H242:$K242)</f>
        <v>0</v>
      </c>
      <c r="M242" s="88" t="str">
        <f aca="false">IF(OR($C242="01-09",$D242="Male",AND(SUM($G242)=0,SUM($H242)=0)),"",SUM($H242)/SUM($G242))</f>
        <v/>
      </c>
      <c r="N242" s="88" t="str">
        <f aca="false">IF(OR($C242="01-09",$D242="Male",AND(SUM($G242)=0,SUM($I242)=0)),"",SUM($I242)/SUM($G242))</f>
        <v/>
      </c>
      <c r="O242" s="88" t="str">
        <f aca="false">IF(AND(SUM($G242)=0,SUM($J242)=0),"",SUM($J242)/SUM($G242))</f>
        <v/>
      </c>
      <c r="P242" s="88" t="str">
        <f aca="false">IF(OR($C242="01-09",$C242="10-14",$D242="Female",AND(SUM($G242)=0,SUM($K242)=0)),"",SUM($K242)/SUM($G242))</f>
        <v/>
      </c>
      <c r="Q242" s="88"/>
      <c r="R242" s="88"/>
      <c r="S242" s="88"/>
      <c r="T242" s="88"/>
      <c r="U242" s="88" t="n">
        <v>0.03590143378824</v>
      </c>
      <c r="V242" s="88" t="str">
        <f aca="false">IF(SUM($G242)=0,"",SUM($M242:$U242))</f>
        <v/>
      </c>
      <c r="W242" s="88"/>
      <c r="X242" s="39" t="str">
        <f aca="false">IF(OR(SUM($G242)=0,SUM($Q242)=0),"",ROUND(SUM($G242)*SUM($Q242),0))</f>
        <v/>
      </c>
      <c r="Y242" s="39" t="str">
        <f aca="false">IF(SUM($X242)=0,"",IF(SUM($W242)=0,"ENTER YIELD",ROUND($X242/$W242,0)-$X242))</f>
        <v/>
      </c>
      <c r="Z242" s="88"/>
      <c r="AA242" s="39" t="str">
        <f aca="false">IF(OR(SUM($G242)=0,SUM($R242)=0),"",ROUND(SUM($G242)*SUM($R242),0))</f>
        <v/>
      </c>
      <c r="AB242" s="39" t="str">
        <f aca="false">IF(SUM($AA242)=0,"",IF(SUM($Z242)=0,"ENTER YIELD",ROUND($AA242/$Z242,0)-$AA242))</f>
        <v/>
      </c>
      <c r="AC242" s="88"/>
      <c r="AD242" s="39" t="str">
        <f aca="false">IF(OR(SUM($G242)=0,SUM($S242)=0),"",ROUND(SUM($G242)*SUM($S242),0))</f>
        <v/>
      </c>
      <c r="AE242" s="39" t="str">
        <f aca="false">IF(SUM($AD242)=0,"",IF(SUM($AC242)=0,"ENTER YIELD",ROUND($AD242/$AC242,0)-$AD242))</f>
        <v/>
      </c>
      <c r="AF242" s="88"/>
      <c r="AG242" s="39" t="str">
        <f aca="false">IF(OR(SUM($G242)=0,SUM($T242)=0),"",ROUND(SUM($G242)*SUM($T242),0))</f>
        <v/>
      </c>
      <c r="AH242" s="39" t="str">
        <f aca="false">IF(SUM($AG242)=0,"",IF(SUM($AF242)=0,"ENTER YIELD",ROUND($AG242/$AF242,0)-$AG242))</f>
        <v/>
      </c>
      <c r="AI242" s="88" t="n">
        <v>0.796832224354148</v>
      </c>
      <c r="AJ242" s="39" t="str">
        <f aca="false">IF(OR(SUM($G242)=0,SUM($U242)=0),"",ROUND(SUM($G242)*SUM($U242),0))</f>
        <v/>
      </c>
      <c r="AK242" s="39" t="str">
        <f aca="false">IF(SUM($AJ242)=0,"",IF(SUM($AI242)=0,"ENTER YIELD",ROUND($AJ242/$AI242,0)-$AJ242))</f>
        <v/>
      </c>
      <c r="AL242" s="10" t="str">
        <f aca="false">IF(SUM($G242)=0,"",$G242)</f>
        <v/>
      </c>
      <c r="AM242" s="10" t="str">
        <f aca="false">IFERROR(1/(1/SUM($H242:$K242,$X242,$AA242,$AD242,$AG242,$AJ242)),"")</f>
        <v/>
      </c>
      <c r="AN242" s="10" t="str">
        <f aca="false">IF(AND(SUM($AM242)=0,SUM($AL242)=0),"",$AM242-$AL242)</f>
        <v/>
      </c>
      <c r="AO242" s="10" t="str">
        <f aca="false">IF(OR($C242="01-09",$D242="Male"),"",INDEX(PMTCT!$AD:$AD,MATCH($E242,PMTCT!$E:$E,0)))</f>
        <v/>
      </c>
      <c r="AP242" s="10" t="str">
        <f aca="false">IF(OR($C242="01-09",$D242="Male"),"",INDEX(PMTCT!$AT:$AT,MATCH($E242,PMTCT!$E:$E,0)))</f>
        <v/>
      </c>
      <c r="AQ242" s="10" t="str">
        <f aca="false">INDEX(TB!$Q:$Q,MATCH($E242,TB!$E:$E,0))</f>
        <v/>
      </c>
      <c r="AR242" s="10" t="str">
        <f aca="false">IF(OR($C242="01-09",$C242="10-14",$D242="Female"),"",INDEX(VMMC!$AB:$AB,MATCH($E242,VMMC!$E:$E,0)))</f>
        <v/>
      </c>
      <c r="AS242" s="10" t="str">
        <f aca="false">IF(OR($C242="01-09",$C242="10-14"),"",INDEX(PrEP!$Q:$Q,MATCH($E242,PrEP!$E:$E,0)))</f>
        <v/>
      </c>
      <c r="AT242" s="10" t="str">
        <f aca="false">IFERROR(1/(1/SUM($Y242,$AB242,$AE242,$AH242,$AK242,$AO242:$AS242)),"")</f>
        <v/>
      </c>
      <c r="AU242" s="10" t="str">
        <f aca="false">IFERROR(1/(1/SUM($AT242,$AM242)),"")</f>
        <v/>
      </c>
      <c r="AV242" s="88" t="str">
        <f aca="false">IF(AND(SUM($AM242)=0,SUM($AU242)=0),"",$AM242/$AU242)</f>
        <v/>
      </c>
      <c r="AW242" s="10" t="n">
        <v>890</v>
      </c>
      <c r="AX242" s="88" t="n">
        <f aca="false">IF(OR($C242="01-09",SUM($AW242)=0),"",0%)</f>
        <v>0</v>
      </c>
      <c r="AY242" s="39" t="n">
        <f aca="false">IF(OR($C242="01-09",SUM($AW242)=0),"",ROUND($AW242*(1+$AX242),0))</f>
        <v>890</v>
      </c>
      <c r="AZ242" s="88" t="n">
        <f aca="false">IF(OR($C242="01-09",$C242="10-14"),"",100%)</f>
        <v>1</v>
      </c>
      <c r="BA242" s="39" t="str">
        <f aca="false">IF(OR(SUM($AM242)=0,$C242="01-09",$C242="10-14"),"",$AM242*$AZ242)</f>
        <v/>
      </c>
    </row>
    <row r="243" customFormat="false" ht="15" hidden="false" customHeight="false" outlineLevel="0" collapsed="false">
      <c r="A243" s="0" t="str">
        <f aca="false">INDEX(Prioritization!$D:$D,MATCH($B243,Prioritization!$A:$A,0))</f>
        <v>1 - Scale-up: Saturation</v>
      </c>
      <c r="B243" s="0" t="s">
        <v>213</v>
      </c>
      <c r="C243" s="0" t="s">
        <v>363</v>
      </c>
      <c r="D243" s="0" t="s">
        <v>30</v>
      </c>
      <c r="E243" s="0" t="str">
        <f aca="false">$B243&amp;"|"&amp;$C243&amp;"|"&amp;$D243</f>
        <v>Chiradzulu District [oiPR2CiVJbf]|01-09|Female</v>
      </c>
      <c r="F243" s="88" t="n">
        <f aca="false">IF(LEFT($B243,4)="_Mil","",INDEX(Cascade!$AA:$AA,MATCH($E243,Cascade!$E:$E,0)))</f>
        <v>607</v>
      </c>
      <c r="G243" s="10" t="n">
        <f aca="false">INDEX(Cascade!$BH:$BH,MATCH($E243,Cascade!$E:$E,0))</f>
        <v>0</v>
      </c>
      <c r="H243" s="10" t="str">
        <f aca="false">IF(OR($C243="01-09",$D243="Male"),"",INDEX(PMTCT!$AC:$AC,MATCH($E243,PMTCT!$E:$E,0)))</f>
        <v/>
      </c>
      <c r="I243" s="10" t="str">
        <f aca="false">IF(OR($C243="01-09",$D243="Male"),"",INDEX(PMTCT!$AS:$AS,MATCH($E243,PMTCT!$E:$E,0)))</f>
        <v/>
      </c>
      <c r="J243" s="10" t="str">
        <f aca="false">INDEX(TB!$P:$P,MATCH($E243,TB!$E:$E,0))</f>
        <v/>
      </c>
      <c r="K243" s="10" t="str">
        <f aca="false">IF(OR($C243="01-09",$C243="10-14",$D243="Female"),"",INDEX(VMMC!$AA:$AA,MATCH($E243,VMMC!$E:$E,0)))</f>
        <v/>
      </c>
      <c r="L243" s="10" t="n">
        <f aca="false">SUM($G243)-SUM($H243:$K243)</f>
        <v>0</v>
      </c>
      <c r="M243" s="88" t="str">
        <f aca="false">IF(OR($C243="01-09",$D243="Male",AND(SUM($G243)=0,SUM($H243)=0)),"",SUM($H243)/SUM($G243))</f>
        <v/>
      </c>
      <c r="N243" s="88" t="str">
        <f aca="false">IF(OR($C243="01-09",$D243="Male",AND(SUM($G243)=0,SUM($I243)=0)),"",SUM($I243)/SUM($G243))</f>
        <v/>
      </c>
      <c r="O243" s="88" t="str">
        <f aca="false">IF(AND(SUM($G243)=0,SUM($J243)=0),"",SUM($J243)/SUM($G243))</f>
        <v/>
      </c>
      <c r="P243" s="88" t="str">
        <f aca="false">IF(OR($C243="01-09",$C243="10-14",$D243="Female",AND(SUM($G243)=0,SUM($K243)=0)),"",SUM($K243)/SUM($G243))</f>
        <v/>
      </c>
      <c r="Q243" s="88"/>
      <c r="R243" s="88"/>
      <c r="S243" s="88"/>
      <c r="T243" s="88"/>
      <c r="U243" s="88"/>
      <c r="V243" s="88" t="str">
        <f aca="false">IF(SUM($G243)=0,"",SUM($M243:$U243))</f>
        <v/>
      </c>
      <c r="W243" s="88"/>
      <c r="X243" s="39" t="str">
        <f aca="false">IF(OR(SUM($G243)=0,SUM($Q243)=0),"",ROUND(SUM($G243)*SUM($Q243),0))</f>
        <v/>
      </c>
      <c r="Y243" s="39" t="str">
        <f aca="false">IF(SUM($X243)=0,"",IF(SUM($W243)=0,"ENTER YIELD",ROUND($X243/$W243,0)-$X243))</f>
        <v/>
      </c>
      <c r="Z243" s="88"/>
      <c r="AA243" s="39" t="str">
        <f aca="false">IF(OR(SUM($G243)=0,SUM($R243)=0),"",ROUND(SUM($G243)*SUM($R243),0))</f>
        <v/>
      </c>
      <c r="AB243" s="39" t="str">
        <f aca="false">IF(SUM($AA243)=0,"",IF(SUM($Z243)=0,"ENTER YIELD",ROUND($AA243/$Z243,0)-$AA243))</f>
        <v/>
      </c>
      <c r="AC243" s="88"/>
      <c r="AD243" s="39" t="str">
        <f aca="false">IF(OR(SUM($G243)=0,SUM($S243)=0),"",ROUND(SUM($G243)*SUM($S243),0))</f>
        <v/>
      </c>
      <c r="AE243" s="39" t="str">
        <f aca="false">IF(SUM($AD243)=0,"",IF(SUM($AC243)=0,"ENTER YIELD",ROUND($AD243/$AC243,0)-$AD243))</f>
        <v/>
      </c>
      <c r="AF243" s="88"/>
      <c r="AG243" s="39" t="str">
        <f aca="false">IF(OR(SUM($G243)=0,SUM($T243)=0),"",ROUND(SUM($G243)*SUM($T243),0))</f>
        <v/>
      </c>
      <c r="AH243" s="39" t="str">
        <f aca="false">IF(SUM($AG243)=0,"",IF(SUM($AF243)=0,"ENTER YIELD",ROUND($AG243/$AF243,0)-$AG243))</f>
        <v/>
      </c>
      <c r="AI243" s="88"/>
      <c r="AJ243" s="39" t="str">
        <f aca="false">IF(OR(SUM($G243)=0,SUM($U243)=0),"",ROUND(SUM($G243)*SUM($U243),0))</f>
        <v/>
      </c>
      <c r="AK243" s="39" t="str">
        <f aca="false">IF(SUM($AJ243)=0,"",IF(SUM($AI243)=0,"ENTER YIELD",ROUND($AJ243/$AI243,0)-$AJ243))</f>
        <v/>
      </c>
      <c r="AL243" s="10" t="str">
        <f aca="false">IF(SUM($G243)=0,"",$G243)</f>
        <v/>
      </c>
      <c r="AM243" s="10" t="str">
        <f aca="false">IFERROR(1/(1/SUM($H243:$K243,$X243,$AA243,$AD243,$AG243,$AJ243)),"")</f>
        <v/>
      </c>
      <c r="AN243" s="10" t="str">
        <f aca="false">IF(AND(SUM($AM243)=0,SUM($AL243)=0),"",$AM243-$AL243)</f>
        <v/>
      </c>
      <c r="AO243" s="10" t="str">
        <f aca="false">IF(OR($C243="01-09",$D243="Male"),"",INDEX(PMTCT!$AD:$AD,MATCH($E243,PMTCT!$E:$E,0)))</f>
        <v/>
      </c>
      <c r="AP243" s="10" t="str">
        <f aca="false">IF(OR($C243="01-09",$D243="Male"),"",INDEX(PMTCT!$AT:$AT,MATCH($E243,PMTCT!$E:$E,0)))</f>
        <v/>
      </c>
      <c r="AQ243" s="10" t="str">
        <f aca="false">INDEX(TB!$Q:$Q,MATCH($E243,TB!$E:$E,0))</f>
        <v/>
      </c>
      <c r="AR243" s="10" t="str">
        <f aca="false">IF(OR($C243="01-09",$C243="10-14",$D243="Female"),"",INDEX(VMMC!$AB:$AB,MATCH($E243,VMMC!$E:$E,0)))</f>
        <v/>
      </c>
      <c r="AS243" s="10" t="str">
        <f aca="false">IF(OR($C243="01-09",$C243="10-14"),"",INDEX(PrEP!$Q:$Q,MATCH($E243,PrEP!$E:$E,0)))</f>
        <v/>
      </c>
      <c r="AT243" s="10" t="str">
        <f aca="false">IFERROR(1/(1/SUM($Y243,$AB243,$AE243,$AH243,$AK243,$AO243:$AS243)),"")</f>
        <v/>
      </c>
      <c r="AU243" s="10" t="str">
        <f aca="false">IFERROR(1/(1/SUM($AT243,$AM243)),"")</f>
        <v/>
      </c>
      <c r="AV243" s="88" t="str">
        <f aca="false">IF(AND(SUM($AM243)=0,SUM($AU243)=0),"",$AM243/$AU243)</f>
        <v/>
      </c>
      <c r="AW243" s="10"/>
      <c r="AX243" s="88" t="str">
        <f aca="false">IF(OR($C243="01-09",SUM($AW243)=0),"",0%)</f>
        <v/>
      </c>
      <c r="AY243" s="39" t="str">
        <f aca="false">IF(OR($C243="01-09",SUM($AW243)=0),"",ROUND($AW243*(1+$AX243),0))</f>
        <v/>
      </c>
      <c r="AZ243" s="88" t="str">
        <f aca="false">IF(OR($C243="01-09",$C243="10-14"),"",100%)</f>
        <v/>
      </c>
      <c r="BA243" s="39" t="str">
        <f aca="false">IF(OR(SUM($AM243)=0,$C243="01-09",$C243="10-14"),"",$AM243*$AZ243)</f>
        <v/>
      </c>
    </row>
    <row r="244" customFormat="false" ht="15" hidden="false" customHeight="false" outlineLevel="0" collapsed="false">
      <c r="A244" s="0" t="str">
        <f aca="false">INDEX(Prioritization!$D:$D,MATCH($B244,Prioritization!$A:$A,0))</f>
        <v>1 - Scale-up: Saturation</v>
      </c>
      <c r="B244" s="0" t="s">
        <v>213</v>
      </c>
      <c r="C244" s="0" t="s">
        <v>363</v>
      </c>
      <c r="D244" s="0" t="s">
        <v>48</v>
      </c>
      <c r="E244" s="0" t="str">
        <f aca="false">$B244&amp;"|"&amp;$C244&amp;"|"&amp;$D244</f>
        <v>Chiradzulu District [oiPR2CiVJbf]|01-09|Male</v>
      </c>
      <c r="F244" s="88" t="n">
        <f aca="false">IF(LEFT($B244,4)="_Mil","",INDEX(Cascade!$AA:$AA,MATCH($E244,Cascade!$E:$E,0)))</f>
        <v>1387</v>
      </c>
      <c r="G244" s="10" t="n">
        <f aca="false">INDEX(Cascade!$BH:$BH,MATCH($E244,Cascade!$E:$E,0))</f>
        <v>0</v>
      </c>
      <c r="H244" s="10" t="str">
        <f aca="false">IF(OR($C244="01-09",$D244="Male"),"",INDEX(PMTCT!$AC:$AC,MATCH($E244,PMTCT!$E:$E,0)))</f>
        <v/>
      </c>
      <c r="I244" s="10" t="str">
        <f aca="false">IF(OR($C244="01-09",$D244="Male"),"",INDEX(PMTCT!$AS:$AS,MATCH($E244,PMTCT!$E:$E,0)))</f>
        <v/>
      </c>
      <c r="J244" s="10" t="str">
        <f aca="false">INDEX(TB!$P:$P,MATCH($E244,TB!$E:$E,0))</f>
        <v/>
      </c>
      <c r="K244" s="10" t="str">
        <f aca="false">IF(OR($C244="01-09",$C244="10-14",$D244="Female"),"",INDEX(VMMC!$AA:$AA,MATCH($E244,VMMC!$E:$E,0)))</f>
        <v/>
      </c>
      <c r="L244" s="10" t="n">
        <f aca="false">SUM($G244)-SUM($H244:$K244)</f>
        <v>0</v>
      </c>
      <c r="M244" s="88" t="str">
        <f aca="false">IF(OR($C244="01-09",$D244="Male",AND(SUM($G244)=0,SUM($H244)=0)),"",SUM($H244)/SUM($G244))</f>
        <v/>
      </c>
      <c r="N244" s="88" t="str">
        <f aca="false">IF(OR($C244="01-09",$D244="Male",AND(SUM($G244)=0,SUM($I244)=0)),"",SUM($I244)/SUM($G244))</f>
        <v/>
      </c>
      <c r="O244" s="88" t="str">
        <f aca="false">IF(AND(SUM($G244)=0,SUM($J244)=0),"",SUM($J244)/SUM($G244))</f>
        <v/>
      </c>
      <c r="P244" s="88" t="str">
        <f aca="false">IF(OR($C244="01-09",$C244="10-14",$D244="Female",AND(SUM($G244)=0,SUM($K244)=0)),"",SUM($K244)/SUM($G244))</f>
        <v/>
      </c>
      <c r="Q244" s="88"/>
      <c r="R244" s="88"/>
      <c r="S244" s="88"/>
      <c r="T244" s="88"/>
      <c r="U244" s="88"/>
      <c r="V244" s="88" t="str">
        <f aca="false">IF(SUM($G244)=0,"",SUM($M244:$U244))</f>
        <v/>
      </c>
      <c r="W244" s="88"/>
      <c r="X244" s="39" t="str">
        <f aca="false">IF(OR(SUM($G244)=0,SUM($Q244)=0),"",ROUND(SUM($G244)*SUM($Q244),0))</f>
        <v/>
      </c>
      <c r="Y244" s="39" t="str">
        <f aca="false">IF(SUM($X244)=0,"",IF(SUM($W244)=0,"ENTER YIELD",ROUND($X244/$W244,0)-$X244))</f>
        <v/>
      </c>
      <c r="Z244" s="88"/>
      <c r="AA244" s="39" t="str">
        <f aca="false">IF(OR(SUM($G244)=0,SUM($R244)=0),"",ROUND(SUM($G244)*SUM($R244),0))</f>
        <v/>
      </c>
      <c r="AB244" s="39" t="str">
        <f aca="false">IF(SUM($AA244)=0,"",IF(SUM($Z244)=0,"ENTER YIELD",ROUND($AA244/$Z244,0)-$AA244))</f>
        <v/>
      </c>
      <c r="AC244" s="88"/>
      <c r="AD244" s="39" t="str">
        <f aca="false">IF(OR(SUM($G244)=0,SUM($S244)=0),"",ROUND(SUM($G244)*SUM($S244),0))</f>
        <v/>
      </c>
      <c r="AE244" s="39" t="str">
        <f aca="false">IF(SUM($AD244)=0,"",IF(SUM($AC244)=0,"ENTER YIELD",ROUND($AD244/$AC244,0)-$AD244))</f>
        <v/>
      </c>
      <c r="AF244" s="88"/>
      <c r="AG244" s="39" t="str">
        <f aca="false">IF(OR(SUM($G244)=0,SUM($T244)=0),"",ROUND(SUM($G244)*SUM($T244),0))</f>
        <v/>
      </c>
      <c r="AH244" s="39" t="str">
        <f aca="false">IF(SUM($AG244)=0,"",IF(SUM($AF244)=0,"ENTER YIELD",ROUND($AG244/$AF244,0)-$AG244))</f>
        <v/>
      </c>
      <c r="AI244" s="88"/>
      <c r="AJ244" s="39" t="str">
        <f aca="false">IF(OR(SUM($G244)=0,SUM($U244)=0),"",ROUND(SUM($G244)*SUM($U244),0))</f>
        <v/>
      </c>
      <c r="AK244" s="39" t="str">
        <f aca="false">IF(SUM($AJ244)=0,"",IF(SUM($AI244)=0,"ENTER YIELD",ROUND($AJ244/$AI244,0)-$AJ244))</f>
        <v/>
      </c>
      <c r="AL244" s="10" t="str">
        <f aca="false">IF(SUM($G244)=0,"",$G244)</f>
        <v/>
      </c>
      <c r="AM244" s="10" t="str">
        <f aca="false">IFERROR(1/(1/SUM($H244:$K244,$X244,$AA244,$AD244,$AG244,$AJ244)),"")</f>
        <v/>
      </c>
      <c r="AN244" s="10" t="str">
        <f aca="false">IF(AND(SUM($AM244)=0,SUM($AL244)=0),"",$AM244-$AL244)</f>
        <v/>
      </c>
      <c r="AO244" s="10" t="str">
        <f aca="false">IF(OR($C244="01-09",$D244="Male"),"",INDEX(PMTCT!$AD:$AD,MATCH($E244,PMTCT!$E:$E,0)))</f>
        <v/>
      </c>
      <c r="AP244" s="10" t="str">
        <f aca="false">IF(OR($C244="01-09",$D244="Male"),"",INDEX(PMTCT!$AT:$AT,MATCH($E244,PMTCT!$E:$E,0)))</f>
        <v/>
      </c>
      <c r="AQ244" s="10" t="str">
        <f aca="false">INDEX(TB!$Q:$Q,MATCH($E244,TB!$E:$E,0))</f>
        <v/>
      </c>
      <c r="AR244" s="10" t="str">
        <f aca="false">IF(OR($C244="01-09",$C244="10-14",$D244="Female"),"",INDEX(VMMC!$AB:$AB,MATCH($E244,VMMC!$E:$E,0)))</f>
        <v/>
      </c>
      <c r="AS244" s="10" t="str">
        <f aca="false">IF(OR($C244="01-09",$C244="10-14"),"",INDEX(PrEP!$Q:$Q,MATCH($E244,PrEP!$E:$E,0)))</f>
        <v/>
      </c>
      <c r="AT244" s="10" t="str">
        <f aca="false">IFERROR(1/(1/SUM($Y244,$AB244,$AE244,$AH244,$AK244,$AO244:$AS244)),"")</f>
        <v/>
      </c>
      <c r="AU244" s="10" t="str">
        <f aca="false">IFERROR(1/(1/SUM($AT244,$AM244)),"")</f>
        <v/>
      </c>
      <c r="AV244" s="88" t="str">
        <f aca="false">IF(AND(SUM($AM244)=0,SUM($AU244)=0),"",$AM244/$AU244)</f>
        <v/>
      </c>
      <c r="AW244" s="10"/>
      <c r="AX244" s="88" t="str">
        <f aca="false">IF(OR($C244="01-09",SUM($AW244)=0),"",0%)</f>
        <v/>
      </c>
      <c r="AY244" s="39" t="str">
        <f aca="false">IF(OR($C244="01-09",SUM($AW244)=0),"",ROUND($AW244*(1+$AX244),0))</f>
        <v/>
      </c>
      <c r="AZ244" s="88" t="str">
        <f aca="false">IF(OR($C244="01-09",$C244="10-14"),"",100%)</f>
        <v/>
      </c>
      <c r="BA244" s="39" t="str">
        <f aca="false">IF(OR(SUM($AM244)=0,$C244="01-09",$C244="10-14"),"",$AM244*$AZ244)</f>
        <v/>
      </c>
    </row>
    <row r="245" customFormat="false" ht="15" hidden="false" customHeight="false" outlineLevel="0" collapsed="false">
      <c r="A245" s="0" t="str">
        <f aca="false">INDEX(Prioritization!$D:$D,MATCH($B245,Prioritization!$A:$A,0))</f>
        <v>1 - Scale-up: Saturation</v>
      </c>
      <c r="B245" s="0" t="s">
        <v>213</v>
      </c>
      <c r="C245" s="0" t="s">
        <v>364</v>
      </c>
      <c r="D245" s="0" t="s">
        <v>30</v>
      </c>
      <c r="E245" s="0" t="str">
        <f aca="false">$B245&amp;"|"&amp;$C245&amp;"|"&amp;$D245</f>
        <v>Chiradzulu District [oiPR2CiVJbf]|10-14|Female</v>
      </c>
      <c r="F245" s="88" t="n">
        <f aca="false">IF(LEFT($B245,4)="_Mil","",INDEX(Cascade!$AA:$AA,MATCH($E245,Cascade!$E:$E,0)))</f>
        <v>1675</v>
      </c>
      <c r="G245" s="10" t="n">
        <f aca="false">INDEX(Cascade!$BH:$BH,MATCH($E245,Cascade!$E:$E,0))</f>
        <v>-26</v>
      </c>
      <c r="H245" s="10" t="n">
        <f aca="false">IF(OR($C245="01-09",$D245="Male"),"",INDEX(PMTCT!$AC:$AC,MATCH($E245,PMTCT!$E:$E,0)))</f>
        <v>0</v>
      </c>
      <c r="I245" s="10" t="str">
        <f aca="false">IF(OR($C245="01-09",$D245="Male"),"",INDEX(PMTCT!$AS:$AS,MATCH($E245,PMTCT!$E:$E,0)))</f>
        <v>ENTER YIELD RATE</v>
      </c>
      <c r="J245" s="10" t="str">
        <f aca="false">INDEX(TB!$P:$P,MATCH($E245,TB!$E:$E,0))</f>
        <v/>
      </c>
      <c r="K245" s="10" t="str">
        <f aca="false">IF(OR($C245="01-09",$C245="10-14",$D245="Female"),"",INDEX(VMMC!$AA:$AA,MATCH($E245,VMMC!$E:$E,0)))</f>
        <v/>
      </c>
      <c r="L245" s="10" t="n">
        <f aca="false">SUM($G245)-SUM($H245:$K245)</f>
        <v>-26</v>
      </c>
      <c r="M245" s="88" t="n">
        <f aca="false">IF(OR($C245="01-09",$D245="Male",AND(SUM($G245)=0,SUM($H245)=0)),"",SUM($H245)/SUM($G245))</f>
        <v>-0</v>
      </c>
      <c r="N245" s="88" t="n">
        <f aca="false">IF(OR($C245="01-09",$D245="Male",AND(SUM($G245)=0,SUM($I245)=0)),"",SUM($I245)/SUM($G245))</f>
        <v>-0</v>
      </c>
      <c r="O245" s="88" t="n">
        <f aca="false">IF(AND(SUM($G245)=0,SUM($J245)=0),"",SUM($J245)/SUM($G245))</f>
        <v>-0</v>
      </c>
      <c r="P245" s="88" t="str">
        <f aca="false">IF(OR($C245="01-09",$C245="10-14",$D245="Female",AND(SUM($G245)=0,SUM($K245)=0)),"",SUM($K245)/SUM($G245))</f>
        <v/>
      </c>
      <c r="Q245" s="88" t="n">
        <v>0.801472222199664</v>
      </c>
      <c r="R245" s="88"/>
      <c r="S245" s="88"/>
      <c r="T245" s="88"/>
      <c r="U245" s="88" t="n">
        <v>0.568713409826159</v>
      </c>
      <c r="V245" s="88" t="n">
        <f aca="false">IF(SUM($G245)=0,"",SUM($M245:$U245))</f>
        <v>1.37018563202582</v>
      </c>
      <c r="W245" s="88"/>
      <c r="X245" s="39" t="n">
        <f aca="false">IF(OR(SUM($G245)=0,SUM($Q245)=0),"",ROUND(SUM($G245)*SUM($Q245),0))</f>
        <v>-21</v>
      </c>
      <c r="Y245" s="39" t="str">
        <f aca="false">IF(SUM($X245)=0,"",IF(SUM($W245)=0,"ENTER YIELD",ROUND($X245/$W245,0)-$X245))</f>
        <v>ENTER YIELD</v>
      </c>
      <c r="Z245" s="88"/>
      <c r="AA245" s="39" t="str">
        <f aca="false">IF(OR(SUM($G245)=0,SUM($R245)=0),"",ROUND(SUM($G245)*SUM($R245),0))</f>
        <v/>
      </c>
      <c r="AB245" s="39" t="str">
        <f aca="false">IF(SUM($AA245)=0,"",IF(SUM($Z245)=0,"ENTER YIELD",ROUND($AA245/$Z245,0)-$AA245))</f>
        <v/>
      </c>
      <c r="AC245" s="88"/>
      <c r="AD245" s="39" t="str">
        <f aca="false">IF(OR(SUM($G245)=0,SUM($S245)=0),"",ROUND(SUM($G245)*SUM($S245),0))</f>
        <v/>
      </c>
      <c r="AE245" s="39" t="str">
        <f aca="false">IF(SUM($AD245)=0,"",IF(SUM($AC245)=0,"ENTER YIELD",ROUND($AD245/$AC245,0)-$AD245))</f>
        <v/>
      </c>
      <c r="AF245" s="88"/>
      <c r="AG245" s="39" t="str">
        <f aca="false">IF(OR(SUM($G245)=0,SUM($T245)=0),"",ROUND(SUM($G245)*SUM($T245),0))</f>
        <v/>
      </c>
      <c r="AH245" s="39" t="str">
        <f aca="false">IF(SUM($AG245)=0,"",IF(SUM($AF245)=0,"ENTER YIELD",ROUND($AG245/$AF245,0)-$AG245))</f>
        <v/>
      </c>
      <c r="AI245" s="88" t="n">
        <v>0.601860383525491</v>
      </c>
      <c r="AJ245" s="39" t="n">
        <f aca="false">IF(OR(SUM($G245)=0,SUM($U245)=0),"",ROUND(SUM($G245)*SUM($U245),0))</f>
        <v>-15</v>
      </c>
      <c r="AK245" s="39" t="n">
        <f aca="false">IF(SUM($AJ245)=0,"",IF(SUM($AI245)=0,"ENTER YIELD",ROUND($AJ245/$AI245,0)-$AJ245))</f>
        <v>-10</v>
      </c>
      <c r="AL245" s="10" t="n">
        <f aca="false">IF(SUM($G245)=0,"",$G245)</f>
        <v>-26</v>
      </c>
      <c r="AM245" s="10" t="n">
        <f aca="false">IFERROR(1/(1/SUM($H245:$K245,$X245,$AA245,$AD245,$AG245,$AJ245)),"")</f>
        <v>-36</v>
      </c>
      <c r="AN245" s="10" t="n">
        <f aca="false">IF(AND(SUM($AM245)=0,SUM($AL245)=0),"",$AM245-$AL245)</f>
        <v>-10</v>
      </c>
      <c r="AO245" s="10" t="n">
        <f aca="false">IF(OR($C245="01-09",$D245="Male"),"",INDEX(PMTCT!$AD:$AD,MATCH($E245,PMTCT!$E:$E,0)))</f>
        <v>6</v>
      </c>
      <c r="AP245" s="10" t="n">
        <f aca="false">IF(OR($C245="01-09",$D245="Male"),"",INDEX(PMTCT!$AT:$AT,MATCH($E245,PMTCT!$E:$E,0)))</f>
        <v>6</v>
      </c>
      <c r="AQ245" s="10" t="str">
        <f aca="false">INDEX(TB!$Q:$Q,MATCH($E245,TB!$E:$E,0))</f>
        <v/>
      </c>
      <c r="AR245" s="10" t="str">
        <f aca="false">IF(OR($C245="01-09",$C245="10-14",$D245="Female"),"",INDEX(VMMC!$AB:$AB,MATCH($E245,VMMC!$E:$E,0)))</f>
        <v/>
      </c>
      <c r="AS245" s="10" t="str">
        <f aca="false">IF(OR($C245="01-09",$C245="10-14"),"",INDEX(PrEP!$Q:$Q,MATCH($E245,PrEP!$E:$E,0)))</f>
        <v/>
      </c>
      <c r="AT245" s="10" t="n">
        <f aca="false">IFERROR(1/(1/SUM($Y245,$AB245,$AE245,$AH245,$AK245,$AO245:$AS245)),"")</f>
        <v>2</v>
      </c>
      <c r="AU245" s="10" t="n">
        <f aca="false">IFERROR(1/(1/SUM($AT245,$AM245)),"")</f>
        <v>-34</v>
      </c>
      <c r="AV245" s="88" t="n">
        <f aca="false">IF(AND(SUM($AM245)=0,SUM($AU245)=0),"",$AM245/$AU245)</f>
        <v>1.05882352941176</v>
      </c>
      <c r="AW245" s="10"/>
      <c r="AX245" s="88" t="str">
        <f aca="false">IF(OR($C245="01-09",SUM($AW245)=0),"",0%)</f>
        <v/>
      </c>
      <c r="AY245" s="39" t="str">
        <f aca="false">IF(OR($C245="01-09",SUM($AW245)=0),"",ROUND($AW245*(1+$AX245),0))</f>
        <v/>
      </c>
      <c r="AZ245" s="88" t="str">
        <f aca="false">IF(OR($C245="01-09",$C245="10-14"),"",100%)</f>
        <v/>
      </c>
      <c r="BA245" s="39" t="str">
        <f aca="false">IF(OR(SUM($AM245)=0,$C245="01-09",$C245="10-14"),"",$AM245*$AZ245)</f>
        <v/>
      </c>
    </row>
    <row r="246" customFormat="false" ht="15" hidden="false" customHeight="false" outlineLevel="0" collapsed="false">
      <c r="A246" s="0" t="str">
        <f aca="false">INDEX(Prioritization!$D:$D,MATCH($B246,Prioritization!$A:$A,0))</f>
        <v>1 - Scale-up: Saturation</v>
      </c>
      <c r="B246" s="0" t="s">
        <v>213</v>
      </c>
      <c r="C246" s="0" t="s">
        <v>364</v>
      </c>
      <c r="D246" s="0" t="s">
        <v>48</v>
      </c>
      <c r="E246" s="0" t="str">
        <f aca="false">$B246&amp;"|"&amp;$C246&amp;"|"&amp;$D246</f>
        <v>Chiradzulu District [oiPR2CiVJbf]|10-14|Male</v>
      </c>
      <c r="F246" s="88" t="n">
        <f aca="false">IF(LEFT($B246,4)="_Mil","",INDEX(Cascade!$AA:$AA,MATCH($E246,Cascade!$E:$E,0)))</f>
        <v>1851</v>
      </c>
      <c r="G246" s="10" t="n">
        <f aca="false">INDEX(Cascade!$BH:$BH,MATCH($E246,Cascade!$E:$E,0))</f>
        <v>-49</v>
      </c>
      <c r="H246" s="10" t="str">
        <f aca="false">IF(OR($C246="01-09",$D246="Male"),"",INDEX(PMTCT!$AC:$AC,MATCH($E246,PMTCT!$E:$E,0)))</f>
        <v/>
      </c>
      <c r="I246" s="10" t="str">
        <f aca="false">IF(OR($C246="01-09",$D246="Male"),"",INDEX(PMTCT!$AS:$AS,MATCH($E246,PMTCT!$E:$E,0)))</f>
        <v/>
      </c>
      <c r="J246" s="10" t="str">
        <f aca="false">INDEX(TB!$P:$P,MATCH($E246,TB!$E:$E,0))</f>
        <v/>
      </c>
      <c r="K246" s="10" t="str">
        <f aca="false">IF(OR($C246="01-09",$C246="10-14",$D246="Female"),"",INDEX(VMMC!$AA:$AA,MATCH($E246,VMMC!$E:$E,0)))</f>
        <v/>
      </c>
      <c r="L246" s="10" t="n">
        <f aca="false">SUM($G246)-SUM($H246:$K246)</f>
        <v>-49</v>
      </c>
      <c r="M246" s="88" t="str">
        <f aca="false">IF(OR($C246="01-09",$D246="Male",AND(SUM($G246)=0,SUM($H246)=0)),"",SUM($H246)/SUM($G246))</f>
        <v/>
      </c>
      <c r="N246" s="88" t="str">
        <f aca="false">IF(OR($C246="01-09",$D246="Male",AND(SUM($G246)=0,SUM($I246)=0)),"",SUM($I246)/SUM($G246))</f>
        <v/>
      </c>
      <c r="O246" s="88" t="n">
        <f aca="false">IF(AND(SUM($G246)=0,SUM($J246)=0),"",SUM($J246)/SUM($G246))</f>
        <v>-0</v>
      </c>
      <c r="P246" s="88" t="str">
        <f aca="false">IF(OR($C246="01-09",$C246="10-14",$D246="Female",AND(SUM($G246)=0,SUM($K246)=0)),"",SUM($K246)/SUM($G246))</f>
        <v/>
      </c>
      <c r="Q246" s="88" t="n">
        <v>0.863874448696151</v>
      </c>
      <c r="R246" s="88"/>
      <c r="S246" s="88"/>
      <c r="T246" s="88"/>
      <c r="U246" s="88" t="n">
        <v>0.0566079772543162</v>
      </c>
      <c r="V246" s="88" t="n">
        <f aca="false">IF(SUM($G246)=0,"",SUM($M246:$U246))</f>
        <v>0.920482425950467</v>
      </c>
      <c r="W246" s="88"/>
      <c r="X246" s="39" t="n">
        <f aca="false">IF(OR(SUM($G246)=0,SUM($Q246)=0),"",ROUND(SUM($G246)*SUM($Q246),0))</f>
        <v>-42</v>
      </c>
      <c r="Y246" s="39" t="str">
        <f aca="false">IF(SUM($X246)=0,"",IF(SUM($W246)=0,"ENTER YIELD",ROUND($X246/$W246,0)-$X246))</f>
        <v>ENTER YIELD</v>
      </c>
      <c r="Z246" s="88"/>
      <c r="AA246" s="39" t="str">
        <f aca="false">IF(OR(SUM($G246)=0,SUM($R246)=0),"",ROUND(SUM($G246)*SUM($R246),0))</f>
        <v/>
      </c>
      <c r="AB246" s="39" t="str">
        <f aca="false">IF(SUM($AA246)=0,"",IF(SUM($Z246)=0,"ENTER YIELD",ROUND($AA246/$Z246,0)-$AA246))</f>
        <v/>
      </c>
      <c r="AC246" s="88"/>
      <c r="AD246" s="39" t="str">
        <f aca="false">IF(OR(SUM($G246)=0,SUM($S246)=0),"",ROUND(SUM($G246)*SUM($S246),0))</f>
        <v/>
      </c>
      <c r="AE246" s="39" t="str">
        <f aca="false">IF(SUM($AD246)=0,"",IF(SUM($AC246)=0,"ENTER YIELD",ROUND($AD246/$AC246,0)-$AD246))</f>
        <v/>
      </c>
      <c r="AF246" s="88"/>
      <c r="AG246" s="39" t="str">
        <f aca="false">IF(OR(SUM($G246)=0,SUM($T246)=0),"",ROUND(SUM($G246)*SUM($T246),0))</f>
        <v/>
      </c>
      <c r="AH246" s="39" t="str">
        <f aca="false">IF(SUM($AG246)=0,"",IF(SUM($AF246)=0,"ENTER YIELD",ROUND($AG246/$AF246,0)-$AG246))</f>
        <v/>
      </c>
      <c r="AI246" s="88" t="n">
        <v>0.224238563096151</v>
      </c>
      <c r="AJ246" s="39" t="n">
        <f aca="false">IF(OR(SUM($G246)=0,SUM($U246)=0),"",ROUND(SUM($G246)*SUM($U246),0))</f>
        <v>-3</v>
      </c>
      <c r="AK246" s="39" t="n">
        <f aca="false">IF(SUM($AJ246)=0,"",IF(SUM($AI246)=0,"ENTER YIELD",ROUND($AJ246/$AI246,0)-$AJ246))</f>
        <v>-10</v>
      </c>
      <c r="AL246" s="10" t="n">
        <f aca="false">IF(SUM($G246)=0,"",$G246)</f>
        <v>-49</v>
      </c>
      <c r="AM246" s="10" t="n">
        <f aca="false">IFERROR(1/(1/SUM($H246:$K246,$X246,$AA246,$AD246,$AG246,$AJ246)),"")</f>
        <v>-45</v>
      </c>
      <c r="AN246" s="10" t="n">
        <f aca="false">IF(AND(SUM($AM246)=0,SUM($AL246)=0),"",$AM246-$AL246)</f>
        <v>4</v>
      </c>
      <c r="AO246" s="10" t="str">
        <f aca="false">IF(OR($C246="01-09",$D246="Male"),"",INDEX(PMTCT!$AD:$AD,MATCH($E246,PMTCT!$E:$E,0)))</f>
        <v/>
      </c>
      <c r="AP246" s="10" t="str">
        <f aca="false">IF(OR($C246="01-09",$D246="Male"),"",INDEX(PMTCT!$AT:$AT,MATCH($E246,PMTCT!$E:$E,0)))</f>
        <v/>
      </c>
      <c r="AQ246" s="10" t="str">
        <f aca="false">INDEX(TB!$Q:$Q,MATCH($E246,TB!$E:$E,0))</f>
        <v/>
      </c>
      <c r="AR246" s="10" t="str">
        <f aca="false">IF(OR($C246="01-09",$C246="10-14",$D246="Female"),"",INDEX(VMMC!$AB:$AB,MATCH($E246,VMMC!$E:$E,0)))</f>
        <v/>
      </c>
      <c r="AS246" s="10" t="str">
        <f aca="false">IF(OR($C246="01-09",$C246="10-14"),"",INDEX(PrEP!$Q:$Q,MATCH($E246,PrEP!$E:$E,0)))</f>
        <v/>
      </c>
      <c r="AT246" s="10" t="n">
        <f aca="false">IFERROR(1/(1/SUM($Y246,$AB246,$AE246,$AH246,$AK246,$AO246:$AS246)),"")</f>
        <v>-10</v>
      </c>
      <c r="AU246" s="10" t="n">
        <f aca="false">IFERROR(1/(1/SUM($AT246,$AM246)),"")</f>
        <v>-55</v>
      </c>
      <c r="AV246" s="88" t="n">
        <f aca="false">IF(AND(SUM($AM246)=0,SUM($AU246)=0),"",$AM246/$AU246)</f>
        <v>0.818181818181818</v>
      </c>
      <c r="AW246" s="10"/>
      <c r="AX246" s="88" t="str">
        <f aca="false">IF(OR($C246="01-09",SUM($AW246)=0),"",0%)</f>
        <v/>
      </c>
      <c r="AY246" s="39" t="str">
        <f aca="false">IF(OR($C246="01-09",SUM($AW246)=0),"",ROUND($AW246*(1+$AX246),0))</f>
        <v/>
      </c>
      <c r="AZ246" s="88" t="str">
        <f aca="false">IF(OR($C246="01-09",$C246="10-14"),"",100%)</f>
        <v/>
      </c>
      <c r="BA246" s="39" t="str">
        <f aca="false">IF(OR(SUM($AM246)=0,$C246="01-09",$C246="10-14"),"",$AM246*$AZ246)</f>
        <v/>
      </c>
    </row>
    <row r="247" customFormat="false" ht="15" hidden="false" customHeight="false" outlineLevel="0" collapsed="false">
      <c r="A247" s="0" t="str">
        <f aca="false">INDEX(Prioritization!$D:$D,MATCH($B247,Prioritization!$A:$A,0))</f>
        <v>1 - Scale-up: Saturation</v>
      </c>
      <c r="B247" s="0" t="s">
        <v>213</v>
      </c>
      <c r="C247" s="0" t="s">
        <v>365</v>
      </c>
      <c r="D247" s="0" t="s">
        <v>30</v>
      </c>
      <c r="E247" s="0" t="str">
        <f aca="false">$B247&amp;"|"&amp;$C247&amp;"|"&amp;$D247</f>
        <v>Chiradzulu District [oiPR2CiVJbf]|15-24|Female</v>
      </c>
      <c r="F247" s="88" t="n">
        <f aca="false">IF(LEFT($B247,4)="_Mil","",INDEX(Cascade!$AA:$AA,MATCH($E247,Cascade!$E:$E,0)))</f>
        <v>1181</v>
      </c>
      <c r="G247" s="10" t="n">
        <f aca="false">INDEX(Cascade!$BH:$BH,MATCH($E247,Cascade!$E:$E,0))</f>
        <v>0</v>
      </c>
      <c r="H247" s="10" t="str">
        <f aca="false">IF(OR($C247="01-09",$D247="Male"),"",INDEX(PMTCT!$AC:$AC,MATCH($E247,PMTCT!$E:$E,0)))</f>
        <v/>
      </c>
      <c r="I247" s="10" t="str">
        <f aca="false">IF(OR($C247="01-09",$D247="Male"),"",INDEX(PMTCT!$AS:$AS,MATCH($E247,PMTCT!$E:$E,0)))</f>
        <v/>
      </c>
      <c r="J247" s="10" t="str">
        <f aca="false">INDEX(TB!$P:$P,MATCH($E247,TB!$E:$E,0))</f>
        <v/>
      </c>
      <c r="K247" s="10" t="str">
        <f aca="false">IF(OR($C247="01-09",$C247="10-14",$D247="Female"),"",INDEX(VMMC!$AA:$AA,MATCH($E247,VMMC!$E:$E,0)))</f>
        <v/>
      </c>
      <c r="L247" s="10" t="n">
        <f aca="false">SUM($G247)-SUM($H247:$K247)</f>
        <v>0</v>
      </c>
      <c r="M247" s="88" t="str">
        <f aca="false">IF(OR($C247="01-09",$D247="Male",AND(SUM($G247)=0,SUM($H247)=0)),"",SUM($H247)/SUM($G247))</f>
        <v/>
      </c>
      <c r="N247" s="88" t="str">
        <f aca="false">IF(OR($C247="01-09",$D247="Male",AND(SUM($G247)=0,SUM($I247)=0)),"",SUM($I247)/SUM($G247))</f>
        <v/>
      </c>
      <c r="O247" s="88" t="str">
        <f aca="false">IF(AND(SUM($G247)=0,SUM($J247)=0),"",SUM($J247)/SUM($G247))</f>
        <v/>
      </c>
      <c r="P247" s="88" t="str">
        <f aca="false">IF(OR($C247="01-09",$C247="10-14",$D247="Female",AND(SUM($G247)=0,SUM($K247)=0)),"",SUM($K247)/SUM($G247))</f>
        <v/>
      </c>
      <c r="Q247" s="88"/>
      <c r="R247" s="88"/>
      <c r="S247" s="88"/>
      <c r="T247" s="88"/>
      <c r="U247" s="88"/>
      <c r="V247" s="88" t="str">
        <f aca="false">IF(SUM($G247)=0,"",SUM($M247:$U247))</f>
        <v/>
      </c>
      <c r="W247" s="88"/>
      <c r="X247" s="39" t="str">
        <f aca="false">IF(OR(SUM($G247)=0,SUM($Q247)=0),"",ROUND(SUM($G247)*SUM($Q247),0))</f>
        <v/>
      </c>
      <c r="Y247" s="39" t="str">
        <f aca="false">IF(SUM($X247)=0,"",IF(SUM($W247)=0,"ENTER YIELD",ROUND($X247/$W247,0)-$X247))</f>
        <v/>
      </c>
      <c r="Z247" s="88"/>
      <c r="AA247" s="39" t="str">
        <f aca="false">IF(OR(SUM($G247)=0,SUM($R247)=0),"",ROUND(SUM($G247)*SUM($R247),0))</f>
        <v/>
      </c>
      <c r="AB247" s="39" t="str">
        <f aca="false">IF(SUM($AA247)=0,"",IF(SUM($Z247)=0,"ENTER YIELD",ROUND($AA247/$Z247,0)-$AA247))</f>
        <v/>
      </c>
      <c r="AC247" s="88"/>
      <c r="AD247" s="39" t="str">
        <f aca="false">IF(OR(SUM($G247)=0,SUM($S247)=0),"",ROUND(SUM($G247)*SUM($S247),0))</f>
        <v/>
      </c>
      <c r="AE247" s="39" t="str">
        <f aca="false">IF(SUM($AD247)=0,"",IF(SUM($AC247)=0,"ENTER YIELD",ROUND($AD247/$AC247,0)-$AD247))</f>
        <v/>
      </c>
      <c r="AF247" s="88"/>
      <c r="AG247" s="39" t="str">
        <f aca="false">IF(OR(SUM($G247)=0,SUM($T247)=0),"",ROUND(SUM($G247)*SUM($T247),0))</f>
        <v/>
      </c>
      <c r="AH247" s="39" t="str">
        <f aca="false">IF(SUM($AG247)=0,"",IF(SUM($AF247)=0,"ENTER YIELD",ROUND($AG247/$AF247,0)-$AG247))</f>
        <v/>
      </c>
      <c r="AI247" s="88"/>
      <c r="AJ247" s="39" t="str">
        <f aca="false">IF(OR(SUM($G247)=0,SUM($U247)=0),"",ROUND(SUM($G247)*SUM($U247),0))</f>
        <v/>
      </c>
      <c r="AK247" s="39" t="str">
        <f aca="false">IF(SUM($AJ247)=0,"",IF(SUM($AI247)=0,"ENTER YIELD",ROUND($AJ247/$AI247,0)-$AJ247))</f>
        <v/>
      </c>
      <c r="AL247" s="10" t="str">
        <f aca="false">IF(SUM($G247)=0,"",$G247)</f>
        <v/>
      </c>
      <c r="AM247" s="10" t="str">
        <f aca="false">IFERROR(1/(1/SUM($H247:$K247,$X247,$AA247,$AD247,$AG247,$AJ247)),"")</f>
        <v/>
      </c>
      <c r="AN247" s="10" t="str">
        <f aca="false">IF(AND(SUM($AM247)=0,SUM($AL247)=0),"",$AM247-$AL247)</f>
        <v/>
      </c>
      <c r="AO247" s="10" t="str">
        <f aca="false">IF(OR($C247="01-09",$D247="Male"),"",INDEX(PMTCT!$AD:$AD,MATCH($E247,PMTCT!$E:$E,0)))</f>
        <v/>
      </c>
      <c r="AP247" s="10" t="str">
        <f aca="false">IF(OR($C247="01-09",$D247="Male"),"",INDEX(PMTCT!$AT:$AT,MATCH($E247,PMTCT!$E:$E,0)))</f>
        <v/>
      </c>
      <c r="AQ247" s="10" t="str">
        <f aca="false">INDEX(TB!$Q:$Q,MATCH($E247,TB!$E:$E,0))</f>
        <v/>
      </c>
      <c r="AR247" s="10" t="str">
        <f aca="false">IF(OR($C247="01-09",$C247="10-14",$D247="Female"),"",INDEX(VMMC!$AB:$AB,MATCH($E247,VMMC!$E:$E,0)))</f>
        <v/>
      </c>
      <c r="AS247" s="10" t="str">
        <f aca="false">IF(OR($C247="01-09",$C247="10-14"),"",INDEX(PrEP!$Q:$Q,MATCH($E247,PrEP!$E:$E,0)))</f>
        <v/>
      </c>
      <c r="AT247" s="10" t="str">
        <f aca="false">IFERROR(1/(1/SUM($Y247,$AB247,$AE247,$AH247,$AK247,$AO247:$AS247)),"")</f>
        <v/>
      </c>
      <c r="AU247" s="10" t="str">
        <f aca="false">IFERROR(1/(1/SUM($AT247,$AM247)),"")</f>
        <v/>
      </c>
      <c r="AV247" s="88" t="str">
        <f aca="false">IF(AND(SUM($AM247)=0,SUM($AU247)=0),"",$AM247/$AU247)</f>
        <v/>
      </c>
      <c r="AW247" s="10"/>
      <c r="AX247" s="88" t="str">
        <f aca="false">IF(OR($C247="01-09",SUM($AW247)=0),"",0%)</f>
        <v/>
      </c>
      <c r="AY247" s="39" t="str">
        <f aca="false">IF(OR($C247="01-09",SUM($AW247)=0),"",ROUND($AW247*(1+$AX247),0))</f>
        <v/>
      </c>
      <c r="AZ247" s="88" t="n">
        <f aca="false">IF(OR($C247="01-09",$C247="10-14"),"",100%)</f>
        <v>1</v>
      </c>
      <c r="BA247" s="39" t="str">
        <f aca="false">IF(OR(SUM($AM247)=0,$C247="01-09",$C247="10-14"),"",$AM247*$AZ247)</f>
        <v/>
      </c>
    </row>
    <row r="248" customFormat="false" ht="15" hidden="false" customHeight="false" outlineLevel="0" collapsed="false">
      <c r="A248" s="0" t="str">
        <f aca="false">INDEX(Prioritization!$D:$D,MATCH($B248,Prioritization!$A:$A,0))</f>
        <v>1 - Scale-up: Saturation</v>
      </c>
      <c r="B248" s="0" t="s">
        <v>213</v>
      </c>
      <c r="C248" s="0" t="s">
        <v>365</v>
      </c>
      <c r="D248" s="0" t="s">
        <v>48</v>
      </c>
      <c r="E248" s="0" t="str">
        <f aca="false">$B248&amp;"|"&amp;$C248&amp;"|"&amp;$D248</f>
        <v>Chiradzulu District [oiPR2CiVJbf]|15-24|Male</v>
      </c>
      <c r="F248" s="88" t="n">
        <f aca="false">IF(LEFT($B248,4)="_Mil","",INDEX(Cascade!$AA:$AA,MATCH($E248,Cascade!$E:$E,0)))</f>
        <v>1765</v>
      </c>
      <c r="G248" s="10" t="n">
        <f aca="false">INDEX(Cascade!$BH:$BH,MATCH($E248,Cascade!$E:$E,0))</f>
        <v>0</v>
      </c>
      <c r="H248" s="10" t="str">
        <f aca="false">IF(OR($C248="01-09",$D248="Male"),"",INDEX(PMTCT!$AC:$AC,MATCH($E248,PMTCT!$E:$E,0)))</f>
        <v/>
      </c>
      <c r="I248" s="10" t="str">
        <f aca="false">IF(OR($C248="01-09",$D248="Male"),"",INDEX(PMTCT!$AS:$AS,MATCH($E248,PMTCT!$E:$E,0)))</f>
        <v/>
      </c>
      <c r="J248" s="10" t="str">
        <f aca="false">INDEX(TB!$P:$P,MATCH($E248,TB!$E:$E,0))</f>
        <v/>
      </c>
      <c r="K248" s="10" t="str">
        <f aca="false">IF(OR($C248="01-09",$C248="10-14",$D248="Female"),"",INDEX(VMMC!$AA:$AA,MATCH($E248,VMMC!$E:$E,0)))</f>
        <v/>
      </c>
      <c r="L248" s="10" t="n">
        <f aca="false">SUM($G248)-SUM($H248:$K248)</f>
        <v>0</v>
      </c>
      <c r="M248" s="88" t="str">
        <f aca="false">IF(OR($C248="01-09",$D248="Male",AND(SUM($G248)=0,SUM($H248)=0)),"",SUM($H248)/SUM($G248))</f>
        <v/>
      </c>
      <c r="N248" s="88" t="str">
        <f aca="false">IF(OR($C248="01-09",$D248="Male",AND(SUM($G248)=0,SUM($I248)=0)),"",SUM($I248)/SUM($G248))</f>
        <v/>
      </c>
      <c r="O248" s="88" t="str">
        <f aca="false">IF(AND(SUM($G248)=0,SUM($J248)=0),"",SUM($J248)/SUM($G248))</f>
        <v/>
      </c>
      <c r="P248" s="88" t="str">
        <f aca="false">IF(OR($C248="01-09",$C248="10-14",$D248="Female",AND(SUM($G248)=0,SUM($K248)=0)),"",SUM($K248)/SUM($G248))</f>
        <v/>
      </c>
      <c r="Q248" s="88"/>
      <c r="R248" s="88"/>
      <c r="S248" s="88"/>
      <c r="T248" s="88"/>
      <c r="U248" s="88"/>
      <c r="V248" s="88" t="str">
        <f aca="false">IF(SUM($G248)=0,"",SUM($M248:$U248))</f>
        <v/>
      </c>
      <c r="W248" s="88"/>
      <c r="X248" s="39" t="str">
        <f aca="false">IF(OR(SUM($G248)=0,SUM($Q248)=0),"",ROUND(SUM($G248)*SUM($Q248),0))</f>
        <v/>
      </c>
      <c r="Y248" s="39" t="str">
        <f aca="false">IF(SUM($X248)=0,"",IF(SUM($W248)=0,"ENTER YIELD",ROUND($X248/$W248,0)-$X248))</f>
        <v/>
      </c>
      <c r="Z248" s="88"/>
      <c r="AA248" s="39" t="str">
        <f aca="false">IF(OR(SUM($G248)=0,SUM($R248)=0),"",ROUND(SUM($G248)*SUM($R248),0))</f>
        <v/>
      </c>
      <c r="AB248" s="39" t="str">
        <f aca="false">IF(SUM($AA248)=0,"",IF(SUM($Z248)=0,"ENTER YIELD",ROUND($AA248/$Z248,0)-$AA248))</f>
        <v/>
      </c>
      <c r="AC248" s="88"/>
      <c r="AD248" s="39" t="str">
        <f aca="false">IF(OR(SUM($G248)=0,SUM($S248)=0),"",ROUND(SUM($G248)*SUM($S248),0))</f>
        <v/>
      </c>
      <c r="AE248" s="39" t="str">
        <f aca="false">IF(SUM($AD248)=0,"",IF(SUM($AC248)=0,"ENTER YIELD",ROUND($AD248/$AC248,0)-$AD248))</f>
        <v/>
      </c>
      <c r="AF248" s="88"/>
      <c r="AG248" s="39" t="str">
        <f aca="false">IF(OR(SUM($G248)=0,SUM($T248)=0),"",ROUND(SUM($G248)*SUM($T248),0))</f>
        <v/>
      </c>
      <c r="AH248" s="39" t="str">
        <f aca="false">IF(SUM($AG248)=0,"",IF(SUM($AF248)=0,"ENTER YIELD",ROUND($AG248/$AF248,0)-$AG248))</f>
        <v/>
      </c>
      <c r="AI248" s="88"/>
      <c r="AJ248" s="39" t="str">
        <f aca="false">IF(OR(SUM($G248)=0,SUM($U248)=0),"",ROUND(SUM($G248)*SUM($U248),0))</f>
        <v/>
      </c>
      <c r="AK248" s="39" t="str">
        <f aca="false">IF(SUM($AJ248)=0,"",IF(SUM($AI248)=0,"ENTER YIELD",ROUND($AJ248/$AI248,0)-$AJ248))</f>
        <v/>
      </c>
      <c r="AL248" s="10" t="str">
        <f aca="false">IF(SUM($G248)=0,"",$G248)</f>
        <v/>
      </c>
      <c r="AM248" s="10" t="str">
        <f aca="false">IFERROR(1/(1/SUM($H248:$K248,$X248,$AA248,$AD248,$AG248,$AJ248)),"")</f>
        <v/>
      </c>
      <c r="AN248" s="10" t="str">
        <f aca="false">IF(AND(SUM($AM248)=0,SUM($AL248)=0),"",$AM248-$AL248)</f>
        <v/>
      </c>
      <c r="AO248" s="10" t="str">
        <f aca="false">IF(OR($C248="01-09",$D248="Male"),"",INDEX(PMTCT!$AD:$AD,MATCH($E248,PMTCT!$E:$E,0)))</f>
        <v/>
      </c>
      <c r="AP248" s="10" t="str">
        <f aca="false">IF(OR($C248="01-09",$D248="Male"),"",INDEX(PMTCT!$AT:$AT,MATCH($E248,PMTCT!$E:$E,0)))</f>
        <v/>
      </c>
      <c r="AQ248" s="10" t="str">
        <f aca="false">INDEX(TB!$Q:$Q,MATCH($E248,TB!$E:$E,0))</f>
        <v/>
      </c>
      <c r="AR248" s="10" t="str">
        <f aca="false">IF(OR($C248="01-09",$C248="10-14",$D248="Female"),"",INDEX(VMMC!$AB:$AB,MATCH($E248,VMMC!$E:$E,0)))</f>
        <v/>
      </c>
      <c r="AS248" s="10" t="str">
        <f aca="false">IF(OR($C248="01-09",$C248="10-14"),"",INDEX(PrEP!$Q:$Q,MATCH($E248,PrEP!$E:$E,0)))</f>
        <v/>
      </c>
      <c r="AT248" s="10" t="str">
        <f aca="false">IFERROR(1/(1/SUM($Y248,$AB248,$AE248,$AH248,$AK248,$AO248:$AS248)),"")</f>
        <v/>
      </c>
      <c r="AU248" s="10" t="str">
        <f aca="false">IFERROR(1/(1/SUM($AT248,$AM248)),"")</f>
        <v/>
      </c>
      <c r="AV248" s="88" t="str">
        <f aca="false">IF(AND(SUM($AM248)=0,SUM($AU248)=0),"",$AM248/$AU248)</f>
        <v/>
      </c>
      <c r="AW248" s="10"/>
      <c r="AX248" s="88" t="str">
        <f aca="false">IF(OR($C248="01-09",SUM($AW248)=0),"",0%)</f>
        <v/>
      </c>
      <c r="AY248" s="39" t="str">
        <f aca="false">IF(OR($C248="01-09",SUM($AW248)=0),"",ROUND($AW248*(1+$AX248),0))</f>
        <v/>
      </c>
      <c r="AZ248" s="88" t="n">
        <f aca="false">IF(OR($C248="01-09",$C248="10-14"),"",100%)</f>
        <v>1</v>
      </c>
      <c r="BA248" s="39" t="str">
        <f aca="false">IF(OR(SUM($AM248)=0,$C248="01-09",$C248="10-14"),"",$AM248*$AZ248)</f>
        <v/>
      </c>
    </row>
    <row r="249" customFormat="false" ht="15" hidden="false" customHeight="false" outlineLevel="0" collapsed="false">
      <c r="A249" s="0" t="str">
        <f aca="false">INDEX(Prioritization!$D:$D,MATCH($B249,Prioritization!$A:$A,0))</f>
        <v>1 - Scale-up: Saturation</v>
      </c>
      <c r="B249" s="0" t="s">
        <v>213</v>
      </c>
      <c r="C249" s="0" t="s">
        <v>366</v>
      </c>
      <c r="D249" s="0" t="s">
        <v>30</v>
      </c>
      <c r="E249" s="0" t="str">
        <f aca="false">$B249&amp;"|"&amp;$C249&amp;"|"&amp;$D249</f>
        <v>Chiradzulu District [oiPR2CiVJbf]|25-34|Female</v>
      </c>
      <c r="F249" s="88" t="n">
        <f aca="false">IF(LEFT($B249,4)="_Mil","",INDEX(Cascade!$AA:$AA,MATCH($E249,Cascade!$E:$E,0)))</f>
        <v>873</v>
      </c>
      <c r="G249" s="10" t="n">
        <f aca="false">INDEX(Cascade!$BH:$BH,MATCH($E249,Cascade!$E:$E,0))</f>
        <v>0</v>
      </c>
      <c r="H249" s="10" t="str">
        <f aca="false">IF(OR($C249="01-09",$D249="Male"),"",INDEX(PMTCT!$AC:$AC,MATCH($E249,PMTCT!$E:$E,0)))</f>
        <v/>
      </c>
      <c r="I249" s="10" t="str">
        <f aca="false">IF(OR($C249="01-09",$D249="Male"),"",INDEX(PMTCT!$AS:$AS,MATCH($E249,PMTCT!$E:$E,0)))</f>
        <v/>
      </c>
      <c r="J249" s="10" t="str">
        <f aca="false">INDEX(TB!$P:$P,MATCH($E249,TB!$E:$E,0))</f>
        <v/>
      </c>
      <c r="K249" s="10" t="str">
        <f aca="false">IF(OR($C249="01-09",$C249="10-14",$D249="Female"),"",INDEX(VMMC!$AA:$AA,MATCH($E249,VMMC!$E:$E,0)))</f>
        <v/>
      </c>
      <c r="L249" s="10" t="n">
        <f aca="false">SUM($G249)-SUM($H249:$K249)</f>
        <v>0</v>
      </c>
      <c r="M249" s="88" t="str">
        <f aca="false">IF(OR($C249="01-09",$D249="Male",AND(SUM($G249)=0,SUM($H249)=0)),"",SUM($H249)/SUM($G249))</f>
        <v/>
      </c>
      <c r="N249" s="88" t="str">
        <f aca="false">IF(OR($C249="01-09",$D249="Male",AND(SUM($G249)=0,SUM($I249)=0)),"",SUM($I249)/SUM($G249))</f>
        <v/>
      </c>
      <c r="O249" s="88" t="str">
        <f aca="false">IF(AND(SUM($G249)=0,SUM($J249)=0),"",SUM($J249)/SUM($G249))</f>
        <v/>
      </c>
      <c r="P249" s="88" t="str">
        <f aca="false">IF(OR($C249="01-09",$C249="10-14",$D249="Female",AND(SUM($G249)=0,SUM($K249)=0)),"",SUM($K249)/SUM($G249))</f>
        <v/>
      </c>
      <c r="Q249" s="88"/>
      <c r="R249" s="88"/>
      <c r="S249" s="88"/>
      <c r="T249" s="88"/>
      <c r="U249" s="88"/>
      <c r="V249" s="88" t="str">
        <f aca="false">IF(SUM($G249)=0,"",SUM($M249:$U249))</f>
        <v/>
      </c>
      <c r="W249" s="88"/>
      <c r="X249" s="39" t="str">
        <f aca="false">IF(OR(SUM($G249)=0,SUM($Q249)=0),"",ROUND(SUM($G249)*SUM($Q249),0))</f>
        <v/>
      </c>
      <c r="Y249" s="39" t="str">
        <f aca="false">IF(SUM($X249)=0,"",IF(SUM($W249)=0,"ENTER YIELD",ROUND($X249/$W249,0)-$X249))</f>
        <v/>
      </c>
      <c r="Z249" s="88"/>
      <c r="AA249" s="39" t="str">
        <f aca="false">IF(OR(SUM($G249)=0,SUM($R249)=0),"",ROUND(SUM($G249)*SUM($R249),0))</f>
        <v/>
      </c>
      <c r="AB249" s="39" t="str">
        <f aca="false">IF(SUM($AA249)=0,"",IF(SUM($Z249)=0,"ENTER YIELD",ROUND($AA249/$Z249,0)-$AA249))</f>
        <v/>
      </c>
      <c r="AC249" s="88"/>
      <c r="AD249" s="39" t="str">
        <f aca="false">IF(OR(SUM($G249)=0,SUM($S249)=0),"",ROUND(SUM($G249)*SUM($S249),0))</f>
        <v/>
      </c>
      <c r="AE249" s="39" t="str">
        <f aca="false">IF(SUM($AD249)=0,"",IF(SUM($AC249)=0,"ENTER YIELD",ROUND($AD249/$AC249,0)-$AD249))</f>
        <v/>
      </c>
      <c r="AF249" s="88"/>
      <c r="AG249" s="39" t="str">
        <f aca="false">IF(OR(SUM($G249)=0,SUM($T249)=0),"",ROUND(SUM($G249)*SUM($T249),0))</f>
        <v/>
      </c>
      <c r="AH249" s="39" t="str">
        <f aca="false">IF(SUM($AG249)=0,"",IF(SUM($AF249)=0,"ENTER YIELD",ROUND($AG249/$AF249,0)-$AG249))</f>
        <v/>
      </c>
      <c r="AI249" s="88"/>
      <c r="AJ249" s="39" t="str">
        <f aca="false">IF(OR(SUM($G249)=0,SUM($U249)=0),"",ROUND(SUM($G249)*SUM($U249),0))</f>
        <v/>
      </c>
      <c r="AK249" s="39" t="str">
        <f aca="false">IF(SUM($AJ249)=0,"",IF(SUM($AI249)=0,"ENTER YIELD",ROUND($AJ249/$AI249,0)-$AJ249))</f>
        <v/>
      </c>
      <c r="AL249" s="10" t="str">
        <f aca="false">IF(SUM($G249)=0,"",$G249)</f>
        <v/>
      </c>
      <c r="AM249" s="10" t="str">
        <f aca="false">IFERROR(1/(1/SUM($H249:$K249,$X249,$AA249,$AD249,$AG249,$AJ249)),"")</f>
        <v/>
      </c>
      <c r="AN249" s="10" t="str">
        <f aca="false">IF(AND(SUM($AM249)=0,SUM($AL249)=0),"",$AM249-$AL249)</f>
        <v/>
      </c>
      <c r="AO249" s="10" t="str">
        <f aca="false">IF(OR($C249="01-09",$D249="Male"),"",INDEX(PMTCT!$AD:$AD,MATCH($E249,PMTCT!$E:$E,0)))</f>
        <v/>
      </c>
      <c r="AP249" s="10" t="str">
        <f aca="false">IF(OR($C249="01-09",$D249="Male"),"",INDEX(PMTCT!$AT:$AT,MATCH($E249,PMTCT!$E:$E,0)))</f>
        <v/>
      </c>
      <c r="AQ249" s="10" t="str">
        <f aca="false">INDEX(TB!$Q:$Q,MATCH($E249,TB!$E:$E,0))</f>
        <v/>
      </c>
      <c r="AR249" s="10" t="str">
        <f aca="false">IF(OR($C249="01-09",$C249="10-14",$D249="Female"),"",INDEX(VMMC!$AB:$AB,MATCH($E249,VMMC!$E:$E,0)))</f>
        <v/>
      </c>
      <c r="AS249" s="10" t="str">
        <f aca="false">IF(OR($C249="01-09",$C249="10-14"),"",INDEX(PrEP!$Q:$Q,MATCH($E249,PrEP!$E:$E,0)))</f>
        <v/>
      </c>
      <c r="AT249" s="10" t="str">
        <f aca="false">IFERROR(1/(1/SUM($Y249,$AB249,$AE249,$AH249,$AK249,$AO249:$AS249)),"")</f>
        <v/>
      </c>
      <c r="AU249" s="10" t="str">
        <f aca="false">IFERROR(1/(1/SUM($AT249,$AM249)),"")</f>
        <v/>
      </c>
      <c r="AV249" s="88" t="str">
        <f aca="false">IF(AND(SUM($AM249)=0,SUM($AU249)=0),"",$AM249/$AU249)</f>
        <v/>
      </c>
      <c r="AW249" s="10"/>
      <c r="AX249" s="88" t="str">
        <f aca="false">IF(OR($C249="01-09",SUM($AW249)=0),"",0%)</f>
        <v/>
      </c>
      <c r="AY249" s="39" t="str">
        <f aca="false">IF(OR($C249="01-09",SUM($AW249)=0),"",ROUND($AW249*(1+$AX249),0))</f>
        <v/>
      </c>
      <c r="AZ249" s="88" t="n">
        <f aca="false">IF(OR($C249="01-09",$C249="10-14"),"",100%)</f>
        <v>1</v>
      </c>
      <c r="BA249" s="39" t="str">
        <f aca="false">IF(OR(SUM($AM249)=0,$C249="01-09",$C249="10-14"),"",$AM249*$AZ249)</f>
        <v/>
      </c>
    </row>
    <row r="250" customFormat="false" ht="15" hidden="false" customHeight="false" outlineLevel="0" collapsed="false">
      <c r="A250" s="0" t="str">
        <f aca="false">INDEX(Prioritization!$D:$D,MATCH($B250,Prioritization!$A:$A,0))</f>
        <v>1 - Scale-up: Saturation</v>
      </c>
      <c r="B250" s="0" t="s">
        <v>213</v>
      </c>
      <c r="C250" s="0" t="s">
        <v>366</v>
      </c>
      <c r="D250" s="0" t="s">
        <v>48</v>
      </c>
      <c r="E250" s="0" t="str">
        <f aca="false">$B250&amp;"|"&amp;$C250&amp;"|"&amp;$D250</f>
        <v>Chiradzulu District [oiPR2CiVJbf]|25-34|Male</v>
      </c>
      <c r="F250" s="88" t="n">
        <f aca="false">IF(LEFT($B250,4)="_Mil","",INDEX(Cascade!$AA:$AA,MATCH($E250,Cascade!$E:$E,0)))</f>
        <v>759</v>
      </c>
      <c r="G250" s="10" t="n">
        <f aca="false">INDEX(Cascade!$BH:$BH,MATCH($E250,Cascade!$E:$E,0))</f>
        <v>0</v>
      </c>
      <c r="H250" s="10" t="str">
        <f aca="false">IF(OR($C250="01-09",$D250="Male"),"",INDEX(PMTCT!$AC:$AC,MATCH($E250,PMTCT!$E:$E,0)))</f>
        <v/>
      </c>
      <c r="I250" s="10" t="str">
        <f aca="false">IF(OR($C250="01-09",$D250="Male"),"",INDEX(PMTCT!$AS:$AS,MATCH($E250,PMTCT!$E:$E,0)))</f>
        <v/>
      </c>
      <c r="J250" s="10" t="str">
        <f aca="false">INDEX(TB!$P:$P,MATCH($E250,TB!$E:$E,0))</f>
        <v/>
      </c>
      <c r="K250" s="10" t="str">
        <f aca="false">IF(OR($C250="01-09",$C250="10-14",$D250="Female"),"",INDEX(VMMC!$AA:$AA,MATCH($E250,VMMC!$E:$E,0)))</f>
        <v/>
      </c>
      <c r="L250" s="10" t="n">
        <f aca="false">SUM($G250)-SUM($H250:$K250)</f>
        <v>0</v>
      </c>
      <c r="M250" s="88" t="str">
        <f aca="false">IF(OR($C250="01-09",$D250="Male",AND(SUM($G250)=0,SUM($H250)=0)),"",SUM($H250)/SUM($G250))</f>
        <v/>
      </c>
      <c r="N250" s="88" t="str">
        <f aca="false">IF(OR($C250="01-09",$D250="Male",AND(SUM($G250)=0,SUM($I250)=0)),"",SUM($I250)/SUM($G250))</f>
        <v/>
      </c>
      <c r="O250" s="88" t="str">
        <f aca="false">IF(AND(SUM($G250)=0,SUM($J250)=0),"",SUM($J250)/SUM($G250))</f>
        <v/>
      </c>
      <c r="P250" s="88" t="str">
        <f aca="false">IF(OR($C250="01-09",$C250="10-14",$D250="Female",AND(SUM($G250)=0,SUM($K250)=0)),"",SUM($K250)/SUM($G250))</f>
        <v/>
      </c>
      <c r="Q250" s="88"/>
      <c r="R250" s="88"/>
      <c r="S250" s="88"/>
      <c r="T250" s="88"/>
      <c r="U250" s="88"/>
      <c r="V250" s="88" t="str">
        <f aca="false">IF(SUM($G250)=0,"",SUM($M250:$U250))</f>
        <v/>
      </c>
      <c r="W250" s="88"/>
      <c r="X250" s="39" t="str">
        <f aca="false">IF(OR(SUM($G250)=0,SUM($Q250)=0),"",ROUND(SUM($G250)*SUM($Q250),0))</f>
        <v/>
      </c>
      <c r="Y250" s="39" t="str">
        <f aca="false">IF(SUM($X250)=0,"",IF(SUM($W250)=0,"ENTER YIELD",ROUND($X250/$W250,0)-$X250))</f>
        <v/>
      </c>
      <c r="Z250" s="88"/>
      <c r="AA250" s="39" t="str">
        <f aca="false">IF(OR(SUM($G250)=0,SUM($R250)=0),"",ROUND(SUM($G250)*SUM($R250),0))</f>
        <v/>
      </c>
      <c r="AB250" s="39" t="str">
        <f aca="false">IF(SUM($AA250)=0,"",IF(SUM($Z250)=0,"ENTER YIELD",ROUND($AA250/$Z250,0)-$AA250))</f>
        <v/>
      </c>
      <c r="AC250" s="88"/>
      <c r="AD250" s="39" t="str">
        <f aca="false">IF(OR(SUM($G250)=0,SUM($S250)=0),"",ROUND(SUM($G250)*SUM($S250),0))</f>
        <v/>
      </c>
      <c r="AE250" s="39" t="str">
        <f aca="false">IF(SUM($AD250)=0,"",IF(SUM($AC250)=0,"ENTER YIELD",ROUND($AD250/$AC250,0)-$AD250))</f>
        <v/>
      </c>
      <c r="AF250" s="88"/>
      <c r="AG250" s="39" t="str">
        <f aca="false">IF(OR(SUM($G250)=0,SUM($T250)=0),"",ROUND(SUM($G250)*SUM($T250),0))</f>
        <v/>
      </c>
      <c r="AH250" s="39" t="str">
        <f aca="false">IF(SUM($AG250)=0,"",IF(SUM($AF250)=0,"ENTER YIELD",ROUND($AG250/$AF250,0)-$AG250))</f>
        <v/>
      </c>
      <c r="AI250" s="88"/>
      <c r="AJ250" s="39" t="str">
        <f aca="false">IF(OR(SUM($G250)=0,SUM($U250)=0),"",ROUND(SUM($G250)*SUM($U250),0))</f>
        <v/>
      </c>
      <c r="AK250" s="39" t="str">
        <f aca="false">IF(SUM($AJ250)=0,"",IF(SUM($AI250)=0,"ENTER YIELD",ROUND($AJ250/$AI250,0)-$AJ250))</f>
        <v/>
      </c>
      <c r="AL250" s="10" t="str">
        <f aca="false">IF(SUM($G250)=0,"",$G250)</f>
        <v/>
      </c>
      <c r="AM250" s="10" t="str">
        <f aca="false">IFERROR(1/(1/SUM($H250:$K250,$X250,$AA250,$AD250,$AG250,$AJ250)),"")</f>
        <v/>
      </c>
      <c r="AN250" s="10" t="str">
        <f aca="false">IF(AND(SUM($AM250)=0,SUM($AL250)=0),"",$AM250-$AL250)</f>
        <v/>
      </c>
      <c r="AO250" s="10" t="str">
        <f aca="false">IF(OR($C250="01-09",$D250="Male"),"",INDEX(PMTCT!$AD:$AD,MATCH($E250,PMTCT!$E:$E,0)))</f>
        <v/>
      </c>
      <c r="AP250" s="10" t="str">
        <f aca="false">IF(OR($C250="01-09",$D250="Male"),"",INDEX(PMTCT!$AT:$AT,MATCH($E250,PMTCT!$E:$E,0)))</f>
        <v/>
      </c>
      <c r="AQ250" s="10" t="str">
        <f aca="false">INDEX(TB!$Q:$Q,MATCH($E250,TB!$E:$E,0))</f>
        <v/>
      </c>
      <c r="AR250" s="10" t="str">
        <f aca="false">IF(OR($C250="01-09",$C250="10-14",$D250="Female"),"",INDEX(VMMC!$AB:$AB,MATCH($E250,VMMC!$E:$E,0)))</f>
        <v/>
      </c>
      <c r="AS250" s="10" t="str">
        <f aca="false">IF(OR($C250="01-09",$C250="10-14"),"",INDEX(PrEP!$Q:$Q,MATCH($E250,PrEP!$E:$E,0)))</f>
        <v/>
      </c>
      <c r="AT250" s="10" t="str">
        <f aca="false">IFERROR(1/(1/SUM($Y250,$AB250,$AE250,$AH250,$AK250,$AO250:$AS250)),"")</f>
        <v/>
      </c>
      <c r="AU250" s="10" t="str">
        <f aca="false">IFERROR(1/(1/SUM($AT250,$AM250)),"")</f>
        <v/>
      </c>
      <c r="AV250" s="88" t="str">
        <f aca="false">IF(AND(SUM($AM250)=0,SUM($AU250)=0),"",$AM250/$AU250)</f>
        <v/>
      </c>
      <c r="AW250" s="10"/>
      <c r="AX250" s="88" t="str">
        <f aca="false">IF(OR($C250="01-09",SUM($AW250)=0),"",0%)</f>
        <v/>
      </c>
      <c r="AY250" s="39" t="str">
        <f aca="false">IF(OR($C250="01-09",SUM($AW250)=0),"",ROUND($AW250*(1+$AX250),0))</f>
        <v/>
      </c>
      <c r="AZ250" s="88" t="n">
        <f aca="false">IF(OR($C250="01-09",$C250="10-14"),"",100%)</f>
        <v>1</v>
      </c>
      <c r="BA250" s="39" t="str">
        <f aca="false">IF(OR(SUM($AM250)=0,$C250="01-09",$C250="10-14"),"",$AM250*$AZ250)</f>
        <v/>
      </c>
    </row>
    <row r="251" customFormat="false" ht="15" hidden="false" customHeight="false" outlineLevel="0" collapsed="false">
      <c r="A251" s="0" t="str">
        <f aca="false">INDEX(Prioritization!$D:$D,MATCH($B251,Prioritization!$A:$A,0))</f>
        <v>1 - Scale-up: Saturation</v>
      </c>
      <c r="B251" s="0" t="s">
        <v>213</v>
      </c>
      <c r="C251" s="0" t="s">
        <v>367</v>
      </c>
      <c r="D251" s="0" t="s">
        <v>30</v>
      </c>
      <c r="E251" s="0" t="str">
        <f aca="false">$B251&amp;"|"&amp;$C251&amp;"|"&amp;$D251</f>
        <v>Chiradzulu District [oiPR2CiVJbf]|35-49|Female</v>
      </c>
      <c r="F251" s="88" t="n">
        <f aca="false">IF(LEFT($B251,4)="_Mil","",INDEX(Cascade!$AA:$AA,MATCH($E251,Cascade!$E:$E,0)))</f>
        <v>1122</v>
      </c>
      <c r="G251" s="10" t="n">
        <f aca="false">INDEX(Cascade!$BH:$BH,MATCH($E251,Cascade!$E:$E,0))</f>
        <v>0</v>
      </c>
      <c r="H251" s="10" t="str">
        <f aca="false">IF(OR($C251="01-09",$D251="Male"),"",INDEX(PMTCT!$AC:$AC,MATCH($E251,PMTCT!$E:$E,0)))</f>
        <v/>
      </c>
      <c r="I251" s="10" t="str">
        <f aca="false">IF(OR($C251="01-09",$D251="Male"),"",INDEX(PMTCT!$AS:$AS,MATCH($E251,PMTCT!$E:$E,0)))</f>
        <v/>
      </c>
      <c r="J251" s="10" t="str">
        <f aca="false">INDEX(TB!$P:$P,MATCH($E251,TB!$E:$E,0))</f>
        <v/>
      </c>
      <c r="K251" s="10" t="str">
        <f aca="false">IF(OR($C251="01-09",$C251="10-14",$D251="Female"),"",INDEX(VMMC!$AA:$AA,MATCH($E251,VMMC!$E:$E,0)))</f>
        <v/>
      </c>
      <c r="L251" s="10" t="n">
        <f aca="false">SUM($G251)-SUM($H251:$K251)</f>
        <v>0</v>
      </c>
      <c r="M251" s="88" t="str">
        <f aca="false">IF(OR($C251="01-09",$D251="Male",AND(SUM($G251)=0,SUM($H251)=0)),"",SUM($H251)/SUM($G251))</f>
        <v/>
      </c>
      <c r="N251" s="88" t="str">
        <f aca="false">IF(OR($C251="01-09",$D251="Male",AND(SUM($G251)=0,SUM($I251)=0)),"",SUM($I251)/SUM($G251))</f>
        <v/>
      </c>
      <c r="O251" s="88" t="str">
        <f aca="false">IF(AND(SUM($G251)=0,SUM($J251)=0),"",SUM($J251)/SUM($G251))</f>
        <v/>
      </c>
      <c r="P251" s="88" t="str">
        <f aca="false">IF(OR($C251="01-09",$C251="10-14",$D251="Female",AND(SUM($G251)=0,SUM($K251)=0)),"",SUM($K251)/SUM($G251))</f>
        <v/>
      </c>
      <c r="Q251" s="88"/>
      <c r="R251" s="88"/>
      <c r="S251" s="88"/>
      <c r="T251" s="88"/>
      <c r="U251" s="88"/>
      <c r="V251" s="88" t="str">
        <f aca="false">IF(SUM($G251)=0,"",SUM($M251:$U251))</f>
        <v/>
      </c>
      <c r="W251" s="88"/>
      <c r="X251" s="39" t="str">
        <f aca="false">IF(OR(SUM($G251)=0,SUM($Q251)=0),"",ROUND(SUM($G251)*SUM($Q251),0))</f>
        <v/>
      </c>
      <c r="Y251" s="39" t="str">
        <f aca="false">IF(SUM($X251)=0,"",IF(SUM($W251)=0,"ENTER YIELD",ROUND($X251/$W251,0)-$X251))</f>
        <v/>
      </c>
      <c r="Z251" s="88"/>
      <c r="AA251" s="39" t="str">
        <f aca="false">IF(OR(SUM($G251)=0,SUM($R251)=0),"",ROUND(SUM($G251)*SUM($R251),0))</f>
        <v/>
      </c>
      <c r="AB251" s="39" t="str">
        <f aca="false">IF(SUM($AA251)=0,"",IF(SUM($Z251)=0,"ENTER YIELD",ROUND($AA251/$Z251,0)-$AA251))</f>
        <v/>
      </c>
      <c r="AC251" s="88"/>
      <c r="AD251" s="39" t="str">
        <f aca="false">IF(OR(SUM($G251)=0,SUM($S251)=0),"",ROUND(SUM($G251)*SUM($S251),0))</f>
        <v/>
      </c>
      <c r="AE251" s="39" t="str">
        <f aca="false">IF(SUM($AD251)=0,"",IF(SUM($AC251)=0,"ENTER YIELD",ROUND($AD251/$AC251,0)-$AD251))</f>
        <v/>
      </c>
      <c r="AF251" s="88"/>
      <c r="AG251" s="39" t="str">
        <f aca="false">IF(OR(SUM($G251)=0,SUM($T251)=0),"",ROUND(SUM($G251)*SUM($T251),0))</f>
        <v/>
      </c>
      <c r="AH251" s="39" t="str">
        <f aca="false">IF(SUM($AG251)=0,"",IF(SUM($AF251)=0,"ENTER YIELD",ROUND($AG251/$AF251,0)-$AG251))</f>
        <v/>
      </c>
      <c r="AI251" s="88"/>
      <c r="AJ251" s="39" t="str">
        <f aca="false">IF(OR(SUM($G251)=0,SUM($U251)=0),"",ROUND(SUM($G251)*SUM($U251),0))</f>
        <v/>
      </c>
      <c r="AK251" s="39" t="str">
        <f aca="false">IF(SUM($AJ251)=0,"",IF(SUM($AI251)=0,"ENTER YIELD",ROUND($AJ251/$AI251,0)-$AJ251))</f>
        <v/>
      </c>
      <c r="AL251" s="10" t="str">
        <f aca="false">IF(SUM($G251)=0,"",$G251)</f>
        <v/>
      </c>
      <c r="AM251" s="10" t="str">
        <f aca="false">IFERROR(1/(1/SUM($H251:$K251,$X251,$AA251,$AD251,$AG251,$AJ251)),"")</f>
        <v/>
      </c>
      <c r="AN251" s="10" t="str">
        <f aca="false">IF(AND(SUM($AM251)=0,SUM($AL251)=0),"",$AM251-$AL251)</f>
        <v/>
      </c>
      <c r="AO251" s="10" t="str">
        <f aca="false">IF(OR($C251="01-09",$D251="Male"),"",INDEX(PMTCT!$AD:$AD,MATCH($E251,PMTCT!$E:$E,0)))</f>
        <v/>
      </c>
      <c r="AP251" s="10" t="str">
        <f aca="false">IF(OR($C251="01-09",$D251="Male"),"",INDEX(PMTCT!$AT:$AT,MATCH($E251,PMTCT!$E:$E,0)))</f>
        <v/>
      </c>
      <c r="AQ251" s="10" t="str">
        <f aca="false">INDEX(TB!$Q:$Q,MATCH($E251,TB!$E:$E,0))</f>
        <v/>
      </c>
      <c r="AR251" s="10" t="str">
        <f aca="false">IF(OR($C251="01-09",$C251="10-14",$D251="Female"),"",INDEX(VMMC!$AB:$AB,MATCH($E251,VMMC!$E:$E,0)))</f>
        <v/>
      </c>
      <c r="AS251" s="10" t="str">
        <f aca="false">IF(OR($C251="01-09",$C251="10-14"),"",INDEX(PrEP!$Q:$Q,MATCH($E251,PrEP!$E:$E,0)))</f>
        <v/>
      </c>
      <c r="AT251" s="10" t="str">
        <f aca="false">IFERROR(1/(1/SUM($Y251,$AB251,$AE251,$AH251,$AK251,$AO251:$AS251)),"")</f>
        <v/>
      </c>
      <c r="AU251" s="10" t="str">
        <f aca="false">IFERROR(1/(1/SUM($AT251,$AM251)),"")</f>
        <v/>
      </c>
      <c r="AV251" s="88" t="str">
        <f aca="false">IF(AND(SUM($AM251)=0,SUM($AU251)=0),"",$AM251/$AU251)</f>
        <v/>
      </c>
      <c r="AW251" s="10"/>
      <c r="AX251" s="88" t="str">
        <f aca="false">IF(OR($C251="01-09",SUM($AW251)=0),"",0%)</f>
        <v/>
      </c>
      <c r="AY251" s="39" t="str">
        <f aca="false">IF(OR($C251="01-09",SUM($AW251)=0),"",ROUND($AW251*(1+$AX251),0))</f>
        <v/>
      </c>
      <c r="AZ251" s="88" t="n">
        <f aca="false">IF(OR($C251="01-09",$C251="10-14"),"",100%)</f>
        <v>1</v>
      </c>
      <c r="BA251" s="39" t="str">
        <f aca="false">IF(OR(SUM($AM251)=0,$C251="01-09",$C251="10-14"),"",$AM251*$AZ251)</f>
        <v/>
      </c>
    </row>
    <row r="252" customFormat="false" ht="15" hidden="false" customHeight="false" outlineLevel="0" collapsed="false">
      <c r="A252" s="0" t="str">
        <f aca="false">INDEX(Prioritization!$D:$D,MATCH($B252,Prioritization!$A:$A,0))</f>
        <v>1 - Scale-up: Saturation</v>
      </c>
      <c r="B252" s="0" t="s">
        <v>213</v>
      </c>
      <c r="C252" s="0" t="s">
        <v>367</v>
      </c>
      <c r="D252" s="0" t="s">
        <v>48</v>
      </c>
      <c r="E252" s="0" t="str">
        <f aca="false">$B252&amp;"|"&amp;$C252&amp;"|"&amp;$D252</f>
        <v>Chiradzulu District [oiPR2CiVJbf]|35-49|Male</v>
      </c>
      <c r="F252" s="88" t="n">
        <f aca="false">IF(LEFT($B252,4)="_Mil","",INDEX(Cascade!$AA:$AA,MATCH($E252,Cascade!$E:$E,0)))</f>
        <v>1258</v>
      </c>
      <c r="G252" s="10" t="n">
        <f aca="false">INDEX(Cascade!$BH:$BH,MATCH($E252,Cascade!$E:$E,0))</f>
        <v>0</v>
      </c>
      <c r="H252" s="10" t="str">
        <f aca="false">IF(OR($C252="01-09",$D252="Male"),"",INDEX(PMTCT!$AC:$AC,MATCH($E252,PMTCT!$E:$E,0)))</f>
        <v/>
      </c>
      <c r="I252" s="10" t="str">
        <f aca="false">IF(OR($C252="01-09",$D252="Male"),"",INDEX(PMTCT!$AS:$AS,MATCH($E252,PMTCT!$E:$E,0)))</f>
        <v/>
      </c>
      <c r="J252" s="10" t="str">
        <f aca="false">INDEX(TB!$P:$P,MATCH($E252,TB!$E:$E,0))</f>
        <v/>
      </c>
      <c r="K252" s="10" t="str">
        <f aca="false">IF(OR($C252="01-09",$C252="10-14",$D252="Female"),"",INDEX(VMMC!$AA:$AA,MATCH($E252,VMMC!$E:$E,0)))</f>
        <v/>
      </c>
      <c r="L252" s="10" t="n">
        <f aca="false">SUM($G252)-SUM($H252:$K252)</f>
        <v>0</v>
      </c>
      <c r="M252" s="88" t="str">
        <f aca="false">IF(OR($C252="01-09",$D252="Male",AND(SUM($G252)=0,SUM($H252)=0)),"",SUM($H252)/SUM($G252))</f>
        <v/>
      </c>
      <c r="N252" s="88" t="str">
        <f aca="false">IF(OR($C252="01-09",$D252="Male",AND(SUM($G252)=0,SUM($I252)=0)),"",SUM($I252)/SUM($G252))</f>
        <v/>
      </c>
      <c r="O252" s="88" t="str">
        <f aca="false">IF(AND(SUM($G252)=0,SUM($J252)=0),"",SUM($J252)/SUM($G252))</f>
        <v/>
      </c>
      <c r="P252" s="88" t="str">
        <f aca="false">IF(OR($C252="01-09",$C252="10-14",$D252="Female",AND(SUM($G252)=0,SUM($K252)=0)),"",SUM($K252)/SUM($G252))</f>
        <v/>
      </c>
      <c r="Q252" s="88"/>
      <c r="R252" s="88"/>
      <c r="S252" s="88"/>
      <c r="T252" s="88"/>
      <c r="U252" s="88"/>
      <c r="V252" s="88" t="str">
        <f aca="false">IF(SUM($G252)=0,"",SUM($M252:$U252))</f>
        <v/>
      </c>
      <c r="W252" s="88"/>
      <c r="X252" s="39" t="str">
        <f aca="false">IF(OR(SUM($G252)=0,SUM($Q252)=0),"",ROUND(SUM($G252)*SUM($Q252),0))</f>
        <v/>
      </c>
      <c r="Y252" s="39" t="str">
        <f aca="false">IF(SUM($X252)=0,"",IF(SUM($W252)=0,"ENTER YIELD",ROUND($X252/$W252,0)-$X252))</f>
        <v/>
      </c>
      <c r="Z252" s="88"/>
      <c r="AA252" s="39" t="str">
        <f aca="false">IF(OR(SUM($G252)=0,SUM($R252)=0),"",ROUND(SUM($G252)*SUM($R252),0))</f>
        <v/>
      </c>
      <c r="AB252" s="39" t="str">
        <f aca="false">IF(SUM($AA252)=0,"",IF(SUM($Z252)=0,"ENTER YIELD",ROUND($AA252/$Z252,0)-$AA252))</f>
        <v/>
      </c>
      <c r="AC252" s="88"/>
      <c r="AD252" s="39" t="str">
        <f aca="false">IF(OR(SUM($G252)=0,SUM($S252)=0),"",ROUND(SUM($G252)*SUM($S252),0))</f>
        <v/>
      </c>
      <c r="AE252" s="39" t="str">
        <f aca="false">IF(SUM($AD252)=0,"",IF(SUM($AC252)=0,"ENTER YIELD",ROUND($AD252/$AC252,0)-$AD252))</f>
        <v/>
      </c>
      <c r="AF252" s="88"/>
      <c r="AG252" s="39" t="str">
        <f aca="false">IF(OR(SUM($G252)=0,SUM($T252)=0),"",ROUND(SUM($G252)*SUM($T252),0))</f>
        <v/>
      </c>
      <c r="AH252" s="39" t="str">
        <f aca="false">IF(SUM($AG252)=0,"",IF(SUM($AF252)=0,"ENTER YIELD",ROUND($AG252/$AF252,0)-$AG252))</f>
        <v/>
      </c>
      <c r="AI252" s="88"/>
      <c r="AJ252" s="39" t="str">
        <f aca="false">IF(OR(SUM($G252)=0,SUM($U252)=0),"",ROUND(SUM($G252)*SUM($U252),0))</f>
        <v/>
      </c>
      <c r="AK252" s="39" t="str">
        <f aca="false">IF(SUM($AJ252)=0,"",IF(SUM($AI252)=0,"ENTER YIELD",ROUND($AJ252/$AI252,0)-$AJ252))</f>
        <v/>
      </c>
      <c r="AL252" s="10" t="str">
        <f aca="false">IF(SUM($G252)=0,"",$G252)</f>
        <v/>
      </c>
      <c r="AM252" s="10" t="str">
        <f aca="false">IFERROR(1/(1/SUM($H252:$K252,$X252,$AA252,$AD252,$AG252,$AJ252)),"")</f>
        <v/>
      </c>
      <c r="AN252" s="10" t="str">
        <f aca="false">IF(AND(SUM($AM252)=0,SUM($AL252)=0),"",$AM252-$AL252)</f>
        <v/>
      </c>
      <c r="AO252" s="10" t="str">
        <f aca="false">IF(OR($C252="01-09",$D252="Male"),"",INDEX(PMTCT!$AD:$AD,MATCH($E252,PMTCT!$E:$E,0)))</f>
        <v/>
      </c>
      <c r="AP252" s="10" t="str">
        <f aca="false">IF(OR($C252="01-09",$D252="Male"),"",INDEX(PMTCT!$AT:$AT,MATCH($E252,PMTCT!$E:$E,0)))</f>
        <v/>
      </c>
      <c r="AQ252" s="10" t="str">
        <f aca="false">INDEX(TB!$Q:$Q,MATCH($E252,TB!$E:$E,0))</f>
        <v/>
      </c>
      <c r="AR252" s="10" t="str">
        <f aca="false">IF(OR($C252="01-09",$C252="10-14",$D252="Female"),"",INDEX(VMMC!$AB:$AB,MATCH($E252,VMMC!$E:$E,0)))</f>
        <v/>
      </c>
      <c r="AS252" s="10" t="str">
        <f aca="false">IF(OR($C252="01-09",$C252="10-14"),"",INDEX(PrEP!$Q:$Q,MATCH($E252,PrEP!$E:$E,0)))</f>
        <v/>
      </c>
      <c r="AT252" s="10" t="str">
        <f aca="false">IFERROR(1/(1/SUM($Y252,$AB252,$AE252,$AH252,$AK252,$AO252:$AS252)),"")</f>
        <v/>
      </c>
      <c r="AU252" s="10" t="str">
        <f aca="false">IFERROR(1/(1/SUM($AT252,$AM252)),"")</f>
        <v/>
      </c>
      <c r="AV252" s="88" t="str">
        <f aca="false">IF(AND(SUM($AM252)=0,SUM($AU252)=0),"",$AM252/$AU252)</f>
        <v/>
      </c>
      <c r="AW252" s="10"/>
      <c r="AX252" s="88" t="str">
        <f aca="false">IF(OR($C252="01-09",SUM($AW252)=0),"",0%)</f>
        <v/>
      </c>
      <c r="AY252" s="39" t="str">
        <f aca="false">IF(OR($C252="01-09",SUM($AW252)=0),"",ROUND($AW252*(1+$AX252),0))</f>
        <v/>
      </c>
      <c r="AZ252" s="88" t="n">
        <f aca="false">IF(OR($C252="01-09",$C252="10-14"),"",100%)</f>
        <v>1</v>
      </c>
      <c r="BA252" s="39" t="str">
        <f aca="false">IF(OR(SUM($AM252)=0,$C252="01-09",$C252="10-14"),"",$AM252*$AZ252)</f>
        <v/>
      </c>
    </row>
    <row r="253" customFormat="false" ht="15" hidden="false" customHeight="false" outlineLevel="0" collapsed="false">
      <c r="A253" s="0" t="str">
        <f aca="false">INDEX(Prioritization!$D:$D,MATCH($B253,Prioritization!$A:$A,0))</f>
        <v>1 - Scale-up: Saturation</v>
      </c>
      <c r="B253" s="0" t="s">
        <v>213</v>
      </c>
      <c r="C253" s="0" t="s">
        <v>368</v>
      </c>
      <c r="D253" s="0" t="s">
        <v>30</v>
      </c>
      <c r="E253" s="0" t="str">
        <f aca="false">$B253&amp;"|"&amp;$C253&amp;"|"&amp;$D253</f>
        <v>Chiradzulu District [oiPR2CiVJbf]|50+|Female</v>
      </c>
      <c r="F253" s="88" t="n">
        <f aca="false">IF(LEFT($B253,4)="_Mil","",INDEX(Cascade!$AA:$AA,MATCH($E253,Cascade!$E:$E,0)))</f>
        <v>1159</v>
      </c>
      <c r="G253" s="10" t="n">
        <f aca="false">INDEX(Cascade!$BH:$BH,MATCH($E253,Cascade!$E:$E,0))</f>
        <v>0</v>
      </c>
      <c r="H253" s="10" t="str">
        <f aca="false">IF(OR($C253="01-09",$D253="Male"),"",INDEX(PMTCT!$AC:$AC,MATCH($E253,PMTCT!$E:$E,0)))</f>
        <v/>
      </c>
      <c r="I253" s="10" t="str">
        <f aca="false">IF(OR($C253="01-09",$D253="Male"),"",INDEX(PMTCT!$AS:$AS,MATCH($E253,PMTCT!$E:$E,0)))</f>
        <v/>
      </c>
      <c r="J253" s="10" t="str">
        <f aca="false">INDEX(TB!$P:$P,MATCH($E253,TB!$E:$E,0))</f>
        <v/>
      </c>
      <c r="K253" s="10" t="str">
        <f aca="false">IF(OR($C253="01-09",$C253="10-14",$D253="Female"),"",INDEX(VMMC!$AA:$AA,MATCH($E253,VMMC!$E:$E,0)))</f>
        <v/>
      </c>
      <c r="L253" s="10" t="n">
        <f aca="false">SUM($G253)-SUM($H253:$K253)</f>
        <v>0</v>
      </c>
      <c r="M253" s="88" t="str">
        <f aca="false">IF(OR($C253="01-09",$D253="Male",AND(SUM($G253)=0,SUM($H253)=0)),"",SUM($H253)/SUM($G253))</f>
        <v/>
      </c>
      <c r="N253" s="88" t="str">
        <f aca="false">IF(OR($C253="01-09",$D253="Male",AND(SUM($G253)=0,SUM($I253)=0)),"",SUM($I253)/SUM($G253))</f>
        <v/>
      </c>
      <c r="O253" s="88" t="str">
        <f aca="false">IF(AND(SUM($G253)=0,SUM($J253)=0),"",SUM($J253)/SUM($G253))</f>
        <v/>
      </c>
      <c r="P253" s="88" t="str">
        <f aca="false">IF(OR($C253="01-09",$C253="10-14",$D253="Female",AND(SUM($G253)=0,SUM($K253)=0)),"",SUM($K253)/SUM($G253))</f>
        <v/>
      </c>
      <c r="Q253" s="88"/>
      <c r="R253" s="88"/>
      <c r="S253" s="88"/>
      <c r="T253" s="88"/>
      <c r="U253" s="88"/>
      <c r="V253" s="88" t="str">
        <f aca="false">IF(SUM($G253)=0,"",SUM($M253:$U253))</f>
        <v/>
      </c>
      <c r="W253" s="88"/>
      <c r="X253" s="39" t="str">
        <f aca="false">IF(OR(SUM($G253)=0,SUM($Q253)=0),"",ROUND(SUM($G253)*SUM($Q253),0))</f>
        <v/>
      </c>
      <c r="Y253" s="39" t="str">
        <f aca="false">IF(SUM($X253)=0,"",IF(SUM($W253)=0,"ENTER YIELD",ROUND($X253/$W253,0)-$X253))</f>
        <v/>
      </c>
      <c r="Z253" s="88"/>
      <c r="AA253" s="39" t="str">
        <f aca="false">IF(OR(SUM($G253)=0,SUM($R253)=0),"",ROUND(SUM($G253)*SUM($R253),0))</f>
        <v/>
      </c>
      <c r="AB253" s="39" t="str">
        <f aca="false">IF(SUM($AA253)=0,"",IF(SUM($Z253)=0,"ENTER YIELD",ROUND($AA253/$Z253,0)-$AA253))</f>
        <v/>
      </c>
      <c r="AC253" s="88"/>
      <c r="AD253" s="39" t="str">
        <f aca="false">IF(OR(SUM($G253)=0,SUM($S253)=0),"",ROUND(SUM($G253)*SUM($S253),0))</f>
        <v/>
      </c>
      <c r="AE253" s="39" t="str">
        <f aca="false">IF(SUM($AD253)=0,"",IF(SUM($AC253)=0,"ENTER YIELD",ROUND($AD253/$AC253,0)-$AD253))</f>
        <v/>
      </c>
      <c r="AF253" s="88"/>
      <c r="AG253" s="39" t="str">
        <f aca="false">IF(OR(SUM($G253)=0,SUM($T253)=0),"",ROUND(SUM($G253)*SUM($T253),0))</f>
        <v/>
      </c>
      <c r="AH253" s="39" t="str">
        <f aca="false">IF(SUM($AG253)=0,"",IF(SUM($AF253)=0,"ENTER YIELD",ROUND($AG253/$AF253,0)-$AG253))</f>
        <v/>
      </c>
      <c r="AI253" s="88" t="n">
        <v>0.615471307421103</v>
      </c>
      <c r="AJ253" s="39" t="str">
        <f aca="false">IF(OR(SUM($G253)=0,SUM($U253)=0),"",ROUND(SUM($G253)*SUM($U253),0))</f>
        <v/>
      </c>
      <c r="AK253" s="39" t="str">
        <f aca="false">IF(SUM($AJ253)=0,"",IF(SUM($AI253)=0,"ENTER YIELD",ROUND($AJ253/$AI253,0)-$AJ253))</f>
        <v/>
      </c>
      <c r="AL253" s="10" t="str">
        <f aca="false">IF(SUM($G253)=0,"",$G253)</f>
        <v/>
      </c>
      <c r="AM253" s="10" t="str">
        <f aca="false">IFERROR(1/(1/SUM($H253:$K253,$X253,$AA253,$AD253,$AG253,$AJ253)),"")</f>
        <v/>
      </c>
      <c r="AN253" s="10" t="str">
        <f aca="false">IF(AND(SUM($AM253)=0,SUM($AL253)=0),"",$AM253-$AL253)</f>
        <v/>
      </c>
      <c r="AO253" s="10" t="str">
        <f aca="false">IF(OR($C253="01-09",$D253="Male"),"",INDEX(PMTCT!$AD:$AD,MATCH($E253,PMTCT!$E:$E,0)))</f>
        <v/>
      </c>
      <c r="AP253" s="10" t="str">
        <f aca="false">IF(OR($C253="01-09",$D253="Male"),"",INDEX(PMTCT!$AT:$AT,MATCH($E253,PMTCT!$E:$E,0)))</f>
        <v/>
      </c>
      <c r="AQ253" s="10" t="str">
        <f aca="false">INDEX(TB!$Q:$Q,MATCH($E253,TB!$E:$E,0))</f>
        <v/>
      </c>
      <c r="AR253" s="10" t="str">
        <f aca="false">IF(OR($C253="01-09",$C253="10-14",$D253="Female"),"",INDEX(VMMC!$AB:$AB,MATCH($E253,VMMC!$E:$E,0)))</f>
        <v/>
      </c>
      <c r="AS253" s="10" t="str">
        <f aca="false">IF(OR($C253="01-09",$C253="10-14"),"",INDEX(PrEP!$Q:$Q,MATCH($E253,PrEP!$E:$E,0)))</f>
        <v/>
      </c>
      <c r="AT253" s="10" t="str">
        <f aca="false">IFERROR(1/(1/SUM($Y253,$AB253,$AE253,$AH253,$AK253,$AO253:$AS253)),"")</f>
        <v/>
      </c>
      <c r="AU253" s="10" t="str">
        <f aca="false">IFERROR(1/(1/SUM($AT253,$AM253)),"")</f>
        <v/>
      </c>
      <c r="AV253" s="88" t="str">
        <f aca="false">IF(AND(SUM($AM253)=0,SUM($AU253)=0),"",$AM253/$AU253)</f>
        <v/>
      </c>
      <c r="AW253" s="10" t="n">
        <v>54</v>
      </c>
      <c r="AX253" s="88" t="n">
        <f aca="false">IF(OR($C253="01-09",SUM($AW253)=0),"",0%)</f>
        <v>0</v>
      </c>
      <c r="AY253" s="39" t="n">
        <f aca="false">IF(OR($C253="01-09",SUM($AW253)=0),"",ROUND($AW253*(1+$AX253),0))</f>
        <v>54</v>
      </c>
      <c r="AZ253" s="88" t="n">
        <f aca="false">IF(OR($C253="01-09",$C253="10-14"),"",100%)</f>
        <v>1</v>
      </c>
      <c r="BA253" s="39" t="str">
        <f aca="false">IF(OR(SUM($AM253)=0,$C253="01-09",$C253="10-14"),"",$AM253*$AZ253)</f>
        <v/>
      </c>
    </row>
    <row r="254" customFormat="false" ht="15" hidden="false" customHeight="false" outlineLevel="0" collapsed="false">
      <c r="A254" s="0" t="str">
        <f aca="false">INDEX(Prioritization!$D:$D,MATCH($B254,Prioritization!$A:$A,0))</f>
        <v>1 - Scale-up: Saturation</v>
      </c>
      <c r="B254" s="0" t="s">
        <v>213</v>
      </c>
      <c r="C254" s="0" t="s">
        <v>368</v>
      </c>
      <c r="D254" s="0" t="s">
        <v>48</v>
      </c>
      <c r="E254" s="0" t="str">
        <f aca="false">$B254&amp;"|"&amp;$C254&amp;"|"&amp;$D254</f>
        <v>Chiradzulu District [oiPR2CiVJbf]|50+|Male</v>
      </c>
      <c r="F254" s="88" t="n">
        <f aca="false">IF(LEFT($B254,4)="_Mil","",INDEX(Cascade!$AA:$AA,MATCH($E254,Cascade!$E:$E,0)))</f>
        <v>1792</v>
      </c>
      <c r="G254" s="10" t="n">
        <f aca="false">INDEX(Cascade!$BH:$BH,MATCH($E254,Cascade!$E:$E,0))</f>
        <v>0</v>
      </c>
      <c r="H254" s="10" t="str">
        <f aca="false">IF(OR($C254="01-09",$D254="Male"),"",INDEX(PMTCT!$AC:$AC,MATCH($E254,PMTCT!$E:$E,0)))</f>
        <v/>
      </c>
      <c r="I254" s="10" t="str">
        <f aca="false">IF(OR($C254="01-09",$D254="Male"),"",INDEX(PMTCT!$AS:$AS,MATCH($E254,PMTCT!$E:$E,0)))</f>
        <v/>
      </c>
      <c r="J254" s="10" t="str">
        <f aca="false">INDEX(TB!$P:$P,MATCH($E254,TB!$E:$E,0))</f>
        <v/>
      </c>
      <c r="K254" s="10" t="str">
        <f aca="false">IF(OR($C254="01-09",$C254="10-14",$D254="Female"),"",INDEX(VMMC!$AA:$AA,MATCH($E254,VMMC!$E:$E,0)))</f>
        <v/>
      </c>
      <c r="L254" s="10" t="n">
        <f aca="false">SUM($G254)-SUM($H254:$K254)</f>
        <v>0</v>
      </c>
      <c r="M254" s="88" t="str">
        <f aca="false">IF(OR($C254="01-09",$D254="Male",AND(SUM($G254)=0,SUM($H254)=0)),"",SUM($H254)/SUM($G254))</f>
        <v/>
      </c>
      <c r="N254" s="88" t="str">
        <f aca="false">IF(OR($C254="01-09",$D254="Male",AND(SUM($G254)=0,SUM($I254)=0)),"",SUM($I254)/SUM($G254))</f>
        <v/>
      </c>
      <c r="O254" s="88" t="str">
        <f aca="false">IF(AND(SUM($G254)=0,SUM($J254)=0),"",SUM($J254)/SUM($G254))</f>
        <v/>
      </c>
      <c r="P254" s="88" t="str">
        <f aca="false">IF(OR($C254="01-09",$C254="10-14",$D254="Female",AND(SUM($G254)=0,SUM($K254)=0)),"",SUM($K254)/SUM($G254))</f>
        <v/>
      </c>
      <c r="Q254" s="88"/>
      <c r="R254" s="88"/>
      <c r="S254" s="88"/>
      <c r="T254" s="88"/>
      <c r="U254" s="88" t="n">
        <v>0.476076743099838</v>
      </c>
      <c r="V254" s="88" t="str">
        <f aca="false">IF(SUM($G254)=0,"",SUM($M254:$U254))</f>
        <v/>
      </c>
      <c r="W254" s="88"/>
      <c r="X254" s="39" t="str">
        <f aca="false">IF(OR(SUM($G254)=0,SUM($Q254)=0),"",ROUND(SUM($G254)*SUM($Q254),0))</f>
        <v/>
      </c>
      <c r="Y254" s="39" t="str">
        <f aca="false">IF(SUM($X254)=0,"",IF(SUM($W254)=0,"ENTER YIELD",ROUND($X254/$W254,0)-$X254))</f>
        <v/>
      </c>
      <c r="Z254" s="88"/>
      <c r="AA254" s="39" t="str">
        <f aca="false">IF(OR(SUM($G254)=0,SUM($R254)=0),"",ROUND(SUM($G254)*SUM($R254),0))</f>
        <v/>
      </c>
      <c r="AB254" s="39" t="str">
        <f aca="false">IF(SUM($AA254)=0,"",IF(SUM($Z254)=0,"ENTER YIELD",ROUND($AA254/$Z254,0)-$AA254))</f>
        <v/>
      </c>
      <c r="AC254" s="88"/>
      <c r="AD254" s="39" t="str">
        <f aca="false">IF(OR(SUM($G254)=0,SUM($S254)=0),"",ROUND(SUM($G254)*SUM($S254),0))</f>
        <v/>
      </c>
      <c r="AE254" s="39" t="str">
        <f aca="false">IF(SUM($AD254)=0,"",IF(SUM($AC254)=0,"ENTER YIELD",ROUND($AD254/$AC254,0)-$AD254))</f>
        <v/>
      </c>
      <c r="AF254" s="88"/>
      <c r="AG254" s="39" t="str">
        <f aca="false">IF(OR(SUM($G254)=0,SUM($T254)=0),"",ROUND(SUM($G254)*SUM($T254),0))</f>
        <v/>
      </c>
      <c r="AH254" s="39" t="str">
        <f aca="false">IF(SUM($AG254)=0,"",IF(SUM($AF254)=0,"ENTER YIELD",ROUND($AG254/$AF254,0)-$AG254))</f>
        <v/>
      </c>
      <c r="AI254" s="88" t="n">
        <v>0.0192848332226276</v>
      </c>
      <c r="AJ254" s="39" t="str">
        <f aca="false">IF(OR(SUM($G254)=0,SUM($U254)=0),"",ROUND(SUM($G254)*SUM($U254),0))</f>
        <v/>
      </c>
      <c r="AK254" s="39" t="str">
        <f aca="false">IF(SUM($AJ254)=0,"",IF(SUM($AI254)=0,"ENTER YIELD",ROUND($AJ254/$AI254,0)-$AJ254))</f>
        <v/>
      </c>
      <c r="AL254" s="10" t="str">
        <f aca="false">IF(SUM($G254)=0,"",$G254)</f>
        <v/>
      </c>
      <c r="AM254" s="10" t="str">
        <f aca="false">IFERROR(1/(1/SUM($H254:$K254,$X254,$AA254,$AD254,$AG254,$AJ254)),"")</f>
        <v/>
      </c>
      <c r="AN254" s="10" t="str">
        <f aca="false">IF(AND(SUM($AM254)=0,SUM($AL254)=0),"",$AM254-$AL254)</f>
        <v/>
      </c>
      <c r="AO254" s="10" t="str">
        <f aca="false">IF(OR($C254="01-09",$D254="Male"),"",INDEX(PMTCT!$AD:$AD,MATCH($E254,PMTCT!$E:$E,0)))</f>
        <v/>
      </c>
      <c r="AP254" s="10" t="str">
        <f aca="false">IF(OR($C254="01-09",$D254="Male"),"",INDEX(PMTCT!$AT:$AT,MATCH($E254,PMTCT!$E:$E,0)))</f>
        <v/>
      </c>
      <c r="AQ254" s="10" t="str">
        <f aca="false">INDEX(TB!$Q:$Q,MATCH($E254,TB!$E:$E,0))</f>
        <v/>
      </c>
      <c r="AR254" s="10" t="str">
        <f aca="false">IF(OR($C254="01-09",$C254="10-14",$D254="Female"),"",INDEX(VMMC!$AB:$AB,MATCH($E254,VMMC!$E:$E,0)))</f>
        <v/>
      </c>
      <c r="AS254" s="10" t="str">
        <f aca="false">IF(OR($C254="01-09",$C254="10-14"),"",INDEX(PrEP!$Q:$Q,MATCH($E254,PrEP!$E:$E,0)))</f>
        <v/>
      </c>
      <c r="AT254" s="10" t="str">
        <f aca="false">IFERROR(1/(1/SUM($Y254,$AB254,$AE254,$AH254,$AK254,$AO254:$AS254)),"")</f>
        <v/>
      </c>
      <c r="AU254" s="10" t="str">
        <f aca="false">IFERROR(1/(1/SUM($AT254,$AM254)),"")</f>
        <v/>
      </c>
      <c r="AV254" s="88" t="str">
        <f aca="false">IF(AND(SUM($AM254)=0,SUM($AU254)=0),"",$AM254/$AU254)</f>
        <v/>
      </c>
      <c r="AW254" s="10" t="n">
        <v>68</v>
      </c>
      <c r="AX254" s="88" t="n">
        <f aca="false">IF(OR($C254="01-09",SUM($AW254)=0),"",0%)</f>
        <v>0</v>
      </c>
      <c r="AY254" s="39" t="n">
        <f aca="false">IF(OR($C254="01-09",SUM($AW254)=0),"",ROUND($AW254*(1+$AX254),0))</f>
        <v>68</v>
      </c>
      <c r="AZ254" s="88" t="n">
        <f aca="false">IF(OR($C254="01-09",$C254="10-14"),"",100%)</f>
        <v>1</v>
      </c>
      <c r="BA254" s="39" t="str">
        <f aca="false">IF(OR(SUM($AM254)=0,$C254="01-09",$C254="10-14"),"",$AM254*$AZ254)</f>
        <v/>
      </c>
    </row>
    <row r="255" customFormat="false" ht="15" hidden="false" customHeight="false" outlineLevel="0" collapsed="false">
      <c r="A255" s="0" t="str">
        <f aca="false">INDEX(Prioritization!$D:$D,MATCH($B255,Prioritization!$A:$A,0))</f>
        <v>1 - Scale-up: Saturation</v>
      </c>
      <c r="B255" s="0" t="s">
        <v>214</v>
      </c>
      <c r="C255" s="0" t="s">
        <v>363</v>
      </c>
      <c r="D255" s="0" t="s">
        <v>30</v>
      </c>
      <c r="E255" s="0" t="str">
        <f aca="false">$B255&amp;"|"&amp;$C255&amp;"|"&amp;$D255</f>
        <v>Machinga District [TYnMSwzko3z]|01-09|Female</v>
      </c>
      <c r="F255" s="88" t="n">
        <f aca="false">IF(LEFT($B255,4)="_Mil","",INDEX(Cascade!$AA:$AA,MATCH($E255,Cascade!$E:$E,0)))</f>
        <v>885</v>
      </c>
      <c r="G255" s="10" t="n">
        <f aca="false">INDEX(Cascade!$BH:$BH,MATCH($E255,Cascade!$E:$E,0))</f>
        <v>0</v>
      </c>
      <c r="H255" s="10" t="str">
        <f aca="false">IF(OR($C255="01-09",$D255="Male"),"",INDEX(PMTCT!$AC:$AC,MATCH($E255,PMTCT!$E:$E,0)))</f>
        <v/>
      </c>
      <c r="I255" s="10" t="str">
        <f aca="false">IF(OR($C255="01-09",$D255="Male"),"",INDEX(PMTCT!$AS:$AS,MATCH($E255,PMTCT!$E:$E,0)))</f>
        <v/>
      </c>
      <c r="J255" s="10" t="str">
        <f aca="false">INDEX(TB!$P:$P,MATCH($E255,TB!$E:$E,0))</f>
        <v/>
      </c>
      <c r="K255" s="10" t="str">
        <f aca="false">IF(OR($C255="01-09",$C255="10-14",$D255="Female"),"",INDEX(VMMC!$AA:$AA,MATCH($E255,VMMC!$E:$E,0)))</f>
        <v/>
      </c>
      <c r="L255" s="10" t="n">
        <f aca="false">SUM($G255)-SUM($H255:$K255)</f>
        <v>0</v>
      </c>
      <c r="M255" s="88" t="str">
        <f aca="false">IF(OR($C255="01-09",$D255="Male",AND(SUM($G255)=0,SUM($H255)=0)),"",SUM($H255)/SUM($G255))</f>
        <v/>
      </c>
      <c r="N255" s="88" t="str">
        <f aca="false">IF(OR($C255="01-09",$D255="Male",AND(SUM($G255)=0,SUM($I255)=0)),"",SUM($I255)/SUM($G255))</f>
        <v/>
      </c>
      <c r="O255" s="88" t="str">
        <f aca="false">IF(AND(SUM($G255)=0,SUM($J255)=0),"",SUM($J255)/SUM($G255))</f>
        <v/>
      </c>
      <c r="P255" s="88" t="str">
        <f aca="false">IF(OR($C255="01-09",$C255="10-14",$D255="Female",AND(SUM($G255)=0,SUM($K255)=0)),"",SUM($K255)/SUM($G255))</f>
        <v/>
      </c>
      <c r="Q255" s="88"/>
      <c r="R255" s="88"/>
      <c r="S255" s="88"/>
      <c r="T255" s="88"/>
      <c r="U255" s="88"/>
      <c r="V255" s="88" t="str">
        <f aca="false">IF(SUM($G255)=0,"",SUM($M255:$U255))</f>
        <v/>
      </c>
      <c r="W255" s="88"/>
      <c r="X255" s="39" t="str">
        <f aca="false">IF(OR(SUM($G255)=0,SUM($Q255)=0),"",ROUND(SUM($G255)*SUM($Q255),0))</f>
        <v/>
      </c>
      <c r="Y255" s="39" t="str">
        <f aca="false">IF(SUM($X255)=0,"",IF(SUM($W255)=0,"ENTER YIELD",ROUND($X255/$W255,0)-$X255))</f>
        <v/>
      </c>
      <c r="Z255" s="88"/>
      <c r="AA255" s="39" t="str">
        <f aca="false">IF(OR(SUM($G255)=0,SUM($R255)=0),"",ROUND(SUM($G255)*SUM($R255),0))</f>
        <v/>
      </c>
      <c r="AB255" s="39" t="str">
        <f aca="false">IF(SUM($AA255)=0,"",IF(SUM($Z255)=0,"ENTER YIELD",ROUND($AA255/$Z255,0)-$AA255))</f>
        <v/>
      </c>
      <c r="AC255" s="88"/>
      <c r="AD255" s="39" t="str">
        <f aca="false">IF(OR(SUM($G255)=0,SUM($S255)=0),"",ROUND(SUM($G255)*SUM($S255),0))</f>
        <v/>
      </c>
      <c r="AE255" s="39" t="str">
        <f aca="false">IF(SUM($AD255)=0,"",IF(SUM($AC255)=0,"ENTER YIELD",ROUND($AD255/$AC255,0)-$AD255))</f>
        <v/>
      </c>
      <c r="AF255" s="88"/>
      <c r="AG255" s="39" t="str">
        <f aca="false">IF(OR(SUM($G255)=0,SUM($T255)=0),"",ROUND(SUM($G255)*SUM($T255),0))</f>
        <v/>
      </c>
      <c r="AH255" s="39" t="str">
        <f aca="false">IF(SUM($AG255)=0,"",IF(SUM($AF255)=0,"ENTER YIELD",ROUND($AG255/$AF255,0)-$AG255))</f>
        <v/>
      </c>
      <c r="AI255" s="88"/>
      <c r="AJ255" s="39" t="str">
        <f aca="false">IF(OR(SUM($G255)=0,SUM($U255)=0),"",ROUND(SUM($G255)*SUM($U255),0))</f>
        <v/>
      </c>
      <c r="AK255" s="39" t="str">
        <f aca="false">IF(SUM($AJ255)=0,"",IF(SUM($AI255)=0,"ENTER YIELD",ROUND($AJ255/$AI255,0)-$AJ255))</f>
        <v/>
      </c>
      <c r="AL255" s="10" t="str">
        <f aca="false">IF(SUM($G255)=0,"",$G255)</f>
        <v/>
      </c>
      <c r="AM255" s="10" t="str">
        <f aca="false">IFERROR(1/(1/SUM($H255:$K255,$X255,$AA255,$AD255,$AG255,$AJ255)),"")</f>
        <v/>
      </c>
      <c r="AN255" s="10" t="str">
        <f aca="false">IF(AND(SUM($AM255)=0,SUM($AL255)=0),"",$AM255-$AL255)</f>
        <v/>
      </c>
      <c r="AO255" s="10" t="str">
        <f aca="false">IF(OR($C255="01-09",$D255="Male"),"",INDEX(PMTCT!$AD:$AD,MATCH($E255,PMTCT!$E:$E,0)))</f>
        <v/>
      </c>
      <c r="AP255" s="10" t="str">
        <f aca="false">IF(OR($C255="01-09",$D255="Male"),"",INDEX(PMTCT!$AT:$AT,MATCH($E255,PMTCT!$E:$E,0)))</f>
        <v/>
      </c>
      <c r="AQ255" s="10" t="str">
        <f aca="false">INDEX(TB!$Q:$Q,MATCH($E255,TB!$E:$E,0))</f>
        <v/>
      </c>
      <c r="AR255" s="10" t="str">
        <f aca="false">IF(OR($C255="01-09",$C255="10-14",$D255="Female"),"",INDEX(VMMC!$AB:$AB,MATCH($E255,VMMC!$E:$E,0)))</f>
        <v/>
      </c>
      <c r="AS255" s="10" t="str">
        <f aca="false">IF(OR($C255="01-09",$C255="10-14"),"",INDEX(PrEP!$Q:$Q,MATCH($E255,PrEP!$E:$E,0)))</f>
        <v/>
      </c>
      <c r="AT255" s="10" t="str">
        <f aca="false">IFERROR(1/(1/SUM($Y255,$AB255,$AE255,$AH255,$AK255,$AO255:$AS255)),"")</f>
        <v/>
      </c>
      <c r="AU255" s="10" t="str">
        <f aca="false">IFERROR(1/(1/SUM($AT255,$AM255)),"")</f>
        <v/>
      </c>
      <c r="AV255" s="88" t="str">
        <f aca="false">IF(AND(SUM($AM255)=0,SUM($AU255)=0),"",$AM255/$AU255)</f>
        <v/>
      </c>
      <c r="AW255" s="10"/>
      <c r="AX255" s="88" t="str">
        <f aca="false">IF(OR($C255="01-09",SUM($AW255)=0),"",0%)</f>
        <v/>
      </c>
      <c r="AY255" s="39" t="str">
        <f aca="false">IF(OR($C255="01-09",SUM($AW255)=0),"",ROUND($AW255*(1+$AX255),0))</f>
        <v/>
      </c>
      <c r="AZ255" s="88" t="str">
        <f aca="false">IF(OR($C255="01-09",$C255="10-14"),"",100%)</f>
        <v/>
      </c>
      <c r="BA255" s="39" t="str">
        <f aca="false">IF(OR(SUM($AM255)=0,$C255="01-09",$C255="10-14"),"",$AM255*$AZ255)</f>
        <v/>
      </c>
    </row>
    <row r="256" customFormat="false" ht="15" hidden="false" customHeight="false" outlineLevel="0" collapsed="false">
      <c r="A256" s="0" t="str">
        <f aca="false">INDEX(Prioritization!$D:$D,MATCH($B256,Prioritization!$A:$A,0))</f>
        <v>1 - Scale-up: Saturation</v>
      </c>
      <c r="B256" s="0" t="s">
        <v>214</v>
      </c>
      <c r="C256" s="0" t="s">
        <v>363</v>
      </c>
      <c r="D256" s="0" t="s">
        <v>48</v>
      </c>
      <c r="E256" s="0" t="str">
        <f aca="false">$B256&amp;"|"&amp;$C256&amp;"|"&amp;$D256</f>
        <v>Machinga District [TYnMSwzko3z]|01-09|Male</v>
      </c>
      <c r="F256" s="88" t="n">
        <f aca="false">IF(LEFT($B256,4)="_Mil","",INDEX(Cascade!$AA:$AA,MATCH($E256,Cascade!$E:$E,0)))</f>
        <v>1751</v>
      </c>
      <c r="G256" s="10" t="n">
        <f aca="false">INDEX(Cascade!$BH:$BH,MATCH($E256,Cascade!$E:$E,0))</f>
        <v>0</v>
      </c>
      <c r="H256" s="10" t="str">
        <f aca="false">IF(OR($C256="01-09",$D256="Male"),"",INDEX(PMTCT!$AC:$AC,MATCH($E256,PMTCT!$E:$E,0)))</f>
        <v/>
      </c>
      <c r="I256" s="10" t="str">
        <f aca="false">IF(OR($C256="01-09",$D256="Male"),"",INDEX(PMTCT!$AS:$AS,MATCH($E256,PMTCT!$E:$E,0)))</f>
        <v/>
      </c>
      <c r="J256" s="10" t="str">
        <f aca="false">INDEX(TB!$P:$P,MATCH($E256,TB!$E:$E,0))</f>
        <v/>
      </c>
      <c r="K256" s="10" t="str">
        <f aca="false">IF(OR($C256="01-09",$C256="10-14",$D256="Female"),"",INDEX(VMMC!$AA:$AA,MATCH($E256,VMMC!$E:$E,0)))</f>
        <v/>
      </c>
      <c r="L256" s="10" t="n">
        <f aca="false">SUM($G256)-SUM($H256:$K256)</f>
        <v>0</v>
      </c>
      <c r="M256" s="88" t="str">
        <f aca="false">IF(OR($C256="01-09",$D256="Male",AND(SUM($G256)=0,SUM($H256)=0)),"",SUM($H256)/SUM($G256))</f>
        <v/>
      </c>
      <c r="N256" s="88" t="str">
        <f aca="false">IF(OR($C256="01-09",$D256="Male",AND(SUM($G256)=0,SUM($I256)=0)),"",SUM($I256)/SUM($G256))</f>
        <v/>
      </c>
      <c r="O256" s="88" t="str">
        <f aca="false">IF(AND(SUM($G256)=0,SUM($J256)=0),"",SUM($J256)/SUM($G256))</f>
        <v/>
      </c>
      <c r="P256" s="88" t="str">
        <f aca="false">IF(OR($C256="01-09",$C256="10-14",$D256="Female",AND(SUM($G256)=0,SUM($K256)=0)),"",SUM($K256)/SUM($G256))</f>
        <v/>
      </c>
      <c r="Q256" s="88"/>
      <c r="R256" s="88"/>
      <c r="S256" s="88"/>
      <c r="T256" s="88"/>
      <c r="U256" s="88"/>
      <c r="V256" s="88" t="str">
        <f aca="false">IF(SUM($G256)=0,"",SUM($M256:$U256))</f>
        <v/>
      </c>
      <c r="W256" s="88"/>
      <c r="X256" s="39" t="str">
        <f aca="false">IF(OR(SUM($G256)=0,SUM($Q256)=0),"",ROUND(SUM($G256)*SUM($Q256),0))</f>
        <v/>
      </c>
      <c r="Y256" s="39" t="str">
        <f aca="false">IF(SUM($X256)=0,"",IF(SUM($W256)=0,"ENTER YIELD",ROUND($X256/$W256,0)-$X256))</f>
        <v/>
      </c>
      <c r="Z256" s="88"/>
      <c r="AA256" s="39" t="str">
        <f aca="false">IF(OR(SUM($G256)=0,SUM($R256)=0),"",ROUND(SUM($G256)*SUM($R256),0))</f>
        <v/>
      </c>
      <c r="AB256" s="39" t="str">
        <f aca="false">IF(SUM($AA256)=0,"",IF(SUM($Z256)=0,"ENTER YIELD",ROUND($AA256/$Z256,0)-$AA256))</f>
        <v/>
      </c>
      <c r="AC256" s="88"/>
      <c r="AD256" s="39" t="str">
        <f aca="false">IF(OR(SUM($G256)=0,SUM($S256)=0),"",ROUND(SUM($G256)*SUM($S256),0))</f>
        <v/>
      </c>
      <c r="AE256" s="39" t="str">
        <f aca="false">IF(SUM($AD256)=0,"",IF(SUM($AC256)=0,"ENTER YIELD",ROUND($AD256/$AC256,0)-$AD256))</f>
        <v/>
      </c>
      <c r="AF256" s="88"/>
      <c r="AG256" s="39" t="str">
        <f aca="false">IF(OR(SUM($G256)=0,SUM($T256)=0),"",ROUND(SUM($G256)*SUM($T256),0))</f>
        <v/>
      </c>
      <c r="AH256" s="39" t="str">
        <f aca="false">IF(SUM($AG256)=0,"",IF(SUM($AF256)=0,"ENTER YIELD",ROUND($AG256/$AF256,0)-$AG256))</f>
        <v/>
      </c>
      <c r="AI256" s="88"/>
      <c r="AJ256" s="39" t="str">
        <f aca="false">IF(OR(SUM($G256)=0,SUM($U256)=0),"",ROUND(SUM($G256)*SUM($U256),0))</f>
        <v/>
      </c>
      <c r="AK256" s="39" t="str">
        <f aca="false">IF(SUM($AJ256)=0,"",IF(SUM($AI256)=0,"ENTER YIELD",ROUND($AJ256/$AI256,0)-$AJ256))</f>
        <v/>
      </c>
      <c r="AL256" s="10" t="str">
        <f aca="false">IF(SUM($G256)=0,"",$G256)</f>
        <v/>
      </c>
      <c r="AM256" s="10" t="str">
        <f aca="false">IFERROR(1/(1/SUM($H256:$K256,$X256,$AA256,$AD256,$AG256,$AJ256)),"")</f>
        <v/>
      </c>
      <c r="AN256" s="10" t="str">
        <f aca="false">IF(AND(SUM($AM256)=0,SUM($AL256)=0),"",$AM256-$AL256)</f>
        <v/>
      </c>
      <c r="AO256" s="10" t="str">
        <f aca="false">IF(OR($C256="01-09",$D256="Male"),"",INDEX(PMTCT!$AD:$AD,MATCH($E256,PMTCT!$E:$E,0)))</f>
        <v/>
      </c>
      <c r="AP256" s="10" t="str">
        <f aca="false">IF(OR($C256="01-09",$D256="Male"),"",INDEX(PMTCT!$AT:$AT,MATCH($E256,PMTCT!$E:$E,0)))</f>
        <v/>
      </c>
      <c r="AQ256" s="10" t="str">
        <f aca="false">INDEX(TB!$Q:$Q,MATCH($E256,TB!$E:$E,0))</f>
        <v/>
      </c>
      <c r="AR256" s="10" t="str">
        <f aca="false">IF(OR($C256="01-09",$C256="10-14",$D256="Female"),"",INDEX(VMMC!$AB:$AB,MATCH($E256,VMMC!$E:$E,0)))</f>
        <v/>
      </c>
      <c r="AS256" s="10" t="str">
        <f aca="false">IF(OR($C256="01-09",$C256="10-14"),"",INDEX(PrEP!$Q:$Q,MATCH($E256,PrEP!$E:$E,0)))</f>
        <v/>
      </c>
      <c r="AT256" s="10" t="str">
        <f aca="false">IFERROR(1/(1/SUM($Y256,$AB256,$AE256,$AH256,$AK256,$AO256:$AS256)),"")</f>
        <v/>
      </c>
      <c r="AU256" s="10" t="str">
        <f aca="false">IFERROR(1/(1/SUM($AT256,$AM256)),"")</f>
        <v/>
      </c>
      <c r="AV256" s="88" t="str">
        <f aca="false">IF(AND(SUM($AM256)=0,SUM($AU256)=0),"",$AM256/$AU256)</f>
        <v/>
      </c>
      <c r="AW256" s="10"/>
      <c r="AX256" s="88" t="str">
        <f aca="false">IF(OR($C256="01-09",SUM($AW256)=0),"",0%)</f>
        <v/>
      </c>
      <c r="AY256" s="39" t="str">
        <f aca="false">IF(OR($C256="01-09",SUM($AW256)=0),"",ROUND($AW256*(1+$AX256),0))</f>
        <v/>
      </c>
      <c r="AZ256" s="88" t="str">
        <f aca="false">IF(OR($C256="01-09",$C256="10-14"),"",100%)</f>
        <v/>
      </c>
      <c r="BA256" s="39" t="str">
        <f aca="false">IF(OR(SUM($AM256)=0,$C256="01-09",$C256="10-14"),"",$AM256*$AZ256)</f>
        <v/>
      </c>
    </row>
    <row r="257" customFormat="false" ht="15" hidden="false" customHeight="false" outlineLevel="0" collapsed="false">
      <c r="A257" s="0" t="str">
        <f aca="false">INDEX(Prioritization!$D:$D,MATCH($B257,Prioritization!$A:$A,0))</f>
        <v>1 - Scale-up: Saturation</v>
      </c>
      <c r="B257" s="0" t="s">
        <v>214</v>
      </c>
      <c r="C257" s="0" t="s">
        <v>364</v>
      </c>
      <c r="D257" s="0" t="s">
        <v>30</v>
      </c>
      <c r="E257" s="0" t="str">
        <f aca="false">$B257&amp;"|"&amp;$C257&amp;"|"&amp;$D257</f>
        <v>Machinga District [TYnMSwzko3z]|10-14|Female</v>
      </c>
      <c r="F257" s="88" t="n">
        <f aca="false">IF(LEFT($B257,4)="_Mil","",INDEX(Cascade!$AA:$AA,MATCH($E257,Cascade!$E:$E,0)))</f>
        <v>1635</v>
      </c>
      <c r="G257" s="10" t="n">
        <f aca="false">INDEX(Cascade!$BH:$BH,MATCH($E257,Cascade!$E:$E,0))</f>
        <v>-87</v>
      </c>
      <c r="H257" s="10" t="str">
        <f aca="false">IF(OR($C257="01-09",$D257="Male"),"",INDEX(PMTCT!$AC:$AC,MATCH($E257,PMTCT!$E:$E,0)))</f>
        <v>ENTER YIELD RATE</v>
      </c>
      <c r="I257" s="10" t="str">
        <f aca="false">IF(OR($C257="01-09",$D257="Male"),"",INDEX(PMTCT!$AS:$AS,MATCH($E257,PMTCT!$E:$E,0)))</f>
        <v>ENTER YIELD RATE</v>
      </c>
      <c r="J257" s="10" t="str">
        <f aca="false">INDEX(TB!$P:$P,MATCH($E257,TB!$E:$E,0))</f>
        <v>ENTER YIELD RATE</v>
      </c>
      <c r="K257" s="10" t="str">
        <f aca="false">IF(OR($C257="01-09",$C257="10-14",$D257="Female"),"",INDEX(VMMC!$AA:$AA,MATCH($E257,VMMC!$E:$E,0)))</f>
        <v/>
      </c>
      <c r="L257" s="10" t="n">
        <f aca="false">SUM($G257)-SUM($H257:$K257)</f>
        <v>-87</v>
      </c>
      <c r="M257" s="88" t="n">
        <f aca="false">IF(OR($C257="01-09",$D257="Male",AND(SUM($G257)=0,SUM($H257)=0)),"",SUM($H257)/SUM($G257))</f>
        <v>-0</v>
      </c>
      <c r="N257" s="88" t="n">
        <f aca="false">IF(OR($C257="01-09",$D257="Male",AND(SUM($G257)=0,SUM($I257)=0)),"",SUM($I257)/SUM($G257))</f>
        <v>-0</v>
      </c>
      <c r="O257" s="88" t="n">
        <f aca="false">IF(AND(SUM($G257)=0,SUM($J257)=0),"",SUM($J257)/SUM($G257))</f>
        <v>-0</v>
      </c>
      <c r="P257" s="88" t="str">
        <f aca="false">IF(OR($C257="01-09",$C257="10-14",$D257="Female",AND(SUM($G257)=0,SUM($K257)=0)),"",SUM($K257)/SUM($G257))</f>
        <v/>
      </c>
      <c r="Q257" s="88"/>
      <c r="R257" s="88"/>
      <c r="S257" s="88"/>
      <c r="T257" s="88"/>
      <c r="U257" s="88"/>
      <c r="V257" s="88" t="n">
        <f aca="false">IF(SUM($G257)=0,"",SUM($M257:$U257))</f>
        <v>0</v>
      </c>
      <c r="W257" s="88"/>
      <c r="X257" s="39" t="str">
        <f aca="false">IF(OR(SUM($G257)=0,SUM($Q257)=0),"",ROUND(SUM($G257)*SUM($Q257),0))</f>
        <v/>
      </c>
      <c r="Y257" s="39" t="str">
        <f aca="false">IF(SUM($X257)=0,"",IF(SUM($W257)=0,"ENTER YIELD",ROUND($X257/$W257,0)-$X257))</f>
        <v/>
      </c>
      <c r="Z257" s="88"/>
      <c r="AA257" s="39" t="str">
        <f aca="false">IF(OR(SUM($G257)=0,SUM($R257)=0),"",ROUND(SUM($G257)*SUM($R257),0))</f>
        <v/>
      </c>
      <c r="AB257" s="39" t="str">
        <f aca="false">IF(SUM($AA257)=0,"",IF(SUM($Z257)=0,"ENTER YIELD",ROUND($AA257/$Z257,0)-$AA257))</f>
        <v/>
      </c>
      <c r="AC257" s="88"/>
      <c r="AD257" s="39" t="str">
        <f aca="false">IF(OR(SUM($G257)=0,SUM($S257)=0),"",ROUND(SUM($G257)*SUM($S257),0))</f>
        <v/>
      </c>
      <c r="AE257" s="39" t="str">
        <f aca="false">IF(SUM($AD257)=0,"",IF(SUM($AC257)=0,"ENTER YIELD",ROUND($AD257/$AC257,0)-$AD257))</f>
        <v/>
      </c>
      <c r="AF257" s="88"/>
      <c r="AG257" s="39" t="str">
        <f aca="false">IF(OR(SUM($G257)=0,SUM($T257)=0),"",ROUND(SUM($G257)*SUM($T257),0))</f>
        <v/>
      </c>
      <c r="AH257" s="39" t="str">
        <f aca="false">IF(SUM($AG257)=0,"",IF(SUM($AF257)=0,"ENTER YIELD",ROUND($AG257/$AF257,0)-$AG257))</f>
        <v/>
      </c>
      <c r="AI257" s="88" t="n">
        <v>0.040449527092278</v>
      </c>
      <c r="AJ257" s="39" t="str">
        <f aca="false">IF(OR(SUM($G257)=0,SUM($U257)=0),"",ROUND(SUM($G257)*SUM($U257),0))</f>
        <v/>
      </c>
      <c r="AK257" s="39" t="str">
        <f aca="false">IF(SUM($AJ257)=0,"",IF(SUM($AI257)=0,"ENTER YIELD",ROUND($AJ257/$AI257,0)-$AJ257))</f>
        <v/>
      </c>
      <c r="AL257" s="10" t="n">
        <f aca="false">IF(SUM($G257)=0,"",$G257)</f>
        <v>-87</v>
      </c>
      <c r="AM257" s="10" t="str">
        <f aca="false">IFERROR(1/(1/SUM($H257:$K257,$X257,$AA257,$AD257,$AG257,$AJ257)),"")</f>
        <v/>
      </c>
      <c r="AN257" s="10" t="e">
        <f aca="false">IF(AND(SUM($AM257)=0,SUM($AL257)=0),"",$AM257-$AL257)</f>
        <v>#VALUE!</v>
      </c>
      <c r="AO257" s="10" t="n">
        <f aca="false">IF(OR($C257="01-09",$D257="Male"),"",INDEX(PMTCT!$AD:$AD,MATCH($E257,PMTCT!$E:$E,0)))</f>
        <v>9</v>
      </c>
      <c r="AP257" s="10" t="n">
        <f aca="false">IF(OR($C257="01-09",$D257="Male"),"",INDEX(PMTCT!$AT:$AT,MATCH($E257,PMTCT!$E:$E,0)))</f>
        <v>9</v>
      </c>
      <c r="AQ257" s="10" t="n">
        <f aca="false">INDEX(TB!$Q:$Q,MATCH($E257,TB!$E:$E,0))</f>
        <v>1</v>
      </c>
      <c r="AR257" s="10" t="str">
        <f aca="false">IF(OR($C257="01-09",$C257="10-14",$D257="Female"),"",INDEX(VMMC!$AB:$AB,MATCH($E257,VMMC!$E:$E,0)))</f>
        <v/>
      </c>
      <c r="AS257" s="10" t="str">
        <f aca="false">IF(OR($C257="01-09",$C257="10-14"),"",INDEX(PrEP!$Q:$Q,MATCH($E257,PrEP!$E:$E,0)))</f>
        <v/>
      </c>
      <c r="AT257" s="10" t="n">
        <f aca="false">IFERROR(1/(1/SUM($Y257,$AB257,$AE257,$AH257,$AK257,$AO257:$AS257)),"")</f>
        <v>19</v>
      </c>
      <c r="AU257" s="10" t="n">
        <f aca="false">IFERROR(1/(1/SUM($AT257,$AM257)),"")</f>
        <v>19</v>
      </c>
      <c r="AV257" s="88" t="e">
        <f aca="false">IF(AND(SUM($AM257)=0,SUM($AU257)=0),"",$AM257/$AU257)</f>
        <v>#VALUE!</v>
      </c>
      <c r="AW257" s="10" t="n">
        <v>714</v>
      </c>
      <c r="AX257" s="88" t="n">
        <f aca="false">IF(OR($C257="01-09",SUM($AW257)=0),"",0%)</f>
        <v>0</v>
      </c>
      <c r="AY257" s="39" t="n">
        <f aca="false">IF(OR($C257="01-09",SUM($AW257)=0),"",ROUND($AW257*(1+$AX257),0))</f>
        <v>714</v>
      </c>
      <c r="AZ257" s="88" t="str">
        <f aca="false">IF(OR($C257="01-09",$C257="10-14"),"",100%)</f>
        <v/>
      </c>
      <c r="BA257" s="39" t="str">
        <f aca="false">IF(OR(SUM($AM257)=0,$C257="01-09",$C257="10-14"),"",$AM257*$AZ257)</f>
        <v/>
      </c>
    </row>
    <row r="258" customFormat="false" ht="15" hidden="false" customHeight="false" outlineLevel="0" collapsed="false">
      <c r="A258" s="0" t="str">
        <f aca="false">INDEX(Prioritization!$D:$D,MATCH($B258,Prioritization!$A:$A,0))</f>
        <v>1 - Scale-up: Saturation</v>
      </c>
      <c r="B258" s="0" t="s">
        <v>214</v>
      </c>
      <c r="C258" s="0" t="s">
        <v>364</v>
      </c>
      <c r="D258" s="0" t="s">
        <v>48</v>
      </c>
      <c r="E258" s="0" t="str">
        <f aca="false">$B258&amp;"|"&amp;$C258&amp;"|"&amp;$D258</f>
        <v>Machinga District [TYnMSwzko3z]|10-14|Male</v>
      </c>
      <c r="F258" s="88" t="n">
        <f aca="false">IF(LEFT($B258,4)="_Mil","",INDEX(Cascade!$AA:$AA,MATCH($E258,Cascade!$E:$E,0)))</f>
        <v>685</v>
      </c>
      <c r="G258" s="10" t="n">
        <f aca="false">INDEX(Cascade!$BH:$BH,MATCH($E258,Cascade!$E:$E,0))</f>
        <v>-55</v>
      </c>
      <c r="H258" s="10" t="str">
        <f aca="false">IF(OR($C258="01-09",$D258="Male"),"",INDEX(PMTCT!$AC:$AC,MATCH($E258,PMTCT!$E:$E,0)))</f>
        <v/>
      </c>
      <c r="I258" s="10" t="str">
        <f aca="false">IF(OR($C258="01-09",$D258="Male"),"",INDEX(PMTCT!$AS:$AS,MATCH($E258,PMTCT!$E:$E,0)))</f>
        <v/>
      </c>
      <c r="J258" s="10" t="str">
        <f aca="false">INDEX(TB!$P:$P,MATCH($E258,TB!$E:$E,0))</f>
        <v>ENTER YIELD RATE</v>
      </c>
      <c r="K258" s="10" t="str">
        <f aca="false">IF(OR($C258="01-09",$C258="10-14",$D258="Female"),"",INDEX(VMMC!$AA:$AA,MATCH($E258,VMMC!$E:$E,0)))</f>
        <v/>
      </c>
      <c r="L258" s="10" t="n">
        <f aca="false">SUM($G258)-SUM($H258:$K258)</f>
        <v>-55</v>
      </c>
      <c r="M258" s="88" t="str">
        <f aca="false">IF(OR($C258="01-09",$D258="Male",AND(SUM($G258)=0,SUM($H258)=0)),"",SUM($H258)/SUM($G258))</f>
        <v/>
      </c>
      <c r="N258" s="88" t="str">
        <f aca="false">IF(OR($C258="01-09",$D258="Male",AND(SUM($G258)=0,SUM($I258)=0)),"",SUM($I258)/SUM($G258))</f>
        <v/>
      </c>
      <c r="O258" s="88" t="n">
        <f aca="false">IF(AND(SUM($G258)=0,SUM($J258)=0),"",SUM($J258)/SUM($G258))</f>
        <v>-0</v>
      </c>
      <c r="P258" s="88" t="str">
        <f aca="false">IF(OR($C258="01-09",$C258="10-14",$D258="Female",AND(SUM($G258)=0,SUM($K258)=0)),"",SUM($K258)/SUM($G258))</f>
        <v/>
      </c>
      <c r="Q258" s="88"/>
      <c r="R258" s="88"/>
      <c r="S258" s="88"/>
      <c r="T258" s="88"/>
      <c r="U258" s="88"/>
      <c r="V258" s="88" t="n">
        <f aca="false">IF(SUM($G258)=0,"",SUM($M258:$U258))</f>
        <v>0</v>
      </c>
      <c r="W258" s="88"/>
      <c r="X258" s="39" t="str">
        <f aca="false">IF(OR(SUM($G258)=0,SUM($Q258)=0),"",ROUND(SUM($G258)*SUM($Q258),0))</f>
        <v/>
      </c>
      <c r="Y258" s="39" t="str">
        <f aca="false">IF(SUM($X258)=0,"",IF(SUM($W258)=0,"ENTER YIELD",ROUND($X258/$W258,0)-$X258))</f>
        <v/>
      </c>
      <c r="Z258" s="88"/>
      <c r="AA258" s="39" t="str">
        <f aca="false">IF(OR(SUM($G258)=0,SUM($R258)=0),"",ROUND(SUM($G258)*SUM($R258),0))</f>
        <v/>
      </c>
      <c r="AB258" s="39" t="str">
        <f aca="false">IF(SUM($AA258)=0,"",IF(SUM($Z258)=0,"ENTER YIELD",ROUND($AA258/$Z258,0)-$AA258))</f>
        <v/>
      </c>
      <c r="AC258" s="88"/>
      <c r="AD258" s="39" t="str">
        <f aca="false">IF(OR(SUM($G258)=0,SUM($S258)=0),"",ROUND(SUM($G258)*SUM($S258),0))</f>
        <v/>
      </c>
      <c r="AE258" s="39" t="str">
        <f aca="false">IF(SUM($AD258)=0,"",IF(SUM($AC258)=0,"ENTER YIELD",ROUND($AD258/$AC258,0)-$AD258))</f>
        <v/>
      </c>
      <c r="AF258" s="88"/>
      <c r="AG258" s="39" t="str">
        <f aca="false">IF(OR(SUM($G258)=0,SUM($T258)=0),"",ROUND(SUM($G258)*SUM($T258),0))</f>
        <v/>
      </c>
      <c r="AH258" s="39" t="str">
        <f aca="false">IF(SUM($AG258)=0,"",IF(SUM($AF258)=0,"ENTER YIELD",ROUND($AG258/$AF258,0)-$AG258))</f>
        <v/>
      </c>
      <c r="AI258" s="88" t="n">
        <v>0.407714853528887</v>
      </c>
      <c r="AJ258" s="39" t="str">
        <f aca="false">IF(OR(SUM($G258)=0,SUM($U258)=0),"",ROUND(SUM($G258)*SUM($U258),0))</f>
        <v/>
      </c>
      <c r="AK258" s="39" t="str">
        <f aca="false">IF(SUM($AJ258)=0,"",IF(SUM($AI258)=0,"ENTER YIELD",ROUND($AJ258/$AI258,0)-$AJ258))</f>
        <v/>
      </c>
      <c r="AL258" s="10" t="n">
        <f aca="false">IF(SUM($G258)=0,"",$G258)</f>
        <v>-55</v>
      </c>
      <c r="AM258" s="10" t="str">
        <f aca="false">IFERROR(1/(1/SUM($H258:$K258,$X258,$AA258,$AD258,$AG258,$AJ258)),"")</f>
        <v/>
      </c>
      <c r="AN258" s="10" t="e">
        <f aca="false">IF(AND(SUM($AM258)=0,SUM($AL258)=0),"",$AM258-$AL258)</f>
        <v>#VALUE!</v>
      </c>
      <c r="AO258" s="10" t="str">
        <f aca="false">IF(OR($C258="01-09",$D258="Male"),"",INDEX(PMTCT!$AD:$AD,MATCH($E258,PMTCT!$E:$E,0)))</f>
        <v/>
      </c>
      <c r="AP258" s="10" t="str">
        <f aca="false">IF(OR($C258="01-09",$D258="Male"),"",INDEX(PMTCT!$AT:$AT,MATCH($E258,PMTCT!$E:$E,0)))</f>
        <v/>
      </c>
      <c r="AQ258" s="10" t="n">
        <f aca="false">INDEX(TB!$Q:$Q,MATCH($E258,TB!$E:$E,0))</f>
        <v>1</v>
      </c>
      <c r="AR258" s="10" t="str">
        <f aca="false">IF(OR($C258="01-09",$C258="10-14",$D258="Female"),"",INDEX(VMMC!$AB:$AB,MATCH($E258,VMMC!$E:$E,0)))</f>
        <v/>
      </c>
      <c r="AS258" s="10" t="str">
        <f aca="false">IF(OR($C258="01-09",$C258="10-14"),"",INDEX(PrEP!$Q:$Q,MATCH($E258,PrEP!$E:$E,0)))</f>
        <v/>
      </c>
      <c r="AT258" s="10" t="n">
        <f aca="false">IFERROR(1/(1/SUM($Y258,$AB258,$AE258,$AH258,$AK258,$AO258:$AS258)),"")</f>
        <v>1</v>
      </c>
      <c r="AU258" s="10" t="n">
        <f aca="false">IFERROR(1/(1/SUM($AT258,$AM258)),"")</f>
        <v>1</v>
      </c>
      <c r="AV258" s="88" t="e">
        <f aca="false">IF(AND(SUM($AM258)=0,SUM($AU258)=0),"",$AM258/$AU258)</f>
        <v>#VALUE!</v>
      </c>
      <c r="AW258" s="10"/>
      <c r="AX258" s="88" t="str">
        <f aca="false">IF(OR($C258="01-09",SUM($AW258)=0),"",0%)</f>
        <v/>
      </c>
      <c r="AY258" s="39" t="str">
        <f aca="false">IF(OR($C258="01-09",SUM($AW258)=0),"",ROUND($AW258*(1+$AX258),0))</f>
        <v/>
      </c>
      <c r="AZ258" s="88" t="str">
        <f aca="false">IF(OR($C258="01-09",$C258="10-14"),"",100%)</f>
        <v/>
      </c>
      <c r="BA258" s="39" t="str">
        <f aca="false">IF(OR(SUM($AM258)=0,$C258="01-09",$C258="10-14"),"",$AM258*$AZ258)</f>
        <v/>
      </c>
    </row>
    <row r="259" customFormat="false" ht="15" hidden="false" customHeight="false" outlineLevel="0" collapsed="false">
      <c r="A259" s="0" t="str">
        <f aca="false">INDEX(Prioritization!$D:$D,MATCH($B259,Prioritization!$A:$A,0))</f>
        <v>1 - Scale-up: Saturation</v>
      </c>
      <c r="B259" s="0" t="s">
        <v>214</v>
      </c>
      <c r="C259" s="0" t="s">
        <v>365</v>
      </c>
      <c r="D259" s="0" t="s">
        <v>30</v>
      </c>
      <c r="E259" s="0" t="str">
        <f aca="false">$B259&amp;"|"&amp;$C259&amp;"|"&amp;$D259</f>
        <v>Machinga District [TYnMSwzko3z]|15-24|Female</v>
      </c>
      <c r="F259" s="88" t="n">
        <f aca="false">IF(LEFT($B259,4)="_Mil","",INDEX(Cascade!$AA:$AA,MATCH($E259,Cascade!$E:$E,0)))</f>
        <v>756</v>
      </c>
      <c r="G259" s="10" t="n">
        <f aca="false">INDEX(Cascade!$BH:$BH,MATCH($E259,Cascade!$E:$E,0))</f>
        <v>0</v>
      </c>
      <c r="H259" s="10" t="str">
        <f aca="false">IF(OR($C259="01-09",$D259="Male"),"",INDEX(PMTCT!$AC:$AC,MATCH($E259,PMTCT!$E:$E,0)))</f>
        <v/>
      </c>
      <c r="I259" s="10" t="str">
        <f aca="false">IF(OR($C259="01-09",$D259="Male"),"",INDEX(PMTCT!$AS:$AS,MATCH($E259,PMTCT!$E:$E,0)))</f>
        <v/>
      </c>
      <c r="J259" s="10" t="str">
        <f aca="false">INDEX(TB!$P:$P,MATCH($E259,TB!$E:$E,0))</f>
        <v/>
      </c>
      <c r="K259" s="10" t="str">
        <f aca="false">IF(OR($C259="01-09",$C259="10-14",$D259="Female"),"",INDEX(VMMC!$AA:$AA,MATCH($E259,VMMC!$E:$E,0)))</f>
        <v/>
      </c>
      <c r="L259" s="10" t="n">
        <f aca="false">SUM($G259)-SUM($H259:$K259)</f>
        <v>0</v>
      </c>
      <c r="M259" s="88" t="str">
        <f aca="false">IF(OR($C259="01-09",$D259="Male",AND(SUM($G259)=0,SUM($H259)=0)),"",SUM($H259)/SUM($G259))</f>
        <v/>
      </c>
      <c r="N259" s="88" t="str">
        <f aca="false">IF(OR($C259="01-09",$D259="Male",AND(SUM($G259)=0,SUM($I259)=0)),"",SUM($I259)/SUM($G259))</f>
        <v/>
      </c>
      <c r="O259" s="88" t="str">
        <f aca="false">IF(AND(SUM($G259)=0,SUM($J259)=0),"",SUM($J259)/SUM($G259))</f>
        <v/>
      </c>
      <c r="P259" s="88" t="str">
        <f aca="false">IF(OR($C259="01-09",$C259="10-14",$D259="Female",AND(SUM($G259)=0,SUM($K259)=0)),"",SUM($K259)/SUM($G259))</f>
        <v/>
      </c>
      <c r="Q259" s="88"/>
      <c r="R259" s="88"/>
      <c r="S259" s="88"/>
      <c r="T259" s="88"/>
      <c r="U259" s="88"/>
      <c r="V259" s="88" t="str">
        <f aca="false">IF(SUM($G259)=0,"",SUM($M259:$U259))</f>
        <v/>
      </c>
      <c r="W259" s="88"/>
      <c r="X259" s="39" t="str">
        <f aca="false">IF(OR(SUM($G259)=0,SUM($Q259)=0),"",ROUND(SUM($G259)*SUM($Q259),0))</f>
        <v/>
      </c>
      <c r="Y259" s="39" t="str">
        <f aca="false">IF(SUM($X259)=0,"",IF(SUM($W259)=0,"ENTER YIELD",ROUND($X259/$W259,0)-$X259))</f>
        <v/>
      </c>
      <c r="Z259" s="88"/>
      <c r="AA259" s="39" t="str">
        <f aca="false">IF(OR(SUM($G259)=0,SUM($R259)=0),"",ROUND(SUM($G259)*SUM($R259),0))</f>
        <v/>
      </c>
      <c r="AB259" s="39" t="str">
        <f aca="false">IF(SUM($AA259)=0,"",IF(SUM($Z259)=0,"ENTER YIELD",ROUND($AA259/$Z259,0)-$AA259))</f>
        <v/>
      </c>
      <c r="AC259" s="88"/>
      <c r="AD259" s="39" t="str">
        <f aca="false">IF(OR(SUM($G259)=0,SUM($S259)=0),"",ROUND(SUM($G259)*SUM($S259),0))</f>
        <v/>
      </c>
      <c r="AE259" s="39" t="str">
        <f aca="false">IF(SUM($AD259)=0,"",IF(SUM($AC259)=0,"ENTER YIELD",ROUND($AD259/$AC259,0)-$AD259))</f>
        <v/>
      </c>
      <c r="AF259" s="88"/>
      <c r="AG259" s="39" t="str">
        <f aca="false">IF(OR(SUM($G259)=0,SUM($T259)=0),"",ROUND(SUM($G259)*SUM($T259),0))</f>
        <v/>
      </c>
      <c r="AH259" s="39" t="str">
        <f aca="false">IF(SUM($AG259)=0,"",IF(SUM($AF259)=0,"ENTER YIELD",ROUND($AG259/$AF259,0)-$AG259))</f>
        <v/>
      </c>
      <c r="AI259" s="88"/>
      <c r="AJ259" s="39" t="str">
        <f aca="false">IF(OR(SUM($G259)=0,SUM($U259)=0),"",ROUND(SUM($G259)*SUM($U259),0))</f>
        <v/>
      </c>
      <c r="AK259" s="39" t="str">
        <f aca="false">IF(SUM($AJ259)=0,"",IF(SUM($AI259)=0,"ENTER YIELD",ROUND($AJ259/$AI259,0)-$AJ259))</f>
        <v/>
      </c>
      <c r="AL259" s="10" t="str">
        <f aca="false">IF(SUM($G259)=0,"",$G259)</f>
        <v/>
      </c>
      <c r="AM259" s="10" t="str">
        <f aca="false">IFERROR(1/(1/SUM($H259:$K259,$X259,$AA259,$AD259,$AG259,$AJ259)),"")</f>
        <v/>
      </c>
      <c r="AN259" s="10" t="str">
        <f aca="false">IF(AND(SUM($AM259)=0,SUM($AL259)=0),"",$AM259-$AL259)</f>
        <v/>
      </c>
      <c r="AO259" s="10" t="str">
        <f aca="false">IF(OR($C259="01-09",$D259="Male"),"",INDEX(PMTCT!$AD:$AD,MATCH($E259,PMTCT!$E:$E,0)))</f>
        <v/>
      </c>
      <c r="AP259" s="10" t="str">
        <f aca="false">IF(OR($C259="01-09",$D259="Male"),"",INDEX(PMTCT!$AT:$AT,MATCH($E259,PMTCT!$E:$E,0)))</f>
        <v/>
      </c>
      <c r="AQ259" s="10" t="str">
        <f aca="false">INDEX(TB!$Q:$Q,MATCH($E259,TB!$E:$E,0))</f>
        <v/>
      </c>
      <c r="AR259" s="10" t="str">
        <f aca="false">IF(OR($C259="01-09",$C259="10-14",$D259="Female"),"",INDEX(VMMC!$AB:$AB,MATCH($E259,VMMC!$E:$E,0)))</f>
        <v/>
      </c>
      <c r="AS259" s="10" t="str">
        <f aca="false">IF(OR($C259="01-09",$C259="10-14"),"",INDEX(PrEP!$Q:$Q,MATCH($E259,PrEP!$E:$E,0)))</f>
        <v/>
      </c>
      <c r="AT259" s="10" t="str">
        <f aca="false">IFERROR(1/(1/SUM($Y259,$AB259,$AE259,$AH259,$AK259,$AO259:$AS259)),"")</f>
        <v/>
      </c>
      <c r="AU259" s="10" t="str">
        <f aca="false">IFERROR(1/(1/SUM($AT259,$AM259)),"")</f>
        <v/>
      </c>
      <c r="AV259" s="88" t="str">
        <f aca="false">IF(AND(SUM($AM259)=0,SUM($AU259)=0),"",$AM259/$AU259)</f>
        <v/>
      </c>
      <c r="AW259" s="10"/>
      <c r="AX259" s="88" t="str">
        <f aca="false">IF(OR($C259="01-09",SUM($AW259)=0),"",0%)</f>
        <v/>
      </c>
      <c r="AY259" s="39" t="str">
        <f aca="false">IF(OR($C259="01-09",SUM($AW259)=0),"",ROUND($AW259*(1+$AX259),0))</f>
        <v/>
      </c>
      <c r="AZ259" s="88" t="n">
        <f aca="false">IF(OR($C259="01-09",$C259="10-14"),"",100%)</f>
        <v>1</v>
      </c>
      <c r="BA259" s="39" t="str">
        <f aca="false">IF(OR(SUM($AM259)=0,$C259="01-09",$C259="10-14"),"",$AM259*$AZ259)</f>
        <v/>
      </c>
    </row>
    <row r="260" customFormat="false" ht="15" hidden="false" customHeight="false" outlineLevel="0" collapsed="false">
      <c r="A260" s="0" t="str">
        <f aca="false">INDEX(Prioritization!$D:$D,MATCH($B260,Prioritization!$A:$A,0))</f>
        <v>1 - Scale-up: Saturation</v>
      </c>
      <c r="B260" s="0" t="s">
        <v>214</v>
      </c>
      <c r="C260" s="0" t="s">
        <v>365</v>
      </c>
      <c r="D260" s="0" t="s">
        <v>48</v>
      </c>
      <c r="E260" s="0" t="str">
        <f aca="false">$B260&amp;"|"&amp;$C260&amp;"|"&amp;$D260</f>
        <v>Machinga District [TYnMSwzko3z]|15-24|Male</v>
      </c>
      <c r="F260" s="88" t="n">
        <f aca="false">IF(LEFT($B260,4)="_Mil","",INDEX(Cascade!$AA:$AA,MATCH($E260,Cascade!$E:$E,0)))</f>
        <v>1565</v>
      </c>
      <c r="G260" s="10" t="n">
        <f aca="false">INDEX(Cascade!$BH:$BH,MATCH($E260,Cascade!$E:$E,0))</f>
        <v>0</v>
      </c>
      <c r="H260" s="10" t="str">
        <f aca="false">IF(OR($C260="01-09",$D260="Male"),"",INDEX(PMTCT!$AC:$AC,MATCH($E260,PMTCT!$E:$E,0)))</f>
        <v/>
      </c>
      <c r="I260" s="10" t="str">
        <f aca="false">IF(OR($C260="01-09",$D260="Male"),"",INDEX(PMTCT!$AS:$AS,MATCH($E260,PMTCT!$E:$E,0)))</f>
        <v/>
      </c>
      <c r="J260" s="10" t="str">
        <f aca="false">INDEX(TB!$P:$P,MATCH($E260,TB!$E:$E,0))</f>
        <v/>
      </c>
      <c r="K260" s="10" t="str">
        <f aca="false">IF(OR($C260="01-09",$C260="10-14",$D260="Female"),"",INDEX(VMMC!$AA:$AA,MATCH($E260,VMMC!$E:$E,0)))</f>
        <v/>
      </c>
      <c r="L260" s="10" t="n">
        <f aca="false">SUM($G260)-SUM($H260:$K260)</f>
        <v>0</v>
      </c>
      <c r="M260" s="88" t="str">
        <f aca="false">IF(OR($C260="01-09",$D260="Male",AND(SUM($G260)=0,SUM($H260)=0)),"",SUM($H260)/SUM($G260))</f>
        <v/>
      </c>
      <c r="N260" s="88" t="str">
        <f aca="false">IF(OR($C260="01-09",$D260="Male",AND(SUM($G260)=0,SUM($I260)=0)),"",SUM($I260)/SUM($G260))</f>
        <v/>
      </c>
      <c r="O260" s="88" t="str">
        <f aca="false">IF(AND(SUM($G260)=0,SUM($J260)=0),"",SUM($J260)/SUM($G260))</f>
        <v/>
      </c>
      <c r="P260" s="88" t="str">
        <f aca="false">IF(OR($C260="01-09",$C260="10-14",$D260="Female",AND(SUM($G260)=0,SUM($K260)=0)),"",SUM($K260)/SUM($G260))</f>
        <v/>
      </c>
      <c r="Q260" s="88"/>
      <c r="R260" s="88"/>
      <c r="S260" s="88"/>
      <c r="T260" s="88"/>
      <c r="U260" s="88"/>
      <c r="V260" s="88" t="str">
        <f aca="false">IF(SUM($G260)=0,"",SUM($M260:$U260))</f>
        <v/>
      </c>
      <c r="W260" s="88"/>
      <c r="X260" s="39" t="str">
        <f aca="false">IF(OR(SUM($G260)=0,SUM($Q260)=0),"",ROUND(SUM($G260)*SUM($Q260),0))</f>
        <v/>
      </c>
      <c r="Y260" s="39" t="str">
        <f aca="false">IF(SUM($X260)=0,"",IF(SUM($W260)=0,"ENTER YIELD",ROUND($X260/$W260,0)-$X260))</f>
        <v/>
      </c>
      <c r="Z260" s="88"/>
      <c r="AA260" s="39" t="str">
        <f aca="false">IF(OR(SUM($G260)=0,SUM($R260)=0),"",ROUND(SUM($G260)*SUM($R260),0))</f>
        <v/>
      </c>
      <c r="AB260" s="39" t="str">
        <f aca="false">IF(SUM($AA260)=0,"",IF(SUM($Z260)=0,"ENTER YIELD",ROUND($AA260/$Z260,0)-$AA260))</f>
        <v/>
      </c>
      <c r="AC260" s="88"/>
      <c r="AD260" s="39" t="str">
        <f aca="false">IF(OR(SUM($G260)=0,SUM($S260)=0),"",ROUND(SUM($G260)*SUM($S260),0))</f>
        <v/>
      </c>
      <c r="AE260" s="39" t="str">
        <f aca="false">IF(SUM($AD260)=0,"",IF(SUM($AC260)=0,"ENTER YIELD",ROUND($AD260/$AC260,0)-$AD260))</f>
        <v/>
      </c>
      <c r="AF260" s="88"/>
      <c r="AG260" s="39" t="str">
        <f aca="false">IF(OR(SUM($G260)=0,SUM($T260)=0),"",ROUND(SUM($G260)*SUM($T260),0))</f>
        <v/>
      </c>
      <c r="AH260" s="39" t="str">
        <f aca="false">IF(SUM($AG260)=0,"",IF(SUM($AF260)=0,"ENTER YIELD",ROUND($AG260/$AF260,0)-$AG260))</f>
        <v/>
      </c>
      <c r="AI260" s="88"/>
      <c r="AJ260" s="39" t="str">
        <f aca="false">IF(OR(SUM($G260)=0,SUM($U260)=0),"",ROUND(SUM($G260)*SUM($U260),0))</f>
        <v/>
      </c>
      <c r="AK260" s="39" t="str">
        <f aca="false">IF(SUM($AJ260)=0,"",IF(SUM($AI260)=0,"ENTER YIELD",ROUND($AJ260/$AI260,0)-$AJ260))</f>
        <v/>
      </c>
      <c r="AL260" s="10" t="str">
        <f aca="false">IF(SUM($G260)=0,"",$G260)</f>
        <v/>
      </c>
      <c r="AM260" s="10" t="str">
        <f aca="false">IFERROR(1/(1/SUM($H260:$K260,$X260,$AA260,$AD260,$AG260,$AJ260)),"")</f>
        <v/>
      </c>
      <c r="AN260" s="10" t="str">
        <f aca="false">IF(AND(SUM($AM260)=0,SUM($AL260)=0),"",$AM260-$AL260)</f>
        <v/>
      </c>
      <c r="AO260" s="10" t="str">
        <f aca="false">IF(OR($C260="01-09",$D260="Male"),"",INDEX(PMTCT!$AD:$AD,MATCH($E260,PMTCT!$E:$E,0)))</f>
        <v/>
      </c>
      <c r="AP260" s="10" t="str">
        <f aca="false">IF(OR($C260="01-09",$D260="Male"),"",INDEX(PMTCT!$AT:$AT,MATCH($E260,PMTCT!$E:$E,0)))</f>
        <v/>
      </c>
      <c r="AQ260" s="10" t="str">
        <f aca="false">INDEX(TB!$Q:$Q,MATCH($E260,TB!$E:$E,0))</f>
        <v/>
      </c>
      <c r="AR260" s="10" t="str">
        <f aca="false">IF(OR($C260="01-09",$C260="10-14",$D260="Female"),"",INDEX(VMMC!$AB:$AB,MATCH($E260,VMMC!$E:$E,0)))</f>
        <v/>
      </c>
      <c r="AS260" s="10" t="str">
        <f aca="false">IF(OR($C260="01-09",$C260="10-14"),"",INDEX(PrEP!$Q:$Q,MATCH($E260,PrEP!$E:$E,0)))</f>
        <v/>
      </c>
      <c r="AT260" s="10" t="str">
        <f aca="false">IFERROR(1/(1/SUM($Y260,$AB260,$AE260,$AH260,$AK260,$AO260:$AS260)),"")</f>
        <v/>
      </c>
      <c r="AU260" s="10" t="str">
        <f aca="false">IFERROR(1/(1/SUM($AT260,$AM260)),"")</f>
        <v/>
      </c>
      <c r="AV260" s="88" t="str">
        <f aca="false">IF(AND(SUM($AM260)=0,SUM($AU260)=0),"",$AM260/$AU260)</f>
        <v/>
      </c>
      <c r="AW260" s="10"/>
      <c r="AX260" s="88" t="str">
        <f aca="false">IF(OR($C260="01-09",SUM($AW260)=0),"",0%)</f>
        <v/>
      </c>
      <c r="AY260" s="39" t="str">
        <f aca="false">IF(OR($C260="01-09",SUM($AW260)=0),"",ROUND($AW260*(1+$AX260),0))</f>
        <v/>
      </c>
      <c r="AZ260" s="88" t="n">
        <f aca="false">IF(OR($C260="01-09",$C260="10-14"),"",100%)</f>
        <v>1</v>
      </c>
      <c r="BA260" s="39" t="str">
        <f aca="false">IF(OR(SUM($AM260)=0,$C260="01-09",$C260="10-14"),"",$AM260*$AZ260)</f>
        <v/>
      </c>
    </row>
    <row r="261" customFormat="false" ht="15" hidden="false" customHeight="false" outlineLevel="0" collapsed="false">
      <c r="A261" s="0" t="str">
        <f aca="false">INDEX(Prioritization!$D:$D,MATCH($B261,Prioritization!$A:$A,0))</f>
        <v>1 - Scale-up: Saturation</v>
      </c>
      <c r="B261" s="0" t="s">
        <v>214</v>
      </c>
      <c r="C261" s="0" t="s">
        <v>366</v>
      </c>
      <c r="D261" s="0" t="s">
        <v>30</v>
      </c>
      <c r="E261" s="0" t="str">
        <f aca="false">$B261&amp;"|"&amp;$C261&amp;"|"&amp;$D261</f>
        <v>Machinga District [TYnMSwzko3z]|25-34|Female</v>
      </c>
      <c r="F261" s="88" t="n">
        <f aca="false">IF(LEFT($B261,4)="_Mil","",INDEX(Cascade!$AA:$AA,MATCH($E261,Cascade!$E:$E,0)))</f>
        <v>742</v>
      </c>
      <c r="G261" s="10" t="n">
        <f aca="false">INDEX(Cascade!$BH:$BH,MATCH($E261,Cascade!$E:$E,0))</f>
        <v>0</v>
      </c>
      <c r="H261" s="10" t="str">
        <f aca="false">IF(OR($C261="01-09",$D261="Male"),"",INDEX(PMTCT!$AC:$AC,MATCH($E261,PMTCT!$E:$E,0)))</f>
        <v/>
      </c>
      <c r="I261" s="10" t="str">
        <f aca="false">IF(OR($C261="01-09",$D261="Male"),"",INDEX(PMTCT!$AS:$AS,MATCH($E261,PMTCT!$E:$E,0)))</f>
        <v/>
      </c>
      <c r="J261" s="10" t="str">
        <f aca="false">INDEX(TB!$P:$P,MATCH($E261,TB!$E:$E,0))</f>
        <v/>
      </c>
      <c r="K261" s="10" t="str">
        <f aca="false">IF(OR($C261="01-09",$C261="10-14",$D261="Female"),"",INDEX(VMMC!$AA:$AA,MATCH($E261,VMMC!$E:$E,0)))</f>
        <v/>
      </c>
      <c r="L261" s="10" t="n">
        <f aca="false">SUM($G261)-SUM($H261:$K261)</f>
        <v>0</v>
      </c>
      <c r="M261" s="88" t="str">
        <f aca="false">IF(OR($C261="01-09",$D261="Male",AND(SUM($G261)=0,SUM($H261)=0)),"",SUM($H261)/SUM($G261))</f>
        <v/>
      </c>
      <c r="N261" s="88" t="str">
        <f aca="false">IF(OR($C261="01-09",$D261="Male",AND(SUM($G261)=0,SUM($I261)=0)),"",SUM($I261)/SUM($G261))</f>
        <v/>
      </c>
      <c r="O261" s="88" t="str">
        <f aca="false">IF(AND(SUM($G261)=0,SUM($J261)=0),"",SUM($J261)/SUM($G261))</f>
        <v/>
      </c>
      <c r="P261" s="88" t="str">
        <f aca="false">IF(OR($C261="01-09",$C261="10-14",$D261="Female",AND(SUM($G261)=0,SUM($K261)=0)),"",SUM($K261)/SUM($G261))</f>
        <v/>
      </c>
      <c r="Q261" s="88"/>
      <c r="R261" s="88"/>
      <c r="S261" s="88"/>
      <c r="T261" s="88"/>
      <c r="U261" s="88"/>
      <c r="V261" s="88" t="str">
        <f aca="false">IF(SUM($G261)=0,"",SUM($M261:$U261))</f>
        <v/>
      </c>
      <c r="W261" s="88"/>
      <c r="X261" s="39" t="str">
        <f aca="false">IF(OR(SUM($G261)=0,SUM($Q261)=0),"",ROUND(SUM($G261)*SUM($Q261),0))</f>
        <v/>
      </c>
      <c r="Y261" s="39" t="str">
        <f aca="false">IF(SUM($X261)=0,"",IF(SUM($W261)=0,"ENTER YIELD",ROUND($X261/$W261,0)-$X261))</f>
        <v/>
      </c>
      <c r="Z261" s="88"/>
      <c r="AA261" s="39" t="str">
        <f aca="false">IF(OR(SUM($G261)=0,SUM($R261)=0),"",ROUND(SUM($G261)*SUM($R261),0))</f>
        <v/>
      </c>
      <c r="AB261" s="39" t="str">
        <f aca="false">IF(SUM($AA261)=0,"",IF(SUM($Z261)=0,"ENTER YIELD",ROUND($AA261/$Z261,0)-$AA261))</f>
        <v/>
      </c>
      <c r="AC261" s="88"/>
      <c r="AD261" s="39" t="str">
        <f aca="false">IF(OR(SUM($G261)=0,SUM($S261)=0),"",ROUND(SUM($G261)*SUM($S261),0))</f>
        <v/>
      </c>
      <c r="AE261" s="39" t="str">
        <f aca="false">IF(SUM($AD261)=0,"",IF(SUM($AC261)=0,"ENTER YIELD",ROUND($AD261/$AC261,0)-$AD261))</f>
        <v/>
      </c>
      <c r="AF261" s="88"/>
      <c r="AG261" s="39" t="str">
        <f aca="false">IF(OR(SUM($G261)=0,SUM($T261)=0),"",ROUND(SUM($G261)*SUM($T261),0))</f>
        <v/>
      </c>
      <c r="AH261" s="39" t="str">
        <f aca="false">IF(SUM($AG261)=0,"",IF(SUM($AF261)=0,"ENTER YIELD",ROUND($AG261/$AF261,0)-$AG261))</f>
        <v/>
      </c>
      <c r="AI261" s="88"/>
      <c r="AJ261" s="39" t="str">
        <f aca="false">IF(OR(SUM($G261)=0,SUM($U261)=0),"",ROUND(SUM($G261)*SUM($U261),0))</f>
        <v/>
      </c>
      <c r="AK261" s="39" t="str">
        <f aca="false">IF(SUM($AJ261)=0,"",IF(SUM($AI261)=0,"ENTER YIELD",ROUND($AJ261/$AI261,0)-$AJ261))</f>
        <v/>
      </c>
      <c r="AL261" s="10" t="str">
        <f aca="false">IF(SUM($G261)=0,"",$G261)</f>
        <v/>
      </c>
      <c r="AM261" s="10" t="str">
        <f aca="false">IFERROR(1/(1/SUM($H261:$K261,$X261,$AA261,$AD261,$AG261,$AJ261)),"")</f>
        <v/>
      </c>
      <c r="AN261" s="10" t="str">
        <f aca="false">IF(AND(SUM($AM261)=0,SUM($AL261)=0),"",$AM261-$AL261)</f>
        <v/>
      </c>
      <c r="AO261" s="10" t="str">
        <f aca="false">IF(OR($C261="01-09",$D261="Male"),"",INDEX(PMTCT!$AD:$AD,MATCH($E261,PMTCT!$E:$E,0)))</f>
        <v/>
      </c>
      <c r="AP261" s="10" t="str">
        <f aca="false">IF(OR($C261="01-09",$D261="Male"),"",INDEX(PMTCT!$AT:$AT,MATCH($E261,PMTCT!$E:$E,0)))</f>
        <v/>
      </c>
      <c r="AQ261" s="10" t="str">
        <f aca="false">INDEX(TB!$Q:$Q,MATCH($E261,TB!$E:$E,0))</f>
        <v/>
      </c>
      <c r="AR261" s="10" t="str">
        <f aca="false">IF(OR($C261="01-09",$C261="10-14",$D261="Female"),"",INDEX(VMMC!$AB:$AB,MATCH($E261,VMMC!$E:$E,0)))</f>
        <v/>
      </c>
      <c r="AS261" s="10" t="str">
        <f aca="false">IF(OR($C261="01-09",$C261="10-14"),"",INDEX(PrEP!$Q:$Q,MATCH($E261,PrEP!$E:$E,0)))</f>
        <v/>
      </c>
      <c r="AT261" s="10" t="str">
        <f aca="false">IFERROR(1/(1/SUM($Y261,$AB261,$AE261,$AH261,$AK261,$AO261:$AS261)),"")</f>
        <v/>
      </c>
      <c r="AU261" s="10" t="str">
        <f aca="false">IFERROR(1/(1/SUM($AT261,$AM261)),"")</f>
        <v/>
      </c>
      <c r="AV261" s="88" t="str">
        <f aca="false">IF(AND(SUM($AM261)=0,SUM($AU261)=0),"",$AM261/$AU261)</f>
        <v/>
      </c>
      <c r="AW261" s="10"/>
      <c r="AX261" s="88" t="str">
        <f aca="false">IF(OR($C261="01-09",SUM($AW261)=0),"",0%)</f>
        <v/>
      </c>
      <c r="AY261" s="39" t="str">
        <f aca="false">IF(OR($C261="01-09",SUM($AW261)=0),"",ROUND($AW261*(1+$AX261),0))</f>
        <v/>
      </c>
      <c r="AZ261" s="88" t="n">
        <f aca="false">IF(OR($C261="01-09",$C261="10-14"),"",100%)</f>
        <v>1</v>
      </c>
      <c r="BA261" s="39" t="str">
        <f aca="false">IF(OR(SUM($AM261)=0,$C261="01-09",$C261="10-14"),"",$AM261*$AZ261)</f>
        <v/>
      </c>
    </row>
    <row r="262" customFormat="false" ht="15" hidden="false" customHeight="false" outlineLevel="0" collapsed="false">
      <c r="A262" s="0" t="str">
        <f aca="false">INDEX(Prioritization!$D:$D,MATCH($B262,Prioritization!$A:$A,0))</f>
        <v>1 - Scale-up: Saturation</v>
      </c>
      <c r="B262" s="0" t="s">
        <v>214</v>
      </c>
      <c r="C262" s="0" t="s">
        <v>366</v>
      </c>
      <c r="D262" s="0" t="s">
        <v>48</v>
      </c>
      <c r="E262" s="0" t="str">
        <f aca="false">$B262&amp;"|"&amp;$C262&amp;"|"&amp;$D262</f>
        <v>Machinga District [TYnMSwzko3z]|25-34|Male</v>
      </c>
      <c r="F262" s="88" t="n">
        <f aca="false">IF(LEFT($B262,4)="_Mil","",INDEX(Cascade!$AA:$AA,MATCH($E262,Cascade!$E:$E,0)))</f>
        <v>1897</v>
      </c>
      <c r="G262" s="10" t="n">
        <f aca="false">INDEX(Cascade!$BH:$BH,MATCH($E262,Cascade!$E:$E,0))</f>
        <v>0</v>
      </c>
      <c r="H262" s="10" t="str">
        <f aca="false">IF(OR($C262="01-09",$D262="Male"),"",INDEX(PMTCT!$AC:$AC,MATCH($E262,PMTCT!$E:$E,0)))</f>
        <v/>
      </c>
      <c r="I262" s="10" t="str">
        <f aca="false">IF(OR($C262="01-09",$D262="Male"),"",INDEX(PMTCT!$AS:$AS,MATCH($E262,PMTCT!$E:$E,0)))</f>
        <v/>
      </c>
      <c r="J262" s="10" t="str">
        <f aca="false">INDEX(TB!$P:$P,MATCH($E262,TB!$E:$E,0))</f>
        <v/>
      </c>
      <c r="K262" s="10" t="str">
        <f aca="false">IF(OR($C262="01-09",$C262="10-14",$D262="Female"),"",INDEX(VMMC!$AA:$AA,MATCH($E262,VMMC!$E:$E,0)))</f>
        <v/>
      </c>
      <c r="L262" s="10" t="n">
        <f aca="false">SUM($G262)-SUM($H262:$K262)</f>
        <v>0</v>
      </c>
      <c r="M262" s="88" t="str">
        <f aca="false">IF(OR($C262="01-09",$D262="Male",AND(SUM($G262)=0,SUM($H262)=0)),"",SUM($H262)/SUM($G262))</f>
        <v/>
      </c>
      <c r="N262" s="88" t="str">
        <f aca="false">IF(OR($C262="01-09",$D262="Male",AND(SUM($G262)=0,SUM($I262)=0)),"",SUM($I262)/SUM($G262))</f>
        <v/>
      </c>
      <c r="O262" s="88" t="str">
        <f aca="false">IF(AND(SUM($G262)=0,SUM($J262)=0),"",SUM($J262)/SUM($G262))</f>
        <v/>
      </c>
      <c r="P262" s="88" t="str">
        <f aca="false">IF(OR($C262="01-09",$C262="10-14",$D262="Female",AND(SUM($G262)=0,SUM($K262)=0)),"",SUM($K262)/SUM($G262))</f>
        <v/>
      </c>
      <c r="Q262" s="88"/>
      <c r="R262" s="88"/>
      <c r="S262" s="88"/>
      <c r="T262" s="88"/>
      <c r="U262" s="88"/>
      <c r="V262" s="88" t="str">
        <f aca="false">IF(SUM($G262)=0,"",SUM($M262:$U262))</f>
        <v/>
      </c>
      <c r="W262" s="88"/>
      <c r="X262" s="39" t="str">
        <f aca="false">IF(OR(SUM($G262)=0,SUM($Q262)=0),"",ROUND(SUM($G262)*SUM($Q262),0))</f>
        <v/>
      </c>
      <c r="Y262" s="39" t="str">
        <f aca="false">IF(SUM($X262)=0,"",IF(SUM($W262)=0,"ENTER YIELD",ROUND($X262/$W262,0)-$X262))</f>
        <v/>
      </c>
      <c r="Z262" s="88"/>
      <c r="AA262" s="39" t="str">
        <f aca="false">IF(OR(SUM($G262)=0,SUM($R262)=0),"",ROUND(SUM($G262)*SUM($R262),0))</f>
        <v/>
      </c>
      <c r="AB262" s="39" t="str">
        <f aca="false">IF(SUM($AA262)=0,"",IF(SUM($Z262)=0,"ENTER YIELD",ROUND($AA262/$Z262,0)-$AA262))</f>
        <v/>
      </c>
      <c r="AC262" s="88"/>
      <c r="AD262" s="39" t="str">
        <f aca="false">IF(OR(SUM($G262)=0,SUM($S262)=0),"",ROUND(SUM($G262)*SUM($S262),0))</f>
        <v/>
      </c>
      <c r="AE262" s="39" t="str">
        <f aca="false">IF(SUM($AD262)=0,"",IF(SUM($AC262)=0,"ENTER YIELD",ROUND($AD262/$AC262,0)-$AD262))</f>
        <v/>
      </c>
      <c r="AF262" s="88"/>
      <c r="AG262" s="39" t="str">
        <f aca="false">IF(OR(SUM($G262)=0,SUM($T262)=0),"",ROUND(SUM($G262)*SUM($T262),0))</f>
        <v/>
      </c>
      <c r="AH262" s="39" t="str">
        <f aca="false">IF(SUM($AG262)=0,"",IF(SUM($AF262)=0,"ENTER YIELD",ROUND($AG262/$AF262,0)-$AG262))</f>
        <v/>
      </c>
      <c r="AI262" s="88"/>
      <c r="AJ262" s="39" t="str">
        <f aca="false">IF(OR(SUM($G262)=0,SUM($U262)=0),"",ROUND(SUM($G262)*SUM($U262),0))</f>
        <v/>
      </c>
      <c r="AK262" s="39" t="str">
        <f aca="false">IF(SUM($AJ262)=0,"",IF(SUM($AI262)=0,"ENTER YIELD",ROUND($AJ262/$AI262,0)-$AJ262))</f>
        <v/>
      </c>
      <c r="AL262" s="10" t="str">
        <f aca="false">IF(SUM($G262)=0,"",$G262)</f>
        <v/>
      </c>
      <c r="AM262" s="10" t="str">
        <f aca="false">IFERROR(1/(1/SUM($H262:$K262,$X262,$AA262,$AD262,$AG262,$AJ262)),"")</f>
        <v/>
      </c>
      <c r="AN262" s="10" t="str">
        <f aca="false">IF(AND(SUM($AM262)=0,SUM($AL262)=0),"",$AM262-$AL262)</f>
        <v/>
      </c>
      <c r="AO262" s="10" t="str">
        <f aca="false">IF(OR($C262="01-09",$D262="Male"),"",INDEX(PMTCT!$AD:$AD,MATCH($E262,PMTCT!$E:$E,0)))</f>
        <v/>
      </c>
      <c r="AP262" s="10" t="str">
        <f aca="false">IF(OR($C262="01-09",$D262="Male"),"",INDEX(PMTCT!$AT:$AT,MATCH($E262,PMTCT!$E:$E,0)))</f>
        <v/>
      </c>
      <c r="AQ262" s="10" t="str">
        <f aca="false">INDEX(TB!$Q:$Q,MATCH($E262,TB!$E:$E,0))</f>
        <v/>
      </c>
      <c r="AR262" s="10" t="str">
        <f aca="false">IF(OR($C262="01-09",$C262="10-14",$D262="Female"),"",INDEX(VMMC!$AB:$AB,MATCH($E262,VMMC!$E:$E,0)))</f>
        <v/>
      </c>
      <c r="AS262" s="10" t="str">
        <f aca="false">IF(OR($C262="01-09",$C262="10-14"),"",INDEX(PrEP!$Q:$Q,MATCH($E262,PrEP!$E:$E,0)))</f>
        <v/>
      </c>
      <c r="AT262" s="10" t="str">
        <f aca="false">IFERROR(1/(1/SUM($Y262,$AB262,$AE262,$AH262,$AK262,$AO262:$AS262)),"")</f>
        <v/>
      </c>
      <c r="AU262" s="10" t="str">
        <f aca="false">IFERROR(1/(1/SUM($AT262,$AM262)),"")</f>
        <v/>
      </c>
      <c r="AV262" s="88" t="str">
        <f aca="false">IF(AND(SUM($AM262)=0,SUM($AU262)=0),"",$AM262/$AU262)</f>
        <v/>
      </c>
      <c r="AW262" s="10"/>
      <c r="AX262" s="88" t="str">
        <f aca="false">IF(OR($C262="01-09",SUM($AW262)=0),"",0%)</f>
        <v/>
      </c>
      <c r="AY262" s="39" t="str">
        <f aca="false">IF(OR($C262="01-09",SUM($AW262)=0),"",ROUND($AW262*(1+$AX262),0))</f>
        <v/>
      </c>
      <c r="AZ262" s="88" t="n">
        <f aca="false">IF(OR($C262="01-09",$C262="10-14"),"",100%)</f>
        <v>1</v>
      </c>
      <c r="BA262" s="39" t="str">
        <f aca="false">IF(OR(SUM($AM262)=0,$C262="01-09",$C262="10-14"),"",$AM262*$AZ262)</f>
        <v/>
      </c>
    </row>
    <row r="263" customFormat="false" ht="15" hidden="false" customHeight="false" outlineLevel="0" collapsed="false">
      <c r="A263" s="0" t="str">
        <f aca="false">INDEX(Prioritization!$D:$D,MATCH($B263,Prioritization!$A:$A,0))</f>
        <v>1 - Scale-up: Saturation</v>
      </c>
      <c r="B263" s="0" t="s">
        <v>214</v>
      </c>
      <c r="C263" s="0" t="s">
        <v>367</v>
      </c>
      <c r="D263" s="0" t="s">
        <v>30</v>
      </c>
      <c r="E263" s="0" t="str">
        <f aca="false">$B263&amp;"|"&amp;$C263&amp;"|"&amp;$D263</f>
        <v>Machinga District [TYnMSwzko3z]|35-49|Female</v>
      </c>
      <c r="F263" s="88" t="n">
        <f aca="false">IF(LEFT($B263,4)="_Mil","",INDEX(Cascade!$AA:$AA,MATCH($E263,Cascade!$E:$E,0)))</f>
        <v>1197</v>
      </c>
      <c r="G263" s="10" t="n">
        <f aca="false">INDEX(Cascade!$BH:$BH,MATCH($E263,Cascade!$E:$E,0))</f>
        <v>0</v>
      </c>
      <c r="H263" s="10" t="str">
        <f aca="false">IF(OR($C263="01-09",$D263="Male"),"",INDEX(PMTCT!$AC:$AC,MATCH($E263,PMTCT!$E:$E,0)))</f>
        <v/>
      </c>
      <c r="I263" s="10" t="str">
        <f aca="false">IF(OR($C263="01-09",$D263="Male"),"",INDEX(PMTCT!$AS:$AS,MATCH($E263,PMTCT!$E:$E,0)))</f>
        <v/>
      </c>
      <c r="J263" s="10" t="str">
        <f aca="false">INDEX(TB!$P:$P,MATCH($E263,TB!$E:$E,0))</f>
        <v/>
      </c>
      <c r="K263" s="10" t="str">
        <f aca="false">IF(OR($C263="01-09",$C263="10-14",$D263="Female"),"",INDEX(VMMC!$AA:$AA,MATCH($E263,VMMC!$E:$E,0)))</f>
        <v/>
      </c>
      <c r="L263" s="10" t="n">
        <f aca="false">SUM($G263)-SUM($H263:$K263)</f>
        <v>0</v>
      </c>
      <c r="M263" s="88" t="str">
        <f aca="false">IF(OR($C263="01-09",$D263="Male",AND(SUM($G263)=0,SUM($H263)=0)),"",SUM($H263)/SUM($G263))</f>
        <v/>
      </c>
      <c r="N263" s="88" t="str">
        <f aca="false">IF(OR($C263="01-09",$D263="Male",AND(SUM($G263)=0,SUM($I263)=0)),"",SUM($I263)/SUM($G263))</f>
        <v/>
      </c>
      <c r="O263" s="88" t="str">
        <f aca="false">IF(AND(SUM($G263)=0,SUM($J263)=0),"",SUM($J263)/SUM($G263))</f>
        <v/>
      </c>
      <c r="P263" s="88" t="str">
        <f aca="false">IF(OR($C263="01-09",$C263="10-14",$D263="Female",AND(SUM($G263)=0,SUM($K263)=0)),"",SUM($K263)/SUM($G263))</f>
        <v/>
      </c>
      <c r="Q263" s="88"/>
      <c r="R263" s="88"/>
      <c r="S263" s="88"/>
      <c r="T263" s="88"/>
      <c r="U263" s="88"/>
      <c r="V263" s="88" t="str">
        <f aca="false">IF(SUM($G263)=0,"",SUM($M263:$U263))</f>
        <v/>
      </c>
      <c r="W263" s="88"/>
      <c r="X263" s="39" t="str">
        <f aca="false">IF(OR(SUM($G263)=0,SUM($Q263)=0),"",ROUND(SUM($G263)*SUM($Q263),0))</f>
        <v/>
      </c>
      <c r="Y263" s="39" t="str">
        <f aca="false">IF(SUM($X263)=0,"",IF(SUM($W263)=0,"ENTER YIELD",ROUND($X263/$W263,0)-$X263))</f>
        <v/>
      </c>
      <c r="Z263" s="88"/>
      <c r="AA263" s="39" t="str">
        <f aca="false">IF(OR(SUM($G263)=0,SUM($R263)=0),"",ROUND(SUM($G263)*SUM($R263),0))</f>
        <v/>
      </c>
      <c r="AB263" s="39" t="str">
        <f aca="false">IF(SUM($AA263)=0,"",IF(SUM($Z263)=0,"ENTER YIELD",ROUND($AA263/$Z263,0)-$AA263))</f>
        <v/>
      </c>
      <c r="AC263" s="88"/>
      <c r="AD263" s="39" t="str">
        <f aca="false">IF(OR(SUM($G263)=0,SUM($S263)=0),"",ROUND(SUM($G263)*SUM($S263),0))</f>
        <v/>
      </c>
      <c r="AE263" s="39" t="str">
        <f aca="false">IF(SUM($AD263)=0,"",IF(SUM($AC263)=0,"ENTER YIELD",ROUND($AD263/$AC263,0)-$AD263))</f>
        <v/>
      </c>
      <c r="AF263" s="88"/>
      <c r="AG263" s="39" t="str">
        <f aca="false">IF(OR(SUM($G263)=0,SUM($T263)=0),"",ROUND(SUM($G263)*SUM($T263),0))</f>
        <v/>
      </c>
      <c r="AH263" s="39" t="str">
        <f aca="false">IF(SUM($AG263)=0,"",IF(SUM($AF263)=0,"ENTER YIELD",ROUND($AG263/$AF263,0)-$AG263))</f>
        <v/>
      </c>
      <c r="AI263" s="88"/>
      <c r="AJ263" s="39" t="str">
        <f aca="false">IF(OR(SUM($G263)=0,SUM($U263)=0),"",ROUND(SUM($G263)*SUM($U263),0))</f>
        <v/>
      </c>
      <c r="AK263" s="39" t="str">
        <f aca="false">IF(SUM($AJ263)=0,"",IF(SUM($AI263)=0,"ENTER YIELD",ROUND($AJ263/$AI263,0)-$AJ263))</f>
        <v/>
      </c>
      <c r="AL263" s="10" t="str">
        <f aca="false">IF(SUM($G263)=0,"",$G263)</f>
        <v/>
      </c>
      <c r="AM263" s="10" t="str">
        <f aca="false">IFERROR(1/(1/SUM($H263:$K263,$X263,$AA263,$AD263,$AG263,$AJ263)),"")</f>
        <v/>
      </c>
      <c r="AN263" s="10" t="str">
        <f aca="false">IF(AND(SUM($AM263)=0,SUM($AL263)=0),"",$AM263-$AL263)</f>
        <v/>
      </c>
      <c r="AO263" s="10" t="str">
        <f aca="false">IF(OR($C263="01-09",$D263="Male"),"",INDEX(PMTCT!$AD:$AD,MATCH($E263,PMTCT!$E:$E,0)))</f>
        <v/>
      </c>
      <c r="AP263" s="10" t="str">
        <f aca="false">IF(OR($C263="01-09",$D263="Male"),"",INDEX(PMTCT!$AT:$AT,MATCH($E263,PMTCT!$E:$E,0)))</f>
        <v/>
      </c>
      <c r="AQ263" s="10" t="str">
        <f aca="false">INDEX(TB!$Q:$Q,MATCH($E263,TB!$E:$E,0))</f>
        <v/>
      </c>
      <c r="AR263" s="10" t="str">
        <f aca="false">IF(OR($C263="01-09",$C263="10-14",$D263="Female"),"",INDEX(VMMC!$AB:$AB,MATCH($E263,VMMC!$E:$E,0)))</f>
        <v/>
      </c>
      <c r="AS263" s="10" t="str">
        <f aca="false">IF(OR($C263="01-09",$C263="10-14"),"",INDEX(PrEP!$Q:$Q,MATCH($E263,PrEP!$E:$E,0)))</f>
        <v/>
      </c>
      <c r="AT263" s="10" t="str">
        <f aca="false">IFERROR(1/(1/SUM($Y263,$AB263,$AE263,$AH263,$AK263,$AO263:$AS263)),"")</f>
        <v/>
      </c>
      <c r="AU263" s="10" t="str">
        <f aca="false">IFERROR(1/(1/SUM($AT263,$AM263)),"")</f>
        <v/>
      </c>
      <c r="AV263" s="88" t="str">
        <f aca="false">IF(AND(SUM($AM263)=0,SUM($AU263)=0),"",$AM263/$AU263)</f>
        <v/>
      </c>
      <c r="AW263" s="10"/>
      <c r="AX263" s="88" t="str">
        <f aca="false">IF(OR($C263="01-09",SUM($AW263)=0),"",0%)</f>
        <v/>
      </c>
      <c r="AY263" s="39" t="str">
        <f aca="false">IF(OR($C263="01-09",SUM($AW263)=0),"",ROUND($AW263*(1+$AX263),0))</f>
        <v/>
      </c>
      <c r="AZ263" s="88" t="n">
        <f aca="false">IF(OR($C263="01-09",$C263="10-14"),"",100%)</f>
        <v>1</v>
      </c>
      <c r="BA263" s="39" t="str">
        <f aca="false">IF(OR(SUM($AM263)=0,$C263="01-09",$C263="10-14"),"",$AM263*$AZ263)</f>
        <v/>
      </c>
    </row>
    <row r="264" customFormat="false" ht="15" hidden="false" customHeight="false" outlineLevel="0" collapsed="false">
      <c r="A264" s="0" t="str">
        <f aca="false">INDEX(Prioritization!$D:$D,MATCH($B264,Prioritization!$A:$A,0))</f>
        <v>1 - Scale-up: Saturation</v>
      </c>
      <c r="B264" s="0" t="s">
        <v>214</v>
      </c>
      <c r="C264" s="0" t="s">
        <v>367</v>
      </c>
      <c r="D264" s="0" t="s">
        <v>48</v>
      </c>
      <c r="E264" s="0" t="str">
        <f aca="false">$B264&amp;"|"&amp;$C264&amp;"|"&amp;$D264</f>
        <v>Machinga District [TYnMSwzko3z]|35-49|Male</v>
      </c>
      <c r="F264" s="88" t="n">
        <f aca="false">IF(LEFT($B264,4)="_Mil","",INDEX(Cascade!$AA:$AA,MATCH($E264,Cascade!$E:$E,0)))</f>
        <v>1776</v>
      </c>
      <c r="G264" s="10" t="n">
        <f aca="false">INDEX(Cascade!$BH:$BH,MATCH($E264,Cascade!$E:$E,0))</f>
        <v>0</v>
      </c>
      <c r="H264" s="10" t="str">
        <f aca="false">IF(OR($C264="01-09",$D264="Male"),"",INDEX(PMTCT!$AC:$AC,MATCH($E264,PMTCT!$E:$E,0)))</f>
        <v/>
      </c>
      <c r="I264" s="10" t="str">
        <f aca="false">IF(OR($C264="01-09",$D264="Male"),"",INDEX(PMTCT!$AS:$AS,MATCH($E264,PMTCT!$E:$E,0)))</f>
        <v/>
      </c>
      <c r="J264" s="10" t="str">
        <f aca="false">INDEX(TB!$P:$P,MATCH($E264,TB!$E:$E,0))</f>
        <v/>
      </c>
      <c r="K264" s="10" t="str">
        <f aca="false">IF(OR($C264="01-09",$C264="10-14",$D264="Female"),"",INDEX(VMMC!$AA:$AA,MATCH($E264,VMMC!$E:$E,0)))</f>
        <v/>
      </c>
      <c r="L264" s="10" t="n">
        <f aca="false">SUM($G264)-SUM($H264:$K264)</f>
        <v>0</v>
      </c>
      <c r="M264" s="88" t="str">
        <f aca="false">IF(OR($C264="01-09",$D264="Male",AND(SUM($G264)=0,SUM($H264)=0)),"",SUM($H264)/SUM($G264))</f>
        <v/>
      </c>
      <c r="N264" s="88" t="str">
        <f aca="false">IF(OR($C264="01-09",$D264="Male",AND(SUM($G264)=0,SUM($I264)=0)),"",SUM($I264)/SUM($G264))</f>
        <v/>
      </c>
      <c r="O264" s="88" t="str">
        <f aca="false">IF(AND(SUM($G264)=0,SUM($J264)=0),"",SUM($J264)/SUM($G264))</f>
        <v/>
      </c>
      <c r="P264" s="88" t="str">
        <f aca="false">IF(OR($C264="01-09",$C264="10-14",$D264="Female",AND(SUM($G264)=0,SUM($K264)=0)),"",SUM($K264)/SUM($G264))</f>
        <v/>
      </c>
      <c r="Q264" s="88"/>
      <c r="R264" s="88"/>
      <c r="S264" s="88"/>
      <c r="T264" s="88"/>
      <c r="U264" s="88"/>
      <c r="V264" s="88" t="str">
        <f aca="false">IF(SUM($G264)=0,"",SUM($M264:$U264))</f>
        <v/>
      </c>
      <c r="W264" s="88"/>
      <c r="X264" s="39" t="str">
        <f aca="false">IF(OR(SUM($G264)=0,SUM($Q264)=0),"",ROUND(SUM($G264)*SUM($Q264),0))</f>
        <v/>
      </c>
      <c r="Y264" s="39" t="str">
        <f aca="false">IF(SUM($X264)=0,"",IF(SUM($W264)=0,"ENTER YIELD",ROUND($X264/$W264,0)-$X264))</f>
        <v/>
      </c>
      <c r="Z264" s="88"/>
      <c r="AA264" s="39" t="str">
        <f aca="false">IF(OR(SUM($G264)=0,SUM($R264)=0),"",ROUND(SUM($G264)*SUM($R264),0))</f>
        <v/>
      </c>
      <c r="AB264" s="39" t="str">
        <f aca="false">IF(SUM($AA264)=0,"",IF(SUM($Z264)=0,"ENTER YIELD",ROUND($AA264/$Z264,0)-$AA264))</f>
        <v/>
      </c>
      <c r="AC264" s="88"/>
      <c r="AD264" s="39" t="str">
        <f aca="false">IF(OR(SUM($G264)=0,SUM($S264)=0),"",ROUND(SUM($G264)*SUM($S264),0))</f>
        <v/>
      </c>
      <c r="AE264" s="39" t="str">
        <f aca="false">IF(SUM($AD264)=0,"",IF(SUM($AC264)=0,"ENTER YIELD",ROUND($AD264/$AC264,0)-$AD264))</f>
        <v/>
      </c>
      <c r="AF264" s="88"/>
      <c r="AG264" s="39" t="str">
        <f aca="false">IF(OR(SUM($G264)=0,SUM($T264)=0),"",ROUND(SUM($G264)*SUM($T264),0))</f>
        <v/>
      </c>
      <c r="AH264" s="39" t="str">
        <f aca="false">IF(SUM($AG264)=0,"",IF(SUM($AF264)=0,"ENTER YIELD",ROUND($AG264/$AF264,0)-$AG264))</f>
        <v/>
      </c>
      <c r="AI264" s="88"/>
      <c r="AJ264" s="39" t="str">
        <f aca="false">IF(OR(SUM($G264)=0,SUM($U264)=0),"",ROUND(SUM($G264)*SUM($U264),0))</f>
        <v/>
      </c>
      <c r="AK264" s="39" t="str">
        <f aca="false">IF(SUM($AJ264)=0,"",IF(SUM($AI264)=0,"ENTER YIELD",ROUND($AJ264/$AI264,0)-$AJ264))</f>
        <v/>
      </c>
      <c r="AL264" s="10" t="str">
        <f aca="false">IF(SUM($G264)=0,"",$G264)</f>
        <v/>
      </c>
      <c r="AM264" s="10" t="str">
        <f aca="false">IFERROR(1/(1/SUM($H264:$K264,$X264,$AA264,$AD264,$AG264,$AJ264)),"")</f>
        <v/>
      </c>
      <c r="AN264" s="10" t="str">
        <f aca="false">IF(AND(SUM($AM264)=0,SUM($AL264)=0),"",$AM264-$AL264)</f>
        <v/>
      </c>
      <c r="AO264" s="10" t="str">
        <f aca="false">IF(OR($C264="01-09",$D264="Male"),"",INDEX(PMTCT!$AD:$AD,MATCH($E264,PMTCT!$E:$E,0)))</f>
        <v/>
      </c>
      <c r="AP264" s="10" t="str">
        <f aca="false">IF(OR($C264="01-09",$D264="Male"),"",INDEX(PMTCT!$AT:$AT,MATCH($E264,PMTCT!$E:$E,0)))</f>
        <v/>
      </c>
      <c r="AQ264" s="10" t="str">
        <f aca="false">INDEX(TB!$Q:$Q,MATCH($E264,TB!$E:$E,0))</f>
        <v/>
      </c>
      <c r="AR264" s="10" t="str">
        <f aca="false">IF(OR($C264="01-09",$C264="10-14",$D264="Female"),"",INDEX(VMMC!$AB:$AB,MATCH($E264,VMMC!$E:$E,0)))</f>
        <v/>
      </c>
      <c r="AS264" s="10" t="str">
        <f aca="false">IF(OR($C264="01-09",$C264="10-14"),"",INDEX(PrEP!$Q:$Q,MATCH($E264,PrEP!$E:$E,0)))</f>
        <v/>
      </c>
      <c r="AT264" s="10" t="str">
        <f aca="false">IFERROR(1/(1/SUM($Y264,$AB264,$AE264,$AH264,$AK264,$AO264:$AS264)),"")</f>
        <v/>
      </c>
      <c r="AU264" s="10" t="str">
        <f aca="false">IFERROR(1/(1/SUM($AT264,$AM264)),"")</f>
        <v/>
      </c>
      <c r="AV264" s="88" t="str">
        <f aca="false">IF(AND(SUM($AM264)=0,SUM($AU264)=0),"",$AM264/$AU264)</f>
        <v/>
      </c>
      <c r="AW264" s="10"/>
      <c r="AX264" s="88" t="str">
        <f aca="false">IF(OR($C264="01-09",SUM($AW264)=0),"",0%)</f>
        <v/>
      </c>
      <c r="AY264" s="39" t="str">
        <f aca="false">IF(OR($C264="01-09",SUM($AW264)=0),"",ROUND($AW264*(1+$AX264),0))</f>
        <v/>
      </c>
      <c r="AZ264" s="88" t="n">
        <f aca="false">IF(OR($C264="01-09",$C264="10-14"),"",100%)</f>
        <v>1</v>
      </c>
      <c r="BA264" s="39" t="str">
        <f aca="false">IF(OR(SUM($AM264)=0,$C264="01-09",$C264="10-14"),"",$AM264*$AZ264)</f>
        <v/>
      </c>
    </row>
    <row r="265" customFormat="false" ht="15" hidden="false" customHeight="false" outlineLevel="0" collapsed="false">
      <c r="A265" s="0" t="str">
        <f aca="false">INDEX(Prioritization!$D:$D,MATCH($B265,Prioritization!$A:$A,0))</f>
        <v>1 - Scale-up: Saturation</v>
      </c>
      <c r="B265" s="0" t="s">
        <v>214</v>
      </c>
      <c r="C265" s="0" t="s">
        <v>368</v>
      </c>
      <c r="D265" s="0" t="s">
        <v>30</v>
      </c>
      <c r="E265" s="0" t="str">
        <f aca="false">$B265&amp;"|"&amp;$C265&amp;"|"&amp;$D265</f>
        <v>Machinga District [TYnMSwzko3z]|50+|Female</v>
      </c>
      <c r="F265" s="88" t="n">
        <f aca="false">IF(LEFT($B265,4)="_Mil","",INDEX(Cascade!$AA:$AA,MATCH($E265,Cascade!$E:$E,0)))</f>
        <v>1953</v>
      </c>
      <c r="G265" s="10" t="n">
        <f aca="false">INDEX(Cascade!$BH:$BH,MATCH($E265,Cascade!$E:$E,0))</f>
        <v>0</v>
      </c>
      <c r="H265" s="10" t="str">
        <f aca="false">IF(OR($C265="01-09",$D265="Male"),"",INDEX(PMTCT!$AC:$AC,MATCH($E265,PMTCT!$E:$E,0)))</f>
        <v/>
      </c>
      <c r="I265" s="10" t="str">
        <f aca="false">IF(OR($C265="01-09",$D265="Male"),"",INDEX(PMTCT!$AS:$AS,MATCH($E265,PMTCT!$E:$E,0)))</f>
        <v/>
      </c>
      <c r="J265" s="10" t="str">
        <f aca="false">INDEX(TB!$P:$P,MATCH($E265,TB!$E:$E,0))</f>
        <v/>
      </c>
      <c r="K265" s="10" t="str">
        <f aca="false">IF(OR($C265="01-09",$C265="10-14",$D265="Female"),"",INDEX(VMMC!$AA:$AA,MATCH($E265,VMMC!$E:$E,0)))</f>
        <v/>
      </c>
      <c r="L265" s="10" t="n">
        <f aca="false">SUM($G265)-SUM($H265:$K265)</f>
        <v>0</v>
      </c>
      <c r="M265" s="88" t="str">
        <f aca="false">IF(OR($C265="01-09",$D265="Male",AND(SUM($G265)=0,SUM($H265)=0)),"",SUM($H265)/SUM($G265))</f>
        <v/>
      </c>
      <c r="N265" s="88" t="str">
        <f aca="false">IF(OR($C265="01-09",$D265="Male",AND(SUM($G265)=0,SUM($I265)=0)),"",SUM($I265)/SUM($G265))</f>
        <v/>
      </c>
      <c r="O265" s="88" t="str">
        <f aca="false">IF(AND(SUM($G265)=0,SUM($J265)=0),"",SUM($J265)/SUM($G265))</f>
        <v/>
      </c>
      <c r="P265" s="88" t="str">
        <f aca="false">IF(OR($C265="01-09",$C265="10-14",$D265="Female",AND(SUM($G265)=0,SUM($K265)=0)),"",SUM($K265)/SUM($G265))</f>
        <v/>
      </c>
      <c r="Q265" s="88"/>
      <c r="R265" s="88"/>
      <c r="S265" s="88"/>
      <c r="T265" s="88"/>
      <c r="U265" s="88" t="n">
        <v>0.22200368065387</v>
      </c>
      <c r="V265" s="88" t="str">
        <f aca="false">IF(SUM($G265)=0,"",SUM($M265:$U265))</f>
        <v/>
      </c>
      <c r="W265" s="88"/>
      <c r="X265" s="39" t="str">
        <f aca="false">IF(OR(SUM($G265)=0,SUM($Q265)=0),"",ROUND(SUM($G265)*SUM($Q265),0))</f>
        <v/>
      </c>
      <c r="Y265" s="39" t="str">
        <f aca="false">IF(SUM($X265)=0,"",IF(SUM($W265)=0,"ENTER YIELD",ROUND($X265/$W265,0)-$X265))</f>
        <v/>
      </c>
      <c r="Z265" s="88"/>
      <c r="AA265" s="39" t="str">
        <f aca="false">IF(OR(SUM($G265)=0,SUM($R265)=0),"",ROUND(SUM($G265)*SUM($R265),0))</f>
        <v/>
      </c>
      <c r="AB265" s="39" t="str">
        <f aca="false">IF(SUM($AA265)=0,"",IF(SUM($Z265)=0,"ENTER YIELD",ROUND($AA265/$Z265,0)-$AA265))</f>
        <v/>
      </c>
      <c r="AC265" s="88"/>
      <c r="AD265" s="39" t="str">
        <f aca="false">IF(OR(SUM($G265)=0,SUM($S265)=0),"",ROUND(SUM($G265)*SUM($S265),0))</f>
        <v/>
      </c>
      <c r="AE265" s="39" t="str">
        <f aca="false">IF(SUM($AD265)=0,"",IF(SUM($AC265)=0,"ENTER YIELD",ROUND($AD265/$AC265,0)-$AD265))</f>
        <v/>
      </c>
      <c r="AF265" s="88"/>
      <c r="AG265" s="39" t="str">
        <f aca="false">IF(OR(SUM($G265)=0,SUM($T265)=0),"",ROUND(SUM($G265)*SUM($T265),0))</f>
        <v/>
      </c>
      <c r="AH265" s="39" t="str">
        <f aca="false">IF(SUM($AG265)=0,"",IF(SUM($AF265)=0,"ENTER YIELD",ROUND($AG265/$AF265,0)-$AG265))</f>
        <v/>
      </c>
      <c r="AI265" s="88" t="n">
        <v>0.621720309602097</v>
      </c>
      <c r="AJ265" s="39" t="str">
        <f aca="false">IF(OR(SUM($G265)=0,SUM($U265)=0),"",ROUND(SUM($G265)*SUM($U265),0))</f>
        <v/>
      </c>
      <c r="AK265" s="39" t="str">
        <f aca="false">IF(SUM($AJ265)=0,"",IF(SUM($AI265)=0,"ENTER YIELD",ROUND($AJ265/$AI265,0)-$AJ265))</f>
        <v/>
      </c>
      <c r="AL265" s="10" t="str">
        <f aca="false">IF(SUM($G265)=0,"",$G265)</f>
        <v/>
      </c>
      <c r="AM265" s="10" t="str">
        <f aca="false">IFERROR(1/(1/SUM($H265:$K265,$X265,$AA265,$AD265,$AG265,$AJ265)),"")</f>
        <v/>
      </c>
      <c r="AN265" s="10" t="str">
        <f aca="false">IF(AND(SUM($AM265)=0,SUM($AL265)=0),"",$AM265-$AL265)</f>
        <v/>
      </c>
      <c r="AO265" s="10" t="str">
        <f aca="false">IF(OR($C265="01-09",$D265="Male"),"",INDEX(PMTCT!$AD:$AD,MATCH($E265,PMTCT!$E:$E,0)))</f>
        <v/>
      </c>
      <c r="AP265" s="10" t="str">
        <f aca="false">IF(OR($C265="01-09",$D265="Male"),"",INDEX(PMTCT!$AT:$AT,MATCH($E265,PMTCT!$E:$E,0)))</f>
        <v/>
      </c>
      <c r="AQ265" s="10" t="str">
        <f aca="false">INDEX(TB!$Q:$Q,MATCH($E265,TB!$E:$E,0))</f>
        <v/>
      </c>
      <c r="AR265" s="10" t="str">
        <f aca="false">IF(OR($C265="01-09",$C265="10-14",$D265="Female"),"",INDEX(VMMC!$AB:$AB,MATCH($E265,VMMC!$E:$E,0)))</f>
        <v/>
      </c>
      <c r="AS265" s="10" t="str">
        <f aca="false">IF(OR($C265="01-09",$C265="10-14"),"",INDEX(PrEP!$Q:$Q,MATCH($E265,PrEP!$E:$E,0)))</f>
        <v/>
      </c>
      <c r="AT265" s="10" t="str">
        <f aca="false">IFERROR(1/(1/SUM($Y265,$AB265,$AE265,$AH265,$AK265,$AO265:$AS265)),"")</f>
        <v/>
      </c>
      <c r="AU265" s="10" t="str">
        <f aca="false">IFERROR(1/(1/SUM($AT265,$AM265)),"")</f>
        <v/>
      </c>
      <c r="AV265" s="88" t="str">
        <f aca="false">IF(AND(SUM($AM265)=0,SUM($AU265)=0),"",$AM265/$AU265)</f>
        <v/>
      </c>
      <c r="AW265" s="10" t="n">
        <v>971</v>
      </c>
      <c r="AX265" s="88" t="n">
        <f aca="false">IF(OR($C265="01-09",SUM($AW265)=0),"",0%)</f>
        <v>0</v>
      </c>
      <c r="AY265" s="39" t="n">
        <f aca="false">IF(OR($C265="01-09",SUM($AW265)=0),"",ROUND($AW265*(1+$AX265),0))</f>
        <v>971</v>
      </c>
      <c r="AZ265" s="88" t="n">
        <f aca="false">IF(OR($C265="01-09",$C265="10-14"),"",100%)</f>
        <v>1</v>
      </c>
      <c r="BA265" s="39" t="str">
        <f aca="false">IF(OR(SUM($AM265)=0,$C265="01-09",$C265="10-14"),"",$AM265*$AZ265)</f>
        <v/>
      </c>
    </row>
    <row r="266" customFormat="false" ht="15" hidden="false" customHeight="false" outlineLevel="0" collapsed="false">
      <c r="A266" s="0" t="str">
        <f aca="false">INDEX(Prioritization!$D:$D,MATCH($B266,Prioritization!$A:$A,0))</f>
        <v>1 - Scale-up: Saturation</v>
      </c>
      <c r="B266" s="0" t="s">
        <v>214</v>
      </c>
      <c r="C266" s="0" t="s">
        <v>368</v>
      </c>
      <c r="D266" s="0" t="s">
        <v>48</v>
      </c>
      <c r="E266" s="0" t="str">
        <f aca="false">$B266&amp;"|"&amp;$C266&amp;"|"&amp;$D266</f>
        <v>Machinga District [TYnMSwzko3z]|50+|Male</v>
      </c>
      <c r="F266" s="88" t="n">
        <f aca="false">IF(LEFT($B266,4)="_Mil","",INDEX(Cascade!$AA:$AA,MATCH($E266,Cascade!$E:$E,0)))</f>
        <v>1772</v>
      </c>
      <c r="G266" s="10" t="n">
        <f aca="false">INDEX(Cascade!$BH:$BH,MATCH($E266,Cascade!$E:$E,0))</f>
        <v>0</v>
      </c>
      <c r="H266" s="10" t="str">
        <f aca="false">IF(OR($C266="01-09",$D266="Male"),"",INDEX(PMTCT!$AC:$AC,MATCH($E266,PMTCT!$E:$E,0)))</f>
        <v/>
      </c>
      <c r="I266" s="10" t="str">
        <f aca="false">IF(OR($C266="01-09",$D266="Male"),"",INDEX(PMTCT!$AS:$AS,MATCH($E266,PMTCT!$E:$E,0)))</f>
        <v/>
      </c>
      <c r="J266" s="10" t="str">
        <f aca="false">INDEX(TB!$P:$P,MATCH($E266,TB!$E:$E,0))</f>
        <v/>
      </c>
      <c r="K266" s="10" t="str">
        <f aca="false">IF(OR($C266="01-09",$C266="10-14",$D266="Female"),"",INDEX(VMMC!$AA:$AA,MATCH($E266,VMMC!$E:$E,0)))</f>
        <v/>
      </c>
      <c r="L266" s="10" t="n">
        <f aca="false">SUM($G266)-SUM($H266:$K266)</f>
        <v>0</v>
      </c>
      <c r="M266" s="88" t="str">
        <f aca="false">IF(OR($C266="01-09",$D266="Male",AND(SUM($G266)=0,SUM($H266)=0)),"",SUM($H266)/SUM($G266))</f>
        <v/>
      </c>
      <c r="N266" s="88" t="str">
        <f aca="false">IF(OR($C266="01-09",$D266="Male",AND(SUM($G266)=0,SUM($I266)=0)),"",SUM($I266)/SUM($G266))</f>
        <v/>
      </c>
      <c r="O266" s="88" t="str">
        <f aca="false">IF(AND(SUM($G266)=0,SUM($J266)=0),"",SUM($J266)/SUM($G266))</f>
        <v/>
      </c>
      <c r="P266" s="88" t="str">
        <f aca="false">IF(OR($C266="01-09",$C266="10-14",$D266="Female",AND(SUM($G266)=0,SUM($K266)=0)),"",SUM($K266)/SUM($G266))</f>
        <v/>
      </c>
      <c r="Q266" s="88"/>
      <c r="R266" s="88"/>
      <c r="S266" s="88"/>
      <c r="T266" s="88"/>
      <c r="U266" s="88" t="n">
        <v>0.822588015114889</v>
      </c>
      <c r="V266" s="88" t="str">
        <f aca="false">IF(SUM($G266)=0,"",SUM($M266:$U266))</f>
        <v/>
      </c>
      <c r="W266" s="88"/>
      <c r="X266" s="39" t="str">
        <f aca="false">IF(OR(SUM($G266)=0,SUM($Q266)=0),"",ROUND(SUM($G266)*SUM($Q266),0))</f>
        <v/>
      </c>
      <c r="Y266" s="39" t="str">
        <f aca="false">IF(SUM($X266)=0,"",IF(SUM($W266)=0,"ENTER YIELD",ROUND($X266/$W266,0)-$X266))</f>
        <v/>
      </c>
      <c r="Z266" s="88"/>
      <c r="AA266" s="39" t="str">
        <f aca="false">IF(OR(SUM($G266)=0,SUM($R266)=0),"",ROUND(SUM($G266)*SUM($R266),0))</f>
        <v/>
      </c>
      <c r="AB266" s="39" t="str">
        <f aca="false">IF(SUM($AA266)=0,"",IF(SUM($Z266)=0,"ENTER YIELD",ROUND($AA266/$Z266,0)-$AA266))</f>
        <v/>
      </c>
      <c r="AC266" s="88"/>
      <c r="AD266" s="39" t="str">
        <f aca="false">IF(OR(SUM($G266)=0,SUM($S266)=0),"",ROUND(SUM($G266)*SUM($S266),0))</f>
        <v/>
      </c>
      <c r="AE266" s="39" t="str">
        <f aca="false">IF(SUM($AD266)=0,"",IF(SUM($AC266)=0,"ENTER YIELD",ROUND($AD266/$AC266,0)-$AD266))</f>
        <v/>
      </c>
      <c r="AF266" s="88"/>
      <c r="AG266" s="39" t="str">
        <f aca="false">IF(OR(SUM($G266)=0,SUM($T266)=0),"",ROUND(SUM($G266)*SUM($T266),0))</f>
        <v/>
      </c>
      <c r="AH266" s="39" t="str">
        <f aca="false">IF(SUM($AG266)=0,"",IF(SUM($AF266)=0,"ENTER YIELD",ROUND($AG266/$AF266,0)-$AG266))</f>
        <v/>
      </c>
      <c r="AI266" s="88" t="n">
        <v>0.335182394832373</v>
      </c>
      <c r="AJ266" s="39" t="str">
        <f aca="false">IF(OR(SUM($G266)=0,SUM($U266)=0),"",ROUND(SUM($G266)*SUM($U266),0))</f>
        <v/>
      </c>
      <c r="AK266" s="39" t="str">
        <f aca="false">IF(SUM($AJ266)=0,"",IF(SUM($AI266)=0,"ENTER YIELD",ROUND($AJ266/$AI266,0)-$AJ266))</f>
        <v/>
      </c>
      <c r="AL266" s="10" t="str">
        <f aca="false">IF(SUM($G266)=0,"",$G266)</f>
        <v/>
      </c>
      <c r="AM266" s="10" t="str">
        <f aca="false">IFERROR(1/(1/SUM($H266:$K266,$X266,$AA266,$AD266,$AG266,$AJ266)),"")</f>
        <v/>
      </c>
      <c r="AN266" s="10" t="str">
        <f aca="false">IF(AND(SUM($AM266)=0,SUM($AL266)=0),"",$AM266-$AL266)</f>
        <v/>
      </c>
      <c r="AO266" s="10" t="str">
        <f aca="false">IF(OR($C266="01-09",$D266="Male"),"",INDEX(PMTCT!$AD:$AD,MATCH($E266,PMTCT!$E:$E,0)))</f>
        <v/>
      </c>
      <c r="AP266" s="10" t="str">
        <f aca="false">IF(OR($C266="01-09",$D266="Male"),"",INDEX(PMTCT!$AT:$AT,MATCH($E266,PMTCT!$E:$E,0)))</f>
        <v/>
      </c>
      <c r="AQ266" s="10" t="str">
        <f aca="false">INDEX(TB!$Q:$Q,MATCH($E266,TB!$E:$E,0))</f>
        <v/>
      </c>
      <c r="AR266" s="10" t="str">
        <f aca="false">IF(OR($C266="01-09",$C266="10-14",$D266="Female"),"",INDEX(VMMC!$AB:$AB,MATCH($E266,VMMC!$E:$E,0)))</f>
        <v/>
      </c>
      <c r="AS266" s="10" t="str">
        <f aca="false">IF(OR($C266="01-09",$C266="10-14"),"",INDEX(PrEP!$Q:$Q,MATCH($E266,PrEP!$E:$E,0)))</f>
        <v/>
      </c>
      <c r="AT266" s="10" t="str">
        <f aca="false">IFERROR(1/(1/SUM($Y266,$AB266,$AE266,$AH266,$AK266,$AO266:$AS266)),"")</f>
        <v/>
      </c>
      <c r="AU266" s="10" t="str">
        <f aca="false">IFERROR(1/(1/SUM($AT266,$AM266)),"")</f>
        <v/>
      </c>
      <c r="AV266" s="88" t="str">
        <f aca="false">IF(AND(SUM($AM266)=0,SUM($AU266)=0),"",$AM266/$AU266)</f>
        <v/>
      </c>
      <c r="AW266" s="10" t="n">
        <v>163</v>
      </c>
      <c r="AX266" s="88" t="n">
        <f aca="false">IF(OR($C266="01-09",SUM($AW266)=0),"",0%)</f>
        <v>0</v>
      </c>
      <c r="AY266" s="39" t="n">
        <f aca="false">IF(OR($C266="01-09",SUM($AW266)=0),"",ROUND($AW266*(1+$AX266),0))</f>
        <v>163</v>
      </c>
      <c r="AZ266" s="88" t="n">
        <f aca="false">IF(OR($C266="01-09",$C266="10-14"),"",100%)</f>
        <v>1</v>
      </c>
      <c r="BA266" s="39" t="str">
        <f aca="false">IF(OR(SUM($AM266)=0,$C266="01-09",$C266="10-14"),"",$AM266*$AZ266)</f>
        <v/>
      </c>
    </row>
    <row r="267" customFormat="false" ht="15" hidden="false" customHeight="false" outlineLevel="0" collapsed="false">
      <c r="A267" s="0" t="str">
        <f aca="false">INDEX(Prioritization!$D:$D,MATCH($B267,Prioritization!$A:$A,0))</f>
        <v>INVALID</v>
      </c>
      <c r="B267" s="0" t="s">
        <v>215</v>
      </c>
      <c r="C267" s="0" t="s">
        <v>363</v>
      </c>
      <c r="D267" s="0" t="s">
        <v>30</v>
      </c>
      <c r="E267" s="0" t="str">
        <f aca="false">$B267&amp;"|"&amp;$C267&amp;"|"&amp;$D267</f>
        <v>Mangochi District [lLDyBx5XyUi]|01-09|Female</v>
      </c>
      <c r="F267" s="88" t="n">
        <f aca="false">IF(LEFT($B267,4)="_Mil","",INDEX(Cascade!$AA:$AA,MATCH($E267,Cascade!$E:$E,0)))</f>
        <v>1235</v>
      </c>
      <c r="G267" s="10" t="n">
        <f aca="false">INDEX(Cascade!$BH:$BH,MATCH($E267,Cascade!$E:$E,0))</f>
        <v>0</v>
      </c>
      <c r="H267" s="10" t="str">
        <f aca="false">IF(OR($C267="01-09",$D267="Male"),"",INDEX(PMTCT!$AC:$AC,MATCH($E267,PMTCT!$E:$E,0)))</f>
        <v/>
      </c>
      <c r="I267" s="10" t="str">
        <f aca="false">IF(OR($C267="01-09",$D267="Male"),"",INDEX(PMTCT!$AS:$AS,MATCH($E267,PMTCT!$E:$E,0)))</f>
        <v/>
      </c>
      <c r="J267" s="10" t="str">
        <f aca="false">INDEX(TB!$P:$P,MATCH($E267,TB!$E:$E,0))</f>
        <v/>
      </c>
      <c r="K267" s="10" t="str">
        <f aca="false">IF(OR($C267="01-09",$C267="10-14",$D267="Female"),"",INDEX(VMMC!$AA:$AA,MATCH($E267,VMMC!$E:$E,0)))</f>
        <v/>
      </c>
      <c r="L267" s="10" t="n">
        <f aca="false">SUM($G267)-SUM($H267:$K267)</f>
        <v>0</v>
      </c>
      <c r="M267" s="88" t="str">
        <f aca="false">IF(OR($C267="01-09",$D267="Male",AND(SUM($G267)=0,SUM($H267)=0)),"",SUM($H267)/SUM($G267))</f>
        <v/>
      </c>
      <c r="N267" s="88" t="str">
        <f aca="false">IF(OR($C267="01-09",$D267="Male",AND(SUM($G267)=0,SUM($I267)=0)),"",SUM($I267)/SUM($G267))</f>
        <v/>
      </c>
      <c r="O267" s="88" t="str">
        <f aca="false">IF(AND(SUM($G267)=0,SUM($J267)=0),"",SUM($J267)/SUM($G267))</f>
        <v/>
      </c>
      <c r="P267" s="88" t="str">
        <f aca="false">IF(OR($C267="01-09",$C267="10-14",$D267="Female",AND(SUM($G267)=0,SUM($K267)=0)),"",SUM($K267)/SUM($G267))</f>
        <v/>
      </c>
      <c r="Q267" s="88"/>
      <c r="R267" s="88"/>
      <c r="S267" s="88"/>
      <c r="T267" s="88"/>
      <c r="U267" s="88"/>
      <c r="V267" s="88" t="str">
        <f aca="false">IF(SUM($G267)=0,"",SUM($M267:$U267))</f>
        <v/>
      </c>
      <c r="W267" s="88"/>
      <c r="X267" s="39" t="str">
        <f aca="false">IF(OR(SUM($G267)=0,SUM($Q267)=0),"",ROUND(SUM($G267)*SUM($Q267),0))</f>
        <v/>
      </c>
      <c r="Y267" s="39" t="str">
        <f aca="false">IF(SUM($X267)=0,"",IF(SUM($W267)=0,"ENTER YIELD",ROUND($X267/$W267,0)-$X267))</f>
        <v/>
      </c>
      <c r="Z267" s="88"/>
      <c r="AA267" s="39" t="str">
        <f aca="false">IF(OR(SUM($G267)=0,SUM($R267)=0),"",ROUND(SUM($G267)*SUM($R267),0))</f>
        <v/>
      </c>
      <c r="AB267" s="39" t="str">
        <f aca="false">IF(SUM($AA267)=0,"",IF(SUM($Z267)=0,"ENTER YIELD",ROUND($AA267/$Z267,0)-$AA267))</f>
        <v/>
      </c>
      <c r="AC267" s="88"/>
      <c r="AD267" s="39" t="str">
        <f aca="false">IF(OR(SUM($G267)=0,SUM($S267)=0),"",ROUND(SUM($G267)*SUM($S267),0))</f>
        <v/>
      </c>
      <c r="AE267" s="39" t="str">
        <f aca="false">IF(SUM($AD267)=0,"",IF(SUM($AC267)=0,"ENTER YIELD",ROUND($AD267/$AC267,0)-$AD267))</f>
        <v/>
      </c>
      <c r="AF267" s="88"/>
      <c r="AG267" s="39" t="str">
        <f aca="false">IF(OR(SUM($G267)=0,SUM($T267)=0),"",ROUND(SUM($G267)*SUM($T267),0))</f>
        <v/>
      </c>
      <c r="AH267" s="39" t="str">
        <f aca="false">IF(SUM($AG267)=0,"",IF(SUM($AF267)=0,"ENTER YIELD",ROUND($AG267/$AF267,0)-$AG267))</f>
        <v/>
      </c>
      <c r="AI267" s="88"/>
      <c r="AJ267" s="39" t="str">
        <f aca="false">IF(OR(SUM($G267)=0,SUM($U267)=0),"",ROUND(SUM($G267)*SUM($U267),0))</f>
        <v/>
      </c>
      <c r="AK267" s="39" t="str">
        <f aca="false">IF(SUM($AJ267)=0,"",IF(SUM($AI267)=0,"ENTER YIELD",ROUND($AJ267/$AI267,0)-$AJ267))</f>
        <v/>
      </c>
      <c r="AL267" s="10" t="str">
        <f aca="false">IF(SUM($G267)=0,"",$G267)</f>
        <v/>
      </c>
      <c r="AM267" s="10" t="str">
        <f aca="false">IFERROR(1/(1/SUM($H267:$K267,$X267,$AA267,$AD267,$AG267,$AJ267)),"")</f>
        <v/>
      </c>
      <c r="AN267" s="10" t="str">
        <f aca="false">IF(AND(SUM($AM267)=0,SUM($AL267)=0),"",$AM267-$AL267)</f>
        <v/>
      </c>
      <c r="AO267" s="10" t="str">
        <f aca="false">IF(OR($C267="01-09",$D267="Male"),"",INDEX(PMTCT!$AD:$AD,MATCH($E267,PMTCT!$E:$E,0)))</f>
        <v/>
      </c>
      <c r="AP267" s="10" t="str">
        <f aca="false">IF(OR($C267="01-09",$D267="Male"),"",INDEX(PMTCT!$AT:$AT,MATCH($E267,PMTCT!$E:$E,0)))</f>
        <v/>
      </c>
      <c r="AQ267" s="10" t="str">
        <f aca="false">INDEX(TB!$Q:$Q,MATCH($E267,TB!$E:$E,0))</f>
        <v/>
      </c>
      <c r="AR267" s="10" t="str">
        <f aca="false">IF(OR($C267="01-09",$C267="10-14",$D267="Female"),"",INDEX(VMMC!$AB:$AB,MATCH($E267,VMMC!$E:$E,0)))</f>
        <v/>
      </c>
      <c r="AS267" s="10" t="str">
        <f aca="false">IF(OR($C267="01-09",$C267="10-14"),"",INDEX(PrEP!$Q:$Q,MATCH($E267,PrEP!$E:$E,0)))</f>
        <v/>
      </c>
      <c r="AT267" s="10" t="str">
        <f aca="false">IFERROR(1/(1/SUM($Y267,$AB267,$AE267,$AH267,$AK267,$AO267:$AS267)),"")</f>
        <v/>
      </c>
      <c r="AU267" s="10" t="str">
        <f aca="false">IFERROR(1/(1/SUM($AT267,$AM267)),"")</f>
        <v/>
      </c>
      <c r="AV267" s="88" t="str">
        <f aca="false">IF(AND(SUM($AM267)=0,SUM($AU267)=0),"",$AM267/$AU267)</f>
        <v/>
      </c>
      <c r="AW267" s="10"/>
      <c r="AX267" s="88" t="str">
        <f aca="false">IF(OR($C267="01-09",SUM($AW267)=0),"",0%)</f>
        <v/>
      </c>
      <c r="AY267" s="39" t="str">
        <f aca="false">IF(OR($C267="01-09",SUM($AW267)=0),"",ROUND($AW267*(1+$AX267),0))</f>
        <v/>
      </c>
      <c r="AZ267" s="88" t="str">
        <f aca="false">IF(OR($C267="01-09",$C267="10-14"),"",100%)</f>
        <v/>
      </c>
      <c r="BA267" s="39" t="str">
        <f aca="false">IF(OR(SUM($AM267)=0,$C267="01-09",$C267="10-14"),"",$AM267*$AZ267)</f>
        <v/>
      </c>
    </row>
    <row r="268" customFormat="false" ht="15" hidden="false" customHeight="false" outlineLevel="0" collapsed="false">
      <c r="A268" s="0" t="str">
        <f aca="false">INDEX(Prioritization!$D:$D,MATCH($B268,Prioritization!$A:$A,0))</f>
        <v>INVALID</v>
      </c>
      <c r="B268" s="0" t="s">
        <v>215</v>
      </c>
      <c r="C268" s="0" t="s">
        <v>363</v>
      </c>
      <c r="D268" s="0" t="s">
        <v>48</v>
      </c>
      <c r="E268" s="0" t="str">
        <f aca="false">$B268&amp;"|"&amp;$C268&amp;"|"&amp;$D268</f>
        <v>Mangochi District [lLDyBx5XyUi]|01-09|Male</v>
      </c>
      <c r="F268" s="88" t="n">
        <f aca="false">IF(LEFT($B268,4)="_Mil","",INDEX(Cascade!$AA:$AA,MATCH($E268,Cascade!$E:$E,0)))</f>
        <v>685</v>
      </c>
      <c r="G268" s="10" t="n">
        <f aca="false">INDEX(Cascade!$BH:$BH,MATCH($E268,Cascade!$E:$E,0))</f>
        <v>0</v>
      </c>
      <c r="H268" s="10" t="str">
        <f aca="false">IF(OR($C268="01-09",$D268="Male"),"",INDEX(PMTCT!$AC:$AC,MATCH($E268,PMTCT!$E:$E,0)))</f>
        <v/>
      </c>
      <c r="I268" s="10" t="str">
        <f aca="false">IF(OR($C268="01-09",$D268="Male"),"",INDEX(PMTCT!$AS:$AS,MATCH($E268,PMTCT!$E:$E,0)))</f>
        <v/>
      </c>
      <c r="J268" s="10" t="str">
        <f aca="false">INDEX(TB!$P:$P,MATCH($E268,TB!$E:$E,0))</f>
        <v/>
      </c>
      <c r="K268" s="10" t="str">
        <f aca="false">IF(OR($C268="01-09",$C268="10-14",$D268="Female"),"",INDEX(VMMC!$AA:$AA,MATCH($E268,VMMC!$E:$E,0)))</f>
        <v/>
      </c>
      <c r="L268" s="10" t="n">
        <f aca="false">SUM($G268)-SUM($H268:$K268)</f>
        <v>0</v>
      </c>
      <c r="M268" s="88" t="str">
        <f aca="false">IF(OR($C268="01-09",$D268="Male",AND(SUM($G268)=0,SUM($H268)=0)),"",SUM($H268)/SUM($G268))</f>
        <v/>
      </c>
      <c r="N268" s="88" t="str">
        <f aca="false">IF(OR($C268="01-09",$D268="Male",AND(SUM($G268)=0,SUM($I268)=0)),"",SUM($I268)/SUM($G268))</f>
        <v/>
      </c>
      <c r="O268" s="88" t="str">
        <f aca="false">IF(AND(SUM($G268)=0,SUM($J268)=0),"",SUM($J268)/SUM($G268))</f>
        <v/>
      </c>
      <c r="P268" s="88" t="str">
        <f aca="false">IF(OR($C268="01-09",$C268="10-14",$D268="Female",AND(SUM($G268)=0,SUM($K268)=0)),"",SUM($K268)/SUM($G268))</f>
        <v/>
      </c>
      <c r="Q268" s="88"/>
      <c r="R268" s="88"/>
      <c r="S268" s="88"/>
      <c r="T268" s="88"/>
      <c r="U268" s="88"/>
      <c r="V268" s="88" t="str">
        <f aca="false">IF(SUM($G268)=0,"",SUM($M268:$U268))</f>
        <v/>
      </c>
      <c r="W268" s="88"/>
      <c r="X268" s="39" t="str">
        <f aca="false">IF(OR(SUM($G268)=0,SUM($Q268)=0),"",ROUND(SUM($G268)*SUM($Q268),0))</f>
        <v/>
      </c>
      <c r="Y268" s="39" t="str">
        <f aca="false">IF(SUM($X268)=0,"",IF(SUM($W268)=0,"ENTER YIELD",ROUND($X268/$W268,0)-$X268))</f>
        <v/>
      </c>
      <c r="Z268" s="88"/>
      <c r="AA268" s="39" t="str">
        <f aca="false">IF(OR(SUM($G268)=0,SUM($R268)=0),"",ROUND(SUM($G268)*SUM($R268),0))</f>
        <v/>
      </c>
      <c r="AB268" s="39" t="str">
        <f aca="false">IF(SUM($AA268)=0,"",IF(SUM($Z268)=0,"ENTER YIELD",ROUND($AA268/$Z268,0)-$AA268))</f>
        <v/>
      </c>
      <c r="AC268" s="88"/>
      <c r="AD268" s="39" t="str">
        <f aca="false">IF(OR(SUM($G268)=0,SUM($S268)=0),"",ROUND(SUM($G268)*SUM($S268),0))</f>
        <v/>
      </c>
      <c r="AE268" s="39" t="str">
        <f aca="false">IF(SUM($AD268)=0,"",IF(SUM($AC268)=0,"ENTER YIELD",ROUND($AD268/$AC268,0)-$AD268))</f>
        <v/>
      </c>
      <c r="AF268" s="88"/>
      <c r="AG268" s="39" t="str">
        <f aca="false">IF(OR(SUM($G268)=0,SUM($T268)=0),"",ROUND(SUM($G268)*SUM($T268),0))</f>
        <v/>
      </c>
      <c r="AH268" s="39" t="str">
        <f aca="false">IF(SUM($AG268)=0,"",IF(SUM($AF268)=0,"ENTER YIELD",ROUND($AG268/$AF268,0)-$AG268))</f>
        <v/>
      </c>
      <c r="AI268" s="88"/>
      <c r="AJ268" s="39" t="str">
        <f aca="false">IF(OR(SUM($G268)=0,SUM($U268)=0),"",ROUND(SUM($G268)*SUM($U268),0))</f>
        <v/>
      </c>
      <c r="AK268" s="39" t="str">
        <f aca="false">IF(SUM($AJ268)=0,"",IF(SUM($AI268)=0,"ENTER YIELD",ROUND($AJ268/$AI268,0)-$AJ268))</f>
        <v/>
      </c>
      <c r="AL268" s="10" t="str">
        <f aca="false">IF(SUM($G268)=0,"",$G268)</f>
        <v/>
      </c>
      <c r="AM268" s="10" t="str">
        <f aca="false">IFERROR(1/(1/SUM($H268:$K268,$X268,$AA268,$AD268,$AG268,$AJ268)),"")</f>
        <v/>
      </c>
      <c r="AN268" s="10" t="str">
        <f aca="false">IF(AND(SUM($AM268)=0,SUM($AL268)=0),"",$AM268-$AL268)</f>
        <v/>
      </c>
      <c r="AO268" s="10" t="str">
        <f aca="false">IF(OR($C268="01-09",$D268="Male"),"",INDEX(PMTCT!$AD:$AD,MATCH($E268,PMTCT!$E:$E,0)))</f>
        <v/>
      </c>
      <c r="AP268" s="10" t="str">
        <f aca="false">IF(OR($C268="01-09",$D268="Male"),"",INDEX(PMTCT!$AT:$AT,MATCH($E268,PMTCT!$E:$E,0)))</f>
        <v/>
      </c>
      <c r="AQ268" s="10" t="str">
        <f aca="false">INDEX(TB!$Q:$Q,MATCH($E268,TB!$E:$E,0))</f>
        <v/>
      </c>
      <c r="AR268" s="10" t="str">
        <f aca="false">IF(OR($C268="01-09",$C268="10-14",$D268="Female"),"",INDEX(VMMC!$AB:$AB,MATCH($E268,VMMC!$E:$E,0)))</f>
        <v/>
      </c>
      <c r="AS268" s="10" t="str">
        <f aca="false">IF(OR($C268="01-09",$C268="10-14"),"",INDEX(PrEP!$Q:$Q,MATCH($E268,PrEP!$E:$E,0)))</f>
        <v/>
      </c>
      <c r="AT268" s="10" t="str">
        <f aca="false">IFERROR(1/(1/SUM($Y268,$AB268,$AE268,$AH268,$AK268,$AO268:$AS268)),"")</f>
        <v/>
      </c>
      <c r="AU268" s="10" t="str">
        <f aca="false">IFERROR(1/(1/SUM($AT268,$AM268)),"")</f>
        <v/>
      </c>
      <c r="AV268" s="88" t="str">
        <f aca="false">IF(AND(SUM($AM268)=0,SUM($AU268)=0),"",$AM268/$AU268)</f>
        <v/>
      </c>
      <c r="AW268" s="10"/>
      <c r="AX268" s="88" t="str">
        <f aca="false">IF(OR($C268="01-09",SUM($AW268)=0),"",0%)</f>
        <v/>
      </c>
      <c r="AY268" s="39" t="str">
        <f aca="false">IF(OR($C268="01-09",SUM($AW268)=0),"",ROUND($AW268*(1+$AX268),0))</f>
        <v/>
      </c>
      <c r="AZ268" s="88" t="str">
        <f aca="false">IF(OR($C268="01-09",$C268="10-14"),"",100%)</f>
        <v/>
      </c>
      <c r="BA268" s="39" t="str">
        <f aca="false">IF(OR(SUM($AM268)=0,$C268="01-09",$C268="10-14"),"",$AM268*$AZ268)</f>
        <v/>
      </c>
    </row>
    <row r="269" customFormat="false" ht="15" hidden="false" customHeight="false" outlineLevel="0" collapsed="false">
      <c r="A269" s="0" t="str">
        <f aca="false">INDEX(Prioritization!$D:$D,MATCH($B269,Prioritization!$A:$A,0))</f>
        <v>INVALID</v>
      </c>
      <c r="B269" s="0" t="s">
        <v>215</v>
      </c>
      <c r="C269" s="0" t="s">
        <v>364</v>
      </c>
      <c r="D269" s="0" t="s">
        <v>30</v>
      </c>
      <c r="E269" s="0" t="str">
        <f aca="false">$B269&amp;"|"&amp;$C269&amp;"|"&amp;$D269</f>
        <v>Mangochi District [lLDyBx5XyUi]|10-14|Female</v>
      </c>
      <c r="F269" s="88" t="n">
        <f aca="false">IF(LEFT($B269,4)="_Mil","",INDEX(Cascade!$AA:$AA,MATCH($E269,Cascade!$E:$E,0)))</f>
        <v>1988</v>
      </c>
      <c r="G269" s="10" t="n">
        <f aca="false">INDEX(Cascade!$BH:$BH,MATCH($E269,Cascade!$E:$E,0))</f>
        <v>-77</v>
      </c>
      <c r="H269" s="10" t="n">
        <f aca="false">IF(OR($C269="01-09",$D269="Male"),"",INDEX(PMTCT!$AC:$AC,MATCH($E269,PMTCT!$E:$E,0)))</f>
        <v>4</v>
      </c>
      <c r="I269" s="10" t="str">
        <f aca="false">IF(OR($C269="01-09",$D269="Male"),"",INDEX(PMTCT!$AS:$AS,MATCH($E269,PMTCT!$E:$E,0)))</f>
        <v>ENTER YIELD RATE</v>
      </c>
      <c r="J269" s="10" t="str">
        <f aca="false">INDEX(TB!$P:$P,MATCH($E269,TB!$E:$E,0))</f>
        <v>ENTER YIELD RATE</v>
      </c>
      <c r="K269" s="10" t="str">
        <f aca="false">IF(OR($C269="01-09",$C269="10-14",$D269="Female"),"",INDEX(VMMC!$AA:$AA,MATCH($E269,VMMC!$E:$E,0)))</f>
        <v/>
      </c>
      <c r="L269" s="10" t="n">
        <f aca="false">SUM($G269)-SUM($H269:$K269)</f>
        <v>-81</v>
      </c>
      <c r="M269" s="88" t="n">
        <f aca="false">IF(OR($C269="01-09",$D269="Male",AND(SUM($G269)=0,SUM($H269)=0)),"",SUM($H269)/SUM($G269))</f>
        <v>-0.051948051948052</v>
      </c>
      <c r="N269" s="88" t="n">
        <f aca="false">IF(OR($C269="01-09",$D269="Male",AND(SUM($G269)=0,SUM($I269)=0)),"",SUM($I269)/SUM($G269))</f>
        <v>-0</v>
      </c>
      <c r="O269" s="88" t="n">
        <f aca="false">IF(AND(SUM($G269)=0,SUM($J269)=0),"",SUM($J269)/SUM($G269))</f>
        <v>-0</v>
      </c>
      <c r="P269" s="88" t="str">
        <f aca="false">IF(OR($C269="01-09",$C269="10-14",$D269="Female",AND(SUM($G269)=0,SUM($K269)=0)),"",SUM($K269)/SUM($G269))</f>
        <v/>
      </c>
      <c r="Q269" s="88" t="n">
        <v>0.116136074298993</v>
      </c>
      <c r="R269" s="88"/>
      <c r="S269" s="88"/>
      <c r="T269" s="88"/>
      <c r="U269" s="88"/>
      <c r="V269" s="88" t="n">
        <f aca="false">IF(SUM($G269)=0,"",SUM($M269:$U269))</f>
        <v>0.0641880223509411</v>
      </c>
      <c r="W269" s="88"/>
      <c r="X269" s="39" t="n">
        <f aca="false">IF(OR(SUM($G269)=0,SUM($Q269)=0),"",ROUND(SUM($G269)*SUM($Q269),0))</f>
        <v>-9</v>
      </c>
      <c r="Y269" s="39" t="str">
        <f aca="false">IF(SUM($X269)=0,"",IF(SUM($W269)=0,"ENTER YIELD",ROUND($X269/$W269,0)-$X269))</f>
        <v>ENTER YIELD</v>
      </c>
      <c r="Z269" s="88"/>
      <c r="AA269" s="39" t="str">
        <f aca="false">IF(OR(SUM($G269)=0,SUM($R269)=0),"",ROUND(SUM($G269)*SUM($R269),0))</f>
        <v/>
      </c>
      <c r="AB269" s="39" t="str">
        <f aca="false">IF(SUM($AA269)=0,"",IF(SUM($Z269)=0,"ENTER YIELD",ROUND($AA269/$Z269,0)-$AA269))</f>
        <v/>
      </c>
      <c r="AC269" s="88"/>
      <c r="AD269" s="39" t="str">
        <f aca="false">IF(OR(SUM($G269)=0,SUM($S269)=0),"",ROUND(SUM($G269)*SUM($S269),0))</f>
        <v/>
      </c>
      <c r="AE269" s="39" t="str">
        <f aca="false">IF(SUM($AD269)=0,"",IF(SUM($AC269)=0,"ENTER YIELD",ROUND($AD269/$AC269,0)-$AD269))</f>
        <v/>
      </c>
      <c r="AF269" s="88"/>
      <c r="AG269" s="39" t="str">
        <f aca="false">IF(OR(SUM($G269)=0,SUM($T269)=0),"",ROUND(SUM($G269)*SUM($T269),0))</f>
        <v/>
      </c>
      <c r="AH269" s="39" t="str">
        <f aca="false">IF(SUM($AG269)=0,"",IF(SUM($AF269)=0,"ENTER YIELD",ROUND($AG269/$AF269,0)-$AG269))</f>
        <v/>
      </c>
      <c r="AI269" s="88" t="n">
        <v>0.32703061029315</v>
      </c>
      <c r="AJ269" s="39" t="str">
        <f aca="false">IF(OR(SUM($G269)=0,SUM($U269)=0),"",ROUND(SUM($G269)*SUM($U269),0))</f>
        <v/>
      </c>
      <c r="AK269" s="39" t="str">
        <f aca="false">IF(SUM($AJ269)=0,"",IF(SUM($AI269)=0,"ENTER YIELD",ROUND($AJ269/$AI269,0)-$AJ269))</f>
        <v/>
      </c>
      <c r="AL269" s="10" t="n">
        <f aca="false">IF(SUM($G269)=0,"",$G269)</f>
        <v>-77</v>
      </c>
      <c r="AM269" s="10" t="n">
        <f aca="false">IFERROR(1/(1/SUM($H269:$K269,$X269,$AA269,$AD269,$AG269,$AJ269)),"")</f>
        <v>-5</v>
      </c>
      <c r="AN269" s="10" t="n">
        <f aca="false">IF(AND(SUM($AM269)=0,SUM($AL269)=0),"",$AM269-$AL269)</f>
        <v>72</v>
      </c>
      <c r="AO269" s="10" t="n">
        <f aca="false">IF(OR($C269="01-09",$D269="Male"),"",INDEX(PMTCT!$AD:$AD,MATCH($E269,PMTCT!$E:$E,0)))</f>
        <v>57</v>
      </c>
      <c r="AP269" s="10" t="n">
        <f aca="false">IF(OR($C269="01-09",$D269="Male"),"",INDEX(PMTCT!$AT:$AT,MATCH($E269,PMTCT!$E:$E,0)))</f>
        <v>57</v>
      </c>
      <c r="AQ269" s="10" t="n">
        <f aca="false">INDEX(TB!$Q:$Q,MATCH($E269,TB!$E:$E,0))</f>
        <v>7</v>
      </c>
      <c r="AR269" s="10" t="str">
        <f aca="false">IF(OR($C269="01-09",$C269="10-14",$D269="Female"),"",INDEX(VMMC!$AB:$AB,MATCH($E269,VMMC!$E:$E,0)))</f>
        <v/>
      </c>
      <c r="AS269" s="10" t="str">
        <f aca="false">IF(OR($C269="01-09",$C269="10-14"),"",INDEX(PrEP!$Q:$Q,MATCH($E269,PrEP!$E:$E,0)))</f>
        <v/>
      </c>
      <c r="AT269" s="10" t="n">
        <f aca="false">IFERROR(1/(1/SUM($Y269,$AB269,$AE269,$AH269,$AK269,$AO269:$AS269)),"")</f>
        <v>121</v>
      </c>
      <c r="AU269" s="10" t="n">
        <f aca="false">IFERROR(1/(1/SUM($AT269,$AM269)),"")</f>
        <v>116</v>
      </c>
      <c r="AV269" s="88" t="n">
        <f aca="false">IF(AND(SUM($AM269)=0,SUM($AU269)=0),"",$AM269/$AU269)</f>
        <v>-0.0431034482758621</v>
      </c>
      <c r="AW269" s="10"/>
      <c r="AX269" s="88" t="str">
        <f aca="false">IF(OR($C269="01-09",SUM($AW269)=0),"",0%)</f>
        <v/>
      </c>
      <c r="AY269" s="39" t="str">
        <f aca="false">IF(OR($C269="01-09",SUM($AW269)=0),"",ROUND($AW269*(1+$AX269),0))</f>
        <v/>
      </c>
      <c r="AZ269" s="88" t="str">
        <f aca="false">IF(OR($C269="01-09",$C269="10-14"),"",100%)</f>
        <v/>
      </c>
      <c r="BA269" s="39" t="str">
        <f aca="false">IF(OR(SUM($AM269)=0,$C269="01-09",$C269="10-14"),"",$AM269*$AZ269)</f>
        <v/>
      </c>
    </row>
    <row r="270" customFormat="false" ht="15" hidden="false" customHeight="false" outlineLevel="0" collapsed="false">
      <c r="A270" s="0" t="str">
        <f aca="false">INDEX(Prioritization!$D:$D,MATCH($B270,Prioritization!$A:$A,0))</f>
        <v>INVALID</v>
      </c>
      <c r="B270" s="0" t="s">
        <v>215</v>
      </c>
      <c r="C270" s="0" t="s">
        <v>364</v>
      </c>
      <c r="D270" s="0" t="s">
        <v>48</v>
      </c>
      <c r="E270" s="0" t="str">
        <f aca="false">$B270&amp;"|"&amp;$C270&amp;"|"&amp;$D270</f>
        <v>Mangochi District [lLDyBx5XyUi]|10-14|Male</v>
      </c>
      <c r="F270" s="88" t="n">
        <f aca="false">IF(LEFT($B270,4)="_Mil","",INDEX(Cascade!$AA:$AA,MATCH($E270,Cascade!$E:$E,0)))</f>
        <v>1681</v>
      </c>
      <c r="G270" s="10" t="n">
        <f aca="false">INDEX(Cascade!$BH:$BH,MATCH($E270,Cascade!$E:$E,0))</f>
        <v>-21</v>
      </c>
      <c r="H270" s="10" t="str">
        <f aca="false">IF(OR($C270="01-09",$D270="Male"),"",INDEX(PMTCT!$AC:$AC,MATCH($E270,PMTCT!$E:$E,0)))</f>
        <v/>
      </c>
      <c r="I270" s="10" t="str">
        <f aca="false">IF(OR($C270="01-09",$D270="Male"),"",INDEX(PMTCT!$AS:$AS,MATCH($E270,PMTCT!$E:$E,0)))</f>
        <v/>
      </c>
      <c r="J270" s="10" t="str">
        <f aca="false">INDEX(TB!$P:$P,MATCH($E270,TB!$E:$E,0))</f>
        <v>ENTER YIELD RATE</v>
      </c>
      <c r="K270" s="10" t="str">
        <f aca="false">IF(OR($C270="01-09",$C270="10-14",$D270="Female"),"",INDEX(VMMC!$AA:$AA,MATCH($E270,VMMC!$E:$E,0)))</f>
        <v/>
      </c>
      <c r="L270" s="10" t="n">
        <f aca="false">SUM($G270)-SUM($H270:$K270)</f>
        <v>-21</v>
      </c>
      <c r="M270" s="88" t="str">
        <f aca="false">IF(OR($C270="01-09",$D270="Male",AND(SUM($G270)=0,SUM($H270)=0)),"",SUM($H270)/SUM($G270))</f>
        <v/>
      </c>
      <c r="N270" s="88" t="str">
        <f aca="false">IF(OR($C270="01-09",$D270="Male",AND(SUM($G270)=0,SUM($I270)=0)),"",SUM($I270)/SUM($G270))</f>
        <v/>
      </c>
      <c r="O270" s="88" t="n">
        <f aca="false">IF(AND(SUM($G270)=0,SUM($J270)=0),"",SUM($J270)/SUM($G270))</f>
        <v>-0</v>
      </c>
      <c r="P270" s="88" t="str">
        <f aca="false">IF(OR($C270="01-09",$C270="10-14",$D270="Female",AND(SUM($G270)=0,SUM($K270)=0)),"",SUM($K270)/SUM($G270))</f>
        <v/>
      </c>
      <c r="Q270" s="88" t="n">
        <v>0.447751966305077</v>
      </c>
      <c r="R270" s="88"/>
      <c r="S270" s="88"/>
      <c r="T270" s="88"/>
      <c r="U270" s="88" t="n">
        <v>0.169130955124274</v>
      </c>
      <c r="V270" s="88" t="n">
        <f aca="false">IF(SUM($G270)=0,"",SUM($M270:$U270))</f>
        <v>0.616882921429351</v>
      </c>
      <c r="W270" s="88"/>
      <c r="X270" s="39" t="n">
        <f aca="false">IF(OR(SUM($G270)=0,SUM($Q270)=0),"",ROUND(SUM($G270)*SUM($Q270),0))</f>
        <v>-9</v>
      </c>
      <c r="Y270" s="39" t="str">
        <f aca="false">IF(SUM($X270)=0,"",IF(SUM($W270)=0,"ENTER YIELD",ROUND($X270/$W270,0)-$X270))</f>
        <v>ENTER YIELD</v>
      </c>
      <c r="Z270" s="88"/>
      <c r="AA270" s="39" t="str">
        <f aca="false">IF(OR(SUM($G270)=0,SUM($R270)=0),"",ROUND(SUM($G270)*SUM($R270),0))</f>
        <v/>
      </c>
      <c r="AB270" s="39" t="str">
        <f aca="false">IF(SUM($AA270)=0,"",IF(SUM($Z270)=0,"ENTER YIELD",ROUND($AA270/$Z270,0)-$AA270))</f>
        <v/>
      </c>
      <c r="AC270" s="88"/>
      <c r="AD270" s="39" t="str">
        <f aca="false">IF(OR(SUM($G270)=0,SUM($S270)=0),"",ROUND(SUM($G270)*SUM($S270),0))</f>
        <v/>
      </c>
      <c r="AE270" s="39" t="str">
        <f aca="false">IF(SUM($AD270)=0,"",IF(SUM($AC270)=0,"ENTER YIELD",ROUND($AD270/$AC270,0)-$AD270))</f>
        <v/>
      </c>
      <c r="AF270" s="88"/>
      <c r="AG270" s="39" t="str">
        <f aca="false">IF(OR(SUM($G270)=0,SUM($T270)=0),"",ROUND(SUM($G270)*SUM($T270),0))</f>
        <v/>
      </c>
      <c r="AH270" s="39" t="str">
        <f aca="false">IF(SUM($AG270)=0,"",IF(SUM($AF270)=0,"ENTER YIELD",ROUND($AG270/$AF270,0)-$AG270))</f>
        <v/>
      </c>
      <c r="AI270" s="88" t="n">
        <v>0.44046576321125</v>
      </c>
      <c r="AJ270" s="39" t="n">
        <f aca="false">IF(OR(SUM($G270)=0,SUM($U270)=0),"",ROUND(SUM($G270)*SUM($U270),0))</f>
        <v>-4</v>
      </c>
      <c r="AK270" s="39" t="n">
        <f aca="false">IF(SUM($AJ270)=0,"",IF(SUM($AI270)=0,"ENTER YIELD",ROUND($AJ270/$AI270,0)-$AJ270))</f>
        <v>-5</v>
      </c>
      <c r="AL270" s="10" t="n">
        <f aca="false">IF(SUM($G270)=0,"",$G270)</f>
        <v>-21</v>
      </c>
      <c r="AM270" s="10" t="n">
        <f aca="false">IFERROR(1/(1/SUM($H270:$K270,$X270,$AA270,$AD270,$AG270,$AJ270)),"")</f>
        <v>-13</v>
      </c>
      <c r="AN270" s="10" t="n">
        <f aca="false">IF(AND(SUM($AM270)=0,SUM($AL270)=0),"",$AM270-$AL270)</f>
        <v>8</v>
      </c>
      <c r="AO270" s="10" t="str">
        <f aca="false">IF(OR($C270="01-09",$D270="Male"),"",INDEX(PMTCT!$AD:$AD,MATCH($E270,PMTCT!$E:$E,0)))</f>
        <v/>
      </c>
      <c r="AP270" s="10" t="str">
        <f aca="false">IF(OR($C270="01-09",$D270="Male"),"",INDEX(PMTCT!$AT:$AT,MATCH($E270,PMTCT!$E:$E,0)))</f>
        <v/>
      </c>
      <c r="AQ270" s="10" t="n">
        <f aca="false">INDEX(TB!$Q:$Q,MATCH($E270,TB!$E:$E,0))</f>
        <v>6</v>
      </c>
      <c r="AR270" s="10" t="str">
        <f aca="false">IF(OR($C270="01-09",$C270="10-14",$D270="Female"),"",INDEX(VMMC!$AB:$AB,MATCH($E270,VMMC!$E:$E,0)))</f>
        <v/>
      </c>
      <c r="AS270" s="10" t="str">
        <f aca="false">IF(OR($C270="01-09",$C270="10-14"),"",INDEX(PrEP!$Q:$Q,MATCH($E270,PrEP!$E:$E,0)))</f>
        <v/>
      </c>
      <c r="AT270" s="10" t="n">
        <f aca="false">IFERROR(1/(1/SUM($Y270,$AB270,$AE270,$AH270,$AK270,$AO270:$AS270)),"")</f>
        <v>1</v>
      </c>
      <c r="AU270" s="10" t="n">
        <f aca="false">IFERROR(1/(1/SUM($AT270,$AM270)),"")</f>
        <v>-12</v>
      </c>
      <c r="AV270" s="88" t="n">
        <f aca="false">IF(AND(SUM($AM270)=0,SUM($AU270)=0),"",$AM270/$AU270)</f>
        <v>1.08333333333333</v>
      </c>
      <c r="AW270" s="10"/>
      <c r="AX270" s="88" t="str">
        <f aca="false">IF(OR($C270="01-09",SUM($AW270)=0),"",0%)</f>
        <v/>
      </c>
      <c r="AY270" s="39" t="str">
        <f aca="false">IF(OR($C270="01-09",SUM($AW270)=0),"",ROUND($AW270*(1+$AX270),0))</f>
        <v/>
      </c>
      <c r="AZ270" s="88" t="str">
        <f aca="false">IF(OR($C270="01-09",$C270="10-14"),"",100%)</f>
        <v/>
      </c>
      <c r="BA270" s="39" t="str">
        <f aca="false">IF(OR(SUM($AM270)=0,$C270="01-09",$C270="10-14"),"",$AM270*$AZ270)</f>
        <v/>
      </c>
    </row>
    <row r="271" customFormat="false" ht="15" hidden="false" customHeight="false" outlineLevel="0" collapsed="false">
      <c r="A271" s="0" t="str">
        <f aca="false">INDEX(Prioritization!$D:$D,MATCH($B271,Prioritization!$A:$A,0))</f>
        <v>INVALID</v>
      </c>
      <c r="B271" s="0" t="s">
        <v>215</v>
      </c>
      <c r="C271" s="0" t="s">
        <v>365</v>
      </c>
      <c r="D271" s="0" t="s">
        <v>30</v>
      </c>
      <c r="E271" s="0" t="str">
        <f aca="false">$B271&amp;"|"&amp;$C271&amp;"|"&amp;$D271</f>
        <v>Mangochi District [lLDyBx5XyUi]|15-24|Female</v>
      </c>
      <c r="F271" s="88" t="n">
        <f aca="false">IF(LEFT($B271,4)="_Mil","",INDEX(Cascade!$AA:$AA,MATCH($E271,Cascade!$E:$E,0)))</f>
        <v>1449</v>
      </c>
      <c r="G271" s="10" t="n">
        <f aca="false">INDEX(Cascade!$BH:$BH,MATCH($E271,Cascade!$E:$E,0))</f>
        <v>0</v>
      </c>
      <c r="H271" s="10" t="str">
        <f aca="false">IF(OR($C271="01-09",$D271="Male"),"",INDEX(PMTCT!$AC:$AC,MATCH($E271,PMTCT!$E:$E,0)))</f>
        <v/>
      </c>
      <c r="I271" s="10" t="str">
        <f aca="false">IF(OR($C271="01-09",$D271="Male"),"",INDEX(PMTCT!$AS:$AS,MATCH($E271,PMTCT!$E:$E,0)))</f>
        <v/>
      </c>
      <c r="J271" s="10" t="str">
        <f aca="false">INDEX(TB!$P:$P,MATCH($E271,TB!$E:$E,0))</f>
        <v/>
      </c>
      <c r="K271" s="10" t="str">
        <f aca="false">IF(OR($C271="01-09",$C271="10-14",$D271="Female"),"",INDEX(VMMC!$AA:$AA,MATCH($E271,VMMC!$E:$E,0)))</f>
        <v/>
      </c>
      <c r="L271" s="10" t="n">
        <f aca="false">SUM($G271)-SUM($H271:$K271)</f>
        <v>0</v>
      </c>
      <c r="M271" s="88" t="str">
        <f aca="false">IF(OR($C271="01-09",$D271="Male",AND(SUM($G271)=0,SUM($H271)=0)),"",SUM($H271)/SUM($G271))</f>
        <v/>
      </c>
      <c r="N271" s="88" t="str">
        <f aca="false">IF(OR($C271="01-09",$D271="Male",AND(SUM($G271)=0,SUM($I271)=0)),"",SUM($I271)/SUM($G271))</f>
        <v/>
      </c>
      <c r="O271" s="88" t="str">
        <f aca="false">IF(AND(SUM($G271)=0,SUM($J271)=0),"",SUM($J271)/SUM($G271))</f>
        <v/>
      </c>
      <c r="P271" s="88" t="str">
        <f aca="false">IF(OR($C271="01-09",$C271="10-14",$D271="Female",AND(SUM($G271)=0,SUM($K271)=0)),"",SUM($K271)/SUM($G271))</f>
        <v/>
      </c>
      <c r="Q271" s="88"/>
      <c r="R271" s="88"/>
      <c r="S271" s="88"/>
      <c r="T271" s="88"/>
      <c r="U271" s="88"/>
      <c r="V271" s="88" t="str">
        <f aca="false">IF(SUM($G271)=0,"",SUM($M271:$U271))</f>
        <v/>
      </c>
      <c r="W271" s="88"/>
      <c r="X271" s="39" t="str">
        <f aca="false">IF(OR(SUM($G271)=0,SUM($Q271)=0),"",ROUND(SUM($G271)*SUM($Q271),0))</f>
        <v/>
      </c>
      <c r="Y271" s="39" t="str">
        <f aca="false">IF(SUM($X271)=0,"",IF(SUM($W271)=0,"ENTER YIELD",ROUND($X271/$W271,0)-$X271))</f>
        <v/>
      </c>
      <c r="Z271" s="88"/>
      <c r="AA271" s="39" t="str">
        <f aca="false">IF(OR(SUM($G271)=0,SUM($R271)=0),"",ROUND(SUM($G271)*SUM($R271),0))</f>
        <v/>
      </c>
      <c r="AB271" s="39" t="str">
        <f aca="false">IF(SUM($AA271)=0,"",IF(SUM($Z271)=0,"ENTER YIELD",ROUND($AA271/$Z271,0)-$AA271))</f>
        <v/>
      </c>
      <c r="AC271" s="88"/>
      <c r="AD271" s="39" t="str">
        <f aca="false">IF(OR(SUM($G271)=0,SUM($S271)=0),"",ROUND(SUM($G271)*SUM($S271),0))</f>
        <v/>
      </c>
      <c r="AE271" s="39" t="str">
        <f aca="false">IF(SUM($AD271)=0,"",IF(SUM($AC271)=0,"ENTER YIELD",ROUND($AD271/$AC271,0)-$AD271))</f>
        <v/>
      </c>
      <c r="AF271" s="88"/>
      <c r="AG271" s="39" t="str">
        <f aca="false">IF(OR(SUM($G271)=0,SUM($T271)=0),"",ROUND(SUM($G271)*SUM($T271),0))</f>
        <v/>
      </c>
      <c r="AH271" s="39" t="str">
        <f aca="false">IF(SUM($AG271)=0,"",IF(SUM($AF271)=0,"ENTER YIELD",ROUND($AG271/$AF271,0)-$AG271))</f>
        <v/>
      </c>
      <c r="AI271" s="88"/>
      <c r="AJ271" s="39" t="str">
        <f aca="false">IF(OR(SUM($G271)=0,SUM($U271)=0),"",ROUND(SUM($G271)*SUM($U271),0))</f>
        <v/>
      </c>
      <c r="AK271" s="39" t="str">
        <f aca="false">IF(SUM($AJ271)=0,"",IF(SUM($AI271)=0,"ENTER YIELD",ROUND($AJ271/$AI271,0)-$AJ271))</f>
        <v/>
      </c>
      <c r="AL271" s="10" t="str">
        <f aca="false">IF(SUM($G271)=0,"",$G271)</f>
        <v/>
      </c>
      <c r="AM271" s="10" t="str">
        <f aca="false">IFERROR(1/(1/SUM($H271:$K271,$X271,$AA271,$AD271,$AG271,$AJ271)),"")</f>
        <v/>
      </c>
      <c r="AN271" s="10" t="str">
        <f aca="false">IF(AND(SUM($AM271)=0,SUM($AL271)=0),"",$AM271-$AL271)</f>
        <v/>
      </c>
      <c r="AO271" s="10" t="str">
        <f aca="false">IF(OR($C271="01-09",$D271="Male"),"",INDEX(PMTCT!$AD:$AD,MATCH($E271,PMTCT!$E:$E,0)))</f>
        <v/>
      </c>
      <c r="AP271" s="10" t="str">
        <f aca="false">IF(OR($C271="01-09",$D271="Male"),"",INDEX(PMTCT!$AT:$AT,MATCH($E271,PMTCT!$E:$E,0)))</f>
        <v/>
      </c>
      <c r="AQ271" s="10" t="str">
        <f aca="false">INDEX(TB!$Q:$Q,MATCH($E271,TB!$E:$E,0))</f>
        <v/>
      </c>
      <c r="AR271" s="10" t="str">
        <f aca="false">IF(OR($C271="01-09",$C271="10-14",$D271="Female"),"",INDEX(VMMC!$AB:$AB,MATCH($E271,VMMC!$E:$E,0)))</f>
        <v/>
      </c>
      <c r="AS271" s="10" t="str">
        <f aca="false">IF(OR($C271="01-09",$C271="10-14"),"",INDEX(PrEP!$Q:$Q,MATCH($E271,PrEP!$E:$E,0)))</f>
        <v/>
      </c>
      <c r="AT271" s="10" t="str">
        <f aca="false">IFERROR(1/(1/SUM($Y271,$AB271,$AE271,$AH271,$AK271,$AO271:$AS271)),"")</f>
        <v/>
      </c>
      <c r="AU271" s="10" t="str">
        <f aca="false">IFERROR(1/(1/SUM($AT271,$AM271)),"")</f>
        <v/>
      </c>
      <c r="AV271" s="88" t="str">
        <f aca="false">IF(AND(SUM($AM271)=0,SUM($AU271)=0),"",$AM271/$AU271)</f>
        <v/>
      </c>
      <c r="AW271" s="10"/>
      <c r="AX271" s="88" t="str">
        <f aca="false">IF(OR($C271="01-09",SUM($AW271)=0),"",0%)</f>
        <v/>
      </c>
      <c r="AY271" s="39" t="str">
        <f aca="false">IF(OR($C271="01-09",SUM($AW271)=0),"",ROUND($AW271*(1+$AX271),0))</f>
        <v/>
      </c>
      <c r="AZ271" s="88" t="n">
        <f aca="false">IF(OR($C271="01-09",$C271="10-14"),"",100%)</f>
        <v>1</v>
      </c>
      <c r="BA271" s="39" t="str">
        <f aca="false">IF(OR(SUM($AM271)=0,$C271="01-09",$C271="10-14"),"",$AM271*$AZ271)</f>
        <v/>
      </c>
    </row>
    <row r="272" customFormat="false" ht="15" hidden="false" customHeight="false" outlineLevel="0" collapsed="false">
      <c r="A272" s="0" t="str">
        <f aca="false">INDEX(Prioritization!$D:$D,MATCH($B272,Prioritization!$A:$A,0))</f>
        <v>INVALID</v>
      </c>
      <c r="B272" s="0" t="s">
        <v>215</v>
      </c>
      <c r="C272" s="0" t="s">
        <v>365</v>
      </c>
      <c r="D272" s="0" t="s">
        <v>48</v>
      </c>
      <c r="E272" s="0" t="str">
        <f aca="false">$B272&amp;"|"&amp;$C272&amp;"|"&amp;$D272</f>
        <v>Mangochi District [lLDyBx5XyUi]|15-24|Male</v>
      </c>
      <c r="F272" s="88" t="n">
        <f aca="false">IF(LEFT($B272,4)="_Mil","",INDEX(Cascade!$AA:$AA,MATCH($E272,Cascade!$E:$E,0)))</f>
        <v>1416</v>
      </c>
      <c r="G272" s="10" t="n">
        <f aca="false">INDEX(Cascade!$BH:$BH,MATCH($E272,Cascade!$E:$E,0))</f>
        <v>0</v>
      </c>
      <c r="H272" s="10" t="str">
        <f aca="false">IF(OR($C272="01-09",$D272="Male"),"",INDEX(PMTCT!$AC:$AC,MATCH($E272,PMTCT!$E:$E,0)))</f>
        <v/>
      </c>
      <c r="I272" s="10" t="str">
        <f aca="false">IF(OR($C272="01-09",$D272="Male"),"",INDEX(PMTCT!$AS:$AS,MATCH($E272,PMTCT!$E:$E,0)))</f>
        <v/>
      </c>
      <c r="J272" s="10" t="str">
        <f aca="false">INDEX(TB!$P:$P,MATCH($E272,TB!$E:$E,0))</f>
        <v/>
      </c>
      <c r="K272" s="10" t="str">
        <f aca="false">IF(OR($C272="01-09",$C272="10-14",$D272="Female"),"",INDEX(VMMC!$AA:$AA,MATCH($E272,VMMC!$E:$E,0)))</f>
        <v/>
      </c>
      <c r="L272" s="10" t="n">
        <f aca="false">SUM($G272)-SUM($H272:$K272)</f>
        <v>0</v>
      </c>
      <c r="M272" s="88" t="str">
        <f aca="false">IF(OR($C272="01-09",$D272="Male",AND(SUM($G272)=0,SUM($H272)=0)),"",SUM($H272)/SUM($G272))</f>
        <v/>
      </c>
      <c r="N272" s="88" t="str">
        <f aca="false">IF(OR($C272="01-09",$D272="Male",AND(SUM($G272)=0,SUM($I272)=0)),"",SUM($I272)/SUM($G272))</f>
        <v/>
      </c>
      <c r="O272" s="88" t="str">
        <f aca="false">IF(AND(SUM($G272)=0,SUM($J272)=0),"",SUM($J272)/SUM($G272))</f>
        <v/>
      </c>
      <c r="P272" s="88" t="str">
        <f aca="false">IF(OR($C272="01-09",$C272="10-14",$D272="Female",AND(SUM($G272)=0,SUM($K272)=0)),"",SUM($K272)/SUM($G272))</f>
        <v/>
      </c>
      <c r="Q272" s="88"/>
      <c r="R272" s="88"/>
      <c r="S272" s="88"/>
      <c r="T272" s="88"/>
      <c r="U272" s="88"/>
      <c r="V272" s="88" t="str">
        <f aca="false">IF(SUM($G272)=0,"",SUM($M272:$U272))</f>
        <v/>
      </c>
      <c r="W272" s="88"/>
      <c r="X272" s="39" t="str">
        <f aca="false">IF(OR(SUM($G272)=0,SUM($Q272)=0),"",ROUND(SUM($G272)*SUM($Q272),0))</f>
        <v/>
      </c>
      <c r="Y272" s="39" t="str">
        <f aca="false">IF(SUM($X272)=0,"",IF(SUM($W272)=0,"ENTER YIELD",ROUND($X272/$W272,0)-$X272))</f>
        <v/>
      </c>
      <c r="Z272" s="88"/>
      <c r="AA272" s="39" t="str">
        <f aca="false">IF(OR(SUM($G272)=0,SUM($R272)=0),"",ROUND(SUM($G272)*SUM($R272),0))</f>
        <v/>
      </c>
      <c r="AB272" s="39" t="str">
        <f aca="false">IF(SUM($AA272)=0,"",IF(SUM($Z272)=0,"ENTER YIELD",ROUND($AA272/$Z272,0)-$AA272))</f>
        <v/>
      </c>
      <c r="AC272" s="88"/>
      <c r="AD272" s="39" t="str">
        <f aca="false">IF(OR(SUM($G272)=0,SUM($S272)=0),"",ROUND(SUM($G272)*SUM($S272),0))</f>
        <v/>
      </c>
      <c r="AE272" s="39" t="str">
        <f aca="false">IF(SUM($AD272)=0,"",IF(SUM($AC272)=0,"ENTER YIELD",ROUND($AD272/$AC272,0)-$AD272))</f>
        <v/>
      </c>
      <c r="AF272" s="88"/>
      <c r="AG272" s="39" t="str">
        <f aca="false">IF(OR(SUM($G272)=0,SUM($T272)=0),"",ROUND(SUM($G272)*SUM($T272),0))</f>
        <v/>
      </c>
      <c r="AH272" s="39" t="str">
        <f aca="false">IF(SUM($AG272)=0,"",IF(SUM($AF272)=0,"ENTER YIELD",ROUND($AG272/$AF272,0)-$AG272))</f>
        <v/>
      </c>
      <c r="AI272" s="88"/>
      <c r="AJ272" s="39" t="str">
        <f aca="false">IF(OR(SUM($G272)=0,SUM($U272)=0),"",ROUND(SUM($G272)*SUM($U272),0))</f>
        <v/>
      </c>
      <c r="AK272" s="39" t="str">
        <f aca="false">IF(SUM($AJ272)=0,"",IF(SUM($AI272)=0,"ENTER YIELD",ROUND($AJ272/$AI272,0)-$AJ272))</f>
        <v/>
      </c>
      <c r="AL272" s="10" t="str">
        <f aca="false">IF(SUM($G272)=0,"",$G272)</f>
        <v/>
      </c>
      <c r="AM272" s="10" t="str">
        <f aca="false">IFERROR(1/(1/SUM($H272:$K272,$X272,$AA272,$AD272,$AG272,$AJ272)),"")</f>
        <v/>
      </c>
      <c r="AN272" s="10" t="str">
        <f aca="false">IF(AND(SUM($AM272)=0,SUM($AL272)=0),"",$AM272-$AL272)</f>
        <v/>
      </c>
      <c r="AO272" s="10" t="str">
        <f aca="false">IF(OR($C272="01-09",$D272="Male"),"",INDEX(PMTCT!$AD:$AD,MATCH($E272,PMTCT!$E:$E,0)))</f>
        <v/>
      </c>
      <c r="AP272" s="10" t="str">
        <f aca="false">IF(OR($C272="01-09",$D272="Male"),"",INDEX(PMTCT!$AT:$AT,MATCH($E272,PMTCT!$E:$E,0)))</f>
        <v/>
      </c>
      <c r="AQ272" s="10" t="str">
        <f aca="false">INDEX(TB!$Q:$Q,MATCH($E272,TB!$E:$E,0))</f>
        <v/>
      </c>
      <c r="AR272" s="10" t="str">
        <f aca="false">IF(OR($C272="01-09",$C272="10-14",$D272="Female"),"",INDEX(VMMC!$AB:$AB,MATCH($E272,VMMC!$E:$E,0)))</f>
        <v/>
      </c>
      <c r="AS272" s="10" t="str">
        <f aca="false">IF(OR($C272="01-09",$C272="10-14"),"",INDEX(PrEP!$Q:$Q,MATCH($E272,PrEP!$E:$E,0)))</f>
        <v/>
      </c>
      <c r="AT272" s="10" t="str">
        <f aca="false">IFERROR(1/(1/SUM($Y272,$AB272,$AE272,$AH272,$AK272,$AO272:$AS272)),"")</f>
        <v/>
      </c>
      <c r="AU272" s="10" t="str">
        <f aca="false">IFERROR(1/(1/SUM($AT272,$AM272)),"")</f>
        <v/>
      </c>
      <c r="AV272" s="88" t="str">
        <f aca="false">IF(AND(SUM($AM272)=0,SUM($AU272)=0),"",$AM272/$AU272)</f>
        <v/>
      </c>
      <c r="AW272" s="10"/>
      <c r="AX272" s="88" t="str">
        <f aca="false">IF(OR($C272="01-09",SUM($AW272)=0),"",0%)</f>
        <v/>
      </c>
      <c r="AY272" s="39" t="str">
        <f aca="false">IF(OR($C272="01-09",SUM($AW272)=0),"",ROUND($AW272*(1+$AX272),0))</f>
        <v/>
      </c>
      <c r="AZ272" s="88" t="n">
        <f aca="false">IF(OR($C272="01-09",$C272="10-14"),"",100%)</f>
        <v>1</v>
      </c>
      <c r="BA272" s="39" t="str">
        <f aca="false">IF(OR(SUM($AM272)=0,$C272="01-09",$C272="10-14"),"",$AM272*$AZ272)</f>
        <v/>
      </c>
    </row>
    <row r="273" customFormat="false" ht="15" hidden="false" customHeight="false" outlineLevel="0" collapsed="false">
      <c r="A273" s="0" t="str">
        <f aca="false">INDEX(Prioritization!$D:$D,MATCH($B273,Prioritization!$A:$A,0))</f>
        <v>INVALID</v>
      </c>
      <c r="B273" s="0" t="s">
        <v>215</v>
      </c>
      <c r="C273" s="0" t="s">
        <v>366</v>
      </c>
      <c r="D273" s="0" t="s">
        <v>30</v>
      </c>
      <c r="E273" s="0" t="str">
        <f aca="false">$B273&amp;"|"&amp;$C273&amp;"|"&amp;$D273</f>
        <v>Mangochi District [lLDyBx5XyUi]|25-34|Female</v>
      </c>
      <c r="F273" s="88" t="n">
        <f aca="false">IF(LEFT($B273,4)="_Mil","",INDEX(Cascade!$AA:$AA,MATCH($E273,Cascade!$E:$E,0)))</f>
        <v>1569</v>
      </c>
      <c r="G273" s="10" t="n">
        <f aca="false">INDEX(Cascade!$BH:$BH,MATCH($E273,Cascade!$E:$E,0))</f>
        <v>0</v>
      </c>
      <c r="H273" s="10" t="str">
        <f aca="false">IF(OR($C273="01-09",$D273="Male"),"",INDEX(PMTCT!$AC:$AC,MATCH($E273,PMTCT!$E:$E,0)))</f>
        <v/>
      </c>
      <c r="I273" s="10" t="str">
        <f aca="false">IF(OR($C273="01-09",$D273="Male"),"",INDEX(PMTCT!$AS:$AS,MATCH($E273,PMTCT!$E:$E,0)))</f>
        <v/>
      </c>
      <c r="J273" s="10" t="str">
        <f aca="false">INDEX(TB!$P:$P,MATCH($E273,TB!$E:$E,0))</f>
        <v/>
      </c>
      <c r="K273" s="10" t="str">
        <f aca="false">IF(OR($C273="01-09",$C273="10-14",$D273="Female"),"",INDEX(VMMC!$AA:$AA,MATCH($E273,VMMC!$E:$E,0)))</f>
        <v/>
      </c>
      <c r="L273" s="10" t="n">
        <f aca="false">SUM($G273)-SUM($H273:$K273)</f>
        <v>0</v>
      </c>
      <c r="M273" s="88" t="str">
        <f aca="false">IF(OR($C273="01-09",$D273="Male",AND(SUM($G273)=0,SUM($H273)=0)),"",SUM($H273)/SUM($G273))</f>
        <v/>
      </c>
      <c r="N273" s="88" t="str">
        <f aca="false">IF(OR($C273="01-09",$D273="Male",AND(SUM($G273)=0,SUM($I273)=0)),"",SUM($I273)/SUM($G273))</f>
        <v/>
      </c>
      <c r="O273" s="88" t="str">
        <f aca="false">IF(AND(SUM($G273)=0,SUM($J273)=0),"",SUM($J273)/SUM($G273))</f>
        <v/>
      </c>
      <c r="P273" s="88" t="str">
        <f aca="false">IF(OR($C273="01-09",$C273="10-14",$D273="Female",AND(SUM($G273)=0,SUM($K273)=0)),"",SUM($K273)/SUM($G273))</f>
        <v/>
      </c>
      <c r="Q273" s="88"/>
      <c r="R273" s="88"/>
      <c r="S273" s="88"/>
      <c r="T273" s="88"/>
      <c r="U273" s="88"/>
      <c r="V273" s="88" t="str">
        <f aca="false">IF(SUM($G273)=0,"",SUM($M273:$U273))</f>
        <v/>
      </c>
      <c r="W273" s="88"/>
      <c r="X273" s="39" t="str">
        <f aca="false">IF(OR(SUM($G273)=0,SUM($Q273)=0),"",ROUND(SUM($G273)*SUM($Q273),0))</f>
        <v/>
      </c>
      <c r="Y273" s="39" t="str">
        <f aca="false">IF(SUM($X273)=0,"",IF(SUM($W273)=0,"ENTER YIELD",ROUND($X273/$W273,0)-$X273))</f>
        <v/>
      </c>
      <c r="Z273" s="88"/>
      <c r="AA273" s="39" t="str">
        <f aca="false">IF(OR(SUM($G273)=0,SUM($R273)=0),"",ROUND(SUM($G273)*SUM($R273),0))</f>
        <v/>
      </c>
      <c r="AB273" s="39" t="str">
        <f aca="false">IF(SUM($AA273)=0,"",IF(SUM($Z273)=0,"ENTER YIELD",ROUND($AA273/$Z273,0)-$AA273))</f>
        <v/>
      </c>
      <c r="AC273" s="88"/>
      <c r="AD273" s="39" t="str">
        <f aca="false">IF(OR(SUM($G273)=0,SUM($S273)=0),"",ROUND(SUM($G273)*SUM($S273),0))</f>
        <v/>
      </c>
      <c r="AE273" s="39" t="str">
        <f aca="false">IF(SUM($AD273)=0,"",IF(SUM($AC273)=0,"ENTER YIELD",ROUND($AD273/$AC273,0)-$AD273))</f>
        <v/>
      </c>
      <c r="AF273" s="88"/>
      <c r="AG273" s="39" t="str">
        <f aca="false">IF(OR(SUM($G273)=0,SUM($T273)=0),"",ROUND(SUM($G273)*SUM($T273),0))</f>
        <v/>
      </c>
      <c r="AH273" s="39" t="str">
        <f aca="false">IF(SUM($AG273)=0,"",IF(SUM($AF273)=0,"ENTER YIELD",ROUND($AG273/$AF273,0)-$AG273))</f>
        <v/>
      </c>
      <c r="AI273" s="88"/>
      <c r="AJ273" s="39" t="str">
        <f aca="false">IF(OR(SUM($G273)=0,SUM($U273)=0),"",ROUND(SUM($G273)*SUM($U273),0))</f>
        <v/>
      </c>
      <c r="AK273" s="39" t="str">
        <f aca="false">IF(SUM($AJ273)=0,"",IF(SUM($AI273)=0,"ENTER YIELD",ROUND($AJ273/$AI273,0)-$AJ273))</f>
        <v/>
      </c>
      <c r="AL273" s="10" t="str">
        <f aca="false">IF(SUM($G273)=0,"",$G273)</f>
        <v/>
      </c>
      <c r="AM273" s="10" t="str">
        <f aca="false">IFERROR(1/(1/SUM($H273:$K273,$X273,$AA273,$AD273,$AG273,$AJ273)),"")</f>
        <v/>
      </c>
      <c r="AN273" s="10" t="str">
        <f aca="false">IF(AND(SUM($AM273)=0,SUM($AL273)=0),"",$AM273-$AL273)</f>
        <v/>
      </c>
      <c r="AO273" s="10" t="str">
        <f aca="false">IF(OR($C273="01-09",$D273="Male"),"",INDEX(PMTCT!$AD:$AD,MATCH($E273,PMTCT!$E:$E,0)))</f>
        <v/>
      </c>
      <c r="AP273" s="10" t="str">
        <f aca="false">IF(OR($C273="01-09",$D273="Male"),"",INDEX(PMTCT!$AT:$AT,MATCH($E273,PMTCT!$E:$E,0)))</f>
        <v/>
      </c>
      <c r="AQ273" s="10" t="str">
        <f aca="false">INDEX(TB!$Q:$Q,MATCH($E273,TB!$E:$E,0))</f>
        <v/>
      </c>
      <c r="AR273" s="10" t="str">
        <f aca="false">IF(OR($C273="01-09",$C273="10-14",$D273="Female"),"",INDEX(VMMC!$AB:$AB,MATCH($E273,VMMC!$E:$E,0)))</f>
        <v/>
      </c>
      <c r="AS273" s="10" t="str">
        <f aca="false">IF(OR($C273="01-09",$C273="10-14"),"",INDEX(PrEP!$Q:$Q,MATCH($E273,PrEP!$E:$E,0)))</f>
        <v/>
      </c>
      <c r="AT273" s="10" t="str">
        <f aca="false">IFERROR(1/(1/SUM($Y273,$AB273,$AE273,$AH273,$AK273,$AO273:$AS273)),"")</f>
        <v/>
      </c>
      <c r="AU273" s="10" t="str">
        <f aca="false">IFERROR(1/(1/SUM($AT273,$AM273)),"")</f>
        <v/>
      </c>
      <c r="AV273" s="88" t="str">
        <f aca="false">IF(AND(SUM($AM273)=0,SUM($AU273)=0),"",$AM273/$AU273)</f>
        <v/>
      </c>
      <c r="AW273" s="10"/>
      <c r="AX273" s="88" t="str">
        <f aca="false">IF(OR($C273="01-09",SUM($AW273)=0),"",0%)</f>
        <v/>
      </c>
      <c r="AY273" s="39" t="str">
        <f aca="false">IF(OR($C273="01-09",SUM($AW273)=0),"",ROUND($AW273*(1+$AX273),0))</f>
        <v/>
      </c>
      <c r="AZ273" s="88" t="n">
        <f aca="false">IF(OR($C273="01-09",$C273="10-14"),"",100%)</f>
        <v>1</v>
      </c>
      <c r="BA273" s="39" t="str">
        <f aca="false">IF(OR(SUM($AM273)=0,$C273="01-09",$C273="10-14"),"",$AM273*$AZ273)</f>
        <v/>
      </c>
    </row>
    <row r="274" customFormat="false" ht="15" hidden="false" customHeight="false" outlineLevel="0" collapsed="false">
      <c r="A274" s="0" t="str">
        <f aca="false">INDEX(Prioritization!$D:$D,MATCH($B274,Prioritization!$A:$A,0))</f>
        <v>INVALID</v>
      </c>
      <c r="B274" s="0" t="s">
        <v>215</v>
      </c>
      <c r="C274" s="0" t="s">
        <v>366</v>
      </c>
      <c r="D274" s="0" t="s">
        <v>48</v>
      </c>
      <c r="E274" s="0" t="str">
        <f aca="false">$B274&amp;"|"&amp;$C274&amp;"|"&amp;$D274</f>
        <v>Mangochi District [lLDyBx5XyUi]|25-34|Male</v>
      </c>
      <c r="F274" s="88" t="n">
        <f aca="false">IF(LEFT($B274,4)="_Mil","",INDEX(Cascade!$AA:$AA,MATCH($E274,Cascade!$E:$E,0)))</f>
        <v>926</v>
      </c>
      <c r="G274" s="10" t="n">
        <f aca="false">INDEX(Cascade!$BH:$BH,MATCH($E274,Cascade!$E:$E,0))</f>
        <v>0</v>
      </c>
      <c r="H274" s="10" t="str">
        <f aca="false">IF(OR($C274="01-09",$D274="Male"),"",INDEX(PMTCT!$AC:$AC,MATCH($E274,PMTCT!$E:$E,0)))</f>
        <v/>
      </c>
      <c r="I274" s="10" t="str">
        <f aca="false">IF(OR($C274="01-09",$D274="Male"),"",INDEX(PMTCT!$AS:$AS,MATCH($E274,PMTCT!$E:$E,0)))</f>
        <v/>
      </c>
      <c r="J274" s="10" t="str">
        <f aca="false">INDEX(TB!$P:$P,MATCH($E274,TB!$E:$E,0))</f>
        <v/>
      </c>
      <c r="K274" s="10" t="str">
        <f aca="false">IF(OR($C274="01-09",$C274="10-14",$D274="Female"),"",INDEX(VMMC!$AA:$AA,MATCH($E274,VMMC!$E:$E,0)))</f>
        <v/>
      </c>
      <c r="L274" s="10" t="n">
        <f aca="false">SUM($G274)-SUM($H274:$K274)</f>
        <v>0</v>
      </c>
      <c r="M274" s="88" t="str">
        <f aca="false">IF(OR($C274="01-09",$D274="Male",AND(SUM($G274)=0,SUM($H274)=0)),"",SUM($H274)/SUM($G274))</f>
        <v/>
      </c>
      <c r="N274" s="88" t="str">
        <f aca="false">IF(OR($C274="01-09",$D274="Male",AND(SUM($G274)=0,SUM($I274)=0)),"",SUM($I274)/SUM($G274))</f>
        <v/>
      </c>
      <c r="O274" s="88" t="str">
        <f aca="false">IF(AND(SUM($G274)=0,SUM($J274)=0),"",SUM($J274)/SUM($G274))</f>
        <v/>
      </c>
      <c r="P274" s="88" t="str">
        <f aca="false">IF(OR($C274="01-09",$C274="10-14",$D274="Female",AND(SUM($G274)=0,SUM($K274)=0)),"",SUM($K274)/SUM($G274))</f>
        <v/>
      </c>
      <c r="Q274" s="88"/>
      <c r="R274" s="88"/>
      <c r="S274" s="88"/>
      <c r="T274" s="88"/>
      <c r="U274" s="88"/>
      <c r="V274" s="88" t="str">
        <f aca="false">IF(SUM($G274)=0,"",SUM($M274:$U274))</f>
        <v/>
      </c>
      <c r="W274" s="88"/>
      <c r="X274" s="39" t="str">
        <f aca="false">IF(OR(SUM($G274)=0,SUM($Q274)=0),"",ROUND(SUM($G274)*SUM($Q274),0))</f>
        <v/>
      </c>
      <c r="Y274" s="39" t="str">
        <f aca="false">IF(SUM($X274)=0,"",IF(SUM($W274)=0,"ENTER YIELD",ROUND($X274/$W274,0)-$X274))</f>
        <v/>
      </c>
      <c r="Z274" s="88"/>
      <c r="AA274" s="39" t="str">
        <f aca="false">IF(OR(SUM($G274)=0,SUM($R274)=0),"",ROUND(SUM($G274)*SUM($R274),0))</f>
        <v/>
      </c>
      <c r="AB274" s="39" t="str">
        <f aca="false">IF(SUM($AA274)=0,"",IF(SUM($Z274)=0,"ENTER YIELD",ROUND($AA274/$Z274,0)-$AA274))</f>
        <v/>
      </c>
      <c r="AC274" s="88"/>
      <c r="AD274" s="39" t="str">
        <f aca="false">IF(OR(SUM($G274)=0,SUM($S274)=0),"",ROUND(SUM($G274)*SUM($S274),0))</f>
        <v/>
      </c>
      <c r="AE274" s="39" t="str">
        <f aca="false">IF(SUM($AD274)=0,"",IF(SUM($AC274)=0,"ENTER YIELD",ROUND($AD274/$AC274,0)-$AD274))</f>
        <v/>
      </c>
      <c r="AF274" s="88"/>
      <c r="AG274" s="39" t="str">
        <f aca="false">IF(OR(SUM($G274)=0,SUM($T274)=0),"",ROUND(SUM($G274)*SUM($T274),0))</f>
        <v/>
      </c>
      <c r="AH274" s="39" t="str">
        <f aca="false">IF(SUM($AG274)=0,"",IF(SUM($AF274)=0,"ENTER YIELD",ROUND($AG274/$AF274,0)-$AG274))</f>
        <v/>
      </c>
      <c r="AI274" s="88"/>
      <c r="AJ274" s="39" t="str">
        <f aca="false">IF(OR(SUM($G274)=0,SUM($U274)=0),"",ROUND(SUM($G274)*SUM($U274),0))</f>
        <v/>
      </c>
      <c r="AK274" s="39" t="str">
        <f aca="false">IF(SUM($AJ274)=0,"",IF(SUM($AI274)=0,"ENTER YIELD",ROUND($AJ274/$AI274,0)-$AJ274))</f>
        <v/>
      </c>
      <c r="AL274" s="10" t="str">
        <f aca="false">IF(SUM($G274)=0,"",$G274)</f>
        <v/>
      </c>
      <c r="AM274" s="10" t="str">
        <f aca="false">IFERROR(1/(1/SUM($H274:$K274,$X274,$AA274,$AD274,$AG274,$AJ274)),"")</f>
        <v/>
      </c>
      <c r="AN274" s="10" t="str">
        <f aca="false">IF(AND(SUM($AM274)=0,SUM($AL274)=0),"",$AM274-$AL274)</f>
        <v/>
      </c>
      <c r="AO274" s="10" t="str">
        <f aca="false">IF(OR($C274="01-09",$D274="Male"),"",INDEX(PMTCT!$AD:$AD,MATCH($E274,PMTCT!$E:$E,0)))</f>
        <v/>
      </c>
      <c r="AP274" s="10" t="str">
        <f aca="false">IF(OR($C274="01-09",$D274="Male"),"",INDEX(PMTCT!$AT:$AT,MATCH($E274,PMTCT!$E:$E,0)))</f>
        <v/>
      </c>
      <c r="AQ274" s="10" t="str">
        <f aca="false">INDEX(TB!$Q:$Q,MATCH($E274,TB!$E:$E,0))</f>
        <v/>
      </c>
      <c r="AR274" s="10" t="str">
        <f aca="false">IF(OR($C274="01-09",$C274="10-14",$D274="Female"),"",INDEX(VMMC!$AB:$AB,MATCH($E274,VMMC!$E:$E,0)))</f>
        <v/>
      </c>
      <c r="AS274" s="10" t="str">
        <f aca="false">IF(OR($C274="01-09",$C274="10-14"),"",INDEX(PrEP!$Q:$Q,MATCH($E274,PrEP!$E:$E,0)))</f>
        <v/>
      </c>
      <c r="AT274" s="10" t="str">
        <f aca="false">IFERROR(1/(1/SUM($Y274,$AB274,$AE274,$AH274,$AK274,$AO274:$AS274)),"")</f>
        <v/>
      </c>
      <c r="AU274" s="10" t="str">
        <f aca="false">IFERROR(1/(1/SUM($AT274,$AM274)),"")</f>
        <v/>
      </c>
      <c r="AV274" s="88" t="str">
        <f aca="false">IF(AND(SUM($AM274)=0,SUM($AU274)=0),"",$AM274/$AU274)</f>
        <v/>
      </c>
      <c r="AW274" s="10"/>
      <c r="AX274" s="88" t="str">
        <f aca="false">IF(OR($C274="01-09",SUM($AW274)=0),"",0%)</f>
        <v/>
      </c>
      <c r="AY274" s="39" t="str">
        <f aca="false">IF(OR($C274="01-09",SUM($AW274)=0),"",ROUND($AW274*(1+$AX274),0))</f>
        <v/>
      </c>
      <c r="AZ274" s="88" t="n">
        <f aca="false">IF(OR($C274="01-09",$C274="10-14"),"",100%)</f>
        <v>1</v>
      </c>
      <c r="BA274" s="39" t="str">
        <f aca="false">IF(OR(SUM($AM274)=0,$C274="01-09",$C274="10-14"),"",$AM274*$AZ274)</f>
        <v/>
      </c>
    </row>
    <row r="275" customFormat="false" ht="15" hidden="false" customHeight="false" outlineLevel="0" collapsed="false">
      <c r="A275" s="0" t="str">
        <f aca="false">INDEX(Prioritization!$D:$D,MATCH($B275,Prioritization!$A:$A,0))</f>
        <v>INVALID</v>
      </c>
      <c r="B275" s="0" t="s">
        <v>215</v>
      </c>
      <c r="C275" s="0" t="s">
        <v>367</v>
      </c>
      <c r="D275" s="0" t="s">
        <v>30</v>
      </c>
      <c r="E275" s="0" t="str">
        <f aca="false">$B275&amp;"|"&amp;$C275&amp;"|"&amp;$D275</f>
        <v>Mangochi District [lLDyBx5XyUi]|35-49|Female</v>
      </c>
      <c r="F275" s="88" t="n">
        <f aca="false">IF(LEFT($B275,4)="_Mil","",INDEX(Cascade!$AA:$AA,MATCH($E275,Cascade!$E:$E,0)))</f>
        <v>982</v>
      </c>
      <c r="G275" s="10" t="n">
        <f aca="false">INDEX(Cascade!$BH:$BH,MATCH($E275,Cascade!$E:$E,0))</f>
        <v>0</v>
      </c>
      <c r="H275" s="10" t="str">
        <f aca="false">IF(OR($C275="01-09",$D275="Male"),"",INDEX(PMTCT!$AC:$AC,MATCH($E275,PMTCT!$E:$E,0)))</f>
        <v/>
      </c>
      <c r="I275" s="10" t="str">
        <f aca="false">IF(OR($C275="01-09",$D275="Male"),"",INDEX(PMTCT!$AS:$AS,MATCH($E275,PMTCT!$E:$E,0)))</f>
        <v/>
      </c>
      <c r="J275" s="10" t="str">
        <f aca="false">INDEX(TB!$P:$P,MATCH($E275,TB!$E:$E,0))</f>
        <v/>
      </c>
      <c r="K275" s="10" t="str">
        <f aca="false">IF(OR($C275="01-09",$C275="10-14",$D275="Female"),"",INDEX(VMMC!$AA:$AA,MATCH($E275,VMMC!$E:$E,0)))</f>
        <v/>
      </c>
      <c r="L275" s="10" t="n">
        <f aca="false">SUM($G275)-SUM($H275:$K275)</f>
        <v>0</v>
      </c>
      <c r="M275" s="88" t="str">
        <f aca="false">IF(OR($C275="01-09",$D275="Male",AND(SUM($G275)=0,SUM($H275)=0)),"",SUM($H275)/SUM($G275))</f>
        <v/>
      </c>
      <c r="N275" s="88" t="str">
        <f aca="false">IF(OR($C275="01-09",$D275="Male",AND(SUM($G275)=0,SUM($I275)=0)),"",SUM($I275)/SUM($G275))</f>
        <v/>
      </c>
      <c r="O275" s="88" t="str">
        <f aca="false">IF(AND(SUM($G275)=0,SUM($J275)=0),"",SUM($J275)/SUM($G275))</f>
        <v/>
      </c>
      <c r="P275" s="88" t="str">
        <f aca="false">IF(OR($C275="01-09",$C275="10-14",$D275="Female",AND(SUM($G275)=0,SUM($K275)=0)),"",SUM($K275)/SUM($G275))</f>
        <v/>
      </c>
      <c r="Q275" s="88"/>
      <c r="R275" s="88"/>
      <c r="S275" s="88"/>
      <c r="T275" s="88"/>
      <c r="U275" s="88"/>
      <c r="V275" s="88" t="str">
        <f aca="false">IF(SUM($G275)=0,"",SUM($M275:$U275))</f>
        <v/>
      </c>
      <c r="W275" s="88"/>
      <c r="X275" s="39" t="str">
        <f aca="false">IF(OR(SUM($G275)=0,SUM($Q275)=0),"",ROUND(SUM($G275)*SUM($Q275),0))</f>
        <v/>
      </c>
      <c r="Y275" s="39" t="str">
        <f aca="false">IF(SUM($X275)=0,"",IF(SUM($W275)=0,"ENTER YIELD",ROUND($X275/$W275,0)-$X275))</f>
        <v/>
      </c>
      <c r="Z275" s="88"/>
      <c r="AA275" s="39" t="str">
        <f aca="false">IF(OR(SUM($G275)=0,SUM($R275)=0),"",ROUND(SUM($G275)*SUM($R275),0))</f>
        <v/>
      </c>
      <c r="AB275" s="39" t="str">
        <f aca="false">IF(SUM($AA275)=0,"",IF(SUM($Z275)=0,"ENTER YIELD",ROUND($AA275/$Z275,0)-$AA275))</f>
        <v/>
      </c>
      <c r="AC275" s="88"/>
      <c r="AD275" s="39" t="str">
        <f aca="false">IF(OR(SUM($G275)=0,SUM($S275)=0),"",ROUND(SUM($G275)*SUM($S275),0))</f>
        <v/>
      </c>
      <c r="AE275" s="39" t="str">
        <f aca="false">IF(SUM($AD275)=0,"",IF(SUM($AC275)=0,"ENTER YIELD",ROUND($AD275/$AC275,0)-$AD275))</f>
        <v/>
      </c>
      <c r="AF275" s="88"/>
      <c r="AG275" s="39" t="str">
        <f aca="false">IF(OR(SUM($G275)=0,SUM($T275)=0),"",ROUND(SUM($G275)*SUM($T275),0))</f>
        <v/>
      </c>
      <c r="AH275" s="39" t="str">
        <f aca="false">IF(SUM($AG275)=0,"",IF(SUM($AF275)=0,"ENTER YIELD",ROUND($AG275/$AF275,0)-$AG275))</f>
        <v/>
      </c>
      <c r="AI275" s="88"/>
      <c r="AJ275" s="39" t="str">
        <f aca="false">IF(OR(SUM($G275)=0,SUM($U275)=0),"",ROUND(SUM($G275)*SUM($U275),0))</f>
        <v/>
      </c>
      <c r="AK275" s="39" t="str">
        <f aca="false">IF(SUM($AJ275)=0,"",IF(SUM($AI275)=0,"ENTER YIELD",ROUND($AJ275/$AI275,0)-$AJ275))</f>
        <v/>
      </c>
      <c r="AL275" s="10" t="str">
        <f aca="false">IF(SUM($G275)=0,"",$G275)</f>
        <v/>
      </c>
      <c r="AM275" s="10" t="str">
        <f aca="false">IFERROR(1/(1/SUM($H275:$K275,$X275,$AA275,$AD275,$AG275,$AJ275)),"")</f>
        <v/>
      </c>
      <c r="AN275" s="10" t="str">
        <f aca="false">IF(AND(SUM($AM275)=0,SUM($AL275)=0),"",$AM275-$AL275)</f>
        <v/>
      </c>
      <c r="AO275" s="10" t="str">
        <f aca="false">IF(OR($C275="01-09",$D275="Male"),"",INDEX(PMTCT!$AD:$AD,MATCH($E275,PMTCT!$E:$E,0)))</f>
        <v/>
      </c>
      <c r="AP275" s="10" t="str">
        <f aca="false">IF(OR($C275="01-09",$D275="Male"),"",INDEX(PMTCT!$AT:$AT,MATCH($E275,PMTCT!$E:$E,0)))</f>
        <v/>
      </c>
      <c r="AQ275" s="10" t="str">
        <f aca="false">INDEX(TB!$Q:$Q,MATCH($E275,TB!$E:$E,0))</f>
        <v/>
      </c>
      <c r="AR275" s="10" t="str">
        <f aca="false">IF(OR($C275="01-09",$C275="10-14",$D275="Female"),"",INDEX(VMMC!$AB:$AB,MATCH($E275,VMMC!$E:$E,0)))</f>
        <v/>
      </c>
      <c r="AS275" s="10" t="str">
        <f aca="false">IF(OR($C275="01-09",$C275="10-14"),"",INDEX(PrEP!$Q:$Q,MATCH($E275,PrEP!$E:$E,0)))</f>
        <v/>
      </c>
      <c r="AT275" s="10" t="str">
        <f aca="false">IFERROR(1/(1/SUM($Y275,$AB275,$AE275,$AH275,$AK275,$AO275:$AS275)),"")</f>
        <v/>
      </c>
      <c r="AU275" s="10" t="str">
        <f aca="false">IFERROR(1/(1/SUM($AT275,$AM275)),"")</f>
        <v/>
      </c>
      <c r="AV275" s="88" t="str">
        <f aca="false">IF(AND(SUM($AM275)=0,SUM($AU275)=0),"",$AM275/$AU275)</f>
        <v/>
      </c>
      <c r="AW275" s="10"/>
      <c r="AX275" s="88" t="str">
        <f aca="false">IF(OR($C275="01-09",SUM($AW275)=0),"",0%)</f>
        <v/>
      </c>
      <c r="AY275" s="39" t="str">
        <f aca="false">IF(OR($C275="01-09",SUM($AW275)=0),"",ROUND($AW275*(1+$AX275),0))</f>
        <v/>
      </c>
      <c r="AZ275" s="88" t="n">
        <f aca="false">IF(OR($C275="01-09",$C275="10-14"),"",100%)</f>
        <v>1</v>
      </c>
      <c r="BA275" s="39" t="str">
        <f aca="false">IF(OR(SUM($AM275)=0,$C275="01-09",$C275="10-14"),"",$AM275*$AZ275)</f>
        <v/>
      </c>
    </row>
    <row r="276" customFormat="false" ht="15" hidden="false" customHeight="false" outlineLevel="0" collapsed="false">
      <c r="A276" s="0" t="str">
        <f aca="false">INDEX(Prioritization!$D:$D,MATCH($B276,Prioritization!$A:$A,0))</f>
        <v>INVALID</v>
      </c>
      <c r="B276" s="0" t="s">
        <v>215</v>
      </c>
      <c r="C276" s="0" t="s">
        <v>367</v>
      </c>
      <c r="D276" s="0" t="s">
        <v>48</v>
      </c>
      <c r="E276" s="0" t="str">
        <f aca="false">$B276&amp;"|"&amp;$C276&amp;"|"&amp;$D276</f>
        <v>Mangochi District [lLDyBx5XyUi]|35-49|Male</v>
      </c>
      <c r="F276" s="88" t="n">
        <f aca="false">IF(LEFT($B276,4)="_Mil","",INDEX(Cascade!$AA:$AA,MATCH($E276,Cascade!$E:$E,0)))</f>
        <v>1820</v>
      </c>
      <c r="G276" s="10" t="n">
        <f aca="false">INDEX(Cascade!$BH:$BH,MATCH($E276,Cascade!$E:$E,0))</f>
        <v>0</v>
      </c>
      <c r="H276" s="10" t="str">
        <f aca="false">IF(OR($C276="01-09",$D276="Male"),"",INDEX(PMTCT!$AC:$AC,MATCH($E276,PMTCT!$E:$E,0)))</f>
        <v/>
      </c>
      <c r="I276" s="10" t="str">
        <f aca="false">IF(OR($C276="01-09",$D276="Male"),"",INDEX(PMTCT!$AS:$AS,MATCH($E276,PMTCT!$E:$E,0)))</f>
        <v/>
      </c>
      <c r="J276" s="10" t="str">
        <f aca="false">INDEX(TB!$P:$P,MATCH($E276,TB!$E:$E,0))</f>
        <v/>
      </c>
      <c r="K276" s="10" t="str">
        <f aca="false">IF(OR($C276="01-09",$C276="10-14",$D276="Female"),"",INDEX(VMMC!$AA:$AA,MATCH($E276,VMMC!$E:$E,0)))</f>
        <v/>
      </c>
      <c r="L276" s="10" t="n">
        <f aca="false">SUM($G276)-SUM($H276:$K276)</f>
        <v>0</v>
      </c>
      <c r="M276" s="88" t="str">
        <f aca="false">IF(OR($C276="01-09",$D276="Male",AND(SUM($G276)=0,SUM($H276)=0)),"",SUM($H276)/SUM($G276))</f>
        <v/>
      </c>
      <c r="N276" s="88" t="str">
        <f aca="false">IF(OR($C276="01-09",$D276="Male",AND(SUM($G276)=0,SUM($I276)=0)),"",SUM($I276)/SUM($G276))</f>
        <v/>
      </c>
      <c r="O276" s="88" t="str">
        <f aca="false">IF(AND(SUM($G276)=0,SUM($J276)=0),"",SUM($J276)/SUM($G276))</f>
        <v/>
      </c>
      <c r="P276" s="88" t="str">
        <f aca="false">IF(OR($C276="01-09",$C276="10-14",$D276="Female",AND(SUM($G276)=0,SUM($K276)=0)),"",SUM($K276)/SUM($G276))</f>
        <v/>
      </c>
      <c r="Q276" s="88"/>
      <c r="R276" s="88"/>
      <c r="S276" s="88"/>
      <c r="T276" s="88"/>
      <c r="U276" s="88"/>
      <c r="V276" s="88" t="str">
        <f aca="false">IF(SUM($G276)=0,"",SUM($M276:$U276))</f>
        <v/>
      </c>
      <c r="W276" s="88"/>
      <c r="X276" s="39" t="str">
        <f aca="false">IF(OR(SUM($G276)=0,SUM($Q276)=0),"",ROUND(SUM($G276)*SUM($Q276),0))</f>
        <v/>
      </c>
      <c r="Y276" s="39" t="str">
        <f aca="false">IF(SUM($X276)=0,"",IF(SUM($W276)=0,"ENTER YIELD",ROUND($X276/$W276,0)-$X276))</f>
        <v/>
      </c>
      <c r="Z276" s="88"/>
      <c r="AA276" s="39" t="str">
        <f aca="false">IF(OR(SUM($G276)=0,SUM($R276)=0),"",ROUND(SUM($G276)*SUM($R276),0))</f>
        <v/>
      </c>
      <c r="AB276" s="39" t="str">
        <f aca="false">IF(SUM($AA276)=0,"",IF(SUM($Z276)=0,"ENTER YIELD",ROUND($AA276/$Z276,0)-$AA276))</f>
        <v/>
      </c>
      <c r="AC276" s="88"/>
      <c r="AD276" s="39" t="str">
        <f aca="false">IF(OR(SUM($G276)=0,SUM($S276)=0),"",ROUND(SUM($G276)*SUM($S276),0))</f>
        <v/>
      </c>
      <c r="AE276" s="39" t="str">
        <f aca="false">IF(SUM($AD276)=0,"",IF(SUM($AC276)=0,"ENTER YIELD",ROUND($AD276/$AC276,0)-$AD276))</f>
        <v/>
      </c>
      <c r="AF276" s="88"/>
      <c r="AG276" s="39" t="str">
        <f aca="false">IF(OR(SUM($G276)=0,SUM($T276)=0),"",ROUND(SUM($G276)*SUM($T276),0))</f>
        <v/>
      </c>
      <c r="AH276" s="39" t="str">
        <f aca="false">IF(SUM($AG276)=0,"",IF(SUM($AF276)=0,"ENTER YIELD",ROUND($AG276/$AF276,0)-$AG276))</f>
        <v/>
      </c>
      <c r="AI276" s="88"/>
      <c r="AJ276" s="39" t="str">
        <f aca="false">IF(OR(SUM($G276)=0,SUM($U276)=0),"",ROUND(SUM($G276)*SUM($U276),0))</f>
        <v/>
      </c>
      <c r="AK276" s="39" t="str">
        <f aca="false">IF(SUM($AJ276)=0,"",IF(SUM($AI276)=0,"ENTER YIELD",ROUND($AJ276/$AI276,0)-$AJ276))</f>
        <v/>
      </c>
      <c r="AL276" s="10" t="str">
        <f aca="false">IF(SUM($G276)=0,"",$G276)</f>
        <v/>
      </c>
      <c r="AM276" s="10" t="str">
        <f aca="false">IFERROR(1/(1/SUM($H276:$K276,$X276,$AA276,$AD276,$AG276,$AJ276)),"")</f>
        <v/>
      </c>
      <c r="AN276" s="10" t="str">
        <f aca="false">IF(AND(SUM($AM276)=0,SUM($AL276)=0),"",$AM276-$AL276)</f>
        <v/>
      </c>
      <c r="AO276" s="10" t="str">
        <f aca="false">IF(OR($C276="01-09",$D276="Male"),"",INDEX(PMTCT!$AD:$AD,MATCH($E276,PMTCT!$E:$E,0)))</f>
        <v/>
      </c>
      <c r="AP276" s="10" t="str">
        <f aca="false">IF(OR($C276="01-09",$D276="Male"),"",INDEX(PMTCT!$AT:$AT,MATCH($E276,PMTCT!$E:$E,0)))</f>
        <v/>
      </c>
      <c r="AQ276" s="10" t="str">
        <f aca="false">INDEX(TB!$Q:$Q,MATCH($E276,TB!$E:$E,0))</f>
        <v/>
      </c>
      <c r="AR276" s="10" t="str">
        <f aca="false">IF(OR($C276="01-09",$C276="10-14",$D276="Female"),"",INDEX(VMMC!$AB:$AB,MATCH($E276,VMMC!$E:$E,0)))</f>
        <v/>
      </c>
      <c r="AS276" s="10" t="str">
        <f aca="false">IF(OR($C276="01-09",$C276="10-14"),"",INDEX(PrEP!$Q:$Q,MATCH($E276,PrEP!$E:$E,0)))</f>
        <v/>
      </c>
      <c r="AT276" s="10" t="str">
        <f aca="false">IFERROR(1/(1/SUM($Y276,$AB276,$AE276,$AH276,$AK276,$AO276:$AS276)),"")</f>
        <v/>
      </c>
      <c r="AU276" s="10" t="str">
        <f aca="false">IFERROR(1/(1/SUM($AT276,$AM276)),"")</f>
        <v/>
      </c>
      <c r="AV276" s="88" t="str">
        <f aca="false">IF(AND(SUM($AM276)=0,SUM($AU276)=0),"",$AM276/$AU276)</f>
        <v/>
      </c>
      <c r="AW276" s="10"/>
      <c r="AX276" s="88" t="str">
        <f aca="false">IF(OR($C276="01-09",SUM($AW276)=0),"",0%)</f>
        <v/>
      </c>
      <c r="AY276" s="39" t="str">
        <f aca="false">IF(OR($C276="01-09",SUM($AW276)=0),"",ROUND($AW276*(1+$AX276),0))</f>
        <v/>
      </c>
      <c r="AZ276" s="88" t="n">
        <f aca="false">IF(OR($C276="01-09",$C276="10-14"),"",100%)</f>
        <v>1</v>
      </c>
      <c r="BA276" s="39" t="str">
        <f aca="false">IF(OR(SUM($AM276)=0,$C276="01-09",$C276="10-14"),"",$AM276*$AZ276)</f>
        <v/>
      </c>
    </row>
    <row r="277" customFormat="false" ht="15" hidden="false" customHeight="false" outlineLevel="0" collapsed="false">
      <c r="A277" s="0" t="str">
        <f aca="false">INDEX(Prioritization!$D:$D,MATCH($B277,Prioritization!$A:$A,0))</f>
        <v>INVALID</v>
      </c>
      <c r="B277" s="0" t="s">
        <v>215</v>
      </c>
      <c r="C277" s="0" t="s">
        <v>368</v>
      </c>
      <c r="D277" s="0" t="s">
        <v>30</v>
      </c>
      <c r="E277" s="0" t="str">
        <f aca="false">$B277&amp;"|"&amp;$C277&amp;"|"&amp;$D277</f>
        <v>Mangochi District [lLDyBx5XyUi]|50+|Female</v>
      </c>
      <c r="F277" s="88" t="n">
        <f aca="false">IF(LEFT($B277,4)="_Mil","",INDEX(Cascade!$AA:$AA,MATCH($E277,Cascade!$E:$E,0)))</f>
        <v>596</v>
      </c>
      <c r="G277" s="10" t="n">
        <f aca="false">INDEX(Cascade!$BH:$BH,MATCH($E277,Cascade!$E:$E,0))</f>
        <v>0</v>
      </c>
      <c r="H277" s="10" t="str">
        <f aca="false">IF(OR($C277="01-09",$D277="Male"),"",INDEX(PMTCT!$AC:$AC,MATCH($E277,PMTCT!$E:$E,0)))</f>
        <v/>
      </c>
      <c r="I277" s="10" t="str">
        <f aca="false">IF(OR($C277="01-09",$D277="Male"),"",INDEX(PMTCT!$AS:$AS,MATCH($E277,PMTCT!$E:$E,0)))</f>
        <v/>
      </c>
      <c r="J277" s="10" t="str">
        <f aca="false">INDEX(TB!$P:$P,MATCH($E277,TB!$E:$E,0))</f>
        <v/>
      </c>
      <c r="K277" s="10" t="str">
        <f aca="false">IF(OR($C277="01-09",$C277="10-14",$D277="Female"),"",INDEX(VMMC!$AA:$AA,MATCH($E277,VMMC!$E:$E,0)))</f>
        <v/>
      </c>
      <c r="L277" s="10" t="n">
        <f aca="false">SUM($G277)-SUM($H277:$K277)</f>
        <v>0</v>
      </c>
      <c r="M277" s="88" t="str">
        <f aca="false">IF(OR($C277="01-09",$D277="Male",AND(SUM($G277)=0,SUM($H277)=0)),"",SUM($H277)/SUM($G277))</f>
        <v/>
      </c>
      <c r="N277" s="88" t="str">
        <f aca="false">IF(OR($C277="01-09",$D277="Male",AND(SUM($G277)=0,SUM($I277)=0)),"",SUM($I277)/SUM($G277))</f>
        <v/>
      </c>
      <c r="O277" s="88" t="str">
        <f aca="false">IF(AND(SUM($G277)=0,SUM($J277)=0),"",SUM($J277)/SUM($G277))</f>
        <v/>
      </c>
      <c r="P277" s="88" t="str">
        <f aca="false">IF(OR($C277="01-09",$C277="10-14",$D277="Female",AND(SUM($G277)=0,SUM($K277)=0)),"",SUM($K277)/SUM($G277))</f>
        <v/>
      </c>
      <c r="Q277" s="88"/>
      <c r="R277" s="88"/>
      <c r="S277" s="88"/>
      <c r="T277" s="88"/>
      <c r="U277" s="88" t="n">
        <v>0.827406325843185</v>
      </c>
      <c r="V277" s="88" t="str">
        <f aca="false">IF(SUM($G277)=0,"",SUM($M277:$U277))</f>
        <v/>
      </c>
      <c r="W277" s="88"/>
      <c r="X277" s="39" t="str">
        <f aca="false">IF(OR(SUM($G277)=0,SUM($Q277)=0),"",ROUND(SUM($G277)*SUM($Q277),0))</f>
        <v/>
      </c>
      <c r="Y277" s="39" t="str">
        <f aca="false">IF(SUM($X277)=0,"",IF(SUM($W277)=0,"ENTER YIELD",ROUND($X277/$W277,0)-$X277))</f>
        <v/>
      </c>
      <c r="Z277" s="88"/>
      <c r="AA277" s="39" t="str">
        <f aca="false">IF(OR(SUM($G277)=0,SUM($R277)=0),"",ROUND(SUM($G277)*SUM($R277),0))</f>
        <v/>
      </c>
      <c r="AB277" s="39" t="str">
        <f aca="false">IF(SUM($AA277)=0,"",IF(SUM($Z277)=0,"ENTER YIELD",ROUND($AA277/$Z277,0)-$AA277))</f>
        <v/>
      </c>
      <c r="AC277" s="88"/>
      <c r="AD277" s="39" t="str">
        <f aca="false">IF(OR(SUM($G277)=0,SUM($S277)=0),"",ROUND(SUM($G277)*SUM($S277),0))</f>
        <v/>
      </c>
      <c r="AE277" s="39" t="str">
        <f aca="false">IF(SUM($AD277)=0,"",IF(SUM($AC277)=0,"ENTER YIELD",ROUND($AD277/$AC277,0)-$AD277))</f>
        <v/>
      </c>
      <c r="AF277" s="88"/>
      <c r="AG277" s="39" t="str">
        <f aca="false">IF(OR(SUM($G277)=0,SUM($T277)=0),"",ROUND(SUM($G277)*SUM($T277),0))</f>
        <v/>
      </c>
      <c r="AH277" s="39" t="str">
        <f aca="false">IF(SUM($AG277)=0,"",IF(SUM($AF277)=0,"ENTER YIELD",ROUND($AG277/$AF277,0)-$AG277))</f>
        <v/>
      </c>
      <c r="AI277" s="88" t="n">
        <v>0.632100111106411</v>
      </c>
      <c r="AJ277" s="39" t="str">
        <f aca="false">IF(OR(SUM($G277)=0,SUM($U277)=0),"",ROUND(SUM($G277)*SUM($U277),0))</f>
        <v/>
      </c>
      <c r="AK277" s="39" t="str">
        <f aca="false">IF(SUM($AJ277)=0,"",IF(SUM($AI277)=0,"ENTER YIELD",ROUND($AJ277/$AI277,0)-$AJ277))</f>
        <v/>
      </c>
      <c r="AL277" s="10" t="str">
        <f aca="false">IF(SUM($G277)=0,"",$G277)</f>
        <v/>
      </c>
      <c r="AM277" s="10" t="str">
        <f aca="false">IFERROR(1/(1/SUM($H277:$K277,$X277,$AA277,$AD277,$AG277,$AJ277)),"")</f>
        <v/>
      </c>
      <c r="AN277" s="10" t="str">
        <f aca="false">IF(AND(SUM($AM277)=0,SUM($AL277)=0),"",$AM277-$AL277)</f>
        <v/>
      </c>
      <c r="AO277" s="10" t="str">
        <f aca="false">IF(OR($C277="01-09",$D277="Male"),"",INDEX(PMTCT!$AD:$AD,MATCH($E277,PMTCT!$E:$E,0)))</f>
        <v/>
      </c>
      <c r="AP277" s="10" t="str">
        <f aca="false">IF(OR($C277="01-09",$D277="Male"),"",INDEX(PMTCT!$AT:$AT,MATCH($E277,PMTCT!$E:$E,0)))</f>
        <v/>
      </c>
      <c r="AQ277" s="10" t="str">
        <f aca="false">INDEX(TB!$Q:$Q,MATCH($E277,TB!$E:$E,0))</f>
        <v/>
      </c>
      <c r="AR277" s="10" t="str">
        <f aca="false">IF(OR($C277="01-09",$C277="10-14",$D277="Female"),"",INDEX(VMMC!$AB:$AB,MATCH($E277,VMMC!$E:$E,0)))</f>
        <v/>
      </c>
      <c r="AS277" s="10" t="str">
        <f aca="false">IF(OR($C277="01-09",$C277="10-14"),"",INDEX(PrEP!$Q:$Q,MATCH($E277,PrEP!$E:$E,0)))</f>
        <v/>
      </c>
      <c r="AT277" s="10" t="str">
        <f aca="false">IFERROR(1/(1/SUM($Y277,$AB277,$AE277,$AH277,$AK277,$AO277:$AS277)),"")</f>
        <v/>
      </c>
      <c r="AU277" s="10" t="str">
        <f aca="false">IFERROR(1/(1/SUM($AT277,$AM277)),"")</f>
        <v/>
      </c>
      <c r="AV277" s="88" t="str">
        <f aca="false">IF(AND(SUM($AM277)=0,SUM($AU277)=0),"",$AM277/$AU277)</f>
        <v/>
      </c>
      <c r="AW277" s="10" t="n">
        <v>78</v>
      </c>
      <c r="AX277" s="88" t="n">
        <f aca="false">IF(OR($C277="01-09",SUM($AW277)=0),"",0%)</f>
        <v>0</v>
      </c>
      <c r="AY277" s="39" t="n">
        <f aca="false">IF(OR($C277="01-09",SUM($AW277)=0),"",ROUND($AW277*(1+$AX277),0))</f>
        <v>78</v>
      </c>
      <c r="AZ277" s="88" t="n">
        <f aca="false">IF(OR($C277="01-09",$C277="10-14"),"",100%)</f>
        <v>1</v>
      </c>
      <c r="BA277" s="39" t="str">
        <f aca="false">IF(OR(SUM($AM277)=0,$C277="01-09",$C277="10-14"),"",$AM277*$AZ277)</f>
        <v/>
      </c>
    </row>
    <row r="278" customFormat="false" ht="15" hidden="false" customHeight="false" outlineLevel="0" collapsed="false">
      <c r="A278" s="0" t="str">
        <f aca="false">INDEX(Prioritization!$D:$D,MATCH($B278,Prioritization!$A:$A,0))</f>
        <v>INVALID</v>
      </c>
      <c r="B278" s="0" t="s">
        <v>215</v>
      </c>
      <c r="C278" s="0" t="s">
        <v>368</v>
      </c>
      <c r="D278" s="0" t="s">
        <v>48</v>
      </c>
      <c r="E278" s="0" t="str">
        <f aca="false">$B278&amp;"|"&amp;$C278&amp;"|"&amp;$D278</f>
        <v>Mangochi District [lLDyBx5XyUi]|50+|Male</v>
      </c>
      <c r="F278" s="88" t="n">
        <f aca="false">IF(LEFT($B278,4)="_Mil","",INDEX(Cascade!$AA:$AA,MATCH($E278,Cascade!$E:$E,0)))</f>
        <v>1818</v>
      </c>
      <c r="G278" s="10" t="n">
        <f aca="false">INDEX(Cascade!$BH:$BH,MATCH($E278,Cascade!$E:$E,0))</f>
        <v>0</v>
      </c>
      <c r="H278" s="10" t="str">
        <f aca="false">IF(OR($C278="01-09",$D278="Male"),"",INDEX(PMTCT!$AC:$AC,MATCH($E278,PMTCT!$E:$E,0)))</f>
        <v/>
      </c>
      <c r="I278" s="10" t="str">
        <f aca="false">IF(OR($C278="01-09",$D278="Male"),"",INDEX(PMTCT!$AS:$AS,MATCH($E278,PMTCT!$E:$E,0)))</f>
        <v/>
      </c>
      <c r="J278" s="10" t="str">
        <f aca="false">INDEX(TB!$P:$P,MATCH($E278,TB!$E:$E,0))</f>
        <v/>
      </c>
      <c r="K278" s="10" t="str">
        <f aca="false">IF(OR($C278="01-09",$C278="10-14",$D278="Female"),"",INDEX(VMMC!$AA:$AA,MATCH($E278,VMMC!$E:$E,0)))</f>
        <v/>
      </c>
      <c r="L278" s="10" t="n">
        <f aca="false">SUM($G278)-SUM($H278:$K278)</f>
        <v>0</v>
      </c>
      <c r="M278" s="88" t="str">
        <f aca="false">IF(OR($C278="01-09",$D278="Male",AND(SUM($G278)=0,SUM($H278)=0)),"",SUM($H278)/SUM($G278))</f>
        <v/>
      </c>
      <c r="N278" s="88" t="str">
        <f aca="false">IF(OR($C278="01-09",$D278="Male",AND(SUM($G278)=0,SUM($I278)=0)),"",SUM($I278)/SUM($G278))</f>
        <v/>
      </c>
      <c r="O278" s="88" t="str">
        <f aca="false">IF(AND(SUM($G278)=0,SUM($J278)=0),"",SUM($J278)/SUM($G278))</f>
        <v/>
      </c>
      <c r="P278" s="88" t="str">
        <f aca="false">IF(OR($C278="01-09",$C278="10-14",$D278="Female",AND(SUM($G278)=0,SUM($K278)=0)),"",SUM($K278)/SUM($G278))</f>
        <v/>
      </c>
      <c r="Q278" s="88"/>
      <c r="R278" s="88"/>
      <c r="S278" s="88"/>
      <c r="T278" s="88"/>
      <c r="U278" s="88" t="n">
        <v>0.121593831572682</v>
      </c>
      <c r="V278" s="88" t="str">
        <f aca="false">IF(SUM($G278)=0,"",SUM($M278:$U278))</f>
        <v/>
      </c>
      <c r="W278" s="88"/>
      <c r="X278" s="39" t="str">
        <f aca="false">IF(OR(SUM($G278)=0,SUM($Q278)=0),"",ROUND(SUM($G278)*SUM($Q278),0))</f>
        <v/>
      </c>
      <c r="Y278" s="39" t="str">
        <f aca="false">IF(SUM($X278)=0,"",IF(SUM($W278)=0,"ENTER YIELD",ROUND($X278/$W278,0)-$X278))</f>
        <v/>
      </c>
      <c r="Z278" s="88"/>
      <c r="AA278" s="39" t="str">
        <f aca="false">IF(OR(SUM($G278)=0,SUM($R278)=0),"",ROUND(SUM($G278)*SUM($R278),0))</f>
        <v/>
      </c>
      <c r="AB278" s="39" t="str">
        <f aca="false">IF(SUM($AA278)=0,"",IF(SUM($Z278)=0,"ENTER YIELD",ROUND($AA278/$Z278,0)-$AA278))</f>
        <v/>
      </c>
      <c r="AC278" s="88"/>
      <c r="AD278" s="39" t="str">
        <f aca="false">IF(OR(SUM($G278)=0,SUM($S278)=0),"",ROUND(SUM($G278)*SUM($S278),0))</f>
        <v/>
      </c>
      <c r="AE278" s="39" t="str">
        <f aca="false">IF(SUM($AD278)=0,"",IF(SUM($AC278)=0,"ENTER YIELD",ROUND($AD278/$AC278,0)-$AD278))</f>
        <v/>
      </c>
      <c r="AF278" s="88"/>
      <c r="AG278" s="39" t="str">
        <f aca="false">IF(OR(SUM($G278)=0,SUM($T278)=0),"",ROUND(SUM($G278)*SUM($T278),0))</f>
        <v/>
      </c>
      <c r="AH278" s="39" t="str">
        <f aca="false">IF(SUM($AG278)=0,"",IF(SUM($AF278)=0,"ENTER YIELD",ROUND($AG278/$AF278,0)-$AG278))</f>
        <v/>
      </c>
      <c r="AI278" s="88" t="n">
        <v>0.405436402652413</v>
      </c>
      <c r="AJ278" s="39" t="str">
        <f aca="false">IF(OR(SUM($G278)=0,SUM($U278)=0),"",ROUND(SUM($G278)*SUM($U278),0))</f>
        <v/>
      </c>
      <c r="AK278" s="39" t="str">
        <f aca="false">IF(SUM($AJ278)=0,"",IF(SUM($AI278)=0,"ENTER YIELD",ROUND($AJ278/$AI278,0)-$AJ278))</f>
        <v/>
      </c>
      <c r="AL278" s="10" t="str">
        <f aca="false">IF(SUM($G278)=0,"",$G278)</f>
        <v/>
      </c>
      <c r="AM278" s="10" t="str">
        <f aca="false">IFERROR(1/(1/SUM($H278:$K278,$X278,$AA278,$AD278,$AG278,$AJ278)),"")</f>
        <v/>
      </c>
      <c r="AN278" s="10" t="str">
        <f aca="false">IF(AND(SUM($AM278)=0,SUM($AL278)=0),"",$AM278-$AL278)</f>
        <v/>
      </c>
      <c r="AO278" s="10" t="str">
        <f aca="false">IF(OR($C278="01-09",$D278="Male"),"",INDEX(PMTCT!$AD:$AD,MATCH($E278,PMTCT!$E:$E,0)))</f>
        <v/>
      </c>
      <c r="AP278" s="10" t="str">
        <f aca="false">IF(OR($C278="01-09",$D278="Male"),"",INDEX(PMTCT!$AT:$AT,MATCH($E278,PMTCT!$E:$E,0)))</f>
        <v/>
      </c>
      <c r="AQ278" s="10" t="str">
        <f aca="false">INDEX(TB!$Q:$Q,MATCH($E278,TB!$E:$E,0))</f>
        <v/>
      </c>
      <c r="AR278" s="10" t="str">
        <f aca="false">IF(OR($C278="01-09",$C278="10-14",$D278="Female"),"",INDEX(VMMC!$AB:$AB,MATCH($E278,VMMC!$E:$E,0)))</f>
        <v/>
      </c>
      <c r="AS278" s="10" t="str">
        <f aca="false">IF(OR($C278="01-09",$C278="10-14"),"",INDEX(PrEP!$Q:$Q,MATCH($E278,PrEP!$E:$E,0)))</f>
        <v/>
      </c>
      <c r="AT278" s="10" t="str">
        <f aca="false">IFERROR(1/(1/SUM($Y278,$AB278,$AE278,$AH278,$AK278,$AO278:$AS278)),"")</f>
        <v/>
      </c>
      <c r="AU278" s="10" t="str">
        <f aca="false">IFERROR(1/(1/SUM($AT278,$AM278)),"")</f>
        <v/>
      </c>
      <c r="AV278" s="88" t="str">
        <f aca="false">IF(AND(SUM($AM278)=0,SUM($AU278)=0),"",$AM278/$AU278)</f>
        <v/>
      </c>
      <c r="AW278" s="10" t="n">
        <v>45</v>
      </c>
      <c r="AX278" s="88" t="n">
        <f aca="false">IF(OR($C278="01-09",SUM($AW278)=0),"",0%)</f>
        <v>0</v>
      </c>
      <c r="AY278" s="39" t="n">
        <f aca="false">IF(OR($C278="01-09",SUM($AW278)=0),"",ROUND($AW278*(1+$AX278),0))</f>
        <v>45</v>
      </c>
      <c r="AZ278" s="88" t="n">
        <f aca="false">IF(OR($C278="01-09",$C278="10-14"),"",100%)</f>
        <v>1</v>
      </c>
      <c r="BA278" s="39" t="str">
        <f aca="false">IF(OR(SUM($AM278)=0,$C278="01-09",$C278="10-14"),"",$AM278*$AZ278)</f>
        <v/>
      </c>
    </row>
    <row r="279" customFormat="false" ht="15" hidden="false" customHeight="false" outlineLevel="0" collapsed="false">
      <c r="A279" s="0" t="str">
        <f aca="false">INDEX(Prioritization!$D:$D,MATCH($B279,Prioritization!$A:$A,0))</f>
        <v>INVALID</v>
      </c>
      <c r="B279" s="0" t="s">
        <v>216</v>
      </c>
      <c r="C279" s="0" t="s">
        <v>363</v>
      </c>
      <c r="D279" s="0" t="s">
        <v>30</v>
      </c>
      <c r="E279" s="0" t="str">
        <f aca="false">$B279&amp;"|"&amp;$C279&amp;"|"&amp;$D279</f>
        <v>Mulanje District [umc2n1Z4wNv]|01-09|Female</v>
      </c>
      <c r="F279" s="88" t="n">
        <f aca="false">IF(LEFT($B279,4)="_Mil","",INDEX(Cascade!$AA:$AA,MATCH($E279,Cascade!$E:$E,0)))</f>
        <v>1611</v>
      </c>
      <c r="G279" s="10" t="n">
        <f aca="false">INDEX(Cascade!$BH:$BH,MATCH($E279,Cascade!$E:$E,0))</f>
        <v>0</v>
      </c>
      <c r="H279" s="10" t="str">
        <f aca="false">IF(OR($C279="01-09",$D279="Male"),"",INDEX(PMTCT!$AC:$AC,MATCH($E279,PMTCT!$E:$E,0)))</f>
        <v/>
      </c>
      <c r="I279" s="10" t="str">
        <f aca="false">IF(OR($C279="01-09",$D279="Male"),"",INDEX(PMTCT!$AS:$AS,MATCH($E279,PMTCT!$E:$E,0)))</f>
        <v/>
      </c>
      <c r="J279" s="10" t="str">
        <f aca="false">INDEX(TB!$P:$P,MATCH($E279,TB!$E:$E,0))</f>
        <v/>
      </c>
      <c r="K279" s="10" t="str">
        <f aca="false">IF(OR($C279="01-09",$C279="10-14",$D279="Female"),"",INDEX(VMMC!$AA:$AA,MATCH($E279,VMMC!$E:$E,0)))</f>
        <v/>
      </c>
      <c r="L279" s="10" t="n">
        <f aca="false">SUM($G279)-SUM($H279:$K279)</f>
        <v>0</v>
      </c>
      <c r="M279" s="88" t="str">
        <f aca="false">IF(OR($C279="01-09",$D279="Male",AND(SUM($G279)=0,SUM($H279)=0)),"",SUM($H279)/SUM($G279))</f>
        <v/>
      </c>
      <c r="N279" s="88" t="str">
        <f aca="false">IF(OR($C279="01-09",$D279="Male",AND(SUM($G279)=0,SUM($I279)=0)),"",SUM($I279)/SUM($G279))</f>
        <v/>
      </c>
      <c r="O279" s="88" t="str">
        <f aca="false">IF(AND(SUM($G279)=0,SUM($J279)=0),"",SUM($J279)/SUM($G279))</f>
        <v/>
      </c>
      <c r="P279" s="88" t="str">
        <f aca="false">IF(OR($C279="01-09",$C279="10-14",$D279="Female",AND(SUM($G279)=0,SUM($K279)=0)),"",SUM($K279)/SUM($G279))</f>
        <v/>
      </c>
      <c r="Q279" s="88"/>
      <c r="R279" s="88"/>
      <c r="S279" s="88"/>
      <c r="T279" s="88"/>
      <c r="U279" s="88"/>
      <c r="V279" s="88" t="str">
        <f aca="false">IF(SUM($G279)=0,"",SUM($M279:$U279))</f>
        <v/>
      </c>
      <c r="W279" s="88"/>
      <c r="X279" s="39" t="str">
        <f aca="false">IF(OR(SUM($G279)=0,SUM($Q279)=0),"",ROUND(SUM($G279)*SUM($Q279),0))</f>
        <v/>
      </c>
      <c r="Y279" s="39" t="str">
        <f aca="false">IF(SUM($X279)=0,"",IF(SUM($W279)=0,"ENTER YIELD",ROUND($X279/$W279,0)-$X279))</f>
        <v/>
      </c>
      <c r="Z279" s="88"/>
      <c r="AA279" s="39" t="str">
        <f aca="false">IF(OR(SUM($G279)=0,SUM($R279)=0),"",ROUND(SUM($G279)*SUM($R279),0))</f>
        <v/>
      </c>
      <c r="AB279" s="39" t="str">
        <f aca="false">IF(SUM($AA279)=0,"",IF(SUM($Z279)=0,"ENTER YIELD",ROUND($AA279/$Z279,0)-$AA279))</f>
        <v/>
      </c>
      <c r="AC279" s="88"/>
      <c r="AD279" s="39" t="str">
        <f aca="false">IF(OR(SUM($G279)=0,SUM($S279)=0),"",ROUND(SUM($G279)*SUM($S279),0))</f>
        <v/>
      </c>
      <c r="AE279" s="39" t="str">
        <f aca="false">IF(SUM($AD279)=0,"",IF(SUM($AC279)=0,"ENTER YIELD",ROUND($AD279/$AC279,0)-$AD279))</f>
        <v/>
      </c>
      <c r="AF279" s="88"/>
      <c r="AG279" s="39" t="str">
        <f aca="false">IF(OR(SUM($G279)=0,SUM($T279)=0),"",ROUND(SUM($G279)*SUM($T279),0))</f>
        <v/>
      </c>
      <c r="AH279" s="39" t="str">
        <f aca="false">IF(SUM($AG279)=0,"",IF(SUM($AF279)=0,"ENTER YIELD",ROUND($AG279/$AF279,0)-$AG279))</f>
        <v/>
      </c>
      <c r="AI279" s="88"/>
      <c r="AJ279" s="39" t="str">
        <f aca="false">IF(OR(SUM($G279)=0,SUM($U279)=0),"",ROUND(SUM($G279)*SUM($U279),0))</f>
        <v/>
      </c>
      <c r="AK279" s="39" t="str">
        <f aca="false">IF(SUM($AJ279)=0,"",IF(SUM($AI279)=0,"ENTER YIELD",ROUND($AJ279/$AI279,0)-$AJ279))</f>
        <v/>
      </c>
      <c r="AL279" s="10" t="str">
        <f aca="false">IF(SUM($G279)=0,"",$G279)</f>
        <v/>
      </c>
      <c r="AM279" s="10" t="str">
        <f aca="false">IFERROR(1/(1/SUM($H279:$K279,$X279,$AA279,$AD279,$AG279,$AJ279)),"")</f>
        <v/>
      </c>
      <c r="AN279" s="10" t="str">
        <f aca="false">IF(AND(SUM($AM279)=0,SUM($AL279)=0),"",$AM279-$AL279)</f>
        <v/>
      </c>
      <c r="AO279" s="10" t="str">
        <f aca="false">IF(OR($C279="01-09",$D279="Male"),"",INDEX(PMTCT!$AD:$AD,MATCH($E279,PMTCT!$E:$E,0)))</f>
        <v/>
      </c>
      <c r="AP279" s="10" t="str">
        <f aca="false">IF(OR($C279="01-09",$D279="Male"),"",INDEX(PMTCT!$AT:$AT,MATCH($E279,PMTCT!$E:$E,0)))</f>
        <v/>
      </c>
      <c r="AQ279" s="10" t="str">
        <f aca="false">INDEX(TB!$Q:$Q,MATCH($E279,TB!$E:$E,0))</f>
        <v/>
      </c>
      <c r="AR279" s="10" t="str">
        <f aca="false">IF(OR($C279="01-09",$C279="10-14",$D279="Female"),"",INDEX(VMMC!$AB:$AB,MATCH($E279,VMMC!$E:$E,0)))</f>
        <v/>
      </c>
      <c r="AS279" s="10" t="str">
        <f aca="false">IF(OR($C279="01-09",$C279="10-14"),"",INDEX(PrEP!$Q:$Q,MATCH($E279,PrEP!$E:$E,0)))</f>
        <v/>
      </c>
      <c r="AT279" s="10" t="str">
        <f aca="false">IFERROR(1/(1/SUM($Y279,$AB279,$AE279,$AH279,$AK279,$AO279:$AS279)),"")</f>
        <v/>
      </c>
      <c r="AU279" s="10" t="str">
        <f aca="false">IFERROR(1/(1/SUM($AT279,$AM279)),"")</f>
        <v/>
      </c>
      <c r="AV279" s="88" t="str">
        <f aca="false">IF(AND(SUM($AM279)=0,SUM($AU279)=0),"",$AM279/$AU279)</f>
        <v/>
      </c>
      <c r="AW279" s="10"/>
      <c r="AX279" s="88" t="str">
        <f aca="false">IF(OR($C279="01-09",SUM($AW279)=0),"",0%)</f>
        <v/>
      </c>
      <c r="AY279" s="39" t="str">
        <f aca="false">IF(OR($C279="01-09",SUM($AW279)=0),"",ROUND($AW279*(1+$AX279),0))</f>
        <v/>
      </c>
      <c r="AZ279" s="88" t="str">
        <f aca="false">IF(OR($C279="01-09",$C279="10-14"),"",100%)</f>
        <v/>
      </c>
      <c r="BA279" s="39" t="str">
        <f aca="false">IF(OR(SUM($AM279)=0,$C279="01-09",$C279="10-14"),"",$AM279*$AZ279)</f>
        <v/>
      </c>
    </row>
    <row r="280" customFormat="false" ht="15" hidden="false" customHeight="false" outlineLevel="0" collapsed="false">
      <c r="A280" s="0" t="str">
        <f aca="false">INDEX(Prioritization!$D:$D,MATCH($B280,Prioritization!$A:$A,0))</f>
        <v>INVALID</v>
      </c>
      <c r="B280" s="0" t="s">
        <v>216</v>
      </c>
      <c r="C280" s="0" t="s">
        <v>363</v>
      </c>
      <c r="D280" s="0" t="s">
        <v>48</v>
      </c>
      <c r="E280" s="0" t="str">
        <f aca="false">$B280&amp;"|"&amp;$C280&amp;"|"&amp;$D280</f>
        <v>Mulanje District [umc2n1Z4wNv]|01-09|Male</v>
      </c>
      <c r="F280" s="88" t="n">
        <f aca="false">IF(LEFT($B280,4)="_Mil","",INDEX(Cascade!$AA:$AA,MATCH($E280,Cascade!$E:$E,0)))</f>
        <v>1664</v>
      </c>
      <c r="G280" s="10" t="n">
        <f aca="false">INDEX(Cascade!$BH:$BH,MATCH($E280,Cascade!$E:$E,0))</f>
        <v>0</v>
      </c>
      <c r="H280" s="10" t="str">
        <f aca="false">IF(OR($C280="01-09",$D280="Male"),"",INDEX(PMTCT!$AC:$AC,MATCH($E280,PMTCT!$E:$E,0)))</f>
        <v/>
      </c>
      <c r="I280" s="10" t="str">
        <f aca="false">IF(OR($C280="01-09",$D280="Male"),"",INDEX(PMTCT!$AS:$AS,MATCH($E280,PMTCT!$E:$E,0)))</f>
        <v/>
      </c>
      <c r="J280" s="10" t="str">
        <f aca="false">INDEX(TB!$P:$P,MATCH($E280,TB!$E:$E,0))</f>
        <v/>
      </c>
      <c r="K280" s="10" t="str">
        <f aca="false">IF(OR($C280="01-09",$C280="10-14",$D280="Female"),"",INDEX(VMMC!$AA:$AA,MATCH($E280,VMMC!$E:$E,0)))</f>
        <v/>
      </c>
      <c r="L280" s="10" t="n">
        <f aca="false">SUM($G280)-SUM($H280:$K280)</f>
        <v>0</v>
      </c>
      <c r="M280" s="88" t="str">
        <f aca="false">IF(OR($C280="01-09",$D280="Male",AND(SUM($G280)=0,SUM($H280)=0)),"",SUM($H280)/SUM($G280))</f>
        <v/>
      </c>
      <c r="N280" s="88" t="str">
        <f aca="false">IF(OR($C280="01-09",$D280="Male",AND(SUM($G280)=0,SUM($I280)=0)),"",SUM($I280)/SUM($G280))</f>
        <v/>
      </c>
      <c r="O280" s="88" t="str">
        <f aca="false">IF(AND(SUM($G280)=0,SUM($J280)=0),"",SUM($J280)/SUM($G280))</f>
        <v/>
      </c>
      <c r="P280" s="88" t="str">
        <f aca="false">IF(OR($C280="01-09",$C280="10-14",$D280="Female",AND(SUM($G280)=0,SUM($K280)=0)),"",SUM($K280)/SUM($G280))</f>
        <v/>
      </c>
      <c r="Q280" s="88"/>
      <c r="R280" s="88"/>
      <c r="S280" s="88"/>
      <c r="T280" s="88"/>
      <c r="U280" s="88"/>
      <c r="V280" s="88" t="str">
        <f aca="false">IF(SUM($G280)=0,"",SUM($M280:$U280))</f>
        <v/>
      </c>
      <c r="W280" s="88"/>
      <c r="X280" s="39" t="str">
        <f aca="false">IF(OR(SUM($G280)=0,SUM($Q280)=0),"",ROUND(SUM($G280)*SUM($Q280),0))</f>
        <v/>
      </c>
      <c r="Y280" s="39" t="str">
        <f aca="false">IF(SUM($X280)=0,"",IF(SUM($W280)=0,"ENTER YIELD",ROUND($X280/$W280,0)-$X280))</f>
        <v/>
      </c>
      <c r="Z280" s="88"/>
      <c r="AA280" s="39" t="str">
        <f aca="false">IF(OR(SUM($G280)=0,SUM($R280)=0),"",ROUND(SUM($G280)*SUM($R280),0))</f>
        <v/>
      </c>
      <c r="AB280" s="39" t="str">
        <f aca="false">IF(SUM($AA280)=0,"",IF(SUM($Z280)=0,"ENTER YIELD",ROUND($AA280/$Z280,0)-$AA280))</f>
        <v/>
      </c>
      <c r="AC280" s="88"/>
      <c r="AD280" s="39" t="str">
        <f aca="false">IF(OR(SUM($G280)=0,SUM($S280)=0),"",ROUND(SUM($G280)*SUM($S280),0))</f>
        <v/>
      </c>
      <c r="AE280" s="39" t="str">
        <f aca="false">IF(SUM($AD280)=0,"",IF(SUM($AC280)=0,"ENTER YIELD",ROUND($AD280/$AC280,0)-$AD280))</f>
        <v/>
      </c>
      <c r="AF280" s="88"/>
      <c r="AG280" s="39" t="str">
        <f aca="false">IF(OR(SUM($G280)=0,SUM($T280)=0),"",ROUND(SUM($G280)*SUM($T280),0))</f>
        <v/>
      </c>
      <c r="AH280" s="39" t="str">
        <f aca="false">IF(SUM($AG280)=0,"",IF(SUM($AF280)=0,"ENTER YIELD",ROUND($AG280/$AF280,0)-$AG280))</f>
        <v/>
      </c>
      <c r="AI280" s="88"/>
      <c r="AJ280" s="39" t="str">
        <f aca="false">IF(OR(SUM($G280)=0,SUM($U280)=0),"",ROUND(SUM($G280)*SUM($U280),0))</f>
        <v/>
      </c>
      <c r="AK280" s="39" t="str">
        <f aca="false">IF(SUM($AJ280)=0,"",IF(SUM($AI280)=0,"ENTER YIELD",ROUND($AJ280/$AI280,0)-$AJ280))</f>
        <v/>
      </c>
      <c r="AL280" s="10" t="str">
        <f aca="false">IF(SUM($G280)=0,"",$G280)</f>
        <v/>
      </c>
      <c r="AM280" s="10" t="str">
        <f aca="false">IFERROR(1/(1/SUM($H280:$K280,$X280,$AA280,$AD280,$AG280,$AJ280)),"")</f>
        <v/>
      </c>
      <c r="AN280" s="10" t="str">
        <f aca="false">IF(AND(SUM($AM280)=0,SUM($AL280)=0),"",$AM280-$AL280)</f>
        <v/>
      </c>
      <c r="AO280" s="10" t="str">
        <f aca="false">IF(OR($C280="01-09",$D280="Male"),"",INDEX(PMTCT!$AD:$AD,MATCH($E280,PMTCT!$E:$E,0)))</f>
        <v/>
      </c>
      <c r="AP280" s="10" t="str">
        <f aca="false">IF(OR($C280="01-09",$D280="Male"),"",INDEX(PMTCT!$AT:$AT,MATCH($E280,PMTCT!$E:$E,0)))</f>
        <v/>
      </c>
      <c r="AQ280" s="10" t="str">
        <f aca="false">INDEX(TB!$Q:$Q,MATCH($E280,TB!$E:$E,0))</f>
        <v/>
      </c>
      <c r="AR280" s="10" t="str">
        <f aca="false">IF(OR($C280="01-09",$C280="10-14",$D280="Female"),"",INDEX(VMMC!$AB:$AB,MATCH($E280,VMMC!$E:$E,0)))</f>
        <v/>
      </c>
      <c r="AS280" s="10" t="str">
        <f aca="false">IF(OR($C280="01-09",$C280="10-14"),"",INDEX(PrEP!$Q:$Q,MATCH($E280,PrEP!$E:$E,0)))</f>
        <v/>
      </c>
      <c r="AT280" s="10" t="str">
        <f aca="false">IFERROR(1/(1/SUM($Y280,$AB280,$AE280,$AH280,$AK280,$AO280:$AS280)),"")</f>
        <v/>
      </c>
      <c r="AU280" s="10" t="str">
        <f aca="false">IFERROR(1/(1/SUM($AT280,$AM280)),"")</f>
        <v/>
      </c>
      <c r="AV280" s="88" t="str">
        <f aca="false">IF(AND(SUM($AM280)=0,SUM($AU280)=0),"",$AM280/$AU280)</f>
        <v/>
      </c>
      <c r="AW280" s="10"/>
      <c r="AX280" s="88" t="str">
        <f aca="false">IF(OR($C280="01-09",SUM($AW280)=0),"",0%)</f>
        <v/>
      </c>
      <c r="AY280" s="39" t="str">
        <f aca="false">IF(OR($C280="01-09",SUM($AW280)=0),"",ROUND($AW280*(1+$AX280),0))</f>
        <v/>
      </c>
      <c r="AZ280" s="88" t="str">
        <f aca="false">IF(OR($C280="01-09",$C280="10-14"),"",100%)</f>
        <v/>
      </c>
      <c r="BA280" s="39" t="str">
        <f aca="false">IF(OR(SUM($AM280)=0,$C280="01-09",$C280="10-14"),"",$AM280*$AZ280)</f>
        <v/>
      </c>
    </row>
    <row r="281" customFormat="false" ht="15" hidden="false" customHeight="false" outlineLevel="0" collapsed="false">
      <c r="A281" s="0" t="str">
        <f aca="false">INDEX(Prioritization!$D:$D,MATCH($B281,Prioritization!$A:$A,0))</f>
        <v>INVALID</v>
      </c>
      <c r="B281" s="0" t="s">
        <v>216</v>
      </c>
      <c r="C281" s="0" t="s">
        <v>364</v>
      </c>
      <c r="D281" s="0" t="s">
        <v>30</v>
      </c>
      <c r="E281" s="0" t="str">
        <f aca="false">$B281&amp;"|"&amp;$C281&amp;"|"&amp;$D281</f>
        <v>Mulanje District [umc2n1Z4wNv]|10-14|Female</v>
      </c>
      <c r="F281" s="88" t="n">
        <f aca="false">IF(LEFT($B281,4)="_Mil","",INDEX(Cascade!$AA:$AA,MATCH($E281,Cascade!$E:$E,0)))</f>
        <v>1670</v>
      </c>
      <c r="G281" s="10" t="n">
        <f aca="false">INDEX(Cascade!$BH:$BH,MATCH($E281,Cascade!$E:$E,0))</f>
        <v>-762</v>
      </c>
      <c r="H281" s="10" t="n">
        <f aca="false">IF(OR($C281="01-09",$D281="Male"),"",INDEX(PMTCT!$AC:$AC,MATCH($E281,PMTCT!$E:$E,0)))</f>
        <v>5</v>
      </c>
      <c r="I281" s="10" t="str">
        <f aca="false">IF(OR($C281="01-09",$D281="Male"),"",INDEX(PMTCT!$AS:$AS,MATCH($E281,PMTCT!$E:$E,0)))</f>
        <v/>
      </c>
      <c r="J281" s="10" t="str">
        <f aca="false">INDEX(TB!$P:$P,MATCH($E281,TB!$E:$E,0))</f>
        <v/>
      </c>
      <c r="K281" s="10" t="str">
        <f aca="false">IF(OR($C281="01-09",$C281="10-14",$D281="Female"),"",INDEX(VMMC!$AA:$AA,MATCH($E281,VMMC!$E:$E,0)))</f>
        <v/>
      </c>
      <c r="L281" s="10" t="n">
        <f aca="false">SUM($G281)-SUM($H281:$K281)</f>
        <v>-767</v>
      </c>
      <c r="M281" s="88" t="n">
        <f aca="false">IF(OR($C281="01-09",$D281="Male",AND(SUM($G281)=0,SUM($H281)=0)),"",SUM($H281)/SUM($G281))</f>
        <v>-0.00656167979002625</v>
      </c>
      <c r="N281" s="88" t="n">
        <f aca="false">IF(OR($C281="01-09",$D281="Male",AND(SUM($G281)=0,SUM($I281)=0)),"",SUM($I281)/SUM($G281))</f>
        <v>-0</v>
      </c>
      <c r="O281" s="88" t="n">
        <f aca="false">IF(AND(SUM($G281)=0,SUM($J281)=0),"",SUM($J281)/SUM($G281))</f>
        <v>-0</v>
      </c>
      <c r="P281" s="88" t="str">
        <f aca="false">IF(OR($C281="01-09",$C281="10-14",$D281="Female",AND(SUM($G281)=0,SUM($K281)=0)),"",SUM($K281)/SUM($G281))</f>
        <v/>
      </c>
      <c r="Q281" s="88" t="n">
        <v>0.854545394191518</v>
      </c>
      <c r="R281" s="88"/>
      <c r="S281" s="88"/>
      <c r="T281" s="88"/>
      <c r="U281" s="88" t="n">
        <v>0.277583951596171</v>
      </c>
      <c r="V281" s="88" t="n">
        <f aca="false">IF(SUM($G281)=0,"",SUM($M281:$U281))</f>
        <v>1.12556766599766</v>
      </c>
      <c r="W281" s="88"/>
      <c r="X281" s="39" t="n">
        <f aca="false">IF(OR(SUM($G281)=0,SUM($Q281)=0),"",ROUND(SUM($G281)*SUM($Q281),0))</f>
        <v>-651</v>
      </c>
      <c r="Y281" s="39" t="str">
        <f aca="false">IF(SUM($X281)=0,"",IF(SUM($W281)=0,"ENTER YIELD",ROUND($X281/$W281,0)-$X281))</f>
        <v>ENTER YIELD</v>
      </c>
      <c r="Z281" s="88"/>
      <c r="AA281" s="39" t="str">
        <f aca="false">IF(OR(SUM($G281)=0,SUM($R281)=0),"",ROUND(SUM($G281)*SUM($R281),0))</f>
        <v/>
      </c>
      <c r="AB281" s="39" t="str">
        <f aca="false">IF(SUM($AA281)=0,"",IF(SUM($Z281)=0,"ENTER YIELD",ROUND($AA281/$Z281,0)-$AA281))</f>
        <v/>
      </c>
      <c r="AC281" s="88"/>
      <c r="AD281" s="39" t="str">
        <f aca="false">IF(OR(SUM($G281)=0,SUM($S281)=0),"",ROUND(SUM($G281)*SUM($S281),0))</f>
        <v/>
      </c>
      <c r="AE281" s="39" t="str">
        <f aca="false">IF(SUM($AD281)=0,"",IF(SUM($AC281)=0,"ENTER YIELD",ROUND($AD281/$AC281,0)-$AD281))</f>
        <v/>
      </c>
      <c r="AF281" s="88"/>
      <c r="AG281" s="39" t="str">
        <f aca="false">IF(OR(SUM($G281)=0,SUM($T281)=0),"",ROUND(SUM($G281)*SUM($T281),0))</f>
        <v/>
      </c>
      <c r="AH281" s="39" t="str">
        <f aca="false">IF(SUM($AG281)=0,"",IF(SUM($AF281)=0,"ENTER YIELD",ROUND($AG281/$AF281,0)-$AG281))</f>
        <v/>
      </c>
      <c r="AI281" s="88" t="n">
        <v>0.373539466410875</v>
      </c>
      <c r="AJ281" s="39" t="n">
        <f aca="false">IF(OR(SUM($G281)=0,SUM($U281)=0),"",ROUND(SUM($G281)*SUM($U281),0))</f>
        <v>-212</v>
      </c>
      <c r="AK281" s="39" t="n">
        <f aca="false">IF(SUM($AJ281)=0,"",IF(SUM($AI281)=0,"ENTER YIELD",ROUND($AJ281/$AI281,0)-$AJ281))</f>
        <v>-356</v>
      </c>
      <c r="AL281" s="10" t="n">
        <f aca="false">IF(SUM($G281)=0,"",$G281)</f>
        <v>-762</v>
      </c>
      <c r="AM281" s="10" t="n">
        <f aca="false">IFERROR(1/(1/SUM($H281:$K281,$X281,$AA281,$AD281,$AG281,$AJ281)),"")</f>
        <v>-858</v>
      </c>
      <c r="AN281" s="10" t="n">
        <f aca="false">IF(AND(SUM($AM281)=0,SUM($AL281)=0),"",$AM281-$AL281)</f>
        <v>-96</v>
      </c>
      <c r="AO281" s="10" t="n">
        <f aca="false">IF(OR($C281="01-09",$D281="Male"),"",INDEX(PMTCT!$AD:$AD,MATCH($E281,PMTCT!$E:$E,0)))</f>
        <v>0</v>
      </c>
      <c r="AP281" s="10" t="str">
        <f aca="false">IF(OR($C281="01-09",$D281="Male"),"",INDEX(PMTCT!$AT:$AT,MATCH($E281,PMTCT!$E:$E,0)))</f>
        <v/>
      </c>
      <c r="AQ281" s="10" t="str">
        <f aca="false">INDEX(TB!$Q:$Q,MATCH($E281,TB!$E:$E,0))</f>
        <v/>
      </c>
      <c r="AR281" s="10" t="str">
        <f aca="false">IF(OR($C281="01-09",$C281="10-14",$D281="Female"),"",INDEX(VMMC!$AB:$AB,MATCH($E281,VMMC!$E:$E,0)))</f>
        <v/>
      </c>
      <c r="AS281" s="10" t="str">
        <f aca="false">IF(OR($C281="01-09",$C281="10-14"),"",INDEX(PrEP!$Q:$Q,MATCH($E281,PrEP!$E:$E,0)))</f>
        <v/>
      </c>
      <c r="AT281" s="10" t="n">
        <f aca="false">IFERROR(1/(1/SUM($Y281,$AB281,$AE281,$AH281,$AK281,$AO281:$AS281)),"")</f>
        <v>-356</v>
      </c>
      <c r="AU281" s="10" t="n">
        <f aca="false">IFERROR(1/(1/SUM($AT281,$AM281)),"")</f>
        <v>-1214</v>
      </c>
      <c r="AV281" s="88" t="n">
        <f aca="false">IF(AND(SUM($AM281)=0,SUM($AU281)=0),"",$AM281/$AU281)</f>
        <v>0.706754530477759</v>
      </c>
      <c r="AW281" s="10"/>
      <c r="AX281" s="88" t="str">
        <f aca="false">IF(OR($C281="01-09",SUM($AW281)=0),"",0%)</f>
        <v/>
      </c>
      <c r="AY281" s="39" t="str">
        <f aca="false">IF(OR($C281="01-09",SUM($AW281)=0),"",ROUND($AW281*(1+$AX281),0))</f>
        <v/>
      </c>
      <c r="AZ281" s="88" t="str">
        <f aca="false">IF(OR($C281="01-09",$C281="10-14"),"",100%)</f>
        <v/>
      </c>
      <c r="BA281" s="39" t="str">
        <f aca="false">IF(OR(SUM($AM281)=0,$C281="01-09",$C281="10-14"),"",$AM281*$AZ281)</f>
        <v/>
      </c>
    </row>
    <row r="282" customFormat="false" ht="15" hidden="false" customHeight="false" outlineLevel="0" collapsed="false">
      <c r="A282" s="0" t="str">
        <f aca="false">INDEX(Prioritization!$D:$D,MATCH($B282,Prioritization!$A:$A,0))</f>
        <v>INVALID</v>
      </c>
      <c r="B282" s="0" t="s">
        <v>216</v>
      </c>
      <c r="C282" s="0" t="s">
        <v>364</v>
      </c>
      <c r="D282" s="0" t="s">
        <v>48</v>
      </c>
      <c r="E282" s="0" t="str">
        <f aca="false">$B282&amp;"|"&amp;$C282&amp;"|"&amp;$D282</f>
        <v>Mulanje District [umc2n1Z4wNv]|10-14|Male</v>
      </c>
      <c r="F282" s="88" t="n">
        <f aca="false">IF(LEFT($B282,4)="_Mil","",INDEX(Cascade!$AA:$AA,MATCH($E282,Cascade!$E:$E,0)))</f>
        <v>692</v>
      </c>
      <c r="G282" s="10" t="n">
        <f aca="false">INDEX(Cascade!$BH:$BH,MATCH($E282,Cascade!$E:$E,0))</f>
        <v>-94</v>
      </c>
      <c r="H282" s="10" t="str">
        <f aca="false">IF(OR($C282="01-09",$D282="Male"),"",INDEX(PMTCT!$AC:$AC,MATCH($E282,PMTCT!$E:$E,0)))</f>
        <v/>
      </c>
      <c r="I282" s="10" t="str">
        <f aca="false">IF(OR($C282="01-09",$D282="Male"),"",INDEX(PMTCT!$AS:$AS,MATCH($E282,PMTCT!$E:$E,0)))</f>
        <v/>
      </c>
      <c r="J282" s="10" t="str">
        <f aca="false">INDEX(TB!$P:$P,MATCH($E282,TB!$E:$E,0))</f>
        <v/>
      </c>
      <c r="K282" s="10" t="str">
        <f aca="false">IF(OR($C282="01-09",$C282="10-14",$D282="Female"),"",INDEX(VMMC!$AA:$AA,MATCH($E282,VMMC!$E:$E,0)))</f>
        <v/>
      </c>
      <c r="L282" s="10" t="n">
        <f aca="false">SUM($G282)-SUM($H282:$K282)</f>
        <v>-94</v>
      </c>
      <c r="M282" s="88" t="str">
        <f aca="false">IF(OR($C282="01-09",$D282="Male",AND(SUM($G282)=0,SUM($H282)=0)),"",SUM($H282)/SUM($G282))</f>
        <v/>
      </c>
      <c r="N282" s="88" t="str">
        <f aca="false">IF(OR($C282="01-09",$D282="Male",AND(SUM($G282)=0,SUM($I282)=0)),"",SUM($I282)/SUM($G282))</f>
        <v/>
      </c>
      <c r="O282" s="88" t="n">
        <f aca="false">IF(AND(SUM($G282)=0,SUM($J282)=0),"",SUM($J282)/SUM($G282))</f>
        <v>-0</v>
      </c>
      <c r="P282" s="88" t="str">
        <f aca="false">IF(OR($C282="01-09",$C282="10-14",$D282="Female",AND(SUM($G282)=0,SUM($K282)=0)),"",SUM($K282)/SUM($G282))</f>
        <v/>
      </c>
      <c r="Q282" s="88" t="n">
        <v>0.937591406516731</v>
      </c>
      <c r="R282" s="88"/>
      <c r="S282" s="88"/>
      <c r="T282" s="88"/>
      <c r="U282" s="88" t="n">
        <v>0.628363591618836</v>
      </c>
      <c r="V282" s="88" t="n">
        <f aca="false">IF(SUM($G282)=0,"",SUM($M282:$U282))</f>
        <v>1.56595499813557</v>
      </c>
      <c r="W282" s="88"/>
      <c r="X282" s="39" t="n">
        <f aca="false">IF(OR(SUM($G282)=0,SUM($Q282)=0),"",ROUND(SUM($G282)*SUM($Q282),0))</f>
        <v>-88</v>
      </c>
      <c r="Y282" s="39" t="str">
        <f aca="false">IF(SUM($X282)=0,"",IF(SUM($W282)=0,"ENTER YIELD",ROUND($X282/$W282,0)-$X282))</f>
        <v>ENTER YIELD</v>
      </c>
      <c r="Z282" s="88"/>
      <c r="AA282" s="39" t="str">
        <f aca="false">IF(OR(SUM($G282)=0,SUM($R282)=0),"",ROUND(SUM($G282)*SUM($R282),0))</f>
        <v/>
      </c>
      <c r="AB282" s="39" t="str">
        <f aca="false">IF(SUM($AA282)=0,"",IF(SUM($Z282)=0,"ENTER YIELD",ROUND($AA282/$Z282,0)-$AA282))</f>
        <v/>
      </c>
      <c r="AC282" s="88"/>
      <c r="AD282" s="39" t="str">
        <f aca="false">IF(OR(SUM($G282)=0,SUM($S282)=0),"",ROUND(SUM($G282)*SUM($S282),0))</f>
        <v/>
      </c>
      <c r="AE282" s="39" t="str">
        <f aca="false">IF(SUM($AD282)=0,"",IF(SUM($AC282)=0,"ENTER YIELD",ROUND($AD282/$AC282,0)-$AD282))</f>
        <v/>
      </c>
      <c r="AF282" s="88"/>
      <c r="AG282" s="39" t="str">
        <f aca="false">IF(OR(SUM($G282)=0,SUM($T282)=0),"",ROUND(SUM($G282)*SUM($T282),0))</f>
        <v/>
      </c>
      <c r="AH282" s="39" t="str">
        <f aca="false">IF(SUM($AG282)=0,"",IF(SUM($AF282)=0,"ENTER YIELD",ROUND($AG282/$AF282,0)-$AG282))</f>
        <v/>
      </c>
      <c r="AI282" s="88" t="n">
        <v>0.566848472459242</v>
      </c>
      <c r="AJ282" s="39" t="n">
        <f aca="false">IF(OR(SUM($G282)=0,SUM($U282)=0),"",ROUND(SUM($G282)*SUM($U282),0))</f>
        <v>-59</v>
      </c>
      <c r="AK282" s="39" t="n">
        <f aca="false">IF(SUM($AJ282)=0,"",IF(SUM($AI282)=0,"ENTER YIELD",ROUND($AJ282/$AI282,0)-$AJ282))</f>
        <v>-45</v>
      </c>
      <c r="AL282" s="10" t="n">
        <f aca="false">IF(SUM($G282)=0,"",$G282)</f>
        <v>-94</v>
      </c>
      <c r="AM282" s="10" t="n">
        <f aca="false">IFERROR(1/(1/SUM($H282:$K282,$X282,$AA282,$AD282,$AG282,$AJ282)),"")</f>
        <v>-147</v>
      </c>
      <c r="AN282" s="10" t="n">
        <f aca="false">IF(AND(SUM($AM282)=0,SUM($AL282)=0),"",$AM282-$AL282)</f>
        <v>-53</v>
      </c>
      <c r="AO282" s="10" t="str">
        <f aca="false">IF(OR($C282="01-09",$D282="Male"),"",INDEX(PMTCT!$AD:$AD,MATCH($E282,PMTCT!$E:$E,0)))</f>
        <v/>
      </c>
      <c r="AP282" s="10" t="str">
        <f aca="false">IF(OR($C282="01-09",$D282="Male"),"",INDEX(PMTCT!$AT:$AT,MATCH($E282,PMTCT!$E:$E,0)))</f>
        <v/>
      </c>
      <c r="AQ282" s="10" t="str">
        <f aca="false">INDEX(TB!$Q:$Q,MATCH($E282,TB!$E:$E,0))</f>
        <v/>
      </c>
      <c r="AR282" s="10" t="str">
        <f aca="false">IF(OR($C282="01-09",$C282="10-14",$D282="Female"),"",INDEX(VMMC!$AB:$AB,MATCH($E282,VMMC!$E:$E,0)))</f>
        <v/>
      </c>
      <c r="AS282" s="10" t="str">
        <f aca="false">IF(OR($C282="01-09",$C282="10-14"),"",INDEX(PrEP!$Q:$Q,MATCH($E282,PrEP!$E:$E,0)))</f>
        <v/>
      </c>
      <c r="AT282" s="10" t="n">
        <f aca="false">IFERROR(1/(1/SUM($Y282,$AB282,$AE282,$AH282,$AK282,$AO282:$AS282)),"")</f>
        <v>-45</v>
      </c>
      <c r="AU282" s="10" t="n">
        <f aca="false">IFERROR(1/(1/SUM($AT282,$AM282)),"")</f>
        <v>-192</v>
      </c>
      <c r="AV282" s="88" t="n">
        <f aca="false">IF(AND(SUM($AM282)=0,SUM($AU282)=0),"",$AM282/$AU282)</f>
        <v>0.765625</v>
      </c>
      <c r="AW282" s="10"/>
      <c r="AX282" s="88" t="str">
        <f aca="false">IF(OR($C282="01-09",SUM($AW282)=0),"",0%)</f>
        <v/>
      </c>
      <c r="AY282" s="39" t="str">
        <f aca="false">IF(OR($C282="01-09",SUM($AW282)=0),"",ROUND($AW282*(1+$AX282),0))</f>
        <v/>
      </c>
      <c r="AZ282" s="88" t="str">
        <f aca="false">IF(OR($C282="01-09",$C282="10-14"),"",100%)</f>
        <v/>
      </c>
      <c r="BA282" s="39" t="str">
        <f aca="false">IF(OR(SUM($AM282)=0,$C282="01-09",$C282="10-14"),"",$AM282*$AZ282)</f>
        <v/>
      </c>
    </row>
    <row r="283" customFormat="false" ht="15" hidden="false" customHeight="false" outlineLevel="0" collapsed="false">
      <c r="A283" s="0" t="str">
        <f aca="false">INDEX(Prioritization!$D:$D,MATCH($B283,Prioritization!$A:$A,0))</f>
        <v>INVALID</v>
      </c>
      <c r="B283" s="0" t="s">
        <v>216</v>
      </c>
      <c r="C283" s="0" t="s">
        <v>365</v>
      </c>
      <c r="D283" s="0" t="s">
        <v>30</v>
      </c>
      <c r="E283" s="0" t="str">
        <f aca="false">$B283&amp;"|"&amp;$C283&amp;"|"&amp;$D283</f>
        <v>Mulanje District [umc2n1Z4wNv]|15-24|Female</v>
      </c>
      <c r="F283" s="88" t="n">
        <f aca="false">IF(LEFT($B283,4)="_Mil","",INDEX(Cascade!$AA:$AA,MATCH($E283,Cascade!$E:$E,0)))</f>
        <v>1660</v>
      </c>
      <c r="G283" s="10" t="n">
        <f aca="false">INDEX(Cascade!$BH:$BH,MATCH($E283,Cascade!$E:$E,0))</f>
        <v>0</v>
      </c>
      <c r="H283" s="10" t="str">
        <f aca="false">IF(OR($C283="01-09",$D283="Male"),"",INDEX(PMTCT!$AC:$AC,MATCH($E283,PMTCT!$E:$E,0)))</f>
        <v/>
      </c>
      <c r="I283" s="10" t="str">
        <f aca="false">IF(OR($C283="01-09",$D283="Male"),"",INDEX(PMTCT!$AS:$AS,MATCH($E283,PMTCT!$E:$E,0)))</f>
        <v/>
      </c>
      <c r="J283" s="10" t="str">
        <f aca="false">INDEX(TB!$P:$P,MATCH($E283,TB!$E:$E,0))</f>
        <v/>
      </c>
      <c r="K283" s="10" t="str">
        <f aca="false">IF(OR($C283="01-09",$C283="10-14",$D283="Female"),"",INDEX(VMMC!$AA:$AA,MATCH($E283,VMMC!$E:$E,0)))</f>
        <v/>
      </c>
      <c r="L283" s="10" t="n">
        <f aca="false">SUM($G283)-SUM($H283:$K283)</f>
        <v>0</v>
      </c>
      <c r="M283" s="88" t="str">
        <f aca="false">IF(OR($C283="01-09",$D283="Male",AND(SUM($G283)=0,SUM($H283)=0)),"",SUM($H283)/SUM($G283))</f>
        <v/>
      </c>
      <c r="N283" s="88" t="str">
        <f aca="false">IF(OR($C283="01-09",$D283="Male",AND(SUM($G283)=0,SUM($I283)=0)),"",SUM($I283)/SUM($G283))</f>
        <v/>
      </c>
      <c r="O283" s="88" t="str">
        <f aca="false">IF(AND(SUM($G283)=0,SUM($J283)=0),"",SUM($J283)/SUM($G283))</f>
        <v/>
      </c>
      <c r="P283" s="88" t="str">
        <f aca="false">IF(OR($C283="01-09",$C283="10-14",$D283="Female",AND(SUM($G283)=0,SUM($K283)=0)),"",SUM($K283)/SUM($G283))</f>
        <v/>
      </c>
      <c r="Q283" s="88"/>
      <c r="R283" s="88"/>
      <c r="S283" s="88"/>
      <c r="T283" s="88"/>
      <c r="U283" s="88"/>
      <c r="V283" s="88" t="str">
        <f aca="false">IF(SUM($G283)=0,"",SUM($M283:$U283))</f>
        <v/>
      </c>
      <c r="W283" s="88"/>
      <c r="X283" s="39" t="str">
        <f aca="false">IF(OR(SUM($G283)=0,SUM($Q283)=0),"",ROUND(SUM($G283)*SUM($Q283),0))</f>
        <v/>
      </c>
      <c r="Y283" s="39" t="str">
        <f aca="false">IF(SUM($X283)=0,"",IF(SUM($W283)=0,"ENTER YIELD",ROUND($X283/$W283,0)-$X283))</f>
        <v/>
      </c>
      <c r="Z283" s="88"/>
      <c r="AA283" s="39" t="str">
        <f aca="false">IF(OR(SUM($G283)=0,SUM($R283)=0),"",ROUND(SUM($G283)*SUM($R283),0))</f>
        <v/>
      </c>
      <c r="AB283" s="39" t="str">
        <f aca="false">IF(SUM($AA283)=0,"",IF(SUM($Z283)=0,"ENTER YIELD",ROUND($AA283/$Z283,0)-$AA283))</f>
        <v/>
      </c>
      <c r="AC283" s="88"/>
      <c r="AD283" s="39" t="str">
        <f aca="false">IF(OR(SUM($G283)=0,SUM($S283)=0),"",ROUND(SUM($G283)*SUM($S283),0))</f>
        <v/>
      </c>
      <c r="AE283" s="39" t="str">
        <f aca="false">IF(SUM($AD283)=0,"",IF(SUM($AC283)=0,"ENTER YIELD",ROUND($AD283/$AC283,0)-$AD283))</f>
        <v/>
      </c>
      <c r="AF283" s="88"/>
      <c r="AG283" s="39" t="str">
        <f aca="false">IF(OR(SUM($G283)=0,SUM($T283)=0),"",ROUND(SUM($G283)*SUM($T283),0))</f>
        <v/>
      </c>
      <c r="AH283" s="39" t="str">
        <f aca="false">IF(SUM($AG283)=0,"",IF(SUM($AF283)=0,"ENTER YIELD",ROUND($AG283/$AF283,0)-$AG283))</f>
        <v/>
      </c>
      <c r="AI283" s="88"/>
      <c r="AJ283" s="39" t="str">
        <f aca="false">IF(OR(SUM($G283)=0,SUM($U283)=0),"",ROUND(SUM($G283)*SUM($U283),0))</f>
        <v/>
      </c>
      <c r="AK283" s="39" t="str">
        <f aca="false">IF(SUM($AJ283)=0,"",IF(SUM($AI283)=0,"ENTER YIELD",ROUND($AJ283/$AI283,0)-$AJ283))</f>
        <v/>
      </c>
      <c r="AL283" s="10" t="str">
        <f aca="false">IF(SUM($G283)=0,"",$G283)</f>
        <v/>
      </c>
      <c r="AM283" s="10" t="str">
        <f aca="false">IFERROR(1/(1/SUM($H283:$K283,$X283,$AA283,$AD283,$AG283,$AJ283)),"")</f>
        <v/>
      </c>
      <c r="AN283" s="10" t="str">
        <f aca="false">IF(AND(SUM($AM283)=0,SUM($AL283)=0),"",$AM283-$AL283)</f>
        <v/>
      </c>
      <c r="AO283" s="10" t="str">
        <f aca="false">IF(OR($C283="01-09",$D283="Male"),"",INDEX(PMTCT!$AD:$AD,MATCH($E283,PMTCT!$E:$E,0)))</f>
        <v/>
      </c>
      <c r="AP283" s="10" t="str">
        <f aca="false">IF(OR($C283="01-09",$D283="Male"),"",INDEX(PMTCT!$AT:$AT,MATCH($E283,PMTCT!$E:$E,0)))</f>
        <v/>
      </c>
      <c r="AQ283" s="10" t="str">
        <f aca="false">INDEX(TB!$Q:$Q,MATCH($E283,TB!$E:$E,0))</f>
        <v/>
      </c>
      <c r="AR283" s="10" t="str">
        <f aca="false">IF(OR($C283="01-09",$C283="10-14",$D283="Female"),"",INDEX(VMMC!$AB:$AB,MATCH($E283,VMMC!$E:$E,0)))</f>
        <v/>
      </c>
      <c r="AS283" s="10" t="str">
        <f aca="false">IF(OR($C283="01-09",$C283="10-14"),"",INDEX(PrEP!$Q:$Q,MATCH($E283,PrEP!$E:$E,0)))</f>
        <v/>
      </c>
      <c r="AT283" s="10" t="str">
        <f aca="false">IFERROR(1/(1/SUM($Y283,$AB283,$AE283,$AH283,$AK283,$AO283:$AS283)),"")</f>
        <v/>
      </c>
      <c r="AU283" s="10" t="str">
        <f aca="false">IFERROR(1/(1/SUM($AT283,$AM283)),"")</f>
        <v/>
      </c>
      <c r="AV283" s="88" t="str">
        <f aca="false">IF(AND(SUM($AM283)=0,SUM($AU283)=0),"",$AM283/$AU283)</f>
        <v/>
      </c>
      <c r="AW283" s="10"/>
      <c r="AX283" s="88" t="str">
        <f aca="false">IF(OR($C283="01-09",SUM($AW283)=0),"",0%)</f>
        <v/>
      </c>
      <c r="AY283" s="39" t="str">
        <f aca="false">IF(OR($C283="01-09",SUM($AW283)=0),"",ROUND($AW283*(1+$AX283),0))</f>
        <v/>
      </c>
      <c r="AZ283" s="88" t="n">
        <f aca="false">IF(OR($C283="01-09",$C283="10-14"),"",100%)</f>
        <v>1</v>
      </c>
      <c r="BA283" s="39" t="str">
        <f aca="false">IF(OR(SUM($AM283)=0,$C283="01-09",$C283="10-14"),"",$AM283*$AZ283)</f>
        <v/>
      </c>
    </row>
    <row r="284" customFormat="false" ht="15" hidden="false" customHeight="false" outlineLevel="0" collapsed="false">
      <c r="A284" s="0" t="str">
        <f aca="false">INDEX(Prioritization!$D:$D,MATCH($B284,Prioritization!$A:$A,0))</f>
        <v>INVALID</v>
      </c>
      <c r="B284" s="0" t="s">
        <v>216</v>
      </c>
      <c r="C284" s="0" t="s">
        <v>365</v>
      </c>
      <c r="D284" s="0" t="s">
        <v>48</v>
      </c>
      <c r="E284" s="0" t="str">
        <f aca="false">$B284&amp;"|"&amp;$C284&amp;"|"&amp;$D284</f>
        <v>Mulanje District [umc2n1Z4wNv]|15-24|Male</v>
      </c>
      <c r="F284" s="88" t="n">
        <f aca="false">IF(LEFT($B284,4)="_Mil","",INDEX(Cascade!$AA:$AA,MATCH($E284,Cascade!$E:$E,0)))</f>
        <v>1023</v>
      </c>
      <c r="G284" s="10" t="n">
        <f aca="false">INDEX(Cascade!$BH:$BH,MATCH($E284,Cascade!$E:$E,0))</f>
        <v>0</v>
      </c>
      <c r="H284" s="10" t="str">
        <f aca="false">IF(OR($C284="01-09",$D284="Male"),"",INDEX(PMTCT!$AC:$AC,MATCH($E284,PMTCT!$E:$E,0)))</f>
        <v/>
      </c>
      <c r="I284" s="10" t="str">
        <f aca="false">IF(OR($C284="01-09",$D284="Male"),"",INDEX(PMTCT!$AS:$AS,MATCH($E284,PMTCT!$E:$E,0)))</f>
        <v/>
      </c>
      <c r="J284" s="10" t="str">
        <f aca="false">INDEX(TB!$P:$P,MATCH($E284,TB!$E:$E,0))</f>
        <v/>
      </c>
      <c r="K284" s="10" t="str">
        <f aca="false">IF(OR($C284="01-09",$C284="10-14",$D284="Female"),"",INDEX(VMMC!$AA:$AA,MATCH($E284,VMMC!$E:$E,0)))</f>
        <v/>
      </c>
      <c r="L284" s="10" t="n">
        <f aca="false">SUM($G284)-SUM($H284:$K284)</f>
        <v>0</v>
      </c>
      <c r="M284" s="88" t="str">
        <f aca="false">IF(OR($C284="01-09",$D284="Male",AND(SUM($G284)=0,SUM($H284)=0)),"",SUM($H284)/SUM($G284))</f>
        <v/>
      </c>
      <c r="N284" s="88" t="str">
        <f aca="false">IF(OR($C284="01-09",$D284="Male",AND(SUM($G284)=0,SUM($I284)=0)),"",SUM($I284)/SUM($G284))</f>
        <v/>
      </c>
      <c r="O284" s="88" t="str">
        <f aca="false">IF(AND(SUM($G284)=0,SUM($J284)=0),"",SUM($J284)/SUM($G284))</f>
        <v/>
      </c>
      <c r="P284" s="88" t="str">
        <f aca="false">IF(OR($C284="01-09",$C284="10-14",$D284="Female",AND(SUM($G284)=0,SUM($K284)=0)),"",SUM($K284)/SUM($G284))</f>
        <v/>
      </c>
      <c r="Q284" s="88"/>
      <c r="R284" s="88"/>
      <c r="S284" s="88"/>
      <c r="T284" s="88"/>
      <c r="U284" s="88"/>
      <c r="V284" s="88" t="str">
        <f aca="false">IF(SUM($G284)=0,"",SUM($M284:$U284))</f>
        <v/>
      </c>
      <c r="W284" s="88"/>
      <c r="X284" s="39" t="str">
        <f aca="false">IF(OR(SUM($G284)=0,SUM($Q284)=0),"",ROUND(SUM($G284)*SUM($Q284),0))</f>
        <v/>
      </c>
      <c r="Y284" s="39" t="str">
        <f aca="false">IF(SUM($X284)=0,"",IF(SUM($W284)=0,"ENTER YIELD",ROUND($X284/$W284,0)-$X284))</f>
        <v/>
      </c>
      <c r="Z284" s="88"/>
      <c r="AA284" s="39" t="str">
        <f aca="false">IF(OR(SUM($G284)=0,SUM($R284)=0),"",ROUND(SUM($G284)*SUM($R284),0))</f>
        <v/>
      </c>
      <c r="AB284" s="39" t="str">
        <f aca="false">IF(SUM($AA284)=0,"",IF(SUM($Z284)=0,"ENTER YIELD",ROUND($AA284/$Z284,0)-$AA284))</f>
        <v/>
      </c>
      <c r="AC284" s="88"/>
      <c r="AD284" s="39" t="str">
        <f aca="false">IF(OR(SUM($G284)=0,SUM($S284)=0),"",ROUND(SUM($G284)*SUM($S284),0))</f>
        <v/>
      </c>
      <c r="AE284" s="39" t="str">
        <f aca="false">IF(SUM($AD284)=0,"",IF(SUM($AC284)=0,"ENTER YIELD",ROUND($AD284/$AC284,0)-$AD284))</f>
        <v/>
      </c>
      <c r="AF284" s="88"/>
      <c r="AG284" s="39" t="str">
        <f aca="false">IF(OR(SUM($G284)=0,SUM($T284)=0),"",ROUND(SUM($G284)*SUM($T284),0))</f>
        <v/>
      </c>
      <c r="AH284" s="39" t="str">
        <f aca="false">IF(SUM($AG284)=0,"",IF(SUM($AF284)=0,"ENTER YIELD",ROUND($AG284/$AF284,0)-$AG284))</f>
        <v/>
      </c>
      <c r="AI284" s="88"/>
      <c r="AJ284" s="39" t="str">
        <f aca="false">IF(OR(SUM($G284)=0,SUM($U284)=0),"",ROUND(SUM($G284)*SUM($U284),0))</f>
        <v/>
      </c>
      <c r="AK284" s="39" t="str">
        <f aca="false">IF(SUM($AJ284)=0,"",IF(SUM($AI284)=0,"ENTER YIELD",ROUND($AJ284/$AI284,0)-$AJ284))</f>
        <v/>
      </c>
      <c r="AL284" s="10" t="str">
        <f aca="false">IF(SUM($G284)=0,"",$G284)</f>
        <v/>
      </c>
      <c r="AM284" s="10" t="str">
        <f aca="false">IFERROR(1/(1/SUM($H284:$K284,$X284,$AA284,$AD284,$AG284,$AJ284)),"")</f>
        <v/>
      </c>
      <c r="AN284" s="10" t="str">
        <f aca="false">IF(AND(SUM($AM284)=0,SUM($AL284)=0),"",$AM284-$AL284)</f>
        <v/>
      </c>
      <c r="AO284" s="10" t="str">
        <f aca="false">IF(OR($C284="01-09",$D284="Male"),"",INDEX(PMTCT!$AD:$AD,MATCH($E284,PMTCT!$E:$E,0)))</f>
        <v/>
      </c>
      <c r="AP284" s="10" t="str">
        <f aca="false">IF(OR($C284="01-09",$D284="Male"),"",INDEX(PMTCT!$AT:$AT,MATCH($E284,PMTCT!$E:$E,0)))</f>
        <v/>
      </c>
      <c r="AQ284" s="10" t="str">
        <f aca="false">INDEX(TB!$Q:$Q,MATCH($E284,TB!$E:$E,0))</f>
        <v/>
      </c>
      <c r="AR284" s="10" t="str">
        <f aca="false">IF(OR($C284="01-09",$C284="10-14",$D284="Female"),"",INDEX(VMMC!$AB:$AB,MATCH($E284,VMMC!$E:$E,0)))</f>
        <v/>
      </c>
      <c r="AS284" s="10" t="str">
        <f aca="false">IF(OR($C284="01-09",$C284="10-14"),"",INDEX(PrEP!$Q:$Q,MATCH($E284,PrEP!$E:$E,0)))</f>
        <v/>
      </c>
      <c r="AT284" s="10" t="str">
        <f aca="false">IFERROR(1/(1/SUM($Y284,$AB284,$AE284,$AH284,$AK284,$AO284:$AS284)),"")</f>
        <v/>
      </c>
      <c r="AU284" s="10" t="str">
        <f aca="false">IFERROR(1/(1/SUM($AT284,$AM284)),"")</f>
        <v/>
      </c>
      <c r="AV284" s="88" t="str">
        <f aca="false">IF(AND(SUM($AM284)=0,SUM($AU284)=0),"",$AM284/$AU284)</f>
        <v/>
      </c>
      <c r="AW284" s="10"/>
      <c r="AX284" s="88" t="str">
        <f aca="false">IF(OR($C284="01-09",SUM($AW284)=0),"",0%)</f>
        <v/>
      </c>
      <c r="AY284" s="39" t="str">
        <f aca="false">IF(OR($C284="01-09",SUM($AW284)=0),"",ROUND($AW284*(1+$AX284),0))</f>
        <v/>
      </c>
      <c r="AZ284" s="88" t="n">
        <f aca="false">IF(OR($C284="01-09",$C284="10-14"),"",100%)</f>
        <v>1</v>
      </c>
      <c r="BA284" s="39" t="str">
        <f aca="false">IF(OR(SUM($AM284)=0,$C284="01-09",$C284="10-14"),"",$AM284*$AZ284)</f>
        <v/>
      </c>
    </row>
    <row r="285" customFormat="false" ht="15" hidden="false" customHeight="false" outlineLevel="0" collapsed="false">
      <c r="A285" s="0" t="str">
        <f aca="false">INDEX(Prioritization!$D:$D,MATCH($B285,Prioritization!$A:$A,0))</f>
        <v>INVALID</v>
      </c>
      <c r="B285" s="0" t="s">
        <v>216</v>
      </c>
      <c r="C285" s="0" t="s">
        <v>366</v>
      </c>
      <c r="D285" s="0" t="s">
        <v>30</v>
      </c>
      <c r="E285" s="0" t="str">
        <f aca="false">$B285&amp;"|"&amp;$C285&amp;"|"&amp;$D285</f>
        <v>Mulanje District [umc2n1Z4wNv]|25-34|Female</v>
      </c>
      <c r="F285" s="88" t="n">
        <f aca="false">IF(LEFT($B285,4)="_Mil","",INDEX(Cascade!$AA:$AA,MATCH($E285,Cascade!$E:$E,0)))</f>
        <v>1980</v>
      </c>
      <c r="G285" s="10" t="n">
        <f aca="false">INDEX(Cascade!$BH:$BH,MATCH($E285,Cascade!$E:$E,0))</f>
        <v>0</v>
      </c>
      <c r="H285" s="10" t="str">
        <f aca="false">IF(OR($C285="01-09",$D285="Male"),"",INDEX(PMTCT!$AC:$AC,MATCH($E285,PMTCT!$E:$E,0)))</f>
        <v/>
      </c>
      <c r="I285" s="10" t="str">
        <f aca="false">IF(OR($C285="01-09",$D285="Male"),"",INDEX(PMTCT!$AS:$AS,MATCH($E285,PMTCT!$E:$E,0)))</f>
        <v/>
      </c>
      <c r="J285" s="10" t="str">
        <f aca="false">INDEX(TB!$P:$P,MATCH($E285,TB!$E:$E,0))</f>
        <v/>
      </c>
      <c r="K285" s="10" t="str">
        <f aca="false">IF(OR($C285="01-09",$C285="10-14",$D285="Female"),"",INDEX(VMMC!$AA:$AA,MATCH($E285,VMMC!$E:$E,0)))</f>
        <v/>
      </c>
      <c r="L285" s="10" t="n">
        <f aca="false">SUM($G285)-SUM($H285:$K285)</f>
        <v>0</v>
      </c>
      <c r="M285" s="88" t="str">
        <f aca="false">IF(OR($C285="01-09",$D285="Male",AND(SUM($G285)=0,SUM($H285)=0)),"",SUM($H285)/SUM($G285))</f>
        <v/>
      </c>
      <c r="N285" s="88" t="str">
        <f aca="false">IF(OR($C285="01-09",$D285="Male",AND(SUM($G285)=0,SUM($I285)=0)),"",SUM($I285)/SUM($G285))</f>
        <v/>
      </c>
      <c r="O285" s="88" t="str">
        <f aca="false">IF(AND(SUM($G285)=0,SUM($J285)=0),"",SUM($J285)/SUM($G285))</f>
        <v/>
      </c>
      <c r="P285" s="88" t="str">
        <f aca="false">IF(OR($C285="01-09",$C285="10-14",$D285="Female",AND(SUM($G285)=0,SUM($K285)=0)),"",SUM($K285)/SUM($G285))</f>
        <v/>
      </c>
      <c r="Q285" s="88"/>
      <c r="R285" s="88"/>
      <c r="S285" s="88"/>
      <c r="T285" s="88"/>
      <c r="U285" s="88"/>
      <c r="V285" s="88" t="str">
        <f aca="false">IF(SUM($G285)=0,"",SUM($M285:$U285))</f>
        <v/>
      </c>
      <c r="W285" s="88"/>
      <c r="X285" s="39" t="str">
        <f aca="false">IF(OR(SUM($G285)=0,SUM($Q285)=0),"",ROUND(SUM($G285)*SUM($Q285),0))</f>
        <v/>
      </c>
      <c r="Y285" s="39" t="str">
        <f aca="false">IF(SUM($X285)=0,"",IF(SUM($W285)=0,"ENTER YIELD",ROUND($X285/$W285,0)-$X285))</f>
        <v/>
      </c>
      <c r="Z285" s="88"/>
      <c r="AA285" s="39" t="str">
        <f aca="false">IF(OR(SUM($G285)=0,SUM($R285)=0),"",ROUND(SUM($G285)*SUM($R285),0))</f>
        <v/>
      </c>
      <c r="AB285" s="39" t="str">
        <f aca="false">IF(SUM($AA285)=0,"",IF(SUM($Z285)=0,"ENTER YIELD",ROUND($AA285/$Z285,0)-$AA285))</f>
        <v/>
      </c>
      <c r="AC285" s="88"/>
      <c r="AD285" s="39" t="str">
        <f aca="false">IF(OR(SUM($G285)=0,SUM($S285)=0),"",ROUND(SUM($G285)*SUM($S285),0))</f>
        <v/>
      </c>
      <c r="AE285" s="39" t="str">
        <f aca="false">IF(SUM($AD285)=0,"",IF(SUM($AC285)=0,"ENTER YIELD",ROUND($AD285/$AC285,0)-$AD285))</f>
        <v/>
      </c>
      <c r="AF285" s="88"/>
      <c r="AG285" s="39" t="str">
        <f aca="false">IF(OR(SUM($G285)=0,SUM($T285)=0),"",ROUND(SUM($G285)*SUM($T285),0))</f>
        <v/>
      </c>
      <c r="AH285" s="39" t="str">
        <f aca="false">IF(SUM($AG285)=0,"",IF(SUM($AF285)=0,"ENTER YIELD",ROUND($AG285/$AF285,0)-$AG285))</f>
        <v/>
      </c>
      <c r="AI285" s="88"/>
      <c r="AJ285" s="39" t="str">
        <f aca="false">IF(OR(SUM($G285)=0,SUM($U285)=0),"",ROUND(SUM($G285)*SUM($U285),0))</f>
        <v/>
      </c>
      <c r="AK285" s="39" t="str">
        <f aca="false">IF(SUM($AJ285)=0,"",IF(SUM($AI285)=0,"ENTER YIELD",ROUND($AJ285/$AI285,0)-$AJ285))</f>
        <v/>
      </c>
      <c r="AL285" s="10" t="str">
        <f aca="false">IF(SUM($G285)=0,"",$G285)</f>
        <v/>
      </c>
      <c r="AM285" s="10" t="str">
        <f aca="false">IFERROR(1/(1/SUM($H285:$K285,$X285,$AA285,$AD285,$AG285,$AJ285)),"")</f>
        <v/>
      </c>
      <c r="AN285" s="10" t="str">
        <f aca="false">IF(AND(SUM($AM285)=0,SUM($AL285)=0),"",$AM285-$AL285)</f>
        <v/>
      </c>
      <c r="AO285" s="10" t="str">
        <f aca="false">IF(OR($C285="01-09",$D285="Male"),"",INDEX(PMTCT!$AD:$AD,MATCH($E285,PMTCT!$E:$E,0)))</f>
        <v/>
      </c>
      <c r="AP285" s="10" t="str">
        <f aca="false">IF(OR($C285="01-09",$D285="Male"),"",INDEX(PMTCT!$AT:$AT,MATCH($E285,PMTCT!$E:$E,0)))</f>
        <v/>
      </c>
      <c r="AQ285" s="10" t="str">
        <f aca="false">INDEX(TB!$Q:$Q,MATCH($E285,TB!$E:$E,0))</f>
        <v/>
      </c>
      <c r="AR285" s="10" t="str">
        <f aca="false">IF(OR($C285="01-09",$C285="10-14",$D285="Female"),"",INDEX(VMMC!$AB:$AB,MATCH($E285,VMMC!$E:$E,0)))</f>
        <v/>
      </c>
      <c r="AS285" s="10" t="str">
        <f aca="false">IF(OR($C285="01-09",$C285="10-14"),"",INDEX(PrEP!$Q:$Q,MATCH($E285,PrEP!$E:$E,0)))</f>
        <v/>
      </c>
      <c r="AT285" s="10" t="str">
        <f aca="false">IFERROR(1/(1/SUM($Y285,$AB285,$AE285,$AH285,$AK285,$AO285:$AS285)),"")</f>
        <v/>
      </c>
      <c r="AU285" s="10" t="str">
        <f aca="false">IFERROR(1/(1/SUM($AT285,$AM285)),"")</f>
        <v/>
      </c>
      <c r="AV285" s="88" t="str">
        <f aca="false">IF(AND(SUM($AM285)=0,SUM($AU285)=0),"",$AM285/$AU285)</f>
        <v/>
      </c>
      <c r="AW285" s="10"/>
      <c r="AX285" s="88" t="str">
        <f aca="false">IF(OR($C285="01-09",SUM($AW285)=0),"",0%)</f>
        <v/>
      </c>
      <c r="AY285" s="39" t="str">
        <f aca="false">IF(OR($C285="01-09",SUM($AW285)=0),"",ROUND($AW285*(1+$AX285),0))</f>
        <v/>
      </c>
      <c r="AZ285" s="88" t="n">
        <f aca="false">IF(OR($C285="01-09",$C285="10-14"),"",100%)</f>
        <v>1</v>
      </c>
      <c r="BA285" s="39" t="str">
        <f aca="false">IF(OR(SUM($AM285)=0,$C285="01-09",$C285="10-14"),"",$AM285*$AZ285)</f>
        <v/>
      </c>
    </row>
    <row r="286" customFormat="false" ht="15" hidden="false" customHeight="false" outlineLevel="0" collapsed="false">
      <c r="A286" s="0" t="str">
        <f aca="false">INDEX(Prioritization!$D:$D,MATCH($B286,Prioritization!$A:$A,0))</f>
        <v>INVALID</v>
      </c>
      <c r="B286" s="0" t="s">
        <v>216</v>
      </c>
      <c r="C286" s="0" t="s">
        <v>366</v>
      </c>
      <c r="D286" s="0" t="s">
        <v>48</v>
      </c>
      <c r="E286" s="0" t="str">
        <f aca="false">$B286&amp;"|"&amp;$C286&amp;"|"&amp;$D286</f>
        <v>Mulanje District [umc2n1Z4wNv]|25-34|Male</v>
      </c>
      <c r="F286" s="88" t="n">
        <f aca="false">IF(LEFT($B286,4)="_Mil","",INDEX(Cascade!$AA:$AA,MATCH($E286,Cascade!$E:$E,0)))</f>
        <v>1972</v>
      </c>
      <c r="G286" s="10" t="n">
        <f aca="false">INDEX(Cascade!$BH:$BH,MATCH($E286,Cascade!$E:$E,0))</f>
        <v>0</v>
      </c>
      <c r="H286" s="10" t="str">
        <f aca="false">IF(OR($C286="01-09",$D286="Male"),"",INDEX(PMTCT!$AC:$AC,MATCH($E286,PMTCT!$E:$E,0)))</f>
        <v/>
      </c>
      <c r="I286" s="10" t="str">
        <f aca="false">IF(OR($C286="01-09",$D286="Male"),"",INDEX(PMTCT!$AS:$AS,MATCH($E286,PMTCT!$E:$E,0)))</f>
        <v/>
      </c>
      <c r="J286" s="10" t="str">
        <f aca="false">INDEX(TB!$P:$P,MATCH($E286,TB!$E:$E,0))</f>
        <v/>
      </c>
      <c r="K286" s="10" t="str">
        <f aca="false">IF(OR($C286="01-09",$C286="10-14",$D286="Female"),"",INDEX(VMMC!$AA:$AA,MATCH($E286,VMMC!$E:$E,0)))</f>
        <v/>
      </c>
      <c r="L286" s="10" t="n">
        <f aca="false">SUM($G286)-SUM($H286:$K286)</f>
        <v>0</v>
      </c>
      <c r="M286" s="88" t="str">
        <f aca="false">IF(OR($C286="01-09",$D286="Male",AND(SUM($G286)=0,SUM($H286)=0)),"",SUM($H286)/SUM($G286))</f>
        <v/>
      </c>
      <c r="N286" s="88" t="str">
        <f aca="false">IF(OR($C286="01-09",$D286="Male",AND(SUM($G286)=0,SUM($I286)=0)),"",SUM($I286)/SUM($G286))</f>
        <v/>
      </c>
      <c r="O286" s="88" t="str">
        <f aca="false">IF(AND(SUM($G286)=0,SUM($J286)=0),"",SUM($J286)/SUM($G286))</f>
        <v/>
      </c>
      <c r="P286" s="88" t="str">
        <f aca="false">IF(OR($C286="01-09",$C286="10-14",$D286="Female",AND(SUM($G286)=0,SUM($K286)=0)),"",SUM($K286)/SUM($G286))</f>
        <v/>
      </c>
      <c r="Q286" s="88"/>
      <c r="R286" s="88"/>
      <c r="S286" s="88"/>
      <c r="T286" s="88"/>
      <c r="U286" s="88"/>
      <c r="V286" s="88" t="str">
        <f aca="false">IF(SUM($G286)=0,"",SUM($M286:$U286))</f>
        <v/>
      </c>
      <c r="W286" s="88"/>
      <c r="X286" s="39" t="str">
        <f aca="false">IF(OR(SUM($G286)=0,SUM($Q286)=0),"",ROUND(SUM($G286)*SUM($Q286),0))</f>
        <v/>
      </c>
      <c r="Y286" s="39" t="str">
        <f aca="false">IF(SUM($X286)=0,"",IF(SUM($W286)=0,"ENTER YIELD",ROUND($X286/$W286,0)-$X286))</f>
        <v/>
      </c>
      <c r="Z286" s="88"/>
      <c r="AA286" s="39" t="str">
        <f aca="false">IF(OR(SUM($G286)=0,SUM($R286)=0),"",ROUND(SUM($G286)*SUM($R286),0))</f>
        <v/>
      </c>
      <c r="AB286" s="39" t="str">
        <f aca="false">IF(SUM($AA286)=0,"",IF(SUM($Z286)=0,"ENTER YIELD",ROUND($AA286/$Z286,0)-$AA286))</f>
        <v/>
      </c>
      <c r="AC286" s="88"/>
      <c r="AD286" s="39" t="str">
        <f aca="false">IF(OR(SUM($G286)=0,SUM($S286)=0),"",ROUND(SUM($G286)*SUM($S286),0))</f>
        <v/>
      </c>
      <c r="AE286" s="39" t="str">
        <f aca="false">IF(SUM($AD286)=0,"",IF(SUM($AC286)=0,"ENTER YIELD",ROUND($AD286/$AC286,0)-$AD286))</f>
        <v/>
      </c>
      <c r="AF286" s="88"/>
      <c r="AG286" s="39" t="str">
        <f aca="false">IF(OR(SUM($G286)=0,SUM($T286)=0),"",ROUND(SUM($G286)*SUM($T286),0))</f>
        <v/>
      </c>
      <c r="AH286" s="39" t="str">
        <f aca="false">IF(SUM($AG286)=0,"",IF(SUM($AF286)=0,"ENTER YIELD",ROUND($AG286/$AF286,0)-$AG286))</f>
        <v/>
      </c>
      <c r="AI286" s="88"/>
      <c r="AJ286" s="39" t="str">
        <f aca="false">IF(OR(SUM($G286)=0,SUM($U286)=0),"",ROUND(SUM($G286)*SUM($U286),0))</f>
        <v/>
      </c>
      <c r="AK286" s="39" t="str">
        <f aca="false">IF(SUM($AJ286)=0,"",IF(SUM($AI286)=0,"ENTER YIELD",ROUND($AJ286/$AI286,0)-$AJ286))</f>
        <v/>
      </c>
      <c r="AL286" s="10" t="str">
        <f aca="false">IF(SUM($G286)=0,"",$G286)</f>
        <v/>
      </c>
      <c r="AM286" s="10" t="str">
        <f aca="false">IFERROR(1/(1/SUM($H286:$K286,$X286,$AA286,$AD286,$AG286,$AJ286)),"")</f>
        <v/>
      </c>
      <c r="AN286" s="10" t="str">
        <f aca="false">IF(AND(SUM($AM286)=0,SUM($AL286)=0),"",$AM286-$AL286)</f>
        <v/>
      </c>
      <c r="AO286" s="10" t="str">
        <f aca="false">IF(OR($C286="01-09",$D286="Male"),"",INDEX(PMTCT!$AD:$AD,MATCH($E286,PMTCT!$E:$E,0)))</f>
        <v/>
      </c>
      <c r="AP286" s="10" t="str">
        <f aca="false">IF(OR($C286="01-09",$D286="Male"),"",INDEX(PMTCT!$AT:$AT,MATCH($E286,PMTCT!$E:$E,0)))</f>
        <v/>
      </c>
      <c r="AQ286" s="10" t="str">
        <f aca="false">INDEX(TB!$Q:$Q,MATCH($E286,TB!$E:$E,0))</f>
        <v/>
      </c>
      <c r="AR286" s="10" t="str">
        <f aca="false">IF(OR($C286="01-09",$C286="10-14",$D286="Female"),"",INDEX(VMMC!$AB:$AB,MATCH($E286,VMMC!$E:$E,0)))</f>
        <v/>
      </c>
      <c r="AS286" s="10" t="str">
        <f aca="false">IF(OR($C286="01-09",$C286="10-14"),"",INDEX(PrEP!$Q:$Q,MATCH($E286,PrEP!$E:$E,0)))</f>
        <v/>
      </c>
      <c r="AT286" s="10" t="str">
        <f aca="false">IFERROR(1/(1/SUM($Y286,$AB286,$AE286,$AH286,$AK286,$AO286:$AS286)),"")</f>
        <v/>
      </c>
      <c r="AU286" s="10" t="str">
        <f aca="false">IFERROR(1/(1/SUM($AT286,$AM286)),"")</f>
        <v/>
      </c>
      <c r="AV286" s="88" t="str">
        <f aca="false">IF(AND(SUM($AM286)=0,SUM($AU286)=0),"",$AM286/$AU286)</f>
        <v/>
      </c>
      <c r="AW286" s="10"/>
      <c r="AX286" s="88" t="str">
        <f aca="false">IF(OR($C286="01-09",SUM($AW286)=0),"",0%)</f>
        <v/>
      </c>
      <c r="AY286" s="39" t="str">
        <f aca="false">IF(OR($C286="01-09",SUM($AW286)=0),"",ROUND($AW286*(1+$AX286),0))</f>
        <v/>
      </c>
      <c r="AZ286" s="88" t="n">
        <f aca="false">IF(OR($C286="01-09",$C286="10-14"),"",100%)</f>
        <v>1</v>
      </c>
      <c r="BA286" s="39" t="str">
        <f aca="false">IF(OR(SUM($AM286)=0,$C286="01-09",$C286="10-14"),"",$AM286*$AZ286)</f>
        <v/>
      </c>
    </row>
    <row r="287" customFormat="false" ht="15" hidden="false" customHeight="false" outlineLevel="0" collapsed="false">
      <c r="A287" s="0" t="str">
        <f aca="false">INDEX(Prioritization!$D:$D,MATCH($B287,Prioritization!$A:$A,0))</f>
        <v>INVALID</v>
      </c>
      <c r="B287" s="0" t="s">
        <v>216</v>
      </c>
      <c r="C287" s="0" t="s">
        <v>367</v>
      </c>
      <c r="D287" s="0" t="s">
        <v>30</v>
      </c>
      <c r="E287" s="0" t="str">
        <f aca="false">$B287&amp;"|"&amp;$C287&amp;"|"&amp;$D287</f>
        <v>Mulanje District [umc2n1Z4wNv]|35-49|Female</v>
      </c>
      <c r="F287" s="88" t="n">
        <f aca="false">IF(LEFT($B287,4)="_Mil","",INDEX(Cascade!$AA:$AA,MATCH($E287,Cascade!$E:$E,0)))</f>
        <v>783</v>
      </c>
      <c r="G287" s="10" t="n">
        <f aca="false">INDEX(Cascade!$BH:$BH,MATCH($E287,Cascade!$E:$E,0))</f>
        <v>0</v>
      </c>
      <c r="H287" s="10" t="str">
        <f aca="false">IF(OR($C287="01-09",$D287="Male"),"",INDEX(PMTCT!$AC:$AC,MATCH($E287,PMTCT!$E:$E,0)))</f>
        <v/>
      </c>
      <c r="I287" s="10" t="str">
        <f aca="false">IF(OR($C287="01-09",$D287="Male"),"",INDEX(PMTCT!$AS:$AS,MATCH($E287,PMTCT!$E:$E,0)))</f>
        <v/>
      </c>
      <c r="J287" s="10" t="str">
        <f aca="false">INDEX(TB!$P:$P,MATCH($E287,TB!$E:$E,0))</f>
        <v/>
      </c>
      <c r="K287" s="10" t="str">
        <f aca="false">IF(OR($C287="01-09",$C287="10-14",$D287="Female"),"",INDEX(VMMC!$AA:$AA,MATCH($E287,VMMC!$E:$E,0)))</f>
        <v/>
      </c>
      <c r="L287" s="10" t="n">
        <f aca="false">SUM($G287)-SUM($H287:$K287)</f>
        <v>0</v>
      </c>
      <c r="M287" s="88" t="str">
        <f aca="false">IF(OR($C287="01-09",$D287="Male",AND(SUM($G287)=0,SUM($H287)=0)),"",SUM($H287)/SUM($G287))</f>
        <v/>
      </c>
      <c r="N287" s="88" t="str">
        <f aca="false">IF(OR($C287="01-09",$D287="Male",AND(SUM($G287)=0,SUM($I287)=0)),"",SUM($I287)/SUM($G287))</f>
        <v/>
      </c>
      <c r="O287" s="88" t="str">
        <f aca="false">IF(AND(SUM($G287)=0,SUM($J287)=0),"",SUM($J287)/SUM($G287))</f>
        <v/>
      </c>
      <c r="P287" s="88" t="str">
        <f aca="false">IF(OR($C287="01-09",$C287="10-14",$D287="Female",AND(SUM($G287)=0,SUM($K287)=0)),"",SUM($K287)/SUM($G287))</f>
        <v/>
      </c>
      <c r="Q287" s="88"/>
      <c r="R287" s="88"/>
      <c r="S287" s="88"/>
      <c r="T287" s="88"/>
      <c r="U287" s="88"/>
      <c r="V287" s="88" t="str">
        <f aca="false">IF(SUM($G287)=0,"",SUM($M287:$U287))</f>
        <v/>
      </c>
      <c r="W287" s="88"/>
      <c r="X287" s="39" t="str">
        <f aca="false">IF(OR(SUM($G287)=0,SUM($Q287)=0),"",ROUND(SUM($G287)*SUM($Q287),0))</f>
        <v/>
      </c>
      <c r="Y287" s="39" t="str">
        <f aca="false">IF(SUM($X287)=0,"",IF(SUM($W287)=0,"ENTER YIELD",ROUND($X287/$W287,0)-$X287))</f>
        <v/>
      </c>
      <c r="Z287" s="88"/>
      <c r="AA287" s="39" t="str">
        <f aca="false">IF(OR(SUM($G287)=0,SUM($R287)=0),"",ROUND(SUM($G287)*SUM($R287),0))</f>
        <v/>
      </c>
      <c r="AB287" s="39" t="str">
        <f aca="false">IF(SUM($AA287)=0,"",IF(SUM($Z287)=0,"ENTER YIELD",ROUND($AA287/$Z287,0)-$AA287))</f>
        <v/>
      </c>
      <c r="AC287" s="88"/>
      <c r="AD287" s="39" t="str">
        <f aca="false">IF(OR(SUM($G287)=0,SUM($S287)=0),"",ROUND(SUM($G287)*SUM($S287),0))</f>
        <v/>
      </c>
      <c r="AE287" s="39" t="str">
        <f aca="false">IF(SUM($AD287)=0,"",IF(SUM($AC287)=0,"ENTER YIELD",ROUND($AD287/$AC287,0)-$AD287))</f>
        <v/>
      </c>
      <c r="AF287" s="88"/>
      <c r="AG287" s="39" t="str">
        <f aca="false">IF(OR(SUM($G287)=0,SUM($T287)=0),"",ROUND(SUM($G287)*SUM($T287),0))</f>
        <v/>
      </c>
      <c r="AH287" s="39" t="str">
        <f aca="false">IF(SUM($AG287)=0,"",IF(SUM($AF287)=0,"ENTER YIELD",ROUND($AG287/$AF287,0)-$AG287))</f>
        <v/>
      </c>
      <c r="AI287" s="88"/>
      <c r="AJ287" s="39" t="str">
        <f aca="false">IF(OR(SUM($G287)=0,SUM($U287)=0),"",ROUND(SUM($G287)*SUM($U287),0))</f>
        <v/>
      </c>
      <c r="AK287" s="39" t="str">
        <f aca="false">IF(SUM($AJ287)=0,"",IF(SUM($AI287)=0,"ENTER YIELD",ROUND($AJ287/$AI287,0)-$AJ287))</f>
        <v/>
      </c>
      <c r="AL287" s="10" t="str">
        <f aca="false">IF(SUM($G287)=0,"",$G287)</f>
        <v/>
      </c>
      <c r="AM287" s="10" t="str">
        <f aca="false">IFERROR(1/(1/SUM($H287:$K287,$X287,$AA287,$AD287,$AG287,$AJ287)),"")</f>
        <v/>
      </c>
      <c r="AN287" s="10" t="str">
        <f aca="false">IF(AND(SUM($AM287)=0,SUM($AL287)=0),"",$AM287-$AL287)</f>
        <v/>
      </c>
      <c r="AO287" s="10" t="str">
        <f aca="false">IF(OR($C287="01-09",$D287="Male"),"",INDEX(PMTCT!$AD:$AD,MATCH($E287,PMTCT!$E:$E,0)))</f>
        <v/>
      </c>
      <c r="AP287" s="10" t="str">
        <f aca="false">IF(OR($C287="01-09",$D287="Male"),"",INDEX(PMTCT!$AT:$AT,MATCH($E287,PMTCT!$E:$E,0)))</f>
        <v/>
      </c>
      <c r="AQ287" s="10" t="str">
        <f aca="false">INDEX(TB!$Q:$Q,MATCH($E287,TB!$E:$E,0))</f>
        <v/>
      </c>
      <c r="AR287" s="10" t="str">
        <f aca="false">IF(OR($C287="01-09",$C287="10-14",$D287="Female"),"",INDEX(VMMC!$AB:$AB,MATCH($E287,VMMC!$E:$E,0)))</f>
        <v/>
      </c>
      <c r="AS287" s="10" t="str">
        <f aca="false">IF(OR($C287="01-09",$C287="10-14"),"",INDEX(PrEP!$Q:$Q,MATCH($E287,PrEP!$E:$E,0)))</f>
        <v/>
      </c>
      <c r="AT287" s="10" t="str">
        <f aca="false">IFERROR(1/(1/SUM($Y287,$AB287,$AE287,$AH287,$AK287,$AO287:$AS287)),"")</f>
        <v/>
      </c>
      <c r="AU287" s="10" t="str">
        <f aca="false">IFERROR(1/(1/SUM($AT287,$AM287)),"")</f>
        <v/>
      </c>
      <c r="AV287" s="88" t="str">
        <f aca="false">IF(AND(SUM($AM287)=0,SUM($AU287)=0),"",$AM287/$AU287)</f>
        <v/>
      </c>
      <c r="AW287" s="10"/>
      <c r="AX287" s="88" t="str">
        <f aca="false">IF(OR($C287="01-09",SUM($AW287)=0),"",0%)</f>
        <v/>
      </c>
      <c r="AY287" s="39" t="str">
        <f aca="false">IF(OR($C287="01-09",SUM($AW287)=0),"",ROUND($AW287*(1+$AX287),0))</f>
        <v/>
      </c>
      <c r="AZ287" s="88" t="n">
        <f aca="false">IF(OR($C287="01-09",$C287="10-14"),"",100%)</f>
        <v>1</v>
      </c>
      <c r="BA287" s="39" t="str">
        <f aca="false">IF(OR(SUM($AM287)=0,$C287="01-09",$C287="10-14"),"",$AM287*$AZ287)</f>
        <v/>
      </c>
    </row>
    <row r="288" customFormat="false" ht="15" hidden="false" customHeight="false" outlineLevel="0" collapsed="false">
      <c r="A288" s="0" t="str">
        <f aca="false">INDEX(Prioritization!$D:$D,MATCH($B288,Prioritization!$A:$A,0))</f>
        <v>INVALID</v>
      </c>
      <c r="B288" s="0" t="s">
        <v>216</v>
      </c>
      <c r="C288" s="0" t="s">
        <v>367</v>
      </c>
      <c r="D288" s="0" t="s">
        <v>48</v>
      </c>
      <c r="E288" s="0" t="str">
        <f aca="false">$B288&amp;"|"&amp;$C288&amp;"|"&amp;$D288</f>
        <v>Mulanje District [umc2n1Z4wNv]|35-49|Male</v>
      </c>
      <c r="F288" s="88" t="n">
        <f aca="false">IF(LEFT($B288,4)="_Mil","",INDEX(Cascade!$AA:$AA,MATCH($E288,Cascade!$E:$E,0)))</f>
        <v>849</v>
      </c>
      <c r="G288" s="10" t="n">
        <f aca="false">INDEX(Cascade!$BH:$BH,MATCH($E288,Cascade!$E:$E,0))</f>
        <v>0</v>
      </c>
      <c r="H288" s="10" t="str">
        <f aca="false">IF(OR($C288="01-09",$D288="Male"),"",INDEX(PMTCT!$AC:$AC,MATCH($E288,PMTCT!$E:$E,0)))</f>
        <v/>
      </c>
      <c r="I288" s="10" t="str">
        <f aca="false">IF(OR($C288="01-09",$D288="Male"),"",INDEX(PMTCT!$AS:$AS,MATCH($E288,PMTCT!$E:$E,0)))</f>
        <v/>
      </c>
      <c r="J288" s="10" t="str">
        <f aca="false">INDEX(TB!$P:$P,MATCH($E288,TB!$E:$E,0))</f>
        <v/>
      </c>
      <c r="K288" s="10" t="str">
        <f aca="false">IF(OR($C288="01-09",$C288="10-14",$D288="Female"),"",INDEX(VMMC!$AA:$AA,MATCH($E288,VMMC!$E:$E,0)))</f>
        <v/>
      </c>
      <c r="L288" s="10" t="n">
        <f aca="false">SUM($G288)-SUM($H288:$K288)</f>
        <v>0</v>
      </c>
      <c r="M288" s="88" t="str">
        <f aca="false">IF(OR($C288="01-09",$D288="Male",AND(SUM($G288)=0,SUM($H288)=0)),"",SUM($H288)/SUM($G288))</f>
        <v/>
      </c>
      <c r="N288" s="88" t="str">
        <f aca="false">IF(OR($C288="01-09",$D288="Male",AND(SUM($G288)=0,SUM($I288)=0)),"",SUM($I288)/SUM($G288))</f>
        <v/>
      </c>
      <c r="O288" s="88" t="str">
        <f aca="false">IF(AND(SUM($G288)=0,SUM($J288)=0),"",SUM($J288)/SUM($G288))</f>
        <v/>
      </c>
      <c r="P288" s="88" t="str">
        <f aca="false">IF(OR($C288="01-09",$C288="10-14",$D288="Female",AND(SUM($G288)=0,SUM($K288)=0)),"",SUM($K288)/SUM($G288))</f>
        <v/>
      </c>
      <c r="Q288" s="88"/>
      <c r="R288" s="88"/>
      <c r="S288" s="88"/>
      <c r="T288" s="88"/>
      <c r="U288" s="88"/>
      <c r="V288" s="88" t="str">
        <f aca="false">IF(SUM($G288)=0,"",SUM($M288:$U288))</f>
        <v/>
      </c>
      <c r="W288" s="88"/>
      <c r="X288" s="39" t="str">
        <f aca="false">IF(OR(SUM($G288)=0,SUM($Q288)=0),"",ROUND(SUM($G288)*SUM($Q288),0))</f>
        <v/>
      </c>
      <c r="Y288" s="39" t="str">
        <f aca="false">IF(SUM($X288)=0,"",IF(SUM($W288)=0,"ENTER YIELD",ROUND($X288/$W288,0)-$X288))</f>
        <v/>
      </c>
      <c r="Z288" s="88"/>
      <c r="AA288" s="39" t="str">
        <f aca="false">IF(OR(SUM($G288)=0,SUM($R288)=0),"",ROUND(SUM($G288)*SUM($R288),0))</f>
        <v/>
      </c>
      <c r="AB288" s="39" t="str">
        <f aca="false">IF(SUM($AA288)=0,"",IF(SUM($Z288)=0,"ENTER YIELD",ROUND($AA288/$Z288,0)-$AA288))</f>
        <v/>
      </c>
      <c r="AC288" s="88"/>
      <c r="AD288" s="39" t="str">
        <f aca="false">IF(OR(SUM($G288)=0,SUM($S288)=0),"",ROUND(SUM($G288)*SUM($S288),0))</f>
        <v/>
      </c>
      <c r="AE288" s="39" t="str">
        <f aca="false">IF(SUM($AD288)=0,"",IF(SUM($AC288)=0,"ENTER YIELD",ROUND($AD288/$AC288,0)-$AD288))</f>
        <v/>
      </c>
      <c r="AF288" s="88"/>
      <c r="AG288" s="39" t="str">
        <f aca="false">IF(OR(SUM($G288)=0,SUM($T288)=0),"",ROUND(SUM($G288)*SUM($T288),0))</f>
        <v/>
      </c>
      <c r="AH288" s="39" t="str">
        <f aca="false">IF(SUM($AG288)=0,"",IF(SUM($AF288)=0,"ENTER YIELD",ROUND($AG288/$AF288,0)-$AG288))</f>
        <v/>
      </c>
      <c r="AI288" s="88"/>
      <c r="AJ288" s="39" t="str">
        <f aca="false">IF(OR(SUM($G288)=0,SUM($U288)=0),"",ROUND(SUM($G288)*SUM($U288),0))</f>
        <v/>
      </c>
      <c r="AK288" s="39" t="str">
        <f aca="false">IF(SUM($AJ288)=0,"",IF(SUM($AI288)=0,"ENTER YIELD",ROUND($AJ288/$AI288,0)-$AJ288))</f>
        <v/>
      </c>
      <c r="AL288" s="10" t="str">
        <f aca="false">IF(SUM($G288)=0,"",$G288)</f>
        <v/>
      </c>
      <c r="AM288" s="10" t="str">
        <f aca="false">IFERROR(1/(1/SUM($H288:$K288,$X288,$AA288,$AD288,$AG288,$AJ288)),"")</f>
        <v/>
      </c>
      <c r="AN288" s="10" t="str">
        <f aca="false">IF(AND(SUM($AM288)=0,SUM($AL288)=0),"",$AM288-$AL288)</f>
        <v/>
      </c>
      <c r="AO288" s="10" t="str">
        <f aca="false">IF(OR($C288="01-09",$D288="Male"),"",INDEX(PMTCT!$AD:$AD,MATCH($E288,PMTCT!$E:$E,0)))</f>
        <v/>
      </c>
      <c r="AP288" s="10" t="str">
        <f aca="false">IF(OR($C288="01-09",$D288="Male"),"",INDEX(PMTCT!$AT:$AT,MATCH($E288,PMTCT!$E:$E,0)))</f>
        <v/>
      </c>
      <c r="AQ288" s="10" t="str">
        <f aca="false">INDEX(TB!$Q:$Q,MATCH($E288,TB!$E:$E,0))</f>
        <v/>
      </c>
      <c r="AR288" s="10" t="str">
        <f aca="false">IF(OR($C288="01-09",$C288="10-14",$D288="Female"),"",INDEX(VMMC!$AB:$AB,MATCH($E288,VMMC!$E:$E,0)))</f>
        <v/>
      </c>
      <c r="AS288" s="10" t="str">
        <f aca="false">IF(OR($C288="01-09",$C288="10-14"),"",INDEX(PrEP!$Q:$Q,MATCH($E288,PrEP!$E:$E,0)))</f>
        <v/>
      </c>
      <c r="AT288" s="10" t="str">
        <f aca="false">IFERROR(1/(1/SUM($Y288,$AB288,$AE288,$AH288,$AK288,$AO288:$AS288)),"")</f>
        <v/>
      </c>
      <c r="AU288" s="10" t="str">
        <f aca="false">IFERROR(1/(1/SUM($AT288,$AM288)),"")</f>
        <v/>
      </c>
      <c r="AV288" s="88" t="str">
        <f aca="false">IF(AND(SUM($AM288)=0,SUM($AU288)=0),"",$AM288/$AU288)</f>
        <v/>
      </c>
      <c r="AW288" s="10"/>
      <c r="AX288" s="88" t="str">
        <f aca="false">IF(OR($C288="01-09",SUM($AW288)=0),"",0%)</f>
        <v/>
      </c>
      <c r="AY288" s="39" t="str">
        <f aca="false">IF(OR($C288="01-09",SUM($AW288)=0),"",ROUND($AW288*(1+$AX288),0))</f>
        <v/>
      </c>
      <c r="AZ288" s="88" t="n">
        <f aca="false">IF(OR($C288="01-09",$C288="10-14"),"",100%)</f>
        <v>1</v>
      </c>
      <c r="BA288" s="39" t="str">
        <f aca="false">IF(OR(SUM($AM288)=0,$C288="01-09",$C288="10-14"),"",$AM288*$AZ288)</f>
        <v/>
      </c>
    </row>
    <row r="289" customFormat="false" ht="15" hidden="false" customHeight="false" outlineLevel="0" collapsed="false">
      <c r="A289" s="0" t="str">
        <f aca="false">INDEX(Prioritization!$D:$D,MATCH($B289,Prioritization!$A:$A,0))</f>
        <v>INVALID</v>
      </c>
      <c r="B289" s="0" t="s">
        <v>216</v>
      </c>
      <c r="C289" s="0" t="s">
        <v>368</v>
      </c>
      <c r="D289" s="0" t="s">
        <v>30</v>
      </c>
      <c r="E289" s="0" t="str">
        <f aca="false">$B289&amp;"|"&amp;$C289&amp;"|"&amp;$D289</f>
        <v>Mulanje District [umc2n1Z4wNv]|50+|Female</v>
      </c>
      <c r="F289" s="88" t="n">
        <f aca="false">IF(LEFT($B289,4)="_Mil","",INDEX(Cascade!$AA:$AA,MATCH($E289,Cascade!$E:$E,0)))</f>
        <v>1352</v>
      </c>
      <c r="G289" s="10" t="n">
        <f aca="false">INDEX(Cascade!$BH:$BH,MATCH($E289,Cascade!$E:$E,0))</f>
        <v>0</v>
      </c>
      <c r="H289" s="10" t="str">
        <f aca="false">IF(OR($C289="01-09",$D289="Male"),"",INDEX(PMTCT!$AC:$AC,MATCH($E289,PMTCT!$E:$E,0)))</f>
        <v/>
      </c>
      <c r="I289" s="10" t="str">
        <f aca="false">IF(OR($C289="01-09",$D289="Male"),"",INDEX(PMTCT!$AS:$AS,MATCH($E289,PMTCT!$E:$E,0)))</f>
        <v/>
      </c>
      <c r="J289" s="10" t="str">
        <f aca="false">INDEX(TB!$P:$P,MATCH($E289,TB!$E:$E,0))</f>
        <v/>
      </c>
      <c r="K289" s="10" t="str">
        <f aca="false">IF(OR($C289="01-09",$C289="10-14",$D289="Female"),"",INDEX(VMMC!$AA:$AA,MATCH($E289,VMMC!$E:$E,0)))</f>
        <v/>
      </c>
      <c r="L289" s="10" t="n">
        <f aca="false">SUM($G289)-SUM($H289:$K289)</f>
        <v>0</v>
      </c>
      <c r="M289" s="88" t="str">
        <f aca="false">IF(OR($C289="01-09",$D289="Male",AND(SUM($G289)=0,SUM($H289)=0)),"",SUM($H289)/SUM($G289))</f>
        <v/>
      </c>
      <c r="N289" s="88" t="str">
        <f aca="false">IF(OR($C289="01-09",$D289="Male",AND(SUM($G289)=0,SUM($I289)=0)),"",SUM($I289)/SUM($G289))</f>
        <v/>
      </c>
      <c r="O289" s="88" t="str">
        <f aca="false">IF(AND(SUM($G289)=0,SUM($J289)=0),"",SUM($J289)/SUM($G289))</f>
        <v/>
      </c>
      <c r="P289" s="88" t="str">
        <f aca="false">IF(OR($C289="01-09",$C289="10-14",$D289="Female",AND(SUM($G289)=0,SUM($K289)=0)),"",SUM($K289)/SUM($G289))</f>
        <v/>
      </c>
      <c r="Q289" s="88"/>
      <c r="R289" s="88"/>
      <c r="S289" s="88"/>
      <c r="T289" s="88"/>
      <c r="U289" s="88" t="n">
        <v>0.180903384229168</v>
      </c>
      <c r="V289" s="88" t="str">
        <f aca="false">IF(SUM($G289)=0,"",SUM($M289:$U289))</f>
        <v/>
      </c>
      <c r="W289" s="88"/>
      <c r="X289" s="39" t="str">
        <f aca="false">IF(OR(SUM($G289)=0,SUM($Q289)=0),"",ROUND(SUM($G289)*SUM($Q289),0))</f>
        <v/>
      </c>
      <c r="Y289" s="39" t="str">
        <f aca="false">IF(SUM($X289)=0,"",IF(SUM($W289)=0,"ENTER YIELD",ROUND($X289/$W289,0)-$X289))</f>
        <v/>
      </c>
      <c r="Z289" s="88"/>
      <c r="AA289" s="39" t="str">
        <f aca="false">IF(OR(SUM($G289)=0,SUM($R289)=0),"",ROUND(SUM($G289)*SUM($R289),0))</f>
        <v/>
      </c>
      <c r="AB289" s="39" t="str">
        <f aca="false">IF(SUM($AA289)=0,"",IF(SUM($Z289)=0,"ENTER YIELD",ROUND($AA289/$Z289,0)-$AA289))</f>
        <v/>
      </c>
      <c r="AC289" s="88"/>
      <c r="AD289" s="39" t="str">
        <f aca="false">IF(OR(SUM($G289)=0,SUM($S289)=0),"",ROUND(SUM($G289)*SUM($S289),0))</f>
        <v/>
      </c>
      <c r="AE289" s="39" t="str">
        <f aca="false">IF(SUM($AD289)=0,"",IF(SUM($AC289)=0,"ENTER YIELD",ROUND($AD289/$AC289,0)-$AD289))</f>
        <v/>
      </c>
      <c r="AF289" s="88"/>
      <c r="AG289" s="39" t="str">
        <f aca="false">IF(OR(SUM($G289)=0,SUM($T289)=0),"",ROUND(SUM($G289)*SUM($T289),0))</f>
        <v/>
      </c>
      <c r="AH289" s="39" t="str">
        <f aca="false">IF(SUM($AG289)=0,"",IF(SUM($AF289)=0,"ENTER YIELD",ROUND($AG289/$AF289,0)-$AG289))</f>
        <v/>
      </c>
      <c r="AI289" s="88" t="n">
        <v>0.192903930554166</v>
      </c>
      <c r="AJ289" s="39" t="str">
        <f aca="false">IF(OR(SUM($G289)=0,SUM($U289)=0),"",ROUND(SUM($G289)*SUM($U289),0))</f>
        <v/>
      </c>
      <c r="AK289" s="39" t="str">
        <f aca="false">IF(SUM($AJ289)=0,"",IF(SUM($AI289)=0,"ENTER YIELD",ROUND($AJ289/$AI289,0)-$AJ289))</f>
        <v/>
      </c>
      <c r="AL289" s="10" t="str">
        <f aca="false">IF(SUM($G289)=0,"",$G289)</f>
        <v/>
      </c>
      <c r="AM289" s="10" t="str">
        <f aca="false">IFERROR(1/(1/SUM($H289:$K289,$X289,$AA289,$AD289,$AG289,$AJ289)),"")</f>
        <v/>
      </c>
      <c r="AN289" s="10" t="str">
        <f aca="false">IF(AND(SUM($AM289)=0,SUM($AL289)=0),"",$AM289-$AL289)</f>
        <v/>
      </c>
      <c r="AO289" s="10" t="str">
        <f aca="false">IF(OR($C289="01-09",$D289="Male"),"",INDEX(PMTCT!$AD:$AD,MATCH($E289,PMTCT!$E:$E,0)))</f>
        <v/>
      </c>
      <c r="AP289" s="10" t="str">
        <f aca="false">IF(OR($C289="01-09",$D289="Male"),"",INDEX(PMTCT!$AT:$AT,MATCH($E289,PMTCT!$E:$E,0)))</f>
        <v/>
      </c>
      <c r="AQ289" s="10" t="str">
        <f aca="false">INDEX(TB!$Q:$Q,MATCH($E289,TB!$E:$E,0))</f>
        <v/>
      </c>
      <c r="AR289" s="10" t="str">
        <f aca="false">IF(OR($C289="01-09",$C289="10-14",$D289="Female"),"",INDEX(VMMC!$AB:$AB,MATCH($E289,VMMC!$E:$E,0)))</f>
        <v/>
      </c>
      <c r="AS289" s="10" t="str">
        <f aca="false">IF(OR($C289="01-09",$C289="10-14"),"",INDEX(PrEP!$Q:$Q,MATCH($E289,PrEP!$E:$E,0)))</f>
        <v/>
      </c>
      <c r="AT289" s="10" t="str">
        <f aca="false">IFERROR(1/(1/SUM($Y289,$AB289,$AE289,$AH289,$AK289,$AO289:$AS289)),"")</f>
        <v/>
      </c>
      <c r="AU289" s="10" t="str">
        <f aca="false">IFERROR(1/(1/SUM($AT289,$AM289)),"")</f>
        <v/>
      </c>
      <c r="AV289" s="88" t="str">
        <f aca="false">IF(AND(SUM($AM289)=0,SUM($AU289)=0),"",$AM289/$AU289)</f>
        <v/>
      </c>
      <c r="AW289" s="10" t="n">
        <v>287</v>
      </c>
      <c r="AX289" s="88" t="n">
        <f aca="false">IF(OR($C289="01-09",SUM($AW289)=0),"",0%)</f>
        <v>0</v>
      </c>
      <c r="AY289" s="39" t="n">
        <f aca="false">IF(OR($C289="01-09",SUM($AW289)=0),"",ROUND($AW289*(1+$AX289),0))</f>
        <v>287</v>
      </c>
      <c r="AZ289" s="88" t="n">
        <f aca="false">IF(OR($C289="01-09",$C289="10-14"),"",100%)</f>
        <v>1</v>
      </c>
      <c r="BA289" s="39" t="str">
        <f aca="false">IF(OR(SUM($AM289)=0,$C289="01-09",$C289="10-14"),"",$AM289*$AZ289)</f>
        <v/>
      </c>
    </row>
    <row r="290" customFormat="false" ht="15" hidden="false" customHeight="false" outlineLevel="0" collapsed="false">
      <c r="A290" s="0" t="str">
        <f aca="false">INDEX(Prioritization!$D:$D,MATCH($B290,Prioritization!$A:$A,0))</f>
        <v>INVALID</v>
      </c>
      <c r="B290" s="0" t="s">
        <v>216</v>
      </c>
      <c r="C290" s="0" t="s">
        <v>368</v>
      </c>
      <c r="D290" s="0" t="s">
        <v>48</v>
      </c>
      <c r="E290" s="0" t="str">
        <f aca="false">$B290&amp;"|"&amp;$C290&amp;"|"&amp;$D290</f>
        <v>Mulanje District [umc2n1Z4wNv]|50+|Male</v>
      </c>
      <c r="F290" s="88" t="n">
        <f aca="false">IF(LEFT($B290,4)="_Mil","",INDEX(Cascade!$AA:$AA,MATCH($E290,Cascade!$E:$E,0)))</f>
        <v>996</v>
      </c>
      <c r="G290" s="10" t="n">
        <f aca="false">INDEX(Cascade!$BH:$BH,MATCH($E290,Cascade!$E:$E,0))</f>
        <v>0</v>
      </c>
      <c r="H290" s="10" t="str">
        <f aca="false">IF(OR($C290="01-09",$D290="Male"),"",INDEX(PMTCT!$AC:$AC,MATCH($E290,PMTCT!$E:$E,0)))</f>
        <v/>
      </c>
      <c r="I290" s="10" t="str">
        <f aca="false">IF(OR($C290="01-09",$D290="Male"),"",INDEX(PMTCT!$AS:$AS,MATCH($E290,PMTCT!$E:$E,0)))</f>
        <v/>
      </c>
      <c r="J290" s="10" t="str">
        <f aca="false">INDEX(TB!$P:$P,MATCH($E290,TB!$E:$E,0))</f>
        <v/>
      </c>
      <c r="K290" s="10" t="str">
        <f aca="false">IF(OR($C290="01-09",$C290="10-14",$D290="Female"),"",INDEX(VMMC!$AA:$AA,MATCH($E290,VMMC!$E:$E,0)))</f>
        <v/>
      </c>
      <c r="L290" s="10" t="n">
        <f aca="false">SUM($G290)-SUM($H290:$K290)</f>
        <v>0</v>
      </c>
      <c r="M290" s="88" t="str">
        <f aca="false">IF(OR($C290="01-09",$D290="Male",AND(SUM($G290)=0,SUM($H290)=0)),"",SUM($H290)/SUM($G290))</f>
        <v/>
      </c>
      <c r="N290" s="88" t="str">
        <f aca="false">IF(OR($C290="01-09",$D290="Male",AND(SUM($G290)=0,SUM($I290)=0)),"",SUM($I290)/SUM($G290))</f>
        <v/>
      </c>
      <c r="O290" s="88" t="str">
        <f aca="false">IF(AND(SUM($G290)=0,SUM($J290)=0),"",SUM($J290)/SUM($G290))</f>
        <v/>
      </c>
      <c r="P290" s="88" t="str">
        <f aca="false">IF(OR($C290="01-09",$C290="10-14",$D290="Female",AND(SUM($G290)=0,SUM($K290)=0)),"",SUM($K290)/SUM($G290))</f>
        <v/>
      </c>
      <c r="Q290" s="88"/>
      <c r="R290" s="88"/>
      <c r="S290" s="88"/>
      <c r="T290" s="88"/>
      <c r="U290" s="88" t="n">
        <v>0.145599437644705</v>
      </c>
      <c r="V290" s="88" t="str">
        <f aca="false">IF(SUM($G290)=0,"",SUM($M290:$U290))</f>
        <v/>
      </c>
      <c r="W290" s="88"/>
      <c r="X290" s="39" t="str">
        <f aca="false">IF(OR(SUM($G290)=0,SUM($Q290)=0),"",ROUND(SUM($G290)*SUM($Q290),0))</f>
        <v/>
      </c>
      <c r="Y290" s="39" t="str">
        <f aca="false">IF(SUM($X290)=0,"",IF(SUM($W290)=0,"ENTER YIELD",ROUND($X290/$W290,0)-$X290))</f>
        <v/>
      </c>
      <c r="Z290" s="88"/>
      <c r="AA290" s="39" t="str">
        <f aca="false">IF(OR(SUM($G290)=0,SUM($R290)=0),"",ROUND(SUM($G290)*SUM($R290),0))</f>
        <v/>
      </c>
      <c r="AB290" s="39" t="str">
        <f aca="false">IF(SUM($AA290)=0,"",IF(SUM($Z290)=0,"ENTER YIELD",ROUND($AA290/$Z290,0)-$AA290))</f>
        <v/>
      </c>
      <c r="AC290" s="88"/>
      <c r="AD290" s="39" t="str">
        <f aca="false">IF(OR(SUM($G290)=0,SUM($S290)=0),"",ROUND(SUM($G290)*SUM($S290),0))</f>
        <v/>
      </c>
      <c r="AE290" s="39" t="str">
        <f aca="false">IF(SUM($AD290)=0,"",IF(SUM($AC290)=0,"ENTER YIELD",ROUND($AD290/$AC290,0)-$AD290))</f>
        <v/>
      </c>
      <c r="AF290" s="88"/>
      <c r="AG290" s="39" t="str">
        <f aca="false">IF(OR(SUM($G290)=0,SUM($T290)=0),"",ROUND(SUM($G290)*SUM($T290),0))</f>
        <v/>
      </c>
      <c r="AH290" s="39" t="str">
        <f aca="false">IF(SUM($AG290)=0,"",IF(SUM($AF290)=0,"ENTER YIELD",ROUND($AG290/$AF290,0)-$AG290))</f>
        <v/>
      </c>
      <c r="AI290" s="88" t="n">
        <v>0.025472339708358</v>
      </c>
      <c r="AJ290" s="39" t="str">
        <f aca="false">IF(OR(SUM($G290)=0,SUM($U290)=0),"",ROUND(SUM($G290)*SUM($U290),0))</f>
        <v/>
      </c>
      <c r="AK290" s="39" t="str">
        <f aca="false">IF(SUM($AJ290)=0,"",IF(SUM($AI290)=0,"ENTER YIELD",ROUND($AJ290/$AI290,0)-$AJ290))</f>
        <v/>
      </c>
      <c r="AL290" s="10" t="str">
        <f aca="false">IF(SUM($G290)=0,"",$G290)</f>
        <v/>
      </c>
      <c r="AM290" s="10" t="str">
        <f aca="false">IFERROR(1/(1/SUM($H290:$K290,$X290,$AA290,$AD290,$AG290,$AJ290)),"")</f>
        <v/>
      </c>
      <c r="AN290" s="10" t="str">
        <f aca="false">IF(AND(SUM($AM290)=0,SUM($AL290)=0),"",$AM290-$AL290)</f>
        <v/>
      </c>
      <c r="AO290" s="10" t="str">
        <f aca="false">IF(OR($C290="01-09",$D290="Male"),"",INDEX(PMTCT!$AD:$AD,MATCH($E290,PMTCT!$E:$E,0)))</f>
        <v/>
      </c>
      <c r="AP290" s="10" t="str">
        <f aca="false">IF(OR($C290="01-09",$D290="Male"),"",INDEX(PMTCT!$AT:$AT,MATCH($E290,PMTCT!$E:$E,0)))</f>
        <v/>
      </c>
      <c r="AQ290" s="10" t="str">
        <f aca="false">INDEX(TB!$Q:$Q,MATCH($E290,TB!$E:$E,0))</f>
        <v/>
      </c>
      <c r="AR290" s="10" t="str">
        <f aca="false">IF(OR($C290="01-09",$C290="10-14",$D290="Female"),"",INDEX(VMMC!$AB:$AB,MATCH($E290,VMMC!$E:$E,0)))</f>
        <v/>
      </c>
      <c r="AS290" s="10" t="str">
        <f aca="false">IF(OR($C290="01-09",$C290="10-14"),"",INDEX(PrEP!$Q:$Q,MATCH($E290,PrEP!$E:$E,0)))</f>
        <v/>
      </c>
      <c r="AT290" s="10" t="str">
        <f aca="false">IFERROR(1/(1/SUM($Y290,$AB290,$AE290,$AH290,$AK290,$AO290:$AS290)),"")</f>
        <v/>
      </c>
      <c r="AU290" s="10" t="str">
        <f aca="false">IFERROR(1/(1/SUM($AT290,$AM290)),"")</f>
        <v/>
      </c>
      <c r="AV290" s="88" t="str">
        <f aca="false">IF(AND(SUM($AM290)=0,SUM($AU290)=0),"",$AM290/$AU290)</f>
        <v/>
      </c>
      <c r="AW290" s="10" t="n">
        <v>774</v>
      </c>
      <c r="AX290" s="88" t="n">
        <f aca="false">IF(OR($C290="01-09",SUM($AW290)=0),"",0%)</f>
        <v>0</v>
      </c>
      <c r="AY290" s="39" t="n">
        <f aca="false">IF(OR($C290="01-09",SUM($AW290)=0),"",ROUND($AW290*(1+$AX290),0))</f>
        <v>774</v>
      </c>
      <c r="AZ290" s="88" t="n">
        <f aca="false">IF(OR($C290="01-09",$C290="10-14"),"",100%)</f>
        <v>1</v>
      </c>
      <c r="BA290" s="39" t="str">
        <f aca="false">IF(OR(SUM($AM290)=0,$C290="01-09",$C290="10-14"),"",$AM290*$AZ290)</f>
        <v/>
      </c>
    </row>
    <row r="291" customFormat="false" ht="15" hidden="false" customHeight="false" outlineLevel="0" collapsed="false">
      <c r="A291" s="0" t="str">
        <f aca="false">INDEX(Prioritization!$D:$D,MATCH($B291,Prioritization!$A:$A,0))</f>
        <v>INVALID</v>
      </c>
      <c r="B291" s="0" t="s">
        <v>217</v>
      </c>
      <c r="C291" s="0" t="s">
        <v>363</v>
      </c>
      <c r="D291" s="0" t="s">
        <v>30</v>
      </c>
      <c r="E291" s="0" t="str">
        <f aca="false">$B291&amp;"|"&amp;$C291&amp;"|"&amp;$D291</f>
        <v>Mwanza District [wNqJp8oRIcF]|01-09|Female</v>
      </c>
      <c r="F291" s="88" t="n">
        <f aca="false">IF(LEFT($B291,4)="_Mil","",INDEX(Cascade!$AA:$AA,MATCH($E291,Cascade!$E:$E,0)))</f>
        <v>1944</v>
      </c>
      <c r="G291" s="10" t="n">
        <f aca="false">INDEX(Cascade!$BH:$BH,MATCH($E291,Cascade!$E:$E,0))</f>
        <v>0</v>
      </c>
      <c r="H291" s="10" t="str">
        <f aca="false">IF(OR($C291="01-09",$D291="Male"),"",INDEX(PMTCT!$AC:$AC,MATCH($E291,PMTCT!$E:$E,0)))</f>
        <v/>
      </c>
      <c r="I291" s="10" t="str">
        <f aca="false">IF(OR($C291="01-09",$D291="Male"),"",INDEX(PMTCT!$AS:$AS,MATCH($E291,PMTCT!$E:$E,0)))</f>
        <v/>
      </c>
      <c r="J291" s="10" t="str">
        <f aca="false">INDEX(TB!$P:$P,MATCH($E291,TB!$E:$E,0))</f>
        <v/>
      </c>
      <c r="K291" s="10" t="str">
        <f aca="false">IF(OR($C291="01-09",$C291="10-14",$D291="Female"),"",INDEX(VMMC!$AA:$AA,MATCH($E291,VMMC!$E:$E,0)))</f>
        <v/>
      </c>
      <c r="L291" s="10" t="n">
        <f aca="false">SUM($G291)-SUM($H291:$K291)</f>
        <v>0</v>
      </c>
      <c r="M291" s="88" t="str">
        <f aca="false">IF(OR($C291="01-09",$D291="Male",AND(SUM($G291)=0,SUM($H291)=0)),"",SUM($H291)/SUM($G291))</f>
        <v/>
      </c>
      <c r="N291" s="88" t="str">
        <f aca="false">IF(OR($C291="01-09",$D291="Male",AND(SUM($G291)=0,SUM($I291)=0)),"",SUM($I291)/SUM($G291))</f>
        <v/>
      </c>
      <c r="O291" s="88" t="str">
        <f aca="false">IF(AND(SUM($G291)=0,SUM($J291)=0),"",SUM($J291)/SUM($G291))</f>
        <v/>
      </c>
      <c r="P291" s="88" t="str">
        <f aca="false">IF(OR($C291="01-09",$C291="10-14",$D291="Female",AND(SUM($G291)=0,SUM($K291)=0)),"",SUM($K291)/SUM($G291))</f>
        <v/>
      </c>
      <c r="Q291" s="88"/>
      <c r="R291" s="88"/>
      <c r="S291" s="88"/>
      <c r="T291" s="88"/>
      <c r="U291" s="88"/>
      <c r="V291" s="88" t="str">
        <f aca="false">IF(SUM($G291)=0,"",SUM($M291:$U291))</f>
        <v/>
      </c>
      <c r="W291" s="88"/>
      <c r="X291" s="39" t="str">
        <f aca="false">IF(OR(SUM($G291)=0,SUM($Q291)=0),"",ROUND(SUM($G291)*SUM($Q291),0))</f>
        <v/>
      </c>
      <c r="Y291" s="39" t="str">
        <f aca="false">IF(SUM($X291)=0,"",IF(SUM($W291)=0,"ENTER YIELD",ROUND($X291/$W291,0)-$X291))</f>
        <v/>
      </c>
      <c r="Z291" s="88"/>
      <c r="AA291" s="39" t="str">
        <f aca="false">IF(OR(SUM($G291)=0,SUM($R291)=0),"",ROUND(SUM($G291)*SUM($R291),0))</f>
        <v/>
      </c>
      <c r="AB291" s="39" t="str">
        <f aca="false">IF(SUM($AA291)=0,"",IF(SUM($Z291)=0,"ENTER YIELD",ROUND($AA291/$Z291,0)-$AA291))</f>
        <v/>
      </c>
      <c r="AC291" s="88"/>
      <c r="AD291" s="39" t="str">
        <f aca="false">IF(OR(SUM($G291)=0,SUM($S291)=0),"",ROUND(SUM($G291)*SUM($S291),0))</f>
        <v/>
      </c>
      <c r="AE291" s="39" t="str">
        <f aca="false">IF(SUM($AD291)=0,"",IF(SUM($AC291)=0,"ENTER YIELD",ROUND($AD291/$AC291,0)-$AD291))</f>
        <v/>
      </c>
      <c r="AF291" s="88"/>
      <c r="AG291" s="39" t="str">
        <f aca="false">IF(OR(SUM($G291)=0,SUM($T291)=0),"",ROUND(SUM($G291)*SUM($T291),0))</f>
        <v/>
      </c>
      <c r="AH291" s="39" t="str">
        <f aca="false">IF(SUM($AG291)=0,"",IF(SUM($AF291)=0,"ENTER YIELD",ROUND($AG291/$AF291,0)-$AG291))</f>
        <v/>
      </c>
      <c r="AI291" s="88"/>
      <c r="AJ291" s="39" t="str">
        <f aca="false">IF(OR(SUM($G291)=0,SUM($U291)=0),"",ROUND(SUM($G291)*SUM($U291),0))</f>
        <v/>
      </c>
      <c r="AK291" s="39" t="str">
        <f aca="false">IF(SUM($AJ291)=0,"",IF(SUM($AI291)=0,"ENTER YIELD",ROUND($AJ291/$AI291,0)-$AJ291))</f>
        <v/>
      </c>
      <c r="AL291" s="10" t="str">
        <f aca="false">IF(SUM($G291)=0,"",$G291)</f>
        <v/>
      </c>
      <c r="AM291" s="10" t="str">
        <f aca="false">IFERROR(1/(1/SUM($H291:$K291,$X291,$AA291,$AD291,$AG291,$AJ291)),"")</f>
        <v/>
      </c>
      <c r="AN291" s="10" t="str">
        <f aca="false">IF(AND(SUM($AM291)=0,SUM($AL291)=0),"",$AM291-$AL291)</f>
        <v/>
      </c>
      <c r="AO291" s="10" t="str">
        <f aca="false">IF(OR($C291="01-09",$D291="Male"),"",INDEX(PMTCT!$AD:$AD,MATCH($E291,PMTCT!$E:$E,0)))</f>
        <v/>
      </c>
      <c r="AP291" s="10" t="str">
        <f aca="false">IF(OR($C291="01-09",$D291="Male"),"",INDEX(PMTCT!$AT:$AT,MATCH($E291,PMTCT!$E:$E,0)))</f>
        <v/>
      </c>
      <c r="AQ291" s="10" t="str">
        <f aca="false">INDEX(TB!$Q:$Q,MATCH($E291,TB!$E:$E,0))</f>
        <v/>
      </c>
      <c r="AR291" s="10" t="str">
        <f aca="false">IF(OR($C291="01-09",$C291="10-14",$D291="Female"),"",INDEX(VMMC!$AB:$AB,MATCH($E291,VMMC!$E:$E,0)))</f>
        <v/>
      </c>
      <c r="AS291" s="10" t="str">
        <f aca="false">IF(OR($C291="01-09",$C291="10-14"),"",INDEX(PrEP!$Q:$Q,MATCH($E291,PrEP!$E:$E,0)))</f>
        <v/>
      </c>
      <c r="AT291" s="10" t="str">
        <f aca="false">IFERROR(1/(1/SUM($Y291,$AB291,$AE291,$AH291,$AK291,$AO291:$AS291)),"")</f>
        <v/>
      </c>
      <c r="AU291" s="10" t="str">
        <f aca="false">IFERROR(1/(1/SUM($AT291,$AM291)),"")</f>
        <v/>
      </c>
      <c r="AV291" s="88" t="str">
        <f aca="false">IF(AND(SUM($AM291)=0,SUM($AU291)=0),"",$AM291/$AU291)</f>
        <v/>
      </c>
      <c r="AW291" s="10"/>
      <c r="AX291" s="88" t="str">
        <f aca="false">IF(OR($C291="01-09",SUM($AW291)=0),"",0%)</f>
        <v/>
      </c>
      <c r="AY291" s="39" t="str">
        <f aca="false">IF(OR($C291="01-09",SUM($AW291)=0),"",ROUND($AW291*(1+$AX291),0))</f>
        <v/>
      </c>
      <c r="AZ291" s="88" t="str">
        <f aca="false">IF(OR($C291="01-09",$C291="10-14"),"",100%)</f>
        <v/>
      </c>
      <c r="BA291" s="39" t="str">
        <f aca="false">IF(OR(SUM($AM291)=0,$C291="01-09",$C291="10-14"),"",$AM291*$AZ291)</f>
        <v/>
      </c>
    </row>
    <row r="292" customFormat="false" ht="15" hidden="false" customHeight="false" outlineLevel="0" collapsed="false">
      <c r="A292" s="0" t="str">
        <f aca="false">INDEX(Prioritization!$D:$D,MATCH($B292,Prioritization!$A:$A,0))</f>
        <v>INVALID</v>
      </c>
      <c r="B292" s="0" t="s">
        <v>217</v>
      </c>
      <c r="C292" s="0" t="s">
        <v>363</v>
      </c>
      <c r="D292" s="0" t="s">
        <v>48</v>
      </c>
      <c r="E292" s="0" t="str">
        <f aca="false">$B292&amp;"|"&amp;$C292&amp;"|"&amp;$D292</f>
        <v>Mwanza District [wNqJp8oRIcF]|01-09|Male</v>
      </c>
      <c r="F292" s="88" t="n">
        <f aca="false">IF(LEFT($B292,4)="_Mil","",INDEX(Cascade!$AA:$AA,MATCH($E292,Cascade!$E:$E,0)))</f>
        <v>582</v>
      </c>
      <c r="G292" s="10" t="n">
        <f aca="false">INDEX(Cascade!$BH:$BH,MATCH($E292,Cascade!$E:$E,0))</f>
        <v>0</v>
      </c>
      <c r="H292" s="10" t="str">
        <f aca="false">IF(OR($C292="01-09",$D292="Male"),"",INDEX(PMTCT!$AC:$AC,MATCH($E292,PMTCT!$E:$E,0)))</f>
        <v/>
      </c>
      <c r="I292" s="10" t="str">
        <f aca="false">IF(OR($C292="01-09",$D292="Male"),"",INDEX(PMTCT!$AS:$AS,MATCH($E292,PMTCT!$E:$E,0)))</f>
        <v/>
      </c>
      <c r="J292" s="10" t="str">
        <f aca="false">INDEX(TB!$P:$P,MATCH($E292,TB!$E:$E,0))</f>
        <v/>
      </c>
      <c r="K292" s="10" t="str">
        <f aca="false">IF(OR($C292="01-09",$C292="10-14",$D292="Female"),"",INDEX(VMMC!$AA:$AA,MATCH($E292,VMMC!$E:$E,0)))</f>
        <v/>
      </c>
      <c r="L292" s="10" t="n">
        <f aca="false">SUM($G292)-SUM($H292:$K292)</f>
        <v>0</v>
      </c>
      <c r="M292" s="88" t="str">
        <f aca="false">IF(OR($C292="01-09",$D292="Male",AND(SUM($G292)=0,SUM($H292)=0)),"",SUM($H292)/SUM($G292))</f>
        <v/>
      </c>
      <c r="N292" s="88" t="str">
        <f aca="false">IF(OR($C292="01-09",$D292="Male",AND(SUM($G292)=0,SUM($I292)=0)),"",SUM($I292)/SUM($G292))</f>
        <v/>
      </c>
      <c r="O292" s="88" t="str">
        <f aca="false">IF(AND(SUM($G292)=0,SUM($J292)=0),"",SUM($J292)/SUM($G292))</f>
        <v/>
      </c>
      <c r="P292" s="88" t="str">
        <f aca="false">IF(OR($C292="01-09",$C292="10-14",$D292="Female",AND(SUM($G292)=0,SUM($K292)=0)),"",SUM($K292)/SUM($G292))</f>
        <v/>
      </c>
      <c r="Q292" s="88"/>
      <c r="R292" s="88"/>
      <c r="S292" s="88"/>
      <c r="T292" s="88"/>
      <c r="U292" s="88"/>
      <c r="V292" s="88" t="str">
        <f aca="false">IF(SUM($G292)=0,"",SUM($M292:$U292))</f>
        <v/>
      </c>
      <c r="W292" s="88"/>
      <c r="X292" s="39" t="str">
        <f aca="false">IF(OR(SUM($G292)=0,SUM($Q292)=0),"",ROUND(SUM($G292)*SUM($Q292),0))</f>
        <v/>
      </c>
      <c r="Y292" s="39" t="str">
        <f aca="false">IF(SUM($X292)=0,"",IF(SUM($W292)=0,"ENTER YIELD",ROUND($X292/$W292,0)-$X292))</f>
        <v/>
      </c>
      <c r="Z292" s="88"/>
      <c r="AA292" s="39" t="str">
        <f aca="false">IF(OR(SUM($G292)=0,SUM($R292)=0),"",ROUND(SUM($G292)*SUM($R292),0))</f>
        <v/>
      </c>
      <c r="AB292" s="39" t="str">
        <f aca="false">IF(SUM($AA292)=0,"",IF(SUM($Z292)=0,"ENTER YIELD",ROUND($AA292/$Z292,0)-$AA292))</f>
        <v/>
      </c>
      <c r="AC292" s="88"/>
      <c r="AD292" s="39" t="str">
        <f aca="false">IF(OR(SUM($G292)=0,SUM($S292)=0),"",ROUND(SUM($G292)*SUM($S292),0))</f>
        <v/>
      </c>
      <c r="AE292" s="39" t="str">
        <f aca="false">IF(SUM($AD292)=0,"",IF(SUM($AC292)=0,"ENTER YIELD",ROUND($AD292/$AC292,0)-$AD292))</f>
        <v/>
      </c>
      <c r="AF292" s="88"/>
      <c r="AG292" s="39" t="str">
        <f aca="false">IF(OR(SUM($G292)=0,SUM($T292)=0),"",ROUND(SUM($G292)*SUM($T292),0))</f>
        <v/>
      </c>
      <c r="AH292" s="39" t="str">
        <f aca="false">IF(SUM($AG292)=0,"",IF(SUM($AF292)=0,"ENTER YIELD",ROUND($AG292/$AF292,0)-$AG292))</f>
        <v/>
      </c>
      <c r="AI292" s="88"/>
      <c r="AJ292" s="39" t="str">
        <f aca="false">IF(OR(SUM($G292)=0,SUM($U292)=0),"",ROUND(SUM($G292)*SUM($U292),0))</f>
        <v/>
      </c>
      <c r="AK292" s="39" t="str">
        <f aca="false">IF(SUM($AJ292)=0,"",IF(SUM($AI292)=0,"ENTER YIELD",ROUND($AJ292/$AI292,0)-$AJ292))</f>
        <v/>
      </c>
      <c r="AL292" s="10" t="str">
        <f aca="false">IF(SUM($G292)=0,"",$G292)</f>
        <v/>
      </c>
      <c r="AM292" s="10" t="str">
        <f aca="false">IFERROR(1/(1/SUM($H292:$K292,$X292,$AA292,$AD292,$AG292,$AJ292)),"")</f>
        <v/>
      </c>
      <c r="AN292" s="10" t="str">
        <f aca="false">IF(AND(SUM($AM292)=0,SUM($AL292)=0),"",$AM292-$AL292)</f>
        <v/>
      </c>
      <c r="AO292" s="10" t="str">
        <f aca="false">IF(OR($C292="01-09",$D292="Male"),"",INDEX(PMTCT!$AD:$AD,MATCH($E292,PMTCT!$E:$E,0)))</f>
        <v/>
      </c>
      <c r="AP292" s="10" t="str">
        <f aca="false">IF(OR($C292="01-09",$D292="Male"),"",INDEX(PMTCT!$AT:$AT,MATCH($E292,PMTCT!$E:$E,0)))</f>
        <v/>
      </c>
      <c r="AQ292" s="10" t="str">
        <f aca="false">INDEX(TB!$Q:$Q,MATCH($E292,TB!$E:$E,0))</f>
        <v/>
      </c>
      <c r="AR292" s="10" t="str">
        <f aca="false">IF(OR($C292="01-09",$C292="10-14",$D292="Female"),"",INDEX(VMMC!$AB:$AB,MATCH($E292,VMMC!$E:$E,0)))</f>
        <v/>
      </c>
      <c r="AS292" s="10" t="str">
        <f aca="false">IF(OR($C292="01-09",$C292="10-14"),"",INDEX(PrEP!$Q:$Q,MATCH($E292,PrEP!$E:$E,0)))</f>
        <v/>
      </c>
      <c r="AT292" s="10" t="str">
        <f aca="false">IFERROR(1/(1/SUM($Y292,$AB292,$AE292,$AH292,$AK292,$AO292:$AS292)),"")</f>
        <v/>
      </c>
      <c r="AU292" s="10" t="str">
        <f aca="false">IFERROR(1/(1/SUM($AT292,$AM292)),"")</f>
        <v/>
      </c>
      <c r="AV292" s="88" t="str">
        <f aca="false">IF(AND(SUM($AM292)=0,SUM($AU292)=0),"",$AM292/$AU292)</f>
        <v/>
      </c>
      <c r="AW292" s="10"/>
      <c r="AX292" s="88" t="str">
        <f aca="false">IF(OR($C292="01-09",SUM($AW292)=0),"",0%)</f>
        <v/>
      </c>
      <c r="AY292" s="39" t="str">
        <f aca="false">IF(OR($C292="01-09",SUM($AW292)=0),"",ROUND($AW292*(1+$AX292),0))</f>
        <v/>
      </c>
      <c r="AZ292" s="88" t="str">
        <f aca="false">IF(OR($C292="01-09",$C292="10-14"),"",100%)</f>
        <v/>
      </c>
      <c r="BA292" s="39" t="str">
        <f aca="false">IF(OR(SUM($AM292)=0,$C292="01-09",$C292="10-14"),"",$AM292*$AZ292)</f>
        <v/>
      </c>
    </row>
    <row r="293" customFormat="false" ht="15" hidden="false" customHeight="false" outlineLevel="0" collapsed="false">
      <c r="A293" s="0" t="str">
        <f aca="false">INDEX(Prioritization!$D:$D,MATCH($B293,Prioritization!$A:$A,0))</f>
        <v>INVALID</v>
      </c>
      <c r="B293" s="0" t="s">
        <v>217</v>
      </c>
      <c r="C293" s="0" t="s">
        <v>364</v>
      </c>
      <c r="D293" s="0" t="s">
        <v>30</v>
      </c>
      <c r="E293" s="0" t="str">
        <f aca="false">$B293&amp;"|"&amp;$C293&amp;"|"&amp;$D293</f>
        <v>Mwanza District [wNqJp8oRIcF]|10-14|Female</v>
      </c>
      <c r="F293" s="88" t="n">
        <f aca="false">IF(LEFT($B293,4)="_Mil","",INDEX(Cascade!$AA:$AA,MATCH($E293,Cascade!$E:$E,0)))</f>
        <v>918</v>
      </c>
      <c r="G293" s="10" t="n">
        <f aca="false">INDEX(Cascade!$BH:$BH,MATCH($E293,Cascade!$E:$E,0))</f>
        <v>-8</v>
      </c>
      <c r="H293" s="10" t="str">
        <f aca="false">IF(OR($C293="01-09",$D293="Male"),"",INDEX(PMTCT!$AC:$AC,MATCH($E293,PMTCT!$E:$E,0)))</f>
        <v>ENTER YIELD RATE</v>
      </c>
      <c r="I293" s="10" t="str">
        <f aca="false">IF(OR($C293="01-09",$D293="Male"),"",INDEX(PMTCT!$AS:$AS,MATCH($E293,PMTCT!$E:$E,0)))</f>
        <v>ENTER YIELD RATE</v>
      </c>
      <c r="J293" s="10" t="str">
        <f aca="false">INDEX(TB!$P:$P,MATCH($E293,TB!$E:$E,0))</f>
        <v>ENTER YIELD RATE</v>
      </c>
      <c r="K293" s="10" t="str">
        <f aca="false">IF(OR($C293="01-09",$C293="10-14",$D293="Female"),"",INDEX(VMMC!$AA:$AA,MATCH($E293,VMMC!$E:$E,0)))</f>
        <v/>
      </c>
      <c r="L293" s="10" t="n">
        <f aca="false">SUM($G293)-SUM($H293:$K293)</f>
        <v>-8</v>
      </c>
      <c r="M293" s="88" t="n">
        <f aca="false">IF(OR($C293="01-09",$D293="Male",AND(SUM($G293)=0,SUM($H293)=0)),"",SUM($H293)/SUM($G293))</f>
        <v>-0</v>
      </c>
      <c r="N293" s="88" t="n">
        <f aca="false">IF(OR($C293="01-09",$D293="Male",AND(SUM($G293)=0,SUM($I293)=0)),"",SUM($I293)/SUM($G293))</f>
        <v>-0</v>
      </c>
      <c r="O293" s="88" t="n">
        <f aca="false">IF(AND(SUM($G293)=0,SUM($J293)=0),"",SUM($J293)/SUM($G293))</f>
        <v>-0</v>
      </c>
      <c r="P293" s="88" t="str">
        <f aca="false">IF(OR($C293="01-09",$C293="10-14",$D293="Female",AND(SUM($G293)=0,SUM($K293)=0)),"",SUM($K293)/SUM($G293))</f>
        <v/>
      </c>
      <c r="Q293" s="88" t="n">
        <v>0.707178511889651</v>
      </c>
      <c r="R293" s="88"/>
      <c r="S293" s="88"/>
      <c r="T293" s="88"/>
      <c r="U293" s="88" t="n">
        <v>0.163761544041336</v>
      </c>
      <c r="V293" s="88" t="n">
        <f aca="false">IF(SUM($G293)=0,"",SUM($M293:$U293))</f>
        <v>0.870940055930987</v>
      </c>
      <c r="W293" s="88"/>
      <c r="X293" s="39" t="n">
        <f aca="false">IF(OR(SUM($G293)=0,SUM($Q293)=0),"",ROUND(SUM($G293)*SUM($Q293),0))</f>
        <v>-6</v>
      </c>
      <c r="Y293" s="39" t="str">
        <f aca="false">IF(SUM($X293)=0,"",IF(SUM($W293)=0,"ENTER YIELD",ROUND($X293/$W293,0)-$X293))</f>
        <v>ENTER YIELD</v>
      </c>
      <c r="Z293" s="88"/>
      <c r="AA293" s="39" t="str">
        <f aca="false">IF(OR(SUM($G293)=0,SUM($R293)=0),"",ROUND(SUM($G293)*SUM($R293),0))</f>
        <v/>
      </c>
      <c r="AB293" s="39" t="str">
        <f aca="false">IF(SUM($AA293)=0,"",IF(SUM($Z293)=0,"ENTER YIELD",ROUND($AA293/$Z293,0)-$AA293))</f>
        <v/>
      </c>
      <c r="AC293" s="88"/>
      <c r="AD293" s="39" t="str">
        <f aca="false">IF(OR(SUM($G293)=0,SUM($S293)=0),"",ROUND(SUM($G293)*SUM($S293),0))</f>
        <v/>
      </c>
      <c r="AE293" s="39" t="str">
        <f aca="false">IF(SUM($AD293)=0,"",IF(SUM($AC293)=0,"ENTER YIELD",ROUND($AD293/$AC293,0)-$AD293))</f>
        <v/>
      </c>
      <c r="AF293" s="88"/>
      <c r="AG293" s="39" t="str">
        <f aca="false">IF(OR(SUM($G293)=0,SUM($T293)=0),"",ROUND(SUM($G293)*SUM($T293),0))</f>
        <v/>
      </c>
      <c r="AH293" s="39" t="str">
        <f aca="false">IF(SUM($AG293)=0,"",IF(SUM($AF293)=0,"ENTER YIELD",ROUND($AG293/$AF293,0)-$AG293))</f>
        <v/>
      </c>
      <c r="AI293" s="88"/>
      <c r="AJ293" s="39" t="n">
        <f aca="false">IF(OR(SUM($G293)=0,SUM($U293)=0),"",ROUND(SUM($G293)*SUM($U293),0))</f>
        <v>-1</v>
      </c>
      <c r="AK293" s="39" t="str">
        <f aca="false">IF(SUM($AJ293)=0,"",IF(SUM($AI293)=0,"ENTER YIELD",ROUND($AJ293/$AI293,0)-$AJ293))</f>
        <v>ENTER YIELD</v>
      </c>
      <c r="AL293" s="10" t="n">
        <f aca="false">IF(SUM($G293)=0,"",$G293)</f>
        <v>-8</v>
      </c>
      <c r="AM293" s="10" t="n">
        <f aca="false">IFERROR(1/(1/SUM($H293:$K293,$X293,$AA293,$AD293,$AG293,$AJ293)),"")</f>
        <v>-7</v>
      </c>
      <c r="AN293" s="10" t="n">
        <f aca="false">IF(AND(SUM($AM293)=0,SUM($AL293)=0),"",$AM293-$AL293)</f>
        <v>1</v>
      </c>
      <c r="AO293" s="10" t="n">
        <f aca="false">IF(OR($C293="01-09",$D293="Male"),"",INDEX(PMTCT!$AD:$AD,MATCH($E293,PMTCT!$E:$E,0)))</f>
        <v>1</v>
      </c>
      <c r="AP293" s="10" t="n">
        <f aca="false">IF(OR($C293="01-09",$D293="Male"),"",INDEX(PMTCT!$AT:$AT,MATCH($E293,PMTCT!$E:$E,0)))</f>
        <v>1</v>
      </c>
      <c r="AQ293" s="10" t="n">
        <f aca="false">INDEX(TB!$Q:$Q,MATCH($E293,TB!$E:$E,0))</f>
        <v>1</v>
      </c>
      <c r="AR293" s="10" t="str">
        <f aca="false">IF(OR($C293="01-09",$C293="10-14",$D293="Female"),"",INDEX(VMMC!$AB:$AB,MATCH($E293,VMMC!$E:$E,0)))</f>
        <v/>
      </c>
      <c r="AS293" s="10" t="str">
        <f aca="false">IF(OR($C293="01-09",$C293="10-14"),"",INDEX(PrEP!$Q:$Q,MATCH($E293,PrEP!$E:$E,0)))</f>
        <v/>
      </c>
      <c r="AT293" s="10" t="n">
        <f aca="false">IFERROR(1/(1/SUM($Y293,$AB293,$AE293,$AH293,$AK293,$AO293:$AS293)),"")</f>
        <v>3</v>
      </c>
      <c r="AU293" s="10" t="n">
        <f aca="false">IFERROR(1/(1/SUM($AT293,$AM293)),"")</f>
        <v>-4</v>
      </c>
      <c r="AV293" s="88" t="n">
        <f aca="false">IF(AND(SUM($AM293)=0,SUM($AU293)=0),"",$AM293/$AU293)</f>
        <v>1.75</v>
      </c>
      <c r="AW293" s="10"/>
      <c r="AX293" s="88" t="str">
        <f aca="false">IF(OR($C293="01-09",SUM($AW293)=0),"",0%)</f>
        <v/>
      </c>
      <c r="AY293" s="39" t="str">
        <f aca="false">IF(OR($C293="01-09",SUM($AW293)=0),"",ROUND($AW293*(1+$AX293),0))</f>
        <v/>
      </c>
      <c r="AZ293" s="88" t="str">
        <f aca="false">IF(OR($C293="01-09",$C293="10-14"),"",100%)</f>
        <v/>
      </c>
      <c r="BA293" s="39" t="str">
        <f aca="false">IF(OR(SUM($AM293)=0,$C293="01-09",$C293="10-14"),"",$AM293*$AZ293)</f>
        <v/>
      </c>
    </row>
    <row r="294" customFormat="false" ht="15" hidden="false" customHeight="false" outlineLevel="0" collapsed="false">
      <c r="A294" s="0" t="str">
        <f aca="false">INDEX(Prioritization!$D:$D,MATCH($B294,Prioritization!$A:$A,0))</f>
        <v>INVALID</v>
      </c>
      <c r="B294" s="0" t="s">
        <v>217</v>
      </c>
      <c r="C294" s="0" t="s">
        <v>364</v>
      </c>
      <c r="D294" s="0" t="s">
        <v>48</v>
      </c>
      <c r="E294" s="0" t="str">
        <f aca="false">$B294&amp;"|"&amp;$C294&amp;"|"&amp;$D294</f>
        <v>Mwanza District [wNqJp8oRIcF]|10-14|Male</v>
      </c>
      <c r="F294" s="88" t="n">
        <f aca="false">IF(LEFT($B294,4)="_Mil","",INDEX(Cascade!$AA:$AA,MATCH($E294,Cascade!$E:$E,0)))</f>
        <v>1859</v>
      </c>
      <c r="G294" s="10" t="n">
        <f aca="false">INDEX(Cascade!$BH:$BH,MATCH($E294,Cascade!$E:$E,0))</f>
        <v>-58</v>
      </c>
      <c r="H294" s="10" t="str">
        <f aca="false">IF(OR($C294="01-09",$D294="Male"),"",INDEX(PMTCT!$AC:$AC,MATCH($E294,PMTCT!$E:$E,0)))</f>
        <v/>
      </c>
      <c r="I294" s="10" t="str">
        <f aca="false">IF(OR($C294="01-09",$D294="Male"),"",INDEX(PMTCT!$AS:$AS,MATCH($E294,PMTCT!$E:$E,0)))</f>
        <v/>
      </c>
      <c r="J294" s="10" t="str">
        <f aca="false">INDEX(TB!$P:$P,MATCH($E294,TB!$E:$E,0))</f>
        <v/>
      </c>
      <c r="K294" s="10" t="str">
        <f aca="false">IF(OR($C294="01-09",$C294="10-14",$D294="Female"),"",INDEX(VMMC!$AA:$AA,MATCH($E294,VMMC!$E:$E,0)))</f>
        <v/>
      </c>
      <c r="L294" s="10" t="n">
        <f aca="false">SUM($G294)-SUM($H294:$K294)</f>
        <v>-58</v>
      </c>
      <c r="M294" s="88" t="str">
        <f aca="false">IF(OR($C294="01-09",$D294="Male",AND(SUM($G294)=0,SUM($H294)=0)),"",SUM($H294)/SUM($G294))</f>
        <v/>
      </c>
      <c r="N294" s="88" t="str">
        <f aca="false">IF(OR($C294="01-09",$D294="Male",AND(SUM($G294)=0,SUM($I294)=0)),"",SUM($I294)/SUM($G294))</f>
        <v/>
      </c>
      <c r="O294" s="88" t="n">
        <f aca="false">IF(AND(SUM($G294)=0,SUM($J294)=0),"",SUM($J294)/SUM($G294))</f>
        <v>-0</v>
      </c>
      <c r="P294" s="88" t="str">
        <f aca="false">IF(OR($C294="01-09",$C294="10-14",$D294="Female",AND(SUM($G294)=0,SUM($K294)=0)),"",SUM($K294)/SUM($G294))</f>
        <v/>
      </c>
      <c r="Q294" s="88" t="n">
        <v>0.601071292534471</v>
      </c>
      <c r="R294" s="88"/>
      <c r="S294" s="88"/>
      <c r="T294" s="88"/>
      <c r="U294" s="88" t="n">
        <v>0.0203497228212655</v>
      </c>
      <c r="V294" s="88" t="n">
        <f aca="false">IF(SUM($G294)=0,"",SUM($M294:$U294))</f>
        <v>0.621421015355736</v>
      </c>
      <c r="W294" s="88"/>
      <c r="X294" s="39" t="n">
        <f aca="false">IF(OR(SUM($G294)=0,SUM($Q294)=0),"",ROUND(SUM($G294)*SUM($Q294),0))</f>
        <v>-35</v>
      </c>
      <c r="Y294" s="39" t="str">
        <f aca="false">IF(SUM($X294)=0,"",IF(SUM($W294)=0,"ENTER YIELD",ROUND($X294/$W294,0)-$X294))</f>
        <v>ENTER YIELD</v>
      </c>
      <c r="Z294" s="88"/>
      <c r="AA294" s="39" t="str">
        <f aca="false">IF(OR(SUM($G294)=0,SUM($R294)=0),"",ROUND(SUM($G294)*SUM($R294),0))</f>
        <v/>
      </c>
      <c r="AB294" s="39" t="str">
        <f aca="false">IF(SUM($AA294)=0,"",IF(SUM($Z294)=0,"ENTER YIELD",ROUND($AA294/$Z294,0)-$AA294))</f>
        <v/>
      </c>
      <c r="AC294" s="88"/>
      <c r="AD294" s="39" t="str">
        <f aca="false">IF(OR(SUM($G294)=0,SUM($S294)=0),"",ROUND(SUM($G294)*SUM($S294),0))</f>
        <v/>
      </c>
      <c r="AE294" s="39" t="str">
        <f aca="false">IF(SUM($AD294)=0,"",IF(SUM($AC294)=0,"ENTER YIELD",ROUND($AD294/$AC294,0)-$AD294))</f>
        <v/>
      </c>
      <c r="AF294" s="88"/>
      <c r="AG294" s="39" t="str">
        <f aca="false">IF(OR(SUM($G294)=0,SUM($T294)=0),"",ROUND(SUM($G294)*SUM($T294),0))</f>
        <v/>
      </c>
      <c r="AH294" s="39" t="str">
        <f aca="false">IF(SUM($AG294)=0,"",IF(SUM($AF294)=0,"ENTER YIELD",ROUND($AG294/$AF294,0)-$AG294))</f>
        <v/>
      </c>
      <c r="AI294" s="88"/>
      <c r="AJ294" s="39" t="n">
        <f aca="false">IF(OR(SUM($G294)=0,SUM($U294)=0),"",ROUND(SUM($G294)*SUM($U294),0))</f>
        <v>-1</v>
      </c>
      <c r="AK294" s="39" t="str">
        <f aca="false">IF(SUM($AJ294)=0,"",IF(SUM($AI294)=0,"ENTER YIELD",ROUND($AJ294/$AI294,0)-$AJ294))</f>
        <v>ENTER YIELD</v>
      </c>
      <c r="AL294" s="10" t="n">
        <f aca="false">IF(SUM($G294)=0,"",$G294)</f>
        <v>-58</v>
      </c>
      <c r="AM294" s="10" t="n">
        <f aca="false">IFERROR(1/(1/SUM($H294:$K294,$X294,$AA294,$AD294,$AG294,$AJ294)),"")</f>
        <v>-36</v>
      </c>
      <c r="AN294" s="10" t="n">
        <f aca="false">IF(AND(SUM($AM294)=0,SUM($AL294)=0),"",$AM294-$AL294)</f>
        <v>22</v>
      </c>
      <c r="AO294" s="10" t="str">
        <f aca="false">IF(OR($C294="01-09",$D294="Male"),"",INDEX(PMTCT!$AD:$AD,MATCH($E294,PMTCT!$E:$E,0)))</f>
        <v/>
      </c>
      <c r="AP294" s="10" t="str">
        <f aca="false">IF(OR($C294="01-09",$D294="Male"),"",INDEX(PMTCT!$AT:$AT,MATCH($E294,PMTCT!$E:$E,0)))</f>
        <v/>
      </c>
      <c r="AQ294" s="10" t="str">
        <f aca="false">INDEX(TB!$Q:$Q,MATCH($E294,TB!$E:$E,0))</f>
        <v/>
      </c>
      <c r="AR294" s="10" t="str">
        <f aca="false">IF(OR($C294="01-09",$C294="10-14",$D294="Female"),"",INDEX(VMMC!$AB:$AB,MATCH($E294,VMMC!$E:$E,0)))</f>
        <v/>
      </c>
      <c r="AS294" s="10" t="str">
        <f aca="false">IF(OR($C294="01-09",$C294="10-14"),"",INDEX(PrEP!$Q:$Q,MATCH($E294,PrEP!$E:$E,0)))</f>
        <v/>
      </c>
      <c r="AT294" s="10" t="str">
        <f aca="false">IFERROR(1/(1/SUM($Y294,$AB294,$AE294,$AH294,$AK294,$AO294:$AS294)),"")</f>
        <v/>
      </c>
      <c r="AU294" s="10" t="n">
        <f aca="false">IFERROR(1/(1/SUM($AT294,$AM294)),"")</f>
        <v>-36</v>
      </c>
      <c r="AV294" s="88" t="n">
        <f aca="false">IF(AND(SUM($AM294)=0,SUM($AU294)=0),"",$AM294/$AU294)</f>
        <v>1</v>
      </c>
      <c r="AW294" s="10"/>
      <c r="AX294" s="88" t="str">
        <f aca="false">IF(OR($C294="01-09",SUM($AW294)=0),"",0%)</f>
        <v/>
      </c>
      <c r="AY294" s="39" t="str">
        <f aca="false">IF(OR($C294="01-09",SUM($AW294)=0),"",ROUND($AW294*(1+$AX294),0))</f>
        <v/>
      </c>
      <c r="AZ294" s="88" t="str">
        <f aca="false">IF(OR($C294="01-09",$C294="10-14"),"",100%)</f>
        <v/>
      </c>
      <c r="BA294" s="39" t="str">
        <f aca="false">IF(OR(SUM($AM294)=0,$C294="01-09",$C294="10-14"),"",$AM294*$AZ294)</f>
        <v/>
      </c>
    </row>
    <row r="295" customFormat="false" ht="15" hidden="false" customHeight="false" outlineLevel="0" collapsed="false">
      <c r="A295" s="0" t="str">
        <f aca="false">INDEX(Prioritization!$D:$D,MATCH($B295,Prioritization!$A:$A,0))</f>
        <v>INVALID</v>
      </c>
      <c r="B295" s="0" t="s">
        <v>217</v>
      </c>
      <c r="C295" s="0" t="s">
        <v>365</v>
      </c>
      <c r="D295" s="0" t="s">
        <v>30</v>
      </c>
      <c r="E295" s="0" t="str">
        <f aca="false">$B295&amp;"|"&amp;$C295&amp;"|"&amp;$D295</f>
        <v>Mwanza District [wNqJp8oRIcF]|15-24|Female</v>
      </c>
      <c r="F295" s="88" t="n">
        <f aca="false">IF(LEFT($B295,4)="_Mil","",INDEX(Cascade!$AA:$AA,MATCH($E295,Cascade!$E:$E,0)))</f>
        <v>1427</v>
      </c>
      <c r="G295" s="10" t="n">
        <f aca="false">INDEX(Cascade!$BH:$BH,MATCH($E295,Cascade!$E:$E,0))</f>
        <v>0</v>
      </c>
      <c r="H295" s="10" t="str">
        <f aca="false">IF(OR($C295="01-09",$D295="Male"),"",INDEX(PMTCT!$AC:$AC,MATCH($E295,PMTCT!$E:$E,0)))</f>
        <v/>
      </c>
      <c r="I295" s="10" t="str">
        <f aca="false">IF(OR($C295="01-09",$D295="Male"),"",INDEX(PMTCT!$AS:$AS,MATCH($E295,PMTCT!$E:$E,0)))</f>
        <v/>
      </c>
      <c r="J295" s="10" t="str">
        <f aca="false">INDEX(TB!$P:$P,MATCH($E295,TB!$E:$E,0))</f>
        <v/>
      </c>
      <c r="K295" s="10" t="str">
        <f aca="false">IF(OR($C295="01-09",$C295="10-14",$D295="Female"),"",INDEX(VMMC!$AA:$AA,MATCH($E295,VMMC!$E:$E,0)))</f>
        <v/>
      </c>
      <c r="L295" s="10" t="n">
        <f aca="false">SUM($G295)-SUM($H295:$K295)</f>
        <v>0</v>
      </c>
      <c r="M295" s="88" t="str">
        <f aca="false">IF(OR($C295="01-09",$D295="Male",AND(SUM($G295)=0,SUM($H295)=0)),"",SUM($H295)/SUM($G295))</f>
        <v/>
      </c>
      <c r="N295" s="88" t="str">
        <f aca="false">IF(OR($C295="01-09",$D295="Male",AND(SUM($G295)=0,SUM($I295)=0)),"",SUM($I295)/SUM($G295))</f>
        <v/>
      </c>
      <c r="O295" s="88" t="str">
        <f aca="false">IF(AND(SUM($G295)=0,SUM($J295)=0),"",SUM($J295)/SUM($G295))</f>
        <v/>
      </c>
      <c r="P295" s="88" t="str">
        <f aca="false">IF(OR($C295="01-09",$C295="10-14",$D295="Female",AND(SUM($G295)=0,SUM($K295)=0)),"",SUM($K295)/SUM($G295))</f>
        <v/>
      </c>
      <c r="Q295" s="88"/>
      <c r="R295" s="88"/>
      <c r="S295" s="88"/>
      <c r="T295" s="88"/>
      <c r="U295" s="88"/>
      <c r="V295" s="88" t="str">
        <f aca="false">IF(SUM($G295)=0,"",SUM($M295:$U295))</f>
        <v/>
      </c>
      <c r="W295" s="88"/>
      <c r="X295" s="39" t="str">
        <f aca="false">IF(OR(SUM($G295)=0,SUM($Q295)=0),"",ROUND(SUM($G295)*SUM($Q295),0))</f>
        <v/>
      </c>
      <c r="Y295" s="39" t="str">
        <f aca="false">IF(SUM($X295)=0,"",IF(SUM($W295)=0,"ENTER YIELD",ROUND($X295/$W295,0)-$X295))</f>
        <v/>
      </c>
      <c r="Z295" s="88"/>
      <c r="AA295" s="39" t="str">
        <f aca="false">IF(OR(SUM($G295)=0,SUM($R295)=0),"",ROUND(SUM($G295)*SUM($R295),0))</f>
        <v/>
      </c>
      <c r="AB295" s="39" t="str">
        <f aca="false">IF(SUM($AA295)=0,"",IF(SUM($Z295)=0,"ENTER YIELD",ROUND($AA295/$Z295,0)-$AA295))</f>
        <v/>
      </c>
      <c r="AC295" s="88"/>
      <c r="AD295" s="39" t="str">
        <f aca="false">IF(OR(SUM($G295)=0,SUM($S295)=0),"",ROUND(SUM($G295)*SUM($S295),0))</f>
        <v/>
      </c>
      <c r="AE295" s="39" t="str">
        <f aca="false">IF(SUM($AD295)=0,"",IF(SUM($AC295)=0,"ENTER YIELD",ROUND($AD295/$AC295,0)-$AD295))</f>
        <v/>
      </c>
      <c r="AF295" s="88"/>
      <c r="AG295" s="39" t="str">
        <f aca="false">IF(OR(SUM($G295)=0,SUM($T295)=0),"",ROUND(SUM($G295)*SUM($T295),0))</f>
        <v/>
      </c>
      <c r="AH295" s="39" t="str">
        <f aca="false">IF(SUM($AG295)=0,"",IF(SUM($AF295)=0,"ENTER YIELD",ROUND($AG295/$AF295,0)-$AG295))</f>
        <v/>
      </c>
      <c r="AI295" s="88"/>
      <c r="AJ295" s="39" t="str">
        <f aca="false">IF(OR(SUM($G295)=0,SUM($U295)=0),"",ROUND(SUM($G295)*SUM($U295),0))</f>
        <v/>
      </c>
      <c r="AK295" s="39" t="str">
        <f aca="false">IF(SUM($AJ295)=0,"",IF(SUM($AI295)=0,"ENTER YIELD",ROUND($AJ295/$AI295,0)-$AJ295))</f>
        <v/>
      </c>
      <c r="AL295" s="10" t="str">
        <f aca="false">IF(SUM($G295)=0,"",$G295)</f>
        <v/>
      </c>
      <c r="AM295" s="10" t="str">
        <f aca="false">IFERROR(1/(1/SUM($H295:$K295,$X295,$AA295,$AD295,$AG295,$AJ295)),"")</f>
        <v/>
      </c>
      <c r="AN295" s="10" t="str">
        <f aca="false">IF(AND(SUM($AM295)=0,SUM($AL295)=0),"",$AM295-$AL295)</f>
        <v/>
      </c>
      <c r="AO295" s="10" t="str">
        <f aca="false">IF(OR($C295="01-09",$D295="Male"),"",INDEX(PMTCT!$AD:$AD,MATCH($E295,PMTCT!$E:$E,0)))</f>
        <v/>
      </c>
      <c r="AP295" s="10" t="str">
        <f aca="false">IF(OR($C295="01-09",$D295="Male"),"",INDEX(PMTCT!$AT:$AT,MATCH($E295,PMTCT!$E:$E,0)))</f>
        <v/>
      </c>
      <c r="AQ295" s="10" t="str">
        <f aca="false">INDEX(TB!$Q:$Q,MATCH($E295,TB!$E:$E,0))</f>
        <v/>
      </c>
      <c r="AR295" s="10" t="str">
        <f aca="false">IF(OR($C295="01-09",$C295="10-14",$D295="Female"),"",INDEX(VMMC!$AB:$AB,MATCH($E295,VMMC!$E:$E,0)))</f>
        <v/>
      </c>
      <c r="AS295" s="10" t="str">
        <f aca="false">IF(OR($C295="01-09",$C295="10-14"),"",INDEX(PrEP!$Q:$Q,MATCH($E295,PrEP!$E:$E,0)))</f>
        <v/>
      </c>
      <c r="AT295" s="10" t="str">
        <f aca="false">IFERROR(1/(1/SUM($Y295,$AB295,$AE295,$AH295,$AK295,$AO295:$AS295)),"")</f>
        <v/>
      </c>
      <c r="AU295" s="10" t="str">
        <f aca="false">IFERROR(1/(1/SUM($AT295,$AM295)),"")</f>
        <v/>
      </c>
      <c r="AV295" s="88" t="str">
        <f aca="false">IF(AND(SUM($AM295)=0,SUM($AU295)=0),"",$AM295/$AU295)</f>
        <v/>
      </c>
      <c r="AW295" s="10"/>
      <c r="AX295" s="88" t="str">
        <f aca="false">IF(OR($C295="01-09",SUM($AW295)=0),"",0%)</f>
        <v/>
      </c>
      <c r="AY295" s="39" t="str">
        <f aca="false">IF(OR($C295="01-09",SUM($AW295)=0),"",ROUND($AW295*(1+$AX295),0))</f>
        <v/>
      </c>
      <c r="AZ295" s="88" t="n">
        <f aca="false">IF(OR($C295="01-09",$C295="10-14"),"",100%)</f>
        <v>1</v>
      </c>
      <c r="BA295" s="39" t="str">
        <f aca="false">IF(OR(SUM($AM295)=0,$C295="01-09",$C295="10-14"),"",$AM295*$AZ295)</f>
        <v/>
      </c>
    </row>
    <row r="296" customFormat="false" ht="15" hidden="false" customHeight="false" outlineLevel="0" collapsed="false">
      <c r="A296" s="0" t="str">
        <f aca="false">INDEX(Prioritization!$D:$D,MATCH($B296,Prioritization!$A:$A,0))</f>
        <v>INVALID</v>
      </c>
      <c r="B296" s="0" t="s">
        <v>217</v>
      </c>
      <c r="C296" s="0" t="s">
        <v>365</v>
      </c>
      <c r="D296" s="0" t="s">
        <v>48</v>
      </c>
      <c r="E296" s="0" t="str">
        <f aca="false">$B296&amp;"|"&amp;$C296&amp;"|"&amp;$D296</f>
        <v>Mwanza District [wNqJp8oRIcF]|15-24|Male</v>
      </c>
      <c r="F296" s="88" t="n">
        <f aca="false">IF(LEFT($B296,4)="_Mil","",INDEX(Cascade!$AA:$AA,MATCH($E296,Cascade!$E:$E,0)))</f>
        <v>636</v>
      </c>
      <c r="G296" s="10" t="n">
        <f aca="false">INDEX(Cascade!$BH:$BH,MATCH($E296,Cascade!$E:$E,0))</f>
        <v>0</v>
      </c>
      <c r="H296" s="10" t="str">
        <f aca="false">IF(OR($C296="01-09",$D296="Male"),"",INDEX(PMTCT!$AC:$AC,MATCH($E296,PMTCT!$E:$E,0)))</f>
        <v/>
      </c>
      <c r="I296" s="10" t="str">
        <f aca="false">IF(OR($C296="01-09",$D296="Male"),"",INDEX(PMTCT!$AS:$AS,MATCH($E296,PMTCT!$E:$E,0)))</f>
        <v/>
      </c>
      <c r="J296" s="10" t="str">
        <f aca="false">INDEX(TB!$P:$P,MATCH($E296,TB!$E:$E,0))</f>
        <v/>
      </c>
      <c r="K296" s="10" t="str">
        <f aca="false">IF(OR($C296="01-09",$C296="10-14",$D296="Female"),"",INDEX(VMMC!$AA:$AA,MATCH($E296,VMMC!$E:$E,0)))</f>
        <v/>
      </c>
      <c r="L296" s="10" t="n">
        <f aca="false">SUM($G296)-SUM($H296:$K296)</f>
        <v>0</v>
      </c>
      <c r="M296" s="88" t="str">
        <f aca="false">IF(OR($C296="01-09",$D296="Male",AND(SUM($G296)=0,SUM($H296)=0)),"",SUM($H296)/SUM($G296))</f>
        <v/>
      </c>
      <c r="N296" s="88" t="str">
        <f aca="false">IF(OR($C296="01-09",$D296="Male",AND(SUM($G296)=0,SUM($I296)=0)),"",SUM($I296)/SUM($G296))</f>
        <v/>
      </c>
      <c r="O296" s="88" t="str">
        <f aca="false">IF(AND(SUM($G296)=0,SUM($J296)=0),"",SUM($J296)/SUM($G296))</f>
        <v/>
      </c>
      <c r="P296" s="88" t="str">
        <f aca="false">IF(OR($C296="01-09",$C296="10-14",$D296="Female",AND(SUM($G296)=0,SUM($K296)=0)),"",SUM($K296)/SUM($G296))</f>
        <v/>
      </c>
      <c r="Q296" s="88"/>
      <c r="R296" s="88"/>
      <c r="S296" s="88"/>
      <c r="T296" s="88"/>
      <c r="U296" s="88"/>
      <c r="V296" s="88" t="str">
        <f aca="false">IF(SUM($G296)=0,"",SUM($M296:$U296))</f>
        <v/>
      </c>
      <c r="W296" s="88"/>
      <c r="X296" s="39" t="str">
        <f aca="false">IF(OR(SUM($G296)=0,SUM($Q296)=0),"",ROUND(SUM($G296)*SUM($Q296),0))</f>
        <v/>
      </c>
      <c r="Y296" s="39" t="str">
        <f aca="false">IF(SUM($X296)=0,"",IF(SUM($W296)=0,"ENTER YIELD",ROUND($X296/$W296,0)-$X296))</f>
        <v/>
      </c>
      <c r="Z296" s="88"/>
      <c r="AA296" s="39" t="str">
        <f aca="false">IF(OR(SUM($G296)=0,SUM($R296)=0),"",ROUND(SUM($G296)*SUM($R296),0))</f>
        <v/>
      </c>
      <c r="AB296" s="39" t="str">
        <f aca="false">IF(SUM($AA296)=0,"",IF(SUM($Z296)=0,"ENTER YIELD",ROUND($AA296/$Z296,0)-$AA296))</f>
        <v/>
      </c>
      <c r="AC296" s="88"/>
      <c r="AD296" s="39" t="str">
        <f aca="false">IF(OR(SUM($G296)=0,SUM($S296)=0),"",ROUND(SUM($G296)*SUM($S296),0))</f>
        <v/>
      </c>
      <c r="AE296" s="39" t="str">
        <f aca="false">IF(SUM($AD296)=0,"",IF(SUM($AC296)=0,"ENTER YIELD",ROUND($AD296/$AC296,0)-$AD296))</f>
        <v/>
      </c>
      <c r="AF296" s="88"/>
      <c r="AG296" s="39" t="str">
        <f aca="false">IF(OR(SUM($G296)=0,SUM($T296)=0),"",ROUND(SUM($G296)*SUM($T296),0))</f>
        <v/>
      </c>
      <c r="AH296" s="39" t="str">
        <f aca="false">IF(SUM($AG296)=0,"",IF(SUM($AF296)=0,"ENTER YIELD",ROUND($AG296/$AF296,0)-$AG296))</f>
        <v/>
      </c>
      <c r="AI296" s="88"/>
      <c r="AJ296" s="39" t="str">
        <f aca="false">IF(OR(SUM($G296)=0,SUM($U296)=0),"",ROUND(SUM($G296)*SUM($U296),0))</f>
        <v/>
      </c>
      <c r="AK296" s="39" t="str">
        <f aca="false">IF(SUM($AJ296)=0,"",IF(SUM($AI296)=0,"ENTER YIELD",ROUND($AJ296/$AI296,0)-$AJ296))</f>
        <v/>
      </c>
      <c r="AL296" s="10" t="str">
        <f aca="false">IF(SUM($G296)=0,"",$G296)</f>
        <v/>
      </c>
      <c r="AM296" s="10" t="str">
        <f aca="false">IFERROR(1/(1/SUM($H296:$K296,$X296,$AA296,$AD296,$AG296,$AJ296)),"")</f>
        <v/>
      </c>
      <c r="AN296" s="10" t="str">
        <f aca="false">IF(AND(SUM($AM296)=0,SUM($AL296)=0),"",$AM296-$AL296)</f>
        <v/>
      </c>
      <c r="AO296" s="10" t="str">
        <f aca="false">IF(OR($C296="01-09",$D296="Male"),"",INDEX(PMTCT!$AD:$AD,MATCH($E296,PMTCT!$E:$E,0)))</f>
        <v/>
      </c>
      <c r="AP296" s="10" t="str">
        <f aca="false">IF(OR($C296="01-09",$D296="Male"),"",INDEX(PMTCT!$AT:$AT,MATCH($E296,PMTCT!$E:$E,0)))</f>
        <v/>
      </c>
      <c r="AQ296" s="10" t="str">
        <f aca="false">INDEX(TB!$Q:$Q,MATCH($E296,TB!$E:$E,0))</f>
        <v/>
      </c>
      <c r="AR296" s="10" t="str">
        <f aca="false">IF(OR($C296="01-09",$C296="10-14",$D296="Female"),"",INDEX(VMMC!$AB:$AB,MATCH($E296,VMMC!$E:$E,0)))</f>
        <v/>
      </c>
      <c r="AS296" s="10" t="str">
        <f aca="false">IF(OR($C296="01-09",$C296="10-14"),"",INDEX(PrEP!$Q:$Q,MATCH($E296,PrEP!$E:$E,0)))</f>
        <v/>
      </c>
      <c r="AT296" s="10" t="str">
        <f aca="false">IFERROR(1/(1/SUM($Y296,$AB296,$AE296,$AH296,$AK296,$AO296:$AS296)),"")</f>
        <v/>
      </c>
      <c r="AU296" s="10" t="str">
        <f aca="false">IFERROR(1/(1/SUM($AT296,$AM296)),"")</f>
        <v/>
      </c>
      <c r="AV296" s="88" t="str">
        <f aca="false">IF(AND(SUM($AM296)=0,SUM($AU296)=0),"",$AM296/$AU296)</f>
        <v/>
      </c>
      <c r="AW296" s="10"/>
      <c r="AX296" s="88" t="str">
        <f aca="false">IF(OR($C296="01-09",SUM($AW296)=0),"",0%)</f>
        <v/>
      </c>
      <c r="AY296" s="39" t="str">
        <f aca="false">IF(OR($C296="01-09",SUM($AW296)=0),"",ROUND($AW296*(1+$AX296),0))</f>
        <v/>
      </c>
      <c r="AZ296" s="88" t="n">
        <f aca="false">IF(OR($C296="01-09",$C296="10-14"),"",100%)</f>
        <v>1</v>
      </c>
      <c r="BA296" s="39" t="str">
        <f aca="false">IF(OR(SUM($AM296)=0,$C296="01-09",$C296="10-14"),"",$AM296*$AZ296)</f>
        <v/>
      </c>
    </row>
    <row r="297" customFormat="false" ht="15" hidden="false" customHeight="false" outlineLevel="0" collapsed="false">
      <c r="A297" s="0" t="str">
        <f aca="false">INDEX(Prioritization!$D:$D,MATCH($B297,Prioritization!$A:$A,0))</f>
        <v>INVALID</v>
      </c>
      <c r="B297" s="0" t="s">
        <v>217</v>
      </c>
      <c r="C297" s="0" t="s">
        <v>366</v>
      </c>
      <c r="D297" s="0" t="s">
        <v>30</v>
      </c>
      <c r="E297" s="0" t="str">
        <f aca="false">$B297&amp;"|"&amp;$C297&amp;"|"&amp;$D297</f>
        <v>Mwanza District [wNqJp8oRIcF]|25-34|Female</v>
      </c>
      <c r="F297" s="88" t="n">
        <f aca="false">IF(LEFT($B297,4)="_Mil","",INDEX(Cascade!$AA:$AA,MATCH($E297,Cascade!$E:$E,0)))</f>
        <v>935</v>
      </c>
      <c r="G297" s="10" t="n">
        <f aca="false">INDEX(Cascade!$BH:$BH,MATCH($E297,Cascade!$E:$E,0))</f>
        <v>0</v>
      </c>
      <c r="H297" s="10" t="str">
        <f aca="false">IF(OR($C297="01-09",$D297="Male"),"",INDEX(PMTCT!$AC:$AC,MATCH($E297,PMTCT!$E:$E,0)))</f>
        <v/>
      </c>
      <c r="I297" s="10" t="str">
        <f aca="false">IF(OR($C297="01-09",$D297="Male"),"",INDEX(PMTCT!$AS:$AS,MATCH($E297,PMTCT!$E:$E,0)))</f>
        <v/>
      </c>
      <c r="J297" s="10" t="str">
        <f aca="false">INDEX(TB!$P:$P,MATCH($E297,TB!$E:$E,0))</f>
        <v/>
      </c>
      <c r="K297" s="10" t="str">
        <f aca="false">IF(OR($C297="01-09",$C297="10-14",$D297="Female"),"",INDEX(VMMC!$AA:$AA,MATCH($E297,VMMC!$E:$E,0)))</f>
        <v/>
      </c>
      <c r="L297" s="10" t="n">
        <f aca="false">SUM($G297)-SUM($H297:$K297)</f>
        <v>0</v>
      </c>
      <c r="M297" s="88" t="str">
        <f aca="false">IF(OR($C297="01-09",$D297="Male",AND(SUM($G297)=0,SUM($H297)=0)),"",SUM($H297)/SUM($G297))</f>
        <v/>
      </c>
      <c r="N297" s="88" t="str">
        <f aca="false">IF(OR($C297="01-09",$D297="Male",AND(SUM($G297)=0,SUM($I297)=0)),"",SUM($I297)/SUM($G297))</f>
        <v/>
      </c>
      <c r="O297" s="88" t="str">
        <f aca="false">IF(AND(SUM($G297)=0,SUM($J297)=0),"",SUM($J297)/SUM($G297))</f>
        <v/>
      </c>
      <c r="P297" s="88" t="str">
        <f aca="false">IF(OR($C297="01-09",$C297="10-14",$D297="Female",AND(SUM($G297)=0,SUM($K297)=0)),"",SUM($K297)/SUM($G297))</f>
        <v/>
      </c>
      <c r="Q297" s="88"/>
      <c r="R297" s="88"/>
      <c r="S297" s="88"/>
      <c r="T297" s="88"/>
      <c r="U297" s="88"/>
      <c r="V297" s="88" t="str">
        <f aca="false">IF(SUM($G297)=0,"",SUM($M297:$U297))</f>
        <v/>
      </c>
      <c r="W297" s="88"/>
      <c r="X297" s="39" t="str">
        <f aca="false">IF(OR(SUM($G297)=0,SUM($Q297)=0),"",ROUND(SUM($G297)*SUM($Q297),0))</f>
        <v/>
      </c>
      <c r="Y297" s="39" t="str">
        <f aca="false">IF(SUM($X297)=0,"",IF(SUM($W297)=0,"ENTER YIELD",ROUND($X297/$W297,0)-$X297))</f>
        <v/>
      </c>
      <c r="Z297" s="88"/>
      <c r="AA297" s="39" t="str">
        <f aca="false">IF(OR(SUM($G297)=0,SUM($R297)=0),"",ROUND(SUM($G297)*SUM($R297),0))</f>
        <v/>
      </c>
      <c r="AB297" s="39" t="str">
        <f aca="false">IF(SUM($AA297)=0,"",IF(SUM($Z297)=0,"ENTER YIELD",ROUND($AA297/$Z297,0)-$AA297))</f>
        <v/>
      </c>
      <c r="AC297" s="88"/>
      <c r="AD297" s="39" t="str">
        <f aca="false">IF(OR(SUM($G297)=0,SUM($S297)=0),"",ROUND(SUM($G297)*SUM($S297),0))</f>
        <v/>
      </c>
      <c r="AE297" s="39" t="str">
        <f aca="false">IF(SUM($AD297)=0,"",IF(SUM($AC297)=0,"ENTER YIELD",ROUND($AD297/$AC297,0)-$AD297))</f>
        <v/>
      </c>
      <c r="AF297" s="88"/>
      <c r="AG297" s="39" t="str">
        <f aca="false">IF(OR(SUM($G297)=0,SUM($T297)=0),"",ROUND(SUM($G297)*SUM($T297),0))</f>
        <v/>
      </c>
      <c r="AH297" s="39" t="str">
        <f aca="false">IF(SUM($AG297)=0,"",IF(SUM($AF297)=0,"ENTER YIELD",ROUND($AG297/$AF297,0)-$AG297))</f>
        <v/>
      </c>
      <c r="AI297" s="88"/>
      <c r="AJ297" s="39" t="str">
        <f aca="false">IF(OR(SUM($G297)=0,SUM($U297)=0),"",ROUND(SUM($G297)*SUM($U297),0))</f>
        <v/>
      </c>
      <c r="AK297" s="39" t="str">
        <f aca="false">IF(SUM($AJ297)=0,"",IF(SUM($AI297)=0,"ENTER YIELD",ROUND($AJ297/$AI297,0)-$AJ297))</f>
        <v/>
      </c>
      <c r="AL297" s="10" t="str">
        <f aca="false">IF(SUM($G297)=0,"",$G297)</f>
        <v/>
      </c>
      <c r="AM297" s="10" t="str">
        <f aca="false">IFERROR(1/(1/SUM($H297:$K297,$X297,$AA297,$AD297,$AG297,$AJ297)),"")</f>
        <v/>
      </c>
      <c r="AN297" s="10" t="str">
        <f aca="false">IF(AND(SUM($AM297)=0,SUM($AL297)=0),"",$AM297-$AL297)</f>
        <v/>
      </c>
      <c r="AO297" s="10" t="str">
        <f aca="false">IF(OR($C297="01-09",$D297="Male"),"",INDEX(PMTCT!$AD:$AD,MATCH($E297,PMTCT!$E:$E,0)))</f>
        <v/>
      </c>
      <c r="AP297" s="10" t="str">
        <f aca="false">IF(OR($C297="01-09",$D297="Male"),"",INDEX(PMTCT!$AT:$AT,MATCH($E297,PMTCT!$E:$E,0)))</f>
        <v/>
      </c>
      <c r="AQ297" s="10" t="str">
        <f aca="false">INDEX(TB!$Q:$Q,MATCH($E297,TB!$E:$E,0))</f>
        <v/>
      </c>
      <c r="AR297" s="10" t="str">
        <f aca="false">IF(OR($C297="01-09",$C297="10-14",$D297="Female"),"",INDEX(VMMC!$AB:$AB,MATCH($E297,VMMC!$E:$E,0)))</f>
        <v/>
      </c>
      <c r="AS297" s="10" t="str">
        <f aca="false">IF(OR($C297="01-09",$C297="10-14"),"",INDEX(PrEP!$Q:$Q,MATCH($E297,PrEP!$E:$E,0)))</f>
        <v/>
      </c>
      <c r="AT297" s="10" t="str">
        <f aca="false">IFERROR(1/(1/SUM($Y297,$AB297,$AE297,$AH297,$AK297,$AO297:$AS297)),"")</f>
        <v/>
      </c>
      <c r="AU297" s="10" t="str">
        <f aca="false">IFERROR(1/(1/SUM($AT297,$AM297)),"")</f>
        <v/>
      </c>
      <c r="AV297" s="88" t="str">
        <f aca="false">IF(AND(SUM($AM297)=0,SUM($AU297)=0),"",$AM297/$AU297)</f>
        <v/>
      </c>
      <c r="AW297" s="10"/>
      <c r="AX297" s="88" t="str">
        <f aca="false">IF(OR($C297="01-09",SUM($AW297)=0),"",0%)</f>
        <v/>
      </c>
      <c r="AY297" s="39" t="str">
        <f aca="false">IF(OR($C297="01-09",SUM($AW297)=0),"",ROUND($AW297*(1+$AX297),0))</f>
        <v/>
      </c>
      <c r="AZ297" s="88" t="n">
        <f aca="false">IF(OR($C297="01-09",$C297="10-14"),"",100%)</f>
        <v>1</v>
      </c>
      <c r="BA297" s="39" t="str">
        <f aca="false">IF(OR(SUM($AM297)=0,$C297="01-09",$C297="10-14"),"",$AM297*$AZ297)</f>
        <v/>
      </c>
    </row>
    <row r="298" customFormat="false" ht="15" hidden="false" customHeight="false" outlineLevel="0" collapsed="false">
      <c r="A298" s="0" t="str">
        <f aca="false">INDEX(Prioritization!$D:$D,MATCH($B298,Prioritization!$A:$A,0))</f>
        <v>INVALID</v>
      </c>
      <c r="B298" s="0" t="s">
        <v>217</v>
      </c>
      <c r="C298" s="0" t="s">
        <v>366</v>
      </c>
      <c r="D298" s="0" t="s">
        <v>48</v>
      </c>
      <c r="E298" s="0" t="str">
        <f aca="false">$B298&amp;"|"&amp;$C298&amp;"|"&amp;$D298</f>
        <v>Mwanza District [wNqJp8oRIcF]|25-34|Male</v>
      </c>
      <c r="F298" s="88" t="n">
        <f aca="false">IF(LEFT($B298,4)="_Mil","",INDEX(Cascade!$AA:$AA,MATCH($E298,Cascade!$E:$E,0)))</f>
        <v>635</v>
      </c>
      <c r="G298" s="10" t="n">
        <f aca="false">INDEX(Cascade!$BH:$BH,MATCH($E298,Cascade!$E:$E,0))</f>
        <v>0</v>
      </c>
      <c r="H298" s="10" t="str">
        <f aca="false">IF(OR($C298="01-09",$D298="Male"),"",INDEX(PMTCT!$AC:$AC,MATCH($E298,PMTCT!$E:$E,0)))</f>
        <v/>
      </c>
      <c r="I298" s="10" t="str">
        <f aca="false">IF(OR($C298="01-09",$D298="Male"),"",INDEX(PMTCT!$AS:$AS,MATCH($E298,PMTCT!$E:$E,0)))</f>
        <v/>
      </c>
      <c r="J298" s="10" t="str">
        <f aca="false">INDEX(TB!$P:$P,MATCH($E298,TB!$E:$E,0))</f>
        <v/>
      </c>
      <c r="K298" s="10" t="str">
        <f aca="false">IF(OR($C298="01-09",$C298="10-14",$D298="Female"),"",INDEX(VMMC!$AA:$AA,MATCH($E298,VMMC!$E:$E,0)))</f>
        <v/>
      </c>
      <c r="L298" s="10" t="n">
        <f aca="false">SUM($G298)-SUM($H298:$K298)</f>
        <v>0</v>
      </c>
      <c r="M298" s="88" t="str">
        <f aca="false">IF(OR($C298="01-09",$D298="Male",AND(SUM($G298)=0,SUM($H298)=0)),"",SUM($H298)/SUM($G298))</f>
        <v/>
      </c>
      <c r="N298" s="88" t="str">
        <f aca="false">IF(OR($C298="01-09",$D298="Male",AND(SUM($G298)=0,SUM($I298)=0)),"",SUM($I298)/SUM($G298))</f>
        <v/>
      </c>
      <c r="O298" s="88" t="str">
        <f aca="false">IF(AND(SUM($G298)=0,SUM($J298)=0),"",SUM($J298)/SUM($G298))</f>
        <v/>
      </c>
      <c r="P298" s="88" t="str">
        <f aca="false">IF(OR($C298="01-09",$C298="10-14",$D298="Female",AND(SUM($G298)=0,SUM($K298)=0)),"",SUM($K298)/SUM($G298))</f>
        <v/>
      </c>
      <c r="Q298" s="88"/>
      <c r="R298" s="88"/>
      <c r="S298" s="88"/>
      <c r="T298" s="88"/>
      <c r="U298" s="88"/>
      <c r="V298" s="88" t="str">
        <f aca="false">IF(SUM($G298)=0,"",SUM($M298:$U298))</f>
        <v/>
      </c>
      <c r="W298" s="88"/>
      <c r="X298" s="39" t="str">
        <f aca="false">IF(OR(SUM($G298)=0,SUM($Q298)=0),"",ROUND(SUM($G298)*SUM($Q298),0))</f>
        <v/>
      </c>
      <c r="Y298" s="39" t="str">
        <f aca="false">IF(SUM($X298)=0,"",IF(SUM($W298)=0,"ENTER YIELD",ROUND($X298/$W298,0)-$X298))</f>
        <v/>
      </c>
      <c r="Z298" s="88"/>
      <c r="AA298" s="39" t="str">
        <f aca="false">IF(OR(SUM($G298)=0,SUM($R298)=0),"",ROUND(SUM($G298)*SUM($R298),0))</f>
        <v/>
      </c>
      <c r="AB298" s="39" t="str">
        <f aca="false">IF(SUM($AA298)=0,"",IF(SUM($Z298)=0,"ENTER YIELD",ROUND($AA298/$Z298,0)-$AA298))</f>
        <v/>
      </c>
      <c r="AC298" s="88"/>
      <c r="AD298" s="39" t="str">
        <f aca="false">IF(OR(SUM($G298)=0,SUM($S298)=0),"",ROUND(SUM($G298)*SUM($S298),0))</f>
        <v/>
      </c>
      <c r="AE298" s="39" t="str">
        <f aca="false">IF(SUM($AD298)=0,"",IF(SUM($AC298)=0,"ENTER YIELD",ROUND($AD298/$AC298,0)-$AD298))</f>
        <v/>
      </c>
      <c r="AF298" s="88"/>
      <c r="AG298" s="39" t="str">
        <f aca="false">IF(OR(SUM($G298)=0,SUM($T298)=0),"",ROUND(SUM($G298)*SUM($T298),0))</f>
        <v/>
      </c>
      <c r="AH298" s="39" t="str">
        <f aca="false">IF(SUM($AG298)=0,"",IF(SUM($AF298)=0,"ENTER YIELD",ROUND($AG298/$AF298,0)-$AG298))</f>
        <v/>
      </c>
      <c r="AI298" s="88"/>
      <c r="AJ298" s="39" t="str">
        <f aca="false">IF(OR(SUM($G298)=0,SUM($U298)=0),"",ROUND(SUM($G298)*SUM($U298),0))</f>
        <v/>
      </c>
      <c r="AK298" s="39" t="str">
        <f aca="false">IF(SUM($AJ298)=0,"",IF(SUM($AI298)=0,"ENTER YIELD",ROUND($AJ298/$AI298,0)-$AJ298))</f>
        <v/>
      </c>
      <c r="AL298" s="10" t="str">
        <f aca="false">IF(SUM($G298)=0,"",$G298)</f>
        <v/>
      </c>
      <c r="AM298" s="10" t="str">
        <f aca="false">IFERROR(1/(1/SUM($H298:$K298,$X298,$AA298,$AD298,$AG298,$AJ298)),"")</f>
        <v/>
      </c>
      <c r="AN298" s="10" t="str">
        <f aca="false">IF(AND(SUM($AM298)=0,SUM($AL298)=0),"",$AM298-$AL298)</f>
        <v/>
      </c>
      <c r="AO298" s="10" t="str">
        <f aca="false">IF(OR($C298="01-09",$D298="Male"),"",INDEX(PMTCT!$AD:$AD,MATCH($E298,PMTCT!$E:$E,0)))</f>
        <v/>
      </c>
      <c r="AP298" s="10" t="str">
        <f aca="false">IF(OR($C298="01-09",$D298="Male"),"",INDEX(PMTCT!$AT:$AT,MATCH($E298,PMTCT!$E:$E,0)))</f>
        <v/>
      </c>
      <c r="AQ298" s="10" t="str">
        <f aca="false">INDEX(TB!$Q:$Q,MATCH($E298,TB!$E:$E,0))</f>
        <v/>
      </c>
      <c r="AR298" s="10" t="str">
        <f aca="false">IF(OR($C298="01-09",$C298="10-14",$D298="Female"),"",INDEX(VMMC!$AB:$AB,MATCH($E298,VMMC!$E:$E,0)))</f>
        <v/>
      </c>
      <c r="AS298" s="10" t="str">
        <f aca="false">IF(OR($C298="01-09",$C298="10-14"),"",INDEX(PrEP!$Q:$Q,MATCH($E298,PrEP!$E:$E,0)))</f>
        <v/>
      </c>
      <c r="AT298" s="10" t="str">
        <f aca="false">IFERROR(1/(1/SUM($Y298,$AB298,$AE298,$AH298,$AK298,$AO298:$AS298)),"")</f>
        <v/>
      </c>
      <c r="AU298" s="10" t="str">
        <f aca="false">IFERROR(1/(1/SUM($AT298,$AM298)),"")</f>
        <v/>
      </c>
      <c r="AV298" s="88" t="str">
        <f aca="false">IF(AND(SUM($AM298)=0,SUM($AU298)=0),"",$AM298/$AU298)</f>
        <v/>
      </c>
      <c r="AW298" s="10"/>
      <c r="AX298" s="88" t="str">
        <f aca="false">IF(OR($C298="01-09",SUM($AW298)=0),"",0%)</f>
        <v/>
      </c>
      <c r="AY298" s="39" t="str">
        <f aca="false">IF(OR($C298="01-09",SUM($AW298)=0),"",ROUND($AW298*(1+$AX298),0))</f>
        <v/>
      </c>
      <c r="AZ298" s="88" t="n">
        <f aca="false">IF(OR($C298="01-09",$C298="10-14"),"",100%)</f>
        <v>1</v>
      </c>
      <c r="BA298" s="39" t="str">
        <f aca="false">IF(OR(SUM($AM298)=0,$C298="01-09",$C298="10-14"),"",$AM298*$AZ298)</f>
        <v/>
      </c>
    </row>
    <row r="299" customFormat="false" ht="15" hidden="false" customHeight="false" outlineLevel="0" collapsed="false">
      <c r="A299" s="0" t="str">
        <f aca="false">INDEX(Prioritization!$D:$D,MATCH($B299,Prioritization!$A:$A,0))</f>
        <v>INVALID</v>
      </c>
      <c r="B299" s="0" t="s">
        <v>217</v>
      </c>
      <c r="C299" s="0" t="s">
        <v>367</v>
      </c>
      <c r="D299" s="0" t="s">
        <v>30</v>
      </c>
      <c r="E299" s="0" t="str">
        <f aca="false">$B299&amp;"|"&amp;$C299&amp;"|"&amp;$D299</f>
        <v>Mwanza District [wNqJp8oRIcF]|35-49|Female</v>
      </c>
      <c r="F299" s="88" t="n">
        <f aca="false">IF(LEFT($B299,4)="_Mil","",INDEX(Cascade!$AA:$AA,MATCH($E299,Cascade!$E:$E,0)))</f>
        <v>1672</v>
      </c>
      <c r="G299" s="10" t="n">
        <f aca="false">INDEX(Cascade!$BH:$BH,MATCH($E299,Cascade!$E:$E,0))</f>
        <v>0</v>
      </c>
      <c r="H299" s="10" t="str">
        <f aca="false">IF(OR($C299="01-09",$D299="Male"),"",INDEX(PMTCT!$AC:$AC,MATCH($E299,PMTCT!$E:$E,0)))</f>
        <v/>
      </c>
      <c r="I299" s="10" t="str">
        <f aca="false">IF(OR($C299="01-09",$D299="Male"),"",INDEX(PMTCT!$AS:$AS,MATCH($E299,PMTCT!$E:$E,0)))</f>
        <v/>
      </c>
      <c r="J299" s="10" t="str">
        <f aca="false">INDEX(TB!$P:$P,MATCH($E299,TB!$E:$E,0))</f>
        <v/>
      </c>
      <c r="K299" s="10" t="str">
        <f aca="false">IF(OR($C299="01-09",$C299="10-14",$D299="Female"),"",INDEX(VMMC!$AA:$AA,MATCH($E299,VMMC!$E:$E,0)))</f>
        <v/>
      </c>
      <c r="L299" s="10" t="n">
        <f aca="false">SUM($G299)-SUM($H299:$K299)</f>
        <v>0</v>
      </c>
      <c r="M299" s="88" t="str">
        <f aca="false">IF(OR($C299="01-09",$D299="Male",AND(SUM($G299)=0,SUM($H299)=0)),"",SUM($H299)/SUM($G299))</f>
        <v/>
      </c>
      <c r="N299" s="88" t="str">
        <f aca="false">IF(OR($C299="01-09",$D299="Male",AND(SUM($G299)=0,SUM($I299)=0)),"",SUM($I299)/SUM($G299))</f>
        <v/>
      </c>
      <c r="O299" s="88" t="str">
        <f aca="false">IF(AND(SUM($G299)=0,SUM($J299)=0),"",SUM($J299)/SUM($G299))</f>
        <v/>
      </c>
      <c r="P299" s="88" t="str">
        <f aca="false">IF(OR($C299="01-09",$C299="10-14",$D299="Female",AND(SUM($G299)=0,SUM($K299)=0)),"",SUM($K299)/SUM($G299))</f>
        <v/>
      </c>
      <c r="Q299" s="88"/>
      <c r="R299" s="88"/>
      <c r="S299" s="88"/>
      <c r="T299" s="88"/>
      <c r="U299" s="88"/>
      <c r="V299" s="88" t="str">
        <f aca="false">IF(SUM($G299)=0,"",SUM($M299:$U299))</f>
        <v/>
      </c>
      <c r="W299" s="88"/>
      <c r="X299" s="39" t="str">
        <f aca="false">IF(OR(SUM($G299)=0,SUM($Q299)=0),"",ROUND(SUM($G299)*SUM($Q299),0))</f>
        <v/>
      </c>
      <c r="Y299" s="39" t="str">
        <f aca="false">IF(SUM($X299)=0,"",IF(SUM($W299)=0,"ENTER YIELD",ROUND($X299/$W299,0)-$X299))</f>
        <v/>
      </c>
      <c r="Z299" s="88"/>
      <c r="AA299" s="39" t="str">
        <f aca="false">IF(OR(SUM($G299)=0,SUM($R299)=0),"",ROUND(SUM($G299)*SUM($R299),0))</f>
        <v/>
      </c>
      <c r="AB299" s="39" t="str">
        <f aca="false">IF(SUM($AA299)=0,"",IF(SUM($Z299)=0,"ENTER YIELD",ROUND($AA299/$Z299,0)-$AA299))</f>
        <v/>
      </c>
      <c r="AC299" s="88"/>
      <c r="AD299" s="39" t="str">
        <f aca="false">IF(OR(SUM($G299)=0,SUM($S299)=0),"",ROUND(SUM($G299)*SUM($S299),0))</f>
        <v/>
      </c>
      <c r="AE299" s="39" t="str">
        <f aca="false">IF(SUM($AD299)=0,"",IF(SUM($AC299)=0,"ENTER YIELD",ROUND($AD299/$AC299,0)-$AD299))</f>
        <v/>
      </c>
      <c r="AF299" s="88"/>
      <c r="AG299" s="39" t="str">
        <f aca="false">IF(OR(SUM($G299)=0,SUM($T299)=0),"",ROUND(SUM($G299)*SUM($T299),0))</f>
        <v/>
      </c>
      <c r="AH299" s="39" t="str">
        <f aca="false">IF(SUM($AG299)=0,"",IF(SUM($AF299)=0,"ENTER YIELD",ROUND($AG299/$AF299,0)-$AG299))</f>
        <v/>
      </c>
      <c r="AI299" s="88"/>
      <c r="AJ299" s="39" t="str">
        <f aca="false">IF(OR(SUM($G299)=0,SUM($U299)=0),"",ROUND(SUM($G299)*SUM($U299),0))</f>
        <v/>
      </c>
      <c r="AK299" s="39" t="str">
        <f aca="false">IF(SUM($AJ299)=0,"",IF(SUM($AI299)=0,"ENTER YIELD",ROUND($AJ299/$AI299,0)-$AJ299))</f>
        <v/>
      </c>
      <c r="AL299" s="10" t="str">
        <f aca="false">IF(SUM($G299)=0,"",$G299)</f>
        <v/>
      </c>
      <c r="AM299" s="10" t="str">
        <f aca="false">IFERROR(1/(1/SUM($H299:$K299,$X299,$AA299,$AD299,$AG299,$AJ299)),"")</f>
        <v/>
      </c>
      <c r="AN299" s="10" t="str">
        <f aca="false">IF(AND(SUM($AM299)=0,SUM($AL299)=0),"",$AM299-$AL299)</f>
        <v/>
      </c>
      <c r="AO299" s="10" t="str">
        <f aca="false">IF(OR($C299="01-09",$D299="Male"),"",INDEX(PMTCT!$AD:$AD,MATCH($E299,PMTCT!$E:$E,0)))</f>
        <v/>
      </c>
      <c r="AP299" s="10" t="str">
        <f aca="false">IF(OR($C299="01-09",$D299="Male"),"",INDEX(PMTCT!$AT:$AT,MATCH($E299,PMTCT!$E:$E,0)))</f>
        <v/>
      </c>
      <c r="AQ299" s="10" t="str">
        <f aca="false">INDEX(TB!$Q:$Q,MATCH($E299,TB!$E:$E,0))</f>
        <v/>
      </c>
      <c r="AR299" s="10" t="str">
        <f aca="false">IF(OR($C299="01-09",$C299="10-14",$D299="Female"),"",INDEX(VMMC!$AB:$AB,MATCH($E299,VMMC!$E:$E,0)))</f>
        <v/>
      </c>
      <c r="AS299" s="10" t="str">
        <f aca="false">IF(OR($C299="01-09",$C299="10-14"),"",INDEX(PrEP!$Q:$Q,MATCH($E299,PrEP!$E:$E,0)))</f>
        <v/>
      </c>
      <c r="AT299" s="10" t="str">
        <f aca="false">IFERROR(1/(1/SUM($Y299,$AB299,$AE299,$AH299,$AK299,$AO299:$AS299)),"")</f>
        <v/>
      </c>
      <c r="AU299" s="10" t="str">
        <f aca="false">IFERROR(1/(1/SUM($AT299,$AM299)),"")</f>
        <v/>
      </c>
      <c r="AV299" s="88" t="str">
        <f aca="false">IF(AND(SUM($AM299)=0,SUM($AU299)=0),"",$AM299/$AU299)</f>
        <v/>
      </c>
      <c r="AW299" s="10"/>
      <c r="AX299" s="88" t="str">
        <f aca="false">IF(OR($C299="01-09",SUM($AW299)=0),"",0%)</f>
        <v/>
      </c>
      <c r="AY299" s="39" t="str">
        <f aca="false">IF(OR($C299="01-09",SUM($AW299)=0),"",ROUND($AW299*(1+$AX299),0))</f>
        <v/>
      </c>
      <c r="AZ299" s="88" t="n">
        <f aca="false">IF(OR($C299="01-09",$C299="10-14"),"",100%)</f>
        <v>1</v>
      </c>
      <c r="BA299" s="39" t="str">
        <f aca="false">IF(OR(SUM($AM299)=0,$C299="01-09",$C299="10-14"),"",$AM299*$AZ299)</f>
        <v/>
      </c>
    </row>
    <row r="300" customFormat="false" ht="15" hidden="false" customHeight="false" outlineLevel="0" collapsed="false">
      <c r="A300" s="0" t="str">
        <f aca="false">INDEX(Prioritization!$D:$D,MATCH($B300,Prioritization!$A:$A,0))</f>
        <v>INVALID</v>
      </c>
      <c r="B300" s="0" t="s">
        <v>217</v>
      </c>
      <c r="C300" s="0" t="s">
        <v>367</v>
      </c>
      <c r="D300" s="0" t="s">
        <v>48</v>
      </c>
      <c r="E300" s="0" t="str">
        <f aca="false">$B300&amp;"|"&amp;$C300&amp;"|"&amp;$D300</f>
        <v>Mwanza District [wNqJp8oRIcF]|35-49|Male</v>
      </c>
      <c r="F300" s="88" t="n">
        <f aca="false">IF(LEFT($B300,4)="_Mil","",INDEX(Cascade!$AA:$AA,MATCH($E300,Cascade!$E:$E,0)))</f>
        <v>1010</v>
      </c>
      <c r="G300" s="10" t="n">
        <f aca="false">INDEX(Cascade!$BH:$BH,MATCH($E300,Cascade!$E:$E,0))</f>
        <v>0</v>
      </c>
      <c r="H300" s="10" t="str">
        <f aca="false">IF(OR($C300="01-09",$D300="Male"),"",INDEX(PMTCT!$AC:$AC,MATCH($E300,PMTCT!$E:$E,0)))</f>
        <v/>
      </c>
      <c r="I300" s="10" t="str">
        <f aca="false">IF(OR($C300="01-09",$D300="Male"),"",INDEX(PMTCT!$AS:$AS,MATCH($E300,PMTCT!$E:$E,0)))</f>
        <v/>
      </c>
      <c r="J300" s="10" t="str">
        <f aca="false">INDEX(TB!$P:$P,MATCH($E300,TB!$E:$E,0))</f>
        <v/>
      </c>
      <c r="K300" s="10" t="str">
        <f aca="false">IF(OR($C300="01-09",$C300="10-14",$D300="Female"),"",INDEX(VMMC!$AA:$AA,MATCH($E300,VMMC!$E:$E,0)))</f>
        <v/>
      </c>
      <c r="L300" s="10" t="n">
        <f aca="false">SUM($G300)-SUM($H300:$K300)</f>
        <v>0</v>
      </c>
      <c r="M300" s="88" t="str">
        <f aca="false">IF(OR($C300="01-09",$D300="Male",AND(SUM($G300)=0,SUM($H300)=0)),"",SUM($H300)/SUM($G300))</f>
        <v/>
      </c>
      <c r="N300" s="88" t="str">
        <f aca="false">IF(OR($C300="01-09",$D300="Male",AND(SUM($G300)=0,SUM($I300)=0)),"",SUM($I300)/SUM($G300))</f>
        <v/>
      </c>
      <c r="O300" s="88" t="str">
        <f aca="false">IF(AND(SUM($G300)=0,SUM($J300)=0),"",SUM($J300)/SUM($G300))</f>
        <v/>
      </c>
      <c r="P300" s="88" t="str">
        <f aca="false">IF(OR($C300="01-09",$C300="10-14",$D300="Female",AND(SUM($G300)=0,SUM($K300)=0)),"",SUM($K300)/SUM($G300))</f>
        <v/>
      </c>
      <c r="Q300" s="88"/>
      <c r="R300" s="88"/>
      <c r="S300" s="88"/>
      <c r="T300" s="88"/>
      <c r="U300" s="88"/>
      <c r="V300" s="88" t="str">
        <f aca="false">IF(SUM($G300)=0,"",SUM($M300:$U300))</f>
        <v/>
      </c>
      <c r="W300" s="88"/>
      <c r="X300" s="39" t="str">
        <f aca="false">IF(OR(SUM($G300)=0,SUM($Q300)=0),"",ROUND(SUM($G300)*SUM($Q300),0))</f>
        <v/>
      </c>
      <c r="Y300" s="39" t="str">
        <f aca="false">IF(SUM($X300)=0,"",IF(SUM($W300)=0,"ENTER YIELD",ROUND($X300/$W300,0)-$X300))</f>
        <v/>
      </c>
      <c r="Z300" s="88"/>
      <c r="AA300" s="39" t="str">
        <f aca="false">IF(OR(SUM($G300)=0,SUM($R300)=0),"",ROUND(SUM($G300)*SUM($R300),0))</f>
        <v/>
      </c>
      <c r="AB300" s="39" t="str">
        <f aca="false">IF(SUM($AA300)=0,"",IF(SUM($Z300)=0,"ENTER YIELD",ROUND($AA300/$Z300,0)-$AA300))</f>
        <v/>
      </c>
      <c r="AC300" s="88"/>
      <c r="AD300" s="39" t="str">
        <f aca="false">IF(OR(SUM($G300)=0,SUM($S300)=0),"",ROUND(SUM($G300)*SUM($S300),0))</f>
        <v/>
      </c>
      <c r="AE300" s="39" t="str">
        <f aca="false">IF(SUM($AD300)=0,"",IF(SUM($AC300)=0,"ENTER YIELD",ROUND($AD300/$AC300,0)-$AD300))</f>
        <v/>
      </c>
      <c r="AF300" s="88"/>
      <c r="AG300" s="39" t="str">
        <f aca="false">IF(OR(SUM($G300)=0,SUM($T300)=0),"",ROUND(SUM($G300)*SUM($T300),0))</f>
        <v/>
      </c>
      <c r="AH300" s="39" t="str">
        <f aca="false">IF(SUM($AG300)=0,"",IF(SUM($AF300)=0,"ENTER YIELD",ROUND($AG300/$AF300,0)-$AG300))</f>
        <v/>
      </c>
      <c r="AI300" s="88"/>
      <c r="AJ300" s="39" t="str">
        <f aca="false">IF(OR(SUM($G300)=0,SUM($U300)=0),"",ROUND(SUM($G300)*SUM($U300),0))</f>
        <v/>
      </c>
      <c r="AK300" s="39" t="str">
        <f aca="false">IF(SUM($AJ300)=0,"",IF(SUM($AI300)=0,"ENTER YIELD",ROUND($AJ300/$AI300,0)-$AJ300))</f>
        <v/>
      </c>
      <c r="AL300" s="10" t="str">
        <f aca="false">IF(SUM($G300)=0,"",$G300)</f>
        <v/>
      </c>
      <c r="AM300" s="10" t="str">
        <f aca="false">IFERROR(1/(1/SUM($H300:$K300,$X300,$AA300,$AD300,$AG300,$AJ300)),"")</f>
        <v/>
      </c>
      <c r="AN300" s="10" t="str">
        <f aca="false">IF(AND(SUM($AM300)=0,SUM($AL300)=0),"",$AM300-$AL300)</f>
        <v/>
      </c>
      <c r="AO300" s="10" t="str">
        <f aca="false">IF(OR($C300="01-09",$D300="Male"),"",INDEX(PMTCT!$AD:$AD,MATCH($E300,PMTCT!$E:$E,0)))</f>
        <v/>
      </c>
      <c r="AP300" s="10" t="str">
        <f aca="false">IF(OR($C300="01-09",$D300="Male"),"",INDEX(PMTCT!$AT:$AT,MATCH($E300,PMTCT!$E:$E,0)))</f>
        <v/>
      </c>
      <c r="AQ300" s="10" t="str">
        <f aca="false">INDEX(TB!$Q:$Q,MATCH($E300,TB!$E:$E,0))</f>
        <v/>
      </c>
      <c r="AR300" s="10" t="str">
        <f aca="false">IF(OR($C300="01-09",$C300="10-14",$D300="Female"),"",INDEX(VMMC!$AB:$AB,MATCH($E300,VMMC!$E:$E,0)))</f>
        <v/>
      </c>
      <c r="AS300" s="10" t="str">
        <f aca="false">IF(OR($C300="01-09",$C300="10-14"),"",INDEX(PrEP!$Q:$Q,MATCH($E300,PrEP!$E:$E,0)))</f>
        <v/>
      </c>
      <c r="AT300" s="10" t="str">
        <f aca="false">IFERROR(1/(1/SUM($Y300,$AB300,$AE300,$AH300,$AK300,$AO300:$AS300)),"")</f>
        <v/>
      </c>
      <c r="AU300" s="10" t="str">
        <f aca="false">IFERROR(1/(1/SUM($AT300,$AM300)),"")</f>
        <v/>
      </c>
      <c r="AV300" s="88" t="str">
        <f aca="false">IF(AND(SUM($AM300)=0,SUM($AU300)=0),"",$AM300/$AU300)</f>
        <v/>
      </c>
      <c r="AW300" s="10"/>
      <c r="AX300" s="88" t="str">
        <f aca="false">IF(OR($C300="01-09",SUM($AW300)=0),"",0%)</f>
        <v/>
      </c>
      <c r="AY300" s="39" t="str">
        <f aca="false">IF(OR($C300="01-09",SUM($AW300)=0),"",ROUND($AW300*(1+$AX300),0))</f>
        <v/>
      </c>
      <c r="AZ300" s="88" t="n">
        <f aca="false">IF(OR($C300="01-09",$C300="10-14"),"",100%)</f>
        <v>1</v>
      </c>
      <c r="BA300" s="39" t="str">
        <f aca="false">IF(OR(SUM($AM300)=0,$C300="01-09",$C300="10-14"),"",$AM300*$AZ300)</f>
        <v/>
      </c>
    </row>
    <row r="301" customFormat="false" ht="15" hidden="false" customHeight="false" outlineLevel="0" collapsed="false">
      <c r="A301" s="0" t="str">
        <f aca="false">INDEX(Prioritization!$D:$D,MATCH($B301,Prioritization!$A:$A,0))</f>
        <v>INVALID</v>
      </c>
      <c r="B301" s="0" t="s">
        <v>217</v>
      </c>
      <c r="C301" s="0" t="s">
        <v>368</v>
      </c>
      <c r="D301" s="0" t="s">
        <v>30</v>
      </c>
      <c r="E301" s="0" t="str">
        <f aca="false">$B301&amp;"|"&amp;$C301&amp;"|"&amp;$D301</f>
        <v>Mwanza District [wNqJp8oRIcF]|50+|Female</v>
      </c>
      <c r="F301" s="88" t="n">
        <f aca="false">IF(LEFT($B301,4)="_Mil","",INDEX(Cascade!$AA:$AA,MATCH($E301,Cascade!$E:$E,0)))</f>
        <v>1191</v>
      </c>
      <c r="G301" s="10" t="n">
        <f aca="false">INDEX(Cascade!$BH:$BH,MATCH($E301,Cascade!$E:$E,0))</f>
        <v>0</v>
      </c>
      <c r="H301" s="10" t="str">
        <f aca="false">IF(OR($C301="01-09",$D301="Male"),"",INDEX(PMTCT!$AC:$AC,MATCH($E301,PMTCT!$E:$E,0)))</f>
        <v/>
      </c>
      <c r="I301" s="10" t="str">
        <f aca="false">IF(OR($C301="01-09",$D301="Male"),"",INDEX(PMTCT!$AS:$AS,MATCH($E301,PMTCT!$E:$E,0)))</f>
        <v/>
      </c>
      <c r="J301" s="10" t="str">
        <f aca="false">INDEX(TB!$P:$P,MATCH($E301,TB!$E:$E,0))</f>
        <v/>
      </c>
      <c r="K301" s="10" t="str">
        <f aca="false">IF(OR($C301="01-09",$C301="10-14",$D301="Female"),"",INDEX(VMMC!$AA:$AA,MATCH($E301,VMMC!$E:$E,0)))</f>
        <v/>
      </c>
      <c r="L301" s="10" t="n">
        <f aca="false">SUM($G301)-SUM($H301:$K301)</f>
        <v>0</v>
      </c>
      <c r="M301" s="88" t="str">
        <f aca="false">IF(OR($C301="01-09",$D301="Male",AND(SUM($G301)=0,SUM($H301)=0)),"",SUM($H301)/SUM($G301))</f>
        <v/>
      </c>
      <c r="N301" s="88" t="str">
        <f aca="false">IF(OR($C301="01-09",$D301="Male",AND(SUM($G301)=0,SUM($I301)=0)),"",SUM($I301)/SUM($G301))</f>
        <v/>
      </c>
      <c r="O301" s="88" t="str">
        <f aca="false">IF(AND(SUM($G301)=0,SUM($J301)=0),"",SUM($J301)/SUM($G301))</f>
        <v/>
      </c>
      <c r="P301" s="88" t="str">
        <f aca="false">IF(OR($C301="01-09",$C301="10-14",$D301="Female",AND(SUM($G301)=0,SUM($K301)=0)),"",SUM($K301)/SUM($G301))</f>
        <v/>
      </c>
      <c r="Q301" s="88"/>
      <c r="R301" s="88"/>
      <c r="S301" s="88"/>
      <c r="T301" s="88"/>
      <c r="U301" s="88" t="n">
        <v>0.374474599026144</v>
      </c>
      <c r="V301" s="88" t="str">
        <f aca="false">IF(SUM($G301)=0,"",SUM($M301:$U301))</f>
        <v/>
      </c>
      <c r="W301" s="88"/>
      <c r="X301" s="39" t="str">
        <f aca="false">IF(OR(SUM($G301)=0,SUM($Q301)=0),"",ROUND(SUM($G301)*SUM($Q301),0))</f>
        <v/>
      </c>
      <c r="Y301" s="39" t="str">
        <f aca="false">IF(SUM($X301)=0,"",IF(SUM($W301)=0,"ENTER YIELD",ROUND($X301/$W301,0)-$X301))</f>
        <v/>
      </c>
      <c r="Z301" s="88"/>
      <c r="AA301" s="39" t="str">
        <f aca="false">IF(OR(SUM($G301)=0,SUM($R301)=0),"",ROUND(SUM($G301)*SUM($R301),0))</f>
        <v/>
      </c>
      <c r="AB301" s="39" t="str">
        <f aca="false">IF(SUM($AA301)=0,"",IF(SUM($Z301)=0,"ENTER YIELD",ROUND($AA301/$Z301,0)-$AA301))</f>
        <v/>
      </c>
      <c r="AC301" s="88"/>
      <c r="AD301" s="39" t="str">
        <f aca="false">IF(OR(SUM($G301)=0,SUM($S301)=0),"",ROUND(SUM($G301)*SUM($S301),0))</f>
        <v/>
      </c>
      <c r="AE301" s="39" t="str">
        <f aca="false">IF(SUM($AD301)=0,"",IF(SUM($AC301)=0,"ENTER YIELD",ROUND($AD301/$AC301,0)-$AD301))</f>
        <v/>
      </c>
      <c r="AF301" s="88"/>
      <c r="AG301" s="39" t="str">
        <f aca="false">IF(OR(SUM($G301)=0,SUM($T301)=0),"",ROUND(SUM($G301)*SUM($T301),0))</f>
        <v/>
      </c>
      <c r="AH301" s="39" t="str">
        <f aca="false">IF(SUM($AG301)=0,"",IF(SUM($AF301)=0,"ENTER YIELD",ROUND($AG301/$AF301,0)-$AG301))</f>
        <v/>
      </c>
      <c r="AI301" s="88"/>
      <c r="AJ301" s="39" t="str">
        <f aca="false">IF(OR(SUM($G301)=0,SUM($U301)=0),"",ROUND(SUM($G301)*SUM($U301),0))</f>
        <v/>
      </c>
      <c r="AK301" s="39" t="str">
        <f aca="false">IF(SUM($AJ301)=0,"",IF(SUM($AI301)=0,"ENTER YIELD",ROUND($AJ301/$AI301,0)-$AJ301))</f>
        <v/>
      </c>
      <c r="AL301" s="10" t="str">
        <f aca="false">IF(SUM($G301)=0,"",$G301)</f>
        <v/>
      </c>
      <c r="AM301" s="10" t="str">
        <f aca="false">IFERROR(1/(1/SUM($H301:$K301,$X301,$AA301,$AD301,$AG301,$AJ301)),"")</f>
        <v/>
      </c>
      <c r="AN301" s="10" t="str">
        <f aca="false">IF(AND(SUM($AM301)=0,SUM($AL301)=0),"",$AM301-$AL301)</f>
        <v/>
      </c>
      <c r="AO301" s="10" t="str">
        <f aca="false">IF(OR($C301="01-09",$D301="Male"),"",INDEX(PMTCT!$AD:$AD,MATCH($E301,PMTCT!$E:$E,0)))</f>
        <v/>
      </c>
      <c r="AP301" s="10" t="str">
        <f aca="false">IF(OR($C301="01-09",$D301="Male"),"",INDEX(PMTCT!$AT:$AT,MATCH($E301,PMTCT!$E:$E,0)))</f>
        <v/>
      </c>
      <c r="AQ301" s="10" t="str">
        <f aca="false">INDEX(TB!$Q:$Q,MATCH($E301,TB!$E:$E,0))</f>
        <v/>
      </c>
      <c r="AR301" s="10" t="str">
        <f aca="false">IF(OR($C301="01-09",$C301="10-14",$D301="Female"),"",INDEX(VMMC!$AB:$AB,MATCH($E301,VMMC!$E:$E,0)))</f>
        <v/>
      </c>
      <c r="AS301" s="10" t="str">
        <f aca="false">IF(OR($C301="01-09",$C301="10-14"),"",INDEX(PrEP!$Q:$Q,MATCH($E301,PrEP!$E:$E,0)))</f>
        <v/>
      </c>
      <c r="AT301" s="10" t="str">
        <f aca="false">IFERROR(1/(1/SUM($Y301,$AB301,$AE301,$AH301,$AK301,$AO301:$AS301)),"")</f>
        <v/>
      </c>
      <c r="AU301" s="10" t="str">
        <f aca="false">IFERROR(1/(1/SUM($AT301,$AM301)),"")</f>
        <v/>
      </c>
      <c r="AV301" s="88" t="str">
        <f aca="false">IF(AND(SUM($AM301)=0,SUM($AU301)=0),"",$AM301/$AU301)</f>
        <v/>
      </c>
      <c r="AW301" s="10" t="n">
        <v>6</v>
      </c>
      <c r="AX301" s="88" t="n">
        <f aca="false">IF(OR($C301="01-09",SUM($AW301)=0),"",0%)</f>
        <v>0</v>
      </c>
      <c r="AY301" s="39" t="n">
        <f aca="false">IF(OR($C301="01-09",SUM($AW301)=0),"",ROUND($AW301*(1+$AX301),0))</f>
        <v>6</v>
      </c>
      <c r="AZ301" s="88" t="n">
        <f aca="false">IF(OR($C301="01-09",$C301="10-14"),"",100%)</f>
        <v>1</v>
      </c>
      <c r="BA301" s="39" t="str">
        <f aca="false">IF(OR(SUM($AM301)=0,$C301="01-09",$C301="10-14"),"",$AM301*$AZ301)</f>
        <v/>
      </c>
    </row>
    <row r="302" customFormat="false" ht="15" hidden="false" customHeight="false" outlineLevel="0" collapsed="false">
      <c r="A302" s="0" t="str">
        <f aca="false">INDEX(Prioritization!$D:$D,MATCH($B302,Prioritization!$A:$A,0))</f>
        <v>INVALID</v>
      </c>
      <c r="B302" s="0" t="s">
        <v>217</v>
      </c>
      <c r="C302" s="0" t="s">
        <v>368</v>
      </c>
      <c r="D302" s="0" t="s">
        <v>48</v>
      </c>
      <c r="E302" s="0" t="str">
        <f aca="false">$B302&amp;"|"&amp;$C302&amp;"|"&amp;$D302</f>
        <v>Mwanza District [wNqJp8oRIcF]|50+|Male</v>
      </c>
      <c r="F302" s="88" t="n">
        <f aca="false">IF(LEFT($B302,4)="_Mil","",INDEX(Cascade!$AA:$AA,MATCH($E302,Cascade!$E:$E,0)))</f>
        <v>1772</v>
      </c>
      <c r="G302" s="10" t="n">
        <f aca="false">INDEX(Cascade!$BH:$BH,MATCH($E302,Cascade!$E:$E,0))</f>
        <v>0</v>
      </c>
      <c r="H302" s="10" t="str">
        <f aca="false">IF(OR($C302="01-09",$D302="Male"),"",INDEX(PMTCT!$AC:$AC,MATCH($E302,PMTCT!$E:$E,0)))</f>
        <v/>
      </c>
      <c r="I302" s="10" t="str">
        <f aca="false">IF(OR($C302="01-09",$D302="Male"),"",INDEX(PMTCT!$AS:$AS,MATCH($E302,PMTCT!$E:$E,0)))</f>
        <v/>
      </c>
      <c r="J302" s="10" t="str">
        <f aca="false">INDEX(TB!$P:$P,MATCH($E302,TB!$E:$E,0))</f>
        <v/>
      </c>
      <c r="K302" s="10" t="str">
        <f aca="false">IF(OR($C302="01-09",$C302="10-14",$D302="Female"),"",INDEX(VMMC!$AA:$AA,MATCH($E302,VMMC!$E:$E,0)))</f>
        <v/>
      </c>
      <c r="L302" s="10" t="n">
        <f aca="false">SUM($G302)-SUM($H302:$K302)</f>
        <v>0</v>
      </c>
      <c r="M302" s="88" t="str">
        <f aca="false">IF(OR($C302="01-09",$D302="Male",AND(SUM($G302)=0,SUM($H302)=0)),"",SUM($H302)/SUM($G302))</f>
        <v/>
      </c>
      <c r="N302" s="88" t="str">
        <f aca="false">IF(OR($C302="01-09",$D302="Male",AND(SUM($G302)=0,SUM($I302)=0)),"",SUM($I302)/SUM($G302))</f>
        <v/>
      </c>
      <c r="O302" s="88" t="str">
        <f aca="false">IF(AND(SUM($G302)=0,SUM($J302)=0),"",SUM($J302)/SUM($G302))</f>
        <v/>
      </c>
      <c r="P302" s="88" t="str">
        <f aca="false">IF(OR($C302="01-09",$C302="10-14",$D302="Female",AND(SUM($G302)=0,SUM($K302)=0)),"",SUM($K302)/SUM($G302))</f>
        <v/>
      </c>
      <c r="Q302" s="88"/>
      <c r="R302" s="88"/>
      <c r="S302" s="88"/>
      <c r="T302" s="88"/>
      <c r="U302" s="88" t="n">
        <v>0.39847941766493</v>
      </c>
      <c r="V302" s="88" t="str">
        <f aca="false">IF(SUM($G302)=0,"",SUM($M302:$U302))</f>
        <v/>
      </c>
      <c r="W302" s="88"/>
      <c r="X302" s="39" t="str">
        <f aca="false">IF(OR(SUM($G302)=0,SUM($Q302)=0),"",ROUND(SUM($G302)*SUM($Q302),0))</f>
        <v/>
      </c>
      <c r="Y302" s="39" t="str">
        <f aca="false">IF(SUM($X302)=0,"",IF(SUM($W302)=0,"ENTER YIELD",ROUND($X302/$W302,0)-$X302))</f>
        <v/>
      </c>
      <c r="Z302" s="88"/>
      <c r="AA302" s="39" t="str">
        <f aca="false">IF(OR(SUM($G302)=0,SUM($R302)=0),"",ROUND(SUM($G302)*SUM($R302),0))</f>
        <v/>
      </c>
      <c r="AB302" s="39" t="str">
        <f aca="false">IF(SUM($AA302)=0,"",IF(SUM($Z302)=0,"ENTER YIELD",ROUND($AA302/$Z302,0)-$AA302))</f>
        <v/>
      </c>
      <c r="AC302" s="88"/>
      <c r="AD302" s="39" t="str">
        <f aca="false">IF(OR(SUM($G302)=0,SUM($S302)=0),"",ROUND(SUM($G302)*SUM($S302),0))</f>
        <v/>
      </c>
      <c r="AE302" s="39" t="str">
        <f aca="false">IF(SUM($AD302)=0,"",IF(SUM($AC302)=0,"ENTER YIELD",ROUND($AD302/$AC302,0)-$AD302))</f>
        <v/>
      </c>
      <c r="AF302" s="88"/>
      <c r="AG302" s="39" t="str">
        <f aca="false">IF(OR(SUM($G302)=0,SUM($T302)=0),"",ROUND(SUM($G302)*SUM($T302),0))</f>
        <v/>
      </c>
      <c r="AH302" s="39" t="str">
        <f aca="false">IF(SUM($AG302)=0,"",IF(SUM($AF302)=0,"ENTER YIELD",ROUND($AG302/$AF302,0)-$AG302))</f>
        <v/>
      </c>
      <c r="AI302" s="88"/>
      <c r="AJ302" s="39" t="str">
        <f aca="false">IF(OR(SUM($G302)=0,SUM($U302)=0),"",ROUND(SUM($G302)*SUM($U302),0))</f>
        <v/>
      </c>
      <c r="AK302" s="39" t="str">
        <f aca="false">IF(SUM($AJ302)=0,"",IF(SUM($AI302)=0,"ENTER YIELD",ROUND($AJ302/$AI302,0)-$AJ302))</f>
        <v/>
      </c>
      <c r="AL302" s="10" t="str">
        <f aca="false">IF(SUM($G302)=0,"",$G302)</f>
        <v/>
      </c>
      <c r="AM302" s="10" t="str">
        <f aca="false">IFERROR(1/(1/SUM($H302:$K302,$X302,$AA302,$AD302,$AG302,$AJ302)),"")</f>
        <v/>
      </c>
      <c r="AN302" s="10" t="str">
        <f aca="false">IF(AND(SUM($AM302)=0,SUM($AL302)=0),"",$AM302-$AL302)</f>
        <v/>
      </c>
      <c r="AO302" s="10" t="str">
        <f aca="false">IF(OR($C302="01-09",$D302="Male"),"",INDEX(PMTCT!$AD:$AD,MATCH($E302,PMTCT!$E:$E,0)))</f>
        <v/>
      </c>
      <c r="AP302" s="10" t="str">
        <f aca="false">IF(OR($C302="01-09",$D302="Male"),"",INDEX(PMTCT!$AT:$AT,MATCH($E302,PMTCT!$E:$E,0)))</f>
        <v/>
      </c>
      <c r="AQ302" s="10" t="str">
        <f aca="false">INDEX(TB!$Q:$Q,MATCH($E302,TB!$E:$E,0))</f>
        <v/>
      </c>
      <c r="AR302" s="10" t="str">
        <f aca="false">IF(OR($C302="01-09",$C302="10-14",$D302="Female"),"",INDEX(VMMC!$AB:$AB,MATCH($E302,VMMC!$E:$E,0)))</f>
        <v/>
      </c>
      <c r="AS302" s="10" t="str">
        <f aca="false">IF(OR($C302="01-09",$C302="10-14"),"",INDEX(PrEP!$Q:$Q,MATCH($E302,PrEP!$E:$E,0)))</f>
        <v/>
      </c>
      <c r="AT302" s="10" t="str">
        <f aca="false">IFERROR(1/(1/SUM($Y302,$AB302,$AE302,$AH302,$AK302,$AO302:$AS302)),"")</f>
        <v/>
      </c>
      <c r="AU302" s="10" t="str">
        <f aca="false">IFERROR(1/(1/SUM($AT302,$AM302)),"")</f>
        <v/>
      </c>
      <c r="AV302" s="88" t="str">
        <f aca="false">IF(AND(SUM($AM302)=0,SUM($AU302)=0),"",$AM302/$AU302)</f>
        <v/>
      </c>
      <c r="AW302" s="10" t="n">
        <v>58</v>
      </c>
      <c r="AX302" s="88" t="n">
        <f aca="false">IF(OR($C302="01-09",SUM($AW302)=0),"",0%)</f>
        <v>0</v>
      </c>
      <c r="AY302" s="39" t="n">
        <f aca="false">IF(OR($C302="01-09",SUM($AW302)=0),"",ROUND($AW302*(1+$AX302),0))</f>
        <v>58</v>
      </c>
      <c r="AZ302" s="88" t="n">
        <f aca="false">IF(OR($C302="01-09",$C302="10-14"),"",100%)</f>
        <v>1</v>
      </c>
      <c r="BA302" s="39" t="str">
        <f aca="false">IF(OR(SUM($AM302)=0,$C302="01-09",$C302="10-14"),"",$AM302*$AZ302)</f>
        <v/>
      </c>
    </row>
    <row r="303" customFormat="false" ht="15" hidden="false" customHeight="false" outlineLevel="0" collapsed="false">
      <c r="A303" s="0" t="str">
        <f aca="false">INDEX(Prioritization!$D:$D,MATCH($B303,Prioritization!$A:$A,0))</f>
        <v>INVALID</v>
      </c>
      <c r="B303" s="0" t="s">
        <v>218</v>
      </c>
      <c r="C303" s="0" t="s">
        <v>363</v>
      </c>
      <c r="D303" s="0" t="s">
        <v>30</v>
      </c>
      <c r="E303" s="0" t="str">
        <f aca="false">$B303&amp;"|"&amp;$C303&amp;"|"&amp;$D303</f>
        <v>Neno District [gwVYinjBAe9]|01-09|Female</v>
      </c>
      <c r="F303" s="88" t="n">
        <f aca="false">IF(LEFT($B303,4)="_Mil","",INDEX(Cascade!$AA:$AA,MATCH($E303,Cascade!$E:$E,0)))</f>
        <v>606</v>
      </c>
      <c r="G303" s="10" t="n">
        <f aca="false">INDEX(Cascade!$BH:$BH,MATCH($E303,Cascade!$E:$E,0))</f>
        <v>0</v>
      </c>
      <c r="H303" s="10" t="str">
        <f aca="false">IF(OR($C303="01-09",$D303="Male"),"",INDEX(PMTCT!$AC:$AC,MATCH($E303,PMTCT!$E:$E,0)))</f>
        <v/>
      </c>
      <c r="I303" s="10" t="str">
        <f aca="false">IF(OR($C303="01-09",$D303="Male"),"",INDEX(PMTCT!$AS:$AS,MATCH($E303,PMTCT!$E:$E,0)))</f>
        <v/>
      </c>
      <c r="J303" s="10" t="str">
        <f aca="false">INDEX(TB!$P:$P,MATCH($E303,TB!$E:$E,0))</f>
        <v/>
      </c>
      <c r="K303" s="10" t="str">
        <f aca="false">IF(OR($C303="01-09",$C303="10-14",$D303="Female"),"",INDEX(VMMC!$AA:$AA,MATCH($E303,VMMC!$E:$E,0)))</f>
        <v/>
      </c>
      <c r="L303" s="10" t="n">
        <f aca="false">SUM($G303)-SUM($H303:$K303)</f>
        <v>0</v>
      </c>
      <c r="M303" s="88" t="str">
        <f aca="false">IF(OR($C303="01-09",$D303="Male",AND(SUM($G303)=0,SUM($H303)=0)),"",SUM($H303)/SUM($G303))</f>
        <v/>
      </c>
      <c r="N303" s="88" t="str">
        <f aca="false">IF(OR($C303="01-09",$D303="Male",AND(SUM($G303)=0,SUM($I303)=0)),"",SUM($I303)/SUM($G303))</f>
        <v/>
      </c>
      <c r="O303" s="88" t="str">
        <f aca="false">IF(AND(SUM($G303)=0,SUM($J303)=0),"",SUM($J303)/SUM($G303))</f>
        <v/>
      </c>
      <c r="P303" s="88" t="str">
        <f aca="false">IF(OR($C303="01-09",$C303="10-14",$D303="Female",AND(SUM($G303)=0,SUM($K303)=0)),"",SUM($K303)/SUM($G303))</f>
        <v/>
      </c>
      <c r="Q303" s="88"/>
      <c r="R303" s="88"/>
      <c r="S303" s="88"/>
      <c r="T303" s="88"/>
      <c r="U303" s="88"/>
      <c r="V303" s="88" t="str">
        <f aca="false">IF(SUM($G303)=0,"",SUM($M303:$U303))</f>
        <v/>
      </c>
      <c r="W303" s="88"/>
      <c r="X303" s="39" t="str">
        <f aca="false">IF(OR(SUM($G303)=0,SUM($Q303)=0),"",ROUND(SUM($G303)*SUM($Q303),0))</f>
        <v/>
      </c>
      <c r="Y303" s="39" t="str">
        <f aca="false">IF(SUM($X303)=0,"",IF(SUM($W303)=0,"ENTER YIELD",ROUND($X303/$W303,0)-$X303))</f>
        <v/>
      </c>
      <c r="Z303" s="88"/>
      <c r="AA303" s="39" t="str">
        <f aca="false">IF(OR(SUM($G303)=0,SUM($R303)=0),"",ROUND(SUM($G303)*SUM($R303),0))</f>
        <v/>
      </c>
      <c r="AB303" s="39" t="str">
        <f aca="false">IF(SUM($AA303)=0,"",IF(SUM($Z303)=0,"ENTER YIELD",ROUND($AA303/$Z303,0)-$AA303))</f>
        <v/>
      </c>
      <c r="AC303" s="88"/>
      <c r="AD303" s="39" t="str">
        <f aca="false">IF(OR(SUM($G303)=0,SUM($S303)=0),"",ROUND(SUM($G303)*SUM($S303),0))</f>
        <v/>
      </c>
      <c r="AE303" s="39" t="str">
        <f aca="false">IF(SUM($AD303)=0,"",IF(SUM($AC303)=0,"ENTER YIELD",ROUND($AD303/$AC303,0)-$AD303))</f>
        <v/>
      </c>
      <c r="AF303" s="88"/>
      <c r="AG303" s="39" t="str">
        <f aca="false">IF(OR(SUM($G303)=0,SUM($T303)=0),"",ROUND(SUM($G303)*SUM($T303),0))</f>
        <v/>
      </c>
      <c r="AH303" s="39" t="str">
        <f aca="false">IF(SUM($AG303)=0,"",IF(SUM($AF303)=0,"ENTER YIELD",ROUND($AG303/$AF303,0)-$AG303))</f>
        <v/>
      </c>
      <c r="AI303" s="88"/>
      <c r="AJ303" s="39" t="str">
        <f aca="false">IF(OR(SUM($G303)=0,SUM($U303)=0),"",ROUND(SUM($G303)*SUM($U303),0))</f>
        <v/>
      </c>
      <c r="AK303" s="39" t="str">
        <f aca="false">IF(SUM($AJ303)=0,"",IF(SUM($AI303)=0,"ENTER YIELD",ROUND($AJ303/$AI303,0)-$AJ303))</f>
        <v/>
      </c>
      <c r="AL303" s="10" t="str">
        <f aca="false">IF(SUM($G303)=0,"",$G303)</f>
        <v/>
      </c>
      <c r="AM303" s="10" t="str">
        <f aca="false">IFERROR(1/(1/SUM($H303:$K303,$X303,$AA303,$AD303,$AG303,$AJ303)),"")</f>
        <v/>
      </c>
      <c r="AN303" s="10" t="str">
        <f aca="false">IF(AND(SUM($AM303)=0,SUM($AL303)=0),"",$AM303-$AL303)</f>
        <v/>
      </c>
      <c r="AO303" s="10" t="str">
        <f aca="false">IF(OR($C303="01-09",$D303="Male"),"",INDEX(PMTCT!$AD:$AD,MATCH($E303,PMTCT!$E:$E,0)))</f>
        <v/>
      </c>
      <c r="AP303" s="10" t="str">
        <f aca="false">IF(OR($C303="01-09",$D303="Male"),"",INDEX(PMTCT!$AT:$AT,MATCH($E303,PMTCT!$E:$E,0)))</f>
        <v/>
      </c>
      <c r="AQ303" s="10" t="str">
        <f aca="false">INDEX(TB!$Q:$Q,MATCH($E303,TB!$E:$E,0))</f>
        <v/>
      </c>
      <c r="AR303" s="10" t="str">
        <f aca="false">IF(OR($C303="01-09",$C303="10-14",$D303="Female"),"",INDEX(VMMC!$AB:$AB,MATCH($E303,VMMC!$E:$E,0)))</f>
        <v/>
      </c>
      <c r="AS303" s="10" t="str">
        <f aca="false">IF(OR($C303="01-09",$C303="10-14"),"",INDEX(PrEP!$Q:$Q,MATCH($E303,PrEP!$E:$E,0)))</f>
        <v/>
      </c>
      <c r="AT303" s="10" t="str">
        <f aca="false">IFERROR(1/(1/SUM($Y303,$AB303,$AE303,$AH303,$AK303,$AO303:$AS303)),"")</f>
        <v/>
      </c>
      <c r="AU303" s="10" t="str">
        <f aca="false">IFERROR(1/(1/SUM($AT303,$AM303)),"")</f>
        <v/>
      </c>
      <c r="AV303" s="88" t="str">
        <f aca="false">IF(AND(SUM($AM303)=0,SUM($AU303)=0),"",$AM303/$AU303)</f>
        <v/>
      </c>
      <c r="AW303" s="10"/>
      <c r="AX303" s="88" t="str">
        <f aca="false">IF(OR($C303="01-09",SUM($AW303)=0),"",0%)</f>
        <v/>
      </c>
      <c r="AY303" s="39" t="str">
        <f aca="false">IF(OR($C303="01-09",SUM($AW303)=0),"",ROUND($AW303*(1+$AX303),0))</f>
        <v/>
      </c>
      <c r="AZ303" s="88" t="str">
        <f aca="false">IF(OR($C303="01-09",$C303="10-14"),"",100%)</f>
        <v/>
      </c>
      <c r="BA303" s="39" t="str">
        <f aca="false">IF(OR(SUM($AM303)=0,$C303="01-09",$C303="10-14"),"",$AM303*$AZ303)</f>
        <v/>
      </c>
    </row>
    <row r="304" customFormat="false" ht="15" hidden="false" customHeight="false" outlineLevel="0" collapsed="false">
      <c r="A304" s="0" t="str">
        <f aca="false">INDEX(Prioritization!$D:$D,MATCH($B304,Prioritization!$A:$A,0))</f>
        <v>INVALID</v>
      </c>
      <c r="B304" s="0" t="s">
        <v>218</v>
      </c>
      <c r="C304" s="0" t="s">
        <v>363</v>
      </c>
      <c r="D304" s="0" t="s">
        <v>48</v>
      </c>
      <c r="E304" s="0" t="str">
        <f aca="false">$B304&amp;"|"&amp;$C304&amp;"|"&amp;$D304</f>
        <v>Neno District [gwVYinjBAe9]|01-09|Male</v>
      </c>
      <c r="F304" s="88" t="n">
        <f aca="false">IF(LEFT($B304,4)="_Mil","",INDEX(Cascade!$AA:$AA,MATCH($E304,Cascade!$E:$E,0)))</f>
        <v>1144</v>
      </c>
      <c r="G304" s="10" t="n">
        <f aca="false">INDEX(Cascade!$BH:$BH,MATCH($E304,Cascade!$E:$E,0))</f>
        <v>0</v>
      </c>
      <c r="H304" s="10" t="str">
        <f aca="false">IF(OR($C304="01-09",$D304="Male"),"",INDEX(PMTCT!$AC:$AC,MATCH($E304,PMTCT!$E:$E,0)))</f>
        <v/>
      </c>
      <c r="I304" s="10" t="str">
        <f aca="false">IF(OR($C304="01-09",$D304="Male"),"",INDEX(PMTCT!$AS:$AS,MATCH($E304,PMTCT!$E:$E,0)))</f>
        <v/>
      </c>
      <c r="J304" s="10" t="str">
        <f aca="false">INDEX(TB!$P:$P,MATCH($E304,TB!$E:$E,0))</f>
        <v/>
      </c>
      <c r="K304" s="10" t="str">
        <f aca="false">IF(OR($C304="01-09",$C304="10-14",$D304="Female"),"",INDEX(VMMC!$AA:$AA,MATCH($E304,VMMC!$E:$E,0)))</f>
        <v/>
      </c>
      <c r="L304" s="10" t="n">
        <f aca="false">SUM($G304)-SUM($H304:$K304)</f>
        <v>0</v>
      </c>
      <c r="M304" s="88" t="str">
        <f aca="false">IF(OR($C304="01-09",$D304="Male",AND(SUM($G304)=0,SUM($H304)=0)),"",SUM($H304)/SUM($G304))</f>
        <v/>
      </c>
      <c r="N304" s="88" t="str">
        <f aca="false">IF(OR($C304="01-09",$D304="Male",AND(SUM($G304)=0,SUM($I304)=0)),"",SUM($I304)/SUM($G304))</f>
        <v/>
      </c>
      <c r="O304" s="88" t="str">
        <f aca="false">IF(AND(SUM($G304)=0,SUM($J304)=0),"",SUM($J304)/SUM($G304))</f>
        <v/>
      </c>
      <c r="P304" s="88" t="str">
        <f aca="false">IF(OR($C304="01-09",$C304="10-14",$D304="Female",AND(SUM($G304)=0,SUM($K304)=0)),"",SUM($K304)/SUM($G304))</f>
        <v/>
      </c>
      <c r="Q304" s="88"/>
      <c r="R304" s="88"/>
      <c r="S304" s="88"/>
      <c r="T304" s="88"/>
      <c r="U304" s="88"/>
      <c r="V304" s="88" t="str">
        <f aca="false">IF(SUM($G304)=0,"",SUM($M304:$U304))</f>
        <v/>
      </c>
      <c r="W304" s="88"/>
      <c r="X304" s="39" t="str">
        <f aca="false">IF(OR(SUM($G304)=0,SUM($Q304)=0),"",ROUND(SUM($G304)*SUM($Q304),0))</f>
        <v/>
      </c>
      <c r="Y304" s="39" t="str">
        <f aca="false">IF(SUM($X304)=0,"",IF(SUM($W304)=0,"ENTER YIELD",ROUND($X304/$W304,0)-$X304))</f>
        <v/>
      </c>
      <c r="Z304" s="88"/>
      <c r="AA304" s="39" t="str">
        <f aca="false">IF(OR(SUM($G304)=0,SUM($R304)=0),"",ROUND(SUM($G304)*SUM($R304),0))</f>
        <v/>
      </c>
      <c r="AB304" s="39" t="str">
        <f aca="false">IF(SUM($AA304)=0,"",IF(SUM($Z304)=0,"ENTER YIELD",ROUND($AA304/$Z304,0)-$AA304))</f>
        <v/>
      </c>
      <c r="AC304" s="88"/>
      <c r="AD304" s="39" t="str">
        <f aca="false">IF(OR(SUM($G304)=0,SUM($S304)=0),"",ROUND(SUM($G304)*SUM($S304),0))</f>
        <v/>
      </c>
      <c r="AE304" s="39" t="str">
        <f aca="false">IF(SUM($AD304)=0,"",IF(SUM($AC304)=0,"ENTER YIELD",ROUND($AD304/$AC304,0)-$AD304))</f>
        <v/>
      </c>
      <c r="AF304" s="88"/>
      <c r="AG304" s="39" t="str">
        <f aca="false">IF(OR(SUM($G304)=0,SUM($T304)=0),"",ROUND(SUM($G304)*SUM($T304),0))</f>
        <v/>
      </c>
      <c r="AH304" s="39" t="str">
        <f aca="false">IF(SUM($AG304)=0,"",IF(SUM($AF304)=0,"ENTER YIELD",ROUND($AG304/$AF304,0)-$AG304))</f>
        <v/>
      </c>
      <c r="AI304" s="88"/>
      <c r="AJ304" s="39" t="str">
        <f aca="false">IF(OR(SUM($G304)=0,SUM($U304)=0),"",ROUND(SUM($G304)*SUM($U304),0))</f>
        <v/>
      </c>
      <c r="AK304" s="39" t="str">
        <f aca="false">IF(SUM($AJ304)=0,"",IF(SUM($AI304)=0,"ENTER YIELD",ROUND($AJ304/$AI304,0)-$AJ304))</f>
        <v/>
      </c>
      <c r="AL304" s="10" t="str">
        <f aca="false">IF(SUM($G304)=0,"",$G304)</f>
        <v/>
      </c>
      <c r="AM304" s="10" t="str">
        <f aca="false">IFERROR(1/(1/SUM($H304:$K304,$X304,$AA304,$AD304,$AG304,$AJ304)),"")</f>
        <v/>
      </c>
      <c r="AN304" s="10" t="str">
        <f aca="false">IF(AND(SUM($AM304)=0,SUM($AL304)=0),"",$AM304-$AL304)</f>
        <v/>
      </c>
      <c r="AO304" s="10" t="str">
        <f aca="false">IF(OR($C304="01-09",$D304="Male"),"",INDEX(PMTCT!$AD:$AD,MATCH($E304,PMTCT!$E:$E,0)))</f>
        <v/>
      </c>
      <c r="AP304" s="10" t="str">
        <f aca="false">IF(OR($C304="01-09",$D304="Male"),"",INDEX(PMTCT!$AT:$AT,MATCH($E304,PMTCT!$E:$E,0)))</f>
        <v/>
      </c>
      <c r="AQ304" s="10" t="str">
        <f aca="false">INDEX(TB!$Q:$Q,MATCH($E304,TB!$E:$E,0))</f>
        <v/>
      </c>
      <c r="AR304" s="10" t="str">
        <f aca="false">IF(OR($C304="01-09",$C304="10-14",$D304="Female"),"",INDEX(VMMC!$AB:$AB,MATCH($E304,VMMC!$E:$E,0)))</f>
        <v/>
      </c>
      <c r="AS304" s="10" t="str">
        <f aca="false">IF(OR($C304="01-09",$C304="10-14"),"",INDEX(PrEP!$Q:$Q,MATCH($E304,PrEP!$E:$E,0)))</f>
        <v/>
      </c>
      <c r="AT304" s="10" t="str">
        <f aca="false">IFERROR(1/(1/SUM($Y304,$AB304,$AE304,$AH304,$AK304,$AO304:$AS304)),"")</f>
        <v/>
      </c>
      <c r="AU304" s="10" t="str">
        <f aca="false">IFERROR(1/(1/SUM($AT304,$AM304)),"")</f>
        <v/>
      </c>
      <c r="AV304" s="88" t="str">
        <f aca="false">IF(AND(SUM($AM304)=0,SUM($AU304)=0),"",$AM304/$AU304)</f>
        <v/>
      </c>
      <c r="AW304" s="10"/>
      <c r="AX304" s="88" t="str">
        <f aca="false">IF(OR($C304="01-09",SUM($AW304)=0),"",0%)</f>
        <v/>
      </c>
      <c r="AY304" s="39" t="str">
        <f aca="false">IF(OR($C304="01-09",SUM($AW304)=0),"",ROUND($AW304*(1+$AX304),0))</f>
        <v/>
      </c>
      <c r="AZ304" s="88" t="str">
        <f aca="false">IF(OR($C304="01-09",$C304="10-14"),"",100%)</f>
        <v/>
      </c>
      <c r="BA304" s="39" t="str">
        <f aca="false">IF(OR(SUM($AM304)=0,$C304="01-09",$C304="10-14"),"",$AM304*$AZ304)</f>
        <v/>
      </c>
    </row>
    <row r="305" customFormat="false" ht="15" hidden="false" customHeight="false" outlineLevel="0" collapsed="false">
      <c r="A305" s="0" t="str">
        <f aca="false">INDEX(Prioritization!$D:$D,MATCH($B305,Prioritization!$A:$A,0))</f>
        <v>INVALID</v>
      </c>
      <c r="B305" s="0" t="s">
        <v>218</v>
      </c>
      <c r="C305" s="0" t="s">
        <v>364</v>
      </c>
      <c r="D305" s="0" t="s">
        <v>30</v>
      </c>
      <c r="E305" s="0" t="str">
        <f aca="false">$B305&amp;"|"&amp;$C305&amp;"|"&amp;$D305</f>
        <v>Neno District [gwVYinjBAe9]|10-14|Female</v>
      </c>
      <c r="F305" s="88" t="n">
        <f aca="false">IF(LEFT($B305,4)="_Mil","",INDEX(Cascade!$AA:$AA,MATCH($E305,Cascade!$E:$E,0)))</f>
        <v>574</v>
      </c>
      <c r="G305" s="10" t="n">
        <f aca="false">INDEX(Cascade!$BH:$BH,MATCH($E305,Cascade!$E:$E,0))</f>
        <v>-67</v>
      </c>
      <c r="H305" s="10" t="str">
        <f aca="false">IF(OR($C305="01-09",$D305="Male"),"",INDEX(PMTCT!$AC:$AC,MATCH($E305,PMTCT!$E:$E,0)))</f>
        <v>ENTER YIELD RATE</v>
      </c>
      <c r="I305" s="10" t="str">
        <f aca="false">IF(OR($C305="01-09",$D305="Male"),"",INDEX(PMTCT!$AS:$AS,MATCH($E305,PMTCT!$E:$E,0)))</f>
        <v>ENTER YIELD RATE</v>
      </c>
      <c r="J305" s="10" t="str">
        <f aca="false">INDEX(TB!$P:$P,MATCH($E305,TB!$E:$E,0))</f>
        <v>ENTER YIELD RATE</v>
      </c>
      <c r="K305" s="10" t="str">
        <f aca="false">IF(OR($C305="01-09",$C305="10-14",$D305="Female"),"",INDEX(VMMC!$AA:$AA,MATCH($E305,VMMC!$E:$E,0)))</f>
        <v/>
      </c>
      <c r="L305" s="10" t="n">
        <f aca="false">SUM($G305)-SUM($H305:$K305)</f>
        <v>-67</v>
      </c>
      <c r="M305" s="88" t="n">
        <f aca="false">IF(OR($C305="01-09",$D305="Male",AND(SUM($G305)=0,SUM($H305)=0)),"",SUM($H305)/SUM($G305))</f>
        <v>-0</v>
      </c>
      <c r="N305" s="88" t="n">
        <f aca="false">IF(OR($C305="01-09",$D305="Male",AND(SUM($G305)=0,SUM($I305)=0)),"",SUM($I305)/SUM($G305))</f>
        <v>-0</v>
      </c>
      <c r="O305" s="88" t="n">
        <f aca="false">IF(AND(SUM($G305)=0,SUM($J305)=0),"",SUM($J305)/SUM($G305))</f>
        <v>-0</v>
      </c>
      <c r="P305" s="88" t="str">
        <f aca="false">IF(OR($C305="01-09",$C305="10-14",$D305="Female",AND(SUM($G305)=0,SUM($K305)=0)),"",SUM($K305)/SUM($G305))</f>
        <v/>
      </c>
      <c r="Q305" s="88" t="n">
        <v>0.699808576377109</v>
      </c>
      <c r="R305" s="88"/>
      <c r="S305" s="88"/>
      <c r="T305" s="88"/>
      <c r="U305" s="88" t="n">
        <v>0.220126263797283</v>
      </c>
      <c r="V305" s="88" t="n">
        <f aca="false">IF(SUM($G305)=0,"",SUM($M305:$U305))</f>
        <v>0.919934840174392</v>
      </c>
      <c r="W305" s="88"/>
      <c r="X305" s="39" t="n">
        <f aca="false">IF(OR(SUM($G305)=0,SUM($Q305)=0),"",ROUND(SUM($G305)*SUM($Q305),0))</f>
        <v>-47</v>
      </c>
      <c r="Y305" s="39" t="str">
        <f aca="false">IF(SUM($X305)=0,"",IF(SUM($W305)=0,"ENTER YIELD",ROUND($X305/$W305,0)-$X305))</f>
        <v>ENTER YIELD</v>
      </c>
      <c r="Z305" s="88"/>
      <c r="AA305" s="39" t="str">
        <f aca="false">IF(OR(SUM($G305)=0,SUM($R305)=0),"",ROUND(SUM($G305)*SUM($R305),0))</f>
        <v/>
      </c>
      <c r="AB305" s="39" t="str">
        <f aca="false">IF(SUM($AA305)=0,"",IF(SUM($Z305)=0,"ENTER YIELD",ROUND($AA305/$Z305,0)-$AA305))</f>
        <v/>
      </c>
      <c r="AC305" s="88"/>
      <c r="AD305" s="39" t="str">
        <f aca="false">IF(OR(SUM($G305)=0,SUM($S305)=0),"",ROUND(SUM($G305)*SUM($S305),0))</f>
        <v/>
      </c>
      <c r="AE305" s="39" t="str">
        <f aca="false">IF(SUM($AD305)=0,"",IF(SUM($AC305)=0,"ENTER YIELD",ROUND($AD305/$AC305,0)-$AD305))</f>
        <v/>
      </c>
      <c r="AF305" s="88"/>
      <c r="AG305" s="39" t="str">
        <f aca="false">IF(OR(SUM($G305)=0,SUM($T305)=0),"",ROUND(SUM($G305)*SUM($T305),0))</f>
        <v/>
      </c>
      <c r="AH305" s="39" t="str">
        <f aca="false">IF(SUM($AG305)=0,"",IF(SUM($AF305)=0,"ENTER YIELD",ROUND($AG305/$AF305,0)-$AG305))</f>
        <v/>
      </c>
      <c r="AI305" s="88"/>
      <c r="AJ305" s="39" t="n">
        <f aca="false">IF(OR(SUM($G305)=0,SUM($U305)=0),"",ROUND(SUM($G305)*SUM($U305),0))</f>
        <v>-15</v>
      </c>
      <c r="AK305" s="39" t="str">
        <f aca="false">IF(SUM($AJ305)=0,"",IF(SUM($AI305)=0,"ENTER YIELD",ROUND($AJ305/$AI305,0)-$AJ305))</f>
        <v>ENTER YIELD</v>
      </c>
      <c r="AL305" s="10" t="n">
        <f aca="false">IF(SUM($G305)=0,"",$G305)</f>
        <v>-67</v>
      </c>
      <c r="AM305" s="10" t="n">
        <f aca="false">IFERROR(1/(1/SUM($H305:$K305,$X305,$AA305,$AD305,$AG305,$AJ305)),"")</f>
        <v>-62</v>
      </c>
      <c r="AN305" s="10" t="n">
        <f aca="false">IF(AND(SUM($AM305)=0,SUM($AL305)=0),"",$AM305-$AL305)</f>
        <v>5</v>
      </c>
      <c r="AO305" s="10" t="n">
        <f aca="false">IF(OR($C305="01-09",$D305="Male"),"",INDEX(PMTCT!$AD:$AD,MATCH($E305,PMTCT!$E:$E,0)))</f>
        <v>5</v>
      </c>
      <c r="AP305" s="10" t="n">
        <f aca="false">IF(OR($C305="01-09",$D305="Male"),"",INDEX(PMTCT!$AT:$AT,MATCH($E305,PMTCT!$E:$E,0)))</f>
        <v>5</v>
      </c>
      <c r="AQ305" s="10" t="n">
        <f aca="false">INDEX(TB!$Q:$Q,MATCH($E305,TB!$E:$E,0))</f>
        <v>1</v>
      </c>
      <c r="AR305" s="10" t="str">
        <f aca="false">IF(OR($C305="01-09",$C305="10-14",$D305="Female"),"",INDEX(VMMC!$AB:$AB,MATCH($E305,VMMC!$E:$E,0)))</f>
        <v/>
      </c>
      <c r="AS305" s="10" t="str">
        <f aca="false">IF(OR($C305="01-09",$C305="10-14"),"",INDEX(PrEP!$Q:$Q,MATCH($E305,PrEP!$E:$E,0)))</f>
        <v/>
      </c>
      <c r="AT305" s="10" t="n">
        <f aca="false">IFERROR(1/(1/SUM($Y305,$AB305,$AE305,$AH305,$AK305,$AO305:$AS305)),"")</f>
        <v>11</v>
      </c>
      <c r="AU305" s="10" t="n">
        <f aca="false">IFERROR(1/(1/SUM($AT305,$AM305)),"")</f>
        <v>-51</v>
      </c>
      <c r="AV305" s="88" t="n">
        <f aca="false">IF(AND(SUM($AM305)=0,SUM($AU305)=0),"",$AM305/$AU305)</f>
        <v>1.2156862745098</v>
      </c>
      <c r="AW305" s="10"/>
      <c r="AX305" s="88" t="str">
        <f aca="false">IF(OR($C305="01-09",SUM($AW305)=0),"",0%)</f>
        <v/>
      </c>
      <c r="AY305" s="39" t="str">
        <f aca="false">IF(OR($C305="01-09",SUM($AW305)=0),"",ROUND($AW305*(1+$AX305),0))</f>
        <v/>
      </c>
      <c r="AZ305" s="88" t="str">
        <f aca="false">IF(OR($C305="01-09",$C305="10-14"),"",100%)</f>
        <v/>
      </c>
      <c r="BA305" s="39" t="str">
        <f aca="false">IF(OR(SUM($AM305)=0,$C305="01-09",$C305="10-14"),"",$AM305*$AZ305)</f>
        <v/>
      </c>
    </row>
    <row r="306" customFormat="false" ht="15" hidden="false" customHeight="false" outlineLevel="0" collapsed="false">
      <c r="A306" s="0" t="str">
        <f aca="false">INDEX(Prioritization!$D:$D,MATCH($B306,Prioritization!$A:$A,0))</f>
        <v>INVALID</v>
      </c>
      <c r="B306" s="0" t="s">
        <v>218</v>
      </c>
      <c r="C306" s="0" t="s">
        <v>364</v>
      </c>
      <c r="D306" s="0" t="s">
        <v>48</v>
      </c>
      <c r="E306" s="0" t="str">
        <f aca="false">$B306&amp;"|"&amp;$C306&amp;"|"&amp;$D306</f>
        <v>Neno District [gwVYinjBAe9]|10-14|Male</v>
      </c>
      <c r="F306" s="88" t="n">
        <f aca="false">IF(LEFT($B306,4)="_Mil","",INDEX(Cascade!$AA:$AA,MATCH($E306,Cascade!$E:$E,0)))</f>
        <v>1598</v>
      </c>
      <c r="G306" s="10" t="n">
        <f aca="false">INDEX(Cascade!$BH:$BH,MATCH($E306,Cascade!$E:$E,0))</f>
        <v>-94</v>
      </c>
      <c r="H306" s="10" t="str">
        <f aca="false">IF(OR($C306="01-09",$D306="Male"),"",INDEX(PMTCT!$AC:$AC,MATCH($E306,PMTCT!$E:$E,0)))</f>
        <v/>
      </c>
      <c r="I306" s="10" t="str">
        <f aca="false">IF(OR($C306="01-09",$D306="Male"),"",INDEX(PMTCT!$AS:$AS,MATCH($E306,PMTCT!$E:$E,0)))</f>
        <v/>
      </c>
      <c r="J306" s="10" t="str">
        <f aca="false">INDEX(TB!$P:$P,MATCH($E306,TB!$E:$E,0))</f>
        <v>ENTER YIELD RATE</v>
      </c>
      <c r="K306" s="10" t="str">
        <f aca="false">IF(OR($C306="01-09",$C306="10-14",$D306="Female"),"",INDEX(VMMC!$AA:$AA,MATCH($E306,VMMC!$E:$E,0)))</f>
        <v/>
      </c>
      <c r="L306" s="10" t="n">
        <f aca="false">SUM($G306)-SUM($H306:$K306)</f>
        <v>-94</v>
      </c>
      <c r="M306" s="88" t="str">
        <f aca="false">IF(OR($C306="01-09",$D306="Male",AND(SUM($G306)=0,SUM($H306)=0)),"",SUM($H306)/SUM($G306))</f>
        <v/>
      </c>
      <c r="N306" s="88" t="str">
        <f aca="false">IF(OR($C306="01-09",$D306="Male",AND(SUM($G306)=0,SUM($I306)=0)),"",SUM($I306)/SUM($G306))</f>
        <v/>
      </c>
      <c r="O306" s="88" t="n">
        <f aca="false">IF(AND(SUM($G306)=0,SUM($J306)=0),"",SUM($J306)/SUM($G306))</f>
        <v>-0</v>
      </c>
      <c r="P306" s="88" t="str">
        <f aca="false">IF(OR($C306="01-09",$C306="10-14",$D306="Female",AND(SUM($G306)=0,SUM($K306)=0)),"",SUM($K306)/SUM($G306))</f>
        <v/>
      </c>
      <c r="Q306" s="88"/>
      <c r="R306" s="88"/>
      <c r="S306" s="88"/>
      <c r="T306" s="88"/>
      <c r="U306" s="88"/>
      <c r="V306" s="88" t="n">
        <f aca="false">IF(SUM($G306)=0,"",SUM($M306:$U306))</f>
        <v>0</v>
      </c>
      <c r="W306" s="88"/>
      <c r="X306" s="39" t="str">
        <f aca="false">IF(OR(SUM($G306)=0,SUM($Q306)=0),"",ROUND(SUM($G306)*SUM($Q306),0))</f>
        <v/>
      </c>
      <c r="Y306" s="39" t="str">
        <f aca="false">IF(SUM($X306)=0,"",IF(SUM($W306)=0,"ENTER YIELD",ROUND($X306/$W306,0)-$X306))</f>
        <v/>
      </c>
      <c r="Z306" s="88"/>
      <c r="AA306" s="39" t="str">
        <f aca="false">IF(OR(SUM($G306)=0,SUM($R306)=0),"",ROUND(SUM($G306)*SUM($R306),0))</f>
        <v/>
      </c>
      <c r="AB306" s="39" t="str">
        <f aca="false">IF(SUM($AA306)=0,"",IF(SUM($Z306)=0,"ENTER YIELD",ROUND($AA306/$Z306,0)-$AA306))</f>
        <v/>
      </c>
      <c r="AC306" s="88"/>
      <c r="AD306" s="39" t="str">
        <f aca="false">IF(OR(SUM($G306)=0,SUM($S306)=0),"",ROUND(SUM($G306)*SUM($S306),0))</f>
        <v/>
      </c>
      <c r="AE306" s="39" t="str">
        <f aca="false">IF(SUM($AD306)=0,"",IF(SUM($AC306)=0,"ENTER YIELD",ROUND($AD306/$AC306,0)-$AD306))</f>
        <v/>
      </c>
      <c r="AF306" s="88"/>
      <c r="AG306" s="39" t="str">
        <f aca="false">IF(OR(SUM($G306)=0,SUM($T306)=0),"",ROUND(SUM($G306)*SUM($T306),0))</f>
        <v/>
      </c>
      <c r="AH306" s="39" t="str">
        <f aca="false">IF(SUM($AG306)=0,"",IF(SUM($AF306)=0,"ENTER YIELD",ROUND($AG306/$AF306,0)-$AG306))</f>
        <v/>
      </c>
      <c r="AI306" s="88"/>
      <c r="AJ306" s="39" t="str">
        <f aca="false">IF(OR(SUM($G306)=0,SUM($U306)=0),"",ROUND(SUM($G306)*SUM($U306),0))</f>
        <v/>
      </c>
      <c r="AK306" s="39" t="str">
        <f aca="false">IF(SUM($AJ306)=0,"",IF(SUM($AI306)=0,"ENTER YIELD",ROUND($AJ306/$AI306,0)-$AJ306))</f>
        <v/>
      </c>
      <c r="AL306" s="10" t="n">
        <f aca="false">IF(SUM($G306)=0,"",$G306)</f>
        <v>-94</v>
      </c>
      <c r="AM306" s="10" t="str">
        <f aca="false">IFERROR(1/(1/SUM($H306:$K306,$X306,$AA306,$AD306,$AG306,$AJ306)),"")</f>
        <v/>
      </c>
      <c r="AN306" s="10" t="e">
        <f aca="false">IF(AND(SUM($AM306)=0,SUM($AL306)=0),"",$AM306-$AL306)</f>
        <v>#VALUE!</v>
      </c>
      <c r="AO306" s="10" t="str">
        <f aca="false">IF(OR($C306="01-09",$D306="Male"),"",INDEX(PMTCT!$AD:$AD,MATCH($E306,PMTCT!$E:$E,0)))</f>
        <v/>
      </c>
      <c r="AP306" s="10" t="str">
        <f aca="false">IF(OR($C306="01-09",$D306="Male"),"",INDEX(PMTCT!$AT:$AT,MATCH($E306,PMTCT!$E:$E,0)))</f>
        <v/>
      </c>
      <c r="AQ306" s="10" t="n">
        <f aca="false">INDEX(TB!$Q:$Q,MATCH($E306,TB!$E:$E,0))</f>
        <v>1</v>
      </c>
      <c r="AR306" s="10" t="str">
        <f aca="false">IF(OR($C306="01-09",$C306="10-14",$D306="Female"),"",INDEX(VMMC!$AB:$AB,MATCH($E306,VMMC!$E:$E,0)))</f>
        <v/>
      </c>
      <c r="AS306" s="10" t="str">
        <f aca="false">IF(OR($C306="01-09",$C306="10-14"),"",INDEX(PrEP!$Q:$Q,MATCH($E306,PrEP!$E:$E,0)))</f>
        <v/>
      </c>
      <c r="AT306" s="10" t="n">
        <f aca="false">IFERROR(1/(1/SUM($Y306,$AB306,$AE306,$AH306,$AK306,$AO306:$AS306)),"")</f>
        <v>1</v>
      </c>
      <c r="AU306" s="10" t="n">
        <f aca="false">IFERROR(1/(1/SUM($AT306,$AM306)),"")</f>
        <v>1</v>
      </c>
      <c r="AV306" s="88" t="e">
        <f aca="false">IF(AND(SUM($AM306)=0,SUM($AU306)=0),"",$AM306/$AU306)</f>
        <v>#VALUE!</v>
      </c>
      <c r="AW306" s="10"/>
      <c r="AX306" s="88" t="str">
        <f aca="false">IF(OR($C306="01-09",SUM($AW306)=0),"",0%)</f>
        <v/>
      </c>
      <c r="AY306" s="39" t="str">
        <f aca="false">IF(OR($C306="01-09",SUM($AW306)=0),"",ROUND($AW306*(1+$AX306),0))</f>
        <v/>
      </c>
      <c r="AZ306" s="88" t="str">
        <f aca="false">IF(OR($C306="01-09",$C306="10-14"),"",100%)</f>
        <v/>
      </c>
      <c r="BA306" s="39" t="str">
        <f aca="false">IF(OR(SUM($AM306)=0,$C306="01-09",$C306="10-14"),"",$AM306*$AZ306)</f>
        <v/>
      </c>
    </row>
    <row r="307" customFormat="false" ht="15" hidden="false" customHeight="false" outlineLevel="0" collapsed="false">
      <c r="A307" s="0" t="str">
        <f aca="false">INDEX(Prioritization!$D:$D,MATCH($B307,Prioritization!$A:$A,0))</f>
        <v>INVALID</v>
      </c>
      <c r="B307" s="0" t="s">
        <v>218</v>
      </c>
      <c r="C307" s="0" t="s">
        <v>365</v>
      </c>
      <c r="D307" s="0" t="s">
        <v>30</v>
      </c>
      <c r="E307" s="0" t="str">
        <f aca="false">$B307&amp;"|"&amp;$C307&amp;"|"&amp;$D307</f>
        <v>Neno District [gwVYinjBAe9]|15-24|Female</v>
      </c>
      <c r="F307" s="88" t="n">
        <f aca="false">IF(LEFT($B307,4)="_Mil","",INDEX(Cascade!$AA:$AA,MATCH($E307,Cascade!$E:$E,0)))</f>
        <v>1569</v>
      </c>
      <c r="G307" s="10" t="n">
        <f aca="false">INDEX(Cascade!$BH:$BH,MATCH($E307,Cascade!$E:$E,0))</f>
        <v>0</v>
      </c>
      <c r="H307" s="10" t="str">
        <f aca="false">IF(OR($C307="01-09",$D307="Male"),"",INDEX(PMTCT!$AC:$AC,MATCH($E307,PMTCT!$E:$E,0)))</f>
        <v/>
      </c>
      <c r="I307" s="10" t="str">
        <f aca="false">IF(OR($C307="01-09",$D307="Male"),"",INDEX(PMTCT!$AS:$AS,MATCH($E307,PMTCT!$E:$E,0)))</f>
        <v/>
      </c>
      <c r="J307" s="10" t="str">
        <f aca="false">INDEX(TB!$P:$P,MATCH($E307,TB!$E:$E,0))</f>
        <v/>
      </c>
      <c r="K307" s="10" t="str">
        <f aca="false">IF(OR($C307="01-09",$C307="10-14",$D307="Female"),"",INDEX(VMMC!$AA:$AA,MATCH($E307,VMMC!$E:$E,0)))</f>
        <v/>
      </c>
      <c r="L307" s="10" t="n">
        <f aca="false">SUM($G307)-SUM($H307:$K307)</f>
        <v>0</v>
      </c>
      <c r="M307" s="88" t="str">
        <f aca="false">IF(OR($C307="01-09",$D307="Male",AND(SUM($G307)=0,SUM($H307)=0)),"",SUM($H307)/SUM($G307))</f>
        <v/>
      </c>
      <c r="N307" s="88" t="str">
        <f aca="false">IF(OR($C307="01-09",$D307="Male",AND(SUM($G307)=0,SUM($I307)=0)),"",SUM($I307)/SUM($G307))</f>
        <v/>
      </c>
      <c r="O307" s="88" t="str">
        <f aca="false">IF(AND(SUM($G307)=0,SUM($J307)=0),"",SUM($J307)/SUM($G307))</f>
        <v/>
      </c>
      <c r="P307" s="88" t="str">
        <f aca="false">IF(OR($C307="01-09",$C307="10-14",$D307="Female",AND(SUM($G307)=0,SUM($K307)=0)),"",SUM($K307)/SUM($G307))</f>
        <v/>
      </c>
      <c r="Q307" s="88"/>
      <c r="R307" s="88"/>
      <c r="S307" s="88"/>
      <c r="T307" s="88"/>
      <c r="U307" s="88"/>
      <c r="V307" s="88" t="str">
        <f aca="false">IF(SUM($G307)=0,"",SUM($M307:$U307))</f>
        <v/>
      </c>
      <c r="W307" s="88"/>
      <c r="X307" s="39" t="str">
        <f aca="false">IF(OR(SUM($G307)=0,SUM($Q307)=0),"",ROUND(SUM($G307)*SUM($Q307),0))</f>
        <v/>
      </c>
      <c r="Y307" s="39" t="str">
        <f aca="false">IF(SUM($X307)=0,"",IF(SUM($W307)=0,"ENTER YIELD",ROUND($X307/$W307,0)-$X307))</f>
        <v/>
      </c>
      <c r="Z307" s="88"/>
      <c r="AA307" s="39" t="str">
        <f aca="false">IF(OR(SUM($G307)=0,SUM($R307)=0),"",ROUND(SUM($G307)*SUM($R307),0))</f>
        <v/>
      </c>
      <c r="AB307" s="39" t="str">
        <f aca="false">IF(SUM($AA307)=0,"",IF(SUM($Z307)=0,"ENTER YIELD",ROUND($AA307/$Z307,0)-$AA307))</f>
        <v/>
      </c>
      <c r="AC307" s="88"/>
      <c r="AD307" s="39" t="str">
        <f aca="false">IF(OR(SUM($G307)=0,SUM($S307)=0),"",ROUND(SUM($G307)*SUM($S307),0))</f>
        <v/>
      </c>
      <c r="AE307" s="39" t="str">
        <f aca="false">IF(SUM($AD307)=0,"",IF(SUM($AC307)=0,"ENTER YIELD",ROUND($AD307/$AC307,0)-$AD307))</f>
        <v/>
      </c>
      <c r="AF307" s="88"/>
      <c r="AG307" s="39" t="str">
        <f aca="false">IF(OR(SUM($G307)=0,SUM($T307)=0),"",ROUND(SUM($G307)*SUM($T307),0))</f>
        <v/>
      </c>
      <c r="AH307" s="39" t="str">
        <f aca="false">IF(SUM($AG307)=0,"",IF(SUM($AF307)=0,"ENTER YIELD",ROUND($AG307/$AF307,0)-$AG307))</f>
        <v/>
      </c>
      <c r="AI307" s="88"/>
      <c r="AJ307" s="39" t="str">
        <f aca="false">IF(OR(SUM($G307)=0,SUM($U307)=0),"",ROUND(SUM($G307)*SUM($U307),0))</f>
        <v/>
      </c>
      <c r="AK307" s="39" t="str">
        <f aca="false">IF(SUM($AJ307)=0,"",IF(SUM($AI307)=0,"ENTER YIELD",ROUND($AJ307/$AI307,0)-$AJ307))</f>
        <v/>
      </c>
      <c r="AL307" s="10" t="str">
        <f aca="false">IF(SUM($G307)=0,"",$G307)</f>
        <v/>
      </c>
      <c r="AM307" s="10" t="str">
        <f aca="false">IFERROR(1/(1/SUM($H307:$K307,$X307,$AA307,$AD307,$AG307,$AJ307)),"")</f>
        <v/>
      </c>
      <c r="AN307" s="10" t="str">
        <f aca="false">IF(AND(SUM($AM307)=0,SUM($AL307)=0),"",$AM307-$AL307)</f>
        <v/>
      </c>
      <c r="AO307" s="10" t="str">
        <f aca="false">IF(OR($C307="01-09",$D307="Male"),"",INDEX(PMTCT!$AD:$AD,MATCH($E307,PMTCT!$E:$E,0)))</f>
        <v/>
      </c>
      <c r="AP307" s="10" t="str">
        <f aca="false">IF(OR($C307="01-09",$D307="Male"),"",INDEX(PMTCT!$AT:$AT,MATCH($E307,PMTCT!$E:$E,0)))</f>
        <v/>
      </c>
      <c r="AQ307" s="10" t="str">
        <f aca="false">INDEX(TB!$Q:$Q,MATCH($E307,TB!$E:$E,0))</f>
        <v/>
      </c>
      <c r="AR307" s="10" t="str">
        <f aca="false">IF(OR($C307="01-09",$C307="10-14",$D307="Female"),"",INDEX(VMMC!$AB:$AB,MATCH($E307,VMMC!$E:$E,0)))</f>
        <v/>
      </c>
      <c r="AS307" s="10" t="str">
        <f aca="false">IF(OR($C307="01-09",$C307="10-14"),"",INDEX(PrEP!$Q:$Q,MATCH($E307,PrEP!$E:$E,0)))</f>
        <v/>
      </c>
      <c r="AT307" s="10" t="str">
        <f aca="false">IFERROR(1/(1/SUM($Y307,$AB307,$AE307,$AH307,$AK307,$AO307:$AS307)),"")</f>
        <v/>
      </c>
      <c r="AU307" s="10" t="str">
        <f aca="false">IFERROR(1/(1/SUM($AT307,$AM307)),"")</f>
        <v/>
      </c>
      <c r="AV307" s="88" t="str">
        <f aca="false">IF(AND(SUM($AM307)=0,SUM($AU307)=0),"",$AM307/$AU307)</f>
        <v/>
      </c>
      <c r="AW307" s="10"/>
      <c r="AX307" s="88" t="str">
        <f aca="false">IF(OR($C307="01-09",SUM($AW307)=0),"",0%)</f>
        <v/>
      </c>
      <c r="AY307" s="39" t="str">
        <f aca="false">IF(OR($C307="01-09",SUM($AW307)=0),"",ROUND($AW307*(1+$AX307),0))</f>
        <v/>
      </c>
      <c r="AZ307" s="88" t="n">
        <f aca="false">IF(OR($C307="01-09",$C307="10-14"),"",100%)</f>
        <v>1</v>
      </c>
      <c r="BA307" s="39" t="str">
        <f aca="false">IF(OR(SUM($AM307)=0,$C307="01-09",$C307="10-14"),"",$AM307*$AZ307)</f>
        <v/>
      </c>
    </row>
    <row r="308" customFormat="false" ht="15" hidden="false" customHeight="false" outlineLevel="0" collapsed="false">
      <c r="A308" s="0" t="str">
        <f aca="false">INDEX(Prioritization!$D:$D,MATCH($B308,Prioritization!$A:$A,0))</f>
        <v>INVALID</v>
      </c>
      <c r="B308" s="0" t="s">
        <v>218</v>
      </c>
      <c r="C308" s="0" t="s">
        <v>365</v>
      </c>
      <c r="D308" s="0" t="s">
        <v>48</v>
      </c>
      <c r="E308" s="0" t="str">
        <f aca="false">$B308&amp;"|"&amp;$C308&amp;"|"&amp;$D308</f>
        <v>Neno District [gwVYinjBAe9]|15-24|Male</v>
      </c>
      <c r="F308" s="88" t="n">
        <f aca="false">IF(LEFT($B308,4)="_Mil","",INDEX(Cascade!$AA:$AA,MATCH($E308,Cascade!$E:$E,0)))</f>
        <v>760</v>
      </c>
      <c r="G308" s="10" t="n">
        <f aca="false">INDEX(Cascade!$BH:$BH,MATCH($E308,Cascade!$E:$E,0))</f>
        <v>0</v>
      </c>
      <c r="H308" s="10" t="str">
        <f aca="false">IF(OR($C308="01-09",$D308="Male"),"",INDEX(PMTCT!$AC:$AC,MATCH($E308,PMTCT!$E:$E,0)))</f>
        <v/>
      </c>
      <c r="I308" s="10" t="str">
        <f aca="false">IF(OR($C308="01-09",$D308="Male"),"",INDEX(PMTCT!$AS:$AS,MATCH($E308,PMTCT!$E:$E,0)))</f>
        <v/>
      </c>
      <c r="J308" s="10" t="str">
        <f aca="false">INDEX(TB!$P:$P,MATCH($E308,TB!$E:$E,0))</f>
        <v/>
      </c>
      <c r="K308" s="10" t="str">
        <f aca="false">IF(OR($C308="01-09",$C308="10-14",$D308="Female"),"",INDEX(VMMC!$AA:$AA,MATCH($E308,VMMC!$E:$E,0)))</f>
        <v/>
      </c>
      <c r="L308" s="10" t="n">
        <f aca="false">SUM($G308)-SUM($H308:$K308)</f>
        <v>0</v>
      </c>
      <c r="M308" s="88" t="str">
        <f aca="false">IF(OR($C308="01-09",$D308="Male",AND(SUM($G308)=0,SUM($H308)=0)),"",SUM($H308)/SUM($G308))</f>
        <v/>
      </c>
      <c r="N308" s="88" t="str">
        <f aca="false">IF(OR($C308="01-09",$D308="Male",AND(SUM($G308)=0,SUM($I308)=0)),"",SUM($I308)/SUM($G308))</f>
        <v/>
      </c>
      <c r="O308" s="88" t="str">
        <f aca="false">IF(AND(SUM($G308)=0,SUM($J308)=0),"",SUM($J308)/SUM($G308))</f>
        <v/>
      </c>
      <c r="P308" s="88" t="str">
        <f aca="false">IF(OR($C308="01-09",$C308="10-14",$D308="Female",AND(SUM($G308)=0,SUM($K308)=0)),"",SUM($K308)/SUM($G308))</f>
        <v/>
      </c>
      <c r="Q308" s="88"/>
      <c r="R308" s="88"/>
      <c r="S308" s="88"/>
      <c r="T308" s="88"/>
      <c r="U308" s="88"/>
      <c r="V308" s="88" t="str">
        <f aca="false">IF(SUM($G308)=0,"",SUM($M308:$U308))</f>
        <v/>
      </c>
      <c r="W308" s="88"/>
      <c r="X308" s="39" t="str">
        <f aca="false">IF(OR(SUM($G308)=0,SUM($Q308)=0),"",ROUND(SUM($G308)*SUM($Q308),0))</f>
        <v/>
      </c>
      <c r="Y308" s="39" t="str">
        <f aca="false">IF(SUM($X308)=0,"",IF(SUM($W308)=0,"ENTER YIELD",ROUND($X308/$W308,0)-$X308))</f>
        <v/>
      </c>
      <c r="Z308" s="88"/>
      <c r="AA308" s="39" t="str">
        <f aca="false">IF(OR(SUM($G308)=0,SUM($R308)=0),"",ROUND(SUM($G308)*SUM($R308),0))</f>
        <v/>
      </c>
      <c r="AB308" s="39" t="str">
        <f aca="false">IF(SUM($AA308)=0,"",IF(SUM($Z308)=0,"ENTER YIELD",ROUND($AA308/$Z308,0)-$AA308))</f>
        <v/>
      </c>
      <c r="AC308" s="88"/>
      <c r="AD308" s="39" t="str">
        <f aca="false">IF(OR(SUM($G308)=0,SUM($S308)=0),"",ROUND(SUM($G308)*SUM($S308),0))</f>
        <v/>
      </c>
      <c r="AE308" s="39" t="str">
        <f aca="false">IF(SUM($AD308)=0,"",IF(SUM($AC308)=0,"ENTER YIELD",ROUND($AD308/$AC308,0)-$AD308))</f>
        <v/>
      </c>
      <c r="AF308" s="88"/>
      <c r="AG308" s="39" t="str">
        <f aca="false">IF(OR(SUM($G308)=0,SUM($T308)=0),"",ROUND(SUM($G308)*SUM($T308),0))</f>
        <v/>
      </c>
      <c r="AH308" s="39" t="str">
        <f aca="false">IF(SUM($AG308)=0,"",IF(SUM($AF308)=0,"ENTER YIELD",ROUND($AG308/$AF308,0)-$AG308))</f>
        <v/>
      </c>
      <c r="AI308" s="88"/>
      <c r="AJ308" s="39" t="str">
        <f aca="false">IF(OR(SUM($G308)=0,SUM($U308)=0),"",ROUND(SUM($G308)*SUM($U308),0))</f>
        <v/>
      </c>
      <c r="AK308" s="39" t="str">
        <f aca="false">IF(SUM($AJ308)=0,"",IF(SUM($AI308)=0,"ENTER YIELD",ROUND($AJ308/$AI308,0)-$AJ308))</f>
        <v/>
      </c>
      <c r="AL308" s="10" t="str">
        <f aca="false">IF(SUM($G308)=0,"",$G308)</f>
        <v/>
      </c>
      <c r="AM308" s="10" t="str">
        <f aca="false">IFERROR(1/(1/SUM($H308:$K308,$X308,$AA308,$AD308,$AG308,$AJ308)),"")</f>
        <v/>
      </c>
      <c r="AN308" s="10" t="str">
        <f aca="false">IF(AND(SUM($AM308)=0,SUM($AL308)=0),"",$AM308-$AL308)</f>
        <v/>
      </c>
      <c r="AO308" s="10" t="str">
        <f aca="false">IF(OR($C308="01-09",$D308="Male"),"",INDEX(PMTCT!$AD:$AD,MATCH($E308,PMTCT!$E:$E,0)))</f>
        <v/>
      </c>
      <c r="AP308" s="10" t="str">
        <f aca="false">IF(OR($C308="01-09",$D308="Male"),"",INDEX(PMTCT!$AT:$AT,MATCH($E308,PMTCT!$E:$E,0)))</f>
        <v/>
      </c>
      <c r="AQ308" s="10" t="str">
        <f aca="false">INDEX(TB!$Q:$Q,MATCH($E308,TB!$E:$E,0))</f>
        <v/>
      </c>
      <c r="AR308" s="10" t="str">
        <f aca="false">IF(OR($C308="01-09",$C308="10-14",$D308="Female"),"",INDEX(VMMC!$AB:$AB,MATCH($E308,VMMC!$E:$E,0)))</f>
        <v/>
      </c>
      <c r="AS308" s="10" t="str">
        <f aca="false">IF(OR($C308="01-09",$C308="10-14"),"",INDEX(PrEP!$Q:$Q,MATCH($E308,PrEP!$E:$E,0)))</f>
        <v/>
      </c>
      <c r="AT308" s="10" t="str">
        <f aca="false">IFERROR(1/(1/SUM($Y308,$AB308,$AE308,$AH308,$AK308,$AO308:$AS308)),"")</f>
        <v/>
      </c>
      <c r="AU308" s="10" t="str">
        <f aca="false">IFERROR(1/(1/SUM($AT308,$AM308)),"")</f>
        <v/>
      </c>
      <c r="AV308" s="88" t="str">
        <f aca="false">IF(AND(SUM($AM308)=0,SUM($AU308)=0),"",$AM308/$AU308)</f>
        <v/>
      </c>
      <c r="AW308" s="10"/>
      <c r="AX308" s="88" t="str">
        <f aca="false">IF(OR($C308="01-09",SUM($AW308)=0),"",0%)</f>
        <v/>
      </c>
      <c r="AY308" s="39" t="str">
        <f aca="false">IF(OR($C308="01-09",SUM($AW308)=0),"",ROUND($AW308*(1+$AX308),0))</f>
        <v/>
      </c>
      <c r="AZ308" s="88" t="n">
        <f aca="false">IF(OR($C308="01-09",$C308="10-14"),"",100%)</f>
        <v>1</v>
      </c>
      <c r="BA308" s="39" t="str">
        <f aca="false">IF(OR(SUM($AM308)=0,$C308="01-09",$C308="10-14"),"",$AM308*$AZ308)</f>
        <v/>
      </c>
    </row>
    <row r="309" customFormat="false" ht="15" hidden="false" customHeight="false" outlineLevel="0" collapsed="false">
      <c r="A309" s="0" t="str">
        <f aca="false">INDEX(Prioritization!$D:$D,MATCH($B309,Prioritization!$A:$A,0))</f>
        <v>INVALID</v>
      </c>
      <c r="B309" s="0" t="s">
        <v>218</v>
      </c>
      <c r="C309" s="0" t="s">
        <v>366</v>
      </c>
      <c r="D309" s="0" t="s">
        <v>30</v>
      </c>
      <c r="E309" s="0" t="str">
        <f aca="false">$B309&amp;"|"&amp;$C309&amp;"|"&amp;$D309</f>
        <v>Neno District [gwVYinjBAe9]|25-34|Female</v>
      </c>
      <c r="F309" s="88" t="n">
        <f aca="false">IF(LEFT($B309,4)="_Mil","",INDEX(Cascade!$AA:$AA,MATCH($E309,Cascade!$E:$E,0)))</f>
        <v>1438</v>
      </c>
      <c r="G309" s="10" t="n">
        <f aca="false">INDEX(Cascade!$BH:$BH,MATCH($E309,Cascade!$E:$E,0))</f>
        <v>0</v>
      </c>
      <c r="H309" s="10" t="str">
        <f aca="false">IF(OR($C309="01-09",$D309="Male"),"",INDEX(PMTCT!$AC:$AC,MATCH($E309,PMTCT!$E:$E,0)))</f>
        <v/>
      </c>
      <c r="I309" s="10" t="str">
        <f aca="false">IF(OR($C309="01-09",$D309="Male"),"",INDEX(PMTCT!$AS:$AS,MATCH($E309,PMTCT!$E:$E,0)))</f>
        <v/>
      </c>
      <c r="J309" s="10" t="str">
        <f aca="false">INDEX(TB!$P:$P,MATCH($E309,TB!$E:$E,0))</f>
        <v/>
      </c>
      <c r="K309" s="10" t="str">
        <f aca="false">IF(OR($C309="01-09",$C309="10-14",$D309="Female"),"",INDEX(VMMC!$AA:$AA,MATCH($E309,VMMC!$E:$E,0)))</f>
        <v/>
      </c>
      <c r="L309" s="10" t="n">
        <f aca="false">SUM($G309)-SUM($H309:$K309)</f>
        <v>0</v>
      </c>
      <c r="M309" s="88" t="str">
        <f aca="false">IF(OR($C309="01-09",$D309="Male",AND(SUM($G309)=0,SUM($H309)=0)),"",SUM($H309)/SUM($G309))</f>
        <v/>
      </c>
      <c r="N309" s="88" t="str">
        <f aca="false">IF(OR($C309="01-09",$D309="Male",AND(SUM($G309)=0,SUM($I309)=0)),"",SUM($I309)/SUM($G309))</f>
        <v/>
      </c>
      <c r="O309" s="88" t="str">
        <f aca="false">IF(AND(SUM($G309)=0,SUM($J309)=0),"",SUM($J309)/SUM($G309))</f>
        <v/>
      </c>
      <c r="P309" s="88" t="str">
        <f aca="false">IF(OR($C309="01-09",$C309="10-14",$D309="Female",AND(SUM($G309)=0,SUM($K309)=0)),"",SUM($K309)/SUM($G309))</f>
        <v/>
      </c>
      <c r="Q309" s="88"/>
      <c r="R309" s="88"/>
      <c r="S309" s="88"/>
      <c r="T309" s="88"/>
      <c r="U309" s="88"/>
      <c r="V309" s="88" t="str">
        <f aca="false">IF(SUM($G309)=0,"",SUM($M309:$U309))</f>
        <v/>
      </c>
      <c r="W309" s="88"/>
      <c r="X309" s="39" t="str">
        <f aca="false">IF(OR(SUM($G309)=0,SUM($Q309)=0),"",ROUND(SUM($G309)*SUM($Q309),0))</f>
        <v/>
      </c>
      <c r="Y309" s="39" t="str">
        <f aca="false">IF(SUM($X309)=0,"",IF(SUM($W309)=0,"ENTER YIELD",ROUND($X309/$W309,0)-$X309))</f>
        <v/>
      </c>
      <c r="Z309" s="88"/>
      <c r="AA309" s="39" t="str">
        <f aca="false">IF(OR(SUM($G309)=0,SUM($R309)=0),"",ROUND(SUM($G309)*SUM($R309),0))</f>
        <v/>
      </c>
      <c r="AB309" s="39" t="str">
        <f aca="false">IF(SUM($AA309)=0,"",IF(SUM($Z309)=0,"ENTER YIELD",ROUND($AA309/$Z309,0)-$AA309))</f>
        <v/>
      </c>
      <c r="AC309" s="88"/>
      <c r="AD309" s="39" t="str">
        <f aca="false">IF(OR(SUM($G309)=0,SUM($S309)=0),"",ROUND(SUM($G309)*SUM($S309),0))</f>
        <v/>
      </c>
      <c r="AE309" s="39" t="str">
        <f aca="false">IF(SUM($AD309)=0,"",IF(SUM($AC309)=0,"ENTER YIELD",ROUND($AD309/$AC309,0)-$AD309))</f>
        <v/>
      </c>
      <c r="AF309" s="88"/>
      <c r="AG309" s="39" t="str">
        <f aca="false">IF(OR(SUM($G309)=0,SUM($T309)=0),"",ROUND(SUM($G309)*SUM($T309),0))</f>
        <v/>
      </c>
      <c r="AH309" s="39" t="str">
        <f aca="false">IF(SUM($AG309)=0,"",IF(SUM($AF309)=0,"ENTER YIELD",ROUND($AG309/$AF309,0)-$AG309))</f>
        <v/>
      </c>
      <c r="AI309" s="88"/>
      <c r="AJ309" s="39" t="str">
        <f aca="false">IF(OR(SUM($G309)=0,SUM($U309)=0),"",ROUND(SUM($G309)*SUM($U309),0))</f>
        <v/>
      </c>
      <c r="AK309" s="39" t="str">
        <f aca="false">IF(SUM($AJ309)=0,"",IF(SUM($AI309)=0,"ENTER YIELD",ROUND($AJ309/$AI309,0)-$AJ309))</f>
        <v/>
      </c>
      <c r="AL309" s="10" t="str">
        <f aca="false">IF(SUM($G309)=0,"",$G309)</f>
        <v/>
      </c>
      <c r="AM309" s="10" t="str">
        <f aca="false">IFERROR(1/(1/SUM($H309:$K309,$X309,$AA309,$AD309,$AG309,$AJ309)),"")</f>
        <v/>
      </c>
      <c r="AN309" s="10" t="str">
        <f aca="false">IF(AND(SUM($AM309)=0,SUM($AL309)=0),"",$AM309-$AL309)</f>
        <v/>
      </c>
      <c r="AO309" s="10" t="str">
        <f aca="false">IF(OR($C309="01-09",$D309="Male"),"",INDEX(PMTCT!$AD:$AD,MATCH($E309,PMTCT!$E:$E,0)))</f>
        <v/>
      </c>
      <c r="AP309" s="10" t="str">
        <f aca="false">IF(OR($C309="01-09",$D309="Male"),"",INDEX(PMTCT!$AT:$AT,MATCH($E309,PMTCT!$E:$E,0)))</f>
        <v/>
      </c>
      <c r="AQ309" s="10" t="str">
        <f aca="false">INDEX(TB!$Q:$Q,MATCH($E309,TB!$E:$E,0))</f>
        <v/>
      </c>
      <c r="AR309" s="10" t="str">
        <f aca="false">IF(OR($C309="01-09",$C309="10-14",$D309="Female"),"",INDEX(VMMC!$AB:$AB,MATCH($E309,VMMC!$E:$E,0)))</f>
        <v/>
      </c>
      <c r="AS309" s="10" t="str">
        <f aca="false">IF(OR($C309="01-09",$C309="10-14"),"",INDEX(PrEP!$Q:$Q,MATCH($E309,PrEP!$E:$E,0)))</f>
        <v/>
      </c>
      <c r="AT309" s="10" t="str">
        <f aca="false">IFERROR(1/(1/SUM($Y309,$AB309,$AE309,$AH309,$AK309,$AO309:$AS309)),"")</f>
        <v/>
      </c>
      <c r="AU309" s="10" t="str">
        <f aca="false">IFERROR(1/(1/SUM($AT309,$AM309)),"")</f>
        <v/>
      </c>
      <c r="AV309" s="88" t="str">
        <f aca="false">IF(AND(SUM($AM309)=0,SUM($AU309)=0),"",$AM309/$AU309)</f>
        <v/>
      </c>
      <c r="AW309" s="10"/>
      <c r="AX309" s="88" t="str">
        <f aca="false">IF(OR($C309="01-09",SUM($AW309)=0),"",0%)</f>
        <v/>
      </c>
      <c r="AY309" s="39" t="str">
        <f aca="false">IF(OR($C309="01-09",SUM($AW309)=0),"",ROUND($AW309*(1+$AX309),0))</f>
        <v/>
      </c>
      <c r="AZ309" s="88" t="n">
        <f aca="false">IF(OR($C309="01-09",$C309="10-14"),"",100%)</f>
        <v>1</v>
      </c>
      <c r="BA309" s="39" t="str">
        <f aca="false">IF(OR(SUM($AM309)=0,$C309="01-09",$C309="10-14"),"",$AM309*$AZ309)</f>
        <v/>
      </c>
    </row>
    <row r="310" customFormat="false" ht="15" hidden="false" customHeight="false" outlineLevel="0" collapsed="false">
      <c r="A310" s="0" t="str">
        <f aca="false">INDEX(Prioritization!$D:$D,MATCH($B310,Prioritization!$A:$A,0))</f>
        <v>INVALID</v>
      </c>
      <c r="B310" s="0" t="s">
        <v>218</v>
      </c>
      <c r="C310" s="0" t="s">
        <v>366</v>
      </c>
      <c r="D310" s="0" t="s">
        <v>48</v>
      </c>
      <c r="E310" s="0" t="str">
        <f aca="false">$B310&amp;"|"&amp;$C310&amp;"|"&amp;$D310</f>
        <v>Neno District [gwVYinjBAe9]|25-34|Male</v>
      </c>
      <c r="F310" s="88" t="n">
        <f aca="false">IF(LEFT($B310,4)="_Mil","",INDEX(Cascade!$AA:$AA,MATCH($E310,Cascade!$E:$E,0)))</f>
        <v>1491</v>
      </c>
      <c r="G310" s="10" t="n">
        <f aca="false">INDEX(Cascade!$BH:$BH,MATCH($E310,Cascade!$E:$E,0))</f>
        <v>0</v>
      </c>
      <c r="H310" s="10" t="str">
        <f aca="false">IF(OR($C310="01-09",$D310="Male"),"",INDEX(PMTCT!$AC:$AC,MATCH($E310,PMTCT!$E:$E,0)))</f>
        <v/>
      </c>
      <c r="I310" s="10" t="str">
        <f aca="false">IF(OR($C310="01-09",$D310="Male"),"",INDEX(PMTCT!$AS:$AS,MATCH($E310,PMTCT!$E:$E,0)))</f>
        <v/>
      </c>
      <c r="J310" s="10" t="str">
        <f aca="false">INDEX(TB!$P:$P,MATCH($E310,TB!$E:$E,0))</f>
        <v/>
      </c>
      <c r="K310" s="10" t="str">
        <f aca="false">IF(OR($C310="01-09",$C310="10-14",$D310="Female"),"",INDEX(VMMC!$AA:$AA,MATCH($E310,VMMC!$E:$E,0)))</f>
        <v/>
      </c>
      <c r="L310" s="10" t="n">
        <f aca="false">SUM($G310)-SUM($H310:$K310)</f>
        <v>0</v>
      </c>
      <c r="M310" s="88" t="str">
        <f aca="false">IF(OR($C310="01-09",$D310="Male",AND(SUM($G310)=0,SUM($H310)=0)),"",SUM($H310)/SUM($G310))</f>
        <v/>
      </c>
      <c r="N310" s="88" t="str">
        <f aca="false">IF(OR($C310="01-09",$D310="Male",AND(SUM($G310)=0,SUM($I310)=0)),"",SUM($I310)/SUM($G310))</f>
        <v/>
      </c>
      <c r="O310" s="88" t="str">
        <f aca="false">IF(AND(SUM($G310)=0,SUM($J310)=0),"",SUM($J310)/SUM($G310))</f>
        <v/>
      </c>
      <c r="P310" s="88" t="str">
        <f aca="false">IF(OR($C310="01-09",$C310="10-14",$D310="Female",AND(SUM($G310)=0,SUM($K310)=0)),"",SUM($K310)/SUM($G310))</f>
        <v/>
      </c>
      <c r="Q310" s="88"/>
      <c r="R310" s="88"/>
      <c r="S310" s="88"/>
      <c r="T310" s="88"/>
      <c r="U310" s="88"/>
      <c r="V310" s="88" t="str">
        <f aca="false">IF(SUM($G310)=0,"",SUM($M310:$U310))</f>
        <v/>
      </c>
      <c r="W310" s="88"/>
      <c r="X310" s="39" t="str">
        <f aca="false">IF(OR(SUM($G310)=0,SUM($Q310)=0),"",ROUND(SUM($G310)*SUM($Q310),0))</f>
        <v/>
      </c>
      <c r="Y310" s="39" t="str">
        <f aca="false">IF(SUM($X310)=0,"",IF(SUM($W310)=0,"ENTER YIELD",ROUND($X310/$W310,0)-$X310))</f>
        <v/>
      </c>
      <c r="Z310" s="88"/>
      <c r="AA310" s="39" t="str">
        <f aca="false">IF(OR(SUM($G310)=0,SUM($R310)=0),"",ROUND(SUM($G310)*SUM($R310),0))</f>
        <v/>
      </c>
      <c r="AB310" s="39" t="str">
        <f aca="false">IF(SUM($AA310)=0,"",IF(SUM($Z310)=0,"ENTER YIELD",ROUND($AA310/$Z310,0)-$AA310))</f>
        <v/>
      </c>
      <c r="AC310" s="88"/>
      <c r="AD310" s="39" t="str">
        <f aca="false">IF(OR(SUM($G310)=0,SUM($S310)=0),"",ROUND(SUM($G310)*SUM($S310),0))</f>
        <v/>
      </c>
      <c r="AE310" s="39" t="str">
        <f aca="false">IF(SUM($AD310)=0,"",IF(SUM($AC310)=0,"ENTER YIELD",ROUND($AD310/$AC310,0)-$AD310))</f>
        <v/>
      </c>
      <c r="AF310" s="88"/>
      <c r="AG310" s="39" t="str">
        <f aca="false">IF(OR(SUM($G310)=0,SUM($T310)=0),"",ROUND(SUM($G310)*SUM($T310),0))</f>
        <v/>
      </c>
      <c r="AH310" s="39" t="str">
        <f aca="false">IF(SUM($AG310)=0,"",IF(SUM($AF310)=0,"ENTER YIELD",ROUND($AG310/$AF310,0)-$AG310))</f>
        <v/>
      </c>
      <c r="AI310" s="88"/>
      <c r="AJ310" s="39" t="str">
        <f aca="false">IF(OR(SUM($G310)=0,SUM($U310)=0),"",ROUND(SUM($G310)*SUM($U310),0))</f>
        <v/>
      </c>
      <c r="AK310" s="39" t="str">
        <f aca="false">IF(SUM($AJ310)=0,"",IF(SUM($AI310)=0,"ENTER YIELD",ROUND($AJ310/$AI310,0)-$AJ310))</f>
        <v/>
      </c>
      <c r="AL310" s="10" t="str">
        <f aca="false">IF(SUM($G310)=0,"",$G310)</f>
        <v/>
      </c>
      <c r="AM310" s="10" t="str">
        <f aca="false">IFERROR(1/(1/SUM($H310:$K310,$X310,$AA310,$AD310,$AG310,$AJ310)),"")</f>
        <v/>
      </c>
      <c r="AN310" s="10" t="str">
        <f aca="false">IF(AND(SUM($AM310)=0,SUM($AL310)=0),"",$AM310-$AL310)</f>
        <v/>
      </c>
      <c r="AO310" s="10" t="str">
        <f aca="false">IF(OR($C310="01-09",$D310="Male"),"",INDEX(PMTCT!$AD:$AD,MATCH($E310,PMTCT!$E:$E,0)))</f>
        <v/>
      </c>
      <c r="AP310" s="10" t="str">
        <f aca="false">IF(OR($C310="01-09",$D310="Male"),"",INDEX(PMTCT!$AT:$AT,MATCH($E310,PMTCT!$E:$E,0)))</f>
        <v/>
      </c>
      <c r="AQ310" s="10" t="str">
        <f aca="false">INDEX(TB!$Q:$Q,MATCH($E310,TB!$E:$E,0))</f>
        <v/>
      </c>
      <c r="AR310" s="10" t="str">
        <f aca="false">IF(OR($C310="01-09",$C310="10-14",$D310="Female"),"",INDEX(VMMC!$AB:$AB,MATCH($E310,VMMC!$E:$E,0)))</f>
        <v/>
      </c>
      <c r="AS310" s="10" t="str">
        <f aca="false">IF(OR($C310="01-09",$C310="10-14"),"",INDEX(PrEP!$Q:$Q,MATCH($E310,PrEP!$E:$E,0)))</f>
        <v/>
      </c>
      <c r="AT310" s="10" t="str">
        <f aca="false">IFERROR(1/(1/SUM($Y310,$AB310,$AE310,$AH310,$AK310,$AO310:$AS310)),"")</f>
        <v/>
      </c>
      <c r="AU310" s="10" t="str">
        <f aca="false">IFERROR(1/(1/SUM($AT310,$AM310)),"")</f>
        <v/>
      </c>
      <c r="AV310" s="88" t="str">
        <f aca="false">IF(AND(SUM($AM310)=0,SUM($AU310)=0),"",$AM310/$AU310)</f>
        <v/>
      </c>
      <c r="AW310" s="10"/>
      <c r="AX310" s="88" t="str">
        <f aca="false">IF(OR($C310="01-09",SUM($AW310)=0),"",0%)</f>
        <v/>
      </c>
      <c r="AY310" s="39" t="str">
        <f aca="false">IF(OR($C310="01-09",SUM($AW310)=0),"",ROUND($AW310*(1+$AX310),0))</f>
        <v/>
      </c>
      <c r="AZ310" s="88" t="n">
        <f aca="false">IF(OR($C310="01-09",$C310="10-14"),"",100%)</f>
        <v>1</v>
      </c>
      <c r="BA310" s="39" t="str">
        <f aca="false">IF(OR(SUM($AM310)=0,$C310="01-09",$C310="10-14"),"",$AM310*$AZ310)</f>
        <v/>
      </c>
    </row>
    <row r="311" customFormat="false" ht="15" hidden="false" customHeight="false" outlineLevel="0" collapsed="false">
      <c r="A311" s="0" t="str">
        <f aca="false">INDEX(Prioritization!$D:$D,MATCH($B311,Prioritization!$A:$A,0))</f>
        <v>INVALID</v>
      </c>
      <c r="B311" s="0" t="s">
        <v>218</v>
      </c>
      <c r="C311" s="0" t="s">
        <v>367</v>
      </c>
      <c r="D311" s="0" t="s">
        <v>30</v>
      </c>
      <c r="E311" s="0" t="str">
        <f aca="false">$B311&amp;"|"&amp;$C311&amp;"|"&amp;$D311</f>
        <v>Neno District [gwVYinjBAe9]|35-49|Female</v>
      </c>
      <c r="F311" s="88" t="n">
        <f aca="false">IF(LEFT($B311,4)="_Mil","",INDEX(Cascade!$AA:$AA,MATCH($E311,Cascade!$E:$E,0)))</f>
        <v>969</v>
      </c>
      <c r="G311" s="10" t="n">
        <f aca="false">INDEX(Cascade!$BH:$BH,MATCH($E311,Cascade!$E:$E,0))</f>
        <v>0</v>
      </c>
      <c r="H311" s="10" t="str">
        <f aca="false">IF(OR($C311="01-09",$D311="Male"),"",INDEX(PMTCT!$AC:$AC,MATCH($E311,PMTCT!$E:$E,0)))</f>
        <v/>
      </c>
      <c r="I311" s="10" t="str">
        <f aca="false">IF(OR($C311="01-09",$D311="Male"),"",INDEX(PMTCT!$AS:$AS,MATCH($E311,PMTCT!$E:$E,0)))</f>
        <v/>
      </c>
      <c r="J311" s="10" t="str">
        <f aca="false">INDEX(TB!$P:$P,MATCH($E311,TB!$E:$E,0))</f>
        <v/>
      </c>
      <c r="K311" s="10" t="str">
        <f aca="false">IF(OR($C311="01-09",$C311="10-14",$D311="Female"),"",INDEX(VMMC!$AA:$AA,MATCH($E311,VMMC!$E:$E,0)))</f>
        <v/>
      </c>
      <c r="L311" s="10" t="n">
        <f aca="false">SUM($G311)-SUM($H311:$K311)</f>
        <v>0</v>
      </c>
      <c r="M311" s="88" t="str">
        <f aca="false">IF(OR($C311="01-09",$D311="Male",AND(SUM($G311)=0,SUM($H311)=0)),"",SUM($H311)/SUM($G311))</f>
        <v/>
      </c>
      <c r="N311" s="88" t="str">
        <f aca="false">IF(OR($C311="01-09",$D311="Male",AND(SUM($G311)=0,SUM($I311)=0)),"",SUM($I311)/SUM($G311))</f>
        <v/>
      </c>
      <c r="O311" s="88" t="str">
        <f aca="false">IF(AND(SUM($G311)=0,SUM($J311)=0),"",SUM($J311)/SUM($G311))</f>
        <v/>
      </c>
      <c r="P311" s="88" t="str">
        <f aca="false">IF(OR($C311="01-09",$C311="10-14",$D311="Female",AND(SUM($G311)=0,SUM($K311)=0)),"",SUM($K311)/SUM($G311))</f>
        <v/>
      </c>
      <c r="Q311" s="88"/>
      <c r="R311" s="88"/>
      <c r="S311" s="88"/>
      <c r="T311" s="88"/>
      <c r="U311" s="88"/>
      <c r="V311" s="88" t="str">
        <f aca="false">IF(SUM($G311)=0,"",SUM($M311:$U311))</f>
        <v/>
      </c>
      <c r="W311" s="88"/>
      <c r="X311" s="39" t="str">
        <f aca="false">IF(OR(SUM($G311)=0,SUM($Q311)=0),"",ROUND(SUM($G311)*SUM($Q311),0))</f>
        <v/>
      </c>
      <c r="Y311" s="39" t="str">
        <f aca="false">IF(SUM($X311)=0,"",IF(SUM($W311)=0,"ENTER YIELD",ROUND($X311/$W311,0)-$X311))</f>
        <v/>
      </c>
      <c r="Z311" s="88"/>
      <c r="AA311" s="39" t="str">
        <f aca="false">IF(OR(SUM($G311)=0,SUM($R311)=0),"",ROUND(SUM($G311)*SUM($R311),0))</f>
        <v/>
      </c>
      <c r="AB311" s="39" t="str">
        <f aca="false">IF(SUM($AA311)=0,"",IF(SUM($Z311)=0,"ENTER YIELD",ROUND($AA311/$Z311,0)-$AA311))</f>
        <v/>
      </c>
      <c r="AC311" s="88"/>
      <c r="AD311" s="39" t="str">
        <f aca="false">IF(OR(SUM($G311)=0,SUM($S311)=0),"",ROUND(SUM($G311)*SUM($S311),0))</f>
        <v/>
      </c>
      <c r="AE311" s="39" t="str">
        <f aca="false">IF(SUM($AD311)=0,"",IF(SUM($AC311)=0,"ENTER YIELD",ROUND($AD311/$AC311,0)-$AD311))</f>
        <v/>
      </c>
      <c r="AF311" s="88"/>
      <c r="AG311" s="39" t="str">
        <f aca="false">IF(OR(SUM($G311)=0,SUM($T311)=0),"",ROUND(SUM($G311)*SUM($T311),0))</f>
        <v/>
      </c>
      <c r="AH311" s="39" t="str">
        <f aca="false">IF(SUM($AG311)=0,"",IF(SUM($AF311)=0,"ENTER YIELD",ROUND($AG311/$AF311,0)-$AG311))</f>
        <v/>
      </c>
      <c r="AI311" s="88"/>
      <c r="AJ311" s="39" t="str">
        <f aca="false">IF(OR(SUM($G311)=0,SUM($U311)=0),"",ROUND(SUM($G311)*SUM($U311),0))</f>
        <v/>
      </c>
      <c r="AK311" s="39" t="str">
        <f aca="false">IF(SUM($AJ311)=0,"",IF(SUM($AI311)=0,"ENTER YIELD",ROUND($AJ311/$AI311,0)-$AJ311))</f>
        <v/>
      </c>
      <c r="AL311" s="10" t="str">
        <f aca="false">IF(SUM($G311)=0,"",$G311)</f>
        <v/>
      </c>
      <c r="AM311" s="10" t="str">
        <f aca="false">IFERROR(1/(1/SUM($H311:$K311,$X311,$AA311,$AD311,$AG311,$AJ311)),"")</f>
        <v/>
      </c>
      <c r="AN311" s="10" t="str">
        <f aca="false">IF(AND(SUM($AM311)=0,SUM($AL311)=0),"",$AM311-$AL311)</f>
        <v/>
      </c>
      <c r="AO311" s="10" t="str">
        <f aca="false">IF(OR($C311="01-09",$D311="Male"),"",INDEX(PMTCT!$AD:$AD,MATCH($E311,PMTCT!$E:$E,0)))</f>
        <v/>
      </c>
      <c r="AP311" s="10" t="str">
        <f aca="false">IF(OR($C311="01-09",$D311="Male"),"",INDEX(PMTCT!$AT:$AT,MATCH($E311,PMTCT!$E:$E,0)))</f>
        <v/>
      </c>
      <c r="AQ311" s="10" t="str">
        <f aca="false">INDEX(TB!$Q:$Q,MATCH($E311,TB!$E:$E,0))</f>
        <v/>
      </c>
      <c r="AR311" s="10" t="str">
        <f aca="false">IF(OR($C311="01-09",$C311="10-14",$D311="Female"),"",INDEX(VMMC!$AB:$AB,MATCH($E311,VMMC!$E:$E,0)))</f>
        <v/>
      </c>
      <c r="AS311" s="10" t="str">
        <f aca="false">IF(OR($C311="01-09",$C311="10-14"),"",INDEX(PrEP!$Q:$Q,MATCH($E311,PrEP!$E:$E,0)))</f>
        <v/>
      </c>
      <c r="AT311" s="10" t="str">
        <f aca="false">IFERROR(1/(1/SUM($Y311,$AB311,$AE311,$AH311,$AK311,$AO311:$AS311)),"")</f>
        <v/>
      </c>
      <c r="AU311" s="10" t="str">
        <f aca="false">IFERROR(1/(1/SUM($AT311,$AM311)),"")</f>
        <v/>
      </c>
      <c r="AV311" s="88" t="str">
        <f aca="false">IF(AND(SUM($AM311)=0,SUM($AU311)=0),"",$AM311/$AU311)</f>
        <v/>
      </c>
      <c r="AW311" s="10"/>
      <c r="AX311" s="88" t="str">
        <f aca="false">IF(OR($C311="01-09",SUM($AW311)=0),"",0%)</f>
        <v/>
      </c>
      <c r="AY311" s="39" t="str">
        <f aca="false">IF(OR($C311="01-09",SUM($AW311)=0),"",ROUND($AW311*(1+$AX311),0))</f>
        <v/>
      </c>
      <c r="AZ311" s="88" t="n">
        <f aca="false">IF(OR($C311="01-09",$C311="10-14"),"",100%)</f>
        <v>1</v>
      </c>
      <c r="BA311" s="39" t="str">
        <f aca="false">IF(OR(SUM($AM311)=0,$C311="01-09",$C311="10-14"),"",$AM311*$AZ311)</f>
        <v/>
      </c>
    </row>
    <row r="312" customFormat="false" ht="15" hidden="false" customHeight="false" outlineLevel="0" collapsed="false">
      <c r="A312" s="0" t="str">
        <f aca="false">INDEX(Prioritization!$D:$D,MATCH($B312,Prioritization!$A:$A,0))</f>
        <v>INVALID</v>
      </c>
      <c r="B312" s="0" t="s">
        <v>218</v>
      </c>
      <c r="C312" s="0" t="s">
        <v>367</v>
      </c>
      <c r="D312" s="0" t="s">
        <v>48</v>
      </c>
      <c r="E312" s="0" t="str">
        <f aca="false">$B312&amp;"|"&amp;$C312&amp;"|"&amp;$D312</f>
        <v>Neno District [gwVYinjBAe9]|35-49|Male</v>
      </c>
      <c r="F312" s="88" t="n">
        <f aca="false">IF(LEFT($B312,4)="_Mil","",INDEX(Cascade!$AA:$AA,MATCH($E312,Cascade!$E:$E,0)))</f>
        <v>1386</v>
      </c>
      <c r="G312" s="10" t="n">
        <f aca="false">INDEX(Cascade!$BH:$BH,MATCH($E312,Cascade!$E:$E,0))</f>
        <v>0</v>
      </c>
      <c r="H312" s="10" t="str">
        <f aca="false">IF(OR($C312="01-09",$D312="Male"),"",INDEX(PMTCT!$AC:$AC,MATCH($E312,PMTCT!$E:$E,0)))</f>
        <v/>
      </c>
      <c r="I312" s="10" t="str">
        <f aca="false">IF(OR($C312="01-09",$D312="Male"),"",INDEX(PMTCT!$AS:$AS,MATCH($E312,PMTCT!$E:$E,0)))</f>
        <v/>
      </c>
      <c r="J312" s="10" t="str">
        <f aca="false">INDEX(TB!$P:$P,MATCH($E312,TB!$E:$E,0))</f>
        <v/>
      </c>
      <c r="K312" s="10" t="str">
        <f aca="false">IF(OR($C312="01-09",$C312="10-14",$D312="Female"),"",INDEX(VMMC!$AA:$AA,MATCH($E312,VMMC!$E:$E,0)))</f>
        <v/>
      </c>
      <c r="L312" s="10" t="n">
        <f aca="false">SUM($G312)-SUM($H312:$K312)</f>
        <v>0</v>
      </c>
      <c r="M312" s="88" t="str">
        <f aca="false">IF(OR($C312="01-09",$D312="Male",AND(SUM($G312)=0,SUM($H312)=0)),"",SUM($H312)/SUM($G312))</f>
        <v/>
      </c>
      <c r="N312" s="88" t="str">
        <f aca="false">IF(OR($C312="01-09",$D312="Male",AND(SUM($G312)=0,SUM($I312)=0)),"",SUM($I312)/SUM($G312))</f>
        <v/>
      </c>
      <c r="O312" s="88" t="str">
        <f aca="false">IF(AND(SUM($G312)=0,SUM($J312)=0),"",SUM($J312)/SUM($G312))</f>
        <v/>
      </c>
      <c r="P312" s="88" t="str">
        <f aca="false">IF(OR($C312="01-09",$C312="10-14",$D312="Female",AND(SUM($G312)=0,SUM($K312)=0)),"",SUM($K312)/SUM($G312))</f>
        <v/>
      </c>
      <c r="Q312" s="88"/>
      <c r="R312" s="88"/>
      <c r="S312" s="88"/>
      <c r="T312" s="88"/>
      <c r="U312" s="88"/>
      <c r="V312" s="88" t="str">
        <f aca="false">IF(SUM($G312)=0,"",SUM($M312:$U312))</f>
        <v/>
      </c>
      <c r="W312" s="88"/>
      <c r="X312" s="39" t="str">
        <f aca="false">IF(OR(SUM($G312)=0,SUM($Q312)=0),"",ROUND(SUM($G312)*SUM($Q312),0))</f>
        <v/>
      </c>
      <c r="Y312" s="39" t="str">
        <f aca="false">IF(SUM($X312)=0,"",IF(SUM($W312)=0,"ENTER YIELD",ROUND($X312/$W312,0)-$X312))</f>
        <v/>
      </c>
      <c r="Z312" s="88"/>
      <c r="AA312" s="39" t="str">
        <f aca="false">IF(OR(SUM($G312)=0,SUM($R312)=0),"",ROUND(SUM($G312)*SUM($R312),0))</f>
        <v/>
      </c>
      <c r="AB312" s="39" t="str">
        <f aca="false">IF(SUM($AA312)=0,"",IF(SUM($Z312)=0,"ENTER YIELD",ROUND($AA312/$Z312,0)-$AA312))</f>
        <v/>
      </c>
      <c r="AC312" s="88"/>
      <c r="AD312" s="39" t="str">
        <f aca="false">IF(OR(SUM($G312)=0,SUM($S312)=0),"",ROUND(SUM($G312)*SUM($S312),0))</f>
        <v/>
      </c>
      <c r="AE312" s="39" t="str">
        <f aca="false">IF(SUM($AD312)=0,"",IF(SUM($AC312)=0,"ENTER YIELD",ROUND($AD312/$AC312,0)-$AD312))</f>
        <v/>
      </c>
      <c r="AF312" s="88"/>
      <c r="AG312" s="39" t="str">
        <f aca="false">IF(OR(SUM($G312)=0,SUM($T312)=0),"",ROUND(SUM($G312)*SUM($T312),0))</f>
        <v/>
      </c>
      <c r="AH312" s="39" t="str">
        <f aca="false">IF(SUM($AG312)=0,"",IF(SUM($AF312)=0,"ENTER YIELD",ROUND($AG312/$AF312,0)-$AG312))</f>
        <v/>
      </c>
      <c r="AI312" s="88"/>
      <c r="AJ312" s="39" t="str">
        <f aca="false">IF(OR(SUM($G312)=0,SUM($U312)=0),"",ROUND(SUM($G312)*SUM($U312),0))</f>
        <v/>
      </c>
      <c r="AK312" s="39" t="str">
        <f aca="false">IF(SUM($AJ312)=0,"",IF(SUM($AI312)=0,"ENTER YIELD",ROUND($AJ312/$AI312,0)-$AJ312))</f>
        <v/>
      </c>
      <c r="AL312" s="10" t="str">
        <f aca="false">IF(SUM($G312)=0,"",$G312)</f>
        <v/>
      </c>
      <c r="AM312" s="10" t="str">
        <f aca="false">IFERROR(1/(1/SUM($H312:$K312,$X312,$AA312,$AD312,$AG312,$AJ312)),"")</f>
        <v/>
      </c>
      <c r="AN312" s="10" t="str">
        <f aca="false">IF(AND(SUM($AM312)=0,SUM($AL312)=0),"",$AM312-$AL312)</f>
        <v/>
      </c>
      <c r="AO312" s="10" t="str">
        <f aca="false">IF(OR($C312="01-09",$D312="Male"),"",INDEX(PMTCT!$AD:$AD,MATCH($E312,PMTCT!$E:$E,0)))</f>
        <v/>
      </c>
      <c r="AP312" s="10" t="str">
        <f aca="false">IF(OR($C312="01-09",$D312="Male"),"",INDEX(PMTCT!$AT:$AT,MATCH($E312,PMTCT!$E:$E,0)))</f>
        <v/>
      </c>
      <c r="AQ312" s="10" t="str">
        <f aca="false">INDEX(TB!$Q:$Q,MATCH($E312,TB!$E:$E,0))</f>
        <v/>
      </c>
      <c r="AR312" s="10" t="str">
        <f aca="false">IF(OR($C312="01-09",$C312="10-14",$D312="Female"),"",INDEX(VMMC!$AB:$AB,MATCH($E312,VMMC!$E:$E,0)))</f>
        <v/>
      </c>
      <c r="AS312" s="10" t="str">
        <f aca="false">IF(OR($C312="01-09",$C312="10-14"),"",INDEX(PrEP!$Q:$Q,MATCH($E312,PrEP!$E:$E,0)))</f>
        <v/>
      </c>
      <c r="AT312" s="10" t="str">
        <f aca="false">IFERROR(1/(1/SUM($Y312,$AB312,$AE312,$AH312,$AK312,$AO312:$AS312)),"")</f>
        <v/>
      </c>
      <c r="AU312" s="10" t="str">
        <f aca="false">IFERROR(1/(1/SUM($AT312,$AM312)),"")</f>
        <v/>
      </c>
      <c r="AV312" s="88" t="str">
        <f aca="false">IF(AND(SUM($AM312)=0,SUM($AU312)=0),"",$AM312/$AU312)</f>
        <v/>
      </c>
      <c r="AW312" s="10"/>
      <c r="AX312" s="88" t="str">
        <f aca="false">IF(OR($C312="01-09",SUM($AW312)=0),"",0%)</f>
        <v/>
      </c>
      <c r="AY312" s="39" t="str">
        <f aca="false">IF(OR($C312="01-09",SUM($AW312)=0),"",ROUND($AW312*(1+$AX312),0))</f>
        <v/>
      </c>
      <c r="AZ312" s="88" t="n">
        <f aca="false">IF(OR($C312="01-09",$C312="10-14"),"",100%)</f>
        <v>1</v>
      </c>
      <c r="BA312" s="39" t="str">
        <f aca="false">IF(OR(SUM($AM312)=0,$C312="01-09",$C312="10-14"),"",$AM312*$AZ312)</f>
        <v/>
      </c>
    </row>
    <row r="313" customFormat="false" ht="15" hidden="false" customHeight="false" outlineLevel="0" collapsed="false">
      <c r="A313" s="0" t="str">
        <f aca="false">INDEX(Prioritization!$D:$D,MATCH($B313,Prioritization!$A:$A,0))</f>
        <v>INVALID</v>
      </c>
      <c r="B313" s="0" t="s">
        <v>218</v>
      </c>
      <c r="C313" s="0" t="s">
        <v>368</v>
      </c>
      <c r="D313" s="0" t="s">
        <v>30</v>
      </c>
      <c r="E313" s="0" t="str">
        <f aca="false">$B313&amp;"|"&amp;$C313&amp;"|"&amp;$D313</f>
        <v>Neno District [gwVYinjBAe9]|50+|Female</v>
      </c>
      <c r="F313" s="88" t="n">
        <f aca="false">IF(LEFT($B313,4)="_Mil","",INDEX(Cascade!$AA:$AA,MATCH($E313,Cascade!$E:$E,0)))</f>
        <v>1649</v>
      </c>
      <c r="G313" s="10" t="n">
        <f aca="false">INDEX(Cascade!$BH:$BH,MATCH($E313,Cascade!$E:$E,0))</f>
        <v>0</v>
      </c>
      <c r="H313" s="10" t="str">
        <f aca="false">IF(OR($C313="01-09",$D313="Male"),"",INDEX(PMTCT!$AC:$AC,MATCH($E313,PMTCT!$E:$E,0)))</f>
        <v/>
      </c>
      <c r="I313" s="10" t="str">
        <f aca="false">IF(OR($C313="01-09",$D313="Male"),"",INDEX(PMTCT!$AS:$AS,MATCH($E313,PMTCT!$E:$E,0)))</f>
        <v/>
      </c>
      <c r="J313" s="10" t="str">
        <f aca="false">INDEX(TB!$P:$P,MATCH($E313,TB!$E:$E,0))</f>
        <v/>
      </c>
      <c r="K313" s="10" t="str">
        <f aca="false">IF(OR($C313="01-09",$C313="10-14",$D313="Female"),"",INDEX(VMMC!$AA:$AA,MATCH($E313,VMMC!$E:$E,0)))</f>
        <v/>
      </c>
      <c r="L313" s="10" t="n">
        <f aca="false">SUM($G313)-SUM($H313:$K313)</f>
        <v>0</v>
      </c>
      <c r="M313" s="88" t="str">
        <f aca="false">IF(OR($C313="01-09",$D313="Male",AND(SUM($G313)=0,SUM($H313)=0)),"",SUM($H313)/SUM($G313))</f>
        <v/>
      </c>
      <c r="N313" s="88" t="str">
        <f aca="false">IF(OR($C313="01-09",$D313="Male",AND(SUM($G313)=0,SUM($I313)=0)),"",SUM($I313)/SUM($G313))</f>
        <v/>
      </c>
      <c r="O313" s="88" t="str">
        <f aca="false">IF(AND(SUM($G313)=0,SUM($J313)=0),"",SUM($J313)/SUM($G313))</f>
        <v/>
      </c>
      <c r="P313" s="88" t="str">
        <f aca="false">IF(OR($C313="01-09",$C313="10-14",$D313="Female",AND(SUM($G313)=0,SUM($K313)=0)),"",SUM($K313)/SUM($G313))</f>
        <v/>
      </c>
      <c r="Q313" s="88"/>
      <c r="R313" s="88"/>
      <c r="S313" s="88"/>
      <c r="T313" s="88"/>
      <c r="U313" s="88"/>
      <c r="V313" s="88" t="str">
        <f aca="false">IF(SUM($G313)=0,"",SUM($M313:$U313))</f>
        <v/>
      </c>
      <c r="W313" s="88"/>
      <c r="X313" s="39" t="str">
        <f aca="false">IF(OR(SUM($G313)=0,SUM($Q313)=0),"",ROUND(SUM($G313)*SUM($Q313),0))</f>
        <v/>
      </c>
      <c r="Y313" s="39" t="str">
        <f aca="false">IF(SUM($X313)=0,"",IF(SUM($W313)=0,"ENTER YIELD",ROUND($X313/$W313,0)-$X313))</f>
        <v/>
      </c>
      <c r="Z313" s="88"/>
      <c r="AA313" s="39" t="str">
        <f aca="false">IF(OR(SUM($G313)=0,SUM($R313)=0),"",ROUND(SUM($G313)*SUM($R313),0))</f>
        <v/>
      </c>
      <c r="AB313" s="39" t="str">
        <f aca="false">IF(SUM($AA313)=0,"",IF(SUM($Z313)=0,"ENTER YIELD",ROUND($AA313/$Z313,0)-$AA313))</f>
        <v/>
      </c>
      <c r="AC313" s="88"/>
      <c r="AD313" s="39" t="str">
        <f aca="false">IF(OR(SUM($G313)=0,SUM($S313)=0),"",ROUND(SUM($G313)*SUM($S313),0))</f>
        <v/>
      </c>
      <c r="AE313" s="39" t="str">
        <f aca="false">IF(SUM($AD313)=0,"",IF(SUM($AC313)=0,"ENTER YIELD",ROUND($AD313/$AC313,0)-$AD313))</f>
        <v/>
      </c>
      <c r="AF313" s="88"/>
      <c r="AG313" s="39" t="str">
        <f aca="false">IF(OR(SUM($G313)=0,SUM($T313)=0),"",ROUND(SUM($G313)*SUM($T313),0))</f>
        <v/>
      </c>
      <c r="AH313" s="39" t="str">
        <f aca="false">IF(SUM($AG313)=0,"",IF(SUM($AF313)=0,"ENTER YIELD",ROUND($AG313/$AF313,0)-$AG313))</f>
        <v/>
      </c>
      <c r="AI313" s="88"/>
      <c r="AJ313" s="39" t="str">
        <f aca="false">IF(OR(SUM($G313)=0,SUM($U313)=0),"",ROUND(SUM($G313)*SUM($U313),0))</f>
        <v/>
      </c>
      <c r="AK313" s="39" t="str">
        <f aca="false">IF(SUM($AJ313)=0,"",IF(SUM($AI313)=0,"ENTER YIELD",ROUND($AJ313/$AI313,0)-$AJ313))</f>
        <v/>
      </c>
      <c r="AL313" s="10" t="str">
        <f aca="false">IF(SUM($G313)=0,"",$G313)</f>
        <v/>
      </c>
      <c r="AM313" s="10" t="str">
        <f aca="false">IFERROR(1/(1/SUM($H313:$K313,$X313,$AA313,$AD313,$AG313,$AJ313)),"")</f>
        <v/>
      </c>
      <c r="AN313" s="10" t="str">
        <f aca="false">IF(AND(SUM($AM313)=0,SUM($AL313)=0),"",$AM313-$AL313)</f>
        <v/>
      </c>
      <c r="AO313" s="10" t="str">
        <f aca="false">IF(OR($C313="01-09",$D313="Male"),"",INDEX(PMTCT!$AD:$AD,MATCH($E313,PMTCT!$E:$E,0)))</f>
        <v/>
      </c>
      <c r="AP313" s="10" t="str">
        <f aca="false">IF(OR($C313="01-09",$D313="Male"),"",INDEX(PMTCT!$AT:$AT,MATCH($E313,PMTCT!$E:$E,0)))</f>
        <v/>
      </c>
      <c r="AQ313" s="10" t="str">
        <f aca="false">INDEX(TB!$Q:$Q,MATCH($E313,TB!$E:$E,0))</f>
        <v/>
      </c>
      <c r="AR313" s="10" t="str">
        <f aca="false">IF(OR($C313="01-09",$C313="10-14",$D313="Female"),"",INDEX(VMMC!$AB:$AB,MATCH($E313,VMMC!$E:$E,0)))</f>
        <v/>
      </c>
      <c r="AS313" s="10" t="str">
        <f aca="false">IF(OR($C313="01-09",$C313="10-14"),"",INDEX(PrEP!$Q:$Q,MATCH($E313,PrEP!$E:$E,0)))</f>
        <v/>
      </c>
      <c r="AT313" s="10" t="str">
        <f aca="false">IFERROR(1/(1/SUM($Y313,$AB313,$AE313,$AH313,$AK313,$AO313:$AS313)),"")</f>
        <v/>
      </c>
      <c r="AU313" s="10" t="str">
        <f aca="false">IFERROR(1/(1/SUM($AT313,$AM313)),"")</f>
        <v/>
      </c>
      <c r="AV313" s="88" t="str">
        <f aca="false">IF(AND(SUM($AM313)=0,SUM($AU313)=0),"",$AM313/$AU313)</f>
        <v/>
      </c>
      <c r="AW313" s="10" t="n">
        <v>4</v>
      </c>
      <c r="AX313" s="88" t="n">
        <f aca="false">IF(OR($C313="01-09",SUM($AW313)=0),"",0%)</f>
        <v>0</v>
      </c>
      <c r="AY313" s="39" t="n">
        <f aca="false">IF(OR($C313="01-09",SUM($AW313)=0),"",ROUND($AW313*(1+$AX313),0))</f>
        <v>4</v>
      </c>
      <c r="AZ313" s="88" t="n">
        <f aca="false">IF(OR($C313="01-09",$C313="10-14"),"",100%)</f>
        <v>1</v>
      </c>
      <c r="BA313" s="39" t="str">
        <f aca="false">IF(OR(SUM($AM313)=0,$C313="01-09",$C313="10-14"),"",$AM313*$AZ313)</f>
        <v/>
      </c>
    </row>
    <row r="314" customFormat="false" ht="15" hidden="false" customHeight="false" outlineLevel="0" collapsed="false">
      <c r="A314" s="0" t="str">
        <f aca="false">INDEX(Prioritization!$D:$D,MATCH($B314,Prioritization!$A:$A,0))</f>
        <v>INVALID</v>
      </c>
      <c r="B314" s="0" t="s">
        <v>218</v>
      </c>
      <c r="C314" s="0" t="s">
        <v>368</v>
      </c>
      <c r="D314" s="0" t="s">
        <v>48</v>
      </c>
      <c r="E314" s="0" t="str">
        <f aca="false">$B314&amp;"|"&amp;$C314&amp;"|"&amp;$D314</f>
        <v>Neno District [gwVYinjBAe9]|50+|Male</v>
      </c>
      <c r="F314" s="88" t="n">
        <f aca="false">IF(LEFT($B314,4)="_Mil","",INDEX(Cascade!$AA:$AA,MATCH($E314,Cascade!$E:$E,0)))</f>
        <v>1199</v>
      </c>
      <c r="G314" s="10" t="n">
        <f aca="false">INDEX(Cascade!$BH:$BH,MATCH($E314,Cascade!$E:$E,0))</f>
        <v>0</v>
      </c>
      <c r="H314" s="10" t="str">
        <f aca="false">IF(OR($C314="01-09",$D314="Male"),"",INDEX(PMTCT!$AC:$AC,MATCH($E314,PMTCT!$E:$E,0)))</f>
        <v/>
      </c>
      <c r="I314" s="10" t="str">
        <f aca="false">IF(OR($C314="01-09",$D314="Male"),"",INDEX(PMTCT!$AS:$AS,MATCH($E314,PMTCT!$E:$E,0)))</f>
        <v/>
      </c>
      <c r="J314" s="10" t="str">
        <f aca="false">INDEX(TB!$P:$P,MATCH($E314,TB!$E:$E,0))</f>
        <v/>
      </c>
      <c r="K314" s="10" t="str">
        <f aca="false">IF(OR($C314="01-09",$C314="10-14",$D314="Female"),"",INDEX(VMMC!$AA:$AA,MATCH($E314,VMMC!$E:$E,0)))</f>
        <v/>
      </c>
      <c r="L314" s="10" t="n">
        <f aca="false">SUM($G314)-SUM($H314:$K314)</f>
        <v>0</v>
      </c>
      <c r="M314" s="88" t="str">
        <f aca="false">IF(OR($C314="01-09",$D314="Male",AND(SUM($G314)=0,SUM($H314)=0)),"",SUM($H314)/SUM($G314))</f>
        <v/>
      </c>
      <c r="N314" s="88" t="str">
        <f aca="false">IF(OR($C314="01-09",$D314="Male",AND(SUM($G314)=0,SUM($I314)=0)),"",SUM($I314)/SUM($G314))</f>
        <v/>
      </c>
      <c r="O314" s="88" t="str">
        <f aca="false">IF(AND(SUM($G314)=0,SUM($J314)=0),"",SUM($J314)/SUM($G314))</f>
        <v/>
      </c>
      <c r="P314" s="88" t="str">
        <f aca="false">IF(OR($C314="01-09",$C314="10-14",$D314="Female",AND(SUM($G314)=0,SUM($K314)=0)),"",SUM($K314)/SUM($G314))</f>
        <v/>
      </c>
      <c r="Q314" s="88"/>
      <c r="R314" s="88"/>
      <c r="S314" s="88"/>
      <c r="T314" s="88"/>
      <c r="U314" s="88" t="n">
        <v>0.948764846194535</v>
      </c>
      <c r="V314" s="88" t="str">
        <f aca="false">IF(SUM($G314)=0,"",SUM($M314:$U314))</f>
        <v/>
      </c>
      <c r="W314" s="88"/>
      <c r="X314" s="39" t="str">
        <f aca="false">IF(OR(SUM($G314)=0,SUM($Q314)=0),"",ROUND(SUM($G314)*SUM($Q314),0))</f>
        <v/>
      </c>
      <c r="Y314" s="39" t="str">
        <f aca="false">IF(SUM($X314)=0,"",IF(SUM($W314)=0,"ENTER YIELD",ROUND($X314/$W314,0)-$X314))</f>
        <v/>
      </c>
      <c r="Z314" s="88"/>
      <c r="AA314" s="39" t="str">
        <f aca="false">IF(OR(SUM($G314)=0,SUM($R314)=0),"",ROUND(SUM($G314)*SUM($R314),0))</f>
        <v/>
      </c>
      <c r="AB314" s="39" t="str">
        <f aca="false">IF(SUM($AA314)=0,"",IF(SUM($Z314)=0,"ENTER YIELD",ROUND($AA314/$Z314,0)-$AA314))</f>
        <v/>
      </c>
      <c r="AC314" s="88"/>
      <c r="AD314" s="39" t="str">
        <f aca="false">IF(OR(SUM($G314)=0,SUM($S314)=0),"",ROUND(SUM($G314)*SUM($S314),0))</f>
        <v/>
      </c>
      <c r="AE314" s="39" t="str">
        <f aca="false">IF(SUM($AD314)=0,"",IF(SUM($AC314)=0,"ENTER YIELD",ROUND($AD314/$AC314,0)-$AD314))</f>
        <v/>
      </c>
      <c r="AF314" s="88"/>
      <c r="AG314" s="39" t="str">
        <f aca="false">IF(OR(SUM($G314)=0,SUM($T314)=0),"",ROUND(SUM($G314)*SUM($T314),0))</f>
        <v/>
      </c>
      <c r="AH314" s="39" t="str">
        <f aca="false">IF(SUM($AG314)=0,"",IF(SUM($AF314)=0,"ENTER YIELD",ROUND($AG314/$AF314,0)-$AG314))</f>
        <v/>
      </c>
      <c r="AI314" s="88"/>
      <c r="AJ314" s="39" t="str">
        <f aca="false">IF(OR(SUM($G314)=0,SUM($U314)=0),"",ROUND(SUM($G314)*SUM($U314),0))</f>
        <v/>
      </c>
      <c r="AK314" s="39" t="str">
        <f aca="false">IF(SUM($AJ314)=0,"",IF(SUM($AI314)=0,"ENTER YIELD",ROUND($AJ314/$AI314,0)-$AJ314))</f>
        <v/>
      </c>
      <c r="AL314" s="10" t="str">
        <f aca="false">IF(SUM($G314)=0,"",$G314)</f>
        <v/>
      </c>
      <c r="AM314" s="10" t="str">
        <f aca="false">IFERROR(1/(1/SUM($H314:$K314,$X314,$AA314,$AD314,$AG314,$AJ314)),"")</f>
        <v/>
      </c>
      <c r="AN314" s="10" t="str">
        <f aca="false">IF(AND(SUM($AM314)=0,SUM($AL314)=0),"",$AM314-$AL314)</f>
        <v/>
      </c>
      <c r="AO314" s="10" t="str">
        <f aca="false">IF(OR($C314="01-09",$D314="Male"),"",INDEX(PMTCT!$AD:$AD,MATCH($E314,PMTCT!$E:$E,0)))</f>
        <v/>
      </c>
      <c r="AP314" s="10" t="str">
        <f aca="false">IF(OR($C314="01-09",$D314="Male"),"",INDEX(PMTCT!$AT:$AT,MATCH($E314,PMTCT!$E:$E,0)))</f>
        <v/>
      </c>
      <c r="AQ314" s="10" t="str">
        <f aca="false">INDEX(TB!$Q:$Q,MATCH($E314,TB!$E:$E,0))</f>
        <v/>
      </c>
      <c r="AR314" s="10" t="str">
        <f aca="false">IF(OR($C314="01-09",$C314="10-14",$D314="Female"),"",INDEX(VMMC!$AB:$AB,MATCH($E314,VMMC!$E:$E,0)))</f>
        <v/>
      </c>
      <c r="AS314" s="10" t="str">
        <f aca="false">IF(OR($C314="01-09",$C314="10-14"),"",INDEX(PrEP!$Q:$Q,MATCH($E314,PrEP!$E:$E,0)))</f>
        <v/>
      </c>
      <c r="AT314" s="10" t="str">
        <f aca="false">IFERROR(1/(1/SUM($Y314,$AB314,$AE314,$AH314,$AK314,$AO314:$AS314)),"")</f>
        <v/>
      </c>
      <c r="AU314" s="10" t="str">
        <f aca="false">IFERROR(1/(1/SUM($AT314,$AM314)),"")</f>
        <v/>
      </c>
      <c r="AV314" s="88" t="str">
        <f aca="false">IF(AND(SUM($AM314)=0,SUM($AU314)=0),"",$AM314/$AU314)</f>
        <v/>
      </c>
      <c r="AW314" s="10" t="n">
        <v>0</v>
      </c>
      <c r="AX314" s="88" t="str">
        <f aca="false">IF(OR($C314="01-09",SUM($AW314)=0),"",0%)</f>
        <v/>
      </c>
      <c r="AY314" s="39" t="str">
        <f aca="false">IF(OR($C314="01-09",SUM($AW314)=0),"",ROUND($AW314*(1+$AX314),0))</f>
        <v/>
      </c>
      <c r="AZ314" s="88" t="n">
        <f aca="false">IF(OR($C314="01-09",$C314="10-14"),"",100%)</f>
        <v>1</v>
      </c>
      <c r="BA314" s="39" t="str">
        <f aca="false">IF(OR(SUM($AM314)=0,$C314="01-09",$C314="10-14"),"",$AM314*$AZ314)</f>
        <v/>
      </c>
    </row>
    <row r="315" customFormat="false" ht="15" hidden="false" customHeight="false" outlineLevel="0" collapsed="false">
      <c r="A315" s="0" t="str">
        <f aca="false">INDEX(Prioritization!$D:$D,MATCH($B315,Prioritization!$A:$A,0))</f>
        <v>INVALID</v>
      </c>
      <c r="B315" s="0" t="s">
        <v>219</v>
      </c>
      <c r="C315" s="0" t="s">
        <v>363</v>
      </c>
      <c r="D315" s="0" t="s">
        <v>30</v>
      </c>
      <c r="E315" s="0" t="str">
        <f aca="false">$B315&amp;"|"&amp;$C315&amp;"|"&amp;$D315</f>
        <v>Nsanje District [rpw540fmNUz]|01-09|Female</v>
      </c>
      <c r="F315" s="88" t="n">
        <f aca="false">IF(LEFT($B315,4)="_Mil","",INDEX(Cascade!$AA:$AA,MATCH($E315,Cascade!$E:$E,0)))</f>
        <v>1844</v>
      </c>
      <c r="G315" s="10" t="n">
        <f aca="false">INDEX(Cascade!$BH:$BH,MATCH($E315,Cascade!$E:$E,0))</f>
        <v>0</v>
      </c>
      <c r="H315" s="10" t="str">
        <f aca="false">IF(OR($C315="01-09",$D315="Male"),"",INDEX(PMTCT!$AC:$AC,MATCH($E315,PMTCT!$E:$E,0)))</f>
        <v/>
      </c>
      <c r="I315" s="10" t="str">
        <f aca="false">IF(OR($C315="01-09",$D315="Male"),"",INDEX(PMTCT!$AS:$AS,MATCH($E315,PMTCT!$E:$E,0)))</f>
        <v/>
      </c>
      <c r="J315" s="10" t="str">
        <f aca="false">INDEX(TB!$P:$P,MATCH($E315,TB!$E:$E,0))</f>
        <v/>
      </c>
      <c r="K315" s="10" t="str">
        <f aca="false">IF(OR($C315="01-09",$C315="10-14",$D315="Female"),"",INDEX(VMMC!$AA:$AA,MATCH($E315,VMMC!$E:$E,0)))</f>
        <v/>
      </c>
      <c r="L315" s="10" t="n">
        <f aca="false">SUM($G315)-SUM($H315:$K315)</f>
        <v>0</v>
      </c>
      <c r="M315" s="88" t="str">
        <f aca="false">IF(OR($C315="01-09",$D315="Male",AND(SUM($G315)=0,SUM($H315)=0)),"",SUM($H315)/SUM($G315))</f>
        <v/>
      </c>
      <c r="N315" s="88" t="str">
        <f aca="false">IF(OR($C315="01-09",$D315="Male",AND(SUM($G315)=0,SUM($I315)=0)),"",SUM($I315)/SUM($G315))</f>
        <v/>
      </c>
      <c r="O315" s="88" t="str">
        <f aca="false">IF(AND(SUM($G315)=0,SUM($J315)=0),"",SUM($J315)/SUM($G315))</f>
        <v/>
      </c>
      <c r="P315" s="88" t="str">
        <f aca="false">IF(OR($C315="01-09",$C315="10-14",$D315="Female",AND(SUM($G315)=0,SUM($K315)=0)),"",SUM($K315)/SUM($G315))</f>
        <v/>
      </c>
      <c r="Q315" s="88"/>
      <c r="R315" s="88"/>
      <c r="S315" s="88"/>
      <c r="T315" s="88"/>
      <c r="U315" s="88"/>
      <c r="V315" s="88" t="str">
        <f aca="false">IF(SUM($G315)=0,"",SUM($M315:$U315))</f>
        <v/>
      </c>
      <c r="W315" s="88"/>
      <c r="X315" s="39" t="str">
        <f aca="false">IF(OR(SUM($G315)=0,SUM($Q315)=0),"",ROUND(SUM($G315)*SUM($Q315),0))</f>
        <v/>
      </c>
      <c r="Y315" s="39" t="str">
        <f aca="false">IF(SUM($X315)=0,"",IF(SUM($W315)=0,"ENTER YIELD",ROUND($X315/$W315,0)-$X315))</f>
        <v/>
      </c>
      <c r="Z315" s="88"/>
      <c r="AA315" s="39" t="str">
        <f aca="false">IF(OR(SUM($G315)=0,SUM($R315)=0),"",ROUND(SUM($G315)*SUM($R315),0))</f>
        <v/>
      </c>
      <c r="AB315" s="39" t="str">
        <f aca="false">IF(SUM($AA315)=0,"",IF(SUM($Z315)=0,"ENTER YIELD",ROUND($AA315/$Z315,0)-$AA315))</f>
        <v/>
      </c>
      <c r="AC315" s="88"/>
      <c r="AD315" s="39" t="str">
        <f aca="false">IF(OR(SUM($G315)=0,SUM($S315)=0),"",ROUND(SUM($G315)*SUM($S315),0))</f>
        <v/>
      </c>
      <c r="AE315" s="39" t="str">
        <f aca="false">IF(SUM($AD315)=0,"",IF(SUM($AC315)=0,"ENTER YIELD",ROUND($AD315/$AC315,0)-$AD315))</f>
        <v/>
      </c>
      <c r="AF315" s="88"/>
      <c r="AG315" s="39" t="str">
        <f aca="false">IF(OR(SUM($G315)=0,SUM($T315)=0),"",ROUND(SUM($G315)*SUM($T315),0))</f>
        <v/>
      </c>
      <c r="AH315" s="39" t="str">
        <f aca="false">IF(SUM($AG315)=0,"",IF(SUM($AF315)=0,"ENTER YIELD",ROUND($AG315/$AF315,0)-$AG315))</f>
        <v/>
      </c>
      <c r="AI315" s="88"/>
      <c r="AJ315" s="39" t="str">
        <f aca="false">IF(OR(SUM($G315)=0,SUM($U315)=0),"",ROUND(SUM($G315)*SUM($U315),0))</f>
        <v/>
      </c>
      <c r="AK315" s="39" t="str">
        <f aca="false">IF(SUM($AJ315)=0,"",IF(SUM($AI315)=0,"ENTER YIELD",ROUND($AJ315/$AI315,0)-$AJ315))</f>
        <v/>
      </c>
      <c r="AL315" s="10" t="str">
        <f aca="false">IF(SUM($G315)=0,"",$G315)</f>
        <v/>
      </c>
      <c r="AM315" s="10" t="str">
        <f aca="false">IFERROR(1/(1/SUM($H315:$K315,$X315,$AA315,$AD315,$AG315,$AJ315)),"")</f>
        <v/>
      </c>
      <c r="AN315" s="10" t="str">
        <f aca="false">IF(AND(SUM($AM315)=0,SUM($AL315)=0),"",$AM315-$AL315)</f>
        <v/>
      </c>
      <c r="AO315" s="10" t="str">
        <f aca="false">IF(OR($C315="01-09",$D315="Male"),"",INDEX(PMTCT!$AD:$AD,MATCH($E315,PMTCT!$E:$E,0)))</f>
        <v/>
      </c>
      <c r="AP315" s="10" t="str">
        <f aca="false">IF(OR($C315="01-09",$D315="Male"),"",INDEX(PMTCT!$AT:$AT,MATCH($E315,PMTCT!$E:$E,0)))</f>
        <v/>
      </c>
      <c r="AQ315" s="10" t="str">
        <f aca="false">INDEX(TB!$Q:$Q,MATCH($E315,TB!$E:$E,0))</f>
        <v/>
      </c>
      <c r="AR315" s="10" t="str">
        <f aca="false">IF(OR($C315="01-09",$C315="10-14",$D315="Female"),"",INDEX(VMMC!$AB:$AB,MATCH($E315,VMMC!$E:$E,0)))</f>
        <v/>
      </c>
      <c r="AS315" s="10" t="str">
        <f aca="false">IF(OR($C315="01-09",$C315="10-14"),"",INDEX(PrEP!$Q:$Q,MATCH($E315,PrEP!$E:$E,0)))</f>
        <v/>
      </c>
      <c r="AT315" s="10" t="str">
        <f aca="false">IFERROR(1/(1/SUM($Y315,$AB315,$AE315,$AH315,$AK315,$AO315:$AS315)),"")</f>
        <v/>
      </c>
      <c r="AU315" s="10" t="str">
        <f aca="false">IFERROR(1/(1/SUM($AT315,$AM315)),"")</f>
        <v/>
      </c>
      <c r="AV315" s="88" t="str">
        <f aca="false">IF(AND(SUM($AM315)=0,SUM($AU315)=0),"",$AM315/$AU315)</f>
        <v/>
      </c>
      <c r="AW315" s="10"/>
      <c r="AX315" s="88" t="str">
        <f aca="false">IF(OR($C315="01-09",SUM($AW315)=0),"",0%)</f>
        <v/>
      </c>
      <c r="AY315" s="39" t="str">
        <f aca="false">IF(OR($C315="01-09",SUM($AW315)=0),"",ROUND($AW315*(1+$AX315),0))</f>
        <v/>
      </c>
      <c r="AZ315" s="88" t="str">
        <f aca="false">IF(OR($C315="01-09",$C315="10-14"),"",100%)</f>
        <v/>
      </c>
      <c r="BA315" s="39" t="str">
        <f aca="false">IF(OR(SUM($AM315)=0,$C315="01-09",$C315="10-14"),"",$AM315*$AZ315)</f>
        <v/>
      </c>
    </row>
    <row r="316" customFormat="false" ht="15" hidden="false" customHeight="false" outlineLevel="0" collapsed="false">
      <c r="A316" s="0" t="str">
        <f aca="false">INDEX(Prioritization!$D:$D,MATCH($B316,Prioritization!$A:$A,0))</f>
        <v>INVALID</v>
      </c>
      <c r="B316" s="0" t="s">
        <v>219</v>
      </c>
      <c r="C316" s="0" t="s">
        <v>363</v>
      </c>
      <c r="D316" s="0" t="s">
        <v>48</v>
      </c>
      <c r="E316" s="0" t="str">
        <f aca="false">$B316&amp;"|"&amp;$C316&amp;"|"&amp;$D316</f>
        <v>Nsanje District [rpw540fmNUz]|01-09|Male</v>
      </c>
      <c r="F316" s="88" t="n">
        <f aca="false">IF(LEFT($B316,4)="_Mil","",INDEX(Cascade!$AA:$AA,MATCH($E316,Cascade!$E:$E,0)))</f>
        <v>928</v>
      </c>
      <c r="G316" s="10" t="n">
        <f aca="false">INDEX(Cascade!$BH:$BH,MATCH($E316,Cascade!$E:$E,0))</f>
        <v>0</v>
      </c>
      <c r="H316" s="10" t="str">
        <f aca="false">IF(OR($C316="01-09",$D316="Male"),"",INDEX(PMTCT!$AC:$AC,MATCH($E316,PMTCT!$E:$E,0)))</f>
        <v/>
      </c>
      <c r="I316" s="10" t="str">
        <f aca="false">IF(OR($C316="01-09",$D316="Male"),"",INDEX(PMTCT!$AS:$AS,MATCH($E316,PMTCT!$E:$E,0)))</f>
        <v/>
      </c>
      <c r="J316" s="10" t="str">
        <f aca="false">INDEX(TB!$P:$P,MATCH($E316,TB!$E:$E,0))</f>
        <v/>
      </c>
      <c r="K316" s="10" t="str">
        <f aca="false">IF(OR($C316="01-09",$C316="10-14",$D316="Female"),"",INDEX(VMMC!$AA:$AA,MATCH($E316,VMMC!$E:$E,0)))</f>
        <v/>
      </c>
      <c r="L316" s="10" t="n">
        <f aca="false">SUM($G316)-SUM($H316:$K316)</f>
        <v>0</v>
      </c>
      <c r="M316" s="88" t="str">
        <f aca="false">IF(OR($C316="01-09",$D316="Male",AND(SUM($G316)=0,SUM($H316)=0)),"",SUM($H316)/SUM($G316))</f>
        <v/>
      </c>
      <c r="N316" s="88" t="str">
        <f aca="false">IF(OR($C316="01-09",$D316="Male",AND(SUM($G316)=0,SUM($I316)=0)),"",SUM($I316)/SUM($G316))</f>
        <v/>
      </c>
      <c r="O316" s="88" t="str">
        <f aca="false">IF(AND(SUM($G316)=0,SUM($J316)=0),"",SUM($J316)/SUM($G316))</f>
        <v/>
      </c>
      <c r="P316" s="88" t="str">
        <f aca="false">IF(OR($C316="01-09",$C316="10-14",$D316="Female",AND(SUM($G316)=0,SUM($K316)=0)),"",SUM($K316)/SUM($G316))</f>
        <v/>
      </c>
      <c r="Q316" s="88"/>
      <c r="R316" s="88"/>
      <c r="S316" s="88"/>
      <c r="T316" s="88"/>
      <c r="U316" s="88"/>
      <c r="V316" s="88" t="str">
        <f aca="false">IF(SUM($G316)=0,"",SUM($M316:$U316))</f>
        <v/>
      </c>
      <c r="W316" s="88"/>
      <c r="X316" s="39" t="str">
        <f aca="false">IF(OR(SUM($G316)=0,SUM($Q316)=0),"",ROUND(SUM($G316)*SUM($Q316),0))</f>
        <v/>
      </c>
      <c r="Y316" s="39" t="str">
        <f aca="false">IF(SUM($X316)=0,"",IF(SUM($W316)=0,"ENTER YIELD",ROUND($X316/$W316,0)-$X316))</f>
        <v/>
      </c>
      <c r="Z316" s="88"/>
      <c r="AA316" s="39" t="str">
        <f aca="false">IF(OR(SUM($G316)=0,SUM($R316)=0),"",ROUND(SUM($G316)*SUM($R316),0))</f>
        <v/>
      </c>
      <c r="AB316" s="39" t="str">
        <f aca="false">IF(SUM($AA316)=0,"",IF(SUM($Z316)=0,"ENTER YIELD",ROUND($AA316/$Z316,0)-$AA316))</f>
        <v/>
      </c>
      <c r="AC316" s="88"/>
      <c r="AD316" s="39" t="str">
        <f aca="false">IF(OR(SUM($G316)=0,SUM($S316)=0),"",ROUND(SUM($G316)*SUM($S316),0))</f>
        <v/>
      </c>
      <c r="AE316" s="39" t="str">
        <f aca="false">IF(SUM($AD316)=0,"",IF(SUM($AC316)=0,"ENTER YIELD",ROUND($AD316/$AC316,0)-$AD316))</f>
        <v/>
      </c>
      <c r="AF316" s="88"/>
      <c r="AG316" s="39" t="str">
        <f aca="false">IF(OR(SUM($G316)=0,SUM($T316)=0),"",ROUND(SUM($G316)*SUM($T316),0))</f>
        <v/>
      </c>
      <c r="AH316" s="39" t="str">
        <f aca="false">IF(SUM($AG316)=0,"",IF(SUM($AF316)=0,"ENTER YIELD",ROUND($AG316/$AF316,0)-$AG316))</f>
        <v/>
      </c>
      <c r="AI316" s="88"/>
      <c r="AJ316" s="39" t="str">
        <f aca="false">IF(OR(SUM($G316)=0,SUM($U316)=0),"",ROUND(SUM($G316)*SUM($U316),0))</f>
        <v/>
      </c>
      <c r="AK316" s="39" t="str">
        <f aca="false">IF(SUM($AJ316)=0,"",IF(SUM($AI316)=0,"ENTER YIELD",ROUND($AJ316/$AI316,0)-$AJ316))</f>
        <v/>
      </c>
      <c r="AL316" s="10" t="str">
        <f aca="false">IF(SUM($G316)=0,"",$G316)</f>
        <v/>
      </c>
      <c r="AM316" s="10" t="str">
        <f aca="false">IFERROR(1/(1/SUM($H316:$K316,$X316,$AA316,$AD316,$AG316,$AJ316)),"")</f>
        <v/>
      </c>
      <c r="AN316" s="10" t="str">
        <f aca="false">IF(AND(SUM($AM316)=0,SUM($AL316)=0),"",$AM316-$AL316)</f>
        <v/>
      </c>
      <c r="AO316" s="10" t="str">
        <f aca="false">IF(OR($C316="01-09",$D316="Male"),"",INDEX(PMTCT!$AD:$AD,MATCH($E316,PMTCT!$E:$E,0)))</f>
        <v/>
      </c>
      <c r="AP316" s="10" t="str">
        <f aca="false">IF(OR($C316="01-09",$D316="Male"),"",INDEX(PMTCT!$AT:$AT,MATCH($E316,PMTCT!$E:$E,0)))</f>
        <v/>
      </c>
      <c r="AQ316" s="10" t="str">
        <f aca="false">INDEX(TB!$Q:$Q,MATCH($E316,TB!$E:$E,0))</f>
        <v/>
      </c>
      <c r="AR316" s="10" t="str">
        <f aca="false">IF(OR($C316="01-09",$C316="10-14",$D316="Female"),"",INDEX(VMMC!$AB:$AB,MATCH($E316,VMMC!$E:$E,0)))</f>
        <v/>
      </c>
      <c r="AS316" s="10" t="str">
        <f aca="false">IF(OR($C316="01-09",$C316="10-14"),"",INDEX(PrEP!$Q:$Q,MATCH($E316,PrEP!$E:$E,0)))</f>
        <v/>
      </c>
      <c r="AT316" s="10" t="str">
        <f aca="false">IFERROR(1/(1/SUM($Y316,$AB316,$AE316,$AH316,$AK316,$AO316:$AS316)),"")</f>
        <v/>
      </c>
      <c r="AU316" s="10" t="str">
        <f aca="false">IFERROR(1/(1/SUM($AT316,$AM316)),"")</f>
        <v/>
      </c>
      <c r="AV316" s="88" t="str">
        <f aca="false">IF(AND(SUM($AM316)=0,SUM($AU316)=0),"",$AM316/$AU316)</f>
        <v/>
      </c>
      <c r="AW316" s="10"/>
      <c r="AX316" s="88" t="str">
        <f aca="false">IF(OR($C316="01-09",SUM($AW316)=0),"",0%)</f>
        <v/>
      </c>
      <c r="AY316" s="39" t="str">
        <f aca="false">IF(OR($C316="01-09",SUM($AW316)=0),"",ROUND($AW316*(1+$AX316),0))</f>
        <v/>
      </c>
      <c r="AZ316" s="88" t="str">
        <f aca="false">IF(OR($C316="01-09",$C316="10-14"),"",100%)</f>
        <v/>
      </c>
      <c r="BA316" s="39" t="str">
        <f aca="false">IF(OR(SUM($AM316)=0,$C316="01-09",$C316="10-14"),"",$AM316*$AZ316)</f>
        <v/>
      </c>
    </row>
    <row r="317" customFormat="false" ht="15" hidden="false" customHeight="false" outlineLevel="0" collapsed="false">
      <c r="A317" s="0" t="str">
        <f aca="false">INDEX(Prioritization!$D:$D,MATCH($B317,Prioritization!$A:$A,0))</f>
        <v>INVALID</v>
      </c>
      <c r="B317" s="0" t="s">
        <v>219</v>
      </c>
      <c r="C317" s="0" t="s">
        <v>364</v>
      </c>
      <c r="D317" s="0" t="s">
        <v>30</v>
      </c>
      <c r="E317" s="0" t="str">
        <f aca="false">$B317&amp;"|"&amp;$C317&amp;"|"&amp;$D317</f>
        <v>Nsanje District [rpw540fmNUz]|10-14|Female</v>
      </c>
      <c r="F317" s="88" t="n">
        <f aca="false">IF(LEFT($B317,4)="_Mil","",INDEX(Cascade!$AA:$AA,MATCH($E317,Cascade!$E:$E,0)))</f>
        <v>767</v>
      </c>
      <c r="G317" s="10" t="n">
        <f aca="false">INDEX(Cascade!$BH:$BH,MATCH($E317,Cascade!$E:$E,0))</f>
        <v>-59</v>
      </c>
      <c r="H317" s="10" t="str">
        <f aca="false">IF(OR($C317="01-09",$D317="Male"),"",INDEX(PMTCT!$AC:$AC,MATCH($E317,PMTCT!$E:$E,0)))</f>
        <v>ENTER YIELD RATE</v>
      </c>
      <c r="I317" s="10" t="str">
        <f aca="false">IF(OR($C317="01-09",$D317="Male"),"",INDEX(PMTCT!$AS:$AS,MATCH($E317,PMTCT!$E:$E,0)))</f>
        <v>ENTER YIELD RATE</v>
      </c>
      <c r="J317" s="10" t="str">
        <f aca="false">INDEX(TB!$P:$P,MATCH($E317,TB!$E:$E,0))</f>
        <v>ENTER YIELD RATE</v>
      </c>
      <c r="K317" s="10" t="str">
        <f aca="false">IF(OR($C317="01-09",$C317="10-14",$D317="Female"),"",INDEX(VMMC!$AA:$AA,MATCH($E317,VMMC!$E:$E,0)))</f>
        <v/>
      </c>
      <c r="L317" s="10" t="n">
        <f aca="false">SUM($G317)-SUM($H317:$K317)</f>
        <v>-59</v>
      </c>
      <c r="M317" s="88" t="n">
        <f aca="false">IF(OR($C317="01-09",$D317="Male",AND(SUM($G317)=0,SUM($H317)=0)),"",SUM($H317)/SUM($G317))</f>
        <v>-0</v>
      </c>
      <c r="N317" s="88" t="n">
        <f aca="false">IF(OR($C317="01-09",$D317="Male",AND(SUM($G317)=0,SUM($I317)=0)),"",SUM($I317)/SUM($G317))</f>
        <v>-0</v>
      </c>
      <c r="O317" s="88" t="n">
        <f aca="false">IF(AND(SUM($G317)=0,SUM($J317)=0),"",SUM($J317)/SUM($G317))</f>
        <v>-0</v>
      </c>
      <c r="P317" s="88" t="str">
        <f aca="false">IF(OR($C317="01-09",$C317="10-14",$D317="Female",AND(SUM($G317)=0,SUM($K317)=0)),"",SUM($K317)/SUM($G317))</f>
        <v/>
      </c>
      <c r="Q317" s="88"/>
      <c r="R317" s="88"/>
      <c r="S317" s="88"/>
      <c r="T317" s="88"/>
      <c r="U317" s="88"/>
      <c r="V317" s="88" t="n">
        <f aca="false">IF(SUM($G317)=0,"",SUM($M317:$U317))</f>
        <v>0</v>
      </c>
      <c r="W317" s="88"/>
      <c r="X317" s="39" t="str">
        <f aca="false">IF(OR(SUM($G317)=0,SUM($Q317)=0),"",ROUND(SUM($G317)*SUM($Q317),0))</f>
        <v/>
      </c>
      <c r="Y317" s="39" t="str">
        <f aca="false">IF(SUM($X317)=0,"",IF(SUM($W317)=0,"ENTER YIELD",ROUND($X317/$W317,0)-$X317))</f>
        <v/>
      </c>
      <c r="Z317" s="88"/>
      <c r="AA317" s="39" t="str">
        <f aca="false">IF(OR(SUM($G317)=0,SUM($R317)=0),"",ROUND(SUM($G317)*SUM($R317),0))</f>
        <v/>
      </c>
      <c r="AB317" s="39" t="str">
        <f aca="false">IF(SUM($AA317)=0,"",IF(SUM($Z317)=0,"ENTER YIELD",ROUND($AA317/$Z317,0)-$AA317))</f>
        <v/>
      </c>
      <c r="AC317" s="88"/>
      <c r="AD317" s="39" t="str">
        <f aca="false">IF(OR(SUM($G317)=0,SUM($S317)=0),"",ROUND(SUM($G317)*SUM($S317),0))</f>
        <v/>
      </c>
      <c r="AE317" s="39" t="str">
        <f aca="false">IF(SUM($AD317)=0,"",IF(SUM($AC317)=0,"ENTER YIELD",ROUND($AD317/$AC317,0)-$AD317))</f>
        <v/>
      </c>
      <c r="AF317" s="88"/>
      <c r="AG317" s="39" t="str">
        <f aca="false">IF(OR(SUM($G317)=0,SUM($T317)=0),"",ROUND(SUM($G317)*SUM($T317),0))</f>
        <v/>
      </c>
      <c r="AH317" s="39" t="str">
        <f aca="false">IF(SUM($AG317)=0,"",IF(SUM($AF317)=0,"ENTER YIELD",ROUND($AG317/$AF317,0)-$AG317))</f>
        <v/>
      </c>
      <c r="AI317" s="88"/>
      <c r="AJ317" s="39" t="str">
        <f aca="false">IF(OR(SUM($G317)=0,SUM($U317)=0),"",ROUND(SUM($G317)*SUM($U317),0))</f>
        <v/>
      </c>
      <c r="AK317" s="39" t="str">
        <f aca="false">IF(SUM($AJ317)=0,"",IF(SUM($AI317)=0,"ENTER YIELD",ROUND($AJ317/$AI317,0)-$AJ317))</f>
        <v/>
      </c>
      <c r="AL317" s="10" t="n">
        <f aca="false">IF(SUM($G317)=0,"",$G317)</f>
        <v>-59</v>
      </c>
      <c r="AM317" s="10" t="str">
        <f aca="false">IFERROR(1/(1/SUM($H317:$K317,$X317,$AA317,$AD317,$AG317,$AJ317)),"")</f>
        <v/>
      </c>
      <c r="AN317" s="10" t="e">
        <f aca="false">IF(AND(SUM($AM317)=0,SUM($AL317)=0),"",$AM317-$AL317)</f>
        <v>#VALUE!</v>
      </c>
      <c r="AO317" s="10" t="n">
        <f aca="false">IF(OR($C317="01-09",$D317="Male"),"",INDEX(PMTCT!$AD:$AD,MATCH($E317,PMTCT!$E:$E,0)))</f>
        <v>8</v>
      </c>
      <c r="AP317" s="10" t="n">
        <f aca="false">IF(OR($C317="01-09",$D317="Male"),"",INDEX(PMTCT!$AT:$AT,MATCH($E317,PMTCT!$E:$E,0)))</f>
        <v>8</v>
      </c>
      <c r="AQ317" s="10" t="n">
        <f aca="false">INDEX(TB!$Q:$Q,MATCH($E317,TB!$E:$E,0))</f>
        <v>1</v>
      </c>
      <c r="AR317" s="10" t="str">
        <f aca="false">IF(OR($C317="01-09",$C317="10-14",$D317="Female"),"",INDEX(VMMC!$AB:$AB,MATCH($E317,VMMC!$E:$E,0)))</f>
        <v/>
      </c>
      <c r="AS317" s="10" t="str">
        <f aca="false">IF(OR($C317="01-09",$C317="10-14"),"",INDEX(PrEP!$Q:$Q,MATCH($E317,PrEP!$E:$E,0)))</f>
        <v/>
      </c>
      <c r="AT317" s="10" t="n">
        <f aca="false">IFERROR(1/(1/SUM($Y317,$AB317,$AE317,$AH317,$AK317,$AO317:$AS317)),"")</f>
        <v>17</v>
      </c>
      <c r="AU317" s="10" t="n">
        <f aca="false">IFERROR(1/(1/SUM($AT317,$AM317)),"")</f>
        <v>17</v>
      </c>
      <c r="AV317" s="88" t="e">
        <f aca="false">IF(AND(SUM($AM317)=0,SUM($AU317)=0),"",$AM317/$AU317)</f>
        <v>#VALUE!</v>
      </c>
      <c r="AW317" s="10"/>
      <c r="AX317" s="88" t="str">
        <f aca="false">IF(OR($C317="01-09",SUM($AW317)=0),"",0%)</f>
        <v/>
      </c>
      <c r="AY317" s="39" t="str">
        <f aca="false">IF(OR($C317="01-09",SUM($AW317)=0),"",ROUND($AW317*(1+$AX317),0))</f>
        <v/>
      </c>
      <c r="AZ317" s="88" t="str">
        <f aca="false">IF(OR($C317="01-09",$C317="10-14"),"",100%)</f>
        <v/>
      </c>
      <c r="BA317" s="39" t="str">
        <f aca="false">IF(OR(SUM($AM317)=0,$C317="01-09",$C317="10-14"),"",$AM317*$AZ317)</f>
        <v/>
      </c>
    </row>
    <row r="318" customFormat="false" ht="15" hidden="false" customHeight="false" outlineLevel="0" collapsed="false">
      <c r="A318" s="0" t="str">
        <f aca="false">INDEX(Prioritization!$D:$D,MATCH($B318,Prioritization!$A:$A,0))</f>
        <v>INVALID</v>
      </c>
      <c r="B318" s="0" t="s">
        <v>219</v>
      </c>
      <c r="C318" s="0" t="s">
        <v>364</v>
      </c>
      <c r="D318" s="0" t="s">
        <v>48</v>
      </c>
      <c r="E318" s="0" t="str">
        <f aca="false">$B318&amp;"|"&amp;$C318&amp;"|"&amp;$D318</f>
        <v>Nsanje District [rpw540fmNUz]|10-14|Male</v>
      </c>
      <c r="F318" s="88" t="n">
        <f aca="false">IF(LEFT($B318,4)="_Mil","",INDEX(Cascade!$AA:$AA,MATCH($E318,Cascade!$E:$E,0)))</f>
        <v>1797</v>
      </c>
      <c r="G318" s="10" t="n">
        <f aca="false">INDEX(Cascade!$BH:$BH,MATCH($E318,Cascade!$E:$E,0))</f>
        <v>-80</v>
      </c>
      <c r="H318" s="10" t="str">
        <f aca="false">IF(OR($C318="01-09",$D318="Male"),"",INDEX(PMTCT!$AC:$AC,MATCH($E318,PMTCT!$E:$E,0)))</f>
        <v/>
      </c>
      <c r="I318" s="10" t="str">
        <f aca="false">IF(OR($C318="01-09",$D318="Male"),"",INDEX(PMTCT!$AS:$AS,MATCH($E318,PMTCT!$E:$E,0)))</f>
        <v/>
      </c>
      <c r="J318" s="10" t="str">
        <f aca="false">INDEX(TB!$P:$P,MATCH($E318,TB!$E:$E,0))</f>
        <v/>
      </c>
      <c r="K318" s="10" t="str">
        <f aca="false">IF(OR($C318="01-09",$C318="10-14",$D318="Female"),"",INDEX(VMMC!$AA:$AA,MATCH($E318,VMMC!$E:$E,0)))</f>
        <v/>
      </c>
      <c r="L318" s="10" t="n">
        <f aca="false">SUM($G318)-SUM($H318:$K318)</f>
        <v>-80</v>
      </c>
      <c r="M318" s="88" t="str">
        <f aca="false">IF(OR($C318="01-09",$D318="Male",AND(SUM($G318)=0,SUM($H318)=0)),"",SUM($H318)/SUM($G318))</f>
        <v/>
      </c>
      <c r="N318" s="88" t="str">
        <f aca="false">IF(OR($C318="01-09",$D318="Male",AND(SUM($G318)=0,SUM($I318)=0)),"",SUM($I318)/SUM($G318))</f>
        <v/>
      </c>
      <c r="O318" s="88" t="n">
        <f aca="false">IF(AND(SUM($G318)=0,SUM($J318)=0),"",SUM($J318)/SUM($G318))</f>
        <v>-0</v>
      </c>
      <c r="P318" s="88" t="str">
        <f aca="false">IF(OR($C318="01-09",$C318="10-14",$D318="Female",AND(SUM($G318)=0,SUM($K318)=0)),"",SUM($K318)/SUM($G318))</f>
        <v/>
      </c>
      <c r="Q318" s="88"/>
      <c r="R318" s="88"/>
      <c r="S318" s="88"/>
      <c r="T318" s="88"/>
      <c r="U318" s="88"/>
      <c r="V318" s="88" t="n">
        <f aca="false">IF(SUM($G318)=0,"",SUM($M318:$U318))</f>
        <v>0</v>
      </c>
      <c r="W318" s="88"/>
      <c r="X318" s="39" t="str">
        <f aca="false">IF(OR(SUM($G318)=0,SUM($Q318)=0),"",ROUND(SUM($G318)*SUM($Q318),0))</f>
        <v/>
      </c>
      <c r="Y318" s="39" t="str">
        <f aca="false">IF(SUM($X318)=0,"",IF(SUM($W318)=0,"ENTER YIELD",ROUND($X318/$W318,0)-$X318))</f>
        <v/>
      </c>
      <c r="Z318" s="88"/>
      <c r="AA318" s="39" t="str">
        <f aca="false">IF(OR(SUM($G318)=0,SUM($R318)=0),"",ROUND(SUM($G318)*SUM($R318),0))</f>
        <v/>
      </c>
      <c r="AB318" s="39" t="str">
        <f aca="false">IF(SUM($AA318)=0,"",IF(SUM($Z318)=0,"ENTER YIELD",ROUND($AA318/$Z318,0)-$AA318))</f>
        <v/>
      </c>
      <c r="AC318" s="88"/>
      <c r="AD318" s="39" t="str">
        <f aca="false">IF(OR(SUM($G318)=0,SUM($S318)=0),"",ROUND(SUM($G318)*SUM($S318),0))</f>
        <v/>
      </c>
      <c r="AE318" s="39" t="str">
        <f aca="false">IF(SUM($AD318)=0,"",IF(SUM($AC318)=0,"ENTER YIELD",ROUND($AD318/$AC318,0)-$AD318))</f>
        <v/>
      </c>
      <c r="AF318" s="88"/>
      <c r="AG318" s="39" t="str">
        <f aca="false">IF(OR(SUM($G318)=0,SUM($T318)=0),"",ROUND(SUM($G318)*SUM($T318),0))</f>
        <v/>
      </c>
      <c r="AH318" s="39" t="str">
        <f aca="false">IF(SUM($AG318)=0,"",IF(SUM($AF318)=0,"ENTER YIELD",ROUND($AG318/$AF318,0)-$AG318))</f>
        <v/>
      </c>
      <c r="AI318" s="88"/>
      <c r="AJ318" s="39" t="str">
        <f aca="false">IF(OR(SUM($G318)=0,SUM($U318)=0),"",ROUND(SUM($G318)*SUM($U318),0))</f>
        <v/>
      </c>
      <c r="AK318" s="39" t="str">
        <f aca="false">IF(SUM($AJ318)=0,"",IF(SUM($AI318)=0,"ENTER YIELD",ROUND($AJ318/$AI318,0)-$AJ318))</f>
        <v/>
      </c>
      <c r="AL318" s="10" t="n">
        <f aca="false">IF(SUM($G318)=0,"",$G318)</f>
        <v>-80</v>
      </c>
      <c r="AM318" s="10" t="str">
        <f aca="false">IFERROR(1/(1/SUM($H318:$K318,$X318,$AA318,$AD318,$AG318,$AJ318)),"")</f>
        <v/>
      </c>
      <c r="AN318" s="10" t="e">
        <f aca="false">IF(AND(SUM($AM318)=0,SUM($AL318)=0),"",$AM318-$AL318)</f>
        <v>#VALUE!</v>
      </c>
      <c r="AO318" s="10" t="str">
        <f aca="false">IF(OR($C318="01-09",$D318="Male"),"",INDEX(PMTCT!$AD:$AD,MATCH($E318,PMTCT!$E:$E,0)))</f>
        <v/>
      </c>
      <c r="AP318" s="10" t="str">
        <f aca="false">IF(OR($C318="01-09",$D318="Male"),"",INDEX(PMTCT!$AT:$AT,MATCH($E318,PMTCT!$E:$E,0)))</f>
        <v/>
      </c>
      <c r="AQ318" s="10" t="str">
        <f aca="false">INDEX(TB!$Q:$Q,MATCH($E318,TB!$E:$E,0))</f>
        <v/>
      </c>
      <c r="AR318" s="10" t="str">
        <f aca="false">IF(OR($C318="01-09",$C318="10-14",$D318="Female"),"",INDEX(VMMC!$AB:$AB,MATCH($E318,VMMC!$E:$E,0)))</f>
        <v/>
      </c>
      <c r="AS318" s="10" t="str">
        <f aca="false">IF(OR($C318="01-09",$C318="10-14"),"",INDEX(PrEP!$Q:$Q,MATCH($E318,PrEP!$E:$E,0)))</f>
        <v/>
      </c>
      <c r="AT318" s="10" t="str">
        <f aca="false">IFERROR(1/(1/SUM($Y318,$AB318,$AE318,$AH318,$AK318,$AO318:$AS318)),"")</f>
        <v/>
      </c>
      <c r="AU318" s="10" t="str">
        <f aca="false">IFERROR(1/(1/SUM($AT318,$AM318)),"")</f>
        <v/>
      </c>
      <c r="AV318" s="88" t="str">
        <f aca="false">IF(AND(SUM($AM318)=0,SUM($AU318)=0),"",$AM318/$AU318)</f>
        <v/>
      </c>
      <c r="AW318" s="10"/>
      <c r="AX318" s="88" t="str">
        <f aca="false">IF(OR($C318="01-09",SUM($AW318)=0),"",0%)</f>
        <v/>
      </c>
      <c r="AY318" s="39" t="str">
        <f aca="false">IF(OR($C318="01-09",SUM($AW318)=0),"",ROUND($AW318*(1+$AX318),0))</f>
        <v/>
      </c>
      <c r="AZ318" s="88" t="str">
        <f aca="false">IF(OR($C318="01-09",$C318="10-14"),"",100%)</f>
        <v/>
      </c>
      <c r="BA318" s="39" t="str">
        <f aca="false">IF(OR(SUM($AM318)=0,$C318="01-09",$C318="10-14"),"",$AM318*$AZ318)</f>
        <v/>
      </c>
    </row>
    <row r="319" customFormat="false" ht="15" hidden="false" customHeight="false" outlineLevel="0" collapsed="false">
      <c r="A319" s="0" t="str">
        <f aca="false">INDEX(Prioritization!$D:$D,MATCH($B319,Prioritization!$A:$A,0))</f>
        <v>INVALID</v>
      </c>
      <c r="B319" s="0" t="s">
        <v>219</v>
      </c>
      <c r="C319" s="0" t="s">
        <v>365</v>
      </c>
      <c r="D319" s="0" t="s">
        <v>30</v>
      </c>
      <c r="E319" s="0" t="str">
        <f aca="false">$B319&amp;"|"&amp;$C319&amp;"|"&amp;$D319</f>
        <v>Nsanje District [rpw540fmNUz]|15-24|Female</v>
      </c>
      <c r="F319" s="88" t="n">
        <f aca="false">IF(LEFT($B319,4)="_Mil","",INDEX(Cascade!$AA:$AA,MATCH($E319,Cascade!$E:$E,0)))</f>
        <v>1877</v>
      </c>
      <c r="G319" s="10" t="n">
        <f aca="false">INDEX(Cascade!$BH:$BH,MATCH($E319,Cascade!$E:$E,0))</f>
        <v>0</v>
      </c>
      <c r="H319" s="10" t="str">
        <f aca="false">IF(OR($C319="01-09",$D319="Male"),"",INDEX(PMTCT!$AC:$AC,MATCH($E319,PMTCT!$E:$E,0)))</f>
        <v/>
      </c>
      <c r="I319" s="10" t="str">
        <f aca="false">IF(OR($C319="01-09",$D319="Male"),"",INDEX(PMTCT!$AS:$AS,MATCH($E319,PMTCT!$E:$E,0)))</f>
        <v/>
      </c>
      <c r="J319" s="10" t="str">
        <f aca="false">INDEX(TB!$P:$P,MATCH($E319,TB!$E:$E,0))</f>
        <v/>
      </c>
      <c r="K319" s="10" t="str">
        <f aca="false">IF(OR($C319="01-09",$C319="10-14",$D319="Female"),"",INDEX(VMMC!$AA:$AA,MATCH($E319,VMMC!$E:$E,0)))</f>
        <v/>
      </c>
      <c r="L319" s="10" t="n">
        <f aca="false">SUM($G319)-SUM($H319:$K319)</f>
        <v>0</v>
      </c>
      <c r="M319" s="88" t="str">
        <f aca="false">IF(OR($C319="01-09",$D319="Male",AND(SUM($G319)=0,SUM($H319)=0)),"",SUM($H319)/SUM($G319))</f>
        <v/>
      </c>
      <c r="N319" s="88" t="str">
        <f aca="false">IF(OR($C319="01-09",$D319="Male",AND(SUM($G319)=0,SUM($I319)=0)),"",SUM($I319)/SUM($G319))</f>
        <v/>
      </c>
      <c r="O319" s="88" t="str">
        <f aca="false">IF(AND(SUM($G319)=0,SUM($J319)=0),"",SUM($J319)/SUM($G319))</f>
        <v/>
      </c>
      <c r="P319" s="88" t="str">
        <f aca="false">IF(OR($C319="01-09",$C319="10-14",$D319="Female",AND(SUM($G319)=0,SUM($K319)=0)),"",SUM($K319)/SUM($G319))</f>
        <v/>
      </c>
      <c r="Q319" s="88"/>
      <c r="R319" s="88"/>
      <c r="S319" s="88"/>
      <c r="T319" s="88"/>
      <c r="U319" s="88"/>
      <c r="V319" s="88" t="str">
        <f aca="false">IF(SUM($G319)=0,"",SUM($M319:$U319))</f>
        <v/>
      </c>
      <c r="W319" s="88"/>
      <c r="X319" s="39" t="str">
        <f aca="false">IF(OR(SUM($G319)=0,SUM($Q319)=0),"",ROUND(SUM($G319)*SUM($Q319),0))</f>
        <v/>
      </c>
      <c r="Y319" s="39" t="str">
        <f aca="false">IF(SUM($X319)=0,"",IF(SUM($W319)=0,"ENTER YIELD",ROUND($X319/$W319,0)-$X319))</f>
        <v/>
      </c>
      <c r="Z319" s="88"/>
      <c r="AA319" s="39" t="str">
        <f aca="false">IF(OR(SUM($G319)=0,SUM($R319)=0),"",ROUND(SUM($G319)*SUM($R319),0))</f>
        <v/>
      </c>
      <c r="AB319" s="39" t="str">
        <f aca="false">IF(SUM($AA319)=0,"",IF(SUM($Z319)=0,"ENTER YIELD",ROUND($AA319/$Z319,0)-$AA319))</f>
        <v/>
      </c>
      <c r="AC319" s="88"/>
      <c r="AD319" s="39" t="str">
        <f aca="false">IF(OR(SUM($G319)=0,SUM($S319)=0),"",ROUND(SUM($G319)*SUM($S319),0))</f>
        <v/>
      </c>
      <c r="AE319" s="39" t="str">
        <f aca="false">IF(SUM($AD319)=0,"",IF(SUM($AC319)=0,"ENTER YIELD",ROUND($AD319/$AC319,0)-$AD319))</f>
        <v/>
      </c>
      <c r="AF319" s="88"/>
      <c r="AG319" s="39" t="str">
        <f aca="false">IF(OR(SUM($G319)=0,SUM($T319)=0),"",ROUND(SUM($G319)*SUM($T319),0))</f>
        <v/>
      </c>
      <c r="AH319" s="39" t="str">
        <f aca="false">IF(SUM($AG319)=0,"",IF(SUM($AF319)=0,"ENTER YIELD",ROUND($AG319/$AF319,0)-$AG319))</f>
        <v/>
      </c>
      <c r="AI319" s="88"/>
      <c r="AJ319" s="39" t="str">
        <f aca="false">IF(OR(SUM($G319)=0,SUM($U319)=0),"",ROUND(SUM($G319)*SUM($U319),0))</f>
        <v/>
      </c>
      <c r="AK319" s="39" t="str">
        <f aca="false">IF(SUM($AJ319)=0,"",IF(SUM($AI319)=0,"ENTER YIELD",ROUND($AJ319/$AI319,0)-$AJ319))</f>
        <v/>
      </c>
      <c r="AL319" s="10" t="str">
        <f aca="false">IF(SUM($G319)=0,"",$G319)</f>
        <v/>
      </c>
      <c r="AM319" s="10" t="str">
        <f aca="false">IFERROR(1/(1/SUM($H319:$K319,$X319,$AA319,$AD319,$AG319,$AJ319)),"")</f>
        <v/>
      </c>
      <c r="AN319" s="10" t="str">
        <f aca="false">IF(AND(SUM($AM319)=0,SUM($AL319)=0),"",$AM319-$AL319)</f>
        <v/>
      </c>
      <c r="AO319" s="10" t="str">
        <f aca="false">IF(OR($C319="01-09",$D319="Male"),"",INDEX(PMTCT!$AD:$AD,MATCH($E319,PMTCT!$E:$E,0)))</f>
        <v/>
      </c>
      <c r="AP319" s="10" t="str">
        <f aca="false">IF(OR($C319="01-09",$D319="Male"),"",INDEX(PMTCT!$AT:$AT,MATCH($E319,PMTCT!$E:$E,0)))</f>
        <v/>
      </c>
      <c r="AQ319" s="10" t="str">
        <f aca="false">INDEX(TB!$Q:$Q,MATCH($E319,TB!$E:$E,0))</f>
        <v/>
      </c>
      <c r="AR319" s="10" t="str">
        <f aca="false">IF(OR($C319="01-09",$C319="10-14",$D319="Female"),"",INDEX(VMMC!$AB:$AB,MATCH($E319,VMMC!$E:$E,0)))</f>
        <v/>
      </c>
      <c r="AS319" s="10" t="str">
        <f aca="false">IF(OR($C319="01-09",$C319="10-14"),"",INDEX(PrEP!$Q:$Q,MATCH($E319,PrEP!$E:$E,0)))</f>
        <v/>
      </c>
      <c r="AT319" s="10" t="str">
        <f aca="false">IFERROR(1/(1/SUM($Y319,$AB319,$AE319,$AH319,$AK319,$AO319:$AS319)),"")</f>
        <v/>
      </c>
      <c r="AU319" s="10" t="str">
        <f aca="false">IFERROR(1/(1/SUM($AT319,$AM319)),"")</f>
        <v/>
      </c>
      <c r="AV319" s="88" t="str">
        <f aca="false">IF(AND(SUM($AM319)=0,SUM($AU319)=0),"",$AM319/$AU319)</f>
        <v/>
      </c>
      <c r="AW319" s="10"/>
      <c r="AX319" s="88" t="str">
        <f aca="false">IF(OR($C319="01-09",SUM($AW319)=0),"",0%)</f>
        <v/>
      </c>
      <c r="AY319" s="39" t="str">
        <f aca="false">IF(OR($C319="01-09",SUM($AW319)=0),"",ROUND($AW319*(1+$AX319),0))</f>
        <v/>
      </c>
      <c r="AZ319" s="88" t="n">
        <f aca="false">IF(OR($C319="01-09",$C319="10-14"),"",100%)</f>
        <v>1</v>
      </c>
      <c r="BA319" s="39" t="str">
        <f aca="false">IF(OR(SUM($AM319)=0,$C319="01-09",$C319="10-14"),"",$AM319*$AZ319)</f>
        <v/>
      </c>
    </row>
    <row r="320" customFormat="false" ht="15" hidden="false" customHeight="false" outlineLevel="0" collapsed="false">
      <c r="A320" s="0" t="str">
        <f aca="false">INDEX(Prioritization!$D:$D,MATCH($B320,Prioritization!$A:$A,0))</f>
        <v>INVALID</v>
      </c>
      <c r="B320" s="0" t="s">
        <v>219</v>
      </c>
      <c r="C320" s="0" t="s">
        <v>365</v>
      </c>
      <c r="D320" s="0" t="s">
        <v>48</v>
      </c>
      <c r="E320" s="0" t="str">
        <f aca="false">$B320&amp;"|"&amp;$C320&amp;"|"&amp;$D320</f>
        <v>Nsanje District [rpw540fmNUz]|15-24|Male</v>
      </c>
      <c r="F320" s="88" t="n">
        <f aca="false">IF(LEFT($B320,4)="_Mil","",INDEX(Cascade!$AA:$AA,MATCH($E320,Cascade!$E:$E,0)))</f>
        <v>1525</v>
      </c>
      <c r="G320" s="10" t="n">
        <f aca="false">INDEX(Cascade!$BH:$BH,MATCH($E320,Cascade!$E:$E,0))</f>
        <v>0</v>
      </c>
      <c r="H320" s="10" t="str">
        <f aca="false">IF(OR($C320="01-09",$D320="Male"),"",INDEX(PMTCT!$AC:$AC,MATCH($E320,PMTCT!$E:$E,0)))</f>
        <v/>
      </c>
      <c r="I320" s="10" t="str">
        <f aca="false">IF(OR($C320="01-09",$D320="Male"),"",INDEX(PMTCT!$AS:$AS,MATCH($E320,PMTCT!$E:$E,0)))</f>
        <v/>
      </c>
      <c r="J320" s="10" t="str">
        <f aca="false">INDEX(TB!$P:$P,MATCH($E320,TB!$E:$E,0))</f>
        <v/>
      </c>
      <c r="K320" s="10" t="str">
        <f aca="false">IF(OR($C320="01-09",$C320="10-14",$D320="Female"),"",INDEX(VMMC!$AA:$AA,MATCH($E320,VMMC!$E:$E,0)))</f>
        <v/>
      </c>
      <c r="L320" s="10" t="n">
        <f aca="false">SUM($G320)-SUM($H320:$K320)</f>
        <v>0</v>
      </c>
      <c r="M320" s="88" t="str">
        <f aca="false">IF(OR($C320="01-09",$D320="Male",AND(SUM($G320)=0,SUM($H320)=0)),"",SUM($H320)/SUM($G320))</f>
        <v/>
      </c>
      <c r="N320" s="88" t="str">
        <f aca="false">IF(OR($C320="01-09",$D320="Male",AND(SUM($G320)=0,SUM($I320)=0)),"",SUM($I320)/SUM($G320))</f>
        <v/>
      </c>
      <c r="O320" s="88" t="str">
        <f aca="false">IF(AND(SUM($G320)=0,SUM($J320)=0),"",SUM($J320)/SUM($G320))</f>
        <v/>
      </c>
      <c r="P320" s="88" t="str">
        <f aca="false">IF(OR($C320="01-09",$C320="10-14",$D320="Female",AND(SUM($G320)=0,SUM($K320)=0)),"",SUM($K320)/SUM($G320))</f>
        <v/>
      </c>
      <c r="Q320" s="88"/>
      <c r="R320" s="88"/>
      <c r="S320" s="88"/>
      <c r="T320" s="88"/>
      <c r="U320" s="88"/>
      <c r="V320" s="88" t="str">
        <f aca="false">IF(SUM($G320)=0,"",SUM($M320:$U320))</f>
        <v/>
      </c>
      <c r="W320" s="88"/>
      <c r="X320" s="39" t="str">
        <f aca="false">IF(OR(SUM($G320)=0,SUM($Q320)=0),"",ROUND(SUM($G320)*SUM($Q320),0))</f>
        <v/>
      </c>
      <c r="Y320" s="39" t="str">
        <f aca="false">IF(SUM($X320)=0,"",IF(SUM($W320)=0,"ENTER YIELD",ROUND($X320/$W320,0)-$X320))</f>
        <v/>
      </c>
      <c r="Z320" s="88"/>
      <c r="AA320" s="39" t="str">
        <f aca="false">IF(OR(SUM($G320)=0,SUM($R320)=0),"",ROUND(SUM($G320)*SUM($R320),0))</f>
        <v/>
      </c>
      <c r="AB320" s="39" t="str">
        <f aca="false">IF(SUM($AA320)=0,"",IF(SUM($Z320)=0,"ENTER YIELD",ROUND($AA320/$Z320,0)-$AA320))</f>
        <v/>
      </c>
      <c r="AC320" s="88"/>
      <c r="AD320" s="39" t="str">
        <f aca="false">IF(OR(SUM($G320)=0,SUM($S320)=0),"",ROUND(SUM($G320)*SUM($S320),0))</f>
        <v/>
      </c>
      <c r="AE320" s="39" t="str">
        <f aca="false">IF(SUM($AD320)=0,"",IF(SUM($AC320)=0,"ENTER YIELD",ROUND($AD320/$AC320,0)-$AD320))</f>
        <v/>
      </c>
      <c r="AF320" s="88"/>
      <c r="AG320" s="39" t="str">
        <f aca="false">IF(OR(SUM($G320)=0,SUM($T320)=0),"",ROUND(SUM($G320)*SUM($T320),0))</f>
        <v/>
      </c>
      <c r="AH320" s="39" t="str">
        <f aca="false">IF(SUM($AG320)=0,"",IF(SUM($AF320)=0,"ENTER YIELD",ROUND($AG320/$AF320,0)-$AG320))</f>
        <v/>
      </c>
      <c r="AI320" s="88"/>
      <c r="AJ320" s="39" t="str">
        <f aca="false">IF(OR(SUM($G320)=0,SUM($U320)=0),"",ROUND(SUM($G320)*SUM($U320),0))</f>
        <v/>
      </c>
      <c r="AK320" s="39" t="str">
        <f aca="false">IF(SUM($AJ320)=0,"",IF(SUM($AI320)=0,"ENTER YIELD",ROUND($AJ320/$AI320,0)-$AJ320))</f>
        <v/>
      </c>
      <c r="AL320" s="10" t="str">
        <f aca="false">IF(SUM($G320)=0,"",$G320)</f>
        <v/>
      </c>
      <c r="AM320" s="10" t="str">
        <f aca="false">IFERROR(1/(1/SUM($H320:$K320,$X320,$AA320,$AD320,$AG320,$AJ320)),"")</f>
        <v/>
      </c>
      <c r="AN320" s="10" t="str">
        <f aca="false">IF(AND(SUM($AM320)=0,SUM($AL320)=0),"",$AM320-$AL320)</f>
        <v/>
      </c>
      <c r="AO320" s="10" t="str">
        <f aca="false">IF(OR($C320="01-09",$D320="Male"),"",INDEX(PMTCT!$AD:$AD,MATCH($E320,PMTCT!$E:$E,0)))</f>
        <v/>
      </c>
      <c r="AP320" s="10" t="str">
        <f aca="false">IF(OR($C320="01-09",$D320="Male"),"",INDEX(PMTCT!$AT:$AT,MATCH($E320,PMTCT!$E:$E,0)))</f>
        <v/>
      </c>
      <c r="AQ320" s="10" t="str">
        <f aca="false">INDEX(TB!$Q:$Q,MATCH($E320,TB!$E:$E,0))</f>
        <v/>
      </c>
      <c r="AR320" s="10" t="str">
        <f aca="false">IF(OR($C320="01-09",$C320="10-14",$D320="Female"),"",INDEX(VMMC!$AB:$AB,MATCH($E320,VMMC!$E:$E,0)))</f>
        <v/>
      </c>
      <c r="AS320" s="10" t="str">
        <f aca="false">IF(OR($C320="01-09",$C320="10-14"),"",INDEX(PrEP!$Q:$Q,MATCH($E320,PrEP!$E:$E,0)))</f>
        <v/>
      </c>
      <c r="AT320" s="10" t="str">
        <f aca="false">IFERROR(1/(1/SUM($Y320,$AB320,$AE320,$AH320,$AK320,$AO320:$AS320)),"")</f>
        <v/>
      </c>
      <c r="AU320" s="10" t="str">
        <f aca="false">IFERROR(1/(1/SUM($AT320,$AM320)),"")</f>
        <v/>
      </c>
      <c r="AV320" s="88" t="str">
        <f aca="false">IF(AND(SUM($AM320)=0,SUM($AU320)=0),"",$AM320/$AU320)</f>
        <v/>
      </c>
      <c r="AW320" s="10"/>
      <c r="AX320" s="88" t="str">
        <f aca="false">IF(OR($C320="01-09",SUM($AW320)=0),"",0%)</f>
        <v/>
      </c>
      <c r="AY320" s="39" t="str">
        <f aca="false">IF(OR($C320="01-09",SUM($AW320)=0),"",ROUND($AW320*(1+$AX320),0))</f>
        <v/>
      </c>
      <c r="AZ320" s="88" t="n">
        <f aca="false">IF(OR($C320="01-09",$C320="10-14"),"",100%)</f>
        <v>1</v>
      </c>
      <c r="BA320" s="39" t="str">
        <f aca="false">IF(OR(SUM($AM320)=0,$C320="01-09",$C320="10-14"),"",$AM320*$AZ320)</f>
        <v/>
      </c>
    </row>
    <row r="321" customFormat="false" ht="15" hidden="false" customHeight="false" outlineLevel="0" collapsed="false">
      <c r="A321" s="0" t="str">
        <f aca="false">INDEX(Prioritization!$D:$D,MATCH($B321,Prioritization!$A:$A,0))</f>
        <v>INVALID</v>
      </c>
      <c r="B321" s="0" t="s">
        <v>219</v>
      </c>
      <c r="C321" s="0" t="s">
        <v>366</v>
      </c>
      <c r="D321" s="0" t="s">
        <v>30</v>
      </c>
      <c r="E321" s="0" t="str">
        <f aca="false">$B321&amp;"|"&amp;$C321&amp;"|"&amp;$D321</f>
        <v>Nsanje District [rpw540fmNUz]|25-34|Female</v>
      </c>
      <c r="F321" s="88" t="n">
        <f aca="false">IF(LEFT($B321,4)="_Mil","",INDEX(Cascade!$AA:$AA,MATCH($E321,Cascade!$E:$E,0)))</f>
        <v>1848</v>
      </c>
      <c r="G321" s="10" t="n">
        <f aca="false">INDEX(Cascade!$BH:$BH,MATCH($E321,Cascade!$E:$E,0))</f>
        <v>0</v>
      </c>
      <c r="H321" s="10" t="str">
        <f aca="false">IF(OR($C321="01-09",$D321="Male"),"",INDEX(PMTCT!$AC:$AC,MATCH($E321,PMTCT!$E:$E,0)))</f>
        <v/>
      </c>
      <c r="I321" s="10" t="str">
        <f aca="false">IF(OR($C321="01-09",$D321="Male"),"",INDEX(PMTCT!$AS:$AS,MATCH($E321,PMTCT!$E:$E,0)))</f>
        <v/>
      </c>
      <c r="J321" s="10" t="str">
        <f aca="false">INDEX(TB!$P:$P,MATCH($E321,TB!$E:$E,0))</f>
        <v/>
      </c>
      <c r="K321" s="10" t="str">
        <f aca="false">IF(OR($C321="01-09",$C321="10-14",$D321="Female"),"",INDEX(VMMC!$AA:$AA,MATCH($E321,VMMC!$E:$E,0)))</f>
        <v/>
      </c>
      <c r="L321" s="10" t="n">
        <f aca="false">SUM($G321)-SUM($H321:$K321)</f>
        <v>0</v>
      </c>
      <c r="M321" s="88" t="str">
        <f aca="false">IF(OR($C321="01-09",$D321="Male",AND(SUM($G321)=0,SUM($H321)=0)),"",SUM($H321)/SUM($G321))</f>
        <v/>
      </c>
      <c r="N321" s="88" t="str">
        <f aca="false">IF(OR($C321="01-09",$D321="Male",AND(SUM($G321)=0,SUM($I321)=0)),"",SUM($I321)/SUM($G321))</f>
        <v/>
      </c>
      <c r="O321" s="88" t="str">
        <f aca="false">IF(AND(SUM($G321)=0,SUM($J321)=0),"",SUM($J321)/SUM($G321))</f>
        <v/>
      </c>
      <c r="P321" s="88" t="str">
        <f aca="false">IF(OR($C321="01-09",$C321="10-14",$D321="Female",AND(SUM($G321)=0,SUM($K321)=0)),"",SUM($K321)/SUM($G321))</f>
        <v/>
      </c>
      <c r="Q321" s="88"/>
      <c r="R321" s="88"/>
      <c r="S321" s="88"/>
      <c r="T321" s="88"/>
      <c r="U321" s="88"/>
      <c r="V321" s="88" t="str">
        <f aca="false">IF(SUM($G321)=0,"",SUM($M321:$U321))</f>
        <v/>
      </c>
      <c r="W321" s="88"/>
      <c r="X321" s="39" t="str">
        <f aca="false">IF(OR(SUM($G321)=0,SUM($Q321)=0),"",ROUND(SUM($G321)*SUM($Q321),0))</f>
        <v/>
      </c>
      <c r="Y321" s="39" t="str">
        <f aca="false">IF(SUM($X321)=0,"",IF(SUM($W321)=0,"ENTER YIELD",ROUND($X321/$W321,0)-$X321))</f>
        <v/>
      </c>
      <c r="Z321" s="88"/>
      <c r="AA321" s="39" t="str">
        <f aca="false">IF(OR(SUM($G321)=0,SUM($R321)=0),"",ROUND(SUM($G321)*SUM($R321),0))</f>
        <v/>
      </c>
      <c r="AB321" s="39" t="str">
        <f aca="false">IF(SUM($AA321)=0,"",IF(SUM($Z321)=0,"ENTER YIELD",ROUND($AA321/$Z321,0)-$AA321))</f>
        <v/>
      </c>
      <c r="AC321" s="88"/>
      <c r="AD321" s="39" t="str">
        <f aca="false">IF(OR(SUM($G321)=0,SUM($S321)=0),"",ROUND(SUM($G321)*SUM($S321),0))</f>
        <v/>
      </c>
      <c r="AE321" s="39" t="str">
        <f aca="false">IF(SUM($AD321)=0,"",IF(SUM($AC321)=0,"ENTER YIELD",ROUND($AD321/$AC321,0)-$AD321))</f>
        <v/>
      </c>
      <c r="AF321" s="88"/>
      <c r="AG321" s="39" t="str">
        <f aca="false">IF(OR(SUM($G321)=0,SUM($T321)=0),"",ROUND(SUM($G321)*SUM($T321),0))</f>
        <v/>
      </c>
      <c r="AH321" s="39" t="str">
        <f aca="false">IF(SUM($AG321)=0,"",IF(SUM($AF321)=0,"ENTER YIELD",ROUND($AG321/$AF321,0)-$AG321))</f>
        <v/>
      </c>
      <c r="AI321" s="88"/>
      <c r="AJ321" s="39" t="str">
        <f aca="false">IF(OR(SUM($G321)=0,SUM($U321)=0),"",ROUND(SUM($G321)*SUM($U321),0))</f>
        <v/>
      </c>
      <c r="AK321" s="39" t="str">
        <f aca="false">IF(SUM($AJ321)=0,"",IF(SUM($AI321)=0,"ENTER YIELD",ROUND($AJ321/$AI321,0)-$AJ321))</f>
        <v/>
      </c>
      <c r="AL321" s="10" t="str">
        <f aca="false">IF(SUM($G321)=0,"",$G321)</f>
        <v/>
      </c>
      <c r="AM321" s="10" t="str">
        <f aca="false">IFERROR(1/(1/SUM($H321:$K321,$X321,$AA321,$AD321,$AG321,$AJ321)),"")</f>
        <v/>
      </c>
      <c r="AN321" s="10" t="str">
        <f aca="false">IF(AND(SUM($AM321)=0,SUM($AL321)=0),"",$AM321-$AL321)</f>
        <v/>
      </c>
      <c r="AO321" s="10" t="str">
        <f aca="false">IF(OR($C321="01-09",$D321="Male"),"",INDEX(PMTCT!$AD:$AD,MATCH($E321,PMTCT!$E:$E,0)))</f>
        <v/>
      </c>
      <c r="AP321" s="10" t="str">
        <f aca="false">IF(OR($C321="01-09",$D321="Male"),"",INDEX(PMTCT!$AT:$AT,MATCH($E321,PMTCT!$E:$E,0)))</f>
        <v/>
      </c>
      <c r="AQ321" s="10" t="str">
        <f aca="false">INDEX(TB!$Q:$Q,MATCH($E321,TB!$E:$E,0))</f>
        <v/>
      </c>
      <c r="AR321" s="10" t="str">
        <f aca="false">IF(OR($C321="01-09",$C321="10-14",$D321="Female"),"",INDEX(VMMC!$AB:$AB,MATCH($E321,VMMC!$E:$E,0)))</f>
        <v/>
      </c>
      <c r="AS321" s="10" t="str">
        <f aca="false">IF(OR($C321="01-09",$C321="10-14"),"",INDEX(PrEP!$Q:$Q,MATCH($E321,PrEP!$E:$E,0)))</f>
        <v/>
      </c>
      <c r="AT321" s="10" t="str">
        <f aca="false">IFERROR(1/(1/SUM($Y321,$AB321,$AE321,$AH321,$AK321,$AO321:$AS321)),"")</f>
        <v/>
      </c>
      <c r="AU321" s="10" t="str">
        <f aca="false">IFERROR(1/(1/SUM($AT321,$AM321)),"")</f>
        <v/>
      </c>
      <c r="AV321" s="88" t="str">
        <f aca="false">IF(AND(SUM($AM321)=0,SUM($AU321)=0),"",$AM321/$AU321)</f>
        <v/>
      </c>
      <c r="AW321" s="10"/>
      <c r="AX321" s="88" t="str">
        <f aca="false">IF(OR($C321="01-09",SUM($AW321)=0),"",0%)</f>
        <v/>
      </c>
      <c r="AY321" s="39" t="str">
        <f aca="false">IF(OR($C321="01-09",SUM($AW321)=0),"",ROUND($AW321*(1+$AX321),0))</f>
        <v/>
      </c>
      <c r="AZ321" s="88" t="n">
        <f aca="false">IF(OR($C321="01-09",$C321="10-14"),"",100%)</f>
        <v>1</v>
      </c>
      <c r="BA321" s="39" t="str">
        <f aca="false">IF(OR(SUM($AM321)=0,$C321="01-09",$C321="10-14"),"",$AM321*$AZ321)</f>
        <v/>
      </c>
    </row>
    <row r="322" customFormat="false" ht="15" hidden="false" customHeight="false" outlineLevel="0" collapsed="false">
      <c r="A322" s="0" t="str">
        <f aca="false">INDEX(Prioritization!$D:$D,MATCH($B322,Prioritization!$A:$A,0))</f>
        <v>INVALID</v>
      </c>
      <c r="B322" s="0" t="s">
        <v>219</v>
      </c>
      <c r="C322" s="0" t="s">
        <v>366</v>
      </c>
      <c r="D322" s="0" t="s">
        <v>48</v>
      </c>
      <c r="E322" s="0" t="str">
        <f aca="false">$B322&amp;"|"&amp;$C322&amp;"|"&amp;$D322</f>
        <v>Nsanje District [rpw540fmNUz]|25-34|Male</v>
      </c>
      <c r="F322" s="88" t="n">
        <f aca="false">IF(LEFT($B322,4)="_Mil","",INDEX(Cascade!$AA:$AA,MATCH($E322,Cascade!$E:$E,0)))</f>
        <v>1838</v>
      </c>
      <c r="G322" s="10" t="n">
        <f aca="false">INDEX(Cascade!$BH:$BH,MATCH($E322,Cascade!$E:$E,0))</f>
        <v>0</v>
      </c>
      <c r="H322" s="10" t="str">
        <f aca="false">IF(OR($C322="01-09",$D322="Male"),"",INDEX(PMTCT!$AC:$AC,MATCH($E322,PMTCT!$E:$E,0)))</f>
        <v/>
      </c>
      <c r="I322" s="10" t="str">
        <f aca="false">IF(OR($C322="01-09",$D322="Male"),"",INDEX(PMTCT!$AS:$AS,MATCH($E322,PMTCT!$E:$E,0)))</f>
        <v/>
      </c>
      <c r="J322" s="10" t="str">
        <f aca="false">INDEX(TB!$P:$P,MATCH($E322,TB!$E:$E,0))</f>
        <v/>
      </c>
      <c r="K322" s="10" t="str">
        <f aca="false">IF(OR($C322="01-09",$C322="10-14",$D322="Female"),"",INDEX(VMMC!$AA:$AA,MATCH($E322,VMMC!$E:$E,0)))</f>
        <v/>
      </c>
      <c r="L322" s="10" t="n">
        <f aca="false">SUM($G322)-SUM($H322:$K322)</f>
        <v>0</v>
      </c>
      <c r="M322" s="88" t="str">
        <f aca="false">IF(OR($C322="01-09",$D322="Male",AND(SUM($G322)=0,SUM($H322)=0)),"",SUM($H322)/SUM($G322))</f>
        <v/>
      </c>
      <c r="N322" s="88" t="str">
        <f aca="false">IF(OR($C322="01-09",$D322="Male",AND(SUM($G322)=0,SUM($I322)=0)),"",SUM($I322)/SUM($G322))</f>
        <v/>
      </c>
      <c r="O322" s="88" t="str">
        <f aca="false">IF(AND(SUM($G322)=0,SUM($J322)=0),"",SUM($J322)/SUM($G322))</f>
        <v/>
      </c>
      <c r="P322" s="88" t="str">
        <f aca="false">IF(OR($C322="01-09",$C322="10-14",$D322="Female",AND(SUM($G322)=0,SUM($K322)=0)),"",SUM($K322)/SUM($G322))</f>
        <v/>
      </c>
      <c r="Q322" s="88"/>
      <c r="R322" s="88"/>
      <c r="S322" s="88"/>
      <c r="T322" s="88"/>
      <c r="U322" s="88"/>
      <c r="V322" s="88" t="str">
        <f aca="false">IF(SUM($G322)=0,"",SUM($M322:$U322))</f>
        <v/>
      </c>
      <c r="W322" s="88"/>
      <c r="X322" s="39" t="str">
        <f aca="false">IF(OR(SUM($G322)=0,SUM($Q322)=0),"",ROUND(SUM($G322)*SUM($Q322),0))</f>
        <v/>
      </c>
      <c r="Y322" s="39" t="str">
        <f aca="false">IF(SUM($X322)=0,"",IF(SUM($W322)=0,"ENTER YIELD",ROUND($X322/$W322,0)-$X322))</f>
        <v/>
      </c>
      <c r="Z322" s="88"/>
      <c r="AA322" s="39" t="str">
        <f aca="false">IF(OR(SUM($G322)=0,SUM($R322)=0),"",ROUND(SUM($G322)*SUM($R322),0))</f>
        <v/>
      </c>
      <c r="AB322" s="39" t="str">
        <f aca="false">IF(SUM($AA322)=0,"",IF(SUM($Z322)=0,"ENTER YIELD",ROUND($AA322/$Z322,0)-$AA322))</f>
        <v/>
      </c>
      <c r="AC322" s="88"/>
      <c r="AD322" s="39" t="str">
        <f aca="false">IF(OR(SUM($G322)=0,SUM($S322)=0),"",ROUND(SUM($G322)*SUM($S322),0))</f>
        <v/>
      </c>
      <c r="AE322" s="39" t="str">
        <f aca="false">IF(SUM($AD322)=0,"",IF(SUM($AC322)=0,"ENTER YIELD",ROUND($AD322/$AC322,0)-$AD322))</f>
        <v/>
      </c>
      <c r="AF322" s="88"/>
      <c r="AG322" s="39" t="str">
        <f aca="false">IF(OR(SUM($G322)=0,SUM($T322)=0),"",ROUND(SUM($G322)*SUM($T322),0))</f>
        <v/>
      </c>
      <c r="AH322" s="39" t="str">
        <f aca="false">IF(SUM($AG322)=0,"",IF(SUM($AF322)=0,"ENTER YIELD",ROUND($AG322/$AF322,0)-$AG322))</f>
        <v/>
      </c>
      <c r="AI322" s="88"/>
      <c r="AJ322" s="39" t="str">
        <f aca="false">IF(OR(SUM($G322)=0,SUM($U322)=0),"",ROUND(SUM($G322)*SUM($U322),0))</f>
        <v/>
      </c>
      <c r="AK322" s="39" t="str">
        <f aca="false">IF(SUM($AJ322)=0,"",IF(SUM($AI322)=0,"ENTER YIELD",ROUND($AJ322/$AI322,0)-$AJ322))</f>
        <v/>
      </c>
      <c r="AL322" s="10" t="str">
        <f aca="false">IF(SUM($G322)=0,"",$G322)</f>
        <v/>
      </c>
      <c r="AM322" s="10" t="str">
        <f aca="false">IFERROR(1/(1/SUM($H322:$K322,$X322,$AA322,$AD322,$AG322,$AJ322)),"")</f>
        <v/>
      </c>
      <c r="AN322" s="10" t="str">
        <f aca="false">IF(AND(SUM($AM322)=0,SUM($AL322)=0),"",$AM322-$AL322)</f>
        <v/>
      </c>
      <c r="AO322" s="10" t="str">
        <f aca="false">IF(OR($C322="01-09",$D322="Male"),"",INDEX(PMTCT!$AD:$AD,MATCH($E322,PMTCT!$E:$E,0)))</f>
        <v/>
      </c>
      <c r="AP322" s="10" t="str">
        <f aca="false">IF(OR($C322="01-09",$D322="Male"),"",INDEX(PMTCT!$AT:$AT,MATCH($E322,PMTCT!$E:$E,0)))</f>
        <v/>
      </c>
      <c r="AQ322" s="10" t="str">
        <f aca="false">INDEX(TB!$Q:$Q,MATCH($E322,TB!$E:$E,0))</f>
        <v/>
      </c>
      <c r="AR322" s="10" t="str">
        <f aca="false">IF(OR($C322="01-09",$C322="10-14",$D322="Female"),"",INDEX(VMMC!$AB:$AB,MATCH($E322,VMMC!$E:$E,0)))</f>
        <v/>
      </c>
      <c r="AS322" s="10" t="str">
        <f aca="false">IF(OR($C322="01-09",$C322="10-14"),"",INDEX(PrEP!$Q:$Q,MATCH($E322,PrEP!$E:$E,0)))</f>
        <v/>
      </c>
      <c r="AT322" s="10" t="str">
        <f aca="false">IFERROR(1/(1/SUM($Y322,$AB322,$AE322,$AH322,$AK322,$AO322:$AS322)),"")</f>
        <v/>
      </c>
      <c r="AU322" s="10" t="str">
        <f aca="false">IFERROR(1/(1/SUM($AT322,$AM322)),"")</f>
        <v/>
      </c>
      <c r="AV322" s="88" t="str">
        <f aca="false">IF(AND(SUM($AM322)=0,SUM($AU322)=0),"",$AM322/$AU322)</f>
        <v/>
      </c>
      <c r="AW322" s="10"/>
      <c r="AX322" s="88" t="str">
        <f aca="false">IF(OR($C322="01-09",SUM($AW322)=0),"",0%)</f>
        <v/>
      </c>
      <c r="AY322" s="39" t="str">
        <f aca="false">IF(OR($C322="01-09",SUM($AW322)=0),"",ROUND($AW322*(1+$AX322),0))</f>
        <v/>
      </c>
      <c r="AZ322" s="88" t="n">
        <f aca="false">IF(OR($C322="01-09",$C322="10-14"),"",100%)</f>
        <v>1</v>
      </c>
      <c r="BA322" s="39" t="str">
        <f aca="false">IF(OR(SUM($AM322)=0,$C322="01-09",$C322="10-14"),"",$AM322*$AZ322)</f>
        <v/>
      </c>
    </row>
    <row r="323" customFormat="false" ht="15" hidden="false" customHeight="false" outlineLevel="0" collapsed="false">
      <c r="A323" s="0" t="str">
        <f aca="false">INDEX(Prioritization!$D:$D,MATCH($B323,Prioritization!$A:$A,0))</f>
        <v>INVALID</v>
      </c>
      <c r="B323" s="0" t="s">
        <v>219</v>
      </c>
      <c r="C323" s="0" t="s">
        <v>367</v>
      </c>
      <c r="D323" s="0" t="s">
        <v>30</v>
      </c>
      <c r="E323" s="0" t="str">
        <f aca="false">$B323&amp;"|"&amp;$C323&amp;"|"&amp;$D323</f>
        <v>Nsanje District [rpw540fmNUz]|35-49|Female</v>
      </c>
      <c r="F323" s="88" t="n">
        <f aca="false">IF(LEFT($B323,4)="_Mil","",INDEX(Cascade!$AA:$AA,MATCH($E323,Cascade!$E:$E,0)))</f>
        <v>1027</v>
      </c>
      <c r="G323" s="10" t="n">
        <f aca="false">INDEX(Cascade!$BH:$BH,MATCH($E323,Cascade!$E:$E,0))</f>
        <v>0</v>
      </c>
      <c r="H323" s="10" t="str">
        <f aca="false">IF(OR($C323="01-09",$D323="Male"),"",INDEX(PMTCT!$AC:$AC,MATCH($E323,PMTCT!$E:$E,0)))</f>
        <v/>
      </c>
      <c r="I323" s="10" t="str">
        <f aca="false">IF(OR($C323="01-09",$D323="Male"),"",INDEX(PMTCT!$AS:$AS,MATCH($E323,PMTCT!$E:$E,0)))</f>
        <v/>
      </c>
      <c r="J323" s="10" t="str">
        <f aca="false">INDEX(TB!$P:$P,MATCH($E323,TB!$E:$E,0))</f>
        <v/>
      </c>
      <c r="K323" s="10" t="str">
        <f aca="false">IF(OR($C323="01-09",$C323="10-14",$D323="Female"),"",INDEX(VMMC!$AA:$AA,MATCH($E323,VMMC!$E:$E,0)))</f>
        <v/>
      </c>
      <c r="L323" s="10" t="n">
        <f aca="false">SUM($G323)-SUM($H323:$K323)</f>
        <v>0</v>
      </c>
      <c r="M323" s="88" t="str">
        <f aca="false">IF(OR($C323="01-09",$D323="Male",AND(SUM($G323)=0,SUM($H323)=0)),"",SUM($H323)/SUM($G323))</f>
        <v/>
      </c>
      <c r="N323" s="88" t="str">
        <f aca="false">IF(OR($C323="01-09",$D323="Male",AND(SUM($G323)=0,SUM($I323)=0)),"",SUM($I323)/SUM($G323))</f>
        <v/>
      </c>
      <c r="O323" s="88" t="str">
        <f aca="false">IF(AND(SUM($G323)=0,SUM($J323)=0),"",SUM($J323)/SUM($G323))</f>
        <v/>
      </c>
      <c r="P323" s="88" t="str">
        <f aca="false">IF(OR($C323="01-09",$C323="10-14",$D323="Female",AND(SUM($G323)=0,SUM($K323)=0)),"",SUM($K323)/SUM($G323))</f>
        <v/>
      </c>
      <c r="Q323" s="88"/>
      <c r="R323" s="88"/>
      <c r="S323" s="88"/>
      <c r="T323" s="88"/>
      <c r="U323" s="88"/>
      <c r="V323" s="88" t="str">
        <f aca="false">IF(SUM($G323)=0,"",SUM($M323:$U323))</f>
        <v/>
      </c>
      <c r="W323" s="88"/>
      <c r="X323" s="39" t="str">
        <f aca="false">IF(OR(SUM($G323)=0,SUM($Q323)=0),"",ROUND(SUM($G323)*SUM($Q323),0))</f>
        <v/>
      </c>
      <c r="Y323" s="39" t="str">
        <f aca="false">IF(SUM($X323)=0,"",IF(SUM($W323)=0,"ENTER YIELD",ROUND($X323/$W323,0)-$X323))</f>
        <v/>
      </c>
      <c r="Z323" s="88"/>
      <c r="AA323" s="39" t="str">
        <f aca="false">IF(OR(SUM($G323)=0,SUM($R323)=0),"",ROUND(SUM($G323)*SUM($R323),0))</f>
        <v/>
      </c>
      <c r="AB323" s="39" t="str">
        <f aca="false">IF(SUM($AA323)=0,"",IF(SUM($Z323)=0,"ENTER YIELD",ROUND($AA323/$Z323,0)-$AA323))</f>
        <v/>
      </c>
      <c r="AC323" s="88"/>
      <c r="AD323" s="39" t="str">
        <f aca="false">IF(OR(SUM($G323)=0,SUM($S323)=0),"",ROUND(SUM($G323)*SUM($S323),0))</f>
        <v/>
      </c>
      <c r="AE323" s="39" t="str">
        <f aca="false">IF(SUM($AD323)=0,"",IF(SUM($AC323)=0,"ENTER YIELD",ROUND($AD323/$AC323,0)-$AD323))</f>
        <v/>
      </c>
      <c r="AF323" s="88"/>
      <c r="AG323" s="39" t="str">
        <f aca="false">IF(OR(SUM($G323)=0,SUM($T323)=0),"",ROUND(SUM($G323)*SUM($T323),0))</f>
        <v/>
      </c>
      <c r="AH323" s="39" t="str">
        <f aca="false">IF(SUM($AG323)=0,"",IF(SUM($AF323)=0,"ENTER YIELD",ROUND($AG323/$AF323,0)-$AG323))</f>
        <v/>
      </c>
      <c r="AI323" s="88"/>
      <c r="AJ323" s="39" t="str">
        <f aca="false">IF(OR(SUM($G323)=0,SUM($U323)=0),"",ROUND(SUM($G323)*SUM($U323),0))</f>
        <v/>
      </c>
      <c r="AK323" s="39" t="str">
        <f aca="false">IF(SUM($AJ323)=0,"",IF(SUM($AI323)=0,"ENTER YIELD",ROUND($AJ323/$AI323,0)-$AJ323))</f>
        <v/>
      </c>
      <c r="AL323" s="10" t="str">
        <f aca="false">IF(SUM($G323)=0,"",$G323)</f>
        <v/>
      </c>
      <c r="AM323" s="10" t="str">
        <f aca="false">IFERROR(1/(1/SUM($H323:$K323,$X323,$AA323,$AD323,$AG323,$AJ323)),"")</f>
        <v/>
      </c>
      <c r="AN323" s="10" t="str">
        <f aca="false">IF(AND(SUM($AM323)=0,SUM($AL323)=0),"",$AM323-$AL323)</f>
        <v/>
      </c>
      <c r="AO323" s="10" t="str">
        <f aca="false">IF(OR($C323="01-09",$D323="Male"),"",INDEX(PMTCT!$AD:$AD,MATCH($E323,PMTCT!$E:$E,0)))</f>
        <v/>
      </c>
      <c r="AP323" s="10" t="str">
        <f aca="false">IF(OR($C323="01-09",$D323="Male"),"",INDEX(PMTCT!$AT:$AT,MATCH($E323,PMTCT!$E:$E,0)))</f>
        <v/>
      </c>
      <c r="AQ323" s="10" t="str">
        <f aca="false">INDEX(TB!$Q:$Q,MATCH($E323,TB!$E:$E,0))</f>
        <v/>
      </c>
      <c r="AR323" s="10" t="str">
        <f aca="false">IF(OR($C323="01-09",$C323="10-14",$D323="Female"),"",INDEX(VMMC!$AB:$AB,MATCH($E323,VMMC!$E:$E,0)))</f>
        <v/>
      </c>
      <c r="AS323" s="10" t="str">
        <f aca="false">IF(OR($C323="01-09",$C323="10-14"),"",INDEX(PrEP!$Q:$Q,MATCH($E323,PrEP!$E:$E,0)))</f>
        <v/>
      </c>
      <c r="AT323" s="10" t="str">
        <f aca="false">IFERROR(1/(1/SUM($Y323,$AB323,$AE323,$AH323,$AK323,$AO323:$AS323)),"")</f>
        <v/>
      </c>
      <c r="AU323" s="10" t="str">
        <f aca="false">IFERROR(1/(1/SUM($AT323,$AM323)),"")</f>
        <v/>
      </c>
      <c r="AV323" s="88" t="str">
        <f aca="false">IF(AND(SUM($AM323)=0,SUM($AU323)=0),"",$AM323/$AU323)</f>
        <v/>
      </c>
      <c r="AW323" s="10"/>
      <c r="AX323" s="88" t="str">
        <f aca="false">IF(OR($C323="01-09",SUM($AW323)=0),"",0%)</f>
        <v/>
      </c>
      <c r="AY323" s="39" t="str">
        <f aca="false">IF(OR($C323="01-09",SUM($AW323)=0),"",ROUND($AW323*(1+$AX323),0))</f>
        <v/>
      </c>
      <c r="AZ323" s="88" t="n">
        <f aca="false">IF(OR($C323="01-09",$C323="10-14"),"",100%)</f>
        <v>1</v>
      </c>
      <c r="BA323" s="39" t="str">
        <f aca="false">IF(OR(SUM($AM323)=0,$C323="01-09",$C323="10-14"),"",$AM323*$AZ323)</f>
        <v/>
      </c>
    </row>
    <row r="324" customFormat="false" ht="15" hidden="false" customHeight="false" outlineLevel="0" collapsed="false">
      <c r="A324" s="0" t="str">
        <f aca="false">INDEX(Prioritization!$D:$D,MATCH($B324,Prioritization!$A:$A,0))</f>
        <v>INVALID</v>
      </c>
      <c r="B324" s="0" t="s">
        <v>219</v>
      </c>
      <c r="C324" s="0" t="s">
        <v>367</v>
      </c>
      <c r="D324" s="0" t="s">
        <v>48</v>
      </c>
      <c r="E324" s="0" t="str">
        <f aca="false">$B324&amp;"|"&amp;$C324&amp;"|"&amp;$D324</f>
        <v>Nsanje District [rpw540fmNUz]|35-49|Male</v>
      </c>
      <c r="F324" s="88" t="n">
        <f aca="false">IF(LEFT($B324,4)="_Mil","",INDEX(Cascade!$AA:$AA,MATCH($E324,Cascade!$E:$E,0)))</f>
        <v>1346</v>
      </c>
      <c r="G324" s="10" t="n">
        <f aca="false">INDEX(Cascade!$BH:$BH,MATCH($E324,Cascade!$E:$E,0))</f>
        <v>0</v>
      </c>
      <c r="H324" s="10" t="str">
        <f aca="false">IF(OR($C324="01-09",$D324="Male"),"",INDEX(PMTCT!$AC:$AC,MATCH($E324,PMTCT!$E:$E,0)))</f>
        <v/>
      </c>
      <c r="I324" s="10" t="str">
        <f aca="false">IF(OR($C324="01-09",$D324="Male"),"",INDEX(PMTCT!$AS:$AS,MATCH($E324,PMTCT!$E:$E,0)))</f>
        <v/>
      </c>
      <c r="J324" s="10" t="str">
        <f aca="false">INDEX(TB!$P:$P,MATCH($E324,TB!$E:$E,0))</f>
        <v/>
      </c>
      <c r="K324" s="10" t="str">
        <f aca="false">IF(OR($C324="01-09",$C324="10-14",$D324="Female"),"",INDEX(VMMC!$AA:$AA,MATCH($E324,VMMC!$E:$E,0)))</f>
        <v/>
      </c>
      <c r="L324" s="10" t="n">
        <f aca="false">SUM($G324)-SUM($H324:$K324)</f>
        <v>0</v>
      </c>
      <c r="M324" s="88" t="str">
        <f aca="false">IF(OR($C324="01-09",$D324="Male",AND(SUM($G324)=0,SUM($H324)=0)),"",SUM($H324)/SUM($G324))</f>
        <v/>
      </c>
      <c r="N324" s="88" t="str">
        <f aca="false">IF(OR($C324="01-09",$D324="Male",AND(SUM($G324)=0,SUM($I324)=0)),"",SUM($I324)/SUM($G324))</f>
        <v/>
      </c>
      <c r="O324" s="88" t="str">
        <f aca="false">IF(AND(SUM($G324)=0,SUM($J324)=0),"",SUM($J324)/SUM($G324))</f>
        <v/>
      </c>
      <c r="P324" s="88" t="str">
        <f aca="false">IF(OR($C324="01-09",$C324="10-14",$D324="Female",AND(SUM($G324)=0,SUM($K324)=0)),"",SUM($K324)/SUM($G324))</f>
        <v/>
      </c>
      <c r="Q324" s="88"/>
      <c r="R324" s="88"/>
      <c r="S324" s="88"/>
      <c r="T324" s="88"/>
      <c r="U324" s="88"/>
      <c r="V324" s="88" t="str">
        <f aca="false">IF(SUM($G324)=0,"",SUM($M324:$U324))</f>
        <v/>
      </c>
      <c r="W324" s="88"/>
      <c r="X324" s="39" t="str">
        <f aca="false">IF(OR(SUM($G324)=0,SUM($Q324)=0),"",ROUND(SUM($G324)*SUM($Q324),0))</f>
        <v/>
      </c>
      <c r="Y324" s="39" t="str">
        <f aca="false">IF(SUM($X324)=0,"",IF(SUM($W324)=0,"ENTER YIELD",ROUND($X324/$W324,0)-$X324))</f>
        <v/>
      </c>
      <c r="Z324" s="88"/>
      <c r="AA324" s="39" t="str">
        <f aca="false">IF(OR(SUM($G324)=0,SUM($R324)=0),"",ROUND(SUM($G324)*SUM($R324),0))</f>
        <v/>
      </c>
      <c r="AB324" s="39" t="str">
        <f aca="false">IF(SUM($AA324)=0,"",IF(SUM($Z324)=0,"ENTER YIELD",ROUND($AA324/$Z324,0)-$AA324))</f>
        <v/>
      </c>
      <c r="AC324" s="88"/>
      <c r="AD324" s="39" t="str">
        <f aca="false">IF(OR(SUM($G324)=0,SUM($S324)=0),"",ROUND(SUM($G324)*SUM($S324),0))</f>
        <v/>
      </c>
      <c r="AE324" s="39" t="str">
        <f aca="false">IF(SUM($AD324)=0,"",IF(SUM($AC324)=0,"ENTER YIELD",ROUND($AD324/$AC324,0)-$AD324))</f>
        <v/>
      </c>
      <c r="AF324" s="88"/>
      <c r="AG324" s="39" t="str">
        <f aca="false">IF(OR(SUM($G324)=0,SUM($T324)=0),"",ROUND(SUM($G324)*SUM($T324),0))</f>
        <v/>
      </c>
      <c r="AH324" s="39" t="str">
        <f aca="false">IF(SUM($AG324)=0,"",IF(SUM($AF324)=0,"ENTER YIELD",ROUND($AG324/$AF324,0)-$AG324))</f>
        <v/>
      </c>
      <c r="AI324" s="88"/>
      <c r="AJ324" s="39" t="str">
        <f aca="false">IF(OR(SUM($G324)=0,SUM($U324)=0),"",ROUND(SUM($G324)*SUM($U324),0))</f>
        <v/>
      </c>
      <c r="AK324" s="39" t="str">
        <f aca="false">IF(SUM($AJ324)=0,"",IF(SUM($AI324)=0,"ENTER YIELD",ROUND($AJ324/$AI324,0)-$AJ324))</f>
        <v/>
      </c>
      <c r="AL324" s="10" t="str">
        <f aca="false">IF(SUM($G324)=0,"",$G324)</f>
        <v/>
      </c>
      <c r="AM324" s="10" t="str">
        <f aca="false">IFERROR(1/(1/SUM($H324:$K324,$X324,$AA324,$AD324,$AG324,$AJ324)),"")</f>
        <v/>
      </c>
      <c r="AN324" s="10" t="str">
        <f aca="false">IF(AND(SUM($AM324)=0,SUM($AL324)=0),"",$AM324-$AL324)</f>
        <v/>
      </c>
      <c r="AO324" s="10" t="str">
        <f aca="false">IF(OR($C324="01-09",$D324="Male"),"",INDEX(PMTCT!$AD:$AD,MATCH($E324,PMTCT!$E:$E,0)))</f>
        <v/>
      </c>
      <c r="AP324" s="10" t="str">
        <f aca="false">IF(OR($C324="01-09",$D324="Male"),"",INDEX(PMTCT!$AT:$AT,MATCH($E324,PMTCT!$E:$E,0)))</f>
        <v/>
      </c>
      <c r="AQ324" s="10" t="str">
        <f aca="false">INDEX(TB!$Q:$Q,MATCH($E324,TB!$E:$E,0))</f>
        <v/>
      </c>
      <c r="AR324" s="10" t="str">
        <f aca="false">IF(OR($C324="01-09",$C324="10-14",$D324="Female"),"",INDEX(VMMC!$AB:$AB,MATCH($E324,VMMC!$E:$E,0)))</f>
        <v/>
      </c>
      <c r="AS324" s="10" t="str">
        <f aca="false">IF(OR($C324="01-09",$C324="10-14"),"",INDEX(PrEP!$Q:$Q,MATCH($E324,PrEP!$E:$E,0)))</f>
        <v/>
      </c>
      <c r="AT324" s="10" t="str">
        <f aca="false">IFERROR(1/(1/SUM($Y324,$AB324,$AE324,$AH324,$AK324,$AO324:$AS324)),"")</f>
        <v/>
      </c>
      <c r="AU324" s="10" t="str">
        <f aca="false">IFERROR(1/(1/SUM($AT324,$AM324)),"")</f>
        <v/>
      </c>
      <c r="AV324" s="88" t="str">
        <f aca="false">IF(AND(SUM($AM324)=0,SUM($AU324)=0),"",$AM324/$AU324)</f>
        <v/>
      </c>
      <c r="AW324" s="10"/>
      <c r="AX324" s="88" t="str">
        <f aca="false">IF(OR($C324="01-09",SUM($AW324)=0),"",0%)</f>
        <v/>
      </c>
      <c r="AY324" s="39" t="str">
        <f aca="false">IF(OR($C324="01-09",SUM($AW324)=0),"",ROUND($AW324*(1+$AX324),0))</f>
        <v/>
      </c>
      <c r="AZ324" s="88" t="n">
        <f aca="false">IF(OR($C324="01-09",$C324="10-14"),"",100%)</f>
        <v>1</v>
      </c>
      <c r="BA324" s="39" t="str">
        <f aca="false">IF(OR(SUM($AM324)=0,$C324="01-09",$C324="10-14"),"",$AM324*$AZ324)</f>
        <v/>
      </c>
    </row>
    <row r="325" customFormat="false" ht="15" hidden="false" customHeight="false" outlineLevel="0" collapsed="false">
      <c r="A325" s="0" t="str">
        <f aca="false">INDEX(Prioritization!$D:$D,MATCH($B325,Prioritization!$A:$A,0))</f>
        <v>INVALID</v>
      </c>
      <c r="B325" s="0" t="s">
        <v>219</v>
      </c>
      <c r="C325" s="0" t="s">
        <v>368</v>
      </c>
      <c r="D325" s="0" t="s">
        <v>30</v>
      </c>
      <c r="E325" s="0" t="str">
        <f aca="false">$B325&amp;"|"&amp;$C325&amp;"|"&amp;$D325</f>
        <v>Nsanje District [rpw540fmNUz]|50+|Female</v>
      </c>
      <c r="F325" s="88" t="n">
        <f aca="false">IF(LEFT($B325,4)="_Mil","",INDEX(Cascade!$AA:$AA,MATCH($E325,Cascade!$E:$E,0)))</f>
        <v>1564</v>
      </c>
      <c r="G325" s="10" t="n">
        <f aca="false">INDEX(Cascade!$BH:$BH,MATCH($E325,Cascade!$E:$E,0))</f>
        <v>0</v>
      </c>
      <c r="H325" s="10" t="str">
        <f aca="false">IF(OR($C325="01-09",$D325="Male"),"",INDEX(PMTCT!$AC:$AC,MATCH($E325,PMTCT!$E:$E,0)))</f>
        <v/>
      </c>
      <c r="I325" s="10" t="str">
        <f aca="false">IF(OR($C325="01-09",$D325="Male"),"",INDEX(PMTCT!$AS:$AS,MATCH($E325,PMTCT!$E:$E,0)))</f>
        <v/>
      </c>
      <c r="J325" s="10" t="str">
        <f aca="false">INDEX(TB!$P:$P,MATCH($E325,TB!$E:$E,0))</f>
        <v/>
      </c>
      <c r="K325" s="10" t="str">
        <f aca="false">IF(OR($C325="01-09",$C325="10-14",$D325="Female"),"",INDEX(VMMC!$AA:$AA,MATCH($E325,VMMC!$E:$E,0)))</f>
        <v/>
      </c>
      <c r="L325" s="10" t="n">
        <f aca="false">SUM($G325)-SUM($H325:$K325)</f>
        <v>0</v>
      </c>
      <c r="M325" s="88" t="str">
        <f aca="false">IF(OR($C325="01-09",$D325="Male",AND(SUM($G325)=0,SUM($H325)=0)),"",SUM($H325)/SUM($G325))</f>
        <v/>
      </c>
      <c r="N325" s="88" t="str">
        <f aca="false">IF(OR($C325="01-09",$D325="Male",AND(SUM($G325)=0,SUM($I325)=0)),"",SUM($I325)/SUM($G325))</f>
        <v/>
      </c>
      <c r="O325" s="88" t="str">
        <f aca="false">IF(AND(SUM($G325)=0,SUM($J325)=0),"",SUM($J325)/SUM($G325))</f>
        <v/>
      </c>
      <c r="P325" s="88" t="str">
        <f aca="false">IF(OR($C325="01-09",$C325="10-14",$D325="Female",AND(SUM($G325)=0,SUM($K325)=0)),"",SUM($K325)/SUM($G325))</f>
        <v/>
      </c>
      <c r="Q325" s="88"/>
      <c r="R325" s="88"/>
      <c r="S325" s="88"/>
      <c r="T325" s="88"/>
      <c r="U325" s="88" t="n">
        <v>0.645844225306064</v>
      </c>
      <c r="V325" s="88" t="str">
        <f aca="false">IF(SUM($G325)=0,"",SUM($M325:$U325))</f>
        <v/>
      </c>
      <c r="W325" s="88"/>
      <c r="X325" s="39" t="str">
        <f aca="false">IF(OR(SUM($G325)=0,SUM($Q325)=0),"",ROUND(SUM($G325)*SUM($Q325),0))</f>
        <v/>
      </c>
      <c r="Y325" s="39" t="str">
        <f aca="false">IF(SUM($X325)=0,"",IF(SUM($W325)=0,"ENTER YIELD",ROUND($X325/$W325,0)-$X325))</f>
        <v/>
      </c>
      <c r="Z325" s="88"/>
      <c r="AA325" s="39" t="str">
        <f aca="false">IF(OR(SUM($G325)=0,SUM($R325)=0),"",ROUND(SUM($G325)*SUM($R325),0))</f>
        <v/>
      </c>
      <c r="AB325" s="39" t="str">
        <f aca="false">IF(SUM($AA325)=0,"",IF(SUM($Z325)=0,"ENTER YIELD",ROUND($AA325/$Z325,0)-$AA325))</f>
        <v/>
      </c>
      <c r="AC325" s="88"/>
      <c r="AD325" s="39" t="str">
        <f aca="false">IF(OR(SUM($G325)=0,SUM($S325)=0),"",ROUND(SUM($G325)*SUM($S325),0))</f>
        <v/>
      </c>
      <c r="AE325" s="39" t="str">
        <f aca="false">IF(SUM($AD325)=0,"",IF(SUM($AC325)=0,"ENTER YIELD",ROUND($AD325/$AC325,0)-$AD325))</f>
        <v/>
      </c>
      <c r="AF325" s="88"/>
      <c r="AG325" s="39" t="str">
        <f aca="false">IF(OR(SUM($G325)=0,SUM($T325)=0),"",ROUND(SUM($G325)*SUM($T325),0))</f>
        <v/>
      </c>
      <c r="AH325" s="39" t="str">
        <f aca="false">IF(SUM($AG325)=0,"",IF(SUM($AF325)=0,"ENTER YIELD",ROUND($AG325/$AF325,0)-$AG325))</f>
        <v/>
      </c>
      <c r="AI325" s="88"/>
      <c r="AJ325" s="39" t="str">
        <f aca="false">IF(OR(SUM($G325)=0,SUM($U325)=0),"",ROUND(SUM($G325)*SUM($U325),0))</f>
        <v/>
      </c>
      <c r="AK325" s="39" t="str">
        <f aca="false">IF(SUM($AJ325)=0,"",IF(SUM($AI325)=0,"ENTER YIELD",ROUND($AJ325/$AI325,0)-$AJ325))</f>
        <v/>
      </c>
      <c r="AL325" s="10" t="str">
        <f aca="false">IF(SUM($G325)=0,"",$G325)</f>
        <v/>
      </c>
      <c r="AM325" s="10" t="str">
        <f aca="false">IFERROR(1/(1/SUM($H325:$K325,$X325,$AA325,$AD325,$AG325,$AJ325)),"")</f>
        <v/>
      </c>
      <c r="AN325" s="10" t="str">
        <f aca="false">IF(AND(SUM($AM325)=0,SUM($AL325)=0),"",$AM325-$AL325)</f>
        <v/>
      </c>
      <c r="AO325" s="10" t="str">
        <f aca="false">IF(OR($C325="01-09",$D325="Male"),"",INDEX(PMTCT!$AD:$AD,MATCH($E325,PMTCT!$E:$E,0)))</f>
        <v/>
      </c>
      <c r="AP325" s="10" t="str">
        <f aca="false">IF(OR($C325="01-09",$D325="Male"),"",INDEX(PMTCT!$AT:$AT,MATCH($E325,PMTCT!$E:$E,0)))</f>
        <v/>
      </c>
      <c r="AQ325" s="10" t="str">
        <f aca="false">INDEX(TB!$Q:$Q,MATCH($E325,TB!$E:$E,0))</f>
        <v/>
      </c>
      <c r="AR325" s="10" t="str">
        <f aca="false">IF(OR($C325="01-09",$C325="10-14",$D325="Female"),"",INDEX(VMMC!$AB:$AB,MATCH($E325,VMMC!$E:$E,0)))</f>
        <v/>
      </c>
      <c r="AS325" s="10" t="str">
        <f aca="false">IF(OR($C325="01-09",$C325="10-14"),"",INDEX(PrEP!$Q:$Q,MATCH($E325,PrEP!$E:$E,0)))</f>
        <v/>
      </c>
      <c r="AT325" s="10" t="str">
        <f aca="false">IFERROR(1/(1/SUM($Y325,$AB325,$AE325,$AH325,$AK325,$AO325:$AS325)),"")</f>
        <v/>
      </c>
      <c r="AU325" s="10" t="str">
        <f aca="false">IFERROR(1/(1/SUM($AT325,$AM325)),"")</f>
        <v/>
      </c>
      <c r="AV325" s="88" t="str">
        <f aca="false">IF(AND(SUM($AM325)=0,SUM($AU325)=0),"",$AM325/$AU325)</f>
        <v/>
      </c>
      <c r="AW325" s="10" t="n">
        <v>9</v>
      </c>
      <c r="AX325" s="88" t="n">
        <f aca="false">IF(OR($C325="01-09",SUM($AW325)=0),"",0%)</f>
        <v>0</v>
      </c>
      <c r="AY325" s="39" t="n">
        <f aca="false">IF(OR($C325="01-09",SUM($AW325)=0),"",ROUND($AW325*(1+$AX325),0))</f>
        <v>9</v>
      </c>
      <c r="AZ325" s="88" t="n">
        <f aca="false">IF(OR($C325="01-09",$C325="10-14"),"",100%)</f>
        <v>1</v>
      </c>
      <c r="BA325" s="39" t="str">
        <f aca="false">IF(OR(SUM($AM325)=0,$C325="01-09",$C325="10-14"),"",$AM325*$AZ325)</f>
        <v/>
      </c>
    </row>
    <row r="326" customFormat="false" ht="15" hidden="false" customHeight="false" outlineLevel="0" collapsed="false">
      <c r="A326" s="0" t="str">
        <f aca="false">INDEX(Prioritization!$D:$D,MATCH($B326,Prioritization!$A:$A,0))</f>
        <v>INVALID</v>
      </c>
      <c r="B326" s="0" t="s">
        <v>219</v>
      </c>
      <c r="C326" s="0" t="s">
        <v>368</v>
      </c>
      <c r="D326" s="0" t="s">
        <v>48</v>
      </c>
      <c r="E326" s="0" t="str">
        <f aca="false">$B326&amp;"|"&amp;$C326&amp;"|"&amp;$D326</f>
        <v>Nsanje District [rpw540fmNUz]|50+|Male</v>
      </c>
      <c r="F326" s="88" t="n">
        <f aca="false">IF(LEFT($B326,4)="_Mil","",INDEX(Cascade!$AA:$AA,MATCH($E326,Cascade!$E:$E,0)))</f>
        <v>1286</v>
      </c>
      <c r="G326" s="10" t="n">
        <f aca="false">INDEX(Cascade!$BH:$BH,MATCH($E326,Cascade!$E:$E,0))</f>
        <v>0</v>
      </c>
      <c r="H326" s="10" t="str">
        <f aca="false">IF(OR($C326="01-09",$D326="Male"),"",INDEX(PMTCT!$AC:$AC,MATCH($E326,PMTCT!$E:$E,0)))</f>
        <v/>
      </c>
      <c r="I326" s="10" t="str">
        <f aca="false">IF(OR($C326="01-09",$D326="Male"),"",INDEX(PMTCT!$AS:$AS,MATCH($E326,PMTCT!$E:$E,0)))</f>
        <v/>
      </c>
      <c r="J326" s="10" t="str">
        <f aca="false">INDEX(TB!$P:$P,MATCH($E326,TB!$E:$E,0))</f>
        <v/>
      </c>
      <c r="K326" s="10" t="str">
        <f aca="false">IF(OR($C326="01-09",$C326="10-14",$D326="Female"),"",INDEX(VMMC!$AA:$AA,MATCH($E326,VMMC!$E:$E,0)))</f>
        <v/>
      </c>
      <c r="L326" s="10" t="n">
        <f aca="false">SUM($G326)-SUM($H326:$K326)</f>
        <v>0</v>
      </c>
      <c r="M326" s="88" t="str">
        <f aca="false">IF(OR($C326="01-09",$D326="Male",AND(SUM($G326)=0,SUM($H326)=0)),"",SUM($H326)/SUM($G326))</f>
        <v/>
      </c>
      <c r="N326" s="88" t="str">
        <f aca="false">IF(OR($C326="01-09",$D326="Male",AND(SUM($G326)=0,SUM($I326)=0)),"",SUM($I326)/SUM($G326))</f>
        <v/>
      </c>
      <c r="O326" s="88" t="str">
        <f aca="false">IF(AND(SUM($G326)=0,SUM($J326)=0),"",SUM($J326)/SUM($G326))</f>
        <v/>
      </c>
      <c r="P326" s="88" t="str">
        <f aca="false">IF(OR($C326="01-09",$C326="10-14",$D326="Female",AND(SUM($G326)=0,SUM($K326)=0)),"",SUM($K326)/SUM($G326))</f>
        <v/>
      </c>
      <c r="Q326" s="88"/>
      <c r="R326" s="88"/>
      <c r="S326" s="88"/>
      <c r="T326" s="88"/>
      <c r="U326" s="88" t="n">
        <v>0.19022079417482</v>
      </c>
      <c r="V326" s="88" t="str">
        <f aca="false">IF(SUM($G326)=0,"",SUM($M326:$U326))</f>
        <v/>
      </c>
      <c r="W326" s="88"/>
      <c r="X326" s="39" t="str">
        <f aca="false">IF(OR(SUM($G326)=0,SUM($Q326)=0),"",ROUND(SUM($G326)*SUM($Q326),0))</f>
        <v/>
      </c>
      <c r="Y326" s="39" t="str">
        <f aca="false">IF(SUM($X326)=0,"",IF(SUM($W326)=0,"ENTER YIELD",ROUND($X326/$W326,0)-$X326))</f>
        <v/>
      </c>
      <c r="Z326" s="88"/>
      <c r="AA326" s="39" t="str">
        <f aca="false">IF(OR(SUM($G326)=0,SUM($R326)=0),"",ROUND(SUM($G326)*SUM($R326),0))</f>
        <v/>
      </c>
      <c r="AB326" s="39" t="str">
        <f aca="false">IF(SUM($AA326)=0,"",IF(SUM($Z326)=0,"ENTER YIELD",ROUND($AA326/$Z326,0)-$AA326))</f>
        <v/>
      </c>
      <c r="AC326" s="88"/>
      <c r="AD326" s="39" t="str">
        <f aca="false">IF(OR(SUM($G326)=0,SUM($S326)=0),"",ROUND(SUM($G326)*SUM($S326),0))</f>
        <v/>
      </c>
      <c r="AE326" s="39" t="str">
        <f aca="false">IF(SUM($AD326)=0,"",IF(SUM($AC326)=0,"ENTER YIELD",ROUND($AD326/$AC326,0)-$AD326))</f>
        <v/>
      </c>
      <c r="AF326" s="88"/>
      <c r="AG326" s="39" t="str">
        <f aca="false">IF(OR(SUM($G326)=0,SUM($T326)=0),"",ROUND(SUM($G326)*SUM($T326),0))</f>
        <v/>
      </c>
      <c r="AH326" s="39" t="str">
        <f aca="false">IF(SUM($AG326)=0,"",IF(SUM($AF326)=0,"ENTER YIELD",ROUND($AG326/$AF326,0)-$AG326))</f>
        <v/>
      </c>
      <c r="AI326" s="88"/>
      <c r="AJ326" s="39" t="str">
        <f aca="false">IF(OR(SUM($G326)=0,SUM($U326)=0),"",ROUND(SUM($G326)*SUM($U326),0))</f>
        <v/>
      </c>
      <c r="AK326" s="39" t="str">
        <f aca="false">IF(SUM($AJ326)=0,"",IF(SUM($AI326)=0,"ENTER YIELD",ROUND($AJ326/$AI326,0)-$AJ326))</f>
        <v/>
      </c>
      <c r="AL326" s="10" t="str">
        <f aca="false">IF(SUM($G326)=0,"",$G326)</f>
        <v/>
      </c>
      <c r="AM326" s="10" t="str">
        <f aca="false">IFERROR(1/(1/SUM($H326:$K326,$X326,$AA326,$AD326,$AG326,$AJ326)),"")</f>
        <v/>
      </c>
      <c r="AN326" s="10" t="str">
        <f aca="false">IF(AND(SUM($AM326)=0,SUM($AL326)=0),"",$AM326-$AL326)</f>
        <v/>
      </c>
      <c r="AO326" s="10" t="str">
        <f aca="false">IF(OR($C326="01-09",$D326="Male"),"",INDEX(PMTCT!$AD:$AD,MATCH($E326,PMTCT!$E:$E,0)))</f>
        <v/>
      </c>
      <c r="AP326" s="10" t="str">
        <f aca="false">IF(OR($C326="01-09",$D326="Male"),"",INDEX(PMTCT!$AT:$AT,MATCH($E326,PMTCT!$E:$E,0)))</f>
        <v/>
      </c>
      <c r="AQ326" s="10" t="str">
        <f aca="false">INDEX(TB!$Q:$Q,MATCH($E326,TB!$E:$E,0))</f>
        <v/>
      </c>
      <c r="AR326" s="10" t="str">
        <f aca="false">IF(OR($C326="01-09",$C326="10-14",$D326="Female"),"",INDEX(VMMC!$AB:$AB,MATCH($E326,VMMC!$E:$E,0)))</f>
        <v/>
      </c>
      <c r="AS326" s="10" t="str">
        <f aca="false">IF(OR($C326="01-09",$C326="10-14"),"",INDEX(PrEP!$Q:$Q,MATCH($E326,PrEP!$E:$E,0)))</f>
        <v/>
      </c>
      <c r="AT326" s="10" t="str">
        <f aca="false">IFERROR(1/(1/SUM($Y326,$AB326,$AE326,$AH326,$AK326,$AO326:$AS326)),"")</f>
        <v/>
      </c>
      <c r="AU326" s="10" t="str">
        <f aca="false">IFERROR(1/(1/SUM($AT326,$AM326)),"")</f>
        <v/>
      </c>
      <c r="AV326" s="88" t="str">
        <f aca="false">IF(AND(SUM($AM326)=0,SUM($AU326)=0),"",$AM326/$AU326)</f>
        <v/>
      </c>
      <c r="AW326" s="10" t="n">
        <v>9</v>
      </c>
      <c r="AX326" s="88" t="n">
        <f aca="false">IF(OR($C326="01-09",SUM($AW326)=0),"",0%)</f>
        <v>0</v>
      </c>
      <c r="AY326" s="39" t="n">
        <f aca="false">IF(OR($C326="01-09",SUM($AW326)=0),"",ROUND($AW326*(1+$AX326),0))</f>
        <v>9</v>
      </c>
      <c r="AZ326" s="88" t="n">
        <f aca="false">IF(OR($C326="01-09",$C326="10-14"),"",100%)</f>
        <v>1</v>
      </c>
      <c r="BA326" s="39" t="str">
        <f aca="false">IF(OR(SUM($AM326)=0,$C326="01-09",$C326="10-14"),"",$AM326*$AZ326)</f>
        <v/>
      </c>
    </row>
    <row r="327" customFormat="false" ht="15" hidden="false" customHeight="false" outlineLevel="0" collapsed="false">
      <c r="A327" s="0" t="str">
        <f aca="false">INDEX(Prioritization!$D:$D,MATCH($B327,Prioritization!$A:$A,0))</f>
        <v>INVALID</v>
      </c>
      <c r="B327" s="0" t="s">
        <v>220</v>
      </c>
      <c r="C327" s="0" t="s">
        <v>363</v>
      </c>
      <c r="D327" s="0" t="s">
        <v>30</v>
      </c>
      <c r="E327" s="0" t="str">
        <f aca="false">$B327&amp;"|"&amp;$C327&amp;"|"&amp;$D327</f>
        <v>Phalombe District [AZyWpGzhcaA]|01-09|Female</v>
      </c>
      <c r="F327" s="88" t="n">
        <f aca="false">IF(LEFT($B327,4)="_Mil","",INDEX(Cascade!$AA:$AA,MATCH($E327,Cascade!$E:$E,0)))</f>
        <v>1930</v>
      </c>
      <c r="G327" s="10" t="n">
        <f aca="false">INDEX(Cascade!$BH:$BH,MATCH($E327,Cascade!$E:$E,0))</f>
        <v>0</v>
      </c>
      <c r="H327" s="10" t="str">
        <f aca="false">IF(OR($C327="01-09",$D327="Male"),"",INDEX(PMTCT!$AC:$AC,MATCH($E327,PMTCT!$E:$E,0)))</f>
        <v/>
      </c>
      <c r="I327" s="10" t="str">
        <f aca="false">IF(OR($C327="01-09",$D327="Male"),"",INDEX(PMTCT!$AS:$AS,MATCH($E327,PMTCT!$E:$E,0)))</f>
        <v/>
      </c>
      <c r="J327" s="10" t="str">
        <f aca="false">INDEX(TB!$P:$P,MATCH($E327,TB!$E:$E,0))</f>
        <v/>
      </c>
      <c r="K327" s="10" t="str">
        <f aca="false">IF(OR($C327="01-09",$C327="10-14",$D327="Female"),"",INDEX(VMMC!$AA:$AA,MATCH($E327,VMMC!$E:$E,0)))</f>
        <v/>
      </c>
      <c r="L327" s="10" t="n">
        <f aca="false">SUM($G327)-SUM($H327:$K327)</f>
        <v>0</v>
      </c>
      <c r="M327" s="88" t="str">
        <f aca="false">IF(OR($C327="01-09",$D327="Male",AND(SUM($G327)=0,SUM($H327)=0)),"",SUM($H327)/SUM($G327))</f>
        <v/>
      </c>
      <c r="N327" s="88" t="str">
        <f aca="false">IF(OR($C327="01-09",$D327="Male",AND(SUM($G327)=0,SUM($I327)=0)),"",SUM($I327)/SUM($G327))</f>
        <v/>
      </c>
      <c r="O327" s="88" t="str">
        <f aca="false">IF(AND(SUM($G327)=0,SUM($J327)=0),"",SUM($J327)/SUM($G327))</f>
        <v/>
      </c>
      <c r="P327" s="88" t="str">
        <f aca="false">IF(OR($C327="01-09",$C327="10-14",$D327="Female",AND(SUM($G327)=0,SUM($K327)=0)),"",SUM($K327)/SUM($G327))</f>
        <v/>
      </c>
      <c r="Q327" s="88"/>
      <c r="R327" s="88"/>
      <c r="S327" s="88"/>
      <c r="T327" s="88"/>
      <c r="U327" s="88"/>
      <c r="V327" s="88" t="str">
        <f aca="false">IF(SUM($G327)=0,"",SUM($M327:$U327))</f>
        <v/>
      </c>
      <c r="W327" s="88"/>
      <c r="X327" s="39" t="str">
        <f aca="false">IF(OR(SUM($G327)=0,SUM($Q327)=0),"",ROUND(SUM($G327)*SUM($Q327),0))</f>
        <v/>
      </c>
      <c r="Y327" s="39" t="str">
        <f aca="false">IF(SUM($X327)=0,"",IF(SUM($W327)=0,"ENTER YIELD",ROUND($X327/$W327,0)-$X327))</f>
        <v/>
      </c>
      <c r="Z327" s="88"/>
      <c r="AA327" s="39" t="str">
        <f aca="false">IF(OR(SUM($G327)=0,SUM($R327)=0),"",ROUND(SUM($G327)*SUM($R327),0))</f>
        <v/>
      </c>
      <c r="AB327" s="39" t="str">
        <f aca="false">IF(SUM($AA327)=0,"",IF(SUM($Z327)=0,"ENTER YIELD",ROUND($AA327/$Z327,0)-$AA327))</f>
        <v/>
      </c>
      <c r="AC327" s="88"/>
      <c r="AD327" s="39" t="str">
        <f aca="false">IF(OR(SUM($G327)=0,SUM($S327)=0),"",ROUND(SUM($G327)*SUM($S327),0))</f>
        <v/>
      </c>
      <c r="AE327" s="39" t="str">
        <f aca="false">IF(SUM($AD327)=0,"",IF(SUM($AC327)=0,"ENTER YIELD",ROUND($AD327/$AC327,0)-$AD327))</f>
        <v/>
      </c>
      <c r="AF327" s="88"/>
      <c r="AG327" s="39" t="str">
        <f aca="false">IF(OR(SUM($G327)=0,SUM($T327)=0),"",ROUND(SUM($G327)*SUM($T327),0))</f>
        <v/>
      </c>
      <c r="AH327" s="39" t="str">
        <f aca="false">IF(SUM($AG327)=0,"",IF(SUM($AF327)=0,"ENTER YIELD",ROUND($AG327/$AF327,0)-$AG327))</f>
        <v/>
      </c>
      <c r="AI327" s="88"/>
      <c r="AJ327" s="39" t="str">
        <f aca="false">IF(OR(SUM($G327)=0,SUM($U327)=0),"",ROUND(SUM($G327)*SUM($U327),0))</f>
        <v/>
      </c>
      <c r="AK327" s="39" t="str">
        <f aca="false">IF(SUM($AJ327)=0,"",IF(SUM($AI327)=0,"ENTER YIELD",ROUND($AJ327/$AI327,0)-$AJ327))</f>
        <v/>
      </c>
      <c r="AL327" s="10" t="str">
        <f aca="false">IF(SUM($G327)=0,"",$G327)</f>
        <v/>
      </c>
      <c r="AM327" s="10" t="str">
        <f aca="false">IFERROR(1/(1/SUM($H327:$K327,$X327,$AA327,$AD327,$AG327,$AJ327)),"")</f>
        <v/>
      </c>
      <c r="AN327" s="10" t="str">
        <f aca="false">IF(AND(SUM($AM327)=0,SUM($AL327)=0),"",$AM327-$AL327)</f>
        <v/>
      </c>
      <c r="AO327" s="10" t="str">
        <f aca="false">IF(OR($C327="01-09",$D327="Male"),"",INDEX(PMTCT!$AD:$AD,MATCH($E327,PMTCT!$E:$E,0)))</f>
        <v/>
      </c>
      <c r="AP327" s="10" t="str">
        <f aca="false">IF(OR($C327="01-09",$D327="Male"),"",INDEX(PMTCT!$AT:$AT,MATCH($E327,PMTCT!$E:$E,0)))</f>
        <v/>
      </c>
      <c r="AQ327" s="10" t="str">
        <f aca="false">INDEX(TB!$Q:$Q,MATCH($E327,TB!$E:$E,0))</f>
        <v/>
      </c>
      <c r="AR327" s="10" t="str">
        <f aca="false">IF(OR($C327="01-09",$C327="10-14",$D327="Female"),"",INDEX(VMMC!$AB:$AB,MATCH($E327,VMMC!$E:$E,0)))</f>
        <v/>
      </c>
      <c r="AS327" s="10" t="str">
        <f aca="false">IF(OR($C327="01-09",$C327="10-14"),"",INDEX(PrEP!$Q:$Q,MATCH($E327,PrEP!$E:$E,0)))</f>
        <v/>
      </c>
      <c r="AT327" s="10" t="str">
        <f aca="false">IFERROR(1/(1/SUM($Y327,$AB327,$AE327,$AH327,$AK327,$AO327:$AS327)),"")</f>
        <v/>
      </c>
      <c r="AU327" s="10" t="str">
        <f aca="false">IFERROR(1/(1/SUM($AT327,$AM327)),"")</f>
        <v/>
      </c>
      <c r="AV327" s="88" t="str">
        <f aca="false">IF(AND(SUM($AM327)=0,SUM($AU327)=0),"",$AM327/$AU327)</f>
        <v/>
      </c>
      <c r="AW327" s="10"/>
      <c r="AX327" s="88" t="str">
        <f aca="false">IF(OR($C327="01-09",SUM($AW327)=0),"",0%)</f>
        <v/>
      </c>
      <c r="AY327" s="39" t="str">
        <f aca="false">IF(OR($C327="01-09",SUM($AW327)=0),"",ROUND($AW327*(1+$AX327),0))</f>
        <v/>
      </c>
      <c r="AZ327" s="88" t="str">
        <f aca="false">IF(OR($C327="01-09",$C327="10-14"),"",100%)</f>
        <v/>
      </c>
      <c r="BA327" s="39" t="str">
        <f aca="false">IF(OR(SUM($AM327)=0,$C327="01-09",$C327="10-14"),"",$AM327*$AZ327)</f>
        <v/>
      </c>
    </row>
    <row r="328" customFormat="false" ht="15" hidden="false" customHeight="false" outlineLevel="0" collapsed="false">
      <c r="A328" s="0" t="str">
        <f aca="false">INDEX(Prioritization!$D:$D,MATCH($B328,Prioritization!$A:$A,0))</f>
        <v>INVALID</v>
      </c>
      <c r="B328" s="0" t="s">
        <v>220</v>
      </c>
      <c r="C328" s="0" t="s">
        <v>363</v>
      </c>
      <c r="D328" s="0" t="s">
        <v>48</v>
      </c>
      <c r="E328" s="0" t="str">
        <f aca="false">$B328&amp;"|"&amp;$C328&amp;"|"&amp;$D328</f>
        <v>Phalombe District [AZyWpGzhcaA]|01-09|Male</v>
      </c>
      <c r="F328" s="88" t="n">
        <f aca="false">IF(LEFT($B328,4)="_Mil","",INDEX(Cascade!$AA:$AA,MATCH($E328,Cascade!$E:$E,0)))</f>
        <v>517</v>
      </c>
      <c r="G328" s="10" t="n">
        <f aca="false">INDEX(Cascade!$BH:$BH,MATCH($E328,Cascade!$E:$E,0))</f>
        <v>0</v>
      </c>
      <c r="H328" s="10" t="str">
        <f aca="false">IF(OR($C328="01-09",$D328="Male"),"",INDEX(PMTCT!$AC:$AC,MATCH($E328,PMTCT!$E:$E,0)))</f>
        <v/>
      </c>
      <c r="I328" s="10" t="str">
        <f aca="false">IF(OR($C328="01-09",$D328="Male"),"",INDEX(PMTCT!$AS:$AS,MATCH($E328,PMTCT!$E:$E,0)))</f>
        <v/>
      </c>
      <c r="J328" s="10" t="str">
        <f aca="false">INDEX(TB!$P:$P,MATCH($E328,TB!$E:$E,0))</f>
        <v/>
      </c>
      <c r="K328" s="10" t="str">
        <f aca="false">IF(OR($C328="01-09",$C328="10-14",$D328="Female"),"",INDEX(VMMC!$AA:$AA,MATCH($E328,VMMC!$E:$E,0)))</f>
        <v/>
      </c>
      <c r="L328" s="10" t="n">
        <f aca="false">SUM($G328)-SUM($H328:$K328)</f>
        <v>0</v>
      </c>
      <c r="M328" s="88" t="str">
        <f aca="false">IF(OR($C328="01-09",$D328="Male",AND(SUM($G328)=0,SUM($H328)=0)),"",SUM($H328)/SUM($G328))</f>
        <v/>
      </c>
      <c r="N328" s="88" t="str">
        <f aca="false">IF(OR($C328="01-09",$D328="Male",AND(SUM($G328)=0,SUM($I328)=0)),"",SUM($I328)/SUM($G328))</f>
        <v/>
      </c>
      <c r="O328" s="88" t="str">
        <f aca="false">IF(AND(SUM($G328)=0,SUM($J328)=0),"",SUM($J328)/SUM($G328))</f>
        <v/>
      </c>
      <c r="P328" s="88" t="str">
        <f aca="false">IF(OR($C328="01-09",$C328="10-14",$D328="Female",AND(SUM($G328)=0,SUM($K328)=0)),"",SUM($K328)/SUM($G328))</f>
        <v/>
      </c>
      <c r="Q328" s="88"/>
      <c r="R328" s="88"/>
      <c r="S328" s="88"/>
      <c r="T328" s="88"/>
      <c r="U328" s="88"/>
      <c r="V328" s="88" t="str">
        <f aca="false">IF(SUM($G328)=0,"",SUM($M328:$U328))</f>
        <v/>
      </c>
      <c r="W328" s="88"/>
      <c r="X328" s="39" t="str">
        <f aca="false">IF(OR(SUM($G328)=0,SUM($Q328)=0),"",ROUND(SUM($G328)*SUM($Q328),0))</f>
        <v/>
      </c>
      <c r="Y328" s="39" t="str">
        <f aca="false">IF(SUM($X328)=0,"",IF(SUM($W328)=0,"ENTER YIELD",ROUND($X328/$W328,0)-$X328))</f>
        <v/>
      </c>
      <c r="Z328" s="88"/>
      <c r="AA328" s="39" t="str">
        <f aca="false">IF(OR(SUM($G328)=0,SUM($R328)=0),"",ROUND(SUM($G328)*SUM($R328),0))</f>
        <v/>
      </c>
      <c r="AB328" s="39" t="str">
        <f aca="false">IF(SUM($AA328)=0,"",IF(SUM($Z328)=0,"ENTER YIELD",ROUND($AA328/$Z328,0)-$AA328))</f>
        <v/>
      </c>
      <c r="AC328" s="88"/>
      <c r="AD328" s="39" t="str">
        <f aca="false">IF(OR(SUM($G328)=0,SUM($S328)=0),"",ROUND(SUM($G328)*SUM($S328),0))</f>
        <v/>
      </c>
      <c r="AE328" s="39" t="str">
        <f aca="false">IF(SUM($AD328)=0,"",IF(SUM($AC328)=0,"ENTER YIELD",ROUND($AD328/$AC328,0)-$AD328))</f>
        <v/>
      </c>
      <c r="AF328" s="88"/>
      <c r="AG328" s="39" t="str">
        <f aca="false">IF(OR(SUM($G328)=0,SUM($T328)=0),"",ROUND(SUM($G328)*SUM($T328),0))</f>
        <v/>
      </c>
      <c r="AH328" s="39" t="str">
        <f aca="false">IF(SUM($AG328)=0,"",IF(SUM($AF328)=0,"ENTER YIELD",ROUND($AG328/$AF328,0)-$AG328))</f>
        <v/>
      </c>
      <c r="AI328" s="88"/>
      <c r="AJ328" s="39" t="str">
        <f aca="false">IF(OR(SUM($G328)=0,SUM($U328)=0),"",ROUND(SUM($G328)*SUM($U328),0))</f>
        <v/>
      </c>
      <c r="AK328" s="39" t="str">
        <f aca="false">IF(SUM($AJ328)=0,"",IF(SUM($AI328)=0,"ENTER YIELD",ROUND($AJ328/$AI328,0)-$AJ328))</f>
        <v/>
      </c>
      <c r="AL328" s="10" t="str">
        <f aca="false">IF(SUM($G328)=0,"",$G328)</f>
        <v/>
      </c>
      <c r="AM328" s="10" t="str">
        <f aca="false">IFERROR(1/(1/SUM($H328:$K328,$X328,$AA328,$AD328,$AG328,$AJ328)),"")</f>
        <v/>
      </c>
      <c r="AN328" s="10" t="str">
        <f aca="false">IF(AND(SUM($AM328)=0,SUM($AL328)=0),"",$AM328-$AL328)</f>
        <v/>
      </c>
      <c r="AO328" s="10" t="str">
        <f aca="false">IF(OR($C328="01-09",$D328="Male"),"",INDEX(PMTCT!$AD:$AD,MATCH($E328,PMTCT!$E:$E,0)))</f>
        <v/>
      </c>
      <c r="AP328" s="10" t="str">
        <f aca="false">IF(OR($C328="01-09",$D328="Male"),"",INDEX(PMTCT!$AT:$AT,MATCH($E328,PMTCT!$E:$E,0)))</f>
        <v/>
      </c>
      <c r="AQ328" s="10" t="str">
        <f aca="false">INDEX(TB!$Q:$Q,MATCH($E328,TB!$E:$E,0))</f>
        <v/>
      </c>
      <c r="AR328" s="10" t="str">
        <f aca="false">IF(OR($C328="01-09",$C328="10-14",$D328="Female"),"",INDEX(VMMC!$AB:$AB,MATCH($E328,VMMC!$E:$E,0)))</f>
        <v/>
      </c>
      <c r="AS328" s="10" t="str">
        <f aca="false">IF(OR($C328="01-09",$C328="10-14"),"",INDEX(PrEP!$Q:$Q,MATCH($E328,PrEP!$E:$E,0)))</f>
        <v/>
      </c>
      <c r="AT328" s="10" t="str">
        <f aca="false">IFERROR(1/(1/SUM($Y328,$AB328,$AE328,$AH328,$AK328,$AO328:$AS328)),"")</f>
        <v/>
      </c>
      <c r="AU328" s="10" t="str">
        <f aca="false">IFERROR(1/(1/SUM($AT328,$AM328)),"")</f>
        <v/>
      </c>
      <c r="AV328" s="88" t="str">
        <f aca="false">IF(AND(SUM($AM328)=0,SUM($AU328)=0),"",$AM328/$AU328)</f>
        <v/>
      </c>
      <c r="AW328" s="10"/>
      <c r="AX328" s="88" t="str">
        <f aca="false">IF(OR($C328="01-09",SUM($AW328)=0),"",0%)</f>
        <v/>
      </c>
      <c r="AY328" s="39" t="str">
        <f aca="false">IF(OR($C328="01-09",SUM($AW328)=0),"",ROUND($AW328*(1+$AX328),0))</f>
        <v/>
      </c>
      <c r="AZ328" s="88" t="str">
        <f aca="false">IF(OR($C328="01-09",$C328="10-14"),"",100%)</f>
        <v/>
      </c>
      <c r="BA328" s="39" t="str">
        <f aca="false">IF(OR(SUM($AM328)=0,$C328="01-09",$C328="10-14"),"",$AM328*$AZ328)</f>
        <v/>
      </c>
    </row>
    <row r="329" customFormat="false" ht="15" hidden="false" customHeight="false" outlineLevel="0" collapsed="false">
      <c r="A329" s="0" t="str">
        <f aca="false">INDEX(Prioritization!$D:$D,MATCH($B329,Prioritization!$A:$A,0))</f>
        <v>INVALID</v>
      </c>
      <c r="B329" s="0" t="s">
        <v>220</v>
      </c>
      <c r="C329" s="0" t="s">
        <v>364</v>
      </c>
      <c r="D329" s="0" t="s">
        <v>30</v>
      </c>
      <c r="E329" s="0" t="str">
        <f aca="false">$B329&amp;"|"&amp;$C329&amp;"|"&amp;$D329</f>
        <v>Phalombe District [AZyWpGzhcaA]|10-14|Female</v>
      </c>
      <c r="F329" s="88" t="n">
        <f aca="false">IF(LEFT($B329,4)="_Mil","",INDEX(Cascade!$AA:$AA,MATCH($E329,Cascade!$E:$E,0)))</f>
        <v>858</v>
      </c>
      <c r="G329" s="10" t="n">
        <f aca="false">INDEX(Cascade!$BH:$BH,MATCH($E329,Cascade!$E:$E,0))</f>
        <v>-68</v>
      </c>
      <c r="H329" s="10" t="str">
        <f aca="false">IF(OR($C329="01-09",$D329="Male"),"",INDEX(PMTCT!$AC:$AC,MATCH($E329,PMTCT!$E:$E,0)))</f>
        <v>ENTER YIELD RATE</v>
      </c>
      <c r="I329" s="10" t="str">
        <f aca="false">IF(OR($C329="01-09",$D329="Male"),"",INDEX(PMTCT!$AS:$AS,MATCH($E329,PMTCT!$E:$E,0)))</f>
        <v>ENTER YIELD RATE</v>
      </c>
      <c r="J329" s="10" t="str">
        <f aca="false">INDEX(TB!$P:$P,MATCH($E329,TB!$E:$E,0))</f>
        <v>ENTER YIELD RATE</v>
      </c>
      <c r="K329" s="10" t="str">
        <f aca="false">IF(OR($C329="01-09",$C329="10-14",$D329="Female"),"",INDEX(VMMC!$AA:$AA,MATCH($E329,VMMC!$E:$E,0)))</f>
        <v/>
      </c>
      <c r="L329" s="10" t="n">
        <f aca="false">SUM($G329)-SUM($H329:$K329)</f>
        <v>-68</v>
      </c>
      <c r="M329" s="88" t="n">
        <f aca="false">IF(OR($C329="01-09",$D329="Male",AND(SUM($G329)=0,SUM($H329)=0)),"",SUM($H329)/SUM($G329))</f>
        <v>-0</v>
      </c>
      <c r="N329" s="88" t="n">
        <f aca="false">IF(OR($C329="01-09",$D329="Male",AND(SUM($G329)=0,SUM($I329)=0)),"",SUM($I329)/SUM($G329))</f>
        <v>-0</v>
      </c>
      <c r="O329" s="88" t="n">
        <f aca="false">IF(AND(SUM($G329)=0,SUM($J329)=0),"",SUM($J329)/SUM($G329))</f>
        <v>-0</v>
      </c>
      <c r="P329" s="88" t="str">
        <f aca="false">IF(OR($C329="01-09",$C329="10-14",$D329="Female",AND(SUM($G329)=0,SUM($K329)=0)),"",SUM($K329)/SUM($G329))</f>
        <v/>
      </c>
      <c r="Q329" s="88" t="n">
        <v>0.818165767239407</v>
      </c>
      <c r="R329" s="88"/>
      <c r="S329" s="88"/>
      <c r="T329" s="88"/>
      <c r="U329" s="88" t="n">
        <v>0.821929295081645</v>
      </c>
      <c r="V329" s="88" t="n">
        <f aca="false">IF(SUM($G329)=0,"",SUM($M329:$U329))</f>
        <v>1.64009506232105</v>
      </c>
      <c r="W329" s="88"/>
      <c r="X329" s="39" t="n">
        <f aca="false">IF(OR(SUM($G329)=0,SUM($Q329)=0),"",ROUND(SUM($G329)*SUM($Q329),0))</f>
        <v>-56</v>
      </c>
      <c r="Y329" s="39" t="str">
        <f aca="false">IF(SUM($X329)=0,"",IF(SUM($W329)=0,"ENTER YIELD",ROUND($X329/$W329,0)-$X329))</f>
        <v>ENTER YIELD</v>
      </c>
      <c r="Z329" s="88"/>
      <c r="AA329" s="39" t="str">
        <f aca="false">IF(OR(SUM($G329)=0,SUM($R329)=0),"",ROUND(SUM($G329)*SUM($R329),0))</f>
        <v/>
      </c>
      <c r="AB329" s="39" t="str">
        <f aca="false">IF(SUM($AA329)=0,"",IF(SUM($Z329)=0,"ENTER YIELD",ROUND($AA329/$Z329,0)-$AA329))</f>
        <v/>
      </c>
      <c r="AC329" s="88"/>
      <c r="AD329" s="39" t="str">
        <f aca="false">IF(OR(SUM($G329)=0,SUM($S329)=0),"",ROUND(SUM($G329)*SUM($S329),0))</f>
        <v/>
      </c>
      <c r="AE329" s="39" t="str">
        <f aca="false">IF(SUM($AD329)=0,"",IF(SUM($AC329)=0,"ENTER YIELD",ROUND($AD329/$AC329,0)-$AD329))</f>
        <v/>
      </c>
      <c r="AF329" s="88"/>
      <c r="AG329" s="39" t="str">
        <f aca="false">IF(OR(SUM($G329)=0,SUM($T329)=0),"",ROUND(SUM($G329)*SUM($T329),0))</f>
        <v/>
      </c>
      <c r="AH329" s="39" t="str">
        <f aca="false">IF(SUM($AG329)=0,"",IF(SUM($AF329)=0,"ENTER YIELD",ROUND($AG329/$AF329,0)-$AG329))</f>
        <v/>
      </c>
      <c r="AI329" s="88" t="n">
        <v>0.0876421765424311</v>
      </c>
      <c r="AJ329" s="39" t="n">
        <f aca="false">IF(OR(SUM($G329)=0,SUM($U329)=0),"",ROUND(SUM($G329)*SUM($U329),0))</f>
        <v>-56</v>
      </c>
      <c r="AK329" s="39" t="n">
        <f aca="false">IF(SUM($AJ329)=0,"",IF(SUM($AI329)=0,"ENTER YIELD",ROUND($AJ329/$AI329,0)-$AJ329))</f>
        <v>-583</v>
      </c>
      <c r="AL329" s="10" t="n">
        <f aca="false">IF(SUM($G329)=0,"",$G329)</f>
        <v>-68</v>
      </c>
      <c r="AM329" s="10" t="n">
        <f aca="false">IFERROR(1/(1/SUM($H329:$K329,$X329,$AA329,$AD329,$AG329,$AJ329)),"")</f>
        <v>-112</v>
      </c>
      <c r="AN329" s="10" t="n">
        <f aca="false">IF(AND(SUM($AM329)=0,SUM($AL329)=0),"",$AM329-$AL329)</f>
        <v>-44</v>
      </c>
      <c r="AO329" s="10" t="n">
        <f aca="false">IF(OR($C329="01-09",$D329="Male"),"",INDEX(PMTCT!$AD:$AD,MATCH($E329,PMTCT!$E:$E,0)))</f>
        <v>1</v>
      </c>
      <c r="AP329" s="10" t="n">
        <f aca="false">IF(OR($C329="01-09",$D329="Male"),"",INDEX(PMTCT!$AT:$AT,MATCH($E329,PMTCT!$E:$E,0)))</f>
        <v>1</v>
      </c>
      <c r="AQ329" s="10" t="n">
        <f aca="false">INDEX(TB!$Q:$Q,MATCH($E329,TB!$E:$E,0))</f>
        <v>1</v>
      </c>
      <c r="AR329" s="10" t="str">
        <f aca="false">IF(OR($C329="01-09",$C329="10-14",$D329="Female"),"",INDEX(VMMC!$AB:$AB,MATCH($E329,VMMC!$E:$E,0)))</f>
        <v/>
      </c>
      <c r="AS329" s="10" t="str">
        <f aca="false">IF(OR($C329="01-09",$C329="10-14"),"",INDEX(PrEP!$Q:$Q,MATCH($E329,PrEP!$E:$E,0)))</f>
        <v/>
      </c>
      <c r="AT329" s="10" t="n">
        <f aca="false">IFERROR(1/(1/SUM($Y329,$AB329,$AE329,$AH329,$AK329,$AO329:$AS329)),"")</f>
        <v>-580</v>
      </c>
      <c r="AU329" s="10" t="n">
        <f aca="false">IFERROR(1/(1/SUM($AT329,$AM329)),"")</f>
        <v>-692</v>
      </c>
      <c r="AV329" s="88" t="n">
        <f aca="false">IF(AND(SUM($AM329)=0,SUM($AU329)=0),"",$AM329/$AU329)</f>
        <v>0.161849710982659</v>
      </c>
      <c r="AW329" s="10"/>
      <c r="AX329" s="88" t="str">
        <f aca="false">IF(OR($C329="01-09",SUM($AW329)=0),"",0%)</f>
        <v/>
      </c>
      <c r="AY329" s="39" t="str">
        <f aca="false">IF(OR($C329="01-09",SUM($AW329)=0),"",ROUND($AW329*(1+$AX329),0))</f>
        <v/>
      </c>
      <c r="AZ329" s="88" t="str">
        <f aca="false">IF(OR($C329="01-09",$C329="10-14"),"",100%)</f>
        <v/>
      </c>
      <c r="BA329" s="39" t="str">
        <f aca="false">IF(OR(SUM($AM329)=0,$C329="01-09",$C329="10-14"),"",$AM329*$AZ329)</f>
        <v/>
      </c>
    </row>
    <row r="330" customFormat="false" ht="15" hidden="false" customHeight="false" outlineLevel="0" collapsed="false">
      <c r="A330" s="0" t="str">
        <f aca="false">INDEX(Prioritization!$D:$D,MATCH($B330,Prioritization!$A:$A,0))</f>
        <v>INVALID</v>
      </c>
      <c r="B330" s="0" t="s">
        <v>220</v>
      </c>
      <c r="C330" s="0" t="s">
        <v>364</v>
      </c>
      <c r="D330" s="0" t="s">
        <v>48</v>
      </c>
      <c r="E330" s="0" t="str">
        <f aca="false">$B330&amp;"|"&amp;$C330&amp;"|"&amp;$D330</f>
        <v>Phalombe District [AZyWpGzhcaA]|10-14|Male</v>
      </c>
      <c r="F330" s="88" t="n">
        <f aca="false">IF(LEFT($B330,4)="_Mil","",INDEX(Cascade!$AA:$AA,MATCH($E330,Cascade!$E:$E,0)))</f>
        <v>1896</v>
      </c>
      <c r="G330" s="10" t="n">
        <f aca="false">INDEX(Cascade!$BH:$BH,MATCH($E330,Cascade!$E:$E,0))</f>
        <v>-88</v>
      </c>
      <c r="H330" s="10" t="str">
        <f aca="false">IF(OR($C330="01-09",$D330="Male"),"",INDEX(PMTCT!$AC:$AC,MATCH($E330,PMTCT!$E:$E,0)))</f>
        <v/>
      </c>
      <c r="I330" s="10" t="str">
        <f aca="false">IF(OR($C330="01-09",$D330="Male"),"",INDEX(PMTCT!$AS:$AS,MATCH($E330,PMTCT!$E:$E,0)))</f>
        <v/>
      </c>
      <c r="J330" s="10" t="str">
        <f aca="false">INDEX(TB!$P:$P,MATCH($E330,TB!$E:$E,0))</f>
        <v>ENTER YIELD RATE</v>
      </c>
      <c r="K330" s="10" t="str">
        <f aca="false">IF(OR($C330="01-09",$C330="10-14",$D330="Female"),"",INDEX(VMMC!$AA:$AA,MATCH($E330,VMMC!$E:$E,0)))</f>
        <v/>
      </c>
      <c r="L330" s="10" t="n">
        <f aca="false">SUM($G330)-SUM($H330:$K330)</f>
        <v>-88</v>
      </c>
      <c r="M330" s="88" t="str">
        <f aca="false">IF(OR($C330="01-09",$D330="Male",AND(SUM($G330)=0,SUM($H330)=0)),"",SUM($H330)/SUM($G330))</f>
        <v/>
      </c>
      <c r="N330" s="88" t="str">
        <f aca="false">IF(OR($C330="01-09",$D330="Male",AND(SUM($G330)=0,SUM($I330)=0)),"",SUM($I330)/SUM($G330))</f>
        <v/>
      </c>
      <c r="O330" s="88" t="n">
        <f aca="false">IF(AND(SUM($G330)=0,SUM($J330)=0),"",SUM($J330)/SUM($G330))</f>
        <v>-0</v>
      </c>
      <c r="P330" s="88" t="str">
        <f aca="false">IF(OR($C330="01-09",$C330="10-14",$D330="Female",AND(SUM($G330)=0,SUM($K330)=0)),"",SUM($K330)/SUM($G330))</f>
        <v/>
      </c>
      <c r="Q330" s="88" t="n">
        <v>0.469771103234962</v>
      </c>
      <c r="R330" s="88"/>
      <c r="S330" s="88"/>
      <c r="T330" s="88"/>
      <c r="U330" s="88" t="n">
        <v>0.845544209470972</v>
      </c>
      <c r="V330" s="88" t="n">
        <f aca="false">IF(SUM($G330)=0,"",SUM($M330:$U330))</f>
        <v>1.31531531270593</v>
      </c>
      <c r="W330" s="88"/>
      <c r="X330" s="39" t="n">
        <f aca="false">IF(OR(SUM($G330)=0,SUM($Q330)=0),"",ROUND(SUM($G330)*SUM($Q330),0))</f>
        <v>-41</v>
      </c>
      <c r="Y330" s="39" t="str">
        <f aca="false">IF(SUM($X330)=0,"",IF(SUM($W330)=0,"ENTER YIELD",ROUND($X330/$W330,0)-$X330))</f>
        <v>ENTER YIELD</v>
      </c>
      <c r="Z330" s="88"/>
      <c r="AA330" s="39" t="str">
        <f aca="false">IF(OR(SUM($G330)=0,SUM($R330)=0),"",ROUND(SUM($G330)*SUM($R330),0))</f>
        <v/>
      </c>
      <c r="AB330" s="39" t="str">
        <f aca="false">IF(SUM($AA330)=0,"",IF(SUM($Z330)=0,"ENTER YIELD",ROUND($AA330/$Z330,0)-$AA330))</f>
        <v/>
      </c>
      <c r="AC330" s="88"/>
      <c r="AD330" s="39" t="str">
        <f aca="false">IF(OR(SUM($G330)=0,SUM($S330)=0),"",ROUND(SUM($G330)*SUM($S330),0))</f>
        <v/>
      </c>
      <c r="AE330" s="39" t="str">
        <f aca="false">IF(SUM($AD330)=0,"",IF(SUM($AC330)=0,"ENTER YIELD",ROUND($AD330/$AC330,0)-$AD330))</f>
        <v/>
      </c>
      <c r="AF330" s="88"/>
      <c r="AG330" s="39" t="str">
        <f aca="false">IF(OR(SUM($G330)=0,SUM($T330)=0),"",ROUND(SUM($G330)*SUM($T330),0))</f>
        <v/>
      </c>
      <c r="AH330" s="39" t="str">
        <f aca="false">IF(SUM($AG330)=0,"",IF(SUM($AF330)=0,"ENTER YIELD",ROUND($AG330/$AF330,0)-$AG330))</f>
        <v/>
      </c>
      <c r="AI330" s="88" t="n">
        <v>0.821070430567488</v>
      </c>
      <c r="AJ330" s="39" t="n">
        <f aca="false">IF(OR(SUM($G330)=0,SUM($U330)=0),"",ROUND(SUM($G330)*SUM($U330),0))</f>
        <v>-74</v>
      </c>
      <c r="AK330" s="39" t="n">
        <f aca="false">IF(SUM($AJ330)=0,"",IF(SUM($AI330)=0,"ENTER YIELD",ROUND($AJ330/$AI330,0)-$AJ330))</f>
        <v>-16</v>
      </c>
      <c r="AL330" s="10" t="n">
        <f aca="false">IF(SUM($G330)=0,"",$G330)</f>
        <v>-88</v>
      </c>
      <c r="AM330" s="10" t="n">
        <f aca="false">IFERROR(1/(1/SUM($H330:$K330,$X330,$AA330,$AD330,$AG330,$AJ330)),"")</f>
        <v>-115</v>
      </c>
      <c r="AN330" s="10" t="n">
        <f aca="false">IF(AND(SUM($AM330)=0,SUM($AL330)=0),"",$AM330-$AL330)</f>
        <v>-27</v>
      </c>
      <c r="AO330" s="10" t="str">
        <f aca="false">IF(OR($C330="01-09",$D330="Male"),"",INDEX(PMTCT!$AD:$AD,MATCH($E330,PMTCT!$E:$E,0)))</f>
        <v/>
      </c>
      <c r="AP330" s="10" t="str">
        <f aca="false">IF(OR($C330="01-09",$D330="Male"),"",INDEX(PMTCT!$AT:$AT,MATCH($E330,PMTCT!$E:$E,0)))</f>
        <v/>
      </c>
      <c r="AQ330" s="10" t="n">
        <f aca="false">INDEX(TB!$Q:$Q,MATCH($E330,TB!$E:$E,0))</f>
        <v>1</v>
      </c>
      <c r="AR330" s="10" t="str">
        <f aca="false">IF(OR($C330="01-09",$C330="10-14",$D330="Female"),"",INDEX(VMMC!$AB:$AB,MATCH($E330,VMMC!$E:$E,0)))</f>
        <v/>
      </c>
      <c r="AS330" s="10" t="str">
        <f aca="false">IF(OR($C330="01-09",$C330="10-14"),"",INDEX(PrEP!$Q:$Q,MATCH($E330,PrEP!$E:$E,0)))</f>
        <v/>
      </c>
      <c r="AT330" s="10" t="n">
        <f aca="false">IFERROR(1/(1/SUM($Y330,$AB330,$AE330,$AH330,$AK330,$AO330:$AS330)),"")</f>
        <v>-15</v>
      </c>
      <c r="AU330" s="10" t="n">
        <f aca="false">IFERROR(1/(1/SUM($AT330,$AM330)),"")</f>
        <v>-130</v>
      </c>
      <c r="AV330" s="88" t="n">
        <f aca="false">IF(AND(SUM($AM330)=0,SUM($AU330)=0),"",$AM330/$AU330)</f>
        <v>0.884615384615385</v>
      </c>
      <c r="AW330" s="10"/>
      <c r="AX330" s="88" t="str">
        <f aca="false">IF(OR($C330="01-09",SUM($AW330)=0),"",0%)</f>
        <v/>
      </c>
      <c r="AY330" s="39" t="str">
        <f aca="false">IF(OR($C330="01-09",SUM($AW330)=0),"",ROUND($AW330*(1+$AX330),0))</f>
        <v/>
      </c>
      <c r="AZ330" s="88" t="str">
        <f aca="false">IF(OR($C330="01-09",$C330="10-14"),"",100%)</f>
        <v/>
      </c>
      <c r="BA330" s="39" t="str">
        <f aca="false">IF(OR(SUM($AM330)=0,$C330="01-09",$C330="10-14"),"",$AM330*$AZ330)</f>
        <v/>
      </c>
    </row>
    <row r="331" customFormat="false" ht="15" hidden="false" customHeight="false" outlineLevel="0" collapsed="false">
      <c r="A331" s="0" t="str">
        <f aca="false">INDEX(Prioritization!$D:$D,MATCH($B331,Prioritization!$A:$A,0))</f>
        <v>INVALID</v>
      </c>
      <c r="B331" s="0" t="s">
        <v>220</v>
      </c>
      <c r="C331" s="0" t="s">
        <v>365</v>
      </c>
      <c r="D331" s="0" t="s">
        <v>30</v>
      </c>
      <c r="E331" s="0" t="str">
        <f aca="false">$B331&amp;"|"&amp;$C331&amp;"|"&amp;$D331</f>
        <v>Phalombe District [AZyWpGzhcaA]|15-24|Female</v>
      </c>
      <c r="F331" s="88" t="n">
        <f aca="false">IF(LEFT($B331,4)="_Mil","",INDEX(Cascade!$AA:$AA,MATCH($E331,Cascade!$E:$E,0)))</f>
        <v>515</v>
      </c>
      <c r="G331" s="10" t="n">
        <f aca="false">INDEX(Cascade!$BH:$BH,MATCH($E331,Cascade!$E:$E,0))</f>
        <v>0</v>
      </c>
      <c r="H331" s="10" t="str">
        <f aca="false">IF(OR($C331="01-09",$D331="Male"),"",INDEX(PMTCT!$AC:$AC,MATCH($E331,PMTCT!$E:$E,0)))</f>
        <v/>
      </c>
      <c r="I331" s="10" t="str">
        <f aca="false">IF(OR($C331="01-09",$D331="Male"),"",INDEX(PMTCT!$AS:$AS,MATCH($E331,PMTCT!$E:$E,0)))</f>
        <v/>
      </c>
      <c r="J331" s="10" t="str">
        <f aca="false">INDEX(TB!$P:$P,MATCH($E331,TB!$E:$E,0))</f>
        <v/>
      </c>
      <c r="K331" s="10" t="str">
        <f aca="false">IF(OR($C331="01-09",$C331="10-14",$D331="Female"),"",INDEX(VMMC!$AA:$AA,MATCH($E331,VMMC!$E:$E,0)))</f>
        <v/>
      </c>
      <c r="L331" s="10" t="n">
        <f aca="false">SUM($G331)-SUM($H331:$K331)</f>
        <v>0</v>
      </c>
      <c r="M331" s="88" t="str">
        <f aca="false">IF(OR($C331="01-09",$D331="Male",AND(SUM($G331)=0,SUM($H331)=0)),"",SUM($H331)/SUM($G331))</f>
        <v/>
      </c>
      <c r="N331" s="88" t="str">
        <f aca="false">IF(OR($C331="01-09",$D331="Male",AND(SUM($G331)=0,SUM($I331)=0)),"",SUM($I331)/SUM($G331))</f>
        <v/>
      </c>
      <c r="O331" s="88" t="str">
        <f aca="false">IF(AND(SUM($G331)=0,SUM($J331)=0),"",SUM($J331)/SUM($G331))</f>
        <v/>
      </c>
      <c r="P331" s="88" t="str">
        <f aca="false">IF(OR($C331="01-09",$C331="10-14",$D331="Female",AND(SUM($G331)=0,SUM($K331)=0)),"",SUM($K331)/SUM($G331))</f>
        <v/>
      </c>
      <c r="Q331" s="88"/>
      <c r="R331" s="88"/>
      <c r="S331" s="88"/>
      <c r="T331" s="88"/>
      <c r="U331" s="88"/>
      <c r="V331" s="88" t="str">
        <f aca="false">IF(SUM($G331)=0,"",SUM($M331:$U331))</f>
        <v/>
      </c>
      <c r="W331" s="88"/>
      <c r="X331" s="39" t="str">
        <f aca="false">IF(OR(SUM($G331)=0,SUM($Q331)=0),"",ROUND(SUM($G331)*SUM($Q331),0))</f>
        <v/>
      </c>
      <c r="Y331" s="39" t="str">
        <f aca="false">IF(SUM($X331)=0,"",IF(SUM($W331)=0,"ENTER YIELD",ROUND($X331/$W331,0)-$X331))</f>
        <v/>
      </c>
      <c r="Z331" s="88"/>
      <c r="AA331" s="39" t="str">
        <f aca="false">IF(OR(SUM($G331)=0,SUM($R331)=0),"",ROUND(SUM($G331)*SUM($R331),0))</f>
        <v/>
      </c>
      <c r="AB331" s="39" t="str">
        <f aca="false">IF(SUM($AA331)=0,"",IF(SUM($Z331)=0,"ENTER YIELD",ROUND($AA331/$Z331,0)-$AA331))</f>
        <v/>
      </c>
      <c r="AC331" s="88"/>
      <c r="AD331" s="39" t="str">
        <f aca="false">IF(OR(SUM($G331)=0,SUM($S331)=0),"",ROUND(SUM($G331)*SUM($S331),0))</f>
        <v/>
      </c>
      <c r="AE331" s="39" t="str">
        <f aca="false">IF(SUM($AD331)=0,"",IF(SUM($AC331)=0,"ENTER YIELD",ROUND($AD331/$AC331,0)-$AD331))</f>
        <v/>
      </c>
      <c r="AF331" s="88"/>
      <c r="AG331" s="39" t="str">
        <f aca="false">IF(OR(SUM($G331)=0,SUM($T331)=0),"",ROUND(SUM($G331)*SUM($T331),0))</f>
        <v/>
      </c>
      <c r="AH331" s="39" t="str">
        <f aca="false">IF(SUM($AG331)=0,"",IF(SUM($AF331)=0,"ENTER YIELD",ROUND($AG331/$AF331,0)-$AG331))</f>
        <v/>
      </c>
      <c r="AI331" s="88"/>
      <c r="AJ331" s="39" t="str">
        <f aca="false">IF(OR(SUM($G331)=0,SUM($U331)=0),"",ROUND(SUM($G331)*SUM($U331),0))</f>
        <v/>
      </c>
      <c r="AK331" s="39" t="str">
        <f aca="false">IF(SUM($AJ331)=0,"",IF(SUM($AI331)=0,"ENTER YIELD",ROUND($AJ331/$AI331,0)-$AJ331))</f>
        <v/>
      </c>
      <c r="AL331" s="10" t="str">
        <f aca="false">IF(SUM($G331)=0,"",$G331)</f>
        <v/>
      </c>
      <c r="AM331" s="10" t="str">
        <f aca="false">IFERROR(1/(1/SUM($H331:$K331,$X331,$AA331,$AD331,$AG331,$AJ331)),"")</f>
        <v/>
      </c>
      <c r="AN331" s="10" t="str">
        <f aca="false">IF(AND(SUM($AM331)=0,SUM($AL331)=0),"",$AM331-$AL331)</f>
        <v/>
      </c>
      <c r="AO331" s="10" t="str">
        <f aca="false">IF(OR($C331="01-09",$D331="Male"),"",INDEX(PMTCT!$AD:$AD,MATCH($E331,PMTCT!$E:$E,0)))</f>
        <v/>
      </c>
      <c r="AP331" s="10" t="str">
        <f aca="false">IF(OR($C331="01-09",$D331="Male"),"",INDEX(PMTCT!$AT:$AT,MATCH($E331,PMTCT!$E:$E,0)))</f>
        <v/>
      </c>
      <c r="AQ331" s="10" t="str">
        <f aca="false">INDEX(TB!$Q:$Q,MATCH($E331,TB!$E:$E,0))</f>
        <v/>
      </c>
      <c r="AR331" s="10" t="str">
        <f aca="false">IF(OR($C331="01-09",$C331="10-14",$D331="Female"),"",INDEX(VMMC!$AB:$AB,MATCH($E331,VMMC!$E:$E,0)))</f>
        <v/>
      </c>
      <c r="AS331" s="10" t="str">
        <f aca="false">IF(OR($C331="01-09",$C331="10-14"),"",INDEX(PrEP!$Q:$Q,MATCH($E331,PrEP!$E:$E,0)))</f>
        <v/>
      </c>
      <c r="AT331" s="10" t="str">
        <f aca="false">IFERROR(1/(1/SUM($Y331,$AB331,$AE331,$AH331,$AK331,$AO331:$AS331)),"")</f>
        <v/>
      </c>
      <c r="AU331" s="10" t="str">
        <f aca="false">IFERROR(1/(1/SUM($AT331,$AM331)),"")</f>
        <v/>
      </c>
      <c r="AV331" s="88" t="str">
        <f aca="false">IF(AND(SUM($AM331)=0,SUM($AU331)=0),"",$AM331/$AU331)</f>
        <v/>
      </c>
      <c r="AW331" s="10"/>
      <c r="AX331" s="88" t="str">
        <f aca="false">IF(OR($C331="01-09",SUM($AW331)=0),"",0%)</f>
        <v/>
      </c>
      <c r="AY331" s="39" t="str">
        <f aca="false">IF(OR($C331="01-09",SUM($AW331)=0),"",ROUND($AW331*(1+$AX331),0))</f>
        <v/>
      </c>
      <c r="AZ331" s="88" t="n">
        <f aca="false">IF(OR($C331="01-09",$C331="10-14"),"",100%)</f>
        <v>1</v>
      </c>
      <c r="BA331" s="39" t="str">
        <f aca="false">IF(OR(SUM($AM331)=0,$C331="01-09",$C331="10-14"),"",$AM331*$AZ331)</f>
        <v/>
      </c>
    </row>
    <row r="332" customFormat="false" ht="15" hidden="false" customHeight="false" outlineLevel="0" collapsed="false">
      <c r="A332" s="0" t="str">
        <f aca="false">INDEX(Prioritization!$D:$D,MATCH($B332,Prioritization!$A:$A,0))</f>
        <v>INVALID</v>
      </c>
      <c r="B332" s="0" t="s">
        <v>220</v>
      </c>
      <c r="C332" s="0" t="s">
        <v>365</v>
      </c>
      <c r="D332" s="0" t="s">
        <v>48</v>
      </c>
      <c r="E332" s="0" t="str">
        <f aca="false">$B332&amp;"|"&amp;$C332&amp;"|"&amp;$D332</f>
        <v>Phalombe District [AZyWpGzhcaA]|15-24|Male</v>
      </c>
      <c r="F332" s="88" t="n">
        <f aca="false">IF(LEFT($B332,4)="_Mil","",INDEX(Cascade!$AA:$AA,MATCH($E332,Cascade!$E:$E,0)))</f>
        <v>1031</v>
      </c>
      <c r="G332" s="10" t="n">
        <f aca="false">INDEX(Cascade!$BH:$BH,MATCH($E332,Cascade!$E:$E,0))</f>
        <v>0</v>
      </c>
      <c r="H332" s="10" t="str">
        <f aca="false">IF(OR($C332="01-09",$D332="Male"),"",INDEX(PMTCT!$AC:$AC,MATCH($E332,PMTCT!$E:$E,0)))</f>
        <v/>
      </c>
      <c r="I332" s="10" t="str">
        <f aca="false">IF(OR($C332="01-09",$D332="Male"),"",INDEX(PMTCT!$AS:$AS,MATCH($E332,PMTCT!$E:$E,0)))</f>
        <v/>
      </c>
      <c r="J332" s="10" t="str">
        <f aca="false">INDEX(TB!$P:$P,MATCH($E332,TB!$E:$E,0))</f>
        <v/>
      </c>
      <c r="K332" s="10" t="str">
        <f aca="false">IF(OR($C332="01-09",$C332="10-14",$D332="Female"),"",INDEX(VMMC!$AA:$AA,MATCH($E332,VMMC!$E:$E,0)))</f>
        <v/>
      </c>
      <c r="L332" s="10" t="n">
        <f aca="false">SUM($G332)-SUM($H332:$K332)</f>
        <v>0</v>
      </c>
      <c r="M332" s="88" t="str">
        <f aca="false">IF(OR($C332="01-09",$D332="Male",AND(SUM($G332)=0,SUM($H332)=0)),"",SUM($H332)/SUM($G332))</f>
        <v/>
      </c>
      <c r="N332" s="88" t="str">
        <f aca="false">IF(OR($C332="01-09",$D332="Male",AND(SUM($G332)=0,SUM($I332)=0)),"",SUM($I332)/SUM($G332))</f>
        <v/>
      </c>
      <c r="O332" s="88" t="str">
        <f aca="false">IF(AND(SUM($G332)=0,SUM($J332)=0),"",SUM($J332)/SUM($G332))</f>
        <v/>
      </c>
      <c r="P332" s="88" t="str">
        <f aca="false">IF(OR($C332="01-09",$C332="10-14",$D332="Female",AND(SUM($G332)=0,SUM($K332)=0)),"",SUM($K332)/SUM($G332))</f>
        <v/>
      </c>
      <c r="Q332" s="88"/>
      <c r="R332" s="88"/>
      <c r="S332" s="88"/>
      <c r="T332" s="88"/>
      <c r="U332" s="88"/>
      <c r="V332" s="88" t="str">
        <f aca="false">IF(SUM($G332)=0,"",SUM($M332:$U332))</f>
        <v/>
      </c>
      <c r="W332" s="88"/>
      <c r="X332" s="39" t="str">
        <f aca="false">IF(OR(SUM($G332)=0,SUM($Q332)=0),"",ROUND(SUM($G332)*SUM($Q332),0))</f>
        <v/>
      </c>
      <c r="Y332" s="39" t="str">
        <f aca="false">IF(SUM($X332)=0,"",IF(SUM($W332)=0,"ENTER YIELD",ROUND($X332/$W332,0)-$X332))</f>
        <v/>
      </c>
      <c r="Z332" s="88"/>
      <c r="AA332" s="39" t="str">
        <f aca="false">IF(OR(SUM($G332)=0,SUM($R332)=0),"",ROUND(SUM($G332)*SUM($R332),0))</f>
        <v/>
      </c>
      <c r="AB332" s="39" t="str">
        <f aca="false">IF(SUM($AA332)=0,"",IF(SUM($Z332)=0,"ENTER YIELD",ROUND($AA332/$Z332,0)-$AA332))</f>
        <v/>
      </c>
      <c r="AC332" s="88"/>
      <c r="AD332" s="39" t="str">
        <f aca="false">IF(OR(SUM($G332)=0,SUM($S332)=0),"",ROUND(SUM($G332)*SUM($S332),0))</f>
        <v/>
      </c>
      <c r="AE332" s="39" t="str">
        <f aca="false">IF(SUM($AD332)=0,"",IF(SUM($AC332)=0,"ENTER YIELD",ROUND($AD332/$AC332,0)-$AD332))</f>
        <v/>
      </c>
      <c r="AF332" s="88"/>
      <c r="AG332" s="39" t="str">
        <f aca="false">IF(OR(SUM($G332)=0,SUM($T332)=0),"",ROUND(SUM($G332)*SUM($T332),0))</f>
        <v/>
      </c>
      <c r="AH332" s="39" t="str">
        <f aca="false">IF(SUM($AG332)=0,"",IF(SUM($AF332)=0,"ENTER YIELD",ROUND($AG332/$AF332,0)-$AG332))</f>
        <v/>
      </c>
      <c r="AI332" s="88"/>
      <c r="AJ332" s="39" t="str">
        <f aca="false">IF(OR(SUM($G332)=0,SUM($U332)=0),"",ROUND(SUM($G332)*SUM($U332),0))</f>
        <v/>
      </c>
      <c r="AK332" s="39" t="str">
        <f aca="false">IF(SUM($AJ332)=0,"",IF(SUM($AI332)=0,"ENTER YIELD",ROUND($AJ332/$AI332,0)-$AJ332))</f>
        <v/>
      </c>
      <c r="AL332" s="10" t="str">
        <f aca="false">IF(SUM($G332)=0,"",$G332)</f>
        <v/>
      </c>
      <c r="AM332" s="10" t="str">
        <f aca="false">IFERROR(1/(1/SUM($H332:$K332,$X332,$AA332,$AD332,$AG332,$AJ332)),"")</f>
        <v/>
      </c>
      <c r="AN332" s="10" t="str">
        <f aca="false">IF(AND(SUM($AM332)=0,SUM($AL332)=0),"",$AM332-$AL332)</f>
        <v/>
      </c>
      <c r="AO332" s="10" t="str">
        <f aca="false">IF(OR($C332="01-09",$D332="Male"),"",INDEX(PMTCT!$AD:$AD,MATCH($E332,PMTCT!$E:$E,0)))</f>
        <v/>
      </c>
      <c r="AP332" s="10" t="str">
        <f aca="false">IF(OR($C332="01-09",$D332="Male"),"",INDEX(PMTCT!$AT:$AT,MATCH($E332,PMTCT!$E:$E,0)))</f>
        <v/>
      </c>
      <c r="AQ332" s="10" t="str">
        <f aca="false">INDEX(TB!$Q:$Q,MATCH($E332,TB!$E:$E,0))</f>
        <v/>
      </c>
      <c r="AR332" s="10" t="str">
        <f aca="false">IF(OR($C332="01-09",$C332="10-14",$D332="Female"),"",INDEX(VMMC!$AB:$AB,MATCH($E332,VMMC!$E:$E,0)))</f>
        <v/>
      </c>
      <c r="AS332" s="10" t="str">
        <f aca="false">IF(OR($C332="01-09",$C332="10-14"),"",INDEX(PrEP!$Q:$Q,MATCH($E332,PrEP!$E:$E,0)))</f>
        <v/>
      </c>
      <c r="AT332" s="10" t="str">
        <f aca="false">IFERROR(1/(1/SUM($Y332,$AB332,$AE332,$AH332,$AK332,$AO332:$AS332)),"")</f>
        <v/>
      </c>
      <c r="AU332" s="10" t="str">
        <f aca="false">IFERROR(1/(1/SUM($AT332,$AM332)),"")</f>
        <v/>
      </c>
      <c r="AV332" s="88" t="str">
        <f aca="false">IF(AND(SUM($AM332)=0,SUM($AU332)=0),"",$AM332/$AU332)</f>
        <v/>
      </c>
      <c r="AW332" s="10"/>
      <c r="AX332" s="88" t="str">
        <f aca="false">IF(OR($C332="01-09",SUM($AW332)=0),"",0%)</f>
        <v/>
      </c>
      <c r="AY332" s="39" t="str">
        <f aca="false">IF(OR($C332="01-09",SUM($AW332)=0),"",ROUND($AW332*(1+$AX332),0))</f>
        <v/>
      </c>
      <c r="AZ332" s="88" t="n">
        <f aca="false">IF(OR($C332="01-09",$C332="10-14"),"",100%)</f>
        <v>1</v>
      </c>
      <c r="BA332" s="39" t="str">
        <f aca="false">IF(OR(SUM($AM332)=0,$C332="01-09",$C332="10-14"),"",$AM332*$AZ332)</f>
        <v/>
      </c>
    </row>
    <row r="333" customFormat="false" ht="15" hidden="false" customHeight="false" outlineLevel="0" collapsed="false">
      <c r="A333" s="0" t="str">
        <f aca="false">INDEX(Prioritization!$D:$D,MATCH($B333,Prioritization!$A:$A,0))</f>
        <v>INVALID</v>
      </c>
      <c r="B333" s="0" t="s">
        <v>220</v>
      </c>
      <c r="C333" s="0" t="s">
        <v>366</v>
      </c>
      <c r="D333" s="0" t="s">
        <v>30</v>
      </c>
      <c r="E333" s="0" t="str">
        <f aca="false">$B333&amp;"|"&amp;$C333&amp;"|"&amp;$D333</f>
        <v>Phalombe District [AZyWpGzhcaA]|25-34|Female</v>
      </c>
      <c r="F333" s="88" t="n">
        <f aca="false">IF(LEFT($B333,4)="_Mil","",INDEX(Cascade!$AA:$AA,MATCH($E333,Cascade!$E:$E,0)))</f>
        <v>1966</v>
      </c>
      <c r="G333" s="10" t="n">
        <f aca="false">INDEX(Cascade!$BH:$BH,MATCH($E333,Cascade!$E:$E,0))</f>
        <v>0</v>
      </c>
      <c r="H333" s="10" t="str">
        <f aca="false">IF(OR($C333="01-09",$D333="Male"),"",INDEX(PMTCT!$AC:$AC,MATCH($E333,PMTCT!$E:$E,0)))</f>
        <v/>
      </c>
      <c r="I333" s="10" t="str">
        <f aca="false">IF(OR($C333="01-09",$D333="Male"),"",INDEX(PMTCT!$AS:$AS,MATCH($E333,PMTCT!$E:$E,0)))</f>
        <v/>
      </c>
      <c r="J333" s="10" t="str">
        <f aca="false">INDEX(TB!$P:$P,MATCH($E333,TB!$E:$E,0))</f>
        <v/>
      </c>
      <c r="K333" s="10" t="str">
        <f aca="false">IF(OR($C333="01-09",$C333="10-14",$D333="Female"),"",INDEX(VMMC!$AA:$AA,MATCH($E333,VMMC!$E:$E,0)))</f>
        <v/>
      </c>
      <c r="L333" s="10" t="n">
        <f aca="false">SUM($G333)-SUM($H333:$K333)</f>
        <v>0</v>
      </c>
      <c r="M333" s="88" t="str">
        <f aca="false">IF(OR($C333="01-09",$D333="Male",AND(SUM($G333)=0,SUM($H333)=0)),"",SUM($H333)/SUM($G333))</f>
        <v/>
      </c>
      <c r="N333" s="88" t="str">
        <f aca="false">IF(OR($C333="01-09",$D333="Male",AND(SUM($G333)=0,SUM($I333)=0)),"",SUM($I333)/SUM($G333))</f>
        <v/>
      </c>
      <c r="O333" s="88" t="str">
        <f aca="false">IF(AND(SUM($G333)=0,SUM($J333)=0),"",SUM($J333)/SUM($G333))</f>
        <v/>
      </c>
      <c r="P333" s="88" t="str">
        <f aca="false">IF(OR($C333="01-09",$C333="10-14",$D333="Female",AND(SUM($G333)=0,SUM($K333)=0)),"",SUM($K333)/SUM($G333))</f>
        <v/>
      </c>
      <c r="Q333" s="88"/>
      <c r="R333" s="88"/>
      <c r="S333" s="88"/>
      <c r="T333" s="88"/>
      <c r="U333" s="88"/>
      <c r="V333" s="88" t="str">
        <f aca="false">IF(SUM($G333)=0,"",SUM($M333:$U333))</f>
        <v/>
      </c>
      <c r="W333" s="88"/>
      <c r="X333" s="39" t="str">
        <f aca="false">IF(OR(SUM($G333)=0,SUM($Q333)=0),"",ROUND(SUM($G333)*SUM($Q333),0))</f>
        <v/>
      </c>
      <c r="Y333" s="39" t="str">
        <f aca="false">IF(SUM($X333)=0,"",IF(SUM($W333)=0,"ENTER YIELD",ROUND($X333/$W333,0)-$X333))</f>
        <v/>
      </c>
      <c r="Z333" s="88"/>
      <c r="AA333" s="39" t="str">
        <f aca="false">IF(OR(SUM($G333)=0,SUM($R333)=0),"",ROUND(SUM($G333)*SUM($R333),0))</f>
        <v/>
      </c>
      <c r="AB333" s="39" t="str">
        <f aca="false">IF(SUM($AA333)=0,"",IF(SUM($Z333)=0,"ENTER YIELD",ROUND($AA333/$Z333,0)-$AA333))</f>
        <v/>
      </c>
      <c r="AC333" s="88"/>
      <c r="AD333" s="39" t="str">
        <f aca="false">IF(OR(SUM($G333)=0,SUM($S333)=0),"",ROUND(SUM($G333)*SUM($S333),0))</f>
        <v/>
      </c>
      <c r="AE333" s="39" t="str">
        <f aca="false">IF(SUM($AD333)=0,"",IF(SUM($AC333)=0,"ENTER YIELD",ROUND($AD333/$AC333,0)-$AD333))</f>
        <v/>
      </c>
      <c r="AF333" s="88"/>
      <c r="AG333" s="39" t="str">
        <f aca="false">IF(OR(SUM($G333)=0,SUM($T333)=0),"",ROUND(SUM($G333)*SUM($T333),0))</f>
        <v/>
      </c>
      <c r="AH333" s="39" t="str">
        <f aca="false">IF(SUM($AG333)=0,"",IF(SUM($AF333)=0,"ENTER YIELD",ROUND($AG333/$AF333,0)-$AG333))</f>
        <v/>
      </c>
      <c r="AI333" s="88"/>
      <c r="AJ333" s="39" t="str">
        <f aca="false">IF(OR(SUM($G333)=0,SUM($U333)=0),"",ROUND(SUM($G333)*SUM($U333),0))</f>
        <v/>
      </c>
      <c r="AK333" s="39" t="str">
        <f aca="false">IF(SUM($AJ333)=0,"",IF(SUM($AI333)=0,"ENTER YIELD",ROUND($AJ333/$AI333,0)-$AJ333))</f>
        <v/>
      </c>
      <c r="AL333" s="10" t="str">
        <f aca="false">IF(SUM($G333)=0,"",$G333)</f>
        <v/>
      </c>
      <c r="AM333" s="10" t="str">
        <f aca="false">IFERROR(1/(1/SUM($H333:$K333,$X333,$AA333,$AD333,$AG333,$AJ333)),"")</f>
        <v/>
      </c>
      <c r="AN333" s="10" t="str">
        <f aca="false">IF(AND(SUM($AM333)=0,SUM($AL333)=0),"",$AM333-$AL333)</f>
        <v/>
      </c>
      <c r="AO333" s="10" t="str">
        <f aca="false">IF(OR($C333="01-09",$D333="Male"),"",INDEX(PMTCT!$AD:$AD,MATCH($E333,PMTCT!$E:$E,0)))</f>
        <v/>
      </c>
      <c r="AP333" s="10" t="str">
        <f aca="false">IF(OR($C333="01-09",$D333="Male"),"",INDEX(PMTCT!$AT:$AT,MATCH($E333,PMTCT!$E:$E,0)))</f>
        <v/>
      </c>
      <c r="AQ333" s="10" t="str">
        <f aca="false">INDEX(TB!$Q:$Q,MATCH($E333,TB!$E:$E,0))</f>
        <v/>
      </c>
      <c r="AR333" s="10" t="str">
        <f aca="false">IF(OR($C333="01-09",$C333="10-14",$D333="Female"),"",INDEX(VMMC!$AB:$AB,MATCH($E333,VMMC!$E:$E,0)))</f>
        <v/>
      </c>
      <c r="AS333" s="10" t="str">
        <f aca="false">IF(OR($C333="01-09",$C333="10-14"),"",INDEX(PrEP!$Q:$Q,MATCH($E333,PrEP!$E:$E,0)))</f>
        <v/>
      </c>
      <c r="AT333" s="10" t="str">
        <f aca="false">IFERROR(1/(1/SUM($Y333,$AB333,$AE333,$AH333,$AK333,$AO333:$AS333)),"")</f>
        <v/>
      </c>
      <c r="AU333" s="10" t="str">
        <f aca="false">IFERROR(1/(1/SUM($AT333,$AM333)),"")</f>
        <v/>
      </c>
      <c r="AV333" s="88" t="str">
        <f aca="false">IF(AND(SUM($AM333)=0,SUM($AU333)=0),"",$AM333/$AU333)</f>
        <v/>
      </c>
      <c r="AW333" s="10"/>
      <c r="AX333" s="88" t="str">
        <f aca="false">IF(OR($C333="01-09",SUM($AW333)=0),"",0%)</f>
        <v/>
      </c>
      <c r="AY333" s="39" t="str">
        <f aca="false">IF(OR($C333="01-09",SUM($AW333)=0),"",ROUND($AW333*(1+$AX333),0))</f>
        <v/>
      </c>
      <c r="AZ333" s="88" t="n">
        <f aca="false">IF(OR($C333="01-09",$C333="10-14"),"",100%)</f>
        <v>1</v>
      </c>
      <c r="BA333" s="39" t="str">
        <f aca="false">IF(OR(SUM($AM333)=0,$C333="01-09",$C333="10-14"),"",$AM333*$AZ333)</f>
        <v/>
      </c>
    </row>
    <row r="334" customFormat="false" ht="15" hidden="false" customHeight="false" outlineLevel="0" collapsed="false">
      <c r="A334" s="0" t="str">
        <f aca="false">INDEX(Prioritization!$D:$D,MATCH($B334,Prioritization!$A:$A,0))</f>
        <v>INVALID</v>
      </c>
      <c r="B334" s="0" t="s">
        <v>220</v>
      </c>
      <c r="C334" s="0" t="s">
        <v>366</v>
      </c>
      <c r="D334" s="0" t="s">
        <v>48</v>
      </c>
      <c r="E334" s="0" t="str">
        <f aca="false">$B334&amp;"|"&amp;$C334&amp;"|"&amp;$D334</f>
        <v>Phalombe District [AZyWpGzhcaA]|25-34|Male</v>
      </c>
      <c r="F334" s="88" t="n">
        <f aca="false">IF(LEFT($B334,4)="_Mil","",INDEX(Cascade!$AA:$AA,MATCH($E334,Cascade!$E:$E,0)))</f>
        <v>1376</v>
      </c>
      <c r="G334" s="10" t="n">
        <f aca="false">INDEX(Cascade!$BH:$BH,MATCH($E334,Cascade!$E:$E,0))</f>
        <v>0</v>
      </c>
      <c r="H334" s="10" t="str">
        <f aca="false">IF(OR($C334="01-09",$D334="Male"),"",INDEX(PMTCT!$AC:$AC,MATCH($E334,PMTCT!$E:$E,0)))</f>
        <v/>
      </c>
      <c r="I334" s="10" t="str">
        <f aca="false">IF(OR($C334="01-09",$D334="Male"),"",INDEX(PMTCT!$AS:$AS,MATCH($E334,PMTCT!$E:$E,0)))</f>
        <v/>
      </c>
      <c r="J334" s="10" t="str">
        <f aca="false">INDEX(TB!$P:$P,MATCH($E334,TB!$E:$E,0))</f>
        <v/>
      </c>
      <c r="K334" s="10" t="str">
        <f aca="false">IF(OR($C334="01-09",$C334="10-14",$D334="Female"),"",INDEX(VMMC!$AA:$AA,MATCH($E334,VMMC!$E:$E,0)))</f>
        <v/>
      </c>
      <c r="L334" s="10" t="n">
        <f aca="false">SUM($G334)-SUM($H334:$K334)</f>
        <v>0</v>
      </c>
      <c r="M334" s="88" t="str">
        <f aca="false">IF(OR($C334="01-09",$D334="Male",AND(SUM($G334)=0,SUM($H334)=0)),"",SUM($H334)/SUM($G334))</f>
        <v/>
      </c>
      <c r="N334" s="88" t="str">
        <f aca="false">IF(OR($C334="01-09",$D334="Male",AND(SUM($G334)=0,SUM($I334)=0)),"",SUM($I334)/SUM($G334))</f>
        <v/>
      </c>
      <c r="O334" s="88" t="str">
        <f aca="false">IF(AND(SUM($G334)=0,SUM($J334)=0),"",SUM($J334)/SUM($G334))</f>
        <v/>
      </c>
      <c r="P334" s="88" t="str">
        <f aca="false">IF(OR($C334="01-09",$C334="10-14",$D334="Female",AND(SUM($G334)=0,SUM($K334)=0)),"",SUM($K334)/SUM($G334))</f>
        <v/>
      </c>
      <c r="Q334" s="88"/>
      <c r="R334" s="88"/>
      <c r="S334" s="88"/>
      <c r="T334" s="88"/>
      <c r="U334" s="88"/>
      <c r="V334" s="88" t="str">
        <f aca="false">IF(SUM($G334)=0,"",SUM($M334:$U334))</f>
        <v/>
      </c>
      <c r="W334" s="88"/>
      <c r="X334" s="39" t="str">
        <f aca="false">IF(OR(SUM($G334)=0,SUM($Q334)=0),"",ROUND(SUM($G334)*SUM($Q334),0))</f>
        <v/>
      </c>
      <c r="Y334" s="39" t="str">
        <f aca="false">IF(SUM($X334)=0,"",IF(SUM($W334)=0,"ENTER YIELD",ROUND($X334/$W334,0)-$X334))</f>
        <v/>
      </c>
      <c r="Z334" s="88"/>
      <c r="AA334" s="39" t="str">
        <f aca="false">IF(OR(SUM($G334)=0,SUM($R334)=0),"",ROUND(SUM($G334)*SUM($R334),0))</f>
        <v/>
      </c>
      <c r="AB334" s="39" t="str">
        <f aca="false">IF(SUM($AA334)=0,"",IF(SUM($Z334)=0,"ENTER YIELD",ROUND($AA334/$Z334,0)-$AA334))</f>
        <v/>
      </c>
      <c r="AC334" s="88"/>
      <c r="AD334" s="39" t="str">
        <f aca="false">IF(OR(SUM($G334)=0,SUM($S334)=0),"",ROUND(SUM($G334)*SUM($S334),0))</f>
        <v/>
      </c>
      <c r="AE334" s="39" t="str">
        <f aca="false">IF(SUM($AD334)=0,"",IF(SUM($AC334)=0,"ENTER YIELD",ROUND($AD334/$AC334,0)-$AD334))</f>
        <v/>
      </c>
      <c r="AF334" s="88"/>
      <c r="AG334" s="39" t="str">
        <f aca="false">IF(OR(SUM($G334)=0,SUM($T334)=0),"",ROUND(SUM($G334)*SUM($T334),0))</f>
        <v/>
      </c>
      <c r="AH334" s="39" t="str">
        <f aca="false">IF(SUM($AG334)=0,"",IF(SUM($AF334)=0,"ENTER YIELD",ROUND($AG334/$AF334,0)-$AG334))</f>
        <v/>
      </c>
      <c r="AI334" s="88"/>
      <c r="AJ334" s="39" t="str">
        <f aca="false">IF(OR(SUM($G334)=0,SUM($U334)=0),"",ROUND(SUM($G334)*SUM($U334),0))</f>
        <v/>
      </c>
      <c r="AK334" s="39" t="str">
        <f aca="false">IF(SUM($AJ334)=0,"",IF(SUM($AI334)=0,"ENTER YIELD",ROUND($AJ334/$AI334,0)-$AJ334))</f>
        <v/>
      </c>
      <c r="AL334" s="10" t="str">
        <f aca="false">IF(SUM($G334)=0,"",$G334)</f>
        <v/>
      </c>
      <c r="AM334" s="10" t="str">
        <f aca="false">IFERROR(1/(1/SUM($H334:$K334,$X334,$AA334,$AD334,$AG334,$AJ334)),"")</f>
        <v/>
      </c>
      <c r="AN334" s="10" t="str">
        <f aca="false">IF(AND(SUM($AM334)=0,SUM($AL334)=0),"",$AM334-$AL334)</f>
        <v/>
      </c>
      <c r="AO334" s="10" t="str">
        <f aca="false">IF(OR($C334="01-09",$D334="Male"),"",INDEX(PMTCT!$AD:$AD,MATCH($E334,PMTCT!$E:$E,0)))</f>
        <v/>
      </c>
      <c r="AP334" s="10" t="str">
        <f aca="false">IF(OR($C334="01-09",$D334="Male"),"",INDEX(PMTCT!$AT:$AT,MATCH($E334,PMTCT!$E:$E,0)))</f>
        <v/>
      </c>
      <c r="AQ334" s="10" t="str">
        <f aca="false">INDEX(TB!$Q:$Q,MATCH($E334,TB!$E:$E,0))</f>
        <v/>
      </c>
      <c r="AR334" s="10" t="str">
        <f aca="false">IF(OR($C334="01-09",$C334="10-14",$D334="Female"),"",INDEX(VMMC!$AB:$AB,MATCH($E334,VMMC!$E:$E,0)))</f>
        <v/>
      </c>
      <c r="AS334" s="10" t="str">
        <f aca="false">IF(OR($C334="01-09",$C334="10-14"),"",INDEX(PrEP!$Q:$Q,MATCH($E334,PrEP!$E:$E,0)))</f>
        <v/>
      </c>
      <c r="AT334" s="10" t="str">
        <f aca="false">IFERROR(1/(1/SUM($Y334,$AB334,$AE334,$AH334,$AK334,$AO334:$AS334)),"")</f>
        <v/>
      </c>
      <c r="AU334" s="10" t="str">
        <f aca="false">IFERROR(1/(1/SUM($AT334,$AM334)),"")</f>
        <v/>
      </c>
      <c r="AV334" s="88" t="str">
        <f aca="false">IF(AND(SUM($AM334)=0,SUM($AU334)=0),"",$AM334/$AU334)</f>
        <v/>
      </c>
      <c r="AW334" s="10"/>
      <c r="AX334" s="88" t="str">
        <f aca="false">IF(OR($C334="01-09",SUM($AW334)=0),"",0%)</f>
        <v/>
      </c>
      <c r="AY334" s="39" t="str">
        <f aca="false">IF(OR($C334="01-09",SUM($AW334)=0),"",ROUND($AW334*(1+$AX334),0))</f>
        <v/>
      </c>
      <c r="AZ334" s="88" t="n">
        <f aca="false">IF(OR($C334="01-09",$C334="10-14"),"",100%)</f>
        <v>1</v>
      </c>
      <c r="BA334" s="39" t="str">
        <f aca="false">IF(OR(SUM($AM334)=0,$C334="01-09",$C334="10-14"),"",$AM334*$AZ334)</f>
        <v/>
      </c>
    </row>
    <row r="335" customFormat="false" ht="15" hidden="false" customHeight="false" outlineLevel="0" collapsed="false">
      <c r="A335" s="0" t="str">
        <f aca="false">INDEX(Prioritization!$D:$D,MATCH($B335,Prioritization!$A:$A,0))</f>
        <v>INVALID</v>
      </c>
      <c r="B335" s="0" t="s">
        <v>220</v>
      </c>
      <c r="C335" s="0" t="s">
        <v>367</v>
      </c>
      <c r="D335" s="0" t="s">
        <v>30</v>
      </c>
      <c r="E335" s="0" t="str">
        <f aca="false">$B335&amp;"|"&amp;$C335&amp;"|"&amp;$D335</f>
        <v>Phalombe District [AZyWpGzhcaA]|35-49|Female</v>
      </c>
      <c r="F335" s="88" t="n">
        <f aca="false">IF(LEFT($B335,4)="_Mil","",INDEX(Cascade!$AA:$AA,MATCH($E335,Cascade!$E:$E,0)))</f>
        <v>643</v>
      </c>
      <c r="G335" s="10" t="n">
        <f aca="false">INDEX(Cascade!$BH:$BH,MATCH($E335,Cascade!$E:$E,0))</f>
        <v>0</v>
      </c>
      <c r="H335" s="10" t="str">
        <f aca="false">IF(OR($C335="01-09",$D335="Male"),"",INDEX(PMTCT!$AC:$AC,MATCH($E335,PMTCT!$E:$E,0)))</f>
        <v/>
      </c>
      <c r="I335" s="10" t="str">
        <f aca="false">IF(OR($C335="01-09",$D335="Male"),"",INDEX(PMTCT!$AS:$AS,MATCH($E335,PMTCT!$E:$E,0)))</f>
        <v/>
      </c>
      <c r="J335" s="10" t="str">
        <f aca="false">INDEX(TB!$P:$P,MATCH($E335,TB!$E:$E,0))</f>
        <v/>
      </c>
      <c r="K335" s="10" t="str">
        <f aca="false">IF(OR($C335="01-09",$C335="10-14",$D335="Female"),"",INDEX(VMMC!$AA:$AA,MATCH($E335,VMMC!$E:$E,0)))</f>
        <v/>
      </c>
      <c r="L335" s="10" t="n">
        <f aca="false">SUM($G335)-SUM($H335:$K335)</f>
        <v>0</v>
      </c>
      <c r="M335" s="88" t="str">
        <f aca="false">IF(OR($C335="01-09",$D335="Male",AND(SUM($G335)=0,SUM($H335)=0)),"",SUM($H335)/SUM($G335))</f>
        <v/>
      </c>
      <c r="N335" s="88" t="str">
        <f aca="false">IF(OR($C335="01-09",$D335="Male",AND(SUM($G335)=0,SUM($I335)=0)),"",SUM($I335)/SUM($G335))</f>
        <v/>
      </c>
      <c r="O335" s="88" t="str">
        <f aca="false">IF(AND(SUM($G335)=0,SUM($J335)=0),"",SUM($J335)/SUM($G335))</f>
        <v/>
      </c>
      <c r="P335" s="88" t="str">
        <f aca="false">IF(OR($C335="01-09",$C335="10-14",$D335="Female",AND(SUM($G335)=0,SUM($K335)=0)),"",SUM($K335)/SUM($G335))</f>
        <v/>
      </c>
      <c r="Q335" s="88"/>
      <c r="R335" s="88"/>
      <c r="S335" s="88"/>
      <c r="T335" s="88"/>
      <c r="U335" s="88"/>
      <c r="V335" s="88" t="str">
        <f aca="false">IF(SUM($G335)=0,"",SUM($M335:$U335))</f>
        <v/>
      </c>
      <c r="W335" s="88"/>
      <c r="X335" s="39" t="str">
        <f aca="false">IF(OR(SUM($G335)=0,SUM($Q335)=0),"",ROUND(SUM($G335)*SUM($Q335),0))</f>
        <v/>
      </c>
      <c r="Y335" s="39" t="str">
        <f aca="false">IF(SUM($X335)=0,"",IF(SUM($W335)=0,"ENTER YIELD",ROUND($X335/$W335,0)-$X335))</f>
        <v/>
      </c>
      <c r="Z335" s="88"/>
      <c r="AA335" s="39" t="str">
        <f aca="false">IF(OR(SUM($G335)=0,SUM($R335)=0),"",ROUND(SUM($G335)*SUM($R335),0))</f>
        <v/>
      </c>
      <c r="AB335" s="39" t="str">
        <f aca="false">IF(SUM($AA335)=0,"",IF(SUM($Z335)=0,"ENTER YIELD",ROUND($AA335/$Z335,0)-$AA335))</f>
        <v/>
      </c>
      <c r="AC335" s="88"/>
      <c r="AD335" s="39" t="str">
        <f aca="false">IF(OR(SUM($G335)=0,SUM($S335)=0),"",ROUND(SUM($G335)*SUM($S335),0))</f>
        <v/>
      </c>
      <c r="AE335" s="39" t="str">
        <f aca="false">IF(SUM($AD335)=0,"",IF(SUM($AC335)=0,"ENTER YIELD",ROUND($AD335/$AC335,0)-$AD335))</f>
        <v/>
      </c>
      <c r="AF335" s="88"/>
      <c r="AG335" s="39" t="str">
        <f aca="false">IF(OR(SUM($G335)=0,SUM($T335)=0),"",ROUND(SUM($G335)*SUM($T335),0))</f>
        <v/>
      </c>
      <c r="AH335" s="39" t="str">
        <f aca="false">IF(SUM($AG335)=0,"",IF(SUM($AF335)=0,"ENTER YIELD",ROUND($AG335/$AF335,0)-$AG335))</f>
        <v/>
      </c>
      <c r="AI335" s="88"/>
      <c r="AJ335" s="39" t="str">
        <f aca="false">IF(OR(SUM($G335)=0,SUM($U335)=0),"",ROUND(SUM($G335)*SUM($U335),0))</f>
        <v/>
      </c>
      <c r="AK335" s="39" t="str">
        <f aca="false">IF(SUM($AJ335)=0,"",IF(SUM($AI335)=0,"ENTER YIELD",ROUND($AJ335/$AI335,0)-$AJ335))</f>
        <v/>
      </c>
      <c r="AL335" s="10" t="str">
        <f aca="false">IF(SUM($G335)=0,"",$G335)</f>
        <v/>
      </c>
      <c r="AM335" s="10" t="str">
        <f aca="false">IFERROR(1/(1/SUM($H335:$K335,$X335,$AA335,$AD335,$AG335,$AJ335)),"")</f>
        <v/>
      </c>
      <c r="AN335" s="10" t="str">
        <f aca="false">IF(AND(SUM($AM335)=0,SUM($AL335)=0),"",$AM335-$AL335)</f>
        <v/>
      </c>
      <c r="AO335" s="10" t="str">
        <f aca="false">IF(OR($C335="01-09",$D335="Male"),"",INDEX(PMTCT!$AD:$AD,MATCH($E335,PMTCT!$E:$E,0)))</f>
        <v/>
      </c>
      <c r="AP335" s="10" t="str">
        <f aca="false">IF(OR($C335="01-09",$D335="Male"),"",INDEX(PMTCT!$AT:$AT,MATCH($E335,PMTCT!$E:$E,0)))</f>
        <v/>
      </c>
      <c r="AQ335" s="10" t="str">
        <f aca="false">INDEX(TB!$Q:$Q,MATCH($E335,TB!$E:$E,0))</f>
        <v/>
      </c>
      <c r="AR335" s="10" t="str">
        <f aca="false">IF(OR($C335="01-09",$C335="10-14",$D335="Female"),"",INDEX(VMMC!$AB:$AB,MATCH($E335,VMMC!$E:$E,0)))</f>
        <v/>
      </c>
      <c r="AS335" s="10" t="str">
        <f aca="false">IF(OR($C335="01-09",$C335="10-14"),"",INDEX(PrEP!$Q:$Q,MATCH($E335,PrEP!$E:$E,0)))</f>
        <v/>
      </c>
      <c r="AT335" s="10" t="str">
        <f aca="false">IFERROR(1/(1/SUM($Y335,$AB335,$AE335,$AH335,$AK335,$AO335:$AS335)),"")</f>
        <v/>
      </c>
      <c r="AU335" s="10" t="str">
        <f aca="false">IFERROR(1/(1/SUM($AT335,$AM335)),"")</f>
        <v/>
      </c>
      <c r="AV335" s="88" t="str">
        <f aca="false">IF(AND(SUM($AM335)=0,SUM($AU335)=0),"",$AM335/$AU335)</f>
        <v/>
      </c>
      <c r="AW335" s="10"/>
      <c r="AX335" s="88" t="str">
        <f aca="false">IF(OR($C335="01-09",SUM($AW335)=0),"",0%)</f>
        <v/>
      </c>
      <c r="AY335" s="39" t="str">
        <f aca="false">IF(OR($C335="01-09",SUM($AW335)=0),"",ROUND($AW335*(1+$AX335),0))</f>
        <v/>
      </c>
      <c r="AZ335" s="88" t="n">
        <f aca="false">IF(OR($C335="01-09",$C335="10-14"),"",100%)</f>
        <v>1</v>
      </c>
      <c r="BA335" s="39" t="str">
        <f aca="false">IF(OR(SUM($AM335)=0,$C335="01-09",$C335="10-14"),"",$AM335*$AZ335)</f>
        <v/>
      </c>
    </row>
    <row r="336" customFormat="false" ht="15" hidden="false" customHeight="false" outlineLevel="0" collapsed="false">
      <c r="A336" s="0" t="str">
        <f aca="false">INDEX(Prioritization!$D:$D,MATCH($B336,Prioritization!$A:$A,0))</f>
        <v>INVALID</v>
      </c>
      <c r="B336" s="0" t="s">
        <v>220</v>
      </c>
      <c r="C336" s="0" t="s">
        <v>367</v>
      </c>
      <c r="D336" s="0" t="s">
        <v>48</v>
      </c>
      <c r="E336" s="0" t="str">
        <f aca="false">$B336&amp;"|"&amp;$C336&amp;"|"&amp;$D336</f>
        <v>Phalombe District [AZyWpGzhcaA]|35-49|Male</v>
      </c>
      <c r="F336" s="88" t="n">
        <f aca="false">IF(LEFT($B336,4)="_Mil","",INDEX(Cascade!$AA:$AA,MATCH($E336,Cascade!$E:$E,0)))</f>
        <v>1029</v>
      </c>
      <c r="G336" s="10" t="n">
        <f aca="false">INDEX(Cascade!$BH:$BH,MATCH($E336,Cascade!$E:$E,0))</f>
        <v>0</v>
      </c>
      <c r="H336" s="10" t="str">
        <f aca="false">IF(OR($C336="01-09",$D336="Male"),"",INDEX(PMTCT!$AC:$AC,MATCH($E336,PMTCT!$E:$E,0)))</f>
        <v/>
      </c>
      <c r="I336" s="10" t="str">
        <f aca="false">IF(OR($C336="01-09",$D336="Male"),"",INDEX(PMTCT!$AS:$AS,MATCH($E336,PMTCT!$E:$E,0)))</f>
        <v/>
      </c>
      <c r="J336" s="10" t="str">
        <f aca="false">INDEX(TB!$P:$P,MATCH($E336,TB!$E:$E,0))</f>
        <v/>
      </c>
      <c r="K336" s="10" t="str">
        <f aca="false">IF(OR($C336="01-09",$C336="10-14",$D336="Female"),"",INDEX(VMMC!$AA:$AA,MATCH($E336,VMMC!$E:$E,0)))</f>
        <v/>
      </c>
      <c r="L336" s="10" t="n">
        <f aca="false">SUM($G336)-SUM($H336:$K336)</f>
        <v>0</v>
      </c>
      <c r="M336" s="88" t="str">
        <f aca="false">IF(OR($C336="01-09",$D336="Male",AND(SUM($G336)=0,SUM($H336)=0)),"",SUM($H336)/SUM($G336))</f>
        <v/>
      </c>
      <c r="N336" s="88" t="str">
        <f aca="false">IF(OR($C336="01-09",$D336="Male",AND(SUM($G336)=0,SUM($I336)=0)),"",SUM($I336)/SUM($G336))</f>
        <v/>
      </c>
      <c r="O336" s="88" t="str">
        <f aca="false">IF(AND(SUM($G336)=0,SUM($J336)=0),"",SUM($J336)/SUM($G336))</f>
        <v/>
      </c>
      <c r="P336" s="88" t="str">
        <f aca="false">IF(OR($C336="01-09",$C336="10-14",$D336="Female",AND(SUM($G336)=0,SUM($K336)=0)),"",SUM($K336)/SUM($G336))</f>
        <v/>
      </c>
      <c r="Q336" s="88"/>
      <c r="R336" s="88"/>
      <c r="S336" s="88"/>
      <c r="T336" s="88"/>
      <c r="U336" s="88"/>
      <c r="V336" s="88" t="str">
        <f aca="false">IF(SUM($G336)=0,"",SUM($M336:$U336))</f>
        <v/>
      </c>
      <c r="W336" s="88"/>
      <c r="X336" s="39" t="str">
        <f aca="false">IF(OR(SUM($G336)=0,SUM($Q336)=0),"",ROUND(SUM($G336)*SUM($Q336),0))</f>
        <v/>
      </c>
      <c r="Y336" s="39" t="str">
        <f aca="false">IF(SUM($X336)=0,"",IF(SUM($W336)=0,"ENTER YIELD",ROUND($X336/$W336,0)-$X336))</f>
        <v/>
      </c>
      <c r="Z336" s="88"/>
      <c r="AA336" s="39" t="str">
        <f aca="false">IF(OR(SUM($G336)=0,SUM($R336)=0),"",ROUND(SUM($G336)*SUM($R336),0))</f>
        <v/>
      </c>
      <c r="AB336" s="39" t="str">
        <f aca="false">IF(SUM($AA336)=0,"",IF(SUM($Z336)=0,"ENTER YIELD",ROUND($AA336/$Z336,0)-$AA336))</f>
        <v/>
      </c>
      <c r="AC336" s="88"/>
      <c r="AD336" s="39" t="str">
        <f aca="false">IF(OR(SUM($G336)=0,SUM($S336)=0),"",ROUND(SUM($G336)*SUM($S336),0))</f>
        <v/>
      </c>
      <c r="AE336" s="39" t="str">
        <f aca="false">IF(SUM($AD336)=0,"",IF(SUM($AC336)=0,"ENTER YIELD",ROUND($AD336/$AC336,0)-$AD336))</f>
        <v/>
      </c>
      <c r="AF336" s="88"/>
      <c r="AG336" s="39" t="str">
        <f aca="false">IF(OR(SUM($G336)=0,SUM($T336)=0),"",ROUND(SUM($G336)*SUM($T336),0))</f>
        <v/>
      </c>
      <c r="AH336" s="39" t="str">
        <f aca="false">IF(SUM($AG336)=0,"",IF(SUM($AF336)=0,"ENTER YIELD",ROUND($AG336/$AF336,0)-$AG336))</f>
        <v/>
      </c>
      <c r="AI336" s="88"/>
      <c r="AJ336" s="39" t="str">
        <f aca="false">IF(OR(SUM($G336)=0,SUM($U336)=0),"",ROUND(SUM($G336)*SUM($U336),0))</f>
        <v/>
      </c>
      <c r="AK336" s="39" t="str">
        <f aca="false">IF(SUM($AJ336)=0,"",IF(SUM($AI336)=0,"ENTER YIELD",ROUND($AJ336/$AI336,0)-$AJ336))</f>
        <v/>
      </c>
      <c r="AL336" s="10" t="str">
        <f aca="false">IF(SUM($G336)=0,"",$G336)</f>
        <v/>
      </c>
      <c r="AM336" s="10" t="str">
        <f aca="false">IFERROR(1/(1/SUM($H336:$K336,$X336,$AA336,$AD336,$AG336,$AJ336)),"")</f>
        <v/>
      </c>
      <c r="AN336" s="10" t="str">
        <f aca="false">IF(AND(SUM($AM336)=0,SUM($AL336)=0),"",$AM336-$AL336)</f>
        <v/>
      </c>
      <c r="AO336" s="10" t="str">
        <f aca="false">IF(OR($C336="01-09",$D336="Male"),"",INDEX(PMTCT!$AD:$AD,MATCH($E336,PMTCT!$E:$E,0)))</f>
        <v/>
      </c>
      <c r="AP336" s="10" t="str">
        <f aca="false">IF(OR($C336="01-09",$D336="Male"),"",INDEX(PMTCT!$AT:$AT,MATCH($E336,PMTCT!$E:$E,0)))</f>
        <v/>
      </c>
      <c r="AQ336" s="10" t="str">
        <f aca="false">INDEX(TB!$Q:$Q,MATCH($E336,TB!$E:$E,0))</f>
        <v/>
      </c>
      <c r="AR336" s="10" t="str">
        <f aca="false">IF(OR($C336="01-09",$C336="10-14",$D336="Female"),"",INDEX(VMMC!$AB:$AB,MATCH($E336,VMMC!$E:$E,0)))</f>
        <v/>
      </c>
      <c r="AS336" s="10" t="str">
        <f aca="false">IF(OR($C336="01-09",$C336="10-14"),"",INDEX(PrEP!$Q:$Q,MATCH($E336,PrEP!$E:$E,0)))</f>
        <v/>
      </c>
      <c r="AT336" s="10" t="str">
        <f aca="false">IFERROR(1/(1/SUM($Y336,$AB336,$AE336,$AH336,$AK336,$AO336:$AS336)),"")</f>
        <v/>
      </c>
      <c r="AU336" s="10" t="str">
        <f aca="false">IFERROR(1/(1/SUM($AT336,$AM336)),"")</f>
        <v/>
      </c>
      <c r="AV336" s="88" t="str">
        <f aca="false">IF(AND(SUM($AM336)=0,SUM($AU336)=0),"",$AM336/$AU336)</f>
        <v/>
      </c>
      <c r="AW336" s="10"/>
      <c r="AX336" s="88" t="str">
        <f aca="false">IF(OR($C336="01-09",SUM($AW336)=0),"",0%)</f>
        <v/>
      </c>
      <c r="AY336" s="39" t="str">
        <f aca="false">IF(OR($C336="01-09",SUM($AW336)=0),"",ROUND($AW336*(1+$AX336),0))</f>
        <v/>
      </c>
      <c r="AZ336" s="88" t="n">
        <f aca="false">IF(OR($C336="01-09",$C336="10-14"),"",100%)</f>
        <v>1</v>
      </c>
      <c r="BA336" s="39" t="str">
        <f aca="false">IF(OR(SUM($AM336)=0,$C336="01-09",$C336="10-14"),"",$AM336*$AZ336)</f>
        <v/>
      </c>
    </row>
    <row r="337" customFormat="false" ht="15" hidden="false" customHeight="false" outlineLevel="0" collapsed="false">
      <c r="A337" s="0" t="str">
        <f aca="false">INDEX(Prioritization!$D:$D,MATCH($B337,Prioritization!$A:$A,0))</f>
        <v>INVALID</v>
      </c>
      <c r="B337" s="0" t="s">
        <v>220</v>
      </c>
      <c r="C337" s="0" t="s">
        <v>368</v>
      </c>
      <c r="D337" s="0" t="s">
        <v>30</v>
      </c>
      <c r="E337" s="0" t="str">
        <f aca="false">$B337&amp;"|"&amp;$C337&amp;"|"&amp;$D337</f>
        <v>Phalombe District [AZyWpGzhcaA]|50+|Female</v>
      </c>
      <c r="F337" s="88" t="n">
        <f aca="false">IF(LEFT($B337,4)="_Mil","",INDEX(Cascade!$AA:$AA,MATCH($E337,Cascade!$E:$E,0)))</f>
        <v>660</v>
      </c>
      <c r="G337" s="10" t="n">
        <f aca="false">INDEX(Cascade!$BH:$BH,MATCH($E337,Cascade!$E:$E,0))</f>
        <v>0</v>
      </c>
      <c r="H337" s="10" t="str">
        <f aca="false">IF(OR($C337="01-09",$D337="Male"),"",INDEX(PMTCT!$AC:$AC,MATCH($E337,PMTCT!$E:$E,0)))</f>
        <v/>
      </c>
      <c r="I337" s="10" t="str">
        <f aca="false">IF(OR($C337="01-09",$D337="Male"),"",INDEX(PMTCT!$AS:$AS,MATCH($E337,PMTCT!$E:$E,0)))</f>
        <v/>
      </c>
      <c r="J337" s="10" t="str">
        <f aca="false">INDEX(TB!$P:$P,MATCH($E337,TB!$E:$E,0))</f>
        <v/>
      </c>
      <c r="K337" s="10" t="str">
        <f aca="false">IF(OR($C337="01-09",$C337="10-14",$D337="Female"),"",INDEX(VMMC!$AA:$AA,MATCH($E337,VMMC!$E:$E,0)))</f>
        <v/>
      </c>
      <c r="L337" s="10" t="n">
        <f aca="false">SUM($G337)-SUM($H337:$K337)</f>
        <v>0</v>
      </c>
      <c r="M337" s="88" t="str">
        <f aca="false">IF(OR($C337="01-09",$D337="Male",AND(SUM($G337)=0,SUM($H337)=0)),"",SUM($H337)/SUM($G337))</f>
        <v/>
      </c>
      <c r="N337" s="88" t="str">
        <f aca="false">IF(OR($C337="01-09",$D337="Male",AND(SUM($G337)=0,SUM($I337)=0)),"",SUM($I337)/SUM($G337))</f>
        <v/>
      </c>
      <c r="O337" s="88" t="str">
        <f aca="false">IF(AND(SUM($G337)=0,SUM($J337)=0),"",SUM($J337)/SUM($G337))</f>
        <v/>
      </c>
      <c r="P337" s="88" t="str">
        <f aca="false">IF(OR($C337="01-09",$C337="10-14",$D337="Female",AND(SUM($G337)=0,SUM($K337)=0)),"",SUM($K337)/SUM($G337))</f>
        <v/>
      </c>
      <c r="Q337" s="88"/>
      <c r="R337" s="88"/>
      <c r="S337" s="88"/>
      <c r="T337" s="88"/>
      <c r="U337" s="88"/>
      <c r="V337" s="88" t="str">
        <f aca="false">IF(SUM($G337)=0,"",SUM($M337:$U337))</f>
        <v/>
      </c>
      <c r="W337" s="88"/>
      <c r="X337" s="39" t="str">
        <f aca="false">IF(OR(SUM($G337)=0,SUM($Q337)=0),"",ROUND(SUM($G337)*SUM($Q337),0))</f>
        <v/>
      </c>
      <c r="Y337" s="39" t="str">
        <f aca="false">IF(SUM($X337)=0,"",IF(SUM($W337)=0,"ENTER YIELD",ROUND($X337/$W337,0)-$X337))</f>
        <v/>
      </c>
      <c r="Z337" s="88"/>
      <c r="AA337" s="39" t="str">
        <f aca="false">IF(OR(SUM($G337)=0,SUM($R337)=0),"",ROUND(SUM($G337)*SUM($R337),0))</f>
        <v/>
      </c>
      <c r="AB337" s="39" t="str">
        <f aca="false">IF(SUM($AA337)=0,"",IF(SUM($Z337)=0,"ENTER YIELD",ROUND($AA337/$Z337,0)-$AA337))</f>
        <v/>
      </c>
      <c r="AC337" s="88"/>
      <c r="AD337" s="39" t="str">
        <f aca="false">IF(OR(SUM($G337)=0,SUM($S337)=0),"",ROUND(SUM($G337)*SUM($S337),0))</f>
        <v/>
      </c>
      <c r="AE337" s="39" t="str">
        <f aca="false">IF(SUM($AD337)=0,"",IF(SUM($AC337)=0,"ENTER YIELD",ROUND($AD337/$AC337,0)-$AD337))</f>
        <v/>
      </c>
      <c r="AF337" s="88"/>
      <c r="AG337" s="39" t="str">
        <f aca="false">IF(OR(SUM($G337)=0,SUM($T337)=0),"",ROUND(SUM($G337)*SUM($T337),0))</f>
        <v/>
      </c>
      <c r="AH337" s="39" t="str">
        <f aca="false">IF(SUM($AG337)=0,"",IF(SUM($AF337)=0,"ENTER YIELD",ROUND($AG337/$AF337,0)-$AG337))</f>
        <v/>
      </c>
      <c r="AI337" s="88" t="n">
        <v>0.0549313365481794</v>
      </c>
      <c r="AJ337" s="39" t="str">
        <f aca="false">IF(OR(SUM($G337)=0,SUM($U337)=0),"",ROUND(SUM($G337)*SUM($U337),0))</f>
        <v/>
      </c>
      <c r="AK337" s="39" t="str">
        <f aca="false">IF(SUM($AJ337)=0,"",IF(SUM($AI337)=0,"ENTER YIELD",ROUND($AJ337/$AI337,0)-$AJ337))</f>
        <v/>
      </c>
      <c r="AL337" s="10" t="str">
        <f aca="false">IF(SUM($G337)=0,"",$G337)</f>
        <v/>
      </c>
      <c r="AM337" s="10" t="str">
        <f aca="false">IFERROR(1/(1/SUM($H337:$K337,$X337,$AA337,$AD337,$AG337,$AJ337)),"")</f>
        <v/>
      </c>
      <c r="AN337" s="10" t="str">
        <f aca="false">IF(AND(SUM($AM337)=0,SUM($AL337)=0),"",$AM337-$AL337)</f>
        <v/>
      </c>
      <c r="AO337" s="10" t="str">
        <f aca="false">IF(OR($C337="01-09",$D337="Male"),"",INDEX(PMTCT!$AD:$AD,MATCH($E337,PMTCT!$E:$E,0)))</f>
        <v/>
      </c>
      <c r="AP337" s="10" t="str">
        <f aca="false">IF(OR($C337="01-09",$D337="Male"),"",INDEX(PMTCT!$AT:$AT,MATCH($E337,PMTCT!$E:$E,0)))</f>
        <v/>
      </c>
      <c r="AQ337" s="10" t="str">
        <f aca="false">INDEX(TB!$Q:$Q,MATCH($E337,TB!$E:$E,0))</f>
        <v/>
      </c>
      <c r="AR337" s="10" t="str">
        <f aca="false">IF(OR($C337="01-09",$C337="10-14",$D337="Female"),"",INDEX(VMMC!$AB:$AB,MATCH($E337,VMMC!$E:$E,0)))</f>
        <v/>
      </c>
      <c r="AS337" s="10" t="str">
        <f aca="false">IF(OR($C337="01-09",$C337="10-14"),"",INDEX(PrEP!$Q:$Q,MATCH($E337,PrEP!$E:$E,0)))</f>
        <v/>
      </c>
      <c r="AT337" s="10" t="str">
        <f aca="false">IFERROR(1/(1/SUM($Y337,$AB337,$AE337,$AH337,$AK337,$AO337:$AS337)),"")</f>
        <v/>
      </c>
      <c r="AU337" s="10" t="str">
        <f aca="false">IFERROR(1/(1/SUM($AT337,$AM337)),"")</f>
        <v/>
      </c>
      <c r="AV337" s="88" t="str">
        <f aca="false">IF(AND(SUM($AM337)=0,SUM($AU337)=0),"",$AM337/$AU337)</f>
        <v/>
      </c>
      <c r="AW337" s="10" t="n">
        <v>66</v>
      </c>
      <c r="AX337" s="88" t="n">
        <f aca="false">IF(OR($C337="01-09",SUM($AW337)=0),"",0%)</f>
        <v>0</v>
      </c>
      <c r="AY337" s="39" t="n">
        <f aca="false">IF(OR($C337="01-09",SUM($AW337)=0),"",ROUND($AW337*(1+$AX337),0))</f>
        <v>66</v>
      </c>
      <c r="AZ337" s="88" t="n">
        <f aca="false">IF(OR($C337="01-09",$C337="10-14"),"",100%)</f>
        <v>1</v>
      </c>
      <c r="BA337" s="39" t="str">
        <f aca="false">IF(OR(SUM($AM337)=0,$C337="01-09",$C337="10-14"),"",$AM337*$AZ337)</f>
        <v/>
      </c>
    </row>
    <row r="338" customFormat="false" ht="15" hidden="false" customHeight="false" outlineLevel="0" collapsed="false">
      <c r="A338" s="0" t="str">
        <f aca="false">INDEX(Prioritization!$D:$D,MATCH($B338,Prioritization!$A:$A,0))</f>
        <v>INVALID</v>
      </c>
      <c r="B338" s="0" t="s">
        <v>220</v>
      </c>
      <c r="C338" s="0" t="s">
        <v>368</v>
      </c>
      <c r="D338" s="0" t="s">
        <v>48</v>
      </c>
      <c r="E338" s="0" t="str">
        <f aca="false">$B338&amp;"|"&amp;$C338&amp;"|"&amp;$D338</f>
        <v>Phalombe District [AZyWpGzhcaA]|50+|Male</v>
      </c>
      <c r="F338" s="88" t="n">
        <f aca="false">IF(LEFT($B338,4)="_Mil","",INDEX(Cascade!$AA:$AA,MATCH($E338,Cascade!$E:$E,0)))</f>
        <v>1796</v>
      </c>
      <c r="G338" s="10" t="n">
        <f aca="false">INDEX(Cascade!$BH:$BH,MATCH($E338,Cascade!$E:$E,0))</f>
        <v>0</v>
      </c>
      <c r="H338" s="10" t="str">
        <f aca="false">IF(OR($C338="01-09",$D338="Male"),"",INDEX(PMTCT!$AC:$AC,MATCH($E338,PMTCT!$E:$E,0)))</f>
        <v/>
      </c>
      <c r="I338" s="10" t="str">
        <f aca="false">IF(OR($C338="01-09",$D338="Male"),"",INDEX(PMTCT!$AS:$AS,MATCH($E338,PMTCT!$E:$E,0)))</f>
        <v/>
      </c>
      <c r="J338" s="10" t="str">
        <f aca="false">INDEX(TB!$P:$P,MATCH($E338,TB!$E:$E,0))</f>
        <v/>
      </c>
      <c r="K338" s="10" t="str">
        <f aca="false">IF(OR($C338="01-09",$C338="10-14",$D338="Female"),"",INDEX(VMMC!$AA:$AA,MATCH($E338,VMMC!$E:$E,0)))</f>
        <v/>
      </c>
      <c r="L338" s="10" t="n">
        <f aca="false">SUM($G338)-SUM($H338:$K338)</f>
        <v>0</v>
      </c>
      <c r="M338" s="88" t="str">
        <f aca="false">IF(OR($C338="01-09",$D338="Male",AND(SUM($G338)=0,SUM($H338)=0)),"",SUM($H338)/SUM($G338))</f>
        <v/>
      </c>
      <c r="N338" s="88" t="str">
        <f aca="false">IF(OR($C338="01-09",$D338="Male",AND(SUM($G338)=0,SUM($I338)=0)),"",SUM($I338)/SUM($G338))</f>
        <v/>
      </c>
      <c r="O338" s="88" t="str">
        <f aca="false">IF(AND(SUM($G338)=0,SUM($J338)=0),"",SUM($J338)/SUM($G338))</f>
        <v/>
      </c>
      <c r="P338" s="88" t="str">
        <f aca="false">IF(OR($C338="01-09",$C338="10-14",$D338="Female",AND(SUM($G338)=0,SUM($K338)=0)),"",SUM($K338)/SUM($G338))</f>
        <v/>
      </c>
      <c r="Q338" s="88"/>
      <c r="R338" s="88"/>
      <c r="S338" s="88"/>
      <c r="T338" s="88"/>
      <c r="U338" s="88" t="n">
        <v>0.791468192823231</v>
      </c>
      <c r="V338" s="88" t="str">
        <f aca="false">IF(SUM($G338)=0,"",SUM($M338:$U338))</f>
        <v/>
      </c>
      <c r="W338" s="88"/>
      <c r="X338" s="39" t="str">
        <f aca="false">IF(OR(SUM($G338)=0,SUM($Q338)=0),"",ROUND(SUM($G338)*SUM($Q338),0))</f>
        <v/>
      </c>
      <c r="Y338" s="39" t="str">
        <f aca="false">IF(SUM($X338)=0,"",IF(SUM($W338)=0,"ENTER YIELD",ROUND($X338/$W338,0)-$X338))</f>
        <v/>
      </c>
      <c r="Z338" s="88"/>
      <c r="AA338" s="39" t="str">
        <f aca="false">IF(OR(SUM($G338)=0,SUM($R338)=0),"",ROUND(SUM($G338)*SUM($R338),0))</f>
        <v/>
      </c>
      <c r="AB338" s="39" t="str">
        <f aca="false">IF(SUM($AA338)=0,"",IF(SUM($Z338)=0,"ENTER YIELD",ROUND($AA338/$Z338,0)-$AA338))</f>
        <v/>
      </c>
      <c r="AC338" s="88"/>
      <c r="AD338" s="39" t="str">
        <f aca="false">IF(OR(SUM($G338)=0,SUM($S338)=0),"",ROUND(SUM($G338)*SUM($S338),0))</f>
        <v/>
      </c>
      <c r="AE338" s="39" t="str">
        <f aca="false">IF(SUM($AD338)=0,"",IF(SUM($AC338)=0,"ENTER YIELD",ROUND($AD338/$AC338,0)-$AD338))</f>
        <v/>
      </c>
      <c r="AF338" s="88"/>
      <c r="AG338" s="39" t="str">
        <f aca="false">IF(OR(SUM($G338)=0,SUM($T338)=0),"",ROUND(SUM($G338)*SUM($T338),0))</f>
        <v/>
      </c>
      <c r="AH338" s="39" t="str">
        <f aca="false">IF(SUM($AG338)=0,"",IF(SUM($AF338)=0,"ENTER YIELD",ROUND($AG338/$AF338,0)-$AG338))</f>
        <v/>
      </c>
      <c r="AI338" s="88" t="n">
        <v>0.444504260551184</v>
      </c>
      <c r="AJ338" s="39" t="str">
        <f aca="false">IF(OR(SUM($G338)=0,SUM($U338)=0),"",ROUND(SUM($G338)*SUM($U338),0))</f>
        <v/>
      </c>
      <c r="AK338" s="39" t="str">
        <f aca="false">IF(SUM($AJ338)=0,"",IF(SUM($AI338)=0,"ENTER YIELD",ROUND($AJ338/$AI338,0)-$AJ338))</f>
        <v/>
      </c>
      <c r="AL338" s="10" t="str">
        <f aca="false">IF(SUM($G338)=0,"",$G338)</f>
        <v/>
      </c>
      <c r="AM338" s="10" t="str">
        <f aca="false">IFERROR(1/(1/SUM($H338:$K338,$X338,$AA338,$AD338,$AG338,$AJ338)),"")</f>
        <v/>
      </c>
      <c r="AN338" s="10" t="str">
        <f aca="false">IF(AND(SUM($AM338)=0,SUM($AL338)=0),"",$AM338-$AL338)</f>
        <v/>
      </c>
      <c r="AO338" s="10" t="str">
        <f aca="false">IF(OR($C338="01-09",$D338="Male"),"",INDEX(PMTCT!$AD:$AD,MATCH($E338,PMTCT!$E:$E,0)))</f>
        <v/>
      </c>
      <c r="AP338" s="10" t="str">
        <f aca="false">IF(OR($C338="01-09",$D338="Male"),"",INDEX(PMTCT!$AT:$AT,MATCH($E338,PMTCT!$E:$E,0)))</f>
        <v/>
      </c>
      <c r="AQ338" s="10" t="str">
        <f aca="false">INDEX(TB!$Q:$Q,MATCH($E338,TB!$E:$E,0))</f>
        <v/>
      </c>
      <c r="AR338" s="10" t="str">
        <f aca="false">IF(OR($C338="01-09",$C338="10-14",$D338="Female"),"",INDEX(VMMC!$AB:$AB,MATCH($E338,VMMC!$E:$E,0)))</f>
        <v/>
      </c>
      <c r="AS338" s="10" t="str">
        <f aca="false">IF(OR($C338="01-09",$C338="10-14"),"",INDEX(PrEP!$Q:$Q,MATCH($E338,PrEP!$E:$E,0)))</f>
        <v/>
      </c>
      <c r="AT338" s="10" t="str">
        <f aca="false">IFERROR(1/(1/SUM($Y338,$AB338,$AE338,$AH338,$AK338,$AO338:$AS338)),"")</f>
        <v/>
      </c>
      <c r="AU338" s="10" t="str">
        <f aca="false">IFERROR(1/(1/SUM($AT338,$AM338)),"")</f>
        <v/>
      </c>
      <c r="AV338" s="88" t="str">
        <f aca="false">IF(AND(SUM($AM338)=0,SUM($AU338)=0),"",$AM338/$AU338)</f>
        <v/>
      </c>
      <c r="AW338" s="10" t="n">
        <v>73</v>
      </c>
      <c r="AX338" s="88" t="n">
        <f aca="false">IF(OR($C338="01-09",SUM($AW338)=0),"",0%)</f>
        <v>0</v>
      </c>
      <c r="AY338" s="39" t="n">
        <f aca="false">IF(OR($C338="01-09",SUM($AW338)=0),"",ROUND($AW338*(1+$AX338),0))</f>
        <v>73</v>
      </c>
      <c r="AZ338" s="88" t="n">
        <f aca="false">IF(OR($C338="01-09",$C338="10-14"),"",100%)</f>
        <v>1</v>
      </c>
      <c r="BA338" s="39" t="str">
        <f aca="false">IF(OR(SUM($AM338)=0,$C338="01-09",$C338="10-14"),"",$AM338*$AZ338)</f>
        <v/>
      </c>
    </row>
    <row r="339" customFormat="false" ht="15" hidden="false" customHeight="false" outlineLevel="0" collapsed="false">
      <c r="A339" s="0" t="str">
        <f aca="false">INDEX(Prioritization!$D:$D,MATCH($B339,Prioritization!$A:$A,0))</f>
        <v>1 - Scale-up: Saturation</v>
      </c>
      <c r="B339" s="0" t="s">
        <v>221</v>
      </c>
      <c r="C339" s="0" t="s">
        <v>363</v>
      </c>
      <c r="D339" s="0" t="s">
        <v>30</v>
      </c>
      <c r="E339" s="0" t="str">
        <f aca="false">$B339&amp;"|"&amp;$C339&amp;"|"&amp;$D339</f>
        <v>Thyolo District [ul0y9diGujK]|01-09|Female</v>
      </c>
      <c r="F339" s="88" t="n">
        <f aca="false">IF(LEFT($B339,4)="_Mil","",INDEX(Cascade!$AA:$AA,MATCH($E339,Cascade!$E:$E,0)))</f>
        <v>1921</v>
      </c>
      <c r="G339" s="10" t="n">
        <f aca="false">INDEX(Cascade!$BH:$BH,MATCH($E339,Cascade!$E:$E,0))</f>
        <v>0</v>
      </c>
      <c r="H339" s="10" t="str">
        <f aca="false">IF(OR($C339="01-09",$D339="Male"),"",INDEX(PMTCT!$AC:$AC,MATCH($E339,PMTCT!$E:$E,0)))</f>
        <v/>
      </c>
      <c r="I339" s="10" t="str">
        <f aca="false">IF(OR($C339="01-09",$D339="Male"),"",INDEX(PMTCT!$AS:$AS,MATCH($E339,PMTCT!$E:$E,0)))</f>
        <v/>
      </c>
      <c r="J339" s="10" t="str">
        <f aca="false">INDEX(TB!$P:$P,MATCH($E339,TB!$E:$E,0))</f>
        <v/>
      </c>
      <c r="K339" s="10" t="str">
        <f aca="false">IF(OR($C339="01-09",$C339="10-14",$D339="Female"),"",INDEX(VMMC!$AA:$AA,MATCH($E339,VMMC!$E:$E,0)))</f>
        <v/>
      </c>
      <c r="L339" s="10" t="n">
        <f aca="false">SUM($G339)-SUM($H339:$K339)</f>
        <v>0</v>
      </c>
      <c r="M339" s="88" t="str">
        <f aca="false">IF(OR($C339="01-09",$D339="Male",AND(SUM($G339)=0,SUM($H339)=0)),"",SUM($H339)/SUM($G339))</f>
        <v/>
      </c>
      <c r="N339" s="88" t="str">
        <f aca="false">IF(OR($C339="01-09",$D339="Male",AND(SUM($G339)=0,SUM($I339)=0)),"",SUM($I339)/SUM($G339))</f>
        <v/>
      </c>
      <c r="O339" s="88" t="str">
        <f aca="false">IF(AND(SUM($G339)=0,SUM($J339)=0),"",SUM($J339)/SUM($G339))</f>
        <v/>
      </c>
      <c r="P339" s="88" t="str">
        <f aca="false">IF(OR($C339="01-09",$C339="10-14",$D339="Female",AND(SUM($G339)=0,SUM($K339)=0)),"",SUM($K339)/SUM($G339))</f>
        <v/>
      </c>
      <c r="Q339" s="88"/>
      <c r="R339" s="88"/>
      <c r="S339" s="88"/>
      <c r="T339" s="88"/>
      <c r="U339" s="88"/>
      <c r="V339" s="88" t="str">
        <f aca="false">IF(SUM($G339)=0,"",SUM($M339:$U339))</f>
        <v/>
      </c>
      <c r="W339" s="88"/>
      <c r="X339" s="39" t="str">
        <f aca="false">IF(OR(SUM($G339)=0,SUM($Q339)=0),"",ROUND(SUM($G339)*SUM($Q339),0))</f>
        <v/>
      </c>
      <c r="Y339" s="39" t="str">
        <f aca="false">IF(SUM($X339)=0,"",IF(SUM($W339)=0,"ENTER YIELD",ROUND($X339/$W339,0)-$X339))</f>
        <v/>
      </c>
      <c r="Z339" s="88"/>
      <c r="AA339" s="39" t="str">
        <f aca="false">IF(OR(SUM($G339)=0,SUM($R339)=0),"",ROUND(SUM($G339)*SUM($R339),0))</f>
        <v/>
      </c>
      <c r="AB339" s="39" t="str">
        <f aca="false">IF(SUM($AA339)=0,"",IF(SUM($Z339)=0,"ENTER YIELD",ROUND($AA339/$Z339,0)-$AA339))</f>
        <v/>
      </c>
      <c r="AC339" s="88"/>
      <c r="AD339" s="39" t="str">
        <f aca="false">IF(OR(SUM($G339)=0,SUM($S339)=0),"",ROUND(SUM($G339)*SUM($S339),0))</f>
        <v/>
      </c>
      <c r="AE339" s="39" t="str">
        <f aca="false">IF(SUM($AD339)=0,"",IF(SUM($AC339)=0,"ENTER YIELD",ROUND($AD339/$AC339,0)-$AD339))</f>
        <v/>
      </c>
      <c r="AF339" s="88"/>
      <c r="AG339" s="39" t="str">
        <f aca="false">IF(OR(SUM($G339)=0,SUM($T339)=0),"",ROUND(SUM($G339)*SUM($T339),0))</f>
        <v/>
      </c>
      <c r="AH339" s="39" t="str">
        <f aca="false">IF(SUM($AG339)=0,"",IF(SUM($AF339)=0,"ENTER YIELD",ROUND($AG339/$AF339,0)-$AG339))</f>
        <v/>
      </c>
      <c r="AI339" s="88"/>
      <c r="AJ339" s="39" t="str">
        <f aca="false">IF(OR(SUM($G339)=0,SUM($U339)=0),"",ROUND(SUM($G339)*SUM($U339),0))</f>
        <v/>
      </c>
      <c r="AK339" s="39" t="str">
        <f aca="false">IF(SUM($AJ339)=0,"",IF(SUM($AI339)=0,"ENTER YIELD",ROUND($AJ339/$AI339,0)-$AJ339))</f>
        <v/>
      </c>
      <c r="AL339" s="10" t="str">
        <f aca="false">IF(SUM($G339)=0,"",$G339)</f>
        <v/>
      </c>
      <c r="AM339" s="10" t="str">
        <f aca="false">IFERROR(1/(1/SUM($H339:$K339,$X339,$AA339,$AD339,$AG339,$AJ339)),"")</f>
        <v/>
      </c>
      <c r="AN339" s="10" t="str">
        <f aca="false">IF(AND(SUM($AM339)=0,SUM($AL339)=0),"",$AM339-$AL339)</f>
        <v/>
      </c>
      <c r="AO339" s="10" t="str">
        <f aca="false">IF(OR($C339="01-09",$D339="Male"),"",INDEX(PMTCT!$AD:$AD,MATCH($E339,PMTCT!$E:$E,0)))</f>
        <v/>
      </c>
      <c r="AP339" s="10" t="str">
        <f aca="false">IF(OR($C339="01-09",$D339="Male"),"",INDEX(PMTCT!$AT:$AT,MATCH($E339,PMTCT!$E:$E,0)))</f>
        <v/>
      </c>
      <c r="AQ339" s="10" t="str">
        <f aca="false">INDEX(TB!$Q:$Q,MATCH($E339,TB!$E:$E,0))</f>
        <v/>
      </c>
      <c r="AR339" s="10" t="str">
        <f aca="false">IF(OR($C339="01-09",$C339="10-14",$D339="Female"),"",INDEX(VMMC!$AB:$AB,MATCH($E339,VMMC!$E:$E,0)))</f>
        <v/>
      </c>
      <c r="AS339" s="10" t="str">
        <f aca="false">IF(OR($C339="01-09",$C339="10-14"),"",INDEX(PrEP!$Q:$Q,MATCH($E339,PrEP!$E:$E,0)))</f>
        <v/>
      </c>
      <c r="AT339" s="10" t="str">
        <f aca="false">IFERROR(1/(1/SUM($Y339,$AB339,$AE339,$AH339,$AK339,$AO339:$AS339)),"")</f>
        <v/>
      </c>
      <c r="AU339" s="10" t="str">
        <f aca="false">IFERROR(1/(1/SUM($AT339,$AM339)),"")</f>
        <v/>
      </c>
      <c r="AV339" s="88" t="str">
        <f aca="false">IF(AND(SUM($AM339)=0,SUM($AU339)=0),"",$AM339/$AU339)</f>
        <v/>
      </c>
      <c r="AW339" s="10"/>
      <c r="AX339" s="88" t="str">
        <f aca="false">IF(OR($C339="01-09",SUM($AW339)=0),"",0%)</f>
        <v/>
      </c>
      <c r="AY339" s="39" t="str">
        <f aca="false">IF(OR($C339="01-09",SUM($AW339)=0),"",ROUND($AW339*(1+$AX339),0))</f>
        <v/>
      </c>
      <c r="AZ339" s="88" t="str">
        <f aca="false">IF(OR($C339="01-09",$C339="10-14"),"",100%)</f>
        <v/>
      </c>
      <c r="BA339" s="39" t="str">
        <f aca="false">IF(OR(SUM($AM339)=0,$C339="01-09",$C339="10-14"),"",$AM339*$AZ339)</f>
        <v/>
      </c>
    </row>
    <row r="340" customFormat="false" ht="15" hidden="false" customHeight="false" outlineLevel="0" collapsed="false">
      <c r="A340" s="0" t="str">
        <f aca="false">INDEX(Prioritization!$D:$D,MATCH($B340,Prioritization!$A:$A,0))</f>
        <v>1 - Scale-up: Saturation</v>
      </c>
      <c r="B340" s="0" t="s">
        <v>221</v>
      </c>
      <c r="C340" s="0" t="s">
        <v>363</v>
      </c>
      <c r="D340" s="0" t="s">
        <v>48</v>
      </c>
      <c r="E340" s="0" t="str">
        <f aca="false">$B340&amp;"|"&amp;$C340&amp;"|"&amp;$D340</f>
        <v>Thyolo District [ul0y9diGujK]|01-09|Male</v>
      </c>
      <c r="F340" s="88" t="n">
        <f aca="false">IF(LEFT($B340,4)="_Mil","",INDEX(Cascade!$AA:$AA,MATCH($E340,Cascade!$E:$E,0)))</f>
        <v>1426</v>
      </c>
      <c r="G340" s="10" t="n">
        <f aca="false">INDEX(Cascade!$BH:$BH,MATCH($E340,Cascade!$E:$E,0))</f>
        <v>0</v>
      </c>
      <c r="H340" s="10" t="str">
        <f aca="false">IF(OR($C340="01-09",$D340="Male"),"",INDEX(PMTCT!$AC:$AC,MATCH($E340,PMTCT!$E:$E,0)))</f>
        <v/>
      </c>
      <c r="I340" s="10" t="str">
        <f aca="false">IF(OR($C340="01-09",$D340="Male"),"",INDEX(PMTCT!$AS:$AS,MATCH($E340,PMTCT!$E:$E,0)))</f>
        <v/>
      </c>
      <c r="J340" s="10" t="str">
        <f aca="false">INDEX(TB!$P:$P,MATCH($E340,TB!$E:$E,0))</f>
        <v/>
      </c>
      <c r="K340" s="10" t="str">
        <f aca="false">IF(OR($C340="01-09",$C340="10-14",$D340="Female"),"",INDEX(VMMC!$AA:$AA,MATCH($E340,VMMC!$E:$E,0)))</f>
        <v/>
      </c>
      <c r="L340" s="10" t="n">
        <f aca="false">SUM($G340)-SUM($H340:$K340)</f>
        <v>0</v>
      </c>
      <c r="M340" s="88" t="str">
        <f aca="false">IF(OR($C340="01-09",$D340="Male",AND(SUM($G340)=0,SUM($H340)=0)),"",SUM($H340)/SUM($G340))</f>
        <v/>
      </c>
      <c r="N340" s="88" t="str">
        <f aca="false">IF(OR($C340="01-09",$D340="Male",AND(SUM($G340)=0,SUM($I340)=0)),"",SUM($I340)/SUM($G340))</f>
        <v/>
      </c>
      <c r="O340" s="88" t="str">
        <f aca="false">IF(AND(SUM($G340)=0,SUM($J340)=0),"",SUM($J340)/SUM($G340))</f>
        <v/>
      </c>
      <c r="P340" s="88" t="str">
        <f aca="false">IF(OR($C340="01-09",$C340="10-14",$D340="Female",AND(SUM($G340)=0,SUM($K340)=0)),"",SUM($K340)/SUM($G340))</f>
        <v/>
      </c>
      <c r="Q340" s="88"/>
      <c r="R340" s="88"/>
      <c r="S340" s="88"/>
      <c r="T340" s="88"/>
      <c r="U340" s="88"/>
      <c r="V340" s="88" t="str">
        <f aca="false">IF(SUM($G340)=0,"",SUM($M340:$U340))</f>
        <v/>
      </c>
      <c r="W340" s="88"/>
      <c r="X340" s="39" t="str">
        <f aca="false">IF(OR(SUM($G340)=0,SUM($Q340)=0),"",ROUND(SUM($G340)*SUM($Q340),0))</f>
        <v/>
      </c>
      <c r="Y340" s="39" t="str">
        <f aca="false">IF(SUM($X340)=0,"",IF(SUM($W340)=0,"ENTER YIELD",ROUND($X340/$W340,0)-$X340))</f>
        <v/>
      </c>
      <c r="Z340" s="88"/>
      <c r="AA340" s="39" t="str">
        <f aca="false">IF(OR(SUM($G340)=0,SUM($R340)=0),"",ROUND(SUM($G340)*SUM($R340),0))</f>
        <v/>
      </c>
      <c r="AB340" s="39" t="str">
        <f aca="false">IF(SUM($AA340)=0,"",IF(SUM($Z340)=0,"ENTER YIELD",ROUND($AA340/$Z340,0)-$AA340))</f>
        <v/>
      </c>
      <c r="AC340" s="88"/>
      <c r="AD340" s="39" t="str">
        <f aca="false">IF(OR(SUM($G340)=0,SUM($S340)=0),"",ROUND(SUM($G340)*SUM($S340),0))</f>
        <v/>
      </c>
      <c r="AE340" s="39" t="str">
        <f aca="false">IF(SUM($AD340)=0,"",IF(SUM($AC340)=0,"ENTER YIELD",ROUND($AD340/$AC340,0)-$AD340))</f>
        <v/>
      </c>
      <c r="AF340" s="88"/>
      <c r="AG340" s="39" t="str">
        <f aca="false">IF(OR(SUM($G340)=0,SUM($T340)=0),"",ROUND(SUM($G340)*SUM($T340),0))</f>
        <v/>
      </c>
      <c r="AH340" s="39" t="str">
        <f aca="false">IF(SUM($AG340)=0,"",IF(SUM($AF340)=0,"ENTER YIELD",ROUND($AG340/$AF340,0)-$AG340))</f>
        <v/>
      </c>
      <c r="AI340" s="88"/>
      <c r="AJ340" s="39" t="str">
        <f aca="false">IF(OR(SUM($G340)=0,SUM($U340)=0),"",ROUND(SUM($G340)*SUM($U340),0))</f>
        <v/>
      </c>
      <c r="AK340" s="39" t="str">
        <f aca="false">IF(SUM($AJ340)=0,"",IF(SUM($AI340)=0,"ENTER YIELD",ROUND($AJ340/$AI340,0)-$AJ340))</f>
        <v/>
      </c>
      <c r="AL340" s="10" t="str">
        <f aca="false">IF(SUM($G340)=0,"",$G340)</f>
        <v/>
      </c>
      <c r="AM340" s="10" t="str">
        <f aca="false">IFERROR(1/(1/SUM($H340:$K340,$X340,$AA340,$AD340,$AG340,$AJ340)),"")</f>
        <v/>
      </c>
      <c r="AN340" s="10" t="str">
        <f aca="false">IF(AND(SUM($AM340)=0,SUM($AL340)=0),"",$AM340-$AL340)</f>
        <v/>
      </c>
      <c r="AO340" s="10" t="str">
        <f aca="false">IF(OR($C340="01-09",$D340="Male"),"",INDEX(PMTCT!$AD:$AD,MATCH($E340,PMTCT!$E:$E,0)))</f>
        <v/>
      </c>
      <c r="AP340" s="10" t="str">
        <f aca="false">IF(OR($C340="01-09",$D340="Male"),"",INDEX(PMTCT!$AT:$AT,MATCH($E340,PMTCT!$E:$E,0)))</f>
        <v/>
      </c>
      <c r="AQ340" s="10" t="str">
        <f aca="false">INDEX(TB!$Q:$Q,MATCH($E340,TB!$E:$E,0))</f>
        <v/>
      </c>
      <c r="AR340" s="10" t="str">
        <f aca="false">IF(OR($C340="01-09",$C340="10-14",$D340="Female"),"",INDEX(VMMC!$AB:$AB,MATCH($E340,VMMC!$E:$E,0)))</f>
        <v/>
      </c>
      <c r="AS340" s="10" t="str">
        <f aca="false">IF(OR($C340="01-09",$C340="10-14"),"",INDEX(PrEP!$Q:$Q,MATCH($E340,PrEP!$E:$E,0)))</f>
        <v/>
      </c>
      <c r="AT340" s="10" t="str">
        <f aca="false">IFERROR(1/(1/SUM($Y340,$AB340,$AE340,$AH340,$AK340,$AO340:$AS340)),"")</f>
        <v/>
      </c>
      <c r="AU340" s="10" t="str">
        <f aca="false">IFERROR(1/(1/SUM($AT340,$AM340)),"")</f>
        <v/>
      </c>
      <c r="AV340" s="88" t="str">
        <f aca="false">IF(AND(SUM($AM340)=0,SUM($AU340)=0),"",$AM340/$AU340)</f>
        <v/>
      </c>
      <c r="AW340" s="10"/>
      <c r="AX340" s="88" t="str">
        <f aca="false">IF(OR($C340="01-09",SUM($AW340)=0),"",0%)</f>
        <v/>
      </c>
      <c r="AY340" s="39" t="str">
        <f aca="false">IF(OR($C340="01-09",SUM($AW340)=0),"",ROUND($AW340*(1+$AX340),0))</f>
        <v/>
      </c>
      <c r="AZ340" s="88" t="str">
        <f aca="false">IF(OR($C340="01-09",$C340="10-14"),"",100%)</f>
        <v/>
      </c>
      <c r="BA340" s="39" t="str">
        <f aca="false">IF(OR(SUM($AM340)=0,$C340="01-09",$C340="10-14"),"",$AM340*$AZ340)</f>
        <v/>
      </c>
    </row>
    <row r="341" customFormat="false" ht="15" hidden="false" customHeight="false" outlineLevel="0" collapsed="false">
      <c r="A341" s="0" t="str">
        <f aca="false">INDEX(Prioritization!$D:$D,MATCH($B341,Prioritization!$A:$A,0))</f>
        <v>1 - Scale-up: Saturation</v>
      </c>
      <c r="B341" s="0" t="s">
        <v>221</v>
      </c>
      <c r="C341" s="0" t="s">
        <v>364</v>
      </c>
      <c r="D341" s="0" t="s">
        <v>30</v>
      </c>
      <c r="E341" s="0" t="str">
        <f aca="false">$B341&amp;"|"&amp;$C341&amp;"|"&amp;$D341</f>
        <v>Thyolo District [ul0y9diGujK]|10-14|Female</v>
      </c>
      <c r="F341" s="88" t="n">
        <f aca="false">IF(LEFT($B341,4)="_Mil","",INDEX(Cascade!$AA:$AA,MATCH($E341,Cascade!$E:$E,0)))</f>
        <v>680</v>
      </c>
      <c r="G341" s="10" t="n">
        <f aca="false">INDEX(Cascade!$BH:$BH,MATCH($E341,Cascade!$E:$E,0))</f>
        <v>-102</v>
      </c>
      <c r="H341" s="10" t="n">
        <f aca="false">IF(OR($C341="01-09",$D341="Male"),"",INDEX(PMTCT!$AC:$AC,MATCH($E341,PMTCT!$E:$E,0)))</f>
        <v>0</v>
      </c>
      <c r="I341" s="10" t="str">
        <f aca="false">IF(OR($C341="01-09",$D341="Male"),"",INDEX(PMTCT!$AS:$AS,MATCH($E341,PMTCT!$E:$E,0)))</f>
        <v/>
      </c>
      <c r="J341" s="10" t="str">
        <f aca="false">INDEX(TB!$P:$P,MATCH($E341,TB!$E:$E,0))</f>
        <v/>
      </c>
      <c r="K341" s="10" t="str">
        <f aca="false">IF(OR($C341="01-09",$C341="10-14",$D341="Female"),"",INDEX(VMMC!$AA:$AA,MATCH($E341,VMMC!$E:$E,0)))</f>
        <v/>
      </c>
      <c r="L341" s="10" t="n">
        <f aca="false">SUM($G341)-SUM($H341:$K341)</f>
        <v>-102</v>
      </c>
      <c r="M341" s="88" t="n">
        <f aca="false">IF(OR($C341="01-09",$D341="Male",AND(SUM($G341)=0,SUM($H341)=0)),"",SUM($H341)/SUM($G341))</f>
        <v>-0</v>
      </c>
      <c r="N341" s="88" t="n">
        <f aca="false">IF(OR($C341="01-09",$D341="Male",AND(SUM($G341)=0,SUM($I341)=0)),"",SUM($I341)/SUM($G341))</f>
        <v>-0</v>
      </c>
      <c r="O341" s="88" t="n">
        <f aca="false">IF(AND(SUM($G341)=0,SUM($J341)=0),"",SUM($J341)/SUM($G341))</f>
        <v>-0</v>
      </c>
      <c r="P341" s="88" t="str">
        <f aca="false">IF(OR($C341="01-09",$C341="10-14",$D341="Female",AND(SUM($G341)=0,SUM($K341)=0)),"",SUM($K341)/SUM($G341))</f>
        <v/>
      </c>
      <c r="Q341" s="88" t="n">
        <v>0.851494360715151</v>
      </c>
      <c r="R341" s="88"/>
      <c r="S341" s="88"/>
      <c r="T341" s="88"/>
      <c r="U341" s="88" t="n">
        <v>0.315253851469606</v>
      </c>
      <c r="V341" s="88" t="n">
        <f aca="false">IF(SUM($G341)=0,"",SUM($M341:$U341))</f>
        <v>1.16674821218476</v>
      </c>
      <c r="W341" s="88"/>
      <c r="X341" s="39" t="n">
        <f aca="false">IF(OR(SUM($G341)=0,SUM($Q341)=0),"",ROUND(SUM($G341)*SUM($Q341),0))</f>
        <v>-87</v>
      </c>
      <c r="Y341" s="39" t="str">
        <f aca="false">IF(SUM($X341)=0,"",IF(SUM($W341)=0,"ENTER YIELD",ROUND($X341/$W341,0)-$X341))</f>
        <v>ENTER YIELD</v>
      </c>
      <c r="Z341" s="88"/>
      <c r="AA341" s="39" t="str">
        <f aca="false">IF(OR(SUM($G341)=0,SUM($R341)=0),"",ROUND(SUM($G341)*SUM($R341),0))</f>
        <v/>
      </c>
      <c r="AB341" s="39" t="str">
        <f aca="false">IF(SUM($AA341)=0,"",IF(SUM($Z341)=0,"ENTER YIELD",ROUND($AA341/$Z341,0)-$AA341))</f>
        <v/>
      </c>
      <c r="AC341" s="88"/>
      <c r="AD341" s="39" t="str">
        <f aca="false">IF(OR(SUM($G341)=0,SUM($S341)=0),"",ROUND(SUM($G341)*SUM($S341),0))</f>
        <v/>
      </c>
      <c r="AE341" s="39" t="str">
        <f aca="false">IF(SUM($AD341)=0,"",IF(SUM($AC341)=0,"ENTER YIELD",ROUND($AD341/$AC341,0)-$AD341))</f>
        <v/>
      </c>
      <c r="AF341" s="88"/>
      <c r="AG341" s="39" t="str">
        <f aca="false">IF(OR(SUM($G341)=0,SUM($T341)=0),"",ROUND(SUM($G341)*SUM($T341),0))</f>
        <v/>
      </c>
      <c r="AH341" s="39" t="str">
        <f aca="false">IF(SUM($AG341)=0,"",IF(SUM($AF341)=0,"ENTER YIELD",ROUND($AG341/$AF341,0)-$AG341))</f>
        <v/>
      </c>
      <c r="AI341" s="88" t="n">
        <v>0.616463798331097</v>
      </c>
      <c r="AJ341" s="39" t="n">
        <f aca="false">IF(OR(SUM($G341)=0,SUM($U341)=0),"",ROUND(SUM($G341)*SUM($U341),0))</f>
        <v>-32</v>
      </c>
      <c r="AK341" s="39" t="n">
        <f aca="false">IF(SUM($AJ341)=0,"",IF(SUM($AI341)=0,"ENTER YIELD",ROUND($AJ341/$AI341,0)-$AJ341))</f>
        <v>-20</v>
      </c>
      <c r="AL341" s="10" t="n">
        <f aca="false">IF(SUM($G341)=0,"",$G341)</f>
        <v>-102</v>
      </c>
      <c r="AM341" s="10" t="n">
        <f aca="false">IFERROR(1/(1/SUM($H341:$K341,$X341,$AA341,$AD341,$AG341,$AJ341)),"")</f>
        <v>-119</v>
      </c>
      <c r="AN341" s="10" t="n">
        <f aca="false">IF(AND(SUM($AM341)=0,SUM($AL341)=0),"",$AM341-$AL341)</f>
        <v>-17</v>
      </c>
      <c r="AO341" s="10" t="n">
        <f aca="false">IF(OR($C341="01-09",$D341="Male"),"",INDEX(PMTCT!$AD:$AD,MATCH($E341,PMTCT!$E:$E,0)))</f>
        <v>0</v>
      </c>
      <c r="AP341" s="10" t="str">
        <f aca="false">IF(OR($C341="01-09",$D341="Male"),"",INDEX(PMTCT!$AT:$AT,MATCH($E341,PMTCT!$E:$E,0)))</f>
        <v/>
      </c>
      <c r="AQ341" s="10" t="str">
        <f aca="false">INDEX(TB!$Q:$Q,MATCH($E341,TB!$E:$E,0))</f>
        <v/>
      </c>
      <c r="AR341" s="10" t="str">
        <f aca="false">IF(OR($C341="01-09",$C341="10-14",$D341="Female"),"",INDEX(VMMC!$AB:$AB,MATCH($E341,VMMC!$E:$E,0)))</f>
        <v/>
      </c>
      <c r="AS341" s="10" t="str">
        <f aca="false">IF(OR($C341="01-09",$C341="10-14"),"",INDEX(PrEP!$Q:$Q,MATCH($E341,PrEP!$E:$E,0)))</f>
        <v/>
      </c>
      <c r="AT341" s="10" t="n">
        <f aca="false">IFERROR(1/(1/SUM($Y341,$AB341,$AE341,$AH341,$AK341,$AO341:$AS341)),"")</f>
        <v>-20</v>
      </c>
      <c r="AU341" s="10" t="n">
        <f aca="false">IFERROR(1/(1/SUM($AT341,$AM341)),"")</f>
        <v>-139</v>
      </c>
      <c r="AV341" s="88" t="n">
        <f aca="false">IF(AND(SUM($AM341)=0,SUM($AU341)=0),"",$AM341/$AU341)</f>
        <v>0.856115107913669</v>
      </c>
      <c r="AW341" s="10"/>
      <c r="AX341" s="88" t="str">
        <f aca="false">IF(OR($C341="01-09",SUM($AW341)=0),"",0%)</f>
        <v/>
      </c>
      <c r="AY341" s="39" t="str">
        <f aca="false">IF(OR($C341="01-09",SUM($AW341)=0),"",ROUND($AW341*(1+$AX341),0))</f>
        <v/>
      </c>
      <c r="AZ341" s="88" t="str">
        <f aca="false">IF(OR($C341="01-09",$C341="10-14"),"",100%)</f>
        <v/>
      </c>
      <c r="BA341" s="39" t="str">
        <f aca="false">IF(OR(SUM($AM341)=0,$C341="01-09",$C341="10-14"),"",$AM341*$AZ341)</f>
        <v/>
      </c>
    </row>
    <row r="342" customFormat="false" ht="15" hidden="false" customHeight="false" outlineLevel="0" collapsed="false">
      <c r="A342" s="0" t="str">
        <f aca="false">INDEX(Prioritization!$D:$D,MATCH($B342,Prioritization!$A:$A,0))</f>
        <v>1 - Scale-up: Saturation</v>
      </c>
      <c r="B342" s="0" t="s">
        <v>221</v>
      </c>
      <c r="C342" s="0" t="s">
        <v>364</v>
      </c>
      <c r="D342" s="0" t="s">
        <v>48</v>
      </c>
      <c r="E342" s="0" t="str">
        <f aca="false">$B342&amp;"|"&amp;$C342&amp;"|"&amp;$D342</f>
        <v>Thyolo District [ul0y9diGujK]|10-14|Male</v>
      </c>
      <c r="F342" s="88" t="n">
        <f aca="false">IF(LEFT($B342,4)="_Mil","",INDEX(Cascade!$AA:$AA,MATCH($E342,Cascade!$E:$E,0)))</f>
        <v>1575</v>
      </c>
      <c r="G342" s="10" t="n">
        <f aca="false">INDEX(Cascade!$BH:$BH,MATCH($E342,Cascade!$E:$E,0))</f>
        <v>-95</v>
      </c>
      <c r="H342" s="10" t="str">
        <f aca="false">IF(OR($C342="01-09",$D342="Male"),"",INDEX(PMTCT!$AC:$AC,MATCH($E342,PMTCT!$E:$E,0)))</f>
        <v/>
      </c>
      <c r="I342" s="10" t="str">
        <f aca="false">IF(OR($C342="01-09",$D342="Male"),"",INDEX(PMTCT!$AS:$AS,MATCH($E342,PMTCT!$E:$E,0)))</f>
        <v/>
      </c>
      <c r="J342" s="10" t="str">
        <f aca="false">INDEX(TB!$P:$P,MATCH($E342,TB!$E:$E,0))</f>
        <v>ENTER YIELD RATE</v>
      </c>
      <c r="K342" s="10" t="str">
        <f aca="false">IF(OR($C342="01-09",$C342="10-14",$D342="Female"),"",INDEX(VMMC!$AA:$AA,MATCH($E342,VMMC!$E:$E,0)))</f>
        <v/>
      </c>
      <c r="L342" s="10" t="n">
        <f aca="false">SUM($G342)-SUM($H342:$K342)</f>
        <v>-95</v>
      </c>
      <c r="M342" s="88" t="str">
        <f aca="false">IF(OR($C342="01-09",$D342="Male",AND(SUM($G342)=0,SUM($H342)=0)),"",SUM($H342)/SUM($G342))</f>
        <v/>
      </c>
      <c r="N342" s="88" t="str">
        <f aca="false">IF(OR($C342="01-09",$D342="Male",AND(SUM($G342)=0,SUM($I342)=0)),"",SUM($I342)/SUM($G342))</f>
        <v/>
      </c>
      <c r="O342" s="88" t="n">
        <f aca="false">IF(AND(SUM($G342)=0,SUM($J342)=0),"",SUM($J342)/SUM($G342))</f>
        <v>-0</v>
      </c>
      <c r="P342" s="88" t="str">
        <f aca="false">IF(OR($C342="01-09",$C342="10-14",$D342="Female",AND(SUM($G342)=0,SUM($K342)=0)),"",SUM($K342)/SUM($G342))</f>
        <v/>
      </c>
      <c r="Q342" s="88" t="n">
        <v>0.21935015777126</v>
      </c>
      <c r="R342" s="88"/>
      <c r="S342" s="88"/>
      <c r="T342" s="88"/>
      <c r="U342" s="88" t="n">
        <v>0.333728729980066</v>
      </c>
      <c r="V342" s="88" t="n">
        <f aca="false">IF(SUM($G342)=0,"",SUM($M342:$U342))</f>
        <v>0.553078887751326</v>
      </c>
      <c r="W342" s="88"/>
      <c r="X342" s="39" t="n">
        <f aca="false">IF(OR(SUM($G342)=0,SUM($Q342)=0),"",ROUND(SUM($G342)*SUM($Q342),0))</f>
        <v>-21</v>
      </c>
      <c r="Y342" s="39" t="str">
        <f aca="false">IF(SUM($X342)=0,"",IF(SUM($W342)=0,"ENTER YIELD",ROUND($X342/$W342,0)-$X342))</f>
        <v>ENTER YIELD</v>
      </c>
      <c r="Z342" s="88"/>
      <c r="AA342" s="39" t="str">
        <f aca="false">IF(OR(SUM($G342)=0,SUM($R342)=0),"",ROUND(SUM($G342)*SUM($R342),0))</f>
        <v/>
      </c>
      <c r="AB342" s="39" t="str">
        <f aca="false">IF(SUM($AA342)=0,"",IF(SUM($Z342)=0,"ENTER YIELD",ROUND($AA342/$Z342,0)-$AA342))</f>
        <v/>
      </c>
      <c r="AC342" s="88"/>
      <c r="AD342" s="39" t="str">
        <f aca="false">IF(OR(SUM($G342)=0,SUM($S342)=0),"",ROUND(SUM($G342)*SUM($S342),0))</f>
        <v/>
      </c>
      <c r="AE342" s="39" t="str">
        <f aca="false">IF(SUM($AD342)=0,"",IF(SUM($AC342)=0,"ENTER YIELD",ROUND($AD342/$AC342,0)-$AD342))</f>
        <v/>
      </c>
      <c r="AF342" s="88"/>
      <c r="AG342" s="39" t="str">
        <f aca="false">IF(OR(SUM($G342)=0,SUM($T342)=0),"",ROUND(SUM($G342)*SUM($T342),0))</f>
        <v/>
      </c>
      <c r="AH342" s="39" t="str">
        <f aca="false">IF(SUM($AG342)=0,"",IF(SUM($AF342)=0,"ENTER YIELD",ROUND($AG342/$AF342,0)-$AG342))</f>
        <v/>
      </c>
      <c r="AI342" s="88" t="n">
        <v>0.174589777598158</v>
      </c>
      <c r="AJ342" s="39" t="n">
        <f aca="false">IF(OR(SUM($G342)=0,SUM($U342)=0),"",ROUND(SUM($G342)*SUM($U342),0))</f>
        <v>-32</v>
      </c>
      <c r="AK342" s="39" t="n">
        <f aca="false">IF(SUM($AJ342)=0,"",IF(SUM($AI342)=0,"ENTER YIELD",ROUND($AJ342/$AI342,0)-$AJ342))</f>
        <v>-151</v>
      </c>
      <c r="AL342" s="10" t="n">
        <f aca="false">IF(SUM($G342)=0,"",$G342)</f>
        <v>-95</v>
      </c>
      <c r="AM342" s="10" t="n">
        <f aca="false">IFERROR(1/(1/SUM($H342:$K342,$X342,$AA342,$AD342,$AG342,$AJ342)),"")</f>
        <v>-53</v>
      </c>
      <c r="AN342" s="10" t="n">
        <f aca="false">IF(AND(SUM($AM342)=0,SUM($AL342)=0),"",$AM342-$AL342)</f>
        <v>42</v>
      </c>
      <c r="AO342" s="10" t="str">
        <f aca="false">IF(OR($C342="01-09",$D342="Male"),"",INDEX(PMTCT!$AD:$AD,MATCH($E342,PMTCT!$E:$E,0)))</f>
        <v/>
      </c>
      <c r="AP342" s="10" t="str">
        <f aca="false">IF(OR($C342="01-09",$D342="Male"),"",INDEX(PMTCT!$AT:$AT,MATCH($E342,PMTCT!$E:$E,0)))</f>
        <v/>
      </c>
      <c r="AQ342" s="10" t="n">
        <f aca="false">INDEX(TB!$Q:$Q,MATCH($E342,TB!$E:$E,0))</f>
        <v>1</v>
      </c>
      <c r="AR342" s="10" t="str">
        <f aca="false">IF(OR($C342="01-09",$C342="10-14",$D342="Female"),"",INDEX(VMMC!$AB:$AB,MATCH($E342,VMMC!$E:$E,0)))</f>
        <v/>
      </c>
      <c r="AS342" s="10" t="str">
        <f aca="false">IF(OR($C342="01-09",$C342="10-14"),"",INDEX(PrEP!$Q:$Q,MATCH($E342,PrEP!$E:$E,0)))</f>
        <v/>
      </c>
      <c r="AT342" s="10" t="n">
        <f aca="false">IFERROR(1/(1/SUM($Y342,$AB342,$AE342,$AH342,$AK342,$AO342:$AS342)),"")</f>
        <v>-150</v>
      </c>
      <c r="AU342" s="10" t="n">
        <f aca="false">IFERROR(1/(1/SUM($AT342,$AM342)),"")</f>
        <v>-203</v>
      </c>
      <c r="AV342" s="88" t="n">
        <f aca="false">IF(AND(SUM($AM342)=0,SUM($AU342)=0),"",$AM342/$AU342)</f>
        <v>0.261083743842365</v>
      </c>
      <c r="AW342" s="10"/>
      <c r="AX342" s="88" t="str">
        <f aca="false">IF(OR($C342="01-09",SUM($AW342)=0),"",0%)</f>
        <v/>
      </c>
      <c r="AY342" s="39" t="str">
        <f aca="false">IF(OR($C342="01-09",SUM($AW342)=0),"",ROUND($AW342*(1+$AX342),0))</f>
        <v/>
      </c>
      <c r="AZ342" s="88" t="str">
        <f aca="false">IF(OR($C342="01-09",$C342="10-14"),"",100%)</f>
        <v/>
      </c>
      <c r="BA342" s="39" t="str">
        <f aca="false">IF(OR(SUM($AM342)=0,$C342="01-09",$C342="10-14"),"",$AM342*$AZ342)</f>
        <v/>
      </c>
    </row>
    <row r="343" customFormat="false" ht="15" hidden="false" customHeight="false" outlineLevel="0" collapsed="false">
      <c r="A343" s="0" t="str">
        <f aca="false">INDEX(Prioritization!$D:$D,MATCH($B343,Prioritization!$A:$A,0))</f>
        <v>1 - Scale-up: Saturation</v>
      </c>
      <c r="B343" s="0" t="s">
        <v>221</v>
      </c>
      <c r="C343" s="0" t="s">
        <v>365</v>
      </c>
      <c r="D343" s="0" t="s">
        <v>30</v>
      </c>
      <c r="E343" s="0" t="str">
        <f aca="false">$B343&amp;"|"&amp;$C343&amp;"|"&amp;$D343</f>
        <v>Thyolo District [ul0y9diGujK]|15-24|Female</v>
      </c>
      <c r="F343" s="88" t="n">
        <f aca="false">IF(LEFT($B343,4)="_Mil","",INDEX(Cascade!$AA:$AA,MATCH($E343,Cascade!$E:$E,0)))</f>
        <v>1462</v>
      </c>
      <c r="G343" s="10" t="n">
        <f aca="false">INDEX(Cascade!$BH:$BH,MATCH($E343,Cascade!$E:$E,0))</f>
        <v>0</v>
      </c>
      <c r="H343" s="10" t="str">
        <f aca="false">IF(OR($C343="01-09",$D343="Male"),"",INDEX(PMTCT!$AC:$AC,MATCH($E343,PMTCT!$E:$E,0)))</f>
        <v/>
      </c>
      <c r="I343" s="10" t="str">
        <f aca="false">IF(OR($C343="01-09",$D343="Male"),"",INDEX(PMTCT!$AS:$AS,MATCH($E343,PMTCT!$E:$E,0)))</f>
        <v/>
      </c>
      <c r="J343" s="10" t="str">
        <f aca="false">INDEX(TB!$P:$P,MATCH($E343,TB!$E:$E,0))</f>
        <v/>
      </c>
      <c r="K343" s="10" t="str">
        <f aca="false">IF(OR($C343="01-09",$C343="10-14",$D343="Female"),"",INDEX(VMMC!$AA:$AA,MATCH($E343,VMMC!$E:$E,0)))</f>
        <v/>
      </c>
      <c r="L343" s="10" t="n">
        <f aca="false">SUM($G343)-SUM($H343:$K343)</f>
        <v>0</v>
      </c>
      <c r="M343" s="88" t="str">
        <f aca="false">IF(OR($C343="01-09",$D343="Male",AND(SUM($G343)=0,SUM($H343)=0)),"",SUM($H343)/SUM($G343))</f>
        <v/>
      </c>
      <c r="N343" s="88" t="str">
        <f aca="false">IF(OR($C343="01-09",$D343="Male",AND(SUM($G343)=0,SUM($I343)=0)),"",SUM($I343)/SUM($G343))</f>
        <v/>
      </c>
      <c r="O343" s="88" t="str">
        <f aca="false">IF(AND(SUM($G343)=0,SUM($J343)=0),"",SUM($J343)/SUM($G343))</f>
        <v/>
      </c>
      <c r="P343" s="88" t="str">
        <f aca="false">IF(OR($C343="01-09",$C343="10-14",$D343="Female",AND(SUM($G343)=0,SUM($K343)=0)),"",SUM($K343)/SUM($G343))</f>
        <v/>
      </c>
      <c r="Q343" s="88"/>
      <c r="R343" s="88"/>
      <c r="S343" s="88"/>
      <c r="T343" s="88"/>
      <c r="U343" s="88"/>
      <c r="V343" s="88" t="str">
        <f aca="false">IF(SUM($G343)=0,"",SUM($M343:$U343))</f>
        <v/>
      </c>
      <c r="W343" s="88"/>
      <c r="X343" s="39" t="str">
        <f aca="false">IF(OR(SUM($G343)=0,SUM($Q343)=0),"",ROUND(SUM($G343)*SUM($Q343),0))</f>
        <v/>
      </c>
      <c r="Y343" s="39" t="str">
        <f aca="false">IF(SUM($X343)=0,"",IF(SUM($W343)=0,"ENTER YIELD",ROUND($X343/$W343,0)-$X343))</f>
        <v/>
      </c>
      <c r="Z343" s="88"/>
      <c r="AA343" s="39" t="str">
        <f aca="false">IF(OR(SUM($G343)=0,SUM($R343)=0),"",ROUND(SUM($G343)*SUM($R343),0))</f>
        <v/>
      </c>
      <c r="AB343" s="39" t="str">
        <f aca="false">IF(SUM($AA343)=0,"",IF(SUM($Z343)=0,"ENTER YIELD",ROUND($AA343/$Z343,0)-$AA343))</f>
        <v/>
      </c>
      <c r="AC343" s="88"/>
      <c r="AD343" s="39" t="str">
        <f aca="false">IF(OR(SUM($G343)=0,SUM($S343)=0),"",ROUND(SUM($G343)*SUM($S343),0))</f>
        <v/>
      </c>
      <c r="AE343" s="39" t="str">
        <f aca="false">IF(SUM($AD343)=0,"",IF(SUM($AC343)=0,"ENTER YIELD",ROUND($AD343/$AC343,0)-$AD343))</f>
        <v/>
      </c>
      <c r="AF343" s="88"/>
      <c r="AG343" s="39" t="str">
        <f aca="false">IF(OR(SUM($G343)=0,SUM($T343)=0),"",ROUND(SUM($G343)*SUM($T343),0))</f>
        <v/>
      </c>
      <c r="AH343" s="39" t="str">
        <f aca="false">IF(SUM($AG343)=0,"",IF(SUM($AF343)=0,"ENTER YIELD",ROUND($AG343/$AF343,0)-$AG343))</f>
        <v/>
      </c>
      <c r="AI343" s="88"/>
      <c r="AJ343" s="39" t="str">
        <f aca="false">IF(OR(SUM($G343)=0,SUM($U343)=0),"",ROUND(SUM($G343)*SUM($U343),0))</f>
        <v/>
      </c>
      <c r="AK343" s="39" t="str">
        <f aca="false">IF(SUM($AJ343)=0,"",IF(SUM($AI343)=0,"ENTER YIELD",ROUND($AJ343/$AI343,0)-$AJ343))</f>
        <v/>
      </c>
      <c r="AL343" s="10" t="str">
        <f aca="false">IF(SUM($G343)=0,"",$G343)</f>
        <v/>
      </c>
      <c r="AM343" s="10" t="str">
        <f aca="false">IFERROR(1/(1/SUM($H343:$K343,$X343,$AA343,$AD343,$AG343,$AJ343)),"")</f>
        <v/>
      </c>
      <c r="AN343" s="10" t="str">
        <f aca="false">IF(AND(SUM($AM343)=0,SUM($AL343)=0),"",$AM343-$AL343)</f>
        <v/>
      </c>
      <c r="AO343" s="10" t="str">
        <f aca="false">IF(OR($C343="01-09",$D343="Male"),"",INDEX(PMTCT!$AD:$AD,MATCH($E343,PMTCT!$E:$E,0)))</f>
        <v/>
      </c>
      <c r="AP343" s="10" t="str">
        <f aca="false">IF(OR($C343="01-09",$D343="Male"),"",INDEX(PMTCT!$AT:$AT,MATCH($E343,PMTCT!$E:$E,0)))</f>
        <v/>
      </c>
      <c r="AQ343" s="10" t="str">
        <f aca="false">INDEX(TB!$Q:$Q,MATCH($E343,TB!$E:$E,0))</f>
        <v/>
      </c>
      <c r="AR343" s="10" t="str">
        <f aca="false">IF(OR($C343="01-09",$C343="10-14",$D343="Female"),"",INDEX(VMMC!$AB:$AB,MATCH($E343,VMMC!$E:$E,0)))</f>
        <v/>
      </c>
      <c r="AS343" s="10" t="str">
        <f aca="false">IF(OR($C343="01-09",$C343="10-14"),"",INDEX(PrEP!$Q:$Q,MATCH($E343,PrEP!$E:$E,0)))</f>
        <v/>
      </c>
      <c r="AT343" s="10" t="str">
        <f aca="false">IFERROR(1/(1/SUM($Y343,$AB343,$AE343,$AH343,$AK343,$AO343:$AS343)),"")</f>
        <v/>
      </c>
      <c r="AU343" s="10" t="str">
        <f aca="false">IFERROR(1/(1/SUM($AT343,$AM343)),"")</f>
        <v/>
      </c>
      <c r="AV343" s="88" t="str">
        <f aca="false">IF(AND(SUM($AM343)=0,SUM($AU343)=0),"",$AM343/$AU343)</f>
        <v/>
      </c>
      <c r="AW343" s="10"/>
      <c r="AX343" s="88" t="str">
        <f aca="false">IF(OR($C343="01-09",SUM($AW343)=0),"",0%)</f>
        <v/>
      </c>
      <c r="AY343" s="39" t="str">
        <f aca="false">IF(OR($C343="01-09",SUM($AW343)=0),"",ROUND($AW343*(1+$AX343),0))</f>
        <v/>
      </c>
      <c r="AZ343" s="88" t="n">
        <f aca="false">IF(OR($C343="01-09",$C343="10-14"),"",100%)</f>
        <v>1</v>
      </c>
      <c r="BA343" s="39" t="str">
        <f aca="false">IF(OR(SUM($AM343)=0,$C343="01-09",$C343="10-14"),"",$AM343*$AZ343)</f>
        <v/>
      </c>
    </row>
    <row r="344" customFormat="false" ht="15" hidden="false" customHeight="false" outlineLevel="0" collapsed="false">
      <c r="A344" s="0" t="str">
        <f aca="false">INDEX(Prioritization!$D:$D,MATCH($B344,Prioritization!$A:$A,0))</f>
        <v>1 - Scale-up: Saturation</v>
      </c>
      <c r="B344" s="0" t="s">
        <v>221</v>
      </c>
      <c r="C344" s="0" t="s">
        <v>365</v>
      </c>
      <c r="D344" s="0" t="s">
        <v>48</v>
      </c>
      <c r="E344" s="0" t="str">
        <f aca="false">$B344&amp;"|"&amp;$C344&amp;"|"&amp;$D344</f>
        <v>Thyolo District [ul0y9diGujK]|15-24|Male</v>
      </c>
      <c r="F344" s="88" t="n">
        <f aca="false">IF(LEFT($B344,4)="_Mil","",INDEX(Cascade!$AA:$AA,MATCH($E344,Cascade!$E:$E,0)))</f>
        <v>1208</v>
      </c>
      <c r="G344" s="10" t="n">
        <f aca="false">INDEX(Cascade!$BH:$BH,MATCH($E344,Cascade!$E:$E,0))</f>
        <v>0</v>
      </c>
      <c r="H344" s="10" t="str">
        <f aca="false">IF(OR($C344="01-09",$D344="Male"),"",INDEX(PMTCT!$AC:$AC,MATCH($E344,PMTCT!$E:$E,0)))</f>
        <v/>
      </c>
      <c r="I344" s="10" t="str">
        <f aca="false">IF(OR($C344="01-09",$D344="Male"),"",INDEX(PMTCT!$AS:$AS,MATCH($E344,PMTCT!$E:$E,0)))</f>
        <v/>
      </c>
      <c r="J344" s="10" t="str">
        <f aca="false">INDEX(TB!$P:$P,MATCH($E344,TB!$E:$E,0))</f>
        <v/>
      </c>
      <c r="K344" s="10" t="str">
        <f aca="false">IF(OR($C344="01-09",$C344="10-14",$D344="Female"),"",INDEX(VMMC!$AA:$AA,MATCH($E344,VMMC!$E:$E,0)))</f>
        <v/>
      </c>
      <c r="L344" s="10" t="n">
        <f aca="false">SUM($G344)-SUM($H344:$K344)</f>
        <v>0</v>
      </c>
      <c r="M344" s="88" t="str">
        <f aca="false">IF(OR($C344="01-09",$D344="Male",AND(SUM($G344)=0,SUM($H344)=0)),"",SUM($H344)/SUM($G344))</f>
        <v/>
      </c>
      <c r="N344" s="88" t="str">
        <f aca="false">IF(OR($C344="01-09",$D344="Male",AND(SUM($G344)=0,SUM($I344)=0)),"",SUM($I344)/SUM($G344))</f>
        <v/>
      </c>
      <c r="O344" s="88" t="str">
        <f aca="false">IF(AND(SUM($G344)=0,SUM($J344)=0),"",SUM($J344)/SUM($G344))</f>
        <v/>
      </c>
      <c r="P344" s="88" t="str">
        <f aca="false">IF(OR($C344="01-09",$C344="10-14",$D344="Female",AND(SUM($G344)=0,SUM($K344)=0)),"",SUM($K344)/SUM($G344))</f>
        <v/>
      </c>
      <c r="Q344" s="88"/>
      <c r="R344" s="88"/>
      <c r="S344" s="88"/>
      <c r="T344" s="88"/>
      <c r="U344" s="88"/>
      <c r="V344" s="88" t="str">
        <f aca="false">IF(SUM($G344)=0,"",SUM($M344:$U344))</f>
        <v/>
      </c>
      <c r="W344" s="88"/>
      <c r="X344" s="39" t="str">
        <f aca="false">IF(OR(SUM($G344)=0,SUM($Q344)=0),"",ROUND(SUM($G344)*SUM($Q344),0))</f>
        <v/>
      </c>
      <c r="Y344" s="39" t="str">
        <f aca="false">IF(SUM($X344)=0,"",IF(SUM($W344)=0,"ENTER YIELD",ROUND($X344/$W344,0)-$X344))</f>
        <v/>
      </c>
      <c r="Z344" s="88"/>
      <c r="AA344" s="39" t="str">
        <f aca="false">IF(OR(SUM($G344)=0,SUM($R344)=0),"",ROUND(SUM($G344)*SUM($R344),0))</f>
        <v/>
      </c>
      <c r="AB344" s="39" t="str">
        <f aca="false">IF(SUM($AA344)=0,"",IF(SUM($Z344)=0,"ENTER YIELD",ROUND($AA344/$Z344,0)-$AA344))</f>
        <v/>
      </c>
      <c r="AC344" s="88"/>
      <c r="AD344" s="39" t="str">
        <f aca="false">IF(OR(SUM($G344)=0,SUM($S344)=0),"",ROUND(SUM($G344)*SUM($S344),0))</f>
        <v/>
      </c>
      <c r="AE344" s="39" t="str">
        <f aca="false">IF(SUM($AD344)=0,"",IF(SUM($AC344)=0,"ENTER YIELD",ROUND($AD344/$AC344,0)-$AD344))</f>
        <v/>
      </c>
      <c r="AF344" s="88"/>
      <c r="AG344" s="39" t="str">
        <f aca="false">IF(OR(SUM($G344)=0,SUM($T344)=0),"",ROUND(SUM($G344)*SUM($T344),0))</f>
        <v/>
      </c>
      <c r="AH344" s="39" t="str">
        <f aca="false">IF(SUM($AG344)=0,"",IF(SUM($AF344)=0,"ENTER YIELD",ROUND($AG344/$AF344,0)-$AG344))</f>
        <v/>
      </c>
      <c r="AI344" s="88"/>
      <c r="AJ344" s="39" t="str">
        <f aca="false">IF(OR(SUM($G344)=0,SUM($U344)=0),"",ROUND(SUM($G344)*SUM($U344),0))</f>
        <v/>
      </c>
      <c r="AK344" s="39" t="str">
        <f aca="false">IF(SUM($AJ344)=0,"",IF(SUM($AI344)=0,"ENTER YIELD",ROUND($AJ344/$AI344,0)-$AJ344))</f>
        <v/>
      </c>
      <c r="AL344" s="10" t="str">
        <f aca="false">IF(SUM($G344)=0,"",$G344)</f>
        <v/>
      </c>
      <c r="AM344" s="10" t="str">
        <f aca="false">IFERROR(1/(1/SUM($H344:$K344,$X344,$AA344,$AD344,$AG344,$AJ344)),"")</f>
        <v/>
      </c>
      <c r="AN344" s="10" t="str">
        <f aca="false">IF(AND(SUM($AM344)=0,SUM($AL344)=0),"",$AM344-$AL344)</f>
        <v/>
      </c>
      <c r="AO344" s="10" t="str">
        <f aca="false">IF(OR($C344="01-09",$D344="Male"),"",INDEX(PMTCT!$AD:$AD,MATCH($E344,PMTCT!$E:$E,0)))</f>
        <v/>
      </c>
      <c r="AP344" s="10" t="str">
        <f aca="false">IF(OR($C344="01-09",$D344="Male"),"",INDEX(PMTCT!$AT:$AT,MATCH($E344,PMTCT!$E:$E,0)))</f>
        <v/>
      </c>
      <c r="AQ344" s="10" t="str">
        <f aca="false">INDEX(TB!$Q:$Q,MATCH($E344,TB!$E:$E,0))</f>
        <v/>
      </c>
      <c r="AR344" s="10" t="str">
        <f aca="false">IF(OR($C344="01-09",$C344="10-14",$D344="Female"),"",INDEX(VMMC!$AB:$AB,MATCH($E344,VMMC!$E:$E,0)))</f>
        <v/>
      </c>
      <c r="AS344" s="10" t="str">
        <f aca="false">IF(OR($C344="01-09",$C344="10-14"),"",INDEX(PrEP!$Q:$Q,MATCH($E344,PrEP!$E:$E,0)))</f>
        <v/>
      </c>
      <c r="AT344" s="10" t="str">
        <f aca="false">IFERROR(1/(1/SUM($Y344,$AB344,$AE344,$AH344,$AK344,$AO344:$AS344)),"")</f>
        <v/>
      </c>
      <c r="AU344" s="10" t="str">
        <f aca="false">IFERROR(1/(1/SUM($AT344,$AM344)),"")</f>
        <v/>
      </c>
      <c r="AV344" s="88" t="str">
        <f aca="false">IF(AND(SUM($AM344)=0,SUM($AU344)=0),"",$AM344/$AU344)</f>
        <v/>
      </c>
      <c r="AW344" s="10"/>
      <c r="AX344" s="88" t="str">
        <f aca="false">IF(OR($C344="01-09",SUM($AW344)=0),"",0%)</f>
        <v/>
      </c>
      <c r="AY344" s="39" t="str">
        <f aca="false">IF(OR($C344="01-09",SUM($AW344)=0),"",ROUND($AW344*(1+$AX344),0))</f>
        <v/>
      </c>
      <c r="AZ344" s="88" t="n">
        <f aca="false">IF(OR($C344="01-09",$C344="10-14"),"",100%)</f>
        <v>1</v>
      </c>
      <c r="BA344" s="39" t="str">
        <f aca="false">IF(OR(SUM($AM344)=0,$C344="01-09",$C344="10-14"),"",$AM344*$AZ344)</f>
        <v/>
      </c>
    </row>
    <row r="345" customFormat="false" ht="15" hidden="false" customHeight="false" outlineLevel="0" collapsed="false">
      <c r="A345" s="0" t="str">
        <f aca="false">INDEX(Prioritization!$D:$D,MATCH($B345,Prioritization!$A:$A,0))</f>
        <v>1 - Scale-up: Saturation</v>
      </c>
      <c r="B345" s="0" t="s">
        <v>221</v>
      </c>
      <c r="C345" s="0" t="s">
        <v>366</v>
      </c>
      <c r="D345" s="0" t="s">
        <v>30</v>
      </c>
      <c r="E345" s="0" t="str">
        <f aca="false">$B345&amp;"|"&amp;$C345&amp;"|"&amp;$D345</f>
        <v>Thyolo District [ul0y9diGujK]|25-34|Female</v>
      </c>
      <c r="F345" s="88" t="n">
        <f aca="false">IF(LEFT($B345,4)="_Mil","",INDEX(Cascade!$AA:$AA,MATCH($E345,Cascade!$E:$E,0)))</f>
        <v>1158</v>
      </c>
      <c r="G345" s="10" t="n">
        <f aca="false">INDEX(Cascade!$BH:$BH,MATCH($E345,Cascade!$E:$E,0))</f>
        <v>0</v>
      </c>
      <c r="H345" s="10" t="str">
        <f aca="false">IF(OR($C345="01-09",$D345="Male"),"",INDEX(PMTCT!$AC:$AC,MATCH($E345,PMTCT!$E:$E,0)))</f>
        <v/>
      </c>
      <c r="I345" s="10" t="str">
        <f aca="false">IF(OR($C345="01-09",$D345="Male"),"",INDEX(PMTCT!$AS:$AS,MATCH($E345,PMTCT!$E:$E,0)))</f>
        <v/>
      </c>
      <c r="J345" s="10" t="str">
        <f aca="false">INDEX(TB!$P:$P,MATCH($E345,TB!$E:$E,0))</f>
        <v/>
      </c>
      <c r="K345" s="10" t="str">
        <f aca="false">IF(OR($C345="01-09",$C345="10-14",$D345="Female"),"",INDEX(VMMC!$AA:$AA,MATCH($E345,VMMC!$E:$E,0)))</f>
        <v/>
      </c>
      <c r="L345" s="10" t="n">
        <f aca="false">SUM($G345)-SUM($H345:$K345)</f>
        <v>0</v>
      </c>
      <c r="M345" s="88" t="str">
        <f aca="false">IF(OR($C345="01-09",$D345="Male",AND(SUM($G345)=0,SUM($H345)=0)),"",SUM($H345)/SUM($G345))</f>
        <v/>
      </c>
      <c r="N345" s="88" t="str">
        <f aca="false">IF(OR($C345="01-09",$D345="Male",AND(SUM($G345)=0,SUM($I345)=0)),"",SUM($I345)/SUM($G345))</f>
        <v/>
      </c>
      <c r="O345" s="88" t="str">
        <f aca="false">IF(AND(SUM($G345)=0,SUM($J345)=0),"",SUM($J345)/SUM($G345))</f>
        <v/>
      </c>
      <c r="P345" s="88" t="str">
        <f aca="false">IF(OR($C345="01-09",$C345="10-14",$D345="Female",AND(SUM($G345)=0,SUM($K345)=0)),"",SUM($K345)/SUM($G345))</f>
        <v/>
      </c>
      <c r="Q345" s="88"/>
      <c r="R345" s="88"/>
      <c r="S345" s="88"/>
      <c r="T345" s="88"/>
      <c r="U345" s="88"/>
      <c r="V345" s="88" t="str">
        <f aca="false">IF(SUM($G345)=0,"",SUM($M345:$U345))</f>
        <v/>
      </c>
      <c r="W345" s="88"/>
      <c r="X345" s="39" t="str">
        <f aca="false">IF(OR(SUM($G345)=0,SUM($Q345)=0),"",ROUND(SUM($G345)*SUM($Q345),0))</f>
        <v/>
      </c>
      <c r="Y345" s="39" t="str">
        <f aca="false">IF(SUM($X345)=0,"",IF(SUM($W345)=0,"ENTER YIELD",ROUND($X345/$W345,0)-$X345))</f>
        <v/>
      </c>
      <c r="Z345" s="88"/>
      <c r="AA345" s="39" t="str">
        <f aca="false">IF(OR(SUM($G345)=0,SUM($R345)=0),"",ROUND(SUM($G345)*SUM($R345),0))</f>
        <v/>
      </c>
      <c r="AB345" s="39" t="str">
        <f aca="false">IF(SUM($AA345)=0,"",IF(SUM($Z345)=0,"ENTER YIELD",ROUND($AA345/$Z345,0)-$AA345))</f>
        <v/>
      </c>
      <c r="AC345" s="88"/>
      <c r="AD345" s="39" t="str">
        <f aca="false">IF(OR(SUM($G345)=0,SUM($S345)=0),"",ROUND(SUM($G345)*SUM($S345),0))</f>
        <v/>
      </c>
      <c r="AE345" s="39" t="str">
        <f aca="false">IF(SUM($AD345)=0,"",IF(SUM($AC345)=0,"ENTER YIELD",ROUND($AD345/$AC345,0)-$AD345))</f>
        <v/>
      </c>
      <c r="AF345" s="88"/>
      <c r="AG345" s="39" t="str">
        <f aca="false">IF(OR(SUM($G345)=0,SUM($T345)=0),"",ROUND(SUM($G345)*SUM($T345),0))</f>
        <v/>
      </c>
      <c r="AH345" s="39" t="str">
        <f aca="false">IF(SUM($AG345)=0,"",IF(SUM($AF345)=0,"ENTER YIELD",ROUND($AG345/$AF345,0)-$AG345))</f>
        <v/>
      </c>
      <c r="AI345" s="88"/>
      <c r="AJ345" s="39" t="str">
        <f aca="false">IF(OR(SUM($G345)=0,SUM($U345)=0),"",ROUND(SUM($G345)*SUM($U345),0))</f>
        <v/>
      </c>
      <c r="AK345" s="39" t="str">
        <f aca="false">IF(SUM($AJ345)=0,"",IF(SUM($AI345)=0,"ENTER YIELD",ROUND($AJ345/$AI345,0)-$AJ345))</f>
        <v/>
      </c>
      <c r="AL345" s="10" t="str">
        <f aca="false">IF(SUM($G345)=0,"",$G345)</f>
        <v/>
      </c>
      <c r="AM345" s="10" t="str">
        <f aca="false">IFERROR(1/(1/SUM($H345:$K345,$X345,$AA345,$AD345,$AG345,$AJ345)),"")</f>
        <v/>
      </c>
      <c r="AN345" s="10" t="str">
        <f aca="false">IF(AND(SUM($AM345)=0,SUM($AL345)=0),"",$AM345-$AL345)</f>
        <v/>
      </c>
      <c r="AO345" s="10" t="str">
        <f aca="false">IF(OR($C345="01-09",$D345="Male"),"",INDEX(PMTCT!$AD:$AD,MATCH($E345,PMTCT!$E:$E,0)))</f>
        <v/>
      </c>
      <c r="AP345" s="10" t="str">
        <f aca="false">IF(OR($C345="01-09",$D345="Male"),"",INDEX(PMTCT!$AT:$AT,MATCH($E345,PMTCT!$E:$E,0)))</f>
        <v/>
      </c>
      <c r="AQ345" s="10" t="str">
        <f aca="false">INDEX(TB!$Q:$Q,MATCH($E345,TB!$E:$E,0))</f>
        <v/>
      </c>
      <c r="AR345" s="10" t="str">
        <f aca="false">IF(OR($C345="01-09",$C345="10-14",$D345="Female"),"",INDEX(VMMC!$AB:$AB,MATCH($E345,VMMC!$E:$E,0)))</f>
        <v/>
      </c>
      <c r="AS345" s="10" t="str">
        <f aca="false">IF(OR($C345="01-09",$C345="10-14"),"",INDEX(PrEP!$Q:$Q,MATCH($E345,PrEP!$E:$E,0)))</f>
        <v/>
      </c>
      <c r="AT345" s="10" t="str">
        <f aca="false">IFERROR(1/(1/SUM($Y345,$AB345,$AE345,$AH345,$AK345,$AO345:$AS345)),"")</f>
        <v/>
      </c>
      <c r="AU345" s="10" t="str">
        <f aca="false">IFERROR(1/(1/SUM($AT345,$AM345)),"")</f>
        <v/>
      </c>
      <c r="AV345" s="88" t="str">
        <f aca="false">IF(AND(SUM($AM345)=0,SUM($AU345)=0),"",$AM345/$AU345)</f>
        <v/>
      </c>
      <c r="AW345" s="10"/>
      <c r="AX345" s="88" t="str">
        <f aca="false">IF(OR($C345="01-09",SUM($AW345)=0),"",0%)</f>
        <v/>
      </c>
      <c r="AY345" s="39" t="str">
        <f aca="false">IF(OR($C345="01-09",SUM($AW345)=0),"",ROUND($AW345*(1+$AX345),0))</f>
        <v/>
      </c>
      <c r="AZ345" s="88" t="n">
        <f aca="false">IF(OR($C345="01-09",$C345="10-14"),"",100%)</f>
        <v>1</v>
      </c>
      <c r="BA345" s="39" t="str">
        <f aca="false">IF(OR(SUM($AM345)=0,$C345="01-09",$C345="10-14"),"",$AM345*$AZ345)</f>
        <v/>
      </c>
    </row>
    <row r="346" customFormat="false" ht="15" hidden="false" customHeight="false" outlineLevel="0" collapsed="false">
      <c r="A346" s="0" t="str">
        <f aca="false">INDEX(Prioritization!$D:$D,MATCH($B346,Prioritization!$A:$A,0))</f>
        <v>1 - Scale-up: Saturation</v>
      </c>
      <c r="B346" s="0" t="s">
        <v>221</v>
      </c>
      <c r="C346" s="0" t="s">
        <v>366</v>
      </c>
      <c r="D346" s="0" t="s">
        <v>48</v>
      </c>
      <c r="E346" s="0" t="str">
        <f aca="false">$B346&amp;"|"&amp;$C346&amp;"|"&amp;$D346</f>
        <v>Thyolo District [ul0y9diGujK]|25-34|Male</v>
      </c>
      <c r="F346" s="88" t="n">
        <f aca="false">IF(LEFT($B346,4)="_Mil","",INDEX(Cascade!$AA:$AA,MATCH($E346,Cascade!$E:$E,0)))</f>
        <v>1667</v>
      </c>
      <c r="G346" s="10" t="n">
        <f aca="false">INDEX(Cascade!$BH:$BH,MATCH($E346,Cascade!$E:$E,0))</f>
        <v>0</v>
      </c>
      <c r="H346" s="10" t="str">
        <f aca="false">IF(OR($C346="01-09",$D346="Male"),"",INDEX(PMTCT!$AC:$AC,MATCH($E346,PMTCT!$E:$E,0)))</f>
        <v/>
      </c>
      <c r="I346" s="10" t="str">
        <f aca="false">IF(OR($C346="01-09",$D346="Male"),"",INDEX(PMTCT!$AS:$AS,MATCH($E346,PMTCT!$E:$E,0)))</f>
        <v/>
      </c>
      <c r="J346" s="10" t="str">
        <f aca="false">INDEX(TB!$P:$P,MATCH($E346,TB!$E:$E,0))</f>
        <v/>
      </c>
      <c r="K346" s="10" t="str">
        <f aca="false">IF(OR($C346="01-09",$C346="10-14",$D346="Female"),"",INDEX(VMMC!$AA:$AA,MATCH($E346,VMMC!$E:$E,0)))</f>
        <v/>
      </c>
      <c r="L346" s="10" t="n">
        <f aca="false">SUM($G346)-SUM($H346:$K346)</f>
        <v>0</v>
      </c>
      <c r="M346" s="88" t="str">
        <f aca="false">IF(OR($C346="01-09",$D346="Male",AND(SUM($G346)=0,SUM($H346)=0)),"",SUM($H346)/SUM($G346))</f>
        <v/>
      </c>
      <c r="N346" s="88" t="str">
        <f aca="false">IF(OR($C346="01-09",$D346="Male",AND(SUM($G346)=0,SUM($I346)=0)),"",SUM($I346)/SUM($G346))</f>
        <v/>
      </c>
      <c r="O346" s="88" t="str">
        <f aca="false">IF(AND(SUM($G346)=0,SUM($J346)=0),"",SUM($J346)/SUM($G346))</f>
        <v/>
      </c>
      <c r="P346" s="88" t="str">
        <f aca="false">IF(OR($C346="01-09",$C346="10-14",$D346="Female",AND(SUM($G346)=0,SUM($K346)=0)),"",SUM($K346)/SUM($G346))</f>
        <v/>
      </c>
      <c r="Q346" s="88"/>
      <c r="R346" s="88"/>
      <c r="S346" s="88"/>
      <c r="T346" s="88"/>
      <c r="U346" s="88"/>
      <c r="V346" s="88" t="str">
        <f aca="false">IF(SUM($G346)=0,"",SUM($M346:$U346))</f>
        <v/>
      </c>
      <c r="W346" s="88"/>
      <c r="X346" s="39" t="str">
        <f aca="false">IF(OR(SUM($G346)=0,SUM($Q346)=0),"",ROUND(SUM($G346)*SUM($Q346),0))</f>
        <v/>
      </c>
      <c r="Y346" s="39" t="str">
        <f aca="false">IF(SUM($X346)=0,"",IF(SUM($W346)=0,"ENTER YIELD",ROUND($X346/$W346,0)-$X346))</f>
        <v/>
      </c>
      <c r="Z346" s="88"/>
      <c r="AA346" s="39" t="str">
        <f aca="false">IF(OR(SUM($G346)=0,SUM($R346)=0),"",ROUND(SUM($G346)*SUM($R346),0))</f>
        <v/>
      </c>
      <c r="AB346" s="39" t="str">
        <f aca="false">IF(SUM($AA346)=0,"",IF(SUM($Z346)=0,"ENTER YIELD",ROUND($AA346/$Z346,0)-$AA346))</f>
        <v/>
      </c>
      <c r="AC346" s="88"/>
      <c r="AD346" s="39" t="str">
        <f aca="false">IF(OR(SUM($G346)=0,SUM($S346)=0),"",ROUND(SUM($G346)*SUM($S346),0))</f>
        <v/>
      </c>
      <c r="AE346" s="39" t="str">
        <f aca="false">IF(SUM($AD346)=0,"",IF(SUM($AC346)=0,"ENTER YIELD",ROUND($AD346/$AC346,0)-$AD346))</f>
        <v/>
      </c>
      <c r="AF346" s="88"/>
      <c r="AG346" s="39" t="str">
        <f aca="false">IF(OR(SUM($G346)=0,SUM($T346)=0),"",ROUND(SUM($G346)*SUM($T346),0))</f>
        <v/>
      </c>
      <c r="AH346" s="39" t="str">
        <f aca="false">IF(SUM($AG346)=0,"",IF(SUM($AF346)=0,"ENTER YIELD",ROUND($AG346/$AF346,0)-$AG346))</f>
        <v/>
      </c>
      <c r="AI346" s="88"/>
      <c r="AJ346" s="39" t="str">
        <f aca="false">IF(OR(SUM($G346)=0,SUM($U346)=0),"",ROUND(SUM($G346)*SUM($U346),0))</f>
        <v/>
      </c>
      <c r="AK346" s="39" t="str">
        <f aca="false">IF(SUM($AJ346)=0,"",IF(SUM($AI346)=0,"ENTER YIELD",ROUND($AJ346/$AI346,0)-$AJ346))</f>
        <v/>
      </c>
      <c r="AL346" s="10" t="str">
        <f aca="false">IF(SUM($G346)=0,"",$G346)</f>
        <v/>
      </c>
      <c r="AM346" s="10" t="str">
        <f aca="false">IFERROR(1/(1/SUM($H346:$K346,$X346,$AA346,$AD346,$AG346,$AJ346)),"")</f>
        <v/>
      </c>
      <c r="AN346" s="10" t="str">
        <f aca="false">IF(AND(SUM($AM346)=0,SUM($AL346)=0),"",$AM346-$AL346)</f>
        <v/>
      </c>
      <c r="AO346" s="10" t="str">
        <f aca="false">IF(OR($C346="01-09",$D346="Male"),"",INDEX(PMTCT!$AD:$AD,MATCH($E346,PMTCT!$E:$E,0)))</f>
        <v/>
      </c>
      <c r="AP346" s="10" t="str">
        <f aca="false">IF(OR($C346="01-09",$D346="Male"),"",INDEX(PMTCT!$AT:$AT,MATCH($E346,PMTCT!$E:$E,0)))</f>
        <v/>
      </c>
      <c r="AQ346" s="10" t="str">
        <f aca="false">INDEX(TB!$Q:$Q,MATCH($E346,TB!$E:$E,0))</f>
        <v/>
      </c>
      <c r="AR346" s="10" t="str">
        <f aca="false">IF(OR($C346="01-09",$C346="10-14",$D346="Female"),"",INDEX(VMMC!$AB:$AB,MATCH($E346,VMMC!$E:$E,0)))</f>
        <v/>
      </c>
      <c r="AS346" s="10" t="str">
        <f aca="false">IF(OR($C346="01-09",$C346="10-14"),"",INDEX(PrEP!$Q:$Q,MATCH($E346,PrEP!$E:$E,0)))</f>
        <v/>
      </c>
      <c r="AT346" s="10" t="str">
        <f aca="false">IFERROR(1/(1/SUM($Y346,$AB346,$AE346,$AH346,$AK346,$AO346:$AS346)),"")</f>
        <v/>
      </c>
      <c r="AU346" s="10" t="str">
        <f aca="false">IFERROR(1/(1/SUM($AT346,$AM346)),"")</f>
        <v/>
      </c>
      <c r="AV346" s="88" t="str">
        <f aca="false">IF(AND(SUM($AM346)=0,SUM($AU346)=0),"",$AM346/$AU346)</f>
        <v/>
      </c>
      <c r="AW346" s="10"/>
      <c r="AX346" s="88" t="str">
        <f aca="false">IF(OR($C346="01-09",SUM($AW346)=0),"",0%)</f>
        <v/>
      </c>
      <c r="AY346" s="39" t="str">
        <f aca="false">IF(OR($C346="01-09",SUM($AW346)=0),"",ROUND($AW346*(1+$AX346),0))</f>
        <v/>
      </c>
      <c r="AZ346" s="88" t="n">
        <f aca="false">IF(OR($C346="01-09",$C346="10-14"),"",100%)</f>
        <v>1</v>
      </c>
      <c r="BA346" s="39" t="str">
        <f aca="false">IF(OR(SUM($AM346)=0,$C346="01-09",$C346="10-14"),"",$AM346*$AZ346)</f>
        <v/>
      </c>
    </row>
    <row r="347" customFormat="false" ht="15" hidden="false" customHeight="false" outlineLevel="0" collapsed="false">
      <c r="A347" s="0" t="str">
        <f aca="false">INDEX(Prioritization!$D:$D,MATCH($B347,Prioritization!$A:$A,0))</f>
        <v>1 - Scale-up: Saturation</v>
      </c>
      <c r="B347" s="0" t="s">
        <v>221</v>
      </c>
      <c r="C347" s="0" t="s">
        <v>367</v>
      </c>
      <c r="D347" s="0" t="s">
        <v>30</v>
      </c>
      <c r="E347" s="0" t="str">
        <f aca="false">$B347&amp;"|"&amp;$C347&amp;"|"&amp;$D347</f>
        <v>Thyolo District [ul0y9diGujK]|35-49|Female</v>
      </c>
      <c r="F347" s="88" t="n">
        <f aca="false">IF(LEFT($B347,4)="_Mil","",INDEX(Cascade!$AA:$AA,MATCH($E347,Cascade!$E:$E,0)))</f>
        <v>508</v>
      </c>
      <c r="G347" s="10" t="n">
        <f aca="false">INDEX(Cascade!$BH:$BH,MATCH($E347,Cascade!$E:$E,0))</f>
        <v>0</v>
      </c>
      <c r="H347" s="10" t="str">
        <f aca="false">IF(OR($C347="01-09",$D347="Male"),"",INDEX(PMTCT!$AC:$AC,MATCH($E347,PMTCT!$E:$E,0)))</f>
        <v/>
      </c>
      <c r="I347" s="10" t="str">
        <f aca="false">IF(OR($C347="01-09",$D347="Male"),"",INDEX(PMTCT!$AS:$AS,MATCH($E347,PMTCT!$E:$E,0)))</f>
        <v/>
      </c>
      <c r="J347" s="10" t="str">
        <f aca="false">INDEX(TB!$P:$P,MATCH($E347,TB!$E:$E,0))</f>
        <v/>
      </c>
      <c r="K347" s="10" t="str">
        <f aca="false">IF(OR($C347="01-09",$C347="10-14",$D347="Female"),"",INDEX(VMMC!$AA:$AA,MATCH($E347,VMMC!$E:$E,0)))</f>
        <v/>
      </c>
      <c r="L347" s="10" t="n">
        <f aca="false">SUM($G347)-SUM($H347:$K347)</f>
        <v>0</v>
      </c>
      <c r="M347" s="88" t="str">
        <f aca="false">IF(OR($C347="01-09",$D347="Male",AND(SUM($G347)=0,SUM($H347)=0)),"",SUM($H347)/SUM($G347))</f>
        <v/>
      </c>
      <c r="N347" s="88" t="str">
        <f aca="false">IF(OR($C347="01-09",$D347="Male",AND(SUM($G347)=0,SUM($I347)=0)),"",SUM($I347)/SUM($G347))</f>
        <v/>
      </c>
      <c r="O347" s="88" t="str">
        <f aca="false">IF(AND(SUM($G347)=0,SUM($J347)=0),"",SUM($J347)/SUM($G347))</f>
        <v/>
      </c>
      <c r="P347" s="88" t="str">
        <f aca="false">IF(OR($C347="01-09",$C347="10-14",$D347="Female",AND(SUM($G347)=0,SUM($K347)=0)),"",SUM($K347)/SUM($G347))</f>
        <v/>
      </c>
      <c r="Q347" s="88"/>
      <c r="R347" s="88"/>
      <c r="S347" s="88"/>
      <c r="T347" s="88"/>
      <c r="U347" s="88"/>
      <c r="V347" s="88" t="str">
        <f aca="false">IF(SUM($G347)=0,"",SUM($M347:$U347))</f>
        <v/>
      </c>
      <c r="W347" s="88"/>
      <c r="X347" s="39" t="str">
        <f aca="false">IF(OR(SUM($G347)=0,SUM($Q347)=0),"",ROUND(SUM($G347)*SUM($Q347),0))</f>
        <v/>
      </c>
      <c r="Y347" s="39" t="str">
        <f aca="false">IF(SUM($X347)=0,"",IF(SUM($W347)=0,"ENTER YIELD",ROUND($X347/$W347,0)-$X347))</f>
        <v/>
      </c>
      <c r="Z347" s="88"/>
      <c r="AA347" s="39" t="str">
        <f aca="false">IF(OR(SUM($G347)=0,SUM($R347)=0),"",ROUND(SUM($G347)*SUM($R347),0))</f>
        <v/>
      </c>
      <c r="AB347" s="39" t="str">
        <f aca="false">IF(SUM($AA347)=0,"",IF(SUM($Z347)=0,"ENTER YIELD",ROUND($AA347/$Z347,0)-$AA347))</f>
        <v/>
      </c>
      <c r="AC347" s="88"/>
      <c r="AD347" s="39" t="str">
        <f aca="false">IF(OR(SUM($G347)=0,SUM($S347)=0),"",ROUND(SUM($G347)*SUM($S347),0))</f>
        <v/>
      </c>
      <c r="AE347" s="39" t="str">
        <f aca="false">IF(SUM($AD347)=0,"",IF(SUM($AC347)=0,"ENTER YIELD",ROUND($AD347/$AC347,0)-$AD347))</f>
        <v/>
      </c>
      <c r="AF347" s="88"/>
      <c r="AG347" s="39" t="str">
        <f aca="false">IF(OR(SUM($G347)=0,SUM($T347)=0),"",ROUND(SUM($G347)*SUM($T347),0))</f>
        <v/>
      </c>
      <c r="AH347" s="39" t="str">
        <f aca="false">IF(SUM($AG347)=0,"",IF(SUM($AF347)=0,"ENTER YIELD",ROUND($AG347/$AF347,0)-$AG347))</f>
        <v/>
      </c>
      <c r="AI347" s="88"/>
      <c r="AJ347" s="39" t="str">
        <f aca="false">IF(OR(SUM($G347)=0,SUM($U347)=0),"",ROUND(SUM($G347)*SUM($U347),0))</f>
        <v/>
      </c>
      <c r="AK347" s="39" t="str">
        <f aca="false">IF(SUM($AJ347)=0,"",IF(SUM($AI347)=0,"ENTER YIELD",ROUND($AJ347/$AI347,0)-$AJ347))</f>
        <v/>
      </c>
      <c r="AL347" s="10" t="str">
        <f aca="false">IF(SUM($G347)=0,"",$G347)</f>
        <v/>
      </c>
      <c r="AM347" s="10" t="str">
        <f aca="false">IFERROR(1/(1/SUM($H347:$K347,$X347,$AA347,$AD347,$AG347,$AJ347)),"")</f>
        <v/>
      </c>
      <c r="AN347" s="10" t="str">
        <f aca="false">IF(AND(SUM($AM347)=0,SUM($AL347)=0),"",$AM347-$AL347)</f>
        <v/>
      </c>
      <c r="AO347" s="10" t="str">
        <f aca="false">IF(OR($C347="01-09",$D347="Male"),"",INDEX(PMTCT!$AD:$AD,MATCH($E347,PMTCT!$E:$E,0)))</f>
        <v/>
      </c>
      <c r="AP347" s="10" t="str">
        <f aca="false">IF(OR($C347="01-09",$D347="Male"),"",INDEX(PMTCT!$AT:$AT,MATCH($E347,PMTCT!$E:$E,0)))</f>
        <v/>
      </c>
      <c r="AQ347" s="10" t="str">
        <f aca="false">INDEX(TB!$Q:$Q,MATCH($E347,TB!$E:$E,0))</f>
        <v/>
      </c>
      <c r="AR347" s="10" t="str">
        <f aca="false">IF(OR($C347="01-09",$C347="10-14",$D347="Female"),"",INDEX(VMMC!$AB:$AB,MATCH($E347,VMMC!$E:$E,0)))</f>
        <v/>
      </c>
      <c r="AS347" s="10" t="str">
        <f aca="false">IF(OR($C347="01-09",$C347="10-14"),"",INDEX(PrEP!$Q:$Q,MATCH($E347,PrEP!$E:$E,0)))</f>
        <v/>
      </c>
      <c r="AT347" s="10" t="str">
        <f aca="false">IFERROR(1/(1/SUM($Y347,$AB347,$AE347,$AH347,$AK347,$AO347:$AS347)),"")</f>
        <v/>
      </c>
      <c r="AU347" s="10" t="str">
        <f aca="false">IFERROR(1/(1/SUM($AT347,$AM347)),"")</f>
        <v/>
      </c>
      <c r="AV347" s="88" t="str">
        <f aca="false">IF(AND(SUM($AM347)=0,SUM($AU347)=0),"",$AM347/$AU347)</f>
        <v/>
      </c>
      <c r="AW347" s="10"/>
      <c r="AX347" s="88" t="str">
        <f aca="false">IF(OR($C347="01-09",SUM($AW347)=0),"",0%)</f>
        <v/>
      </c>
      <c r="AY347" s="39" t="str">
        <f aca="false">IF(OR($C347="01-09",SUM($AW347)=0),"",ROUND($AW347*(1+$AX347),0))</f>
        <v/>
      </c>
      <c r="AZ347" s="88" t="n">
        <f aca="false">IF(OR($C347="01-09",$C347="10-14"),"",100%)</f>
        <v>1</v>
      </c>
      <c r="BA347" s="39" t="str">
        <f aca="false">IF(OR(SUM($AM347)=0,$C347="01-09",$C347="10-14"),"",$AM347*$AZ347)</f>
        <v/>
      </c>
    </row>
    <row r="348" customFormat="false" ht="15" hidden="false" customHeight="false" outlineLevel="0" collapsed="false">
      <c r="A348" s="0" t="str">
        <f aca="false">INDEX(Prioritization!$D:$D,MATCH($B348,Prioritization!$A:$A,0))</f>
        <v>1 - Scale-up: Saturation</v>
      </c>
      <c r="B348" s="0" t="s">
        <v>221</v>
      </c>
      <c r="C348" s="0" t="s">
        <v>367</v>
      </c>
      <c r="D348" s="0" t="s">
        <v>48</v>
      </c>
      <c r="E348" s="0" t="str">
        <f aca="false">$B348&amp;"|"&amp;$C348&amp;"|"&amp;$D348</f>
        <v>Thyolo District [ul0y9diGujK]|35-49|Male</v>
      </c>
      <c r="F348" s="88" t="n">
        <f aca="false">IF(LEFT($B348,4)="_Mil","",INDEX(Cascade!$AA:$AA,MATCH($E348,Cascade!$E:$E,0)))</f>
        <v>835</v>
      </c>
      <c r="G348" s="10" t="n">
        <f aca="false">INDEX(Cascade!$BH:$BH,MATCH($E348,Cascade!$E:$E,0))</f>
        <v>0</v>
      </c>
      <c r="H348" s="10" t="str">
        <f aca="false">IF(OR($C348="01-09",$D348="Male"),"",INDEX(PMTCT!$AC:$AC,MATCH($E348,PMTCT!$E:$E,0)))</f>
        <v/>
      </c>
      <c r="I348" s="10" t="str">
        <f aca="false">IF(OR($C348="01-09",$D348="Male"),"",INDEX(PMTCT!$AS:$AS,MATCH($E348,PMTCT!$E:$E,0)))</f>
        <v/>
      </c>
      <c r="J348" s="10" t="str">
        <f aca="false">INDEX(TB!$P:$P,MATCH($E348,TB!$E:$E,0))</f>
        <v/>
      </c>
      <c r="K348" s="10" t="str">
        <f aca="false">IF(OR($C348="01-09",$C348="10-14",$D348="Female"),"",INDEX(VMMC!$AA:$AA,MATCH($E348,VMMC!$E:$E,0)))</f>
        <v/>
      </c>
      <c r="L348" s="10" t="n">
        <f aca="false">SUM($G348)-SUM($H348:$K348)</f>
        <v>0</v>
      </c>
      <c r="M348" s="88" t="str">
        <f aca="false">IF(OR($C348="01-09",$D348="Male",AND(SUM($G348)=0,SUM($H348)=0)),"",SUM($H348)/SUM($G348))</f>
        <v/>
      </c>
      <c r="N348" s="88" t="str">
        <f aca="false">IF(OR($C348="01-09",$D348="Male",AND(SUM($G348)=0,SUM($I348)=0)),"",SUM($I348)/SUM($G348))</f>
        <v/>
      </c>
      <c r="O348" s="88" t="str">
        <f aca="false">IF(AND(SUM($G348)=0,SUM($J348)=0),"",SUM($J348)/SUM($G348))</f>
        <v/>
      </c>
      <c r="P348" s="88" t="str">
        <f aca="false">IF(OR($C348="01-09",$C348="10-14",$D348="Female",AND(SUM($G348)=0,SUM($K348)=0)),"",SUM($K348)/SUM($G348))</f>
        <v/>
      </c>
      <c r="Q348" s="88"/>
      <c r="R348" s="88"/>
      <c r="S348" s="88"/>
      <c r="T348" s="88"/>
      <c r="U348" s="88"/>
      <c r="V348" s="88" t="str">
        <f aca="false">IF(SUM($G348)=0,"",SUM($M348:$U348))</f>
        <v/>
      </c>
      <c r="W348" s="88"/>
      <c r="X348" s="39" t="str">
        <f aca="false">IF(OR(SUM($G348)=0,SUM($Q348)=0),"",ROUND(SUM($G348)*SUM($Q348),0))</f>
        <v/>
      </c>
      <c r="Y348" s="39" t="str">
        <f aca="false">IF(SUM($X348)=0,"",IF(SUM($W348)=0,"ENTER YIELD",ROUND($X348/$W348,0)-$X348))</f>
        <v/>
      </c>
      <c r="Z348" s="88"/>
      <c r="AA348" s="39" t="str">
        <f aca="false">IF(OR(SUM($G348)=0,SUM($R348)=0),"",ROUND(SUM($G348)*SUM($R348),0))</f>
        <v/>
      </c>
      <c r="AB348" s="39" t="str">
        <f aca="false">IF(SUM($AA348)=0,"",IF(SUM($Z348)=0,"ENTER YIELD",ROUND($AA348/$Z348,0)-$AA348))</f>
        <v/>
      </c>
      <c r="AC348" s="88"/>
      <c r="AD348" s="39" t="str">
        <f aca="false">IF(OR(SUM($G348)=0,SUM($S348)=0),"",ROUND(SUM($G348)*SUM($S348),0))</f>
        <v/>
      </c>
      <c r="AE348" s="39" t="str">
        <f aca="false">IF(SUM($AD348)=0,"",IF(SUM($AC348)=0,"ENTER YIELD",ROUND($AD348/$AC348,0)-$AD348))</f>
        <v/>
      </c>
      <c r="AF348" s="88"/>
      <c r="AG348" s="39" t="str">
        <f aca="false">IF(OR(SUM($G348)=0,SUM($T348)=0),"",ROUND(SUM($G348)*SUM($T348),0))</f>
        <v/>
      </c>
      <c r="AH348" s="39" t="str">
        <f aca="false">IF(SUM($AG348)=0,"",IF(SUM($AF348)=0,"ENTER YIELD",ROUND($AG348/$AF348,0)-$AG348))</f>
        <v/>
      </c>
      <c r="AI348" s="88"/>
      <c r="AJ348" s="39" t="str">
        <f aca="false">IF(OR(SUM($G348)=0,SUM($U348)=0),"",ROUND(SUM($G348)*SUM($U348),0))</f>
        <v/>
      </c>
      <c r="AK348" s="39" t="str">
        <f aca="false">IF(SUM($AJ348)=0,"",IF(SUM($AI348)=0,"ENTER YIELD",ROUND($AJ348/$AI348,0)-$AJ348))</f>
        <v/>
      </c>
      <c r="AL348" s="10" t="str">
        <f aca="false">IF(SUM($G348)=0,"",$G348)</f>
        <v/>
      </c>
      <c r="AM348" s="10" t="str">
        <f aca="false">IFERROR(1/(1/SUM($H348:$K348,$X348,$AA348,$AD348,$AG348,$AJ348)),"")</f>
        <v/>
      </c>
      <c r="AN348" s="10" t="str">
        <f aca="false">IF(AND(SUM($AM348)=0,SUM($AL348)=0),"",$AM348-$AL348)</f>
        <v/>
      </c>
      <c r="AO348" s="10" t="str">
        <f aca="false">IF(OR($C348="01-09",$D348="Male"),"",INDEX(PMTCT!$AD:$AD,MATCH($E348,PMTCT!$E:$E,0)))</f>
        <v/>
      </c>
      <c r="AP348" s="10" t="str">
        <f aca="false">IF(OR($C348="01-09",$D348="Male"),"",INDEX(PMTCT!$AT:$AT,MATCH($E348,PMTCT!$E:$E,0)))</f>
        <v/>
      </c>
      <c r="AQ348" s="10" t="str">
        <f aca="false">INDEX(TB!$Q:$Q,MATCH($E348,TB!$E:$E,0))</f>
        <v/>
      </c>
      <c r="AR348" s="10" t="str">
        <f aca="false">IF(OR($C348="01-09",$C348="10-14",$D348="Female"),"",INDEX(VMMC!$AB:$AB,MATCH($E348,VMMC!$E:$E,0)))</f>
        <v/>
      </c>
      <c r="AS348" s="10" t="str">
        <f aca="false">IF(OR($C348="01-09",$C348="10-14"),"",INDEX(PrEP!$Q:$Q,MATCH($E348,PrEP!$E:$E,0)))</f>
        <v/>
      </c>
      <c r="AT348" s="10" t="str">
        <f aca="false">IFERROR(1/(1/SUM($Y348,$AB348,$AE348,$AH348,$AK348,$AO348:$AS348)),"")</f>
        <v/>
      </c>
      <c r="AU348" s="10" t="str">
        <f aca="false">IFERROR(1/(1/SUM($AT348,$AM348)),"")</f>
        <v/>
      </c>
      <c r="AV348" s="88" t="str">
        <f aca="false">IF(AND(SUM($AM348)=0,SUM($AU348)=0),"",$AM348/$AU348)</f>
        <v/>
      </c>
      <c r="AW348" s="10"/>
      <c r="AX348" s="88" t="str">
        <f aca="false">IF(OR($C348="01-09",SUM($AW348)=0),"",0%)</f>
        <v/>
      </c>
      <c r="AY348" s="39" t="str">
        <f aca="false">IF(OR($C348="01-09",SUM($AW348)=0),"",ROUND($AW348*(1+$AX348),0))</f>
        <v/>
      </c>
      <c r="AZ348" s="88" t="n">
        <f aca="false">IF(OR($C348="01-09",$C348="10-14"),"",100%)</f>
        <v>1</v>
      </c>
      <c r="BA348" s="39" t="str">
        <f aca="false">IF(OR(SUM($AM348)=0,$C348="01-09",$C348="10-14"),"",$AM348*$AZ348)</f>
        <v/>
      </c>
    </row>
    <row r="349" customFormat="false" ht="15" hidden="false" customHeight="false" outlineLevel="0" collapsed="false">
      <c r="A349" s="0" t="str">
        <f aca="false">INDEX(Prioritization!$D:$D,MATCH($B349,Prioritization!$A:$A,0))</f>
        <v>1 - Scale-up: Saturation</v>
      </c>
      <c r="B349" s="0" t="s">
        <v>221</v>
      </c>
      <c r="C349" s="0" t="s">
        <v>368</v>
      </c>
      <c r="D349" s="0" t="s">
        <v>30</v>
      </c>
      <c r="E349" s="0" t="str">
        <f aca="false">$B349&amp;"|"&amp;$C349&amp;"|"&amp;$D349</f>
        <v>Thyolo District [ul0y9diGujK]|50+|Female</v>
      </c>
      <c r="F349" s="88" t="n">
        <f aca="false">IF(LEFT($B349,4)="_Mil","",INDEX(Cascade!$AA:$AA,MATCH($E349,Cascade!$E:$E,0)))</f>
        <v>574</v>
      </c>
      <c r="G349" s="10" t="n">
        <f aca="false">INDEX(Cascade!$BH:$BH,MATCH($E349,Cascade!$E:$E,0))</f>
        <v>0</v>
      </c>
      <c r="H349" s="10" t="str">
        <f aca="false">IF(OR($C349="01-09",$D349="Male"),"",INDEX(PMTCT!$AC:$AC,MATCH($E349,PMTCT!$E:$E,0)))</f>
        <v/>
      </c>
      <c r="I349" s="10" t="str">
        <f aca="false">IF(OR($C349="01-09",$D349="Male"),"",INDEX(PMTCT!$AS:$AS,MATCH($E349,PMTCT!$E:$E,0)))</f>
        <v/>
      </c>
      <c r="J349" s="10" t="str">
        <f aca="false">INDEX(TB!$P:$P,MATCH($E349,TB!$E:$E,0))</f>
        <v/>
      </c>
      <c r="K349" s="10" t="str">
        <f aca="false">IF(OR($C349="01-09",$C349="10-14",$D349="Female"),"",INDEX(VMMC!$AA:$AA,MATCH($E349,VMMC!$E:$E,0)))</f>
        <v/>
      </c>
      <c r="L349" s="10" t="n">
        <f aca="false">SUM($G349)-SUM($H349:$K349)</f>
        <v>0</v>
      </c>
      <c r="M349" s="88" t="str">
        <f aca="false">IF(OR($C349="01-09",$D349="Male",AND(SUM($G349)=0,SUM($H349)=0)),"",SUM($H349)/SUM($G349))</f>
        <v/>
      </c>
      <c r="N349" s="88" t="str">
        <f aca="false">IF(OR($C349="01-09",$D349="Male",AND(SUM($G349)=0,SUM($I349)=0)),"",SUM($I349)/SUM($G349))</f>
        <v/>
      </c>
      <c r="O349" s="88" t="str">
        <f aca="false">IF(AND(SUM($G349)=0,SUM($J349)=0),"",SUM($J349)/SUM($G349))</f>
        <v/>
      </c>
      <c r="P349" s="88" t="str">
        <f aca="false">IF(OR($C349="01-09",$C349="10-14",$D349="Female",AND(SUM($G349)=0,SUM($K349)=0)),"",SUM($K349)/SUM($G349))</f>
        <v/>
      </c>
      <c r="Q349" s="88"/>
      <c r="R349" s="88"/>
      <c r="S349" s="88"/>
      <c r="T349" s="88"/>
      <c r="U349" s="88" t="n">
        <v>0.20046184072271</v>
      </c>
      <c r="V349" s="88" t="str">
        <f aca="false">IF(SUM($G349)=0,"",SUM($M349:$U349))</f>
        <v/>
      </c>
      <c r="W349" s="88"/>
      <c r="X349" s="39" t="str">
        <f aca="false">IF(OR(SUM($G349)=0,SUM($Q349)=0),"",ROUND(SUM($G349)*SUM($Q349),0))</f>
        <v/>
      </c>
      <c r="Y349" s="39" t="str">
        <f aca="false">IF(SUM($X349)=0,"",IF(SUM($W349)=0,"ENTER YIELD",ROUND($X349/$W349,0)-$X349))</f>
        <v/>
      </c>
      <c r="Z349" s="88"/>
      <c r="AA349" s="39" t="str">
        <f aca="false">IF(OR(SUM($G349)=0,SUM($R349)=0),"",ROUND(SUM($G349)*SUM($R349),0))</f>
        <v/>
      </c>
      <c r="AB349" s="39" t="str">
        <f aca="false">IF(SUM($AA349)=0,"",IF(SUM($Z349)=0,"ENTER YIELD",ROUND($AA349/$Z349,0)-$AA349))</f>
        <v/>
      </c>
      <c r="AC349" s="88"/>
      <c r="AD349" s="39" t="str">
        <f aca="false">IF(OR(SUM($G349)=0,SUM($S349)=0),"",ROUND(SUM($G349)*SUM($S349),0))</f>
        <v/>
      </c>
      <c r="AE349" s="39" t="str">
        <f aca="false">IF(SUM($AD349)=0,"",IF(SUM($AC349)=0,"ENTER YIELD",ROUND($AD349/$AC349,0)-$AD349))</f>
        <v/>
      </c>
      <c r="AF349" s="88"/>
      <c r="AG349" s="39" t="str">
        <f aca="false">IF(OR(SUM($G349)=0,SUM($T349)=0),"",ROUND(SUM($G349)*SUM($T349),0))</f>
        <v/>
      </c>
      <c r="AH349" s="39" t="str">
        <f aca="false">IF(SUM($AG349)=0,"",IF(SUM($AF349)=0,"ENTER YIELD",ROUND($AG349/$AF349,0)-$AG349))</f>
        <v/>
      </c>
      <c r="AI349" s="88" t="n">
        <v>0.0847753011621535</v>
      </c>
      <c r="AJ349" s="39" t="str">
        <f aca="false">IF(OR(SUM($G349)=0,SUM($U349)=0),"",ROUND(SUM($G349)*SUM($U349),0))</f>
        <v/>
      </c>
      <c r="AK349" s="39" t="str">
        <f aca="false">IF(SUM($AJ349)=0,"",IF(SUM($AI349)=0,"ENTER YIELD",ROUND($AJ349/$AI349,0)-$AJ349))</f>
        <v/>
      </c>
      <c r="AL349" s="10" t="str">
        <f aca="false">IF(SUM($G349)=0,"",$G349)</f>
        <v/>
      </c>
      <c r="AM349" s="10" t="str">
        <f aca="false">IFERROR(1/(1/SUM($H349:$K349,$X349,$AA349,$AD349,$AG349,$AJ349)),"")</f>
        <v/>
      </c>
      <c r="AN349" s="10" t="str">
        <f aca="false">IF(AND(SUM($AM349)=0,SUM($AL349)=0),"",$AM349-$AL349)</f>
        <v/>
      </c>
      <c r="AO349" s="10" t="str">
        <f aca="false">IF(OR($C349="01-09",$D349="Male"),"",INDEX(PMTCT!$AD:$AD,MATCH($E349,PMTCT!$E:$E,0)))</f>
        <v/>
      </c>
      <c r="AP349" s="10" t="str">
        <f aca="false">IF(OR($C349="01-09",$D349="Male"),"",INDEX(PMTCT!$AT:$AT,MATCH($E349,PMTCT!$E:$E,0)))</f>
        <v/>
      </c>
      <c r="AQ349" s="10" t="str">
        <f aca="false">INDEX(TB!$Q:$Q,MATCH($E349,TB!$E:$E,0))</f>
        <v/>
      </c>
      <c r="AR349" s="10" t="str">
        <f aca="false">IF(OR($C349="01-09",$C349="10-14",$D349="Female"),"",INDEX(VMMC!$AB:$AB,MATCH($E349,VMMC!$E:$E,0)))</f>
        <v/>
      </c>
      <c r="AS349" s="10" t="str">
        <f aca="false">IF(OR($C349="01-09",$C349="10-14"),"",INDEX(PrEP!$Q:$Q,MATCH($E349,PrEP!$E:$E,0)))</f>
        <v/>
      </c>
      <c r="AT349" s="10" t="str">
        <f aca="false">IFERROR(1/(1/SUM($Y349,$AB349,$AE349,$AH349,$AK349,$AO349:$AS349)),"")</f>
        <v/>
      </c>
      <c r="AU349" s="10" t="str">
        <f aca="false">IFERROR(1/(1/SUM($AT349,$AM349)),"")</f>
        <v/>
      </c>
      <c r="AV349" s="88" t="str">
        <f aca="false">IF(AND(SUM($AM349)=0,SUM($AU349)=0),"",$AM349/$AU349)</f>
        <v/>
      </c>
      <c r="AW349" s="10" t="n">
        <v>64</v>
      </c>
      <c r="AX349" s="88" t="n">
        <f aca="false">IF(OR($C349="01-09",SUM($AW349)=0),"",0%)</f>
        <v>0</v>
      </c>
      <c r="AY349" s="39" t="n">
        <f aca="false">IF(OR($C349="01-09",SUM($AW349)=0),"",ROUND($AW349*(1+$AX349),0))</f>
        <v>64</v>
      </c>
      <c r="AZ349" s="88" t="n">
        <f aca="false">IF(OR($C349="01-09",$C349="10-14"),"",100%)</f>
        <v>1</v>
      </c>
      <c r="BA349" s="39" t="str">
        <f aca="false">IF(OR(SUM($AM349)=0,$C349="01-09",$C349="10-14"),"",$AM349*$AZ349)</f>
        <v/>
      </c>
    </row>
    <row r="350" customFormat="false" ht="15" hidden="false" customHeight="false" outlineLevel="0" collapsed="false">
      <c r="A350" s="0" t="str">
        <f aca="false">INDEX(Prioritization!$D:$D,MATCH($B350,Prioritization!$A:$A,0))</f>
        <v>1 - Scale-up: Saturation</v>
      </c>
      <c r="B350" s="0" t="s">
        <v>221</v>
      </c>
      <c r="C350" s="0" t="s">
        <v>368</v>
      </c>
      <c r="D350" s="0" t="s">
        <v>48</v>
      </c>
      <c r="E350" s="0" t="str">
        <f aca="false">$B350&amp;"|"&amp;$C350&amp;"|"&amp;$D350</f>
        <v>Thyolo District [ul0y9diGujK]|50+|Male</v>
      </c>
      <c r="F350" s="88" t="n">
        <f aca="false">IF(LEFT($B350,4)="_Mil","",INDEX(Cascade!$AA:$AA,MATCH($E350,Cascade!$E:$E,0)))</f>
        <v>1826</v>
      </c>
      <c r="G350" s="10" t="n">
        <f aca="false">INDEX(Cascade!$BH:$BH,MATCH($E350,Cascade!$E:$E,0))</f>
        <v>0</v>
      </c>
      <c r="H350" s="10" t="str">
        <f aca="false">IF(OR($C350="01-09",$D350="Male"),"",INDEX(PMTCT!$AC:$AC,MATCH($E350,PMTCT!$E:$E,0)))</f>
        <v/>
      </c>
      <c r="I350" s="10" t="str">
        <f aca="false">IF(OR($C350="01-09",$D350="Male"),"",INDEX(PMTCT!$AS:$AS,MATCH($E350,PMTCT!$E:$E,0)))</f>
        <v/>
      </c>
      <c r="J350" s="10" t="str">
        <f aca="false">INDEX(TB!$P:$P,MATCH($E350,TB!$E:$E,0))</f>
        <v/>
      </c>
      <c r="K350" s="10" t="str">
        <f aca="false">IF(OR($C350="01-09",$C350="10-14",$D350="Female"),"",INDEX(VMMC!$AA:$AA,MATCH($E350,VMMC!$E:$E,0)))</f>
        <v/>
      </c>
      <c r="L350" s="10" t="n">
        <f aca="false">SUM($G350)-SUM($H350:$K350)</f>
        <v>0</v>
      </c>
      <c r="M350" s="88" t="str">
        <f aca="false">IF(OR($C350="01-09",$D350="Male",AND(SUM($G350)=0,SUM($H350)=0)),"",SUM($H350)/SUM($G350))</f>
        <v/>
      </c>
      <c r="N350" s="88" t="str">
        <f aca="false">IF(OR($C350="01-09",$D350="Male",AND(SUM($G350)=0,SUM($I350)=0)),"",SUM($I350)/SUM($G350))</f>
        <v/>
      </c>
      <c r="O350" s="88" t="str">
        <f aca="false">IF(AND(SUM($G350)=0,SUM($J350)=0),"",SUM($J350)/SUM($G350))</f>
        <v/>
      </c>
      <c r="P350" s="88" t="str">
        <f aca="false">IF(OR($C350="01-09",$C350="10-14",$D350="Female",AND(SUM($G350)=0,SUM($K350)=0)),"",SUM($K350)/SUM($G350))</f>
        <v/>
      </c>
      <c r="Q350" s="88"/>
      <c r="R350" s="88"/>
      <c r="S350" s="88"/>
      <c r="T350" s="88"/>
      <c r="U350" s="88" t="n">
        <v>0.560614242218435</v>
      </c>
      <c r="V350" s="88" t="str">
        <f aca="false">IF(SUM($G350)=0,"",SUM($M350:$U350))</f>
        <v/>
      </c>
      <c r="W350" s="88"/>
      <c r="X350" s="39" t="str">
        <f aca="false">IF(OR(SUM($G350)=0,SUM($Q350)=0),"",ROUND(SUM($G350)*SUM($Q350),0))</f>
        <v/>
      </c>
      <c r="Y350" s="39" t="str">
        <f aca="false">IF(SUM($X350)=0,"",IF(SUM($W350)=0,"ENTER YIELD",ROUND($X350/$W350,0)-$X350))</f>
        <v/>
      </c>
      <c r="Z350" s="88"/>
      <c r="AA350" s="39" t="str">
        <f aca="false">IF(OR(SUM($G350)=0,SUM($R350)=0),"",ROUND(SUM($G350)*SUM($R350),0))</f>
        <v/>
      </c>
      <c r="AB350" s="39" t="str">
        <f aca="false">IF(SUM($AA350)=0,"",IF(SUM($Z350)=0,"ENTER YIELD",ROUND($AA350/$Z350,0)-$AA350))</f>
        <v/>
      </c>
      <c r="AC350" s="88"/>
      <c r="AD350" s="39" t="str">
        <f aca="false">IF(OR(SUM($G350)=0,SUM($S350)=0),"",ROUND(SUM($G350)*SUM($S350),0))</f>
        <v/>
      </c>
      <c r="AE350" s="39" t="str">
        <f aca="false">IF(SUM($AD350)=0,"",IF(SUM($AC350)=0,"ENTER YIELD",ROUND($AD350/$AC350,0)-$AD350))</f>
        <v/>
      </c>
      <c r="AF350" s="88"/>
      <c r="AG350" s="39" t="str">
        <f aca="false">IF(OR(SUM($G350)=0,SUM($T350)=0),"",ROUND(SUM($G350)*SUM($T350),0))</f>
        <v/>
      </c>
      <c r="AH350" s="39" t="str">
        <f aca="false">IF(SUM($AG350)=0,"",IF(SUM($AF350)=0,"ENTER YIELD",ROUND($AG350/$AF350,0)-$AG350))</f>
        <v/>
      </c>
      <c r="AI350" s="88" t="n">
        <v>0.56424081674777</v>
      </c>
      <c r="AJ350" s="39" t="str">
        <f aca="false">IF(OR(SUM($G350)=0,SUM($U350)=0),"",ROUND(SUM($G350)*SUM($U350),0))</f>
        <v/>
      </c>
      <c r="AK350" s="39" t="str">
        <f aca="false">IF(SUM($AJ350)=0,"",IF(SUM($AI350)=0,"ENTER YIELD",ROUND($AJ350/$AI350,0)-$AJ350))</f>
        <v/>
      </c>
      <c r="AL350" s="10" t="str">
        <f aca="false">IF(SUM($G350)=0,"",$G350)</f>
        <v/>
      </c>
      <c r="AM350" s="10" t="str">
        <f aca="false">IFERROR(1/(1/SUM($H350:$K350,$X350,$AA350,$AD350,$AG350,$AJ350)),"")</f>
        <v/>
      </c>
      <c r="AN350" s="10" t="str">
        <f aca="false">IF(AND(SUM($AM350)=0,SUM($AL350)=0),"",$AM350-$AL350)</f>
        <v/>
      </c>
      <c r="AO350" s="10" t="str">
        <f aca="false">IF(OR($C350="01-09",$D350="Male"),"",INDEX(PMTCT!$AD:$AD,MATCH($E350,PMTCT!$E:$E,0)))</f>
        <v/>
      </c>
      <c r="AP350" s="10" t="str">
        <f aca="false">IF(OR($C350="01-09",$D350="Male"),"",INDEX(PMTCT!$AT:$AT,MATCH($E350,PMTCT!$E:$E,0)))</f>
        <v/>
      </c>
      <c r="AQ350" s="10" t="str">
        <f aca="false">INDEX(TB!$Q:$Q,MATCH($E350,TB!$E:$E,0))</f>
        <v/>
      </c>
      <c r="AR350" s="10" t="str">
        <f aca="false">IF(OR($C350="01-09",$C350="10-14",$D350="Female"),"",INDEX(VMMC!$AB:$AB,MATCH($E350,VMMC!$E:$E,0)))</f>
        <v/>
      </c>
      <c r="AS350" s="10" t="str">
        <f aca="false">IF(OR($C350="01-09",$C350="10-14"),"",INDEX(PrEP!$Q:$Q,MATCH($E350,PrEP!$E:$E,0)))</f>
        <v/>
      </c>
      <c r="AT350" s="10" t="str">
        <f aca="false">IFERROR(1/(1/SUM($Y350,$AB350,$AE350,$AH350,$AK350,$AO350:$AS350)),"")</f>
        <v/>
      </c>
      <c r="AU350" s="10" t="str">
        <f aca="false">IFERROR(1/(1/SUM($AT350,$AM350)),"")</f>
        <v/>
      </c>
      <c r="AV350" s="88" t="str">
        <f aca="false">IF(AND(SUM($AM350)=0,SUM($AU350)=0),"",$AM350/$AU350)</f>
        <v/>
      </c>
      <c r="AW350" s="10" t="n">
        <v>50</v>
      </c>
      <c r="AX350" s="88" t="n">
        <f aca="false">IF(OR($C350="01-09",SUM($AW350)=0),"",0%)</f>
        <v>0</v>
      </c>
      <c r="AY350" s="39" t="n">
        <f aca="false">IF(OR($C350="01-09",SUM($AW350)=0),"",ROUND($AW350*(1+$AX350),0))</f>
        <v>50</v>
      </c>
      <c r="AZ350" s="88" t="n">
        <f aca="false">IF(OR($C350="01-09",$C350="10-14"),"",100%)</f>
        <v>1</v>
      </c>
      <c r="BA350" s="39" t="str">
        <f aca="false">IF(OR(SUM($AM350)=0,$C350="01-09",$C350="10-14"),"",$AM350*$AZ350)</f>
        <v/>
      </c>
    </row>
    <row r="351" customFormat="false" ht="15" hidden="false" customHeight="false" outlineLevel="0" collapsed="false">
      <c r="A351" s="0" t="str">
        <f aca="false">INDEX(Prioritization!$D:$D,MATCH($B351,Prioritization!$A:$A,0))</f>
        <v>1 - Scale-up: Saturation</v>
      </c>
      <c r="B351" s="0" t="s">
        <v>222</v>
      </c>
      <c r="C351" s="0" t="s">
        <v>363</v>
      </c>
      <c r="D351" s="0" t="s">
        <v>30</v>
      </c>
      <c r="E351" s="0" t="str">
        <f aca="false">$B351&amp;"|"&amp;$C351&amp;"|"&amp;$D351</f>
        <v>Zomba District [fyEoGEPERdI]|01-09|Female</v>
      </c>
      <c r="F351" s="88" t="n">
        <f aca="false">IF(LEFT($B351,4)="_Mil","",INDEX(Cascade!$AA:$AA,MATCH($E351,Cascade!$E:$E,0)))</f>
        <v>1618</v>
      </c>
      <c r="G351" s="10" t="n">
        <f aca="false">INDEX(Cascade!$BH:$BH,MATCH($E351,Cascade!$E:$E,0))</f>
        <v>0</v>
      </c>
      <c r="H351" s="10" t="str">
        <f aca="false">IF(OR($C351="01-09",$D351="Male"),"",INDEX(PMTCT!$AC:$AC,MATCH($E351,PMTCT!$E:$E,0)))</f>
        <v/>
      </c>
      <c r="I351" s="10" t="str">
        <f aca="false">IF(OR($C351="01-09",$D351="Male"),"",INDEX(PMTCT!$AS:$AS,MATCH($E351,PMTCT!$E:$E,0)))</f>
        <v/>
      </c>
      <c r="J351" s="10" t="str">
        <f aca="false">INDEX(TB!$P:$P,MATCH($E351,TB!$E:$E,0))</f>
        <v/>
      </c>
      <c r="K351" s="10" t="str">
        <f aca="false">IF(OR($C351="01-09",$C351="10-14",$D351="Female"),"",INDEX(VMMC!$AA:$AA,MATCH($E351,VMMC!$E:$E,0)))</f>
        <v/>
      </c>
      <c r="L351" s="10" t="n">
        <f aca="false">SUM($G351)-SUM($H351:$K351)</f>
        <v>0</v>
      </c>
      <c r="M351" s="88" t="str">
        <f aca="false">IF(OR($C351="01-09",$D351="Male",AND(SUM($G351)=0,SUM($H351)=0)),"",SUM($H351)/SUM($G351))</f>
        <v/>
      </c>
      <c r="N351" s="88" t="str">
        <f aca="false">IF(OR($C351="01-09",$D351="Male",AND(SUM($G351)=0,SUM($I351)=0)),"",SUM($I351)/SUM($G351))</f>
        <v/>
      </c>
      <c r="O351" s="88" t="str">
        <f aca="false">IF(AND(SUM($G351)=0,SUM($J351)=0),"",SUM($J351)/SUM($G351))</f>
        <v/>
      </c>
      <c r="P351" s="88" t="str">
        <f aca="false">IF(OR($C351="01-09",$C351="10-14",$D351="Female",AND(SUM($G351)=0,SUM($K351)=0)),"",SUM($K351)/SUM($G351))</f>
        <v/>
      </c>
      <c r="Q351" s="88"/>
      <c r="R351" s="88"/>
      <c r="S351" s="88"/>
      <c r="T351" s="88"/>
      <c r="U351" s="88"/>
      <c r="V351" s="88" t="str">
        <f aca="false">IF(SUM($G351)=0,"",SUM($M351:$U351))</f>
        <v/>
      </c>
      <c r="W351" s="88"/>
      <c r="X351" s="39" t="str">
        <f aca="false">IF(OR(SUM($G351)=0,SUM($Q351)=0),"",ROUND(SUM($G351)*SUM($Q351),0))</f>
        <v/>
      </c>
      <c r="Y351" s="39" t="str">
        <f aca="false">IF(SUM($X351)=0,"",IF(SUM($W351)=0,"ENTER YIELD",ROUND($X351/$W351,0)-$X351))</f>
        <v/>
      </c>
      <c r="Z351" s="88"/>
      <c r="AA351" s="39" t="str">
        <f aca="false">IF(OR(SUM($G351)=0,SUM($R351)=0),"",ROUND(SUM($G351)*SUM($R351),0))</f>
        <v/>
      </c>
      <c r="AB351" s="39" t="str">
        <f aca="false">IF(SUM($AA351)=0,"",IF(SUM($Z351)=0,"ENTER YIELD",ROUND($AA351/$Z351,0)-$AA351))</f>
        <v/>
      </c>
      <c r="AC351" s="88"/>
      <c r="AD351" s="39" t="str">
        <f aca="false">IF(OR(SUM($G351)=0,SUM($S351)=0),"",ROUND(SUM($G351)*SUM($S351),0))</f>
        <v/>
      </c>
      <c r="AE351" s="39" t="str">
        <f aca="false">IF(SUM($AD351)=0,"",IF(SUM($AC351)=0,"ENTER YIELD",ROUND($AD351/$AC351,0)-$AD351))</f>
        <v/>
      </c>
      <c r="AF351" s="88"/>
      <c r="AG351" s="39" t="str">
        <f aca="false">IF(OR(SUM($G351)=0,SUM($T351)=0),"",ROUND(SUM($G351)*SUM($T351),0))</f>
        <v/>
      </c>
      <c r="AH351" s="39" t="str">
        <f aca="false">IF(SUM($AG351)=0,"",IF(SUM($AF351)=0,"ENTER YIELD",ROUND($AG351/$AF351,0)-$AG351))</f>
        <v/>
      </c>
      <c r="AI351" s="88"/>
      <c r="AJ351" s="39" t="str">
        <f aca="false">IF(OR(SUM($G351)=0,SUM($U351)=0),"",ROUND(SUM($G351)*SUM($U351),0))</f>
        <v/>
      </c>
      <c r="AK351" s="39" t="str">
        <f aca="false">IF(SUM($AJ351)=0,"",IF(SUM($AI351)=0,"ENTER YIELD",ROUND($AJ351/$AI351,0)-$AJ351))</f>
        <v/>
      </c>
      <c r="AL351" s="10" t="str">
        <f aca="false">IF(SUM($G351)=0,"",$G351)</f>
        <v/>
      </c>
      <c r="AM351" s="10" t="str">
        <f aca="false">IFERROR(1/(1/SUM($H351:$K351,$X351,$AA351,$AD351,$AG351,$AJ351)),"")</f>
        <v/>
      </c>
      <c r="AN351" s="10" t="str">
        <f aca="false">IF(AND(SUM($AM351)=0,SUM($AL351)=0),"",$AM351-$AL351)</f>
        <v/>
      </c>
      <c r="AO351" s="10" t="str">
        <f aca="false">IF(OR($C351="01-09",$D351="Male"),"",INDEX(PMTCT!$AD:$AD,MATCH($E351,PMTCT!$E:$E,0)))</f>
        <v/>
      </c>
      <c r="AP351" s="10" t="str">
        <f aca="false">IF(OR($C351="01-09",$D351="Male"),"",INDEX(PMTCT!$AT:$AT,MATCH($E351,PMTCT!$E:$E,0)))</f>
        <v/>
      </c>
      <c r="AQ351" s="10" t="str">
        <f aca="false">INDEX(TB!$Q:$Q,MATCH($E351,TB!$E:$E,0))</f>
        <v/>
      </c>
      <c r="AR351" s="10" t="str">
        <f aca="false">IF(OR($C351="01-09",$C351="10-14",$D351="Female"),"",INDEX(VMMC!$AB:$AB,MATCH($E351,VMMC!$E:$E,0)))</f>
        <v/>
      </c>
      <c r="AS351" s="10" t="str">
        <f aca="false">IF(OR($C351="01-09",$C351="10-14"),"",INDEX(PrEP!$Q:$Q,MATCH($E351,PrEP!$E:$E,0)))</f>
        <v/>
      </c>
      <c r="AT351" s="10" t="str">
        <f aca="false">IFERROR(1/(1/SUM($Y351,$AB351,$AE351,$AH351,$AK351,$AO351:$AS351)),"")</f>
        <v/>
      </c>
      <c r="AU351" s="10" t="str">
        <f aca="false">IFERROR(1/(1/SUM($AT351,$AM351)),"")</f>
        <v/>
      </c>
      <c r="AV351" s="88" t="str">
        <f aca="false">IF(AND(SUM($AM351)=0,SUM($AU351)=0),"",$AM351/$AU351)</f>
        <v/>
      </c>
      <c r="AW351" s="10"/>
      <c r="AX351" s="88" t="str">
        <f aca="false">IF(OR($C351="01-09",SUM($AW351)=0),"",0%)</f>
        <v/>
      </c>
      <c r="AY351" s="39" t="str">
        <f aca="false">IF(OR($C351="01-09",SUM($AW351)=0),"",ROUND($AW351*(1+$AX351),0))</f>
        <v/>
      </c>
      <c r="AZ351" s="88" t="str">
        <f aca="false">IF(OR($C351="01-09",$C351="10-14"),"",100%)</f>
        <v/>
      </c>
      <c r="BA351" s="39" t="str">
        <f aca="false">IF(OR(SUM($AM351)=0,$C351="01-09",$C351="10-14"),"",$AM351*$AZ351)</f>
        <v/>
      </c>
    </row>
    <row r="352" customFormat="false" ht="15" hidden="false" customHeight="false" outlineLevel="0" collapsed="false">
      <c r="A352" s="0" t="str">
        <f aca="false">INDEX(Prioritization!$D:$D,MATCH($B352,Prioritization!$A:$A,0))</f>
        <v>1 - Scale-up: Saturation</v>
      </c>
      <c r="B352" s="0" t="s">
        <v>222</v>
      </c>
      <c r="C352" s="0" t="s">
        <v>363</v>
      </c>
      <c r="D352" s="0" t="s">
        <v>48</v>
      </c>
      <c r="E352" s="0" t="str">
        <f aca="false">$B352&amp;"|"&amp;$C352&amp;"|"&amp;$D352</f>
        <v>Zomba District [fyEoGEPERdI]|01-09|Male</v>
      </c>
      <c r="F352" s="88" t="n">
        <f aca="false">IF(LEFT($B352,4)="_Mil","",INDEX(Cascade!$AA:$AA,MATCH($E352,Cascade!$E:$E,0)))</f>
        <v>1864</v>
      </c>
      <c r="G352" s="10" t="n">
        <f aca="false">INDEX(Cascade!$BH:$BH,MATCH($E352,Cascade!$E:$E,0))</f>
        <v>0</v>
      </c>
      <c r="H352" s="10" t="str">
        <f aca="false">IF(OR($C352="01-09",$D352="Male"),"",INDEX(PMTCT!$AC:$AC,MATCH($E352,PMTCT!$E:$E,0)))</f>
        <v/>
      </c>
      <c r="I352" s="10" t="str">
        <f aca="false">IF(OR($C352="01-09",$D352="Male"),"",INDEX(PMTCT!$AS:$AS,MATCH($E352,PMTCT!$E:$E,0)))</f>
        <v/>
      </c>
      <c r="J352" s="10" t="str">
        <f aca="false">INDEX(TB!$P:$P,MATCH($E352,TB!$E:$E,0))</f>
        <v/>
      </c>
      <c r="K352" s="10" t="str">
        <f aca="false">IF(OR($C352="01-09",$C352="10-14",$D352="Female"),"",INDEX(VMMC!$AA:$AA,MATCH($E352,VMMC!$E:$E,0)))</f>
        <v/>
      </c>
      <c r="L352" s="10" t="n">
        <f aca="false">SUM($G352)-SUM($H352:$K352)</f>
        <v>0</v>
      </c>
      <c r="M352" s="88" t="str">
        <f aca="false">IF(OR($C352="01-09",$D352="Male",AND(SUM($G352)=0,SUM($H352)=0)),"",SUM($H352)/SUM($G352))</f>
        <v/>
      </c>
      <c r="N352" s="88" t="str">
        <f aca="false">IF(OR($C352="01-09",$D352="Male",AND(SUM($G352)=0,SUM($I352)=0)),"",SUM($I352)/SUM($G352))</f>
        <v/>
      </c>
      <c r="O352" s="88" t="str">
        <f aca="false">IF(AND(SUM($G352)=0,SUM($J352)=0),"",SUM($J352)/SUM($G352))</f>
        <v/>
      </c>
      <c r="P352" s="88" t="str">
        <f aca="false">IF(OR($C352="01-09",$C352="10-14",$D352="Female",AND(SUM($G352)=0,SUM($K352)=0)),"",SUM($K352)/SUM($G352))</f>
        <v/>
      </c>
      <c r="Q352" s="88"/>
      <c r="R352" s="88"/>
      <c r="S352" s="88"/>
      <c r="T352" s="88"/>
      <c r="U352" s="88"/>
      <c r="V352" s="88" t="str">
        <f aca="false">IF(SUM($G352)=0,"",SUM($M352:$U352))</f>
        <v/>
      </c>
      <c r="W352" s="88"/>
      <c r="X352" s="39" t="str">
        <f aca="false">IF(OR(SUM($G352)=0,SUM($Q352)=0),"",ROUND(SUM($G352)*SUM($Q352),0))</f>
        <v/>
      </c>
      <c r="Y352" s="39" t="str">
        <f aca="false">IF(SUM($X352)=0,"",IF(SUM($W352)=0,"ENTER YIELD",ROUND($X352/$W352,0)-$X352))</f>
        <v/>
      </c>
      <c r="Z352" s="88"/>
      <c r="AA352" s="39" t="str">
        <f aca="false">IF(OR(SUM($G352)=0,SUM($R352)=0),"",ROUND(SUM($G352)*SUM($R352),0))</f>
        <v/>
      </c>
      <c r="AB352" s="39" t="str">
        <f aca="false">IF(SUM($AA352)=0,"",IF(SUM($Z352)=0,"ENTER YIELD",ROUND($AA352/$Z352,0)-$AA352))</f>
        <v/>
      </c>
      <c r="AC352" s="88"/>
      <c r="AD352" s="39" t="str">
        <f aca="false">IF(OR(SUM($G352)=0,SUM($S352)=0),"",ROUND(SUM($G352)*SUM($S352),0))</f>
        <v/>
      </c>
      <c r="AE352" s="39" t="str">
        <f aca="false">IF(SUM($AD352)=0,"",IF(SUM($AC352)=0,"ENTER YIELD",ROUND($AD352/$AC352,0)-$AD352))</f>
        <v/>
      </c>
      <c r="AF352" s="88"/>
      <c r="AG352" s="39" t="str">
        <f aca="false">IF(OR(SUM($G352)=0,SUM($T352)=0),"",ROUND(SUM($G352)*SUM($T352),0))</f>
        <v/>
      </c>
      <c r="AH352" s="39" t="str">
        <f aca="false">IF(SUM($AG352)=0,"",IF(SUM($AF352)=0,"ENTER YIELD",ROUND($AG352/$AF352,0)-$AG352))</f>
        <v/>
      </c>
      <c r="AI352" s="88"/>
      <c r="AJ352" s="39" t="str">
        <f aca="false">IF(OR(SUM($G352)=0,SUM($U352)=0),"",ROUND(SUM($G352)*SUM($U352),0))</f>
        <v/>
      </c>
      <c r="AK352" s="39" t="str">
        <f aca="false">IF(SUM($AJ352)=0,"",IF(SUM($AI352)=0,"ENTER YIELD",ROUND($AJ352/$AI352,0)-$AJ352))</f>
        <v/>
      </c>
      <c r="AL352" s="10" t="str">
        <f aca="false">IF(SUM($G352)=0,"",$G352)</f>
        <v/>
      </c>
      <c r="AM352" s="10" t="str">
        <f aca="false">IFERROR(1/(1/SUM($H352:$K352,$X352,$AA352,$AD352,$AG352,$AJ352)),"")</f>
        <v/>
      </c>
      <c r="AN352" s="10" t="str">
        <f aca="false">IF(AND(SUM($AM352)=0,SUM($AL352)=0),"",$AM352-$AL352)</f>
        <v/>
      </c>
      <c r="AO352" s="10" t="str">
        <f aca="false">IF(OR($C352="01-09",$D352="Male"),"",INDEX(PMTCT!$AD:$AD,MATCH($E352,PMTCT!$E:$E,0)))</f>
        <v/>
      </c>
      <c r="AP352" s="10" t="str">
        <f aca="false">IF(OR($C352="01-09",$D352="Male"),"",INDEX(PMTCT!$AT:$AT,MATCH($E352,PMTCT!$E:$E,0)))</f>
        <v/>
      </c>
      <c r="AQ352" s="10" t="str">
        <f aca="false">INDEX(TB!$Q:$Q,MATCH($E352,TB!$E:$E,0))</f>
        <v/>
      </c>
      <c r="AR352" s="10" t="str">
        <f aca="false">IF(OR($C352="01-09",$C352="10-14",$D352="Female"),"",INDEX(VMMC!$AB:$AB,MATCH($E352,VMMC!$E:$E,0)))</f>
        <v/>
      </c>
      <c r="AS352" s="10" t="str">
        <f aca="false">IF(OR($C352="01-09",$C352="10-14"),"",INDEX(PrEP!$Q:$Q,MATCH($E352,PrEP!$E:$E,0)))</f>
        <v/>
      </c>
      <c r="AT352" s="10" t="str">
        <f aca="false">IFERROR(1/(1/SUM($Y352,$AB352,$AE352,$AH352,$AK352,$AO352:$AS352)),"")</f>
        <v/>
      </c>
      <c r="AU352" s="10" t="str">
        <f aca="false">IFERROR(1/(1/SUM($AT352,$AM352)),"")</f>
        <v/>
      </c>
      <c r="AV352" s="88" t="str">
        <f aca="false">IF(AND(SUM($AM352)=0,SUM($AU352)=0),"",$AM352/$AU352)</f>
        <v/>
      </c>
      <c r="AW352" s="10"/>
      <c r="AX352" s="88" t="str">
        <f aca="false">IF(OR($C352="01-09",SUM($AW352)=0),"",0%)</f>
        <v/>
      </c>
      <c r="AY352" s="39" t="str">
        <f aca="false">IF(OR($C352="01-09",SUM($AW352)=0),"",ROUND($AW352*(1+$AX352),0))</f>
        <v/>
      </c>
      <c r="AZ352" s="88" t="str">
        <f aca="false">IF(OR($C352="01-09",$C352="10-14"),"",100%)</f>
        <v/>
      </c>
      <c r="BA352" s="39" t="str">
        <f aca="false">IF(OR(SUM($AM352)=0,$C352="01-09",$C352="10-14"),"",$AM352*$AZ352)</f>
        <v/>
      </c>
    </row>
    <row r="353" customFormat="false" ht="15" hidden="false" customHeight="false" outlineLevel="0" collapsed="false">
      <c r="A353" s="0" t="str">
        <f aca="false">INDEX(Prioritization!$D:$D,MATCH($B353,Prioritization!$A:$A,0))</f>
        <v>1 - Scale-up: Saturation</v>
      </c>
      <c r="B353" s="0" t="s">
        <v>222</v>
      </c>
      <c r="C353" s="0" t="s">
        <v>364</v>
      </c>
      <c r="D353" s="0" t="s">
        <v>30</v>
      </c>
      <c r="E353" s="0" t="str">
        <f aca="false">$B353&amp;"|"&amp;$C353&amp;"|"&amp;$D353</f>
        <v>Zomba District [fyEoGEPERdI]|10-14|Female</v>
      </c>
      <c r="F353" s="88" t="n">
        <f aca="false">IF(LEFT($B353,4)="_Mil","",INDEX(Cascade!$AA:$AA,MATCH($E353,Cascade!$E:$E,0)))</f>
        <v>1522</v>
      </c>
      <c r="G353" s="10" t="n">
        <f aca="false">INDEX(Cascade!$BH:$BH,MATCH($E353,Cascade!$E:$E,0))</f>
        <v>-25</v>
      </c>
      <c r="H353" s="10" t="n">
        <f aca="false">IF(OR($C353="01-09",$D353="Male"),"",INDEX(PMTCT!$AC:$AC,MATCH($E353,PMTCT!$E:$E,0)))</f>
        <v>1</v>
      </c>
      <c r="I353" s="10" t="str">
        <f aca="false">IF(OR($C353="01-09",$D353="Male"),"",INDEX(PMTCT!$AS:$AS,MATCH($E353,PMTCT!$E:$E,0)))</f>
        <v/>
      </c>
      <c r="J353" s="10" t="str">
        <f aca="false">INDEX(TB!$P:$P,MATCH($E353,TB!$E:$E,0))</f>
        <v>ENTER YIELD RATE</v>
      </c>
      <c r="K353" s="10" t="str">
        <f aca="false">IF(OR($C353="01-09",$C353="10-14",$D353="Female"),"",INDEX(VMMC!$AA:$AA,MATCH($E353,VMMC!$E:$E,0)))</f>
        <v/>
      </c>
      <c r="L353" s="10" t="n">
        <f aca="false">SUM($G353)-SUM($H353:$K353)</f>
        <v>-26</v>
      </c>
      <c r="M353" s="88" t="n">
        <f aca="false">IF(OR($C353="01-09",$D353="Male",AND(SUM($G353)=0,SUM($H353)=0)),"",SUM($H353)/SUM($G353))</f>
        <v>-0.04</v>
      </c>
      <c r="N353" s="88" t="n">
        <f aca="false">IF(OR($C353="01-09",$D353="Male",AND(SUM($G353)=0,SUM($I353)=0)),"",SUM($I353)/SUM($G353))</f>
        <v>-0</v>
      </c>
      <c r="O353" s="88" t="n">
        <f aca="false">IF(AND(SUM($G353)=0,SUM($J353)=0),"",SUM($J353)/SUM($G353))</f>
        <v>-0</v>
      </c>
      <c r="P353" s="88" t="str">
        <f aca="false">IF(OR($C353="01-09",$C353="10-14",$D353="Female",AND(SUM($G353)=0,SUM($K353)=0)),"",SUM($K353)/SUM($G353))</f>
        <v/>
      </c>
      <c r="Q353" s="88" t="n">
        <v>0.807777293026447</v>
      </c>
      <c r="R353" s="88"/>
      <c r="S353" s="88"/>
      <c r="T353" s="88"/>
      <c r="U353" s="88" t="n">
        <v>0.239412507275119</v>
      </c>
      <c r="V353" s="88" t="n">
        <f aca="false">IF(SUM($G353)=0,"",SUM($M353:$U353))</f>
        <v>1.00718980030157</v>
      </c>
      <c r="W353" s="88"/>
      <c r="X353" s="39" t="n">
        <f aca="false">IF(OR(SUM($G353)=0,SUM($Q353)=0),"",ROUND(SUM($G353)*SUM($Q353),0))</f>
        <v>-20</v>
      </c>
      <c r="Y353" s="39" t="str">
        <f aca="false">IF(SUM($X353)=0,"",IF(SUM($W353)=0,"ENTER YIELD",ROUND($X353/$W353,0)-$X353))</f>
        <v>ENTER YIELD</v>
      </c>
      <c r="Z353" s="88"/>
      <c r="AA353" s="39" t="str">
        <f aca="false">IF(OR(SUM($G353)=0,SUM($R353)=0),"",ROUND(SUM($G353)*SUM($R353),0))</f>
        <v/>
      </c>
      <c r="AB353" s="39" t="str">
        <f aca="false">IF(SUM($AA353)=0,"",IF(SUM($Z353)=0,"ENTER YIELD",ROUND($AA353/$Z353,0)-$AA353))</f>
        <v/>
      </c>
      <c r="AC353" s="88"/>
      <c r="AD353" s="39" t="str">
        <f aca="false">IF(OR(SUM($G353)=0,SUM($S353)=0),"",ROUND(SUM($G353)*SUM($S353),0))</f>
        <v/>
      </c>
      <c r="AE353" s="39" t="str">
        <f aca="false">IF(SUM($AD353)=0,"",IF(SUM($AC353)=0,"ENTER YIELD",ROUND($AD353/$AC353,0)-$AD353))</f>
        <v/>
      </c>
      <c r="AF353" s="88"/>
      <c r="AG353" s="39" t="str">
        <f aca="false">IF(OR(SUM($G353)=0,SUM($T353)=0),"",ROUND(SUM($G353)*SUM($T353),0))</f>
        <v/>
      </c>
      <c r="AH353" s="39" t="str">
        <f aca="false">IF(SUM($AG353)=0,"",IF(SUM($AF353)=0,"ENTER YIELD",ROUND($AG353/$AF353,0)-$AG353))</f>
        <v/>
      </c>
      <c r="AI353" s="88" t="n">
        <v>0.999934207648039</v>
      </c>
      <c r="AJ353" s="39" t="n">
        <f aca="false">IF(OR(SUM($G353)=0,SUM($U353)=0),"",ROUND(SUM($G353)*SUM($U353),0))</f>
        <v>-6</v>
      </c>
      <c r="AK353" s="39" t="n">
        <f aca="false">IF(SUM($AJ353)=0,"",IF(SUM($AI353)=0,"ENTER YIELD",ROUND($AJ353/$AI353,0)-$AJ353))</f>
        <v>0</v>
      </c>
      <c r="AL353" s="10" t="n">
        <f aca="false">IF(SUM($G353)=0,"",$G353)</f>
        <v>-25</v>
      </c>
      <c r="AM353" s="10" t="n">
        <f aca="false">IFERROR(1/(1/SUM($H353:$K353,$X353,$AA353,$AD353,$AG353,$AJ353)),"")</f>
        <v>-25</v>
      </c>
      <c r="AN353" s="10" t="n">
        <f aca="false">IF(AND(SUM($AM353)=0,SUM($AL353)=0),"",$AM353-$AL353)</f>
        <v>0</v>
      </c>
      <c r="AO353" s="10" t="n">
        <f aca="false">IF(OR($C353="01-09",$D353="Male"),"",INDEX(PMTCT!$AD:$AD,MATCH($E353,PMTCT!$E:$E,0)))</f>
        <v>0</v>
      </c>
      <c r="AP353" s="10" t="str">
        <f aca="false">IF(OR($C353="01-09",$D353="Male"),"",INDEX(PMTCT!$AT:$AT,MATCH($E353,PMTCT!$E:$E,0)))</f>
        <v/>
      </c>
      <c r="AQ353" s="10" t="n">
        <f aca="false">INDEX(TB!$Q:$Q,MATCH($E353,TB!$E:$E,0))</f>
        <v>4</v>
      </c>
      <c r="AR353" s="10" t="str">
        <f aca="false">IF(OR($C353="01-09",$C353="10-14",$D353="Female"),"",INDEX(VMMC!$AB:$AB,MATCH($E353,VMMC!$E:$E,0)))</f>
        <v/>
      </c>
      <c r="AS353" s="10" t="str">
        <f aca="false">IF(OR($C353="01-09",$C353="10-14"),"",INDEX(PrEP!$Q:$Q,MATCH($E353,PrEP!$E:$E,0)))</f>
        <v/>
      </c>
      <c r="AT353" s="10" t="n">
        <f aca="false">IFERROR(1/(1/SUM($Y353,$AB353,$AE353,$AH353,$AK353,$AO353:$AS353)),"")</f>
        <v>4</v>
      </c>
      <c r="AU353" s="10" t="n">
        <f aca="false">IFERROR(1/(1/SUM($AT353,$AM353)),"")</f>
        <v>-21</v>
      </c>
      <c r="AV353" s="88" t="n">
        <f aca="false">IF(AND(SUM($AM353)=0,SUM($AU353)=0),"",$AM353/$AU353)</f>
        <v>1.19047619047619</v>
      </c>
      <c r="AW353" s="10" t="n">
        <v>506</v>
      </c>
      <c r="AX353" s="88" t="n">
        <f aca="false">IF(OR($C353="01-09",SUM($AW353)=0),"",0%)</f>
        <v>0</v>
      </c>
      <c r="AY353" s="39" t="n">
        <f aca="false">IF(OR($C353="01-09",SUM($AW353)=0),"",ROUND($AW353*(1+$AX353),0))</f>
        <v>506</v>
      </c>
      <c r="AZ353" s="88" t="str">
        <f aca="false">IF(OR($C353="01-09",$C353="10-14"),"",100%)</f>
        <v/>
      </c>
      <c r="BA353" s="39" t="str">
        <f aca="false">IF(OR(SUM($AM353)=0,$C353="01-09",$C353="10-14"),"",$AM353*$AZ353)</f>
        <v/>
      </c>
    </row>
    <row r="354" customFormat="false" ht="15" hidden="false" customHeight="false" outlineLevel="0" collapsed="false">
      <c r="A354" s="0" t="str">
        <f aca="false">INDEX(Prioritization!$D:$D,MATCH($B354,Prioritization!$A:$A,0))</f>
        <v>1 - Scale-up: Saturation</v>
      </c>
      <c r="B354" s="0" t="s">
        <v>222</v>
      </c>
      <c r="C354" s="0" t="s">
        <v>364</v>
      </c>
      <c r="D354" s="0" t="s">
        <v>48</v>
      </c>
      <c r="E354" s="0" t="str">
        <f aca="false">$B354&amp;"|"&amp;$C354&amp;"|"&amp;$D354</f>
        <v>Zomba District [fyEoGEPERdI]|10-14|Male</v>
      </c>
      <c r="F354" s="88" t="n">
        <f aca="false">IF(LEFT($B354,4)="_Mil","",INDEX(Cascade!$AA:$AA,MATCH($E354,Cascade!$E:$E,0)))</f>
        <v>1355</v>
      </c>
      <c r="G354" s="10" t="n">
        <f aca="false">INDEX(Cascade!$BH:$BH,MATCH($E354,Cascade!$E:$E,0))</f>
        <v>-53</v>
      </c>
      <c r="H354" s="10" t="str">
        <f aca="false">IF(OR($C354="01-09",$D354="Male"),"",INDEX(PMTCT!$AC:$AC,MATCH($E354,PMTCT!$E:$E,0)))</f>
        <v/>
      </c>
      <c r="I354" s="10" t="str">
        <f aca="false">IF(OR($C354="01-09",$D354="Male"),"",INDEX(PMTCT!$AS:$AS,MATCH($E354,PMTCT!$E:$E,0)))</f>
        <v/>
      </c>
      <c r="J354" s="10" t="str">
        <f aca="false">INDEX(TB!$P:$P,MATCH($E354,TB!$E:$E,0))</f>
        <v>ENTER YIELD RATE</v>
      </c>
      <c r="K354" s="10" t="str">
        <f aca="false">IF(OR($C354="01-09",$C354="10-14",$D354="Female"),"",INDEX(VMMC!$AA:$AA,MATCH($E354,VMMC!$E:$E,0)))</f>
        <v/>
      </c>
      <c r="L354" s="10" t="n">
        <f aca="false">SUM($G354)-SUM($H354:$K354)</f>
        <v>-53</v>
      </c>
      <c r="M354" s="88" t="str">
        <f aca="false">IF(OR($C354="01-09",$D354="Male",AND(SUM($G354)=0,SUM($H354)=0)),"",SUM($H354)/SUM($G354))</f>
        <v/>
      </c>
      <c r="N354" s="88" t="str">
        <f aca="false">IF(OR($C354="01-09",$D354="Male",AND(SUM($G354)=0,SUM($I354)=0)),"",SUM($I354)/SUM($G354))</f>
        <v/>
      </c>
      <c r="O354" s="88" t="n">
        <f aca="false">IF(AND(SUM($G354)=0,SUM($J354)=0),"",SUM($J354)/SUM($G354))</f>
        <v>-0</v>
      </c>
      <c r="P354" s="88" t="str">
        <f aca="false">IF(OR($C354="01-09",$C354="10-14",$D354="Female",AND(SUM($G354)=0,SUM($K354)=0)),"",SUM($K354)/SUM($G354))</f>
        <v/>
      </c>
      <c r="Q354" s="88" t="n">
        <v>0.0516847756225616</v>
      </c>
      <c r="R354" s="88"/>
      <c r="S354" s="88"/>
      <c r="T354" s="88"/>
      <c r="U354" s="88" t="n">
        <v>0.45715091470629</v>
      </c>
      <c r="V354" s="88" t="n">
        <f aca="false">IF(SUM($G354)=0,"",SUM($M354:$U354))</f>
        <v>0.508835690328852</v>
      </c>
      <c r="W354" s="88"/>
      <c r="X354" s="39" t="n">
        <f aca="false">IF(OR(SUM($G354)=0,SUM($Q354)=0),"",ROUND(SUM($G354)*SUM($Q354),0))</f>
        <v>-3</v>
      </c>
      <c r="Y354" s="39" t="str">
        <f aca="false">IF(SUM($X354)=0,"",IF(SUM($W354)=0,"ENTER YIELD",ROUND($X354/$W354,0)-$X354))</f>
        <v>ENTER YIELD</v>
      </c>
      <c r="Z354" s="88"/>
      <c r="AA354" s="39" t="str">
        <f aca="false">IF(OR(SUM($G354)=0,SUM($R354)=0),"",ROUND(SUM($G354)*SUM($R354),0))</f>
        <v/>
      </c>
      <c r="AB354" s="39" t="str">
        <f aca="false">IF(SUM($AA354)=0,"",IF(SUM($Z354)=0,"ENTER YIELD",ROUND($AA354/$Z354,0)-$AA354))</f>
        <v/>
      </c>
      <c r="AC354" s="88"/>
      <c r="AD354" s="39" t="str">
        <f aca="false">IF(OR(SUM($G354)=0,SUM($S354)=0),"",ROUND(SUM($G354)*SUM($S354),0))</f>
        <v/>
      </c>
      <c r="AE354" s="39" t="str">
        <f aca="false">IF(SUM($AD354)=0,"",IF(SUM($AC354)=0,"ENTER YIELD",ROUND($AD354/$AC354,0)-$AD354))</f>
        <v/>
      </c>
      <c r="AF354" s="88"/>
      <c r="AG354" s="39" t="str">
        <f aca="false">IF(OR(SUM($G354)=0,SUM($T354)=0),"",ROUND(SUM($G354)*SUM($T354),0))</f>
        <v/>
      </c>
      <c r="AH354" s="39" t="str">
        <f aca="false">IF(SUM($AG354)=0,"",IF(SUM($AF354)=0,"ENTER YIELD",ROUND($AG354/$AF354,0)-$AG354))</f>
        <v/>
      </c>
      <c r="AI354" s="88" t="n">
        <v>0.836605377262458</v>
      </c>
      <c r="AJ354" s="39" t="n">
        <f aca="false">IF(OR(SUM($G354)=0,SUM($U354)=0),"",ROUND(SUM($G354)*SUM($U354),0))</f>
        <v>-24</v>
      </c>
      <c r="AK354" s="39" t="n">
        <f aca="false">IF(SUM($AJ354)=0,"",IF(SUM($AI354)=0,"ENTER YIELD",ROUND($AJ354/$AI354,0)-$AJ354))</f>
        <v>-5</v>
      </c>
      <c r="AL354" s="10" t="n">
        <f aca="false">IF(SUM($G354)=0,"",$G354)</f>
        <v>-53</v>
      </c>
      <c r="AM354" s="10" t="n">
        <f aca="false">IFERROR(1/(1/SUM($H354:$K354,$X354,$AA354,$AD354,$AG354,$AJ354)),"")</f>
        <v>-27</v>
      </c>
      <c r="AN354" s="10" t="n">
        <f aca="false">IF(AND(SUM($AM354)=0,SUM($AL354)=0),"",$AM354-$AL354)</f>
        <v>26</v>
      </c>
      <c r="AO354" s="10" t="str">
        <f aca="false">IF(OR($C354="01-09",$D354="Male"),"",INDEX(PMTCT!$AD:$AD,MATCH($E354,PMTCT!$E:$E,0)))</f>
        <v/>
      </c>
      <c r="AP354" s="10" t="str">
        <f aca="false">IF(OR($C354="01-09",$D354="Male"),"",INDEX(PMTCT!$AT:$AT,MATCH($E354,PMTCT!$E:$E,0)))</f>
        <v/>
      </c>
      <c r="AQ354" s="10" t="n">
        <f aca="false">INDEX(TB!$Q:$Q,MATCH($E354,TB!$E:$E,0))</f>
        <v>5</v>
      </c>
      <c r="AR354" s="10" t="str">
        <f aca="false">IF(OR($C354="01-09",$C354="10-14",$D354="Female"),"",INDEX(VMMC!$AB:$AB,MATCH($E354,VMMC!$E:$E,0)))</f>
        <v/>
      </c>
      <c r="AS354" s="10" t="str">
        <f aca="false">IF(OR($C354="01-09",$C354="10-14"),"",INDEX(PrEP!$Q:$Q,MATCH($E354,PrEP!$E:$E,0)))</f>
        <v/>
      </c>
      <c r="AT354" s="10" t="str">
        <f aca="false">IFERROR(1/(1/SUM($Y354,$AB354,$AE354,$AH354,$AK354,$AO354:$AS354)),"")</f>
        <v/>
      </c>
      <c r="AU354" s="10" t="n">
        <f aca="false">IFERROR(1/(1/SUM($AT354,$AM354)),"")</f>
        <v>-27</v>
      </c>
      <c r="AV354" s="88" t="n">
        <f aca="false">IF(AND(SUM($AM354)=0,SUM($AU354)=0),"",$AM354/$AU354)</f>
        <v>1</v>
      </c>
      <c r="AW354" s="10"/>
      <c r="AX354" s="88" t="str">
        <f aca="false">IF(OR($C354="01-09",SUM($AW354)=0),"",0%)</f>
        <v/>
      </c>
      <c r="AY354" s="39" t="str">
        <f aca="false">IF(OR($C354="01-09",SUM($AW354)=0),"",ROUND($AW354*(1+$AX354),0))</f>
        <v/>
      </c>
      <c r="AZ354" s="88" t="str">
        <f aca="false">IF(OR($C354="01-09",$C354="10-14"),"",100%)</f>
        <v/>
      </c>
      <c r="BA354" s="39" t="str">
        <f aca="false">IF(OR(SUM($AM354)=0,$C354="01-09",$C354="10-14"),"",$AM354*$AZ354)</f>
        <v/>
      </c>
    </row>
    <row r="355" customFormat="false" ht="15" hidden="false" customHeight="false" outlineLevel="0" collapsed="false">
      <c r="A355" s="0" t="str">
        <f aca="false">INDEX(Prioritization!$D:$D,MATCH($B355,Prioritization!$A:$A,0))</f>
        <v>1 - Scale-up: Saturation</v>
      </c>
      <c r="B355" s="0" t="s">
        <v>222</v>
      </c>
      <c r="C355" s="0" t="s">
        <v>365</v>
      </c>
      <c r="D355" s="0" t="s">
        <v>30</v>
      </c>
      <c r="E355" s="0" t="str">
        <f aca="false">$B355&amp;"|"&amp;$C355&amp;"|"&amp;$D355</f>
        <v>Zomba District [fyEoGEPERdI]|15-24|Female</v>
      </c>
      <c r="F355" s="88" t="n">
        <f aca="false">IF(LEFT($B355,4)="_Mil","",INDEX(Cascade!$AA:$AA,MATCH($E355,Cascade!$E:$E,0)))</f>
        <v>654</v>
      </c>
      <c r="G355" s="10" t="n">
        <f aca="false">INDEX(Cascade!$BH:$BH,MATCH($E355,Cascade!$E:$E,0))</f>
        <v>0</v>
      </c>
      <c r="H355" s="10" t="str">
        <f aca="false">IF(OR($C355="01-09",$D355="Male"),"",INDEX(PMTCT!$AC:$AC,MATCH($E355,PMTCT!$E:$E,0)))</f>
        <v/>
      </c>
      <c r="I355" s="10" t="str">
        <f aca="false">IF(OR($C355="01-09",$D355="Male"),"",INDEX(PMTCT!$AS:$AS,MATCH($E355,PMTCT!$E:$E,0)))</f>
        <v/>
      </c>
      <c r="J355" s="10" t="str">
        <f aca="false">INDEX(TB!$P:$P,MATCH($E355,TB!$E:$E,0))</f>
        <v/>
      </c>
      <c r="K355" s="10" t="str">
        <f aca="false">IF(OR($C355="01-09",$C355="10-14",$D355="Female"),"",INDEX(VMMC!$AA:$AA,MATCH($E355,VMMC!$E:$E,0)))</f>
        <v/>
      </c>
      <c r="L355" s="10" t="n">
        <f aca="false">SUM($G355)-SUM($H355:$K355)</f>
        <v>0</v>
      </c>
      <c r="M355" s="88" t="str">
        <f aca="false">IF(OR($C355="01-09",$D355="Male",AND(SUM($G355)=0,SUM($H355)=0)),"",SUM($H355)/SUM($G355))</f>
        <v/>
      </c>
      <c r="N355" s="88" t="str">
        <f aca="false">IF(OR($C355="01-09",$D355="Male",AND(SUM($G355)=0,SUM($I355)=0)),"",SUM($I355)/SUM($G355))</f>
        <v/>
      </c>
      <c r="O355" s="88" t="str">
        <f aca="false">IF(AND(SUM($G355)=0,SUM($J355)=0),"",SUM($J355)/SUM($G355))</f>
        <v/>
      </c>
      <c r="P355" s="88" t="str">
        <f aca="false">IF(OR($C355="01-09",$C355="10-14",$D355="Female",AND(SUM($G355)=0,SUM($K355)=0)),"",SUM($K355)/SUM($G355))</f>
        <v/>
      </c>
      <c r="Q355" s="88"/>
      <c r="R355" s="88"/>
      <c r="S355" s="88"/>
      <c r="T355" s="88"/>
      <c r="U355" s="88"/>
      <c r="V355" s="88" t="str">
        <f aca="false">IF(SUM($G355)=0,"",SUM($M355:$U355))</f>
        <v/>
      </c>
      <c r="W355" s="88"/>
      <c r="X355" s="39" t="str">
        <f aca="false">IF(OR(SUM($G355)=0,SUM($Q355)=0),"",ROUND(SUM($G355)*SUM($Q355),0))</f>
        <v/>
      </c>
      <c r="Y355" s="39" t="str">
        <f aca="false">IF(SUM($X355)=0,"",IF(SUM($W355)=0,"ENTER YIELD",ROUND($X355/$W355,0)-$X355))</f>
        <v/>
      </c>
      <c r="Z355" s="88"/>
      <c r="AA355" s="39" t="str">
        <f aca="false">IF(OR(SUM($G355)=0,SUM($R355)=0),"",ROUND(SUM($G355)*SUM($R355),0))</f>
        <v/>
      </c>
      <c r="AB355" s="39" t="str">
        <f aca="false">IF(SUM($AA355)=0,"",IF(SUM($Z355)=0,"ENTER YIELD",ROUND($AA355/$Z355,0)-$AA355))</f>
        <v/>
      </c>
      <c r="AC355" s="88"/>
      <c r="AD355" s="39" t="str">
        <f aca="false">IF(OR(SUM($G355)=0,SUM($S355)=0),"",ROUND(SUM($G355)*SUM($S355),0))</f>
        <v/>
      </c>
      <c r="AE355" s="39" t="str">
        <f aca="false">IF(SUM($AD355)=0,"",IF(SUM($AC355)=0,"ENTER YIELD",ROUND($AD355/$AC355,0)-$AD355))</f>
        <v/>
      </c>
      <c r="AF355" s="88"/>
      <c r="AG355" s="39" t="str">
        <f aca="false">IF(OR(SUM($G355)=0,SUM($T355)=0),"",ROUND(SUM($G355)*SUM($T355),0))</f>
        <v/>
      </c>
      <c r="AH355" s="39" t="str">
        <f aca="false">IF(SUM($AG355)=0,"",IF(SUM($AF355)=0,"ENTER YIELD",ROUND($AG355/$AF355,0)-$AG355))</f>
        <v/>
      </c>
      <c r="AI355" s="88"/>
      <c r="AJ355" s="39" t="str">
        <f aca="false">IF(OR(SUM($G355)=0,SUM($U355)=0),"",ROUND(SUM($G355)*SUM($U355),0))</f>
        <v/>
      </c>
      <c r="AK355" s="39" t="str">
        <f aca="false">IF(SUM($AJ355)=0,"",IF(SUM($AI355)=0,"ENTER YIELD",ROUND($AJ355/$AI355,0)-$AJ355))</f>
        <v/>
      </c>
      <c r="AL355" s="10" t="str">
        <f aca="false">IF(SUM($G355)=0,"",$G355)</f>
        <v/>
      </c>
      <c r="AM355" s="10" t="str">
        <f aca="false">IFERROR(1/(1/SUM($H355:$K355,$X355,$AA355,$AD355,$AG355,$AJ355)),"")</f>
        <v/>
      </c>
      <c r="AN355" s="10" t="str">
        <f aca="false">IF(AND(SUM($AM355)=0,SUM($AL355)=0),"",$AM355-$AL355)</f>
        <v/>
      </c>
      <c r="AO355" s="10" t="str">
        <f aca="false">IF(OR($C355="01-09",$D355="Male"),"",INDEX(PMTCT!$AD:$AD,MATCH($E355,PMTCT!$E:$E,0)))</f>
        <v/>
      </c>
      <c r="AP355" s="10" t="str">
        <f aca="false">IF(OR($C355="01-09",$D355="Male"),"",INDEX(PMTCT!$AT:$AT,MATCH($E355,PMTCT!$E:$E,0)))</f>
        <v/>
      </c>
      <c r="AQ355" s="10" t="str">
        <f aca="false">INDEX(TB!$Q:$Q,MATCH($E355,TB!$E:$E,0))</f>
        <v/>
      </c>
      <c r="AR355" s="10" t="str">
        <f aca="false">IF(OR($C355="01-09",$C355="10-14",$D355="Female"),"",INDEX(VMMC!$AB:$AB,MATCH($E355,VMMC!$E:$E,0)))</f>
        <v/>
      </c>
      <c r="AS355" s="10" t="str">
        <f aca="false">IF(OR($C355="01-09",$C355="10-14"),"",INDEX(PrEP!$Q:$Q,MATCH($E355,PrEP!$E:$E,0)))</f>
        <v/>
      </c>
      <c r="AT355" s="10" t="str">
        <f aca="false">IFERROR(1/(1/SUM($Y355,$AB355,$AE355,$AH355,$AK355,$AO355:$AS355)),"")</f>
        <v/>
      </c>
      <c r="AU355" s="10" t="str">
        <f aca="false">IFERROR(1/(1/SUM($AT355,$AM355)),"")</f>
        <v/>
      </c>
      <c r="AV355" s="88" t="str">
        <f aca="false">IF(AND(SUM($AM355)=0,SUM($AU355)=0),"",$AM355/$AU355)</f>
        <v/>
      </c>
      <c r="AW355" s="10"/>
      <c r="AX355" s="88" t="str">
        <f aca="false">IF(OR($C355="01-09",SUM($AW355)=0),"",0%)</f>
        <v/>
      </c>
      <c r="AY355" s="39" t="str">
        <f aca="false">IF(OR($C355="01-09",SUM($AW355)=0),"",ROUND($AW355*(1+$AX355),0))</f>
        <v/>
      </c>
      <c r="AZ355" s="88" t="n">
        <f aca="false">IF(OR($C355="01-09",$C355="10-14"),"",100%)</f>
        <v>1</v>
      </c>
      <c r="BA355" s="39" t="str">
        <f aca="false">IF(OR(SUM($AM355)=0,$C355="01-09",$C355="10-14"),"",$AM355*$AZ355)</f>
        <v/>
      </c>
    </row>
    <row r="356" customFormat="false" ht="15" hidden="false" customHeight="false" outlineLevel="0" collapsed="false">
      <c r="A356" s="0" t="str">
        <f aca="false">INDEX(Prioritization!$D:$D,MATCH($B356,Prioritization!$A:$A,0))</f>
        <v>1 - Scale-up: Saturation</v>
      </c>
      <c r="B356" s="0" t="s">
        <v>222</v>
      </c>
      <c r="C356" s="0" t="s">
        <v>365</v>
      </c>
      <c r="D356" s="0" t="s">
        <v>48</v>
      </c>
      <c r="E356" s="0" t="str">
        <f aca="false">$B356&amp;"|"&amp;$C356&amp;"|"&amp;$D356</f>
        <v>Zomba District [fyEoGEPERdI]|15-24|Male</v>
      </c>
      <c r="F356" s="88" t="n">
        <f aca="false">IF(LEFT($B356,4)="_Mil","",INDEX(Cascade!$AA:$AA,MATCH($E356,Cascade!$E:$E,0)))</f>
        <v>1449</v>
      </c>
      <c r="G356" s="10" t="n">
        <f aca="false">INDEX(Cascade!$BH:$BH,MATCH($E356,Cascade!$E:$E,0))</f>
        <v>0</v>
      </c>
      <c r="H356" s="10" t="str">
        <f aca="false">IF(OR($C356="01-09",$D356="Male"),"",INDEX(PMTCT!$AC:$AC,MATCH($E356,PMTCT!$E:$E,0)))</f>
        <v/>
      </c>
      <c r="I356" s="10" t="str">
        <f aca="false">IF(OR($C356="01-09",$D356="Male"),"",INDEX(PMTCT!$AS:$AS,MATCH($E356,PMTCT!$E:$E,0)))</f>
        <v/>
      </c>
      <c r="J356" s="10" t="str">
        <f aca="false">INDEX(TB!$P:$P,MATCH($E356,TB!$E:$E,0))</f>
        <v/>
      </c>
      <c r="K356" s="10" t="str">
        <f aca="false">IF(OR($C356="01-09",$C356="10-14",$D356="Female"),"",INDEX(VMMC!$AA:$AA,MATCH($E356,VMMC!$E:$E,0)))</f>
        <v/>
      </c>
      <c r="L356" s="10" t="n">
        <f aca="false">SUM($G356)-SUM($H356:$K356)</f>
        <v>0</v>
      </c>
      <c r="M356" s="88" t="str">
        <f aca="false">IF(OR($C356="01-09",$D356="Male",AND(SUM($G356)=0,SUM($H356)=0)),"",SUM($H356)/SUM($G356))</f>
        <v/>
      </c>
      <c r="N356" s="88" t="str">
        <f aca="false">IF(OR($C356="01-09",$D356="Male",AND(SUM($G356)=0,SUM($I356)=0)),"",SUM($I356)/SUM($G356))</f>
        <v/>
      </c>
      <c r="O356" s="88" t="str">
        <f aca="false">IF(AND(SUM($G356)=0,SUM($J356)=0),"",SUM($J356)/SUM($G356))</f>
        <v/>
      </c>
      <c r="P356" s="88" t="str">
        <f aca="false">IF(OR($C356="01-09",$C356="10-14",$D356="Female",AND(SUM($G356)=0,SUM($K356)=0)),"",SUM($K356)/SUM($G356))</f>
        <v/>
      </c>
      <c r="Q356" s="88"/>
      <c r="R356" s="88"/>
      <c r="S356" s="88"/>
      <c r="T356" s="88"/>
      <c r="U356" s="88"/>
      <c r="V356" s="88" t="str">
        <f aca="false">IF(SUM($G356)=0,"",SUM($M356:$U356))</f>
        <v/>
      </c>
      <c r="W356" s="88"/>
      <c r="X356" s="39" t="str">
        <f aca="false">IF(OR(SUM($G356)=0,SUM($Q356)=0),"",ROUND(SUM($G356)*SUM($Q356),0))</f>
        <v/>
      </c>
      <c r="Y356" s="39" t="str">
        <f aca="false">IF(SUM($X356)=0,"",IF(SUM($W356)=0,"ENTER YIELD",ROUND($X356/$W356,0)-$X356))</f>
        <v/>
      </c>
      <c r="Z356" s="88"/>
      <c r="AA356" s="39" t="str">
        <f aca="false">IF(OR(SUM($G356)=0,SUM($R356)=0),"",ROUND(SUM($G356)*SUM($R356),0))</f>
        <v/>
      </c>
      <c r="AB356" s="39" t="str">
        <f aca="false">IF(SUM($AA356)=0,"",IF(SUM($Z356)=0,"ENTER YIELD",ROUND($AA356/$Z356,0)-$AA356))</f>
        <v/>
      </c>
      <c r="AC356" s="88"/>
      <c r="AD356" s="39" t="str">
        <f aca="false">IF(OR(SUM($G356)=0,SUM($S356)=0),"",ROUND(SUM($G356)*SUM($S356),0))</f>
        <v/>
      </c>
      <c r="AE356" s="39" t="str">
        <f aca="false">IF(SUM($AD356)=0,"",IF(SUM($AC356)=0,"ENTER YIELD",ROUND($AD356/$AC356,0)-$AD356))</f>
        <v/>
      </c>
      <c r="AF356" s="88"/>
      <c r="AG356" s="39" t="str">
        <f aca="false">IF(OR(SUM($G356)=0,SUM($T356)=0),"",ROUND(SUM($G356)*SUM($T356),0))</f>
        <v/>
      </c>
      <c r="AH356" s="39" t="str">
        <f aca="false">IF(SUM($AG356)=0,"",IF(SUM($AF356)=0,"ENTER YIELD",ROUND($AG356/$AF356,0)-$AG356))</f>
        <v/>
      </c>
      <c r="AI356" s="88"/>
      <c r="AJ356" s="39" t="str">
        <f aca="false">IF(OR(SUM($G356)=0,SUM($U356)=0),"",ROUND(SUM($G356)*SUM($U356),0))</f>
        <v/>
      </c>
      <c r="AK356" s="39" t="str">
        <f aca="false">IF(SUM($AJ356)=0,"",IF(SUM($AI356)=0,"ENTER YIELD",ROUND($AJ356/$AI356,0)-$AJ356))</f>
        <v/>
      </c>
      <c r="AL356" s="10" t="str">
        <f aca="false">IF(SUM($G356)=0,"",$G356)</f>
        <v/>
      </c>
      <c r="AM356" s="10" t="str">
        <f aca="false">IFERROR(1/(1/SUM($H356:$K356,$X356,$AA356,$AD356,$AG356,$AJ356)),"")</f>
        <v/>
      </c>
      <c r="AN356" s="10" t="str">
        <f aca="false">IF(AND(SUM($AM356)=0,SUM($AL356)=0),"",$AM356-$AL356)</f>
        <v/>
      </c>
      <c r="AO356" s="10" t="str">
        <f aca="false">IF(OR($C356="01-09",$D356="Male"),"",INDEX(PMTCT!$AD:$AD,MATCH($E356,PMTCT!$E:$E,0)))</f>
        <v/>
      </c>
      <c r="AP356" s="10" t="str">
        <f aca="false">IF(OR($C356="01-09",$D356="Male"),"",INDEX(PMTCT!$AT:$AT,MATCH($E356,PMTCT!$E:$E,0)))</f>
        <v/>
      </c>
      <c r="AQ356" s="10" t="str">
        <f aca="false">INDEX(TB!$Q:$Q,MATCH($E356,TB!$E:$E,0))</f>
        <v/>
      </c>
      <c r="AR356" s="10" t="str">
        <f aca="false">IF(OR($C356="01-09",$C356="10-14",$D356="Female"),"",INDEX(VMMC!$AB:$AB,MATCH($E356,VMMC!$E:$E,0)))</f>
        <v/>
      </c>
      <c r="AS356" s="10" t="str">
        <f aca="false">IF(OR($C356="01-09",$C356="10-14"),"",INDEX(PrEP!$Q:$Q,MATCH($E356,PrEP!$E:$E,0)))</f>
        <v/>
      </c>
      <c r="AT356" s="10" t="str">
        <f aca="false">IFERROR(1/(1/SUM($Y356,$AB356,$AE356,$AH356,$AK356,$AO356:$AS356)),"")</f>
        <v/>
      </c>
      <c r="AU356" s="10" t="str">
        <f aca="false">IFERROR(1/(1/SUM($AT356,$AM356)),"")</f>
        <v/>
      </c>
      <c r="AV356" s="88" t="str">
        <f aca="false">IF(AND(SUM($AM356)=0,SUM($AU356)=0),"",$AM356/$AU356)</f>
        <v/>
      </c>
      <c r="AW356" s="10"/>
      <c r="AX356" s="88" t="str">
        <f aca="false">IF(OR($C356="01-09",SUM($AW356)=0),"",0%)</f>
        <v/>
      </c>
      <c r="AY356" s="39" t="str">
        <f aca="false">IF(OR($C356="01-09",SUM($AW356)=0),"",ROUND($AW356*(1+$AX356),0))</f>
        <v/>
      </c>
      <c r="AZ356" s="88" t="n">
        <f aca="false">IF(OR($C356="01-09",$C356="10-14"),"",100%)</f>
        <v>1</v>
      </c>
      <c r="BA356" s="39" t="str">
        <f aca="false">IF(OR(SUM($AM356)=0,$C356="01-09",$C356="10-14"),"",$AM356*$AZ356)</f>
        <v/>
      </c>
    </row>
    <row r="357" customFormat="false" ht="15" hidden="false" customHeight="false" outlineLevel="0" collapsed="false">
      <c r="A357" s="0" t="str">
        <f aca="false">INDEX(Prioritization!$D:$D,MATCH($B357,Prioritization!$A:$A,0))</f>
        <v>1 - Scale-up: Saturation</v>
      </c>
      <c r="B357" s="0" t="s">
        <v>222</v>
      </c>
      <c r="C357" s="0" t="s">
        <v>366</v>
      </c>
      <c r="D357" s="0" t="s">
        <v>30</v>
      </c>
      <c r="E357" s="0" t="str">
        <f aca="false">$B357&amp;"|"&amp;$C357&amp;"|"&amp;$D357</f>
        <v>Zomba District [fyEoGEPERdI]|25-34|Female</v>
      </c>
      <c r="F357" s="88" t="n">
        <f aca="false">IF(LEFT($B357,4)="_Mil","",INDEX(Cascade!$AA:$AA,MATCH($E357,Cascade!$E:$E,0)))</f>
        <v>1525</v>
      </c>
      <c r="G357" s="10" t="n">
        <f aca="false">INDEX(Cascade!$BH:$BH,MATCH($E357,Cascade!$E:$E,0))</f>
        <v>0</v>
      </c>
      <c r="H357" s="10" t="str">
        <f aca="false">IF(OR($C357="01-09",$D357="Male"),"",INDEX(PMTCT!$AC:$AC,MATCH($E357,PMTCT!$E:$E,0)))</f>
        <v/>
      </c>
      <c r="I357" s="10" t="str">
        <f aca="false">IF(OR($C357="01-09",$D357="Male"),"",INDEX(PMTCT!$AS:$AS,MATCH($E357,PMTCT!$E:$E,0)))</f>
        <v/>
      </c>
      <c r="J357" s="10" t="str">
        <f aca="false">INDEX(TB!$P:$P,MATCH($E357,TB!$E:$E,0))</f>
        <v/>
      </c>
      <c r="K357" s="10" t="str">
        <f aca="false">IF(OR($C357="01-09",$C357="10-14",$D357="Female"),"",INDEX(VMMC!$AA:$AA,MATCH($E357,VMMC!$E:$E,0)))</f>
        <v/>
      </c>
      <c r="L357" s="10" t="n">
        <f aca="false">SUM($G357)-SUM($H357:$K357)</f>
        <v>0</v>
      </c>
      <c r="M357" s="88" t="str">
        <f aca="false">IF(OR($C357="01-09",$D357="Male",AND(SUM($G357)=0,SUM($H357)=0)),"",SUM($H357)/SUM($G357))</f>
        <v/>
      </c>
      <c r="N357" s="88" t="str">
        <f aca="false">IF(OR($C357="01-09",$D357="Male",AND(SUM($G357)=0,SUM($I357)=0)),"",SUM($I357)/SUM($G357))</f>
        <v/>
      </c>
      <c r="O357" s="88" t="str">
        <f aca="false">IF(AND(SUM($G357)=0,SUM($J357)=0),"",SUM($J357)/SUM($G357))</f>
        <v/>
      </c>
      <c r="P357" s="88" t="str">
        <f aca="false">IF(OR($C357="01-09",$C357="10-14",$D357="Female",AND(SUM($G357)=0,SUM($K357)=0)),"",SUM($K357)/SUM($G357))</f>
        <v/>
      </c>
      <c r="Q357" s="88"/>
      <c r="R357" s="88"/>
      <c r="S357" s="88"/>
      <c r="T357" s="88"/>
      <c r="U357" s="88"/>
      <c r="V357" s="88" t="str">
        <f aca="false">IF(SUM($G357)=0,"",SUM($M357:$U357))</f>
        <v/>
      </c>
      <c r="W357" s="88"/>
      <c r="X357" s="39" t="str">
        <f aca="false">IF(OR(SUM($G357)=0,SUM($Q357)=0),"",ROUND(SUM($G357)*SUM($Q357),0))</f>
        <v/>
      </c>
      <c r="Y357" s="39" t="str">
        <f aca="false">IF(SUM($X357)=0,"",IF(SUM($W357)=0,"ENTER YIELD",ROUND($X357/$W357,0)-$X357))</f>
        <v/>
      </c>
      <c r="Z357" s="88"/>
      <c r="AA357" s="39" t="str">
        <f aca="false">IF(OR(SUM($G357)=0,SUM($R357)=0),"",ROUND(SUM($G357)*SUM($R357),0))</f>
        <v/>
      </c>
      <c r="AB357" s="39" t="str">
        <f aca="false">IF(SUM($AA357)=0,"",IF(SUM($Z357)=0,"ENTER YIELD",ROUND($AA357/$Z357,0)-$AA357))</f>
        <v/>
      </c>
      <c r="AC357" s="88"/>
      <c r="AD357" s="39" t="str">
        <f aca="false">IF(OR(SUM($G357)=0,SUM($S357)=0),"",ROUND(SUM($G357)*SUM($S357),0))</f>
        <v/>
      </c>
      <c r="AE357" s="39" t="str">
        <f aca="false">IF(SUM($AD357)=0,"",IF(SUM($AC357)=0,"ENTER YIELD",ROUND($AD357/$AC357,0)-$AD357))</f>
        <v/>
      </c>
      <c r="AF357" s="88"/>
      <c r="AG357" s="39" t="str">
        <f aca="false">IF(OR(SUM($G357)=0,SUM($T357)=0),"",ROUND(SUM($G357)*SUM($T357),0))</f>
        <v/>
      </c>
      <c r="AH357" s="39" t="str">
        <f aca="false">IF(SUM($AG357)=0,"",IF(SUM($AF357)=0,"ENTER YIELD",ROUND($AG357/$AF357,0)-$AG357))</f>
        <v/>
      </c>
      <c r="AI357" s="88"/>
      <c r="AJ357" s="39" t="str">
        <f aca="false">IF(OR(SUM($G357)=0,SUM($U357)=0),"",ROUND(SUM($G357)*SUM($U357),0))</f>
        <v/>
      </c>
      <c r="AK357" s="39" t="str">
        <f aca="false">IF(SUM($AJ357)=0,"",IF(SUM($AI357)=0,"ENTER YIELD",ROUND($AJ357/$AI357,0)-$AJ357))</f>
        <v/>
      </c>
      <c r="AL357" s="10" t="str">
        <f aca="false">IF(SUM($G357)=0,"",$G357)</f>
        <v/>
      </c>
      <c r="AM357" s="10" t="str">
        <f aca="false">IFERROR(1/(1/SUM($H357:$K357,$X357,$AA357,$AD357,$AG357,$AJ357)),"")</f>
        <v/>
      </c>
      <c r="AN357" s="10" t="str">
        <f aca="false">IF(AND(SUM($AM357)=0,SUM($AL357)=0),"",$AM357-$AL357)</f>
        <v/>
      </c>
      <c r="AO357" s="10" t="str">
        <f aca="false">IF(OR($C357="01-09",$D357="Male"),"",INDEX(PMTCT!$AD:$AD,MATCH($E357,PMTCT!$E:$E,0)))</f>
        <v/>
      </c>
      <c r="AP357" s="10" t="str">
        <f aca="false">IF(OR($C357="01-09",$D357="Male"),"",INDEX(PMTCT!$AT:$AT,MATCH($E357,PMTCT!$E:$E,0)))</f>
        <v/>
      </c>
      <c r="AQ357" s="10" t="str">
        <f aca="false">INDEX(TB!$Q:$Q,MATCH($E357,TB!$E:$E,0))</f>
        <v/>
      </c>
      <c r="AR357" s="10" t="str">
        <f aca="false">IF(OR($C357="01-09",$C357="10-14",$D357="Female"),"",INDEX(VMMC!$AB:$AB,MATCH($E357,VMMC!$E:$E,0)))</f>
        <v/>
      </c>
      <c r="AS357" s="10" t="str">
        <f aca="false">IF(OR($C357="01-09",$C357="10-14"),"",INDEX(PrEP!$Q:$Q,MATCH($E357,PrEP!$E:$E,0)))</f>
        <v/>
      </c>
      <c r="AT357" s="10" t="str">
        <f aca="false">IFERROR(1/(1/SUM($Y357,$AB357,$AE357,$AH357,$AK357,$AO357:$AS357)),"")</f>
        <v/>
      </c>
      <c r="AU357" s="10" t="str">
        <f aca="false">IFERROR(1/(1/SUM($AT357,$AM357)),"")</f>
        <v/>
      </c>
      <c r="AV357" s="88" t="str">
        <f aca="false">IF(AND(SUM($AM357)=0,SUM($AU357)=0),"",$AM357/$AU357)</f>
        <v/>
      </c>
      <c r="AW357" s="10"/>
      <c r="AX357" s="88" t="str">
        <f aca="false">IF(OR($C357="01-09",SUM($AW357)=0),"",0%)</f>
        <v/>
      </c>
      <c r="AY357" s="39" t="str">
        <f aca="false">IF(OR($C357="01-09",SUM($AW357)=0),"",ROUND($AW357*(1+$AX357),0))</f>
        <v/>
      </c>
      <c r="AZ357" s="88" t="n">
        <f aca="false">IF(OR($C357="01-09",$C357="10-14"),"",100%)</f>
        <v>1</v>
      </c>
      <c r="BA357" s="39" t="str">
        <f aca="false">IF(OR(SUM($AM357)=0,$C357="01-09",$C357="10-14"),"",$AM357*$AZ357)</f>
        <v/>
      </c>
    </row>
    <row r="358" customFormat="false" ht="15" hidden="false" customHeight="false" outlineLevel="0" collapsed="false">
      <c r="A358" s="0" t="str">
        <f aca="false">INDEX(Prioritization!$D:$D,MATCH($B358,Prioritization!$A:$A,0))</f>
        <v>1 - Scale-up: Saturation</v>
      </c>
      <c r="B358" s="0" t="s">
        <v>222</v>
      </c>
      <c r="C358" s="0" t="s">
        <v>366</v>
      </c>
      <c r="D358" s="0" t="s">
        <v>48</v>
      </c>
      <c r="E358" s="0" t="str">
        <f aca="false">$B358&amp;"|"&amp;$C358&amp;"|"&amp;$D358</f>
        <v>Zomba District [fyEoGEPERdI]|25-34|Male</v>
      </c>
      <c r="F358" s="88" t="n">
        <f aca="false">IF(LEFT($B358,4)="_Mil","",INDEX(Cascade!$AA:$AA,MATCH($E358,Cascade!$E:$E,0)))</f>
        <v>1332</v>
      </c>
      <c r="G358" s="10" t="n">
        <f aca="false">INDEX(Cascade!$BH:$BH,MATCH($E358,Cascade!$E:$E,0))</f>
        <v>0</v>
      </c>
      <c r="H358" s="10" t="str">
        <f aca="false">IF(OR($C358="01-09",$D358="Male"),"",INDEX(PMTCT!$AC:$AC,MATCH($E358,PMTCT!$E:$E,0)))</f>
        <v/>
      </c>
      <c r="I358" s="10" t="str">
        <f aca="false">IF(OR($C358="01-09",$D358="Male"),"",INDEX(PMTCT!$AS:$AS,MATCH($E358,PMTCT!$E:$E,0)))</f>
        <v/>
      </c>
      <c r="J358" s="10" t="str">
        <f aca="false">INDEX(TB!$P:$P,MATCH($E358,TB!$E:$E,0))</f>
        <v/>
      </c>
      <c r="K358" s="10" t="str">
        <f aca="false">IF(OR($C358="01-09",$C358="10-14",$D358="Female"),"",INDEX(VMMC!$AA:$AA,MATCH($E358,VMMC!$E:$E,0)))</f>
        <v/>
      </c>
      <c r="L358" s="10" t="n">
        <f aca="false">SUM($G358)-SUM($H358:$K358)</f>
        <v>0</v>
      </c>
      <c r="M358" s="88" t="str">
        <f aca="false">IF(OR($C358="01-09",$D358="Male",AND(SUM($G358)=0,SUM($H358)=0)),"",SUM($H358)/SUM($G358))</f>
        <v/>
      </c>
      <c r="N358" s="88" t="str">
        <f aca="false">IF(OR($C358="01-09",$D358="Male",AND(SUM($G358)=0,SUM($I358)=0)),"",SUM($I358)/SUM($G358))</f>
        <v/>
      </c>
      <c r="O358" s="88" t="str">
        <f aca="false">IF(AND(SUM($G358)=0,SUM($J358)=0),"",SUM($J358)/SUM($G358))</f>
        <v/>
      </c>
      <c r="P358" s="88" t="str">
        <f aca="false">IF(OR($C358="01-09",$C358="10-14",$D358="Female",AND(SUM($G358)=0,SUM($K358)=0)),"",SUM($K358)/SUM($G358))</f>
        <v/>
      </c>
      <c r="Q358" s="88"/>
      <c r="R358" s="88"/>
      <c r="S358" s="88"/>
      <c r="T358" s="88"/>
      <c r="U358" s="88"/>
      <c r="V358" s="88" t="str">
        <f aca="false">IF(SUM($G358)=0,"",SUM($M358:$U358))</f>
        <v/>
      </c>
      <c r="W358" s="88"/>
      <c r="X358" s="39" t="str">
        <f aca="false">IF(OR(SUM($G358)=0,SUM($Q358)=0),"",ROUND(SUM($G358)*SUM($Q358),0))</f>
        <v/>
      </c>
      <c r="Y358" s="39" t="str">
        <f aca="false">IF(SUM($X358)=0,"",IF(SUM($W358)=0,"ENTER YIELD",ROUND($X358/$W358,0)-$X358))</f>
        <v/>
      </c>
      <c r="Z358" s="88"/>
      <c r="AA358" s="39" t="str">
        <f aca="false">IF(OR(SUM($G358)=0,SUM($R358)=0),"",ROUND(SUM($G358)*SUM($R358),0))</f>
        <v/>
      </c>
      <c r="AB358" s="39" t="str">
        <f aca="false">IF(SUM($AA358)=0,"",IF(SUM($Z358)=0,"ENTER YIELD",ROUND($AA358/$Z358,0)-$AA358))</f>
        <v/>
      </c>
      <c r="AC358" s="88"/>
      <c r="AD358" s="39" t="str">
        <f aca="false">IF(OR(SUM($G358)=0,SUM($S358)=0),"",ROUND(SUM($G358)*SUM($S358),0))</f>
        <v/>
      </c>
      <c r="AE358" s="39" t="str">
        <f aca="false">IF(SUM($AD358)=0,"",IF(SUM($AC358)=0,"ENTER YIELD",ROUND($AD358/$AC358,0)-$AD358))</f>
        <v/>
      </c>
      <c r="AF358" s="88"/>
      <c r="AG358" s="39" t="str">
        <f aca="false">IF(OR(SUM($G358)=0,SUM($T358)=0),"",ROUND(SUM($G358)*SUM($T358),0))</f>
        <v/>
      </c>
      <c r="AH358" s="39" t="str">
        <f aca="false">IF(SUM($AG358)=0,"",IF(SUM($AF358)=0,"ENTER YIELD",ROUND($AG358/$AF358,0)-$AG358))</f>
        <v/>
      </c>
      <c r="AI358" s="88"/>
      <c r="AJ358" s="39" t="str">
        <f aca="false">IF(OR(SUM($G358)=0,SUM($U358)=0),"",ROUND(SUM($G358)*SUM($U358),0))</f>
        <v/>
      </c>
      <c r="AK358" s="39" t="str">
        <f aca="false">IF(SUM($AJ358)=0,"",IF(SUM($AI358)=0,"ENTER YIELD",ROUND($AJ358/$AI358,0)-$AJ358))</f>
        <v/>
      </c>
      <c r="AL358" s="10" t="str">
        <f aca="false">IF(SUM($G358)=0,"",$G358)</f>
        <v/>
      </c>
      <c r="AM358" s="10" t="str">
        <f aca="false">IFERROR(1/(1/SUM($H358:$K358,$X358,$AA358,$AD358,$AG358,$AJ358)),"")</f>
        <v/>
      </c>
      <c r="AN358" s="10" t="str">
        <f aca="false">IF(AND(SUM($AM358)=0,SUM($AL358)=0),"",$AM358-$AL358)</f>
        <v/>
      </c>
      <c r="AO358" s="10" t="str">
        <f aca="false">IF(OR($C358="01-09",$D358="Male"),"",INDEX(PMTCT!$AD:$AD,MATCH($E358,PMTCT!$E:$E,0)))</f>
        <v/>
      </c>
      <c r="AP358" s="10" t="str">
        <f aca="false">IF(OR($C358="01-09",$D358="Male"),"",INDEX(PMTCT!$AT:$AT,MATCH($E358,PMTCT!$E:$E,0)))</f>
        <v/>
      </c>
      <c r="AQ358" s="10" t="str">
        <f aca="false">INDEX(TB!$Q:$Q,MATCH($E358,TB!$E:$E,0))</f>
        <v/>
      </c>
      <c r="AR358" s="10" t="str">
        <f aca="false">IF(OR($C358="01-09",$C358="10-14",$D358="Female"),"",INDEX(VMMC!$AB:$AB,MATCH($E358,VMMC!$E:$E,0)))</f>
        <v/>
      </c>
      <c r="AS358" s="10" t="str">
        <f aca="false">IF(OR($C358="01-09",$C358="10-14"),"",INDEX(PrEP!$Q:$Q,MATCH($E358,PrEP!$E:$E,0)))</f>
        <v/>
      </c>
      <c r="AT358" s="10" t="str">
        <f aca="false">IFERROR(1/(1/SUM($Y358,$AB358,$AE358,$AH358,$AK358,$AO358:$AS358)),"")</f>
        <v/>
      </c>
      <c r="AU358" s="10" t="str">
        <f aca="false">IFERROR(1/(1/SUM($AT358,$AM358)),"")</f>
        <v/>
      </c>
      <c r="AV358" s="88" t="str">
        <f aca="false">IF(AND(SUM($AM358)=0,SUM($AU358)=0),"",$AM358/$AU358)</f>
        <v/>
      </c>
      <c r="AW358" s="10"/>
      <c r="AX358" s="88" t="str">
        <f aca="false">IF(OR($C358="01-09",SUM($AW358)=0),"",0%)</f>
        <v/>
      </c>
      <c r="AY358" s="39" t="str">
        <f aca="false">IF(OR($C358="01-09",SUM($AW358)=0),"",ROUND($AW358*(1+$AX358),0))</f>
        <v/>
      </c>
      <c r="AZ358" s="88" t="n">
        <f aca="false">IF(OR($C358="01-09",$C358="10-14"),"",100%)</f>
        <v>1</v>
      </c>
      <c r="BA358" s="39" t="str">
        <f aca="false">IF(OR(SUM($AM358)=0,$C358="01-09",$C358="10-14"),"",$AM358*$AZ358)</f>
        <v/>
      </c>
    </row>
    <row r="359" customFormat="false" ht="15" hidden="false" customHeight="false" outlineLevel="0" collapsed="false">
      <c r="A359" s="0" t="str">
        <f aca="false">INDEX(Prioritization!$D:$D,MATCH($B359,Prioritization!$A:$A,0))</f>
        <v>1 - Scale-up: Saturation</v>
      </c>
      <c r="B359" s="0" t="s">
        <v>222</v>
      </c>
      <c r="C359" s="0" t="s">
        <v>367</v>
      </c>
      <c r="D359" s="0" t="s">
        <v>30</v>
      </c>
      <c r="E359" s="0" t="str">
        <f aca="false">$B359&amp;"|"&amp;$C359&amp;"|"&amp;$D359</f>
        <v>Zomba District [fyEoGEPERdI]|35-49|Female</v>
      </c>
      <c r="F359" s="88" t="n">
        <f aca="false">IF(LEFT($B359,4)="_Mil","",INDEX(Cascade!$AA:$AA,MATCH($E359,Cascade!$E:$E,0)))</f>
        <v>1588</v>
      </c>
      <c r="G359" s="10" t="n">
        <f aca="false">INDEX(Cascade!$BH:$BH,MATCH($E359,Cascade!$E:$E,0))</f>
        <v>0</v>
      </c>
      <c r="H359" s="10" t="str">
        <f aca="false">IF(OR($C359="01-09",$D359="Male"),"",INDEX(PMTCT!$AC:$AC,MATCH($E359,PMTCT!$E:$E,0)))</f>
        <v/>
      </c>
      <c r="I359" s="10" t="str">
        <f aca="false">IF(OR($C359="01-09",$D359="Male"),"",INDEX(PMTCT!$AS:$AS,MATCH($E359,PMTCT!$E:$E,0)))</f>
        <v/>
      </c>
      <c r="J359" s="10" t="str">
        <f aca="false">INDEX(TB!$P:$P,MATCH($E359,TB!$E:$E,0))</f>
        <v/>
      </c>
      <c r="K359" s="10" t="str">
        <f aca="false">IF(OR($C359="01-09",$C359="10-14",$D359="Female"),"",INDEX(VMMC!$AA:$AA,MATCH($E359,VMMC!$E:$E,0)))</f>
        <v/>
      </c>
      <c r="L359" s="10" t="n">
        <f aca="false">SUM($G359)-SUM($H359:$K359)</f>
        <v>0</v>
      </c>
      <c r="M359" s="88" t="str">
        <f aca="false">IF(OR($C359="01-09",$D359="Male",AND(SUM($G359)=0,SUM($H359)=0)),"",SUM($H359)/SUM($G359))</f>
        <v/>
      </c>
      <c r="N359" s="88" t="str">
        <f aca="false">IF(OR($C359="01-09",$D359="Male",AND(SUM($G359)=0,SUM($I359)=0)),"",SUM($I359)/SUM($G359))</f>
        <v/>
      </c>
      <c r="O359" s="88" t="str">
        <f aca="false">IF(AND(SUM($G359)=0,SUM($J359)=0),"",SUM($J359)/SUM($G359))</f>
        <v/>
      </c>
      <c r="P359" s="88" t="str">
        <f aca="false">IF(OR($C359="01-09",$C359="10-14",$D359="Female",AND(SUM($G359)=0,SUM($K359)=0)),"",SUM($K359)/SUM($G359))</f>
        <v/>
      </c>
      <c r="Q359" s="88"/>
      <c r="R359" s="88"/>
      <c r="S359" s="88"/>
      <c r="T359" s="88"/>
      <c r="U359" s="88"/>
      <c r="V359" s="88" t="str">
        <f aca="false">IF(SUM($G359)=0,"",SUM($M359:$U359))</f>
        <v/>
      </c>
      <c r="W359" s="88"/>
      <c r="X359" s="39" t="str">
        <f aca="false">IF(OR(SUM($G359)=0,SUM($Q359)=0),"",ROUND(SUM($G359)*SUM($Q359),0))</f>
        <v/>
      </c>
      <c r="Y359" s="39" t="str">
        <f aca="false">IF(SUM($X359)=0,"",IF(SUM($W359)=0,"ENTER YIELD",ROUND($X359/$W359,0)-$X359))</f>
        <v/>
      </c>
      <c r="Z359" s="88"/>
      <c r="AA359" s="39" t="str">
        <f aca="false">IF(OR(SUM($G359)=0,SUM($R359)=0),"",ROUND(SUM($G359)*SUM($R359),0))</f>
        <v/>
      </c>
      <c r="AB359" s="39" t="str">
        <f aca="false">IF(SUM($AA359)=0,"",IF(SUM($Z359)=0,"ENTER YIELD",ROUND($AA359/$Z359,0)-$AA359))</f>
        <v/>
      </c>
      <c r="AC359" s="88"/>
      <c r="AD359" s="39" t="str">
        <f aca="false">IF(OR(SUM($G359)=0,SUM($S359)=0),"",ROUND(SUM($G359)*SUM($S359),0))</f>
        <v/>
      </c>
      <c r="AE359" s="39" t="str">
        <f aca="false">IF(SUM($AD359)=0,"",IF(SUM($AC359)=0,"ENTER YIELD",ROUND($AD359/$AC359,0)-$AD359))</f>
        <v/>
      </c>
      <c r="AF359" s="88"/>
      <c r="AG359" s="39" t="str">
        <f aca="false">IF(OR(SUM($G359)=0,SUM($T359)=0),"",ROUND(SUM($G359)*SUM($T359),0))</f>
        <v/>
      </c>
      <c r="AH359" s="39" t="str">
        <f aca="false">IF(SUM($AG359)=0,"",IF(SUM($AF359)=0,"ENTER YIELD",ROUND($AG359/$AF359,0)-$AG359))</f>
        <v/>
      </c>
      <c r="AI359" s="88"/>
      <c r="AJ359" s="39" t="str">
        <f aca="false">IF(OR(SUM($G359)=0,SUM($U359)=0),"",ROUND(SUM($G359)*SUM($U359),0))</f>
        <v/>
      </c>
      <c r="AK359" s="39" t="str">
        <f aca="false">IF(SUM($AJ359)=0,"",IF(SUM($AI359)=0,"ENTER YIELD",ROUND($AJ359/$AI359,0)-$AJ359))</f>
        <v/>
      </c>
      <c r="AL359" s="10" t="str">
        <f aca="false">IF(SUM($G359)=0,"",$G359)</f>
        <v/>
      </c>
      <c r="AM359" s="10" t="str">
        <f aca="false">IFERROR(1/(1/SUM($H359:$K359,$X359,$AA359,$AD359,$AG359,$AJ359)),"")</f>
        <v/>
      </c>
      <c r="AN359" s="10" t="str">
        <f aca="false">IF(AND(SUM($AM359)=0,SUM($AL359)=0),"",$AM359-$AL359)</f>
        <v/>
      </c>
      <c r="AO359" s="10" t="str">
        <f aca="false">IF(OR($C359="01-09",$D359="Male"),"",INDEX(PMTCT!$AD:$AD,MATCH($E359,PMTCT!$E:$E,0)))</f>
        <v/>
      </c>
      <c r="AP359" s="10" t="str">
        <f aca="false">IF(OR($C359="01-09",$D359="Male"),"",INDEX(PMTCT!$AT:$AT,MATCH($E359,PMTCT!$E:$E,0)))</f>
        <v/>
      </c>
      <c r="AQ359" s="10" t="str">
        <f aca="false">INDEX(TB!$Q:$Q,MATCH($E359,TB!$E:$E,0))</f>
        <v/>
      </c>
      <c r="AR359" s="10" t="str">
        <f aca="false">IF(OR($C359="01-09",$C359="10-14",$D359="Female"),"",INDEX(VMMC!$AB:$AB,MATCH($E359,VMMC!$E:$E,0)))</f>
        <v/>
      </c>
      <c r="AS359" s="10" t="str">
        <f aca="false">IF(OR($C359="01-09",$C359="10-14"),"",INDEX(PrEP!$Q:$Q,MATCH($E359,PrEP!$E:$E,0)))</f>
        <v/>
      </c>
      <c r="AT359" s="10" t="str">
        <f aca="false">IFERROR(1/(1/SUM($Y359,$AB359,$AE359,$AH359,$AK359,$AO359:$AS359)),"")</f>
        <v/>
      </c>
      <c r="AU359" s="10" t="str">
        <f aca="false">IFERROR(1/(1/SUM($AT359,$AM359)),"")</f>
        <v/>
      </c>
      <c r="AV359" s="88" t="str">
        <f aca="false">IF(AND(SUM($AM359)=0,SUM($AU359)=0),"",$AM359/$AU359)</f>
        <v/>
      </c>
      <c r="AW359" s="10"/>
      <c r="AX359" s="88" t="str">
        <f aca="false">IF(OR($C359="01-09",SUM($AW359)=0),"",0%)</f>
        <v/>
      </c>
      <c r="AY359" s="39" t="str">
        <f aca="false">IF(OR($C359="01-09",SUM($AW359)=0),"",ROUND($AW359*(1+$AX359),0))</f>
        <v/>
      </c>
      <c r="AZ359" s="88" t="n">
        <f aca="false">IF(OR($C359="01-09",$C359="10-14"),"",100%)</f>
        <v>1</v>
      </c>
      <c r="BA359" s="39" t="str">
        <f aca="false">IF(OR(SUM($AM359)=0,$C359="01-09",$C359="10-14"),"",$AM359*$AZ359)</f>
        <v/>
      </c>
    </row>
    <row r="360" customFormat="false" ht="15" hidden="false" customHeight="false" outlineLevel="0" collapsed="false">
      <c r="A360" s="0" t="str">
        <f aca="false">INDEX(Prioritization!$D:$D,MATCH($B360,Prioritization!$A:$A,0))</f>
        <v>1 - Scale-up: Saturation</v>
      </c>
      <c r="B360" s="0" t="s">
        <v>222</v>
      </c>
      <c r="C360" s="0" t="s">
        <v>367</v>
      </c>
      <c r="D360" s="0" t="s">
        <v>48</v>
      </c>
      <c r="E360" s="0" t="str">
        <f aca="false">$B360&amp;"|"&amp;$C360&amp;"|"&amp;$D360</f>
        <v>Zomba District [fyEoGEPERdI]|35-49|Male</v>
      </c>
      <c r="F360" s="88" t="n">
        <f aca="false">IF(LEFT($B360,4)="_Mil","",INDEX(Cascade!$AA:$AA,MATCH($E360,Cascade!$E:$E,0)))</f>
        <v>1946</v>
      </c>
      <c r="G360" s="10" t="n">
        <f aca="false">INDEX(Cascade!$BH:$BH,MATCH($E360,Cascade!$E:$E,0))</f>
        <v>0</v>
      </c>
      <c r="H360" s="10" t="str">
        <f aca="false">IF(OR($C360="01-09",$D360="Male"),"",INDEX(PMTCT!$AC:$AC,MATCH($E360,PMTCT!$E:$E,0)))</f>
        <v/>
      </c>
      <c r="I360" s="10" t="str">
        <f aca="false">IF(OR($C360="01-09",$D360="Male"),"",INDEX(PMTCT!$AS:$AS,MATCH($E360,PMTCT!$E:$E,0)))</f>
        <v/>
      </c>
      <c r="J360" s="10" t="str">
        <f aca="false">INDEX(TB!$P:$P,MATCH($E360,TB!$E:$E,0))</f>
        <v/>
      </c>
      <c r="K360" s="10" t="str">
        <f aca="false">IF(OR($C360="01-09",$C360="10-14",$D360="Female"),"",INDEX(VMMC!$AA:$AA,MATCH($E360,VMMC!$E:$E,0)))</f>
        <v/>
      </c>
      <c r="L360" s="10" t="n">
        <f aca="false">SUM($G360)-SUM($H360:$K360)</f>
        <v>0</v>
      </c>
      <c r="M360" s="88" t="str">
        <f aca="false">IF(OR($C360="01-09",$D360="Male",AND(SUM($G360)=0,SUM($H360)=0)),"",SUM($H360)/SUM($G360))</f>
        <v/>
      </c>
      <c r="N360" s="88" t="str">
        <f aca="false">IF(OR($C360="01-09",$D360="Male",AND(SUM($G360)=0,SUM($I360)=0)),"",SUM($I360)/SUM($G360))</f>
        <v/>
      </c>
      <c r="O360" s="88" t="str">
        <f aca="false">IF(AND(SUM($G360)=0,SUM($J360)=0),"",SUM($J360)/SUM($G360))</f>
        <v/>
      </c>
      <c r="P360" s="88" t="str">
        <f aca="false">IF(OR($C360="01-09",$C360="10-14",$D360="Female",AND(SUM($G360)=0,SUM($K360)=0)),"",SUM($K360)/SUM($G360))</f>
        <v/>
      </c>
      <c r="Q360" s="88"/>
      <c r="R360" s="88"/>
      <c r="S360" s="88"/>
      <c r="T360" s="88"/>
      <c r="U360" s="88"/>
      <c r="V360" s="88" t="str">
        <f aca="false">IF(SUM($G360)=0,"",SUM($M360:$U360))</f>
        <v/>
      </c>
      <c r="W360" s="88"/>
      <c r="X360" s="39" t="str">
        <f aca="false">IF(OR(SUM($G360)=0,SUM($Q360)=0),"",ROUND(SUM($G360)*SUM($Q360),0))</f>
        <v/>
      </c>
      <c r="Y360" s="39" t="str">
        <f aca="false">IF(SUM($X360)=0,"",IF(SUM($W360)=0,"ENTER YIELD",ROUND($X360/$W360,0)-$X360))</f>
        <v/>
      </c>
      <c r="Z360" s="88"/>
      <c r="AA360" s="39" t="str">
        <f aca="false">IF(OR(SUM($G360)=0,SUM($R360)=0),"",ROUND(SUM($G360)*SUM($R360),0))</f>
        <v/>
      </c>
      <c r="AB360" s="39" t="str">
        <f aca="false">IF(SUM($AA360)=0,"",IF(SUM($Z360)=0,"ENTER YIELD",ROUND($AA360/$Z360,0)-$AA360))</f>
        <v/>
      </c>
      <c r="AC360" s="88"/>
      <c r="AD360" s="39" t="str">
        <f aca="false">IF(OR(SUM($G360)=0,SUM($S360)=0),"",ROUND(SUM($G360)*SUM($S360),0))</f>
        <v/>
      </c>
      <c r="AE360" s="39" t="str">
        <f aca="false">IF(SUM($AD360)=0,"",IF(SUM($AC360)=0,"ENTER YIELD",ROUND($AD360/$AC360,0)-$AD360))</f>
        <v/>
      </c>
      <c r="AF360" s="88"/>
      <c r="AG360" s="39" t="str">
        <f aca="false">IF(OR(SUM($G360)=0,SUM($T360)=0),"",ROUND(SUM($G360)*SUM($T360),0))</f>
        <v/>
      </c>
      <c r="AH360" s="39" t="str">
        <f aca="false">IF(SUM($AG360)=0,"",IF(SUM($AF360)=0,"ENTER YIELD",ROUND($AG360/$AF360,0)-$AG360))</f>
        <v/>
      </c>
      <c r="AI360" s="88"/>
      <c r="AJ360" s="39" t="str">
        <f aca="false">IF(OR(SUM($G360)=0,SUM($U360)=0),"",ROUND(SUM($G360)*SUM($U360),0))</f>
        <v/>
      </c>
      <c r="AK360" s="39" t="str">
        <f aca="false">IF(SUM($AJ360)=0,"",IF(SUM($AI360)=0,"ENTER YIELD",ROUND($AJ360/$AI360,0)-$AJ360))</f>
        <v/>
      </c>
      <c r="AL360" s="10" t="str">
        <f aca="false">IF(SUM($G360)=0,"",$G360)</f>
        <v/>
      </c>
      <c r="AM360" s="10" t="str">
        <f aca="false">IFERROR(1/(1/SUM($H360:$K360,$X360,$AA360,$AD360,$AG360,$AJ360)),"")</f>
        <v/>
      </c>
      <c r="AN360" s="10" t="str">
        <f aca="false">IF(AND(SUM($AM360)=0,SUM($AL360)=0),"",$AM360-$AL360)</f>
        <v/>
      </c>
      <c r="AO360" s="10" t="str">
        <f aca="false">IF(OR($C360="01-09",$D360="Male"),"",INDEX(PMTCT!$AD:$AD,MATCH($E360,PMTCT!$E:$E,0)))</f>
        <v/>
      </c>
      <c r="AP360" s="10" t="str">
        <f aca="false">IF(OR($C360="01-09",$D360="Male"),"",INDEX(PMTCT!$AT:$AT,MATCH($E360,PMTCT!$E:$E,0)))</f>
        <v/>
      </c>
      <c r="AQ360" s="10" t="str">
        <f aca="false">INDEX(TB!$Q:$Q,MATCH($E360,TB!$E:$E,0))</f>
        <v/>
      </c>
      <c r="AR360" s="10" t="str">
        <f aca="false">IF(OR($C360="01-09",$C360="10-14",$D360="Female"),"",INDEX(VMMC!$AB:$AB,MATCH($E360,VMMC!$E:$E,0)))</f>
        <v/>
      </c>
      <c r="AS360" s="10" t="str">
        <f aca="false">IF(OR($C360="01-09",$C360="10-14"),"",INDEX(PrEP!$Q:$Q,MATCH($E360,PrEP!$E:$E,0)))</f>
        <v/>
      </c>
      <c r="AT360" s="10" t="str">
        <f aca="false">IFERROR(1/(1/SUM($Y360,$AB360,$AE360,$AH360,$AK360,$AO360:$AS360)),"")</f>
        <v/>
      </c>
      <c r="AU360" s="10" t="str">
        <f aca="false">IFERROR(1/(1/SUM($AT360,$AM360)),"")</f>
        <v/>
      </c>
      <c r="AV360" s="88" t="str">
        <f aca="false">IF(AND(SUM($AM360)=0,SUM($AU360)=0),"",$AM360/$AU360)</f>
        <v/>
      </c>
      <c r="AW360" s="10"/>
      <c r="AX360" s="88" t="str">
        <f aca="false">IF(OR($C360="01-09",SUM($AW360)=0),"",0%)</f>
        <v/>
      </c>
      <c r="AY360" s="39" t="str">
        <f aca="false">IF(OR($C360="01-09",SUM($AW360)=0),"",ROUND($AW360*(1+$AX360),0))</f>
        <v/>
      </c>
      <c r="AZ360" s="88" t="n">
        <f aca="false">IF(OR($C360="01-09",$C360="10-14"),"",100%)</f>
        <v>1</v>
      </c>
      <c r="BA360" s="39" t="str">
        <f aca="false">IF(OR(SUM($AM360)=0,$C360="01-09",$C360="10-14"),"",$AM360*$AZ360)</f>
        <v/>
      </c>
    </row>
    <row r="361" customFormat="false" ht="15" hidden="false" customHeight="false" outlineLevel="0" collapsed="false">
      <c r="A361" s="0" t="str">
        <f aca="false">INDEX(Prioritization!$D:$D,MATCH($B361,Prioritization!$A:$A,0))</f>
        <v>1 - Scale-up: Saturation</v>
      </c>
      <c r="B361" s="0" t="s">
        <v>222</v>
      </c>
      <c r="C361" s="0" t="s">
        <v>368</v>
      </c>
      <c r="D361" s="0" t="s">
        <v>30</v>
      </c>
      <c r="E361" s="0" t="str">
        <f aca="false">$B361&amp;"|"&amp;$C361&amp;"|"&amp;$D361</f>
        <v>Zomba District [fyEoGEPERdI]|50+|Female</v>
      </c>
      <c r="F361" s="88" t="n">
        <f aca="false">IF(LEFT($B361,4)="_Mil","",INDEX(Cascade!$AA:$AA,MATCH($E361,Cascade!$E:$E,0)))</f>
        <v>1194</v>
      </c>
      <c r="G361" s="10" t="n">
        <f aca="false">INDEX(Cascade!$BH:$BH,MATCH($E361,Cascade!$E:$E,0))</f>
        <v>0</v>
      </c>
      <c r="H361" s="10" t="str">
        <f aca="false">IF(OR($C361="01-09",$D361="Male"),"",INDEX(PMTCT!$AC:$AC,MATCH($E361,PMTCT!$E:$E,0)))</f>
        <v/>
      </c>
      <c r="I361" s="10" t="str">
        <f aca="false">IF(OR($C361="01-09",$D361="Male"),"",INDEX(PMTCT!$AS:$AS,MATCH($E361,PMTCT!$E:$E,0)))</f>
        <v/>
      </c>
      <c r="J361" s="10" t="str">
        <f aca="false">INDEX(TB!$P:$P,MATCH($E361,TB!$E:$E,0))</f>
        <v/>
      </c>
      <c r="K361" s="10" t="str">
        <f aca="false">IF(OR($C361="01-09",$C361="10-14",$D361="Female"),"",INDEX(VMMC!$AA:$AA,MATCH($E361,VMMC!$E:$E,0)))</f>
        <v/>
      </c>
      <c r="L361" s="10" t="n">
        <f aca="false">SUM($G361)-SUM($H361:$K361)</f>
        <v>0</v>
      </c>
      <c r="M361" s="88" t="str">
        <f aca="false">IF(OR($C361="01-09",$D361="Male",AND(SUM($G361)=0,SUM($H361)=0)),"",SUM($H361)/SUM($G361))</f>
        <v/>
      </c>
      <c r="N361" s="88" t="str">
        <f aca="false">IF(OR($C361="01-09",$D361="Male",AND(SUM($G361)=0,SUM($I361)=0)),"",SUM($I361)/SUM($G361))</f>
        <v/>
      </c>
      <c r="O361" s="88" t="str">
        <f aca="false">IF(AND(SUM($G361)=0,SUM($J361)=0),"",SUM($J361)/SUM($G361))</f>
        <v/>
      </c>
      <c r="P361" s="88" t="str">
        <f aca="false">IF(OR($C361="01-09",$C361="10-14",$D361="Female",AND(SUM($G361)=0,SUM($K361)=0)),"",SUM($K361)/SUM($G361))</f>
        <v/>
      </c>
      <c r="Q361" s="88"/>
      <c r="R361" s="88"/>
      <c r="S361" s="88"/>
      <c r="T361" s="88"/>
      <c r="U361" s="88" t="n">
        <v>0.304616521578282</v>
      </c>
      <c r="V361" s="88" t="str">
        <f aca="false">IF(SUM($G361)=0,"",SUM($M361:$U361))</f>
        <v/>
      </c>
      <c r="W361" s="88"/>
      <c r="X361" s="39" t="str">
        <f aca="false">IF(OR(SUM($G361)=0,SUM($Q361)=0),"",ROUND(SUM($G361)*SUM($Q361),0))</f>
        <v/>
      </c>
      <c r="Y361" s="39" t="str">
        <f aca="false">IF(SUM($X361)=0,"",IF(SUM($W361)=0,"ENTER YIELD",ROUND($X361/$W361,0)-$X361))</f>
        <v/>
      </c>
      <c r="Z361" s="88"/>
      <c r="AA361" s="39" t="str">
        <f aca="false">IF(OR(SUM($G361)=0,SUM($R361)=0),"",ROUND(SUM($G361)*SUM($R361),0))</f>
        <v/>
      </c>
      <c r="AB361" s="39" t="str">
        <f aca="false">IF(SUM($AA361)=0,"",IF(SUM($Z361)=0,"ENTER YIELD",ROUND($AA361/$Z361,0)-$AA361))</f>
        <v/>
      </c>
      <c r="AC361" s="88"/>
      <c r="AD361" s="39" t="str">
        <f aca="false">IF(OR(SUM($G361)=0,SUM($S361)=0),"",ROUND(SUM($G361)*SUM($S361),0))</f>
        <v/>
      </c>
      <c r="AE361" s="39" t="str">
        <f aca="false">IF(SUM($AD361)=0,"",IF(SUM($AC361)=0,"ENTER YIELD",ROUND($AD361/$AC361,0)-$AD361))</f>
        <v/>
      </c>
      <c r="AF361" s="88"/>
      <c r="AG361" s="39" t="str">
        <f aca="false">IF(OR(SUM($G361)=0,SUM($T361)=0),"",ROUND(SUM($G361)*SUM($T361),0))</f>
        <v/>
      </c>
      <c r="AH361" s="39" t="str">
        <f aca="false">IF(SUM($AG361)=0,"",IF(SUM($AF361)=0,"ENTER YIELD",ROUND($AG361/$AF361,0)-$AG361))</f>
        <v/>
      </c>
      <c r="AI361" s="88" t="n">
        <v>0.448960412293673</v>
      </c>
      <c r="AJ361" s="39" t="str">
        <f aca="false">IF(OR(SUM($G361)=0,SUM($U361)=0),"",ROUND(SUM($G361)*SUM($U361),0))</f>
        <v/>
      </c>
      <c r="AK361" s="39" t="str">
        <f aca="false">IF(SUM($AJ361)=0,"",IF(SUM($AI361)=0,"ENTER YIELD",ROUND($AJ361/$AI361,0)-$AJ361))</f>
        <v/>
      </c>
      <c r="AL361" s="10" t="str">
        <f aca="false">IF(SUM($G361)=0,"",$G361)</f>
        <v/>
      </c>
      <c r="AM361" s="10" t="str">
        <f aca="false">IFERROR(1/(1/SUM($H361:$K361,$X361,$AA361,$AD361,$AG361,$AJ361)),"")</f>
        <v/>
      </c>
      <c r="AN361" s="10" t="str">
        <f aca="false">IF(AND(SUM($AM361)=0,SUM($AL361)=0),"",$AM361-$AL361)</f>
        <v/>
      </c>
      <c r="AO361" s="10" t="str">
        <f aca="false">IF(OR($C361="01-09",$D361="Male"),"",INDEX(PMTCT!$AD:$AD,MATCH($E361,PMTCT!$E:$E,0)))</f>
        <v/>
      </c>
      <c r="AP361" s="10" t="str">
        <f aca="false">IF(OR($C361="01-09",$D361="Male"),"",INDEX(PMTCT!$AT:$AT,MATCH($E361,PMTCT!$E:$E,0)))</f>
        <v/>
      </c>
      <c r="AQ361" s="10" t="str">
        <f aca="false">INDEX(TB!$Q:$Q,MATCH($E361,TB!$E:$E,0))</f>
        <v/>
      </c>
      <c r="AR361" s="10" t="str">
        <f aca="false">IF(OR($C361="01-09",$C361="10-14",$D361="Female"),"",INDEX(VMMC!$AB:$AB,MATCH($E361,VMMC!$E:$E,0)))</f>
        <v/>
      </c>
      <c r="AS361" s="10" t="str">
        <f aca="false">IF(OR($C361="01-09",$C361="10-14"),"",INDEX(PrEP!$Q:$Q,MATCH($E361,PrEP!$E:$E,0)))</f>
        <v/>
      </c>
      <c r="AT361" s="10" t="str">
        <f aca="false">IFERROR(1/(1/SUM($Y361,$AB361,$AE361,$AH361,$AK361,$AO361:$AS361)),"")</f>
        <v/>
      </c>
      <c r="AU361" s="10" t="str">
        <f aca="false">IFERROR(1/(1/SUM($AT361,$AM361)),"")</f>
        <v/>
      </c>
      <c r="AV361" s="88" t="str">
        <f aca="false">IF(AND(SUM($AM361)=0,SUM($AU361)=0),"",$AM361/$AU361)</f>
        <v/>
      </c>
      <c r="AW361" s="10" t="n">
        <v>48</v>
      </c>
      <c r="AX361" s="88" t="n">
        <f aca="false">IF(OR($C361="01-09",SUM($AW361)=0),"",0%)</f>
        <v>0</v>
      </c>
      <c r="AY361" s="39" t="n">
        <f aca="false">IF(OR($C361="01-09",SUM($AW361)=0),"",ROUND($AW361*(1+$AX361),0))</f>
        <v>48</v>
      </c>
      <c r="AZ361" s="88" t="n">
        <f aca="false">IF(OR($C361="01-09",$C361="10-14"),"",100%)</f>
        <v>1</v>
      </c>
      <c r="BA361" s="39" t="str">
        <f aca="false">IF(OR(SUM($AM361)=0,$C361="01-09",$C361="10-14"),"",$AM361*$AZ361)</f>
        <v/>
      </c>
    </row>
    <row r="362" customFormat="false" ht="15" hidden="false" customHeight="false" outlineLevel="0" collapsed="false">
      <c r="A362" s="0" t="str">
        <f aca="false">INDEX(Prioritization!$D:$D,MATCH($B362,Prioritization!$A:$A,0))</f>
        <v>1 - Scale-up: Saturation</v>
      </c>
      <c r="B362" s="0" t="s">
        <v>222</v>
      </c>
      <c r="C362" s="0" t="s">
        <v>368</v>
      </c>
      <c r="D362" s="0" t="s">
        <v>48</v>
      </c>
      <c r="E362" s="0" t="str">
        <f aca="false">$B362&amp;"|"&amp;$C362&amp;"|"&amp;$D362</f>
        <v>Zomba District [fyEoGEPERdI]|50+|Male</v>
      </c>
      <c r="F362" s="88" t="n">
        <f aca="false">IF(LEFT($B362,4)="_Mil","",INDEX(Cascade!$AA:$AA,MATCH($E362,Cascade!$E:$E,0)))</f>
        <v>794</v>
      </c>
      <c r="G362" s="10" t="n">
        <f aca="false">INDEX(Cascade!$BH:$BH,MATCH($E362,Cascade!$E:$E,0))</f>
        <v>0</v>
      </c>
      <c r="H362" s="10" t="str">
        <f aca="false">IF(OR($C362="01-09",$D362="Male"),"",INDEX(PMTCT!$AC:$AC,MATCH($E362,PMTCT!$E:$E,0)))</f>
        <v/>
      </c>
      <c r="I362" s="10" t="str">
        <f aca="false">IF(OR($C362="01-09",$D362="Male"),"",INDEX(PMTCT!$AS:$AS,MATCH($E362,PMTCT!$E:$E,0)))</f>
        <v/>
      </c>
      <c r="J362" s="10" t="str">
        <f aca="false">INDEX(TB!$P:$P,MATCH($E362,TB!$E:$E,0))</f>
        <v/>
      </c>
      <c r="K362" s="10" t="str">
        <f aca="false">IF(OR($C362="01-09",$C362="10-14",$D362="Female"),"",INDEX(VMMC!$AA:$AA,MATCH($E362,VMMC!$E:$E,0)))</f>
        <v/>
      </c>
      <c r="L362" s="10" t="n">
        <f aca="false">SUM($G362)-SUM($H362:$K362)</f>
        <v>0</v>
      </c>
      <c r="M362" s="88" t="str">
        <f aca="false">IF(OR($C362="01-09",$D362="Male",AND(SUM($G362)=0,SUM($H362)=0)),"",SUM($H362)/SUM($G362))</f>
        <v/>
      </c>
      <c r="N362" s="88" t="str">
        <f aca="false">IF(OR($C362="01-09",$D362="Male",AND(SUM($G362)=0,SUM($I362)=0)),"",SUM($I362)/SUM($G362))</f>
        <v/>
      </c>
      <c r="O362" s="88" t="str">
        <f aca="false">IF(AND(SUM($G362)=0,SUM($J362)=0),"",SUM($J362)/SUM($G362))</f>
        <v/>
      </c>
      <c r="P362" s="88" t="str">
        <f aca="false">IF(OR($C362="01-09",$C362="10-14",$D362="Female",AND(SUM($G362)=0,SUM($K362)=0)),"",SUM($K362)/SUM($G362))</f>
        <v/>
      </c>
      <c r="Q362" s="88"/>
      <c r="R362" s="88"/>
      <c r="S362" s="88"/>
      <c r="T362" s="88"/>
      <c r="U362" s="88" t="n">
        <v>0.482239322736859</v>
      </c>
      <c r="V362" s="88" t="str">
        <f aca="false">IF(SUM($G362)=0,"",SUM($M362:$U362))</f>
        <v/>
      </c>
      <c r="W362" s="88"/>
      <c r="X362" s="39" t="str">
        <f aca="false">IF(OR(SUM($G362)=0,SUM($Q362)=0),"",ROUND(SUM($G362)*SUM($Q362),0))</f>
        <v/>
      </c>
      <c r="Y362" s="39" t="str">
        <f aca="false">IF(SUM($X362)=0,"",IF(SUM($W362)=0,"ENTER YIELD",ROUND($X362/$W362,0)-$X362))</f>
        <v/>
      </c>
      <c r="Z362" s="88"/>
      <c r="AA362" s="39" t="str">
        <f aca="false">IF(OR(SUM($G362)=0,SUM($R362)=0),"",ROUND(SUM($G362)*SUM($R362),0))</f>
        <v/>
      </c>
      <c r="AB362" s="39" t="str">
        <f aca="false">IF(SUM($AA362)=0,"",IF(SUM($Z362)=0,"ENTER YIELD",ROUND($AA362/$Z362,0)-$AA362))</f>
        <v/>
      </c>
      <c r="AC362" s="88"/>
      <c r="AD362" s="39" t="str">
        <f aca="false">IF(OR(SUM($G362)=0,SUM($S362)=0),"",ROUND(SUM($G362)*SUM($S362),0))</f>
        <v/>
      </c>
      <c r="AE362" s="39" t="str">
        <f aca="false">IF(SUM($AD362)=0,"",IF(SUM($AC362)=0,"ENTER YIELD",ROUND($AD362/$AC362,0)-$AD362))</f>
        <v/>
      </c>
      <c r="AF362" s="88"/>
      <c r="AG362" s="39" t="str">
        <f aca="false">IF(OR(SUM($G362)=0,SUM($T362)=0),"",ROUND(SUM($G362)*SUM($T362),0))</f>
        <v/>
      </c>
      <c r="AH362" s="39" t="str">
        <f aca="false">IF(SUM($AG362)=0,"",IF(SUM($AF362)=0,"ENTER YIELD",ROUND($AG362/$AF362,0)-$AG362))</f>
        <v/>
      </c>
      <c r="AI362" s="88" t="n">
        <v>0.433457704028115</v>
      </c>
      <c r="AJ362" s="39" t="str">
        <f aca="false">IF(OR(SUM($G362)=0,SUM($U362)=0),"",ROUND(SUM($G362)*SUM($U362),0))</f>
        <v/>
      </c>
      <c r="AK362" s="39" t="str">
        <f aca="false">IF(SUM($AJ362)=0,"",IF(SUM($AI362)=0,"ENTER YIELD",ROUND($AJ362/$AI362,0)-$AJ362))</f>
        <v/>
      </c>
      <c r="AL362" s="10" t="str">
        <f aca="false">IF(SUM($G362)=0,"",$G362)</f>
        <v/>
      </c>
      <c r="AM362" s="10" t="str">
        <f aca="false">IFERROR(1/(1/SUM($H362:$K362,$X362,$AA362,$AD362,$AG362,$AJ362)),"")</f>
        <v/>
      </c>
      <c r="AN362" s="10" t="str">
        <f aca="false">IF(AND(SUM($AM362)=0,SUM($AL362)=0),"",$AM362-$AL362)</f>
        <v/>
      </c>
      <c r="AO362" s="10" t="str">
        <f aca="false">IF(OR($C362="01-09",$D362="Male"),"",INDEX(PMTCT!$AD:$AD,MATCH($E362,PMTCT!$E:$E,0)))</f>
        <v/>
      </c>
      <c r="AP362" s="10" t="str">
        <f aca="false">IF(OR($C362="01-09",$D362="Male"),"",INDEX(PMTCT!$AT:$AT,MATCH($E362,PMTCT!$E:$E,0)))</f>
        <v/>
      </c>
      <c r="AQ362" s="10" t="str">
        <f aca="false">INDEX(TB!$Q:$Q,MATCH($E362,TB!$E:$E,0))</f>
        <v/>
      </c>
      <c r="AR362" s="10" t="str">
        <f aca="false">IF(OR($C362="01-09",$C362="10-14",$D362="Female"),"",INDEX(VMMC!$AB:$AB,MATCH($E362,VMMC!$E:$E,0)))</f>
        <v/>
      </c>
      <c r="AS362" s="10" t="str">
        <f aca="false">IF(OR($C362="01-09",$C362="10-14"),"",INDEX(PrEP!$Q:$Q,MATCH($E362,PrEP!$E:$E,0)))</f>
        <v/>
      </c>
      <c r="AT362" s="10" t="str">
        <f aca="false">IFERROR(1/(1/SUM($Y362,$AB362,$AE362,$AH362,$AK362,$AO362:$AS362)),"")</f>
        <v/>
      </c>
      <c r="AU362" s="10" t="str">
        <f aca="false">IFERROR(1/(1/SUM($AT362,$AM362)),"")</f>
        <v/>
      </c>
      <c r="AV362" s="88" t="str">
        <f aca="false">IF(AND(SUM($AM362)=0,SUM($AU362)=0),"",$AM362/$AU362)</f>
        <v/>
      </c>
      <c r="AW362" s="10" t="n">
        <v>56</v>
      </c>
      <c r="AX362" s="88" t="n">
        <f aca="false">IF(OR($C362="01-09",SUM($AW362)=0),"",0%)</f>
        <v>0</v>
      </c>
      <c r="AY362" s="39" t="n">
        <f aca="false">IF(OR($C362="01-09",SUM($AW362)=0),"",ROUND($AW362*(1+$AX362),0))</f>
        <v>56</v>
      </c>
      <c r="AZ362" s="88" t="n">
        <f aca="false">IF(OR($C362="01-09",$C362="10-14"),"",100%)</f>
        <v>1</v>
      </c>
      <c r="BA362" s="39" t="str">
        <f aca="false">IF(OR(SUM($AM362)=0,$C362="01-09",$C362="10-14"),"",$AM362*$AZ362)</f>
        <v/>
      </c>
    </row>
  </sheetData>
  <mergeCells count="1">
    <mergeCell ref="A2:B3"/>
  </mergeCells>
  <conditionalFormatting sqref="K1:K1048576 P1:P1048576 AR1:AR1048576">
    <cfRule type="expression" priority="2" aboveAverage="0" equalAverage="0" bottom="0" percent="0" rank="0" text="" dxfId="83">
      <formula>OR($D1="Female",$C1="01-09",$C1="10-14")</formula>
    </cfRule>
  </conditionalFormatting>
  <conditionalFormatting sqref="AW1:AY1048576">
    <cfRule type="expression" priority="3" aboveAverage="0" equalAverage="0" bottom="0" percent="0" rank="0" text="" dxfId="84">
      <formula>OR($C1="01-09")</formula>
    </cfRule>
  </conditionalFormatting>
  <conditionalFormatting sqref="H1:I1048576 M1:N1048576 AO1:AP1048576">
    <cfRule type="expression" priority="4" aboveAverage="0" equalAverage="0" bottom="0" percent="0" rank="0" text="" dxfId="85">
      <formula>OR($D1="Male",$C1="01-09")</formula>
    </cfRule>
  </conditionalFormatting>
  <conditionalFormatting sqref="AN1:AN1048576">
    <cfRule type="expression" priority="5" aboveAverage="0" equalAverage="0" bottom="0" percent="0" rank="0" text="" dxfId="86">
      <formula>AND(ISNUMBER($AN1),ROUND(SUM($AN1),0)&lt;&gt;0)</formula>
    </cfRule>
  </conditionalFormatting>
  <conditionalFormatting sqref="Y1:Y1048576 AB1:AB1048576 AE1:AE1048576 AH1:AH1048576 AK1:AK1048576">
    <cfRule type="containsText" priority="6" operator="containsText" aboveAverage="0" equalAverage="0" bottom="0" percent="0" rank="0" text="ENTER YIELD" dxfId="87">
      <formula>NOT(ISERROR(SEARCH("ENTER YIELD",Y1)))</formula>
    </cfRule>
  </conditionalFormatting>
  <conditionalFormatting sqref="F1:F1048576">
    <cfRule type="expression" priority="7" aboveAverage="0" equalAverage="0" bottom="0" percent="0" rank="0" text="" dxfId="88">
      <formula>LEFT($B1,4)="_Mil"</formula>
    </cfRule>
  </conditionalFormatting>
  <conditionalFormatting sqref="F1:AW1048576 AY1:BA1048576">
    <cfRule type="expression" priority="8" aboveAverage="0" equalAverage="0" bottom="0" percent="0" rank="0" text="" dxfId="89">
      <formula>AND(ISNUMBER(F1),F1&lt;0)</formula>
    </cfRule>
  </conditionalFormatting>
  <conditionalFormatting sqref="AZ1:AZ1048576">
    <cfRule type="expression" priority="9" aboveAverage="0" equalAverage="0" bottom="0" percent="0" rank="0" text="" dxfId="90">
      <formula>AND(ISNUMBER(AZ1),AZ1&lt;1)</formula>
    </cfRule>
  </conditionalFormatting>
  <conditionalFormatting sqref="M1:V1048576">
    <cfRule type="expression" priority="10" aboveAverage="0" equalAverage="0" bottom="0" percent="0" rank="0" text="" dxfId="91">
      <formula>AND(OR(ISNUMBER($V1),ROW($V1)&gt;14),IF(SUM($G1)=0,SUM($V1)&lt;&gt;0,ROUND($V1,2)&lt;&gt;1))</formula>
    </cfRule>
  </conditionalFormatting>
  <conditionalFormatting sqref="AS1:AS1048576 AZ1:BA1048576">
    <cfRule type="expression" priority="11" aboveAverage="0" equalAverage="0" bottom="0" percent="0" rank="0" text="" dxfId="92">
      <formula>OR($C1="01-09",$C1="10-14")</formula>
    </cfRule>
  </conditionalFormatting>
  <conditionalFormatting sqref="M1:W1048576 Z1:Z1048576 AC1:AC1048576 AF1:AF1048576 AI1:AI1048576 AV1:AV1048576 AZ1:AZ1048576">
    <cfRule type="expression" priority="12" aboveAverage="0" equalAverage="0" bottom="0" percent="0" rank="0" text="" dxfId="93">
      <formula>AND(ISNUMBER(M1),M1&gt;1)</formula>
    </cfRule>
  </conditionalFormatting>
  <hyperlinks>
    <hyperlink ref="F3" location="Cascade!Z:Z" display="P.C. Est. ART Coverage (ART/PLHIV) (FY23) (%)"/>
    <hyperlink ref="G3" location="Cascade!BE:BE" display="Total HTS_TST_POS (FY24)"/>
    <hyperlink ref="H3" location="PMTCT!AC:AC" display="PMTCT_STAT New Positives (FY24)"/>
    <hyperlink ref="I3" location="PMTCT!AS:AS" display="HTS_TST Post ANC1 New Positives (FY24)"/>
    <hyperlink ref="J3" location="TB!P:P" display="TB_STAT New Positives (FY24)"/>
    <hyperlink ref="K3" location="VMMC!AA:AA" display="VMMC_CIRC New Positives (FY24)"/>
    <hyperlink ref="M3" location="HTS!H:H" display="PMTCT_STAT: New Positive (%)"/>
    <hyperlink ref="N3" location="HTS!I:I" display="PMTCT Post ANC1: Positive (%)"/>
    <hyperlink ref="O3" location="HTS!J:J" display="TB_STAT: New Positive (%)"/>
    <hyperlink ref="P3" location="HTS!K:K" display="VMMC: New Positive (%)"/>
    <hyperlink ref="Q3" location="HTS!X:X" display="Active Index (%)"/>
    <hyperlink ref="R3" location="HTS!AA:AA" display="Active SNS (%)"/>
    <hyperlink ref="S3" location="HTS!AD:AD" display="Active Other (%)"/>
    <hyperlink ref="T3" location="HTS!AG:AG" display="STI Clinic (%)"/>
    <hyperlink ref="U3" location="HTS!AJ:AJ" display="Other Facility (%)"/>
    <hyperlink ref="X3" location="HTS!Q:Q" display="Positive"/>
    <hyperlink ref="AA3" location="HTS!R:R" display="Positive"/>
    <hyperlink ref="AD3" location="HTS!S:S" display="Positive"/>
    <hyperlink ref="AG3" location="HTS!T:T" display="Positive"/>
    <hyperlink ref="AJ3" location="HTS!U:U" display="Positive"/>
    <hyperlink ref="AL3" location="HTS!G:G" display="Original HTS_TST_POS (FY24)"/>
    <hyperlink ref="AO3" location="PMTCT!AD:AD" display="PMTCT_STAT New Negatives (FY24)"/>
    <hyperlink ref="AP3" location="PMTCT!AT:AT" display="HTS_TST Post ANC1 Negatives (FY24)"/>
    <hyperlink ref="AQ3" location="TB!Q:Q" display="TB_STAT New Negatives (FY24)"/>
    <hyperlink ref="AR3" location="VMMC!AB:AB" display="VMMC_CIRC New Negatives (FY24)"/>
    <hyperlink ref="AS3" location="PrEP!Q:Q" display="PrEP_CT Total (FY24)"/>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0" sqref="A1"/>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
    <col collapsed="false" customWidth="true" hidden="false" outlineLevel="0" max="10" min="6" style="0" width="11.83"/>
    <col collapsed="false" customWidth="true" hidden="false" outlineLevel="0" max="12" min="11" style="0" width="12"/>
    <col collapsed="false" customWidth="true" hidden="false" outlineLevel="0" max="13" min="13" style="0" width="11.83"/>
  </cols>
  <sheetData>
    <row r="1" customFormat="false" ht="30.75" hidden="false" customHeight="true" outlineLevel="0" collapsed="false">
      <c r="A1" s="41" t="s">
        <v>1150</v>
      </c>
      <c r="B1" s="15"/>
      <c r="C1" s="15"/>
      <c r="D1" s="15"/>
      <c r="E1" s="15"/>
      <c r="F1" s="42" t="s">
        <v>491</v>
      </c>
      <c r="G1" s="43"/>
      <c r="H1" s="43"/>
      <c r="I1" s="43"/>
      <c r="J1" s="47"/>
      <c r="K1" s="47"/>
      <c r="L1" s="47"/>
      <c r="M1" s="43"/>
    </row>
    <row r="2" customFormat="false" ht="18.75" hidden="false" customHeight="true" outlineLevel="0" collapsed="false">
      <c r="A2" s="158" t="s">
        <v>1151</v>
      </c>
      <c r="B2" s="158"/>
      <c r="C2" s="19"/>
      <c r="D2" s="19"/>
      <c r="E2" s="19"/>
      <c r="F2" s="50"/>
      <c r="G2" s="22"/>
      <c r="H2" s="22"/>
      <c r="I2" s="22"/>
      <c r="J2" s="52"/>
      <c r="K2" s="52"/>
      <c r="L2" s="52"/>
      <c r="M2" s="21" t="s">
        <v>177</v>
      </c>
    </row>
    <row r="3" customFormat="false" ht="117" hidden="false" customHeight="true" outlineLevel="0" collapsed="false">
      <c r="A3" s="158"/>
      <c r="B3" s="158"/>
      <c r="C3" s="23"/>
      <c r="D3" s="23"/>
      <c r="E3" s="23"/>
      <c r="F3" s="24" t="s">
        <v>1152</v>
      </c>
      <c r="G3" s="69" t="s">
        <v>1153</v>
      </c>
      <c r="H3" s="138" t="s">
        <v>1154</v>
      </c>
      <c r="I3" s="138" t="s">
        <v>275</v>
      </c>
      <c r="J3" s="162" t="s">
        <v>1155</v>
      </c>
      <c r="K3" s="160" t="s">
        <v>1156</v>
      </c>
      <c r="L3" s="160" t="s">
        <v>1157</v>
      </c>
      <c r="M3" s="72" t="s">
        <v>584</v>
      </c>
    </row>
    <row r="4" customFormat="false" ht="15" hidden="false" customHeight="false" outlineLevel="0" collapsed="false">
      <c r="A4" s="73"/>
      <c r="B4" s="27"/>
      <c r="C4" s="27"/>
      <c r="D4" s="27" t="s">
        <v>288</v>
      </c>
      <c r="E4" s="27"/>
      <c r="F4" s="74" t="n">
        <f aca="false">SUBTOTAL(109,F$15:INDEX(F:F,COUNTA($B:$B)+14-COUNTA($B$1:$B$14)))</f>
        <v>0</v>
      </c>
      <c r="G4" s="73" t="n">
        <f aca="false">SUBTOTAL(109,G$15:INDEX(G:G,COUNTA($B:$B)+14-COUNTA($B$1:$B$14)))</f>
        <v>0</v>
      </c>
      <c r="H4" s="73" t="n">
        <f aca="false">SUBTOTAL(109,H$15:INDEX(H:H,COUNTA($B:$B)+14-COUNTA($B$1:$B$14)))</f>
        <v>0</v>
      </c>
      <c r="I4" s="73" t="n">
        <f aca="false">SUBTOTAL(109,I$15:INDEX(I:I,COUNTA($B:$B)+14-COUNTA($B$1:$B$14)))</f>
        <v>0</v>
      </c>
      <c r="J4" s="84"/>
      <c r="K4" s="84"/>
      <c r="L4" s="84"/>
      <c r="M4" s="82" t="n">
        <f aca="false">SUBTOTAL(109,M$15:INDEX(M:M,COUNTA($B:$B)+14-COUNTA($B$1:$B$14)))</f>
        <v>0</v>
      </c>
    </row>
    <row r="5" customFormat="false" ht="12.8" hidden="false" customHeight="false" outlineLevel="0" collapsed="false">
      <c r="A5" s="0" t="s">
        <v>181</v>
      </c>
      <c r="B5" s="9" t="s">
        <v>181</v>
      </c>
      <c r="C5" s="9" t="s">
        <v>181</v>
      </c>
      <c r="D5" s="9" t="s">
        <v>181</v>
      </c>
      <c r="E5" s="9" t="s">
        <v>181</v>
      </c>
      <c r="F5" s="85" t="s">
        <v>289</v>
      </c>
      <c r="G5" s="10" t="s">
        <v>289</v>
      </c>
      <c r="H5" s="10" t="s">
        <v>181</v>
      </c>
      <c r="I5" s="10" t="s">
        <v>181</v>
      </c>
      <c r="J5" s="88" t="s">
        <v>181</v>
      </c>
      <c r="K5" s="88" t="s">
        <v>181</v>
      </c>
      <c r="L5" s="88" t="s">
        <v>181</v>
      </c>
      <c r="M5" s="5" t="s">
        <v>289</v>
      </c>
    </row>
    <row r="6" customFormat="false" ht="12.8" hidden="false" customHeight="false" outlineLevel="0" collapsed="false">
      <c r="A6" s="0" t="s">
        <v>183</v>
      </c>
      <c r="B6" s="9" t="s">
        <v>183</v>
      </c>
      <c r="C6" s="9" t="s">
        <v>183</v>
      </c>
      <c r="D6" s="9" t="s">
        <v>183</v>
      </c>
      <c r="E6" s="9" t="s">
        <v>183</v>
      </c>
      <c r="F6" s="85" t="s">
        <v>184</v>
      </c>
      <c r="G6" s="10" t="s">
        <v>184</v>
      </c>
      <c r="H6" s="10" t="s">
        <v>186</v>
      </c>
      <c r="I6" s="10" t="s">
        <v>186</v>
      </c>
      <c r="J6" s="88" t="s">
        <v>292</v>
      </c>
      <c r="K6" s="88" t="s">
        <v>291</v>
      </c>
      <c r="L6" s="88" t="s">
        <v>291</v>
      </c>
      <c r="M6" s="5" t="s">
        <v>185</v>
      </c>
    </row>
    <row r="7" customFormat="false" ht="12.8" hidden="false" customHeight="false" outlineLevel="0" collapsed="false">
      <c r="A7" s="0" t="s">
        <v>187</v>
      </c>
      <c r="B7" s="9" t="s">
        <v>187</v>
      </c>
      <c r="C7" s="9" t="s">
        <v>187</v>
      </c>
      <c r="D7" s="9" t="s">
        <v>187</v>
      </c>
      <c r="E7" s="9" t="s">
        <v>187</v>
      </c>
      <c r="F7" s="85" t="s">
        <v>188</v>
      </c>
      <c r="G7" s="10" t="s">
        <v>188</v>
      </c>
      <c r="H7" s="10" t="s">
        <v>188</v>
      </c>
      <c r="I7" s="10" t="s">
        <v>188</v>
      </c>
      <c r="J7" s="88" t="s">
        <v>294</v>
      </c>
      <c r="K7" s="88" t="s">
        <v>294</v>
      </c>
      <c r="L7" s="88" t="s">
        <v>294</v>
      </c>
      <c r="M7" s="5" t="s">
        <v>188</v>
      </c>
    </row>
    <row r="8" customFormat="false" ht="12.8" hidden="false" customHeight="false" outlineLevel="0" collapsed="false">
      <c r="F8" s="93" t="s">
        <v>1158</v>
      </c>
      <c r="G8" s="94" t="s">
        <v>657</v>
      </c>
      <c r="H8" s="10"/>
      <c r="I8" s="10"/>
      <c r="J8" s="88"/>
      <c r="K8" s="88"/>
      <c r="L8" s="88"/>
      <c r="M8" s="97" t="s">
        <v>657</v>
      </c>
    </row>
    <row r="9" customFormat="false" ht="12.8" hidden="false" customHeight="false" outlineLevel="0" collapsed="false">
      <c r="F9" s="93" t="s">
        <v>1159</v>
      </c>
      <c r="G9" s="94" t="s">
        <v>1160</v>
      </c>
      <c r="H9" s="10"/>
      <c r="I9" s="10"/>
      <c r="J9" s="88"/>
      <c r="K9" s="88"/>
      <c r="L9" s="88"/>
      <c r="M9" s="97" t="s">
        <v>1160</v>
      </c>
    </row>
    <row r="10" customFormat="false" ht="12.8" hidden="false" customHeight="false" outlineLevel="0" collapsed="false">
      <c r="F10" s="93" t="s">
        <v>312</v>
      </c>
      <c r="G10" s="94" t="s">
        <v>312</v>
      </c>
      <c r="H10" s="10"/>
      <c r="I10" s="10"/>
      <c r="J10" s="88"/>
      <c r="K10" s="88"/>
      <c r="L10" s="88"/>
      <c r="M10" s="97" t="s">
        <v>312</v>
      </c>
    </row>
    <row r="11" customFormat="false" ht="12.8" hidden="false" customHeight="false" outlineLevel="0" collapsed="false">
      <c r="F11" s="85" t="s">
        <v>685</v>
      </c>
      <c r="G11" s="10" t="s">
        <v>685</v>
      </c>
      <c r="H11" s="10" t="s">
        <v>685</v>
      </c>
      <c r="I11" s="10" t="s">
        <v>685</v>
      </c>
      <c r="J11" s="88" t="s">
        <v>685</v>
      </c>
      <c r="K11" s="88" t="s">
        <v>685</v>
      </c>
      <c r="L11" s="88" t="s">
        <v>685</v>
      </c>
      <c r="M11" s="5" t="s">
        <v>685</v>
      </c>
    </row>
    <row r="12" customFormat="false" ht="12.8" hidden="false" customHeight="false" outlineLevel="0" collapsed="false">
      <c r="F12" s="85" t="s">
        <v>690</v>
      </c>
      <c r="G12" s="10" t="s">
        <v>690</v>
      </c>
      <c r="H12" s="10" t="s">
        <v>690</v>
      </c>
      <c r="I12" s="10" t="s">
        <v>690</v>
      </c>
      <c r="J12" s="88" t="s">
        <v>690</v>
      </c>
      <c r="K12" s="88" t="s">
        <v>690</v>
      </c>
      <c r="L12" s="88" t="s">
        <v>690</v>
      </c>
      <c r="M12" s="5" t="s">
        <v>690</v>
      </c>
    </row>
    <row r="13" customFormat="false" ht="12.8" hidden="false" customHeight="false" outlineLevel="0" collapsed="false"/>
    <row r="14" customFormat="false" ht="15" hidden="false" customHeight="false" outlineLevel="0" collapsed="false">
      <c r="A14" s="100" t="s">
        <v>176</v>
      </c>
      <c r="B14" s="33" t="s">
        <v>190</v>
      </c>
      <c r="C14" s="33" t="s">
        <v>318</v>
      </c>
      <c r="D14" s="33" t="s">
        <v>319</v>
      </c>
      <c r="E14" s="33" t="s">
        <v>20</v>
      </c>
      <c r="F14" s="101" t="s">
        <v>1161</v>
      </c>
      <c r="G14" s="36" t="s">
        <v>1162</v>
      </c>
      <c r="H14" s="36" t="s">
        <v>328</v>
      </c>
      <c r="I14" s="36" t="s">
        <v>344</v>
      </c>
      <c r="J14" s="103" t="s">
        <v>1163</v>
      </c>
      <c r="K14" s="103" t="s">
        <v>1164</v>
      </c>
      <c r="L14" s="103" t="s">
        <v>1165</v>
      </c>
      <c r="M14" s="107" t="s">
        <v>755</v>
      </c>
    </row>
    <row r="15" customFormat="false" ht="15" hidden="false" customHeight="false" outlineLevel="0" collapsed="false">
      <c r="A15" s="0" t="str">
        <f aca="false">INDEX(Prioritization!$D:$D,MATCH($B15,Prioritization!$A:$A,0))</f>
        <v>Military</v>
      </c>
      <c r="B15" s="0" t="s">
        <v>194</v>
      </c>
      <c r="C15" s="0" t="s">
        <v>366</v>
      </c>
      <c r="D15" s="0" t="s">
        <v>30</v>
      </c>
      <c r="E15" s="9" t="str">
        <f aca="false">B15&amp;"|"&amp;C15&amp;"|"&amp;D15</f>
        <v>_Military Malawi [PQZgU9dagaH]|25-34|Female</v>
      </c>
      <c r="F15" s="10"/>
      <c r="G15" s="10"/>
      <c r="H15" s="10" t="str">
        <f aca="false">IFERROR(1/(1/INDEX(Cascade!$O:$O,MATCH($E15,Cascade!$E:$E,0))),"")</f>
        <v/>
      </c>
      <c r="I15" s="10" t="str">
        <f aca="false">IFERROR(1/(1/INDEX(Cascade!$AV:$AV,MATCH($E15,Cascade!$E:$E,0))),"")</f>
        <v/>
      </c>
      <c r="J15" s="88"/>
      <c r="K15" s="88" t="n">
        <f aca="false">1/3</f>
        <v>0.333333333333333</v>
      </c>
      <c r="L15" s="88" t="n">
        <f aca="false">1</f>
        <v>1</v>
      </c>
      <c r="M15" s="5" t="str">
        <f aca="false">IF(SUM($H15)=0,"",ROUND($H15*$K15+$I15*$L15,0))</f>
        <v/>
      </c>
    </row>
    <row r="16" customFormat="false" ht="15" hidden="false" customHeight="false" outlineLevel="0" collapsed="false">
      <c r="A16" s="0" t="str">
        <f aca="false">INDEX(Prioritization!$D:$D,MATCH($B16,Prioritization!$A:$A,0))</f>
        <v>Military</v>
      </c>
      <c r="B16" s="0" t="s">
        <v>194</v>
      </c>
      <c r="C16" s="0" t="s">
        <v>367</v>
      </c>
      <c r="D16" s="0" t="s">
        <v>30</v>
      </c>
      <c r="E16" s="0" t="str">
        <f aca="false">B16&amp;"|"&amp;C16&amp;"|"&amp;D16</f>
        <v>_Military Malawi [PQZgU9dagaH]|35-49|Female</v>
      </c>
      <c r="F16" s="10"/>
      <c r="G16" s="10"/>
      <c r="H16" s="10" t="str">
        <f aca="false">IFERROR(1/(1/INDEX(Cascade!$O:$O,MATCH($E16,Cascade!$E:$E,0))),"")</f>
        <v/>
      </c>
      <c r="I16" s="10" t="str">
        <f aca="false">IFERROR(1/(1/INDEX(Cascade!$AV:$AV,MATCH($E16,Cascade!$E:$E,0))),"")</f>
        <v/>
      </c>
      <c r="J16" s="88"/>
      <c r="K16" s="88" t="n">
        <f aca="false">1/3</f>
        <v>0.333333333333333</v>
      </c>
      <c r="L16" s="88" t="n">
        <f aca="false">1</f>
        <v>1</v>
      </c>
      <c r="M16" s="39" t="str">
        <f aca="false">IF(SUM($H16)=0,"",ROUND($H16*$K16+$I16*$L16,0))</f>
        <v/>
      </c>
    </row>
    <row r="17" customFormat="false" ht="15" hidden="false" customHeight="false" outlineLevel="0" collapsed="false">
      <c r="A17" s="0" t="str">
        <f aca="false">INDEX(Prioritization!$D:$D,MATCH($B17,Prioritization!$A:$A,0))</f>
        <v>1 - Scale-up: Saturation</v>
      </c>
      <c r="B17" s="0" t="s">
        <v>195</v>
      </c>
      <c r="C17" s="0" t="s">
        <v>366</v>
      </c>
      <c r="D17" s="0" t="s">
        <v>30</v>
      </c>
      <c r="E17" s="0" t="str">
        <f aca="false">B17&amp;"|"&amp;C17&amp;"|"&amp;D17</f>
        <v>Dedza District [PekKUkKHAzY]|25-34|Female</v>
      </c>
      <c r="F17" s="10"/>
      <c r="G17" s="10"/>
      <c r="H17" s="10" t="str">
        <f aca="false">IFERROR(1/(1/INDEX(Cascade!$O:$O,MATCH($E17,Cascade!$E:$E,0))),"")</f>
        <v/>
      </c>
      <c r="I17" s="10" t="str">
        <f aca="false">IFERROR(1/(1/INDEX(Cascade!$AV:$AV,MATCH($E17,Cascade!$E:$E,0))),"")</f>
        <v/>
      </c>
      <c r="J17" s="88"/>
      <c r="K17" s="88" t="n">
        <f aca="false">1/3</f>
        <v>0.333333333333333</v>
      </c>
      <c r="L17" s="88" t="n">
        <f aca="false">1</f>
        <v>1</v>
      </c>
      <c r="M17" s="39" t="str">
        <f aca="false">IF(SUM($H17)=0,"",ROUND($H17*$K17+$I17*$L17,0))</f>
        <v/>
      </c>
    </row>
    <row r="18" customFormat="false" ht="15" hidden="false" customHeight="false" outlineLevel="0" collapsed="false">
      <c r="A18" s="0" t="str">
        <f aca="false">INDEX(Prioritization!$D:$D,MATCH($B18,Prioritization!$A:$A,0))</f>
        <v>1 - Scale-up: Saturation</v>
      </c>
      <c r="B18" s="0" t="s">
        <v>195</v>
      </c>
      <c r="C18" s="0" t="s">
        <v>367</v>
      </c>
      <c r="D18" s="0" t="s">
        <v>30</v>
      </c>
      <c r="E18" s="0" t="str">
        <f aca="false">B18&amp;"|"&amp;C18&amp;"|"&amp;D18</f>
        <v>Dedza District [PekKUkKHAzY]|35-49|Female</v>
      </c>
      <c r="F18" s="10"/>
      <c r="G18" s="10"/>
      <c r="H18" s="10" t="str">
        <f aca="false">IFERROR(1/(1/INDEX(Cascade!$O:$O,MATCH($E18,Cascade!$E:$E,0))),"")</f>
        <v/>
      </c>
      <c r="I18" s="10" t="str">
        <f aca="false">IFERROR(1/(1/INDEX(Cascade!$AV:$AV,MATCH($E18,Cascade!$E:$E,0))),"")</f>
        <v/>
      </c>
      <c r="J18" s="88"/>
      <c r="K18" s="88" t="n">
        <f aca="false">1/3</f>
        <v>0.333333333333333</v>
      </c>
      <c r="L18" s="88" t="n">
        <f aca="false">1</f>
        <v>1</v>
      </c>
      <c r="M18" s="39" t="str">
        <f aca="false">IF(SUM($H18)=0,"",ROUND($H18*$K18+$I18*$L18,0))</f>
        <v/>
      </c>
    </row>
    <row r="19" customFormat="false" ht="15" hidden="false" customHeight="false" outlineLevel="0" collapsed="false">
      <c r="A19" s="0" t="str">
        <f aca="false">INDEX(Prioritization!$D:$D,MATCH($B19,Prioritization!$A:$A,0))</f>
        <v>1 - Scale-up: Saturation</v>
      </c>
      <c r="B19" s="0" t="s">
        <v>196</v>
      </c>
      <c r="C19" s="0" t="s">
        <v>366</v>
      </c>
      <c r="D19" s="0" t="s">
        <v>30</v>
      </c>
      <c r="E19" s="0" t="str">
        <f aca="false">B19&amp;"|"&amp;C19&amp;"|"&amp;D19</f>
        <v>Dowa District [zphK9WV8JB4]|25-34|Female</v>
      </c>
      <c r="F19" s="10"/>
      <c r="G19" s="10"/>
      <c r="H19" s="10" t="str">
        <f aca="false">IFERROR(1/(1/INDEX(Cascade!$O:$O,MATCH($E19,Cascade!$E:$E,0))),"")</f>
        <v/>
      </c>
      <c r="I19" s="10" t="str">
        <f aca="false">IFERROR(1/(1/INDEX(Cascade!$AV:$AV,MATCH($E19,Cascade!$E:$E,0))),"")</f>
        <v/>
      </c>
      <c r="J19" s="88"/>
      <c r="K19" s="88" t="n">
        <f aca="false">1/3</f>
        <v>0.333333333333333</v>
      </c>
      <c r="L19" s="88" t="n">
        <f aca="false">1</f>
        <v>1</v>
      </c>
      <c r="M19" s="39" t="str">
        <f aca="false">IF(SUM($H19)=0,"",ROUND($H19*$K19+$I19*$L19,0))</f>
        <v/>
      </c>
    </row>
    <row r="20" customFormat="false" ht="15" hidden="false" customHeight="false" outlineLevel="0" collapsed="false">
      <c r="A20" s="0" t="str">
        <f aca="false">INDEX(Prioritization!$D:$D,MATCH($B20,Prioritization!$A:$A,0))</f>
        <v>1 - Scale-up: Saturation</v>
      </c>
      <c r="B20" s="0" t="s">
        <v>196</v>
      </c>
      <c r="C20" s="0" t="s">
        <v>367</v>
      </c>
      <c r="D20" s="0" t="s">
        <v>30</v>
      </c>
      <c r="E20" s="0" t="str">
        <f aca="false">B20&amp;"|"&amp;C20&amp;"|"&amp;D20</f>
        <v>Dowa District [zphK9WV8JB4]|35-49|Female</v>
      </c>
      <c r="F20" s="10"/>
      <c r="G20" s="10"/>
      <c r="H20" s="10" t="str">
        <f aca="false">IFERROR(1/(1/INDEX(Cascade!$O:$O,MATCH($E20,Cascade!$E:$E,0))),"")</f>
        <v/>
      </c>
      <c r="I20" s="10" t="str">
        <f aca="false">IFERROR(1/(1/INDEX(Cascade!$AV:$AV,MATCH($E20,Cascade!$E:$E,0))),"")</f>
        <v/>
      </c>
      <c r="J20" s="88"/>
      <c r="K20" s="88" t="n">
        <f aca="false">1/3</f>
        <v>0.333333333333333</v>
      </c>
      <c r="L20" s="88" t="n">
        <f aca="false">1</f>
        <v>1</v>
      </c>
      <c r="M20" s="39" t="str">
        <f aca="false">IF(SUM($H20)=0,"",ROUND($H20*$K20+$I20*$L20,0))</f>
        <v/>
      </c>
    </row>
    <row r="21" customFormat="false" ht="15" hidden="false" customHeight="false" outlineLevel="0" collapsed="false">
      <c r="A21" s="0" t="str">
        <f aca="false">INDEX(Prioritization!$D:$D,MATCH($B21,Prioritization!$A:$A,0))</f>
        <v>INVALID</v>
      </c>
      <c r="B21" s="0" t="s">
        <v>197</v>
      </c>
      <c r="C21" s="0" t="s">
        <v>366</v>
      </c>
      <c r="D21" s="0" t="s">
        <v>30</v>
      </c>
      <c r="E21" s="0" t="str">
        <f aca="false">B21&amp;"|"&amp;C21&amp;"|"&amp;D21</f>
        <v>Kasungu District [JQKLKuVuY61]|25-34|Female</v>
      </c>
      <c r="F21" s="10"/>
      <c r="G21" s="10"/>
      <c r="H21" s="10" t="str">
        <f aca="false">IFERROR(1/(1/INDEX(Cascade!$O:$O,MATCH($E21,Cascade!$E:$E,0))),"")</f>
        <v/>
      </c>
      <c r="I21" s="10" t="str">
        <f aca="false">IFERROR(1/(1/INDEX(Cascade!$AV:$AV,MATCH($E21,Cascade!$E:$E,0))),"")</f>
        <v/>
      </c>
      <c r="J21" s="88"/>
      <c r="K21" s="88" t="n">
        <f aca="false">1/3</f>
        <v>0.333333333333333</v>
      </c>
      <c r="L21" s="88" t="n">
        <f aca="false">1</f>
        <v>1</v>
      </c>
      <c r="M21" s="39" t="str">
        <f aca="false">IF(SUM($H21)=0,"",ROUND($H21*$K21+$I21*$L21,0))</f>
        <v/>
      </c>
    </row>
    <row r="22" customFormat="false" ht="15" hidden="false" customHeight="false" outlineLevel="0" collapsed="false">
      <c r="A22" s="0" t="str">
        <f aca="false">INDEX(Prioritization!$D:$D,MATCH($B22,Prioritization!$A:$A,0))</f>
        <v>INVALID</v>
      </c>
      <c r="B22" s="0" t="s">
        <v>197</v>
      </c>
      <c r="C22" s="0" t="s">
        <v>367</v>
      </c>
      <c r="D22" s="0" t="s">
        <v>30</v>
      </c>
      <c r="E22" s="0" t="str">
        <f aca="false">B22&amp;"|"&amp;C22&amp;"|"&amp;D22</f>
        <v>Kasungu District [JQKLKuVuY61]|35-49|Female</v>
      </c>
      <c r="F22" s="10"/>
      <c r="G22" s="10"/>
      <c r="H22" s="10" t="str">
        <f aca="false">IFERROR(1/(1/INDEX(Cascade!$O:$O,MATCH($E22,Cascade!$E:$E,0))),"")</f>
        <v/>
      </c>
      <c r="I22" s="10" t="str">
        <f aca="false">IFERROR(1/(1/INDEX(Cascade!$AV:$AV,MATCH($E22,Cascade!$E:$E,0))),"")</f>
        <v/>
      </c>
      <c r="J22" s="88"/>
      <c r="K22" s="88" t="n">
        <f aca="false">1/3</f>
        <v>0.333333333333333</v>
      </c>
      <c r="L22" s="88" t="n">
        <f aca="false">1</f>
        <v>1</v>
      </c>
      <c r="M22" s="39" t="str">
        <f aca="false">IF(SUM($H22)=0,"",ROUND($H22*$K22+$I22*$L22,0))</f>
        <v/>
      </c>
    </row>
    <row r="23" customFormat="false" ht="15" hidden="false" customHeight="false" outlineLevel="0" collapsed="false">
      <c r="A23" s="0" t="str">
        <f aca="false">INDEX(Prioritization!$D:$D,MATCH($B23,Prioritization!$A:$A,0))</f>
        <v>1 - Scale-up: Saturation</v>
      </c>
      <c r="B23" s="0" t="s">
        <v>198</v>
      </c>
      <c r="C23" s="0" t="s">
        <v>366</v>
      </c>
      <c r="D23" s="0" t="s">
        <v>30</v>
      </c>
      <c r="E23" s="0" t="str">
        <f aca="false">B23&amp;"|"&amp;C23&amp;"|"&amp;D23</f>
        <v>Lilongwe District [ScR9iFKAasW]|25-34|Female</v>
      </c>
      <c r="F23" s="10"/>
      <c r="G23" s="10"/>
      <c r="H23" s="10" t="str">
        <f aca="false">IFERROR(1/(1/INDEX(Cascade!$O:$O,MATCH($E23,Cascade!$E:$E,0))),"")</f>
        <v/>
      </c>
      <c r="I23" s="10" t="str">
        <f aca="false">IFERROR(1/(1/INDEX(Cascade!$AV:$AV,MATCH($E23,Cascade!$E:$E,0))),"")</f>
        <v/>
      </c>
      <c r="J23" s="88"/>
      <c r="K23" s="88" t="n">
        <f aca="false">1/3</f>
        <v>0.333333333333333</v>
      </c>
      <c r="L23" s="88" t="n">
        <f aca="false">1</f>
        <v>1</v>
      </c>
      <c r="M23" s="39" t="str">
        <f aca="false">IF(SUM($H23)=0,"",ROUND($H23*$K23+$I23*$L23,0))</f>
        <v/>
      </c>
    </row>
    <row r="24" customFormat="false" ht="15" hidden="false" customHeight="false" outlineLevel="0" collapsed="false">
      <c r="A24" s="0" t="str">
        <f aca="false">INDEX(Prioritization!$D:$D,MATCH($B24,Prioritization!$A:$A,0))</f>
        <v>1 - Scale-up: Saturation</v>
      </c>
      <c r="B24" s="0" t="s">
        <v>198</v>
      </c>
      <c r="C24" s="0" t="s">
        <v>367</v>
      </c>
      <c r="D24" s="0" t="s">
        <v>30</v>
      </c>
      <c r="E24" s="0" t="str">
        <f aca="false">B24&amp;"|"&amp;C24&amp;"|"&amp;D24</f>
        <v>Lilongwe District [ScR9iFKAasW]|35-49|Female</v>
      </c>
      <c r="F24" s="10"/>
      <c r="G24" s="10"/>
      <c r="H24" s="10" t="str">
        <f aca="false">IFERROR(1/(1/INDEX(Cascade!$O:$O,MATCH($E24,Cascade!$E:$E,0))),"")</f>
        <v/>
      </c>
      <c r="I24" s="10" t="str">
        <f aca="false">IFERROR(1/(1/INDEX(Cascade!$AV:$AV,MATCH($E24,Cascade!$E:$E,0))),"")</f>
        <v/>
      </c>
      <c r="J24" s="88"/>
      <c r="K24" s="88" t="n">
        <f aca="false">1/3</f>
        <v>0.333333333333333</v>
      </c>
      <c r="L24" s="88" t="n">
        <f aca="false">1</f>
        <v>1</v>
      </c>
      <c r="M24" s="39" t="str">
        <f aca="false">IF(SUM($H24)=0,"",ROUND($H24*$K24+$I24*$L24,0))</f>
        <v/>
      </c>
    </row>
    <row r="25" customFormat="false" ht="15" hidden="false" customHeight="false" outlineLevel="0" collapsed="false">
      <c r="A25" s="0" t="str">
        <f aca="false">INDEX(Prioritization!$D:$D,MATCH($B25,Prioritization!$A:$A,0))</f>
        <v>1 - Scale-up: Saturation</v>
      </c>
      <c r="B25" s="0" t="s">
        <v>199</v>
      </c>
      <c r="C25" s="0" t="s">
        <v>366</v>
      </c>
      <c r="D25" s="0" t="s">
        <v>30</v>
      </c>
      <c r="E25" s="0" t="str">
        <f aca="false">B25&amp;"|"&amp;C25&amp;"|"&amp;D25</f>
        <v>Mchinji District [kxuuIFpOXyO]|25-34|Female</v>
      </c>
      <c r="F25" s="10"/>
      <c r="G25" s="10"/>
      <c r="H25" s="10" t="str">
        <f aca="false">IFERROR(1/(1/INDEX(Cascade!$O:$O,MATCH($E25,Cascade!$E:$E,0))),"")</f>
        <v/>
      </c>
      <c r="I25" s="10" t="str">
        <f aca="false">IFERROR(1/(1/INDEX(Cascade!$AV:$AV,MATCH($E25,Cascade!$E:$E,0))),"")</f>
        <v/>
      </c>
      <c r="J25" s="88"/>
      <c r="K25" s="88" t="n">
        <f aca="false">1/3</f>
        <v>0.333333333333333</v>
      </c>
      <c r="L25" s="88" t="n">
        <f aca="false">1</f>
        <v>1</v>
      </c>
      <c r="M25" s="39" t="str">
        <f aca="false">IF(SUM($H25)=0,"",ROUND($H25*$K25+$I25*$L25,0))</f>
        <v/>
      </c>
    </row>
    <row r="26" customFormat="false" ht="15" hidden="false" customHeight="false" outlineLevel="0" collapsed="false">
      <c r="A26" s="0" t="str">
        <f aca="false">INDEX(Prioritization!$D:$D,MATCH($B26,Prioritization!$A:$A,0))</f>
        <v>1 - Scale-up: Saturation</v>
      </c>
      <c r="B26" s="0" t="s">
        <v>199</v>
      </c>
      <c r="C26" s="0" t="s">
        <v>367</v>
      </c>
      <c r="D26" s="0" t="s">
        <v>30</v>
      </c>
      <c r="E26" s="0" t="str">
        <f aca="false">B26&amp;"|"&amp;C26&amp;"|"&amp;D26</f>
        <v>Mchinji District [kxuuIFpOXyO]|35-49|Female</v>
      </c>
      <c r="F26" s="10"/>
      <c r="G26" s="10"/>
      <c r="H26" s="10" t="str">
        <f aca="false">IFERROR(1/(1/INDEX(Cascade!$O:$O,MATCH($E26,Cascade!$E:$E,0))),"")</f>
        <v/>
      </c>
      <c r="I26" s="10" t="str">
        <f aca="false">IFERROR(1/(1/INDEX(Cascade!$AV:$AV,MATCH($E26,Cascade!$E:$E,0))),"")</f>
        <v/>
      </c>
      <c r="J26" s="88"/>
      <c r="K26" s="88" t="n">
        <f aca="false">1/3</f>
        <v>0.333333333333333</v>
      </c>
      <c r="L26" s="88" t="n">
        <f aca="false">1</f>
        <v>1</v>
      </c>
      <c r="M26" s="39" t="str">
        <f aca="false">IF(SUM($H26)=0,"",ROUND($H26*$K26+$I26*$L26,0))</f>
        <v/>
      </c>
    </row>
    <row r="27" customFormat="false" ht="15" hidden="false" customHeight="false" outlineLevel="0" collapsed="false">
      <c r="A27" s="0" t="str">
        <f aca="false">INDEX(Prioritization!$D:$D,MATCH($B27,Prioritization!$A:$A,0))</f>
        <v>1 - Scale-up: Saturation</v>
      </c>
      <c r="B27" s="0" t="s">
        <v>200</v>
      </c>
      <c r="C27" s="0" t="s">
        <v>366</v>
      </c>
      <c r="D27" s="0" t="s">
        <v>30</v>
      </c>
      <c r="E27" s="0" t="str">
        <f aca="false">B27&amp;"|"&amp;C27&amp;"|"&amp;D27</f>
        <v>Nkhotakota District [YCKiBAp8QAg]|25-34|Female</v>
      </c>
      <c r="F27" s="10"/>
      <c r="G27" s="10"/>
      <c r="H27" s="10" t="str">
        <f aca="false">IFERROR(1/(1/INDEX(Cascade!$O:$O,MATCH($E27,Cascade!$E:$E,0))),"")</f>
        <v/>
      </c>
      <c r="I27" s="10" t="str">
        <f aca="false">IFERROR(1/(1/INDEX(Cascade!$AV:$AV,MATCH($E27,Cascade!$E:$E,0))),"")</f>
        <v/>
      </c>
      <c r="J27" s="88"/>
      <c r="K27" s="88" t="n">
        <f aca="false">1/3</f>
        <v>0.333333333333333</v>
      </c>
      <c r="L27" s="88" t="n">
        <f aca="false">1</f>
        <v>1</v>
      </c>
      <c r="M27" s="39" t="str">
        <f aca="false">IF(SUM($H27)=0,"",ROUND($H27*$K27+$I27*$L27,0))</f>
        <v/>
      </c>
    </row>
    <row r="28" customFormat="false" ht="15" hidden="false" customHeight="false" outlineLevel="0" collapsed="false">
      <c r="A28" s="0" t="str">
        <f aca="false">INDEX(Prioritization!$D:$D,MATCH($B28,Prioritization!$A:$A,0))</f>
        <v>1 - Scale-up: Saturation</v>
      </c>
      <c r="B28" s="0" t="s">
        <v>200</v>
      </c>
      <c r="C28" s="0" t="s">
        <v>367</v>
      </c>
      <c r="D28" s="0" t="s">
        <v>30</v>
      </c>
      <c r="E28" s="0" t="str">
        <f aca="false">B28&amp;"|"&amp;C28&amp;"|"&amp;D28</f>
        <v>Nkhotakota District [YCKiBAp8QAg]|35-49|Female</v>
      </c>
      <c r="F28" s="10"/>
      <c r="G28" s="10"/>
      <c r="H28" s="10" t="str">
        <f aca="false">IFERROR(1/(1/INDEX(Cascade!$O:$O,MATCH($E28,Cascade!$E:$E,0))),"")</f>
        <v/>
      </c>
      <c r="I28" s="10" t="str">
        <f aca="false">IFERROR(1/(1/INDEX(Cascade!$AV:$AV,MATCH($E28,Cascade!$E:$E,0))),"")</f>
        <v/>
      </c>
      <c r="J28" s="88"/>
      <c r="K28" s="88" t="n">
        <f aca="false">1/3</f>
        <v>0.333333333333333</v>
      </c>
      <c r="L28" s="88" t="n">
        <f aca="false">1</f>
        <v>1</v>
      </c>
      <c r="M28" s="39" t="str">
        <f aca="false">IF(SUM($H28)=0,"",ROUND($H28*$K28+$I28*$L28,0))</f>
        <v/>
      </c>
    </row>
    <row r="29" customFormat="false" ht="15" hidden="false" customHeight="false" outlineLevel="0" collapsed="false">
      <c r="A29" s="0" t="str">
        <f aca="false">INDEX(Prioritization!$D:$D,MATCH($B29,Prioritization!$A:$A,0))</f>
        <v>INVALID</v>
      </c>
      <c r="B29" s="0" t="s">
        <v>201</v>
      </c>
      <c r="C29" s="0" t="s">
        <v>366</v>
      </c>
      <c r="D29" s="0" t="s">
        <v>30</v>
      </c>
      <c r="E29" s="0" t="str">
        <f aca="false">B29&amp;"|"&amp;C29&amp;"|"&amp;D29</f>
        <v>Ntcheu District [am530wpaGvr]|25-34|Female</v>
      </c>
      <c r="F29" s="10"/>
      <c r="G29" s="10"/>
      <c r="H29" s="10" t="str">
        <f aca="false">IFERROR(1/(1/INDEX(Cascade!$O:$O,MATCH($E29,Cascade!$E:$E,0))),"")</f>
        <v/>
      </c>
      <c r="I29" s="10" t="str">
        <f aca="false">IFERROR(1/(1/INDEX(Cascade!$AV:$AV,MATCH($E29,Cascade!$E:$E,0))),"")</f>
        <v/>
      </c>
      <c r="J29" s="88"/>
      <c r="K29" s="88" t="n">
        <f aca="false">1/3</f>
        <v>0.333333333333333</v>
      </c>
      <c r="L29" s="88" t="n">
        <f aca="false">1</f>
        <v>1</v>
      </c>
      <c r="M29" s="39" t="str">
        <f aca="false">IF(SUM($H29)=0,"",ROUND($H29*$K29+$I29*$L29,0))</f>
        <v/>
      </c>
    </row>
    <row r="30" customFormat="false" ht="15" hidden="false" customHeight="false" outlineLevel="0" collapsed="false">
      <c r="A30" s="0" t="str">
        <f aca="false">INDEX(Prioritization!$D:$D,MATCH($B30,Prioritization!$A:$A,0))</f>
        <v>INVALID</v>
      </c>
      <c r="B30" s="0" t="s">
        <v>201</v>
      </c>
      <c r="C30" s="0" t="s">
        <v>367</v>
      </c>
      <c r="D30" s="0" t="s">
        <v>30</v>
      </c>
      <c r="E30" s="0" t="str">
        <f aca="false">B30&amp;"|"&amp;C30&amp;"|"&amp;D30</f>
        <v>Ntcheu District [am530wpaGvr]|35-49|Female</v>
      </c>
      <c r="F30" s="10"/>
      <c r="G30" s="10"/>
      <c r="H30" s="10" t="str">
        <f aca="false">IFERROR(1/(1/INDEX(Cascade!$O:$O,MATCH($E30,Cascade!$E:$E,0))),"")</f>
        <v/>
      </c>
      <c r="I30" s="10" t="str">
        <f aca="false">IFERROR(1/(1/INDEX(Cascade!$AV:$AV,MATCH($E30,Cascade!$E:$E,0))),"")</f>
        <v/>
      </c>
      <c r="J30" s="88"/>
      <c r="K30" s="88" t="n">
        <f aca="false">1/3</f>
        <v>0.333333333333333</v>
      </c>
      <c r="L30" s="88" t="n">
        <f aca="false">1</f>
        <v>1</v>
      </c>
      <c r="M30" s="39" t="str">
        <f aca="false">IF(SUM($H30)=0,"",ROUND($H30*$K30+$I30*$L30,0))</f>
        <v/>
      </c>
    </row>
    <row r="31" customFormat="false" ht="15" hidden="false" customHeight="false" outlineLevel="0" collapsed="false">
      <c r="A31" s="0" t="str">
        <f aca="false">INDEX(Prioritization!$D:$D,MATCH($B31,Prioritization!$A:$A,0))</f>
        <v>INVALID</v>
      </c>
      <c r="B31" s="0" t="s">
        <v>202</v>
      </c>
      <c r="C31" s="0" t="s">
        <v>366</v>
      </c>
      <c r="D31" s="0" t="s">
        <v>30</v>
      </c>
      <c r="E31" s="0" t="str">
        <f aca="false">B31&amp;"|"&amp;C31&amp;"|"&amp;D31</f>
        <v>Ntchisi District [fiRkU6gEjLz]|25-34|Female</v>
      </c>
      <c r="F31" s="10"/>
      <c r="G31" s="10"/>
      <c r="H31" s="10" t="str">
        <f aca="false">IFERROR(1/(1/INDEX(Cascade!$O:$O,MATCH($E31,Cascade!$E:$E,0))),"")</f>
        <v/>
      </c>
      <c r="I31" s="10" t="str">
        <f aca="false">IFERROR(1/(1/INDEX(Cascade!$AV:$AV,MATCH($E31,Cascade!$E:$E,0))),"")</f>
        <v/>
      </c>
      <c r="J31" s="88"/>
      <c r="K31" s="88" t="n">
        <f aca="false">1/3</f>
        <v>0.333333333333333</v>
      </c>
      <c r="L31" s="88" t="n">
        <f aca="false">1</f>
        <v>1</v>
      </c>
      <c r="M31" s="39" t="str">
        <f aca="false">IF(SUM($H31)=0,"",ROUND($H31*$K31+$I31*$L31,0))</f>
        <v/>
      </c>
    </row>
    <row r="32" customFormat="false" ht="15" hidden="false" customHeight="false" outlineLevel="0" collapsed="false">
      <c r="A32" s="0" t="str">
        <f aca="false">INDEX(Prioritization!$D:$D,MATCH($B32,Prioritization!$A:$A,0))</f>
        <v>INVALID</v>
      </c>
      <c r="B32" s="0" t="s">
        <v>202</v>
      </c>
      <c r="C32" s="0" t="s">
        <v>367</v>
      </c>
      <c r="D32" s="0" t="s">
        <v>30</v>
      </c>
      <c r="E32" s="0" t="str">
        <f aca="false">B32&amp;"|"&amp;C32&amp;"|"&amp;D32</f>
        <v>Ntchisi District [fiRkU6gEjLz]|35-49|Female</v>
      </c>
      <c r="F32" s="10"/>
      <c r="G32" s="10"/>
      <c r="H32" s="10" t="str">
        <f aca="false">IFERROR(1/(1/INDEX(Cascade!$O:$O,MATCH($E32,Cascade!$E:$E,0))),"")</f>
        <v/>
      </c>
      <c r="I32" s="10" t="str">
        <f aca="false">IFERROR(1/(1/INDEX(Cascade!$AV:$AV,MATCH($E32,Cascade!$E:$E,0))),"")</f>
        <v/>
      </c>
      <c r="J32" s="88"/>
      <c r="K32" s="88" t="n">
        <f aca="false">1/3</f>
        <v>0.333333333333333</v>
      </c>
      <c r="L32" s="88" t="n">
        <f aca="false">1</f>
        <v>1</v>
      </c>
      <c r="M32" s="39" t="str">
        <f aca="false">IF(SUM($H32)=0,"",ROUND($H32*$K32+$I32*$L32,0))</f>
        <v/>
      </c>
    </row>
    <row r="33" customFormat="false" ht="15" hidden="false" customHeight="false" outlineLevel="0" collapsed="false">
      <c r="A33" s="0" t="str">
        <f aca="false">INDEX(Prioritization!$D:$D,MATCH($B33,Prioritization!$A:$A,0))</f>
        <v>INVALID</v>
      </c>
      <c r="B33" s="0" t="s">
        <v>203</v>
      </c>
      <c r="C33" s="0" t="s">
        <v>366</v>
      </c>
      <c r="D33" s="0" t="s">
        <v>30</v>
      </c>
      <c r="E33" s="0" t="str">
        <f aca="false">B33&amp;"|"&amp;C33&amp;"|"&amp;D33</f>
        <v>Salima District [msW2zpIN7up]|25-34|Female</v>
      </c>
      <c r="F33" s="10"/>
      <c r="G33" s="10"/>
      <c r="H33" s="10" t="str">
        <f aca="false">IFERROR(1/(1/INDEX(Cascade!$O:$O,MATCH($E33,Cascade!$E:$E,0))),"")</f>
        <v/>
      </c>
      <c r="I33" s="10" t="str">
        <f aca="false">IFERROR(1/(1/INDEX(Cascade!$AV:$AV,MATCH($E33,Cascade!$E:$E,0))),"")</f>
        <v/>
      </c>
      <c r="J33" s="88"/>
      <c r="K33" s="88" t="n">
        <f aca="false">1/3</f>
        <v>0.333333333333333</v>
      </c>
      <c r="L33" s="88" t="n">
        <f aca="false">1</f>
        <v>1</v>
      </c>
      <c r="M33" s="39" t="str">
        <f aca="false">IF(SUM($H33)=0,"",ROUND($H33*$K33+$I33*$L33,0))</f>
        <v/>
      </c>
    </row>
    <row r="34" customFormat="false" ht="15" hidden="false" customHeight="false" outlineLevel="0" collapsed="false">
      <c r="A34" s="0" t="str">
        <f aca="false">INDEX(Prioritization!$D:$D,MATCH($B34,Prioritization!$A:$A,0))</f>
        <v>INVALID</v>
      </c>
      <c r="B34" s="0" t="s">
        <v>203</v>
      </c>
      <c r="C34" s="0" t="s">
        <v>367</v>
      </c>
      <c r="D34" s="0" t="s">
        <v>30</v>
      </c>
      <c r="E34" s="0" t="str">
        <f aca="false">B34&amp;"|"&amp;C34&amp;"|"&amp;D34</f>
        <v>Salima District [msW2zpIN7up]|35-49|Female</v>
      </c>
      <c r="F34" s="10"/>
      <c r="G34" s="10"/>
      <c r="H34" s="10" t="str">
        <f aca="false">IFERROR(1/(1/INDEX(Cascade!$O:$O,MATCH($E34,Cascade!$E:$E,0))),"")</f>
        <v/>
      </c>
      <c r="I34" s="10" t="str">
        <f aca="false">IFERROR(1/(1/INDEX(Cascade!$AV:$AV,MATCH($E34,Cascade!$E:$E,0))),"")</f>
        <v/>
      </c>
      <c r="J34" s="88"/>
      <c r="K34" s="88" t="n">
        <f aca="false">1/3</f>
        <v>0.333333333333333</v>
      </c>
      <c r="L34" s="88" t="n">
        <f aca="false">1</f>
        <v>1</v>
      </c>
      <c r="M34" s="39" t="str">
        <f aca="false">IF(SUM($H34)=0,"",ROUND($H34*$K34+$I34*$L34,0))</f>
        <v/>
      </c>
    </row>
    <row r="35" customFormat="false" ht="15" hidden="false" customHeight="false" outlineLevel="0" collapsed="false">
      <c r="A35" s="0" t="str">
        <f aca="false">INDEX(Prioritization!$D:$D,MATCH($B35,Prioritization!$A:$A,0))</f>
        <v>1 - Scale-up: Saturation</v>
      </c>
      <c r="B35" s="0" t="s">
        <v>204</v>
      </c>
      <c r="C35" s="0" t="s">
        <v>366</v>
      </c>
      <c r="D35" s="0" t="s">
        <v>30</v>
      </c>
      <c r="E35" s="0" t="str">
        <f aca="false">B35&amp;"|"&amp;C35&amp;"|"&amp;D35</f>
        <v>Chitipa District [GkIwZrXy1h2]|25-34|Female</v>
      </c>
      <c r="F35" s="10"/>
      <c r="G35" s="10"/>
      <c r="H35" s="10" t="str">
        <f aca="false">IFERROR(1/(1/INDEX(Cascade!$O:$O,MATCH($E35,Cascade!$E:$E,0))),"")</f>
        <v/>
      </c>
      <c r="I35" s="10" t="str">
        <f aca="false">IFERROR(1/(1/INDEX(Cascade!$AV:$AV,MATCH($E35,Cascade!$E:$E,0))),"")</f>
        <v/>
      </c>
      <c r="J35" s="88"/>
      <c r="K35" s="88" t="n">
        <f aca="false">1/3</f>
        <v>0.333333333333333</v>
      </c>
      <c r="L35" s="88" t="n">
        <f aca="false">1</f>
        <v>1</v>
      </c>
      <c r="M35" s="39" t="str">
        <f aca="false">IF(SUM($H35)=0,"",ROUND($H35*$K35+$I35*$L35,0))</f>
        <v/>
      </c>
    </row>
    <row r="36" customFormat="false" ht="15" hidden="false" customHeight="false" outlineLevel="0" collapsed="false">
      <c r="A36" s="0" t="str">
        <f aca="false">INDEX(Prioritization!$D:$D,MATCH($B36,Prioritization!$A:$A,0))</f>
        <v>1 - Scale-up: Saturation</v>
      </c>
      <c r="B36" s="0" t="s">
        <v>204</v>
      </c>
      <c r="C36" s="0" t="s">
        <v>367</v>
      </c>
      <c r="D36" s="0" t="s">
        <v>30</v>
      </c>
      <c r="E36" s="0" t="str">
        <f aca="false">B36&amp;"|"&amp;C36&amp;"|"&amp;D36</f>
        <v>Chitipa District [GkIwZrXy1h2]|35-49|Female</v>
      </c>
      <c r="F36" s="10"/>
      <c r="G36" s="10"/>
      <c r="H36" s="10" t="str">
        <f aca="false">IFERROR(1/(1/INDEX(Cascade!$O:$O,MATCH($E36,Cascade!$E:$E,0))),"")</f>
        <v/>
      </c>
      <c r="I36" s="10" t="str">
        <f aca="false">IFERROR(1/(1/INDEX(Cascade!$AV:$AV,MATCH($E36,Cascade!$E:$E,0))),"")</f>
        <v/>
      </c>
      <c r="J36" s="88"/>
      <c r="K36" s="88" t="n">
        <f aca="false">1/3</f>
        <v>0.333333333333333</v>
      </c>
      <c r="L36" s="88" t="n">
        <f aca="false">1</f>
        <v>1</v>
      </c>
      <c r="M36" s="39" t="str">
        <f aca="false">IF(SUM($H36)=0,"",ROUND($H36*$K36+$I36*$L36,0))</f>
        <v/>
      </c>
    </row>
    <row r="37" customFormat="false" ht="15" hidden="false" customHeight="false" outlineLevel="0" collapsed="false">
      <c r="A37" s="0" t="str">
        <f aca="false">INDEX(Prioritization!$D:$D,MATCH($B37,Prioritization!$A:$A,0))</f>
        <v>INVALID</v>
      </c>
      <c r="B37" s="0" t="s">
        <v>205</v>
      </c>
      <c r="C37" s="0" t="s">
        <v>366</v>
      </c>
      <c r="D37" s="0" t="s">
        <v>30</v>
      </c>
      <c r="E37" s="0" t="str">
        <f aca="false">B37&amp;"|"&amp;C37&amp;"|"&amp;D37</f>
        <v>Karonga District [cPtvxaZqXIH]|25-34|Female</v>
      </c>
      <c r="F37" s="10"/>
      <c r="G37" s="10"/>
      <c r="H37" s="10" t="str">
        <f aca="false">IFERROR(1/(1/INDEX(Cascade!$O:$O,MATCH($E37,Cascade!$E:$E,0))),"")</f>
        <v/>
      </c>
      <c r="I37" s="10" t="str">
        <f aca="false">IFERROR(1/(1/INDEX(Cascade!$AV:$AV,MATCH($E37,Cascade!$E:$E,0))),"")</f>
        <v/>
      </c>
      <c r="J37" s="88"/>
      <c r="K37" s="88" t="n">
        <f aca="false">1/3</f>
        <v>0.333333333333333</v>
      </c>
      <c r="L37" s="88" t="n">
        <f aca="false">1</f>
        <v>1</v>
      </c>
      <c r="M37" s="39" t="str">
        <f aca="false">IF(SUM($H37)=0,"",ROUND($H37*$K37+$I37*$L37,0))</f>
        <v/>
      </c>
    </row>
    <row r="38" customFormat="false" ht="15" hidden="false" customHeight="false" outlineLevel="0" collapsed="false">
      <c r="A38" s="0" t="str">
        <f aca="false">INDEX(Prioritization!$D:$D,MATCH($B38,Prioritization!$A:$A,0))</f>
        <v>INVALID</v>
      </c>
      <c r="B38" s="0" t="s">
        <v>205</v>
      </c>
      <c r="C38" s="0" t="s">
        <v>367</v>
      </c>
      <c r="D38" s="0" t="s">
        <v>30</v>
      </c>
      <c r="E38" s="0" t="str">
        <f aca="false">B38&amp;"|"&amp;C38&amp;"|"&amp;D38</f>
        <v>Karonga District [cPtvxaZqXIH]|35-49|Female</v>
      </c>
      <c r="F38" s="10"/>
      <c r="G38" s="10"/>
      <c r="H38" s="10" t="str">
        <f aca="false">IFERROR(1/(1/INDEX(Cascade!$O:$O,MATCH($E38,Cascade!$E:$E,0))),"")</f>
        <v/>
      </c>
      <c r="I38" s="10" t="str">
        <f aca="false">IFERROR(1/(1/INDEX(Cascade!$AV:$AV,MATCH($E38,Cascade!$E:$E,0))),"")</f>
        <v/>
      </c>
      <c r="J38" s="88"/>
      <c r="K38" s="88" t="n">
        <f aca="false">1/3</f>
        <v>0.333333333333333</v>
      </c>
      <c r="L38" s="88" t="n">
        <f aca="false">1</f>
        <v>1</v>
      </c>
      <c r="M38" s="39" t="str">
        <f aca="false">IF(SUM($H38)=0,"",ROUND($H38*$K38+$I38*$L38,0))</f>
        <v/>
      </c>
    </row>
    <row r="39" customFormat="false" ht="15" hidden="false" customHeight="false" outlineLevel="0" collapsed="false">
      <c r="A39" s="0" t="str">
        <f aca="false">INDEX(Prioritization!$D:$D,MATCH($B39,Prioritization!$A:$A,0))</f>
        <v>INVALID</v>
      </c>
      <c r="B39" s="0" t="s">
        <v>206</v>
      </c>
      <c r="C39" s="0" t="s">
        <v>366</v>
      </c>
      <c r="D39" s="0" t="s">
        <v>30</v>
      </c>
      <c r="E39" s="0" t="str">
        <f aca="false">B39&amp;"|"&amp;C39&amp;"|"&amp;D39</f>
        <v>Likoma District [ZCjuwgaMB9u]|25-34|Female</v>
      </c>
      <c r="F39" s="10"/>
      <c r="G39" s="10"/>
      <c r="H39" s="10" t="str">
        <f aca="false">IFERROR(1/(1/INDEX(Cascade!$O:$O,MATCH($E39,Cascade!$E:$E,0))),"")</f>
        <v/>
      </c>
      <c r="I39" s="10" t="str">
        <f aca="false">IFERROR(1/(1/INDEX(Cascade!$AV:$AV,MATCH($E39,Cascade!$E:$E,0))),"")</f>
        <v/>
      </c>
      <c r="J39" s="88"/>
      <c r="K39" s="88" t="n">
        <f aca="false">1/3</f>
        <v>0.333333333333333</v>
      </c>
      <c r="L39" s="88" t="n">
        <f aca="false">1</f>
        <v>1</v>
      </c>
      <c r="M39" s="39" t="str">
        <f aca="false">IF(SUM($H39)=0,"",ROUND($H39*$K39+$I39*$L39,0))</f>
        <v/>
      </c>
    </row>
    <row r="40" customFormat="false" ht="15" hidden="false" customHeight="false" outlineLevel="0" collapsed="false">
      <c r="A40" s="0" t="str">
        <f aca="false">INDEX(Prioritization!$D:$D,MATCH($B40,Prioritization!$A:$A,0))</f>
        <v>INVALID</v>
      </c>
      <c r="B40" s="0" t="s">
        <v>206</v>
      </c>
      <c r="C40" s="0" t="s">
        <v>367</v>
      </c>
      <c r="D40" s="0" t="s">
        <v>30</v>
      </c>
      <c r="E40" s="0" t="str">
        <f aca="false">B40&amp;"|"&amp;C40&amp;"|"&amp;D40</f>
        <v>Likoma District [ZCjuwgaMB9u]|35-49|Female</v>
      </c>
      <c r="F40" s="10"/>
      <c r="G40" s="10"/>
      <c r="H40" s="10" t="str">
        <f aca="false">IFERROR(1/(1/INDEX(Cascade!$O:$O,MATCH($E40,Cascade!$E:$E,0))),"")</f>
        <v/>
      </c>
      <c r="I40" s="10" t="str">
        <f aca="false">IFERROR(1/(1/INDEX(Cascade!$AV:$AV,MATCH($E40,Cascade!$E:$E,0))),"")</f>
        <v/>
      </c>
      <c r="J40" s="88"/>
      <c r="K40" s="88" t="n">
        <f aca="false">1/3</f>
        <v>0.333333333333333</v>
      </c>
      <c r="L40" s="88" t="n">
        <f aca="false">1</f>
        <v>1</v>
      </c>
      <c r="M40" s="39" t="str">
        <f aca="false">IF(SUM($H40)=0,"",ROUND($H40*$K40+$I40*$L40,0))</f>
        <v/>
      </c>
    </row>
    <row r="41" customFormat="false" ht="15" hidden="false" customHeight="false" outlineLevel="0" collapsed="false">
      <c r="A41" s="0" t="str">
        <f aca="false">INDEX(Prioritization!$D:$D,MATCH($B41,Prioritization!$A:$A,0))</f>
        <v>1 - Scale-up: Saturation</v>
      </c>
      <c r="B41" s="0" t="s">
        <v>207</v>
      </c>
      <c r="C41" s="0" t="s">
        <v>366</v>
      </c>
      <c r="D41" s="0" t="s">
        <v>30</v>
      </c>
      <c r="E41" s="0" t="str">
        <f aca="false">B41&amp;"|"&amp;C41&amp;"|"&amp;D41</f>
        <v>Mzimba District [vA4NcHxfMBq]|25-34|Female</v>
      </c>
      <c r="F41" s="10"/>
      <c r="G41" s="10"/>
      <c r="H41" s="10" t="str">
        <f aca="false">IFERROR(1/(1/INDEX(Cascade!$O:$O,MATCH($E41,Cascade!$E:$E,0))),"")</f>
        <v/>
      </c>
      <c r="I41" s="10" t="str">
        <f aca="false">IFERROR(1/(1/INDEX(Cascade!$AV:$AV,MATCH($E41,Cascade!$E:$E,0))),"")</f>
        <v/>
      </c>
      <c r="J41" s="88"/>
      <c r="K41" s="88" t="n">
        <f aca="false">1/3</f>
        <v>0.333333333333333</v>
      </c>
      <c r="L41" s="88" t="n">
        <f aca="false">1</f>
        <v>1</v>
      </c>
      <c r="M41" s="39" t="str">
        <f aca="false">IF(SUM($H41)=0,"",ROUND($H41*$K41+$I41*$L41,0))</f>
        <v/>
      </c>
    </row>
    <row r="42" customFormat="false" ht="15" hidden="false" customHeight="false" outlineLevel="0" collapsed="false">
      <c r="A42" s="0" t="str">
        <f aca="false">INDEX(Prioritization!$D:$D,MATCH($B42,Prioritization!$A:$A,0))</f>
        <v>1 - Scale-up: Saturation</v>
      </c>
      <c r="B42" s="0" t="s">
        <v>207</v>
      </c>
      <c r="C42" s="0" t="s">
        <v>367</v>
      </c>
      <c r="D42" s="0" t="s">
        <v>30</v>
      </c>
      <c r="E42" s="0" t="str">
        <f aca="false">B42&amp;"|"&amp;C42&amp;"|"&amp;D42</f>
        <v>Mzimba District [vA4NcHxfMBq]|35-49|Female</v>
      </c>
      <c r="F42" s="10"/>
      <c r="G42" s="10"/>
      <c r="H42" s="10" t="str">
        <f aca="false">IFERROR(1/(1/INDEX(Cascade!$O:$O,MATCH($E42,Cascade!$E:$E,0))),"")</f>
        <v/>
      </c>
      <c r="I42" s="10" t="str">
        <f aca="false">IFERROR(1/(1/INDEX(Cascade!$AV:$AV,MATCH($E42,Cascade!$E:$E,0))),"")</f>
        <v/>
      </c>
      <c r="J42" s="88"/>
      <c r="K42" s="88" t="n">
        <f aca="false">1/3</f>
        <v>0.333333333333333</v>
      </c>
      <c r="L42" s="88" t="n">
        <f aca="false">1</f>
        <v>1</v>
      </c>
      <c r="M42" s="39" t="str">
        <f aca="false">IF(SUM($H42)=0,"",ROUND($H42*$K42+$I42*$L42,0))</f>
        <v/>
      </c>
    </row>
    <row r="43" customFormat="false" ht="15" hidden="false" customHeight="false" outlineLevel="0" collapsed="false">
      <c r="A43" s="0" t="str">
        <f aca="false">INDEX(Prioritization!$D:$D,MATCH($B43,Prioritization!$A:$A,0))</f>
        <v>INVALID</v>
      </c>
      <c r="B43" s="0" t="s">
        <v>208</v>
      </c>
      <c r="C43" s="0" t="s">
        <v>366</v>
      </c>
      <c r="D43" s="0" t="s">
        <v>30</v>
      </c>
      <c r="E43" s="0" t="str">
        <f aca="false">B43&amp;"|"&amp;C43&amp;"|"&amp;D43</f>
        <v>Nkhata Bay District [E7zpfyBt7Tw]|25-34|Female</v>
      </c>
      <c r="F43" s="10"/>
      <c r="G43" s="10"/>
      <c r="H43" s="10" t="str">
        <f aca="false">IFERROR(1/(1/INDEX(Cascade!$O:$O,MATCH($E43,Cascade!$E:$E,0))),"")</f>
        <v/>
      </c>
      <c r="I43" s="10" t="str">
        <f aca="false">IFERROR(1/(1/INDEX(Cascade!$AV:$AV,MATCH($E43,Cascade!$E:$E,0))),"")</f>
        <v/>
      </c>
      <c r="J43" s="88"/>
      <c r="K43" s="88" t="n">
        <f aca="false">1/3</f>
        <v>0.333333333333333</v>
      </c>
      <c r="L43" s="88" t="n">
        <f aca="false">1</f>
        <v>1</v>
      </c>
      <c r="M43" s="39" t="str">
        <f aca="false">IF(SUM($H43)=0,"",ROUND($H43*$K43+$I43*$L43,0))</f>
        <v/>
      </c>
    </row>
    <row r="44" customFormat="false" ht="15" hidden="false" customHeight="false" outlineLevel="0" collapsed="false">
      <c r="A44" s="0" t="str">
        <f aca="false">INDEX(Prioritization!$D:$D,MATCH($B44,Prioritization!$A:$A,0))</f>
        <v>INVALID</v>
      </c>
      <c r="B44" s="0" t="s">
        <v>208</v>
      </c>
      <c r="C44" s="0" t="s">
        <v>367</v>
      </c>
      <c r="D44" s="0" t="s">
        <v>30</v>
      </c>
      <c r="E44" s="0" t="str">
        <f aca="false">B44&amp;"|"&amp;C44&amp;"|"&amp;D44</f>
        <v>Nkhata Bay District [E7zpfyBt7Tw]|35-49|Female</v>
      </c>
      <c r="F44" s="10"/>
      <c r="G44" s="10"/>
      <c r="H44" s="10" t="str">
        <f aca="false">IFERROR(1/(1/INDEX(Cascade!$O:$O,MATCH($E44,Cascade!$E:$E,0))),"")</f>
        <v/>
      </c>
      <c r="I44" s="10" t="str">
        <f aca="false">IFERROR(1/(1/INDEX(Cascade!$AV:$AV,MATCH($E44,Cascade!$E:$E,0))),"")</f>
        <v/>
      </c>
      <c r="J44" s="88"/>
      <c r="K44" s="88" t="n">
        <f aca="false">1/3</f>
        <v>0.333333333333333</v>
      </c>
      <c r="L44" s="88" t="n">
        <f aca="false">1</f>
        <v>1</v>
      </c>
      <c r="M44" s="39" t="str">
        <f aca="false">IF(SUM($H44)=0,"",ROUND($H44*$K44+$I44*$L44,0))</f>
        <v/>
      </c>
    </row>
    <row r="45" customFormat="false" ht="15" hidden="false" customHeight="false" outlineLevel="0" collapsed="false">
      <c r="A45" s="0" t="str">
        <f aca="false">INDEX(Prioritization!$D:$D,MATCH($B45,Prioritization!$A:$A,0))</f>
        <v>INVALID</v>
      </c>
      <c r="B45" s="0" t="s">
        <v>209</v>
      </c>
      <c r="C45" s="0" t="s">
        <v>366</v>
      </c>
      <c r="D45" s="0" t="s">
        <v>30</v>
      </c>
      <c r="E45" s="0" t="str">
        <f aca="false">B45&amp;"|"&amp;C45&amp;"|"&amp;D45</f>
        <v>Rumphi District [lPTyjLi4w3d]|25-34|Female</v>
      </c>
      <c r="F45" s="10"/>
      <c r="G45" s="10"/>
      <c r="H45" s="10" t="str">
        <f aca="false">IFERROR(1/(1/INDEX(Cascade!$O:$O,MATCH($E45,Cascade!$E:$E,0))),"")</f>
        <v/>
      </c>
      <c r="I45" s="10" t="str">
        <f aca="false">IFERROR(1/(1/INDEX(Cascade!$AV:$AV,MATCH($E45,Cascade!$E:$E,0))),"")</f>
        <v/>
      </c>
      <c r="J45" s="88"/>
      <c r="K45" s="88" t="n">
        <f aca="false">1/3</f>
        <v>0.333333333333333</v>
      </c>
      <c r="L45" s="88" t="n">
        <f aca="false">1</f>
        <v>1</v>
      </c>
      <c r="M45" s="39" t="str">
        <f aca="false">IF(SUM($H45)=0,"",ROUND($H45*$K45+$I45*$L45,0))</f>
        <v/>
      </c>
    </row>
    <row r="46" customFormat="false" ht="15" hidden="false" customHeight="false" outlineLevel="0" collapsed="false">
      <c r="A46" s="0" t="str">
        <f aca="false">INDEX(Prioritization!$D:$D,MATCH($B46,Prioritization!$A:$A,0))</f>
        <v>INVALID</v>
      </c>
      <c r="B46" s="0" t="s">
        <v>209</v>
      </c>
      <c r="C46" s="0" t="s">
        <v>367</v>
      </c>
      <c r="D46" s="0" t="s">
        <v>30</v>
      </c>
      <c r="E46" s="0" t="str">
        <f aca="false">B46&amp;"|"&amp;C46&amp;"|"&amp;D46</f>
        <v>Rumphi District [lPTyjLi4w3d]|35-49|Female</v>
      </c>
      <c r="F46" s="10"/>
      <c r="G46" s="10"/>
      <c r="H46" s="10" t="str">
        <f aca="false">IFERROR(1/(1/INDEX(Cascade!$O:$O,MATCH($E46,Cascade!$E:$E,0))),"")</f>
        <v/>
      </c>
      <c r="I46" s="10" t="str">
        <f aca="false">IFERROR(1/(1/INDEX(Cascade!$AV:$AV,MATCH($E46,Cascade!$E:$E,0))),"")</f>
        <v/>
      </c>
      <c r="J46" s="88"/>
      <c r="K46" s="88" t="n">
        <f aca="false">1/3</f>
        <v>0.333333333333333</v>
      </c>
      <c r="L46" s="88" t="n">
        <f aca="false">1</f>
        <v>1</v>
      </c>
      <c r="M46" s="39" t="str">
        <f aca="false">IF(SUM($H46)=0,"",ROUND($H46*$K46+$I46*$L46,0))</f>
        <v/>
      </c>
    </row>
    <row r="47" customFormat="false" ht="15" hidden="false" customHeight="false" outlineLevel="0" collapsed="false">
      <c r="A47" s="0" t="str">
        <f aca="false">INDEX(Prioritization!$D:$D,MATCH($B47,Prioritization!$A:$A,0))</f>
        <v>1 - Scale-up: Saturation</v>
      </c>
      <c r="B47" s="0" t="s">
        <v>210</v>
      </c>
      <c r="C47" s="0" t="s">
        <v>366</v>
      </c>
      <c r="D47" s="0" t="s">
        <v>30</v>
      </c>
      <c r="E47" s="0" t="str">
        <f aca="false">B47&amp;"|"&amp;C47&amp;"|"&amp;D47</f>
        <v>Balaka District [ir8wuHHzoSs]|25-34|Female</v>
      </c>
      <c r="F47" s="10"/>
      <c r="G47" s="10"/>
      <c r="H47" s="10" t="str">
        <f aca="false">IFERROR(1/(1/INDEX(Cascade!$O:$O,MATCH($E47,Cascade!$E:$E,0))),"")</f>
        <v/>
      </c>
      <c r="I47" s="10" t="str">
        <f aca="false">IFERROR(1/(1/INDEX(Cascade!$AV:$AV,MATCH($E47,Cascade!$E:$E,0))),"")</f>
        <v/>
      </c>
      <c r="J47" s="88"/>
      <c r="K47" s="88" t="n">
        <f aca="false">1/3</f>
        <v>0.333333333333333</v>
      </c>
      <c r="L47" s="88" t="n">
        <f aca="false">1</f>
        <v>1</v>
      </c>
      <c r="M47" s="39" t="str">
        <f aca="false">IF(SUM($H47)=0,"",ROUND($H47*$K47+$I47*$L47,0))</f>
        <v/>
      </c>
    </row>
    <row r="48" customFormat="false" ht="15" hidden="false" customHeight="false" outlineLevel="0" collapsed="false">
      <c r="A48" s="0" t="str">
        <f aca="false">INDEX(Prioritization!$D:$D,MATCH($B48,Prioritization!$A:$A,0))</f>
        <v>1 - Scale-up: Saturation</v>
      </c>
      <c r="B48" s="0" t="s">
        <v>210</v>
      </c>
      <c r="C48" s="0" t="s">
        <v>367</v>
      </c>
      <c r="D48" s="0" t="s">
        <v>30</v>
      </c>
      <c r="E48" s="0" t="str">
        <f aca="false">B48&amp;"|"&amp;C48&amp;"|"&amp;D48</f>
        <v>Balaka District [ir8wuHHzoSs]|35-49|Female</v>
      </c>
      <c r="F48" s="10"/>
      <c r="G48" s="10"/>
      <c r="H48" s="10" t="str">
        <f aca="false">IFERROR(1/(1/INDEX(Cascade!$O:$O,MATCH($E48,Cascade!$E:$E,0))),"")</f>
        <v/>
      </c>
      <c r="I48" s="10" t="str">
        <f aca="false">IFERROR(1/(1/INDEX(Cascade!$AV:$AV,MATCH($E48,Cascade!$E:$E,0))),"")</f>
        <v/>
      </c>
      <c r="J48" s="88"/>
      <c r="K48" s="88" t="n">
        <f aca="false">1/3</f>
        <v>0.333333333333333</v>
      </c>
      <c r="L48" s="88" t="n">
        <f aca="false">1</f>
        <v>1</v>
      </c>
      <c r="M48" s="39" t="str">
        <f aca="false">IF(SUM($H48)=0,"",ROUND($H48*$K48+$I48*$L48,0))</f>
        <v/>
      </c>
    </row>
    <row r="49" customFormat="false" ht="15" hidden="false" customHeight="false" outlineLevel="0" collapsed="false">
      <c r="A49" s="0" t="str">
        <f aca="false">INDEX(Prioritization!$D:$D,MATCH($B49,Prioritization!$A:$A,0))</f>
        <v>1 - Scale-up: Saturation</v>
      </c>
      <c r="B49" s="0" t="s">
        <v>211</v>
      </c>
      <c r="C49" s="0" t="s">
        <v>366</v>
      </c>
      <c r="D49" s="0" t="s">
        <v>30</v>
      </c>
      <c r="E49" s="0" t="str">
        <f aca="false">B49&amp;"|"&amp;C49&amp;"|"&amp;D49</f>
        <v>Blantyre District [mxqa3CDFmIT]|25-34|Female</v>
      </c>
      <c r="F49" s="10"/>
      <c r="G49" s="10"/>
      <c r="H49" s="10" t="str">
        <f aca="false">IFERROR(1/(1/INDEX(Cascade!$O:$O,MATCH($E49,Cascade!$E:$E,0))),"")</f>
        <v/>
      </c>
      <c r="I49" s="10" t="str">
        <f aca="false">IFERROR(1/(1/INDEX(Cascade!$AV:$AV,MATCH($E49,Cascade!$E:$E,0))),"")</f>
        <v/>
      </c>
      <c r="J49" s="88"/>
      <c r="K49" s="88" t="n">
        <f aca="false">1/3</f>
        <v>0.333333333333333</v>
      </c>
      <c r="L49" s="88" t="n">
        <f aca="false">1</f>
        <v>1</v>
      </c>
      <c r="M49" s="39" t="str">
        <f aca="false">IF(SUM($H49)=0,"",ROUND($H49*$K49+$I49*$L49,0))</f>
        <v/>
      </c>
    </row>
    <row r="50" customFormat="false" ht="15" hidden="false" customHeight="false" outlineLevel="0" collapsed="false">
      <c r="A50" s="0" t="str">
        <f aca="false">INDEX(Prioritization!$D:$D,MATCH($B50,Prioritization!$A:$A,0))</f>
        <v>1 - Scale-up: Saturation</v>
      </c>
      <c r="B50" s="0" t="s">
        <v>211</v>
      </c>
      <c r="C50" s="0" t="s">
        <v>367</v>
      </c>
      <c r="D50" s="0" t="s">
        <v>30</v>
      </c>
      <c r="E50" s="0" t="str">
        <f aca="false">B50&amp;"|"&amp;C50&amp;"|"&amp;D50</f>
        <v>Blantyre District [mxqa3CDFmIT]|35-49|Female</v>
      </c>
      <c r="F50" s="10"/>
      <c r="G50" s="10"/>
      <c r="H50" s="10" t="str">
        <f aca="false">IFERROR(1/(1/INDEX(Cascade!$O:$O,MATCH($E50,Cascade!$E:$E,0))),"")</f>
        <v/>
      </c>
      <c r="I50" s="10" t="str">
        <f aca="false">IFERROR(1/(1/INDEX(Cascade!$AV:$AV,MATCH($E50,Cascade!$E:$E,0))),"")</f>
        <v/>
      </c>
      <c r="J50" s="88"/>
      <c r="K50" s="88" t="n">
        <f aca="false">1/3</f>
        <v>0.333333333333333</v>
      </c>
      <c r="L50" s="88" t="n">
        <f aca="false">1</f>
        <v>1</v>
      </c>
      <c r="M50" s="39" t="str">
        <f aca="false">IF(SUM($H50)=0,"",ROUND($H50*$K50+$I50*$L50,0))</f>
        <v/>
      </c>
    </row>
    <row r="51" customFormat="false" ht="15" hidden="false" customHeight="false" outlineLevel="0" collapsed="false">
      <c r="A51" s="0" t="str">
        <f aca="false">INDEX(Prioritization!$D:$D,MATCH($B51,Prioritization!$A:$A,0))</f>
        <v>1 - Scale-up: Saturation</v>
      </c>
      <c r="B51" s="0" t="s">
        <v>212</v>
      </c>
      <c r="C51" s="0" t="s">
        <v>366</v>
      </c>
      <c r="D51" s="0" t="s">
        <v>30</v>
      </c>
      <c r="E51" s="0" t="str">
        <f aca="false">B51&amp;"|"&amp;C51&amp;"|"&amp;D51</f>
        <v>Chikwawa District [U8c0so51kT6]|25-34|Female</v>
      </c>
      <c r="F51" s="10"/>
      <c r="G51" s="10"/>
      <c r="H51" s="10" t="str">
        <f aca="false">IFERROR(1/(1/INDEX(Cascade!$O:$O,MATCH($E51,Cascade!$E:$E,0))),"")</f>
        <v/>
      </c>
      <c r="I51" s="10" t="str">
        <f aca="false">IFERROR(1/(1/INDEX(Cascade!$AV:$AV,MATCH($E51,Cascade!$E:$E,0))),"")</f>
        <v/>
      </c>
      <c r="J51" s="88"/>
      <c r="K51" s="88" t="n">
        <f aca="false">1/3</f>
        <v>0.333333333333333</v>
      </c>
      <c r="L51" s="88" t="n">
        <f aca="false">1</f>
        <v>1</v>
      </c>
      <c r="M51" s="39" t="str">
        <f aca="false">IF(SUM($H51)=0,"",ROUND($H51*$K51+$I51*$L51,0))</f>
        <v/>
      </c>
    </row>
    <row r="52" customFormat="false" ht="15" hidden="false" customHeight="false" outlineLevel="0" collapsed="false">
      <c r="A52" s="0" t="str">
        <f aca="false">INDEX(Prioritization!$D:$D,MATCH($B52,Prioritization!$A:$A,0))</f>
        <v>1 - Scale-up: Saturation</v>
      </c>
      <c r="B52" s="0" t="s">
        <v>212</v>
      </c>
      <c r="C52" s="0" t="s">
        <v>367</v>
      </c>
      <c r="D52" s="0" t="s">
        <v>30</v>
      </c>
      <c r="E52" s="0" t="str">
        <f aca="false">B52&amp;"|"&amp;C52&amp;"|"&amp;D52</f>
        <v>Chikwawa District [U8c0so51kT6]|35-49|Female</v>
      </c>
      <c r="F52" s="10"/>
      <c r="G52" s="10"/>
      <c r="H52" s="10" t="str">
        <f aca="false">IFERROR(1/(1/INDEX(Cascade!$O:$O,MATCH($E52,Cascade!$E:$E,0))),"")</f>
        <v/>
      </c>
      <c r="I52" s="10" t="str">
        <f aca="false">IFERROR(1/(1/INDEX(Cascade!$AV:$AV,MATCH($E52,Cascade!$E:$E,0))),"")</f>
        <v/>
      </c>
      <c r="J52" s="88"/>
      <c r="K52" s="88" t="n">
        <f aca="false">1/3</f>
        <v>0.333333333333333</v>
      </c>
      <c r="L52" s="88" t="n">
        <f aca="false">1</f>
        <v>1</v>
      </c>
      <c r="M52" s="39" t="str">
        <f aca="false">IF(SUM($H52)=0,"",ROUND($H52*$K52+$I52*$L52,0))</f>
        <v/>
      </c>
    </row>
    <row r="53" customFormat="false" ht="15" hidden="false" customHeight="false" outlineLevel="0" collapsed="false">
      <c r="A53" s="0" t="str">
        <f aca="false">INDEX(Prioritization!$D:$D,MATCH($B53,Prioritization!$A:$A,0))</f>
        <v>1 - Scale-up: Saturation</v>
      </c>
      <c r="B53" s="0" t="s">
        <v>213</v>
      </c>
      <c r="C53" s="0" t="s">
        <v>366</v>
      </c>
      <c r="D53" s="0" t="s">
        <v>30</v>
      </c>
      <c r="E53" s="0" t="str">
        <f aca="false">B53&amp;"|"&amp;C53&amp;"|"&amp;D53</f>
        <v>Chiradzulu District [oiPR2CiVJbf]|25-34|Female</v>
      </c>
      <c r="F53" s="10"/>
      <c r="G53" s="10"/>
      <c r="H53" s="10" t="str">
        <f aca="false">IFERROR(1/(1/INDEX(Cascade!$O:$O,MATCH($E53,Cascade!$E:$E,0))),"")</f>
        <v/>
      </c>
      <c r="I53" s="10" t="str">
        <f aca="false">IFERROR(1/(1/INDEX(Cascade!$AV:$AV,MATCH($E53,Cascade!$E:$E,0))),"")</f>
        <v/>
      </c>
      <c r="J53" s="88"/>
      <c r="K53" s="88" t="n">
        <f aca="false">1/3</f>
        <v>0.333333333333333</v>
      </c>
      <c r="L53" s="88" t="n">
        <f aca="false">1</f>
        <v>1</v>
      </c>
      <c r="M53" s="39" t="str">
        <f aca="false">IF(SUM($H53)=0,"",ROUND($H53*$K53+$I53*$L53,0))</f>
        <v/>
      </c>
    </row>
    <row r="54" customFormat="false" ht="15" hidden="false" customHeight="false" outlineLevel="0" collapsed="false">
      <c r="A54" s="0" t="str">
        <f aca="false">INDEX(Prioritization!$D:$D,MATCH($B54,Prioritization!$A:$A,0))</f>
        <v>1 - Scale-up: Saturation</v>
      </c>
      <c r="B54" s="0" t="s">
        <v>213</v>
      </c>
      <c r="C54" s="0" t="s">
        <v>367</v>
      </c>
      <c r="D54" s="0" t="s">
        <v>30</v>
      </c>
      <c r="E54" s="0" t="str">
        <f aca="false">B54&amp;"|"&amp;C54&amp;"|"&amp;D54</f>
        <v>Chiradzulu District [oiPR2CiVJbf]|35-49|Female</v>
      </c>
      <c r="F54" s="10"/>
      <c r="G54" s="10"/>
      <c r="H54" s="10" t="str">
        <f aca="false">IFERROR(1/(1/INDEX(Cascade!$O:$O,MATCH($E54,Cascade!$E:$E,0))),"")</f>
        <v/>
      </c>
      <c r="I54" s="10" t="str">
        <f aca="false">IFERROR(1/(1/INDEX(Cascade!$AV:$AV,MATCH($E54,Cascade!$E:$E,0))),"")</f>
        <v/>
      </c>
      <c r="J54" s="88"/>
      <c r="K54" s="88" t="n">
        <f aca="false">1/3</f>
        <v>0.333333333333333</v>
      </c>
      <c r="L54" s="88" t="n">
        <f aca="false">1</f>
        <v>1</v>
      </c>
      <c r="M54" s="39" t="str">
        <f aca="false">IF(SUM($H54)=0,"",ROUND($H54*$K54+$I54*$L54,0))</f>
        <v/>
      </c>
    </row>
    <row r="55" customFormat="false" ht="15" hidden="false" customHeight="false" outlineLevel="0" collapsed="false">
      <c r="A55" s="0" t="str">
        <f aca="false">INDEX(Prioritization!$D:$D,MATCH($B55,Prioritization!$A:$A,0))</f>
        <v>1 - Scale-up: Saturation</v>
      </c>
      <c r="B55" s="0" t="s">
        <v>214</v>
      </c>
      <c r="C55" s="0" t="s">
        <v>366</v>
      </c>
      <c r="D55" s="0" t="s">
        <v>30</v>
      </c>
      <c r="E55" s="0" t="str">
        <f aca="false">B55&amp;"|"&amp;C55&amp;"|"&amp;D55</f>
        <v>Machinga District [TYnMSwzko3z]|25-34|Female</v>
      </c>
      <c r="F55" s="10"/>
      <c r="G55" s="10"/>
      <c r="H55" s="10" t="str">
        <f aca="false">IFERROR(1/(1/INDEX(Cascade!$O:$O,MATCH($E55,Cascade!$E:$E,0))),"")</f>
        <v/>
      </c>
      <c r="I55" s="10" t="str">
        <f aca="false">IFERROR(1/(1/INDEX(Cascade!$AV:$AV,MATCH($E55,Cascade!$E:$E,0))),"")</f>
        <v/>
      </c>
      <c r="J55" s="88"/>
      <c r="K55" s="88" t="n">
        <f aca="false">1/3</f>
        <v>0.333333333333333</v>
      </c>
      <c r="L55" s="88" t="n">
        <f aca="false">1</f>
        <v>1</v>
      </c>
      <c r="M55" s="39" t="str">
        <f aca="false">IF(SUM($H55)=0,"",ROUND($H55*$K55+$I55*$L55,0))</f>
        <v/>
      </c>
    </row>
    <row r="56" customFormat="false" ht="15" hidden="false" customHeight="false" outlineLevel="0" collapsed="false">
      <c r="A56" s="0" t="str">
        <f aca="false">INDEX(Prioritization!$D:$D,MATCH($B56,Prioritization!$A:$A,0))</f>
        <v>1 - Scale-up: Saturation</v>
      </c>
      <c r="B56" s="0" t="s">
        <v>214</v>
      </c>
      <c r="C56" s="0" t="s">
        <v>367</v>
      </c>
      <c r="D56" s="0" t="s">
        <v>30</v>
      </c>
      <c r="E56" s="0" t="str">
        <f aca="false">B56&amp;"|"&amp;C56&amp;"|"&amp;D56</f>
        <v>Machinga District [TYnMSwzko3z]|35-49|Female</v>
      </c>
      <c r="F56" s="10"/>
      <c r="G56" s="10"/>
      <c r="H56" s="10" t="str">
        <f aca="false">IFERROR(1/(1/INDEX(Cascade!$O:$O,MATCH($E56,Cascade!$E:$E,0))),"")</f>
        <v/>
      </c>
      <c r="I56" s="10" t="str">
        <f aca="false">IFERROR(1/(1/INDEX(Cascade!$AV:$AV,MATCH($E56,Cascade!$E:$E,0))),"")</f>
        <v/>
      </c>
      <c r="J56" s="88"/>
      <c r="K56" s="88" t="n">
        <f aca="false">1/3</f>
        <v>0.333333333333333</v>
      </c>
      <c r="L56" s="88" t="n">
        <f aca="false">1</f>
        <v>1</v>
      </c>
      <c r="M56" s="39" t="str">
        <f aca="false">IF(SUM($H56)=0,"",ROUND($H56*$K56+$I56*$L56,0))</f>
        <v/>
      </c>
    </row>
    <row r="57" customFormat="false" ht="15" hidden="false" customHeight="false" outlineLevel="0" collapsed="false">
      <c r="A57" s="0" t="str">
        <f aca="false">INDEX(Prioritization!$D:$D,MATCH($B57,Prioritization!$A:$A,0))</f>
        <v>INVALID</v>
      </c>
      <c r="B57" s="0" t="s">
        <v>215</v>
      </c>
      <c r="C57" s="0" t="s">
        <v>366</v>
      </c>
      <c r="D57" s="0" t="s">
        <v>30</v>
      </c>
      <c r="E57" s="0" t="str">
        <f aca="false">B57&amp;"|"&amp;C57&amp;"|"&amp;D57</f>
        <v>Mangochi District [lLDyBx5XyUi]|25-34|Female</v>
      </c>
      <c r="F57" s="10"/>
      <c r="G57" s="10"/>
      <c r="H57" s="10" t="str">
        <f aca="false">IFERROR(1/(1/INDEX(Cascade!$O:$O,MATCH($E57,Cascade!$E:$E,0))),"")</f>
        <v/>
      </c>
      <c r="I57" s="10" t="str">
        <f aca="false">IFERROR(1/(1/INDEX(Cascade!$AV:$AV,MATCH($E57,Cascade!$E:$E,0))),"")</f>
        <v/>
      </c>
      <c r="J57" s="88"/>
      <c r="K57" s="88" t="n">
        <f aca="false">1/3</f>
        <v>0.333333333333333</v>
      </c>
      <c r="L57" s="88" t="n">
        <f aca="false">1</f>
        <v>1</v>
      </c>
      <c r="M57" s="39" t="str">
        <f aca="false">IF(SUM($H57)=0,"",ROUND($H57*$K57+$I57*$L57,0))</f>
        <v/>
      </c>
    </row>
    <row r="58" customFormat="false" ht="15" hidden="false" customHeight="false" outlineLevel="0" collapsed="false">
      <c r="A58" s="0" t="str">
        <f aca="false">INDEX(Prioritization!$D:$D,MATCH($B58,Prioritization!$A:$A,0))</f>
        <v>INVALID</v>
      </c>
      <c r="B58" s="0" t="s">
        <v>215</v>
      </c>
      <c r="C58" s="0" t="s">
        <v>367</v>
      </c>
      <c r="D58" s="0" t="s">
        <v>30</v>
      </c>
      <c r="E58" s="0" t="str">
        <f aca="false">B58&amp;"|"&amp;C58&amp;"|"&amp;D58</f>
        <v>Mangochi District [lLDyBx5XyUi]|35-49|Female</v>
      </c>
      <c r="F58" s="10"/>
      <c r="G58" s="10"/>
      <c r="H58" s="10" t="str">
        <f aca="false">IFERROR(1/(1/INDEX(Cascade!$O:$O,MATCH($E58,Cascade!$E:$E,0))),"")</f>
        <v/>
      </c>
      <c r="I58" s="10" t="str">
        <f aca="false">IFERROR(1/(1/INDEX(Cascade!$AV:$AV,MATCH($E58,Cascade!$E:$E,0))),"")</f>
        <v/>
      </c>
      <c r="J58" s="88"/>
      <c r="K58" s="88" t="n">
        <f aca="false">1/3</f>
        <v>0.333333333333333</v>
      </c>
      <c r="L58" s="88" t="n">
        <f aca="false">1</f>
        <v>1</v>
      </c>
      <c r="M58" s="39" t="str">
        <f aca="false">IF(SUM($H58)=0,"",ROUND($H58*$K58+$I58*$L58,0))</f>
        <v/>
      </c>
    </row>
    <row r="59" customFormat="false" ht="15" hidden="false" customHeight="false" outlineLevel="0" collapsed="false">
      <c r="A59" s="0" t="str">
        <f aca="false">INDEX(Prioritization!$D:$D,MATCH($B59,Prioritization!$A:$A,0))</f>
        <v>INVALID</v>
      </c>
      <c r="B59" s="0" t="s">
        <v>216</v>
      </c>
      <c r="C59" s="0" t="s">
        <v>366</v>
      </c>
      <c r="D59" s="0" t="s">
        <v>30</v>
      </c>
      <c r="E59" s="0" t="str">
        <f aca="false">B59&amp;"|"&amp;C59&amp;"|"&amp;D59</f>
        <v>Mulanje District [umc2n1Z4wNv]|25-34|Female</v>
      </c>
      <c r="F59" s="10"/>
      <c r="G59" s="10"/>
      <c r="H59" s="10" t="str">
        <f aca="false">IFERROR(1/(1/INDEX(Cascade!$O:$O,MATCH($E59,Cascade!$E:$E,0))),"")</f>
        <v/>
      </c>
      <c r="I59" s="10" t="str">
        <f aca="false">IFERROR(1/(1/INDEX(Cascade!$AV:$AV,MATCH($E59,Cascade!$E:$E,0))),"")</f>
        <v/>
      </c>
      <c r="J59" s="88"/>
      <c r="K59" s="88" t="n">
        <f aca="false">1/3</f>
        <v>0.333333333333333</v>
      </c>
      <c r="L59" s="88" t="n">
        <f aca="false">1</f>
        <v>1</v>
      </c>
      <c r="M59" s="39" t="str">
        <f aca="false">IF(SUM($H59)=0,"",ROUND($H59*$K59+$I59*$L59,0))</f>
        <v/>
      </c>
    </row>
    <row r="60" customFormat="false" ht="15" hidden="false" customHeight="false" outlineLevel="0" collapsed="false">
      <c r="A60" s="0" t="str">
        <f aca="false">INDEX(Prioritization!$D:$D,MATCH($B60,Prioritization!$A:$A,0))</f>
        <v>INVALID</v>
      </c>
      <c r="B60" s="0" t="s">
        <v>216</v>
      </c>
      <c r="C60" s="0" t="s">
        <v>367</v>
      </c>
      <c r="D60" s="0" t="s">
        <v>30</v>
      </c>
      <c r="E60" s="0" t="str">
        <f aca="false">B60&amp;"|"&amp;C60&amp;"|"&amp;D60</f>
        <v>Mulanje District [umc2n1Z4wNv]|35-49|Female</v>
      </c>
      <c r="F60" s="10"/>
      <c r="G60" s="10"/>
      <c r="H60" s="10" t="str">
        <f aca="false">IFERROR(1/(1/INDEX(Cascade!$O:$O,MATCH($E60,Cascade!$E:$E,0))),"")</f>
        <v/>
      </c>
      <c r="I60" s="10" t="str">
        <f aca="false">IFERROR(1/(1/INDEX(Cascade!$AV:$AV,MATCH($E60,Cascade!$E:$E,0))),"")</f>
        <v/>
      </c>
      <c r="J60" s="88"/>
      <c r="K60" s="88" t="n">
        <f aca="false">1/3</f>
        <v>0.333333333333333</v>
      </c>
      <c r="L60" s="88" t="n">
        <f aca="false">1</f>
        <v>1</v>
      </c>
      <c r="M60" s="39" t="str">
        <f aca="false">IF(SUM($H60)=0,"",ROUND($H60*$K60+$I60*$L60,0))</f>
        <v/>
      </c>
    </row>
    <row r="61" customFormat="false" ht="15" hidden="false" customHeight="false" outlineLevel="0" collapsed="false">
      <c r="A61" s="0" t="str">
        <f aca="false">INDEX(Prioritization!$D:$D,MATCH($B61,Prioritization!$A:$A,0))</f>
        <v>INVALID</v>
      </c>
      <c r="B61" s="0" t="s">
        <v>217</v>
      </c>
      <c r="C61" s="0" t="s">
        <v>366</v>
      </c>
      <c r="D61" s="0" t="s">
        <v>30</v>
      </c>
      <c r="E61" s="0" t="str">
        <f aca="false">B61&amp;"|"&amp;C61&amp;"|"&amp;D61</f>
        <v>Mwanza District [wNqJp8oRIcF]|25-34|Female</v>
      </c>
      <c r="F61" s="10"/>
      <c r="G61" s="10"/>
      <c r="H61" s="10" t="str">
        <f aca="false">IFERROR(1/(1/INDEX(Cascade!$O:$O,MATCH($E61,Cascade!$E:$E,0))),"")</f>
        <v/>
      </c>
      <c r="I61" s="10" t="str">
        <f aca="false">IFERROR(1/(1/INDEX(Cascade!$AV:$AV,MATCH($E61,Cascade!$E:$E,0))),"")</f>
        <v/>
      </c>
      <c r="J61" s="88"/>
      <c r="K61" s="88" t="n">
        <f aca="false">1/3</f>
        <v>0.333333333333333</v>
      </c>
      <c r="L61" s="88" t="n">
        <f aca="false">1</f>
        <v>1</v>
      </c>
      <c r="M61" s="39" t="str">
        <f aca="false">IF(SUM($H61)=0,"",ROUND($H61*$K61+$I61*$L61,0))</f>
        <v/>
      </c>
    </row>
    <row r="62" customFormat="false" ht="15" hidden="false" customHeight="false" outlineLevel="0" collapsed="false">
      <c r="A62" s="0" t="str">
        <f aca="false">INDEX(Prioritization!$D:$D,MATCH($B62,Prioritization!$A:$A,0))</f>
        <v>INVALID</v>
      </c>
      <c r="B62" s="0" t="s">
        <v>217</v>
      </c>
      <c r="C62" s="0" t="s">
        <v>367</v>
      </c>
      <c r="D62" s="0" t="s">
        <v>30</v>
      </c>
      <c r="E62" s="0" t="str">
        <f aca="false">B62&amp;"|"&amp;C62&amp;"|"&amp;D62</f>
        <v>Mwanza District [wNqJp8oRIcF]|35-49|Female</v>
      </c>
      <c r="F62" s="10"/>
      <c r="G62" s="10"/>
      <c r="H62" s="10" t="str">
        <f aca="false">IFERROR(1/(1/INDEX(Cascade!$O:$O,MATCH($E62,Cascade!$E:$E,0))),"")</f>
        <v/>
      </c>
      <c r="I62" s="10" t="str">
        <f aca="false">IFERROR(1/(1/INDEX(Cascade!$AV:$AV,MATCH($E62,Cascade!$E:$E,0))),"")</f>
        <v/>
      </c>
      <c r="J62" s="88"/>
      <c r="K62" s="88" t="n">
        <f aca="false">1/3</f>
        <v>0.333333333333333</v>
      </c>
      <c r="L62" s="88" t="n">
        <f aca="false">1</f>
        <v>1</v>
      </c>
      <c r="M62" s="39" t="str">
        <f aca="false">IF(SUM($H62)=0,"",ROUND($H62*$K62+$I62*$L62,0))</f>
        <v/>
      </c>
    </row>
    <row r="63" customFormat="false" ht="15" hidden="false" customHeight="false" outlineLevel="0" collapsed="false">
      <c r="A63" s="0" t="str">
        <f aca="false">INDEX(Prioritization!$D:$D,MATCH($B63,Prioritization!$A:$A,0))</f>
        <v>INVALID</v>
      </c>
      <c r="B63" s="0" t="s">
        <v>218</v>
      </c>
      <c r="C63" s="0" t="s">
        <v>366</v>
      </c>
      <c r="D63" s="0" t="s">
        <v>30</v>
      </c>
      <c r="E63" s="0" t="str">
        <f aca="false">B63&amp;"|"&amp;C63&amp;"|"&amp;D63</f>
        <v>Neno District [gwVYinjBAe9]|25-34|Female</v>
      </c>
      <c r="F63" s="10"/>
      <c r="G63" s="10"/>
      <c r="H63" s="10" t="str">
        <f aca="false">IFERROR(1/(1/INDEX(Cascade!$O:$O,MATCH($E63,Cascade!$E:$E,0))),"")</f>
        <v/>
      </c>
      <c r="I63" s="10" t="str">
        <f aca="false">IFERROR(1/(1/INDEX(Cascade!$AV:$AV,MATCH($E63,Cascade!$E:$E,0))),"")</f>
        <v/>
      </c>
      <c r="J63" s="88"/>
      <c r="K63" s="88" t="n">
        <f aca="false">1/3</f>
        <v>0.333333333333333</v>
      </c>
      <c r="L63" s="88" t="n">
        <f aca="false">1</f>
        <v>1</v>
      </c>
      <c r="M63" s="39" t="str">
        <f aca="false">IF(SUM($H63)=0,"",ROUND($H63*$K63+$I63*$L63,0))</f>
        <v/>
      </c>
    </row>
    <row r="64" customFormat="false" ht="15" hidden="false" customHeight="false" outlineLevel="0" collapsed="false">
      <c r="A64" s="0" t="str">
        <f aca="false">INDEX(Prioritization!$D:$D,MATCH($B64,Prioritization!$A:$A,0))</f>
        <v>INVALID</v>
      </c>
      <c r="B64" s="0" t="s">
        <v>218</v>
      </c>
      <c r="C64" s="0" t="s">
        <v>367</v>
      </c>
      <c r="D64" s="0" t="s">
        <v>30</v>
      </c>
      <c r="E64" s="0" t="str">
        <f aca="false">B64&amp;"|"&amp;C64&amp;"|"&amp;D64</f>
        <v>Neno District [gwVYinjBAe9]|35-49|Female</v>
      </c>
      <c r="F64" s="10"/>
      <c r="G64" s="10"/>
      <c r="H64" s="10" t="str">
        <f aca="false">IFERROR(1/(1/INDEX(Cascade!$O:$O,MATCH($E64,Cascade!$E:$E,0))),"")</f>
        <v/>
      </c>
      <c r="I64" s="10" t="str">
        <f aca="false">IFERROR(1/(1/INDEX(Cascade!$AV:$AV,MATCH($E64,Cascade!$E:$E,0))),"")</f>
        <v/>
      </c>
      <c r="J64" s="88"/>
      <c r="K64" s="88" t="n">
        <f aca="false">1/3</f>
        <v>0.333333333333333</v>
      </c>
      <c r="L64" s="88" t="n">
        <f aca="false">1</f>
        <v>1</v>
      </c>
      <c r="M64" s="39" t="str">
        <f aca="false">IF(SUM($H64)=0,"",ROUND($H64*$K64+$I64*$L64,0))</f>
        <v/>
      </c>
    </row>
    <row r="65" customFormat="false" ht="15" hidden="false" customHeight="false" outlineLevel="0" collapsed="false">
      <c r="A65" s="0" t="str">
        <f aca="false">INDEX(Prioritization!$D:$D,MATCH($B65,Prioritization!$A:$A,0))</f>
        <v>INVALID</v>
      </c>
      <c r="B65" s="0" t="s">
        <v>219</v>
      </c>
      <c r="C65" s="0" t="s">
        <v>366</v>
      </c>
      <c r="D65" s="0" t="s">
        <v>30</v>
      </c>
      <c r="E65" s="0" t="str">
        <f aca="false">B65&amp;"|"&amp;C65&amp;"|"&amp;D65</f>
        <v>Nsanje District [rpw540fmNUz]|25-34|Female</v>
      </c>
      <c r="F65" s="10"/>
      <c r="G65" s="10"/>
      <c r="H65" s="10" t="str">
        <f aca="false">IFERROR(1/(1/INDEX(Cascade!$O:$O,MATCH($E65,Cascade!$E:$E,0))),"")</f>
        <v/>
      </c>
      <c r="I65" s="10" t="str">
        <f aca="false">IFERROR(1/(1/INDEX(Cascade!$AV:$AV,MATCH($E65,Cascade!$E:$E,0))),"")</f>
        <v/>
      </c>
      <c r="J65" s="88"/>
      <c r="K65" s="88" t="n">
        <f aca="false">1/3</f>
        <v>0.333333333333333</v>
      </c>
      <c r="L65" s="88" t="n">
        <f aca="false">1</f>
        <v>1</v>
      </c>
      <c r="M65" s="39" t="str">
        <f aca="false">IF(SUM($H65)=0,"",ROUND($H65*$K65+$I65*$L65,0))</f>
        <v/>
      </c>
    </row>
    <row r="66" customFormat="false" ht="15" hidden="false" customHeight="false" outlineLevel="0" collapsed="false">
      <c r="A66" s="0" t="str">
        <f aca="false">INDEX(Prioritization!$D:$D,MATCH($B66,Prioritization!$A:$A,0))</f>
        <v>INVALID</v>
      </c>
      <c r="B66" s="0" t="s">
        <v>219</v>
      </c>
      <c r="C66" s="0" t="s">
        <v>367</v>
      </c>
      <c r="D66" s="0" t="s">
        <v>30</v>
      </c>
      <c r="E66" s="0" t="str">
        <f aca="false">B66&amp;"|"&amp;C66&amp;"|"&amp;D66</f>
        <v>Nsanje District [rpw540fmNUz]|35-49|Female</v>
      </c>
      <c r="F66" s="10"/>
      <c r="G66" s="10"/>
      <c r="H66" s="10" t="str">
        <f aca="false">IFERROR(1/(1/INDEX(Cascade!$O:$O,MATCH($E66,Cascade!$E:$E,0))),"")</f>
        <v/>
      </c>
      <c r="I66" s="10" t="str">
        <f aca="false">IFERROR(1/(1/INDEX(Cascade!$AV:$AV,MATCH($E66,Cascade!$E:$E,0))),"")</f>
        <v/>
      </c>
      <c r="J66" s="88"/>
      <c r="K66" s="88" t="n">
        <f aca="false">1/3</f>
        <v>0.333333333333333</v>
      </c>
      <c r="L66" s="88" t="n">
        <f aca="false">1</f>
        <v>1</v>
      </c>
      <c r="M66" s="39" t="str">
        <f aca="false">IF(SUM($H66)=0,"",ROUND($H66*$K66+$I66*$L66,0))</f>
        <v/>
      </c>
    </row>
    <row r="67" customFormat="false" ht="15" hidden="false" customHeight="false" outlineLevel="0" collapsed="false">
      <c r="A67" s="0" t="str">
        <f aca="false">INDEX(Prioritization!$D:$D,MATCH($B67,Prioritization!$A:$A,0))</f>
        <v>INVALID</v>
      </c>
      <c r="B67" s="0" t="s">
        <v>220</v>
      </c>
      <c r="C67" s="0" t="s">
        <v>366</v>
      </c>
      <c r="D67" s="0" t="s">
        <v>30</v>
      </c>
      <c r="E67" s="0" t="str">
        <f aca="false">B67&amp;"|"&amp;C67&amp;"|"&amp;D67</f>
        <v>Phalombe District [AZyWpGzhcaA]|25-34|Female</v>
      </c>
      <c r="F67" s="10"/>
      <c r="G67" s="10"/>
      <c r="H67" s="10" t="str">
        <f aca="false">IFERROR(1/(1/INDEX(Cascade!$O:$O,MATCH($E67,Cascade!$E:$E,0))),"")</f>
        <v/>
      </c>
      <c r="I67" s="10" t="str">
        <f aca="false">IFERROR(1/(1/INDEX(Cascade!$AV:$AV,MATCH($E67,Cascade!$E:$E,0))),"")</f>
        <v/>
      </c>
      <c r="J67" s="88"/>
      <c r="K67" s="88" t="n">
        <f aca="false">1/3</f>
        <v>0.333333333333333</v>
      </c>
      <c r="L67" s="88" t="n">
        <f aca="false">1</f>
        <v>1</v>
      </c>
      <c r="M67" s="39" t="str">
        <f aca="false">IF(SUM($H67)=0,"",ROUND($H67*$K67+$I67*$L67,0))</f>
        <v/>
      </c>
    </row>
    <row r="68" customFormat="false" ht="15" hidden="false" customHeight="false" outlineLevel="0" collapsed="false">
      <c r="A68" s="0" t="str">
        <f aca="false">INDEX(Prioritization!$D:$D,MATCH($B68,Prioritization!$A:$A,0))</f>
        <v>INVALID</v>
      </c>
      <c r="B68" s="0" t="s">
        <v>220</v>
      </c>
      <c r="C68" s="0" t="s">
        <v>367</v>
      </c>
      <c r="D68" s="0" t="s">
        <v>30</v>
      </c>
      <c r="E68" s="0" t="str">
        <f aca="false">B68&amp;"|"&amp;C68&amp;"|"&amp;D68</f>
        <v>Phalombe District [AZyWpGzhcaA]|35-49|Female</v>
      </c>
      <c r="F68" s="10"/>
      <c r="G68" s="10"/>
      <c r="H68" s="10" t="str">
        <f aca="false">IFERROR(1/(1/INDEX(Cascade!$O:$O,MATCH($E68,Cascade!$E:$E,0))),"")</f>
        <v/>
      </c>
      <c r="I68" s="10" t="str">
        <f aca="false">IFERROR(1/(1/INDEX(Cascade!$AV:$AV,MATCH($E68,Cascade!$E:$E,0))),"")</f>
        <v/>
      </c>
      <c r="J68" s="88"/>
      <c r="K68" s="88" t="n">
        <f aca="false">1/3</f>
        <v>0.333333333333333</v>
      </c>
      <c r="L68" s="88" t="n">
        <f aca="false">1</f>
        <v>1</v>
      </c>
      <c r="M68" s="39" t="str">
        <f aca="false">IF(SUM($H68)=0,"",ROUND($H68*$K68+$I68*$L68,0))</f>
        <v/>
      </c>
    </row>
    <row r="69" customFormat="false" ht="15" hidden="false" customHeight="false" outlineLevel="0" collapsed="false">
      <c r="A69" s="0" t="str">
        <f aca="false">INDEX(Prioritization!$D:$D,MATCH($B69,Prioritization!$A:$A,0))</f>
        <v>1 - Scale-up: Saturation</v>
      </c>
      <c r="B69" s="0" t="s">
        <v>221</v>
      </c>
      <c r="C69" s="0" t="s">
        <v>366</v>
      </c>
      <c r="D69" s="0" t="s">
        <v>30</v>
      </c>
      <c r="E69" s="0" t="str">
        <f aca="false">B69&amp;"|"&amp;C69&amp;"|"&amp;D69</f>
        <v>Thyolo District [ul0y9diGujK]|25-34|Female</v>
      </c>
      <c r="F69" s="10"/>
      <c r="G69" s="10"/>
      <c r="H69" s="10" t="str">
        <f aca="false">IFERROR(1/(1/INDEX(Cascade!$O:$O,MATCH($E69,Cascade!$E:$E,0))),"")</f>
        <v/>
      </c>
      <c r="I69" s="10" t="str">
        <f aca="false">IFERROR(1/(1/INDEX(Cascade!$AV:$AV,MATCH($E69,Cascade!$E:$E,0))),"")</f>
        <v/>
      </c>
      <c r="J69" s="88"/>
      <c r="K69" s="88" t="n">
        <f aca="false">1/3</f>
        <v>0.333333333333333</v>
      </c>
      <c r="L69" s="88" t="n">
        <f aca="false">1</f>
        <v>1</v>
      </c>
      <c r="M69" s="39" t="str">
        <f aca="false">IF(SUM($H69)=0,"",ROUND($H69*$K69+$I69*$L69,0))</f>
        <v/>
      </c>
    </row>
    <row r="70" customFormat="false" ht="15" hidden="false" customHeight="false" outlineLevel="0" collapsed="false">
      <c r="A70" s="0" t="str">
        <f aca="false">INDEX(Prioritization!$D:$D,MATCH($B70,Prioritization!$A:$A,0))</f>
        <v>1 - Scale-up: Saturation</v>
      </c>
      <c r="B70" s="0" t="s">
        <v>221</v>
      </c>
      <c r="C70" s="0" t="s">
        <v>367</v>
      </c>
      <c r="D70" s="0" t="s">
        <v>30</v>
      </c>
      <c r="E70" s="0" t="str">
        <f aca="false">B70&amp;"|"&amp;C70&amp;"|"&amp;D70</f>
        <v>Thyolo District [ul0y9diGujK]|35-49|Female</v>
      </c>
      <c r="F70" s="10"/>
      <c r="G70" s="10"/>
      <c r="H70" s="10" t="str">
        <f aca="false">IFERROR(1/(1/INDEX(Cascade!$O:$O,MATCH($E70,Cascade!$E:$E,0))),"")</f>
        <v/>
      </c>
      <c r="I70" s="10" t="str">
        <f aca="false">IFERROR(1/(1/INDEX(Cascade!$AV:$AV,MATCH($E70,Cascade!$E:$E,0))),"")</f>
        <v/>
      </c>
      <c r="J70" s="88"/>
      <c r="K70" s="88" t="n">
        <f aca="false">1/3</f>
        <v>0.333333333333333</v>
      </c>
      <c r="L70" s="88" t="n">
        <f aca="false">1</f>
        <v>1</v>
      </c>
      <c r="M70" s="39" t="str">
        <f aca="false">IF(SUM($H70)=0,"",ROUND($H70*$K70+$I70*$L70,0))</f>
        <v/>
      </c>
    </row>
    <row r="71" customFormat="false" ht="15" hidden="false" customHeight="false" outlineLevel="0" collapsed="false">
      <c r="A71" s="0" t="str">
        <f aca="false">INDEX(Prioritization!$D:$D,MATCH($B71,Prioritization!$A:$A,0))</f>
        <v>1 - Scale-up: Saturation</v>
      </c>
      <c r="B71" s="0" t="s">
        <v>222</v>
      </c>
      <c r="C71" s="0" t="s">
        <v>366</v>
      </c>
      <c r="D71" s="0" t="s">
        <v>30</v>
      </c>
      <c r="E71" s="0" t="str">
        <f aca="false">B71&amp;"|"&amp;C71&amp;"|"&amp;D71</f>
        <v>Zomba District [fyEoGEPERdI]|25-34|Female</v>
      </c>
      <c r="F71" s="10"/>
      <c r="G71" s="10"/>
      <c r="H71" s="10" t="str">
        <f aca="false">IFERROR(1/(1/INDEX(Cascade!$O:$O,MATCH($E71,Cascade!$E:$E,0))),"")</f>
        <v/>
      </c>
      <c r="I71" s="10" t="str">
        <f aca="false">IFERROR(1/(1/INDEX(Cascade!$AV:$AV,MATCH($E71,Cascade!$E:$E,0))),"")</f>
        <v/>
      </c>
      <c r="J71" s="88"/>
      <c r="K71" s="88" t="n">
        <f aca="false">1/3</f>
        <v>0.333333333333333</v>
      </c>
      <c r="L71" s="88" t="n">
        <f aca="false">1</f>
        <v>1</v>
      </c>
      <c r="M71" s="39" t="str">
        <f aca="false">IF(SUM($H71)=0,"",ROUND($H71*$K71+$I71*$L71,0))</f>
        <v/>
      </c>
    </row>
    <row r="72" customFormat="false" ht="15" hidden="false" customHeight="false" outlineLevel="0" collapsed="false">
      <c r="A72" s="0" t="str">
        <f aca="false">INDEX(Prioritization!$D:$D,MATCH($B72,Prioritization!$A:$A,0))</f>
        <v>1 - Scale-up: Saturation</v>
      </c>
      <c r="B72" s="0" t="s">
        <v>222</v>
      </c>
      <c r="C72" s="0" t="s">
        <v>367</v>
      </c>
      <c r="D72" s="0" t="s">
        <v>30</v>
      </c>
      <c r="E72" s="0" t="str">
        <f aca="false">B72&amp;"|"&amp;C72&amp;"|"&amp;D72</f>
        <v>Zomba District [fyEoGEPERdI]|35-49|Female</v>
      </c>
      <c r="F72" s="10"/>
      <c r="G72" s="10"/>
      <c r="H72" s="10" t="str">
        <f aca="false">IFERROR(1/(1/INDEX(Cascade!$O:$O,MATCH($E72,Cascade!$E:$E,0))),"")</f>
        <v/>
      </c>
      <c r="I72" s="10" t="str">
        <f aca="false">IFERROR(1/(1/INDEX(Cascade!$AV:$AV,MATCH($E72,Cascade!$E:$E,0))),"")</f>
        <v/>
      </c>
      <c r="J72" s="88"/>
      <c r="K72" s="88" t="n">
        <f aca="false">1/3</f>
        <v>0.333333333333333</v>
      </c>
      <c r="L72" s="88" t="n">
        <f aca="false">1</f>
        <v>1</v>
      </c>
      <c r="M72" s="39" t="str">
        <f aca="false">IF(SUM($H72)=0,"",ROUND($H72*$K72+$I72*$L72,0))</f>
        <v/>
      </c>
    </row>
  </sheetData>
  <mergeCells count="1">
    <mergeCell ref="A2:B3"/>
  </mergeCells>
  <conditionalFormatting sqref="K1:K1048576">
    <cfRule type="expression" priority="2" aboveAverage="0" equalAverage="0" bottom="0" percent="0" rank="0" text="" dxfId="94">
      <formula>AND(ISNUMBER($K1),$K1&lt;33%)</formula>
    </cfRule>
  </conditionalFormatting>
  <conditionalFormatting sqref="J1:L1048576">
    <cfRule type="expression" priority="3" aboveAverage="0" equalAverage="0" bottom="0" percent="0" rank="0" text="" dxfId="95">
      <formula>AND(ISNUMBER(J1),J1&gt;1)</formula>
    </cfRule>
  </conditionalFormatting>
  <conditionalFormatting sqref="F1:M1048576">
    <cfRule type="expression" priority="4" aboveAverage="0" equalAverage="0" bottom="0" percent="0" rank="0" text="" dxfId="96">
      <formula>AND(ISNUMBER(F1),F1&lt;0)</formula>
    </cfRule>
  </conditionalFormatting>
  <conditionalFormatting sqref="L1:L1048576">
    <cfRule type="expression" priority="5" aboveAverage="0" equalAverage="0" bottom="0" percent="0" rank="0" text="" dxfId="97">
      <formula>AND(ISNUMBER($L1),$L1&lt;100%)</formula>
    </cfRule>
  </conditionalFormatting>
  <hyperlinks>
    <hyperlink ref="H3" location="Cascade!O:O" display="TX_CURR (FY23)"/>
    <hyperlink ref="I3" location="Cascade!AS:AS" display="Initiated on ART (FY24)"/>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1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Y15" activePane="bottomRight" state="frozen"/>
      <selection pane="topLeft" activeCell="A1" activeCellId="0" sqref="A1"/>
      <selection pane="topRight" activeCell="Y1" activeCellId="0" sqref="Y1"/>
      <selection pane="bottomLeft" activeCell="A15" activeCellId="0" sqref="A15"/>
      <selection pane="bottomRight" activeCell="A1" activeCellId="0" sqref="A1"/>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
    <col collapsed="false" customWidth="true" hidden="false" outlineLevel="0" max="29" min="6" style="0" width="11.83"/>
  </cols>
  <sheetData>
    <row r="1" customFormat="false" ht="30.75" hidden="false" customHeight="true" outlineLevel="0" collapsed="false">
      <c r="A1" s="41" t="s">
        <v>1166</v>
      </c>
      <c r="B1" s="15"/>
      <c r="C1" s="15"/>
      <c r="D1" s="15"/>
      <c r="E1" s="15"/>
      <c r="F1" s="42" t="s">
        <v>1167</v>
      </c>
      <c r="G1" s="43"/>
      <c r="H1" s="47"/>
      <c r="I1" s="47"/>
      <c r="J1" s="47"/>
      <c r="K1" s="47"/>
      <c r="L1" s="43"/>
      <c r="M1" s="43"/>
      <c r="N1" s="43"/>
      <c r="O1" s="43"/>
      <c r="P1" s="42" t="s">
        <v>493</v>
      </c>
      <c r="Q1" s="43"/>
      <c r="R1" s="43"/>
      <c r="S1" s="43"/>
      <c r="T1" s="47"/>
      <c r="U1" s="47"/>
      <c r="V1" s="47"/>
      <c r="W1" s="43"/>
      <c r="X1" s="43"/>
      <c r="Y1" s="48" t="s">
        <v>494</v>
      </c>
      <c r="Z1" s="43"/>
      <c r="AA1" s="43"/>
      <c r="AB1" s="45"/>
      <c r="AC1" s="45"/>
    </row>
    <row r="2" customFormat="false" ht="18.75" hidden="false" customHeight="true" outlineLevel="0" collapsed="false">
      <c r="A2" s="22"/>
      <c r="B2" s="19"/>
      <c r="C2" s="19"/>
      <c r="D2" s="19"/>
      <c r="E2" s="19"/>
      <c r="F2" s="50"/>
      <c r="G2" s="22"/>
      <c r="H2" s="52"/>
      <c r="I2" s="52"/>
      <c r="J2" s="52"/>
      <c r="K2" s="52"/>
      <c r="L2" s="21" t="s">
        <v>177</v>
      </c>
      <c r="M2" s="21" t="s">
        <v>177</v>
      </c>
      <c r="N2" s="21" t="s">
        <v>177</v>
      </c>
      <c r="O2" s="21" t="s">
        <v>177</v>
      </c>
      <c r="P2" s="50"/>
      <c r="Q2" s="22"/>
      <c r="R2" s="22"/>
      <c r="S2" s="22"/>
      <c r="T2" s="52"/>
      <c r="U2" s="52"/>
      <c r="V2" s="52"/>
      <c r="W2" s="21" t="s">
        <v>177</v>
      </c>
      <c r="X2" s="21" t="s">
        <v>177</v>
      </c>
      <c r="Y2" s="54"/>
      <c r="Z2" s="21" t="s">
        <v>177</v>
      </c>
      <c r="AA2" s="21" t="s">
        <v>177</v>
      </c>
      <c r="AB2" s="52"/>
      <c r="AC2" s="52"/>
    </row>
    <row r="3" customFormat="false" ht="117" hidden="false" customHeight="true" outlineLevel="0" collapsed="false">
      <c r="A3" s="59"/>
      <c r="B3" s="23"/>
      <c r="C3" s="23"/>
      <c r="D3" s="23"/>
      <c r="E3" s="23"/>
      <c r="F3" s="137" t="s">
        <v>1154</v>
      </c>
      <c r="G3" s="138" t="s">
        <v>1168</v>
      </c>
      <c r="H3" s="160" t="s">
        <v>1169</v>
      </c>
      <c r="I3" s="160" t="s">
        <v>1170</v>
      </c>
      <c r="J3" s="160" t="s">
        <v>1171</v>
      </c>
      <c r="K3" s="160" t="s">
        <v>1172</v>
      </c>
      <c r="L3" s="72" t="s">
        <v>1173</v>
      </c>
      <c r="M3" s="72" t="s">
        <v>1174</v>
      </c>
      <c r="N3" s="72" t="s">
        <v>1175</v>
      </c>
      <c r="O3" s="72" t="s">
        <v>1176</v>
      </c>
      <c r="P3" s="24" t="s">
        <v>1177</v>
      </c>
      <c r="Q3" s="69" t="s">
        <v>1178</v>
      </c>
      <c r="R3" s="69" t="s">
        <v>1179</v>
      </c>
      <c r="S3" s="67" t="s">
        <v>1180</v>
      </c>
      <c r="T3" s="160" t="s">
        <v>1181</v>
      </c>
      <c r="U3" s="160" t="s">
        <v>1182</v>
      </c>
      <c r="V3" s="160" t="s">
        <v>1183</v>
      </c>
      <c r="W3" s="72" t="s">
        <v>551</v>
      </c>
      <c r="X3" s="72" t="s">
        <v>552</v>
      </c>
      <c r="Y3" s="170" t="s">
        <v>1184</v>
      </c>
      <c r="Z3" s="72" t="s">
        <v>551</v>
      </c>
      <c r="AA3" s="72" t="s">
        <v>552</v>
      </c>
      <c r="AB3" s="162" t="s">
        <v>1185</v>
      </c>
      <c r="AC3" s="162" t="s">
        <v>1186</v>
      </c>
    </row>
    <row r="4" customFormat="false" ht="15" hidden="false" customHeight="false" outlineLevel="0" collapsed="false">
      <c r="A4" s="73"/>
      <c r="B4" s="27"/>
      <c r="C4" s="27"/>
      <c r="D4" s="27" t="s">
        <v>288</v>
      </c>
      <c r="E4" s="27"/>
      <c r="F4" s="74" t="n">
        <f aca="false">SUBTOTAL(109,F$15:INDEX(F:F,COUNTA($B:$B)+14-COUNTA($B$1:$B$14)))</f>
        <v>0</v>
      </c>
      <c r="G4" s="73" t="n">
        <f aca="false">SUBTOTAL(109,G$15:INDEX(G:G,COUNTA($B:$B)+14-COUNTA($B$1:$B$14)))</f>
        <v>0</v>
      </c>
      <c r="H4" s="84" t="str">
        <f aca="false">IF(SUM($F$4)=0,"",SUM($L$4,$M$4)/$F$4)</f>
        <v/>
      </c>
      <c r="I4" s="84" t="str">
        <f aca="false">IF(SUM($G$4)=0,"",SUM($N$4,$O$4)/$G$4)</f>
        <v/>
      </c>
      <c r="J4" s="84" t="str">
        <f aca="false">IF(SUM($L$4,$M$4)=0,"",$L$4/SUM($L$4,$M$4))</f>
        <v/>
      </c>
      <c r="K4" s="84" t="str">
        <f aca="false">IF(SUM($N$4,$O$4)=0,"",$N$4/SUM($N$4,$O$4))</f>
        <v/>
      </c>
      <c r="L4" s="82" t="n">
        <f aca="false">SUBTOTAL(109,L$15:INDEX(L:L,COUNTA($B:$B)+14-COUNTA($B$1:$B$14)))</f>
        <v>0</v>
      </c>
      <c r="M4" s="82" t="n">
        <f aca="false">SUBTOTAL(109,M$15:INDEX(M:M,COUNTA($B:$B)+14-COUNTA($B$1:$B$14)))</f>
        <v>0</v>
      </c>
      <c r="N4" s="82" t="n">
        <f aca="false">SUBTOTAL(109,N$15:INDEX(N:N,COUNTA($B:$B)+14-COUNTA($B$1:$B$14)))</f>
        <v>0</v>
      </c>
      <c r="O4" s="82" t="n">
        <f aca="false">SUBTOTAL(109,O$15:INDEX(O:O,COUNTA($B:$B)+14-COUNTA($B$1:$B$14)))</f>
        <v>0</v>
      </c>
      <c r="P4" s="74" t="n">
        <f aca="false">SUBTOTAL(109,P$15:INDEX(P:P,COUNTA($B:$B)+14-COUNTA($B$1:$B$14)))</f>
        <v>0</v>
      </c>
      <c r="Q4" s="73" t="n">
        <f aca="false">SUBTOTAL(109,Q$15:INDEX(Q:Q,COUNTA($B:$B)+14-COUNTA($B$1:$B$14)))</f>
        <v>0</v>
      </c>
      <c r="R4" s="73" t="n">
        <f aca="false">SUBTOTAL(109,R$15:INDEX(R:R,COUNTA($B:$B)+14-COUNTA($B$1:$B$14)))</f>
        <v>0</v>
      </c>
      <c r="S4" s="73" t="n">
        <f aca="false">SUBTOTAL(109,S$15:INDEX(S:S,COUNTA($B:$B)+14-COUNTA($B$1:$B$14)))</f>
        <v>0</v>
      </c>
      <c r="T4" s="88" t="str">
        <f aca="false">IF(SUM($F4)=0,"",MIN($S4/$F4,1))</f>
        <v/>
      </c>
      <c r="U4" s="84" t="str">
        <f aca="false">IF(SUM($M$4)*SUM($T$4)=0,"",SUM($W$4)/(SUM($M$4)*SUM($T$4)))</f>
        <v/>
      </c>
      <c r="V4" s="84" t="str">
        <f aca="false">IF(SUM($O$4)=0,"",$X$4/$O$4)</f>
        <v/>
      </c>
      <c r="W4" s="82" t="n">
        <f aca="false">SUBTOTAL(109,W$15:INDEX(W:W,COUNTA($B:$B)+14-COUNTA($B$1:$B$14)))</f>
        <v>0</v>
      </c>
      <c r="X4" s="82" t="n">
        <f aca="false">SUBTOTAL(109,X$15:INDEX(X:X,COUNTA($B:$B)+14-COUNTA($B$1:$B$14)))</f>
        <v>0</v>
      </c>
      <c r="Y4" s="83" t="str">
        <f aca="false">IF(SUM($X$4,$W$4)=0,"",SUM($AA$4,$Z$4)/SUM($X$4,$W$4))</f>
        <v/>
      </c>
      <c r="Z4" s="82" t="n">
        <f aca="false">SUBTOTAL(109,Z$15:INDEX(Z:Z,COUNTA($B:$B)+14-COUNTA($B$1:$B$14)))</f>
        <v>0</v>
      </c>
      <c r="AA4" s="82" t="n">
        <f aca="false">SUBTOTAL(109,AA$15:INDEX(AA:AA,COUNTA($B:$B)+14-COUNTA($B$1:$B$14)))</f>
        <v>0</v>
      </c>
      <c r="AB4" s="84" t="str">
        <f aca="false">IF(SUM($Q4)=0,"",(SUM($Z4)-$Q4)/$Q4)</f>
        <v/>
      </c>
      <c r="AC4" s="84" t="str">
        <f aca="false">IF(SUM($R4)=0,"",(SUM($AA4)-$R4)/$R4)</f>
        <v/>
      </c>
    </row>
    <row r="5" customFormat="false" ht="12.8" hidden="false" customHeight="false" outlineLevel="0" collapsed="false">
      <c r="A5" s="0" t="s">
        <v>181</v>
      </c>
      <c r="B5" s="9" t="s">
        <v>181</v>
      </c>
      <c r="C5" s="9" t="s">
        <v>181</v>
      </c>
      <c r="D5" s="9" t="s">
        <v>181</v>
      </c>
      <c r="E5" s="9" t="s">
        <v>181</v>
      </c>
      <c r="F5" s="85" t="s">
        <v>181</v>
      </c>
      <c r="G5" s="10" t="s">
        <v>181</v>
      </c>
      <c r="H5" s="88" t="s">
        <v>181</v>
      </c>
      <c r="I5" s="88" t="s">
        <v>181</v>
      </c>
      <c r="J5" s="88" t="s">
        <v>181</v>
      </c>
      <c r="K5" s="88" t="s">
        <v>181</v>
      </c>
      <c r="L5" s="5" t="s">
        <v>289</v>
      </c>
      <c r="M5" s="5" t="s">
        <v>289</v>
      </c>
      <c r="N5" s="5" t="s">
        <v>289</v>
      </c>
      <c r="O5" s="5" t="s">
        <v>289</v>
      </c>
      <c r="P5" s="85" t="s">
        <v>181</v>
      </c>
      <c r="Q5" s="10" t="s">
        <v>289</v>
      </c>
      <c r="R5" s="10" t="s">
        <v>289</v>
      </c>
      <c r="S5" s="10" t="s">
        <v>181</v>
      </c>
      <c r="T5" s="88" t="s">
        <v>181</v>
      </c>
      <c r="U5" s="88" t="s">
        <v>181</v>
      </c>
      <c r="V5" s="88" t="s">
        <v>181</v>
      </c>
      <c r="W5" s="5" t="s">
        <v>289</v>
      </c>
      <c r="X5" s="5" t="s">
        <v>289</v>
      </c>
      <c r="Y5" s="92" t="s">
        <v>181</v>
      </c>
      <c r="Z5" s="5" t="s">
        <v>289</v>
      </c>
      <c r="AA5" s="5" t="s">
        <v>289</v>
      </c>
      <c r="AB5" s="88" t="s">
        <v>181</v>
      </c>
      <c r="AC5" s="88" t="s">
        <v>181</v>
      </c>
    </row>
    <row r="6" customFormat="false" ht="12.8" hidden="false" customHeight="false" outlineLevel="0" collapsed="false">
      <c r="A6" s="0" t="s">
        <v>183</v>
      </c>
      <c r="B6" s="9" t="s">
        <v>183</v>
      </c>
      <c r="C6" s="9" t="s">
        <v>183</v>
      </c>
      <c r="D6" s="9" t="s">
        <v>183</v>
      </c>
      <c r="E6" s="9" t="s">
        <v>183</v>
      </c>
      <c r="F6" s="85" t="s">
        <v>186</v>
      </c>
      <c r="G6" s="10" t="s">
        <v>186</v>
      </c>
      <c r="H6" s="88" t="s">
        <v>291</v>
      </c>
      <c r="I6" s="88" t="s">
        <v>291</v>
      </c>
      <c r="J6" s="88" t="s">
        <v>292</v>
      </c>
      <c r="K6" s="88" t="s">
        <v>292</v>
      </c>
      <c r="L6" s="5" t="s">
        <v>185</v>
      </c>
      <c r="M6" s="5" t="s">
        <v>185</v>
      </c>
      <c r="N6" s="5" t="s">
        <v>185</v>
      </c>
      <c r="O6" s="5" t="s">
        <v>185</v>
      </c>
      <c r="P6" s="85" t="s">
        <v>292</v>
      </c>
      <c r="Q6" s="10" t="s">
        <v>184</v>
      </c>
      <c r="R6" s="10" t="s">
        <v>184</v>
      </c>
      <c r="S6" s="10" t="s">
        <v>291</v>
      </c>
      <c r="T6" s="88" t="s">
        <v>291</v>
      </c>
      <c r="U6" s="88" t="s">
        <v>291</v>
      </c>
      <c r="V6" s="88" t="s">
        <v>291</v>
      </c>
      <c r="W6" s="5" t="s">
        <v>185</v>
      </c>
      <c r="X6" s="5" t="s">
        <v>185</v>
      </c>
      <c r="Y6" s="92" t="s">
        <v>291</v>
      </c>
      <c r="Z6" s="5" t="s">
        <v>185</v>
      </c>
      <c r="AA6" s="5" t="s">
        <v>185</v>
      </c>
      <c r="AB6" s="88" t="s">
        <v>186</v>
      </c>
      <c r="AC6" s="88" t="s">
        <v>186</v>
      </c>
    </row>
    <row r="7" customFormat="false" ht="12.8" hidden="false" customHeight="false" outlineLevel="0" collapsed="false">
      <c r="A7" s="0" t="s">
        <v>187</v>
      </c>
      <c r="B7" s="9" t="s">
        <v>187</v>
      </c>
      <c r="C7" s="9" t="s">
        <v>187</v>
      </c>
      <c r="D7" s="9" t="s">
        <v>187</v>
      </c>
      <c r="E7" s="9" t="s">
        <v>187</v>
      </c>
      <c r="F7" s="85" t="s">
        <v>188</v>
      </c>
      <c r="G7" s="10" t="s">
        <v>188</v>
      </c>
      <c r="H7" s="88" t="s">
        <v>294</v>
      </c>
      <c r="I7" s="88" t="s">
        <v>294</v>
      </c>
      <c r="J7" s="88" t="s">
        <v>294</v>
      </c>
      <c r="K7" s="88" t="s">
        <v>294</v>
      </c>
      <c r="L7" s="5" t="s">
        <v>188</v>
      </c>
      <c r="M7" s="5" t="s">
        <v>188</v>
      </c>
      <c r="N7" s="5" t="s">
        <v>188</v>
      </c>
      <c r="O7" s="5" t="s">
        <v>188</v>
      </c>
      <c r="P7" s="85" t="s">
        <v>188</v>
      </c>
      <c r="Q7" s="10" t="s">
        <v>188</v>
      </c>
      <c r="R7" s="10" t="s">
        <v>188</v>
      </c>
      <c r="S7" s="10" t="s">
        <v>188</v>
      </c>
      <c r="T7" s="88" t="s">
        <v>294</v>
      </c>
      <c r="U7" s="88" t="s">
        <v>294</v>
      </c>
      <c r="V7" s="88" t="s">
        <v>294</v>
      </c>
      <c r="W7" s="5" t="s">
        <v>188</v>
      </c>
      <c r="X7" s="5" t="s">
        <v>188</v>
      </c>
      <c r="Y7" s="92" t="s">
        <v>294</v>
      </c>
      <c r="Z7" s="5" t="s">
        <v>188</v>
      </c>
      <c r="AA7" s="5" t="s">
        <v>188</v>
      </c>
      <c r="AB7" s="88" t="s">
        <v>294</v>
      </c>
      <c r="AC7" s="88" t="s">
        <v>294</v>
      </c>
    </row>
    <row r="8" customFormat="false" ht="12.8" hidden="false" customHeight="false" outlineLevel="0" collapsed="false">
      <c r="L8" s="97" t="s">
        <v>658</v>
      </c>
      <c r="M8" s="97" t="s">
        <v>658</v>
      </c>
      <c r="N8" s="97" t="s">
        <v>658</v>
      </c>
      <c r="O8" s="97" t="s">
        <v>658</v>
      </c>
      <c r="Q8" s="94" t="s">
        <v>660</v>
      </c>
      <c r="R8" s="94" t="s">
        <v>660</v>
      </c>
      <c r="S8" s="10"/>
      <c r="T8" s="88"/>
      <c r="U8" s="88"/>
      <c r="V8" s="88"/>
      <c r="W8" s="97" t="s">
        <v>659</v>
      </c>
      <c r="X8" s="97" t="s">
        <v>659</v>
      </c>
      <c r="Y8" s="92"/>
      <c r="Z8" s="97" t="s">
        <v>660</v>
      </c>
      <c r="AA8" s="97" t="s">
        <v>660</v>
      </c>
      <c r="AB8" s="88"/>
      <c r="AC8" s="88"/>
    </row>
    <row r="9" customFormat="false" ht="12.8" hidden="false" customHeight="false" outlineLevel="0" collapsed="false">
      <c r="L9" s="97" t="s">
        <v>1187</v>
      </c>
      <c r="M9" s="97" t="s">
        <v>1187</v>
      </c>
      <c r="N9" s="97" t="s">
        <v>1187</v>
      </c>
      <c r="O9" s="97" t="s">
        <v>1187</v>
      </c>
      <c r="Q9" s="94" t="s">
        <v>1188</v>
      </c>
      <c r="R9" s="94" t="s">
        <v>1188</v>
      </c>
      <c r="S9" s="10"/>
      <c r="T9" s="88"/>
      <c r="U9" s="88"/>
      <c r="V9" s="88"/>
      <c r="W9" s="97" t="s">
        <v>1189</v>
      </c>
      <c r="X9" s="97" t="s">
        <v>1189</v>
      </c>
      <c r="Y9" s="92"/>
      <c r="Z9" s="97" t="s">
        <v>1188</v>
      </c>
      <c r="AA9" s="97" t="s">
        <v>1188</v>
      </c>
      <c r="AB9" s="88"/>
      <c r="AC9" s="88"/>
    </row>
    <row r="10" customFormat="false" ht="12.8" hidden="false" customHeight="false" outlineLevel="0" collapsed="false">
      <c r="L10" s="97" t="s">
        <v>675</v>
      </c>
      <c r="M10" s="97" t="s">
        <v>676</v>
      </c>
      <c r="N10" s="97" t="s">
        <v>677</v>
      </c>
      <c r="O10" s="97" t="s">
        <v>678</v>
      </c>
      <c r="Q10" s="94" t="s">
        <v>673</v>
      </c>
      <c r="R10" s="94" t="s">
        <v>674</v>
      </c>
      <c r="S10" s="10"/>
      <c r="T10" s="88"/>
      <c r="U10" s="88"/>
      <c r="V10" s="88"/>
      <c r="W10" s="97" t="s">
        <v>673</v>
      </c>
      <c r="X10" s="97" t="s">
        <v>674</v>
      </c>
      <c r="Y10" s="92"/>
      <c r="Z10" s="97" t="s">
        <v>673</v>
      </c>
      <c r="AA10" s="97" t="s">
        <v>674</v>
      </c>
      <c r="AB10" s="88"/>
      <c r="AC10" s="88"/>
    </row>
    <row r="11" customFormat="false" ht="12.8" hidden="false" customHeight="false" outlineLevel="0" collapsed="false">
      <c r="F11" s="85" t="s">
        <v>686</v>
      </c>
      <c r="G11" s="10" t="s">
        <v>686</v>
      </c>
      <c r="H11" s="88" t="s">
        <v>686</v>
      </c>
      <c r="I11" s="88" t="s">
        <v>686</v>
      </c>
      <c r="J11" s="88" t="s">
        <v>686</v>
      </c>
      <c r="K11" s="88" t="s">
        <v>686</v>
      </c>
      <c r="L11" s="5" t="s">
        <v>686</v>
      </c>
      <c r="M11" s="5" t="s">
        <v>686</v>
      </c>
      <c r="N11" s="5" t="s">
        <v>686</v>
      </c>
      <c r="O11" s="5" t="s">
        <v>686</v>
      </c>
      <c r="P11" s="85" t="s">
        <v>686</v>
      </c>
      <c r="Q11" s="10" t="s">
        <v>686</v>
      </c>
      <c r="R11" s="10" t="s">
        <v>686</v>
      </c>
      <c r="S11" s="10" t="s">
        <v>686</v>
      </c>
      <c r="T11" s="88" t="s">
        <v>686</v>
      </c>
      <c r="U11" s="88" t="s">
        <v>686</v>
      </c>
      <c r="V11" s="88" t="s">
        <v>686</v>
      </c>
      <c r="W11" s="5" t="s">
        <v>686</v>
      </c>
      <c r="X11" s="5" t="s">
        <v>686</v>
      </c>
      <c r="Y11" s="92" t="s">
        <v>686</v>
      </c>
      <c r="Z11" s="5" t="s">
        <v>686</v>
      </c>
      <c r="AA11" s="5" t="s">
        <v>686</v>
      </c>
      <c r="AB11" s="88" t="s">
        <v>686</v>
      </c>
      <c r="AC11" s="88" t="s">
        <v>686</v>
      </c>
    </row>
    <row r="12" customFormat="false" ht="12.8" hidden="false" customHeight="false" outlineLevel="0" collapsed="false">
      <c r="F12" s="85" t="s">
        <v>317</v>
      </c>
      <c r="G12" s="10" t="s">
        <v>317</v>
      </c>
      <c r="H12" s="88" t="s">
        <v>317</v>
      </c>
      <c r="I12" s="88" t="s">
        <v>317</v>
      </c>
      <c r="J12" s="88" t="s">
        <v>317</v>
      </c>
      <c r="K12" s="88" t="s">
        <v>317</v>
      </c>
      <c r="L12" s="5" t="s">
        <v>317</v>
      </c>
      <c r="M12" s="5" t="s">
        <v>317</v>
      </c>
      <c r="N12" s="5" t="s">
        <v>317</v>
      </c>
      <c r="O12" s="5" t="s">
        <v>317</v>
      </c>
      <c r="P12" s="85" t="s">
        <v>317</v>
      </c>
      <c r="Q12" s="10" t="s">
        <v>317</v>
      </c>
      <c r="R12" s="10" t="s">
        <v>317</v>
      </c>
      <c r="S12" s="10" t="s">
        <v>317</v>
      </c>
      <c r="T12" s="88" t="s">
        <v>317</v>
      </c>
      <c r="U12" s="88" t="s">
        <v>317</v>
      </c>
      <c r="V12" s="88" t="s">
        <v>317</v>
      </c>
      <c r="W12" s="5" t="s">
        <v>317</v>
      </c>
      <c r="X12" s="5" t="s">
        <v>317</v>
      </c>
      <c r="Y12" s="92" t="s">
        <v>317</v>
      </c>
      <c r="Z12" s="5" t="s">
        <v>317</v>
      </c>
      <c r="AA12" s="5" t="s">
        <v>317</v>
      </c>
      <c r="AB12" s="88" t="s">
        <v>317</v>
      </c>
      <c r="AC12" s="88" t="s">
        <v>317</v>
      </c>
    </row>
    <row r="13" customFormat="false" ht="12.8" hidden="false" customHeight="false" outlineLevel="0" collapsed="false"/>
    <row r="14" customFormat="false" ht="15" hidden="false" customHeight="false" outlineLevel="0" collapsed="false">
      <c r="A14" s="100" t="s">
        <v>176</v>
      </c>
      <c r="B14" s="33" t="s">
        <v>190</v>
      </c>
      <c r="C14" s="33" t="s">
        <v>318</v>
      </c>
      <c r="D14" s="33" t="s">
        <v>319</v>
      </c>
      <c r="E14" s="33" t="s">
        <v>20</v>
      </c>
      <c r="F14" s="101" t="s">
        <v>328</v>
      </c>
      <c r="G14" s="36" t="s">
        <v>352</v>
      </c>
      <c r="H14" s="103" t="s">
        <v>1190</v>
      </c>
      <c r="I14" s="103" t="s">
        <v>1191</v>
      </c>
      <c r="J14" s="103" t="s">
        <v>1192</v>
      </c>
      <c r="K14" s="103" t="s">
        <v>1193</v>
      </c>
      <c r="L14" s="107" t="s">
        <v>1194</v>
      </c>
      <c r="M14" s="107" t="s">
        <v>1195</v>
      </c>
      <c r="N14" s="107" t="s">
        <v>1196</v>
      </c>
      <c r="O14" s="107" t="s">
        <v>1197</v>
      </c>
      <c r="P14" s="101" t="s">
        <v>1198</v>
      </c>
      <c r="Q14" s="36" t="s">
        <v>1199</v>
      </c>
      <c r="R14" s="36" t="s">
        <v>1200</v>
      </c>
      <c r="S14" s="36" t="s">
        <v>1201</v>
      </c>
      <c r="T14" s="103" t="s">
        <v>1202</v>
      </c>
      <c r="U14" s="103" t="s">
        <v>1203</v>
      </c>
      <c r="V14" s="103" t="s">
        <v>1204</v>
      </c>
      <c r="W14" s="107" t="s">
        <v>1205</v>
      </c>
      <c r="X14" s="107" t="s">
        <v>1206</v>
      </c>
      <c r="Y14" s="105" t="s">
        <v>1207</v>
      </c>
      <c r="Z14" s="107" t="s">
        <v>1208</v>
      </c>
      <c r="AA14" s="107" t="s">
        <v>1209</v>
      </c>
      <c r="AB14" s="103" t="s">
        <v>1210</v>
      </c>
      <c r="AC14" s="103" t="s">
        <v>1211</v>
      </c>
    </row>
    <row r="15" customFormat="false" ht="15" hidden="false" customHeight="false" outlineLevel="0" collapsed="false">
      <c r="A15" s="0" t="str">
        <f aca="false">INDEX(Prioritization!$D:$D,MATCH($B15,Prioritization!$A:$A,0))</f>
        <v>Military</v>
      </c>
      <c r="B15" s="0" t="s">
        <v>194</v>
      </c>
      <c r="C15" s="0" t="s">
        <v>807</v>
      </c>
      <c r="D15" s="0" t="s">
        <v>30</v>
      </c>
      <c r="E15" s="9" t="str">
        <f aca="false">B15&amp;"|"&amp;C15&amp;"|"&amp;D15</f>
        <v>_Military Malawi [PQZgU9dagaH]|&lt;15|Female</v>
      </c>
      <c r="F15" s="85" t="n">
        <f aca="false">IFERROR(1/(1/SUM(SUMIFS(Cascade!$O:$O,Cascade!$B:$B,$B15,Cascade!$C:$C,IF($C15="&lt;15",{"=&lt;01","01-09","10-14"},{"15-24","25-34","35-49","50+"}),Cascade!$D:$D,$D15))),"")</f>
        <v>1</v>
      </c>
      <c r="G15" s="10" t="str">
        <f aca="false">IFERROR(1/(1/SUM(SUMIFS(Cascade!$AX:$AX,Cascade!$B:$B,$B15,Cascade!$C:$C,IF($C15="&lt;15",{"=&lt;01","01-09","10-14"},{"15-24","25-34","35-49","50+"}),Cascade!$D:$D,$D15))),"")</f>
        <v/>
      </c>
      <c r="H15" s="88" t="n">
        <f aca="false">1</f>
        <v>1</v>
      </c>
      <c r="I15" s="88" t="n">
        <f aca="false">1</f>
        <v>1</v>
      </c>
      <c r="J15" s="88"/>
      <c r="K15" s="88"/>
      <c r="L15" s="5" t="n">
        <f aca="false">IF(SUM($F15)=0,"",ROUND($F15*$H15*$J15,0))</f>
        <v>0</v>
      </c>
      <c r="M15" s="5" t="n">
        <f aca="false">IF(SUM($F15)=0,"",ROUND($F15*$H15,0)-$L15)</f>
        <v>1</v>
      </c>
      <c r="N15" s="5" t="str">
        <f aca="false">IF(SUM($G15)=0,"",ROUND($G15*$I15*$K15,0))</f>
        <v/>
      </c>
      <c r="O15" s="5" t="str">
        <f aca="false">IF(SUM($G15)=0,"",ROUND($G15*$I15,0)-$N15)</f>
        <v/>
      </c>
      <c r="P15" s="10" t="n">
        <v>8</v>
      </c>
      <c r="Q15" s="10"/>
      <c r="R15" s="10" t="n">
        <v>10</v>
      </c>
      <c r="S15" s="10" t="n">
        <f aca="false">IFERROR(1/(1/SUM($P15,$R15,$Q15)),"")</f>
        <v>18</v>
      </c>
      <c r="T15" s="88" t="n">
        <f aca="false">IF(SUM($F15)=0,"",MIN($S15/$F15,1))</f>
        <v>1</v>
      </c>
      <c r="U15" s="88" t="n">
        <f aca="false">1</f>
        <v>1</v>
      </c>
      <c r="V15" s="88" t="n">
        <f aca="false">1</f>
        <v>1</v>
      </c>
      <c r="W15" s="5" t="n">
        <f aca="false">IF(SUM($M15)=0,"",IF($T15="","ENTER ELIGIBILITY RATE",IF($U15 = "","ENTER INITIATION RATE",ROUND($M15*$T15*$U15,0))))</f>
        <v>1</v>
      </c>
      <c r="X15" s="5" t="str">
        <f aca="false">IF(SUM($O15)=0,"",IF($V15="","ENTER INITIATION RATE",ROUND($O15*$V15,0)))</f>
        <v/>
      </c>
      <c r="Y15" s="92" t="n">
        <f aca="false">0.9</f>
        <v>0.9</v>
      </c>
      <c r="Z15" s="5" t="n">
        <f aca="false">IF(SUM($W15)=0,"",IF($Y15="","ENTER COMPLETION RATE",ROUND($W15*$Y15,0)))</f>
        <v>1</v>
      </c>
      <c r="AA15" s="5" t="str">
        <f aca="false">IF(SUM($X15)=0,"",IF($X15="","ENTER COMPLETION RATE",ROUND($X15*$Y15,0)))</f>
        <v/>
      </c>
      <c r="AB15" s="88" t="str">
        <f aca="false">IF(SUM($Q15)=0,"",(SUM($Z15)-$Q15)/$Q15)</f>
        <v/>
      </c>
      <c r="AC15" s="88" t="n">
        <f aca="false">IF(SUM($R15)=0,"",(SUM($AA15)-$R15)/$R15)</f>
        <v>-1</v>
      </c>
    </row>
    <row r="16" customFormat="false" ht="15" hidden="false" customHeight="false" outlineLevel="0" collapsed="false">
      <c r="A16" s="0" t="str">
        <f aca="false">INDEX(Prioritization!$D:$D,MATCH($B16,Prioritization!$A:$A,0))</f>
        <v>Military</v>
      </c>
      <c r="B16" s="0" t="s">
        <v>194</v>
      </c>
      <c r="C16" s="0" t="s">
        <v>807</v>
      </c>
      <c r="D16" s="0" t="s">
        <v>48</v>
      </c>
      <c r="E16" s="0" t="str">
        <f aca="false">B16&amp;"|"&amp;C16&amp;"|"&amp;D16</f>
        <v>_Military Malawi [PQZgU9dagaH]|&lt;15|Male</v>
      </c>
      <c r="F16" s="10" t="str">
        <f aca="false">IFERROR(1/(1/SUM(SUMIFS(Cascade!$O:$O,Cascade!$B:$B,$B16,Cascade!$C:$C,IF($C16="&lt;15",{"=&lt;01","01-09","10-14"},{"15-24","25-34","35-49","50+"}),Cascade!$D:$D,$D16))),"")</f>
        <v/>
      </c>
      <c r="G16" s="10" t="str">
        <f aca="false">IFERROR(1/(1/SUM(SUMIFS(Cascade!$AX:$AX,Cascade!$B:$B,$B16,Cascade!$C:$C,IF($C16="&lt;15",{"=&lt;01","01-09","10-14"},{"15-24","25-34","35-49","50+"}),Cascade!$D:$D,$D16))),"")</f>
        <v/>
      </c>
      <c r="H16" s="88" t="n">
        <f aca="false">1</f>
        <v>1</v>
      </c>
      <c r="I16" s="88" t="n">
        <f aca="false">1</f>
        <v>1</v>
      </c>
      <c r="J16" s="88" t="n">
        <v>0.0136183016002178</v>
      </c>
      <c r="K16" s="88"/>
      <c r="L16" s="39" t="str">
        <f aca="false">IF(SUM($F16)=0,"",ROUND($F16*$H16*$J16,0))</f>
        <v/>
      </c>
      <c r="M16" s="39" t="str">
        <f aca="false">IF(SUM($F16)=0,"",ROUND($F16*$H16,0)-$L16)</f>
        <v/>
      </c>
      <c r="N16" s="39" t="str">
        <f aca="false">IF(SUM($G16)=0,"",ROUND($G16*$I16*$K16,0))</f>
        <v/>
      </c>
      <c r="O16" s="39" t="str">
        <f aca="false">IF(SUM($G16)=0,"",ROUND($G16*$I16,0)-$N16)</f>
        <v/>
      </c>
      <c r="P16" s="10" t="n">
        <v>0</v>
      </c>
      <c r="Q16" s="10"/>
      <c r="R16" s="10" t="n">
        <v>3</v>
      </c>
      <c r="S16" s="10" t="n">
        <f aca="false">IFERROR(1/(1/SUM($P16,$R16,$Q16)),"")</f>
        <v>3</v>
      </c>
      <c r="T16" s="88" t="str">
        <f aca="false">IF(SUM($F16)=0,"",MIN($S16/$F16,1))</f>
        <v/>
      </c>
      <c r="U16" s="88" t="n">
        <f aca="false">1</f>
        <v>1</v>
      </c>
      <c r="V16" s="88" t="n">
        <f aca="false">1</f>
        <v>1</v>
      </c>
      <c r="W16" s="39" t="str">
        <f aca="false">IF(SUM($M16)=0,"",IF($T16="","ENTER ELIGIBILITY RATE",IF($U16 = "","ENTER INITIATION RATE",ROUND($M16*$T16*$U16,0))))</f>
        <v/>
      </c>
      <c r="X16" s="39" t="str">
        <f aca="false">IF(SUM($O16)=0,"",IF($V16="","ENTER INITIATION RATE",ROUND($O16*$V16,0)))</f>
        <v/>
      </c>
      <c r="Y16" s="88" t="n">
        <f aca="false">0.9</f>
        <v>0.9</v>
      </c>
      <c r="Z16" s="39" t="str">
        <f aca="false">IF(SUM($W16)=0,"",IF($Y16="","ENTER COMPLETION RATE",ROUND($W16*$Y16,0)))</f>
        <v/>
      </c>
      <c r="AA16" s="39" t="str">
        <f aca="false">IF(SUM($X16)=0,"",IF($X16="","ENTER COMPLETION RATE",ROUND($X16*$Y16,0)))</f>
        <v/>
      </c>
      <c r="AB16" s="88" t="str">
        <f aca="false">IF(SUM($Q16)=0,"",(SUM($Z16)-$Q16)/$Q16)</f>
        <v/>
      </c>
      <c r="AC16" s="88" t="n">
        <f aca="false">IF(SUM($R16)=0,"",(SUM($AA16)-$R16)/$R16)</f>
        <v>-1</v>
      </c>
    </row>
    <row r="17" customFormat="false" ht="15" hidden="false" customHeight="false" outlineLevel="0" collapsed="false">
      <c r="A17" s="0" t="str">
        <f aca="false">INDEX(Prioritization!$D:$D,MATCH($B17,Prioritization!$A:$A,0))</f>
        <v>Military</v>
      </c>
      <c r="B17" s="0" t="s">
        <v>194</v>
      </c>
      <c r="C17" s="0" t="s">
        <v>808</v>
      </c>
      <c r="D17" s="0" t="s">
        <v>30</v>
      </c>
      <c r="E17" s="0" t="str">
        <f aca="false">B17&amp;"|"&amp;C17&amp;"|"&amp;D17</f>
        <v>_Military Malawi [PQZgU9dagaH]|15+|Female</v>
      </c>
      <c r="F17" s="10" t="str">
        <f aca="false">IFERROR(1/(1/SUM(SUMIFS(Cascade!$O:$O,Cascade!$B:$B,$B17,Cascade!$C:$C,IF($C17="&lt;15",{"=&lt;01","01-09","10-14"},{"15-24","25-34","35-49","50+"}),Cascade!$D:$D,$D17))),"")</f>
        <v/>
      </c>
      <c r="G17" s="10" t="str">
        <f aca="false">IFERROR(1/(1/SUM(SUMIFS(Cascade!$AX:$AX,Cascade!$B:$B,$B17,Cascade!$C:$C,IF($C17="&lt;15",{"=&lt;01","01-09","10-14"},{"15-24","25-34","35-49","50+"}),Cascade!$D:$D,$D17))),"")</f>
        <v/>
      </c>
      <c r="H17" s="88" t="n">
        <f aca="false">1</f>
        <v>1</v>
      </c>
      <c r="I17" s="88" t="n">
        <f aca="false">1</f>
        <v>1</v>
      </c>
      <c r="J17" s="88"/>
      <c r="K17" s="88"/>
      <c r="L17" s="39" t="str">
        <f aca="false">IF(SUM($F17)=0,"",ROUND($F17*$H17*$J17,0))</f>
        <v/>
      </c>
      <c r="M17" s="39" t="str">
        <f aca="false">IF(SUM($F17)=0,"",ROUND($F17*$H17,0)-$L17)</f>
        <v/>
      </c>
      <c r="N17" s="39" t="str">
        <f aca="false">IF(SUM($G17)=0,"",ROUND($G17*$I17*$K17,0))</f>
        <v/>
      </c>
      <c r="O17" s="39" t="str">
        <f aca="false">IF(SUM($G17)=0,"",ROUND($G17*$I17,0)-$N17)</f>
        <v/>
      </c>
      <c r="P17" s="10" t="n">
        <v>43</v>
      </c>
      <c r="Q17" s="10"/>
      <c r="R17" s="10" t="n">
        <v>26</v>
      </c>
      <c r="S17" s="10" t="n">
        <f aca="false">IFERROR(1/(1/SUM($P17,$R17,$Q17)),"")</f>
        <v>69</v>
      </c>
      <c r="T17" s="88" t="str">
        <f aca="false">IF(SUM($F17)=0,"",MIN($S17/$F17,1))</f>
        <v/>
      </c>
      <c r="U17" s="88" t="n">
        <f aca="false">1</f>
        <v>1</v>
      </c>
      <c r="V17" s="88" t="n">
        <f aca="false">1</f>
        <v>1</v>
      </c>
      <c r="W17" s="39" t="str">
        <f aca="false">IF(SUM($M17)=0,"",IF($T17="","ENTER ELIGIBILITY RATE",IF($U17 = "","ENTER INITIATION RATE",ROUND($M17*$T17*$U17,0))))</f>
        <v/>
      </c>
      <c r="X17" s="39" t="str">
        <f aca="false">IF(SUM($O17)=0,"",IF($V17="","ENTER INITIATION RATE",ROUND($O17*$V17,0)))</f>
        <v/>
      </c>
      <c r="Y17" s="88" t="n">
        <f aca="false">0.9</f>
        <v>0.9</v>
      </c>
      <c r="Z17" s="39" t="str">
        <f aca="false">IF(SUM($W17)=0,"",IF($Y17="","ENTER COMPLETION RATE",ROUND($W17*$Y17,0)))</f>
        <v/>
      </c>
      <c r="AA17" s="39" t="str">
        <f aca="false">IF(SUM($X17)=0,"",IF($X17="","ENTER COMPLETION RATE",ROUND($X17*$Y17,0)))</f>
        <v/>
      </c>
      <c r="AB17" s="88" t="str">
        <f aca="false">IF(SUM($Q17)=0,"",(SUM($Z17)-$Q17)/$Q17)</f>
        <v/>
      </c>
      <c r="AC17" s="88" t="n">
        <f aca="false">IF(SUM($R17)=0,"",(SUM($AA17)-$R17)/$R17)</f>
        <v>-1</v>
      </c>
    </row>
    <row r="18" customFormat="false" ht="15" hidden="false" customHeight="false" outlineLevel="0" collapsed="false">
      <c r="A18" s="0" t="str">
        <f aca="false">INDEX(Prioritization!$D:$D,MATCH($B18,Prioritization!$A:$A,0))</f>
        <v>Military</v>
      </c>
      <c r="B18" s="0" t="s">
        <v>194</v>
      </c>
      <c r="C18" s="0" t="s">
        <v>808</v>
      </c>
      <c r="D18" s="0" t="s">
        <v>48</v>
      </c>
      <c r="E18" s="0" t="str">
        <f aca="false">B18&amp;"|"&amp;C18&amp;"|"&amp;D18</f>
        <v>_Military Malawi [PQZgU9dagaH]|15+|Male</v>
      </c>
      <c r="F18" s="10" t="str">
        <f aca="false">IFERROR(1/(1/SUM(SUMIFS(Cascade!$O:$O,Cascade!$B:$B,$B18,Cascade!$C:$C,IF($C18="&lt;15",{"=&lt;01","01-09","10-14"},{"15-24","25-34","35-49","50+"}),Cascade!$D:$D,$D18))),"")</f>
        <v/>
      </c>
      <c r="G18" s="10" t="str">
        <f aca="false">IFERROR(1/(1/SUM(SUMIFS(Cascade!$AX:$AX,Cascade!$B:$B,$B18,Cascade!$C:$C,IF($C18="&lt;15",{"=&lt;01","01-09","10-14"},{"15-24","25-34","35-49","50+"}),Cascade!$D:$D,$D18))),"")</f>
        <v/>
      </c>
      <c r="H18" s="88" t="n">
        <f aca="false">1</f>
        <v>1</v>
      </c>
      <c r="I18" s="88" t="n">
        <f aca="false">1</f>
        <v>1</v>
      </c>
      <c r="J18" s="88"/>
      <c r="K18" s="88"/>
      <c r="L18" s="39" t="str">
        <f aca="false">IF(SUM($F18)=0,"",ROUND($F18*$H18*$J18,0))</f>
        <v/>
      </c>
      <c r="M18" s="39" t="str">
        <f aca="false">IF(SUM($F18)=0,"",ROUND($F18*$H18,0)-$L18)</f>
        <v/>
      </c>
      <c r="N18" s="39" t="str">
        <f aca="false">IF(SUM($G18)=0,"",ROUND($G18*$I18*$K18,0))</f>
        <v/>
      </c>
      <c r="O18" s="39" t="str">
        <f aca="false">IF(SUM($G18)=0,"",ROUND($G18*$I18,0)-$N18)</f>
        <v/>
      </c>
      <c r="P18" s="10" t="n">
        <v>33</v>
      </c>
      <c r="Q18" s="10"/>
      <c r="R18" s="10" t="n">
        <v>46</v>
      </c>
      <c r="S18" s="10" t="n">
        <f aca="false">IFERROR(1/(1/SUM($P18,$R18,$Q18)),"")</f>
        <v>79</v>
      </c>
      <c r="T18" s="88" t="str">
        <f aca="false">IF(SUM($F18)=0,"",MIN($S18/$F18,1))</f>
        <v/>
      </c>
      <c r="U18" s="88" t="n">
        <f aca="false">1</f>
        <v>1</v>
      </c>
      <c r="V18" s="88" t="n">
        <f aca="false">1</f>
        <v>1</v>
      </c>
      <c r="W18" s="39" t="str">
        <f aca="false">IF(SUM($M18)=0,"",IF($T18="","ENTER ELIGIBILITY RATE",IF($U18 = "","ENTER INITIATION RATE",ROUND($M18*$T18*$U18,0))))</f>
        <v/>
      </c>
      <c r="X18" s="39" t="str">
        <f aca="false">IF(SUM($O18)=0,"",IF($V18="","ENTER INITIATION RATE",ROUND($O18*$V18,0)))</f>
        <v/>
      </c>
      <c r="Y18" s="88" t="n">
        <f aca="false">0.9</f>
        <v>0.9</v>
      </c>
      <c r="Z18" s="39" t="str">
        <f aca="false">IF(SUM($W18)=0,"",IF($Y18="","ENTER COMPLETION RATE",ROUND($W18*$Y18,0)))</f>
        <v/>
      </c>
      <c r="AA18" s="39" t="str">
        <f aca="false">IF(SUM($X18)=0,"",IF($X18="","ENTER COMPLETION RATE",ROUND($X18*$Y18,0)))</f>
        <v/>
      </c>
      <c r="AB18" s="88" t="str">
        <f aca="false">IF(SUM($Q18)=0,"",(SUM($Z18)-$Q18)/$Q18)</f>
        <v/>
      </c>
      <c r="AC18" s="88" t="n">
        <f aca="false">IF(SUM($R18)=0,"",(SUM($AA18)-$R18)/$R18)</f>
        <v>-1</v>
      </c>
    </row>
    <row r="19" customFormat="false" ht="15" hidden="false" customHeight="false" outlineLevel="0" collapsed="false">
      <c r="A19" s="0" t="str">
        <f aca="false">INDEX(Prioritization!$D:$D,MATCH($B19,Prioritization!$A:$A,0))</f>
        <v>1 - Scale-up: Saturation</v>
      </c>
      <c r="B19" s="0" t="s">
        <v>195</v>
      </c>
      <c r="C19" s="0" t="s">
        <v>807</v>
      </c>
      <c r="D19" s="0" t="s">
        <v>30</v>
      </c>
      <c r="E19" s="0" t="str">
        <f aca="false">B19&amp;"|"&amp;C19&amp;"|"&amp;D19</f>
        <v>Dedza District [PekKUkKHAzY]|&lt;15|Female</v>
      </c>
      <c r="F19" s="10" t="n">
        <f aca="false">IFERROR(1/(1/SUM(SUMIFS(Cascade!$O:$O,Cascade!$B:$B,$B19,Cascade!$C:$C,IF($C19="&lt;15",{"=&lt;01","01-09","10-14"},{"15-24","25-34","35-49","50+"}),Cascade!$D:$D,$D19))),"")</f>
        <v>1</v>
      </c>
      <c r="G19" s="10" t="str">
        <f aca="false">IFERROR(1/(1/SUM(SUMIFS(Cascade!$AX:$AX,Cascade!$B:$B,$B19,Cascade!$C:$C,IF($C19="&lt;15",{"=&lt;01","01-09","10-14"},{"15-24","25-34","35-49","50+"}),Cascade!$D:$D,$D19))),"")</f>
        <v/>
      </c>
      <c r="H19" s="88" t="n">
        <f aca="false">1</f>
        <v>1</v>
      </c>
      <c r="I19" s="88" t="n">
        <f aca="false">1</f>
        <v>1</v>
      </c>
      <c r="J19" s="88"/>
      <c r="K19" s="88"/>
      <c r="L19" s="39" t="n">
        <f aca="false">IF(SUM($F19)=0,"",ROUND($F19*$H19*$J19,0))</f>
        <v>0</v>
      </c>
      <c r="M19" s="39" t="n">
        <f aca="false">IF(SUM($F19)=0,"",ROUND($F19*$H19,0)-$L19)</f>
        <v>1</v>
      </c>
      <c r="N19" s="39" t="str">
        <f aca="false">IF(SUM($G19)=0,"",ROUND($G19*$I19*$K19,0))</f>
        <v/>
      </c>
      <c r="O19" s="39" t="str">
        <f aca="false">IF(SUM($G19)=0,"",ROUND($G19*$I19,0)-$N19)</f>
        <v/>
      </c>
      <c r="P19" s="10" t="n">
        <v>3</v>
      </c>
      <c r="Q19" s="10"/>
      <c r="R19" s="10" t="n">
        <v>6</v>
      </c>
      <c r="S19" s="10" t="n">
        <f aca="false">IFERROR(1/(1/SUM($P19,$R19,$Q19)),"")</f>
        <v>9</v>
      </c>
      <c r="T19" s="88" t="n">
        <f aca="false">IF(SUM($F19)=0,"",MIN($S19/$F19,1))</f>
        <v>1</v>
      </c>
      <c r="U19" s="88" t="n">
        <f aca="false">1</f>
        <v>1</v>
      </c>
      <c r="V19" s="88" t="n">
        <f aca="false">1</f>
        <v>1</v>
      </c>
      <c r="W19" s="39" t="n">
        <f aca="false">IF(SUM($M19)=0,"",IF($T19="","ENTER ELIGIBILITY RATE",IF($U19 = "","ENTER INITIATION RATE",ROUND($M19*$T19*$U19,0))))</f>
        <v>1</v>
      </c>
      <c r="X19" s="39" t="str">
        <f aca="false">IF(SUM($O19)=0,"",IF($V19="","ENTER INITIATION RATE",ROUND($O19*$V19,0)))</f>
        <v/>
      </c>
      <c r="Y19" s="88" t="n">
        <f aca="false">0.9</f>
        <v>0.9</v>
      </c>
      <c r="Z19" s="39" t="n">
        <f aca="false">IF(SUM($W19)=0,"",IF($Y19="","ENTER COMPLETION RATE",ROUND($W19*$Y19,0)))</f>
        <v>1</v>
      </c>
      <c r="AA19" s="39" t="str">
        <f aca="false">IF(SUM($X19)=0,"",IF($X19="","ENTER COMPLETION RATE",ROUND($X19*$Y19,0)))</f>
        <v/>
      </c>
      <c r="AB19" s="88" t="str">
        <f aca="false">IF(SUM($Q19)=0,"",(SUM($Z19)-$Q19)/$Q19)</f>
        <v/>
      </c>
      <c r="AC19" s="88" t="n">
        <f aca="false">IF(SUM($R19)=0,"",(SUM($AA19)-$R19)/$R19)</f>
        <v>-1</v>
      </c>
    </row>
    <row r="20" customFormat="false" ht="15" hidden="false" customHeight="false" outlineLevel="0" collapsed="false">
      <c r="A20" s="0" t="str">
        <f aca="false">INDEX(Prioritization!$D:$D,MATCH($B20,Prioritization!$A:$A,0))</f>
        <v>1 - Scale-up: Saturation</v>
      </c>
      <c r="B20" s="0" t="s">
        <v>195</v>
      </c>
      <c r="C20" s="0" t="s">
        <v>807</v>
      </c>
      <c r="D20" s="0" t="s">
        <v>48</v>
      </c>
      <c r="E20" s="0" t="str">
        <f aca="false">B20&amp;"|"&amp;C20&amp;"|"&amp;D20</f>
        <v>Dedza District [PekKUkKHAzY]|&lt;15|Male</v>
      </c>
      <c r="F20" s="10" t="n">
        <f aca="false">IFERROR(1/(1/SUM(SUMIFS(Cascade!$O:$O,Cascade!$B:$B,$B20,Cascade!$C:$C,IF($C20="&lt;15",{"=&lt;01","01-09","10-14"},{"15-24","25-34","35-49","50+"}),Cascade!$D:$D,$D20))),"")</f>
        <v>1</v>
      </c>
      <c r="G20" s="10" t="str">
        <f aca="false">IFERROR(1/(1/SUM(SUMIFS(Cascade!$AX:$AX,Cascade!$B:$B,$B20,Cascade!$C:$C,IF($C20="&lt;15",{"=&lt;01","01-09","10-14"},{"15-24","25-34","35-49","50+"}),Cascade!$D:$D,$D20))),"")</f>
        <v/>
      </c>
      <c r="H20" s="88" t="n">
        <f aca="false">1</f>
        <v>1</v>
      </c>
      <c r="I20" s="88" t="n">
        <f aca="false">1</f>
        <v>1</v>
      </c>
      <c r="J20" s="88"/>
      <c r="K20" s="88"/>
      <c r="L20" s="39" t="n">
        <f aca="false">IF(SUM($F20)=0,"",ROUND($F20*$H20*$J20,0))</f>
        <v>0</v>
      </c>
      <c r="M20" s="39" t="n">
        <f aca="false">IF(SUM($F20)=0,"",ROUND($F20*$H20,0)-$L20)</f>
        <v>1</v>
      </c>
      <c r="N20" s="39" t="str">
        <f aca="false">IF(SUM($G20)=0,"",ROUND($G20*$I20*$K20,0))</f>
        <v/>
      </c>
      <c r="O20" s="39" t="str">
        <f aca="false">IF(SUM($G20)=0,"",ROUND($G20*$I20,0)-$N20)</f>
        <v/>
      </c>
      <c r="P20" s="10" t="n">
        <v>6</v>
      </c>
      <c r="Q20" s="10"/>
      <c r="R20" s="10" t="n">
        <v>6</v>
      </c>
      <c r="S20" s="10" t="n">
        <f aca="false">IFERROR(1/(1/SUM($P20,$R20,$Q20)),"")</f>
        <v>12</v>
      </c>
      <c r="T20" s="88" t="n">
        <f aca="false">IF(SUM($F20)=0,"",MIN($S20/$F20,1))</f>
        <v>1</v>
      </c>
      <c r="U20" s="88" t="n">
        <f aca="false">1</f>
        <v>1</v>
      </c>
      <c r="V20" s="88" t="n">
        <f aca="false">1</f>
        <v>1</v>
      </c>
      <c r="W20" s="39" t="n">
        <f aca="false">IF(SUM($M20)=0,"",IF($T20="","ENTER ELIGIBILITY RATE",IF($U20 = "","ENTER INITIATION RATE",ROUND($M20*$T20*$U20,0))))</f>
        <v>1</v>
      </c>
      <c r="X20" s="39" t="str">
        <f aca="false">IF(SUM($O20)=0,"",IF($V20="","ENTER INITIATION RATE",ROUND($O20*$V20,0)))</f>
        <v/>
      </c>
      <c r="Y20" s="88" t="n">
        <f aca="false">0.9</f>
        <v>0.9</v>
      </c>
      <c r="Z20" s="39" t="n">
        <f aca="false">IF(SUM($W20)=0,"",IF($Y20="","ENTER COMPLETION RATE",ROUND($W20*$Y20,0)))</f>
        <v>1</v>
      </c>
      <c r="AA20" s="39" t="str">
        <f aca="false">IF(SUM($X20)=0,"",IF($X20="","ENTER COMPLETION RATE",ROUND($X20*$Y20,0)))</f>
        <v/>
      </c>
      <c r="AB20" s="88" t="str">
        <f aca="false">IF(SUM($Q20)=0,"",(SUM($Z20)-$Q20)/$Q20)</f>
        <v/>
      </c>
      <c r="AC20" s="88" t="n">
        <f aca="false">IF(SUM($R20)=0,"",(SUM($AA20)-$R20)/$R20)</f>
        <v>-1</v>
      </c>
    </row>
    <row r="21" customFormat="false" ht="15" hidden="false" customHeight="false" outlineLevel="0" collapsed="false">
      <c r="A21" s="0" t="str">
        <f aca="false">INDEX(Prioritization!$D:$D,MATCH($B21,Prioritization!$A:$A,0))</f>
        <v>1 - Scale-up: Saturation</v>
      </c>
      <c r="B21" s="0" t="s">
        <v>195</v>
      </c>
      <c r="C21" s="0" t="s">
        <v>808</v>
      </c>
      <c r="D21" s="0" t="s">
        <v>30</v>
      </c>
      <c r="E21" s="0" t="str">
        <f aca="false">B21&amp;"|"&amp;C21&amp;"|"&amp;D21</f>
        <v>Dedza District [PekKUkKHAzY]|15+|Female</v>
      </c>
      <c r="F21" s="10" t="str">
        <f aca="false">IFERROR(1/(1/SUM(SUMIFS(Cascade!$O:$O,Cascade!$B:$B,$B21,Cascade!$C:$C,IF($C21="&lt;15",{"=&lt;01","01-09","10-14"},{"15-24","25-34","35-49","50+"}),Cascade!$D:$D,$D21))),"")</f>
        <v/>
      </c>
      <c r="G21" s="10" t="str">
        <f aca="false">IFERROR(1/(1/SUM(SUMIFS(Cascade!$AX:$AX,Cascade!$B:$B,$B21,Cascade!$C:$C,IF($C21="&lt;15",{"=&lt;01","01-09","10-14"},{"15-24","25-34","35-49","50+"}),Cascade!$D:$D,$D21))),"")</f>
        <v/>
      </c>
      <c r="H21" s="88" t="n">
        <f aca="false">1</f>
        <v>1</v>
      </c>
      <c r="I21" s="88" t="n">
        <f aca="false">1</f>
        <v>1</v>
      </c>
      <c r="J21" s="88"/>
      <c r="K21" s="88"/>
      <c r="L21" s="39" t="str">
        <f aca="false">IF(SUM($F21)=0,"",ROUND($F21*$H21*$J21,0))</f>
        <v/>
      </c>
      <c r="M21" s="39" t="str">
        <f aca="false">IF(SUM($F21)=0,"",ROUND($F21*$H21,0)-$L21)</f>
        <v/>
      </c>
      <c r="N21" s="39" t="str">
        <f aca="false">IF(SUM($G21)=0,"",ROUND($G21*$I21*$K21,0))</f>
        <v/>
      </c>
      <c r="O21" s="39" t="str">
        <f aca="false">IF(SUM($G21)=0,"",ROUND($G21*$I21,0)-$N21)</f>
        <v/>
      </c>
      <c r="P21" s="10" t="n">
        <v>49</v>
      </c>
      <c r="Q21" s="10"/>
      <c r="R21" s="10" t="n">
        <v>10</v>
      </c>
      <c r="S21" s="10" t="n">
        <f aca="false">IFERROR(1/(1/SUM($P21,$R21,$Q21)),"")</f>
        <v>59</v>
      </c>
      <c r="T21" s="88" t="str">
        <f aca="false">IF(SUM($F21)=0,"",MIN($S21/$F21,1))</f>
        <v/>
      </c>
      <c r="U21" s="88" t="n">
        <f aca="false">1</f>
        <v>1</v>
      </c>
      <c r="V21" s="88" t="n">
        <f aca="false">1</f>
        <v>1</v>
      </c>
      <c r="W21" s="39" t="str">
        <f aca="false">IF(SUM($M21)=0,"",IF($T21="","ENTER ELIGIBILITY RATE",IF($U21 = "","ENTER INITIATION RATE",ROUND($M21*$T21*$U21,0))))</f>
        <v/>
      </c>
      <c r="X21" s="39" t="str">
        <f aca="false">IF(SUM($O21)=0,"",IF($V21="","ENTER INITIATION RATE",ROUND($O21*$V21,0)))</f>
        <v/>
      </c>
      <c r="Y21" s="88" t="n">
        <f aca="false">0.9</f>
        <v>0.9</v>
      </c>
      <c r="Z21" s="39" t="str">
        <f aca="false">IF(SUM($W21)=0,"",IF($Y21="","ENTER COMPLETION RATE",ROUND($W21*$Y21,0)))</f>
        <v/>
      </c>
      <c r="AA21" s="39" t="str">
        <f aca="false">IF(SUM($X21)=0,"",IF($X21="","ENTER COMPLETION RATE",ROUND($X21*$Y21,0)))</f>
        <v/>
      </c>
      <c r="AB21" s="88" t="str">
        <f aca="false">IF(SUM($Q21)=0,"",(SUM($Z21)-$Q21)/$Q21)</f>
        <v/>
      </c>
      <c r="AC21" s="88" t="n">
        <f aca="false">IF(SUM($R21)=0,"",(SUM($AA21)-$R21)/$R21)</f>
        <v>-1</v>
      </c>
    </row>
    <row r="22" customFormat="false" ht="15" hidden="false" customHeight="false" outlineLevel="0" collapsed="false">
      <c r="A22" s="0" t="str">
        <f aca="false">INDEX(Prioritization!$D:$D,MATCH($B22,Prioritization!$A:$A,0))</f>
        <v>1 - Scale-up: Saturation</v>
      </c>
      <c r="B22" s="0" t="s">
        <v>195</v>
      </c>
      <c r="C22" s="0" t="s">
        <v>808</v>
      </c>
      <c r="D22" s="0" t="s">
        <v>48</v>
      </c>
      <c r="E22" s="0" t="str">
        <f aca="false">B22&amp;"|"&amp;C22&amp;"|"&amp;D22</f>
        <v>Dedza District [PekKUkKHAzY]|15+|Male</v>
      </c>
      <c r="F22" s="10" t="str">
        <f aca="false">IFERROR(1/(1/SUM(SUMIFS(Cascade!$O:$O,Cascade!$B:$B,$B22,Cascade!$C:$C,IF($C22="&lt;15",{"=&lt;01","01-09","10-14"},{"15-24","25-34","35-49","50+"}),Cascade!$D:$D,$D22))),"")</f>
        <v/>
      </c>
      <c r="G22" s="10" t="str">
        <f aca="false">IFERROR(1/(1/SUM(SUMIFS(Cascade!$AX:$AX,Cascade!$B:$B,$B22,Cascade!$C:$C,IF($C22="&lt;15",{"=&lt;01","01-09","10-14"},{"15-24","25-34","35-49","50+"}),Cascade!$D:$D,$D22))),"")</f>
        <v/>
      </c>
      <c r="H22" s="88" t="n">
        <f aca="false">1</f>
        <v>1</v>
      </c>
      <c r="I22" s="88" t="n">
        <f aca="false">1</f>
        <v>1</v>
      </c>
      <c r="J22" s="88"/>
      <c r="K22" s="88"/>
      <c r="L22" s="39" t="str">
        <f aca="false">IF(SUM($F22)=0,"",ROUND($F22*$H22*$J22,0))</f>
        <v/>
      </c>
      <c r="M22" s="39" t="str">
        <f aca="false">IF(SUM($F22)=0,"",ROUND($F22*$H22,0)-$L22)</f>
        <v/>
      </c>
      <c r="N22" s="39" t="str">
        <f aca="false">IF(SUM($G22)=0,"",ROUND($G22*$I22*$K22,0))</f>
        <v/>
      </c>
      <c r="O22" s="39" t="str">
        <f aca="false">IF(SUM($G22)=0,"",ROUND($G22*$I22,0)-$N22)</f>
        <v/>
      </c>
      <c r="P22" s="10" t="n">
        <v>12</v>
      </c>
      <c r="Q22" s="10"/>
      <c r="R22" s="10" t="n">
        <v>94</v>
      </c>
      <c r="S22" s="10" t="n">
        <f aca="false">IFERROR(1/(1/SUM($P22,$R22,$Q22)),"")</f>
        <v>106</v>
      </c>
      <c r="T22" s="88" t="str">
        <f aca="false">IF(SUM($F22)=0,"",MIN($S22/$F22,1))</f>
        <v/>
      </c>
      <c r="U22" s="88" t="n">
        <f aca="false">1</f>
        <v>1</v>
      </c>
      <c r="V22" s="88" t="n">
        <f aca="false">1</f>
        <v>1</v>
      </c>
      <c r="W22" s="39" t="str">
        <f aca="false">IF(SUM($M22)=0,"",IF($T22="","ENTER ELIGIBILITY RATE",IF($U22 = "","ENTER INITIATION RATE",ROUND($M22*$T22*$U22,0))))</f>
        <v/>
      </c>
      <c r="X22" s="39" t="str">
        <f aca="false">IF(SUM($O22)=0,"",IF($V22="","ENTER INITIATION RATE",ROUND($O22*$V22,0)))</f>
        <v/>
      </c>
      <c r="Y22" s="88" t="n">
        <f aca="false">0.9</f>
        <v>0.9</v>
      </c>
      <c r="Z22" s="39" t="str">
        <f aca="false">IF(SUM($W22)=0,"",IF($Y22="","ENTER COMPLETION RATE",ROUND($W22*$Y22,0)))</f>
        <v/>
      </c>
      <c r="AA22" s="39" t="str">
        <f aca="false">IF(SUM($X22)=0,"",IF($X22="","ENTER COMPLETION RATE",ROUND($X22*$Y22,0)))</f>
        <v/>
      </c>
      <c r="AB22" s="88" t="str">
        <f aca="false">IF(SUM($Q22)=0,"",(SUM($Z22)-$Q22)/$Q22)</f>
        <v/>
      </c>
      <c r="AC22" s="88" t="n">
        <f aca="false">IF(SUM($R22)=0,"",(SUM($AA22)-$R22)/$R22)</f>
        <v>-1</v>
      </c>
    </row>
    <row r="23" customFormat="false" ht="15" hidden="false" customHeight="false" outlineLevel="0" collapsed="false">
      <c r="A23" s="0" t="str">
        <f aca="false">INDEX(Prioritization!$D:$D,MATCH($B23,Prioritization!$A:$A,0))</f>
        <v>1 - Scale-up: Saturation</v>
      </c>
      <c r="B23" s="0" t="s">
        <v>196</v>
      </c>
      <c r="C23" s="0" t="s">
        <v>807</v>
      </c>
      <c r="D23" s="0" t="s">
        <v>30</v>
      </c>
      <c r="E23" s="0" t="str">
        <f aca="false">B23&amp;"|"&amp;C23&amp;"|"&amp;D23</f>
        <v>Dowa District [zphK9WV8JB4]|&lt;15|Female</v>
      </c>
      <c r="F23" s="10" t="str">
        <f aca="false">IFERROR(1/(1/SUM(SUMIFS(Cascade!$O:$O,Cascade!$B:$B,$B23,Cascade!$C:$C,IF($C23="&lt;15",{"=&lt;01","01-09","10-14"},{"15-24","25-34","35-49","50+"}),Cascade!$D:$D,$D23))),"")</f>
        <v/>
      </c>
      <c r="G23" s="10" t="str">
        <f aca="false">IFERROR(1/(1/SUM(SUMIFS(Cascade!$AX:$AX,Cascade!$B:$B,$B23,Cascade!$C:$C,IF($C23="&lt;15",{"=&lt;01","01-09","10-14"},{"15-24","25-34","35-49","50+"}),Cascade!$D:$D,$D23))),"")</f>
        <v/>
      </c>
      <c r="H23" s="88" t="n">
        <f aca="false">1</f>
        <v>1</v>
      </c>
      <c r="I23" s="88" t="n">
        <f aca="false">1</f>
        <v>1</v>
      </c>
      <c r="J23" s="88"/>
      <c r="K23" s="88"/>
      <c r="L23" s="39" t="str">
        <f aca="false">IF(SUM($F23)=0,"",ROUND($F23*$H23*$J23,0))</f>
        <v/>
      </c>
      <c r="M23" s="39" t="str">
        <f aca="false">IF(SUM($F23)=0,"",ROUND($F23*$H23,0)-$L23)</f>
        <v/>
      </c>
      <c r="N23" s="39" t="str">
        <f aca="false">IF(SUM($G23)=0,"",ROUND($G23*$I23*$K23,0))</f>
        <v/>
      </c>
      <c r="O23" s="39" t="str">
        <f aca="false">IF(SUM($G23)=0,"",ROUND($G23*$I23,0)-$N23)</f>
        <v/>
      </c>
      <c r="P23" s="10" t="n">
        <v>0</v>
      </c>
      <c r="Q23" s="10"/>
      <c r="R23" s="10" t="n">
        <v>6</v>
      </c>
      <c r="S23" s="10" t="n">
        <f aca="false">IFERROR(1/(1/SUM($P23,$R23,$Q23)),"")</f>
        <v>6</v>
      </c>
      <c r="T23" s="88" t="str">
        <f aca="false">IF(SUM($F23)=0,"",MIN($S23/$F23,1))</f>
        <v/>
      </c>
      <c r="U23" s="88" t="n">
        <f aca="false">1</f>
        <v>1</v>
      </c>
      <c r="V23" s="88" t="n">
        <f aca="false">1</f>
        <v>1</v>
      </c>
      <c r="W23" s="39" t="str">
        <f aca="false">IF(SUM($M23)=0,"",IF($T23="","ENTER ELIGIBILITY RATE",IF($U23 = "","ENTER INITIATION RATE",ROUND($M23*$T23*$U23,0))))</f>
        <v/>
      </c>
      <c r="X23" s="39" t="str">
        <f aca="false">IF(SUM($O23)=0,"",IF($V23="","ENTER INITIATION RATE",ROUND($O23*$V23,0)))</f>
        <v/>
      </c>
      <c r="Y23" s="88" t="n">
        <f aca="false">0.9</f>
        <v>0.9</v>
      </c>
      <c r="Z23" s="39" t="str">
        <f aca="false">IF(SUM($W23)=0,"",IF($Y23="","ENTER COMPLETION RATE",ROUND($W23*$Y23,0)))</f>
        <v/>
      </c>
      <c r="AA23" s="39" t="str">
        <f aca="false">IF(SUM($X23)=0,"",IF($X23="","ENTER COMPLETION RATE",ROUND($X23*$Y23,0)))</f>
        <v/>
      </c>
      <c r="AB23" s="88" t="str">
        <f aca="false">IF(SUM($Q23)=0,"",(SUM($Z23)-$Q23)/$Q23)</f>
        <v/>
      </c>
      <c r="AC23" s="88" t="n">
        <f aca="false">IF(SUM($R23)=0,"",(SUM($AA23)-$R23)/$R23)</f>
        <v>-1</v>
      </c>
    </row>
    <row r="24" customFormat="false" ht="15" hidden="false" customHeight="false" outlineLevel="0" collapsed="false">
      <c r="A24" s="0" t="str">
        <f aca="false">INDEX(Prioritization!$D:$D,MATCH($B24,Prioritization!$A:$A,0))</f>
        <v>1 - Scale-up: Saturation</v>
      </c>
      <c r="B24" s="0" t="s">
        <v>196</v>
      </c>
      <c r="C24" s="0" t="s">
        <v>807</v>
      </c>
      <c r="D24" s="0" t="s">
        <v>48</v>
      </c>
      <c r="E24" s="0" t="str">
        <f aca="false">B24&amp;"|"&amp;C24&amp;"|"&amp;D24</f>
        <v>Dowa District [zphK9WV8JB4]|&lt;15|Male</v>
      </c>
      <c r="F24" s="10" t="n">
        <f aca="false">IFERROR(1/(1/SUM(SUMIFS(Cascade!$O:$O,Cascade!$B:$B,$B24,Cascade!$C:$C,IF($C24="&lt;15",{"=&lt;01","01-09","10-14"},{"15-24","25-34","35-49","50+"}),Cascade!$D:$D,$D24))),"")</f>
        <v>1</v>
      </c>
      <c r="G24" s="10" t="str">
        <f aca="false">IFERROR(1/(1/SUM(SUMIFS(Cascade!$AX:$AX,Cascade!$B:$B,$B24,Cascade!$C:$C,IF($C24="&lt;15",{"=&lt;01","01-09","10-14"},{"15-24","25-34","35-49","50+"}),Cascade!$D:$D,$D24))),"")</f>
        <v/>
      </c>
      <c r="H24" s="88" t="n">
        <f aca="false">1</f>
        <v>1</v>
      </c>
      <c r="I24" s="88" t="n">
        <f aca="false">1</f>
        <v>1</v>
      </c>
      <c r="J24" s="88"/>
      <c r="K24" s="88"/>
      <c r="L24" s="39" t="n">
        <f aca="false">IF(SUM($F24)=0,"",ROUND($F24*$H24*$J24,0))</f>
        <v>0</v>
      </c>
      <c r="M24" s="39" t="n">
        <f aca="false">IF(SUM($F24)=0,"",ROUND($F24*$H24,0)-$L24)</f>
        <v>1</v>
      </c>
      <c r="N24" s="39" t="str">
        <f aca="false">IF(SUM($G24)=0,"",ROUND($G24*$I24*$K24,0))</f>
        <v/>
      </c>
      <c r="O24" s="39" t="str">
        <f aca="false">IF(SUM($G24)=0,"",ROUND($G24*$I24,0)-$N24)</f>
        <v/>
      </c>
      <c r="P24" s="10" t="n">
        <v>8</v>
      </c>
      <c r="Q24" s="10"/>
      <c r="R24" s="10" t="n">
        <v>2</v>
      </c>
      <c r="S24" s="10" t="n">
        <f aca="false">IFERROR(1/(1/SUM($P24,$R24,$Q24)),"")</f>
        <v>10</v>
      </c>
      <c r="T24" s="88" t="n">
        <f aca="false">IF(SUM($F24)=0,"",MIN($S24/$F24,1))</f>
        <v>1</v>
      </c>
      <c r="U24" s="88" t="n">
        <f aca="false">1</f>
        <v>1</v>
      </c>
      <c r="V24" s="88" t="n">
        <f aca="false">1</f>
        <v>1</v>
      </c>
      <c r="W24" s="39" t="n">
        <f aca="false">IF(SUM($M24)=0,"",IF($T24="","ENTER ELIGIBILITY RATE",IF($U24 = "","ENTER INITIATION RATE",ROUND($M24*$T24*$U24,0))))</f>
        <v>1</v>
      </c>
      <c r="X24" s="39" t="str">
        <f aca="false">IF(SUM($O24)=0,"",IF($V24="","ENTER INITIATION RATE",ROUND($O24*$V24,0)))</f>
        <v/>
      </c>
      <c r="Y24" s="88" t="n">
        <f aca="false">0.9</f>
        <v>0.9</v>
      </c>
      <c r="Z24" s="39" t="n">
        <f aca="false">IF(SUM($W24)=0,"",IF($Y24="","ENTER COMPLETION RATE",ROUND($W24*$Y24,0)))</f>
        <v>1</v>
      </c>
      <c r="AA24" s="39" t="str">
        <f aca="false">IF(SUM($X24)=0,"",IF($X24="","ENTER COMPLETION RATE",ROUND($X24*$Y24,0)))</f>
        <v/>
      </c>
      <c r="AB24" s="88" t="str">
        <f aca="false">IF(SUM($Q24)=0,"",(SUM($Z24)-$Q24)/$Q24)</f>
        <v/>
      </c>
      <c r="AC24" s="88" t="n">
        <f aca="false">IF(SUM($R24)=0,"",(SUM($AA24)-$R24)/$R24)</f>
        <v>-1</v>
      </c>
    </row>
    <row r="25" customFormat="false" ht="15" hidden="false" customHeight="false" outlineLevel="0" collapsed="false">
      <c r="A25" s="0" t="str">
        <f aca="false">INDEX(Prioritization!$D:$D,MATCH($B25,Prioritization!$A:$A,0))</f>
        <v>1 - Scale-up: Saturation</v>
      </c>
      <c r="B25" s="0" t="s">
        <v>196</v>
      </c>
      <c r="C25" s="0" t="s">
        <v>808</v>
      </c>
      <c r="D25" s="0" t="s">
        <v>30</v>
      </c>
      <c r="E25" s="0" t="str">
        <f aca="false">B25&amp;"|"&amp;C25&amp;"|"&amp;D25</f>
        <v>Dowa District [zphK9WV8JB4]|15+|Female</v>
      </c>
      <c r="F25" s="10" t="str">
        <f aca="false">IFERROR(1/(1/SUM(SUMIFS(Cascade!$O:$O,Cascade!$B:$B,$B25,Cascade!$C:$C,IF($C25="&lt;15",{"=&lt;01","01-09","10-14"},{"15-24","25-34","35-49","50+"}),Cascade!$D:$D,$D25))),"")</f>
        <v/>
      </c>
      <c r="G25" s="10" t="str">
        <f aca="false">IFERROR(1/(1/SUM(SUMIFS(Cascade!$AX:$AX,Cascade!$B:$B,$B25,Cascade!$C:$C,IF($C25="&lt;15",{"=&lt;01","01-09","10-14"},{"15-24","25-34","35-49","50+"}),Cascade!$D:$D,$D25))),"")</f>
        <v/>
      </c>
      <c r="H25" s="88" t="n">
        <f aca="false">1</f>
        <v>1</v>
      </c>
      <c r="I25" s="88" t="n">
        <f aca="false">1</f>
        <v>1</v>
      </c>
      <c r="J25" s="88"/>
      <c r="K25" s="88"/>
      <c r="L25" s="39" t="str">
        <f aca="false">IF(SUM($F25)=0,"",ROUND($F25*$H25*$J25,0))</f>
        <v/>
      </c>
      <c r="M25" s="39" t="str">
        <f aca="false">IF(SUM($F25)=0,"",ROUND($F25*$H25,0)-$L25)</f>
        <v/>
      </c>
      <c r="N25" s="39" t="str">
        <f aca="false">IF(SUM($G25)=0,"",ROUND($G25*$I25*$K25,0))</f>
        <v/>
      </c>
      <c r="O25" s="39" t="str">
        <f aca="false">IF(SUM($G25)=0,"",ROUND($G25*$I25,0)-$N25)</f>
        <v/>
      </c>
      <c r="P25" s="10" t="n">
        <v>66</v>
      </c>
      <c r="Q25" s="10"/>
      <c r="R25" s="10" t="n">
        <v>55</v>
      </c>
      <c r="S25" s="10" t="n">
        <f aca="false">IFERROR(1/(1/SUM($P25,$R25,$Q25)),"")</f>
        <v>121</v>
      </c>
      <c r="T25" s="88" t="str">
        <f aca="false">IF(SUM($F25)=0,"",MIN($S25/$F25,1))</f>
        <v/>
      </c>
      <c r="U25" s="88" t="n">
        <f aca="false">1</f>
        <v>1</v>
      </c>
      <c r="V25" s="88" t="n">
        <f aca="false">1</f>
        <v>1</v>
      </c>
      <c r="W25" s="39" t="str">
        <f aca="false">IF(SUM($M25)=0,"",IF($T25="","ENTER ELIGIBILITY RATE",IF($U25 = "","ENTER INITIATION RATE",ROUND($M25*$T25*$U25,0))))</f>
        <v/>
      </c>
      <c r="X25" s="39" t="str">
        <f aca="false">IF(SUM($O25)=0,"",IF($V25="","ENTER INITIATION RATE",ROUND($O25*$V25,0)))</f>
        <v/>
      </c>
      <c r="Y25" s="88" t="n">
        <f aca="false">0.9</f>
        <v>0.9</v>
      </c>
      <c r="Z25" s="39" t="str">
        <f aca="false">IF(SUM($W25)=0,"",IF($Y25="","ENTER COMPLETION RATE",ROUND($W25*$Y25,0)))</f>
        <v/>
      </c>
      <c r="AA25" s="39" t="str">
        <f aca="false">IF(SUM($X25)=0,"",IF($X25="","ENTER COMPLETION RATE",ROUND($X25*$Y25,0)))</f>
        <v/>
      </c>
      <c r="AB25" s="88" t="str">
        <f aca="false">IF(SUM($Q25)=0,"",(SUM($Z25)-$Q25)/$Q25)</f>
        <v/>
      </c>
      <c r="AC25" s="88" t="n">
        <f aca="false">IF(SUM($R25)=0,"",(SUM($AA25)-$R25)/$R25)</f>
        <v>-1</v>
      </c>
    </row>
    <row r="26" customFormat="false" ht="15" hidden="false" customHeight="false" outlineLevel="0" collapsed="false">
      <c r="A26" s="0" t="str">
        <f aca="false">INDEX(Prioritization!$D:$D,MATCH($B26,Prioritization!$A:$A,0))</f>
        <v>1 - Scale-up: Saturation</v>
      </c>
      <c r="B26" s="0" t="s">
        <v>196</v>
      </c>
      <c r="C26" s="0" t="s">
        <v>808</v>
      </c>
      <c r="D26" s="0" t="s">
        <v>48</v>
      </c>
      <c r="E26" s="0" t="str">
        <f aca="false">B26&amp;"|"&amp;C26&amp;"|"&amp;D26</f>
        <v>Dowa District [zphK9WV8JB4]|15+|Male</v>
      </c>
      <c r="F26" s="10" t="str">
        <f aca="false">IFERROR(1/(1/SUM(SUMIFS(Cascade!$O:$O,Cascade!$B:$B,$B26,Cascade!$C:$C,IF($C26="&lt;15",{"=&lt;01","01-09","10-14"},{"15-24","25-34","35-49","50+"}),Cascade!$D:$D,$D26))),"")</f>
        <v/>
      </c>
      <c r="G26" s="10" t="str">
        <f aca="false">IFERROR(1/(1/SUM(SUMIFS(Cascade!$AX:$AX,Cascade!$B:$B,$B26,Cascade!$C:$C,IF($C26="&lt;15",{"=&lt;01","01-09","10-14"},{"15-24","25-34","35-49","50+"}),Cascade!$D:$D,$D26))),"")</f>
        <v/>
      </c>
      <c r="H26" s="88" t="n">
        <f aca="false">1</f>
        <v>1</v>
      </c>
      <c r="I26" s="88" t="n">
        <f aca="false">1</f>
        <v>1</v>
      </c>
      <c r="J26" s="88"/>
      <c r="K26" s="88"/>
      <c r="L26" s="39" t="str">
        <f aca="false">IF(SUM($F26)=0,"",ROUND($F26*$H26*$J26,0))</f>
        <v/>
      </c>
      <c r="M26" s="39" t="str">
        <f aca="false">IF(SUM($F26)=0,"",ROUND($F26*$H26,0)-$L26)</f>
        <v/>
      </c>
      <c r="N26" s="39" t="str">
        <f aca="false">IF(SUM($G26)=0,"",ROUND($G26*$I26*$K26,0))</f>
        <v/>
      </c>
      <c r="O26" s="39" t="str">
        <f aca="false">IF(SUM($G26)=0,"",ROUND($G26*$I26,0)-$N26)</f>
        <v/>
      </c>
      <c r="P26" s="10" t="n">
        <v>35</v>
      </c>
      <c r="Q26" s="10"/>
      <c r="R26" s="10" t="n">
        <v>91</v>
      </c>
      <c r="S26" s="10" t="n">
        <f aca="false">IFERROR(1/(1/SUM($P26,$R26,$Q26)),"")</f>
        <v>126</v>
      </c>
      <c r="T26" s="88" t="str">
        <f aca="false">IF(SUM($F26)=0,"",MIN($S26/$F26,1))</f>
        <v/>
      </c>
      <c r="U26" s="88" t="n">
        <f aca="false">1</f>
        <v>1</v>
      </c>
      <c r="V26" s="88" t="n">
        <f aca="false">1</f>
        <v>1</v>
      </c>
      <c r="W26" s="39" t="str">
        <f aca="false">IF(SUM($M26)=0,"",IF($T26="","ENTER ELIGIBILITY RATE",IF($U26 = "","ENTER INITIATION RATE",ROUND($M26*$T26*$U26,0))))</f>
        <v/>
      </c>
      <c r="X26" s="39" t="str">
        <f aca="false">IF(SUM($O26)=0,"",IF($V26="","ENTER INITIATION RATE",ROUND($O26*$V26,0)))</f>
        <v/>
      </c>
      <c r="Y26" s="88" t="n">
        <f aca="false">0.9</f>
        <v>0.9</v>
      </c>
      <c r="Z26" s="39" t="str">
        <f aca="false">IF(SUM($W26)=0,"",IF($Y26="","ENTER COMPLETION RATE",ROUND($W26*$Y26,0)))</f>
        <v/>
      </c>
      <c r="AA26" s="39" t="str">
        <f aca="false">IF(SUM($X26)=0,"",IF($X26="","ENTER COMPLETION RATE",ROUND($X26*$Y26,0)))</f>
        <v/>
      </c>
      <c r="AB26" s="88" t="str">
        <f aca="false">IF(SUM($Q26)=0,"",(SUM($Z26)-$Q26)/$Q26)</f>
        <v/>
      </c>
      <c r="AC26" s="88" t="n">
        <f aca="false">IF(SUM($R26)=0,"",(SUM($AA26)-$R26)/$R26)</f>
        <v>-1</v>
      </c>
    </row>
    <row r="27" customFormat="false" ht="15" hidden="false" customHeight="false" outlineLevel="0" collapsed="false">
      <c r="A27" s="0" t="str">
        <f aca="false">INDEX(Prioritization!$D:$D,MATCH($B27,Prioritization!$A:$A,0))</f>
        <v>INVALID</v>
      </c>
      <c r="B27" s="0" t="s">
        <v>197</v>
      </c>
      <c r="C27" s="0" t="s">
        <v>807</v>
      </c>
      <c r="D27" s="0" t="s">
        <v>30</v>
      </c>
      <c r="E27" s="0" t="str">
        <f aca="false">B27&amp;"|"&amp;C27&amp;"|"&amp;D27</f>
        <v>Kasungu District [JQKLKuVuY61]|&lt;15|Female</v>
      </c>
      <c r="F27" s="10" t="n">
        <f aca="false">IFERROR(1/(1/SUM(SUMIFS(Cascade!$O:$O,Cascade!$B:$B,$B27,Cascade!$C:$C,IF($C27="&lt;15",{"=&lt;01","01-09","10-14"},{"15-24","25-34","35-49","50+"}),Cascade!$D:$D,$D27))),"")</f>
        <v>1</v>
      </c>
      <c r="G27" s="10" t="str">
        <f aca="false">IFERROR(1/(1/SUM(SUMIFS(Cascade!$AX:$AX,Cascade!$B:$B,$B27,Cascade!$C:$C,IF($C27="&lt;15",{"=&lt;01","01-09","10-14"},{"15-24","25-34","35-49","50+"}),Cascade!$D:$D,$D27))),"")</f>
        <v/>
      </c>
      <c r="H27" s="88" t="n">
        <f aca="false">1</f>
        <v>1</v>
      </c>
      <c r="I27" s="88" t="n">
        <f aca="false">1</f>
        <v>1</v>
      </c>
      <c r="J27" s="88"/>
      <c r="K27" s="88"/>
      <c r="L27" s="39" t="n">
        <f aca="false">IF(SUM($F27)=0,"",ROUND($F27*$H27*$J27,0))</f>
        <v>0</v>
      </c>
      <c r="M27" s="39" t="n">
        <f aca="false">IF(SUM($F27)=0,"",ROUND($F27*$H27,0)-$L27)</f>
        <v>1</v>
      </c>
      <c r="N27" s="39" t="str">
        <f aca="false">IF(SUM($G27)=0,"",ROUND($G27*$I27*$K27,0))</f>
        <v/>
      </c>
      <c r="O27" s="39" t="str">
        <f aca="false">IF(SUM($G27)=0,"",ROUND($G27*$I27,0)-$N27)</f>
        <v/>
      </c>
      <c r="P27" s="10" t="n">
        <v>3</v>
      </c>
      <c r="Q27" s="10"/>
      <c r="R27" s="10" t="n">
        <v>9</v>
      </c>
      <c r="S27" s="10" t="n">
        <f aca="false">IFERROR(1/(1/SUM($P27,$R27,$Q27)),"")</f>
        <v>12</v>
      </c>
      <c r="T27" s="88" t="n">
        <f aca="false">IF(SUM($F27)=0,"",MIN($S27/$F27,1))</f>
        <v>1</v>
      </c>
      <c r="U27" s="88" t="n">
        <f aca="false">1</f>
        <v>1</v>
      </c>
      <c r="V27" s="88" t="n">
        <f aca="false">1</f>
        <v>1</v>
      </c>
      <c r="W27" s="39" t="n">
        <f aca="false">IF(SUM($M27)=0,"",IF($T27="","ENTER ELIGIBILITY RATE",IF($U27 = "","ENTER INITIATION RATE",ROUND($M27*$T27*$U27,0))))</f>
        <v>1</v>
      </c>
      <c r="X27" s="39" t="str">
        <f aca="false">IF(SUM($O27)=0,"",IF($V27="","ENTER INITIATION RATE",ROUND($O27*$V27,0)))</f>
        <v/>
      </c>
      <c r="Y27" s="88" t="n">
        <f aca="false">0.9</f>
        <v>0.9</v>
      </c>
      <c r="Z27" s="39" t="n">
        <f aca="false">IF(SUM($W27)=0,"",IF($Y27="","ENTER COMPLETION RATE",ROUND($W27*$Y27,0)))</f>
        <v>1</v>
      </c>
      <c r="AA27" s="39" t="str">
        <f aca="false">IF(SUM($X27)=0,"",IF($X27="","ENTER COMPLETION RATE",ROUND($X27*$Y27,0)))</f>
        <v/>
      </c>
      <c r="AB27" s="88" t="str">
        <f aca="false">IF(SUM($Q27)=0,"",(SUM($Z27)-$Q27)/$Q27)</f>
        <v/>
      </c>
      <c r="AC27" s="88" t="n">
        <f aca="false">IF(SUM($R27)=0,"",(SUM($AA27)-$R27)/$R27)</f>
        <v>-1</v>
      </c>
    </row>
    <row r="28" customFormat="false" ht="15" hidden="false" customHeight="false" outlineLevel="0" collapsed="false">
      <c r="A28" s="0" t="str">
        <f aca="false">INDEX(Prioritization!$D:$D,MATCH($B28,Prioritization!$A:$A,0))</f>
        <v>INVALID</v>
      </c>
      <c r="B28" s="0" t="s">
        <v>197</v>
      </c>
      <c r="C28" s="0" t="s">
        <v>807</v>
      </c>
      <c r="D28" s="0" t="s">
        <v>48</v>
      </c>
      <c r="E28" s="0" t="str">
        <f aca="false">B28&amp;"|"&amp;C28&amp;"|"&amp;D28</f>
        <v>Kasungu District [JQKLKuVuY61]|&lt;15|Male</v>
      </c>
      <c r="F28" s="10" t="n">
        <f aca="false">IFERROR(1/(1/SUM(SUMIFS(Cascade!$O:$O,Cascade!$B:$B,$B28,Cascade!$C:$C,IF($C28="&lt;15",{"=&lt;01","01-09","10-14"},{"15-24","25-34","35-49","50+"}),Cascade!$D:$D,$D28))),"")</f>
        <v>1</v>
      </c>
      <c r="G28" s="10" t="str">
        <f aca="false">IFERROR(1/(1/SUM(SUMIFS(Cascade!$AX:$AX,Cascade!$B:$B,$B28,Cascade!$C:$C,IF($C28="&lt;15",{"=&lt;01","01-09","10-14"},{"15-24","25-34","35-49","50+"}),Cascade!$D:$D,$D28))),"")</f>
        <v/>
      </c>
      <c r="H28" s="88" t="n">
        <f aca="false">1</f>
        <v>1</v>
      </c>
      <c r="I28" s="88" t="n">
        <f aca="false">1</f>
        <v>1</v>
      </c>
      <c r="J28" s="88"/>
      <c r="K28" s="88"/>
      <c r="L28" s="39" t="n">
        <f aca="false">IF(SUM($F28)=0,"",ROUND($F28*$H28*$J28,0))</f>
        <v>0</v>
      </c>
      <c r="M28" s="39" t="n">
        <f aca="false">IF(SUM($F28)=0,"",ROUND($F28*$H28,0)-$L28)</f>
        <v>1</v>
      </c>
      <c r="N28" s="39" t="str">
        <f aca="false">IF(SUM($G28)=0,"",ROUND($G28*$I28*$K28,0))</f>
        <v/>
      </c>
      <c r="O28" s="39" t="str">
        <f aca="false">IF(SUM($G28)=0,"",ROUND($G28*$I28,0)-$N28)</f>
        <v/>
      </c>
      <c r="P28" s="10" t="n">
        <v>10</v>
      </c>
      <c r="Q28" s="10"/>
      <c r="R28" s="10" t="n">
        <v>8</v>
      </c>
      <c r="S28" s="10" t="n">
        <f aca="false">IFERROR(1/(1/SUM($P28,$R28,$Q28)),"")</f>
        <v>18</v>
      </c>
      <c r="T28" s="88" t="n">
        <f aca="false">IF(SUM($F28)=0,"",MIN($S28/$F28,1))</f>
        <v>1</v>
      </c>
      <c r="U28" s="88" t="n">
        <f aca="false">1</f>
        <v>1</v>
      </c>
      <c r="V28" s="88" t="n">
        <f aca="false">1</f>
        <v>1</v>
      </c>
      <c r="W28" s="39" t="n">
        <f aca="false">IF(SUM($M28)=0,"",IF($T28="","ENTER ELIGIBILITY RATE",IF($U28 = "","ENTER INITIATION RATE",ROUND($M28*$T28*$U28,0))))</f>
        <v>1</v>
      </c>
      <c r="X28" s="39" t="str">
        <f aca="false">IF(SUM($O28)=0,"",IF($V28="","ENTER INITIATION RATE",ROUND($O28*$V28,0)))</f>
        <v/>
      </c>
      <c r="Y28" s="88" t="n">
        <f aca="false">0.9</f>
        <v>0.9</v>
      </c>
      <c r="Z28" s="39" t="n">
        <f aca="false">IF(SUM($W28)=0,"",IF($Y28="","ENTER COMPLETION RATE",ROUND($W28*$Y28,0)))</f>
        <v>1</v>
      </c>
      <c r="AA28" s="39" t="str">
        <f aca="false">IF(SUM($X28)=0,"",IF($X28="","ENTER COMPLETION RATE",ROUND($X28*$Y28,0)))</f>
        <v/>
      </c>
      <c r="AB28" s="88" t="str">
        <f aca="false">IF(SUM($Q28)=0,"",(SUM($Z28)-$Q28)/$Q28)</f>
        <v/>
      </c>
      <c r="AC28" s="88" t="n">
        <f aca="false">IF(SUM($R28)=0,"",(SUM($AA28)-$R28)/$R28)</f>
        <v>-1</v>
      </c>
    </row>
    <row r="29" customFormat="false" ht="15" hidden="false" customHeight="false" outlineLevel="0" collapsed="false">
      <c r="A29" s="0" t="str">
        <f aca="false">INDEX(Prioritization!$D:$D,MATCH($B29,Prioritization!$A:$A,0))</f>
        <v>INVALID</v>
      </c>
      <c r="B29" s="0" t="s">
        <v>197</v>
      </c>
      <c r="C29" s="0" t="s">
        <v>808</v>
      </c>
      <c r="D29" s="0" t="s">
        <v>30</v>
      </c>
      <c r="E29" s="0" t="str">
        <f aca="false">B29&amp;"|"&amp;C29&amp;"|"&amp;D29</f>
        <v>Kasungu District [JQKLKuVuY61]|15+|Female</v>
      </c>
      <c r="F29" s="10" t="str">
        <f aca="false">IFERROR(1/(1/SUM(SUMIFS(Cascade!$O:$O,Cascade!$B:$B,$B29,Cascade!$C:$C,IF($C29="&lt;15",{"=&lt;01","01-09","10-14"},{"15-24","25-34","35-49","50+"}),Cascade!$D:$D,$D29))),"")</f>
        <v/>
      </c>
      <c r="G29" s="10" t="str">
        <f aca="false">IFERROR(1/(1/SUM(SUMIFS(Cascade!$AX:$AX,Cascade!$B:$B,$B29,Cascade!$C:$C,IF($C29="&lt;15",{"=&lt;01","01-09","10-14"},{"15-24","25-34","35-49","50+"}),Cascade!$D:$D,$D29))),"")</f>
        <v/>
      </c>
      <c r="H29" s="88" t="n">
        <f aca="false">1</f>
        <v>1</v>
      </c>
      <c r="I29" s="88" t="n">
        <f aca="false">1</f>
        <v>1</v>
      </c>
      <c r="J29" s="88"/>
      <c r="K29" s="88"/>
      <c r="L29" s="39" t="str">
        <f aca="false">IF(SUM($F29)=0,"",ROUND($F29*$H29*$J29,0))</f>
        <v/>
      </c>
      <c r="M29" s="39" t="str">
        <f aca="false">IF(SUM($F29)=0,"",ROUND($F29*$H29,0)-$L29)</f>
        <v/>
      </c>
      <c r="N29" s="39" t="str">
        <f aca="false">IF(SUM($G29)=0,"",ROUND($G29*$I29*$K29,0))</f>
        <v/>
      </c>
      <c r="O29" s="39" t="str">
        <f aca="false">IF(SUM($G29)=0,"",ROUND($G29*$I29,0)-$N29)</f>
        <v/>
      </c>
      <c r="P29" s="10" t="n">
        <v>982</v>
      </c>
      <c r="Q29" s="10"/>
      <c r="R29" s="10" t="n">
        <v>55</v>
      </c>
      <c r="S29" s="10" t="n">
        <f aca="false">IFERROR(1/(1/SUM($P29,$R29,$Q29)),"")</f>
        <v>1037</v>
      </c>
      <c r="T29" s="88" t="str">
        <f aca="false">IF(SUM($F29)=0,"",MIN($S29/$F29,1))</f>
        <v/>
      </c>
      <c r="U29" s="88" t="n">
        <f aca="false">1</f>
        <v>1</v>
      </c>
      <c r="V29" s="88" t="n">
        <f aca="false">1</f>
        <v>1</v>
      </c>
      <c r="W29" s="39" t="str">
        <f aca="false">IF(SUM($M29)=0,"",IF($T29="","ENTER ELIGIBILITY RATE",IF($U29 = "","ENTER INITIATION RATE",ROUND($M29*$T29*$U29,0))))</f>
        <v/>
      </c>
      <c r="X29" s="39" t="str">
        <f aca="false">IF(SUM($O29)=0,"",IF($V29="","ENTER INITIATION RATE",ROUND($O29*$V29,0)))</f>
        <v/>
      </c>
      <c r="Y29" s="88" t="n">
        <f aca="false">0.9</f>
        <v>0.9</v>
      </c>
      <c r="Z29" s="39" t="str">
        <f aca="false">IF(SUM($W29)=0,"",IF($Y29="","ENTER COMPLETION RATE",ROUND($W29*$Y29,0)))</f>
        <v/>
      </c>
      <c r="AA29" s="39" t="str">
        <f aca="false">IF(SUM($X29)=0,"",IF($X29="","ENTER COMPLETION RATE",ROUND($X29*$Y29,0)))</f>
        <v/>
      </c>
      <c r="AB29" s="88" t="str">
        <f aca="false">IF(SUM($Q29)=0,"",(SUM($Z29)-$Q29)/$Q29)</f>
        <v/>
      </c>
      <c r="AC29" s="88" t="n">
        <f aca="false">IF(SUM($R29)=0,"",(SUM($AA29)-$R29)/$R29)</f>
        <v>-1</v>
      </c>
    </row>
    <row r="30" customFormat="false" ht="15" hidden="false" customHeight="false" outlineLevel="0" collapsed="false">
      <c r="A30" s="0" t="str">
        <f aca="false">INDEX(Prioritization!$D:$D,MATCH($B30,Prioritization!$A:$A,0))</f>
        <v>INVALID</v>
      </c>
      <c r="B30" s="0" t="s">
        <v>197</v>
      </c>
      <c r="C30" s="0" t="s">
        <v>808</v>
      </c>
      <c r="D30" s="0" t="s">
        <v>48</v>
      </c>
      <c r="E30" s="0" t="str">
        <f aca="false">B30&amp;"|"&amp;C30&amp;"|"&amp;D30</f>
        <v>Kasungu District [JQKLKuVuY61]|15+|Male</v>
      </c>
      <c r="F30" s="10" t="str">
        <f aca="false">IFERROR(1/(1/SUM(SUMIFS(Cascade!$O:$O,Cascade!$B:$B,$B30,Cascade!$C:$C,IF($C30="&lt;15",{"=&lt;01","01-09","10-14"},{"15-24","25-34","35-49","50+"}),Cascade!$D:$D,$D30))),"")</f>
        <v/>
      </c>
      <c r="G30" s="10" t="str">
        <f aca="false">IFERROR(1/(1/SUM(SUMIFS(Cascade!$AX:$AX,Cascade!$B:$B,$B30,Cascade!$C:$C,IF($C30="&lt;15",{"=&lt;01","01-09","10-14"},{"15-24","25-34","35-49","50+"}),Cascade!$D:$D,$D30))),"")</f>
        <v/>
      </c>
      <c r="H30" s="88" t="n">
        <f aca="false">1</f>
        <v>1</v>
      </c>
      <c r="I30" s="88" t="n">
        <f aca="false">1</f>
        <v>1</v>
      </c>
      <c r="J30" s="88"/>
      <c r="K30" s="88"/>
      <c r="L30" s="39" t="str">
        <f aca="false">IF(SUM($F30)=0,"",ROUND($F30*$H30*$J30,0))</f>
        <v/>
      </c>
      <c r="M30" s="39" t="str">
        <f aca="false">IF(SUM($F30)=0,"",ROUND($F30*$H30,0)-$L30)</f>
        <v/>
      </c>
      <c r="N30" s="39" t="str">
        <f aca="false">IF(SUM($G30)=0,"",ROUND($G30*$I30*$K30,0))</f>
        <v/>
      </c>
      <c r="O30" s="39" t="str">
        <f aca="false">IF(SUM($G30)=0,"",ROUND($G30*$I30,0)-$N30)</f>
        <v/>
      </c>
      <c r="P30" s="10" t="n">
        <v>97</v>
      </c>
      <c r="Q30" s="10"/>
      <c r="R30" s="10" t="n">
        <v>58</v>
      </c>
      <c r="S30" s="10" t="n">
        <f aca="false">IFERROR(1/(1/SUM($P30,$R30,$Q30)),"")</f>
        <v>155</v>
      </c>
      <c r="T30" s="88" t="str">
        <f aca="false">IF(SUM($F30)=0,"",MIN($S30/$F30,1))</f>
        <v/>
      </c>
      <c r="U30" s="88" t="n">
        <f aca="false">1</f>
        <v>1</v>
      </c>
      <c r="V30" s="88" t="n">
        <f aca="false">1</f>
        <v>1</v>
      </c>
      <c r="W30" s="39" t="str">
        <f aca="false">IF(SUM($M30)=0,"",IF($T30="","ENTER ELIGIBILITY RATE",IF($U30 = "","ENTER INITIATION RATE",ROUND($M30*$T30*$U30,0))))</f>
        <v/>
      </c>
      <c r="X30" s="39" t="str">
        <f aca="false">IF(SUM($O30)=0,"",IF($V30="","ENTER INITIATION RATE",ROUND($O30*$V30,0)))</f>
        <v/>
      </c>
      <c r="Y30" s="88" t="n">
        <f aca="false">0.9</f>
        <v>0.9</v>
      </c>
      <c r="Z30" s="39" t="str">
        <f aca="false">IF(SUM($W30)=0,"",IF($Y30="","ENTER COMPLETION RATE",ROUND($W30*$Y30,0)))</f>
        <v/>
      </c>
      <c r="AA30" s="39" t="str">
        <f aca="false">IF(SUM($X30)=0,"",IF($X30="","ENTER COMPLETION RATE",ROUND($X30*$Y30,0)))</f>
        <v/>
      </c>
      <c r="AB30" s="88" t="str">
        <f aca="false">IF(SUM($Q30)=0,"",(SUM($Z30)-$Q30)/$Q30)</f>
        <v/>
      </c>
      <c r="AC30" s="88" t="n">
        <f aca="false">IF(SUM($R30)=0,"",(SUM($AA30)-$R30)/$R30)</f>
        <v>-1</v>
      </c>
    </row>
    <row r="31" customFormat="false" ht="15" hidden="false" customHeight="false" outlineLevel="0" collapsed="false">
      <c r="A31" s="0" t="str">
        <f aca="false">INDEX(Prioritization!$D:$D,MATCH($B31,Prioritization!$A:$A,0))</f>
        <v>1 - Scale-up: Saturation</v>
      </c>
      <c r="B31" s="0" t="s">
        <v>198</v>
      </c>
      <c r="C31" s="0" t="s">
        <v>807</v>
      </c>
      <c r="D31" s="0" t="s">
        <v>30</v>
      </c>
      <c r="E31" s="0" t="str">
        <f aca="false">B31&amp;"|"&amp;C31&amp;"|"&amp;D31</f>
        <v>Lilongwe District [ScR9iFKAasW]|&lt;15|Female</v>
      </c>
      <c r="F31" s="10" t="n">
        <f aca="false">IFERROR(1/(1/SUM(SUMIFS(Cascade!$O:$O,Cascade!$B:$B,$B31,Cascade!$C:$C,IF($C31="&lt;15",{"=&lt;01","01-09","10-14"},{"15-24","25-34","35-49","50+"}),Cascade!$D:$D,$D31))),"")</f>
        <v>8</v>
      </c>
      <c r="G31" s="10" t="n">
        <f aca="false">IFERROR(1/(1/SUM(SUMIFS(Cascade!$AX:$AX,Cascade!$B:$B,$B31,Cascade!$C:$C,IF($C31="&lt;15",{"=&lt;01","01-09","10-14"},{"15-24","25-34","35-49","50+"}),Cascade!$D:$D,$D31))),"")</f>
        <v>6</v>
      </c>
      <c r="H31" s="88" t="n">
        <f aca="false">1</f>
        <v>1</v>
      </c>
      <c r="I31" s="88" t="n">
        <f aca="false">1</f>
        <v>1</v>
      </c>
      <c r="J31" s="88"/>
      <c r="K31" s="88"/>
      <c r="L31" s="39" t="n">
        <f aca="false">IF(SUM($F31)=0,"",ROUND($F31*$H31*$J31,0))</f>
        <v>0</v>
      </c>
      <c r="M31" s="39" t="n">
        <f aca="false">IF(SUM($F31)=0,"",ROUND($F31*$H31,0)-$L31)</f>
        <v>8</v>
      </c>
      <c r="N31" s="39" t="n">
        <f aca="false">IF(SUM($G31)=0,"",ROUND($G31*$I31*$K31,0))</f>
        <v>0</v>
      </c>
      <c r="O31" s="39" t="n">
        <f aca="false">IF(SUM($G31)=0,"",ROUND($G31*$I31,0)-$N31)</f>
        <v>6</v>
      </c>
      <c r="P31" s="10" t="n">
        <v>208</v>
      </c>
      <c r="Q31" s="10"/>
      <c r="R31" s="10" t="n">
        <v>85</v>
      </c>
      <c r="S31" s="10" t="n">
        <f aca="false">IFERROR(1/(1/SUM($P31,$R31,$Q31)),"")</f>
        <v>293</v>
      </c>
      <c r="T31" s="88" t="n">
        <f aca="false">IF(SUM($F31)=0,"",MIN($S31/$F31,1))</f>
        <v>1</v>
      </c>
      <c r="U31" s="88" t="n">
        <f aca="false">1</f>
        <v>1</v>
      </c>
      <c r="V31" s="88" t="n">
        <f aca="false">1</f>
        <v>1</v>
      </c>
      <c r="W31" s="39" t="n">
        <f aca="false">IF(SUM($M31)=0,"",IF($T31="","ENTER ELIGIBILITY RATE",IF($U31 = "","ENTER INITIATION RATE",ROUND($M31*$T31*$U31,0))))</f>
        <v>8</v>
      </c>
      <c r="X31" s="39" t="n">
        <f aca="false">IF(SUM($O31)=0,"",IF($V31="","ENTER INITIATION RATE",ROUND($O31*$V31,0)))</f>
        <v>6</v>
      </c>
      <c r="Y31" s="88" t="n">
        <f aca="false">0.9</f>
        <v>0.9</v>
      </c>
      <c r="Z31" s="39" t="n">
        <f aca="false">IF(SUM($W31)=0,"",IF($Y31="","ENTER COMPLETION RATE",ROUND($W31*$Y31,0)))</f>
        <v>7</v>
      </c>
      <c r="AA31" s="39" t="n">
        <f aca="false">IF(SUM($X31)=0,"",IF($X31="","ENTER COMPLETION RATE",ROUND($X31*$Y31,0)))</f>
        <v>5</v>
      </c>
      <c r="AB31" s="88" t="str">
        <f aca="false">IF(SUM($Q31)=0,"",(SUM($Z31)-$Q31)/$Q31)</f>
        <v/>
      </c>
      <c r="AC31" s="88" t="n">
        <f aca="false">IF(SUM($R31)=0,"",(SUM($AA31)-$R31)/$R31)</f>
        <v>-0.941176470588235</v>
      </c>
    </row>
    <row r="32" customFormat="false" ht="15" hidden="false" customHeight="false" outlineLevel="0" collapsed="false">
      <c r="A32" s="0" t="str">
        <f aca="false">INDEX(Prioritization!$D:$D,MATCH($B32,Prioritization!$A:$A,0))</f>
        <v>1 - Scale-up: Saturation</v>
      </c>
      <c r="B32" s="0" t="s">
        <v>198</v>
      </c>
      <c r="C32" s="0" t="s">
        <v>807</v>
      </c>
      <c r="D32" s="0" t="s">
        <v>48</v>
      </c>
      <c r="E32" s="0" t="str">
        <f aca="false">B32&amp;"|"&amp;C32&amp;"|"&amp;D32</f>
        <v>Lilongwe District [ScR9iFKAasW]|&lt;15|Male</v>
      </c>
      <c r="F32" s="10" t="n">
        <f aca="false">IFERROR(1/(1/SUM(SUMIFS(Cascade!$O:$O,Cascade!$B:$B,$B32,Cascade!$C:$C,IF($C32="&lt;15",{"=&lt;01","01-09","10-14"},{"15-24","25-34","35-49","50+"}),Cascade!$D:$D,$D32))),"")</f>
        <v>6</v>
      </c>
      <c r="G32" s="10" t="n">
        <f aca="false">IFERROR(1/(1/SUM(SUMIFS(Cascade!$AX:$AX,Cascade!$B:$B,$B32,Cascade!$C:$C,IF($C32="&lt;15",{"=&lt;01","01-09","10-14"},{"15-24","25-34","35-49","50+"}),Cascade!$D:$D,$D32))),"")</f>
        <v>6</v>
      </c>
      <c r="H32" s="88" t="n">
        <f aca="false">1</f>
        <v>1</v>
      </c>
      <c r="I32" s="88" t="n">
        <f aca="false">1</f>
        <v>1</v>
      </c>
      <c r="J32" s="88"/>
      <c r="K32" s="88"/>
      <c r="L32" s="39" t="n">
        <f aca="false">IF(SUM($F32)=0,"",ROUND($F32*$H32*$J32,0))</f>
        <v>0</v>
      </c>
      <c r="M32" s="39" t="n">
        <f aca="false">IF(SUM($F32)=0,"",ROUND($F32*$H32,0)-$L32)</f>
        <v>6</v>
      </c>
      <c r="N32" s="39" t="n">
        <f aca="false">IF(SUM($G32)=0,"",ROUND($G32*$I32*$K32,0))</f>
        <v>0</v>
      </c>
      <c r="O32" s="39" t="n">
        <f aca="false">IF(SUM($G32)=0,"",ROUND($G32*$I32,0)-$N32)</f>
        <v>6</v>
      </c>
      <c r="P32" s="10" t="n">
        <v>966</v>
      </c>
      <c r="Q32" s="10"/>
      <c r="R32" s="10" t="n">
        <v>95</v>
      </c>
      <c r="S32" s="10" t="n">
        <f aca="false">IFERROR(1/(1/SUM($P32,$R32,$Q32)),"")</f>
        <v>1061</v>
      </c>
      <c r="T32" s="88" t="n">
        <f aca="false">IF(SUM($F32)=0,"",MIN($S32/$F32,1))</f>
        <v>1</v>
      </c>
      <c r="U32" s="88" t="n">
        <f aca="false">1</f>
        <v>1</v>
      </c>
      <c r="V32" s="88" t="n">
        <f aca="false">1</f>
        <v>1</v>
      </c>
      <c r="W32" s="39" t="n">
        <f aca="false">IF(SUM($M32)=0,"",IF($T32="","ENTER ELIGIBILITY RATE",IF($U32 = "","ENTER INITIATION RATE",ROUND($M32*$T32*$U32,0))))</f>
        <v>6</v>
      </c>
      <c r="X32" s="39" t="n">
        <f aca="false">IF(SUM($O32)=0,"",IF($V32="","ENTER INITIATION RATE",ROUND($O32*$V32,0)))</f>
        <v>6</v>
      </c>
      <c r="Y32" s="88" t="n">
        <f aca="false">0.9</f>
        <v>0.9</v>
      </c>
      <c r="Z32" s="39" t="n">
        <f aca="false">IF(SUM($W32)=0,"",IF($Y32="","ENTER COMPLETION RATE",ROUND($W32*$Y32,0)))</f>
        <v>5</v>
      </c>
      <c r="AA32" s="39" t="n">
        <f aca="false">IF(SUM($X32)=0,"",IF($X32="","ENTER COMPLETION RATE",ROUND($X32*$Y32,0)))</f>
        <v>5</v>
      </c>
      <c r="AB32" s="88" t="str">
        <f aca="false">IF(SUM($Q32)=0,"",(SUM($Z32)-$Q32)/$Q32)</f>
        <v/>
      </c>
      <c r="AC32" s="88" t="n">
        <f aca="false">IF(SUM($R32)=0,"",(SUM($AA32)-$R32)/$R32)</f>
        <v>-0.947368421052632</v>
      </c>
    </row>
    <row r="33" customFormat="false" ht="15" hidden="false" customHeight="false" outlineLevel="0" collapsed="false">
      <c r="A33" s="0" t="str">
        <f aca="false">INDEX(Prioritization!$D:$D,MATCH($B33,Prioritization!$A:$A,0))</f>
        <v>1 - Scale-up: Saturation</v>
      </c>
      <c r="B33" s="0" t="s">
        <v>198</v>
      </c>
      <c r="C33" s="0" t="s">
        <v>808</v>
      </c>
      <c r="D33" s="0" t="s">
        <v>30</v>
      </c>
      <c r="E33" s="0" t="str">
        <f aca="false">B33&amp;"|"&amp;C33&amp;"|"&amp;D33</f>
        <v>Lilongwe District [ScR9iFKAasW]|15+|Female</v>
      </c>
      <c r="F33" s="10" t="str">
        <f aca="false">IFERROR(1/(1/SUM(SUMIFS(Cascade!$O:$O,Cascade!$B:$B,$B33,Cascade!$C:$C,IF($C33="&lt;15",{"=&lt;01","01-09","10-14"},{"15-24","25-34","35-49","50+"}),Cascade!$D:$D,$D33))),"")</f>
        <v/>
      </c>
      <c r="G33" s="10" t="str">
        <f aca="false">IFERROR(1/(1/SUM(SUMIFS(Cascade!$AX:$AX,Cascade!$B:$B,$B33,Cascade!$C:$C,IF($C33="&lt;15",{"=&lt;01","01-09","10-14"},{"15-24","25-34","35-49","50+"}),Cascade!$D:$D,$D33))),"")</f>
        <v/>
      </c>
      <c r="H33" s="88" t="n">
        <f aca="false">1</f>
        <v>1</v>
      </c>
      <c r="I33" s="88" t="n">
        <f aca="false">1</f>
        <v>1</v>
      </c>
      <c r="J33" s="88"/>
      <c r="K33" s="88"/>
      <c r="L33" s="39" t="str">
        <f aca="false">IF(SUM($F33)=0,"",ROUND($F33*$H33*$J33,0))</f>
        <v/>
      </c>
      <c r="M33" s="39" t="str">
        <f aca="false">IF(SUM($F33)=0,"",ROUND($F33*$H33,0)-$L33)</f>
        <v/>
      </c>
      <c r="N33" s="39" t="str">
        <f aca="false">IF(SUM($G33)=0,"",ROUND($G33*$I33*$K33,0))</f>
        <v/>
      </c>
      <c r="O33" s="39" t="str">
        <f aca="false">IF(SUM($G33)=0,"",ROUND($G33*$I33,0)-$N33)</f>
        <v/>
      </c>
      <c r="P33" s="10" t="n">
        <v>2373</v>
      </c>
      <c r="Q33" s="10"/>
      <c r="R33" s="10" t="n">
        <v>318</v>
      </c>
      <c r="S33" s="10" t="n">
        <f aca="false">IFERROR(1/(1/SUM($P33,$R33,$Q33)),"")</f>
        <v>2691</v>
      </c>
      <c r="T33" s="88" t="str">
        <f aca="false">IF(SUM($F33)=0,"",MIN($S33/$F33,1))</f>
        <v/>
      </c>
      <c r="U33" s="88" t="n">
        <f aca="false">1</f>
        <v>1</v>
      </c>
      <c r="V33" s="88" t="n">
        <f aca="false">1</f>
        <v>1</v>
      </c>
      <c r="W33" s="39" t="str">
        <f aca="false">IF(SUM($M33)=0,"",IF($T33="","ENTER ELIGIBILITY RATE",IF($U33 = "","ENTER INITIATION RATE",ROUND($M33*$T33*$U33,0))))</f>
        <v/>
      </c>
      <c r="X33" s="39" t="str">
        <f aca="false">IF(SUM($O33)=0,"",IF($V33="","ENTER INITIATION RATE",ROUND($O33*$V33,0)))</f>
        <v/>
      </c>
      <c r="Y33" s="88" t="n">
        <f aca="false">0.9</f>
        <v>0.9</v>
      </c>
      <c r="Z33" s="39" t="str">
        <f aca="false">IF(SUM($W33)=0,"",IF($Y33="","ENTER COMPLETION RATE",ROUND($W33*$Y33,0)))</f>
        <v/>
      </c>
      <c r="AA33" s="39" t="str">
        <f aca="false">IF(SUM($X33)=0,"",IF($X33="","ENTER COMPLETION RATE",ROUND($X33*$Y33,0)))</f>
        <v/>
      </c>
      <c r="AB33" s="88" t="str">
        <f aca="false">IF(SUM($Q33)=0,"",(SUM($Z33)-$Q33)/$Q33)</f>
        <v/>
      </c>
      <c r="AC33" s="88" t="n">
        <f aca="false">IF(SUM($R33)=0,"",(SUM($AA33)-$R33)/$R33)</f>
        <v>-1</v>
      </c>
    </row>
    <row r="34" customFormat="false" ht="15" hidden="false" customHeight="false" outlineLevel="0" collapsed="false">
      <c r="A34" s="0" t="str">
        <f aca="false">INDEX(Prioritization!$D:$D,MATCH($B34,Prioritization!$A:$A,0))</f>
        <v>1 - Scale-up: Saturation</v>
      </c>
      <c r="B34" s="0" t="s">
        <v>198</v>
      </c>
      <c r="C34" s="0" t="s">
        <v>808</v>
      </c>
      <c r="D34" s="0" t="s">
        <v>48</v>
      </c>
      <c r="E34" s="0" t="str">
        <f aca="false">B34&amp;"|"&amp;C34&amp;"|"&amp;D34</f>
        <v>Lilongwe District [ScR9iFKAasW]|15+|Male</v>
      </c>
      <c r="F34" s="10" t="str">
        <f aca="false">IFERROR(1/(1/SUM(SUMIFS(Cascade!$O:$O,Cascade!$B:$B,$B34,Cascade!$C:$C,IF($C34="&lt;15",{"=&lt;01","01-09","10-14"},{"15-24","25-34","35-49","50+"}),Cascade!$D:$D,$D34))),"")</f>
        <v/>
      </c>
      <c r="G34" s="10" t="str">
        <f aca="false">IFERROR(1/(1/SUM(SUMIFS(Cascade!$AX:$AX,Cascade!$B:$B,$B34,Cascade!$C:$C,IF($C34="&lt;15",{"=&lt;01","01-09","10-14"},{"15-24","25-34","35-49","50+"}),Cascade!$D:$D,$D34))),"")</f>
        <v/>
      </c>
      <c r="H34" s="88" t="n">
        <f aca="false">1</f>
        <v>1</v>
      </c>
      <c r="I34" s="88" t="n">
        <f aca="false">1</f>
        <v>1</v>
      </c>
      <c r="J34" s="88"/>
      <c r="K34" s="88"/>
      <c r="L34" s="39" t="str">
        <f aca="false">IF(SUM($F34)=0,"",ROUND($F34*$H34*$J34,0))</f>
        <v/>
      </c>
      <c r="M34" s="39" t="str">
        <f aca="false">IF(SUM($F34)=0,"",ROUND($F34*$H34,0)-$L34)</f>
        <v/>
      </c>
      <c r="N34" s="39" t="str">
        <f aca="false">IF(SUM($G34)=0,"",ROUND($G34*$I34*$K34,0))</f>
        <v/>
      </c>
      <c r="O34" s="39" t="str">
        <f aca="false">IF(SUM($G34)=0,"",ROUND($G34*$I34,0)-$N34)</f>
        <v/>
      </c>
      <c r="P34" s="10" t="n">
        <v>2595</v>
      </c>
      <c r="Q34" s="10"/>
      <c r="R34" s="10" t="n">
        <v>62</v>
      </c>
      <c r="S34" s="10" t="n">
        <f aca="false">IFERROR(1/(1/SUM($P34,$R34,$Q34)),"")</f>
        <v>2657</v>
      </c>
      <c r="T34" s="88" t="str">
        <f aca="false">IF(SUM($F34)=0,"",MIN($S34/$F34,1))</f>
        <v/>
      </c>
      <c r="U34" s="88" t="n">
        <f aca="false">1</f>
        <v>1</v>
      </c>
      <c r="V34" s="88" t="n">
        <f aca="false">1</f>
        <v>1</v>
      </c>
      <c r="W34" s="39" t="str">
        <f aca="false">IF(SUM($M34)=0,"",IF($T34="","ENTER ELIGIBILITY RATE",IF($U34 = "","ENTER INITIATION RATE",ROUND($M34*$T34*$U34,0))))</f>
        <v/>
      </c>
      <c r="X34" s="39" t="str">
        <f aca="false">IF(SUM($O34)=0,"",IF($V34="","ENTER INITIATION RATE",ROUND($O34*$V34,0)))</f>
        <v/>
      </c>
      <c r="Y34" s="88" t="n">
        <f aca="false">0.9</f>
        <v>0.9</v>
      </c>
      <c r="Z34" s="39" t="str">
        <f aca="false">IF(SUM($W34)=0,"",IF($Y34="","ENTER COMPLETION RATE",ROUND($W34*$Y34,0)))</f>
        <v/>
      </c>
      <c r="AA34" s="39" t="str">
        <f aca="false">IF(SUM($X34)=0,"",IF($X34="","ENTER COMPLETION RATE",ROUND($X34*$Y34,0)))</f>
        <v/>
      </c>
      <c r="AB34" s="88" t="str">
        <f aca="false">IF(SUM($Q34)=0,"",(SUM($Z34)-$Q34)/$Q34)</f>
        <v/>
      </c>
      <c r="AC34" s="88" t="n">
        <f aca="false">IF(SUM($R34)=0,"",(SUM($AA34)-$R34)/$R34)</f>
        <v>-1</v>
      </c>
    </row>
    <row r="35" customFormat="false" ht="15" hidden="false" customHeight="false" outlineLevel="0" collapsed="false">
      <c r="A35" s="0" t="str">
        <f aca="false">INDEX(Prioritization!$D:$D,MATCH($B35,Prioritization!$A:$A,0))</f>
        <v>1 - Scale-up: Saturation</v>
      </c>
      <c r="B35" s="0" t="s">
        <v>199</v>
      </c>
      <c r="C35" s="0" t="s">
        <v>807</v>
      </c>
      <c r="D35" s="0" t="s">
        <v>30</v>
      </c>
      <c r="E35" s="0" t="str">
        <f aca="false">B35&amp;"|"&amp;C35&amp;"|"&amp;D35</f>
        <v>Mchinji District [kxuuIFpOXyO]|&lt;15|Female</v>
      </c>
      <c r="F35" s="10" t="n">
        <f aca="false">IFERROR(1/(1/SUM(SUMIFS(Cascade!$O:$O,Cascade!$B:$B,$B35,Cascade!$C:$C,IF($C35="&lt;15",{"=&lt;01","01-09","10-14"},{"15-24","25-34","35-49","50+"}),Cascade!$D:$D,$D35))),"")</f>
        <v>1</v>
      </c>
      <c r="G35" s="10" t="str">
        <f aca="false">IFERROR(1/(1/SUM(SUMIFS(Cascade!$AX:$AX,Cascade!$B:$B,$B35,Cascade!$C:$C,IF($C35="&lt;15",{"=&lt;01","01-09","10-14"},{"15-24","25-34","35-49","50+"}),Cascade!$D:$D,$D35))),"")</f>
        <v/>
      </c>
      <c r="H35" s="88" t="n">
        <f aca="false">1</f>
        <v>1</v>
      </c>
      <c r="I35" s="88" t="n">
        <f aca="false">1</f>
        <v>1</v>
      </c>
      <c r="J35" s="88"/>
      <c r="K35" s="88"/>
      <c r="L35" s="39" t="n">
        <f aca="false">IF(SUM($F35)=0,"",ROUND($F35*$H35*$J35,0))</f>
        <v>0</v>
      </c>
      <c r="M35" s="39" t="n">
        <f aca="false">IF(SUM($F35)=0,"",ROUND($F35*$H35,0)-$L35)</f>
        <v>1</v>
      </c>
      <c r="N35" s="39" t="str">
        <f aca="false">IF(SUM($G35)=0,"",ROUND($G35*$I35*$K35,0))</f>
        <v/>
      </c>
      <c r="O35" s="39" t="str">
        <f aca="false">IF(SUM($G35)=0,"",ROUND($G35*$I35,0)-$N35)</f>
        <v/>
      </c>
      <c r="P35" s="10" t="n">
        <v>1</v>
      </c>
      <c r="Q35" s="10"/>
      <c r="R35" s="10" t="n">
        <v>7</v>
      </c>
      <c r="S35" s="10" t="n">
        <f aca="false">IFERROR(1/(1/SUM($P35,$R35,$Q35)),"")</f>
        <v>8</v>
      </c>
      <c r="T35" s="88" t="n">
        <f aca="false">IF(SUM($F35)=0,"",MIN($S35/$F35,1))</f>
        <v>1</v>
      </c>
      <c r="U35" s="88" t="n">
        <f aca="false">1</f>
        <v>1</v>
      </c>
      <c r="V35" s="88" t="n">
        <f aca="false">1</f>
        <v>1</v>
      </c>
      <c r="W35" s="39" t="n">
        <f aca="false">IF(SUM($M35)=0,"",IF($T35="","ENTER ELIGIBILITY RATE",IF($U35 = "","ENTER INITIATION RATE",ROUND($M35*$T35*$U35,0))))</f>
        <v>1</v>
      </c>
      <c r="X35" s="39" t="str">
        <f aca="false">IF(SUM($O35)=0,"",IF($V35="","ENTER INITIATION RATE",ROUND($O35*$V35,0)))</f>
        <v/>
      </c>
      <c r="Y35" s="88" t="n">
        <f aca="false">0.9</f>
        <v>0.9</v>
      </c>
      <c r="Z35" s="39" t="n">
        <f aca="false">IF(SUM($W35)=0,"",IF($Y35="","ENTER COMPLETION RATE",ROUND($W35*$Y35,0)))</f>
        <v>1</v>
      </c>
      <c r="AA35" s="39" t="str">
        <f aca="false">IF(SUM($X35)=0,"",IF($X35="","ENTER COMPLETION RATE",ROUND($X35*$Y35,0)))</f>
        <v/>
      </c>
      <c r="AB35" s="88" t="str">
        <f aca="false">IF(SUM($Q35)=0,"",(SUM($Z35)-$Q35)/$Q35)</f>
        <v/>
      </c>
      <c r="AC35" s="88" t="n">
        <f aca="false">IF(SUM($R35)=0,"",(SUM($AA35)-$R35)/$R35)</f>
        <v>-1</v>
      </c>
    </row>
    <row r="36" customFormat="false" ht="15" hidden="false" customHeight="false" outlineLevel="0" collapsed="false">
      <c r="A36" s="0" t="str">
        <f aca="false">INDEX(Prioritization!$D:$D,MATCH($B36,Prioritization!$A:$A,0))</f>
        <v>1 - Scale-up: Saturation</v>
      </c>
      <c r="B36" s="0" t="s">
        <v>199</v>
      </c>
      <c r="C36" s="0" t="s">
        <v>807</v>
      </c>
      <c r="D36" s="0" t="s">
        <v>48</v>
      </c>
      <c r="E36" s="0" t="str">
        <f aca="false">B36&amp;"|"&amp;C36&amp;"|"&amp;D36</f>
        <v>Mchinji District [kxuuIFpOXyO]|&lt;15|Male</v>
      </c>
      <c r="F36" s="10" t="n">
        <f aca="false">IFERROR(1/(1/SUM(SUMIFS(Cascade!$O:$O,Cascade!$B:$B,$B36,Cascade!$C:$C,IF($C36="&lt;15",{"=&lt;01","01-09","10-14"},{"15-24","25-34","35-49","50+"}),Cascade!$D:$D,$D36))),"")</f>
        <v>1</v>
      </c>
      <c r="G36" s="10" t="str">
        <f aca="false">IFERROR(1/(1/SUM(SUMIFS(Cascade!$AX:$AX,Cascade!$B:$B,$B36,Cascade!$C:$C,IF($C36="&lt;15",{"=&lt;01","01-09","10-14"},{"15-24","25-34","35-49","50+"}),Cascade!$D:$D,$D36))),"")</f>
        <v/>
      </c>
      <c r="H36" s="88" t="n">
        <f aca="false">1</f>
        <v>1</v>
      </c>
      <c r="I36" s="88" t="n">
        <f aca="false">1</f>
        <v>1</v>
      </c>
      <c r="J36" s="88"/>
      <c r="K36" s="88"/>
      <c r="L36" s="39" t="n">
        <f aca="false">IF(SUM($F36)=0,"",ROUND($F36*$H36*$J36,0))</f>
        <v>0</v>
      </c>
      <c r="M36" s="39" t="n">
        <f aca="false">IF(SUM($F36)=0,"",ROUND($F36*$H36,0)-$L36)</f>
        <v>1</v>
      </c>
      <c r="N36" s="39" t="str">
        <f aca="false">IF(SUM($G36)=0,"",ROUND($G36*$I36*$K36,0))</f>
        <v/>
      </c>
      <c r="O36" s="39" t="str">
        <f aca="false">IF(SUM($G36)=0,"",ROUND($G36*$I36,0)-$N36)</f>
        <v/>
      </c>
      <c r="P36" s="10" t="n">
        <v>1</v>
      </c>
      <c r="Q36" s="10"/>
      <c r="R36" s="10" t="n">
        <v>3</v>
      </c>
      <c r="S36" s="10" t="n">
        <f aca="false">IFERROR(1/(1/SUM($P36,$R36,$Q36)),"")</f>
        <v>4</v>
      </c>
      <c r="T36" s="88" t="n">
        <f aca="false">IF(SUM($F36)=0,"",MIN($S36/$F36,1))</f>
        <v>1</v>
      </c>
      <c r="U36" s="88" t="n">
        <f aca="false">1</f>
        <v>1</v>
      </c>
      <c r="V36" s="88" t="n">
        <f aca="false">1</f>
        <v>1</v>
      </c>
      <c r="W36" s="39" t="n">
        <f aca="false">IF(SUM($M36)=0,"",IF($T36="","ENTER ELIGIBILITY RATE",IF($U36 = "","ENTER INITIATION RATE",ROUND($M36*$T36*$U36,0))))</f>
        <v>1</v>
      </c>
      <c r="X36" s="39" t="str">
        <f aca="false">IF(SUM($O36)=0,"",IF($V36="","ENTER INITIATION RATE",ROUND($O36*$V36,0)))</f>
        <v/>
      </c>
      <c r="Y36" s="88" t="n">
        <f aca="false">0.9</f>
        <v>0.9</v>
      </c>
      <c r="Z36" s="39" t="n">
        <f aca="false">IF(SUM($W36)=0,"",IF($Y36="","ENTER COMPLETION RATE",ROUND($W36*$Y36,0)))</f>
        <v>1</v>
      </c>
      <c r="AA36" s="39" t="str">
        <f aca="false">IF(SUM($X36)=0,"",IF($X36="","ENTER COMPLETION RATE",ROUND($X36*$Y36,0)))</f>
        <v/>
      </c>
      <c r="AB36" s="88" t="str">
        <f aca="false">IF(SUM($Q36)=0,"",(SUM($Z36)-$Q36)/$Q36)</f>
        <v/>
      </c>
      <c r="AC36" s="88" t="n">
        <f aca="false">IF(SUM($R36)=0,"",(SUM($AA36)-$R36)/$R36)</f>
        <v>-1</v>
      </c>
    </row>
    <row r="37" customFormat="false" ht="15" hidden="false" customHeight="false" outlineLevel="0" collapsed="false">
      <c r="A37" s="0" t="str">
        <f aca="false">INDEX(Prioritization!$D:$D,MATCH($B37,Prioritization!$A:$A,0))</f>
        <v>1 - Scale-up: Saturation</v>
      </c>
      <c r="B37" s="0" t="s">
        <v>199</v>
      </c>
      <c r="C37" s="0" t="s">
        <v>808</v>
      </c>
      <c r="D37" s="0" t="s">
        <v>30</v>
      </c>
      <c r="E37" s="0" t="str">
        <f aca="false">B37&amp;"|"&amp;C37&amp;"|"&amp;D37</f>
        <v>Mchinji District [kxuuIFpOXyO]|15+|Female</v>
      </c>
      <c r="F37" s="10" t="str">
        <f aca="false">IFERROR(1/(1/SUM(SUMIFS(Cascade!$O:$O,Cascade!$B:$B,$B37,Cascade!$C:$C,IF($C37="&lt;15",{"=&lt;01","01-09","10-14"},{"15-24","25-34","35-49","50+"}),Cascade!$D:$D,$D37))),"")</f>
        <v/>
      </c>
      <c r="G37" s="10" t="str">
        <f aca="false">IFERROR(1/(1/SUM(SUMIFS(Cascade!$AX:$AX,Cascade!$B:$B,$B37,Cascade!$C:$C,IF($C37="&lt;15",{"=&lt;01","01-09","10-14"},{"15-24","25-34","35-49","50+"}),Cascade!$D:$D,$D37))),"")</f>
        <v/>
      </c>
      <c r="H37" s="88" t="n">
        <f aca="false">1</f>
        <v>1</v>
      </c>
      <c r="I37" s="88" t="n">
        <f aca="false">1</f>
        <v>1</v>
      </c>
      <c r="J37" s="88"/>
      <c r="K37" s="88"/>
      <c r="L37" s="39" t="str">
        <f aca="false">IF(SUM($F37)=0,"",ROUND($F37*$H37*$J37,0))</f>
        <v/>
      </c>
      <c r="M37" s="39" t="str">
        <f aca="false">IF(SUM($F37)=0,"",ROUND($F37*$H37,0)-$L37)</f>
        <v/>
      </c>
      <c r="N37" s="39" t="str">
        <f aca="false">IF(SUM($G37)=0,"",ROUND($G37*$I37*$K37,0))</f>
        <v/>
      </c>
      <c r="O37" s="39" t="str">
        <f aca="false">IF(SUM($G37)=0,"",ROUND($G37*$I37,0)-$N37)</f>
        <v/>
      </c>
      <c r="P37" s="10" t="n">
        <v>90</v>
      </c>
      <c r="Q37" s="10"/>
      <c r="R37" s="10" t="n">
        <v>87</v>
      </c>
      <c r="S37" s="10" t="n">
        <f aca="false">IFERROR(1/(1/SUM($P37,$R37,$Q37)),"")</f>
        <v>177</v>
      </c>
      <c r="T37" s="88" t="str">
        <f aca="false">IF(SUM($F37)=0,"",MIN($S37/$F37,1))</f>
        <v/>
      </c>
      <c r="U37" s="88" t="n">
        <f aca="false">1</f>
        <v>1</v>
      </c>
      <c r="V37" s="88" t="n">
        <f aca="false">1</f>
        <v>1</v>
      </c>
      <c r="W37" s="39" t="str">
        <f aca="false">IF(SUM($M37)=0,"",IF($T37="","ENTER ELIGIBILITY RATE",IF($U37 = "","ENTER INITIATION RATE",ROUND($M37*$T37*$U37,0))))</f>
        <v/>
      </c>
      <c r="X37" s="39" t="str">
        <f aca="false">IF(SUM($O37)=0,"",IF($V37="","ENTER INITIATION RATE",ROUND($O37*$V37,0)))</f>
        <v/>
      </c>
      <c r="Y37" s="88" t="n">
        <f aca="false">0.9</f>
        <v>0.9</v>
      </c>
      <c r="Z37" s="39" t="str">
        <f aca="false">IF(SUM($W37)=0,"",IF($Y37="","ENTER COMPLETION RATE",ROUND($W37*$Y37,0)))</f>
        <v/>
      </c>
      <c r="AA37" s="39" t="str">
        <f aca="false">IF(SUM($X37)=0,"",IF($X37="","ENTER COMPLETION RATE",ROUND($X37*$Y37,0)))</f>
        <v/>
      </c>
      <c r="AB37" s="88" t="str">
        <f aca="false">IF(SUM($Q37)=0,"",(SUM($Z37)-$Q37)/$Q37)</f>
        <v/>
      </c>
      <c r="AC37" s="88" t="n">
        <f aca="false">IF(SUM($R37)=0,"",(SUM($AA37)-$R37)/$R37)</f>
        <v>-1</v>
      </c>
    </row>
    <row r="38" customFormat="false" ht="15" hidden="false" customHeight="false" outlineLevel="0" collapsed="false">
      <c r="A38" s="0" t="str">
        <f aca="false">INDEX(Prioritization!$D:$D,MATCH($B38,Prioritization!$A:$A,0))</f>
        <v>1 - Scale-up: Saturation</v>
      </c>
      <c r="B38" s="0" t="s">
        <v>199</v>
      </c>
      <c r="C38" s="0" t="s">
        <v>808</v>
      </c>
      <c r="D38" s="0" t="s">
        <v>48</v>
      </c>
      <c r="E38" s="0" t="str">
        <f aca="false">B38&amp;"|"&amp;C38&amp;"|"&amp;D38</f>
        <v>Mchinji District [kxuuIFpOXyO]|15+|Male</v>
      </c>
      <c r="F38" s="10" t="str">
        <f aca="false">IFERROR(1/(1/SUM(SUMIFS(Cascade!$O:$O,Cascade!$B:$B,$B38,Cascade!$C:$C,IF($C38="&lt;15",{"=&lt;01","01-09","10-14"},{"15-24","25-34","35-49","50+"}),Cascade!$D:$D,$D38))),"")</f>
        <v/>
      </c>
      <c r="G38" s="10" t="str">
        <f aca="false">IFERROR(1/(1/SUM(SUMIFS(Cascade!$AX:$AX,Cascade!$B:$B,$B38,Cascade!$C:$C,IF($C38="&lt;15",{"=&lt;01","01-09","10-14"},{"15-24","25-34","35-49","50+"}),Cascade!$D:$D,$D38))),"")</f>
        <v/>
      </c>
      <c r="H38" s="88" t="n">
        <f aca="false">1</f>
        <v>1</v>
      </c>
      <c r="I38" s="88" t="n">
        <f aca="false">1</f>
        <v>1</v>
      </c>
      <c r="J38" s="88"/>
      <c r="K38" s="88"/>
      <c r="L38" s="39" t="str">
        <f aca="false">IF(SUM($F38)=0,"",ROUND($F38*$H38*$J38,0))</f>
        <v/>
      </c>
      <c r="M38" s="39" t="str">
        <f aca="false">IF(SUM($F38)=0,"",ROUND($F38*$H38,0)-$L38)</f>
        <v/>
      </c>
      <c r="N38" s="39" t="str">
        <f aca="false">IF(SUM($G38)=0,"",ROUND($G38*$I38*$K38,0))</f>
        <v/>
      </c>
      <c r="O38" s="39" t="str">
        <f aca="false">IF(SUM($G38)=0,"",ROUND($G38*$I38,0)-$N38)</f>
        <v/>
      </c>
      <c r="P38" s="10" t="n">
        <v>95</v>
      </c>
      <c r="Q38" s="10"/>
      <c r="R38" s="10" t="n">
        <v>89</v>
      </c>
      <c r="S38" s="10" t="n">
        <f aca="false">IFERROR(1/(1/SUM($P38,$R38,$Q38)),"")</f>
        <v>184</v>
      </c>
      <c r="T38" s="88" t="str">
        <f aca="false">IF(SUM($F38)=0,"",MIN($S38/$F38,1))</f>
        <v/>
      </c>
      <c r="U38" s="88" t="n">
        <f aca="false">1</f>
        <v>1</v>
      </c>
      <c r="V38" s="88" t="n">
        <f aca="false">1</f>
        <v>1</v>
      </c>
      <c r="W38" s="39" t="str">
        <f aca="false">IF(SUM($M38)=0,"",IF($T38="","ENTER ELIGIBILITY RATE",IF($U38 = "","ENTER INITIATION RATE",ROUND($M38*$T38*$U38,0))))</f>
        <v/>
      </c>
      <c r="X38" s="39" t="str">
        <f aca="false">IF(SUM($O38)=0,"",IF($V38="","ENTER INITIATION RATE",ROUND($O38*$V38,0)))</f>
        <v/>
      </c>
      <c r="Y38" s="88" t="n">
        <f aca="false">0.9</f>
        <v>0.9</v>
      </c>
      <c r="Z38" s="39" t="str">
        <f aca="false">IF(SUM($W38)=0,"",IF($Y38="","ENTER COMPLETION RATE",ROUND($W38*$Y38,0)))</f>
        <v/>
      </c>
      <c r="AA38" s="39" t="str">
        <f aca="false">IF(SUM($X38)=0,"",IF($X38="","ENTER COMPLETION RATE",ROUND($X38*$Y38,0)))</f>
        <v/>
      </c>
      <c r="AB38" s="88" t="str">
        <f aca="false">IF(SUM($Q38)=0,"",(SUM($Z38)-$Q38)/$Q38)</f>
        <v/>
      </c>
      <c r="AC38" s="88" t="n">
        <f aca="false">IF(SUM($R38)=0,"",(SUM($AA38)-$R38)/$R38)</f>
        <v>-1</v>
      </c>
    </row>
    <row r="39" customFormat="false" ht="15" hidden="false" customHeight="false" outlineLevel="0" collapsed="false">
      <c r="A39" s="0" t="str">
        <f aca="false">INDEX(Prioritization!$D:$D,MATCH($B39,Prioritization!$A:$A,0))</f>
        <v>1 - Scale-up: Saturation</v>
      </c>
      <c r="B39" s="0" t="s">
        <v>200</v>
      </c>
      <c r="C39" s="0" t="s">
        <v>807</v>
      </c>
      <c r="D39" s="0" t="s">
        <v>30</v>
      </c>
      <c r="E39" s="0" t="str">
        <f aca="false">B39&amp;"|"&amp;C39&amp;"|"&amp;D39</f>
        <v>Nkhotakota District [YCKiBAp8QAg]|&lt;15|Female</v>
      </c>
      <c r="F39" s="10" t="n">
        <f aca="false">IFERROR(1/(1/SUM(SUMIFS(Cascade!$O:$O,Cascade!$B:$B,$B39,Cascade!$C:$C,IF($C39="&lt;15",{"=&lt;01","01-09","10-14"},{"15-24","25-34","35-49","50+"}),Cascade!$D:$D,$D39))),"")</f>
        <v>1</v>
      </c>
      <c r="G39" s="10" t="str">
        <f aca="false">IFERROR(1/(1/SUM(SUMIFS(Cascade!$AX:$AX,Cascade!$B:$B,$B39,Cascade!$C:$C,IF($C39="&lt;15",{"=&lt;01","01-09","10-14"},{"15-24","25-34","35-49","50+"}),Cascade!$D:$D,$D39))),"")</f>
        <v/>
      </c>
      <c r="H39" s="88" t="n">
        <f aca="false">1</f>
        <v>1</v>
      </c>
      <c r="I39" s="88" t="n">
        <f aca="false">1</f>
        <v>1</v>
      </c>
      <c r="J39" s="88"/>
      <c r="K39" s="88"/>
      <c r="L39" s="39" t="n">
        <f aca="false">IF(SUM($F39)=0,"",ROUND($F39*$H39*$J39,0))</f>
        <v>0</v>
      </c>
      <c r="M39" s="39" t="n">
        <f aca="false">IF(SUM($F39)=0,"",ROUND($F39*$H39,0)-$L39)</f>
        <v>1</v>
      </c>
      <c r="N39" s="39" t="str">
        <f aca="false">IF(SUM($G39)=0,"",ROUND($G39*$I39*$K39,0))</f>
        <v/>
      </c>
      <c r="O39" s="39" t="str">
        <f aca="false">IF(SUM($G39)=0,"",ROUND($G39*$I39,0)-$N39)</f>
        <v/>
      </c>
      <c r="P39" s="10" t="n">
        <v>8</v>
      </c>
      <c r="Q39" s="10"/>
      <c r="R39" s="10" t="n">
        <v>8</v>
      </c>
      <c r="S39" s="10" t="n">
        <f aca="false">IFERROR(1/(1/SUM($P39,$R39,$Q39)),"")</f>
        <v>16</v>
      </c>
      <c r="T39" s="88" t="n">
        <f aca="false">IF(SUM($F39)=0,"",MIN($S39/$F39,1))</f>
        <v>1</v>
      </c>
      <c r="U39" s="88" t="n">
        <f aca="false">1</f>
        <v>1</v>
      </c>
      <c r="V39" s="88" t="n">
        <f aca="false">1</f>
        <v>1</v>
      </c>
      <c r="W39" s="39" t="n">
        <f aca="false">IF(SUM($M39)=0,"",IF($T39="","ENTER ELIGIBILITY RATE",IF($U39 = "","ENTER INITIATION RATE",ROUND($M39*$T39*$U39,0))))</f>
        <v>1</v>
      </c>
      <c r="X39" s="39" t="str">
        <f aca="false">IF(SUM($O39)=0,"",IF($V39="","ENTER INITIATION RATE",ROUND($O39*$V39,0)))</f>
        <v/>
      </c>
      <c r="Y39" s="88" t="n">
        <f aca="false">0.9</f>
        <v>0.9</v>
      </c>
      <c r="Z39" s="39" t="n">
        <f aca="false">IF(SUM($W39)=0,"",IF($Y39="","ENTER COMPLETION RATE",ROUND($W39*$Y39,0)))</f>
        <v>1</v>
      </c>
      <c r="AA39" s="39" t="str">
        <f aca="false">IF(SUM($X39)=0,"",IF($X39="","ENTER COMPLETION RATE",ROUND($X39*$Y39,0)))</f>
        <v/>
      </c>
      <c r="AB39" s="88" t="str">
        <f aca="false">IF(SUM($Q39)=0,"",(SUM($Z39)-$Q39)/$Q39)</f>
        <v/>
      </c>
      <c r="AC39" s="88" t="n">
        <f aca="false">IF(SUM($R39)=0,"",(SUM($AA39)-$R39)/$R39)</f>
        <v>-1</v>
      </c>
    </row>
    <row r="40" customFormat="false" ht="15" hidden="false" customHeight="false" outlineLevel="0" collapsed="false">
      <c r="A40" s="0" t="str">
        <f aca="false">INDEX(Prioritization!$D:$D,MATCH($B40,Prioritization!$A:$A,0))</f>
        <v>1 - Scale-up: Saturation</v>
      </c>
      <c r="B40" s="0" t="s">
        <v>200</v>
      </c>
      <c r="C40" s="0" t="s">
        <v>807</v>
      </c>
      <c r="D40" s="0" t="s">
        <v>48</v>
      </c>
      <c r="E40" s="0" t="str">
        <f aca="false">B40&amp;"|"&amp;C40&amp;"|"&amp;D40</f>
        <v>Nkhotakota District [YCKiBAp8QAg]|&lt;15|Male</v>
      </c>
      <c r="F40" s="10" t="n">
        <f aca="false">IFERROR(1/(1/SUM(SUMIFS(Cascade!$O:$O,Cascade!$B:$B,$B40,Cascade!$C:$C,IF($C40="&lt;15",{"=&lt;01","01-09","10-14"},{"15-24","25-34","35-49","50+"}),Cascade!$D:$D,$D40))),"")</f>
        <v>1</v>
      </c>
      <c r="G40" s="10" t="str">
        <f aca="false">IFERROR(1/(1/SUM(SUMIFS(Cascade!$AX:$AX,Cascade!$B:$B,$B40,Cascade!$C:$C,IF($C40="&lt;15",{"=&lt;01","01-09","10-14"},{"15-24","25-34","35-49","50+"}),Cascade!$D:$D,$D40))),"")</f>
        <v/>
      </c>
      <c r="H40" s="88" t="n">
        <f aca="false">1</f>
        <v>1</v>
      </c>
      <c r="I40" s="88" t="n">
        <f aca="false">1</f>
        <v>1</v>
      </c>
      <c r="J40" s="88"/>
      <c r="K40" s="88"/>
      <c r="L40" s="39" t="n">
        <f aca="false">IF(SUM($F40)=0,"",ROUND($F40*$H40*$J40,0))</f>
        <v>0</v>
      </c>
      <c r="M40" s="39" t="n">
        <f aca="false">IF(SUM($F40)=0,"",ROUND($F40*$H40,0)-$L40)</f>
        <v>1</v>
      </c>
      <c r="N40" s="39" t="str">
        <f aca="false">IF(SUM($G40)=0,"",ROUND($G40*$I40*$K40,0))</f>
        <v/>
      </c>
      <c r="O40" s="39" t="str">
        <f aca="false">IF(SUM($G40)=0,"",ROUND($G40*$I40,0)-$N40)</f>
        <v/>
      </c>
      <c r="P40" s="10" t="n">
        <v>8</v>
      </c>
      <c r="Q40" s="10"/>
      <c r="R40" s="10" t="n">
        <v>1</v>
      </c>
      <c r="S40" s="10" t="n">
        <f aca="false">IFERROR(1/(1/SUM($P40,$R40,$Q40)),"")</f>
        <v>9</v>
      </c>
      <c r="T40" s="88" t="n">
        <f aca="false">IF(SUM($F40)=0,"",MIN($S40/$F40,1))</f>
        <v>1</v>
      </c>
      <c r="U40" s="88" t="n">
        <f aca="false">1</f>
        <v>1</v>
      </c>
      <c r="V40" s="88" t="n">
        <f aca="false">1</f>
        <v>1</v>
      </c>
      <c r="W40" s="39" t="n">
        <f aca="false">IF(SUM($M40)=0,"",IF($T40="","ENTER ELIGIBILITY RATE",IF($U40 = "","ENTER INITIATION RATE",ROUND($M40*$T40*$U40,0))))</f>
        <v>1</v>
      </c>
      <c r="X40" s="39" t="str">
        <f aca="false">IF(SUM($O40)=0,"",IF($V40="","ENTER INITIATION RATE",ROUND($O40*$V40,0)))</f>
        <v/>
      </c>
      <c r="Y40" s="88" t="n">
        <f aca="false">0.9</f>
        <v>0.9</v>
      </c>
      <c r="Z40" s="39" t="n">
        <f aca="false">IF(SUM($W40)=0,"",IF($Y40="","ENTER COMPLETION RATE",ROUND($W40*$Y40,0)))</f>
        <v>1</v>
      </c>
      <c r="AA40" s="39" t="str">
        <f aca="false">IF(SUM($X40)=0,"",IF($X40="","ENTER COMPLETION RATE",ROUND($X40*$Y40,0)))</f>
        <v/>
      </c>
      <c r="AB40" s="88" t="str">
        <f aca="false">IF(SUM($Q40)=0,"",(SUM($Z40)-$Q40)/$Q40)</f>
        <v/>
      </c>
      <c r="AC40" s="88" t="n">
        <f aca="false">IF(SUM($R40)=0,"",(SUM($AA40)-$R40)/$R40)</f>
        <v>-1</v>
      </c>
    </row>
    <row r="41" customFormat="false" ht="15" hidden="false" customHeight="false" outlineLevel="0" collapsed="false">
      <c r="A41" s="0" t="str">
        <f aca="false">INDEX(Prioritization!$D:$D,MATCH($B41,Prioritization!$A:$A,0))</f>
        <v>1 - Scale-up: Saturation</v>
      </c>
      <c r="B41" s="0" t="s">
        <v>200</v>
      </c>
      <c r="C41" s="0" t="s">
        <v>808</v>
      </c>
      <c r="D41" s="0" t="s">
        <v>30</v>
      </c>
      <c r="E41" s="0" t="str">
        <f aca="false">B41&amp;"|"&amp;C41&amp;"|"&amp;D41</f>
        <v>Nkhotakota District [YCKiBAp8QAg]|15+|Female</v>
      </c>
      <c r="F41" s="10" t="str">
        <f aca="false">IFERROR(1/(1/SUM(SUMIFS(Cascade!$O:$O,Cascade!$B:$B,$B41,Cascade!$C:$C,IF($C41="&lt;15",{"=&lt;01","01-09","10-14"},{"15-24","25-34","35-49","50+"}),Cascade!$D:$D,$D41))),"")</f>
        <v/>
      </c>
      <c r="G41" s="10" t="str">
        <f aca="false">IFERROR(1/(1/SUM(SUMIFS(Cascade!$AX:$AX,Cascade!$B:$B,$B41,Cascade!$C:$C,IF($C41="&lt;15",{"=&lt;01","01-09","10-14"},{"15-24","25-34","35-49","50+"}),Cascade!$D:$D,$D41))),"")</f>
        <v/>
      </c>
      <c r="H41" s="88" t="n">
        <f aca="false">1</f>
        <v>1</v>
      </c>
      <c r="I41" s="88" t="n">
        <f aca="false">1</f>
        <v>1</v>
      </c>
      <c r="J41" s="88"/>
      <c r="K41" s="88"/>
      <c r="L41" s="39" t="str">
        <f aca="false">IF(SUM($F41)=0,"",ROUND($F41*$H41*$J41,0))</f>
        <v/>
      </c>
      <c r="M41" s="39" t="str">
        <f aca="false">IF(SUM($F41)=0,"",ROUND($F41*$H41,0)-$L41)</f>
        <v/>
      </c>
      <c r="N41" s="39" t="str">
        <f aca="false">IF(SUM($G41)=0,"",ROUND($G41*$I41*$K41,0))</f>
        <v/>
      </c>
      <c r="O41" s="39" t="str">
        <f aca="false">IF(SUM($G41)=0,"",ROUND($G41*$I41,0)-$N41)</f>
        <v/>
      </c>
      <c r="P41" s="10" t="n">
        <v>91</v>
      </c>
      <c r="Q41" s="10"/>
      <c r="R41" s="10" t="n">
        <v>25</v>
      </c>
      <c r="S41" s="10" t="n">
        <f aca="false">IFERROR(1/(1/SUM($P41,$R41,$Q41)),"")</f>
        <v>116</v>
      </c>
      <c r="T41" s="88" t="str">
        <f aca="false">IF(SUM($F41)=0,"",MIN($S41/$F41,1))</f>
        <v/>
      </c>
      <c r="U41" s="88" t="n">
        <f aca="false">1</f>
        <v>1</v>
      </c>
      <c r="V41" s="88" t="n">
        <f aca="false">1</f>
        <v>1</v>
      </c>
      <c r="W41" s="39" t="str">
        <f aca="false">IF(SUM($M41)=0,"",IF($T41="","ENTER ELIGIBILITY RATE",IF($U41 = "","ENTER INITIATION RATE",ROUND($M41*$T41*$U41,0))))</f>
        <v/>
      </c>
      <c r="X41" s="39" t="str">
        <f aca="false">IF(SUM($O41)=0,"",IF($V41="","ENTER INITIATION RATE",ROUND($O41*$V41,0)))</f>
        <v/>
      </c>
      <c r="Y41" s="88" t="n">
        <f aca="false">0.9</f>
        <v>0.9</v>
      </c>
      <c r="Z41" s="39" t="str">
        <f aca="false">IF(SUM($W41)=0,"",IF($Y41="","ENTER COMPLETION RATE",ROUND($W41*$Y41,0)))</f>
        <v/>
      </c>
      <c r="AA41" s="39" t="str">
        <f aca="false">IF(SUM($X41)=0,"",IF($X41="","ENTER COMPLETION RATE",ROUND($X41*$Y41,0)))</f>
        <v/>
      </c>
      <c r="AB41" s="88" t="str">
        <f aca="false">IF(SUM($Q41)=0,"",(SUM($Z41)-$Q41)/$Q41)</f>
        <v/>
      </c>
      <c r="AC41" s="88" t="n">
        <f aca="false">IF(SUM($R41)=0,"",(SUM($AA41)-$R41)/$R41)</f>
        <v>-1</v>
      </c>
    </row>
    <row r="42" customFormat="false" ht="15" hidden="false" customHeight="false" outlineLevel="0" collapsed="false">
      <c r="A42" s="0" t="str">
        <f aca="false">INDEX(Prioritization!$D:$D,MATCH($B42,Prioritization!$A:$A,0))</f>
        <v>1 - Scale-up: Saturation</v>
      </c>
      <c r="B42" s="0" t="s">
        <v>200</v>
      </c>
      <c r="C42" s="0" t="s">
        <v>808</v>
      </c>
      <c r="D42" s="0" t="s">
        <v>48</v>
      </c>
      <c r="E42" s="0" t="str">
        <f aca="false">B42&amp;"|"&amp;C42&amp;"|"&amp;D42</f>
        <v>Nkhotakota District [YCKiBAp8QAg]|15+|Male</v>
      </c>
      <c r="F42" s="10" t="str">
        <f aca="false">IFERROR(1/(1/SUM(SUMIFS(Cascade!$O:$O,Cascade!$B:$B,$B42,Cascade!$C:$C,IF($C42="&lt;15",{"=&lt;01","01-09","10-14"},{"15-24","25-34","35-49","50+"}),Cascade!$D:$D,$D42))),"")</f>
        <v/>
      </c>
      <c r="G42" s="10" t="str">
        <f aca="false">IFERROR(1/(1/SUM(SUMIFS(Cascade!$AX:$AX,Cascade!$B:$B,$B42,Cascade!$C:$C,IF($C42="&lt;15",{"=&lt;01","01-09","10-14"},{"15-24","25-34","35-49","50+"}),Cascade!$D:$D,$D42))),"")</f>
        <v/>
      </c>
      <c r="H42" s="88" t="n">
        <f aca="false">1</f>
        <v>1</v>
      </c>
      <c r="I42" s="88" t="n">
        <f aca="false">1</f>
        <v>1</v>
      </c>
      <c r="J42" s="88"/>
      <c r="K42" s="88"/>
      <c r="L42" s="39" t="str">
        <f aca="false">IF(SUM($F42)=0,"",ROUND($F42*$H42*$J42,0))</f>
        <v/>
      </c>
      <c r="M42" s="39" t="str">
        <f aca="false">IF(SUM($F42)=0,"",ROUND($F42*$H42,0)-$L42)</f>
        <v/>
      </c>
      <c r="N42" s="39" t="str">
        <f aca="false">IF(SUM($G42)=0,"",ROUND($G42*$I42*$K42,0))</f>
        <v/>
      </c>
      <c r="O42" s="39" t="str">
        <f aca="false">IF(SUM($G42)=0,"",ROUND($G42*$I42,0)-$N42)</f>
        <v/>
      </c>
      <c r="P42" s="10" t="n">
        <v>53</v>
      </c>
      <c r="Q42" s="10"/>
      <c r="R42" s="10" t="n">
        <v>11</v>
      </c>
      <c r="S42" s="10" t="n">
        <f aca="false">IFERROR(1/(1/SUM($P42,$R42,$Q42)),"")</f>
        <v>64</v>
      </c>
      <c r="T42" s="88" t="str">
        <f aca="false">IF(SUM($F42)=0,"",MIN($S42/$F42,1))</f>
        <v/>
      </c>
      <c r="U42" s="88" t="n">
        <f aca="false">1</f>
        <v>1</v>
      </c>
      <c r="V42" s="88" t="n">
        <f aca="false">1</f>
        <v>1</v>
      </c>
      <c r="W42" s="39" t="str">
        <f aca="false">IF(SUM($M42)=0,"",IF($T42="","ENTER ELIGIBILITY RATE",IF($U42 = "","ENTER INITIATION RATE",ROUND($M42*$T42*$U42,0))))</f>
        <v/>
      </c>
      <c r="X42" s="39" t="str">
        <f aca="false">IF(SUM($O42)=0,"",IF($V42="","ENTER INITIATION RATE",ROUND($O42*$V42,0)))</f>
        <v/>
      </c>
      <c r="Y42" s="88" t="n">
        <f aca="false">0.9</f>
        <v>0.9</v>
      </c>
      <c r="Z42" s="39" t="str">
        <f aca="false">IF(SUM($W42)=0,"",IF($Y42="","ENTER COMPLETION RATE",ROUND($W42*$Y42,0)))</f>
        <v/>
      </c>
      <c r="AA42" s="39" t="str">
        <f aca="false">IF(SUM($X42)=0,"",IF($X42="","ENTER COMPLETION RATE",ROUND($X42*$Y42,0)))</f>
        <v/>
      </c>
      <c r="AB42" s="88" t="str">
        <f aca="false">IF(SUM($Q42)=0,"",(SUM($Z42)-$Q42)/$Q42)</f>
        <v/>
      </c>
      <c r="AC42" s="88" t="n">
        <f aca="false">IF(SUM($R42)=0,"",(SUM($AA42)-$R42)/$R42)</f>
        <v>-1</v>
      </c>
    </row>
    <row r="43" customFormat="false" ht="15" hidden="false" customHeight="false" outlineLevel="0" collapsed="false">
      <c r="A43" s="0" t="str">
        <f aca="false">INDEX(Prioritization!$D:$D,MATCH($B43,Prioritization!$A:$A,0))</f>
        <v>INVALID</v>
      </c>
      <c r="B43" s="0" t="s">
        <v>201</v>
      </c>
      <c r="C43" s="0" t="s">
        <v>807</v>
      </c>
      <c r="D43" s="0" t="s">
        <v>30</v>
      </c>
      <c r="E43" s="0" t="str">
        <f aca="false">B43&amp;"|"&amp;C43&amp;"|"&amp;D43</f>
        <v>Ntcheu District [am530wpaGvr]|&lt;15|Female</v>
      </c>
      <c r="F43" s="10" t="str">
        <f aca="false">IFERROR(1/(1/SUM(SUMIFS(Cascade!$O:$O,Cascade!$B:$B,$B43,Cascade!$C:$C,IF($C43="&lt;15",{"=&lt;01","01-09","10-14"},{"15-24","25-34","35-49","50+"}),Cascade!$D:$D,$D43))),"")</f>
        <v/>
      </c>
      <c r="G43" s="10" t="str">
        <f aca="false">IFERROR(1/(1/SUM(SUMIFS(Cascade!$AX:$AX,Cascade!$B:$B,$B43,Cascade!$C:$C,IF($C43="&lt;15",{"=&lt;01","01-09","10-14"},{"15-24","25-34","35-49","50+"}),Cascade!$D:$D,$D43))),"")</f>
        <v/>
      </c>
      <c r="H43" s="88" t="n">
        <f aca="false">1</f>
        <v>1</v>
      </c>
      <c r="I43" s="88" t="n">
        <f aca="false">1</f>
        <v>1</v>
      </c>
      <c r="J43" s="88"/>
      <c r="K43" s="88"/>
      <c r="L43" s="39" t="str">
        <f aca="false">IF(SUM($F43)=0,"",ROUND($F43*$H43*$J43,0))</f>
        <v/>
      </c>
      <c r="M43" s="39" t="str">
        <f aca="false">IF(SUM($F43)=0,"",ROUND($F43*$H43,0)-$L43)</f>
        <v/>
      </c>
      <c r="N43" s="39" t="str">
        <f aca="false">IF(SUM($G43)=0,"",ROUND($G43*$I43*$K43,0))</f>
        <v/>
      </c>
      <c r="O43" s="39" t="str">
        <f aca="false">IF(SUM($G43)=0,"",ROUND($G43*$I43,0)-$N43)</f>
        <v/>
      </c>
      <c r="P43" s="10" t="n">
        <v>5</v>
      </c>
      <c r="Q43" s="10"/>
      <c r="R43" s="10" t="n">
        <v>10</v>
      </c>
      <c r="S43" s="10" t="n">
        <f aca="false">IFERROR(1/(1/SUM($P43,$R43,$Q43)),"")</f>
        <v>15</v>
      </c>
      <c r="T43" s="88" t="str">
        <f aca="false">IF(SUM($F43)=0,"",MIN($S43/$F43,1))</f>
        <v/>
      </c>
      <c r="U43" s="88" t="n">
        <f aca="false">1</f>
        <v>1</v>
      </c>
      <c r="V43" s="88" t="n">
        <f aca="false">1</f>
        <v>1</v>
      </c>
      <c r="W43" s="39" t="str">
        <f aca="false">IF(SUM($M43)=0,"",IF($T43="","ENTER ELIGIBILITY RATE",IF($U43 = "","ENTER INITIATION RATE",ROUND($M43*$T43*$U43,0))))</f>
        <v/>
      </c>
      <c r="X43" s="39" t="str">
        <f aca="false">IF(SUM($O43)=0,"",IF($V43="","ENTER INITIATION RATE",ROUND($O43*$V43,0)))</f>
        <v/>
      </c>
      <c r="Y43" s="88" t="n">
        <f aca="false">0.9</f>
        <v>0.9</v>
      </c>
      <c r="Z43" s="39" t="str">
        <f aca="false">IF(SUM($W43)=0,"",IF($Y43="","ENTER COMPLETION RATE",ROUND($W43*$Y43,0)))</f>
        <v/>
      </c>
      <c r="AA43" s="39" t="str">
        <f aca="false">IF(SUM($X43)=0,"",IF($X43="","ENTER COMPLETION RATE",ROUND($X43*$Y43,0)))</f>
        <v/>
      </c>
      <c r="AB43" s="88" t="str">
        <f aca="false">IF(SUM($Q43)=0,"",(SUM($Z43)-$Q43)/$Q43)</f>
        <v/>
      </c>
      <c r="AC43" s="88" t="n">
        <f aca="false">IF(SUM($R43)=0,"",(SUM($AA43)-$R43)/$R43)</f>
        <v>-1</v>
      </c>
    </row>
    <row r="44" customFormat="false" ht="15" hidden="false" customHeight="false" outlineLevel="0" collapsed="false">
      <c r="A44" s="0" t="str">
        <f aca="false">INDEX(Prioritization!$D:$D,MATCH($B44,Prioritization!$A:$A,0))</f>
        <v>INVALID</v>
      </c>
      <c r="B44" s="0" t="s">
        <v>201</v>
      </c>
      <c r="C44" s="0" t="s">
        <v>807</v>
      </c>
      <c r="D44" s="0" t="s">
        <v>48</v>
      </c>
      <c r="E44" s="0" t="str">
        <f aca="false">B44&amp;"|"&amp;C44&amp;"|"&amp;D44</f>
        <v>Ntcheu District [am530wpaGvr]|&lt;15|Male</v>
      </c>
      <c r="F44" s="10" t="n">
        <f aca="false">IFERROR(1/(1/SUM(SUMIFS(Cascade!$O:$O,Cascade!$B:$B,$B44,Cascade!$C:$C,IF($C44="&lt;15",{"=&lt;01","01-09","10-14"},{"15-24","25-34","35-49","50+"}),Cascade!$D:$D,$D44))),"")</f>
        <v>1</v>
      </c>
      <c r="G44" s="10" t="str">
        <f aca="false">IFERROR(1/(1/SUM(SUMIFS(Cascade!$AX:$AX,Cascade!$B:$B,$B44,Cascade!$C:$C,IF($C44="&lt;15",{"=&lt;01","01-09","10-14"},{"15-24","25-34","35-49","50+"}),Cascade!$D:$D,$D44))),"")</f>
        <v/>
      </c>
      <c r="H44" s="88" t="n">
        <f aca="false">1</f>
        <v>1</v>
      </c>
      <c r="I44" s="88" t="n">
        <f aca="false">1</f>
        <v>1</v>
      </c>
      <c r="J44" s="88"/>
      <c r="K44" s="88"/>
      <c r="L44" s="39" t="n">
        <f aca="false">IF(SUM($F44)=0,"",ROUND($F44*$H44*$J44,0))</f>
        <v>0</v>
      </c>
      <c r="M44" s="39" t="n">
        <f aca="false">IF(SUM($F44)=0,"",ROUND($F44*$H44,0)-$L44)</f>
        <v>1</v>
      </c>
      <c r="N44" s="39" t="str">
        <f aca="false">IF(SUM($G44)=0,"",ROUND($G44*$I44*$K44,0))</f>
        <v/>
      </c>
      <c r="O44" s="39" t="str">
        <f aca="false">IF(SUM($G44)=0,"",ROUND($G44*$I44,0)-$N44)</f>
        <v/>
      </c>
      <c r="P44" s="10" t="n">
        <v>2</v>
      </c>
      <c r="Q44" s="10"/>
      <c r="R44" s="10" t="n">
        <v>4</v>
      </c>
      <c r="S44" s="10" t="n">
        <f aca="false">IFERROR(1/(1/SUM($P44,$R44,$Q44)),"")</f>
        <v>6</v>
      </c>
      <c r="T44" s="88" t="n">
        <f aca="false">IF(SUM($F44)=0,"",MIN($S44/$F44,1))</f>
        <v>1</v>
      </c>
      <c r="U44" s="88" t="n">
        <f aca="false">1</f>
        <v>1</v>
      </c>
      <c r="V44" s="88" t="n">
        <f aca="false">1</f>
        <v>1</v>
      </c>
      <c r="W44" s="39" t="n">
        <f aca="false">IF(SUM($M44)=0,"",IF($T44="","ENTER ELIGIBILITY RATE",IF($U44 = "","ENTER INITIATION RATE",ROUND($M44*$T44*$U44,0))))</f>
        <v>1</v>
      </c>
      <c r="X44" s="39" t="str">
        <f aca="false">IF(SUM($O44)=0,"",IF($V44="","ENTER INITIATION RATE",ROUND($O44*$V44,0)))</f>
        <v/>
      </c>
      <c r="Y44" s="88" t="n">
        <f aca="false">0.9</f>
        <v>0.9</v>
      </c>
      <c r="Z44" s="39" t="n">
        <f aca="false">IF(SUM($W44)=0,"",IF($Y44="","ENTER COMPLETION RATE",ROUND($W44*$Y44,0)))</f>
        <v>1</v>
      </c>
      <c r="AA44" s="39" t="str">
        <f aca="false">IF(SUM($X44)=0,"",IF($X44="","ENTER COMPLETION RATE",ROUND($X44*$Y44,0)))</f>
        <v/>
      </c>
      <c r="AB44" s="88" t="str">
        <f aca="false">IF(SUM($Q44)=0,"",(SUM($Z44)-$Q44)/$Q44)</f>
        <v/>
      </c>
      <c r="AC44" s="88" t="n">
        <f aca="false">IF(SUM($R44)=0,"",(SUM($AA44)-$R44)/$R44)</f>
        <v>-1</v>
      </c>
    </row>
    <row r="45" customFormat="false" ht="15" hidden="false" customHeight="false" outlineLevel="0" collapsed="false">
      <c r="A45" s="0" t="str">
        <f aca="false">INDEX(Prioritization!$D:$D,MATCH($B45,Prioritization!$A:$A,0))</f>
        <v>INVALID</v>
      </c>
      <c r="B45" s="0" t="s">
        <v>201</v>
      </c>
      <c r="C45" s="0" t="s">
        <v>808</v>
      </c>
      <c r="D45" s="0" t="s">
        <v>30</v>
      </c>
      <c r="E45" s="0" t="str">
        <f aca="false">B45&amp;"|"&amp;C45&amp;"|"&amp;D45</f>
        <v>Ntcheu District [am530wpaGvr]|15+|Female</v>
      </c>
      <c r="F45" s="10" t="str">
        <f aca="false">IFERROR(1/(1/SUM(SUMIFS(Cascade!$O:$O,Cascade!$B:$B,$B45,Cascade!$C:$C,IF($C45="&lt;15",{"=&lt;01","01-09","10-14"},{"15-24","25-34","35-49","50+"}),Cascade!$D:$D,$D45))),"")</f>
        <v/>
      </c>
      <c r="G45" s="10" t="str">
        <f aca="false">IFERROR(1/(1/SUM(SUMIFS(Cascade!$AX:$AX,Cascade!$B:$B,$B45,Cascade!$C:$C,IF($C45="&lt;15",{"=&lt;01","01-09","10-14"},{"15-24","25-34","35-49","50+"}),Cascade!$D:$D,$D45))),"")</f>
        <v/>
      </c>
      <c r="H45" s="88" t="n">
        <f aca="false">1</f>
        <v>1</v>
      </c>
      <c r="I45" s="88" t="n">
        <f aca="false">1</f>
        <v>1</v>
      </c>
      <c r="J45" s="88"/>
      <c r="K45" s="88"/>
      <c r="L45" s="39" t="str">
        <f aca="false">IF(SUM($F45)=0,"",ROUND($F45*$H45*$J45,0))</f>
        <v/>
      </c>
      <c r="M45" s="39" t="str">
        <f aca="false">IF(SUM($F45)=0,"",ROUND($F45*$H45,0)-$L45)</f>
        <v/>
      </c>
      <c r="N45" s="39" t="str">
        <f aca="false">IF(SUM($G45)=0,"",ROUND($G45*$I45*$K45,0))</f>
        <v/>
      </c>
      <c r="O45" s="39" t="str">
        <f aca="false">IF(SUM($G45)=0,"",ROUND($G45*$I45,0)-$N45)</f>
        <v/>
      </c>
      <c r="P45" s="10" t="n">
        <v>42</v>
      </c>
      <c r="Q45" s="10"/>
      <c r="R45" s="10" t="n">
        <v>84</v>
      </c>
      <c r="S45" s="10" t="n">
        <f aca="false">IFERROR(1/(1/SUM($P45,$R45,$Q45)),"")</f>
        <v>126</v>
      </c>
      <c r="T45" s="88" t="str">
        <f aca="false">IF(SUM($F45)=0,"",MIN($S45/$F45,1))</f>
        <v/>
      </c>
      <c r="U45" s="88" t="n">
        <f aca="false">1</f>
        <v>1</v>
      </c>
      <c r="V45" s="88" t="n">
        <f aca="false">1</f>
        <v>1</v>
      </c>
      <c r="W45" s="39" t="str">
        <f aca="false">IF(SUM($M45)=0,"",IF($T45="","ENTER ELIGIBILITY RATE",IF($U45 = "","ENTER INITIATION RATE",ROUND($M45*$T45*$U45,0))))</f>
        <v/>
      </c>
      <c r="X45" s="39" t="str">
        <f aca="false">IF(SUM($O45)=0,"",IF($V45="","ENTER INITIATION RATE",ROUND($O45*$V45,0)))</f>
        <v/>
      </c>
      <c r="Y45" s="88" t="n">
        <f aca="false">0.9</f>
        <v>0.9</v>
      </c>
      <c r="Z45" s="39" t="str">
        <f aca="false">IF(SUM($W45)=0,"",IF($Y45="","ENTER COMPLETION RATE",ROUND($W45*$Y45,0)))</f>
        <v/>
      </c>
      <c r="AA45" s="39" t="str">
        <f aca="false">IF(SUM($X45)=0,"",IF($X45="","ENTER COMPLETION RATE",ROUND($X45*$Y45,0)))</f>
        <v/>
      </c>
      <c r="AB45" s="88" t="str">
        <f aca="false">IF(SUM($Q45)=0,"",(SUM($Z45)-$Q45)/$Q45)</f>
        <v/>
      </c>
      <c r="AC45" s="88" t="n">
        <f aca="false">IF(SUM($R45)=0,"",(SUM($AA45)-$R45)/$R45)</f>
        <v>-1</v>
      </c>
    </row>
    <row r="46" customFormat="false" ht="15" hidden="false" customHeight="false" outlineLevel="0" collapsed="false">
      <c r="A46" s="0" t="str">
        <f aca="false">INDEX(Prioritization!$D:$D,MATCH($B46,Prioritization!$A:$A,0))</f>
        <v>INVALID</v>
      </c>
      <c r="B46" s="0" t="s">
        <v>201</v>
      </c>
      <c r="C46" s="0" t="s">
        <v>808</v>
      </c>
      <c r="D46" s="0" t="s">
        <v>48</v>
      </c>
      <c r="E46" s="0" t="str">
        <f aca="false">B46&amp;"|"&amp;C46&amp;"|"&amp;D46</f>
        <v>Ntcheu District [am530wpaGvr]|15+|Male</v>
      </c>
      <c r="F46" s="10" t="str">
        <f aca="false">IFERROR(1/(1/SUM(SUMIFS(Cascade!$O:$O,Cascade!$B:$B,$B46,Cascade!$C:$C,IF($C46="&lt;15",{"=&lt;01","01-09","10-14"},{"15-24","25-34","35-49","50+"}),Cascade!$D:$D,$D46))),"")</f>
        <v/>
      </c>
      <c r="G46" s="10" t="str">
        <f aca="false">IFERROR(1/(1/SUM(SUMIFS(Cascade!$AX:$AX,Cascade!$B:$B,$B46,Cascade!$C:$C,IF($C46="&lt;15",{"=&lt;01","01-09","10-14"},{"15-24","25-34","35-49","50+"}),Cascade!$D:$D,$D46))),"")</f>
        <v/>
      </c>
      <c r="H46" s="88" t="n">
        <f aca="false">1</f>
        <v>1</v>
      </c>
      <c r="I46" s="88" t="n">
        <f aca="false">1</f>
        <v>1</v>
      </c>
      <c r="J46" s="88"/>
      <c r="K46" s="88"/>
      <c r="L46" s="39" t="str">
        <f aca="false">IF(SUM($F46)=0,"",ROUND($F46*$H46*$J46,0))</f>
        <v/>
      </c>
      <c r="M46" s="39" t="str">
        <f aca="false">IF(SUM($F46)=0,"",ROUND($F46*$H46,0)-$L46)</f>
        <v/>
      </c>
      <c r="N46" s="39" t="str">
        <f aca="false">IF(SUM($G46)=0,"",ROUND($G46*$I46*$K46,0))</f>
        <v/>
      </c>
      <c r="O46" s="39" t="str">
        <f aca="false">IF(SUM($G46)=0,"",ROUND($G46*$I46,0)-$N46)</f>
        <v/>
      </c>
      <c r="P46" s="10" t="n">
        <v>61</v>
      </c>
      <c r="Q46" s="10"/>
      <c r="R46" s="10" t="n">
        <v>94</v>
      </c>
      <c r="S46" s="10" t="n">
        <f aca="false">IFERROR(1/(1/SUM($P46,$R46,$Q46)),"")</f>
        <v>155</v>
      </c>
      <c r="T46" s="88" t="str">
        <f aca="false">IF(SUM($F46)=0,"",MIN($S46/$F46,1))</f>
        <v/>
      </c>
      <c r="U46" s="88" t="n">
        <f aca="false">1</f>
        <v>1</v>
      </c>
      <c r="V46" s="88" t="n">
        <f aca="false">1</f>
        <v>1</v>
      </c>
      <c r="W46" s="39" t="str">
        <f aca="false">IF(SUM($M46)=0,"",IF($T46="","ENTER ELIGIBILITY RATE",IF($U46 = "","ENTER INITIATION RATE",ROUND($M46*$T46*$U46,0))))</f>
        <v/>
      </c>
      <c r="X46" s="39" t="str">
        <f aca="false">IF(SUM($O46)=0,"",IF($V46="","ENTER INITIATION RATE",ROUND($O46*$V46,0)))</f>
        <v/>
      </c>
      <c r="Y46" s="88" t="n">
        <f aca="false">0.9</f>
        <v>0.9</v>
      </c>
      <c r="Z46" s="39" t="str">
        <f aca="false">IF(SUM($W46)=0,"",IF($Y46="","ENTER COMPLETION RATE",ROUND($W46*$Y46,0)))</f>
        <v/>
      </c>
      <c r="AA46" s="39" t="str">
        <f aca="false">IF(SUM($X46)=0,"",IF($X46="","ENTER COMPLETION RATE",ROUND($X46*$Y46,0)))</f>
        <v/>
      </c>
      <c r="AB46" s="88" t="str">
        <f aca="false">IF(SUM($Q46)=0,"",(SUM($Z46)-$Q46)/$Q46)</f>
        <v/>
      </c>
      <c r="AC46" s="88" t="n">
        <f aca="false">IF(SUM($R46)=0,"",(SUM($AA46)-$R46)/$R46)</f>
        <v>-1</v>
      </c>
    </row>
    <row r="47" customFormat="false" ht="15" hidden="false" customHeight="false" outlineLevel="0" collapsed="false">
      <c r="A47" s="0" t="str">
        <f aca="false">INDEX(Prioritization!$D:$D,MATCH($B47,Prioritization!$A:$A,0))</f>
        <v>INVALID</v>
      </c>
      <c r="B47" s="0" t="s">
        <v>202</v>
      </c>
      <c r="C47" s="0" t="s">
        <v>807</v>
      </c>
      <c r="D47" s="0" t="s">
        <v>30</v>
      </c>
      <c r="E47" s="0" t="str">
        <f aca="false">B47&amp;"|"&amp;C47&amp;"|"&amp;D47</f>
        <v>Ntchisi District [fiRkU6gEjLz]|&lt;15|Female</v>
      </c>
      <c r="F47" s="10" t="n">
        <f aca="false">IFERROR(1/(1/SUM(SUMIFS(Cascade!$O:$O,Cascade!$B:$B,$B47,Cascade!$C:$C,IF($C47="&lt;15",{"=&lt;01","01-09","10-14"},{"15-24","25-34","35-49","50+"}),Cascade!$D:$D,$D47))),"")</f>
        <v>1</v>
      </c>
      <c r="G47" s="10" t="str">
        <f aca="false">IFERROR(1/(1/SUM(SUMIFS(Cascade!$AX:$AX,Cascade!$B:$B,$B47,Cascade!$C:$C,IF($C47="&lt;15",{"=&lt;01","01-09","10-14"},{"15-24","25-34","35-49","50+"}),Cascade!$D:$D,$D47))),"")</f>
        <v/>
      </c>
      <c r="H47" s="88" t="n">
        <f aca="false">1</f>
        <v>1</v>
      </c>
      <c r="I47" s="88" t="n">
        <f aca="false">1</f>
        <v>1</v>
      </c>
      <c r="J47" s="88"/>
      <c r="K47" s="88"/>
      <c r="L47" s="39" t="n">
        <f aca="false">IF(SUM($F47)=0,"",ROUND($F47*$H47*$J47,0))</f>
        <v>0</v>
      </c>
      <c r="M47" s="39" t="n">
        <f aca="false">IF(SUM($F47)=0,"",ROUND($F47*$H47,0)-$L47)</f>
        <v>1</v>
      </c>
      <c r="N47" s="39" t="str">
        <f aca="false">IF(SUM($G47)=0,"",ROUND($G47*$I47*$K47,0))</f>
        <v/>
      </c>
      <c r="O47" s="39" t="str">
        <f aca="false">IF(SUM($G47)=0,"",ROUND($G47*$I47,0)-$N47)</f>
        <v/>
      </c>
      <c r="P47" s="10" t="n">
        <v>1</v>
      </c>
      <c r="Q47" s="10"/>
      <c r="R47" s="10" t="n">
        <v>2</v>
      </c>
      <c r="S47" s="10" t="n">
        <f aca="false">IFERROR(1/(1/SUM($P47,$R47,$Q47)),"")</f>
        <v>3</v>
      </c>
      <c r="T47" s="88" t="n">
        <f aca="false">IF(SUM($F47)=0,"",MIN($S47/$F47,1))</f>
        <v>1</v>
      </c>
      <c r="U47" s="88" t="n">
        <f aca="false">1</f>
        <v>1</v>
      </c>
      <c r="V47" s="88" t="n">
        <f aca="false">1</f>
        <v>1</v>
      </c>
      <c r="W47" s="39" t="n">
        <f aca="false">IF(SUM($M47)=0,"",IF($T47="","ENTER ELIGIBILITY RATE",IF($U47 = "","ENTER INITIATION RATE",ROUND($M47*$T47*$U47,0))))</f>
        <v>1</v>
      </c>
      <c r="X47" s="39" t="str">
        <f aca="false">IF(SUM($O47)=0,"",IF($V47="","ENTER INITIATION RATE",ROUND($O47*$V47,0)))</f>
        <v/>
      </c>
      <c r="Y47" s="88" t="n">
        <f aca="false">0.9</f>
        <v>0.9</v>
      </c>
      <c r="Z47" s="39" t="n">
        <f aca="false">IF(SUM($W47)=0,"",IF($Y47="","ENTER COMPLETION RATE",ROUND($W47*$Y47,0)))</f>
        <v>1</v>
      </c>
      <c r="AA47" s="39" t="str">
        <f aca="false">IF(SUM($X47)=0,"",IF($X47="","ENTER COMPLETION RATE",ROUND($X47*$Y47,0)))</f>
        <v/>
      </c>
      <c r="AB47" s="88" t="str">
        <f aca="false">IF(SUM($Q47)=0,"",(SUM($Z47)-$Q47)/$Q47)</f>
        <v/>
      </c>
      <c r="AC47" s="88" t="n">
        <f aca="false">IF(SUM($R47)=0,"",(SUM($AA47)-$R47)/$R47)</f>
        <v>-1</v>
      </c>
    </row>
    <row r="48" customFormat="false" ht="15" hidden="false" customHeight="false" outlineLevel="0" collapsed="false">
      <c r="A48" s="0" t="str">
        <f aca="false">INDEX(Prioritization!$D:$D,MATCH($B48,Prioritization!$A:$A,0))</f>
        <v>INVALID</v>
      </c>
      <c r="B48" s="0" t="s">
        <v>202</v>
      </c>
      <c r="C48" s="0" t="s">
        <v>807</v>
      </c>
      <c r="D48" s="0" t="s">
        <v>48</v>
      </c>
      <c r="E48" s="0" t="str">
        <f aca="false">B48&amp;"|"&amp;C48&amp;"|"&amp;D48</f>
        <v>Ntchisi District [fiRkU6gEjLz]|&lt;15|Male</v>
      </c>
      <c r="F48" s="10" t="n">
        <f aca="false">IFERROR(1/(1/SUM(SUMIFS(Cascade!$O:$O,Cascade!$B:$B,$B48,Cascade!$C:$C,IF($C48="&lt;15",{"=&lt;01","01-09","10-14"},{"15-24","25-34","35-49","50+"}),Cascade!$D:$D,$D48))),"")</f>
        <v>1</v>
      </c>
      <c r="G48" s="10" t="str">
        <f aca="false">IFERROR(1/(1/SUM(SUMIFS(Cascade!$AX:$AX,Cascade!$B:$B,$B48,Cascade!$C:$C,IF($C48="&lt;15",{"=&lt;01","01-09","10-14"},{"15-24","25-34","35-49","50+"}),Cascade!$D:$D,$D48))),"")</f>
        <v/>
      </c>
      <c r="H48" s="88" t="n">
        <f aca="false">1</f>
        <v>1</v>
      </c>
      <c r="I48" s="88" t="n">
        <f aca="false">1</f>
        <v>1</v>
      </c>
      <c r="J48" s="88"/>
      <c r="K48" s="88"/>
      <c r="L48" s="39" t="n">
        <f aca="false">IF(SUM($F48)=0,"",ROUND($F48*$H48*$J48,0))</f>
        <v>0</v>
      </c>
      <c r="M48" s="39" t="n">
        <f aca="false">IF(SUM($F48)=0,"",ROUND($F48*$H48,0)-$L48)</f>
        <v>1</v>
      </c>
      <c r="N48" s="39" t="str">
        <f aca="false">IF(SUM($G48)=0,"",ROUND($G48*$I48*$K48,0))</f>
        <v/>
      </c>
      <c r="O48" s="39" t="str">
        <f aca="false">IF(SUM($G48)=0,"",ROUND($G48*$I48,0)-$N48)</f>
        <v/>
      </c>
      <c r="P48" s="10" t="n">
        <v>1</v>
      </c>
      <c r="Q48" s="10"/>
      <c r="R48" s="10" t="n">
        <v>6</v>
      </c>
      <c r="S48" s="10" t="n">
        <f aca="false">IFERROR(1/(1/SUM($P48,$R48,$Q48)),"")</f>
        <v>7</v>
      </c>
      <c r="T48" s="88" t="n">
        <f aca="false">IF(SUM($F48)=0,"",MIN($S48/$F48,1))</f>
        <v>1</v>
      </c>
      <c r="U48" s="88" t="n">
        <f aca="false">1</f>
        <v>1</v>
      </c>
      <c r="V48" s="88" t="n">
        <f aca="false">1</f>
        <v>1</v>
      </c>
      <c r="W48" s="39" t="n">
        <f aca="false">IF(SUM($M48)=0,"",IF($T48="","ENTER ELIGIBILITY RATE",IF($U48 = "","ENTER INITIATION RATE",ROUND($M48*$T48*$U48,0))))</f>
        <v>1</v>
      </c>
      <c r="X48" s="39" t="str">
        <f aca="false">IF(SUM($O48)=0,"",IF($V48="","ENTER INITIATION RATE",ROUND($O48*$V48,0)))</f>
        <v/>
      </c>
      <c r="Y48" s="88" t="n">
        <f aca="false">0.9</f>
        <v>0.9</v>
      </c>
      <c r="Z48" s="39" t="n">
        <f aca="false">IF(SUM($W48)=0,"",IF($Y48="","ENTER COMPLETION RATE",ROUND($W48*$Y48,0)))</f>
        <v>1</v>
      </c>
      <c r="AA48" s="39" t="str">
        <f aca="false">IF(SUM($X48)=0,"",IF($X48="","ENTER COMPLETION RATE",ROUND($X48*$Y48,0)))</f>
        <v/>
      </c>
      <c r="AB48" s="88" t="str">
        <f aca="false">IF(SUM($Q48)=0,"",(SUM($Z48)-$Q48)/$Q48)</f>
        <v/>
      </c>
      <c r="AC48" s="88" t="n">
        <f aca="false">IF(SUM($R48)=0,"",(SUM($AA48)-$R48)/$R48)</f>
        <v>-1</v>
      </c>
    </row>
    <row r="49" customFormat="false" ht="15" hidden="false" customHeight="false" outlineLevel="0" collapsed="false">
      <c r="A49" s="0" t="str">
        <f aca="false">INDEX(Prioritization!$D:$D,MATCH($B49,Prioritization!$A:$A,0))</f>
        <v>INVALID</v>
      </c>
      <c r="B49" s="0" t="s">
        <v>202</v>
      </c>
      <c r="C49" s="0" t="s">
        <v>808</v>
      </c>
      <c r="D49" s="0" t="s">
        <v>30</v>
      </c>
      <c r="E49" s="0" t="str">
        <f aca="false">B49&amp;"|"&amp;C49&amp;"|"&amp;D49</f>
        <v>Ntchisi District [fiRkU6gEjLz]|15+|Female</v>
      </c>
      <c r="F49" s="10" t="str">
        <f aca="false">IFERROR(1/(1/SUM(SUMIFS(Cascade!$O:$O,Cascade!$B:$B,$B49,Cascade!$C:$C,IF($C49="&lt;15",{"=&lt;01","01-09","10-14"},{"15-24","25-34","35-49","50+"}),Cascade!$D:$D,$D49))),"")</f>
        <v/>
      </c>
      <c r="G49" s="10" t="str">
        <f aca="false">IFERROR(1/(1/SUM(SUMIFS(Cascade!$AX:$AX,Cascade!$B:$B,$B49,Cascade!$C:$C,IF($C49="&lt;15",{"=&lt;01","01-09","10-14"},{"15-24","25-34","35-49","50+"}),Cascade!$D:$D,$D49))),"")</f>
        <v/>
      </c>
      <c r="H49" s="88" t="n">
        <f aca="false">1</f>
        <v>1</v>
      </c>
      <c r="I49" s="88" t="n">
        <f aca="false">1</f>
        <v>1</v>
      </c>
      <c r="J49" s="88"/>
      <c r="K49" s="88"/>
      <c r="L49" s="39" t="str">
        <f aca="false">IF(SUM($F49)=0,"",ROUND($F49*$H49*$J49,0))</f>
        <v/>
      </c>
      <c r="M49" s="39" t="str">
        <f aca="false">IF(SUM($F49)=0,"",ROUND($F49*$H49,0)-$L49)</f>
        <v/>
      </c>
      <c r="N49" s="39" t="str">
        <f aca="false">IF(SUM($G49)=0,"",ROUND($G49*$I49*$K49,0))</f>
        <v/>
      </c>
      <c r="O49" s="39" t="str">
        <f aca="false">IF(SUM($G49)=0,"",ROUND($G49*$I49,0)-$N49)</f>
        <v/>
      </c>
      <c r="P49" s="10" t="n">
        <v>40</v>
      </c>
      <c r="Q49" s="10"/>
      <c r="R49" s="10" t="n">
        <v>80</v>
      </c>
      <c r="S49" s="10" t="n">
        <f aca="false">IFERROR(1/(1/SUM($P49,$R49,$Q49)),"")</f>
        <v>120</v>
      </c>
      <c r="T49" s="88" t="str">
        <f aca="false">IF(SUM($F49)=0,"",MIN($S49/$F49,1))</f>
        <v/>
      </c>
      <c r="U49" s="88" t="n">
        <f aca="false">1</f>
        <v>1</v>
      </c>
      <c r="V49" s="88" t="n">
        <f aca="false">1</f>
        <v>1</v>
      </c>
      <c r="W49" s="39" t="str">
        <f aca="false">IF(SUM($M49)=0,"",IF($T49="","ENTER ELIGIBILITY RATE",IF($U49 = "","ENTER INITIATION RATE",ROUND($M49*$T49*$U49,0))))</f>
        <v/>
      </c>
      <c r="X49" s="39" t="str">
        <f aca="false">IF(SUM($O49)=0,"",IF($V49="","ENTER INITIATION RATE",ROUND($O49*$V49,0)))</f>
        <v/>
      </c>
      <c r="Y49" s="88" t="n">
        <f aca="false">0.9</f>
        <v>0.9</v>
      </c>
      <c r="Z49" s="39" t="str">
        <f aca="false">IF(SUM($W49)=0,"",IF($Y49="","ENTER COMPLETION RATE",ROUND($W49*$Y49,0)))</f>
        <v/>
      </c>
      <c r="AA49" s="39" t="str">
        <f aca="false">IF(SUM($X49)=0,"",IF($X49="","ENTER COMPLETION RATE",ROUND($X49*$Y49,0)))</f>
        <v/>
      </c>
      <c r="AB49" s="88" t="str">
        <f aca="false">IF(SUM($Q49)=0,"",(SUM($Z49)-$Q49)/$Q49)</f>
        <v/>
      </c>
      <c r="AC49" s="88" t="n">
        <f aca="false">IF(SUM($R49)=0,"",(SUM($AA49)-$R49)/$R49)</f>
        <v>-1</v>
      </c>
    </row>
    <row r="50" customFormat="false" ht="15" hidden="false" customHeight="false" outlineLevel="0" collapsed="false">
      <c r="A50" s="0" t="str">
        <f aca="false">INDEX(Prioritization!$D:$D,MATCH($B50,Prioritization!$A:$A,0))</f>
        <v>INVALID</v>
      </c>
      <c r="B50" s="0" t="s">
        <v>202</v>
      </c>
      <c r="C50" s="0" t="s">
        <v>808</v>
      </c>
      <c r="D50" s="0" t="s">
        <v>48</v>
      </c>
      <c r="E50" s="0" t="str">
        <f aca="false">B50&amp;"|"&amp;C50&amp;"|"&amp;D50</f>
        <v>Ntchisi District [fiRkU6gEjLz]|15+|Male</v>
      </c>
      <c r="F50" s="10" t="str">
        <f aca="false">IFERROR(1/(1/SUM(SUMIFS(Cascade!$O:$O,Cascade!$B:$B,$B50,Cascade!$C:$C,IF($C50="&lt;15",{"=&lt;01","01-09","10-14"},{"15-24","25-34","35-49","50+"}),Cascade!$D:$D,$D50))),"")</f>
        <v/>
      </c>
      <c r="G50" s="10" t="str">
        <f aca="false">IFERROR(1/(1/SUM(SUMIFS(Cascade!$AX:$AX,Cascade!$B:$B,$B50,Cascade!$C:$C,IF($C50="&lt;15",{"=&lt;01","01-09","10-14"},{"15-24","25-34","35-49","50+"}),Cascade!$D:$D,$D50))),"")</f>
        <v/>
      </c>
      <c r="H50" s="88" t="n">
        <f aca="false">1</f>
        <v>1</v>
      </c>
      <c r="I50" s="88" t="n">
        <f aca="false">1</f>
        <v>1</v>
      </c>
      <c r="J50" s="88"/>
      <c r="K50" s="88"/>
      <c r="L50" s="39" t="str">
        <f aca="false">IF(SUM($F50)=0,"",ROUND($F50*$H50*$J50,0))</f>
        <v/>
      </c>
      <c r="M50" s="39" t="str">
        <f aca="false">IF(SUM($F50)=0,"",ROUND($F50*$H50,0)-$L50)</f>
        <v/>
      </c>
      <c r="N50" s="39" t="str">
        <f aca="false">IF(SUM($G50)=0,"",ROUND($G50*$I50*$K50,0))</f>
        <v/>
      </c>
      <c r="O50" s="39" t="str">
        <f aca="false">IF(SUM($G50)=0,"",ROUND($G50*$I50,0)-$N50)</f>
        <v/>
      </c>
      <c r="P50" s="10" t="n">
        <v>86</v>
      </c>
      <c r="Q50" s="10"/>
      <c r="R50" s="10" t="n">
        <v>33</v>
      </c>
      <c r="S50" s="10" t="n">
        <f aca="false">IFERROR(1/(1/SUM($P50,$R50,$Q50)),"")</f>
        <v>119</v>
      </c>
      <c r="T50" s="88" t="str">
        <f aca="false">IF(SUM($F50)=0,"",MIN($S50/$F50,1))</f>
        <v/>
      </c>
      <c r="U50" s="88" t="n">
        <f aca="false">1</f>
        <v>1</v>
      </c>
      <c r="V50" s="88" t="n">
        <f aca="false">1</f>
        <v>1</v>
      </c>
      <c r="W50" s="39" t="str">
        <f aca="false">IF(SUM($M50)=0,"",IF($T50="","ENTER ELIGIBILITY RATE",IF($U50 = "","ENTER INITIATION RATE",ROUND($M50*$T50*$U50,0))))</f>
        <v/>
      </c>
      <c r="X50" s="39" t="str">
        <f aca="false">IF(SUM($O50)=0,"",IF($V50="","ENTER INITIATION RATE",ROUND($O50*$V50,0)))</f>
        <v/>
      </c>
      <c r="Y50" s="88" t="n">
        <f aca="false">0.9</f>
        <v>0.9</v>
      </c>
      <c r="Z50" s="39" t="str">
        <f aca="false">IF(SUM($W50)=0,"",IF($Y50="","ENTER COMPLETION RATE",ROUND($W50*$Y50,0)))</f>
        <v/>
      </c>
      <c r="AA50" s="39" t="str">
        <f aca="false">IF(SUM($X50)=0,"",IF($X50="","ENTER COMPLETION RATE",ROUND($X50*$Y50,0)))</f>
        <v/>
      </c>
      <c r="AB50" s="88" t="str">
        <f aca="false">IF(SUM($Q50)=0,"",(SUM($Z50)-$Q50)/$Q50)</f>
        <v/>
      </c>
      <c r="AC50" s="88" t="n">
        <f aca="false">IF(SUM($R50)=0,"",(SUM($AA50)-$R50)/$R50)</f>
        <v>-1</v>
      </c>
    </row>
    <row r="51" customFormat="false" ht="15" hidden="false" customHeight="false" outlineLevel="0" collapsed="false">
      <c r="A51" s="0" t="str">
        <f aca="false">INDEX(Prioritization!$D:$D,MATCH($B51,Prioritization!$A:$A,0))</f>
        <v>INVALID</v>
      </c>
      <c r="B51" s="0" t="s">
        <v>203</v>
      </c>
      <c r="C51" s="0" t="s">
        <v>807</v>
      </c>
      <c r="D51" s="0" t="s">
        <v>30</v>
      </c>
      <c r="E51" s="0" t="str">
        <f aca="false">B51&amp;"|"&amp;C51&amp;"|"&amp;D51</f>
        <v>Salima District [msW2zpIN7up]|&lt;15|Female</v>
      </c>
      <c r="F51" s="10" t="n">
        <f aca="false">IFERROR(1/(1/SUM(SUMIFS(Cascade!$O:$O,Cascade!$B:$B,$B51,Cascade!$C:$C,IF($C51="&lt;15",{"=&lt;01","01-09","10-14"},{"15-24","25-34","35-49","50+"}),Cascade!$D:$D,$D51))),"")</f>
        <v>6</v>
      </c>
      <c r="G51" s="10" t="str">
        <f aca="false">IFERROR(1/(1/SUM(SUMIFS(Cascade!$AX:$AX,Cascade!$B:$B,$B51,Cascade!$C:$C,IF($C51="&lt;15",{"=&lt;01","01-09","10-14"},{"15-24","25-34","35-49","50+"}),Cascade!$D:$D,$D51))),"")</f>
        <v/>
      </c>
      <c r="H51" s="88" t="n">
        <f aca="false">1</f>
        <v>1</v>
      </c>
      <c r="I51" s="88" t="n">
        <f aca="false">1</f>
        <v>1</v>
      </c>
      <c r="J51" s="88"/>
      <c r="K51" s="88"/>
      <c r="L51" s="39" t="n">
        <f aca="false">IF(SUM($F51)=0,"",ROUND($F51*$H51*$J51,0))</f>
        <v>0</v>
      </c>
      <c r="M51" s="39" t="n">
        <f aca="false">IF(SUM($F51)=0,"",ROUND($F51*$H51,0)-$L51)</f>
        <v>6</v>
      </c>
      <c r="N51" s="39" t="str">
        <f aca="false">IF(SUM($G51)=0,"",ROUND($G51*$I51*$K51,0))</f>
        <v/>
      </c>
      <c r="O51" s="39" t="str">
        <f aca="false">IF(SUM($G51)=0,"",ROUND($G51*$I51,0)-$N51)</f>
        <v/>
      </c>
      <c r="P51" s="10" t="n">
        <v>1</v>
      </c>
      <c r="Q51" s="10"/>
      <c r="R51" s="10" t="n">
        <v>0</v>
      </c>
      <c r="S51" s="10" t="n">
        <f aca="false">IFERROR(1/(1/SUM($P51,$R51,$Q51)),"")</f>
        <v>1</v>
      </c>
      <c r="T51" s="88" t="n">
        <f aca="false">IF(SUM($F51)=0,"",MIN($S51/$F51,1))</f>
        <v>0.166666666666667</v>
      </c>
      <c r="U51" s="88" t="n">
        <f aca="false">1</f>
        <v>1</v>
      </c>
      <c r="V51" s="88" t="n">
        <f aca="false">1</f>
        <v>1</v>
      </c>
      <c r="W51" s="39" t="n">
        <f aca="false">IF(SUM($M51)=0,"",IF($T51="","ENTER ELIGIBILITY RATE",IF($U51 = "","ENTER INITIATION RATE",ROUND($M51*$T51*$U51,0))))</f>
        <v>1</v>
      </c>
      <c r="X51" s="39" t="str">
        <f aca="false">IF(SUM($O51)=0,"",IF($V51="","ENTER INITIATION RATE",ROUND($O51*$V51,0)))</f>
        <v/>
      </c>
      <c r="Y51" s="88" t="n">
        <f aca="false">0.9</f>
        <v>0.9</v>
      </c>
      <c r="Z51" s="39" t="n">
        <f aca="false">IF(SUM($W51)=0,"",IF($Y51="","ENTER COMPLETION RATE",ROUND($W51*$Y51,0)))</f>
        <v>1</v>
      </c>
      <c r="AA51" s="39" t="str">
        <f aca="false">IF(SUM($X51)=0,"",IF($X51="","ENTER COMPLETION RATE",ROUND($X51*$Y51,0)))</f>
        <v/>
      </c>
      <c r="AB51" s="88" t="str">
        <f aca="false">IF(SUM($Q51)=0,"",(SUM($Z51)-$Q51)/$Q51)</f>
        <v/>
      </c>
      <c r="AC51" s="88" t="str">
        <f aca="false">IF(SUM($R51)=0,"",(SUM($AA51)-$R51)/$R51)</f>
        <v/>
      </c>
    </row>
    <row r="52" customFormat="false" ht="15" hidden="false" customHeight="false" outlineLevel="0" collapsed="false">
      <c r="A52" s="0" t="str">
        <f aca="false">INDEX(Prioritization!$D:$D,MATCH($B52,Prioritization!$A:$A,0))</f>
        <v>INVALID</v>
      </c>
      <c r="B52" s="0" t="s">
        <v>203</v>
      </c>
      <c r="C52" s="0" t="s">
        <v>807</v>
      </c>
      <c r="D52" s="0" t="s">
        <v>48</v>
      </c>
      <c r="E52" s="0" t="str">
        <f aca="false">B52&amp;"|"&amp;C52&amp;"|"&amp;D52</f>
        <v>Salima District [msW2zpIN7up]|&lt;15|Male</v>
      </c>
      <c r="F52" s="10" t="n">
        <f aca="false">IFERROR(1/(1/SUM(SUMIFS(Cascade!$O:$O,Cascade!$B:$B,$B52,Cascade!$C:$C,IF($C52="&lt;15",{"=&lt;01","01-09","10-14"},{"15-24","25-34","35-49","50+"}),Cascade!$D:$D,$D52))),"")</f>
        <v>8</v>
      </c>
      <c r="G52" s="10" t="str">
        <f aca="false">IFERROR(1/(1/SUM(SUMIFS(Cascade!$AX:$AX,Cascade!$B:$B,$B52,Cascade!$C:$C,IF($C52="&lt;15",{"=&lt;01","01-09","10-14"},{"15-24","25-34","35-49","50+"}),Cascade!$D:$D,$D52))),"")</f>
        <v/>
      </c>
      <c r="H52" s="88" t="n">
        <f aca="false">1</f>
        <v>1</v>
      </c>
      <c r="I52" s="88" t="n">
        <f aca="false">1</f>
        <v>1</v>
      </c>
      <c r="J52" s="88"/>
      <c r="K52" s="88"/>
      <c r="L52" s="39" t="n">
        <f aca="false">IF(SUM($F52)=0,"",ROUND($F52*$H52*$J52,0))</f>
        <v>0</v>
      </c>
      <c r="M52" s="39" t="n">
        <f aca="false">IF(SUM($F52)=0,"",ROUND($F52*$H52,0)-$L52)</f>
        <v>8</v>
      </c>
      <c r="N52" s="39" t="str">
        <f aca="false">IF(SUM($G52)=0,"",ROUND($G52*$I52*$K52,0))</f>
        <v/>
      </c>
      <c r="O52" s="39" t="str">
        <f aca="false">IF(SUM($G52)=0,"",ROUND($G52*$I52,0)-$N52)</f>
        <v/>
      </c>
      <c r="P52" s="10" t="n">
        <v>7</v>
      </c>
      <c r="Q52" s="10"/>
      <c r="R52" s="10" t="n">
        <v>1</v>
      </c>
      <c r="S52" s="10" t="n">
        <f aca="false">IFERROR(1/(1/SUM($P52,$R52,$Q52)),"")</f>
        <v>8</v>
      </c>
      <c r="T52" s="88" t="n">
        <f aca="false">IF(SUM($F52)=0,"",MIN($S52/$F52,1))</f>
        <v>1</v>
      </c>
      <c r="U52" s="88" t="n">
        <f aca="false">1</f>
        <v>1</v>
      </c>
      <c r="V52" s="88" t="n">
        <f aca="false">1</f>
        <v>1</v>
      </c>
      <c r="W52" s="39" t="n">
        <f aca="false">IF(SUM($M52)=0,"",IF($T52="","ENTER ELIGIBILITY RATE",IF($U52 = "","ENTER INITIATION RATE",ROUND($M52*$T52*$U52,0))))</f>
        <v>8</v>
      </c>
      <c r="X52" s="39" t="str">
        <f aca="false">IF(SUM($O52)=0,"",IF($V52="","ENTER INITIATION RATE",ROUND($O52*$V52,0)))</f>
        <v/>
      </c>
      <c r="Y52" s="88" t="n">
        <f aca="false">0.9</f>
        <v>0.9</v>
      </c>
      <c r="Z52" s="39" t="n">
        <f aca="false">IF(SUM($W52)=0,"",IF($Y52="","ENTER COMPLETION RATE",ROUND($W52*$Y52,0)))</f>
        <v>7</v>
      </c>
      <c r="AA52" s="39" t="str">
        <f aca="false">IF(SUM($X52)=0,"",IF($X52="","ENTER COMPLETION RATE",ROUND($X52*$Y52,0)))</f>
        <v/>
      </c>
      <c r="AB52" s="88" t="str">
        <f aca="false">IF(SUM($Q52)=0,"",(SUM($Z52)-$Q52)/$Q52)</f>
        <v/>
      </c>
      <c r="AC52" s="88" t="n">
        <f aca="false">IF(SUM($R52)=0,"",(SUM($AA52)-$R52)/$R52)</f>
        <v>-1</v>
      </c>
    </row>
    <row r="53" customFormat="false" ht="15" hidden="false" customHeight="false" outlineLevel="0" collapsed="false">
      <c r="A53" s="0" t="str">
        <f aca="false">INDEX(Prioritization!$D:$D,MATCH($B53,Prioritization!$A:$A,0))</f>
        <v>INVALID</v>
      </c>
      <c r="B53" s="0" t="s">
        <v>203</v>
      </c>
      <c r="C53" s="0" t="s">
        <v>808</v>
      </c>
      <c r="D53" s="0" t="s">
        <v>30</v>
      </c>
      <c r="E53" s="0" t="str">
        <f aca="false">B53&amp;"|"&amp;C53&amp;"|"&amp;D53</f>
        <v>Salima District [msW2zpIN7up]|15+|Female</v>
      </c>
      <c r="F53" s="10" t="str">
        <f aca="false">IFERROR(1/(1/SUM(SUMIFS(Cascade!$O:$O,Cascade!$B:$B,$B53,Cascade!$C:$C,IF($C53="&lt;15",{"=&lt;01","01-09","10-14"},{"15-24","25-34","35-49","50+"}),Cascade!$D:$D,$D53))),"")</f>
        <v/>
      </c>
      <c r="G53" s="10" t="str">
        <f aca="false">IFERROR(1/(1/SUM(SUMIFS(Cascade!$AX:$AX,Cascade!$B:$B,$B53,Cascade!$C:$C,IF($C53="&lt;15",{"=&lt;01","01-09","10-14"},{"15-24","25-34","35-49","50+"}),Cascade!$D:$D,$D53))),"")</f>
        <v/>
      </c>
      <c r="H53" s="88" t="n">
        <f aca="false">1</f>
        <v>1</v>
      </c>
      <c r="I53" s="88" t="n">
        <f aca="false">1</f>
        <v>1</v>
      </c>
      <c r="J53" s="88"/>
      <c r="K53" s="88"/>
      <c r="L53" s="39" t="str">
        <f aca="false">IF(SUM($F53)=0,"",ROUND($F53*$H53*$J53,0))</f>
        <v/>
      </c>
      <c r="M53" s="39" t="str">
        <f aca="false">IF(SUM($F53)=0,"",ROUND($F53*$H53,0)-$L53)</f>
        <v/>
      </c>
      <c r="N53" s="39" t="str">
        <f aca="false">IF(SUM($G53)=0,"",ROUND($G53*$I53*$K53,0))</f>
        <v/>
      </c>
      <c r="O53" s="39" t="str">
        <f aca="false">IF(SUM($G53)=0,"",ROUND($G53*$I53,0)-$N53)</f>
        <v/>
      </c>
      <c r="P53" s="10" t="n">
        <v>42</v>
      </c>
      <c r="Q53" s="10"/>
      <c r="R53" s="10" t="n">
        <v>19</v>
      </c>
      <c r="S53" s="10" t="n">
        <f aca="false">IFERROR(1/(1/SUM($P53,$R53,$Q53)),"")</f>
        <v>61</v>
      </c>
      <c r="T53" s="88" t="str">
        <f aca="false">IF(SUM($F53)=0,"",MIN($S53/$F53,1))</f>
        <v/>
      </c>
      <c r="U53" s="88" t="n">
        <f aca="false">1</f>
        <v>1</v>
      </c>
      <c r="V53" s="88" t="n">
        <f aca="false">1</f>
        <v>1</v>
      </c>
      <c r="W53" s="39" t="str">
        <f aca="false">IF(SUM($M53)=0,"",IF($T53="","ENTER ELIGIBILITY RATE",IF($U53 = "","ENTER INITIATION RATE",ROUND($M53*$T53*$U53,0))))</f>
        <v/>
      </c>
      <c r="X53" s="39" t="str">
        <f aca="false">IF(SUM($O53)=0,"",IF($V53="","ENTER INITIATION RATE",ROUND($O53*$V53,0)))</f>
        <v/>
      </c>
      <c r="Y53" s="88" t="n">
        <f aca="false">0.9</f>
        <v>0.9</v>
      </c>
      <c r="Z53" s="39" t="str">
        <f aca="false">IF(SUM($W53)=0,"",IF($Y53="","ENTER COMPLETION RATE",ROUND($W53*$Y53,0)))</f>
        <v/>
      </c>
      <c r="AA53" s="39" t="str">
        <f aca="false">IF(SUM($X53)=0,"",IF($X53="","ENTER COMPLETION RATE",ROUND($X53*$Y53,0)))</f>
        <v/>
      </c>
      <c r="AB53" s="88" t="str">
        <f aca="false">IF(SUM($Q53)=0,"",(SUM($Z53)-$Q53)/$Q53)</f>
        <v/>
      </c>
      <c r="AC53" s="88" t="n">
        <f aca="false">IF(SUM($R53)=0,"",(SUM($AA53)-$R53)/$R53)</f>
        <v>-1</v>
      </c>
    </row>
    <row r="54" customFormat="false" ht="15" hidden="false" customHeight="false" outlineLevel="0" collapsed="false">
      <c r="A54" s="0" t="str">
        <f aca="false">INDEX(Prioritization!$D:$D,MATCH($B54,Prioritization!$A:$A,0))</f>
        <v>INVALID</v>
      </c>
      <c r="B54" s="0" t="s">
        <v>203</v>
      </c>
      <c r="C54" s="0" t="s">
        <v>808</v>
      </c>
      <c r="D54" s="0" t="s">
        <v>48</v>
      </c>
      <c r="E54" s="0" t="str">
        <f aca="false">B54&amp;"|"&amp;C54&amp;"|"&amp;D54</f>
        <v>Salima District [msW2zpIN7up]|15+|Male</v>
      </c>
      <c r="F54" s="10" t="str">
        <f aca="false">IFERROR(1/(1/SUM(SUMIFS(Cascade!$O:$O,Cascade!$B:$B,$B54,Cascade!$C:$C,IF($C54="&lt;15",{"=&lt;01","01-09","10-14"},{"15-24","25-34","35-49","50+"}),Cascade!$D:$D,$D54))),"")</f>
        <v/>
      </c>
      <c r="G54" s="10" t="str">
        <f aca="false">IFERROR(1/(1/SUM(SUMIFS(Cascade!$AX:$AX,Cascade!$B:$B,$B54,Cascade!$C:$C,IF($C54="&lt;15",{"=&lt;01","01-09","10-14"},{"15-24","25-34","35-49","50+"}),Cascade!$D:$D,$D54))),"")</f>
        <v/>
      </c>
      <c r="H54" s="88" t="n">
        <f aca="false">1</f>
        <v>1</v>
      </c>
      <c r="I54" s="88" t="n">
        <f aca="false">1</f>
        <v>1</v>
      </c>
      <c r="J54" s="88"/>
      <c r="K54" s="88"/>
      <c r="L54" s="39" t="str">
        <f aca="false">IF(SUM($F54)=0,"",ROUND($F54*$H54*$J54,0))</f>
        <v/>
      </c>
      <c r="M54" s="39" t="str">
        <f aca="false">IF(SUM($F54)=0,"",ROUND($F54*$H54,0)-$L54)</f>
        <v/>
      </c>
      <c r="N54" s="39" t="str">
        <f aca="false">IF(SUM($G54)=0,"",ROUND($G54*$I54*$K54,0))</f>
        <v/>
      </c>
      <c r="O54" s="39" t="str">
        <f aca="false">IF(SUM($G54)=0,"",ROUND($G54*$I54,0)-$N54)</f>
        <v/>
      </c>
      <c r="P54" s="10" t="n">
        <v>76</v>
      </c>
      <c r="Q54" s="10"/>
      <c r="R54" s="10" t="n">
        <v>73</v>
      </c>
      <c r="S54" s="10" t="n">
        <f aca="false">IFERROR(1/(1/SUM($P54,$R54,$Q54)),"")</f>
        <v>149</v>
      </c>
      <c r="T54" s="88" t="str">
        <f aca="false">IF(SUM($F54)=0,"",MIN($S54/$F54,1))</f>
        <v/>
      </c>
      <c r="U54" s="88" t="n">
        <f aca="false">1</f>
        <v>1</v>
      </c>
      <c r="V54" s="88" t="n">
        <f aca="false">1</f>
        <v>1</v>
      </c>
      <c r="W54" s="39" t="str">
        <f aca="false">IF(SUM($M54)=0,"",IF($T54="","ENTER ELIGIBILITY RATE",IF($U54 = "","ENTER INITIATION RATE",ROUND($M54*$T54*$U54,0))))</f>
        <v/>
      </c>
      <c r="X54" s="39" t="str">
        <f aca="false">IF(SUM($O54)=0,"",IF($V54="","ENTER INITIATION RATE",ROUND($O54*$V54,0)))</f>
        <v/>
      </c>
      <c r="Y54" s="88" t="n">
        <f aca="false">0.9</f>
        <v>0.9</v>
      </c>
      <c r="Z54" s="39" t="str">
        <f aca="false">IF(SUM($W54)=0,"",IF($Y54="","ENTER COMPLETION RATE",ROUND($W54*$Y54,0)))</f>
        <v/>
      </c>
      <c r="AA54" s="39" t="str">
        <f aca="false">IF(SUM($X54)=0,"",IF($X54="","ENTER COMPLETION RATE",ROUND($X54*$Y54,0)))</f>
        <v/>
      </c>
      <c r="AB54" s="88" t="str">
        <f aca="false">IF(SUM($Q54)=0,"",(SUM($Z54)-$Q54)/$Q54)</f>
        <v/>
      </c>
      <c r="AC54" s="88" t="n">
        <f aca="false">IF(SUM($R54)=0,"",(SUM($AA54)-$R54)/$R54)</f>
        <v>-1</v>
      </c>
    </row>
    <row r="55" customFormat="false" ht="15" hidden="false" customHeight="false" outlineLevel="0" collapsed="false">
      <c r="A55" s="0" t="str">
        <f aca="false">INDEX(Prioritization!$D:$D,MATCH($B55,Prioritization!$A:$A,0))</f>
        <v>1 - Scale-up: Saturation</v>
      </c>
      <c r="B55" s="0" t="s">
        <v>204</v>
      </c>
      <c r="C55" s="0" t="s">
        <v>807</v>
      </c>
      <c r="D55" s="0" t="s">
        <v>30</v>
      </c>
      <c r="E55" s="0" t="str">
        <f aca="false">B55&amp;"|"&amp;C55&amp;"|"&amp;D55</f>
        <v>Chitipa District [GkIwZrXy1h2]|&lt;15|Female</v>
      </c>
      <c r="F55" s="10" t="n">
        <f aca="false">IFERROR(1/(1/SUM(SUMIFS(Cascade!$O:$O,Cascade!$B:$B,$B55,Cascade!$C:$C,IF($C55="&lt;15",{"=&lt;01","01-09","10-14"},{"15-24","25-34","35-49","50+"}),Cascade!$D:$D,$D55))),"")</f>
        <v>1</v>
      </c>
      <c r="G55" s="10" t="str">
        <f aca="false">IFERROR(1/(1/SUM(SUMIFS(Cascade!$AX:$AX,Cascade!$B:$B,$B55,Cascade!$C:$C,IF($C55="&lt;15",{"=&lt;01","01-09","10-14"},{"15-24","25-34","35-49","50+"}),Cascade!$D:$D,$D55))),"")</f>
        <v/>
      </c>
      <c r="H55" s="88" t="n">
        <f aca="false">1</f>
        <v>1</v>
      </c>
      <c r="I55" s="88" t="n">
        <f aca="false">1</f>
        <v>1</v>
      </c>
      <c r="J55" s="88"/>
      <c r="K55" s="88"/>
      <c r="L55" s="39" t="n">
        <f aca="false">IF(SUM($F55)=0,"",ROUND($F55*$H55*$J55,0))</f>
        <v>0</v>
      </c>
      <c r="M55" s="39" t="n">
        <f aca="false">IF(SUM($F55)=0,"",ROUND($F55*$H55,0)-$L55)</f>
        <v>1</v>
      </c>
      <c r="N55" s="39" t="str">
        <f aca="false">IF(SUM($G55)=0,"",ROUND($G55*$I55*$K55,0))</f>
        <v/>
      </c>
      <c r="O55" s="39" t="str">
        <f aca="false">IF(SUM($G55)=0,"",ROUND($G55*$I55,0)-$N55)</f>
        <v/>
      </c>
      <c r="P55" s="10" t="n">
        <v>0</v>
      </c>
      <c r="Q55" s="10"/>
      <c r="R55" s="10" t="n">
        <v>0</v>
      </c>
      <c r="S55" s="10" t="str">
        <f aca="false">IFERROR(1/(1/SUM($P55,$R55,$Q55)),"")</f>
        <v/>
      </c>
      <c r="T55" s="88" t="e">
        <f aca="false">IF(SUM($F55)=0,"",MIN($S55/$F55,1))</f>
        <v>#VALUE!</v>
      </c>
      <c r="U55" s="88" t="n">
        <f aca="false">1</f>
        <v>1</v>
      </c>
      <c r="V55" s="88" t="n">
        <f aca="false">1</f>
        <v>1</v>
      </c>
      <c r="W55" s="39" t="e">
        <f aca="false">IF(SUM($M55)=0,"",IF($T55="","ENTER ELIGIBILITY RATE",IF($U55 = "","ENTER INITIATION RATE",ROUND($M55*$T55*$U55,0))))</f>
        <v>#VALUE!</v>
      </c>
      <c r="X55" s="39" t="str">
        <f aca="false">IF(SUM($O55)=0,"",IF($V55="","ENTER INITIATION RATE",ROUND($O55*$V55,0)))</f>
        <v/>
      </c>
      <c r="Y55" s="88" t="n">
        <f aca="false">0.9</f>
        <v>0.9</v>
      </c>
      <c r="Z55" s="39" t="e">
        <f aca="false">IF(SUM($W55)=0,"",IF($Y55="","ENTER COMPLETION RATE",ROUND($W55*$Y55,0)))</f>
        <v>#VALUE!</v>
      </c>
      <c r="AA55" s="39" t="str">
        <f aca="false">IF(SUM($X55)=0,"",IF($X55="","ENTER COMPLETION RATE",ROUND($X55*$Y55,0)))</f>
        <v/>
      </c>
      <c r="AB55" s="88" t="str">
        <f aca="false">IF(SUM($Q55)=0,"",(SUM($Z55)-$Q55)/$Q55)</f>
        <v/>
      </c>
      <c r="AC55" s="88" t="str">
        <f aca="false">IF(SUM($R55)=0,"",(SUM($AA55)-$R55)/$R55)</f>
        <v/>
      </c>
    </row>
    <row r="56" customFormat="false" ht="15" hidden="false" customHeight="false" outlineLevel="0" collapsed="false">
      <c r="A56" s="0" t="str">
        <f aca="false">INDEX(Prioritization!$D:$D,MATCH($B56,Prioritization!$A:$A,0))</f>
        <v>1 - Scale-up: Saturation</v>
      </c>
      <c r="B56" s="0" t="s">
        <v>204</v>
      </c>
      <c r="C56" s="0" t="s">
        <v>807</v>
      </c>
      <c r="D56" s="0" t="s">
        <v>48</v>
      </c>
      <c r="E56" s="0" t="str">
        <f aca="false">B56&amp;"|"&amp;C56&amp;"|"&amp;D56</f>
        <v>Chitipa District [GkIwZrXy1h2]|&lt;15|Male</v>
      </c>
      <c r="F56" s="10" t="n">
        <f aca="false">IFERROR(1/(1/SUM(SUMIFS(Cascade!$O:$O,Cascade!$B:$B,$B56,Cascade!$C:$C,IF($C56="&lt;15",{"=&lt;01","01-09","10-14"},{"15-24","25-34","35-49","50+"}),Cascade!$D:$D,$D56))),"")</f>
        <v>1</v>
      </c>
      <c r="G56" s="10" t="str">
        <f aca="false">IFERROR(1/(1/SUM(SUMIFS(Cascade!$AX:$AX,Cascade!$B:$B,$B56,Cascade!$C:$C,IF($C56="&lt;15",{"=&lt;01","01-09","10-14"},{"15-24","25-34","35-49","50+"}),Cascade!$D:$D,$D56))),"")</f>
        <v/>
      </c>
      <c r="H56" s="88" t="n">
        <f aca="false">1</f>
        <v>1</v>
      </c>
      <c r="I56" s="88" t="n">
        <f aca="false">1</f>
        <v>1</v>
      </c>
      <c r="J56" s="88"/>
      <c r="K56" s="88"/>
      <c r="L56" s="39" t="n">
        <f aca="false">IF(SUM($F56)=0,"",ROUND($F56*$H56*$J56,0))</f>
        <v>0</v>
      </c>
      <c r="M56" s="39" t="n">
        <f aca="false">IF(SUM($F56)=0,"",ROUND($F56*$H56,0)-$L56)</f>
        <v>1</v>
      </c>
      <c r="N56" s="39" t="str">
        <f aca="false">IF(SUM($G56)=0,"",ROUND($G56*$I56*$K56,0))</f>
        <v/>
      </c>
      <c r="O56" s="39" t="str">
        <f aca="false">IF(SUM($G56)=0,"",ROUND($G56*$I56,0)-$N56)</f>
        <v/>
      </c>
      <c r="P56" s="10" t="n">
        <v>0</v>
      </c>
      <c r="Q56" s="10"/>
      <c r="R56" s="10" t="n">
        <v>0</v>
      </c>
      <c r="S56" s="10" t="str">
        <f aca="false">IFERROR(1/(1/SUM($P56,$R56,$Q56)),"")</f>
        <v/>
      </c>
      <c r="T56" s="88" t="e">
        <f aca="false">IF(SUM($F56)=0,"",MIN($S56/$F56,1))</f>
        <v>#VALUE!</v>
      </c>
      <c r="U56" s="88" t="n">
        <f aca="false">1</f>
        <v>1</v>
      </c>
      <c r="V56" s="88" t="n">
        <f aca="false">1</f>
        <v>1</v>
      </c>
      <c r="W56" s="39" t="e">
        <f aca="false">IF(SUM($M56)=0,"",IF($T56="","ENTER ELIGIBILITY RATE",IF($U56 = "","ENTER INITIATION RATE",ROUND($M56*$T56*$U56,0))))</f>
        <v>#VALUE!</v>
      </c>
      <c r="X56" s="39" t="str">
        <f aca="false">IF(SUM($O56)=0,"",IF($V56="","ENTER INITIATION RATE",ROUND($O56*$V56,0)))</f>
        <v/>
      </c>
      <c r="Y56" s="88" t="n">
        <f aca="false">0.9</f>
        <v>0.9</v>
      </c>
      <c r="Z56" s="39" t="e">
        <f aca="false">IF(SUM($W56)=0,"",IF($Y56="","ENTER COMPLETION RATE",ROUND($W56*$Y56,0)))</f>
        <v>#VALUE!</v>
      </c>
      <c r="AA56" s="39" t="str">
        <f aca="false">IF(SUM($X56)=0,"",IF($X56="","ENTER COMPLETION RATE",ROUND($X56*$Y56,0)))</f>
        <v/>
      </c>
      <c r="AB56" s="88" t="str">
        <f aca="false">IF(SUM($Q56)=0,"",(SUM($Z56)-$Q56)/$Q56)</f>
        <v/>
      </c>
      <c r="AC56" s="88" t="str">
        <f aca="false">IF(SUM($R56)=0,"",(SUM($AA56)-$R56)/$R56)</f>
        <v/>
      </c>
    </row>
    <row r="57" customFormat="false" ht="15" hidden="false" customHeight="false" outlineLevel="0" collapsed="false">
      <c r="A57" s="0" t="str">
        <f aca="false">INDEX(Prioritization!$D:$D,MATCH($B57,Prioritization!$A:$A,0))</f>
        <v>1 - Scale-up: Saturation</v>
      </c>
      <c r="B57" s="0" t="s">
        <v>204</v>
      </c>
      <c r="C57" s="0" t="s">
        <v>808</v>
      </c>
      <c r="D57" s="0" t="s">
        <v>30</v>
      </c>
      <c r="E57" s="0" t="str">
        <f aca="false">B57&amp;"|"&amp;C57&amp;"|"&amp;D57</f>
        <v>Chitipa District [GkIwZrXy1h2]|15+|Female</v>
      </c>
      <c r="F57" s="10" t="str">
        <f aca="false">IFERROR(1/(1/SUM(SUMIFS(Cascade!$O:$O,Cascade!$B:$B,$B57,Cascade!$C:$C,IF($C57="&lt;15",{"=&lt;01","01-09","10-14"},{"15-24","25-34","35-49","50+"}),Cascade!$D:$D,$D57))),"")</f>
        <v/>
      </c>
      <c r="G57" s="10" t="str">
        <f aca="false">IFERROR(1/(1/SUM(SUMIFS(Cascade!$AX:$AX,Cascade!$B:$B,$B57,Cascade!$C:$C,IF($C57="&lt;15",{"=&lt;01","01-09","10-14"},{"15-24","25-34","35-49","50+"}),Cascade!$D:$D,$D57))),"")</f>
        <v/>
      </c>
      <c r="H57" s="88" t="n">
        <f aca="false">1</f>
        <v>1</v>
      </c>
      <c r="I57" s="88" t="n">
        <f aca="false">1</f>
        <v>1</v>
      </c>
      <c r="J57" s="88"/>
      <c r="K57" s="88"/>
      <c r="L57" s="39" t="str">
        <f aca="false">IF(SUM($F57)=0,"",ROUND($F57*$H57*$J57,0))</f>
        <v/>
      </c>
      <c r="M57" s="39" t="str">
        <f aca="false">IF(SUM($F57)=0,"",ROUND($F57*$H57,0)-$L57)</f>
        <v/>
      </c>
      <c r="N57" s="39" t="str">
        <f aca="false">IF(SUM($G57)=0,"",ROUND($G57*$I57*$K57,0))</f>
        <v/>
      </c>
      <c r="O57" s="39" t="str">
        <f aca="false">IF(SUM($G57)=0,"",ROUND($G57*$I57,0)-$N57)</f>
        <v/>
      </c>
      <c r="P57" s="10" t="n">
        <v>14</v>
      </c>
      <c r="Q57" s="10"/>
      <c r="R57" s="10" t="n">
        <v>8</v>
      </c>
      <c r="S57" s="10" t="n">
        <f aca="false">IFERROR(1/(1/SUM($P57,$R57,$Q57)),"")</f>
        <v>22</v>
      </c>
      <c r="T57" s="88" t="str">
        <f aca="false">IF(SUM($F57)=0,"",MIN($S57/$F57,1))</f>
        <v/>
      </c>
      <c r="U57" s="88" t="n">
        <f aca="false">1</f>
        <v>1</v>
      </c>
      <c r="V57" s="88" t="n">
        <f aca="false">1</f>
        <v>1</v>
      </c>
      <c r="W57" s="39" t="str">
        <f aca="false">IF(SUM($M57)=0,"",IF($T57="","ENTER ELIGIBILITY RATE",IF($U57 = "","ENTER INITIATION RATE",ROUND($M57*$T57*$U57,0))))</f>
        <v/>
      </c>
      <c r="X57" s="39" t="str">
        <f aca="false">IF(SUM($O57)=0,"",IF($V57="","ENTER INITIATION RATE",ROUND($O57*$V57,0)))</f>
        <v/>
      </c>
      <c r="Y57" s="88" t="n">
        <f aca="false">0.9</f>
        <v>0.9</v>
      </c>
      <c r="Z57" s="39" t="str">
        <f aca="false">IF(SUM($W57)=0,"",IF($Y57="","ENTER COMPLETION RATE",ROUND($W57*$Y57,0)))</f>
        <v/>
      </c>
      <c r="AA57" s="39" t="str">
        <f aca="false">IF(SUM($X57)=0,"",IF($X57="","ENTER COMPLETION RATE",ROUND($X57*$Y57,0)))</f>
        <v/>
      </c>
      <c r="AB57" s="88" t="str">
        <f aca="false">IF(SUM($Q57)=0,"",(SUM($Z57)-$Q57)/$Q57)</f>
        <v/>
      </c>
      <c r="AC57" s="88" t="n">
        <f aca="false">IF(SUM($R57)=0,"",(SUM($AA57)-$R57)/$R57)</f>
        <v>-1</v>
      </c>
    </row>
    <row r="58" customFormat="false" ht="15" hidden="false" customHeight="false" outlineLevel="0" collapsed="false">
      <c r="A58" s="0" t="str">
        <f aca="false">INDEX(Prioritization!$D:$D,MATCH($B58,Prioritization!$A:$A,0))</f>
        <v>1 - Scale-up: Saturation</v>
      </c>
      <c r="B58" s="0" t="s">
        <v>204</v>
      </c>
      <c r="C58" s="0" t="s">
        <v>808</v>
      </c>
      <c r="D58" s="0" t="s">
        <v>48</v>
      </c>
      <c r="E58" s="0" t="str">
        <f aca="false">B58&amp;"|"&amp;C58&amp;"|"&amp;D58</f>
        <v>Chitipa District [GkIwZrXy1h2]|15+|Male</v>
      </c>
      <c r="F58" s="10" t="str">
        <f aca="false">IFERROR(1/(1/SUM(SUMIFS(Cascade!$O:$O,Cascade!$B:$B,$B58,Cascade!$C:$C,IF($C58="&lt;15",{"=&lt;01","01-09","10-14"},{"15-24","25-34","35-49","50+"}),Cascade!$D:$D,$D58))),"")</f>
        <v/>
      </c>
      <c r="G58" s="10" t="str">
        <f aca="false">IFERROR(1/(1/SUM(SUMIFS(Cascade!$AX:$AX,Cascade!$B:$B,$B58,Cascade!$C:$C,IF($C58="&lt;15",{"=&lt;01","01-09","10-14"},{"15-24","25-34","35-49","50+"}),Cascade!$D:$D,$D58))),"")</f>
        <v/>
      </c>
      <c r="H58" s="88" t="n">
        <f aca="false">1</f>
        <v>1</v>
      </c>
      <c r="I58" s="88" t="n">
        <f aca="false">1</f>
        <v>1</v>
      </c>
      <c r="J58" s="88"/>
      <c r="K58" s="88"/>
      <c r="L58" s="39" t="str">
        <f aca="false">IF(SUM($F58)=0,"",ROUND($F58*$H58*$J58,0))</f>
        <v/>
      </c>
      <c r="M58" s="39" t="str">
        <f aca="false">IF(SUM($F58)=0,"",ROUND($F58*$H58,0)-$L58)</f>
        <v/>
      </c>
      <c r="N58" s="39" t="str">
        <f aca="false">IF(SUM($G58)=0,"",ROUND($G58*$I58*$K58,0))</f>
        <v/>
      </c>
      <c r="O58" s="39" t="str">
        <f aca="false">IF(SUM($G58)=0,"",ROUND($G58*$I58,0)-$N58)</f>
        <v/>
      </c>
      <c r="P58" s="10" t="n">
        <v>20</v>
      </c>
      <c r="Q58" s="10"/>
      <c r="R58" s="10" t="n">
        <v>2</v>
      </c>
      <c r="S58" s="10" t="n">
        <f aca="false">IFERROR(1/(1/SUM($P58,$R58,$Q58)),"")</f>
        <v>22</v>
      </c>
      <c r="T58" s="88" t="str">
        <f aca="false">IF(SUM($F58)=0,"",MIN($S58/$F58,1))</f>
        <v/>
      </c>
      <c r="U58" s="88" t="n">
        <f aca="false">1</f>
        <v>1</v>
      </c>
      <c r="V58" s="88" t="n">
        <f aca="false">1</f>
        <v>1</v>
      </c>
      <c r="W58" s="39" t="str">
        <f aca="false">IF(SUM($M58)=0,"",IF($T58="","ENTER ELIGIBILITY RATE",IF($U58 = "","ENTER INITIATION RATE",ROUND($M58*$T58*$U58,0))))</f>
        <v/>
      </c>
      <c r="X58" s="39" t="str">
        <f aca="false">IF(SUM($O58)=0,"",IF($V58="","ENTER INITIATION RATE",ROUND($O58*$V58,0)))</f>
        <v/>
      </c>
      <c r="Y58" s="88" t="n">
        <f aca="false">0.9</f>
        <v>0.9</v>
      </c>
      <c r="Z58" s="39" t="str">
        <f aca="false">IF(SUM($W58)=0,"",IF($Y58="","ENTER COMPLETION RATE",ROUND($W58*$Y58,0)))</f>
        <v/>
      </c>
      <c r="AA58" s="39" t="str">
        <f aca="false">IF(SUM($X58)=0,"",IF($X58="","ENTER COMPLETION RATE",ROUND($X58*$Y58,0)))</f>
        <v/>
      </c>
      <c r="AB58" s="88" t="str">
        <f aca="false">IF(SUM($Q58)=0,"",(SUM($Z58)-$Q58)/$Q58)</f>
        <v/>
      </c>
      <c r="AC58" s="88" t="n">
        <f aca="false">IF(SUM($R58)=0,"",(SUM($AA58)-$R58)/$R58)</f>
        <v>-1</v>
      </c>
    </row>
    <row r="59" customFormat="false" ht="15" hidden="false" customHeight="false" outlineLevel="0" collapsed="false">
      <c r="A59" s="0" t="str">
        <f aca="false">INDEX(Prioritization!$D:$D,MATCH($B59,Prioritization!$A:$A,0))</f>
        <v>INVALID</v>
      </c>
      <c r="B59" s="0" t="s">
        <v>205</v>
      </c>
      <c r="C59" s="0" t="s">
        <v>807</v>
      </c>
      <c r="D59" s="0" t="s">
        <v>30</v>
      </c>
      <c r="E59" s="0" t="str">
        <f aca="false">B59&amp;"|"&amp;C59&amp;"|"&amp;D59</f>
        <v>Karonga District [cPtvxaZqXIH]|&lt;15|Female</v>
      </c>
      <c r="F59" s="10" t="n">
        <f aca="false">IFERROR(1/(1/SUM(SUMIFS(Cascade!$O:$O,Cascade!$B:$B,$B59,Cascade!$C:$C,IF($C59="&lt;15",{"=&lt;01","01-09","10-14"},{"15-24","25-34","35-49","50+"}),Cascade!$D:$D,$D59))),"")</f>
        <v>1</v>
      </c>
      <c r="G59" s="10" t="str">
        <f aca="false">IFERROR(1/(1/SUM(SUMIFS(Cascade!$AX:$AX,Cascade!$B:$B,$B59,Cascade!$C:$C,IF($C59="&lt;15",{"=&lt;01","01-09","10-14"},{"15-24","25-34","35-49","50+"}),Cascade!$D:$D,$D59))),"")</f>
        <v/>
      </c>
      <c r="H59" s="88" t="n">
        <f aca="false">1</f>
        <v>1</v>
      </c>
      <c r="I59" s="88" t="n">
        <f aca="false">1</f>
        <v>1</v>
      </c>
      <c r="J59" s="88"/>
      <c r="K59" s="88"/>
      <c r="L59" s="39" t="n">
        <f aca="false">IF(SUM($F59)=0,"",ROUND($F59*$H59*$J59,0))</f>
        <v>0</v>
      </c>
      <c r="M59" s="39" t="n">
        <f aca="false">IF(SUM($F59)=0,"",ROUND($F59*$H59,0)-$L59)</f>
        <v>1</v>
      </c>
      <c r="N59" s="39" t="str">
        <f aca="false">IF(SUM($G59)=0,"",ROUND($G59*$I59*$K59,0))</f>
        <v/>
      </c>
      <c r="O59" s="39" t="str">
        <f aca="false">IF(SUM($G59)=0,"",ROUND($G59*$I59,0)-$N59)</f>
        <v/>
      </c>
      <c r="P59" s="10" t="n">
        <v>1</v>
      </c>
      <c r="Q59" s="10"/>
      <c r="R59" s="10" t="n">
        <v>1</v>
      </c>
      <c r="S59" s="10" t="n">
        <f aca="false">IFERROR(1/(1/SUM($P59,$R59,$Q59)),"")</f>
        <v>2</v>
      </c>
      <c r="T59" s="88" t="n">
        <f aca="false">IF(SUM($F59)=0,"",MIN($S59/$F59,1))</f>
        <v>1</v>
      </c>
      <c r="U59" s="88" t="n">
        <f aca="false">1</f>
        <v>1</v>
      </c>
      <c r="V59" s="88" t="n">
        <f aca="false">1</f>
        <v>1</v>
      </c>
      <c r="W59" s="39" t="n">
        <f aca="false">IF(SUM($M59)=0,"",IF($T59="","ENTER ELIGIBILITY RATE",IF($U59 = "","ENTER INITIATION RATE",ROUND($M59*$T59*$U59,0))))</f>
        <v>1</v>
      </c>
      <c r="X59" s="39" t="str">
        <f aca="false">IF(SUM($O59)=0,"",IF($V59="","ENTER INITIATION RATE",ROUND($O59*$V59,0)))</f>
        <v/>
      </c>
      <c r="Y59" s="88" t="n">
        <f aca="false">0.9</f>
        <v>0.9</v>
      </c>
      <c r="Z59" s="39" t="n">
        <f aca="false">IF(SUM($W59)=0,"",IF($Y59="","ENTER COMPLETION RATE",ROUND($W59*$Y59,0)))</f>
        <v>1</v>
      </c>
      <c r="AA59" s="39" t="str">
        <f aca="false">IF(SUM($X59)=0,"",IF($X59="","ENTER COMPLETION RATE",ROUND($X59*$Y59,0)))</f>
        <v/>
      </c>
      <c r="AB59" s="88" t="str">
        <f aca="false">IF(SUM($Q59)=0,"",(SUM($Z59)-$Q59)/$Q59)</f>
        <v/>
      </c>
      <c r="AC59" s="88" t="n">
        <f aca="false">IF(SUM($R59)=0,"",(SUM($AA59)-$R59)/$R59)</f>
        <v>-1</v>
      </c>
    </row>
    <row r="60" customFormat="false" ht="15" hidden="false" customHeight="false" outlineLevel="0" collapsed="false">
      <c r="A60" s="0" t="str">
        <f aca="false">INDEX(Prioritization!$D:$D,MATCH($B60,Prioritization!$A:$A,0))</f>
        <v>INVALID</v>
      </c>
      <c r="B60" s="0" t="s">
        <v>205</v>
      </c>
      <c r="C60" s="0" t="s">
        <v>807</v>
      </c>
      <c r="D60" s="0" t="s">
        <v>48</v>
      </c>
      <c r="E60" s="0" t="str">
        <f aca="false">B60&amp;"|"&amp;C60&amp;"|"&amp;D60</f>
        <v>Karonga District [cPtvxaZqXIH]|&lt;15|Male</v>
      </c>
      <c r="F60" s="10" t="str">
        <f aca="false">IFERROR(1/(1/SUM(SUMIFS(Cascade!$O:$O,Cascade!$B:$B,$B60,Cascade!$C:$C,IF($C60="&lt;15",{"=&lt;01","01-09","10-14"},{"15-24","25-34","35-49","50+"}),Cascade!$D:$D,$D60))),"")</f>
        <v/>
      </c>
      <c r="G60" s="10" t="str">
        <f aca="false">IFERROR(1/(1/SUM(SUMIFS(Cascade!$AX:$AX,Cascade!$B:$B,$B60,Cascade!$C:$C,IF($C60="&lt;15",{"=&lt;01","01-09","10-14"},{"15-24","25-34","35-49","50+"}),Cascade!$D:$D,$D60))),"")</f>
        <v/>
      </c>
      <c r="H60" s="88" t="n">
        <f aca="false">1</f>
        <v>1</v>
      </c>
      <c r="I60" s="88" t="n">
        <f aca="false">1</f>
        <v>1</v>
      </c>
      <c r="J60" s="88"/>
      <c r="K60" s="88"/>
      <c r="L60" s="39" t="str">
        <f aca="false">IF(SUM($F60)=0,"",ROUND($F60*$H60*$J60,0))</f>
        <v/>
      </c>
      <c r="M60" s="39" t="str">
        <f aca="false">IF(SUM($F60)=0,"",ROUND($F60*$H60,0)-$L60)</f>
        <v/>
      </c>
      <c r="N60" s="39" t="str">
        <f aca="false">IF(SUM($G60)=0,"",ROUND($G60*$I60*$K60,0))</f>
        <v/>
      </c>
      <c r="O60" s="39" t="str">
        <f aca="false">IF(SUM($G60)=0,"",ROUND($G60*$I60,0)-$N60)</f>
        <v/>
      </c>
      <c r="P60" s="10" t="n">
        <v>0</v>
      </c>
      <c r="Q60" s="10"/>
      <c r="R60" s="10" t="n">
        <v>5</v>
      </c>
      <c r="S60" s="10" t="n">
        <f aca="false">IFERROR(1/(1/SUM($P60,$R60,$Q60)),"")</f>
        <v>5</v>
      </c>
      <c r="T60" s="88" t="str">
        <f aca="false">IF(SUM($F60)=0,"",MIN($S60/$F60,1))</f>
        <v/>
      </c>
      <c r="U60" s="88" t="n">
        <f aca="false">1</f>
        <v>1</v>
      </c>
      <c r="V60" s="88" t="n">
        <f aca="false">1</f>
        <v>1</v>
      </c>
      <c r="W60" s="39" t="str">
        <f aca="false">IF(SUM($M60)=0,"",IF($T60="","ENTER ELIGIBILITY RATE",IF($U60 = "","ENTER INITIATION RATE",ROUND($M60*$T60*$U60,0))))</f>
        <v/>
      </c>
      <c r="X60" s="39" t="str">
        <f aca="false">IF(SUM($O60)=0,"",IF($V60="","ENTER INITIATION RATE",ROUND($O60*$V60,0)))</f>
        <v/>
      </c>
      <c r="Y60" s="88" t="n">
        <f aca="false">0.9</f>
        <v>0.9</v>
      </c>
      <c r="Z60" s="39" t="str">
        <f aca="false">IF(SUM($W60)=0,"",IF($Y60="","ENTER COMPLETION RATE",ROUND($W60*$Y60,0)))</f>
        <v/>
      </c>
      <c r="AA60" s="39" t="str">
        <f aca="false">IF(SUM($X60)=0,"",IF($X60="","ENTER COMPLETION RATE",ROUND($X60*$Y60,0)))</f>
        <v/>
      </c>
      <c r="AB60" s="88" t="str">
        <f aca="false">IF(SUM($Q60)=0,"",(SUM($Z60)-$Q60)/$Q60)</f>
        <v/>
      </c>
      <c r="AC60" s="88" t="n">
        <f aca="false">IF(SUM($R60)=0,"",(SUM($AA60)-$R60)/$R60)</f>
        <v>-1</v>
      </c>
    </row>
    <row r="61" customFormat="false" ht="15" hidden="false" customHeight="false" outlineLevel="0" collapsed="false">
      <c r="A61" s="0" t="str">
        <f aca="false">INDEX(Prioritization!$D:$D,MATCH($B61,Prioritization!$A:$A,0))</f>
        <v>INVALID</v>
      </c>
      <c r="B61" s="0" t="s">
        <v>205</v>
      </c>
      <c r="C61" s="0" t="s">
        <v>808</v>
      </c>
      <c r="D61" s="0" t="s">
        <v>30</v>
      </c>
      <c r="E61" s="0" t="str">
        <f aca="false">B61&amp;"|"&amp;C61&amp;"|"&amp;D61</f>
        <v>Karonga District [cPtvxaZqXIH]|15+|Female</v>
      </c>
      <c r="F61" s="10" t="str">
        <f aca="false">IFERROR(1/(1/SUM(SUMIFS(Cascade!$O:$O,Cascade!$B:$B,$B61,Cascade!$C:$C,IF($C61="&lt;15",{"=&lt;01","01-09","10-14"},{"15-24","25-34","35-49","50+"}),Cascade!$D:$D,$D61))),"")</f>
        <v/>
      </c>
      <c r="G61" s="10" t="str">
        <f aca="false">IFERROR(1/(1/SUM(SUMIFS(Cascade!$AX:$AX,Cascade!$B:$B,$B61,Cascade!$C:$C,IF($C61="&lt;15",{"=&lt;01","01-09","10-14"},{"15-24","25-34","35-49","50+"}),Cascade!$D:$D,$D61))),"")</f>
        <v/>
      </c>
      <c r="H61" s="88" t="n">
        <f aca="false">1</f>
        <v>1</v>
      </c>
      <c r="I61" s="88" t="n">
        <f aca="false">1</f>
        <v>1</v>
      </c>
      <c r="J61" s="88"/>
      <c r="K61" s="88"/>
      <c r="L61" s="39" t="str">
        <f aca="false">IF(SUM($F61)=0,"",ROUND($F61*$H61*$J61,0))</f>
        <v/>
      </c>
      <c r="M61" s="39" t="str">
        <f aca="false">IF(SUM($F61)=0,"",ROUND($F61*$H61,0)-$L61)</f>
        <v/>
      </c>
      <c r="N61" s="39" t="str">
        <f aca="false">IF(SUM($G61)=0,"",ROUND($G61*$I61*$K61,0))</f>
        <v/>
      </c>
      <c r="O61" s="39" t="str">
        <f aca="false">IF(SUM($G61)=0,"",ROUND($G61*$I61,0)-$N61)</f>
        <v/>
      </c>
      <c r="P61" s="10" t="n">
        <v>9</v>
      </c>
      <c r="Q61" s="10"/>
      <c r="R61" s="10" t="n">
        <v>20</v>
      </c>
      <c r="S61" s="10" t="n">
        <f aca="false">IFERROR(1/(1/SUM($P61,$R61,$Q61)),"")</f>
        <v>29</v>
      </c>
      <c r="T61" s="88" t="str">
        <f aca="false">IF(SUM($F61)=0,"",MIN($S61/$F61,1))</f>
        <v/>
      </c>
      <c r="U61" s="88" t="n">
        <f aca="false">1</f>
        <v>1</v>
      </c>
      <c r="V61" s="88" t="n">
        <f aca="false">1</f>
        <v>1</v>
      </c>
      <c r="W61" s="39" t="str">
        <f aca="false">IF(SUM($M61)=0,"",IF($T61="","ENTER ELIGIBILITY RATE",IF($U61 = "","ENTER INITIATION RATE",ROUND($M61*$T61*$U61,0))))</f>
        <v/>
      </c>
      <c r="X61" s="39" t="str">
        <f aca="false">IF(SUM($O61)=0,"",IF($V61="","ENTER INITIATION RATE",ROUND($O61*$V61,0)))</f>
        <v/>
      </c>
      <c r="Y61" s="88" t="n">
        <f aca="false">0.9</f>
        <v>0.9</v>
      </c>
      <c r="Z61" s="39" t="str">
        <f aca="false">IF(SUM($W61)=0,"",IF($Y61="","ENTER COMPLETION RATE",ROUND($W61*$Y61,0)))</f>
        <v/>
      </c>
      <c r="AA61" s="39" t="str">
        <f aca="false">IF(SUM($X61)=0,"",IF($X61="","ENTER COMPLETION RATE",ROUND($X61*$Y61,0)))</f>
        <v/>
      </c>
      <c r="AB61" s="88" t="str">
        <f aca="false">IF(SUM($Q61)=0,"",(SUM($Z61)-$Q61)/$Q61)</f>
        <v/>
      </c>
      <c r="AC61" s="88" t="n">
        <f aca="false">IF(SUM($R61)=0,"",(SUM($AA61)-$R61)/$R61)</f>
        <v>-1</v>
      </c>
    </row>
    <row r="62" customFormat="false" ht="15" hidden="false" customHeight="false" outlineLevel="0" collapsed="false">
      <c r="A62" s="0" t="str">
        <f aca="false">INDEX(Prioritization!$D:$D,MATCH($B62,Prioritization!$A:$A,0))</f>
        <v>INVALID</v>
      </c>
      <c r="B62" s="0" t="s">
        <v>205</v>
      </c>
      <c r="C62" s="0" t="s">
        <v>808</v>
      </c>
      <c r="D62" s="0" t="s">
        <v>48</v>
      </c>
      <c r="E62" s="0" t="str">
        <f aca="false">B62&amp;"|"&amp;C62&amp;"|"&amp;D62</f>
        <v>Karonga District [cPtvxaZqXIH]|15+|Male</v>
      </c>
      <c r="F62" s="10" t="str">
        <f aca="false">IFERROR(1/(1/SUM(SUMIFS(Cascade!$O:$O,Cascade!$B:$B,$B62,Cascade!$C:$C,IF($C62="&lt;15",{"=&lt;01","01-09","10-14"},{"15-24","25-34","35-49","50+"}),Cascade!$D:$D,$D62))),"")</f>
        <v/>
      </c>
      <c r="G62" s="10" t="str">
        <f aca="false">IFERROR(1/(1/SUM(SUMIFS(Cascade!$AX:$AX,Cascade!$B:$B,$B62,Cascade!$C:$C,IF($C62="&lt;15",{"=&lt;01","01-09","10-14"},{"15-24","25-34","35-49","50+"}),Cascade!$D:$D,$D62))),"")</f>
        <v/>
      </c>
      <c r="H62" s="88" t="n">
        <f aca="false">1</f>
        <v>1</v>
      </c>
      <c r="I62" s="88" t="n">
        <f aca="false">1</f>
        <v>1</v>
      </c>
      <c r="J62" s="88"/>
      <c r="K62" s="88"/>
      <c r="L62" s="39" t="str">
        <f aca="false">IF(SUM($F62)=0,"",ROUND($F62*$H62*$J62,0))</f>
        <v/>
      </c>
      <c r="M62" s="39" t="str">
        <f aca="false">IF(SUM($F62)=0,"",ROUND($F62*$H62,0)-$L62)</f>
        <v/>
      </c>
      <c r="N62" s="39" t="str">
        <f aca="false">IF(SUM($G62)=0,"",ROUND($G62*$I62*$K62,0))</f>
        <v/>
      </c>
      <c r="O62" s="39" t="str">
        <f aca="false">IF(SUM($G62)=0,"",ROUND($G62*$I62,0)-$N62)</f>
        <v/>
      </c>
      <c r="P62" s="10" t="n">
        <v>4</v>
      </c>
      <c r="Q62" s="10"/>
      <c r="R62" s="10" t="n">
        <v>81</v>
      </c>
      <c r="S62" s="10" t="n">
        <f aca="false">IFERROR(1/(1/SUM($P62,$R62,$Q62)),"")</f>
        <v>85</v>
      </c>
      <c r="T62" s="88" t="str">
        <f aca="false">IF(SUM($F62)=0,"",MIN($S62/$F62,1))</f>
        <v/>
      </c>
      <c r="U62" s="88" t="n">
        <f aca="false">1</f>
        <v>1</v>
      </c>
      <c r="V62" s="88" t="n">
        <f aca="false">1</f>
        <v>1</v>
      </c>
      <c r="W62" s="39" t="str">
        <f aca="false">IF(SUM($M62)=0,"",IF($T62="","ENTER ELIGIBILITY RATE",IF($U62 = "","ENTER INITIATION RATE",ROUND($M62*$T62*$U62,0))))</f>
        <v/>
      </c>
      <c r="X62" s="39" t="str">
        <f aca="false">IF(SUM($O62)=0,"",IF($V62="","ENTER INITIATION RATE",ROUND($O62*$V62,0)))</f>
        <v/>
      </c>
      <c r="Y62" s="88" t="n">
        <f aca="false">0.9</f>
        <v>0.9</v>
      </c>
      <c r="Z62" s="39" t="str">
        <f aca="false">IF(SUM($W62)=0,"",IF($Y62="","ENTER COMPLETION RATE",ROUND($W62*$Y62,0)))</f>
        <v/>
      </c>
      <c r="AA62" s="39" t="str">
        <f aca="false">IF(SUM($X62)=0,"",IF($X62="","ENTER COMPLETION RATE",ROUND($X62*$Y62,0)))</f>
        <v/>
      </c>
      <c r="AB62" s="88" t="str">
        <f aca="false">IF(SUM($Q62)=0,"",(SUM($Z62)-$Q62)/$Q62)</f>
        <v/>
      </c>
      <c r="AC62" s="88" t="n">
        <f aca="false">IF(SUM($R62)=0,"",(SUM($AA62)-$R62)/$R62)</f>
        <v>-1</v>
      </c>
    </row>
    <row r="63" customFormat="false" ht="15" hidden="false" customHeight="false" outlineLevel="0" collapsed="false">
      <c r="A63" s="0" t="str">
        <f aca="false">INDEX(Prioritization!$D:$D,MATCH($B63,Prioritization!$A:$A,0))</f>
        <v>INVALID</v>
      </c>
      <c r="B63" s="0" t="s">
        <v>206</v>
      </c>
      <c r="C63" s="0" t="s">
        <v>807</v>
      </c>
      <c r="D63" s="0" t="s">
        <v>30</v>
      </c>
      <c r="E63" s="0" t="str">
        <f aca="false">B63&amp;"|"&amp;C63&amp;"|"&amp;D63</f>
        <v>Likoma District [ZCjuwgaMB9u]|&lt;15|Female</v>
      </c>
      <c r="F63" s="10" t="str">
        <f aca="false">IFERROR(1/(1/SUM(SUMIFS(Cascade!$O:$O,Cascade!$B:$B,$B63,Cascade!$C:$C,IF($C63="&lt;15",{"=&lt;01","01-09","10-14"},{"15-24","25-34","35-49","50+"}),Cascade!$D:$D,$D63))),"")</f>
        <v/>
      </c>
      <c r="G63" s="10" t="str">
        <f aca="false">IFERROR(1/(1/SUM(SUMIFS(Cascade!$AX:$AX,Cascade!$B:$B,$B63,Cascade!$C:$C,IF($C63="&lt;15",{"=&lt;01","01-09","10-14"},{"15-24","25-34","35-49","50+"}),Cascade!$D:$D,$D63))),"")</f>
        <v/>
      </c>
      <c r="H63" s="88" t="n">
        <f aca="false">1</f>
        <v>1</v>
      </c>
      <c r="I63" s="88" t="n">
        <f aca="false">1</f>
        <v>1</v>
      </c>
      <c r="J63" s="88"/>
      <c r="K63" s="88"/>
      <c r="L63" s="39" t="str">
        <f aca="false">IF(SUM($F63)=0,"",ROUND($F63*$H63*$J63,0))</f>
        <v/>
      </c>
      <c r="M63" s="39" t="str">
        <f aca="false">IF(SUM($F63)=0,"",ROUND($F63*$H63,0)-$L63)</f>
        <v/>
      </c>
      <c r="N63" s="39" t="str">
        <f aca="false">IF(SUM($G63)=0,"",ROUND($G63*$I63*$K63,0))</f>
        <v/>
      </c>
      <c r="O63" s="39" t="str">
        <f aca="false">IF(SUM($G63)=0,"",ROUND($G63*$I63,0)-$N63)</f>
        <v/>
      </c>
      <c r="P63" s="10"/>
      <c r="Q63" s="10"/>
      <c r="R63" s="10" t="n">
        <v>1</v>
      </c>
      <c r="S63" s="10" t="n">
        <f aca="false">IFERROR(1/(1/SUM($P63,$R63,$Q63)),"")</f>
        <v>1</v>
      </c>
      <c r="T63" s="88" t="str">
        <f aca="false">IF(SUM($F63)=0,"",MIN($S63/$F63,1))</f>
        <v/>
      </c>
      <c r="U63" s="88" t="n">
        <f aca="false">1</f>
        <v>1</v>
      </c>
      <c r="V63" s="88" t="n">
        <f aca="false">1</f>
        <v>1</v>
      </c>
      <c r="W63" s="39" t="str">
        <f aca="false">IF(SUM($M63)=0,"",IF($T63="","ENTER ELIGIBILITY RATE",IF($U63 = "","ENTER INITIATION RATE",ROUND($M63*$T63*$U63,0))))</f>
        <v/>
      </c>
      <c r="X63" s="39" t="str">
        <f aca="false">IF(SUM($O63)=0,"",IF($V63="","ENTER INITIATION RATE",ROUND($O63*$V63,0)))</f>
        <v/>
      </c>
      <c r="Y63" s="88" t="n">
        <f aca="false">0.9</f>
        <v>0.9</v>
      </c>
      <c r="Z63" s="39" t="str">
        <f aca="false">IF(SUM($W63)=0,"",IF($Y63="","ENTER COMPLETION RATE",ROUND($W63*$Y63,0)))</f>
        <v/>
      </c>
      <c r="AA63" s="39" t="str">
        <f aca="false">IF(SUM($X63)=0,"",IF($X63="","ENTER COMPLETION RATE",ROUND($X63*$Y63,0)))</f>
        <v/>
      </c>
      <c r="AB63" s="88" t="str">
        <f aca="false">IF(SUM($Q63)=0,"",(SUM($Z63)-$Q63)/$Q63)</f>
        <v/>
      </c>
      <c r="AC63" s="88" t="n">
        <f aca="false">IF(SUM($R63)=0,"",(SUM($AA63)-$R63)/$R63)</f>
        <v>-1</v>
      </c>
    </row>
    <row r="64" customFormat="false" ht="15" hidden="false" customHeight="false" outlineLevel="0" collapsed="false">
      <c r="A64" s="0" t="str">
        <f aca="false">INDEX(Prioritization!$D:$D,MATCH($B64,Prioritization!$A:$A,0))</f>
        <v>INVALID</v>
      </c>
      <c r="B64" s="0" t="s">
        <v>206</v>
      </c>
      <c r="C64" s="0" t="s">
        <v>807</v>
      </c>
      <c r="D64" s="0" t="s">
        <v>48</v>
      </c>
      <c r="E64" s="0" t="str">
        <f aca="false">B64&amp;"|"&amp;C64&amp;"|"&amp;D64</f>
        <v>Likoma District [ZCjuwgaMB9u]|&lt;15|Male</v>
      </c>
      <c r="F64" s="10" t="str">
        <f aca="false">IFERROR(1/(1/SUM(SUMIFS(Cascade!$O:$O,Cascade!$B:$B,$B64,Cascade!$C:$C,IF($C64="&lt;15",{"=&lt;01","01-09","10-14"},{"15-24","25-34","35-49","50+"}),Cascade!$D:$D,$D64))),"")</f>
        <v/>
      </c>
      <c r="G64" s="10" t="str">
        <f aca="false">IFERROR(1/(1/SUM(SUMIFS(Cascade!$AX:$AX,Cascade!$B:$B,$B64,Cascade!$C:$C,IF($C64="&lt;15",{"=&lt;01","01-09","10-14"},{"15-24","25-34","35-49","50+"}),Cascade!$D:$D,$D64))),"")</f>
        <v/>
      </c>
      <c r="H64" s="88" t="n">
        <f aca="false">1</f>
        <v>1</v>
      </c>
      <c r="I64" s="88" t="n">
        <f aca="false">1</f>
        <v>1</v>
      </c>
      <c r="J64" s="88"/>
      <c r="K64" s="88"/>
      <c r="L64" s="39" t="str">
        <f aca="false">IF(SUM($F64)=0,"",ROUND($F64*$H64*$J64,0))</f>
        <v/>
      </c>
      <c r="M64" s="39" t="str">
        <f aca="false">IF(SUM($F64)=0,"",ROUND($F64*$H64,0)-$L64)</f>
        <v/>
      </c>
      <c r="N64" s="39" t="str">
        <f aca="false">IF(SUM($G64)=0,"",ROUND($G64*$I64*$K64,0))</f>
        <v/>
      </c>
      <c r="O64" s="39" t="str">
        <f aca="false">IF(SUM($G64)=0,"",ROUND($G64*$I64,0)-$N64)</f>
        <v/>
      </c>
      <c r="P64" s="10"/>
      <c r="Q64" s="10"/>
      <c r="R64" s="10" t="n">
        <v>1</v>
      </c>
      <c r="S64" s="10" t="n">
        <f aca="false">IFERROR(1/(1/SUM($P64,$R64,$Q64)),"")</f>
        <v>1</v>
      </c>
      <c r="T64" s="88" t="str">
        <f aca="false">IF(SUM($F64)=0,"",MIN($S64/$F64,1))</f>
        <v/>
      </c>
      <c r="U64" s="88" t="n">
        <f aca="false">1</f>
        <v>1</v>
      </c>
      <c r="V64" s="88" t="n">
        <f aca="false">1</f>
        <v>1</v>
      </c>
      <c r="W64" s="39" t="str">
        <f aca="false">IF(SUM($M64)=0,"",IF($T64="","ENTER ELIGIBILITY RATE",IF($U64 = "","ENTER INITIATION RATE",ROUND($M64*$T64*$U64,0))))</f>
        <v/>
      </c>
      <c r="X64" s="39" t="str">
        <f aca="false">IF(SUM($O64)=0,"",IF($V64="","ENTER INITIATION RATE",ROUND($O64*$V64,0)))</f>
        <v/>
      </c>
      <c r="Y64" s="88" t="n">
        <f aca="false">0.9</f>
        <v>0.9</v>
      </c>
      <c r="Z64" s="39" t="str">
        <f aca="false">IF(SUM($W64)=0,"",IF($Y64="","ENTER COMPLETION RATE",ROUND($W64*$Y64,0)))</f>
        <v/>
      </c>
      <c r="AA64" s="39" t="str">
        <f aca="false">IF(SUM($X64)=0,"",IF($X64="","ENTER COMPLETION RATE",ROUND($X64*$Y64,0)))</f>
        <v/>
      </c>
      <c r="AB64" s="88" t="str">
        <f aca="false">IF(SUM($Q64)=0,"",(SUM($Z64)-$Q64)/$Q64)</f>
        <v/>
      </c>
      <c r="AC64" s="88" t="n">
        <f aca="false">IF(SUM($R64)=0,"",(SUM($AA64)-$R64)/$R64)</f>
        <v>-1</v>
      </c>
    </row>
    <row r="65" customFormat="false" ht="15" hidden="false" customHeight="false" outlineLevel="0" collapsed="false">
      <c r="A65" s="0" t="str">
        <f aca="false">INDEX(Prioritization!$D:$D,MATCH($B65,Prioritization!$A:$A,0))</f>
        <v>INVALID</v>
      </c>
      <c r="B65" s="0" t="s">
        <v>206</v>
      </c>
      <c r="C65" s="0" t="s">
        <v>808</v>
      </c>
      <c r="D65" s="0" t="s">
        <v>30</v>
      </c>
      <c r="E65" s="0" t="str">
        <f aca="false">B65&amp;"|"&amp;C65&amp;"|"&amp;D65</f>
        <v>Likoma District [ZCjuwgaMB9u]|15+|Female</v>
      </c>
      <c r="F65" s="10" t="str">
        <f aca="false">IFERROR(1/(1/SUM(SUMIFS(Cascade!$O:$O,Cascade!$B:$B,$B65,Cascade!$C:$C,IF($C65="&lt;15",{"=&lt;01","01-09","10-14"},{"15-24","25-34","35-49","50+"}),Cascade!$D:$D,$D65))),"")</f>
        <v/>
      </c>
      <c r="G65" s="10" t="str">
        <f aca="false">IFERROR(1/(1/SUM(SUMIFS(Cascade!$AX:$AX,Cascade!$B:$B,$B65,Cascade!$C:$C,IF($C65="&lt;15",{"=&lt;01","01-09","10-14"},{"15-24","25-34","35-49","50+"}),Cascade!$D:$D,$D65))),"")</f>
        <v/>
      </c>
      <c r="H65" s="88" t="n">
        <f aca="false">1</f>
        <v>1</v>
      </c>
      <c r="I65" s="88" t="n">
        <f aca="false">1</f>
        <v>1</v>
      </c>
      <c r="J65" s="88"/>
      <c r="K65" s="88"/>
      <c r="L65" s="39" t="str">
        <f aca="false">IF(SUM($F65)=0,"",ROUND($F65*$H65*$J65,0))</f>
        <v/>
      </c>
      <c r="M65" s="39" t="str">
        <f aca="false">IF(SUM($F65)=0,"",ROUND($F65*$H65,0)-$L65)</f>
        <v/>
      </c>
      <c r="N65" s="39" t="str">
        <f aca="false">IF(SUM($G65)=0,"",ROUND($G65*$I65*$K65,0))</f>
        <v/>
      </c>
      <c r="O65" s="39" t="str">
        <f aca="false">IF(SUM($G65)=0,"",ROUND($G65*$I65,0)-$N65)</f>
        <v/>
      </c>
      <c r="P65" s="10" t="n">
        <v>0</v>
      </c>
      <c r="Q65" s="10"/>
      <c r="R65" s="10" t="n">
        <v>9</v>
      </c>
      <c r="S65" s="10" t="n">
        <f aca="false">IFERROR(1/(1/SUM($P65,$R65,$Q65)),"")</f>
        <v>9</v>
      </c>
      <c r="T65" s="88" t="str">
        <f aca="false">IF(SUM($F65)=0,"",MIN($S65/$F65,1))</f>
        <v/>
      </c>
      <c r="U65" s="88" t="n">
        <f aca="false">1</f>
        <v>1</v>
      </c>
      <c r="V65" s="88" t="n">
        <f aca="false">1</f>
        <v>1</v>
      </c>
      <c r="W65" s="39" t="str">
        <f aca="false">IF(SUM($M65)=0,"",IF($T65="","ENTER ELIGIBILITY RATE",IF($U65 = "","ENTER INITIATION RATE",ROUND($M65*$T65*$U65,0))))</f>
        <v/>
      </c>
      <c r="X65" s="39" t="str">
        <f aca="false">IF(SUM($O65)=0,"",IF($V65="","ENTER INITIATION RATE",ROUND($O65*$V65,0)))</f>
        <v/>
      </c>
      <c r="Y65" s="88" t="n">
        <f aca="false">0.9</f>
        <v>0.9</v>
      </c>
      <c r="Z65" s="39" t="str">
        <f aca="false">IF(SUM($W65)=0,"",IF($Y65="","ENTER COMPLETION RATE",ROUND($W65*$Y65,0)))</f>
        <v/>
      </c>
      <c r="AA65" s="39" t="str">
        <f aca="false">IF(SUM($X65)=0,"",IF($X65="","ENTER COMPLETION RATE",ROUND($X65*$Y65,0)))</f>
        <v/>
      </c>
      <c r="AB65" s="88" t="str">
        <f aca="false">IF(SUM($Q65)=0,"",(SUM($Z65)-$Q65)/$Q65)</f>
        <v/>
      </c>
      <c r="AC65" s="88" t="n">
        <f aca="false">IF(SUM($R65)=0,"",(SUM($AA65)-$R65)/$R65)</f>
        <v>-1</v>
      </c>
    </row>
    <row r="66" customFormat="false" ht="15" hidden="false" customHeight="false" outlineLevel="0" collapsed="false">
      <c r="A66" s="0" t="str">
        <f aca="false">INDEX(Prioritization!$D:$D,MATCH($B66,Prioritization!$A:$A,0))</f>
        <v>INVALID</v>
      </c>
      <c r="B66" s="0" t="s">
        <v>206</v>
      </c>
      <c r="C66" s="0" t="s">
        <v>808</v>
      </c>
      <c r="D66" s="0" t="s">
        <v>48</v>
      </c>
      <c r="E66" s="0" t="str">
        <f aca="false">B66&amp;"|"&amp;C66&amp;"|"&amp;D66</f>
        <v>Likoma District [ZCjuwgaMB9u]|15+|Male</v>
      </c>
      <c r="F66" s="10" t="str">
        <f aca="false">IFERROR(1/(1/SUM(SUMIFS(Cascade!$O:$O,Cascade!$B:$B,$B66,Cascade!$C:$C,IF($C66="&lt;15",{"=&lt;01","01-09","10-14"},{"15-24","25-34","35-49","50+"}),Cascade!$D:$D,$D66))),"")</f>
        <v/>
      </c>
      <c r="G66" s="10" t="str">
        <f aca="false">IFERROR(1/(1/SUM(SUMIFS(Cascade!$AX:$AX,Cascade!$B:$B,$B66,Cascade!$C:$C,IF($C66="&lt;15",{"=&lt;01","01-09","10-14"},{"15-24","25-34","35-49","50+"}),Cascade!$D:$D,$D66))),"")</f>
        <v/>
      </c>
      <c r="H66" s="88" t="n">
        <f aca="false">1</f>
        <v>1</v>
      </c>
      <c r="I66" s="88" t="n">
        <f aca="false">1</f>
        <v>1</v>
      </c>
      <c r="J66" s="88"/>
      <c r="K66" s="88"/>
      <c r="L66" s="39" t="str">
        <f aca="false">IF(SUM($F66)=0,"",ROUND($F66*$H66*$J66,0))</f>
        <v/>
      </c>
      <c r="M66" s="39" t="str">
        <f aca="false">IF(SUM($F66)=0,"",ROUND($F66*$H66,0)-$L66)</f>
        <v/>
      </c>
      <c r="N66" s="39" t="str">
        <f aca="false">IF(SUM($G66)=0,"",ROUND($G66*$I66*$K66,0))</f>
        <v/>
      </c>
      <c r="O66" s="39" t="str">
        <f aca="false">IF(SUM($G66)=0,"",ROUND($G66*$I66,0)-$N66)</f>
        <v/>
      </c>
      <c r="P66" s="10" t="n">
        <v>1</v>
      </c>
      <c r="Q66" s="10"/>
      <c r="R66" s="10" t="n">
        <v>4</v>
      </c>
      <c r="S66" s="10" t="n">
        <f aca="false">IFERROR(1/(1/SUM($P66,$R66,$Q66)),"")</f>
        <v>5</v>
      </c>
      <c r="T66" s="88" t="str">
        <f aca="false">IF(SUM($F66)=0,"",MIN($S66/$F66,1))</f>
        <v/>
      </c>
      <c r="U66" s="88" t="n">
        <f aca="false">1</f>
        <v>1</v>
      </c>
      <c r="V66" s="88" t="n">
        <f aca="false">1</f>
        <v>1</v>
      </c>
      <c r="W66" s="39" t="str">
        <f aca="false">IF(SUM($M66)=0,"",IF($T66="","ENTER ELIGIBILITY RATE",IF($U66 = "","ENTER INITIATION RATE",ROUND($M66*$T66*$U66,0))))</f>
        <v/>
      </c>
      <c r="X66" s="39" t="str">
        <f aca="false">IF(SUM($O66)=0,"",IF($V66="","ENTER INITIATION RATE",ROUND($O66*$V66,0)))</f>
        <v/>
      </c>
      <c r="Y66" s="88" t="n">
        <f aca="false">0.9</f>
        <v>0.9</v>
      </c>
      <c r="Z66" s="39" t="str">
        <f aca="false">IF(SUM($W66)=0,"",IF($Y66="","ENTER COMPLETION RATE",ROUND($W66*$Y66,0)))</f>
        <v/>
      </c>
      <c r="AA66" s="39" t="str">
        <f aca="false">IF(SUM($X66)=0,"",IF($X66="","ENTER COMPLETION RATE",ROUND($X66*$Y66,0)))</f>
        <v/>
      </c>
      <c r="AB66" s="88" t="str">
        <f aca="false">IF(SUM($Q66)=0,"",(SUM($Z66)-$Q66)/$Q66)</f>
        <v/>
      </c>
      <c r="AC66" s="88" t="n">
        <f aca="false">IF(SUM($R66)=0,"",(SUM($AA66)-$R66)/$R66)</f>
        <v>-1</v>
      </c>
    </row>
    <row r="67" customFormat="false" ht="15" hidden="false" customHeight="false" outlineLevel="0" collapsed="false">
      <c r="A67" s="0" t="str">
        <f aca="false">INDEX(Prioritization!$D:$D,MATCH($B67,Prioritization!$A:$A,0))</f>
        <v>1 - Scale-up: Saturation</v>
      </c>
      <c r="B67" s="0" t="s">
        <v>207</v>
      </c>
      <c r="C67" s="0" t="s">
        <v>807</v>
      </c>
      <c r="D67" s="0" t="s">
        <v>30</v>
      </c>
      <c r="E67" s="0" t="str">
        <f aca="false">B67&amp;"|"&amp;C67&amp;"|"&amp;D67</f>
        <v>Mzimba District [vA4NcHxfMBq]|&lt;15|Female</v>
      </c>
      <c r="F67" s="10" t="n">
        <f aca="false">IFERROR(1/(1/SUM(SUMIFS(Cascade!$O:$O,Cascade!$B:$B,$B67,Cascade!$C:$C,IF($C67="&lt;15",{"=&lt;01","01-09","10-14"},{"15-24","25-34","35-49","50+"}),Cascade!$D:$D,$D67))),"")</f>
        <v>7</v>
      </c>
      <c r="G67" s="10" t="str">
        <f aca="false">IFERROR(1/(1/SUM(SUMIFS(Cascade!$AX:$AX,Cascade!$B:$B,$B67,Cascade!$C:$C,IF($C67="&lt;15",{"=&lt;01","01-09","10-14"},{"15-24","25-34","35-49","50+"}),Cascade!$D:$D,$D67))),"")</f>
        <v/>
      </c>
      <c r="H67" s="88" t="n">
        <f aca="false">1</f>
        <v>1</v>
      </c>
      <c r="I67" s="88" t="n">
        <f aca="false">1</f>
        <v>1</v>
      </c>
      <c r="J67" s="88"/>
      <c r="K67" s="88"/>
      <c r="L67" s="39" t="n">
        <f aca="false">IF(SUM($F67)=0,"",ROUND($F67*$H67*$J67,0))</f>
        <v>0</v>
      </c>
      <c r="M67" s="39" t="n">
        <f aca="false">IF(SUM($F67)=0,"",ROUND($F67*$H67,0)-$L67)</f>
        <v>7</v>
      </c>
      <c r="N67" s="39" t="str">
        <f aca="false">IF(SUM($G67)=0,"",ROUND($G67*$I67*$K67,0))</f>
        <v/>
      </c>
      <c r="O67" s="39" t="str">
        <f aca="false">IF(SUM($G67)=0,"",ROUND($G67*$I67,0)-$N67)</f>
        <v/>
      </c>
      <c r="P67" s="10" t="n">
        <v>49</v>
      </c>
      <c r="Q67" s="10"/>
      <c r="R67" s="10" t="n">
        <v>3</v>
      </c>
      <c r="S67" s="10" t="n">
        <f aca="false">IFERROR(1/(1/SUM($P67,$R67,$Q67)),"")</f>
        <v>52</v>
      </c>
      <c r="T67" s="88" t="n">
        <f aca="false">IF(SUM($F67)=0,"",MIN($S67/$F67,1))</f>
        <v>1</v>
      </c>
      <c r="U67" s="88" t="n">
        <f aca="false">1</f>
        <v>1</v>
      </c>
      <c r="V67" s="88" t="n">
        <f aca="false">1</f>
        <v>1</v>
      </c>
      <c r="W67" s="39" t="n">
        <f aca="false">IF(SUM($M67)=0,"",IF($T67="","ENTER ELIGIBILITY RATE",IF($U67 = "","ENTER INITIATION RATE",ROUND($M67*$T67*$U67,0))))</f>
        <v>7</v>
      </c>
      <c r="X67" s="39" t="str">
        <f aca="false">IF(SUM($O67)=0,"",IF($V67="","ENTER INITIATION RATE",ROUND($O67*$V67,0)))</f>
        <v/>
      </c>
      <c r="Y67" s="88" t="n">
        <f aca="false">0.9</f>
        <v>0.9</v>
      </c>
      <c r="Z67" s="39" t="n">
        <f aca="false">IF(SUM($W67)=0,"",IF($Y67="","ENTER COMPLETION RATE",ROUND($W67*$Y67,0)))</f>
        <v>6</v>
      </c>
      <c r="AA67" s="39" t="str">
        <f aca="false">IF(SUM($X67)=0,"",IF($X67="","ENTER COMPLETION RATE",ROUND($X67*$Y67,0)))</f>
        <v/>
      </c>
      <c r="AB67" s="88" t="str">
        <f aca="false">IF(SUM($Q67)=0,"",(SUM($Z67)-$Q67)/$Q67)</f>
        <v/>
      </c>
      <c r="AC67" s="88" t="n">
        <f aca="false">IF(SUM($R67)=0,"",(SUM($AA67)-$R67)/$R67)</f>
        <v>-1</v>
      </c>
    </row>
    <row r="68" customFormat="false" ht="15" hidden="false" customHeight="false" outlineLevel="0" collapsed="false">
      <c r="A68" s="0" t="str">
        <f aca="false">INDEX(Prioritization!$D:$D,MATCH($B68,Prioritization!$A:$A,0))</f>
        <v>1 - Scale-up: Saturation</v>
      </c>
      <c r="B68" s="0" t="s">
        <v>207</v>
      </c>
      <c r="C68" s="0" t="s">
        <v>807</v>
      </c>
      <c r="D68" s="0" t="s">
        <v>48</v>
      </c>
      <c r="E68" s="0" t="str">
        <f aca="false">B68&amp;"|"&amp;C68&amp;"|"&amp;D68</f>
        <v>Mzimba District [vA4NcHxfMBq]|&lt;15|Male</v>
      </c>
      <c r="F68" s="10" t="n">
        <f aca="false">IFERROR(1/(1/SUM(SUMIFS(Cascade!$O:$O,Cascade!$B:$B,$B68,Cascade!$C:$C,IF($C68="&lt;15",{"=&lt;01","01-09","10-14"},{"15-24","25-34","35-49","50+"}),Cascade!$D:$D,$D68))),"")</f>
        <v>10</v>
      </c>
      <c r="G68" s="10" t="str">
        <f aca="false">IFERROR(1/(1/SUM(SUMIFS(Cascade!$AX:$AX,Cascade!$B:$B,$B68,Cascade!$C:$C,IF($C68="&lt;15",{"=&lt;01","01-09","10-14"},{"15-24","25-34","35-49","50+"}),Cascade!$D:$D,$D68))),"")</f>
        <v/>
      </c>
      <c r="H68" s="88" t="n">
        <f aca="false">1</f>
        <v>1</v>
      </c>
      <c r="I68" s="88" t="n">
        <f aca="false">1</f>
        <v>1</v>
      </c>
      <c r="J68" s="88"/>
      <c r="K68" s="88"/>
      <c r="L68" s="39" t="n">
        <f aca="false">IF(SUM($F68)=0,"",ROUND($F68*$H68*$J68,0))</f>
        <v>0</v>
      </c>
      <c r="M68" s="39" t="n">
        <f aca="false">IF(SUM($F68)=0,"",ROUND($F68*$H68,0)-$L68)</f>
        <v>10</v>
      </c>
      <c r="N68" s="39" t="str">
        <f aca="false">IF(SUM($G68)=0,"",ROUND($G68*$I68*$K68,0))</f>
        <v/>
      </c>
      <c r="O68" s="39" t="str">
        <f aca="false">IF(SUM($G68)=0,"",ROUND($G68*$I68,0)-$N68)</f>
        <v/>
      </c>
      <c r="P68" s="10" t="n">
        <v>20</v>
      </c>
      <c r="Q68" s="10"/>
      <c r="R68" s="10" t="n">
        <v>8</v>
      </c>
      <c r="S68" s="10" t="n">
        <f aca="false">IFERROR(1/(1/SUM($P68,$R68,$Q68)),"")</f>
        <v>28</v>
      </c>
      <c r="T68" s="88" t="n">
        <f aca="false">IF(SUM($F68)=0,"",MIN($S68/$F68,1))</f>
        <v>1</v>
      </c>
      <c r="U68" s="88" t="n">
        <f aca="false">1</f>
        <v>1</v>
      </c>
      <c r="V68" s="88" t="n">
        <f aca="false">1</f>
        <v>1</v>
      </c>
      <c r="W68" s="39" t="n">
        <f aca="false">IF(SUM($M68)=0,"",IF($T68="","ENTER ELIGIBILITY RATE",IF($U68 = "","ENTER INITIATION RATE",ROUND($M68*$T68*$U68,0))))</f>
        <v>10</v>
      </c>
      <c r="X68" s="39" t="str">
        <f aca="false">IF(SUM($O68)=0,"",IF($V68="","ENTER INITIATION RATE",ROUND($O68*$V68,0)))</f>
        <v/>
      </c>
      <c r="Y68" s="88" t="n">
        <f aca="false">0.9</f>
        <v>0.9</v>
      </c>
      <c r="Z68" s="39" t="n">
        <f aca="false">IF(SUM($W68)=0,"",IF($Y68="","ENTER COMPLETION RATE",ROUND($W68*$Y68,0)))</f>
        <v>9</v>
      </c>
      <c r="AA68" s="39" t="str">
        <f aca="false">IF(SUM($X68)=0,"",IF($X68="","ENTER COMPLETION RATE",ROUND($X68*$Y68,0)))</f>
        <v/>
      </c>
      <c r="AB68" s="88" t="str">
        <f aca="false">IF(SUM($Q68)=0,"",(SUM($Z68)-$Q68)/$Q68)</f>
        <v/>
      </c>
      <c r="AC68" s="88" t="n">
        <f aca="false">IF(SUM($R68)=0,"",(SUM($AA68)-$R68)/$R68)</f>
        <v>-1</v>
      </c>
    </row>
    <row r="69" customFormat="false" ht="15" hidden="false" customHeight="false" outlineLevel="0" collapsed="false">
      <c r="A69" s="0" t="str">
        <f aca="false">INDEX(Prioritization!$D:$D,MATCH($B69,Prioritization!$A:$A,0))</f>
        <v>1 - Scale-up: Saturation</v>
      </c>
      <c r="B69" s="0" t="s">
        <v>207</v>
      </c>
      <c r="C69" s="0" t="s">
        <v>808</v>
      </c>
      <c r="D69" s="0" t="s">
        <v>30</v>
      </c>
      <c r="E69" s="0" t="str">
        <f aca="false">B69&amp;"|"&amp;C69&amp;"|"&amp;D69</f>
        <v>Mzimba District [vA4NcHxfMBq]|15+|Female</v>
      </c>
      <c r="F69" s="10" t="str">
        <f aca="false">IFERROR(1/(1/SUM(SUMIFS(Cascade!$O:$O,Cascade!$B:$B,$B69,Cascade!$C:$C,IF($C69="&lt;15",{"=&lt;01","01-09","10-14"},{"15-24","25-34","35-49","50+"}),Cascade!$D:$D,$D69))),"")</f>
        <v/>
      </c>
      <c r="G69" s="10" t="str">
        <f aca="false">IFERROR(1/(1/SUM(SUMIFS(Cascade!$AX:$AX,Cascade!$B:$B,$B69,Cascade!$C:$C,IF($C69="&lt;15",{"=&lt;01","01-09","10-14"},{"15-24","25-34","35-49","50+"}),Cascade!$D:$D,$D69))),"")</f>
        <v/>
      </c>
      <c r="H69" s="88" t="n">
        <f aca="false">1</f>
        <v>1</v>
      </c>
      <c r="I69" s="88" t="n">
        <f aca="false">1</f>
        <v>1</v>
      </c>
      <c r="J69" s="88"/>
      <c r="K69" s="88"/>
      <c r="L69" s="39" t="str">
        <f aca="false">IF(SUM($F69)=0,"",ROUND($F69*$H69*$J69,0))</f>
        <v/>
      </c>
      <c r="M69" s="39" t="str">
        <f aca="false">IF(SUM($F69)=0,"",ROUND($F69*$H69,0)-$L69)</f>
        <v/>
      </c>
      <c r="N69" s="39" t="str">
        <f aca="false">IF(SUM($G69)=0,"",ROUND($G69*$I69*$K69,0))</f>
        <v/>
      </c>
      <c r="O69" s="39" t="str">
        <f aca="false">IF(SUM($G69)=0,"",ROUND($G69*$I69,0)-$N69)</f>
        <v/>
      </c>
      <c r="P69" s="10" t="n">
        <v>155</v>
      </c>
      <c r="Q69" s="10"/>
      <c r="R69" s="10" t="n">
        <v>18</v>
      </c>
      <c r="S69" s="10" t="n">
        <f aca="false">IFERROR(1/(1/SUM($P69,$R69,$Q69)),"")</f>
        <v>173</v>
      </c>
      <c r="T69" s="88" t="str">
        <f aca="false">IF(SUM($F69)=0,"",MIN($S69/$F69,1))</f>
        <v/>
      </c>
      <c r="U69" s="88" t="n">
        <f aca="false">1</f>
        <v>1</v>
      </c>
      <c r="V69" s="88" t="n">
        <f aca="false">1</f>
        <v>1</v>
      </c>
      <c r="W69" s="39" t="str">
        <f aca="false">IF(SUM($M69)=0,"",IF($T69="","ENTER ELIGIBILITY RATE",IF($U69 = "","ENTER INITIATION RATE",ROUND($M69*$T69*$U69,0))))</f>
        <v/>
      </c>
      <c r="X69" s="39" t="str">
        <f aca="false">IF(SUM($O69)=0,"",IF($V69="","ENTER INITIATION RATE",ROUND($O69*$V69,0)))</f>
        <v/>
      </c>
      <c r="Y69" s="88" t="n">
        <f aca="false">0.9</f>
        <v>0.9</v>
      </c>
      <c r="Z69" s="39" t="str">
        <f aca="false">IF(SUM($W69)=0,"",IF($Y69="","ENTER COMPLETION RATE",ROUND($W69*$Y69,0)))</f>
        <v/>
      </c>
      <c r="AA69" s="39" t="str">
        <f aca="false">IF(SUM($X69)=0,"",IF($X69="","ENTER COMPLETION RATE",ROUND($X69*$Y69,0)))</f>
        <v/>
      </c>
      <c r="AB69" s="88" t="str">
        <f aca="false">IF(SUM($Q69)=0,"",(SUM($Z69)-$Q69)/$Q69)</f>
        <v/>
      </c>
      <c r="AC69" s="88" t="n">
        <f aca="false">IF(SUM($R69)=0,"",(SUM($AA69)-$R69)/$R69)</f>
        <v>-1</v>
      </c>
    </row>
    <row r="70" customFormat="false" ht="15" hidden="false" customHeight="false" outlineLevel="0" collapsed="false">
      <c r="A70" s="0" t="str">
        <f aca="false">INDEX(Prioritization!$D:$D,MATCH($B70,Prioritization!$A:$A,0))</f>
        <v>1 - Scale-up: Saturation</v>
      </c>
      <c r="B70" s="0" t="s">
        <v>207</v>
      </c>
      <c r="C70" s="0" t="s">
        <v>808</v>
      </c>
      <c r="D70" s="0" t="s">
        <v>48</v>
      </c>
      <c r="E70" s="0" t="str">
        <f aca="false">B70&amp;"|"&amp;C70&amp;"|"&amp;D70</f>
        <v>Mzimba District [vA4NcHxfMBq]|15+|Male</v>
      </c>
      <c r="F70" s="10" t="str">
        <f aca="false">IFERROR(1/(1/SUM(SUMIFS(Cascade!$O:$O,Cascade!$B:$B,$B70,Cascade!$C:$C,IF($C70="&lt;15",{"=&lt;01","01-09","10-14"},{"15-24","25-34","35-49","50+"}),Cascade!$D:$D,$D70))),"")</f>
        <v/>
      </c>
      <c r="G70" s="10" t="str">
        <f aca="false">IFERROR(1/(1/SUM(SUMIFS(Cascade!$AX:$AX,Cascade!$B:$B,$B70,Cascade!$C:$C,IF($C70="&lt;15",{"=&lt;01","01-09","10-14"},{"15-24","25-34","35-49","50+"}),Cascade!$D:$D,$D70))),"")</f>
        <v/>
      </c>
      <c r="H70" s="88" t="n">
        <f aca="false">1</f>
        <v>1</v>
      </c>
      <c r="I70" s="88" t="n">
        <f aca="false">1</f>
        <v>1</v>
      </c>
      <c r="J70" s="88"/>
      <c r="K70" s="88"/>
      <c r="L70" s="39" t="str">
        <f aca="false">IF(SUM($F70)=0,"",ROUND($F70*$H70*$J70,0))</f>
        <v/>
      </c>
      <c r="M70" s="39" t="str">
        <f aca="false">IF(SUM($F70)=0,"",ROUND($F70*$H70,0)-$L70)</f>
        <v/>
      </c>
      <c r="N70" s="39" t="str">
        <f aca="false">IF(SUM($G70)=0,"",ROUND($G70*$I70*$K70,0))</f>
        <v/>
      </c>
      <c r="O70" s="39" t="str">
        <f aca="false">IF(SUM($G70)=0,"",ROUND($G70*$I70,0)-$N70)</f>
        <v/>
      </c>
      <c r="P70" s="10" t="n">
        <v>603</v>
      </c>
      <c r="Q70" s="10"/>
      <c r="R70" s="10" t="n">
        <v>26</v>
      </c>
      <c r="S70" s="10" t="n">
        <f aca="false">IFERROR(1/(1/SUM($P70,$R70,$Q70)),"")</f>
        <v>629</v>
      </c>
      <c r="T70" s="88" t="str">
        <f aca="false">IF(SUM($F70)=0,"",MIN($S70/$F70,1))</f>
        <v/>
      </c>
      <c r="U70" s="88" t="n">
        <f aca="false">1</f>
        <v>1</v>
      </c>
      <c r="V70" s="88" t="n">
        <f aca="false">1</f>
        <v>1</v>
      </c>
      <c r="W70" s="39" t="str">
        <f aca="false">IF(SUM($M70)=0,"",IF($T70="","ENTER ELIGIBILITY RATE",IF($U70 = "","ENTER INITIATION RATE",ROUND($M70*$T70*$U70,0))))</f>
        <v/>
      </c>
      <c r="X70" s="39" t="str">
        <f aca="false">IF(SUM($O70)=0,"",IF($V70="","ENTER INITIATION RATE",ROUND($O70*$V70,0)))</f>
        <v/>
      </c>
      <c r="Y70" s="88" t="n">
        <f aca="false">0.9</f>
        <v>0.9</v>
      </c>
      <c r="Z70" s="39" t="str">
        <f aca="false">IF(SUM($W70)=0,"",IF($Y70="","ENTER COMPLETION RATE",ROUND($W70*$Y70,0)))</f>
        <v/>
      </c>
      <c r="AA70" s="39" t="str">
        <f aca="false">IF(SUM($X70)=0,"",IF($X70="","ENTER COMPLETION RATE",ROUND($X70*$Y70,0)))</f>
        <v/>
      </c>
      <c r="AB70" s="88" t="str">
        <f aca="false">IF(SUM($Q70)=0,"",(SUM($Z70)-$Q70)/$Q70)</f>
        <v/>
      </c>
      <c r="AC70" s="88" t="n">
        <f aca="false">IF(SUM($R70)=0,"",(SUM($AA70)-$R70)/$R70)</f>
        <v>-1</v>
      </c>
    </row>
    <row r="71" customFormat="false" ht="15" hidden="false" customHeight="false" outlineLevel="0" collapsed="false">
      <c r="A71" s="0" t="str">
        <f aca="false">INDEX(Prioritization!$D:$D,MATCH($B71,Prioritization!$A:$A,0))</f>
        <v>INVALID</v>
      </c>
      <c r="B71" s="0" t="s">
        <v>208</v>
      </c>
      <c r="C71" s="0" t="s">
        <v>807</v>
      </c>
      <c r="D71" s="0" t="s">
        <v>30</v>
      </c>
      <c r="E71" s="0" t="str">
        <f aca="false">B71&amp;"|"&amp;C71&amp;"|"&amp;D71</f>
        <v>Nkhata Bay District [E7zpfyBt7Tw]|&lt;15|Female</v>
      </c>
      <c r="F71" s="10" t="str">
        <f aca="false">IFERROR(1/(1/SUM(SUMIFS(Cascade!$O:$O,Cascade!$B:$B,$B71,Cascade!$C:$C,IF($C71="&lt;15",{"=&lt;01","01-09","10-14"},{"15-24","25-34","35-49","50+"}),Cascade!$D:$D,$D71))),"")</f>
        <v/>
      </c>
      <c r="G71" s="10" t="str">
        <f aca="false">IFERROR(1/(1/SUM(SUMIFS(Cascade!$AX:$AX,Cascade!$B:$B,$B71,Cascade!$C:$C,IF($C71="&lt;15",{"=&lt;01","01-09","10-14"},{"15-24","25-34","35-49","50+"}),Cascade!$D:$D,$D71))),"")</f>
        <v/>
      </c>
      <c r="H71" s="88" t="n">
        <f aca="false">1</f>
        <v>1</v>
      </c>
      <c r="I71" s="88" t="n">
        <f aca="false">1</f>
        <v>1</v>
      </c>
      <c r="J71" s="88"/>
      <c r="K71" s="88"/>
      <c r="L71" s="39" t="str">
        <f aca="false">IF(SUM($F71)=0,"",ROUND($F71*$H71*$J71,0))</f>
        <v/>
      </c>
      <c r="M71" s="39" t="str">
        <f aca="false">IF(SUM($F71)=0,"",ROUND($F71*$H71,0)-$L71)</f>
        <v/>
      </c>
      <c r="N71" s="39" t="str">
        <f aca="false">IF(SUM($G71)=0,"",ROUND($G71*$I71*$K71,0))</f>
        <v/>
      </c>
      <c r="O71" s="39" t="str">
        <f aca="false">IF(SUM($G71)=0,"",ROUND($G71*$I71,0)-$N71)</f>
        <v/>
      </c>
      <c r="P71" s="10" t="n">
        <v>10</v>
      </c>
      <c r="Q71" s="10"/>
      <c r="R71" s="10" t="n">
        <v>1</v>
      </c>
      <c r="S71" s="10" t="n">
        <f aca="false">IFERROR(1/(1/SUM($P71,$R71,$Q71)),"")</f>
        <v>11</v>
      </c>
      <c r="T71" s="88" t="str">
        <f aca="false">IF(SUM($F71)=0,"",MIN($S71/$F71,1))</f>
        <v/>
      </c>
      <c r="U71" s="88" t="n">
        <f aca="false">1</f>
        <v>1</v>
      </c>
      <c r="V71" s="88" t="n">
        <f aca="false">1</f>
        <v>1</v>
      </c>
      <c r="W71" s="39" t="str">
        <f aca="false">IF(SUM($M71)=0,"",IF($T71="","ENTER ELIGIBILITY RATE",IF($U71 = "","ENTER INITIATION RATE",ROUND($M71*$T71*$U71,0))))</f>
        <v/>
      </c>
      <c r="X71" s="39" t="str">
        <f aca="false">IF(SUM($O71)=0,"",IF($V71="","ENTER INITIATION RATE",ROUND($O71*$V71,0)))</f>
        <v/>
      </c>
      <c r="Y71" s="88" t="n">
        <f aca="false">0.9</f>
        <v>0.9</v>
      </c>
      <c r="Z71" s="39" t="str">
        <f aca="false">IF(SUM($W71)=0,"",IF($Y71="","ENTER COMPLETION RATE",ROUND($W71*$Y71,0)))</f>
        <v/>
      </c>
      <c r="AA71" s="39" t="str">
        <f aca="false">IF(SUM($X71)=0,"",IF($X71="","ENTER COMPLETION RATE",ROUND($X71*$Y71,0)))</f>
        <v/>
      </c>
      <c r="AB71" s="88" t="str">
        <f aca="false">IF(SUM($Q71)=0,"",(SUM($Z71)-$Q71)/$Q71)</f>
        <v/>
      </c>
      <c r="AC71" s="88" t="n">
        <f aca="false">IF(SUM($R71)=0,"",(SUM($AA71)-$R71)/$R71)</f>
        <v>-1</v>
      </c>
    </row>
    <row r="72" customFormat="false" ht="15" hidden="false" customHeight="false" outlineLevel="0" collapsed="false">
      <c r="A72" s="0" t="str">
        <f aca="false">INDEX(Prioritization!$D:$D,MATCH($B72,Prioritization!$A:$A,0))</f>
        <v>INVALID</v>
      </c>
      <c r="B72" s="0" t="s">
        <v>208</v>
      </c>
      <c r="C72" s="0" t="s">
        <v>807</v>
      </c>
      <c r="D72" s="0" t="s">
        <v>48</v>
      </c>
      <c r="E72" s="0" t="str">
        <f aca="false">B72&amp;"|"&amp;C72&amp;"|"&amp;D72</f>
        <v>Nkhata Bay District [E7zpfyBt7Tw]|&lt;15|Male</v>
      </c>
      <c r="F72" s="10" t="str">
        <f aca="false">IFERROR(1/(1/SUM(SUMIFS(Cascade!$O:$O,Cascade!$B:$B,$B72,Cascade!$C:$C,IF($C72="&lt;15",{"=&lt;01","01-09","10-14"},{"15-24","25-34","35-49","50+"}),Cascade!$D:$D,$D72))),"")</f>
        <v/>
      </c>
      <c r="G72" s="10" t="str">
        <f aca="false">IFERROR(1/(1/SUM(SUMIFS(Cascade!$AX:$AX,Cascade!$B:$B,$B72,Cascade!$C:$C,IF($C72="&lt;15",{"=&lt;01","01-09","10-14"},{"15-24","25-34","35-49","50+"}),Cascade!$D:$D,$D72))),"")</f>
        <v/>
      </c>
      <c r="H72" s="88" t="n">
        <f aca="false">1</f>
        <v>1</v>
      </c>
      <c r="I72" s="88" t="n">
        <f aca="false">1</f>
        <v>1</v>
      </c>
      <c r="J72" s="88"/>
      <c r="K72" s="88"/>
      <c r="L72" s="39" t="str">
        <f aca="false">IF(SUM($F72)=0,"",ROUND($F72*$H72*$J72,0))</f>
        <v/>
      </c>
      <c r="M72" s="39" t="str">
        <f aca="false">IF(SUM($F72)=0,"",ROUND($F72*$H72,0)-$L72)</f>
        <v/>
      </c>
      <c r="N72" s="39" t="str">
        <f aca="false">IF(SUM($G72)=0,"",ROUND($G72*$I72*$K72,0))</f>
        <v/>
      </c>
      <c r="O72" s="39" t="str">
        <f aca="false">IF(SUM($G72)=0,"",ROUND($G72*$I72,0)-$N72)</f>
        <v/>
      </c>
      <c r="P72" s="10" t="n">
        <v>10</v>
      </c>
      <c r="Q72" s="10"/>
      <c r="R72" s="10" t="n">
        <v>6</v>
      </c>
      <c r="S72" s="10" t="n">
        <f aca="false">IFERROR(1/(1/SUM($P72,$R72,$Q72)),"")</f>
        <v>16</v>
      </c>
      <c r="T72" s="88" t="str">
        <f aca="false">IF(SUM($F72)=0,"",MIN($S72/$F72,1))</f>
        <v/>
      </c>
      <c r="U72" s="88" t="n">
        <f aca="false">1</f>
        <v>1</v>
      </c>
      <c r="V72" s="88" t="n">
        <f aca="false">1</f>
        <v>1</v>
      </c>
      <c r="W72" s="39" t="str">
        <f aca="false">IF(SUM($M72)=0,"",IF($T72="","ENTER ELIGIBILITY RATE",IF($U72 = "","ENTER INITIATION RATE",ROUND($M72*$T72*$U72,0))))</f>
        <v/>
      </c>
      <c r="X72" s="39" t="str">
        <f aca="false">IF(SUM($O72)=0,"",IF($V72="","ENTER INITIATION RATE",ROUND($O72*$V72,0)))</f>
        <v/>
      </c>
      <c r="Y72" s="88" t="n">
        <f aca="false">0.9</f>
        <v>0.9</v>
      </c>
      <c r="Z72" s="39" t="str">
        <f aca="false">IF(SUM($W72)=0,"",IF($Y72="","ENTER COMPLETION RATE",ROUND($W72*$Y72,0)))</f>
        <v/>
      </c>
      <c r="AA72" s="39" t="str">
        <f aca="false">IF(SUM($X72)=0,"",IF($X72="","ENTER COMPLETION RATE",ROUND($X72*$Y72,0)))</f>
        <v/>
      </c>
      <c r="AB72" s="88" t="str">
        <f aca="false">IF(SUM($Q72)=0,"",(SUM($Z72)-$Q72)/$Q72)</f>
        <v/>
      </c>
      <c r="AC72" s="88" t="n">
        <f aca="false">IF(SUM($R72)=0,"",(SUM($AA72)-$R72)/$R72)</f>
        <v>-1</v>
      </c>
    </row>
    <row r="73" customFormat="false" ht="15" hidden="false" customHeight="false" outlineLevel="0" collapsed="false">
      <c r="A73" s="0" t="str">
        <f aca="false">INDEX(Prioritization!$D:$D,MATCH($B73,Prioritization!$A:$A,0))</f>
        <v>INVALID</v>
      </c>
      <c r="B73" s="0" t="s">
        <v>208</v>
      </c>
      <c r="C73" s="0" t="s">
        <v>808</v>
      </c>
      <c r="D73" s="0" t="s">
        <v>30</v>
      </c>
      <c r="E73" s="0" t="str">
        <f aca="false">B73&amp;"|"&amp;C73&amp;"|"&amp;D73</f>
        <v>Nkhata Bay District [E7zpfyBt7Tw]|15+|Female</v>
      </c>
      <c r="F73" s="10" t="str">
        <f aca="false">IFERROR(1/(1/SUM(SUMIFS(Cascade!$O:$O,Cascade!$B:$B,$B73,Cascade!$C:$C,IF($C73="&lt;15",{"=&lt;01","01-09","10-14"},{"15-24","25-34","35-49","50+"}),Cascade!$D:$D,$D73))),"")</f>
        <v/>
      </c>
      <c r="G73" s="10" t="str">
        <f aca="false">IFERROR(1/(1/SUM(SUMIFS(Cascade!$AX:$AX,Cascade!$B:$B,$B73,Cascade!$C:$C,IF($C73="&lt;15",{"=&lt;01","01-09","10-14"},{"15-24","25-34","35-49","50+"}),Cascade!$D:$D,$D73))),"")</f>
        <v/>
      </c>
      <c r="H73" s="88" t="n">
        <f aca="false">1</f>
        <v>1</v>
      </c>
      <c r="I73" s="88" t="n">
        <f aca="false">1</f>
        <v>1</v>
      </c>
      <c r="J73" s="88"/>
      <c r="K73" s="88"/>
      <c r="L73" s="39" t="str">
        <f aca="false">IF(SUM($F73)=0,"",ROUND($F73*$H73*$J73,0))</f>
        <v/>
      </c>
      <c r="M73" s="39" t="str">
        <f aca="false">IF(SUM($F73)=0,"",ROUND($F73*$H73,0)-$L73)</f>
        <v/>
      </c>
      <c r="N73" s="39" t="str">
        <f aca="false">IF(SUM($G73)=0,"",ROUND($G73*$I73*$K73,0))</f>
        <v/>
      </c>
      <c r="O73" s="39" t="str">
        <f aca="false">IF(SUM($G73)=0,"",ROUND($G73*$I73,0)-$N73)</f>
        <v/>
      </c>
      <c r="P73" s="10" t="n">
        <v>423</v>
      </c>
      <c r="Q73" s="10"/>
      <c r="R73" s="10" t="n">
        <v>100</v>
      </c>
      <c r="S73" s="10" t="n">
        <f aca="false">IFERROR(1/(1/SUM($P73,$R73,$Q73)),"")</f>
        <v>523</v>
      </c>
      <c r="T73" s="88" t="str">
        <f aca="false">IF(SUM($F73)=0,"",MIN($S73/$F73,1))</f>
        <v/>
      </c>
      <c r="U73" s="88" t="n">
        <f aca="false">1</f>
        <v>1</v>
      </c>
      <c r="V73" s="88" t="n">
        <f aca="false">1</f>
        <v>1</v>
      </c>
      <c r="W73" s="39" t="str">
        <f aca="false">IF(SUM($M73)=0,"",IF($T73="","ENTER ELIGIBILITY RATE",IF($U73 = "","ENTER INITIATION RATE",ROUND($M73*$T73*$U73,0))))</f>
        <v/>
      </c>
      <c r="X73" s="39" t="str">
        <f aca="false">IF(SUM($O73)=0,"",IF($V73="","ENTER INITIATION RATE",ROUND($O73*$V73,0)))</f>
        <v/>
      </c>
      <c r="Y73" s="88" t="n">
        <f aca="false">0.9</f>
        <v>0.9</v>
      </c>
      <c r="Z73" s="39" t="str">
        <f aca="false">IF(SUM($W73)=0,"",IF($Y73="","ENTER COMPLETION RATE",ROUND($W73*$Y73,0)))</f>
        <v/>
      </c>
      <c r="AA73" s="39" t="str">
        <f aca="false">IF(SUM($X73)=0,"",IF($X73="","ENTER COMPLETION RATE",ROUND($X73*$Y73,0)))</f>
        <v/>
      </c>
      <c r="AB73" s="88" t="str">
        <f aca="false">IF(SUM($Q73)=0,"",(SUM($Z73)-$Q73)/$Q73)</f>
        <v/>
      </c>
      <c r="AC73" s="88" t="n">
        <f aca="false">IF(SUM($R73)=0,"",(SUM($AA73)-$R73)/$R73)</f>
        <v>-1</v>
      </c>
    </row>
    <row r="74" customFormat="false" ht="15" hidden="false" customHeight="false" outlineLevel="0" collapsed="false">
      <c r="A74" s="0" t="str">
        <f aca="false">INDEX(Prioritization!$D:$D,MATCH($B74,Prioritization!$A:$A,0))</f>
        <v>INVALID</v>
      </c>
      <c r="B74" s="0" t="s">
        <v>208</v>
      </c>
      <c r="C74" s="0" t="s">
        <v>808</v>
      </c>
      <c r="D74" s="0" t="s">
        <v>48</v>
      </c>
      <c r="E74" s="0" t="str">
        <f aca="false">B74&amp;"|"&amp;C74&amp;"|"&amp;D74</f>
        <v>Nkhata Bay District [E7zpfyBt7Tw]|15+|Male</v>
      </c>
      <c r="F74" s="10" t="str">
        <f aca="false">IFERROR(1/(1/SUM(SUMIFS(Cascade!$O:$O,Cascade!$B:$B,$B74,Cascade!$C:$C,IF($C74="&lt;15",{"=&lt;01","01-09","10-14"},{"15-24","25-34","35-49","50+"}),Cascade!$D:$D,$D74))),"")</f>
        <v/>
      </c>
      <c r="G74" s="10" t="str">
        <f aca="false">IFERROR(1/(1/SUM(SUMIFS(Cascade!$AX:$AX,Cascade!$B:$B,$B74,Cascade!$C:$C,IF($C74="&lt;15",{"=&lt;01","01-09","10-14"},{"15-24","25-34","35-49","50+"}),Cascade!$D:$D,$D74))),"")</f>
        <v/>
      </c>
      <c r="H74" s="88" t="n">
        <f aca="false">1</f>
        <v>1</v>
      </c>
      <c r="I74" s="88" t="n">
        <f aca="false">1</f>
        <v>1</v>
      </c>
      <c r="J74" s="88"/>
      <c r="K74" s="88"/>
      <c r="L74" s="39" t="str">
        <f aca="false">IF(SUM($F74)=0,"",ROUND($F74*$H74*$J74,0))</f>
        <v/>
      </c>
      <c r="M74" s="39" t="str">
        <f aca="false">IF(SUM($F74)=0,"",ROUND($F74*$H74,0)-$L74)</f>
        <v/>
      </c>
      <c r="N74" s="39" t="str">
        <f aca="false">IF(SUM($G74)=0,"",ROUND($G74*$I74*$K74,0))</f>
        <v/>
      </c>
      <c r="O74" s="39" t="str">
        <f aca="false">IF(SUM($G74)=0,"",ROUND($G74*$I74,0)-$N74)</f>
        <v/>
      </c>
      <c r="P74" s="10" t="n">
        <v>88</v>
      </c>
      <c r="Q74" s="10"/>
      <c r="R74" s="10" t="n">
        <v>41</v>
      </c>
      <c r="S74" s="10" t="n">
        <f aca="false">IFERROR(1/(1/SUM($P74,$R74,$Q74)),"")</f>
        <v>129</v>
      </c>
      <c r="T74" s="88" t="str">
        <f aca="false">IF(SUM($F74)=0,"",MIN($S74/$F74,1))</f>
        <v/>
      </c>
      <c r="U74" s="88" t="n">
        <f aca="false">1</f>
        <v>1</v>
      </c>
      <c r="V74" s="88" t="n">
        <f aca="false">1</f>
        <v>1</v>
      </c>
      <c r="W74" s="39" t="str">
        <f aca="false">IF(SUM($M74)=0,"",IF($T74="","ENTER ELIGIBILITY RATE",IF($U74 = "","ENTER INITIATION RATE",ROUND($M74*$T74*$U74,0))))</f>
        <v/>
      </c>
      <c r="X74" s="39" t="str">
        <f aca="false">IF(SUM($O74)=0,"",IF($V74="","ENTER INITIATION RATE",ROUND($O74*$V74,0)))</f>
        <v/>
      </c>
      <c r="Y74" s="88" t="n">
        <f aca="false">0.9</f>
        <v>0.9</v>
      </c>
      <c r="Z74" s="39" t="str">
        <f aca="false">IF(SUM($W74)=0,"",IF($Y74="","ENTER COMPLETION RATE",ROUND($W74*$Y74,0)))</f>
        <v/>
      </c>
      <c r="AA74" s="39" t="str">
        <f aca="false">IF(SUM($X74)=0,"",IF($X74="","ENTER COMPLETION RATE",ROUND($X74*$Y74,0)))</f>
        <v/>
      </c>
      <c r="AB74" s="88" t="str">
        <f aca="false">IF(SUM($Q74)=0,"",(SUM($Z74)-$Q74)/$Q74)</f>
        <v/>
      </c>
      <c r="AC74" s="88" t="n">
        <f aca="false">IF(SUM($R74)=0,"",(SUM($AA74)-$R74)/$R74)</f>
        <v>-1</v>
      </c>
    </row>
    <row r="75" customFormat="false" ht="15" hidden="false" customHeight="false" outlineLevel="0" collapsed="false">
      <c r="A75" s="0" t="str">
        <f aca="false">INDEX(Prioritization!$D:$D,MATCH($B75,Prioritization!$A:$A,0))</f>
        <v>INVALID</v>
      </c>
      <c r="B75" s="0" t="s">
        <v>209</v>
      </c>
      <c r="C75" s="0" t="s">
        <v>807</v>
      </c>
      <c r="D75" s="0" t="s">
        <v>30</v>
      </c>
      <c r="E75" s="0" t="str">
        <f aca="false">B75&amp;"|"&amp;C75&amp;"|"&amp;D75</f>
        <v>Rumphi District [lPTyjLi4w3d]|&lt;15|Female</v>
      </c>
      <c r="F75" s="10" t="n">
        <f aca="false">IFERROR(1/(1/SUM(SUMIFS(Cascade!$O:$O,Cascade!$B:$B,$B75,Cascade!$C:$C,IF($C75="&lt;15",{"=&lt;01","01-09","10-14"},{"15-24","25-34","35-49","50+"}),Cascade!$D:$D,$D75))),"")</f>
        <v>1</v>
      </c>
      <c r="G75" s="10" t="str">
        <f aca="false">IFERROR(1/(1/SUM(SUMIFS(Cascade!$AX:$AX,Cascade!$B:$B,$B75,Cascade!$C:$C,IF($C75="&lt;15",{"=&lt;01","01-09","10-14"},{"15-24","25-34","35-49","50+"}),Cascade!$D:$D,$D75))),"")</f>
        <v/>
      </c>
      <c r="H75" s="88" t="n">
        <f aca="false">1</f>
        <v>1</v>
      </c>
      <c r="I75" s="88" t="n">
        <f aca="false">1</f>
        <v>1</v>
      </c>
      <c r="J75" s="88"/>
      <c r="K75" s="88"/>
      <c r="L75" s="39" t="n">
        <f aca="false">IF(SUM($F75)=0,"",ROUND($F75*$H75*$J75,0))</f>
        <v>0</v>
      </c>
      <c r="M75" s="39" t="n">
        <f aca="false">IF(SUM($F75)=0,"",ROUND($F75*$H75,0)-$L75)</f>
        <v>1</v>
      </c>
      <c r="N75" s="39" t="str">
        <f aca="false">IF(SUM($G75)=0,"",ROUND($G75*$I75*$K75,0))</f>
        <v/>
      </c>
      <c r="O75" s="39" t="str">
        <f aca="false">IF(SUM($G75)=0,"",ROUND($G75*$I75,0)-$N75)</f>
        <v/>
      </c>
      <c r="P75" s="10" t="n">
        <v>1</v>
      </c>
      <c r="Q75" s="10"/>
      <c r="R75" s="10" t="n">
        <v>10</v>
      </c>
      <c r="S75" s="10" t="n">
        <f aca="false">IFERROR(1/(1/SUM($P75,$R75,$Q75)),"")</f>
        <v>11</v>
      </c>
      <c r="T75" s="88" t="n">
        <f aca="false">IF(SUM($F75)=0,"",MIN($S75/$F75,1))</f>
        <v>1</v>
      </c>
      <c r="U75" s="88" t="n">
        <f aca="false">1</f>
        <v>1</v>
      </c>
      <c r="V75" s="88" t="n">
        <f aca="false">1</f>
        <v>1</v>
      </c>
      <c r="W75" s="39" t="n">
        <f aca="false">IF(SUM($M75)=0,"",IF($T75="","ENTER ELIGIBILITY RATE",IF($U75 = "","ENTER INITIATION RATE",ROUND($M75*$T75*$U75,0))))</f>
        <v>1</v>
      </c>
      <c r="X75" s="39" t="str">
        <f aca="false">IF(SUM($O75)=0,"",IF($V75="","ENTER INITIATION RATE",ROUND($O75*$V75,0)))</f>
        <v/>
      </c>
      <c r="Y75" s="88" t="n">
        <f aca="false">0.9</f>
        <v>0.9</v>
      </c>
      <c r="Z75" s="39" t="n">
        <f aca="false">IF(SUM($W75)=0,"",IF($Y75="","ENTER COMPLETION RATE",ROUND($W75*$Y75,0)))</f>
        <v>1</v>
      </c>
      <c r="AA75" s="39" t="str">
        <f aca="false">IF(SUM($X75)=0,"",IF($X75="","ENTER COMPLETION RATE",ROUND($X75*$Y75,0)))</f>
        <v/>
      </c>
      <c r="AB75" s="88" t="str">
        <f aca="false">IF(SUM($Q75)=0,"",(SUM($Z75)-$Q75)/$Q75)</f>
        <v/>
      </c>
      <c r="AC75" s="88" t="n">
        <f aca="false">IF(SUM($R75)=0,"",(SUM($AA75)-$R75)/$R75)</f>
        <v>-1</v>
      </c>
    </row>
    <row r="76" customFormat="false" ht="15" hidden="false" customHeight="false" outlineLevel="0" collapsed="false">
      <c r="A76" s="0" t="str">
        <f aca="false">INDEX(Prioritization!$D:$D,MATCH($B76,Prioritization!$A:$A,0))</f>
        <v>INVALID</v>
      </c>
      <c r="B76" s="0" t="s">
        <v>209</v>
      </c>
      <c r="C76" s="0" t="s">
        <v>807</v>
      </c>
      <c r="D76" s="0" t="s">
        <v>48</v>
      </c>
      <c r="E76" s="0" t="str">
        <f aca="false">B76&amp;"|"&amp;C76&amp;"|"&amp;D76</f>
        <v>Rumphi District [lPTyjLi4w3d]|&lt;15|Male</v>
      </c>
      <c r="F76" s="10" t="n">
        <f aca="false">IFERROR(1/(1/SUM(SUMIFS(Cascade!$O:$O,Cascade!$B:$B,$B76,Cascade!$C:$C,IF($C76="&lt;15",{"=&lt;01","01-09","10-14"},{"15-24","25-34","35-49","50+"}),Cascade!$D:$D,$D76))),"")</f>
        <v>1</v>
      </c>
      <c r="G76" s="10" t="str">
        <f aca="false">IFERROR(1/(1/SUM(SUMIFS(Cascade!$AX:$AX,Cascade!$B:$B,$B76,Cascade!$C:$C,IF($C76="&lt;15",{"=&lt;01","01-09","10-14"},{"15-24","25-34","35-49","50+"}),Cascade!$D:$D,$D76))),"")</f>
        <v/>
      </c>
      <c r="H76" s="88" t="n">
        <f aca="false">1</f>
        <v>1</v>
      </c>
      <c r="I76" s="88" t="n">
        <f aca="false">1</f>
        <v>1</v>
      </c>
      <c r="J76" s="88"/>
      <c r="K76" s="88"/>
      <c r="L76" s="39" t="n">
        <f aca="false">IF(SUM($F76)=0,"",ROUND($F76*$H76*$J76,0))</f>
        <v>0</v>
      </c>
      <c r="M76" s="39" t="n">
        <f aca="false">IF(SUM($F76)=0,"",ROUND($F76*$H76,0)-$L76)</f>
        <v>1</v>
      </c>
      <c r="N76" s="39" t="str">
        <f aca="false">IF(SUM($G76)=0,"",ROUND($G76*$I76*$K76,0))</f>
        <v/>
      </c>
      <c r="O76" s="39" t="str">
        <f aca="false">IF(SUM($G76)=0,"",ROUND($G76*$I76,0)-$N76)</f>
        <v/>
      </c>
      <c r="P76" s="10" t="n">
        <v>7</v>
      </c>
      <c r="Q76" s="10"/>
      <c r="R76" s="10" t="n">
        <v>2</v>
      </c>
      <c r="S76" s="10" t="n">
        <f aca="false">IFERROR(1/(1/SUM($P76,$R76,$Q76)),"")</f>
        <v>9</v>
      </c>
      <c r="T76" s="88" t="n">
        <f aca="false">IF(SUM($F76)=0,"",MIN($S76/$F76,1))</f>
        <v>1</v>
      </c>
      <c r="U76" s="88" t="n">
        <f aca="false">1</f>
        <v>1</v>
      </c>
      <c r="V76" s="88" t="n">
        <f aca="false">1</f>
        <v>1</v>
      </c>
      <c r="W76" s="39" t="n">
        <f aca="false">IF(SUM($M76)=0,"",IF($T76="","ENTER ELIGIBILITY RATE",IF($U76 = "","ENTER INITIATION RATE",ROUND($M76*$T76*$U76,0))))</f>
        <v>1</v>
      </c>
      <c r="X76" s="39" t="str">
        <f aca="false">IF(SUM($O76)=0,"",IF($V76="","ENTER INITIATION RATE",ROUND($O76*$V76,0)))</f>
        <v/>
      </c>
      <c r="Y76" s="88" t="n">
        <f aca="false">0.9</f>
        <v>0.9</v>
      </c>
      <c r="Z76" s="39" t="n">
        <f aca="false">IF(SUM($W76)=0,"",IF($Y76="","ENTER COMPLETION RATE",ROUND($W76*$Y76,0)))</f>
        <v>1</v>
      </c>
      <c r="AA76" s="39" t="str">
        <f aca="false">IF(SUM($X76)=0,"",IF($X76="","ENTER COMPLETION RATE",ROUND($X76*$Y76,0)))</f>
        <v/>
      </c>
      <c r="AB76" s="88" t="str">
        <f aca="false">IF(SUM($Q76)=0,"",(SUM($Z76)-$Q76)/$Q76)</f>
        <v/>
      </c>
      <c r="AC76" s="88" t="n">
        <f aca="false">IF(SUM($R76)=0,"",(SUM($AA76)-$R76)/$R76)</f>
        <v>-1</v>
      </c>
    </row>
    <row r="77" customFormat="false" ht="15" hidden="false" customHeight="false" outlineLevel="0" collapsed="false">
      <c r="A77" s="0" t="str">
        <f aca="false">INDEX(Prioritization!$D:$D,MATCH($B77,Prioritization!$A:$A,0))</f>
        <v>INVALID</v>
      </c>
      <c r="B77" s="0" t="s">
        <v>209</v>
      </c>
      <c r="C77" s="0" t="s">
        <v>808</v>
      </c>
      <c r="D77" s="0" t="s">
        <v>30</v>
      </c>
      <c r="E77" s="0" t="str">
        <f aca="false">B77&amp;"|"&amp;C77&amp;"|"&amp;D77</f>
        <v>Rumphi District [lPTyjLi4w3d]|15+|Female</v>
      </c>
      <c r="F77" s="10" t="str">
        <f aca="false">IFERROR(1/(1/SUM(SUMIFS(Cascade!$O:$O,Cascade!$B:$B,$B77,Cascade!$C:$C,IF($C77="&lt;15",{"=&lt;01","01-09","10-14"},{"15-24","25-34","35-49","50+"}),Cascade!$D:$D,$D77))),"")</f>
        <v/>
      </c>
      <c r="G77" s="10" t="str">
        <f aca="false">IFERROR(1/(1/SUM(SUMIFS(Cascade!$AX:$AX,Cascade!$B:$B,$B77,Cascade!$C:$C,IF($C77="&lt;15",{"=&lt;01","01-09","10-14"},{"15-24","25-34","35-49","50+"}),Cascade!$D:$D,$D77))),"")</f>
        <v/>
      </c>
      <c r="H77" s="88" t="n">
        <f aca="false">1</f>
        <v>1</v>
      </c>
      <c r="I77" s="88" t="n">
        <f aca="false">1</f>
        <v>1</v>
      </c>
      <c r="J77" s="88"/>
      <c r="K77" s="88"/>
      <c r="L77" s="39" t="str">
        <f aca="false">IF(SUM($F77)=0,"",ROUND($F77*$H77*$J77,0))</f>
        <v/>
      </c>
      <c r="M77" s="39" t="str">
        <f aca="false">IF(SUM($F77)=0,"",ROUND($F77*$H77,0)-$L77)</f>
        <v/>
      </c>
      <c r="N77" s="39" t="str">
        <f aca="false">IF(SUM($G77)=0,"",ROUND($G77*$I77*$K77,0))</f>
        <v/>
      </c>
      <c r="O77" s="39" t="str">
        <f aca="false">IF(SUM($G77)=0,"",ROUND($G77*$I77,0)-$N77)</f>
        <v/>
      </c>
      <c r="P77" s="10" t="n">
        <v>23</v>
      </c>
      <c r="Q77" s="10"/>
      <c r="R77" s="10" t="n">
        <v>3</v>
      </c>
      <c r="S77" s="10" t="n">
        <f aca="false">IFERROR(1/(1/SUM($P77,$R77,$Q77)),"")</f>
        <v>26</v>
      </c>
      <c r="T77" s="88" t="str">
        <f aca="false">IF(SUM($F77)=0,"",MIN($S77/$F77,1))</f>
        <v/>
      </c>
      <c r="U77" s="88" t="n">
        <f aca="false">1</f>
        <v>1</v>
      </c>
      <c r="V77" s="88" t="n">
        <f aca="false">1</f>
        <v>1</v>
      </c>
      <c r="W77" s="39" t="str">
        <f aca="false">IF(SUM($M77)=0,"",IF($T77="","ENTER ELIGIBILITY RATE",IF($U77 = "","ENTER INITIATION RATE",ROUND($M77*$T77*$U77,0))))</f>
        <v/>
      </c>
      <c r="X77" s="39" t="str">
        <f aca="false">IF(SUM($O77)=0,"",IF($V77="","ENTER INITIATION RATE",ROUND($O77*$V77,0)))</f>
        <v/>
      </c>
      <c r="Y77" s="88" t="n">
        <f aca="false">0.9</f>
        <v>0.9</v>
      </c>
      <c r="Z77" s="39" t="str">
        <f aca="false">IF(SUM($W77)=0,"",IF($Y77="","ENTER COMPLETION RATE",ROUND($W77*$Y77,0)))</f>
        <v/>
      </c>
      <c r="AA77" s="39" t="str">
        <f aca="false">IF(SUM($X77)=0,"",IF($X77="","ENTER COMPLETION RATE",ROUND($X77*$Y77,0)))</f>
        <v/>
      </c>
      <c r="AB77" s="88" t="str">
        <f aca="false">IF(SUM($Q77)=0,"",(SUM($Z77)-$Q77)/$Q77)</f>
        <v/>
      </c>
      <c r="AC77" s="88" t="n">
        <f aca="false">IF(SUM($R77)=0,"",(SUM($AA77)-$R77)/$R77)</f>
        <v>-1</v>
      </c>
    </row>
    <row r="78" customFormat="false" ht="15" hidden="false" customHeight="false" outlineLevel="0" collapsed="false">
      <c r="A78" s="0" t="str">
        <f aca="false">INDEX(Prioritization!$D:$D,MATCH($B78,Prioritization!$A:$A,0))</f>
        <v>INVALID</v>
      </c>
      <c r="B78" s="0" t="s">
        <v>209</v>
      </c>
      <c r="C78" s="0" t="s">
        <v>808</v>
      </c>
      <c r="D78" s="0" t="s">
        <v>48</v>
      </c>
      <c r="E78" s="0" t="str">
        <f aca="false">B78&amp;"|"&amp;C78&amp;"|"&amp;D78</f>
        <v>Rumphi District [lPTyjLi4w3d]|15+|Male</v>
      </c>
      <c r="F78" s="10" t="str">
        <f aca="false">IFERROR(1/(1/SUM(SUMIFS(Cascade!$O:$O,Cascade!$B:$B,$B78,Cascade!$C:$C,IF($C78="&lt;15",{"=&lt;01","01-09","10-14"},{"15-24","25-34","35-49","50+"}),Cascade!$D:$D,$D78))),"")</f>
        <v/>
      </c>
      <c r="G78" s="10" t="str">
        <f aca="false">IFERROR(1/(1/SUM(SUMIFS(Cascade!$AX:$AX,Cascade!$B:$B,$B78,Cascade!$C:$C,IF($C78="&lt;15",{"=&lt;01","01-09","10-14"},{"15-24","25-34","35-49","50+"}),Cascade!$D:$D,$D78))),"")</f>
        <v/>
      </c>
      <c r="H78" s="88" t="n">
        <f aca="false">1</f>
        <v>1</v>
      </c>
      <c r="I78" s="88" t="n">
        <f aca="false">1</f>
        <v>1</v>
      </c>
      <c r="J78" s="88"/>
      <c r="K78" s="88"/>
      <c r="L78" s="39" t="str">
        <f aca="false">IF(SUM($F78)=0,"",ROUND($F78*$H78*$J78,0))</f>
        <v/>
      </c>
      <c r="M78" s="39" t="str">
        <f aca="false">IF(SUM($F78)=0,"",ROUND($F78*$H78,0)-$L78)</f>
        <v/>
      </c>
      <c r="N78" s="39" t="str">
        <f aca="false">IF(SUM($G78)=0,"",ROUND($G78*$I78*$K78,0))</f>
        <v/>
      </c>
      <c r="O78" s="39" t="str">
        <f aca="false">IF(SUM($G78)=0,"",ROUND($G78*$I78,0)-$N78)</f>
        <v/>
      </c>
      <c r="P78" s="10" t="n">
        <v>26</v>
      </c>
      <c r="Q78" s="10"/>
      <c r="R78" s="10" t="n">
        <v>4</v>
      </c>
      <c r="S78" s="10" t="n">
        <f aca="false">IFERROR(1/(1/SUM($P78,$R78,$Q78)),"")</f>
        <v>30</v>
      </c>
      <c r="T78" s="88" t="str">
        <f aca="false">IF(SUM($F78)=0,"",MIN($S78/$F78,1))</f>
        <v/>
      </c>
      <c r="U78" s="88" t="n">
        <f aca="false">1</f>
        <v>1</v>
      </c>
      <c r="V78" s="88" t="n">
        <f aca="false">1</f>
        <v>1</v>
      </c>
      <c r="W78" s="39" t="str">
        <f aca="false">IF(SUM($M78)=0,"",IF($T78="","ENTER ELIGIBILITY RATE",IF($U78 = "","ENTER INITIATION RATE",ROUND($M78*$T78*$U78,0))))</f>
        <v/>
      </c>
      <c r="X78" s="39" t="str">
        <f aca="false">IF(SUM($O78)=0,"",IF($V78="","ENTER INITIATION RATE",ROUND($O78*$V78,0)))</f>
        <v/>
      </c>
      <c r="Y78" s="88" t="n">
        <f aca="false">0.9</f>
        <v>0.9</v>
      </c>
      <c r="Z78" s="39" t="str">
        <f aca="false">IF(SUM($W78)=0,"",IF($Y78="","ENTER COMPLETION RATE",ROUND($W78*$Y78,0)))</f>
        <v/>
      </c>
      <c r="AA78" s="39" t="str">
        <f aca="false">IF(SUM($X78)=0,"",IF($X78="","ENTER COMPLETION RATE",ROUND($X78*$Y78,0)))</f>
        <v/>
      </c>
      <c r="AB78" s="88" t="str">
        <f aca="false">IF(SUM($Q78)=0,"",(SUM($Z78)-$Q78)/$Q78)</f>
        <v/>
      </c>
      <c r="AC78" s="88" t="n">
        <f aca="false">IF(SUM($R78)=0,"",(SUM($AA78)-$R78)/$R78)</f>
        <v>-1</v>
      </c>
    </row>
    <row r="79" customFormat="false" ht="15" hidden="false" customHeight="false" outlineLevel="0" collapsed="false">
      <c r="A79" s="0" t="str">
        <f aca="false">INDEX(Prioritization!$D:$D,MATCH($B79,Prioritization!$A:$A,0))</f>
        <v>1 - Scale-up: Saturation</v>
      </c>
      <c r="B79" s="0" t="s">
        <v>210</v>
      </c>
      <c r="C79" s="0" t="s">
        <v>807</v>
      </c>
      <c r="D79" s="0" t="s">
        <v>30</v>
      </c>
      <c r="E79" s="0" t="str">
        <f aca="false">B79&amp;"|"&amp;C79&amp;"|"&amp;D79</f>
        <v>Balaka District [ir8wuHHzoSs]|&lt;15|Female</v>
      </c>
      <c r="F79" s="10" t="n">
        <f aca="false">IFERROR(1/(1/SUM(SUMIFS(Cascade!$O:$O,Cascade!$B:$B,$B79,Cascade!$C:$C,IF($C79="&lt;15",{"=&lt;01","01-09","10-14"},{"15-24","25-34","35-49","50+"}),Cascade!$D:$D,$D79))),"")</f>
        <v>1</v>
      </c>
      <c r="G79" s="10" t="n">
        <f aca="false">IFERROR(1/(1/SUM(SUMIFS(Cascade!$AX:$AX,Cascade!$B:$B,$B79,Cascade!$C:$C,IF($C79="&lt;15",{"=&lt;01","01-09","10-14"},{"15-24","25-34","35-49","50+"}),Cascade!$D:$D,$D79))),"")</f>
        <v>1</v>
      </c>
      <c r="H79" s="88" t="n">
        <f aca="false">1</f>
        <v>1</v>
      </c>
      <c r="I79" s="88" t="n">
        <f aca="false">1</f>
        <v>1</v>
      </c>
      <c r="J79" s="88"/>
      <c r="K79" s="88"/>
      <c r="L79" s="39" t="n">
        <f aca="false">IF(SUM($F79)=0,"",ROUND($F79*$H79*$J79,0))</f>
        <v>0</v>
      </c>
      <c r="M79" s="39" t="n">
        <f aca="false">IF(SUM($F79)=0,"",ROUND($F79*$H79,0)-$L79)</f>
        <v>1</v>
      </c>
      <c r="N79" s="39" t="n">
        <f aca="false">IF(SUM($G79)=0,"",ROUND($G79*$I79*$K79,0))</f>
        <v>0</v>
      </c>
      <c r="O79" s="39" t="n">
        <f aca="false">IF(SUM($G79)=0,"",ROUND($G79*$I79,0)-$N79)</f>
        <v>1</v>
      </c>
      <c r="P79" s="10" t="n">
        <v>8</v>
      </c>
      <c r="Q79" s="10"/>
      <c r="R79" s="10" t="n">
        <v>9</v>
      </c>
      <c r="S79" s="10" t="n">
        <f aca="false">IFERROR(1/(1/SUM($P79,$R79,$Q79)),"")</f>
        <v>17</v>
      </c>
      <c r="T79" s="88" t="n">
        <f aca="false">IF(SUM($F79)=0,"",MIN($S79/$F79,1))</f>
        <v>1</v>
      </c>
      <c r="U79" s="88" t="n">
        <f aca="false">1</f>
        <v>1</v>
      </c>
      <c r="V79" s="88" t="n">
        <f aca="false">1</f>
        <v>1</v>
      </c>
      <c r="W79" s="39" t="n">
        <f aca="false">IF(SUM($M79)=0,"",IF($T79="","ENTER ELIGIBILITY RATE",IF($U79 = "","ENTER INITIATION RATE",ROUND($M79*$T79*$U79,0))))</f>
        <v>1</v>
      </c>
      <c r="X79" s="39" t="n">
        <f aca="false">IF(SUM($O79)=0,"",IF($V79="","ENTER INITIATION RATE",ROUND($O79*$V79,0)))</f>
        <v>1</v>
      </c>
      <c r="Y79" s="88" t="n">
        <f aca="false">0.9</f>
        <v>0.9</v>
      </c>
      <c r="Z79" s="39" t="n">
        <f aca="false">IF(SUM($W79)=0,"",IF($Y79="","ENTER COMPLETION RATE",ROUND($W79*$Y79,0)))</f>
        <v>1</v>
      </c>
      <c r="AA79" s="39" t="n">
        <f aca="false">IF(SUM($X79)=0,"",IF($X79="","ENTER COMPLETION RATE",ROUND($X79*$Y79,0)))</f>
        <v>1</v>
      </c>
      <c r="AB79" s="88" t="str">
        <f aca="false">IF(SUM($Q79)=0,"",(SUM($Z79)-$Q79)/$Q79)</f>
        <v/>
      </c>
      <c r="AC79" s="88" t="n">
        <f aca="false">IF(SUM($R79)=0,"",(SUM($AA79)-$R79)/$R79)</f>
        <v>-0.888888888888889</v>
      </c>
    </row>
    <row r="80" customFormat="false" ht="15" hidden="false" customHeight="false" outlineLevel="0" collapsed="false">
      <c r="A80" s="0" t="str">
        <f aca="false">INDEX(Prioritization!$D:$D,MATCH($B80,Prioritization!$A:$A,0))</f>
        <v>1 - Scale-up: Saturation</v>
      </c>
      <c r="B80" s="0" t="s">
        <v>210</v>
      </c>
      <c r="C80" s="0" t="s">
        <v>807</v>
      </c>
      <c r="D80" s="0" t="s">
        <v>48</v>
      </c>
      <c r="E80" s="0" t="str">
        <f aca="false">B80&amp;"|"&amp;C80&amp;"|"&amp;D80</f>
        <v>Balaka District [ir8wuHHzoSs]|&lt;15|Male</v>
      </c>
      <c r="F80" s="10" t="n">
        <f aca="false">IFERROR(1/(1/SUM(SUMIFS(Cascade!$O:$O,Cascade!$B:$B,$B80,Cascade!$C:$C,IF($C80="&lt;15",{"=&lt;01","01-09","10-14"},{"15-24","25-34","35-49","50+"}),Cascade!$D:$D,$D80))),"")</f>
        <v>1</v>
      </c>
      <c r="G80" s="10" t="n">
        <f aca="false">IFERROR(1/(1/SUM(SUMIFS(Cascade!$AX:$AX,Cascade!$B:$B,$B80,Cascade!$C:$C,IF($C80="&lt;15",{"=&lt;01","01-09","10-14"},{"15-24","25-34","35-49","50+"}),Cascade!$D:$D,$D80))),"")</f>
        <v>1</v>
      </c>
      <c r="H80" s="88" t="n">
        <f aca="false">1</f>
        <v>1</v>
      </c>
      <c r="I80" s="88" t="n">
        <f aca="false">1</f>
        <v>1</v>
      </c>
      <c r="J80" s="88"/>
      <c r="K80" s="88"/>
      <c r="L80" s="39" t="n">
        <f aca="false">IF(SUM($F80)=0,"",ROUND($F80*$H80*$J80,0))</f>
        <v>0</v>
      </c>
      <c r="M80" s="39" t="n">
        <f aca="false">IF(SUM($F80)=0,"",ROUND($F80*$H80,0)-$L80)</f>
        <v>1</v>
      </c>
      <c r="N80" s="39" t="n">
        <f aca="false">IF(SUM($G80)=0,"",ROUND($G80*$I80*$K80,0))</f>
        <v>0</v>
      </c>
      <c r="O80" s="39" t="n">
        <f aca="false">IF(SUM($G80)=0,"",ROUND($G80*$I80,0)-$N80)</f>
        <v>1</v>
      </c>
      <c r="P80" s="10" t="n">
        <v>6</v>
      </c>
      <c r="Q80" s="10"/>
      <c r="R80" s="10" t="n">
        <v>0</v>
      </c>
      <c r="S80" s="10" t="n">
        <f aca="false">IFERROR(1/(1/SUM($P80,$R80,$Q80)),"")</f>
        <v>6</v>
      </c>
      <c r="T80" s="88" t="n">
        <f aca="false">IF(SUM($F80)=0,"",MIN($S80/$F80,1))</f>
        <v>1</v>
      </c>
      <c r="U80" s="88" t="n">
        <f aca="false">1</f>
        <v>1</v>
      </c>
      <c r="V80" s="88" t="n">
        <f aca="false">1</f>
        <v>1</v>
      </c>
      <c r="W80" s="39" t="n">
        <f aca="false">IF(SUM($M80)=0,"",IF($T80="","ENTER ELIGIBILITY RATE",IF($U80 = "","ENTER INITIATION RATE",ROUND($M80*$T80*$U80,0))))</f>
        <v>1</v>
      </c>
      <c r="X80" s="39" t="n">
        <f aca="false">IF(SUM($O80)=0,"",IF($V80="","ENTER INITIATION RATE",ROUND($O80*$V80,0)))</f>
        <v>1</v>
      </c>
      <c r="Y80" s="88" t="n">
        <f aca="false">0.9</f>
        <v>0.9</v>
      </c>
      <c r="Z80" s="39" t="n">
        <f aca="false">IF(SUM($W80)=0,"",IF($Y80="","ENTER COMPLETION RATE",ROUND($W80*$Y80,0)))</f>
        <v>1</v>
      </c>
      <c r="AA80" s="39" t="n">
        <f aca="false">IF(SUM($X80)=0,"",IF($X80="","ENTER COMPLETION RATE",ROUND($X80*$Y80,0)))</f>
        <v>1</v>
      </c>
      <c r="AB80" s="88" t="str">
        <f aca="false">IF(SUM($Q80)=0,"",(SUM($Z80)-$Q80)/$Q80)</f>
        <v/>
      </c>
      <c r="AC80" s="88" t="str">
        <f aca="false">IF(SUM($R80)=0,"",(SUM($AA80)-$R80)/$R80)</f>
        <v/>
      </c>
    </row>
    <row r="81" customFormat="false" ht="15" hidden="false" customHeight="false" outlineLevel="0" collapsed="false">
      <c r="A81" s="0" t="str">
        <f aca="false">INDEX(Prioritization!$D:$D,MATCH($B81,Prioritization!$A:$A,0))</f>
        <v>1 - Scale-up: Saturation</v>
      </c>
      <c r="B81" s="0" t="s">
        <v>210</v>
      </c>
      <c r="C81" s="0" t="s">
        <v>808</v>
      </c>
      <c r="D81" s="0" t="s">
        <v>30</v>
      </c>
      <c r="E81" s="0" t="str">
        <f aca="false">B81&amp;"|"&amp;C81&amp;"|"&amp;D81</f>
        <v>Balaka District [ir8wuHHzoSs]|15+|Female</v>
      </c>
      <c r="F81" s="10" t="str">
        <f aca="false">IFERROR(1/(1/SUM(SUMIFS(Cascade!$O:$O,Cascade!$B:$B,$B81,Cascade!$C:$C,IF($C81="&lt;15",{"=&lt;01","01-09","10-14"},{"15-24","25-34","35-49","50+"}),Cascade!$D:$D,$D81))),"")</f>
        <v/>
      </c>
      <c r="G81" s="10" t="str">
        <f aca="false">IFERROR(1/(1/SUM(SUMIFS(Cascade!$AX:$AX,Cascade!$B:$B,$B81,Cascade!$C:$C,IF($C81="&lt;15",{"=&lt;01","01-09","10-14"},{"15-24","25-34","35-49","50+"}),Cascade!$D:$D,$D81))),"")</f>
        <v/>
      </c>
      <c r="H81" s="88" t="n">
        <f aca="false">1</f>
        <v>1</v>
      </c>
      <c r="I81" s="88" t="n">
        <f aca="false">1</f>
        <v>1</v>
      </c>
      <c r="J81" s="88"/>
      <c r="K81" s="88"/>
      <c r="L81" s="39" t="str">
        <f aca="false">IF(SUM($F81)=0,"",ROUND($F81*$H81*$J81,0))</f>
        <v/>
      </c>
      <c r="M81" s="39" t="str">
        <f aca="false">IF(SUM($F81)=0,"",ROUND($F81*$H81,0)-$L81)</f>
        <v/>
      </c>
      <c r="N81" s="39" t="str">
        <f aca="false">IF(SUM($G81)=0,"",ROUND($G81*$I81*$K81,0))</f>
        <v/>
      </c>
      <c r="O81" s="39" t="str">
        <f aca="false">IF(SUM($G81)=0,"",ROUND($G81*$I81,0)-$N81)</f>
        <v/>
      </c>
      <c r="P81" s="10" t="n">
        <v>56</v>
      </c>
      <c r="Q81" s="10"/>
      <c r="R81" s="10" t="n">
        <v>20</v>
      </c>
      <c r="S81" s="10" t="n">
        <f aca="false">IFERROR(1/(1/SUM($P81,$R81,$Q81)),"")</f>
        <v>76</v>
      </c>
      <c r="T81" s="88" t="str">
        <f aca="false">IF(SUM($F81)=0,"",MIN($S81/$F81,1))</f>
        <v/>
      </c>
      <c r="U81" s="88" t="n">
        <f aca="false">1</f>
        <v>1</v>
      </c>
      <c r="V81" s="88" t="n">
        <f aca="false">1</f>
        <v>1</v>
      </c>
      <c r="W81" s="39" t="str">
        <f aca="false">IF(SUM($M81)=0,"",IF($T81="","ENTER ELIGIBILITY RATE",IF($U81 = "","ENTER INITIATION RATE",ROUND($M81*$T81*$U81,0))))</f>
        <v/>
      </c>
      <c r="X81" s="39" t="str">
        <f aca="false">IF(SUM($O81)=0,"",IF($V81="","ENTER INITIATION RATE",ROUND($O81*$V81,0)))</f>
        <v/>
      </c>
      <c r="Y81" s="88" t="n">
        <f aca="false">0.9</f>
        <v>0.9</v>
      </c>
      <c r="Z81" s="39" t="str">
        <f aca="false">IF(SUM($W81)=0,"",IF($Y81="","ENTER COMPLETION RATE",ROUND($W81*$Y81,0)))</f>
        <v/>
      </c>
      <c r="AA81" s="39" t="str">
        <f aca="false">IF(SUM($X81)=0,"",IF($X81="","ENTER COMPLETION RATE",ROUND($X81*$Y81,0)))</f>
        <v/>
      </c>
      <c r="AB81" s="88" t="str">
        <f aca="false">IF(SUM($Q81)=0,"",(SUM($Z81)-$Q81)/$Q81)</f>
        <v/>
      </c>
      <c r="AC81" s="88" t="n">
        <f aca="false">IF(SUM($R81)=0,"",(SUM($AA81)-$R81)/$R81)</f>
        <v>-1</v>
      </c>
    </row>
    <row r="82" customFormat="false" ht="15" hidden="false" customHeight="false" outlineLevel="0" collapsed="false">
      <c r="A82" s="0" t="str">
        <f aca="false">INDEX(Prioritization!$D:$D,MATCH($B82,Prioritization!$A:$A,0))</f>
        <v>1 - Scale-up: Saturation</v>
      </c>
      <c r="B82" s="0" t="s">
        <v>210</v>
      </c>
      <c r="C82" s="0" t="s">
        <v>808</v>
      </c>
      <c r="D82" s="0" t="s">
        <v>48</v>
      </c>
      <c r="E82" s="0" t="str">
        <f aca="false">B82&amp;"|"&amp;C82&amp;"|"&amp;D82</f>
        <v>Balaka District [ir8wuHHzoSs]|15+|Male</v>
      </c>
      <c r="F82" s="10" t="str">
        <f aca="false">IFERROR(1/(1/SUM(SUMIFS(Cascade!$O:$O,Cascade!$B:$B,$B82,Cascade!$C:$C,IF($C82="&lt;15",{"=&lt;01","01-09","10-14"},{"15-24","25-34","35-49","50+"}),Cascade!$D:$D,$D82))),"")</f>
        <v/>
      </c>
      <c r="G82" s="10" t="str">
        <f aca="false">IFERROR(1/(1/SUM(SUMIFS(Cascade!$AX:$AX,Cascade!$B:$B,$B82,Cascade!$C:$C,IF($C82="&lt;15",{"=&lt;01","01-09","10-14"},{"15-24","25-34","35-49","50+"}),Cascade!$D:$D,$D82))),"")</f>
        <v/>
      </c>
      <c r="H82" s="88" t="n">
        <f aca="false">1</f>
        <v>1</v>
      </c>
      <c r="I82" s="88" t="n">
        <f aca="false">1</f>
        <v>1</v>
      </c>
      <c r="J82" s="88"/>
      <c r="K82" s="88"/>
      <c r="L82" s="39" t="str">
        <f aca="false">IF(SUM($F82)=0,"",ROUND($F82*$H82*$J82,0))</f>
        <v/>
      </c>
      <c r="M82" s="39" t="str">
        <f aca="false">IF(SUM($F82)=0,"",ROUND($F82*$H82,0)-$L82)</f>
        <v/>
      </c>
      <c r="N82" s="39" t="str">
        <f aca="false">IF(SUM($G82)=0,"",ROUND($G82*$I82*$K82,0))</f>
        <v/>
      </c>
      <c r="O82" s="39" t="str">
        <f aca="false">IF(SUM($G82)=0,"",ROUND($G82*$I82,0)-$N82)</f>
        <v/>
      </c>
      <c r="P82" s="10" t="n">
        <v>70</v>
      </c>
      <c r="Q82" s="10"/>
      <c r="R82" s="10" t="n">
        <v>81</v>
      </c>
      <c r="S82" s="10" t="n">
        <f aca="false">IFERROR(1/(1/SUM($P82,$R82,$Q82)),"")</f>
        <v>151</v>
      </c>
      <c r="T82" s="88" t="str">
        <f aca="false">IF(SUM($F82)=0,"",MIN($S82/$F82,1))</f>
        <v/>
      </c>
      <c r="U82" s="88" t="n">
        <f aca="false">1</f>
        <v>1</v>
      </c>
      <c r="V82" s="88" t="n">
        <f aca="false">1</f>
        <v>1</v>
      </c>
      <c r="W82" s="39" t="str">
        <f aca="false">IF(SUM($M82)=0,"",IF($T82="","ENTER ELIGIBILITY RATE",IF($U82 = "","ENTER INITIATION RATE",ROUND($M82*$T82*$U82,0))))</f>
        <v/>
      </c>
      <c r="X82" s="39" t="str">
        <f aca="false">IF(SUM($O82)=0,"",IF($V82="","ENTER INITIATION RATE",ROUND($O82*$V82,0)))</f>
        <v/>
      </c>
      <c r="Y82" s="88" t="n">
        <f aca="false">0.9</f>
        <v>0.9</v>
      </c>
      <c r="Z82" s="39" t="str">
        <f aca="false">IF(SUM($W82)=0,"",IF($Y82="","ENTER COMPLETION RATE",ROUND($W82*$Y82,0)))</f>
        <v/>
      </c>
      <c r="AA82" s="39" t="str">
        <f aca="false">IF(SUM($X82)=0,"",IF($X82="","ENTER COMPLETION RATE",ROUND($X82*$Y82,0)))</f>
        <v/>
      </c>
      <c r="AB82" s="88" t="str">
        <f aca="false">IF(SUM($Q82)=0,"",(SUM($Z82)-$Q82)/$Q82)</f>
        <v/>
      </c>
      <c r="AC82" s="88" t="n">
        <f aca="false">IF(SUM($R82)=0,"",(SUM($AA82)-$R82)/$R82)</f>
        <v>-1</v>
      </c>
    </row>
    <row r="83" customFormat="false" ht="15" hidden="false" customHeight="false" outlineLevel="0" collapsed="false">
      <c r="A83" s="0" t="str">
        <f aca="false">INDEX(Prioritization!$D:$D,MATCH($B83,Prioritization!$A:$A,0))</f>
        <v>1 - Scale-up: Saturation</v>
      </c>
      <c r="B83" s="0" t="s">
        <v>211</v>
      </c>
      <c r="C83" s="0" t="s">
        <v>807</v>
      </c>
      <c r="D83" s="0" t="s">
        <v>30</v>
      </c>
      <c r="E83" s="0" t="str">
        <f aca="false">B83&amp;"|"&amp;C83&amp;"|"&amp;D83</f>
        <v>Blantyre District [mxqa3CDFmIT]|&lt;15|Female</v>
      </c>
      <c r="F83" s="10" t="n">
        <f aca="false">IFERROR(1/(1/SUM(SUMIFS(Cascade!$O:$O,Cascade!$B:$B,$B83,Cascade!$C:$C,IF($C83="&lt;15",{"=&lt;01","01-09","10-14"},{"15-24","25-34","35-49","50+"}),Cascade!$D:$D,$D83))),"")</f>
        <v>5</v>
      </c>
      <c r="G83" s="10" t="n">
        <f aca="false">IFERROR(1/(1/SUM(SUMIFS(Cascade!$AX:$AX,Cascade!$B:$B,$B83,Cascade!$C:$C,IF($C83="&lt;15",{"=&lt;01","01-09","10-14"},{"15-24","25-34","35-49","50+"}),Cascade!$D:$D,$D83))),"")</f>
        <v>1</v>
      </c>
      <c r="H83" s="88" t="n">
        <f aca="false">1</f>
        <v>1</v>
      </c>
      <c r="I83" s="88" t="n">
        <f aca="false">1</f>
        <v>1</v>
      </c>
      <c r="J83" s="88"/>
      <c r="K83" s="88"/>
      <c r="L83" s="39" t="n">
        <f aca="false">IF(SUM($F83)=0,"",ROUND($F83*$H83*$J83,0))</f>
        <v>0</v>
      </c>
      <c r="M83" s="39" t="n">
        <f aca="false">IF(SUM($F83)=0,"",ROUND($F83*$H83,0)-$L83)</f>
        <v>5</v>
      </c>
      <c r="N83" s="39" t="n">
        <f aca="false">IF(SUM($G83)=0,"",ROUND($G83*$I83*$K83,0))</f>
        <v>0</v>
      </c>
      <c r="O83" s="39" t="n">
        <f aca="false">IF(SUM($G83)=0,"",ROUND($G83*$I83,0)-$N83)</f>
        <v>1</v>
      </c>
      <c r="P83" s="10" t="n">
        <v>912</v>
      </c>
      <c r="Q83" s="10"/>
      <c r="R83" s="10" t="n">
        <v>94</v>
      </c>
      <c r="S83" s="10" t="n">
        <f aca="false">IFERROR(1/(1/SUM($P83,$R83,$Q83)),"")</f>
        <v>1006</v>
      </c>
      <c r="T83" s="88" t="n">
        <f aca="false">IF(SUM($F83)=0,"",MIN($S83/$F83,1))</f>
        <v>1</v>
      </c>
      <c r="U83" s="88" t="n">
        <f aca="false">1</f>
        <v>1</v>
      </c>
      <c r="V83" s="88" t="n">
        <f aca="false">1</f>
        <v>1</v>
      </c>
      <c r="W83" s="39" t="n">
        <f aca="false">IF(SUM($M83)=0,"",IF($T83="","ENTER ELIGIBILITY RATE",IF($U83 = "","ENTER INITIATION RATE",ROUND($M83*$T83*$U83,0))))</f>
        <v>5</v>
      </c>
      <c r="X83" s="39" t="n">
        <f aca="false">IF(SUM($O83)=0,"",IF($V83="","ENTER INITIATION RATE",ROUND($O83*$V83,0)))</f>
        <v>1</v>
      </c>
      <c r="Y83" s="88" t="n">
        <f aca="false">0.9</f>
        <v>0.9</v>
      </c>
      <c r="Z83" s="39" t="n">
        <f aca="false">IF(SUM($W83)=0,"",IF($Y83="","ENTER COMPLETION RATE",ROUND($W83*$Y83,0)))</f>
        <v>5</v>
      </c>
      <c r="AA83" s="39" t="n">
        <f aca="false">IF(SUM($X83)=0,"",IF($X83="","ENTER COMPLETION RATE",ROUND($X83*$Y83,0)))</f>
        <v>1</v>
      </c>
      <c r="AB83" s="88" t="str">
        <f aca="false">IF(SUM($Q83)=0,"",(SUM($Z83)-$Q83)/$Q83)</f>
        <v/>
      </c>
      <c r="AC83" s="88" t="n">
        <f aca="false">IF(SUM($R83)=0,"",(SUM($AA83)-$R83)/$R83)</f>
        <v>-0.98936170212766</v>
      </c>
    </row>
    <row r="84" customFormat="false" ht="15" hidden="false" customHeight="false" outlineLevel="0" collapsed="false">
      <c r="A84" s="0" t="str">
        <f aca="false">INDEX(Prioritization!$D:$D,MATCH($B84,Prioritization!$A:$A,0))</f>
        <v>1 - Scale-up: Saturation</v>
      </c>
      <c r="B84" s="0" t="s">
        <v>211</v>
      </c>
      <c r="C84" s="0" t="s">
        <v>807</v>
      </c>
      <c r="D84" s="0" t="s">
        <v>48</v>
      </c>
      <c r="E84" s="0" t="str">
        <f aca="false">B84&amp;"|"&amp;C84&amp;"|"&amp;D84</f>
        <v>Blantyre District [mxqa3CDFmIT]|&lt;15|Male</v>
      </c>
      <c r="F84" s="10" t="n">
        <f aca="false">IFERROR(1/(1/SUM(SUMIFS(Cascade!$O:$O,Cascade!$B:$B,$B84,Cascade!$C:$C,IF($C84="&lt;15",{"=&lt;01","01-09","10-14"},{"15-24","25-34","35-49","50+"}),Cascade!$D:$D,$D84))),"")</f>
        <v>5</v>
      </c>
      <c r="G84" s="10" t="n">
        <f aca="false">IFERROR(1/(1/SUM(SUMIFS(Cascade!$AX:$AX,Cascade!$B:$B,$B84,Cascade!$C:$C,IF($C84="&lt;15",{"=&lt;01","01-09","10-14"},{"15-24","25-34","35-49","50+"}),Cascade!$D:$D,$D84))),"")</f>
        <v>1</v>
      </c>
      <c r="H84" s="88" t="n">
        <f aca="false">1</f>
        <v>1</v>
      </c>
      <c r="I84" s="88" t="n">
        <f aca="false">1</f>
        <v>1</v>
      </c>
      <c r="J84" s="88"/>
      <c r="K84" s="88"/>
      <c r="L84" s="39" t="n">
        <f aca="false">IF(SUM($F84)=0,"",ROUND($F84*$H84*$J84,0))</f>
        <v>0</v>
      </c>
      <c r="M84" s="39" t="n">
        <f aca="false">IF(SUM($F84)=0,"",ROUND($F84*$H84,0)-$L84)</f>
        <v>5</v>
      </c>
      <c r="N84" s="39" t="n">
        <f aca="false">IF(SUM($G84)=0,"",ROUND($G84*$I84*$K84,0))</f>
        <v>0</v>
      </c>
      <c r="O84" s="39" t="n">
        <f aca="false">IF(SUM($G84)=0,"",ROUND($G84*$I84,0)-$N84)</f>
        <v>1</v>
      </c>
      <c r="P84" s="10" t="n">
        <v>949</v>
      </c>
      <c r="Q84" s="10"/>
      <c r="R84" s="10" t="n">
        <v>49</v>
      </c>
      <c r="S84" s="10" t="n">
        <f aca="false">IFERROR(1/(1/SUM($P84,$R84,$Q84)),"")</f>
        <v>998</v>
      </c>
      <c r="T84" s="88" t="n">
        <f aca="false">IF(SUM($F84)=0,"",MIN($S84/$F84,1))</f>
        <v>1</v>
      </c>
      <c r="U84" s="88" t="n">
        <f aca="false">1</f>
        <v>1</v>
      </c>
      <c r="V84" s="88" t="n">
        <f aca="false">1</f>
        <v>1</v>
      </c>
      <c r="W84" s="39" t="n">
        <f aca="false">IF(SUM($M84)=0,"",IF($T84="","ENTER ELIGIBILITY RATE",IF($U84 = "","ENTER INITIATION RATE",ROUND($M84*$T84*$U84,0))))</f>
        <v>5</v>
      </c>
      <c r="X84" s="39" t="n">
        <f aca="false">IF(SUM($O84)=0,"",IF($V84="","ENTER INITIATION RATE",ROUND($O84*$V84,0)))</f>
        <v>1</v>
      </c>
      <c r="Y84" s="88" t="n">
        <f aca="false">0.9</f>
        <v>0.9</v>
      </c>
      <c r="Z84" s="39" t="n">
        <f aca="false">IF(SUM($W84)=0,"",IF($Y84="","ENTER COMPLETION RATE",ROUND($W84*$Y84,0)))</f>
        <v>5</v>
      </c>
      <c r="AA84" s="39" t="n">
        <f aca="false">IF(SUM($X84)=0,"",IF($X84="","ENTER COMPLETION RATE",ROUND($X84*$Y84,0)))</f>
        <v>1</v>
      </c>
      <c r="AB84" s="88" t="str">
        <f aca="false">IF(SUM($Q84)=0,"",(SUM($Z84)-$Q84)/$Q84)</f>
        <v/>
      </c>
      <c r="AC84" s="88" t="n">
        <f aca="false">IF(SUM($R84)=0,"",(SUM($AA84)-$R84)/$R84)</f>
        <v>-0.979591836734694</v>
      </c>
    </row>
    <row r="85" customFormat="false" ht="15" hidden="false" customHeight="false" outlineLevel="0" collapsed="false">
      <c r="A85" s="0" t="str">
        <f aca="false">INDEX(Prioritization!$D:$D,MATCH($B85,Prioritization!$A:$A,0))</f>
        <v>1 - Scale-up: Saturation</v>
      </c>
      <c r="B85" s="0" t="s">
        <v>211</v>
      </c>
      <c r="C85" s="0" t="s">
        <v>808</v>
      </c>
      <c r="D85" s="0" t="s">
        <v>30</v>
      </c>
      <c r="E85" s="0" t="str">
        <f aca="false">B85&amp;"|"&amp;C85&amp;"|"&amp;D85</f>
        <v>Blantyre District [mxqa3CDFmIT]|15+|Female</v>
      </c>
      <c r="F85" s="10" t="str">
        <f aca="false">IFERROR(1/(1/SUM(SUMIFS(Cascade!$O:$O,Cascade!$B:$B,$B85,Cascade!$C:$C,IF($C85="&lt;15",{"=&lt;01","01-09","10-14"},{"15-24","25-34","35-49","50+"}),Cascade!$D:$D,$D85))),"")</f>
        <v/>
      </c>
      <c r="G85" s="10" t="str">
        <f aca="false">IFERROR(1/(1/SUM(SUMIFS(Cascade!$AX:$AX,Cascade!$B:$B,$B85,Cascade!$C:$C,IF($C85="&lt;15",{"=&lt;01","01-09","10-14"},{"15-24","25-34","35-49","50+"}),Cascade!$D:$D,$D85))),"")</f>
        <v/>
      </c>
      <c r="H85" s="88" t="n">
        <f aca="false">1</f>
        <v>1</v>
      </c>
      <c r="I85" s="88" t="n">
        <f aca="false">1</f>
        <v>1</v>
      </c>
      <c r="J85" s="88"/>
      <c r="K85" s="88"/>
      <c r="L85" s="39" t="str">
        <f aca="false">IF(SUM($F85)=0,"",ROUND($F85*$H85*$J85,0))</f>
        <v/>
      </c>
      <c r="M85" s="39" t="str">
        <f aca="false">IF(SUM($F85)=0,"",ROUND($F85*$H85,0)-$L85)</f>
        <v/>
      </c>
      <c r="N85" s="39" t="str">
        <f aca="false">IF(SUM($G85)=0,"",ROUND($G85*$I85*$K85,0))</f>
        <v/>
      </c>
      <c r="O85" s="39" t="str">
        <f aca="false">IF(SUM($G85)=0,"",ROUND($G85*$I85,0)-$N85)</f>
        <v/>
      </c>
      <c r="P85" s="10" t="n">
        <v>5982</v>
      </c>
      <c r="Q85" s="10"/>
      <c r="R85" s="10" t="n">
        <v>722</v>
      </c>
      <c r="S85" s="10" t="n">
        <f aca="false">IFERROR(1/(1/SUM($P85,$R85,$Q85)),"")</f>
        <v>6704</v>
      </c>
      <c r="T85" s="88" t="str">
        <f aca="false">IF(SUM($F85)=0,"",MIN($S85/$F85,1))</f>
        <v/>
      </c>
      <c r="U85" s="88" t="n">
        <f aca="false">1</f>
        <v>1</v>
      </c>
      <c r="V85" s="88" t="n">
        <f aca="false">1</f>
        <v>1</v>
      </c>
      <c r="W85" s="39" t="str">
        <f aca="false">IF(SUM($M85)=0,"",IF($T85="","ENTER ELIGIBILITY RATE",IF($U85 = "","ENTER INITIATION RATE",ROUND($M85*$T85*$U85,0))))</f>
        <v/>
      </c>
      <c r="X85" s="39" t="str">
        <f aca="false">IF(SUM($O85)=0,"",IF($V85="","ENTER INITIATION RATE",ROUND($O85*$V85,0)))</f>
        <v/>
      </c>
      <c r="Y85" s="88" t="n">
        <f aca="false">0.9</f>
        <v>0.9</v>
      </c>
      <c r="Z85" s="39" t="str">
        <f aca="false">IF(SUM($W85)=0,"",IF($Y85="","ENTER COMPLETION RATE",ROUND($W85*$Y85,0)))</f>
        <v/>
      </c>
      <c r="AA85" s="39" t="str">
        <f aca="false">IF(SUM($X85)=0,"",IF($X85="","ENTER COMPLETION RATE",ROUND($X85*$Y85,0)))</f>
        <v/>
      </c>
      <c r="AB85" s="88" t="str">
        <f aca="false">IF(SUM($Q85)=0,"",(SUM($Z85)-$Q85)/$Q85)</f>
        <v/>
      </c>
      <c r="AC85" s="88" t="n">
        <f aca="false">IF(SUM($R85)=0,"",(SUM($AA85)-$R85)/$R85)</f>
        <v>-1</v>
      </c>
    </row>
    <row r="86" customFormat="false" ht="15" hidden="false" customHeight="false" outlineLevel="0" collapsed="false">
      <c r="A86" s="0" t="str">
        <f aca="false">INDEX(Prioritization!$D:$D,MATCH($B86,Prioritization!$A:$A,0))</f>
        <v>1 - Scale-up: Saturation</v>
      </c>
      <c r="B86" s="0" t="s">
        <v>211</v>
      </c>
      <c r="C86" s="0" t="s">
        <v>808</v>
      </c>
      <c r="D86" s="0" t="s">
        <v>48</v>
      </c>
      <c r="E86" s="0" t="str">
        <f aca="false">B86&amp;"|"&amp;C86&amp;"|"&amp;D86</f>
        <v>Blantyre District [mxqa3CDFmIT]|15+|Male</v>
      </c>
      <c r="F86" s="10" t="str">
        <f aca="false">IFERROR(1/(1/SUM(SUMIFS(Cascade!$O:$O,Cascade!$B:$B,$B86,Cascade!$C:$C,IF($C86="&lt;15",{"=&lt;01","01-09","10-14"},{"15-24","25-34","35-49","50+"}),Cascade!$D:$D,$D86))),"")</f>
        <v/>
      </c>
      <c r="G86" s="10" t="str">
        <f aca="false">IFERROR(1/(1/SUM(SUMIFS(Cascade!$AX:$AX,Cascade!$B:$B,$B86,Cascade!$C:$C,IF($C86="&lt;15",{"=&lt;01","01-09","10-14"},{"15-24","25-34","35-49","50+"}),Cascade!$D:$D,$D86))),"")</f>
        <v/>
      </c>
      <c r="H86" s="88" t="n">
        <f aca="false">1</f>
        <v>1</v>
      </c>
      <c r="I86" s="88" t="n">
        <f aca="false">1</f>
        <v>1</v>
      </c>
      <c r="J86" s="88"/>
      <c r="K86" s="88"/>
      <c r="L86" s="39" t="str">
        <f aca="false">IF(SUM($F86)=0,"",ROUND($F86*$H86*$J86,0))</f>
        <v/>
      </c>
      <c r="M86" s="39" t="str">
        <f aca="false">IF(SUM($F86)=0,"",ROUND($F86*$H86,0)-$L86)</f>
        <v/>
      </c>
      <c r="N86" s="39" t="str">
        <f aca="false">IF(SUM($G86)=0,"",ROUND($G86*$I86*$K86,0))</f>
        <v/>
      </c>
      <c r="O86" s="39" t="str">
        <f aca="false">IF(SUM($G86)=0,"",ROUND($G86*$I86,0)-$N86)</f>
        <v/>
      </c>
      <c r="P86" s="10" t="n">
        <v>3848</v>
      </c>
      <c r="Q86" s="10"/>
      <c r="R86" s="10" t="n">
        <v>155</v>
      </c>
      <c r="S86" s="10" t="n">
        <f aca="false">IFERROR(1/(1/SUM($P86,$R86,$Q86)),"")</f>
        <v>4003</v>
      </c>
      <c r="T86" s="88" t="str">
        <f aca="false">IF(SUM($F86)=0,"",MIN($S86/$F86,1))</f>
        <v/>
      </c>
      <c r="U86" s="88" t="n">
        <f aca="false">1</f>
        <v>1</v>
      </c>
      <c r="V86" s="88" t="n">
        <f aca="false">1</f>
        <v>1</v>
      </c>
      <c r="W86" s="39" t="str">
        <f aca="false">IF(SUM($M86)=0,"",IF($T86="","ENTER ELIGIBILITY RATE",IF($U86 = "","ENTER INITIATION RATE",ROUND($M86*$T86*$U86,0))))</f>
        <v/>
      </c>
      <c r="X86" s="39" t="str">
        <f aca="false">IF(SUM($O86)=0,"",IF($V86="","ENTER INITIATION RATE",ROUND($O86*$V86,0)))</f>
        <v/>
      </c>
      <c r="Y86" s="88" t="n">
        <f aca="false">0.9</f>
        <v>0.9</v>
      </c>
      <c r="Z86" s="39" t="str">
        <f aca="false">IF(SUM($W86)=0,"",IF($Y86="","ENTER COMPLETION RATE",ROUND($W86*$Y86,0)))</f>
        <v/>
      </c>
      <c r="AA86" s="39" t="str">
        <f aca="false">IF(SUM($X86)=0,"",IF($X86="","ENTER COMPLETION RATE",ROUND($X86*$Y86,0)))</f>
        <v/>
      </c>
      <c r="AB86" s="88" t="str">
        <f aca="false">IF(SUM($Q86)=0,"",(SUM($Z86)-$Q86)/$Q86)</f>
        <v/>
      </c>
      <c r="AC86" s="88" t="n">
        <f aca="false">IF(SUM($R86)=0,"",(SUM($AA86)-$R86)/$R86)</f>
        <v>-1</v>
      </c>
    </row>
    <row r="87" customFormat="false" ht="15" hidden="false" customHeight="false" outlineLevel="0" collapsed="false">
      <c r="A87" s="0" t="str">
        <f aca="false">INDEX(Prioritization!$D:$D,MATCH($B87,Prioritization!$A:$A,0))</f>
        <v>1 - Scale-up: Saturation</v>
      </c>
      <c r="B87" s="0" t="s">
        <v>212</v>
      </c>
      <c r="C87" s="0" t="s">
        <v>807</v>
      </c>
      <c r="D87" s="0" t="s">
        <v>30</v>
      </c>
      <c r="E87" s="0" t="str">
        <f aca="false">B87&amp;"|"&amp;C87&amp;"|"&amp;D87</f>
        <v>Chikwawa District [U8c0so51kT6]|&lt;15|Female</v>
      </c>
      <c r="F87" s="10" t="n">
        <f aca="false">IFERROR(1/(1/SUM(SUMIFS(Cascade!$O:$O,Cascade!$B:$B,$B87,Cascade!$C:$C,IF($C87="&lt;15",{"=&lt;01","01-09","10-14"},{"15-24","25-34","35-49","50+"}),Cascade!$D:$D,$D87))),"")</f>
        <v>1</v>
      </c>
      <c r="G87" s="10" t="n">
        <f aca="false">IFERROR(1/(1/SUM(SUMIFS(Cascade!$AX:$AX,Cascade!$B:$B,$B87,Cascade!$C:$C,IF($C87="&lt;15",{"=&lt;01","01-09","10-14"},{"15-24","25-34","35-49","50+"}),Cascade!$D:$D,$D87))),"")</f>
        <v>4</v>
      </c>
      <c r="H87" s="88" t="n">
        <f aca="false">1</f>
        <v>1</v>
      </c>
      <c r="I87" s="88" t="n">
        <f aca="false">1</f>
        <v>1</v>
      </c>
      <c r="J87" s="88"/>
      <c r="K87" s="88"/>
      <c r="L87" s="39" t="n">
        <f aca="false">IF(SUM($F87)=0,"",ROUND($F87*$H87*$J87,0))</f>
        <v>0</v>
      </c>
      <c r="M87" s="39" t="n">
        <f aca="false">IF(SUM($F87)=0,"",ROUND($F87*$H87,0)-$L87)</f>
        <v>1</v>
      </c>
      <c r="N87" s="39" t="n">
        <f aca="false">IF(SUM($G87)=0,"",ROUND($G87*$I87*$K87,0))</f>
        <v>0</v>
      </c>
      <c r="O87" s="39" t="n">
        <f aca="false">IF(SUM($G87)=0,"",ROUND($G87*$I87,0)-$N87)</f>
        <v>4</v>
      </c>
      <c r="P87" s="10" t="n">
        <v>2</v>
      </c>
      <c r="Q87" s="10"/>
      <c r="R87" s="10" t="n">
        <v>3</v>
      </c>
      <c r="S87" s="10" t="n">
        <f aca="false">IFERROR(1/(1/SUM($P87,$R87,$Q87)),"")</f>
        <v>5</v>
      </c>
      <c r="T87" s="88" t="n">
        <f aca="false">IF(SUM($F87)=0,"",MIN($S87/$F87,1))</f>
        <v>1</v>
      </c>
      <c r="U87" s="88" t="n">
        <f aca="false">1</f>
        <v>1</v>
      </c>
      <c r="V87" s="88" t="n">
        <f aca="false">1</f>
        <v>1</v>
      </c>
      <c r="W87" s="39" t="n">
        <f aca="false">IF(SUM($M87)=0,"",IF($T87="","ENTER ELIGIBILITY RATE",IF($U87 = "","ENTER INITIATION RATE",ROUND($M87*$T87*$U87,0))))</f>
        <v>1</v>
      </c>
      <c r="X87" s="39" t="n">
        <f aca="false">IF(SUM($O87)=0,"",IF($V87="","ENTER INITIATION RATE",ROUND($O87*$V87,0)))</f>
        <v>4</v>
      </c>
      <c r="Y87" s="88" t="n">
        <f aca="false">0.9</f>
        <v>0.9</v>
      </c>
      <c r="Z87" s="39" t="n">
        <f aca="false">IF(SUM($W87)=0,"",IF($Y87="","ENTER COMPLETION RATE",ROUND($W87*$Y87,0)))</f>
        <v>1</v>
      </c>
      <c r="AA87" s="39" t="n">
        <f aca="false">IF(SUM($X87)=0,"",IF($X87="","ENTER COMPLETION RATE",ROUND($X87*$Y87,0)))</f>
        <v>4</v>
      </c>
      <c r="AB87" s="88" t="str">
        <f aca="false">IF(SUM($Q87)=0,"",(SUM($Z87)-$Q87)/$Q87)</f>
        <v/>
      </c>
      <c r="AC87" s="88" t="n">
        <f aca="false">IF(SUM($R87)=0,"",(SUM($AA87)-$R87)/$R87)</f>
        <v>0.333333333333333</v>
      </c>
    </row>
    <row r="88" customFormat="false" ht="15" hidden="false" customHeight="false" outlineLevel="0" collapsed="false">
      <c r="A88" s="0" t="str">
        <f aca="false">INDEX(Prioritization!$D:$D,MATCH($B88,Prioritization!$A:$A,0))</f>
        <v>1 - Scale-up: Saturation</v>
      </c>
      <c r="B88" s="0" t="s">
        <v>212</v>
      </c>
      <c r="C88" s="0" t="s">
        <v>807</v>
      </c>
      <c r="D88" s="0" t="s">
        <v>48</v>
      </c>
      <c r="E88" s="0" t="str">
        <f aca="false">B88&amp;"|"&amp;C88&amp;"|"&amp;D88</f>
        <v>Chikwawa District [U8c0so51kT6]|&lt;15|Male</v>
      </c>
      <c r="F88" s="10" t="n">
        <f aca="false">IFERROR(1/(1/SUM(SUMIFS(Cascade!$O:$O,Cascade!$B:$B,$B88,Cascade!$C:$C,IF($C88="&lt;15",{"=&lt;01","01-09","10-14"},{"15-24","25-34","35-49","50+"}),Cascade!$D:$D,$D88))),"")</f>
        <v>5</v>
      </c>
      <c r="G88" s="10" t="n">
        <f aca="false">IFERROR(1/(1/SUM(SUMIFS(Cascade!$AX:$AX,Cascade!$B:$B,$B88,Cascade!$C:$C,IF($C88="&lt;15",{"=&lt;01","01-09","10-14"},{"15-24","25-34","35-49","50+"}),Cascade!$D:$D,$D88))),"")</f>
        <v>4</v>
      </c>
      <c r="H88" s="88" t="n">
        <f aca="false">1</f>
        <v>1</v>
      </c>
      <c r="I88" s="88" t="n">
        <f aca="false">1</f>
        <v>1</v>
      </c>
      <c r="J88" s="88"/>
      <c r="K88" s="88"/>
      <c r="L88" s="39" t="n">
        <f aca="false">IF(SUM($F88)=0,"",ROUND($F88*$H88*$J88,0))</f>
        <v>0</v>
      </c>
      <c r="M88" s="39" t="n">
        <f aca="false">IF(SUM($F88)=0,"",ROUND($F88*$H88,0)-$L88)</f>
        <v>5</v>
      </c>
      <c r="N88" s="39" t="n">
        <f aca="false">IF(SUM($G88)=0,"",ROUND($G88*$I88*$K88,0))</f>
        <v>0</v>
      </c>
      <c r="O88" s="39" t="n">
        <f aca="false">IF(SUM($G88)=0,"",ROUND($G88*$I88,0)-$N88)</f>
        <v>4</v>
      </c>
      <c r="P88" s="10" t="n">
        <v>4</v>
      </c>
      <c r="Q88" s="10"/>
      <c r="R88" s="10" t="n">
        <v>6</v>
      </c>
      <c r="S88" s="10" t="n">
        <f aca="false">IFERROR(1/(1/SUM($P88,$R88,$Q88)),"")</f>
        <v>10</v>
      </c>
      <c r="T88" s="88" t="n">
        <f aca="false">IF(SUM($F88)=0,"",MIN($S88/$F88,1))</f>
        <v>1</v>
      </c>
      <c r="U88" s="88" t="n">
        <f aca="false">1</f>
        <v>1</v>
      </c>
      <c r="V88" s="88" t="n">
        <f aca="false">1</f>
        <v>1</v>
      </c>
      <c r="W88" s="39" t="n">
        <f aca="false">IF(SUM($M88)=0,"",IF($T88="","ENTER ELIGIBILITY RATE",IF($U88 = "","ENTER INITIATION RATE",ROUND($M88*$T88*$U88,0))))</f>
        <v>5</v>
      </c>
      <c r="X88" s="39" t="n">
        <f aca="false">IF(SUM($O88)=0,"",IF($V88="","ENTER INITIATION RATE",ROUND($O88*$V88,0)))</f>
        <v>4</v>
      </c>
      <c r="Y88" s="88" t="n">
        <f aca="false">0.9</f>
        <v>0.9</v>
      </c>
      <c r="Z88" s="39" t="n">
        <f aca="false">IF(SUM($W88)=0,"",IF($Y88="","ENTER COMPLETION RATE",ROUND($W88*$Y88,0)))</f>
        <v>5</v>
      </c>
      <c r="AA88" s="39" t="n">
        <f aca="false">IF(SUM($X88)=0,"",IF($X88="","ENTER COMPLETION RATE",ROUND($X88*$Y88,0)))</f>
        <v>4</v>
      </c>
      <c r="AB88" s="88" t="str">
        <f aca="false">IF(SUM($Q88)=0,"",(SUM($Z88)-$Q88)/$Q88)</f>
        <v/>
      </c>
      <c r="AC88" s="88" t="n">
        <f aca="false">IF(SUM($R88)=0,"",(SUM($AA88)-$R88)/$R88)</f>
        <v>-0.333333333333333</v>
      </c>
    </row>
    <row r="89" customFormat="false" ht="15" hidden="false" customHeight="false" outlineLevel="0" collapsed="false">
      <c r="A89" s="0" t="str">
        <f aca="false">INDEX(Prioritization!$D:$D,MATCH($B89,Prioritization!$A:$A,0))</f>
        <v>1 - Scale-up: Saturation</v>
      </c>
      <c r="B89" s="0" t="s">
        <v>212</v>
      </c>
      <c r="C89" s="0" t="s">
        <v>808</v>
      </c>
      <c r="D89" s="0" t="s">
        <v>30</v>
      </c>
      <c r="E89" s="0" t="str">
        <f aca="false">B89&amp;"|"&amp;C89&amp;"|"&amp;D89</f>
        <v>Chikwawa District [U8c0so51kT6]|15+|Female</v>
      </c>
      <c r="F89" s="10" t="str">
        <f aca="false">IFERROR(1/(1/SUM(SUMIFS(Cascade!$O:$O,Cascade!$B:$B,$B89,Cascade!$C:$C,IF($C89="&lt;15",{"=&lt;01","01-09","10-14"},{"15-24","25-34","35-49","50+"}),Cascade!$D:$D,$D89))),"")</f>
        <v/>
      </c>
      <c r="G89" s="10" t="str">
        <f aca="false">IFERROR(1/(1/SUM(SUMIFS(Cascade!$AX:$AX,Cascade!$B:$B,$B89,Cascade!$C:$C,IF($C89="&lt;15",{"=&lt;01","01-09","10-14"},{"15-24","25-34","35-49","50+"}),Cascade!$D:$D,$D89))),"")</f>
        <v/>
      </c>
      <c r="H89" s="88" t="n">
        <f aca="false">1</f>
        <v>1</v>
      </c>
      <c r="I89" s="88" t="n">
        <f aca="false">1</f>
        <v>1</v>
      </c>
      <c r="J89" s="88"/>
      <c r="K89" s="88"/>
      <c r="L89" s="39" t="str">
        <f aca="false">IF(SUM($F89)=0,"",ROUND($F89*$H89*$J89,0))</f>
        <v/>
      </c>
      <c r="M89" s="39" t="str">
        <f aca="false">IF(SUM($F89)=0,"",ROUND($F89*$H89,0)-$L89)</f>
        <v/>
      </c>
      <c r="N89" s="39" t="str">
        <f aca="false">IF(SUM($G89)=0,"",ROUND($G89*$I89*$K89,0))</f>
        <v/>
      </c>
      <c r="O89" s="39" t="str">
        <f aca="false">IF(SUM($G89)=0,"",ROUND($G89*$I89,0)-$N89)</f>
        <v/>
      </c>
      <c r="P89" s="10" t="n">
        <v>497</v>
      </c>
      <c r="Q89" s="10"/>
      <c r="R89" s="10" t="n">
        <v>17</v>
      </c>
      <c r="S89" s="10" t="n">
        <f aca="false">IFERROR(1/(1/SUM($P89,$R89,$Q89)),"")</f>
        <v>514</v>
      </c>
      <c r="T89" s="88" t="str">
        <f aca="false">IF(SUM($F89)=0,"",MIN($S89/$F89,1))</f>
        <v/>
      </c>
      <c r="U89" s="88" t="n">
        <f aca="false">1</f>
        <v>1</v>
      </c>
      <c r="V89" s="88" t="n">
        <f aca="false">1</f>
        <v>1</v>
      </c>
      <c r="W89" s="39" t="str">
        <f aca="false">IF(SUM($M89)=0,"",IF($T89="","ENTER ELIGIBILITY RATE",IF($U89 = "","ENTER INITIATION RATE",ROUND($M89*$T89*$U89,0))))</f>
        <v/>
      </c>
      <c r="X89" s="39" t="str">
        <f aca="false">IF(SUM($O89)=0,"",IF($V89="","ENTER INITIATION RATE",ROUND($O89*$V89,0)))</f>
        <v/>
      </c>
      <c r="Y89" s="88" t="n">
        <f aca="false">0.9</f>
        <v>0.9</v>
      </c>
      <c r="Z89" s="39" t="str">
        <f aca="false">IF(SUM($W89)=0,"",IF($Y89="","ENTER COMPLETION RATE",ROUND($W89*$Y89,0)))</f>
        <v/>
      </c>
      <c r="AA89" s="39" t="str">
        <f aca="false">IF(SUM($X89)=0,"",IF($X89="","ENTER COMPLETION RATE",ROUND($X89*$Y89,0)))</f>
        <v/>
      </c>
      <c r="AB89" s="88" t="str">
        <f aca="false">IF(SUM($Q89)=0,"",(SUM($Z89)-$Q89)/$Q89)</f>
        <v/>
      </c>
      <c r="AC89" s="88" t="n">
        <f aca="false">IF(SUM($R89)=0,"",(SUM($AA89)-$R89)/$R89)</f>
        <v>-1</v>
      </c>
    </row>
    <row r="90" customFormat="false" ht="15" hidden="false" customHeight="false" outlineLevel="0" collapsed="false">
      <c r="A90" s="0" t="str">
        <f aca="false">INDEX(Prioritization!$D:$D,MATCH($B90,Prioritization!$A:$A,0))</f>
        <v>1 - Scale-up: Saturation</v>
      </c>
      <c r="B90" s="0" t="s">
        <v>212</v>
      </c>
      <c r="C90" s="0" t="s">
        <v>808</v>
      </c>
      <c r="D90" s="0" t="s">
        <v>48</v>
      </c>
      <c r="E90" s="0" t="str">
        <f aca="false">B90&amp;"|"&amp;C90&amp;"|"&amp;D90</f>
        <v>Chikwawa District [U8c0so51kT6]|15+|Male</v>
      </c>
      <c r="F90" s="10" t="str">
        <f aca="false">IFERROR(1/(1/SUM(SUMIFS(Cascade!$O:$O,Cascade!$B:$B,$B90,Cascade!$C:$C,IF($C90="&lt;15",{"=&lt;01","01-09","10-14"},{"15-24","25-34","35-49","50+"}),Cascade!$D:$D,$D90))),"")</f>
        <v/>
      </c>
      <c r="G90" s="10" t="str">
        <f aca="false">IFERROR(1/(1/SUM(SUMIFS(Cascade!$AX:$AX,Cascade!$B:$B,$B90,Cascade!$C:$C,IF($C90="&lt;15",{"=&lt;01","01-09","10-14"},{"15-24","25-34","35-49","50+"}),Cascade!$D:$D,$D90))),"")</f>
        <v/>
      </c>
      <c r="H90" s="88" t="n">
        <f aca="false">1</f>
        <v>1</v>
      </c>
      <c r="I90" s="88" t="n">
        <f aca="false">1</f>
        <v>1</v>
      </c>
      <c r="J90" s="88"/>
      <c r="K90" s="88"/>
      <c r="L90" s="39" t="str">
        <f aca="false">IF(SUM($F90)=0,"",ROUND($F90*$H90*$J90,0))</f>
        <v/>
      </c>
      <c r="M90" s="39" t="str">
        <f aca="false">IF(SUM($F90)=0,"",ROUND($F90*$H90,0)-$L90)</f>
        <v/>
      </c>
      <c r="N90" s="39" t="str">
        <f aca="false">IF(SUM($G90)=0,"",ROUND($G90*$I90*$K90,0))</f>
        <v/>
      </c>
      <c r="O90" s="39" t="str">
        <f aca="false">IF(SUM($G90)=0,"",ROUND($G90*$I90,0)-$N90)</f>
        <v/>
      </c>
      <c r="P90" s="10" t="n">
        <v>905</v>
      </c>
      <c r="Q90" s="10"/>
      <c r="R90" s="10" t="n">
        <v>89</v>
      </c>
      <c r="S90" s="10" t="n">
        <f aca="false">IFERROR(1/(1/SUM($P90,$R90,$Q90)),"")</f>
        <v>994</v>
      </c>
      <c r="T90" s="88" t="str">
        <f aca="false">IF(SUM($F90)=0,"",MIN($S90/$F90,1))</f>
        <v/>
      </c>
      <c r="U90" s="88" t="n">
        <f aca="false">1</f>
        <v>1</v>
      </c>
      <c r="V90" s="88" t="n">
        <f aca="false">1</f>
        <v>1</v>
      </c>
      <c r="W90" s="39" t="str">
        <f aca="false">IF(SUM($M90)=0,"",IF($T90="","ENTER ELIGIBILITY RATE",IF($U90 = "","ENTER INITIATION RATE",ROUND($M90*$T90*$U90,0))))</f>
        <v/>
      </c>
      <c r="X90" s="39" t="str">
        <f aca="false">IF(SUM($O90)=0,"",IF($V90="","ENTER INITIATION RATE",ROUND($O90*$V90,0)))</f>
        <v/>
      </c>
      <c r="Y90" s="88" t="n">
        <f aca="false">0.9</f>
        <v>0.9</v>
      </c>
      <c r="Z90" s="39" t="str">
        <f aca="false">IF(SUM($W90)=0,"",IF($Y90="","ENTER COMPLETION RATE",ROUND($W90*$Y90,0)))</f>
        <v/>
      </c>
      <c r="AA90" s="39" t="str">
        <f aca="false">IF(SUM($X90)=0,"",IF($X90="","ENTER COMPLETION RATE",ROUND($X90*$Y90,0)))</f>
        <v/>
      </c>
      <c r="AB90" s="88" t="str">
        <f aca="false">IF(SUM($Q90)=0,"",(SUM($Z90)-$Q90)/$Q90)</f>
        <v/>
      </c>
      <c r="AC90" s="88" t="n">
        <f aca="false">IF(SUM($R90)=0,"",(SUM($AA90)-$R90)/$R90)</f>
        <v>-1</v>
      </c>
    </row>
    <row r="91" customFormat="false" ht="15" hidden="false" customHeight="false" outlineLevel="0" collapsed="false">
      <c r="A91" s="0" t="str">
        <f aca="false">INDEX(Prioritization!$D:$D,MATCH($B91,Prioritization!$A:$A,0))</f>
        <v>1 - Scale-up: Saturation</v>
      </c>
      <c r="B91" s="0" t="s">
        <v>213</v>
      </c>
      <c r="C91" s="0" t="s">
        <v>807</v>
      </c>
      <c r="D91" s="0" t="s">
        <v>30</v>
      </c>
      <c r="E91" s="0" t="str">
        <f aca="false">B91&amp;"|"&amp;C91&amp;"|"&amp;D91</f>
        <v>Chiradzulu District [oiPR2CiVJbf]|&lt;15|Female</v>
      </c>
      <c r="F91" s="10" t="n">
        <f aca="false">IFERROR(1/(1/SUM(SUMIFS(Cascade!$O:$O,Cascade!$B:$B,$B91,Cascade!$C:$C,IF($C91="&lt;15",{"=&lt;01","01-09","10-14"},{"15-24","25-34","35-49","50+"}),Cascade!$D:$D,$D91))),"")</f>
        <v>1</v>
      </c>
      <c r="G91" s="10" t="str">
        <f aca="false">IFERROR(1/(1/SUM(SUMIFS(Cascade!$AX:$AX,Cascade!$B:$B,$B91,Cascade!$C:$C,IF($C91="&lt;15",{"=&lt;01","01-09","10-14"},{"15-24","25-34","35-49","50+"}),Cascade!$D:$D,$D91))),"")</f>
        <v/>
      </c>
      <c r="H91" s="88" t="n">
        <f aca="false">1</f>
        <v>1</v>
      </c>
      <c r="I91" s="88" t="n">
        <f aca="false">1</f>
        <v>1</v>
      </c>
      <c r="J91" s="88"/>
      <c r="K91" s="88"/>
      <c r="L91" s="39" t="n">
        <f aca="false">IF(SUM($F91)=0,"",ROUND($F91*$H91*$J91,0))</f>
        <v>0</v>
      </c>
      <c r="M91" s="39" t="n">
        <f aca="false">IF(SUM($F91)=0,"",ROUND($F91*$H91,0)-$L91)</f>
        <v>1</v>
      </c>
      <c r="N91" s="39" t="str">
        <f aca="false">IF(SUM($G91)=0,"",ROUND($G91*$I91*$K91,0))</f>
        <v/>
      </c>
      <c r="O91" s="39" t="str">
        <f aca="false">IF(SUM($G91)=0,"",ROUND($G91*$I91,0)-$N91)</f>
        <v/>
      </c>
      <c r="P91" s="10" t="n">
        <v>26</v>
      </c>
      <c r="Q91" s="10"/>
      <c r="R91" s="10" t="n">
        <v>7</v>
      </c>
      <c r="S91" s="10" t="n">
        <f aca="false">IFERROR(1/(1/SUM($P91,$R91,$Q91)),"")</f>
        <v>33</v>
      </c>
      <c r="T91" s="88" t="n">
        <f aca="false">IF(SUM($F91)=0,"",MIN($S91/$F91,1))</f>
        <v>1</v>
      </c>
      <c r="U91" s="88" t="n">
        <f aca="false">1</f>
        <v>1</v>
      </c>
      <c r="V91" s="88" t="n">
        <f aca="false">1</f>
        <v>1</v>
      </c>
      <c r="W91" s="39" t="n">
        <f aca="false">IF(SUM($M91)=0,"",IF($T91="","ENTER ELIGIBILITY RATE",IF($U91 = "","ENTER INITIATION RATE",ROUND($M91*$T91*$U91,0))))</f>
        <v>1</v>
      </c>
      <c r="X91" s="39" t="str">
        <f aca="false">IF(SUM($O91)=0,"",IF($V91="","ENTER INITIATION RATE",ROUND($O91*$V91,0)))</f>
        <v/>
      </c>
      <c r="Y91" s="88" t="n">
        <f aca="false">0.9</f>
        <v>0.9</v>
      </c>
      <c r="Z91" s="39" t="n">
        <f aca="false">IF(SUM($W91)=0,"",IF($Y91="","ENTER COMPLETION RATE",ROUND($W91*$Y91,0)))</f>
        <v>1</v>
      </c>
      <c r="AA91" s="39" t="str">
        <f aca="false">IF(SUM($X91)=0,"",IF($X91="","ENTER COMPLETION RATE",ROUND($X91*$Y91,0)))</f>
        <v/>
      </c>
      <c r="AB91" s="88" t="str">
        <f aca="false">IF(SUM($Q91)=0,"",(SUM($Z91)-$Q91)/$Q91)</f>
        <v/>
      </c>
      <c r="AC91" s="88" t="n">
        <f aca="false">IF(SUM($R91)=0,"",(SUM($AA91)-$R91)/$R91)</f>
        <v>-1</v>
      </c>
    </row>
    <row r="92" customFormat="false" ht="15" hidden="false" customHeight="false" outlineLevel="0" collapsed="false">
      <c r="A92" s="0" t="str">
        <f aca="false">INDEX(Prioritization!$D:$D,MATCH($B92,Prioritization!$A:$A,0))</f>
        <v>1 - Scale-up: Saturation</v>
      </c>
      <c r="B92" s="0" t="s">
        <v>213</v>
      </c>
      <c r="C92" s="0" t="s">
        <v>807</v>
      </c>
      <c r="D92" s="0" t="s">
        <v>48</v>
      </c>
      <c r="E92" s="0" t="str">
        <f aca="false">B92&amp;"|"&amp;C92&amp;"|"&amp;D92</f>
        <v>Chiradzulu District [oiPR2CiVJbf]|&lt;15|Male</v>
      </c>
      <c r="F92" s="10" t="n">
        <f aca="false">IFERROR(1/(1/SUM(SUMIFS(Cascade!$O:$O,Cascade!$B:$B,$B92,Cascade!$C:$C,IF($C92="&lt;15",{"=&lt;01","01-09","10-14"},{"15-24","25-34","35-49","50+"}),Cascade!$D:$D,$D92))),"")</f>
        <v>1</v>
      </c>
      <c r="G92" s="10" t="str">
        <f aca="false">IFERROR(1/(1/SUM(SUMIFS(Cascade!$AX:$AX,Cascade!$B:$B,$B92,Cascade!$C:$C,IF($C92="&lt;15",{"=&lt;01","01-09","10-14"},{"15-24","25-34","35-49","50+"}),Cascade!$D:$D,$D92))),"")</f>
        <v/>
      </c>
      <c r="H92" s="88" t="n">
        <f aca="false">1</f>
        <v>1</v>
      </c>
      <c r="I92" s="88" t="n">
        <f aca="false">1</f>
        <v>1</v>
      </c>
      <c r="J92" s="88"/>
      <c r="K92" s="88"/>
      <c r="L92" s="39" t="n">
        <f aca="false">IF(SUM($F92)=0,"",ROUND($F92*$H92*$J92,0))</f>
        <v>0</v>
      </c>
      <c r="M92" s="39" t="n">
        <f aca="false">IF(SUM($F92)=0,"",ROUND($F92*$H92,0)-$L92)</f>
        <v>1</v>
      </c>
      <c r="N92" s="39" t="str">
        <f aca="false">IF(SUM($G92)=0,"",ROUND($G92*$I92*$K92,0))</f>
        <v/>
      </c>
      <c r="O92" s="39" t="str">
        <f aca="false">IF(SUM($G92)=0,"",ROUND($G92*$I92,0)-$N92)</f>
        <v/>
      </c>
      <c r="P92" s="10" t="n">
        <v>82</v>
      </c>
      <c r="Q92" s="10"/>
      <c r="R92" s="10" t="n">
        <v>10</v>
      </c>
      <c r="S92" s="10" t="n">
        <f aca="false">IFERROR(1/(1/SUM($P92,$R92,$Q92)),"")</f>
        <v>92</v>
      </c>
      <c r="T92" s="88" t="n">
        <f aca="false">IF(SUM($F92)=0,"",MIN($S92/$F92,1))</f>
        <v>1</v>
      </c>
      <c r="U92" s="88" t="n">
        <f aca="false">1</f>
        <v>1</v>
      </c>
      <c r="V92" s="88" t="n">
        <f aca="false">1</f>
        <v>1</v>
      </c>
      <c r="W92" s="39" t="n">
        <f aca="false">IF(SUM($M92)=0,"",IF($T92="","ENTER ELIGIBILITY RATE",IF($U92 = "","ENTER INITIATION RATE",ROUND($M92*$T92*$U92,0))))</f>
        <v>1</v>
      </c>
      <c r="X92" s="39" t="str">
        <f aca="false">IF(SUM($O92)=0,"",IF($V92="","ENTER INITIATION RATE",ROUND($O92*$V92,0)))</f>
        <v/>
      </c>
      <c r="Y92" s="88" t="n">
        <f aca="false">0.9</f>
        <v>0.9</v>
      </c>
      <c r="Z92" s="39" t="n">
        <f aca="false">IF(SUM($W92)=0,"",IF($Y92="","ENTER COMPLETION RATE",ROUND($W92*$Y92,0)))</f>
        <v>1</v>
      </c>
      <c r="AA92" s="39" t="str">
        <f aca="false">IF(SUM($X92)=0,"",IF($X92="","ENTER COMPLETION RATE",ROUND($X92*$Y92,0)))</f>
        <v/>
      </c>
      <c r="AB92" s="88" t="str">
        <f aca="false">IF(SUM($Q92)=0,"",(SUM($Z92)-$Q92)/$Q92)</f>
        <v/>
      </c>
      <c r="AC92" s="88" t="n">
        <f aca="false">IF(SUM($R92)=0,"",(SUM($AA92)-$R92)/$R92)</f>
        <v>-1</v>
      </c>
    </row>
    <row r="93" customFormat="false" ht="15" hidden="false" customHeight="false" outlineLevel="0" collapsed="false">
      <c r="A93" s="0" t="str">
        <f aca="false">INDEX(Prioritization!$D:$D,MATCH($B93,Prioritization!$A:$A,0))</f>
        <v>1 - Scale-up: Saturation</v>
      </c>
      <c r="B93" s="0" t="s">
        <v>213</v>
      </c>
      <c r="C93" s="0" t="s">
        <v>808</v>
      </c>
      <c r="D93" s="0" t="s">
        <v>30</v>
      </c>
      <c r="E93" s="0" t="str">
        <f aca="false">B93&amp;"|"&amp;C93&amp;"|"&amp;D93</f>
        <v>Chiradzulu District [oiPR2CiVJbf]|15+|Female</v>
      </c>
      <c r="F93" s="10" t="str">
        <f aca="false">IFERROR(1/(1/SUM(SUMIFS(Cascade!$O:$O,Cascade!$B:$B,$B93,Cascade!$C:$C,IF($C93="&lt;15",{"=&lt;01","01-09","10-14"},{"15-24","25-34","35-49","50+"}),Cascade!$D:$D,$D93))),"")</f>
        <v/>
      </c>
      <c r="G93" s="10" t="str">
        <f aca="false">IFERROR(1/(1/SUM(SUMIFS(Cascade!$AX:$AX,Cascade!$B:$B,$B93,Cascade!$C:$C,IF($C93="&lt;15",{"=&lt;01","01-09","10-14"},{"15-24","25-34","35-49","50+"}),Cascade!$D:$D,$D93))),"")</f>
        <v/>
      </c>
      <c r="H93" s="88" t="n">
        <f aca="false">1</f>
        <v>1</v>
      </c>
      <c r="I93" s="88" t="n">
        <f aca="false">1</f>
        <v>1</v>
      </c>
      <c r="J93" s="88"/>
      <c r="K93" s="88"/>
      <c r="L93" s="39" t="str">
        <f aca="false">IF(SUM($F93)=0,"",ROUND($F93*$H93*$J93,0))</f>
        <v/>
      </c>
      <c r="M93" s="39" t="str">
        <f aca="false">IF(SUM($F93)=0,"",ROUND($F93*$H93,0)-$L93)</f>
        <v/>
      </c>
      <c r="N93" s="39" t="str">
        <f aca="false">IF(SUM($G93)=0,"",ROUND($G93*$I93*$K93,0))</f>
        <v/>
      </c>
      <c r="O93" s="39" t="str">
        <f aca="false">IF(SUM($G93)=0,"",ROUND($G93*$I93,0)-$N93)</f>
        <v/>
      </c>
      <c r="P93" s="10" t="n">
        <v>9709</v>
      </c>
      <c r="Q93" s="10"/>
      <c r="R93" s="10" t="n">
        <v>45</v>
      </c>
      <c r="S93" s="10" t="n">
        <f aca="false">IFERROR(1/(1/SUM($P93,$R93,$Q93)),"")</f>
        <v>9754</v>
      </c>
      <c r="T93" s="88" t="str">
        <f aca="false">IF(SUM($F93)=0,"",MIN($S93/$F93,1))</f>
        <v/>
      </c>
      <c r="U93" s="88" t="n">
        <f aca="false">1</f>
        <v>1</v>
      </c>
      <c r="V93" s="88" t="n">
        <f aca="false">1</f>
        <v>1</v>
      </c>
      <c r="W93" s="39" t="str">
        <f aca="false">IF(SUM($M93)=0,"",IF($T93="","ENTER ELIGIBILITY RATE",IF($U93 = "","ENTER INITIATION RATE",ROUND($M93*$T93*$U93,0))))</f>
        <v/>
      </c>
      <c r="X93" s="39" t="str">
        <f aca="false">IF(SUM($O93)=0,"",IF($V93="","ENTER INITIATION RATE",ROUND($O93*$V93,0)))</f>
        <v/>
      </c>
      <c r="Y93" s="88" t="n">
        <f aca="false">0.9</f>
        <v>0.9</v>
      </c>
      <c r="Z93" s="39" t="str">
        <f aca="false">IF(SUM($W93)=0,"",IF($Y93="","ENTER COMPLETION RATE",ROUND($W93*$Y93,0)))</f>
        <v/>
      </c>
      <c r="AA93" s="39" t="str">
        <f aca="false">IF(SUM($X93)=0,"",IF($X93="","ENTER COMPLETION RATE",ROUND($X93*$Y93,0)))</f>
        <v/>
      </c>
      <c r="AB93" s="88" t="str">
        <f aca="false">IF(SUM($Q93)=0,"",(SUM($Z93)-$Q93)/$Q93)</f>
        <v/>
      </c>
      <c r="AC93" s="88" t="n">
        <f aca="false">IF(SUM($R93)=0,"",(SUM($AA93)-$R93)/$R93)</f>
        <v>-1</v>
      </c>
    </row>
    <row r="94" customFormat="false" ht="15" hidden="false" customHeight="false" outlineLevel="0" collapsed="false">
      <c r="A94" s="0" t="str">
        <f aca="false">INDEX(Prioritization!$D:$D,MATCH($B94,Prioritization!$A:$A,0))</f>
        <v>1 - Scale-up: Saturation</v>
      </c>
      <c r="B94" s="0" t="s">
        <v>213</v>
      </c>
      <c r="C94" s="0" t="s">
        <v>808</v>
      </c>
      <c r="D94" s="0" t="s">
        <v>48</v>
      </c>
      <c r="E94" s="0" t="str">
        <f aca="false">B94&amp;"|"&amp;C94&amp;"|"&amp;D94</f>
        <v>Chiradzulu District [oiPR2CiVJbf]|15+|Male</v>
      </c>
      <c r="F94" s="10" t="str">
        <f aca="false">IFERROR(1/(1/SUM(SUMIFS(Cascade!$O:$O,Cascade!$B:$B,$B94,Cascade!$C:$C,IF($C94="&lt;15",{"=&lt;01","01-09","10-14"},{"15-24","25-34","35-49","50+"}),Cascade!$D:$D,$D94))),"")</f>
        <v/>
      </c>
      <c r="G94" s="10" t="str">
        <f aca="false">IFERROR(1/(1/SUM(SUMIFS(Cascade!$AX:$AX,Cascade!$B:$B,$B94,Cascade!$C:$C,IF($C94="&lt;15",{"=&lt;01","01-09","10-14"},{"15-24","25-34","35-49","50+"}),Cascade!$D:$D,$D94))),"")</f>
        <v/>
      </c>
      <c r="H94" s="88" t="n">
        <f aca="false">1</f>
        <v>1</v>
      </c>
      <c r="I94" s="88" t="n">
        <f aca="false">1</f>
        <v>1</v>
      </c>
      <c r="J94" s="88"/>
      <c r="K94" s="88"/>
      <c r="L94" s="39" t="str">
        <f aca="false">IF(SUM($F94)=0,"",ROUND($F94*$H94*$J94,0))</f>
        <v/>
      </c>
      <c r="M94" s="39" t="str">
        <f aca="false">IF(SUM($F94)=0,"",ROUND($F94*$H94,0)-$L94)</f>
        <v/>
      </c>
      <c r="N94" s="39" t="str">
        <f aca="false">IF(SUM($G94)=0,"",ROUND($G94*$I94*$K94,0))</f>
        <v/>
      </c>
      <c r="O94" s="39" t="str">
        <f aca="false">IF(SUM($G94)=0,"",ROUND($G94*$I94,0)-$N94)</f>
        <v/>
      </c>
      <c r="P94" s="10" t="n">
        <v>187</v>
      </c>
      <c r="Q94" s="10"/>
      <c r="R94" s="10" t="n">
        <v>12</v>
      </c>
      <c r="S94" s="10" t="n">
        <f aca="false">IFERROR(1/(1/SUM($P94,$R94,$Q94)),"")</f>
        <v>199</v>
      </c>
      <c r="T94" s="88" t="str">
        <f aca="false">IF(SUM($F94)=0,"",MIN($S94/$F94,1))</f>
        <v/>
      </c>
      <c r="U94" s="88" t="n">
        <f aca="false">1</f>
        <v>1</v>
      </c>
      <c r="V94" s="88" t="n">
        <f aca="false">1</f>
        <v>1</v>
      </c>
      <c r="W94" s="39" t="str">
        <f aca="false">IF(SUM($M94)=0,"",IF($T94="","ENTER ELIGIBILITY RATE",IF($U94 = "","ENTER INITIATION RATE",ROUND($M94*$T94*$U94,0))))</f>
        <v/>
      </c>
      <c r="X94" s="39" t="str">
        <f aca="false">IF(SUM($O94)=0,"",IF($V94="","ENTER INITIATION RATE",ROUND($O94*$V94,0)))</f>
        <v/>
      </c>
      <c r="Y94" s="88" t="n">
        <f aca="false">0.9</f>
        <v>0.9</v>
      </c>
      <c r="Z94" s="39" t="str">
        <f aca="false">IF(SUM($W94)=0,"",IF($Y94="","ENTER COMPLETION RATE",ROUND($W94*$Y94,0)))</f>
        <v/>
      </c>
      <c r="AA94" s="39" t="str">
        <f aca="false">IF(SUM($X94)=0,"",IF($X94="","ENTER COMPLETION RATE",ROUND($X94*$Y94,0)))</f>
        <v/>
      </c>
      <c r="AB94" s="88" t="str">
        <f aca="false">IF(SUM($Q94)=0,"",(SUM($Z94)-$Q94)/$Q94)</f>
        <v/>
      </c>
      <c r="AC94" s="88" t="n">
        <f aca="false">IF(SUM($R94)=0,"",(SUM($AA94)-$R94)/$R94)</f>
        <v>-1</v>
      </c>
    </row>
    <row r="95" customFormat="false" ht="15" hidden="false" customHeight="false" outlineLevel="0" collapsed="false">
      <c r="A95" s="0" t="str">
        <f aca="false">INDEX(Prioritization!$D:$D,MATCH($B95,Prioritization!$A:$A,0))</f>
        <v>1 - Scale-up: Saturation</v>
      </c>
      <c r="B95" s="0" t="s">
        <v>214</v>
      </c>
      <c r="C95" s="0" t="s">
        <v>807</v>
      </c>
      <c r="D95" s="0" t="s">
        <v>30</v>
      </c>
      <c r="E95" s="0" t="str">
        <f aca="false">B95&amp;"|"&amp;C95&amp;"|"&amp;D95</f>
        <v>Machinga District [TYnMSwzko3z]|&lt;15|Female</v>
      </c>
      <c r="F95" s="10" t="n">
        <f aca="false">IFERROR(1/(1/SUM(SUMIFS(Cascade!$O:$O,Cascade!$B:$B,$B95,Cascade!$C:$C,IF($C95="&lt;15",{"=&lt;01","01-09","10-14"},{"15-24","25-34","35-49","50+"}),Cascade!$D:$D,$D95))),"")</f>
        <v>8</v>
      </c>
      <c r="G95" s="10" t="str">
        <f aca="false">IFERROR(1/(1/SUM(SUMIFS(Cascade!$AX:$AX,Cascade!$B:$B,$B95,Cascade!$C:$C,IF($C95="&lt;15",{"=&lt;01","01-09","10-14"},{"15-24","25-34","35-49","50+"}),Cascade!$D:$D,$D95))),"")</f>
        <v/>
      </c>
      <c r="H95" s="88" t="n">
        <f aca="false">1</f>
        <v>1</v>
      </c>
      <c r="I95" s="88" t="n">
        <f aca="false">1</f>
        <v>1</v>
      </c>
      <c r="J95" s="88"/>
      <c r="K95" s="88"/>
      <c r="L95" s="39" t="n">
        <f aca="false">IF(SUM($F95)=0,"",ROUND($F95*$H95*$J95,0))</f>
        <v>0</v>
      </c>
      <c r="M95" s="39" t="n">
        <f aca="false">IF(SUM($F95)=0,"",ROUND($F95*$H95,0)-$L95)</f>
        <v>8</v>
      </c>
      <c r="N95" s="39" t="str">
        <f aca="false">IF(SUM($G95)=0,"",ROUND($G95*$I95*$K95,0))</f>
        <v/>
      </c>
      <c r="O95" s="39" t="str">
        <f aca="false">IF(SUM($G95)=0,"",ROUND($G95*$I95,0)-$N95)</f>
        <v/>
      </c>
      <c r="P95" s="10" t="n">
        <v>1</v>
      </c>
      <c r="Q95" s="10"/>
      <c r="R95" s="10" t="n">
        <v>8</v>
      </c>
      <c r="S95" s="10" t="n">
        <f aca="false">IFERROR(1/(1/SUM($P95,$R95,$Q95)),"")</f>
        <v>9</v>
      </c>
      <c r="T95" s="88" t="n">
        <f aca="false">IF(SUM($F95)=0,"",MIN($S95/$F95,1))</f>
        <v>1</v>
      </c>
      <c r="U95" s="88" t="n">
        <f aca="false">1</f>
        <v>1</v>
      </c>
      <c r="V95" s="88" t="n">
        <f aca="false">1</f>
        <v>1</v>
      </c>
      <c r="W95" s="39" t="n">
        <f aca="false">IF(SUM($M95)=0,"",IF($T95="","ENTER ELIGIBILITY RATE",IF($U95 = "","ENTER INITIATION RATE",ROUND($M95*$T95*$U95,0))))</f>
        <v>8</v>
      </c>
      <c r="X95" s="39" t="str">
        <f aca="false">IF(SUM($O95)=0,"",IF($V95="","ENTER INITIATION RATE",ROUND($O95*$V95,0)))</f>
        <v/>
      </c>
      <c r="Y95" s="88" t="n">
        <f aca="false">0.9</f>
        <v>0.9</v>
      </c>
      <c r="Z95" s="39" t="n">
        <f aca="false">IF(SUM($W95)=0,"",IF($Y95="","ENTER COMPLETION RATE",ROUND($W95*$Y95,0)))</f>
        <v>7</v>
      </c>
      <c r="AA95" s="39" t="str">
        <f aca="false">IF(SUM($X95)=0,"",IF($X95="","ENTER COMPLETION RATE",ROUND($X95*$Y95,0)))</f>
        <v/>
      </c>
      <c r="AB95" s="88" t="str">
        <f aca="false">IF(SUM($Q95)=0,"",(SUM($Z95)-$Q95)/$Q95)</f>
        <v/>
      </c>
      <c r="AC95" s="88" t="n">
        <f aca="false">IF(SUM($R95)=0,"",(SUM($AA95)-$R95)/$R95)</f>
        <v>-1</v>
      </c>
    </row>
    <row r="96" customFormat="false" ht="15" hidden="false" customHeight="false" outlineLevel="0" collapsed="false">
      <c r="A96" s="0" t="str">
        <f aca="false">INDEX(Prioritization!$D:$D,MATCH($B96,Prioritization!$A:$A,0))</f>
        <v>1 - Scale-up: Saturation</v>
      </c>
      <c r="B96" s="0" t="s">
        <v>214</v>
      </c>
      <c r="C96" s="0" t="s">
        <v>807</v>
      </c>
      <c r="D96" s="0" t="s">
        <v>48</v>
      </c>
      <c r="E96" s="0" t="str">
        <f aca="false">B96&amp;"|"&amp;C96&amp;"|"&amp;D96</f>
        <v>Machinga District [TYnMSwzko3z]|&lt;15|Male</v>
      </c>
      <c r="F96" s="10" t="n">
        <f aca="false">IFERROR(1/(1/SUM(SUMIFS(Cascade!$O:$O,Cascade!$B:$B,$B96,Cascade!$C:$C,IF($C96="&lt;15",{"=&lt;01","01-09","10-14"},{"15-24","25-34","35-49","50+"}),Cascade!$D:$D,$D96))),"")</f>
        <v>8</v>
      </c>
      <c r="G96" s="10" t="str">
        <f aca="false">IFERROR(1/(1/SUM(SUMIFS(Cascade!$AX:$AX,Cascade!$B:$B,$B96,Cascade!$C:$C,IF($C96="&lt;15",{"=&lt;01","01-09","10-14"},{"15-24","25-34","35-49","50+"}),Cascade!$D:$D,$D96))),"")</f>
        <v/>
      </c>
      <c r="H96" s="88" t="n">
        <f aca="false">1</f>
        <v>1</v>
      </c>
      <c r="I96" s="88" t="n">
        <f aca="false">1</f>
        <v>1</v>
      </c>
      <c r="J96" s="88"/>
      <c r="K96" s="88"/>
      <c r="L96" s="39" t="n">
        <f aca="false">IF(SUM($F96)=0,"",ROUND($F96*$H96*$J96,0))</f>
        <v>0</v>
      </c>
      <c r="M96" s="39" t="n">
        <f aca="false">IF(SUM($F96)=0,"",ROUND($F96*$H96,0)-$L96)</f>
        <v>8</v>
      </c>
      <c r="N96" s="39" t="str">
        <f aca="false">IF(SUM($G96)=0,"",ROUND($G96*$I96*$K96,0))</f>
        <v/>
      </c>
      <c r="O96" s="39" t="str">
        <f aca="false">IF(SUM($G96)=0,"",ROUND($G96*$I96,0)-$N96)</f>
        <v/>
      </c>
      <c r="P96" s="10" t="n">
        <v>0</v>
      </c>
      <c r="Q96" s="10"/>
      <c r="R96" s="10" t="n">
        <v>3</v>
      </c>
      <c r="S96" s="10" t="n">
        <f aca="false">IFERROR(1/(1/SUM($P96,$R96,$Q96)),"")</f>
        <v>3</v>
      </c>
      <c r="T96" s="88" t="n">
        <f aca="false">IF(SUM($F96)=0,"",MIN($S96/$F96,1))</f>
        <v>0.375</v>
      </c>
      <c r="U96" s="88" t="n">
        <f aca="false">1</f>
        <v>1</v>
      </c>
      <c r="V96" s="88" t="n">
        <f aca="false">1</f>
        <v>1</v>
      </c>
      <c r="W96" s="39" t="n">
        <f aca="false">IF(SUM($M96)=0,"",IF($T96="","ENTER ELIGIBILITY RATE",IF($U96 = "","ENTER INITIATION RATE",ROUND($M96*$T96*$U96,0))))</f>
        <v>3</v>
      </c>
      <c r="X96" s="39" t="str">
        <f aca="false">IF(SUM($O96)=0,"",IF($V96="","ENTER INITIATION RATE",ROUND($O96*$V96,0)))</f>
        <v/>
      </c>
      <c r="Y96" s="88" t="n">
        <f aca="false">0.9</f>
        <v>0.9</v>
      </c>
      <c r="Z96" s="39" t="n">
        <f aca="false">IF(SUM($W96)=0,"",IF($Y96="","ENTER COMPLETION RATE",ROUND($W96*$Y96,0)))</f>
        <v>3</v>
      </c>
      <c r="AA96" s="39" t="str">
        <f aca="false">IF(SUM($X96)=0,"",IF($X96="","ENTER COMPLETION RATE",ROUND($X96*$Y96,0)))</f>
        <v/>
      </c>
      <c r="AB96" s="88" t="str">
        <f aca="false">IF(SUM($Q96)=0,"",(SUM($Z96)-$Q96)/$Q96)</f>
        <v/>
      </c>
      <c r="AC96" s="88" t="n">
        <f aca="false">IF(SUM($R96)=0,"",(SUM($AA96)-$R96)/$R96)</f>
        <v>-1</v>
      </c>
    </row>
    <row r="97" customFormat="false" ht="15" hidden="false" customHeight="false" outlineLevel="0" collapsed="false">
      <c r="A97" s="0" t="str">
        <f aca="false">INDEX(Prioritization!$D:$D,MATCH($B97,Prioritization!$A:$A,0))</f>
        <v>1 - Scale-up: Saturation</v>
      </c>
      <c r="B97" s="0" t="s">
        <v>214</v>
      </c>
      <c r="C97" s="0" t="s">
        <v>808</v>
      </c>
      <c r="D97" s="0" t="s">
        <v>30</v>
      </c>
      <c r="E97" s="0" t="str">
        <f aca="false">B97&amp;"|"&amp;C97&amp;"|"&amp;D97</f>
        <v>Machinga District [TYnMSwzko3z]|15+|Female</v>
      </c>
      <c r="F97" s="10" t="str">
        <f aca="false">IFERROR(1/(1/SUM(SUMIFS(Cascade!$O:$O,Cascade!$B:$B,$B97,Cascade!$C:$C,IF($C97="&lt;15",{"=&lt;01","01-09","10-14"},{"15-24","25-34","35-49","50+"}),Cascade!$D:$D,$D97))),"")</f>
        <v/>
      </c>
      <c r="G97" s="10" t="str">
        <f aca="false">IFERROR(1/(1/SUM(SUMIFS(Cascade!$AX:$AX,Cascade!$B:$B,$B97,Cascade!$C:$C,IF($C97="&lt;15",{"=&lt;01","01-09","10-14"},{"15-24","25-34","35-49","50+"}),Cascade!$D:$D,$D97))),"")</f>
        <v/>
      </c>
      <c r="H97" s="88" t="n">
        <f aca="false">1</f>
        <v>1</v>
      </c>
      <c r="I97" s="88" t="n">
        <f aca="false">1</f>
        <v>1</v>
      </c>
      <c r="J97" s="88"/>
      <c r="K97" s="88"/>
      <c r="L97" s="39" t="str">
        <f aca="false">IF(SUM($F97)=0,"",ROUND($F97*$H97*$J97,0))</f>
        <v/>
      </c>
      <c r="M97" s="39" t="str">
        <f aca="false">IF(SUM($F97)=0,"",ROUND($F97*$H97,0)-$L97)</f>
        <v/>
      </c>
      <c r="N97" s="39" t="str">
        <f aca="false">IF(SUM($G97)=0,"",ROUND($G97*$I97*$K97,0))</f>
        <v/>
      </c>
      <c r="O97" s="39" t="str">
        <f aca="false">IF(SUM($G97)=0,"",ROUND($G97*$I97,0)-$N97)</f>
        <v/>
      </c>
      <c r="P97" s="10" t="n">
        <v>53</v>
      </c>
      <c r="Q97" s="10"/>
      <c r="R97" s="10" t="n">
        <v>60</v>
      </c>
      <c r="S97" s="10" t="n">
        <f aca="false">IFERROR(1/(1/SUM($P97,$R97,$Q97)),"")</f>
        <v>113</v>
      </c>
      <c r="T97" s="88" t="str">
        <f aca="false">IF(SUM($F97)=0,"",MIN($S97/$F97,1))</f>
        <v/>
      </c>
      <c r="U97" s="88" t="n">
        <f aca="false">1</f>
        <v>1</v>
      </c>
      <c r="V97" s="88" t="n">
        <f aca="false">1</f>
        <v>1</v>
      </c>
      <c r="W97" s="39" t="str">
        <f aca="false">IF(SUM($M97)=0,"",IF($T97="","ENTER ELIGIBILITY RATE",IF($U97 = "","ENTER INITIATION RATE",ROUND($M97*$T97*$U97,0))))</f>
        <v/>
      </c>
      <c r="X97" s="39" t="str">
        <f aca="false">IF(SUM($O97)=0,"",IF($V97="","ENTER INITIATION RATE",ROUND($O97*$V97,0)))</f>
        <v/>
      </c>
      <c r="Y97" s="88" t="n">
        <f aca="false">0.9</f>
        <v>0.9</v>
      </c>
      <c r="Z97" s="39" t="str">
        <f aca="false">IF(SUM($W97)=0,"",IF($Y97="","ENTER COMPLETION RATE",ROUND($W97*$Y97,0)))</f>
        <v/>
      </c>
      <c r="AA97" s="39" t="str">
        <f aca="false">IF(SUM($X97)=0,"",IF($X97="","ENTER COMPLETION RATE",ROUND($X97*$Y97,0)))</f>
        <v/>
      </c>
      <c r="AB97" s="88" t="str">
        <f aca="false">IF(SUM($Q97)=0,"",(SUM($Z97)-$Q97)/$Q97)</f>
        <v/>
      </c>
      <c r="AC97" s="88" t="n">
        <f aca="false">IF(SUM($R97)=0,"",(SUM($AA97)-$R97)/$R97)</f>
        <v>-1</v>
      </c>
    </row>
    <row r="98" customFormat="false" ht="15" hidden="false" customHeight="false" outlineLevel="0" collapsed="false">
      <c r="A98" s="0" t="str">
        <f aca="false">INDEX(Prioritization!$D:$D,MATCH($B98,Prioritization!$A:$A,0))</f>
        <v>1 - Scale-up: Saturation</v>
      </c>
      <c r="B98" s="0" t="s">
        <v>214</v>
      </c>
      <c r="C98" s="0" t="s">
        <v>808</v>
      </c>
      <c r="D98" s="0" t="s">
        <v>48</v>
      </c>
      <c r="E98" s="0" t="str">
        <f aca="false">B98&amp;"|"&amp;C98&amp;"|"&amp;D98</f>
        <v>Machinga District [TYnMSwzko3z]|15+|Male</v>
      </c>
      <c r="F98" s="10" t="str">
        <f aca="false">IFERROR(1/(1/SUM(SUMIFS(Cascade!$O:$O,Cascade!$B:$B,$B98,Cascade!$C:$C,IF($C98="&lt;15",{"=&lt;01","01-09","10-14"},{"15-24","25-34","35-49","50+"}),Cascade!$D:$D,$D98))),"")</f>
        <v/>
      </c>
      <c r="G98" s="10" t="str">
        <f aca="false">IFERROR(1/(1/SUM(SUMIFS(Cascade!$AX:$AX,Cascade!$B:$B,$B98,Cascade!$C:$C,IF($C98="&lt;15",{"=&lt;01","01-09","10-14"},{"15-24","25-34","35-49","50+"}),Cascade!$D:$D,$D98))),"")</f>
        <v/>
      </c>
      <c r="H98" s="88" t="n">
        <f aca="false">1</f>
        <v>1</v>
      </c>
      <c r="I98" s="88" t="n">
        <f aca="false">1</f>
        <v>1</v>
      </c>
      <c r="J98" s="88"/>
      <c r="K98" s="88"/>
      <c r="L98" s="39" t="str">
        <f aca="false">IF(SUM($F98)=0,"",ROUND($F98*$H98*$J98,0))</f>
        <v/>
      </c>
      <c r="M98" s="39" t="str">
        <f aca="false">IF(SUM($F98)=0,"",ROUND($F98*$H98,0)-$L98)</f>
        <v/>
      </c>
      <c r="N98" s="39" t="str">
        <f aca="false">IF(SUM($G98)=0,"",ROUND($G98*$I98*$K98,0))</f>
        <v/>
      </c>
      <c r="O98" s="39" t="str">
        <f aca="false">IF(SUM($G98)=0,"",ROUND($G98*$I98,0)-$N98)</f>
        <v/>
      </c>
      <c r="P98" s="10" t="n">
        <v>10</v>
      </c>
      <c r="Q98" s="10"/>
      <c r="R98" s="10" t="n">
        <v>95</v>
      </c>
      <c r="S98" s="10" t="n">
        <f aca="false">IFERROR(1/(1/SUM($P98,$R98,$Q98)),"")</f>
        <v>105</v>
      </c>
      <c r="T98" s="88" t="str">
        <f aca="false">IF(SUM($F98)=0,"",MIN($S98/$F98,1))</f>
        <v/>
      </c>
      <c r="U98" s="88" t="n">
        <f aca="false">1</f>
        <v>1</v>
      </c>
      <c r="V98" s="88" t="n">
        <f aca="false">1</f>
        <v>1</v>
      </c>
      <c r="W98" s="39" t="str">
        <f aca="false">IF(SUM($M98)=0,"",IF($T98="","ENTER ELIGIBILITY RATE",IF($U98 = "","ENTER INITIATION RATE",ROUND($M98*$T98*$U98,0))))</f>
        <v/>
      </c>
      <c r="X98" s="39" t="str">
        <f aca="false">IF(SUM($O98)=0,"",IF($V98="","ENTER INITIATION RATE",ROUND($O98*$V98,0)))</f>
        <v/>
      </c>
      <c r="Y98" s="88" t="n">
        <f aca="false">0.9</f>
        <v>0.9</v>
      </c>
      <c r="Z98" s="39" t="str">
        <f aca="false">IF(SUM($W98)=0,"",IF($Y98="","ENTER COMPLETION RATE",ROUND($W98*$Y98,0)))</f>
        <v/>
      </c>
      <c r="AA98" s="39" t="str">
        <f aca="false">IF(SUM($X98)=0,"",IF($X98="","ENTER COMPLETION RATE",ROUND($X98*$Y98,0)))</f>
        <v/>
      </c>
      <c r="AB98" s="88" t="str">
        <f aca="false">IF(SUM($Q98)=0,"",(SUM($Z98)-$Q98)/$Q98)</f>
        <v/>
      </c>
      <c r="AC98" s="88" t="n">
        <f aca="false">IF(SUM($R98)=0,"",(SUM($AA98)-$R98)/$R98)</f>
        <v>-1</v>
      </c>
    </row>
    <row r="99" customFormat="false" ht="15" hidden="false" customHeight="false" outlineLevel="0" collapsed="false">
      <c r="A99" s="0" t="str">
        <f aca="false">INDEX(Prioritization!$D:$D,MATCH($B99,Prioritization!$A:$A,0))</f>
        <v>INVALID</v>
      </c>
      <c r="B99" s="0" t="s">
        <v>215</v>
      </c>
      <c r="C99" s="0" t="s">
        <v>807</v>
      </c>
      <c r="D99" s="0" t="s">
        <v>30</v>
      </c>
      <c r="E99" s="0" t="str">
        <f aca="false">B99&amp;"|"&amp;C99&amp;"|"&amp;D99</f>
        <v>Mangochi District [lLDyBx5XyUi]|&lt;15|Female</v>
      </c>
      <c r="F99" s="10" t="n">
        <f aca="false">IFERROR(1/(1/SUM(SUMIFS(Cascade!$O:$O,Cascade!$B:$B,$B99,Cascade!$C:$C,IF($C99="&lt;15",{"=&lt;01","01-09","10-14"},{"15-24","25-34","35-49","50+"}),Cascade!$D:$D,$D99))),"")</f>
        <v>7</v>
      </c>
      <c r="G99" s="10" t="n">
        <f aca="false">IFERROR(1/(1/SUM(SUMIFS(Cascade!$AX:$AX,Cascade!$B:$B,$B99,Cascade!$C:$C,IF($C99="&lt;15",{"=&lt;01","01-09","10-14"},{"15-24","25-34","35-49","50+"}),Cascade!$D:$D,$D99))),"")</f>
        <v>1</v>
      </c>
      <c r="H99" s="88" t="n">
        <f aca="false">1</f>
        <v>1</v>
      </c>
      <c r="I99" s="88" t="n">
        <f aca="false">1</f>
        <v>1</v>
      </c>
      <c r="J99" s="88"/>
      <c r="K99" s="88"/>
      <c r="L99" s="39" t="n">
        <f aca="false">IF(SUM($F99)=0,"",ROUND($F99*$H99*$J99,0))</f>
        <v>0</v>
      </c>
      <c r="M99" s="39" t="n">
        <f aca="false">IF(SUM($F99)=0,"",ROUND($F99*$H99,0)-$L99)</f>
        <v>7</v>
      </c>
      <c r="N99" s="39" t="n">
        <f aca="false">IF(SUM($G99)=0,"",ROUND($G99*$I99*$K99,0))</f>
        <v>0</v>
      </c>
      <c r="O99" s="39" t="n">
        <f aca="false">IF(SUM($G99)=0,"",ROUND($G99*$I99,0)-$N99)</f>
        <v>1</v>
      </c>
      <c r="P99" s="10" t="n">
        <v>2</v>
      </c>
      <c r="Q99" s="10"/>
      <c r="R99" s="10" t="n">
        <v>3</v>
      </c>
      <c r="S99" s="10" t="n">
        <f aca="false">IFERROR(1/(1/SUM($P99,$R99,$Q99)),"")</f>
        <v>5</v>
      </c>
      <c r="T99" s="88" t="n">
        <f aca="false">IF(SUM($F99)=0,"",MIN($S99/$F99,1))</f>
        <v>0.714285714285714</v>
      </c>
      <c r="U99" s="88" t="n">
        <f aca="false">1</f>
        <v>1</v>
      </c>
      <c r="V99" s="88" t="n">
        <f aca="false">1</f>
        <v>1</v>
      </c>
      <c r="W99" s="39" t="n">
        <f aca="false">IF(SUM($M99)=0,"",IF($T99="","ENTER ELIGIBILITY RATE",IF($U99 = "","ENTER INITIATION RATE",ROUND($M99*$T99*$U99,0))))</f>
        <v>5</v>
      </c>
      <c r="X99" s="39" t="n">
        <f aca="false">IF(SUM($O99)=0,"",IF($V99="","ENTER INITIATION RATE",ROUND($O99*$V99,0)))</f>
        <v>1</v>
      </c>
      <c r="Y99" s="88" t="n">
        <f aca="false">0.9</f>
        <v>0.9</v>
      </c>
      <c r="Z99" s="39" t="n">
        <f aca="false">IF(SUM($W99)=0,"",IF($Y99="","ENTER COMPLETION RATE",ROUND($W99*$Y99,0)))</f>
        <v>5</v>
      </c>
      <c r="AA99" s="39" t="n">
        <f aca="false">IF(SUM($X99)=0,"",IF($X99="","ENTER COMPLETION RATE",ROUND($X99*$Y99,0)))</f>
        <v>1</v>
      </c>
      <c r="AB99" s="88" t="str">
        <f aca="false">IF(SUM($Q99)=0,"",(SUM($Z99)-$Q99)/$Q99)</f>
        <v/>
      </c>
      <c r="AC99" s="88" t="n">
        <f aca="false">IF(SUM($R99)=0,"",(SUM($AA99)-$R99)/$R99)</f>
        <v>-0.666666666666667</v>
      </c>
    </row>
    <row r="100" customFormat="false" ht="15" hidden="false" customHeight="false" outlineLevel="0" collapsed="false">
      <c r="A100" s="0" t="str">
        <f aca="false">INDEX(Prioritization!$D:$D,MATCH($B100,Prioritization!$A:$A,0))</f>
        <v>INVALID</v>
      </c>
      <c r="B100" s="0" t="s">
        <v>215</v>
      </c>
      <c r="C100" s="0" t="s">
        <v>807</v>
      </c>
      <c r="D100" s="0" t="s">
        <v>48</v>
      </c>
      <c r="E100" s="0" t="str">
        <f aca="false">B100&amp;"|"&amp;C100&amp;"|"&amp;D100</f>
        <v>Mangochi District [lLDyBx5XyUi]|&lt;15|Male</v>
      </c>
      <c r="F100" s="10" t="n">
        <f aca="false">IFERROR(1/(1/SUM(SUMIFS(Cascade!$O:$O,Cascade!$B:$B,$B100,Cascade!$C:$C,IF($C100="&lt;15",{"=&lt;01","01-09","10-14"},{"15-24","25-34","35-49","50+"}),Cascade!$D:$D,$D100))),"")</f>
        <v>6</v>
      </c>
      <c r="G100" s="10" t="n">
        <f aca="false">IFERROR(1/(1/SUM(SUMIFS(Cascade!$AX:$AX,Cascade!$B:$B,$B100,Cascade!$C:$C,IF($C100="&lt;15",{"=&lt;01","01-09","10-14"},{"15-24","25-34","35-49","50+"}),Cascade!$D:$D,$D100))),"")</f>
        <v>1</v>
      </c>
      <c r="H100" s="88" t="n">
        <f aca="false">1</f>
        <v>1</v>
      </c>
      <c r="I100" s="88" t="n">
        <f aca="false">1</f>
        <v>1</v>
      </c>
      <c r="J100" s="88"/>
      <c r="K100" s="88"/>
      <c r="L100" s="39" t="n">
        <f aca="false">IF(SUM($F100)=0,"",ROUND($F100*$H100*$J100,0))</f>
        <v>0</v>
      </c>
      <c r="M100" s="39" t="n">
        <f aca="false">IF(SUM($F100)=0,"",ROUND($F100*$H100,0)-$L100)</f>
        <v>6</v>
      </c>
      <c r="N100" s="39" t="n">
        <f aca="false">IF(SUM($G100)=0,"",ROUND($G100*$I100*$K100,0))</f>
        <v>0</v>
      </c>
      <c r="O100" s="39" t="n">
        <f aca="false">IF(SUM($G100)=0,"",ROUND($G100*$I100,0)-$N100)</f>
        <v>1</v>
      </c>
      <c r="P100" s="10" t="n">
        <v>9</v>
      </c>
      <c r="Q100" s="10"/>
      <c r="R100" s="10" t="n">
        <v>1</v>
      </c>
      <c r="S100" s="10" t="n">
        <f aca="false">IFERROR(1/(1/SUM($P100,$R100,$Q100)),"")</f>
        <v>10</v>
      </c>
      <c r="T100" s="88" t="n">
        <f aca="false">IF(SUM($F100)=0,"",MIN($S100/$F100,1))</f>
        <v>1</v>
      </c>
      <c r="U100" s="88" t="n">
        <f aca="false">1</f>
        <v>1</v>
      </c>
      <c r="V100" s="88" t="n">
        <f aca="false">1</f>
        <v>1</v>
      </c>
      <c r="W100" s="39" t="n">
        <f aca="false">IF(SUM($M100)=0,"",IF($T100="","ENTER ELIGIBILITY RATE",IF($U100 = "","ENTER INITIATION RATE",ROUND($M100*$T100*$U100,0))))</f>
        <v>6</v>
      </c>
      <c r="X100" s="39" t="n">
        <f aca="false">IF(SUM($O100)=0,"",IF($V100="","ENTER INITIATION RATE",ROUND($O100*$V100,0)))</f>
        <v>1</v>
      </c>
      <c r="Y100" s="88" t="n">
        <f aca="false">0.9</f>
        <v>0.9</v>
      </c>
      <c r="Z100" s="39" t="n">
        <f aca="false">IF(SUM($W100)=0,"",IF($Y100="","ENTER COMPLETION RATE",ROUND($W100*$Y100,0)))</f>
        <v>5</v>
      </c>
      <c r="AA100" s="39" t="n">
        <f aca="false">IF(SUM($X100)=0,"",IF($X100="","ENTER COMPLETION RATE",ROUND($X100*$Y100,0)))</f>
        <v>1</v>
      </c>
      <c r="AB100" s="88" t="str">
        <f aca="false">IF(SUM($Q100)=0,"",(SUM($Z100)-$Q100)/$Q100)</f>
        <v/>
      </c>
      <c r="AC100" s="88" t="n">
        <f aca="false">IF(SUM($R100)=0,"",(SUM($AA100)-$R100)/$R100)</f>
        <v>0</v>
      </c>
    </row>
    <row r="101" customFormat="false" ht="15" hidden="false" customHeight="false" outlineLevel="0" collapsed="false">
      <c r="A101" s="0" t="str">
        <f aca="false">INDEX(Prioritization!$D:$D,MATCH($B101,Prioritization!$A:$A,0))</f>
        <v>INVALID</v>
      </c>
      <c r="B101" s="0" t="s">
        <v>215</v>
      </c>
      <c r="C101" s="0" t="s">
        <v>808</v>
      </c>
      <c r="D101" s="0" t="s">
        <v>30</v>
      </c>
      <c r="E101" s="0" t="str">
        <f aca="false">B101&amp;"|"&amp;C101&amp;"|"&amp;D101</f>
        <v>Mangochi District [lLDyBx5XyUi]|15+|Female</v>
      </c>
      <c r="F101" s="10" t="str">
        <f aca="false">IFERROR(1/(1/SUM(SUMIFS(Cascade!$O:$O,Cascade!$B:$B,$B101,Cascade!$C:$C,IF($C101="&lt;15",{"=&lt;01","01-09","10-14"},{"15-24","25-34","35-49","50+"}),Cascade!$D:$D,$D101))),"")</f>
        <v/>
      </c>
      <c r="G101" s="10" t="str">
        <f aca="false">IFERROR(1/(1/SUM(SUMIFS(Cascade!$AX:$AX,Cascade!$B:$B,$B101,Cascade!$C:$C,IF($C101="&lt;15",{"=&lt;01","01-09","10-14"},{"15-24","25-34","35-49","50+"}),Cascade!$D:$D,$D101))),"")</f>
        <v/>
      </c>
      <c r="H101" s="88" t="n">
        <f aca="false">1</f>
        <v>1</v>
      </c>
      <c r="I101" s="88" t="n">
        <f aca="false">1</f>
        <v>1</v>
      </c>
      <c r="J101" s="88"/>
      <c r="K101" s="88"/>
      <c r="L101" s="39" t="str">
        <f aca="false">IF(SUM($F101)=0,"",ROUND($F101*$H101*$J101,0))</f>
        <v/>
      </c>
      <c r="M101" s="39" t="str">
        <f aca="false">IF(SUM($F101)=0,"",ROUND($F101*$H101,0)-$L101)</f>
        <v/>
      </c>
      <c r="N101" s="39" t="str">
        <f aca="false">IF(SUM($G101)=0,"",ROUND($G101*$I101*$K101,0))</f>
        <v/>
      </c>
      <c r="O101" s="39" t="str">
        <f aca="false">IF(SUM($G101)=0,"",ROUND($G101*$I101,0)-$N101)</f>
        <v/>
      </c>
      <c r="P101" s="10" t="n">
        <v>119</v>
      </c>
      <c r="Q101" s="10"/>
      <c r="R101" s="10" t="n">
        <v>78</v>
      </c>
      <c r="S101" s="10" t="n">
        <f aca="false">IFERROR(1/(1/SUM($P101,$R101,$Q101)),"")</f>
        <v>197</v>
      </c>
      <c r="T101" s="88" t="str">
        <f aca="false">IF(SUM($F101)=0,"",MIN($S101/$F101,1))</f>
        <v/>
      </c>
      <c r="U101" s="88" t="n">
        <f aca="false">1</f>
        <v>1</v>
      </c>
      <c r="V101" s="88" t="n">
        <f aca="false">1</f>
        <v>1</v>
      </c>
      <c r="W101" s="39" t="str">
        <f aca="false">IF(SUM($M101)=0,"",IF($T101="","ENTER ELIGIBILITY RATE",IF($U101 = "","ENTER INITIATION RATE",ROUND($M101*$T101*$U101,0))))</f>
        <v/>
      </c>
      <c r="X101" s="39" t="str">
        <f aca="false">IF(SUM($O101)=0,"",IF($V101="","ENTER INITIATION RATE",ROUND($O101*$V101,0)))</f>
        <v/>
      </c>
      <c r="Y101" s="88" t="n">
        <f aca="false">0.9</f>
        <v>0.9</v>
      </c>
      <c r="Z101" s="39" t="str">
        <f aca="false">IF(SUM($W101)=0,"",IF($Y101="","ENTER COMPLETION RATE",ROUND($W101*$Y101,0)))</f>
        <v/>
      </c>
      <c r="AA101" s="39" t="str">
        <f aca="false">IF(SUM($X101)=0,"",IF($X101="","ENTER COMPLETION RATE",ROUND($X101*$Y101,0)))</f>
        <v/>
      </c>
      <c r="AB101" s="88" t="str">
        <f aca="false">IF(SUM($Q101)=0,"",(SUM($Z101)-$Q101)/$Q101)</f>
        <v/>
      </c>
      <c r="AC101" s="88" t="n">
        <f aca="false">IF(SUM($R101)=0,"",(SUM($AA101)-$R101)/$R101)</f>
        <v>-1</v>
      </c>
    </row>
    <row r="102" customFormat="false" ht="15" hidden="false" customHeight="false" outlineLevel="0" collapsed="false">
      <c r="A102" s="0" t="str">
        <f aca="false">INDEX(Prioritization!$D:$D,MATCH($B102,Prioritization!$A:$A,0))</f>
        <v>INVALID</v>
      </c>
      <c r="B102" s="0" t="s">
        <v>215</v>
      </c>
      <c r="C102" s="0" t="s">
        <v>808</v>
      </c>
      <c r="D102" s="0" t="s">
        <v>48</v>
      </c>
      <c r="E102" s="0" t="str">
        <f aca="false">B102&amp;"|"&amp;C102&amp;"|"&amp;D102</f>
        <v>Mangochi District [lLDyBx5XyUi]|15+|Male</v>
      </c>
      <c r="F102" s="10" t="str">
        <f aca="false">IFERROR(1/(1/SUM(SUMIFS(Cascade!$O:$O,Cascade!$B:$B,$B102,Cascade!$C:$C,IF($C102="&lt;15",{"=&lt;01","01-09","10-14"},{"15-24","25-34","35-49","50+"}),Cascade!$D:$D,$D102))),"")</f>
        <v/>
      </c>
      <c r="G102" s="10" t="str">
        <f aca="false">IFERROR(1/(1/SUM(SUMIFS(Cascade!$AX:$AX,Cascade!$B:$B,$B102,Cascade!$C:$C,IF($C102="&lt;15",{"=&lt;01","01-09","10-14"},{"15-24","25-34","35-49","50+"}),Cascade!$D:$D,$D102))),"")</f>
        <v/>
      </c>
      <c r="H102" s="88" t="n">
        <f aca="false">1</f>
        <v>1</v>
      </c>
      <c r="I102" s="88" t="n">
        <f aca="false">1</f>
        <v>1</v>
      </c>
      <c r="J102" s="88"/>
      <c r="K102" s="88"/>
      <c r="L102" s="39" t="str">
        <f aca="false">IF(SUM($F102)=0,"",ROUND($F102*$H102*$J102,0))</f>
        <v/>
      </c>
      <c r="M102" s="39" t="str">
        <f aca="false">IF(SUM($F102)=0,"",ROUND($F102*$H102,0)-$L102)</f>
        <v/>
      </c>
      <c r="N102" s="39" t="str">
        <f aca="false">IF(SUM($G102)=0,"",ROUND($G102*$I102*$K102,0))</f>
        <v/>
      </c>
      <c r="O102" s="39" t="str">
        <f aca="false">IF(SUM($G102)=0,"",ROUND($G102*$I102,0)-$N102)</f>
        <v/>
      </c>
      <c r="P102" s="10" t="n">
        <v>986</v>
      </c>
      <c r="Q102" s="10"/>
      <c r="R102" s="10" t="n">
        <v>19</v>
      </c>
      <c r="S102" s="10" t="n">
        <f aca="false">IFERROR(1/(1/SUM($P102,$R102,$Q102)),"")</f>
        <v>1005</v>
      </c>
      <c r="T102" s="88" t="str">
        <f aca="false">IF(SUM($F102)=0,"",MIN($S102/$F102,1))</f>
        <v/>
      </c>
      <c r="U102" s="88" t="n">
        <f aca="false">1</f>
        <v>1</v>
      </c>
      <c r="V102" s="88" t="n">
        <f aca="false">1</f>
        <v>1</v>
      </c>
      <c r="W102" s="39" t="str">
        <f aca="false">IF(SUM($M102)=0,"",IF($T102="","ENTER ELIGIBILITY RATE",IF($U102 = "","ENTER INITIATION RATE",ROUND($M102*$T102*$U102,0))))</f>
        <v/>
      </c>
      <c r="X102" s="39" t="str">
        <f aca="false">IF(SUM($O102)=0,"",IF($V102="","ENTER INITIATION RATE",ROUND($O102*$V102,0)))</f>
        <v/>
      </c>
      <c r="Y102" s="88" t="n">
        <f aca="false">0.9</f>
        <v>0.9</v>
      </c>
      <c r="Z102" s="39" t="str">
        <f aca="false">IF(SUM($W102)=0,"",IF($Y102="","ENTER COMPLETION RATE",ROUND($W102*$Y102,0)))</f>
        <v/>
      </c>
      <c r="AA102" s="39" t="str">
        <f aca="false">IF(SUM($X102)=0,"",IF($X102="","ENTER COMPLETION RATE",ROUND($X102*$Y102,0)))</f>
        <v/>
      </c>
      <c r="AB102" s="88" t="str">
        <f aca="false">IF(SUM($Q102)=0,"",(SUM($Z102)-$Q102)/$Q102)</f>
        <v/>
      </c>
      <c r="AC102" s="88" t="n">
        <f aca="false">IF(SUM($R102)=0,"",(SUM($AA102)-$R102)/$R102)</f>
        <v>-1</v>
      </c>
    </row>
    <row r="103" customFormat="false" ht="15" hidden="false" customHeight="false" outlineLevel="0" collapsed="false">
      <c r="A103" s="0" t="str">
        <f aca="false">INDEX(Prioritization!$D:$D,MATCH($B103,Prioritization!$A:$A,0))</f>
        <v>INVALID</v>
      </c>
      <c r="B103" s="0" t="s">
        <v>216</v>
      </c>
      <c r="C103" s="0" t="s">
        <v>807</v>
      </c>
      <c r="D103" s="0" t="s">
        <v>30</v>
      </c>
      <c r="E103" s="0" t="str">
        <f aca="false">B103&amp;"|"&amp;C103&amp;"|"&amp;D103</f>
        <v>Mulanje District [umc2n1Z4wNv]|&lt;15|Female</v>
      </c>
      <c r="F103" s="10" t="n">
        <f aca="false">IFERROR(1/(1/SUM(SUMIFS(Cascade!$O:$O,Cascade!$B:$B,$B103,Cascade!$C:$C,IF($C103="&lt;15",{"=&lt;01","01-09","10-14"},{"15-24","25-34","35-49","50+"}),Cascade!$D:$D,$D103))),"")</f>
        <v>5</v>
      </c>
      <c r="G103" s="10" t="n">
        <f aca="false">IFERROR(1/(1/SUM(SUMIFS(Cascade!$AX:$AX,Cascade!$B:$B,$B103,Cascade!$C:$C,IF($C103="&lt;15",{"=&lt;01","01-09","10-14"},{"15-24","25-34","35-49","50+"}),Cascade!$D:$D,$D103))),"")</f>
        <v>2</v>
      </c>
      <c r="H103" s="88" t="n">
        <f aca="false">1</f>
        <v>1</v>
      </c>
      <c r="I103" s="88" t="n">
        <f aca="false">1</f>
        <v>1</v>
      </c>
      <c r="J103" s="88"/>
      <c r="K103" s="88"/>
      <c r="L103" s="39" t="n">
        <f aca="false">IF(SUM($F103)=0,"",ROUND($F103*$H103*$J103,0))</f>
        <v>0</v>
      </c>
      <c r="M103" s="39" t="n">
        <f aca="false">IF(SUM($F103)=0,"",ROUND($F103*$H103,0)-$L103)</f>
        <v>5</v>
      </c>
      <c r="N103" s="39" t="n">
        <f aca="false">IF(SUM($G103)=0,"",ROUND($G103*$I103*$K103,0))</f>
        <v>0</v>
      </c>
      <c r="O103" s="39" t="n">
        <f aca="false">IF(SUM($G103)=0,"",ROUND($G103*$I103,0)-$N103)</f>
        <v>2</v>
      </c>
      <c r="P103" s="10" t="n">
        <v>2</v>
      </c>
      <c r="Q103" s="10"/>
      <c r="R103" s="10" t="n">
        <v>64</v>
      </c>
      <c r="S103" s="10" t="n">
        <f aca="false">IFERROR(1/(1/SUM($P103,$R103,$Q103)),"")</f>
        <v>66</v>
      </c>
      <c r="T103" s="88" t="n">
        <f aca="false">IF(SUM($F103)=0,"",MIN($S103/$F103,1))</f>
        <v>1</v>
      </c>
      <c r="U103" s="88" t="n">
        <f aca="false">1</f>
        <v>1</v>
      </c>
      <c r="V103" s="88" t="n">
        <f aca="false">1</f>
        <v>1</v>
      </c>
      <c r="W103" s="39" t="n">
        <f aca="false">IF(SUM($M103)=0,"",IF($T103="","ENTER ELIGIBILITY RATE",IF($U103 = "","ENTER INITIATION RATE",ROUND($M103*$T103*$U103,0))))</f>
        <v>5</v>
      </c>
      <c r="X103" s="39" t="n">
        <f aca="false">IF(SUM($O103)=0,"",IF($V103="","ENTER INITIATION RATE",ROUND($O103*$V103,0)))</f>
        <v>2</v>
      </c>
      <c r="Y103" s="88" t="n">
        <f aca="false">0.9</f>
        <v>0.9</v>
      </c>
      <c r="Z103" s="39" t="n">
        <f aca="false">IF(SUM($W103)=0,"",IF($Y103="","ENTER COMPLETION RATE",ROUND($W103*$Y103,0)))</f>
        <v>5</v>
      </c>
      <c r="AA103" s="39" t="n">
        <f aca="false">IF(SUM($X103)=0,"",IF($X103="","ENTER COMPLETION RATE",ROUND($X103*$Y103,0)))</f>
        <v>2</v>
      </c>
      <c r="AB103" s="88" t="str">
        <f aca="false">IF(SUM($Q103)=0,"",(SUM($Z103)-$Q103)/$Q103)</f>
        <v/>
      </c>
      <c r="AC103" s="88" t="n">
        <f aca="false">IF(SUM($R103)=0,"",(SUM($AA103)-$R103)/$R103)</f>
        <v>-0.96875</v>
      </c>
    </row>
    <row r="104" customFormat="false" ht="15" hidden="false" customHeight="false" outlineLevel="0" collapsed="false">
      <c r="A104" s="0" t="str">
        <f aca="false">INDEX(Prioritization!$D:$D,MATCH($B104,Prioritization!$A:$A,0))</f>
        <v>INVALID</v>
      </c>
      <c r="B104" s="0" t="s">
        <v>216</v>
      </c>
      <c r="C104" s="0" t="s">
        <v>807</v>
      </c>
      <c r="D104" s="0" t="s">
        <v>48</v>
      </c>
      <c r="E104" s="0" t="str">
        <f aca="false">B104&amp;"|"&amp;C104&amp;"|"&amp;D104</f>
        <v>Mulanje District [umc2n1Z4wNv]|&lt;15|Male</v>
      </c>
      <c r="F104" s="10" t="n">
        <f aca="false">IFERROR(1/(1/SUM(SUMIFS(Cascade!$O:$O,Cascade!$B:$B,$B104,Cascade!$C:$C,IF($C104="&lt;15",{"=&lt;01","01-09","10-14"},{"15-24","25-34","35-49","50+"}),Cascade!$D:$D,$D104))),"")</f>
        <v>7</v>
      </c>
      <c r="G104" s="10" t="n">
        <f aca="false">IFERROR(1/(1/SUM(SUMIFS(Cascade!$AX:$AX,Cascade!$B:$B,$B104,Cascade!$C:$C,IF($C104="&lt;15",{"=&lt;01","01-09","10-14"},{"15-24","25-34","35-49","50+"}),Cascade!$D:$D,$D104))),"")</f>
        <v>2</v>
      </c>
      <c r="H104" s="88" t="n">
        <f aca="false">1</f>
        <v>1</v>
      </c>
      <c r="I104" s="88" t="n">
        <f aca="false">1</f>
        <v>1</v>
      </c>
      <c r="J104" s="88"/>
      <c r="K104" s="88"/>
      <c r="L104" s="39" t="n">
        <f aca="false">IF(SUM($F104)=0,"",ROUND($F104*$H104*$J104,0))</f>
        <v>0</v>
      </c>
      <c r="M104" s="39" t="n">
        <f aca="false">IF(SUM($F104)=0,"",ROUND($F104*$H104,0)-$L104)</f>
        <v>7</v>
      </c>
      <c r="N104" s="39" t="n">
        <f aca="false">IF(SUM($G104)=0,"",ROUND($G104*$I104*$K104,0))</f>
        <v>0</v>
      </c>
      <c r="O104" s="39" t="n">
        <f aca="false">IF(SUM($G104)=0,"",ROUND($G104*$I104,0)-$N104)</f>
        <v>2</v>
      </c>
      <c r="P104" s="10" t="n">
        <v>8</v>
      </c>
      <c r="Q104" s="10"/>
      <c r="R104" s="10" t="n">
        <v>98</v>
      </c>
      <c r="S104" s="10" t="n">
        <f aca="false">IFERROR(1/(1/SUM($P104,$R104,$Q104)),"")</f>
        <v>106</v>
      </c>
      <c r="T104" s="88" t="n">
        <f aca="false">IF(SUM($F104)=0,"",MIN($S104/$F104,1))</f>
        <v>1</v>
      </c>
      <c r="U104" s="88" t="n">
        <f aca="false">1</f>
        <v>1</v>
      </c>
      <c r="V104" s="88" t="n">
        <f aca="false">1</f>
        <v>1</v>
      </c>
      <c r="W104" s="39" t="n">
        <f aca="false">IF(SUM($M104)=0,"",IF($T104="","ENTER ELIGIBILITY RATE",IF($U104 = "","ENTER INITIATION RATE",ROUND($M104*$T104*$U104,0))))</f>
        <v>7</v>
      </c>
      <c r="X104" s="39" t="n">
        <f aca="false">IF(SUM($O104)=0,"",IF($V104="","ENTER INITIATION RATE",ROUND($O104*$V104,0)))</f>
        <v>2</v>
      </c>
      <c r="Y104" s="88" t="n">
        <f aca="false">0.9</f>
        <v>0.9</v>
      </c>
      <c r="Z104" s="39" t="n">
        <f aca="false">IF(SUM($W104)=0,"",IF($Y104="","ENTER COMPLETION RATE",ROUND($W104*$Y104,0)))</f>
        <v>6</v>
      </c>
      <c r="AA104" s="39" t="n">
        <f aca="false">IF(SUM($X104)=0,"",IF($X104="","ENTER COMPLETION RATE",ROUND($X104*$Y104,0)))</f>
        <v>2</v>
      </c>
      <c r="AB104" s="88" t="str">
        <f aca="false">IF(SUM($Q104)=0,"",(SUM($Z104)-$Q104)/$Q104)</f>
        <v/>
      </c>
      <c r="AC104" s="88" t="n">
        <f aca="false">IF(SUM($R104)=0,"",(SUM($AA104)-$R104)/$R104)</f>
        <v>-0.979591836734694</v>
      </c>
    </row>
    <row r="105" customFormat="false" ht="15" hidden="false" customHeight="false" outlineLevel="0" collapsed="false">
      <c r="A105" s="0" t="str">
        <f aca="false">INDEX(Prioritization!$D:$D,MATCH($B105,Prioritization!$A:$A,0))</f>
        <v>INVALID</v>
      </c>
      <c r="B105" s="0" t="s">
        <v>216</v>
      </c>
      <c r="C105" s="0" t="s">
        <v>808</v>
      </c>
      <c r="D105" s="0" t="s">
        <v>30</v>
      </c>
      <c r="E105" s="0" t="str">
        <f aca="false">B105&amp;"|"&amp;C105&amp;"|"&amp;D105</f>
        <v>Mulanje District [umc2n1Z4wNv]|15+|Female</v>
      </c>
      <c r="F105" s="10" t="str">
        <f aca="false">IFERROR(1/(1/SUM(SUMIFS(Cascade!$O:$O,Cascade!$B:$B,$B105,Cascade!$C:$C,IF($C105="&lt;15",{"=&lt;01","01-09","10-14"},{"15-24","25-34","35-49","50+"}),Cascade!$D:$D,$D105))),"")</f>
        <v/>
      </c>
      <c r="G105" s="10" t="str">
        <f aca="false">IFERROR(1/(1/SUM(SUMIFS(Cascade!$AX:$AX,Cascade!$B:$B,$B105,Cascade!$C:$C,IF($C105="&lt;15",{"=&lt;01","01-09","10-14"},{"15-24","25-34","35-49","50+"}),Cascade!$D:$D,$D105))),"")</f>
        <v/>
      </c>
      <c r="H105" s="88" t="n">
        <f aca="false">1</f>
        <v>1</v>
      </c>
      <c r="I105" s="88" t="n">
        <f aca="false">1</f>
        <v>1</v>
      </c>
      <c r="J105" s="88"/>
      <c r="K105" s="88"/>
      <c r="L105" s="39" t="str">
        <f aca="false">IF(SUM($F105)=0,"",ROUND($F105*$H105*$J105,0))</f>
        <v/>
      </c>
      <c r="M105" s="39" t="str">
        <f aca="false">IF(SUM($F105)=0,"",ROUND($F105*$H105,0)-$L105)</f>
        <v/>
      </c>
      <c r="N105" s="39" t="str">
        <f aca="false">IF(SUM($G105)=0,"",ROUND($G105*$I105*$K105,0))</f>
        <v/>
      </c>
      <c r="O105" s="39" t="str">
        <f aca="false">IF(SUM($G105)=0,"",ROUND($G105*$I105,0)-$N105)</f>
        <v/>
      </c>
      <c r="P105" s="10" t="n">
        <v>250</v>
      </c>
      <c r="Q105" s="10"/>
      <c r="R105" s="10" t="n">
        <v>824</v>
      </c>
      <c r="S105" s="10" t="n">
        <f aca="false">IFERROR(1/(1/SUM($P105,$R105,$Q105)),"")</f>
        <v>1074</v>
      </c>
      <c r="T105" s="88" t="str">
        <f aca="false">IF(SUM($F105)=0,"",MIN($S105/$F105,1))</f>
        <v/>
      </c>
      <c r="U105" s="88" t="n">
        <f aca="false">1</f>
        <v>1</v>
      </c>
      <c r="V105" s="88" t="n">
        <f aca="false">1</f>
        <v>1</v>
      </c>
      <c r="W105" s="39" t="str">
        <f aca="false">IF(SUM($M105)=0,"",IF($T105="","ENTER ELIGIBILITY RATE",IF($U105 = "","ENTER INITIATION RATE",ROUND($M105*$T105*$U105,0))))</f>
        <v/>
      </c>
      <c r="X105" s="39" t="str">
        <f aca="false">IF(SUM($O105)=0,"",IF($V105="","ENTER INITIATION RATE",ROUND($O105*$V105,0)))</f>
        <v/>
      </c>
      <c r="Y105" s="88" t="n">
        <f aca="false">0.9</f>
        <v>0.9</v>
      </c>
      <c r="Z105" s="39" t="str">
        <f aca="false">IF(SUM($W105)=0,"",IF($Y105="","ENTER COMPLETION RATE",ROUND($W105*$Y105,0)))</f>
        <v/>
      </c>
      <c r="AA105" s="39" t="str">
        <f aca="false">IF(SUM($X105)=0,"",IF($X105="","ENTER COMPLETION RATE",ROUND($X105*$Y105,0)))</f>
        <v/>
      </c>
      <c r="AB105" s="88" t="str">
        <f aca="false">IF(SUM($Q105)=0,"",(SUM($Z105)-$Q105)/$Q105)</f>
        <v/>
      </c>
      <c r="AC105" s="88" t="n">
        <f aca="false">IF(SUM($R105)=0,"",(SUM($AA105)-$R105)/$R105)</f>
        <v>-1</v>
      </c>
    </row>
    <row r="106" customFormat="false" ht="15" hidden="false" customHeight="false" outlineLevel="0" collapsed="false">
      <c r="A106" s="0" t="str">
        <f aca="false">INDEX(Prioritization!$D:$D,MATCH($B106,Prioritization!$A:$A,0))</f>
        <v>INVALID</v>
      </c>
      <c r="B106" s="0" t="s">
        <v>216</v>
      </c>
      <c r="C106" s="0" t="s">
        <v>808</v>
      </c>
      <c r="D106" s="0" t="s">
        <v>48</v>
      </c>
      <c r="E106" s="0" t="str">
        <f aca="false">B106&amp;"|"&amp;C106&amp;"|"&amp;D106</f>
        <v>Mulanje District [umc2n1Z4wNv]|15+|Male</v>
      </c>
      <c r="F106" s="10" t="str">
        <f aca="false">IFERROR(1/(1/SUM(SUMIFS(Cascade!$O:$O,Cascade!$B:$B,$B106,Cascade!$C:$C,IF($C106="&lt;15",{"=&lt;01","01-09","10-14"},{"15-24","25-34","35-49","50+"}),Cascade!$D:$D,$D106))),"")</f>
        <v/>
      </c>
      <c r="G106" s="10" t="str">
        <f aca="false">IFERROR(1/(1/SUM(SUMIFS(Cascade!$AX:$AX,Cascade!$B:$B,$B106,Cascade!$C:$C,IF($C106="&lt;15",{"=&lt;01","01-09","10-14"},{"15-24","25-34","35-49","50+"}),Cascade!$D:$D,$D106))),"")</f>
        <v/>
      </c>
      <c r="H106" s="88" t="n">
        <f aca="false">1</f>
        <v>1</v>
      </c>
      <c r="I106" s="88" t="n">
        <f aca="false">1</f>
        <v>1</v>
      </c>
      <c r="J106" s="88"/>
      <c r="K106" s="88"/>
      <c r="L106" s="39" t="str">
        <f aca="false">IF(SUM($F106)=0,"",ROUND($F106*$H106*$J106,0))</f>
        <v/>
      </c>
      <c r="M106" s="39" t="str">
        <f aca="false">IF(SUM($F106)=0,"",ROUND($F106*$H106,0)-$L106)</f>
        <v/>
      </c>
      <c r="N106" s="39" t="str">
        <f aca="false">IF(SUM($G106)=0,"",ROUND($G106*$I106*$K106,0))</f>
        <v/>
      </c>
      <c r="O106" s="39" t="str">
        <f aca="false">IF(SUM($G106)=0,"",ROUND($G106*$I106,0)-$N106)</f>
        <v/>
      </c>
      <c r="P106" s="10" t="n">
        <v>15</v>
      </c>
      <c r="Q106" s="10"/>
      <c r="R106" s="10" t="n">
        <v>816</v>
      </c>
      <c r="S106" s="10" t="n">
        <f aca="false">IFERROR(1/(1/SUM($P106,$R106,$Q106)),"")</f>
        <v>831</v>
      </c>
      <c r="T106" s="88" t="str">
        <f aca="false">IF(SUM($F106)=0,"",MIN($S106/$F106,1))</f>
        <v/>
      </c>
      <c r="U106" s="88" t="n">
        <f aca="false">1</f>
        <v>1</v>
      </c>
      <c r="V106" s="88" t="n">
        <f aca="false">1</f>
        <v>1</v>
      </c>
      <c r="W106" s="39" t="str">
        <f aca="false">IF(SUM($M106)=0,"",IF($T106="","ENTER ELIGIBILITY RATE",IF($U106 = "","ENTER INITIATION RATE",ROUND($M106*$T106*$U106,0))))</f>
        <v/>
      </c>
      <c r="X106" s="39" t="str">
        <f aca="false">IF(SUM($O106)=0,"",IF($V106="","ENTER INITIATION RATE",ROUND($O106*$V106,0)))</f>
        <v/>
      </c>
      <c r="Y106" s="88" t="n">
        <f aca="false">0.9</f>
        <v>0.9</v>
      </c>
      <c r="Z106" s="39" t="str">
        <f aca="false">IF(SUM($W106)=0,"",IF($Y106="","ENTER COMPLETION RATE",ROUND($W106*$Y106,0)))</f>
        <v/>
      </c>
      <c r="AA106" s="39" t="str">
        <f aca="false">IF(SUM($X106)=0,"",IF($X106="","ENTER COMPLETION RATE",ROUND($X106*$Y106,0)))</f>
        <v/>
      </c>
      <c r="AB106" s="88" t="str">
        <f aca="false">IF(SUM($Q106)=0,"",(SUM($Z106)-$Q106)/$Q106)</f>
        <v/>
      </c>
      <c r="AC106" s="88" t="n">
        <f aca="false">IF(SUM($R106)=0,"",(SUM($AA106)-$R106)/$R106)</f>
        <v>-1</v>
      </c>
    </row>
    <row r="107" customFormat="false" ht="15" hidden="false" customHeight="false" outlineLevel="0" collapsed="false">
      <c r="A107" s="0" t="str">
        <f aca="false">INDEX(Prioritization!$D:$D,MATCH($B107,Prioritization!$A:$A,0))</f>
        <v>INVALID</v>
      </c>
      <c r="B107" s="0" t="s">
        <v>217</v>
      </c>
      <c r="C107" s="0" t="s">
        <v>807</v>
      </c>
      <c r="D107" s="0" t="s">
        <v>30</v>
      </c>
      <c r="E107" s="0" t="str">
        <f aca="false">B107&amp;"|"&amp;C107&amp;"|"&amp;D107</f>
        <v>Mwanza District [wNqJp8oRIcF]|&lt;15|Female</v>
      </c>
      <c r="F107" s="10" t="n">
        <f aca="false">IFERROR(1/(1/SUM(SUMIFS(Cascade!$O:$O,Cascade!$B:$B,$B107,Cascade!$C:$C,IF($C107="&lt;15",{"=&lt;01","01-09","10-14"},{"15-24","25-34","35-49","50+"}),Cascade!$D:$D,$D107))),"")</f>
        <v>1</v>
      </c>
      <c r="G107" s="10" t="str">
        <f aca="false">IFERROR(1/(1/SUM(SUMIFS(Cascade!$AX:$AX,Cascade!$B:$B,$B107,Cascade!$C:$C,IF($C107="&lt;15",{"=&lt;01","01-09","10-14"},{"15-24","25-34","35-49","50+"}),Cascade!$D:$D,$D107))),"")</f>
        <v/>
      </c>
      <c r="H107" s="88" t="n">
        <f aca="false">1</f>
        <v>1</v>
      </c>
      <c r="I107" s="88" t="n">
        <f aca="false">1</f>
        <v>1</v>
      </c>
      <c r="J107" s="88"/>
      <c r="K107" s="88"/>
      <c r="L107" s="39" t="n">
        <f aca="false">IF(SUM($F107)=0,"",ROUND($F107*$H107*$J107,0))</f>
        <v>0</v>
      </c>
      <c r="M107" s="39" t="n">
        <f aca="false">IF(SUM($F107)=0,"",ROUND($F107*$H107,0)-$L107)</f>
        <v>1</v>
      </c>
      <c r="N107" s="39" t="str">
        <f aca="false">IF(SUM($G107)=0,"",ROUND($G107*$I107*$K107,0))</f>
        <v/>
      </c>
      <c r="O107" s="39" t="str">
        <f aca="false">IF(SUM($G107)=0,"",ROUND($G107*$I107,0)-$N107)</f>
        <v/>
      </c>
      <c r="P107" s="10" t="n">
        <v>0</v>
      </c>
      <c r="Q107" s="10"/>
      <c r="R107" s="10" t="n">
        <v>7</v>
      </c>
      <c r="S107" s="10" t="n">
        <f aca="false">IFERROR(1/(1/SUM($P107,$R107,$Q107)),"")</f>
        <v>7</v>
      </c>
      <c r="T107" s="88" t="n">
        <f aca="false">IF(SUM($F107)=0,"",MIN($S107/$F107,1))</f>
        <v>1</v>
      </c>
      <c r="U107" s="88" t="n">
        <f aca="false">1</f>
        <v>1</v>
      </c>
      <c r="V107" s="88" t="n">
        <f aca="false">1</f>
        <v>1</v>
      </c>
      <c r="W107" s="39" t="n">
        <f aca="false">IF(SUM($M107)=0,"",IF($T107="","ENTER ELIGIBILITY RATE",IF($U107 = "","ENTER INITIATION RATE",ROUND($M107*$T107*$U107,0))))</f>
        <v>1</v>
      </c>
      <c r="X107" s="39" t="str">
        <f aca="false">IF(SUM($O107)=0,"",IF($V107="","ENTER INITIATION RATE",ROUND($O107*$V107,0)))</f>
        <v/>
      </c>
      <c r="Y107" s="88" t="n">
        <f aca="false">0.9</f>
        <v>0.9</v>
      </c>
      <c r="Z107" s="39" t="n">
        <f aca="false">IF(SUM($W107)=0,"",IF($Y107="","ENTER COMPLETION RATE",ROUND($W107*$Y107,0)))</f>
        <v>1</v>
      </c>
      <c r="AA107" s="39" t="str">
        <f aca="false">IF(SUM($X107)=0,"",IF($X107="","ENTER COMPLETION RATE",ROUND($X107*$Y107,0)))</f>
        <v/>
      </c>
      <c r="AB107" s="88" t="str">
        <f aca="false">IF(SUM($Q107)=0,"",(SUM($Z107)-$Q107)/$Q107)</f>
        <v/>
      </c>
      <c r="AC107" s="88" t="n">
        <f aca="false">IF(SUM($R107)=0,"",(SUM($AA107)-$R107)/$R107)</f>
        <v>-1</v>
      </c>
    </row>
    <row r="108" customFormat="false" ht="15" hidden="false" customHeight="false" outlineLevel="0" collapsed="false">
      <c r="A108" s="0" t="str">
        <f aca="false">INDEX(Prioritization!$D:$D,MATCH($B108,Prioritization!$A:$A,0))</f>
        <v>INVALID</v>
      </c>
      <c r="B108" s="0" t="s">
        <v>217</v>
      </c>
      <c r="C108" s="0" t="s">
        <v>807</v>
      </c>
      <c r="D108" s="0" t="s">
        <v>48</v>
      </c>
      <c r="E108" s="0" t="str">
        <f aca="false">B108&amp;"|"&amp;C108&amp;"|"&amp;D108</f>
        <v>Mwanza District [wNqJp8oRIcF]|&lt;15|Male</v>
      </c>
      <c r="F108" s="10" t="n">
        <f aca="false">IFERROR(1/(1/SUM(SUMIFS(Cascade!$O:$O,Cascade!$B:$B,$B108,Cascade!$C:$C,IF($C108="&lt;15",{"=&lt;01","01-09","10-14"},{"15-24","25-34","35-49","50+"}),Cascade!$D:$D,$D108))),"")</f>
        <v>1</v>
      </c>
      <c r="G108" s="10" t="str">
        <f aca="false">IFERROR(1/(1/SUM(SUMIFS(Cascade!$AX:$AX,Cascade!$B:$B,$B108,Cascade!$C:$C,IF($C108="&lt;15",{"=&lt;01","01-09","10-14"},{"15-24","25-34","35-49","50+"}),Cascade!$D:$D,$D108))),"")</f>
        <v/>
      </c>
      <c r="H108" s="88" t="n">
        <f aca="false">1</f>
        <v>1</v>
      </c>
      <c r="I108" s="88" t="n">
        <f aca="false">1</f>
        <v>1</v>
      </c>
      <c r="J108" s="88"/>
      <c r="K108" s="88"/>
      <c r="L108" s="39" t="n">
        <f aca="false">IF(SUM($F108)=0,"",ROUND($F108*$H108*$J108,0))</f>
        <v>0</v>
      </c>
      <c r="M108" s="39" t="n">
        <f aca="false">IF(SUM($F108)=0,"",ROUND($F108*$H108,0)-$L108)</f>
        <v>1</v>
      </c>
      <c r="N108" s="39" t="str">
        <f aca="false">IF(SUM($G108)=0,"",ROUND($G108*$I108*$K108,0))</f>
        <v/>
      </c>
      <c r="O108" s="39" t="str">
        <f aca="false">IF(SUM($G108)=0,"",ROUND($G108*$I108,0)-$N108)</f>
        <v/>
      </c>
      <c r="P108" s="10" t="n">
        <v>0</v>
      </c>
      <c r="Q108" s="10"/>
      <c r="R108" s="10" t="n">
        <v>5</v>
      </c>
      <c r="S108" s="10" t="n">
        <f aca="false">IFERROR(1/(1/SUM($P108,$R108,$Q108)),"")</f>
        <v>5</v>
      </c>
      <c r="T108" s="88" t="n">
        <f aca="false">IF(SUM($F108)=0,"",MIN($S108/$F108,1))</f>
        <v>1</v>
      </c>
      <c r="U108" s="88" t="n">
        <f aca="false">1</f>
        <v>1</v>
      </c>
      <c r="V108" s="88" t="n">
        <f aca="false">1</f>
        <v>1</v>
      </c>
      <c r="W108" s="39" t="n">
        <f aca="false">IF(SUM($M108)=0,"",IF($T108="","ENTER ELIGIBILITY RATE",IF($U108 = "","ENTER INITIATION RATE",ROUND($M108*$T108*$U108,0))))</f>
        <v>1</v>
      </c>
      <c r="X108" s="39" t="str">
        <f aca="false">IF(SUM($O108)=0,"",IF($V108="","ENTER INITIATION RATE",ROUND($O108*$V108,0)))</f>
        <v/>
      </c>
      <c r="Y108" s="88" t="n">
        <f aca="false">0.9</f>
        <v>0.9</v>
      </c>
      <c r="Z108" s="39" t="n">
        <f aca="false">IF(SUM($W108)=0,"",IF($Y108="","ENTER COMPLETION RATE",ROUND($W108*$Y108,0)))</f>
        <v>1</v>
      </c>
      <c r="AA108" s="39" t="str">
        <f aca="false">IF(SUM($X108)=0,"",IF($X108="","ENTER COMPLETION RATE",ROUND($X108*$Y108,0)))</f>
        <v/>
      </c>
      <c r="AB108" s="88" t="str">
        <f aca="false">IF(SUM($Q108)=0,"",(SUM($Z108)-$Q108)/$Q108)</f>
        <v/>
      </c>
      <c r="AC108" s="88" t="n">
        <f aca="false">IF(SUM($R108)=0,"",(SUM($AA108)-$R108)/$R108)</f>
        <v>-1</v>
      </c>
    </row>
    <row r="109" customFormat="false" ht="15" hidden="false" customHeight="false" outlineLevel="0" collapsed="false">
      <c r="A109" s="0" t="str">
        <f aca="false">INDEX(Prioritization!$D:$D,MATCH($B109,Prioritization!$A:$A,0))</f>
        <v>INVALID</v>
      </c>
      <c r="B109" s="0" t="s">
        <v>217</v>
      </c>
      <c r="C109" s="0" t="s">
        <v>808</v>
      </c>
      <c r="D109" s="0" t="s">
        <v>30</v>
      </c>
      <c r="E109" s="0" t="str">
        <f aca="false">B109&amp;"|"&amp;C109&amp;"|"&amp;D109</f>
        <v>Mwanza District [wNqJp8oRIcF]|15+|Female</v>
      </c>
      <c r="F109" s="10" t="str">
        <f aca="false">IFERROR(1/(1/SUM(SUMIFS(Cascade!$O:$O,Cascade!$B:$B,$B109,Cascade!$C:$C,IF($C109="&lt;15",{"=&lt;01","01-09","10-14"},{"15-24","25-34","35-49","50+"}),Cascade!$D:$D,$D109))),"")</f>
        <v/>
      </c>
      <c r="G109" s="10" t="str">
        <f aca="false">IFERROR(1/(1/SUM(SUMIFS(Cascade!$AX:$AX,Cascade!$B:$B,$B109,Cascade!$C:$C,IF($C109="&lt;15",{"=&lt;01","01-09","10-14"},{"15-24","25-34","35-49","50+"}),Cascade!$D:$D,$D109))),"")</f>
        <v/>
      </c>
      <c r="H109" s="88" t="n">
        <f aca="false">1</f>
        <v>1</v>
      </c>
      <c r="I109" s="88" t="n">
        <f aca="false">1</f>
        <v>1</v>
      </c>
      <c r="J109" s="88"/>
      <c r="K109" s="88"/>
      <c r="L109" s="39" t="str">
        <f aca="false">IF(SUM($F109)=0,"",ROUND($F109*$H109*$J109,0))</f>
        <v/>
      </c>
      <c r="M109" s="39" t="str">
        <f aca="false">IF(SUM($F109)=0,"",ROUND($F109*$H109,0)-$L109)</f>
        <v/>
      </c>
      <c r="N109" s="39" t="str">
        <f aca="false">IF(SUM($G109)=0,"",ROUND($G109*$I109*$K109,0))</f>
        <v/>
      </c>
      <c r="O109" s="39" t="str">
        <f aca="false">IF(SUM($G109)=0,"",ROUND($G109*$I109,0)-$N109)</f>
        <v/>
      </c>
      <c r="P109" s="10" t="n">
        <v>98</v>
      </c>
      <c r="Q109" s="10"/>
      <c r="R109" s="10" t="n">
        <v>96</v>
      </c>
      <c r="S109" s="10" t="n">
        <f aca="false">IFERROR(1/(1/SUM($P109,$R109,$Q109)),"")</f>
        <v>194</v>
      </c>
      <c r="T109" s="88" t="str">
        <f aca="false">IF(SUM($F109)=0,"",MIN($S109/$F109,1))</f>
        <v/>
      </c>
      <c r="U109" s="88" t="n">
        <f aca="false">1</f>
        <v>1</v>
      </c>
      <c r="V109" s="88" t="n">
        <f aca="false">1</f>
        <v>1</v>
      </c>
      <c r="W109" s="39" t="str">
        <f aca="false">IF(SUM($M109)=0,"",IF($T109="","ENTER ELIGIBILITY RATE",IF($U109 = "","ENTER INITIATION RATE",ROUND($M109*$T109*$U109,0))))</f>
        <v/>
      </c>
      <c r="X109" s="39" t="str">
        <f aca="false">IF(SUM($O109)=0,"",IF($V109="","ENTER INITIATION RATE",ROUND($O109*$V109,0)))</f>
        <v/>
      </c>
      <c r="Y109" s="88" t="n">
        <f aca="false">0.9</f>
        <v>0.9</v>
      </c>
      <c r="Z109" s="39" t="str">
        <f aca="false">IF(SUM($W109)=0,"",IF($Y109="","ENTER COMPLETION RATE",ROUND($W109*$Y109,0)))</f>
        <v/>
      </c>
      <c r="AA109" s="39" t="str">
        <f aca="false">IF(SUM($X109)=0,"",IF($X109="","ENTER COMPLETION RATE",ROUND($X109*$Y109,0)))</f>
        <v/>
      </c>
      <c r="AB109" s="88" t="str">
        <f aca="false">IF(SUM($Q109)=0,"",(SUM($Z109)-$Q109)/$Q109)</f>
        <v/>
      </c>
      <c r="AC109" s="88" t="n">
        <f aca="false">IF(SUM($R109)=0,"",(SUM($AA109)-$R109)/$R109)</f>
        <v>-1</v>
      </c>
    </row>
    <row r="110" customFormat="false" ht="15" hidden="false" customHeight="false" outlineLevel="0" collapsed="false">
      <c r="A110" s="0" t="str">
        <f aca="false">INDEX(Prioritization!$D:$D,MATCH($B110,Prioritization!$A:$A,0))</f>
        <v>INVALID</v>
      </c>
      <c r="B110" s="0" t="s">
        <v>217</v>
      </c>
      <c r="C110" s="0" t="s">
        <v>808</v>
      </c>
      <c r="D110" s="0" t="s">
        <v>48</v>
      </c>
      <c r="E110" s="0" t="str">
        <f aca="false">B110&amp;"|"&amp;C110&amp;"|"&amp;D110</f>
        <v>Mwanza District [wNqJp8oRIcF]|15+|Male</v>
      </c>
      <c r="F110" s="10" t="str">
        <f aca="false">IFERROR(1/(1/SUM(SUMIFS(Cascade!$O:$O,Cascade!$B:$B,$B110,Cascade!$C:$C,IF($C110="&lt;15",{"=&lt;01","01-09","10-14"},{"15-24","25-34","35-49","50+"}),Cascade!$D:$D,$D110))),"")</f>
        <v/>
      </c>
      <c r="G110" s="10" t="str">
        <f aca="false">IFERROR(1/(1/SUM(SUMIFS(Cascade!$AX:$AX,Cascade!$B:$B,$B110,Cascade!$C:$C,IF($C110="&lt;15",{"=&lt;01","01-09","10-14"},{"15-24","25-34","35-49","50+"}),Cascade!$D:$D,$D110))),"")</f>
        <v/>
      </c>
      <c r="H110" s="88" t="n">
        <f aca="false">1</f>
        <v>1</v>
      </c>
      <c r="I110" s="88" t="n">
        <f aca="false">1</f>
        <v>1</v>
      </c>
      <c r="J110" s="88"/>
      <c r="K110" s="88"/>
      <c r="L110" s="39" t="str">
        <f aca="false">IF(SUM($F110)=0,"",ROUND($F110*$H110*$J110,0))</f>
        <v/>
      </c>
      <c r="M110" s="39" t="str">
        <f aca="false">IF(SUM($F110)=0,"",ROUND($F110*$H110,0)-$L110)</f>
        <v/>
      </c>
      <c r="N110" s="39" t="str">
        <f aca="false">IF(SUM($G110)=0,"",ROUND($G110*$I110*$K110,0))</f>
        <v/>
      </c>
      <c r="O110" s="39" t="str">
        <f aca="false">IF(SUM($G110)=0,"",ROUND($G110*$I110,0)-$N110)</f>
        <v/>
      </c>
      <c r="P110" s="10" t="n">
        <v>3</v>
      </c>
      <c r="Q110" s="10"/>
      <c r="R110" s="10" t="n">
        <v>9</v>
      </c>
      <c r="S110" s="10" t="n">
        <f aca="false">IFERROR(1/(1/SUM($P110,$R110,$Q110)),"")</f>
        <v>12</v>
      </c>
      <c r="T110" s="88" t="str">
        <f aca="false">IF(SUM($F110)=0,"",MIN($S110/$F110,1))</f>
        <v/>
      </c>
      <c r="U110" s="88" t="n">
        <f aca="false">1</f>
        <v>1</v>
      </c>
      <c r="V110" s="88" t="n">
        <f aca="false">1</f>
        <v>1</v>
      </c>
      <c r="W110" s="39" t="str">
        <f aca="false">IF(SUM($M110)=0,"",IF($T110="","ENTER ELIGIBILITY RATE",IF($U110 = "","ENTER INITIATION RATE",ROUND($M110*$T110*$U110,0))))</f>
        <v/>
      </c>
      <c r="X110" s="39" t="str">
        <f aca="false">IF(SUM($O110)=0,"",IF($V110="","ENTER INITIATION RATE",ROUND($O110*$V110,0)))</f>
        <v/>
      </c>
      <c r="Y110" s="88" t="n">
        <f aca="false">0.9</f>
        <v>0.9</v>
      </c>
      <c r="Z110" s="39" t="str">
        <f aca="false">IF(SUM($W110)=0,"",IF($Y110="","ENTER COMPLETION RATE",ROUND($W110*$Y110,0)))</f>
        <v/>
      </c>
      <c r="AA110" s="39" t="str">
        <f aca="false">IF(SUM($X110)=0,"",IF($X110="","ENTER COMPLETION RATE",ROUND($X110*$Y110,0)))</f>
        <v/>
      </c>
      <c r="AB110" s="88" t="str">
        <f aca="false">IF(SUM($Q110)=0,"",(SUM($Z110)-$Q110)/$Q110)</f>
        <v/>
      </c>
      <c r="AC110" s="88" t="n">
        <f aca="false">IF(SUM($R110)=0,"",(SUM($AA110)-$R110)/$R110)</f>
        <v>-1</v>
      </c>
    </row>
    <row r="111" customFormat="false" ht="15" hidden="false" customHeight="false" outlineLevel="0" collapsed="false">
      <c r="A111" s="0" t="str">
        <f aca="false">INDEX(Prioritization!$D:$D,MATCH($B111,Prioritization!$A:$A,0))</f>
        <v>INVALID</v>
      </c>
      <c r="B111" s="0" t="s">
        <v>218</v>
      </c>
      <c r="C111" s="0" t="s">
        <v>807</v>
      </c>
      <c r="D111" s="0" t="s">
        <v>30</v>
      </c>
      <c r="E111" s="0" t="str">
        <f aca="false">B111&amp;"|"&amp;C111&amp;"|"&amp;D111</f>
        <v>Neno District [gwVYinjBAe9]|&lt;15|Female</v>
      </c>
      <c r="F111" s="10" t="n">
        <f aca="false">IFERROR(1/(1/SUM(SUMIFS(Cascade!$O:$O,Cascade!$B:$B,$B111,Cascade!$C:$C,IF($C111="&lt;15",{"=&lt;01","01-09","10-14"},{"15-24","25-34","35-49","50+"}),Cascade!$D:$D,$D111))),"")</f>
        <v>5</v>
      </c>
      <c r="G111" s="10" t="str">
        <f aca="false">IFERROR(1/(1/SUM(SUMIFS(Cascade!$AX:$AX,Cascade!$B:$B,$B111,Cascade!$C:$C,IF($C111="&lt;15",{"=&lt;01","01-09","10-14"},{"15-24","25-34","35-49","50+"}),Cascade!$D:$D,$D111))),"")</f>
        <v/>
      </c>
      <c r="H111" s="88" t="n">
        <f aca="false">1</f>
        <v>1</v>
      </c>
      <c r="I111" s="88" t="n">
        <f aca="false">1</f>
        <v>1</v>
      </c>
      <c r="J111" s="88"/>
      <c r="K111" s="88"/>
      <c r="L111" s="39" t="n">
        <f aca="false">IF(SUM($F111)=0,"",ROUND($F111*$H111*$J111,0))</f>
        <v>0</v>
      </c>
      <c r="M111" s="39" t="n">
        <f aca="false">IF(SUM($F111)=0,"",ROUND($F111*$H111,0)-$L111)</f>
        <v>5</v>
      </c>
      <c r="N111" s="39" t="str">
        <f aca="false">IF(SUM($G111)=0,"",ROUND($G111*$I111*$K111,0))</f>
        <v/>
      </c>
      <c r="O111" s="39" t="str">
        <f aca="false">IF(SUM($G111)=0,"",ROUND($G111*$I111,0)-$N111)</f>
        <v/>
      </c>
      <c r="P111" s="10" t="n">
        <v>0</v>
      </c>
      <c r="Q111" s="10"/>
      <c r="R111" s="10" t="n">
        <v>1</v>
      </c>
      <c r="S111" s="10" t="n">
        <f aca="false">IFERROR(1/(1/SUM($P111,$R111,$Q111)),"")</f>
        <v>1</v>
      </c>
      <c r="T111" s="88" t="n">
        <f aca="false">IF(SUM($F111)=0,"",MIN($S111/$F111,1))</f>
        <v>0.2</v>
      </c>
      <c r="U111" s="88" t="n">
        <f aca="false">1</f>
        <v>1</v>
      </c>
      <c r="V111" s="88" t="n">
        <f aca="false">1</f>
        <v>1</v>
      </c>
      <c r="W111" s="39" t="n">
        <f aca="false">IF(SUM($M111)=0,"",IF($T111="","ENTER ELIGIBILITY RATE",IF($U111 = "","ENTER INITIATION RATE",ROUND($M111*$T111*$U111,0))))</f>
        <v>1</v>
      </c>
      <c r="X111" s="39" t="str">
        <f aca="false">IF(SUM($O111)=0,"",IF($V111="","ENTER INITIATION RATE",ROUND($O111*$V111,0)))</f>
        <v/>
      </c>
      <c r="Y111" s="88" t="n">
        <f aca="false">0.9</f>
        <v>0.9</v>
      </c>
      <c r="Z111" s="39" t="n">
        <f aca="false">IF(SUM($W111)=0,"",IF($Y111="","ENTER COMPLETION RATE",ROUND($W111*$Y111,0)))</f>
        <v>1</v>
      </c>
      <c r="AA111" s="39" t="str">
        <f aca="false">IF(SUM($X111)=0,"",IF($X111="","ENTER COMPLETION RATE",ROUND($X111*$Y111,0)))</f>
        <v/>
      </c>
      <c r="AB111" s="88" t="str">
        <f aca="false">IF(SUM($Q111)=0,"",(SUM($Z111)-$Q111)/$Q111)</f>
        <v/>
      </c>
      <c r="AC111" s="88" t="n">
        <f aca="false">IF(SUM($R111)=0,"",(SUM($AA111)-$R111)/$R111)</f>
        <v>-1</v>
      </c>
    </row>
    <row r="112" customFormat="false" ht="15" hidden="false" customHeight="false" outlineLevel="0" collapsed="false">
      <c r="A112" s="0" t="str">
        <f aca="false">INDEX(Prioritization!$D:$D,MATCH($B112,Prioritization!$A:$A,0))</f>
        <v>INVALID</v>
      </c>
      <c r="B112" s="0" t="s">
        <v>218</v>
      </c>
      <c r="C112" s="0" t="s">
        <v>807</v>
      </c>
      <c r="D112" s="0" t="s">
        <v>48</v>
      </c>
      <c r="E112" s="0" t="str">
        <f aca="false">B112&amp;"|"&amp;C112&amp;"|"&amp;D112</f>
        <v>Neno District [gwVYinjBAe9]|&lt;15|Male</v>
      </c>
      <c r="F112" s="10" t="n">
        <f aca="false">IFERROR(1/(1/SUM(SUMIFS(Cascade!$O:$O,Cascade!$B:$B,$B112,Cascade!$C:$C,IF($C112="&lt;15",{"=&lt;01","01-09","10-14"},{"15-24","25-34","35-49","50+"}),Cascade!$D:$D,$D112))),"")</f>
        <v>4</v>
      </c>
      <c r="G112" s="10" t="str">
        <f aca="false">IFERROR(1/(1/SUM(SUMIFS(Cascade!$AX:$AX,Cascade!$B:$B,$B112,Cascade!$C:$C,IF($C112="&lt;15",{"=&lt;01","01-09","10-14"},{"15-24","25-34","35-49","50+"}),Cascade!$D:$D,$D112))),"")</f>
        <v/>
      </c>
      <c r="H112" s="88" t="n">
        <f aca="false">1</f>
        <v>1</v>
      </c>
      <c r="I112" s="88" t="n">
        <f aca="false">1</f>
        <v>1</v>
      </c>
      <c r="J112" s="88"/>
      <c r="K112" s="88"/>
      <c r="L112" s="39" t="n">
        <f aca="false">IF(SUM($F112)=0,"",ROUND($F112*$H112*$J112,0))</f>
        <v>0</v>
      </c>
      <c r="M112" s="39" t="n">
        <f aca="false">IF(SUM($F112)=0,"",ROUND($F112*$H112,0)-$L112)</f>
        <v>4</v>
      </c>
      <c r="N112" s="39" t="str">
        <f aca="false">IF(SUM($G112)=0,"",ROUND($G112*$I112*$K112,0))</f>
        <v/>
      </c>
      <c r="O112" s="39" t="str">
        <f aca="false">IF(SUM($G112)=0,"",ROUND($G112*$I112,0)-$N112)</f>
        <v/>
      </c>
      <c r="P112" s="10" t="n">
        <v>0</v>
      </c>
      <c r="Q112" s="10"/>
      <c r="R112" s="10" t="n">
        <v>1</v>
      </c>
      <c r="S112" s="10" t="n">
        <f aca="false">IFERROR(1/(1/SUM($P112,$R112,$Q112)),"")</f>
        <v>1</v>
      </c>
      <c r="T112" s="88" t="n">
        <f aca="false">IF(SUM($F112)=0,"",MIN($S112/$F112,1))</f>
        <v>0.25</v>
      </c>
      <c r="U112" s="88" t="n">
        <f aca="false">1</f>
        <v>1</v>
      </c>
      <c r="V112" s="88" t="n">
        <f aca="false">1</f>
        <v>1</v>
      </c>
      <c r="W112" s="39" t="n">
        <f aca="false">IF(SUM($M112)=0,"",IF($T112="","ENTER ELIGIBILITY RATE",IF($U112 = "","ENTER INITIATION RATE",ROUND($M112*$T112*$U112,0))))</f>
        <v>1</v>
      </c>
      <c r="X112" s="39" t="str">
        <f aca="false">IF(SUM($O112)=0,"",IF($V112="","ENTER INITIATION RATE",ROUND($O112*$V112,0)))</f>
        <v/>
      </c>
      <c r="Y112" s="88" t="n">
        <f aca="false">0.9</f>
        <v>0.9</v>
      </c>
      <c r="Z112" s="39" t="n">
        <f aca="false">IF(SUM($W112)=0,"",IF($Y112="","ENTER COMPLETION RATE",ROUND($W112*$Y112,0)))</f>
        <v>1</v>
      </c>
      <c r="AA112" s="39" t="str">
        <f aca="false">IF(SUM($X112)=0,"",IF($X112="","ENTER COMPLETION RATE",ROUND($X112*$Y112,0)))</f>
        <v/>
      </c>
      <c r="AB112" s="88" t="str">
        <f aca="false">IF(SUM($Q112)=0,"",(SUM($Z112)-$Q112)/$Q112)</f>
        <v/>
      </c>
      <c r="AC112" s="88" t="n">
        <f aca="false">IF(SUM($R112)=0,"",(SUM($AA112)-$R112)/$R112)</f>
        <v>-1</v>
      </c>
    </row>
    <row r="113" customFormat="false" ht="15" hidden="false" customHeight="false" outlineLevel="0" collapsed="false">
      <c r="A113" s="0" t="str">
        <f aca="false">INDEX(Prioritization!$D:$D,MATCH($B113,Prioritization!$A:$A,0))</f>
        <v>INVALID</v>
      </c>
      <c r="B113" s="0" t="s">
        <v>218</v>
      </c>
      <c r="C113" s="0" t="s">
        <v>808</v>
      </c>
      <c r="D113" s="0" t="s">
        <v>30</v>
      </c>
      <c r="E113" s="0" t="str">
        <f aca="false">B113&amp;"|"&amp;C113&amp;"|"&amp;D113</f>
        <v>Neno District [gwVYinjBAe9]|15+|Female</v>
      </c>
      <c r="F113" s="10" t="str">
        <f aca="false">IFERROR(1/(1/SUM(SUMIFS(Cascade!$O:$O,Cascade!$B:$B,$B113,Cascade!$C:$C,IF($C113="&lt;15",{"=&lt;01","01-09","10-14"},{"15-24","25-34","35-49","50+"}),Cascade!$D:$D,$D113))),"")</f>
        <v/>
      </c>
      <c r="G113" s="10" t="str">
        <f aca="false">IFERROR(1/(1/SUM(SUMIFS(Cascade!$AX:$AX,Cascade!$B:$B,$B113,Cascade!$C:$C,IF($C113="&lt;15",{"=&lt;01","01-09","10-14"},{"15-24","25-34","35-49","50+"}),Cascade!$D:$D,$D113))),"")</f>
        <v/>
      </c>
      <c r="H113" s="88" t="n">
        <f aca="false">1</f>
        <v>1</v>
      </c>
      <c r="I113" s="88" t="n">
        <f aca="false">1</f>
        <v>1</v>
      </c>
      <c r="J113" s="88"/>
      <c r="K113" s="88"/>
      <c r="L113" s="39" t="str">
        <f aca="false">IF(SUM($F113)=0,"",ROUND($F113*$H113*$J113,0))</f>
        <v/>
      </c>
      <c r="M113" s="39" t="str">
        <f aca="false">IF(SUM($F113)=0,"",ROUND($F113*$H113,0)-$L113)</f>
        <v/>
      </c>
      <c r="N113" s="39" t="str">
        <f aca="false">IF(SUM($G113)=0,"",ROUND($G113*$I113*$K113,0))</f>
        <v/>
      </c>
      <c r="O113" s="39" t="str">
        <f aca="false">IF(SUM($G113)=0,"",ROUND($G113*$I113,0)-$N113)</f>
        <v/>
      </c>
      <c r="P113" s="10" t="n">
        <v>8</v>
      </c>
      <c r="Q113" s="10"/>
      <c r="R113" s="10" t="n">
        <v>4</v>
      </c>
      <c r="S113" s="10" t="n">
        <f aca="false">IFERROR(1/(1/SUM($P113,$R113,$Q113)),"")</f>
        <v>12</v>
      </c>
      <c r="T113" s="88" t="str">
        <f aca="false">IF(SUM($F113)=0,"",MIN($S113/$F113,1))</f>
        <v/>
      </c>
      <c r="U113" s="88" t="n">
        <f aca="false">1</f>
        <v>1</v>
      </c>
      <c r="V113" s="88" t="n">
        <f aca="false">1</f>
        <v>1</v>
      </c>
      <c r="W113" s="39" t="str">
        <f aca="false">IF(SUM($M113)=0,"",IF($T113="","ENTER ELIGIBILITY RATE",IF($U113 = "","ENTER INITIATION RATE",ROUND($M113*$T113*$U113,0))))</f>
        <v/>
      </c>
      <c r="X113" s="39" t="str">
        <f aca="false">IF(SUM($O113)=0,"",IF($V113="","ENTER INITIATION RATE",ROUND($O113*$V113,0)))</f>
        <v/>
      </c>
      <c r="Y113" s="88" t="n">
        <f aca="false">0.9</f>
        <v>0.9</v>
      </c>
      <c r="Z113" s="39" t="str">
        <f aca="false">IF(SUM($W113)=0,"",IF($Y113="","ENTER COMPLETION RATE",ROUND($W113*$Y113,0)))</f>
        <v/>
      </c>
      <c r="AA113" s="39" t="str">
        <f aca="false">IF(SUM($X113)=0,"",IF($X113="","ENTER COMPLETION RATE",ROUND($X113*$Y113,0)))</f>
        <v/>
      </c>
      <c r="AB113" s="88" t="str">
        <f aca="false">IF(SUM($Q113)=0,"",(SUM($Z113)-$Q113)/$Q113)</f>
        <v/>
      </c>
      <c r="AC113" s="88" t="n">
        <f aca="false">IF(SUM($R113)=0,"",(SUM($AA113)-$R113)/$R113)</f>
        <v>-1</v>
      </c>
    </row>
    <row r="114" customFormat="false" ht="15" hidden="false" customHeight="false" outlineLevel="0" collapsed="false">
      <c r="A114" s="0" t="str">
        <f aca="false">INDEX(Prioritization!$D:$D,MATCH($B114,Prioritization!$A:$A,0))</f>
        <v>INVALID</v>
      </c>
      <c r="B114" s="0" t="s">
        <v>218</v>
      </c>
      <c r="C114" s="0" t="s">
        <v>808</v>
      </c>
      <c r="D114" s="0" t="s">
        <v>48</v>
      </c>
      <c r="E114" s="0" t="str">
        <f aca="false">B114&amp;"|"&amp;C114&amp;"|"&amp;D114</f>
        <v>Neno District [gwVYinjBAe9]|15+|Male</v>
      </c>
      <c r="F114" s="10" t="str">
        <f aca="false">IFERROR(1/(1/SUM(SUMIFS(Cascade!$O:$O,Cascade!$B:$B,$B114,Cascade!$C:$C,IF($C114="&lt;15",{"=&lt;01","01-09","10-14"},{"15-24","25-34","35-49","50+"}),Cascade!$D:$D,$D114))),"")</f>
        <v/>
      </c>
      <c r="G114" s="10" t="str">
        <f aca="false">IFERROR(1/(1/SUM(SUMIFS(Cascade!$AX:$AX,Cascade!$B:$B,$B114,Cascade!$C:$C,IF($C114="&lt;15",{"=&lt;01","01-09","10-14"},{"15-24","25-34","35-49","50+"}),Cascade!$D:$D,$D114))),"")</f>
        <v/>
      </c>
      <c r="H114" s="88" t="n">
        <f aca="false">1</f>
        <v>1</v>
      </c>
      <c r="I114" s="88" t="n">
        <f aca="false">1</f>
        <v>1</v>
      </c>
      <c r="J114" s="88"/>
      <c r="K114" s="88"/>
      <c r="L114" s="39" t="str">
        <f aca="false">IF(SUM($F114)=0,"",ROUND($F114*$H114*$J114,0))</f>
        <v/>
      </c>
      <c r="M114" s="39" t="str">
        <f aca="false">IF(SUM($F114)=0,"",ROUND($F114*$H114,0)-$L114)</f>
        <v/>
      </c>
      <c r="N114" s="39" t="str">
        <f aca="false">IF(SUM($G114)=0,"",ROUND($G114*$I114*$K114,0))</f>
        <v/>
      </c>
      <c r="O114" s="39" t="str">
        <f aca="false">IF(SUM($G114)=0,"",ROUND($G114*$I114,0)-$N114)</f>
        <v/>
      </c>
      <c r="P114" s="10" t="n">
        <v>1</v>
      </c>
      <c r="Q114" s="10"/>
      <c r="R114" s="10" t="n">
        <v>1</v>
      </c>
      <c r="S114" s="10" t="n">
        <f aca="false">IFERROR(1/(1/SUM($P114,$R114,$Q114)),"")</f>
        <v>2</v>
      </c>
      <c r="T114" s="88" t="str">
        <f aca="false">IF(SUM($F114)=0,"",MIN($S114/$F114,1))</f>
        <v/>
      </c>
      <c r="U114" s="88" t="n">
        <f aca="false">1</f>
        <v>1</v>
      </c>
      <c r="V114" s="88" t="n">
        <f aca="false">1</f>
        <v>1</v>
      </c>
      <c r="W114" s="39" t="str">
        <f aca="false">IF(SUM($M114)=0,"",IF($T114="","ENTER ELIGIBILITY RATE",IF($U114 = "","ENTER INITIATION RATE",ROUND($M114*$T114*$U114,0))))</f>
        <v/>
      </c>
      <c r="X114" s="39" t="str">
        <f aca="false">IF(SUM($O114)=0,"",IF($V114="","ENTER INITIATION RATE",ROUND($O114*$V114,0)))</f>
        <v/>
      </c>
      <c r="Y114" s="88" t="n">
        <f aca="false">0.9</f>
        <v>0.9</v>
      </c>
      <c r="Z114" s="39" t="str">
        <f aca="false">IF(SUM($W114)=0,"",IF($Y114="","ENTER COMPLETION RATE",ROUND($W114*$Y114,0)))</f>
        <v/>
      </c>
      <c r="AA114" s="39" t="str">
        <f aca="false">IF(SUM($X114)=0,"",IF($X114="","ENTER COMPLETION RATE",ROUND($X114*$Y114,0)))</f>
        <v/>
      </c>
      <c r="AB114" s="88" t="str">
        <f aca="false">IF(SUM($Q114)=0,"",(SUM($Z114)-$Q114)/$Q114)</f>
        <v/>
      </c>
      <c r="AC114" s="88" t="n">
        <f aca="false">IF(SUM($R114)=0,"",(SUM($AA114)-$R114)/$R114)</f>
        <v>-1</v>
      </c>
    </row>
    <row r="115" customFormat="false" ht="15" hidden="false" customHeight="false" outlineLevel="0" collapsed="false">
      <c r="A115" s="0" t="str">
        <f aca="false">INDEX(Prioritization!$D:$D,MATCH($B115,Prioritization!$A:$A,0))</f>
        <v>INVALID</v>
      </c>
      <c r="B115" s="0" t="s">
        <v>219</v>
      </c>
      <c r="C115" s="0" t="s">
        <v>807</v>
      </c>
      <c r="D115" s="0" t="s">
        <v>30</v>
      </c>
      <c r="E115" s="0" t="str">
        <f aca="false">B115&amp;"|"&amp;C115&amp;"|"&amp;D115</f>
        <v>Nsanje District [rpw540fmNUz]|&lt;15|Female</v>
      </c>
      <c r="F115" s="10" t="n">
        <f aca="false">IFERROR(1/(1/SUM(SUMIFS(Cascade!$O:$O,Cascade!$B:$B,$B115,Cascade!$C:$C,IF($C115="&lt;15",{"=&lt;01","01-09","10-14"},{"15-24","25-34","35-49","50+"}),Cascade!$D:$D,$D115))),"")</f>
        <v>1</v>
      </c>
      <c r="G115" s="10" t="str">
        <f aca="false">IFERROR(1/(1/SUM(SUMIFS(Cascade!$AX:$AX,Cascade!$B:$B,$B115,Cascade!$C:$C,IF($C115="&lt;15",{"=&lt;01","01-09","10-14"},{"15-24","25-34","35-49","50+"}),Cascade!$D:$D,$D115))),"")</f>
        <v/>
      </c>
      <c r="H115" s="88" t="n">
        <f aca="false">1</f>
        <v>1</v>
      </c>
      <c r="I115" s="88" t="n">
        <f aca="false">1</f>
        <v>1</v>
      </c>
      <c r="J115" s="88"/>
      <c r="K115" s="88"/>
      <c r="L115" s="39" t="n">
        <f aca="false">IF(SUM($F115)=0,"",ROUND($F115*$H115*$J115,0))</f>
        <v>0</v>
      </c>
      <c r="M115" s="39" t="n">
        <f aca="false">IF(SUM($F115)=0,"",ROUND($F115*$H115,0)-$L115)</f>
        <v>1</v>
      </c>
      <c r="N115" s="39" t="str">
        <f aca="false">IF(SUM($G115)=0,"",ROUND($G115*$I115*$K115,0))</f>
        <v/>
      </c>
      <c r="O115" s="39" t="str">
        <f aca="false">IF(SUM($G115)=0,"",ROUND($G115*$I115,0)-$N115)</f>
        <v/>
      </c>
      <c r="P115" s="10" t="n">
        <v>2</v>
      </c>
      <c r="Q115" s="10"/>
      <c r="R115" s="10" t="n">
        <v>1</v>
      </c>
      <c r="S115" s="10" t="n">
        <f aca="false">IFERROR(1/(1/SUM($P115,$R115,$Q115)),"")</f>
        <v>3</v>
      </c>
      <c r="T115" s="88" t="n">
        <f aca="false">IF(SUM($F115)=0,"",MIN($S115/$F115,1))</f>
        <v>1</v>
      </c>
      <c r="U115" s="88" t="n">
        <f aca="false">1</f>
        <v>1</v>
      </c>
      <c r="V115" s="88" t="n">
        <f aca="false">1</f>
        <v>1</v>
      </c>
      <c r="W115" s="39" t="n">
        <f aca="false">IF(SUM($M115)=0,"",IF($T115="","ENTER ELIGIBILITY RATE",IF($U115 = "","ENTER INITIATION RATE",ROUND($M115*$T115*$U115,0))))</f>
        <v>1</v>
      </c>
      <c r="X115" s="39" t="str">
        <f aca="false">IF(SUM($O115)=0,"",IF($V115="","ENTER INITIATION RATE",ROUND($O115*$V115,0)))</f>
        <v/>
      </c>
      <c r="Y115" s="88" t="n">
        <f aca="false">0.9</f>
        <v>0.9</v>
      </c>
      <c r="Z115" s="39" t="n">
        <f aca="false">IF(SUM($W115)=0,"",IF($Y115="","ENTER COMPLETION RATE",ROUND($W115*$Y115,0)))</f>
        <v>1</v>
      </c>
      <c r="AA115" s="39" t="str">
        <f aca="false">IF(SUM($X115)=0,"",IF($X115="","ENTER COMPLETION RATE",ROUND($X115*$Y115,0)))</f>
        <v/>
      </c>
      <c r="AB115" s="88" t="str">
        <f aca="false">IF(SUM($Q115)=0,"",(SUM($Z115)-$Q115)/$Q115)</f>
        <v/>
      </c>
      <c r="AC115" s="88" t="n">
        <f aca="false">IF(SUM($R115)=0,"",(SUM($AA115)-$R115)/$R115)</f>
        <v>-1</v>
      </c>
    </row>
    <row r="116" customFormat="false" ht="15" hidden="false" customHeight="false" outlineLevel="0" collapsed="false">
      <c r="A116" s="0" t="str">
        <f aca="false">INDEX(Prioritization!$D:$D,MATCH($B116,Prioritization!$A:$A,0))</f>
        <v>INVALID</v>
      </c>
      <c r="B116" s="0" t="s">
        <v>219</v>
      </c>
      <c r="C116" s="0" t="s">
        <v>807</v>
      </c>
      <c r="D116" s="0" t="s">
        <v>48</v>
      </c>
      <c r="E116" s="0" t="str">
        <f aca="false">B116&amp;"|"&amp;C116&amp;"|"&amp;D116</f>
        <v>Nsanje District [rpw540fmNUz]|&lt;15|Male</v>
      </c>
      <c r="F116" s="10" t="n">
        <f aca="false">IFERROR(1/(1/SUM(SUMIFS(Cascade!$O:$O,Cascade!$B:$B,$B116,Cascade!$C:$C,IF($C116="&lt;15",{"=&lt;01","01-09","10-14"},{"15-24","25-34","35-49","50+"}),Cascade!$D:$D,$D116))),"")</f>
        <v>1</v>
      </c>
      <c r="G116" s="10" t="str">
        <f aca="false">IFERROR(1/(1/SUM(SUMIFS(Cascade!$AX:$AX,Cascade!$B:$B,$B116,Cascade!$C:$C,IF($C116="&lt;15",{"=&lt;01","01-09","10-14"},{"15-24","25-34","35-49","50+"}),Cascade!$D:$D,$D116))),"")</f>
        <v/>
      </c>
      <c r="H116" s="88" t="n">
        <f aca="false">1</f>
        <v>1</v>
      </c>
      <c r="I116" s="88" t="n">
        <f aca="false">1</f>
        <v>1</v>
      </c>
      <c r="J116" s="88"/>
      <c r="K116" s="88"/>
      <c r="L116" s="39" t="n">
        <f aca="false">IF(SUM($F116)=0,"",ROUND($F116*$H116*$J116,0))</f>
        <v>0</v>
      </c>
      <c r="M116" s="39" t="n">
        <f aca="false">IF(SUM($F116)=0,"",ROUND($F116*$H116,0)-$L116)</f>
        <v>1</v>
      </c>
      <c r="N116" s="39" t="str">
        <f aca="false">IF(SUM($G116)=0,"",ROUND($G116*$I116*$K116,0))</f>
        <v/>
      </c>
      <c r="O116" s="39" t="str">
        <f aca="false">IF(SUM($G116)=0,"",ROUND($G116*$I116,0)-$N116)</f>
        <v/>
      </c>
      <c r="P116" s="10" t="n">
        <v>9</v>
      </c>
      <c r="Q116" s="10"/>
      <c r="R116" s="10" t="n">
        <v>1</v>
      </c>
      <c r="S116" s="10" t="n">
        <f aca="false">IFERROR(1/(1/SUM($P116,$R116,$Q116)),"")</f>
        <v>10</v>
      </c>
      <c r="T116" s="88" t="n">
        <f aca="false">IF(SUM($F116)=0,"",MIN($S116/$F116,1))</f>
        <v>1</v>
      </c>
      <c r="U116" s="88" t="n">
        <f aca="false">1</f>
        <v>1</v>
      </c>
      <c r="V116" s="88" t="n">
        <f aca="false">1</f>
        <v>1</v>
      </c>
      <c r="W116" s="39" t="n">
        <f aca="false">IF(SUM($M116)=0,"",IF($T116="","ENTER ELIGIBILITY RATE",IF($U116 = "","ENTER INITIATION RATE",ROUND($M116*$T116*$U116,0))))</f>
        <v>1</v>
      </c>
      <c r="X116" s="39" t="str">
        <f aca="false">IF(SUM($O116)=0,"",IF($V116="","ENTER INITIATION RATE",ROUND($O116*$V116,0)))</f>
        <v/>
      </c>
      <c r="Y116" s="88" t="n">
        <f aca="false">0.9</f>
        <v>0.9</v>
      </c>
      <c r="Z116" s="39" t="n">
        <f aca="false">IF(SUM($W116)=0,"",IF($Y116="","ENTER COMPLETION RATE",ROUND($W116*$Y116,0)))</f>
        <v>1</v>
      </c>
      <c r="AA116" s="39" t="str">
        <f aca="false">IF(SUM($X116)=0,"",IF($X116="","ENTER COMPLETION RATE",ROUND($X116*$Y116,0)))</f>
        <v/>
      </c>
      <c r="AB116" s="88" t="str">
        <f aca="false">IF(SUM($Q116)=0,"",(SUM($Z116)-$Q116)/$Q116)</f>
        <v/>
      </c>
      <c r="AC116" s="88" t="n">
        <f aca="false">IF(SUM($R116)=0,"",(SUM($AA116)-$R116)/$R116)</f>
        <v>-1</v>
      </c>
    </row>
    <row r="117" customFormat="false" ht="15" hidden="false" customHeight="false" outlineLevel="0" collapsed="false">
      <c r="A117" s="0" t="str">
        <f aca="false">INDEX(Prioritization!$D:$D,MATCH($B117,Prioritization!$A:$A,0))</f>
        <v>INVALID</v>
      </c>
      <c r="B117" s="0" t="s">
        <v>219</v>
      </c>
      <c r="C117" s="0" t="s">
        <v>808</v>
      </c>
      <c r="D117" s="0" t="s">
        <v>30</v>
      </c>
      <c r="E117" s="0" t="str">
        <f aca="false">B117&amp;"|"&amp;C117&amp;"|"&amp;D117</f>
        <v>Nsanje District [rpw540fmNUz]|15+|Female</v>
      </c>
      <c r="F117" s="10" t="str">
        <f aca="false">IFERROR(1/(1/SUM(SUMIFS(Cascade!$O:$O,Cascade!$B:$B,$B117,Cascade!$C:$C,IF($C117="&lt;15",{"=&lt;01","01-09","10-14"},{"15-24","25-34","35-49","50+"}),Cascade!$D:$D,$D117))),"")</f>
        <v/>
      </c>
      <c r="G117" s="10" t="str">
        <f aca="false">IFERROR(1/(1/SUM(SUMIFS(Cascade!$AX:$AX,Cascade!$B:$B,$B117,Cascade!$C:$C,IF($C117="&lt;15",{"=&lt;01","01-09","10-14"},{"15-24","25-34","35-49","50+"}),Cascade!$D:$D,$D117))),"")</f>
        <v/>
      </c>
      <c r="H117" s="88" t="n">
        <f aca="false">1</f>
        <v>1</v>
      </c>
      <c r="I117" s="88" t="n">
        <f aca="false">1</f>
        <v>1</v>
      </c>
      <c r="J117" s="88"/>
      <c r="K117" s="88"/>
      <c r="L117" s="39" t="str">
        <f aca="false">IF(SUM($F117)=0,"",ROUND($F117*$H117*$J117,0))</f>
        <v/>
      </c>
      <c r="M117" s="39" t="str">
        <f aca="false">IF(SUM($F117)=0,"",ROUND($F117*$H117,0)-$L117)</f>
        <v/>
      </c>
      <c r="N117" s="39" t="str">
        <f aca="false">IF(SUM($G117)=0,"",ROUND($G117*$I117*$K117,0))</f>
        <v/>
      </c>
      <c r="O117" s="39" t="str">
        <f aca="false">IF(SUM($G117)=0,"",ROUND($G117*$I117,0)-$N117)</f>
        <v/>
      </c>
      <c r="P117" s="10" t="n">
        <v>847</v>
      </c>
      <c r="Q117" s="10"/>
      <c r="R117" s="10" t="n">
        <v>50</v>
      </c>
      <c r="S117" s="10" t="n">
        <f aca="false">IFERROR(1/(1/SUM($P117,$R117,$Q117)),"")</f>
        <v>897</v>
      </c>
      <c r="T117" s="88" t="str">
        <f aca="false">IF(SUM($F117)=0,"",MIN($S117/$F117,1))</f>
        <v/>
      </c>
      <c r="U117" s="88" t="n">
        <f aca="false">1</f>
        <v>1</v>
      </c>
      <c r="V117" s="88" t="n">
        <f aca="false">1</f>
        <v>1</v>
      </c>
      <c r="W117" s="39" t="str">
        <f aca="false">IF(SUM($M117)=0,"",IF($T117="","ENTER ELIGIBILITY RATE",IF($U117 = "","ENTER INITIATION RATE",ROUND($M117*$T117*$U117,0))))</f>
        <v/>
      </c>
      <c r="X117" s="39" t="str">
        <f aca="false">IF(SUM($O117)=0,"",IF($V117="","ENTER INITIATION RATE",ROUND($O117*$V117,0)))</f>
        <v/>
      </c>
      <c r="Y117" s="88" t="n">
        <f aca="false">0.9</f>
        <v>0.9</v>
      </c>
      <c r="Z117" s="39" t="str">
        <f aca="false">IF(SUM($W117)=0,"",IF($Y117="","ENTER COMPLETION RATE",ROUND($W117*$Y117,0)))</f>
        <v/>
      </c>
      <c r="AA117" s="39" t="str">
        <f aca="false">IF(SUM($X117)=0,"",IF($X117="","ENTER COMPLETION RATE",ROUND($X117*$Y117,0)))</f>
        <v/>
      </c>
      <c r="AB117" s="88" t="str">
        <f aca="false">IF(SUM($Q117)=0,"",(SUM($Z117)-$Q117)/$Q117)</f>
        <v/>
      </c>
      <c r="AC117" s="88" t="n">
        <f aca="false">IF(SUM($R117)=0,"",(SUM($AA117)-$R117)/$R117)</f>
        <v>-1</v>
      </c>
    </row>
    <row r="118" customFormat="false" ht="15" hidden="false" customHeight="false" outlineLevel="0" collapsed="false">
      <c r="A118" s="0" t="str">
        <f aca="false">INDEX(Prioritization!$D:$D,MATCH($B118,Prioritization!$A:$A,0))</f>
        <v>INVALID</v>
      </c>
      <c r="B118" s="0" t="s">
        <v>219</v>
      </c>
      <c r="C118" s="0" t="s">
        <v>808</v>
      </c>
      <c r="D118" s="0" t="s">
        <v>48</v>
      </c>
      <c r="E118" s="0" t="str">
        <f aca="false">B118&amp;"|"&amp;C118&amp;"|"&amp;D118</f>
        <v>Nsanje District [rpw540fmNUz]|15+|Male</v>
      </c>
      <c r="F118" s="10" t="str">
        <f aca="false">IFERROR(1/(1/SUM(SUMIFS(Cascade!$O:$O,Cascade!$B:$B,$B118,Cascade!$C:$C,IF($C118="&lt;15",{"=&lt;01","01-09","10-14"},{"15-24","25-34","35-49","50+"}),Cascade!$D:$D,$D118))),"")</f>
        <v/>
      </c>
      <c r="G118" s="10" t="str">
        <f aca="false">IFERROR(1/(1/SUM(SUMIFS(Cascade!$AX:$AX,Cascade!$B:$B,$B118,Cascade!$C:$C,IF($C118="&lt;15",{"=&lt;01","01-09","10-14"},{"15-24","25-34","35-49","50+"}),Cascade!$D:$D,$D118))),"")</f>
        <v/>
      </c>
      <c r="H118" s="88" t="n">
        <f aca="false">1</f>
        <v>1</v>
      </c>
      <c r="I118" s="88" t="n">
        <f aca="false">1</f>
        <v>1</v>
      </c>
      <c r="J118" s="88"/>
      <c r="K118" s="88"/>
      <c r="L118" s="39" t="str">
        <f aca="false">IF(SUM($F118)=0,"",ROUND($F118*$H118*$J118,0))</f>
        <v/>
      </c>
      <c r="M118" s="39" t="str">
        <f aca="false">IF(SUM($F118)=0,"",ROUND($F118*$H118,0)-$L118)</f>
        <v/>
      </c>
      <c r="N118" s="39" t="str">
        <f aca="false">IF(SUM($G118)=0,"",ROUND($G118*$I118*$K118,0))</f>
        <v/>
      </c>
      <c r="O118" s="39" t="str">
        <f aca="false">IF(SUM($G118)=0,"",ROUND($G118*$I118,0)-$N118)</f>
        <v/>
      </c>
      <c r="P118" s="10" t="n">
        <v>77</v>
      </c>
      <c r="Q118" s="10"/>
      <c r="R118" s="10" t="n">
        <v>30</v>
      </c>
      <c r="S118" s="10" t="n">
        <f aca="false">IFERROR(1/(1/SUM($P118,$R118,$Q118)),"")</f>
        <v>107</v>
      </c>
      <c r="T118" s="88" t="str">
        <f aca="false">IF(SUM($F118)=0,"",MIN($S118/$F118,1))</f>
        <v/>
      </c>
      <c r="U118" s="88" t="n">
        <f aca="false">1</f>
        <v>1</v>
      </c>
      <c r="V118" s="88" t="n">
        <f aca="false">1</f>
        <v>1</v>
      </c>
      <c r="W118" s="39" t="str">
        <f aca="false">IF(SUM($M118)=0,"",IF($T118="","ENTER ELIGIBILITY RATE",IF($U118 = "","ENTER INITIATION RATE",ROUND($M118*$T118*$U118,0))))</f>
        <v/>
      </c>
      <c r="X118" s="39" t="str">
        <f aca="false">IF(SUM($O118)=0,"",IF($V118="","ENTER INITIATION RATE",ROUND($O118*$V118,0)))</f>
        <v/>
      </c>
      <c r="Y118" s="88" t="n">
        <f aca="false">0.9</f>
        <v>0.9</v>
      </c>
      <c r="Z118" s="39" t="str">
        <f aca="false">IF(SUM($W118)=0,"",IF($Y118="","ENTER COMPLETION RATE",ROUND($W118*$Y118,0)))</f>
        <v/>
      </c>
      <c r="AA118" s="39" t="str">
        <f aca="false">IF(SUM($X118)=0,"",IF($X118="","ENTER COMPLETION RATE",ROUND($X118*$Y118,0)))</f>
        <v/>
      </c>
      <c r="AB118" s="88" t="str">
        <f aca="false">IF(SUM($Q118)=0,"",(SUM($Z118)-$Q118)/$Q118)</f>
        <v/>
      </c>
      <c r="AC118" s="88" t="n">
        <f aca="false">IF(SUM($R118)=0,"",(SUM($AA118)-$R118)/$R118)</f>
        <v>-1</v>
      </c>
    </row>
    <row r="119" customFormat="false" ht="15" hidden="false" customHeight="false" outlineLevel="0" collapsed="false">
      <c r="A119" s="0" t="str">
        <f aca="false">INDEX(Prioritization!$D:$D,MATCH($B119,Prioritization!$A:$A,0))</f>
        <v>INVALID</v>
      </c>
      <c r="B119" s="0" t="s">
        <v>220</v>
      </c>
      <c r="C119" s="0" t="s">
        <v>807</v>
      </c>
      <c r="D119" s="0" t="s">
        <v>30</v>
      </c>
      <c r="E119" s="0" t="str">
        <f aca="false">B119&amp;"|"&amp;C119&amp;"|"&amp;D119</f>
        <v>Phalombe District [AZyWpGzhcaA]|&lt;15|Female</v>
      </c>
      <c r="F119" s="10" t="n">
        <f aca="false">IFERROR(1/(1/SUM(SUMIFS(Cascade!$O:$O,Cascade!$B:$B,$B119,Cascade!$C:$C,IF($C119="&lt;15",{"=&lt;01","01-09","10-14"},{"15-24","25-34","35-49","50+"}),Cascade!$D:$D,$D119))),"")</f>
        <v>1</v>
      </c>
      <c r="G119" s="10" t="n">
        <f aca="false">IFERROR(1/(1/SUM(SUMIFS(Cascade!$AX:$AX,Cascade!$B:$B,$B119,Cascade!$C:$C,IF($C119="&lt;15",{"=&lt;01","01-09","10-14"},{"15-24","25-34","35-49","50+"}),Cascade!$D:$D,$D119))),"")</f>
        <v>1</v>
      </c>
      <c r="H119" s="88" t="n">
        <f aca="false">1</f>
        <v>1</v>
      </c>
      <c r="I119" s="88" t="n">
        <f aca="false">1</f>
        <v>1</v>
      </c>
      <c r="J119" s="88"/>
      <c r="K119" s="88"/>
      <c r="L119" s="39" t="n">
        <f aca="false">IF(SUM($F119)=0,"",ROUND($F119*$H119*$J119,0))</f>
        <v>0</v>
      </c>
      <c r="M119" s="39" t="n">
        <f aca="false">IF(SUM($F119)=0,"",ROUND($F119*$H119,0)-$L119)</f>
        <v>1</v>
      </c>
      <c r="N119" s="39" t="n">
        <f aca="false">IF(SUM($G119)=0,"",ROUND($G119*$I119*$K119,0))</f>
        <v>0</v>
      </c>
      <c r="O119" s="39" t="n">
        <f aca="false">IF(SUM($G119)=0,"",ROUND($G119*$I119,0)-$N119)</f>
        <v>1</v>
      </c>
      <c r="P119" s="10" t="n">
        <v>0</v>
      </c>
      <c r="Q119" s="10"/>
      <c r="R119" s="10" t="n">
        <v>4</v>
      </c>
      <c r="S119" s="10" t="n">
        <f aca="false">IFERROR(1/(1/SUM($P119,$R119,$Q119)),"")</f>
        <v>4</v>
      </c>
      <c r="T119" s="88" t="n">
        <f aca="false">IF(SUM($F119)=0,"",MIN($S119/$F119,1))</f>
        <v>1</v>
      </c>
      <c r="U119" s="88" t="n">
        <f aca="false">1</f>
        <v>1</v>
      </c>
      <c r="V119" s="88" t="n">
        <f aca="false">1</f>
        <v>1</v>
      </c>
      <c r="W119" s="39" t="n">
        <f aca="false">IF(SUM($M119)=0,"",IF($T119="","ENTER ELIGIBILITY RATE",IF($U119 = "","ENTER INITIATION RATE",ROUND($M119*$T119*$U119,0))))</f>
        <v>1</v>
      </c>
      <c r="X119" s="39" t="n">
        <f aca="false">IF(SUM($O119)=0,"",IF($V119="","ENTER INITIATION RATE",ROUND($O119*$V119,0)))</f>
        <v>1</v>
      </c>
      <c r="Y119" s="88" t="n">
        <f aca="false">0.9</f>
        <v>0.9</v>
      </c>
      <c r="Z119" s="39" t="n">
        <f aca="false">IF(SUM($W119)=0,"",IF($Y119="","ENTER COMPLETION RATE",ROUND($W119*$Y119,0)))</f>
        <v>1</v>
      </c>
      <c r="AA119" s="39" t="n">
        <f aca="false">IF(SUM($X119)=0,"",IF($X119="","ENTER COMPLETION RATE",ROUND($X119*$Y119,0)))</f>
        <v>1</v>
      </c>
      <c r="AB119" s="88" t="str">
        <f aca="false">IF(SUM($Q119)=0,"",(SUM($Z119)-$Q119)/$Q119)</f>
        <v/>
      </c>
      <c r="AC119" s="88" t="n">
        <f aca="false">IF(SUM($R119)=0,"",(SUM($AA119)-$R119)/$R119)</f>
        <v>-0.75</v>
      </c>
    </row>
    <row r="120" customFormat="false" ht="15" hidden="false" customHeight="false" outlineLevel="0" collapsed="false">
      <c r="A120" s="0" t="str">
        <f aca="false">INDEX(Prioritization!$D:$D,MATCH($B120,Prioritization!$A:$A,0))</f>
        <v>INVALID</v>
      </c>
      <c r="B120" s="0" t="s">
        <v>220</v>
      </c>
      <c r="C120" s="0" t="s">
        <v>807</v>
      </c>
      <c r="D120" s="0" t="s">
        <v>48</v>
      </c>
      <c r="E120" s="0" t="str">
        <f aca="false">B120&amp;"|"&amp;C120&amp;"|"&amp;D120</f>
        <v>Phalombe District [AZyWpGzhcaA]|&lt;15|Male</v>
      </c>
      <c r="F120" s="10" t="n">
        <f aca="false">IFERROR(1/(1/SUM(SUMIFS(Cascade!$O:$O,Cascade!$B:$B,$B120,Cascade!$C:$C,IF($C120="&lt;15",{"=&lt;01","01-09","10-14"},{"15-24","25-34","35-49","50+"}),Cascade!$D:$D,$D120))),"")</f>
        <v>1</v>
      </c>
      <c r="G120" s="10" t="n">
        <f aca="false">IFERROR(1/(1/SUM(SUMIFS(Cascade!$AX:$AX,Cascade!$B:$B,$B120,Cascade!$C:$C,IF($C120="&lt;15",{"=&lt;01","01-09","10-14"},{"15-24","25-34","35-49","50+"}),Cascade!$D:$D,$D120))),"")</f>
        <v>1</v>
      </c>
      <c r="H120" s="88" t="n">
        <f aca="false">1</f>
        <v>1</v>
      </c>
      <c r="I120" s="88" t="n">
        <f aca="false">1</f>
        <v>1</v>
      </c>
      <c r="J120" s="88"/>
      <c r="K120" s="88"/>
      <c r="L120" s="39" t="n">
        <f aca="false">IF(SUM($F120)=0,"",ROUND($F120*$H120*$J120,0))</f>
        <v>0</v>
      </c>
      <c r="M120" s="39" t="n">
        <f aca="false">IF(SUM($F120)=0,"",ROUND($F120*$H120,0)-$L120)</f>
        <v>1</v>
      </c>
      <c r="N120" s="39" t="n">
        <f aca="false">IF(SUM($G120)=0,"",ROUND($G120*$I120*$K120,0))</f>
        <v>0</v>
      </c>
      <c r="O120" s="39" t="n">
        <f aca="false">IF(SUM($G120)=0,"",ROUND($G120*$I120,0)-$N120)</f>
        <v>1</v>
      </c>
      <c r="P120" s="10" t="n">
        <v>0</v>
      </c>
      <c r="Q120" s="10"/>
      <c r="R120" s="10" t="n">
        <v>0</v>
      </c>
      <c r="S120" s="10" t="str">
        <f aca="false">IFERROR(1/(1/SUM($P120,$R120,$Q120)),"")</f>
        <v/>
      </c>
      <c r="T120" s="88" t="e">
        <f aca="false">IF(SUM($F120)=0,"",MIN($S120/$F120,1))</f>
        <v>#VALUE!</v>
      </c>
      <c r="U120" s="88" t="n">
        <f aca="false">1</f>
        <v>1</v>
      </c>
      <c r="V120" s="88" t="n">
        <f aca="false">1</f>
        <v>1</v>
      </c>
      <c r="W120" s="39" t="e">
        <f aca="false">IF(SUM($M120)=0,"",IF($T120="","ENTER ELIGIBILITY RATE",IF($U120 = "","ENTER INITIATION RATE",ROUND($M120*$T120*$U120,0))))</f>
        <v>#VALUE!</v>
      </c>
      <c r="X120" s="39" t="n">
        <f aca="false">IF(SUM($O120)=0,"",IF($V120="","ENTER INITIATION RATE",ROUND($O120*$V120,0)))</f>
        <v>1</v>
      </c>
      <c r="Y120" s="88" t="n">
        <f aca="false">0.9</f>
        <v>0.9</v>
      </c>
      <c r="Z120" s="39" t="e">
        <f aca="false">IF(SUM($W120)=0,"",IF($Y120="","ENTER COMPLETION RATE",ROUND($W120*$Y120,0)))</f>
        <v>#VALUE!</v>
      </c>
      <c r="AA120" s="39" t="n">
        <f aca="false">IF(SUM($X120)=0,"",IF($X120="","ENTER COMPLETION RATE",ROUND($X120*$Y120,0)))</f>
        <v>1</v>
      </c>
      <c r="AB120" s="88" t="str">
        <f aca="false">IF(SUM($Q120)=0,"",(SUM($Z120)-$Q120)/$Q120)</f>
        <v/>
      </c>
      <c r="AC120" s="88" t="str">
        <f aca="false">IF(SUM($R120)=0,"",(SUM($AA120)-$R120)/$R120)</f>
        <v/>
      </c>
    </row>
    <row r="121" customFormat="false" ht="15" hidden="false" customHeight="false" outlineLevel="0" collapsed="false">
      <c r="A121" s="0" t="str">
        <f aca="false">INDEX(Prioritization!$D:$D,MATCH($B121,Prioritization!$A:$A,0))</f>
        <v>INVALID</v>
      </c>
      <c r="B121" s="0" t="s">
        <v>220</v>
      </c>
      <c r="C121" s="0" t="s">
        <v>808</v>
      </c>
      <c r="D121" s="0" t="s">
        <v>30</v>
      </c>
      <c r="E121" s="0" t="str">
        <f aca="false">B121&amp;"|"&amp;C121&amp;"|"&amp;D121</f>
        <v>Phalombe District [AZyWpGzhcaA]|15+|Female</v>
      </c>
      <c r="F121" s="10" t="str">
        <f aca="false">IFERROR(1/(1/SUM(SUMIFS(Cascade!$O:$O,Cascade!$B:$B,$B121,Cascade!$C:$C,IF($C121="&lt;15",{"=&lt;01","01-09","10-14"},{"15-24","25-34","35-49","50+"}),Cascade!$D:$D,$D121))),"")</f>
        <v/>
      </c>
      <c r="G121" s="10" t="str">
        <f aca="false">IFERROR(1/(1/SUM(SUMIFS(Cascade!$AX:$AX,Cascade!$B:$B,$B121,Cascade!$C:$C,IF($C121="&lt;15",{"=&lt;01","01-09","10-14"},{"15-24","25-34","35-49","50+"}),Cascade!$D:$D,$D121))),"")</f>
        <v/>
      </c>
      <c r="H121" s="88" t="n">
        <f aca="false">1</f>
        <v>1</v>
      </c>
      <c r="I121" s="88" t="n">
        <f aca="false">1</f>
        <v>1</v>
      </c>
      <c r="J121" s="88"/>
      <c r="K121" s="88"/>
      <c r="L121" s="39" t="str">
        <f aca="false">IF(SUM($F121)=0,"",ROUND($F121*$H121*$J121,0))</f>
        <v/>
      </c>
      <c r="M121" s="39" t="str">
        <f aca="false">IF(SUM($F121)=0,"",ROUND($F121*$H121,0)-$L121)</f>
        <v/>
      </c>
      <c r="N121" s="39" t="str">
        <f aca="false">IF(SUM($G121)=0,"",ROUND($G121*$I121*$K121,0))</f>
        <v/>
      </c>
      <c r="O121" s="39" t="str">
        <f aca="false">IF(SUM($G121)=0,"",ROUND($G121*$I121,0)-$N121)</f>
        <v/>
      </c>
      <c r="P121" s="10" t="n">
        <v>96</v>
      </c>
      <c r="Q121" s="10"/>
      <c r="R121" s="10" t="n">
        <v>65</v>
      </c>
      <c r="S121" s="10" t="n">
        <f aca="false">IFERROR(1/(1/SUM($P121,$R121,$Q121)),"")</f>
        <v>161</v>
      </c>
      <c r="T121" s="88" t="str">
        <f aca="false">IF(SUM($F121)=0,"",MIN($S121/$F121,1))</f>
        <v/>
      </c>
      <c r="U121" s="88" t="n">
        <f aca="false">1</f>
        <v>1</v>
      </c>
      <c r="V121" s="88" t="n">
        <f aca="false">1</f>
        <v>1</v>
      </c>
      <c r="W121" s="39" t="str">
        <f aca="false">IF(SUM($M121)=0,"",IF($T121="","ENTER ELIGIBILITY RATE",IF($U121 = "","ENTER INITIATION RATE",ROUND($M121*$T121*$U121,0))))</f>
        <v/>
      </c>
      <c r="X121" s="39" t="str">
        <f aca="false">IF(SUM($O121)=0,"",IF($V121="","ENTER INITIATION RATE",ROUND($O121*$V121,0)))</f>
        <v/>
      </c>
      <c r="Y121" s="88" t="n">
        <f aca="false">0.9</f>
        <v>0.9</v>
      </c>
      <c r="Z121" s="39" t="str">
        <f aca="false">IF(SUM($W121)=0,"",IF($Y121="","ENTER COMPLETION RATE",ROUND($W121*$Y121,0)))</f>
        <v/>
      </c>
      <c r="AA121" s="39" t="str">
        <f aca="false">IF(SUM($X121)=0,"",IF($X121="","ENTER COMPLETION RATE",ROUND($X121*$Y121,0)))</f>
        <v/>
      </c>
      <c r="AB121" s="88" t="str">
        <f aca="false">IF(SUM($Q121)=0,"",(SUM($Z121)-$Q121)/$Q121)</f>
        <v/>
      </c>
      <c r="AC121" s="88" t="n">
        <f aca="false">IF(SUM($R121)=0,"",(SUM($AA121)-$R121)/$R121)</f>
        <v>-1</v>
      </c>
    </row>
    <row r="122" customFormat="false" ht="15" hidden="false" customHeight="false" outlineLevel="0" collapsed="false">
      <c r="A122" s="0" t="str">
        <f aca="false">INDEX(Prioritization!$D:$D,MATCH($B122,Prioritization!$A:$A,0))</f>
        <v>INVALID</v>
      </c>
      <c r="B122" s="0" t="s">
        <v>220</v>
      </c>
      <c r="C122" s="0" t="s">
        <v>808</v>
      </c>
      <c r="D122" s="0" t="s">
        <v>48</v>
      </c>
      <c r="E122" s="0" t="str">
        <f aca="false">B122&amp;"|"&amp;C122&amp;"|"&amp;D122</f>
        <v>Phalombe District [AZyWpGzhcaA]|15+|Male</v>
      </c>
      <c r="F122" s="10" t="str">
        <f aca="false">IFERROR(1/(1/SUM(SUMIFS(Cascade!$O:$O,Cascade!$B:$B,$B122,Cascade!$C:$C,IF($C122="&lt;15",{"=&lt;01","01-09","10-14"},{"15-24","25-34","35-49","50+"}),Cascade!$D:$D,$D122))),"")</f>
        <v/>
      </c>
      <c r="G122" s="10" t="str">
        <f aca="false">IFERROR(1/(1/SUM(SUMIFS(Cascade!$AX:$AX,Cascade!$B:$B,$B122,Cascade!$C:$C,IF($C122="&lt;15",{"=&lt;01","01-09","10-14"},{"15-24","25-34","35-49","50+"}),Cascade!$D:$D,$D122))),"")</f>
        <v/>
      </c>
      <c r="H122" s="88" t="n">
        <f aca="false">1</f>
        <v>1</v>
      </c>
      <c r="I122" s="88" t="n">
        <f aca="false">1</f>
        <v>1</v>
      </c>
      <c r="J122" s="88"/>
      <c r="K122" s="88"/>
      <c r="L122" s="39" t="str">
        <f aca="false">IF(SUM($F122)=0,"",ROUND($F122*$H122*$J122,0))</f>
        <v/>
      </c>
      <c r="M122" s="39" t="str">
        <f aca="false">IF(SUM($F122)=0,"",ROUND($F122*$H122,0)-$L122)</f>
        <v/>
      </c>
      <c r="N122" s="39" t="str">
        <f aca="false">IF(SUM($G122)=0,"",ROUND($G122*$I122*$K122,0))</f>
        <v/>
      </c>
      <c r="O122" s="39" t="str">
        <f aca="false">IF(SUM($G122)=0,"",ROUND($G122*$I122,0)-$N122)</f>
        <v/>
      </c>
      <c r="P122" s="10" t="n">
        <v>2</v>
      </c>
      <c r="Q122" s="10"/>
      <c r="R122" s="10" t="n">
        <v>40</v>
      </c>
      <c r="S122" s="10" t="n">
        <f aca="false">IFERROR(1/(1/SUM($P122,$R122,$Q122)),"")</f>
        <v>42</v>
      </c>
      <c r="T122" s="88" t="str">
        <f aca="false">IF(SUM($F122)=0,"",MIN($S122/$F122,1))</f>
        <v/>
      </c>
      <c r="U122" s="88" t="n">
        <f aca="false">1</f>
        <v>1</v>
      </c>
      <c r="V122" s="88" t="n">
        <f aca="false">1</f>
        <v>1</v>
      </c>
      <c r="W122" s="39" t="str">
        <f aca="false">IF(SUM($M122)=0,"",IF($T122="","ENTER ELIGIBILITY RATE",IF($U122 = "","ENTER INITIATION RATE",ROUND($M122*$T122*$U122,0))))</f>
        <v/>
      </c>
      <c r="X122" s="39" t="str">
        <f aca="false">IF(SUM($O122)=0,"",IF($V122="","ENTER INITIATION RATE",ROUND($O122*$V122,0)))</f>
        <v/>
      </c>
      <c r="Y122" s="88" t="n">
        <f aca="false">0.9</f>
        <v>0.9</v>
      </c>
      <c r="Z122" s="39" t="str">
        <f aca="false">IF(SUM($W122)=0,"",IF($Y122="","ENTER COMPLETION RATE",ROUND($W122*$Y122,0)))</f>
        <v/>
      </c>
      <c r="AA122" s="39" t="str">
        <f aca="false">IF(SUM($X122)=0,"",IF($X122="","ENTER COMPLETION RATE",ROUND($X122*$Y122,0)))</f>
        <v/>
      </c>
      <c r="AB122" s="88" t="str">
        <f aca="false">IF(SUM($Q122)=0,"",(SUM($Z122)-$Q122)/$Q122)</f>
        <v/>
      </c>
      <c r="AC122" s="88" t="n">
        <f aca="false">IF(SUM($R122)=0,"",(SUM($AA122)-$R122)/$R122)</f>
        <v>-1</v>
      </c>
    </row>
    <row r="123" customFormat="false" ht="15" hidden="false" customHeight="false" outlineLevel="0" collapsed="false">
      <c r="A123" s="0" t="str">
        <f aca="false">INDEX(Prioritization!$D:$D,MATCH($B123,Prioritization!$A:$A,0))</f>
        <v>1 - Scale-up: Saturation</v>
      </c>
      <c r="B123" s="0" t="s">
        <v>221</v>
      </c>
      <c r="C123" s="0" t="s">
        <v>807</v>
      </c>
      <c r="D123" s="0" t="s">
        <v>30</v>
      </c>
      <c r="E123" s="0" t="str">
        <f aca="false">B123&amp;"|"&amp;C123&amp;"|"&amp;D123</f>
        <v>Thyolo District [ul0y9diGujK]|&lt;15|Female</v>
      </c>
      <c r="F123" s="10" t="n">
        <f aca="false">IFERROR(1/(1/SUM(SUMIFS(Cascade!$O:$O,Cascade!$B:$B,$B123,Cascade!$C:$C,IF($C123="&lt;15",{"=&lt;01","01-09","10-14"},{"15-24","25-34","35-49","50+"}),Cascade!$D:$D,$D123))),"")</f>
        <v>1</v>
      </c>
      <c r="G123" s="10" t="n">
        <f aca="false">IFERROR(1/(1/SUM(SUMIFS(Cascade!$AX:$AX,Cascade!$B:$B,$B123,Cascade!$C:$C,IF($C123="&lt;15",{"=&lt;01","01-09","10-14"},{"15-24","25-34","35-49","50+"}),Cascade!$D:$D,$D123))),"")</f>
        <v>1</v>
      </c>
      <c r="H123" s="88" t="n">
        <f aca="false">1</f>
        <v>1</v>
      </c>
      <c r="I123" s="88" t="n">
        <f aca="false">1</f>
        <v>1</v>
      </c>
      <c r="J123" s="88"/>
      <c r="K123" s="88"/>
      <c r="L123" s="39" t="n">
        <f aca="false">IF(SUM($F123)=0,"",ROUND($F123*$H123*$J123,0))</f>
        <v>0</v>
      </c>
      <c r="M123" s="39" t="n">
        <f aca="false">IF(SUM($F123)=0,"",ROUND($F123*$H123,0)-$L123)</f>
        <v>1</v>
      </c>
      <c r="N123" s="39" t="n">
        <f aca="false">IF(SUM($G123)=0,"",ROUND($G123*$I123*$K123,0))</f>
        <v>0</v>
      </c>
      <c r="O123" s="39" t="n">
        <f aca="false">IF(SUM($G123)=0,"",ROUND($G123*$I123,0)-$N123)</f>
        <v>1</v>
      </c>
      <c r="P123" s="10" t="n">
        <v>42</v>
      </c>
      <c r="Q123" s="10"/>
      <c r="R123" s="10" t="n">
        <v>92</v>
      </c>
      <c r="S123" s="10" t="n">
        <f aca="false">IFERROR(1/(1/SUM($P123,$R123,$Q123)),"")</f>
        <v>134</v>
      </c>
      <c r="T123" s="88" t="n">
        <f aca="false">IF(SUM($F123)=0,"",MIN($S123/$F123,1))</f>
        <v>1</v>
      </c>
      <c r="U123" s="88" t="n">
        <f aca="false">1</f>
        <v>1</v>
      </c>
      <c r="V123" s="88" t="n">
        <f aca="false">1</f>
        <v>1</v>
      </c>
      <c r="W123" s="39" t="n">
        <f aca="false">IF(SUM($M123)=0,"",IF($T123="","ENTER ELIGIBILITY RATE",IF($U123 = "","ENTER INITIATION RATE",ROUND($M123*$T123*$U123,0))))</f>
        <v>1</v>
      </c>
      <c r="X123" s="39" t="n">
        <f aca="false">IF(SUM($O123)=0,"",IF($V123="","ENTER INITIATION RATE",ROUND($O123*$V123,0)))</f>
        <v>1</v>
      </c>
      <c r="Y123" s="88" t="n">
        <f aca="false">0.9</f>
        <v>0.9</v>
      </c>
      <c r="Z123" s="39" t="n">
        <f aca="false">IF(SUM($W123)=0,"",IF($Y123="","ENTER COMPLETION RATE",ROUND($W123*$Y123,0)))</f>
        <v>1</v>
      </c>
      <c r="AA123" s="39" t="n">
        <f aca="false">IF(SUM($X123)=0,"",IF($X123="","ENTER COMPLETION RATE",ROUND($X123*$Y123,0)))</f>
        <v>1</v>
      </c>
      <c r="AB123" s="88" t="str">
        <f aca="false">IF(SUM($Q123)=0,"",(SUM($Z123)-$Q123)/$Q123)</f>
        <v/>
      </c>
      <c r="AC123" s="88" t="n">
        <f aca="false">IF(SUM($R123)=0,"",(SUM($AA123)-$R123)/$R123)</f>
        <v>-0.989130434782609</v>
      </c>
    </row>
    <row r="124" customFormat="false" ht="15" hidden="false" customHeight="false" outlineLevel="0" collapsed="false">
      <c r="A124" s="0" t="str">
        <f aca="false">INDEX(Prioritization!$D:$D,MATCH($B124,Prioritization!$A:$A,0))</f>
        <v>1 - Scale-up: Saturation</v>
      </c>
      <c r="B124" s="0" t="s">
        <v>221</v>
      </c>
      <c r="C124" s="0" t="s">
        <v>807</v>
      </c>
      <c r="D124" s="0" t="s">
        <v>48</v>
      </c>
      <c r="E124" s="0" t="str">
        <f aca="false">B124&amp;"|"&amp;C124&amp;"|"&amp;D124</f>
        <v>Thyolo District [ul0y9diGujK]|&lt;15|Male</v>
      </c>
      <c r="F124" s="10" t="n">
        <f aca="false">IFERROR(1/(1/SUM(SUMIFS(Cascade!$O:$O,Cascade!$B:$B,$B124,Cascade!$C:$C,IF($C124="&lt;15",{"=&lt;01","01-09","10-14"},{"15-24","25-34","35-49","50+"}),Cascade!$D:$D,$D124))),"")</f>
        <v>1</v>
      </c>
      <c r="G124" s="10" t="n">
        <f aca="false">IFERROR(1/(1/SUM(SUMIFS(Cascade!$AX:$AX,Cascade!$B:$B,$B124,Cascade!$C:$C,IF($C124="&lt;15",{"=&lt;01","01-09","10-14"},{"15-24","25-34","35-49","50+"}),Cascade!$D:$D,$D124))),"")</f>
        <v>1</v>
      </c>
      <c r="H124" s="88" t="n">
        <f aca="false">1</f>
        <v>1</v>
      </c>
      <c r="I124" s="88" t="n">
        <f aca="false">1</f>
        <v>1</v>
      </c>
      <c r="J124" s="88"/>
      <c r="K124" s="88"/>
      <c r="L124" s="39" t="n">
        <f aca="false">IF(SUM($F124)=0,"",ROUND($F124*$H124*$J124,0))</f>
        <v>0</v>
      </c>
      <c r="M124" s="39" t="n">
        <f aca="false">IF(SUM($F124)=0,"",ROUND($F124*$H124,0)-$L124)</f>
        <v>1</v>
      </c>
      <c r="N124" s="39" t="n">
        <f aca="false">IF(SUM($G124)=0,"",ROUND($G124*$I124*$K124,0))</f>
        <v>0</v>
      </c>
      <c r="O124" s="39" t="n">
        <f aca="false">IF(SUM($G124)=0,"",ROUND($G124*$I124,0)-$N124)</f>
        <v>1</v>
      </c>
      <c r="P124" s="10" t="n">
        <v>93</v>
      </c>
      <c r="Q124" s="10"/>
      <c r="R124" s="10" t="n">
        <v>87</v>
      </c>
      <c r="S124" s="10" t="n">
        <f aca="false">IFERROR(1/(1/SUM($P124,$R124,$Q124)),"")</f>
        <v>180</v>
      </c>
      <c r="T124" s="88" t="n">
        <f aca="false">IF(SUM($F124)=0,"",MIN($S124/$F124,1))</f>
        <v>1</v>
      </c>
      <c r="U124" s="88" t="n">
        <f aca="false">1</f>
        <v>1</v>
      </c>
      <c r="V124" s="88" t="n">
        <f aca="false">1</f>
        <v>1</v>
      </c>
      <c r="W124" s="39" t="n">
        <f aca="false">IF(SUM($M124)=0,"",IF($T124="","ENTER ELIGIBILITY RATE",IF($U124 = "","ENTER INITIATION RATE",ROUND($M124*$T124*$U124,0))))</f>
        <v>1</v>
      </c>
      <c r="X124" s="39" t="n">
        <f aca="false">IF(SUM($O124)=0,"",IF($V124="","ENTER INITIATION RATE",ROUND($O124*$V124,0)))</f>
        <v>1</v>
      </c>
      <c r="Y124" s="88" t="n">
        <f aca="false">0.9</f>
        <v>0.9</v>
      </c>
      <c r="Z124" s="39" t="n">
        <f aca="false">IF(SUM($W124)=0,"",IF($Y124="","ENTER COMPLETION RATE",ROUND($W124*$Y124,0)))</f>
        <v>1</v>
      </c>
      <c r="AA124" s="39" t="n">
        <f aca="false">IF(SUM($X124)=0,"",IF($X124="","ENTER COMPLETION RATE",ROUND($X124*$Y124,0)))</f>
        <v>1</v>
      </c>
      <c r="AB124" s="88" t="str">
        <f aca="false">IF(SUM($Q124)=0,"",(SUM($Z124)-$Q124)/$Q124)</f>
        <v/>
      </c>
      <c r="AC124" s="88" t="n">
        <f aca="false">IF(SUM($R124)=0,"",(SUM($AA124)-$R124)/$R124)</f>
        <v>-0.988505747126437</v>
      </c>
    </row>
    <row r="125" customFormat="false" ht="15" hidden="false" customHeight="false" outlineLevel="0" collapsed="false">
      <c r="A125" s="0" t="str">
        <f aca="false">INDEX(Prioritization!$D:$D,MATCH($B125,Prioritization!$A:$A,0))</f>
        <v>1 - Scale-up: Saturation</v>
      </c>
      <c r="B125" s="0" t="s">
        <v>221</v>
      </c>
      <c r="C125" s="0" t="s">
        <v>808</v>
      </c>
      <c r="D125" s="0" t="s">
        <v>30</v>
      </c>
      <c r="E125" s="0" t="str">
        <f aca="false">B125&amp;"|"&amp;C125&amp;"|"&amp;D125</f>
        <v>Thyolo District [ul0y9diGujK]|15+|Female</v>
      </c>
      <c r="F125" s="10" t="str">
        <f aca="false">IFERROR(1/(1/SUM(SUMIFS(Cascade!$O:$O,Cascade!$B:$B,$B125,Cascade!$C:$C,IF($C125="&lt;15",{"=&lt;01","01-09","10-14"},{"15-24","25-34","35-49","50+"}),Cascade!$D:$D,$D125))),"")</f>
        <v/>
      </c>
      <c r="G125" s="10" t="str">
        <f aca="false">IFERROR(1/(1/SUM(SUMIFS(Cascade!$AX:$AX,Cascade!$B:$B,$B125,Cascade!$C:$C,IF($C125="&lt;15",{"=&lt;01","01-09","10-14"},{"15-24","25-34","35-49","50+"}),Cascade!$D:$D,$D125))),"")</f>
        <v/>
      </c>
      <c r="H125" s="88" t="n">
        <f aca="false">1</f>
        <v>1</v>
      </c>
      <c r="I125" s="88" t="n">
        <f aca="false">1</f>
        <v>1</v>
      </c>
      <c r="J125" s="88"/>
      <c r="K125" s="88"/>
      <c r="L125" s="39" t="str">
        <f aca="false">IF(SUM($F125)=0,"",ROUND($F125*$H125*$J125,0))</f>
        <v/>
      </c>
      <c r="M125" s="39" t="str">
        <f aca="false">IF(SUM($F125)=0,"",ROUND($F125*$H125,0)-$L125)</f>
        <v/>
      </c>
      <c r="N125" s="39" t="str">
        <f aca="false">IF(SUM($G125)=0,"",ROUND($G125*$I125*$K125,0))</f>
        <v/>
      </c>
      <c r="O125" s="39" t="str">
        <f aca="false">IF(SUM($G125)=0,"",ROUND($G125*$I125,0)-$N125)</f>
        <v/>
      </c>
      <c r="P125" s="10" t="n">
        <v>2584</v>
      </c>
      <c r="Q125" s="10"/>
      <c r="R125" s="10" t="n">
        <v>15</v>
      </c>
      <c r="S125" s="10" t="n">
        <f aca="false">IFERROR(1/(1/SUM($P125,$R125,$Q125)),"")</f>
        <v>2599</v>
      </c>
      <c r="T125" s="88" t="str">
        <f aca="false">IF(SUM($F125)=0,"",MIN($S125/$F125,1))</f>
        <v/>
      </c>
      <c r="U125" s="88" t="n">
        <f aca="false">1</f>
        <v>1</v>
      </c>
      <c r="V125" s="88" t="n">
        <f aca="false">1</f>
        <v>1</v>
      </c>
      <c r="W125" s="39" t="str">
        <f aca="false">IF(SUM($M125)=0,"",IF($T125="","ENTER ELIGIBILITY RATE",IF($U125 = "","ENTER INITIATION RATE",ROUND($M125*$T125*$U125,0))))</f>
        <v/>
      </c>
      <c r="X125" s="39" t="str">
        <f aca="false">IF(SUM($O125)=0,"",IF($V125="","ENTER INITIATION RATE",ROUND($O125*$V125,0)))</f>
        <v/>
      </c>
      <c r="Y125" s="88" t="n">
        <f aca="false">0.9</f>
        <v>0.9</v>
      </c>
      <c r="Z125" s="39" t="str">
        <f aca="false">IF(SUM($W125)=0,"",IF($Y125="","ENTER COMPLETION RATE",ROUND($W125*$Y125,0)))</f>
        <v/>
      </c>
      <c r="AA125" s="39" t="str">
        <f aca="false">IF(SUM($X125)=0,"",IF($X125="","ENTER COMPLETION RATE",ROUND($X125*$Y125,0)))</f>
        <v/>
      </c>
      <c r="AB125" s="88" t="str">
        <f aca="false">IF(SUM($Q125)=0,"",(SUM($Z125)-$Q125)/$Q125)</f>
        <v/>
      </c>
      <c r="AC125" s="88" t="n">
        <f aca="false">IF(SUM($R125)=0,"",(SUM($AA125)-$R125)/$R125)</f>
        <v>-1</v>
      </c>
    </row>
    <row r="126" customFormat="false" ht="15" hidden="false" customHeight="false" outlineLevel="0" collapsed="false">
      <c r="A126" s="0" t="str">
        <f aca="false">INDEX(Prioritization!$D:$D,MATCH($B126,Prioritization!$A:$A,0))</f>
        <v>1 - Scale-up: Saturation</v>
      </c>
      <c r="B126" s="0" t="s">
        <v>221</v>
      </c>
      <c r="C126" s="0" t="s">
        <v>808</v>
      </c>
      <c r="D126" s="0" t="s">
        <v>48</v>
      </c>
      <c r="E126" s="0" t="str">
        <f aca="false">B126&amp;"|"&amp;C126&amp;"|"&amp;D126</f>
        <v>Thyolo District [ul0y9diGujK]|15+|Male</v>
      </c>
      <c r="F126" s="10" t="str">
        <f aca="false">IFERROR(1/(1/SUM(SUMIFS(Cascade!$O:$O,Cascade!$B:$B,$B126,Cascade!$C:$C,IF($C126="&lt;15",{"=&lt;01","01-09","10-14"},{"15-24","25-34","35-49","50+"}),Cascade!$D:$D,$D126))),"")</f>
        <v/>
      </c>
      <c r="G126" s="10" t="str">
        <f aca="false">IFERROR(1/(1/SUM(SUMIFS(Cascade!$AX:$AX,Cascade!$B:$B,$B126,Cascade!$C:$C,IF($C126="&lt;15",{"=&lt;01","01-09","10-14"},{"15-24","25-34","35-49","50+"}),Cascade!$D:$D,$D126))),"")</f>
        <v/>
      </c>
      <c r="H126" s="88" t="n">
        <f aca="false">1</f>
        <v>1</v>
      </c>
      <c r="I126" s="88" t="n">
        <f aca="false">1</f>
        <v>1</v>
      </c>
      <c r="J126" s="88"/>
      <c r="K126" s="88"/>
      <c r="L126" s="39" t="str">
        <f aca="false">IF(SUM($F126)=0,"",ROUND($F126*$H126*$J126,0))</f>
        <v/>
      </c>
      <c r="M126" s="39" t="str">
        <f aca="false">IF(SUM($F126)=0,"",ROUND($F126*$H126,0)-$L126)</f>
        <v/>
      </c>
      <c r="N126" s="39" t="str">
        <f aca="false">IF(SUM($G126)=0,"",ROUND($G126*$I126*$K126,0))</f>
        <v/>
      </c>
      <c r="O126" s="39" t="str">
        <f aca="false">IF(SUM($G126)=0,"",ROUND($G126*$I126,0)-$N126)</f>
        <v/>
      </c>
      <c r="P126" s="10" t="n">
        <v>5103</v>
      </c>
      <c r="Q126" s="10"/>
      <c r="R126" s="10" t="n">
        <v>100</v>
      </c>
      <c r="S126" s="10" t="n">
        <f aca="false">IFERROR(1/(1/SUM($P126,$R126,$Q126)),"")</f>
        <v>5203</v>
      </c>
      <c r="T126" s="88" t="str">
        <f aca="false">IF(SUM($F126)=0,"",MIN($S126/$F126,1))</f>
        <v/>
      </c>
      <c r="U126" s="88" t="n">
        <f aca="false">1</f>
        <v>1</v>
      </c>
      <c r="V126" s="88" t="n">
        <f aca="false">1</f>
        <v>1</v>
      </c>
      <c r="W126" s="39" t="str">
        <f aca="false">IF(SUM($M126)=0,"",IF($T126="","ENTER ELIGIBILITY RATE",IF($U126 = "","ENTER INITIATION RATE",ROUND($M126*$T126*$U126,0))))</f>
        <v/>
      </c>
      <c r="X126" s="39" t="str">
        <f aca="false">IF(SUM($O126)=0,"",IF($V126="","ENTER INITIATION RATE",ROUND($O126*$V126,0)))</f>
        <v/>
      </c>
      <c r="Y126" s="88" t="n">
        <f aca="false">0.9</f>
        <v>0.9</v>
      </c>
      <c r="Z126" s="39" t="str">
        <f aca="false">IF(SUM($W126)=0,"",IF($Y126="","ENTER COMPLETION RATE",ROUND($W126*$Y126,0)))</f>
        <v/>
      </c>
      <c r="AA126" s="39" t="str">
        <f aca="false">IF(SUM($X126)=0,"",IF($X126="","ENTER COMPLETION RATE",ROUND($X126*$Y126,0)))</f>
        <v/>
      </c>
      <c r="AB126" s="88" t="str">
        <f aca="false">IF(SUM($Q126)=0,"",(SUM($Z126)-$Q126)/$Q126)</f>
        <v/>
      </c>
      <c r="AC126" s="88" t="n">
        <f aca="false">IF(SUM($R126)=0,"",(SUM($AA126)-$R126)/$R126)</f>
        <v>-1</v>
      </c>
    </row>
    <row r="127" customFormat="false" ht="15" hidden="false" customHeight="false" outlineLevel="0" collapsed="false">
      <c r="A127" s="0" t="str">
        <f aca="false">INDEX(Prioritization!$D:$D,MATCH($B127,Prioritization!$A:$A,0))</f>
        <v>1 - Scale-up: Saturation</v>
      </c>
      <c r="B127" s="0" t="s">
        <v>222</v>
      </c>
      <c r="C127" s="0" t="s">
        <v>807</v>
      </c>
      <c r="D127" s="0" t="s">
        <v>30</v>
      </c>
      <c r="E127" s="0" t="str">
        <f aca="false">B127&amp;"|"&amp;C127&amp;"|"&amp;D127</f>
        <v>Zomba District [fyEoGEPERdI]|&lt;15|Female</v>
      </c>
      <c r="F127" s="10" t="n">
        <f aca="false">IFERROR(1/(1/SUM(SUMIFS(Cascade!$O:$O,Cascade!$B:$B,$B127,Cascade!$C:$C,IF($C127="&lt;15",{"=&lt;01","01-09","10-14"},{"15-24","25-34","35-49","50+"}),Cascade!$D:$D,$D127))),"")</f>
        <v>7</v>
      </c>
      <c r="G127" s="10" t="str">
        <f aca="false">IFERROR(1/(1/SUM(SUMIFS(Cascade!$AX:$AX,Cascade!$B:$B,$B127,Cascade!$C:$C,IF($C127="&lt;15",{"=&lt;01","01-09","10-14"},{"15-24","25-34","35-49","50+"}),Cascade!$D:$D,$D127))),"")</f>
        <v/>
      </c>
      <c r="H127" s="88" t="n">
        <f aca="false">1</f>
        <v>1</v>
      </c>
      <c r="I127" s="88" t="n">
        <f aca="false">1</f>
        <v>1</v>
      </c>
      <c r="J127" s="88"/>
      <c r="K127" s="88"/>
      <c r="L127" s="39" t="n">
        <f aca="false">IF(SUM($F127)=0,"",ROUND($F127*$H127*$J127,0))</f>
        <v>0</v>
      </c>
      <c r="M127" s="39" t="n">
        <f aca="false">IF(SUM($F127)=0,"",ROUND($F127*$H127,0)-$L127)</f>
        <v>7</v>
      </c>
      <c r="N127" s="39" t="str">
        <f aca="false">IF(SUM($G127)=0,"",ROUND($G127*$I127*$K127,0))</f>
        <v/>
      </c>
      <c r="O127" s="39" t="str">
        <f aca="false">IF(SUM($G127)=0,"",ROUND($G127*$I127,0)-$N127)</f>
        <v/>
      </c>
      <c r="P127" s="10" t="n">
        <v>31</v>
      </c>
      <c r="Q127" s="10"/>
      <c r="R127" s="10" t="n">
        <v>39</v>
      </c>
      <c r="S127" s="10" t="n">
        <f aca="false">IFERROR(1/(1/SUM($P127,$R127,$Q127)),"")</f>
        <v>70</v>
      </c>
      <c r="T127" s="88" t="n">
        <f aca="false">IF(SUM($F127)=0,"",MIN($S127/$F127,1))</f>
        <v>1</v>
      </c>
      <c r="U127" s="88" t="n">
        <f aca="false">1</f>
        <v>1</v>
      </c>
      <c r="V127" s="88" t="n">
        <f aca="false">1</f>
        <v>1</v>
      </c>
      <c r="W127" s="39" t="n">
        <f aca="false">IF(SUM($M127)=0,"",IF($T127="","ENTER ELIGIBILITY RATE",IF($U127 = "","ENTER INITIATION RATE",ROUND($M127*$T127*$U127,0))))</f>
        <v>7</v>
      </c>
      <c r="X127" s="39" t="str">
        <f aca="false">IF(SUM($O127)=0,"",IF($V127="","ENTER INITIATION RATE",ROUND($O127*$V127,0)))</f>
        <v/>
      </c>
      <c r="Y127" s="88" t="n">
        <f aca="false">0.9</f>
        <v>0.9</v>
      </c>
      <c r="Z127" s="39" t="n">
        <f aca="false">IF(SUM($W127)=0,"",IF($Y127="","ENTER COMPLETION RATE",ROUND($W127*$Y127,0)))</f>
        <v>6</v>
      </c>
      <c r="AA127" s="39" t="str">
        <f aca="false">IF(SUM($X127)=0,"",IF($X127="","ENTER COMPLETION RATE",ROUND($X127*$Y127,0)))</f>
        <v/>
      </c>
      <c r="AB127" s="88" t="str">
        <f aca="false">IF(SUM($Q127)=0,"",(SUM($Z127)-$Q127)/$Q127)</f>
        <v/>
      </c>
      <c r="AC127" s="88" t="n">
        <f aca="false">IF(SUM($R127)=0,"",(SUM($AA127)-$R127)/$R127)</f>
        <v>-1</v>
      </c>
    </row>
    <row r="128" customFormat="false" ht="15" hidden="false" customHeight="false" outlineLevel="0" collapsed="false">
      <c r="A128" s="0" t="str">
        <f aca="false">INDEX(Prioritization!$D:$D,MATCH($B128,Prioritization!$A:$A,0))</f>
        <v>1 - Scale-up: Saturation</v>
      </c>
      <c r="B128" s="0" t="s">
        <v>222</v>
      </c>
      <c r="C128" s="0" t="s">
        <v>807</v>
      </c>
      <c r="D128" s="0" t="s">
        <v>48</v>
      </c>
      <c r="E128" s="0" t="str">
        <f aca="false">B128&amp;"|"&amp;C128&amp;"|"&amp;D128</f>
        <v>Zomba District [fyEoGEPERdI]|&lt;15|Male</v>
      </c>
      <c r="F128" s="10" t="n">
        <f aca="false">IFERROR(1/(1/SUM(SUMIFS(Cascade!$O:$O,Cascade!$B:$B,$B128,Cascade!$C:$C,IF($C128="&lt;15",{"=&lt;01","01-09","10-14"},{"15-24","25-34","35-49","50+"}),Cascade!$D:$D,$D128))),"")</f>
        <v>3</v>
      </c>
      <c r="G128" s="10" t="str">
        <f aca="false">IFERROR(1/(1/SUM(SUMIFS(Cascade!$AX:$AX,Cascade!$B:$B,$B128,Cascade!$C:$C,IF($C128="&lt;15",{"=&lt;01","01-09","10-14"},{"15-24","25-34","35-49","50+"}),Cascade!$D:$D,$D128))),"")</f>
        <v/>
      </c>
      <c r="H128" s="88" t="n">
        <f aca="false">1</f>
        <v>1</v>
      </c>
      <c r="I128" s="88" t="n">
        <f aca="false">1</f>
        <v>1</v>
      </c>
      <c r="J128" s="88"/>
      <c r="K128" s="88"/>
      <c r="L128" s="39" t="n">
        <f aca="false">IF(SUM($F128)=0,"",ROUND($F128*$H128*$J128,0))</f>
        <v>0</v>
      </c>
      <c r="M128" s="39" t="n">
        <f aca="false">IF(SUM($F128)=0,"",ROUND($F128*$H128,0)-$L128)</f>
        <v>3</v>
      </c>
      <c r="N128" s="39" t="str">
        <f aca="false">IF(SUM($G128)=0,"",ROUND($G128*$I128*$K128,0))</f>
        <v/>
      </c>
      <c r="O128" s="39" t="str">
        <f aca="false">IF(SUM($G128)=0,"",ROUND($G128*$I128,0)-$N128)</f>
        <v/>
      </c>
      <c r="P128" s="10" t="n">
        <v>57</v>
      </c>
      <c r="Q128" s="10"/>
      <c r="R128" s="10" t="n">
        <v>17</v>
      </c>
      <c r="S128" s="10" t="n">
        <f aca="false">IFERROR(1/(1/SUM($P128,$R128,$Q128)),"")</f>
        <v>74</v>
      </c>
      <c r="T128" s="88" t="n">
        <f aca="false">IF(SUM($F128)=0,"",MIN($S128/$F128,1))</f>
        <v>1</v>
      </c>
      <c r="U128" s="88" t="n">
        <f aca="false">1</f>
        <v>1</v>
      </c>
      <c r="V128" s="88" t="n">
        <f aca="false">1</f>
        <v>1</v>
      </c>
      <c r="W128" s="39" t="n">
        <f aca="false">IF(SUM($M128)=0,"",IF($T128="","ENTER ELIGIBILITY RATE",IF($U128 = "","ENTER INITIATION RATE",ROUND($M128*$T128*$U128,0))))</f>
        <v>3</v>
      </c>
      <c r="X128" s="39" t="str">
        <f aca="false">IF(SUM($O128)=0,"",IF($V128="","ENTER INITIATION RATE",ROUND($O128*$V128,0)))</f>
        <v/>
      </c>
      <c r="Y128" s="88" t="n">
        <f aca="false">0.9</f>
        <v>0.9</v>
      </c>
      <c r="Z128" s="39" t="n">
        <f aca="false">IF(SUM($W128)=0,"",IF($Y128="","ENTER COMPLETION RATE",ROUND($W128*$Y128,0)))</f>
        <v>3</v>
      </c>
      <c r="AA128" s="39" t="str">
        <f aca="false">IF(SUM($X128)=0,"",IF($X128="","ENTER COMPLETION RATE",ROUND($X128*$Y128,0)))</f>
        <v/>
      </c>
      <c r="AB128" s="88" t="str">
        <f aca="false">IF(SUM($Q128)=0,"",(SUM($Z128)-$Q128)/$Q128)</f>
        <v/>
      </c>
      <c r="AC128" s="88" t="n">
        <f aca="false">IF(SUM($R128)=0,"",(SUM($AA128)-$R128)/$R128)</f>
        <v>-1</v>
      </c>
    </row>
    <row r="129" customFormat="false" ht="15" hidden="false" customHeight="false" outlineLevel="0" collapsed="false">
      <c r="A129" s="0" t="str">
        <f aca="false">INDEX(Prioritization!$D:$D,MATCH($B129,Prioritization!$A:$A,0))</f>
        <v>1 - Scale-up: Saturation</v>
      </c>
      <c r="B129" s="0" t="s">
        <v>222</v>
      </c>
      <c r="C129" s="0" t="s">
        <v>808</v>
      </c>
      <c r="D129" s="0" t="s">
        <v>30</v>
      </c>
      <c r="E129" s="0" t="str">
        <f aca="false">B129&amp;"|"&amp;C129&amp;"|"&amp;D129</f>
        <v>Zomba District [fyEoGEPERdI]|15+|Female</v>
      </c>
      <c r="F129" s="10" t="str">
        <f aca="false">IFERROR(1/(1/SUM(SUMIFS(Cascade!$O:$O,Cascade!$B:$B,$B129,Cascade!$C:$C,IF($C129="&lt;15",{"=&lt;01","01-09","10-14"},{"15-24","25-34","35-49","50+"}),Cascade!$D:$D,$D129))),"")</f>
        <v/>
      </c>
      <c r="G129" s="10" t="str">
        <f aca="false">IFERROR(1/(1/SUM(SUMIFS(Cascade!$AX:$AX,Cascade!$B:$B,$B129,Cascade!$C:$C,IF($C129="&lt;15",{"=&lt;01","01-09","10-14"},{"15-24","25-34","35-49","50+"}),Cascade!$D:$D,$D129))),"")</f>
        <v/>
      </c>
      <c r="H129" s="88" t="n">
        <f aca="false">1</f>
        <v>1</v>
      </c>
      <c r="I129" s="88" t="n">
        <f aca="false">1</f>
        <v>1</v>
      </c>
      <c r="J129" s="88"/>
      <c r="K129" s="88"/>
      <c r="L129" s="39" t="str">
        <f aca="false">IF(SUM($F129)=0,"",ROUND($F129*$H129*$J129,0))</f>
        <v/>
      </c>
      <c r="M129" s="39" t="str">
        <f aca="false">IF(SUM($F129)=0,"",ROUND($F129*$H129,0)-$L129)</f>
        <v/>
      </c>
      <c r="N129" s="39" t="str">
        <f aca="false">IF(SUM($G129)=0,"",ROUND($G129*$I129*$K129,0))</f>
        <v/>
      </c>
      <c r="O129" s="39" t="str">
        <f aca="false">IF(SUM($G129)=0,"",ROUND($G129*$I129,0)-$N129)</f>
        <v/>
      </c>
      <c r="P129" s="10" t="n">
        <v>1820</v>
      </c>
      <c r="Q129" s="10"/>
      <c r="R129" s="10" t="n">
        <v>69</v>
      </c>
      <c r="S129" s="10" t="n">
        <f aca="false">IFERROR(1/(1/SUM($P129,$R129,$Q129)),"")</f>
        <v>1889</v>
      </c>
      <c r="T129" s="88" t="str">
        <f aca="false">IF(SUM($F129)=0,"",MIN($S129/$F129,1))</f>
        <v/>
      </c>
      <c r="U129" s="88" t="n">
        <f aca="false">1</f>
        <v>1</v>
      </c>
      <c r="V129" s="88" t="n">
        <f aca="false">1</f>
        <v>1</v>
      </c>
      <c r="W129" s="39" t="str">
        <f aca="false">IF(SUM($M129)=0,"",IF($T129="","ENTER ELIGIBILITY RATE",IF($U129 = "","ENTER INITIATION RATE",ROUND($M129*$T129*$U129,0))))</f>
        <v/>
      </c>
      <c r="X129" s="39" t="str">
        <f aca="false">IF(SUM($O129)=0,"",IF($V129="","ENTER INITIATION RATE",ROUND($O129*$V129,0)))</f>
        <v/>
      </c>
      <c r="Y129" s="88" t="n">
        <f aca="false">0.9</f>
        <v>0.9</v>
      </c>
      <c r="Z129" s="39" t="str">
        <f aca="false">IF(SUM($W129)=0,"",IF($Y129="","ENTER COMPLETION RATE",ROUND($W129*$Y129,0)))</f>
        <v/>
      </c>
      <c r="AA129" s="39" t="str">
        <f aca="false">IF(SUM($X129)=0,"",IF($X129="","ENTER COMPLETION RATE",ROUND($X129*$Y129,0)))</f>
        <v/>
      </c>
      <c r="AB129" s="88" t="str">
        <f aca="false">IF(SUM($Q129)=0,"",(SUM($Z129)-$Q129)/$Q129)</f>
        <v/>
      </c>
      <c r="AC129" s="88" t="n">
        <f aca="false">IF(SUM($R129)=0,"",(SUM($AA129)-$R129)/$R129)</f>
        <v>-1</v>
      </c>
    </row>
    <row r="130" customFormat="false" ht="15" hidden="false" customHeight="false" outlineLevel="0" collapsed="false">
      <c r="A130" s="0" t="str">
        <f aca="false">INDEX(Prioritization!$D:$D,MATCH($B130,Prioritization!$A:$A,0))</f>
        <v>1 - Scale-up: Saturation</v>
      </c>
      <c r="B130" s="0" t="s">
        <v>222</v>
      </c>
      <c r="C130" s="0" t="s">
        <v>808</v>
      </c>
      <c r="D130" s="0" t="s">
        <v>48</v>
      </c>
      <c r="E130" s="0" t="str">
        <f aca="false">B130&amp;"|"&amp;C130&amp;"|"&amp;D130</f>
        <v>Zomba District [fyEoGEPERdI]|15+|Male</v>
      </c>
      <c r="F130" s="10" t="str">
        <f aca="false">IFERROR(1/(1/SUM(SUMIFS(Cascade!$O:$O,Cascade!$B:$B,$B130,Cascade!$C:$C,IF($C130="&lt;15",{"=&lt;01","01-09","10-14"},{"15-24","25-34","35-49","50+"}),Cascade!$D:$D,$D130))),"")</f>
        <v/>
      </c>
      <c r="G130" s="10" t="str">
        <f aca="false">IFERROR(1/(1/SUM(SUMIFS(Cascade!$AX:$AX,Cascade!$B:$B,$B130,Cascade!$C:$C,IF($C130="&lt;15",{"=&lt;01","01-09","10-14"},{"15-24","25-34","35-49","50+"}),Cascade!$D:$D,$D130))),"")</f>
        <v/>
      </c>
      <c r="H130" s="88" t="n">
        <f aca="false">1</f>
        <v>1</v>
      </c>
      <c r="I130" s="88" t="n">
        <f aca="false">1</f>
        <v>1</v>
      </c>
      <c r="J130" s="88"/>
      <c r="K130" s="88"/>
      <c r="L130" s="39" t="str">
        <f aca="false">IF(SUM($F130)=0,"",ROUND($F130*$H130*$J130,0))</f>
        <v/>
      </c>
      <c r="M130" s="39" t="str">
        <f aca="false">IF(SUM($F130)=0,"",ROUND($F130*$H130,0)-$L130)</f>
        <v/>
      </c>
      <c r="N130" s="39" t="str">
        <f aca="false">IF(SUM($G130)=0,"",ROUND($G130*$I130*$K130,0))</f>
        <v/>
      </c>
      <c r="O130" s="39" t="str">
        <f aca="false">IF(SUM($G130)=0,"",ROUND($G130*$I130,0)-$N130)</f>
        <v/>
      </c>
      <c r="P130" s="10" t="n">
        <v>3293</v>
      </c>
      <c r="Q130" s="10"/>
      <c r="R130" s="10" t="n">
        <v>74</v>
      </c>
      <c r="S130" s="10" t="n">
        <f aca="false">IFERROR(1/(1/SUM($P130,$R130,$Q130)),"")</f>
        <v>3367</v>
      </c>
      <c r="T130" s="88" t="str">
        <f aca="false">IF(SUM($F130)=0,"",MIN($S130/$F130,1))</f>
        <v/>
      </c>
      <c r="U130" s="88" t="n">
        <f aca="false">1</f>
        <v>1</v>
      </c>
      <c r="V130" s="88" t="n">
        <f aca="false">1</f>
        <v>1</v>
      </c>
      <c r="W130" s="39" t="str">
        <f aca="false">IF(SUM($M130)=0,"",IF($T130="","ENTER ELIGIBILITY RATE",IF($U130 = "","ENTER INITIATION RATE",ROUND($M130*$T130*$U130,0))))</f>
        <v/>
      </c>
      <c r="X130" s="39" t="str">
        <f aca="false">IF(SUM($O130)=0,"",IF($V130="","ENTER INITIATION RATE",ROUND($O130*$V130,0)))</f>
        <v/>
      </c>
      <c r="Y130" s="88" t="n">
        <f aca="false">0.9</f>
        <v>0.9</v>
      </c>
      <c r="Z130" s="39" t="str">
        <f aca="false">IF(SUM($W130)=0,"",IF($Y130="","ENTER COMPLETION RATE",ROUND($W130*$Y130,0)))</f>
        <v/>
      </c>
      <c r="AA130" s="39" t="str">
        <f aca="false">IF(SUM($X130)=0,"",IF($X130="","ENTER COMPLETION RATE",ROUND($X130*$Y130,0)))</f>
        <v/>
      </c>
      <c r="AB130" s="88" t="str">
        <f aca="false">IF(SUM($Q130)=0,"",(SUM($Z130)-$Q130)/$Q130)</f>
        <v/>
      </c>
      <c r="AC130" s="88" t="n">
        <f aca="false">IF(SUM($R130)=0,"",(SUM($AA130)-$R130)/$R130)</f>
        <v>-1</v>
      </c>
    </row>
  </sheetData>
  <conditionalFormatting sqref="Y1:Y1048576">
    <cfRule type="expression" priority="2" aboveAverage="0" equalAverage="0" bottom="0" percent="0" rank="0" text="" dxfId="98">
      <formula>OR(Z1="ENTER COMPLETION RATE",AA1="ENTER COMPLETION RATE")</formula>
    </cfRule>
    <cfRule type="expression" priority="3" aboveAverage="0" equalAverage="0" bottom="0" percent="0" rank="0" text="" dxfId="99">
      <formula>AND(ISNUMBER(Y1),ROUND(SUM(Y1),2)&lt;90%)</formula>
    </cfRule>
  </conditionalFormatting>
  <conditionalFormatting sqref="H1:K1048576 T1:V1048576 Y1:Y1048576">
    <cfRule type="expression" priority="4" aboveAverage="0" equalAverage="0" bottom="0" percent="0" rank="0" text="" dxfId="100">
      <formula>AND(ISNUMBER(H1),H1&gt;1)</formula>
    </cfRule>
  </conditionalFormatting>
  <conditionalFormatting sqref="H1:H1048576 J1:J1048576">
    <cfRule type="expression" priority="5" aboveAverage="0" equalAverage="0" bottom="0" percent="0" rank="0" text="" dxfId="101">
      <formula>AND(SUM($F1)&gt;0,H1="",ROW(H1)&gt;14)</formula>
    </cfRule>
  </conditionalFormatting>
  <conditionalFormatting sqref="H1:I1048576 U1:V1048576">
    <cfRule type="expression" priority="6" aboveAverage="0" equalAverage="0" bottom="0" percent="0" rank="0" text="" dxfId="102">
      <formula>AND(ISNUMBER(H1),ROUND(SUM(H1),2)&lt;100%)</formula>
    </cfRule>
  </conditionalFormatting>
  <conditionalFormatting sqref="F1:AA1048576">
    <cfRule type="expression" priority="7" aboveAverage="0" equalAverage="0" bottom="0" percent="0" rank="0" text="" dxfId="103">
      <formula>AND(ISNUMBER(F1),F1&lt;0)</formula>
    </cfRule>
  </conditionalFormatting>
  <conditionalFormatting sqref="U1:V1048576">
    <cfRule type="expression" priority="8" aboveAverage="0" equalAverage="0" bottom="0" percent="0" rank="0" text="" dxfId="104">
      <formula>W1="ENTER INITIATION RATE"</formula>
    </cfRule>
  </conditionalFormatting>
  <conditionalFormatting sqref="T1:T1048576">
    <cfRule type="expression" priority="9" aboveAverage="0" equalAverage="0" bottom="0" percent="0" rank="0" text="" dxfId="105">
      <formula>W1="ENTER ELIGIBILITY RATE"</formula>
    </cfRule>
  </conditionalFormatting>
  <conditionalFormatting sqref="K1:K1048576 I1:I1048576">
    <cfRule type="expression" priority="10" aboveAverage="0" equalAverage="0" bottom="0" percent="0" rank="0" text="" dxfId="106">
      <formula>AND(SUM($G1)&lt;&gt;0,I1="",ROW(I1)&gt;14)</formula>
    </cfRule>
  </conditionalFormatting>
  <hyperlinks>
    <hyperlink ref="F3" location="Cascade!O:O" display="TX_CURR (FY23)"/>
    <hyperlink ref="G3" location="Cascade!AU:AU" display="TX_NEW (FY24)"/>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A1" activeCellId="0" sqref="A1"/>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
    <col collapsed="false" customWidth="true" hidden="false" outlineLevel="0" max="8" min="6" style="0" width="11.83"/>
  </cols>
  <sheetData>
    <row r="1" customFormat="false" ht="30.75" hidden="false" customHeight="true" outlineLevel="0" collapsed="false">
      <c r="A1" s="41" t="s">
        <v>1212</v>
      </c>
      <c r="B1" s="15"/>
      <c r="C1" s="15"/>
      <c r="D1" s="15"/>
      <c r="E1" s="15"/>
      <c r="F1" s="42" t="s">
        <v>490</v>
      </c>
      <c r="G1" s="47"/>
      <c r="H1" s="43"/>
    </row>
    <row r="2" customFormat="false" ht="18.75" hidden="false" customHeight="true" outlineLevel="0" collapsed="false">
      <c r="A2" s="22"/>
      <c r="B2" s="19"/>
      <c r="C2" s="19"/>
      <c r="D2" s="19"/>
      <c r="E2" s="19"/>
      <c r="F2" s="50"/>
      <c r="G2" s="52"/>
      <c r="H2" s="21" t="s">
        <v>177</v>
      </c>
    </row>
    <row r="3" customFormat="false" ht="117" hidden="false" customHeight="true" outlineLevel="0" collapsed="false">
      <c r="A3" s="59"/>
      <c r="B3" s="23"/>
      <c r="C3" s="23"/>
      <c r="D3" s="23"/>
      <c r="E3" s="23"/>
      <c r="F3" s="24" t="s">
        <v>1213</v>
      </c>
      <c r="G3" s="160" t="s">
        <v>1214</v>
      </c>
      <c r="H3" s="72" t="s">
        <v>579</v>
      </c>
    </row>
    <row r="4" customFormat="false" ht="15" hidden="false" customHeight="false" outlineLevel="0" collapsed="false">
      <c r="A4" s="73"/>
      <c r="B4" s="27"/>
      <c r="C4" s="27"/>
      <c r="D4" s="27" t="s">
        <v>288</v>
      </c>
      <c r="E4" s="27"/>
      <c r="F4" s="74" t="n">
        <f aca="false">SUBTOTAL(109,F$15:INDEX(F:F,COUNTA($B:$B)+14-COUNTA($B$1:$B$14)))</f>
        <v>0</v>
      </c>
      <c r="G4" s="84" t="str">
        <f aca="false">IF($F$4=0,"",$H$4/$F$4-1)</f>
        <v/>
      </c>
      <c r="H4" s="82" t="n">
        <f aca="false">SUBTOTAL(109,H$15:INDEX(H:H,COUNTA($B:$B)+14-COUNTA($B$1:$B$14)))</f>
        <v>0</v>
      </c>
    </row>
    <row r="5" customFormat="false" ht="12.8" hidden="false" customHeight="false" outlineLevel="0" collapsed="false">
      <c r="A5" s="0" t="s">
        <v>181</v>
      </c>
      <c r="B5" s="9" t="s">
        <v>181</v>
      </c>
      <c r="C5" s="9" t="s">
        <v>181</v>
      </c>
      <c r="D5" s="9" t="s">
        <v>181</v>
      </c>
      <c r="E5" s="9" t="s">
        <v>181</v>
      </c>
      <c r="F5" s="85" t="s">
        <v>289</v>
      </c>
      <c r="G5" s="88" t="s">
        <v>181</v>
      </c>
      <c r="H5" s="5" t="s">
        <v>289</v>
      </c>
    </row>
    <row r="6" customFormat="false" ht="12.8" hidden="false" customHeight="false" outlineLevel="0" collapsed="false">
      <c r="A6" s="0" t="s">
        <v>183</v>
      </c>
      <c r="B6" s="9" t="s">
        <v>183</v>
      </c>
      <c r="C6" s="9" t="s">
        <v>183</v>
      </c>
      <c r="D6" s="9" t="s">
        <v>183</v>
      </c>
      <c r="E6" s="9" t="s">
        <v>183</v>
      </c>
      <c r="F6" s="85" t="s">
        <v>184</v>
      </c>
      <c r="G6" s="88" t="s">
        <v>291</v>
      </c>
      <c r="H6" s="5" t="s">
        <v>185</v>
      </c>
    </row>
    <row r="7" customFormat="false" ht="12.8" hidden="false" customHeight="false" outlineLevel="0" collapsed="false">
      <c r="A7" s="0" t="s">
        <v>187</v>
      </c>
      <c r="B7" s="9" t="s">
        <v>187</v>
      </c>
      <c r="C7" s="9" t="s">
        <v>187</v>
      </c>
      <c r="D7" s="9" t="s">
        <v>187</v>
      </c>
      <c r="E7" s="9" t="s">
        <v>187</v>
      </c>
      <c r="F7" s="85" t="s">
        <v>188</v>
      </c>
      <c r="G7" s="88" t="s">
        <v>294</v>
      </c>
      <c r="H7" s="5" t="s">
        <v>188</v>
      </c>
    </row>
    <row r="8" customFormat="false" ht="12.8" hidden="false" customHeight="false" outlineLevel="0" collapsed="false">
      <c r="F8" s="93" t="s">
        <v>656</v>
      </c>
      <c r="G8" s="88"/>
      <c r="H8" s="97" t="s">
        <v>656</v>
      </c>
    </row>
    <row r="9" customFormat="false" ht="12.8" hidden="false" customHeight="false" outlineLevel="0" collapsed="false">
      <c r="F9" s="93" t="s">
        <v>1215</v>
      </c>
      <c r="G9" s="88"/>
      <c r="H9" s="97" t="s">
        <v>1215</v>
      </c>
    </row>
    <row r="10" customFormat="false" ht="12.8" hidden="false" customHeight="false" outlineLevel="0" collapsed="false">
      <c r="F10" s="93"/>
      <c r="G10" s="88"/>
      <c r="H10" s="97"/>
    </row>
    <row r="11" customFormat="false" ht="12.8" hidden="false" customHeight="false" outlineLevel="0" collapsed="false">
      <c r="F11" s="85" t="s">
        <v>683</v>
      </c>
      <c r="G11" s="88" t="s">
        <v>683</v>
      </c>
      <c r="H11" s="5" t="s">
        <v>683</v>
      </c>
    </row>
    <row r="12" customFormat="false" ht="12.8" hidden="false" customHeight="false" outlineLevel="0" collapsed="false">
      <c r="F12" s="85" t="s">
        <v>317</v>
      </c>
      <c r="G12" s="88" t="s">
        <v>317</v>
      </c>
      <c r="H12" s="5" t="s">
        <v>317</v>
      </c>
    </row>
    <row r="13" customFormat="false" ht="12.8" hidden="false" customHeight="false" outlineLevel="0" collapsed="false"/>
    <row r="14" customFormat="false" ht="15" hidden="false" customHeight="false" outlineLevel="0" collapsed="false">
      <c r="A14" s="100" t="s">
        <v>176</v>
      </c>
      <c r="B14" s="33" t="s">
        <v>190</v>
      </c>
      <c r="C14" s="33" t="s">
        <v>318</v>
      </c>
      <c r="D14" s="33" t="s">
        <v>319</v>
      </c>
      <c r="E14" s="33" t="s">
        <v>20</v>
      </c>
      <c r="F14" s="101" t="s">
        <v>1216</v>
      </c>
      <c r="G14" s="103" t="s">
        <v>1217</v>
      </c>
      <c r="H14" s="107" t="s">
        <v>750</v>
      </c>
    </row>
    <row r="15" customFormat="false" ht="15" hidden="false" customHeight="false" outlineLevel="0" collapsed="false">
      <c r="A15" s="0" t="str">
        <f aca="false">INDEX(Prioritization!$D:$D,MATCH($B15,Prioritization!$A:$A,0))</f>
        <v>Military</v>
      </c>
      <c r="B15" s="0" t="s">
        <v>194</v>
      </c>
      <c r="C15" s="0" t="s">
        <v>364</v>
      </c>
      <c r="D15" s="0" t="s">
        <v>30</v>
      </c>
      <c r="E15" s="9" t="str">
        <f aca="false">B15&amp;"|"&amp;C15&amp;"|"&amp;D15</f>
        <v>_Military Malawi [PQZgU9dagaH]|10-14|Female</v>
      </c>
      <c r="F15" s="10" t="n">
        <v>260</v>
      </c>
      <c r="G15" s="88" t="n">
        <f aca="false">IF(SUM($F15)=0,"",0%)</f>
        <v>0</v>
      </c>
      <c r="H15" s="5" t="n">
        <f aca="false">IF(SUM($F15)=0,"",ROUND($F15*(1+$G15),0))</f>
        <v>260</v>
      </c>
    </row>
    <row r="16" customFormat="false" ht="15" hidden="false" customHeight="false" outlineLevel="0" collapsed="false">
      <c r="A16" s="0" t="str">
        <f aca="false">INDEX(Prioritization!$D:$D,MATCH($B16,Prioritization!$A:$A,0))</f>
        <v>Military</v>
      </c>
      <c r="B16" s="0" t="s">
        <v>194</v>
      </c>
      <c r="C16" s="0" t="s">
        <v>364</v>
      </c>
      <c r="D16" s="0" t="s">
        <v>48</v>
      </c>
      <c r="E16" s="0" t="str">
        <f aca="false">B16&amp;"|"&amp;C16&amp;"|"&amp;D16</f>
        <v>_Military Malawi [PQZgU9dagaH]|10-14|Male</v>
      </c>
      <c r="F16" s="10"/>
      <c r="G16" s="88" t="str">
        <f aca="false">IF(SUM($F16)=0,"",0%)</f>
        <v/>
      </c>
      <c r="H16" s="39" t="str">
        <f aca="false">IF(SUM($F16)=0,"",ROUND($F16*(1+$G16),0))</f>
        <v/>
      </c>
    </row>
    <row r="17" customFormat="false" ht="15" hidden="false" customHeight="false" outlineLevel="0" collapsed="false">
      <c r="A17" s="0" t="str">
        <f aca="false">INDEX(Prioritization!$D:$D,MATCH($B17,Prioritization!$A:$A,0))</f>
        <v>Military</v>
      </c>
      <c r="B17" s="0" t="s">
        <v>194</v>
      </c>
      <c r="C17" s="0" t="s">
        <v>365</v>
      </c>
      <c r="D17" s="0" t="s">
        <v>30</v>
      </c>
      <c r="E17" s="0" t="str">
        <f aca="false">B17&amp;"|"&amp;C17&amp;"|"&amp;D17</f>
        <v>_Military Malawi [PQZgU9dagaH]|15-24|Female</v>
      </c>
      <c r="F17" s="10"/>
      <c r="G17" s="88" t="str">
        <f aca="false">IF(SUM($F17)=0,"",0%)</f>
        <v/>
      </c>
      <c r="H17" s="39" t="str">
        <f aca="false">IF(SUM($F17)=0,"",ROUND($F17*(1+$G17),0))</f>
        <v/>
      </c>
    </row>
    <row r="18" customFormat="false" ht="15" hidden="false" customHeight="false" outlineLevel="0" collapsed="false">
      <c r="A18" s="0" t="str">
        <f aca="false">INDEX(Prioritization!$D:$D,MATCH($B18,Prioritization!$A:$A,0))</f>
        <v>Military</v>
      </c>
      <c r="B18" s="0" t="s">
        <v>194</v>
      </c>
      <c r="C18" s="0" t="s">
        <v>365</v>
      </c>
      <c r="D18" s="0" t="s">
        <v>48</v>
      </c>
      <c r="E18" s="0" t="str">
        <f aca="false">B18&amp;"|"&amp;C18&amp;"|"&amp;D18</f>
        <v>_Military Malawi [PQZgU9dagaH]|15-24|Male</v>
      </c>
      <c r="F18" s="10"/>
      <c r="G18" s="88" t="str">
        <f aca="false">IF(SUM($F18)=0,"",0%)</f>
        <v/>
      </c>
      <c r="H18" s="39" t="str">
        <f aca="false">IF(SUM($F18)=0,"",ROUND($F18*(1+$G18),0))</f>
        <v/>
      </c>
    </row>
    <row r="19" customFormat="false" ht="15" hidden="false" customHeight="false" outlineLevel="0" collapsed="false">
      <c r="A19" s="0" t="str">
        <f aca="false">INDEX(Prioritization!$D:$D,MATCH($B19,Prioritization!$A:$A,0))</f>
        <v>Military</v>
      </c>
      <c r="B19" s="0" t="s">
        <v>194</v>
      </c>
      <c r="C19" s="0" t="s">
        <v>366</v>
      </c>
      <c r="D19" s="0" t="s">
        <v>30</v>
      </c>
      <c r="E19" s="0" t="str">
        <f aca="false">B19&amp;"|"&amp;C19&amp;"|"&amp;D19</f>
        <v>_Military Malawi [PQZgU9dagaH]|25-34|Female</v>
      </c>
      <c r="F19" s="10"/>
      <c r="G19" s="88" t="str">
        <f aca="false">IF(SUM($F19)=0,"",0%)</f>
        <v/>
      </c>
      <c r="H19" s="39" t="str">
        <f aca="false">IF(SUM($F19)=0,"",ROUND($F19*(1+$G19),0))</f>
        <v/>
      </c>
    </row>
    <row r="20" customFormat="false" ht="15" hidden="false" customHeight="false" outlineLevel="0" collapsed="false">
      <c r="A20" s="0" t="str">
        <f aca="false">INDEX(Prioritization!$D:$D,MATCH($B20,Prioritization!$A:$A,0))</f>
        <v>Military</v>
      </c>
      <c r="B20" s="0" t="s">
        <v>194</v>
      </c>
      <c r="C20" s="0" t="s">
        <v>366</v>
      </c>
      <c r="D20" s="0" t="s">
        <v>48</v>
      </c>
      <c r="E20" s="0" t="str">
        <f aca="false">B20&amp;"|"&amp;C20&amp;"|"&amp;D20</f>
        <v>_Military Malawi [PQZgU9dagaH]|25-34|Male</v>
      </c>
      <c r="F20" s="10"/>
      <c r="G20" s="88" t="str">
        <f aca="false">IF(SUM($F20)=0,"",0%)</f>
        <v/>
      </c>
      <c r="H20" s="39" t="str">
        <f aca="false">IF(SUM($F20)=0,"",ROUND($F20*(1+$G20),0))</f>
        <v/>
      </c>
    </row>
    <row r="21" customFormat="false" ht="15" hidden="false" customHeight="false" outlineLevel="0" collapsed="false">
      <c r="A21" s="0" t="str">
        <f aca="false">INDEX(Prioritization!$D:$D,MATCH($B21,Prioritization!$A:$A,0))</f>
        <v>Military</v>
      </c>
      <c r="B21" s="0" t="s">
        <v>194</v>
      </c>
      <c r="C21" s="0" t="s">
        <v>367</v>
      </c>
      <c r="D21" s="0" t="s">
        <v>30</v>
      </c>
      <c r="E21" s="0" t="str">
        <f aca="false">B21&amp;"|"&amp;C21&amp;"|"&amp;D21</f>
        <v>_Military Malawi [PQZgU9dagaH]|35-49|Female</v>
      </c>
      <c r="F21" s="10"/>
      <c r="G21" s="88" t="str">
        <f aca="false">IF(SUM($F21)=0,"",0%)</f>
        <v/>
      </c>
      <c r="H21" s="39" t="str">
        <f aca="false">IF(SUM($F21)=0,"",ROUND($F21*(1+$G21),0))</f>
        <v/>
      </c>
    </row>
    <row r="22" customFormat="false" ht="15" hidden="false" customHeight="false" outlineLevel="0" collapsed="false">
      <c r="A22" s="0" t="str">
        <f aca="false">INDEX(Prioritization!$D:$D,MATCH($B22,Prioritization!$A:$A,0))</f>
        <v>Military</v>
      </c>
      <c r="B22" s="0" t="s">
        <v>194</v>
      </c>
      <c r="C22" s="0" t="s">
        <v>367</v>
      </c>
      <c r="D22" s="0" t="s">
        <v>48</v>
      </c>
      <c r="E22" s="0" t="str">
        <f aca="false">B22&amp;"|"&amp;C22&amp;"|"&amp;D22</f>
        <v>_Military Malawi [PQZgU9dagaH]|35-49|Male</v>
      </c>
      <c r="F22" s="10"/>
      <c r="G22" s="88" t="str">
        <f aca="false">IF(SUM($F22)=0,"",0%)</f>
        <v/>
      </c>
      <c r="H22" s="39" t="str">
        <f aca="false">IF(SUM($F22)=0,"",ROUND($F22*(1+$G22),0))</f>
        <v/>
      </c>
    </row>
    <row r="23" customFormat="false" ht="15" hidden="false" customHeight="false" outlineLevel="0" collapsed="false">
      <c r="A23" s="0" t="str">
        <f aca="false">INDEX(Prioritization!$D:$D,MATCH($B23,Prioritization!$A:$A,0))</f>
        <v>Military</v>
      </c>
      <c r="B23" s="0" t="s">
        <v>194</v>
      </c>
      <c r="C23" s="0" t="s">
        <v>368</v>
      </c>
      <c r="D23" s="0" t="s">
        <v>30</v>
      </c>
      <c r="E23" s="0" t="str">
        <f aca="false">B23&amp;"|"&amp;C23&amp;"|"&amp;D23</f>
        <v>_Military Malawi [PQZgU9dagaH]|50+|Female</v>
      </c>
      <c r="F23" s="10" t="n">
        <v>7</v>
      </c>
      <c r="G23" s="88" t="n">
        <f aca="false">IF(SUM($F23)=0,"",0%)</f>
        <v>0</v>
      </c>
      <c r="H23" s="39" t="n">
        <f aca="false">IF(SUM($F23)=0,"",ROUND($F23*(1+$G23),0))</f>
        <v>7</v>
      </c>
    </row>
    <row r="24" customFormat="false" ht="15" hidden="false" customHeight="false" outlineLevel="0" collapsed="false">
      <c r="A24" s="0" t="str">
        <f aca="false">INDEX(Prioritization!$D:$D,MATCH($B24,Prioritization!$A:$A,0))</f>
        <v>Military</v>
      </c>
      <c r="B24" s="0" t="s">
        <v>194</v>
      </c>
      <c r="C24" s="0" t="s">
        <v>368</v>
      </c>
      <c r="D24" s="0" t="s">
        <v>48</v>
      </c>
      <c r="E24" s="0" t="str">
        <f aca="false">B24&amp;"|"&amp;C24&amp;"|"&amp;D24</f>
        <v>_Military Malawi [PQZgU9dagaH]|50+|Male</v>
      </c>
      <c r="F24" s="10"/>
      <c r="G24" s="88" t="str">
        <f aca="false">IF(SUM($F24)=0,"",0%)</f>
        <v/>
      </c>
      <c r="H24" s="39" t="str">
        <f aca="false">IF(SUM($F24)=0,"",ROUND($F24*(1+$G24),0))</f>
        <v/>
      </c>
    </row>
    <row r="25" customFormat="false" ht="15" hidden="false" customHeight="false" outlineLevel="0" collapsed="false">
      <c r="A25" s="0" t="str">
        <f aca="false">INDEX(Prioritization!$D:$D,MATCH($B25,Prioritization!$A:$A,0))</f>
        <v>1 - Scale-up: Saturation</v>
      </c>
      <c r="B25" s="0" t="s">
        <v>195</v>
      </c>
      <c r="C25" s="0" t="s">
        <v>364</v>
      </c>
      <c r="D25" s="0" t="s">
        <v>30</v>
      </c>
      <c r="E25" s="0" t="str">
        <f aca="false">B25&amp;"|"&amp;C25&amp;"|"&amp;D25</f>
        <v>Dedza District [PekKUkKHAzY]|10-14|Female</v>
      </c>
      <c r="F25" s="10"/>
      <c r="G25" s="88" t="str">
        <f aca="false">IF(SUM($F25)=0,"",0%)</f>
        <v/>
      </c>
      <c r="H25" s="39" t="str">
        <f aca="false">IF(SUM($F25)=0,"",ROUND($F25*(1+$G25),0))</f>
        <v/>
      </c>
    </row>
    <row r="26" customFormat="false" ht="15" hidden="false" customHeight="false" outlineLevel="0" collapsed="false">
      <c r="A26" s="0" t="str">
        <f aca="false">INDEX(Prioritization!$D:$D,MATCH($B26,Prioritization!$A:$A,0))</f>
        <v>1 - Scale-up: Saturation</v>
      </c>
      <c r="B26" s="0" t="s">
        <v>195</v>
      </c>
      <c r="C26" s="0" t="s">
        <v>364</v>
      </c>
      <c r="D26" s="0" t="s">
        <v>48</v>
      </c>
      <c r="E26" s="0" t="str">
        <f aca="false">B26&amp;"|"&amp;C26&amp;"|"&amp;D26</f>
        <v>Dedza District [PekKUkKHAzY]|10-14|Male</v>
      </c>
      <c r="F26" s="10"/>
      <c r="G26" s="88" t="str">
        <f aca="false">IF(SUM($F26)=0,"",0%)</f>
        <v/>
      </c>
      <c r="H26" s="39" t="str">
        <f aca="false">IF(SUM($F26)=0,"",ROUND($F26*(1+$G26),0))</f>
        <v/>
      </c>
    </row>
    <row r="27" customFormat="false" ht="15" hidden="false" customHeight="false" outlineLevel="0" collapsed="false">
      <c r="A27" s="0" t="str">
        <f aca="false">INDEX(Prioritization!$D:$D,MATCH($B27,Prioritization!$A:$A,0))</f>
        <v>1 - Scale-up: Saturation</v>
      </c>
      <c r="B27" s="0" t="s">
        <v>195</v>
      </c>
      <c r="C27" s="0" t="s">
        <v>365</v>
      </c>
      <c r="D27" s="0" t="s">
        <v>30</v>
      </c>
      <c r="E27" s="0" t="str">
        <f aca="false">B27&amp;"|"&amp;C27&amp;"|"&amp;D27</f>
        <v>Dedza District [PekKUkKHAzY]|15-24|Female</v>
      </c>
      <c r="F27" s="10"/>
      <c r="G27" s="88" t="str">
        <f aca="false">IF(SUM($F27)=0,"",0%)</f>
        <v/>
      </c>
      <c r="H27" s="39" t="str">
        <f aca="false">IF(SUM($F27)=0,"",ROUND($F27*(1+$G27),0))</f>
        <v/>
      </c>
    </row>
    <row r="28" customFormat="false" ht="15" hidden="false" customHeight="false" outlineLevel="0" collapsed="false">
      <c r="A28" s="0" t="str">
        <f aca="false">INDEX(Prioritization!$D:$D,MATCH($B28,Prioritization!$A:$A,0))</f>
        <v>1 - Scale-up: Saturation</v>
      </c>
      <c r="B28" s="0" t="s">
        <v>195</v>
      </c>
      <c r="C28" s="0" t="s">
        <v>365</v>
      </c>
      <c r="D28" s="0" t="s">
        <v>48</v>
      </c>
      <c r="E28" s="0" t="str">
        <f aca="false">B28&amp;"|"&amp;C28&amp;"|"&amp;D28</f>
        <v>Dedza District [PekKUkKHAzY]|15-24|Male</v>
      </c>
      <c r="F28" s="10"/>
      <c r="G28" s="88" t="str">
        <f aca="false">IF(SUM($F28)=0,"",0%)</f>
        <v/>
      </c>
      <c r="H28" s="39" t="str">
        <f aca="false">IF(SUM($F28)=0,"",ROUND($F28*(1+$G28),0))</f>
        <v/>
      </c>
    </row>
    <row r="29" customFormat="false" ht="15" hidden="false" customHeight="false" outlineLevel="0" collapsed="false">
      <c r="A29" s="0" t="str">
        <f aca="false">INDEX(Prioritization!$D:$D,MATCH($B29,Prioritization!$A:$A,0))</f>
        <v>1 - Scale-up: Saturation</v>
      </c>
      <c r="B29" s="0" t="s">
        <v>195</v>
      </c>
      <c r="C29" s="0" t="s">
        <v>366</v>
      </c>
      <c r="D29" s="0" t="s">
        <v>30</v>
      </c>
      <c r="E29" s="0" t="str">
        <f aca="false">B29&amp;"|"&amp;C29&amp;"|"&amp;D29</f>
        <v>Dedza District [PekKUkKHAzY]|25-34|Female</v>
      </c>
      <c r="F29" s="10"/>
      <c r="G29" s="88" t="str">
        <f aca="false">IF(SUM($F29)=0,"",0%)</f>
        <v/>
      </c>
      <c r="H29" s="39" t="str">
        <f aca="false">IF(SUM($F29)=0,"",ROUND($F29*(1+$G29),0))</f>
        <v/>
      </c>
    </row>
    <row r="30" customFormat="false" ht="15" hidden="false" customHeight="false" outlineLevel="0" collapsed="false">
      <c r="A30" s="0" t="str">
        <f aca="false">INDEX(Prioritization!$D:$D,MATCH($B30,Prioritization!$A:$A,0))</f>
        <v>1 - Scale-up: Saturation</v>
      </c>
      <c r="B30" s="0" t="s">
        <v>195</v>
      </c>
      <c r="C30" s="0" t="s">
        <v>366</v>
      </c>
      <c r="D30" s="0" t="s">
        <v>48</v>
      </c>
      <c r="E30" s="0" t="str">
        <f aca="false">B30&amp;"|"&amp;C30&amp;"|"&amp;D30</f>
        <v>Dedza District [PekKUkKHAzY]|25-34|Male</v>
      </c>
      <c r="F30" s="10"/>
      <c r="G30" s="88" t="str">
        <f aca="false">IF(SUM($F30)=0,"",0%)</f>
        <v/>
      </c>
      <c r="H30" s="39" t="str">
        <f aca="false">IF(SUM($F30)=0,"",ROUND($F30*(1+$G30),0))</f>
        <v/>
      </c>
    </row>
    <row r="31" customFormat="false" ht="15" hidden="false" customHeight="false" outlineLevel="0" collapsed="false">
      <c r="A31" s="0" t="str">
        <f aca="false">INDEX(Prioritization!$D:$D,MATCH($B31,Prioritization!$A:$A,0))</f>
        <v>1 - Scale-up: Saturation</v>
      </c>
      <c r="B31" s="0" t="s">
        <v>195</v>
      </c>
      <c r="C31" s="0" t="s">
        <v>367</v>
      </c>
      <c r="D31" s="0" t="s">
        <v>30</v>
      </c>
      <c r="E31" s="0" t="str">
        <f aca="false">B31&amp;"|"&amp;C31&amp;"|"&amp;D31</f>
        <v>Dedza District [PekKUkKHAzY]|35-49|Female</v>
      </c>
      <c r="F31" s="10"/>
      <c r="G31" s="88" t="str">
        <f aca="false">IF(SUM($F31)=0,"",0%)</f>
        <v/>
      </c>
      <c r="H31" s="39" t="str">
        <f aca="false">IF(SUM($F31)=0,"",ROUND($F31*(1+$G31),0))</f>
        <v/>
      </c>
    </row>
    <row r="32" customFormat="false" ht="15" hidden="false" customHeight="false" outlineLevel="0" collapsed="false">
      <c r="A32" s="0" t="str">
        <f aca="false">INDEX(Prioritization!$D:$D,MATCH($B32,Prioritization!$A:$A,0))</f>
        <v>1 - Scale-up: Saturation</v>
      </c>
      <c r="B32" s="0" t="s">
        <v>195</v>
      </c>
      <c r="C32" s="0" t="s">
        <v>367</v>
      </c>
      <c r="D32" s="0" t="s">
        <v>48</v>
      </c>
      <c r="E32" s="0" t="str">
        <f aca="false">B32&amp;"|"&amp;C32&amp;"|"&amp;D32</f>
        <v>Dedza District [PekKUkKHAzY]|35-49|Male</v>
      </c>
      <c r="F32" s="10"/>
      <c r="G32" s="88" t="str">
        <f aca="false">IF(SUM($F32)=0,"",0%)</f>
        <v/>
      </c>
      <c r="H32" s="39" t="str">
        <f aca="false">IF(SUM($F32)=0,"",ROUND($F32*(1+$G32),0))</f>
        <v/>
      </c>
    </row>
    <row r="33" customFormat="false" ht="15" hidden="false" customHeight="false" outlineLevel="0" collapsed="false">
      <c r="A33" s="0" t="str">
        <f aca="false">INDEX(Prioritization!$D:$D,MATCH($B33,Prioritization!$A:$A,0))</f>
        <v>1 - Scale-up: Saturation</v>
      </c>
      <c r="B33" s="0" t="s">
        <v>195</v>
      </c>
      <c r="C33" s="0" t="s">
        <v>368</v>
      </c>
      <c r="D33" s="0" t="s">
        <v>30</v>
      </c>
      <c r="E33" s="0" t="str">
        <f aca="false">B33&amp;"|"&amp;C33&amp;"|"&amp;D33</f>
        <v>Dedza District [PekKUkKHAzY]|50+|Female</v>
      </c>
      <c r="F33" s="10"/>
      <c r="G33" s="88" t="str">
        <f aca="false">IF(SUM($F33)=0,"",0%)</f>
        <v/>
      </c>
      <c r="H33" s="39" t="str">
        <f aca="false">IF(SUM($F33)=0,"",ROUND($F33*(1+$G33),0))</f>
        <v/>
      </c>
    </row>
    <row r="34" customFormat="false" ht="15" hidden="false" customHeight="false" outlineLevel="0" collapsed="false">
      <c r="A34" s="0" t="str">
        <f aca="false">INDEX(Prioritization!$D:$D,MATCH($B34,Prioritization!$A:$A,0))</f>
        <v>1 - Scale-up: Saturation</v>
      </c>
      <c r="B34" s="0" t="s">
        <v>195</v>
      </c>
      <c r="C34" s="0" t="s">
        <v>368</v>
      </c>
      <c r="D34" s="0" t="s">
        <v>48</v>
      </c>
      <c r="E34" s="0" t="str">
        <f aca="false">B34&amp;"|"&amp;C34&amp;"|"&amp;D34</f>
        <v>Dedza District [PekKUkKHAzY]|50+|Male</v>
      </c>
      <c r="F34" s="10"/>
      <c r="G34" s="88" t="str">
        <f aca="false">IF(SUM($F34)=0,"",0%)</f>
        <v/>
      </c>
      <c r="H34" s="39" t="str">
        <f aca="false">IF(SUM($F34)=0,"",ROUND($F34*(1+$G34),0))</f>
        <v/>
      </c>
    </row>
    <row r="35" customFormat="false" ht="15" hidden="false" customHeight="false" outlineLevel="0" collapsed="false">
      <c r="A35" s="0" t="str">
        <f aca="false">INDEX(Prioritization!$D:$D,MATCH($B35,Prioritization!$A:$A,0))</f>
        <v>1 - Scale-up: Saturation</v>
      </c>
      <c r="B35" s="0" t="s">
        <v>196</v>
      </c>
      <c r="C35" s="0" t="s">
        <v>364</v>
      </c>
      <c r="D35" s="0" t="s">
        <v>30</v>
      </c>
      <c r="E35" s="0" t="str">
        <f aca="false">B35&amp;"|"&amp;C35&amp;"|"&amp;D35</f>
        <v>Dowa District [zphK9WV8JB4]|10-14|Female</v>
      </c>
      <c r="F35" s="10"/>
      <c r="G35" s="88" t="str">
        <f aca="false">IF(SUM($F35)=0,"",0%)</f>
        <v/>
      </c>
      <c r="H35" s="39" t="str">
        <f aca="false">IF(SUM($F35)=0,"",ROUND($F35*(1+$G35),0))</f>
        <v/>
      </c>
    </row>
    <row r="36" customFormat="false" ht="15" hidden="false" customHeight="false" outlineLevel="0" collapsed="false">
      <c r="A36" s="0" t="str">
        <f aca="false">INDEX(Prioritization!$D:$D,MATCH($B36,Prioritization!$A:$A,0))</f>
        <v>1 - Scale-up: Saturation</v>
      </c>
      <c r="B36" s="0" t="s">
        <v>196</v>
      </c>
      <c r="C36" s="0" t="s">
        <v>364</v>
      </c>
      <c r="D36" s="0" t="s">
        <v>48</v>
      </c>
      <c r="E36" s="0" t="str">
        <f aca="false">B36&amp;"|"&amp;C36&amp;"|"&amp;D36</f>
        <v>Dowa District [zphK9WV8JB4]|10-14|Male</v>
      </c>
      <c r="F36" s="10"/>
      <c r="G36" s="88" t="str">
        <f aca="false">IF(SUM($F36)=0,"",0%)</f>
        <v/>
      </c>
      <c r="H36" s="39" t="str">
        <f aca="false">IF(SUM($F36)=0,"",ROUND($F36*(1+$G36),0))</f>
        <v/>
      </c>
    </row>
    <row r="37" customFormat="false" ht="15" hidden="false" customHeight="false" outlineLevel="0" collapsed="false">
      <c r="A37" s="0" t="str">
        <f aca="false">INDEX(Prioritization!$D:$D,MATCH($B37,Prioritization!$A:$A,0))</f>
        <v>1 - Scale-up: Saturation</v>
      </c>
      <c r="B37" s="0" t="s">
        <v>196</v>
      </c>
      <c r="C37" s="0" t="s">
        <v>365</v>
      </c>
      <c r="D37" s="0" t="s">
        <v>30</v>
      </c>
      <c r="E37" s="0" t="str">
        <f aca="false">B37&amp;"|"&amp;C37&amp;"|"&amp;D37</f>
        <v>Dowa District [zphK9WV8JB4]|15-24|Female</v>
      </c>
      <c r="F37" s="10"/>
      <c r="G37" s="88" t="str">
        <f aca="false">IF(SUM($F37)=0,"",0%)</f>
        <v/>
      </c>
      <c r="H37" s="39" t="str">
        <f aca="false">IF(SUM($F37)=0,"",ROUND($F37*(1+$G37),0))</f>
        <v/>
      </c>
    </row>
    <row r="38" customFormat="false" ht="15" hidden="false" customHeight="false" outlineLevel="0" collapsed="false">
      <c r="A38" s="0" t="str">
        <f aca="false">INDEX(Prioritization!$D:$D,MATCH($B38,Prioritization!$A:$A,0))</f>
        <v>1 - Scale-up: Saturation</v>
      </c>
      <c r="B38" s="0" t="s">
        <v>196</v>
      </c>
      <c r="C38" s="0" t="s">
        <v>365</v>
      </c>
      <c r="D38" s="0" t="s">
        <v>48</v>
      </c>
      <c r="E38" s="0" t="str">
        <f aca="false">B38&amp;"|"&amp;C38&amp;"|"&amp;D38</f>
        <v>Dowa District [zphK9WV8JB4]|15-24|Male</v>
      </c>
      <c r="F38" s="10"/>
      <c r="G38" s="88" t="str">
        <f aca="false">IF(SUM($F38)=0,"",0%)</f>
        <v/>
      </c>
      <c r="H38" s="39" t="str">
        <f aca="false">IF(SUM($F38)=0,"",ROUND($F38*(1+$G38),0))</f>
        <v/>
      </c>
    </row>
    <row r="39" customFormat="false" ht="15" hidden="false" customHeight="false" outlineLevel="0" collapsed="false">
      <c r="A39" s="0" t="str">
        <f aca="false">INDEX(Prioritization!$D:$D,MATCH($B39,Prioritization!$A:$A,0))</f>
        <v>1 - Scale-up: Saturation</v>
      </c>
      <c r="B39" s="0" t="s">
        <v>196</v>
      </c>
      <c r="C39" s="0" t="s">
        <v>366</v>
      </c>
      <c r="D39" s="0" t="s">
        <v>30</v>
      </c>
      <c r="E39" s="0" t="str">
        <f aca="false">B39&amp;"|"&amp;C39&amp;"|"&amp;D39</f>
        <v>Dowa District [zphK9WV8JB4]|25-34|Female</v>
      </c>
      <c r="F39" s="10"/>
      <c r="G39" s="88" t="str">
        <f aca="false">IF(SUM($F39)=0,"",0%)</f>
        <v/>
      </c>
      <c r="H39" s="39" t="str">
        <f aca="false">IF(SUM($F39)=0,"",ROUND($F39*(1+$G39),0))</f>
        <v/>
      </c>
    </row>
    <row r="40" customFormat="false" ht="15" hidden="false" customHeight="false" outlineLevel="0" collapsed="false">
      <c r="A40" s="0" t="str">
        <f aca="false">INDEX(Prioritization!$D:$D,MATCH($B40,Prioritization!$A:$A,0))</f>
        <v>1 - Scale-up: Saturation</v>
      </c>
      <c r="B40" s="0" t="s">
        <v>196</v>
      </c>
      <c r="C40" s="0" t="s">
        <v>366</v>
      </c>
      <c r="D40" s="0" t="s">
        <v>48</v>
      </c>
      <c r="E40" s="0" t="str">
        <f aca="false">B40&amp;"|"&amp;C40&amp;"|"&amp;D40</f>
        <v>Dowa District [zphK9WV8JB4]|25-34|Male</v>
      </c>
      <c r="F40" s="10"/>
      <c r="G40" s="88" t="str">
        <f aca="false">IF(SUM($F40)=0,"",0%)</f>
        <v/>
      </c>
      <c r="H40" s="39" t="str">
        <f aca="false">IF(SUM($F40)=0,"",ROUND($F40*(1+$G40),0))</f>
        <v/>
      </c>
    </row>
    <row r="41" customFormat="false" ht="15" hidden="false" customHeight="false" outlineLevel="0" collapsed="false">
      <c r="A41" s="0" t="str">
        <f aca="false">INDEX(Prioritization!$D:$D,MATCH($B41,Prioritization!$A:$A,0))</f>
        <v>1 - Scale-up: Saturation</v>
      </c>
      <c r="B41" s="0" t="s">
        <v>196</v>
      </c>
      <c r="C41" s="0" t="s">
        <v>367</v>
      </c>
      <c r="D41" s="0" t="s">
        <v>30</v>
      </c>
      <c r="E41" s="0" t="str">
        <f aca="false">B41&amp;"|"&amp;C41&amp;"|"&amp;D41</f>
        <v>Dowa District [zphK9WV8JB4]|35-49|Female</v>
      </c>
      <c r="F41" s="10"/>
      <c r="G41" s="88" t="str">
        <f aca="false">IF(SUM($F41)=0,"",0%)</f>
        <v/>
      </c>
      <c r="H41" s="39" t="str">
        <f aca="false">IF(SUM($F41)=0,"",ROUND($F41*(1+$G41),0))</f>
        <v/>
      </c>
    </row>
    <row r="42" customFormat="false" ht="15" hidden="false" customHeight="false" outlineLevel="0" collapsed="false">
      <c r="A42" s="0" t="str">
        <f aca="false">INDEX(Prioritization!$D:$D,MATCH($B42,Prioritization!$A:$A,0))</f>
        <v>1 - Scale-up: Saturation</v>
      </c>
      <c r="B42" s="0" t="s">
        <v>196</v>
      </c>
      <c r="C42" s="0" t="s">
        <v>367</v>
      </c>
      <c r="D42" s="0" t="s">
        <v>48</v>
      </c>
      <c r="E42" s="0" t="str">
        <f aca="false">B42&amp;"|"&amp;C42&amp;"|"&amp;D42</f>
        <v>Dowa District [zphK9WV8JB4]|35-49|Male</v>
      </c>
      <c r="F42" s="10"/>
      <c r="G42" s="88" t="str">
        <f aca="false">IF(SUM($F42)=0,"",0%)</f>
        <v/>
      </c>
      <c r="H42" s="39" t="str">
        <f aca="false">IF(SUM($F42)=0,"",ROUND($F42*(1+$G42),0))</f>
        <v/>
      </c>
    </row>
    <row r="43" customFormat="false" ht="15" hidden="false" customHeight="false" outlineLevel="0" collapsed="false">
      <c r="A43" s="0" t="str">
        <f aca="false">INDEX(Prioritization!$D:$D,MATCH($B43,Prioritization!$A:$A,0))</f>
        <v>1 - Scale-up: Saturation</v>
      </c>
      <c r="B43" s="0" t="s">
        <v>196</v>
      </c>
      <c r="C43" s="0" t="s">
        <v>368</v>
      </c>
      <c r="D43" s="0" t="s">
        <v>30</v>
      </c>
      <c r="E43" s="0" t="str">
        <f aca="false">B43&amp;"|"&amp;C43&amp;"|"&amp;D43</f>
        <v>Dowa District [zphK9WV8JB4]|50+|Female</v>
      </c>
      <c r="F43" s="10"/>
      <c r="G43" s="88" t="str">
        <f aca="false">IF(SUM($F43)=0,"",0%)</f>
        <v/>
      </c>
      <c r="H43" s="39" t="str">
        <f aca="false">IF(SUM($F43)=0,"",ROUND($F43*(1+$G43),0))</f>
        <v/>
      </c>
    </row>
    <row r="44" customFormat="false" ht="15" hidden="false" customHeight="false" outlineLevel="0" collapsed="false">
      <c r="A44" s="0" t="str">
        <f aca="false">INDEX(Prioritization!$D:$D,MATCH($B44,Prioritization!$A:$A,0))</f>
        <v>1 - Scale-up: Saturation</v>
      </c>
      <c r="B44" s="0" t="s">
        <v>196</v>
      </c>
      <c r="C44" s="0" t="s">
        <v>368</v>
      </c>
      <c r="D44" s="0" t="s">
        <v>48</v>
      </c>
      <c r="E44" s="0" t="str">
        <f aca="false">B44&amp;"|"&amp;C44&amp;"|"&amp;D44</f>
        <v>Dowa District [zphK9WV8JB4]|50+|Male</v>
      </c>
      <c r="F44" s="10"/>
      <c r="G44" s="88" t="str">
        <f aca="false">IF(SUM($F44)=0,"",0%)</f>
        <v/>
      </c>
      <c r="H44" s="39" t="str">
        <f aca="false">IF(SUM($F44)=0,"",ROUND($F44*(1+$G44),0))</f>
        <v/>
      </c>
    </row>
    <row r="45" customFormat="false" ht="15" hidden="false" customHeight="false" outlineLevel="0" collapsed="false">
      <c r="A45" s="0" t="str">
        <f aca="false">INDEX(Prioritization!$D:$D,MATCH($B45,Prioritization!$A:$A,0))</f>
        <v>INVALID</v>
      </c>
      <c r="B45" s="0" t="s">
        <v>197</v>
      </c>
      <c r="C45" s="0" t="s">
        <v>364</v>
      </c>
      <c r="D45" s="0" t="s">
        <v>30</v>
      </c>
      <c r="E45" s="0" t="str">
        <f aca="false">B45&amp;"|"&amp;C45&amp;"|"&amp;D45</f>
        <v>Kasungu District [JQKLKuVuY61]|10-14|Female</v>
      </c>
      <c r="F45" s="10"/>
      <c r="G45" s="88" t="str">
        <f aca="false">IF(SUM($F45)=0,"",0%)</f>
        <v/>
      </c>
      <c r="H45" s="39" t="str">
        <f aca="false">IF(SUM($F45)=0,"",ROUND($F45*(1+$G45),0))</f>
        <v/>
      </c>
    </row>
    <row r="46" customFormat="false" ht="15" hidden="false" customHeight="false" outlineLevel="0" collapsed="false">
      <c r="A46" s="0" t="str">
        <f aca="false">INDEX(Prioritization!$D:$D,MATCH($B46,Prioritization!$A:$A,0))</f>
        <v>INVALID</v>
      </c>
      <c r="B46" s="0" t="s">
        <v>197</v>
      </c>
      <c r="C46" s="0" t="s">
        <v>364</v>
      </c>
      <c r="D46" s="0" t="s">
        <v>48</v>
      </c>
      <c r="E46" s="0" t="str">
        <f aca="false">B46&amp;"|"&amp;C46&amp;"|"&amp;D46</f>
        <v>Kasungu District [JQKLKuVuY61]|10-14|Male</v>
      </c>
      <c r="F46" s="10"/>
      <c r="G46" s="88" t="str">
        <f aca="false">IF(SUM($F46)=0,"",0%)</f>
        <v/>
      </c>
      <c r="H46" s="39" t="str">
        <f aca="false">IF(SUM($F46)=0,"",ROUND($F46*(1+$G46),0))</f>
        <v/>
      </c>
    </row>
    <row r="47" customFormat="false" ht="15" hidden="false" customHeight="false" outlineLevel="0" collapsed="false">
      <c r="A47" s="0" t="str">
        <f aca="false">INDEX(Prioritization!$D:$D,MATCH($B47,Prioritization!$A:$A,0))</f>
        <v>INVALID</v>
      </c>
      <c r="B47" s="0" t="s">
        <v>197</v>
      </c>
      <c r="C47" s="0" t="s">
        <v>365</v>
      </c>
      <c r="D47" s="0" t="s">
        <v>30</v>
      </c>
      <c r="E47" s="0" t="str">
        <f aca="false">B47&amp;"|"&amp;C47&amp;"|"&amp;D47</f>
        <v>Kasungu District [JQKLKuVuY61]|15-24|Female</v>
      </c>
      <c r="F47" s="10"/>
      <c r="G47" s="88" t="str">
        <f aca="false">IF(SUM($F47)=0,"",0%)</f>
        <v/>
      </c>
      <c r="H47" s="39" t="str">
        <f aca="false">IF(SUM($F47)=0,"",ROUND($F47*(1+$G47),0))</f>
        <v/>
      </c>
    </row>
    <row r="48" customFormat="false" ht="15" hidden="false" customHeight="false" outlineLevel="0" collapsed="false">
      <c r="A48" s="0" t="str">
        <f aca="false">INDEX(Prioritization!$D:$D,MATCH($B48,Prioritization!$A:$A,0))</f>
        <v>INVALID</v>
      </c>
      <c r="B48" s="0" t="s">
        <v>197</v>
      </c>
      <c r="C48" s="0" t="s">
        <v>365</v>
      </c>
      <c r="D48" s="0" t="s">
        <v>48</v>
      </c>
      <c r="E48" s="0" t="str">
        <f aca="false">B48&amp;"|"&amp;C48&amp;"|"&amp;D48</f>
        <v>Kasungu District [JQKLKuVuY61]|15-24|Male</v>
      </c>
      <c r="F48" s="10"/>
      <c r="G48" s="88" t="str">
        <f aca="false">IF(SUM($F48)=0,"",0%)</f>
        <v/>
      </c>
      <c r="H48" s="39" t="str">
        <f aca="false">IF(SUM($F48)=0,"",ROUND($F48*(1+$G48),0))</f>
        <v/>
      </c>
    </row>
    <row r="49" customFormat="false" ht="15" hidden="false" customHeight="false" outlineLevel="0" collapsed="false">
      <c r="A49" s="0" t="str">
        <f aca="false">INDEX(Prioritization!$D:$D,MATCH($B49,Prioritization!$A:$A,0))</f>
        <v>INVALID</v>
      </c>
      <c r="B49" s="0" t="s">
        <v>197</v>
      </c>
      <c r="C49" s="0" t="s">
        <v>366</v>
      </c>
      <c r="D49" s="0" t="s">
        <v>30</v>
      </c>
      <c r="E49" s="0" t="str">
        <f aca="false">B49&amp;"|"&amp;C49&amp;"|"&amp;D49</f>
        <v>Kasungu District [JQKLKuVuY61]|25-34|Female</v>
      </c>
      <c r="F49" s="10"/>
      <c r="G49" s="88" t="str">
        <f aca="false">IF(SUM($F49)=0,"",0%)</f>
        <v/>
      </c>
      <c r="H49" s="39" t="str">
        <f aca="false">IF(SUM($F49)=0,"",ROUND($F49*(1+$G49),0))</f>
        <v/>
      </c>
    </row>
    <row r="50" customFormat="false" ht="15" hidden="false" customHeight="false" outlineLevel="0" collapsed="false">
      <c r="A50" s="0" t="str">
        <f aca="false">INDEX(Prioritization!$D:$D,MATCH($B50,Prioritization!$A:$A,0))</f>
        <v>INVALID</v>
      </c>
      <c r="B50" s="0" t="s">
        <v>197</v>
      </c>
      <c r="C50" s="0" t="s">
        <v>366</v>
      </c>
      <c r="D50" s="0" t="s">
        <v>48</v>
      </c>
      <c r="E50" s="0" t="str">
        <f aca="false">B50&amp;"|"&amp;C50&amp;"|"&amp;D50</f>
        <v>Kasungu District [JQKLKuVuY61]|25-34|Male</v>
      </c>
      <c r="F50" s="10"/>
      <c r="G50" s="88" t="str">
        <f aca="false">IF(SUM($F50)=0,"",0%)</f>
        <v/>
      </c>
      <c r="H50" s="39" t="str">
        <f aca="false">IF(SUM($F50)=0,"",ROUND($F50*(1+$G50),0))</f>
        <v/>
      </c>
    </row>
    <row r="51" customFormat="false" ht="15" hidden="false" customHeight="false" outlineLevel="0" collapsed="false">
      <c r="A51" s="0" t="str">
        <f aca="false">INDEX(Prioritization!$D:$D,MATCH($B51,Prioritization!$A:$A,0))</f>
        <v>INVALID</v>
      </c>
      <c r="B51" s="0" t="s">
        <v>197</v>
      </c>
      <c r="C51" s="0" t="s">
        <v>367</v>
      </c>
      <c r="D51" s="0" t="s">
        <v>30</v>
      </c>
      <c r="E51" s="0" t="str">
        <f aca="false">B51&amp;"|"&amp;C51&amp;"|"&amp;D51</f>
        <v>Kasungu District [JQKLKuVuY61]|35-49|Female</v>
      </c>
      <c r="F51" s="10"/>
      <c r="G51" s="88" t="str">
        <f aca="false">IF(SUM($F51)=0,"",0%)</f>
        <v/>
      </c>
      <c r="H51" s="39" t="str">
        <f aca="false">IF(SUM($F51)=0,"",ROUND($F51*(1+$G51),0))</f>
        <v/>
      </c>
    </row>
    <row r="52" customFormat="false" ht="15" hidden="false" customHeight="false" outlineLevel="0" collapsed="false">
      <c r="A52" s="0" t="str">
        <f aca="false">INDEX(Prioritization!$D:$D,MATCH($B52,Prioritization!$A:$A,0))</f>
        <v>INVALID</v>
      </c>
      <c r="B52" s="0" t="s">
        <v>197</v>
      </c>
      <c r="C52" s="0" t="s">
        <v>367</v>
      </c>
      <c r="D52" s="0" t="s">
        <v>48</v>
      </c>
      <c r="E52" s="0" t="str">
        <f aca="false">B52&amp;"|"&amp;C52&amp;"|"&amp;D52</f>
        <v>Kasungu District [JQKLKuVuY61]|35-49|Male</v>
      </c>
      <c r="F52" s="10"/>
      <c r="G52" s="88" t="str">
        <f aca="false">IF(SUM($F52)=0,"",0%)</f>
        <v/>
      </c>
      <c r="H52" s="39" t="str">
        <f aca="false">IF(SUM($F52)=0,"",ROUND($F52*(1+$G52),0))</f>
        <v/>
      </c>
    </row>
    <row r="53" customFormat="false" ht="15" hidden="false" customHeight="false" outlineLevel="0" collapsed="false">
      <c r="A53" s="0" t="str">
        <f aca="false">INDEX(Prioritization!$D:$D,MATCH($B53,Prioritization!$A:$A,0))</f>
        <v>INVALID</v>
      </c>
      <c r="B53" s="0" t="s">
        <v>197</v>
      </c>
      <c r="C53" s="0" t="s">
        <v>368</v>
      </c>
      <c r="D53" s="0" t="s">
        <v>30</v>
      </c>
      <c r="E53" s="0" t="str">
        <f aca="false">B53&amp;"|"&amp;C53&amp;"|"&amp;D53</f>
        <v>Kasungu District [JQKLKuVuY61]|50+|Female</v>
      </c>
      <c r="F53" s="10"/>
      <c r="G53" s="88" t="str">
        <f aca="false">IF(SUM($F53)=0,"",0%)</f>
        <v/>
      </c>
      <c r="H53" s="39" t="str">
        <f aca="false">IF(SUM($F53)=0,"",ROUND($F53*(1+$G53),0))</f>
        <v/>
      </c>
    </row>
    <row r="54" customFormat="false" ht="15" hidden="false" customHeight="false" outlineLevel="0" collapsed="false">
      <c r="A54" s="0" t="str">
        <f aca="false">INDEX(Prioritization!$D:$D,MATCH($B54,Prioritization!$A:$A,0))</f>
        <v>INVALID</v>
      </c>
      <c r="B54" s="0" t="s">
        <v>197</v>
      </c>
      <c r="C54" s="0" t="s">
        <v>368</v>
      </c>
      <c r="D54" s="0" t="s">
        <v>48</v>
      </c>
      <c r="E54" s="0" t="str">
        <f aca="false">B54&amp;"|"&amp;C54&amp;"|"&amp;D54</f>
        <v>Kasungu District [JQKLKuVuY61]|50+|Male</v>
      </c>
      <c r="F54" s="10"/>
      <c r="G54" s="88" t="str">
        <f aca="false">IF(SUM($F54)=0,"",0%)</f>
        <v/>
      </c>
      <c r="H54" s="39" t="str">
        <f aca="false">IF(SUM($F54)=0,"",ROUND($F54*(1+$G54),0))</f>
        <v/>
      </c>
    </row>
    <row r="55" customFormat="false" ht="15" hidden="false" customHeight="false" outlineLevel="0" collapsed="false">
      <c r="A55" s="0" t="str">
        <f aca="false">INDEX(Prioritization!$D:$D,MATCH($B55,Prioritization!$A:$A,0))</f>
        <v>1 - Scale-up: Saturation</v>
      </c>
      <c r="B55" s="0" t="s">
        <v>198</v>
      </c>
      <c r="C55" s="0" t="s">
        <v>364</v>
      </c>
      <c r="D55" s="0" t="s">
        <v>30</v>
      </c>
      <c r="E55" s="0" t="str">
        <f aca="false">B55&amp;"|"&amp;C55&amp;"|"&amp;D55</f>
        <v>Lilongwe District [ScR9iFKAasW]|10-14|Female</v>
      </c>
      <c r="F55" s="10"/>
      <c r="G55" s="88" t="str">
        <f aca="false">IF(SUM($F55)=0,"",0%)</f>
        <v/>
      </c>
      <c r="H55" s="39" t="str">
        <f aca="false">IF(SUM($F55)=0,"",ROUND($F55*(1+$G55),0))</f>
        <v/>
      </c>
    </row>
    <row r="56" customFormat="false" ht="15" hidden="false" customHeight="false" outlineLevel="0" collapsed="false">
      <c r="A56" s="0" t="str">
        <f aca="false">INDEX(Prioritization!$D:$D,MATCH($B56,Prioritization!$A:$A,0))</f>
        <v>1 - Scale-up: Saturation</v>
      </c>
      <c r="B56" s="0" t="s">
        <v>198</v>
      </c>
      <c r="C56" s="0" t="s">
        <v>364</v>
      </c>
      <c r="D56" s="0" t="s">
        <v>48</v>
      </c>
      <c r="E56" s="0" t="str">
        <f aca="false">B56&amp;"|"&amp;C56&amp;"|"&amp;D56</f>
        <v>Lilongwe District [ScR9iFKAasW]|10-14|Male</v>
      </c>
      <c r="F56" s="10"/>
      <c r="G56" s="88" t="str">
        <f aca="false">IF(SUM($F56)=0,"",0%)</f>
        <v/>
      </c>
      <c r="H56" s="39" t="str">
        <f aca="false">IF(SUM($F56)=0,"",ROUND($F56*(1+$G56),0))</f>
        <v/>
      </c>
    </row>
    <row r="57" customFormat="false" ht="15" hidden="false" customHeight="false" outlineLevel="0" collapsed="false">
      <c r="A57" s="0" t="str">
        <f aca="false">INDEX(Prioritization!$D:$D,MATCH($B57,Prioritization!$A:$A,0))</f>
        <v>1 - Scale-up: Saturation</v>
      </c>
      <c r="B57" s="0" t="s">
        <v>198</v>
      </c>
      <c r="C57" s="0" t="s">
        <v>365</v>
      </c>
      <c r="D57" s="0" t="s">
        <v>30</v>
      </c>
      <c r="E57" s="0" t="str">
        <f aca="false">B57&amp;"|"&amp;C57&amp;"|"&amp;D57</f>
        <v>Lilongwe District [ScR9iFKAasW]|15-24|Female</v>
      </c>
      <c r="F57" s="10"/>
      <c r="G57" s="88" t="str">
        <f aca="false">IF(SUM($F57)=0,"",0%)</f>
        <v/>
      </c>
      <c r="H57" s="39" t="str">
        <f aca="false">IF(SUM($F57)=0,"",ROUND($F57*(1+$G57),0))</f>
        <v/>
      </c>
    </row>
    <row r="58" customFormat="false" ht="15" hidden="false" customHeight="false" outlineLevel="0" collapsed="false">
      <c r="A58" s="0" t="str">
        <f aca="false">INDEX(Prioritization!$D:$D,MATCH($B58,Prioritization!$A:$A,0))</f>
        <v>1 - Scale-up: Saturation</v>
      </c>
      <c r="B58" s="0" t="s">
        <v>198</v>
      </c>
      <c r="C58" s="0" t="s">
        <v>365</v>
      </c>
      <c r="D58" s="0" t="s">
        <v>48</v>
      </c>
      <c r="E58" s="0" t="str">
        <f aca="false">B58&amp;"|"&amp;C58&amp;"|"&amp;D58</f>
        <v>Lilongwe District [ScR9iFKAasW]|15-24|Male</v>
      </c>
      <c r="F58" s="10"/>
      <c r="G58" s="88" t="str">
        <f aca="false">IF(SUM($F58)=0,"",0%)</f>
        <v/>
      </c>
      <c r="H58" s="39" t="str">
        <f aca="false">IF(SUM($F58)=0,"",ROUND($F58*(1+$G58),0))</f>
        <v/>
      </c>
    </row>
    <row r="59" customFormat="false" ht="15" hidden="false" customHeight="false" outlineLevel="0" collapsed="false">
      <c r="A59" s="0" t="str">
        <f aca="false">INDEX(Prioritization!$D:$D,MATCH($B59,Prioritization!$A:$A,0))</f>
        <v>1 - Scale-up: Saturation</v>
      </c>
      <c r="B59" s="0" t="s">
        <v>198</v>
      </c>
      <c r="C59" s="0" t="s">
        <v>366</v>
      </c>
      <c r="D59" s="0" t="s">
        <v>30</v>
      </c>
      <c r="E59" s="0" t="str">
        <f aca="false">B59&amp;"|"&amp;C59&amp;"|"&amp;D59</f>
        <v>Lilongwe District [ScR9iFKAasW]|25-34|Female</v>
      </c>
      <c r="F59" s="10"/>
      <c r="G59" s="88" t="str">
        <f aca="false">IF(SUM($F59)=0,"",0%)</f>
        <v/>
      </c>
      <c r="H59" s="39" t="str">
        <f aca="false">IF(SUM($F59)=0,"",ROUND($F59*(1+$G59),0))</f>
        <v/>
      </c>
    </row>
    <row r="60" customFormat="false" ht="15" hidden="false" customHeight="false" outlineLevel="0" collapsed="false">
      <c r="A60" s="0" t="str">
        <f aca="false">INDEX(Prioritization!$D:$D,MATCH($B60,Prioritization!$A:$A,0))</f>
        <v>1 - Scale-up: Saturation</v>
      </c>
      <c r="B60" s="0" t="s">
        <v>198</v>
      </c>
      <c r="C60" s="0" t="s">
        <v>366</v>
      </c>
      <c r="D60" s="0" t="s">
        <v>48</v>
      </c>
      <c r="E60" s="0" t="str">
        <f aca="false">B60&amp;"|"&amp;C60&amp;"|"&amp;D60</f>
        <v>Lilongwe District [ScR9iFKAasW]|25-34|Male</v>
      </c>
      <c r="F60" s="10"/>
      <c r="G60" s="88" t="str">
        <f aca="false">IF(SUM($F60)=0,"",0%)</f>
        <v/>
      </c>
      <c r="H60" s="39" t="str">
        <f aca="false">IF(SUM($F60)=0,"",ROUND($F60*(1+$G60),0))</f>
        <v/>
      </c>
    </row>
    <row r="61" customFormat="false" ht="15" hidden="false" customHeight="false" outlineLevel="0" collapsed="false">
      <c r="A61" s="0" t="str">
        <f aca="false">INDEX(Prioritization!$D:$D,MATCH($B61,Prioritization!$A:$A,0))</f>
        <v>1 - Scale-up: Saturation</v>
      </c>
      <c r="B61" s="0" t="s">
        <v>198</v>
      </c>
      <c r="C61" s="0" t="s">
        <v>367</v>
      </c>
      <c r="D61" s="0" t="s">
        <v>30</v>
      </c>
      <c r="E61" s="0" t="str">
        <f aca="false">B61&amp;"|"&amp;C61&amp;"|"&amp;D61</f>
        <v>Lilongwe District [ScR9iFKAasW]|35-49|Female</v>
      </c>
      <c r="F61" s="10"/>
      <c r="G61" s="88" t="str">
        <f aca="false">IF(SUM($F61)=0,"",0%)</f>
        <v/>
      </c>
      <c r="H61" s="39" t="str">
        <f aca="false">IF(SUM($F61)=0,"",ROUND($F61*(1+$G61),0))</f>
        <v/>
      </c>
    </row>
    <row r="62" customFormat="false" ht="15" hidden="false" customHeight="false" outlineLevel="0" collapsed="false">
      <c r="A62" s="0" t="str">
        <f aca="false">INDEX(Prioritization!$D:$D,MATCH($B62,Prioritization!$A:$A,0))</f>
        <v>1 - Scale-up: Saturation</v>
      </c>
      <c r="B62" s="0" t="s">
        <v>198</v>
      </c>
      <c r="C62" s="0" t="s">
        <v>367</v>
      </c>
      <c r="D62" s="0" t="s">
        <v>48</v>
      </c>
      <c r="E62" s="0" t="str">
        <f aca="false">B62&amp;"|"&amp;C62&amp;"|"&amp;D62</f>
        <v>Lilongwe District [ScR9iFKAasW]|35-49|Male</v>
      </c>
      <c r="F62" s="10"/>
      <c r="G62" s="88" t="str">
        <f aca="false">IF(SUM($F62)=0,"",0%)</f>
        <v/>
      </c>
      <c r="H62" s="39" t="str">
        <f aca="false">IF(SUM($F62)=0,"",ROUND($F62*(1+$G62),0))</f>
        <v/>
      </c>
    </row>
    <row r="63" customFormat="false" ht="15" hidden="false" customHeight="false" outlineLevel="0" collapsed="false">
      <c r="A63" s="0" t="str">
        <f aca="false">INDEX(Prioritization!$D:$D,MATCH($B63,Prioritization!$A:$A,0))</f>
        <v>1 - Scale-up: Saturation</v>
      </c>
      <c r="B63" s="0" t="s">
        <v>198</v>
      </c>
      <c r="C63" s="0" t="s">
        <v>368</v>
      </c>
      <c r="D63" s="0" t="s">
        <v>30</v>
      </c>
      <c r="E63" s="0" t="str">
        <f aca="false">B63&amp;"|"&amp;C63&amp;"|"&amp;D63</f>
        <v>Lilongwe District [ScR9iFKAasW]|50+|Female</v>
      </c>
      <c r="F63" s="10"/>
      <c r="G63" s="88" t="str">
        <f aca="false">IF(SUM($F63)=0,"",0%)</f>
        <v/>
      </c>
      <c r="H63" s="39" t="str">
        <f aca="false">IF(SUM($F63)=0,"",ROUND($F63*(1+$G63),0))</f>
        <v/>
      </c>
    </row>
    <row r="64" customFormat="false" ht="15" hidden="false" customHeight="false" outlineLevel="0" collapsed="false">
      <c r="A64" s="0" t="str">
        <f aca="false">INDEX(Prioritization!$D:$D,MATCH($B64,Prioritization!$A:$A,0))</f>
        <v>1 - Scale-up: Saturation</v>
      </c>
      <c r="B64" s="0" t="s">
        <v>198</v>
      </c>
      <c r="C64" s="0" t="s">
        <v>368</v>
      </c>
      <c r="D64" s="0" t="s">
        <v>48</v>
      </c>
      <c r="E64" s="0" t="str">
        <f aca="false">B64&amp;"|"&amp;C64&amp;"|"&amp;D64</f>
        <v>Lilongwe District [ScR9iFKAasW]|50+|Male</v>
      </c>
      <c r="F64" s="10"/>
      <c r="G64" s="88" t="str">
        <f aca="false">IF(SUM($F64)=0,"",0%)</f>
        <v/>
      </c>
      <c r="H64" s="39" t="str">
        <f aca="false">IF(SUM($F64)=0,"",ROUND($F64*(1+$G64),0))</f>
        <v/>
      </c>
    </row>
    <row r="65" customFormat="false" ht="15" hidden="false" customHeight="false" outlineLevel="0" collapsed="false">
      <c r="A65" s="0" t="str">
        <f aca="false">INDEX(Prioritization!$D:$D,MATCH($B65,Prioritization!$A:$A,0))</f>
        <v>1 - Scale-up: Saturation</v>
      </c>
      <c r="B65" s="0" t="s">
        <v>199</v>
      </c>
      <c r="C65" s="0" t="s">
        <v>364</v>
      </c>
      <c r="D65" s="0" t="s">
        <v>30</v>
      </c>
      <c r="E65" s="0" t="str">
        <f aca="false">B65&amp;"|"&amp;C65&amp;"|"&amp;D65</f>
        <v>Mchinji District [kxuuIFpOXyO]|10-14|Female</v>
      </c>
      <c r="F65" s="10"/>
      <c r="G65" s="88" t="str">
        <f aca="false">IF(SUM($F65)=0,"",0%)</f>
        <v/>
      </c>
      <c r="H65" s="39" t="str">
        <f aca="false">IF(SUM($F65)=0,"",ROUND($F65*(1+$G65),0))</f>
        <v/>
      </c>
    </row>
    <row r="66" customFormat="false" ht="15" hidden="false" customHeight="false" outlineLevel="0" collapsed="false">
      <c r="A66" s="0" t="str">
        <f aca="false">INDEX(Prioritization!$D:$D,MATCH($B66,Prioritization!$A:$A,0))</f>
        <v>1 - Scale-up: Saturation</v>
      </c>
      <c r="B66" s="0" t="s">
        <v>199</v>
      </c>
      <c r="C66" s="0" t="s">
        <v>364</v>
      </c>
      <c r="D66" s="0" t="s">
        <v>48</v>
      </c>
      <c r="E66" s="0" t="str">
        <f aca="false">B66&amp;"|"&amp;C66&amp;"|"&amp;D66</f>
        <v>Mchinji District [kxuuIFpOXyO]|10-14|Male</v>
      </c>
      <c r="F66" s="10"/>
      <c r="G66" s="88" t="str">
        <f aca="false">IF(SUM($F66)=0,"",0%)</f>
        <v/>
      </c>
      <c r="H66" s="39" t="str">
        <f aca="false">IF(SUM($F66)=0,"",ROUND($F66*(1+$G66),0))</f>
        <v/>
      </c>
    </row>
    <row r="67" customFormat="false" ht="15" hidden="false" customHeight="false" outlineLevel="0" collapsed="false">
      <c r="A67" s="0" t="str">
        <f aca="false">INDEX(Prioritization!$D:$D,MATCH($B67,Prioritization!$A:$A,0))</f>
        <v>1 - Scale-up: Saturation</v>
      </c>
      <c r="B67" s="0" t="s">
        <v>199</v>
      </c>
      <c r="C67" s="0" t="s">
        <v>365</v>
      </c>
      <c r="D67" s="0" t="s">
        <v>30</v>
      </c>
      <c r="E67" s="0" t="str">
        <f aca="false">B67&amp;"|"&amp;C67&amp;"|"&amp;D67</f>
        <v>Mchinji District [kxuuIFpOXyO]|15-24|Female</v>
      </c>
      <c r="F67" s="10"/>
      <c r="G67" s="88" t="str">
        <f aca="false">IF(SUM($F67)=0,"",0%)</f>
        <v/>
      </c>
      <c r="H67" s="39" t="str">
        <f aca="false">IF(SUM($F67)=0,"",ROUND($F67*(1+$G67),0))</f>
        <v/>
      </c>
    </row>
    <row r="68" customFormat="false" ht="15" hidden="false" customHeight="false" outlineLevel="0" collapsed="false">
      <c r="A68" s="0" t="str">
        <f aca="false">INDEX(Prioritization!$D:$D,MATCH($B68,Prioritization!$A:$A,0))</f>
        <v>1 - Scale-up: Saturation</v>
      </c>
      <c r="B68" s="0" t="s">
        <v>199</v>
      </c>
      <c r="C68" s="0" t="s">
        <v>365</v>
      </c>
      <c r="D68" s="0" t="s">
        <v>48</v>
      </c>
      <c r="E68" s="0" t="str">
        <f aca="false">B68&amp;"|"&amp;C68&amp;"|"&amp;D68</f>
        <v>Mchinji District [kxuuIFpOXyO]|15-24|Male</v>
      </c>
      <c r="F68" s="10"/>
      <c r="G68" s="88" t="str">
        <f aca="false">IF(SUM($F68)=0,"",0%)</f>
        <v/>
      </c>
      <c r="H68" s="39" t="str">
        <f aca="false">IF(SUM($F68)=0,"",ROUND($F68*(1+$G68),0))</f>
        <v/>
      </c>
    </row>
    <row r="69" customFormat="false" ht="15" hidden="false" customHeight="false" outlineLevel="0" collapsed="false">
      <c r="A69" s="0" t="str">
        <f aca="false">INDEX(Prioritization!$D:$D,MATCH($B69,Prioritization!$A:$A,0))</f>
        <v>1 - Scale-up: Saturation</v>
      </c>
      <c r="B69" s="0" t="s">
        <v>199</v>
      </c>
      <c r="C69" s="0" t="s">
        <v>366</v>
      </c>
      <c r="D69" s="0" t="s">
        <v>30</v>
      </c>
      <c r="E69" s="0" t="str">
        <f aca="false">B69&amp;"|"&amp;C69&amp;"|"&amp;D69</f>
        <v>Mchinji District [kxuuIFpOXyO]|25-34|Female</v>
      </c>
      <c r="F69" s="10"/>
      <c r="G69" s="88" t="str">
        <f aca="false">IF(SUM($F69)=0,"",0%)</f>
        <v/>
      </c>
      <c r="H69" s="39" t="str">
        <f aca="false">IF(SUM($F69)=0,"",ROUND($F69*(1+$G69),0))</f>
        <v/>
      </c>
    </row>
    <row r="70" customFormat="false" ht="15" hidden="false" customHeight="false" outlineLevel="0" collapsed="false">
      <c r="A70" s="0" t="str">
        <f aca="false">INDEX(Prioritization!$D:$D,MATCH($B70,Prioritization!$A:$A,0))</f>
        <v>1 - Scale-up: Saturation</v>
      </c>
      <c r="B70" s="0" t="s">
        <v>199</v>
      </c>
      <c r="C70" s="0" t="s">
        <v>366</v>
      </c>
      <c r="D70" s="0" t="s">
        <v>48</v>
      </c>
      <c r="E70" s="0" t="str">
        <f aca="false">B70&amp;"|"&amp;C70&amp;"|"&amp;D70</f>
        <v>Mchinji District [kxuuIFpOXyO]|25-34|Male</v>
      </c>
      <c r="F70" s="10"/>
      <c r="G70" s="88" t="str">
        <f aca="false">IF(SUM($F70)=0,"",0%)</f>
        <v/>
      </c>
      <c r="H70" s="39" t="str">
        <f aca="false">IF(SUM($F70)=0,"",ROUND($F70*(1+$G70),0))</f>
        <v/>
      </c>
    </row>
    <row r="71" customFormat="false" ht="15" hidden="false" customHeight="false" outlineLevel="0" collapsed="false">
      <c r="A71" s="0" t="str">
        <f aca="false">INDEX(Prioritization!$D:$D,MATCH($B71,Prioritization!$A:$A,0))</f>
        <v>1 - Scale-up: Saturation</v>
      </c>
      <c r="B71" s="0" t="s">
        <v>199</v>
      </c>
      <c r="C71" s="0" t="s">
        <v>367</v>
      </c>
      <c r="D71" s="0" t="s">
        <v>30</v>
      </c>
      <c r="E71" s="0" t="str">
        <f aca="false">B71&amp;"|"&amp;C71&amp;"|"&amp;D71</f>
        <v>Mchinji District [kxuuIFpOXyO]|35-49|Female</v>
      </c>
      <c r="F71" s="10"/>
      <c r="G71" s="88" t="str">
        <f aca="false">IF(SUM($F71)=0,"",0%)</f>
        <v/>
      </c>
      <c r="H71" s="39" t="str">
        <f aca="false">IF(SUM($F71)=0,"",ROUND($F71*(1+$G71),0))</f>
        <v/>
      </c>
    </row>
    <row r="72" customFormat="false" ht="15" hidden="false" customHeight="false" outlineLevel="0" collapsed="false">
      <c r="A72" s="0" t="str">
        <f aca="false">INDEX(Prioritization!$D:$D,MATCH($B72,Prioritization!$A:$A,0))</f>
        <v>1 - Scale-up: Saturation</v>
      </c>
      <c r="B72" s="0" t="s">
        <v>199</v>
      </c>
      <c r="C72" s="0" t="s">
        <v>367</v>
      </c>
      <c r="D72" s="0" t="s">
        <v>48</v>
      </c>
      <c r="E72" s="0" t="str">
        <f aca="false">B72&amp;"|"&amp;C72&amp;"|"&amp;D72</f>
        <v>Mchinji District [kxuuIFpOXyO]|35-49|Male</v>
      </c>
      <c r="F72" s="10"/>
      <c r="G72" s="88" t="str">
        <f aca="false">IF(SUM($F72)=0,"",0%)</f>
        <v/>
      </c>
      <c r="H72" s="39" t="str">
        <f aca="false">IF(SUM($F72)=0,"",ROUND($F72*(1+$G72),0))</f>
        <v/>
      </c>
    </row>
    <row r="73" customFormat="false" ht="15" hidden="false" customHeight="false" outlineLevel="0" collapsed="false">
      <c r="A73" s="0" t="str">
        <f aca="false">INDEX(Prioritization!$D:$D,MATCH($B73,Prioritization!$A:$A,0))</f>
        <v>1 - Scale-up: Saturation</v>
      </c>
      <c r="B73" s="0" t="s">
        <v>199</v>
      </c>
      <c r="C73" s="0" t="s">
        <v>368</v>
      </c>
      <c r="D73" s="0" t="s">
        <v>30</v>
      </c>
      <c r="E73" s="0" t="str">
        <f aca="false">B73&amp;"|"&amp;C73&amp;"|"&amp;D73</f>
        <v>Mchinji District [kxuuIFpOXyO]|50+|Female</v>
      </c>
      <c r="F73" s="10"/>
      <c r="G73" s="88" t="str">
        <f aca="false">IF(SUM($F73)=0,"",0%)</f>
        <v/>
      </c>
      <c r="H73" s="39" t="str">
        <f aca="false">IF(SUM($F73)=0,"",ROUND($F73*(1+$G73),0))</f>
        <v/>
      </c>
    </row>
    <row r="74" customFormat="false" ht="15" hidden="false" customHeight="false" outlineLevel="0" collapsed="false">
      <c r="A74" s="0" t="str">
        <f aca="false">INDEX(Prioritization!$D:$D,MATCH($B74,Prioritization!$A:$A,0))</f>
        <v>1 - Scale-up: Saturation</v>
      </c>
      <c r="B74" s="0" t="s">
        <v>199</v>
      </c>
      <c r="C74" s="0" t="s">
        <v>368</v>
      </c>
      <c r="D74" s="0" t="s">
        <v>48</v>
      </c>
      <c r="E74" s="0" t="str">
        <f aca="false">B74&amp;"|"&amp;C74&amp;"|"&amp;D74</f>
        <v>Mchinji District [kxuuIFpOXyO]|50+|Male</v>
      </c>
      <c r="F74" s="10"/>
      <c r="G74" s="88" t="str">
        <f aca="false">IF(SUM($F74)=0,"",0%)</f>
        <v/>
      </c>
      <c r="H74" s="39" t="str">
        <f aca="false">IF(SUM($F74)=0,"",ROUND($F74*(1+$G74),0))</f>
        <v/>
      </c>
    </row>
    <row r="75" customFormat="false" ht="15" hidden="false" customHeight="false" outlineLevel="0" collapsed="false">
      <c r="A75" s="0" t="str">
        <f aca="false">INDEX(Prioritization!$D:$D,MATCH($B75,Prioritization!$A:$A,0))</f>
        <v>1 - Scale-up: Saturation</v>
      </c>
      <c r="B75" s="0" t="s">
        <v>200</v>
      </c>
      <c r="C75" s="0" t="s">
        <v>364</v>
      </c>
      <c r="D75" s="0" t="s">
        <v>30</v>
      </c>
      <c r="E75" s="0" t="str">
        <f aca="false">B75&amp;"|"&amp;C75&amp;"|"&amp;D75</f>
        <v>Nkhotakota District [YCKiBAp8QAg]|10-14|Female</v>
      </c>
      <c r="F75" s="10"/>
      <c r="G75" s="88" t="str">
        <f aca="false">IF(SUM($F75)=0,"",0%)</f>
        <v/>
      </c>
      <c r="H75" s="39" t="str">
        <f aca="false">IF(SUM($F75)=0,"",ROUND($F75*(1+$G75),0))</f>
        <v/>
      </c>
    </row>
    <row r="76" customFormat="false" ht="15" hidden="false" customHeight="false" outlineLevel="0" collapsed="false">
      <c r="A76" s="0" t="str">
        <f aca="false">INDEX(Prioritization!$D:$D,MATCH($B76,Prioritization!$A:$A,0))</f>
        <v>1 - Scale-up: Saturation</v>
      </c>
      <c r="B76" s="0" t="s">
        <v>200</v>
      </c>
      <c r="C76" s="0" t="s">
        <v>364</v>
      </c>
      <c r="D76" s="0" t="s">
        <v>48</v>
      </c>
      <c r="E76" s="0" t="str">
        <f aca="false">B76&amp;"|"&amp;C76&amp;"|"&amp;D76</f>
        <v>Nkhotakota District [YCKiBAp8QAg]|10-14|Male</v>
      </c>
      <c r="F76" s="10"/>
      <c r="G76" s="88" t="str">
        <f aca="false">IF(SUM($F76)=0,"",0%)</f>
        <v/>
      </c>
      <c r="H76" s="39" t="str">
        <f aca="false">IF(SUM($F76)=0,"",ROUND($F76*(1+$G76),0))</f>
        <v/>
      </c>
    </row>
    <row r="77" customFormat="false" ht="15" hidden="false" customHeight="false" outlineLevel="0" collapsed="false">
      <c r="A77" s="0" t="str">
        <f aca="false">INDEX(Prioritization!$D:$D,MATCH($B77,Prioritization!$A:$A,0))</f>
        <v>1 - Scale-up: Saturation</v>
      </c>
      <c r="B77" s="0" t="s">
        <v>200</v>
      </c>
      <c r="C77" s="0" t="s">
        <v>365</v>
      </c>
      <c r="D77" s="0" t="s">
        <v>30</v>
      </c>
      <c r="E77" s="0" t="str">
        <f aca="false">B77&amp;"|"&amp;C77&amp;"|"&amp;D77</f>
        <v>Nkhotakota District [YCKiBAp8QAg]|15-24|Female</v>
      </c>
      <c r="F77" s="10"/>
      <c r="G77" s="88" t="str">
        <f aca="false">IF(SUM($F77)=0,"",0%)</f>
        <v/>
      </c>
      <c r="H77" s="39" t="str">
        <f aca="false">IF(SUM($F77)=0,"",ROUND($F77*(1+$G77),0))</f>
        <v/>
      </c>
    </row>
    <row r="78" customFormat="false" ht="15" hidden="false" customHeight="false" outlineLevel="0" collapsed="false">
      <c r="A78" s="0" t="str">
        <f aca="false">INDEX(Prioritization!$D:$D,MATCH($B78,Prioritization!$A:$A,0))</f>
        <v>1 - Scale-up: Saturation</v>
      </c>
      <c r="B78" s="0" t="s">
        <v>200</v>
      </c>
      <c r="C78" s="0" t="s">
        <v>365</v>
      </c>
      <c r="D78" s="0" t="s">
        <v>48</v>
      </c>
      <c r="E78" s="0" t="str">
        <f aca="false">B78&amp;"|"&amp;C78&amp;"|"&amp;D78</f>
        <v>Nkhotakota District [YCKiBAp8QAg]|15-24|Male</v>
      </c>
      <c r="F78" s="10"/>
      <c r="G78" s="88" t="str">
        <f aca="false">IF(SUM($F78)=0,"",0%)</f>
        <v/>
      </c>
      <c r="H78" s="39" t="str">
        <f aca="false">IF(SUM($F78)=0,"",ROUND($F78*(1+$G78),0))</f>
        <v/>
      </c>
    </row>
    <row r="79" customFormat="false" ht="15" hidden="false" customHeight="false" outlineLevel="0" collapsed="false">
      <c r="A79" s="0" t="str">
        <f aca="false">INDEX(Prioritization!$D:$D,MATCH($B79,Prioritization!$A:$A,0))</f>
        <v>1 - Scale-up: Saturation</v>
      </c>
      <c r="B79" s="0" t="s">
        <v>200</v>
      </c>
      <c r="C79" s="0" t="s">
        <v>366</v>
      </c>
      <c r="D79" s="0" t="s">
        <v>30</v>
      </c>
      <c r="E79" s="0" t="str">
        <f aca="false">B79&amp;"|"&amp;C79&amp;"|"&amp;D79</f>
        <v>Nkhotakota District [YCKiBAp8QAg]|25-34|Female</v>
      </c>
      <c r="F79" s="10"/>
      <c r="G79" s="88" t="str">
        <f aca="false">IF(SUM($F79)=0,"",0%)</f>
        <v/>
      </c>
      <c r="H79" s="39" t="str">
        <f aca="false">IF(SUM($F79)=0,"",ROUND($F79*(1+$G79),0))</f>
        <v/>
      </c>
    </row>
    <row r="80" customFormat="false" ht="15" hidden="false" customHeight="false" outlineLevel="0" collapsed="false">
      <c r="A80" s="0" t="str">
        <f aca="false">INDEX(Prioritization!$D:$D,MATCH($B80,Prioritization!$A:$A,0))</f>
        <v>1 - Scale-up: Saturation</v>
      </c>
      <c r="B80" s="0" t="s">
        <v>200</v>
      </c>
      <c r="C80" s="0" t="s">
        <v>366</v>
      </c>
      <c r="D80" s="0" t="s">
        <v>48</v>
      </c>
      <c r="E80" s="0" t="str">
        <f aca="false">B80&amp;"|"&amp;C80&amp;"|"&amp;D80</f>
        <v>Nkhotakota District [YCKiBAp8QAg]|25-34|Male</v>
      </c>
      <c r="F80" s="10"/>
      <c r="G80" s="88" t="str">
        <f aca="false">IF(SUM($F80)=0,"",0%)</f>
        <v/>
      </c>
      <c r="H80" s="39" t="str">
        <f aca="false">IF(SUM($F80)=0,"",ROUND($F80*(1+$G80),0))</f>
        <v/>
      </c>
    </row>
    <row r="81" customFormat="false" ht="15" hidden="false" customHeight="false" outlineLevel="0" collapsed="false">
      <c r="A81" s="0" t="str">
        <f aca="false">INDEX(Prioritization!$D:$D,MATCH($B81,Prioritization!$A:$A,0))</f>
        <v>1 - Scale-up: Saturation</v>
      </c>
      <c r="B81" s="0" t="s">
        <v>200</v>
      </c>
      <c r="C81" s="0" t="s">
        <v>367</v>
      </c>
      <c r="D81" s="0" t="s">
        <v>30</v>
      </c>
      <c r="E81" s="0" t="str">
        <f aca="false">B81&amp;"|"&amp;C81&amp;"|"&amp;D81</f>
        <v>Nkhotakota District [YCKiBAp8QAg]|35-49|Female</v>
      </c>
      <c r="F81" s="10"/>
      <c r="G81" s="88" t="str">
        <f aca="false">IF(SUM($F81)=0,"",0%)</f>
        <v/>
      </c>
      <c r="H81" s="39" t="str">
        <f aca="false">IF(SUM($F81)=0,"",ROUND($F81*(1+$G81),0))</f>
        <v/>
      </c>
    </row>
    <row r="82" customFormat="false" ht="15" hidden="false" customHeight="false" outlineLevel="0" collapsed="false">
      <c r="A82" s="0" t="str">
        <f aca="false">INDEX(Prioritization!$D:$D,MATCH($B82,Prioritization!$A:$A,0))</f>
        <v>1 - Scale-up: Saturation</v>
      </c>
      <c r="B82" s="0" t="s">
        <v>200</v>
      </c>
      <c r="C82" s="0" t="s">
        <v>367</v>
      </c>
      <c r="D82" s="0" t="s">
        <v>48</v>
      </c>
      <c r="E82" s="0" t="str">
        <f aca="false">B82&amp;"|"&amp;C82&amp;"|"&amp;D82</f>
        <v>Nkhotakota District [YCKiBAp8QAg]|35-49|Male</v>
      </c>
      <c r="F82" s="10"/>
      <c r="G82" s="88" t="str">
        <f aca="false">IF(SUM($F82)=0,"",0%)</f>
        <v/>
      </c>
      <c r="H82" s="39" t="str">
        <f aca="false">IF(SUM($F82)=0,"",ROUND($F82*(1+$G82),0))</f>
        <v/>
      </c>
    </row>
    <row r="83" customFormat="false" ht="15" hidden="false" customHeight="false" outlineLevel="0" collapsed="false">
      <c r="A83" s="0" t="str">
        <f aca="false">INDEX(Prioritization!$D:$D,MATCH($B83,Prioritization!$A:$A,0))</f>
        <v>1 - Scale-up: Saturation</v>
      </c>
      <c r="B83" s="0" t="s">
        <v>200</v>
      </c>
      <c r="C83" s="0" t="s">
        <v>368</v>
      </c>
      <c r="D83" s="0" t="s">
        <v>30</v>
      </c>
      <c r="E83" s="0" t="str">
        <f aca="false">B83&amp;"|"&amp;C83&amp;"|"&amp;D83</f>
        <v>Nkhotakota District [YCKiBAp8QAg]|50+|Female</v>
      </c>
      <c r="F83" s="10"/>
      <c r="G83" s="88" t="str">
        <f aca="false">IF(SUM($F83)=0,"",0%)</f>
        <v/>
      </c>
      <c r="H83" s="39" t="str">
        <f aca="false">IF(SUM($F83)=0,"",ROUND($F83*(1+$G83),0))</f>
        <v/>
      </c>
    </row>
    <row r="84" customFormat="false" ht="15" hidden="false" customHeight="false" outlineLevel="0" collapsed="false">
      <c r="A84" s="0" t="str">
        <f aca="false">INDEX(Prioritization!$D:$D,MATCH($B84,Prioritization!$A:$A,0))</f>
        <v>1 - Scale-up: Saturation</v>
      </c>
      <c r="B84" s="0" t="s">
        <v>200</v>
      </c>
      <c r="C84" s="0" t="s">
        <v>368</v>
      </c>
      <c r="D84" s="0" t="s">
        <v>48</v>
      </c>
      <c r="E84" s="0" t="str">
        <f aca="false">B84&amp;"|"&amp;C84&amp;"|"&amp;D84</f>
        <v>Nkhotakota District [YCKiBAp8QAg]|50+|Male</v>
      </c>
      <c r="F84" s="10"/>
      <c r="G84" s="88" t="str">
        <f aca="false">IF(SUM($F84)=0,"",0%)</f>
        <v/>
      </c>
      <c r="H84" s="39" t="str">
        <f aca="false">IF(SUM($F84)=0,"",ROUND($F84*(1+$G84),0))</f>
        <v/>
      </c>
    </row>
    <row r="85" customFormat="false" ht="15" hidden="false" customHeight="false" outlineLevel="0" collapsed="false">
      <c r="A85" s="0" t="str">
        <f aca="false">INDEX(Prioritization!$D:$D,MATCH($B85,Prioritization!$A:$A,0))</f>
        <v>INVALID</v>
      </c>
      <c r="B85" s="0" t="s">
        <v>201</v>
      </c>
      <c r="C85" s="0" t="s">
        <v>364</v>
      </c>
      <c r="D85" s="0" t="s">
        <v>30</v>
      </c>
      <c r="E85" s="0" t="str">
        <f aca="false">B85&amp;"|"&amp;C85&amp;"|"&amp;D85</f>
        <v>Ntcheu District [am530wpaGvr]|10-14|Female</v>
      </c>
      <c r="F85" s="10"/>
      <c r="G85" s="88" t="str">
        <f aca="false">IF(SUM($F85)=0,"",0%)</f>
        <v/>
      </c>
      <c r="H85" s="39" t="str">
        <f aca="false">IF(SUM($F85)=0,"",ROUND($F85*(1+$G85),0))</f>
        <v/>
      </c>
    </row>
    <row r="86" customFormat="false" ht="15" hidden="false" customHeight="false" outlineLevel="0" collapsed="false">
      <c r="A86" s="0" t="str">
        <f aca="false">INDEX(Prioritization!$D:$D,MATCH($B86,Prioritization!$A:$A,0))</f>
        <v>INVALID</v>
      </c>
      <c r="B86" s="0" t="s">
        <v>201</v>
      </c>
      <c r="C86" s="0" t="s">
        <v>364</v>
      </c>
      <c r="D86" s="0" t="s">
        <v>48</v>
      </c>
      <c r="E86" s="0" t="str">
        <f aca="false">B86&amp;"|"&amp;C86&amp;"|"&amp;D86</f>
        <v>Ntcheu District [am530wpaGvr]|10-14|Male</v>
      </c>
      <c r="F86" s="10"/>
      <c r="G86" s="88" t="str">
        <f aca="false">IF(SUM($F86)=0,"",0%)</f>
        <v/>
      </c>
      <c r="H86" s="39" t="str">
        <f aca="false">IF(SUM($F86)=0,"",ROUND($F86*(1+$G86),0))</f>
        <v/>
      </c>
    </row>
    <row r="87" customFormat="false" ht="15" hidden="false" customHeight="false" outlineLevel="0" collapsed="false">
      <c r="A87" s="0" t="str">
        <f aca="false">INDEX(Prioritization!$D:$D,MATCH($B87,Prioritization!$A:$A,0))</f>
        <v>INVALID</v>
      </c>
      <c r="B87" s="0" t="s">
        <v>201</v>
      </c>
      <c r="C87" s="0" t="s">
        <v>365</v>
      </c>
      <c r="D87" s="0" t="s">
        <v>30</v>
      </c>
      <c r="E87" s="0" t="str">
        <f aca="false">B87&amp;"|"&amp;C87&amp;"|"&amp;D87</f>
        <v>Ntcheu District [am530wpaGvr]|15-24|Female</v>
      </c>
      <c r="F87" s="10"/>
      <c r="G87" s="88" t="str">
        <f aca="false">IF(SUM($F87)=0,"",0%)</f>
        <v/>
      </c>
      <c r="H87" s="39" t="str">
        <f aca="false">IF(SUM($F87)=0,"",ROUND($F87*(1+$G87),0))</f>
        <v/>
      </c>
    </row>
    <row r="88" customFormat="false" ht="15" hidden="false" customHeight="false" outlineLevel="0" collapsed="false">
      <c r="A88" s="0" t="str">
        <f aca="false">INDEX(Prioritization!$D:$D,MATCH($B88,Prioritization!$A:$A,0))</f>
        <v>INVALID</v>
      </c>
      <c r="B88" s="0" t="s">
        <v>201</v>
      </c>
      <c r="C88" s="0" t="s">
        <v>365</v>
      </c>
      <c r="D88" s="0" t="s">
        <v>48</v>
      </c>
      <c r="E88" s="0" t="str">
        <f aca="false">B88&amp;"|"&amp;C88&amp;"|"&amp;D88</f>
        <v>Ntcheu District [am530wpaGvr]|15-24|Male</v>
      </c>
      <c r="F88" s="10"/>
      <c r="G88" s="88" t="str">
        <f aca="false">IF(SUM($F88)=0,"",0%)</f>
        <v/>
      </c>
      <c r="H88" s="39" t="str">
        <f aca="false">IF(SUM($F88)=0,"",ROUND($F88*(1+$G88),0))</f>
        <v/>
      </c>
    </row>
    <row r="89" customFormat="false" ht="15" hidden="false" customHeight="false" outlineLevel="0" collapsed="false">
      <c r="A89" s="0" t="str">
        <f aca="false">INDEX(Prioritization!$D:$D,MATCH($B89,Prioritization!$A:$A,0))</f>
        <v>INVALID</v>
      </c>
      <c r="B89" s="0" t="s">
        <v>201</v>
      </c>
      <c r="C89" s="0" t="s">
        <v>366</v>
      </c>
      <c r="D89" s="0" t="s">
        <v>30</v>
      </c>
      <c r="E89" s="0" t="str">
        <f aca="false">B89&amp;"|"&amp;C89&amp;"|"&amp;D89</f>
        <v>Ntcheu District [am530wpaGvr]|25-34|Female</v>
      </c>
      <c r="F89" s="10"/>
      <c r="G89" s="88" t="str">
        <f aca="false">IF(SUM($F89)=0,"",0%)</f>
        <v/>
      </c>
      <c r="H89" s="39" t="str">
        <f aca="false">IF(SUM($F89)=0,"",ROUND($F89*(1+$G89),0))</f>
        <v/>
      </c>
    </row>
    <row r="90" customFormat="false" ht="15" hidden="false" customHeight="false" outlineLevel="0" collapsed="false">
      <c r="A90" s="0" t="str">
        <f aca="false">INDEX(Prioritization!$D:$D,MATCH($B90,Prioritization!$A:$A,0))</f>
        <v>INVALID</v>
      </c>
      <c r="B90" s="0" t="s">
        <v>201</v>
      </c>
      <c r="C90" s="0" t="s">
        <v>366</v>
      </c>
      <c r="D90" s="0" t="s">
        <v>48</v>
      </c>
      <c r="E90" s="0" t="str">
        <f aca="false">B90&amp;"|"&amp;C90&amp;"|"&amp;D90</f>
        <v>Ntcheu District [am530wpaGvr]|25-34|Male</v>
      </c>
      <c r="F90" s="10"/>
      <c r="G90" s="88" t="str">
        <f aca="false">IF(SUM($F90)=0,"",0%)</f>
        <v/>
      </c>
      <c r="H90" s="39" t="str">
        <f aca="false">IF(SUM($F90)=0,"",ROUND($F90*(1+$G90),0))</f>
        <v/>
      </c>
    </row>
    <row r="91" customFormat="false" ht="15" hidden="false" customHeight="false" outlineLevel="0" collapsed="false">
      <c r="A91" s="0" t="str">
        <f aca="false">INDEX(Prioritization!$D:$D,MATCH($B91,Prioritization!$A:$A,0))</f>
        <v>INVALID</v>
      </c>
      <c r="B91" s="0" t="s">
        <v>201</v>
      </c>
      <c r="C91" s="0" t="s">
        <v>367</v>
      </c>
      <c r="D91" s="0" t="s">
        <v>30</v>
      </c>
      <c r="E91" s="0" t="str">
        <f aca="false">B91&amp;"|"&amp;C91&amp;"|"&amp;D91</f>
        <v>Ntcheu District [am530wpaGvr]|35-49|Female</v>
      </c>
      <c r="F91" s="10"/>
      <c r="G91" s="88" t="str">
        <f aca="false">IF(SUM($F91)=0,"",0%)</f>
        <v/>
      </c>
      <c r="H91" s="39" t="str">
        <f aca="false">IF(SUM($F91)=0,"",ROUND($F91*(1+$G91),0))</f>
        <v/>
      </c>
    </row>
    <row r="92" customFormat="false" ht="15" hidden="false" customHeight="false" outlineLevel="0" collapsed="false">
      <c r="A92" s="0" t="str">
        <f aca="false">INDEX(Prioritization!$D:$D,MATCH($B92,Prioritization!$A:$A,0))</f>
        <v>INVALID</v>
      </c>
      <c r="B92" s="0" t="s">
        <v>201</v>
      </c>
      <c r="C92" s="0" t="s">
        <v>367</v>
      </c>
      <c r="D92" s="0" t="s">
        <v>48</v>
      </c>
      <c r="E92" s="0" t="str">
        <f aca="false">B92&amp;"|"&amp;C92&amp;"|"&amp;D92</f>
        <v>Ntcheu District [am530wpaGvr]|35-49|Male</v>
      </c>
      <c r="F92" s="10"/>
      <c r="G92" s="88" t="str">
        <f aca="false">IF(SUM($F92)=0,"",0%)</f>
        <v/>
      </c>
      <c r="H92" s="39" t="str">
        <f aca="false">IF(SUM($F92)=0,"",ROUND($F92*(1+$G92),0))</f>
        <v/>
      </c>
    </row>
    <row r="93" customFormat="false" ht="15" hidden="false" customHeight="false" outlineLevel="0" collapsed="false">
      <c r="A93" s="0" t="str">
        <f aca="false">INDEX(Prioritization!$D:$D,MATCH($B93,Prioritization!$A:$A,0))</f>
        <v>INVALID</v>
      </c>
      <c r="B93" s="0" t="s">
        <v>201</v>
      </c>
      <c r="C93" s="0" t="s">
        <v>368</v>
      </c>
      <c r="D93" s="0" t="s">
        <v>30</v>
      </c>
      <c r="E93" s="0" t="str">
        <f aca="false">B93&amp;"|"&amp;C93&amp;"|"&amp;D93</f>
        <v>Ntcheu District [am530wpaGvr]|50+|Female</v>
      </c>
      <c r="F93" s="10"/>
      <c r="G93" s="88" t="str">
        <f aca="false">IF(SUM($F93)=0,"",0%)</f>
        <v/>
      </c>
      <c r="H93" s="39" t="str">
        <f aca="false">IF(SUM($F93)=0,"",ROUND($F93*(1+$G93),0))</f>
        <v/>
      </c>
    </row>
    <row r="94" customFormat="false" ht="15" hidden="false" customHeight="false" outlineLevel="0" collapsed="false">
      <c r="A94" s="0" t="str">
        <f aca="false">INDEX(Prioritization!$D:$D,MATCH($B94,Prioritization!$A:$A,0))</f>
        <v>INVALID</v>
      </c>
      <c r="B94" s="0" t="s">
        <v>201</v>
      </c>
      <c r="C94" s="0" t="s">
        <v>368</v>
      </c>
      <c r="D94" s="0" t="s">
        <v>48</v>
      </c>
      <c r="E94" s="0" t="str">
        <f aca="false">B94&amp;"|"&amp;C94&amp;"|"&amp;D94</f>
        <v>Ntcheu District [am530wpaGvr]|50+|Male</v>
      </c>
      <c r="F94" s="10"/>
      <c r="G94" s="88" t="str">
        <f aca="false">IF(SUM($F94)=0,"",0%)</f>
        <v/>
      </c>
      <c r="H94" s="39" t="str">
        <f aca="false">IF(SUM($F94)=0,"",ROUND($F94*(1+$G94),0))</f>
        <v/>
      </c>
    </row>
    <row r="95" customFormat="false" ht="15" hidden="false" customHeight="false" outlineLevel="0" collapsed="false">
      <c r="A95" s="0" t="str">
        <f aca="false">INDEX(Prioritization!$D:$D,MATCH($B95,Prioritization!$A:$A,0))</f>
        <v>INVALID</v>
      </c>
      <c r="B95" s="0" t="s">
        <v>202</v>
      </c>
      <c r="C95" s="0" t="s">
        <v>364</v>
      </c>
      <c r="D95" s="0" t="s">
        <v>30</v>
      </c>
      <c r="E95" s="0" t="str">
        <f aca="false">B95&amp;"|"&amp;C95&amp;"|"&amp;D95</f>
        <v>Ntchisi District [fiRkU6gEjLz]|10-14|Female</v>
      </c>
      <c r="F95" s="10"/>
      <c r="G95" s="88" t="str">
        <f aca="false">IF(SUM($F95)=0,"",0%)</f>
        <v/>
      </c>
      <c r="H95" s="39" t="str">
        <f aca="false">IF(SUM($F95)=0,"",ROUND($F95*(1+$G95),0))</f>
        <v/>
      </c>
    </row>
    <row r="96" customFormat="false" ht="15" hidden="false" customHeight="false" outlineLevel="0" collapsed="false">
      <c r="A96" s="0" t="str">
        <f aca="false">INDEX(Prioritization!$D:$D,MATCH($B96,Prioritization!$A:$A,0))</f>
        <v>INVALID</v>
      </c>
      <c r="B96" s="0" t="s">
        <v>202</v>
      </c>
      <c r="C96" s="0" t="s">
        <v>364</v>
      </c>
      <c r="D96" s="0" t="s">
        <v>48</v>
      </c>
      <c r="E96" s="0" t="str">
        <f aca="false">B96&amp;"|"&amp;C96&amp;"|"&amp;D96</f>
        <v>Ntchisi District [fiRkU6gEjLz]|10-14|Male</v>
      </c>
      <c r="F96" s="10"/>
      <c r="G96" s="88" t="str">
        <f aca="false">IF(SUM($F96)=0,"",0%)</f>
        <v/>
      </c>
      <c r="H96" s="39" t="str">
        <f aca="false">IF(SUM($F96)=0,"",ROUND($F96*(1+$G96),0))</f>
        <v/>
      </c>
    </row>
    <row r="97" customFormat="false" ht="15" hidden="false" customHeight="false" outlineLevel="0" collapsed="false">
      <c r="A97" s="0" t="str">
        <f aca="false">INDEX(Prioritization!$D:$D,MATCH($B97,Prioritization!$A:$A,0))</f>
        <v>INVALID</v>
      </c>
      <c r="B97" s="0" t="s">
        <v>202</v>
      </c>
      <c r="C97" s="0" t="s">
        <v>365</v>
      </c>
      <c r="D97" s="0" t="s">
        <v>30</v>
      </c>
      <c r="E97" s="0" t="str">
        <f aca="false">B97&amp;"|"&amp;C97&amp;"|"&amp;D97</f>
        <v>Ntchisi District [fiRkU6gEjLz]|15-24|Female</v>
      </c>
      <c r="F97" s="10"/>
      <c r="G97" s="88" t="str">
        <f aca="false">IF(SUM($F97)=0,"",0%)</f>
        <v/>
      </c>
      <c r="H97" s="39" t="str">
        <f aca="false">IF(SUM($F97)=0,"",ROUND($F97*(1+$G97),0))</f>
        <v/>
      </c>
    </row>
    <row r="98" customFormat="false" ht="15" hidden="false" customHeight="false" outlineLevel="0" collapsed="false">
      <c r="A98" s="0" t="str">
        <f aca="false">INDEX(Prioritization!$D:$D,MATCH($B98,Prioritization!$A:$A,0))</f>
        <v>INVALID</v>
      </c>
      <c r="B98" s="0" t="s">
        <v>202</v>
      </c>
      <c r="C98" s="0" t="s">
        <v>365</v>
      </c>
      <c r="D98" s="0" t="s">
        <v>48</v>
      </c>
      <c r="E98" s="0" t="str">
        <f aca="false">B98&amp;"|"&amp;C98&amp;"|"&amp;D98</f>
        <v>Ntchisi District [fiRkU6gEjLz]|15-24|Male</v>
      </c>
      <c r="F98" s="10"/>
      <c r="G98" s="88" t="str">
        <f aca="false">IF(SUM($F98)=0,"",0%)</f>
        <v/>
      </c>
      <c r="H98" s="39" t="str">
        <f aca="false">IF(SUM($F98)=0,"",ROUND($F98*(1+$G98),0))</f>
        <v/>
      </c>
    </row>
    <row r="99" customFormat="false" ht="15" hidden="false" customHeight="false" outlineLevel="0" collapsed="false">
      <c r="A99" s="0" t="str">
        <f aca="false">INDEX(Prioritization!$D:$D,MATCH($B99,Prioritization!$A:$A,0))</f>
        <v>INVALID</v>
      </c>
      <c r="B99" s="0" t="s">
        <v>202</v>
      </c>
      <c r="C99" s="0" t="s">
        <v>366</v>
      </c>
      <c r="D99" s="0" t="s">
        <v>30</v>
      </c>
      <c r="E99" s="0" t="str">
        <f aca="false">B99&amp;"|"&amp;C99&amp;"|"&amp;D99</f>
        <v>Ntchisi District [fiRkU6gEjLz]|25-34|Female</v>
      </c>
      <c r="F99" s="10"/>
      <c r="G99" s="88" t="str">
        <f aca="false">IF(SUM($F99)=0,"",0%)</f>
        <v/>
      </c>
      <c r="H99" s="39" t="str">
        <f aca="false">IF(SUM($F99)=0,"",ROUND($F99*(1+$G99),0))</f>
        <v/>
      </c>
    </row>
    <row r="100" customFormat="false" ht="15" hidden="false" customHeight="false" outlineLevel="0" collapsed="false">
      <c r="A100" s="0" t="str">
        <f aca="false">INDEX(Prioritization!$D:$D,MATCH($B100,Prioritization!$A:$A,0))</f>
        <v>INVALID</v>
      </c>
      <c r="B100" s="0" t="s">
        <v>202</v>
      </c>
      <c r="C100" s="0" t="s">
        <v>366</v>
      </c>
      <c r="D100" s="0" t="s">
        <v>48</v>
      </c>
      <c r="E100" s="0" t="str">
        <f aca="false">B100&amp;"|"&amp;C100&amp;"|"&amp;D100</f>
        <v>Ntchisi District [fiRkU6gEjLz]|25-34|Male</v>
      </c>
      <c r="F100" s="10"/>
      <c r="G100" s="88" t="str">
        <f aca="false">IF(SUM($F100)=0,"",0%)</f>
        <v/>
      </c>
      <c r="H100" s="39" t="str">
        <f aca="false">IF(SUM($F100)=0,"",ROUND($F100*(1+$G100),0))</f>
        <v/>
      </c>
    </row>
    <row r="101" customFormat="false" ht="15" hidden="false" customHeight="false" outlineLevel="0" collapsed="false">
      <c r="A101" s="0" t="str">
        <f aca="false">INDEX(Prioritization!$D:$D,MATCH($B101,Prioritization!$A:$A,0))</f>
        <v>INVALID</v>
      </c>
      <c r="B101" s="0" t="s">
        <v>202</v>
      </c>
      <c r="C101" s="0" t="s">
        <v>367</v>
      </c>
      <c r="D101" s="0" t="s">
        <v>30</v>
      </c>
      <c r="E101" s="0" t="str">
        <f aca="false">B101&amp;"|"&amp;C101&amp;"|"&amp;D101</f>
        <v>Ntchisi District [fiRkU6gEjLz]|35-49|Female</v>
      </c>
      <c r="F101" s="10"/>
      <c r="G101" s="88" t="str">
        <f aca="false">IF(SUM($F101)=0,"",0%)</f>
        <v/>
      </c>
      <c r="H101" s="39" t="str">
        <f aca="false">IF(SUM($F101)=0,"",ROUND($F101*(1+$G101),0))</f>
        <v/>
      </c>
    </row>
    <row r="102" customFormat="false" ht="15" hidden="false" customHeight="false" outlineLevel="0" collapsed="false">
      <c r="A102" s="0" t="str">
        <f aca="false">INDEX(Prioritization!$D:$D,MATCH($B102,Prioritization!$A:$A,0))</f>
        <v>INVALID</v>
      </c>
      <c r="B102" s="0" t="s">
        <v>202</v>
      </c>
      <c r="C102" s="0" t="s">
        <v>367</v>
      </c>
      <c r="D102" s="0" t="s">
        <v>48</v>
      </c>
      <c r="E102" s="0" t="str">
        <f aca="false">B102&amp;"|"&amp;C102&amp;"|"&amp;D102</f>
        <v>Ntchisi District [fiRkU6gEjLz]|35-49|Male</v>
      </c>
      <c r="F102" s="10"/>
      <c r="G102" s="88" t="str">
        <f aca="false">IF(SUM($F102)=0,"",0%)</f>
        <v/>
      </c>
      <c r="H102" s="39" t="str">
        <f aca="false">IF(SUM($F102)=0,"",ROUND($F102*(1+$G102),0))</f>
        <v/>
      </c>
    </row>
    <row r="103" customFormat="false" ht="15" hidden="false" customHeight="false" outlineLevel="0" collapsed="false">
      <c r="A103" s="0" t="str">
        <f aca="false">INDEX(Prioritization!$D:$D,MATCH($B103,Prioritization!$A:$A,0))</f>
        <v>INVALID</v>
      </c>
      <c r="B103" s="0" t="s">
        <v>202</v>
      </c>
      <c r="C103" s="0" t="s">
        <v>368</v>
      </c>
      <c r="D103" s="0" t="s">
        <v>30</v>
      </c>
      <c r="E103" s="0" t="str">
        <f aca="false">B103&amp;"|"&amp;C103&amp;"|"&amp;D103</f>
        <v>Ntchisi District [fiRkU6gEjLz]|50+|Female</v>
      </c>
      <c r="F103" s="10"/>
      <c r="G103" s="88" t="str">
        <f aca="false">IF(SUM($F103)=0,"",0%)</f>
        <v/>
      </c>
      <c r="H103" s="39" t="str">
        <f aca="false">IF(SUM($F103)=0,"",ROUND($F103*(1+$G103),0))</f>
        <v/>
      </c>
    </row>
    <row r="104" customFormat="false" ht="15" hidden="false" customHeight="false" outlineLevel="0" collapsed="false">
      <c r="A104" s="0" t="str">
        <f aca="false">INDEX(Prioritization!$D:$D,MATCH($B104,Prioritization!$A:$A,0))</f>
        <v>INVALID</v>
      </c>
      <c r="B104" s="0" t="s">
        <v>202</v>
      </c>
      <c r="C104" s="0" t="s">
        <v>368</v>
      </c>
      <c r="D104" s="0" t="s">
        <v>48</v>
      </c>
      <c r="E104" s="0" t="str">
        <f aca="false">B104&amp;"|"&amp;C104&amp;"|"&amp;D104</f>
        <v>Ntchisi District [fiRkU6gEjLz]|50+|Male</v>
      </c>
      <c r="F104" s="10"/>
      <c r="G104" s="88" t="str">
        <f aca="false">IF(SUM($F104)=0,"",0%)</f>
        <v/>
      </c>
      <c r="H104" s="39" t="str">
        <f aca="false">IF(SUM($F104)=0,"",ROUND($F104*(1+$G104),0))</f>
        <v/>
      </c>
    </row>
    <row r="105" customFormat="false" ht="15" hidden="false" customHeight="false" outlineLevel="0" collapsed="false">
      <c r="A105" s="0" t="str">
        <f aca="false">INDEX(Prioritization!$D:$D,MATCH($B105,Prioritization!$A:$A,0))</f>
        <v>INVALID</v>
      </c>
      <c r="B105" s="0" t="s">
        <v>203</v>
      </c>
      <c r="C105" s="0" t="s">
        <v>364</v>
      </c>
      <c r="D105" s="0" t="s">
        <v>30</v>
      </c>
      <c r="E105" s="0" t="str">
        <f aca="false">B105&amp;"|"&amp;C105&amp;"|"&amp;D105</f>
        <v>Salima District [msW2zpIN7up]|10-14|Female</v>
      </c>
      <c r="F105" s="10"/>
      <c r="G105" s="88" t="str">
        <f aca="false">IF(SUM($F105)=0,"",0%)</f>
        <v/>
      </c>
      <c r="H105" s="39" t="str">
        <f aca="false">IF(SUM($F105)=0,"",ROUND($F105*(1+$G105),0))</f>
        <v/>
      </c>
    </row>
    <row r="106" customFormat="false" ht="15" hidden="false" customHeight="false" outlineLevel="0" collapsed="false">
      <c r="A106" s="0" t="str">
        <f aca="false">INDEX(Prioritization!$D:$D,MATCH($B106,Prioritization!$A:$A,0))</f>
        <v>INVALID</v>
      </c>
      <c r="B106" s="0" t="s">
        <v>203</v>
      </c>
      <c r="C106" s="0" t="s">
        <v>364</v>
      </c>
      <c r="D106" s="0" t="s">
        <v>48</v>
      </c>
      <c r="E106" s="0" t="str">
        <f aca="false">B106&amp;"|"&amp;C106&amp;"|"&amp;D106</f>
        <v>Salima District [msW2zpIN7up]|10-14|Male</v>
      </c>
      <c r="F106" s="10"/>
      <c r="G106" s="88" t="str">
        <f aca="false">IF(SUM($F106)=0,"",0%)</f>
        <v/>
      </c>
      <c r="H106" s="39" t="str">
        <f aca="false">IF(SUM($F106)=0,"",ROUND($F106*(1+$G106),0))</f>
        <v/>
      </c>
    </row>
    <row r="107" customFormat="false" ht="15" hidden="false" customHeight="false" outlineLevel="0" collapsed="false">
      <c r="A107" s="0" t="str">
        <f aca="false">INDEX(Prioritization!$D:$D,MATCH($B107,Prioritization!$A:$A,0))</f>
        <v>INVALID</v>
      </c>
      <c r="B107" s="0" t="s">
        <v>203</v>
      </c>
      <c r="C107" s="0" t="s">
        <v>365</v>
      </c>
      <c r="D107" s="0" t="s">
        <v>30</v>
      </c>
      <c r="E107" s="0" t="str">
        <f aca="false">B107&amp;"|"&amp;C107&amp;"|"&amp;D107</f>
        <v>Salima District [msW2zpIN7up]|15-24|Female</v>
      </c>
      <c r="F107" s="10"/>
      <c r="G107" s="88" t="str">
        <f aca="false">IF(SUM($F107)=0,"",0%)</f>
        <v/>
      </c>
      <c r="H107" s="39" t="str">
        <f aca="false">IF(SUM($F107)=0,"",ROUND($F107*(1+$G107),0))</f>
        <v/>
      </c>
    </row>
    <row r="108" customFormat="false" ht="15" hidden="false" customHeight="false" outlineLevel="0" collapsed="false">
      <c r="A108" s="0" t="str">
        <f aca="false">INDEX(Prioritization!$D:$D,MATCH($B108,Prioritization!$A:$A,0))</f>
        <v>INVALID</v>
      </c>
      <c r="B108" s="0" t="s">
        <v>203</v>
      </c>
      <c r="C108" s="0" t="s">
        <v>365</v>
      </c>
      <c r="D108" s="0" t="s">
        <v>48</v>
      </c>
      <c r="E108" s="0" t="str">
        <f aca="false">B108&amp;"|"&amp;C108&amp;"|"&amp;D108</f>
        <v>Salima District [msW2zpIN7up]|15-24|Male</v>
      </c>
      <c r="F108" s="10"/>
      <c r="G108" s="88" t="str">
        <f aca="false">IF(SUM($F108)=0,"",0%)</f>
        <v/>
      </c>
      <c r="H108" s="39" t="str">
        <f aca="false">IF(SUM($F108)=0,"",ROUND($F108*(1+$G108),0))</f>
        <v/>
      </c>
    </row>
    <row r="109" customFormat="false" ht="15" hidden="false" customHeight="false" outlineLevel="0" collapsed="false">
      <c r="A109" s="0" t="str">
        <f aca="false">INDEX(Prioritization!$D:$D,MATCH($B109,Prioritization!$A:$A,0))</f>
        <v>INVALID</v>
      </c>
      <c r="B109" s="0" t="s">
        <v>203</v>
      </c>
      <c r="C109" s="0" t="s">
        <v>366</v>
      </c>
      <c r="D109" s="0" t="s">
        <v>30</v>
      </c>
      <c r="E109" s="0" t="str">
        <f aca="false">B109&amp;"|"&amp;C109&amp;"|"&amp;D109</f>
        <v>Salima District [msW2zpIN7up]|25-34|Female</v>
      </c>
      <c r="F109" s="10"/>
      <c r="G109" s="88" t="str">
        <f aca="false">IF(SUM($F109)=0,"",0%)</f>
        <v/>
      </c>
      <c r="H109" s="39" t="str">
        <f aca="false">IF(SUM($F109)=0,"",ROUND($F109*(1+$G109),0))</f>
        <v/>
      </c>
    </row>
    <row r="110" customFormat="false" ht="15" hidden="false" customHeight="false" outlineLevel="0" collapsed="false">
      <c r="A110" s="0" t="str">
        <f aca="false">INDEX(Prioritization!$D:$D,MATCH($B110,Prioritization!$A:$A,0))</f>
        <v>INVALID</v>
      </c>
      <c r="B110" s="0" t="s">
        <v>203</v>
      </c>
      <c r="C110" s="0" t="s">
        <v>366</v>
      </c>
      <c r="D110" s="0" t="s">
        <v>48</v>
      </c>
      <c r="E110" s="0" t="str">
        <f aca="false">B110&amp;"|"&amp;C110&amp;"|"&amp;D110</f>
        <v>Salima District [msW2zpIN7up]|25-34|Male</v>
      </c>
      <c r="F110" s="10"/>
      <c r="G110" s="88" t="str">
        <f aca="false">IF(SUM($F110)=0,"",0%)</f>
        <v/>
      </c>
      <c r="H110" s="39" t="str">
        <f aca="false">IF(SUM($F110)=0,"",ROUND($F110*(1+$G110),0))</f>
        <v/>
      </c>
    </row>
    <row r="111" customFormat="false" ht="15" hidden="false" customHeight="false" outlineLevel="0" collapsed="false">
      <c r="A111" s="0" t="str">
        <f aca="false">INDEX(Prioritization!$D:$D,MATCH($B111,Prioritization!$A:$A,0))</f>
        <v>INVALID</v>
      </c>
      <c r="B111" s="0" t="s">
        <v>203</v>
      </c>
      <c r="C111" s="0" t="s">
        <v>367</v>
      </c>
      <c r="D111" s="0" t="s">
        <v>30</v>
      </c>
      <c r="E111" s="0" t="str">
        <f aca="false">B111&amp;"|"&amp;C111&amp;"|"&amp;D111</f>
        <v>Salima District [msW2zpIN7up]|35-49|Female</v>
      </c>
      <c r="F111" s="10"/>
      <c r="G111" s="88" t="str">
        <f aca="false">IF(SUM($F111)=0,"",0%)</f>
        <v/>
      </c>
      <c r="H111" s="39" t="str">
        <f aca="false">IF(SUM($F111)=0,"",ROUND($F111*(1+$G111),0))</f>
        <v/>
      </c>
    </row>
    <row r="112" customFormat="false" ht="15" hidden="false" customHeight="false" outlineLevel="0" collapsed="false">
      <c r="A112" s="0" t="str">
        <f aca="false">INDEX(Prioritization!$D:$D,MATCH($B112,Prioritization!$A:$A,0))</f>
        <v>INVALID</v>
      </c>
      <c r="B112" s="0" t="s">
        <v>203</v>
      </c>
      <c r="C112" s="0" t="s">
        <v>367</v>
      </c>
      <c r="D112" s="0" t="s">
        <v>48</v>
      </c>
      <c r="E112" s="0" t="str">
        <f aca="false">B112&amp;"|"&amp;C112&amp;"|"&amp;D112</f>
        <v>Salima District [msW2zpIN7up]|35-49|Male</v>
      </c>
      <c r="F112" s="10"/>
      <c r="G112" s="88" t="str">
        <f aca="false">IF(SUM($F112)=0,"",0%)</f>
        <v/>
      </c>
      <c r="H112" s="39" t="str">
        <f aca="false">IF(SUM($F112)=0,"",ROUND($F112*(1+$G112),0))</f>
        <v/>
      </c>
    </row>
    <row r="113" customFormat="false" ht="15" hidden="false" customHeight="false" outlineLevel="0" collapsed="false">
      <c r="A113" s="0" t="str">
        <f aca="false">INDEX(Prioritization!$D:$D,MATCH($B113,Prioritization!$A:$A,0))</f>
        <v>INVALID</v>
      </c>
      <c r="B113" s="0" t="s">
        <v>203</v>
      </c>
      <c r="C113" s="0" t="s">
        <v>368</v>
      </c>
      <c r="D113" s="0" t="s">
        <v>30</v>
      </c>
      <c r="E113" s="0" t="str">
        <f aca="false">B113&amp;"|"&amp;C113&amp;"|"&amp;D113</f>
        <v>Salima District [msW2zpIN7up]|50+|Female</v>
      </c>
      <c r="F113" s="10"/>
      <c r="G113" s="88" t="str">
        <f aca="false">IF(SUM($F113)=0,"",0%)</f>
        <v/>
      </c>
      <c r="H113" s="39" t="str">
        <f aca="false">IF(SUM($F113)=0,"",ROUND($F113*(1+$G113),0))</f>
        <v/>
      </c>
    </row>
    <row r="114" customFormat="false" ht="15" hidden="false" customHeight="false" outlineLevel="0" collapsed="false">
      <c r="A114" s="0" t="str">
        <f aca="false">INDEX(Prioritization!$D:$D,MATCH($B114,Prioritization!$A:$A,0))</f>
        <v>INVALID</v>
      </c>
      <c r="B114" s="0" t="s">
        <v>203</v>
      </c>
      <c r="C114" s="0" t="s">
        <v>368</v>
      </c>
      <c r="D114" s="0" t="s">
        <v>48</v>
      </c>
      <c r="E114" s="0" t="str">
        <f aca="false">B114&amp;"|"&amp;C114&amp;"|"&amp;D114</f>
        <v>Salima District [msW2zpIN7up]|50+|Male</v>
      </c>
      <c r="F114" s="10"/>
      <c r="G114" s="88" t="str">
        <f aca="false">IF(SUM($F114)=0,"",0%)</f>
        <v/>
      </c>
      <c r="H114" s="39" t="str">
        <f aca="false">IF(SUM($F114)=0,"",ROUND($F114*(1+$G114),0))</f>
        <v/>
      </c>
    </row>
    <row r="115" customFormat="false" ht="15" hidden="false" customHeight="false" outlineLevel="0" collapsed="false">
      <c r="A115" s="0" t="str">
        <f aca="false">INDEX(Prioritization!$D:$D,MATCH($B115,Prioritization!$A:$A,0))</f>
        <v>1 - Scale-up: Saturation</v>
      </c>
      <c r="B115" s="0" t="s">
        <v>204</v>
      </c>
      <c r="C115" s="0" t="s">
        <v>364</v>
      </c>
      <c r="D115" s="0" t="s">
        <v>30</v>
      </c>
      <c r="E115" s="0" t="str">
        <f aca="false">B115&amp;"|"&amp;C115&amp;"|"&amp;D115</f>
        <v>Chitipa District [GkIwZrXy1h2]|10-14|Female</v>
      </c>
      <c r="F115" s="10"/>
      <c r="G115" s="88" t="str">
        <f aca="false">IF(SUM($F115)=0,"",0%)</f>
        <v/>
      </c>
      <c r="H115" s="39" t="str">
        <f aca="false">IF(SUM($F115)=0,"",ROUND($F115*(1+$G115),0))</f>
        <v/>
      </c>
    </row>
    <row r="116" customFormat="false" ht="15" hidden="false" customHeight="false" outlineLevel="0" collapsed="false">
      <c r="A116" s="0" t="str">
        <f aca="false">INDEX(Prioritization!$D:$D,MATCH($B116,Prioritization!$A:$A,0))</f>
        <v>1 - Scale-up: Saturation</v>
      </c>
      <c r="B116" s="0" t="s">
        <v>204</v>
      </c>
      <c r="C116" s="0" t="s">
        <v>364</v>
      </c>
      <c r="D116" s="0" t="s">
        <v>48</v>
      </c>
      <c r="E116" s="0" t="str">
        <f aca="false">B116&amp;"|"&amp;C116&amp;"|"&amp;D116</f>
        <v>Chitipa District [GkIwZrXy1h2]|10-14|Male</v>
      </c>
      <c r="F116" s="10"/>
      <c r="G116" s="88" t="str">
        <f aca="false">IF(SUM($F116)=0,"",0%)</f>
        <v/>
      </c>
      <c r="H116" s="39" t="str">
        <f aca="false">IF(SUM($F116)=0,"",ROUND($F116*(1+$G116),0))</f>
        <v/>
      </c>
    </row>
    <row r="117" customFormat="false" ht="15" hidden="false" customHeight="false" outlineLevel="0" collapsed="false">
      <c r="A117" s="0" t="str">
        <f aca="false">INDEX(Prioritization!$D:$D,MATCH($B117,Prioritization!$A:$A,0))</f>
        <v>1 - Scale-up: Saturation</v>
      </c>
      <c r="B117" s="0" t="s">
        <v>204</v>
      </c>
      <c r="C117" s="0" t="s">
        <v>365</v>
      </c>
      <c r="D117" s="0" t="s">
        <v>30</v>
      </c>
      <c r="E117" s="0" t="str">
        <f aca="false">B117&amp;"|"&amp;C117&amp;"|"&amp;D117</f>
        <v>Chitipa District [GkIwZrXy1h2]|15-24|Female</v>
      </c>
      <c r="F117" s="10"/>
      <c r="G117" s="88" t="str">
        <f aca="false">IF(SUM($F117)=0,"",0%)</f>
        <v/>
      </c>
      <c r="H117" s="39" t="str">
        <f aca="false">IF(SUM($F117)=0,"",ROUND($F117*(1+$G117),0))</f>
        <v/>
      </c>
    </row>
    <row r="118" customFormat="false" ht="15" hidden="false" customHeight="false" outlineLevel="0" collapsed="false">
      <c r="A118" s="0" t="str">
        <f aca="false">INDEX(Prioritization!$D:$D,MATCH($B118,Prioritization!$A:$A,0))</f>
        <v>1 - Scale-up: Saturation</v>
      </c>
      <c r="B118" s="0" t="s">
        <v>204</v>
      </c>
      <c r="C118" s="0" t="s">
        <v>365</v>
      </c>
      <c r="D118" s="0" t="s">
        <v>48</v>
      </c>
      <c r="E118" s="0" t="str">
        <f aca="false">B118&amp;"|"&amp;C118&amp;"|"&amp;D118</f>
        <v>Chitipa District [GkIwZrXy1h2]|15-24|Male</v>
      </c>
      <c r="F118" s="10"/>
      <c r="G118" s="88" t="str">
        <f aca="false">IF(SUM($F118)=0,"",0%)</f>
        <v/>
      </c>
      <c r="H118" s="39" t="str">
        <f aca="false">IF(SUM($F118)=0,"",ROUND($F118*(1+$G118),0))</f>
        <v/>
      </c>
    </row>
    <row r="119" customFormat="false" ht="15" hidden="false" customHeight="false" outlineLevel="0" collapsed="false">
      <c r="A119" s="0" t="str">
        <f aca="false">INDEX(Prioritization!$D:$D,MATCH($B119,Prioritization!$A:$A,0))</f>
        <v>1 - Scale-up: Saturation</v>
      </c>
      <c r="B119" s="0" t="s">
        <v>204</v>
      </c>
      <c r="C119" s="0" t="s">
        <v>366</v>
      </c>
      <c r="D119" s="0" t="s">
        <v>30</v>
      </c>
      <c r="E119" s="0" t="str">
        <f aca="false">B119&amp;"|"&amp;C119&amp;"|"&amp;D119</f>
        <v>Chitipa District [GkIwZrXy1h2]|25-34|Female</v>
      </c>
      <c r="F119" s="10"/>
      <c r="G119" s="88" t="str">
        <f aca="false">IF(SUM($F119)=0,"",0%)</f>
        <v/>
      </c>
      <c r="H119" s="39" t="str">
        <f aca="false">IF(SUM($F119)=0,"",ROUND($F119*(1+$G119),0))</f>
        <v/>
      </c>
    </row>
    <row r="120" customFormat="false" ht="15" hidden="false" customHeight="false" outlineLevel="0" collapsed="false">
      <c r="A120" s="0" t="str">
        <f aca="false">INDEX(Prioritization!$D:$D,MATCH($B120,Prioritization!$A:$A,0))</f>
        <v>1 - Scale-up: Saturation</v>
      </c>
      <c r="B120" s="0" t="s">
        <v>204</v>
      </c>
      <c r="C120" s="0" t="s">
        <v>366</v>
      </c>
      <c r="D120" s="0" t="s">
        <v>48</v>
      </c>
      <c r="E120" s="0" t="str">
        <f aca="false">B120&amp;"|"&amp;C120&amp;"|"&amp;D120</f>
        <v>Chitipa District [GkIwZrXy1h2]|25-34|Male</v>
      </c>
      <c r="F120" s="10"/>
      <c r="G120" s="88" t="str">
        <f aca="false">IF(SUM($F120)=0,"",0%)</f>
        <v/>
      </c>
      <c r="H120" s="39" t="str">
        <f aca="false">IF(SUM($F120)=0,"",ROUND($F120*(1+$G120),0))</f>
        <v/>
      </c>
    </row>
    <row r="121" customFormat="false" ht="15" hidden="false" customHeight="false" outlineLevel="0" collapsed="false">
      <c r="A121" s="0" t="str">
        <f aca="false">INDEX(Prioritization!$D:$D,MATCH($B121,Prioritization!$A:$A,0))</f>
        <v>1 - Scale-up: Saturation</v>
      </c>
      <c r="B121" s="0" t="s">
        <v>204</v>
      </c>
      <c r="C121" s="0" t="s">
        <v>367</v>
      </c>
      <c r="D121" s="0" t="s">
        <v>30</v>
      </c>
      <c r="E121" s="0" t="str">
        <f aca="false">B121&amp;"|"&amp;C121&amp;"|"&amp;D121</f>
        <v>Chitipa District [GkIwZrXy1h2]|35-49|Female</v>
      </c>
      <c r="F121" s="10"/>
      <c r="G121" s="88" t="str">
        <f aca="false">IF(SUM($F121)=0,"",0%)</f>
        <v/>
      </c>
      <c r="H121" s="39" t="str">
        <f aca="false">IF(SUM($F121)=0,"",ROUND($F121*(1+$G121),0))</f>
        <v/>
      </c>
    </row>
    <row r="122" customFormat="false" ht="15" hidden="false" customHeight="false" outlineLevel="0" collapsed="false">
      <c r="A122" s="0" t="str">
        <f aca="false">INDEX(Prioritization!$D:$D,MATCH($B122,Prioritization!$A:$A,0))</f>
        <v>1 - Scale-up: Saturation</v>
      </c>
      <c r="B122" s="0" t="s">
        <v>204</v>
      </c>
      <c r="C122" s="0" t="s">
        <v>367</v>
      </c>
      <c r="D122" s="0" t="s">
        <v>48</v>
      </c>
      <c r="E122" s="0" t="str">
        <f aca="false">B122&amp;"|"&amp;C122&amp;"|"&amp;D122</f>
        <v>Chitipa District [GkIwZrXy1h2]|35-49|Male</v>
      </c>
      <c r="F122" s="10"/>
      <c r="G122" s="88" t="str">
        <f aca="false">IF(SUM($F122)=0,"",0%)</f>
        <v/>
      </c>
      <c r="H122" s="39" t="str">
        <f aca="false">IF(SUM($F122)=0,"",ROUND($F122*(1+$G122),0))</f>
        <v/>
      </c>
    </row>
    <row r="123" customFormat="false" ht="15" hidden="false" customHeight="false" outlineLevel="0" collapsed="false">
      <c r="A123" s="0" t="str">
        <f aca="false">INDEX(Prioritization!$D:$D,MATCH($B123,Prioritization!$A:$A,0))</f>
        <v>1 - Scale-up: Saturation</v>
      </c>
      <c r="B123" s="0" t="s">
        <v>204</v>
      </c>
      <c r="C123" s="0" t="s">
        <v>368</v>
      </c>
      <c r="D123" s="0" t="s">
        <v>30</v>
      </c>
      <c r="E123" s="0" t="str">
        <f aca="false">B123&amp;"|"&amp;C123&amp;"|"&amp;D123</f>
        <v>Chitipa District [GkIwZrXy1h2]|50+|Female</v>
      </c>
      <c r="F123" s="10"/>
      <c r="G123" s="88" t="str">
        <f aca="false">IF(SUM($F123)=0,"",0%)</f>
        <v/>
      </c>
      <c r="H123" s="39" t="str">
        <f aca="false">IF(SUM($F123)=0,"",ROUND($F123*(1+$G123),0))</f>
        <v/>
      </c>
    </row>
    <row r="124" customFormat="false" ht="15" hidden="false" customHeight="false" outlineLevel="0" collapsed="false">
      <c r="A124" s="0" t="str">
        <f aca="false">INDEX(Prioritization!$D:$D,MATCH($B124,Prioritization!$A:$A,0))</f>
        <v>1 - Scale-up: Saturation</v>
      </c>
      <c r="B124" s="0" t="s">
        <v>204</v>
      </c>
      <c r="C124" s="0" t="s">
        <v>368</v>
      </c>
      <c r="D124" s="0" t="s">
        <v>48</v>
      </c>
      <c r="E124" s="0" t="str">
        <f aca="false">B124&amp;"|"&amp;C124&amp;"|"&amp;D124</f>
        <v>Chitipa District [GkIwZrXy1h2]|50+|Male</v>
      </c>
      <c r="F124" s="10"/>
      <c r="G124" s="88" t="str">
        <f aca="false">IF(SUM($F124)=0,"",0%)</f>
        <v/>
      </c>
      <c r="H124" s="39" t="str">
        <f aca="false">IF(SUM($F124)=0,"",ROUND($F124*(1+$G124),0))</f>
        <v/>
      </c>
    </row>
    <row r="125" customFormat="false" ht="15" hidden="false" customHeight="false" outlineLevel="0" collapsed="false">
      <c r="A125" s="0" t="str">
        <f aca="false">INDEX(Prioritization!$D:$D,MATCH($B125,Prioritization!$A:$A,0))</f>
        <v>INVALID</v>
      </c>
      <c r="B125" s="0" t="s">
        <v>205</v>
      </c>
      <c r="C125" s="0" t="s">
        <v>364</v>
      </c>
      <c r="D125" s="0" t="s">
        <v>30</v>
      </c>
      <c r="E125" s="0" t="str">
        <f aca="false">B125&amp;"|"&amp;C125&amp;"|"&amp;D125</f>
        <v>Karonga District [cPtvxaZqXIH]|10-14|Female</v>
      </c>
      <c r="F125" s="10"/>
      <c r="G125" s="88" t="str">
        <f aca="false">IF(SUM($F125)=0,"",0%)</f>
        <v/>
      </c>
      <c r="H125" s="39" t="str">
        <f aca="false">IF(SUM($F125)=0,"",ROUND($F125*(1+$G125),0))</f>
        <v/>
      </c>
    </row>
    <row r="126" customFormat="false" ht="15" hidden="false" customHeight="false" outlineLevel="0" collapsed="false">
      <c r="A126" s="0" t="str">
        <f aca="false">INDEX(Prioritization!$D:$D,MATCH($B126,Prioritization!$A:$A,0))</f>
        <v>INVALID</v>
      </c>
      <c r="B126" s="0" t="s">
        <v>205</v>
      </c>
      <c r="C126" s="0" t="s">
        <v>364</v>
      </c>
      <c r="D126" s="0" t="s">
        <v>48</v>
      </c>
      <c r="E126" s="0" t="str">
        <f aca="false">B126&amp;"|"&amp;C126&amp;"|"&amp;D126</f>
        <v>Karonga District [cPtvxaZqXIH]|10-14|Male</v>
      </c>
      <c r="F126" s="10"/>
      <c r="G126" s="88" t="str">
        <f aca="false">IF(SUM($F126)=0,"",0%)</f>
        <v/>
      </c>
      <c r="H126" s="39" t="str">
        <f aca="false">IF(SUM($F126)=0,"",ROUND($F126*(1+$G126),0))</f>
        <v/>
      </c>
    </row>
    <row r="127" customFormat="false" ht="15" hidden="false" customHeight="false" outlineLevel="0" collapsed="false">
      <c r="A127" s="0" t="str">
        <f aca="false">INDEX(Prioritization!$D:$D,MATCH($B127,Prioritization!$A:$A,0))</f>
        <v>INVALID</v>
      </c>
      <c r="B127" s="0" t="s">
        <v>205</v>
      </c>
      <c r="C127" s="0" t="s">
        <v>365</v>
      </c>
      <c r="D127" s="0" t="s">
        <v>30</v>
      </c>
      <c r="E127" s="0" t="str">
        <f aca="false">B127&amp;"|"&amp;C127&amp;"|"&amp;D127</f>
        <v>Karonga District [cPtvxaZqXIH]|15-24|Female</v>
      </c>
      <c r="F127" s="10"/>
      <c r="G127" s="88" t="str">
        <f aca="false">IF(SUM($F127)=0,"",0%)</f>
        <v/>
      </c>
      <c r="H127" s="39" t="str">
        <f aca="false">IF(SUM($F127)=0,"",ROUND($F127*(1+$G127),0))</f>
        <v/>
      </c>
    </row>
    <row r="128" customFormat="false" ht="15" hidden="false" customHeight="false" outlineLevel="0" collapsed="false">
      <c r="A128" s="0" t="str">
        <f aca="false">INDEX(Prioritization!$D:$D,MATCH($B128,Prioritization!$A:$A,0))</f>
        <v>INVALID</v>
      </c>
      <c r="B128" s="0" t="s">
        <v>205</v>
      </c>
      <c r="C128" s="0" t="s">
        <v>365</v>
      </c>
      <c r="D128" s="0" t="s">
        <v>48</v>
      </c>
      <c r="E128" s="0" t="str">
        <f aca="false">B128&amp;"|"&amp;C128&amp;"|"&amp;D128</f>
        <v>Karonga District [cPtvxaZqXIH]|15-24|Male</v>
      </c>
      <c r="F128" s="10"/>
      <c r="G128" s="88" t="str">
        <f aca="false">IF(SUM($F128)=0,"",0%)</f>
        <v/>
      </c>
      <c r="H128" s="39" t="str">
        <f aca="false">IF(SUM($F128)=0,"",ROUND($F128*(1+$G128),0))</f>
        <v/>
      </c>
    </row>
    <row r="129" customFormat="false" ht="15" hidden="false" customHeight="false" outlineLevel="0" collapsed="false">
      <c r="A129" s="0" t="str">
        <f aca="false">INDEX(Prioritization!$D:$D,MATCH($B129,Prioritization!$A:$A,0))</f>
        <v>INVALID</v>
      </c>
      <c r="B129" s="0" t="s">
        <v>205</v>
      </c>
      <c r="C129" s="0" t="s">
        <v>366</v>
      </c>
      <c r="D129" s="0" t="s">
        <v>30</v>
      </c>
      <c r="E129" s="0" t="str">
        <f aca="false">B129&amp;"|"&amp;C129&amp;"|"&amp;D129</f>
        <v>Karonga District [cPtvxaZqXIH]|25-34|Female</v>
      </c>
      <c r="F129" s="10"/>
      <c r="G129" s="88" t="str">
        <f aca="false">IF(SUM($F129)=0,"",0%)</f>
        <v/>
      </c>
      <c r="H129" s="39" t="str">
        <f aca="false">IF(SUM($F129)=0,"",ROUND($F129*(1+$G129),0))</f>
        <v/>
      </c>
    </row>
    <row r="130" customFormat="false" ht="15" hidden="false" customHeight="false" outlineLevel="0" collapsed="false">
      <c r="A130" s="0" t="str">
        <f aca="false">INDEX(Prioritization!$D:$D,MATCH($B130,Prioritization!$A:$A,0))</f>
        <v>INVALID</v>
      </c>
      <c r="B130" s="0" t="s">
        <v>205</v>
      </c>
      <c r="C130" s="0" t="s">
        <v>366</v>
      </c>
      <c r="D130" s="0" t="s">
        <v>48</v>
      </c>
      <c r="E130" s="0" t="str">
        <f aca="false">B130&amp;"|"&amp;C130&amp;"|"&amp;D130</f>
        <v>Karonga District [cPtvxaZqXIH]|25-34|Male</v>
      </c>
      <c r="F130" s="10"/>
      <c r="G130" s="88" t="str">
        <f aca="false">IF(SUM($F130)=0,"",0%)</f>
        <v/>
      </c>
      <c r="H130" s="39" t="str">
        <f aca="false">IF(SUM($F130)=0,"",ROUND($F130*(1+$G130),0))</f>
        <v/>
      </c>
    </row>
    <row r="131" customFormat="false" ht="15" hidden="false" customHeight="false" outlineLevel="0" collapsed="false">
      <c r="A131" s="0" t="str">
        <f aca="false">INDEX(Prioritization!$D:$D,MATCH($B131,Prioritization!$A:$A,0))</f>
        <v>INVALID</v>
      </c>
      <c r="B131" s="0" t="s">
        <v>205</v>
      </c>
      <c r="C131" s="0" t="s">
        <v>367</v>
      </c>
      <c r="D131" s="0" t="s">
        <v>30</v>
      </c>
      <c r="E131" s="0" t="str">
        <f aca="false">B131&amp;"|"&amp;C131&amp;"|"&amp;D131</f>
        <v>Karonga District [cPtvxaZqXIH]|35-49|Female</v>
      </c>
      <c r="F131" s="10"/>
      <c r="G131" s="88" t="str">
        <f aca="false">IF(SUM($F131)=0,"",0%)</f>
        <v/>
      </c>
      <c r="H131" s="39" t="str">
        <f aca="false">IF(SUM($F131)=0,"",ROUND($F131*(1+$G131),0))</f>
        <v/>
      </c>
    </row>
    <row r="132" customFormat="false" ht="15" hidden="false" customHeight="false" outlineLevel="0" collapsed="false">
      <c r="A132" s="0" t="str">
        <f aca="false">INDEX(Prioritization!$D:$D,MATCH($B132,Prioritization!$A:$A,0))</f>
        <v>INVALID</v>
      </c>
      <c r="B132" s="0" t="s">
        <v>205</v>
      </c>
      <c r="C132" s="0" t="s">
        <v>367</v>
      </c>
      <c r="D132" s="0" t="s">
        <v>48</v>
      </c>
      <c r="E132" s="0" t="str">
        <f aca="false">B132&amp;"|"&amp;C132&amp;"|"&amp;D132</f>
        <v>Karonga District [cPtvxaZqXIH]|35-49|Male</v>
      </c>
      <c r="F132" s="10"/>
      <c r="G132" s="88" t="str">
        <f aca="false">IF(SUM($F132)=0,"",0%)</f>
        <v/>
      </c>
      <c r="H132" s="39" t="str">
        <f aca="false">IF(SUM($F132)=0,"",ROUND($F132*(1+$G132),0))</f>
        <v/>
      </c>
    </row>
    <row r="133" customFormat="false" ht="15" hidden="false" customHeight="false" outlineLevel="0" collapsed="false">
      <c r="A133" s="0" t="str">
        <f aca="false">INDEX(Prioritization!$D:$D,MATCH($B133,Prioritization!$A:$A,0))</f>
        <v>INVALID</v>
      </c>
      <c r="B133" s="0" t="s">
        <v>205</v>
      </c>
      <c r="C133" s="0" t="s">
        <v>368</v>
      </c>
      <c r="D133" s="0" t="s">
        <v>30</v>
      </c>
      <c r="E133" s="0" t="str">
        <f aca="false">B133&amp;"|"&amp;C133&amp;"|"&amp;D133</f>
        <v>Karonga District [cPtvxaZqXIH]|50+|Female</v>
      </c>
      <c r="F133" s="10"/>
      <c r="G133" s="88" t="str">
        <f aca="false">IF(SUM($F133)=0,"",0%)</f>
        <v/>
      </c>
      <c r="H133" s="39" t="str">
        <f aca="false">IF(SUM($F133)=0,"",ROUND($F133*(1+$G133),0))</f>
        <v/>
      </c>
    </row>
    <row r="134" customFormat="false" ht="15" hidden="false" customHeight="false" outlineLevel="0" collapsed="false">
      <c r="A134" s="0" t="str">
        <f aca="false">INDEX(Prioritization!$D:$D,MATCH($B134,Prioritization!$A:$A,0))</f>
        <v>INVALID</v>
      </c>
      <c r="B134" s="0" t="s">
        <v>205</v>
      </c>
      <c r="C134" s="0" t="s">
        <v>368</v>
      </c>
      <c r="D134" s="0" t="s">
        <v>48</v>
      </c>
      <c r="E134" s="0" t="str">
        <f aca="false">B134&amp;"|"&amp;C134&amp;"|"&amp;D134</f>
        <v>Karonga District [cPtvxaZqXIH]|50+|Male</v>
      </c>
      <c r="F134" s="10"/>
      <c r="G134" s="88" t="str">
        <f aca="false">IF(SUM($F134)=0,"",0%)</f>
        <v/>
      </c>
      <c r="H134" s="39" t="str">
        <f aca="false">IF(SUM($F134)=0,"",ROUND($F134*(1+$G134),0))</f>
        <v/>
      </c>
    </row>
    <row r="135" customFormat="false" ht="15" hidden="false" customHeight="false" outlineLevel="0" collapsed="false">
      <c r="A135" s="0" t="str">
        <f aca="false">INDEX(Prioritization!$D:$D,MATCH($B135,Prioritization!$A:$A,0))</f>
        <v>INVALID</v>
      </c>
      <c r="B135" s="0" t="s">
        <v>206</v>
      </c>
      <c r="C135" s="0" t="s">
        <v>364</v>
      </c>
      <c r="D135" s="0" t="s">
        <v>30</v>
      </c>
      <c r="E135" s="0" t="str">
        <f aca="false">B135&amp;"|"&amp;C135&amp;"|"&amp;D135</f>
        <v>Likoma District [ZCjuwgaMB9u]|10-14|Female</v>
      </c>
      <c r="F135" s="10"/>
      <c r="G135" s="88" t="str">
        <f aca="false">IF(SUM($F135)=0,"",0%)</f>
        <v/>
      </c>
      <c r="H135" s="39" t="str">
        <f aca="false">IF(SUM($F135)=0,"",ROUND($F135*(1+$G135),0))</f>
        <v/>
      </c>
    </row>
    <row r="136" customFormat="false" ht="15" hidden="false" customHeight="false" outlineLevel="0" collapsed="false">
      <c r="A136" s="0" t="str">
        <f aca="false">INDEX(Prioritization!$D:$D,MATCH($B136,Prioritization!$A:$A,0))</f>
        <v>INVALID</v>
      </c>
      <c r="B136" s="0" t="s">
        <v>206</v>
      </c>
      <c r="C136" s="0" t="s">
        <v>364</v>
      </c>
      <c r="D136" s="0" t="s">
        <v>48</v>
      </c>
      <c r="E136" s="0" t="str">
        <f aca="false">B136&amp;"|"&amp;C136&amp;"|"&amp;D136</f>
        <v>Likoma District [ZCjuwgaMB9u]|10-14|Male</v>
      </c>
      <c r="F136" s="10"/>
      <c r="G136" s="88" t="str">
        <f aca="false">IF(SUM($F136)=0,"",0%)</f>
        <v/>
      </c>
      <c r="H136" s="39" t="str">
        <f aca="false">IF(SUM($F136)=0,"",ROUND($F136*(1+$G136),0))</f>
        <v/>
      </c>
    </row>
    <row r="137" customFormat="false" ht="15" hidden="false" customHeight="false" outlineLevel="0" collapsed="false">
      <c r="A137" s="0" t="str">
        <f aca="false">INDEX(Prioritization!$D:$D,MATCH($B137,Prioritization!$A:$A,0))</f>
        <v>INVALID</v>
      </c>
      <c r="B137" s="0" t="s">
        <v>206</v>
      </c>
      <c r="C137" s="0" t="s">
        <v>365</v>
      </c>
      <c r="D137" s="0" t="s">
        <v>30</v>
      </c>
      <c r="E137" s="0" t="str">
        <f aca="false">B137&amp;"|"&amp;C137&amp;"|"&amp;D137</f>
        <v>Likoma District [ZCjuwgaMB9u]|15-24|Female</v>
      </c>
      <c r="F137" s="10"/>
      <c r="G137" s="88" t="str">
        <f aca="false">IF(SUM($F137)=0,"",0%)</f>
        <v/>
      </c>
      <c r="H137" s="39" t="str">
        <f aca="false">IF(SUM($F137)=0,"",ROUND($F137*(1+$G137),0))</f>
        <v/>
      </c>
    </row>
    <row r="138" customFormat="false" ht="15" hidden="false" customHeight="false" outlineLevel="0" collapsed="false">
      <c r="A138" s="0" t="str">
        <f aca="false">INDEX(Prioritization!$D:$D,MATCH($B138,Prioritization!$A:$A,0))</f>
        <v>INVALID</v>
      </c>
      <c r="B138" s="0" t="s">
        <v>206</v>
      </c>
      <c r="C138" s="0" t="s">
        <v>365</v>
      </c>
      <c r="D138" s="0" t="s">
        <v>48</v>
      </c>
      <c r="E138" s="0" t="str">
        <f aca="false">B138&amp;"|"&amp;C138&amp;"|"&amp;D138</f>
        <v>Likoma District [ZCjuwgaMB9u]|15-24|Male</v>
      </c>
      <c r="F138" s="10"/>
      <c r="G138" s="88" t="str">
        <f aca="false">IF(SUM($F138)=0,"",0%)</f>
        <v/>
      </c>
      <c r="H138" s="39" t="str">
        <f aca="false">IF(SUM($F138)=0,"",ROUND($F138*(1+$G138),0))</f>
        <v/>
      </c>
    </row>
    <row r="139" customFormat="false" ht="15" hidden="false" customHeight="false" outlineLevel="0" collapsed="false">
      <c r="A139" s="0" t="str">
        <f aca="false">INDEX(Prioritization!$D:$D,MATCH($B139,Prioritization!$A:$A,0))</f>
        <v>INVALID</v>
      </c>
      <c r="B139" s="0" t="s">
        <v>206</v>
      </c>
      <c r="C139" s="0" t="s">
        <v>366</v>
      </c>
      <c r="D139" s="0" t="s">
        <v>30</v>
      </c>
      <c r="E139" s="0" t="str">
        <f aca="false">B139&amp;"|"&amp;C139&amp;"|"&amp;D139</f>
        <v>Likoma District [ZCjuwgaMB9u]|25-34|Female</v>
      </c>
      <c r="F139" s="10"/>
      <c r="G139" s="88" t="str">
        <f aca="false">IF(SUM($F139)=0,"",0%)</f>
        <v/>
      </c>
      <c r="H139" s="39" t="str">
        <f aca="false">IF(SUM($F139)=0,"",ROUND($F139*(1+$G139),0))</f>
        <v/>
      </c>
    </row>
    <row r="140" customFormat="false" ht="15" hidden="false" customHeight="false" outlineLevel="0" collapsed="false">
      <c r="A140" s="0" t="str">
        <f aca="false">INDEX(Prioritization!$D:$D,MATCH($B140,Prioritization!$A:$A,0))</f>
        <v>INVALID</v>
      </c>
      <c r="B140" s="0" t="s">
        <v>206</v>
      </c>
      <c r="C140" s="0" t="s">
        <v>366</v>
      </c>
      <c r="D140" s="0" t="s">
        <v>48</v>
      </c>
      <c r="E140" s="0" t="str">
        <f aca="false">B140&amp;"|"&amp;C140&amp;"|"&amp;D140</f>
        <v>Likoma District [ZCjuwgaMB9u]|25-34|Male</v>
      </c>
      <c r="F140" s="10"/>
      <c r="G140" s="88" t="str">
        <f aca="false">IF(SUM($F140)=0,"",0%)</f>
        <v/>
      </c>
      <c r="H140" s="39" t="str">
        <f aca="false">IF(SUM($F140)=0,"",ROUND($F140*(1+$G140),0))</f>
        <v/>
      </c>
    </row>
    <row r="141" customFormat="false" ht="15" hidden="false" customHeight="false" outlineLevel="0" collapsed="false">
      <c r="A141" s="0" t="str">
        <f aca="false">INDEX(Prioritization!$D:$D,MATCH($B141,Prioritization!$A:$A,0))</f>
        <v>INVALID</v>
      </c>
      <c r="B141" s="0" t="s">
        <v>206</v>
      </c>
      <c r="C141" s="0" t="s">
        <v>367</v>
      </c>
      <c r="D141" s="0" t="s">
        <v>30</v>
      </c>
      <c r="E141" s="0" t="str">
        <f aca="false">B141&amp;"|"&amp;C141&amp;"|"&amp;D141</f>
        <v>Likoma District [ZCjuwgaMB9u]|35-49|Female</v>
      </c>
      <c r="F141" s="10"/>
      <c r="G141" s="88" t="str">
        <f aca="false">IF(SUM($F141)=0,"",0%)</f>
        <v/>
      </c>
      <c r="H141" s="39" t="str">
        <f aca="false">IF(SUM($F141)=0,"",ROUND($F141*(1+$G141),0))</f>
        <v/>
      </c>
    </row>
    <row r="142" customFormat="false" ht="15" hidden="false" customHeight="false" outlineLevel="0" collapsed="false">
      <c r="A142" s="0" t="str">
        <f aca="false">INDEX(Prioritization!$D:$D,MATCH($B142,Prioritization!$A:$A,0))</f>
        <v>INVALID</v>
      </c>
      <c r="B142" s="0" t="s">
        <v>206</v>
      </c>
      <c r="C142" s="0" t="s">
        <v>367</v>
      </c>
      <c r="D142" s="0" t="s">
        <v>48</v>
      </c>
      <c r="E142" s="0" t="str">
        <f aca="false">B142&amp;"|"&amp;C142&amp;"|"&amp;D142</f>
        <v>Likoma District [ZCjuwgaMB9u]|35-49|Male</v>
      </c>
      <c r="F142" s="10"/>
      <c r="G142" s="88" t="str">
        <f aca="false">IF(SUM($F142)=0,"",0%)</f>
        <v/>
      </c>
      <c r="H142" s="39" t="str">
        <f aca="false">IF(SUM($F142)=0,"",ROUND($F142*(1+$G142),0))</f>
        <v/>
      </c>
    </row>
    <row r="143" customFormat="false" ht="15" hidden="false" customHeight="false" outlineLevel="0" collapsed="false">
      <c r="A143" s="0" t="str">
        <f aca="false">INDEX(Prioritization!$D:$D,MATCH($B143,Prioritization!$A:$A,0))</f>
        <v>INVALID</v>
      </c>
      <c r="B143" s="0" t="s">
        <v>206</v>
      </c>
      <c r="C143" s="0" t="s">
        <v>368</v>
      </c>
      <c r="D143" s="0" t="s">
        <v>30</v>
      </c>
      <c r="E143" s="0" t="str">
        <f aca="false">B143&amp;"|"&amp;C143&amp;"|"&amp;D143</f>
        <v>Likoma District [ZCjuwgaMB9u]|50+|Female</v>
      </c>
      <c r="F143" s="10"/>
      <c r="G143" s="88" t="str">
        <f aca="false">IF(SUM($F143)=0,"",0%)</f>
        <v/>
      </c>
      <c r="H143" s="39" t="str">
        <f aca="false">IF(SUM($F143)=0,"",ROUND($F143*(1+$G143),0))</f>
        <v/>
      </c>
    </row>
    <row r="144" customFormat="false" ht="15" hidden="false" customHeight="false" outlineLevel="0" collapsed="false">
      <c r="A144" s="0" t="str">
        <f aca="false">INDEX(Prioritization!$D:$D,MATCH($B144,Prioritization!$A:$A,0))</f>
        <v>INVALID</v>
      </c>
      <c r="B144" s="0" t="s">
        <v>206</v>
      </c>
      <c r="C144" s="0" t="s">
        <v>368</v>
      </c>
      <c r="D144" s="0" t="s">
        <v>48</v>
      </c>
      <c r="E144" s="0" t="str">
        <f aca="false">B144&amp;"|"&amp;C144&amp;"|"&amp;D144</f>
        <v>Likoma District [ZCjuwgaMB9u]|50+|Male</v>
      </c>
      <c r="F144" s="10"/>
      <c r="G144" s="88" t="str">
        <f aca="false">IF(SUM($F144)=0,"",0%)</f>
        <v/>
      </c>
      <c r="H144" s="39" t="str">
        <f aca="false">IF(SUM($F144)=0,"",ROUND($F144*(1+$G144),0))</f>
        <v/>
      </c>
    </row>
    <row r="145" customFormat="false" ht="15" hidden="false" customHeight="false" outlineLevel="0" collapsed="false">
      <c r="A145" s="0" t="str">
        <f aca="false">INDEX(Prioritization!$D:$D,MATCH($B145,Prioritization!$A:$A,0))</f>
        <v>1 - Scale-up: Saturation</v>
      </c>
      <c r="B145" s="0" t="s">
        <v>207</v>
      </c>
      <c r="C145" s="0" t="s">
        <v>364</v>
      </c>
      <c r="D145" s="0" t="s">
        <v>30</v>
      </c>
      <c r="E145" s="0" t="str">
        <f aca="false">B145&amp;"|"&amp;C145&amp;"|"&amp;D145</f>
        <v>Mzimba District [vA4NcHxfMBq]|10-14|Female</v>
      </c>
      <c r="F145" s="10"/>
      <c r="G145" s="88" t="str">
        <f aca="false">IF(SUM($F145)=0,"",0%)</f>
        <v/>
      </c>
      <c r="H145" s="39" t="str">
        <f aca="false">IF(SUM($F145)=0,"",ROUND($F145*(1+$G145),0))</f>
        <v/>
      </c>
    </row>
    <row r="146" customFormat="false" ht="15" hidden="false" customHeight="false" outlineLevel="0" collapsed="false">
      <c r="A146" s="0" t="str">
        <f aca="false">INDEX(Prioritization!$D:$D,MATCH($B146,Prioritization!$A:$A,0))</f>
        <v>1 - Scale-up: Saturation</v>
      </c>
      <c r="B146" s="0" t="s">
        <v>207</v>
      </c>
      <c r="C146" s="0" t="s">
        <v>364</v>
      </c>
      <c r="D146" s="0" t="s">
        <v>48</v>
      </c>
      <c r="E146" s="0" t="str">
        <f aca="false">B146&amp;"|"&amp;C146&amp;"|"&amp;D146</f>
        <v>Mzimba District [vA4NcHxfMBq]|10-14|Male</v>
      </c>
      <c r="F146" s="10"/>
      <c r="G146" s="88" t="str">
        <f aca="false">IF(SUM($F146)=0,"",0%)</f>
        <v/>
      </c>
      <c r="H146" s="39" t="str">
        <f aca="false">IF(SUM($F146)=0,"",ROUND($F146*(1+$G146),0))</f>
        <v/>
      </c>
    </row>
    <row r="147" customFormat="false" ht="15" hidden="false" customHeight="false" outlineLevel="0" collapsed="false">
      <c r="A147" s="0" t="str">
        <f aca="false">INDEX(Prioritization!$D:$D,MATCH($B147,Prioritization!$A:$A,0))</f>
        <v>1 - Scale-up: Saturation</v>
      </c>
      <c r="B147" s="0" t="s">
        <v>207</v>
      </c>
      <c r="C147" s="0" t="s">
        <v>365</v>
      </c>
      <c r="D147" s="0" t="s">
        <v>30</v>
      </c>
      <c r="E147" s="0" t="str">
        <f aca="false">B147&amp;"|"&amp;C147&amp;"|"&amp;D147</f>
        <v>Mzimba District [vA4NcHxfMBq]|15-24|Female</v>
      </c>
      <c r="F147" s="10"/>
      <c r="G147" s="88" t="str">
        <f aca="false">IF(SUM($F147)=0,"",0%)</f>
        <v/>
      </c>
      <c r="H147" s="39" t="str">
        <f aca="false">IF(SUM($F147)=0,"",ROUND($F147*(1+$G147),0))</f>
        <v/>
      </c>
    </row>
    <row r="148" customFormat="false" ht="15" hidden="false" customHeight="false" outlineLevel="0" collapsed="false">
      <c r="A148" s="0" t="str">
        <f aca="false">INDEX(Prioritization!$D:$D,MATCH($B148,Prioritization!$A:$A,0))</f>
        <v>1 - Scale-up: Saturation</v>
      </c>
      <c r="B148" s="0" t="s">
        <v>207</v>
      </c>
      <c r="C148" s="0" t="s">
        <v>365</v>
      </c>
      <c r="D148" s="0" t="s">
        <v>48</v>
      </c>
      <c r="E148" s="0" t="str">
        <f aca="false">B148&amp;"|"&amp;C148&amp;"|"&amp;D148</f>
        <v>Mzimba District [vA4NcHxfMBq]|15-24|Male</v>
      </c>
      <c r="F148" s="10"/>
      <c r="G148" s="88" t="str">
        <f aca="false">IF(SUM($F148)=0,"",0%)</f>
        <v/>
      </c>
      <c r="H148" s="39" t="str">
        <f aca="false">IF(SUM($F148)=0,"",ROUND($F148*(1+$G148),0))</f>
        <v/>
      </c>
    </row>
    <row r="149" customFormat="false" ht="15" hidden="false" customHeight="false" outlineLevel="0" collapsed="false">
      <c r="A149" s="0" t="str">
        <f aca="false">INDEX(Prioritization!$D:$D,MATCH($B149,Prioritization!$A:$A,0))</f>
        <v>1 - Scale-up: Saturation</v>
      </c>
      <c r="B149" s="0" t="s">
        <v>207</v>
      </c>
      <c r="C149" s="0" t="s">
        <v>366</v>
      </c>
      <c r="D149" s="0" t="s">
        <v>30</v>
      </c>
      <c r="E149" s="0" t="str">
        <f aca="false">B149&amp;"|"&amp;C149&amp;"|"&amp;D149</f>
        <v>Mzimba District [vA4NcHxfMBq]|25-34|Female</v>
      </c>
      <c r="F149" s="10"/>
      <c r="G149" s="88" t="str">
        <f aca="false">IF(SUM($F149)=0,"",0%)</f>
        <v/>
      </c>
      <c r="H149" s="39" t="str">
        <f aca="false">IF(SUM($F149)=0,"",ROUND($F149*(1+$G149),0))</f>
        <v/>
      </c>
    </row>
    <row r="150" customFormat="false" ht="15" hidden="false" customHeight="false" outlineLevel="0" collapsed="false">
      <c r="A150" s="0" t="str">
        <f aca="false">INDEX(Prioritization!$D:$D,MATCH($B150,Prioritization!$A:$A,0))</f>
        <v>1 - Scale-up: Saturation</v>
      </c>
      <c r="B150" s="0" t="s">
        <v>207</v>
      </c>
      <c r="C150" s="0" t="s">
        <v>366</v>
      </c>
      <c r="D150" s="0" t="s">
        <v>48</v>
      </c>
      <c r="E150" s="0" t="str">
        <f aca="false">B150&amp;"|"&amp;C150&amp;"|"&amp;D150</f>
        <v>Mzimba District [vA4NcHxfMBq]|25-34|Male</v>
      </c>
      <c r="F150" s="10"/>
      <c r="G150" s="88" t="str">
        <f aca="false">IF(SUM($F150)=0,"",0%)</f>
        <v/>
      </c>
      <c r="H150" s="39" t="str">
        <f aca="false">IF(SUM($F150)=0,"",ROUND($F150*(1+$G150),0))</f>
        <v/>
      </c>
    </row>
    <row r="151" customFormat="false" ht="15" hidden="false" customHeight="false" outlineLevel="0" collapsed="false">
      <c r="A151" s="0" t="str">
        <f aca="false">INDEX(Prioritization!$D:$D,MATCH($B151,Prioritization!$A:$A,0))</f>
        <v>1 - Scale-up: Saturation</v>
      </c>
      <c r="B151" s="0" t="s">
        <v>207</v>
      </c>
      <c r="C151" s="0" t="s">
        <v>367</v>
      </c>
      <c r="D151" s="0" t="s">
        <v>30</v>
      </c>
      <c r="E151" s="0" t="str">
        <f aca="false">B151&amp;"|"&amp;C151&amp;"|"&amp;D151</f>
        <v>Mzimba District [vA4NcHxfMBq]|35-49|Female</v>
      </c>
      <c r="F151" s="10"/>
      <c r="G151" s="88" t="str">
        <f aca="false">IF(SUM($F151)=0,"",0%)</f>
        <v/>
      </c>
      <c r="H151" s="39" t="str">
        <f aca="false">IF(SUM($F151)=0,"",ROUND($F151*(1+$G151),0))</f>
        <v/>
      </c>
    </row>
    <row r="152" customFormat="false" ht="15" hidden="false" customHeight="false" outlineLevel="0" collapsed="false">
      <c r="A152" s="0" t="str">
        <f aca="false">INDEX(Prioritization!$D:$D,MATCH($B152,Prioritization!$A:$A,0))</f>
        <v>1 - Scale-up: Saturation</v>
      </c>
      <c r="B152" s="0" t="s">
        <v>207</v>
      </c>
      <c r="C152" s="0" t="s">
        <v>367</v>
      </c>
      <c r="D152" s="0" t="s">
        <v>48</v>
      </c>
      <c r="E152" s="0" t="str">
        <f aca="false">B152&amp;"|"&amp;C152&amp;"|"&amp;D152</f>
        <v>Mzimba District [vA4NcHxfMBq]|35-49|Male</v>
      </c>
      <c r="F152" s="10"/>
      <c r="G152" s="88" t="str">
        <f aca="false">IF(SUM($F152)=0,"",0%)</f>
        <v/>
      </c>
      <c r="H152" s="39" t="str">
        <f aca="false">IF(SUM($F152)=0,"",ROUND($F152*(1+$G152),0))</f>
        <v/>
      </c>
    </row>
    <row r="153" customFormat="false" ht="15" hidden="false" customHeight="false" outlineLevel="0" collapsed="false">
      <c r="A153" s="0" t="str">
        <f aca="false">INDEX(Prioritization!$D:$D,MATCH($B153,Prioritization!$A:$A,0))</f>
        <v>1 - Scale-up: Saturation</v>
      </c>
      <c r="B153" s="0" t="s">
        <v>207</v>
      </c>
      <c r="C153" s="0" t="s">
        <v>368</v>
      </c>
      <c r="D153" s="0" t="s">
        <v>30</v>
      </c>
      <c r="E153" s="0" t="str">
        <f aca="false">B153&amp;"|"&amp;C153&amp;"|"&amp;D153</f>
        <v>Mzimba District [vA4NcHxfMBq]|50+|Female</v>
      </c>
      <c r="F153" s="10"/>
      <c r="G153" s="88" t="str">
        <f aca="false">IF(SUM($F153)=0,"",0%)</f>
        <v/>
      </c>
      <c r="H153" s="39" t="str">
        <f aca="false">IF(SUM($F153)=0,"",ROUND($F153*(1+$G153),0))</f>
        <v/>
      </c>
    </row>
    <row r="154" customFormat="false" ht="15" hidden="false" customHeight="false" outlineLevel="0" collapsed="false">
      <c r="A154" s="0" t="str">
        <f aca="false">INDEX(Prioritization!$D:$D,MATCH($B154,Prioritization!$A:$A,0))</f>
        <v>1 - Scale-up: Saturation</v>
      </c>
      <c r="B154" s="0" t="s">
        <v>207</v>
      </c>
      <c r="C154" s="0" t="s">
        <v>368</v>
      </c>
      <c r="D154" s="0" t="s">
        <v>48</v>
      </c>
      <c r="E154" s="0" t="str">
        <f aca="false">B154&amp;"|"&amp;C154&amp;"|"&amp;D154</f>
        <v>Mzimba District [vA4NcHxfMBq]|50+|Male</v>
      </c>
      <c r="F154" s="10"/>
      <c r="G154" s="88" t="str">
        <f aca="false">IF(SUM($F154)=0,"",0%)</f>
        <v/>
      </c>
      <c r="H154" s="39" t="str">
        <f aca="false">IF(SUM($F154)=0,"",ROUND($F154*(1+$G154),0))</f>
        <v/>
      </c>
    </row>
    <row r="155" customFormat="false" ht="15" hidden="false" customHeight="false" outlineLevel="0" collapsed="false">
      <c r="A155" s="0" t="str">
        <f aca="false">INDEX(Prioritization!$D:$D,MATCH($B155,Prioritization!$A:$A,0))</f>
        <v>INVALID</v>
      </c>
      <c r="B155" s="0" t="s">
        <v>208</v>
      </c>
      <c r="C155" s="0" t="s">
        <v>364</v>
      </c>
      <c r="D155" s="0" t="s">
        <v>30</v>
      </c>
      <c r="E155" s="0" t="str">
        <f aca="false">B155&amp;"|"&amp;C155&amp;"|"&amp;D155</f>
        <v>Nkhata Bay District [E7zpfyBt7Tw]|10-14|Female</v>
      </c>
      <c r="F155" s="10"/>
      <c r="G155" s="88" t="str">
        <f aca="false">IF(SUM($F155)=0,"",0%)</f>
        <v/>
      </c>
      <c r="H155" s="39" t="str">
        <f aca="false">IF(SUM($F155)=0,"",ROUND($F155*(1+$G155),0))</f>
        <v/>
      </c>
    </row>
    <row r="156" customFormat="false" ht="15" hidden="false" customHeight="false" outlineLevel="0" collapsed="false">
      <c r="A156" s="0" t="str">
        <f aca="false">INDEX(Prioritization!$D:$D,MATCH($B156,Prioritization!$A:$A,0))</f>
        <v>INVALID</v>
      </c>
      <c r="B156" s="0" t="s">
        <v>208</v>
      </c>
      <c r="C156" s="0" t="s">
        <v>364</v>
      </c>
      <c r="D156" s="0" t="s">
        <v>48</v>
      </c>
      <c r="E156" s="0" t="str">
        <f aca="false">B156&amp;"|"&amp;C156&amp;"|"&amp;D156</f>
        <v>Nkhata Bay District [E7zpfyBt7Tw]|10-14|Male</v>
      </c>
      <c r="F156" s="10"/>
      <c r="G156" s="88" t="str">
        <f aca="false">IF(SUM($F156)=0,"",0%)</f>
        <v/>
      </c>
      <c r="H156" s="39" t="str">
        <f aca="false">IF(SUM($F156)=0,"",ROUND($F156*(1+$G156),0))</f>
        <v/>
      </c>
    </row>
    <row r="157" customFormat="false" ht="15" hidden="false" customHeight="false" outlineLevel="0" collapsed="false">
      <c r="A157" s="0" t="str">
        <f aca="false">INDEX(Prioritization!$D:$D,MATCH($B157,Prioritization!$A:$A,0))</f>
        <v>INVALID</v>
      </c>
      <c r="B157" s="0" t="s">
        <v>208</v>
      </c>
      <c r="C157" s="0" t="s">
        <v>365</v>
      </c>
      <c r="D157" s="0" t="s">
        <v>30</v>
      </c>
      <c r="E157" s="0" t="str">
        <f aca="false">B157&amp;"|"&amp;C157&amp;"|"&amp;D157</f>
        <v>Nkhata Bay District [E7zpfyBt7Tw]|15-24|Female</v>
      </c>
      <c r="F157" s="10"/>
      <c r="G157" s="88" t="str">
        <f aca="false">IF(SUM($F157)=0,"",0%)</f>
        <v/>
      </c>
      <c r="H157" s="39" t="str">
        <f aca="false">IF(SUM($F157)=0,"",ROUND($F157*(1+$G157),0))</f>
        <v/>
      </c>
    </row>
    <row r="158" customFormat="false" ht="15" hidden="false" customHeight="false" outlineLevel="0" collapsed="false">
      <c r="A158" s="0" t="str">
        <f aca="false">INDEX(Prioritization!$D:$D,MATCH($B158,Prioritization!$A:$A,0))</f>
        <v>INVALID</v>
      </c>
      <c r="B158" s="0" t="s">
        <v>208</v>
      </c>
      <c r="C158" s="0" t="s">
        <v>365</v>
      </c>
      <c r="D158" s="0" t="s">
        <v>48</v>
      </c>
      <c r="E158" s="0" t="str">
        <f aca="false">B158&amp;"|"&amp;C158&amp;"|"&amp;D158</f>
        <v>Nkhata Bay District [E7zpfyBt7Tw]|15-24|Male</v>
      </c>
      <c r="F158" s="10"/>
      <c r="G158" s="88" t="str">
        <f aca="false">IF(SUM($F158)=0,"",0%)</f>
        <v/>
      </c>
      <c r="H158" s="39" t="str">
        <f aca="false">IF(SUM($F158)=0,"",ROUND($F158*(1+$G158),0))</f>
        <v/>
      </c>
    </row>
    <row r="159" customFormat="false" ht="15" hidden="false" customHeight="false" outlineLevel="0" collapsed="false">
      <c r="A159" s="0" t="str">
        <f aca="false">INDEX(Prioritization!$D:$D,MATCH($B159,Prioritization!$A:$A,0))</f>
        <v>INVALID</v>
      </c>
      <c r="B159" s="0" t="s">
        <v>208</v>
      </c>
      <c r="C159" s="0" t="s">
        <v>366</v>
      </c>
      <c r="D159" s="0" t="s">
        <v>30</v>
      </c>
      <c r="E159" s="0" t="str">
        <f aca="false">B159&amp;"|"&amp;C159&amp;"|"&amp;D159</f>
        <v>Nkhata Bay District [E7zpfyBt7Tw]|25-34|Female</v>
      </c>
      <c r="F159" s="10"/>
      <c r="G159" s="88" t="str">
        <f aca="false">IF(SUM($F159)=0,"",0%)</f>
        <v/>
      </c>
      <c r="H159" s="39" t="str">
        <f aca="false">IF(SUM($F159)=0,"",ROUND($F159*(1+$G159),0))</f>
        <v/>
      </c>
    </row>
    <row r="160" customFormat="false" ht="15" hidden="false" customHeight="false" outlineLevel="0" collapsed="false">
      <c r="A160" s="0" t="str">
        <f aca="false">INDEX(Prioritization!$D:$D,MATCH($B160,Prioritization!$A:$A,0))</f>
        <v>INVALID</v>
      </c>
      <c r="B160" s="0" t="s">
        <v>208</v>
      </c>
      <c r="C160" s="0" t="s">
        <v>366</v>
      </c>
      <c r="D160" s="0" t="s">
        <v>48</v>
      </c>
      <c r="E160" s="0" t="str">
        <f aca="false">B160&amp;"|"&amp;C160&amp;"|"&amp;D160</f>
        <v>Nkhata Bay District [E7zpfyBt7Tw]|25-34|Male</v>
      </c>
      <c r="F160" s="10"/>
      <c r="G160" s="88" t="str">
        <f aca="false">IF(SUM($F160)=0,"",0%)</f>
        <v/>
      </c>
      <c r="H160" s="39" t="str">
        <f aca="false">IF(SUM($F160)=0,"",ROUND($F160*(1+$G160),0))</f>
        <v/>
      </c>
    </row>
    <row r="161" customFormat="false" ht="15" hidden="false" customHeight="false" outlineLevel="0" collapsed="false">
      <c r="A161" s="0" t="str">
        <f aca="false">INDEX(Prioritization!$D:$D,MATCH($B161,Prioritization!$A:$A,0))</f>
        <v>INVALID</v>
      </c>
      <c r="B161" s="0" t="s">
        <v>208</v>
      </c>
      <c r="C161" s="0" t="s">
        <v>367</v>
      </c>
      <c r="D161" s="0" t="s">
        <v>30</v>
      </c>
      <c r="E161" s="0" t="str">
        <f aca="false">B161&amp;"|"&amp;C161&amp;"|"&amp;D161</f>
        <v>Nkhata Bay District [E7zpfyBt7Tw]|35-49|Female</v>
      </c>
      <c r="F161" s="10"/>
      <c r="G161" s="88" t="str">
        <f aca="false">IF(SUM($F161)=0,"",0%)</f>
        <v/>
      </c>
      <c r="H161" s="39" t="str">
        <f aca="false">IF(SUM($F161)=0,"",ROUND($F161*(1+$G161),0))</f>
        <v/>
      </c>
    </row>
    <row r="162" customFormat="false" ht="15" hidden="false" customHeight="false" outlineLevel="0" collapsed="false">
      <c r="A162" s="0" t="str">
        <f aca="false">INDEX(Prioritization!$D:$D,MATCH($B162,Prioritization!$A:$A,0))</f>
        <v>INVALID</v>
      </c>
      <c r="B162" s="0" t="s">
        <v>208</v>
      </c>
      <c r="C162" s="0" t="s">
        <v>367</v>
      </c>
      <c r="D162" s="0" t="s">
        <v>48</v>
      </c>
      <c r="E162" s="0" t="str">
        <f aca="false">B162&amp;"|"&amp;C162&amp;"|"&amp;D162</f>
        <v>Nkhata Bay District [E7zpfyBt7Tw]|35-49|Male</v>
      </c>
      <c r="F162" s="10"/>
      <c r="G162" s="88" t="str">
        <f aca="false">IF(SUM($F162)=0,"",0%)</f>
        <v/>
      </c>
      <c r="H162" s="39" t="str">
        <f aca="false">IF(SUM($F162)=0,"",ROUND($F162*(1+$G162),0))</f>
        <v/>
      </c>
    </row>
    <row r="163" customFormat="false" ht="15" hidden="false" customHeight="false" outlineLevel="0" collapsed="false">
      <c r="A163" s="0" t="str">
        <f aca="false">INDEX(Prioritization!$D:$D,MATCH($B163,Prioritization!$A:$A,0))</f>
        <v>INVALID</v>
      </c>
      <c r="B163" s="0" t="s">
        <v>208</v>
      </c>
      <c r="C163" s="0" t="s">
        <v>368</v>
      </c>
      <c r="D163" s="0" t="s">
        <v>30</v>
      </c>
      <c r="E163" s="0" t="str">
        <f aca="false">B163&amp;"|"&amp;C163&amp;"|"&amp;D163</f>
        <v>Nkhata Bay District [E7zpfyBt7Tw]|50+|Female</v>
      </c>
      <c r="F163" s="10"/>
      <c r="G163" s="88" t="str">
        <f aca="false">IF(SUM($F163)=0,"",0%)</f>
        <v/>
      </c>
      <c r="H163" s="39" t="str">
        <f aca="false">IF(SUM($F163)=0,"",ROUND($F163*(1+$G163),0))</f>
        <v/>
      </c>
    </row>
    <row r="164" customFormat="false" ht="15" hidden="false" customHeight="false" outlineLevel="0" collapsed="false">
      <c r="A164" s="0" t="str">
        <f aca="false">INDEX(Prioritization!$D:$D,MATCH($B164,Prioritization!$A:$A,0))</f>
        <v>INVALID</v>
      </c>
      <c r="B164" s="0" t="s">
        <v>208</v>
      </c>
      <c r="C164" s="0" t="s">
        <v>368</v>
      </c>
      <c r="D164" s="0" t="s">
        <v>48</v>
      </c>
      <c r="E164" s="0" t="str">
        <f aca="false">B164&amp;"|"&amp;C164&amp;"|"&amp;D164</f>
        <v>Nkhata Bay District [E7zpfyBt7Tw]|50+|Male</v>
      </c>
      <c r="F164" s="10"/>
      <c r="G164" s="88" t="str">
        <f aca="false">IF(SUM($F164)=0,"",0%)</f>
        <v/>
      </c>
      <c r="H164" s="39" t="str">
        <f aca="false">IF(SUM($F164)=0,"",ROUND($F164*(1+$G164),0))</f>
        <v/>
      </c>
    </row>
    <row r="165" customFormat="false" ht="15" hidden="false" customHeight="false" outlineLevel="0" collapsed="false">
      <c r="A165" s="0" t="str">
        <f aca="false">INDEX(Prioritization!$D:$D,MATCH($B165,Prioritization!$A:$A,0))</f>
        <v>INVALID</v>
      </c>
      <c r="B165" s="0" t="s">
        <v>209</v>
      </c>
      <c r="C165" s="0" t="s">
        <v>364</v>
      </c>
      <c r="D165" s="0" t="s">
        <v>30</v>
      </c>
      <c r="E165" s="0" t="str">
        <f aca="false">B165&amp;"|"&amp;C165&amp;"|"&amp;D165</f>
        <v>Rumphi District [lPTyjLi4w3d]|10-14|Female</v>
      </c>
      <c r="F165" s="10"/>
      <c r="G165" s="88" t="str">
        <f aca="false">IF(SUM($F165)=0,"",0%)</f>
        <v/>
      </c>
      <c r="H165" s="39" t="str">
        <f aca="false">IF(SUM($F165)=0,"",ROUND($F165*(1+$G165),0))</f>
        <v/>
      </c>
    </row>
    <row r="166" customFormat="false" ht="15" hidden="false" customHeight="false" outlineLevel="0" collapsed="false">
      <c r="A166" s="0" t="str">
        <f aca="false">INDEX(Prioritization!$D:$D,MATCH($B166,Prioritization!$A:$A,0))</f>
        <v>INVALID</v>
      </c>
      <c r="B166" s="0" t="s">
        <v>209</v>
      </c>
      <c r="C166" s="0" t="s">
        <v>364</v>
      </c>
      <c r="D166" s="0" t="s">
        <v>48</v>
      </c>
      <c r="E166" s="0" t="str">
        <f aca="false">B166&amp;"|"&amp;C166&amp;"|"&amp;D166</f>
        <v>Rumphi District [lPTyjLi4w3d]|10-14|Male</v>
      </c>
      <c r="F166" s="10"/>
      <c r="G166" s="88" t="str">
        <f aca="false">IF(SUM($F166)=0,"",0%)</f>
        <v/>
      </c>
      <c r="H166" s="39" t="str">
        <f aca="false">IF(SUM($F166)=0,"",ROUND($F166*(1+$G166),0))</f>
        <v/>
      </c>
    </row>
    <row r="167" customFormat="false" ht="15" hidden="false" customHeight="false" outlineLevel="0" collapsed="false">
      <c r="A167" s="0" t="str">
        <f aca="false">INDEX(Prioritization!$D:$D,MATCH($B167,Prioritization!$A:$A,0))</f>
        <v>INVALID</v>
      </c>
      <c r="B167" s="0" t="s">
        <v>209</v>
      </c>
      <c r="C167" s="0" t="s">
        <v>365</v>
      </c>
      <c r="D167" s="0" t="s">
        <v>30</v>
      </c>
      <c r="E167" s="0" t="str">
        <f aca="false">B167&amp;"|"&amp;C167&amp;"|"&amp;D167</f>
        <v>Rumphi District [lPTyjLi4w3d]|15-24|Female</v>
      </c>
      <c r="F167" s="10"/>
      <c r="G167" s="88" t="str">
        <f aca="false">IF(SUM($F167)=0,"",0%)</f>
        <v/>
      </c>
      <c r="H167" s="39" t="str">
        <f aca="false">IF(SUM($F167)=0,"",ROUND($F167*(1+$G167),0))</f>
        <v/>
      </c>
    </row>
    <row r="168" customFormat="false" ht="15" hidden="false" customHeight="false" outlineLevel="0" collapsed="false">
      <c r="A168" s="0" t="str">
        <f aca="false">INDEX(Prioritization!$D:$D,MATCH($B168,Prioritization!$A:$A,0))</f>
        <v>INVALID</v>
      </c>
      <c r="B168" s="0" t="s">
        <v>209</v>
      </c>
      <c r="C168" s="0" t="s">
        <v>365</v>
      </c>
      <c r="D168" s="0" t="s">
        <v>48</v>
      </c>
      <c r="E168" s="0" t="str">
        <f aca="false">B168&amp;"|"&amp;C168&amp;"|"&amp;D168</f>
        <v>Rumphi District [lPTyjLi4w3d]|15-24|Male</v>
      </c>
      <c r="F168" s="10"/>
      <c r="G168" s="88" t="str">
        <f aca="false">IF(SUM($F168)=0,"",0%)</f>
        <v/>
      </c>
      <c r="H168" s="39" t="str">
        <f aca="false">IF(SUM($F168)=0,"",ROUND($F168*(1+$G168),0))</f>
        <v/>
      </c>
    </row>
    <row r="169" customFormat="false" ht="15" hidden="false" customHeight="false" outlineLevel="0" collapsed="false">
      <c r="A169" s="0" t="str">
        <f aca="false">INDEX(Prioritization!$D:$D,MATCH($B169,Prioritization!$A:$A,0))</f>
        <v>INVALID</v>
      </c>
      <c r="B169" s="0" t="s">
        <v>209</v>
      </c>
      <c r="C169" s="0" t="s">
        <v>366</v>
      </c>
      <c r="D169" s="0" t="s">
        <v>30</v>
      </c>
      <c r="E169" s="0" t="str">
        <f aca="false">B169&amp;"|"&amp;C169&amp;"|"&amp;D169</f>
        <v>Rumphi District [lPTyjLi4w3d]|25-34|Female</v>
      </c>
      <c r="F169" s="10"/>
      <c r="G169" s="88" t="str">
        <f aca="false">IF(SUM($F169)=0,"",0%)</f>
        <v/>
      </c>
      <c r="H169" s="39" t="str">
        <f aca="false">IF(SUM($F169)=0,"",ROUND($F169*(1+$G169),0))</f>
        <v/>
      </c>
    </row>
    <row r="170" customFormat="false" ht="15" hidden="false" customHeight="false" outlineLevel="0" collapsed="false">
      <c r="A170" s="0" t="str">
        <f aca="false">INDEX(Prioritization!$D:$D,MATCH($B170,Prioritization!$A:$A,0))</f>
        <v>INVALID</v>
      </c>
      <c r="B170" s="0" t="s">
        <v>209</v>
      </c>
      <c r="C170" s="0" t="s">
        <v>366</v>
      </c>
      <c r="D170" s="0" t="s">
        <v>48</v>
      </c>
      <c r="E170" s="0" t="str">
        <f aca="false">B170&amp;"|"&amp;C170&amp;"|"&amp;D170</f>
        <v>Rumphi District [lPTyjLi4w3d]|25-34|Male</v>
      </c>
      <c r="F170" s="10"/>
      <c r="G170" s="88" t="str">
        <f aca="false">IF(SUM($F170)=0,"",0%)</f>
        <v/>
      </c>
      <c r="H170" s="39" t="str">
        <f aca="false">IF(SUM($F170)=0,"",ROUND($F170*(1+$G170),0))</f>
        <v/>
      </c>
    </row>
    <row r="171" customFormat="false" ht="15" hidden="false" customHeight="false" outlineLevel="0" collapsed="false">
      <c r="A171" s="0" t="str">
        <f aca="false">INDEX(Prioritization!$D:$D,MATCH($B171,Prioritization!$A:$A,0))</f>
        <v>INVALID</v>
      </c>
      <c r="B171" s="0" t="s">
        <v>209</v>
      </c>
      <c r="C171" s="0" t="s">
        <v>367</v>
      </c>
      <c r="D171" s="0" t="s">
        <v>30</v>
      </c>
      <c r="E171" s="0" t="str">
        <f aca="false">B171&amp;"|"&amp;C171&amp;"|"&amp;D171</f>
        <v>Rumphi District [lPTyjLi4w3d]|35-49|Female</v>
      </c>
      <c r="F171" s="10"/>
      <c r="G171" s="88" t="str">
        <f aca="false">IF(SUM($F171)=0,"",0%)</f>
        <v/>
      </c>
      <c r="H171" s="39" t="str">
        <f aca="false">IF(SUM($F171)=0,"",ROUND($F171*(1+$G171),0))</f>
        <v/>
      </c>
    </row>
    <row r="172" customFormat="false" ht="15" hidden="false" customHeight="false" outlineLevel="0" collapsed="false">
      <c r="A172" s="0" t="str">
        <f aca="false">INDEX(Prioritization!$D:$D,MATCH($B172,Prioritization!$A:$A,0))</f>
        <v>INVALID</v>
      </c>
      <c r="B172" s="0" t="s">
        <v>209</v>
      </c>
      <c r="C172" s="0" t="s">
        <v>367</v>
      </c>
      <c r="D172" s="0" t="s">
        <v>48</v>
      </c>
      <c r="E172" s="0" t="str">
        <f aca="false">B172&amp;"|"&amp;C172&amp;"|"&amp;D172</f>
        <v>Rumphi District [lPTyjLi4w3d]|35-49|Male</v>
      </c>
      <c r="F172" s="10"/>
      <c r="G172" s="88" t="str">
        <f aca="false">IF(SUM($F172)=0,"",0%)</f>
        <v/>
      </c>
      <c r="H172" s="39" t="str">
        <f aca="false">IF(SUM($F172)=0,"",ROUND($F172*(1+$G172),0))</f>
        <v/>
      </c>
    </row>
    <row r="173" customFormat="false" ht="15" hidden="false" customHeight="false" outlineLevel="0" collapsed="false">
      <c r="A173" s="0" t="str">
        <f aca="false">INDEX(Prioritization!$D:$D,MATCH($B173,Prioritization!$A:$A,0))</f>
        <v>INVALID</v>
      </c>
      <c r="B173" s="0" t="s">
        <v>209</v>
      </c>
      <c r="C173" s="0" t="s">
        <v>368</v>
      </c>
      <c r="D173" s="0" t="s">
        <v>30</v>
      </c>
      <c r="E173" s="0" t="str">
        <f aca="false">B173&amp;"|"&amp;C173&amp;"|"&amp;D173</f>
        <v>Rumphi District [lPTyjLi4w3d]|50+|Female</v>
      </c>
      <c r="F173" s="10"/>
      <c r="G173" s="88" t="str">
        <f aca="false">IF(SUM($F173)=0,"",0%)</f>
        <v/>
      </c>
      <c r="H173" s="39" t="str">
        <f aca="false">IF(SUM($F173)=0,"",ROUND($F173*(1+$G173),0))</f>
        <v/>
      </c>
    </row>
    <row r="174" customFormat="false" ht="15" hidden="false" customHeight="false" outlineLevel="0" collapsed="false">
      <c r="A174" s="0" t="str">
        <f aca="false">INDEX(Prioritization!$D:$D,MATCH($B174,Prioritization!$A:$A,0))</f>
        <v>INVALID</v>
      </c>
      <c r="B174" s="0" t="s">
        <v>209</v>
      </c>
      <c r="C174" s="0" t="s">
        <v>368</v>
      </c>
      <c r="D174" s="0" t="s">
        <v>48</v>
      </c>
      <c r="E174" s="0" t="str">
        <f aca="false">B174&amp;"|"&amp;C174&amp;"|"&amp;D174</f>
        <v>Rumphi District [lPTyjLi4w3d]|50+|Male</v>
      </c>
      <c r="F174" s="10"/>
      <c r="G174" s="88" t="str">
        <f aca="false">IF(SUM($F174)=0,"",0%)</f>
        <v/>
      </c>
      <c r="H174" s="39" t="str">
        <f aca="false">IF(SUM($F174)=0,"",ROUND($F174*(1+$G174),0))</f>
        <v/>
      </c>
    </row>
    <row r="175" customFormat="false" ht="15" hidden="false" customHeight="false" outlineLevel="0" collapsed="false">
      <c r="A175" s="0" t="str">
        <f aca="false">INDEX(Prioritization!$D:$D,MATCH($B175,Prioritization!$A:$A,0))</f>
        <v>1 - Scale-up: Saturation</v>
      </c>
      <c r="B175" s="0" t="s">
        <v>210</v>
      </c>
      <c r="C175" s="0" t="s">
        <v>364</v>
      </c>
      <c r="D175" s="0" t="s">
        <v>30</v>
      </c>
      <c r="E175" s="0" t="str">
        <f aca="false">B175&amp;"|"&amp;C175&amp;"|"&amp;D175</f>
        <v>Balaka District [ir8wuHHzoSs]|10-14|Female</v>
      </c>
      <c r="F175" s="10"/>
      <c r="G175" s="88" t="str">
        <f aca="false">IF(SUM($F175)=0,"",0%)</f>
        <v/>
      </c>
      <c r="H175" s="39" t="str">
        <f aca="false">IF(SUM($F175)=0,"",ROUND($F175*(1+$G175),0))</f>
        <v/>
      </c>
    </row>
    <row r="176" customFormat="false" ht="15" hidden="false" customHeight="false" outlineLevel="0" collapsed="false">
      <c r="A176" s="0" t="str">
        <f aca="false">INDEX(Prioritization!$D:$D,MATCH($B176,Prioritization!$A:$A,0))</f>
        <v>1 - Scale-up: Saturation</v>
      </c>
      <c r="B176" s="0" t="s">
        <v>210</v>
      </c>
      <c r="C176" s="0" t="s">
        <v>364</v>
      </c>
      <c r="D176" s="0" t="s">
        <v>48</v>
      </c>
      <c r="E176" s="0" t="str">
        <f aca="false">B176&amp;"|"&amp;C176&amp;"|"&amp;D176</f>
        <v>Balaka District [ir8wuHHzoSs]|10-14|Male</v>
      </c>
      <c r="F176" s="10"/>
      <c r="G176" s="88" t="str">
        <f aca="false">IF(SUM($F176)=0,"",0%)</f>
        <v/>
      </c>
      <c r="H176" s="39" t="str">
        <f aca="false">IF(SUM($F176)=0,"",ROUND($F176*(1+$G176),0))</f>
        <v/>
      </c>
    </row>
    <row r="177" customFormat="false" ht="15" hidden="false" customHeight="false" outlineLevel="0" collapsed="false">
      <c r="A177" s="0" t="str">
        <f aca="false">INDEX(Prioritization!$D:$D,MATCH($B177,Prioritization!$A:$A,0))</f>
        <v>1 - Scale-up: Saturation</v>
      </c>
      <c r="B177" s="0" t="s">
        <v>210</v>
      </c>
      <c r="C177" s="0" t="s">
        <v>365</v>
      </c>
      <c r="D177" s="0" t="s">
        <v>30</v>
      </c>
      <c r="E177" s="0" t="str">
        <f aca="false">B177&amp;"|"&amp;C177&amp;"|"&amp;D177</f>
        <v>Balaka District [ir8wuHHzoSs]|15-24|Female</v>
      </c>
      <c r="F177" s="10"/>
      <c r="G177" s="88" t="str">
        <f aca="false">IF(SUM($F177)=0,"",0%)</f>
        <v/>
      </c>
      <c r="H177" s="39" t="str">
        <f aca="false">IF(SUM($F177)=0,"",ROUND($F177*(1+$G177),0))</f>
        <v/>
      </c>
    </row>
    <row r="178" customFormat="false" ht="15" hidden="false" customHeight="false" outlineLevel="0" collapsed="false">
      <c r="A178" s="0" t="str">
        <f aca="false">INDEX(Prioritization!$D:$D,MATCH($B178,Prioritization!$A:$A,0))</f>
        <v>1 - Scale-up: Saturation</v>
      </c>
      <c r="B178" s="0" t="s">
        <v>210</v>
      </c>
      <c r="C178" s="0" t="s">
        <v>365</v>
      </c>
      <c r="D178" s="0" t="s">
        <v>48</v>
      </c>
      <c r="E178" s="0" t="str">
        <f aca="false">B178&amp;"|"&amp;C178&amp;"|"&amp;D178</f>
        <v>Balaka District [ir8wuHHzoSs]|15-24|Male</v>
      </c>
      <c r="F178" s="10"/>
      <c r="G178" s="88" t="str">
        <f aca="false">IF(SUM($F178)=0,"",0%)</f>
        <v/>
      </c>
      <c r="H178" s="39" t="str">
        <f aca="false">IF(SUM($F178)=0,"",ROUND($F178*(1+$G178),0))</f>
        <v/>
      </c>
    </row>
    <row r="179" customFormat="false" ht="15" hidden="false" customHeight="false" outlineLevel="0" collapsed="false">
      <c r="A179" s="0" t="str">
        <f aca="false">INDEX(Prioritization!$D:$D,MATCH($B179,Prioritization!$A:$A,0))</f>
        <v>1 - Scale-up: Saturation</v>
      </c>
      <c r="B179" s="0" t="s">
        <v>210</v>
      </c>
      <c r="C179" s="0" t="s">
        <v>366</v>
      </c>
      <c r="D179" s="0" t="s">
        <v>30</v>
      </c>
      <c r="E179" s="0" t="str">
        <f aca="false">B179&amp;"|"&amp;C179&amp;"|"&amp;D179</f>
        <v>Balaka District [ir8wuHHzoSs]|25-34|Female</v>
      </c>
      <c r="F179" s="10"/>
      <c r="G179" s="88" t="str">
        <f aca="false">IF(SUM($F179)=0,"",0%)</f>
        <v/>
      </c>
      <c r="H179" s="39" t="str">
        <f aca="false">IF(SUM($F179)=0,"",ROUND($F179*(1+$G179),0))</f>
        <v/>
      </c>
    </row>
    <row r="180" customFormat="false" ht="15" hidden="false" customHeight="false" outlineLevel="0" collapsed="false">
      <c r="A180" s="0" t="str">
        <f aca="false">INDEX(Prioritization!$D:$D,MATCH($B180,Prioritization!$A:$A,0))</f>
        <v>1 - Scale-up: Saturation</v>
      </c>
      <c r="B180" s="0" t="s">
        <v>210</v>
      </c>
      <c r="C180" s="0" t="s">
        <v>366</v>
      </c>
      <c r="D180" s="0" t="s">
        <v>48</v>
      </c>
      <c r="E180" s="0" t="str">
        <f aca="false">B180&amp;"|"&amp;C180&amp;"|"&amp;D180</f>
        <v>Balaka District [ir8wuHHzoSs]|25-34|Male</v>
      </c>
      <c r="F180" s="10"/>
      <c r="G180" s="88" t="str">
        <f aca="false">IF(SUM($F180)=0,"",0%)</f>
        <v/>
      </c>
      <c r="H180" s="39" t="str">
        <f aca="false">IF(SUM($F180)=0,"",ROUND($F180*(1+$G180),0))</f>
        <v/>
      </c>
    </row>
    <row r="181" customFormat="false" ht="15" hidden="false" customHeight="false" outlineLevel="0" collapsed="false">
      <c r="A181" s="0" t="str">
        <f aca="false">INDEX(Prioritization!$D:$D,MATCH($B181,Prioritization!$A:$A,0))</f>
        <v>1 - Scale-up: Saturation</v>
      </c>
      <c r="B181" s="0" t="s">
        <v>210</v>
      </c>
      <c r="C181" s="0" t="s">
        <v>367</v>
      </c>
      <c r="D181" s="0" t="s">
        <v>30</v>
      </c>
      <c r="E181" s="0" t="str">
        <f aca="false">B181&amp;"|"&amp;C181&amp;"|"&amp;D181</f>
        <v>Balaka District [ir8wuHHzoSs]|35-49|Female</v>
      </c>
      <c r="F181" s="10"/>
      <c r="G181" s="88" t="str">
        <f aca="false">IF(SUM($F181)=0,"",0%)</f>
        <v/>
      </c>
      <c r="H181" s="39" t="str">
        <f aca="false">IF(SUM($F181)=0,"",ROUND($F181*(1+$G181),0))</f>
        <v/>
      </c>
    </row>
    <row r="182" customFormat="false" ht="15" hidden="false" customHeight="false" outlineLevel="0" collapsed="false">
      <c r="A182" s="0" t="str">
        <f aca="false">INDEX(Prioritization!$D:$D,MATCH($B182,Prioritization!$A:$A,0))</f>
        <v>1 - Scale-up: Saturation</v>
      </c>
      <c r="B182" s="0" t="s">
        <v>210</v>
      </c>
      <c r="C182" s="0" t="s">
        <v>367</v>
      </c>
      <c r="D182" s="0" t="s">
        <v>48</v>
      </c>
      <c r="E182" s="0" t="str">
        <f aca="false">B182&amp;"|"&amp;C182&amp;"|"&amp;D182</f>
        <v>Balaka District [ir8wuHHzoSs]|35-49|Male</v>
      </c>
      <c r="F182" s="10"/>
      <c r="G182" s="88" t="str">
        <f aca="false">IF(SUM($F182)=0,"",0%)</f>
        <v/>
      </c>
      <c r="H182" s="39" t="str">
        <f aca="false">IF(SUM($F182)=0,"",ROUND($F182*(1+$G182),0))</f>
        <v/>
      </c>
    </row>
    <row r="183" customFormat="false" ht="15" hidden="false" customHeight="false" outlineLevel="0" collapsed="false">
      <c r="A183" s="0" t="str">
        <f aca="false">INDEX(Prioritization!$D:$D,MATCH($B183,Prioritization!$A:$A,0))</f>
        <v>1 - Scale-up: Saturation</v>
      </c>
      <c r="B183" s="0" t="s">
        <v>210</v>
      </c>
      <c r="C183" s="0" t="s">
        <v>368</v>
      </c>
      <c r="D183" s="0" t="s">
        <v>30</v>
      </c>
      <c r="E183" s="0" t="str">
        <f aca="false">B183&amp;"|"&amp;C183&amp;"|"&amp;D183</f>
        <v>Balaka District [ir8wuHHzoSs]|50+|Female</v>
      </c>
      <c r="F183" s="10"/>
      <c r="G183" s="88" t="str">
        <f aca="false">IF(SUM($F183)=0,"",0%)</f>
        <v/>
      </c>
      <c r="H183" s="39" t="str">
        <f aca="false">IF(SUM($F183)=0,"",ROUND($F183*(1+$G183),0))</f>
        <v/>
      </c>
    </row>
    <row r="184" customFormat="false" ht="15" hidden="false" customHeight="false" outlineLevel="0" collapsed="false">
      <c r="A184" s="0" t="str">
        <f aca="false">INDEX(Prioritization!$D:$D,MATCH($B184,Prioritization!$A:$A,0))</f>
        <v>1 - Scale-up: Saturation</v>
      </c>
      <c r="B184" s="0" t="s">
        <v>210</v>
      </c>
      <c r="C184" s="0" t="s">
        <v>368</v>
      </c>
      <c r="D184" s="0" t="s">
        <v>48</v>
      </c>
      <c r="E184" s="0" t="str">
        <f aca="false">B184&amp;"|"&amp;C184&amp;"|"&amp;D184</f>
        <v>Balaka District [ir8wuHHzoSs]|50+|Male</v>
      </c>
      <c r="F184" s="10"/>
      <c r="G184" s="88" t="str">
        <f aca="false">IF(SUM($F184)=0,"",0%)</f>
        <v/>
      </c>
      <c r="H184" s="39" t="str">
        <f aca="false">IF(SUM($F184)=0,"",ROUND($F184*(1+$G184),0))</f>
        <v/>
      </c>
    </row>
    <row r="185" customFormat="false" ht="15" hidden="false" customHeight="false" outlineLevel="0" collapsed="false">
      <c r="A185" s="0" t="str">
        <f aca="false">INDEX(Prioritization!$D:$D,MATCH($B185,Prioritization!$A:$A,0))</f>
        <v>1 - Scale-up: Saturation</v>
      </c>
      <c r="B185" s="0" t="s">
        <v>211</v>
      </c>
      <c r="C185" s="0" t="s">
        <v>364</v>
      </c>
      <c r="D185" s="0" t="s">
        <v>30</v>
      </c>
      <c r="E185" s="0" t="str">
        <f aca="false">B185&amp;"|"&amp;C185&amp;"|"&amp;D185</f>
        <v>Blantyre District [mxqa3CDFmIT]|10-14|Female</v>
      </c>
      <c r="F185" s="10"/>
      <c r="G185" s="88" t="str">
        <f aca="false">IF(SUM($F185)=0,"",0%)</f>
        <v/>
      </c>
      <c r="H185" s="39" t="str">
        <f aca="false">IF(SUM($F185)=0,"",ROUND($F185*(1+$G185),0))</f>
        <v/>
      </c>
    </row>
    <row r="186" customFormat="false" ht="15" hidden="false" customHeight="false" outlineLevel="0" collapsed="false">
      <c r="A186" s="0" t="str">
        <f aca="false">INDEX(Prioritization!$D:$D,MATCH($B186,Prioritization!$A:$A,0))</f>
        <v>1 - Scale-up: Saturation</v>
      </c>
      <c r="B186" s="0" t="s">
        <v>211</v>
      </c>
      <c r="C186" s="0" t="s">
        <v>364</v>
      </c>
      <c r="D186" s="0" t="s">
        <v>48</v>
      </c>
      <c r="E186" s="0" t="str">
        <f aca="false">B186&amp;"|"&amp;C186&amp;"|"&amp;D186</f>
        <v>Blantyre District [mxqa3CDFmIT]|10-14|Male</v>
      </c>
      <c r="F186" s="10"/>
      <c r="G186" s="88" t="str">
        <f aca="false">IF(SUM($F186)=0,"",0%)</f>
        <v/>
      </c>
      <c r="H186" s="39" t="str">
        <f aca="false">IF(SUM($F186)=0,"",ROUND($F186*(1+$G186),0))</f>
        <v/>
      </c>
    </row>
    <row r="187" customFormat="false" ht="15" hidden="false" customHeight="false" outlineLevel="0" collapsed="false">
      <c r="A187" s="0" t="str">
        <f aca="false">INDEX(Prioritization!$D:$D,MATCH($B187,Prioritization!$A:$A,0))</f>
        <v>1 - Scale-up: Saturation</v>
      </c>
      <c r="B187" s="0" t="s">
        <v>211</v>
      </c>
      <c r="C187" s="0" t="s">
        <v>365</v>
      </c>
      <c r="D187" s="0" t="s">
        <v>30</v>
      </c>
      <c r="E187" s="0" t="str">
        <f aca="false">B187&amp;"|"&amp;C187&amp;"|"&amp;D187</f>
        <v>Blantyre District [mxqa3CDFmIT]|15-24|Female</v>
      </c>
      <c r="F187" s="10"/>
      <c r="G187" s="88" t="str">
        <f aca="false">IF(SUM($F187)=0,"",0%)</f>
        <v/>
      </c>
      <c r="H187" s="39" t="str">
        <f aca="false">IF(SUM($F187)=0,"",ROUND($F187*(1+$G187),0))</f>
        <v/>
      </c>
    </row>
    <row r="188" customFormat="false" ht="15" hidden="false" customHeight="false" outlineLevel="0" collapsed="false">
      <c r="A188" s="0" t="str">
        <f aca="false">INDEX(Prioritization!$D:$D,MATCH($B188,Prioritization!$A:$A,0))</f>
        <v>1 - Scale-up: Saturation</v>
      </c>
      <c r="B188" s="0" t="s">
        <v>211</v>
      </c>
      <c r="C188" s="0" t="s">
        <v>365</v>
      </c>
      <c r="D188" s="0" t="s">
        <v>48</v>
      </c>
      <c r="E188" s="0" t="str">
        <f aca="false">B188&amp;"|"&amp;C188&amp;"|"&amp;D188</f>
        <v>Blantyre District [mxqa3CDFmIT]|15-24|Male</v>
      </c>
      <c r="F188" s="10"/>
      <c r="G188" s="88" t="str">
        <f aca="false">IF(SUM($F188)=0,"",0%)</f>
        <v/>
      </c>
      <c r="H188" s="39" t="str">
        <f aca="false">IF(SUM($F188)=0,"",ROUND($F188*(1+$G188),0))</f>
        <v/>
      </c>
    </row>
    <row r="189" customFormat="false" ht="15" hidden="false" customHeight="false" outlineLevel="0" collapsed="false">
      <c r="A189" s="0" t="str">
        <f aca="false">INDEX(Prioritization!$D:$D,MATCH($B189,Prioritization!$A:$A,0))</f>
        <v>1 - Scale-up: Saturation</v>
      </c>
      <c r="B189" s="0" t="s">
        <v>211</v>
      </c>
      <c r="C189" s="0" t="s">
        <v>366</v>
      </c>
      <c r="D189" s="0" t="s">
        <v>30</v>
      </c>
      <c r="E189" s="0" t="str">
        <f aca="false">B189&amp;"|"&amp;C189&amp;"|"&amp;D189</f>
        <v>Blantyre District [mxqa3CDFmIT]|25-34|Female</v>
      </c>
      <c r="F189" s="10"/>
      <c r="G189" s="88" t="str">
        <f aca="false">IF(SUM($F189)=0,"",0%)</f>
        <v/>
      </c>
      <c r="H189" s="39" t="str">
        <f aca="false">IF(SUM($F189)=0,"",ROUND($F189*(1+$G189),0))</f>
        <v/>
      </c>
    </row>
    <row r="190" customFormat="false" ht="15" hidden="false" customHeight="false" outlineLevel="0" collapsed="false">
      <c r="A190" s="0" t="str">
        <f aca="false">INDEX(Prioritization!$D:$D,MATCH($B190,Prioritization!$A:$A,0))</f>
        <v>1 - Scale-up: Saturation</v>
      </c>
      <c r="B190" s="0" t="s">
        <v>211</v>
      </c>
      <c r="C190" s="0" t="s">
        <v>366</v>
      </c>
      <c r="D190" s="0" t="s">
        <v>48</v>
      </c>
      <c r="E190" s="0" t="str">
        <f aca="false">B190&amp;"|"&amp;C190&amp;"|"&amp;D190</f>
        <v>Blantyre District [mxqa3CDFmIT]|25-34|Male</v>
      </c>
      <c r="F190" s="10"/>
      <c r="G190" s="88" t="str">
        <f aca="false">IF(SUM($F190)=0,"",0%)</f>
        <v/>
      </c>
      <c r="H190" s="39" t="str">
        <f aca="false">IF(SUM($F190)=0,"",ROUND($F190*(1+$G190),0))</f>
        <v/>
      </c>
    </row>
    <row r="191" customFormat="false" ht="15" hidden="false" customHeight="false" outlineLevel="0" collapsed="false">
      <c r="A191" s="0" t="str">
        <f aca="false">INDEX(Prioritization!$D:$D,MATCH($B191,Prioritization!$A:$A,0))</f>
        <v>1 - Scale-up: Saturation</v>
      </c>
      <c r="B191" s="0" t="s">
        <v>211</v>
      </c>
      <c r="C191" s="0" t="s">
        <v>367</v>
      </c>
      <c r="D191" s="0" t="s">
        <v>30</v>
      </c>
      <c r="E191" s="0" t="str">
        <f aca="false">B191&amp;"|"&amp;C191&amp;"|"&amp;D191</f>
        <v>Blantyre District [mxqa3CDFmIT]|35-49|Female</v>
      </c>
      <c r="F191" s="10"/>
      <c r="G191" s="88" t="str">
        <f aca="false">IF(SUM($F191)=0,"",0%)</f>
        <v/>
      </c>
      <c r="H191" s="39" t="str">
        <f aca="false">IF(SUM($F191)=0,"",ROUND($F191*(1+$G191),0))</f>
        <v/>
      </c>
    </row>
    <row r="192" customFormat="false" ht="15" hidden="false" customHeight="false" outlineLevel="0" collapsed="false">
      <c r="A192" s="0" t="str">
        <f aca="false">INDEX(Prioritization!$D:$D,MATCH($B192,Prioritization!$A:$A,0))</f>
        <v>1 - Scale-up: Saturation</v>
      </c>
      <c r="B192" s="0" t="s">
        <v>211</v>
      </c>
      <c r="C192" s="0" t="s">
        <v>367</v>
      </c>
      <c r="D192" s="0" t="s">
        <v>48</v>
      </c>
      <c r="E192" s="0" t="str">
        <f aca="false">B192&amp;"|"&amp;C192&amp;"|"&amp;D192</f>
        <v>Blantyre District [mxqa3CDFmIT]|35-49|Male</v>
      </c>
      <c r="F192" s="10"/>
      <c r="G192" s="88" t="str">
        <f aca="false">IF(SUM($F192)=0,"",0%)</f>
        <v/>
      </c>
      <c r="H192" s="39" t="str">
        <f aca="false">IF(SUM($F192)=0,"",ROUND($F192*(1+$G192),0))</f>
        <v/>
      </c>
    </row>
    <row r="193" customFormat="false" ht="15" hidden="false" customHeight="false" outlineLevel="0" collapsed="false">
      <c r="A193" s="0" t="str">
        <f aca="false">INDEX(Prioritization!$D:$D,MATCH($B193,Prioritization!$A:$A,0))</f>
        <v>1 - Scale-up: Saturation</v>
      </c>
      <c r="B193" s="0" t="s">
        <v>211</v>
      </c>
      <c r="C193" s="0" t="s">
        <v>368</v>
      </c>
      <c r="D193" s="0" t="s">
        <v>30</v>
      </c>
      <c r="E193" s="0" t="str">
        <f aca="false">B193&amp;"|"&amp;C193&amp;"|"&amp;D193</f>
        <v>Blantyre District [mxqa3CDFmIT]|50+|Female</v>
      </c>
      <c r="F193" s="10" t="n">
        <v>91</v>
      </c>
      <c r="G193" s="88" t="n">
        <f aca="false">IF(SUM($F193)=0,"",0%)</f>
        <v>0</v>
      </c>
      <c r="H193" s="39" t="n">
        <f aca="false">IF(SUM($F193)=0,"",ROUND($F193*(1+$G193),0))</f>
        <v>91</v>
      </c>
    </row>
    <row r="194" customFormat="false" ht="15" hidden="false" customHeight="false" outlineLevel="0" collapsed="false">
      <c r="A194" s="0" t="str">
        <f aca="false">INDEX(Prioritization!$D:$D,MATCH($B194,Prioritization!$A:$A,0))</f>
        <v>1 - Scale-up: Saturation</v>
      </c>
      <c r="B194" s="0" t="s">
        <v>211</v>
      </c>
      <c r="C194" s="0" t="s">
        <v>368</v>
      </c>
      <c r="D194" s="0" t="s">
        <v>48</v>
      </c>
      <c r="E194" s="0" t="str">
        <f aca="false">B194&amp;"|"&amp;C194&amp;"|"&amp;D194</f>
        <v>Blantyre District [mxqa3CDFmIT]|50+|Male</v>
      </c>
      <c r="F194" s="10" t="n">
        <v>19</v>
      </c>
      <c r="G194" s="88" t="n">
        <f aca="false">IF(SUM($F194)=0,"",0%)</f>
        <v>0</v>
      </c>
      <c r="H194" s="39" t="n">
        <f aca="false">IF(SUM($F194)=0,"",ROUND($F194*(1+$G194),0))</f>
        <v>19</v>
      </c>
    </row>
    <row r="195" customFormat="false" ht="15" hidden="false" customHeight="false" outlineLevel="0" collapsed="false">
      <c r="A195" s="0" t="str">
        <f aca="false">INDEX(Prioritization!$D:$D,MATCH($B195,Prioritization!$A:$A,0))</f>
        <v>1 - Scale-up: Saturation</v>
      </c>
      <c r="B195" s="0" t="s">
        <v>212</v>
      </c>
      <c r="C195" s="0" t="s">
        <v>364</v>
      </c>
      <c r="D195" s="0" t="s">
        <v>30</v>
      </c>
      <c r="E195" s="0" t="str">
        <f aca="false">B195&amp;"|"&amp;C195&amp;"|"&amp;D195</f>
        <v>Chikwawa District [U8c0so51kT6]|10-14|Female</v>
      </c>
      <c r="F195" s="10"/>
      <c r="G195" s="88" t="str">
        <f aca="false">IF(SUM($F195)=0,"",0%)</f>
        <v/>
      </c>
      <c r="H195" s="39" t="str">
        <f aca="false">IF(SUM($F195)=0,"",ROUND($F195*(1+$G195),0))</f>
        <v/>
      </c>
    </row>
    <row r="196" customFormat="false" ht="15" hidden="false" customHeight="false" outlineLevel="0" collapsed="false">
      <c r="A196" s="0" t="str">
        <f aca="false">INDEX(Prioritization!$D:$D,MATCH($B196,Prioritization!$A:$A,0))</f>
        <v>1 - Scale-up: Saturation</v>
      </c>
      <c r="B196" s="0" t="s">
        <v>212</v>
      </c>
      <c r="C196" s="0" t="s">
        <v>364</v>
      </c>
      <c r="D196" s="0" t="s">
        <v>48</v>
      </c>
      <c r="E196" s="0" t="str">
        <f aca="false">B196&amp;"|"&amp;C196&amp;"|"&amp;D196</f>
        <v>Chikwawa District [U8c0so51kT6]|10-14|Male</v>
      </c>
      <c r="F196" s="10"/>
      <c r="G196" s="88" t="str">
        <f aca="false">IF(SUM($F196)=0,"",0%)</f>
        <v/>
      </c>
      <c r="H196" s="39" t="str">
        <f aca="false">IF(SUM($F196)=0,"",ROUND($F196*(1+$G196),0))</f>
        <v/>
      </c>
    </row>
    <row r="197" customFormat="false" ht="15" hidden="false" customHeight="false" outlineLevel="0" collapsed="false">
      <c r="A197" s="0" t="str">
        <f aca="false">INDEX(Prioritization!$D:$D,MATCH($B197,Prioritization!$A:$A,0))</f>
        <v>1 - Scale-up: Saturation</v>
      </c>
      <c r="B197" s="0" t="s">
        <v>212</v>
      </c>
      <c r="C197" s="0" t="s">
        <v>365</v>
      </c>
      <c r="D197" s="0" t="s">
        <v>30</v>
      </c>
      <c r="E197" s="0" t="str">
        <f aca="false">B197&amp;"|"&amp;C197&amp;"|"&amp;D197</f>
        <v>Chikwawa District [U8c0so51kT6]|15-24|Female</v>
      </c>
      <c r="F197" s="10"/>
      <c r="G197" s="88" t="str">
        <f aca="false">IF(SUM($F197)=0,"",0%)</f>
        <v/>
      </c>
      <c r="H197" s="39" t="str">
        <f aca="false">IF(SUM($F197)=0,"",ROUND($F197*(1+$G197),0))</f>
        <v/>
      </c>
    </row>
    <row r="198" customFormat="false" ht="15" hidden="false" customHeight="false" outlineLevel="0" collapsed="false">
      <c r="A198" s="0" t="str">
        <f aca="false">INDEX(Prioritization!$D:$D,MATCH($B198,Prioritization!$A:$A,0))</f>
        <v>1 - Scale-up: Saturation</v>
      </c>
      <c r="B198" s="0" t="s">
        <v>212</v>
      </c>
      <c r="C198" s="0" t="s">
        <v>365</v>
      </c>
      <c r="D198" s="0" t="s">
        <v>48</v>
      </c>
      <c r="E198" s="0" t="str">
        <f aca="false">B198&amp;"|"&amp;C198&amp;"|"&amp;D198</f>
        <v>Chikwawa District [U8c0so51kT6]|15-24|Male</v>
      </c>
      <c r="F198" s="10"/>
      <c r="G198" s="88" t="str">
        <f aca="false">IF(SUM($F198)=0,"",0%)</f>
        <v/>
      </c>
      <c r="H198" s="39" t="str">
        <f aca="false">IF(SUM($F198)=0,"",ROUND($F198*(1+$G198),0))</f>
        <v/>
      </c>
    </row>
    <row r="199" customFormat="false" ht="15" hidden="false" customHeight="false" outlineLevel="0" collapsed="false">
      <c r="A199" s="0" t="str">
        <f aca="false">INDEX(Prioritization!$D:$D,MATCH($B199,Prioritization!$A:$A,0))</f>
        <v>1 - Scale-up: Saturation</v>
      </c>
      <c r="B199" s="0" t="s">
        <v>212</v>
      </c>
      <c r="C199" s="0" t="s">
        <v>366</v>
      </c>
      <c r="D199" s="0" t="s">
        <v>30</v>
      </c>
      <c r="E199" s="0" t="str">
        <f aca="false">B199&amp;"|"&amp;C199&amp;"|"&amp;D199</f>
        <v>Chikwawa District [U8c0so51kT6]|25-34|Female</v>
      </c>
      <c r="F199" s="10"/>
      <c r="G199" s="88" t="str">
        <f aca="false">IF(SUM($F199)=0,"",0%)</f>
        <v/>
      </c>
      <c r="H199" s="39" t="str">
        <f aca="false">IF(SUM($F199)=0,"",ROUND($F199*(1+$G199),0))</f>
        <v/>
      </c>
    </row>
    <row r="200" customFormat="false" ht="15" hidden="false" customHeight="false" outlineLevel="0" collapsed="false">
      <c r="A200" s="0" t="str">
        <f aca="false">INDEX(Prioritization!$D:$D,MATCH($B200,Prioritization!$A:$A,0))</f>
        <v>1 - Scale-up: Saturation</v>
      </c>
      <c r="B200" s="0" t="s">
        <v>212</v>
      </c>
      <c r="C200" s="0" t="s">
        <v>366</v>
      </c>
      <c r="D200" s="0" t="s">
        <v>48</v>
      </c>
      <c r="E200" s="0" t="str">
        <f aca="false">B200&amp;"|"&amp;C200&amp;"|"&amp;D200</f>
        <v>Chikwawa District [U8c0so51kT6]|25-34|Male</v>
      </c>
      <c r="F200" s="10"/>
      <c r="G200" s="88" t="str">
        <f aca="false">IF(SUM($F200)=0,"",0%)</f>
        <v/>
      </c>
      <c r="H200" s="39" t="str">
        <f aca="false">IF(SUM($F200)=0,"",ROUND($F200*(1+$G200),0))</f>
        <v/>
      </c>
    </row>
    <row r="201" customFormat="false" ht="15" hidden="false" customHeight="false" outlineLevel="0" collapsed="false">
      <c r="A201" s="0" t="str">
        <f aca="false">INDEX(Prioritization!$D:$D,MATCH($B201,Prioritization!$A:$A,0))</f>
        <v>1 - Scale-up: Saturation</v>
      </c>
      <c r="B201" s="0" t="s">
        <v>212</v>
      </c>
      <c r="C201" s="0" t="s">
        <v>367</v>
      </c>
      <c r="D201" s="0" t="s">
        <v>30</v>
      </c>
      <c r="E201" s="0" t="str">
        <f aca="false">B201&amp;"|"&amp;C201&amp;"|"&amp;D201</f>
        <v>Chikwawa District [U8c0so51kT6]|35-49|Female</v>
      </c>
      <c r="F201" s="10"/>
      <c r="G201" s="88" t="str">
        <f aca="false">IF(SUM($F201)=0,"",0%)</f>
        <v/>
      </c>
      <c r="H201" s="39" t="str">
        <f aca="false">IF(SUM($F201)=0,"",ROUND($F201*(1+$G201),0))</f>
        <v/>
      </c>
    </row>
    <row r="202" customFormat="false" ht="15" hidden="false" customHeight="false" outlineLevel="0" collapsed="false">
      <c r="A202" s="0" t="str">
        <f aca="false">INDEX(Prioritization!$D:$D,MATCH($B202,Prioritization!$A:$A,0))</f>
        <v>1 - Scale-up: Saturation</v>
      </c>
      <c r="B202" s="0" t="s">
        <v>212</v>
      </c>
      <c r="C202" s="0" t="s">
        <v>367</v>
      </c>
      <c r="D202" s="0" t="s">
        <v>48</v>
      </c>
      <c r="E202" s="0" t="str">
        <f aca="false">B202&amp;"|"&amp;C202&amp;"|"&amp;D202</f>
        <v>Chikwawa District [U8c0so51kT6]|35-49|Male</v>
      </c>
      <c r="F202" s="10"/>
      <c r="G202" s="88" t="str">
        <f aca="false">IF(SUM($F202)=0,"",0%)</f>
        <v/>
      </c>
      <c r="H202" s="39" t="str">
        <f aca="false">IF(SUM($F202)=0,"",ROUND($F202*(1+$G202),0))</f>
        <v/>
      </c>
    </row>
    <row r="203" customFormat="false" ht="15" hidden="false" customHeight="false" outlineLevel="0" collapsed="false">
      <c r="A203" s="0" t="str">
        <f aca="false">INDEX(Prioritization!$D:$D,MATCH($B203,Prioritization!$A:$A,0))</f>
        <v>1 - Scale-up: Saturation</v>
      </c>
      <c r="B203" s="0" t="s">
        <v>212</v>
      </c>
      <c r="C203" s="0" t="s">
        <v>368</v>
      </c>
      <c r="D203" s="0" t="s">
        <v>30</v>
      </c>
      <c r="E203" s="0" t="str">
        <f aca="false">B203&amp;"|"&amp;C203&amp;"|"&amp;D203</f>
        <v>Chikwawa District [U8c0so51kT6]|50+|Female</v>
      </c>
      <c r="F203" s="10"/>
      <c r="G203" s="88" t="str">
        <f aca="false">IF(SUM($F203)=0,"",0%)</f>
        <v/>
      </c>
      <c r="H203" s="39" t="str">
        <f aca="false">IF(SUM($F203)=0,"",ROUND($F203*(1+$G203),0))</f>
        <v/>
      </c>
    </row>
    <row r="204" customFormat="false" ht="15" hidden="false" customHeight="false" outlineLevel="0" collapsed="false">
      <c r="A204" s="0" t="str">
        <f aca="false">INDEX(Prioritization!$D:$D,MATCH($B204,Prioritization!$A:$A,0))</f>
        <v>1 - Scale-up: Saturation</v>
      </c>
      <c r="B204" s="0" t="s">
        <v>212</v>
      </c>
      <c r="C204" s="0" t="s">
        <v>368</v>
      </c>
      <c r="D204" s="0" t="s">
        <v>48</v>
      </c>
      <c r="E204" s="0" t="str">
        <f aca="false">B204&amp;"|"&amp;C204&amp;"|"&amp;D204</f>
        <v>Chikwawa District [U8c0so51kT6]|50+|Male</v>
      </c>
      <c r="F204" s="10"/>
      <c r="G204" s="88" t="str">
        <f aca="false">IF(SUM($F204)=0,"",0%)</f>
        <v/>
      </c>
      <c r="H204" s="39" t="str">
        <f aca="false">IF(SUM($F204)=0,"",ROUND($F204*(1+$G204),0))</f>
        <v/>
      </c>
    </row>
    <row r="205" customFormat="false" ht="15" hidden="false" customHeight="false" outlineLevel="0" collapsed="false">
      <c r="A205" s="0" t="str">
        <f aca="false">INDEX(Prioritization!$D:$D,MATCH($B205,Prioritization!$A:$A,0))</f>
        <v>1 - Scale-up: Saturation</v>
      </c>
      <c r="B205" s="0" t="s">
        <v>213</v>
      </c>
      <c r="C205" s="0" t="s">
        <v>364</v>
      </c>
      <c r="D205" s="0" t="s">
        <v>30</v>
      </c>
      <c r="E205" s="0" t="str">
        <f aca="false">B205&amp;"|"&amp;C205&amp;"|"&amp;D205</f>
        <v>Chiradzulu District [oiPR2CiVJbf]|10-14|Female</v>
      </c>
      <c r="F205" s="10"/>
      <c r="G205" s="88" t="str">
        <f aca="false">IF(SUM($F205)=0,"",0%)</f>
        <v/>
      </c>
      <c r="H205" s="39" t="str">
        <f aca="false">IF(SUM($F205)=0,"",ROUND($F205*(1+$G205),0))</f>
        <v/>
      </c>
    </row>
    <row r="206" customFormat="false" ht="15" hidden="false" customHeight="false" outlineLevel="0" collapsed="false">
      <c r="A206" s="0" t="str">
        <f aca="false">INDEX(Prioritization!$D:$D,MATCH($B206,Prioritization!$A:$A,0))</f>
        <v>1 - Scale-up: Saturation</v>
      </c>
      <c r="B206" s="0" t="s">
        <v>213</v>
      </c>
      <c r="C206" s="0" t="s">
        <v>364</v>
      </c>
      <c r="D206" s="0" t="s">
        <v>48</v>
      </c>
      <c r="E206" s="0" t="str">
        <f aca="false">B206&amp;"|"&amp;C206&amp;"|"&amp;D206</f>
        <v>Chiradzulu District [oiPR2CiVJbf]|10-14|Male</v>
      </c>
      <c r="F206" s="10"/>
      <c r="G206" s="88" t="str">
        <f aca="false">IF(SUM($F206)=0,"",0%)</f>
        <v/>
      </c>
      <c r="H206" s="39" t="str">
        <f aca="false">IF(SUM($F206)=0,"",ROUND($F206*(1+$G206),0))</f>
        <v/>
      </c>
    </row>
    <row r="207" customFormat="false" ht="15" hidden="false" customHeight="false" outlineLevel="0" collapsed="false">
      <c r="A207" s="0" t="str">
        <f aca="false">INDEX(Prioritization!$D:$D,MATCH($B207,Prioritization!$A:$A,0))</f>
        <v>1 - Scale-up: Saturation</v>
      </c>
      <c r="B207" s="0" t="s">
        <v>213</v>
      </c>
      <c r="C207" s="0" t="s">
        <v>365</v>
      </c>
      <c r="D207" s="0" t="s">
        <v>30</v>
      </c>
      <c r="E207" s="0" t="str">
        <f aca="false">B207&amp;"|"&amp;C207&amp;"|"&amp;D207</f>
        <v>Chiradzulu District [oiPR2CiVJbf]|15-24|Female</v>
      </c>
      <c r="F207" s="10"/>
      <c r="G207" s="88" t="str">
        <f aca="false">IF(SUM($F207)=0,"",0%)</f>
        <v/>
      </c>
      <c r="H207" s="39" t="str">
        <f aca="false">IF(SUM($F207)=0,"",ROUND($F207*(1+$G207),0))</f>
        <v/>
      </c>
    </row>
    <row r="208" customFormat="false" ht="15" hidden="false" customHeight="false" outlineLevel="0" collapsed="false">
      <c r="A208" s="0" t="str">
        <f aca="false">INDEX(Prioritization!$D:$D,MATCH($B208,Prioritization!$A:$A,0))</f>
        <v>1 - Scale-up: Saturation</v>
      </c>
      <c r="B208" s="0" t="s">
        <v>213</v>
      </c>
      <c r="C208" s="0" t="s">
        <v>365</v>
      </c>
      <c r="D208" s="0" t="s">
        <v>48</v>
      </c>
      <c r="E208" s="0" t="str">
        <f aca="false">B208&amp;"|"&amp;C208&amp;"|"&amp;D208</f>
        <v>Chiradzulu District [oiPR2CiVJbf]|15-24|Male</v>
      </c>
      <c r="F208" s="10"/>
      <c r="G208" s="88" t="str">
        <f aca="false">IF(SUM($F208)=0,"",0%)</f>
        <v/>
      </c>
      <c r="H208" s="39" t="str">
        <f aca="false">IF(SUM($F208)=0,"",ROUND($F208*(1+$G208),0))</f>
        <v/>
      </c>
    </row>
    <row r="209" customFormat="false" ht="15" hidden="false" customHeight="false" outlineLevel="0" collapsed="false">
      <c r="A209" s="0" t="str">
        <f aca="false">INDEX(Prioritization!$D:$D,MATCH($B209,Prioritization!$A:$A,0))</f>
        <v>1 - Scale-up: Saturation</v>
      </c>
      <c r="B209" s="0" t="s">
        <v>213</v>
      </c>
      <c r="C209" s="0" t="s">
        <v>366</v>
      </c>
      <c r="D209" s="0" t="s">
        <v>30</v>
      </c>
      <c r="E209" s="0" t="str">
        <f aca="false">B209&amp;"|"&amp;C209&amp;"|"&amp;D209</f>
        <v>Chiradzulu District [oiPR2CiVJbf]|25-34|Female</v>
      </c>
      <c r="F209" s="10"/>
      <c r="G209" s="88" t="str">
        <f aca="false">IF(SUM($F209)=0,"",0%)</f>
        <v/>
      </c>
      <c r="H209" s="39" t="str">
        <f aca="false">IF(SUM($F209)=0,"",ROUND($F209*(1+$G209),0))</f>
        <v/>
      </c>
    </row>
    <row r="210" customFormat="false" ht="15" hidden="false" customHeight="false" outlineLevel="0" collapsed="false">
      <c r="A210" s="0" t="str">
        <f aca="false">INDEX(Prioritization!$D:$D,MATCH($B210,Prioritization!$A:$A,0))</f>
        <v>1 - Scale-up: Saturation</v>
      </c>
      <c r="B210" s="0" t="s">
        <v>213</v>
      </c>
      <c r="C210" s="0" t="s">
        <v>366</v>
      </c>
      <c r="D210" s="0" t="s">
        <v>48</v>
      </c>
      <c r="E210" s="0" t="str">
        <f aca="false">B210&amp;"|"&amp;C210&amp;"|"&amp;D210</f>
        <v>Chiradzulu District [oiPR2CiVJbf]|25-34|Male</v>
      </c>
      <c r="F210" s="10"/>
      <c r="G210" s="88" t="str">
        <f aca="false">IF(SUM($F210)=0,"",0%)</f>
        <v/>
      </c>
      <c r="H210" s="39" t="str">
        <f aca="false">IF(SUM($F210)=0,"",ROUND($F210*(1+$G210),0))</f>
        <v/>
      </c>
    </row>
    <row r="211" customFormat="false" ht="15" hidden="false" customHeight="false" outlineLevel="0" collapsed="false">
      <c r="A211" s="0" t="str">
        <f aca="false">INDEX(Prioritization!$D:$D,MATCH($B211,Prioritization!$A:$A,0))</f>
        <v>1 - Scale-up: Saturation</v>
      </c>
      <c r="B211" s="0" t="s">
        <v>213</v>
      </c>
      <c r="C211" s="0" t="s">
        <v>367</v>
      </c>
      <c r="D211" s="0" t="s">
        <v>30</v>
      </c>
      <c r="E211" s="0" t="str">
        <f aca="false">B211&amp;"|"&amp;C211&amp;"|"&amp;D211</f>
        <v>Chiradzulu District [oiPR2CiVJbf]|35-49|Female</v>
      </c>
      <c r="F211" s="10"/>
      <c r="G211" s="88" t="str">
        <f aca="false">IF(SUM($F211)=0,"",0%)</f>
        <v/>
      </c>
      <c r="H211" s="39" t="str">
        <f aca="false">IF(SUM($F211)=0,"",ROUND($F211*(1+$G211),0))</f>
        <v/>
      </c>
    </row>
    <row r="212" customFormat="false" ht="15" hidden="false" customHeight="false" outlineLevel="0" collapsed="false">
      <c r="A212" s="0" t="str">
        <f aca="false">INDEX(Prioritization!$D:$D,MATCH($B212,Prioritization!$A:$A,0))</f>
        <v>1 - Scale-up: Saturation</v>
      </c>
      <c r="B212" s="0" t="s">
        <v>213</v>
      </c>
      <c r="C212" s="0" t="s">
        <v>367</v>
      </c>
      <c r="D212" s="0" t="s">
        <v>48</v>
      </c>
      <c r="E212" s="0" t="str">
        <f aca="false">B212&amp;"|"&amp;C212&amp;"|"&amp;D212</f>
        <v>Chiradzulu District [oiPR2CiVJbf]|35-49|Male</v>
      </c>
      <c r="F212" s="10"/>
      <c r="G212" s="88" t="str">
        <f aca="false">IF(SUM($F212)=0,"",0%)</f>
        <v/>
      </c>
      <c r="H212" s="39" t="str">
        <f aca="false">IF(SUM($F212)=0,"",ROUND($F212*(1+$G212),0))</f>
        <v/>
      </c>
    </row>
    <row r="213" customFormat="false" ht="15" hidden="false" customHeight="false" outlineLevel="0" collapsed="false">
      <c r="A213" s="0" t="str">
        <f aca="false">INDEX(Prioritization!$D:$D,MATCH($B213,Prioritization!$A:$A,0))</f>
        <v>1 - Scale-up: Saturation</v>
      </c>
      <c r="B213" s="0" t="s">
        <v>213</v>
      </c>
      <c r="C213" s="0" t="s">
        <v>368</v>
      </c>
      <c r="D213" s="0" t="s">
        <v>30</v>
      </c>
      <c r="E213" s="0" t="str">
        <f aca="false">B213&amp;"|"&amp;C213&amp;"|"&amp;D213</f>
        <v>Chiradzulu District [oiPR2CiVJbf]|50+|Female</v>
      </c>
      <c r="F213" s="10"/>
      <c r="G213" s="88" t="str">
        <f aca="false">IF(SUM($F213)=0,"",0%)</f>
        <v/>
      </c>
      <c r="H213" s="39" t="str">
        <f aca="false">IF(SUM($F213)=0,"",ROUND($F213*(1+$G213),0))</f>
        <v/>
      </c>
    </row>
    <row r="214" customFormat="false" ht="15" hidden="false" customHeight="false" outlineLevel="0" collapsed="false">
      <c r="A214" s="0" t="str">
        <f aca="false">INDEX(Prioritization!$D:$D,MATCH($B214,Prioritization!$A:$A,0))</f>
        <v>1 - Scale-up: Saturation</v>
      </c>
      <c r="B214" s="0" t="s">
        <v>213</v>
      </c>
      <c r="C214" s="0" t="s">
        <v>368</v>
      </c>
      <c r="D214" s="0" t="s">
        <v>48</v>
      </c>
      <c r="E214" s="0" t="str">
        <f aca="false">B214&amp;"|"&amp;C214&amp;"|"&amp;D214</f>
        <v>Chiradzulu District [oiPR2CiVJbf]|50+|Male</v>
      </c>
      <c r="F214" s="10"/>
      <c r="G214" s="88" t="str">
        <f aca="false">IF(SUM($F214)=0,"",0%)</f>
        <v/>
      </c>
      <c r="H214" s="39" t="str">
        <f aca="false">IF(SUM($F214)=0,"",ROUND($F214*(1+$G214),0))</f>
        <v/>
      </c>
    </row>
    <row r="215" customFormat="false" ht="15" hidden="false" customHeight="false" outlineLevel="0" collapsed="false">
      <c r="A215" s="0" t="str">
        <f aca="false">INDEX(Prioritization!$D:$D,MATCH($B215,Prioritization!$A:$A,0))</f>
        <v>1 - Scale-up: Saturation</v>
      </c>
      <c r="B215" s="0" t="s">
        <v>214</v>
      </c>
      <c r="C215" s="0" t="s">
        <v>364</v>
      </c>
      <c r="D215" s="0" t="s">
        <v>30</v>
      </c>
      <c r="E215" s="0" t="str">
        <f aca="false">B215&amp;"|"&amp;C215&amp;"|"&amp;D215</f>
        <v>Machinga District [TYnMSwzko3z]|10-14|Female</v>
      </c>
      <c r="F215" s="10"/>
      <c r="G215" s="88" t="str">
        <f aca="false">IF(SUM($F215)=0,"",0%)</f>
        <v/>
      </c>
      <c r="H215" s="39" t="str">
        <f aca="false">IF(SUM($F215)=0,"",ROUND($F215*(1+$G215),0))</f>
        <v/>
      </c>
    </row>
    <row r="216" customFormat="false" ht="15" hidden="false" customHeight="false" outlineLevel="0" collapsed="false">
      <c r="A216" s="0" t="str">
        <f aca="false">INDEX(Prioritization!$D:$D,MATCH($B216,Prioritization!$A:$A,0))</f>
        <v>1 - Scale-up: Saturation</v>
      </c>
      <c r="B216" s="0" t="s">
        <v>214</v>
      </c>
      <c r="C216" s="0" t="s">
        <v>364</v>
      </c>
      <c r="D216" s="0" t="s">
        <v>48</v>
      </c>
      <c r="E216" s="0" t="str">
        <f aca="false">B216&amp;"|"&amp;C216&amp;"|"&amp;D216</f>
        <v>Machinga District [TYnMSwzko3z]|10-14|Male</v>
      </c>
      <c r="F216" s="10"/>
      <c r="G216" s="88" t="str">
        <f aca="false">IF(SUM($F216)=0,"",0%)</f>
        <v/>
      </c>
      <c r="H216" s="39" t="str">
        <f aca="false">IF(SUM($F216)=0,"",ROUND($F216*(1+$G216),0))</f>
        <v/>
      </c>
    </row>
    <row r="217" customFormat="false" ht="15" hidden="false" customHeight="false" outlineLevel="0" collapsed="false">
      <c r="A217" s="0" t="str">
        <f aca="false">INDEX(Prioritization!$D:$D,MATCH($B217,Prioritization!$A:$A,0))</f>
        <v>1 - Scale-up: Saturation</v>
      </c>
      <c r="B217" s="0" t="s">
        <v>214</v>
      </c>
      <c r="C217" s="0" t="s">
        <v>365</v>
      </c>
      <c r="D217" s="0" t="s">
        <v>30</v>
      </c>
      <c r="E217" s="0" t="str">
        <f aca="false">B217&amp;"|"&amp;C217&amp;"|"&amp;D217</f>
        <v>Machinga District [TYnMSwzko3z]|15-24|Female</v>
      </c>
      <c r="F217" s="10"/>
      <c r="G217" s="88" t="str">
        <f aca="false">IF(SUM($F217)=0,"",0%)</f>
        <v/>
      </c>
      <c r="H217" s="39" t="str">
        <f aca="false">IF(SUM($F217)=0,"",ROUND($F217*(1+$G217),0))</f>
        <v/>
      </c>
    </row>
    <row r="218" customFormat="false" ht="15" hidden="false" customHeight="false" outlineLevel="0" collapsed="false">
      <c r="A218" s="0" t="str">
        <f aca="false">INDEX(Prioritization!$D:$D,MATCH($B218,Prioritization!$A:$A,0))</f>
        <v>1 - Scale-up: Saturation</v>
      </c>
      <c r="B218" s="0" t="s">
        <v>214</v>
      </c>
      <c r="C218" s="0" t="s">
        <v>365</v>
      </c>
      <c r="D218" s="0" t="s">
        <v>48</v>
      </c>
      <c r="E218" s="0" t="str">
        <f aca="false">B218&amp;"|"&amp;C218&amp;"|"&amp;D218</f>
        <v>Machinga District [TYnMSwzko3z]|15-24|Male</v>
      </c>
      <c r="F218" s="10"/>
      <c r="G218" s="88" t="str">
        <f aca="false">IF(SUM($F218)=0,"",0%)</f>
        <v/>
      </c>
      <c r="H218" s="39" t="str">
        <f aca="false">IF(SUM($F218)=0,"",ROUND($F218*(1+$G218),0))</f>
        <v/>
      </c>
    </row>
    <row r="219" customFormat="false" ht="15" hidden="false" customHeight="false" outlineLevel="0" collapsed="false">
      <c r="A219" s="0" t="str">
        <f aca="false">INDEX(Prioritization!$D:$D,MATCH($B219,Prioritization!$A:$A,0))</f>
        <v>1 - Scale-up: Saturation</v>
      </c>
      <c r="B219" s="0" t="s">
        <v>214</v>
      </c>
      <c r="C219" s="0" t="s">
        <v>366</v>
      </c>
      <c r="D219" s="0" t="s">
        <v>30</v>
      </c>
      <c r="E219" s="0" t="str">
        <f aca="false">B219&amp;"|"&amp;C219&amp;"|"&amp;D219</f>
        <v>Machinga District [TYnMSwzko3z]|25-34|Female</v>
      </c>
      <c r="F219" s="10"/>
      <c r="G219" s="88" t="str">
        <f aca="false">IF(SUM($F219)=0,"",0%)</f>
        <v/>
      </c>
      <c r="H219" s="39" t="str">
        <f aca="false">IF(SUM($F219)=0,"",ROUND($F219*(1+$G219),0))</f>
        <v/>
      </c>
    </row>
    <row r="220" customFormat="false" ht="15" hidden="false" customHeight="false" outlineLevel="0" collapsed="false">
      <c r="A220" s="0" t="str">
        <f aca="false">INDEX(Prioritization!$D:$D,MATCH($B220,Prioritization!$A:$A,0))</f>
        <v>1 - Scale-up: Saturation</v>
      </c>
      <c r="B220" s="0" t="s">
        <v>214</v>
      </c>
      <c r="C220" s="0" t="s">
        <v>366</v>
      </c>
      <c r="D220" s="0" t="s">
        <v>48</v>
      </c>
      <c r="E220" s="0" t="str">
        <f aca="false">B220&amp;"|"&amp;C220&amp;"|"&amp;D220</f>
        <v>Machinga District [TYnMSwzko3z]|25-34|Male</v>
      </c>
      <c r="F220" s="10"/>
      <c r="G220" s="88" t="str">
        <f aca="false">IF(SUM($F220)=0,"",0%)</f>
        <v/>
      </c>
      <c r="H220" s="39" t="str">
        <f aca="false">IF(SUM($F220)=0,"",ROUND($F220*(1+$G220),0))</f>
        <v/>
      </c>
    </row>
    <row r="221" customFormat="false" ht="15" hidden="false" customHeight="false" outlineLevel="0" collapsed="false">
      <c r="A221" s="0" t="str">
        <f aca="false">INDEX(Prioritization!$D:$D,MATCH($B221,Prioritization!$A:$A,0))</f>
        <v>1 - Scale-up: Saturation</v>
      </c>
      <c r="B221" s="0" t="s">
        <v>214</v>
      </c>
      <c r="C221" s="0" t="s">
        <v>367</v>
      </c>
      <c r="D221" s="0" t="s">
        <v>30</v>
      </c>
      <c r="E221" s="0" t="str">
        <f aca="false">B221&amp;"|"&amp;C221&amp;"|"&amp;D221</f>
        <v>Machinga District [TYnMSwzko3z]|35-49|Female</v>
      </c>
      <c r="F221" s="10"/>
      <c r="G221" s="88" t="str">
        <f aca="false">IF(SUM($F221)=0,"",0%)</f>
        <v/>
      </c>
      <c r="H221" s="39" t="str">
        <f aca="false">IF(SUM($F221)=0,"",ROUND($F221*(1+$G221),0))</f>
        <v/>
      </c>
    </row>
    <row r="222" customFormat="false" ht="15" hidden="false" customHeight="false" outlineLevel="0" collapsed="false">
      <c r="A222" s="0" t="str">
        <f aca="false">INDEX(Prioritization!$D:$D,MATCH($B222,Prioritization!$A:$A,0))</f>
        <v>1 - Scale-up: Saturation</v>
      </c>
      <c r="B222" s="0" t="s">
        <v>214</v>
      </c>
      <c r="C222" s="0" t="s">
        <v>367</v>
      </c>
      <c r="D222" s="0" t="s">
        <v>48</v>
      </c>
      <c r="E222" s="0" t="str">
        <f aca="false">B222&amp;"|"&amp;C222&amp;"|"&amp;D222</f>
        <v>Machinga District [TYnMSwzko3z]|35-49|Male</v>
      </c>
      <c r="F222" s="10"/>
      <c r="G222" s="88" t="str">
        <f aca="false">IF(SUM($F222)=0,"",0%)</f>
        <v/>
      </c>
      <c r="H222" s="39" t="str">
        <f aca="false">IF(SUM($F222)=0,"",ROUND($F222*(1+$G222),0))</f>
        <v/>
      </c>
    </row>
    <row r="223" customFormat="false" ht="15" hidden="false" customHeight="false" outlineLevel="0" collapsed="false">
      <c r="A223" s="0" t="str">
        <f aca="false">INDEX(Prioritization!$D:$D,MATCH($B223,Prioritization!$A:$A,0))</f>
        <v>1 - Scale-up: Saturation</v>
      </c>
      <c r="B223" s="0" t="s">
        <v>214</v>
      </c>
      <c r="C223" s="0" t="s">
        <v>368</v>
      </c>
      <c r="D223" s="0" t="s">
        <v>30</v>
      </c>
      <c r="E223" s="0" t="str">
        <f aca="false">B223&amp;"|"&amp;C223&amp;"|"&amp;D223</f>
        <v>Machinga District [TYnMSwzko3z]|50+|Female</v>
      </c>
      <c r="F223" s="10" t="n">
        <v>21</v>
      </c>
      <c r="G223" s="88" t="n">
        <f aca="false">IF(SUM($F223)=0,"",0%)</f>
        <v>0</v>
      </c>
      <c r="H223" s="39" t="n">
        <f aca="false">IF(SUM($F223)=0,"",ROUND($F223*(1+$G223),0))</f>
        <v>21</v>
      </c>
    </row>
    <row r="224" customFormat="false" ht="15" hidden="false" customHeight="false" outlineLevel="0" collapsed="false">
      <c r="A224" s="0" t="str">
        <f aca="false">INDEX(Prioritization!$D:$D,MATCH($B224,Prioritization!$A:$A,0))</f>
        <v>1 - Scale-up: Saturation</v>
      </c>
      <c r="B224" s="0" t="s">
        <v>214</v>
      </c>
      <c r="C224" s="0" t="s">
        <v>368</v>
      </c>
      <c r="D224" s="0" t="s">
        <v>48</v>
      </c>
      <c r="E224" s="0" t="str">
        <f aca="false">B224&amp;"|"&amp;C224&amp;"|"&amp;D224</f>
        <v>Machinga District [TYnMSwzko3z]|50+|Male</v>
      </c>
      <c r="F224" s="10" t="n">
        <v>69</v>
      </c>
      <c r="G224" s="88" t="n">
        <f aca="false">IF(SUM($F224)=0,"",0%)</f>
        <v>0</v>
      </c>
      <c r="H224" s="39" t="n">
        <f aca="false">IF(SUM($F224)=0,"",ROUND($F224*(1+$G224),0))</f>
        <v>69</v>
      </c>
    </row>
    <row r="225" customFormat="false" ht="15" hidden="false" customHeight="false" outlineLevel="0" collapsed="false">
      <c r="A225" s="0" t="str">
        <f aca="false">INDEX(Prioritization!$D:$D,MATCH($B225,Prioritization!$A:$A,0))</f>
        <v>INVALID</v>
      </c>
      <c r="B225" s="0" t="s">
        <v>215</v>
      </c>
      <c r="C225" s="0" t="s">
        <v>364</v>
      </c>
      <c r="D225" s="0" t="s">
        <v>30</v>
      </c>
      <c r="E225" s="0" t="str">
        <f aca="false">B225&amp;"|"&amp;C225&amp;"|"&amp;D225</f>
        <v>Mangochi District [lLDyBx5XyUi]|10-14|Female</v>
      </c>
      <c r="F225" s="10"/>
      <c r="G225" s="88" t="str">
        <f aca="false">IF(SUM($F225)=0,"",0%)</f>
        <v/>
      </c>
      <c r="H225" s="39" t="str">
        <f aca="false">IF(SUM($F225)=0,"",ROUND($F225*(1+$G225),0))</f>
        <v/>
      </c>
    </row>
    <row r="226" customFormat="false" ht="15" hidden="false" customHeight="false" outlineLevel="0" collapsed="false">
      <c r="A226" s="0" t="str">
        <f aca="false">INDEX(Prioritization!$D:$D,MATCH($B226,Prioritization!$A:$A,0))</f>
        <v>INVALID</v>
      </c>
      <c r="B226" s="0" t="s">
        <v>215</v>
      </c>
      <c r="C226" s="0" t="s">
        <v>364</v>
      </c>
      <c r="D226" s="0" t="s">
        <v>48</v>
      </c>
      <c r="E226" s="0" t="str">
        <f aca="false">B226&amp;"|"&amp;C226&amp;"|"&amp;D226</f>
        <v>Mangochi District [lLDyBx5XyUi]|10-14|Male</v>
      </c>
      <c r="F226" s="10"/>
      <c r="G226" s="88" t="str">
        <f aca="false">IF(SUM($F226)=0,"",0%)</f>
        <v/>
      </c>
      <c r="H226" s="39" t="str">
        <f aca="false">IF(SUM($F226)=0,"",ROUND($F226*(1+$G226),0))</f>
        <v/>
      </c>
    </row>
    <row r="227" customFormat="false" ht="15" hidden="false" customHeight="false" outlineLevel="0" collapsed="false">
      <c r="A227" s="0" t="str">
        <f aca="false">INDEX(Prioritization!$D:$D,MATCH($B227,Prioritization!$A:$A,0))</f>
        <v>INVALID</v>
      </c>
      <c r="B227" s="0" t="s">
        <v>215</v>
      </c>
      <c r="C227" s="0" t="s">
        <v>365</v>
      </c>
      <c r="D227" s="0" t="s">
        <v>30</v>
      </c>
      <c r="E227" s="0" t="str">
        <f aca="false">B227&amp;"|"&amp;C227&amp;"|"&amp;D227</f>
        <v>Mangochi District [lLDyBx5XyUi]|15-24|Female</v>
      </c>
      <c r="F227" s="10"/>
      <c r="G227" s="88" t="str">
        <f aca="false">IF(SUM($F227)=0,"",0%)</f>
        <v/>
      </c>
      <c r="H227" s="39" t="str">
        <f aca="false">IF(SUM($F227)=0,"",ROUND($F227*(1+$G227),0))</f>
        <v/>
      </c>
    </row>
    <row r="228" customFormat="false" ht="15" hidden="false" customHeight="false" outlineLevel="0" collapsed="false">
      <c r="A228" s="0" t="str">
        <f aca="false">INDEX(Prioritization!$D:$D,MATCH($B228,Prioritization!$A:$A,0))</f>
        <v>INVALID</v>
      </c>
      <c r="B228" s="0" t="s">
        <v>215</v>
      </c>
      <c r="C228" s="0" t="s">
        <v>365</v>
      </c>
      <c r="D228" s="0" t="s">
        <v>48</v>
      </c>
      <c r="E228" s="0" t="str">
        <f aca="false">B228&amp;"|"&amp;C228&amp;"|"&amp;D228</f>
        <v>Mangochi District [lLDyBx5XyUi]|15-24|Male</v>
      </c>
      <c r="F228" s="10"/>
      <c r="G228" s="88" t="str">
        <f aca="false">IF(SUM($F228)=0,"",0%)</f>
        <v/>
      </c>
      <c r="H228" s="39" t="str">
        <f aca="false">IF(SUM($F228)=0,"",ROUND($F228*(1+$G228),0))</f>
        <v/>
      </c>
    </row>
    <row r="229" customFormat="false" ht="15" hidden="false" customHeight="false" outlineLevel="0" collapsed="false">
      <c r="A229" s="0" t="str">
        <f aca="false">INDEX(Prioritization!$D:$D,MATCH($B229,Prioritization!$A:$A,0))</f>
        <v>INVALID</v>
      </c>
      <c r="B229" s="0" t="s">
        <v>215</v>
      </c>
      <c r="C229" s="0" t="s">
        <v>366</v>
      </c>
      <c r="D229" s="0" t="s">
        <v>30</v>
      </c>
      <c r="E229" s="0" t="str">
        <f aca="false">B229&amp;"|"&amp;C229&amp;"|"&amp;D229</f>
        <v>Mangochi District [lLDyBx5XyUi]|25-34|Female</v>
      </c>
      <c r="F229" s="10"/>
      <c r="G229" s="88" t="str">
        <f aca="false">IF(SUM($F229)=0,"",0%)</f>
        <v/>
      </c>
      <c r="H229" s="39" t="str">
        <f aca="false">IF(SUM($F229)=0,"",ROUND($F229*(1+$G229),0))</f>
        <v/>
      </c>
    </row>
    <row r="230" customFormat="false" ht="15" hidden="false" customHeight="false" outlineLevel="0" collapsed="false">
      <c r="A230" s="0" t="str">
        <f aca="false">INDEX(Prioritization!$D:$D,MATCH($B230,Prioritization!$A:$A,0))</f>
        <v>INVALID</v>
      </c>
      <c r="B230" s="0" t="s">
        <v>215</v>
      </c>
      <c r="C230" s="0" t="s">
        <v>366</v>
      </c>
      <c r="D230" s="0" t="s">
        <v>48</v>
      </c>
      <c r="E230" s="0" t="str">
        <f aca="false">B230&amp;"|"&amp;C230&amp;"|"&amp;D230</f>
        <v>Mangochi District [lLDyBx5XyUi]|25-34|Male</v>
      </c>
      <c r="F230" s="10"/>
      <c r="G230" s="88" t="str">
        <f aca="false">IF(SUM($F230)=0,"",0%)</f>
        <v/>
      </c>
      <c r="H230" s="39" t="str">
        <f aca="false">IF(SUM($F230)=0,"",ROUND($F230*(1+$G230),0))</f>
        <v/>
      </c>
    </row>
    <row r="231" customFormat="false" ht="15" hidden="false" customHeight="false" outlineLevel="0" collapsed="false">
      <c r="A231" s="0" t="str">
        <f aca="false">INDEX(Prioritization!$D:$D,MATCH($B231,Prioritization!$A:$A,0))</f>
        <v>INVALID</v>
      </c>
      <c r="B231" s="0" t="s">
        <v>215</v>
      </c>
      <c r="C231" s="0" t="s">
        <v>367</v>
      </c>
      <c r="D231" s="0" t="s">
        <v>30</v>
      </c>
      <c r="E231" s="0" t="str">
        <f aca="false">B231&amp;"|"&amp;C231&amp;"|"&amp;D231</f>
        <v>Mangochi District [lLDyBx5XyUi]|35-49|Female</v>
      </c>
      <c r="F231" s="10"/>
      <c r="G231" s="88" t="str">
        <f aca="false">IF(SUM($F231)=0,"",0%)</f>
        <v/>
      </c>
      <c r="H231" s="39" t="str">
        <f aca="false">IF(SUM($F231)=0,"",ROUND($F231*(1+$G231),0))</f>
        <v/>
      </c>
    </row>
    <row r="232" customFormat="false" ht="15" hidden="false" customHeight="false" outlineLevel="0" collapsed="false">
      <c r="A232" s="0" t="str">
        <f aca="false">INDEX(Prioritization!$D:$D,MATCH($B232,Prioritization!$A:$A,0))</f>
        <v>INVALID</v>
      </c>
      <c r="B232" s="0" t="s">
        <v>215</v>
      </c>
      <c r="C232" s="0" t="s">
        <v>367</v>
      </c>
      <c r="D232" s="0" t="s">
        <v>48</v>
      </c>
      <c r="E232" s="0" t="str">
        <f aca="false">B232&amp;"|"&amp;C232&amp;"|"&amp;D232</f>
        <v>Mangochi District [lLDyBx5XyUi]|35-49|Male</v>
      </c>
      <c r="F232" s="10"/>
      <c r="G232" s="88" t="str">
        <f aca="false">IF(SUM($F232)=0,"",0%)</f>
        <v/>
      </c>
      <c r="H232" s="39" t="str">
        <f aca="false">IF(SUM($F232)=0,"",ROUND($F232*(1+$G232),0))</f>
        <v/>
      </c>
    </row>
    <row r="233" customFormat="false" ht="15" hidden="false" customHeight="false" outlineLevel="0" collapsed="false">
      <c r="A233" s="0" t="str">
        <f aca="false">INDEX(Prioritization!$D:$D,MATCH($B233,Prioritization!$A:$A,0))</f>
        <v>INVALID</v>
      </c>
      <c r="B233" s="0" t="s">
        <v>215</v>
      </c>
      <c r="C233" s="0" t="s">
        <v>368</v>
      </c>
      <c r="D233" s="0" t="s">
        <v>30</v>
      </c>
      <c r="E233" s="0" t="str">
        <f aca="false">B233&amp;"|"&amp;C233&amp;"|"&amp;D233</f>
        <v>Mangochi District [lLDyBx5XyUi]|50+|Female</v>
      </c>
      <c r="F233" s="10"/>
      <c r="G233" s="88" t="str">
        <f aca="false">IF(SUM($F233)=0,"",0%)</f>
        <v/>
      </c>
      <c r="H233" s="39" t="str">
        <f aca="false">IF(SUM($F233)=0,"",ROUND($F233*(1+$G233),0))</f>
        <v/>
      </c>
    </row>
    <row r="234" customFormat="false" ht="15" hidden="false" customHeight="false" outlineLevel="0" collapsed="false">
      <c r="A234" s="0" t="str">
        <f aca="false">INDEX(Prioritization!$D:$D,MATCH($B234,Prioritization!$A:$A,0))</f>
        <v>INVALID</v>
      </c>
      <c r="B234" s="0" t="s">
        <v>215</v>
      </c>
      <c r="C234" s="0" t="s">
        <v>368</v>
      </c>
      <c r="D234" s="0" t="s">
        <v>48</v>
      </c>
      <c r="E234" s="0" t="str">
        <f aca="false">B234&amp;"|"&amp;C234&amp;"|"&amp;D234</f>
        <v>Mangochi District [lLDyBx5XyUi]|50+|Male</v>
      </c>
      <c r="F234" s="10"/>
      <c r="G234" s="88" t="str">
        <f aca="false">IF(SUM($F234)=0,"",0%)</f>
        <v/>
      </c>
      <c r="H234" s="39" t="str">
        <f aca="false">IF(SUM($F234)=0,"",ROUND($F234*(1+$G234),0))</f>
        <v/>
      </c>
    </row>
    <row r="235" customFormat="false" ht="15" hidden="false" customHeight="false" outlineLevel="0" collapsed="false">
      <c r="A235" s="0" t="str">
        <f aca="false">INDEX(Prioritization!$D:$D,MATCH($B235,Prioritization!$A:$A,0))</f>
        <v>INVALID</v>
      </c>
      <c r="B235" s="0" t="s">
        <v>216</v>
      </c>
      <c r="C235" s="0" t="s">
        <v>364</v>
      </c>
      <c r="D235" s="0" t="s">
        <v>30</v>
      </c>
      <c r="E235" s="0" t="str">
        <f aca="false">B235&amp;"|"&amp;C235&amp;"|"&amp;D235</f>
        <v>Mulanje District [umc2n1Z4wNv]|10-14|Female</v>
      </c>
      <c r="F235" s="10"/>
      <c r="G235" s="88" t="str">
        <f aca="false">IF(SUM($F235)=0,"",0%)</f>
        <v/>
      </c>
      <c r="H235" s="39" t="str">
        <f aca="false">IF(SUM($F235)=0,"",ROUND($F235*(1+$G235),0))</f>
        <v/>
      </c>
    </row>
    <row r="236" customFormat="false" ht="15" hidden="false" customHeight="false" outlineLevel="0" collapsed="false">
      <c r="A236" s="0" t="str">
        <f aca="false">INDEX(Prioritization!$D:$D,MATCH($B236,Prioritization!$A:$A,0))</f>
        <v>INVALID</v>
      </c>
      <c r="B236" s="0" t="s">
        <v>216</v>
      </c>
      <c r="C236" s="0" t="s">
        <v>364</v>
      </c>
      <c r="D236" s="0" t="s">
        <v>48</v>
      </c>
      <c r="E236" s="0" t="str">
        <f aca="false">B236&amp;"|"&amp;C236&amp;"|"&amp;D236</f>
        <v>Mulanje District [umc2n1Z4wNv]|10-14|Male</v>
      </c>
      <c r="F236" s="10"/>
      <c r="G236" s="88" t="str">
        <f aca="false">IF(SUM($F236)=0,"",0%)</f>
        <v/>
      </c>
      <c r="H236" s="39" t="str">
        <f aca="false">IF(SUM($F236)=0,"",ROUND($F236*(1+$G236),0))</f>
        <v/>
      </c>
    </row>
    <row r="237" customFormat="false" ht="15" hidden="false" customHeight="false" outlineLevel="0" collapsed="false">
      <c r="A237" s="0" t="str">
        <f aca="false">INDEX(Prioritization!$D:$D,MATCH($B237,Prioritization!$A:$A,0))</f>
        <v>INVALID</v>
      </c>
      <c r="B237" s="0" t="s">
        <v>216</v>
      </c>
      <c r="C237" s="0" t="s">
        <v>365</v>
      </c>
      <c r="D237" s="0" t="s">
        <v>30</v>
      </c>
      <c r="E237" s="0" t="str">
        <f aca="false">B237&amp;"|"&amp;C237&amp;"|"&amp;D237</f>
        <v>Mulanje District [umc2n1Z4wNv]|15-24|Female</v>
      </c>
      <c r="F237" s="10"/>
      <c r="G237" s="88" t="str">
        <f aca="false">IF(SUM($F237)=0,"",0%)</f>
        <v/>
      </c>
      <c r="H237" s="39" t="str">
        <f aca="false">IF(SUM($F237)=0,"",ROUND($F237*(1+$G237),0))</f>
        <v/>
      </c>
    </row>
    <row r="238" customFormat="false" ht="15" hidden="false" customHeight="false" outlineLevel="0" collapsed="false">
      <c r="A238" s="0" t="str">
        <f aca="false">INDEX(Prioritization!$D:$D,MATCH($B238,Prioritization!$A:$A,0))</f>
        <v>INVALID</v>
      </c>
      <c r="B238" s="0" t="s">
        <v>216</v>
      </c>
      <c r="C238" s="0" t="s">
        <v>365</v>
      </c>
      <c r="D238" s="0" t="s">
        <v>48</v>
      </c>
      <c r="E238" s="0" t="str">
        <f aca="false">B238&amp;"|"&amp;C238&amp;"|"&amp;D238</f>
        <v>Mulanje District [umc2n1Z4wNv]|15-24|Male</v>
      </c>
      <c r="F238" s="10"/>
      <c r="G238" s="88" t="str">
        <f aca="false">IF(SUM($F238)=0,"",0%)</f>
        <v/>
      </c>
      <c r="H238" s="39" t="str">
        <f aca="false">IF(SUM($F238)=0,"",ROUND($F238*(1+$G238),0))</f>
        <v/>
      </c>
    </row>
    <row r="239" customFormat="false" ht="15" hidden="false" customHeight="false" outlineLevel="0" collapsed="false">
      <c r="A239" s="0" t="str">
        <f aca="false">INDEX(Prioritization!$D:$D,MATCH($B239,Prioritization!$A:$A,0))</f>
        <v>INVALID</v>
      </c>
      <c r="B239" s="0" t="s">
        <v>216</v>
      </c>
      <c r="C239" s="0" t="s">
        <v>366</v>
      </c>
      <c r="D239" s="0" t="s">
        <v>30</v>
      </c>
      <c r="E239" s="0" t="str">
        <f aca="false">B239&amp;"|"&amp;C239&amp;"|"&amp;D239</f>
        <v>Mulanje District [umc2n1Z4wNv]|25-34|Female</v>
      </c>
      <c r="F239" s="10"/>
      <c r="G239" s="88" t="str">
        <f aca="false">IF(SUM($F239)=0,"",0%)</f>
        <v/>
      </c>
      <c r="H239" s="39" t="str">
        <f aca="false">IF(SUM($F239)=0,"",ROUND($F239*(1+$G239),0))</f>
        <v/>
      </c>
    </row>
    <row r="240" customFormat="false" ht="15" hidden="false" customHeight="false" outlineLevel="0" collapsed="false">
      <c r="A240" s="0" t="str">
        <f aca="false">INDEX(Prioritization!$D:$D,MATCH($B240,Prioritization!$A:$A,0))</f>
        <v>INVALID</v>
      </c>
      <c r="B240" s="0" t="s">
        <v>216</v>
      </c>
      <c r="C240" s="0" t="s">
        <v>366</v>
      </c>
      <c r="D240" s="0" t="s">
        <v>48</v>
      </c>
      <c r="E240" s="0" t="str">
        <f aca="false">B240&amp;"|"&amp;C240&amp;"|"&amp;D240</f>
        <v>Mulanje District [umc2n1Z4wNv]|25-34|Male</v>
      </c>
      <c r="F240" s="10"/>
      <c r="G240" s="88" t="str">
        <f aca="false">IF(SUM($F240)=0,"",0%)</f>
        <v/>
      </c>
      <c r="H240" s="39" t="str">
        <f aca="false">IF(SUM($F240)=0,"",ROUND($F240*(1+$G240),0))</f>
        <v/>
      </c>
    </row>
    <row r="241" customFormat="false" ht="15" hidden="false" customHeight="false" outlineLevel="0" collapsed="false">
      <c r="A241" s="0" t="str">
        <f aca="false">INDEX(Prioritization!$D:$D,MATCH($B241,Prioritization!$A:$A,0))</f>
        <v>INVALID</v>
      </c>
      <c r="B241" s="0" t="s">
        <v>216</v>
      </c>
      <c r="C241" s="0" t="s">
        <v>367</v>
      </c>
      <c r="D241" s="0" t="s">
        <v>30</v>
      </c>
      <c r="E241" s="0" t="str">
        <f aca="false">B241&amp;"|"&amp;C241&amp;"|"&amp;D241</f>
        <v>Mulanje District [umc2n1Z4wNv]|35-49|Female</v>
      </c>
      <c r="F241" s="10"/>
      <c r="G241" s="88" t="str">
        <f aca="false">IF(SUM($F241)=0,"",0%)</f>
        <v/>
      </c>
      <c r="H241" s="39" t="str">
        <f aca="false">IF(SUM($F241)=0,"",ROUND($F241*(1+$G241),0))</f>
        <v/>
      </c>
    </row>
    <row r="242" customFormat="false" ht="15" hidden="false" customHeight="false" outlineLevel="0" collapsed="false">
      <c r="A242" s="0" t="str">
        <f aca="false">INDEX(Prioritization!$D:$D,MATCH($B242,Prioritization!$A:$A,0))</f>
        <v>INVALID</v>
      </c>
      <c r="B242" s="0" t="s">
        <v>216</v>
      </c>
      <c r="C242" s="0" t="s">
        <v>367</v>
      </c>
      <c r="D242" s="0" t="s">
        <v>48</v>
      </c>
      <c r="E242" s="0" t="str">
        <f aca="false">B242&amp;"|"&amp;C242&amp;"|"&amp;D242</f>
        <v>Mulanje District [umc2n1Z4wNv]|35-49|Male</v>
      </c>
      <c r="F242" s="10"/>
      <c r="G242" s="88" t="str">
        <f aca="false">IF(SUM($F242)=0,"",0%)</f>
        <v/>
      </c>
      <c r="H242" s="39" t="str">
        <f aca="false">IF(SUM($F242)=0,"",ROUND($F242*(1+$G242),0))</f>
        <v/>
      </c>
    </row>
    <row r="243" customFormat="false" ht="15" hidden="false" customHeight="false" outlineLevel="0" collapsed="false">
      <c r="A243" s="0" t="str">
        <f aca="false">INDEX(Prioritization!$D:$D,MATCH($B243,Prioritization!$A:$A,0))</f>
        <v>INVALID</v>
      </c>
      <c r="B243" s="0" t="s">
        <v>216</v>
      </c>
      <c r="C243" s="0" t="s">
        <v>368</v>
      </c>
      <c r="D243" s="0" t="s">
        <v>30</v>
      </c>
      <c r="E243" s="0" t="str">
        <f aca="false">B243&amp;"|"&amp;C243&amp;"|"&amp;D243</f>
        <v>Mulanje District [umc2n1Z4wNv]|50+|Female</v>
      </c>
      <c r="F243" s="10"/>
      <c r="G243" s="88" t="str">
        <f aca="false">IF(SUM($F243)=0,"",0%)</f>
        <v/>
      </c>
      <c r="H243" s="39" t="str">
        <f aca="false">IF(SUM($F243)=0,"",ROUND($F243*(1+$G243),0))</f>
        <v/>
      </c>
    </row>
    <row r="244" customFormat="false" ht="15" hidden="false" customHeight="false" outlineLevel="0" collapsed="false">
      <c r="A244" s="0" t="str">
        <f aca="false">INDEX(Prioritization!$D:$D,MATCH($B244,Prioritization!$A:$A,0))</f>
        <v>INVALID</v>
      </c>
      <c r="B244" s="0" t="s">
        <v>216</v>
      </c>
      <c r="C244" s="0" t="s">
        <v>368</v>
      </c>
      <c r="D244" s="0" t="s">
        <v>48</v>
      </c>
      <c r="E244" s="0" t="str">
        <f aca="false">B244&amp;"|"&amp;C244&amp;"|"&amp;D244</f>
        <v>Mulanje District [umc2n1Z4wNv]|50+|Male</v>
      </c>
      <c r="F244" s="10"/>
      <c r="G244" s="88" t="str">
        <f aca="false">IF(SUM($F244)=0,"",0%)</f>
        <v/>
      </c>
      <c r="H244" s="39" t="str">
        <f aca="false">IF(SUM($F244)=0,"",ROUND($F244*(1+$G244),0))</f>
        <v/>
      </c>
    </row>
    <row r="245" customFormat="false" ht="15" hidden="false" customHeight="false" outlineLevel="0" collapsed="false">
      <c r="A245" s="0" t="str">
        <f aca="false">INDEX(Prioritization!$D:$D,MATCH($B245,Prioritization!$A:$A,0))</f>
        <v>INVALID</v>
      </c>
      <c r="B245" s="0" t="s">
        <v>217</v>
      </c>
      <c r="C245" s="0" t="s">
        <v>364</v>
      </c>
      <c r="D245" s="0" t="s">
        <v>30</v>
      </c>
      <c r="E245" s="0" t="str">
        <f aca="false">B245&amp;"|"&amp;C245&amp;"|"&amp;D245</f>
        <v>Mwanza District [wNqJp8oRIcF]|10-14|Female</v>
      </c>
      <c r="F245" s="10"/>
      <c r="G245" s="88" t="str">
        <f aca="false">IF(SUM($F245)=0,"",0%)</f>
        <v/>
      </c>
      <c r="H245" s="39" t="str">
        <f aca="false">IF(SUM($F245)=0,"",ROUND($F245*(1+$G245),0))</f>
        <v/>
      </c>
    </row>
    <row r="246" customFormat="false" ht="15" hidden="false" customHeight="false" outlineLevel="0" collapsed="false">
      <c r="A246" s="0" t="str">
        <f aca="false">INDEX(Prioritization!$D:$D,MATCH($B246,Prioritization!$A:$A,0))</f>
        <v>INVALID</v>
      </c>
      <c r="B246" s="0" t="s">
        <v>217</v>
      </c>
      <c r="C246" s="0" t="s">
        <v>364</v>
      </c>
      <c r="D246" s="0" t="s">
        <v>48</v>
      </c>
      <c r="E246" s="0" t="str">
        <f aca="false">B246&amp;"|"&amp;C246&amp;"|"&amp;D246</f>
        <v>Mwanza District [wNqJp8oRIcF]|10-14|Male</v>
      </c>
      <c r="F246" s="10"/>
      <c r="G246" s="88" t="str">
        <f aca="false">IF(SUM($F246)=0,"",0%)</f>
        <v/>
      </c>
      <c r="H246" s="39" t="str">
        <f aca="false">IF(SUM($F246)=0,"",ROUND($F246*(1+$G246),0))</f>
        <v/>
      </c>
    </row>
    <row r="247" customFormat="false" ht="15" hidden="false" customHeight="false" outlineLevel="0" collapsed="false">
      <c r="A247" s="0" t="str">
        <f aca="false">INDEX(Prioritization!$D:$D,MATCH($B247,Prioritization!$A:$A,0))</f>
        <v>INVALID</v>
      </c>
      <c r="B247" s="0" t="s">
        <v>217</v>
      </c>
      <c r="C247" s="0" t="s">
        <v>365</v>
      </c>
      <c r="D247" s="0" t="s">
        <v>30</v>
      </c>
      <c r="E247" s="0" t="str">
        <f aca="false">B247&amp;"|"&amp;C247&amp;"|"&amp;D247</f>
        <v>Mwanza District [wNqJp8oRIcF]|15-24|Female</v>
      </c>
      <c r="F247" s="10"/>
      <c r="G247" s="88" t="str">
        <f aca="false">IF(SUM($F247)=0,"",0%)</f>
        <v/>
      </c>
      <c r="H247" s="39" t="str">
        <f aca="false">IF(SUM($F247)=0,"",ROUND($F247*(1+$G247),0))</f>
        <v/>
      </c>
    </row>
    <row r="248" customFormat="false" ht="15" hidden="false" customHeight="false" outlineLevel="0" collapsed="false">
      <c r="A248" s="0" t="str">
        <f aca="false">INDEX(Prioritization!$D:$D,MATCH($B248,Prioritization!$A:$A,0))</f>
        <v>INVALID</v>
      </c>
      <c r="B248" s="0" t="s">
        <v>217</v>
      </c>
      <c r="C248" s="0" t="s">
        <v>365</v>
      </c>
      <c r="D248" s="0" t="s">
        <v>48</v>
      </c>
      <c r="E248" s="0" t="str">
        <f aca="false">B248&amp;"|"&amp;C248&amp;"|"&amp;D248</f>
        <v>Mwanza District [wNqJp8oRIcF]|15-24|Male</v>
      </c>
      <c r="F248" s="10"/>
      <c r="G248" s="88" t="str">
        <f aca="false">IF(SUM($F248)=0,"",0%)</f>
        <v/>
      </c>
      <c r="H248" s="39" t="str">
        <f aca="false">IF(SUM($F248)=0,"",ROUND($F248*(1+$G248),0))</f>
        <v/>
      </c>
    </row>
    <row r="249" customFormat="false" ht="15" hidden="false" customHeight="false" outlineLevel="0" collapsed="false">
      <c r="A249" s="0" t="str">
        <f aca="false">INDEX(Prioritization!$D:$D,MATCH($B249,Prioritization!$A:$A,0))</f>
        <v>INVALID</v>
      </c>
      <c r="B249" s="0" t="s">
        <v>217</v>
      </c>
      <c r="C249" s="0" t="s">
        <v>366</v>
      </c>
      <c r="D249" s="0" t="s">
        <v>30</v>
      </c>
      <c r="E249" s="0" t="str">
        <f aca="false">B249&amp;"|"&amp;C249&amp;"|"&amp;D249</f>
        <v>Mwanza District [wNqJp8oRIcF]|25-34|Female</v>
      </c>
      <c r="F249" s="10"/>
      <c r="G249" s="88" t="str">
        <f aca="false">IF(SUM($F249)=0,"",0%)</f>
        <v/>
      </c>
      <c r="H249" s="39" t="str">
        <f aca="false">IF(SUM($F249)=0,"",ROUND($F249*(1+$G249),0))</f>
        <v/>
      </c>
    </row>
    <row r="250" customFormat="false" ht="15" hidden="false" customHeight="false" outlineLevel="0" collapsed="false">
      <c r="A250" s="0" t="str">
        <f aca="false">INDEX(Prioritization!$D:$D,MATCH($B250,Prioritization!$A:$A,0))</f>
        <v>INVALID</v>
      </c>
      <c r="B250" s="0" t="s">
        <v>217</v>
      </c>
      <c r="C250" s="0" t="s">
        <v>366</v>
      </c>
      <c r="D250" s="0" t="s">
        <v>48</v>
      </c>
      <c r="E250" s="0" t="str">
        <f aca="false">B250&amp;"|"&amp;C250&amp;"|"&amp;D250</f>
        <v>Mwanza District [wNqJp8oRIcF]|25-34|Male</v>
      </c>
      <c r="F250" s="10"/>
      <c r="G250" s="88" t="str">
        <f aca="false">IF(SUM($F250)=0,"",0%)</f>
        <v/>
      </c>
      <c r="H250" s="39" t="str">
        <f aca="false">IF(SUM($F250)=0,"",ROUND($F250*(1+$G250),0))</f>
        <v/>
      </c>
    </row>
    <row r="251" customFormat="false" ht="15" hidden="false" customHeight="false" outlineLevel="0" collapsed="false">
      <c r="A251" s="0" t="str">
        <f aca="false">INDEX(Prioritization!$D:$D,MATCH($B251,Prioritization!$A:$A,0))</f>
        <v>INVALID</v>
      </c>
      <c r="B251" s="0" t="s">
        <v>217</v>
      </c>
      <c r="C251" s="0" t="s">
        <v>367</v>
      </c>
      <c r="D251" s="0" t="s">
        <v>30</v>
      </c>
      <c r="E251" s="0" t="str">
        <f aca="false">B251&amp;"|"&amp;C251&amp;"|"&amp;D251</f>
        <v>Mwanza District [wNqJp8oRIcF]|35-49|Female</v>
      </c>
      <c r="F251" s="10"/>
      <c r="G251" s="88" t="str">
        <f aca="false">IF(SUM($F251)=0,"",0%)</f>
        <v/>
      </c>
      <c r="H251" s="39" t="str">
        <f aca="false">IF(SUM($F251)=0,"",ROUND($F251*(1+$G251),0))</f>
        <v/>
      </c>
    </row>
    <row r="252" customFormat="false" ht="15" hidden="false" customHeight="false" outlineLevel="0" collapsed="false">
      <c r="A252" s="0" t="str">
        <f aca="false">INDEX(Prioritization!$D:$D,MATCH($B252,Prioritization!$A:$A,0))</f>
        <v>INVALID</v>
      </c>
      <c r="B252" s="0" t="s">
        <v>217</v>
      </c>
      <c r="C252" s="0" t="s">
        <v>367</v>
      </c>
      <c r="D252" s="0" t="s">
        <v>48</v>
      </c>
      <c r="E252" s="0" t="str">
        <f aca="false">B252&amp;"|"&amp;C252&amp;"|"&amp;D252</f>
        <v>Mwanza District [wNqJp8oRIcF]|35-49|Male</v>
      </c>
      <c r="F252" s="10"/>
      <c r="G252" s="88" t="str">
        <f aca="false">IF(SUM($F252)=0,"",0%)</f>
        <v/>
      </c>
      <c r="H252" s="39" t="str">
        <f aca="false">IF(SUM($F252)=0,"",ROUND($F252*(1+$G252),0))</f>
        <v/>
      </c>
    </row>
    <row r="253" customFormat="false" ht="15" hidden="false" customHeight="false" outlineLevel="0" collapsed="false">
      <c r="A253" s="0" t="str">
        <f aca="false">INDEX(Prioritization!$D:$D,MATCH($B253,Prioritization!$A:$A,0))</f>
        <v>INVALID</v>
      </c>
      <c r="B253" s="0" t="s">
        <v>217</v>
      </c>
      <c r="C253" s="0" t="s">
        <v>368</v>
      </c>
      <c r="D253" s="0" t="s">
        <v>30</v>
      </c>
      <c r="E253" s="0" t="str">
        <f aca="false">B253&amp;"|"&amp;C253&amp;"|"&amp;D253</f>
        <v>Mwanza District [wNqJp8oRIcF]|50+|Female</v>
      </c>
      <c r="F253" s="10"/>
      <c r="G253" s="88" t="str">
        <f aca="false">IF(SUM($F253)=0,"",0%)</f>
        <v/>
      </c>
      <c r="H253" s="39" t="str">
        <f aca="false">IF(SUM($F253)=0,"",ROUND($F253*(1+$G253),0))</f>
        <v/>
      </c>
    </row>
    <row r="254" customFormat="false" ht="15" hidden="false" customHeight="false" outlineLevel="0" collapsed="false">
      <c r="A254" s="0" t="str">
        <f aca="false">INDEX(Prioritization!$D:$D,MATCH($B254,Prioritization!$A:$A,0))</f>
        <v>INVALID</v>
      </c>
      <c r="B254" s="0" t="s">
        <v>217</v>
      </c>
      <c r="C254" s="0" t="s">
        <v>368</v>
      </c>
      <c r="D254" s="0" t="s">
        <v>48</v>
      </c>
      <c r="E254" s="0" t="str">
        <f aca="false">B254&amp;"|"&amp;C254&amp;"|"&amp;D254</f>
        <v>Mwanza District [wNqJp8oRIcF]|50+|Male</v>
      </c>
      <c r="F254" s="10"/>
      <c r="G254" s="88" t="str">
        <f aca="false">IF(SUM($F254)=0,"",0%)</f>
        <v/>
      </c>
      <c r="H254" s="39" t="str">
        <f aca="false">IF(SUM($F254)=0,"",ROUND($F254*(1+$G254),0))</f>
        <v/>
      </c>
    </row>
    <row r="255" customFormat="false" ht="15" hidden="false" customHeight="false" outlineLevel="0" collapsed="false">
      <c r="A255" s="0" t="str">
        <f aca="false">INDEX(Prioritization!$D:$D,MATCH($B255,Prioritization!$A:$A,0))</f>
        <v>INVALID</v>
      </c>
      <c r="B255" s="0" t="s">
        <v>218</v>
      </c>
      <c r="C255" s="0" t="s">
        <v>364</v>
      </c>
      <c r="D255" s="0" t="s">
        <v>30</v>
      </c>
      <c r="E255" s="0" t="str">
        <f aca="false">B255&amp;"|"&amp;C255&amp;"|"&amp;D255</f>
        <v>Neno District [gwVYinjBAe9]|10-14|Female</v>
      </c>
      <c r="F255" s="10"/>
      <c r="G255" s="88" t="str">
        <f aca="false">IF(SUM($F255)=0,"",0%)</f>
        <v/>
      </c>
      <c r="H255" s="39" t="str">
        <f aca="false">IF(SUM($F255)=0,"",ROUND($F255*(1+$G255),0))</f>
        <v/>
      </c>
    </row>
    <row r="256" customFormat="false" ht="15" hidden="false" customHeight="false" outlineLevel="0" collapsed="false">
      <c r="A256" s="0" t="str">
        <f aca="false">INDEX(Prioritization!$D:$D,MATCH($B256,Prioritization!$A:$A,0))</f>
        <v>INVALID</v>
      </c>
      <c r="B256" s="0" t="s">
        <v>218</v>
      </c>
      <c r="C256" s="0" t="s">
        <v>364</v>
      </c>
      <c r="D256" s="0" t="s">
        <v>48</v>
      </c>
      <c r="E256" s="0" t="str">
        <f aca="false">B256&amp;"|"&amp;C256&amp;"|"&amp;D256</f>
        <v>Neno District [gwVYinjBAe9]|10-14|Male</v>
      </c>
      <c r="F256" s="10"/>
      <c r="G256" s="88" t="str">
        <f aca="false">IF(SUM($F256)=0,"",0%)</f>
        <v/>
      </c>
      <c r="H256" s="39" t="str">
        <f aca="false">IF(SUM($F256)=0,"",ROUND($F256*(1+$G256),0))</f>
        <v/>
      </c>
    </row>
    <row r="257" customFormat="false" ht="15" hidden="false" customHeight="false" outlineLevel="0" collapsed="false">
      <c r="A257" s="0" t="str">
        <f aca="false">INDEX(Prioritization!$D:$D,MATCH($B257,Prioritization!$A:$A,0))</f>
        <v>INVALID</v>
      </c>
      <c r="B257" s="0" t="s">
        <v>218</v>
      </c>
      <c r="C257" s="0" t="s">
        <v>365</v>
      </c>
      <c r="D257" s="0" t="s">
        <v>30</v>
      </c>
      <c r="E257" s="0" t="str">
        <f aca="false">B257&amp;"|"&amp;C257&amp;"|"&amp;D257</f>
        <v>Neno District [gwVYinjBAe9]|15-24|Female</v>
      </c>
      <c r="F257" s="10"/>
      <c r="G257" s="88" t="str">
        <f aca="false">IF(SUM($F257)=0,"",0%)</f>
        <v/>
      </c>
      <c r="H257" s="39" t="str">
        <f aca="false">IF(SUM($F257)=0,"",ROUND($F257*(1+$G257),0))</f>
        <v/>
      </c>
    </row>
    <row r="258" customFormat="false" ht="15" hidden="false" customHeight="false" outlineLevel="0" collapsed="false">
      <c r="A258" s="0" t="str">
        <f aca="false">INDEX(Prioritization!$D:$D,MATCH($B258,Prioritization!$A:$A,0))</f>
        <v>INVALID</v>
      </c>
      <c r="B258" s="0" t="s">
        <v>218</v>
      </c>
      <c r="C258" s="0" t="s">
        <v>365</v>
      </c>
      <c r="D258" s="0" t="s">
        <v>48</v>
      </c>
      <c r="E258" s="0" t="str">
        <f aca="false">B258&amp;"|"&amp;C258&amp;"|"&amp;D258</f>
        <v>Neno District [gwVYinjBAe9]|15-24|Male</v>
      </c>
      <c r="F258" s="10"/>
      <c r="G258" s="88" t="str">
        <f aca="false">IF(SUM($F258)=0,"",0%)</f>
        <v/>
      </c>
      <c r="H258" s="39" t="str">
        <f aca="false">IF(SUM($F258)=0,"",ROUND($F258*(1+$G258),0))</f>
        <v/>
      </c>
    </row>
    <row r="259" customFormat="false" ht="15" hidden="false" customHeight="false" outlineLevel="0" collapsed="false">
      <c r="A259" s="0" t="str">
        <f aca="false">INDEX(Prioritization!$D:$D,MATCH($B259,Prioritization!$A:$A,0))</f>
        <v>INVALID</v>
      </c>
      <c r="B259" s="0" t="s">
        <v>218</v>
      </c>
      <c r="C259" s="0" t="s">
        <v>366</v>
      </c>
      <c r="D259" s="0" t="s">
        <v>30</v>
      </c>
      <c r="E259" s="0" t="str">
        <f aca="false">B259&amp;"|"&amp;C259&amp;"|"&amp;D259</f>
        <v>Neno District [gwVYinjBAe9]|25-34|Female</v>
      </c>
      <c r="F259" s="10"/>
      <c r="G259" s="88" t="str">
        <f aca="false">IF(SUM($F259)=0,"",0%)</f>
        <v/>
      </c>
      <c r="H259" s="39" t="str">
        <f aca="false">IF(SUM($F259)=0,"",ROUND($F259*(1+$G259),0))</f>
        <v/>
      </c>
    </row>
    <row r="260" customFormat="false" ht="15" hidden="false" customHeight="false" outlineLevel="0" collapsed="false">
      <c r="A260" s="0" t="str">
        <f aca="false">INDEX(Prioritization!$D:$D,MATCH($B260,Prioritization!$A:$A,0))</f>
        <v>INVALID</v>
      </c>
      <c r="B260" s="0" t="s">
        <v>218</v>
      </c>
      <c r="C260" s="0" t="s">
        <v>366</v>
      </c>
      <c r="D260" s="0" t="s">
        <v>48</v>
      </c>
      <c r="E260" s="0" t="str">
        <f aca="false">B260&amp;"|"&amp;C260&amp;"|"&amp;D260</f>
        <v>Neno District [gwVYinjBAe9]|25-34|Male</v>
      </c>
      <c r="F260" s="10"/>
      <c r="G260" s="88" t="str">
        <f aca="false">IF(SUM($F260)=0,"",0%)</f>
        <v/>
      </c>
      <c r="H260" s="39" t="str">
        <f aca="false">IF(SUM($F260)=0,"",ROUND($F260*(1+$G260),0))</f>
        <v/>
      </c>
    </row>
    <row r="261" customFormat="false" ht="15" hidden="false" customHeight="false" outlineLevel="0" collapsed="false">
      <c r="A261" s="0" t="str">
        <f aca="false">INDEX(Prioritization!$D:$D,MATCH($B261,Prioritization!$A:$A,0))</f>
        <v>INVALID</v>
      </c>
      <c r="B261" s="0" t="s">
        <v>218</v>
      </c>
      <c r="C261" s="0" t="s">
        <v>367</v>
      </c>
      <c r="D261" s="0" t="s">
        <v>30</v>
      </c>
      <c r="E261" s="0" t="str">
        <f aca="false">B261&amp;"|"&amp;C261&amp;"|"&amp;D261</f>
        <v>Neno District [gwVYinjBAe9]|35-49|Female</v>
      </c>
      <c r="F261" s="10"/>
      <c r="G261" s="88" t="str">
        <f aca="false">IF(SUM($F261)=0,"",0%)</f>
        <v/>
      </c>
      <c r="H261" s="39" t="str">
        <f aca="false">IF(SUM($F261)=0,"",ROUND($F261*(1+$G261),0))</f>
        <v/>
      </c>
    </row>
    <row r="262" customFormat="false" ht="15" hidden="false" customHeight="false" outlineLevel="0" collapsed="false">
      <c r="A262" s="0" t="str">
        <f aca="false">INDEX(Prioritization!$D:$D,MATCH($B262,Prioritization!$A:$A,0))</f>
        <v>INVALID</v>
      </c>
      <c r="B262" s="0" t="s">
        <v>218</v>
      </c>
      <c r="C262" s="0" t="s">
        <v>367</v>
      </c>
      <c r="D262" s="0" t="s">
        <v>48</v>
      </c>
      <c r="E262" s="0" t="str">
        <f aca="false">B262&amp;"|"&amp;C262&amp;"|"&amp;D262</f>
        <v>Neno District [gwVYinjBAe9]|35-49|Male</v>
      </c>
      <c r="F262" s="10"/>
      <c r="G262" s="88" t="str">
        <f aca="false">IF(SUM($F262)=0,"",0%)</f>
        <v/>
      </c>
      <c r="H262" s="39" t="str">
        <f aca="false">IF(SUM($F262)=0,"",ROUND($F262*(1+$G262),0))</f>
        <v/>
      </c>
    </row>
    <row r="263" customFormat="false" ht="15" hidden="false" customHeight="false" outlineLevel="0" collapsed="false">
      <c r="A263" s="0" t="str">
        <f aca="false">INDEX(Prioritization!$D:$D,MATCH($B263,Prioritization!$A:$A,0))</f>
        <v>INVALID</v>
      </c>
      <c r="B263" s="0" t="s">
        <v>218</v>
      </c>
      <c r="C263" s="0" t="s">
        <v>368</v>
      </c>
      <c r="D263" s="0" t="s">
        <v>30</v>
      </c>
      <c r="E263" s="0" t="str">
        <f aca="false">B263&amp;"|"&amp;C263&amp;"|"&amp;D263</f>
        <v>Neno District [gwVYinjBAe9]|50+|Female</v>
      </c>
      <c r="F263" s="10"/>
      <c r="G263" s="88" t="str">
        <f aca="false">IF(SUM($F263)=0,"",0%)</f>
        <v/>
      </c>
      <c r="H263" s="39" t="str">
        <f aca="false">IF(SUM($F263)=0,"",ROUND($F263*(1+$G263),0))</f>
        <v/>
      </c>
    </row>
    <row r="264" customFormat="false" ht="15" hidden="false" customHeight="false" outlineLevel="0" collapsed="false">
      <c r="A264" s="0" t="str">
        <f aca="false">INDEX(Prioritization!$D:$D,MATCH($B264,Prioritization!$A:$A,0))</f>
        <v>INVALID</v>
      </c>
      <c r="B264" s="0" t="s">
        <v>218</v>
      </c>
      <c r="C264" s="0" t="s">
        <v>368</v>
      </c>
      <c r="D264" s="0" t="s">
        <v>48</v>
      </c>
      <c r="E264" s="0" t="str">
        <f aca="false">B264&amp;"|"&amp;C264&amp;"|"&amp;D264</f>
        <v>Neno District [gwVYinjBAe9]|50+|Male</v>
      </c>
      <c r="F264" s="10"/>
      <c r="G264" s="88" t="str">
        <f aca="false">IF(SUM($F264)=0,"",0%)</f>
        <v/>
      </c>
      <c r="H264" s="39" t="str">
        <f aca="false">IF(SUM($F264)=0,"",ROUND($F264*(1+$G264),0))</f>
        <v/>
      </c>
    </row>
    <row r="265" customFormat="false" ht="15" hidden="false" customHeight="false" outlineLevel="0" collapsed="false">
      <c r="A265" s="0" t="str">
        <f aca="false">INDEX(Prioritization!$D:$D,MATCH($B265,Prioritization!$A:$A,0))</f>
        <v>INVALID</v>
      </c>
      <c r="B265" s="0" t="s">
        <v>219</v>
      </c>
      <c r="C265" s="0" t="s">
        <v>364</v>
      </c>
      <c r="D265" s="0" t="s">
        <v>30</v>
      </c>
      <c r="E265" s="0" t="str">
        <f aca="false">B265&amp;"|"&amp;C265&amp;"|"&amp;D265</f>
        <v>Nsanje District [rpw540fmNUz]|10-14|Female</v>
      </c>
      <c r="F265" s="10"/>
      <c r="G265" s="88" t="str">
        <f aca="false">IF(SUM($F265)=0,"",0%)</f>
        <v/>
      </c>
      <c r="H265" s="39" t="str">
        <f aca="false">IF(SUM($F265)=0,"",ROUND($F265*(1+$G265),0))</f>
        <v/>
      </c>
    </row>
    <row r="266" customFormat="false" ht="15" hidden="false" customHeight="false" outlineLevel="0" collapsed="false">
      <c r="A266" s="0" t="str">
        <f aca="false">INDEX(Prioritization!$D:$D,MATCH($B266,Prioritization!$A:$A,0))</f>
        <v>INVALID</v>
      </c>
      <c r="B266" s="0" t="s">
        <v>219</v>
      </c>
      <c r="C266" s="0" t="s">
        <v>364</v>
      </c>
      <c r="D266" s="0" t="s">
        <v>48</v>
      </c>
      <c r="E266" s="0" t="str">
        <f aca="false">B266&amp;"|"&amp;C266&amp;"|"&amp;D266</f>
        <v>Nsanje District [rpw540fmNUz]|10-14|Male</v>
      </c>
      <c r="F266" s="10"/>
      <c r="G266" s="88" t="str">
        <f aca="false">IF(SUM($F266)=0,"",0%)</f>
        <v/>
      </c>
      <c r="H266" s="39" t="str">
        <f aca="false">IF(SUM($F266)=0,"",ROUND($F266*(1+$G266),0))</f>
        <v/>
      </c>
    </row>
    <row r="267" customFormat="false" ht="15" hidden="false" customHeight="false" outlineLevel="0" collapsed="false">
      <c r="A267" s="0" t="str">
        <f aca="false">INDEX(Prioritization!$D:$D,MATCH($B267,Prioritization!$A:$A,0))</f>
        <v>INVALID</v>
      </c>
      <c r="B267" s="0" t="s">
        <v>219</v>
      </c>
      <c r="C267" s="0" t="s">
        <v>365</v>
      </c>
      <c r="D267" s="0" t="s">
        <v>30</v>
      </c>
      <c r="E267" s="0" t="str">
        <f aca="false">B267&amp;"|"&amp;C267&amp;"|"&amp;D267</f>
        <v>Nsanje District [rpw540fmNUz]|15-24|Female</v>
      </c>
      <c r="F267" s="10"/>
      <c r="G267" s="88" t="str">
        <f aca="false">IF(SUM($F267)=0,"",0%)</f>
        <v/>
      </c>
      <c r="H267" s="39" t="str">
        <f aca="false">IF(SUM($F267)=0,"",ROUND($F267*(1+$G267),0))</f>
        <v/>
      </c>
    </row>
    <row r="268" customFormat="false" ht="15" hidden="false" customHeight="false" outlineLevel="0" collapsed="false">
      <c r="A268" s="0" t="str">
        <f aca="false">INDEX(Prioritization!$D:$D,MATCH($B268,Prioritization!$A:$A,0))</f>
        <v>INVALID</v>
      </c>
      <c r="B268" s="0" t="s">
        <v>219</v>
      </c>
      <c r="C268" s="0" t="s">
        <v>365</v>
      </c>
      <c r="D268" s="0" t="s">
        <v>48</v>
      </c>
      <c r="E268" s="0" t="str">
        <f aca="false">B268&amp;"|"&amp;C268&amp;"|"&amp;D268</f>
        <v>Nsanje District [rpw540fmNUz]|15-24|Male</v>
      </c>
      <c r="F268" s="10"/>
      <c r="G268" s="88" t="str">
        <f aca="false">IF(SUM($F268)=0,"",0%)</f>
        <v/>
      </c>
      <c r="H268" s="39" t="str">
        <f aca="false">IF(SUM($F268)=0,"",ROUND($F268*(1+$G268),0))</f>
        <v/>
      </c>
    </row>
    <row r="269" customFormat="false" ht="15" hidden="false" customHeight="false" outlineLevel="0" collapsed="false">
      <c r="A269" s="0" t="str">
        <f aca="false">INDEX(Prioritization!$D:$D,MATCH($B269,Prioritization!$A:$A,0))</f>
        <v>INVALID</v>
      </c>
      <c r="B269" s="0" t="s">
        <v>219</v>
      </c>
      <c r="C269" s="0" t="s">
        <v>366</v>
      </c>
      <c r="D269" s="0" t="s">
        <v>30</v>
      </c>
      <c r="E269" s="0" t="str">
        <f aca="false">B269&amp;"|"&amp;C269&amp;"|"&amp;D269</f>
        <v>Nsanje District [rpw540fmNUz]|25-34|Female</v>
      </c>
      <c r="F269" s="10"/>
      <c r="G269" s="88" t="str">
        <f aca="false">IF(SUM($F269)=0,"",0%)</f>
        <v/>
      </c>
      <c r="H269" s="39" t="str">
        <f aca="false">IF(SUM($F269)=0,"",ROUND($F269*(1+$G269),0))</f>
        <v/>
      </c>
    </row>
    <row r="270" customFormat="false" ht="15" hidden="false" customHeight="false" outlineLevel="0" collapsed="false">
      <c r="A270" s="0" t="str">
        <f aca="false">INDEX(Prioritization!$D:$D,MATCH($B270,Prioritization!$A:$A,0))</f>
        <v>INVALID</v>
      </c>
      <c r="B270" s="0" t="s">
        <v>219</v>
      </c>
      <c r="C270" s="0" t="s">
        <v>366</v>
      </c>
      <c r="D270" s="0" t="s">
        <v>48</v>
      </c>
      <c r="E270" s="0" t="str">
        <f aca="false">B270&amp;"|"&amp;C270&amp;"|"&amp;D270</f>
        <v>Nsanje District [rpw540fmNUz]|25-34|Male</v>
      </c>
      <c r="F270" s="10"/>
      <c r="G270" s="88" t="str">
        <f aca="false">IF(SUM($F270)=0,"",0%)</f>
        <v/>
      </c>
      <c r="H270" s="39" t="str">
        <f aca="false">IF(SUM($F270)=0,"",ROUND($F270*(1+$G270),0))</f>
        <v/>
      </c>
    </row>
    <row r="271" customFormat="false" ht="15" hidden="false" customHeight="false" outlineLevel="0" collapsed="false">
      <c r="A271" s="0" t="str">
        <f aca="false">INDEX(Prioritization!$D:$D,MATCH($B271,Prioritization!$A:$A,0))</f>
        <v>INVALID</v>
      </c>
      <c r="B271" s="0" t="s">
        <v>219</v>
      </c>
      <c r="C271" s="0" t="s">
        <v>367</v>
      </c>
      <c r="D271" s="0" t="s">
        <v>30</v>
      </c>
      <c r="E271" s="0" t="str">
        <f aca="false">B271&amp;"|"&amp;C271&amp;"|"&amp;D271</f>
        <v>Nsanje District [rpw540fmNUz]|35-49|Female</v>
      </c>
      <c r="F271" s="10"/>
      <c r="G271" s="88" t="str">
        <f aca="false">IF(SUM($F271)=0,"",0%)</f>
        <v/>
      </c>
      <c r="H271" s="39" t="str">
        <f aca="false">IF(SUM($F271)=0,"",ROUND($F271*(1+$G271),0))</f>
        <v/>
      </c>
    </row>
    <row r="272" customFormat="false" ht="15" hidden="false" customHeight="false" outlineLevel="0" collapsed="false">
      <c r="A272" s="0" t="str">
        <f aca="false">INDEX(Prioritization!$D:$D,MATCH($B272,Prioritization!$A:$A,0))</f>
        <v>INVALID</v>
      </c>
      <c r="B272" s="0" t="s">
        <v>219</v>
      </c>
      <c r="C272" s="0" t="s">
        <v>367</v>
      </c>
      <c r="D272" s="0" t="s">
        <v>48</v>
      </c>
      <c r="E272" s="0" t="str">
        <f aca="false">B272&amp;"|"&amp;C272&amp;"|"&amp;D272</f>
        <v>Nsanje District [rpw540fmNUz]|35-49|Male</v>
      </c>
      <c r="F272" s="10"/>
      <c r="G272" s="88" t="str">
        <f aca="false">IF(SUM($F272)=0,"",0%)</f>
        <v/>
      </c>
      <c r="H272" s="39" t="str">
        <f aca="false">IF(SUM($F272)=0,"",ROUND($F272*(1+$G272),0))</f>
        <v/>
      </c>
    </row>
    <row r="273" customFormat="false" ht="15" hidden="false" customHeight="false" outlineLevel="0" collapsed="false">
      <c r="A273" s="0" t="str">
        <f aca="false">INDEX(Prioritization!$D:$D,MATCH($B273,Prioritization!$A:$A,0))</f>
        <v>INVALID</v>
      </c>
      <c r="B273" s="0" t="s">
        <v>219</v>
      </c>
      <c r="C273" s="0" t="s">
        <v>368</v>
      </c>
      <c r="D273" s="0" t="s">
        <v>30</v>
      </c>
      <c r="E273" s="0" t="str">
        <f aca="false">B273&amp;"|"&amp;C273&amp;"|"&amp;D273</f>
        <v>Nsanje District [rpw540fmNUz]|50+|Female</v>
      </c>
      <c r="F273" s="10"/>
      <c r="G273" s="88" t="str">
        <f aca="false">IF(SUM($F273)=0,"",0%)</f>
        <v/>
      </c>
      <c r="H273" s="39" t="str">
        <f aca="false">IF(SUM($F273)=0,"",ROUND($F273*(1+$G273),0))</f>
        <v/>
      </c>
    </row>
    <row r="274" customFormat="false" ht="15" hidden="false" customHeight="false" outlineLevel="0" collapsed="false">
      <c r="A274" s="0" t="str">
        <f aca="false">INDEX(Prioritization!$D:$D,MATCH($B274,Prioritization!$A:$A,0))</f>
        <v>INVALID</v>
      </c>
      <c r="B274" s="0" t="s">
        <v>219</v>
      </c>
      <c r="C274" s="0" t="s">
        <v>368</v>
      </c>
      <c r="D274" s="0" t="s">
        <v>48</v>
      </c>
      <c r="E274" s="0" t="str">
        <f aca="false">B274&amp;"|"&amp;C274&amp;"|"&amp;D274</f>
        <v>Nsanje District [rpw540fmNUz]|50+|Male</v>
      </c>
      <c r="F274" s="10"/>
      <c r="G274" s="88" t="str">
        <f aca="false">IF(SUM($F274)=0,"",0%)</f>
        <v/>
      </c>
      <c r="H274" s="39" t="str">
        <f aca="false">IF(SUM($F274)=0,"",ROUND($F274*(1+$G274),0))</f>
        <v/>
      </c>
    </row>
    <row r="275" customFormat="false" ht="15" hidden="false" customHeight="false" outlineLevel="0" collapsed="false">
      <c r="A275" s="0" t="str">
        <f aca="false">INDEX(Prioritization!$D:$D,MATCH($B275,Prioritization!$A:$A,0))</f>
        <v>INVALID</v>
      </c>
      <c r="B275" s="0" t="s">
        <v>220</v>
      </c>
      <c r="C275" s="0" t="s">
        <v>364</v>
      </c>
      <c r="D275" s="0" t="s">
        <v>30</v>
      </c>
      <c r="E275" s="0" t="str">
        <f aca="false">B275&amp;"|"&amp;C275&amp;"|"&amp;D275</f>
        <v>Phalombe District [AZyWpGzhcaA]|10-14|Female</v>
      </c>
      <c r="F275" s="10"/>
      <c r="G275" s="88" t="str">
        <f aca="false">IF(SUM($F275)=0,"",0%)</f>
        <v/>
      </c>
      <c r="H275" s="39" t="str">
        <f aca="false">IF(SUM($F275)=0,"",ROUND($F275*(1+$G275),0))</f>
        <v/>
      </c>
    </row>
    <row r="276" customFormat="false" ht="15" hidden="false" customHeight="false" outlineLevel="0" collapsed="false">
      <c r="A276" s="0" t="str">
        <f aca="false">INDEX(Prioritization!$D:$D,MATCH($B276,Prioritization!$A:$A,0))</f>
        <v>INVALID</v>
      </c>
      <c r="B276" s="0" t="s">
        <v>220</v>
      </c>
      <c r="C276" s="0" t="s">
        <v>364</v>
      </c>
      <c r="D276" s="0" t="s">
        <v>48</v>
      </c>
      <c r="E276" s="0" t="str">
        <f aca="false">B276&amp;"|"&amp;C276&amp;"|"&amp;D276</f>
        <v>Phalombe District [AZyWpGzhcaA]|10-14|Male</v>
      </c>
      <c r="F276" s="10"/>
      <c r="G276" s="88" t="str">
        <f aca="false">IF(SUM($F276)=0,"",0%)</f>
        <v/>
      </c>
      <c r="H276" s="39" t="str">
        <f aca="false">IF(SUM($F276)=0,"",ROUND($F276*(1+$G276),0))</f>
        <v/>
      </c>
    </row>
    <row r="277" customFormat="false" ht="15" hidden="false" customHeight="false" outlineLevel="0" collapsed="false">
      <c r="A277" s="0" t="str">
        <f aca="false">INDEX(Prioritization!$D:$D,MATCH($B277,Prioritization!$A:$A,0))</f>
        <v>INVALID</v>
      </c>
      <c r="B277" s="0" t="s">
        <v>220</v>
      </c>
      <c r="C277" s="0" t="s">
        <v>365</v>
      </c>
      <c r="D277" s="0" t="s">
        <v>30</v>
      </c>
      <c r="E277" s="0" t="str">
        <f aca="false">B277&amp;"|"&amp;C277&amp;"|"&amp;D277</f>
        <v>Phalombe District [AZyWpGzhcaA]|15-24|Female</v>
      </c>
      <c r="F277" s="10"/>
      <c r="G277" s="88" t="str">
        <f aca="false">IF(SUM($F277)=0,"",0%)</f>
        <v/>
      </c>
      <c r="H277" s="39" t="str">
        <f aca="false">IF(SUM($F277)=0,"",ROUND($F277*(1+$G277),0))</f>
        <v/>
      </c>
    </row>
    <row r="278" customFormat="false" ht="15" hidden="false" customHeight="false" outlineLevel="0" collapsed="false">
      <c r="A278" s="0" t="str">
        <f aca="false">INDEX(Prioritization!$D:$D,MATCH($B278,Prioritization!$A:$A,0))</f>
        <v>INVALID</v>
      </c>
      <c r="B278" s="0" t="s">
        <v>220</v>
      </c>
      <c r="C278" s="0" t="s">
        <v>365</v>
      </c>
      <c r="D278" s="0" t="s">
        <v>48</v>
      </c>
      <c r="E278" s="0" t="str">
        <f aca="false">B278&amp;"|"&amp;C278&amp;"|"&amp;D278</f>
        <v>Phalombe District [AZyWpGzhcaA]|15-24|Male</v>
      </c>
      <c r="F278" s="10"/>
      <c r="G278" s="88" t="str">
        <f aca="false">IF(SUM($F278)=0,"",0%)</f>
        <v/>
      </c>
      <c r="H278" s="39" t="str">
        <f aca="false">IF(SUM($F278)=0,"",ROUND($F278*(1+$G278),0))</f>
        <v/>
      </c>
    </row>
    <row r="279" customFormat="false" ht="15" hidden="false" customHeight="false" outlineLevel="0" collapsed="false">
      <c r="A279" s="0" t="str">
        <f aca="false">INDEX(Prioritization!$D:$D,MATCH($B279,Prioritization!$A:$A,0))</f>
        <v>INVALID</v>
      </c>
      <c r="B279" s="0" t="s">
        <v>220</v>
      </c>
      <c r="C279" s="0" t="s">
        <v>366</v>
      </c>
      <c r="D279" s="0" t="s">
        <v>30</v>
      </c>
      <c r="E279" s="0" t="str">
        <f aca="false">B279&amp;"|"&amp;C279&amp;"|"&amp;D279</f>
        <v>Phalombe District [AZyWpGzhcaA]|25-34|Female</v>
      </c>
      <c r="F279" s="10"/>
      <c r="G279" s="88" t="str">
        <f aca="false">IF(SUM($F279)=0,"",0%)</f>
        <v/>
      </c>
      <c r="H279" s="39" t="str">
        <f aca="false">IF(SUM($F279)=0,"",ROUND($F279*(1+$G279),0))</f>
        <v/>
      </c>
    </row>
    <row r="280" customFormat="false" ht="15" hidden="false" customHeight="false" outlineLevel="0" collapsed="false">
      <c r="A280" s="0" t="str">
        <f aca="false">INDEX(Prioritization!$D:$D,MATCH($B280,Prioritization!$A:$A,0))</f>
        <v>INVALID</v>
      </c>
      <c r="B280" s="0" t="s">
        <v>220</v>
      </c>
      <c r="C280" s="0" t="s">
        <v>366</v>
      </c>
      <c r="D280" s="0" t="s">
        <v>48</v>
      </c>
      <c r="E280" s="0" t="str">
        <f aca="false">B280&amp;"|"&amp;C280&amp;"|"&amp;D280</f>
        <v>Phalombe District [AZyWpGzhcaA]|25-34|Male</v>
      </c>
      <c r="F280" s="10"/>
      <c r="G280" s="88" t="str">
        <f aca="false">IF(SUM($F280)=0,"",0%)</f>
        <v/>
      </c>
      <c r="H280" s="39" t="str">
        <f aca="false">IF(SUM($F280)=0,"",ROUND($F280*(1+$G280),0))</f>
        <v/>
      </c>
    </row>
    <row r="281" customFormat="false" ht="15" hidden="false" customHeight="false" outlineLevel="0" collapsed="false">
      <c r="A281" s="0" t="str">
        <f aca="false">INDEX(Prioritization!$D:$D,MATCH($B281,Prioritization!$A:$A,0))</f>
        <v>INVALID</v>
      </c>
      <c r="B281" s="0" t="s">
        <v>220</v>
      </c>
      <c r="C281" s="0" t="s">
        <v>367</v>
      </c>
      <c r="D281" s="0" t="s">
        <v>30</v>
      </c>
      <c r="E281" s="0" t="str">
        <f aca="false">B281&amp;"|"&amp;C281&amp;"|"&amp;D281</f>
        <v>Phalombe District [AZyWpGzhcaA]|35-49|Female</v>
      </c>
      <c r="F281" s="10"/>
      <c r="G281" s="88" t="str">
        <f aca="false">IF(SUM($F281)=0,"",0%)</f>
        <v/>
      </c>
      <c r="H281" s="39" t="str">
        <f aca="false">IF(SUM($F281)=0,"",ROUND($F281*(1+$G281),0))</f>
        <v/>
      </c>
    </row>
    <row r="282" customFormat="false" ht="15" hidden="false" customHeight="false" outlineLevel="0" collapsed="false">
      <c r="A282" s="0" t="str">
        <f aca="false">INDEX(Prioritization!$D:$D,MATCH($B282,Prioritization!$A:$A,0))</f>
        <v>INVALID</v>
      </c>
      <c r="B282" s="0" t="s">
        <v>220</v>
      </c>
      <c r="C282" s="0" t="s">
        <v>367</v>
      </c>
      <c r="D282" s="0" t="s">
        <v>48</v>
      </c>
      <c r="E282" s="0" t="str">
        <f aca="false">B282&amp;"|"&amp;C282&amp;"|"&amp;D282</f>
        <v>Phalombe District [AZyWpGzhcaA]|35-49|Male</v>
      </c>
      <c r="F282" s="10"/>
      <c r="G282" s="88" t="str">
        <f aca="false">IF(SUM($F282)=0,"",0%)</f>
        <v/>
      </c>
      <c r="H282" s="39" t="str">
        <f aca="false">IF(SUM($F282)=0,"",ROUND($F282*(1+$G282),0))</f>
        <v/>
      </c>
    </row>
    <row r="283" customFormat="false" ht="15" hidden="false" customHeight="false" outlineLevel="0" collapsed="false">
      <c r="A283" s="0" t="str">
        <f aca="false">INDEX(Prioritization!$D:$D,MATCH($B283,Prioritization!$A:$A,0))</f>
        <v>INVALID</v>
      </c>
      <c r="B283" s="0" t="s">
        <v>220</v>
      </c>
      <c r="C283" s="0" t="s">
        <v>368</v>
      </c>
      <c r="D283" s="0" t="s">
        <v>30</v>
      </c>
      <c r="E283" s="0" t="str">
        <f aca="false">B283&amp;"|"&amp;C283&amp;"|"&amp;D283</f>
        <v>Phalombe District [AZyWpGzhcaA]|50+|Female</v>
      </c>
      <c r="F283" s="10"/>
      <c r="G283" s="88" t="str">
        <f aca="false">IF(SUM($F283)=0,"",0%)</f>
        <v/>
      </c>
      <c r="H283" s="39" t="str">
        <f aca="false">IF(SUM($F283)=0,"",ROUND($F283*(1+$G283),0))</f>
        <v/>
      </c>
    </row>
    <row r="284" customFormat="false" ht="15" hidden="false" customHeight="false" outlineLevel="0" collapsed="false">
      <c r="A284" s="0" t="str">
        <f aca="false">INDEX(Prioritization!$D:$D,MATCH($B284,Prioritization!$A:$A,0))</f>
        <v>INVALID</v>
      </c>
      <c r="B284" s="0" t="s">
        <v>220</v>
      </c>
      <c r="C284" s="0" t="s">
        <v>368</v>
      </c>
      <c r="D284" s="0" t="s">
        <v>48</v>
      </c>
      <c r="E284" s="0" t="str">
        <f aca="false">B284&amp;"|"&amp;C284&amp;"|"&amp;D284</f>
        <v>Phalombe District [AZyWpGzhcaA]|50+|Male</v>
      </c>
      <c r="F284" s="10"/>
      <c r="G284" s="88" t="str">
        <f aca="false">IF(SUM($F284)=0,"",0%)</f>
        <v/>
      </c>
      <c r="H284" s="39" t="str">
        <f aca="false">IF(SUM($F284)=0,"",ROUND($F284*(1+$G284),0))</f>
        <v/>
      </c>
    </row>
    <row r="285" customFormat="false" ht="15" hidden="false" customHeight="false" outlineLevel="0" collapsed="false">
      <c r="A285" s="0" t="str">
        <f aca="false">INDEX(Prioritization!$D:$D,MATCH($B285,Prioritization!$A:$A,0))</f>
        <v>1 - Scale-up: Saturation</v>
      </c>
      <c r="B285" s="0" t="s">
        <v>221</v>
      </c>
      <c r="C285" s="0" t="s">
        <v>364</v>
      </c>
      <c r="D285" s="0" t="s">
        <v>30</v>
      </c>
      <c r="E285" s="0" t="str">
        <f aca="false">B285&amp;"|"&amp;C285&amp;"|"&amp;D285</f>
        <v>Thyolo District [ul0y9diGujK]|10-14|Female</v>
      </c>
      <c r="F285" s="10"/>
      <c r="G285" s="88" t="str">
        <f aca="false">IF(SUM($F285)=0,"",0%)</f>
        <v/>
      </c>
      <c r="H285" s="39" t="str">
        <f aca="false">IF(SUM($F285)=0,"",ROUND($F285*(1+$G285),0))</f>
        <v/>
      </c>
    </row>
    <row r="286" customFormat="false" ht="15" hidden="false" customHeight="false" outlineLevel="0" collapsed="false">
      <c r="A286" s="0" t="str">
        <f aca="false">INDEX(Prioritization!$D:$D,MATCH($B286,Prioritization!$A:$A,0))</f>
        <v>1 - Scale-up: Saturation</v>
      </c>
      <c r="B286" s="0" t="s">
        <v>221</v>
      </c>
      <c r="C286" s="0" t="s">
        <v>364</v>
      </c>
      <c r="D286" s="0" t="s">
        <v>48</v>
      </c>
      <c r="E286" s="0" t="str">
        <f aca="false">B286&amp;"|"&amp;C286&amp;"|"&amp;D286</f>
        <v>Thyolo District [ul0y9diGujK]|10-14|Male</v>
      </c>
      <c r="F286" s="10"/>
      <c r="G286" s="88" t="str">
        <f aca="false">IF(SUM($F286)=0,"",0%)</f>
        <v/>
      </c>
      <c r="H286" s="39" t="str">
        <f aca="false">IF(SUM($F286)=0,"",ROUND($F286*(1+$G286),0))</f>
        <v/>
      </c>
    </row>
    <row r="287" customFormat="false" ht="15" hidden="false" customHeight="false" outlineLevel="0" collapsed="false">
      <c r="A287" s="0" t="str">
        <f aca="false">INDEX(Prioritization!$D:$D,MATCH($B287,Prioritization!$A:$A,0))</f>
        <v>1 - Scale-up: Saturation</v>
      </c>
      <c r="B287" s="0" t="s">
        <v>221</v>
      </c>
      <c r="C287" s="0" t="s">
        <v>365</v>
      </c>
      <c r="D287" s="0" t="s">
        <v>30</v>
      </c>
      <c r="E287" s="0" t="str">
        <f aca="false">B287&amp;"|"&amp;C287&amp;"|"&amp;D287</f>
        <v>Thyolo District [ul0y9diGujK]|15-24|Female</v>
      </c>
      <c r="F287" s="10"/>
      <c r="G287" s="88" t="str">
        <f aca="false">IF(SUM($F287)=0,"",0%)</f>
        <v/>
      </c>
      <c r="H287" s="39" t="str">
        <f aca="false">IF(SUM($F287)=0,"",ROUND($F287*(1+$G287),0))</f>
        <v/>
      </c>
    </row>
    <row r="288" customFormat="false" ht="15" hidden="false" customHeight="false" outlineLevel="0" collapsed="false">
      <c r="A288" s="0" t="str">
        <f aca="false">INDEX(Prioritization!$D:$D,MATCH($B288,Prioritization!$A:$A,0))</f>
        <v>1 - Scale-up: Saturation</v>
      </c>
      <c r="B288" s="0" t="s">
        <v>221</v>
      </c>
      <c r="C288" s="0" t="s">
        <v>365</v>
      </c>
      <c r="D288" s="0" t="s">
        <v>48</v>
      </c>
      <c r="E288" s="0" t="str">
        <f aca="false">B288&amp;"|"&amp;C288&amp;"|"&amp;D288</f>
        <v>Thyolo District [ul0y9diGujK]|15-24|Male</v>
      </c>
      <c r="F288" s="10"/>
      <c r="G288" s="88" t="str">
        <f aca="false">IF(SUM($F288)=0,"",0%)</f>
        <v/>
      </c>
      <c r="H288" s="39" t="str">
        <f aca="false">IF(SUM($F288)=0,"",ROUND($F288*(1+$G288),0))</f>
        <v/>
      </c>
    </row>
    <row r="289" customFormat="false" ht="15" hidden="false" customHeight="false" outlineLevel="0" collapsed="false">
      <c r="A289" s="0" t="str">
        <f aca="false">INDEX(Prioritization!$D:$D,MATCH($B289,Prioritization!$A:$A,0))</f>
        <v>1 - Scale-up: Saturation</v>
      </c>
      <c r="B289" s="0" t="s">
        <v>221</v>
      </c>
      <c r="C289" s="0" t="s">
        <v>366</v>
      </c>
      <c r="D289" s="0" t="s">
        <v>30</v>
      </c>
      <c r="E289" s="0" t="str">
        <f aca="false">B289&amp;"|"&amp;C289&amp;"|"&amp;D289</f>
        <v>Thyolo District [ul0y9diGujK]|25-34|Female</v>
      </c>
      <c r="F289" s="10"/>
      <c r="G289" s="88" t="str">
        <f aca="false">IF(SUM($F289)=0,"",0%)</f>
        <v/>
      </c>
      <c r="H289" s="39" t="str">
        <f aca="false">IF(SUM($F289)=0,"",ROUND($F289*(1+$G289),0))</f>
        <v/>
      </c>
    </row>
    <row r="290" customFormat="false" ht="15" hidden="false" customHeight="false" outlineLevel="0" collapsed="false">
      <c r="A290" s="0" t="str">
        <f aca="false">INDEX(Prioritization!$D:$D,MATCH($B290,Prioritization!$A:$A,0))</f>
        <v>1 - Scale-up: Saturation</v>
      </c>
      <c r="B290" s="0" t="s">
        <v>221</v>
      </c>
      <c r="C290" s="0" t="s">
        <v>366</v>
      </c>
      <c r="D290" s="0" t="s">
        <v>48</v>
      </c>
      <c r="E290" s="0" t="str">
        <f aca="false">B290&amp;"|"&amp;C290&amp;"|"&amp;D290</f>
        <v>Thyolo District [ul0y9diGujK]|25-34|Male</v>
      </c>
      <c r="F290" s="10"/>
      <c r="G290" s="88" t="str">
        <f aca="false">IF(SUM($F290)=0,"",0%)</f>
        <v/>
      </c>
      <c r="H290" s="39" t="str">
        <f aca="false">IF(SUM($F290)=0,"",ROUND($F290*(1+$G290),0))</f>
        <v/>
      </c>
    </row>
    <row r="291" customFormat="false" ht="15" hidden="false" customHeight="false" outlineLevel="0" collapsed="false">
      <c r="A291" s="0" t="str">
        <f aca="false">INDEX(Prioritization!$D:$D,MATCH($B291,Prioritization!$A:$A,0))</f>
        <v>1 - Scale-up: Saturation</v>
      </c>
      <c r="B291" s="0" t="s">
        <v>221</v>
      </c>
      <c r="C291" s="0" t="s">
        <v>367</v>
      </c>
      <c r="D291" s="0" t="s">
        <v>30</v>
      </c>
      <c r="E291" s="0" t="str">
        <f aca="false">B291&amp;"|"&amp;C291&amp;"|"&amp;D291</f>
        <v>Thyolo District [ul0y9diGujK]|35-49|Female</v>
      </c>
      <c r="F291" s="10"/>
      <c r="G291" s="88" t="str">
        <f aca="false">IF(SUM($F291)=0,"",0%)</f>
        <v/>
      </c>
      <c r="H291" s="39" t="str">
        <f aca="false">IF(SUM($F291)=0,"",ROUND($F291*(1+$G291),0))</f>
        <v/>
      </c>
    </row>
    <row r="292" customFormat="false" ht="15" hidden="false" customHeight="false" outlineLevel="0" collapsed="false">
      <c r="A292" s="0" t="str">
        <f aca="false">INDEX(Prioritization!$D:$D,MATCH($B292,Prioritization!$A:$A,0))</f>
        <v>1 - Scale-up: Saturation</v>
      </c>
      <c r="B292" s="0" t="s">
        <v>221</v>
      </c>
      <c r="C292" s="0" t="s">
        <v>367</v>
      </c>
      <c r="D292" s="0" t="s">
        <v>48</v>
      </c>
      <c r="E292" s="0" t="str">
        <f aca="false">B292&amp;"|"&amp;C292&amp;"|"&amp;D292</f>
        <v>Thyolo District [ul0y9diGujK]|35-49|Male</v>
      </c>
      <c r="F292" s="10"/>
      <c r="G292" s="88" t="str">
        <f aca="false">IF(SUM($F292)=0,"",0%)</f>
        <v/>
      </c>
      <c r="H292" s="39" t="str">
        <f aca="false">IF(SUM($F292)=0,"",ROUND($F292*(1+$G292),0))</f>
        <v/>
      </c>
    </row>
    <row r="293" customFormat="false" ht="15" hidden="false" customHeight="false" outlineLevel="0" collapsed="false">
      <c r="A293" s="0" t="str">
        <f aca="false">INDEX(Prioritization!$D:$D,MATCH($B293,Prioritization!$A:$A,0))</f>
        <v>1 - Scale-up: Saturation</v>
      </c>
      <c r="B293" s="0" t="s">
        <v>221</v>
      </c>
      <c r="C293" s="0" t="s">
        <v>368</v>
      </c>
      <c r="D293" s="0" t="s">
        <v>30</v>
      </c>
      <c r="E293" s="0" t="str">
        <f aca="false">B293&amp;"|"&amp;C293&amp;"|"&amp;D293</f>
        <v>Thyolo District [ul0y9diGujK]|50+|Female</v>
      </c>
      <c r="F293" s="10"/>
      <c r="G293" s="88" t="str">
        <f aca="false">IF(SUM($F293)=0,"",0%)</f>
        <v/>
      </c>
      <c r="H293" s="39" t="str">
        <f aca="false">IF(SUM($F293)=0,"",ROUND($F293*(1+$G293),0))</f>
        <v/>
      </c>
    </row>
    <row r="294" customFormat="false" ht="15" hidden="false" customHeight="false" outlineLevel="0" collapsed="false">
      <c r="A294" s="0" t="str">
        <f aca="false">INDEX(Prioritization!$D:$D,MATCH($B294,Prioritization!$A:$A,0))</f>
        <v>1 - Scale-up: Saturation</v>
      </c>
      <c r="B294" s="0" t="s">
        <v>221</v>
      </c>
      <c r="C294" s="0" t="s">
        <v>368</v>
      </c>
      <c r="D294" s="0" t="s">
        <v>48</v>
      </c>
      <c r="E294" s="0" t="str">
        <f aca="false">B294&amp;"|"&amp;C294&amp;"|"&amp;D294</f>
        <v>Thyolo District [ul0y9diGujK]|50+|Male</v>
      </c>
      <c r="F294" s="10"/>
      <c r="G294" s="88" t="str">
        <f aca="false">IF(SUM($F294)=0,"",0%)</f>
        <v/>
      </c>
      <c r="H294" s="39" t="str">
        <f aca="false">IF(SUM($F294)=0,"",ROUND($F294*(1+$G294),0))</f>
        <v/>
      </c>
    </row>
    <row r="295" customFormat="false" ht="15" hidden="false" customHeight="false" outlineLevel="0" collapsed="false">
      <c r="A295" s="0" t="str">
        <f aca="false">INDEX(Prioritization!$D:$D,MATCH($B295,Prioritization!$A:$A,0))</f>
        <v>1 - Scale-up: Saturation</v>
      </c>
      <c r="B295" s="0" t="s">
        <v>222</v>
      </c>
      <c r="C295" s="0" t="s">
        <v>364</v>
      </c>
      <c r="D295" s="0" t="s">
        <v>30</v>
      </c>
      <c r="E295" s="0" t="str">
        <f aca="false">B295&amp;"|"&amp;C295&amp;"|"&amp;D295</f>
        <v>Zomba District [fyEoGEPERdI]|10-14|Female</v>
      </c>
      <c r="F295" s="10"/>
      <c r="G295" s="88" t="str">
        <f aca="false">IF(SUM($F295)=0,"",0%)</f>
        <v/>
      </c>
      <c r="H295" s="39" t="str">
        <f aca="false">IF(SUM($F295)=0,"",ROUND($F295*(1+$G295),0))</f>
        <v/>
      </c>
    </row>
    <row r="296" customFormat="false" ht="15" hidden="false" customHeight="false" outlineLevel="0" collapsed="false">
      <c r="A296" s="0" t="str">
        <f aca="false">INDEX(Prioritization!$D:$D,MATCH($B296,Prioritization!$A:$A,0))</f>
        <v>1 - Scale-up: Saturation</v>
      </c>
      <c r="B296" s="0" t="s">
        <v>222</v>
      </c>
      <c r="C296" s="0" t="s">
        <v>364</v>
      </c>
      <c r="D296" s="0" t="s">
        <v>48</v>
      </c>
      <c r="E296" s="0" t="str">
        <f aca="false">B296&amp;"|"&amp;C296&amp;"|"&amp;D296</f>
        <v>Zomba District [fyEoGEPERdI]|10-14|Male</v>
      </c>
      <c r="F296" s="10"/>
      <c r="G296" s="88" t="str">
        <f aca="false">IF(SUM($F296)=0,"",0%)</f>
        <v/>
      </c>
      <c r="H296" s="39" t="str">
        <f aca="false">IF(SUM($F296)=0,"",ROUND($F296*(1+$G296),0))</f>
        <v/>
      </c>
    </row>
    <row r="297" customFormat="false" ht="15" hidden="false" customHeight="false" outlineLevel="0" collapsed="false">
      <c r="A297" s="0" t="str">
        <f aca="false">INDEX(Prioritization!$D:$D,MATCH($B297,Prioritization!$A:$A,0))</f>
        <v>1 - Scale-up: Saturation</v>
      </c>
      <c r="B297" s="0" t="s">
        <v>222</v>
      </c>
      <c r="C297" s="0" t="s">
        <v>365</v>
      </c>
      <c r="D297" s="0" t="s">
        <v>30</v>
      </c>
      <c r="E297" s="0" t="str">
        <f aca="false">B297&amp;"|"&amp;C297&amp;"|"&amp;D297</f>
        <v>Zomba District [fyEoGEPERdI]|15-24|Female</v>
      </c>
      <c r="F297" s="10"/>
      <c r="G297" s="88" t="str">
        <f aca="false">IF(SUM($F297)=0,"",0%)</f>
        <v/>
      </c>
      <c r="H297" s="39" t="str">
        <f aca="false">IF(SUM($F297)=0,"",ROUND($F297*(1+$G297),0))</f>
        <v/>
      </c>
    </row>
    <row r="298" customFormat="false" ht="15" hidden="false" customHeight="false" outlineLevel="0" collapsed="false">
      <c r="A298" s="0" t="str">
        <f aca="false">INDEX(Prioritization!$D:$D,MATCH($B298,Prioritization!$A:$A,0))</f>
        <v>1 - Scale-up: Saturation</v>
      </c>
      <c r="B298" s="0" t="s">
        <v>222</v>
      </c>
      <c r="C298" s="0" t="s">
        <v>365</v>
      </c>
      <c r="D298" s="0" t="s">
        <v>48</v>
      </c>
      <c r="E298" s="0" t="str">
        <f aca="false">B298&amp;"|"&amp;C298&amp;"|"&amp;D298</f>
        <v>Zomba District [fyEoGEPERdI]|15-24|Male</v>
      </c>
      <c r="F298" s="10"/>
      <c r="G298" s="88" t="str">
        <f aca="false">IF(SUM($F298)=0,"",0%)</f>
        <v/>
      </c>
      <c r="H298" s="39" t="str">
        <f aca="false">IF(SUM($F298)=0,"",ROUND($F298*(1+$G298),0))</f>
        <v/>
      </c>
    </row>
    <row r="299" customFormat="false" ht="15" hidden="false" customHeight="false" outlineLevel="0" collapsed="false">
      <c r="A299" s="0" t="str">
        <f aca="false">INDEX(Prioritization!$D:$D,MATCH($B299,Prioritization!$A:$A,0))</f>
        <v>1 - Scale-up: Saturation</v>
      </c>
      <c r="B299" s="0" t="s">
        <v>222</v>
      </c>
      <c r="C299" s="0" t="s">
        <v>366</v>
      </c>
      <c r="D299" s="0" t="s">
        <v>30</v>
      </c>
      <c r="E299" s="0" t="str">
        <f aca="false">B299&amp;"|"&amp;C299&amp;"|"&amp;D299</f>
        <v>Zomba District [fyEoGEPERdI]|25-34|Female</v>
      </c>
      <c r="F299" s="10"/>
      <c r="G299" s="88" t="str">
        <f aca="false">IF(SUM($F299)=0,"",0%)</f>
        <v/>
      </c>
      <c r="H299" s="39" t="str">
        <f aca="false">IF(SUM($F299)=0,"",ROUND($F299*(1+$G299),0))</f>
        <v/>
      </c>
    </row>
    <row r="300" customFormat="false" ht="15" hidden="false" customHeight="false" outlineLevel="0" collapsed="false">
      <c r="A300" s="0" t="str">
        <f aca="false">INDEX(Prioritization!$D:$D,MATCH($B300,Prioritization!$A:$A,0))</f>
        <v>1 - Scale-up: Saturation</v>
      </c>
      <c r="B300" s="0" t="s">
        <v>222</v>
      </c>
      <c r="C300" s="0" t="s">
        <v>366</v>
      </c>
      <c r="D300" s="0" t="s">
        <v>48</v>
      </c>
      <c r="E300" s="0" t="str">
        <f aca="false">B300&amp;"|"&amp;C300&amp;"|"&amp;D300</f>
        <v>Zomba District [fyEoGEPERdI]|25-34|Male</v>
      </c>
      <c r="F300" s="10"/>
      <c r="G300" s="88" t="str">
        <f aca="false">IF(SUM($F300)=0,"",0%)</f>
        <v/>
      </c>
      <c r="H300" s="39" t="str">
        <f aca="false">IF(SUM($F300)=0,"",ROUND($F300*(1+$G300),0))</f>
        <v/>
      </c>
    </row>
    <row r="301" customFormat="false" ht="15" hidden="false" customHeight="false" outlineLevel="0" collapsed="false">
      <c r="A301" s="0" t="str">
        <f aca="false">INDEX(Prioritization!$D:$D,MATCH($B301,Prioritization!$A:$A,0))</f>
        <v>1 - Scale-up: Saturation</v>
      </c>
      <c r="B301" s="0" t="s">
        <v>222</v>
      </c>
      <c r="C301" s="0" t="s">
        <v>367</v>
      </c>
      <c r="D301" s="0" t="s">
        <v>30</v>
      </c>
      <c r="E301" s="0" t="str">
        <f aca="false">B301&amp;"|"&amp;C301&amp;"|"&amp;D301</f>
        <v>Zomba District [fyEoGEPERdI]|35-49|Female</v>
      </c>
      <c r="F301" s="10"/>
      <c r="G301" s="88" t="str">
        <f aca="false">IF(SUM($F301)=0,"",0%)</f>
        <v/>
      </c>
      <c r="H301" s="39" t="str">
        <f aca="false">IF(SUM($F301)=0,"",ROUND($F301*(1+$G301),0))</f>
        <v/>
      </c>
    </row>
    <row r="302" customFormat="false" ht="15" hidden="false" customHeight="false" outlineLevel="0" collapsed="false">
      <c r="A302" s="0" t="str">
        <f aca="false">INDEX(Prioritization!$D:$D,MATCH($B302,Prioritization!$A:$A,0))</f>
        <v>1 - Scale-up: Saturation</v>
      </c>
      <c r="B302" s="0" t="s">
        <v>222</v>
      </c>
      <c r="C302" s="0" t="s">
        <v>367</v>
      </c>
      <c r="D302" s="0" t="s">
        <v>48</v>
      </c>
      <c r="E302" s="0" t="str">
        <f aca="false">B302&amp;"|"&amp;C302&amp;"|"&amp;D302</f>
        <v>Zomba District [fyEoGEPERdI]|35-49|Male</v>
      </c>
      <c r="F302" s="10"/>
      <c r="G302" s="88" t="str">
        <f aca="false">IF(SUM($F302)=0,"",0%)</f>
        <v/>
      </c>
      <c r="H302" s="39" t="str">
        <f aca="false">IF(SUM($F302)=0,"",ROUND($F302*(1+$G302),0))</f>
        <v/>
      </c>
    </row>
    <row r="303" customFormat="false" ht="15" hidden="false" customHeight="false" outlineLevel="0" collapsed="false">
      <c r="A303" s="0" t="str">
        <f aca="false">INDEX(Prioritization!$D:$D,MATCH($B303,Prioritization!$A:$A,0))</f>
        <v>1 - Scale-up: Saturation</v>
      </c>
      <c r="B303" s="0" t="s">
        <v>222</v>
      </c>
      <c r="C303" s="0" t="s">
        <v>368</v>
      </c>
      <c r="D303" s="0" t="s">
        <v>30</v>
      </c>
      <c r="E303" s="0" t="str">
        <f aca="false">B303&amp;"|"&amp;C303&amp;"|"&amp;D303</f>
        <v>Zomba District [fyEoGEPERdI]|50+|Female</v>
      </c>
      <c r="F303" s="10" t="n">
        <v>36</v>
      </c>
      <c r="G303" s="88" t="n">
        <f aca="false">IF(SUM($F303)=0,"",0%)</f>
        <v>0</v>
      </c>
      <c r="H303" s="39" t="n">
        <f aca="false">IF(SUM($F303)=0,"",ROUND($F303*(1+$G303),0))</f>
        <v>36</v>
      </c>
    </row>
    <row r="304" customFormat="false" ht="15" hidden="false" customHeight="false" outlineLevel="0" collapsed="false">
      <c r="A304" s="0" t="str">
        <f aca="false">INDEX(Prioritization!$D:$D,MATCH($B304,Prioritization!$A:$A,0))</f>
        <v>1 - Scale-up: Saturation</v>
      </c>
      <c r="B304" s="0" t="s">
        <v>222</v>
      </c>
      <c r="C304" s="0" t="s">
        <v>368</v>
      </c>
      <c r="D304" s="0" t="s">
        <v>48</v>
      </c>
      <c r="E304" s="0" t="str">
        <f aca="false">B304&amp;"|"&amp;C304&amp;"|"&amp;D304</f>
        <v>Zomba District [fyEoGEPERdI]|50+|Male</v>
      </c>
      <c r="F304" s="10" t="n">
        <v>14</v>
      </c>
      <c r="G304" s="88" t="n">
        <f aca="false">IF(SUM($F304)=0,"",0%)</f>
        <v>0</v>
      </c>
      <c r="H304" s="39" t="n">
        <f aca="false">IF(SUM($F304)=0,"",ROUND($F304*(1+$G304),0))</f>
        <v>14</v>
      </c>
    </row>
  </sheetData>
  <conditionalFormatting sqref="F1:F1048576 H1:H1048576">
    <cfRule type="expression" priority="2" aboveAverage="0" equalAverage="0" bottom="0" percent="0" rank="0" text="" dxfId="107">
      <formula>AND(ISNUMBER(D1),F1&lt;0)</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4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F1" activeCellId="0" sqref="F1"/>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
    <col collapsed="false" customWidth="true" hidden="false" outlineLevel="0" max="20" min="6" style="0" width="11.83"/>
  </cols>
  <sheetData>
    <row r="1" customFormat="false" ht="30.75" hidden="false" customHeight="true" outlineLevel="0" collapsed="false">
      <c r="A1" s="41" t="s">
        <v>809</v>
      </c>
      <c r="B1" s="15"/>
      <c r="C1" s="15"/>
      <c r="D1" s="15"/>
      <c r="E1" s="41"/>
      <c r="F1" s="17" t="s">
        <v>495</v>
      </c>
      <c r="G1" s="17"/>
      <c r="H1" s="43"/>
      <c r="I1" s="47"/>
      <c r="J1" s="47"/>
      <c r="K1" s="47"/>
      <c r="L1" s="47"/>
      <c r="M1" s="47"/>
      <c r="N1" s="43"/>
      <c r="O1" s="43"/>
      <c r="P1" s="43"/>
      <c r="Q1" s="43"/>
      <c r="R1" s="43"/>
      <c r="S1" s="48" t="s">
        <v>496</v>
      </c>
      <c r="T1" s="43"/>
    </row>
    <row r="2" customFormat="false" ht="18.75" hidden="false" customHeight="true" outlineLevel="0" collapsed="false">
      <c r="A2" s="22"/>
      <c r="B2" s="19"/>
      <c r="C2" s="19"/>
      <c r="D2" s="19"/>
      <c r="E2" s="22"/>
      <c r="F2" s="171"/>
      <c r="G2" s="171"/>
      <c r="H2" s="22"/>
      <c r="I2" s="52"/>
      <c r="J2" s="52"/>
      <c r="K2" s="52"/>
      <c r="L2" s="52"/>
      <c r="M2" s="52"/>
      <c r="N2" s="133"/>
      <c r="O2" s="21" t="s">
        <v>177</v>
      </c>
      <c r="P2" s="21" t="s">
        <v>177</v>
      </c>
      <c r="Q2" s="21" t="s">
        <v>177</v>
      </c>
      <c r="R2" s="21" t="s">
        <v>177</v>
      </c>
      <c r="S2" s="54"/>
      <c r="T2" s="21" t="s">
        <v>177</v>
      </c>
    </row>
    <row r="3" customFormat="false" ht="117" hidden="false" customHeight="true" outlineLevel="0" collapsed="false">
      <c r="A3" s="59"/>
      <c r="B3" s="23"/>
      <c r="C3" s="23"/>
      <c r="D3" s="23"/>
      <c r="E3" s="59"/>
      <c r="F3" s="69" t="s">
        <v>1218</v>
      </c>
      <c r="G3" s="69" t="s">
        <v>1219</v>
      </c>
      <c r="H3" s="69" t="s">
        <v>1220</v>
      </c>
      <c r="I3" s="160" t="s">
        <v>1221</v>
      </c>
      <c r="J3" s="160" t="s">
        <v>1222</v>
      </c>
      <c r="K3" s="160" t="s">
        <v>1223</v>
      </c>
      <c r="L3" s="162" t="s">
        <v>1224</v>
      </c>
      <c r="M3" s="160" t="s">
        <v>1225</v>
      </c>
      <c r="N3" s="25" t="s">
        <v>1226</v>
      </c>
      <c r="O3" s="25" t="s">
        <v>609</v>
      </c>
      <c r="P3" s="25" t="s">
        <v>610</v>
      </c>
      <c r="Q3" s="25" t="s">
        <v>611</v>
      </c>
      <c r="R3" s="25" t="s">
        <v>612</v>
      </c>
      <c r="S3" s="170" t="s">
        <v>621</v>
      </c>
      <c r="T3" s="72" t="s">
        <v>622</v>
      </c>
    </row>
    <row r="4" customFormat="false" ht="15" hidden="false" customHeight="false" outlineLevel="0" collapsed="false">
      <c r="A4" s="73"/>
      <c r="B4" s="27"/>
      <c r="C4" s="27"/>
      <c r="D4" s="27" t="s">
        <v>288</v>
      </c>
      <c r="E4" s="73"/>
      <c r="F4" s="30"/>
      <c r="G4" s="73" t="n">
        <f aca="false">SUBTOTAL(109,G$15:INDEX(G:G,COUNTA($B:$B)+14-COUNTA($B$1:$B$14)))</f>
        <v>0</v>
      </c>
      <c r="H4" s="73" t="n">
        <f aca="false">SUBTOTAL(109,H$15:INDEX(H:H,COUNTA($B:$B)+14-COUNTA($B$1:$B$14)))</f>
        <v>0</v>
      </c>
      <c r="I4" s="84" t="str">
        <f aca="false">IF($H$4=0,"",$N$4/$H$4-1)</f>
        <v/>
      </c>
      <c r="J4" s="84" t="str">
        <f aca="false">IF($N$4=0,"",$O$4/$N$4)</f>
        <v/>
      </c>
      <c r="K4" s="84" t="str">
        <f aca="false">IF($N$4=0,"",$P$4/$N$4)</f>
        <v/>
      </c>
      <c r="L4" s="84" t="str">
        <f aca="false">IF($N$4=0,"",SUM($Q$4,$R$4)/$N$4)</f>
        <v/>
      </c>
      <c r="M4" s="84" t="str">
        <f aca="false">IF(SUM($Q$4,$R$4)=0,"",$Q$4/SUM($Q$4,$R$4))</f>
        <v/>
      </c>
      <c r="N4" s="82" t="n">
        <f aca="false">SUBTOTAL(109,N$15:INDEX(N:N,COUNTA($B:$B)+14-COUNTA($B$1:$B$14)))</f>
        <v>0</v>
      </c>
      <c r="O4" s="82" t="n">
        <f aca="false">SUBTOTAL(109,O$15:INDEX(O:O,COUNTA($B:$B)+14-COUNTA($B$1:$B$14)))</f>
        <v>0</v>
      </c>
      <c r="P4" s="82" t="n">
        <f aca="false">SUBTOTAL(109,P$15:INDEX(P:P,COUNTA($B:$B)+14-COUNTA($B$1:$B$14)))</f>
        <v>0</v>
      </c>
      <c r="Q4" s="82" t="n">
        <f aca="false">SUBTOTAL(109,Q$15:INDEX(Q:Q,COUNTA($B:$B)+14-COUNTA($B$1:$B$14)))</f>
        <v>0</v>
      </c>
      <c r="R4" s="82" t="n">
        <f aca="false">SUBTOTAL(109,R$15:INDEX(R:R,COUNTA($B:$B)+14-COUNTA($B$1:$B$14)))</f>
        <v>0</v>
      </c>
      <c r="S4" s="83" t="str">
        <f aca="false">IF(SUM($Q$4,$R$4)=0,"",$T$4/SUM($Q$4,$R$4))</f>
        <v/>
      </c>
      <c r="T4" s="82" t="n">
        <f aca="false">SUBTOTAL(109,T$15:INDEX(T:T,COUNTA($B:$B)+14-COUNTA($B$1:$B$14)))</f>
        <v>0</v>
      </c>
    </row>
    <row r="5" customFormat="false" ht="12.8" hidden="false" customHeight="false" outlineLevel="0" collapsed="false">
      <c r="A5" s="0" t="s">
        <v>181</v>
      </c>
      <c r="B5" s="9" t="s">
        <v>181</v>
      </c>
      <c r="C5" s="9" t="s">
        <v>181</v>
      </c>
      <c r="D5" s="9" t="s">
        <v>181</v>
      </c>
      <c r="E5" s="0" t="s">
        <v>181</v>
      </c>
      <c r="F5" s="38" t="s">
        <v>181</v>
      </c>
      <c r="G5" s="38" t="s">
        <v>289</v>
      </c>
      <c r="H5" s="38" t="s">
        <v>289</v>
      </c>
      <c r="I5" s="88" t="s">
        <v>181</v>
      </c>
      <c r="J5" s="88" t="s">
        <v>181</v>
      </c>
      <c r="K5" s="88" t="s">
        <v>181</v>
      </c>
      <c r="L5" s="88" t="s">
        <v>181</v>
      </c>
      <c r="M5" s="88" t="s">
        <v>181</v>
      </c>
      <c r="N5" s="5" t="s">
        <v>181</v>
      </c>
      <c r="O5" s="5" t="s">
        <v>289</v>
      </c>
      <c r="P5" s="5" t="s">
        <v>289</v>
      </c>
      <c r="Q5" s="5" t="s">
        <v>289</v>
      </c>
      <c r="R5" s="5" t="s">
        <v>289</v>
      </c>
      <c r="S5" s="92" t="s">
        <v>181</v>
      </c>
      <c r="T5" s="5" t="s">
        <v>289</v>
      </c>
    </row>
    <row r="6" customFormat="false" ht="12.8" hidden="false" customHeight="false" outlineLevel="0" collapsed="false">
      <c r="A6" s="0" t="s">
        <v>183</v>
      </c>
      <c r="B6" s="9" t="s">
        <v>183</v>
      </c>
      <c r="C6" s="9" t="s">
        <v>183</v>
      </c>
      <c r="D6" s="9" t="s">
        <v>183</v>
      </c>
      <c r="E6" s="0" t="s">
        <v>183</v>
      </c>
      <c r="F6" s="38" t="s">
        <v>292</v>
      </c>
      <c r="G6" s="38" t="s">
        <v>184</v>
      </c>
      <c r="H6" s="38" t="s">
        <v>184</v>
      </c>
      <c r="I6" s="88" t="s">
        <v>291</v>
      </c>
      <c r="J6" s="88" t="s">
        <v>291</v>
      </c>
      <c r="K6" s="88" t="s">
        <v>291</v>
      </c>
      <c r="L6" s="88" t="s">
        <v>291</v>
      </c>
      <c r="M6" s="88" t="s">
        <v>291</v>
      </c>
      <c r="N6" s="5" t="s">
        <v>291</v>
      </c>
      <c r="O6" s="5" t="s">
        <v>185</v>
      </c>
      <c r="P6" s="5" t="s">
        <v>185</v>
      </c>
      <c r="Q6" s="5" t="s">
        <v>185</v>
      </c>
      <c r="R6" s="5" t="s">
        <v>185</v>
      </c>
      <c r="S6" s="92" t="s">
        <v>291</v>
      </c>
      <c r="T6" s="5" t="s">
        <v>185</v>
      </c>
    </row>
    <row r="7" customFormat="false" ht="12.8" hidden="false" customHeight="false" outlineLevel="0" collapsed="false">
      <c r="A7" s="0" t="s">
        <v>187</v>
      </c>
      <c r="B7" s="9" t="s">
        <v>187</v>
      </c>
      <c r="C7" s="9" t="s">
        <v>187</v>
      </c>
      <c r="D7" s="9" t="s">
        <v>187</v>
      </c>
      <c r="E7" s="0" t="s">
        <v>187</v>
      </c>
      <c r="F7" s="38" t="s">
        <v>187</v>
      </c>
      <c r="G7" s="38" t="s">
        <v>188</v>
      </c>
      <c r="H7" s="10" t="s">
        <v>188</v>
      </c>
      <c r="I7" s="88" t="s">
        <v>294</v>
      </c>
      <c r="J7" s="88" t="s">
        <v>294</v>
      </c>
      <c r="K7" s="88" t="s">
        <v>294</v>
      </c>
      <c r="L7" s="88" t="s">
        <v>294</v>
      </c>
      <c r="M7" s="88" t="s">
        <v>294</v>
      </c>
      <c r="N7" s="5" t="s">
        <v>188</v>
      </c>
      <c r="O7" s="5" t="s">
        <v>188</v>
      </c>
      <c r="P7" s="5" t="s">
        <v>188</v>
      </c>
      <c r="Q7" s="5" t="s">
        <v>188</v>
      </c>
      <c r="R7" s="5" t="s">
        <v>188</v>
      </c>
      <c r="S7" s="92" t="s">
        <v>294</v>
      </c>
      <c r="T7" s="5" t="s">
        <v>188</v>
      </c>
    </row>
    <row r="8" customFormat="false" ht="12.8" hidden="false" customHeight="false" outlineLevel="0" collapsed="false">
      <c r="B8" s="9"/>
      <c r="C8" s="9"/>
      <c r="D8" s="9"/>
      <c r="F8" s="30"/>
      <c r="G8" s="172" t="s">
        <v>1227</v>
      </c>
      <c r="H8" s="126" t="s">
        <v>663</v>
      </c>
      <c r="I8" s="88"/>
      <c r="J8" s="88"/>
      <c r="K8" s="88"/>
      <c r="L8" s="88"/>
      <c r="M8" s="88"/>
      <c r="N8" s="5"/>
      <c r="O8" s="97" t="s">
        <v>661</v>
      </c>
      <c r="P8" s="97" t="s">
        <v>662</v>
      </c>
      <c r="Q8" s="97" t="s">
        <v>663</v>
      </c>
      <c r="R8" s="97" t="s">
        <v>663</v>
      </c>
      <c r="S8" s="92"/>
      <c r="T8" s="97" t="s">
        <v>664</v>
      </c>
    </row>
    <row r="9" customFormat="false" ht="12.8" hidden="false" customHeight="false" outlineLevel="0" collapsed="false">
      <c r="B9" s="9"/>
      <c r="C9" s="9"/>
      <c r="D9" s="9"/>
      <c r="F9" s="30"/>
      <c r="G9" s="172" t="s">
        <v>1228</v>
      </c>
      <c r="H9" s="126" t="s">
        <v>1229</v>
      </c>
      <c r="I9" s="88"/>
      <c r="J9" s="88"/>
      <c r="K9" s="88"/>
      <c r="L9" s="88"/>
      <c r="M9" s="88"/>
      <c r="N9" s="5"/>
      <c r="O9" s="97" t="s">
        <v>1230</v>
      </c>
      <c r="P9" s="97" t="s">
        <v>1231</v>
      </c>
      <c r="Q9" s="97" t="s">
        <v>1229</v>
      </c>
      <c r="R9" s="97" t="s">
        <v>1229</v>
      </c>
      <c r="S9" s="92"/>
      <c r="T9" s="97" t="s">
        <v>1232</v>
      </c>
    </row>
    <row r="10" customFormat="false" ht="12.8" hidden="false" customHeight="false" outlineLevel="0" collapsed="false">
      <c r="B10" s="9"/>
      <c r="C10" s="9"/>
      <c r="D10" s="9"/>
      <c r="F10" s="30"/>
      <c r="G10" s="173"/>
      <c r="H10" s="94"/>
      <c r="I10" s="88"/>
      <c r="J10" s="88"/>
      <c r="K10" s="88"/>
      <c r="L10" s="88"/>
      <c r="M10" s="88"/>
      <c r="N10" s="5"/>
      <c r="O10" s="97"/>
      <c r="P10" s="97"/>
      <c r="Q10" s="97" t="s">
        <v>679</v>
      </c>
      <c r="R10" s="97" t="s">
        <v>680</v>
      </c>
      <c r="S10" s="92"/>
      <c r="T10" s="97"/>
    </row>
    <row r="11" customFormat="false" ht="12.8" hidden="false" customHeight="false" outlineLevel="0" collapsed="false">
      <c r="B11" s="9"/>
      <c r="C11" s="9"/>
      <c r="D11" s="9"/>
      <c r="F11" s="30"/>
      <c r="G11" s="38" t="s">
        <v>687</v>
      </c>
      <c r="H11" s="10" t="s">
        <v>687</v>
      </c>
      <c r="I11" s="88" t="s">
        <v>687</v>
      </c>
      <c r="J11" s="88" t="s">
        <v>1233</v>
      </c>
      <c r="K11" s="88" t="s">
        <v>1234</v>
      </c>
      <c r="L11" s="88" t="s">
        <v>687</v>
      </c>
      <c r="M11" s="88" t="s">
        <v>687</v>
      </c>
      <c r="N11" s="5" t="s">
        <v>687</v>
      </c>
      <c r="O11" s="5" t="s">
        <v>1233</v>
      </c>
      <c r="P11" s="5" t="s">
        <v>1234</v>
      </c>
      <c r="Q11" s="5" t="s">
        <v>687</v>
      </c>
      <c r="R11" s="5" t="s">
        <v>687</v>
      </c>
      <c r="S11" s="92" t="s">
        <v>688</v>
      </c>
      <c r="T11" s="5" t="s">
        <v>688</v>
      </c>
    </row>
    <row r="12" customFormat="false" ht="12.8" hidden="false" customHeight="false" outlineLevel="0" collapsed="false">
      <c r="B12" s="9"/>
      <c r="C12" s="9"/>
      <c r="D12" s="9"/>
      <c r="F12" s="30"/>
      <c r="G12" s="38" t="s">
        <v>317</v>
      </c>
      <c r="H12" s="10" t="s">
        <v>317</v>
      </c>
      <c r="I12" s="88" t="s">
        <v>317</v>
      </c>
      <c r="J12" s="88" t="s">
        <v>690</v>
      </c>
      <c r="K12" s="88" t="s">
        <v>317</v>
      </c>
      <c r="L12" s="88" t="s">
        <v>317</v>
      </c>
      <c r="M12" s="88" t="s">
        <v>317</v>
      </c>
      <c r="N12" s="5" t="s">
        <v>317</v>
      </c>
      <c r="O12" s="5" t="s">
        <v>690</v>
      </c>
      <c r="P12" s="5" t="s">
        <v>317</v>
      </c>
      <c r="Q12" s="5" t="s">
        <v>317</v>
      </c>
      <c r="R12" s="5" t="s">
        <v>317</v>
      </c>
      <c r="S12" s="92" t="s">
        <v>317</v>
      </c>
      <c r="T12" s="5" t="s">
        <v>317</v>
      </c>
    </row>
    <row r="13" customFormat="false" ht="12.8" hidden="false" customHeight="false" outlineLevel="0" collapsed="false">
      <c r="B13" s="9"/>
      <c r="C13" s="9"/>
      <c r="D13" s="9"/>
      <c r="F13" s="30"/>
      <c r="G13" s="38"/>
      <c r="I13" s="88"/>
      <c r="J13" s="88"/>
      <c r="K13" s="88"/>
      <c r="L13" s="88"/>
      <c r="M13" s="88"/>
      <c r="N13" s="5"/>
      <c r="O13" s="5"/>
      <c r="P13" s="5"/>
      <c r="Q13" s="5"/>
      <c r="R13" s="5"/>
      <c r="S13" s="92"/>
      <c r="T13" s="5"/>
    </row>
    <row r="14" customFormat="false" ht="15" hidden="false" customHeight="false" outlineLevel="0" collapsed="false">
      <c r="A14" s="100" t="s">
        <v>176</v>
      </c>
      <c r="B14" s="33" t="s">
        <v>190</v>
      </c>
      <c r="C14" s="33" t="s">
        <v>318</v>
      </c>
      <c r="D14" s="33" t="s">
        <v>319</v>
      </c>
      <c r="E14" s="100" t="s">
        <v>20</v>
      </c>
      <c r="F14" s="174" t="s">
        <v>1235</v>
      </c>
      <c r="G14" s="110" t="s">
        <v>1236</v>
      </c>
      <c r="H14" s="36" t="s">
        <v>1237</v>
      </c>
      <c r="I14" s="103" t="s">
        <v>1238</v>
      </c>
      <c r="J14" s="103" t="s">
        <v>1239</v>
      </c>
      <c r="K14" s="103" t="s">
        <v>1240</v>
      </c>
      <c r="L14" s="103" t="s">
        <v>1241</v>
      </c>
      <c r="M14" s="103" t="s">
        <v>1242</v>
      </c>
      <c r="N14" s="107" t="s">
        <v>1243</v>
      </c>
      <c r="O14" s="107" t="s">
        <v>780</v>
      </c>
      <c r="P14" s="107" t="s">
        <v>781</v>
      </c>
      <c r="Q14" s="107" t="s">
        <v>782</v>
      </c>
      <c r="R14" s="107" t="s">
        <v>783</v>
      </c>
      <c r="S14" s="105" t="s">
        <v>1244</v>
      </c>
      <c r="T14" s="107" t="s">
        <v>1245</v>
      </c>
    </row>
    <row r="15" customFormat="false" ht="15" hidden="false" customHeight="false" outlineLevel="0" collapsed="false">
      <c r="A15" s="0" t="str">
        <f aca="false">INDEX(Prioritization!$D:$D,MATCH($B15,Prioritization!$A:$A,0))</f>
        <v>Military</v>
      </c>
      <c r="B15" s="9" t="s">
        <v>194</v>
      </c>
      <c r="C15" s="9" t="s">
        <v>316</v>
      </c>
      <c r="D15" s="9" t="s">
        <v>30</v>
      </c>
      <c r="E15" s="0" t="str">
        <f aca="false">$B15&amp;"|"&amp;$C15&amp;"|"&amp;$D15</f>
        <v>_Military Malawi [PQZgU9dagaH]|&lt;01|Female</v>
      </c>
      <c r="F15" s="30"/>
      <c r="G15" s="30"/>
      <c r="H15" s="10"/>
      <c r="I15" s="88" t="str">
        <f aca="false">IF(SUM($H15)=0,"",0%)</f>
        <v/>
      </c>
      <c r="J15" s="88"/>
      <c r="K15" s="88"/>
      <c r="L15" s="88" t="n">
        <f aca="false">1-IF(NOT(AND($D15="Female",OR($C15="10-14",$C15="15-17",$F15="Y"))),0,$J15)-IF(NOT(OR($C15="05-09",$C15="10-14")),0,$K15)</f>
        <v>1</v>
      </c>
      <c r="M15" s="88" t="n">
        <f aca="false">IF(SUM($L15)=0,"",20%)</f>
        <v>0.2</v>
      </c>
      <c r="N15" s="5" t="str">
        <f aca="false">IF(SUM($H15)=0,"",ROUND($H15*(1+$I15),0))</f>
        <v/>
      </c>
      <c r="O15" s="5" t="str">
        <f aca="false">IF(OR(SUM($N15)=0,SUM($J15)=0,NOT(AND($D15="Female",$F15="Y",OR($C15="10-14",$C15="15-17")))),"",ROUND($N15*$J15,0))</f>
        <v/>
      </c>
      <c r="P15" s="5" t="str">
        <f aca="false">IF(OR(SUM($N15)=0,SUM($K15)=0,NOT(OR($C15="10-14",$C15="05-09"))),"",ROUND($N15*$K15,0))</f>
        <v/>
      </c>
      <c r="Q15" s="5" t="str">
        <f aca="false">IFERROR(1/(1/ROUND($N15*$L15*$M15,0)),"")</f>
        <v/>
      </c>
      <c r="R15" s="5" t="str">
        <f aca="false">IFERROR(1/(1/(ROUND($N15*$L15,0)-$Q15)),"")</f>
        <v/>
      </c>
      <c r="S15" s="92" t="str">
        <f aca="false">IF(OR($C15="18+",$C15="18-20",SUM($Q15,$R15)=0),"",100%)</f>
        <v/>
      </c>
      <c r="T15" s="5" t="str">
        <f aca="false">IF(OR($C15="18+",$C15="18-20",SUM($Q15,$R15)=0),"",ROUND(SUM($Q15,$R15)*$S15,0))</f>
        <v/>
      </c>
    </row>
    <row r="16" customFormat="false" ht="15" hidden="false" customHeight="false" outlineLevel="0" collapsed="false">
      <c r="A16" s="0" t="str">
        <f aca="false">INDEX(Prioritization!$D:$D,MATCH($B16,Prioritization!$A:$A,0))</f>
        <v>Military</v>
      </c>
      <c r="B16" s="0" t="s">
        <v>194</v>
      </c>
      <c r="C16" s="0" t="s">
        <v>316</v>
      </c>
      <c r="D16" s="0" t="s">
        <v>48</v>
      </c>
      <c r="E16" s="0" t="str">
        <f aca="false">$B16&amp;"|"&amp;$C16&amp;"|"&amp;$D16</f>
        <v>_Military Malawi [PQZgU9dagaH]|&lt;01|Male</v>
      </c>
      <c r="G16" s="10"/>
      <c r="H16" s="10"/>
      <c r="I16" s="88" t="str">
        <f aca="false">IF(SUM($H16)=0,"",0%)</f>
        <v/>
      </c>
      <c r="J16" s="88"/>
      <c r="K16" s="88"/>
      <c r="L16" s="88" t="n">
        <f aca="false">1-IF(NOT(AND($D16="Female",OR($C16="10-14",$C16="15-17",$F16="Y"))),0,$J16)-IF(NOT(OR($C16="05-09",$C16="10-14")),0,$K16)</f>
        <v>1</v>
      </c>
      <c r="M16" s="88" t="n">
        <f aca="false">IF(SUM($L16)=0,"",20%)</f>
        <v>0.2</v>
      </c>
      <c r="N16" s="10" t="str">
        <f aca="false">IF(SUM($H16)=0,"",ROUND($H16*(1+$I16),0))</f>
        <v/>
      </c>
      <c r="O16" s="39" t="str">
        <f aca="false">IF(OR(SUM($N16)=0,SUM($J16)=0,NOT(AND($D16="Female",$F16="Y",OR($C16="10-14",$C16="15-17")))),"",ROUND($N16*$J16,0))</f>
        <v/>
      </c>
      <c r="P16" s="39" t="str">
        <f aca="false">IF(OR(SUM($N16)=0,SUM($K16)=0,NOT(OR($C16="10-14",$C16="05-09"))),"",ROUND($N16*$K16,0))</f>
        <v/>
      </c>
      <c r="Q16" s="39" t="str">
        <f aca="false">IFERROR(1/(1/ROUND($N16*$L16*$M16,0)),"")</f>
        <v/>
      </c>
      <c r="R16" s="39" t="str">
        <f aca="false">IFERROR(1/(1/(ROUND($N16*$L16,0)-$Q16)),"")</f>
        <v/>
      </c>
      <c r="S16" s="88" t="str">
        <f aca="false">IF(OR($C16="18+",$C16="18-20",SUM($Q16,$R16)=0),"",100%)</f>
        <v/>
      </c>
      <c r="T16" s="39" t="str">
        <f aca="false">IF(OR($C16="18+",$C16="18-20",SUM($Q16,$R16)=0),"",ROUND(SUM($Q16,$R16)*$S16,0))</f>
        <v/>
      </c>
    </row>
    <row r="17" customFormat="false" ht="15" hidden="false" customHeight="false" outlineLevel="0" collapsed="false">
      <c r="A17" s="0" t="str">
        <f aca="false">INDEX(Prioritization!$D:$D,MATCH($B17,Prioritization!$A:$A,0))</f>
        <v>Military</v>
      </c>
      <c r="B17" s="0" t="s">
        <v>194</v>
      </c>
      <c r="C17" s="0" t="s">
        <v>810</v>
      </c>
      <c r="D17" s="0" t="s">
        <v>30</v>
      </c>
      <c r="E17" s="0" t="str">
        <f aca="false">$B17&amp;"|"&amp;$C17&amp;"|"&amp;$D17</f>
        <v>_Military Malawi [PQZgU9dagaH]|01-04|Female</v>
      </c>
      <c r="G17" s="10"/>
      <c r="H17" s="10"/>
      <c r="I17" s="88" t="str">
        <f aca="false">IF(SUM($H17)=0,"",0%)</f>
        <v/>
      </c>
      <c r="J17" s="88"/>
      <c r="K17" s="88"/>
      <c r="L17" s="88" t="n">
        <f aca="false">1-IF(NOT(AND($D17="Female",OR($C17="10-14",$C17="15-17",$F17="Y"))),0,$J17)-IF(NOT(OR($C17="05-09",$C17="10-14")),0,$K17)</f>
        <v>1</v>
      </c>
      <c r="M17" s="88" t="n">
        <f aca="false">IF(SUM($L17)=0,"",20%)</f>
        <v>0.2</v>
      </c>
      <c r="N17" s="10" t="str">
        <f aca="false">IF(SUM($H17)=0,"",ROUND($H17*(1+$I17),0))</f>
        <v/>
      </c>
      <c r="O17" s="39" t="str">
        <f aca="false">IF(OR(SUM($N17)=0,SUM($J17)=0,NOT(AND($D17="Female",$F17="Y",OR($C17="10-14",$C17="15-17")))),"",ROUND($N17*$J17,0))</f>
        <v/>
      </c>
      <c r="P17" s="39" t="str">
        <f aca="false">IF(OR(SUM($N17)=0,SUM($K17)=0,NOT(OR($C17="10-14",$C17="05-09"))),"",ROUND($N17*$K17,0))</f>
        <v/>
      </c>
      <c r="Q17" s="39" t="str">
        <f aca="false">IFERROR(1/(1/ROUND($N17*$L17*$M17,0)),"")</f>
        <v/>
      </c>
      <c r="R17" s="39" t="str">
        <f aca="false">IFERROR(1/(1/(ROUND($N17*$L17,0)-$Q17)),"")</f>
        <v/>
      </c>
      <c r="S17" s="88" t="str">
        <f aca="false">IF(OR($C17="18+",$C17="18-20",SUM($Q17,$R17)=0),"",100%)</f>
        <v/>
      </c>
      <c r="T17" s="39" t="str">
        <f aca="false">IF(OR($C17="18+",$C17="18-20",SUM($Q17,$R17)=0),"",ROUND(SUM($Q17,$R17)*$S17,0))</f>
        <v/>
      </c>
    </row>
    <row r="18" customFormat="false" ht="15" hidden="false" customHeight="false" outlineLevel="0" collapsed="false">
      <c r="A18" s="0" t="str">
        <f aca="false">INDEX(Prioritization!$D:$D,MATCH($B18,Prioritization!$A:$A,0))</f>
        <v>Military</v>
      </c>
      <c r="B18" s="0" t="s">
        <v>194</v>
      </c>
      <c r="C18" s="0" t="s">
        <v>810</v>
      </c>
      <c r="D18" s="0" t="s">
        <v>48</v>
      </c>
      <c r="E18" s="0" t="str">
        <f aca="false">$B18&amp;"|"&amp;$C18&amp;"|"&amp;$D18</f>
        <v>_Military Malawi [PQZgU9dagaH]|01-04|Male</v>
      </c>
      <c r="G18" s="10"/>
      <c r="H18" s="10"/>
      <c r="I18" s="88" t="str">
        <f aca="false">IF(SUM($H18)=0,"",0%)</f>
        <v/>
      </c>
      <c r="J18" s="88"/>
      <c r="K18" s="88"/>
      <c r="L18" s="88" t="n">
        <f aca="false">1-IF(NOT(AND($D18="Female",OR($C18="10-14",$C18="15-17",$F18="Y"))),0,$J18)-IF(NOT(OR($C18="05-09",$C18="10-14")),0,$K18)</f>
        <v>1</v>
      </c>
      <c r="M18" s="88" t="n">
        <f aca="false">IF(SUM($L18)=0,"",20%)</f>
        <v>0.2</v>
      </c>
      <c r="N18" s="10" t="str">
        <f aca="false">IF(SUM($H18)=0,"",ROUND($H18*(1+$I18),0))</f>
        <v/>
      </c>
      <c r="O18" s="39" t="str">
        <f aca="false">IF(OR(SUM($N18)=0,SUM($J18)=0,NOT(AND($D18="Female",$F18="Y",OR($C18="10-14",$C18="15-17")))),"",ROUND($N18*$J18,0))</f>
        <v/>
      </c>
      <c r="P18" s="39" t="str">
        <f aca="false">IF(OR(SUM($N18)=0,SUM($K18)=0,NOT(OR($C18="10-14",$C18="05-09"))),"",ROUND($N18*$K18,0))</f>
        <v/>
      </c>
      <c r="Q18" s="39" t="str">
        <f aca="false">IFERROR(1/(1/ROUND($N18*$L18*$M18,0)),"")</f>
        <v/>
      </c>
      <c r="R18" s="39" t="str">
        <f aca="false">IFERROR(1/(1/(ROUND($N18*$L18,0)-$Q18)),"")</f>
        <v/>
      </c>
      <c r="S18" s="88" t="str">
        <f aca="false">IF(OR($C18="18+",$C18="18-20",SUM($Q18,$R18)=0),"",100%)</f>
        <v/>
      </c>
      <c r="T18" s="39" t="str">
        <f aca="false">IF(OR($C18="18+",$C18="18-20",SUM($Q18,$R18)=0),"",ROUND(SUM($Q18,$R18)*$S18,0))</f>
        <v/>
      </c>
    </row>
    <row r="19" customFormat="false" ht="15" hidden="false" customHeight="false" outlineLevel="0" collapsed="false">
      <c r="A19" s="0" t="str">
        <f aca="false">INDEX(Prioritization!$D:$D,MATCH($B19,Prioritization!$A:$A,0))</f>
        <v>Military</v>
      </c>
      <c r="B19" s="0" t="s">
        <v>194</v>
      </c>
      <c r="C19" s="0" t="s">
        <v>811</v>
      </c>
      <c r="D19" s="0" t="s">
        <v>30</v>
      </c>
      <c r="E19" s="0" t="str">
        <f aca="false">$B19&amp;"|"&amp;$C19&amp;"|"&amp;$D19</f>
        <v>_Military Malawi [PQZgU9dagaH]|05-09|Female</v>
      </c>
      <c r="G19" s="10"/>
      <c r="H19" s="10"/>
      <c r="I19" s="88" t="str">
        <f aca="false">IF(SUM($H19)=0,"",0%)</f>
        <v/>
      </c>
      <c r="J19" s="88"/>
      <c r="K19" s="88"/>
      <c r="L19" s="88" t="n">
        <f aca="false">1-IF(NOT(AND($D19="Female",OR($C19="10-14",$C19="15-17",$F19="Y"))),0,$J19)-IF(NOT(OR($C19="05-09",$C19="10-14")),0,$K19)</f>
        <v>1</v>
      </c>
      <c r="M19" s="88" t="n">
        <f aca="false">IF(SUM($L19)=0,"",20%)</f>
        <v>0.2</v>
      </c>
      <c r="N19" s="10" t="str">
        <f aca="false">IF(SUM($H19)=0,"",ROUND($H19*(1+$I19),0))</f>
        <v/>
      </c>
      <c r="O19" s="39" t="str">
        <f aca="false">IF(OR(SUM($N19)=0,SUM($J19)=0,NOT(AND($D19="Female",$F19="Y",OR($C19="10-14",$C19="15-17")))),"",ROUND($N19*$J19,0))</f>
        <v/>
      </c>
      <c r="P19" s="39" t="str">
        <f aca="false">IF(OR(SUM($N19)=0,SUM($K19)=0,NOT(OR($C19="10-14",$C19="05-09"))),"",ROUND($N19*$K19,0))</f>
        <v/>
      </c>
      <c r="Q19" s="39" t="str">
        <f aca="false">IFERROR(1/(1/ROUND($N19*$L19*$M19,0)),"")</f>
        <v/>
      </c>
      <c r="R19" s="39" t="str">
        <f aca="false">IFERROR(1/(1/(ROUND($N19*$L19,0)-$Q19)),"")</f>
        <v/>
      </c>
      <c r="S19" s="88" t="str">
        <f aca="false">IF(OR($C19="18+",$C19="18-20",SUM($Q19,$R19)=0),"",100%)</f>
        <v/>
      </c>
      <c r="T19" s="39" t="str">
        <f aca="false">IF(OR($C19="18+",$C19="18-20",SUM($Q19,$R19)=0),"",ROUND(SUM($Q19,$R19)*$S19,0))</f>
        <v/>
      </c>
    </row>
    <row r="20" customFormat="false" ht="15" hidden="false" customHeight="false" outlineLevel="0" collapsed="false">
      <c r="A20" s="0" t="str">
        <f aca="false">INDEX(Prioritization!$D:$D,MATCH($B20,Prioritization!$A:$A,0))</f>
        <v>Military</v>
      </c>
      <c r="B20" s="0" t="s">
        <v>194</v>
      </c>
      <c r="C20" s="0" t="s">
        <v>811</v>
      </c>
      <c r="D20" s="0" t="s">
        <v>48</v>
      </c>
      <c r="E20" s="0" t="str">
        <f aca="false">$B20&amp;"|"&amp;$C20&amp;"|"&amp;$D20</f>
        <v>_Military Malawi [PQZgU9dagaH]|05-09|Male</v>
      </c>
      <c r="G20" s="10"/>
      <c r="H20" s="10"/>
      <c r="I20" s="88" t="str">
        <f aca="false">IF(SUM($H20)=0,"",0%)</f>
        <v/>
      </c>
      <c r="J20" s="88"/>
      <c r="K20" s="88"/>
      <c r="L20" s="88" t="n">
        <f aca="false">1-IF(NOT(AND($D20="Female",OR($C20="10-14",$C20="15-17",$F20="Y"))),0,$J20)-IF(NOT(OR($C20="05-09",$C20="10-14")),0,$K20)</f>
        <v>1</v>
      </c>
      <c r="M20" s="88" t="n">
        <f aca="false">IF(SUM($L20)=0,"",20%)</f>
        <v>0.2</v>
      </c>
      <c r="N20" s="10" t="str">
        <f aca="false">IF(SUM($H20)=0,"",ROUND($H20*(1+$I20),0))</f>
        <v/>
      </c>
      <c r="O20" s="39" t="str">
        <f aca="false">IF(OR(SUM($N20)=0,SUM($J20)=0,NOT(AND($D20="Female",$F20="Y",OR($C20="10-14",$C20="15-17")))),"",ROUND($N20*$J20,0))</f>
        <v/>
      </c>
      <c r="P20" s="39" t="str">
        <f aca="false">IF(OR(SUM($N20)=0,SUM($K20)=0,NOT(OR($C20="10-14",$C20="05-09"))),"",ROUND($N20*$K20,0))</f>
        <v/>
      </c>
      <c r="Q20" s="39" t="str">
        <f aca="false">IFERROR(1/(1/ROUND($N20*$L20*$M20,0)),"")</f>
        <v/>
      </c>
      <c r="R20" s="39" t="str">
        <f aca="false">IFERROR(1/(1/(ROUND($N20*$L20,0)-$Q20)),"")</f>
        <v/>
      </c>
      <c r="S20" s="88" t="str">
        <f aca="false">IF(OR($C20="18+",$C20="18-20",SUM($Q20,$R20)=0),"",100%)</f>
        <v/>
      </c>
      <c r="T20" s="39" t="str">
        <f aca="false">IF(OR($C20="18+",$C20="18-20",SUM($Q20,$R20)=0),"",ROUND(SUM($Q20,$R20)*$S20,0))</f>
        <v/>
      </c>
    </row>
    <row r="21" customFormat="false" ht="15" hidden="false" customHeight="false" outlineLevel="0" collapsed="false">
      <c r="A21" s="0" t="str">
        <f aca="false">INDEX(Prioritization!$D:$D,MATCH($B21,Prioritization!$A:$A,0))</f>
        <v>Military</v>
      </c>
      <c r="B21" s="0" t="s">
        <v>194</v>
      </c>
      <c r="C21" s="0" t="s">
        <v>364</v>
      </c>
      <c r="D21" s="0" t="s">
        <v>30</v>
      </c>
      <c r="E21" s="0" t="str">
        <f aca="false">$B21&amp;"|"&amp;$C21&amp;"|"&amp;$D21</f>
        <v>_Military Malawi [PQZgU9dagaH]|10-14|Female</v>
      </c>
      <c r="G21" s="10"/>
      <c r="H21" s="10"/>
      <c r="I21" s="88" t="str">
        <f aca="false">IF(SUM($H21)=0,"",0%)</f>
        <v/>
      </c>
      <c r="J21" s="88"/>
      <c r="K21" s="88"/>
      <c r="L21" s="88" t="n">
        <f aca="false">1-IF(NOT(AND($D21="Female",OR($C21="10-14",$C21="15-17",$F21="Y"))),0,$J21)-IF(NOT(OR($C21="05-09",$C21="10-14")),0,$K21)</f>
        <v>1</v>
      </c>
      <c r="M21" s="88" t="n">
        <f aca="false">IF(SUM($L21)=0,"",20%)</f>
        <v>0.2</v>
      </c>
      <c r="N21" s="10" t="str">
        <f aca="false">IF(SUM($H21)=0,"",ROUND($H21*(1+$I21),0))</f>
        <v/>
      </c>
      <c r="O21" s="39" t="str">
        <f aca="false">IF(OR(SUM($N21)=0,SUM($J21)=0,NOT(AND($D21="Female",$F21="Y",OR($C21="10-14",$C21="15-17")))),"",ROUND($N21*$J21,0))</f>
        <v/>
      </c>
      <c r="P21" s="39" t="str">
        <f aca="false">IF(OR(SUM($N21)=0,SUM($K21)=0,NOT(OR($C21="10-14",$C21="05-09"))),"",ROUND($N21*$K21,0))</f>
        <v/>
      </c>
      <c r="Q21" s="39" t="str">
        <f aca="false">IFERROR(1/(1/ROUND($N21*$L21*$M21,0)),"")</f>
        <v/>
      </c>
      <c r="R21" s="39" t="str">
        <f aca="false">IFERROR(1/(1/(ROUND($N21*$L21,0)-$Q21)),"")</f>
        <v/>
      </c>
      <c r="S21" s="88" t="str">
        <f aca="false">IF(OR($C21="18+",$C21="18-20",SUM($Q21,$R21)=0),"",100%)</f>
        <v/>
      </c>
      <c r="T21" s="39" t="str">
        <f aca="false">IF(OR($C21="18+",$C21="18-20",SUM($Q21,$R21)=0),"",ROUND(SUM($Q21,$R21)*$S21,0))</f>
        <v/>
      </c>
    </row>
    <row r="22" customFormat="false" ht="15" hidden="false" customHeight="false" outlineLevel="0" collapsed="false">
      <c r="A22" s="0" t="str">
        <f aca="false">INDEX(Prioritization!$D:$D,MATCH($B22,Prioritization!$A:$A,0))</f>
        <v>Military</v>
      </c>
      <c r="B22" s="0" t="s">
        <v>194</v>
      </c>
      <c r="C22" s="0" t="s">
        <v>364</v>
      </c>
      <c r="D22" s="0" t="s">
        <v>48</v>
      </c>
      <c r="E22" s="0" t="str">
        <f aca="false">$B22&amp;"|"&amp;$C22&amp;"|"&amp;$D22</f>
        <v>_Military Malawi [PQZgU9dagaH]|10-14|Male</v>
      </c>
      <c r="G22" s="10"/>
      <c r="H22" s="10"/>
      <c r="I22" s="88" t="str">
        <f aca="false">IF(SUM($H22)=0,"",0%)</f>
        <v/>
      </c>
      <c r="J22" s="88"/>
      <c r="K22" s="88"/>
      <c r="L22" s="88" t="n">
        <f aca="false">1-IF(NOT(AND($D22="Female",OR($C22="10-14",$C22="15-17",$F22="Y"))),0,$J22)-IF(NOT(OR($C22="05-09",$C22="10-14")),0,$K22)</f>
        <v>1</v>
      </c>
      <c r="M22" s="88" t="n">
        <f aca="false">IF(SUM($L22)=0,"",20%)</f>
        <v>0.2</v>
      </c>
      <c r="N22" s="10" t="str">
        <f aca="false">IF(SUM($H22)=0,"",ROUND($H22*(1+$I22),0))</f>
        <v/>
      </c>
      <c r="O22" s="39" t="str">
        <f aca="false">IF(OR(SUM($N22)=0,SUM($J22)=0,NOT(AND($D22="Female",$F22="Y",OR($C22="10-14",$C22="15-17")))),"",ROUND($N22*$J22,0))</f>
        <v/>
      </c>
      <c r="P22" s="39" t="str">
        <f aca="false">IF(OR(SUM($N22)=0,SUM($K22)=0,NOT(OR($C22="10-14",$C22="05-09"))),"",ROUND($N22*$K22,0))</f>
        <v/>
      </c>
      <c r="Q22" s="39" t="str">
        <f aca="false">IFERROR(1/(1/ROUND($N22*$L22*$M22,0)),"")</f>
        <v/>
      </c>
      <c r="R22" s="39" t="str">
        <f aca="false">IFERROR(1/(1/(ROUND($N22*$L22,0)-$Q22)),"")</f>
        <v/>
      </c>
      <c r="S22" s="88" t="str">
        <f aca="false">IF(OR($C22="18+",$C22="18-20",SUM($Q22,$R22)=0),"",100%)</f>
        <v/>
      </c>
      <c r="T22" s="39" t="str">
        <f aca="false">IF(OR($C22="18+",$C22="18-20",SUM($Q22,$R22)=0),"",ROUND(SUM($Q22,$R22)*$S22,0))</f>
        <v/>
      </c>
    </row>
    <row r="23" customFormat="false" ht="15" hidden="false" customHeight="false" outlineLevel="0" collapsed="false">
      <c r="A23" s="0" t="str">
        <f aca="false">INDEX(Prioritization!$D:$D,MATCH($B23,Prioritization!$A:$A,0))</f>
        <v>Military</v>
      </c>
      <c r="B23" s="0" t="s">
        <v>194</v>
      </c>
      <c r="C23" s="0" t="s">
        <v>812</v>
      </c>
      <c r="D23" s="0" t="s">
        <v>30</v>
      </c>
      <c r="E23" s="0" t="str">
        <f aca="false">$B23&amp;"|"&amp;$C23&amp;"|"&amp;$D23</f>
        <v>_Military Malawi [PQZgU9dagaH]|15-17|Female</v>
      </c>
      <c r="G23" s="10"/>
      <c r="H23" s="10"/>
      <c r="I23" s="88" t="str">
        <f aca="false">IF(SUM($H23)=0,"",0%)</f>
        <v/>
      </c>
      <c r="J23" s="88"/>
      <c r="K23" s="88"/>
      <c r="L23" s="88" t="n">
        <f aca="false">1-IF(NOT(AND($D23="Female",OR($C23="10-14",$C23="15-17",$F23="Y"))),0,$J23)-IF(NOT(OR($C23="05-09",$C23="10-14")),0,$K23)</f>
        <v>1</v>
      </c>
      <c r="M23" s="88" t="n">
        <f aca="false">IF(SUM($L23)=0,"",20%)</f>
        <v>0.2</v>
      </c>
      <c r="N23" s="10" t="str">
        <f aca="false">IF(SUM($H23)=0,"",ROUND($H23*(1+$I23),0))</f>
        <v/>
      </c>
      <c r="O23" s="39" t="str">
        <f aca="false">IF(OR(SUM($N23)=0,SUM($J23)=0,NOT(AND($D23="Female",$F23="Y",OR($C23="10-14",$C23="15-17")))),"",ROUND($N23*$J23,0))</f>
        <v/>
      </c>
      <c r="P23" s="39" t="str">
        <f aca="false">IF(OR(SUM($N23)=0,SUM($K23)=0,NOT(OR($C23="10-14",$C23="05-09"))),"",ROUND($N23*$K23,0))</f>
        <v/>
      </c>
      <c r="Q23" s="39" t="str">
        <f aca="false">IFERROR(1/(1/ROUND($N23*$L23*$M23,0)),"")</f>
        <v/>
      </c>
      <c r="R23" s="39" t="str">
        <f aca="false">IFERROR(1/(1/(ROUND($N23*$L23,0)-$Q23)),"")</f>
        <v/>
      </c>
      <c r="S23" s="88" t="str">
        <f aca="false">IF(OR($C23="18+",$C23="18-20",SUM($Q23,$R23)=0),"",100%)</f>
        <v/>
      </c>
      <c r="T23" s="39" t="str">
        <f aca="false">IF(OR($C23="18+",$C23="18-20",SUM($Q23,$R23)=0),"",ROUND(SUM($Q23,$R23)*$S23,0))</f>
        <v/>
      </c>
    </row>
    <row r="24" customFormat="false" ht="15" hidden="false" customHeight="false" outlineLevel="0" collapsed="false">
      <c r="A24" s="0" t="str">
        <f aca="false">INDEX(Prioritization!$D:$D,MATCH($B24,Prioritization!$A:$A,0))</f>
        <v>Military</v>
      </c>
      <c r="B24" s="0" t="s">
        <v>194</v>
      </c>
      <c r="C24" s="0" t="s">
        <v>812</v>
      </c>
      <c r="D24" s="0" t="s">
        <v>48</v>
      </c>
      <c r="E24" s="0" t="str">
        <f aca="false">$B24&amp;"|"&amp;$C24&amp;"|"&amp;$D24</f>
        <v>_Military Malawi [PQZgU9dagaH]|15-17|Male</v>
      </c>
      <c r="G24" s="10"/>
      <c r="H24" s="10"/>
      <c r="I24" s="88" t="str">
        <f aca="false">IF(SUM($H24)=0,"",0%)</f>
        <v/>
      </c>
      <c r="J24" s="88"/>
      <c r="K24" s="88"/>
      <c r="L24" s="88" t="n">
        <f aca="false">1-IF(NOT(AND($D24="Female",OR($C24="10-14",$C24="15-17",$F24="Y"))),0,$J24)-IF(NOT(OR($C24="05-09",$C24="10-14")),0,$K24)</f>
        <v>1</v>
      </c>
      <c r="M24" s="88" t="n">
        <f aca="false">IF(SUM($L24)=0,"",20%)</f>
        <v>0.2</v>
      </c>
      <c r="N24" s="10" t="str">
        <f aca="false">IF(SUM($H24)=0,"",ROUND($H24*(1+$I24),0))</f>
        <v/>
      </c>
      <c r="O24" s="39" t="str">
        <f aca="false">IF(OR(SUM($N24)=0,SUM($J24)=0,NOT(AND($D24="Female",$F24="Y",OR($C24="10-14",$C24="15-17")))),"",ROUND($N24*$J24,0))</f>
        <v/>
      </c>
      <c r="P24" s="39" t="str">
        <f aca="false">IF(OR(SUM($N24)=0,SUM($K24)=0,NOT(OR($C24="10-14",$C24="05-09"))),"",ROUND($N24*$K24,0))</f>
        <v/>
      </c>
      <c r="Q24" s="39" t="str">
        <f aca="false">IFERROR(1/(1/ROUND($N24*$L24*$M24,0)),"")</f>
        <v/>
      </c>
      <c r="R24" s="39" t="str">
        <f aca="false">IFERROR(1/(1/(ROUND($N24*$L24,0)-$Q24)),"")</f>
        <v/>
      </c>
      <c r="S24" s="88" t="str">
        <f aca="false">IF(OR($C24="18+",$C24="18-20",SUM($Q24,$R24)=0),"",100%)</f>
        <v/>
      </c>
      <c r="T24" s="39" t="str">
        <f aca="false">IF(OR($C24="18+",$C24="18-20",SUM($Q24,$R24)=0),"",ROUND(SUM($Q24,$R24)*$S24,0))</f>
        <v/>
      </c>
    </row>
    <row r="25" customFormat="false" ht="15" hidden="false" customHeight="false" outlineLevel="0" collapsed="false">
      <c r="A25" s="0" t="str">
        <f aca="false">INDEX(Prioritization!$D:$D,MATCH($B25,Prioritization!$A:$A,0))</f>
        <v>Military</v>
      </c>
      <c r="B25" s="0" t="s">
        <v>194</v>
      </c>
      <c r="C25" s="0" t="s">
        <v>813</v>
      </c>
      <c r="D25" s="0" t="s">
        <v>30</v>
      </c>
      <c r="E25" s="0" t="str">
        <f aca="false">$B25&amp;"|"&amp;$C25&amp;"|"&amp;$D25</f>
        <v>_Military Malawi [PQZgU9dagaH]|18-20|Female</v>
      </c>
      <c r="G25" s="10"/>
      <c r="H25" s="10"/>
      <c r="I25" s="88" t="str">
        <f aca="false">IF(SUM($H25)=0,"",0%)</f>
        <v/>
      </c>
      <c r="J25" s="88"/>
      <c r="K25" s="88"/>
      <c r="L25" s="88" t="n">
        <f aca="false">1-IF(NOT(AND($D25="Female",OR($C25="10-14",$C25="15-17",$F25="Y"))),0,$J25)-IF(NOT(OR($C25="05-09",$C25="10-14")),0,$K25)</f>
        <v>1</v>
      </c>
      <c r="M25" s="88" t="n">
        <f aca="false">IF(SUM($L25)=0,"",20%)</f>
        <v>0.2</v>
      </c>
      <c r="N25" s="10" t="str">
        <f aca="false">IF(SUM($H25)=0,"",ROUND($H25*(1+$I25),0))</f>
        <v/>
      </c>
      <c r="O25" s="39" t="str">
        <f aca="false">IF(OR(SUM($N25)=0,SUM($J25)=0,NOT(AND($D25="Female",$F25="Y",OR($C25="10-14",$C25="15-17")))),"",ROUND($N25*$J25,0))</f>
        <v/>
      </c>
      <c r="P25" s="39" t="str">
        <f aca="false">IF(OR(SUM($N25)=0,SUM($K25)=0,NOT(OR($C25="10-14",$C25="05-09"))),"",ROUND($N25*$K25,0))</f>
        <v/>
      </c>
      <c r="Q25" s="39" t="str">
        <f aca="false">IFERROR(1/(1/ROUND($N25*$L25*$M25,0)),"")</f>
        <v/>
      </c>
      <c r="R25" s="39" t="str">
        <f aca="false">IFERROR(1/(1/(ROUND($N25*$L25,0)-$Q25)),"")</f>
        <v/>
      </c>
      <c r="S25" s="88" t="str">
        <f aca="false">IF(OR($C25="18+",$C25="18-20",SUM($Q25,$R25)=0),"",100%)</f>
        <v/>
      </c>
      <c r="T25" s="39" t="str">
        <f aca="false">IF(OR($C25="18+",$C25="18-20",SUM($Q25,$R25)=0),"",ROUND(SUM($Q25,$R25)*$S25,0))</f>
        <v/>
      </c>
    </row>
    <row r="26" customFormat="false" ht="15" hidden="false" customHeight="false" outlineLevel="0" collapsed="false">
      <c r="A26" s="0" t="str">
        <f aca="false">INDEX(Prioritization!$D:$D,MATCH($B26,Prioritization!$A:$A,0))</f>
        <v>Military</v>
      </c>
      <c r="B26" s="0" t="s">
        <v>194</v>
      </c>
      <c r="C26" s="0" t="s">
        <v>813</v>
      </c>
      <c r="D26" s="0" t="s">
        <v>48</v>
      </c>
      <c r="E26" s="0" t="str">
        <f aca="false">$B26&amp;"|"&amp;$C26&amp;"|"&amp;$D26</f>
        <v>_Military Malawi [PQZgU9dagaH]|18-20|Male</v>
      </c>
      <c r="G26" s="10"/>
      <c r="H26" s="10"/>
      <c r="I26" s="88" t="str">
        <f aca="false">IF(SUM($H26)=0,"",0%)</f>
        <v/>
      </c>
      <c r="J26" s="88"/>
      <c r="K26" s="88"/>
      <c r="L26" s="88" t="n">
        <f aca="false">1-IF(NOT(AND($D26="Female",OR($C26="10-14",$C26="15-17",$F26="Y"))),0,$J26)-IF(NOT(OR($C26="05-09",$C26="10-14")),0,$K26)</f>
        <v>1</v>
      </c>
      <c r="M26" s="88" t="n">
        <f aca="false">IF(SUM($L26)=0,"",20%)</f>
        <v>0.2</v>
      </c>
      <c r="N26" s="10" t="str">
        <f aca="false">IF(SUM($H26)=0,"",ROUND($H26*(1+$I26),0))</f>
        <v/>
      </c>
      <c r="O26" s="39" t="str">
        <f aca="false">IF(OR(SUM($N26)=0,SUM($J26)=0,NOT(AND($D26="Female",$F26="Y",OR($C26="10-14",$C26="15-17")))),"",ROUND($N26*$J26,0))</f>
        <v/>
      </c>
      <c r="P26" s="39" t="str">
        <f aca="false">IF(OR(SUM($N26)=0,SUM($K26)=0,NOT(OR($C26="10-14",$C26="05-09"))),"",ROUND($N26*$K26,0))</f>
        <v/>
      </c>
      <c r="Q26" s="39" t="str">
        <f aca="false">IFERROR(1/(1/ROUND($N26*$L26*$M26,0)),"")</f>
        <v/>
      </c>
      <c r="R26" s="39" t="str">
        <f aca="false">IFERROR(1/(1/(ROUND($N26*$L26,0)-$Q26)),"")</f>
        <v/>
      </c>
      <c r="S26" s="88" t="str">
        <f aca="false">IF(OR($C26="18+",$C26="18-20",SUM($Q26,$R26)=0),"",100%)</f>
        <v/>
      </c>
      <c r="T26" s="39" t="str">
        <f aca="false">IF(OR($C26="18+",$C26="18-20",SUM($Q26,$R26)=0),"",ROUND(SUM($Q26,$R26)*$S26,0))</f>
        <v/>
      </c>
    </row>
    <row r="27" customFormat="false" ht="15" hidden="false" customHeight="false" outlineLevel="0" collapsed="false">
      <c r="A27" s="0" t="str">
        <f aca="false">INDEX(Prioritization!$D:$D,MATCH($B27,Prioritization!$A:$A,0))</f>
        <v>Military</v>
      </c>
      <c r="B27" s="0" t="s">
        <v>194</v>
      </c>
      <c r="C27" s="0" t="s">
        <v>814</v>
      </c>
      <c r="D27" s="0" t="s">
        <v>30</v>
      </c>
      <c r="E27" s="0" t="str">
        <f aca="false">$B27&amp;"|"&amp;$C27&amp;"|"&amp;$D27</f>
        <v>_Military Malawi [PQZgU9dagaH]|18+|Female</v>
      </c>
      <c r="G27" s="10"/>
      <c r="H27" s="10"/>
      <c r="I27" s="88" t="str">
        <f aca="false">IF(SUM($H27)=0,"",0%)</f>
        <v/>
      </c>
      <c r="J27" s="88"/>
      <c r="K27" s="88"/>
      <c r="L27" s="88" t="n">
        <f aca="false">1-IF(NOT(AND($D27="Female",OR($C27="10-14",$C27="15-17",$F27="Y"))),0,$J27)-IF(NOT(OR($C27="05-09",$C27="10-14")),0,$K27)</f>
        <v>1</v>
      </c>
      <c r="M27" s="88" t="n">
        <f aca="false">IF(SUM($L27)=0,"",20%)</f>
        <v>0.2</v>
      </c>
      <c r="N27" s="10" t="str">
        <f aca="false">IF(SUM($H27)=0,"",ROUND($H27*(1+$I27),0))</f>
        <v/>
      </c>
      <c r="O27" s="39" t="str">
        <f aca="false">IF(OR(SUM($N27)=0,SUM($J27)=0,NOT(AND($D27="Female",$F27="Y",OR($C27="10-14",$C27="15-17")))),"",ROUND($N27*$J27,0))</f>
        <v/>
      </c>
      <c r="P27" s="39" t="str">
        <f aca="false">IF(OR(SUM($N27)=0,SUM($K27)=0,NOT(OR($C27="10-14",$C27="05-09"))),"",ROUND($N27*$K27,0))</f>
        <v/>
      </c>
      <c r="Q27" s="39" t="str">
        <f aca="false">IFERROR(1/(1/ROUND($N27*$L27*$M27,0)),"")</f>
        <v/>
      </c>
      <c r="R27" s="39" t="str">
        <f aca="false">IFERROR(1/(1/(ROUND($N27*$L27,0)-$Q27)),"")</f>
        <v/>
      </c>
      <c r="S27" s="88" t="str">
        <f aca="false">IF(OR($C27="18+",$C27="18-20",SUM($Q27,$R27)=0),"",100%)</f>
        <v/>
      </c>
      <c r="T27" s="39" t="str">
        <f aca="false">IF(OR($C27="18+",$C27="18-20",SUM($Q27,$R27)=0),"",ROUND(SUM($Q27,$R27)*$S27,0))</f>
        <v/>
      </c>
    </row>
    <row r="28" customFormat="false" ht="15" hidden="false" customHeight="false" outlineLevel="0" collapsed="false">
      <c r="A28" s="0" t="str">
        <f aca="false">INDEX(Prioritization!$D:$D,MATCH($B28,Prioritization!$A:$A,0))</f>
        <v>Military</v>
      </c>
      <c r="B28" s="0" t="s">
        <v>194</v>
      </c>
      <c r="C28" s="0" t="s">
        <v>814</v>
      </c>
      <c r="D28" s="0" t="s">
        <v>48</v>
      </c>
      <c r="E28" s="0" t="str">
        <f aca="false">$B28&amp;"|"&amp;$C28&amp;"|"&amp;$D28</f>
        <v>_Military Malawi [PQZgU9dagaH]|18+|Male</v>
      </c>
      <c r="G28" s="10"/>
      <c r="H28" s="10"/>
      <c r="I28" s="88" t="str">
        <f aca="false">IF(SUM($H28)=0,"",0%)</f>
        <v/>
      </c>
      <c r="J28" s="88"/>
      <c r="K28" s="88"/>
      <c r="L28" s="88" t="n">
        <f aca="false">1-IF(NOT(AND($D28="Female",OR($C28="10-14",$C28="15-17",$F28="Y"))),0,$J28)-IF(NOT(OR($C28="05-09",$C28="10-14")),0,$K28)</f>
        <v>1</v>
      </c>
      <c r="M28" s="88" t="n">
        <f aca="false">IF(SUM($L28)=0,"",20%)</f>
        <v>0.2</v>
      </c>
      <c r="N28" s="10" t="str">
        <f aca="false">IF(SUM($H28)=0,"",ROUND($H28*(1+$I28),0))</f>
        <v/>
      </c>
      <c r="O28" s="39" t="str">
        <f aca="false">IF(OR(SUM($N28)=0,SUM($J28)=0,NOT(AND($D28="Female",$F28="Y",OR($C28="10-14",$C28="15-17")))),"",ROUND($N28*$J28,0))</f>
        <v/>
      </c>
      <c r="P28" s="39" t="str">
        <f aca="false">IF(OR(SUM($N28)=0,SUM($K28)=0,NOT(OR($C28="10-14",$C28="05-09"))),"",ROUND($N28*$K28,0))</f>
        <v/>
      </c>
      <c r="Q28" s="39" t="str">
        <f aca="false">IFERROR(1/(1/ROUND($N28*$L28*$M28,0)),"")</f>
        <v/>
      </c>
      <c r="R28" s="39" t="str">
        <f aca="false">IFERROR(1/(1/(ROUND($N28*$L28,0)-$Q28)),"")</f>
        <v/>
      </c>
      <c r="S28" s="88" t="str">
        <f aca="false">IF(OR($C28="18+",$C28="18-20",SUM($Q28,$R28)=0),"",100%)</f>
        <v/>
      </c>
      <c r="T28" s="39" t="str">
        <f aca="false">IF(OR($C28="18+",$C28="18-20",SUM($Q28,$R28)=0),"",ROUND(SUM($Q28,$R28)*$S28,0))</f>
        <v/>
      </c>
    </row>
    <row r="29" customFormat="false" ht="15" hidden="false" customHeight="false" outlineLevel="0" collapsed="false">
      <c r="A29" s="0" t="str">
        <f aca="false">INDEX(Prioritization!$D:$D,MATCH($B29,Prioritization!$A:$A,0))</f>
        <v>1 - Scale-up: Saturation</v>
      </c>
      <c r="B29" s="0" t="s">
        <v>195</v>
      </c>
      <c r="C29" s="0" t="s">
        <v>316</v>
      </c>
      <c r="D29" s="0" t="s">
        <v>30</v>
      </c>
      <c r="E29" s="0" t="str">
        <f aca="false">$B29&amp;"|"&amp;$C29&amp;"|"&amp;$D29</f>
        <v>Dedza District [PekKUkKHAzY]|&lt;01|Female</v>
      </c>
      <c r="G29" s="10"/>
      <c r="H29" s="10"/>
      <c r="I29" s="88" t="str">
        <f aca="false">IF(SUM($H29)=0,"",0%)</f>
        <v/>
      </c>
      <c r="J29" s="88"/>
      <c r="K29" s="88"/>
      <c r="L29" s="88" t="n">
        <f aca="false">1-IF(NOT(AND($D29="Female",OR($C29="10-14",$C29="15-17",$F29="Y"))),0,$J29)-IF(NOT(OR($C29="05-09",$C29="10-14")),0,$K29)</f>
        <v>1</v>
      </c>
      <c r="M29" s="88" t="n">
        <f aca="false">IF(SUM($L29)=0,"",20%)</f>
        <v>0.2</v>
      </c>
      <c r="N29" s="10" t="str">
        <f aca="false">IF(SUM($H29)=0,"",ROUND($H29*(1+$I29),0))</f>
        <v/>
      </c>
      <c r="O29" s="39" t="str">
        <f aca="false">IF(OR(SUM($N29)=0,SUM($J29)=0,NOT(AND($D29="Female",$F29="Y",OR($C29="10-14",$C29="15-17")))),"",ROUND($N29*$J29,0))</f>
        <v/>
      </c>
      <c r="P29" s="39" t="str">
        <f aca="false">IF(OR(SUM($N29)=0,SUM($K29)=0,NOT(OR($C29="10-14",$C29="05-09"))),"",ROUND($N29*$K29,0))</f>
        <v/>
      </c>
      <c r="Q29" s="39" t="str">
        <f aca="false">IFERROR(1/(1/ROUND($N29*$L29*$M29,0)),"")</f>
        <v/>
      </c>
      <c r="R29" s="39" t="str">
        <f aca="false">IFERROR(1/(1/(ROUND($N29*$L29,0)-$Q29)),"")</f>
        <v/>
      </c>
      <c r="S29" s="88" t="str">
        <f aca="false">IF(OR($C29="18+",$C29="18-20",SUM($Q29,$R29)=0),"",100%)</f>
        <v/>
      </c>
      <c r="T29" s="39" t="str">
        <f aca="false">IF(OR($C29="18+",$C29="18-20",SUM($Q29,$R29)=0),"",ROUND(SUM($Q29,$R29)*$S29,0))</f>
        <v/>
      </c>
    </row>
    <row r="30" customFormat="false" ht="15" hidden="false" customHeight="false" outlineLevel="0" collapsed="false">
      <c r="A30" s="0" t="str">
        <f aca="false">INDEX(Prioritization!$D:$D,MATCH($B30,Prioritization!$A:$A,0))</f>
        <v>1 - Scale-up: Saturation</v>
      </c>
      <c r="B30" s="0" t="s">
        <v>195</v>
      </c>
      <c r="C30" s="0" t="s">
        <v>316</v>
      </c>
      <c r="D30" s="0" t="s">
        <v>48</v>
      </c>
      <c r="E30" s="0" t="str">
        <f aca="false">$B30&amp;"|"&amp;$C30&amp;"|"&amp;$D30</f>
        <v>Dedza District [PekKUkKHAzY]|&lt;01|Male</v>
      </c>
      <c r="G30" s="10"/>
      <c r="H30" s="10"/>
      <c r="I30" s="88" t="str">
        <f aca="false">IF(SUM($H30)=0,"",0%)</f>
        <v/>
      </c>
      <c r="J30" s="88"/>
      <c r="K30" s="88"/>
      <c r="L30" s="88" t="n">
        <f aca="false">1-IF(NOT(AND($D30="Female",OR($C30="10-14",$C30="15-17",$F30="Y"))),0,$J30)-IF(NOT(OR($C30="05-09",$C30="10-14")),0,$K30)</f>
        <v>1</v>
      </c>
      <c r="M30" s="88" t="n">
        <f aca="false">IF(SUM($L30)=0,"",20%)</f>
        <v>0.2</v>
      </c>
      <c r="N30" s="10" t="str">
        <f aca="false">IF(SUM($H30)=0,"",ROUND($H30*(1+$I30),0))</f>
        <v/>
      </c>
      <c r="O30" s="39" t="str">
        <f aca="false">IF(OR(SUM($N30)=0,SUM($J30)=0,NOT(AND($D30="Female",$F30="Y",OR($C30="10-14",$C30="15-17")))),"",ROUND($N30*$J30,0))</f>
        <v/>
      </c>
      <c r="P30" s="39" t="str">
        <f aca="false">IF(OR(SUM($N30)=0,SUM($K30)=0,NOT(OR($C30="10-14",$C30="05-09"))),"",ROUND($N30*$K30,0))</f>
        <v/>
      </c>
      <c r="Q30" s="39" t="str">
        <f aca="false">IFERROR(1/(1/ROUND($N30*$L30*$M30,0)),"")</f>
        <v/>
      </c>
      <c r="R30" s="39" t="str">
        <f aca="false">IFERROR(1/(1/(ROUND($N30*$L30,0)-$Q30)),"")</f>
        <v/>
      </c>
      <c r="S30" s="88" t="str">
        <f aca="false">IF(OR($C30="18+",$C30="18-20",SUM($Q30,$R30)=0),"",100%)</f>
        <v/>
      </c>
      <c r="T30" s="39" t="str">
        <f aca="false">IF(OR($C30="18+",$C30="18-20",SUM($Q30,$R30)=0),"",ROUND(SUM($Q30,$R30)*$S30,0))</f>
        <v/>
      </c>
    </row>
    <row r="31" customFormat="false" ht="15" hidden="false" customHeight="false" outlineLevel="0" collapsed="false">
      <c r="A31" s="0" t="str">
        <f aca="false">INDEX(Prioritization!$D:$D,MATCH($B31,Prioritization!$A:$A,0))</f>
        <v>1 - Scale-up: Saturation</v>
      </c>
      <c r="B31" s="0" t="s">
        <v>195</v>
      </c>
      <c r="C31" s="0" t="s">
        <v>810</v>
      </c>
      <c r="D31" s="0" t="s">
        <v>30</v>
      </c>
      <c r="E31" s="0" t="str">
        <f aca="false">$B31&amp;"|"&amp;$C31&amp;"|"&amp;$D31</f>
        <v>Dedza District [PekKUkKHAzY]|01-04|Female</v>
      </c>
      <c r="G31" s="10"/>
      <c r="H31" s="10"/>
      <c r="I31" s="88" t="str">
        <f aca="false">IF(SUM($H31)=0,"",0%)</f>
        <v/>
      </c>
      <c r="J31" s="88"/>
      <c r="K31" s="88"/>
      <c r="L31" s="88" t="n">
        <f aca="false">1-IF(NOT(AND($D31="Female",OR($C31="10-14",$C31="15-17",$F31="Y"))),0,$J31)-IF(NOT(OR($C31="05-09",$C31="10-14")),0,$K31)</f>
        <v>1</v>
      </c>
      <c r="M31" s="88" t="n">
        <f aca="false">IF(SUM($L31)=0,"",20%)</f>
        <v>0.2</v>
      </c>
      <c r="N31" s="10" t="str">
        <f aca="false">IF(SUM($H31)=0,"",ROUND($H31*(1+$I31),0))</f>
        <v/>
      </c>
      <c r="O31" s="39" t="str">
        <f aca="false">IF(OR(SUM($N31)=0,SUM($J31)=0,NOT(AND($D31="Female",$F31="Y",OR($C31="10-14",$C31="15-17")))),"",ROUND($N31*$J31,0))</f>
        <v/>
      </c>
      <c r="P31" s="39" t="str">
        <f aca="false">IF(OR(SUM($N31)=0,SUM($K31)=0,NOT(OR($C31="10-14",$C31="05-09"))),"",ROUND($N31*$K31,0))</f>
        <v/>
      </c>
      <c r="Q31" s="39" t="str">
        <f aca="false">IFERROR(1/(1/ROUND($N31*$L31*$M31,0)),"")</f>
        <v/>
      </c>
      <c r="R31" s="39" t="str">
        <f aca="false">IFERROR(1/(1/(ROUND($N31*$L31,0)-$Q31)),"")</f>
        <v/>
      </c>
      <c r="S31" s="88" t="str">
        <f aca="false">IF(OR($C31="18+",$C31="18-20",SUM($Q31,$R31)=0),"",100%)</f>
        <v/>
      </c>
      <c r="T31" s="39" t="str">
        <f aca="false">IF(OR($C31="18+",$C31="18-20",SUM($Q31,$R31)=0),"",ROUND(SUM($Q31,$R31)*$S31,0))</f>
        <v/>
      </c>
    </row>
    <row r="32" customFormat="false" ht="15" hidden="false" customHeight="false" outlineLevel="0" collapsed="false">
      <c r="A32" s="0" t="str">
        <f aca="false">INDEX(Prioritization!$D:$D,MATCH($B32,Prioritization!$A:$A,0))</f>
        <v>1 - Scale-up: Saturation</v>
      </c>
      <c r="B32" s="0" t="s">
        <v>195</v>
      </c>
      <c r="C32" s="0" t="s">
        <v>810</v>
      </c>
      <c r="D32" s="0" t="s">
        <v>48</v>
      </c>
      <c r="E32" s="0" t="str">
        <f aca="false">$B32&amp;"|"&amp;$C32&amp;"|"&amp;$D32</f>
        <v>Dedza District [PekKUkKHAzY]|01-04|Male</v>
      </c>
      <c r="G32" s="10"/>
      <c r="H32" s="10"/>
      <c r="I32" s="88" t="str">
        <f aca="false">IF(SUM($H32)=0,"",0%)</f>
        <v/>
      </c>
      <c r="J32" s="88"/>
      <c r="K32" s="88"/>
      <c r="L32" s="88" t="n">
        <f aca="false">1-IF(NOT(AND($D32="Female",OR($C32="10-14",$C32="15-17",$F32="Y"))),0,$J32)-IF(NOT(OR($C32="05-09",$C32="10-14")),0,$K32)</f>
        <v>1</v>
      </c>
      <c r="M32" s="88" t="n">
        <f aca="false">IF(SUM($L32)=0,"",20%)</f>
        <v>0.2</v>
      </c>
      <c r="N32" s="10" t="str">
        <f aca="false">IF(SUM($H32)=0,"",ROUND($H32*(1+$I32),0))</f>
        <v/>
      </c>
      <c r="O32" s="39" t="str">
        <f aca="false">IF(OR(SUM($N32)=0,SUM($J32)=0,NOT(AND($D32="Female",$F32="Y",OR($C32="10-14",$C32="15-17")))),"",ROUND($N32*$J32,0))</f>
        <v/>
      </c>
      <c r="P32" s="39" t="str">
        <f aca="false">IF(OR(SUM($N32)=0,SUM($K32)=0,NOT(OR($C32="10-14",$C32="05-09"))),"",ROUND($N32*$K32,0))</f>
        <v/>
      </c>
      <c r="Q32" s="39" t="str">
        <f aca="false">IFERROR(1/(1/ROUND($N32*$L32*$M32,0)),"")</f>
        <v/>
      </c>
      <c r="R32" s="39" t="str">
        <f aca="false">IFERROR(1/(1/(ROUND($N32*$L32,0)-$Q32)),"")</f>
        <v/>
      </c>
      <c r="S32" s="88" t="str">
        <f aca="false">IF(OR($C32="18+",$C32="18-20",SUM($Q32,$R32)=0),"",100%)</f>
        <v/>
      </c>
      <c r="T32" s="39" t="str">
        <f aca="false">IF(OR($C32="18+",$C32="18-20",SUM($Q32,$R32)=0),"",ROUND(SUM($Q32,$R32)*$S32,0))</f>
        <v/>
      </c>
    </row>
    <row r="33" customFormat="false" ht="15" hidden="false" customHeight="false" outlineLevel="0" collapsed="false">
      <c r="A33" s="0" t="str">
        <f aca="false">INDEX(Prioritization!$D:$D,MATCH($B33,Prioritization!$A:$A,0))</f>
        <v>1 - Scale-up: Saturation</v>
      </c>
      <c r="B33" s="0" t="s">
        <v>195</v>
      </c>
      <c r="C33" s="0" t="s">
        <v>811</v>
      </c>
      <c r="D33" s="0" t="s">
        <v>30</v>
      </c>
      <c r="E33" s="0" t="str">
        <f aca="false">$B33&amp;"|"&amp;$C33&amp;"|"&amp;$D33</f>
        <v>Dedza District [PekKUkKHAzY]|05-09|Female</v>
      </c>
      <c r="G33" s="10"/>
      <c r="H33" s="10"/>
      <c r="I33" s="88" t="str">
        <f aca="false">IF(SUM($H33)=0,"",0%)</f>
        <v/>
      </c>
      <c r="J33" s="88"/>
      <c r="K33" s="88"/>
      <c r="L33" s="88" t="n">
        <f aca="false">1-IF(NOT(AND($D33="Female",OR($C33="10-14",$C33="15-17",$F33="Y"))),0,$J33)-IF(NOT(OR($C33="05-09",$C33="10-14")),0,$K33)</f>
        <v>1</v>
      </c>
      <c r="M33" s="88" t="n">
        <f aca="false">IF(SUM($L33)=0,"",20%)</f>
        <v>0.2</v>
      </c>
      <c r="N33" s="10" t="str">
        <f aca="false">IF(SUM($H33)=0,"",ROUND($H33*(1+$I33),0))</f>
        <v/>
      </c>
      <c r="O33" s="39" t="str">
        <f aca="false">IF(OR(SUM($N33)=0,SUM($J33)=0,NOT(AND($D33="Female",$F33="Y",OR($C33="10-14",$C33="15-17")))),"",ROUND($N33*$J33,0))</f>
        <v/>
      </c>
      <c r="P33" s="39" t="str">
        <f aca="false">IF(OR(SUM($N33)=0,SUM($K33)=0,NOT(OR($C33="10-14",$C33="05-09"))),"",ROUND($N33*$K33,0))</f>
        <v/>
      </c>
      <c r="Q33" s="39" t="str">
        <f aca="false">IFERROR(1/(1/ROUND($N33*$L33*$M33,0)),"")</f>
        <v/>
      </c>
      <c r="R33" s="39" t="str">
        <f aca="false">IFERROR(1/(1/(ROUND($N33*$L33,0)-$Q33)),"")</f>
        <v/>
      </c>
      <c r="S33" s="88" t="str">
        <f aca="false">IF(OR($C33="18+",$C33="18-20",SUM($Q33,$R33)=0),"",100%)</f>
        <v/>
      </c>
      <c r="T33" s="39" t="str">
        <f aca="false">IF(OR($C33="18+",$C33="18-20",SUM($Q33,$R33)=0),"",ROUND(SUM($Q33,$R33)*$S33,0))</f>
        <v/>
      </c>
    </row>
    <row r="34" customFormat="false" ht="15" hidden="false" customHeight="false" outlineLevel="0" collapsed="false">
      <c r="A34" s="0" t="str">
        <f aca="false">INDEX(Prioritization!$D:$D,MATCH($B34,Prioritization!$A:$A,0))</f>
        <v>1 - Scale-up: Saturation</v>
      </c>
      <c r="B34" s="0" t="s">
        <v>195</v>
      </c>
      <c r="C34" s="0" t="s">
        <v>811</v>
      </c>
      <c r="D34" s="0" t="s">
        <v>48</v>
      </c>
      <c r="E34" s="0" t="str">
        <f aca="false">$B34&amp;"|"&amp;$C34&amp;"|"&amp;$D34</f>
        <v>Dedza District [PekKUkKHAzY]|05-09|Male</v>
      </c>
      <c r="G34" s="10"/>
      <c r="H34" s="10"/>
      <c r="I34" s="88" t="str">
        <f aca="false">IF(SUM($H34)=0,"",0%)</f>
        <v/>
      </c>
      <c r="J34" s="88"/>
      <c r="K34" s="88"/>
      <c r="L34" s="88" t="n">
        <f aca="false">1-IF(NOT(AND($D34="Female",OR($C34="10-14",$C34="15-17",$F34="Y"))),0,$J34)-IF(NOT(OR($C34="05-09",$C34="10-14")),0,$K34)</f>
        <v>1</v>
      </c>
      <c r="M34" s="88" t="n">
        <f aca="false">IF(SUM($L34)=0,"",20%)</f>
        <v>0.2</v>
      </c>
      <c r="N34" s="10" t="str">
        <f aca="false">IF(SUM($H34)=0,"",ROUND($H34*(1+$I34),0))</f>
        <v/>
      </c>
      <c r="O34" s="39" t="str">
        <f aca="false">IF(OR(SUM($N34)=0,SUM($J34)=0,NOT(AND($D34="Female",$F34="Y",OR($C34="10-14",$C34="15-17")))),"",ROUND($N34*$J34,0))</f>
        <v/>
      </c>
      <c r="P34" s="39" t="str">
        <f aca="false">IF(OR(SUM($N34)=0,SUM($K34)=0,NOT(OR($C34="10-14",$C34="05-09"))),"",ROUND($N34*$K34,0))</f>
        <v/>
      </c>
      <c r="Q34" s="39" t="str">
        <f aca="false">IFERROR(1/(1/ROUND($N34*$L34*$M34,0)),"")</f>
        <v/>
      </c>
      <c r="R34" s="39" t="str">
        <f aca="false">IFERROR(1/(1/(ROUND($N34*$L34,0)-$Q34)),"")</f>
        <v/>
      </c>
      <c r="S34" s="88" t="str">
        <f aca="false">IF(OR($C34="18+",$C34="18-20",SUM($Q34,$R34)=0),"",100%)</f>
        <v/>
      </c>
      <c r="T34" s="39" t="str">
        <f aca="false">IF(OR($C34="18+",$C34="18-20",SUM($Q34,$R34)=0),"",ROUND(SUM($Q34,$R34)*$S34,0))</f>
        <v/>
      </c>
    </row>
    <row r="35" customFormat="false" ht="15" hidden="false" customHeight="false" outlineLevel="0" collapsed="false">
      <c r="A35" s="0" t="str">
        <f aca="false">INDEX(Prioritization!$D:$D,MATCH($B35,Prioritization!$A:$A,0))</f>
        <v>1 - Scale-up: Saturation</v>
      </c>
      <c r="B35" s="0" t="s">
        <v>195</v>
      </c>
      <c r="C35" s="0" t="s">
        <v>364</v>
      </c>
      <c r="D35" s="0" t="s">
        <v>30</v>
      </c>
      <c r="E35" s="0" t="str">
        <f aca="false">$B35&amp;"|"&amp;$C35&amp;"|"&amp;$D35</f>
        <v>Dedza District [PekKUkKHAzY]|10-14|Female</v>
      </c>
      <c r="G35" s="10"/>
      <c r="H35" s="10" t="n">
        <v>10</v>
      </c>
      <c r="I35" s="88" t="n">
        <f aca="false">IF(SUM($H35)=0,"",0%)</f>
        <v>0</v>
      </c>
      <c r="J35" s="88"/>
      <c r="K35" s="88"/>
      <c r="L35" s="88" t="n">
        <f aca="false">1-IF(NOT(AND($D35="Female",OR($C35="10-14",$C35="15-17",$F35="Y"))),0,$J35)-IF(NOT(OR($C35="05-09",$C35="10-14")),0,$K35)</f>
        <v>1</v>
      </c>
      <c r="M35" s="88" t="n">
        <f aca="false">IF(SUM($L35)=0,"",20%)</f>
        <v>0.2</v>
      </c>
      <c r="N35" s="10" t="n">
        <f aca="false">IF(SUM($H35)=0,"",ROUND($H35*(1+$I35),0))</f>
        <v>10</v>
      </c>
      <c r="O35" s="39" t="str">
        <f aca="false">IF(OR(SUM($N35)=0,SUM($J35)=0,NOT(AND($D35="Female",$F35="Y",OR($C35="10-14",$C35="15-17")))),"",ROUND($N35*$J35,0))</f>
        <v/>
      </c>
      <c r="P35" s="39" t="str">
        <f aca="false">IF(OR(SUM($N35)=0,SUM($K35)=0,NOT(OR($C35="10-14",$C35="05-09"))),"",ROUND($N35*$K35,0))</f>
        <v/>
      </c>
      <c r="Q35" s="39" t="n">
        <f aca="false">IFERROR(1/(1/ROUND($N35*$L35*$M35,0)),"")</f>
        <v>2</v>
      </c>
      <c r="R35" s="39" t="n">
        <f aca="false">IFERROR(1/(1/(ROUND($N35*$L35,0)-$Q35)),"")</f>
        <v>8</v>
      </c>
      <c r="S35" s="88" t="n">
        <f aca="false">IF(OR($C35="18+",$C35="18-20",SUM($Q35,$R35)=0),"",100%)</f>
        <v>1</v>
      </c>
      <c r="T35" s="39" t="n">
        <f aca="false">IF(OR($C35="18+",$C35="18-20",SUM($Q35,$R35)=0),"",ROUND(SUM($Q35,$R35)*$S35,0))</f>
        <v>10</v>
      </c>
    </row>
    <row r="36" customFormat="false" ht="15" hidden="false" customHeight="false" outlineLevel="0" collapsed="false">
      <c r="A36" s="0" t="str">
        <f aca="false">INDEX(Prioritization!$D:$D,MATCH($B36,Prioritization!$A:$A,0))</f>
        <v>1 - Scale-up: Saturation</v>
      </c>
      <c r="B36" s="0" t="s">
        <v>195</v>
      </c>
      <c r="C36" s="0" t="s">
        <v>364</v>
      </c>
      <c r="D36" s="0" t="s">
        <v>48</v>
      </c>
      <c r="E36" s="0" t="str">
        <f aca="false">$B36&amp;"|"&amp;$C36&amp;"|"&amp;$D36</f>
        <v>Dedza District [PekKUkKHAzY]|10-14|Male</v>
      </c>
      <c r="G36" s="10"/>
      <c r="H36" s="10" t="n">
        <v>1</v>
      </c>
      <c r="I36" s="88" t="n">
        <f aca="false">IF(SUM($H36)=0,"",0%)</f>
        <v>0</v>
      </c>
      <c r="J36" s="88"/>
      <c r="K36" s="88"/>
      <c r="L36" s="88" t="n">
        <f aca="false">1-IF(NOT(AND($D36="Female",OR($C36="10-14",$C36="15-17",$F36="Y"))),0,$J36)-IF(NOT(OR($C36="05-09",$C36="10-14")),0,$K36)</f>
        <v>1</v>
      </c>
      <c r="M36" s="88" t="n">
        <f aca="false">IF(SUM($L36)=0,"",20%)</f>
        <v>0.2</v>
      </c>
      <c r="N36" s="10" t="n">
        <f aca="false">IF(SUM($H36)=0,"",ROUND($H36*(1+$I36),0))</f>
        <v>1</v>
      </c>
      <c r="O36" s="39" t="str">
        <f aca="false">IF(OR(SUM($N36)=0,SUM($J36)=0,NOT(AND($D36="Female",$F36="Y",OR($C36="10-14",$C36="15-17")))),"",ROUND($N36*$J36,0))</f>
        <v/>
      </c>
      <c r="P36" s="39" t="str">
        <f aca="false">IF(OR(SUM($N36)=0,SUM($K36)=0,NOT(OR($C36="10-14",$C36="05-09"))),"",ROUND($N36*$K36,0))</f>
        <v/>
      </c>
      <c r="Q36" s="39" t="str">
        <f aca="false">IFERROR(1/(1/ROUND($N36*$L36*$M36,0)),"")</f>
        <v/>
      </c>
      <c r="R36" s="39" t="str">
        <f aca="false">IFERROR(1/(1/(ROUND($N36*$L36,0)-$Q36)),"")</f>
        <v/>
      </c>
      <c r="S36" s="88" t="str">
        <f aca="false">IF(OR($C36="18+",$C36="18-20",SUM($Q36,$R36)=0),"",100%)</f>
        <v/>
      </c>
      <c r="T36" s="39" t="str">
        <f aca="false">IF(OR($C36="18+",$C36="18-20",SUM($Q36,$R36)=0),"",ROUND(SUM($Q36,$R36)*$S36,0))</f>
        <v/>
      </c>
    </row>
    <row r="37" customFormat="false" ht="15" hidden="false" customHeight="false" outlineLevel="0" collapsed="false">
      <c r="A37" s="0" t="str">
        <f aca="false">INDEX(Prioritization!$D:$D,MATCH($B37,Prioritization!$A:$A,0))</f>
        <v>1 - Scale-up: Saturation</v>
      </c>
      <c r="B37" s="0" t="s">
        <v>195</v>
      </c>
      <c r="C37" s="0" t="s">
        <v>812</v>
      </c>
      <c r="D37" s="0" t="s">
        <v>30</v>
      </c>
      <c r="E37" s="0" t="str">
        <f aca="false">$B37&amp;"|"&amp;$C37&amp;"|"&amp;$D37</f>
        <v>Dedza District [PekKUkKHAzY]|15-17|Female</v>
      </c>
      <c r="G37" s="10"/>
      <c r="H37" s="10"/>
      <c r="I37" s="88" t="str">
        <f aca="false">IF(SUM($H37)=0,"",0%)</f>
        <v/>
      </c>
      <c r="J37" s="88"/>
      <c r="K37" s="88"/>
      <c r="L37" s="88" t="n">
        <f aca="false">1-IF(NOT(AND($D37="Female",OR($C37="10-14",$C37="15-17",$F37="Y"))),0,$J37)-IF(NOT(OR($C37="05-09",$C37="10-14")),0,$K37)</f>
        <v>1</v>
      </c>
      <c r="M37" s="88" t="n">
        <f aca="false">IF(SUM($L37)=0,"",20%)</f>
        <v>0.2</v>
      </c>
      <c r="N37" s="10" t="str">
        <f aca="false">IF(SUM($H37)=0,"",ROUND($H37*(1+$I37),0))</f>
        <v/>
      </c>
      <c r="O37" s="39" t="str">
        <f aca="false">IF(OR(SUM($N37)=0,SUM($J37)=0,NOT(AND($D37="Female",$F37="Y",OR($C37="10-14",$C37="15-17")))),"",ROUND($N37*$J37,0))</f>
        <v/>
      </c>
      <c r="P37" s="39" t="str">
        <f aca="false">IF(OR(SUM($N37)=0,SUM($K37)=0,NOT(OR($C37="10-14",$C37="05-09"))),"",ROUND($N37*$K37,0))</f>
        <v/>
      </c>
      <c r="Q37" s="39" t="str">
        <f aca="false">IFERROR(1/(1/ROUND($N37*$L37*$M37,0)),"")</f>
        <v/>
      </c>
      <c r="R37" s="39" t="str">
        <f aca="false">IFERROR(1/(1/(ROUND($N37*$L37,0)-$Q37)),"")</f>
        <v/>
      </c>
      <c r="S37" s="88" t="str">
        <f aca="false">IF(OR($C37="18+",$C37="18-20",SUM($Q37,$R37)=0),"",100%)</f>
        <v/>
      </c>
      <c r="T37" s="39" t="str">
        <f aca="false">IF(OR($C37="18+",$C37="18-20",SUM($Q37,$R37)=0),"",ROUND(SUM($Q37,$R37)*$S37,0))</f>
        <v/>
      </c>
    </row>
    <row r="38" customFormat="false" ht="15" hidden="false" customHeight="false" outlineLevel="0" collapsed="false">
      <c r="A38" s="0" t="str">
        <f aca="false">INDEX(Prioritization!$D:$D,MATCH($B38,Prioritization!$A:$A,0))</f>
        <v>1 - Scale-up: Saturation</v>
      </c>
      <c r="B38" s="0" t="s">
        <v>195</v>
      </c>
      <c r="C38" s="0" t="s">
        <v>812</v>
      </c>
      <c r="D38" s="0" t="s">
        <v>48</v>
      </c>
      <c r="E38" s="0" t="str">
        <f aca="false">$B38&amp;"|"&amp;$C38&amp;"|"&amp;$D38</f>
        <v>Dedza District [PekKUkKHAzY]|15-17|Male</v>
      </c>
      <c r="G38" s="10"/>
      <c r="H38" s="10"/>
      <c r="I38" s="88" t="str">
        <f aca="false">IF(SUM($H38)=0,"",0%)</f>
        <v/>
      </c>
      <c r="J38" s="88"/>
      <c r="K38" s="88"/>
      <c r="L38" s="88" t="n">
        <f aca="false">1-IF(NOT(AND($D38="Female",OR($C38="10-14",$C38="15-17",$F38="Y"))),0,$J38)-IF(NOT(OR($C38="05-09",$C38="10-14")),0,$K38)</f>
        <v>1</v>
      </c>
      <c r="M38" s="88" t="n">
        <f aca="false">IF(SUM($L38)=0,"",20%)</f>
        <v>0.2</v>
      </c>
      <c r="N38" s="10" t="str">
        <f aca="false">IF(SUM($H38)=0,"",ROUND($H38*(1+$I38),0))</f>
        <v/>
      </c>
      <c r="O38" s="39" t="str">
        <f aca="false">IF(OR(SUM($N38)=0,SUM($J38)=0,NOT(AND($D38="Female",$F38="Y",OR($C38="10-14",$C38="15-17")))),"",ROUND($N38*$J38,0))</f>
        <v/>
      </c>
      <c r="P38" s="39" t="str">
        <f aca="false">IF(OR(SUM($N38)=0,SUM($K38)=0,NOT(OR($C38="10-14",$C38="05-09"))),"",ROUND($N38*$K38,0))</f>
        <v/>
      </c>
      <c r="Q38" s="39" t="str">
        <f aca="false">IFERROR(1/(1/ROUND($N38*$L38*$M38,0)),"")</f>
        <v/>
      </c>
      <c r="R38" s="39" t="str">
        <f aca="false">IFERROR(1/(1/(ROUND($N38*$L38,0)-$Q38)),"")</f>
        <v/>
      </c>
      <c r="S38" s="88" t="str">
        <f aca="false">IF(OR($C38="18+",$C38="18-20",SUM($Q38,$R38)=0),"",100%)</f>
        <v/>
      </c>
      <c r="T38" s="39" t="str">
        <f aca="false">IF(OR($C38="18+",$C38="18-20",SUM($Q38,$R38)=0),"",ROUND(SUM($Q38,$R38)*$S38,0))</f>
        <v/>
      </c>
    </row>
    <row r="39" customFormat="false" ht="15" hidden="false" customHeight="false" outlineLevel="0" collapsed="false">
      <c r="A39" s="0" t="str">
        <f aca="false">INDEX(Prioritization!$D:$D,MATCH($B39,Prioritization!$A:$A,0))</f>
        <v>1 - Scale-up: Saturation</v>
      </c>
      <c r="B39" s="0" t="s">
        <v>195</v>
      </c>
      <c r="C39" s="0" t="s">
        <v>813</v>
      </c>
      <c r="D39" s="0" t="s">
        <v>30</v>
      </c>
      <c r="E39" s="0" t="str">
        <f aca="false">$B39&amp;"|"&amp;$C39&amp;"|"&amp;$D39</f>
        <v>Dedza District [PekKUkKHAzY]|18-20|Female</v>
      </c>
      <c r="G39" s="10"/>
      <c r="H39" s="10"/>
      <c r="I39" s="88" t="str">
        <f aca="false">IF(SUM($H39)=0,"",0%)</f>
        <v/>
      </c>
      <c r="J39" s="88"/>
      <c r="K39" s="88"/>
      <c r="L39" s="88" t="n">
        <f aca="false">1-IF(NOT(AND($D39="Female",OR($C39="10-14",$C39="15-17",$F39="Y"))),0,$J39)-IF(NOT(OR($C39="05-09",$C39="10-14")),0,$K39)</f>
        <v>1</v>
      </c>
      <c r="M39" s="88" t="n">
        <f aca="false">IF(SUM($L39)=0,"",20%)</f>
        <v>0.2</v>
      </c>
      <c r="N39" s="10" t="str">
        <f aca="false">IF(SUM($H39)=0,"",ROUND($H39*(1+$I39),0))</f>
        <v/>
      </c>
      <c r="O39" s="39" t="str">
        <f aca="false">IF(OR(SUM($N39)=0,SUM($J39)=0,NOT(AND($D39="Female",$F39="Y",OR($C39="10-14",$C39="15-17")))),"",ROUND($N39*$J39,0))</f>
        <v/>
      </c>
      <c r="P39" s="39" t="str">
        <f aca="false">IF(OR(SUM($N39)=0,SUM($K39)=0,NOT(OR($C39="10-14",$C39="05-09"))),"",ROUND($N39*$K39,0))</f>
        <v/>
      </c>
      <c r="Q39" s="39" t="str">
        <f aca="false">IFERROR(1/(1/ROUND($N39*$L39*$M39,0)),"")</f>
        <v/>
      </c>
      <c r="R39" s="39" t="str">
        <f aca="false">IFERROR(1/(1/(ROUND($N39*$L39,0)-$Q39)),"")</f>
        <v/>
      </c>
      <c r="S39" s="88" t="str">
        <f aca="false">IF(OR($C39="18+",$C39="18-20",SUM($Q39,$R39)=0),"",100%)</f>
        <v/>
      </c>
      <c r="T39" s="39" t="str">
        <f aca="false">IF(OR($C39="18+",$C39="18-20",SUM($Q39,$R39)=0),"",ROUND(SUM($Q39,$R39)*$S39,0))</f>
        <v/>
      </c>
    </row>
    <row r="40" customFormat="false" ht="15" hidden="false" customHeight="false" outlineLevel="0" collapsed="false">
      <c r="A40" s="0" t="str">
        <f aca="false">INDEX(Prioritization!$D:$D,MATCH($B40,Prioritization!$A:$A,0))</f>
        <v>1 - Scale-up: Saturation</v>
      </c>
      <c r="B40" s="0" t="s">
        <v>195</v>
      </c>
      <c r="C40" s="0" t="s">
        <v>813</v>
      </c>
      <c r="D40" s="0" t="s">
        <v>48</v>
      </c>
      <c r="E40" s="0" t="str">
        <f aca="false">$B40&amp;"|"&amp;$C40&amp;"|"&amp;$D40</f>
        <v>Dedza District [PekKUkKHAzY]|18-20|Male</v>
      </c>
      <c r="G40" s="10"/>
      <c r="H40" s="10"/>
      <c r="I40" s="88" t="str">
        <f aca="false">IF(SUM($H40)=0,"",0%)</f>
        <v/>
      </c>
      <c r="J40" s="88"/>
      <c r="K40" s="88"/>
      <c r="L40" s="88" t="n">
        <f aca="false">1-IF(NOT(AND($D40="Female",OR($C40="10-14",$C40="15-17",$F40="Y"))),0,$J40)-IF(NOT(OR($C40="05-09",$C40="10-14")),0,$K40)</f>
        <v>1</v>
      </c>
      <c r="M40" s="88" t="n">
        <f aca="false">IF(SUM($L40)=0,"",20%)</f>
        <v>0.2</v>
      </c>
      <c r="N40" s="10" t="str">
        <f aca="false">IF(SUM($H40)=0,"",ROUND($H40*(1+$I40),0))</f>
        <v/>
      </c>
      <c r="O40" s="39" t="str">
        <f aca="false">IF(OR(SUM($N40)=0,SUM($J40)=0,NOT(AND($D40="Female",$F40="Y",OR($C40="10-14",$C40="15-17")))),"",ROUND($N40*$J40,0))</f>
        <v/>
      </c>
      <c r="P40" s="39" t="str">
        <f aca="false">IF(OR(SUM($N40)=0,SUM($K40)=0,NOT(OR($C40="10-14",$C40="05-09"))),"",ROUND($N40*$K40,0))</f>
        <v/>
      </c>
      <c r="Q40" s="39" t="str">
        <f aca="false">IFERROR(1/(1/ROUND($N40*$L40*$M40,0)),"")</f>
        <v/>
      </c>
      <c r="R40" s="39" t="str">
        <f aca="false">IFERROR(1/(1/(ROUND($N40*$L40,0)-$Q40)),"")</f>
        <v/>
      </c>
      <c r="S40" s="88" t="str">
        <f aca="false">IF(OR($C40="18+",$C40="18-20",SUM($Q40,$R40)=0),"",100%)</f>
        <v/>
      </c>
      <c r="T40" s="39" t="str">
        <f aca="false">IF(OR($C40="18+",$C40="18-20",SUM($Q40,$R40)=0),"",ROUND(SUM($Q40,$R40)*$S40,0))</f>
        <v/>
      </c>
    </row>
    <row r="41" customFormat="false" ht="15" hidden="false" customHeight="false" outlineLevel="0" collapsed="false">
      <c r="A41" s="0" t="str">
        <f aca="false">INDEX(Prioritization!$D:$D,MATCH($B41,Prioritization!$A:$A,0))</f>
        <v>1 - Scale-up: Saturation</v>
      </c>
      <c r="B41" s="0" t="s">
        <v>195</v>
      </c>
      <c r="C41" s="0" t="s">
        <v>814</v>
      </c>
      <c r="D41" s="0" t="s">
        <v>30</v>
      </c>
      <c r="E41" s="0" t="str">
        <f aca="false">$B41&amp;"|"&amp;$C41&amp;"|"&amp;$D41</f>
        <v>Dedza District [PekKUkKHAzY]|18+|Female</v>
      </c>
      <c r="G41" s="10"/>
      <c r="H41" s="10"/>
      <c r="I41" s="88" t="str">
        <f aca="false">IF(SUM($H41)=0,"",0%)</f>
        <v/>
      </c>
      <c r="J41" s="88"/>
      <c r="K41" s="88"/>
      <c r="L41" s="88" t="n">
        <f aca="false">1-IF(NOT(AND($D41="Female",OR($C41="10-14",$C41="15-17",$F41="Y"))),0,$J41)-IF(NOT(OR($C41="05-09",$C41="10-14")),0,$K41)</f>
        <v>1</v>
      </c>
      <c r="M41" s="88" t="n">
        <f aca="false">IF(SUM($L41)=0,"",20%)</f>
        <v>0.2</v>
      </c>
      <c r="N41" s="10" t="str">
        <f aca="false">IF(SUM($H41)=0,"",ROUND($H41*(1+$I41),0))</f>
        <v/>
      </c>
      <c r="O41" s="39" t="str">
        <f aca="false">IF(OR(SUM($N41)=0,SUM($J41)=0,NOT(AND($D41="Female",$F41="Y",OR($C41="10-14",$C41="15-17")))),"",ROUND($N41*$J41,0))</f>
        <v/>
      </c>
      <c r="P41" s="39" t="str">
        <f aca="false">IF(OR(SUM($N41)=0,SUM($K41)=0,NOT(OR($C41="10-14",$C41="05-09"))),"",ROUND($N41*$K41,0))</f>
        <v/>
      </c>
      <c r="Q41" s="39" t="str">
        <f aca="false">IFERROR(1/(1/ROUND($N41*$L41*$M41,0)),"")</f>
        <v/>
      </c>
      <c r="R41" s="39" t="str">
        <f aca="false">IFERROR(1/(1/(ROUND($N41*$L41,0)-$Q41)),"")</f>
        <v/>
      </c>
      <c r="S41" s="88" t="str">
        <f aca="false">IF(OR($C41="18+",$C41="18-20",SUM($Q41,$R41)=0),"",100%)</f>
        <v/>
      </c>
      <c r="T41" s="39" t="str">
        <f aca="false">IF(OR($C41="18+",$C41="18-20",SUM($Q41,$R41)=0),"",ROUND(SUM($Q41,$R41)*$S41,0))</f>
        <v/>
      </c>
    </row>
    <row r="42" customFormat="false" ht="15" hidden="false" customHeight="false" outlineLevel="0" collapsed="false">
      <c r="A42" s="0" t="str">
        <f aca="false">INDEX(Prioritization!$D:$D,MATCH($B42,Prioritization!$A:$A,0))</f>
        <v>1 - Scale-up: Saturation</v>
      </c>
      <c r="B42" s="0" t="s">
        <v>195</v>
      </c>
      <c r="C42" s="0" t="s">
        <v>814</v>
      </c>
      <c r="D42" s="0" t="s">
        <v>48</v>
      </c>
      <c r="E42" s="0" t="str">
        <f aca="false">$B42&amp;"|"&amp;$C42&amp;"|"&amp;$D42</f>
        <v>Dedza District [PekKUkKHAzY]|18+|Male</v>
      </c>
      <c r="G42" s="10"/>
      <c r="H42" s="10"/>
      <c r="I42" s="88" t="str">
        <f aca="false">IF(SUM($H42)=0,"",0%)</f>
        <v/>
      </c>
      <c r="J42" s="88"/>
      <c r="K42" s="88"/>
      <c r="L42" s="88" t="n">
        <f aca="false">1-IF(NOT(AND($D42="Female",OR($C42="10-14",$C42="15-17",$F42="Y"))),0,$J42)-IF(NOT(OR($C42="05-09",$C42="10-14")),0,$K42)</f>
        <v>1</v>
      </c>
      <c r="M42" s="88" t="n">
        <f aca="false">IF(SUM($L42)=0,"",20%)</f>
        <v>0.2</v>
      </c>
      <c r="N42" s="10" t="str">
        <f aca="false">IF(SUM($H42)=0,"",ROUND($H42*(1+$I42),0))</f>
        <v/>
      </c>
      <c r="O42" s="39" t="str">
        <f aca="false">IF(OR(SUM($N42)=0,SUM($J42)=0,NOT(AND($D42="Female",$F42="Y",OR($C42="10-14",$C42="15-17")))),"",ROUND($N42*$J42,0))</f>
        <v/>
      </c>
      <c r="P42" s="39" t="str">
        <f aca="false">IF(OR(SUM($N42)=0,SUM($K42)=0,NOT(OR($C42="10-14",$C42="05-09"))),"",ROUND($N42*$K42,0))</f>
        <v/>
      </c>
      <c r="Q42" s="39" t="str">
        <f aca="false">IFERROR(1/(1/ROUND($N42*$L42*$M42,0)),"")</f>
        <v/>
      </c>
      <c r="R42" s="39" t="str">
        <f aca="false">IFERROR(1/(1/(ROUND($N42*$L42,0)-$Q42)),"")</f>
        <v/>
      </c>
      <c r="S42" s="88" t="str">
        <f aca="false">IF(OR($C42="18+",$C42="18-20",SUM($Q42,$R42)=0),"",100%)</f>
        <v/>
      </c>
      <c r="T42" s="39" t="str">
        <f aca="false">IF(OR($C42="18+",$C42="18-20",SUM($Q42,$R42)=0),"",ROUND(SUM($Q42,$R42)*$S42,0))</f>
        <v/>
      </c>
    </row>
    <row r="43" customFormat="false" ht="15" hidden="false" customHeight="false" outlineLevel="0" collapsed="false">
      <c r="A43" s="0" t="str">
        <f aca="false">INDEX(Prioritization!$D:$D,MATCH($B43,Prioritization!$A:$A,0))</f>
        <v>1 - Scale-up: Saturation</v>
      </c>
      <c r="B43" s="0" t="s">
        <v>196</v>
      </c>
      <c r="C43" s="0" t="s">
        <v>316</v>
      </c>
      <c r="D43" s="0" t="s">
        <v>30</v>
      </c>
      <c r="E43" s="0" t="str">
        <f aca="false">$B43&amp;"|"&amp;$C43&amp;"|"&amp;$D43</f>
        <v>Dowa District [zphK9WV8JB4]|&lt;01|Female</v>
      </c>
      <c r="G43" s="10"/>
      <c r="H43" s="10"/>
      <c r="I43" s="88" t="str">
        <f aca="false">IF(SUM($H43)=0,"",0%)</f>
        <v/>
      </c>
      <c r="J43" s="88"/>
      <c r="K43" s="88"/>
      <c r="L43" s="88" t="n">
        <f aca="false">1-IF(NOT(AND($D43="Female",OR($C43="10-14",$C43="15-17",$F43="Y"))),0,$J43)-IF(NOT(OR($C43="05-09",$C43="10-14")),0,$K43)</f>
        <v>1</v>
      </c>
      <c r="M43" s="88" t="n">
        <f aca="false">IF(SUM($L43)=0,"",20%)</f>
        <v>0.2</v>
      </c>
      <c r="N43" s="10" t="str">
        <f aca="false">IF(SUM($H43)=0,"",ROUND($H43*(1+$I43),0))</f>
        <v/>
      </c>
      <c r="O43" s="39" t="str">
        <f aca="false">IF(OR(SUM($N43)=0,SUM($J43)=0,NOT(AND($D43="Female",$F43="Y",OR($C43="10-14",$C43="15-17")))),"",ROUND($N43*$J43,0))</f>
        <v/>
      </c>
      <c r="P43" s="39" t="str">
        <f aca="false">IF(OR(SUM($N43)=0,SUM($K43)=0,NOT(OR($C43="10-14",$C43="05-09"))),"",ROUND($N43*$K43,0))</f>
        <v/>
      </c>
      <c r="Q43" s="39" t="str">
        <f aca="false">IFERROR(1/(1/ROUND($N43*$L43*$M43,0)),"")</f>
        <v/>
      </c>
      <c r="R43" s="39" t="str">
        <f aca="false">IFERROR(1/(1/(ROUND($N43*$L43,0)-$Q43)),"")</f>
        <v/>
      </c>
      <c r="S43" s="88" t="str">
        <f aca="false">IF(OR($C43="18+",$C43="18-20",SUM($Q43,$R43)=0),"",100%)</f>
        <v/>
      </c>
      <c r="T43" s="39" t="str">
        <f aca="false">IF(OR($C43="18+",$C43="18-20",SUM($Q43,$R43)=0),"",ROUND(SUM($Q43,$R43)*$S43,0))</f>
        <v/>
      </c>
    </row>
    <row r="44" customFormat="false" ht="15" hidden="false" customHeight="false" outlineLevel="0" collapsed="false">
      <c r="A44" s="0" t="str">
        <f aca="false">INDEX(Prioritization!$D:$D,MATCH($B44,Prioritization!$A:$A,0))</f>
        <v>1 - Scale-up: Saturation</v>
      </c>
      <c r="B44" s="0" t="s">
        <v>196</v>
      </c>
      <c r="C44" s="0" t="s">
        <v>316</v>
      </c>
      <c r="D44" s="0" t="s">
        <v>48</v>
      </c>
      <c r="E44" s="0" t="str">
        <f aca="false">$B44&amp;"|"&amp;$C44&amp;"|"&amp;$D44</f>
        <v>Dowa District [zphK9WV8JB4]|&lt;01|Male</v>
      </c>
      <c r="G44" s="10"/>
      <c r="H44" s="10"/>
      <c r="I44" s="88" t="str">
        <f aca="false">IF(SUM($H44)=0,"",0%)</f>
        <v/>
      </c>
      <c r="J44" s="88"/>
      <c r="K44" s="88"/>
      <c r="L44" s="88" t="n">
        <f aca="false">1-IF(NOT(AND($D44="Female",OR($C44="10-14",$C44="15-17",$F44="Y"))),0,$J44)-IF(NOT(OR($C44="05-09",$C44="10-14")),0,$K44)</f>
        <v>1</v>
      </c>
      <c r="M44" s="88" t="n">
        <f aca="false">IF(SUM($L44)=0,"",20%)</f>
        <v>0.2</v>
      </c>
      <c r="N44" s="10" t="str">
        <f aca="false">IF(SUM($H44)=0,"",ROUND($H44*(1+$I44),0))</f>
        <v/>
      </c>
      <c r="O44" s="39" t="str">
        <f aca="false">IF(OR(SUM($N44)=0,SUM($J44)=0,NOT(AND($D44="Female",$F44="Y",OR($C44="10-14",$C44="15-17")))),"",ROUND($N44*$J44,0))</f>
        <v/>
      </c>
      <c r="P44" s="39" t="str">
        <f aca="false">IF(OR(SUM($N44)=0,SUM($K44)=0,NOT(OR($C44="10-14",$C44="05-09"))),"",ROUND($N44*$K44,0))</f>
        <v/>
      </c>
      <c r="Q44" s="39" t="str">
        <f aca="false">IFERROR(1/(1/ROUND($N44*$L44*$M44,0)),"")</f>
        <v/>
      </c>
      <c r="R44" s="39" t="str">
        <f aca="false">IFERROR(1/(1/(ROUND($N44*$L44,0)-$Q44)),"")</f>
        <v/>
      </c>
      <c r="S44" s="88" t="str">
        <f aca="false">IF(OR($C44="18+",$C44="18-20",SUM($Q44,$R44)=0),"",100%)</f>
        <v/>
      </c>
      <c r="T44" s="39" t="str">
        <f aca="false">IF(OR($C44="18+",$C44="18-20",SUM($Q44,$R44)=0),"",ROUND(SUM($Q44,$R44)*$S44,0))</f>
        <v/>
      </c>
    </row>
    <row r="45" customFormat="false" ht="15" hidden="false" customHeight="false" outlineLevel="0" collapsed="false">
      <c r="A45" s="0" t="str">
        <f aca="false">INDEX(Prioritization!$D:$D,MATCH($B45,Prioritization!$A:$A,0))</f>
        <v>1 - Scale-up: Saturation</v>
      </c>
      <c r="B45" s="0" t="s">
        <v>196</v>
      </c>
      <c r="C45" s="0" t="s">
        <v>810</v>
      </c>
      <c r="D45" s="0" t="s">
        <v>30</v>
      </c>
      <c r="E45" s="0" t="str">
        <f aca="false">$B45&amp;"|"&amp;$C45&amp;"|"&amp;$D45</f>
        <v>Dowa District [zphK9WV8JB4]|01-04|Female</v>
      </c>
      <c r="G45" s="10"/>
      <c r="H45" s="10"/>
      <c r="I45" s="88" t="str">
        <f aca="false">IF(SUM($H45)=0,"",0%)</f>
        <v/>
      </c>
      <c r="J45" s="88"/>
      <c r="K45" s="88"/>
      <c r="L45" s="88" t="n">
        <f aca="false">1-IF(NOT(AND($D45="Female",OR($C45="10-14",$C45="15-17",$F45="Y"))),0,$J45)-IF(NOT(OR($C45="05-09",$C45="10-14")),0,$K45)</f>
        <v>1</v>
      </c>
      <c r="M45" s="88" t="n">
        <f aca="false">IF(SUM($L45)=0,"",20%)</f>
        <v>0.2</v>
      </c>
      <c r="N45" s="10" t="str">
        <f aca="false">IF(SUM($H45)=0,"",ROUND($H45*(1+$I45),0))</f>
        <v/>
      </c>
      <c r="O45" s="39" t="str">
        <f aca="false">IF(OR(SUM($N45)=0,SUM($J45)=0,NOT(AND($D45="Female",$F45="Y",OR($C45="10-14",$C45="15-17")))),"",ROUND($N45*$J45,0))</f>
        <v/>
      </c>
      <c r="P45" s="39" t="str">
        <f aca="false">IF(OR(SUM($N45)=0,SUM($K45)=0,NOT(OR($C45="10-14",$C45="05-09"))),"",ROUND($N45*$K45,0))</f>
        <v/>
      </c>
      <c r="Q45" s="39" t="str">
        <f aca="false">IFERROR(1/(1/ROUND($N45*$L45*$M45,0)),"")</f>
        <v/>
      </c>
      <c r="R45" s="39" t="str">
        <f aca="false">IFERROR(1/(1/(ROUND($N45*$L45,0)-$Q45)),"")</f>
        <v/>
      </c>
      <c r="S45" s="88" t="str">
        <f aca="false">IF(OR($C45="18+",$C45="18-20",SUM($Q45,$R45)=0),"",100%)</f>
        <v/>
      </c>
      <c r="T45" s="39" t="str">
        <f aca="false">IF(OR($C45="18+",$C45="18-20",SUM($Q45,$R45)=0),"",ROUND(SUM($Q45,$R45)*$S45,0))</f>
        <v/>
      </c>
    </row>
    <row r="46" customFormat="false" ht="15" hidden="false" customHeight="false" outlineLevel="0" collapsed="false">
      <c r="A46" s="0" t="str">
        <f aca="false">INDEX(Prioritization!$D:$D,MATCH($B46,Prioritization!$A:$A,0))</f>
        <v>1 - Scale-up: Saturation</v>
      </c>
      <c r="B46" s="0" t="s">
        <v>196</v>
      </c>
      <c r="C46" s="0" t="s">
        <v>810</v>
      </c>
      <c r="D46" s="0" t="s">
        <v>48</v>
      </c>
      <c r="E46" s="0" t="str">
        <f aca="false">$B46&amp;"|"&amp;$C46&amp;"|"&amp;$D46</f>
        <v>Dowa District [zphK9WV8JB4]|01-04|Male</v>
      </c>
      <c r="G46" s="10"/>
      <c r="H46" s="10"/>
      <c r="I46" s="88" t="str">
        <f aca="false">IF(SUM($H46)=0,"",0%)</f>
        <v/>
      </c>
      <c r="J46" s="88"/>
      <c r="K46" s="88"/>
      <c r="L46" s="88" t="n">
        <f aca="false">1-IF(NOT(AND($D46="Female",OR($C46="10-14",$C46="15-17",$F46="Y"))),0,$J46)-IF(NOT(OR($C46="05-09",$C46="10-14")),0,$K46)</f>
        <v>1</v>
      </c>
      <c r="M46" s="88" t="n">
        <f aca="false">IF(SUM($L46)=0,"",20%)</f>
        <v>0.2</v>
      </c>
      <c r="N46" s="10" t="str">
        <f aca="false">IF(SUM($H46)=0,"",ROUND($H46*(1+$I46),0))</f>
        <v/>
      </c>
      <c r="O46" s="39" t="str">
        <f aca="false">IF(OR(SUM($N46)=0,SUM($J46)=0,NOT(AND($D46="Female",$F46="Y",OR($C46="10-14",$C46="15-17")))),"",ROUND($N46*$J46,0))</f>
        <v/>
      </c>
      <c r="P46" s="39" t="str">
        <f aca="false">IF(OR(SUM($N46)=0,SUM($K46)=0,NOT(OR($C46="10-14",$C46="05-09"))),"",ROUND($N46*$K46,0))</f>
        <v/>
      </c>
      <c r="Q46" s="39" t="str">
        <f aca="false">IFERROR(1/(1/ROUND($N46*$L46*$M46,0)),"")</f>
        <v/>
      </c>
      <c r="R46" s="39" t="str">
        <f aca="false">IFERROR(1/(1/(ROUND($N46*$L46,0)-$Q46)),"")</f>
        <v/>
      </c>
      <c r="S46" s="88" t="str">
        <f aca="false">IF(OR($C46="18+",$C46="18-20",SUM($Q46,$R46)=0),"",100%)</f>
        <v/>
      </c>
      <c r="T46" s="39" t="str">
        <f aca="false">IF(OR($C46="18+",$C46="18-20",SUM($Q46,$R46)=0),"",ROUND(SUM($Q46,$R46)*$S46,0))</f>
        <v/>
      </c>
    </row>
    <row r="47" customFormat="false" ht="15" hidden="false" customHeight="false" outlineLevel="0" collapsed="false">
      <c r="A47" s="0" t="str">
        <f aca="false">INDEX(Prioritization!$D:$D,MATCH($B47,Prioritization!$A:$A,0))</f>
        <v>1 - Scale-up: Saturation</v>
      </c>
      <c r="B47" s="0" t="s">
        <v>196</v>
      </c>
      <c r="C47" s="0" t="s">
        <v>811</v>
      </c>
      <c r="D47" s="0" t="s">
        <v>30</v>
      </c>
      <c r="E47" s="0" t="str">
        <f aca="false">$B47&amp;"|"&amp;$C47&amp;"|"&amp;$D47</f>
        <v>Dowa District [zphK9WV8JB4]|05-09|Female</v>
      </c>
      <c r="G47" s="10"/>
      <c r="H47" s="10"/>
      <c r="I47" s="88" t="str">
        <f aca="false">IF(SUM($H47)=0,"",0%)</f>
        <v/>
      </c>
      <c r="J47" s="88"/>
      <c r="K47" s="88"/>
      <c r="L47" s="88" t="n">
        <f aca="false">1-IF(NOT(AND($D47="Female",OR($C47="10-14",$C47="15-17",$F47="Y"))),0,$J47)-IF(NOT(OR($C47="05-09",$C47="10-14")),0,$K47)</f>
        <v>1</v>
      </c>
      <c r="M47" s="88" t="n">
        <f aca="false">IF(SUM($L47)=0,"",20%)</f>
        <v>0.2</v>
      </c>
      <c r="N47" s="10" t="str">
        <f aca="false">IF(SUM($H47)=0,"",ROUND($H47*(1+$I47),0))</f>
        <v/>
      </c>
      <c r="O47" s="39" t="str">
        <f aca="false">IF(OR(SUM($N47)=0,SUM($J47)=0,NOT(AND($D47="Female",$F47="Y",OR($C47="10-14",$C47="15-17")))),"",ROUND($N47*$J47,0))</f>
        <v/>
      </c>
      <c r="P47" s="39" t="str">
        <f aca="false">IF(OR(SUM($N47)=0,SUM($K47)=0,NOT(OR($C47="10-14",$C47="05-09"))),"",ROUND($N47*$K47,0))</f>
        <v/>
      </c>
      <c r="Q47" s="39" t="str">
        <f aca="false">IFERROR(1/(1/ROUND($N47*$L47*$M47,0)),"")</f>
        <v/>
      </c>
      <c r="R47" s="39" t="str">
        <f aca="false">IFERROR(1/(1/(ROUND($N47*$L47,0)-$Q47)),"")</f>
        <v/>
      </c>
      <c r="S47" s="88" t="str">
        <f aca="false">IF(OR($C47="18+",$C47="18-20",SUM($Q47,$R47)=0),"",100%)</f>
        <v/>
      </c>
      <c r="T47" s="39" t="str">
        <f aca="false">IF(OR($C47="18+",$C47="18-20",SUM($Q47,$R47)=0),"",ROUND(SUM($Q47,$R47)*$S47,0))</f>
        <v/>
      </c>
    </row>
    <row r="48" customFormat="false" ht="15" hidden="false" customHeight="false" outlineLevel="0" collapsed="false">
      <c r="A48" s="0" t="str">
        <f aca="false">INDEX(Prioritization!$D:$D,MATCH($B48,Prioritization!$A:$A,0))</f>
        <v>1 - Scale-up: Saturation</v>
      </c>
      <c r="B48" s="0" t="s">
        <v>196</v>
      </c>
      <c r="C48" s="0" t="s">
        <v>811</v>
      </c>
      <c r="D48" s="0" t="s">
        <v>48</v>
      </c>
      <c r="E48" s="0" t="str">
        <f aca="false">$B48&amp;"|"&amp;$C48&amp;"|"&amp;$D48</f>
        <v>Dowa District [zphK9WV8JB4]|05-09|Male</v>
      </c>
      <c r="G48" s="10"/>
      <c r="H48" s="10"/>
      <c r="I48" s="88" t="str">
        <f aca="false">IF(SUM($H48)=0,"",0%)</f>
        <v/>
      </c>
      <c r="J48" s="88"/>
      <c r="K48" s="88"/>
      <c r="L48" s="88" t="n">
        <f aca="false">1-IF(NOT(AND($D48="Female",OR($C48="10-14",$C48="15-17",$F48="Y"))),0,$J48)-IF(NOT(OR($C48="05-09",$C48="10-14")),0,$K48)</f>
        <v>1</v>
      </c>
      <c r="M48" s="88" t="n">
        <f aca="false">IF(SUM($L48)=0,"",20%)</f>
        <v>0.2</v>
      </c>
      <c r="N48" s="10" t="str">
        <f aca="false">IF(SUM($H48)=0,"",ROUND($H48*(1+$I48),0))</f>
        <v/>
      </c>
      <c r="O48" s="39" t="str">
        <f aca="false">IF(OR(SUM($N48)=0,SUM($J48)=0,NOT(AND($D48="Female",$F48="Y",OR($C48="10-14",$C48="15-17")))),"",ROUND($N48*$J48,0))</f>
        <v/>
      </c>
      <c r="P48" s="39" t="str">
        <f aca="false">IF(OR(SUM($N48)=0,SUM($K48)=0,NOT(OR($C48="10-14",$C48="05-09"))),"",ROUND($N48*$K48,0))</f>
        <v/>
      </c>
      <c r="Q48" s="39" t="str">
        <f aca="false">IFERROR(1/(1/ROUND($N48*$L48*$M48,0)),"")</f>
        <v/>
      </c>
      <c r="R48" s="39" t="str">
        <f aca="false">IFERROR(1/(1/(ROUND($N48*$L48,0)-$Q48)),"")</f>
        <v/>
      </c>
      <c r="S48" s="88" t="str">
        <f aca="false">IF(OR($C48="18+",$C48="18-20",SUM($Q48,$R48)=0),"",100%)</f>
        <v/>
      </c>
      <c r="T48" s="39" t="str">
        <f aca="false">IF(OR($C48="18+",$C48="18-20",SUM($Q48,$R48)=0),"",ROUND(SUM($Q48,$R48)*$S48,0))</f>
        <v/>
      </c>
    </row>
    <row r="49" customFormat="false" ht="15" hidden="false" customHeight="false" outlineLevel="0" collapsed="false">
      <c r="A49" s="0" t="str">
        <f aca="false">INDEX(Prioritization!$D:$D,MATCH($B49,Prioritization!$A:$A,0))</f>
        <v>1 - Scale-up: Saturation</v>
      </c>
      <c r="B49" s="0" t="s">
        <v>196</v>
      </c>
      <c r="C49" s="0" t="s">
        <v>364</v>
      </c>
      <c r="D49" s="0" t="s">
        <v>30</v>
      </c>
      <c r="E49" s="0" t="str">
        <f aca="false">$B49&amp;"|"&amp;$C49&amp;"|"&amp;$D49</f>
        <v>Dowa District [zphK9WV8JB4]|10-14|Female</v>
      </c>
      <c r="G49" s="10"/>
      <c r="H49" s="10"/>
      <c r="I49" s="88" t="str">
        <f aca="false">IF(SUM($H49)=0,"",0%)</f>
        <v/>
      </c>
      <c r="J49" s="88"/>
      <c r="K49" s="88"/>
      <c r="L49" s="88" t="n">
        <f aca="false">1-IF(NOT(AND($D49="Female",OR($C49="10-14",$C49="15-17",$F49="Y"))),0,$J49)-IF(NOT(OR($C49="05-09",$C49="10-14")),0,$K49)</f>
        <v>1</v>
      </c>
      <c r="M49" s="88" t="n">
        <f aca="false">IF(SUM($L49)=0,"",20%)</f>
        <v>0.2</v>
      </c>
      <c r="N49" s="10" t="str">
        <f aca="false">IF(SUM($H49)=0,"",ROUND($H49*(1+$I49),0))</f>
        <v/>
      </c>
      <c r="O49" s="39" t="str">
        <f aca="false">IF(OR(SUM($N49)=0,SUM($J49)=0,NOT(AND($D49="Female",$F49="Y",OR($C49="10-14",$C49="15-17")))),"",ROUND($N49*$J49,0))</f>
        <v/>
      </c>
      <c r="P49" s="39" t="str">
        <f aca="false">IF(OR(SUM($N49)=0,SUM($K49)=0,NOT(OR($C49="10-14",$C49="05-09"))),"",ROUND($N49*$K49,0))</f>
        <v/>
      </c>
      <c r="Q49" s="39" t="str">
        <f aca="false">IFERROR(1/(1/ROUND($N49*$L49*$M49,0)),"")</f>
        <v/>
      </c>
      <c r="R49" s="39" t="str">
        <f aca="false">IFERROR(1/(1/(ROUND($N49*$L49,0)-$Q49)),"")</f>
        <v/>
      </c>
      <c r="S49" s="88" t="str">
        <f aca="false">IF(OR($C49="18+",$C49="18-20",SUM($Q49,$R49)=0),"",100%)</f>
        <v/>
      </c>
      <c r="T49" s="39" t="str">
        <f aca="false">IF(OR($C49="18+",$C49="18-20",SUM($Q49,$R49)=0),"",ROUND(SUM($Q49,$R49)*$S49,0))</f>
        <v/>
      </c>
    </row>
    <row r="50" customFormat="false" ht="15" hidden="false" customHeight="false" outlineLevel="0" collapsed="false">
      <c r="A50" s="0" t="str">
        <f aca="false">INDEX(Prioritization!$D:$D,MATCH($B50,Prioritization!$A:$A,0))</f>
        <v>1 - Scale-up: Saturation</v>
      </c>
      <c r="B50" s="0" t="s">
        <v>196</v>
      </c>
      <c r="C50" s="0" t="s">
        <v>364</v>
      </c>
      <c r="D50" s="0" t="s">
        <v>48</v>
      </c>
      <c r="E50" s="0" t="str">
        <f aca="false">$B50&amp;"|"&amp;$C50&amp;"|"&amp;$D50</f>
        <v>Dowa District [zphK9WV8JB4]|10-14|Male</v>
      </c>
      <c r="G50" s="10"/>
      <c r="H50" s="10"/>
      <c r="I50" s="88" t="str">
        <f aca="false">IF(SUM($H50)=0,"",0%)</f>
        <v/>
      </c>
      <c r="J50" s="88"/>
      <c r="K50" s="88"/>
      <c r="L50" s="88" t="n">
        <f aca="false">1-IF(NOT(AND($D50="Female",OR($C50="10-14",$C50="15-17",$F50="Y"))),0,$J50)-IF(NOT(OR($C50="05-09",$C50="10-14")),0,$K50)</f>
        <v>1</v>
      </c>
      <c r="M50" s="88" t="n">
        <f aca="false">IF(SUM($L50)=0,"",20%)</f>
        <v>0.2</v>
      </c>
      <c r="N50" s="10" t="str">
        <f aca="false">IF(SUM($H50)=0,"",ROUND($H50*(1+$I50),0))</f>
        <v/>
      </c>
      <c r="O50" s="39" t="str">
        <f aca="false">IF(OR(SUM($N50)=0,SUM($J50)=0,NOT(AND($D50="Female",$F50="Y",OR($C50="10-14",$C50="15-17")))),"",ROUND($N50*$J50,0))</f>
        <v/>
      </c>
      <c r="P50" s="39" t="str">
        <f aca="false">IF(OR(SUM($N50)=0,SUM($K50)=0,NOT(OR($C50="10-14",$C50="05-09"))),"",ROUND($N50*$K50,0))</f>
        <v/>
      </c>
      <c r="Q50" s="39" t="str">
        <f aca="false">IFERROR(1/(1/ROUND($N50*$L50*$M50,0)),"")</f>
        <v/>
      </c>
      <c r="R50" s="39" t="str">
        <f aca="false">IFERROR(1/(1/(ROUND($N50*$L50,0)-$Q50)),"")</f>
        <v/>
      </c>
      <c r="S50" s="88" t="str">
        <f aca="false">IF(OR($C50="18+",$C50="18-20",SUM($Q50,$R50)=0),"",100%)</f>
        <v/>
      </c>
      <c r="T50" s="39" t="str">
        <f aca="false">IF(OR($C50="18+",$C50="18-20",SUM($Q50,$R50)=0),"",ROUND(SUM($Q50,$R50)*$S50,0))</f>
        <v/>
      </c>
    </row>
    <row r="51" customFormat="false" ht="15" hidden="false" customHeight="false" outlineLevel="0" collapsed="false">
      <c r="A51" s="0" t="str">
        <f aca="false">INDEX(Prioritization!$D:$D,MATCH($B51,Prioritization!$A:$A,0))</f>
        <v>1 - Scale-up: Saturation</v>
      </c>
      <c r="B51" s="0" t="s">
        <v>196</v>
      </c>
      <c r="C51" s="0" t="s">
        <v>812</v>
      </c>
      <c r="D51" s="0" t="s">
        <v>30</v>
      </c>
      <c r="E51" s="0" t="str">
        <f aca="false">$B51&amp;"|"&amp;$C51&amp;"|"&amp;$D51</f>
        <v>Dowa District [zphK9WV8JB4]|15-17|Female</v>
      </c>
      <c r="G51" s="10"/>
      <c r="H51" s="10"/>
      <c r="I51" s="88" t="str">
        <f aca="false">IF(SUM($H51)=0,"",0%)</f>
        <v/>
      </c>
      <c r="J51" s="88"/>
      <c r="K51" s="88"/>
      <c r="L51" s="88" t="n">
        <f aca="false">1-IF(NOT(AND($D51="Female",OR($C51="10-14",$C51="15-17",$F51="Y"))),0,$J51)-IF(NOT(OR($C51="05-09",$C51="10-14")),0,$K51)</f>
        <v>1</v>
      </c>
      <c r="M51" s="88" t="n">
        <f aca="false">IF(SUM($L51)=0,"",20%)</f>
        <v>0.2</v>
      </c>
      <c r="N51" s="10" t="str">
        <f aca="false">IF(SUM($H51)=0,"",ROUND($H51*(1+$I51),0))</f>
        <v/>
      </c>
      <c r="O51" s="39" t="str">
        <f aca="false">IF(OR(SUM($N51)=0,SUM($J51)=0,NOT(AND($D51="Female",$F51="Y",OR($C51="10-14",$C51="15-17")))),"",ROUND($N51*$J51,0))</f>
        <v/>
      </c>
      <c r="P51" s="39" t="str">
        <f aca="false">IF(OR(SUM($N51)=0,SUM($K51)=0,NOT(OR($C51="10-14",$C51="05-09"))),"",ROUND($N51*$K51,0))</f>
        <v/>
      </c>
      <c r="Q51" s="39" t="str">
        <f aca="false">IFERROR(1/(1/ROUND($N51*$L51*$M51,0)),"")</f>
        <v/>
      </c>
      <c r="R51" s="39" t="str">
        <f aca="false">IFERROR(1/(1/(ROUND($N51*$L51,0)-$Q51)),"")</f>
        <v/>
      </c>
      <c r="S51" s="88" t="str">
        <f aca="false">IF(OR($C51="18+",$C51="18-20",SUM($Q51,$R51)=0),"",100%)</f>
        <v/>
      </c>
      <c r="T51" s="39" t="str">
        <f aca="false">IF(OR($C51="18+",$C51="18-20",SUM($Q51,$R51)=0),"",ROUND(SUM($Q51,$R51)*$S51,0))</f>
        <v/>
      </c>
    </row>
    <row r="52" customFormat="false" ht="15" hidden="false" customHeight="false" outlineLevel="0" collapsed="false">
      <c r="A52" s="0" t="str">
        <f aca="false">INDEX(Prioritization!$D:$D,MATCH($B52,Prioritization!$A:$A,0))</f>
        <v>1 - Scale-up: Saturation</v>
      </c>
      <c r="B52" s="0" t="s">
        <v>196</v>
      </c>
      <c r="C52" s="0" t="s">
        <v>812</v>
      </c>
      <c r="D52" s="0" t="s">
        <v>48</v>
      </c>
      <c r="E52" s="0" t="str">
        <f aca="false">$B52&amp;"|"&amp;$C52&amp;"|"&amp;$D52</f>
        <v>Dowa District [zphK9WV8JB4]|15-17|Male</v>
      </c>
      <c r="G52" s="10"/>
      <c r="H52" s="10"/>
      <c r="I52" s="88" t="str">
        <f aca="false">IF(SUM($H52)=0,"",0%)</f>
        <v/>
      </c>
      <c r="J52" s="88"/>
      <c r="K52" s="88"/>
      <c r="L52" s="88" t="n">
        <f aca="false">1-IF(NOT(AND($D52="Female",OR($C52="10-14",$C52="15-17",$F52="Y"))),0,$J52)-IF(NOT(OR($C52="05-09",$C52="10-14")),0,$K52)</f>
        <v>1</v>
      </c>
      <c r="M52" s="88" t="n">
        <f aca="false">IF(SUM($L52)=0,"",20%)</f>
        <v>0.2</v>
      </c>
      <c r="N52" s="10" t="str">
        <f aca="false">IF(SUM($H52)=0,"",ROUND($H52*(1+$I52),0))</f>
        <v/>
      </c>
      <c r="O52" s="39" t="str">
        <f aca="false">IF(OR(SUM($N52)=0,SUM($J52)=0,NOT(AND($D52="Female",$F52="Y",OR($C52="10-14",$C52="15-17")))),"",ROUND($N52*$J52,0))</f>
        <v/>
      </c>
      <c r="P52" s="39" t="str">
        <f aca="false">IF(OR(SUM($N52)=0,SUM($K52)=0,NOT(OR($C52="10-14",$C52="05-09"))),"",ROUND($N52*$K52,0))</f>
        <v/>
      </c>
      <c r="Q52" s="39" t="str">
        <f aca="false">IFERROR(1/(1/ROUND($N52*$L52*$M52,0)),"")</f>
        <v/>
      </c>
      <c r="R52" s="39" t="str">
        <f aca="false">IFERROR(1/(1/(ROUND($N52*$L52,0)-$Q52)),"")</f>
        <v/>
      </c>
      <c r="S52" s="88" t="str">
        <f aca="false">IF(OR($C52="18+",$C52="18-20",SUM($Q52,$R52)=0),"",100%)</f>
        <v/>
      </c>
      <c r="T52" s="39" t="str">
        <f aca="false">IF(OR($C52="18+",$C52="18-20",SUM($Q52,$R52)=0),"",ROUND(SUM($Q52,$R52)*$S52,0))</f>
        <v/>
      </c>
    </row>
    <row r="53" customFormat="false" ht="15" hidden="false" customHeight="false" outlineLevel="0" collapsed="false">
      <c r="A53" s="0" t="str">
        <f aca="false">INDEX(Prioritization!$D:$D,MATCH($B53,Prioritization!$A:$A,0))</f>
        <v>1 - Scale-up: Saturation</v>
      </c>
      <c r="B53" s="0" t="s">
        <v>196</v>
      </c>
      <c r="C53" s="0" t="s">
        <v>813</v>
      </c>
      <c r="D53" s="0" t="s">
        <v>30</v>
      </c>
      <c r="E53" s="0" t="str">
        <f aca="false">$B53&amp;"|"&amp;$C53&amp;"|"&amp;$D53</f>
        <v>Dowa District [zphK9WV8JB4]|18-20|Female</v>
      </c>
      <c r="G53" s="10"/>
      <c r="H53" s="10"/>
      <c r="I53" s="88" t="str">
        <f aca="false">IF(SUM($H53)=0,"",0%)</f>
        <v/>
      </c>
      <c r="J53" s="88"/>
      <c r="K53" s="88"/>
      <c r="L53" s="88" t="n">
        <f aca="false">1-IF(NOT(AND($D53="Female",OR($C53="10-14",$C53="15-17",$F53="Y"))),0,$J53)-IF(NOT(OR($C53="05-09",$C53="10-14")),0,$K53)</f>
        <v>1</v>
      </c>
      <c r="M53" s="88" t="n">
        <f aca="false">IF(SUM($L53)=0,"",20%)</f>
        <v>0.2</v>
      </c>
      <c r="N53" s="10" t="str">
        <f aca="false">IF(SUM($H53)=0,"",ROUND($H53*(1+$I53),0))</f>
        <v/>
      </c>
      <c r="O53" s="39" t="str">
        <f aca="false">IF(OR(SUM($N53)=0,SUM($J53)=0,NOT(AND($D53="Female",$F53="Y",OR($C53="10-14",$C53="15-17")))),"",ROUND($N53*$J53,0))</f>
        <v/>
      </c>
      <c r="P53" s="39" t="str">
        <f aca="false">IF(OR(SUM($N53)=0,SUM($K53)=0,NOT(OR($C53="10-14",$C53="05-09"))),"",ROUND($N53*$K53,0))</f>
        <v/>
      </c>
      <c r="Q53" s="39" t="str">
        <f aca="false">IFERROR(1/(1/ROUND($N53*$L53*$M53,0)),"")</f>
        <v/>
      </c>
      <c r="R53" s="39" t="str">
        <f aca="false">IFERROR(1/(1/(ROUND($N53*$L53,0)-$Q53)),"")</f>
        <v/>
      </c>
      <c r="S53" s="88" t="str">
        <f aca="false">IF(OR($C53="18+",$C53="18-20",SUM($Q53,$R53)=0),"",100%)</f>
        <v/>
      </c>
      <c r="T53" s="39" t="str">
        <f aca="false">IF(OR($C53="18+",$C53="18-20",SUM($Q53,$R53)=0),"",ROUND(SUM($Q53,$R53)*$S53,0))</f>
        <v/>
      </c>
    </row>
    <row r="54" customFormat="false" ht="15" hidden="false" customHeight="false" outlineLevel="0" collapsed="false">
      <c r="A54" s="0" t="str">
        <f aca="false">INDEX(Prioritization!$D:$D,MATCH($B54,Prioritization!$A:$A,0))</f>
        <v>1 - Scale-up: Saturation</v>
      </c>
      <c r="B54" s="0" t="s">
        <v>196</v>
      </c>
      <c r="C54" s="0" t="s">
        <v>813</v>
      </c>
      <c r="D54" s="0" t="s">
        <v>48</v>
      </c>
      <c r="E54" s="0" t="str">
        <f aca="false">$B54&amp;"|"&amp;$C54&amp;"|"&amp;$D54</f>
        <v>Dowa District [zphK9WV8JB4]|18-20|Male</v>
      </c>
      <c r="G54" s="10"/>
      <c r="H54" s="10"/>
      <c r="I54" s="88" t="str">
        <f aca="false">IF(SUM($H54)=0,"",0%)</f>
        <v/>
      </c>
      <c r="J54" s="88"/>
      <c r="K54" s="88"/>
      <c r="L54" s="88" t="n">
        <f aca="false">1-IF(NOT(AND($D54="Female",OR($C54="10-14",$C54="15-17",$F54="Y"))),0,$J54)-IF(NOT(OR($C54="05-09",$C54="10-14")),0,$K54)</f>
        <v>1</v>
      </c>
      <c r="M54" s="88" t="n">
        <f aca="false">IF(SUM($L54)=0,"",20%)</f>
        <v>0.2</v>
      </c>
      <c r="N54" s="10" t="str">
        <f aca="false">IF(SUM($H54)=0,"",ROUND($H54*(1+$I54),0))</f>
        <v/>
      </c>
      <c r="O54" s="39" t="str">
        <f aca="false">IF(OR(SUM($N54)=0,SUM($J54)=0,NOT(AND($D54="Female",$F54="Y",OR($C54="10-14",$C54="15-17")))),"",ROUND($N54*$J54,0))</f>
        <v/>
      </c>
      <c r="P54" s="39" t="str">
        <f aca="false">IF(OR(SUM($N54)=0,SUM($K54)=0,NOT(OR($C54="10-14",$C54="05-09"))),"",ROUND($N54*$K54,0))</f>
        <v/>
      </c>
      <c r="Q54" s="39" t="str">
        <f aca="false">IFERROR(1/(1/ROUND($N54*$L54*$M54,0)),"")</f>
        <v/>
      </c>
      <c r="R54" s="39" t="str">
        <f aca="false">IFERROR(1/(1/(ROUND($N54*$L54,0)-$Q54)),"")</f>
        <v/>
      </c>
      <c r="S54" s="88" t="str">
        <f aca="false">IF(OR($C54="18+",$C54="18-20",SUM($Q54,$R54)=0),"",100%)</f>
        <v/>
      </c>
      <c r="T54" s="39" t="str">
        <f aca="false">IF(OR($C54="18+",$C54="18-20",SUM($Q54,$R54)=0),"",ROUND(SUM($Q54,$R54)*$S54,0))</f>
        <v/>
      </c>
    </row>
    <row r="55" customFormat="false" ht="15" hidden="false" customHeight="false" outlineLevel="0" collapsed="false">
      <c r="A55" s="0" t="str">
        <f aca="false">INDEX(Prioritization!$D:$D,MATCH($B55,Prioritization!$A:$A,0))</f>
        <v>1 - Scale-up: Saturation</v>
      </c>
      <c r="B55" s="0" t="s">
        <v>196</v>
      </c>
      <c r="C55" s="0" t="s">
        <v>814</v>
      </c>
      <c r="D55" s="0" t="s">
        <v>30</v>
      </c>
      <c r="E55" s="0" t="str">
        <f aca="false">$B55&amp;"|"&amp;$C55&amp;"|"&amp;$D55</f>
        <v>Dowa District [zphK9WV8JB4]|18+|Female</v>
      </c>
      <c r="G55" s="10"/>
      <c r="H55" s="10"/>
      <c r="I55" s="88" t="str">
        <f aca="false">IF(SUM($H55)=0,"",0%)</f>
        <v/>
      </c>
      <c r="J55" s="88"/>
      <c r="K55" s="88"/>
      <c r="L55" s="88" t="n">
        <f aca="false">1-IF(NOT(AND($D55="Female",OR($C55="10-14",$C55="15-17",$F55="Y"))),0,$J55)-IF(NOT(OR($C55="05-09",$C55="10-14")),0,$K55)</f>
        <v>1</v>
      </c>
      <c r="M55" s="88" t="n">
        <f aca="false">IF(SUM($L55)=0,"",20%)</f>
        <v>0.2</v>
      </c>
      <c r="N55" s="10" t="str">
        <f aca="false">IF(SUM($H55)=0,"",ROUND($H55*(1+$I55),0))</f>
        <v/>
      </c>
      <c r="O55" s="39" t="str">
        <f aca="false">IF(OR(SUM($N55)=0,SUM($J55)=0,NOT(AND($D55="Female",$F55="Y",OR($C55="10-14",$C55="15-17")))),"",ROUND($N55*$J55,0))</f>
        <v/>
      </c>
      <c r="P55" s="39" t="str">
        <f aca="false">IF(OR(SUM($N55)=0,SUM($K55)=0,NOT(OR($C55="10-14",$C55="05-09"))),"",ROUND($N55*$K55,0))</f>
        <v/>
      </c>
      <c r="Q55" s="39" t="str">
        <f aca="false">IFERROR(1/(1/ROUND($N55*$L55*$M55,0)),"")</f>
        <v/>
      </c>
      <c r="R55" s="39" t="str">
        <f aca="false">IFERROR(1/(1/(ROUND($N55*$L55,0)-$Q55)),"")</f>
        <v/>
      </c>
      <c r="S55" s="88" t="str">
        <f aca="false">IF(OR($C55="18+",$C55="18-20",SUM($Q55,$R55)=0),"",100%)</f>
        <v/>
      </c>
      <c r="T55" s="39" t="str">
        <f aca="false">IF(OR($C55="18+",$C55="18-20",SUM($Q55,$R55)=0),"",ROUND(SUM($Q55,$R55)*$S55,0))</f>
        <v/>
      </c>
    </row>
    <row r="56" customFormat="false" ht="15" hidden="false" customHeight="false" outlineLevel="0" collapsed="false">
      <c r="A56" s="0" t="str">
        <f aca="false">INDEX(Prioritization!$D:$D,MATCH($B56,Prioritization!$A:$A,0))</f>
        <v>1 - Scale-up: Saturation</v>
      </c>
      <c r="B56" s="0" t="s">
        <v>196</v>
      </c>
      <c r="C56" s="0" t="s">
        <v>814</v>
      </c>
      <c r="D56" s="0" t="s">
        <v>48</v>
      </c>
      <c r="E56" s="0" t="str">
        <f aca="false">$B56&amp;"|"&amp;$C56&amp;"|"&amp;$D56</f>
        <v>Dowa District [zphK9WV8JB4]|18+|Male</v>
      </c>
      <c r="G56" s="10"/>
      <c r="H56" s="10"/>
      <c r="I56" s="88" t="str">
        <f aca="false">IF(SUM($H56)=0,"",0%)</f>
        <v/>
      </c>
      <c r="J56" s="88"/>
      <c r="K56" s="88"/>
      <c r="L56" s="88" t="n">
        <f aca="false">1-IF(NOT(AND($D56="Female",OR($C56="10-14",$C56="15-17",$F56="Y"))),0,$J56)-IF(NOT(OR($C56="05-09",$C56="10-14")),0,$K56)</f>
        <v>1</v>
      </c>
      <c r="M56" s="88" t="n">
        <f aca="false">IF(SUM($L56)=0,"",20%)</f>
        <v>0.2</v>
      </c>
      <c r="N56" s="10" t="str">
        <f aca="false">IF(SUM($H56)=0,"",ROUND($H56*(1+$I56),0))</f>
        <v/>
      </c>
      <c r="O56" s="39" t="str">
        <f aca="false">IF(OR(SUM($N56)=0,SUM($J56)=0,NOT(AND($D56="Female",$F56="Y",OR($C56="10-14",$C56="15-17")))),"",ROUND($N56*$J56,0))</f>
        <v/>
      </c>
      <c r="P56" s="39" t="str">
        <f aca="false">IF(OR(SUM($N56)=0,SUM($K56)=0,NOT(OR($C56="10-14",$C56="05-09"))),"",ROUND($N56*$K56,0))</f>
        <v/>
      </c>
      <c r="Q56" s="39" t="str">
        <f aca="false">IFERROR(1/(1/ROUND($N56*$L56*$M56,0)),"")</f>
        <v/>
      </c>
      <c r="R56" s="39" t="str">
        <f aca="false">IFERROR(1/(1/(ROUND($N56*$L56,0)-$Q56)),"")</f>
        <v/>
      </c>
      <c r="S56" s="88" t="str">
        <f aca="false">IF(OR($C56="18+",$C56="18-20",SUM($Q56,$R56)=0),"",100%)</f>
        <v/>
      </c>
      <c r="T56" s="39" t="str">
        <f aca="false">IF(OR($C56="18+",$C56="18-20",SUM($Q56,$R56)=0),"",ROUND(SUM($Q56,$R56)*$S56,0))</f>
        <v/>
      </c>
    </row>
    <row r="57" customFormat="false" ht="15" hidden="false" customHeight="false" outlineLevel="0" collapsed="false">
      <c r="A57" s="0" t="str">
        <f aca="false">INDEX(Prioritization!$D:$D,MATCH($B57,Prioritization!$A:$A,0))</f>
        <v>INVALID</v>
      </c>
      <c r="B57" s="0" t="s">
        <v>197</v>
      </c>
      <c r="C57" s="0" t="s">
        <v>316</v>
      </c>
      <c r="D57" s="0" t="s">
        <v>30</v>
      </c>
      <c r="E57" s="0" t="str">
        <f aca="false">$B57&amp;"|"&amp;$C57&amp;"|"&amp;$D57</f>
        <v>Kasungu District [JQKLKuVuY61]|&lt;01|Female</v>
      </c>
      <c r="G57" s="10"/>
      <c r="H57" s="10"/>
      <c r="I57" s="88" t="str">
        <f aca="false">IF(SUM($H57)=0,"",0%)</f>
        <v/>
      </c>
      <c r="J57" s="88"/>
      <c r="K57" s="88"/>
      <c r="L57" s="88" t="n">
        <f aca="false">1-IF(NOT(AND($D57="Female",OR($C57="10-14",$C57="15-17",$F57="Y"))),0,$J57)-IF(NOT(OR($C57="05-09",$C57="10-14")),0,$K57)</f>
        <v>1</v>
      </c>
      <c r="M57" s="88" t="n">
        <f aca="false">IF(SUM($L57)=0,"",20%)</f>
        <v>0.2</v>
      </c>
      <c r="N57" s="10" t="str">
        <f aca="false">IF(SUM($H57)=0,"",ROUND($H57*(1+$I57),0))</f>
        <v/>
      </c>
      <c r="O57" s="39" t="str">
        <f aca="false">IF(OR(SUM($N57)=0,SUM($J57)=0,NOT(AND($D57="Female",$F57="Y",OR($C57="10-14",$C57="15-17")))),"",ROUND($N57*$J57,0))</f>
        <v/>
      </c>
      <c r="P57" s="39" t="str">
        <f aca="false">IF(OR(SUM($N57)=0,SUM($K57)=0,NOT(OR($C57="10-14",$C57="05-09"))),"",ROUND($N57*$K57,0))</f>
        <v/>
      </c>
      <c r="Q57" s="39" t="str">
        <f aca="false">IFERROR(1/(1/ROUND($N57*$L57*$M57,0)),"")</f>
        <v/>
      </c>
      <c r="R57" s="39" t="str">
        <f aca="false">IFERROR(1/(1/(ROUND($N57*$L57,0)-$Q57)),"")</f>
        <v/>
      </c>
      <c r="S57" s="88" t="str">
        <f aca="false">IF(OR($C57="18+",$C57="18-20",SUM($Q57,$R57)=0),"",100%)</f>
        <v/>
      </c>
      <c r="T57" s="39" t="str">
        <f aca="false">IF(OR($C57="18+",$C57="18-20",SUM($Q57,$R57)=0),"",ROUND(SUM($Q57,$R57)*$S57,0))</f>
        <v/>
      </c>
    </row>
    <row r="58" customFormat="false" ht="15" hidden="false" customHeight="false" outlineLevel="0" collapsed="false">
      <c r="A58" s="0" t="str">
        <f aca="false">INDEX(Prioritization!$D:$D,MATCH($B58,Prioritization!$A:$A,0))</f>
        <v>INVALID</v>
      </c>
      <c r="B58" s="0" t="s">
        <v>197</v>
      </c>
      <c r="C58" s="0" t="s">
        <v>316</v>
      </c>
      <c r="D58" s="0" t="s">
        <v>48</v>
      </c>
      <c r="E58" s="0" t="str">
        <f aca="false">$B58&amp;"|"&amp;$C58&amp;"|"&amp;$D58</f>
        <v>Kasungu District [JQKLKuVuY61]|&lt;01|Male</v>
      </c>
      <c r="G58" s="10"/>
      <c r="H58" s="10"/>
      <c r="I58" s="88" t="str">
        <f aca="false">IF(SUM($H58)=0,"",0%)</f>
        <v/>
      </c>
      <c r="J58" s="88"/>
      <c r="K58" s="88"/>
      <c r="L58" s="88" t="n">
        <f aca="false">1-IF(NOT(AND($D58="Female",OR($C58="10-14",$C58="15-17",$F58="Y"))),0,$J58)-IF(NOT(OR($C58="05-09",$C58="10-14")),0,$K58)</f>
        <v>1</v>
      </c>
      <c r="M58" s="88" t="n">
        <f aca="false">IF(SUM($L58)=0,"",20%)</f>
        <v>0.2</v>
      </c>
      <c r="N58" s="10" t="str">
        <f aca="false">IF(SUM($H58)=0,"",ROUND($H58*(1+$I58),0))</f>
        <v/>
      </c>
      <c r="O58" s="39" t="str">
        <f aca="false">IF(OR(SUM($N58)=0,SUM($J58)=0,NOT(AND($D58="Female",$F58="Y",OR($C58="10-14",$C58="15-17")))),"",ROUND($N58*$J58,0))</f>
        <v/>
      </c>
      <c r="P58" s="39" t="str">
        <f aca="false">IF(OR(SUM($N58)=0,SUM($K58)=0,NOT(OR($C58="10-14",$C58="05-09"))),"",ROUND($N58*$K58,0))</f>
        <v/>
      </c>
      <c r="Q58" s="39" t="str">
        <f aca="false">IFERROR(1/(1/ROUND($N58*$L58*$M58,0)),"")</f>
        <v/>
      </c>
      <c r="R58" s="39" t="str">
        <f aca="false">IFERROR(1/(1/(ROUND($N58*$L58,0)-$Q58)),"")</f>
        <v/>
      </c>
      <c r="S58" s="88" t="str">
        <f aca="false">IF(OR($C58="18+",$C58="18-20",SUM($Q58,$R58)=0),"",100%)</f>
        <v/>
      </c>
      <c r="T58" s="39" t="str">
        <f aca="false">IF(OR($C58="18+",$C58="18-20",SUM($Q58,$R58)=0),"",ROUND(SUM($Q58,$R58)*$S58,0))</f>
        <v/>
      </c>
    </row>
    <row r="59" customFormat="false" ht="15" hidden="false" customHeight="false" outlineLevel="0" collapsed="false">
      <c r="A59" s="0" t="str">
        <f aca="false">INDEX(Prioritization!$D:$D,MATCH($B59,Prioritization!$A:$A,0))</f>
        <v>INVALID</v>
      </c>
      <c r="B59" s="0" t="s">
        <v>197</v>
      </c>
      <c r="C59" s="0" t="s">
        <v>810</v>
      </c>
      <c r="D59" s="0" t="s">
        <v>30</v>
      </c>
      <c r="E59" s="0" t="str">
        <f aca="false">$B59&amp;"|"&amp;$C59&amp;"|"&amp;$D59</f>
        <v>Kasungu District [JQKLKuVuY61]|01-04|Female</v>
      </c>
      <c r="G59" s="10"/>
      <c r="H59" s="10"/>
      <c r="I59" s="88" t="str">
        <f aca="false">IF(SUM($H59)=0,"",0%)</f>
        <v/>
      </c>
      <c r="J59" s="88"/>
      <c r="K59" s="88"/>
      <c r="L59" s="88" t="n">
        <f aca="false">1-IF(NOT(AND($D59="Female",OR($C59="10-14",$C59="15-17",$F59="Y"))),0,$J59)-IF(NOT(OR($C59="05-09",$C59="10-14")),0,$K59)</f>
        <v>1</v>
      </c>
      <c r="M59" s="88" t="n">
        <f aca="false">IF(SUM($L59)=0,"",20%)</f>
        <v>0.2</v>
      </c>
      <c r="N59" s="10" t="str">
        <f aca="false">IF(SUM($H59)=0,"",ROUND($H59*(1+$I59),0))</f>
        <v/>
      </c>
      <c r="O59" s="39" t="str">
        <f aca="false">IF(OR(SUM($N59)=0,SUM($J59)=0,NOT(AND($D59="Female",$F59="Y",OR($C59="10-14",$C59="15-17")))),"",ROUND($N59*$J59,0))</f>
        <v/>
      </c>
      <c r="P59" s="39" t="str">
        <f aca="false">IF(OR(SUM($N59)=0,SUM($K59)=0,NOT(OR($C59="10-14",$C59="05-09"))),"",ROUND($N59*$K59,0))</f>
        <v/>
      </c>
      <c r="Q59" s="39" t="str">
        <f aca="false">IFERROR(1/(1/ROUND($N59*$L59*$M59,0)),"")</f>
        <v/>
      </c>
      <c r="R59" s="39" t="str">
        <f aca="false">IFERROR(1/(1/(ROUND($N59*$L59,0)-$Q59)),"")</f>
        <v/>
      </c>
      <c r="S59" s="88" t="str">
        <f aca="false">IF(OR($C59="18+",$C59="18-20",SUM($Q59,$R59)=0),"",100%)</f>
        <v/>
      </c>
      <c r="T59" s="39" t="str">
        <f aca="false">IF(OR($C59="18+",$C59="18-20",SUM($Q59,$R59)=0),"",ROUND(SUM($Q59,$R59)*$S59,0))</f>
        <v/>
      </c>
    </row>
    <row r="60" customFormat="false" ht="15" hidden="false" customHeight="false" outlineLevel="0" collapsed="false">
      <c r="A60" s="0" t="str">
        <f aca="false">INDEX(Prioritization!$D:$D,MATCH($B60,Prioritization!$A:$A,0))</f>
        <v>INVALID</v>
      </c>
      <c r="B60" s="0" t="s">
        <v>197</v>
      </c>
      <c r="C60" s="0" t="s">
        <v>810</v>
      </c>
      <c r="D60" s="0" t="s">
        <v>48</v>
      </c>
      <c r="E60" s="0" t="str">
        <f aca="false">$B60&amp;"|"&amp;$C60&amp;"|"&amp;$D60</f>
        <v>Kasungu District [JQKLKuVuY61]|01-04|Male</v>
      </c>
      <c r="G60" s="10"/>
      <c r="H60" s="10"/>
      <c r="I60" s="88" t="str">
        <f aca="false">IF(SUM($H60)=0,"",0%)</f>
        <v/>
      </c>
      <c r="J60" s="88"/>
      <c r="K60" s="88"/>
      <c r="L60" s="88" t="n">
        <f aca="false">1-IF(NOT(AND($D60="Female",OR($C60="10-14",$C60="15-17",$F60="Y"))),0,$J60)-IF(NOT(OR($C60="05-09",$C60="10-14")),0,$K60)</f>
        <v>1</v>
      </c>
      <c r="M60" s="88" t="n">
        <f aca="false">IF(SUM($L60)=0,"",20%)</f>
        <v>0.2</v>
      </c>
      <c r="N60" s="10" t="str">
        <f aca="false">IF(SUM($H60)=0,"",ROUND($H60*(1+$I60),0))</f>
        <v/>
      </c>
      <c r="O60" s="39" t="str">
        <f aca="false">IF(OR(SUM($N60)=0,SUM($J60)=0,NOT(AND($D60="Female",$F60="Y",OR($C60="10-14",$C60="15-17")))),"",ROUND($N60*$J60,0))</f>
        <v/>
      </c>
      <c r="P60" s="39" t="str">
        <f aca="false">IF(OR(SUM($N60)=0,SUM($K60)=0,NOT(OR($C60="10-14",$C60="05-09"))),"",ROUND($N60*$K60,0))</f>
        <v/>
      </c>
      <c r="Q60" s="39" t="str">
        <f aca="false">IFERROR(1/(1/ROUND($N60*$L60*$M60,0)),"")</f>
        <v/>
      </c>
      <c r="R60" s="39" t="str">
        <f aca="false">IFERROR(1/(1/(ROUND($N60*$L60,0)-$Q60)),"")</f>
        <v/>
      </c>
      <c r="S60" s="88" t="str">
        <f aca="false">IF(OR($C60="18+",$C60="18-20",SUM($Q60,$R60)=0),"",100%)</f>
        <v/>
      </c>
      <c r="T60" s="39" t="str">
        <f aca="false">IF(OR($C60="18+",$C60="18-20",SUM($Q60,$R60)=0),"",ROUND(SUM($Q60,$R60)*$S60,0))</f>
        <v/>
      </c>
    </row>
    <row r="61" customFormat="false" ht="15" hidden="false" customHeight="false" outlineLevel="0" collapsed="false">
      <c r="A61" s="0" t="str">
        <f aca="false">INDEX(Prioritization!$D:$D,MATCH($B61,Prioritization!$A:$A,0))</f>
        <v>INVALID</v>
      </c>
      <c r="B61" s="0" t="s">
        <v>197</v>
      </c>
      <c r="C61" s="0" t="s">
        <v>811</v>
      </c>
      <c r="D61" s="0" t="s">
        <v>30</v>
      </c>
      <c r="E61" s="0" t="str">
        <f aca="false">$B61&amp;"|"&amp;$C61&amp;"|"&amp;$D61</f>
        <v>Kasungu District [JQKLKuVuY61]|05-09|Female</v>
      </c>
      <c r="G61" s="10"/>
      <c r="H61" s="10"/>
      <c r="I61" s="88" t="str">
        <f aca="false">IF(SUM($H61)=0,"",0%)</f>
        <v/>
      </c>
      <c r="J61" s="88"/>
      <c r="K61" s="88"/>
      <c r="L61" s="88" t="n">
        <f aca="false">1-IF(NOT(AND($D61="Female",OR($C61="10-14",$C61="15-17",$F61="Y"))),0,$J61)-IF(NOT(OR($C61="05-09",$C61="10-14")),0,$K61)</f>
        <v>1</v>
      </c>
      <c r="M61" s="88" t="n">
        <f aca="false">IF(SUM($L61)=0,"",20%)</f>
        <v>0.2</v>
      </c>
      <c r="N61" s="10" t="str">
        <f aca="false">IF(SUM($H61)=0,"",ROUND($H61*(1+$I61),0))</f>
        <v/>
      </c>
      <c r="O61" s="39" t="str">
        <f aca="false">IF(OR(SUM($N61)=0,SUM($J61)=0,NOT(AND($D61="Female",$F61="Y",OR($C61="10-14",$C61="15-17")))),"",ROUND($N61*$J61,0))</f>
        <v/>
      </c>
      <c r="P61" s="39" t="str">
        <f aca="false">IF(OR(SUM($N61)=0,SUM($K61)=0,NOT(OR($C61="10-14",$C61="05-09"))),"",ROUND($N61*$K61,0))</f>
        <v/>
      </c>
      <c r="Q61" s="39" t="str">
        <f aca="false">IFERROR(1/(1/ROUND($N61*$L61*$M61,0)),"")</f>
        <v/>
      </c>
      <c r="R61" s="39" t="str">
        <f aca="false">IFERROR(1/(1/(ROUND($N61*$L61,0)-$Q61)),"")</f>
        <v/>
      </c>
      <c r="S61" s="88" t="str">
        <f aca="false">IF(OR($C61="18+",$C61="18-20",SUM($Q61,$R61)=0),"",100%)</f>
        <v/>
      </c>
      <c r="T61" s="39" t="str">
        <f aca="false">IF(OR($C61="18+",$C61="18-20",SUM($Q61,$R61)=0),"",ROUND(SUM($Q61,$R61)*$S61,0))</f>
        <v/>
      </c>
    </row>
    <row r="62" customFormat="false" ht="15" hidden="false" customHeight="false" outlineLevel="0" collapsed="false">
      <c r="A62" s="0" t="str">
        <f aca="false">INDEX(Prioritization!$D:$D,MATCH($B62,Prioritization!$A:$A,0))</f>
        <v>INVALID</v>
      </c>
      <c r="B62" s="0" t="s">
        <v>197</v>
      </c>
      <c r="C62" s="0" t="s">
        <v>811</v>
      </c>
      <c r="D62" s="0" t="s">
        <v>48</v>
      </c>
      <c r="E62" s="0" t="str">
        <f aca="false">$B62&amp;"|"&amp;$C62&amp;"|"&amp;$D62</f>
        <v>Kasungu District [JQKLKuVuY61]|05-09|Male</v>
      </c>
      <c r="G62" s="10"/>
      <c r="H62" s="10"/>
      <c r="I62" s="88" t="str">
        <f aca="false">IF(SUM($H62)=0,"",0%)</f>
        <v/>
      </c>
      <c r="J62" s="88"/>
      <c r="K62" s="88"/>
      <c r="L62" s="88" t="n">
        <f aca="false">1-IF(NOT(AND($D62="Female",OR($C62="10-14",$C62="15-17",$F62="Y"))),0,$J62)-IF(NOT(OR($C62="05-09",$C62="10-14")),0,$K62)</f>
        <v>1</v>
      </c>
      <c r="M62" s="88" t="n">
        <f aca="false">IF(SUM($L62)=0,"",20%)</f>
        <v>0.2</v>
      </c>
      <c r="N62" s="10" t="str">
        <f aca="false">IF(SUM($H62)=0,"",ROUND($H62*(1+$I62),0))</f>
        <v/>
      </c>
      <c r="O62" s="39" t="str">
        <f aca="false">IF(OR(SUM($N62)=0,SUM($J62)=0,NOT(AND($D62="Female",$F62="Y",OR($C62="10-14",$C62="15-17")))),"",ROUND($N62*$J62,0))</f>
        <v/>
      </c>
      <c r="P62" s="39" t="str">
        <f aca="false">IF(OR(SUM($N62)=0,SUM($K62)=0,NOT(OR($C62="10-14",$C62="05-09"))),"",ROUND($N62*$K62,0))</f>
        <v/>
      </c>
      <c r="Q62" s="39" t="str">
        <f aca="false">IFERROR(1/(1/ROUND($N62*$L62*$M62,0)),"")</f>
        <v/>
      </c>
      <c r="R62" s="39" t="str">
        <f aca="false">IFERROR(1/(1/(ROUND($N62*$L62,0)-$Q62)),"")</f>
        <v/>
      </c>
      <c r="S62" s="88" t="str">
        <f aca="false">IF(OR($C62="18+",$C62="18-20",SUM($Q62,$R62)=0),"",100%)</f>
        <v/>
      </c>
      <c r="T62" s="39" t="str">
        <f aca="false">IF(OR($C62="18+",$C62="18-20",SUM($Q62,$R62)=0),"",ROUND(SUM($Q62,$R62)*$S62,0))</f>
        <v/>
      </c>
    </row>
    <row r="63" customFormat="false" ht="15" hidden="false" customHeight="false" outlineLevel="0" collapsed="false">
      <c r="A63" s="0" t="str">
        <f aca="false">INDEX(Prioritization!$D:$D,MATCH($B63,Prioritization!$A:$A,0))</f>
        <v>INVALID</v>
      </c>
      <c r="B63" s="0" t="s">
        <v>197</v>
      </c>
      <c r="C63" s="0" t="s">
        <v>364</v>
      </c>
      <c r="D63" s="0" t="s">
        <v>30</v>
      </c>
      <c r="E63" s="0" t="str">
        <f aca="false">$B63&amp;"|"&amp;$C63&amp;"|"&amp;$D63</f>
        <v>Kasungu District [JQKLKuVuY61]|10-14|Female</v>
      </c>
      <c r="G63" s="10"/>
      <c r="H63" s="10"/>
      <c r="I63" s="88" t="str">
        <f aca="false">IF(SUM($H63)=0,"",0%)</f>
        <v/>
      </c>
      <c r="J63" s="88"/>
      <c r="K63" s="88"/>
      <c r="L63" s="88" t="n">
        <f aca="false">1-IF(NOT(AND($D63="Female",OR($C63="10-14",$C63="15-17",$F63="Y"))),0,$J63)-IF(NOT(OR($C63="05-09",$C63="10-14")),0,$K63)</f>
        <v>1</v>
      </c>
      <c r="M63" s="88" t="n">
        <f aca="false">IF(SUM($L63)=0,"",20%)</f>
        <v>0.2</v>
      </c>
      <c r="N63" s="10" t="str">
        <f aca="false">IF(SUM($H63)=0,"",ROUND($H63*(1+$I63),0))</f>
        <v/>
      </c>
      <c r="O63" s="39" t="str">
        <f aca="false">IF(OR(SUM($N63)=0,SUM($J63)=0,NOT(AND($D63="Female",$F63="Y",OR($C63="10-14",$C63="15-17")))),"",ROUND($N63*$J63,0))</f>
        <v/>
      </c>
      <c r="P63" s="39" t="str">
        <f aca="false">IF(OR(SUM($N63)=0,SUM($K63)=0,NOT(OR($C63="10-14",$C63="05-09"))),"",ROUND($N63*$K63,0))</f>
        <v/>
      </c>
      <c r="Q63" s="39" t="str">
        <f aca="false">IFERROR(1/(1/ROUND($N63*$L63*$M63,0)),"")</f>
        <v/>
      </c>
      <c r="R63" s="39" t="str">
        <f aca="false">IFERROR(1/(1/(ROUND($N63*$L63,0)-$Q63)),"")</f>
        <v/>
      </c>
      <c r="S63" s="88" t="str">
        <f aca="false">IF(OR($C63="18+",$C63="18-20",SUM($Q63,$R63)=0),"",100%)</f>
        <v/>
      </c>
      <c r="T63" s="39" t="str">
        <f aca="false">IF(OR($C63="18+",$C63="18-20",SUM($Q63,$R63)=0),"",ROUND(SUM($Q63,$R63)*$S63,0))</f>
        <v/>
      </c>
    </row>
    <row r="64" customFormat="false" ht="15" hidden="false" customHeight="false" outlineLevel="0" collapsed="false">
      <c r="A64" s="0" t="str">
        <f aca="false">INDEX(Prioritization!$D:$D,MATCH($B64,Prioritization!$A:$A,0))</f>
        <v>INVALID</v>
      </c>
      <c r="B64" s="0" t="s">
        <v>197</v>
      </c>
      <c r="C64" s="0" t="s">
        <v>364</v>
      </c>
      <c r="D64" s="0" t="s">
        <v>48</v>
      </c>
      <c r="E64" s="0" t="str">
        <f aca="false">$B64&amp;"|"&amp;$C64&amp;"|"&amp;$D64</f>
        <v>Kasungu District [JQKLKuVuY61]|10-14|Male</v>
      </c>
      <c r="G64" s="10"/>
      <c r="H64" s="10"/>
      <c r="I64" s="88" t="str">
        <f aca="false">IF(SUM($H64)=0,"",0%)</f>
        <v/>
      </c>
      <c r="J64" s="88"/>
      <c r="K64" s="88"/>
      <c r="L64" s="88" t="n">
        <f aca="false">1-IF(NOT(AND($D64="Female",OR($C64="10-14",$C64="15-17",$F64="Y"))),0,$J64)-IF(NOT(OR($C64="05-09",$C64="10-14")),0,$K64)</f>
        <v>1</v>
      </c>
      <c r="M64" s="88" t="n">
        <f aca="false">IF(SUM($L64)=0,"",20%)</f>
        <v>0.2</v>
      </c>
      <c r="N64" s="10" t="str">
        <f aca="false">IF(SUM($H64)=0,"",ROUND($H64*(1+$I64),0))</f>
        <v/>
      </c>
      <c r="O64" s="39" t="str">
        <f aca="false">IF(OR(SUM($N64)=0,SUM($J64)=0,NOT(AND($D64="Female",$F64="Y",OR($C64="10-14",$C64="15-17")))),"",ROUND($N64*$J64,0))</f>
        <v/>
      </c>
      <c r="P64" s="39" t="str">
        <f aca="false">IF(OR(SUM($N64)=0,SUM($K64)=0,NOT(OR($C64="10-14",$C64="05-09"))),"",ROUND($N64*$K64,0))</f>
        <v/>
      </c>
      <c r="Q64" s="39" t="str">
        <f aca="false">IFERROR(1/(1/ROUND($N64*$L64*$M64,0)),"")</f>
        <v/>
      </c>
      <c r="R64" s="39" t="str">
        <f aca="false">IFERROR(1/(1/(ROUND($N64*$L64,0)-$Q64)),"")</f>
        <v/>
      </c>
      <c r="S64" s="88" t="str">
        <f aca="false">IF(OR($C64="18+",$C64="18-20",SUM($Q64,$R64)=0),"",100%)</f>
        <v/>
      </c>
      <c r="T64" s="39" t="str">
        <f aca="false">IF(OR($C64="18+",$C64="18-20",SUM($Q64,$R64)=0),"",ROUND(SUM($Q64,$R64)*$S64,0))</f>
        <v/>
      </c>
    </row>
    <row r="65" customFormat="false" ht="15" hidden="false" customHeight="false" outlineLevel="0" collapsed="false">
      <c r="A65" s="0" t="str">
        <f aca="false">INDEX(Prioritization!$D:$D,MATCH($B65,Prioritization!$A:$A,0))</f>
        <v>INVALID</v>
      </c>
      <c r="B65" s="0" t="s">
        <v>197</v>
      </c>
      <c r="C65" s="0" t="s">
        <v>812</v>
      </c>
      <c r="D65" s="0" t="s">
        <v>30</v>
      </c>
      <c r="E65" s="0" t="str">
        <f aca="false">$B65&amp;"|"&amp;$C65&amp;"|"&amp;$D65</f>
        <v>Kasungu District [JQKLKuVuY61]|15-17|Female</v>
      </c>
      <c r="G65" s="10"/>
      <c r="H65" s="10"/>
      <c r="I65" s="88" t="str">
        <f aca="false">IF(SUM($H65)=0,"",0%)</f>
        <v/>
      </c>
      <c r="J65" s="88"/>
      <c r="K65" s="88"/>
      <c r="L65" s="88" t="n">
        <f aca="false">1-IF(NOT(AND($D65="Female",OR($C65="10-14",$C65="15-17",$F65="Y"))),0,$J65)-IF(NOT(OR($C65="05-09",$C65="10-14")),0,$K65)</f>
        <v>1</v>
      </c>
      <c r="M65" s="88" t="n">
        <f aca="false">IF(SUM($L65)=0,"",20%)</f>
        <v>0.2</v>
      </c>
      <c r="N65" s="10" t="str">
        <f aca="false">IF(SUM($H65)=0,"",ROUND($H65*(1+$I65),0))</f>
        <v/>
      </c>
      <c r="O65" s="39" t="str">
        <f aca="false">IF(OR(SUM($N65)=0,SUM($J65)=0,NOT(AND($D65="Female",$F65="Y",OR($C65="10-14",$C65="15-17")))),"",ROUND($N65*$J65,0))</f>
        <v/>
      </c>
      <c r="P65" s="39" t="str">
        <f aca="false">IF(OR(SUM($N65)=0,SUM($K65)=0,NOT(OR($C65="10-14",$C65="05-09"))),"",ROUND($N65*$K65,0))</f>
        <v/>
      </c>
      <c r="Q65" s="39" t="str">
        <f aca="false">IFERROR(1/(1/ROUND($N65*$L65*$M65,0)),"")</f>
        <v/>
      </c>
      <c r="R65" s="39" t="str">
        <f aca="false">IFERROR(1/(1/(ROUND($N65*$L65,0)-$Q65)),"")</f>
        <v/>
      </c>
      <c r="S65" s="88" t="str">
        <f aca="false">IF(OR($C65="18+",$C65="18-20",SUM($Q65,$R65)=0),"",100%)</f>
        <v/>
      </c>
      <c r="T65" s="39" t="str">
        <f aca="false">IF(OR($C65="18+",$C65="18-20",SUM($Q65,$R65)=0),"",ROUND(SUM($Q65,$R65)*$S65,0))</f>
        <v/>
      </c>
    </row>
    <row r="66" customFormat="false" ht="15" hidden="false" customHeight="false" outlineLevel="0" collapsed="false">
      <c r="A66" s="0" t="str">
        <f aca="false">INDEX(Prioritization!$D:$D,MATCH($B66,Prioritization!$A:$A,0))</f>
        <v>INVALID</v>
      </c>
      <c r="B66" s="0" t="s">
        <v>197</v>
      </c>
      <c r="C66" s="0" t="s">
        <v>812</v>
      </c>
      <c r="D66" s="0" t="s">
        <v>48</v>
      </c>
      <c r="E66" s="0" t="str">
        <f aca="false">$B66&amp;"|"&amp;$C66&amp;"|"&amp;$D66</f>
        <v>Kasungu District [JQKLKuVuY61]|15-17|Male</v>
      </c>
      <c r="G66" s="10"/>
      <c r="H66" s="10"/>
      <c r="I66" s="88" t="str">
        <f aca="false">IF(SUM($H66)=0,"",0%)</f>
        <v/>
      </c>
      <c r="J66" s="88"/>
      <c r="K66" s="88"/>
      <c r="L66" s="88" t="n">
        <f aca="false">1-IF(NOT(AND($D66="Female",OR($C66="10-14",$C66="15-17",$F66="Y"))),0,$J66)-IF(NOT(OR($C66="05-09",$C66="10-14")),0,$K66)</f>
        <v>1</v>
      </c>
      <c r="M66" s="88" t="n">
        <f aca="false">IF(SUM($L66)=0,"",20%)</f>
        <v>0.2</v>
      </c>
      <c r="N66" s="10" t="str">
        <f aca="false">IF(SUM($H66)=0,"",ROUND($H66*(1+$I66),0))</f>
        <v/>
      </c>
      <c r="O66" s="39" t="str">
        <f aca="false">IF(OR(SUM($N66)=0,SUM($J66)=0,NOT(AND($D66="Female",$F66="Y",OR($C66="10-14",$C66="15-17")))),"",ROUND($N66*$J66,0))</f>
        <v/>
      </c>
      <c r="P66" s="39" t="str">
        <f aca="false">IF(OR(SUM($N66)=0,SUM($K66)=0,NOT(OR($C66="10-14",$C66="05-09"))),"",ROUND($N66*$K66,0))</f>
        <v/>
      </c>
      <c r="Q66" s="39" t="str">
        <f aca="false">IFERROR(1/(1/ROUND($N66*$L66*$M66,0)),"")</f>
        <v/>
      </c>
      <c r="R66" s="39" t="str">
        <f aca="false">IFERROR(1/(1/(ROUND($N66*$L66,0)-$Q66)),"")</f>
        <v/>
      </c>
      <c r="S66" s="88" t="str">
        <f aca="false">IF(OR($C66="18+",$C66="18-20",SUM($Q66,$R66)=0),"",100%)</f>
        <v/>
      </c>
      <c r="T66" s="39" t="str">
        <f aca="false">IF(OR($C66="18+",$C66="18-20",SUM($Q66,$R66)=0),"",ROUND(SUM($Q66,$R66)*$S66,0))</f>
        <v/>
      </c>
    </row>
    <row r="67" customFormat="false" ht="15" hidden="false" customHeight="false" outlineLevel="0" collapsed="false">
      <c r="A67" s="0" t="str">
        <f aca="false">INDEX(Prioritization!$D:$D,MATCH($B67,Prioritization!$A:$A,0))</f>
        <v>INVALID</v>
      </c>
      <c r="B67" s="0" t="s">
        <v>197</v>
      </c>
      <c r="C67" s="0" t="s">
        <v>813</v>
      </c>
      <c r="D67" s="0" t="s">
        <v>30</v>
      </c>
      <c r="E67" s="0" t="str">
        <f aca="false">$B67&amp;"|"&amp;$C67&amp;"|"&amp;$D67</f>
        <v>Kasungu District [JQKLKuVuY61]|18-20|Female</v>
      </c>
      <c r="G67" s="10"/>
      <c r="H67" s="10"/>
      <c r="I67" s="88" t="str">
        <f aca="false">IF(SUM($H67)=0,"",0%)</f>
        <v/>
      </c>
      <c r="J67" s="88"/>
      <c r="K67" s="88"/>
      <c r="L67" s="88" t="n">
        <f aca="false">1-IF(NOT(AND($D67="Female",OR($C67="10-14",$C67="15-17",$F67="Y"))),0,$J67)-IF(NOT(OR($C67="05-09",$C67="10-14")),0,$K67)</f>
        <v>1</v>
      </c>
      <c r="M67" s="88" t="n">
        <f aca="false">IF(SUM($L67)=0,"",20%)</f>
        <v>0.2</v>
      </c>
      <c r="N67" s="10" t="str">
        <f aca="false">IF(SUM($H67)=0,"",ROUND($H67*(1+$I67),0))</f>
        <v/>
      </c>
      <c r="O67" s="39" t="str">
        <f aca="false">IF(OR(SUM($N67)=0,SUM($J67)=0,NOT(AND($D67="Female",$F67="Y",OR($C67="10-14",$C67="15-17")))),"",ROUND($N67*$J67,0))</f>
        <v/>
      </c>
      <c r="P67" s="39" t="str">
        <f aca="false">IF(OR(SUM($N67)=0,SUM($K67)=0,NOT(OR($C67="10-14",$C67="05-09"))),"",ROUND($N67*$K67,0))</f>
        <v/>
      </c>
      <c r="Q67" s="39" t="str">
        <f aca="false">IFERROR(1/(1/ROUND($N67*$L67*$M67,0)),"")</f>
        <v/>
      </c>
      <c r="R67" s="39" t="str">
        <f aca="false">IFERROR(1/(1/(ROUND($N67*$L67,0)-$Q67)),"")</f>
        <v/>
      </c>
      <c r="S67" s="88" t="str">
        <f aca="false">IF(OR($C67="18+",$C67="18-20",SUM($Q67,$R67)=0),"",100%)</f>
        <v/>
      </c>
      <c r="T67" s="39" t="str">
        <f aca="false">IF(OR($C67="18+",$C67="18-20",SUM($Q67,$R67)=0),"",ROUND(SUM($Q67,$R67)*$S67,0))</f>
        <v/>
      </c>
    </row>
    <row r="68" customFormat="false" ht="15" hidden="false" customHeight="false" outlineLevel="0" collapsed="false">
      <c r="A68" s="0" t="str">
        <f aca="false">INDEX(Prioritization!$D:$D,MATCH($B68,Prioritization!$A:$A,0))</f>
        <v>INVALID</v>
      </c>
      <c r="B68" s="0" t="s">
        <v>197</v>
      </c>
      <c r="C68" s="0" t="s">
        <v>813</v>
      </c>
      <c r="D68" s="0" t="s">
        <v>48</v>
      </c>
      <c r="E68" s="0" t="str">
        <f aca="false">$B68&amp;"|"&amp;$C68&amp;"|"&amp;$D68</f>
        <v>Kasungu District [JQKLKuVuY61]|18-20|Male</v>
      </c>
      <c r="G68" s="10"/>
      <c r="H68" s="10"/>
      <c r="I68" s="88" t="str">
        <f aca="false">IF(SUM($H68)=0,"",0%)</f>
        <v/>
      </c>
      <c r="J68" s="88"/>
      <c r="K68" s="88"/>
      <c r="L68" s="88" t="n">
        <f aca="false">1-IF(NOT(AND($D68="Female",OR($C68="10-14",$C68="15-17",$F68="Y"))),0,$J68)-IF(NOT(OR($C68="05-09",$C68="10-14")),0,$K68)</f>
        <v>1</v>
      </c>
      <c r="M68" s="88" t="n">
        <f aca="false">IF(SUM($L68)=0,"",20%)</f>
        <v>0.2</v>
      </c>
      <c r="N68" s="10" t="str">
        <f aca="false">IF(SUM($H68)=0,"",ROUND($H68*(1+$I68),0))</f>
        <v/>
      </c>
      <c r="O68" s="39" t="str">
        <f aca="false">IF(OR(SUM($N68)=0,SUM($J68)=0,NOT(AND($D68="Female",$F68="Y",OR($C68="10-14",$C68="15-17")))),"",ROUND($N68*$J68,0))</f>
        <v/>
      </c>
      <c r="P68" s="39" t="str">
        <f aca="false">IF(OR(SUM($N68)=0,SUM($K68)=0,NOT(OR($C68="10-14",$C68="05-09"))),"",ROUND($N68*$K68,0))</f>
        <v/>
      </c>
      <c r="Q68" s="39" t="str">
        <f aca="false">IFERROR(1/(1/ROUND($N68*$L68*$M68,0)),"")</f>
        <v/>
      </c>
      <c r="R68" s="39" t="str">
        <f aca="false">IFERROR(1/(1/(ROUND($N68*$L68,0)-$Q68)),"")</f>
        <v/>
      </c>
      <c r="S68" s="88" t="str">
        <f aca="false">IF(OR($C68="18+",$C68="18-20",SUM($Q68,$R68)=0),"",100%)</f>
        <v/>
      </c>
      <c r="T68" s="39" t="str">
        <f aca="false">IF(OR($C68="18+",$C68="18-20",SUM($Q68,$R68)=0),"",ROUND(SUM($Q68,$R68)*$S68,0))</f>
        <v/>
      </c>
    </row>
    <row r="69" customFormat="false" ht="15" hidden="false" customHeight="false" outlineLevel="0" collapsed="false">
      <c r="A69" s="0" t="str">
        <f aca="false">INDEX(Prioritization!$D:$D,MATCH($B69,Prioritization!$A:$A,0))</f>
        <v>INVALID</v>
      </c>
      <c r="B69" s="0" t="s">
        <v>197</v>
      </c>
      <c r="C69" s="0" t="s">
        <v>814</v>
      </c>
      <c r="D69" s="0" t="s">
        <v>30</v>
      </c>
      <c r="E69" s="0" t="str">
        <f aca="false">$B69&amp;"|"&amp;$C69&amp;"|"&amp;$D69</f>
        <v>Kasungu District [JQKLKuVuY61]|18+|Female</v>
      </c>
      <c r="G69" s="10"/>
      <c r="H69" s="10"/>
      <c r="I69" s="88" t="str">
        <f aca="false">IF(SUM($H69)=0,"",0%)</f>
        <v/>
      </c>
      <c r="J69" s="88"/>
      <c r="K69" s="88"/>
      <c r="L69" s="88" t="n">
        <f aca="false">1-IF(NOT(AND($D69="Female",OR($C69="10-14",$C69="15-17",$F69="Y"))),0,$J69)-IF(NOT(OR($C69="05-09",$C69="10-14")),0,$K69)</f>
        <v>1</v>
      </c>
      <c r="M69" s="88" t="n">
        <f aca="false">IF(SUM($L69)=0,"",20%)</f>
        <v>0.2</v>
      </c>
      <c r="N69" s="10" t="str">
        <f aca="false">IF(SUM($H69)=0,"",ROUND($H69*(1+$I69),0))</f>
        <v/>
      </c>
      <c r="O69" s="39" t="str">
        <f aca="false">IF(OR(SUM($N69)=0,SUM($J69)=0,NOT(AND($D69="Female",$F69="Y",OR($C69="10-14",$C69="15-17")))),"",ROUND($N69*$J69,0))</f>
        <v/>
      </c>
      <c r="P69" s="39" t="str">
        <f aca="false">IF(OR(SUM($N69)=0,SUM($K69)=0,NOT(OR($C69="10-14",$C69="05-09"))),"",ROUND($N69*$K69,0))</f>
        <v/>
      </c>
      <c r="Q69" s="39" t="str">
        <f aca="false">IFERROR(1/(1/ROUND($N69*$L69*$M69,0)),"")</f>
        <v/>
      </c>
      <c r="R69" s="39" t="str">
        <f aca="false">IFERROR(1/(1/(ROUND($N69*$L69,0)-$Q69)),"")</f>
        <v/>
      </c>
      <c r="S69" s="88" t="str">
        <f aca="false">IF(OR($C69="18+",$C69="18-20",SUM($Q69,$R69)=0),"",100%)</f>
        <v/>
      </c>
      <c r="T69" s="39" t="str">
        <f aca="false">IF(OR($C69="18+",$C69="18-20",SUM($Q69,$R69)=0),"",ROUND(SUM($Q69,$R69)*$S69,0))</f>
        <v/>
      </c>
    </row>
    <row r="70" customFormat="false" ht="15" hidden="false" customHeight="false" outlineLevel="0" collapsed="false">
      <c r="A70" s="0" t="str">
        <f aca="false">INDEX(Prioritization!$D:$D,MATCH($B70,Prioritization!$A:$A,0))</f>
        <v>INVALID</v>
      </c>
      <c r="B70" s="0" t="s">
        <v>197</v>
      </c>
      <c r="C70" s="0" t="s">
        <v>814</v>
      </c>
      <c r="D70" s="0" t="s">
        <v>48</v>
      </c>
      <c r="E70" s="0" t="str">
        <f aca="false">$B70&amp;"|"&amp;$C70&amp;"|"&amp;$D70</f>
        <v>Kasungu District [JQKLKuVuY61]|18+|Male</v>
      </c>
      <c r="G70" s="10"/>
      <c r="H70" s="10"/>
      <c r="I70" s="88" t="str">
        <f aca="false">IF(SUM($H70)=0,"",0%)</f>
        <v/>
      </c>
      <c r="J70" s="88"/>
      <c r="K70" s="88"/>
      <c r="L70" s="88" t="n">
        <f aca="false">1-IF(NOT(AND($D70="Female",OR($C70="10-14",$C70="15-17",$F70="Y"))),0,$J70)-IF(NOT(OR($C70="05-09",$C70="10-14")),0,$K70)</f>
        <v>1</v>
      </c>
      <c r="M70" s="88" t="n">
        <f aca="false">IF(SUM($L70)=0,"",20%)</f>
        <v>0.2</v>
      </c>
      <c r="N70" s="10" t="str">
        <f aca="false">IF(SUM($H70)=0,"",ROUND($H70*(1+$I70),0))</f>
        <v/>
      </c>
      <c r="O70" s="39" t="str">
        <f aca="false">IF(OR(SUM($N70)=0,SUM($J70)=0,NOT(AND($D70="Female",$F70="Y",OR($C70="10-14",$C70="15-17")))),"",ROUND($N70*$J70,0))</f>
        <v/>
      </c>
      <c r="P70" s="39" t="str">
        <f aca="false">IF(OR(SUM($N70)=0,SUM($K70)=0,NOT(OR($C70="10-14",$C70="05-09"))),"",ROUND($N70*$K70,0))</f>
        <v/>
      </c>
      <c r="Q70" s="39" t="str">
        <f aca="false">IFERROR(1/(1/ROUND($N70*$L70*$M70,0)),"")</f>
        <v/>
      </c>
      <c r="R70" s="39" t="str">
        <f aca="false">IFERROR(1/(1/(ROUND($N70*$L70,0)-$Q70)),"")</f>
        <v/>
      </c>
      <c r="S70" s="88" t="str">
        <f aca="false">IF(OR($C70="18+",$C70="18-20",SUM($Q70,$R70)=0),"",100%)</f>
        <v/>
      </c>
      <c r="T70" s="39" t="str">
        <f aca="false">IF(OR($C70="18+",$C70="18-20",SUM($Q70,$R70)=0),"",ROUND(SUM($Q70,$R70)*$S70,0))</f>
        <v/>
      </c>
    </row>
    <row r="71" customFormat="false" ht="15" hidden="false" customHeight="false" outlineLevel="0" collapsed="false">
      <c r="A71" s="0" t="str">
        <f aca="false">INDEX(Prioritization!$D:$D,MATCH($B71,Prioritization!$A:$A,0))</f>
        <v>1 - Scale-up: Saturation</v>
      </c>
      <c r="B71" s="0" t="s">
        <v>198</v>
      </c>
      <c r="C71" s="0" t="s">
        <v>316</v>
      </c>
      <c r="D71" s="0" t="s">
        <v>30</v>
      </c>
      <c r="E71" s="0" t="str">
        <f aca="false">$B71&amp;"|"&amp;$C71&amp;"|"&amp;$D71</f>
        <v>Lilongwe District [ScR9iFKAasW]|&lt;01|Female</v>
      </c>
      <c r="G71" s="10" t="n">
        <v>56</v>
      </c>
      <c r="H71" s="10" t="n">
        <v>20</v>
      </c>
      <c r="I71" s="88" t="n">
        <f aca="false">IF(SUM($H71)=0,"",0%)</f>
        <v>0</v>
      </c>
      <c r="J71" s="88"/>
      <c r="K71" s="88"/>
      <c r="L71" s="88" t="n">
        <f aca="false">1-IF(NOT(AND($D71="Female",OR($C71="10-14",$C71="15-17",$F71="Y"))),0,$J71)-IF(NOT(OR($C71="05-09",$C71="10-14")),0,$K71)</f>
        <v>1</v>
      </c>
      <c r="M71" s="88" t="n">
        <f aca="false">IF(SUM($L71)=0,"",20%)</f>
        <v>0.2</v>
      </c>
      <c r="N71" s="10" t="n">
        <f aca="false">IF(SUM($H71)=0,"",ROUND($H71*(1+$I71),0))</f>
        <v>20</v>
      </c>
      <c r="O71" s="39" t="str">
        <f aca="false">IF(OR(SUM($N71)=0,SUM($J71)=0,NOT(AND($D71="Female",$F71="Y",OR($C71="10-14",$C71="15-17")))),"",ROUND($N71*$J71,0))</f>
        <v/>
      </c>
      <c r="P71" s="39" t="str">
        <f aca="false">IF(OR(SUM($N71)=0,SUM($K71)=0,NOT(OR($C71="10-14",$C71="05-09"))),"",ROUND($N71*$K71,0))</f>
        <v/>
      </c>
      <c r="Q71" s="39" t="n">
        <f aca="false">IFERROR(1/(1/ROUND($N71*$L71*$M71,0)),"")</f>
        <v>4</v>
      </c>
      <c r="R71" s="39" t="n">
        <f aca="false">IFERROR(1/(1/(ROUND($N71*$L71,0)-$Q71)),"")</f>
        <v>16</v>
      </c>
      <c r="S71" s="88" t="n">
        <f aca="false">IF(OR($C71="18+",$C71="18-20",SUM($Q71,$R71)=0),"",100%)</f>
        <v>1</v>
      </c>
      <c r="T71" s="39" t="n">
        <f aca="false">IF(OR($C71="18+",$C71="18-20",SUM($Q71,$R71)=0),"",ROUND(SUM($Q71,$R71)*$S71,0))</f>
        <v>20</v>
      </c>
    </row>
    <row r="72" customFormat="false" ht="15" hidden="false" customHeight="false" outlineLevel="0" collapsed="false">
      <c r="A72" s="0" t="str">
        <f aca="false">INDEX(Prioritization!$D:$D,MATCH($B72,Prioritization!$A:$A,0))</f>
        <v>1 - Scale-up: Saturation</v>
      </c>
      <c r="B72" s="0" t="s">
        <v>198</v>
      </c>
      <c r="C72" s="0" t="s">
        <v>316</v>
      </c>
      <c r="D72" s="0" t="s">
        <v>48</v>
      </c>
      <c r="E72" s="0" t="str">
        <f aca="false">$B72&amp;"|"&amp;$C72&amp;"|"&amp;$D72</f>
        <v>Lilongwe District [ScR9iFKAasW]|&lt;01|Male</v>
      </c>
      <c r="G72" s="10" t="n">
        <v>35</v>
      </c>
      <c r="H72" s="10" t="n">
        <v>73</v>
      </c>
      <c r="I72" s="88" t="n">
        <f aca="false">IF(SUM($H72)=0,"",0%)</f>
        <v>0</v>
      </c>
      <c r="J72" s="88"/>
      <c r="K72" s="88"/>
      <c r="L72" s="88" t="n">
        <f aca="false">1-IF(NOT(AND($D72="Female",OR($C72="10-14",$C72="15-17",$F72="Y"))),0,$J72)-IF(NOT(OR($C72="05-09",$C72="10-14")),0,$K72)</f>
        <v>1</v>
      </c>
      <c r="M72" s="88" t="n">
        <f aca="false">IF(SUM($L72)=0,"",20%)</f>
        <v>0.2</v>
      </c>
      <c r="N72" s="10" t="n">
        <f aca="false">IF(SUM($H72)=0,"",ROUND($H72*(1+$I72),0))</f>
        <v>73</v>
      </c>
      <c r="O72" s="39" t="str">
        <f aca="false">IF(OR(SUM($N72)=0,SUM($J72)=0,NOT(AND($D72="Female",$F72="Y",OR($C72="10-14",$C72="15-17")))),"",ROUND($N72*$J72,0))</f>
        <v/>
      </c>
      <c r="P72" s="39" t="str">
        <f aca="false">IF(OR(SUM($N72)=0,SUM($K72)=0,NOT(OR($C72="10-14",$C72="05-09"))),"",ROUND($N72*$K72,0))</f>
        <v/>
      </c>
      <c r="Q72" s="39" t="n">
        <f aca="false">IFERROR(1/(1/ROUND($N72*$L72*$M72,0)),"")</f>
        <v>15</v>
      </c>
      <c r="R72" s="39" t="n">
        <f aca="false">IFERROR(1/(1/(ROUND($N72*$L72,0)-$Q72)),"")</f>
        <v>58</v>
      </c>
      <c r="S72" s="88" t="n">
        <f aca="false">IF(OR($C72="18+",$C72="18-20",SUM($Q72,$R72)=0),"",100%)</f>
        <v>1</v>
      </c>
      <c r="T72" s="39" t="n">
        <f aca="false">IF(OR($C72="18+",$C72="18-20",SUM($Q72,$R72)=0),"",ROUND(SUM($Q72,$R72)*$S72,0))</f>
        <v>73</v>
      </c>
    </row>
    <row r="73" customFormat="false" ht="15" hidden="false" customHeight="false" outlineLevel="0" collapsed="false">
      <c r="A73" s="0" t="str">
        <f aca="false">INDEX(Prioritization!$D:$D,MATCH($B73,Prioritization!$A:$A,0))</f>
        <v>1 - Scale-up: Saturation</v>
      </c>
      <c r="B73" s="0" t="s">
        <v>198</v>
      </c>
      <c r="C73" s="0" t="s">
        <v>810</v>
      </c>
      <c r="D73" s="0" t="s">
        <v>30</v>
      </c>
      <c r="E73" s="0" t="str">
        <f aca="false">$B73&amp;"|"&amp;$C73&amp;"|"&amp;$D73</f>
        <v>Lilongwe District [ScR9iFKAasW]|01-04|Female</v>
      </c>
      <c r="G73" s="10" t="n">
        <v>509</v>
      </c>
      <c r="H73" s="10" t="n">
        <v>898</v>
      </c>
      <c r="I73" s="88" t="n">
        <f aca="false">IF(SUM($H73)=0,"",0%)</f>
        <v>0</v>
      </c>
      <c r="J73" s="88"/>
      <c r="K73" s="88"/>
      <c r="L73" s="88" t="n">
        <f aca="false">1-IF(NOT(AND($D73="Female",OR($C73="10-14",$C73="15-17",$F73="Y"))),0,$J73)-IF(NOT(OR($C73="05-09",$C73="10-14")),0,$K73)</f>
        <v>1</v>
      </c>
      <c r="M73" s="88" t="n">
        <f aca="false">IF(SUM($L73)=0,"",20%)</f>
        <v>0.2</v>
      </c>
      <c r="N73" s="10" t="n">
        <f aca="false">IF(SUM($H73)=0,"",ROUND($H73*(1+$I73),0))</f>
        <v>898</v>
      </c>
      <c r="O73" s="39" t="str">
        <f aca="false">IF(OR(SUM($N73)=0,SUM($J73)=0,NOT(AND($D73="Female",$F73="Y",OR($C73="10-14",$C73="15-17")))),"",ROUND($N73*$J73,0))</f>
        <v/>
      </c>
      <c r="P73" s="39" t="str">
        <f aca="false">IF(OR(SUM($N73)=0,SUM($K73)=0,NOT(OR($C73="10-14",$C73="05-09"))),"",ROUND($N73*$K73,0))</f>
        <v/>
      </c>
      <c r="Q73" s="39" t="n">
        <f aca="false">IFERROR(1/(1/ROUND($N73*$L73*$M73,0)),"")</f>
        <v>180</v>
      </c>
      <c r="R73" s="39" t="n">
        <f aca="false">IFERROR(1/(1/(ROUND($N73*$L73,0)-$Q73)),"")</f>
        <v>718</v>
      </c>
      <c r="S73" s="88" t="n">
        <f aca="false">IF(OR($C73="18+",$C73="18-20",SUM($Q73,$R73)=0),"",100%)</f>
        <v>1</v>
      </c>
      <c r="T73" s="39" t="n">
        <f aca="false">IF(OR($C73="18+",$C73="18-20",SUM($Q73,$R73)=0),"",ROUND(SUM($Q73,$R73)*$S73,0))</f>
        <v>898</v>
      </c>
    </row>
    <row r="74" customFormat="false" ht="15" hidden="false" customHeight="false" outlineLevel="0" collapsed="false">
      <c r="A74" s="0" t="str">
        <f aca="false">INDEX(Prioritization!$D:$D,MATCH($B74,Prioritization!$A:$A,0))</f>
        <v>1 - Scale-up: Saturation</v>
      </c>
      <c r="B74" s="0" t="s">
        <v>198</v>
      </c>
      <c r="C74" s="0" t="s">
        <v>810</v>
      </c>
      <c r="D74" s="0" t="s">
        <v>48</v>
      </c>
      <c r="E74" s="0" t="str">
        <f aca="false">$B74&amp;"|"&amp;$C74&amp;"|"&amp;$D74</f>
        <v>Lilongwe District [ScR9iFKAasW]|01-04|Male</v>
      </c>
      <c r="G74" s="10" t="n">
        <v>32</v>
      </c>
      <c r="H74" s="10" t="n">
        <v>746</v>
      </c>
      <c r="I74" s="88" t="n">
        <f aca="false">IF(SUM($H74)=0,"",0%)</f>
        <v>0</v>
      </c>
      <c r="J74" s="88"/>
      <c r="K74" s="88"/>
      <c r="L74" s="88" t="n">
        <f aca="false">1-IF(NOT(AND($D74="Female",OR($C74="10-14",$C74="15-17",$F74="Y"))),0,$J74)-IF(NOT(OR($C74="05-09",$C74="10-14")),0,$K74)</f>
        <v>1</v>
      </c>
      <c r="M74" s="88" t="n">
        <f aca="false">IF(SUM($L74)=0,"",20%)</f>
        <v>0.2</v>
      </c>
      <c r="N74" s="10" t="n">
        <f aca="false">IF(SUM($H74)=0,"",ROUND($H74*(1+$I74),0))</f>
        <v>746</v>
      </c>
      <c r="O74" s="39" t="str">
        <f aca="false">IF(OR(SUM($N74)=0,SUM($J74)=0,NOT(AND($D74="Female",$F74="Y",OR($C74="10-14",$C74="15-17")))),"",ROUND($N74*$J74,0))</f>
        <v/>
      </c>
      <c r="P74" s="39" t="str">
        <f aca="false">IF(OR(SUM($N74)=0,SUM($K74)=0,NOT(OR($C74="10-14",$C74="05-09"))),"",ROUND($N74*$K74,0))</f>
        <v/>
      </c>
      <c r="Q74" s="39" t="n">
        <f aca="false">IFERROR(1/(1/ROUND($N74*$L74*$M74,0)),"")</f>
        <v>149</v>
      </c>
      <c r="R74" s="39" t="n">
        <f aca="false">IFERROR(1/(1/(ROUND($N74*$L74,0)-$Q74)),"")</f>
        <v>597</v>
      </c>
      <c r="S74" s="88" t="n">
        <f aca="false">IF(OR($C74="18+",$C74="18-20",SUM($Q74,$R74)=0),"",100%)</f>
        <v>1</v>
      </c>
      <c r="T74" s="39" t="n">
        <f aca="false">IF(OR($C74="18+",$C74="18-20",SUM($Q74,$R74)=0),"",ROUND(SUM($Q74,$R74)*$S74,0))</f>
        <v>746</v>
      </c>
    </row>
    <row r="75" customFormat="false" ht="15" hidden="false" customHeight="false" outlineLevel="0" collapsed="false">
      <c r="A75" s="0" t="str">
        <f aca="false">INDEX(Prioritization!$D:$D,MATCH($B75,Prioritization!$A:$A,0))</f>
        <v>1 - Scale-up: Saturation</v>
      </c>
      <c r="B75" s="0" t="s">
        <v>198</v>
      </c>
      <c r="C75" s="0" t="s">
        <v>811</v>
      </c>
      <c r="D75" s="0" t="s">
        <v>30</v>
      </c>
      <c r="E75" s="0" t="str">
        <f aca="false">$B75&amp;"|"&amp;$C75&amp;"|"&amp;$D75</f>
        <v>Lilongwe District [ScR9iFKAasW]|05-09|Female</v>
      </c>
      <c r="G75" s="10" t="n">
        <v>880</v>
      </c>
      <c r="H75" s="10" t="n">
        <v>767</v>
      </c>
      <c r="I75" s="88" t="n">
        <f aca="false">IF(SUM($H75)=0,"",0%)</f>
        <v>0</v>
      </c>
      <c r="J75" s="88"/>
      <c r="K75" s="88"/>
      <c r="L75" s="88" t="n">
        <f aca="false">1-IF(NOT(AND($D75="Female",OR($C75="10-14",$C75="15-17",$F75="Y"))),0,$J75)-IF(NOT(OR($C75="05-09",$C75="10-14")),0,$K75)</f>
        <v>1</v>
      </c>
      <c r="M75" s="88" t="n">
        <f aca="false">IF(SUM($L75)=0,"",20%)</f>
        <v>0.2</v>
      </c>
      <c r="N75" s="10" t="n">
        <f aca="false">IF(SUM($H75)=0,"",ROUND($H75*(1+$I75),0))</f>
        <v>767</v>
      </c>
      <c r="O75" s="39" t="str">
        <f aca="false">IF(OR(SUM($N75)=0,SUM($J75)=0,NOT(AND($D75="Female",$F75="Y",OR($C75="10-14",$C75="15-17")))),"",ROUND($N75*$J75,0))</f>
        <v/>
      </c>
      <c r="P75" s="39" t="str">
        <f aca="false">IF(OR(SUM($N75)=0,SUM($K75)=0,NOT(OR($C75="10-14",$C75="05-09"))),"",ROUND($N75*$K75,0))</f>
        <v/>
      </c>
      <c r="Q75" s="39" t="n">
        <f aca="false">IFERROR(1/(1/ROUND($N75*$L75*$M75,0)),"")</f>
        <v>153</v>
      </c>
      <c r="R75" s="39" t="n">
        <f aca="false">IFERROR(1/(1/(ROUND($N75*$L75,0)-$Q75)),"")</f>
        <v>614</v>
      </c>
      <c r="S75" s="88" t="n">
        <f aca="false">IF(OR($C75="18+",$C75="18-20",SUM($Q75,$R75)=0),"",100%)</f>
        <v>1</v>
      </c>
      <c r="T75" s="39" t="n">
        <f aca="false">IF(OR($C75="18+",$C75="18-20",SUM($Q75,$R75)=0),"",ROUND(SUM($Q75,$R75)*$S75,0))</f>
        <v>767</v>
      </c>
    </row>
    <row r="76" customFormat="false" ht="15" hidden="false" customHeight="false" outlineLevel="0" collapsed="false">
      <c r="A76" s="0" t="str">
        <f aca="false">INDEX(Prioritization!$D:$D,MATCH($B76,Prioritization!$A:$A,0))</f>
        <v>1 - Scale-up: Saturation</v>
      </c>
      <c r="B76" s="0" t="s">
        <v>198</v>
      </c>
      <c r="C76" s="0" t="s">
        <v>811</v>
      </c>
      <c r="D76" s="0" t="s">
        <v>48</v>
      </c>
      <c r="E76" s="0" t="str">
        <f aca="false">$B76&amp;"|"&amp;$C76&amp;"|"&amp;$D76</f>
        <v>Lilongwe District [ScR9iFKAasW]|05-09|Male</v>
      </c>
      <c r="G76" s="10" t="n">
        <v>721</v>
      </c>
      <c r="H76" s="10" t="n">
        <v>767</v>
      </c>
      <c r="I76" s="88" t="n">
        <f aca="false">IF(SUM($H76)=0,"",0%)</f>
        <v>0</v>
      </c>
      <c r="J76" s="88"/>
      <c r="K76" s="88"/>
      <c r="L76" s="88" t="n">
        <f aca="false">1-IF(NOT(AND($D76="Female",OR($C76="10-14",$C76="15-17",$F76="Y"))),0,$J76)-IF(NOT(OR($C76="05-09",$C76="10-14")),0,$K76)</f>
        <v>1</v>
      </c>
      <c r="M76" s="88" t="n">
        <f aca="false">IF(SUM($L76)=0,"",20%)</f>
        <v>0.2</v>
      </c>
      <c r="N76" s="10" t="n">
        <f aca="false">IF(SUM($H76)=0,"",ROUND($H76*(1+$I76),0))</f>
        <v>767</v>
      </c>
      <c r="O76" s="39" t="str">
        <f aca="false">IF(OR(SUM($N76)=0,SUM($J76)=0,NOT(AND($D76="Female",$F76="Y",OR($C76="10-14",$C76="15-17")))),"",ROUND($N76*$J76,0))</f>
        <v/>
      </c>
      <c r="P76" s="39" t="str">
        <f aca="false">IF(OR(SUM($N76)=0,SUM($K76)=0,NOT(OR($C76="10-14",$C76="05-09"))),"",ROUND($N76*$K76,0))</f>
        <v/>
      </c>
      <c r="Q76" s="39" t="n">
        <f aca="false">IFERROR(1/(1/ROUND($N76*$L76*$M76,0)),"")</f>
        <v>153</v>
      </c>
      <c r="R76" s="39" t="n">
        <f aca="false">IFERROR(1/(1/(ROUND($N76*$L76,0)-$Q76)),"")</f>
        <v>614</v>
      </c>
      <c r="S76" s="88" t="n">
        <f aca="false">IF(OR($C76="18+",$C76="18-20",SUM($Q76,$R76)=0),"",100%)</f>
        <v>1</v>
      </c>
      <c r="T76" s="39" t="n">
        <f aca="false">IF(OR($C76="18+",$C76="18-20",SUM($Q76,$R76)=0),"",ROUND(SUM($Q76,$R76)*$S76,0))</f>
        <v>767</v>
      </c>
    </row>
    <row r="77" customFormat="false" ht="15" hidden="false" customHeight="false" outlineLevel="0" collapsed="false">
      <c r="A77" s="0" t="str">
        <f aca="false">INDEX(Prioritization!$D:$D,MATCH($B77,Prioritization!$A:$A,0))</f>
        <v>1 - Scale-up: Saturation</v>
      </c>
      <c r="B77" s="0" t="s">
        <v>198</v>
      </c>
      <c r="C77" s="0" t="s">
        <v>364</v>
      </c>
      <c r="D77" s="0" t="s">
        <v>30</v>
      </c>
      <c r="E77" s="0" t="str">
        <f aca="false">$B77&amp;"|"&amp;$C77&amp;"|"&amp;$D77</f>
        <v>Lilongwe District [ScR9iFKAasW]|10-14|Female</v>
      </c>
      <c r="G77" s="10" t="n">
        <v>7205</v>
      </c>
      <c r="H77" s="10" t="n">
        <v>318</v>
      </c>
      <c r="I77" s="88" t="n">
        <f aca="false">IF(SUM($H77)=0,"",0%)</f>
        <v>0</v>
      </c>
      <c r="J77" s="88"/>
      <c r="K77" s="88"/>
      <c r="L77" s="88" t="n">
        <f aca="false">1-IF(NOT(AND($D77="Female",OR($C77="10-14",$C77="15-17",$F77="Y"))),0,$J77)-IF(NOT(OR($C77="05-09",$C77="10-14")),0,$K77)</f>
        <v>1</v>
      </c>
      <c r="M77" s="88" t="n">
        <f aca="false">IF(SUM($L77)=0,"",20%)</f>
        <v>0.2</v>
      </c>
      <c r="N77" s="10" t="n">
        <f aca="false">IF(SUM($H77)=0,"",ROUND($H77*(1+$I77),0))</f>
        <v>318</v>
      </c>
      <c r="O77" s="39" t="str">
        <f aca="false">IF(OR(SUM($N77)=0,SUM($J77)=0,NOT(AND($D77="Female",$F77="Y",OR($C77="10-14",$C77="15-17")))),"",ROUND($N77*$J77,0))</f>
        <v/>
      </c>
      <c r="P77" s="39" t="str">
        <f aca="false">IF(OR(SUM($N77)=0,SUM($K77)=0,NOT(OR($C77="10-14",$C77="05-09"))),"",ROUND($N77*$K77,0))</f>
        <v/>
      </c>
      <c r="Q77" s="39" t="n">
        <f aca="false">IFERROR(1/(1/ROUND($N77*$L77*$M77,0)),"")</f>
        <v>64</v>
      </c>
      <c r="R77" s="39" t="n">
        <f aca="false">IFERROR(1/(1/(ROUND($N77*$L77,0)-$Q77)),"")</f>
        <v>254</v>
      </c>
      <c r="S77" s="88" t="n">
        <f aca="false">IF(OR($C77="18+",$C77="18-20",SUM($Q77,$R77)=0),"",100%)</f>
        <v>1</v>
      </c>
      <c r="T77" s="39" t="n">
        <f aca="false">IF(OR($C77="18+",$C77="18-20",SUM($Q77,$R77)=0),"",ROUND(SUM($Q77,$R77)*$S77,0))</f>
        <v>318</v>
      </c>
    </row>
    <row r="78" customFormat="false" ht="15" hidden="false" customHeight="false" outlineLevel="0" collapsed="false">
      <c r="A78" s="0" t="str">
        <f aca="false">INDEX(Prioritization!$D:$D,MATCH($B78,Prioritization!$A:$A,0))</f>
        <v>1 - Scale-up: Saturation</v>
      </c>
      <c r="B78" s="0" t="s">
        <v>198</v>
      </c>
      <c r="C78" s="0" t="s">
        <v>364</v>
      </c>
      <c r="D78" s="0" t="s">
        <v>48</v>
      </c>
      <c r="E78" s="0" t="str">
        <f aca="false">$B78&amp;"|"&amp;$C78&amp;"|"&amp;$D78</f>
        <v>Lilongwe District [ScR9iFKAasW]|10-14|Male</v>
      </c>
      <c r="G78" s="10" t="n">
        <v>493</v>
      </c>
      <c r="H78" s="10" t="n">
        <v>504</v>
      </c>
      <c r="I78" s="88" t="n">
        <f aca="false">IF(SUM($H78)=0,"",0%)</f>
        <v>0</v>
      </c>
      <c r="J78" s="88"/>
      <c r="K78" s="88"/>
      <c r="L78" s="88" t="n">
        <f aca="false">1-IF(NOT(AND($D78="Female",OR($C78="10-14",$C78="15-17",$F78="Y"))),0,$J78)-IF(NOT(OR($C78="05-09",$C78="10-14")),0,$K78)</f>
        <v>1</v>
      </c>
      <c r="M78" s="88" t="n">
        <f aca="false">IF(SUM($L78)=0,"",20%)</f>
        <v>0.2</v>
      </c>
      <c r="N78" s="10" t="n">
        <f aca="false">IF(SUM($H78)=0,"",ROUND($H78*(1+$I78),0))</f>
        <v>504</v>
      </c>
      <c r="O78" s="39" t="str">
        <f aca="false">IF(OR(SUM($N78)=0,SUM($J78)=0,NOT(AND($D78="Female",$F78="Y",OR($C78="10-14",$C78="15-17")))),"",ROUND($N78*$J78,0))</f>
        <v/>
      </c>
      <c r="P78" s="39" t="str">
        <f aca="false">IF(OR(SUM($N78)=0,SUM($K78)=0,NOT(OR($C78="10-14",$C78="05-09"))),"",ROUND($N78*$K78,0))</f>
        <v/>
      </c>
      <c r="Q78" s="39" t="n">
        <f aca="false">IFERROR(1/(1/ROUND($N78*$L78*$M78,0)),"")</f>
        <v>101</v>
      </c>
      <c r="R78" s="39" t="n">
        <f aca="false">IFERROR(1/(1/(ROUND($N78*$L78,0)-$Q78)),"")</f>
        <v>403</v>
      </c>
      <c r="S78" s="88" t="n">
        <f aca="false">IF(OR($C78="18+",$C78="18-20",SUM($Q78,$R78)=0),"",100%)</f>
        <v>1</v>
      </c>
      <c r="T78" s="39" t="n">
        <f aca="false">IF(OR($C78="18+",$C78="18-20",SUM($Q78,$R78)=0),"",ROUND(SUM($Q78,$R78)*$S78,0))</f>
        <v>504</v>
      </c>
    </row>
    <row r="79" customFormat="false" ht="15" hidden="false" customHeight="false" outlineLevel="0" collapsed="false">
      <c r="A79" s="0" t="str">
        <f aca="false">INDEX(Prioritization!$D:$D,MATCH($B79,Prioritization!$A:$A,0))</f>
        <v>1 - Scale-up: Saturation</v>
      </c>
      <c r="B79" s="0" t="s">
        <v>198</v>
      </c>
      <c r="C79" s="0" t="s">
        <v>812</v>
      </c>
      <c r="D79" s="0" t="s">
        <v>30</v>
      </c>
      <c r="E79" s="0" t="str">
        <f aca="false">$B79&amp;"|"&amp;$C79&amp;"|"&amp;$D79</f>
        <v>Lilongwe District [ScR9iFKAasW]|15-17|Female</v>
      </c>
      <c r="G79" s="10" t="n">
        <v>840</v>
      </c>
      <c r="H79" s="10" t="n">
        <v>266</v>
      </c>
      <c r="I79" s="88" t="n">
        <f aca="false">IF(SUM($H79)=0,"",0%)</f>
        <v>0</v>
      </c>
      <c r="J79" s="88"/>
      <c r="K79" s="88"/>
      <c r="L79" s="88" t="n">
        <f aca="false">1-IF(NOT(AND($D79="Female",OR($C79="10-14",$C79="15-17",$F79="Y"))),0,$J79)-IF(NOT(OR($C79="05-09",$C79="10-14")),0,$K79)</f>
        <v>1</v>
      </c>
      <c r="M79" s="88" t="n">
        <f aca="false">IF(SUM($L79)=0,"",20%)</f>
        <v>0.2</v>
      </c>
      <c r="N79" s="10" t="n">
        <f aca="false">IF(SUM($H79)=0,"",ROUND($H79*(1+$I79),0))</f>
        <v>266</v>
      </c>
      <c r="O79" s="39" t="str">
        <f aca="false">IF(OR(SUM($N79)=0,SUM($J79)=0,NOT(AND($D79="Female",$F79="Y",OR($C79="10-14",$C79="15-17")))),"",ROUND($N79*$J79,0))</f>
        <v/>
      </c>
      <c r="P79" s="39" t="str">
        <f aca="false">IF(OR(SUM($N79)=0,SUM($K79)=0,NOT(OR($C79="10-14",$C79="05-09"))),"",ROUND($N79*$K79,0))</f>
        <v/>
      </c>
      <c r="Q79" s="39" t="n">
        <f aca="false">IFERROR(1/(1/ROUND($N79*$L79*$M79,0)),"")</f>
        <v>53</v>
      </c>
      <c r="R79" s="39" t="n">
        <f aca="false">IFERROR(1/(1/(ROUND($N79*$L79,0)-$Q79)),"")</f>
        <v>213</v>
      </c>
      <c r="S79" s="88" t="n">
        <f aca="false">IF(OR($C79="18+",$C79="18-20",SUM($Q79,$R79)=0),"",100%)</f>
        <v>1</v>
      </c>
      <c r="T79" s="39" t="n">
        <f aca="false">IF(OR($C79="18+",$C79="18-20",SUM($Q79,$R79)=0),"",ROUND(SUM($Q79,$R79)*$S79,0))</f>
        <v>266</v>
      </c>
    </row>
    <row r="80" customFormat="false" ht="15" hidden="false" customHeight="false" outlineLevel="0" collapsed="false">
      <c r="A80" s="0" t="str">
        <f aca="false">INDEX(Prioritization!$D:$D,MATCH($B80,Prioritization!$A:$A,0))</f>
        <v>1 - Scale-up: Saturation</v>
      </c>
      <c r="B80" s="0" t="s">
        <v>198</v>
      </c>
      <c r="C80" s="0" t="s">
        <v>812</v>
      </c>
      <c r="D80" s="0" t="s">
        <v>48</v>
      </c>
      <c r="E80" s="0" t="str">
        <f aca="false">$B80&amp;"|"&amp;$C80&amp;"|"&amp;$D80</f>
        <v>Lilongwe District [ScR9iFKAasW]|15-17|Male</v>
      </c>
      <c r="G80" s="10" t="n">
        <v>452</v>
      </c>
      <c r="H80" s="10" t="n">
        <v>205</v>
      </c>
      <c r="I80" s="88" t="n">
        <f aca="false">IF(SUM($H80)=0,"",0%)</f>
        <v>0</v>
      </c>
      <c r="J80" s="88"/>
      <c r="K80" s="88"/>
      <c r="L80" s="88" t="n">
        <f aca="false">1-IF(NOT(AND($D80="Female",OR($C80="10-14",$C80="15-17",$F80="Y"))),0,$J80)-IF(NOT(OR($C80="05-09",$C80="10-14")),0,$K80)</f>
        <v>1</v>
      </c>
      <c r="M80" s="88" t="n">
        <f aca="false">IF(SUM($L80)=0,"",20%)</f>
        <v>0.2</v>
      </c>
      <c r="N80" s="10" t="n">
        <f aca="false">IF(SUM($H80)=0,"",ROUND($H80*(1+$I80),0))</f>
        <v>205</v>
      </c>
      <c r="O80" s="39" t="str">
        <f aca="false">IF(OR(SUM($N80)=0,SUM($J80)=0,NOT(AND($D80="Female",$F80="Y",OR($C80="10-14",$C80="15-17")))),"",ROUND($N80*$J80,0))</f>
        <v/>
      </c>
      <c r="P80" s="39" t="str">
        <f aca="false">IF(OR(SUM($N80)=0,SUM($K80)=0,NOT(OR($C80="10-14",$C80="05-09"))),"",ROUND($N80*$K80,0))</f>
        <v/>
      </c>
      <c r="Q80" s="39" t="n">
        <f aca="false">IFERROR(1/(1/ROUND($N80*$L80*$M80,0)),"")</f>
        <v>41</v>
      </c>
      <c r="R80" s="39" t="n">
        <f aca="false">IFERROR(1/(1/(ROUND($N80*$L80,0)-$Q80)),"")</f>
        <v>164</v>
      </c>
      <c r="S80" s="88" t="n">
        <f aca="false">IF(OR($C80="18+",$C80="18-20",SUM($Q80,$R80)=0),"",100%)</f>
        <v>1</v>
      </c>
      <c r="T80" s="39" t="n">
        <f aca="false">IF(OR($C80="18+",$C80="18-20",SUM($Q80,$R80)=0),"",ROUND(SUM($Q80,$R80)*$S80,0))</f>
        <v>205</v>
      </c>
    </row>
    <row r="81" customFormat="false" ht="15" hidden="false" customHeight="false" outlineLevel="0" collapsed="false">
      <c r="A81" s="0" t="str">
        <f aca="false">INDEX(Prioritization!$D:$D,MATCH($B81,Prioritization!$A:$A,0))</f>
        <v>1 - Scale-up: Saturation</v>
      </c>
      <c r="B81" s="0" t="s">
        <v>198</v>
      </c>
      <c r="C81" s="0" t="s">
        <v>813</v>
      </c>
      <c r="D81" s="0" t="s">
        <v>30</v>
      </c>
      <c r="E81" s="0" t="str">
        <f aca="false">$B81&amp;"|"&amp;$C81&amp;"|"&amp;$D81</f>
        <v>Lilongwe District [ScR9iFKAasW]|18-20|Female</v>
      </c>
      <c r="G81" s="10"/>
      <c r="H81" s="10" t="n">
        <v>9</v>
      </c>
      <c r="I81" s="88" t="n">
        <f aca="false">IF(SUM($H81)=0,"",0%)</f>
        <v>0</v>
      </c>
      <c r="J81" s="88"/>
      <c r="K81" s="88"/>
      <c r="L81" s="88" t="n">
        <f aca="false">1-IF(NOT(AND($D81="Female",OR($C81="10-14",$C81="15-17",$F81="Y"))),0,$J81)-IF(NOT(OR($C81="05-09",$C81="10-14")),0,$K81)</f>
        <v>1</v>
      </c>
      <c r="M81" s="88" t="n">
        <f aca="false">IF(SUM($L81)=0,"",20%)</f>
        <v>0.2</v>
      </c>
      <c r="N81" s="10" t="n">
        <f aca="false">IF(SUM($H81)=0,"",ROUND($H81*(1+$I81),0))</f>
        <v>9</v>
      </c>
      <c r="O81" s="39" t="str">
        <f aca="false">IF(OR(SUM($N81)=0,SUM($J81)=0,NOT(AND($D81="Female",$F81="Y",OR($C81="10-14",$C81="15-17")))),"",ROUND($N81*$J81,0))</f>
        <v/>
      </c>
      <c r="P81" s="39" t="str">
        <f aca="false">IF(OR(SUM($N81)=0,SUM($K81)=0,NOT(OR($C81="10-14",$C81="05-09"))),"",ROUND($N81*$K81,0))</f>
        <v/>
      </c>
      <c r="Q81" s="39" t="n">
        <f aca="false">IFERROR(1/(1/ROUND($N81*$L81*$M81,0)),"")</f>
        <v>2</v>
      </c>
      <c r="R81" s="39" t="n">
        <f aca="false">IFERROR(1/(1/(ROUND($N81*$L81,0)-$Q81)),"")</f>
        <v>7</v>
      </c>
      <c r="S81" s="88" t="str">
        <f aca="false">IF(OR($C81="18+",$C81="18-20",SUM($Q81,$R81)=0),"",100%)</f>
        <v/>
      </c>
      <c r="T81" s="39" t="str">
        <f aca="false">IF(OR($C81="18+",$C81="18-20",SUM($Q81,$R81)=0),"",ROUND(SUM($Q81,$R81)*$S81,0))</f>
        <v/>
      </c>
    </row>
    <row r="82" customFormat="false" ht="15" hidden="false" customHeight="false" outlineLevel="0" collapsed="false">
      <c r="A82" s="0" t="str">
        <f aca="false">INDEX(Prioritization!$D:$D,MATCH($B82,Prioritization!$A:$A,0))</f>
        <v>1 - Scale-up: Saturation</v>
      </c>
      <c r="B82" s="0" t="s">
        <v>198</v>
      </c>
      <c r="C82" s="0" t="s">
        <v>813</v>
      </c>
      <c r="D82" s="0" t="s">
        <v>48</v>
      </c>
      <c r="E82" s="0" t="str">
        <f aca="false">$B82&amp;"|"&amp;$C82&amp;"|"&amp;$D82</f>
        <v>Lilongwe District [ScR9iFKAasW]|18-20|Male</v>
      </c>
      <c r="G82" s="10"/>
      <c r="H82" s="10" t="n">
        <v>5</v>
      </c>
      <c r="I82" s="88" t="n">
        <f aca="false">IF(SUM($H82)=0,"",0%)</f>
        <v>0</v>
      </c>
      <c r="J82" s="88"/>
      <c r="K82" s="88"/>
      <c r="L82" s="88" t="n">
        <f aca="false">1-IF(NOT(AND($D82="Female",OR($C82="10-14",$C82="15-17",$F82="Y"))),0,$J82)-IF(NOT(OR($C82="05-09",$C82="10-14")),0,$K82)</f>
        <v>1</v>
      </c>
      <c r="M82" s="88" t="n">
        <f aca="false">IF(SUM($L82)=0,"",20%)</f>
        <v>0.2</v>
      </c>
      <c r="N82" s="10" t="n">
        <f aca="false">IF(SUM($H82)=0,"",ROUND($H82*(1+$I82),0))</f>
        <v>5</v>
      </c>
      <c r="O82" s="39" t="str">
        <f aca="false">IF(OR(SUM($N82)=0,SUM($J82)=0,NOT(AND($D82="Female",$F82="Y",OR($C82="10-14",$C82="15-17")))),"",ROUND($N82*$J82,0))</f>
        <v/>
      </c>
      <c r="P82" s="39" t="str">
        <f aca="false">IF(OR(SUM($N82)=0,SUM($K82)=0,NOT(OR($C82="10-14",$C82="05-09"))),"",ROUND($N82*$K82,0))</f>
        <v/>
      </c>
      <c r="Q82" s="39" t="n">
        <f aca="false">IFERROR(1/(1/ROUND($N82*$L82*$M82,0)),"")</f>
        <v>1</v>
      </c>
      <c r="R82" s="39" t="n">
        <f aca="false">IFERROR(1/(1/(ROUND($N82*$L82,0)-$Q82)),"")</f>
        <v>4</v>
      </c>
      <c r="S82" s="88" t="str">
        <f aca="false">IF(OR($C82="18+",$C82="18-20",SUM($Q82,$R82)=0),"",100%)</f>
        <v/>
      </c>
      <c r="T82" s="39" t="str">
        <f aca="false">IF(OR($C82="18+",$C82="18-20",SUM($Q82,$R82)=0),"",ROUND(SUM($Q82,$R82)*$S82,0))</f>
        <v/>
      </c>
    </row>
    <row r="83" customFormat="false" ht="15" hidden="false" customHeight="false" outlineLevel="0" collapsed="false">
      <c r="A83" s="0" t="str">
        <f aca="false">INDEX(Prioritization!$D:$D,MATCH($B83,Prioritization!$A:$A,0))</f>
        <v>1 - Scale-up: Saturation</v>
      </c>
      <c r="B83" s="0" t="s">
        <v>198</v>
      </c>
      <c r="C83" s="0" t="s">
        <v>814</v>
      </c>
      <c r="D83" s="0" t="s">
        <v>30</v>
      </c>
      <c r="E83" s="0" t="str">
        <f aca="false">$B83&amp;"|"&amp;$C83&amp;"|"&amp;$D83</f>
        <v>Lilongwe District [ScR9iFKAasW]|18+|Female</v>
      </c>
      <c r="G83" s="10" t="n">
        <v>453</v>
      </c>
      <c r="H83" s="10" t="n">
        <v>161</v>
      </c>
      <c r="I83" s="88" t="n">
        <f aca="false">IF(SUM($H83)=0,"",0%)</f>
        <v>0</v>
      </c>
      <c r="J83" s="88"/>
      <c r="K83" s="88"/>
      <c r="L83" s="88" t="n">
        <f aca="false">1-IF(NOT(AND($D83="Female",OR($C83="10-14",$C83="15-17",$F83="Y"))),0,$J83)-IF(NOT(OR($C83="05-09",$C83="10-14")),0,$K83)</f>
        <v>1</v>
      </c>
      <c r="M83" s="88" t="n">
        <f aca="false">IF(SUM($L83)=0,"",20%)</f>
        <v>0.2</v>
      </c>
      <c r="N83" s="10" t="n">
        <f aca="false">IF(SUM($H83)=0,"",ROUND($H83*(1+$I83),0))</f>
        <v>161</v>
      </c>
      <c r="O83" s="39" t="str">
        <f aca="false">IF(OR(SUM($N83)=0,SUM($J83)=0,NOT(AND($D83="Female",$F83="Y",OR($C83="10-14",$C83="15-17")))),"",ROUND($N83*$J83,0))</f>
        <v/>
      </c>
      <c r="P83" s="39" t="str">
        <f aca="false">IF(OR(SUM($N83)=0,SUM($K83)=0,NOT(OR($C83="10-14",$C83="05-09"))),"",ROUND($N83*$K83,0))</f>
        <v/>
      </c>
      <c r="Q83" s="39" t="n">
        <f aca="false">IFERROR(1/(1/ROUND($N83*$L83*$M83,0)),"")</f>
        <v>32</v>
      </c>
      <c r="R83" s="39" t="n">
        <f aca="false">IFERROR(1/(1/(ROUND($N83*$L83,0)-$Q83)),"")</f>
        <v>129</v>
      </c>
      <c r="S83" s="88" t="str">
        <f aca="false">IF(OR($C83="18+",$C83="18-20",SUM($Q83,$R83)=0),"",100%)</f>
        <v/>
      </c>
      <c r="T83" s="39" t="str">
        <f aca="false">IF(OR($C83="18+",$C83="18-20",SUM($Q83,$R83)=0),"",ROUND(SUM($Q83,$R83)*$S83,0))</f>
        <v/>
      </c>
    </row>
    <row r="84" customFormat="false" ht="15" hidden="false" customHeight="false" outlineLevel="0" collapsed="false">
      <c r="A84" s="0" t="str">
        <f aca="false">INDEX(Prioritization!$D:$D,MATCH($B84,Prioritization!$A:$A,0))</f>
        <v>1 - Scale-up: Saturation</v>
      </c>
      <c r="B84" s="0" t="s">
        <v>198</v>
      </c>
      <c r="C84" s="0" t="s">
        <v>814</v>
      </c>
      <c r="D84" s="0" t="s">
        <v>48</v>
      </c>
      <c r="E84" s="0" t="str">
        <f aca="false">$B84&amp;"|"&amp;$C84&amp;"|"&amp;$D84</f>
        <v>Lilongwe District [ScR9iFKAasW]|18+|Male</v>
      </c>
      <c r="G84" s="10" t="n">
        <v>78</v>
      </c>
      <c r="H84" s="10" t="n">
        <v>65</v>
      </c>
      <c r="I84" s="88" t="n">
        <f aca="false">IF(SUM($H84)=0,"",0%)</f>
        <v>0</v>
      </c>
      <c r="J84" s="88"/>
      <c r="K84" s="88"/>
      <c r="L84" s="88" t="n">
        <f aca="false">1-IF(NOT(AND($D84="Female",OR($C84="10-14",$C84="15-17",$F84="Y"))),0,$J84)-IF(NOT(OR($C84="05-09",$C84="10-14")),0,$K84)</f>
        <v>1</v>
      </c>
      <c r="M84" s="88" t="n">
        <f aca="false">IF(SUM($L84)=0,"",20%)</f>
        <v>0.2</v>
      </c>
      <c r="N84" s="10" t="n">
        <f aca="false">IF(SUM($H84)=0,"",ROUND($H84*(1+$I84),0))</f>
        <v>65</v>
      </c>
      <c r="O84" s="39" t="str">
        <f aca="false">IF(OR(SUM($N84)=0,SUM($J84)=0,NOT(AND($D84="Female",$F84="Y",OR($C84="10-14",$C84="15-17")))),"",ROUND($N84*$J84,0))</f>
        <v/>
      </c>
      <c r="P84" s="39" t="str">
        <f aca="false">IF(OR(SUM($N84)=0,SUM($K84)=0,NOT(OR($C84="10-14",$C84="05-09"))),"",ROUND($N84*$K84,0))</f>
        <v/>
      </c>
      <c r="Q84" s="39" t="n">
        <f aca="false">IFERROR(1/(1/ROUND($N84*$L84*$M84,0)),"")</f>
        <v>13</v>
      </c>
      <c r="R84" s="39" t="n">
        <f aca="false">IFERROR(1/(1/(ROUND($N84*$L84,0)-$Q84)),"")</f>
        <v>52</v>
      </c>
      <c r="S84" s="88" t="str">
        <f aca="false">IF(OR($C84="18+",$C84="18-20",SUM($Q84,$R84)=0),"",100%)</f>
        <v/>
      </c>
      <c r="T84" s="39" t="str">
        <f aca="false">IF(OR($C84="18+",$C84="18-20",SUM($Q84,$R84)=0),"",ROUND(SUM($Q84,$R84)*$S84,0))</f>
        <v/>
      </c>
    </row>
    <row r="85" customFormat="false" ht="15" hidden="false" customHeight="false" outlineLevel="0" collapsed="false">
      <c r="A85" s="0" t="str">
        <f aca="false">INDEX(Prioritization!$D:$D,MATCH($B85,Prioritization!$A:$A,0))</f>
        <v>1 - Scale-up: Saturation</v>
      </c>
      <c r="B85" s="0" t="s">
        <v>199</v>
      </c>
      <c r="C85" s="0" t="s">
        <v>316</v>
      </c>
      <c r="D85" s="0" t="s">
        <v>30</v>
      </c>
      <c r="E85" s="0" t="str">
        <f aca="false">$B85&amp;"|"&amp;$C85&amp;"|"&amp;$D85</f>
        <v>Mchinji District [kxuuIFpOXyO]|&lt;01|Female</v>
      </c>
      <c r="G85" s="10"/>
      <c r="H85" s="10"/>
      <c r="I85" s="88" t="str">
        <f aca="false">IF(SUM($H85)=0,"",0%)</f>
        <v/>
      </c>
      <c r="J85" s="88"/>
      <c r="K85" s="88"/>
      <c r="L85" s="88" t="n">
        <f aca="false">1-IF(NOT(AND($D85="Female",OR($C85="10-14",$C85="15-17",$F85="Y"))),0,$J85)-IF(NOT(OR($C85="05-09",$C85="10-14")),0,$K85)</f>
        <v>1</v>
      </c>
      <c r="M85" s="88" t="n">
        <f aca="false">IF(SUM($L85)=0,"",20%)</f>
        <v>0.2</v>
      </c>
      <c r="N85" s="10" t="str">
        <f aca="false">IF(SUM($H85)=0,"",ROUND($H85*(1+$I85),0))</f>
        <v/>
      </c>
      <c r="O85" s="39" t="str">
        <f aca="false">IF(OR(SUM($N85)=0,SUM($J85)=0,NOT(AND($D85="Female",$F85="Y",OR($C85="10-14",$C85="15-17")))),"",ROUND($N85*$J85,0))</f>
        <v/>
      </c>
      <c r="P85" s="39" t="str">
        <f aca="false">IF(OR(SUM($N85)=0,SUM($K85)=0,NOT(OR($C85="10-14",$C85="05-09"))),"",ROUND($N85*$K85,0))</f>
        <v/>
      </c>
      <c r="Q85" s="39" t="str">
        <f aca="false">IFERROR(1/(1/ROUND($N85*$L85*$M85,0)),"")</f>
        <v/>
      </c>
      <c r="R85" s="39" t="str">
        <f aca="false">IFERROR(1/(1/(ROUND($N85*$L85,0)-$Q85)),"")</f>
        <v/>
      </c>
      <c r="S85" s="88" t="str">
        <f aca="false">IF(OR($C85="18+",$C85="18-20",SUM($Q85,$R85)=0),"",100%)</f>
        <v/>
      </c>
      <c r="T85" s="39" t="str">
        <f aca="false">IF(OR($C85="18+",$C85="18-20",SUM($Q85,$R85)=0),"",ROUND(SUM($Q85,$R85)*$S85,0))</f>
        <v/>
      </c>
    </row>
    <row r="86" customFormat="false" ht="15" hidden="false" customHeight="false" outlineLevel="0" collapsed="false">
      <c r="A86" s="0" t="str">
        <f aca="false">INDEX(Prioritization!$D:$D,MATCH($B86,Prioritization!$A:$A,0))</f>
        <v>1 - Scale-up: Saturation</v>
      </c>
      <c r="B86" s="0" t="s">
        <v>199</v>
      </c>
      <c r="C86" s="0" t="s">
        <v>316</v>
      </c>
      <c r="D86" s="0" t="s">
        <v>48</v>
      </c>
      <c r="E86" s="0" t="str">
        <f aca="false">$B86&amp;"|"&amp;$C86&amp;"|"&amp;$D86</f>
        <v>Mchinji District [kxuuIFpOXyO]|&lt;01|Male</v>
      </c>
      <c r="G86" s="10"/>
      <c r="H86" s="10"/>
      <c r="I86" s="88" t="str">
        <f aca="false">IF(SUM($H86)=0,"",0%)</f>
        <v/>
      </c>
      <c r="J86" s="88"/>
      <c r="K86" s="88"/>
      <c r="L86" s="88" t="n">
        <f aca="false">1-IF(NOT(AND($D86="Female",OR($C86="10-14",$C86="15-17",$F86="Y"))),0,$J86)-IF(NOT(OR($C86="05-09",$C86="10-14")),0,$K86)</f>
        <v>1</v>
      </c>
      <c r="M86" s="88" t="n">
        <f aca="false">IF(SUM($L86)=0,"",20%)</f>
        <v>0.2</v>
      </c>
      <c r="N86" s="10" t="str">
        <f aca="false">IF(SUM($H86)=0,"",ROUND($H86*(1+$I86),0))</f>
        <v/>
      </c>
      <c r="O86" s="39" t="str">
        <f aca="false">IF(OR(SUM($N86)=0,SUM($J86)=0,NOT(AND($D86="Female",$F86="Y",OR($C86="10-14",$C86="15-17")))),"",ROUND($N86*$J86,0))</f>
        <v/>
      </c>
      <c r="P86" s="39" t="str">
        <f aca="false">IF(OR(SUM($N86)=0,SUM($K86)=0,NOT(OR($C86="10-14",$C86="05-09"))),"",ROUND($N86*$K86,0))</f>
        <v/>
      </c>
      <c r="Q86" s="39" t="str">
        <f aca="false">IFERROR(1/(1/ROUND($N86*$L86*$M86,0)),"")</f>
        <v/>
      </c>
      <c r="R86" s="39" t="str">
        <f aca="false">IFERROR(1/(1/(ROUND($N86*$L86,0)-$Q86)),"")</f>
        <v/>
      </c>
      <c r="S86" s="88" t="str">
        <f aca="false">IF(OR($C86="18+",$C86="18-20",SUM($Q86,$R86)=0),"",100%)</f>
        <v/>
      </c>
      <c r="T86" s="39" t="str">
        <f aca="false">IF(OR($C86="18+",$C86="18-20",SUM($Q86,$R86)=0),"",ROUND(SUM($Q86,$R86)*$S86,0))</f>
        <v/>
      </c>
    </row>
    <row r="87" customFormat="false" ht="15" hidden="false" customHeight="false" outlineLevel="0" collapsed="false">
      <c r="A87" s="0" t="str">
        <f aca="false">INDEX(Prioritization!$D:$D,MATCH($B87,Prioritization!$A:$A,0))</f>
        <v>1 - Scale-up: Saturation</v>
      </c>
      <c r="B87" s="0" t="s">
        <v>199</v>
      </c>
      <c r="C87" s="0" t="s">
        <v>810</v>
      </c>
      <c r="D87" s="0" t="s">
        <v>30</v>
      </c>
      <c r="E87" s="0" t="str">
        <f aca="false">$B87&amp;"|"&amp;$C87&amp;"|"&amp;$D87</f>
        <v>Mchinji District [kxuuIFpOXyO]|01-04|Female</v>
      </c>
      <c r="G87" s="10"/>
      <c r="H87" s="10"/>
      <c r="I87" s="88" t="str">
        <f aca="false">IF(SUM($H87)=0,"",0%)</f>
        <v/>
      </c>
      <c r="J87" s="88"/>
      <c r="K87" s="88"/>
      <c r="L87" s="88" t="n">
        <f aca="false">1-IF(NOT(AND($D87="Female",OR($C87="10-14",$C87="15-17",$F87="Y"))),0,$J87)-IF(NOT(OR($C87="05-09",$C87="10-14")),0,$K87)</f>
        <v>1</v>
      </c>
      <c r="M87" s="88" t="n">
        <f aca="false">IF(SUM($L87)=0,"",20%)</f>
        <v>0.2</v>
      </c>
      <c r="N87" s="10" t="str">
        <f aca="false">IF(SUM($H87)=0,"",ROUND($H87*(1+$I87),0))</f>
        <v/>
      </c>
      <c r="O87" s="39" t="str">
        <f aca="false">IF(OR(SUM($N87)=0,SUM($J87)=0,NOT(AND($D87="Female",$F87="Y",OR($C87="10-14",$C87="15-17")))),"",ROUND($N87*$J87,0))</f>
        <v/>
      </c>
      <c r="P87" s="39" t="str">
        <f aca="false">IF(OR(SUM($N87)=0,SUM($K87)=0,NOT(OR($C87="10-14",$C87="05-09"))),"",ROUND($N87*$K87,0))</f>
        <v/>
      </c>
      <c r="Q87" s="39" t="str">
        <f aca="false">IFERROR(1/(1/ROUND($N87*$L87*$M87,0)),"")</f>
        <v/>
      </c>
      <c r="R87" s="39" t="str">
        <f aca="false">IFERROR(1/(1/(ROUND($N87*$L87,0)-$Q87)),"")</f>
        <v/>
      </c>
      <c r="S87" s="88" t="str">
        <f aca="false">IF(OR($C87="18+",$C87="18-20",SUM($Q87,$R87)=0),"",100%)</f>
        <v/>
      </c>
      <c r="T87" s="39" t="str">
        <f aca="false">IF(OR($C87="18+",$C87="18-20",SUM($Q87,$R87)=0),"",ROUND(SUM($Q87,$R87)*$S87,0))</f>
        <v/>
      </c>
    </row>
    <row r="88" customFormat="false" ht="15" hidden="false" customHeight="false" outlineLevel="0" collapsed="false">
      <c r="A88" s="0" t="str">
        <f aca="false">INDEX(Prioritization!$D:$D,MATCH($B88,Prioritization!$A:$A,0))</f>
        <v>1 - Scale-up: Saturation</v>
      </c>
      <c r="B88" s="0" t="s">
        <v>199</v>
      </c>
      <c r="C88" s="0" t="s">
        <v>810</v>
      </c>
      <c r="D88" s="0" t="s">
        <v>48</v>
      </c>
      <c r="E88" s="0" t="str">
        <f aca="false">$B88&amp;"|"&amp;$C88&amp;"|"&amp;$D88</f>
        <v>Mchinji District [kxuuIFpOXyO]|01-04|Male</v>
      </c>
      <c r="G88" s="10"/>
      <c r="H88" s="10"/>
      <c r="I88" s="88" t="str">
        <f aca="false">IF(SUM($H88)=0,"",0%)</f>
        <v/>
      </c>
      <c r="J88" s="88"/>
      <c r="K88" s="88"/>
      <c r="L88" s="88" t="n">
        <f aca="false">1-IF(NOT(AND($D88="Female",OR($C88="10-14",$C88="15-17",$F88="Y"))),0,$J88)-IF(NOT(OR($C88="05-09",$C88="10-14")),0,$K88)</f>
        <v>1</v>
      </c>
      <c r="M88" s="88" t="n">
        <f aca="false">IF(SUM($L88)=0,"",20%)</f>
        <v>0.2</v>
      </c>
      <c r="N88" s="10" t="str">
        <f aca="false">IF(SUM($H88)=0,"",ROUND($H88*(1+$I88),0))</f>
        <v/>
      </c>
      <c r="O88" s="39" t="str">
        <f aca="false">IF(OR(SUM($N88)=0,SUM($J88)=0,NOT(AND($D88="Female",$F88="Y",OR($C88="10-14",$C88="15-17")))),"",ROUND($N88*$J88,0))</f>
        <v/>
      </c>
      <c r="P88" s="39" t="str">
        <f aca="false">IF(OR(SUM($N88)=0,SUM($K88)=0,NOT(OR($C88="10-14",$C88="05-09"))),"",ROUND($N88*$K88,0))</f>
        <v/>
      </c>
      <c r="Q88" s="39" t="str">
        <f aca="false">IFERROR(1/(1/ROUND($N88*$L88*$M88,0)),"")</f>
        <v/>
      </c>
      <c r="R88" s="39" t="str">
        <f aca="false">IFERROR(1/(1/(ROUND($N88*$L88,0)-$Q88)),"")</f>
        <v/>
      </c>
      <c r="S88" s="88" t="str">
        <f aca="false">IF(OR($C88="18+",$C88="18-20",SUM($Q88,$R88)=0),"",100%)</f>
        <v/>
      </c>
      <c r="T88" s="39" t="str">
        <f aca="false">IF(OR($C88="18+",$C88="18-20",SUM($Q88,$R88)=0),"",ROUND(SUM($Q88,$R88)*$S88,0))</f>
        <v/>
      </c>
    </row>
    <row r="89" customFormat="false" ht="15" hidden="false" customHeight="false" outlineLevel="0" collapsed="false">
      <c r="A89" s="0" t="str">
        <f aca="false">INDEX(Prioritization!$D:$D,MATCH($B89,Prioritization!$A:$A,0))</f>
        <v>1 - Scale-up: Saturation</v>
      </c>
      <c r="B89" s="0" t="s">
        <v>199</v>
      </c>
      <c r="C89" s="0" t="s">
        <v>811</v>
      </c>
      <c r="D89" s="0" t="s">
        <v>30</v>
      </c>
      <c r="E89" s="0" t="str">
        <f aca="false">$B89&amp;"|"&amp;$C89&amp;"|"&amp;$D89</f>
        <v>Mchinji District [kxuuIFpOXyO]|05-09|Female</v>
      </c>
      <c r="G89" s="10"/>
      <c r="H89" s="10"/>
      <c r="I89" s="88" t="str">
        <f aca="false">IF(SUM($H89)=0,"",0%)</f>
        <v/>
      </c>
      <c r="J89" s="88"/>
      <c r="K89" s="88"/>
      <c r="L89" s="88" t="n">
        <f aca="false">1-IF(NOT(AND($D89="Female",OR($C89="10-14",$C89="15-17",$F89="Y"))),0,$J89)-IF(NOT(OR($C89="05-09",$C89="10-14")),0,$K89)</f>
        <v>1</v>
      </c>
      <c r="M89" s="88" t="n">
        <f aca="false">IF(SUM($L89)=0,"",20%)</f>
        <v>0.2</v>
      </c>
      <c r="N89" s="10" t="str">
        <f aca="false">IF(SUM($H89)=0,"",ROUND($H89*(1+$I89),0))</f>
        <v/>
      </c>
      <c r="O89" s="39" t="str">
        <f aca="false">IF(OR(SUM($N89)=0,SUM($J89)=0,NOT(AND($D89="Female",$F89="Y",OR($C89="10-14",$C89="15-17")))),"",ROUND($N89*$J89,0))</f>
        <v/>
      </c>
      <c r="P89" s="39" t="str">
        <f aca="false">IF(OR(SUM($N89)=0,SUM($K89)=0,NOT(OR($C89="10-14",$C89="05-09"))),"",ROUND($N89*$K89,0))</f>
        <v/>
      </c>
      <c r="Q89" s="39" t="str">
        <f aca="false">IFERROR(1/(1/ROUND($N89*$L89*$M89,0)),"")</f>
        <v/>
      </c>
      <c r="R89" s="39" t="str">
        <f aca="false">IFERROR(1/(1/(ROUND($N89*$L89,0)-$Q89)),"")</f>
        <v/>
      </c>
      <c r="S89" s="88" t="str">
        <f aca="false">IF(OR($C89="18+",$C89="18-20",SUM($Q89,$R89)=0),"",100%)</f>
        <v/>
      </c>
      <c r="T89" s="39" t="str">
        <f aca="false">IF(OR($C89="18+",$C89="18-20",SUM($Q89,$R89)=0),"",ROUND(SUM($Q89,$R89)*$S89,0))</f>
        <v/>
      </c>
    </row>
    <row r="90" customFormat="false" ht="15" hidden="false" customHeight="false" outlineLevel="0" collapsed="false">
      <c r="A90" s="0" t="str">
        <f aca="false">INDEX(Prioritization!$D:$D,MATCH($B90,Prioritization!$A:$A,0))</f>
        <v>1 - Scale-up: Saturation</v>
      </c>
      <c r="B90" s="0" t="s">
        <v>199</v>
      </c>
      <c r="C90" s="0" t="s">
        <v>811</v>
      </c>
      <c r="D90" s="0" t="s">
        <v>48</v>
      </c>
      <c r="E90" s="0" t="str">
        <f aca="false">$B90&amp;"|"&amp;$C90&amp;"|"&amp;$D90</f>
        <v>Mchinji District [kxuuIFpOXyO]|05-09|Male</v>
      </c>
      <c r="G90" s="10"/>
      <c r="H90" s="10"/>
      <c r="I90" s="88" t="str">
        <f aca="false">IF(SUM($H90)=0,"",0%)</f>
        <v/>
      </c>
      <c r="J90" s="88"/>
      <c r="K90" s="88"/>
      <c r="L90" s="88" t="n">
        <f aca="false">1-IF(NOT(AND($D90="Female",OR($C90="10-14",$C90="15-17",$F90="Y"))),0,$J90)-IF(NOT(OR($C90="05-09",$C90="10-14")),0,$K90)</f>
        <v>1</v>
      </c>
      <c r="M90" s="88" t="n">
        <f aca="false">IF(SUM($L90)=0,"",20%)</f>
        <v>0.2</v>
      </c>
      <c r="N90" s="10" t="str">
        <f aca="false">IF(SUM($H90)=0,"",ROUND($H90*(1+$I90),0))</f>
        <v/>
      </c>
      <c r="O90" s="39" t="str">
        <f aca="false">IF(OR(SUM($N90)=0,SUM($J90)=0,NOT(AND($D90="Female",$F90="Y",OR($C90="10-14",$C90="15-17")))),"",ROUND($N90*$J90,0))</f>
        <v/>
      </c>
      <c r="P90" s="39" t="str">
        <f aca="false">IF(OR(SUM($N90)=0,SUM($K90)=0,NOT(OR($C90="10-14",$C90="05-09"))),"",ROUND($N90*$K90,0))</f>
        <v/>
      </c>
      <c r="Q90" s="39" t="str">
        <f aca="false">IFERROR(1/(1/ROUND($N90*$L90*$M90,0)),"")</f>
        <v/>
      </c>
      <c r="R90" s="39" t="str">
        <f aca="false">IFERROR(1/(1/(ROUND($N90*$L90,0)-$Q90)),"")</f>
        <v/>
      </c>
      <c r="S90" s="88" t="str">
        <f aca="false">IF(OR($C90="18+",$C90="18-20",SUM($Q90,$R90)=0),"",100%)</f>
        <v/>
      </c>
      <c r="T90" s="39" t="str">
        <f aca="false">IF(OR($C90="18+",$C90="18-20",SUM($Q90,$R90)=0),"",ROUND(SUM($Q90,$R90)*$S90,0))</f>
        <v/>
      </c>
    </row>
    <row r="91" customFormat="false" ht="15" hidden="false" customHeight="false" outlineLevel="0" collapsed="false">
      <c r="A91" s="0" t="str">
        <f aca="false">INDEX(Prioritization!$D:$D,MATCH($B91,Prioritization!$A:$A,0))</f>
        <v>1 - Scale-up: Saturation</v>
      </c>
      <c r="B91" s="0" t="s">
        <v>199</v>
      </c>
      <c r="C91" s="0" t="s">
        <v>364</v>
      </c>
      <c r="D91" s="0" t="s">
        <v>30</v>
      </c>
      <c r="E91" s="0" t="str">
        <f aca="false">$B91&amp;"|"&amp;$C91&amp;"|"&amp;$D91</f>
        <v>Mchinji District [kxuuIFpOXyO]|10-14|Female</v>
      </c>
      <c r="G91" s="10" t="n">
        <v>5</v>
      </c>
      <c r="H91" s="10"/>
      <c r="I91" s="88" t="str">
        <f aca="false">IF(SUM($H91)=0,"",0%)</f>
        <v/>
      </c>
      <c r="J91" s="88"/>
      <c r="K91" s="88"/>
      <c r="L91" s="88" t="n">
        <f aca="false">1-IF(NOT(AND($D91="Female",OR($C91="10-14",$C91="15-17",$F91="Y"))),0,$J91)-IF(NOT(OR($C91="05-09",$C91="10-14")),0,$K91)</f>
        <v>1</v>
      </c>
      <c r="M91" s="88" t="n">
        <f aca="false">IF(SUM($L91)=0,"",20%)</f>
        <v>0.2</v>
      </c>
      <c r="N91" s="10" t="str">
        <f aca="false">IF(SUM($H91)=0,"",ROUND($H91*(1+$I91),0))</f>
        <v/>
      </c>
      <c r="O91" s="39" t="str">
        <f aca="false">IF(OR(SUM($N91)=0,SUM($J91)=0,NOT(AND($D91="Female",$F91="Y",OR($C91="10-14",$C91="15-17")))),"",ROUND($N91*$J91,0))</f>
        <v/>
      </c>
      <c r="P91" s="39" t="str">
        <f aca="false">IF(OR(SUM($N91)=0,SUM($K91)=0,NOT(OR($C91="10-14",$C91="05-09"))),"",ROUND($N91*$K91,0))</f>
        <v/>
      </c>
      <c r="Q91" s="39" t="str">
        <f aca="false">IFERROR(1/(1/ROUND($N91*$L91*$M91,0)),"")</f>
        <v/>
      </c>
      <c r="R91" s="39" t="str">
        <f aca="false">IFERROR(1/(1/(ROUND($N91*$L91,0)-$Q91)),"")</f>
        <v/>
      </c>
      <c r="S91" s="88" t="str">
        <f aca="false">IF(OR($C91="18+",$C91="18-20",SUM($Q91,$R91)=0),"",100%)</f>
        <v/>
      </c>
      <c r="T91" s="39" t="str">
        <f aca="false">IF(OR($C91="18+",$C91="18-20",SUM($Q91,$R91)=0),"",ROUND(SUM($Q91,$R91)*$S91,0))</f>
        <v/>
      </c>
    </row>
    <row r="92" customFormat="false" ht="15" hidden="false" customHeight="false" outlineLevel="0" collapsed="false">
      <c r="A92" s="0" t="str">
        <f aca="false">INDEX(Prioritization!$D:$D,MATCH($B92,Prioritization!$A:$A,0))</f>
        <v>1 - Scale-up: Saturation</v>
      </c>
      <c r="B92" s="0" t="s">
        <v>199</v>
      </c>
      <c r="C92" s="0" t="s">
        <v>364</v>
      </c>
      <c r="D92" s="0" t="s">
        <v>48</v>
      </c>
      <c r="E92" s="0" t="str">
        <f aca="false">$B92&amp;"|"&amp;$C92&amp;"|"&amp;$D92</f>
        <v>Mchinji District [kxuuIFpOXyO]|10-14|Male</v>
      </c>
      <c r="G92" s="10" t="n">
        <v>1</v>
      </c>
      <c r="H92" s="10"/>
      <c r="I92" s="88" t="str">
        <f aca="false">IF(SUM($H92)=0,"",0%)</f>
        <v/>
      </c>
      <c r="J92" s="88"/>
      <c r="K92" s="88"/>
      <c r="L92" s="88" t="n">
        <f aca="false">1-IF(NOT(AND($D92="Female",OR($C92="10-14",$C92="15-17",$F92="Y"))),0,$J92)-IF(NOT(OR($C92="05-09",$C92="10-14")),0,$K92)</f>
        <v>1</v>
      </c>
      <c r="M92" s="88" t="n">
        <f aca="false">IF(SUM($L92)=0,"",20%)</f>
        <v>0.2</v>
      </c>
      <c r="N92" s="10" t="str">
        <f aca="false">IF(SUM($H92)=0,"",ROUND($H92*(1+$I92),0))</f>
        <v/>
      </c>
      <c r="O92" s="39" t="str">
        <f aca="false">IF(OR(SUM($N92)=0,SUM($J92)=0,NOT(AND($D92="Female",$F92="Y",OR($C92="10-14",$C92="15-17")))),"",ROUND($N92*$J92,0))</f>
        <v/>
      </c>
      <c r="P92" s="39" t="str">
        <f aca="false">IF(OR(SUM($N92)=0,SUM($K92)=0,NOT(OR($C92="10-14",$C92="05-09"))),"",ROUND($N92*$K92,0))</f>
        <v/>
      </c>
      <c r="Q92" s="39" t="str">
        <f aca="false">IFERROR(1/(1/ROUND($N92*$L92*$M92,0)),"")</f>
        <v/>
      </c>
      <c r="R92" s="39" t="str">
        <f aca="false">IFERROR(1/(1/(ROUND($N92*$L92,0)-$Q92)),"")</f>
        <v/>
      </c>
      <c r="S92" s="88" t="str">
        <f aca="false">IF(OR($C92="18+",$C92="18-20",SUM($Q92,$R92)=0),"",100%)</f>
        <v/>
      </c>
      <c r="T92" s="39" t="str">
        <f aca="false">IF(OR($C92="18+",$C92="18-20",SUM($Q92,$R92)=0),"",ROUND(SUM($Q92,$R92)*$S92,0))</f>
        <v/>
      </c>
    </row>
    <row r="93" customFormat="false" ht="15" hidden="false" customHeight="false" outlineLevel="0" collapsed="false">
      <c r="A93" s="0" t="str">
        <f aca="false">INDEX(Prioritization!$D:$D,MATCH($B93,Prioritization!$A:$A,0))</f>
        <v>1 - Scale-up: Saturation</v>
      </c>
      <c r="B93" s="0" t="s">
        <v>199</v>
      </c>
      <c r="C93" s="0" t="s">
        <v>812</v>
      </c>
      <c r="D93" s="0" t="s">
        <v>30</v>
      </c>
      <c r="E93" s="0" t="str">
        <f aca="false">$B93&amp;"|"&amp;$C93&amp;"|"&amp;$D93</f>
        <v>Mchinji District [kxuuIFpOXyO]|15-17|Female</v>
      </c>
      <c r="G93" s="10"/>
      <c r="H93" s="10"/>
      <c r="I93" s="88" t="str">
        <f aca="false">IF(SUM($H93)=0,"",0%)</f>
        <v/>
      </c>
      <c r="J93" s="88"/>
      <c r="K93" s="88"/>
      <c r="L93" s="88" t="n">
        <f aca="false">1-IF(NOT(AND($D93="Female",OR($C93="10-14",$C93="15-17",$F93="Y"))),0,$J93)-IF(NOT(OR($C93="05-09",$C93="10-14")),0,$K93)</f>
        <v>1</v>
      </c>
      <c r="M93" s="88" t="n">
        <f aca="false">IF(SUM($L93)=0,"",20%)</f>
        <v>0.2</v>
      </c>
      <c r="N93" s="10" t="str">
        <f aca="false">IF(SUM($H93)=0,"",ROUND($H93*(1+$I93),0))</f>
        <v/>
      </c>
      <c r="O93" s="39" t="str">
        <f aca="false">IF(OR(SUM($N93)=0,SUM($J93)=0,NOT(AND($D93="Female",$F93="Y",OR($C93="10-14",$C93="15-17")))),"",ROUND($N93*$J93,0))</f>
        <v/>
      </c>
      <c r="P93" s="39" t="str">
        <f aca="false">IF(OR(SUM($N93)=0,SUM($K93)=0,NOT(OR($C93="10-14",$C93="05-09"))),"",ROUND($N93*$K93,0))</f>
        <v/>
      </c>
      <c r="Q93" s="39" t="str">
        <f aca="false">IFERROR(1/(1/ROUND($N93*$L93*$M93,0)),"")</f>
        <v/>
      </c>
      <c r="R93" s="39" t="str">
        <f aca="false">IFERROR(1/(1/(ROUND($N93*$L93,0)-$Q93)),"")</f>
        <v/>
      </c>
      <c r="S93" s="88" t="str">
        <f aca="false">IF(OR($C93="18+",$C93="18-20",SUM($Q93,$R93)=0),"",100%)</f>
        <v/>
      </c>
      <c r="T93" s="39" t="str">
        <f aca="false">IF(OR($C93="18+",$C93="18-20",SUM($Q93,$R93)=0),"",ROUND(SUM($Q93,$R93)*$S93,0))</f>
        <v/>
      </c>
    </row>
    <row r="94" customFormat="false" ht="15" hidden="false" customHeight="false" outlineLevel="0" collapsed="false">
      <c r="A94" s="0" t="str">
        <f aca="false">INDEX(Prioritization!$D:$D,MATCH($B94,Prioritization!$A:$A,0))</f>
        <v>1 - Scale-up: Saturation</v>
      </c>
      <c r="B94" s="0" t="s">
        <v>199</v>
      </c>
      <c r="C94" s="0" t="s">
        <v>812</v>
      </c>
      <c r="D94" s="0" t="s">
        <v>48</v>
      </c>
      <c r="E94" s="0" t="str">
        <f aca="false">$B94&amp;"|"&amp;$C94&amp;"|"&amp;$D94</f>
        <v>Mchinji District [kxuuIFpOXyO]|15-17|Male</v>
      </c>
      <c r="G94" s="10"/>
      <c r="H94" s="10"/>
      <c r="I94" s="88" t="str">
        <f aca="false">IF(SUM($H94)=0,"",0%)</f>
        <v/>
      </c>
      <c r="J94" s="88"/>
      <c r="K94" s="88"/>
      <c r="L94" s="88" t="n">
        <f aca="false">1-IF(NOT(AND($D94="Female",OR($C94="10-14",$C94="15-17",$F94="Y"))),0,$J94)-IF(NOT(OR($C94="05-09",$C94="10-14")),0,$K94)</f>
        <v>1</v>
      </c>
      <c r="M94" s="88" t="n">
        <f aca="false">IF(SUM($L94)=0,"",20%)</f>
        <v>0.2</v>
      </c>
      <c r="N94" s="10" t="str">
        <f aca="false">IF(SUM($H94)=0,"",ROUND($H94*(1+$I94),0))</f>
        <v/>
      </c>
      <c r="O94" s="39" t="str">
        <f aca="false">IF(OR(SUM($N94)=0,SUM($J94)=0,NOT(AND($D94="Female",$F94="Y",OR($C94="10-14",$C94="15-17")))),"",ROUND($N94*$J94,0))</f>
        <v/>
      </c>
      <c r="P94" s="39" t="str">
        <f aca="false">IF(OR(SUM($N94)=0,SUM($K94)=0,NOT(OR($C94="10-14",$C94="05-09"))),"",ROUND($N94*$K94,0))</f>
        <v/>
      </c>
      <c r="Q94" s="39" t="str">
        <f aca="false">IFERROR(1/(1/ROUND($N94*$L94*$M94,0)),"")</f>
        <v/>
      </c>
      <c r="R94" s="39" t="str">
        <f aca="false">IFERROR(1/(1/(ROUND($N94*$L94,0)-$Q94)),"")</f>
        <v/>
      </c>
      <c r="S94" s="88" t="str">
        <f aca="false">IF(OR($C94="18+",$C94="18-20",SUM($Q94,$R94)=0),"",100%)</f>
        <v/>
      </c>
      <c r="T94" s="39" t="str">
        <f aca="false">IF(OR($C94="18+",$C94="18-20",SUM($Q94,$R94)=0),"",ROUND(SUM($Q94,$R94)*$S94,0))</f>
        <v/>
      </c>
    </row>
    <row r="95" customFormat="false" ht="15" hidden="false" customHeight="false" outlineLevel="0" collapsed="false">
      <c r="A95" s="0" t="str">
        <f aca="false">INDEX(Prioritization!$D:$D,MATCH($B95,Prioritization!$A:$A,0))</f>
        <v>1 - Scale-up: Saturation</v>
      </c>
      <c r="B95" s="0" t="s">
        <v>199</v>
      </c>
      <c r="C95" s="0" t="s">
        <v>813</v>
      </c>
      <c r="D95" s="0" t="s">
        <v>30</v>
      </c>
      <c r="E95" s="0" t="str">
        <f aca="false">$B95&amp;"|"&amp;$C95&amp;"|"&amp;$D95</f>
        <v>Mchinji District [kxuuIFpOXyO]|18-20|Female</v>
      </c>
      <c r="G95" s="10"/>
      <c r="H95" s="10"/>
      <c r="I95" s="88" t="str">
        <f aca="false">IF(SUM($H95)=0,"",0%)</f>
        <v/>
      </c>
      <c r="J95" s="88"/>
      <c r="K95" s="88"/>
      <c r="L95" s="88" t="n">
        <f aca="false">1-IF(NOT(AND($D95="Female",OR($C95="10-14",$C95="15-17",$F95="Y"))),0,$J95)-IF(NOT(OR($C95="05-09",$C95="10-14")),0,$K95)</f>
        <v>1</v>
      </c>
      <c r="M95" s="88" t="n">
        <f aca="false">IF(SUM($L95)=0,"",20%)</f>
        <v>0.2</v>
      </c>
      <c r="N95" s="10" t="str">
        <f aca="false">IF(SUM($H95)=0,"",ROUND($H95*(1+$I95),0))</f>
        <v/>
      </c>
      <c r="O95" s="39" t="str">
        <f aca="false">IF(OR(SUM($N95)=0,SUM($J95)=0,NOT(AND($D95="Female",$F95="Y",OR($C95="10-14",$C95="15-17")))),"",ROUND($N95*$J95,0))</f>
        <v/>
      </c>
      <c r="P95" s="39" t="str">
        <f aca="false">IF(OR(SUM($N95)=0,SUM($K95)=0,NOT(OR($C95="10-14",$C95="05-09"))),"",ROUND($N95*$K95,0))</f>
        <v/>
      </c>
      <c r="Q95" s="39" t="str">
        <f aca="false">IFERROR(1/(1/ROUND($N95*$L95*$M95,0)),"")</f>
        <v/>
      </c>
      <c r="R95" s="39" t="str">
        <f aca="false">IFERROR(1/(1/(ROUND($N95*$L95,0)-$Q95)),"")</f>
        <v/>
      </c>
      <c r="S95" s="88" t="str">
        <f aca="false">IF(OR($C95="18+",$C95="18-20",SUM($Q95,$R95)=0),"",100%)</f>
        <v/>
      </c>
      <c r="T95" s="39" t="str">
        <f aca="false">IF(OR($C95="18+",$C95="18-20",SUM($Q95,$R95)=0),"",ROUND(SUM($Q95,$R95)*$S95,0))</f>
        <v/>
      </c>
    </row>
    <row r="96" customFormat="false" ht="15" hidden="false" customHeight="false" outlineLevel="0" collapsed="false">
      <c r="A96" s="0" t="str">
        <f aca="false">INDEX(Prioritization!$D:$D,MATCH($B96,Prioritization!$A:$A,0))</f>
        <v>1 - Scale-up: Saturation</v>
      </c>
      <c r="B96" s="0" t="s">
        <v>199</v>
      </c>
      <c r="C96" s="0" t="s">
        <v>813</v>
      </c>
      <c r="D96" s="0" t="s">
        <v>48</v>
      </c>
      <c r="E96" s="0" t="str">
        <f aca="false">$B96&amp;"|"&amp;$C96&amp;"|"&amp;$D96</f>
        <v>Mchinji District [kxuuIFpOXyO]|18-20|Male</v>
      </c>
      <c r="G96" s="10"/>
      <c r="H96" s="10"/>
      <c r="I96" s="88" t="str">
        <f aca="false">IF(SUM($H96)=0,"",0%)</f>
        <v/>
      </c>
      <c r="J96" s="88"/>
      <c r="K96" s="88"/>
      <c r="L96" s="88" t="n">
        <f aca="false">1-IF(NOT(AND($D96="Female",OR($C96="10-14",$C96="15-17",$F96="Y"))),0,$J96)-IF(NOT(OR($C96="05-09",$C96="10-14")),0,$K96)</f>
        <v>1</v>
      </c>
      <c r="M96" s="88" t="n">
        <f aca="false">IF(SUM($L96)=0,"",20%)</f>
        <v>0.2</v>
      </c>
      <c r="N96" s="10" t="str">
        <f aca="false">IF(SUM($H96)=0,"",ROUND($H96*(1+$I96),0))</f>
        <v/>
      </c>
      <c r="O96" s="39" t="str">
        <f aca="false">IF(OR(SUM($N96)=0,SUM($J96)=0,NOT(AND($D96="Female",$F96="Y",OR($C96="10-14",$C96="15-17")))),"",ROUND($N96*$J96,0))</f>
        <v/>
      </c>
      <c r="P96" s="39" t="str">
        <f aca="false">IF(OR(SUM($N96)=0,SUM($K96)=0,NOT(OR($C96="10-14",$C96="05-09"))),"",ROUND($N96*$K96,0))</f>
        <v/>
      </c>
      <c r="Q96" s="39" t="str">
        <f aca="false">IFERROR(1/(1/ROUND($N96*$L96*$M96,0)),"")</f>
        <v/>
      </c>
      <c r="R96" s="39" t="str">
        <f aca="false">IFERROR(1/(1/(ROUND($N96*$L96,0)-$Q96)),"")</f>
        <v/>
      </c>
      <c r="S96" s="88" t="str">
        <f aca="false">IF(OR($C96="18+",$C96="18-20",SUM($Q96,$R96)=0),"",100%)</f>
        <v/>
      </c>
      <c r="T96" s="39" t="str">
        <f aca="false">IF(OR($C96="18+",$C96="18-20",SUM($Q96,$R96)=0),"",ROUND(SUM($Q96,$R96)*$S96,0))</f>
        <v/>
      </c>
    </row>
    <row r="97" customFormat="false" ht="15" hidden="false" customHeight="false" outlineLevel="0" collapsed="false">
      <c r="A97" s="0" t="str">
        <f aca="false">INDEX(Prioritization!$D:$D,MATCH($B97,Prioritization!$A:$A,0))</f>
        <v>1 - Scale-up: Saturation</v>
      </c>
      <c r="B97" s="0" t="s">
        <v>199</v>
      </c>
      <c r="C97" s="0" t="s">
        <v>814</v>
      </c>
      <c r="D97" s="0" t="s">
        <v>30</v>
      </c>
      <c r="E97" s="0" t="str">
        <f aca="false">$B97&amp;"|"&amp;$C97&amp;"|"&amp;$D97</f>
        <v>Mchinji District [kxuuIFpOXyO]|18+|Female</v>
      </c>
      <c r="G97" s="10"/>
      <c r="H97" s="10"/>
      <c r="I97" s="88" t="str">
        <f aca="false">IF(SUM($H97)=0,"",0%)</f>
        <v/>
      </c>
      <c r="J97" s="88"/>
      <c r="K97" s="88"/>
      <c r="L97" s="88" t="n">
        <f aca="false">1-IF(NOT(AND($D97="Female",OR($C97="10-14",$C97="15-17",$F97="Y"))),0,$J97)-IF(NOT(OR($C97="05-09",$C97="10-14")),0,$K97)</f>
        <v>1</v>
      </c>
      <c r="M97" s="88" t="n">
        <f aca="false">IF(SUM($L97)=0,"",20%)</f>
        <v>0.2</v>
      </c>
      <c r="N97" s="10" t="str">
        <f aca="false">IF(SUM($H97)=0,"",ROUND($H97*(1+$I97),0))</f>
        <v/>
      </c>
      <c r="O97" s="39" t="str">
        <f aca="false">IF(OR(SUM($N97)=0,SUM($J97)=0,NOT(AND($D97="Female",$F97="Y",OR($C97="10-14",$C97="15-17")))),"",ROUND($N97*$J97,0))</f>
        <v/>
      </c>
      <c r="P97" s="39" t="str">
        <f aca="false">IF(OR(SUM($N97)=0,SUM($K97)=0,NOT(OR($C97="10-14",$C97="05-09"))),"",ROUND($N97*$K97,0))</f>
        <v/>
      </c>
      <c r="Q97" s="39" t="str">
        <f aca="false">IFERROR(1/(1/ROUND($N97*$L97*$M97,0)),"")</f>
        <v/>
      </c>
      <c r="R97" s="39" t="str">
        <f aca="false">IFERROR(1/(1/(ROUND($N97*$L97,0)-$Q97)),"")</f>
        <v/>
      </c>
      <c r="S97" s="88" t="str">
        <f aca="false">IF(OR($C97="18+",$C97="18-20",SUM($Q97,$R97)=0),"",100%)</f>
        <v/>
      </c>
      <c r="T97" s="39" t="str">
        <f aca="false">IF(OR($C97="18+",$C97="18-20",SUM($Q97,$R97)=0),"",ROUND(SUM($Q97,$R97)*$S97,0))</f>
        <v/>
      </c>
    </row>
    <row r="98" customFormat="false" ht="15" hidden="false" customHeight="false" outlineLevel="0" collapsed="false">
      <c r="A98" s="0" t="str">
        <f aca="false">INDEX(Prioritization!$D:$D,MATCH($B98,Prioritization!$A:$A,0))</f>
        <v>1 - Scale-up: Saturation</v>
      </c>
      <c r="B98" s="0" t="s">
        <v>199</v>
      </c>
      <c r="C98" s="0" t="s">
        <v>814</v>
      </c>
      <c r="D98" s="0" t="s">
        <v>48</v>
      </c>
      <c r="E98" s="0" t="str">
        <f aca="false">$B98&amp;"|"&amp;$C98&amp;"|"&amp;$D98</f>
        <v>Mchinji District [kxuuIFpOXyO]|18+|Male</v>
      </c>
      <c r="G98" s="10"/>
      <c r="H98" s="10"/>
      <c r="I98" s="88" t="str">
        <f aca="false">IF(SUM($H98)=0,"",0%)</f>
        <v/>
      </c>
      <c r="J98" s="88"/>
      <c r="K98" s="88"/>
      <c r="L98" s="88" t="n">
        <f aca="false">1-IF(NOT(AND($D98="Female",OR($C98="10-14",$C98="15-17",$F98="Y"))),0,$J98)-IF(NOT(OR($C98="05-09",$C98="10-14")),0,$K98)</f>
        <v>1</v>
      </c>
      <c r="M98" s="88" t="n">
        <f aca="false">IF(SUM($L98)=0,"",20%)</f>
        <v>0.2</v>
      </c>
      <c r="N98" s="10" t="str">
        <f aca="false">IF(SUM($H98)=0,"",ROUND($H98*(1+$I98),0))</f>
        <v/>
      </c>
      <c r="O98" s="39" t="str">
        <f aca="false">IF(OR(SUM($N98)=0,SUM($J98)=0,NOT(AND($D98="Female",$F98="Y",OR($C98="10-14",$C98="15-17")))),"",ROUND($N98*$J98,0))</f>
        <v/>
      </c>
      <c r="P98" s="39" t="str">
        <f aca="false">IF(OR(SUM($N98)=0,SUM($K98)=0,NOT(OR($C98="10-14",$C98="05-09"))),"",ROUND($N98*$K98,0))</f>
        <v/>
      </c>
      <c r="Q98" s="39" t="str">
        <f aca="false">IFERROR(1/(1/ROUND($N98*$L98*$M98,0)),"")</f>
        <v/>
      </c>
      <c r="R98" s="39" t="str">
        <f aca="false">IFERROR(1/(1/(ROUND($N98*$L98,0)-$Q98)),"")</f>
        <v/>
      </c>
      <c r="S98" s="88" t="str">
        <f aca="false">IF(OR($C98="18+",$C98="18-20",SUM($Q98,$R98)=0),"",100%)</f>
        <v/>
      </c>
      <c r="T98" s="39" t="str">
        <f aca="false">IF(OR($C98="18+",$C98="18-20",SUM($Q98,$R98)=0),"",ROUND(SUM($Q98,$R98)*$S98,0))</f>
        <v/>
      </c>
    </row>
    <row r="99" customFormat="false" ht="15" hidden="false" customHeight="false" outlineLevel="0" collapsed="false">
      <c r="A99" s="0" t="str">
        <f aca="false">INDEX(Prioritization!$D:$D,MATCH($B99,Prioritization!$A:$A,0))</f>
        <v>1 - Scale-up: Saturation</v>
      </c>
      <c r="B99" s="0" t="s">
        <v>200</v>
      </c>
      <c r="C99" s="0" t="s">
        <v>316</v>
      </c>
      <c r="D99" s="0" t="s">
        <v>30</v>
      </c>
      <c r="E99" s="0" t="str">
        <f aca="false">$B99&amp;"|"&amp;$C99&amp;"|"&amp;$D99</f>
        <v>Nkhotakota District [YCKiBAp8QAg]|&lt;01|Female</v>
      </c>
      <c r="G99" s="10"/>
      <c r="H99" s="10"/>
      <c r="I99" s="88" t="str">
        <f aca="false">IF(SUM($H99)=0,"",0%)</f>
        <v/>
      </c>
      <c r="J99" s="88"/>
      <c r="K99" s="88"/>
      <c r="L99" s="88" t="n">
        <f aca="false">1-IF(NOT(AND($D99="Female",OR($C99="10-14",$C99="15-17",$F99="Y"))),0,$J99)-IF(NOT(OR($C99="05-09",$C99="10-14")),0,$K99)</f>
        <v>1</v>
      </c>
      <c r="M99" s="88" t="n">
        <f aca="false">IF(SUM($L99)=0,"",20%)</f>
        <v>0.2</v>
      </c>
      <c r="N99" s="10" t="str">
        <f aca="false">IF(SUM($H99)=0,"",ROUND($H99*(1+$I99),0))</f>
        <v/>
      </c>
      <c r="O99" s="39" t="str">
        <f aca="false">IF(OR(SUM($N99)=0,SUM($J99)=0,NOT(AND($D99="Female",$F99="Y",OR($C99="10-14",$C99="15-17")))),"",ROUND($N99*$J99,0))</f>
        <v/>
      </c>
      <c r="P99" s="39" t="str">
        <f aca="false">IF(OR(SUM($N99)=0,SUM($K99)=0,NOT(OR($C99="10-14",$C99="05-09"))),"",ROUND($N99*$K99,0))</f>
        <v/>
      </c>
      <c r="Q99" s="39" t="str">
        <f aca="false">IFERROR(1/(1/ROUND($N99*$L99*$M99,0)),"")</f>
        <v/>
      </c>
      <c r="R99" s="39" t="str">
        <f aca="false">IFERROR(1/(1/(ROUND($N99*$L99,0)-$Q99)),"")</f>
        <v/>
      </c>
      <c r="S99" s="88" t="str">
        <f aca="false">IF(OR($C99="18+",$C99="18-20",SUM($Q99,$R99)=0),"",100%)</f>
        <v/>
      </c>
      <c r="T99" s="39" t="str">
        <f aca="false">IF(OR($C99="18+",$C99="18-20",SUM($Q99,$R99)=0),"",ROUND(SUM($Q99,$R99)*$S99,0))</f>
        <v/>
      </c>
    </row>
    <row r="100" customFormat="false" ht="15" hidden="false" customHeight="false" outlineLevel="0" collapsed="false">
      <c r="A100" s="0" t="str">
        <f aca="false">INDEX(Prioritization!$D:$D,MATCH($B100,Prioritization!$A:$A,0))</f>
        <v>1 - Scale-up: Saturation</v>
      </c>
      <c r="B100" s="0" t="s">
        <v>200</v>
      </c>
      <c r="C100" s="0" t="s">
        <v>316</v>
      </c>
      <c r="D100" s="0" t="s">
        <v>48</v>
      </c>
      <c r="E100" s="0" t="str">
        <f aca="false">$B100&amp;"|"&amp;$C100&amp;"|"&amp;$D100</f>
        <v>Nkhotakota District [YCKiBAp8QAg]|&lt;01|Male</v>
      </c>
      <c r="G100" s="10"/>
      <c r="H100" s="10"/>
      <c r="I100" s="88" t="str">
        <f aca="false">IF(SUM($H100)=0,"",0%)</f>
        <v/>
      </c>
      <c r="J100" s="88"/>
      <c r="K100" s="88"/>
      <c r="L100" s="88" t="n">
        <f aca="false">1-IF(NOT(AND($D100="Female",OR($C100="10-14",$C100="15-17",$F100="Y"))),0,$J100)-IF(NOT(OR($C100="05-09",$C100="10-14")),0,$K100)</f>
        <v>1</v>
      </c>
      <c r="M100" s="88" t="n">
        <f aca="false">IF(SUM($L100)=0,"",20%)</f>
        <v>0.2</v>
      </c>
      <c r="N100" s="10" t="str">
        <f aca="false">IF(SUM($H100)=0,"",ROUND($H100*(1+$I100),0))</f>
        <v/>
      </c>
      <c r="O100" s="39" t="str">
        <f aca="false">IF(OR(SUM($N100)=0,SUM($J100)=0,NOT(AND($D100="Female",$F100="Y",OR($C100="10-14",$C100="15-17")))),"",ROUND($N100*$J100,0))</f>
        <v/>
      </c>
      <c r="P100" s="39" t="str">
        <f aca="false">IF(OR(SUM($N100)=0,SUM($K100)=0,NOT(OR($C100="10-14",$C100="05-09"))),"",ROUND($N100*$K100,0))</f>
        <v/>
      </c>
      <c r="Q100" s="39" t="str">
        <f aca="false">IFERROR(1/(1/ROUND($N100*$L100*$M100,0)),"")</f>
        <v/>
      </c>
      <c r="R100" s="39" t="str">
        <f aca="false">IFERROR(1/(1/(ROUND($N100*$L100,0)-$Q100)),"")</f>
        <v/>
      </c>
      <c r="S100" s="88" t="str">
        <f aca="false">IF(OR($C100="18+",$C100="18-20",SUM($Q100,$R100)=0),"",100%)</f>
        <v/>
      </c>
      <c r="T100" s="39" t="str">
        <f aca="false">IF(OR($C100="18+",$C100="18-20",SUM($Q100,$R100)=0),"",ROUND(SUM($Q100,$R100)*$S100,0))</f>
        <v/>
      </c>
    </row>
    <row r="101" customFormat="false" ht="15" hidden="false" customHeight="false" outlineLevel="0" collapsed="false">
      <c r="A101" s="0" t="str">
        <f aca="false">INDEX(Prioritization!$D:$D,MATCH($B101,Prioritization!$A:$A,0))</f>
        <v>1 - Scale-up: Saturation</v>
      </c>
      <c r="B101" s="0" t="s">
        <v>200</v>
      </c>
      <c r="C101" s="0" t="s">
        <v>810</v>
      </c>
      <c r="D101" s="0" t="s">
        <v>30</v>
      </c>
      <c r="E101" s="0" t="str">
        <f aca="false">$B101&amp;"|"&amp;$C101&amp;"|"&amp;$D101</f>
        <v>Nkhotakota District [YCKiBAp8QAg]|01-04|Female</v>
      </c>
      <c r="G101" s="10"/>
      <c r="H101" s="10"/>
      <c r="I101" s="88" t="str">
        <f aca="false">IF(SUM($H101)=0,"",0%)</f>
        <v/>
      </c>
      <c r="J101" s="88"/>
      <c r="K101" s="88"/>
      <c r="L101" s="88" t="n">
        <f aca="false">1-IF(NOT(AND($D101="Female",OR($C101="10-14",$C101="15-17",$F101="Y"))),0,$J101)-IF(NOT(OR($C101="05-09",$C101="10-14")),0,$K101)</f>
        <v>1</v>
      </c>
      <c r="M101" s="88" t="n">
        <f aca="false">IF(SUM($L101)=0,"",20%)</f>
        <v>0.2</v>
      </c>
      <c r="N101" s="10" t="str">
        <f aca="false">IF(SUM($H101)=0,"",ROUND($H101*(1+$I101),0))</f>
        <v/>
      </c>
      <c r="O101" s="39" t="str">
        <f aca="false">IF(OR(SUM($N101)=0,SUM($J101)=0,NOT(AND($D101="Female",$F101="Y",OR($C101="10-14",$C101="15-17")))),"",ROUND($N101*$J101,0))</f>
        <v/>
      </c>
      <c r="P101" s="39" t="str">
        <f aca="false">IF(OR(SUM($N101)=0,SUM($K101)=0,NOT(OR($C101="10-14",$C101="05-09"))),"",ROUND($N101*$K101,0))</f>
        <v/>
      </c>
      <c r="Q101" s="39" t="str">
        <f aca="false">IFERROR(1/(1/ROUND($N101*$L101*$M101,0)),"")</f>
        <v/>
      </c>
      <c r="R101" s="39" t="str">
        <f aca="false">IFERROR(1/(1/(ROUND($N101*$L101,0)-$Q101)),"")</f>
        <v/>
      </c>
      <c r="S101" s="88" t="str">
        <f aca="false">IF(OR($C101="18+",$C101="18-20",SUM($Q101,$R101)=0),"",100%)</f>
        <v/>
      </c>
      <c r="T101" s="39" t="str">
        <f aca="false">IF(OR($C101="18+",$C101="18-20",SUM($Q101,$R101)=0),"",ROUND(SUM($Q101,$R101)*$S101,0))</f>
        <v/>
      </c>
    </row>
    <row r="102" customFormat="false" ht="15" hidden="false" customHeight="false" outlineLevel="0" collapsed="false">
      <c r="A102" s="0" t="str">
        <f aca="false">INDEX(Prioritization!$D:$D,MATCH($B102,Prioritization!$A:$A,0))</f>
        <v>1 - Scale-up: Saturation</v>
      </c>
      <c r="B102" s="0" t="s">
        <v>200</v>
      </c>
      <c r="C102" s="0" t="s">
        <v>810</v>
      </c>
      <c r="D102" s="0" t="s">
        <v>48</v>
      </c>
      <c r="E102" s="0" t="str">
        <f aca="false">$B102&amp;"|"&amp;$C102&amp;"|"&amp;$D102</f>
        <v>Nkhotakota District [YCKiBAp8QAg]|01-04|Male</v>
      </c>
      <c r="G102" s="10"/>
      <c r="H102" s="10"/>
      <c r="I102" s="88" t="str">
        <f aca="false">IF(SUM($H102)=0,"",0%)</f>
        <v/>
      </c>
      <c r="J102" s="88"/>
      <c r="K102" s="88"/>
      <c r="L102" s="88" t="n">
        <f aca="false">1-IF(NOT(AND($D102="Female",OR($C102="10-14",$C102="15-17",$F102="Y"))),0,$J102)-IF(NOT(OR($C102="05-09",$C102="10-14")),0,$K102)</f>
        <v>1</v>
      </c>
      <c r="M102" s="88" t="n">
        <f aca="false">IF(SUM($L102)=0,"",20%)</f>
        <v>0.2</v>
      </c>
      <c r="N102" s="10" t="str">
        <f aca="false">IF(SUM($H102)=0,"",ROUND($H102*(1+$I102),0))</f>
        <v/>
      </c>
      <c r="O102" s="39" t="str">
        <f aca="false">IF(OR(SUM($N102)=0,SUM($J102)=0,NOT(AND($D102="Female",$F102="Y",OR($C102="10-14",$C102="15-17")))),"",ROUND($N102*$J102,0))</f>
        <v/>
      </c>
      <c r="P102" s="39" t="str">
        <f aca="false">IF(OR(SUM($N102)=0,SUM($K102)=0,NOT(OR($C102="10-14",$C102="05-09"))),"",ROUND($N102*$K102,0))</f>
        <v/>
      </c>
      <c r="Q102" s="39" t="str">
        <f aca="false">IFERROR(1/(1/ROUND($N102*$L102*$M102,0)),"")</f>
        <v/>
      </c>
      <c r="R102" s="39" t="str">
        <f aca="false">IFERROR(1/(1/(ROUND($N102*$L102,0)-$Q102)),"")</f>
        <v/>
      </c>
      <c r="S102" s="88" t="str">
        <f aca="false">IF(OR($C102="18+",$C102="18-20",SUM($Q102,$R102)=0),"",100%)</f>
        <v/>
      </c>
      <c r="T102" s="39" t="str">
        <f aca="false">IF(OR($C102="18+",$C102="18-20",SUM($Q102,$R102)=0),"",ROUND(SUM($Q102,$R102)*$S102,0))</f>
        <v/>
      </c>
    </row>
    <row r="103" customFormat="false" ht="15" hidden="false" customHeight="false" outlineLevel="0" collapsed="false">
      <c r="A103" s="0" t="str">
        <f aca="false">INDEX(Prioritization!$D:$D,MATCH($B103,Prioritization!$A:$A,0))</f>
        <v>1 - Scale-up: Saturation</v>
      </c>
      <c r="B103" s="0" t="s">
        <v>200</v>
      </c>
      <c r="C103" s="0" t="s">
        <v>811</v>
      </c>
      <c r="D103" s="0" t="s">
        <v>30</v>
      </c>
      <c r="E103" s="0" t="str">
        <f aca="false">$B103&amp;"|"&amp;$C103&amp;"|"&amp;$D103</f>
        <v>Nkhotakota District [YCKiBAp8QAg]|05-09|Female</v>
      </c>
      <c r="G103" s="10"/>
      <c r="H103" s="10"/>
      <c r="I103" s="88" t="str">
        <f aca="false">IF(SUM($H103)=0,"",0%)</f>
        <v/>
      </c>
      <c r="J103" s="88"/>
      <c r="K103" s="88"/>
      <c r="L103" s="88" t="n">
        <f aca="false">1-IF(NOT(AND($D103="Female",OR($C103="10-14",$C103="15-17",$F103="Y"))),0,$J103)-IF(NOT(OR($C103="05-09",$C103="10-14")),0,$K103)</f>
        <v>1</v>
      </c>
      <c r="M103" s="88" t="n">
        <f aca="false">IF(SUM($L103)=0,"",20%)</f>
        <v>0.2</v>
      </c>
      <c r="N103" s="10" t="str">
        <f aca="false">IF(SUM($H103)=0,"",ROUND($H103*(1+$I103),0))</f>
        <v/>
      </c>
      <c r="O103" s="39" t="str">
        <f aca="false">IF(OR(SUM($N103)=0,SUM($J103)=0,NOT(AND($D103="Female",$F103="Y",OR($C103="10-14",$C103="15-17")))),"",ROUND($N103*$J103,0))</f>
        <v/>
      </c>
      <c r="P103" s="39" t="str">
        <f aca="false">IF(OR(SUM($N103)=0,SUM($K103)=0,NOT(OR($C103="10-14",$C103="05-09"))),"",ROUND($N103*$K103,0))</f>
        <v/>
      </c>
      <c r="Q103" s="39" t="str">
        <f aca="false">IFERROR(1/(1/ROUND($N103*$L103*$M103,0)),"")</f>
        <v/>
      </c>
      <c r="R103" s="39" t="str">
        <f aca="false">IFERROR(1/(1/(ROUND($N103*$L103,0)-$Q103)),"")</f>
        <v/>
      </c>
      <c r="S103" s="88" t="str">
        <f aca="false">IF(OR($C103="18+",$C103="18-20",SUM($Q103,$R103)=0),"",100%)</f>
        <v/>
      </c>
      <c r="T103" s="39" t="str">
        <f aca="false">IF(OR($C103="18+",$C103="18-20",SUM($Q103,$R103)=0),"",ROUND(SUM($Q103,$R103)*$S103,0))</f>
        <v/>
      </c>
    </row>
    <row r="104" customFormat="false" ht="15" hidden="false" customHeight="false" outlineLevel="0" collapsed="false">
      <c r="A104" s="0" t="str">
        <f aca="false">INDEX(Prioritization!$D:$D,MATCH($B104,Prioritization!$A:$A,0))</f>
        <v>1 - Scale-up: Saturation</v>
      </c>
      <c r="B104" s="0" t="s">
        <v>200</v>
      </c>
      <c r="C104" s="0" t="s">
        <v>811</v>
      </c>
      <c r="D104" s="0" t="s">
        <v>48</v>
      </c>
      <c r="E104" s="0" t="str">
        <f aca="false">$B104&amp;"|"&amp;$C104&amp;"|"&amp;$D104</f>
        <v>Nkhotakota District [YCKiBAp8QAg]|05-09|Male</v>
      </c>
      <c r="G104" s="10"/>
      <c r="H104" s="10"/>
      <c r="I104" s="88" t="str">
        <f aca="false">IF(SUM($H104)=0,"",0%)</f>
        <v/>
      </c>
      <c r="J104" s="88"/>
      <c r="K104" s="88"/>
      <c r="L104" s="88" t="n">
        <f aca="false">1-IF(NOT(AND($D104="Female",OR($C104="10-14",$C104="15-17",$F104="Y"))),0,$J104)-IF(NOT(OR($C104="05-09",$C104="10-14")),0,$K104)</f>
        <v>1</v>
      </c>
      <c r="M104" s="88" t="n">
        <f aca="false">IF(SUM($L104)=0,"",20%)</f>
        <v>0.2</v>
      </c>
      <c r="N104" s="10" t="str">
        <f aca="false">IF(SUM($H104)=0,"",ROUND($H104*(1+$I104),0))</f>
        <v/>
      </c>
      <c r="O104" s="39" t="str">
        <f aca="false">IF(OR(SUM($N104)=0,SUM($J104)=0,NOT(AND($D104="Female",$F104="Y",OR($C104="10-14",$C104="15-17")))),"",ROUND($N104*$J104,0))</f>
        <v/>
      </c>
      <c r="P104" s="39" t="str">
        <f aca="false">IF(OR(SUM($N104)=0,SUM($K104)=0,NOT(OR($C104="10-14",$C104="05-09"))),"",ROUND($N104*$K104,0))</f>
        <v/>
      </c>
      <c r="Q104" s="39" t="str">
        <f aca="false">IFERROR(1/(1/ROUND($N104*$L104*$M104,0)),"")</f>
        <v/>
      </c>
      <c r="R104" s="39" t="str">
        <f aca="false">IFERROR(1/(1/(ROUND($N104*$L104,0)-$Q104)),"")</f>
        <v/>
      </c>
      <c r="S104" s="88" t="str">
        <f aca="false">IF(OR($C104="18+",$C104="18-20",SUM($Q104,$R104)=0),"",100%)</f>
        <v/>
      </c>
      <c r="T104" s="39" t="str">
        <f aca="false">IF(OR($C104="18+",$C104="18-20",SUM($Q104,$R104)=0),"",ROUND(SUM($Q104,$R104)*$S104,0))</f>
        <v/>
      </c>
    </row>
    <row r="105" customFormat="false" ht="15" hidden="false" customHeight="false" outlineLevel="0" collapsed="false">
      <c r="A105" s="0" t="str">
        <f aca="false">INDEX(Prioritization!$D:$D,MATCH($B105,Prioritization!$A:$A,0))</f>
        <v>1 - Scale-up: Saturation</v>
      </c>
      <c r="B105" s="0" t="s">
        <v>200</v>
      </c>
      <c r="C105" s="0" t="s">
        <v>364</v>
      </c>
      <c r="D105" s="0" t="s">
        <v>30</v>
      </c>
      <c r="E105" s="0" t="str">
        <f aca="false">$B105&amp;"|"&amp;$C105&amp;"|"&amp;$D105</f>
        <v>Nkhotakota District [YCKiBAp8QAg]|10-14|Female</v>
      </c>
      <c r="G105" s="10"/>
      <c r="H105" s="10"/>
      <c r="I105" s="88" t="str">
        <f aca="false">IF(SUM($H105)=0,"",0%)</f>
        <v/>
      </c>
      <c r="J105" s="88"/>
      <c r="K105" s="88"/>
      <c r="L105" s="88" t="n">
        <f aca="false">1-IF(NOT(AND($D105="Female",OR($C105="10-14",$C105="15-17",$F105="Y"))),0,$J105)-IF(NOT(OR($C105="05-09",$C105="10-14")),0,$K105)</f>
        <v>1</v>
      </c>
      <c r="M105" s="88" t="n">
        <f aca="false">IF(SUM($L105)=0,"",20%)</f>
        <v>0.2</v>
      </c>
      <c r="N105" s="10" t="str">
        <f aca="false">IF(SUM($H105)=0,"",ROUND($H105*(1+$I105),0))</f>
        <v/>
      </c>
      <c r="O105" s="39" t="str">
        <f aca="false">IF(OR(SUM($N105)=0,SUM($J105)=0,NOT(AND($D105="Female",$F105="Y",OR($C105="10-14",$C105="15-17")))),"",ROUND($N105*$J105,0))</f>
        <v/>
      </c>
      <c r="P105" s="39" t="str">
        <f aca="false">IF(OR(SUM($N105)=0,SUM($K105)=0,NOT(OR($C105="10-14",$C105="05-09"))),"",ROUND($N105*$K105,0))</f>
        <v/>
      </c>
      <c r="Q105" s="39" t="str">
        <f aca="false">IFERROR(1/(1/ROUND($N105*$L105*$M105,0)),"")</f>
        <v/>
      </c>
      <c r="R105" s="39" t="str">
        <f aca="false">IFERROR(1/(1/(ROUND($N105*$L105,0)-$Q105)),"")</f>
        <v/>
      </c>
      <c r="S105" s="88" t="str">
        <f aca="false">IF(OR($C105="18+",$C105="18-20",SUM($Q105,$R105)=0),"",100%)</f>
        <v/>
      </c>
      <c r="T105" s="39" t="str">
        <f aca="false">IF(OR($C105="18+",$C105="18-20",SUM($Q105,$R105)=0),"",ROUND(SUM($Q105,$R105)*$S105,0))</f>
        <v/>
      </c>
    </row>
    <row r="106" customFormat="false" ht="15" hidden="false" customHeight="false" outlineLevel="0" collapsed="false">
      <c r="A106" s="0" t="str">
        <f aca="false">INDEX(Prioritization!$D:$D,MATCH($B106,Prioritization!$A:$A,0))</f>
        <v>1 - Scale-up: Saturation</v>
      </c>
      <c r="B106" s="0" t="s">
        <v>200</v>
      </c>
      <c r="C106" s="0" t="s">
        <v>364</v>
      </c>
      <c r="D106" s="0" t="s">
        <v>48</v>
      </c>
      <c r="E106" s="0" t="str">
        <f aca="false">$B106&amp;"|"&amp;$C106&amp;"|"&amp;$D106</f>
        <v>Nkhotakota District [YCKiBAp8QAg]|10-14|Male</v>
      </c>
      <c r="G106" s="10"/>
      <c r="H106" s="10"/>
      <c r="I106" s="88" t="str">
        <f aca="false">IF(SUM($H106)=0,"",0%)</f>
        <v/>
      </c>
      <c r="J106" s="88"/>
      <c r="K106" s="88"/>
      <c r="L106" s="88" t="n">
        <f aca="false">1-IF(NOT(AND($D106="Female",OR($C106="10-14",$C106="15-17",$F106="Y"))),0,$J106)-IF(NOT(OR($C106="05-09",$C106="10-14")),0,$K106)</f>
        <v>1</v>
      </c>
      <c r="M106" s="88" t="n">
        <f aca="false">IF(SUM($L106)=0,"",20%)</f>
        <v>0.2</v>
      </c>
      <c r="N106" s="10" t="str">
        <f aca="false">IF(SUM($H106)=0,"",ROUND($H106*(1+$I106),0))</f>
        <v/>
      </c>
      <c r="O106" s="39" t="str">
        <f aca="false">IF(OR(SUM($N106)=0,SUM($J106)=0,NOT(AND($D106="Female",$F106="Y",OR($C106="10-14",$C106="15-17")))),"",ROUND($N106*$J106,0))</f>
        <v/>
      </c>
      <c r="P106" s="39" t="str">
        <f aca="false">IF(OR(SUM($N106)=0,SUM($K106)=0,NOT(OR($C106="10-14",$C106="05-09"))),"",ROUND($N106*$K106,0))</f>
        <v/>
      </c>
      <c r="Q106" s="39" t="str">
        <f aca="false">IFERROR(1/(1/ROUND($N106*$L106*$M106,0)),"")</f>
        <v/>
      </c>
      <c r="R106" s="39" t="str">
        <f aca="false">IFERROR(1/(1/(ROUND($N106*$L106,0)-$Q106)),"")</f>
        <v/>
      </c>
      <c r="S106" s="88" t="str">
        <f aca="false">IF(OR($C106="18+",$C106="18-20",SUM($Q106,$R106)=0),"",100%)</f>
        <v/>
      </c>
      <c r="T106" s="39" t="str">
        <f aca="false">IF(OR($C106="18+",$C106="18-20",SUM($Q106,$R106)=0),"",ROUND(SUM($Q106,$R106)*$S106,0))</f>
        <v/>
      </c>
    </row>
    <row r="107" customFormat="false" ht="15" hidden="false" customHeight="false" outlineLevel="0" collapsed="false">
      <c r="A107" s="0" t="str">
        <f aca="false">INDEX(Prioritization!$D:$D,MATCH($B107,Prioritization!$A:$A,0))</f>
        <v>1 - Scale-up: Saturation</v>
      </c>
      <c r="B107" s="0" t="s">
        <v>200</v>
      </c>
      <c r="C107" s="0" t="s">
        <v>812</v>
      </c>
      <c r="D107" s="0" t="s">
        <v>30</v>
      </c>
      <c r="E107" s="0" t="str">
        <f aca="false">$B107&amp;"|"&amp;$C107&amp;"|"&amp;$D107</f>
        <v>Nkhotakota District [YCKiBAp8QAg]|15-17|Female</v>
      </c>
      <c r="G107" s="10"/>
      <c r="H107" s="10"/>
      <c r="I107" s="88" t="str">
        <f aca="false">IF(SUM($H107)=0,"",0%)</f>
        <v/>
      </c>
      <c r="J107" s="88"/>
      <c r="K107" s="88"/>
      <c r="L107" s="88" t="n">
        <f aca="false">1-IF(NOT(AND($D107="Female",OR($C107="10-14",$C107="15-17",$F107="Y"))),0,$J107)-IF(NOT(OR($C107="05-09",$C107="10-14")),0,$K107)</f>
        <v>1</v>
      </c>
      <c r="M107" s="88" t="n">
        <f aca="false">IF(SUM($L107)=0,"",20%)</f>
        <v>0.2</v>
      </c>
      <c r="N107" s="10" t="str">
        <f aca="false">IF(SUM($H107)=0,"",ROUND($H107*(1+$I107),0))</f>
        <v/>
      </c>
      <c r="O107" s="39" t="str">
        <f aca="false">IF(OR(SUM($N107)=0,SUM($J107)=0,NOT(AND($D107="Female",$F107="Y",OR($C107="10-14",$C107="15-17")))),"",ROUND($N107*$J107,0))</f>
        <v/>
      </c>
      <c r="P107" s="39" t="str">
        <f aca="false">IF(OR(SUM($N107)=0,SUM($K107)=0,NOT(OR($C107="10-14",$C107="05-09"))),"",ROUND($N107*$K107,0))</f>
        <v/>
      </c>
      <c r="Q107" s="39" t="str">
        <f aca="false">IFERROR(1/(1/ROUND($N107*$L107*$M107,0)),"")</f>
        <v/>
      </c>
      <c r="R107" s="39" t="str">
        <f aca="false">IFERROR(1/(1/(ROUND($N107*$L107,0)-$Q107)),"")</f>
        <v/>
      </c>
      <c r="S107" s="88" t="str">
        <f aca="false">IF(OR($C107="18+",$C107="18-20",SUM($Q107,$R107)=0),"",100%)</f>
        <v/>
      </c>
      <c r="T107" s="39" t="str">
        <f aca="false">IF(OR($C107="18+",$C107="18-20",SUM($Q107,$R107)=0),"",ROUND(SUM($Q107,$R107)*$S107,0))</f>
        <v/>
      </c>
    </row>
    <row r="108" customFormat="false" ht="15" hidden="false" customHeight="false" outlineLevel="0" collapsed="false">
      <c r="A108" s="0" t="str">
        <f aca="false">INDEX(Prioritization!$D:$D,MATCH($B108,Prioritization!$A:$A,0))</f>
        <v>1 - Scale-up: Saturation</v>
      </c>
      <c r="B108" s="0" t="s">
        <v>200</v>
      </c>
      <c r="C108" s="0" t="s">
        <v>812</v>
      </c>
      <c r="D108" s="0" t="s">
        <v>48</v>
      </c>
      <c r="E108" s="0" t="str">
        <f aca="false">$B108&amp;"|"&amp;$C108&amp;"|"&amp;$D108</f>
        <v>Nkhotakota District [YCKiBAp8QAg]|15-17|Male</v>
      </c>
      <c r="G108" s="10"/>
      <c r="H108" s="10"/>
      <c r="I108" s="88" t="str">
        <f aca="false">IF(SUM($H108)=0,"",0%)</f>
        <v/>
      </c>
      <c r="J108" s="88"/>
      <c r="K108" s="88"/>
      <c r="L108" s="88" t="n">
        <f aca="false">1-IF(NOT(AND($D108="Female",OR($C108="10-14",$C108="15-17",$F108="Y"))),0,$J108)-IF(NOT(OR($C108="05-09",$C108="10-14")),0,$K108)</f>
        <v>1</v>
      </c>
      <c r="M108" s="88" t="n">
        <f aca="false">IF(SUM($L108)=0,"",20%)</f>
        <v>0.2</v>
      </c>
      <c r="N108" s="10" t="str">
        <f aca="false">IF(SUM($H108)=0,"",ROUND($H108*(1+$I108),0))</f>
        <v/>
      </c>
      <c r="O108" s="39" t="str">
        <f aca="false">IF(OR(SUM($N108)=0,SUM($J108)=0,NOT(AND($D108="Female",$F108="Y",OR($C108="10-14",$C108="15-17")))),"",ROUND($N108*$J108,0))</f>
        <v/>
      </c>
      <c r="P108" s="39" t="str">
        <f aca="false">IF(OR(SUM($N108)=0,SUM($K108)=0,NOT(OR($C108="10-14",$C108="05-09"))),"",ROUND($N108*$K108,0))</f>
        <v/>
      </c>
      <c r="Q108" s="39" t="str">
        <f aca="false">IFERROR(1/(1/ROUND($N108*$L108*$M108,0)),"")</f>
        <v/>
      </c>
      <c r="R108" s="39" t="str">
        <f aca="false">IFERROR(1/(1/(ROUND($N108*$L108,0)-$Q108)),"")</f>
        <v/>
      </c>
      <c r="S108" s="88" t="str">
        <f aca="false">IF(OR($C108="18+",$C108="18-20",SUM($Q108,$R108)=0),"",100%)</f>
        <v/>
      </c>
      <c r="T108" s="39" t="str">
        <f aca="false">IF(OR($C108="18+",$C108="18-20",SUM($Q108,$R108)=0),"",ROUND(SUM($Q108,$R108)*$S108,0))</f>
        <v/>
      </c>
    </row>
    <row r="109" customFormat="false" ht="15" hidden="false" customHeight="false" outlineLevel="0" collapsed="false">
      <c r="A109" s="0" t="str">
        <f aca="false">INDEX(Prioritization!$D:$D,MATCH($B109,Prioritization!$A:$A,0))</f>
        <v>1 - Scale-up: Saturation</v>
      </c>
      <c r="B109" s="0" t="s">
        <v>200</v>
      </c>
      <c r="C109" s="0" t="s">
        <v>813</v>
      </c>
      <c r="D109" s="0" t="s">
        <v>30</v>
      </c>
      <c r="E109" s="0" t="str">
        <f aca="false">$B109&amp;"|"&amp;$C109&amp;"|"&amp;$D109</f>
        <v>Nkhotakota District [YCKiBAp8QAg]|18-20|Female</v>
      </c>
      <c r="G109" s="10"/>
      <c r="H109" s="10"/>
      <c r="I109" s="88" t="str">
        <f aca="false">IF(SUM($H109)=0,"",0%)</f>
        <v/>
      </c>
      <c r="J109" s="88"/>
      <c r="K109" s="88"/>
      <c r="L109" s="88" t="n">
        <f aca="false">1-IF(NOT(AND($D109="Female",OR($C109="10-14",$C109="15-17",$F109="Y"))),0,$J109)-IF(NOT(OR($C109="05-09",$C109="10-14")),0,$K109)</f>
        <v>1</v>
      </c>
      <c r="M109" s="88" t="n">
        <f aca="false">IF(SUM($L109)=0,"",20%)</f>
        <v>0.2</v>
      </c>
      <c r="N109" s="10" t="str">
        <f aca="false">IF(SUM($H109)=0,"",ROUND($H109*(1+$I109),0))</f>
        <v/>
      </c>
      <c r="O109" s="39" t="str">
        <f aca="false">IF(OR(SUM($N109)=0,SUM($J109)=0,NOT(AND($D109="Female",$F109="Y",OR($C109="10-14",$C109="15-17")))),"",ROUND($N109*$J109,0))</f>
        <v/>
      </c>
      <c r="P109" s="39" t="str">
        <f aca="false">IF(OR(SUM($N109)=0,SUM($K109)=0,NOT(OR($C109="10-14",$C109="05-09"))),"",ROUND($N109*$K109,0))</f>
        <v/>
      </c>
      <c r="Q109" s="39" t="str">
        <f aca="false">IFERROR(1/(1/ROUND($N109*$L109*$M109,0)),"")</f>
        <v/>
      </c>
      <c r="R109" s="39" t="str">
        <f aca="false">IFERROR(1/(1/(ROUND($N109*$L109,0)-$Q109)),"")</f>
        <v/>
      </c>
      <c r="S109" s="88" t="str">
        <f aca="false">IF(OR($C109="18+",$C109="18-20",SUM($Q109,$R109)=0),"",100%)</f>
        <v/>
      </c>
      <c r="T109" s="39" t="str">
        <f aca="false">IF(OR($C109="18+",$C109="18-20",SUM($Q109,$R109)=0),"",ROUND(SUM($Q109,$R109)*$S109,0))</f>
        <v/>
      </c>
    </row>
    <row r="110" customFormat="false" ht="15" hidden="false" customHeight="false" outlineLevel="0" collapsed="false">
      <c r="A110" s="0" t="str">
        <f aca="false">INDEX(Prioritization!$D:$D,MATCH($B110,Prioritization!$A:$A,0))</f>
        <v>1 - Scale-up: Saturation</v>
      </c>
      <c r="B110" s="0" t="s">
        <v>200</v>
      </c>
      <c r="C110" s="0" t="s">
        <v>813</v>
      </c>
      <c r="D110" s="0" t="s">
        <v>48</v>
      </c>
      <c r="E110" s="0" t="str">
        <f aca="false">$B110&amp;"|"&amp;$C110&amp;"|"&amp;$D110</f>
        <v>Nkhotakota District [YCKiBAp8QAg]|18-20|Male</v>
      </c>
      <c r="G110" s="10"/>
      <c r="H110" s="10"/>
      <c r="I110" s="88" t="str">
        <f aca="false">IF(SUM($H110)=0,"",0%)</f>
        <v/>
      </c>
      <c r="J110" s="88"/>
      <c r="K110" s="88"/>
      <c r="L110" s="88" t="n">
        <f aca="false">1-IF(NOT(AND($D110="Female",OR($C110="10-14",$C110="15-17",$F110="Y"))),0,$J110)-IF(NOT(OR($C110="05-09",$C110="10-14")),0,$K110)</f>
        <v>1</v>
      </c>
      <c r="M110" s="88" t="n">
        <f aca="false">IF(SUM($L110)=0,"",20%)</f>
        <v>0.2</v>
      </c>
      <c r="N110" s="10" t="str">
        <f aca="false">IF(SUM($H110)=0,"",ROUND($H110*(1+$I110),0))</f>
        <v/>
      </c>
      <c r="O110" s="39" t="str">
        <f aca="false">IF(OR(SUM($N110)=0,SUM($J110)=0,NOT(AND($D110="Female",$F110="Y",OR($C110="10-14",$C110="15-17")))),"",ROUND($N110*$J110,0))</f>
        <v/>
      </c>
      <c r="P110" s="39" t="str">
        <f aca="false">IF(OR(SUM($N110)=0,SUM($K110)=0,NOT(OR($C110="10-14",$C110="05-09"))),"",ROUND($N110*$K110,0))</f>
        <v/>
      </c>
      <c r="Q110" s="39" t="str">
        <f aca="false">IFERROR(1/(1/ROUND($N110*$L110*$M110,0)),"")</f>
        <v/>
      </c>
      <c r="R110" s="39" t="str">
        <f aca="false">IFERROR(1/(1/(ROUND($N110*$L110,0)-$Q110)),"")</f>
        <v/>
      </c>
      <c r="S110" s="88" t="str">
        <f aca="false">IF(OR($C110="18+",$C110="18-20",SUM($Q110,$R110)=0),"",100%)</f>
        <v/>
      </c>
      <c r="T110" s="39" t="str">
        <f aca="false">IF(OR($C110="18+",$C110="18-20",SUM($Q110,$R110)=0),"",ROUND(SUM($Q110,$R110)*$S110,0))</f>
        <v/>
      </c>
    </row>
    <row r="111" customFormat="false" ht="15" hidden="false" customHeight="false" outlineLevel="0" collapsed="false">
      <c r="A111" s="0" t="str">
        <f aca="false">INDEX(Prioritization!$D:$D,MATCH($B111,Prioritization!$A:$A,0))</f>
        <v>1 - Scale-up: Saturation</v>
      </c>
      <c r="B111" s="0" t="s">
        <v>200</v>
      </c>
      <c r="C111" s="0" t="s">
        <v>814</v>
      </c>
      <c r="D111" s="0" t="s">
        <v>30</v>
      </c>
      <c r="E111" s="0" t="str">
        <f aca="false">$B111&amp;"|"&amp;$C111&amp;"|"&amp;$D111</f>
        <v>Nkhotakota District [YCKiBAp8QAg]|18+|Female</v>
      </c>
      <c r="G111" s="10"/>
      <c r="H111" s="10"/>
      <c r="I111" s="88" t="str">
        <f aca="false">IF(SUM($H111)=0,"",0%)</f>
        <v/>
      </c>
      <c r="J111" s="88"/>
      <c r="K111" s="88"/>
      <c r="L111" s="88" t="n">
        <f aca="false">1-IF(NOT(AND($D111="Female",OR($C111="10-14",$C111="15-17",$F111="Y"))),0,$J111)-IF(NOT(OR($C111="05-09",$C111="10-14")),0,$K111)</f>
        <v>1</v>
      </c>
      <c r="M111" s="88" t="n">
        <f aca="false">IF(SUM($L111)=0,"",20%)</f>
        <v>0.2</v>
      </c>
      <c r="N111" s="10" t="str">
        <f aca="false">IF(SUM($H111)=0,"",ROUND($H111*(1+$I111),0))</f>
        <v/>
      </c>
      <c r="O111" s="39" t="str">
        <f aca="false">IF(OR(SUM($N111)=0,SUM($J111)=0,NOT(AND($D111="Female",$F111="Y",OR($C111="10-14",$C111="15-17")))),"",ROUND($N111*$J111,0))</f>
        <v/>
      </c>
      <c r="P111" s="39" t="str">
        <f aca="false">IF(OR(SUM($N111)=0,SUM($K111)=0,NOT(OR($C111="10-14",$C111="05-09"))),"",ROUND($N111*$K111,0))</f>
        <v/>
      </c>
      <c r="Q111" s="39" t="str">
        <f aca="false">IFERROR(1/(1/ROUND($N111*$L111*$M111,0)),"")</f>
        <v/>
      </c>
      <c r="R111" s="39" t="str">
        <f aca="false">IFERROR(1/(1/(ROUND($N111*$L111,0)-$Q111)),"")</f>
        <v/>
      </c>
      <c r="S111" s="88" t="str">
        <f aca="false">IF(OR($C111="18+",$C111="18-20",SUM($Q111,$R111)=0),"",100%)</f>
        <v/>
      </c>
      <c r="T111" s="39" t="str">
        <f aca="false">IF(OR($C111="18+",$C111="18-20",SUM($Q111,$R111)=0),"",ROUND(SUM($Q111,$R111)*$S111,0))</f>
        <v/>
      </c>
    </row>
    <row r="112" customFormat="false" ht="15" hidden="false" customHeight="false" outlineLevel="0" collapsed="false">
      <c r="A112" s="0" t="str">
        <f aca="false">INDEX(Prioritization!$D:$D,MATCH($B112,Prioritization!$A:$A,0))</f>
        <v>1 - Scale-up: Saturation</v>
      </c>
      <c r="B112" s="0" t="s">
        <v>200</v>
      </c>
      <c r="C112" s="0" t="s">
        <v>814</v>
      </c>
      <c r="D112" s="0" t="s">
        <v>48</v>
      </c>
      <c r="E112" s="0" t="str">
        <f aca="false">$B112&amp;"|"&amp;$C112&amp;"|"&amp;$D112</f>
        <v>Nkhotakota District [YCKiBAp8QAg]|18+|Male</v>
      </c>
      <c r="G112" s="10"/>
      <c r="H112" s="10"/>
      <c r="I112" s="88" t="str">
        <f aca="false">IF(SUM($H112)=0,"",0%)</f>
        <v/>
      </c>
      <c r="J112" s="88"/>
      <c r="K112" s="88"/>
      <c r="L112" s="88" t="n">
        <f aca="false">1-IF(NOT(AND($D112="Female",OR($C112="10-14",$C112="15-17",$F112="Y"))),0,$J112)-IF(NOT(OR($C112="05-09",$C112="10-14")),0,$K112)</f>
        <v>1</v>
      </c>
      <c r="M112" s="88" t="n">
        <f aca="false">IF(SUM($L112)=0,"",20%)</f>
        <v>0.2</v>
      </c>
      <c r="N112" s="10" t="str">
        <f aca="false">IF(SUM($H112)=0,"",ROUND($H112*(1+$I112),0))</f>
        <v/>
      </c>
      <c r="O112" s="39" t="str">
        <f aca="false">IF(OR(SUM($N112)=0,SUM($J112)=0,NOT(AND($D112="Female",$F112="Y",OR($C112="10-14",$C112="15-17")))),"",ROUND($N112*$J112,0))</f>
        <v/>
      </c>
      <c r="P112" s="39" t="str">
        <f aca="false">IF(OR(SUM($N112)=0,SUM($K112)=0,NOT(OR($C112="10-14",$C112="05-09"))),"",ROUND($N112*$K112,0))</f>
        <v/>
      </c>
      <c r="Q112" s="39" t="str">
        <f aca="false">IFERROR(1/(1/ROUND($N112*$L112*$M112,0)),"")</f>
        <v/>
      </c>
      <c r="R112" s="39" t="str">
        <f aca="false">IFERROR(1/(1/(ROUND($N112*$L112,0)-$Q112)),"")</f>
        <v/>
      </c>
      <c r="S112" s="88" t="str">
        <f aca="false">IF(OR($C112="18+",$C112="18-20",SUM($Q112,$R112)=0),"",100%)</f>
        <v/>
      </c>
      <c r="T112" s="39" t="str">
        <f aca="false">IF(OR($C112="18+",$C112="18-20",SUM($Q112,$R112)=0),"",ROUND(SUM($Q112,$R112)*$S112,0))</f>
        <v/>
      </c>
    </row>
    <row r="113" customFormat="false" ht="15" hidden="false" customHeight="false" outlineLevel="0" collapsed="false">
      <c r="A113" s="0" t="str">
        <f aca="false">INDEX(Prioritization!$D:$D,MATCH($B113,Prioritization!$A:$A,0))</f>
        <v>INVALID</v>
      </c>
      <c r="B113" s="0" t="s">
        <v>201</v>
      </c>
      <c r="C113" s="0" t="s">
        <v>316</v>
      </c>
      <c r="D113" s="0" t="s">
        <v>30</v>
      </c>
      <c r="E113" s="0" t="str">
        <f aca="false">$B113&amp;"|"&amp;$C113&amp;"|"&amp;$D113</f>
        <v>Ntcheu District [am530wpaGvr]|&lt;01|Female</v>
      </c>
      <c r="G113" s="10"/>
      <c r="H113" s="10"/>
      <c r="I113" s="88" t="str">
        <f aca="false">IF(SUM($H113)=0,"",0%)</f>
        <v/>
      </c>
      <c r="J113" s="88"/>
      <c r="K113" s="88"/>
      <c r="L113" s="88" t="n">
        <f aca="false">1-IF(NOT(AND($D113="Female",OR($C113="10-14",$C113="15-17",$F113="Y"))),0,$J113)-IF(NOT(OR($C113="05-09",$C113="10-14")),0,$K113)</f>
        <v>1</v>
      </c>
      <c r="M113" s="88" t="n">
        <f aca="false">IF(SUM($L113)=0,"",20%)</f>
        <v>0.2</v>
      </c>
      <c r="N113" s="10" t="str">
        <f aca="false">IF(SUM($H113)=0,"",ROUND($H113*(1+$I113),0))</f>
        <v/>
      </c>
      <c r="O113" s="39" t="str">
        <f aca="false">IF(OR(SUM($N113)=0,SUM($J113)=0,NOT(AND($D113="Female",$F113="Y",OR($C113="10-14",$C113="15-17")))),"",ROUND($N113*$J113,0))</f>
        <v/>
      </c>
      <c r="P113" s="39" t="str">
        <f aca="false">IF(OR(SUM($N113)=0,SUM($K113)=0,NOT(OR($C113="10-14",$C113="05-09"))),"",ROUND($N113*$K113,0))</f>
        <v/>
      </c>
      <c r="Q113" s="39" t="str">
        <f aca="false">IFERROR(1/(1/ROUND($N113*$L113*$M113,0)),"")</f>
        <v/>
      </c>
      <c r="R113" s="39" t="str">
        <f aca="false">IFERROR(1/(1/(ROUND($N113*$L113,0)-$Q113)),"")</f>
        <v/>
      </c>
      <c r="S113" s="88" t="str">
        <f aca="false">IF(OR($C113="18+",$C113="18-20",SUM($Q113,$R113)=0),"",100%)</f>
        <v/>
      </c>
      <c r="T113" s="39" t="str">
        <f aca="false">IF(OR($C113="18+",$C113="18-20",SUM($Q113,$R113)=0),"",ROUND(SUM($Q113,$R113)*$S113,0))</f>
        <v/>
      </c>
    </row>
    <row r="114" customFormat="false" ht="15" hidden="false" customHeight="false" outlineLevel="0" collapsed="false">
      <c r="A114" s="0" t="str">
        <f aca="false">INDEX(Prioritization!$D:$D,MATCH($B114,Prioritization!$A:$A,0))</f>
        <v>INVALID</v>
      </c>
      <c r="B114" s="0" t="s">
        <v>201</v>
      </c>
      <c r="C114" s="0" t="s">
        <v>316</v>
      </c>
      <c r="D114" s="0" t="s">
        <v>48</v>
      </c>
      <c r="E114" s="0" t="str">
        <f aca="false">$B114&amp;"|"&amp;$C114&amp;"|"&amp;$D114</f>
        <v>Ntcheu District [am530wpaGvr]|&lt;01|Male</v>
      </c>
      <c r="G114" s="10"/>
      <c r="H114" s="10"/>
      <c r="I114" s="88" t="str">
        <f aca="false">IF(SUM($H114)=0,"",0%)</f>
        <v/>
      </c>
      <c r="J114" s="88"/>
      <c r="K114" s="88"/>
      <c r="L114" s="88" t="n">
        <f aca="false">1-IF(NOT(AND($D114="Female",OR($C114="10-14",$C114="15-17",$F114="Y"))),0,$J114)-IF(NOT(OR($C114="05-09",$C114="10-14")),0,$K114)</f>
        <v>1</v>
      </c>
      <c r="M114" s="88" t="n">
        <f aca="false">IF(SUM($L114)=0,"",20%)</f>
        <v>0.2</v>
      </c>
      <c r="N114" s="10" t="str">
        <f aca="false">IF(SUM($H114)=0,"",ROUND($H114*(1+$I114),0))</f>
        <v/>
      </c>
      <c r="O114" s="39" t="str">
        <f aca="false">IF(OR(SUM($N114)=0,SUM($J114)=0,NOT(AND($D114="Female",$F114="Y",OR($C114="10-14",$C114="15-17")))),"",ROUND($N114*$J114,0))</f>
        <v/>
      </c>
      <c r="P114" s="39" t="str">
        <f aca="false">IF(OR(SUM($N114)=0,SUM($K114)=0,NOT(OR($C114="10-14",$C114="05-09"))),"",ROUND($N114*$K114,0))</f>
        <v/>
      </c>
      <c r="Q114" s="39" t="str">
        <f aca="false">IFERROR(1/(1/ROUND($N114*$L114*$M114,0)),"")</f>
        <v/>
      </c>
      <c r="R114" s="39" t="str">
        <f aca="false">IFERROR(1/(1/(ROUND($N114*$L114,0)-$Q114)),"")</f>
        <v/>
      </c>
      <c r="S114" s="88" t="str">
        <f aca="false">IF(OR($C114="18+",$C114="18-20",SUM($Q114,$R114)=0),"",100%)</f>
        <v/>
      </c>
      <c r="T114" s="39" t="str">
        <f aca="false">IF(OR($C114="18+",$C114="18-20",SUM($Q114,$R114)=0),"",ROUND(SUM($Q114,$R114)*$S114,0))</f>
        <v/>
      </c>
    </row>
    <row r="115" customFormat="false" ht="15" hidden="false" customHeight="false" outlineLevel="0" collapsed="false">
      <c r="A115" s="0" t="str">
        <f aca="false">INDEX(Prioritization!$D:$D,MATCH($B115,Prioritization!$A:$A,0))</f>
        <v>INVALID</v>
      </c>
      <c r="B115" s="0" t="s">
        <v>201</v>
      </c>
      <c r="C115" s="0" t="s">
        <v>810</v>
      </c>
      <c r="D115" s="0" t="s">
        <v>30</v>
      </c>
      <c r="E115" s="0" t="str">
        <f aca="false">$B115&amp;"|"&amp;$C115&amp;"|"&amp;$D115</f>
        <v>Ntcheu District [am530wpaGvr]|01-04|Female</v>
      </c>
      <c r="G115" s="10"/>
      <c r="H115" s="10"/>
      <c r="I115" s="88" t="str">
        <f aca="false">IF(SUM($H115)=0,"",0%)</f>
        <v/>
      </c>
      <c r="J115" s="88"/>
      <c r="K115" s="88"/>
      <c r="L115" s="88" t="n">
        <f aca="false">1-IF(NOT(AND($D115="Female",OR($C115="10-14",$C115="15-17",$F115="Y"))),0,$J115)-IF(NOT(OR($C115="05-09",$C115="10-14")),0,$K115)</f>
        <v>1</v>
      </c>
      <c r="M115" s="88" t="n">
        <f aca="false">IF(SUM($L115)=0,"",20%)</f>
        <v>0.2</v>
      </c>
      <c r="N115" s="10" t="str">
        <f aca="false">IF(SUM($H115)=0,"",ROUND($H115*(1+$I115),0))</f>
        <v/>
      </c>
      <c r="O115" s="39" t="str">
        <f aca="false">IF(OR(SUM($N115)=0,SUM($J115)=0,NOT(AND($D115="Female",$F115="Y",OR($C115="10-14",$C115="15-17")))),"",ROUND($N115*$J115,0))</f>
        <v/>
      </c>
      <c r="P115" s="39" t="str">
        <f aca="false">IF(OR(SUM($N115)=0,SUM($K115)=0,NOT(OR($C115="10-14",$C115="05-09"))),"",ROUND($N115*$K115,0))</f>
        <v/>
      </c>
      <c r="Q115" s="39" t="str">
        <f aca="false">IFERROR(1/(1/ROUND($N115*$L115*$M115,0)),"")</f>
        <v/>
      </c>
      <c r="R115" s="39" t="str">
        <f aca="false">IFERROR(1/(1/(ROUND($N115*$L115,0)-$Q115)),"")</f>
        <v/>
      </c>
      <c r="S115" s="88" t="str">
        <f aca="false">IF(OR($C115="18+",$C115="18-20",SUM($Q115,$R115)=0),"",100%)</f>
        <v/>
      </c>
      <c r="T115" s="39" t="str">
        <f aca="false">IF(OR($C115="18+",$C115="18-20",SUM($Q115,$R115)=0),"",ROUND(SUM($Q115,$R115)*$S115,0))</f>
        <v/>
      </c>
    </row>
    <row r="116" customFormat="false" ht="15" hidden="false" customHeight="false" outlineLevel="0" collapsed="false">
      <c r="A116" s="0" t="str">
        <f aca="false">INDEX(Prioritization!$D:$D,MATCH($B116,Prioritization!$A:$A,0))</f>
        <v>INVALID</v>
      </c>
      <c r="B116" s="0" t="s">
        <v>201</v>
      </c>
      <c r="C116" s="0" t="s">
        <v>810</v>
      </c>
      <c r="D116" s="0" t="s">
        <v>48</v>
      </c>
      <c r="E116" s="0" t="str">
        <f aca="false">$B116&amp;"|"&amp;$C116&amp;"|"&amp;$D116</f>
        <v>Ntcheu District [am530wpaGvr]|01-04|Male</v>
      </c>
      <c r="G116" s="10"/>
      <c r="H116" s="10"/>
      <c r="I116" s="88" t="str">
        <f aca="false">IF(SUM($H116)=0,"",0%)</f>
        <v/>
      </c>
      <c r="J116" s="88"/>
      <c r="K116" s="88"/>
      <c r="L116" s="88" t="n">
        <f aca="false">1-IF(NOT(AND($D116="Female",OR($C116="10-14",$C116="15-17",$F116="Y"))),0,$J116)-IF(NOT(OR($C116="05-09",$C116="10-14")),0,$K116)</f>
        <v>1</v>
      </c>
      <c r="M116" s="88" t="n">
        <f aca="false">IF(SUM($L116)=0,"",20%)</f>
        <v>0.2</v>
      </c>
      <c r="N116" s="10" t="str">
        <f aca="false">IF(SUM($H116)=0,"",ROUND($H116*(1+$I116),0))</f>
        <v/>
      </c>
      <c r="O116" s="39" t="str">
        <f aca="false">IF(OR(SUM($N116)=0,SUM($J116)=0,NOT(AND($D116="Female",$F116="Y",OR($C116="10-14",$C116="15-17")))),"",ROUND($N116*$J116,0))</f>
        <v/>
      </c>
      <c r="P116" s="39" t="str">
        <f aca="false">IF(OR(SUM($N116)=0,SUM($K116)=0,NOT(OR($C116="10-14",$C116="05-09"))),"",ROUND($N116*$K116,0))</f>
        <v/>
      </c>
      <c r="Q116" s="39" t="str">
        <f aca="false">IFERROR(1/(1/ROUND($N116*$L116*$M116,0)),"")</f>
        <v/>
      </c>
      <c r="R116" s="39" t="str">
        <f aca="false">IFERROR(1/(1/(ROUND($N116*$L116,0)-$Q116)),"")</f>
        <v/>
      </c>
      <c r="S116" s="88" t="str">
        <f aca="false">IF(OR($C116="18+",$C116="18-20",SUM($Q116,$R116)=0),"",100%)</f>
        <v/>
      </c>
      <c r="T116" s="39" t="str">
        <f aca="false">IF(OR($C116="18+",$C116="18-20",SUM($Q116,$R116)=0),"",ROUND(SUM($Q116,$R116)*$S116,0))</f>
        <v/>
      </c>
    </row>
    <row r="117" customFormat="false" ht="15" hidden="false" customHeight="false" outlineLevel="0" collapsed="false">
      <c r="A117" s="0" t="str">
        <f aca="false">INDEX(Prioritization!$D:$D,MATCH($B117,Prioritization!$A:$A,0))</f>
        <v>INVALID</v>
      </c>
      <c r="B117" s="0" t="s">
        <v>201</v>
      </c>
      <c r="C117" s="0" t="s">
        <v>811</v>
      </c>
      <c r="D117" s="0" t="s">
        <v>30</v>
      </c>
      <c r="E117" s="0" t="str">
        <f aca="false">$B117&amp;"|"&amp;$C117&amp;"|"&amp;$D117</f>
        <v>Ntcheu District [am530wpaGvr]|05-09|Female</v>
      </c>
      <c r="G117" s="10"/>
      <c r="H117" s="10"/>
      <c r="I117" s="88" t="str">
        <f aca="false">IF(SUM($H117)=0,"",0%)</f>
        <v/>
      </c>
      <c r="J117" s="88"/>
      <c r="K117" s="88"/>
      <c r="L117" s="88" t="n">
        <f aca="false">1-IF(NOT(AND($D117="Female",OR($C117="10-14",$C117="15-17",$F117="Y"))),0,$J117)-IF(NOT(OR($C117="05-09",$C117="10-14")),0,$K117)</f>
        <v>1</v>
      </c>
      <c r="M117" s="88" t="n">
        <f aca="false">IF(SUM($L117)=0,"",20%)</f>
        <v>0.2</v>
      </c>
      <c r="N117" s="10" t="str">
        <f aca="false">IF(SUM($H117)=0,"",ROUND($H117*(1+$I117),0))</f>
        <v/>
      </c>
      <c r="O117" s="39" t="str">
        <f aca="false">IF(OR(SUM($N117)=0,SUM($J117)=0,NOT(AND($D117="Female",$F117="Y",OR($C117="10-14",$C117="15-17")))),"",ROUND($N117*$J117,0))</f>
        <v/>
      </c>
      <c r="P117" s="39" t="str">
        <f aca="false">IF(OR(SUM($N117)=0,SUM($K117)=0,NOT(OR($C117="10-14",$C117="05-09"))),"",ROUND($N117*$K117,0))</f>
        <v/>
      </c>
      <c r="Q117" s="39" t="str">
        <f aca="false">IFERROR(1/(1/ROUND($N117*$L117*$M117,0)),"")</f>
        <v/>
      </c>
      <c r="R117" s="39" t="str">
        <f aca="false">IFERROR(1/(1/(ROUND($N117*$L117,0)-$Q117)),"")</f>
        <v/>
      </c>
      <c r="S117" s="88" t="str">
        <f aca="false">IF(OR($C117="18+",$C117="18-20",SUM($Q117,$R117)=0),"",100%)</f>
        <v/>
      </c>
      <c r="T117" s="39" t="str">
        <f aca="false">IF(OR($C117="18+",$C117="18-20",SUM($Q117,$R117)=0),"",ROUND(SUM($Q117,$R117)*$S117,0))</f>
        <v/>
      </c>
    </row>
    <row r="118" customFormat="false" ht="15" hidden="false" customHeight="false" outlineLevel="0" collapsed="false">
      <c r="A118" s="0" t="str">
        <f aca="false">INDEX(Prioritization!$D:$D,MATCH($B118,Prioritization!$A:$A,0))</f>
        <v>INVALID</v>
      </c>
      <c r="B118" s="0" t="s">
        <v>201</v>
      </c>
      <c r="C118" s="0" t="s">
        <v>811</v>
      </c>
      <c r="D118" s="0" t="s">
        <v>48</v>
      </c>
      <c r="E118" s="0" t="str">
        <f aca="false">$B118&amp;"|"&amp;$C118&amp;"|"&amp;$D118</f>
        <v>Ntcheu District [am530wpaGvr]|05-09|Male</v>
      </c>
      <c r="G118" s="10"/>
      <c r="H118" s="10"/>
      <c r="I118" s="88" t="str">
        <f aca="false">IF(SUM($H118)=0,"",0%)</f>
        <v/>
      </c>
      <c r="J118" s="88"/>
      <c r="K118" s="88"/>
      <c r="L118" s="88" t="n">
        <f aca="false">1-IF(NOT(AND($D118="Female",OR($C118="10-14",$C118="15-17",$F118="Y"))),0,$J118)-IF(NOT(OR($C118="05-09",$C118="10-14")),0,$K118)</f>
        <v>1</v>
      </c>
      <c r="M118" s="88" t="n">
        <f aca="false">IF(SUM($L118)=0,"",20%)</f>
        <v>0.2</v>
      </c>
      <c r="N118" s="10" t="str">
        <f aca="false">IF(SUM($H118)=0,"",ROUND($H118*(1+$I118),0))</f>
        <v/>
      </c>
      <c r="O118" s="39" t="str">
        <f aca="false">IF(OR(SUM($N118)=0,SUM($J118)=0,NOT(AND($D118="Female",$F118="Y",OR($C118="10-14",$C118="15-17")))),"",ROUND($N118*$J118,0))</f>
        <v/>
      </c>
      <c r="P118" s="39" t="str">
        <f aca="false">IF(OR(SUM($N118)=0,SUM($K118)=0,NOT(OR($C118="10-14",$C118="05-09"))),"",ROUND($N118*$K118,0))</f>
        <v/>
      </c>
      <c r="Q118" s="39" t="str">
        <f aca="false">IFERROR(1/(1/ROUND($N118*$L118*$M118,0)),"")</f>
        <v/>
      </c>
      <c r="R118" s="39" t="str">
        <f aca="false">IFERROR(1/(1/(ROUND($N118*$L118,0)-$Q118)),"")</f>
        <v/>
      </c>
      <c r="S118" s="88" t="str">
        <f aca="false">IF(OR($C118="18+",$C118="18-20",SUM($Q118,$R118)=0),"",100%)</f>
        <v/>
      </c>
      <c r="T118" s="39" t="str">
        <f aca="false">IF(OR($C118="18+",$C118="18-20",SUM($Q118,$R118)=0),"",ROUND(SUM($Q118,$R118)*$S118,0))</f>
        <v/>
      </c>
    </row>
    <row r="119" customFormat="false" ht="15" hidden="false" customHeight="false" outlineLevel="0" collapsed="false">
      <c r="A119" s="0" t="str">
        <f aca="false">INDEX(Prioritization!$D:$D,MATCH($B119,Prioritization!$A:$A,0))</f>
        <v>INVALID</v>
      </c>
      <c r="B119" s="0" t="s">
        <v>201</v>
      </c>
      <c r="C119" s="0" t="s">
        <v>364</v>
      </c>
      <c r="D119" s="0" t="s">
        <v>30</v>
      </c>
      <c r="E119" s="0" t="str">
        <f aca="false">$B119&amp;"|"&amp;$C119&amp;"|"&amp;$D119</f>
        <v>Ntcheu District [am530wpaGvr]|10-14|Female</v>
      </c>
      <c r="G119" s="10"/>
      <c r="H119" s="10" t="n">
        <v>3</v>
      </c>
      <c r="I119" s="88" t="n">
        <f aca="false">IF(SUM($H119)=0,"",0%)</f>
        <v>0</v>
      </c>
      <c r="J119" s="88"/>
      <c r="K119" s="88"/>
      <c r="L119" s="88" t="n">
        <f aca="false">1-IF(NOT(AND($D119="Female",OR($C119="10-14",$C119="15-17",$F119="Y"))),0,$J119)-IF(NOT(OR($C119="05-09",$C119="10-14")),0,$K119)</f>
        <v>1</v>
      </c>
      <c r="M119" s="88" t="n">
        <f aca="false">IF(SUM($L119)=0,"",20%)</f>
        <v>0.2</v>
      </c>
      <c r="N119" s="10" t="n">
        <f aca="false">IF(SUM($H119)=0,"",ROUND($H119*(1+$I119),0))</f>
        <v>3</v>
      </c>
      <c r="O119" s="39" t="str">
        <f aca="false">IF(OR(SUM($N119)=0,SUM($J119)=0,NOT(AND($D119="Female",$F119="Y",OR($C119="10-14",$C119="15-17")))),"",ROUND($N119*$J119,0))</f>
        <v/>
      </c>
      <c r="P119" s="39" t="str">
        <f aca="false">IF(OR(SUM($N119)=0,SUM($K119)=0,NOT(OR($C119="10-14",$C119="05-09"))),"",ROUND($N119*$K119,0))</f>
        <v/>
      </c>
      <c r="Q119" s="39" t="n">
        <f aca="false">IFERROR(1/(1/ROUND($N119*$L119*$M119,0)),"")</f>
        <v>1</v>
      </c>
      <c r="R119" s="39" t="n">
        <f aca="false">IFERROR(1/(1/(ROUND($N119*$L119,0)-$Q119)),"")</f>
        <v>2</v>
      </c>
      <c r="S119" s="88" t="n">
        <f aca="false">IF(OR($C119="18+",$C119="18-20",SUM($Q119,$R119)=0),"",100%)</f>
        <v>1</v>
      </c>
      <c r="T119" s="39" t="n">
        <f aca="false">IF(OR($C119="18+",$C119="18-20",SUM($Q119,$R119)=0),"",ROUND(SUM($Q119,$R119)*$S119,0))</f>
        <v>3</v>
      </c>
    </row>
    <row r="120" customFormat="false" ht="15" hidden="false" customHeight="false" outlineLevel="0" collapsed="false">
      <c r="A120" s="0" t="str">
        <f aca="false">INDEX(Prioritization!$D:$D,MATCH($B120,Prioritization!$A:$A,0))</f>
        <v>INVALID</v>
      </c>
      <c r="B120" s="0" t="s">
        <v>201</v>
      </c>
      <c r="C120" s="0" t="s">
        <v>364</v>
      </c>
      <c r="D120" s="0" t="s">
        <v>48</v>
      </c>
      <c r="E120" s="0" t="str">
        <f aca="false">$B120&amp;"|"&amp;$C120&amp;"|"&amp;$D120</f>
        <v>Ntcheu District [am530wpaGvr]|10-14|Male</v>
      </c>
      <c r="G120" s="10"/>
      <c r="H120" s="10" t="n">
        <v>5</v>
      </c>
      <c r="I120" s="88" t="n">
        <f aca="false">IF(SUM($H120)=0,"",0%)</f>
        <v>0</v>
      </c>
      <c r="J120" s="88"/>
      <c r="K120" s="88"/>
      <c r="L120" s="88" t="n">
        <f aca="false">1-IF(NOT(AND($D120="Female",OR($C120="10-14",$C120="15-17",$F120="Y"))),0,$J120)-IF(NOT(OR($C120="05-09",$C120="10-14")),0,$K120)</f>
        <v>1</v>
      </c>
      <c r="M120" s="88" t="n">
        <f aca="false">IF(SUM($L120)=0,"",20%)</f>
        <v>0.2</v>
      </c>
      <c r="N120" s="10" t="n">
        <f aca="false">IF(SUM($H120)=0,"",ROUND($H120*(1+$I120),0))</f>
        <v>5</v>
      </c>
      <c r="O120" s="39" t="str">
        <f aca="false">IF(OR(SUM($N120)=0,SUM($J120)=0,NOT(AND($D120="Female",$F120="Y",OR($C120="10-14",$C120="15-17")))),"",ROUND($N120*$J120,0))</f>
        <v/>
      </c>
      <c r="P120" s="39" t="str">
        <f aca="false">IF(OR(SUM($N120)=0,SUM($K120)=0,NOT(OR($C120="10-14",$C120="05-09"))),"",ROUND($N120*$K120,0))</f>
        <v/>
      </c>
      <c r="Q120" s="39" t="n">
        <f aca="false">IFERROR(1/(1/ROUND($N120*$L120*$M120,0)),"")</f>
        <v>1</v>
      </c>
      <c r="R120" s="39" t="n">
        <f aca="false">IFERROR(1/(1/(ROUND($N120*$L120,0)-$Q120)),"")</f>
        <v>4</v>
      </c>
      <c r="S120" s="88" t="n">
        <f aca="false">IF(OR($C120="18+",$C120="18-20",SUM($Q120,$R120)=0),"",100%)</f>
        <v>1</v>
      </c>
      <c r="T120" s="39" t="n">
        <f aca="false">IF(OR($C120="18+",$C120="18-20",SUM($Q120,$R120)=0),"",ROUND(SUM($Q120,$R120)*$S120,0))</f>
        <v>5</v>
      </c>
    </row>
    <row r="121" customFormat="false" ht="15" hidden="false" customHeight="false" outlineLevel="0" collapsed="false">
      <c r="A121" s="0" t="str">
        <f aca="false">INDEX(Prioritization!$D:$D,MATCH($B121,Prioritization!$A:$A,0))</f>
        <v>INVALID</v>
      </c>
      <c r="B121" s="0" t="s">
        <v>201</v>
      </c>
      <c r="C121" s="0" t="s">
        <v>812</v>
      </c>
      <c r="D121" s="0" t="s">
        <v>30</v>
      </c>
      <c r="E121" s="0" t="str">
        <f aca="false">$B121&amp;"|"&amp;$C121&amp;"|"&amp;$D121</f>
        <v>Ntcheu District [am530wpaGvr]|15-17|Female</v>
      </c>
      <c r="G121" s="10"/>
      <c r="H121" s="10"/>
      <c r="I121" s="88" t="str">
        <f aca="false">IF(SUM($H121)=0,"",0%)</f>
        <v/>
      </c>
      <c r="J121" s="88"/>
      <c r="K121" s="88"/>
      <c r="L121" s="88" t="n">
        <f aca="false">1-IF(NOT(AND($D121="Female",OR($C121="10-14",$C121="15-17",$F121="Y"))),0,$J121)-IF(NOT(OR($C121="05-09",$C121="10-14")),0,$K121)</f>
        <v>1</v>
      </c>
      <c r="M121" s="88" t="n">
        <f aca="false">IF(SUM($L121)=0,"",20%)</f>
        <v>0.2</v>
      </c>
      <c r="N121" s="10" t="str">
        <f aca="false">IF(SUM($H121)=0,"",ROUND($H121*(1+$I121),0))</f>
        <v/>
      </c>
      <c r="O121" s="39" t="str">
        <f aca="false">IF(OR(SUM($N121)=0,SUM($J121)=0,NOT(AND($D121="Female",$F121="Y",OR($C121="10-14",$C121="15-17")))),"",ROUND($N121*$J121,0))</f>
        <v/>
      </c>
      <c r="P121" s="39" t="str">
        <f aca="false">IF(OR(SUM($N121)=0,SUM($K121)=0,NOT(OR($C121="10-14",$C121="05-09"))),"",ROUND($N121*$K121,0))</f>
        <v/>
      </c>
      <c r="Q121" s="39" t="str">
        <f aca="false">IFERROR(1/(1/ROUND($N121*$L121*$M121,0)),"")</f>
        <v/>
      </c>
      <c r="R121" s="39" t="str">
        <f aca="false">IFERROR(1/(1/(ROUND($N121*$L121,0)-$Q121)),"")</f>
        <v/>
      </c>
      <c r="S121" s="88" t="str">
        <f aca="false">IF(OR($C121="18+",$C121="18-20",SUM($Q121,$R121)=0),"",100%)</f>
        <v/>
      </c>
      <c r="T121" s="39" t="str">
        <f aca="false">IF(OR($C121="18+",$C121="18-20",SUM($Q121,$R121)=0),"",ROUND(SUM($Q121,$R121)*$S121,0))</f>
        <v/>
      </c>
    </row>
    <row r="122" customFormat="false" ht="15" hidden="false" customHeight="false" outlineLevel="0" collapsed="false">
      <c r="A122" s="0" t="str">
        <f aca="false">INDEX(Prioritization!$D:$D,MATCH($B122,Prioritization!$A:$A,0))</f>
        <v>INVALID</v>
      </c>
      <c r="B122" s="0" t="s">
        <v>201</v>
      </c>
      <c r="C122" s="0" t="s">
        <v>812</v>
      </c>
      <c r="D122" s="0" t="s">
        <v>48</v>
      </c>
      <c r="E122" s="0" t="str">
        <f aca="false">$B122&amp;"|"&amp;$C122&amp;"|"&amp;$D122</f>
        <v>Ntcheu District [am530wpaGvr]|15-17|Male</v>
      </c>
      <c r="G122" s="10"/>
      <c r="H122" s="10"/>
      <c r="I122" s="88" t="str">
        <f aca="false">IF(SUM($H122)=0,"",0%)</f>
        <v/>
      </c>
      <c r="J122" s="88"/>
      <c r="K122" s="88"/>
      <c r="L122" s="88" t="n">
        <f aca="false">1-IF(NOT(AND($D122="Female",OR($C122="10-14",$C122="15-17",$F122="Y"))),0,$J122)-IF(NOT(OR($C122="05-09",$C122="10-14")),0,$K122)</f>
        <v>1</v>
      </c>
      <c r="M122" s="88" t="n">
        <f aca="false">IF(SUM($L122)=0,"",20%)</f>
        <v>0.2</v>
      </c>
      <c r="N122" s="10" t="str">
        <f aca="false">IF(SUM($H122)=0,"",ROUND($H122*(1+$I122),0))</f>
        <v/>
      </c>
      <c r="O122" s="39" t="str">
        <f aca="false">IF(OR(SUM($N122)=0,SUM($J122)=0,NOT(AND($D122="Female",$F122="Y",OR($C122="10-14",$C122="15-17")))),"",ROUND($N122*$J122,0))</f>
        <v/>
      </c>
      <c r="P122" s="39" t="str">
        <f aca="false">IF(OR(SUM($N122)=0,SUM($K122)=0,NOT(OR($C122="10-14",$C122="05-09"))),"",ROUND($N122*$K122,0))</f>
        <v/>
      </c>
      <c r="Q122" s="39" t="str">
        <f aca="false">IFERROR(1/(1/ROUND($N122*$L122*$M122,0)),"")</f>
        <v/>
      </c>
      <c r="R122" s="39" t="str">
        <f aca="false">IFERROR(1/(1/(ROUND($N122*$L122,0)-$Q122)),"")</f>
        <v/>
      </c>
      <c r="S122" s="88" t="str">
        <f aca="false">IF(OR($C122="18+",$C122="18-20",SUM($Q122,$R122)=0),"",100%)</f>
        <v/>
      </c>
      <c r="T122" s="39" t="str">
        <f aca="false">IF(OR($C122="18+",$C122="18-20",SUM($Q122,$R122)=0),"",ROUND(SUM($Q122,$R122)*$S122,0))</f>
        <v/>
      </c>
    </row>
    <row r="123" customFormat="false" ht="15" hidden="false" customHeight="false" outlineLevel="0" collapsed="false">
      <c r="A123" s="0" t="str">
        <f aca="false">INDEX(Prioritization!$D:$D,MATCH($B123,Prioritization!$A:$A,0))</f>
        <v>INVALID</v>
      </c>
      <c r="B123" s="0" t="s">
        <v>201</v>
      </c>
      <c r="C123" s="0" t="s">
        <v>813</v>
      </c>
      <c r="D123" s="0" t="s">
        <v>30</v>
      </c>
      <c r="E123" s="0" t="str">
        <f aca="false">$B123&amp;"|"&amp;$C123&amp;"|"&amp;$D123</f>
        <v>Ntcheu District [am530wpaGvr]|18-20|Female</v>
      </c>
      <c r="G123" s="10"/>
      <c r="H123" s="10"/>
      <c r="I123" s="88" t="str">
        <f aca="false">IF(SUM($H123)=0,"",0%)</f>
        <v/>
      </c>
      <c r="J123" s="88"/>
      <c r="K123" s="88"/>
      <c r="L123" s="88" t="n">
        <f aca="false">1-IF(NOT(AND($D123="Female",OR($C123="10-14",$C123="15-17",$F123="Y"))),0,$J123)-IF(NOT(OR($C123="05-09",$C123="10-14")),0,$K123)</f>
        <v>1</v>
      </c>
      <c r="M123" s="88" t="n">
        <f aca="false">IF(SUM($L123)=0,"",20%)</f>
        <v>0.2</v>
      </c>
      <c r="N123" s="10" t="str">
        <f aca="false">IF(SUM($H123)=0,"",ROUND($H123*(1+$I123),0))</f>
        <v/>
      </c>
      <c r="O123" s="39" t="str">
        <f aca="false">IF(OR(SUM($N123)=0,SUM($J123)=0,NOT(AND($D123="Female",$F123="Y",OR($C123="10-14",$C123="15-17")))),"",ROUND($N123*$J123,0))</f>
        <v/>
      </c>
      <c r="P123" s="39" t="str">
        <f aca="false">IF(OR(SUM($N123)=0,SUM($K123)=0,NOT(OR($C123="10-14",$C123="05-09"))),"",ROUND($N123*$K123,0))</f>
        <v/>
      </c>
      <c r="Q123" s="39" t="str">
        <f aca="false">IFERROR(1/(1/ROUND($N123*$L123*$M123,0)),"")</f>
        <v/>
      </c>
      <c r="R123" s="39" t="str">
        <f aca="false">IFERROR(1/(1/(ROUND($N123*$L123,0)-$Q123)),"")</f>
        <v/>
      </c>
      <c r="S123" s="88" t="str">
        <f aca="false">IF(OR($C123="18+",$C123="18-20",SUM($Q123,$R123)=0),"",100%)</f>
        <v/>
      </c>
      <c r="T123" s="39" t="str">
        <f aca="false">IF(OR($C123="18+",$C123="18-20",SUM($Q123,$R123)=0),"",ROUND(SUM($Q123,$R123)*$S123,0))</f>
        <v/>
      </c>
    </row>
    <row r="124" customFormat="false" ht="15" hidden="false" customHeight="false" outlineLevel="0" collapsed="false">
      <c r="A124" s="0" t="str">
        <f aca="false">INDEX(Prioritization!$D:$D,MATCH($B124,Prioritization!$A:$A,0))</f>
        <v>INVALID</v>
      </c>
      <c r="B124" s="0" t="s">
        <v>201</v>
      </c>
      <c r="C124" s="0" t="s">
        <v>813</v>
      </c>
      <c r="D124" s="0" t="s">
        <v>48</v>
      </c>
      <c r="E124" s="0" t="str">
        <f aca="false">$B124&amp;"|"&amp;$C124&amp;"|"&amp;$D124</f>
        <v>Ntcheu District [am530wpaGvr]|18-20|Male</v>
      </c>
      <c r="G124" s="10"/>
      <c r="H124" s="10"/>
      <c r="I124" s="88" t="str">
        <f aca="false">IF(SUM($H124)=0,"",0%)</f>
        <v/>
      </c>
      <c r="J124" s="88"/>
      <c r="K124" s="88"/>
      <c r="L124" s="88" t="n">
        <f aca="false">1-IF(NOT(AND($D124="Female",OR($C124="10-14",$C124="15-17",$F124="Y"))),0,$J124)-IF(NOT(OR($C124="05-09",$C124="10-14")),0,$K124)</f>
        <v>1</v>
      </c>
      <c r="M124" s="88" t="n">
        <f aca="false">IF(SUM($L124)=0,"",20%)</f>
        <v>0.2</v>
      </c>
      <c r="N124" s="10" t="str">
        <f aca="false">IF(SUM($H124)=0,"",ROUND($H124*(1+$I124),0))</f>
        <v/>
      </c>
      <c r="O124" s="39" t="str">
        <f aca="false">IF(OR(SUM($N124)=0,SUM($J124)=0,NOT(AND($D124="Female",$F124="Y",OR($C124="10-14",$C124="15-17")))),"",ROUND($N124*$J124,0))</f>
        <v/>
      </c>
      <c r="P124" s="39" t="str">
        <f aca="false">IF(OR(SUM($N124)=0,SUM($K124)=0,NOT(OR($C124="10-14",$C124="05-09"))),"",ROUND($N124*$K124,0))</f>
        <v/>
      </c>
      <c r="Q124" s="39" t="str">
        <f aca="false">IFERROR(1/(1/ROUND($N124*$L124*$M124,0)),"")</f>
        <v/>
      </c>
      <c r="R124" s="39" t="str">
        <f aca="false">IFERROR(1/(1/(ROUND($N124*$L124,0)-$Q124)),"")</f>
        <v/>
      </c>
      <c r="S124" s="88" t="str">
        <f aca="false">IF(OR($C124="18+",$C124="18-20",SUM($Q124,$R124)=0),"",100%)</f>
        <v/>
      </c>
      <c r="T124" s="39" t="str">
        <f aca="false">IF(OR($C124="18+",$C124="18-20",SUM($Q124,$R124)=0),"",ROUND(SUM($Q124,$R124)*$S124,0))</f>
        <v/>
      </c>
    </row>
    <row r="125" customFormat="false" ht="15" hidden="false" customHeight="false" outlineLevel="0" collapsed="false">
      <c r="A125" s="0" t="str">
        <f aca="false">INDEX(Prioritization!$D:$D,MATCH($B125,Prioritization!$A:$A,0))</f>
        <v>INVALID</v>
      </c>
      <c r="B125" s="0" t="s">
        <v>201</v>
      </c>
      <c r="C125" s="0" t="s">
        <v>814</v>
      </c>
      <c r="D125" s="0" t="s">
        <v>30</v>
      </c>
      <c r="E125" s="0" t="str">
        <f aca="false">$B125&amp;"|"&amp;$C125&amp;"|"&amp;$D125</f>
        <v>Ntcheu District [am530wpaGvr]|18+|Female</v>
      </c>
      <c r="G125" s="10"/>
      <c r="H125" s="10"/>
      <c r="I125" s="88" t="str">
        <f aca="false">IF(SUM($H125)=0,"",0%)</f>
        <v/>
      </c>
      <c r="J125" s="88"/>
      <c r="K125" s="88"/>
      <c r="L125" s="88" t="n">
        <f aca="false">1-IF(NOT(AND($D125="Female",OR($C125="10-14",$C125="15-17",$F125="Y"))),0,$J125)-IF(NOT(OR($C125="05-09",$C125="10-14")),0,$K125)</f>
        <v>1</v>
      </c>
      <c r="M125" s="88" t="n">
        <f aca="false">IF(SUM($L125)=0,"",20%)</f>
        <v>0.2</v>
      </c>
      <c r="N125" s="10" t="str">
        <f aca="false">IF(SUM($H125)=0,"",ROUND($H125*(1+$I125),0))</f>
        <v/>
      </c>
      <c r="O125" s="39" t="str">
        <f aca="false">IF(OR(SUM($N125)=0,SUM($J125)=0,NOT(AND($D125="Female",$F125="Y",OR($C125="10-14",$C125="15-17")))),"",ROUND($N125*$J125,0))</f>
        <v/>
      </c>
      <c r="P125" s="39" t="str">
        <f aca="false">IF(OR(SUM($N125)=0,SUM($K125)=0,NOT(OR($C125="10-14",$C125="05-09"))),"",ROUND($N125*$K125,0))</f>
        <v/>
      </c>
      <c r="Q125" s="39" t="str">
        <f aca="false">IFERROR(1/(1/ROUND($N125*$L125*$M125,0)),"")</f>
        <v/>
      </c>
      <c r="R125" s="39" t="str">
        <f aca="false">IFERROR(1/(1/(ROUND($N125*$L125,0)-$Q125)),"")</f>
        <v/>
      </c>
      <c r="S125" s="88" t="str">
        <f aca="false">IF(OR($C125="18+",$C125="18-20",SUM($Q125,$R125)=0),"",100%)</f>
        <v/>
      </c>
      <c r="T125" s="39" t="str">
        <f aca="false">IF(OR($C125="18+",$C125="18-20",SUM($Q125,$R125)=0),"",ROUND(SUM($Q125,$R125)*$S125,0))</f>
        <v/>
      </c>
    </row>
    <row r="126" customFormat="false" ht="15" hidden="false" customHeight="false" outlineLevel="0" collapsed="false">
      <c r="A126" s="0" t="str">
        <f aca="false">INDEX(Prioritization!$D:$D,MATCH($B126,Prioritization!$A:$A,0))</f>
        <v>INVALID</v>
      </c>
      <c r="B126" s="0" t="s">
        <v>201</v>
      </c>
      <c r="C126" s="0" t="s">
        <v>814</v>
      </c>
      <c r="D126" s="0" t="s">
        <v>48</v>
      </c>
      <c r="E126" s="0" t="str">
        <f aca="false">$B126&amp;"|"&amp;$C126&amp;"|"&amp;$D126</f>
        <v>Ntcheu District [am530wpaGvr]|18+|Male</v>
      </c>
      <c r="G126" s="10"/>
      <c r="H126" s="10"/>
      <c r="I126" s="88" t="str">
        <f aca="false">IF(SUM($H126)=0,"",0%)</f>
        <v/>
      </c>
      <c r="J126" s="88"/>
      <c r="K126" s="88"/>
      <c r="L126" s="88" t="n">
        <f aca="false">1-IF(NOT(AND($D126="Female",OR($C126="10-14",$C126="15-17",$F126="Y"))),0,$J126)-IF(NOT(OR($C126="05-09",$C126="10-14")),0,$K126)</f>
        <v>1</v>
      </c>
      <c r="M126" s="88" t="n">
        <f aca="false">IF(SUM($L126)=0,"",20%)</f>
        <v>0.2</v>
      </c>
      <c r="N126" s="10" t="str">
        <f aca="false">IF(SUM($H126)=0,"",ROUND($H126*(1+$I126),0))</f>
        <v/>
      </c>
      <c r="O126" s="39" t="str">
        <f aca="false">IF(OR(SUM($N126)=0,SUM($J126)=0,NOT(AND($D126="Female",$F126="Y",OR($C126="10-14",$C126="15-17")))),"",ROUND($N126*$J126,0))</f>
        <v/>
      </c>
      <c r="P126" s="39" t="str">
        <f aca="false">IF(OR(SUM($N126)=0,SUM($K126)=0,NOT(OR($C126="10-14",$C126="05-09"))),"",ROUND($N126*$K126,0))</f>
        <v/>
      </c>
      <c r="Q126" s="39" t="str">
        <f aca="false">IFERROR(1/(1/ROUND($N126*$L126*$M126,0)),"")</f>
        <v/>
      </c>
      <c r="R126" s="39" t="str">
        <f aca="false">IFERROR(1/(1/(ROUND($N126*$L126,0)-$Q126)),"")</f>
        <v/>
      </c>
      <c r="S126" s="88" t="str">
        <f aca="false">IF(OR($C126="18+",$C126="18-20",SUM($Q126,$R126)=0),"",100%)</f>
        <v/>
      </c>
      <c r="T126" s="39" t="str">
        <f aca="false">IF(OR($C126="18+",$C126="18-20",SUM($Q126,$R126)=0),"",ROUND(SUM($Q126,$R126)*$S126,0))</f>
        <v/>
      </c>
    </row>
    <row r="127" customFormat="false" ht="15" hidden="false" customHeight="false" outlineLevel="0" collapsed="false">
      <c r="A127" s="0" t="str">
        <f aca="false">INDEX(Prioritization!$D:$D,MATCH($B127,Prioritization!$A:$A,0))</f>
        <v>INVALID</v>
      </c>
      <c r="B127" s="0" t="s">
        <v>202</v>
      </c>
      <c r="C127" s="0" t="s">
        <v>316</v>
      </c>
      <c r="D127" s="0" t="s">
        <v>30</v>
      </c>
      <c r="E127" s="0" t="str">
        <f aca="false">$B127&amp;"|"&amp;$C127&amp;"|"&amp;$D127</f>
        <v>Ntchisi District [fiRkU6gEjLz]|&lt;01|Female</v>
      </c>
      <c r="G127" s="10"/>
      <c r="H127" s="10"/>
      <c r="I127" s="88" t="str">
        <f aca="false">IF(SUM($H127)=0,"",0%)</f>
        <v/>
      </c>
      <c r="J127" s="88"/>
      <c r="K127" s="88"/>
      <c r="L127" s="88" t="n">
        <f aca="false">1-IF(NOT(AND($D127="Female",OR($C127="10-14",$C127="15-17",$F127="Y"))),0,$J127)-IF(NOT(OR($C127="05-09",$C127="10-14")),0,$K127)</f>
        <v>1</v>
      </c>
      <c r="M127" s="88" t="n">
        <f aca="false">IF(SUM($L127)=0,"",20%)</f>
        <v>0.2</v>
      </c>
      <c r="N127" s="10" t="str">
        <f aca="false">IF(SUM($H127)=0,"",ROUND($H127*(1+$I127),0))</f>
        <v/>
      </c>
      <c r="O127" s="39" t="str">
        <f aca="false">IF(OR(SUM($N127)=0,SUM($J127)=0,NOT(AND($D127="Female",$F127="Y",OR($C127="10-14",$C127="15-17")))),"",ROUND($N127*$J127,0))</f>
        <v/>
      </c>
      <c r="P127" s="39" t="str">
        <f aca="false">IF(OR(SUM($N127)=0,SUM($K127)=0,NOT(OR($C127="10-14",$C127="05-09"))),"",ROUND($N127*$K127,0))</f>
        <v/>
      </c>
      <c r="Q127" s="39" t="str">
        <f aca="false">IFERROR(1/(1/ROUND($N127*$L127*$M127,0)),"")</f>
        <v/>
      </c>
      <c r="R127" s="39" t="str">
        <f aca="false">IFERROR(1/(1/(ROUND($N127*$L127,0)-$Q127)),"")</f>
        <v/>
      </c>
      <c r="S127" s="88" t="str">
        <f aca="false">IF(OR($C127="18+",$C127="18-20",SUM($Q127,$R127)=0),"",100%)</f>
        <v/>
      </c>
      <c r="T127" s="39" t="str">
        <f aca="false">IF(OR($C127="18+",$C127="18-20",SUM($Q127,$R127)=0),"",ROUND(SUM($Q127,$R127)*$S127,0))</f>
        <v/>
      </c>
    </row>
    <row r="128" customFormat="false" ht="15" hidden="false" customHeight="false" outlineLevel="0" collapsed="false">
      <c r="A128" s="0" t="str">
        <f aca="false">INDEX(Prioritization!$D:$D,MATCH($B128,Prioritization!$A:$A,0))</f>
        <v>INVALID</v>
      </c>
      <c r="B128" s="0" t="s">
        <v>202</v>
      </c>
      <c r="C128" s="0" t="s">
        <v>316</v>
      </c>
      <c r="D128" s="0" t="s">
        <v>48</v>
      </c>
      <c r="E128" s="0" t="str">
        <f aca="false">$B128&amp;"|"&amp;$C128&amp;"|"&amp;$D128</f>
        <v>Ntchisi District [fiRkU6gEjLz]|&lt;01|Male</v>
      </c>
      <c r="G128" s="10"/>
      <c r="H128" s="10"/>
      <c r="I128" s="88" t="str">
        <f aca="false">IF(SUM($H128)=0,"",0%)</f>
        <v/>
      </c>
      <c r="J128" s="88"/>
      <c r="K128" s="88"/>
      <c r="L128" s="88" t="n">
        <f aca="false">1-IF(NOT(AND($D128="Female",OR($C128="10-14",$C128="15-17",$F128="Y"))),0,$J128)-IF(NOT(OR($C128="05-09",$C128="10-14")),0,$K128)</f>
        <v>1</v>
      </c>
      <c r="M128" s="88" t="n">
        <f aca="false">IF(SUM($L128)=0,"",20%)</f>
        <v>0.2</v>
      </c>
      <c r="N128" s="10" t="str">
        <f aca="false">IF(SUM($H128)=0,"",ROUND($H128*(1+$I128),0))</f>
        <v/>
      </c>
      <c r="O128" s="39" t="str">
        <f aca="false">IF(OR(SUM($N128)=0,SUM($J128)=0,NOT(AND($D128="Female",$F128="Y",OR($C128="10-14",$C128="15-17")))),"",ROUND($N128*$J128,0))</f>
        <v/>
      </c>
      <c r="P128" s="39" t="str">
        <f aca="false">IF(OR(SUM($N128)=0,SUM($K128)=0,NOT(OR($C128="10-14",$C128="05-09"))),"",ROUND($N128*$K128,0))</f>
        <v/>
      </c>
      <c r="Q128" s="39" t="str">
        <f aca="false">IFERROR(1/(1/ROUND($N128*$L128*$M128,0)),"")</f>
        <v/>
      </c>
      <c r="R128" s="39" t="str">
        <f aca="false">IFERROR(1/(1/(ROUND($N128*$L128,0)-$Q128)),"")</f>
        <v/>
      </c>
      <c r="S128" s="88" t="str">
        <f aca="false">IF(OR($C128="18+",$C128="18-20",SUM($Q128,$R128)=0),"",100%)</f>
        <v/>
      </c>
      <c r="T128" s="39" t="str">
        <f aca="false">IF(OR($C128="18+",$C128="18-20",SUM($Q128,$R128)=0),"",ROUND(SUM($Q128,$R128)*$S128,0))</f>
        <v/>
      </c>
    </row>
    <row r="129" customFormat="false" ht="15" hidden="false" customHeight="false" outlineLevel="0" collapsed="false">
      <c r="A129" s="0" t="str">
        <f aca="false">INDEX(Prioritization!$D:$D,MATCH($B129,Prioritization!$A:$A,0))</f>
        <v>INVALID</v>
      </c>
      <c r="B129" s="0" t="s">
        <v>202</v>
      </c>
      <c r="C129" s="0" t="s">
        <v>810</v>
      </c>
      <c r="D129" s="0" t="s">
        <v>30</v>
      </c>
      <c r="E129" s="0" t="str">
        <f aca="false">$B129&amp;"|"&amp;$C129&amp;"|"&amp;$D129</f>
        <v>Ntchisi District [fiRkU6gEjLz]|01-04|Female</v>
      </c>
      <c r="G129" s="10"/>
      <c r="H129" s="10"/>
      <c r="I129" s="88" t="str">
        <f aca="false">IF(SUM($H129)=0,"",0%)</f>
        <v/>
      </c>
      <c r="J129" s="88"/>
      <c r="K129" s="88"/>
      <c r="L129" s="88" t="n">
        <f aca="false">1-IF(NOT(AND($D129="Female",OR($C129="10-14",$C129="15-17",$F129="Y"))),0,$J129)-IF(NOT(OR($C129="05-09",$C129="10-14")),0,$K129)</f>
        <v>1</v>
      </c>
      <c r="M129" s="88" t="n">
        <f aca="false">IF(SUM($L129)=0,"",20%)</f>
        <v>0.2</v>
      </c>
      <c r="N129" s="10" t="str">
        <f aca="false">IF(SUM($H129)=0,"",ROUND($H129*(1+$I129),0))</f>
        <v/>
      </c>
      <c r="O129" s="39" t="str">
        <f aca="false">IF(OR(SUM($N129)=0,SUM($J129)=0,NOT(AND($D129="Female",$F129="Y",OR($C129="10-14",$C129="15-17")))),"",ROUND($N129*$J129,0))</f>
        <v/>
      </c>
      <c r="P129" s="39" t="str">
        <f aca="false">IF(OR(SUM($N129)=0,SUM($K129)=0,NOT(OR($C129="10-14",$C129="05-09"))),"",ROUND($N129*$K129,0))</f>
        <v/>
      </c>
      <c r="Q129" s="39" t="str">
        <f aca="false">IFERROR(1/(1/ROUND($N129*$L129*$M129,0)),"")</f>
        <v/>
      </c>
      <c r="R129" s="39" t="str">
        <f aca="false">IFERROR(1/(1/(ROUND($N129*$L129,0)-$Q129)),"")</f>
        <v/>
      </c>
      <c r="S129" s="88" t="str">
        <f aca="false">IF(OR($C129="18+",$C129="18-20",SUM($Q129,$R129)=0),"",100%)</f>
        <v/>
      </c>
      <c r="T129" s="39" t="str">
        <f aca="false">IF(OR($C129="18+",$C129="18-20",SUM($Q129,$R129)=0),"",ROUND(SUM($Q129,$R129)*$S129,0))</f>
        <v/>
      </c>
    </row>
    <row r="130" customFormat="false" ht="15" hidden="false" customHeight="false" outlineLevel="0" collapsed="false">
      <c r="A130" s="0" t="str">
        <f aca="false">INDEX(Prioritization!$D:$D,MATCH($B130,Prioritization!$A:$A,0))</f>
        <v>INVALID</v>
      </c>
      <c r="B130" s="0" t="s">
        <v>202</v>
      </c>
      <c r="C130" s="0" t="s">
        <v>810</v>
      </c>
      <c r="D130" s="0" t="s">
        <v>48</v>
      </c>
      <c r="E130" s="0" t="str">
        <f aca="false">$B130&amp;"|"&amp;$C130&amp;"|"&amp;$D130</f>
        <v>Ntchisi District [fiRkU6gEjLz]|01-04|Male</v>
      </c>
      <c r="G130" s="10"/>
      <c r="H130" s="10"/>
      <c r="I130" s="88" t="str">
        <f aca="false">IF(SUM($H130)=0,"",0%)</f>
        <v/>
      </c>
      <c r="J130" s="88"/>
      <c r="K130" s="88"/>
      <c r="L130" s="88" t="n">
        <f aca="false">1-IF(NOT(AND($D130="Female",OR($C130="10-14",$C130="15-17",$F130="Y"))),0,$J130)-IF(NOT(OR($C130="05-09",$C130="10-14")),0,$K130)</f>
        <v>1</v>
      </c>
      <c r="M130" s="88" t="n">
        <f aca="false">IF(SUM($L130)=0,"",20%)</f>
        <v>0.2</v>
      </c>
      <c r="N130" s="10" t="str">
        <f aca="false">IF(SUM($H130)=0,"",ROUND($H130*(1+$I130),0))</f>
        <v/>
      </c>
      <c r="O130" s="39" t="str">
        <f aca="false">IF(OR(SUM($N130)=0,SUM($J130)=0,NOT(AND($D130="Female",$F130="Y",OR($C130="10-14",$C130="15-17")))),"",ROUND($N130*$J130,0))</f>
        <v/>
      </c>
      <c r="P130" s="39" t="str">
        <f aca="false">IF(OR(SUM($N130)=0,SUM($K130)=0,NOT(OR($C130="10-14",$C130="05-09"))),"",ROUND($N130*$K130,0))</f>
        <v/>
      </c>
      <c r="Q130" s="39" t="str">
        <f aca="false">IFERROR(1/(1/ROUND($N130*$L130*$M130,0)),"")</f>
        <v/>
      </c>
      <c r="R130" s="39" t="str">
        <f aca="false">IFERROR(1/(1/(ROUND($N130*$L130,0)-$Q130)),"")</f>
        <v/>
      </c>
      <c r="S130" s="88" t="str">
        <f aca="false">IF(OR($C130="18+",$C130="18-20",SUM($Q130,$R130)=0),"",100%)</f>
        <v/>
      </c>
      <c r="T130" s="39" t="str">
        <f aca="false">IF(OR($C130="18+",$C130="18-20",SUM($Q130,$R130)=0),"",ROUND(SUM($Q130,$R130)*$S130,0))</f>
        <v/>
      </c>
    </row>
    <row r="131" customFormat="false" ht="15" hidden="false" customHeight="false" outlineLevel="0" collapsed="false">
      <c r="A131" s="0" t="str">
        <f aca="false">INDEX(Prioritization!$D:$D,MATCH($B131,Prioritization!$A:$A,0))</f>
        <v>INVALID</v>
      </c>
      <c r="B131" s="0" t="s">
        <v>202</v>
      </c>
      <c r="C131" s="0" t="s">
        <v>811</v>
      </c>
      <c r="D131" s="0" t="s">
        <v>30</v>
      </c>
      <c r="E131" s="0" t="str">
        <f aca="false">$B131&amp;"|"&amp;$C131&amp;"|"&amp;$D131</f>
        <v>Ntchisi District [fiRkU6gEjLz]|05-09|Female</v>
      </c>
      <c r="G131" s="10"/>
      <c r="H131" s="10"/>
      <c r="I131" s="88" t="str">
        <f aca="false">IF(SUM($H131)=0,"",0%)</f>
        <v/>
      </c>
      <c r="J131" s="88"/>
      <c r="K131" s="88"/>
      <c r="L131" s="88" t="n">
        <f aca="false">1-IF(NOT(AND($D131="Female",OR($C131="10-14",$C131="15-17",$F131="Y"))),0,$J131)-IF(NOT(OR($C131="05-09",$C131="10-14")),0,$K131)</f>
        <v>1</v>
      </c>
      <c r="M131" s="88" t="n">
        <f aca="false">IF(SUM($L131)=0,"",20%)</f>
        <v>0.2</v>
      </c>
      <c r="N131" s="10" t="str">
        <f aca="false">IF(SUM($H131)=0,"",ROUND($H131*(1+$I131),0))</f>
        <v/>
      </c>
      <c r="O131" s="39" t="str">
        <f aca="false">IF(OR(SUM($N131)=0,SUM($J131)=0,NOT(AND($D131="Female",$F131="Y",OR($C131="10-14",$C131="15-17")))),"",ROUND($N131*$J131,0))</f>
        <v/>
      </c>
      <c r="P131" s="39" t="str">
        <f aca="false">IF(OR(SUM($N131)=0,SUM($K131)=0,NOT(OR($C131="10-14",$C131="05-09"))),"",ROUND($N131*$K131,0))</f>
        <v/>
      </c>
      <c r="Q131" s="39" t="str">
        <f aca="false">IFERROR(1/(1/ROUND($N131*$L131*$M131,0)),"")</f>
        <v/>
      </c>
      <c r="R131" s="39" t="str">
        <f aca="false">IFERROR(1/(1/(ROUND($N131*$L131,0)-$Q131)),"")</f>
        <v/>
      </c>
      <c r="S131" s="88" t="str">
        <f aca="false">IF(OR($C131="18+",$C131="18-20",SUM($Q131,$R131)=0),"",100%)</f>
        <v/>
      </c>
      <c r="T131" s="39" t="str">
        <f aca="false">IF(OR($C131="18+",$C131="18-20",SUM($Q131,$R131)=0),"",ROUND(SUM($Q131,$R131)*$S131,0))</f>
        <v/>
      </c>
    </row>
    <row r="132" customFormat="false" ht="15" hidden="false" customHeight="false" outlineLevel="0" collapsed="false">
      <c r="A132" s="0" t="str">
        <f aca="false">INDEX(Prioritization!$D:$D,MATCH($B132,Prioritization!$A:$A,0))</f>
        <v>INVALID</v>
      </c>
      <c r="B132" s="0" t="s">
        <v>202</v>
      </c>
      <c r="C132" s="0" t="s">
        <v>811</v>
      </c>
      <c r="D132" s="0" t="s">
        <v>48</v>
      </c>
      <c r="E132" s="0" t="str">
        <f aca="false">$B132&amp;"|"&amp;$C132&amp;"|"&amp;$D132</f>
        <v>Ntchisi District [fiRkU6gEjLz]|05-09|Male</v>
      </c>
      <c r="G132" s="10"/>
      <c r="H132" s="10"/>
      <c r="I132" s="88" t="str">
        <f aca="false">IF(SUM($H132)=0,"",0%)</f>
        <v/>
      </c>
      <c r="J132" s="88"/>
      <c r="K132" s="88"/>
      <c r="L132" s="88" t="n">
        <f aca="false">1-IF(NOT(AND($D132="Female",OR($C132="10-14",$C132="15-17",$F132="Y"))),0,$J132)-IF(NOT(OR($C132="05-09",$C132="10-14")),0,$K132)</f>
        <v>1</v>
      </c>
      <c r="M132" s="88" t="n">
        <f aca="false">IF(SUM($L132)=0,"",20%)</f>
        <v>0.2</v>
      </c>
      <c r="N132" s="10" t="str">
        <f aca="false">IF(SUM($H132)=0,"",ROUND($H132*(1+$I132),0))</f>
        <v/>
      </c>
      <c r="O132" s="39" t="str">
        <f aca="false">IF(OR(SUM($N132)=0,SUM($J132)=0,NOT(AND($D132="Female",$F132="Y",OR($C132="10-14",$C132="15-17")))),"",ROUND($N132*$J132,0))</f>
        <v/>
      </c>
      <c r="P132" s="39" t="str">
        <f aca="false">IF(OR(SUM($N132)=0,SUM($K132)=0,NOT(OR($C132="10-14",$C132="05-09"))),"",ROUND($N132*$K132,0))</f>
        <v/>
      </c>
      <c r="Q132" s="39" t="str">
        <f aca="false">IFERROR(1/(1/ROUND($N132*$L132*$M132,0)),"")</f>
        <v/>
      </c>
      <c r="R132" s="39" t="str">
        <f aca="false">IFERROR(1/(1/(ROUND($N132*$L132,0)-$Q132)),"")</f>
        <v/>
      </c>
      <c r="S132" s="88" t="str">
        <f aca="false">IF(OR($C132="18+",$C132="18-20",SUM($Q132,$R132)=0),"",100%)</f>
        <v/>
      </c>
      <c r="T132" s="39" t="str">
        <f aca="false">IF(OR($C132="18+",$C132="18-20",SUM($Q132,$R132)=0),"",ROUND(SUM($Q132,$R132)*$S132,0))</f>
        <v/>
      </c>
    </row>
    <row r="133" customFormat="false" ht="15" hidden="false" customHeight="false" outlineLevel="0" collapsed="false">
      <c r="A133" s="0" t="str">
        <f aca="false">INDEX(Prioritization!$D:$D,MATCH($B133,Prioritization!$A:$A,0))</f>
        <v>INVALID</v>
      </c>
      <c r="B133" s="0" t="s">
        <v>202</v>
      </c>
      <c r="C133" s="0" t="s">
        <v>364</v>
      </c>
      <c r="D133" s="0" t="s">
        <v>30</v>
      </c>
      <c r="E133" s="0" t="str">
        <f aca="false">$B133&amp;"|"&amp;$C133&amp;"|"&amp;$D133</f>
        <v>Ntchisi District [fiRkU6gEjLz]|10-14|Female</v>
      </c>
      <c r="G133" s="10"/>
      <c r="H133" s="10"/>
      <c r="I133" s="88" t="str">
        <f aca="false">IF(SUM($H133)=0,"",0%)</f>
        <v/>
      </c>
      <c r="J133" s="88"/>
      <c r="K133" s="88"/>
      <c r="L133" s="88" t="n">
        <f aca="false">1-IF(NOT(AND($D133="Female",OR($C133="10-14",$C133="15-17",$F133="Y"))),0,$J133)-IF(NOT(OR($C133="05-09",$C133="10-14")),0,$K133)</f>
        <v>1</v>
      </c>
      <c r="M133" s="88" t="n">
        <f aca="false">IF(SUM($L133)=0,"",20%)</f>
        <v>0.2</v>
      </c>
      <c r="N133" s="10" t="str">
        <f aca="false">IF(SUM($H133)=0,"",ROUND($H133*(1+$I133),0))</f>
        <v/>
      </c>
      <c r="O133" s="39" t="str">
        <f aca="false">IF(OR(SUM($N133)=0,SUM($J133)=0,NOT(AND($D133="Female",$F133="Y",OR($C133="10-14",$C133="15-17")))),"",ROUND($N133*$J133,0))</f>
        <v/>
      </c>
      <c r="P133" s="39" t="str">
        <f aca="false">IF(OR(SUM($N133)=0,SUM($K133)=0,NOT(OR($C133="10-14",$C133="05-09"))),"",ROUND($N133*$K133,0))</f>
        <v/>
      </c>
      <c r="Q133" s="39" t="str">
        <f aca="false">IFERROR(1/(1/ROUND($N133*$L133*$M133,0)),"")</f>
        <v/>
      </c>
      <c r="R133" s="39" t="str">
        <f aca="false">IFERROR(1/(1/(ROUND($N133*$L133,0)-$Q133)),"")</f>
        <v/>
      </c>
      <c r="S133" s="88" t="str">
        <f aca="false">IF(OR($C133="18+",$C133="18-20",SUM($Q133,$R133)=0),"",100%)</f>
        <v/>
      </c>
      <c r="T133" s="39" t="str">
        <f aca="false">IF(OR($C133="18+",$C133="18-20",SUM($Q133,$R133)=0),"",ROUND(SUM($Q133,$R133)*$S133,0))</f>
        <v/>
      </c>
    </row>
    <row r="134" customFormat="false" ht="15" hidden="false" customHeight="false" outlineLevel="0" collapsed="false">
      <c r="A134" s="0" t="str">
        <f aca="false">INDEX(Prioritization!$D:$D,MATCH($B134,Prioritization!$A:$A,0))</f>
        <v>INVALID</v>
      </c>
      <c r="B134" s="0" t="s">
        <v>202</v>
      </c>
      <c r="C134" s="0" t="s">
        <v>364</v>
      </c>
      <c r="D134" s="0" t="s">
        <v>48</v>
      </c>
      <c r="E134" s="0" t="str">
        <f aca="false">$B134&amp;"|"&amp;$C134&amp;"|"&amp;$D134</f>
        <v>Ntchisi District [fiRkU6gEjLz]|10-14|Male</v>
      </c>
      <c r="G134" s="10"/>
      <c r="H134" s="10"/>
      <c r="I134" s="88" t="str">
        <f aca="false">IF(SUM($H134)=0,"",0%)</f>
        <v/>
      </c>
      <c r="J134" s="88"/>
      <c r="K134" s="88"/>
      <c r="L134" s="88" t="n">
        <f aca="false">1-IF(NOT(AND($D134="Female",OR($C134="10-14",$C134="15-17",$F134="Y"))),0,$J134)-IF(NOT(OR($C134="05-09",$C134="10-14")),0,$K134)</f>
        <v>1</v>
      </c>
      <c r="M134" s="88" t="n">
        <f aca="false">IF(SUM($L134)=0,"",20%)</f>
        <v>0.2</v>
      </c>
      <c r="N134" s="10" t="str">
        <f aca="false">IF(SUM($H134)=0,"",ROUND($H134*(1+$I134),0))</f>
        <v/>
      </c>
      <c r="O134" s="39" t="str">
        <f aca="false">IF(OR(SUM($N134)=0,SUM($J134)=0,NOT(AND($D134="Female",$F134="Y",OR($C134="10-14",$C134="15-17")))),"",ROUND($N134*$J134,0))</f>
        <v/>
      </c>
      <c r="P134" s="39" t="str">
        <f aca="false">IF(OR(SUM($N134)=0,SUM($K134)=0,NOT(OR($C134="10-14",$C134="05-09"))),"",ROUND($N134*$K134,0))</f>
        <v/>
      </c>
      <c r="Q134" s="39" t="str">
        <f aca="false">IFERROR(1/(1/ROUND($N134*$L134*$M134,0)),"")</f>
        <v/>
      </c>
      <c r="R134" s="39" t="str">
        <f aca="false">IFERROR(1/(1/(ROUND($N134*$L134,0)-$Q134)),"")</f>
        <v/>
      </c>
      <c r="S134" s="88" t="str">
        <f aca="false">IF(OR($C134="18+",$C134="18-20",SUM($Q134,$R134)=0),"",100%)</f>
        <v/>
      </c>
      <c r="T134" s="39" t="str">
        <f aca="false">IF(OR($C134="18+",$C134="18-20",SUM($Q134,$R134)=0),"",ROUND(SUM($Q134,$R134)*$S134,0))</f>
        <v/>
      </c>
    </row>
    <row r="135" customFormat="false" ht="15" hidden="false" customHeight="false" outlineLevel="0" collapsed="false">
      <c r="A135" s="0" t="str">
        <f aca="false">INDEX(Prioritization!$D:$D,MATCH($B135,Prioritization!$A:$A,0))</f>
        <v>INVALID</v>
      </c>
      <c r="B135" s="0" t="s">
        <v>202</v>
      </c>
      <c r="C135" s="0" t="s">
        <v>812</v>
      </c>
      <c r="D135" s="0" t="s">
        <v>30</v>
      </c>
      <c r="E135" s="0" t="str">
        <f aca="false">$B135&amp;"|"&amp;$C135&amp;"|"&amp;$D135</f>
        <v>Ntchisi District [fiRkU6gEjLz]|15-17|Female</v>
      </c>
      <c r="G135" s="10"/>
      <c r="H135" s="10"/>
      <c r="I135" s="88" t="str">
        <f aca="false">IF(SUM($H135)=0,"",0%)</f>
        <v/>
      </c>
      <c r="J135" s="88"/>
      <c r="K135" s="88"/>
      <c r="L135" s="88" t="n">
        <f aca="false">1-IF(NOT(AND($D135="Female",OR($C135="10-14",$C135="15-17",$F135="Y"))),0,$J135)-IF(NOT(OR($C135="05-09",$C135="10-14")),0,$K135)</f>
        <v>1</v>
      </c>
      <c r="M135" s="88" t="n">
        <f aca="false">IF(SUM($L135)=0,"",20%)</f>
        <v>0.2</v>
      </c>
      <c r="N135" s="10" t="str">
        <f aca="false">IF(SUM($H135)=0,"",ROUND($H135*(1+$I135),0))</f>
        <v/>
      </c>
      <c r="O135" s="39" t="str">
        <f aca="false">IF(OR(SUM($N135)=0,SUM($J135)=0,NOT(AND($D135="Female",$F135="Y",OR($C135="10-14",$C135="15-17")))),"",ROUND($N135*$J135,0))</f>
        <v/>
      </c>
      <c r="P135" s="39" t="str">
        <f aca="false">IF(OR(SUM($N135)=0,SUM($K135)=0,NOT(OR($C135="10-14",$C135="05-09"))),"",ROUND($N135*$K135,0))</f>
        <v/>
      </c>
      <c r="Q135" s="39" t="str">
        <f aca="false">IFERROR(1/(1/ROUND($N135*$L135*$M135,0)),"")</f>
        <v/>
      </c>
      <c r="R135" s="39" t="str">
        <f aca="false">IFERROR(1/(1/(ROUND($N135*$L135,0)-$Q135)),"")</f>
        <v/>
      </c>
      <c r="S135" s="88" t="str">
        <f aca="false">IF(OR($C135="18+",$C135="18-20",SUM($Q135,$R135)=0),"",100%)</f>
        <v/>
      </c>
      <c r="T135" s="39" t="str">
        <f aca="false">IF(OR($C135="18+",$C135="18-20",SUM($Q135,$R135)=0),"",ROUND(SUM($Q135,$R135)*$S135,0))</f>
        <v/>
      </c>
    </row>
    <row r="136" customFormat="false" ht="15" hidden="false" customHeight="false" outlineLevel="0" collapsed="false">
      <c r="A136" s="0" t="str">
        <f aca="false">INDEX(Prioritization!$D:$D,MATCH($B136,Prioritization!$A:$A,0))</f>
        <v>INVALID</v>
      </c>
      <c r="B136" s="0" t="s">
        <v>202</v>
      </c>
      <c r="C136" s="0" t="s">
        <v>812</v>
      </c>
      <c r="D136" s="0" t="s">
        <v>48</v>
      </c>
      <c r="E136" s="0" t="str">
        <f aca="false">$B136&amp;"|"&amp;$C136&amp;"|"&amp;$D136</f>
        <v>Ntchisi District [fiRkU6gEjLz]|15-17|Male</v>
      </c>
      <c r="G136" s="10"/>
      <c r="H136" s="10"/>
      <c r="I136" s="88" t="str">
        <f aca="false">IF(SUM($H136)=0,"",0%)</f>
        <v/>
      </c>
      <c r="J136" s="88"/>
      <c r="K136" s="88"/>
      <c r="L136" s="88" t="n">
        <f aca="false">1-IF(NOT(AND($D136="Female",OR($C136="10-14",$C136="15-17",$F136="Y"))),0,$J136)-IF(NOT(OR($C136="05-09",$C136="10-14")),0,$K136)</f>
        <v>1</v>
      </c>
      <c r="M136" s="88" t="n">
        <f aca="false">IF(SUM($L136)=0,"",20%)</f>
        <v>0.2</v>
      </c>
      <c r="N136" s="10" t="str">
        <f aca="false">IF(SUM($H136)=0,"",ROUND($H136*(1+$I136),0))</f>
        <v/>
      </c>
      <c r="O136" s="39" t="str">
        <f aca="false">IF(OR(SUM($N136)=0,SUM($J136)=0,NOT(AND($D136="Female",$F136="Y",OR($C136="10-14",$C136="15-17")))),"",ROUND($N136*$J136,0))</f>
        <v/>
      </c>
      <c r="P136" s="39" t="str">
        <f aca="false">IF(OR(SUM($N136)=0,SUM($K136)=0,NOT(OR($C136="10-14",$C136="05-09"))),"",ROUND($N136*$K136,0))</f>
        <v/>
      </c>
      <c r="Q136" s="39" t="str">
        <f aca="false">IFERROR(1/(1/ROUND($N136*$L136*$M136,0)),"")</f>
        <v/>
      </c>
      <c r="R136" s="39" t="str">
        <f aca="false">IFERROR(1/(1/(ROUND($N136*$L136,0)-$Q136)),"")</f>
        <v/>
      </c>
      <c r="S136" s="88" t="str">
        <f aca="false">IF(OR($C136="18+",$C136="18-20",SUM($Q136,$R136)=0),"",100%)</f>
        <v/>
      </c>
      <c r="T136" s="39" t="str">
        <f aca="false">IF(OR($C136="18+",$C136="18-20",SUM($Q136,$R136)=0),"",ROUND(SUM($Q136,$R136)*$S136,0))</f>
        <v/>
      </c>
    </row>
    <row r="137" customFormat="false" ht="15" hidden="false" customHeight="false" outlineLevel="0" collapsed="false">
      <c r="A137" s="0" t="str">
        <f aca="false">INDEX(Prioritization!$D:$D,MATCH($B137,Prioritization!$A:$A,0))</f>
        <v>INVALID</v>
      </c>
      <c r="B137" s="0" t="s">
        <v>202</v>
      </c>
      <c r="C137" s="0" t="s">
        <v>813</v>
      </c>
      <c r="D137" s="0" t="s">
        <v>30</v>
      </c>
      <c r="E137" s="0" t="str">
        <f aca="false">$B137&amp;"|"&amp;$C137&amp;"|"&amp;$D137</f>
        <v>Ntchisi District [fiRkU6gEjLz]|18-20|Female</v>
      </c>
      <c r="G137" s="10"/>
      <c r="H137" s="10"/>
      <c r="I137" s="88" t="str">
        <f aca="false">IF(SUM($H137)=0,"",0%)</f>
        <v/>
      </c>
      <c r="J137" s="88"/>
      <c r="K137" s="88"/>
      <c r="L137" s="88" t="n">
        <f aca="false">1-IF(NOT(AND($D137="Female",OR($C137="10-14",$C137="15-17",$F137="Y"))),0,$J137)-IF(NOT(OR($C137="05-09",$C137="10-14")),0,$K137)</f>
        <v>1</v>
      </c>
      <c r="M137" s="88" t="n">
        <f aca="false">IF(SUM($L137)=0,"",20%)</f>
        <v>0.2</v>
      </c>
      <c r="N137" s="10" t="str">
        <f aca="false">IF(SUM($H137)=0,"",ROUND($H137*(1+$I137),0))</f>
        <v/>
      </c>
      <c r="O137" s="39" t="str">
        <f aca="false">IF(OR(SUM($N137)=0,SUM($J137)=0,NOT(AND($D137="Female",$F137="Y",OR($C137="10-14",$C137="15-17")))),"",ROUND($N137*$J137,0))</f>
        <v/>
      </c>
      <c r="P137" s="39" t="str">
        <f aca="false">IF(OR(SUM($N137)=0,SUM($K137)=0,NOT(OR($C137="10-14",$C137="05-09"))),"",ROUND($N137*$K137,0))</f>
        <v/>
      </c>
      <c r="Q137" s="39" t="str">
        <f aca="false">IFERROR(1/(1/ROUND($N137*$L137*$M137,0)),"")</f>
        <v/>
      </c>
      <c r="R137" s="39" t="str">
        <f aca="false">IFERROR(1/(1/(ROUND($N137*$L137,0)-$Q137)),"")</f>
        <v/>
      </c>
      <c r="S137" s="88" t="str">
        <f aca="false">IF(OR($C137="18+",$C137="18-20",SUM($Q137,$R137)=0),"",100%)</f>
        <v/>
      </c>
      <c r="T137" s="39" t="str">
        <f aca="false">IF(OR($C137="18+",$C137="18-20",SUM($Q137,$R137)=0),"",ROUND(SUM($Q137,$R137)*$S137,0))</f>
        <v/>
      </c>
    </row>
    <row r="138" customFormat="false" ht="15" hidden="false" customHeight="false" outlineLevel="0" collapsed="false">
      <c r="A138" s="0" t="str">
        <f aca="false">INDEX(Prioritization!$D:$D,MATCH($B138,Prioritization!$A:$A,0))</f>
        <v>INVALID</v>
      </c>
      <c r="B138" s="0" t="s">
        <v>202</v>
      </c>
      <c r="C138" s="0" t="s">
        <v>813</v>
      </c>
      <c r="D138" s="0" t="s">
        <v>48</v>
      </c>
      <c r="E138" s="0" t="str">
        <f aca="false">$B138&amp;"|"&amp;$C138&amp;"|"&amp;$D138</f>
        <v>Ntchisi District [fiRkU6gEjLz]|18-20|Male</v>
      </c>
      <c r="G138" s="10"/>
      <c r="H138" s="10"/>
      <c r="I138" s="88" t="str">
        <f aca="false">IF(SUM($H138)=0,"",0%)</f>
        <v/>
      </c>
      <c r="J138" s="88"/>
      <c r="K138" s="88"/>
      <c r="L138" s="88" t="n">
        <f aca="false">1-IF(NOT(AND($D138="Female",OR($C138="10-14",$C138="15-17",$F138="Y"))),0,$J138)-IF(NOT(OR($C138="05-09",$C138="10-14")),0,$K138)</f>
        <v>1</v>
      </c>
      <c r="M138" s="88" t="n">
        <f aca="false">IF(SUM($L138)=0,"",20%)</f>
        <v>0.2</v>
      </c>
      <c r="N138" s="10" t="str">
        <f aca="false">IF(SUM($H138)=0,"",ROUND($H138*(1+$I138),0))</f>
        <v/>
      </c>
      <c r="O138" s="39" t="str">
        <f aca="false">IF(OR(SUM($N138)=0,SUM($J138)=0,NOT(AND($D138="Female",$F138="Y",OR($C138="10-14",$C138="15-17")))),"",ROUND($N138*$J138,0))</f>
        <v/>
      </c>
      <c r="P138" s="39" t="str">
        <f aca="false">IF(OR(SUM($N138)=0,SUM($K138)=0,NOT(OR($C138="10-14",$C138="05-09"))),"",ROUND($N138*$K138,0))</f>
        <v/>
      </c>
      <c r="Q138" s="39" t="str">
        <f aca="false">IFERROR(1/(1/ROUND($N138*$L138*$M138,0)),"")</f>
        <v/>
      </c>
      <c r="R138" s="39" t="str">
        <f aca="false">IFERROR(1/(1/(ROUND($N138*$L138,0)-$Q138)),"")</f>
        <v/>
      </c>
      <c r="S138" s="88" t="str">
        <f aca="false">IF(OR($C138="18+",$C138="18-20",SUM($Q138,$R138)=0),"",100%)</f>
        <v/>
      </c>
      <c r="T138" s="39" t="str">
        <f aca="false">IF(OR($C138="18+",$C138="18-20",SUM($Q138,$R138)=0),"",ROUND(SUM($Q138,$R138)*$S138,0))</f>
        <v/>
      </c>
    </row>
    <row r="139" customFormat="false" ht="15" hidden="false" customHeight="false" outlineLevel="0" collapsed="false">
      <c r="A139" s="0" t="str">
        <f aca="false">INDEX(Prioritization!$D:$D,MATCH($B139,Prioritization!$A:$A,0))</f>
        <v>INVALID</v>
      </c>
      <c r="B139" s="0" t="s">
        <v>202</v>
      </c>
      <c r="C139" s="0" t="s">
        <v>814</v>
      </c>
      <c r="D139" s="0" t="s">
        <v>30</v>
      </c>
      <c r="E139" s="0" t="str">
        <f aca="false">$B139&amp;"|"&amp;$C139&amp;"|"&amp;$D139</f>
        <v>Ntchisi District [fiRkU6gEjLz]|18+|Female</v>
      </c>
      <c r="G139" s="10"/>
      <c r="H139" s="10"/>
      <c r="I139" s="88" t="str">
        <f aca="false">IF(SUM($H139)=0,"",0%)</f>
        <v/>
      </c>
      <c r="J139" s="88"/>
      <c r="K139" s="88"/>
      <c r="L139" s="88" t="n">
        <f aca="false">1-IF(NOT(AND($D139="Female",OR($C139="10-14",$C139="15-17",$F139="Y"))),0,$J139)-IF(NOT(OR($C139="05-09",$C139="10-14")),0,$K139)</f>
        <v>1</v>
      </c>
      <c r="M139" s="88" t="n">
        <f aca="false">IF(SUM($L139)=0,"",20%)</f>
        <v>0.2</v>
      </c>
      <c r="N139" s="10" t="str">
        <f aca="false">IF(SUM($H139)=0,"",ROUND($H139*(1+$I139),0))</f>
        <v/>
      </c>
      <c r="O139" s="39" t="str">
        <f aca="false">IF(OR(SUM($N139)=0,SUM($J139)=0,NOT(AND($D139="Female",$F139="Y",OR($C139="10-14",$C139="15-17")))),"",ROUND($N139*$J139,0))</f>
        <v/>
      </c>
      <c r="P139" s="39" t="str">
        <f aca="false">IF(OR(SUM($N139)=0,SUM($K139)=0,NOT(OR($C139="10-14",$C139="05-09"))),"",ROUND($N139*$K139,0))</f>
        <v/>
      </c>
      <c r="Q139" s="39" t="str">
        <f aca="false">IFERROR(1/(1/ROUND($N139*$L139*$M139,0)),"")</f>
        <v/>
      </c>
      <c r="R139" s="39" t="str">
        <f aca="false">IFERROR(1/(1/(ROUND($N139*$L139,0)-$Q139)),"")</f>
        <v/>
      </c>
      <c r="S139" s="88" t="str">
        <f aca="false">IF(OR($C139="18+",$C139="18-20",SUM($Q139,$R139)=0),"",100%)</f>
        <v/>
      </c>
      <c r="T139" s="39" t="str">
        <f aca="false">IF(OR($C139="18+",$C139="18-20",SUM($Q139,$R139)=0),"",ROUND(SUM($Q139,$R139)*$S139,0))</f>
        <v/>
      </c>
    </row>
    <row r="140" customFormat="false" ht="15" hidden="false" customHeight="false" outlineLevel="0" collapsed="false">
      <c r="A140" s="0" t="str">
        <f aca="false">INDEX(Prioritization!$D:$D,MATCH($B140,Prioritization!$A:$A,0))</f>
        <v>INVALID</v>
      </c>
      <c r="B140" s="0" t="s">
        <v>202</v>
      </c>
      <c r="C140" s="0" t="s">
        <v>814</v>
      </c>
      <c r="D140" s="0" t="s">
        <v>48</v>
      </c>
      <c r="E140" s="0" t="str">
        <f aca="false">$B140&amp;"|"&amp;$C140&amp;"|"&amp;$D140</f>
        <v>Ntchisi District [fiRkU6gEjLz]|18+|Male</v>
      </c>
      <c r="G140" s="10"/>
      <c r="H140" s="10"/>
      <c r="I140" s="88" t="str">
        <f aca="false">IF(SUM($H140)=0,"",0%)</f>
        <v/>
      </c>
      <c r="J140" s="88"/>
      <c r="K140" s="88"/>
      <c r="L140" s="88" t="n">
        <f aca="false">1-IF(NOT(AND($D140="Female",OR($C140="10-14",$C140="15-17",$F140="Y"))),0,$J140)-IF(NOT(OR($C140="05-09",$C140="10-14")),0,$K140)</f>
        <v>1</v>
      </c>
      <c r="M140" s="88" t="n">
        <f aca="false">IF(SUM($L140)=0,"",20%)</f>
        <v>0.2</v>
      </c>
      <c r="N140" s="10" t="str">
        <f aca="false">IF(SUM($H140)=0,"",ROUND($H140*(1+$I140),0))</f>
        <v/>
      </c>
      <c r="O140" s="39" t="str">
        <f aca="false">IF(OR(SUM($N140)=0,SUM($J140)=0,NOT(AND($D140="Female",$F140="Y",OR($C140="10-14",$C140="15-17")))),"",ROUND($N140*$J140,0))</f>
        <v/>
      </c>
      <c r="P140" s="39" t="str">
        <f aca="false">IF(OR(SUM($N140)=0,SUM($K140)=0,NOT(OR($C140="10-14",$C140="05-09"))),"",ROUND($N140*$K140,0))</f>
        <v/>
      </c>
      <c r="Q140" s="39" t="str">
        <f aca="false">IFERROR(1/(1/ROUND($N140*$L140*$M140,0)),"")</f>
        <v/>
      </c>
      <c r="R140" s="39" t="str">
        <f aca="false">IFERROR(1/(1/(ROUND($N140*$L140,0)-$Q140)),"")</f>
        <v/>
      </c>
      <c r="S140" s="88" t="str">
        <f aca="false">IF(OR($C140="18+",$C140="18-20",SUM($Q140,$R140)=0),"",100%)</f>
        <v/>
      </c>
      <c r="T140" s="39" t="str">
        <f aca="false">IF(OR($C140="18+",$C140="18-20",SUM($Q140,$R140)=0),"",ROUND(SUM($Q140,$R140)*$S140,0))</f>
        <v/>
      </c>
    </row>
    <row r="141" customFormat="false" ht="15" hidden="false" customHeight="false" outlineLevel="0" collapsed="false">
      <c r="A141" s="0" t="str">
        <f aca="false">INDEX(Prioritization!$D:$D,MATCH($B141,Prioritization!$A:$A,0))</f>
        <v>INVALID</v>
      </c>
      <c r="B141" s="0" t="s">
        <v>203</v>
      </c>
      <c r="C141" s="0" t="s">
        <v>316</v>
      </c>
      <c r="D141" s="0" t="s">
        <v>30</v>
      </c>
      <c r="E141" s="0" t="str">
        <f aca="false">$B141&amp;"|"&amp;$C141&amp;"|"&amp;$D141</f>
        <v>Salima District [msW2zpIN7up]|&lt;01|Female</v>
      </c>
      <c r="G141" s="10"/>
      <c r="H141" s="10"/>
      <c r="I141" s="88" t="str">
        <f aca="false">IF(SUM($H141)=0,"",0%)</f>
        <v/>
      </c>
      <c r="J141" s="88"/>
      <c r="K141" s="88"/>
      <c r="L141" s="88" t="n">
        <f aca="false">1-IF(NOT(AND($D141="Female",OR($C141="10-14",$C141="15-17",$F141="Y"))),0,$J141)-IF(NOT(OR($C141="05-09",$C141="10-14")),0,$K141)</f>
        <v>1</v>
      </c>
      <c r="M141" s="88" t="n">
        <f aca="false">IF(SUM($L141)=0,"",20%)</f>
        <v>0.2</v>
      </c>
      <c r="N141" s="10" t="str">
        <f aca="false">IF(SUM($H141)=0,"",ROUND($H141*(1+$I141),0))</f>
        <v/>
      </c>
      <c r="O141" s="39" t="str">
        <f aca="false">IF(OR(SUM($N141)=0,SUM($J141)=0,NOT(AND($D141="Female",$F141="Y",OR($C141="10-14",$C141="15-17")))),"",ROUND($N141*$J141,0))</f>
        <v/>
      </c>
      <c r="P141" s="39" t="str">
        <f aca="false">IF(OR(SUM($N141)=0,SUM($K141)=0,NOT(OR($C141="10-14",$C141="05-09"))),"",ROUND($N141*$K141,0))</f>
        <v/>
      </c>
      <c r="Q141" s="39" t="str">
        <f aca="false">IFERROR(1/(1/ROUND($N141*$L141*$M141,0)),"")</f>
        <v/>
      </c>
      <c r="R141" s="39" t="str">
        <f aca="false">IFERROR(1/(1/(ROUND($N141*$L141,0)-$Q141)),"")</f>
        <v/>
      </c>
      <c r="S141" s="88" t="str">
        <f aca="false">IF(OR($C141="18+",$C141="18-20",SUM($Q141,$R141)=0),"",100%)</f>
        <v/>
      </c>
      <c r="T141" s="39" t="str">
        <f aca="false">IF(OR($C141="18+",$C141="18-20",SUM($Q141,$R141)=0),"",ROUND(SUM($Q141,$R141)*$S141,0))</f>
        <v/>
      </c>
    </row>
    <row r="142" customFormat="false" ht="15" hidden="false" customHeight="false" outlineLevel="0" collapsed="false">
      <c r="A142" s="0" t="str">
        <f aca="false">INDEX(Prioritization!$D:$D,MATCH($B142,Prioritization!$A:$A,0))</f>
        <v>INVALID</v>
      </c>
      <c r="B142" s="0" t="s">
        <v>203</v>
      </c>
      <c r="C142" s="0" t="s">
        <v>316</v>
      </c>
      <c r="D142" s="0" t="s">
        <v>48</v>
      </c>
      <c r="E142" s="0" t="str">
        <f aca="false">$B142&amp;"|"&amp;$C142&amp;"|"&amp;$D142</f>
        <v>Salima District [msW2zpIN7up]|&lt;01|Male</v>
      </c>
      <c r="G142" s="10"/>
      <c r="H142" s="10"/>
      <c r="I142" s="88" t="str">
        <f aca="false">IF(SUM($H142)=0,"",0%)</f>
        <v/>
      </c>
      <c r="J142" s="88"/>
      <c r="K142" s="88"/>
      <c r="L142" s="88" t="n">
        <f aca="false">1-IF(NOT(AND($D142="Female",OR($C142="10-14",$C142="15-17",$F142="Y"))),0,$J142)-IF(NOT(OR($C142="05-09",$C142="10-14")),0,$K142)</f>
        <v>1</v>
      </c>
      <c r="M142" s="88" t="n">
        <f aca="false">IF(SUM($L142)=0,"",20%)</f>
        <v>0.2</v>
      </c>
      <c r="N142" s="10" t="str">
        <f aca="false">IF(SUM($H142)=0,"",ROUND($H142*(1+$I142),0))</f>
        <v/>
      </c>
      <c r="O142" s="39" t="str">
        <f aca="false">IF(OR(SUM($N142)=0,SUM($J142)=0,NOT(AND($D142="Female",$F142="Y",OR($C142="10-14",$C142="15-17")))),"",ROUND($N142*$J142,0))</f>
        <v/>
      </c>
      <c r="P142" s="39" t="str">
        <f aca="false">IF(OR(SUM($N142)=0,SUM($K142)=0,NOT(OR($C142="10-14",$C142="05-09"))),"",ROUND($N142*$K142,0))</f>
        <v/>
      </c>
      <c r="Q142" s="39" t="str">
        <f aca="false">IFERROR(1/(1/ROUND($N142*$L142*$M142,0)),"")</f>
        <v/>
      </c>
      <c r="R142" s="39" t="str">
        <f aca="false">IFERROR(1/(1/(ROUND($N142*$L142,0)-$Q142)),"")</f>
        <v/>
      </c>
      <c r="S142" s="88" t="str">
        <f aca="false">IF(OR($C142="18+",$C142="18-20",SUM($Q142,$R142)=0),"",100%)</f>
        <v/>
      </c>
      <c r="T142" s="39" t="str">
        <f aca="false">IF(OR($C142="18+",$C142="18-20",SUM($Q142,$R142)=0),"",ROUND(SUM($Q142,$R142)*$S142,0))</f>
        <v/>
      </c>
    </row>
    <row r="143" customFormat="false" ht="15" hidden="false" customHeight="false" outlineLevel="0" collapsed="false">
      <c r="A143" s="0" t="str">
        <f aca="false">INDEX(Prioritization!$D:$D,MATCH($B143,Prioritization!$A:$A,0))</f>
        <v>INVALID</v>
      </c>
      <c r="B143" s="0" t="s">
        <v>203</v>
      </c>
      <c r="C143" s="0" t="s">
        <v>810</v>
      </c>
      <c r="D143" s="0" t="s">
        <v>30</v>
      </c>
      <c r="E143" s="0" t="str">
        <f aca="false">$B143&amp;"|"&amp;$C143&amp;"|"&amp;$D143</f>
        <v>Salima District [msW2zpIN7up]|01-04|Female</v>
      </c>
      <c r="G143" s="10"/>
      <c r="H143" s="10"/>
      <c r="I143" s="88" t="str">
        <f aca="false">IF(SUM($H143)=0,"",0%)</f>
        <v/>
      </c>
      <c r="J143" s="88"/>
      <c r="K143" s="88"/>
      <c r="L143" s="88" t="n">
        <f aca="false">1-IF(NOT(AND($D143="Female",OR($C143="10-14",$C143="15-17",$F143="Y"))),0,$J143)-IF(NOT(OR($C143="05-09",$C143="10-14")),0,$K143)</f>
        <v>1</v>
      </c>
      <c r="M143" s="88" t="n">
        <f aca="false">IF(SUM($L143)=0,"",20%)</f>
        <v>0.2</v>
      </c>
      <c r="N143" s="10" t="str">
        <f aca="false">IF(SUM($H143)=0,"",ROUND($H143*(1+$I143),0))</f>
        <v/>
      </c>
      <c r="O143" s="39" t="str">
        <f aca="false">IF(OR(SUM($N143)=0,SUM($J143)=0,NOT(AND($D143="Female",$F143="Y",OR($C143="10-14",$C143="15-17")))),"",ROUND($N143*$J143,0))</f>
        <v/>
      </c>
      <c r="P143" s="39" t="str">
        <f aca="false">IF(OR(SUM($N143)=0,SUM($K143)=0,NOT(OR($C143="10-14",$C143="05-09"))),"",ROUND($N143*$K143,0))</f>
        <v/>
      </c>
      <c r="Q143" s="39" t="str">
        <f aca="false">IFERROR(1/(1/ROUND($N143*$L143*$M143,0)),"")</f>
        <v/>
      </c>
      <c r="R143" s="39" t="str">
        <f aca="false">IFERROR(1/(1/(ROUND($N143*$L143,0)-$Q143)),"")</f>
        <v/>
      </c>
      <c r="S143" s="88" t="str">
        <f aca="false">IF(OR($C143="18+",$C143="18-20",SUM($Q143,$R143)=0),"",100%)</f>
        <v/>
      </c>
      <c r="T143" s="39" t="str">
        <f aca="false">IF(OR($C143="18+",$C143="18-20",SUM($Q143,$R143)=0),"",ROUND(SUM($Q143,$R143)*$S143,0))</f>
        <v/>
      </c>
    </row>
    <row r="144" customFormat="false" ht="15" hidden="false" customHeight="false" outlineLevel="0" collapsed="false">
      <c r="A144" s="0" t="str">
        <f aca="false">INDEX(Prioritization!$D:$D,MATCH($B144,Prioritization!$A:$A,0))</f>
        <v>INVALID</v>
      </c>
      <c r="B144" s="0" t="s">
        <v>203</v>
      </c>
      <c r="C144" s="0" t="s">
        <v>810</v>
      </c>
      <c r="D144" s="0" t="s">
        <v>48</v>
      </c>
      <c r="E144" s="0" t="str">
        <f aca="false">$B144&amp;"|"&amp;$C144&amp;"|"&amp;$D144</f>
        <v>Salima District [msW2zpIN7up]|01-04|Male</v>
      </c>
      <c r="G144" s="10"/>
      <c r="H144" s="10"/>
      <c r="I144" s="88" t="str">
        <f aca="false">IF(SUM($H144)=0,"",0%)</f>
        <v/>
      </c>
      <c r="J144" s="88"/>
      <c r="K144" s="88"/>
      <c r="L144" s="88" t="n">
        <f aca="false">1-IF(NOT(AND($D144="Female",OR($C144="10-14",$C144="15-17",$F144="Y"))),0,$J144)-IF(NOT(OR($C144="05-09",$C144="10-14")),0,$K144)</f>
        <v>1</v>
      </c>
      <c r="M144" s="88" t="n">
        <f aca="false">IF(SUM($L144)=0,"",20%)</f>
        <v>0.2</v>
      </c>
      <c r="N144" s="10" t="str">
        <f aca="false">IF(SUM($H144)=0,"",ROUND($H144*(1+$I144),0))</f>
        <v/>
      </c>
      <c r="O144" s="39" t="str">
        <f aca="false">IF(OR(SUM($N144)=0,SUM($J144)=0,NOT(AND($D144="Female",$F144="Y",OR($C144="10-14",$C144="15-17")))),"",ROUND($N144*$J144,0))</f>
        <v/>
      </c>
      <c r="P144" s="39" t="str">
        <f aca="false">IF(OR(SUM($N144)=0,SUM($K144)=0,NOT(OR($C144="10-14",$C144="05-09"))),"",ROUND($N144*$K144,0))</f>
        <v/>
      </c>
      <c r="Q144" s="39" t="str">
        <f aca="false">IFERROR(1/(1/ROUND($N144*$L144*$M144,0)),"")</f>
        <v/>
      </c>
      <c r="R144" s="39" t="str">
        <f aca="false">IFERROR(1/(1/(ROUND($N144*$L144,0)-$Q144)),"")</f>
        <v/>
      </c>
      <c r="S144" s="88" t="str">
        <f aca="false">IF(OR($C144="18+",$C144="18-20",SUM($Q144,$R144)=0),"",100%)</f>
        <v/>
      </c>
      <c r="T144" s="39" t="str">
        <f aca="false">IF(OR($C144="18+",$C144="18-20",SUM($Q144,$R144)=0),"",ROUND(SUM($Q144,$R144)*$S144,0))</f>
        <v/>
      </c>
    </row>
    <row r="145" customFormat="false" ht="15" hidden="false" customHeight="false" outlineLevel="0" collapsed="false">
      <c r="A145" s="0" t="str">
        <f aca="false">INDEX(Prioritization!$D:$D,MATCH($B145,Prioritization!$A:$A,0))</f>
        <v>INVALID</v>
      </c>
      <c r="B145" s="0" t="s">
        <v>203</v>
      </c>
      <c r="C145" s="0" t="s">
        <v>811</v>
      </c>
      <c r="D145" s="0" t="s">
        <v>30</v>
      </c>
      <c r="E145" s="0" t="str">
        <f aca="false">$B145&amp;"|"&amp;$C145&amp;"|"&amp;$D145</f>
        <v>Salima District [msW2zpIN7up]|05-09|Female</v>
      </c>
      <c r="G145" s="10"/>
      <c r="H145" s="10"/>
      <c r="I145" s="88" t="str">
        <f aca="false">IF(SUM($H145)=0,"",0%)</f>
        <v/>
      </c>
      <c r="J145" s="88"/>
      <c r="K145" s="88"/>
      <c r="L145" s="88" t="n">
        <f aca="false">1-IF(NOT(AND($D145="Female",OR($C145="10-14",$C145="15-17",$F145="Y"))),0,$J145)-IF(NOT(OR($C145="05-09",$C145="10-14")),0,$K145)</f>
        <v>1</v>
      </c>
      <c r="M145" s="88" t="n">
        <f aca="false">IF(SUM($L145)=0,"",20%)</f>
        <v>0.2</v>
      </c>
      <c r="N145" s="10" t="str">
        <f aca="false">IF(SUM($H145)=0,"",ROUND($H145*(1+$I145),0))</f>
        <v/>
      </c>
      <c r="O145" s="39" t="str">
        <f aca="false">IF(OR(SUM($N145)=0,SUM($J145)=0,NOT(AND($D145="Female",$F145="Y",OR($C145="10-14",$C145="15-17")))),"",ROUND($N145*$J145,0))</f>
        <v/>
      </c>
      <c r="P145" s="39" t="str">
        <f aca="false">IF(OR(SUM($N145)=0,SUM($K145)=0,NOT(OR($C145="10-14",$C145="05-09"))),"",ROUND($N145*$K145,0))</f>
        <v/>
      </c>
      <c r="Q145" s="39" t="str">
        <f aca="false">IFERROR(1/(1/ROUND($N145*$L145*$M145,0)),"")</f>
        <v/>
      </c>
      <c r="R145" s="39" t="str">
        <f aca="false">IFERROR(1/(1/(ROUND($N145*$L145,0)-$Q145)),"")</f>
        <v/>
      </c>
      <c r="S145" s="88" t="str">
        <f aca="false">IF(OR($C145="18+",$C145="18-20",SUM($Q145,$R145)=0),"",100%)</f>
        <v/>
      </c>
      <c r="T145" s="39" t="str">
        <f aca="false">IF(OR($C145="18+",$C145="18-20",SUM($Q145,$R145)=0),"",ROUND(SUM($Q145,$R145)*$S145,0))</f>
        <v/>
      </c>
    </row>
    <row r="146" customFormat="false" ht="15" hidden="false" customHeight="false" outlineLevel="0" collapsed="false">
      <c r="A146" s="0" t="str">
        <f aca="false">INDEX(Prioritization!$D:$D,MATCH($B146,Prioritization!$A:$A,0))</f>
        <v>INVALID</v>
      </c>
      <c r="B146" s="0" t="s">
        <v>203</v>
      </c>
      <c r="C146" s="0" t="s">
        <v>811</v>
      </c>
      <c r="D146" s="0" t="s">
        <v>48</v>
      </c>
      <c r="E146" s="0" t="str">
        <f aca="false">$B146&amp;"|"&amp;$C146&amp;"|"&amp;$D146</f>
        <v>Salima District [msW2zpIN7up]|05-09|Male</v>
      </c>
      <c r="G146" s="10"/>
      <c r="H146" s="10"/>
      <c r="I146" s="88" t="str">
        <f aca="false">IF(SUM($H146)=0,"",0%)</f>
        <v/>
      </c>
      <c r="J146" s="88"/>
      <c r="K146" s="88"/>
      <c r="L146" s="88" t="n">
        <f aca="false">1-IF(NOT(AND($D146="Female",OR($C146="10-14",$C146="15-17",$F146="Y"))),0,$J146)-IF(NOT(OR($C146="05-09",$C146="10-14")),0,$K146)</f>
        <v>1</v>
      </c>
      <c r="M146" s="88" t="n">
        <f aca="false">IF(SUM($L146)=0,"",20%)</f>
        <v>0.2</v>
      </c>
      <c r="N146" s="10" t="str">
        <f aca="false">IF(SUM($H146)=0,"",ROUND($H146*(1+$I146),0))</f>
        <v/>
      </c>
      <c r="O146" s="39" t="str">
        <f aca="false">IF(OR(SUM($N146)=0,SUM($J146)=0,NOT(AND($D146="Female",$F146="Y",OR($C146="10-14",$C146="15-17")))),"",ROUND($N146*$J146,0))</f>
        <v/>
      </c>
      <c r="P146" s="39" t="str">
        <f aca="false">IF(OR(SUM($N146)=0,SUM($K146)=0,NOT(OR($C146="10-14",$C146="05-09"))),"",ROUND($N146*$K146,0))</f>
        <v/>
      </c>
      <c r="Q146" s="39" t="str">
        <f aca="false">IFERROR(1/(1/ROUND($N146*$L146*$M146,0)),"")</f>
        <v/>
      </c>
      <c r="R146" s="39" t="str">
        <f aca="false">IFERROR(1/(1/(ROUND($N146*$L146,0)-$Q146)),"")</f>
        <v/>
      </c>
      <c r="S146" s="88" t="str">
        <f aca="false">IF(OR($C146="18+",$C146="18-20",SUM($Q146,$R146)=0),"",100%)</f>
        <v/>
      </c>
      <c r="T146" s="39" t="str">
        <f aca="false">IF(OR($C146="18+",$C146="18-20",SUM($Q146,$R146)=0),"",ROUND(SUM($Q146,$R146)*$S146,0))</f>
        <v/>
      </c>
    </row>
    <row r="147" customFormat="false" ht="15" hidden="false" customHeight="false" outlineLevel="0" collapsed="false">
      <c r="A147" s="0" t="str">
        <f aca="false">INDEX(Prioritization!$D:$D,MATCH($B147,Prioritization!$A:$A,0))</f>
        <v>INVALID</v>
      </c>
      <c r="B147" s="0" t="s">
        <v>203</v>
      </c>
      <c r="C147" s="0" t="s">
        <v>364</v>
      </c>
      <c r="D147" s="0" t="s">
        <v>30</v>
      </c>
      <c r="E147" s="0" t="str">
        <f aca="false">$B147&amp;"|"&amp;$C147&amp;"|"&amp;$D147</f>
        <v>Salima District [msW2zpIN7up]|10-14|Female</v>
      </c>
      <c r="G147" s="10"/>
      <c r="H147" s="10" t="n">
        <v>3</v>
      </c>
      <c r="I147" s="88" t="n">
        <f aca="false">IF(SUM($H147)=0,"",0%)</f>
        <v>0</v>
      </c>
      <c r="J147" s="88"/>
      <c r="K147" s="88"/>
      <c r="L147" s="88" t="n">
        <f aca="false">1-IF(NOT(AND($D147="Female",OR($C147="10-14",$C147="15-17",$F147="Y"))),0,$J147)-IF(NOT(OR($C147="05-09",$C147="10-14")),0,$K147)</f>
        <v>1</v>
      </c>
      <c r="M147" s="88" t="n">
        <f aca="false">IF(SUM($L147)=0,"",20%)</f>
        <v>0.2</v>
      </c>
      <c r="N147" s="10" t="n">
        <f aca="false">IF(SUM($H147)=0,"",ROUND($H147*(1+$I147),0))</f>
        <v>3</v>
      </c>
      <c r="O147" s="39" t="str">
        <f aca="false">IF(OR(SUM($N147)=0,SUM($J147)=0,NOT(AND($D147="Female",$F147="Y",OR($C147="10-14",$C147="15-17")))),"",ROUND($N147*$J147,0))</f>
        <v/>
      </c>
      <c r="P147" s="39" t="str">
        <f aca="false">IF(OR(SUM($N147)=0,SUM($K147)=0,NOT(OR($C147="10-14",$C147="05-09"))),"",ROUND($N147*$K147,0))</f>
        <v/>
      </c>
      <c r="Q147" s="39" t="n">
        <f aca="false">IFERROR(1/(1/ROUND($N147*$L147*$M147,0)),"")</f>
        <v>1</v>
      </c>
      <c r="R147" s="39" t="n">
        <f aca="false">IFERROR(1/(1/(ROUND($N147*$L147,0)-$Q147)),"")</f>
        <v>2</v>
      </c>
      <c r="S147" s="88" t="n">
        <f aca="false">IF(OR($C147="18+",$C147="18-20",SUM($Q147,$R147)=0),"",100%)</f>
        <v>1</v>
      </c>
      <c r="T147" s="39" t="n">
        <f aca="false">IF(OR($C147="18+",$C147="18-20",SUM($Q147,$R147)=0),"",ROUND(SUM($Q147,$R147)*$S147,0))</f>
        <v>3</v>
      </c>
    </row>
    <row r="148" customFormat="false" ht="15" hidden="false" customHeight="false" outlineLevel="0" collapsed="false">
      <c r="A148" s="0" t="str">
        <f aca="false">INDEX(Prioritization!$D:$D,MATCH($B148,Prioritization!$A:$A,0))</f>
        <v>INVALID</v>
      </c>
      <c r="B148" s="0" t="s">
        <v>203</v>
      </c>
      <c r="C148" s="0" t="s">
        <v>364</v>
      </c>
      <c r="D148" s="0" t="s">
        <v>48</v>
      </c>
      <c r="E148" s="0" t="str">
        <f aca="false">$B148&amp;"|"&amp;$C148&amp;"|"&amp;$D148</f>
        <v>Salima District [msW2zpIN7up]|10-14|Male</v>
      </c>
      <c r="G148" s="10"/>
      <c r="H148" s="10" t="n">
        <v>2</v>
      </c>
      <c r="I148" s="88" t="n">
        <f aca="false">IF(SUM($H148)=0,"",0%)</f>
        <v>0</v>
      </c>
      <c r="J148" s="88"/>
      <c r="K148" s="88"/>
      <c r="L148" s="88" t="n">
        <f aca="false">1-IF(NOT(AND($D148="Female",OR($C148="10-14",$C148="15-17",$F148="Y"))),0,$J148)-IF(NOT(OR($C148="05-09",$C148="10-14")),0,$K148)</f>
        <v>1</v>
      </c>
      <c r="M148" s="88" t="n">
        <f aca="false">IF(SUM($L148)=0,"",20%)</f>
        <v>0.2</v>
      </c>
      <c r="N148" s="10" t="n">
        <f aca="false">IF(SUM($H148)=0,"",ROUND($H148*(1+$I148),0))</f>
        <v>2</v>
      </c>
      <c r="O148" s="39" t="str">
        <f aca="false">IF(OR(SUM($N148)=0,SUM($J148)=0,NOT(AND($D148="Female",$F148="Y",OR($C148="10-14",$C148="15-17")))),"",ROUND($N148*$J148,0))</f>
        <v/>
      </c>
      <c r="P148" s="39" t="str">
        <f aca="false">IF(OR(SUM($N148)=0,SUM($K148)=0,NOT(OR($C148="10-14",$C148="05-09"))),"",ROUND($N148*$K148,0))</f>
        <v/>
      </c>
      <c r="Q148" s="39" t="str">
        <f aca="false">IFERROR(1/(1/ROUND($N148*$L148*$M148,0)),"")</f>
        <v/>
      </c>
      <c r="R148" s="39" t="str">
        <f aca="false">IFERROR(1/(1/(ROUND($N148*$L148,0)-$Q148)),"")</f>
        <v/>
      </c>
      <c r="S148" s="88" t="str">
        <f aca="false">IF(OR($C148="18+",$C148="18-20",SUM($Q148,$R148)=0),"",100%)</f>
        <v/>
      </c>
      <c r="T148" s="39" t="str">
        <f aca="false">IF(OR($C148="18+",$C148="18-20",SUM($Q148,$R148)=0),"",ROUND(SUM($Q148,$R148)*$S148,0))</f>
        <v/>
      </c>
    </row>
    <row r="149" customFormat="false" ht="15" hidden="false" customHeight="false" outlineLevel="0" collapsed="false">
      <c r="A149" s="0" t="str">
        <f aca="false">INDEX(Prioritization!$D:$D,MATCH($B149,Prioritization!$A:$A,0))</f>
        <v>INVALID</v>
      </c>
      <c r="B149" s="0" t="s">
        <v>203</v>
      </c>
      <c r="C149" s="0" t="s">
        <v>812</v>
      </c>
      <c r="D149" s="0" t="s">
        <v>30</v>
      </c>
      <c r="E149" s="0" t="str">
        <f aca="false">$B149&amp;"|"&amp;$C149&amp;"|"&amp;$D149</f>
        <v>Salima District [msW2zpIN7up]|15-17|Female</v>
      </c>
      <c r="G149" s="10"/>
      <c r="H149" s="10"/>
      <c r="I149" s="88" t="str">
        <f aca="false">IF(SUM($H149)=0,"",0%)</f>
        <v/>
      </c>
      <c r="J149" s="88"/>
      <c r="K149" s="88"/>
      <c r="L149" s="88" t="n">
        <f aca="false">1-IF(NOT(AND($D149="Female",OR($C149="10-14",$C149="15-17",$F149="Y"))),0,$J149)-IF(NOT(OR($C149="05-09",$C149="10-14")),0,$K149)</f>
        <v>1</v>
      </c>
      <c r="M149" s="88" t="n">
        <f aca="false">IF(SUM($L149)=0,"",20%)</f>
        <v>0.2</v>
      </c>
      <c r="N149" s="10" t="str">
        <f aca="false">IF(SUM($H149)=0,"",ROUND($H149*(1+$I149),0))</f>
        <v/>
      </c>
      <c r="O149" s="39" t="str">
        <f aca="false">IF(OR(SUM($N149)=0,SUM($J149)=0,NOT(AND($D149="Female",$F149="Y",OR($C149="10-14",$C149="15-17")))),"",ROUND($N149*$J149,0))</f>
        <v/>
      </c>
      <c r="P149" s="39" t="str">
        <f aca="false">IF(OR(SUM($N149)=0,SUM($K149)=0,NOT(OR($C149="10-14",$C149="05-09"))),"",ROUND($N149*$K149,0))</f>
        <v/>
      </c>
      <c r="Q149" s="39" t="str">
        <f aca="false">IFERROR(1/(1/ROUND($N149*$L149*$M149,0)),"")</f>
        <v/>
      </c>
      <c r="R149" s="39" t="str">
        <f aca="false">IFERROR(1/(1/(ROUND($N149*$L149,0)-$Q149)),"")</f>
        <v/>
      </c>
      <c r="S149" s="88" t="str">
        <f aca="false">IF(OR($C149="18+",$C149="18-20",SUM($Q149,$R149)=0),"",100%)</f>
        <v/>
      </c>
      <c r="T149" s="39" t="str">
        <f aca="false">IF(OR($C149="18+",$C149="18-20",SUM($Q149,$R149)=0),"",ROUND(SUM($Q149,$R149)*$S149,0))</f>
        <v/>
      </c>
    </row>
    <row r="150" customFormat="false" ht="15" hidden="false" customHeight="false" outlineLevel="0" collapsed="false">
      <c r="A150" s="0" t="str">
        <f aca="false">INDEX(Prioritization!$D:$D,MATCH($B150,Prioritization!$A:$A,0))</f>
        <v>INVALID</v>
      </c>
      <c r="B150" s="0" t="s">
        <v>203</v>
      </c>
      <c r="C150" s="0" t="s">
        <v>812</v>
      </c>
      <c r="D150" s="0" t="s">
        <v>48</v>
      </c>
      <c r="E150" s="0" t="str">
        <f aca="false">$B150&amp;"|"&amp;$C150&amp;"|"&amp;$D150</f>
        <v>Salima District [msW2zpIN7up]|15-17|Male</v>
      </c>
      <c r="G150" s="10"/>
      <c r="H150" s="10"/>
      <c r="I150" s="88" t="str">
        <f aca="false">IF(SUM($H150)=0,"",0%)</f>
        <v/>
      </c>
      <c r="J150" s="88"/>
      <c r="K150" s="88"/>
      <c r="L150" s="88" t="n">
        <f aca="false">1-IF(NOT(AND($D150="Female",OR($C150="10-14",$C150="15-17",$F150="Y"))),0,$J150)-IF(NOT(OR($C150="05-09",$C150="10-14")),0,$K150)</f>
        <v>1</v>
      </c>
      <c r="M150" s="88" t="n">
        <f aca="false">IF(SUM($L150)=0,"",20%)</f>
        <v>0.2</v>
      </c>
      <c r="N150" s="10" t="str">
        <f aca="false">IF(SUM($H150)=0,"",ROUND($H150*(1+$I150),0))</f>
        <v/>
      </c>
      <c r="O150" s="39" t="str">
        <f aca="false">IF(OR(SUM($N150)=0,SUM($J150)=0,NOT(AND($D150="Female",$F150="Y",OR($C150="10-14",$C150="15-17")))),"",ROUND($N150*$J150,0))</f>
        <v/>
      </c>
      <c r="P150" s="39" t="str">
        <f aca="false">IF(OR(SUM($N150)=0,SUM($K150)=0,NOT(OR($C150="10-14",$C150="05-09"))),"",ROUND($N150*$K150,0))</f>
        <v/>
      </c>
      <c r="Q150" s="39" t="str">
        <f aca="false">IFERROR(1/(1/ROUND($N150*$L150*$M150,0)),"")</f>
        <v/>
      </c>
      <c r="R150" s="39" t="str">
        <f aca="false">IFERROR(1/(1/(ROUND($N150*$L150,0)-$Q150)),"")</f>
        <v/>
      </c>
      <c r="S150" s="88" t="str">
        <f aca="false">IF(OR($C150="18+",$C150="18-20",SUM($Q150,$R150)=0),"",100%)</f>
        <v/>
      </c>
      <c r="T150" s="39" t="str">
        <f aca="false">IF(OR($C150="18+",$C150="18-20",SUM($Q150,$R150)=0),"",ROUND(SUM($Q150,$R150)*$S150,0))</f>
        <v/>
      </c>
    </row>
    <row r="151" customFormat="false" ht="15" hidden="false" customHeight="false" outlineLevel="0" collapsed="false">
      <c r="A151" s="0" t="str">
        <f aca="false">INDEX(Prioritization!$D:$D,MATCH($B151,Prioritization!$A:$A,0))</f>
        <v>INVALID</v>
      </c>
      <c r="B151" s="0" t="s">
        <v>203</v>
      </c>
      <c r="C151" s="0" t="s">
        <v>813</v>
      </c>
      <c r="D151" s="0" t="s">
        <v>30</v>
      </c>
      <c r="E151" s="0" t="str">
        <f aca="false">$B151&amp;"|"&amp;$C151&amp;"|"&amp;$D151</f>
        <v>Salima District [msW2zpIN7up]|18-20|Female</v>
      </c>
      <c r="G151" s="10"/>
      <c r="H151" s="10"/>
      <c r="I151" s="88" t="str">
        <f aca="false">IF(SUM($H151)=0,"",0%)</f>
        <v/>
      </c>
      <c r="J151" s="88"/>
      <c r="K151" s="88"/>
      <c r="L151" s="88" t="n">
        <f aca="false">1-IF(NOT(AND($D151="Female",OR($C151="10-14",$C151="15-17",$F151="Y"))),0,$J151)-IF(NOT(OR($C151="05-09",$C151="10-14")),0,$K151)</f>
        <v>1</v>
      </c>
      <c r="M151" s="88" t="n">
        <f aca="false">IF(SUM($L151)=0,"",20%)</f>
        <v>0.2</v>
      </c>
      <c r="N151" s="10" t="str">
        <f aca="false">IF(SUM($H151)=0,"",ROUND($H151*(1+$I151),0))</f>
        <v/>
      </c>
      <c r="O151" s="39" t="str">
        <f aca="false">IF(OR(SUM($N151)=0,SUM($J151)=0,NOT(AND($D151="Female",$F151="Y",OR($C151="10-14",$C151="15-17")))),"",ROUND($N151*$J151,0))</f>
        <v/>
      </c>
      <c r="P151" s="39" t="str">
        <f aca="false">IF(OR(SUM($N151)=0,SUM($K151)=0,NOT(OR($C151="10-14",$C151="05-09"))),"",ROUND($N151*$K151,0))</f>
        <v/>
      </c>
      <c r="Q151" s="39" t="str">
        <f aca="false">IFERROR(1/(1/ROUND($N151*$L151*$M151,0)),"")</f>
        <v/>
      </c>
      <c r="R151" s="39" t="str">
        <f aca="false">IFERROR(1/(1/(ROUND($N151*$L151,0)-$Q151)),"")</f>
        <v/>
      </c>
      <c r="S151" s="88" t="str">
        <f aca="false">IF(OR($C151="18+",$C151="18-20",SUM($Q151,$R151)=0),"",100%)</f>
        <v/>
      </c>
      <c r="T151" s="39" t="str">
        <f aca="false">IF(OR($C151="18+",$C151="18-20",SUM($Q151,$R151)=0),"",ROUND(SUM($Q151,$R151)*$S151,0))</f>
        <v/>
      </c>
    </row>
    <row r="152" customFormat="false" ht="15" hidden="false" customHeight="false" outlineLevel="0" collapsed="false">
      <c r="A152" s="0" t="str">
        <f aca="false">INDEX(Prioritization!$D:$D,MATCH($B152,Prioritization!$A:$A,0))</f>
        <v>INVALID</v>
      </c>
      <c r="B152" s="0" t="s">
        <v>203</v>
      </c>
      <c r="C152" s="0" t="s">
        <v>813</v>
      </c>
      <c r="D152" s="0" t="s">
        <v>48</v>
      </c>
      <c r="E152" s="0" t="str">
        <f aca="false">$B152&amp;"|"&amp;$C152&amp;"|"&amp;$D152</f>
        <v>Salima District [msW2zpIN7up]|18-20|Male</v>
      </c>
      <c r="G152" s="10"/>
      <c r="H152" s="10"/>
      <c r="I152" s="88" t="str">
        <f aca="false">IF(SUM($H152)=0,"",0%)</f>
        <v/>
      </c>
      <c r="J152" s="88"/>
      <c r="K152" s="88"/>
      <c r="L152" s="88" t="n">
        <f aca="false">1-IF(NOT(AND($D152="Female",OR($C152="10-14",$C152="15-17",$F152="Y"))),0,$J152)-IF(NOT(OR($C152="05-09",$C152="10-14")),0,$K152)</f>
        <v>1</v>
      </c>
      <c r="M152" s="88" t="n">
        <f aca="false">IF(SUM($L152)=0,"",20%)</f>
        <v>0.2</v>
      </c>
      <c r="N152" s="10" t="str">
        <f aca="false">IF(SUM($H152)=0,"",ROUND($H152*(1+$I152),0))</f>
        <v/>
      </c>
      <c r="O152" s="39" t="str">
        <f aca="false">IF(OR(SUM($N152)=0,SUM($J152)=0,NOT(AND($D152="Female",$F152="Y",OR($C152="10-14",$C152="15-17")))),"",ROUND($N152*$J152,0))</f>
        <v/>
      </c>
      <c r="P152" s="39" t="str">
        <f aca="false">IF(OR(SUM($N152)=0,SUM($K152)=0,NOT(OR($C152="10-14",$C152="05-09"))),"",ROUND($N152*$K152,0))</f>
        <v/>
      </c>
      <c r="Q152" s="39" t="str">
        <f aca="false">IFERROR(1/(1/ROUND($N152*$L152*$M152,0)),"")</f>
        <v/>
      </c>
      <c r="R152" s="39" t="str">
        <f aca="false">IFERROR(1/(1/(ROUND($N152*$L152,0)-$Q152)),"")</f>
        <v/>
      </c>
      <c r="S152" s="88" t="str">
        <f aca="false">IF(OR($C152="18+",$C152="18-20",SUM($Q152,$R152)=0),"",100%)</f>
        <v/>
      </c>
      <c r="T152" s="39" t="str">
        <f aca="false">IF(OR($C152="18+",$C152="18-20",SUM($Q152,$R152)=0),"",ROUND(SUM($Q152,$R152)*$S152,0))</f>
        <v/>
      </c>
    </row>
    <row r="153" customFormat="false" ht="15" hidden="false" customHeight="false" outlineLevel="0" collapsed="false">
      <c r="A153" s="0" t="str">
        <f aca="false">INDEX(Prioritization!$D:$D,MATCH($B153,Prioritization!$A:$A,0))</f>
        <v>INVALID</v>
      </c>
      <c r="B153" s="0" t="s">
        <v>203</v>
      </c>
      <c r="C153" s="0" t="s">
        <v>814</v>
      </c>
      <c r="D153" s="0" t="s">
        <v>30</v>
      </c>
      <c r="E153" s="0" t="str">
        <f aca="false">$B153&amp;"|"&amp;$C153&amp;"|"&amp;$D153</f>
        <v>Salima District [msW2zpIN7up]|18+|Female</v>
      </c>
      <c r="G153" s="10"/>
      <c r="H153" s="10"/>
      <c r="I153" s="88" t="str">
        <f aca="false">IF(SUM($H153)=0,"",0%)</f>
        <v/>
      </c>
      <c r="J153" s="88"/>
      <c r="K153" s="88"/>
      <c r="L153" s="88" t="n">
        <f aca="false">1-IF(NOT(AND($D153="Female",OR($C153="10-14",$C153="15-17",$F153="Y"))),0,$J153)-IF(NOT(OR($C153="05-09",$C153="10-14")),0,$K153)</f>
        <v>1</v>
      </c>
      <c r="M153" s="88" t="n">
        <f aca="false">IF(SUM($L153)=0,"",20%)</f>
        <v>0.2</v>
      </c>
      <c r="N153" s="10" t="str">
        <f aca="false">IF(SUM($H153)=0,"",ROUND($H153*(1+$I153),0))</f>
        <v/>
      </c>
      <c r="O153" s="39" t="str">
        <f aca="false">IF(OR(SUM($N153)=0,SUM($J153)=0,NOT(AND($D153="Female",$F153="Y",OR($C153="10-14",$C153="15-17")))),"",ROUND($N153*$J153,0))</f>
        <v/>
      </c>
      <c r="P153" s="39" t="str">
        <f aca="false">IF(OR(SUM($N153)=0,SUM($K153)=0,NOT(OR($C153="10-14",$C153="05-09"))),"",ROUND($N153*$K153,0))</f>
        <v/>
      </c>
      <c r="Q153" s="39" t="str">
        <f aca="false">IFERROR(1/(1/ROUND($N153*$L153*$M153,0)),"")</f>
        <v/>
      </c>
      <c r="R153" s="39" t="str">
        <f aca="false">IFERROR(1/(1/(ROUND($N153*$L153,0)-$Q153)),"")</f>
        <v/>
      </c>
      <c r="S153" s="88" t="str">
        <f aca="false">IF(OR($C153="18+",$C153="18-20",SUM($Q153,$R153)=0),"",100%)</f>
        <v/>
      </c>
      <c r="T153" s="39" t="str">
        <f aca="false">IF(OR($C153="18+",$C153="18-20",SUM($Q153,$R153)=0),"",ROUND(SUM($Q153,$R153)*$S153,0))</f>
        <v/>
      </c>
    </row>
    <row r="154" customFormat="false" ht="15" hidden="false" customHeight="false" outlineLevel="0" collapsed="false">
      <c r="A154" s="0" t="str">
        <f aca="false">INDEX(Prioritization!$D:$D,MATCH($B154,Prioritization!$A:$A,0))</f>
        <v>INVALID</v>
      </c>
      <c r="B154" s="0" t="s">
        <v>203</v>
      </c>
      <c r="C154" s="0" t="s">
        <v>814</v>
      </c>
      <c r="D154" s="0" t="s">
        <v>48</v>
      </c>
      <c r="E154" s="0" t="str">
        <f aca="false">$B154&amp;"|"&amp;$C154&amp;"|"&amp;$D154</f>
        <v>Salima District [msW2zpIN7up]|18+|Male</v>
      </c>
      <c r="G154" s="10"/>
      <c r="H154" s="10"/>
      <c r="I154" s="88" t="str">
        <f aca="false">IF(SUM($H154)=0,"",0%)</f>
        <v/>
      </c>
      <c r="J154" s="88"/>
      <c r="K154" s="88"/>
      <c r="L154" s="88" t="n">
        <f aca="false">1-IF(NOT(AND($D154="Female",OR($C154="10-14",$C154="15-17",$F154="Y"))),0,$J154)-IF(NOT(OR($C154="05-09",$C154="10-14")),0,$K154)</f>
        <v>1</v>
      </c>
      <c r="M154" s="88" t="n">
        <f aca="false">IF(SUM($L154)=0,"",20%)</f>
        <v>0.2</v>
      </c>
      <c r="N154" s="10" t="str">
        <f aca="false">IF(SUM($H154)=0,"",ROUND($H154*(1+$I154),0))</f>
        <v/>
      </c>
      <c r="O154" s="39" t="str">
        <f aca="false">IF(OR(SUM($N154)=0,SUM($J154)=0,NOT(AND($D154="Female",$F154="Y",OR($C154="10-14",$C154="15-17")))),"",ROUND($N154*$J154,0))</f>
        <v/>
      </c>
      <c r="P154" s="39" t="str">
        <f aca="false">IF(OR(SUM($N154)=0,SUM($K154)=0,NOT(OR($C154="10-14",$C154="05-09"))),"",ROUND($N154*$K154,0))</f>
        <v/>
      </c>
      <c r="Q154" s="39" t="str">
        <f aca="false">IFERROR(1/(1/ROUND($N154*$L154*$M154,0)),"")</f>
        <v/>
      </c>
      <c r="R154" s="39" t="str">
        <f aca="false">IFERROR(1/(1/(ROUND($N154*$L154,0)-$Q154)),"")</f>
        <v/>
      </c>
      <c r="S154" s="88" t="str">
        <f aca="false">IF(OR($C154="18+",$C154="18-20",SUM($Q154,$R154)=0),"",100%)</f>
        <v/>
      </c>
      <c r="T154" s="39" t="str">
        <f aca="false">IF(OR($C154="18+",$C154="18-20",SUM($Q154,$R154)=0),"",ROUND(SUM($Q154,$R154)*$S154,0))</f>
        <v/>
      </c>
    </row>
    <row r="155" customFormat="false" ht="15" hidden="false" customHeight="false" outlineLevel="0" collapsed="false">
      <c r="A155" s="0" t="str">
        <f aca="false">INDEX(Prioritization!$D:$D,MATCH($B155,Prioritization!$A:$A,0))</f>
        <v>1 - Scale-up: Saturation</v>
      </c>
      <c r="B155" s="0" t="s">
        <v>204</v>
      </c>
      <c r="C155" s="0" t="s">
        <v>316</v>
      </c>
      <c r="D155" s="0" t="s">
        <v>30</v>
      </c>
      <c r="E155" s="0" t="str">
        <f aca="false">$B155&amp;"|"&amp;$C155&amp;"|"&amp;$D155</f>
        <v>Chitipa District [GkIwZrXy1h2]|&lt;01|Female</v>
      </c>
      <c r="G155" s="10"/>
      <c r="H155" s="10"/>
      <c r="I155" s="88" t="str">
        <f aca="false">IF(SUM($H155)=0,"",0%)</f>
        <v/>
      </c>
      <c r="J155" s="88"/>
      <c r="K155" s="88"/>
      <c r="L155" s="88" t="n">
        <f aca="false">1-IF(NOT(AND($D155="Female",OR($C155="10-14",$C155="15-17",$F155="Y"))),0,$J155)-IF(NOT(OR($C155="05-09",$C155="10-14")),0,$K155)</f>
        <v>1</v>
      </c>
      <c r="M155" s="88" t="n">
        <f aca="false">IF(SUM($L155)=0,"",20%)</f>
        <v>0.2</v>
      </c>
      <c r="N155" s="10" t="str">
        <f aca="false">IF(SUM($H155)=0,"",ROUND($H155*(1+$I155),0))</f>
        <v/>
      </c>
      <c r="O155" s="39" t="str">
        <f aca="false">IF(OR(SUM($N155)=0,SUM($J155)=0,NOT(AND($D155="Female",$F155="Y",OR($C155="10-14",$C155="15-17")))),"",ROUND($N155*$J155,0))</f>
        <v/>
      </c>
      <c r="P155" s="39" t="str">
        <f aca="false">IF(OR(SUM($N155)=0,SUM($K155)=0,NOT(OR($C155="10-14",$C155="05-09"))),"",ROUND($N155*$K155,0))</f>
        <v/>
      </c>
      <c r="Q155" s="39" t="str">
        <f aca="false">IFERROR(1/(1/ROUND($N155*$L155*$M155,0)),"")</f>
        <v/>
      </c>
      <c r="R155" s="39" t="str">
        <f aca="false">IFERROR(1/(1/(ROUND($N155*$L155,0)-$Q155)),"")</f>
        <v/>
      </c>
      <c r="S155" s="88" t="str">
        <f aca="false">IF(OR($C155="18+",$C155="18-20",SUM($Q155,$R155)=0),"",100%)</f>
        <v/>
      </c>
      <c r="T155" s="39" t="str">
        <f aca="false">IF(OR($C155="18+",$C155="18-20",SUM($Q155,$R155)=0),"",ROUND(SUM($Q155,$R155)*$S155,0))</f>
        <v/>
      </c>
    </row>
    <row r="156" customFormat="false" ht="15" hidden="false" customHeight="false" outlineLevel="0" collapsed="false">
      <c r="A156" s="0" t="str">
        <f aca="false">INDEX(Prioritization!$D:$D,MATCH($B156,Prioritization!$A:$A,0))</f>
        <v>1 - Scale-up: Saturation</v>
      </c>
      <c r="B156" s="0" t="s">
        <v>204</v>
      </c>
      <c r="C156" s="0" t="s">
        <v>316</v>
      </c>
      <c r="D156" s="0" t="s">
        <v>48</v>
      </c>
      <c r="E156" s="0" t="str">
        <f aca="false">$B156&amp;"|"&amp;$C156&amp;"|"&amp;$D156</f>
        <v>Chitipa District [GkIwZrXy1h2]|&lt;01|Male</v>
      </c>
      <c r="G156" s="10"/>
      <c r="H156" s="10"/>
      <c r="I156" s="88" t="str">
        <f aca="false">IF(SUM($H156)=0,"",0%)</f>
        <v/>
      </c>
      <c r="J156" s="88"/>
      <c r="K156" s="88"/>
      <c r="L156" s="88" t="n">
        <f aca="false">1-IF(NOT(AND($D156="Female",OR($C156="10-14",$C156="15-17",$F156="Y"))),0,$J156)-IF(NOT(OR($C156="05-09",$C156="10-14")),0,$K156)</f>
        <v>1</v>
      </c>
      <c r="M156" s="88" t="n">
        <f aca="false">IF(SUM($L156)=0,"",20%)</f>
        <v>0.2</v>
      </c>
      <c r="N156" s="10" t="str">
        <f aca="false">IF(SUM($H156)=0,"",ROUND($H156*(1+$I156),0))</f>
        <v/>
      </c>
      <c r="O156" s="39" t="str">
        <f aca="false">IF(OR(SUM($N156)=0,SUM($J156)=0,NOT(AND($D156="Female",$F156="Y",OR($C156="10-14",$C156="15-17")))),"",ROUND($N156*$J156,0))</f>
        <v/>
      </c>
      <c r="P156" s="39" t="str">
        <f aca="false">IF(OR(SUM($N156)=0,SUM($K156)=0,NOT(OR($C156="10-14",$C156="05-09"))),"",ROUND($N156*$K156,0))</f>
        <v/>
      </c>
      <c r="Q156" s="39" t="str">
        <f aca="false">IFERROR(1/(1/ROUND($N156*$L156*$M156,0)),"")</f>
        <v/>
      </c>
      <c r="R156" s="39" t="str">
        <f aca="false">IFERROR(1/(1/(ROUND($N156*$L156,0)-$Q156)),"")</f>
        <v/>
      </c>
      <c r="S156" s="88" t="str">
        <f aca="false">IF(OR($C156="18+",$C156="18-20",SUM($Q156,$R156)=0),"",100%)</f>
        <v/>
      </c>
      <c r="T156" s="39" t="str">
        <f aca="false">IF(OR($C156="18+",$C156="18-20",SUM($Q156,$R156)=0),"",ROUND(SUM($Q156,$R156)*$S156,0))</f>
        <v/>
      </c>
    </row>
    <row r="157" customFormat="false" ht="15" hidden="false" customHeight="false" outlineLevel="0" collapsed="false">
      <c r="A157" s="0" t="str">
        <f aca="false">INDEX(Prioritization!$D:$D,MATCH($B157,Prioritization!$A:$A,0))</f>
        <v>1 - Scale-up: Saturation</v>
      </c>
      <c r="B157" s="0" t="s">
        <v>204</v>
      </c>
      <c r="C157" s="0" t="s">
        <v>810</v>
      </c>
      <c r="D157" s="0" t="s">
        <v>30</v>
      </c>
      <c r="E157" s="0" t="str">
        <f aca="false">$B157&amp;"|"&amp;$C157&amp;"|"&amp;$D157</f>
        <v>Chitipa District [GkIwZrXy1h2]|01-04|Female</v>
      </c>
      <c r="G157" s="10"/>
      <c r="H157" s="10"/>
      <c r="I157" s="88" t="str">
        <f aca="false">IF(SUM($H157)=0,"",0%)</f>
        <v/>
      </c>
      <c r="J157" s="88"/>
      <c r="K157" s="88"/>
      <c r="L157" s="88" t="n">
        <f aca="false">1-IF(NOT(AND($D157="Female",OR($C157="10-14",$C157="15-17",$F157="Y"))),0,$J157)-IF(NOT(OR($C157="05-09",$C157="10-14")),0,$K157)</f>
        <v>1</v>
      </c>
      <c r="M157" s="88" t="n">
        <f aca="false">IF(SUM($L157)=0,"",20%)</f>
        <v>0.2</v>
      </c>
      <c r="N157" s="10" t="str">
        <f aca="false">IF(SUM($H157)=0,"",ROUND($H157*(1+$I157),0))</f>
        <v/>
      </c>
      <c r="O157" s="39" t="str">
        <f aca="false">IF(OR(SUM($N157)=0,SUM($J157)=0,NOT(AND($D157="Female",$F157="Y",OR($C157="10-14",$C157="15-17")))),"",ROUND($N157*$J157,0))</f>
        <v/>
      </c>
      <c r="P157" s="39" t="str">
        <f aca="false">IF(OR(SUM($N157)=0,SUM($K157)=0,NOT(OR($C157="10-14",$C157="05-09"))),"",ROUND($N157*$K157,0))</f>
        <v/>
      </c>
      <c r="Q157" s="39" t="str">
        <f aca="false">IFERROR(1/(1/ROUND($N157*$L157*$M157,0)),"")</f>
        <v/>
      </c>
      <c r="R157" s="39" t="str">
        <f aca="false">IFERROR(1/(1/(ROUND($N157*$L157,0)-$Q157)),"")</f>
        <v/>
      </c>
      <c r="S157" s="88" t="str">
        <f aca="false">IF(OR($C157="18+",$C157="18-20",SUM($Q157,$R157)=0),"",100%)</f>
        <v/>
      </c>
      <c r="T157" s="39" t="str">
        <f aca="false">IF(OR($C157="18+",$C157="18-20",SUM($Q157,$R157)=0),"",ROUND(SUM($Q157,$R157)*$S157,0))</f>
        <v/>
      </c>
    </row>
    <row r="158" customFormat="false" ht="15" hidden="false" customHeight="false" outlineLevel="0" collapsed="false">
      <c r="A158" s="0" t="str">
        <f aca="false">INDEX(Prioritization!$D:$D,MATCH($B158,Prioritization!$A:$A,0))</f>
        <v>1 - Scale-up: Saturation</v>
      </c>
      <c r="B158" s="0" t="s">
        <v>204</v>
      </c>
      <c r="C158" s="0" t="s">
        <v>810</v>
      </c>
      <c r="D158" s="0" t="s">
        <v>48</v>
      </c>
      <c r="E158" s="0" t="str">
        <f aca="false">$B158&amp;"|"&amp;$C158&amp;"|"&amp;$D158</f>
        <v>Chitipa District [GkIwZrXy1h2]|01-04|Male</v>
      </c>
      <c r="G158" s="10"/>
      <c r="H158" s="10"/>
      <c r="I158" s="88" t="str">
        <f aca="false">IF(SUM($H158)=0,"",0%)</f>
        <v/>
      </c>
      <c r="J158" s="88"/>
      <c r="K158" s="88"/>
      <c r="L158" s="88" t="n">
        <f aca="false">1-IF(NOT(AND($D158="Female",OR($C158="10-14",$C158="15-17",$F158="Y"))),0,$J158)-IF(NOT(OR($C158="05-09",$C158="10-14")),0,$K158)</f>
        <v>1</v>
      </c>
      <c r="M158" s="88" t="n">
        <f aca="false">IF(SUM($L158)=0,"",20%)</f>
        <v>0.2</v>
      </c>
      <c r="N158" s="10" t="str">
        <f aca="false">IF(SUM($H158)=0,"",ROUND($H158*(1+$I158),0))</f>
        <v/>
      </c>
      <c r="O158" s="39" t="str">
        <f aca="false">IF(OR(SUM($N158)=0,SUM($J158)=0,NOT(AND($D158="Female",$F158="Y",OR($C158="10-14",$C158="15-17")))),"",ROUND($N158*$J158,0))</f>
        <v/>
      </c>
      <c r="P158" s="39" t="str">
        <f aca="false">IF(OR(SUM($N158)=0,SUM($K158)=0,NOT(OR($C158="10-14",$C158="05-09"))),"",ROUND($N158*$K158,0))</f>
        <v/>
      </c>
      <c r="Q158" s="39" t="str">
        <f aca="false">IFERROR(1/(1/ROUND($N158*$L158*$M158,0)),"")</f>
        <v/>
      </c>
      <c r="R158" s="39" t="str">
        <f aca="false">IFERROR(1/(1/(ROUND($N158*$L158,0)-$Q158)),"")</f>
        <v/>
      </c>
      <c r="S158" s="88" t="str">
        <f aca="false">IF(OR($C158="18+",$C158="18-20",SUM($Q158,$R158)=0),"",100%)</f>
        <v/>
      </c>
      <c r="T158" s="39" t="str">
        <f aca="false">IF(OR($C158="18+",$C158="18-20",SUM($Q158,$R158)=0),"",ROUND(SUM($Q158,$R158)*$S158,0))</f>
        <v/>
      </c>
    </row>
    <row r="159" customFormat="false" ht="15" hidden="false" customHeight="false" outlineLevel="0" collapsed="false">
      <c r="A159" s="0" t="str">
        <f aca="false">INDEX(Prioritization!$D:$D,MATCH($B159,Prioritization!$A:$A,0))</f>
        <v>1 - Scale-up: Saturation</v>
      </c>
      <c r="B159" s="0" t="s">
        <v>204</v>
      </c>
      <c r="C159" s="0" t="s">
        <v>811</v>
      </c>
      <c r="D159" s="0" t="s">
        <v>30</v>
      </c>
      <c r="E159" s="0" t="str">
        <f aca="false">$B159&amp;"|"&amp;$C159&amp;"|"&amp;$D159</f>
        <v>Chitipa District [GkIwZrXy1h2]|05-09|Female</v>
      </c>
      <c r="G159" s="10"/>
      <c r="H159" s="10"/>
      <c r="I159" s="88" t="str">
        <f aca="false">IF(SUM($H159)=0,"",0%)</f>
        <v/>
      </c>
      <c r="J159" s="88"/>
      <c r="K159" s="88"/>
      <c r="L159" s="88" t="n">
        <f aca="false">1-IF(NOT(AND($D159="Female",OR($C159="10-14",$C159="15-17",$F159="Y"))),0,$J159)-IF(NOT(OR($C159="05-09",$C159="10-14")),0,$K159)</f>
        <v>1</v>
      </c>
      <c r="M159" s="88" t="n">
        <f aca="false">IF(SUM($L159)=0,"",20%)</f>
        <v>0.2</v>
      </c>
      <c r="N159" s="10" t="str">
        <f aca="false">IF(SUM($H159)=0,"",ROUND($H159*(1+$I159),0))</f>
        <v/>
      </c>
      <c r="O159" s="39" t="str">
        <f aca="false">IF(OR(SUM($N159)=0,SUM($J159)=0,NOT(AND($D159="Female",$F159="Y",OR($C159="10-14",$C159="15-17")))),"",ROUND($N159*$J159,0))</f>
        <v/>
      </c>
      <c r="P159" s="39" t="str">
        <f aca="false">IF(OR(SUM($N159)=0,SUM($K159)=0,NOT(OR($C159="10-14",$C159="05-09"))),"",ROUND($N159*$K159,0))</f>
        <v/>
      </c>
      <c r="Q159" s="39" t="str">
        <f aca="false">IFERROR(1/(1/ROUND($N159*$L159*$M159,0)),"")</f>
        <v/>
      </c>
      <c r="R159" s="39" t="str">
        <f aca="false">IFERROR(1/(1/(ROUND($N159*$L159,0)-$Q159)),"")</f>
        <v/>
      </c>
      <c r="S159" s="88" t="str">
        <f aca="false">IF(OR($C159="18+",$C159="18-20",SUM($Q159,$R159)=0),"",100%)</f>
        <v/>
      </c>
      <c r="T159" s="39" t="str">
        <f aca="false">IF(OR($C159="18+",$C159="18-20",SUM($Q159,$R159)=0),"",ROUND(SUM($Q159,$R159)*$S159,0))</f>
        <v/>
      </c>
    </row>
    <row r="160" customFormat="false" ht="15" hidden="false" customHeight="false" outlineLevel="0" collapsed="false">
      <c r="A160" s="0" t="str">
        <f aca="false">INDEX(Prioritization!$D:$D,MATCH($B160,Prioritization!$A:$A,0))</f>
        <v>1 - Scale-up: Saturation</v>
      </c>
      <c r="B160" s="0" t="s">
        <v>204</v>
      </c>
      <c r="C160" s="0" t="s">
        <v>811</v>
      </c>
      <c r="D160" s="0" t="s">
        <v>48</v>
      </c>
      <c r="E160" s="0" t="str">
        <f aca="false">$B160&amp;"|"&amp;$C160&amp;"|"&amp;$D160</f>
        <v>Chitipa District [GkIwZrXy1h2]|05-09|Male</v>
      </c>
      <c r="G160" s="10"/>
      <c r="H160" s="10"/>
      <c r="I160" s="88" t="str">
        <f aca="false">IF(SUM($H160)=0,"",0%)</f>
        <v/>
      </c>
      <c r="J160" s="88"/>
      <c r="K160" s="88"/>
      <c r="L160" s="88" t="n">
        <f aca="false">1-IF(NOT(AND($D160="Female",OR($C160="10-14",$C160="15-17",$F160="Y"))),0,$J160)-IF(NOT(OR($C160="05-09",$C160="10-14")),0,$K160)</f>
        <v>1</v>
      </c>
      <c r="M160" s="88" t="n">
        <f aca="false">IF(SUM($L160)=0,"",20%)</f>
        <v>0.2</v>
      </c>
      <c r="N160" s="10" t="str">
        <f aca="false">IF(SUM($H160)=0,"",ROUND($H160*(1+$I160),0))</f>
        <v/>
      </c>
      <c r="O160" s="39" t="str">
        <f aca="false">IF(OR(SUM($N160)=0,SUM($J160)=0,NOT(AND($D160="Female",$F160="Y",OR($C160="10-14",$C160="15-17")))),"",ROUND($N160*$J160,0))</f>
        <v/>
      </c>
      <c r="P160" s="39" t="str">
        <f aca="false">IF(OR(SUM($N160)=0,SUM($K160)=0,NOT(OR($C160="10-14",$C160="05-09"))),"",ROUND($N160*$K160,0))</f>
        <v/>
      </c>
      <c r="Q160" s="39" t="str">
        <f aca="false">IFERROR(1/(1/ROUND($N160*$L160*$M160,0)),"")</f>
        <v/>
      </c>
      <c r="R160" s="39" t="str">
        <f aca="false">IFERROR(1/(1/(ROUND($N160*$L160,0)-$Q160)),"")</f>
        <v/>
      </c>
      <c r="S160" s="88" t="str">
        <f aca="false">IF(OR($C160="18+",$C160="18-20",SUM($Q160,$R160)=0),"",100%)</f>
        <v/>
      </c>
      <c r="T160" s="39" t="str">
        <f aca="false">IF(OR($C160="18+",$C160="18-20",SUM($Q160,$R160)=0),"",ROUND(SUM($Q160,$R160)*$S160,0))</f>
        <v/>
      </c>
    </row>
    <row r="161" customFormat="false" ht="15" hidden="false" customHeight="false" outlineLevel="0" collapsed="false">
      <c r="A161" s="0" t="str">
        <f aca="false">INDEX(Prioritization!$D:$D,MATCH($B161,Prioritization!$A:$A,0))</f>
        <v>1 - Scale-up: Saturation</v>
      </c>
      <c r="B161" s="0" t="s">
        <v>204</v>
      </c>
      <c r="C161" s="0" t="s">
        <v>364</v>
      </c>
      <c r="D161" s="0" t="s">
        <v>30</v>
      </c>
      <c r="E161" s="0" t="str">
        <f aca="false">$B161&amp;"|"&amp;$C161&amp;"|"&amp;$D161</f>
        <v>Chitipa District [GkIwZrXy1h2]|10-14|Female</v>
      </c>
      <c r="G161" s="10"/>
      <c r="H161" s="10"/>
      <c r="I161" s="88" t="str">
        <f aca="false">IF(SUM($H161)=0,"",0%)</f>
        <v/>
      </c>
      <c r="J161" s="88"/>
      <c r="K161" s="88"/>
      <c r="L161" s="88" t="n">
        <f aca="false">1-IF(NOT(AND($D161="Female",OR($C161="10-14",$C161="15-17",$F161="Y"))),0,$J161)-IF(NOT(OR($C161="05-09",$C161="10-14")),0,$K161)</f>
        <v>1</v>
      </c>
      <c r="M161" s="88" t="n">
        <f aca="false">IF(SUM($L161)=0,"",20%)</f>
        <v>0.2</v>
      </c>
      <c r="N161" s="10" t="str">
        <f aca="false">IF(SUM($H161)=0,"",ROUND($H161*(1+$I161),0))</f>
        <v/>
      </c>
      <c r="O161" s="39" t="str">
        <f aca="false">IF(OR(SUM($N161)=0,SUM($J161)=0,NOT(AND($D161="Female",$F161="Y",OR($C161="10-14",$C161="15-17")))),"",ROUND($N161*$J161,0))</f>
        <v/>
      </c>
      <c r="P161" s="39" t="str">
        <f aca="false">IF(OR(SUM($N161)=0,SUM($K161)=0,NOT(OR($C161="10-14",$C161="05-09"))),"",ROUND($N161*$K161,0))</f>
        <v/>
      </c>
      <c r="Q161" s="39" t="str">
        <f aca="false">IFERROR(1/(1/ROUND($N161*$L161*$M161,0)),"")</f>
        <v/>
      </c>
      <c r="R161" s="39" t="str">
        <f aca="false">IFERROR(1/(1/(ROUND($N161*$L161,0)-$Q161)),"")</f>
        <v/>
      </c>
      <c r="S161" s="88" t="str">
        <f aca="false">IF(OR($C161="18+",$C161="18-20",SUM($Q161,$R161)=0),"",100%)</f>
        <v/>
      </c>
      <c r="T161" s="39" t="str">
        <f aca="false">IF(OR($C161="18+",$C161="18-20",SUM($Q161,$R161)=0),"",ROUND(SUM($Q161,$R161)*$S161,0))</f>
        <v/>
      </c>
    </row>
    <row r="162" customFormat="false" ht="15" hidden="false" customHeight="false" outlineLevel="0" collapsed="false">
      <c r="A162" s="0" t="str">
        <f aca="false">INDEX(Prioritization!$D:$D,MATCH($B162,Prioritization!$A:$A,0))</f>
        <v>1 - Scale-up: Saturation</v>
      </c>
      <c r="B162" s="0" t="s">
        <v>204</v>
      </c>
      <c r="C162" s="0" t="s">
        <v>364</v>
      </c>
      <c r="D162" s="0" t="s">
        <v>48</v>
      </c>
      <c r="E162" s="0" t="str">
        <f aca="false">$B162&amp;"|"&amp;$C162&amp;"|"&amp;$D162</f>
        <v>Chitipa District [GkIwZrXy1h2]|10-14|Male</v>
      </c>
      <c r="G162" s="10"/>
      <c r="H162" s="10"/>
      <c r="I162" s="88" t="str">
        <f aca="false">IF(SUM($H162)=0,"",0%)</f>
        <v/>
      </c>
      <c r="J162" s="88"/>
      <c r="K162" s="88"/>
      <c r="L162" s="88" t="n">
        <f aca="false">1-IF(NOT(AND($D162="Female",OR($C162="10-14",$C162="15-17",$F162="Y"))),0,$J162)-IF(NOT(OR($C162="05-09",$C162="10-14")),0,$K162)</f>
        <v>1</v>
      </c>
      <c r="M162" s="88" t="n">
        <f aca="false">IF(SUM($L162)=0,"",20%)</f>
        <v>0.2</v>
      </c>
      <c r="N162" s="10" t="str">
        <f aca="false">IF(SUM($H162)=0,"",ROUND($H162*(1+$I162),0))</f>
        <v/>
      </c>
      <c r="O162" s="39" t="str">
        <f aca="false">IF(OR(SUM($N162)=0,SUM($J162)=0,NOT(AND($D162="Female",$F162="Y",OR($C162="10-14",$C162="15-17")))),"",ROUND($N162*$J162,0))</f>
        <v/>
      </c>
      <c r="P162" s="39" t="str">
        <f aca="false">IF(OR(SUM($N162)=0,SUM($K162)=0,NOT(OR($C162="10-14",$C162="05-09"))),"",ROUND($N162*$K162,0))</f>
        <v/>
      </c>
      <c r="Q162" s="39" t="str">
        <f aca="false">IFERROR(1/(1/ROUND($N162*$L162*$M162,0)),"")</f>
        <v/>
      </c>
      <c r="R162" s="39" t="str">
        <f aca="false">IFERROR(1/(1/(ROUND($N162*$L162,0)-$Q162)),"")</f>
        <v/>
      </c>
      <c r="S162" s="88" t="str">
        <f aca="false">IF(OR($C162="18+",$C162="18-20",SUM($Q162,$R162)=0),"",100%)</f>
        <v/>
      </c>
      <c r="T162" s="39" t="str">
        <f aca="false">IF(OR($C162="18+",$C162="18-20",SUM($Q162,$R162)=0),"",ROUND(SUM($Q162,$R162)*$S162,0))</f>
        <v/>
      </c>
    </row>
    <row r="163" customFormat="false" ht="15" hidden="false" customHeight="false" outlineLevel="0" collapsed="false">
      <c r="A163" s="0" t="str">
        <f aca="false">INDEX(Prioritization!$D:$D,MATCH($B163,Prioritization!$A:$A,0))</f>
        <v>1 - Scale-up: Saturation</v>
      </c>
      <c r="B163" s="0" t="s">
        <v>204</v>
      </c>
      <c r="C163" s="0" t="s">
        <v>812</v>
      </c>
      <c r="D163" s="0" t="s">
        <v>30</v>
      </c>
      <c r="E163" s="0" t="str">
        <f aca="false">$B163&amp;"|"&amp;$C163&amp;"|"&amp;$D163</f>
        <v>Chitipa District [GkIwZrXy1h2]|15-17|Female</v>
      </c>
      <c r="G163" s="10"/>
      <c r="H163" s="10"/>
      <c r="I163" s="88" t="str">
        <f aca="false">IF(SUM($H163)=0,"",0%)</f>
        <v/>
      </c>
      <c r="J163" s="88"/>
      <c r="K163" s="88"/>
      <c r="L163" s="88" t="n">
        <f aca="false">1-IF(NOT(AND($D163="Female",OR($C163="10-14",$C163="15-17",$F163="Y"))),0,$J163)-IF(NOT(OR($C163="05-09",$C163="10-14")),0,$K163)</f>
        <v>1</v>
      </c>
      <c r="M163" s="88" t="n">
        <f aca="false">IF(SUM($L163)=0,"",20%)</f>
        <v>0.2</v>
      </c>
      <c r="N163" s="10" t="str">
        <f aca="false">IF(SUM($H163)=0,"",ROUND($H163*(1+$I163),0))</f>
        <v/>
      </c>
      <c r="O163" s="39" t="str">
        <f aca="false">IF(OR(SUM($N163)=0,SUM($J163)=0,NOT(AND($D163="Female",$F163="Y",OR($C163="10-14",$C163="15-17")))),"",ROUND($N163*$J163,0))</f>
        <v/>
      </c>
      <c r="P163" s="39" t="str">
        <f aca="false">IF(OR(SUM($N163)=0,SUM($K163)=0,NOT(OR($C163="10-14",$C163="05-09"))),"",ROUND($N163*$K163,0))</f>
        <v/>
      </c>
      <c r="Q163" s="39" t="str">
        <f aca="false">IFERROR(1/(1/ROUND($N163*$L163*$M163,0)),"")</f>
        <v/>
      </c>
      <c r="R163" s="39" t="str">
        <f aca="false">IFERROR(1/(1/(ROUND($N163*$L163,0)-$Q163)),"")</f>
        <v/>
      </c>
      <c r="S163" s="88" t="str">
        <f aca="false">IF(OR($C163="18+",$C163="18-20",SUM($Q163,$R163)=0),"",100%)</f>
        <v/>
      </c>
      <c r="T163" s="39" t="str">
        <f aca="false">IF(OR($C163="18+",$C163="18-20",SUM($Q163,$R163)=0),"",ROUND(SUM($Q163,$R163)*$S163,0))</f>
        <v/>
      </c>
    </row>
    <row r="164" customFormat="false" ht="15" hidden="false" customHeight="false" outlineLevel="0" collapsed="false">
      <c r="A164" s="0" t="str">
        <f aca="false">INDEX(Prioritization!$D:$D,MATCH($B164,Prioritization!$A:$A,0))</f>
        <v>1 - Scale-up: Saturation</v>
      </c>
      <c r="B164" s="0" t="s">
        <v>204</v>
      </c>
      <c r="C164" s="0" t="s">
        <v>812</v>
      </c>
      <c r="D164" s="0" t="s">
        <v>48</v>
      </c>
      <c r="E164" s="0" t="str">
        <f aca="false">$B164&amp;"|"&amp;$C164&amp;"|"&amp;$D164</f>
        <v>Chitipa District [GkIwZrXy1h2]|15-17|Male</v>
      </c>
      <c r="G164" s="10"/>
      <c r="H164" s="10"/>
      <c r="I164" s="88" t="str">
        <f aca="false">IF(SUM($H164)=0,"",0%)</f>
        <v/>
      </c>
      <c r="J164" s="88"/>
      <c r="K164" s="88"/>
      <c r="L164" s="88" t="n">
        <f aca="false">1-IF(NOT(AND($D164="Female",OR($C164="10-14",$C164="15-17",$F164="Y"))),0,$J164)-IF(NOT(OR($C164="05-09",$C164="10-14")),0,$K164)</f>
        <v>1</v>
      </c>
      <c r="M164" s="88" t="n">
        <f aca="false">IF(SUM($L164)=0,"",20%)</f>
        <v>0.2</v>
      </c>
      <c r="N164" s="10" t="str">
        <f aca="false">IF(SUM($H164)=0,"",ROUND($H164*(1+$I164),0))</f>
        <v/>
      </c>
      <c r="O164" s="39" t="str">
        <f aca="false">IF(OR(SUM($N164)=0,SUM($J164)=0,NOT(AND($D164="Female",$F164="Y",OR($C164="10-14",$C164="15-17")))),"",ROUND($N164*$J164,0))</f>
        <v/>
      </c>
      <c r="P164" s="39" t="str">
        <f aca="false">IF(OR(SUM($N164)=0,SUM($K164)=0,NOT(OR($C164="10-14",$C164="05-09"))),"",ROUND($N164*$K164,0))</f>
        <v/>
      </c>
      <c r="Q164" s="39" t="str">
        <f aca="false">IFERROR(1/(1/ROUND($N164*$L164*$M164,0)),"")</f>
        <v/>
      </c>
      <c r="R164" s="39" t="str">
        <f aca="false">IFERROR(1/(1/(ROUND($N164*$L164,0)-$Q164)),"")</f>
        <v/>
      </c>
      <c r="S164" s="88" t="str">
        <f aca="false">IF(OR($C164="18+",$C164="18-20",SUM($Q164,$R164)=0),"",100%)</f>
        <v/>
      </c>
      <c r="T164" s="39" t="str">
        <f aca="false">IF(OR($C164="18+",$C164="18-20",SUM($Q164,$R164)=0),"",ROUND(SUM($Q164,$R164)*$S164,0))</f>
        <v/>
      </c>
    </row>
    <row r="165" customFormat="false" ht="15" hidden="false" customHeight="false" outlineLevel="0" collapsed="false">
      <c r="A165" s="0" t="str">
        <f aca="false">INDEX(Prioritization!$D:$D,MATCH($B165,Prioritization!$A:$A,0))</f>
        <v>1 - Scale-up: Saturation</v>
      </c>
      <c r="B165" s="0" t="s">
        <v>204</v>
      </c>
      <c r="C165" s="0" t="s">
        <v>813</v>
      </c>
      <c r="D165" s="0" t="s">
        <v>30</v>
      </c>
      <c r="E165" s="0" t="str">
        <f aca="false">$B165&amp;"|"&amp;$C165&amp;"|"&amp;$D165</f>
        <v>Chitipa District [GkIwZrXy1h2]|18-20|Female</v>
      </c>
      <c r="G165" s="10"/>
      <c r="H165" s="10"/>
      <c r="I165" s="88" t="str">
        <f aca="false">IF(SUM($H165)=0,"",0%)</f>
        <v/>
      </c>
      <c r="J165" s="88"/>
      <c r="K165" s="88"/>
      <c r="L165" s="88" t="n">
        <f aca="false">1-IF(NOT(AND($D165="Female",OR($C165="10-14",$C165="15-17",$F165="Y"))),0,$J165)-IF(NOT(OR($C165="05-09",$C165="10-14")),0,$K165)</f>
        <v>1</v>
      </c>
      <c r="M165" s="88" t="n">
        <f aca="false">IF(SUM($L165)=0,"",20%)</f>
        <v>0.2</v>
      </c>
      <c r="N165" s="10" t="str">
        <f aca="false">IF(SUM($H165)=0,"",ROUND($H165*(1+$I165),0))</f>
        <v/>
      </c>
      <c r="O165" s="39" t="str">
        <f aca="false">IF(OR(SUM($N165)=0,SUM($J165)=0,NOT(AND($D165="Female",$F165="Y",OR($C165="10-14",$C165="15-17")))),"",ROUND($N165*$J165,0))</f>
        <v/>
      </c>
      <c r="P165" s="39" t="str">
        <f aca="false">IF(OR(SUM($N165)=0,SUM($K165)=0,NOT(OR($C165="10-14",$C165="05-09"))),"",ROUND($N165*$K165,0))</f>
        <v/>
      </c>
      <c r="Q165" s="39" t="str">
        <f aca="false">IFERROR(1/(1/ROUND($N165*$L165*$M165,0)),"")</f>
        <v/>
      </c>
      <c r="R165" s="39" t="str">
        <f aca="false">IFERROR(1/(1/(ROUND($N165*$L165,0)-$Q165)),"")</f>
        <v/>
      </c>
      <c r="S165" s="88" t="str">
        <f aca="false">IF(OR($C165="18+",$C165="18-20",SUM($Q165,$R165)=0),"",100%)</f>
        <v/>
      </c>
      <c r="T165" s="39" t="str">
        <f aca="false">IF(OR($C165="18+",$C165="18-20",SUM($Q165,$R165)=0),"",ROUND(SUM($Q165,$R165)*$S165,0))</f>
        <v/>
      </c>
    </row>
    <row r="166" customFormat="false" ht="15" hidden="false" customHeight="false" outlineLevel="0" collapsed="false">
      <c r="A166" s="0" t="str">
        <f aca="false">INDEX(Prioritization!$D:$D,MATCH($B166,Prioritization!$A:$A,0))</f>
        <v>1 - Scale-up: Saturation</v>
      </c>
      <c r="B166" s="0" t="s">
        <v>204</v>
      </c>
      <c r="C166" s="0" t="s">
        <v>813</v>
      </c>
      <c r="D166" s="0" t="s">
        <v>48</v>
      </c>
      <c r="E166" s="0" t="str">
        <f aca="false">$B166&amp;"|"&amp;$C166&amp;"|"&amp;$D166</f>
        <v>Chitipa District [GkIwZrXy1h2]|18-20|Male</v>
      </c>
      <c r="G166" s="10"/>
      <c r="H166" s="10"/>
      <c r="I166" s="88" t="str">
        <f aca="false">IF(SUM($H166)=0,"",0%)</f>
        <v/>
      </c>
      <c r="J166" s="88"/>
      <c r="K166" s="88"/>
      <c r="L166" s="88" t="n">
        <f aca="false">1-IF(NOT(AND($D166="Female",OR($C166="10-14",$C166="15-17",$F166="Y"))),0,$J166)-IF(NOT(OR($C166="05-09",$C166="10-14")),0,$K166)</f>
        <v>1</v>
      </c>
      <c r="M166" s="88" t="n">
        <f aca="false">IF(SUM($L166)=0,"",20%)</f>
        <v>0.2</v>
      </c>
      <c r="N166" s="10" t="str">
        <f aca="false">IF(SUM($H166)=0,"",ROUND($H166*(1+$I166),0))</f>
        <v/>
      </c>
      <c r="O166" s="39" t="str">
        <f aca="false">IF(OR(SUM($N166)=0,SUM($J166)=0,NOT(AND($D166="Female",$F166="Y",OR($C166="10-14",$C166="15-17")))),"",ROUND($N166*$J166,0))</f>
        <v/>
      </c>
      <c r="P166" s="39" t="str">
        <f aca="false">IF(OR(SUM($N166)=0,SUM($K166)=0,NOT(OR($C166="10-14",$C166="05-09"))),"",ROUND($N166*$K166,0))</f>
        <v/>
      </c>
      <c r="Q166" s="39" t="str">
        <f aca="false">IFERROR(1/(1/ROUND($N166*$L166*$M166,0)),"")</f>
        <v/>
      </c>
      <c r="R166" s="39" t="str">
        <f aca="false">IFERROR(1/(1/(ROUND($N166*$L166,0)-$Q166)),"")</f>
        <v/>
      </c>
      <c r="S166" s="88" t="str">
        <f aca="false">IF(OR($C166="18+",$C166="18-20",SUM($Q166,$R166)=0),"",100%)</f>
        <v/>
      </c>
      <c r="T166" s="39" t="str">
        <f aca="false">IF(OR($C166="18+",$C166="18-20",SUM($Q166,$R166)=0),"",ROUND(SUM($Q166,$R166)*$S166,0))</f>
        <v/>
      </c>
    </row>
    <row r="167" customFormat="false" ht="15" hidden="false" customHeight="false" outlineLevel="0" collapsed="false">
      <c r="A167" s="0" t="str">
        <f aca="false">INDEX(Prioritization!$D:$D,MATCH($B167,Prioritization!$A:$A,0))</f>
        <v>1 - Scale-up: Saturation</v>
      </c>
      <c r="B167" s="0" t="s">
        <v>204</v>
      </c>
      <c r="C167" s="0" t="s">
        <v>814</v>
      </c>
      <c r="D167" s="0" t="s">
        <v>30</v>
      </c>
      <c r="E167" s="0" t="str">
        <f aca="false">$B167&amp;"|"&amp;$C167&amp;"|"&amp;$D167</f>
        <v>Chitipa District [GkIwZrXy1h2]|18+|Female</v>
      </c>
      <c r="G167" s="10"/>
      <c r="H167" s="10"/>
      <c r="I167" s="88" t="str">
        <f aca="false">IF(SUM($H167)=0,"",0%)</f>
        <v/>
      </c>
      <c r="J167" s="88"/>
      <c r="K167" s="88"/>
      <c r="L167" s="88" t="n">
        <f aca="false">1-IF(NOT(AND($D167="Female",OR($C167="10-14",$C167="15-17",$F167="Y"))),0,$J167)-IF(NOT(OR($C167="05-09",$C167="10-14")),0,$K167)</f>
        <v>1</v>
      </c>
      <c r="M167" s="88" t="n">
        <f aca="false">IF(SUM($L167)=0,"",20%)</f>
        <v>0.2</v>
      </c>
      <c r="N167" s="10" t="str">
        <f aca="false">IF(SUM($H167)=0,"",ROUND($H167*(1+$I167),0))</f>
        <v/>
      </c>
      <c r="O167" s="39" t="str">
        <f aca="false">IF(OR(SUM($N167)=0,SUM($J167)=0,NOT(AND($D167="Female",$F167="Y",OR($C167="10-14",$C167="15-17")))),"",ROUND($N167*$J167,0))</f>
        <v/>
      </c>
      <c r="P167" s="39" t="str">
        <f aca="false">IF(OR(SUM($N167)=0,SUM($K167)=0,NOT(OR($C167="10-14",$C167="05-09"))),"",ROUND($N167*$K167,0))</f>
        <v/>
      </c>
      <c r="Q167" s="39" t="str">
        <f aca="false">IFERROR(1/(1/ROUND($N167*$L167*$M167,0)),"")</f>
        <v/>
      </c>
      <c r="R167" s="39" t="str">
        <f aca="false">IFERROR(1/(1/(ROUND($N167*$L167,0)-$Q167)),"")</f>
        <v/>
      </c>
      <c r="S167" s="88" t="str">
        <f aca="false">IF(OR($C167="18+",$C167="18-20",SUM($Q167,$R167)=0),"",100%)</f>
        <v/>
      </c>
      <c r="T167" s="39" t="str">
        <f aca="false">IF(OR($C167="18+",$C167="18-20",SUM($Q167,$R167)=0),"",ROUND(SUM($Q167,$R167)*$S167,0))</f>
        <v/>
      </c>
    </row>
    <row r="168" customFormat="false" ht="15" hidden="false" customHeight="false" outlineLevel="0" collapsed="false">
      <c r="A168" s="0" t="str">
        <f aca="false">INDEX(Prioritization!$D:$D,MATCH($B168,Prioritization!$A:$A,0))</f>
        <v>1 - Scale-up: Saturation</v>
      </c>
      <c r="B168" s="0" t="s">
        <v>204</v>
      </c>
      <c r="C168" s="0" t="s">
        <v>814</v>
      </c>
      <c r="D168" s="0" t="s">
        <v>48</v>
      </c>
      <c r="E168" s="0" t="str">
        <f aca="false">$B168&amp;"|"&amp;$C168&amp;"|"&amp;$D168</f>
        <v>Chitipa District [GkIwZrXy1h2]|18+|Male</v>
      </c>
      <c r="G168" s="10"/>
      <c r="H168" s="10"/>
      <c r="I168" s="88" t="str">
        <f aca="false">IF(SUM($H168)=0,"",0%)</f>
        <v/>
      </c>
      <c r="J168" s="88"/>
      <c r="K168" s="88"/>
      <c r="L168" s="88" t="n">
        <f aca="false">1-IF(NOT(AND($D168="Female",OR($C168="10-14",$C168="15-17",$F168="Y"))),0,$J168)-IF(NOT(OR($C168="05-09",$C168="10-14")),0,$K168)</f>
        <v>1</v>
      </c>
      <c r="M168" s="88" t="n">
        <f aca="false">IF(SUM($L168)=0,"",20%)</f>
        <v>0.2</v>
      </c>
      <c r="N168" s="10" t="str">
        <f aca="false">IF(SUM($H168)=0,"",ROUND($H168*(1+$I168),0))</f>
        <v/>
      </c>
      <c r="O168" s="39" t="str">
        <f aca="false">IF(OR(SUM($N168)=0,SUM($J168)=0,NOT(AND($D168="Female",$F168="Y",OR($C168="10-14",$C168="15-17")))),"",ROUND($N168*$J168,0))</f>
        <v/>
      </c>
      <c r="P168" s="39" t="str">
        <f aca="false">IF(OR(SUM($N168)=0,SUM($K168)=0,NOT(OR($C168="10-14",$C168="05-09"))),"",ROUND($N168*$K168,0))</f>
        <v/>
      </c>
      <c r="Q168" s="39" t="str">
        <f aca="false">IFERROR(1/(1/ROUND($N168*$L168*$M168,0)),"")</f>
        <v/>
      </c>
      <c r="R168" s="39" t="str">
        <f aca="false">IFERROR(1/(1/(ROUND($N168*$L168,0)-$Q168)),"")</f>
        <v/>
      </c>
      <c r="S168" s="88" t="str">
        <f aca="false">IF(OR($C168="18+",$C168="18-20",SUM($Q168,$R168)=0),"",100%)</f>
        <v/>
      </c>
      <c r="T168" s="39" t="str">
        <f aca="false">IF(OR($C168="18+",$C168="18-20",SUM($Q168,$R168)=0),"",ROUND(SUM($Q168,$R168)*$S168,0))</f>
        <v/>
      </c>
    </row>
    <row r="169" customFormat="false" ht="15" hidden="false" customHeight="false" outlineLevel="0" collapsed="false">
      <c r="A169" s="0" t="str">
        <f aca="false">INDEX(Prioritization!$D:$D,MATCH($B169,Prioritization!$A:$A,0))</f>
        <v>INVALID</v>
      </c>
      <c r="B169" s="0" t="s">
        <v>205</v>
      </c>
      <c r="C169" s="0" t="s">
        <v>316</v>
      </c>
      <c r="D169" s="0" t="s">
        <v>30</v>
      </c>
      <c r="E169" s="0" t="str">
        <f aca="false">$B169&amp;"|"&amp;$C169&amp;"|"&amp;$D169</f>
        <v>Karonga District [cPtvxaZqXIH]|&lt;01|Female</v>
      </c>
      <c r="G169" s="10"/>
      <c r="H169" s="10"/>
      <c r="I169" s="88" t="str">
        <f aca="false">IF(SUM($H169)=0,"",0%)</f>
        <v/>
      </c>
      <c r="J169" s="88"/>
      <c r="K169" s="88"/>
      <c r="L169" s="88" t="n">
        <f aca="false">1-IF(NOT(AND($D169="Female",OR($C169="10-14",$C169="15-17",$F169="Y"))),0,$J169)-IF(NOT(OR($C169="05-09",$C169="10-14")),0,$K169)</f>
        <v>1</v>
      </c>
      <c r="M169" s="88" t="n">
        <f aca="false">IF(SUM($L169)=0,"",20%)</f>
        <v>0.2</v>
      </c>
      <c r="N169" s="10" t="str">
        <f aca="false">IF(SUM($H169)=0,"",ROUND($H169*(1+$I169),0))</f>
        <v/>
      </c>
      <c r="O169" s="39" t="str">
        <f aca="false">IF(OR(SUM($N169)=0,SUM($J169)=0,NOT(AND($D169="Female",$F169="Y",OR($C169="10-14",$C169="15-17")))),"",ROUND($N169*$J169,0))</f>
        <v/>
      </c>
      <c r="P169" s="39" t="str">
        <f aca="false">IF(OR(SUM($N169)=0,SUM($K169)=0,NOT(OR($C169="10-14",$C169="05-09"))),"",ROUND($N169*$K169,0))</f>
        <v/>
      </c>
      <c r="Q169" s="39" t="str">
        <f aca="false">IFERROR(1/(1/ROUND($N169*$L169*$M169,0)),"")</f>
        <v/>
      </c>
      <c r="R169" s="39" t="str">
        <f aca="false">IFERROR(1/(1/(ROUND($N169*$L169,0)-$Q169)),"")</f>
        <v/>
      </c>
      <c r="S169" s="88" t="str">
        <f aca="false">IF(OR($C169="18+",$C169="18-20",SUM($Q169,$R169)=0),"",100%)</f>
        <v/>
      </c>
      <c r="T169" s="39" t="str">
        <f aca="false">IF(OR($C169="18+",$C169="18-20",SUM($Q169,$R169)=0),"",ROUND(SUM($Q169,$R169)*$S169,0))</f>
        <v/>
      </c>
    </row>
    <row r="170" customFormat="false" ht="15" hidden="false" customHeight="false" outlineLevel="0" collapsed="false">
      <c r="A170" s="0" t="str">
        <f aca="false">INDEX(Prioritization!$D:$D,MATCH($B170,Prioritization!$A:$A,0))</f>
        <v>INVALID</v>
      </c>
      <c r="B170" s="0" t="s">
        <v>205</v>
      </c>
      <c r="C170" s="0" t="s">
        <v>316</v>
      </c>
      <c r="D170" s="0" t="s">
        <v>48</v>
      </c>
      <c r="E170" s="0" t="str">
        <f aca="false">$B170&amp;"|"&amp;$C170&amp;"|"&amp;$D170</f>
        <v>Karonga District [cPtvxaZqXIH]|&lt;01|Male</v>
      </c>
      <c r="G170" s="10"/>
      <c r="H170" s="10"/>
      <c r="I170" s="88" t="str">
        <f aca="false">IF(SUM($H170)=0,"",0%)</f>
        <v/>
      </c>
      <c r="J170" s="88"/>
      <c r="K170" s="88"/>
      <c r="L170" s="88" t="n">
        <f aca="false">1-IF(NOT(AND($D170="Female",OR($C170="10-14",$C170="15-17",$F170="Y"))),0,$J170)-IF(NOT(OR($C170="05-09",$C170="10-14")),0,$K170)</f>
        <v>1</v>
      </c>
      <c r="M170" s="88" t="n">
        <f aca="false">IF(SUM($L170)=0,"",20%)</f>
        <v>0.2</v>
      </c>
      <c r="N170" s="10" t="str">
        <f aca="false">IF(SUM($H170)=0,"",ROUND($H170*(1+$I170),0))</f>
        <v/>
      </c>
      <c r="O170" s="39" t="str">
        <f aca="false">IF(OR(SUM($N170)=0,SUM($J170)=0,NOT(AND($D170="Female",$F170="Y",OR($C170="10-14",$C170="15-17")))),"",ROUND($N170*$J170,0))</f>
        <v/>
      </c>
      <c r="P170" s="39" t="str">
        <f aca="false">IF(OR(SUM($N170)=0,SUM($K170)=0,NOT(OR($C170="10-14",$C170="05-09"))),"",ROUND($N170*$K170,0))</f>
        <v/>
      </c>
      <c r="Q170" s="39" t="str">
        <f aca="false">IFERROR(1/(1/ROUND($N170*$L170*$M170,0)),"")</f>
        <v/>
      </c>
      <c r="R170" s="39" t="str">
        <f aca="false">IFERROR(1/(1/(ROUND($N170*$L170,0)-$Q170)),"")</f>
        <v/>
      </c>
      <c r="S170" s="88" t="str">
        <f aca="false">IF(OR($C170="18+",$C170="18-20",SUM($Q170,$R170)=0),"",100%)</f>
        <v/>
      </c>
      <c r="T170" s="39" t="str">
        <f aca="false">IF(OR($C170="18+",$C170="18-20",SUM($Q170,$R170)=0),"",ROUND(SUM($Q170,$R170)*$S170,0))</f>
        <v/>
      </c>
    </row>
    <row r="171" customFormat="false" ht="15" hidden="false" customHeight="false" outlineLevel="0" collapsed="false">
      <c r="A171" s="0" t="str">
        <f aca="false">INDEX(Prioritization!$D:$D,MATCH($B171,Prioritization!$A:$A,0))</f>
        <v>INVALID</v>
      </c>
      <c r="B171" s="0" t="s">
        <v>205</v>
      </c>
      <c r="C171" s="0" t="s">
        <v>810</v>
      </c>
      <c r="D171" s="0" t="s">
        <v>30</v>
      </c>
      <c r="E171" s="0" t="str">
        <f aca="false">$B171&amp;"|"&amp;$C171&amp;"|"&amp;$D171</f>
        <v>Karonga District [cPtvxaZqXIH]|01-04|Female</v>
      </c>
      <c r="G171" s="10"/>
      <c r="H171" s="10"/>
      <c r="I171" s="88" t="str">
        <f aca="false">IF(SUM($H171)=0,"",0%)</f>
        <v/>
      </c>
      <c r="J171" s="88"/>
      <c r="K171" s="88"/>
      <c r="L171" s="88" t="n">
        <f aca="false">1-IF(NOT(AND($D171="Female",OR($C171="10-14",$C171="15-17",$F171="Y"))),0,$J171)-IF(NOT(OR($C171="05-09",$C171="10-14")),0,$K171)</f>
        <v>1</v>
      </c>
      <c r="M171" s="88" t="n">
        <f aca="false">IF(SUM($L171)=0,"",20%)</f>
        <v>0.2</v>
      </c>
      <c r="N171" s="10" t="str">
        <f aca="false">IF(SUM($H171)=0,"",ROUND($H171*(1+$I171),0))</f>
        <v/>
      </c>
      <c r="O171" s="39" t="str">
        <f aca="false">IF(OR(SUM($N171)=0,SUM($J171)=0,NOT(AND($D171="Female",$F171="Y",OR($C171="10-14",$C171="15-17")))),"",ROUND($N171*$J171,0))</f>
        <v/>
      </c>
      <c r="P171" s="39" t="str">
        <f aca="false">IF(OR(SUM($N171)=0,SUM($K171)=0,NOT(OR($C171="10-14",$C171="05-09"))),"",ROUND($N171*$K171,0))</f>
        <v/>
      </c>
      <c r="Q171" s="39" t="str">
        <f aca="false">IFERROR(1/(1/ROUND($N171*$L171*$M171,0)),"")</f>
        <v/>
      </c>
      <c r="R171" s="39" t="str">
        <f aca="false">IFERROR(1/(1/(ROUND($N171*$L171,0)-$Q171)),"")</f>
        <v/>
      </c>
      <c r="S171" s="88" t="str">
        <f aca="false">IF(OR($C171="18+",$C171="18-20",SUM($Q171,$R171)=0),"",100%)</f>
        <v/>
      </c>
      <c r="T171" s="39" t="str">
        <f aca="false">IF(OR($C171="18+",$C171="18-20",SUM($Q171,$R171)=0),"",ROUND(SUM($Q171,$R171)*$S171,0))</f>
        <v/>
      </c>
    </row>
    <row r="172" customFormat="false" ht="15" hidden="false" customHeight="false" outlineLevel="0" collapsed="false">
      <c r="A172" s="0" t="str">
        <f aca="false">INDEX(Prioritization!$D:$D,MATCH($B172,Prioritization!$A:$A,0))</f>
        <v>INVALID</v>
      </c>
      <c r="B172" s="0" t="s">
        <v>205</v>
      </c>
      <c r="C172" s="0" t="s">
        <v>810</v>
      </c>
      <c r="D172" s="0" t="s">
        <v>48</v>
      </c>
      <c r="E172" s="0" t="str">
        <f aca="false">$B172&amp;"|"&amp;$C172&amp;"|"&amp;$D172</f>
        <v>Karonga District [cPtvxaZqXIH]|01-04|Male</v>
      </c>
      <c r="G172" s="10"/>
      <c r="H172" s="10"/>
      <c r="I172" s="88" t="str">
        <f aca="false">IF(SUM($H172)=0,"",0%)</f>
        <v/>
      </c>
      <c r="J172" s="88"/>
      <c r="K172" s="88"/>
      <c r="L172" s="88" t="n">
        <f aca="false">1-IF(NOT(AND($D172="Female",OR($C172="10-14",$C172="15-17",$F172="Y"))),0,$J172)-IF(NOT(OR($C172="05-09",$C172="10-14")),0,$K172)</f>
        <v>1</v>
      </c>
      <c r="M172" s="88" t="n">
        <f aca="false">IF(SUM($L172)=0,"",20%)</f>
        <v>0.2</v>
      </c>
      <c r="N172" s="10" t="str">
        <f aca="false">IF(SUM($H172)=0,"",ROUND($H172*(1+$I172),0))</f>
        <v/>
      </c>
      <c r="O172" s="39" t="str">
        <f aca="false">IF(OR(SUM($N172)=0,SUM($J172)=0,NOT(AND($D172="Female",$F172="Y",OR($C172="10-14",$C172="15-17")))),"",ROUND($N172*$J172,0))</f>
        <v/>
      </c>
      <c r="P172" s="39" t="str">
        <f aca="false">IF(OR(SUM($N172)=0,SUM($K172)=0,NOT(OR($C172="10-14",$C172="05-09"))),"",ROUND($N172*$K172,0))</f>
        <v/>
      </c>
      <c r="Q172" s="39" t="str">
        <f aca="false">IFERROR(1/(1/ROUND($N172*$L172*$M172,0)),"")</f>
        <v/>
      </c>
      <c r="R172" s="39" t="str">
        <f aca="false">IFERROR(1/(1/(ROUND($N172*$L172,0)-$Q172)),"")</f>
        <v/>
      </c>
      <c r="S172" s="88" t="str">
        <f aca="false">IF(OR($C172="18+",$C172="18-20",SUM($Q172,$R172)=0),"",100%)</f>
        <v/>
      </c>
      <c r="T172" s="39" t="str">
        <f aca="false">IF(OR($C172="18+",$C172="18-20",SUM($Q172,$R172)=0),"",ROUND(SUM($Q172,$R172)*$S172,0))</f>
        <v/>
      </c>
    </row>
    <row r="173" customFormat="false" ht="15" hidden="false" customHeight="false" outlineLevel="0" collapsed="false">
      <c r="A173" s="0" t="str">
        <f aca="false">INDEX(Prioritization!$D:$D,MATCH($B173,Prioritization!$A:$A,0))</f>
        <v>INVALID</v>
      </c>
      <c r="B173" s="0" t="s">
        <v>205</v>
      </c>
      <c r="C173" s="0" t="s">
        <v>811</v>
      </c>
      <c r="D173" s="0" t="s">
        <v>30</v>
      </c>
      <c r="E173" s="0" t="str">
        <f aca="false">$B173&amp;"|"&amp;$C173&amp;"|"&amp;$D173</f>
        <v>Karonga District [cPtvxaZqXIH]|05-09|Female</v>
      </c>
      <c r="G173" s="10"/>
      <c r="H173" s="10"/>
      <c r="I173" s="88" t="str">
        <f aca="false">IF(SUM($H173)=0,"",0%)</f>
        <v/>
      </c>
      <c r="J173" s="88"/>
      <c r="K173" s="88"/>
      <c r="L173" s="88" t="n">
        <f aca="false">1-IF(NOT(AND($D173="Female",OR($C173="10-14",$C173="15-17",$F173="Y"))),0,$J173)-IF(NOT(OR($C173="05-09",$C173="10-14")),0,$K173)</f>
        <v>1</v>
      </c>
      <c r="M173" s="88" t="n">
        <f aca="false">IF(SUM($L173)=0,"",20%)</f>
        <v>0.2</v>
      </c>
      <c r="N173" s="10" t="str">
        <f aca="false">IF(SUM($H173)=0,"",ROUND($H173*(1+$I173),0))</f>
        <v/>
      </c>
      <c r="O173" s="39" t="str">
        <f aca="false">IF(OR(SUM($N173)=0,SUM($J173)=0,NOT(AND($D173="Female",$F173="Y",OR($C173="10-14",$C173="15-17")))),"",ROUND($N173*$J173,0))</f>
        <v/>
      </c>
      <c r="P173" s="39" t="str">
        <f aca="false">IF(OR(SUM($N173)=0,SUM($K173)=0,NOT(OR($C173="10-14",$C173="05-09"))),"",ROUND($N173*$K173,0))</f>
        <v/>
      </c>
      <c r="Q173" s="39" t="str">
        <f aca="false">IFERROR(1/(1/ROUND($N173*$L173*$M173,0)),"")</f>
        <v/>
      </c>
      <c r="R173" s="39" t="str">
        <f aca="false">IFERROR(1/(1/(ROUND($N173*$L173,0)-$Q173)),"")</f>
        <v/>
      </c>
      <c r="S173" s="88" t="str">
        <f aca="false">IF(OR($C173="18+",$C173="18-20",SUM($Q173,$R173)=0),"",100%)</f>
        <v/>
      </c>
      <c r="T173" s="39" t="str">
        <f aca="false">IF(OR($C173="18+",$C173="18-20",SUM($Q173,$R173)=0),"",ROUND(SUM($Q173,$R173)*$S173,0))</f>
        <v/>
      </c>
    </row>
    <row r="174" customFormat="false" ht="15" hidden="false" customHeight="false" outlineLevel="0" collapsed="false">
      <c r="A174" s="0" t="str">
        <f aca="false">INDEX(Prioritization!$D:$D,MATCH($B174,Prioritization!$A:$A,0))</f>
        <v>INVALID</v>
      </c>
      <c r="B174" s="0" t="s">
        <v>205</v>
      </c>
      <c r="C174" s="0" t="s">
        <v>811</v>
      </c>
      <c r="D174" s="0" t="s">
        <v>48</v>
      </c>
      <c r="E174" s="0" t="str">
        <f aca="false">$B174&amp;"|"&amp;$C174&amp;"|"&amp;$D174</f>
        <v>Karonga District [cPtvxaZqXIH]|05-09|Male</v>
      </c>
      <c r="G174" s="10"/>
      <c r="H174" s="10"/>
      <c r="I174" s="88" t="str">
        <f aca="false">IF(SUM($H174)=0,"",0%)</f>
        <v/>
      </c>
      <c r="J174" s="88"/>
      <c r="K174" s="88"/>
      <c r="L174" s="88" t="n">
        <f aca="false">1-IF(NOT(AND($D174="Female",OR($C174="10-14",$C174="15-17",$F174="Y"))),0,$J174)-IF(NOT(OR($C174="05-09",$C174="10-14")),0,$K174)</f>
        <v>1</v>
      </c>
      <c r="M174" s="88" t="n">
        <f aca="false">IF(SUM($L174)=0,"",20%)</f>
        <v>0.2</v>
      </c>
      <c r="N174" s="10" t="str">
        <f aca="false">IF(SUM($H174)=0,"",ROUND($H174*(1+$I174),0))</f>
        <v/>
      </c>
      <c r="O174" s="39" t="str">
        <f aca="false">IF(OR(SUM($N174)=0,SUM($J174)=0,NOT(AND($D174="Female",$F174="Y",OR($C174="10-14",$C174="15-17")))),"",ROUND($N174*$J174,0))</f>
        <v/>
      </c>
      <c r="P174" s="39" t="str">
        <f aca="false">IF(OR(SUM($N174)=0,SUM($K174)=0,NOT(OR($C174="10-14",$C174="05-09"))),"",ROUND($N174*$K174,0))</f>
        <v/>
      </c>
      <c r="Q174" s="39" t="str">
        <f aca="false">IFERROR(1/(1/ROUND($N174*$L174*$M174,0)),"")</f>
        <v/>
      </c>
      <c r="R174" s="39" t="str">
        <f aca="false">IFERROR(1/(1/(ROUND($N174*$L174,0)-$Q174)),"")</f>
        <v/>
      </c>
      <c r="S174" s="88" t="str">
        <f aca="false">IF(OR($C174="18+",$C174="18-20",SUM($Q174,$R174)=0),"",100%)</f>
        <v/>
      </c>
      <c r="T174" s="39" t="str">
        <f aca="false">IF(OR($C174="18+",$C174="18-20",SUM($Q174,$R174)=0),"",ROUND(SUM($Q174,$R174)*$S174,0))</f>
        <v/>
      </c>
    </row>
    <row r="175" customFormat="false" ht="15" hidden="false" customHeight="false" outlineLevel="0" collapsed="false">
      <c r="A175" s="0" t="str">
        <f aca="false">INDEX(Prioritization!$D:$D,MATCH($B175,Prioritization!$A:$A,0))</f>
        <v>INVALID</v>
      </c>
      <c r="B175" s="0" t="s">
        <v>205</v>
      </c>
      <c r="C175" s="0" t="s">
        <v>364</v>
      </c>
      <c r="D175" s="0" t="s">
        <v>30</v>
      </c>
      <c r="E175" s="0" t="str">
        <f aca="false">$B175&amp;"|"&amp;$C175&amp;"|"&amp;$D175</f>
        <v>Karonga District [cPtvxaZqXIH]|10-14|Female</v>
      </c>
      <c r="G175" s="10"/>
      <c r="H175" s="10"/>
      <c r="I175" s="88" t="str">
        <f aca="false">IF(SUM($H175)=0,"",0%)</f>
        <v/>
      </c>
      <c r="J175" s="88"/>
      <c r="K175" s="88"/>
      <c r="L175" s="88" t="n">
        <f aca="false">1-IF(NOT(AND($D175="Female",OR($C175="10-14",$C175="15-17",$F175="Y"))),0,$J175)-IF(NOT(OR($C175="05-09",$C175="10-14")),0,$K175)</f>
        <v>1</v>
      </c>
      <c r="M175" s="88" t="n">
        <f aca="false">IF(SUM($L175)=0,"",20%)</f>
        <v>0.2</v>
      </c>
      <c r="N175" s="10" t="str">
        <f aca="false">IF(SUM($H175)=0,"",ROUND($H175*(1+$I175),0))</f>
        <v/>
      </c>
      <c r="O175" s="39" t="str">
        <f aca="false">IF(OR(SUM($N175)=0,SUM($J175)=0,NOT(AND($D175="Female",$F175="Y",OR($C175="10-14",$C175="15-17")))),"",ROUND($N175*$J175,0))</f>
        <v/>
      </c>
      <c r="P175" s="39" t="str">
        <f aca="false">IF(OR(SUM($N175)=0,SUM($K175)=0,NOT(OR($C175="10-14",$C175="05-09"))),"",ROUND($N175*$K175,0))</f>
        <v/>
      </c>
      <c r="Q175" s="39" t="str">
        <f aca="false">IFERROR(1/(1/ROUND($N175*$L175*$M175,0)),"")</f>
        <v/>
      </c>
      <c r="R175" s="39" t="str">
        <f aca="false">IFERROR(1/(1/(ROUND($N175*$L175,0)-$Q175)),"")</f>
        <v/>
      </c>
      <c r="S175" s="88" t="str">
        <f aca="false">IF(OR($C175="18+",$C175="18-20",SUM($Q175,$R175)=0),"",100%)</f>
        <v/>
      </c>
      <c r="T175" s="39" t="str">
        <f aca="false">IF(OR($C175="18+",$C175="18-20",SUM($Q175,$R175)=0),"",ROUND(SUM($Q175,$R175)*$S175,0))</f>
        <v/>
      </c>
    </row>
    <row r="176" customFormat="false" ht="15" hidden="false" customHeight="false" outlineLevel="0" collapsed="false">
      <c r="A176" s="0" t="str">
        <f aca="false">INDEX(Prioritization!$D:$D,MATCH($B176,Prioritization!$A:$A,0))</f>
        <v>INVALID</v>
      </c>
      <c r="B176" s="0" t="s">
        <v>205</v>
      </c>
      <c r="C176" s="0" t="s">
        <v>364</v>
      </c>
      <c r="D176" s="0" t="s">
        <v>48</v>
      </c>
      <c r="E176" s="0" t="str">
        <f aca="false">$B176&amp;"|"&amp;$C176&amp;"|"&amp;$D176</f>
        <v>Karonga District [cPtvxaZqXIH]|10-14|Male</v>
      </c>
      <c r="G176" s="10"/>
      <c r="H176" s="10"/>
      <c r="I176" s="88" t="str">
        <f aca="false">IF(SUM($H176)=0,"",0%)</f>
        <v/>
      </c>
      <c r="J176" s="88"/>
      <c r="K176" s="88"/>
      <c r="L176" s="88" t="n">
        <f aca="false">1-IF(NOT(AND($D176="Female",OR($C176="10-14",$C176="15-17",$F176="Y"))),0,$J176)-IF(NOT(OR($C176="05-09",$C176="10-14")),0,$K176)</f>
        <v>1</v>
      </c>
      <c r="M176" s="88" t="n">
        <f aca="false">IF(SUM($L176)=0,"",20%)</f>
        <v>0.2</v>
      </c>
      <c r="N176" s="10" t="str">
        <f aca="false">IF(SUM($H176)=0,"",ROUND($H176*(1+$I176),0))</f>
        <v/>
      </c>
      <c r="O176" s="39" t="str">
        <f aca="false">IF(OR(SUM($N176)=0,SUM($J176)=0,NOT(AND($D176="Female",$F176="Y",OR($C176="10-14",$C176="15-17")))),"",ROUND($N176*$J176,0))</f>
        <v/>
      </c>
      <c r="P176" s="39" t="str">
        <f aca="false">IF(OR(SUM($N176)=0,SUM($K176)=0,NOT(OR($C176="10-14",$C176="05-09"))),"",ROUND($N176*$K176,0))</f>
        <v/>
      </c>
      <c r="Q176" s="39" t="str">
        <f aca="false">IFERROR(1/(1/ROUND($N176*$L176*$M176,0)),"")</f>
        <v/>
      </c>
      <c r="R176" s="39" t="str">
        <f aca="false">IFERROR(1/(1/(ROUND($N176*$L176,0)-$Q176)),"")</f>
        <v/>
      </c>
      <c r="S176" s="88" t="str">
        <f aca="false">IF(OR($C176="18+",$C176="18-20",SUM($Q176,$R176)=0),"",100%)</f>
        <v/>
      </c>
      <c r="T176" s="39" t="str">
        <f aca="false">IF(OR($C176="18+",$C176="18-20",SUM($Q176,$R176)=0),"",ROUND(SUM($Q176,$R176)*$S176,0))</f>
        <v/>
      </c>
    </row>
    <row r="177" customFormat="false" ht="15" hidden="false" customHeight="false" outlineLevel="0" collapsed="false">
      <c r="A177" s="0" t="str">
        <f aca="false">INDEX(Prioritization!$D:$D,MATCH($B177,Prioritization!$A:$A,0))</f>
        <v>INVALID</v>
      </c>
      <c r="B177" s="0" t="s">
        <v>205</v>
      </c>
      <c r="C177" s="0" t="s">
        <v>812</v>
      </c>
      <c r="D177" s="0" t="s">
        <v>30</v>
      </c>
      <c r="E177" s="0" t="str">
        <f aca="false">$B177&amp;"|"&amp;$C177&amp;"|"&amp;$D177</f>
        <v>Karonga District [cPtvxaZqXIH]|15-17|Female</v>
      </c>
      <c r="G177" s="10"/>
      <c r="H177" s="10"/>
      <c r="I177" s="88" t="str">
        <f aca="false">IF(SUM($H177)=0,"",0%)</f>
        <v/>
      </c>
      <c r="J177" s="88"/>
      <c r="K177" s="88"/>
      <c r="L177" s="88" t="n">
        <f aca="false">1-IF(NOT(AND($D177="Female",OR($C177="10-14",$C177="15-17",$F177="Y"))),0,$J177)-IF(NOT(OR($C177="05-09",$C177="10-14")),0,$K177)</f>
        <v>1</v>
      </c>
      <c r="M177" s="88" t="n">
        <f aca="false">IF(SUM($L177)=0,"",20%)</f>
        <v>0.2</v>
      </c>
      <c r="N177" s="10" t="str">
        <f aca="false">IF(SUM($H177)=0,"",ROUND($H177*(1+$I177),0))</f>
        <v/>
      </c>
      <c r="O177" s="39" t="str">
        <f aca="false">IF(OR(SUM($N177)=0,SUM($J177)=0,NOT(AND($D177="Female",$F177="Y",OR($C177="10-14",$C177="15-17")))),"",ROUND($N177*$J177,0))</f>
        <v/>
      </c>
      <c r="P177" s="39" t="str">
        <f aca="false">IF(OR(SUM($N177)=0,SUM($K177)=0,NOT(OR($C177="10-14",$C177="05-09"))),"",ROUND($N177*$K177,0))</f>
        <v/>
      </c>
      <c r="Q177" s="39" t="str">
        <f aca="false">IFERROR(1/(1/ROUND($N177*$L177*$M177,0)),"")</f>
        <v/>
      </c>
      <c r="R177" s="39" t="str">
        <f aca="false">IFERROR(1/(1/(ROUND($N177*$L177,0)-$Q177)),"")</f>
        <v/>
      </c>
      <c r="S177" s="88" t="str">
        <f aca="false">IF(OR($C177="18+",$C177="18-20",SUM($Q177,$R177)=0),"",100%)</f>
        <v/>
      </c>
      <c r="T177" s="39" t="str">
        <f aca="false">IF(OR($C177="18+",$C177="18-20",SUM($Q177,$R177)=0),"",ROUND(SUM($Q177,$R177)*$S177,0))</f>
        <v/>
      </c>
    </row>
    <row r="178" customFormat="false" ht="15" hidden="false" customHeight="false" outlineLevel="0" collapsed="false">
      <c r="A178" s="0" t="str">
        <f aca="false">INDEX(Prioritization!$D:$D,MATCH($B178,Prioritization!$A:$A,0))</f>
        <v>INVALID</v>
      </c>
      <c r="B178" s="0" t="s">
        <v>205</v>
      </c>
      <c r="C178" s="0" t="s">
        <v>812</v>
      </c>
      <c r="D178" s="0" t="s">
        <v>48</v>
      </c>
      <c r="E178" s="0" t="str">
        <f aca="false">$B178&amp;"|"&amp;$C178&amp;"|"&amp;$D178</f>
        <v>Karonga District [cPtvxaZqXIH]|15-17|Male</v>
      </c>
      <c r="G178" s="10"/>
      <c r="H178" s="10"/>
      <c r="I178" s="88" t="str">
        <f aca="false">IF(SUM($H178)=0,"",0%)</f>
        <v/>
      </c>
      <c r="J178" s="88"/>
      <c r="K178" s="88"/>
      <c r="L178" s="88" t="n">
        <f aca="false">1-IF(NOT(AND($D178="Female",OR($C178="10-14",$C178="15-17",$F178="Y"))),0,$J178)-IF(NOT(OR($C178="05-09",$C178="10-14")),0,$K178)</f>
        <v>1</v>
      </c>
      <c r="M178" s="88" t="n">
        <f aca="false">IF(SUM($L178)=0,"",20%)</f>
        <v>0.2</v>
      </c>
      <c r="N178" s="10" t="str">
        <f aca="false">IF(SUM($H178)=0,"",ROUND($H178*(1+$I178),0))</f>
        <v/>
      </c>
      <c r="O178" s="39" t="str">
        <f aca="false">IF(OR(SUM($N178)=0,SUM($J178)=0,NOT(AND($D178="Female",$F178="Y",OR($C178="10-14",$C178="15-17")))),"",ROUND($N178*$J178,0))</f>
        <v/>
      </c>
      <c r="P178" s="39" t="str">
        <f aca="false">IF(OR(SUM($N178)=0,SUM($K178)=0,NOT(OR($C178="10-14",$C178="05-09"))),"",ROUND($N178*$K178,0))</f>
        <v/>
      </c>
      <c r="Q178" s="39" t="str">
        <f aca="false">IFERROR(1/(1/ROUND($N178*$L178*$M178,0)),"")</f>
        <v/>
      </c>
      <c r="R178" s="39" t="str">
        <f aca="false">IFERROR(1/(1/(ROUND($N178*$L178,0)-$Q178)),"")</f>
        <v/>
      </c>
      <c r="S178" s="88" t="str">
        <f aca="false">IF(OR($C178="18+",$C178="18-20",SUM($Q178,$R178)=0),"",100%)</f>
        <v/>
      </c>
      <c r="T178" s="39" t="str">
        <f aca="false">IF(OR($C178="18+",$C178="18-20",SUM($Q178,$R178)=0),"",ROUND(SUM($Q178,$R178)*$S178,0))</f>
        <v/>
      </c>
    </row>
    <row r="179" customFormat="false" ht="15" hidden="false" customHeight="false" outlineLevel="0" collapsed="false">
      <c r="A179" s="0" t="str">
        <f aca="false">INDEX(Prioritization!$D:$D,MATCH($B179,Prioritization!$A:$A,0))</f>
        <v>INVALID</v>
      </c>
      <c r="B179" s="0" t="s">
        <v>205</v>
      </c>
      <c r="C179" s="0" t="s">
        <v>813</v>
      </c>
      <c r="D179" s="0" t="s">
        <v>30</v>
      </c>
      <c r="E179" s="0" t="str">
        <f aca="false">$B179&amp;"|"&amp;$C179&amp;"|"&amp;$D179</f>
        <v>Karonga District [cPtvxaZqXIH]|18-20|Female</v>
      </c>
      <c r="G179" s="10"/>
      <c r="H179" s="10"/>
      <c r="I179" s="88" t="str">
        <f aca="false">IF(SUM($H179)=0,"",0%)</f>
        <v/>
      </c>
      <c r="J179" s="88"/>
      <c r="K179" s="88"/>
      <c r="L179" s="88" t="n">
        <f aca="false">1-IF(NOT(AND($D179="Female",OR($C179="10-14",$C179="15-17",$F179="Y"))),0,$J179)-IF(NOT(OR($C179="05-09",$C179="10-14")),0,$K179)</f>
        <v>1</v>
      </c>
      <c r="M179" s="88" t="n">
        <f aca="false">IF(SUM($L179)=0,"",20%)</f>
        <v>0.2</v>
      </c>
      <c r="N179" s="10" t="str">
        <f aca="false">IF(SUM($H179)=0,"",ROUND($H179*(1+$I179),0))</f>
        <v/>
      </c>
      <c r="O179" s="39" t="str">
        <f aca="false">IF(OR(SUM($N179)=0,SUM($J179)=0,NOT(AND($D179="Female",$F179="Y",OR($C179="10-14",$C179="15-17")))),"",ROUND($N179*$J179,0))</f>
        <v/>
      </c>
      <c r="P179" s="39" t="str">
        <f aca="false">IF(OR(SUM($N179)=0,SUM($K179)=0,NOT(OR($C179="10-14",$C179="05-09"))),"",ROUND($N179*$K179,0))</f>
        <v/>
      </c>
      <c r="Q179" s="39" t="str">
        <f aca="false">IFERROR(1/(1/ROUND($N179*$L179*$M179,0)),"")</f>
        <v/>
      </c>
      <c r="R179" s="39" t="str">
        <f aca="false">IFERROR(1/(1/(ROUND($N179*$L179,0)-$Q179)),"")</f>
        <v/>
      </c>
      <c r="S179" s="88" t="str">
        <f aca="false">IF(OR($C179="18+",$C179="18-20",SUM($Q179,$R179)=0),"",100%)</f>
        <v/>
      </c>
      <c r="T179" s="39" t="str">
        <f aca="false">IF(OR($C179="18+",$C179="18-20",SUM($Q179,$R179)=0),"",ROUND(SUM($Q179,$R179)*$S179,0))</f>
        <v/>
      </c>
    </row>
    <row r="180" customFormat="false" ht="15" hidden="false" customHeight="false" outlineLevel="0" collapsed="false">
      <c r="A180" s="0" t="str">
        <f aca="false">INDEX(Prioritization!$D:$D,MATCH($B180,Prioritization!$A:$A,0))</f>
        <v>INVALID</v>
      </c>
      <c r="B180" s="0" t="s">
        <v>205</v>
      </c>
      <c r="C180" s="0" t="s">
        <v>813</v>
      </c>
      <c r="D180" s="0" t="s">
        <v>48</v>
      </c>
      <c r="E180" s="0" t="str">
        <f aca="false">$B180&amp;"|"&amp;$C180&amp;"|"&amp;$D180</f>
        <v>Karonga District [cPtvxaZqXIH]|18-20|Male</v>
      </c>
      <c r="G180" s="10"/>
      <c r="H180" s="10"/>
      <c r="I180" s="88" t="str">
        <f aca="false">IF(SUM($H180)=0,"",0%)</f>
        <v/>
      </c>
      <c r="J180" s="88"/>
      <c r="K180" s="88"/>
      <c r="L180" s="88" t="n">
        <f aca="false">1-IF(NOT(AND($D180="Female",OR($C180="10-14",$C180="15-17",$F180="Y"))),0,$J180)-IF(NOT(OR($C180="05-09",$C180="10-14")),0,$K180)</f>
        <v>1</v>
      </c>
      <c r="M180" s="88" t="n">
        <f aca="false">IF(SUM($L180)=0,"",20%)</f>
        <v>0.2</v>
      </c>
      <c r="N180" s="10" t="str">
        <f aca="false">IF(SUM($H180)=0,"",ROUND($H180*(1+$I180),0))</f>
        <v/>
      </c>
      <c r="O180" s="39" t="str">
        <f aca="false">IF(OR(SUM($N180)=0,SUM($J180)=0,NOT(AND($D180="Female",$F180="Y",OR($C180="10-14",$C180="15-17")))),"",ROUND($N180*$J180,0))</f>
        <v/>
      </c>
      <c r="P180" s="39" t="str">
        <f aca="false">IF(OR(SUM($N180)=0,SUM($K180)=0,NOT(OR($C180="10-14",$C180="05-09"))),"",ROUND($N180*$K180,0))</f>
        <v/>
      </c>
      <c r="Q180" s="39" t="str">
        <f aca="false">IFERROR(1/(1/ROUND($N180*$L180*$M180,0)),"")</f>
        <v/>
      </c>
      <c r="R180" s="39" t="str">
        <f aca="false">IFERROR(1/(1/(ROUND($N180*$L180,0)-$Q180)),"")</f>
        <v/>
      </c>
      <c r="S180" s="88" t="str">
        <f aca="false">IF(OR($C180="18+",$C180="18-20",SUM($Q180,$R180)=0),"",100%)</f>
        <v/>
      </c>
      <c r="T180" s="39" t="str">
        <f aca="false">IF(OR($C180="18+",$C180="18-20",SUM($Q180,$R180)=0),"",ROUND(SUM($Q180,$R180)*$S180,0))</f>
        <v/>
      </c>
    </row>
    <row r="181" customFormat="false" ht="15" hidden="false" customHeight="false" outlineLevel="0" collapsed="false">
      <c r="A181" s="0" t="str">
        <f aca="false">INDEX(Prioritization!$D:$D,MATCH($B181,Prioritization!$A:$A,0))</f>
        <v>INVALID</v>
      </c>
      <c r="B181" s="0" t="s">
        <v>205</v>
      </c>
      <c r="C181" s="0" t="s">
        <v>814</v>
      </c>
      <c r="D181" s="0" t="s">
        <v>30</v>
      </c>
      <c r="E181" s="0" t="str">
        <f aca="false">$B181&amp;"|"&amp;$C181&amp;"|"&amp;$D181</f>
        <v>Karonga District [cPtvxaZqXIH]|18+|Female</v>
      </c>
      <c r="G181" s="10"/>
      <c r="H181" s="10"/>
      <c r="I181" s="88" t="str">
        <f aca="false">IF(SUM($H181)=0,"",0%)</f>
        <v/>
      </c>
      <c r="J181" s="88"/>
      <c r="K181" s="88"/>
      <c r="L181" s="88" t="n">
        <f aca="false">1-IF(NOT(AND($D181="Female",OR($C181="10-14",$C181="15-17",$F181="Y"))),0,$J181)-IF(NOT(OR($C181="05-09",$C181="10-14")),0,$K181)</f>
        <v>1</v>
      </c>
      <c r="M181" s="88" t="n">
        <f aca="false">IF(SUM($L181)=0,"",20%)</f>
        <v>0.2</v>
      </c>
      <c r="N181" s="10" t="str">
        <f aca="false">IF(SUM($H181)=0,"",ROUND($H181*(1+$I181),0))</f>
        <v/>
      </c>
      <c r="O181" s="39" t="str">
        <f aca="false">IF(OR(SUM($N181)=0,SUM($J181)=0,NOT(AND($D181="Female",$F181="Y",OR($C181="10-14",$C181="15-17")))),"",ROUND($N181*$J181,0))</f>
        <v/>
      </c>
      <c r="P181" s="39" t="str">
        <f aca="false">IF(OR(SUM($N181)=0,SUM($K181)=0,NOT(OR($C181="10-14",$C181="05-09"))),"",ROUND($N181*$K181,0))</f>
        <v/>
      </c>
      <c r="Q181" s="39" t="str">
        <f aca="false">IFERROR(1/(1/ROUND($N181*$L181*$M181,0)),"")</f>
        <v/>
      </c>
      <c r="R181" s="39" t="str">
        <f aca="false">IFERROR(1/(1/(ROUND($N181*$L181,0)-$Q181)),"")</f>
        <v/>
      </c>
      <c r="S181" s="88" t="str">
        <f aca="false">IF(OR($C181="18+",$C181="18-20",SUM($Q181,$R181)=0),"",100%)</f>
        <v/>
      </c>
      <c r="T181" s="39" t="str">
        <f aca="false">IF(OR($C181="18+",$C181="18-20",SUM($Q181,$R181)=0),"",ROUND(SUM($Q181,$R181)*$S181,0))</f>
        <v/>
      </c>
    </row>
    <row r="182" customFormat="false" ht="15" hidden="false" customHeight="false" outlineLevel="0" collapsed="false">
      <c r="A182" s="0" t="str">
        <f aca="false">INDEX(Prioritization!$D:$D,MATCH($B182,Prioritization!$A:$A,0))</f>
        <v>INVALID</v>
      </c>
      <c r="B182" s="0" t="s">
        <v>205</v>
      </c>
      <c r="C182" s="0" t="s">
        <v>814</v>
      </c>
      <c r="D182" s="0" t="s">
        <v>48</v>
      </c>
      <c r="E182" s="0" t="str">
        <f aca="false">$B182&amp;"|"&amp;$C182&amp;"|"&amp;$D182</f>
        <v>Karonga District [cPtvxaZqXIH]|18+|Male</v>
      </c>
      <c r="G182" s="10"/>
      <c r="H182" s="10"/>
      <c r="I182" s="88" t="str">
        <f aca="false">IF(SUM($H182)=0,"",0%)</f>
        <v/>
      </c>
      <c r="J182" s="88"/>
      <c r="K182" s="88"/>
      <c r="L182" s="88" t="n">
        <f aca="false">1-IF(NOT(AND($D182="Female",OR($C182="10-14",$C182="15-17",$F182="Y"))),0,$J182)-IF(NOT(OR($C182="05-09",$C182="10-14")),0,$K182)</f>
        <v>1</v>
      </c>
      <c r="M182" s="88" t="n">
        <f aca="false">IF(SUM($L182)=0,"",20%)</f>
        <v>0.2</v>
      </c>
      <c r="N182" s="10" t="str">
        <f aca="false">IF(SUM($H182)=0,"",ROUND($H182*(1+$I182),0))</f>
        <v/>
      </c>
      <c r="O182" s="39" t="str">
        <f aca="false">IF(OR(SUM($N182)=0,SUM($J182)=0,NOT(AND($D182="Female",$F182="Y",OR($C182="10-14",$C182="15-17")))),"",ROUND($N182*$J182,0))</f>
        <v/>
      </c>
      <c r="P182" s="39" t="str">
        <f aca="false">IF(OR(SUM($N182)=0,SUM($K182)=0,NOT(OR($C182="10-14",$C182="05-09"))),"",ROUND($N182*$K182,0))</f>
        <v/>
      </c>
      <c r="Q182" s="39" t="str">
        <f aca="false">IFERROR(1/(1/ROUND($N182*$L182*$M182,0)),"")</f>
        <v/>
      </c>
      <c r="R182" s="39" t="str">
        <f aca="false">IFERROR(1/(1/(ROUND($N182*$L182,0)-$Q182)),"")</f>
        <v/>
      </c>
      <c r="S182" s="88" t="str">
        <f aca="false">IF(OR($C182="18+",$C182="18-20",SUM($Q182,$R182)=0),"",100%)</f>
        <v/>
      </c>
      <c r="T182" s="39" t="str">
        <f aca="false">IF(OR($C182="18+",$C182="18-20",SUM($Q182,$R182)=0),"",ROUND(SUM($Q182,$R182)*$S182,0))</f>
        <v/>
      </c>
    </row>
    <row r="183" customFormat="false" ht="15" hidden="false" customHeight="false" outlineLevel="0" collapsed="false">
      <c r="A183" s="0" t="str">
        <f aca="false">INDEX(Prioritization!$D:$D,MATCH($B183,Prioritization!$A:$A,0))</f>
        <v>INVALID</v>
      </c>
      <c r="B183" s="0" t="s">
        <v>206</v>
      </c>
      <c r="C183" s="0" t="s">
        <v>316</v>
      </c>
      <c r="D183" s="0" t="s">
        <v>30</v>
      </c>
      <c r="E183" s="0" t="str">
        <f aca="false">$B183&amp;"|"&amp;$C183&amp;"|"&amp;$D183</f>
        <v>Likoma District [ZCjuwgaMB9u]|&lt;01|Female</v>
      </c>
      <c r="G183" s="10"/>
      <c r="H183" s="10"/>
      <c r="I183" s="88" t="str">
        <f aca="false">IF(SUM($H183)=0,"",0%)</f>
        <v/>
      </c>
      <c r="J183" s="88"/>
      <c r="K183" s="88"/>
      <c r="L183" s="88" t="n">
        <f aca="false">1-IF(NOT(AND($D183="Female",OR($C183="10-14",$C183="15-17",$F183="Y"))),0,$J183)-IF(NOT(OR($C183="05-09",$C183="10-14")),0,$K183)</f>
        <v>1</v>
      </c>
      <c r="M183" s="88" t="n">
        <f aca="false">IF(SUM($L183)=0,"",20%)</f>
        <v>0.2</v>
      </c>
      <c r="N183" s="10" t="str">
        <f aca="false">IF(SUM($H183)=0,"",ROUND($H183*(1+$I183),0))</f>
        <v/>
      </c>
      <c r="O183" s="39" t="str">
        <f aca="false">IF(OR(SUM($N183)=0,SUM($J183)=0,NOT(AND($D183="Female",$F183="Y",OR($C183="10-14",$C183="15-17")))),"",ROUND($N183*$J183,0))</f>
        <v/>
      </c>
      <c r="P183" s="39" t="str">
        <f aca="false">IF(OR(SUM($N183)=0,SUM($K183)=0,NOT(OR($C183="10-14",$C183="05-09"))),"",ROUND($N183*$K183,0))</f>
        <v/>
      </c>
      <c r="Q183" s="39" t="str">
        <f aca="false">IFERROR(1/(1/ROUND($N183*$L183*$M183,0)),"")</f>
        <v/>
      </c>
      <c r="R183" s="39" t="str">
        <f aca="false">IFERROR(1/(1/(ROUND($N183*$L183,0)-$Q183)),"")</f>
        <v/>
      </c>
      <c r="S183" s="88" t="str">
        <f aca="false">IF(OR($C183="18+",$C183="18-20",SUM($Q183,$R183)=0),"",100%)</f>
        <v/>
      </c>
      <c r="T183" s="39" t="str">
        <f aca="false">IF(OR($C183="18+",$C183="18-20",SUM($Q183,$R183)=0),"",ROUND(SUM($Q183,$R183)*$S183,0))</f>
        <v/>
      </c>
    </row>
    <row r="184" customFormat="false" ht="15" hidden="false" customHeight="false" outlineLevel="0" collapsed="false">
      <c r="A184" s="0" t="str">
        <f aca="false">INDEX(Prioritization!$D:$D,MATCH($B184,Prioritization!$A:$A,0))</f>
        <v>INVALID</v>
      </c>
      <c r="B184" s="0" t="s">
        <v>206</v>
      </c>
      <c r="C184" s="0" t="s">
        <v>316</v>
      </c>
      <c r="D184" s="0" t="s">
        <v>48</v>
      </c>
      <c r="E184" s="0" t="str">
        <f aca="false">$B184&amp;"|"&amp;$C184&amp;"|"&amp;$D184</f>
        <v>Likoma District [ZCjuwgaMB9u]|&lt;01|Male</v>
      </c>
      <c r="G184" s="10"/>
      <c r="H184" s="10"/>
      <c r="I184" s="88" t="str">
        <f aca="false">IF(SUM($H184)=0,"",0%)</f>
        <v/>
      </c>
      <c r="J184" s="88"/>
      <c r="K184" s="88"/>
      <c r="L184" s="88" t="n">
        <f aca="false">1-IF(NOT(AND($D184="Female",OR($C184="10-14",$C184="15-17",$F184="Y"))),0,$J184)-IF(NOT(OR($C184="05-09",$C184="10-14")),0,$K184)</f>
        <v>1</v>
      </c>
      <c r="M184" s="88" t="n">
        <f aca="false">IF(SUM($L184)=0,"",20%)</f>
        <v>0.2</v>
      </c>
      <c r="N184" s="10" t="str">
        <f aca="false">IF(SUM($H184)=0,"",ROUND($H184*(1+$I184),0))</f>
        <v/>
      </c>
      <c r="O184" s="39" t="str">
        <f aca="false">IF(OR(SUM($N184)=0,SUM($J184)=0,NOT(AND($D184="Female",$F184="Y",OR($C184="10-14",$C184="15-17")))),"",ROUND($N184*$J184,0))</f>
        <v/>
      </c>
      <c r="P184" s="39" t="str">
        <f aca="false">IF(OR(SUM($N184)=0,SUM($K184)=0,NOT(OR($C184="10-14",$C184="05-09"))),"",ROUND($N184*$K184,0))</f>
        <v/>
      </c>
      <c r="Q184" s="39" t="str">
        <f aca="false">IFERROR(1/(1/ROUND($N184*$L184*$M184,0)),"")</f>
        <v/>
      </c>
      <c r="R184" s="39" t="str">
        <f aca="false">IFERROR(1/(1/(ROUND($N184*$L184,0)-$Q184)),"")</f>
        <v/>
      </c>
      <c r="S184" s="88" t="str">
        <f aca="false">IF(OR($C184="18+",$C184="18-20",SUM($Q184,$R184)=0),"",100%)</f>
        <v/>
      </c>
      <c r="T184" s="39" t="str">
        <f aca="false">IF(OR($C184="18+",$C184="18-20",SUM($Q184,$R184)=0),"",ROUND(SUM($Q184,$R184)*$S184,0))</f>
        <v/>
      </c>
    </row>
    <row r="185" customFormat="false" ht="15" hidden="false" customHeight="false" outlineLevel="0" collapsed="false">
      <c r="A185" s="0" t="str">
        <f aca="false">INDEX(Prioritization!$D:$D,MATCH($B185,Prioritization!$A:$A,0))</f>
        <v>INVALID</v>
      </c>
      <c r="B185" s="0" t="s">
        <v>206</v>
      </c>
      <c r="C185" s="0" t="s">
        <v>810</v>
      </c>
      <c r="D185" s="0" t="s">
        <v>30</v>
      </c>
      <c r="E185" s="0" t="str">
        <f aca="false">$B185&amp;"|"&amp;$C185&amp;"|"&amp;$D185</f>
        <v>Likoma District [ZCjuwgaMB9u]|01-04|Female</v>
      </c>
      <c r="G185" s="10"/>
      <c r="H185" s="10"/>
      <c r="I185" s="88" t="str">
        <f aca="false">IF(SUM($H185)=0,"",0%)</f>
        <v/>
      </c>
      <c r="J185" s="88"/>
      <c r="K185" s="88"/>
      <c r="L185" s="88" t="n">
        <f aca="false">1-IF(NOT(AND($D185="Female",OR($C185="10-14",$C185="15-17",$F185="Y"))),0,$J185)-IF(NOT(OR($C185="05-09",$C185="10-14")),0,$K185)</f>
        <v>1</v>
      </c>
      <c r="M185" s="88" t="n">
        <f aca="false">IF(SUM($L185)=0,"",20%)</f>
        <v>0.2</v>
      </c>
      <c r="N185" s="10" t="str">
        <f aca="false">IF(SUM($H185)=0,"",ROUND($H185*(1+$I185),0))</f>
        <v/>
      </c>
      <c r="O185" s="39" t="str">
        <f aca="false">IF(OR(SUM($N185)=0,SUM($J185)=0,NOT(AND($D185="Female",$F185="Y",OR($C185="10-14",$C185="15-17")))),"",ROUND($N185*$J185,0))</f>
        <v/>
      </c>
      <c r="P185" s="39" t="str">
        <f aca="false">IF(OR(SUM($N185)=0,SUM($K185)=0,NOT(OR($C185="10-14",$C185="05-09"))),"",ROUND($N185*$K185,0))</f>
        <v/>
      </c>
      <c r="Q185" s="39" t="str">
        <f aca="false">IFERROR(1/(1/ROUND($N185*$L185*$M185,0)),"")</f>
        <v/>
      </c>
      <c r="R185" s="39" t="str">
        <f aca="false">IFERROR(1/(1/(ROUND($N185*$L185,0)-$Q185)),"")</f>
        <v/>
      </c>
      <c r="S185" s="88" t="str">
        <f aca="false">IF(OR($C185="18+",$C185="18-20",SUM($Q185,$R185)=0),"",100%)</f>
        <v/>
      </c>
      <c r="T185" s="39" t="str">
        <f aca="false">IF(OR($C185="18+",$C185="18-20",SUM($Q185,$R185)=0),"",ROUND(SUM($Q185,$R185)*$S185,0))</f>
        <v/>
      </c>
    </row>
    <row r="186" customFormat="false" ht="15" hidden="false" customHeight="false" outlineLevel="0" collapsed="false">
      <c r="A186" s="0" t="str">
        <f aca="false">INDEX(Prioritization!$D:$D,MATCH($B186,Prioritization!$A:$A,0))</f>
        <v>INVALID</v>
      </c>
      <c r="B186" s="0" t="s">
        <v>206</v>
      </c>
      <c r="C186" s="0" t="s">
        <v>810</v>
      </c>
      <c r="D186" s="0" t="s">
        <v>48</v>
      </c>
      <c r="E186" s="0" t="str">
        <f aca="false">$B186&amp;"|"&amp;$C186&amp;"|"&amp;$D186</f>
        <v>Likoma District [ZCjuwgaMB9u]|01-04|Male</v>
      </c>
      <c r="G186" s="10"/>
      <c r="H186" s="10"/>
      <c r="I186" s="88" t="str">
        <f aca="false">IF(SUM($H186)=0,"",0%)</f>
        <v/>
      </c>
      <c r="J186" s="88"/>
      <c r="K186" s="88"/>
      <c r="L186" s="88" t="n">
        <f aca="false">1-IF(NOT(AND($D186="Female",OR($C186="10-14",$C186="15-17",$F186="Y"))),0,$J186)-IF(NOT(OR($C186="05-09",$C186="10-14")),0,$K186)</f>
        <v>1</v>
      </c>
      <c r="M186" s="88" t="n">
        <f aca="false">IF(SUM($L186)=0,"",20%)</f>
        <v>0.2</v>
      </c>
      <c r="N186" s="10" t="str">
        <f aca="false">IF(SUM($H186)=0,"",ROUND($H186*(1+$I186),0))</f>
        <v/>
      </c>
      <c r="O186" s="39" t="str">
        <f aca="false">IF(OR(SUM($N186)=0,SUM($J186)=0,NOT(AND($D186="Female",$F186="Y",OR($C186="10-14",$C186="15-17")))),"",ROUND($N186*$J186,0))</f>
        <v/>
      </c>
      <c r="P186" s="39" t="str">
        <f aca="false">IF(OR(SUM($N186)=0,SUM($K186)=0,NOT(OR($C186="10-14",$C186="05-09"))),"",ROUND($N186*$K186,0))</f>
        <v/>
      </c>
      <c r="Q186" s="39" t="str">
        <f aca="false">IFERROR(1/(1/ROUND($N186*$L186*$M186,0)),"")</f>
        <v/>
      </c>
      <c r="R186" s="39" t="str">
        <f aca="false">IFERROR(1/(1/(ROUND($N186*$L186,0)-$Q186)),"")</f>
        <v/>
      </c>
      <c r="S186" s="88" t="str">
        <f aca="false">IF(OR($C186="18+",$C186="18-20",SUM($Q186,$R186)=0),"",100%)</f>
        <v/>
      </c>
      <c r="T186" s="39" t="str">
        <f aca="false">IF(OR($C186="18+",$C186="18-20",SUM($Q186,$R186)=0),"",ROUND(SUM($Q186,$R186)*$S186,0))</f>
        <v/>
      </c>
    </row>
    <row r="187" customFormat="false" ht="15" hidden="false" customHeight="false" outlineLevel="0" collapsed="false">
      <c r="A187" s="0" t="str">
        <f aca="false">INDEX(Prioritization!$D:$D,MATCH($B187,Prioritization!$A:$A,0))</f>
        <v>INVALID</v>
      </c>
      <c r="B187" s="0" t="s">
        <v>206</v>
      </c>
      <c r="C187" s="0" t="s">
        <v>811</v>
      </c>
      <c r="D187" s="0" t="s">
        <v>30</v>
      </c>
      <c r="E187" s="0" t="str">
        <f aca="false">$B187&amp;"|"&amp;$C187&amp;"|"&amp;$D187</f>
        <v>Likoma District [ZCjuwgaMB9u]|05-09|Female</v>
      </c>
      <c r="G187" s="10"/>
      <c r="H187" s="10"/>
      <c r="I187" s="88" t="str">
        <f aca="false">IF(SUM($H187)=0,"",0%)</f>
        <v/>
      </c>
      <c r="J187" s="88"/>
      <c r="K187" s="88"/>
      <c r="L187" s="88" t="n">
        <f aca="false">1-IF(NOT(AND($D187="Female",OR($C187="10-14",$C187="15-17",$F187="Y"))),0,$J187)-IF(NOT(OR($C187="05-09",$C187="10-14")),0,$K187)</f>
        <v>1</v>
      </c>
      <c r="M187" s="88" t="n">
        <f aca="false">IF(SUM($L187)=0,"",20%)</f>
        <v>0.2</v>
      </c>
      <c r="N187" s="10" t="str">
        <f aca="false">IF(SUM($H187)=0,"",ROUND($H187*(1+$I187),0))</f>
        <v/>
      </c>
      <c r="O187" s="39" t="str">
        <f aca="false">IF(OR(SUM($N187)=0,SUM($J187)=0,NOT(AND($D187="Female",$F187="Y",OR($C187="10-14",$C187="15-17")))),"",ROUND($N187*$J187,0))</f>
        <v/>
      </c>
      <c r="P187" s="39" t="str">
        <f aca="false">IF(OR(SUM($N187)=0,SUM($K187)=0,NOT(OR($C187="10-14",$C187="05-09"))),"",ROUND($N187*$K187,0))</f>
        <v/>
      </c>
      <c r="Q187" s="39" t="str">
        <f aca="false">IFERROR(1/(1/ROUND($N187*$L187*$M187,0)),"")</f>
        <v/>
      </c>
      <c r="R187" s="39" t="str">
        <f aca="false">IFERROR(1/(1/(ROUND($N187*$L187,0)-$Q187)),"")</f>
        <v/>
      </c>
      <c r="S187" s="88" t="str">
        <f aca="false">IF(OR($C187="18+",$C187="18-20",SUM($Q187,$R187)=0),"",100%)</f>
        <v/>
      </c>
      <c r="T187" s="39" t="str">
        <f aca="false">IF(OR($C187="18+",$C187="18-20",SUM($Q187,$R187)=0),"",ROUND(SUM($Q187,$R187)*$S187,0))</f>
        <v/>
      </c>
    </row>
    <row r="188" customFormat="false" ht="15" hidden="false" customHeight="false" outlineLevel="0" collapsed="false">
      <c r="A188" s="0" t="str">
        <f aca="false">INDEX(Prioritization!$D:$D,MATCH($B188,Prioritization!$A:$A,0))</f>
        <v>INVALID</v>
      </c>
      <c r="B188" s="0" t="s">
        <v>206</v>
      </c>
      <c r="C188" s="0" t="s">
        <v>811</v>
      </c>
      <c r="D188" s="0" t="s">
        <v>48</v>
      </c>
      <c r="E188" s="0" t="str">
        <f aca="false">$B188&amp;"|"&amp;$C188&amp;"|"&amp;$D188</f>
        <v>Likoma District [ZCjuwgaMB9u]|05-09|Male</v>
      </c>
      <c r="G188" s="10"/>
      <c r="H188" s="10"/>
      <c r="I188" s="88" t="str">
        <f aca="false">IF(SUM($H188)=0,"",0%)</f>
        <v/>
      </c>
      <c r="J188" s="88"/>
      <c r="K188" s="88"/>
      <c r="L188" s="88" t="n">
        <f aca="false">1-IF(NOT(AND($D188="Female",OR($C188="10-14",$C188="15-17",$F188="Y"))),0,$J188)-IF(NOT(OR($C188="05-09",$C188="10-14")),0,$K188)</f>
        <v>1</v>
      </c>
      <c r="M188" s="88" t="n">
        <f aca="false">IF(SUM($L188)=0,"",20%)</f>
        <v>0.2</v>
      </c>
      <c r="N188" s="10" t="str">
        <f aca="false">IF(SUM($H188)=0,"",ROUND($H188*(1+$I188),0))</f>
        <v/>
      </c>
      <c r="O188" s="39" t="str">
        <f aca="false">IF(OR(SUM($N188)=0,SUM($J188)=0,NOT(AND($D188="Female",$F188="Y",OR($C188="10-14",$C188="15-17")))),"",ROUND($N188*$J188,0))</f>
        <v/>
      </c>
      <c r="P188" s="39" t="str">
        <f aca="false">IF(OR(SUM($N188)=0,SUM($K188)=0,NOT(OR($C188="10-14",$C188="05-09"))),"",ROUND($N188*$K188,0))</f>
        <v/>
      </c>
      <c r="Q188" s="39" t="str">
        <f aca="false">IFERROR(1/(1/ROUND($N188*$L188*$M188,0)),"")</f>
        <v/>
      </c>
      <c r="R188" s="39" t="str">
        <f aca="false">IFERROR(1/(1/(ROUND($N188*$L188,0)-$Q188)),"")</f>
        <v/>
      </c>
      <c r="S188" s="88" t="str">
        <f aca="false">IF(OR($C188="18+",$C188="18-20",SUM($Q188,$R188)=0),"",100%)</f>
        <v/>
      </c>
      <c r="T188" s="39" t="str">
        <f aca="false">IF(OR($C188="18+",$C188="18-20",SUM($Q188,$R188)=0),"",ROUND(SUM($Q188,$R188)*$S188,0))</f>
        <v/>
      </c>
    </row>
    <row r="189" customFormat="false" ht="15" hidden="false" customHeight="false" outlineLevel="0" collapsed="false">
      <c r="A189" s="0" t="str">
        <f aca="false">INDEX(Prioritization!$D:$D,MATCH($B189,Prioritization!$A:$A,0))</f>
        <v>INVALID</v>
      </c>
      <c r="B189" s="0" t="s">
        <v>206</v>
      </c>
      <c r="C189" s="0" t="s">
        <v>364</v>
      </c>
      <c r="D189" s="0" t="s">
        <v>30</v>
      </c>
      <c r="E189" s="0" t="str">
        <f aca="false">$B189&amp;"|"&amp;$C189&amp;"|"&amp;$D189</f>
        <v>Likoma District [ZCjuwgaMB9u]|10-14|Female</v>
      </c>
      <c r="G189" s="10"/>
      <c r="H189" s="10"/>
      <c r="I189" s="88" t="str">
        <f aca="false">IF(SUM($H189)=0,"",0%)</f>
        <v/>
      </c>
      <c r="J189" s="88"/>
      <c r="K189" s="88"/>
      <c r="L189" s="88" t="n">
        <f aca="false">1-IF(NOT(AND($D189="Female",OR($C189="10-14",$C189="15-17",$F189="Y"))),0,$J189)-IF(NOT(OR($C189="05-09",$C189="10-14")),0,$K189)</f>
        <v>1</v>
      </c>
      <c r="M189" s="88" t="n">
        <f aca="false">IF(SUM($L189)=0,"",20%)</f>
        <v>0.2</v>
      </c>
      <c r="N189" s="10" t="str">
        <f aca="false">IF(SUM($H189)=0,"",ROUND($H189*(1+$I189),0))</f>
        <v/>
      </c>
      <c r="O189" s="39" t="str">
        <f aca="false">IF(OR(SUM($N189)=0,SUM($J189)=0,NOT(AND($D189="Female",$F189="Y",OR($C189="10-14",$C189="15-17")))),"",ROUND($N189*$J189,0))</f>
        <v/>
      </c>
      <c r="P189" s="39" t="str">
        <f aca="false">IF(OR(SUM($N189)=0,SUM($K189)=0,NOT(OR($C189="10-14",$C189="05-09"))),"",ROUND($N189*$K189,0))</f>
        <v/>
      </c>
      <c r="Q189" s="39" t="str">
        <f aca="false">IFERROR(1/(1/ROUND($N189*$L189*$M189,0)),"")</f>
        <v/>
      </c>
      <c r="R189" s="39" t="str">
        <f aca="false">IFERROR(1/(1/(ROUND($N189*$L189,0)-$Q189)),"")</f>
        <v/>
      </c>
      <c r="S189" s="88" t="str">
        <f aca="false">IF(OR($C189="18+",$C189="18-20",SUM($Q189,$R189)=0),"",100%)</f>
        <v/>
      </c>
      <c r="T189" s="39" t="str">
        <f aca="false">IF(OR($C189="18+",$C189="18-20",SUM($Q189,$R189)=0),"",ROUND(SUM($Q189,$R189)*$S189,0))</f>
        <v/>
      </c>
    </row>
    <row r="190" customFormat="false" ht="15" hidden="false" customHeight="false" outlineLevel="0" collapsed="false">
      <c r="A190" s="0" t="str">
        <f aca="false">INDEX(Prioritization!$D:$D,MATCH($B190,Prioritization!$A:$A,0))</f>
        <v>INVALID</v>
      </c>
      <c r="B190" s="0" t="s">
        <v>206</v>
      </c>
      <c r="C190" s="0" t="s">
        <v>364</v>
      </c>
      <c r="D190" s="0" t="s">
        <v>48</v>
      </c>
      <c r="E190" s="0" t="str">
        <f aca="false">$B190&amp;"|"&amp;$C190&amp;"|"&amp;$D190</f>
        <v>Likoma District [ZCjuwgaMB9u]|10-14|Male</v>
      </c>
      <c r="G190" s="10"/>
      <c r="H190" s="10"/>
      <c r="I190" s="88" t="str">
        <f aca="false">IF(SUM($H190)=0,"",0%)</f>
        <v/>
      </c>
      <c r="J190" s="88"/>
      <c r="K190" s="88"/>
      <c r="L190" s="88" t="n">
        <f aca="false">1-IF(NOT(AND($D190="Female",OR($C190="10-14",$C190="15-17",$F190="Y"))),0,$J190)-IF(NOT(OR($C190="05-09",$C190="10-14")),0,$K190)</f>
        <v>1</v>
      </c>
      <c r="M190" s="88" t="n">
        <f aca="false">IF(SUM($L190)=0,"",20%)</f>
        <v>0.2</v>
      </c>
      <c r="N190" s="10" t="str">
        <f aca="false">IF(SUM($H190)=0,"",ROUND($H190*(1+$I190),0))</f>
        <v/>
      </c>
      <c r="O190" s="39" t="str">
        <f aca="false">IF(OR(SUM($N190)=0,SUM($J190)=0,NOT(AND($D190="Female",$F190="Y",OR($C190="10-14",$C190="15-17")))),"",ROUND($N190*$J190,0))</f>
        <v/>
      </c>
      <c r="P190" s="39" t="str">
        <f aca="false">IF(OR(SUM($N190)=0,SUM($K190)=0,NOT(OR($C190="10-14",$C190="05-09"))),"",ROUND($N190*$K190,0))</f>
        <v/>
      </c>
      <c r="Q190" s="39" t="str">
        <f aca="false">IFERROR(1/(1/ROUND($N190*$L190*$M190,0)),"")</f>
        <v/>
      </c>
      <c r="R190" s="39" t="str">
        <f aca="false">IFERROR(1/(1/(ROUND($N190*$L190,0)-$Q190)),"")</f>
        <v/>
      </c>
      <c r="S190" s="88" t="str">
        <f aca="false">IF(OR($C190="18+",$C190="18-20",SUM($Q190,$R190)=0),"",100%)</f>
        <v/>
      </c>
      <c r="T190" s="39" t="str">
        <f aca="false">IF(OR($C190="18+",$C190="18-20",SUM($Q190,$R190)=0),"",ROUND(SUM($Q190,$R190)*$S190,0))</f>
        <v/>
      </c>
    </row>
    <row r="191" customFormat="false" ht="15" hidden="false" customHeight="false" outlineLevel="0" collapsed="false">
      <c r="A191" s="0" t="str">
        <f aca="false">INDEX(Prioritization!$D:$D,MATCH($B191,Prioritization!$A:$A,0))</f>
        <v>INVALID</v>
      </c>
      <c r="B191" s="0" t="s">
        <v>206</v>
      </c>
      <c r="C191" s="0" t="s">
        <v>812</v>
      </c>
      <c r="D191" s="0" t="s">
        <v>30</v>
      </c>
      <c r="E191" s="0" t="str">
        <f aca="false">$B191&amp;"|"&amp;$C191&amp;"|"&amp;$D191</f>
        <v>Likoma District [ZCjuwgaMB9u]|15-17|Female</v>
      </c>
      <c r="G191" s="10"/>
      <c r="H191" s="10"/>
      <c r="I191" s="88" t="str">
        <f aca="false">IF(SUM($H191)=0,"",0%)</f>
        <v/>
      </c>
      <c r="J191" s="88"/>
      <c r="K191" s="88"/>
      <c r="L191" s="88" t="n">
        <f aca="false">1-IF(NOT(AND($D191="Female",OR($C191="10-14",$C191="15-17",$F191="Y"))),0,$J191)-IF(NOT(OR($C191="05-09",$C191="10-14")),0,$K191)</f>
        <v>1</v>
      </c>
      <c r="M191" s="88" t="n">
        <f aca="false">IF(SUM($L191)=0,"",20%)</f>
        <v>0.2</v>
      </c>
      <c r="N191" s="10" t="str">
        <f aca="false">IF(SUM($H191)=0,"",ROUND($H191*(1+$I191),0))</f>
        <v/>
      </c>
      <c r="O191" s="39" t="str">
        <f aca="false">IF(OR(SUM($N191)=0,SUM($J191)=0,NOT(AND($D191="Female",$F191="Y",OR($C191="10-14",$C191="15-17")))),"",ROUND($N191*$J191,0))</f>
        <v/>
      </c>
      <c r="P191" s="39" t="str">
        <f aca="false">IF(OR(SUM($N191)=0,SUM($K191)=0,NOT(OR($C191="10-14",$C191="05-09"))),"",ROUND($N191*$K191,0))</f>
        <v/>
      </c>
      <c r="Q191" s="39" t="str">
        <f aca="false">IFERROR(1/(1/ROUND($N191*$L191*$M191,0)),"")</f>
        <v/>
      </c>
      <c r="R191" s="39" t="str">
        <f aca="false">IFERROR(1/(1/(ROUND($N191*$L191,0)-$Q191)),"")</f>
        <v/>
      </c>
      <c r="S191" s="88" t="str">
        <f aca="false">IF(OR($C191="18+",$C191="18-20",SUM($Q191,$R191)=0),"",100%)</f>
        <v/>
      </c>
      <c r="T191" s="39" t="str">
        <f aca="false">IF(OR($C191="18+",$C191="18-20",SUM($Q191,$R191)=0),"",ROUND(SUM($Q191,$R191)*$S191,0))</f>
        <v/>
      </c>
    </row>
    <row r="192" customFormat="false" ht="15" hidden="false" customHeight="false" outlineLevel="0" collapsed="false">
      <c r="A192" s="0" t="str">
        <f aca="false">INDEX(Prioritization!$D:$D,MATCH($B192,Prioritization!$A:$A,0))</f>
        <v>INVALID</v>
      </c>
      <c r="B192" s="0" t="s">
        <v>206</v>
      </c>
      <c r="C192" s="0" t="s">
        <v>812</v>
      </c>
      <c r="D192" s="0" t="s">
        <v>48</v>
      </c>
      <c r="E192" s="0" t="str">
        <f aca="false">$B192&amp;"|"&amp;$C192&amp;"|"&amp;$D192</f>
        <v>Likoma District [ZCjuwgaMB9u]|15-17|Male</v>
      </c>
      <c r="G192" s="10"/>
      <c r="H192" s="10"/>
      <c r="I192" s="88" t="str">
        <f aca="false">IF(SUM($H192)=0,"",0%)</f>
        <v/>
      </c>
      <c r="J192" s="88"/>
      <c r="K192" s="88"/>
      <c r="L192" s="88" t="n">
        <f aca="false">1-IF(NOT(AND($D192="Female",OR($C192="10-14",$C192="15-17",$F192="Y"))),0,$J192)-IF(NOT(OR($C192="05-09",$C192="10-14")),0,$K192)</f>
        <v>1</v>
      </c>
      <c r="M192" s="88" t="n">
        <f aca="false">IF(SUM($L192)=0,"",20%)</f>
        <v>0.2</v>
      </c>
      <c r="N192" s="10" t="str">
        <f aca="false">IF(SUM($H192)=0,"",ROUND($H192*(1+$I192),0))</f>
        <v/>
      </c>
      <c r="O192" s="39" t="str">
        <f aca="false">IF(OR(SUM($N192)=0,SUM($J192)=0,NOT(AND($D192="Female",$F192="Y",OR($C192="10-14",$C192="15-17")))),"",ROUND($N192*$J192,0))</f>
        <v/>
      </c>
      <c r="P192" s="39" t="str">
        <f aca="false">IF(OR(SUM($N192)=0,SUM($K192)=0,NOT(OR($C192="10-14",$C192="05-09"))),"",ROUND($N192*$K192,0))</f>
        <v/>
      </c>
      <c r="Q192" s="39" t="str">
        <f aca="false">IFERROR(1/(1/ROUND($N192*$L192*$M192,0)),"")</f>
        <v/>
      </c>
      <c r="R192" s="39" t="str">
        <f aca="false">IFERROR(1/(1/(ROUND($N192*$L192,0)-$Q192)),"")</f>
        <v/>
      </c>
      <c r="S192" s="88" t="str">
        <f aca="false">IF(OR($C192="18+",$C192="18-20",SUM($Q192,$R192)=0),"",100%)</f>
        <v/>
      </c>
      <c r="T192" s="39" t="str">
        <f aca="false">IF(OR($C192="18+",$C192="18-20",SUM($Q192,$R192)=0),"",ROUND(SUM($Q192,$R192)*$S192,0))</f>
        <v/>
      </c>
    </row>
    <row r="193" customFormat="false" ht="15" hidden="false" customHeight="false" outlineLevel="0" collapsed="false">
      <c r="A193" s="0" t="str">
        <f aca="false">INDEX(Prioritization!$D:$D,MATCH($B193,Prioritization!$A:$A,0))</f>
        <v>INVALID</v>
      </c>
      <c r="B193" s="0" t="s">
        <v>206</v>
      </c>
      <c r="C193" s="0" t="s">
        <v>813</v>
      </c>
      <c r="D193" s="0" t="s">
        <v>30</v>
      </c>
      <c r="E193" s="0" t="str">
        <f aca="false">$B193&amp;"|"&amp;$C193&amp;"|"&amp;$D193</f>
        <v>Likoma District [ZCjuwgaMB9u]|18-20|Female</v>
      </c>
      <c r="G193" s="10"/>
      <c r="H193" s="10"/>
      <c r="I193" s="88" t="str">
        <f aca="false">IF(SUM($H193)=0,"",0%)</f>
        <v/>
      </c>
      <c r="J193" s="88"/>
      <c r="K193" s="88"/>
      <c r="L193" s="88" t="n">
        <f aca="false">1-IF(NOT(AND($D193="Female",OR($C193="10-14",$C193="15-17",$F193="Y"))),0,$J193)-IF(NOT(OR($C193="05-09",$C193="10-14")),0,$K193)</f>
        <v>1</v>
      </c>
      <c r="M193" s="88" t="n">
        <f aca="false">IF(SUM($L193)=0,"",20%)</f>
        <v>0.2</v>
      </c>
      <c r="N193" s="10" t="str">
        <f aca="false">IF(SUM($H193)=0,"",ROUND($H193*(1+$I193),0))</f>
        <v/>
      </c>
      <c r="O193" s="39" t="str">
        <f aca="false">IF(OR(SUM($N193)=0,SUM($J193)=0,NOT(AND($D193="Female",$F193="Y",OR($C193="10-14",$C193="15-17")))),"",ROUND($N193*$J193,0))</f>
        <v/>
      </c>
      <c r="P193" s="39" t="str">
        <f aca="false">IF(OR(SUM($N193)=0,SUM($K193)=0,NOT(OR($C193="10-14",$C193="05-09"))),"",ROUND($N193*$K193,0))</f>
        <v/>
      </c>
      <c r="Q193" s="39" t="str">
        <f aca="false">IFERROR(1/(1/ROUND($N193*$L193*$M193,0)),"")</f>
        <v/>
      </c>
      <c r="R193" s="39" t="str">
        <f aca="false">IFERROR(1/(1/(ROUND($N193*$L193,0)-$Q193)),"")</f>
        <v/>
      </c>
      <c r="S193" s="88" t="str">
        <f aca="false">IF(OR($C193="18+",$C193="18-20",SUM($Q193,$R193)=0),"",100%)</f>
        <v/>
      </c>
      <c r="T193" s="39" t="str">
        <f aca="false">IF(OR($C193="18+",$C193="18-20",SUM($Q193,$R193)=0),"",ROUND(SUM($Q193,$R193)*$S193,0))</f>
        <v/>
      </c>
    </row>
    <row r="194" customFormat="false" ht="15" hidden="false" customHeight="false" outlineLevel="0" collapsed="false">
      <c r="A194" s="0" t="str">
        <f aca="false">INDEX(Prioritization!$D:$D,MATCH($B194,Prioritization!$A:$A,0))</f>
        <v>INVALID</v>
      </c>
      <c r="B194" s="0" t="s">
        <v>206</v>
      </c>
      <c r="C194" s="0" t="s">
        <v>813</v>
      </c>
      <c r="D194" s="0" t="s">
        <v>48</v>
      </c>
      <c r="E194" s="0" t="str">
        <f aca="false">$B194&amp;"|"&amp;$C194&amp;"|"&amp;$D194</f>
        <v>Likoma District [ZCjuwgaMB9u]|18-20|Male</v>
      </c>
      <c r="G194" s="10"/>
      <c r="H194" s="10"/>
      <c r="I194" s="88" t="str">
        <f aca="false">IF(SUM($H194)=0,"",0%)</f>
        <v/>
      </c>
      <c r="J194" s="88"/>
      <c r="K194" s="88"/>
      <c r="L194" s="88" t="n">
        <f aca="false">1-IF(NOT(AND($D194="Female",OR($C194="10-14",$C194="15-17",$F194="Y"))),0,$J194)-IF(NOT(OR($C194="05-09",$C194="10-14")),0,$K194)</f>
        <v>1</v>
      </c>
      <c r="M194" s="88" t="n">
        <f aca="false">IF(SUM($L194)=0,"",20%)</f>
        <v>0.2</v>
      </c>
      <c r="N194" s="10" t="str">
        <f aca="false">IF(SUM($H194)=0,"",ROUND($H194*(1+$I194),0))</f>
        <v/>
      </c>
      <c r="O194" s="39" t="str">
        <f aca="false">IF(OR(SUM($N194)=0,SUM($J194)=0,NOT(AND($D194="Female",$F194="Y",OR($C194="10-14",$C194="15-17")))),"",ROUND($N194*$J194,0))</f>
        <v/>
      </c>
      <c r="P194" s="39" t="str">
        <f aca="false">IF(OR(SUM($N194)=0,SUM($K194)=0,NOT(OR($C194="10-14",$C194="05-09"))),"",ROUND($N194*$K194,0))</f>
        <v/>
      </c>
      <c r="Q194" s="39" t="str">
        <f aca="false">IFERROR(1/(1/ROUND($N194*$L194*$M194,0)),"")</f>
        <v/>
      </c>
      <c r="R194" s="39" t="str">
        <f aca="false">IFERROR(1/(1/(ROUND($N194*$L194,0)-$Q194)),"")</f>
        <v/>
      </c>
      <c r="S194" s="88" t="str">
        <f aca="false">IF(OR($C194="18+",$C194="18-20",SUM($Q194,$R194)=0),"",100%)</f>
        <v/>
      </c>
      <c r="T194" s="39" t="str">
        <f aca="false">IF(OR($C194="18+",$C194="18-20",SUM($Q194,$R194)=0),"",ROUND(SUM($Q194,$R194)*$S194,0))</f>
        <v/>
      </c>
    </row>
    <row r="195" customFormat="false" ht="15" hidden="false" customHeight="false" outlineLevel="0" collapsed="false">
      <c r="A195" s="0" t="str">
        <f aca="false">INDEX(Prioritization!$D:$D,MATCH($B195,Prioritization!$A:$A,0))</f>
        <v>INVALID</v>
      </c>
      <c r="B195" s="0" t="s">
        <v>206</v>
      </c>
      <c r="C195" s="0" t="s">
        <v>814</v>
      </c>
      <c r="D195" s="0" t="s">
        <v>30</v>
      </c>
      <c r="E195" s="0" t="str">
        <f aca="false">$B195&amp;"|"&amp;$C195&amp;"|"&amp;$D195</f>
        <v>Likoma District [ZCjuwgaMB9u]|18+|Female</v>
      </c>
      <c r="G195" s="10"/>
      <c r="H195" s="10"/>
      <c r="I195" s="88" t="str">
        <f aca="false">IF(SUM($H195)=0,"",0%)</f>
        <v/>
      </c>
      <c r="J195" s="88"/>
      <c r="K195" s="88"/>
      <c r="L195" s="88" t="n">
        <f aca="false">1-IF(NOT(AND($D195="Female",OR($C195="10-14",$C195="15-17",$F195="Y"))),0,$J195)-IF(NOT(OR($C195="05-09",$C195="10-14")),0,$K195)</f>
        <v>1</v>
      </c>
      <c r="M195" s="88" t="n">
        <f aca="false">IF(SUM($L195)=0,"",20%)</f>
        <v>0.2</v>
      </c>
      <c r="N195" s="10" t="str">
        <f aca="false">IF(SUM($H195)=0,"",ROUND($H195*(1+$I195),0))</f>
        <v/>
      </c>
      <c r="O195" s="39" t="str">
        <f aca="false">IF(OR(SUM($N195)=0,SUM($J195)=0,NOT(AND($D195="Female",$F195="Y",OR($C195="10-14",$C195="15-17")))),"",ROUND($N195*$J195,0))</f>
        <v/>
      </c>
      <c r="P195" s="39" t="str">
        <f aca="false">IF(OR(SUM($N195)=0,SUM($K195)=0,NOT(OR($C195="10-14",$C195="05-09"))),"",ROUND($N195*$K195,0))</f>
        <v/>
      </c>
      <c r="Q195" s="39" t="str">
        <f aca="false">IFERROR(1/(1/ROUND($N195*$L195*$M195,0)),"")</f>
        <v/>
      </c>
      <c r="R195" s="39" t="str">
        <f aca="false">IFERROR(1/(1/(ROUND($N195*$L195,0)-$Q195)),"")</f>
        <v/>
      </c>
      <c r="S195" s="88" t="str">
        <f aca="false">IF(OR($C195="18+",$C195="18-20",SUM($Q195,$R195)=0),"",100%)</f>
        <v/>
      </c>
      <c r="T195" s="39" t="str">
        <f aca="false">IF(OR($C195="18+",$C195="18-20",SUM($Q195,$R195)=0),"",ROUND(SUM($Q195,$R195)*$S195,0))</f>
        <v/>
      </c>
    </row>
    <row r="196" customFormat="false" ht="15" hidden="false" customHeight="false" outlineLevel="0" collapsed="false">
      <c r="A196" s="0" t="str">
        <f aca="false">INDEX(Prioritization!$D:$D,MATCH($B196,Prioritization!$A:$A,0))</f>
        <v>INVALID</v>
      </c>
      <c r="B196" s="0" t="s">
        <v>206</v>
      </c>
      <c r="C196" s="0" t="s">
        <v>814</v>
      </c>
      <c r="D196" s="0" t="s">
        <v>48</v>
      </c>
      <c r="E196" s="0" t="str">
        <f aca="false">$B196&amp;"|"&amp;$C196&amp;"|"&amp;$D196</f>
        <v>Likoma District [ZCjuwgaMB9u]|18+|Male</v>
      </c>
      <c r="G196" s="10"/>
      <c r="H196" s="10"/>
      <c r="I196" s="88" t="str">
        <f aca="false">IF(SUM($H196)=0,"",0%)</f>
        <v/>
      </c>
      <c r="J196" s="88"/>
      <c r="K196" s="88"/>
      <c r="L196" s="88" t="n">
        <f aca="false">1-IF(NOT(AND($D196="Female",OR($C196="10-14",$C196="15-17",$F196="Y"))),0,$J196)-IF(NOT(OR($C196="05-09",$C196="10-14")),0,$K196)</f>
        <v>1</v>
      </c>
      <c r="M196" s="88" t="n">
        <f aca="false">IF(SUM($L196)=0,"",20%)</f>
        <v>0.2</v>
      </c>
      <c r="N196" s="10" t="str">
        <f aca="false">IF(SUM($H196)=0,"",ROUND($H196*(1+$I196),0))</f>
        <v/>
      </c>
      <c r="O196" s="39" t="str">
        <f aca="false">IF(OR(SUM($N196)=0,SUM($J196)=0,NOT(AND($D196="Female",$F196="Y",OR($C196="10-14",$C196="15-17")))),"",ROUND($N196*$J196,0))</f>
        <v/>
      </c>
      <c r="P196" s="39" t="str">
        <f aca="false">IF(OR(SUM($N196)=0,SUM($K196)=0,NOT(OR($C196="10-14",$C196="05-09"))),"",ROUND($N196*$K196,0))</f>
        <v/>
      </c>
      <c r="Q196" s="39" t="str">
        <f aca="false">IFERROR(1/(1/ROUND($N196*$L196*$M196,0)),"")</f>
        <v/>
      </c>
      <c r="R196" s="39" t="str">
        <f aca="false">IFERROR(1/(1/(ROUND($N196*$L196,0)-$Q196)),"")</f>
        <v/>
      </c>
      <c r="S196" s="88" t="str">
        <f aca="false">IF(OR($C196="18+",$C196="18-20",SUM($Q196,$R196)=0),"",100%)</f>
        <v/>
      </c>
      <c r="T196" s="39" t="str">
        <f aca="false">IF(OR($C196="18+",$C196="18-20",SUM($Q196,$R196)=0),"",ROUND(SUM($Q196,$R196)*$S196,0))</f>
        <v/>
      </c>
    </row>
    <row r="197" customFormat="false" ht="15" hidden="false" customHeight="false" outlineLevel="0" collapsed="false">
      <c r="A197" s="0" t="str">
        <f aca="false">INDEX(Prioritization!$D:$D,MATCH($B197,Prioritization!$A:$A,0))</f>
        <v>1 - Scale-up: Saturation</v>
      </c>
      <c r="B197" s="0" t="s">
        <v>207</v>
      </c>
      <c r="C197" s="0" t="s">
        <v>316</v>
      </c>
      <c r="D197" s="0" t="s">
        <v>30</v>
      </c>
      <c r="E197" s="0" t="str">
        <f aca="false">$B197&amp;"|"&amp;$C197&amp;"|"&amp;$D197</f>
        <v>Mzimba District [vA4NcHxfMBq]|&lt;01|Female</v>
      </c>
      <c r="G197" s="10"/>
      <c r="H197" s="10"/>
      <c r="I197" s="88" t="str">
        <f aca="false">IF(SUM($H197)=0,"",0%)</f>
        <v/>
      </c>
      <c r="J197" s="88"/>
      <c r="K197" s="88"/>
      <c r="L197" s="88" t="n">
        <f aca="false">1-IF(NOT(AND($D197="Female",OR($C197="10-14",$C197="15-17",$F197="Y"))),0,$J197)-IF(NOT(OR($C197="05-09",$C197="10-14")),0,$K197)</f>
        <v>1</v>
      </c>
      <c r="M197" s="88" t="n">
        <f aca="false">IF(SUM($L197)=0,"",20%)</f>
        <v>0.2</v>
      </c>
      <c r="N197" s="10" t="str">
        <f aca="false">IF(SUM($H197)=0,"",ROUND($H197*(1+$I197),0))</f>
        <v/>
      </c>
      <c r="O197" s="39" t="str">
        <f aca="false">IF(OR(SUM($N197)=0,SUM($J197)=0,NOT(AND($D197="Female",$F197="Y",OR($C197="10-14",$C197="15-17")))),"",ROUND($N197*$J197,0))</f>
        <v/>
      </c>
      <c r="P197" s="39" t="str">
        <f aca="false">IF(OR(SUM($N197)=0,SUM($K197)=0,NOT(OR($C197="10-14",$C197="05-09"))),"",ROUND($N197*$K197,0))</f>
        <v/>
      </c>
      <c r="Q197" s="39" t="str">
        <f aca="false">IFERROR(1/(1/ROUND($N197*$L197*$M197,0)),"")</f>
        <v/>
      </c>
      <c r="R197" s="39" t="str">
        <f aca="false">IFERROR(1/(1/(ROUND($N197*$L197,0)-$Q197)),"")</f>
        <v/>
      </c>
      <c r="S197" s="88" t="str">
        <f aca="false">IF(OR($C197="18+",$C197="18-20",SUM($Q197,$R197)=0),"",100%)</f>
        <v/>
      </c>
      <c r="T197" s="39" t="str">
        <f aca="false">IF(OR($C197="18+",$C197="18-20",SUM($Q197,$R197)=0),"",ROUND(SUM($Q197,$R197)*$S197,0))</f>
        <v/>
      </c>
    </row>
    <row r="198" customFormat="false" ht="15" hidden="false" customHeight="false" outlineLevel="0" collapsed="false">
      <c r="A198" s="0" t="str">
        <f aca="false">INDEX(Prioritization!$D:$D,MATCH($B198,Prioritization!$A:$A,0))</f>
        <v>1 - Scale-up: Saturation</v>
      </c>
      <c r="B198" s="0" t="s">
        <v>207</v>
      </c>
      <c r="C198" s="0" t="s">
        <v>316</v>
      </c>
      <c r="D198" s="0" t="s">
        <v>48</v>
      </c>
      <c r="E198" s="0" t="str">
        <f aca="false">$B198&amp;"|"&amp;$C198&amp;"|"&amp;$D198</f>
        <v>Mzimba District [vA4NcHxfMBq]|&lt;01|Male</v>
      </c>
      <c r="G198" s="10"/>
      <c r="H198" s="10"/>
      <c r="I198" s="88" t="str">
        <f aca="false">IF(SUM($H198)=0,"",0%)</f>
        <v/>
      </c>
      <c r="J198" s="88"/>
      <c r="K198" s="88"/>
      <c r="L198" s="88" t="n">
        <f aca="false">1-IF(NOT(AND($D198="Female",OR($C198="10-14",$C198="15-17",$F198="Y"))),0,$J198)-IF(NOT(OR($C198="05-09",$C198="10-14")),0,$K198)</f>
        <v>1</v>
      </c>
      <c r="M198" s="88" t="n">
        <f aca="false">IF(SUM($L198)=0,"",20%)</f>
        <v>0.2</v>
      </c>
      <c r="N198" s="10" t="str">
        <f aca="false">IF(SUM($H198)=0,"",ROUND($H198*(1+$I198),0))</f>
        <v/>
      </c>
      <c r="O198" s="39" t="str">
        <f aca="false">IF(OR(SUM($N198)=0,SUM($J198)=0,NOT(AND($D198="Female",$F198="Y",OR($C198="10-14",$C198="15-17")))),"",ROUND($N198*$J198,0))</f>
        <v/>
      </c>
      <c r="P198" s="39" t="str">
        <f aca="false">IF(OR(SUM($N198)=0,SUM($K198)=0,NOT(OR($C198="10-14",$C198="05-09"))),"",ROUND($N198*$K198,0))</f>
        <v/>
      </c>
      <c r="Q198" s="39" t="str">
        <f aca="false">IFERROR(1/(1/ROUND($N198*$L198*$M198,0)),"")</f>
        <v/>
      </c>
      <c r="R198" s="39" t="str">
        <f aca="false">IFERROR(1/(1/(ROUND($N198*$L198,0)-$Q198)),"")</f>
        <v/>
      </c>
      <c r="S198" s="88" t="str">
        <f aca="false">IF(OR($C198="18+",$C198="18-20",SUM($Q198,$R198)=0),"",100%)</f>
        <v/>
      </c>
      <c r="T198" s="39" t="str">
        <f aca="false">IF(OR($C198="18+",$C198="18-20",SUM($Q198,$R198)=0),"",ROUND(SUM($Q198,$R198)*$S198,0))</f>
        <v/>
      </c>
    </row>
    <row r="199" customFormat="false" ht="15" hidden="false" customHeight="false" outlineLevel="0" collapsed="false">
      <c r="A199" s="0" t="str">
        <f aca="false">INDEX(Prioritization!$D:$D,MATCH($B199,Prioritization!$A:$A,0))</f>
        <v>1 - Scale-up: Saturation</v>
      </c>
      <c r="B199" s="0" t="s">
        <v>207</v>
      </c>
      <c r="C199" s="0" t="s">
        <v>810</v>
      </c>
      <c r="D199" s="0" t="s">
        <v>30</v>
      </c>
      <c r="E199" s="0" t="str">
        <f aca="false">$B199&amp;"|"&amp;$C199&amp;"|"&amp;$D199</f>
        <v>Mzimba District [vA4NcHxfMBq]|01-04|Female</v>
      </c>
      <c r="G199" s="10"/>
      <c r="H199" s="10"/>
      <c r="I199" s="88" t="str">
        <f aca="false">IF(SUM($H199)=0,"",0%)</f>
        <v/>
      </c>
      <c r="J199" s="88"/>
      <c r="K199" s="88"/>
      <c r="L199" s="88" t="n">
        <f aca="false">1-IF(NOT(AND($D199="Female",OR($C199="10-14",$C199="15-17",$F199="Y"))),0,$J199)-IF(NOT(OR($C199="05-09",$C199="10-14")),0,$K199)</f>
        <v>1</v>
      </c>
      <c r="M199" s="88" t="n">
        <f aca="false">IF(SUM($L199)=0,"",20%)</f>
        <v>0.2</v>
      </c>
      <c r="N199" s="10" t="str">
        <f aca="false">IF(SUM($H199)=0,"",ROUND($H199*(1+$I199),0))</f>
        <v/>
      </c>
      <c r="O199" s="39" t="str">
        <f aca="false">IF(OR(SUM($N199)=0,SUM($J199)=0,NOT(AND($D199="Female",$F199="Y",OR($C199="10-14",$C199="15-17")))),"",ROUND($N199*$J199,0))</f>
        <v/>
      </c>
      <c r="P199" s="39" t="str">
        <f aca="false">IF(OR(SUM($N199)=0,SUM($K199)=0,NOT(OR($C199="10-14",$C199="05-09"))),"",ROUND($N199*$K199,0))</f>
        <v/>
      </c>
      <c r="Q199" s="39" t="str">
        <f aca="false">IFERROR(1/(1/ROUND($N199*$L199*$M199,0)),"")</f>
        <v/>
      </c>
      <c r="R199" s="39" t="str">
        <f aca="false">IFERROR(1/(1/(ROUND($N199*$L199,0)-$Q199)),"")</f>
        <v/>
      </c>
      <c r="S199" s="88" t="str">
        <f aca="false">IF(OR($C199="18+",$C199="18-20",SUM($Q199,$R199)=0),"",100%)</f>
        <v/>
      </c>
      <c r="T199" s="39" t="str">
        <f aca="false">IF(OR($C199="18+",$C199="18-20",SUM($Q199,$R199)=0),"",ROUND(SUM($Q199,$R199)*$S199,0))</f>
        <v/>
      </c>
    </row>
    <row r="200" customFormat="false" ht="15" hidden="false" customHeight="false" outlineLevel="0" collapsed="false">
      <c r="A200" s="0" t="str">
        <f aca="false">INDEX(Prioritization!$D:$D,MATCH($B200,Prioritization!$A:$A,0))</f>
        <v>1 - Scale-up: Saturation</v>
      </c>
      <c r="B200" s="0" t="s">
        <v>207</v>
      </c>
      <c r="C200" s="0" t="s">
        <v>810</v>
      </c>
      <c r="D200" s="0" t="s">
        <v>48</v>
      </c>
      <c r="E200" s="0" t="str">
        <f aca="false">$B200&amp;"|"&amp;$C200&amp;"|"&amp;$D200</f>
        <v>Mzimba District [vA4NcHxfMBq]|01-04|Male</v>
      </c>
      <c r="G200" s="10"/>
      <c r="H200" s="10"/>
      <c r="I200" s="88" t="str">
        <f aca="false">IF(SUM($H200)=0,"",0%)</f>
        <v/>
      </c>
      <c r="J200" s="88"/>
      <c r="K200" s="88"/>
      <c r="L200" s="88" t="n">
        <f aca="false">1-IF(NOT(AND($D200="Female",OR($C200="10-14",$C200="15-17",$F200="Y"))),0,$J200)-IF(NOT(OR($C200="05-09",$C200="10-14")),0,$K200)</f>
        <v>1</v>
      </c>
      <c r="M200" s="88" t="n">
        <f aca="false">IF(SUM($L200)=0,"",20%)</f>
        <v>0.2</v>
      </c>
      <c r="N200" s="10" t="str">
        <f aca="false">IF(SUM($H200)=0,"",ROUND($H200*(1+$I200),0))</f>
        <v/>
      </c>
      <c r="O200" s="39" t="str">
        <f aca="false">IF(OR(SUM($N200)=0,SUM($J200)=0,NOT(AND($D200="Female",$F200="Y",OR($C200="10-14",$C200="15-17")))),"",ROUND($N200*$J200,0))</f>
        <v/>
      </c>
      <c r="P200" s="39" t="str">
        <f aca="false">IF(OR(SUM($N200)=0,SUM($K200)=0,NOT(OR($C200="10-14",$C200="05-09"))),"",ROUND($N200*$K200,0))</f>
        <v/>
      </c>
      <c r="Q200" s="39" t="str">
        <f aca="false">IFERROR(1/(1/ROUND($N200*$L200*$M200,0)),"")</f>
        <v/>
      </c>
      <c r="R200" s="39" t="str">
        <f aca="false">IFERROR(1/(1/(ROUND($N200*$L200,0)-$Q200)),"")</f>
        <v/>
      </c>
      <c r="S200" s="88" t="str">
        <f aca="false">IF(OR($C200="18+",$C200="18-20",SUM($Q200,$R200)=0),"",100%)</f>
        <v/>
      </c>
      <c r="T200" s="39" t="str">
        <f aca="false">IF(OR($C200="18+",$C200="18-20",SUM($Q200,$R200)=0),"",ROUND(SUM($Q200,$R200)*$S200,0))</f>
        <v/>
      </c>
    </row>
    <row r="201" customFormat="false" ht="15" hidden="false" customHeight="false" outlineLevel="0" collapsed="false">
      <c r="A201" s="0" t="str">
        <f aca="false">INDEX(Prioritization!$D:$D,MATCH($B201,Prioritization!$A:$A,0))</f>
        <v>1 - Scale-up: Saturation</v>
      </c>
      <c r="B201" s="0" t="s">
        <v>207</v>
      </c>
      <c r="C201" s="0" t="s">
        <v>811</v>
      </c>
      <c r="D201" s="0" t="s">
        <v>30</v>
      </c>
      <c r="E201" s="0" t="str">
        <f aca="false">$B201&amp;"|"&amp;$C201&amp;"|"&amp;$D201</f>
        <v>Mzimba District [vA4NcHxfMBq]|05-09|Female</v>
      </c>
      <c r="G201" s="10"/>
      <c r="H201" s="10"/>
      <c r="I201" s="88" t="str">
        <f aca="false">IF(SUM($H201)=0,"",0%)</f>
        <v/>
      </c>
      <c r="J201" s="88"/>
      <c r="K201" s="88"/>
      <c r="L201" s="88" t="n">
        <f aca="false">1-IF(NOT(AND($D201="Female",OR($C201="10-14",$C201="15-17",$F201="Y"))),0,$J201)-IF(NOT(OR($C201="05-09",$C201="10-14")),0,$K201)</f>
        <v>1</v>
      </c>
      <c r="M201" s="88" t="n">
        <f aca="false">IF(SUM($L201)=0,"",20%)</f>
        <v>0.2</v>
      </c>
      <c r="N201" s="10" t="str">
        <f aca="false">IF(SUM($H201)=0,"",ROUND($H201*(1+$I201),0))</f>
        <v/>
      </c>
      <c r="O201" s="39" t="str">
        <f aca="false">IF(OR(SUM($N201)=0,SUM($J201)=0,NOT(AND($D201="Female",$F201="Y",OR($C201="10-14",$C201="15-17")))),"",ROUND($N201*$J201,0))</f>
        <v/>
      </c>
      <c r="P201" s="39" t="str">
        <f aca="false">IF(OR(SUM($N201)=0,SUM($K201)=0,NOT(OR($C201="10-14",$C201="05-09"))),"",ROUND($N201*$K201,0))</f>
        <v/>
      </c>
      <c r="Q201" s="39" t="str">
        <f aca="false">IFERROR(1/(1/ROUND($N201*$L201*$M201,0)),"")</f>
        <v/>
      </c>
      <c r="R201" s="39" t="str">
        <f aca="false">IFERROR(1/(1/(ROUND($N201*$L201,0)-$Q201)),"")</f>
        <v/>
      </c>
      <c r="S201" s="88" t="str">
        <f aca="false">IF(OR($C201="18+",$C201="18-20",SUM($Q201,$R201)=0),"",100%)</f>
        <v/>
      </c>
      <c r="T201" s="39" t="str">
        <f aca="false">IF(OR($C201="18+",$C201="18-20",SUM($Q201,$R201)=0),"",ROUND(SUM($Q201,$R201)*$S201,0))</f>
        <v/>
      </c>
    </row>
    <row r="202" customFormat="false" ht="15" hidden="false" customHeight="false" outlineLevel="0" collapsed="false">
      <c r="A202" s="0" t="str">
        <f aca="false">INDEX(Prioritization!$D:$D,MATCH($B202,Prioritization!$A:$A,0))</f>
        <v>1 - Scale-up: Saturation</v>
      </c>
      <c r="B202" s="0" t="s">
        <v>207</v>
      </c>
      <c r="C202" s="0" t="s">
        <v>811</v>
      </c>
      <c r="D202" s="0" t="s">
        <v>48</v>
      </c>
      <c r="E202" s="0" t="str">
        <f aca="false">$B202&amp;"|"&amp;$C202&amp;"|"&amp;$D202</f>
        <v>Mzimba District [vA4NcHxfMBq]|05-09|Male</v>
      </c>
      <c r="G202" s="10"/>
      <c r="H202" s="10"/>
      <c r="I202" s="88" t="str">
        <f aca="false">IF(SUM($H202)=0,"",0%)</f>
        <v/>
      </c>
      <c r="J202" s="88"/>
      <c r="K202" s="88"/>
      <c r="L202" s="88" t="n">
        <f aca="false">1-IF(NOT(AND($D202="Female",OR($C202="10-14",$C202="15-17",$F202="Y"))),0,$J202)-IF(NOT(OR($C202="05-09",$C202="10-14")),0,$K202)</f>
        <v>1</v>
      </c>
      <c r="M202" s="88" t="n">
        <f aca="false">IF(SUM($L202)=0,"",20%)</f>
        <v>0.2</v>
      </c>
      <c r="N202" s="10" t="str">
        <f aca="false">IF(SUM($H202)=0,"",ROUND($H202*(1+$I202),0))</f>
        <v/>
      </c>
      <c r="O202" s="39" t="str">
        <f aca="false">IF(OR(SUM($N202)=0,SUM($J202)=0,NOT(AND($D202="Female",$F202="Y",OR($C202="10-14",$C202="15-17")))),"",ROUND($N202*$J202,0))</f>
        <v/>
      </c>
      <c r="P202" s="39" t="str">
        <f aca="false">IF(OR(SUM($N202)=0,SUM($K202)=0,NOT(OR($C202="10-14",$C202="05-09"))),"",ROUND($N202*$K202,0))</f>
        <v/>
      </c>
      <c r="Q202" s="39" t="str">
        <f aca="false">IFERROR(1/(1/ROUND($N202*$L202*$M202,0)),"")</f>
        <v/>
      </c>
      <c r="R202" s="39" t="str">
        <f aca="false">IFERROR(1/(1/(ROUND($N202*$L202,0)-$Q202)),"")</f>
        <v/>
      </c>
      <c r="S202" s="88" t="str">
        <f aca="false">IF(OR($C202="18+",$C202="18-20",SUM($Q202,$R202)=0),"",100%)</f>
        <v/>
      </c>
      <c r="T202" s="39" t="str">
        <f aca="false">IF(OR($C202="18+",$C202="18-20",SUM($Q202,$R202)=0),"",ROUND(SUM($Q202,$R202)*$S202,0))</f>
        <v/>
      </c>
    </row>
    <row r="203" customFormat="false" ht="15" hidden="false" customHeight="false" outlineLevel="0" collapsed="false">
      <c r="A203" s="0" t="str">
        <f aca="false">INDEX(Prioritization!$D:$D,MATCH($B203,Prioritization!$A:$A,0))</f>
        <v>1 - Scale-up: Saturation</v>
      </c>
      <c r="B203" s="0" t="s">
        <v>207</v>
      </c>
      <c r="C203" s="0" t="s">
        <v>364</v>
      </c>
      <c r="D203" s="0" t="s">
        <v>30</v>
      </c>
      <c r="E203" s="0" t="str">
        <f aca="false">$B203&amp;"|"&amp;$C203&amp;"|"&amp;$D203</f>
        <v>Mzimba District [vA4NcHxfMBq]|10-14|Female</v>
      </c>
      <c r="G203" s="10" t="n">
        <v>9</v>
      </c>
      <c r="H203" s="10"/>
      <c r="I203" s="88" t="str">
        <f aca="false">IF(SUM($H203)=0,"",0%)</f>
        <v/>
      </c>
      <c r="J203" s="88"/>
      <c r="K203" s="88"/>
      <c r="L203" s="88" t="n">
        <f aca="false">1-IF(NOT(AND($D203="Female",OR($C203="10-14",$C203="15-17",$F203="Y"))),0,$J203)-IF(NOT(OR($C203="05-09",$C203="10-14")),0,$K203)</f>
        <v>1</v>
      </c>
      <c r="M203" s="88" t="n">
        <f aca="false">IF(SUM($L203)=0,"",20%)</f>
        <v>0.2</v>
      </c>
      <c r="N203" s="10" t="str">
        <f aca="false">IF(SUM($H203)=0,"",ROUND($H203*(1+$I203),0))</f>
        <v/>
      </c>
      <c r="O203" s="39" t="str">
        <f aca="false">IF(OR(SUM($N203)=0,SUM($J203)=0,NOT(AND($D203="Female",$F203="Y",OR($C203="10-14",$C203="15-17")))),"",ROUND($N203*$J203,0))</f>
        <v/>
      </c>
      <c r="P203" s="39" t="str">
        <f aca="false">IF(OR(SUM($N203)=0,SUM($K203)=0,NOT(OR($C203="10-14",$C203="05-09"))),"",ROUND($N203*$K203,0))</f>
        <v/>
      </c>
      <c r="Q203" s="39" t="str">
        <f aca="false">IFERROR(1/(1/ROUND($N203*$L203*$M203,0)),"")</f>
        <v/>
      </c>
      <c r="R203" s="39" t="str">
        <f aca="false">IFERROR(1/(1/(ROUND($N203*$L203,0)-$Q203)),"")</f>
        <v/>
      </c>
      <c r="S203" s="88" t="str">
        <f aca="false">IF(OR($C203="18+",$C203="18-20",SUM($Q203,$R203)=0),"",100%)</f>
        <v/>
      </c>
      <c r="T203" s="39" t="str">
        <f aca="false">IF(OR($C203="18+",$C203="18-20",SUM($Q203,$R203)=0),"",ROUND(SUM($Q203,$R203)*$S203,0))</f>
        <v/>
      </c>
    </row>
    <row r="204" customFormat="false" ht="15" hidden="false" customHeight="false" outlineLevel="0" collapsed="false">
      <c r="A204" s="0" t="str">
        <f aca="false">INDEX(Prioritization!$D:$D,MATCH($B204,Prioritization!$A:$A,0))</f>
        <v>1 - Scale-up: Saturation</v>
      </c>
      <c r="B204" s="0" t="s">
        <v>207</v>
      </c>
      <c r="C204" s="0" t="s">
        <v>364</v>
      </c>
      <c r="D204" s="0" t="s">
        <v>48</v>
      </c>
      <c r="E204" s="0" t="str">
        <f aca="false">$B204&amp;"|"&amp;$C204&amp;"|"&amp;$D204</f>
        <v>Mzimba District [vA4NcHxfMBq]|10-14|Male</v>
      </c>
      <c r="G204" s="10" t="n">
        <v>5</v>
      </c>
      <c r="H204" s="10"/>
      <c r="I204" s="88" t="str">
        <f aca="false">IF(SUM($H204)=0,"",0%)</f>
        <v/>
      </c>
      <c r="J204" s="88"/>
      <c r="K204" s="88"/>
      <c r="L204" s="88" t="n">
        <f aca="false">1-IF(NOT(AND($D204="Female",OR($C204="10-14",$C204="15-17",$F204="Y"))),0,$J204)-IF(NOT(OR($C204="05-09",$C204="10-14")),0,$K204)</f>
        <v>1</v>
      </c>
      <c r="M204" s="88" t="n">
        <f aca="false">IF(SUM($L204)=0,"",20%)</f>
        <v>0.2</v>
      </c>
      <c r="N204" s="10" t="str">
        <f aca="false">IF(SUM($H204)=0,"",ROUND($H204*(1+$I204),0))</f>
        <v/>
      </c>
      <c r="O204" s="39" t="str">
        <f aca="false">IF(OR(SUM($N204)=0,SUM($J204)=0,NOT(AND($D204="Female",$F204="Y",OR($C204="10-14",$C204="15-17")))),"",ROUND($N204*$J204,0))</f>
        <v/>
      </c>
      <c r="P204" s="39" t="str">
        <f aca="false">IF(OR(SUM($N204)=0,SUM($K204)=0,NOT(OR($C204="10-14",$C204="05-09"))),"",ROUND($N204*$K204,0))</f>
        <v/>
      </c>
      <c r="Q204" s="39" t="str">
        <f aca="false">IFERROR(1/(1/ROUND($N204*$L204*$M204,0)),"")</f>
        <v/>
      </c>
      <c r="R204" s="39" t="str">
        <f aca="false">IFERROR(1/(1/(ROUND($N204*$L204,0)-$Q204)),"")</f>
        <v/>
      </c>
      <c r="S204" s="88" t="str">
        <f aca="false">IF(OR($C204="18+",$C204="18-20",SUM($Q204,$R204)=0),"",100%)</f>
        <v/>
      </c>
      <c r="T204" s="39" t="str">
        <f aca="false">IF(OR($C204="18+",$C204="18-20",SUM($Q204,$R204)=0),"",ROUND(SUM($Q204,$R204)*$S204,0))</f>
        <v/>
      </c>
    </row>
    <row r="205" customFormat="false" ht="15" hidden="false" customHeight="false" outlineLevel="0" collapsed="false">
      <c r="A205" s="0" t="str">
        <f aca="false">INDEX(Prioritization!$D:$D,MATCH($B205,Prioritization!$A:$A,0))</f>
        <v>1 - Scale-up: Saturation</v>
      </c>
      <c r="B205" s="0" t="s">
        <v>207</v>
      </c>
      <c r="C205" s="0" t="s">
        <v>812</v>
      </c>
      <c r="D205" s="0" t="s">
        <v>30</v>
      </c>
      <c r="E205" s="0" t="str">
        <f aca="false">$B205&amp;"|"&amp;$C205&amp;"|"&amp;$D205</f>
        <v>Mzimba District [vA4NcHxfMBq]|15-17|Female</v>
      </c>
      <c r="G205" s="10"/>
      <c r="H205" s="10"/>
      <c r="I205" s="88" t="str">
        <f aca="false">IF(SUM($H205)=0,"",0%)</f>
        <v/>
      </c>
      <c r="J205" s="88"/>
      <c r="K205" s="88"/>
      <c r="L205" s="88" t="n">
        <f aca="false">1-IF(NOT(AND($D205="Female",OR($C205="10-14",$C205="15-17",$F205="Y"))),0,$J205)-IF(NOT(OR($C205="05-09",$C205="10-14")),0,$K205)</f>
        <v>1</v>
      </c>
      <c r="M205" s="88" t="n">
        <f aca="false">IF(SUM($L205)=0,"",20%)</f>
        <v>0.2</v>
      </c>
      <c r="N205" s="10" t="str">
        <f aca="false">IF(SUM($H205)=0,"",ROUND($H205*(1+$I205),0))</f>
        <v/>
      </c>
      <c r="O205" s="39" t="str">
        <f aca="false">IF(OR(SUM($N205)=0,SUM($J205)=0,NOT(AND($D205="Female",$F205="Y",OR($C205="10-14",$C205="15-17")))),"",ROUND($N205*$J205,0))</f>
        <v/>
      </c>
      <c r="P205" s="39" t="str">
        <f aca="false">IF(OR(SUM($N205)=0,SUM($K205)=0,NOT(OR($C205="10-14",$C205="05-09"))),"",ROUND($N205*$K205,0))</f>
        <v/>
      </c>
      <c r="Q205" s="39" t="str">
        <f aca="false">IFERROR(1/(1/ROUND($N205*$L205*$M205,0)),"")</f>
        <v/>
      </c>
      <c r="R205" s="39" t="str">
        <f aca="false">IFERROR(1/(1/(ROUND($N205*$L205,0)-$Q205)),"")</f>
        <v/>
      </c>
      <c r="S205" s="88" t="str">
        <f aca="false">IF(OR($C205="18+",$C205="18-20",SUM($Q205,$R205)=0),"",100%)</f>
        <v/>
      </c>
      <c r="T205" s="39" t="str">
        <f aca="false">IF(OR($C205="18+",$C205="18-20",SUM($Q205,$R205)=0),"",ROUND(SUM($Q205,$R205)*$S205,0))</f>
        <v/>
      </c>
    </row>
    <row r="206" customFormat="false" ht="15" hidden="false" customHeight="false" outlineLevel="0" collapsed="false">
      <c r="A206" s="0" t="str">
        <f aca="false">INDEX(Prioritization!$D:$D,MATCH($B206,Prioritization!$A:$A,0))</f>
        <v>1 - Scale-up: Saturation</v>
      </c>
      <c r="B206" s="0" t="s">
        <v>207</v>
      </c>
      <c r="C206" s="0" t="s">
        <v>812</v>
      </c>
      <c r="D206" s="0" t="s">
        <v>48</v>
      </c>
      <c r="E206" s="0" t="str">
        <f aca="false">$B206&amp;"|"&amp;$C206&amp;"|"&amp;$D206</f>
        <v>Mzimba District [vA4NcHxfMBq]|15-17|Male</v>
      </c>
      <c r="G206" s="10"/>
      <c r="H206" s="10"/>
      <c r="I206" s="88" t="str">
        <f aca="false">IF(SUM($H206)=0,"",0%)</f>
        <v/>
      </c>
      <c r="J206" s="88"/>
      <c r="K206" s="88"/>
      <c r="L206" s="88" t="n">
        <f aca="false">1-IF(NOT(AND($D206="Female",OR($C206="10-14",$C206="15-17",$F206="Y"))),0,$J206)-IF(NOT(OR($C206="05-09",$C206="10-14")),0,$K206)</f>
        <v>1</v>
      </c>
      <c r="M206" s="88" t="n">
        <f aca="false">IF(SUM($L206)=0,"",20%)</f>
        <v>0.2</v>
      </c>
      <c r="N206" s="10" t="str">
        <f aca="false">IF(SUM($H206)=0,"",ROUND($H206*(1+$I206),0))</f>
        <v/>
      </c>
      <c r="O206" s="39" t="str">
        <f aca="false">IF(OR(SUM($N206)=0,SUM($J206)=0,NOT(AND($D206="Female",$F206="Y",OR($C206="10-14",$C206="15-17")))),"",ROUND($N206*$J206,0))</f>
        <v/>
      </c>
      <c r="P206" s="39" t="str">
        <f aca="false">IF(OR(SUM($N206)=0,SUM($K206)=0,NOT(OR($C206="10-14",$C206="05-09"))),"",ROUND($N206*$K206,0))</f>
        <v/>
      </c>
      <c r="Q206" s="39" t="str">
        <f aca="false">IFERROR(1/(1/ROUND($N206*$L206*$M206,0)),"")</f>
        <v/>
      </c>
      <c r="R206" s="39" t="str">
        <f aca="false">IFERROR(1/(1/(ROUND($N206*$L206,0)-$Q206)),"")</f>
        <v/>
      </c>
      <c r="S206" s="88" t="str">
        <f aca="false">IF(OR($C206="18+",$C206="18-20",SUM($Q206,$R206)=0),"",100%)</f>
        <v/>
      </c>
      <c r="T206" s="39" t="str">
        <f aca="false">IF(OR($C206="18+",$C206="18-20",SUM($Q206,$R206)=0),"",ROUND(SUM($Q206,$R206)*$S206,0))</f>
        <v/>
      </c>
    </row>
    <row r="207" customFormat="false" ht="15" hidden="false" customHeight="false" outlineLevel="0" collapsed="false">
      <c r="A207" s="0" t="str">
        <f aca="false">INDEX(Prioritization!$D:$D,MATCH($B207,Prioritization!$A:$A,0))</f>
        <v>1 - Scale-up: Saturation</v>
      </c>
      <c r="B207" s="0" t="s">
        <v>207</v>
      </c>
      <c r="C207" s="0" t="s">
        <v>813</v>
      </c>
      <c r="D207" s="0" t="s">
        <v>30</v>
      </c>
      <c r="E207" s="0" t="str">
        <f aca="false">$B207&amp;"|"&amp;$C207&amp;"|"&amp;$D207</f>
        <v>Mzimba District [vA4NcHxfMBq]|18-20|Female</v>
      </c>
      <c r="G207" s="10"/>
      <c r="H207" s="10"/>
      <c r="I207" s="88" t="str">
        <f aca="false">IF(SUM($H207)=0,"",0%)</f>
        <v/>
      </c>
      <c r="J207" s="88"/>
      <c r="K207" s="88"/>
      <c r="L207" s="88" t="n">
        <f aca="false">1-IF(NOT(AND($D207="Female",OR($C207="10-14",$C207="15-17",$F207="Y"))),0,$J207)-IF(NOT(OR($C207="05-09",$C207="10-14")),0,$K207)</f>
        <v>1</v>
      </c>
      <c r="M207" s="88" t="n">
        <f aca="false">IF(SUM($L207)=0,"",20%)</f>
        <v>0.2</v>
      </c>
      <c r="N207" s="10" t="str">
        <f aca="false">IF(SUM($H207)=0,"",ROUND($H207*(1+$I207),0))</f>
        <v/>
      </c>
      <c r="O207" s="39" t="str">
        <f aca="false">IF(OR(SUM($N207)=0,SUM($J207)=0,NOT(AND($D207="Female",$F207="Y",OR($C207="10-14",$C207="15-17")))),"",ROUND($N207*$J207,0))</f>
        <v/>
      </c>
      <c r="P207" s="39" t="str">
        <f aca="false">IF(OR(SUM($N207)=0,SUM($K207)=0,NOT(OR($C207="10-14",$C207="05-09"))),"",ROUND($N207*$K207,0))</f>
        <v/>
      </c>
      <c r="Q207" s="39" t="str">
        <f aca="false">IFERROR(1/(1/ROUND($N207*$L207*$M207,0)),"")</f>
        <v/>
      </c>
      <c r="R207" s="39" t="str">
        <f aca="false">IFERROR(1/(1/(ROUND($N207*$L207,0)-$Q207)),"")</f>
        <v/>
      </c>
      <c r="S207" s="88" t="str">
        <f aca="false">IF(OR($C207="18+",$C207="18-20",SUM($Q207,$R207)=0),"",100%)</f>
        <v/>
      </c>
      <c r="T207" s="39" t="str">
        <f aca="false">IF(OR($C207="18+",$C207="18-20",SUM($Q207,$R207)=0),"",ROUND(SUM($Q207,$R207)*$S207,0))</f>
        <v/>
      </c>
    </row>
    <row r="208" customFormat="false" ht="15" hidden="false" customHeight="false" outlineLevel="0" collapsed="false">
      <c r="A208" s="0" t="str">
        <f aca="false">INDEX(Prioritization!$D:$D,MATCH($B208,Prioritization!$A:$A,0))</f>
        <v>1 - Scale-up: Saturation</v>
      </c>
      <c r="B208" s="0" t="s">
        <v>207</v>
      </c>
      <c r="C208" s="0" t="s">
        <v>813</v>
      </c>
      <c r="D208" s="0" t="s">
        <v>48</v>
      </c>
      <c r="E208" s="0" t="str">
        <f aca="false">$B208&amp;"|"&amp;$C208&amp;"|"&amp;$D208</f>
        <v>Mzimba District [vA4NcHxfMBq]|18-20|Male</v>
      </c>
      <c r="G208" s="10"/>
      <c r="H208" s="10"/>
      <c r="I208" s="88" t="str">
        <f aca="false">IF(SUM($H208)=0,"",0%)</f>
        <v/>
      </c>
      <c r="J208" s="88"/>
      <c r="K208" s="88"/>
      <c r="L208" s="88" t="n">
        <f aca="false">1-IF(NOT(AND($D208="Female",OR($C208="10-14",$C208="15-17",$F208="Y"))),0,$J208)-IF(NOT(OR($C208="05-09",$C208="10-14")),0,$K208)</f>
        <v>1</v>
      </c>
      <c r="M208" s="88" t="n">
        <f aca="false">IF(SUM($L208)=0,"",20%)</f>
        <v>0.2</v>
      </c>
      <c r="N208" s="10" t="str">
        <f aca="false">IF(SUM($H208)=0,"",ROUND($H208*(1+$I208),0))</f>
        <v/>
      </c>
      <c r="O208" s="39" t="str">
        <f aca="false">IF(OR(SUM($N208)=0,SUM($J208)=0,NOT(AND($D208="Female",$F208="Y",OR($C208="10-14",$C208="15-17")))),"",ROUND($N208*$J208,0))</f>
        <v/>
      </c>
      <c r="P208" s="39" t="str">
        <f aca="false">IF(OR(SUM($N208)=0,SUM($K208)=0,NOT(OR($C208="10-14",$C208="05-09"))),"",ROUND($N208*$K208,0))</f>
        <v/>
      </c>
      <c r="Q208" s="39" t="str">
        <f aca="false">IFERROR(1/(1/ROUND($N208*$L208*$M208,0)),"")</f>
        <v/>
      </c>
      <c r="R208" s="39" t="str">
        <f aca="false">IFERROR(1/(1/(ROUND($N208*$L208,0)-$Q208)),"")</f>
        <v/>
      </c>
      <c r="S208" s="88" t="str">
        <f aca="false">IF(OR($C208="18+",$C208="18-20",SUM($Q208,$R208)=0),"",100%)</f>
        <v/>
      </c>
      <c r="T208" s="39" t="str">
        <f aca="false">IF(OR($C208="18+",$C208="18-20",SUM($Q208,$R208)=0),"",ROUND(SUM($Q208,$R208)*$S208,0))</f>
        <v/>
      </c>
    </row>
    <row r="209" customFormat="false" ht="15" hidden="false" customHeight="false" outlineLevel="0" collapsed="false">
      <c r="A209" s="0" t="str">
        <f aca="false">INDEX(Prioritization!$D:$D,MATCH($B209,Prioritization!$A:$A,0))</f>
        <v>1 - Scale-up: Saturation</v>
      </c>
      <c r="B209" s="0" t="s">
        <v>207</v>
      </c>
      <c r="C209" s="0" t="s">
        <v>814</v>
      </c>
      <c r="D209" s="0" t="s">
        <v>30</v>
      </c>
      <c r="E209" s="0" t="str">
        <f aca="false">$B209&amp;"|"&amp;$C209&amp;"|"&amp;$D209</f>
        <v>Mzimba District [vA4NcHxfMBq]|18+|Female</v>
      </c>
      <c r="G209" s="10"/>
      <c r="H209" s="10"/>
      <c r="I209" s="88" t="str">
        <f aca="false">IF(SUM($H209)=0,"",0%)</f>
        <v/>
      </c>
      <c r="J209" s="88"/>
      <c r="K209" s="88"/>
      <c r="L209" s="88" t="n">
        <f aca="false">1-IF(NOT(AND($D209="Female",OR($C209="10-14",$C209="15-17",$F209="Y"))),0,$J209)-IF(NOT(OR($C209="05-09",$C209="10-14")),0,$K209)</f>
        <v>1</v>
      </c>
      <c r="M209" s="88" t="n">
        <f aca="false">IF(SUM($L209)=0,"",20%)</f>
        <v>0.2</v>
      </c>
      <c r="N209" s="10" t="str">
        <f aca="false">IF(SUM($H209)=0,"",ROUND($H209*(1+$I209),0))</f>
        <v/>
      </c>
      <c r="O209" s="39" t="str">
        <f aca="false">IF(OR(SUM($N209)=0,SUM($J209)=0,NOT(AND($D209="Female",$F209="Y",OR($C209="10-14",$C209="15-17")))),"",ROUND($N209*$J209,0))</f>
        <v/>
      </c>
      <c r="P209" s="39" t="str">
        <f aca="false">IF(OR(SUM($N209)=0,SUM($K209)=0,NOT(OR($C209="10-14",$C209="05-09"))),"",ROUND($N209*$K209,0))</f>
        <v/>
      </c>
      <c r="Q209" s="39" t="str">
        <f aca="false">IFERROR(1/(1/ROUND($N209*$L209*$M209,0)),"")</f>
        <v/>
      </c>
      <c r="R209" s="39" t="str">
        <f aca="false">IFERROR(1/(1/(ROUND($N209*$L209,0)-$Q209)),"")</f>
        <v/>
      </c>
      <c r="S209" s="88" t="str">
        <f aca="false">IF(OR($C209="18+",$C209="18-20",SUM($Q209,$R209)=0),"",100%)</f>
        <v/>
      </c>
      <c r="T209" s="39" t="str">
        <f aca="false">IF(OR($C209="18+",$C209="18-20",SUM($Q209,$R209)=0),"",ROUND(SUM($Q209,$R209)*$S209,0))</f>
        <v/>
      </c>
    </row>
    <row r="210" customFormat="false" ht="15" hidden="false" customHeight="false" outlineLevel="0" collapsed="false">
      <c r="A210" s="0" t="str">
        <f aca="false">INDEX(Prioritization!$D:$D,MATCH($B210,Prioritization!$A:$A,0))</f>
        <v>1 - Scale-up: Saturation</v>
      </c>
      <c r="B210" s="0" t="s">
        <v>207</v>
      </c>
      <c r="C210" s="0" t="s">
        <v>814</v>
      </c>
      <c r="D210" s="0" t="s">
        <v>48</v>
      </c>
      <c r="E210" s="0" t="str">
        <f aca="false">$B210&amp;"|"&amp;$C210&amp;"|"&amp;$D210</f>
        <v>Mzimba District [vA4NcHxfMBq]|18+|Male</v>
      </c>
      <c r="G210" s="10"/>
      <c r="H210" s="10"/>
      <c r="I210" s="88" t="str">
        <f aca="false">IF(SUM($H210)=0,"",0%)</f>
        <v/>
      </c>
      <c r="J210" s="88"/>
      <c r="K210" s="88"/>
      <c r="L210" s="88" t="n">
        <f aca="false">1-IF(NOT(AND($D210="Female",OR($C210="10-14",$C210="15-17",$F210="Y"))),0,$J210)-IF(NOT(OR($C210="05-09",$C210="10-14")),0,$K210)</f>
        <v>1</v>
      </c>
      <c r="M210" s="88" t="n">
        <f aca="false">IF(SUM($L210)=0,"",20%)</f>
        <v>0.2</v>
      </c>
      <c r="N210" s="10" t="str">
        <f aca="false">IF(SUM($H210)=0,"",ROUND($H210*(1+$I210),0))</f>
        <v/>
      </c>
      <c r="O210" s="39" t="str">
        <f aca="false">IF(OR(SUM($N210)=0,SUM($J210)=0,NOT(AND($D210="Female",$F210="Y",OR($C210="10-14",$C210="15-17")))),"",ROUND($N210*$J210,0))</f>
        <v/>
      </c>
      <c r="P210" s="39" t="str">
        <f aca="false">IF(OR(SUM($N210)=0,SUM($K210)=0,NOT(OR($C210="10-14",$C210="05-09"))),"",ROUND($N210*$K210,0))</f>
        <v/>
      </c>
      <c r="Q210" s="39" t="str">
        <f aca="false">IFERROR(1/(1/ROUND($N210*$L210*$M210,0)),"")</f>
        <v/>
      </c>
      <c r="R210" s="39" t="str">
        <f aca="false">IFERROR(1/(1/(ROUND($N210*$L210,0)-$Q210)),"")</f>
        <v/>
      </c>
      <c r="S210" s="88" t="str">
        <f aca="false">IF(OR($C210="18+",$C210="18-20",SUM($Q210,$R210)=0),"",100%)</f>
        <v/>
      </c>
      <c r="T210" s="39" t="str">
        <f aca="false">IF(OR($C210="18+",$C210="18-20",SUM($Q210,$R210)=0),"",ROUND(SUM($Q210,$R210)*$S210,0))</f>
        <v/>
      </c>
    </row>
    <row r="211" customFormat="false" ht="15" hidden="false" customHeight="false" outlineLevel="0" collapsed="false">
      <c r="A211" s="0" t="str">
        <f aca="false">INDEX(Prioritization!$D:$D,MATCH($B211,Prioritization!$A:$A,0))</f>
        <v>INVALID</v>
      </c>
      <c r="B211" s="0" t="s">
        <v>208</v>
      </c>
      <c r="C211" s="0" t="s">
        <v>316</v>
      </c>
      <c r="D211" s="0" t="s">
        <v>30</v>
      </c>
      <c r="E211" s="0" t="str">
        <f aca="false">$B211&amp;"|"&amp;$C211&amp;"|"&amp;$D211</f>
        <v>Nkhata Bay District [E7zpfyBt7Tw]|&lt;01|Female</v>
      </c>
      <c r="G211" s="10"/>
      <c r="H211" s="10"/>
      <c r="I211" s="88" t="str">
        <f aca="false">IF(SUM($H211)=0,"",0%)</f>
        <v/>
      </c>
      <c r="J211" s="88"/>
      <c r="K211" s="88"/>
      <c r="L211" s="88" t="n">
        <f aca="false">1-IF(NOT(AND($D211="Female",OR($C211="10-14",$C211="15-17",$F211="Y"))),0,$J211)-IF(NOT(OR($C211="05-09",$C211="10-14")),0,$K211)</f>
        <v>1</v>
      </c>
      <c r="M211" s="88" t="n">
        <f aca="false">IF(SUM($L211)=0,"",20%)</f>
        <v>0.2</v>
      </c>
      <c r="N211" s="10" t="str">
        <f aca="false">IF(SUM($H211)=0,"",ROUND($H211*(1+$I211),0))</f>
        <v/>
      </c>
      <c r="O211" s="39" t="str">
        <f aca="false">IF(OR(SUM($N211)=0,SUM($J211)=0,NOT(AND($D211="Female",$F211="Y",OR($C211="10-14",$C211="15-17")))),"",ROUND($N211*$J211,0))</f>
        <v/>
      </c>
      <c r="P211" s="39" t="str">
        <f aca="false">IF(OR(SUM($N211)=0,SUM($K211)=0,NOT(OR($C211="10-14",$C211="05-09"))),"",ROUND($N211*$K211,0))</f>
        <v/>
      </c>
      <c r="Q211" s="39" t="str">
        <f aca="false">IFERROR(1/(1/ROUND($N211*$L211*$M211,0)),"")</f>
        <v/>
      </c>
      <c r="R211" s="39" t="str">
        <f aca="false">IFERROR(1/(1/(ROUND($N211*$L211,0)-$Q211)),"")</f>
        <v/>
      </c>
      <c r="S211" s="88" t="str">
        <f aca="false">IF(OR($C211="18+",$C211="18-20",SUM($Q211,$R211)=0),"",100%)</f>
        <v/>
      </c>
      <c r="T211" s="39" t="str">
        <f aca="false">IF(OR($C211="18+",$C211="18-20",SUM($Q211,$R211)=0),"",ROUND(SUM($Q211,$R211)*$S211,0))</f>
        <v/>
      </c>
    </row>
    <row r="212" customFormat="false" ht="15" hidden="false" customHeight="false" outlineLevel="0" collapsed="false">
      <c r="A212" s="0" t="str">
        <f aca="false">INDEX(Prioritization!$D:$D,MATCH($B212,Prioritization!$A:$A,0))</f>
        <v>INVALID</v>
      </c>
      <c r="B212" s="0" t="s">
        <v>208</v>
      </c>
      <c r="C212" s="0" t="s">
        <v>316</v>
      </c>
      <c r="D212" s="0" t="s">
        <v>48</v>
      </c>
      <c r="E212" s="0" t="str">
        <f aca="false">$B212&amp;"|"&amp;$C212&amp;"|"&amp;$D212</f>
        <v>Nkhata Bay District [E7zpfyBt7Tw]|&lt;01|Male</v>
      </c>
      <c r="G212" s="10"/>
      <c r="H212" s="10"/>
      <c r="I212" s="88" t="str">
        <f aca="false">IF(SUM($H212)=0,"",0%)</f>
        <v/>
      </c>
      <c r="J212" s="88"/>
      <c r="K212" s="88"/>
      <c r="L212" s="88" t="n">
        <f aca="false">1-IF(NOT(AND($D212="Female",OR($C212="10-14",$C212="15-17",$F212="Y"))),0,$J212)-IF(NOT(OR($C212="05-09",$C212="10-14")),0,$K212)</f>
        <v>1</v>
      </c>
      <c r="M212" s="88" t="n">
        <f aca="false">IF(SUM($L212)=0,"",20%)</f>
        <v>0.2</v>
      </c>
      <c r="N212" s="10" t="str">
        <f aca="false">IF(SUM($H212)=0,"",ROUND($H212*(1+$I212),0))</f>
        <v/>
      </c>
      <c r="O212" s="39" t="str">
        <f aca="false">IF(OR(SUM($N212)=0,SUM($J212)=0,NOT(AND($D212="Female",$F212="Y",OR($C212="10-14",$C212="15-17")))),"",ROUND($N212*$J212,0))</f>
        <v/>
      </c>
      <c r="P212" s="39" t="str">
        <f aca="false">IF(OR(SUM($N212)=0,SUM($K212)=0,NOT(OR($C212="10-14",$C212="05-09"))),"",ROUND($N212*$K212,0))</f>
        <v/>
      </c>
      <c r="Q212" s="39" t="str">
        <f aca="false">IFERROR(1/(1/ROUND($N212*$L212*$M212,0)),"")</f>
        <v/>
      </c>
      <c r="R212" s="39" t="str">
        <f aca="false">IFERROR(1/(1/(ROUND($N212*$L212,0)-$Q212)),"")</f>
        <v/>
      </c>
      <c r="S212" s="88" t="str">
        <f aca="false">IF(OR($C212="18+",$C212="18-20",SUM($Q212,$R212)=0),"",100%)</f>
        <v/>
      </c>
      <c r="T212" s="39" t="str">
        <f aca="false">IF(OR($C212="18+",$C212="18-20",SUM($Q212,$R212)=0),"",ROUND(SUM($Q212,$R212)*$S212,0))</f>
        <v/>
      </c>
    </row>
    <row r="213" customFormat="false" ht="15" hidden="false" customHeight="false" outlineLevel="0" collapsed="false">
      <c r="A213" s="0" t="str">
        <f aca="false">INDEX(Prioritization!$D:$D,MATCH($B213,Prioritization!$A:$A,0))</f>
        <v>INVALID</v>
      </c>
      <c r="B213" s="0" t="s">
        <v>208</v>
      </c>
      <c r="C213" s="0" t="s">
        <v>810</v>
      </c>
      <c r="D213" s="0" t="s">
        <v>30</v>
      </c>
      <c r="E213" s="0" t="str">
        <f aca="false">$B213&amp;"|"&amp;$C213&amp;"|"&amp;$D213</f>
        <v>Nkhata Bay District [E7zpfyBt7Tw]|01-04|Female</v>
      </c>
      <c r="G213" s="10"/>
      <c r="H213" s="10"/>
      <c r="I213" s="88" t="str">
        <f aca="false">IF(SUM($H213)=0,"",0%)</f>
        <v/>
      </c>
      <c r="J213" s="88"/>
      <c r="K213" s="88"/>
      <c r="L213" s="88" t="n">
        <f aca="false">1-IF(NOT(AND($D213="Female",OR($C213="10-14",$C213="15-17",$F213="Y"))),0,$J213)-IF(NOT(OR($C213="05-09",$C213="10-14")),0,$K213)</f>
        <v>1</v>
      </c>
      <c r="M213" s="88" t="n">
        <f aca="false">IF(SUM($L213)=0,"",20%)</f>
        <v>0.2</v>
      </c>
      <c r="N213" s="10" t="str">
        <f aca="false">IF(SUM($H213)=0,"",ROUND($H213*(1+$I213),0))</f>
        <v/>
      </c>
      <c r="O213" s="39" t="str">
        <f aca="false">IF(OR(SUM($N213)=0,SUM($J213)=0,NOT(AND($D213="Female",$F213="Y",OR($C213="10-14",$C213="15-17")))),"",ROUND($N213*$J213,0))</f>
        <v/>
      </c>
      <c r="P213" s="39" t="str">
        <f aca="false">IF(OR(SUM($N213)=0,SUM($K213)=0,NOT(OR($C213="10-14",$C213="05-09"))),"",ROUND($N213*$K213,0))</f>
        <v/>
      </c>
      <c r="Q213" s="39" t="str">
        <f aca="false">IFERROR(1/(1/ROUND($N213*$L213*$M213,0)),"")</f>
        <v/>
      </c>
      <c r="R213" s="39" t="str">
        <f aca="false">IFERROR(1/(1/(ROUND($N213*$L213,0)-$Q213)),"")</f>
        <v/>
      </c>
      <c r="S213" s="88" t="str">
        <f aca="false">IF(OR($C213="18+",$C213="18-20",SUM($Q213,$R213)=0),"",100%)</f>
        <v/>
      </c>
      <c r="T213" s="39" t="str">
        <f aca="false">IF(OR($C213="18+",$C213="18-20",SUM($Q213,$R213)=0),"",ROUND(SUM($Q213,$R213)*$S213,0))</f>
        <v/>
      </c>
    </row>
    <row r="214" customFormat="false" ht="15" hidden="false" customHeight="false" outlineLevel="0" collapsed="false">
      <c r="A214" s="0" t="str">
        <f aca="false">INDEX(Prioritization!$D:$D,MATCH($B214,Prioritization!$A:$A,0))</f>
        <v>INVALID</v>
      </c>
      <c r="B214" s="0" t="s">
        <v>208</v>
      </c>
      <c r="C214" s="0" t="s">
        <v>810</v>
      </c>
      <c r="D214" s="0" t="s">
        <v>48</v>
      </c>
      <c r="E214" s="0" t="str">
        <f aca="false">$B214&amp;"|"&amp;$C214&amp;"|"&amp;$D214</f>
        <v>Nkhata Bay District [E7zpfyBt7Tw]|01-04|Male</v>
      </c>
      <c r="G214" s="10"/>
      <c r="H214" s="10"/>
      <c r="I214" s="88" t="str">
        <f aca="false">IF(SUM($H214)=0,"",0%)</f>
        <v/>
      </c>
      <c r="J214" s="88"/>
      <c r="K214" s="88"/>
      <c r="L214" s="88" t="n">
        <f aca="false">1-IF(NOT(AND($D214="Female",OR($C214="10-14",$C214="15-17",$F214="Y"))),0,$J214)-IF(NOT(OR($C214="05-09",$C214="10-14")),0,$K214)</f>
        <v>1</v>
      </c>
      <c r="M214" s="88" t="n">
        <f aca="false">IF(SUM($L214)=0,"",20%)</f>
        <v>0.2</v>
      </c>
      <c r="N214" s="10" t="str">
        <f aca="false">IF(SUM($H214)=0,"",ROUND($H214*(1+$I214),0))</f>
        <v/>
      </c>
      <c r="O214" s="39" t="str">
        <f aca="false">IF(OR(SUM($N214)=0,SUM($J214)=0,NOT(AND($D214="Female",$F214="Y",OR($C214="10-14",$C214="15-17")))),"",ROUND($N214*$J214,0))</f>
        <v/>
      </c>
      <c r="P214" s="39" t="str">
        <f aca="false">IF(OR(SUM($N214)=0,SUM($K214)=0,NOT(OR($C214="10-14",$C214="05-09"))),"",ROUND($N214*$K214,0))</f>
        <v/>
      </c>
      <c r="Q214" s="39" t="str">
        <f aca="false">IFERROR(1/(1/ROUND($N214*$L214*$M214,0)),"")</f>
        <v/>
      </c>
      <c r="R214" s="39" t="str">
        <f aca="false">IFERROR(1/(1/(ROUND($N214*$L214,0)-$Q214)),"")</f>
        <v/>
      </c>
      <c r="S214" s="88" t="str">
        <f aca="false">IF(OR($C214="18+",$C214="18-20",SUM($Q214,$R214)=0),"",100%)</f>
        <v/>
      </c>
      <c r="T214" s="39" t="str">
        <f aca="false">IF(OR($C214="18+",$C214="18-20",SUM($Q214,$R214)=0),"",ROUND(SUM($Q214,$R214)*$S214,0))</f>
        <v/>
      </c>
    </row>
    <row r="215" customFormat="false" ht="15" hidden="false" customHeight="false" outlineLevel="0" collapsed="false">
      <c r="A215" s="0" t="str">
        <f aca="false">INDEX(Prioritization!$D:$D,MATCH($B215,Prioritization!$A:$A,0))</f>
        <v>INVALID</v>
      </c>
      <c r="B215" s="0" t="s">
        <v>208</v>
      </c>
      <c r="C215" s="0" t="s">
        <v>811</v>
      </c>
      <c r="D215" s="0" t="s">
        <v>30</v>
      </c>
      <c r="E215" s="0" t="str">
        <f aca="false">$B215&amp;"|"&amp;$C215&amp;"|"&amp;$D215</f>
        <v>Nkhata Bay District [E7zpfyBt7Tw]|05-09|Female</v>
      </c>
      <c r="G215" s="10"/>
      <c r="H215" s="10"/>
      <c r="I215" s="88" t="str">
        <f aca="false">IF(SUM($H215)=0,"",0%)</f>
        <v/>
      </c>
      <c r="J215" s="88"/>
      <c r="K215" s="88"/>
      <c r="L215" s="88" t="n">
        <f aca="false">1-IF(NOT(AND($D215="Female",OR($C215="10-14",$C215="15-17",$F215="Y"))),0,$J215)-IF(NOT(OR($C215="05-09",$C215="10-14")),0,$K215)</f>
        <v>1</v>
      </c>
      <c r="M215" s="88" t="n">
        <f aca="false">IF(SUM($L215)=0,"",20%)</f>
        <v>0.2</v>
      </c>
      <c r="N215" s="10" t="str">
        <f aca="false">IF(SUM($H215)=0,"",ROUND($H215*(1+$I215),0))</f>
        <v/>
      </c>
      <c r="O215" s="39" t="str">
        <f aca="false">IF(OR(SUM($N215)=0,SUM($J215)=0,NOT(AND($D215="Female",$F215="Y",OR($C215="10-14",$C215="15-17")))),"",ROUND($N215*$J215,0))</f>
        <v/>
      </c>
      <c r="P215" s="39" t="str">
        <f aca="false">IF(OR(SUM($N215)=0,SUM($K215)=0,NOT(OR($C215="10-14",$C215="05-09"))),"",ROUND($N215*$K215,0))</f>
        <v/>
      </c>
      <c r="Q215" s="39" t="str">
        <f aca="false">IFERROR(1/(1/ROUND($N215*$L215*$M215,0)),"")</f>
        <v/>
      </c>
      <c r="R215" s="39" t="str">
        <f aca="false">IFERROR(1/(1/(ROUND($N215*$L215,0)-$Q215)),"")</f>
        <v/>
      </c>
      <c r="S215" s="88" t="str">
        <f aca="false">IF(OR($C215="18+",$C215="18-20",SUM($Q215,$R215)=0),"",100%)</f>
        <v/>
      </c>
      <c r="T215" s="39" t="str">
        <f aca="false">IF(OR($C215="18+",$C215="18-20",SUM($Q215,$R215)=0),"",ROUND(SUM($Q215,$R215)*$S215,0))</f>
        <v/>
      </c>
    </row>
    <row r="216" customFormat="false" ht="15" hidden="false" customHeight="false" outlineLevel="0" collapsed="false">
      <c r="A216" s="0" t="str">
        <f aca="false">INDEX(Prioritization!$D:$D,MATCH($B216,Prioritization!$A:$A,0))</f>
        <v>INVALID</v>
      </c>
      <c r="B216" s="0" t="s">
        <v>208</v>
      </c>
      <c r="C216" s="0" t="s">
        <v>811</v>
      </c>
      <c r="D216" s="0" t="s">
        <v>48</v>
      </c>
      <c r="E216" s="0" t="str">
        <f aca="false">$B216&amp;"|"&amp;$C216&amp;"|"&amp;$D216</f>
        <v>Nkhata Bay District [E7zpfyBt7Tw]|05-09|Male</v>
      </c>
      <c r="G216" s="10"/>
      <c r="H216" s="10"/>
      <c r="I216" s="88" t="str">
        <f aca="false">IF(SUM($H216)=0,"",0%)</f>
        <v/>
      </c>
      <c r="J216" s="88"/>
      <c r="K216" s="88"/>
      <c r="L216" s="88" t="n">
        <f aca="false">1-IF(NOT(AND($D216="Female",OR($C216="10-14",$C216="15-17",$F216="Y"))),0,$J216)-IF(NOT(OR($C216="05-09",$C216="10-14")),0,$K216)</f>
        <v>1</v>
      </c>
      <c r="M216" s="88" t="n">
        <f aca="false">IF(SUM($L216)=0,"",20%)</f>
        <v>0.2</v>
      </c>
      <c r="N216" s="10" t="str">
        <f aca="false">IF(SUM($H216)=0,"",ROUND($H216*(1+$I216),0))</f>
        <v/>
      </c>
      <c r="O216" s="39" t="str">
        <f aca="false">IF(OR(SUM($N216)=0,SUM($J216)=0,NOT(AND($D216="Female",$F216="Y",OR($C216="10-14",$C216="15-17")))),"",ROUND($N216*$J216,0))</f>
        <v/>
      </c>
      <c r="P216" s="39" t="str">
        <f aca="false">IF(OR(SUM($N216)=0,SUM($K216)=0,NOT(OR($C216="10-14",$C216="05-09"))),"",ROUND($N216*$K216,0))</f>
        <v/>
      </c>
      <c r="Q216" s="39" t="str">
        <f aca="false">IFERROR(1/(1/ROUND($N216*$L216*$M216,0)),"")</f>
        <v/>
      </c>
      <c r="R216" s="39" t="str">
        <f aca="false">IFERROR(1/(1/(ROUND($N216*$L216,0)-$Q216)),"")</f>
        <v/>
      </c>
      <c r="S216" s="88" t="str">
        <f aca="false">IF(OR($C216="18+",$C216="18-20",SUM($Q216,$R216)=0),"",100%)</f>
        <v/>
      </c>
      <c r="T216" s="39" t="str">
        <f aca="false">IF(OR($C216="18+",$C216="18-20",SUM($Q216,$R216)=0),"",ROUND(SUM($Q216,$R216)*$S216,0))</f>
        <v/>
      </c>
    </row>
    <row r="217" customFormat="false" ht="15" hidden="false" customHeight="false" outlineLevel="0" collapsed="false">
      <c r="A217" s="0" t="str">
        <f aca="false">INDEX(Prioritization!$D:$D,MATCH($B217,Prioritization!$A:$A,0))</f>
        <v>INVALID</v>
      </c>
      <c r="B217" s="0" t="s">
        <v>208</v>
      </c>
      <c r="C217" s="0" t="s">
        <v>364</v>
      </c>
      <c r="D217" s="0" t="s">
        <v>30</v>
      </c>
      <c r="E217" s="0" t="str">
        <f aca="false">$B217&amp;"|"&amp;$C217&amp;"|"&amp;$D217</f>
        <v>Nkhata Bay District [E7zpfyBt7Tw]|10-14|Female</v>
      </c>
      <c r="G217" s="10" t="n">
        <v>0</v>
      </c>
      <c r="H217" s="10"/>
      <c r="I217" s="88" t="str">
        <f aca="false">IF(SUM($H217)=0,"",0%)</f>
        <v/>
      </c>
      <c r="J217" s="88"/>
      <c r="K217" s="88"/>
      <c r="L217" s="88" t="n">
        <f aca="false">1-IF(NOT(AND($D217="Female",OR($C217="10-14",$C217="15-17",$F217="Y"))),0,$J217)-IF(NOT(OR($C217="05-09",$C217="10-14")),0,$K217)</f>
        <v>1</v>
      </c>
      <c r="M217" s="88" t="n">
        <f aca="false">IF(SUM($L217)=0,"",20%)</f>
        <v>0.2</v>
      </c>
      <c r="N217" s="10" t="str">
        <f aca="false">IF(SUM($H217)=0,"",ROUND($H217*(1+$I217),0))</f>
        <v/>
      </c>
      <c r="O217" s="39" t="str">
        <f aca="false">IF(OR(SUM($N217)=0,SUM($J217)=0,NOT(AND($D217="Female",$F217="Y",OR($C217="10-14",$C217="15-17")))),"",ROUND($N217*$J217,0))</f>
        <v/>
      </c>
      <c r="P217" s="39" t="str">
        <f aca="false">IF(OR(SUM($N217)=0,SUM($K217)=0,NOT(OR($C217="10-14",$C217="05-09"))),"",ROUND($N217*$K217,0))</f>
        <v/>
      </c>
      <c r="Q217" s="39" t="str">
        <f aca="false">IFERROR(1/(1/ROUND($N217*$L217*$M217,0)),"")</f>
        <v/>
      </c>
      <c r="R217" s="39" t="str">
        <f aca="false">IFERROR(1/(1/(ROUND($N217*$L217,0)-$Q217)),"")</f>
        <v/>
      </c>
      <c r="S217" s="88" t="str">
        <f aca="false">IF(OR($C217="18+",$C217="18-20",SUM($Q217,$R217)=0),"",100%)</f>
        <v/>
      </c>
      <c r="T217" s="39" t="str">
        <f aca="false">IF(OR($C217="18+",$C217="18-20",SUM($Q217,$R217)=0),"",ROUND(SUM($Q217,$R217)*$S217,0))</f>
        <v/>
      </c>
    </row>
    <row r="218" customFormat="false" ht="15" hidden="false" customHeight="false" outlineLevel="0" collapsed="false">
      <c r="A218" s="0" t="str">
        <f aca="false">INDEX(Prioritization!$D:$D,MATCH($B218,Prioritization!$A:$A,0))</f>
        <v>INVALID</v>
      </c>
      <c r="B218" s="0" t="s">
        <v>208</v>
      </c>
      <c r="C218" s="0" t="s">
        <v>364</v>
      </c>
      <c r="D218" s="0" t="s">
        <v>48</v>
      </c>
      <c r="E218" s="0" t="str">
        <f aca="false">$B218&amp;"|"&amp;$C218&amp;"|"&amp;$D218</f>
        <v>Nkhata Bay District [E7zpfyBt7Tw]|10-14|Male</v>
      </c>
      <c r="G218" s="10" t="n">
        <v>3</v>
      </c>
      <c r="H218" s="10"/>
      <c r="I218" s="88" t="str">
        <f aca="false">IF(SUM($H218)=0,"",0%)</f>
        <v/>
      </c>
      <c r="J218" s="88"/>
      <c r="K218" s="88"/>
      <c r="L218" s="88" t="n">
        <f aca="false">1-IF(NOT(AND($D218="Female",OR($C218="10-14",$C218="15-17",$F218="Y"))),0,$J218)-IF(NOT(OR($C218="05-09",$C218="10-14")),0,$K218)</f>
        <v>1</v>
      </c>
      <c r="M218" s="88" t="n">
        <f aca="false">IF(SUM($L218)=0,"",20%)</f>
        <v>0.2</v>
      </c>
      <c r="N218" s="10" t="str">
        <f aca="false">IF(SUM($H218)=0,"",ROUND($H218*(1+$I218),0))</f>
        <v/>
      </c>
      <c r="O218" s="39" t="str">
        <f aca="false">IF(OR(SUM($N218)=0,SUM($J218)=0,NOT(AND($D218="Female",$F218="Y",OR($C218="10-14",$C218="15-17")))),"",ROUND($N218*$J218,0))</f>
        <v/>
      </c>
      <c r="P218" s="39" t="str">
        <f aca="false">IF(OR(SUM($N218)=0,SUM($K218)=0,NOT(OR($C218="10-14",$C218="05-09"))),"",ROUND($N218*$K218,0))</f>
        <v/>
      </c>
      <c r="Q218" s="39" t="str">
        <f aca="false">IFERROR(1/(1/ROUND($N218*$L218*$M218,0)),"")</f>
        <v/>
      </c>
      <c r="R218" s="39" t="str">
        <f aca="false">IFERROR(1/(1/(ROUND($N218*$L218,0)-$Q218)),"")</f>
        <v/>
      </c>
      <c r="S218" s="88" t="str">
        <f aca="false">IF(OR($C218="18+",$C218="18-20",SUM($Q218,$R218)=0),"",100%)</f>
        <v/>
      </c>
      <c r="T218" s="39" t="str">
        <f aca="false">IF(OR($C218="18+",$C218="18-20",SUM($Q218,$R218)=0),"",ROUND(SUM($Q218,$R218)*$S218,0))</f>
        <v/>
      </c>
    </row>
    <row r="219" customFormat="false" ht="15" hidden="false" customHeight="false" outlineLevel="0" collapsed="false">
      <c r="A219" s="0" t="str">
        <f aca="false">INDEX(Prioritization!$D:$D,MATCH($B219,Prioritization!$A:$A,0))</f>
        <v>INVALID</v>
      </c>
      <c r="B219" s="0" t="s">
        <v>208</v>
      </c>
      <c r="C219" s="0" t="s">
        <v>812</v>
      </c>
      <c r="D219" s="0" t="s">
        <v>30</v>
      </c>
      <c r="E219" s="0" t="str">
        <f aca="false">$B219&amp;"|"&amp;$C219&amp;"|"&amp;$D219</f>
        <v>Nkhata Bay District [E7zpfyBt7Tw]|15-17|Female</v>
      </c>
      <c r="G219" s="10"/>
      <c r="H219" s="10"/>
      <c r="I219" s="88" t="str">
        <f aca="false">IF(SUM($H219)=0,"",0%)</f>
        <v/>
      </c>
      <c r="J219" s="88"/>
      <c r="K219" s="88"/>
      <c r="L219" s="88" t="n">
        <f aca="false">1-IF(NOT(AND($D219="Female",OR($C219="10-14",$C219="15-17",$F219="Y"))),0,$J219)-IF(NOT(OR($C219="05-09",$C219="10-14")),0,$K219)</f>
        <v>1</v>
      </c>
      <c r="M219" s="88" t="n">
        <f aca="false">IF(SUM($L219)=0,"",20%)</f>
        <v>0.2</v>
      </c>
      <c r="N219" s="10" t="str">
        <f aca="false">IF(SUM($H219)=0,"",ROUND($H219*(1+$I219),0))</f>
        <v/>
      </c>
      <c r="O219" s="39" t="str">
        <f aca="false">IF(OR(SUM($N219)=0,SUM($J219)=0,NOT(AND($D219="Female",$F219="Y",OR($C219="10-14",$C219="15-17")))),"",ROUND($N219*$J219,0))</f>
        <v/>
      </c>
      <c r="P219" s="39" t="str">
        <f aca="false">IF(OR(SUM($N219)=0,SUM($K219)=0,NOT(OR($C219="10-14",$C219="05-09"))),"",ROUND($N219*$K219,0))</f>
        <v/>
      </c>
      <c r="Q219" s="39" t="str">
        <f aca="false">IFERROR(1/(1/ROUND($N219*$L219*$M219,0)),"")</f>
        <v/>
      </c>
      <c r="R219" s="39" t="str">
        <f aca="false">IFERROR(1/(1/(ROUND($N219*$L219,0)-$Q219)),"")</f>
        <v/>
      </c>
      <c r="S219" s="88" t="str">
        <f aca="false">IF(OR($C219="18+",$C219="18-20",SUM($Q219,$R219)=0),"",100%)</f>
        <v/>
      </c>
      <c r="T219" s="39" t="str">
        <f aca="false">IF(OR($C219="18+",$C219="18-20",SUM($Q219,$R219)=0),"",ROUND(SUM($Q219,$R219)*$S219,0))</f>
        <v/>
      </c>
    </row>
    <row r="220" customFormat="false" ht="15" hidden="false" customHeight="false" outlineLevel="0" collapsed="false">
      <c r="A220" s="0" t="str">
        <f aca="false">INDEX(Prioritization!$D:$D,MATCH($B220,Prioritization!$A:$A,0))</f>
        <v>INVALID</v>
      </c>
      <c r="B220" s="0" t="s">
        <v>208</v>
      </c>
      <c r="C220" s="0" t="s">
        <v>812</v>
      </c>
      <c r="D220" s="0" t="s">
        <v>48</v>
      </c>
      <c r="E220" s="0" t="str">
        <f aca="false">$B220&amp;"|"&amp;$C220&amp;"|"&amp;$D220</f>
        <v>Nkhata Bay District [E7zpfyBt7Tw]|15-17|Male</v>
      </c>
      <c r="G220" s="10"/>
      <c r="H220" s="10"/>
      <c r="I220" s="88" t="str">
        <f aca="false">IF(SUM($H220)=0,"",0%)</f>
        <v/>
      </c>
      <c r="J220" s="88"/>
      <c r="K220" s="88"/>
      <c r="L220" s="88" t="n">
        <f aca="false">1-IF(NOT(AND($D220="Female",OR($C220="10-14",$C220="15-17",$F220="Y"))),0,$J220)-IF(NOT(OR($C220="05-09",$C220="10-14")),0,$K220)</f>
        <v>1</v>
      </c>
      <c r="M220" s="88" t="n">
        <f aca="false">IF(SUM($L220)=0,"",20%)</f>
        <v>0.2</v>
      </c>
      <c r="N220" s="10" t="str">
        <f aca="false">IF(SUM($H220)=0,"",ROUND($H220*(1+$I220),0))</f>
        <v/>
      </c>
      <c r="O220" s="39" t="str">
        <f aca="false">IF(OR(SUM($N220)=0,SUM($J220)=0,NOT(AND($D220="Female",$F220="Y",OR($C220="10-14",$C220="15-17")))),"",ROUND($N220*$J220,0))</f>
        <v/>
      </c>
      <c r="P220" s="39" t="str">
        <f aca="false">IF(OR(SUM($N220)=0,SUM($K220)=0,NOT(OR($C220="10-14",$C220="05-09"))),"",ROUND($N220*$K220,0))</f>
        <v/>
      </c>
      <c r="Q220" s="39" t="str">
        <f aca="false">IFERROR(1/(1/ROUND($N220*$L220*$M220,0)),"")</f>
        <v/>
      </c>
      <c r="R220" s="39" t="str">
        <f aca="false">IFERROR(1/(1/(ROUND($N220*$L220,0)-$Q220)),"")</f>
        <v/>
      </c>
      <c r="S220" s="88" t="str">
        <f aca="false">IF(OR($C220="18+",$C220="18-20",SUM($Q220,$R220)=0),"",100%)</f>
        <v/>
      </c>
      <c r="T220" s="39" t="str">
        <f aca="false">IF(OR($C220="18+",$C220="18-20",SUM($Q220,$R220)=0),"",ROUND(SUM($Q220,$R220)*$S220,0))</f>
        <v/>
      </c>
    </row>
    <row r="221" customFormat="false" ht="15" hidden="false" customHeight="false" outlineLevel="0" collapsed="false">
      <c r="A221" s="0" t="str">
        <f aca="false">INDEX(Prioritization!$D:$D,MATCH($B221,Prioritization!$A:$A,0))</f>
        <v>INVALID</v>
      </c>
      <c r="B221" s="0" t="s">
        <v>208</v>
      </c>
      <c r="C221" s="0" t="s">
        <v>813</v>
      </c>
      <c r="D221" s="0" t="s">
        <v>30</v>
      </c>
      <c r="E221" s="0" t="str">
        <f aca="false">$B221&amp;"|"&amp;$C221&amp;"|"&amp;$D221</f>
        <v>Nkhata Bay District [E7zpfyBt7Tw]|18-20|Female</v>
      </c>
      <c r="G221" s="10"/>
      <c r="H221" s="10"/>
      <c r="I221" s="88" t="str">
        <f aca="false">IF(SUM($H221)=0,"",0%)</f>
        <v/>
      </c>
      <c r="J221" s="88"/>
      <c r="K221" s="88"/>
      <c r="L221" s="88" t="n">
        <f aca="false">1-IF(NOT(AND($D221="Female",OR($C221="10-14",$C221="15-17",$F221="Y"))),0,$J221)-IF(NOT(OR($C221="05-09",$C221="10-14")),0,$K221)</f>
        <v>1</v>
      </c>
      <c r="M221" s="88" t="n">
        <f aca="false">IF(SUM($L221)=0,"",20%)</f>
        <v>0.2</v>
      </c>
      <c r="N221" s="10" t="str">
        <f aca="false">IF(SUM($H221)=0,"",ROUND($H221*(1+$I221),0))</f>
        <v/>
      </c>
      <c r="O221" s="39" t="str">
        <f aca="false">IF(OR(SUM($N221)=0,SUM($J221)=0,NOT(AND($D221="Female",$F221="Y",OR($C221="10-14",$C221="15-17")))),"",ROUND($N221*$J221,0))</f>
        <v/>
      </c>
      <c r="P221" s="39" t="str">
        <f aca="false">IF(OR(SUM($N221)=0,SUM($K221)=0,NOT(OR($C221="10-14",$C221="05-09"))),"",ROUND($N221*$K221,0))</f>
        <v/>
      </c>
      <c r="Q221" s="39" t="str">
        <f aca="false">IFERROR(1/(1/ROUND($N221*$L221*$M221,0)),"")</f>
        <v/>
      </c>
      <c r="R221" s="39" t="str">
        <f aca="false">IFERROR(1/(1/(ROUND($N221*$L221,0)-$Q221)),"")</f>
        <v/>
      </c>
      <c r="S221" s="88" t="str">
        <f aca="false">IF(OR($C221="18+",$C221="18-20",SUM($Q221,$R221)=0),"",100%)</f>
        <v/>
      </c>
      <c r="T221" s="39" t="str">
        <f aca="false">IF(OR($C221="18+",$C221="18-20",SUM($Q221,$R221)=0),"",ROUND(SUM($Q221,$R221)*$S221,0))</f>
        <v/>
      </c>
    </row>
    <row r="222" customFormat="false" ht="15" hidden="false" customHeight="false" outlineLevel="0" collapsed="false">
      <c r="A222" s="0" t="str">
        <f aca="false">INDEX(Prioritization!$D:$D,MATCH($B222,Prioritization!$A:$A,0))</f>
        <v>INVALID</v>
      </c>
      <c r="B222" s="0" t="s">
        <v>208</v>
      </c>
      <c r="C222" s="0" t="s">
        <v>813</v>
      </c>
      <c r="D222" s="0" t="s">
        <v>48</v>
      </c>
      <c r="E222" s="0" t="str">
        <f aca="false">$B222&amp;"|"&amp;$C222&amp;"|"&amp;$D222</f>
        <v>Nkhata Bay District [E7zpfyBt7Tw]|18-20|Male</v>
      </c>
      <c r="G222" s="10"/>
      <c r="H222" s="10"/>
      <c r="I222" s="88" t="str">
        <f aca="false">IF(SUM($H222)=0,"",0%)</f>
        <v/>
      </c>
      <c r="J222" s="88"/>
      <c r="K222" s="88"/>
      <c r="L222" s="88" t="n">
        <f aca="false">1-IF(NOT(AND($D222="Female",OR($C222="10-14",$C222="15-17",$F222="Y"))),0,$J222)-IF(NOT(OR($C222="05-09",$C222="10-14")),0,$K222)</f>
        <v>1</v>
      </c>
      <c r="M222" s="88" t="n">
        <f aca="false">IF(SUM($L222)=0,"",20%)</f>
        <v>0.2</v>
      </c>
      <c r="N222" s="10" t="str">
        <f aca="false">IF(SUM($H222)=0,"",ROUND($H222*(1+$I222),0))</f>
        <v/>
      </c>
      <c r="O222" s="39" t="str">
        <f aca="false">IF(OR(SUM($N222)=0,SUM($J222)=0,NOT(AND($D222="Female",$F222="Y",OR($C222="10-14",$C222="15-17")))),"",ROUND($N222*$J222,0))</f>
        <v/>
      </c>
      <c r="P222" s="39" t="str">
        <f aca="false">IF(OR(SUM($N222)=0,SUM($K222)=0,NOT(OR($C222="10-14",$C222="05-09"))),"",ROUND($N222*$K222,0))</f>
        <v/>
      </c>
      <c r="Q222" s="39" t="str">
        <f aca="false">IFERROR(1/(1/ROUND($N222*$L222*$M222,0)),"")</f>
        <v/>
      </c>
      <c r="R222" s="39" t="str">
        <f aca="false">IFERROR(1/(1/(ROUND($N222*$L222,0)-$Q222)),"")</f>
        <v/>
      </c>
      <c r="S222" s="88" t="str">
        <f aca="false">IF(OR($C222="18+",$C222="18-20",SUM($Q222,$R222)=0),"",100%)</f>
        <v/>
      </c>
      <c r="T222" s="39" t="str">
        <f aca="false">IF(OR($C222="18+",$C222="18-20",SUM($Q222,$R222)=0),"",ROUND(SUM($Q222,$R222)*$S222,0))</f>
        <v/>
      </c>
    </row>
    <row r="223" customFormat="false" ht="15" hidden="false" customHeight="false" outlineLevel="0" collapsed="false">
      <c r="A223" s="0" t="str">
        <f aca="false">INDEX(Prioritization!$D:$D,MATCH($B223,Prioritization!$A:$A,0))</f>
        <v>INVALID</v>
      </c>
      <c r="B223" s="0" t="s">
        <v>208</v>
      </c>
      <c r="C223" s="0" t="s">
        <v>814</v>
      </c>
      <c r="D223" s="0" t="s">
        <v>30</v>
      </c>
      <c r="E223" s="0" t="str">
        <f aca="false">$B223&amp;"|"&amp;$C223&amp;"|"&amp;$D223</f>
        <v>Nkhata Bay District [E7zpfyBt7Tw]|18+|Female</v>
      </c>
      <c r="G223" s="10"/>
      <c r="H223" s="10"/>
      <c r="I223" s="88" t="str">
        <f aca="false">IF(SUM($H223)=0,"",0%)</f>
        <v/>
      </c>
      <c r="J223" s="88"/>
      <c r="K223" s="88"/>
      <c r="L223" s="88" t="n">
        <f aca="false">1-IF(NOT(AND($D223="Female",OR($C223="10-14",$C223="15-17",$F223="Y"))),0,$J223)-IF(NOT(OR($C223="05-09",$C223="10-14")),0,$K223)</f>
        <v>1</v>
      </c>
      <c r="M223" s="88" t="n">
        <f aca="false">IF(SUM($L223)=0,"",20%)</f>
        <v>0.2</v>
      </c>
      <c r="N223" s="10" t="str">
        <f aca="false">IF(SUM($H223)=0,"",ROUND($H223*(1+$I223),0))</f>
        <v/>
      </c>
      <c r="O223" s="39" t="str">
        <f aca="false">IF(OR(SUM($N223)=0,SUM($J223)=0,NOT(AND($D223="Female",$F223="Y",OR($C223="10-14",$C223="15-17")))),"",ROUND($N223*$J223,0))</f>
        <v/>
      </c>
      <c r="P223" s="39" t="str">
        <f aca="false">IF(OR(SUM($N223)=0,SUM($K223)=0,NOT(OR($C223="10-14",$C223="05-09"))),"",ROUND($N223*$K223,0))</f>
        <v/>
      </c>
      <c r="Q223" s="39" t="str">
        <f aca="false">IFERROR(1/(1/ROUND($N223*$L223*$M223,0)),"")</f>
        <v/>
      </c>
      <c r="R223" s="39" t="str">
        <f aca="false">IFERROR(1/(1/(ROUND($N223*$L223,0)-$Q223)),"")</f>
        <v/>
      </c>
      <c r="S223" s="88" t="str">
        <f aca="false">IF(OR($C223="18+",$C223="18-20",SUM($Q223,$R223)=0),"",100%)</f>
        <v/>
      </c>
      <c r="T223" s="39" t="str">
        <f aca="false">IF(OR($C223="18+",$C223="18-20",SUM($Q223,$R223)=0),"",ROUND(SUM($Q223,$R223)*$S223,0))</f>
        <v/>
      </c>
    </row>
    <row r="224" customFormat="false" ht="15" hidden="false" customHeight="false" outlineLevel="0" collapsed="false">
      <c r="A224" s="0" t="str">
        <f aca="false">INDEX(Prioritization!$D:$D,MATCH($B224,Prioritization!$A:$A,0))</f>
        <v>INVALID</v>
      </c>
      <c r="B224" s="0" t="s">
        <v>208</v>
      </c>
      <c r="C224" s="0" t="s">
        <v>814</v>
      </c>
      <c r="D224" s="0" t="s">
        <v>48</v>
      </c>
      <c r="E224" s="0" t="str">
        <f aca="false">$B224&amp;"|"&amp;$C224&amp;"|"&amp;$D224</f>
        <v>Nkhata Bay District [E7zpfyBt7Tw]|18+|Male</v>
      </c>
      <c r="G224" s="10"/>
      <c r="H224" s="10"/>
      <c r="I224" s="88" t="str">
        <f aca="false">IF(SUM($H224)=0,"",0%)</f>
        <v/>
      </c>
      <c r="J224" s="88"/>
      <c r="K224" s="88"/>
      <c r="L224" s="88" t="n">
        <f aca="false">1-IF(NOT(AND($D224="Female",OR($C224="10-14",$C224="15-17",$F224="Y"))),0,$J224)-IF(NOT(OR($C224="05-09",$C224="10-14")),0,$K224)</f>
        <v>1</v>
      </c>
      <c r="M224" s="88" t="n">
        <f aca="false">IF(SUM($L224)=0,"",20%)</f>
        <v>0.2</v>
      </c>
      <c r="N224" s="10" t="str">
        <f aca="false">IF(SUM($H224)=0,"",ROUND($H224*(1+$I224),0))</f>
        <v/>
      </c>
      <c r="O224" s="39" t="str">
        <f aca="false">IF(OR(SUM($N224)=0,SUM($J224)=0,NOT(AND($D224="Female",$F224="Y",OR($C224="10-14",$C224="15-17")))),"",ROUND($N224*$J224,0))</f>
        <v/>
      </c>
      <c r="P224" s="39" t="str">
        <f aca="false">IF(OR(SUM($N224)=0,SUM($K224)=0,NOT(OR($C224="10-14",$C224="05-09"))),"",ROUND($N224*$K224,0))</f>
        <v/>
      </c>
      <c r="Q224" s="39" t="str">
        <f aca="false">IFERROR(1/(1/ROUND($N224*$L224*$M224,0)),"")</f>
        <v/>
      </c>
      <c r="R224" s="39" t="str">
        <f aca="false">IFERROR(1/(1/(ROUND($N224*$L224,0)-$Q224)),"")</f>
        <v/>
      </c>
      <c r="S224" s="88" t="str">
        <f aca="false">IF(OR($C224="18+",$C224="18-20",SUM($Q224,$R224)=0),"",100%)</f>
        <v/>
      </c>
      <c r="T224" s="39" t="str">
        <f aca="false">IF(OR($C224="18+",$C224="18-20",SUM($Q224,$R224)=0),"",ROUND(SUM($Q224,$R224)*$S224,0))</f>
        <v/>
      </c>
    </row>
    <row r="225" customFormat="false" ht="15" hidden="false" customHeight="false" outlineLevel="0" collapsed="false">
      <c r="A225" s="0" t="str">
        <f aca="false">INDEX(Prioritization!$D:$D,MATCH($B225,Prioritization!$A:$A,0))</f>
        <v>INVALID</v>
      </c>
      <c r="B225" s="0" t="s">
        <v>209</v>
      </c>
      <c r="C225" s="0" t="s">
        <v>316</v>
      </c>
      <c r="D225" s="0" t="s">
        <v>30</v>
      </c>
      <c r="E225" s="0" t="str">
        <f aca="false">$B225&amp;"|"&amp;$C225&amp;"|"&amp;$D225</f>
        <v>Rumphi District [lPTyjLi4w3d]|&lt;01|Female</v>
      </c>
      <c r="G225" s="10"/>
      <c r="H225" s="10"/>
      <c r="I225" s="88" t="str">
        <f aca="false">IF(SUM($H225)=0,"",0%)</f>
        <v/>
      </c>
      <c r="J225" s="88"/>
      <c r="K225" s="88"/>
      <c r="L225" s="88" t="n">
        <f aca="false">1-IF(NOT(AND($D225="Female",OR($C225="10-14",$C225="15-17",$F225="Y"))),0,$J225)-IF(NOT(OR($C225="05-09",$C225="10-14")),0,$K225)</f>
        <v>1</v>
      </c>
      <c r="M225" s="88" t="n">
        <f aca="false">IF(SUM($L225)=0,"",20%)</f>
        <v>0.2</v>
      </c>
      <c r="N225" s="10" t="str">
        <f aca="false">IF(SUM($H225)=0,"",ROUND($H225*(1+$I225),0))</f>
        <v/>
      </c>
      <c r="O225" s="39" t="str">
        <f aca="false">IF(OR(SUM($N225)=0,SUM($J225)=0,NOT(AND($D225="Female",$F225="Y",OR($C225="10-14",$C225="15-17")))),"",ROUND($N225*$J225,0))</f>
        <v/>
      </c>
      <c r="P225" s="39" t="str">
        <f aca="false">IF(OR(SUM($N225)=0,SUM($K225)=0,NOT(OR($C225="10-14",$C225="05-09"))),"",ROUND($N225*$K225,0))</f>
        <v/>
      </c>
      <c r="Q225" s="39" t="str">
        <f aca="false">IFERROR(1/(1/ROUND($N225*$L225*$M225,0)),"")</f>
        <v/>
      </c>
      <c r="R225" s="39" t="str">
        <f aca="false">IFERROR(1/(1/(ROUND($N225*$L225,0)-$Q225)),"")</f>
        <v/>
      </c>
      <c r="S225" s="88" t="str">
        <f aca="false">IF(OR($C225="18+",$C225="18-20",SUM($Q225,$R225)=0),"",100%)</f>
        <v/>
      </c>
      <c r="T225" s="39" t="str">
        <f aca="false">IF(OR($C225="18+",$C225="18-20",SUM($Q225,$R225)=0),"",ROUND(SUM($Q225,$R225)*$S225,0))</f>
        <v/>
      </c>
    </row>
    <row r="226" customFormat="false" ht="15" hidden="false" customHeight="false" outlineLevel="0" collapsed="false">
      <c r="A226" s="0" t="str">
        <f aca="false">INDEX(Prioritization!$D:$D,MATCH($B226,Prioritization!$A:$A,0))</f>
        <v>INVALID</v>
      </c>
      <c r="B226" s="0" t="s">
        <v>209</v>
      </c>
      <c r="C226" s="0" t="s">
        <v>316</v>
      </c>
      <c r="D226" s="0" t="s">
        <v>48</v>
      </c>
      <c r="E226" s="0" t="str">
        <f aca="false">$B226&amp;"|"&amp;$C226&amp;"|"&amp;$D226</f>
        <v>Rumphi District [lPTyjLi4w3d]|&lt;01|Male</v>
      </c>
      <c r="G226" s="10"/>
      <c r="H226" s="10"/>
      <c r="I226" s="88" t="str">
        <f aca="false">IF(SUM($H226)=0,"",0%)</f>
        <v/>
      </c>
      <c r="J226" s="88"/>
      <c r="K226" s="88"/>
      <c r="L226" s="88" t="n">
        <f aca="false">1-IF(NOT(AND($D226="Female",OR($C226="10-14",$C226="15-17",$F226="Y"))),0,$J226)-IF(NOT(OR($C226="05-09",$C226="10-14")),0,$K226)</f>
        <v>1</v>
      </c>
      <c r="M226" s="88" t="n">
        <f aca="false">IF(SUM($L226)=0,"",20%)</f>
        <v>0.2</v>
      </c>
      <c r="N226" s="10" t="str">
        <f aca="false">IF(SUM($H226)=0,"",ROUND($H226*(1+$I226),0))</f>
        <v/>
      </c>
      <c r="O226" s="39" t="str">
        <f aca="false">IF(OR(SUM($N226)=0,SUM($J226)=0,NOT(AND($D226="Female",$F226="Y",OR($C226="10-14",$C226="15-17")))),"",ROUND($N226*$J226,0))</f>
        <v/>
      </c>
      <c r="P226" s="39" t="str">
        <f aca="false">IF(OR(SUM($N226)=0,SUM($K226)=0,NOT(OR($C226="10-14",$C226="05-09"))),"",ROUND($N226*$K226,0))</f>
        <v/>
      </c>
      <c r="Q226" s="39" t="str">
        <f aca="false">IFERROR(1/(1/ROUND($N226*$L226*$M226,0)),"")</f>
        <v/>
      </c>
      <c r="R226" s="39" t="str">
        <f aca="false">IFERROR(1/(1/(ROUND($N226*$L226,0)-$Q226)),"")</f>
        <v/>
      </c>
      <c r="S226" s="88" t="str">
        <f aca="false">IF(OR($C226="18+",$C226="18-20",SUM($Q226,$R226)=0),"",100%)</f>
        <v/>
      </c>
      <c r="T226" s="39" t="str">
        <f aca="false">IF(OR($C226="18+",$C226="18-20",SUM($Q226,$R226)=0),"",ROUND(SUM($Q226,$R226)*$S226,0))</f>
        <v/>
      </c>
    </row>
    <row r="227" customFormat="false" ht="15" hidden="false" customHeight="false" outlineLevel="0" collapsed="false">
      <c r="A227" s="0" t="str">
        <f aca="false">INDEX(Prioritization!$D:$D,MATCH($B227,Prioritization!$A:$A,0))</f>
        <v>INVALID</v>
      </c>
      <c r="B227" s="0" t="s">
        <v>209</v>
      </c>
      <c r="C227" s="0" t="s">
        <v>810</v>
      </c>
      <c r="D227" s="0" t="s">
        <v>30</v>
      </c>
      <c r="E227" s="0" t="str">
        <f aca="false">$B227&amp;"|"&amp;$C227&amp;"|"&amp;$D227</f>
        <v>Rumphi District [lPTyjLi4w3d]|01-04|Female</v>
      </c>
      <c r="G227" s="10"/>
      <c r="H227" s="10"/>
      <c r="I227" s="88" t="str">
        <f aca="false">IF(SUM($H227)=0,"",0%)</f>
        <v/>
      </c>
      <c r="J227" s="88"/>
      <c r="K227" s="88"/>
      <c r="L227" s="88" t="n">
        <f aca="false">1-IF(NOT(AND($D227="Female",OR($C227="10-14",$C227="15-17",$F227="Y"))),0,$J227)-IF(NOT(OR($C227="05-09",$C227="10-14")),0,$K227)</f>
        <v>1</v>
      </c>
      <c r="M227" s="88" t="n">
        <f aca="false">IF(SUM($L227)=0,"",20%)</f>
        <v>0.2</v>
      </c>
      <c r="N227" s="10" t="str">
        <f aca="false">IF(SUM($H227)=0,"",ROUND($H227*(1+$I227),0))</f>
        <v/>
      </c>
      <c r="O227" s="39" t="str">
        <f aca="false">IF(OR(SUM($N227)=0,SUM($J227)=0,NOT(AND($D227="Female",$F227="Y",OR($C227="10-14",$C227="15-17")))),"",ROUND($N227*$J227,0))</f>
        <v/>
      </c>
      <c r="P227" s="39" t="str">
        <f aca="false">IF(OR(SUM($N227)=0,SUM($K227)=0,NOT(OR($C227="10-14",$C227="05-09"))),"",ROUND($N227*$K227,0))</f>
        <v/>
      </c>
      <c r="Q227" s="39" t="str">
        <f aca="false">IFERROR(1/(1/ROUND($N227*$L227*$M227,0)),"")</f>
        <v/>
      </c>
      <c r="R227" s="39" t="str">
        <f aca="false">IFERROR(1/(1/(ROUND($N227*$L227,0)-$Q227)),"")</f>
        <v/>
      </c>
      <c r="S227" s="88" t="str">
        <f aca="false">IF(OR($C227="18+",$C227="18-20",SUM($Q227,$R227)=0),"",100%)</f>
        <v/>
      </c>
      <c r="T227" s="39" t="str">
        <f aca="false">IF(OR($C227="18+",$C227="18-20",SUM($Q227,$R227)=0),"",ROUND(SUM($Q227,$R227)*$S227,0))</f>
        <v/>
      </c>
    </row>
    <row r="228" customFormat="false" ht="15" hidden="false" customHeight="false" outlineLevel="0" collapsed="false">
      <c r="A228" s="0" t="str">
        <f aca="false">INDEX(Prioritization!$D:$D,MATCH($B228,Prioritization!$A:$A,0))</f>
        <v>INVALID</v>
      </c>
      <c r="B228" s="0" t="s">
        <v>209</v>
      </c>
      <c r="C228" s="0" t="s">
        <v>810</v>
      </c>
      <c r="D228" s="0" t="s">
        <v>48</v>
      </c>
      <c r="E228" s="0" t="str">
        <f aca="false">$B228&amp;"|"&amp;$C228&amp;"|"&amp;$D228</f>
        <v>Rumphi District [lPTyjLi4w3d]|01-04|Male</v>
      </c>
      <c r="G228" s="10"/>
      <c r="H228" s="10"/>
      <c r="I228" s="88" t="str">
        <f aca="false">IF(SUM($H228)=0,"",0%)</f>
        <v/>
      </c>
      <c r="J228" s="88"/>
      <c r="K228" s="88"/>
      <c r="L228" s="88" t="n">
        <f aca="false">1-IF(NOT(AND($D228="Female",OR($C228="10-14",$C228="15-17",$F228="Y"))),0,$J228)-IF(NOT(OR($C228="05-09",$C228="10-14")),0,$K228)</f>
        <v>1</v>
      </c>
      <c r="M228" s="88" t="n">
        <f aca="false">IF(SUM($L228)=0,"",20%)</f>
        <v>0.2</v>
      </c>
      <c r="N228" s="10" t="str">
        <f aca="false">IF(SUM($H228)=0,"",ROUND($H228*(1+$I228),0))</f>
        <v/>
      </c>
      <c r="O228" s="39" t="str">
        <f aca="false">IF(OR(SUM($N228)=0,SUM($J228)=0,NOT(AND($D228="Female",$F228="Y",OR($C228="10-14",$C228="15-17")))),"",ROUND($N228*$J228,0))</f>
        <v/>
      </c>
      <c r="P228" s="39" t="str">
        <f aca="false">IF(OR(SUM($N228)=0,SUM($K228)=0,NOT(OR($C228="10-14",$C228="05-09"))),"",ROUND($N228*$K228,0))</f>
        <v/>
      </c>
      <c r="Q228" s="39" t="str">
        <f aca="false">IFERROR(1/(1/ROUND($N228*$L228*$M228,0)),"")</f>
        <v/>
      </c>
      <c r="R228" s="39" t="str">
        <f aca="false">IFERROR(1/(1/(ROUND($N228*$L228,0)-$Q228)),"")</f>
        <v/>
      </c>
      <c r="S228" s="88" t="str">
        <f aca="false">IF(OR($C228="18+",$C228="18-20",SUM($Q228,$R228)=0),"",100%)</f>
        <v/>
      </c>
      <c r="T228" s="39" t="str">
        <f aca="false">IF(OR($C228="18+",$C228="18-20",SUM($Q228,$R228)=0),"",ROUND(SUM($Q228,$R228)*$S228,0))</f>
        <v/>
      </c>
    </row>
    <row r="229" customFormat="false" ht="15" hidden="false" customHeight="false" outlineLevel="0" collapsed="false">
      <c r="A229" s="0" t="str">
        <f aca="false">INDEX(Prioritization!$D:$D,MATCH($B229,Prioritization!$A:$A,0))</f>
        <v>INVALID</v>
      </c>
      <c r="B229" s="0" t="s">
        <v>209</v>
      </c>
      <c r="C229" s="0" t="s">
        <v>811</v>
      </c>
      <c r="D229" s="0" t="s">
        <v>30</v>
      </c>
      <c r="E229" s="0" t="str">
        <f aca="false">$B229&amp;"|"&amp;$C229&amp;"|"&amp;$D229</f>
        <v>Rumphi District [lPTyjLi4w3d]|05-09|Female</v>
      </c>
      <c r="G229" s="10"/>
      <c r="H229" s="10"/>
      <c r="I229" s="88" t="str">
        <f aca="false">IF(SUM($H229)=0,"",0%)</f>
        <v/>
      </c>
      <c r="J229" s="88"/>
      <c r="K229" s="88"/>
      <c r="L229" s="88" t="n">
        <f aca="false">1-IF(NOT(AND($D229="Female",OR($C229="10-14",$C229="15-17",$F229="Y"))),0,$J229)-IF(NOT(OR($C229="05-09",$C229="10-14")),0,$K229)</f>
        <v>1</v>
      </c>
      <c r="M229" s="88" t="n">
        <f aca="false">IF(SUM($L229)=0,"",20%)</f>
        <v>0.2</v>
      </c>
      <c r="N229" s="10" t="str">
        <f aca="false">IF(SUM($H229)=0,"",ROUND($H229*(1+$I229),0))</f>
        <v/>
      </c>
      <c r="O229" s="39" t="str">
        <f aca="false">IF(OR(SUM($N229)=0,SUM($J229)=0,NOT(AND($D229="Female",$F229="Y",OR($C229="10-14",$C229="15-17")))),"",ROUND($N229*$J229,0))</f>
        <v/>
      </c>
      <c r="P229" s="39" t="str">
        <f aca="false">IF(OR(SUM($N229)=0,SUM($K229)=0,NOT(OR($C229="10-14",$C229="05-09"))),"",ROUND($N229*$K229,0))</f>
        <v/>
      </c>
      <c r="Q229" s="39" t="str">
        <f aca="false">IFERROR(1/(1/ROUND($N229*$L229*$M229,0)),"")</f>
        <v/>
      </c>
      <c r="R229" s="39" t="str">
        <f aca="false">IFERROR(1/(1/(ROUND($N229*$L229,0)-$Q229)),"")</f>
        <v/>
      </c>
      <c r="S229" s="88" t="str">
        <f aca="false">IF(OR($C229="18+",$C229="18-20",SUM($Q229,$R229)=0),"",100%)</f>
        <v/>
      </c>
      <c r="T229" s="39" t="str">
        <f aca="false">IF(OR($C229="18+",$C229="18-20",SUM($Q229,$R229)=0),"",ROUND(SUM($Q229,$R229)*$S229,0))</f>
        <v/>
      </c>
    </row>
    <row r="230" customFormat="false" ht="15" hidden="false" customHeight="false" outlineLevel="0" collapsed="false">
      <c r="A230" s="0" t="str">
        <f aca="false">INDEX(Prioritization!$D:$D,MATCH($B230,Prioritization!$A:$A,0))</f>
        <v>INVALID</v>
      </c>
      <c r="B230" s="0" t="s">
        <v>209</v>
      </c>
      <c r="C230" s="0" t="s">
        <v>811</v>
      </c>
      <c r="D230" s="0" t="s">
        <v>48</v>
      </c>
      <c r="E230" s="0" t="str">
        <f aca="false">$B230&amp;"|"&amp;$C230&amp;"|"&amp;$D230</f>
        <v>Rumphi District [lPTyjLi4w3d]|05-09|Male</v>
      </c>
      <c r="G230" s="10"/>
      <c r="H230" s="10"/>
      <c r="I230" s="88" t="str">
        <f aca="false">IF(SUM($H230)=0,"",0%)</f>
        <v/>
      </c>
      <c r="J230" s="88"/>
      <c r="K230" s="88"/>
      <c r="L230" s="88" t="n">
        <f aca="false">1-IF(NOT(AND($D230="Female",OR($C230="10-14",$C230="15-17",$F230="Y"))),0,$J230)-IF(NOT(OR($C230="05-09",$C230="10-14")),0,$K230)</f>
        <v>1</v>
      </c>
      <c r="M230" s="88" t="n">
        <f aca="false">IF(SUM($L230)=0,"",20%)</f>
        <v>0.2</v>
      </c>
      <c r="N230" s="10" t="str">
        <f aca="false">IF(SUM($H230)=0,"",ROUND($H230*(1+$I230),0))</f>
        <v/>
      </c>
      <c r="O230" s="39" t="str">
        <f aca="false">IF(OR(SUM($N230)=0,SUM($J230)=0,NOT(AND($D230="Female",$F230="Y",OR($C230="10-14",$C230="15-17")))),"",ROUND($N230*$J230,0))</f>
        <v/>
      </c>
      <c r="P230" s="39" t="str">
        <f aca="false">IF(OR(SUM($N230)=0,SUM($K230)=0,NOT(OR($C230="10-14",$C230="05-09"))),"",ROUND($N230*$K230,0))</f>
        <v/>
      </c>
      <c r="Q230" s="39" t="str">
        <f aca="false">IFERROR(1/(1/ROUND($N230*$L230*$M230,0)),"")</f>
        <v/>
      </c>
      <c r="R230" s="39" t="str">
        <f aca="false">IFERROR(1/(1/(ROUND($N230*$L230,0)-$Q230)),"")</f>
        <v/>
      </c>
      <c r="S230" s="88" t="str">
        <f aca="false">IF(OR($C230="18+",$C230="18-20",SUM($Q230,$R230)=0),"",100%)</f>
        <v/>
      </c>
      <c r="T230" s="39" t="str">
        <f aca="false">IF(OR($C230="18+",$C230="18-20",SUM($Q230,$R230)=0),"",ROUND(SUM($Q230,$R230)*$S230,0))</f>
        <v/>
      </c>
    </row>
    <row r="231" customFormat="false" ht="15" hidden="false" customHeight="false" outlineLevel="0" collapsed="false">
      <c r="A231" s="0" t="str">
        <f aca="false">INDEX(Prioritization!$D:$D,MATCH($B231,Prioritization!$A:$A,0))</f>
        <v>INVALID</v>
      </c>
      <c r="B231" s="0" t="s">
        <v>209</v>
      </c>
      <c r="C231" s="0" t="s">
        <v>364</v>
      </c>
      <c r="D231" s="0" t="s">
        <v>30</v>
      </c>
      <c r="E231" s="0" t="str">
        <f aca="false">$B231&amp;"|"&amp;$C231&amp;"|"&amp;$D231</f>
        <v>Rumphi District [lPTyjLi4w3d]|10-14|Female</v>
      </c>
      <c r="G231" s="10" t="n">
        <v>2</v>
      </c>
      <c r="H231" s="10"/>
      <c r="I231" s="88" t="str">
        <f aca="false">IF(SUM($H231)=0,"",0%)</f>
        <v/>
      </c>
      <c r="J231" s="88"/>
      <c r="K231" s="88"/>
      <c r="L231" s="88" t="n">
        <f aca="false">1-IF(NOT(AND($D231="Female",OR($C231="10-14",$C231="15-17",$F231="Y"))),0,$J231)-IF(NOT(OR($C231="05-09",$C231="10-14")),0,$K231)</f>
        <v>1</v>
      </c>
      <c r="M231" s="88" t="n">
        <f aca="false">IF(SUM($L231)=0,"",20%)</f>
        <v>0.2</v>
      </c>
      <c r="N231" s="10" t="str">
        <f aca="false">IF(SUM($H231)=0,"",ROUND($H231*(1+$I231),0))</f>
        <v/>
      </c>
      <c r="O231" s="39" t="str">
        <f aca="false">IF(OR(SUM($N231)=0,SUM($J231)=0,NOT(AND($D231="Female",$F231="Y",OR($C231="10-14",$C231="15-17")))),"",ROUND($N231*$J231,0))</f>
        <v/>
      </c>
      <c r="P231" s="39" t="str">
        <f aca="false">IF(OR(SUM($N231)=0,SUM($K231)=0,NOT(OR($C231="10-14",$C231="05-09"))),"",ROUND($N231*$K231,0))</f>
        <v/>
      </c>
      <c r="Q231" s="39" t="str">
        <f aca="false">IFERROR(1/(1/ROUND($N231*$L231*$M231,0)),"")</f>
        <v/>
      </c>
      <c r="R231" s="39" t="str">
        <f aca="false">IFERROR(1/(1/(ROUND($N231*$L231,0)-$Q231)),"")</f>
        <v/>
      </c>
      <c r="S231" s="88" t="str">
        <f aca="false">IF(OR($C231="18+",$C231="18-20",SUM($Q231,$R231)=0),"",100%)</f>
        <v/>
      </c>
      <c r="T231" s="39" t="str">
        <f aca="false">IF(OR($C231="18+",$C231="18-20",SUM($Q231,$R231)=0),"",ROUND(SUM($Q231,$R231)*$S231,0))</f>
        <v/>
      </c>
    </row>
    <row r="232" customFormat="false" ht="15" hidden="false" customHeight="false" outlineLevel="0" collapsed="false">
      <c r="A232" s="0" t="str">
        <f aca="false">INDEX(Prioritization!$D:$D,MATCH($B232,Prioritization!$A:$A,0))</f>
        <v>INVALID</v>
      </c>
      <c r="B232" s="0" t="s">
        <v>209</v>
      </c>
      <c r="C232" s="0" t="s">
        <v>364</v>
      </c>
      <c r="D232" s="0" t="s">
        <v>48</v>
      </c>
      <c r="E232" s="0" t="str">
        <f aca="false">$B232&amp;"|"&amp;$C232&amp;"|"&amp;$D232</f>
        <v>Rumphi District [lPTyjLi4w3d]|10-14|Male</v>
      </c>
      <c r="G232" s="10" t="n">
        <v>9</v>
      </c>
      <c r="H232" s="10"/>
      <c r="I232" s="88" t="str">
        <f aca="false">IF(SUM($H232)=0,"",0%)</f>
        <v/>
      </c>
      <c r="J232" s="88"/>
      <c r="K232" s="88"/>
      <c r="L232" s="88" t="n">
        <f aca="false">1-IF(NOT(AND($D232="Female",OR($C232="10-14",$C232="15-17",$F232="Y"))),0,$J232)-IF(NOT(OR($C232="05-09",$C232="10-14")),0,$K232)</f>
        <v>1</v>
      </c>
      <c r="M232" s="88" t="n">
        <f aca="false">IF(SUM($L232)=0,"",20%)</f>
        <v>0.2</v>
      </c>
      <c r="N232" s="10" t="str">
        <f aca="false">IF(SUM($H232)=0,"",ROUND($H232*(1+$I232),0))</f>
        <v/>
      </c>
      <c r="O232" s="39" t="str">
        <f aca="false">IF(OR(SUM($N232)=0,SUM($J232)=0,NOT(AND($D232="Female",$F232="Y",OR($C232="10-14",$C232="15-17")))),"",ROUND($N232*$J232,0))</f>
        <v/>
      </c>
      <c r="P232" s="39" t="str">
        <f aca="false">IF(OR(SUM($N232)=0,SUM($K232)=0,NOT(OR($C232="10-14",$C232="05-09"))),"",ROUND($N232*$K232,0))</f>
        <v/>
      </c>
      <c r="Q232" s="39" t="str">
        <f aca="false">IFERROR(1/(1/ROUND($N232*$L232*$M232,0)),"")</f>
        <v/>
      </c>
      <c r="R232" s="39" t="str">
        <f aca="false">IFERROR(1/(1/(ROUND($N232*$L232,0)-$Q232)),"")</f>
        <v/>
      </c>
      <c r="S232" s="88" t="str">
        <f aca="false">IF(OR($C232="18+",$C232="18-20",SUM($Q232,$R232)=0),"",100%)</f>
        <v/>
      </c>
      <c r="T232" s="39" t="str">
        <f aca="false">IF(OR($C232="18+",$C232="18-20",SUM($Q232,$R232)=0),"",ROUND(SUM($Q232,$R232)*$S232,0))</f>
        <v/>
      </c>
    </row>
    <row r="233" customFormat="false" ht="15" hidden="false" customHeight="false" outlineLevel="0" collapsed="false">
      <c r="A233" s="0" t="str">
        <f aca="false">INDEX(Prioritization!$D:$D,MATCH($B233,Prioritization!$A:$A,0))</f>
        <v>INVALID</v>
      </c>
      <c r="B233" s="0" t="s">
        <v>209</v>
      </c>
      <c r="C233" s="0" t="s">
        <v>812</v>
      </c>
      <c r="D233" s="0" t="s">
        <v>30</v>
      </c>
      <c r="E233" s="0" t="str">
        <f aca="false">$B233&amp;"|"&amp;$C233&amp;"|"&amp;$D233</f>
        <v>Rumphi District [lPTyjLi4w3d]|15-17|Female</v>
      </c>
      <c r="G233" s="10"/>
      <c r="H233" s="10"/>
      <c r="I233" s="88" t="str">
        <f aca="false">IF(SUM($H233)=0,"",0%)</f>
        <v/>
      </c>
      <c r="J233" s="88"/>
      <c r="K233" s="88"/>
      <c r="L233" s="88" t="n">
        <f aca="false">1-IF(NOT(AND($D233="Female",OR($C233="10-14",$C233="15-17",$F233="Y"))),0,$J233)-IF(NOT(OR($C233="05-09",$C233="10-14")),0,$K233)</f>
        <v>1</v>
      </c>
      <c r="M233" s="88" t="n">
        <f aca="false">IF(SUM($L233)=0,"",20%)</f>
        <v>0.2</v>
      </c>
      <c r="N233" s="10" t="str">
        <f aca="false">IF(SUM($H233)=0,"",ROUND($H233*(1+$I233),0))</f>
        <v/>
      </c>
      <c r="O233" s="39" t="str">
        <f aca="false">IF(OR(SUM($N233)=0,SUM($J233)=0,NOT(AND($D233="Female",$F233="Y",OR($C233="10-14",$C233="15-17")))),"",ROUND($N233*$J233,0))</f>
        <v/>
      </c>
      <c r="P233" s="39" t="str">
        <f aca="false">IF(OR(SUM($N233)=0,SUM($K233)=0,NOT(OR($C233="10-14",$C233="05-09"))),"",ROUND($N233*$K233,0))</f>
        <v/>
      </c>
      <c r="Q233" s="39" t="str">
        <f aca="false">IFERROR(1/(1/ROUND($N233*$L233*$M233,0)),"")</f>
        <v/>
      </c>
      <c r="R233" s="39" t="str">
        <f aca="false">IFERROR(1/(1/(ROUND($N233*$L233,0)-$Q233)),"")</f>
        <v/>
      </c>
      <c r="S233" s="88" t="str">
        <f aca="false">IF(OR($C233="18+",$C233="18-20",SUM($Q233,$R233)=0),"",100%)</f>
        <v/>
      </c>
      <c r="T233" s="39" t="str">
        <f aca="false">IF(OR($C233="18+",$C233="18-20",SUM($Q233,$R233)=0),"",ROUND(SUM($Q233,$R233)*$S233,0))</f>
        <v/>
      </c>
    </row>
    <row r="234" customFormat="false" ht="15" hidden="false" customHeight="false" outlineLevel="0" collapsed="false">
      <c r="A234" s="0" t="str">
        <f aca="false">INDEX(Prioritization!$D:$D,MATCH($B234,Prioritization!$A:$A,0))</f>
        <v>INVALID</v>
      </c>
      <c r="B234" s="0" t="s">
        <v>209</v>
      </c>
      <c r="C234" s="0" t="s">
        <v>812</v>
      </c>
      <c r="D234" s="0" t="s">
        <v>48</v>
      </c>
      <c r="E234" s="0" t="str">
        <f aca="false">$B234&amp;"|"&amp;$C234&amp;"|"&amp;$D234</f>
        <v>Rumphi District [lPTyjLi4w3d]|15-17|Male</v>
      </c>
      <c r="G234" s="10"/>
      <c r="H234" s="10"/>
      <c r="I234" s="88" t="str">
        <f aca="false">IF(SUM($H234)=0,"",0%)</f>
        <v/>
      </c>
      <c r="J234" s="88"/>
      <c r="K234" s="88"/>
      <c r="L234" s="88" t="n">
        <f aca="false">1-IF(NOT(AND($D234="Female",OR($C234="10-14",$C234="15-17",$F234="Y"))),0,$J234)-IF(NOT(OR($C234="05-09",$C234="10-14")),0,$K234)</f>
        <v>1</v>
      </c>
      <c r="M234" s="88" t="n">
        <f aca="false">IF(SUM($L234)=0,"",20%)</f>
        <v>0.2</v>
      </c>
      <c r="N234" s="10" t="str">
        <f aca="false">IF(SUM($H234)=0,"",ROUND($H234*(1+$I234),0))</f>
        <v/>
      </c>
      <c r="O234" s="39" t="str">
        <f aca="false">IF(OR(SUM($N234)=0,SUM($J234)=0,NOT(AND($D234="Female",$F234="Y",OR($C234="10-14",$C234="15-17")))),"",ROUND($N234*$J234,0))</f>
        <v/>
      </c>
      <c r="P234" s="39" t="str">
        <f aca="false">IF(OR(SUM($N234)=0,SUM($K234)=0,NOT(OR($C234="10-14",$C234="05-09"))),"",ROUND($N234*$K234,0))</f>
        <v/>
      </c>
      <c r="Q234" s="39" t="str">
        <f aca="false">IFERROR(1/(1/ROUND($N234*$L234*$M234,0)),"")</f>
        <v/>
      </c>
      <c r="R234" s="39" t="str">
        <f aca="false">IFERROR(1/(1/(ROUND($N234*$L234,0)-$Q234)),"")</f>
        <v/>
      </c>
      <c r="S234" s="88" t="str">
        <f aca="false">IF(OR($C234="18+",$C234="18-20",SUM($Q234,$R234)=0),"",100%)</f>
        <v/>
      </c>
      <c r="T234" s="39" t="str">
        <f aca="false">IF(OR($C234="18+",$C234="18-20",SUM($Q234,$R234)=0),"",ROUND(SUM($Q234,$R234)*$S234,0))</f>
        <v/>
      </c>
    </row>
    <row r="235" customFormat="false" ht="15" hidden="false" customHeight="false" outlineLevel="0" collapsed="false">
      <c r="A235" s="0" t="str">
        <f aca="false">INDEX(Prioritization!$D:$D,MATCH($B235,Prioritization!$A:$A,0))</f>
        <v>INVALID</v>
      </c>
      <c r="B235" s="0" t="s">
        <v>209</v>
      </c>
      <c r="C235" s="0" t="s">
        <v>813</v>
      </c>
      <c r="D235" s="0" t="s">
        <v>30</v>
      </c>
      <c r="E235" s="0" t="str">
        <f aca="false">$B235&amp;"|"&amp;$C235&amp;"|"&amp;$D235</f>
        <v>Rumphi District [lPTyjLi4w3d]|18-20|Female</v>
      </c>
      <c r="G235" s="10"/>
      <c r="H235" s="10"/>
      <c r="I235" s="88" t="str">
        <f aca="false">IF(SUM($H235)=0,"",0%)</f>
        <v/>
      </c>
      <c r="J235" s="88"/>
      <c r="K235" s="88"/>
      <c r="L235" s="88" t="n">
        <f aca="false">1-IF(NOT(AND($D235="Female",OR($C235="10-14",$C235="15-17",$F235="Y"))),0,$J235)-IF(NOT(OR($C235="05-09",$C235="10-14")),0,$K235)</f>
        <v>1</v>
      </c>
      <c r="M235" s="88" t="n">
        <f aca="false">IF(SUM($L235)=0,"",20%)</f>
        <v>0.2</v>
      </c>
      <c r="N235" s="10" t="str">
        <f aca="false">IF(SUM($H235)=0,"",ROUND($H235*(1+$I235),0))</f>
        <v/>
      </c>
      <c r="O235" s="39" t="str">
        <f aca="false">IF(OR(SUM($N235)=0,SUM($J235)=0,NOT(AND($D235="Female",$F235="Y",OR($C235="10-14",$C235="15-17")))),"",ROUND($N235*$J235,0))</f>
        <v/>
      </c>
      <c r="P235" s="39" t="str">
        <f aca="false">IF(OR(SUM($N235)=0,SUM($K235)=0,NOT(OR($C235="10-14",$C235="05-09"))),"",ROUND($N235*$K235,0))</f>
        <v/>
      </c>
      <c r="Q235" s="39" t="str">
        <f aca="false">IFERROR(1/(1/ROUND($N235*$L235*$M235,0)),"")</f>
        <v/>
      </c>
      <c r="R235" s="39" t="str">
        <f aca="false">IFERROR(1/(1/(ROUND($N235*$L235,0)-$Q235)),"")</f>
        <v/>
      </c>
      <c r="S235" s="88" t="str">
        <f aca="false">IF(OR($C235="18+",$C235="18-20",SUM($Q235,$R235)=0),"",100%)</f>
        <v/>
      </c>
      <c r="T235" s="39" t="str">
        <f aca="false">IF(OR($C235="18+",$C235="18-20",SUM($Q235,$R235)=0),"",ROUND(SUM($Q235,$R235)*$S235,0))</f>
        <v/>
      </c>
    </row>
    <row r="236" customFormat="false" ht="15" hidden="false" customHeight="false" outlineLevel="0" collapsed="false">
      <c r="A236" s="0" t="str">
        <f aca="false">INDEX(Prioritization!$D:$D,MATCH($B236,Prioritization!$A:$A,0))</f>
        <v>INVALID</v>
      </c>
      <c r="B236" s="0" t="s">
        <v>209</v>
      </c>
      <c r="C236" s="0" t="s">
        <v>813</v>
      </c>
      <c r="D236" s="0" t="s">
        <v>48</v>
      </c>
      <c r="E236" s="0" t="str">
        <f aca="false">$B236&amp;"|"&amp;$C236&amp;"|"&amp;$D236</f>
        <v>Rumphi District [lPTyjLi4w3d]|18-20|Male</v>
      </c>
      <c r="G236" s="10"/>
      <c r="H236" s="10"/>
      <c r="I236" s="88" t="str">
        <f aca="false">IF(SUM($H236)=0,"",0%)</f>
        <v/>
      </c>
      <c r="J236" s="88"/>
      <c r="K236" s="88"/>
      <c r="L236" s="88" t="n">
        <f aca="false">1-IF(NOT(AND($D236="Female",OR($C236="10-14",$C236="15-17",$F236="Y"))),0,$J236)-IF(NOT(OR($C236="05-09",$C236="10-14")),0,$K236)</f>
        <v>1</v>
      </c>
      <c r="M236" s="88" t="n">
        <f aca="false">IF(SUM($L236)=0,"",20%)</f>
        <v>0.2</v>
      </c>
      <c r="N236" s="10" t="str">
        <f aca="false">IF(SUM($H236)=0,"",ROUND($H236*(1+$I236),0))</f>
        <v/>
      </c>
      <c r="O236" s="39" t="str">
        <f aca="false">IF(OR(SUM($N236)=0,SUM($J236)=0,NOT(AND($D236="Female",$F236="Y",OR($C236="10-14",$C236="15-17")))),"",ROUND($N236*$J236,0))</f>
        <v/>
      </c>
      <c r="P236" s="39" t="str">
        <f aca="false">IF(OR(SUM($N236)=0,SUM($K236)=0,NOT(OR($C236="10-14",$C236="05-09"))),"",ROUND($N236*$K236,0))</f>
        <v/>
      </c>
      <c r="Q236" s="39" t="str">
        <f aca="false">IFERROR(1/(1/ROUND($N236*$L236*$M236,0)),"")</f>
        <v/>
      </c>
      <c r="R236" s="39" t="str">
        <f aca="false">IFERROR(1/(1/(ROUND($N236*$L236,0)-$Q236)),"")</f>
        <v/>
      </c>
      <c r="S236" s="88" t="str">
        <f aca="false">IF(OR($C236="18+",$C236="18-20",SUM($Q236,$R236)=0),"",100%)</f>
        <v/>
      </c>
      <c r="T236" s="39" t="str">
        <f aca="false">IF(OR($C236="18+",$C236="18-20",SUM($Q236,$R236)=0),"",ROUND(SUM($Q236,$R236)*$S236,0))</f>
        <v/>
      </c>
    </row>
    <row r="237" customFormat="false" ht="15" hidden="false" customHeight="false" outlineLevel="0" collapsed="false">
      <c r="A237" s="0" t="str">
        <f aca="false">INDEX(Prioritization!$D:$D,MATCH($B237,Prioritization!$A:$A,0))</f>
        <v>INVALID</v>
      </c>
      <c r="B237" s="0" t="s">
        <v>209</v>
      </c>
      <c r="C237" s="0" t="s">
        <v>814</v>
      </c>
      <c r="D237" s="0" t="s">
        <v>30</v>
      </c>
      <c r="E237" s="0" t="str">
        <f aca="false">$B237&amp;"|"&amp;$C237&amp;"|"&amp;$D237</f>
        <v>Rumphi District [lPTyjLi4w3d]|18+|Female</v>
      </c>
      <c r="G237" s="10"/>
      <c r="H237" s="10"/>
      <c r="I237" s="88" t="str">
        <f aca="false">IF(SUM($H237)=0,"",0%)</f>
        <v/>
      </c>
      <c r="J237" s="88"/>
      <c r="K237" s="88"/>
      <c r="L237" s="88" t="n">
        <f aca="false">1-IF(NOT(AND($D237="Female",OR($C237="10-14",$C237="15-17",$F237="Y"))),0,$J237)-IF(NOT(OR($C237="05-09",$C237="10-14")),0,$K237)</f>
        <v>1</v>
      </c>
      <c r="M237" s="88" t="n">
        <f aca="false">IF(SUM($L237)=0,"",20%)</f>
        <v>0.2</v>
      </c>
      <c r="N237" s="10" t="str">
        <f aca="false">IF(SUM($H237)=0,"",ROUND($H237*(1+$I237),0))</f>
        <v/>
      </c>
      <c r="O237" s="39" t="str">
        <f aca="false">IF(OR(SUM($N237)=0,SUM($J237)=0,NOT(AND($D237="Female",$F237="Y",OR($C237="10-14",$C237="15-17")))),"",ROUND($N237*$J237,0))</f>
        <v/>
      </c>
      <c r="P237" s="39" t="str">
        <f aca="false">IF(OR(SUM($N237)=0,SUM($K237)=0,NOT(OR($C237="10-14",$C237="05-09"))),"",ROUND($N237*$K237,0))</f>
        <v/>
      </c>
      <c r="Q237" s="39" t="str">
        <f aca="false">IFERROR(1/(1/ROUND($N237*$L237*$M237,0)),"")</f>
        <v/>
      </c>
      <c r="R237" s="39" t="str">
        <f aca="false">IFERROR(1/(1/(ROUND($N237*$L237,0)-$Q237)),"")</f>
        <v/>
      </c>
      <c r="S237" s="88" t="str">
        <f aca="false">IF(OR($C237="18+",$C237="18-20",SUM($Q237,$R237)=0),"",100%)</f>
        <v/>
      </c>
      <c r="T237" s="39" t="str">
        <f aca="false">IF(OR($C237="18+",$C237="18-20",SUM($Q237,$R237)=0),"",ROUND(SUM($Q237,$R237)*$S237,0))</f>
        <v/>
      </c>
    </row>
    <row r="238" customFormat="false" ht="15" hidden="false" customHeight="false" outlineLevel="0" collapsed="false">
      <c r="A238" s="0" t="str">
        <f aca="false">INDEX(Prioritization!$D:$D,MATCH($B238,Prioritization!$A:$A,0))</f>
        <v>INVALID</v>
      </c>
      <c r="B238" s="0" t="s">
        <v>209</v>
      </c>
      <c r="C238" s="0" t="s">
        <v>814</v>
      </c>
      <c r="D238" s="0" t="s">
        <v>48</v>
      </c>
      <c r="E238" s="0" t="str">
        <f aca="false">$B238&amp;"|"&amp;$C238&amp;"|"&amp;$D238</f>
        <v>Rumphi District [lPTyjLi4w3d]|18+|Male</v>
      </c>
      <c r="G238" s="10"/>
      <c r="H238" s="10"/>
      <c r="I238" s="88" t="str">
        <f aca="false">IF(SUM($H238)=0,"",0%)</f>
        <v/>
      </c>
      <c r="J238" s="88"/>
      <c r="K238" s="88"/>
      <c r="L238" s="88" t="n">
        <f aca="false">1-IF(NOT(AND($D238="Female",OR($C238="10-14",$C238="15-17",$F238="Y"))),0,$J238)-IF(NOT(OR($C238="05-09",$C238="10-14")),0,$K238)</f>
        <v>1</v>
      </c>
      <c r="M238" s="88" t="n">
        <f aca="false">IF(SUM($L238)=0,"",20%)</f>
        <v>0.2</v>
      </c>
      <c r="N238" s="10" t="str">
        <f aca="false">IF(SUM($H238)=0,"",ROUND($H238*(1+$I238),0))</f>
        <v/>
      </c>
      <c r="O238" s="39" t="str">
        <f aca="false">IF(OR(SUM($N238)=0,SUM($J238)=0,NOT(AND($D238="Female",$F238="Y",OR($C238="10-14",$C238="15-17")))),"",ROUND($N238*$J238,0))</f>
        <v/>
      </c>
      <c r="P238" s="39" t="str">
        <f aca="false">IF(OR(SUM($N238)=0,SUM($K238)=0,NOT(OR($C238="10-14",$C238="05-09"))),"",ROUND($N238*$K238,0))</f>
        <v/>
      </c>
      <c r="Q238" s="39" t="str">
        <f aca="false">IFERROR(1/(1/ROUND($N238*$L238*$M238,0)),"")</f>
        <v/>
      </c>
      <c r="R238" s="39" t="str">
        <f aca="false">IFERROR(1/(1/(ROUND($N238*$L238,0)-$Q238)),"")</f>
        <v/>
      </c>
      <c r="S238" s="88" t="str">
        <f aca="false">IF(OR($C238="18+",$C238="18-20",SUM($Q238,$R238)=0),"",100%)</f>
        <v/>
      </c>
      <c r="T238" s="39" t="str">
        <f aca="false">IF(OR($C238="18+",$C238="18-20",SUM($Q238,$R238)=0),"",ROUND(SUM($Q238,$R238)*$S238,0))</f>
        <v/>
      </c>
    </row>
    <row r="239" customFormat="false" ht="15" hidden="false" customHeight="false" outlineLevel="0" collapsed="false">
      <c r="A239" s="0" t="str">
        <f aca="false">INDEX(Prioritization!$D:$D,MATCH($B239,Prioritization!$A:$A,0))</f>
        <v>1 - Scale-up: Saturation</v>
      </c>
      <c r="B239" s="0" t="s">
        <v>210</v>
      </c>
      <c r="C239" s="0" t="s">
        <v>316</v>
      </c>
      <c r="D239" s="0" t="s">
        <v>30</v>
      </c>
      <c r="E239" s="0" t="str">
        <f aca="false">$B239&amp;"|"&amp;$C239&amp;"|"&amp;$D239</f>
        <v>Balaka District [ir8wuHHzoSs]|&lt;01|Female</v>
      </c>
      <c r="G239" s="10"/>
      <c r="H239" s="10"/>
      <c r="I239" s="88" t="str">
        <f aca="false">IF(SUM($H239)=0,"",0%)</f>
        <v/>
      </c>
      <c r="J239" s="88"/>
      <c r="K239" s="88"/>
      <c r="L239" s="88" t="n">
        <f aca="false">1-IF(NOT(AND($D239="Female",OR($C239="10-14",$C239="15-17",$F239="Y"))),0,$J239)-IF(NOT(OR($C239="05-09",$C239="10-14")),0,$K239)</f>
        <v>1</v>
      </c>
      <c r="M239" s="88" t="n">
        <f aca="false">IF(SUM($L239)=0,"",20%)</f>
        <v>0.2</v>
      </c>
      <c r="N239" s="10" t="str">
        <f aca="false">IF(SUM($H239)=0,"",ROUND($H239*(1+$I239),0))</f>
        <v/>
      </c>
      <c r="O239" s="39" t="str">
        <f aca="false">IF(OR(SUM($N239)=0,SUM($J239)=0,NOT(AND($D239="Female",$F239="Y",OR($C239="10-14",$C239="15-17")))),"",ROUND($N239*$J239,0))</f>
        <v/>
      </c>
      <c r="P239" s="39" t="str">
        <f aca="false">IF(OR(SUM($N239)=0,SUM($K239)=0,NOT(OR($C239="10-14",$C239="05-09"))),"",ROUND($N239*$K239,0))</f>
        <v/>
      </c>
      <c r="Q239" s="39" t="str">
        <f aca="false">IFERROR(1/(1/ROUND($N239*$L239*$M239,0)),"")</f>
        <v/>
      </c>
      <c r="R239" s="39" t="str">
        <f aca="false">IFERROR(1/(1/(ROUND($N239*$L239,0)-$Q239)),"")</f>
        <v/>
      </c>
      <c r="S239" s="88" t="str">
        <f aca="false">IF(OR($C239="18+",$C239="18-20",SUM($Q239,$R239)=0),"",100%)</f>
        <v/>
      </c>
      <c r="T239" s="39" t="str">
        <f aca="false">IF(OR($C239="18+",$C239="18-20",SUM($Q239,$R239)=0),"",ROUND(SUM($Q239,$R239)*$S239,0))</f>
        <v/>
      </c>
    </row>
    <row r="240" customFormat="false" ht="15" hidden="false" customHeight="false" outlineLevel="0" collapsed="false">
      <c r="A240" s="0" t="str">
        <f aca="false">INDEX(Prioritization!$D:$D,MATCH($B240,Prioritization!$A:$A,0))</f>
        <v>1 - Scale-up: Saturation</v>
      </c>
      <c r="B240" s="0" t="s">
        <v>210</v>
      </c>
      <c r="C240" s="0" t="s">
        <v>316</v>
      </c>
      <c r="D240" s="0" t="s">
        <v>48</v>
      </c>
      <c r="E240" s="0" t="str">
        <f aca="false">$B240&amp;"|"&amp;$C240&amp;"|"&amp;$D240</f>
        <v>Balaka District [ir8wuHHzoSs]|&lt;01|Male</v>
      </c>
      <c r="G240" s="10"/>
      <c r="H240" s="10"/>
      <c r="I240" s="88" t="str">
        <f aca="false">IF(SUM($H240)=0,"",0%)</f>
        <v/>
      </c>
      <c r="J240" s="88"/>
      <c r="K240" s="88"/>
      <c r="L240" s="88" t="n">
        <f aca="false">1-IF(NOT(AND($D240="Female",OR($C240="10-14",$C240="15-17",$F240="Y"))),0,$J240)-IF(NOT(OR($C240="05-09",$C240="10-14")),0,$K240)</f>
        <v>1</v>
      </c>
      <c r="M240" s="88" t="n">
        <f aca="false">IF(SUM($L240)=0,"",20%)</f>
        <v>0.2</v>
      </c>
      <c r="N240" s="10" t="str">
        <f aca="false">IF(SUM($H240)=0,"",ROUND($H240*(1+$I240),0))</f>
        <v/>
      </c>
      <c r="O240" s="39" t="str">
        <f aca="false">IF(OR(SUM($N240)=0,SUM($J240)=0,NOT(AND($D240="Female",$F240="Y",OR($C240="10-14",$C240="15-17")))),"",ROUND($N240*$J240,0))</f>
        <v/>
      </c>
      <c r="P240" s="39" t="str">
        <f aca="false">IF(OR(SUM($N240)=0,SUM($K240)=0,NOT(OR($C240="10-14",$C240="05-09"))),"",ROUND($N240*$K240,0))</f>
        <v/>
      </c>
      <c r="Q240" s="39" t="str">
        <f aca="false">IFERROR(1/(1/ROUND($N240*$L240*$M240,0)),"")</f>
        <v/>
      </c>
      <c r="R240" s="39" t="str">
        <f aca="false">IFERROR(1/(1/(ROUND($N240*$L240,0)-$Q240)),"")</f>
        <v/>
      </c>
      <c r="S240" s="88" t="str">
        <f aca="false">IF(OR($C240="18+",$C240="18-20",SUM($Q240,$R240)=0),"",100%)</f>
        <v/>
      </c>
      <c r="T240" s="39" t="str">
        <f aca="false">IF(OR($C240="18+",$C240="18-20",SUM($Q240,$R240)=0),"",ROUND(SUM($Q240,$R240)*$S240,0))</f>
        <v/>
      </c>
    </row>
    <row r="241" customFormat="false" ht="15" hidden="false" customHeight="false" outlineLevel="0" collapsed="false">
      <c r="A241" s="0" t="str">
        <f aca="false">INDEX(Prioritization!$D:$D,MATCH($B241,Prioritization!$A:$A,0))</f>
        <v>1 - Scale-up: Saturation</v>
      </c>
      <c r="B241" s="0" t="s">
        <v>210</v>
      </c>
      <c r="C241" s="0" t="s">
        <v>810</v>
      </c>
      <c r="D241" s="0" t="s">
        <v>30</v>
      </c>
      <c r="E241" s="0" t="str">
        <f aca="false">$B241&amp;"|"&amp;$C241&amp;"|"&amp;$D241</f>
        <v>Balaka District [ir8wuHHzoSs]|01-04|Female</v>
      </c>
      <c r="G241" s="10"/>
      <c r="H241" s="10"/>
      <c r="I241" s="88" t="str">
        <f aca="false">IF(SUM($H241)=0,"",0%)</f>
        <v/>
      </c>
      <c r="J241" s="88"/>
      <c r="K241" s="88"/>
      <c r="L241" s="88" t="n">
        <f aca="false">1-IF(NOT(AND($D241="Female",OR($C241="10-14",$C241="15-17",$F241="Y"))),0,$J241)-IF(NOT(OR($C241="05-09",$C241="10-14")),0,$K241)</f>
        <v>1</v>
      </c>
      <c r="M241" s="88" t="n">
        <f aca="false">IF(SUM($L241)=0,"",20%)</f>
        <v>0.2</v>
      </c>
      <c r="N241" s="10" t="str">
        <f aca="false">IF(SUM($H241)=0,"",ROUND($H241*(1+$I241),0))</f>
        <v/>
      </c>
      <c r="O241" s="39" t="str">
        <f aca="false">IF(OR(SUM($N241)=0,SUM($J241)=0,NOT(AND($D241="Female",$F241="Y",OR($C241="10-14",$C241="15-17")))),"",ROUND($N241*$J241,0))</f>
        <v/>
      </c>
      <c r="P241" s="39" t="str">
        <f aca="false">IF(OR(SUM($N241)=0,SUM($K241)=0,NOT(OR($C241="10-14",$C241="05-09"))),"",ROUND($N241*$K241,0))</f>
        <v/>
      </c>
      <c r="Q241" s="39" t="str">
        <f aca="false">IFERROR(1/(1/ROUND($N241*$L241*$M241,0)),"")</f>
        <v/>
      </c>
      <c r="R241" s="39" t="str">
        <f aca="false">IFERROR(1/(1/(ROUND($N241*$L241,0)-$Q241)),"")</f>
        <v/>
      </c>
      <c r="S241" s="88" t="str">
        <f aca="false">IF(OR($C241="18+",$C241="18-20",SUM($Q241,$R241)=0),"",100%)</f>
        <v/>
      </c>
      <c r="T241" s="39" t="str">
        <f aca="false">IF(OR($C241="18+",$C241="18-20",SUM($Q241,$R241)=0),"",ROUND(SUM($Q241,$R241)*$S241,0))</f>
        <v/>
      </c>
    </row>
    <row r="242" customFormat="false" ht="15" hidden="false" customHeight="false" outlineLevel="0" collapsed="false">
      <c r="A242" s="0" t="str">
        <f aca="false">INDEX(Prioritization!$D:$D,MATCH($B242,Prioritization!$A:$A,0))</f>
        <v>1 - Scale-up: Saturation</v>
      </c>
      <c r="B242" s="0" t="s">
        <v>210</v>
      </c>
      <c r="C242" s="0" t="s">
        <v>810</v>
      </c>
      <c r="D242" s="0" t="s">
        <v>48</v>
      </c>
      <c r="E242" s="0" t="str">
        <f aca="false">$B242&amp;"|"&amp;$C242&amp;"|"&amp;$D242</f>
        <v>Balaka District [ir8wuHHzoSs]|01-04|Male</v>
      </c>
      <c r="G242" s="10"/>
      <c r="H242" s="10"/>
      <c r="I242" s="88" t="str">
        <f aca="false">IF(SUM($H242)=0,"",0%)</f>
        <v/>
      </c>
      <c r="J242" s="88"/>
      <c r="K242" s="88"/>
      <c r="L242" s="88" t="n">
        <f aca="false">1-IF(NOT(AND($D242="Female",OR($C242="10-14",$C242="15-17",$F242="Y"))),0,$J242)-IF(NOT(OR($C242="05-09",$C242="10-14")),0,$K242)</f>
        <v>1</v>
      </c>
      <c r="M242" s="88" t="n">
        <f aca="false">IF(SUM($L242)=0,"",20%)</f>
        <v>0.2</v>
      </c>
      <c r="N242" s="10" t="str">
        <f aca="false">IF(SUM($H242)=0,"",ROUND($H242*(1+$I242),0))</f>
        <v/>
      </c>
      <c r="O242" s="39" t="str">
        <f aca="false">IF(OR(SUM($N242)=0,SUM($J242)=0,NOT(AND($D242="Female",$F242="Y",OR($C242="10-14",$C242="15-17")))),"",ROUND($N242*$J242,0))</f>
        <v/>
      </c>
      <c r="P242" s="39" t="str">
        <f aca="false">IF(OR(SUM($N242)=0,SUM($K242)=0,NOT(OR($C242="10-14",$C242="05-09"))),"",ROUND($N242*$K242,0))</f>
        <v/>
      </c>
      <c r="Q242" s="39" t="str">
        <f aca="false">IFERROR(1/(1/ROUND($N242*$L242*$M242,0)),"")</f>
        <v/>
      </c>
      <c r="R242" s="39" t="str">
        <f aca="false">IFERROR(1/(1/(ROUND($N242*$L242,0)-$Q242)),"")</f>
        <v/>
      </c>
      <c r="S242" s="88" t="str">
        <f aca="false">IF(OR($C242="18+",$C242="18-20",SUM($Q242,$R242)=0),"",100%)</f>
        <v/>
      </c>
      <c r="T242" s="39" t="str">
        <f aca="false">IF(OR($C242="18+",$C242="18-20",SUM($Q242,$R242)=0),"",ROUND(SUM($Q242,$R242)*$S242,0))</f>
        <v/>
      </c>
    </row>
    <row r="243" customFormat="false" ht="15" hidden="false" customHeight="false" outlineLevel="0" collapsed="false">
      <c r="A243" s="0" t="str">
        <f aca="false">INDEX(Prioritization!$D:$D,MATCH($B243,Prioritization!$A:$A,0))</f>
        <v>1 - Scale-up: Saturation</v>
      </c>
      <c r="B243" s="0" t="s">
        <v>210</v>
      </c>
      <c r="C243" s="0" t="s">
        <v>811</v>
      </c>
      <c r="D243" s="0" t="s">
        <v>30</v>
      </c>
      <c r="E243" s="0" t="str">
        <f aca="false">$B243&amp;"|"&amp;$C243&amp;"|"&amp;$D243</f>
        <v>Balaka District [ir8wuHHzoSs]|05-09|Female</v>
      </c>
      <c r="G243" s="10"/>
      <c r="H243" s="10"/>
      <c r="I243" s="88" t="str">
        <f aca="false">IF(SUM($H243)=0,"",0%)</f>
        <v/>
      </c>
      <c r="J243" s="88"/>
      <c r="K243" s="88"/>
      <c r="L243" s="88" t="n">
        <f aca="false">1-IF(NOT(AND($D243="Female",OR($C243="10-14",$C243="15-17",$F243="Y"))),0,$J243)-IF(NOT(OR($C243="05-09",$C243="10-14")),0,$K243)</f>
        <v>1</v>
      </c>
      <c r="M243" s="88" t="n">
        <f aca="false">IF(SUM($L243)=0,"",20%)</f>
        <v>0.2</v>
      </c>
      <c r="N243" s="10" t="str">
        <f aca="false">IF(SUM($H243)=0,"",ROUND($H243*(1+$I243),0))</f>
        <v/>
      </c>
      <c r="O243" s="39" t="str">
        <f aca="false">IF(OR(SUM($N243)=0,SUM($J243)=0,NOT(AND($D243="Female",$F243="Y",OR($C243="10-14",$C243="15-17")))),"",ROUND($N243*$J243,0))</f>
        <v/>
      </c>
      <c r="P243" s="39" t="str">
        <f aca="false">IF(OR(SUM($N243)=0,SUM($K243)=0,NOT(OR($C243="10-14",$C243="05-09"))),"",ROUND($N243*$K243,0))</f>
        <v/>
      </c>
      <c r="Q243" s="39" t="str">
        <f aca="false">IFERROR(1/(1/ROUND($N243*$L243*$M243,0)),"")</f>
        <v/>
      </c>
      <c r="R243" s="39" t="str">
        <f aca="false">IFERROR(1/(1/(ROUND($N243*$L243,0)-$Q243)),"")</f>
        <v/>
      </c>
      <c r="S243" s="88" t="str">
        <f aca="false">IF(OR($C243="18+",$C243="18-20",SUM($Q243,$R243)=0),"",100%)</f>
        <v/>
      </c>
      <c r="T243" s="39" t="str">
        <f aca="false">IF(OR($C243="18+",$C243="18-20",SUM($Q243,$R243)=0),"",ROUND(SUM($Q243,$R243)*$S243,0))</f>
        <v/>
      </c>
    </row>
    <row r="244" customFormat="false" ht="15" hidden="false" customHeight="false" outlineLevel="0" collapsed="false">
      <c r="A244" s="0" t="str">
        <f aca="false">INDEX(Prioritization!$D:$D,MATCH($B244,Prioritization!$A:$A,0))</f>
        <v>1 - Scale-up: Saturation</v>
      </c>
      <c r="B244" s="0" t="s">
        <v>210</v>
      </c>
      <c r="C244" s="0" t="s">
        <v>811</v>
      </c>
      <c r="D244" s="0" t="s">
        <v>48</v>
      </c>
      <c r="E244" s="0" t="str">
        <f aca="false">$B244&amp;"|"&amp;$C244&amp;"|"&amp;$D244</f>
        <v>Balaka District [ir8wuHHzoSs]|05-09|Male</v>
      </c>
      <c r="G244" s="10"/>
      <c r="H244" s="10"/>
      <c r="I244" s="88" t="str">
        <f aca="false">IF(SUM($H244)=0,"",0%)</f>
        <v/>
      </c>
      <c r="J244" s="88"/>
      <c r="K244" s="88"/>
      <c r="L244" s="88" t="n">
        <f aca="false">1-IF(NOT(AND($D244="Female",OR($C244="10-14",$C244="15-17",$F244="Y"))),0,$J244)-IF(NOT(OR($C244="05-09",$C244="10-14")),0,$K244)</f>
        <v>1</v>
      </c>
      <c r="M244" s="88" t="n">
        <f aca="false">IF(SUM($L244)=0,"",20%)</f>
        <v>0.2</v>
      </c>
      <c r="N244" s="10" t="str">
        <f aca="false">IF(SUM($H244)=0,"",ROUND($H244*(1+$I244),0))</f>
        <v/>
      </c>
      <c r="O244" s="39" t="str">
        <f aca="false">IF(OR(SUM($N244)=0,SUM($J244)=0,NOT(AND($D244="Female",$F244="Y",OR($C244="10-14",$C244="15-17")))),"",ROUND($N244*$J244,0))</f>
        <v/>
      </c>
      <c r="P244" s="39" t="str">
        <f aca="false">IF(OR(SUM($N244)=0,SUM($K244)=0,NOT(OR($C244="10-14",$C244="05-09"))),"",ROUND($N244*$K244,0))</f>
        <v/>
      </c>
      <c r="Q244" s="39" t="str">
        <f aca="false">IFERROR(1/(1/ROUND($N244*$L244*$M244,0)),"")</f>
        <v/>
      </c>
      <c r="R244" s="39" t="str">
        <f aca="false">IFERROR(1/(1/(ROUND($N244*$L244,0)-$Q244)),"")</f>
        <v/>
      </c>
      <c r="S244" s="88" t="str">
        <f aca="false">IF(OR($C244="18+",$C244="18-20",SUM($Q244,$R244)=0),"",100%)</f>
        <v/>
      </c>
      <c r="T244" s="39" t="str">
        <f aca="false">IF(OR($C244="18+",$C244="18-20",SUM($Q244,$R244)=0),"",ROUND(SUM($Q244,$R244)*$S244,0))</f>
        <v/>
      </c>
    </row>
    <row r="245" customFormat="false" ht="15" hidden="false" customHeight="false" outlineLevel="0" collapsed="false">
      <c r="A245" s="0" t="str">
        <f aca="false">INDEX(Prioritization!$D:$D,MATCH($B245,Prioritization!$A:$A,0))</f>
        <v>1 - Scale-up: Saturation</v>
      </c>
      <c r="B245" s="0" t="s">
        <v>210</v>
      </c>
      <c r="C245" s="0" t="s">
        <v>364</v>
      </c>
      <c r="D245" s="0" t="s">
        <v>30</v>
      </c>
      <c r="E245" s="0" t="str">
        <f aca="false">$B245&amp;"|"&amp;$C245&amp;"|"&amp;$D245</f>
        <v>Balaka District [ir8wuHHzoSs]|10-14|Female</v>
      </c>
      <c r="G245" s="10"/>
      <c r="H245" s="10" t="n">
        <v>4</v>
      </c>
      <c r="I245" s="88" t="n">
        <f aca="false">IF(SUM($H245)=0,"",0%)</f>
        <v>0</v>
      </c>
      <c r="J245" s="88"/>
      <c r="K245" s="88"/>
      <c r="L245" s="88" t="n">
        <f aca="false">1-IF(NOT(AND($D245="Female",OR($C245="10-14",$C245="15-17",$F245="Y"))),0,$J245)-IF(NOT(OR($C245="05-09",$C245="10-14")),0,$K245)</f>
        <v>1</v>
      </c>
      <c r="M245" s="88" t="n">
        <f aca="false">IF(SUM($L245)=0,"",20%)</f>
        <v>0.2</v>
      </c>
      <c r="N245" s="10" t="n">
        <f aca="false">IF(SUM($H245)=0,"",ROUND($H245*(1+$I245),0))</f>
        <v>4</v>
      </c>
      <c r="O245" s="39" t="str">
        <f aca="false">IF(OR(SUM($N245)=0,SUM($J245)=0,NOT(AND($D245="Female",$F245="Y",OR($C245="10-14",$C245="15-17")))),"",ROUND($N245*$J245,0))</f>
        <v/>
      </c>
      <c r="P245" s="39" t="str">
        <f aca="false">IF(OR(SUM($N245)=0,SUM($K245)=0,NOT(OR($C245="10-14",$C245="05-09"))),"",ROUND($N245*$K245,0))</f>
        <v/>
      </c>
      <c r="Q245" s="39" t="n">
        <f aca="false">IFERROR(1/(1/ROUND($N245*$L245*$M245,0)),"")</f>
        <v>1</v>
      </c>
      <c r="R245" s="39" t="n">
        <f aca="false">IFERROR(1/(1/(ROUND($N245*$L245,0)-$Q245)),"")</f>
        <v>3</v>
      </c>
      <c r="S245" s="88" t="n">
        <f aca="false">IF(OR($C245="18+",$C245="18-20",SUM($Q245,$R245)=0),"",100%)</f>
        <v>1</v>
      </c>
      <c r="T245" s="39" t="n">
        <f aca="false">IF(OR($C245="18+",$C245="18-20",SUM($Q245,$R245)=0),"",ROUND(SUM($Q245,$R245)*$S245,0))</f>
        <v>4</v>
      </c>
    </row>
    <row r="246" customFormat="false" ht="15" hidden="false" customHeight="false" outlineLevel="0" collapsed="false">
      <c r="A246" s="0" t="str">
        <f aca="false">INDEX(Prioritization!$D:$D,MATCH($B246,Prioritization!$A:$A,0))</f>
        <v>1 - Scale-up: Saturation</v>
      </c>
      <c r="B246" s="0" t="s">
        <v>210</v>
      </c>
      <c r="C246" s="0" t="s">
        <v>364</v>
      </c>
      <c r="D246" s="0" t="s">
        <v>48</v>
      </c>
      <c r="E246" s="0" t="str">
        <f aca="false">$B246&amp;"|"&amp;$C246&amp;"|"&amp;$D246</f>
        <v>Balaka District [ir8wuHHzoSs]|10-14|Male</v>
      </c>
      <c r="G246" s="10"/>
      <c r="H246" s="10" t="n">
        <v>2</v>
      </c>
      <c r="I246" s="88" t="n">
        <f aca="false">IF(SUM($H246)=0,"",0%)</f>
        <v>0</v>
      </c>
      <c r="J246" s="88"/>
      <c r="K246" s="88"/>
      <c r="L246" s="88" t="n">
        <f aca="false">1-IF(NOT(AND($D246="Female",OR($C246="10-14",$C246="15-17",$F246="Y"))),0,$J246)-IF(NOT(OR($C246="05-09",$C246="10-14")),0,$K246)</f>
        <v>1</v>
      </c>
      <c r="M246" s="88" t="n">
        <f aca="false">IF(SUM($L246)=0,"",20%)</f>
        <v>0.2</v>
      </c>
      <c r="N246" s="10" t="n">
        <f aca="false">IF(SUM($H246)=0,"",ROUND($H246*(1+$I246),0))</f>
        <v>2</v>
      </c>
      <c r="O246" s="39" t="str">
        <f aca="false">IF(OR(SUM($N246)=0,SUM($J246)=0,NOT(AND($D246="Female",$F246="Y",OR($C246="10-14",$C246="15-17")))),"",ROUND($N246*$J246,0))</f>
        <v/>
      </c>
      <c r="P246" s="39" t="str">
        <f aca="false">IF(OR(SUM($N246)=0,SUM($K246)=0,NOT(OR($C246="10-14",$C246="05-09"))),"",ROUND($N246*$K246,0))</f>
        <v/>
      </c>
      <c r="Q246" s="39" t="str">
        <f aca="false">IFERROR(1/(1/ROUND($N246*$L246*$M246,0)),"")</f>
        <v/>
      </c>
      <c r="R246" s="39" t="str">
        <f aca="false">IFERROR(1/(1/(ROUND($N246*$L246,0)-$Q246)),"")</f>
        <v/>
      </c>
      <c r="S246" s="88" t="str">
        <f aca="false">IF(OR($C246="18+",$C246="18-20",SUM($Q246,$R246)=0),"",100%)</f>
        <v/>
      </c>
      <c r="T246" s="39" t="str">
        <f aca="false">IF(OR($C246="18+",$C246="18-20",SUM($Q246,$R246)=0),"",ROUND(SUM($Q246,$R246)*$S246,0))</f>
        <v/>
      </c>
    </row>
    <row r="247" customFormat="false" ht="15" hidden="false" customHeight="false" outlineLevel="0" collapsed="false">
      <c r="A247" s="0" t="str">
        <f aca="false">INDEX(Prioritization!$D:$D,MATCH($B247,Prioritization!$A:$A,0))</f>
        <v>1 - Scale-up: Saturation</v>
      </c>
      <c r="B247" s="0" t="s">
        <v>210</v>
      </c>
      <c r="C247" s="0" t="s">
        <v>812</v>
      </c>
      <c r="D247" s="0" t="s">
        <v>30</v>
      </c>
      <c r="E247" s="0" t="str">
        <f aca="false">$B247&amp;"|"&amp;$C247&amp;"|"&amp;$D247</f>
        <v>Balaka District [ir8wuHHzoSs]|15-17|Female</v>
      </c>
      <c r="G247" s="10"/>
      <c r="H247" s="10"/>
      <c r="I247" s="88" t="str">
        <f aca="false">IF(SUM($H247)=0,"",0%)</f>
        <v/>
      </c>
      <c r="J247" s="88"/>
      <c r="K247" s="88"/>
      <c r="L247" s="88" t="n">
        <f aca="false">1-IF(NOT(AND($D247="Female",OR($C247="10-14",$C247="15-17",$F247="Y"))),0,$J247)-IF(NOT(OR($C247="05-09",$C247="10-14")),0,$K247)</f>
        <v>1</v>
      </c>
      <c r="M247" s="88" t="n">
        <f aca="false">IF(SUM($L247)=0,"",20%)</f>
        <v>0.2</v>
      </c>
      <c r="N247" s="10" t="str">
        <f aca="false">IF(SUM($H247)=0,"",ROUND($H247*(1+$I247),0))</f>
        <v/>
      </c>
      <c r="O247" s="39" t="str">
        <f aca="false">IF(OR(SUM($N247)=0,SUM($J247)=0,NOT(AND($D247="Female",$F247="Y",OR($C247="10-14",$C247="15-17")))),"",ROUND($N247*$J247,0))</f>
        <v/>
      </c>
      <c r="P247" s="39" t="str">
        <f aca="false">IF(OR(SUM($N247)=0,SUM($K247)=0,NOT(OR($C247="10-14",$C247="05-09"))),"",ROUND($N247*$K247,0))</f>
        <v/>
      </c>
      <c r="Q247" s="39" t="str">
        <f aca="false">IFERROR(1/(1/ROUND($N247*$L247*$M247,0)),"")</f>
        <v/>
      </c>
      <c r="R247" s="39" t="str">
        <f aca="false">IFERROR(1/(1/(ROUND($N247*$L247,0)-$Q247)),"")</f>
        <v/>
      </c>
      <c r="S247" s="88" t="str">
        <f aca="false">IF(OR($C247="18+",$C247="18-20",SUM($Q247,$R247)=0),"",100%)</f>
        <v/>
      </c>
      <c r="T247" s="39" t="str">
        <f aca="false">IF(OR($C247="18+",$C247="18-20",SUM($Q247,$R247)=0),"",ROUND(SUM($Q247,$R247)*$S247,0))</f>
        <v/>
      </c>
    </row>
    <row r="248" customFormat="false" ht="15" hidden="false" customHeight="false" outlineLevel="0" collapsed="false">
      <c r="A248" s="0" t="str">
        <f aca="false">INDEX(Prioritization!$D:$D,MATCH($B248,Prioritization!$A:$A,0))</f>
        <v>1 - Scale-up: Saturation</v>
      </c>
      <c r="B248" s="0" t="s">
        <v>210</v>
      </c>
      <c r="C248" s="0" t="s">
        <v>812</v>
      </c>
      <c r="D248" s="0" t="s">
        <v>48</v>
      </c>
      <c r="E248" s="0" t="str">
        <f aca="false">$B248&amp;"|"&amp;$C248&amp;"|"&amp;$D248</f>
        <v>Balaka District [ir8wuHHzoSs]|15-17|Male</v>
      </c>
      <c r="G248" s="10"/>
      <c r="H248" s="10"/>
      <c r="I248" s="88" t="str">
        <f aca="false">IF(SUM($H248)=0,"",0%)</f>
        <v/>
      </c>
      <c r="J248" s="88"/>
      <c r="K248" s="88"/>
      <c r="L248" s="88" t="n">
        <f aca="false">1-IF(NOT(AND($D248="Female",OR($C248="10-14",$C248="15-17",$F248="Y"))),0,$J248)-IF(NOT(OR($C248="05-09",$C248="10-14")),0,$K248)</f>
        <v>1</v>
      </c>
      <c r="M248" s="88" t="n">
        <f aca="false">IF(SUM($L248)=0,"",20%)</f>
        <v>0.2</v>
      </c>
      <c r="N248" s="10" t="str">
        <f aca="false">IF(SUM($H248)=0,"",ROUND($H248*(1+$I248),0))</f>
        <v/>
      </c>
      <c r="O248" s="39" t="str">
        <f aca="false">IF(OR(SUM($N248)=0,SUM($J248)=0,NOT(AND($D248="Female",$F248="Y",OR($C248="10-14",$C248="15-17")))),"",ROUND($N248*$J248,0))</f>
        <v/>
      </c>
      <c r="P248" s="39" t="str">
        <f aca="false">IF(OR(SUM($N248)=0,SUM($K248)=0,NOT(OR($C248="10-14",$C248="05-09"))),"",ROUND($N248*$K248,0))</f>
        <v/>
      </c>
      <c r="Q248" s="39" t="str">
        <f aca="false">IFERROR(1/(1/ROUND($N248*$L248*$M248,0)),"")</f>
        <v/>
      </c>
      <c r="R248" s="39" t="str">
        <f aca="false">IFERROR(1/(1/(ROUND($N248*$L248,0)-$Q248)),"")</f>
        <v/>
      </c>
      <c r="S248" s="88" t="str">
        <f aca="false">IF(OR($C248="18+",$C248="18-20",SUM($Q248,$R248)=0),"",100%)</f>
        <v/>
      </c>
      <c r="T248" s="39" t="str">
        <f aca="false">IF(OR($C248="18+",$C248="18-20",SUM($Q248,$R248)=0),"",ROUND(SUM($Q248,$R248)*$S248,0))</f>
        <v/>
      </c>
    </row>
    <row r="249" customFormat="false" ht="15" hidden="false" customHeight="false" outlineLevel="0" collapsed="false">
      <c r="A249" s="0" t="str">
        <f aca="false">INDEX(Prioritization!$D:$D,MATCH($B249,Prioritization!$A:$A,0))</f>
        <v>1 - Scale-up: Saturation</v>
      </c>
      <c r="B249" s="0" t="s">
        <v>210</v>
      </c>
      <c r="C249" s="0" t="s">
        <v>813</v>
      </c>
      <c r="D249" s="0" t="s">
        <v>30</v>
      </c>
      <c r="E249" s="0" t="str">
        <f aca="false">$B249&amp;"|"&amp;$C249&amp;"|"&amp;$D249</f>
        <v>Balaka District [ir8wuHHzoSs]|18-20|Female</v>
      </c>
      <c r="G249" s="10"/>
      <c r="H249" s="10"/>
      <c r="I249" s="88" t="str">
        <f aca="false">IF(SUM($H249)=0,"",0%)</f>
        <v/>
      </c>
      <c r="J249" s="88"/>
      <c r="K249" s="88"/>
      <c r="L249" s="88" t="n">
        <f aca="false">1-IF(NOT(AND($D249="Female",OR($C249="10-14",$C249="15-17",$F249="Y"))),0,$J249)-IF(NOT(OR($C249="05-09",$C249="10-14")),0,$K249)</f>
        <v>1</v>
      </c>
      <c r="M249" s="88" t="n">
        <f aca="false">IF(SUM($L249)=0,"",20%)</f>
        <v>0.2</v>
      </c>
      <c r="N249" s="10" t="str">
        <f aca="false">IF(SUM($H249)=0,"",ROUND($H249*(1+$I249),0))</f>
        <v/>
      </c>
      <c r="O249" s="39" t="str">
        <f aca="false">IF(OR(SUM($N249)=0,SUM($J249)=0,NOT(AND($D249="Female",$F249="Y",OR($C249="10-14",$C249="15-17")))),"",ROUND($N249*$J249,0))</f>
        <v/>
      </c>
      <c r="P249" s="39" t="str">
        <f aca="false">IF(OR(SUM($N249)=0,SUM($K249)=0,NOT(OR($C249="10-14",$C249="05-09"))),"",ROUND($N249*$K249,0))</f>
        <v/>
      </c>
      <c r="Q249" s="39" t="str">
        <f aca="false">IFERROR(1/(1/ROUND($N249*$L249*$M249,0)),"")</f>
        <v/>
      </c>
      <c r="R249" s="39" t="str">
        <f aca="false">IFERROR(1/(1/(ROUND($N249*$L249,0)-$Q249)),"")</f>
        <v/>
      </c>
      <c r="S249" s="88" t="str">
        <f aca="false">IF(OR($C249="18+",$C249="18-20",SUM($Q249,$R249)=0),"",100%)</f>
        <v/>
      </c>
      <c r="T249" s="39" t="str">
        <f aca="false">IF(OR($C249="18+",$C249="18-20",SUM($Q249,$R249)=0),"",ROUND(SUM($Q249,$R249)*$S249,0))</f>
        <v/>
      </c>
    </row>
    <row r="250" customFormat="false" ht="15" hidden="false" customHeight="false" outlineLevel="0" collapsed="false">
      <c r="A250" s="0" t="str">
        <f aca="false">INDEX(Prioritization!$D:$D,MATCH($B250,Prioritization!$A:$A,0))</f>
        <v>1 - Scale-up: Saturation</v>
      </c>
      <c r="B250" s="0" t="s">
        <v>210</v>
      </c>
      <c r="C250" s="0" t="s">
        <v>813</v>
      </c>
      <c r="D250" s="0" t="s">
        <v>48</v>
      </c>
      <c r="E250" s="0" t="str">
        <f aca="false">$B250&amp;"|"&amp;$C250&amp;"|"&amp;$D250</f>
        <v>Balaka District [ir8wuHHzoSs]|18-20|Male</v>
      </c>
      <c r="G250" s="10"/>
      <c r="H250" s="10"/>
      <c r="I250" s="88" t="str">
        <f aca="false">IF(SUM($H250)=0,"",0%)</f>
        <v/>
      </c>
      <c r="J250" s="88"/>
      <c r="K250" s="88"/>
      <c r="L250" s="88" t="n">
        <f aca="false">1-IF(NOT(AND($D250="Female",OR($C250="10-14",$C250="15-17",$F250="Y"))),0,$J250)-IF(NOT(OR($C250="05-09",$C250="10-14")),0,$K250)</f>
        <v>1</v>
      </c>
      <c r="M250" s="88" t="n">
        <f aca="false">IF(SUM($L250)=0,"",20%)</f>
        <v>0.2</v>
      </c>
      <c r="N250" s="10" t="str">
        <f aca="false">IF(SUM($H250)=0,"",ROUND($H250*(1+$I250),0))</f>
        <v/>
      </c>
      <c r="O250" s="39" t="str">
        <f aca="false">IF(OR(SUM($N250)=0,SUM($J250)=0,NOT(AND($D250="Female",$F250="Y",OR($C250="10-14",$C250="15-17")))),"",ROUND($N250*$J250,0))</f>
        <v/>
      </c>
      <c r="P250" s="39" t="str">
        <f aca="false">IF(OR(SUM($N250)=0,SUM($K250)=0,NOT(OR($C250="10-14",$C250="05-09"))),"",ROUND($N250*$K250,0))</f>
        <v/>
      </c>
      <c r="Q250" s="39" t="str">
        <f aca="false">IFERROR(1/(1/ROUND($N250*$L250*$M250,0)),"")</f>
        <v/>
      </c>
      <c r="R250" s="39" t="str">
        <f aca="false">IFERROR(1/(1/(ROUND($N250*$L250,0)-$Q250)),"")</f>
        <v/>
      </c>
      <c r="S250" s="88" t="str">
        <f aca="false">IF(OR($C250="18+",$C250="18-20",SUM($Q250,$R250)=0),"",100%)</f>
        <v/>
      </c>
      <c r="T250" s="39" t="str">
        <f aca="false">IF(OR($C250="18+",$C250="18-20",SUM($Q250,$R250)=0),"",ROUND(SUM($Q250,$R250)*$S250,0))</f>
        <v/>
      </c>
    </row>
    <row r="251" customFormat="false" ht="15" hidden="false" customHeight="false" outlineLevel="0" collapsed="false">
      <c r="A251" s="0" t="str">
        <f aca="false">INDEX(Prioritization!$D:$D,MATCH($B251,Prioritization!$A:$A,0))</f>
        <v>1 - Scale-up: Saturation</v>
      </c>
      <c r="B251" s="0" t="s">
        <v>210</v>
      </c>
      <c r="C251" s="0" t="s">
        <v>814</v>
      </c>
      <c r="D251" s="0" t="s">
        <v>30</v>
      </c>
      <c r="E251" s="0" t="str">
        <f aca="false">$B251&amp;"|"&amp;$C251&amp;"|"&amp;$D251</f>
        <v>Balaka District [ir8wuHHzoSs]|18+|Female</v>
      </c>
      <c r="G251" s="10"/>
      <c r="H251" s="10"/>
      <c r="I251" s="88" t="str">
        <f aca="false">IF(SUM($H251)=0,"",0%)</f>
        <v/>
      </c>
      <c r="J251" s="88"/>
      <c r="K251" s="88"/>
      <c r="L251" s="88" t="n">
        <f aca="false">1-IF(NOT(AND($D251="Female",OR($C251="10-14",$C251="15-17",$F251="Y"))),0,$J251)-IF(NOT(OR($C251="05-09",$C251="10-14")),0,$K251)</f>
        <v>1</v>
      </c>
      <c r="M251" s="88" t="n">
        <f aca="false">IF(SUM($L251)=0,"",20%)</f>
        <v>0.2</v>
      </c>
      <c r="N251" s="10" t="str">
        <f aca="false">IF(SUM($H251)=0,"",ROUND($H251*(1+$I251),0))</f>
        <v/>
      </c>
      <c r="O251" s="39" t="str">
        <f aca="false">IF(OR(SUM($N251)=0,SUM($J251)=0,NOT(AND($D251="Female",$F251="Y",OR($C251="10-14",$C251="15-17")))),"",ROUND($N251*$J251,0))</f>
        <v/>
      </c>
      <c r="P251" s="39" t="str">
        <f aca="false">IF(OR(SUM($N251)=0,SUM($K251)=0,NOT(OR($C251="10-14",$C251="05-09"))),"",ROUND($N251*$K251,0))</f>
        <v/>
      </c>
      <c r="Q251" s="39" t="str">
        <f aca="false">IFERROR(1/(1/ROUND($N251*$L251*$M251,0)),"")</f>
        <v/>
      </c>
      <c r="R251" s="39" t="str">
        <f aca="false">IFERROR(1/(1/(ROUND($N251*$L251,0)-$Q251)),"")</f>
        <v/>
      </c>
      <c r="S251" s="88" t="str">
        <f aca="false">IF(OR($C251="18+",$C251="18-20",SUM($Q251,$R251)=0),"",100%)</f>
        <v/>
      </c>
      <c r="T251" s="39" t="str">
        <f aca="false">IF(OR($C251="18+",$C251="18-20",SUM($Q251,$R251)=0),"",ROUND(SUM($Q251,$R251)*$S251,0))</f>
        <v/>
      </c>
    </row>
    <row r="252" customFormat="false" ht="15" hidden="false" customHeight="false" outlineLevel="0" collapsed="false">
      <c r="A252" s="0" t="str">
        <f aca="false">INDEX(Prioritization!$D:$D,MATCH($B252,Prioritization!$A:$A,0))</f>
        <v>1 - Scale-up: Saturation</v>
      </c>
      <c r="B252" s="0" t="s">
        <v>210</v>
      </c>
      <c r="C252" s="0" t="s">
        <v>814</v>
      </c>
      <c r="D252" s="0" t="s">
        <v>48</v>
      </c>
      <c r="E252" s="0" t="str">
        <f aca="false">$B252&amp;"|"&amp;$C252&amp;"|"&amp;$D252</f>
        <v>Balaka District [ir8wuHHzoSs]|18+|Male</v>
      </c>
      <c r="G252" s="10"/>
      <c r="H252" s="10"/>
      <c r="I252" s="88" t="str">
        <f aca="false">IF(SUM($H252)=0,"",0%)</f>
        <v/>
      </c>
      <c r="J252" s="88"/>
      <c r="K252" s="88"/>
      <c r="L252" s="88" t="n">
        <f aca="false">1-IF(NOT(AND($D252="Female",OR($C252="10-14",$C252="15-17",$F252="Y"))),0,$J252)-IF(NOT(OR($C252="05-09",$C252="10-14")),0,$K252)</f>
        <v>1</v>
      </c>
      <c r="M252" s="88" t="n">
        <f aca="false">IF(SUM($L252)=0,"",20%)</f>
        <v>0.2</v>
      </c>
      <c r="N252" s="10" t="str">
        <f aca="false">IF(SUM($H252)=0,"",ROUND($H252*(1+$I252),0))</f>
        <v/>
      </c>
      <c r="O252" s="39" t="str">
        <f aca="false">IF(OR(SUM($N252)=0,SUM($J252)=0,NOT(AND($D252="Female",$F252="Y",OR($C252="10-14",$C252="15-17")))),"",ROUND($N252*$J252,0))</f>
        <v/>
      </c>
      <c r="P252" s="39" t="str">
        <f aca="false">IF(OR(SUM($N252)=0,SUM($K252)=0,NOT(OR($C252="10-14",$C252="05-09"))),"",ROUND($N252*$K252,0))</f>
        <v/>
      </c>
      <c r="Q252" s="39" t="str">
        <f aca="false">IFERROR(1/(1/ROUND($N252*$L252*$M252,0)),"")</f>
        <v/>
      </c>
      <c r="R252" s="39" t="str">
        <f aca="false">IFERROR(1/(1/(ROUND($N252*$L252,0)-$Q252)),"")</f>
        <v/>
      </c>
      <c r="S252" s="88" t="str">
        <f aca="false">IF(OR($C252="18+",$C252="18-20",SUM($Q252,$R252)=0),"",100%)</f>
        <v/>
      </c>
      <c r="T252" s="39" t="str">
        <f aca="false">IF(OR($C252="18+",$C252="18-20",SUM($Q252,$R252)=0),"",ROUND(SUM($Q252,$R252)*$S252,0))</f>
        <v/>
      </c>
    </row>
    <row r="253" customFormat="false" ht="15" hidden="false" customHeight="false" outlineLevel="0" collapsed="false">
      <c r="A253" s="0" t="str">
        <f aca="false">INDEX(Prioritization!$D:$D,MATCH($B253,Prioritization!$A:$A,0))</f>
        <v>1 - Scale-up: Saturation</v>
      </c>
      <c r="B253" s="0" t="s">
        <v>211</v>
      </c>
      <c r="C253" s="0" t="s">
        <v>316</v>
      </c>
      <c r="D253" s="0" t="s">
        <v>30</v>
      </c>
      <c r="E253" s="0" t="str">
        <f aca="false">$B253&amp;"|"&amp;$C253&amp;"|"&amp;$D253</f>
        <v>Blantyre District [mxqa3CDFmIT]|&lt;01|Female</v>
      </c>
      <c r="F253" s="0" t="s">
        <v>1246</v>
      </c>
      <c r="G253" s="10" t="n">
        <v>12</v>
      </c>
      <c r="H253" s="10" t="n">
        <v>89</v>
      </c>
      <c r="I253" s="88" t="n">
        <f aca="false">IF(SUM($H253)=0,"",0%)</f>
        <v>0</v>
      </c>
      <c r="J253" s="88"/>
      <c r="K253" s="88"/>
      <c r="L253" s="88" t="n">
        <f aca="false">1-IF(NOT(AND($D253="Female",OR($C253="10-14",$C253="15-17",$F253="Y"))),0,$J253)-IF(NOT(OR($C253="05-09",$C253="10-14")),0,$K253)</f>
        <v>1</v>
      </c>
      <c r="M253" s="88" t="n">
        <f aca="false">IF(SUM($L253)=0,"",20%)</f>
        <v>0.2</v>
      </c>
      <c r="N253" s="10" t="n">
        <f aca="false">IF(SUM($H253)=0,"",ROUND($H253*(1+$I253),0))</f>
        <v>89</v>
      </c>
      <c r="O253" s="39" t="str">
        <f aca="false">IF(OR(SUM($N253)=0,SUM($J253)=0,NOT(AND($D253="Female",$F253="Y",OR($C253="10-14",$C253="15-17")))),"",ROUND($N253*$J253,0))</f>
        <v/>
      </c>
      <c r="P253" s="39" t="str">
        <f aca="false">IF(OR(SUM($N253)=0,SUM($K253)=0,NOT(OR($C253="10-14",$C253="05-09"))),"",ROUND($N253*$K253,0))</f>
        <v/>
      </c>
      <c r="Q253" s="39" t="n">
        <f aca="false">IFERROR(1/(1/ROUND($N253*$L253*$M253,0)),"")</f>
        <v>18</v>
      </c>
      <c r="R253" s="39" t="n">
        <f aca="false">IFERROR(1/(1/(ROUND($N253*$L253,0)-$Q253)),"")</f>
        <v>71</v>
      </c>
      <c r="S253" s="88" t="n">
        <f aca="false">IF(OR($C253="18+",$C253="18-20",SUM($Q253,$R253)=0),"",100%)</f>
        <v>1</v>
      </c>
      <c r="T253" s="39" t="n">
        <f aca="false">IF(OR($C253="18+",$C253="18-20",SUM($Q253,$R253)=0),"",ROUND(SUM($Q253,$R253)*$S253,0))</f>
        <v>89</v>
      </c>
    </row>
    <row r="254" customFormat="false" ht="15" hidden="false" customHeight="false" outlineLevel="0" collapsed="false">
      <c r="A254" s="0" t="str">
        <f aca="false">INDEX(Prioritization!$D:$D,MATCH($B254,Prioritization!$A:$A,0))</f>
        <v>1 - Scale-up: Saturation</v>
      </c>
      <c r="B254" s="0" t="s">
        <v>211</v>
      </c>
      <c r="C254" s="0" t="s">
        <v>316</v>
      </c>
      <c r="D254" s="0" t="s">
        <v>48</v>
      </c>
      <c r="E254" s="0" t="str">
        <f aca="false">$B254&amp;"|"&amp;$C254&amp;"|"&amp;$D254</f>
        <v>Blantyre District [mxqa3CDFmIT]|&lt;01|Male</v>
      </c>
      <c r="F254" s="0" t="s">
        <v>1246</v>
      </c>
      <c r="G254" s="10" t="n">
        <v>56</v>
      </c>
      <c r="H254" s="10" t="n">
        <v>38</v>
      </c>
      <c r="I254" s="88" t="n">
        <f aca="false">IF(SUM($H254)=0,"",0%)</f>
        <v>0</v>
      </c>
      <c r="J254" s="88"/>
      <c r="K254" s="88"/>
      <c r="L254" s="88" t="n">
        <f aca="false">1-IF(NOT(AND($D254="Female",OR($C254="10-14",$C254="15-17",$F254="Y"))),0,$J254)-IF(NOT(OR($C254="05-09",$C254="10-14")),0,$K254)</f>
        <v>1</v>
      </c>
      <c r="M254" s="88" t="n">
        <f aca="false">IF(SUM($L254)=0,"",20%)</f>
        <v>0.2</v>
      </c>
      <c r="N254" s="10" t="n">
        <f aca="false">IF(SUM($H254)=0,"",ROUND($H254*(1+$I254),0))</f>
        <v>38</v>
      </c>
      <c r="O254" s="39" t="str">
        <f aca="false">IF(OR(SUM($N254)=0,SUM($J254)=0,NOT(AND($D254="Female",$F254="Y",OR($C254="10-14",$C254="15-17")))),"",ROUND($N254*$J254,0))</f>
        <v/>
      </c>
      <c r="P254" s="39" t="str">
        <f aca="false">IF(OR(SUM($N254)=0,SUM($K254)=0,NOT(OR($C254="10-14",$C254="05-09"))),"",ROUND($N254*$K254,0))</f>
        <v/>
      </c>
      <c r="Q254" s="39" t="n">
        <f aca="false">IFERROR(1/(1/ROUND($N254*$L254*$M254,0)),"")</f>
        <v>8</v>
      </c>
      <c r="R254" s="39" t="n">
        <f aca="false">IFERROR(1/(1/(ROUND($N254*$L254,0)-$Q254)),"")</f>
        <v>30</v>
      </c>
      <c r="S254" s="88" t="n">
        <f aca="false">IF(OR($C254="18+",$C254="18-20",SUM($Q254,$R254)=0),"",100%)</f>
        <v>1</v>
      </c>
      <c r="T254" s="39" t="n">
        <f aca="false">IF(OR($C254="18+",$C254="18-20",SUM($Q254,$R254)=0),"",ROUND(SUM($Q254,$R254)*$S254,0))</f>
        <v>38</v>
      </c>
    </row>
    <row r="255" customFormat="false" ht="15" hidden="false" customHeight="false" outlineLevel="0" collapsed="false">
      <c r="A255" s="0" t="str">
        <f aca="false">INDEX(Prioritization!$D:$D,MATCH($B255,Prioritization!$A:$A,0))</f>
        <v>1 - Scale-up: Saturation</v>
      </c>
      <c r="B255" s="0" t="s">
        <v>211</v>
      </c>
      <c r="C255" s="0" t="s">
        <v>810</v>
      </c>
      <c r="D255" s="0" t="s">
        <v>30</v>
      </c>
      <c r="E255" s="0" t="str">
        <f aca="false">$B255&amp;"|"&amp;$C255&amp;"|"&amp;$D255</f>
        <v>Blantyre District [mxqa3CDFmIT]|01-04|Female</v>
      </c>
      <c r="F255" s="0" t="s">
        <v>1246</v>
      </c>
      <c r="G255" s="10" t="n">
        <v>54</v>
      </c>
      <c r="H255" s="10" t="n">
        <v>566</v>
      </c>
      <c r="I255" s="88" t="n">
        <f aca="false">IF(SUM($H255)=0,"",0%)</f>
        <v>0</v>
      </c>
      <c r="J255" s="88"/>
      <c r="K255" s="88"/>
      <c r="L255" s="88" t="n">
        <f aca="false">1-IF(NOT(AND($D255="Female",OR($C255="10-14",$C255="15-17",$F255="Y"))),0,$J255)-IF(NOT(OR($C255="05-09",$C255="10-14")),0,$K255)</f>
        <v>1</v>
      </c>
      <c r="M255" s="88" t="n">
        <f aca="false">IF(SUM($L255)=0,"",20%)</f>
        <v>0.2</v>
      </c>
      <c r="N255" s="10" t="n">
        <f aca="false">IF(SUM($H255)=0,"",ROUND($H255*(1+$I255),0))</f>
        <v>566</v>
      </c>
      <c r="O255" s="39" t="str">
        <f aca="false">IF(OR(SUM($N255)=0,SUM($J255)=0,NOT(AND($D255="Female",$F255="Y",OR($C255="10-14",$C255="15-17")))),"",ROUND($N255*$J255,0))</f>
        <v/>
      </c>
      <c r="P255" s="39" t="str">
        <f aca="false">IF(OR(SUM($N255)=0,SUM($K255)=0,NOT(OR($C255="10-14",$C255="05-09"))),"",ROUND($N255*$K255,0))</f>
        <v/>
      </c>
      <c r="Q255" s="39" t="n">
        <f aca="false">IFERROR(1/(1/ROUND($N255*$L255*$M255,0)),"")</f>
        <v>113</v>
      </c>
      <c r="R255" s="39" t="n">
        <f aca="false">IFERROR(1/(1/(ROUND($N255*$L255,0)-$Q255)),"")</f>
        <v>453</v>
      </c>
      <c r="S255" s="88" t="n">
        <f aca="false">IF(OR($C255="18+",$C255="18-20",SUM($Q255,$R255)=0),"",100%)</f>
        <v>1</v>
      </c>
      <c r="T255" s="39" t="n">
        <f aca="false">IF(OR($C255="18+",$C255="18-20",SUM($Q255,$R255)=0),"",ROUND(SUM($Q255,$R255)*$S255,0))</f>
        <v>566</v>
      </c>
    </row>
    <row r="256" customFormat="false" ht="15" hidden="false" customHeight="false" outlineLevel="0" collapsed="false">
      <c r="A256" s="0" t="str">
        <f aca="false">INDEX(Prioritization!$D:$D,MATCH($B256,Prioritization!$A:$A,0))</f>
        <v>1 - Scale-up: Saturation</v>
      </c>
      <c r="B256" s="0" t="s">
        <v>211</v>
      </c>
      <c r="C256" s="0" t="s">
        <v>810</v>
      </c>
      <c r="D256" s="0" t="s">
        <v>48</v>
      </c>
      <c r="E256" s="0" t="str">
        <f aca="false">$B256&amp;"|"&amp;$C256&amp;"|"&amp;$D256</f>
        <v>Blantyre District [mxqa3CDFmIT]|01-04|Male</v>
      </c>
      <c r="F256" s="0" t="s">
        <v>1246</v>
      </c>
      <c r="G256" s="10" t="n">
        <v>13</v>
      </c>
      <c r="H256" s="10" t="n">
        <v>642</v>
      </c>
      <c r="I256" s="88" t="n">
        <f aca="false">IF(SUM($H256)=0,"",0%)</f>
        <v>0</v>
      </c>
      <c r="J256" s="88"/>
      <c r="K256" s="88"/>
      <c r="L256" s="88" t="n">
        <f aca="false">1-IF(NOT(AND($D256="Female",OR($C256="10-14",$C256="15-17",$F256="Y"))),0,$J256)-IF(NOT(OR($C256="05-09",$C256="10-14")),0,$K256)</f>
        <v>1</v>
      </c>
      <c r="M256" s="88" t="n">
        <f aca="false">IF(SUM($L256)=0,"",20%)</f>
        <v>0.2</v>
      </c>
      <c r="N256" s="10" t="n">
        <f aca="false">IF(SUM($H256)=0,"",ROUND($H256*(1+$I256),0))</f>
        <v>642</v>
      </c>
      <c r="O256" s="39" t="str">
        <f aca="false">IF(OR(SUM($N256)=0,SUM($J256)=0,NOT(AND($D256="Female",$F256="Y",OR($C256="10-14",$C256="15-17")))),"",ROUND($N256*$J256,0))</f>
        <v/>
      </c>
      <c r="P256" s="39" t="str">
        <f aca="false">IF(OR(SUM($N256)=0,SUM($K256)=0,NOT(OR($C256="10-14",$C256="05-09"))),"",ROUND($N256*$K256,0))</f>
        <v/>
      </c>
      <c r="Q256" s="39" t="n">
        <f aca="false">IFERROR(1/(1/ROUND($N256*$L256*$M256,0)),"")</f>
        <v>128</v>
      </c>
      <c r="R256" s="39" t="n">
        <f aca="false">IFERROR(1/(1/(ROUND($N256*$L256,0)-$Q256)),"")</f>
        <v>514</v>
      </c>
      <c r="S256" s="88" t="n">
        <f aca="false">IF(OR($C256="18+",$C256="18-20",SUM($Q256,$R256)=0),"",100%)</f>
        <v>1</v>
      </c>
      <c r="T256" s="39" t="n">
        <f aca="false">IF(OR($C256="18+",$C256="18-20",SUM($Q256,$R256)=0),"",ROUND(SUM($Q256,$R256)*$S256,0))</f>
        <v>642</v>
      </c>
    </row>
    <row r="257" customFormat="false" ht="15" hidden="false" customHeight="false" outlineLevel="0" collapsed="false">
      <c r="A257" s="0" t="str">
        <f aca="false">INDEX(Prioritization!$D:$D,MATCH($B257,Prioritization!$A:$A,0))</f>
        <v>1 - Scale-up: Saturation</v>
      </c>
      <c r="B257" s="0" t="s">
        <v>211</v>
      </c>
      <c r="C257" s="0" t="s">
        <v>811</v>
      </c>
      <c r="D257" s="0" t="s">
        <v>30</v>
      </c>
      <c r="E257" s="0" t="str">
        <f aca="false">$B257&amp;"|"&amp;$C257&amp;"|"&amp;$D257</f>
        <v>Blantyre District [mxqa3CDFmIT]|05-09|Female</v>
      </c>
      <c r="F257" s="0" t="s">
        <v>1246</v>
      </c>
      <c r="G257" s="10" t="n">
        <v>660</v>
      </c>
      <c r="H257" s="10" t="n">
        <v>899</v>
      </c>
      <c r="I257" s="88" t="n">
        <f aca="false">IF(SUM($H257)=0,"",0%)</f>
        <v>0</v>
      </c>
      <c r="J257" s="88"/>
      <c r="K257" s="88"/>
      <c r="L257" s="88" t="n">
        <f aca="false">1-IF(NOT(AND($D257="Female",OR($C257="10-14",$C257="15-17",$F257="Y"))),0,$J257)-IF(NOT(OR($C257="05-09",$C257="10-14")),0,$K257)</f>
        <v>1</v>
      </c>
      <c r="M257" s="88" t="n">
        <f aca="false">IF(SUM($L257)=0,"",20%)</f>
        <v>0.2</v>
      </c>
      <c r="N257" s="10" t="n">
        <f aca="false">IF(SUM($H257)=0,"",ROUND($H257*(1+$I257),0))</f>
        <v>899</v>
      </c>
      <c r="O257" s="39" t="str">
        <f aca="false">IF(OR(SUM($N257)=0,SUM($J257)=0,NOT(AND($D257="Female",$F257="Y",OR($C257="10-14",$C257="15-17")))),"",ROUND($N257*$J257,0))</f>
        <v/>
      </c>
      <c r="P257" s="39" t="str">
        <f aca="false">IF(OR(SUM($N257)=0,SUM($K257)=0,NOT(OR($C257="10-14",$C257="05-09"))),"",ROUND($N257*$K257,0))</f>
        <v/>
      </c>
      <c r="Q257" s="39" t="n">
        <f aca="false">IFERROR(1/(1/ROUND($N257*$L257*$M257,0)),"")</f>
        <v>180</v>
      </c>
      <c r="R257" s="39" t="n">
        <f aca="false">IFERROR(1/(1/(ROUND($N257*$L257,0)-$Q257)),"")</f>
        <v>719</v>
      </c>
      <c r="S257" s="88" t="n">
        <f aca="false">IF(OR($C257="18+",$C257="18-20",SUM($Q257,$R257)=0),"",100%)</f>
        <v>1</v>
      </c>
      <c r="T257" s="39" t="n">
        <f aca="false">IF(OR($C257="18+",$C257="18-20",SUM($Q257,$R257)=0),"",ROUND(SUM($Q257,$R257)*$S257,0))</f>
        <v>899</v>
      </c>
    </row>
    <row r="258" customFormat="false" ht="15" hidden="false" customHeight="false" outlineLevel="0" collapsed="false">
      <c r="A258" s="0" t="str">
        <f aca="false">INDEX(Prioritization!$D:$D,MATCH($B258,Prioritization!$A:$A,0))</f>
        <v>1 - Scale-up: Saturation</v>
      </c>
      <c r="B258" s="0" t="s">
        <v>211</v>
      </c>
      <c r="C258" s="0" t="s">
        <v>811</v>
      </c>
      <c r="D258" s="0" t="s">
        <v>48</v>
      </c>
      <c r="E258" s="0" t="str">
        <f aca="false">$B258&amp;"|"&amp;$C258&amp;"|"&amp;$D258</f>
        <v>Blantyre District [mxqa3CDFmIT]|05-09|Male</v>
      </c>
      <c r="F258" s="0" t="s">
        <v>1246</v>
      </c>
      <c r="G258" s="10" t="n">
        <v>947</v>
      </c>
      <c r="H258" s="10" t="n">
        <v>577</v>
      </c>
      <c r="I258" s="88" t="n">
        <f aca="false">IF(SUM($H258)=0,"",0%)</f>
        <v>0</v>
      </c>
      <c r="J258" s="88"/>
      <c r="K258" s="88"/>
      <c r="L258" s="88" t="n">
        <f aca="false">1-IF(NOT(AND($D258="Female",OR($C258="10-14",$C258="15-17",$F258="Y"))),0,$J258)-IF(NOT(OR($C258="05-09",$C258="10-14")),0,$K258)</f>
        <v>1</v>
      </c>
      <c r="M258" s="88" t="n">
        <f aca="false">IF(SUM($L258)=0,"",20%)</f>
        <v>0.2</v>
      </c>
      <c r="N258" s="10" t="n">
        <f aca="false">IF(SUM($H258)=0,"",ROUND($H258*(1+$I258),0))</f>
        <v>577</v>
      </c>
      <c r="O258" s="39" t="str">
        <f aca="false">IF(OR(SUM($N258)=0,SUM($J258)=0,NOT(AND($D258="Female",$F258="Y",OR($C258="10-14",$C258="15-17")))),"",ROUND($N258*$J258,0))</f>
        <v/>
      </c>
      <c r="P258" s="39" t="str">
        <f aca="false">IF(OR(SUM($N258)=0,SUM($K258)=0,NOT(OR($C258="10-14",$C258="05-09"))),"",ROUND($N258*$K258,0))</f>
        <v/>
      </c>
      <c r="Q258" s="39" t="n">
        <f aca="false">IFERROR(1/(1/ROUND($N258*$L258*$M258,0)),"")</f>
        <v>115</v>
      </c>
      <c r="R258" s="39" t="n">
        <f aca="false">IFERROR(1/(1/(ROUND($N258*$L258,0)-$Q258)),"")</f>
        <v>462</v>
      </c>
      <c r="S258" s="88" t="n">
        <f aca="false">IF(OR($C258="18+",$C258="18-20",SUM($Q258,$R258)=0),"",100%)</f>
        <v>1</v>
      </c>
      <c r="T258" s="39" t="n">
        <f aca="false">IF(OR($C258="18+",$C258="18-20",SUM($Q258,$R258)=0),"",ROUND(SUM($Q258,$R258)*$S258,0))</f>
        <v>577</v>
      </c>
    </row>
    <row r="259" customFormat="false" ht="15" hidden="false" customHeight="false" outlineLevel="0" collapsed="false">
      <c r="A259" s="0" t="str">
        <f aca="false">INDEX(Prioritization!$D:$D,MATCH($B259,Prioritization!$A:$A,0))</f>
        <v>1 - Scale-up: Saturation</v>
      </c>
      <c r="B259" s="0" t="s">
        <v>211</v>
      </c>
      <c r="C259" s="0" t="s">
        <v>364</v>
      </c>
      <c r="D259" s="0" t="s">
        <v>30</v>
      </c>
      <c r="E259" s="0" t="str">
        <f aca="false">$B259&amp;"|"&amp;$C259&amp;"|"&amp;$D259</f>
        <v>Blantyre District [mxqa3CDFmIT]|10-14|Female</v>
      </c>
      <c r="F259" s="0" t="s">
        <v>1246</v>
      </c>
      <c r="G259" s="10" t="n">
        <v>366</v>
      </c>
      <c r="H259" s="10" t="n">
        <v>428</v>
      </c>
      <c r="I259" s="88" t="n">
        <f aca="false">IF(SUM($H259)=0,"",0%)</f>
        <v>0</v>
      </c>
      <c r="J259" s="88"/>
      <c r="K259" s="88"/>
      <c r="L259" s="88" t="n">
        <f aca="false">1-IF(NOT(AND($D259="Female",OR($C259="10-14",$C259="15-17",$F259="Y"))),0,$J259)-IF(NOT(OR($C259="05-09",$C259="10-14")),0,$K259)</f>
        <v>1</v>
      </c>
      <c r="M259" s="88" t="n">
        <f aca="false">IF(SUM($L259)=0,"",20%)</f>
        <v>0.2</v>
      </c>
      <c r="N259" s="10" t="n">
        <f aca="false">IF(SUM($H259)=0,"",ROUND($H259*(1+$I259),0))</f>
        <v>428</v>
      </c>
      <c r="O259" s="39" t="str">
        <f aca="false">IF(OR(SUM($N259)=0,SUM($J259)=0,NOT(AND($D259="Female",$F259="Y",OR($C259="10-14",$C259="15-17")))),"",ROUND($N259*$J259,0))</f>
        <v/>
      </c>
      <c r="P259" s="39" t="str">
        <f aca="false">IF(OR(SUM($N259)=0,SUM($K259)=0,NOT(OR($C259="10-14",$C259="05-09"))),"",ROUND($N259*$K259,0))</f>
        <v/>
      </c>
      <c r="Q259" s="39" t="n">
        <f aca="false">IFERROR(1/(1/ROUND($N259*$L259*$M259,0)),"")</f>
        <v>86</v>
      </c>
      <c r="R259" s="39" t="n">
        <f aca="false">IFERROR(1/(1/(ROUND($N259*$L259,0)-$Q259)),"")</f>
        <v>342</v>
      </c>
      <c r="S259" s="88" t="n">
        <f aca="false">IF(OR($C259="18+",$C259="18-20",SUM($Q259,$R259)=0),"",100%)</f>
        <v>1</v>
      </c>
      <c r="T259" s="39" t="n">
        <f aca="false">IF(OR($C259="18+",$C259="18-20",SUM($Q259,$R259)=0),"",ROUND(SUM($Q259,$R259)*$S259,0))</f>
        <v>428</v>
      </c>
    </row>
    <row r="260" customFormat="false" ht="15" hidden="false" customHeight="false" outlineLevel="0" collapsed="false">
      <c r="A260" s="0" t="str">
        <f aca="false">INDEX(Prioritization!$D:$D,MATCH($B260,Prioritization!$A:$A,0))</f>
        <v>1 - Scale-up: Saturation</v>
      </c>
      <c r="B260" s="0" t="s">
        <v>211</v>
      </c>
      <c r="C260" s="0" t="s">
        <v>364</v>
      </c>
      <c r="D260" s="0" t="s">
        <v>48</v>
      </c>
      <c r="E260" s="0" t="str">
        <f aca="false">$B260&amp;"|"&amp;$C260&amp;"|"&amp;$D260</f>
        <v>Blantyre District [mxqa3CDFmIT]|10-14|Male</v>
      </c>
      <c r="F260" s="0" t="s">
        <v>1246</v>
      </c>
      <c r="G260" s="10" t="n">
        <v>863</v>
      </c>
      <c r="H260" s="10" t="n">
        <v>744</v>
      </c>
      <c r="I260" s="88" t="n">
        <f aca="false">IF(SUM($H260)=0,"",0%)</f>
        <v>0</v>
      </c>
      <c r="J260" s="88"/>
      <c r="K260" s="88"/>
      <c r="L260" s="88" t="n">
        <f aca="false">1-IF(NOT(AND($D260="Female",OR($C260="10-14",$C260="15-17",$F260="Y"))),0,$J260)-IF(NOT(OR($C260="05-09",$C260="10-14")),0,$K260)</f>
        <v>1</v>
      </c>
      <c r="M260" s="88" t="n">
        <f aca="false">IF(SUM($L260)=0,"",20%)</f>
        <v>0.2</v>
      </c>
      <c r="N260" s="10" t="n">
        <f aca="false">IF(SUM($H260)=0,"",ROUND($H260*(1+$I260),0))</f>
        <v>744</v>
      </c>
      <c r="O260" s="39" t="str">
        <f aca="false">IF(OR(SUM($N260)=0,SUM($J260)=0,NOT(AND($D260="Female",$F260="Y",OR($C260="10-14",$C260="15-17")))),"",ROUND($N260*$J260,0))</f>
        <v/>
      </c>
      <c r="P260" s="39" t="str">
        <f aca="false">IF(OR(SUM($N260)=0,SUM($K260)=0,NOT(OR($C260="10-14",$C260="05-09"))),"",ROUND($N260*$K260,0))</f>
        <v/>
      </c>
      <c r="Q260" s="39" t="n">
        <f aca="false">IFERROR(1/(1/ROUND($N260*$L260*$M260,0)),"")</f>
        <v>149</v>
      </c>
      <c r="R260" s="39" t="n">
        <f aca="false">IFERROR(1/(1/(ROUND($N260*$L260,0)-$Q260)),"")</f>
        <v>595</v>
      </c>
      <c r="S260" s="88" t="n">
        <f aca="false">IF(OR($C260="18+",$C260="18-20",SUM($Q260,$R260)=0),"",100%)</f>
        <v>1</v>
      </c>
      <c r="T260" s="39" t="n">
        <f aca="false">IF(OR($C260="18+",$C260="18-20",SUM($Q260,$R260)=0),"",ROUND(SUM($Q260,$R260)*$S260,0))</f>
        <v>744</v>
      </c>
    </row>
    <row r="261" customFormat="false" ht="15" hidden="false" customHeight="false" outlineLevel="0" collapsed="false">
      <c r="A261" s="0" t="str">
        <f aca="false">INDEX(Prioritization!$D:$D,MATCH($B261,Prioritization!$A:$A,0))</f>
        <v>1 - Scale-up: Saturation</v>
      </c>
      <c r="B261" s="0" t="s">
        <v>211</v>
      </c>
      <c r="C261" s="0" t="s">
        <v>812</v>
      </c>
      <c r="D261" s="0" t="s">
        <v>30</v>
      </c>
      <c r="E261" s="0" t="str">
        <f aca="false">$B261&amp;"|"&amp;$C261&amp;"|"&amp;$D261</f>
        <v>Blantyre District [mxqa3CDFmIT]|15-17|Female</v>
      </c>
      <c r="F261" s="0" t="s">
        <v>1246</v>
      </c>
      <c r="G261" s="10" t="n">
        <v>220</v>
      </c>
      <c r="H261" s="10" t="n">
        <v>8466</v>
      </c>
      <c r="I261" s="88" t="n">
        <f aca="false">IF(SUM($H261)=0,"",0%)</f>
        <v>0</v>
      </c>
      <c r="J261" s="88"/>
      <c r="K261" s="88"/>
      <c r="L261" s="88" t="n">
        <f aca="false">1-IF(NOT(AND($D261="Female",OR($C261="10-14",$C261="15-17",$F261="Y"))),0,$J261)-IF(NOT(OR($C261="05-09",$C261="10-14")),0,$K261)</f>
        <v>1</v>
      </c>
      <c r="M261" s="88" t="n">
        <f aca="false">IF(SUM($L261)=0,"",20%)</f>
        <v>0.2</v>
      </c>
      <c r="N261" s="10" t="n">
        <f aca="false">IF(SUM($H261)=0,"",ROUND($H261*(1+$I261),0))</f>
        <v>8466</v>
      </c>
      <c r="O261" s="39" t="str">
        <f aca="false">IF(OR(SUM($N261)=0,SUM($J261)=0,NOT(AND($D261="Female",$F261="Y",OR($C261="10-14",$C261="15-17")))),"",ROUND($N261*$J261,0))</f>
        <v/>
      </c>
      <c r="P261" s="39" t="str">
        <f aca="false">IF(OR(SUM($N261)=0,SUM($K261)=0,NOT(OR($C261="10-14",$C261="05-09"))),"",ROUND($N261*$K261,0))</f>
        <v/>
      </c>
      <c r="Q261" s="39" t="n">
        <f aca="false">IFERROR(1/(1/ROUND($N261*$L261*$M261,0)),"")</f>
        <v>1693</v>
      </c>
      <c r="R261" s="39" t="n">
        <f aca="false">IFERROR(1/(1/(ROUND($N261*$L261,0)-$Q261)),"")</f>
        <v>6773</v>
      </c>
      <c r="S261" s="88" t="n">
        <f aca="false">IF(OR($C261="18+",$C261="18-20",SUM($Q261,$R261)=0),"",100%)</f>
        <v>1</v>
      </c>
      <c r="T261" s="39" t="n">
        <f aca="false">IF(OR($C261="18+",$C261="18-20",SUM($Q261,$R261)=0),"",ROUND(SUM($Q261,$R261)*$S261,0))</f>
        <v>8466</v>
      </c>
    </row>
    <row r="262" customFormat="false" ht="15" hidden="false" customHeight="false" outlineLevel="0" collapsed="false">
      <c r="A262" s="0" t="str">
        <f aca="false">INDEX(Prioritization!$D:$D,MATCH($B262,Prioritization!$A:$A,0))</f>
        <v>1 - Scale-up: Saturation</v>
      </c>
      <c r="B262" s="0" t="s">
        <v>211</v>
      </c>
      <c r="C262" s="0" t="s">
        <v>812</v>
      </c>
      <c r="D262" s="0" t="s">
        <v>48</v>
      </c>
      <c r="E262" s="0" t="str">
        <f aca="false">$B262&amp;"|"&amp;$C262&amp;"|"&amp;$D262</f>
        <v>Blantyre District [mxqa3CDFmIT]|15-17|Male</v>
      </c>
      <c r="F262" s="0" t="s">
        <v>1246</v>
      </c>
      <c r="G262" s="10" t="n">
        <v>61</v>
      </c>
      <c r="H262" s="10" t="n">
        <v>490</v>
      </c>
      <c r="I262" s="88" t="n">
        <f aca="false">IF(SUM($H262)=0,"",0%)</f>
        <v>0</v>
      </c>
      <c r="J262" s="88"/>
      <c r="K262" s="88"/>
      <c r="L262" s="88" t="n">
        <f aca="false">1-IF(NOT(AND($D262="Female",OR($C262="10-14",$C262="15-17",$F262="Y"))),0,$J262)-IF(NOT(OR($C262="05-09",$C262="10-14")),0,$K262)</f>
        <v>1</v>
      </c>
      <c r="M262" s="88" t="n">
        <f aca="false">IF(SUM($L262)=0,"",20%)</f>
        <v>0.2</v>
      </c>
      <c r="N262" s="10" t="n">
        <f aca="false">IF(SUM($H262)=0,"",ROUND($H262*(1+$I262),0))</f>
        <v>490</v>
      </c>
      <c r="O262" s="39" t="str">
        <f aca="false">IF(OR(SUM($N262)=0,SUM($J262)=0,NOT(AND($D262="Female",$F262="Y",OR($C262="10-14",$C262="15-17")))),"",ROUND($N262*$J262,0))</f>
        <v/>
      </c>
      <c r="P262" s="39" t="str">
        <f aca="false">IF(OR(SUM($N262)=0,SUM($K262)=0,NOT(OR($C262="10-14",$C262="05-09"))),"",ROUND($N262*$K262,0))</f>
        <v/>
      </c>
      <c r="Q262" s="39" t="n">
        <f aca="false">IFERROR(1/(1/ROUND($N262*$L262*$M262,0)),"")</f>
        <v>98</v>
      </c>
      <c r="R262" s="39" t="n">
        <f aca="false">IFERROR(1/(1/(ROUND($N262*$L262,0)-$Q262)),"")</f>
        <v>392</v>
      </c>
      <c r="S262" s="88" t="n">
        <f aca="false">IF(OR($C262="18+",$C262="18-20",SUM($Q262,$R262)=0),"",100%)</f>
        <v>1</v>
      </c>
      <c r="T262" s="39" t="n">
        <f aca="false">IF(OR($C262="18+",$C262="18-20",SUM($Q262,$R262)=0),"",ROUND(SUM($Q262,$R262)*$S262,0))</f>
        <v>490</v>
      </c>
    </row>
    <row r="263" customFormat="false" ht="15" hidden="false" customHeight="false" outlineLevel="0" collapsed="false">
      <c r="A263" s="0" t="str">
        <f aca="false">INDEX(Prioritization!$D:$D,MATCH($B263,Prioritization!$A:$A,0))</f>
        <v>1 - Scale-up: Saturation</v>
      </c>
      <c r="B263" s="0" t="s">
        <v>211</v>
      </c>
      <c r="C263" s="0" t="s">
        <v>813</v>
      </c>
      <c r="D263" s="0" t="s">
        <v>30</v>
      </c>
      <c r="E263" s="0" t="str">
        <f aca="false">$B263&amp;"|"&amp;$C263&amp;"|"&amp;$D263</f>
        <v>Blantyre District [mxqa3CDFmIT]|18-20|Female</v>
      </c>
      <c r="F263" s="0" t="s">
        <v>1246</v>
      </c>
      <c r="G263" s="10"/>
      <c r="H263" s="10" t="n">
        <v>4</v>
      </c>
      <c r="I263" s="88" t="n">
        <f aca="false">IF(SUM($H263)=0,"",0%)</f>
        <v>0</v>
      </c>
      <c r="J263" s="88"/>
      <c r="K263" s="88"/>
      <c r="L263" s="88" t="n">
        <f aca="false">1-IF(NOT(AND($D263="Female",OR($C263="10-14",$C263="15-17",$F263="Y"))),0,$J263)-IF(NOT(OR($C263="05-09",$C263="10-14")),0,$K263)</f>
        <v>1</v>
      </c>
      <c r="M263" s="88" t="n">
        <f aca="false">IF(SUM($L263)=0,"",20%)</f>
        <v>0.2</v>
      </c>
      <c r="N263" s="10" t="n">
        <f aca="false">IF(SUM($H263)=0,"",ROUND($H263*(1+$I263),0))</f>
        <v>4</v>
      </c>
      <c r="O263" s="39" t="str">
        <f aca="false">IF(OR(SUM($N263)=0,SUM($J263)=0,NOT(AND($D263="Female",$F263="Y",OR($C263="10-14",$C263="15-17")))),"",ROUND($N263*$J263,0))</f>
        <v/>
      </c>
      <c r="P263" s="39" t="str">
        <f aca="false">IF(OR(SUM($N263)=0,SUM($K263)=0,NOT(OR($C263="10-14",$C263="05-09"))),"",ROUND($N263*$K263,0))</f>
        <v/>
      </c>
      <c r="Q263" s="39" t="n">
        <f aca="false">IFERROR(1/(1/ROUND($N263*$L263*$M263,0)),"")</f>
        <v>1</v>
      </c>
      <c r="R263" s="39" t="n">
        <f aca="false">IFERROR(1/(1/(ROUND($N263*$L263,0)-$Q263)),"")</f>
        <v>3</v>
      </c>
      <c r="S263" s="88" t="str">
        <f aca="false">IF(OR($C263="18+",$C263="18-20",SUM($Q263,$R263)=0),"",100%)</f>
        <v/>
      </c>
      <c r="T263" s="39" t="str">
        <f aca="false">IF(OR($C263="18+",$C263="18-20",SUM($Q263,$R263)=0),"",ROUND(SUM($Q263,$R263)*$S263,0))</f>
        <v/>
      </c>
    </row>
    <row r="264" customFormat="false" ht="15" hidden="false" customHeight="false" outlineLevel="0" collapsed="false">
      <c r="A264" s="0" t="str">
        <f aca="false">INDEX(Prioritization!$D:$D,MATCH($B264,Prioritization!$A:$A,0))</f>
        <v>1 - Scale-up: Saturation</v>
      </c>
      <c r="B264" s="0" t="s">
        <v>211</v>
      </c>
      <c r="C264" s="0" t="s">
        <v>813</v>
      </c>
      <c r="D264" s="0" t="s">
        <v>48</v>
      </c>
      <c r="E264" s="0" t="str">
        <f aca="false">$B264&amp;"|"&amp;$C264&amp;"|"&amp;$D264</f>
        <v>Blantyre District [mxqa3CDFmIT]|18-20|Male</v>
      </c>
      <c r="F264" s="0" t="s">
        <v>1246</v>
      </c>
      <c r="G264" s="10"/>
      <c r="H264" s="10" t="n">
        <v>8</v>
      </c>
      <c r="I264" s="88" t="n">
        <f aca="false">IF(SUM($H264)=0,"",0%)</f>
        <v>0</v>
      </c>
      <c r="J264" s="88"/>
      <c r="K264" s="88"/>
      <c r="L264" s="88" t="n">
        <f aca="false">1-IF(NOT(AND($D264="Female",OR($C264="10-14",$C264="15-17",$F264="Y"))),0,$J264)-IF(NOT(OR($C264="05-09",$C264="10-14")),0,$K264)</f>
        <v>1</v>
      </c>
      <c r="M264" s="88" t="n">
        <f aca="false">IF(SUM($L264)=0,"",20%)</f>
        <v>0.2</v>
      </c>
      <c r="N264" s="10" t="n">
        <f aca="false">IF(SUM($H264)=0,"",ROUND($H264*(1+$I264),0))</f>
        <v>8</v>
      </c>
      <c r="O264" s="39" t="str">
        <f aca="false">IF(OR(SUM($N264)=0,SUM($J264)=0,NOT(AND($D264="Female",$F264="Y",OR($C264="10-14",$C264="15-17")))),"",ROUND($N264*$J264,0))</f>
        <v/>
      </c>
      <c r="P264" s="39" t="str">
        <f aca="false">IF(OR(SUM($N264)=0,SUM($K264)=0,NOT(OR($C264="10-14",$C264="05-09"))),"",ROUND($N264*$K264,0))</f>
        <v/>
      </c>
      <c r="Q264" s="39" t="n">
        <f aca="false">IFERROR(1/(1/ROUND($N264*$L264*$M264,0)),"")</f>
        <v>2</v>
      </c>
      <c r="R264" s="39" t="n">
        <f aca="false">IFERROR(1/(1/(ROUND($N264*$L264,0)-$Q264)),"")</f>
        <v>6</v>
      </c>
      <c r="S264" s="88" t="str">
        <f aca="false">IF(OR($C264="18+",$C264="18-20",SUM($Q264,$R264)=0),"",100%)</f>
        <v/>
      </c>
      <c r="T264" s="39" t="str">
        <f aca="false">IF(OR($C264="18+",$C264="18-20",SUM($Q264,$R264)=0),"",ROUND(SUM($Q264,$R264)*$S264,0))</f>
        <v/>
      </c>
    </row>
    <row r="265" customFormat="false" ht="15" hidden="false" customHeight="false" outlineLevel="0" collapsed="false">
      <c r="A265" s="0" t="str">
        <f aca="false">INDEX(Prioritization!$D:$D,MATCH($B265,Prioritization!$A:$A,0))</f>
        <v>1 - Scale-up: Saturation</v>
      </c>
      <c r="B265" s="0" t="s">
        <v>211</v>
      </c>
      <c r="C265" s="0" t="s">
        <v>814</v>
      </c>
      <c r="D265" s="0" t="s">
        <v>30</v>
      </c>
      <c r="E265" s="0" t="str">
        <f aca="false">$B265&amp;"|"&amp;$C265&amp;"|"&amp;$D265</f>
        <v>Blantyre District [mxqa3CDFmIT]|18+|Female</v>
      </c>
      <c r="F265" s="0" t="s">
        <v>1246</v>
      </c>
      <c r="G265" s="10" t="n">
        <v>492</v>
      </c>
      <c r="H265" s="10" t="n">
        <v>840</v>
      </c>
      <c r="I265" s="88" t="n">
        <f aca="false">IF(SUM($H265)=0,"",0%)</f>
        <v>0</v>
      </c>
      <c r="J265" s="88"/>
      <c r="K265" s="88"/>
      <c r="L265" s="88" t="n">
        <f aca="false">1-IF(NOT(AND($D265="Female",OR($C265="10-14",$C265="15-17",$F265="Y"))),0,$J265)-IF(NOT(OR($C265="05-09",$C265="10-14")),0,$K265)</f>
        <v>1</v>
      </c>
      <c r="M265" s="88" t="n">
        <f aca="false">IF(SUM($L265)=0,"",20%)</f>
        <v>0.2</v>
      </c>
      <c r="N265" s="10" t="n">
        <f aca="false">IF(SUM($H265)=0,"",ROUND($H265*(1+$I265),0))</f>
        <v>840</v>
      </c>
      <c r="O265" s="39" t="str">
        <f aca="false">IF(OR(SUM($N265)=0,SUM($J265)=0,NOT(AND($D265="Female",$F265="Y",OR($C265="10-14",$C265="15-17")))),"",ROUND($N265*$J265,0))</f>
        <v/>
      </c>
      <c r="P265" s="39" t="str">
        <f aca="false">IF(OR(SUM($N265)=0,SUM($K265)=0,NOT(OR($C265="10-14",$C265="05-09"))),"",ROUND($N265*$K265,0))</f>
        <v/>
      </c>
      <c r="Q265" s="39" t="n">
        <f aca="false">IFERROR(1/(1/ROUND($N265*$L265*$M265,0)),"")</f>
        <v>168</v>
      </c>
      <c r="R265" s="39" t="n">
        <f aca="false">IFERROR(1/(1/(ROUND($N265*$L265,0)-$Q265)),"")</f>
        <v>672</v>
      </c>
      <c r="S265" s="88" t="str">
        <f aca="false">IF(OR($C265="18+",$C265="18-20",SUM($Q265,$R265)=0),"",100%)</f>
        <v/>
      </c>
      <c r="T265" s="39" t="str">
        <f aca="false">IF(OR($C265="18+",$C265="18-20",SUM($Q265,$R265)=0),"",ROUND(SUM($Q265,$R265)*$S265,0))</f>
        <v/>
      </c>
    </row>
    <row r="266" customFormat="false" ht="15" hidden="false" customHeight="false" outlineLevel="0" collapsed="false">
      <c r="A266" s="0" t="str">
        <f aca="false">INDEX(Prioritization!$D:$D,MATCH($B266,Prioritization!$A:$A,0))</f>
        <v>1 - Scale-up: Saturation</v>
      </c>
      <c r="B266" s="0" t="s">
        <v>211</v>
      </c>
      <c r="C266" s="0" t="s">
        <v>814</v>
      </c>
      <c r="D266" s="0" t="s">
        <v>48</v>
      </c>
      <c r="E266" s="0" t="str">
        <f aca="false">$B266&amp;"|"&amp;$C266&amp;"|"&amp;$D266</f>
        <v>Blantyre District [mxqa3CDFmIT]|18+|Male</v>
      </c>
      <c r="F266" s="0" t="s">
        <v>1246</v>
      </c>
      <c r="G266" s="10" t="n">
        <v>99</v>
      </c>
      <c r="H266" s="10" t="n">
        <v>63</v>
      </c>
      <c r="I266" s="88" t="n">
        <f aca="false">IF(SUM($H266)=0,"",0%)</f>
        <v>0</v>
      </c>
      <c r="J266" s="88"/>
      <c r="K266" s="88"/>
      <c r="L266" s="88" t="n">
        <f aca="false">1-IF(NOT(AND($D266="Female",OR($C266="10-14",$C266="15-17",$F266="Y"))),0,$J266)-IF(NOT(OR($C266="05-09",$C266="10-14")),0,$K266)</f>
        <v>1</v>
      </c>
      <c r="M266" s="88" t="n">
        <f aca="false">IF(SUM($L266)=0,"",20%)</f>
        <v>0.2</v>
      </c>
      <c r="N266" s="10" t="n">
        <f aca="false">IF(SUM($H266)=0,"",ROUND($H266*(1+$I266),0))</f>
        <v>63</v>
      </c>
      <c r="O266" s="39" t="str">
        <f aca="false">IF(OR(SUM($N266)=0,SUM($J266)=0,NOT(AND($D266="Female",$F266="Y",OR($C266="10-14",$C266="15-17")))),"",ROUND($N266*$J266,0))</f>
        <v/>
      </c>
      <c r="P266" s="39" t="str">
        <f aca="false">IF(OR(SUM($N266)=0,SUM($K266)=0,NOT(OR($C266="10-14",$C266="05-09"))),"",ROUND($N266*$K266,0))</f>
        <v/>
      </c>
      <c r="Q266" s="39" t="n">
        <f aca="false">IFERROR(1/(1/ROUND($N266*$L266*$M266,0)),"")</f>
        <v>13</v>
      </c>
      <c r="R266" s="39" t="n">
        <f aca="false">IFERROR(1/(1/(ROUND($N266*$L266,0)-$Q266)),"")</f>
        <v>50</v>
      </c>
      <c r="S266" s="88" t="str">
        <f aca="false">IF(OR($C266="18+",$C266="18-20",SUM($Q266,$R266)=0),"",100%)</f>
        <v/>
      </c>
      <c r="T266" s="39" t="str">
        <f aca="false">IF(OR($C266="18+",$C266="18-20",SUM($Q266,$R266)=0),"",ROUND(SUM($Q266,$R266)*$S266,0))</f>
        <v/>
      </c>
    </row>
    <row r="267" customFormat="false" ht="15" hidden="false" customHeight="false" outlineLevel="0" collapsed="false">
      <c r="A267" s="0" t="str">
        <f aca="false">INDEX(Prioritization!$D:$D,MATCH($B267,Prioritization!$A:$A,0))</f>
        <v>1 - Scale-up: Saturation</v>
      </c>
      <c r="B267" s="0" t="s">
        <v>212</v>
      </c>
      <c r="C267" s="0" t="s">
        <v>316</v>
      </c>
      <c r="D267" s="0" t="s">
        <v>30</v>
      </c>
      <c r="E267" s="0" t="str">
        <f aca="false">$B267&amp;"|"&amp;$C267&amp;"|"&amp;$D267</f>
        <v>Chikwawa District [U8c0so51kT6]|&lt;01|Female</v>
      </c>
      <c r="G267" s="10" t="n">
        <v>8</v>
      </c>
      <c r="H267" s="10" t="n">
        <v>97</v>
      </c>
      <c r="I267" s="88" t="n">
        <f aca="false">IF(SUM($H267)=0,"",0%)</f>
        <v>0</v>
      </c>
      <c r="J267" s="88"/>
      <c r="K267" s="88"/>
      <c r="L267" s="88" t="n">
        <f aca="false">1-IF(NOT(AND($D267="Female",OR($C267="10-14",$C267="15-17",$F267="Y"))),0,$J267)-IF(NOT(OR($C267="05-09",$C267="10-14")),0,$K267)</f>
        <v>1</v>
      </c>
      <c r="M267" s="88" t="n">
        <f aca="false">IF(SUM($L267)=0,"",20%)</f>
        <v>0.2</v>
      </c>
      <c r="N267" s="10" t="n">
        <f aca="false">IF(SUM($H267)=0,"",ROUND($H267*(1+$I267),0))</f>
        <v>97</v>
      </c>
      <c r="O267" s="39" t="str">
        <f aca="false">IF(OR(SUM($N267)=0,SUM($J267)=0,NOT(AND($D267="Female",$F267="Y",OR($C267="10-14",$C267="15-17")))),"",ROUND($N267*$J267,0))</f>
        <v/>
      </c>
      <c r="P267" s="39" t="str">
        <f aca="false">IF(OR(SUM($N267)=0,SUM($K267)=0,NOT(OR($C267="10-14",$C267="05-09"))),"",ROUND($N267*$K267,0))</f>
        <v/>
      </c>
      <c r="Q267" s="39" t="n">
        <f aca="false">IFERROR(1/(1/ROUND($N267*$L267*$M267,0)),"")</f>
        <v>19</v>
      </c>
      <c r="R267" s="39" t="n">
        <f aca="false">IFERROR(1/(1/(ROUND($N267*$L267,0)-$Q267)),"")</f>
        <v>78</v>
      </c>
      <c r="S267" s="88" t="n">
        <f aca="false">IF(OR($C267="18+",$C267="18-20",SUM($Q267,$R267)=0),"",100%)</f>
        <v>1</v>
      </c>
      <c r="T267" s="39" t="n">
        <f aca="false">IF(OR($C267="18+",$C267="18-20",SUM($Q267,$R267)=0),"",ROUND(SUM($Q267,$R267)*$S267,0))</f>
        <v>97</v>
      </c>
    </row>
    <row r="268" customFormat="false" ht="15" hidden="false" customHeight="false" outlineLevel="0" collapsed="false">
      <c r="A268" s="0" t="str">
        <f aca="false">INDEX(Prioritization!$D:$D,MATCH($B268,Prioritization!$A:$A,0))</f>
        <v>1 - Scale-up: Saturation</v>
      </c>
      <c r="B268" s="0" t="s">
        <v>212</v>
      </c>
      <c r="C268" s="0" t="s">
        <v>316</v>
      </c>
      <c r="D268" s="0" t="s">
        <v>48</v>
      </c>
      <c r="E268" s="0" t="str">
        <f aca="false">$B268&amp;"|"&amp;$C268&amp;"|"&amp;$D268</f>
        <v>Chikwawa District [U8c0so51kT6]|&lt;01|Male</v>
      </c>
      <c r="G268" s="10" t="n">
        <v>3</v>
      </c>
      <c r="H268" s="10" t="n">
        <v>80</v>
      </c>
      <c r="I268" s="88" t="n">
        <f aca="false">IF(SUM($H268)=0,"",0%)</f>
        <v>0</v>
      </c>
      <c r="J268" s="88"/>
      <c r="K268" s="88"/>
      <c r="L268" s="88" t="n">
        <f aca="false">1-IF(NOT(AND($D268="Female",OR($C268="10-14",$C268="15-17",$F268="Y"))),0,$J268)-IF(NOT(OR($C268="05-09",$C268="10-14")),0,$K268)</f>
        <v>1</v>
      </c>
      <c r="M268" s="88" t="n">
        <f aca="false">IF(SUM($L268)=0,"",20%)</f>
        <v>0.2</v>
      </c>
      <c r="N268" s="10" t="n">
        <f aca="false">IF(SUM($H268)=0,"",ROUND($H268*(1+$I268),0))</f>
        <v>80</v>
      </c>
      <c r="O268" s="39" t="str">
        <f aca="false">IF(OR(SUM($N268)=0,SUM($J268)=0,NOT(AND($D268="Female",$F268="Y",OR($C268="10-14",$C268="15-17")))),"",ROUND($N268*$J268,0))</f>
        <v/>
      </c>
      <c r="P268" s="39" t="str">
        <f aca="false">IF(OR(SUM($N268)=0,SUM($K268)=0,NOT(OR($C268="10-14",$C268="05-09"))),"",ROUND($N268*$K268,0))</f>
        <v/>
      </c>
      <c r="Q268" s="39" t="n">
        <f aca="false">IFERROR(1/(1/ROUND($N268*$L268*$M268,0)),"")</f>
        <v>16</v>
      </c>
      <c r="R268" s="39" t="n">
        <f aca="false">IFERROR(1/(1/(ROUND($N268*$L268,0)-$Q268)),"")</f>
        <v>64</v>
      </c>
      <c r="S268" s="88" t="n">
        <f aca="false">IF(OR($C268="18+",$C268="18-20",SUM($Q268,$R268)=0),"",100%)</f>
        <v>1</v>
      </c>
      <c r="T268" s="39" t="n">
        <f aca="false">IF(OR($C268="18+",$C268="18-20",SUM($Q268,$R268)=0),"",ROUND(SUM($Q268,$R268)*$S268,0))</f>
        <v>80</v>
      </c>
    </row>
    <row r="269" customFormat="false" ht="15" hidden="false" customHeight="false" outlineLevel="0" collapsed="false">
      <c r="A269" s="0" t="str">
        <f aca="false">INDEX(Prioritization!$D:$D,MATCH($B269,Prioritization!$A:$A,0))</f>
        <v>1 - Scale-up: Saturation</v>
      </c>
      <c r="B269" s="0" t="s">
        <v>212</v>
      </c>
      <c r="C269" s="0" t="s">
        <v>810</v>
      </c>
      <c r="D269" s="0" t="s">
        <v>30</v>
      </c>
      <c r="E269" s="0" t="str">
        <f aca="false">$B269&amp;"|"&amp;$C269&amp;"|"&amp;$D269</f>
        <v>Chikwawa District [U8c0so51kT6]|01-04|Female</v>
      </c>
      <c r="G269" s="10" t="n">
        <v>67</v>
      </c>
      <c r="H269" s="10" t="n">
        <v>85</v>
      </c>
      <c r="I269" s="88" t="n">
        <f aca="false">IF(SUM($H269)=0,"",0%)</f>
        <v>0</v>
      </c>
      <c r="J269" s="88"/>
      <c r="K269" s="88"/>
      <c r="L269" s="88" t="n">
        <f aca="false">1-IF(NOT(AND($D269="Female",OR($C269="10-14",$C269="15-17",$F269="Y"))),0,$J269)-IF(NOT(OR($C269="05-09",$C269="10-14")),0,$K269)</f>
        <v>1</v>
      </c>
      <c r="M269" s="88" t="n">
        <f aca="false">IF(SUM($L269)=0,"",20%)</f>
        <v>0.2</v>
      </c>
      <c r="N269" s="10" t="n">
        <f aca="false">IF(SUM($H269)=0,"",ROUND($H269*(1+$I269),0))</f>
        <v>85</v>
      </c>
      <c r="O269" s="39" t="str">
        <f aca="false">IF(OR(SUM($N269)=0,SUM($J269)=0,NOT(AND($D269="Female",$F269="Y",OR($C269="10-14",$C269="15-17")))),"",ROUND($N269*$J269,0))</f>
        <v/>
      </c>
      <c r="P269" s="39" t="str">
        <f aca="false">IF(OR(SUM($N269)=0,SUM($K269)=0,NOT(OR($C269="10-14",$C269="05-09"))),"",ROUND($N269*$K269,0))</f>
        <v/>
      </c>
      <c r="Q269" s="39" t="n">
        <f aca="false">IFERROR(1/(1/ROUND($N269*$L269*$M269,0)),"")</f>
        <v>17</v>
      </c>
      <c r="R269" s="39" t="n">
        <f aca="false">IFERROR(1/(1/(ROUND($N269*$L269,0)-$Q269)),"")</f>
        <v>68</v>
      </c>
      <c r="S269" s="88" t="n">
        <f aca="false">IF(OR($C269="18+",$C269="18-20",SUM($Q269,$R269)=0),"",100%)</f>
        <v>1</v>
      </c>
      <c r="T269" s="39" t="n">
        <f aca="false">IF(OR($C269="18+",$C269="18-20",SUM($Q269,$R269)=0),"",ROUND(SUM($Q269,$R269)*$S269,0))</f>
        <v>85</v>
      </c>
    </row>
    <row r="270" customFormat="false" ht="15" hidden="false" customHeight="false" outlineLevel="0" collapsed="false">
      <c r="A270" s="0" t="str">
        <f aca="false">INDEX(Prioritization!$D:$D,MATCH($B270,Prioritization!$A:$A,0))</f>
        <v>1 - Scale-up: Saturation</v>
      </c>
      <c r="B270" s="0" t="s">
        <v>212</v>
      </c>
      <c r="C270" s="0" t="s">
        <v>810</v>
      </c>
      <c r="D270" s="0" t="s">
        <v>48</v>
      </c>
      <c r="E270" s="0" t="str">
        <f aca="false">$B270&amp;"|"&amp;$C270&amp;"|"&amp;$D270</f>
        <v>Chikwawa District [U8c0so51kT6]|01-04|Male</v>
      </c>
      <c r="G270" s="10" t="n">
        <v>92</v>
      </c>
      <c r="H270" s="10" t="n">
        <v>23</v>
      </c>
      <c r="I270" s="88" t="n">
        <f aca="false">IF(SUM($H270)=0,"",0%)</f>
        <v>0</v>
      </c>
      <c r="J270" s="88"/>
      <c r="K270" s="88"/>
      <c r="L270" s="88" t="n">
        <f aca="false">1-IF(NOT(AND($D270="Female",OR($C270="10-14",$C270="15-17",$F270="Y"))),0,$J270)-IF(NOT(OR($C270="05-09",$C270="10-14")),0,$K270)</f>
        <v>1</v>
      </c>
      <c r="M270" s="88" t="n">
        <f aca="false">IF(SUM($L270)=0,"",20%)</f>
        <v>0.2</v>
      </c>
      <c r="N270" s="10" t="n">
        <f aca="false">IF(SUM($H270)=0,"",ROUND($H270*(1+$I270),0))</f>
        <v>23</v>
      </c>
      <c r="O270" s="39" t="str">
        <f aca="false">IF(OR(SUM($N270)=0,SUM($J270)=0,NOT(AND($D270="Female",$F270="Y",OR($C270="10-14",$C270="15-17")))),"",ROUND($N270*$J270,0))</f>
        <v/>
      </c>
      <c r="P270" s="39" t="str">
        <f aca="false">IF(OR(SUM($N270)=0,SUM($K270)=0,NOT(OR($C270="10-14",$C270="05-09"))),"",ROUND($N270*$K270,0))</f>
        <v/>
      </c>
      <c r="Q270" s="39" t="n">
        <f aca="false">IFERROR(1/(1/ROUND($N270*$L270*$M270,0)),"")</f>
        <v>5</v>
      </c>
      <c r="R270" s="39" t="n">
        <f aca="false">IFERROR(1/(1/(ROUND($N270*$L270,0)-$Q270)),"")</f>
        <v>18</v>
      </c>
      <c r="S270" s="88" t="n">
        <f aca="false">IF(OR($C270="18+",$C270="18-20",SUM($Q270,$R270)=0),"",100%)</f>
        <v>1</v>
      </c>
      <c r="T270" s="39" t="n">
        <f aca="false">IF(OR($C270="18+",$C270="18-20",SUM($Q270,$R270)=0),"",ROUND(SUM($Q270,$R270)*$S270,0))</f>
        <v>23</v>
      </c>
    </row>
    <row r="271" customFormat="false" ht="15" hidden="false" customHeight="false" outlineLevel="0" collapsed="false">
      <c r="A271" s="0" t="str">
        <f aca="false">INDEX(Prioritization!$D:$D,MATCH($B271,Prioritization!$A:$A,0))</f>
        <v>1 - Scale-up: Saturation</v>
      </c>
      <c r="B271" s="0" t="s">
        <v>212</v>
      </c>
      <c r="C271" s="0" t="s">
        <v>811</v>
      </c>
      <c r="D271" s="0" t="s">
        <v>30</v>
      </c>
      <c r="E271" s="0" t="str">
        <f aca="false">$B271&amp;"|"&amp;$C271&amp;"|"&amp;$D271</f>
        <v>Chikwawa District [U8c0so51kT6]|05-09|Female</v>
      </c>
      <c r="G271" s="10" t="n">
        <v>42</v>
      </c>
      <c r="H271" s="10" t="n">
        <v>47</v>
      </c>
      <c r="I271" s="88" t="n">
        <f aca="false">IF(SUM($H271)=0,"",0%)</f>
        <v>0</v>
      </c>
      <c r="J271" s="88"/>
      <c r="K271" s="88"/>
      <c r="L271" s="88" t="n">
        <f aca="false">1-IF(NOT(AND($D271="Female",OR($C271="10-14",$C271="15-17",$F271="Y"))),0,$J271)-IF(NOT(OR($C271="05-09",$C271="10-14")),0,$K271)</f>
        <v>1</v>
      </c>
      <c r="M271" s="88" t="n">
        <f aca="false">IF(SUM($L271)=0,"",20%)</f>
        <v>0.2</v>
      </c>
      <c r="N271" s="10" t="n">
        <f aca="false">IF(SUM($H271)=0,"",ROUND($H271*(1+$I271),0))</f>
        <v>47</v>
      </c>
      <c r="O271" s="39" t="str">
        <f aca="false">IF(OR(SUM($N271)=0,SUM($J271)=0,NOT(AND($D271="Female",$F271="Y",OR($C271="10-14",$C271="15-17")))),"",ROUND($N271*$J271,0))</f>
        <v/>
      </c>
      <c r="P271" s="39" t="str">
        <f aca="false">IF(OR(SUM($N271)=0,SUM($K271)=0,NOT(OR($C271="10-14",$C271="05-09"))),"",ROUND($N271*$K271,0))</f>
        <v/>
      </c>
      <c r="Q271" s="39" t="n">
        <f aca="false">IFERROR(1/(1/ROUND($N271*$L271*$M271,0)),"")</f>
        <v>9</v>
      </c>
      <c r="R271" s="39" t="n">
        <f aca="false">IFERROR(1/(1/(ROUND($N271*$L271,0)-$Q271)),"")</f>
        <v>38</v>
      </c>
      <c r="S271" s="88" t="n">
        <f aca="false">IF(OR($C271="18+",$C271="18-20",SUM($Q271,$R271)=0),"",100%)</f>
        <v>1</v>
      </c>
      <c r="T271" s="39" t="n">
        <f aca="false">IF(OR($C271="18+",$C271="18-20",SUM($Q271,$R271)=0),"",ROUND(SUM($Q271,$R271)*$S271,0))</f>
        <v>47</v>
      </c>
    </row>
    <row r="272" customFormat="false" ht="15" hidden="false" customHeight="false" outlineLevel="0" collapsed="false">
      <c r="A272" s="0" t="str">
        <f aca="false">INDEX(Prioritization!$D:$D,MATCH($B272,Prioritization!$A:$A,0))</f>
        <v>1 - Scale-up: Saturation</v>
      </c>
      <c r="B272" s="0" t="s">
        <v>212</v>
      </c>
      <c r="C272" s="0" t="s">
        <v>811</v>
      </c>
      <c r="D272" s="0" t="s">
        <v>48</v>
      </c>
      <c r="E272" s="0" t="str">
        <f aca="false">$B272&amp;"|"&amp;$C272&amp;"|"&amp;$D272</f>
        <v>Chikwawa District [U8c0so51kT6]|05-09|Male</v>
      </c>
      <c r="G272" s="10" t="n">
        <v>14</v>
      </c>
      <c r="H272" s="10" t="n">
        <v>24</v>
      </c>
      <c r="I272" s="88" t="n">
        <f aca="false">IF(SUM($H272)=0,"",0%)</f>
        <v>0</v>
      </c>
      <c r="J272" s="88"/>
      <c r="K272" s="88"/>
      <c r="L272" s="88" t="n">
        <f aca="false">1-IF(NOT(AND($D272="Female",OR($C272="10-14",$C272="15-17",$F272="Y"))),0,$J272)-IF(NOT(OR($C272="05-09",$C272="10-14")),0,$K272)</f>
        <v>1</v>
      </c>
      <c r="M272" s="88" t="n">
        <f aca="false">IF(SUM($L272)=0,"",20%)</f>
        <v>0.2</v>
      </c>
      <c r="N272" s="10" t="n">
        <f aca="false">IF(SUM($H272)=0,"",ROUND($H272*(1+$I272),0))</f>
        <v>24</v>
      </c>
      <c r="O272" s="39" t="str">
        <f aca="false">IF(OR(SUM($N272)=0,SUM($J272)=0,NOT(AND($D272="Female",$F272="Y",OR($C272="10-14",$C272="15-17")))),"",ROUND($N272*$J272,0))</f>
        <v/>
      </c>
      <c r="P272" s="39" t="str">
        <f aca="false">IF(OR(SUM($N272)=0,SUM($K272)=0,NOT(OR($C272="10-14",$C272="05-09"))),"",ROUND($N272*$K272,0))</f>
        <v/>
      </c>
      <c r="Q272" s="39" t="n">
        <f aca="false">IFERROR(1/(1/ROUND($N272*$L272*$M272,0)),"")</f>
        <v>5</v>
      </c>
      <c r="R272" s="39" t="n">
        <f aca="false">IFERROR(1/(1/(ROUND($N272*$L272,0)-$Q272)),"")</f>
        <v>19</v>
      </c>
      <c r="S272" s="88" t="n">
        <f aca="false">IF(OR($C272="18+",$C272="18-20",SUM($Q272,$R272)=0),"",100%)</f>
        <v>1</v>
      </c>
      <c r="T272" s="39" t="n">
        <f aca="false">IF(OR($C272="18+",$C272="18-20",SUM($Q272,$R272)=0),"",ROUND(SUM($Q272,$R272)*$S272,0))</f>
        <v>24</v>
      </c>
    </row>
    <row r="273" customFormat="false" ht="15" hidden="false" customHeight="false" outlineLevel="0" collapsed="false">
      <c r="A273" s="0" t="str">
        <f aca="false">INDEX(Prioritization!$D:$D,MATCH($B273,Prioritization!$A:$A,0))</f>
        <v>1 - Scale-up: Saturation</v>
      </c>
      <c r="B273" s="0" t="s">
        <v>212</v>
      </c>
      <c r="C273" s="0" t="s">
        <v>364</v>
      </c>
      <c r="D273" s="0" t="s">
        <v>30</v>
      </c>
      <c r="E273" s="0" t="str">
        <f aca="false">$B273&amp;"|"&amp;$C273&amp;"|"&amp;$D273</f>
        <v>Chikwawa District [U8c0so51kT6]|10-14|Female</v>
      </c>
      <c r="G273" s="10" t="n">
        <v>820</v>
      </c>
      <c r="H273" s="10" t="n">
        <v>903</v>
      </c>
      <c r="I273" s="88" t="n">
        <f aca="false">IF(SUM($H273)=0,"",0%)</f>
        <v>0</v>
      </c>
      <c r="J273" s="88"/>
      <c r="K273" s="88"/>
      <c r="L273" s="88" t="n">
        <f aca="false">1-IF(NOT(AND($D273="Female",OR($C273="10-14",$C273="15-17",$F273="Y"))),0,$J273)-IF(NOT(OR($C273="05-09",$C273="10-14")),0,$K273)</f>
        <v>1</v>
      </c>
      <c r="M273" s="88" t="n">
        <f aca="false">IF(SUM($L273)=0,"",20%)</f>
        <v>0.2</v>
      </c>
      <c r="N273" s="10" t="n">
        <f aca="false">IF(SUM($H273)=0,"",ROUND($H273*(1+$I273),0))</f>
        <v>903</v>
      </c>
      <c r="O273" s="39" t="str">
        <f aca="false">IF(OR(SUM($N273)=0,SUM($J273)=0,NOT(AND($D273="Female",$F273="Y",OR($C273="10-14",$C273="15-17")))),"",ROUND($N273*$J273,0))</f>
        <v/>
      </c>
      <c r="P273" s="39" t="str">
        <f aca="false">IF(OR(SUM($N273)=0,SUM($K273)=0,NOT(OR($C273="10-14",$C273="05-09"))),"",ROUND($N273*$K273,0))</f>
        <v/>
      </c>
      <c r="Q273" s="39" t="n">
        <f aca="false">IFERROR(1/(1/ROUND($N273*$L273*$M273,0)),"")</f>
        <v>181</v>
      </c>
      <c r="R273" s="39" t="n">
        <f aca="false">IFERROR(1/(1/(ROUND($N273*$L273,0)-$Q273)),"")</f>
        <v>722</v>
      </c>
      <c r="S273" s="88" t="n">
        <f aca="false">IF(OR($C273="18+",$C273="18-20",SUM($Q273,$R273)=0),"",100%)</f>
        <v>1</v>
      </c>
      <c r="T273" s="39" t="n">
        <f aca="false">IF(OR($C273="18+",$C273="18-20",SUM($Q273,$R273)=0),"",ROUND(SUM($Q273,$R273)*$S273,0))</f>
        <v>903</v>
      </c>
    </row>
    <row r="274" customFormat="false" ht="15" hidden="false" customHeight="false" outlineLevel="0" collapsed="false">
      <c r="A274" s="0" t="str">
        <f aca="false">INDEX(Prioritization!$D:$D,MATCH($B274,Prioritization!$A:$A,0))</f>
        <v>1 - Scale-up: Saturation</v>
      </c>
      <c r="B274" s="0" t="s">
        <v>212</v>
      </c>
      <c r="C274" s="0" t="s">
        <v>364</v>
      </c>
      <c r="D274" s="0" t="s">
        <v>48</v>
      </c>
      <c r="E274" s="0" t="str">
        <f aca="false">$B274&amp;"|"&amp;$C274&amp;"|"&amp;$D274</f>
        <v>Chikwawa District [U8c0so51kT6]|10-14|Male</v>
      </c>
      <c r="G274" s="10" t="n">
        <v>203</v>
      </c>
      <c r="H274" s="10" t="n">
        <v>427</v>
      </c>
      <c r="I274" s="88" t="n">
        <f aca="false">IF(SUM($H274)=0,"",0%)</f>
        <v>0</v>
      </c>
      <c r="J274" s="88"/>
      <c r="K274" s="88"/>
      <c r="L274" s="88" t="n">
        <f aca="false">1-IF(NOT(AND($D274="Female",OR($C274="10-14",$C274="15-17",$F274="Y"))),0,$J274)-IF(NOT(OR($C274="05-09",$C274="10-14")),0,$K274)</f>
        <v>1</v>
      </c>
      <c r="M274" s="88" t="n">
        <f aca="false">IF(SUM($L274)=0,"",20%)</f>
        <v>0.2</v>
      </c>
      <c r="N274" s="10" t="n">
        <f aca="false">IF(SUM($H274)=0,"",ROUND($H274*(1+$I274),0))</f>
        <v>427</v>
      </c>
      <c r="O274" s="39" t="str">
        <f aca="false">IF(OR(SUM($N274)=0,SUM($J274)=0,NOT(AND($D274="Female",$F274="Y",OR($C274="10-14",$C274="15-17")))),"",ROUND($N274*$J274,0))</f>
        <v/>
      </c>
      <c r="P274" s="39" t="str">
        <f aca="false">IF(OR(SUM($N274)=0,SUM($K274)=0,NOT(OR($C274="10-14",$C274="05-09"))),"",ROUND($N274*$K274,0))</f>
        <v/>
      </c>
      <c r="Q274" s="39" t="n">
        <f aca="false">IFERROR(1/(1/ROUND($N274*$L274*$M274,0)),"")</f>
        <v>85</v>
      </c>
      <c r="R274" s="39" t="n">
        <f aca="false">IFERROR(1/(1/(ROUND($N274*$L274,0)-$Q274)),"")</f>
        <v>342</v>
      </c>
      <c r="S274" s="88" t="n">
        <f aca="false">IF(OR($C274="18+",$C274="18-20",SUM($Q274,$R274)=0),"",100%)</f>
        <v>1</v>
      </c>
      <c r="T274" s="39" t="n">
        <f aca="false">IF(OR($C274="18+",$C274="18-20",SUM($Q274,$R274)=0),"",ROUND(SUM($Q274,$R274)*$S274,0))</f>
        <v>427</v>
      </c>
    </row>
    <row r="275" customFormat="false" ht="15" hidden="false" customHeight="false" outlineLevel="0" collapsed="false">
      <c r="A275" s="0" t="str">
        <f aca="false">INDEX(Prioritization!$D:$D,MATCH($B275,Prioritization!$A:$A,0))</f>
        <v>1 - Scale-up: Saturation</v>
      </c>
      <c r="B275" s="0" t="s">
        <v>212</v>
      </c>
      <c r="C275" s="0" t="s">
        <v>812</v>
      </c>
      <c r="D275" s="0" t="s">
        <v>30</v>
      </c>
      <c r="E275" s="0" t="str">
        <f aca="false">$B275&amp;"|"&amp;$C275&amp;"|"&amp;$D275</f>
        <v>Chikwawa District [U8c0so51kT6]|15-17|Female</v>
      </c>
      <c r="G275" s="10" t="n">
        <v>33</v>
      </c>
      <c r="H275" s="10" t="n">
        <v>99</v>
      </c>
      <c r="I275" s="88" t="n">
        <f aca="false">IF(SUM($H275)=0,"",0%)</f>
        <v>0</v>
      </c>
      <c r="J275" s="88"/>
      <c r="K275" s="88"/>
      <c r="L275" s="88" t="n">
        <f aca="false">1-IF(NOT(AND($D275="Female",OR($C275="10-14",$C275="15-17",$F275="Y"))),0,$J275)-IF(NOT(OR($C275="05-09",$C275="10-14")),0,$K275)</f>
        <v>1</v>
      </c>
      <c r="M275" s="88" t="n">
        <f aca="false">IF(SUM($L275)=0,"",20%)</f>
        <v>0.2</v>
      </c>
      <c r="N275" s="10" t="n">
        <f aca="false">IF(SUM($H275)=0,"",ROUND($H275*(1+$I275),0))</f>
        <v>99</v>
      </c>
      <c r="O275" s="39" t="str">
        <f aca="false">IF(OR(SUM($N275)=0,SUM($J275)=0,NOT(AND($D275="Female",$F275="Y",OR($C275="10-14",$C275="15-17")))),"",ROUND($N275*$J275,0))</f>
        <v/>
      </c>
      <c r="P275" s="39" t="str">
        <f aca="false">IF(OR(SUM($N275)=0,SUM($K275)=0,NOT(OR($C275="10-14",$C275="05-09"))),"",ROUND($N275*$K275,0))</f>
        <v/>
      </c>
      <c r="Q275" s="39" t="n">
        <f aca="false">IFERROR(1/(1/ROUND($N275*$L275*$M275,0)),"")</f>
        <v>20</v>
      </c>
      <c r="R275" s="39" t="n">
        <f aca="false">IFERROR(1/(1/(ROUND($N275*$L275,0)-$Q275)),"")</f>
        <v>79</v>
      </c>
      <c r="S275" s="88" t="n">
        <f aca="false">IF(OR($C275="18+",$C275="18-20",SUM($Q275,$R275)=0),"",100%)</f>
        <v>1</v>
      </c>
      <c r="T275" s="39" t="n">
        <f aca="false">IF(OR($C275="18+",$C275="18-20",SUM($Q275,$R275)=0),"",ROUND(SUM($Q275,$R275)*$S275,0))</f>
        <v>99</v>
      </c>
    </row>
    <row r="276" customFormat="false" ht="15" hidden="false" customHeight="false" outlineLevel="0" collapsed="false">
      <c r="A276" s="0" t="str">
        <f aca="false">INDEX(Prioritization!$D:$D,MATCH($B276,Prioritization!$A:$A,0))</f>
        <v>1 - Scale-up: Saturation</v>
      </c>
      <c r="B276" s="0" t="s">
        <v>212</v>
      </c>
      <c r="C276" s="0" t="s">
        <v>812</v>
      </c>
      <c r="D276" s="0" t="s">
        <v>48</v>
      </c>
      <c r="E276" s="0" t="str">
        <f aca="false">$B276&amp;"|"&amp;$C276&amp;"|"&amp;$D276</f>
        <v>Chikwawa District [U8c0so51kT6]|15-17|Male</v>
      </c>
      <c r="G276" s="10" t="n">
        <v>93</v>
      </c>
      <c r="H276" s="10" t="n">
        <v>84</v>
      </c>
      <c r="I276" s="88" t="n">
        <f aca="false">IF(SUM($H276)=0,"",0%)</f>
        <v>0</v>
      </c>
      <c r="J276" s="88"/>
      <c r="K276" s="88"/>
      <c r="L276" s="88" t="n">
        <f aca="false">1-IF(NOT(AND($D276="Female",OR($C276="10-14",$C276="15-17",$F276="Y"))),0,$J276)-IF(NOT(OR($C276="05-09",$C276="10-14")),0,$K276)</f>
        <v>1</v>
      </c>
      <c r="M276" s="88" t="n">
        <f aca="false">IF(SUM($L276)=0,"",20%)</f>
        <v>0.2</v>
      </c>
      <c r="N276" s="10" t="n">
        <f aca="false">IF(SUM($H276)=0,"",ROUND($H276*(1+$I276),0))</f>
        <v>84</v>
      </c>
      <c r="O276" s="39" t="str">
        <f aca="false">IF(OR(SUM($N276)=0,SUM($J276)=0,NOT(AND($D276="Female",$F276="Y",OR($C276="10-14",$C276="15-17")))),"",ROUND($N276*$J276,0))</f>
        <v/>
      </c>
      <c r="P276" s="39" t="str">
        <f aca="false">IF(OR(SUM($N276)=0,SUM($K276)=0,NOT(OR($C276="10-14",$C276="05-09"))),"",ROUND($N276*$K276,0))</f>
        <v/>
      </c>
      <c r="Q276" s="39" t="n">
        <f aca="false">IFERROR(1/(1/ROUND($N276*$L276*$M276,0)),"")</f>
        <v>17</v>
      </c>
      <c r="R276" s="39" t="n">
        <f aca="false">IFERROR(1/(1/(ROUND($N276*$L276,0)-$Q276)),"")</f>
        <v>67</v>
      </c>
      <c r="S276" s="88" t="n">
        <f aca="false">IF(OR($C276="18+",$C276="18-20",SUM($Q276,$R276)=0),"",100%)</f>
        <v>1</v>
      </c>
      <c r="T276" s="39" t="n">
        <f aca="false">IF(OR($C276="18+",$C276="18-20",SUM($Q276,$R276)=0),"",ROUND(SUM($Q276,$R276)*$S276,0))</f>
        <v>84</v>
      </c>
    </row>
    <row r="277" customFormat="false" ht="15" hidden="false" customHeight="false" outlineLevel="0" collapsed="false">
      <c r="A277" s="0" t="str">
        <f aca="false">INDEX(Prioritization!$D:$D,MATCH($B277,Prioritization!$A:$A,0))</f>
        <v>1 - Scale-up: Saturation</v>
      </c>
      <c r="B277" s="0" t="s">
        <v>212</v>
      </c>
      <c r="C277" s="0" t="s">
        <v>813</v>
      </c>
      <c r="D277" s="0" t="s">
        <v>30</v>
      </c>
      <c r="E277" s="0" t="str">
        <f aca="false">$B277&amp;"|"&amp;$C277&amp;"|"&amp;$D277</f>
        <v>Chikwawa District [U8c0so51kT6]|18-20|Female</v>
      </c>
      <c r="G277" s="10"/>
      <c r="H277" s="10" t="n">
        <v>2</v>
      </c>
      <c r="I277" s="88" t="n">
        <f aca="false">IF(SUM($H277)=0,"",0%)</f>
        <v>0</v>
      </c>
      <c r="J277" s="88"/>
      <c r="K277" s="88"/>
      <c r="L277" s="88" t="n">
        <f aca="false">1-IF(NOT(AND($D277="Female",OR($C277="10-14",$C277="15-17",$F277="Y"))),0,$J277)-IF(NOT(OR($C277="05-09",$C277="10-14")),0,$K277)</f>
        <v>1</v>
      </c>
      <c r="M277" s="88" t="n">
        <f aca="false">IF(SUM($L277)=0,"",20%)</f>
        <v>0.2</v>
      </c>
      <c r="N277" s="10" t="n">
        <f aca="false">IF(SUM($H277)=0,"",ROUND($H277*(1+$I277),0))</f>
        <v>2</v>
      </c>
      <c r="O277" s="39" t="str">
        <f aca="false">IF(OR(SUM($N277)=0,SUM($J277)=0,NOT(AND($D277="Female",$F277="Y",OR($C277="10-14",$C277="15-17")))),"",ROUND($N277*$J277,0))</f>
        <v/>
      </c>
      <c r="P277" s="39" t="str">
        <f aca="false">IF(OR(SUM($N277)=0,SUM($K277)=0,NOT(OR($C277="10-14",$C277="05-09"))),"",ROUND($N277*$K277,0))</f>
        <v/>
      </c>
      <c r="Q277" s="39" t="str">
        <f aca="false">IFERROR(1/(1/ROUND($N277*$L277*$M277,0)),"")</f>
        <v/>
      </c>
      <c r="R277" s="39" t="str">
        <f aca="false">IFERROR(1/(1/(ROUND($N277*$L277,0)-$Q277)),"")</f>
        <v/>
      </c>
      <c r="S277" s="88" t="str">
        <f aca="false">IF(OR($C277="18+",$C277="18-20",SUM($Q277,$R277)=0),"",100%)</f>
        <v/>
      </c>
      <c r="T277" s="39" t="str">
        <f aca="false">IF(OR($C277="18+",$C277="18-20",SUM($Q277,$R277)=0),"",ROUND(SUM($Q277,$R277)*$S277,0))</f>
        <v/>
      </c>
    </row>
    <row r="278" customFormat="false" ht="15" hidden="false" customHeight="false" outlineLevel="0" collapsed="false">
      <c r="A278" s="0" t="str">
        <f aca="false">INDEX(Prioritization!$D:$D,MATCH($B278,Prioritization!$A:$A,0))</f>
        <v>1 - Scale-up: Saturation</v>
      </c>
      <c r="B278" s="0" t="s">
        <v>212</v>
      </c>
      <c r="C278" s="0" t="s">
        <v>813</v>
      </c>
      <c r="D278" s="0" t="s">
        <v>48</v>
      </c>
      <c r="E278" s="0" t="str">
        <f aca="false">$B278&amp;"|"&amp;$C278&amp;"|"&amp;$D278</f>
        <v>Chikwawa District [U8c0so51kT6]|18-20|Male</v>
      </c>
      <c r="G278" s="10"/>
      <c r="H278" s="10" t="n">
        <v>7</v>
      </c>
      <c r="I278" s="88" t="n">
        <f aca="false">IF(SUM($H278)=0,"",0%)</f>
        <v>0</v>
      </c>
      <c r="J278" s="88"/>
      <c r="K278" s="88"/>
      <c r="L278" s="88" t="n">
        <f aca="false">1-IF(NOT(AND($D278="Female",OR($C278="10-14",$C278="15-17",$F278="Y"))),0,$J278)-IF(NOT(OR($C278="05-09",$C278="10-14")),0,$K278)</f>
        <v>1</v>
      </c>
      <c r="M278" s="88" t="n">
        <f aca="false">IF(SUM($L278)=0,"",20%)</f>
        <v>0.2</v>
      </c>
      <c r="N278" s="10" t="n">
        <f aca="false">IF(SUM($H278)=0,"",ROUND($H278*(1+$I278),0))</f>
        <v>7</v>
      </c>
      <c r="O278" s="39" t="str">
        <f aca="false">IF(OR(SUM($N278)=0,SUM($J278)=0,NOT(AND($D278="Female",$F278="Y",OR($C278="10-14",$C278="15-17")))),"",ROUND($N278*$J278,0))</f>
        <v/>
      </c>
      <c r="P278" s="39" t="str">
        <f aca="false">IF(OR(SUM($N278)=0,SUM($K278)=0,NOT(OR($C278="10-14",$C278="05-09"))),"",ROUND($N278*$K278,0))</f>
        <v/>
      </c>
      <c r="Q278" s="39" t="n">
        <f aca="false">IFERROR(1/(1/ROUND($N278*$L278*$M278,0)),"")</f>
        <v>1</v>
      </c>
      <c r="R278" s="39" t="n">
        <f aca="false">IFERROR(1/(1/(ROUND($N278*$L278,0)-$Q278)),"")</f>
        <v>6</v>
      </c>
      <c r="S278" s="88" t="str">
        <f aca="false">IF(OR($C278="18+",$C278="18-20",SUM($Q278,$R278)=0),"",100%)</f>
        <v/>
      </c>
      <c r="T278" s="39" t="str">
        <f aca="false">IF(OR($C278="18+",$C278="18-20",SUM($Q278,$R278)=0),"",ROUND(SUM($Q278,$R278)*$S278,0))</f>
        <v/>
      </c>
    </row>
    <row r="279" customFormat="false" ht="15" hidden="false" customHeight="false" outlineLevel="0" collapsed="false">
      <c r="A279" s="0" t="str">
        <f aca="false">INDEX(Prioritization!$D:$D,MATCH($B279,Prioritization!$A:$A,0))</f>
        <v>1 - Scale-up: Saturation</v>
      </c>
      <c r="B279" s="0" t="s">
        <v>212</v>
      </c>
      <c r="C279" s="0" t="s">
        <v>814</v>
      </c>
      <c r="D279" s="0" t="s">
        <v>30</v>
      </c>
      <c r="E279" s="0" t="str">
        <f aca="false">$B279&amp;"|"&amp;$C279&amp;"|"&amp;$D279</f>
        <v>Chikwawa District [U8c0so51kT6]|18+|Female</v>
      </c>
      <c r="G279" s="10" t="n">
        <v>994</v>
      </c>
      <c r="H279" s="10" t="n">
        <v>342</v>
      </c>
      <c r="I279" s="88" t="n">
        <f aca="false">IF(SUM($H279)=0,"",0%)</f>
        <v>0</v>
      </c>
      <c r="J279" s="88"/>
      <c r="K279" s="88"/>
      <c r="L279" s="88" t="n">
        <f aca="false">1-IF(NOT(AND($D279="Female",OR($C279="10-14",$C279="15-17",$F279="Y"))),0,$J279)-IF(NOT(OR($C279="05-09",$C279="10-14")),0,$K279)</f>
        <v>1</v>
      </c>
      <c r="M279" s="88" t="n">
        <f aca="false">IF(SUM($L279)=0,"",20%)</f>
        <v>0.2</v>
      </c>
      <c r="N279" s="10" t="n">
        <f aca="false">IF(SUM($H279)=0,"",ROUND($H279*(1+$I279),0))</f>
        <v>342</v>
      </c>
      <c r="O279" s="39" t="str">
        <f aca="false">IF(OR(SUM($N279)=0,SUM($J279)=0,NOT(AND($D279="Female",$F279="Y",OR($C279="10-14",$C279="15-17")))),"",ROUND($N279*$J279,0))</f>
        <v/>
      </c>
      <c r="P279" s="39" t="str">
        <f aca="false">IF(OR(SUM($N279)=0,SUM($K279)=0,NOT(OR($C279="10-14",$C279="05-09"))),"",ROUND($N279*$K279,0))</f>
        <v/>
      </c>
      <c r="Q279" s="39" t="n">
        <f aca="false">IFERROR(1/(1/ROUND($N279*$L279*$M279,0)),"")</f>
        <v>68</v>
      </c>
      <c r="R279" s="39" t="n">
        <f aca="false">IFERROR(1/(1/(ROUND($N279*$L279,0)-$Q279)),"")</f>
        <v>274</v>
      </c>
      <c r="S279" s="88" t="str">
        <f aca="false">IF(OR($C279="18+",$C279="18-20",SUM($Q279,$R279)=0),"",100%)</f>
        <v/>
      </c>
      <c r="T279" s="39" t="str">
        <f aca="false">IF(OR($C279="18+",$C279="18-20",SUM($Q279,$R279)=0),"",ROUND(SUM($Q279,$R279)*$S279,0))</f>
        <v/>
      </c>
    </row>
    <row r="280" customFormat="false" ht="15" hidden="false" customHeight="false" outlineLevel="0" collapsed="false">
      <c r="A280" s="0" t="str">
        <f aca="false">INDEX(Prioritization!$D:$D,MATCH($B280,Prioritization!$A:$A,0))</f>
        <v>1 - Scale-up: Saturation</v>
      </c>
      <c r="B280" s="0" t="s">
        <v>212</v>
      </c>
      <c r="C280" s="0" t="s">
        <v>814</v>
      </c>
      <c r="D280" s="0" t="s">
        <v>48</v>
      </c>
      <c r="E280" s="0" t="str">
        <f aca="false">$B280&amp;"|"&amp;$C280&amp;"|"&amp;$D280</f>
        <v>Chikwawa District [U8c0so51kT6]|18+|Male</v>
      </c>
      <c r="G280" s="10" t="n">
        <v>64</v>
      </c>
      <c r="H280" s="10" t="n">
        <v>31</v>
      </c>
      <c r="I280" s="88" t="n">
        <f aca="false">IF(SUM($H280)=0,"",0%)</f>
        <v>0</v>
      </c>
      <c r="J280" s="88"/>
      <c r="K280" s="88"/>
      <c r="L280" s="88" t="n">
        <f aca="false">1-IF(NOT(AND($D280="Female",OR($C280="10-14",$C280="15-17",$F280="Y"))),0,$J280)-IF(NOT(OR($C280="05-09",$C280="10-14")),0,$K280)</f>
        <v>1</v>
      </c>
      <c r="M280" s="88" t="n">
        <f aca="false">IF(SUM($L280)=0,"",20%)</f>
        <v>0.2</v>
      </c>
      <c r="N280" s="10" t="n">
        <f aca="false">IF(SUM($H280)=0,"",ROUND($H280*(1+$I280),0))</f>
        <v>31</v>
      </c>
      <c r="O280" s="39" t="str">
        <f aca="false">IF(OR(SUM($N280)=0,SUM($J280)=0,NOT(AND($D280="Female",$F280="Y",OR($C280="10-14",$C280="15-17")))),"",ROUND($N280*$J280,0))</f>
        <v/>
      </c>
      <c r="P280" s="39" t="str">
        <f aca="false">IF(OR(SUM($N280)=0,SUM($K280)=0,NOT(OR($C280="10-14",$C280="05-09"))),"",ROUND($N280*$K280,0))</f>
        <v/>
      </c>
      <c r="Q280" s="39" t="n">
        <f aca="false">IFERROR(1/(1/ROUND($N280*$L280*$M280,0)),"")</f>
        <v>6</v>
      </c>
      <c r="R280" s="39" t="n">
        <f aca="false">IFERROR(1/(1/(ROUND($N280*$L280,0)-$Q280)),"")</f>
        <v>25</v>
      </c>
      <c r="S280" s="88" t="str">
        <f aca="false">IF(OR($C280="18+",$C280="18-20",SUM($Q280,$R280)=0),"",100%)</f>
        <v/>
      </c>
      <c r="T280" s="39" t="str">
        <f aca="false">IF(OR($C280="18+",$C280="18-20",SUM($Q280,$R280)=0),"",ROUND(SUM($Q280,$R280)*$S280,0))</f>
        <v/>
      </c>
    </row>
    <row r="281" customFormat="false" ht="15" hidden="false" customHeight="false" outlineLevel="0" collapsed="false">
      <c r="A281" s="0" t="str">
        <f aca="false">INDEX(Prioritization!$D:$D,MATCH($B281,Prioritization!$A:$A,0))</f>
        <v>1 - Scale-up: Saturation</v>
      </c>
      <c r="B281" s="0" t="s">
        <v>213</v>
      </c>
      <c r="C281" s="0" t="s">
        <v>316</v>
      </c>
      <c r="D281" s="0" t="s">
        <v>30</v>
      </c>
      <c r="E281" s="0" t="str">
        <f aca="false">$B281&amp;"|"&amp;$C281&amp;"|"&amp;$D281</f>
        <v>Chiradzulu District [oiPR2CiVJbf]|&lt;01|Female</v>
      </c>
      <c r="F281" s="0" t="s">
        <v>1247</v>
      </c>
      <c r="G281" s="10"/>
      <c r="H281" s="10"/>
      <c r="I281" s="88" t="str">
        <f aca="false">IF(SUM($H281)=0,"",0%)</f>
        <v/>
      </c>
      <c r="J281" s="88"/>
      <c r="K281" s="88"/>
      <c r="L281" s="88" t="n">
        <f aca="false">1-IF(NOT(AND($D281="Female",OR($C281="10-14",$C281="15-17",$F281="Y"))),0,$J281)-IF(NOT(OR($C281="05-09",$C281="10-14")),0,$K281)</f>
        <v>1</v>
      </c>
      <c r="M281" s="88" t="n">
        <f aca="false">IF(SUM($L281)=0,"",20%)</f>
        <v>0.2</v>
      </c>
      <c r="N281" s="10" t="str">
        <f aca="false">IF(SUM($H281)=0,"",ROUND($H281*(1+$I281),0))</f>
        <v/>
      </c>
      <c r="O281" s="39" t="str">
        <f aca="false">IF(OR(SUM($N281)=0,SUM($J281)=0,NOT(AND($D281="Female",$F281="Y",OR($C281="10-14",$C281="15-17")))),"",ROUND($N281*$J281,0))</f>
        <v/>
      </c>
      <c r="P281" s="39" t="str">
        <f aca="false">IF(OR(SUM($N281)=0,SUM($K281)=0,NOT(OR($C281="10-14",$C281="05-09"))),"",ROUND($N281*$K281,0))</f>
        <v/>
      </c>
      <c r="Q281" s="39" t="str">
        <f aca="false">IFERROR(1/(1/ROUND($N281*$L281*$M281,0)),"")</f>
        <v/>
      </c>
      <c r="R281" s="39" t="str">
        <f aca="false">IFERROR(1/(1/(ROUND($N281*$L281,0)-$Q281)),"")</f>
        <v/>
      </c>
      <c r="S281" s="88" t="str">
        <f aca="false">IF(OR($C281="18+",$C281="18-20",SUM($Q281,$R281)=0),"",100%)</f>
        <v/>
      </c>
      <c r="T281" s="39" t="str">
        <f aca="false">IF(OR($C281="18+",$C281="18-20",SUM($Q281,$R281)=0),"",ROUND(SUM($Q281,$R281)*$S281,0))</f>
        <v/>
      </c>
    </row>
    <row r="282" customFormat="false" ht="15" hidden="false" customHeight="false" outlineLevel="0" collapsed="false">
      <c r="A282" s="0" t="str">
        <f aca="false">INDEX(Prioritization!$D:$D,MATCH($B282,Prioritization!$A:$A,0))</f>
        <v>1 - Scale-up: Saturation</v>
      </c>
      <c r="B282" s="0" t="s">
        <v>213</v>
      </c>
      <c r="C282" s="0" t="s">
        <v>316</v>
      </c>
      <c r="D282" s="0" t="s">
        <v>48</v>
      </c>
      <c r="E282" s="0" t="str">
        <f aca="false">$B282&amp;"|"&amp;$C282&amp;"|"&amp;$D282</f>
        <v>Chiradzulu District [oiPR2CiVJbf]|&lt;01|Male</v>
      </c>
      <c r="F282" s="0" t="s">
        <v>1247</v>
      </c>
      <c r="G282" s="10"/>
      <c r="H282" s="10"/>
      <c r="I282" s="88" t="str">
        <f aca="false">IF(SUM($H282)=0,"",0%)</f>
        <v/>
      </c>
      <c r="J282" s="88"/>
      <c r="K282" s="88"/>
      <c r="L282" s="88" t="n">
        <f aca="false">1-IF(NOT(AND($D282="Female",OR($C282="10-14",$C282="15-17",$F282="Y"))),0,$J282)-IF(NOT(OR($C282="05-09",$C282="10-14")),0,$K282)</f>
        <v>1</v>
      </c>
      <c r="M282" s="88" t="n">
        <f aca="false">IF(SUM($L282)=0,"",20%)</f>
        <v>0.2</v>
      </c>
      <c r="N282" s="10" t="str">
        <f aca="false">IF(SUM($H282)=0,"",ROUND($H282*(1+$I282),0))</f>
        <v/>
      </c>
      <c r="O282" s="39" t="str">
        <f aca="false">IF(OR(SUM($N282)=0,SUM($J282)=0,NOT(AND($D282="Female",$F282="Y",OR($C282="10-14",$C282="15-17")))),"",ROUND($N282*$J282,0))</f>
        <v/>
      </c>
      <c r="P282" s="39" t="str">
        <f aca="false">IF(OR(SUM($N282)=0,SUM($K282)=0,NOT(OR($C282="10-14",$C282="05-09"))),"",ROUND($N282*$K282,0))</f>
        <v/>
      </c>
      <c r="Q282" s="39" t="str">
        <f aca="false">IFERROR(1/(1/ROUND($N282*$L282*$M282,0)),"")</f>
        <v/>
      </c>
      <c r="R282" s="39" t="str">
        <f aca="false">IFERROR(1/(1/(ROUND($N282*$L282,0)-$Q282)),"")</f>
        <v/>
      </c>
      <c r="S282" s="88" t="str">
        <f aca="false">IF(OR($C282="18+",$C282="18-20",SUM($Q282,$R282)=0),"",100%)</f>
        <v/>
      </c>
      <c r="T282" s="39" t="str">
        <f aca="false">IF(OR($C282="18+",$C282="18-20",SUM($Q282,$R282)=0),"",ROUND(SUM($Q282,$R282)*$S282,0))</f>
        <v/>
      </c>
    </row>
    <row r="283" customFormat="false" ht="15" hidden="false" customHeight="false" outlineLevel="0" collapsed="false">
      <c r="A283" s="0" t="str">
        <f aca="false">INDEX(Prioritization!$D:$D,MATCH($B283,Prioritization!$A:$A,0))</f>
        <v>1 - Scale-up: Saturation</v>
      </c>
      <c r="B283" s="0" t="s">
        <v>213</v>
      </c>
      <c r="C283" s="0" t="s">
        <v>810</v>
      </c>
      <c r="D283" s="0" t="s">
        <v>30</v>
      </c>
      <c r="E283" s="0" t="str">
        <f aca="false">$B283&amp;"|"&amp;$C283&amp;"|"&amp;$D283</f>
        <v>Chiradzulu District [oiPR2CiVJbf]|01-04|Female</v>
      </c>
      <c r="F283" s="0" t="s">
        <v>1247</v>
      </c>
      <c r="G283" s="10"/>
      <c r="H283" s="10"/>
      <c r="I283" s="88" t="str">
        <f aca="false">IF(SUM($H283)=0,"",0%)</f>
        <v/>
      </c>
      <c r="J283" s="88"/>
      <c r="K283" s="88"/>
      <c r="L283" s="88" t="n">
        <f aca="false">1-IF(NOT(AND($D283="Female",OR($C283="10-14",$C283="15-17",$F283="Y"))),0,$J283)-IF(NOT(OR($C283="05-09",$C283="10-14")),0,$K283)</f>
        <v>1</v>
      </c>
      <c r="M283" s="88" t="n">
        <f aca="false">IF(SUM($L283)=0,"",20%)</f>
        <v>0.2</v>
      </c>
      <c r="N283" s="10" t="str">
        <f aca="false">IF(SUM($H283)=0,"",ROUND($H283*(1+$I283),0))</f>
        <v/>
      </c>
      <c r="O283" s="39" t="str">
        <f aca="false">IF(OR(SUM($N283)=0,SUM($J283)=0,NOT(AND($D283="Female",$F283="Y",OR($C283="10-14",$C283="15-17")))),"",ROUND($N283*$J283,0))</f>
        <v/>
      </c>
      <c r="P283" s="39" t="str">
        <f aca="false">IF(OR(SUM($N283)=0,SUM($K283)=0,NOT(OR($C283="10-14",$C283="05-09"))),"",ROUND($N283*$K283,0))</f>
        <v/>
      </c>
      <c r="Q283" s="39" t="str">
        <f aca="false">IFERROR(1/(1/ROUND($N283*$L283*$M283,0)),"")</f>
        <v/>
      </c>
      <c r="R283" s="39" t="str">
        <f aca="false">IFERROR(1/(1/(ROUND($N283*$L283,0)-$Q283)),"")</f>
        <v/>
      </c>
      <c r="S283" s="88" t="str">
        <f aca="false">IF(OR($C283="18+",$C283="18-20",SUM($Q283,$R283)=0),"",100%)</f>
        <v/>
      </c>
      <c r="T283" s="39" t="str">
        <f aca="false">IF(OR($C283="18+",$C283="18-20",SUM($Q283,$R283)=0),"",ROUND(SUM($Q283,$R283)*$S283,0))</f>
        <v/>
      </c>
    </row>
    <row r="284" customFormat="false" ht="15" hidden="false" customHeight="false" outlineLevel="0" collapsed="false">
      <c r="A284" s="0" t="str">
        <f aca="false">INDEX(Prioritization!$D:$D,MATCH($B284,Prioritization!$A:$A,0))</f>
        <v>1 - Scale-up: Saturation</v>
      </c>
      <c r="B284" s="0" t="s">
        <v>213</v>
      </c>
      <c r="C284" s="0" t="s">
        <v>810</v>
      </c>
      <c r="D284" s="0" t="s">
        <v>48</v>
      </c>
      <c r="E284" s="0" t="str">
        <f aca="false">$B284&amp;"|"&amp;$C284&amp;"|"&amp;$D284</f>
        <v>Chiradzulu District [oiPR2CiVJbf]|01-04|Male</v>
      </c>
      <c r="F284" s="0" t="s">
        <v>1247</v>
      </c>
      <c r="G284" s="10"/>
      <c r="H284" s="10"/>
      <c r="I284" s="88" t="str">
        <f aca="false">IF(SUM($H284)=0,"",0%)</f>
        <v/>
      </c>
      <c r="J284" s="88"/>
      <c r="K284" s="88"/>
      <c r="L284" s="88" t="n">
        <f aca="false">1-IF(NOT(AND($D284="Female",OR($C284="10-14",$C284="15-17",$F284="Y"))),0,$J284)-IF(NOT(OR($C284="05-09",$C284="10-14")),0,$K284)</f>
        <v>1</v>
      </c>
      <c r="M284" s="88" t="n">
        <f aca="false">IF(SUM($L284)=0,"",20%)</f>
        <v>0.2</v>
      </c>
      <c r="N284" s="10" t="str">
        <f aca="false">IF(SUM($H284)=0,"",ROUND($H284*(1+$I284),0))</f>
        <v/>
      </c>
      <c r="O284" s="39" t="str">
        <f aca="false">IF(OR(SUM($N284)=0,SUM($J284)=0,NOT(AND($D284="Female",$F284="Y",OR($C284="10-14",$C284="15-17")))),"",ROUND($N284*$J284,0))</f>
        <v/>
      </c>
      <c r="P284" s="39" t="str">
        <f aca="false">IF(OR(SUM($N284)=0,SUM($K284)=0,NOT(OR($C284="10-14",$C284="05-09"))),"",ROUND($N284*$K284,0))</f>
        <v/>
      </c>
      <c r="Q284" s="39" t="str">
        <f aca="false">IFERROR(1/(1/ROUND($N284*$L284*$M284,0)),"")</f>
        <v/>
      </c>
      <c r="R284" s="39" t="str">
        <f aca="false">IFERROR(1/(1/(ROUND($N284*$L284,0)-$Q284)),"")</f>
        <v/>
      </c>
      <c r="S284" s="88" t="str">
        <f aca="false">IF(OR($C284="18+",$C284="18-20",SUM($Q284,$R284)=0),"",100%)</f>
        <v/>
      </c>
      <c r="T284" s="39" t="str">
        <f aca="false">IF(OR($C284="18+",$C284="18-20",SUM($Q284,$R284)=0),"",ROUND(SUM($Q284,$R284)*$S284,0))</f>
        <v/>
      </c>
    </row>
    <row r="285" customFormat="false" ht="15" hidden="false" customHeight="false" outlineLevel="0" collapsed="false">
      <c r="A285" s="0" t="str">
        <f aca="false">INDEX(Prioritization!$D:$D,MATCH($B285,Prioritization!$A:$A,0))</f>
        <v>1 - Scale-up: Saturation</v>
      </c>
      <c r="B285" s="0" t="s">
        <v>213</v>
      </c>
      <c r="C285" s="0" t="s">
        <v>811</v>
      </c>
      <c r="D285" s="0" t="s">
        <v>30</v>
      </c>
      <c r="E285" s="0" t="str">
        <f aca="false">$B285&amp;"|"&amp;$C285&amp;"|"&amp;$D285</f>
        <v>Chiradzulu District [oiPR2CiVJbf]|05-09|Female</v>
      </c>
      <c r="F285" s="0" t="s">
        <v>1247</v>
      </c>
      <c r="G285" s="10"/>
      <c r="H285" s="10"/>
      <c r="I285" s="88" t="str">
        <f aca="false">IF(SUM($H285)=0,"",0%)</f>
        <v/>
      </c>
      <c r="J285" s="88"/>
      <c r="K285" s="88"/>
      <c r="L285" s="88" t="n">
        <f aca="false">1-IF(NOT(AND($D285="Female",OR($C285="10-14",$C285="15-17",$F285="Y"))),0,$J285)-IF(NOT(OR($C285="05-09",$C285="10-14")),0,$K285)</f>
        <v>1</v>
      </c>
      <c r="M285" s="88" t="n">
        <f aca="false">IF(SUM($L285)=0,"",20%)</f>
        <v>0.2</v>
      </c>
      <c r="N285" s="10" t="str">
        <f aca="false">IF(SUM($H285)=0,"",ROUND($H285*(1+$I285),0))</f>
        <v/>
      </c>
      <c r="O285" s="39" t="str">
        <f aca="false">IF(OR(SUM($N285)=0,SUM($J285)=0,NOT(AND($D285="Female",$F285="Y",OR($C285="10-14",$C285="15-17")))),"",ROUND($N285*$J285,0))</f>
        <v/>
      </c>
      <c r="P285" s="39" t="str">
        <f aca="false">IF(OR(SUM($N285)=0,SUM($K285)=0,NOT(OR($C285="10-14",$C285="05-09"))),"",ROUND($N285*$K285,0))</f>
        <v/>
      </c>
      <c r="Q285" s="39" t="str">
        <f aca="false">IFERROR(1/(1/ROUND($N285*$L285*$M285,0)),"")</f>
        <v/>
      </c>
      <c r="R285" s="39" t="str">
        <f aca="false">IFERROR(1/(1/(ROUND($N285*$L285,0)-$Q285)),"")</f>
        <v/>
      </c>
      <c r="S285" s="88" t="str">
        <f aca="false">IF(OR($C285="18+",$C285="18-20",SUM($Q285,$R285)=0),"",100%)</f>
        <v/>
      </c>
      <c r="T285" s="39" t="str">
        <f aca="false">IF(OR($C285="18+",$C285="18-20",SUM($Q285,$R285)=0),"",ROUND(SUM($Q285,$R285)*$S285,0))</f>
        <v/>
      </c>
    </row>
    <row r="286" customFormat="false" ht="15" hidden="false" customHeight="false" outlineLevel="0" collapsed="false">
      <c r="A286" s="0" t="str">
        <f aca="false">INDEX(Prioritization!$D:$D,MATCH($B286,Prioritization!$A:$A,0))</f>
        <v>1 - Scale-up: Saturation</v>
      </c>
      <c r="B286" s="0" t="s">
        <v>213</v>
      </c>
      <c r="C286" s="0" t="s">
        <v>811</v>
      </c>
      <c r="D286" s="0" t="s">
        <v>48</v>
      </c>
      <c r="E286" s="0" t="str">
        <f aca="false">$B286&amp;"|"&amp;$C286&amp;"|"&amp;$D286</f>
        <v>Chiradzulu District [oiPR2CiVJbf]|05-09|Male</v>
      </c>
      <c r="F286" s="0" t="s">
        <v>1247</v>
      </c>
      <c r="G286" s="10"/>
      <c r="H286" s="10"/>
      <c r="I286" s="88" t="str">
        <f aca="false">IF(SUM($H286)=0,"",0%)</f>
        <v/>
      </c>
      <c r="J286" s="88"/>
      <c r="K286" s="88"/>
      <c r="L286" s="88" t="n">
        <f aca="false">1-IF(NOT(AND($D286="Female",OR($C286="10-14",$C286="15-17",$F286="Y"))),0,$J286)-IF(NOT(OR($C286="05-09",$C286="10-14")),0,$K286)</f>
        <v>1</v>
      </c>
      <c r="M286" s="88" t="n">
        <f aca="false">IF(SUM($L286)=0,"",20%)</f>
        <v>0.2</v>
      </c>
      <c r="N286" s="10" t="str">
        <f aca="false">IF(SUM($H286)=0,"",ROUND($H286*(1+$I286),0))</f>
        <v/>
      </c>
      <c r="O286" s="39" t="str">
        <f aca="false">IF(OR(SUM($N286)=0,SUM($J286)=0,NOT(AND($D286="Female",$F286="Y",OR($C286="10-14",$C286="15-17")))),"",ROUND($N286*$J286,0))</f>
        <v/>
      </c>
      <c r="P286" s="39" t="str">
        <f aca="false">IF(OR(SUM($N286)=0,SUM($K286)=0,NOT(OR($C286="10-14",$C286="05-09"))),"",ROUND($N286*$K286,0))</f>
        <v/>
      </c>
      <c r="Q286" s="39" t="str">
        <f aca="false">IFERROR(1/(1/ROUND($N286*$L286*$M286,0)),"")</f>
        <v/>
      </c>
      <c r="R286" s="39" t="str">
        <f aca="false">IFERROR(1/(1/(ROUND($N286*$L286,0)-$Q286)),"")</f>
        <v/>
      </c>
      <c r="S286" s="88" t="str">
        <f aca="false">IF(OR($C286="18+",$C286="18-20",SUM($Q286,$R286)=0),"",100%)</f>
        <v/>
      </c>
      <c r="T286" s="39" t="str">
        <f aca="false">IF(OR($C286="18+",$C286="18-20",SUM($Q286,$R286)=0),"",ROUND(SUM($Q286,$R286)*$S286,0))</f>
        <v/>
      </c>
    </row>
    <row r="287" customFormat="false" ht="15" hidden="false" customHeight="false" outlineLevel="0" collapsed="false">
      <c r="A287" s="0" t="str">
        <f aca="false">INDEX(Prioritization!$D:$D,MATCH($B287,Prioritization!$A:$A,0))</f>
        <v>1 - Scale-up: Saturation</v>
      </c>
      <c r="B287" s="0" t="s">
        <v>213</v>
      </c>
      <c r="C287" s="0" t="s">
        <v>364</v>
      </c>
      <c r="D287" s="0" t="s">
        <v>30</v>
      </c>
      <c r="E287" s="0" t="str">
        <f aca="false">$B287&amp;"|"&amp;$C287&amp;"|"&amp;$D287</f>
        <v>Chiradzulu District [oiPR2CiVJbf]|10-14|Female</v>
      </c>
      <c r="F287" s="0" t="s">
        <v>1247</v>
      </c>
      <c r="G287" s="10"/>
      <c r="H287" s="10"/>
      <c r="I287" s="88" t="str">
        <f aca="false">IF(SUM($H287)=0,"",0%)</f>
        <v/>
      </c>
      <c r="J287" s="88"/>
      <c r="K287" s="88"/>
      <c r="L287" s="88" t="n">
        <f aca="false">1-IF(NOT(AND($D287="Female",OR($C287="10-14",$C287="15-17",$F287="Y"))),0,$J287)-IF(NOT(OR($C287="05-09",$C287="10-14")),0,$K287)</f>
        <v>1</v>
      </c>
      <c r="M287" s="88" t="n">
        <f aca="false">IF(SUM($L287)=0,"",20%)</f>
        <v>0.2</v>
      </c>
      <c r="N287" s="10" t="str">
        <f aca="false">IF(SUM($H287)=0,"",ROUND($H287*(1+$I287),0))</f>
        <v/>
      </c>
      <c r="O287" s="39" t="str">
        <f aca="false">IF(OR(SUM($N287)=0,SUM($J287)=0,NOT(AND($D287="Female",$F287="Y",OR($C287="10-14",$C287="15-17")))),"",ROUND($N287*$J287,0))</f>
        <v/>
      </c>
      <c r="P287" s="39" t="str">
        <f aca="false">IF(OR(SUM($N287)=0,SUM($K287)=0,NOT(OR($C287="10-14",$C287="05-09"))),"",ROUND($N287*$K287,0))</f>
        <v/>
      </c>
      <c r="Q287" s="39" t="str">
        <f aca="false">IFERROR(1/(1/ROUND($N287*$L287*$M287,0)),"")</f>
        <v/>
      </c>
      <c r="R287" s="39" t="str">
        <f aca="false">IFERROR(1/(1/(ROUND($N287*$L287,0)-$Q287)),"")</f>
        <v/>
      </c>
      <c r="S287" s="88" t="str">
        <f aca="false">IF(OR($C287="18+",$C287="18-20",SUM($Q287,$R287)=0),"",100%)</f>
        <v/>
      </c>
      <c r="T287" s="39" t="str">
        <f aca="false">IF(OR($C287="18+",$C287="18-20",SUM($Q287,$R287)=0),"",ROUND(SUM($Q287,$R287)*$S287,0))</f>
        <v/>
      </c>
    </row>
    <row r="288" customFormat="false" ht="15" hidden="false" customHeight="false" outlineLevel="0" collapsed="false">
      <c r="A288" s="0" t="str">
        <f aca="false">INDEX(Prioritization!$D:$D,MATCH($B288,Prioritization!$A:$A,0))</f>
        <v>1 - Scale-up: Saturation</v>
      </c>
      <c r="B288" s="0" t="s">
        <v>213</v>
      </c>
      <c r="C288" s="0" t="s">
        <v>364</v>
      </c>
      <c r="D288" s="0" t="s">
        <v>48</v>
      </c>
      <c r="E288" s="0" t="str">
        <f aca="false">$B288&amp;"|"&amp;$C288&amp;"|"&amp;$D288</f>
        <v>Chiradzulu District [oiPR2CiVJbf]|10-14|Male</v>
      </c>
      <c r="F288" s="0" t="s">
        <v>1247</v>
      </c>
      <c r="G288" s="10"/>
      <c r="H288" s="10"/>
      <c r="I288" s="88" t="str">
        <f aca="false">IF(SUM($H288)=0,"",0%)</f>
        <v/>
      </c>
      <c r="J288" s="88"/>
      <c r="K288" s="88"/>
      <c r="L288" s="88" t="n">
        <f aca="false">1-IF(NOT(AND($D288="Female",OR($C288="10-14",$C288="15-17",$F288="Y"))),0,$J288)-IF(NOT(OR($C288="05-09",$C288="10-14")),0,$K288)</f>
        <v>1</v>
      </c>
      <c r="M288" s="88" t="n">
        <f aca="false">IF(SUM($L288)=0,"",20%)</f>
        <v>0.2</v>
      </c>
      <c r="N288" s="10" t="str">
        <f aca="false">IF(SUM($H288)=0,"",ROUND($H288*(1+$I288),0))</f>
        <v/>
      </c>
      <c r="O288" s="39" t="str">
        <f aca="false">IF(OR(SUM($N288)=0,SUM($J288)=0,NOT(AND($D288="Female",$F288="Y",OR($C288="10-14",$C288="15-17")))),"",ROUND($N288*$J288,0))</f>
        <v/>
      </c>
      <c r="P288" s="39" t="str">
        <f aca="false">IF(OR(SUM($N288)=0,SUM($K288)=0,NOT(OR($C288="10-14",$C288="05-09"))),"",ROUND($N288*$K288,0))</f>
        <v/>
      </c>
      <c r="Q288" s="39" t="str">
        <f aca="false">IFERROR(1/(1/ROUND($N288*$L288*$M288,0)),"")</f>
        <v/>
      </c>
      <c r="R288" s="39" t="str">
        <f aca="false">IFERROR(1/(1/(ROUND($N288*$L288,0)-$Q288)),"")</f>
        <v/>
      </c>
      <c r="S288" s="88" t="str">
        <f aca="false">IF(OR($C288="18+",$C288="18-20",SUM($Q288,$R288)=0),"",100%)</f>
        <v/>
      </c>
      <c r="T288" s="39" t="str">
        <f aca="false">IF(OR($C288="18+",$C288="18-20",SUM($Q288,$R288)=0),"",ROUND(SUM($Q288,$R288)*$S288,0))</f>
        <v/>
      </c>
    </row>
    <row r="289" customFormat="false" ht="15" hidden="false" customHeight="false" outlineLevel="0" collapsed="false">
      <c r="A289" s="0" t="str">
        <f aca="false">INDEX(Prioritization!$D:$D,MATCH($B289,Prioritization!$A:$A,0))</f>
        <v>1 - Scale-up: Saturation</v>
      </c>
      <c r="B289" s="0" t="s">
        <v>213</v>
      </c>
      <c r="C289" s="0" t="s">
        <v>812</v>
      </c>
      <c r="D289" s="0" t="s">
        <v>30</v>
      </c>
      <c r="E289" s="0" t="str">
        <f aca="false">$B289&amp;"|"&amp;$C289&amp;"|"&amp;$D289</f>
        <v>Chiradzulu District [oiPR2CiVJbf]|15-17|Female</v>
      </c>
      <c r="F289" s="0" t="s">
        <v>1247</v>
      </c>
      <c r="G289" s="10"/>
      <c r="H289" s="10"/>
      <c r="I289" s="88" t="str">
        <f aca="false">IF(SUM($H289)=0,"",0%)</f>
        <v/>
      </c>
      <c r="J289" s="88"/>
      <c r="K289" s="88"/>
      <c r="L289" s="88" t="n">
        <f aca="false">1-IF(NOT(AND($D289="Female",OR($C289="10-14",$C289="15-17",$F289="Y"))),0,$J289)-IF(NOT(OR($C289="05-09",$C289="10-14")),0,$K289)</f>
        <v>1</v>
      </c>
      <c r="M289" s="88" t="n">
        <f aca="false">IF(SUM($L289)=0,"",20%)</f>
        <v>0.2</v>
      </c>
      <c r="N289" s="10" t="str">
        <f aca="false">IF(SUM($H289)=0,"",ROUND($H289*(1+$I289),0))</f>
        <v/>
      </c>
      <c r="O289" s="39" t="str">
        <f aca="false">IF(OR(SUM($N289)=0,SUM($J289)=0,NOT(AND($D289="Female",$F289="Y",OR($C289="10-14",$C289="15-17")))),"",ROUND($N289*$J289,0))</f>
        <v/>
      </c>
      <c r="P289" s="39" t="str">
        <f aca="false">IF(OR(SUM($N289)=0,SUM($K289)=0,NOT(OR($C289="10-14",$C289="05-09"))),"",ROUND($N289*$K289,0))</f>
        <v/>
      </c>
      <c r="Q289" s="39" t="str">
        <f aca="false">IFERROR(1/(1/ROUND($N289*$L289*$M289,0)),"")</f>
        <v/>
      </c>
      <c r="R289" s="39" t="str">
        <f aca="false">IFERROR(1/(1/(ROUND($N289*$L289,0)-$Q289)),"")</f>
        <v/>
      </c>
      <c r="S289" s="88" t="str">
        <f aca="false">IF(OR($C289="18+",$C289="18-20",SUM($Q289,$R289)=0),"",100%)</f>
        <v/>
      </c>
      <c r="T289" s="39" t="str">
        <f aca="false">IF(OR($C289="18+",$C289="18-20",SUM($Q289,$R289)=0),"",ROUND(SUM($Q289,$R289)*$S289,0))</f>
        <v/>
      </c>
    </row>
    <row r="290" customFormat="false" ht="15" hidden="false" customHeight="false" outlineLevel="0" collapsed="false">
      <c r="A290" s="0" t="str">
        <f aca="false">INDEX(Prioritization!$D:$D,MATCH($B290,Prioritization!$A:$A,0))</f>
        <v>1 - Scale-up: Saturation</v>
      </c>
      <c r="B290" s="0" t="s">
        <v>213</v>
      </c>
      <c r="C290" s="0" t="s">
        <v>812</v>
      </c>
      <c r="D290" s="0" t="s">
        <v>48</v>
      </c>
      <c r="E290" s="0" t="str">
        <f aca="false">$B290&amp;"|"&amp;$C290&amp;"|"&amp;$D290</f>
        <v>Chiradzulu District [oiPR2CiVJbf]|15-17|Male</v>
      </c>
      <c r="F290" s="0" t="s">
        <v>1247</v>
      </c>
      <c r="G290" s="10"/>
      <c r="H290" s="10"/>
      <c r="I290" s="88" t="str">
        <f aca="false">IF(SUM($H290)=0,"",0%)</f>
        <v/>
      </c>
      <c r="J290" s="88"/>
      <c r="K290" s="88"/>
      <c r="L290" s="88" t="n">
        <f aca="false">1-IF(NOT(AND($D290="Female",OR($C290="10-14",$C290="15-17",$F290="Y"))),0,$J290)-IF(NOT(OR($C290="05-09",$C290="10-14")),0,$K290)</f>
        <v>1</v>
      </c>
      <c r="M290" s="88" t="n">
        <f aca="false">IF(SUM($L290)=0,"",20%)</f>
        <v>0.2</v>
      </c>
      <c r="N290" s="10" t="str">
        <f aca="false">IF(SUM($H290)=0,"",ROUND($H290*(1+$I290),0))</f>
        <v/>
      </c>
      <c r="O290" s="39" t="str">
        <f aca="false">IF(OR(SUM($N290)=0,SUM($J290)=0,NOT(AND($D290="Female",$F290="Y",OR($C290="10-14",$C290="15-17")))),"",ROUND($N290*$J290,0))</f>
        <v/>
      </c>
      <c r="P290" s="39" t="str">
        <f aca="false">IF(OR(SUM($N290)=0,SUM($K290)=0,NOT(OR($C290="10-14",$C290="05-09"))),"",ROUND($N290*$K290,0))</f>
        <v/>
      </c>
      <c r="Q290" s="39" t="str">
        <f aca="false">IFERROR(1/(1/ROUND($N290*$L290*$M290,0)),"")</f>
        <v/>
      </c>
      <c r="R290" s="39" t="str">
        <f aca="false">IFERROR(1/(1/(ROUND($N290*$L290,0)-$Q290)),"")</f>
        <v/>
      </c>
      <c r="S290" s="88" t="str">
        <f aca="false">IF(OR($C290="18+",$C290="18-20",SUM($Q290,$R290)=0),"",100%)</f>
        <v/>
      </c>
      <c r="T290" s="39" t="str">
        <f aca="false">IF(OR($C290="18+",$C290="18-20",SUM($Q290,$R290)=0),"",ROUND(SUM($Q290,$R290)*$S290,0))</f>
        <v/>
      </c>
    </row>
    <row r="291" customFormat="false" ht="15" hidden="false" customHeight="false" outlineLevel="0" collapsed="false">
      <c r="A291" s="0" t="str">
        <f aca="false">INDEX(Prioritization!$D:$D,MATCH($B291,Prioritization!$A:$A,0))</f>
        <v>1 - Scale-up: Saturation</v>
      </c>
      <c r="B291" s="0" t="s">
        <v>213</v>
      </c>
      <c r="C291" s="0" t="s">
        <v>813</v>
      </c>
      <c r="D291" s="0" t="s">
        <v>30</v>
      </c>
      <c r="E291" s="0" t="str">
        <f aca="false">$B291&amp;"|"&amp;$C291&amp;"|"&amp;$D291</f>
        <v>Chiradzulu District [oiPR2CiVJbf]|18-20|Female</v>
      </c>
      <c r="F291" s="0" t="s">
        <v>1247</v>
      </c>
      <c r="G291" s="10"/>
      <c r="H291" s="10"/>
      <c r="I291" s="88" t="str">
        <f aca="false">IF(SUM($H291)=0,"",0%)</f>
        <v/>
      </c>
      <c r="J291" s="88"/>
      <c r="K291" s="88"/>
      <c r="L291" s="88" t="n">
        <f aca="false">1-IF(NOT(AND($D291="Female",OR($C291="10-14",$C291="15-17",$F291="Y"))),0,$J291)-IF(NOT(OR($C291="05-09",$C291="10-14")),0,$K291)</f>
        <v>1</v>
      </c>
      <c r="M291" s="88" t="n">
        <f aca="false">IF(SUM($L291)=0,"",20%)</f>
        <v>0.2</v>
      </c>
      <c r="N291" s="10" t="str">
        <f aca="false">IF(SUM($H291)=0,"",ROUND($H291*(1+$I291),0))</f>
        <v/>
      </c>
      <c r="O291" s="39" t="str">
        <f aca="false">IF(OR(SUM($N291)=0,SUM($J291)=0,NOT(AND($D291="Female",$F291="Y",OR($C291="10-14",$C291="15-17")))),"",ROUND($N291*$J291,0))</f>
        <v/>
      </c>
      <c r="P291" s="39" t="str">
        <f aca="false">IF(OR(SUM($N291)=0,SUM($K291)=0,NOT(OR($C291="10-14",$C291="05-09"))),"",ROUND($N291*$K291,0))</f>
        <v/>
      </c>
      <c r="Q291" s="39" t="str">
        <f aca="false">IFERROR(1/(1/ROUND($N291*$L291*$M291,0)),"")</f>
        <v/>
      </c>
      <c r="R291" s="39" t="str">
        <f aca="false">IFERROR(1/(1/(ROUND($N291*$L291,0)-$Q291)),"")</f>
        <v/>
      </c>
      <c r="S291" s="88" t="str">
        <f aca="false">IF(OR($C291="18+",$C291="18-20",SUM($Q291,$R291)=0),"",100%)</f>
        <v/>
      </c>
      <c r="T291" s="39" t="str">
        <f aca="false">IF(OR($C291="18+",$C291="18-20",SUM($Q291,$R291)=0),"",ROUND(SUM($Q291,$R291)*$S291,0))</f>
        <v/>
      </c>
    </row>
    <row r="292" customFormat="false" ht="15" hidden="false" customHeight="false" outlineLevel="0" collapsed="false">
      <c r="A292" s="0" t="str">
        <f aca="false">INDEX(Prioritization!$D:$D,MATCH($B292,Prioritization!$A:$A,0))</f>
        <v>1 - Scale-up: Saturation</v>
      </c>
      <c r="B292" s="0" t="s">
        <v>213</v>
      </c>
      <c r="C292" s="0" t="s">
        <v>813</v>
      </c>
      <c r="D292" s="0" t="s">
        <v>48</v>
      </c>
      <c r="E292" s="0" t="str">
        <f aca="false">$B292&amp;"|"&amp;$C292&amp;"|"&amp;$D292</f>
        <v>Chiradzulu District [oiPR2CiVJbf]|18-20|Male</v>
      </c>
      <c r="F292" s="0" t="s">
        <v>1247</v>
      </c>
      <c r="G292" s="10"/>
      <c r="H292" s="10"/>
      <c r="I292" s="88" t="str">
        <f aca="false">IF(SUM($H292)=0,"",0%)</f>
        <v/>
      </c>
      <c r="J292" s="88"/>
      <c r="K292" s="88"/>
      <c r="L292" s="88" t="n">
        <f aca="false">1-IF(NOT(AND($D292="Female",OR($C292="10-14",$C292="15-17",$F292="Y"))),0,$J292)-IF(NOT(OR($C292="05-09",$C292="10-14")),0,$K292)</f>
        <v>1</v>
      </c>
      <c r="M292" s="88" t="n">
        <f aca="false">IF(SUM($L292)=0,"",20%)</f>
        <v>0.2</v>
      </c>
      <c r="N292" s="10" t="str">
        <f aca="false">IF(SUM($H292)=0,"",ROUND($H292*(1+$I292),0))</f>
        <v/>
      </c>
      <c r="O292" s="39" t="str">
        <f aca="false">IF(OR(SUM($N292)=0,SUM($J292)=0,NOT(AND($D292="Female",$F292="Y",OR($C292="10-14",$C292="15-17")))),"",ROUND($N292*$J292,0))</f>
        <v/>
      </c>
      <c r="P292" s="39" t="str">
        <f aca="false">IF(OR(SUM($N292)=0,SUM($K292)=0,NOT(OR($C292="10-14",$C292="05-09"))),"",ROUND($N292*$K292,0))</f>
        <v/>
      </c>
      <c r="Q292" s="39" t="str">
        <f aca="false">IFERROR(1/(1/ROUND($N292*$L292*$M292,0)),"")</f>
        <v/>
      </c>
      <c r="R292" s="39" t="str">
        <f aca="false">IFERROR(1/(1/(ROUND($N292*$L292,0)-$Q292)),"")</f>
        <v/>
      </c>
      <c r="S292" s="88" t="str">
        <f aca="false">IF(OR($C292="18+",$C292="18-20",SUM($Q292,$R292)=0),"",100%)</f>
        <v/>
      </c>
      <c r="T292" s="39" t="str">
        <f aca="false">IF(OR($C292="18+",$C292="18-20",SUM($Q292,$R292)=0),"",ROUND(SUM($Q292,$R292)*$S292,0))</f>
        <v/>
      </c>
    </row>
    <row r="293" customFormat="false" ht="15" hidden="false" customHeight="false" outlineLevel="0" collapsed="false">
      <c r="A293" s="0" t="str">
        <f aca="false">INDEX(Prioritization!$D:$D,MATCH($B293,Prioritization!$A:$A,0))</f>
        <v>1 - Scale-up: Saturation</v>
      </c>
      <c r="B293" s="0" t="s">
        <v>213</v>
      </c>
      <c r="C293" s="0" t="s">
        <v>814</v>
      </c>
      <c r="D293" s="0" t="s">
        <v>30</v>
      </c>
      <c r="E293" s="0" t="str">
        <f aca="false">$B293&amp;"|"&amp;$C293&amp;"|"&amp;$D293</f>
        <v>Chiradzulu District [oiPR2CiVJbf]|18+|Female</v>
      </c>
      <c r="F293" s="0" t="s">
        <v>1247</v>
      </c>
      <c r="G293" s="10"/>
      <c r="H293" s="10"/>
      <c r="I293" s="88" t="str">
        <f aca="false">IF(SUM($H293)=0,"",0%)</f>
        <v/>
      </c>
      <c r="J293" s="88"/>
      <c r="K293" s="88"/>
      <c r="L293" s="88" t="n">
        <f aca="false">1-IF(NOT(AND($D293="Female",OR($C293="10-14",$C293="15-17",$F293="Y"))),0,$J293)-IF(NOT(OR($C293="05-09",$C293="10-14")),0,$K293)</f>
        <v>1</v>
      </c>
      <c r="M293" s="88" t="n">
        <f aca="false">IF(SUM($L293)=0,"",20%)</f>
        <v>0.2</v>
      </c>
      <c r="N293" s="10" t="str">
        <f aca="false">IF(SUM($H293)=0,"",ROUND($H293*(1+$I293),0))</f>
        <v/>
      </c>
      <c r="O293" s="39" t="str">
        <f aca="false">IF(OR(SUM($N293)=0,SUM($J293)=0,NOT(AND($D293="Female",$F293="Y",OR($C293="10-14",$C293="15-17")))),"",ROUND($N293*$J293,0))</f>
        <v/>
      </c>
      <c r="P293" s="39" t="str">
        <f aca="false">IF(OR(SUM($N293)=0,SUM($K293)=0,NOT(OR($C293="10-14",$C293="05-09"))),"",ROUND($N293*$K293,0))</f>
        <v/>
      </c>
      <c r="Q293" s="39" t="str">
        <f aca="false">IFERROR(1/(1/ROUND($N293*$L293*$M293,0)),"")</f>
        <v/>
      </c>
      <c r="R293" s="39" t="str">
        <f aca="false">IFERROR(1/(1/(ROUND($N293*$L293,0)-$Q293)),"")</f>
        <v/>
      </c>
      <c r="S293" s="88" t="str">
        <f aca="false">IF(OR($C293="18+",$C293="18-20",SUM($Q293,$R293)=0),"",100%)</f>
        <v/>
      </c>
      <c r="T293" s="39" t="str">
        <f aca="false">IF(OR($C293="18+",$C293="18-20",SUM($Q293,$R293)=0),"",ROUND(SUM($Q293,$R293)*$S293,0))</f>
        <v/>
      </c>
    </row>
    <row r="294" customFormat="false" ht="15" hidden="false" customHeight="false" outlineLevel="0" collapsed="false">
      <c r="A294" s="0" t="str">
        <f aca="false">INDEX(Prioritization!$D:$D,MATCH($B294,Prioritization!$A:$A,0))</f>
        <v>1 - Scale-up: Saturation</v>
      </c>
      <c r="B294" s="0" t="s">
        <v>213</v>
      </c>
      <c r="C294" s="0" t="s">
        <v>814</v>
      </c>
      <c r="D294" s="0" t="s">
        <v>48</v>
      </c>
      <c r="E294" s="0" t="str">
        <f aca="false">$B294&amp;"|"&amp;$C294&amp;"|"&amp;$D294</f>
        <v>Chiradzulu District [oiPR2CiVJbf]|18+|Male</v>
      </c>
      <c r="F294" s="0" t="s">
        <v>1247</v>
      </c>
      <c r="G294" s="10"/>
      <c r="H294" s="10"/>
      <c r="I294" s="88" t="str">
        <f aca="false">IF(SUM($H294)=0,"",0%)</f>
        <v/>
      </c>
      <c r="J294" s="88"/>
      <c r="K294" s="88"/>
      <c r="L294" s="88" t="n">
        <f aca="false">1-IF(NOT(AND($D294="Female",OR($C294="10-14",$C294="15-17",$F294="Y"))),0,$J294)-IF(NOT(OR($C294="05-09",$C294="10-14")),0,$K294)</f>
        <v>1</v>
      </c>
      <c r="M294" s="88" t="n">
        <f aca="false">IF(SUM($L294)=0,"",20%)</f>
        <v>0.2</v>
      </c>
      <c r="N294" s="10" t="str">
        <f aca="false">IF(SUM($H294)=0,"",ROUND($H294*(1+$I294),0))</f>
        <v/>
      </c>
      <c r="O294" s="39" t="str">
        <f aca="false">IF(OR(SUM($N294)=0,SUM($J294)=0,NOT(AND($D294="Female",$F294="Y",OR($C294="10-14",$C294="15-17")))),"",ROUND($N294*$J294,0))</f>
        <v/>
      </c>
      <c r="P294" s="39" t="str">
        <f aca="false">IF(OR(SUM($N294)=0,SUM($K294)=0,NOT(OR($C294="10-14",$C294="05-09"))),"",ROUND($N294*$K294,0))</f>
        <v/>
      </c>
      <c r="Q294" s="39" t="str">
        <f aca="false">IFERROR(1/(1/ROUND($N294*$L294*$M294,0)),"")</f>
        <v/>
      </c>
      <c r="R294" s="39" t="str">
        <f aca="false">IFERROR(1/(1/(ROUND($N294*$L294,0)-$Q294)),"")</f>
        <v/>
      </c>
      <c r="S294" s="88" t="str">
        <f aca="false">IF(OR($C294="18+",$C294="18-20",SUM($Q294,$R294)=0),"",100%)</f>
        <v/>
      </c>
      <c r="T294" s="39" t="str">
        <f aca="false">IF(OR($C294="18+",$C294="18-20",SUM($Q294,$R294)=0),"",ROUND(SUM($Q294,$R294)*$S294,0))</f>
        <v/>
      </c>
    </row>
    <row r="295" customFormat="false" ht="15" hidden="false" customHeight="false" outlineLevel="0" collapsed="false">
      <c r="A295" s="0" t="str">
        <f aca="false">INDEX(Prioritization!$D:$D,MATCH($B295,Prioritization!$A:$A,0))</f>
        <v>1 - Scale-up: Saturation</v>
      </c>
      <c r="B295" s="0" t="s">
        <v>214</v>
      </c>
      <c r="C295" s="0" t="s">
        <v>316</v>
      </c>
      <c r="D295" s="0" t="s">
        <v>30</v>
      </c>
      <c r="E295" s="0" t="str">
        <f aca="false">$B295&amp;"|"&amp;$C295&amp;"|"&amp;$D295</f>
        <v>Machinga District [TYnMSwzko3z]|&lt;01|Female</v>
      </c>
      <c r="F295" s="0" t="s">
        <v>1246</v>
      </c>
      <c r="G295" s="10" t="n">
        <v>6</v>
      </c>
      <c r="H295" s="10" t="n">
        <v>96</v>
      </c>
      <c r="I295" s="88" t="n">
        <f aca="false">IF(SUM($H295)=0,"",0%)</f>
        <v>0</v>
      </c>
      <c r="J295" s="88"/>
      <c r="K295" s="88"/>
      <c r="L295" s="88" t="n">
        <f aca="false">1-IF(NOT(AND($D295="Female",OR($C295="10-14",$C295="15-17",$F295="Y"))),0,$J295)-IF(NOT(OR($C295="05-09",$C295="10-14")),0,$K295)</f>
        <v>1</v>
      </c>
      <c r="M295" s="88" t="n">
        <f aca="false">IF(SUM($L295)=0,"",20%)</f>
        <v>0.2</v>
      </c>
      <c r="N295" s="10" t="n">
        <f aca="false">IF(SUM($H295)=0,"",ROUND($H295*(1+$I295),0))</f>
        <v>96</v>
      </c>
      <c r="O295" s="39" t="str">
        <f aca="false">IF(OR(SUM($N295)=0,SUM($J295)=0,NOT(AND($D295="Female",$F295="Y",OR($C295="10-14",$C295="15-17")))),"",ROUND($N295*$J295,0))</f>
        <v/>
      </c>
      <c r="P295" s="39" t="str">
        <f aca="false">IF(OR(SUM($N295)=0,SUM($K295)=0,NOT(OR($C295="10-14",$C295="05-09"))),"",ROUND($N295*$K295,0))</f>
        <v/>
      </c>
      <c r="Q295" s="39" t="n">
        <f aca="false">IFERROR(1/(1/ROUND($N295*$L295*$M295,0)),"")</f>
        <v>19</v>
      </c>
      <c r="R295" s="39" t="n">
        <f aca="false">IFERROR(1/(1/(ROUND($N295*$L295,0)-$Q295)),"")</f>
        <v>77</v>
      </c>
      <c r="S295" s="88" t="n">
        <f aca="false">IF(OR($C295="18+",$C295="18-20",SUM($Q295,$R295)=0),"",100%)</f>
        <v>1</v>
      </c>
      <c r="T295" s="39" t="n">
        <f aca="false">IF(OR($C295="18+",$C295="18-20",SUM($Q295,$R295)=0),"",ROUND(SUM($Q295,$R295)*$S295,0))</f>
        <v>96</v>
      </c>
    </row>
    <row r="296" customFormat="false" ht="15" hidden="false" customHeight="false" outlineLevel="0" collapsed="false">
      <c r="A296" s="0" t="str">
        <f aca="false">INDEX(Prioritization!$D:$D,MATCH($B296,Prioritization!$A:$A,0))</f>
        <v>1 - Scale-up: Saturation</v>
      </c>
      <c r="B296" s="0" t="s">
        <v>214</v>
      </c>
      <c r="C296" s="0" t="s">
        <v>316</v>
      </c>
      <c r="D296" s="0" t="s">
        <v>48</v>
      </c>
      <c r="E296" s="0" t="str">
        <f aca="false">$B296&amp;"|"&amp;$C296&amp;"|"&amp;$D296</f>
        <v>Machinga District [TYnMSwzko3z]|&lt;01|Male</v>
      </c>
      <c r="F296" s="0" t="s">
        <v>1246</v>
      </c>
      <c r="G296" s="10" t="n">
        <v>4</v>
      </c>
      <c r="H296" s="10" t="n">
        <v>17</v>
      </c>
      <c r="I296" s="88" t="n">
        <f aca="false">IF(SUM($H296)=0,"",0%)</f>
        <v>0</v>
      </c>
      <c r="J296" s="88"/>
      <c r="K296" s="88"/>
      <c r="L296" s="88" t="n">
        <f aca="false">1-IF(NOT(AND($D296="Female",OR($C296="10-14",$C296="15-17",$F296="Y"))),0,$J296)-IF(NOT(OR($C296="05-09",$C296="10-14")),0,$K296)</f>
        <v>1</v>
      </c>
      <c r="M296" s="88" t="n">
        <f aca="false">IF(SUM($L296)=0,"",20%)</f>
        <v>0.2</v>
      </c>
      <c r="N296" s="10" t="n">
        <f aca="false">IF(SUM($H296)=0,"",ROUND($H296*(1+$I296),0))</f>
        <v>17</v>
      </c>
      <c r="O296" s="39" t="str">
        <f aca="false">IF(OR(SUM($N296)=0,SUM($J296)=0,NOT(AND($D296="Female",$F296="Y",OR($C296="10-14",$C296="15-17")))),"",ROUND($N296*$J296,0))</f>
        <v/>
      </c>
      <c r="P296" s="39" t="str">
        <f aca="false">IF(OR(SUM($N296)=0,SUM($K296)=0,NOT(OR($C296="10-14",$C296="05-09"))),"",ROUND($N296*$K296,0))</f>
        <v/>
      </c>
      <c r="Q296" s="39" t="n">
        <f aca="false">IFERROR(1/(1/ROUND($N296*$L296*$M296,0)),"")</f>
        <v>3</v>
      </c>
      <c r="R296" s="39" t="n">
        <f aca="false">IFERROR(1/(1/(ROUND($N296*$L296,0)-$Q296)),"")</f>
        <v>14</v>
      </c>
      <c r="S296" s="88" t="n">
        <f aca="false">IF(OR($C296="18+",$C296="18-20",SUM($Q296,$R296)=0),"",100%)</f>
        <v>1</v>
      </c>
      <c r="T296" s="39" t="n">
        <f aca="false">IF(OR($C296="18+",$C296="18-20",SUM($Q296,$R296)=0),"",ROUND(SUM($Q296,$R296)*$S296,0))</f>
        <v>17</v>
      </c>
    </row>
    <row r="297" customFormat="false" ht="15" hidden="false" customHeight="false" outlineLevel="0" collapsed="false">
      <c r="A297" s="0" t="str">
        <f aca="false">INDEX(Prioritization!$D:$D,MATCH($B297,Prioritization!$A:$A,0))</f>
        <v>1 - Scale-up: Saturation</v>
      </c>
      <c r="B297" s="0" t="s">
        <v>214</v>
      </c>
      <c r="C297" s="0" t="s">
        <v>810</v>
      </c>
      <c r="D297" s="0" t="s">
        <v>30</v>
      </c>
      <c r="E297" s="0" t="str">
        <f aca="false">$B297&amp;"|"&amp;$C297&amp;"|"&amp;$D297</f>
        <v>Machinga District [TYnMSwzko3z]|01-04|Female</v>
      </c>
      <c r="F297" s="0" t="s">
        <v>1246</v>
      </c>
      <c r="G297" s="10" t="n">
        <v>62</v>
      </c>
      <c r="H297" s="10" t="n">
        <v>58</v>
      </c>
      <c r="I297" s="88" t="n">
        <f aca="false">IF(SUM($H297)=0,"",0%)</f>
        <v>0</v>
      </c>
      <c r="J297" s="88"/>
      <c r="K297" s="88"/>
      <c r="L297" s="88" t="n">
        <f aca="false">1-IF(NOT(AND($D297="Female",OR($C297="10-14",$C297="15-17",$F297="Y"))),0,$J297)-IF(NOT(OR($C297="05-09",$C297="10-14")),0,$K297)</f>
        <v>1</v>
      </c>
      <c r="M297" s="88" t="n">
        <f aca="false">IF(SUM($L297)=0,"",20%)</f>
        <v>0.2</v>
      </c>
      <c r="N297" s="10" t="n">
        <f aca="false">IF(SUM($H297)=0,"",ROUND($H297*(1+$I297),0))</f>
        <v>58</v>
      </c>
      <c r="O297" s="39" t="str">
        <f aca="false">IF(OR(SUM($N297)=0,SUM($J297)=0,NOT(AND($D297="Female",$F297="Y",OR($C297="10-14",$C297="15-17")))),"",ROUND($N297*$J297,0))</f>
        <v/>
      </c>
      <c r="P297" s="39" t="str">
        <f aca="false">IF(OR(SUM($N297)=0,SUM($K297)=0,NOT(OR($C297="10-14",$C297="05-09"))),"",ROUND($N297*$K297,0))</f>
        <v/>
      </c>
      <c r="Q297" s="39" t="n">
        <f aca="false">IFERROR(1/(1/ROUND($N297*$L297*$M297,0)),"")</f>
        <v>12</v>
      </c>
      <c r="R297" s="39" t="n">
        <f aca="false">IFERROR(1/(1/(ROUND($N297*$L297,0)-$Q297)),"")</f>
        <v>46</v>
      </c>
      <c r="S297" s="88" t="n">
        <f aca="false">IF(OR($C297="18+",$C297="18-20",SUM($Q297,$R297)=0),"",100%)</f>
        <v>1</v>
      </c>
      <c r="T297" s="39" t="n">
        <f aca="false">IF(OR($C297="18+",$C297="18-20",SUM($Q297,$R297)=0),"",ROUND(SUM($Q297,$R297)*$S297,0))</f>
        <v>58</v>
      </c>
    </row>
    <row r="298" customFormat="false" ht="15" hidden="false" customHeight="false" outlineLevel="0" collapsed="false">
      <c r="A298" s="0" t="str">
        <f aca="false">INDEX(Prioritization!$D:$D,MATCH($B298,Prioritization!$A:$A,0))</f>
        <v>1 - Scale-up: Saturation</v>
      </c>
      <c r="B298" s="0" t="s">
        <v>214</v>
      </c>
      <c r="C298" s="0" t="s">
        <v>810</v>
      </c>
      <c r="D298" s="0" t="s">
        <v>48</v>
      </c>
      <c r="E298" s="0" t="str">
        <f aca="false">$B298&amp;"|"&amp;$C298&amp;"|"&amp;$D298</f>
        <v>Machinga District [TYnMSwzko3z]|01-04|Male</v>
      </c>
      <c r="F298" s="0" t="s">
        <v>1246</v>
      </c>
      <c r="G298" s="10" t="n">
        <v>83</v>
      </c>
      <c r="H298" s="10" t="n">
        <v>13</v>
      </c>
      <c r="I298" s="88" t="n">
        <f aca="false">IF(SUM($H298)=0,"",0%)</f>
        <v>0</v>
      </c>
      <c r="J298" s="88"/>
      <c r="K298" s="88"/>
      <c r="L298" s="88" t="n">
        <f aca="false">1-IF(NOT(AND($D298="Female",OR($C298="10-14",$C298="15-17",$F298="Y"))),0,$J298)-IF(NOT(OR($C298="05-09",$C298="10-14")),0,$K298)</f>
        <v>1</v>
      </c>
      <c r="M298" s="88" t="n">
        <f aca="false">IF(SUM($L298)=0,"",20%)</f>
        <v>0.2</v>
      </c>
      <c r="N298" s="10" t="n">
        <f aca="false">IF(SUM($H298)=0,"",ROUND($H298*(1+$I298),0))</f>
        <v>13</v>
      </c>
      <c r="O298" s="39" t="str">
        <f aca="false">IF(OR(SUM($N298)=0,SUM($J298)=0,NOT(AND($D298="Female",$F298="Y",OR($C298="10-14",$C298="15-17")))),"",ROUND($N298*$J298,0))</f>
        <v/>
      </c>
      <c r="P298" s="39" t="str">
        <f aca="false">IF(OR(SUM($N298)=0,SUM($K298)=0,NOT(OR($C298="10-14",$C298="05-09"))),"",ROUND($N298*$K298,0))</f>
        <v/>
      </c>
      <c r="Q298" s="39" t="n">
        <f aca="false">IFERROR(1/(1/ROUND($N298*$L298*$M298,0)),"")</f>
        <v>3</v>
      </c>
      <c r="R298" s="39" t="n">
        <f aca="false">IFERROR(1/(1/(ROUND($N298*$L298,0)-$Q298)),"")</f>
        <v>10</v>
      </c>
      <c r="S298" s="88" t="n">
        <f aca="false">IF(OR($C298="18+",$C298="18-20",SUM($Q298,$R298)=0),"",100%)</f>
        <v>1</v>
      </c>
      <c r="T298" s="39" t="n">
        <f aca="false">IF(OR($C298="18+",$C298="18-20",SUM($Q298,$R298)=0),"",ROUND(SUM($Q298,$R298)*$S298,0))</f>
        <v>13</v>
      </c>
    </row>
    <row r="299" customFormat="false" ht="15" hidden="false" customHeight="false" outlineLevel="0" collapsed="false">
      <c r="A299" s="0" t="str">
        <f aca="false">INDEX(Prioritization!$D:$D,MATCH($B299,Prioritization!$A:$A,0))</f>
        <v>1 - Scale-up: Saturation</v>
      </c>
      <c r="B299" s="0" t="s">
        <v>214</v>
      </c>
      <c r="C299" s="0" t="s">
        <v>811</v>
      </c>
      <c r="D299" s="0" t="s">
        <v>30</v>
      </c>
      <c r="E299" s="0" t="str">
        <f aca="false">$B299&amp;"|"&amp;$C299&amp;"|"&amp;$D299</f>
        <v>Machinga District [TYnMSwzko3z]|05-09|Female</v>
      </c>
      <c r="F299" s="0" t="s">
        <v>1246</v>
      </c>
      <c r="G299" s="10" t="n">
        <v>264</v>
      </c>
      <c r="H299" s="10" t="n">
        <v>58</v>
      </c>
      <c r="I299" s="88" t="n">
        <f aca="false">IF(SUM($H299)=0,"",0%)</f>
        <v>0</v>
      </c>
      <c r="J299" s="88"/>
      <c r="K299" s="88"/>
      <c r="L299" s="88" t="n">
        <f aca="false">1-IF(NOT(AND($D299="Female",OR($C299="10-14",$C299="15-17",$F299="Y"))),0,$J299)-IF(NOT(OR($C299="05-09",$C299="10-14")),0,$K299)</f>
        <v>1</v>
      </c>
      <c r="M299" s="88" t="n">
        <f aca="false">IF(SUM($L299)=0,"",20%)</f>
        <v>0.2</v>
      </c>
      <c r="N299" s="10" t="n">
        <f aca="false">IF(SUM($H299)=0,"",ROUND($H299*(1+$I299),0))</f>
        <v>58</v>
      </c>
      <c r="O299" s="39" t="str">
        <f aca="false">IF(OR(SUM($N299)=0,SUM($J299)=0,NOT(AND($D299="Female",$F299="Y",OR($C299="10-14",$C299="15-17")))),"",ROUND($N299*$J299,0))</f>
        <v/>
      </c>
      <c r="P299" s="39" t="str">
        <f aca="false">IF(OR(SUM($N299)=0,SUM($K299)=0,NOT(OR($C299="10-14",$C299="05-09"))),"",ROUND($N299*$K299,0))</f>
        <v/>
      </c>
      <c r="Q299" s="39" t="n">
        <f aca="false">IFERROR(1/(1/ROUND($N299*$L299*$M299,0)),"")</f>
        <v>12</v>
      </c>
      <c r="R299" s="39" t="n">
        <f aca="false">IFERROR(1/(1/(ROUND($N299*$L299,0)-$Q299)),"")</f>
        <v>46</v>
      </c>
      <c r="S299" s="88" t="n">
        <f aca="false">IF(OR($C299="18+",$C299="18-20",SUM($Q299,$R299)=0),"",100%)</f>
        <v>1</v>
      </c>
      <c r="T299" s="39" t="n">
        <f aca="false">IF(OR($C299="18+",$C299="18-20",SUM($Q299,$R299)=0),"",ROUND(SUM($Q299,$R299)*$S299,0))</f>
        <v>58</v>
      </c>
    </row>
    <row r="300" customFormat="false" ht="15" hidden="false" customHeight="false" outlineLevel="0" collapsed="false">
      <c r="A300" s="0" t="str">
        <f aca="false">INDEX(Prioritization!$D:$D,MATCH($B300,Prioritization!$A:$A,0))</f>
        <v>1 - Scale-up: Saturation</v>
      </c>
      <c r="B300" s="0" t="s">
        <v>214</v>
      </c>
      <c r="C300" s="0" t="s">
        <v>811</v>
      </c>
      <c r="D300" s="0" t="s">
        <v>48</v>
      </c>
      <c r="E300" s="0" t="str">
        <f aca="false">$B300&amp;"|"&amp;$C300&amp;"|"&amp;$D300</f>
        <v>Machinga District [TYnMSwzko3z]|05-09|Male</v>
      </c>
      <c r="F300" s="0" t="s">
        <v>1246</v>
      </c>
      <c r="G300" s="10" t="n">
        <v>905</v>
      </c>
      <c r="H300" s="10" t="n">
        <v>13</v>
      </c>
      <c r="I300" s="88" t="n">
        <f aca="false">IF(SUM($H300)=0,"",0%)</f>
        <v>0</v>
      </c>
      <c r="J300" s="88"/>
      <c r="K300" s="88"/>
      <c r="L300" s="88" t="n">
        <f aca="false">1-IF(NOT(AND($D300="Female",OR($C300="10-14",$C300="15-17",$F300="Y"))),0,$J300)-IF(NOT(OR($C300="05-09",$C300="10-14")),0,$K300)</f>
        <v>1</v>
      </c>
      <c r="M300" s="88" t="n">
        <f aca="false">IF(SUM($L300)=0,"",20%)</f>
        <v>0.2</v>
      </c>
      <c r="N300" s="10" t="n">
        <f aca="false">IF(SUM($H300)=0,"",ROUND($H300*(1+$I300),0))</f>
        <v>13</v>
      </c>
      <c r="O300" s="39" t="str">
        <f aca="false">IF(OR(SUM($N300)=0,SUM($J300)=0,NOT(AND($D300="Female",$F300="Y",OR($C300="10-14",$C300="15-17")))),"",ROUND($N300*$J300,0))</f>
        <v/>
      </c>
      <c r="P300" s="39" t="str">
        <f aca="false">IF(OR(SUM($N300)=0,SUM($K300)=0,NOT(OR($C300="10-14",$C300="05-09"))),"",ROUND($N300*$K300,0))</f>
        <v/>
      </c>
      <c r="Q300" s="39" t="n">
        <f aca="false">IFERROR(1/(1/ROUND($N300*$L300*$M300,0)),"")</f>
        <v>3</v>
      </c>
      <c r="R300" s="39" t="n">
        <f aca="false">IFERROR(1/(1/(ROUND($N300*$L300,0)-$Q300)),"")</f>
        <v>10</v>
      </c>
      <c r="S300" s="88" t="n">
        <f aca="false">IF(OR($C300="18+",$C300="18-20",SUM($Q300,$R300)=0),"",100%)</f>
        <v>1</v>
      </c>
      <c r="T300" s="39" t="n">
        <f aca="false">IF(OR($C300="18+",$C300="18-20",SUM($Q300,$R300)=0),"",ROUND(SUM($Q300,$R300)*$S300,0))</f>
        <v>13</v>
      </c>
    </row>
    <row r="301" customFormat="false" ht="15" hidden="false" customHeight="false" outlineLevel="0" collapsed="false">
      <c r="A301" s="0" t="str">
        <f aca="false">INDEX(Prioritization!$D:$D,MATCH($B301,Prioritization!$A:$A,0))</f>
        <v>1 - Scale-up: Saturation</v>
      </c>
      <c r="B301" s="0" t="s">
        <v>214</v>
      </c>
      <c r="C301" s="0" t="s">
        <v>364</v>
      </c>
      <c r="D301" s="0" t="s">
        <v>30</v>
      </c>
      <c r="E301" s="0" t="str">
        <f aca="false">$B301&amp;"|"&amp;$C301&amp;"|"&amp;$D301</f>
        <v>Machinga District [TYnMSwzko3z]|10-14|Female</v>
      </c>
      <c r="F301" s="0" t="s">
        <v>1246</v>
      </c>
      <c r="G301" s="10" t="n">
        <v>1866</v>
      </c>
      <c r="H301" s="10" t="n">
        <v>487</v>
      </c>
      <c r="I301" s="88" t="n">
        <f aca="false">IF(SUM($H301)=0,"",0%)</f>
        <v>0</v>
      </c>
      <c r="J301" s="88"/>
      <c r="K301" s="88"/>
      <c r="L301" s="88" t="n">
        <f aca="false">1-IF(NOT(AND($D301="Female",OR($C301="10-14",$C301="15-17",$F301="Y"))),0,$J301)-IF(NOT(OR($C301="05-09",$C301="10-14")),0,$K301)</f>
        <v>1</v>
      </c>
      <c r="M301" s="88" t="n">
        <f aca="false">IF(SUM($L301)=0,"",20%)</f>
        <v>0.2</v>
      </c>
      <c r="N301" s="10" t="n">
        <f aca="false">IF(SUM($H301)=0,"",ROUND($H301*(1+$I301),0))</f>
        <v>487</v>
      </c>
      <c r="O301" s="39" t="str">
        <f aca="false">IF(OR(SUM($N301)=0,SUM($J301)=0,NOT(AND($D301="Female",$F301="Y",OR($C301="10-14",$C301="15-17")))),"",ROUND($N301*$J301,0))</f>
        <v/>
      </c>
      <c r="P301" s="39" t="str">
        <f aca="false">IF(OR(SUM($N301)=0,SUM($K301)=0,NOT(OR($C301="10-14",$C301="05-09"))),"",ROUND($N301*$K301,0))</f>
        <v/>
      </c>
      <c r="Q301" s="39" t="n">
        <f aca="false">IFERROR(1/(1/ROUND($N301*$L301*$M301,0)),"")</f>
        <v>97</v>
      </c>
      <c r="R301" s="39" t="n">
        <f aca="false">IFERROR(1/(1/(ROUND($N301*$L301,0)-$Q301)),"")</f>
        <v>390</v>
      </c>
      <c r="S301" s="88" t="n">
        <f aca="false">IF(OR($C301="18+",$C301="18-20",SUM($Q301,$R301)=0),"",100%)</f>
        <v>1</v>
      </c>
      <c r="T301" s="39" t="n">
        <f aca="false">IF(OR($C301="18+",$C301="18-20",SUM($Q301,$R301)=0),"",ROUND(SUM($Q301,$R301)*$S301,0))</f>
        <v>487</v>
      </c>
    </row>
    <row r="302" customFormat="false" ht="15" hidden="false" customHeight="false" outlineLevel="0" collapsed="false">
      <c r="A302" s="0" t="str">
        <f aca="false">INDEX(Prioritization!$D:$D,MATCH($B302,Prioritization!$A:$A,0))</f>
        <v>1 - Scale-up: Saturation</v>
      </c>
      <c r="B302" s="0" t="s">
        <v>214</v>
      </c>
      <c r="C302" s="0" t="s">
        <v>364</v>
      </c>
      <c r="D302" s="0" t="s">
        <v>48</v>
      </c>
      <c r="E302" s="0" t="str">
        <f aca="false">$B302&amp;"|"&amp;$C302&amp;"|"&amp;$D302</f>
        <v>Machinga District [TYnMSwzko3z]|10-14|Male</v>
      </c>
      <c r="F302" s="0" t="s">
        <v>1246</v>
      </c>
      <c r="G302" s="10" t="n">
        <v>582</v>
      </c>
      <c r="H302" s="10" t="n">
        <v>783</v>
      </c>
      <c r="I302" s="88" t="n">
        <f aca="false">IF(SUM($H302)=0,"",0%)</f>
        <v>0</v>
      </c>
      <c r="J302" s="88"/>
      <c r="K302" s="88"/>
      <c r="L302" s="88" t="n">
        <f aca="false">1-IF(NOT(AND($D302="Female",OR($C302="10-14",$C302="15-17",$F302="Y"))),0,$J302)-IF(NOT(OR($C302="05-09",$C302="10-14")),0,$K302)</f>
        <v>1</v>
      </c>
      <c r="M302" s="88" t="n">
        <f aca="false">IF(SUM($L302)=0,"",20%)</f>
        <v>0.2</v>
      </c>
      <c r="N302" s="10" t="n">
        <f aca="false">IF(SUM($H302)=0,"",ROUND($H302*(1+$I302),0))</f>
        <v>783</v>
      </c>
      <c r="O302" s="39" t="str">
        <f aca="false">IF(OR(SUM($N302)=0,SUM($J302)=0,NOT(AND($D302="Female",$F302="Y",OR($C302="10-14",$C302="15-17")))),"",ROUND($N302*$J302,0))</f>
        <v/>
      </c>
      <c r="P302" s="39" t="str">
        <f aca="false">IF(OR(SUM($N302)=0,SUM($K302)=0,NOT(OR($C302="10-14",$C302="05-09"))),"",ROUND($N302*$K302,0))</f>
        <v/>
      </c>
      <c r="Q302" s="39" t="n">
        <f aca="false">IFERROR(1/(1/ROUND($N302*$L302*$M302,0)),"")</f>
        <v>157</v>
      </c>
      <c r="R302" s="39" t="n">
        <f aca="false">IFERROR(1/(1/(ROUND($N302*$L302,0)-$Q302)),"")</f>
        <v>626</v>
      </c>
      <c r="S302" s="88" t="n">
        <f aca="false">IF(OR($C302="18+",$C302="18-20",SUM($Q302,$R302)=0),"",100%)</f>
        <v>1</v>
      </c>
      <c r="T302" s="39" t="n">
        <f aca="false">IF(OR($C302="18+",$C302="18-20",SUM($Q302,$R302)=0),"",ROUND(SUM($Q302,$R302)*$S302,0))</f>
        <v>783</v>
      </c>
    </row>
    <row r="303" customFormat="false" ht="15" hidden="false" customHeight="false" outlineLevel="0" collapsed="false">
      <c r="A303" s="0" t="str">
        <f aca="false">INDEX(Prioritization!$D:$D,MATCH($B303,Prioritization!$A:$A,0))</f>
        <v>1 - Scale-up: Saturation</v>
      </c>
      <c r="B303" s="0" t="s">
        <v>214</v>
      </c>
      <c r="C303" s="0" t="s">
        <v>812</v>
      </c>
      <c r="D303" s="0" t="s">
        <v>30</v>
      </c>
      <c r="E303" s="0" t="str">
        <f aca="false">$B303&amp;"|"&amp;$C303&amp;"|"&amp;$D303</f>
        <v>Machinga District [TYnMSwzko3z]|15-17|Female</v>
      </c>
      <c r="F303" s="0" t="s">
        <v>1246</v>
      </c>
      <c r="G303" s="10" t="n">
        <v>404</v>
      </c>
      <c r="H303" s="10" t="n">
        <v>675</v>
      </c>
      <c r="I303" s="88" t="n">
        <f aca="false">IF(SUM($H303)=0,"",0%)</f>
        <v>0</v>
      </c>
      <c r="J303" s="88"/>
      <c r="K303" s="88"/>
      <c r="L303" s="88" t="n">
        <f aca="false">1-IF(NOT(AND($D303="Female",OR($C303="10-14",$C303="15-17",$F303="Y"))),0,$J303)-IF(NOT(OR($C303="05-09",$C303="10-14")),0,$K303)</f>
        <v>1</v>
      </c>
      <c r="M303" s="88" t="n">
        <f aca="false">IF(SUM($L303)=0,"",20%)</f>
        <v>0.2</v>
      </c>
      <c r="N303" s="10" t="n">
        <f aca="false">IF(SUM($H303)=0,"",ROUND($H303*(1+$I303),0))</f>
        <v>675</v>
      </c>
      <c r="O303" s="39" t="str">
        <f aca="false">IF(OR(SUM($N303)=0,SUM($J303)=0,NOT(AND($D303="Female",$F303="Y",OR($C303="10-14",$C303="15-17")))),"",ROUND($N303*$J303,0))</f>
        <v/>
      </c>
      <c r="P303" s="39" t="str">
        <f aca="false">IF(OR(SUM($N303)=0,SUM($K303)=0,NOT(OR($C303="10-14",$C303="05-09"))),"",ROUND($N303*$K303,0))</f>
        <v/>
      </c>
      <c r="Q303" s="39" t="n">
        <f aca="false">IFERROR(1/(1/ROUND($N303*$L303*$M303,0)),"")</f>
        <v>135</v>
      </c>
      <c r="R303" s="39" t="n">
        <f aca="false">IFERROR(1/(1/(ROUND($N303*$L303,0)-$Q303)),"")</f>
        <v>540</v>
      </c>
      <c r="S303" s="88" t="n">
        <f aca="false">IF(OR($C303="18+",$C303="18-20",SUM($Q303,$R303)=0),"",100%)</f>
        <v>1</v>
      </c>
      <c r="T303" s="39" t="n">
        <f aca="false">IF(OR($C303="18+",$C303="18-20",SUM($Q303,$R303)=0),"",ROUND(SUM($Q303,$R303)*$S303,0))</f>
        <v>675</v>
      </c>
    </row>
    <row r="304" customFormat="false" ht="15" hidden="false" customHeight="false" outlineLevel="0" collapsed="false">
      <c r="A304" s="0" t="str">
        <f aca="false">INDEX(Prioritization!$D:$D,MATCH($B304,Prioritization!$A:$A,0))</f>
        <v>1 - Scale-up: Saturation</v>
      </c>
      <c r="B304" s="0" t="s">
        <v>214</v>
      </c>
      <c r="C304" s="0" t="s">
        <v>812</v>
      </c>
      <c r="D304" s="0" t="s">
        <v>48</v>
      </c>
      <c r="E304" s="0" t="str">
        <f aca="false">$B304&amp;"|"&amp;$C304&amp;"|"&amp;$D304</f>
        <v>Machinga District [TYnMSwzko3z]|15-17|Male</v>
      </c>
      <c r="F304" s="0" t="s">
        <v>1246</v>
      </c>
      <c r="G304" s="10" t="n">
        <v>42</v>
      </c>
      <c r="H304" s="10" t="n">
        <v>68</v>
      </c>
      <c r="I304" s="88" t="n">
        <f aca="false">IF(SUM($H304)=0,"",0%)</f>
        <v>0</v>
      </c>
      <c r="J304" s="88"/>
      <c r="K304" s="88"/>
      <c r="L304" s="88" t="n">
        <f aca="false">1-IF(NOT(AND($D304="Female",OR($C304="10-14",$C304="15-17",$F304="Y"))),0,$J304)-IF(NOT(OR($C304="05-09",$C304="10-14")),0,$K304)</f>
        <v>1</v>
      </c>
      <c r="M304" s="88" t="n">
        <f aca="false">IF(SUM($L304)=0,"",20%)</f>
        <v>0.2</v>
      </c>
      <c r="N304" s="10" t="n">
        <f aca="false">IF(SUM($H304)=0,"",ROUND($H304*(1+$I304),0))</f>
        <v>68</v>
      </c>
      <c r="O304" s="39" t="str">
        <f aca="false">IF(OR(SUM($N304)=0,SUM($J304)=0,NOT(AND($D304="Female",$F304="Y",OR($C304="10-14",$C304="15-17")))),"",ROUND($N304*$J304,0))</f>
        <v/>
      </c>
      <c r="P304" s="39" t="str">
        <f aca="false">IF(OR(SUM($N304)=0,SUM($K304)=0,NOT(OR($C304="10-14",$C304="05-09"))),"",ROUND($N304*$K304,0))</f>
        <v/>
      </c>
      <c r="Q304" s="39" t="n">
        <f aca="false">IFERROR(1/(1/ROUND($N304*$L304*$M304,0)),"")</f>
        <v>14</v>
      </c>
      <c r="R304" s="39" t="n">
        <f aca="false">IFERROR(1/(1/(ROUND($N304*$L304,0)-$Q304)),"")</f>
        <v>54</v>
      </c>
      <c r="S304" s="88" t="n">
        <f aca="false">IF(OR($C304="18+",$C304="18-20",SUM($Q304,$R304)=0),"",100%)</f>
        <v>1</v>
      </c>
      <c r="T304" s="39" t="n">
        <f aca="false">IF(OR($C304="18+",$C304="18-20",SUM($Q304,$R304)=0),"",ROUND(SUM($Q304,$R304)*$S304,0))</f>
        <v>68</v>
      </c>
    </row>
    <row r="305" customFormat="false" ht="15" hidden="false" customHeight="false" outlineLevel="0" collapsed="false">
      <c r="A305" s="0" t="str">
        <f aca="false">INDEX(Prioritization!$D:$D,MATCH($B305,Prioritization!$A:$A,0))</f>
        <v>1 - Scale-up: Saturation</v>
      </c>
      <c r="B305" s="0" t="s">
        <v>214</v>
      </c>
      <c r="C305" s="0" t="s">
        <v>813</v>
      </c>
      <c r="D305" s="0" t="s">
        <v>30</v>
      </c>
      <c r="E305" s="0" t="str">
        <f aca="false">$B305&amp;"|"&amp;$C305&amp;"|"&amp;$D305</f>
        <v>Machinga District [TYnMSwzko3z]|18-20|Female</v>
      </c>
      <c r="F305" s="0" t="s">
        <v>1246</v>
      </c>
      <c r="G305" s="10"/>
      <c r="H305" s="10" t="n">
        <v>3</v>
      </c>
      <c r="I305" s="88" t="n">
        <f aca="false">IF(SUM($H305)=0,"",0%)</f>
        <v>0</v>
      </c>
      <c r="J305" s="88"/>
      <c r="K305" s="88"/>
      <c r="L305" s="88" t="n">
        <f aca="false">1-IF(NOT(AND($D305="Female",OR($C305="10-14",$C305="15-17",$F305="Y"))),0,$J305)-IF(NOT(OR($C305="05-09",$C305="10-14")),0,$K305)</f>
        <v>1</v>
      </c>
      <c r="M305" s="88" t="n">
        <f aca="false">IF(SUM($L305)=0,"",20%)</f>
        <v>0.2</v>
      </c>
      <c r="N305" s="10" t="n">
        <f aca="false">IF(SUM($H305)=0,"",ROUND($H305*(1+$I305),0))</f>
        <v>3</v>
      </c>
      <c r="O305" s="39" t="str">
        <f aca="false">IF(OR(SUM($N305)=0,SUM($J305)=0,NOT(AND($D305="Female",$F305="Y",OR($C305="10-14",$C305="15-17")))),"",ROUND($N305*$J305,0))</f>
        <v/>
      </c>
      <c r="P305" s="39" t="str">
        <f aca="false">IF(OR(SUM($N305)=0,SUM($K305)=0,NOT(OR($C305="10-14",$C305="05-09"))),"",ROUND($N305*$K305,0))</f>
        <v/>
      </c>
      <c r="Q305" s="39" t="n">
        <f aca="false">IFERROR(1/(1/ROUND($N305*$L305*$M305,0)),"")</f>
        <v>1</v>
      </c>
      <c r="R305" s="39" t="n">
        <f aca="false">IFERROR(1/(1/(ROUND($N305*$L305,0)-$Q305)),"")</f>
        <v>2</v>
      </c>
      <c r="S305" s="88" t="str">
        <f aca="false">IF(OR($C305="18+",$C305="18-20",SUM($Q305,$R305)=0),"",100%)</f>
        <v/>
      </c>
      <c r="T305" s="39" t="str">
        <f aca="false">IF(OR($C305="18+",$C305="18-20",SUM($Q305,$R305)=0),"",ROUND(SUM($Q305,$R305)*$S305,0))</f>
        <v/>
      </c>
    </row>
    <row r="306" customFormat="false" ht="15" hidden="false" customHeight="false" outlineLevel="0" collapsed="false">
      <c r="A306" s="0" t="str">
        <f aca="false">INDEX(Prioritization!$D:$D,MATCH($B306,Prioritization!$A:$A,0))</f>
        <v>1 - Scale-up: Saturation</v>
      </c>
      <c r="B306" s="0" t="s">
        <v>214</v>
      </c>
      <c r="C306" s="0" t="s">
        <v>813</v>
      </c>
      <c r="D306" s="0" t="s">
        <v>48</v>
      </c>
      <c r="E306" s="0" t="str">
        <f aca="false">$B306&amp;"|"&amp;$C306&amp;"|"&amp;$D306</f>
        <v>Machinga District [TYnMSwzko3z]|18-20|Male</v>
      </c>
      <c r="F306" s="0" t="s">
        <v>1246</v>
      </c>
      <c r="G306" s="10"/>
      <c r="H306" s="10" t="n">
        <v>2</v>
      </c>
      <c r="I306" s="88" t="n">
        <f aca="false">IF(SUM($H306)=0,"",0%)</f>
        <v>0</v>
      </c>
      <c r="J306" s="88"/>
      <c r="K306" s="88"/>
      <c r="L306" s="88" t="n">
        <f aca="false">1-IF(NOT(AND($D306="Female",OR($C306="10-14",$C306="15-17",$F306="Y"))),0,$J306)-IF(NOT(OR($C306="05-09",$C306="10-14")),0,$K306)</f>
        <v>1</v>
      </c>
      <c r="M306" s="88" t="n">
        <f aca="false">IF(SUM($L306)=0,"",20%)</f>
        <v>0.2</v>
      </c>
      <c r="N306" s="10" t="n">
        <f aca="false">IF(SUM($H306)=0,"",ROUND($H306*(1+$I306),0))</f>
        <v>2</v>
      </c>
      <c r="O306" s="39" t="str">
        <f aca="false">IF(OR(SUM($N306)=0,SUM($J306)=0,NOT(AND($D306="Female",$F306="Y",OR($C306="10-14",$C306="15-17")))),"",ROUND($N306*$J306,0))</f>
        <v/>
      </c>
      <c r="P306" s="39" t="str">
        <f aca="false">IF(OR(SUM($N306)=0,SUM($K306)=0,NOT(OR($C306="10-14",$C306="05-09"))),"",ROUND($N306*$K306,0))</f>
        <v/>
      </c>
      <c r="Q306" s="39" t="str">
        <f aca="false">IFERROR(1/(1/ROUND($N306*$L306*$M306,0)),"")</f>
        <v/>
      </c>
      <c r="R306" s="39" t="str">
        <f aca="false">IFERROR(1/(1/(ROUND($N306*$L306,0)-$Q306)),"")</f>
        <v/>
      </c>
      <c r="S306" s="88" t="str">
        <f aca="false">IF(OR($C306="18+",$C306="18-20",SUM($Q306,$R306)=0),"",100%)</f>
        <v/>
      </c>
      <c r="T306" s="39" t="str">
        <f aca="false">IF(OR($C306="18+",$C306="18-20",SUM($Q306,$R306)=0),"",ROUND(SUM($Q306,$R306)*$S306,0))</f>
        <v/>
      </c>
    </row>
    <row r="307" customFormat="false" ht="15" hidden="false" customHeight="false" outlineLevel="0" collapsed="false">
      <c r="A307" s="0" t="str">
        <f aca="false">INDEX(Prioritization!$D:$D,MATCH($B307,Prioritization!$A:$A,0))</f>
        <v>1 - Scale-up: Saturation</v>
      </c>
      <c r="B307" s="0" t="s">
        <v>214</v>
      </c>
      <c r="C307" s="0" t="s">
        <v>814</v>
      </c>
      <c r="D307" s="0" t="s">
        <v>30</v>
      </c>
      <c r="E307" s="0" t="str">
        <f aca="false">$B307&amp;"|"&amp;$C307&amp;"|"&amp;$D307</f>
        <v>Machinga District [TYnMSwzko3z]|18+|Female</v>
      </c>
      <c r="F307" s="0" t="s">
        <v>1246</v>
      </c>
      <c r="G307" s="10" t="n">
        <v>489</v>
      </c>
      <c r="H307" s="10" t="n">
        <v>315</v>
      </c>
      <c r="I307" s="88" t="n">
        <f aca="false">IF(SUM($H307)=0,"",0%)</f>
        <v>0</v>
      </c>
      <c r="J307" s="88"/>
      <c r="K307" s="88"/>
      <c r="L307" s="88" t="n">
        <f aca="false">1-IF(NOT(AND($D307="Female",OR($C307="10-14",$C307="15-17",$F307="Y"))),0,$J307)-IF(NOT(OR($C307="05-09",$C307="10-14")),0,$K307)</f>
        <v>1</v>
      </c>
      <c r="M307" s="88" t="n">
        <f aca="false">IF(SUM($L307)=0,"",20%)</f>
        <v>0.2</v>
      </c>
      <c r="N307" s="10" t="n">
        <f aca="false">IF(SUM($H307)=0,"",ROUND($H307*(1+$I307),0))</f>
        <v>315</v>
      </c>
      <c r="O307" s="39" t="str">
        <f aca="false">IF(OR(SUM($N307)=0,SUM($J307)=0,NOT(AND($D307="Female",$F307="Y",OR($C307="10-14",$C307="15-17")))),"",ROUND($N307*$J307,0))</f>
        <v/>
      </c>
      <c r="P307" s="39" t="str">
        <f aca="false">IF(OR(SUM($N307)=0,SUM($K307)=0,NOT(OR($C307="10-14",$C307="05-09"))),"",ROUND($N307*$K307,0))</f>
        <v/>
      </c>
      <c r="Q307" s="39" t="n">
        <f aca="false">IFERROR(1/(1/ROUND($N307*$L307*$M307,0)),"")</f>
        <v>63</v>
      </c>
      <c r="R307" s="39" t="n">
        <f aca="false">IFERROR(1/(1/(ROUND($N307*$L307,0)-$Q307)),"")</f>
        <v>252</v>
      </c>
      <c r="S307" s="88" t="str">
        <f aca="false">IF(OR($C307="18+",$C307="18-20",SUM($Q307,$R307)=0),"",100%)</f>
        <v/>
      </c>
      <c r="T307" s="39" t="str">
        <f aca="false">IF(OR($C307="18+",$C307="18-20",SUM($Q307,$R307)=0),"",ROUND(SUM($Q307,$R307)*$S307,0))</f>
        <v/>
      </c>
    </row>
    <row r="308" customFormat="false" ht="15" hidden="false" customHeight="false" outlineLevel="0" collapsed="false">
      <c r="A308" s="0" t="str">
        <f aca="false">INDEX(Prioritization!$D:$D,MATCH($B308,Prioritization!$A:$A,0))</f>
        <v>1 - Scale-up: Saturation</v>
      </c>
      <c r="B308" s="0" t="s">
        <v>214</v>
      </c>
      <c r="C308" s="0" t="s">
        <v>814</v>
      </c>
      <c r="D308" s="0" t="s">
        <v>48</v>
      </c>
      <c r="E308" s="0" t="str">
        <f aca="false">$B308&amp;"|"&amp;$C308&amp;"|"&amp;$D308</f>
        <v>Machinga District [TYnMSwzko3z]|18+|Male</v>
      </c>
      <c r="F308" s="0" t="s">
        <v>1246</v>
      </c>
      <c r="G308" s="10" t="n">
        <v>48</v>
      </c>
      <c r="H308" s="10" t="n">
        <v>49</v>
      </c>
      <c r="I308" s="88" t="n">
        <f aca="false">IF(SUM($H308)=0,"",0%)</f>
        <v>0</v>
      </c>
      <c r="J308" s="88"/>
      <c r="K308" s="88"/>
      <c r="L308" s="88" t="n">
        <f aca="false">1-IF(NOT(AND($D308="Female",OR($C308="10-14",$C308="15-17",$F308="Y"))),0,$J308)-IF(NOT(OR($C308="05-09",$C308="10-14")),0,$K308)</f>
        <v>1</v>
      </c>
      <c r="M308" s="88" t="n">
        <f aca="false">IF(SUM($L308)=0,"",20%)</f>
        <v>0.2</v>
      </c>
      <c r="N308" s="10" t="n">
        <f aca="false">IF(SUM($H308)=0,"",ROUND($H308*(1+$I308),0))</f>
        <v>49</v>
      </c>
      <c r="O308" s="39" t="str">
        <f aca="false">IF(OR(SUM($N308)=0,SUM($J308)=0,NOT(AND($D308="Female",$F308="Y",OR($C308="10-14",$C308="15-17")))),"",ROUND($N308*$J308,0))</f>
        <v/>
      </c>
      <c r="P308" s="39" t="str">
        <f aca="false">IF(OR(SUM($N308)=0,SUM($K308)=0,NOT(OR($C308="10-14",$C308="05-09"))),"",ROUND($N308*$K308,0))</f>
        <v/>
      </c>
      <c r="Q308" s="39" t="n">
        <f aca="false">IFERROR(1/(1/ROUND($N308*$L308*$M308,0)),"")</f>
        <v>10</v>
      </c>
      <c r="R308" s="39" t="n">
        <f aca="false">IFERROR(1/(1/(ROUND($N308*$L308,0)-$Q308)),"")</f>
        <v>39</v>
      </c>
      <c r="S308" s="88" t="str">
        <f aca="false">IF(OR($C308="18+",$C308="18-20",SUM($Q308,$R308)=0),"",100%)</f>
        <v/>
      </c>
      <c r="T308" s="39" t="str">
        <f aca="false">IF(OR($C308="18+",$C308="18-20",SUM($Q308,$R308)=0),"",ROUND(SUM($Q308,$R308)*$S308,0))</f>
        <v/>
      </c>
    </row>
    <row r="309" customFormat="false" ht="15" hidden="false" customHeight="false" outlineLevel="0" collapsed="false">
      <c r="A309" s="0" t="str">
        <f aca="false">INDEX(Prioritization!$D:$D,MATCH($B309,Prioritization!$A:$A,0))</f>
        <v>INVALID</v>
      </c>
      <c r="B309" s="0" t="s">
        <v>215</v>
      </c>
      <c r="C309" s="0" t="s">
        <v>316</v>
      </c>
      <c r="D309" s="0" t="s">
        <v>30</v>
      </c>
      <c r="E309" s="0" t="str">
        <f aca="false">$B309&amp;"|"&amp;$C309&amp;"|"&amp;$D309</f>
        <v>Mangochi District [lLDyBx5XyUi]|&lt;01|Female</v>
      </c>
      <c r="G309" s="10" t="n">
        <v>25</v>
      </c>
      <c r="H309" s="10" t="n">
        <v>47</v>
      </c>
      <c r="I309" s="88" t="n">
        <f aca="false">IF(SUM($H309)=0,"",0%)</f>
        <v>0</v>
      </c>
      <c r="J309" s="88"/>
      <c r="K309" s="88"/>
      <c r="L309" s="88" t="n">
        <f aca="false">1-IF(NOT(AND($D309="Female",OR($C309="10-14",$C309="15-17",$F309="Y"))),0,$J309)-IF(NOT(OR($C309="05-09",$C309="10-14")),0,$K309)</f>
        <v>1</v>
      </c>
      <c r="M309" s="88" t="n">
        <f aca="false">IF(SUM($L309)=0,"",20%)</f>
        <v>0.2</v>
      </c>
      <c r="N309" s="10" t="n">
        <f aca="false">IF(SUM($H309)=0,"",ROUND($H309*(1+$I309),0))</f>
        <v>47</v>
      </c>
      <c r="O309" s="39" t="str">
        <f aca="false">IF(OR(SUM($N309)=0,SUM($J309)=0,NOT(AND($D309="Female",$F309="Y",OR($C309="10-14",$C309="15-17")))),"",ROUND($N309*$J309,0))</f>
        <v/>
      </c>
      <c r="P309" s="39" t="str">
        <f aca="false">IF(OR(SUM($N309)=0,SUM($K309)=0,NOT(OR($C309="10-14",$C309="05-09"))),"",ROUND($N309*$K309,0))</f>
        <v/>
      </c>
      <c r="Q309" s="39" t="n">
        <f aca="false">IFERROR(1/(1/ROUND($N309*$L309*$M309,0)),"")</f>
        <v>9</v>
      </c>
      <c r="R309" s="39" t="n">
        <f aca="false">IFERROR(1/(1/(ROUND($N309*$L309,0)-$Q309)),"")</f>
        <v>38</v>
      </c>
      <c r="S309" s="88" t="n">
        <f aca="false">IF(OR($C309="18+",$C309="18-20",SUM($Q309,$R309)=0),"",100%)</f>
        <v>1</v>
      </c>
      <c r="T309" s="39" t="n">
        <f aca="false">IF(OR($C309="18+",$C309="18-20",SUM($Q309,$R309)=0),"",ROUND(SUM($Q309,$R309)*$S309,0))</f>
        <v>47</v>
      </c>
    </row>
    <row r="310" customFormat="false" ht="15" hidden="false" customHeight="false" outlineLevel="0" collapsed="false">
      <c r="A310" s="0" t="str">
        <f aca="false">INDEX(Prioritization!$D:$D,MATCH($B310,Prioritization!$A:$A,0))</f>
        <v>INVALID</v>
      </c>
      <c r="B310" s="0" t="s">
        <v>215</v>
      </c>
      <c r="C310" s="0" t="s">
        <v>316</v>
      </c>
      <c r="D310" s="0" t="s">
        <v>48</v>
      </c>
      <c r="E310" s="0" t="str">
        <f aca="false">$B310&amp;"|"&amp;$C310&amp;"|"&amp;$D310</f>
        <v>Mangochi District [lLDyBx5XyUi]|&lt;01|Male</v>
      </c>
      <c r="G310" s="10" t="n">
        <v>42</v>
      </c>
      <c r="H310" s="10" t="n">
        <v>53</v>
      </c>
      <c r="I310" s="88" t="n">
        <f aca="false">IF(SUM($H310)=0,"",0%)</f>
        <v>0</v>
      </c>
      <c r="J310" s="88"/>
      <c r="K310" s="88"/>
      <c r="L310" s="88" t="n">
        <f aca="false">1-IF(NOT(AND($D310="Female",OR($C310="10-14",$C310="15-17",$F310="Y"))),0,$J310)-IF(NOT(OR($C310="05-09",$C310="10-14")),0,$K310)</f>
        <v>1</v>
      </c>
      <c r="M310" s="88" t="n">
        <f aca="false">IF(SUM($L310)=0,"",20%)</f>
        <v>0.2</v>
      </c>
      <c r="N310" s="10" t="n">
        <f aca="false">IF(SUM($H310)=0,"",ROUND($H310*(1+$I310),0))</f>
        <v>53</v>
      </c>
      <c r="O310" s="39" t="str">
        <f aca="false">IF(OR(SUM($N310)=0,SUM($J310)=0,NOT(AND($D310="Female",$F310="Y",OR($C310="10-14",$C310="15-17")))),"",ROUND($N310*$J310,0))</f>
        <v/>
      </c>
      <c r="P310" s="39" t="str">
        <f aca="false">IF(OR(SUM($N310)=0,SUM($K310)=0,NOT(OR($C310="10-14",$C310="05-09"))),"",ROUND($N310*$K310,0))</f>
        <v/>
      </c>
      <c r="Q310" s="39" t="n">
        <f aca="false">IFERROR(1/(1/ROUND($N310*$L310*$M310,0)),"")</f>
        <v>11</v>
      </c>
      <c r="R310" s="39" t="n">
        <f aca="false">IFERROR(1/(1/(ROUND($N310*$L310,0)-$Q310)),"")</f>
        <v>42</v>
      </c>
      <c r="S310" s="88" t="n">
        <f aca="false">IF(OR($C310="18+",$C310="18-20",SUM($Q310,$R310)=0),"",100%)</f>
        <v>1</v>
      </c>
      <c r="T310" s="39" t="n">
        <f aca="false">IF(OR($C310="18+",$C310="18-20",SUM($Q310,$R310)=0),"",ROUND(SUM($Q310,$R310)*$S310,0))</f>
        <v>53</v>
      </c>
    </row>
    <row r="311" customFormat="false" ht="15" hidden="false" customHeight="false" outlineLevel="0" collapsed="false">
      <c r="A311" s="0" t="str">
        <f aca="false">INDEX(Prioritization!$D:$D,MATCH($B311,Prioritization!$A:$A,0))</f>
        <v>INVALID</v>
      </c>
      <c r="B311" s="0" t="s">
        <v>215</v>
      </c>
      <c r="C311" s="0" t="s">
        <v>810</v>
      </c>
      <c r="D311" s="0" t="s">
        <v>30</v>
      </c>
      <c r="E311" s="0" t="str">
        <f aca="false">$B311&amp;"|"&amp;$C311&amp;"|"&amp;$D311</f>
        <v>Mangochi District [lLDyBx5XyUi]|01-04|Female</v>
      </c>
      <c r="G311" s="10" t="n">
        <v>83</v>
      </c>
      <c r="H311" s="10" t="n">
        <v>42</v>
      </c>
      <c r="I311" s="88" t="n">
        <f aca="false">IF(SUM($H311)=0,"",0%)</f>
        <v>0</v>
      </c>
      <c r="J311" s="88"/>
      <c r="K311" s="88"/>
      <c r="L311" s="88" t="n">
        <f aca="false">1-IF(NOT(AND($D311="Female",OR($C311="10-14",$C311="15-17",$F311="Y"))),0,$J311)-IF(NOT(OR($C311="05-09",$C311="10-14")),0,$K311)</f>
        <v>1</v>
      </c>
      <c r="M311" s="88" t="n">
        <f aca="false">IF(SUM($L311)=0,"",20%)</f>
        <v>0.2</v>
      </c>
      <c r="N311" s="10" t="n">
        <f aca="false">IF(SUM($H311)=0,"",ROUND($H311*(1+$I311),0))</f>
        <v>42</v>
      </c>
      <c r="O311" s="39" t="str">
        <f aca="false">IF(OR(SUM($N311)=0,SUM($J311)=0,NOT(AND($D311="Female",$F311="Y",OR($C311="10-14",$C311="15-17")))),"",ROUND($N311*$J311,0))</f>
        <v/>
      </c>
      <c r="P311" s="39" t="str">
        <f aca="false">IF(OR(SUM($N311)=0,SUM($K311)=0,NOT(OR($C311="10-14",$C311="05-09"))),"",ROUND($N311*$K311,0))</f>
        <v/>
      </c>
      <c r="Q311" s="39" t="n">
        <f aca="false">IFERROR(1/(1/ROUND($N311*$L311*$M311,0)),"")</f>
        <v>8</v>
      </c>
      <c r="R311" s="39" t="n">
        <f aca="false">IFERROR(1/(1/(ROUND($N311*$L311,0)-$Q311)),"")</f>
        <v>34</v>
      </c>
      <c r="S311" s="88" t="n">
        <f aca="false">IF(OR($C311="18+",$C311="18-20",SUM($Q311,$R311)=0),"",100%)</f>
        <v>1</v>
      </c>
      <c r="T311" s="39" t="n">
        <f aca="false">IF(OR($C311="18+",$C311="18-20",SUM($Q311,$R311)=0),"",ROUND(SUM($Q311,$R311)*$S311,0))</f>
        <v>42</v>
      </c>
    </row>
    <row r="312" customFormat="false" ht="15" hidden="false" customHeight="false" outlineLevel="0" collapsed="false">
      <c r="A312" s="0" t="str">
        <f aca="false">INDEX(Prioritization!$D:$D,MATCH($B312,Prioritization!$A:$A,0))</f>
        <v>INVALID</v>
      </c>
      <c r="B312" s="0" t="s">
        <v>215</v>
      </c>
      <c r="C312" s="0" t="s">
        <v>810</v>
      </c>
      <c r="D312" s="0" t="s">
        <v>48</v>
      </c>
      <c r="E312" s="0" t="str">
        <f aca="false">$B312&amp;"|"&amp;$C312&amp;"|"&amp;$D312</f>
        <v>Mangochi District [lLDyBx5XyUi]|01-04|Male</v>
      </c>
      <c r="G312" s="10" t="n">
        <v>45</v>
      </c>
      <c r="H312" s="10" t="n">
        <v>35</v>
      </c>
      <c r="I312" s="88" t="n">
        <f aca="false">IF(SUM($H312)=0,"",0%)</f>
        <v>0</v>
      </c>
      <c r="J312" s="88"/>
      <c r="K312" s="88"/>
      <c r="L312" s="88" t="n">
        <f aca="false">1-IF(NOT(AND($D312="Female",OR($C312="10-14",$C312="15-17",$F312="Y"))),0,$J312)-IF(NOT(OR($C312="05-09",$C312="10-14")),0,$K312)</f>
        <v>1</v>
      </c>
      <c r="M312" s="88" t="n">
        <f aca="false">IF(SUM($L312)=0,"",20%)</f>
        <v>0.2</v>
      </c>
      <c r="N312" s="10" t="n">
        <f aca="false">IF(SUM($H312)=0,"",ROUND($H312*(1+$I312),0))</f>
        <v>35</v>
      </c>
      <c r="O312" s="39" t="str">
        <f aca="false">IF(OR(SUM($N312)=0,SUM($J312)=0,NOT(AND($D312="Female",$F312="Y",OR($C312="10-14",$C312="15-17")))),"",ROUND($N312*$J312,0))</f>
        <v/>
      </c>
      <c r="P312" s="39" t="str">
        <f aca="false">IF(OR(SUM($N312)=0,SUM($K312)=0,NOT(OR($C312="10-14",$C312="05-09"))),"",ROUND($N312*$K312,0))</f>
        <v/>
      </c>
      <c r="Q312" s="39" t="n">
        <f aca="false">IFERROR(1/(1/ROUND($N312*$L312*$M312,0)),"")</f>
        <v>7</v>
      </c>
      <c r="R312" s="39" t="n">
        <f aca="false">IFERROR(1/(1/(ROUND($N312*$L312,0)-$Q312)),"")</f>
        <v>28</v>
      </c>
      <c r="S312" s="88" t="n">
        <f aca="false">IF(OR($C312="18+",$C312="18-20",SUM($Q312,$R312)=0),"",100%)</f>
        <v>1</v>
      </c>
      <c r="T312" s="39" t="n">
        <f aca="false">IF(OR($C312="18+",$C312="18-20",SUM($Q312,$R312)=0),"",ROUND(SUM($Q312,$R312)*$S312,0))</f>
        <v>35</v>
      </c>
    </row>
    <row r="313" customFormat="false" ht="15" hidden="false" customHeight="false" outlineLevel="0" collapsed="false">
      <c r="A313" s="0" t="str">
        <f aca="false">INDEX(Prioritization!$D:$D,MATCH($B313,Prioritization!$A:$A,0))</f>
        <v>INVALID</v>
      </c>
      <c r="B313" s="0" t="s">
        <v>215</v>
      </c>
      <c r="C313" s="0" t="s">
        <v>811</v>
      </c>
      <c r="D313" s="0" t="s">
        <v>30</v>
      </c>
      <c r="E313" s="0" t="str">
        <f aca="false">$B313&amp;"|"&amp;$C313&amp;"|"&amp;$D313</f>
        <v>Mangochi District [lLDyBx5XyUi]|05-09|Female</v>
      </c>
      <c r="G313" s="10" t="n">
        <v>746</v>
      </c>
      <c r="H313" s="10" t="n">
        <v>90</v>
      </c>
      <c r="I313" s="88" t="n">
        <f aca="false">IF(SUM($H313)=0,"",0%)</f>
        <v>0</v>
      </c>
      <c r="J313" s="88"/>
      <c r="K313" s="88"/>
      <c r="L313" s="88" t="n">
        <f aca="false">1-IF(NOT(AND($D313="Female",OR($C313="10-14",$C313="15-17",$F313="Y"))),0,$J313)-IF(NOT(OR($C313="05-09",$C313="10-14")),0,$K313)</f>
        <v>1</v>
      </c>
      <c r="M313" s="88" t="n">
        <f aca="false">IF(SUM($L313)=0,"",20%)</f>
        <v>0.2</v>
      </c>
      <c r="N313" s="10" t="n">
        <f aca="false">IF(SUM($H313)=0,"",ROUND($H313*(1+$I313),0))</f>
        <v>90</v>
      </c>
      <c r="O313" s="39" t="str">
        <f aca="false">IF(OR(SUM($N313)=0,SUM($J313)=0,NOT(AND($D313="Female",$F313="Y",OR($C313="10-14",$C313="15-17")))),"",ROUND($N313*$J313,0))</f>
        <v/>
      </c>
      <c r="P313" s="39" t="str">
        <f aca="false">IF(OR(SUM($N313)=0,SUM($K313)=0,NOT(OR($C313="10-14",$C313="05-09"))),"",ROUND($N313*$K313,0))</f>
        <v/>
      </c>
      <c r="Q313" s="39" t="n">
        <f aca="false">IFERROR(1/(1/ROUND($N313*$L313*$M313,0)),"")</f>
        <v>18</v>
      </c>
      <c r="R313" s="39" t="n">
        <f aca="false">IFERROR(1/(1/(ROUND($N313*$L313,0)-$Q313)),"")</f>
        <v>72</v>
      </c>
      <c r="S313" s="88" t="n">
        <f aca="false">IF(OR($C313="18+",$C313="18-20",SUM($Q313,$R313)=0),"",100%)</f>
        <v>1</v>
      </c>
      <c r="T313" s="39" t="n">
        <f aca="false">IF(OR($C313="18+",$C313="18-20",SUM($Q313,$R313)=0),"",ROUND(SUM($Q313,$R313)*$S313,0))</f>
        <v>90</v>
      </c>
    </row>
    <row r="314" customFormat="false" ht="15" hidden="false" customHeight="false" outlineLevel="0" collapsed="false">
      <c r="A314" s="0" t="str">
        <f aca="false">INDEX(Prioritization!$D:$D,MATCH($B314,Prioritization!$A:$A,0))</f>
        <v>INVALID</v>
      </c>
      <c r="B314" s="0" t="s">
        <v>215</v>
      </c>
      <c r="C314" s="0" t="s">
        <v>811</v>
      </c>
      <c r="D314" s="0" t="s">
        <v>48</v>
      </c>
      <c r="E314" s="0" t="str">
        <f aca="false">$B314&amp;"|"&amp;$C314&amp;"|"&amp;$D314</f>
        <v>Mangochi District [lLDyBx5XyUi]|05-09|Male</v>
      </c>
      <c r="G314" s="10" t="n">
        <v>942</v>
      </c>
      <c r="H314" s="10" t="n">
        <v>14</v>
      </c>
      <c r="I314" s="88" t="n">
        <f aca="false">IF(SUM($H314)=0,"",0%)</f>
        <v>0</v>
      </c>
      <c r="J314" s="88"/>
      <c r="K314" s="88"/>
      <c r="L314" s="88" t="n">
        <f aca="false">1-IF(NOT(AND($D314="Female",OR($C314="10-14",$C314="15-17",$F314="Y"))),0,$J314)-IF(NOT(OR($C314="05-09",$C314="10-14")),0,$K314)</f>
        <v>1</v>
      </c>
      <c r="M314" s="88" t="n">
        <f aca="false">IF(SUM($L314)=0,"",20%)</f>
        <v>0.2</v>
      </c>
      <c r="N314" s="10" t="n">
        <f aca="false">IF(SUM($H314)=0,"",ROUND($H314*(1+$I314),0))</f>
        <v>14</v>
      </c>
      <c r="O314" s="39" t="str">
        <f aca="false">IF(OR(SUM($N314)=0,SUM($J314)=0,NOT(AND($D314="Female",$F314="Y",OR($C314="10-14",$C314="15-17")))),"",ROUND($N314*$J314,0))</f>
        <v/>
      </c>
      <c r="P314" s="39" t="str">
        <f aca="false">IF(OR(SUM($N314)=0,SUM($K314)=0,NOT(OR($C314="10-14",$C314="05-09"))),"",ROUND($N314*$K314,0))</f>
        <v/>
      </c>
      <c r="Q314" s="39" t="n">
        <f aca="false">IFERROR(1/(1/ROUND($N314*$L314*$M314,0)),"")</f>
        <v>3</v>
      </c>
      <c r="R314" s="39" t="n">
        <f aca="false">IFERROR(1/(1/(ROUND($N314*$L314,0)-$Q314)),"")</f>
        <v>11</v>
      </c>
      <c r="S314" s="88" t="n">
        <f aca="false">IF(OR($C314="18+",$C314="18-20",SUM($Q314,$R314)=0),"",100%)</f>
        <v>1</v>
      </c>
      <c r="T314" s="39" t="n">
        <f aca="false">IF(OR($C314="18+",$C314="18-20",SUM($Q314,$R314)=0),"",ROUND(SUM($Q314,$R314)*$S314,0))</f>
        <v>14</v>
      </c>
    </row>
    <row r="315" customFormat="false" ht="15" hidden="false" customHeight="false" outlineLevel="0" collapsed="false">
      <c r="A315" s="0" t="str">
        <f aca="false">INDEX(Prioritization!$D:$D,MATCH($B315,Prioritization!$A:$A,0))</f>
        <v>INVALID</v>
      </c>
      <c r="B315" s="0" t="s">
        <v>215</v>
      </c>
      <c r="C315" s="0" t="s">
        <v>364</v>
      </c>
      <c r="D315" s="0" t="s">
        <v>30</v>
      </c>
      <c r="E315" s="0" t="str">
        <f aca="false">$B315&amp;"|"&amp;$C315&amp;"|"&amp;$D315</f>
        <v>Mangochi District [lLDyBx5XyUi]|10-14|Female</v>
      </c>
      <c r="G315" s="10" t="n">
        <v>179</v>
      </c>
      <c r="H315" s="10" t="n">
        <v>964</v>
      </c>
      <c r="I315" s="88" t="n">
        <f aca="false">IF(SUM($H315)=0,"",0%)</f>
        <v>0</v>
      </c>
      <c r="J315" s="88"/>
      <c r="K315" s="88"/>
      <c r="L315" s="88" t="n">
        <f aca="false">1-IF(NOT(AND($D315="Female",OR($C315="10-14",$C315="15-17",$F315="Y"))),0,$J315)-IF(NOT(OR($C315="05-09",$C315="10-14")),0,$K315)</f>
        <v>1</v>
      </c>
      <c r="M315" s="88" t="n">
        <f aca="false">IF(SUM($L315)=0,"",20%)</f>
        <v>0.2</v>
      </c>
      <c r="N315" s="10" t="n">
        <f aca="false">IF(SUM($H315)=0,"",ROUND($H315*(1+$I315),0))</f>
        <v>964</v>
      </c>
      <c r="O315" s="39" t="str">
        <f aca="false">IF(OR(SUM($N315)=0,SUM($J315)=0,NOT(AND($D315="Female",$F315="Y",OR($C315="10-14",$C315="15-17")))),"",ROUND($N315*$J315,0))</f>
        <v/>
      </c>
      <c r="P315" s="39" t="str">
        <f aca="false">IF(OR(SUM($N315)=0,SUM($K315)=0,NOT(OR($C315="10-14",$C315="05-09"))),"",ROUND($N315*$K315,0))</f>
        <v/>
      </c>
      <c r="Q315" s="39" t="n">
        <f aca="false">IFERROR(1/(1/ROUND($N315*$L315*$M315,0)),"")</f>
        <v>193</v>
      </c>
      <c r="R315" s="39" t="n">
        <f aca="false">IFERROR(1/(1/(ROUND($N315*$L315,0)-$Q315)),"")</f>
        <v>771</v>
      </c>
      <c r="S315" s="88" t="n">
        <f aca="false">IF(OR($C315="18+",$C315="18-20",SUM($Q315,$R315)=0),"",100%)</f>
        <v>1</v>
      </c>
      <c r="T315" s="39" t="n">
        <f aca="false">IF(OR($C315="18+",$C315="18-20",SUM($Q315,$R315)=0),"",ROUND(SUM($Q315,$R315)*$S315,0))</f>
        <v>964</v>
      </c>
    </row>
    <row r="316" customFormat="false" ht="15" hidden="false" customHeight="false" outlineLevel="0" collapsed="false">
      <c r="A316" s="0" t="str">
        <f aca="false">INDEX(Prioritization!$D:$D,MATCH($B316,Prioritization!$A:$A,0))</f>
        <v>INVALID</v>
      </c>
      <c r="B316" s="0" t="s">
        <v>215</v>
      </c>
      <c r="C316" s="0" t="s">
        <v>364</v>
      </c>
      <c r="D316" s="0" t="s">
        <v>48</v>
      </c>
      <c r="E316" s="0" t="str">
        <f aca="false">$B316&amp;"|"&amp;$C316&amp;"|"&amp;$D316</f>
        <v>Mangochi District [lLDyBx5XyUi]|10-14|Male</v>
      </c>
      <c r="G316" s="10" t="n">
        <v>634</v>
      </c>
      <c r="H316" s="10" t="n">
        <v>884</v>
      </c>
      <c r="I316" s="88" t="n">
        <f aca="false">IF(SUM($H316)=0,"",0%)</f>
        <v>0</v>
      </c>
      <c r="J316" s="88"/>
      <c r="K316" s="88"/>
      <c r="L316" s="88" t="n">
        <f aca="false">1-IF(NOT(AND($D316="Female",OR($C316="10-14",$C316="15-17",$F316="Y"))),0,$J316)-IF(NOT(OR($C316="05-09",$C316="10-14")),0,$K316)</f>
        <v>1</v>
      </c>
      <c r="M316" s="88" t="n">
        <f aca="false">IF(SUM($L316)=0,"",20%)</f>
        <v>0.2</v>
      </c>
      <c r="N316" s="10" t="n">
        <f aca="false">IF(SUM($H316)=0,"",ROUND($H316*(1+$I316),0))</f>
        <v>884</v>
      </c>
      <c r="O316" s="39" t="str">
        <f aca="false">IF(OR(SUM($N316)=0,SUM($J316)=0,NOT(AND($D316="Female",$F316="Y",OR($C316="10-14",$C316="15-17")))),"",ROUND($N316*$J316,0))</f>
        <v/>
      </c>
      <c r="P316" s="39" t="str">
        <f aca="false">IF(OR(SUM($N316)=0,SUM($K316)=0,NOT(OR($C316="10-14",$C316="05-09"))),"",ROUND($N316*$K316,0))</f>
        <v/>
      </c>
      <c r="Q316" s="39" t="n">
        <f aca="false">IFERROR(1/(1/ROUND($N316*$L316*$M316,0)),"")</f>
        <v>177</v>
      </c>
      <c r="R316" s="39" t="n">
        <f aca="false">IFERROR(1/(1/(ROUND($N316*$L316,0)-$Q316)),"")</f>
        <v>707</v>
      </c>
      <c r="S316" s="88" t="n">
        <f aca="false">IF(OR($C316="18+",$C316="18-20",SUM($Q316,$R316)=0),"",100%)</f>
        <v>1</v>
      </c>
      <c r="T316" s="39" t="n">
        <f aca="false">IF(OR($C316="18+",$C316="18-20",SUM($Q316,$R316)=0),"",ROUND(SUM($Q316,$R316)*$S316,0))</f>
        <v>884</v>
      </c>
    </row>
    <row r="317" customFormat="false" ht="15" hidden="false" customHeight="false" outlineLevel="0" collapsed="false">
      <c r="A317" s="0" t="str">
        <f aca="false">INDEX(Prioritization!$D:$D,MATCH($B317,Prioritization!$A:$A,0))</f>
        <v>INVALID</v>
      </c>
      <c r="B317" s="0" t="s">
        <v>215</v>
      </c>
      <c r="C317" s="0" t="s">
        <v>812</v>
      </c>
      <c r="D317" s="0" t="s">
        <v>30</v>
      </c>
      <c r="E317" s="0" t="str">
        <f aca="false">$B317&amp;"|"&amp;$C317&amp;"|"&amp;$D317</f>
        <v>Mangochi District [lLDyBx5XyUi]|15-17|Female</v>
      </c>
      <c r="G317" s="10" t="n">
        <v>23</v>
      </c>
      <c r="H317" s="10" t="n">
        <v>45</v>
      </c>
      <c r="I317" s="88" t="n">
        <f aca="false">IF(SUM($H317)=0,"",0%)</f>
        <v>0</v>
      </c>
      <c r="J317" s="88"/>
      <c r="K317" s="88"/>
      <c r="L317" s="88" t="n">
        <f aca="false">1-IF(NOT(AND($D317="Female",OR($C317="10-14",$C317="15-17",$F317="Y"))),0,$J317)-IF(NOT(OR($C317="05-09",$C317="10-14")),0,$K317)</f>
        <v>1</v>
      </c>
      <c r="M317" s="88" t="n">
        <f aca="false">IF(SUM($L317)=0,"",20%)</f>
        <v>0.2</v>
      </c>
      <c r="N317" s="10" t="n">
        <f aca="false">IF(SUM($H317)=0,"",ROUND($H317*(1+$I317),0))</f>
        <v>45</v>
      </c>
      <c r="O317" s="39" t="str">
        <f aca="false">IF(OR(SUM($N317)=0,SUM($J317)=0,NOT(AND($D317="Female",$F317="Y",OR($C317="10-14",$C317="15-17")))),"",ROUND($N317*$J317,0))</f>
        <v/>
      </c>
      <c r="P317" s="39" t="str">
        <f aca="false">IF(OR(SUM($N317)=0,SUM($K317)=0,NOT(OR($C317="10-14",$C317="05-09"))),"",ROUND($N317*$K317,0))</f>
        <v/>
      </c>
      <c r="Q317" s="39" t="n">
        <f aca="false">IFERROR(1/(1/ROUND($N317*$L317*$M317,0)),"")</f>
        <v>9</v>
      </c>
      <c r="R317" s="39" t="n">
        <f aca="false">IFERROR(1/(1/(ROUND($N317*$L317,0)-$Q317)),"")</f>
        <v>36</v>
      </c>
      <c r="S317" s="88" t="n">
        <f aca="false">IF(OR($C317="18+",$C317="18-20",SUM($Q317,$R317)=0),"",100%)</f>
        <v>1</v>
      </c>
      <c r="T317" s="39" t="n">
        <f aca="false">IF(OR($C317="18+",$C317="18-20",SUM($Q317,$R317)=0),"",ROUND(SUM($Q317,$R317)*$S317,0))</f>
        <v>45</v>
      </c>
    </row>
    <row r="318" customFormat="false" ht="15" hidden="false" customHeight="false" outlineLevel="0" collapsed="false">
      <c r="A318" s="0" t="str">
        <f aca="false">INDEX(Prioritization!$D:$D,MATCH($B318,Prioritization!$A:$A,0))</f>
        <v>INVALID</v>
      </c>
      <c r="B318" s="0" t="s">
        <v>215</v>
      </c>
      <c r="C318" s="0" t="s">
        <v>812</v>
      </c>
      <c r="D318" s="0" t="s">
        <v>48</v>
      </c>
      <c r="E318" s="0" t="str">
        <f aca="false">$B318&amp;"|"&amp;$C318&amp;"|"&amp;$D318</f>
        <v>Mangochi District [lLDyBx5XyUi]|15-17|Male</v>
      </c>
      <c r="G318" s="10" t="n">
        <v>31</v>
      </c>
      <c r="H318" s="10" t="n">
        <v>44</v>
      </c>
      <c r="I318" s="88" t="n">
        <f aca="false">IF(SUM($H318)=0,"",0%)</f>
        <v>0</v>
      </c>
      <c r="J318" s="88"/>
      <c r="K318" s="88"/>
      <c r="L318" s="88" t="n">
        <f aca="false">1-IF(NOT(AND($D318="Female",OR($C318="10-14",$C318="15-17",$F318="Y"))),0,$J318)-IF(NOT(OR($C318="05-09",$C318="10-14")),0,$K318)</f>
        <v>1</v>
      </c>
      <c r="M318" s="88" t="n">
        <f aca="false">IF(SUM($L318)=0,"",20%)</f>
        <v>0.2</v>
      </c>
      <c r="N318" s="10" t="n">
        <f aca="false">IF(SUM($H318)=0,"",ROUND($H318*(1+$I318),0))</f>
        <v>44</v>
      </c>
      <c r="O318" s="39" t="str">
        <f aca="false">IF(OR(SUM($N318)=0,SUM($J318)=0,NOT(AND($D318="Female",$F318="Y",OR($C318="10-14",$C318="15-17")))),"",ROUND($N318*$J318,0))</f>
        <v/>
      </c>
      <c r="P318" s="39" t="str">
        <f aca="false">IF(OR(SUM($N318)=0,SUM($K318)=0,NOT(OR($C318="10-14",$C318="05-09"))),"",ROUND($N318*$K318,0))</f>
        <v/>
      </c>
      <c r="Q318" s="39" t="n">
        <f aca="false">IFERROR(1/(1/ROUND($N318*$L318*$M318,0)),"")</f>
        <v>9</v>
      </c>
      <c r="R318" s="39" t="n">
        <f aca="false">IFERROR(1/(1/(ROUND($N318*$L318,0)-$Q318)),"")</f>
        <v>35</v>
      </c>
      <c r="S318" s="88" t="n">
        <f aca="false">IF(OR($C318="18+",$C318="18-20",SUM($Q318,$R318)=0),"",100%)</f>
        <v>1</v>
      </c>
      <c r="T318" s="39" t="n">
        <f aca="false">IF(OR($C318="18+",$C318="18-20",SUM($Q318,$R318)=0),"",ROUND(SUM($Q318,$R318)*$S318,0))</f>
        <v>44</v>
      </c>
    </row>
    <row r="319" customFormat="false" ht="15" hidden="false" customHeight="false" outlineLevel="0" collapsed="false">
      <c r="A319" s="0" t="str">
        <f aca="false">INDEX(Prioritization!$D:$D,MATCH($B319,Prioritization!$A:$A,0))</f>
        <v>INVALID</v>
      </c>
      <c r="B319" s="0" t="s">
        <v>215</v>
      </c>
      <c r="C319" s="0" t="s">
        <v>813</v>
      </c>
      <c r="D319" s="0" t="s">
        <v>30</v>
      </c>
      <c r="E319" s="0" t="str">
        <f aca="false">$B319&amp;"|"&amp;$C319&amp;"|"&amp;$D319</f>
        <v>Mangochi District [lLDyBx5XyUi]|18-20|Female</v>
      </c>
      <c r="G319" s="10"/>
      <c r="H319" s="10" t="n">
        <v>1</v>
      </c>
      <c r="I319" s="88" t="n">
        <f aca="false">IF(SUM($H319)=0,"",0%)</f>
        <v>0</v>
      </c>
      <c r="J319" s="88"/>
      <c r="K319" s="88"/>
      <c r="L319" s="88" t="n">
        <f aca="false">1-IF(NOT(AND($D319="Female",OR($C319="10-14",$C319="15-17",$F319="Y"))),0,$J319)-IF(NOT(OR($C319="05-09",$C319="10-14")),0,$K319)</f>
        <v>1</v>
      </c>
      <c r="M319" s="88" t="n">
        <f aca="false">IF(SUM($L319)=0,"",20%)</f>
        <v>0.2</v>
      </c>
      <c r="N319" s="10" t="n">
        <f aca="false">IF(SUM($H319)=0,"",ROUND($H319*(1+$I319),0))</f>
        <v>1</v>
      </c>
      <c r="O319" s="39" t="str">
        <f aca="false">IF(OR(SUM($N319)=0,SUM($J319)=0,NOT(AND($D319="Female",$F319="Y",OR($C319="10-14",$C319="15-17")))),"",ROUND($N319*$J319,0))</f>
        <v/>
      </c>
      <c r="P319" s="39" t="str">
        <f aca="false">IF(OR(SUM($N319)=0,SUM($K319)=0,NOT(OR($C319="10-14",$C319="05-09"))),"",ROUND($N319*$K319,0))</f>
        <v/>
      </c>
      <c r="Q319" s="39" t="str">
        <f aca="false">IFERROR(1/(1/ROUND($N319*$L319*$M319,0)),"")</f>
        <v/>
      </c>
      <c r="R319" s="39" t="str">
        <f aca="false">IFERROR(1/(1/(ROUND($N319*$L319,0)-$Q319)),"")</f>
        <v/>
      </c>
      <c r="S319" s="88" t="str">
        <f aca="false">IF(OR($C319="18+",$C319="18-20",SUM($Q319,$R319)=0),"",100%)</f>
        <v/>
      </c>
      <c r="T319" s="39" t="str">
        <f aca="false">IF(OR($C319="18+",$C319="18-20",SUM($Q319,$R319)=0),"",ROUND(SUM($Q319,$R319)*$S319,0))</f>
        <v/>
      </c>
    </row>
    <row r="320" customFormat="false" ht="15" hidden="false" customHeight="false" outlineLevel="0" collapsed="false">
      <c r="A320" s="0" t="str">
        <f aca="false">INDEX(Prioritization!$D:$D,MATCH($B320,Prioritization!$A:$A,0))</f>
        <v>INVALID</v>
      </c>
      <c r="B320" s="0" t="s">
        <v>215</v>
      </c>
      <c r="C320" s="0" t="s">
        <v>813</v>
      </c>
      <c r="D320" s="0" t="s">
        <v>48</v>
      </c>
      <c r="E320" s="0" t="str">
        <f aca="false">$B320&amp;"|"&amp;$C320&amp;"|"&amp;$D320</f>
        <v>Mangochi District [lLDyBx5XyUi]|18-20|Male</v>
      </c>
      <c r="G320" s="10"/>
      <c r="H320" s="10" t="n">
        <v>7</v>
      </c>
      <c r="I320" s="88" t="n">
        <f aca="false">IF(SUM($H320)=0,"",0%)</f>
        <v>0</v>
      </c>
      <c r="J320" s="88"/>
      <c r="K320" s="88"/>
      <c r="L320" s="88" t="n">
        <f aca="false">1-IF(NOT(AND($D320="Female",OR($C320="10-14",$C320="15-17",$F320="Y"))),0,$J320)-IF(NOT(OR($C320="05-09",$C320="10-14")),0,$K320)</f>
        <v>1</v>
      </c>
      <c r="M320" s="88" t="n">
        <f aca="false">IF(SUM($L320)=0,"",20%)</f>
        <v>0.2</v>
      </c>
      <c r="N320" s="10" t="n">
        <f aca="false">IF(SUM($H320)=0,"",ROUND($H320*(1+$I320),0))</f>
        <v>7</v>
      </c>
      <c r="O320" s="39" t="str">
        <f aca="false">IF(OR(SUM($N320)=0,SUM($J320)=0,NOT(AND($D320="Female",$F320="Y",OR($C320="10-14",$C320="15-17")))),"",ROUND($N320*$J320,0))</f>
        <v/>
      </c>
      <c r="P320" s="39" t="str">
        <f aca="false">IF(OR(SUM($N320)=0,SUM($K320)=0,NOT(OR($C320="10-14",$C320="05-09"))),"",ROUND($N320*$K320,0))</f>
        <v/>
      </c>
      <c r="Q320" s="39" t="n">
        <f aca="false">IFERROR(1/(1/ROUND($N320*$L320*$M320,0)),"")</f>
        <v>1</v>
      </c>
      <c r="R320" s="39" t="n">
        <f aca="false">IFERROR(1/(1/(ROUND($N320*$L320,0)-$Q320)),"")</f>
        <v>6</v>
      </c>
      <c r="S320" s="88" t="str">
        <f aca="false">IF(OR($C320="18+",$C320="18-20",SUM($Q320,$R320)=0),"",100%)</f>
        <v/>
      </c>
      <c r="T320" s="39" t="str">
        <f aca="false">IF(OR($C320="18+",$C320="18-20",SUM($Q320,$R320)=0),"",ROUND(SUM($Q320,$R320)*$S320,0))</f>
        <v/>
      </c>
    </row>
    <row r="321" customFormat="false" ht="15" hidden="false" customHeight="false" outlineLevel="0" collapsed="false">
      <c r="A321" s="0" t="str">
        <f aca="false">INDEX(Prioritization!$D:$D,MATCH($B321,Prioritization!$A:$A,0))</f>
        <v>INVALID</v>
      </c>
      <c r="B321" s="0" t="s">
        <v>215</v>
      </c>
      <c r="C321" s="0" t="s">
        <v>814</v>
      </c>
      <c r="D321" s="0" t="s">
        <v>30</v>
      </c>
      <c r="E321" s="0" t="str">
        <f aca="false">$B321&amp;"|"&amp;$C321&amp;"|"&amp;$D321</f>
        <v>Mangochi District [lLDyBx5XyUi]|18+|Female</v>
      </c>
      <c r="G321" s="10" t="n">
        <v>483</v>
      </c>
      <c r="H321" s="10" t="n">
        <v>993</v>
      </c>
      <c r="I321" s="88" t="n">
        <f aca="false">IF(SUM($H321)=0,"",0%)</f>
        <v>0</v>
      </c>
      <c r="J321" s="88"/>
      <c r="K321" s="88"/>
      <c r="L321" s="88" t="n">
        <f aca="false">1-IF(NOT(AND($D321="Female",OR($C321="10-14",$C321="15-17",$F321="Y"))),0,$J321)-IF(NOT(OR($C321="05-09",$C321="10-14")),0,$K321)</f>
        <v>1</v>
      </c>
      <c r="M321" s="88" t="n">
        <f aca="false">IF(SUM($L321)=0,"",20%)</f>
        <v>0.2</v>
      </c>
      <c r="N321" s="10" t="n">
        <f aca="false">IF(SUM($H321)=0,"",ROUND($H321*(1+$I321),0))</f>
        <v>993</v>
      </c>
      <c r="O321" s="39" t="str">
        <f aca="false">IF(OR(SUM($N321)=0,SUM($J321)=0,NOT(AND($D321="Female",$F321="Y",OR($C321="10-14",$C321="15-17")))),"",ROUND($N321*$J321,0))</f>
        <v/>
      </c>
      <c r="P321" s="39" t="str">
        <f aca="false">IF(OR(SUM($N321)=0,SUM($K321)=0,NOT(OR($C321="10-14",$C321="05-09"))),"",ROUND($N321*$K321,0))</f>
        <v/>
      </c>
      <c r="Q321" s="39" t="n">
        <f aca="false">IFERROR(1/(1/ROUND($N321*$L321*$M321,0)),"")</f>
        <v>199</v>
      </c>
      <c r="R321" s="39" t="n">
        <f aca="false">IFERROR(1/(1/(ROUND($N321*$L321,0)-$Q321)),"")</f>
        <v>794</v>
      </c>
      <c r="S321" s="88" t="str">
        <f aca="false">IF(OR($C321="18+",$C321="18-20",SUM($Q321,$R321)=0),"",100%)</f>
        <v/>
      </c>
      <c r="T321" s="39" t="str">
        <f aca="false">IF(OR($C321="18+",$C321="18-20",SUM($Q321,$R321)=0),"",ROUND(SUM($Q321,$R321)*$S321,0))</f>
        <v/>
      </c>
    </row>
    <row r="322" customFormat="false" ht="15" hidden="false" customHeight="false" outlineLevel="0" collapsed="false">
      <c r="A322" s="0" t="str">
        <f aca="false">INDEX(Prioritization!$D:$D,MATCH($B322,Prioritization!$A:$A,0))</f>
        <v>INVALID</v>
      </c>
      <c r="B322" s="0" t="s">
        <v>215</v>
      </c>
      <c r="C322" s="0" t="s">
        <v>814</v>
      </c>
      <c r="D322" s="0" t="s">
        <v>48</v>
      </c>
      <c r="E322" s="0" t="str">
        <f aca="false">$B322&amp;"|"&amp;$C322&amp;"|"&amp;$D322</f>
        <v>Mangochi District [lLDyBx5XyUi]|18+|Male</v>
      </c>
      <c r="G322" s="10" t="n">
        <v>51</v>
      </c>
      <c r="H322" s="10" t="n">
        <v>65</v>
      </c>
      <c r="I322" s="88" t="n">
        <f aca="false">IF(SUM($H322)=0,"",0%)</f>
        <v>0</v>
      </c>
      <c r="J322" s="88"/>
      <c r="K322" s="88"/>
      <c r="L322" s="88" t="n">
        <f aca="false">1-IF(NOT(AND($D322="Female",OR($C322="10-14",$C322="15-17",$F322="Y"))),0,$J322)-IF(NOT(OR($C322="05-09",$C322="10-14")),0,$K322)</f>
        <v>1</v>
      </c>
      <c r="M322" s="88" t="n">
        <f aca="false">IF(SUM($L322)=0,"",20%)</f>
        <v>0.2</v>
      </c>
      <c r="N322" s="10" t="n">
        <f aca="false">IF(SUM($H322)=0,"",ROUND($H322*(1+$I322),0))</f>
        <v>65</v>
      </c>
      <c r="O322" s="39" t="str">
        <f aca="false">IF(OR(SUM($N322)=0,SUM($J322)=0,NOT(AND($D322="Female",$F322="Y",OR($C322="10-14",$C322="15-17")))),"",ROUND($N322*$J322,0))</f>
        <v/>
      </c>
      <c r="P322" s="39" t="str">
        <f aca="false">IF(OR(SUM($N322)=0,SUM($K322)=0,NOT(OR($C322="10-14",$C322="05-09"))),"",ROUND($N322*$K322,0))</f>
        <v/>
      </c>
      <c r="Q322" s="39" t="n">
        <f aca="false">IFERROR(1/(1/ROUND($N322*$L322*$M322,0)),"")</f>
        <v>13</v>
      </c>
      <c r="R322" s="39" t="n">
        <f aca="false">IFERROR(1/(1/(ROUND($N322*$L322,0)-$Q322)),"")</f>
        <v>52</v>
      </c>
      <c r="S322" s="88" t="str">
        <f aca="false">IF(OR($C322="18+",$C322="18-20",SUM($Q322,$R322)=0),"",100%)</f>
        <v/>
      </c>
      <c r="T322" s="39" t="str">
        <f aca="false">IF(OR($C322="18+",$C322="18-20",SUM($Q322,$R322)=0),"",ROUND(SUM($Q322,$R322)*$S322,0))</f>
        <v/>
      </c>
    </row>
    <row r="323" customFormat="false" ht="15" hidden="false" customHeight="false" outlineLevel="0" collapsed="false">
      <c r="A323" s="0" t="str">
        <f aca="false">INDEX(Prioritization!$D:$D,MATCH($B323,Prioritization!$A:$A,0))</f>
        <v>INVALID</v>
      </c>
      <c r="B323" s="0" t="s">
        <v>216</v>
      </c>
      <c r="C323" s="0" t="s">
        <v>316</v>
      </c>
      <c r="D323" s="0" t="s">
        <v>30</v>
      </c>
      <c r="E323" s="0" t="str">
        <f aca="false">$B323&amp;"|"&amp;$C323&amp;"|"&amp;$D323</f>
        <v>Mulanje District [umc2n1Z4wNv]|&lt;01|Female</v>
      </c>
      <c r="G323" s="10" t="n">
        <v>60</v>
      </c>
      <c r="H323" s="10" t="n">
        <v>15</v>
      </c>
      <c r="I323" s="88" t="n">
        <f aca="false">IF(SUM($H323)=0,"",0%)</f>
        <v>0</v>
      </c>
      <c r="J323" s="88"/>
      <c r="K323" s="88"/>
      <c r="L323" s="88" t="n">
        <f aca="false">1-IF(NOT(AND($D323="Female",OR($C323="10-14",$C323="15-17",$F323="Y"))),0,$J323)-IF(NOT(OR($C323="05-09",$C323="10-14")),0,$K323)</f>
        <v>1</v>
      </c>
      <c r="M323" s="88" t="n">
        <f aca="false">IF(SUM($L323)=0,"",20%)</f>
        <v>0.2</v>
      </c>
      <c r="N323" s="10" t="n">
        <f aca="false">IF(SUM($H323)=0,"",ROUND($H323*(1+$I323),0))</f>
        <v>15</v>
      </c>
      <c r="O323" s="39" t="str">
        <f aca="false">IF(OR(SUM($N323)=0,SUM($J323)=0,NOT(AND($D323="Female",$F323="Y",OR($C323="10-14",$C323="15-17")))),"",ROUND($N323*$J323,0))</f>
        <v/>
      </c>
      <c r="P323" s="39" t="str">
        <f aca="false">IF(OR(SUM($N323)=0,SUM($K323)=0,NOT(OR($C323="10-14",$C323="05-09"))),"",ROUND($N323*$K323,0))</f>
        <v/>
      </c>
      <c r="Q323" s="39" t="n">
        <f aca="false">IFERROR(1/(1/ROUND($N323*$L323*$M323,0)),"")</f>
        <v>3</v>
      </c>
      <c r="R323" s="39" t="n">
        <f aca="false">IFERROR(1/(1/(ROUND($N323*$L323,0)-$Q323)),"")</f>
        <v>12</v>
      </c>
      <c r="S323" s="88" t="n">
        <f aca="false">IF(OR($C323="18+",$C323="18-20",SUM($Q323,$R323)=0),"",100%)</f>
        <v>1</v>
      </c>
      <c r="T323" s="39" t="n">
        <f aca="false">IF(OR($C323="18+",$C323="18-20",SUM($Q323,$R323)=0),"",ROUND(SUM($Q323,$R323)*$S323,0))</f>
        <v>15</v>
      </c>
    </row>
    <row r="324" customFormat="false" ht="15" hidden="false" customHeight="false" outlineLevel="0" collapsed="false">
      <c r="A324" s="0" t="str">
        <f aca="false">INDEX(Prioritization!$D:$D,MATCH($B324,Prioritization!$A:$A,0))</f>
        <v>INVALID</v>
      </c>
      <c r="B324" s="0" t="s">
        <v>216</v>
      </c>
      <c r="C324" s="0" t="s">
        <v>316</v>
      </c>
      <c r="D324" s="0" t="s">
        <v>48</v>
      </c>
      <c r="E324" s="0" t="str">
        <f aca="false">$B324&amp;"|"&amp;$C324&amp;"|"&amp;$D324</f>
        <v>Mulanje District [umc2n1Z4wNv]|&lt;01|Male</v>
      </c>
      <c r="G324" s="10" t="n">
        <v>59</v>
      </c>
      <c r="H324" s="10" t="n">
        <v>55</v>
      </c>
      <c r="I324" s="88" t="n">
        <f aca="false">IF(SUM($H324)=0,"",0%)</f>
        <v>0</v>
      </c>
      <c r="J324" s="88"/>
      <c r="K324" s="88"/>
      <c r="L324" s="88" t="n">
        <f aca="false">1-IF(NOT(AND($D324="Female",OR($C324="10-14",$C324="15-17",$F324="Y"))),0,$J324)-IF(NOT(OR($C324="05-09",$C324="10-14")),0,$K324)</f>
        <v>1</v>
      </c>
      <c r="M324" s="88" t="n">
        <f aca="false">IF(SUM($L324)=0,"",20%)</f>
        <v>0.2</v>
      </c>
      <c r="N324" s="10" t="n">
        <f aca="false">IF(SUM($H324)=0,"",ROUND($H324*(1+$I324),0))</f>
        <v>55</v>
      </c>
      <c r="O324" s="39" t="str">
        <f aca="false">IF(OR(SUM($N324)=0,SUM($J324)=0,NOT(AND($D324="Female",$F324="Y",OR($C324="10-14",$C324="15-17")))),"",ROUND($N324*$J324,0))</f>
        <v/>
      </c>
      <c r="P324" s="39" t="str">
        <f aca="false">IF(OR(SUM($N324)=0,SUM($K324)=0,NOT(OR($C324="10-14",$C324="05-09"))),"",ROUND($N324*$K324,0))</f>
        <v/>
      </c>
      <c r="Q324" s="39" t="n">
        <f aca="false">IFERROR(1/(1/ROUND($N324*$L324*$M324,0)),"")</f>
        <v>11</v>
      </c>
      <c r="R324" s="39" t="n">
        <f aca="false">IFERROR(1/(1/(ROUND($N324*$L324,0)-$Q324)),"")</f>
        <v>44</v>
      </c>
      <c r="S324" s="88" t="n">
        <f aca="false">IF(OR($C324="18+",$C324="18-20",SUM($Q324,$R324)=0),"",100%)</f>
        <v>1</v>
      </c>
      <c r="T324" s="39" t="n">
        <f aca="false">IF(OR($C324="18+",$C324="18-20",SUM($Q324,$R324)=0),"",ROUND(SUM($Q324,$R324)*$S324,0))</f>
        <v>55</v>
      </c>
    </row>
    <row r="325" customFormat="false" ht="15" hidden="false" customHeight="false" outlineLevel="0" collapsed="false">
      <c r="A325" s="0" t="str">
        <f aca="false">INDEX(Prioritization!$D:$D,MATCH($B325,Prioritization!$A:$A,0))</f>
        <v>INVALID</v>
      </c>
      <c r="B325" s="0" t="s">
        <v>216</v>
      </c>
      <c r="C325" s="0" t="s">
        <v>810</v>
      </c>
      <c r="D325" s="0" t="s">
        <v>30</v>
      </c>
      <c r="E325" s="0" t="str">
        <f aca="false">$B325&amp;"|"&amp;$C325&amp;"|"&amp;$D325</f>
        <v>Mulanje District [umc2n1Z4wNv]|01-04|Female</v>
      </c>
      <c r="G325" s="10" t="n">
        <v>409</v>
      </c>
      <c r="H325" s="10" t="n">
        <v>85</v>
      </c>
      <c r="I325" s="88" t="n">
        <f aca="false">IF(SUM($H325)=0,"",0%)</f>
        <v>0</v>
      </c>
      <c r="J325" s="88"/>
      <c r="K325" s="88"/>
      <c r="L325" s="88" t="n">
        <f aca="false">1-IF(NOT(AND($D325="Female",OR($C325="10-14",$C325="15-17",$F325="Y"))),0,$J325)-IF(NOT(OR($C325="05-09",$C325="10-14")),0,$K325)</f>
        <v>1</v>
      </c>
      <c r="M325" s="88" t="n">
        <f aca="false">IF(SUM($L325)=0,"",20%)</f>
        <v>0.2</v>
      </c>
      <c r="N325" s="10" t="n">
        <f aca="false">IF(SUM($H325)=0,"",ROUND($H325*(1+$I325),0))</f>
        <v>85</v>
      </c>
      <c r="O325" s="39" t="str">
        <f aca="false">IF(OR(SUM($N325)=0,SUM($J325)=0,NOT(AND($D325="Female",$F325="Y",OR($C325="10-14",$C325="15-17")))),"",ROUND($N325*$J325,0))</f>
        <v/>
      </c>
      <c r="P325" s="39" t="str">
        <f aca="false">IF(OR(SUM($N325)=0,SUM($K325)=0,NOT(OR($C325="10-14",$C325="05-09"))),"",ROUND($N325*$K325,0))</f>
        <v/>
      </c>
      <c r="Q325" s="39" t="n">
        <f aca="false">IFERROR(1/(1/ROUND($N325*$L325*$M325,0)),"")</f>
        <v>17</v>
      </c>
      <c r="R325" s="39" t="n">
        <f aca="false">IFERROR(1/(1/(ROUND($N325*$L325,0)-$Q325)),"")</f>
        <v>68</v>
      </c>
      <c r="S325" s="88" t="n">
        <f aca="false">IF(OR($C325="18+",$C325="18-20",SUM($Q325,$R325)=0),"",100%)</f>
        <v>1</v>
      </c>
      <c r="T325" s="39" t="n">
        <f aca="false">IF(OR($C325="18+",$C325="18-20",SUM($Q325,$R325)=0),"",ROUND(SUM($Q325,$R325)*$S325,0))</f>
        <v>85</v>
      </c>
    </row>
    <row r="326" customFormat="false" ht="15" hidden="false" customHeight="false" outlineLevel="0" collapsed="false">
      <c r="A326" s="0" t="str">
        <f aca="false">INDEX(Prioritization!$D:$D,MATCH($B326,Prioritization!$A:$A,0))</f>
        <v>INVALID</v>
      </c>
      <c r="B326" s="0" t="s">
        <v>216</v>
      </c>
      <c r="C326" s="0" t="s">
        <v>810</v>
      </c>
      <c r="D326" s="0" t="s">
        <v>48</v>
      </c>
      <c r="E326" s="0" t="str">
        <f aca="false">$B326&amp;"|"&amp;$C326&amp;"|"&amp;$D326</f>
        <v>Mulanje District [umc2n1Z4wNv]|01-04|Male</v>
      </c>
      <c r="G326" s="10" t="n">
        <v>84</v>
      </c>
      <c r="H326" s="10" t="n">
        <v>96</v>
      </c>
      <c r="I326" s="88" t="n">
        <f aca="false">IF(SUM($H326)=0,"",0%)</f>
        <v>0</v>
      </c>
      <c r="J326" s="88"/>
      <c r="K326" s="88"/>
      <c r="L326" s="88" t="n">
        <f aca="false">1-IF(NOT(AND($D326="Female",OR($C326="10-14",$C326="15-17",$F326="Y"))),0,$J326)-IF(NOT(OR($C326="05-09",$C326="10-14")),0,$K326)</f>
        <v>1</v>
      </c>
      <c r="M326" s="88" t="n">
        <f aca="false">IF(SUM($L326)=0,"",20%)</f>
        <v>0.2</v>
      </c>
      <c r="N326" s="10" t="n">
        <f aca="false">IF(SUM($H326)=0,"",ROUND($H326*(1+$I326),0))</f>
        <v>96</v>
      </c>
      <c r="O326" s="39" t="str">
        <f aca="false">IF(OR(SUM($N326)=0,SUM($J326)=0,NOT(AND($D326="Female",$F326="Y",OR($C326="10-14",$C326="15-17")))),"",ROUND($N326*$J326,0))</f>
        <v/>
      </c>
      <c r="P326" s="39" t="str">
        <f aca="false">IF(OR(SUM($N326)=0,SUM($K326)=0,NOT(OR($C326="10-14",$C326="05-09"))),"",ROUND($N326*$K326,0))</f>
        <v/>
      </c>
      <c r="Q326" s="39" t="n">
        <f aca="false">IFERROR(1/(1/ROUND($N326*$L326*$M326,0)),"")</f>
        <v>19</v>
      </c>
      <c r="R326" s="39" t="n">
        <f aca="false">IFERROR(1/(1/(ROUND($N326*$L326,0)-$Q326)),"")</f>
        <v>77</v>
      </c>
      <c r="S326" s="88" t="n">
        <f aca="false">IF(OR($C326="18+",$C326="18-20",SUM($Q326,$R326)=0),"",100%)</f>
        <v>1</v>
      </c>
      <c r="T326" s="39" t="n">
        <f aca="false">IF(OR($C326="18+",$C326="18-20",SUM($Q326,$R326)=0),"",ROUND(SUM($Q326,$R326)*$S326,0))</f>
        <v>96</v>
      </c>
    </row>
    <row r="327" customFormat="false" ht="15" hidden="false" customHeight="false" outlineLevel="0" collapsed="false">
      <c r="A327" s="0" t="str">
        <f aca="false">INDEX(Prioritization!$D:$D,MATCH($B327,Prioritization!$A:$A,0))</f>
        <v>INVALID</v>
      </c>
      <c r="B327" s="0" t="s">
        <v>216</v>
      </c>
      <c r="C327" s="0" t="s">
        <v>811</v>
      </c>
      <c r="D327" s="0" t="s">
        <v>30</v>
      </c>
      <c r="E327" s="0" t="str">
        <f aca="false">$B327&amp;"|"&amp;$C327&amp;"|"&amp;$D327</f>
        <v>Mulanje District [umc2n1Z4wNv]|05-09|Female</v>
      </c>
      <c r="G327" s="10" t="n">
        <v>53</v>
      </c>
      <c r="H327" s="10" t="n">
        <v>52</v>
      </c>
      <c r="I327" s="88" t="n">
        <f aca="false">IF(SUM($H327)=0,"",0%)</f>
        <v>0</v>
      </c>
      <c r="J327" s="88"/>
      <c r="K327" s="88"/>
      <c r="L327" s="88" t="n">
        <f aca="false">1-IF(NOT(AND($D327="Female",OR($C327="10-14",$C327="15-17",$F327="Y"))),0,$J327)-IF(NOT(OR($C327="05-09",$C327="10-14")),0,$K327)</f>
        <v>1</v>
      </c>
      <c r="M327" s="88" t="n">
        <f aca="false">IF(SUM($L327)=0,"",20%)</f>
        <v>0.2</v>
      </c>
      <c r="N327" s="10" t="n">
        <f aca="false">IF(SUM($H327)=0,"",ROUND($H327*(1+$I327),0))</f>
        <v>52</v>
      </c>
      <c r="O327" s="39" t="str">
        <f aca="false">IF(OR(SUM($N327)=0,SUM($J327)=0,NOT(AND($D327="Female",$F327="Y",OR($C327="10-14",$C327="15-17")))),"",ROUND($N327*$J327,0))</f>
        <v/>
      </c>
      <c r="P327" s="39" t="str">
        <f aca="false">IF(OR(SUM($N327)=0,SUM($K327)=0,NOT(OR($C327="10-14",$C327="05-09"))),"",ROUND($N327*$K327,0))</f>
        <v/>
      </c>
      <c r="Q327" s="39" t="n">
        <f aca="false">IFERROR(1/(1/ROUND($N327*$L327*$M327,0)),"")</f>
        <v>10</v>
      </c>
      <c r="R327" s="39" t="n">
        <f aca="false">IFERROR(1/(1/(ROUND($N327*$L327,0)-$Q327)),"")</f>
        <v>42</v>
      </c>
      <c r="S327" s="88" t="n">
        <f aca="false">IF(OR($C327="18+",$C327="18-20",SUM($Q327,$R327)=0),"",100%)</f>
        <v>1</v>
      </c>
      <c r="T327" s="39" t="n">
        <f aca="false">IF(OR($C327="18+",$C327="18-20",SUM($Q327,$R327)=0),"",ROUND(SUM($Q327,$R327)*$S327,0))</f>
        <v>52</v>
      </c>
    </row>
    <row r="328" customFormat="false" ht="15" hidden="false" customHeight="false" outlineLevel="0" collapsed="false">
      <c r="A328" s="0" t="str">
        <f aca="false">INDEX(Prioritization!$D:$D,MATCH($B328,Prioritization!$A:$A,0))</f>
        <v>INVALID</v>
      </c>
      <c r="B328" s="0" t="s">
        <v>216</v>
      </c>
      <c r="C328" s="0" t="s">
        <v>811</v>
      </c>
      <c r="D328" s="0" t="s">
        <v>48</v>
      </c>
      <c r="E328" s="0" t="str">
        <f aca="false">$B328&amp;"|"&amp;$C328&amp;"|"&amp;$D328</f>
        <v>Mulanje District [umc2n1Z4wNv]|05-09|Male</v>
      </c>
      <c r="G328" s="10" t="n">
        <v>52</v>
      </c>
      <c r="H328" s="10" t="n">
        <v>56</v>
      </c>
      <c r="I328" s="88" t="n">
        <f aca="false">IF(SUM($H328)=0,"",0%)</f>
        <v>0</v>
      </c>
      <c r="J328" s="88"/>
      <c r="K328" s="88"/>
      <c r="L328" s="88" t="n">
        <f aca="false">1-IF(NOT(AND($D328="Female",OR($C328="10-14",$C328="15-17",$F328="Y"))),0,$J328)-IF(NOT(OR($C328="05-09",$C328="10-14")),0,$K328)</f>
        <v>1</v>
      </c>
      <c r="M328" s="88" t="n">
        <f aca="false">IF(SUM($L328)=0,"",20%)</f>
        <v>0.2</v>
      </c>
      <c r="N328" s="10" t="n">
        <f aca="false">IF(SUM($H328)=0,"",ROUND($H328*(1+$I328),0))</f>
        <v>56</v>
      </c>
      <c r="O328" s="39" t="str">
        <f aca="false">IF(OR(SUM($N328)=0,SUM($J328)=0,NOT(AND($D328="Female",$F328="Y",OR($C328="10-14",$C328="15-17")))),"",ROUND($N328*$J328,0))</f>
        <v/>
      </c>
      <c r="P328" s="39" t="str">
        <f aca="false">IF(OR(SUM($N328)=0,SUM($K328)=0,NOT(OR($C328="10-14",$C328="05-09"))),"",ROUND($N328*$K328,0))</f>
        <v/>
      </c>
      <c r="Q328" s="39" t="n">
        <f aca="false">IFERROR(1/(1/ROUND($N328*$L328*$M328,0)),"")</f>
        <v>11</v>
      </c>
      <c r="R328" s="39" t="n">
        <f aca="false">IFERROR(1/(1/(ROUND($N328*$L328,0)-$Q328)),"")</f>
        <v>45</v>
      </c>
      <c r="S328" s="88" t="n">
        <f aca="false">IF(OR($C328="18+",$C328="18-20",SUM($Q328,$R328)=0),"",100%)</f>
        <v>1</v>
      </c>
      <c r="T328" s="39" t="n">
        <f aca="false">IF(OR($C328="18+",$C328="18-20",SUM($Q328,$R328)=0),"",ROUND(SUM($Q328,$R328)*$S328,0))</f>
        <v>56</v>
      </c>
    </row>
    <row r="329" customFormat="false" ht="15" hidden="false" customHeight="false" outlineLevel="0" collapsed="false">
      <c r="A329" s="0" t="str">
        <f aca="false">INDEX(Prioritization!$D:$D,MATCH($B329,Prioritization!$A:$A,0))</f>
        <v>INVALID</v>
      </c>
      <c r="B329" s="0" t="s">
        <v>216</v>
      </c>
      <c r="C329" s="0" t="s">
        <v>364</v>
      </c>
      <c r="D329" s="0" t="s">
        <v>30</v>
      </c>
      <c r="E329" s="0" t="str">
        <f aca="false">$B329&amp;"|"&amp;$C329&amp;"|"&amp;$D329</f>
        <v>Mulanje District [umc2n1Z4wNv]|10-14|Female</v>
      </c>
      <c r="G329" s="10" t="n">
        <v>565</v>
      </c>
      <c r="H329" s="10" t="n">
        <v>917</v>
      </c>
      <c r="I329" s="88" t="n">
        <f aca="false">IF(SUM($H329)=0,"",0%)</f>
        <v>0</v>
      </c>
      <c r="J329" s="88"/>
      <c r="K329" s="88"/>
      <c r="L329" s="88" t="n">
        <f aca="false">1-IF(NOT(AND($D329="Female",OR($C329="10-14",$C329="15-17",$F329="Y"))),0,$J329)-IF(NOT(OR($C329="05-09",$C329="10-14")),0,$K329)</f>
        <v>1</v>
      </c>
      <c r="M329" s="88" t="n">
        <f aca="false">IF(SUM($L329)=0,"",20%)</f>
        <v>0.2</v>
      </c>
      <c r="N329" s="10" t="n">
        <f aca="false">IF(SUM($H329)=0,"",ROUND($H329*(1+$I329),0))</f>
        <v>917</v>
      </c>
      <c r="O329" s="39" t="str">
        <f aca="false">IF(OR(SUM($N329)=0,SUM($J329)=0,NOT(AND($D329="Female",$F329="Y",OR($C329="10-14",$C329="15-17")))),"",ROUND($N329*$J329,0))</f>
        <v/>
      </c>
      <c r="P329" s="39" t="str">
        <f aca="false">IF(OR(SUM($N329)=0,SUM($K329)=0,NOT(OR($C329="10-14",$C329="05-09"))),"",ROUND($N329*$K329,0))</f>
        <v/>
      </c>
      <c r="Q329" s="39" t="n">
        <f aca="false">IFERROR(1/(1/ROUND($N329*$L329*$M329,0)),"")</f>
        <v>183</v>
      </c>
      <c r="R329" s="39" t="n">
        <f aca="false">IFERROR(1/(1/(ROUND($N329*$L329,0)-$Q329)),"")</f>
        <v>734</v>
      </c>
      <c r="S329" s="88" t="n">
        <f aca="false">IF(OR($C329="18+",$C329="18-20",SUM($Q329,$R329)=0),"",100%)</f>
        <v>1</v>
      </c>
      <c r="T329" s="39" t="n">
        <f aca="false">IF(OR($C329="18+",$C329="18-20",SUM($Q329,$R329)=0),"",ROUND(SUM($Q329,$R329)*$S329,0))</f>
        <v>917</v>
      </c>
    </row>
    <row r="330" customFormat="false" ht="15" hidden="false" customHeight="false" outlineLevel="0" collapsed="false">
      <c r="A330" s="0" t="str">
        <f aca="false">INDEX(Prioritization!$D:$D,MATCH($B330,Prioritization!$A:$A,0))</f>
        <v>INVALID</v>
      </c>
      <c r="B330" s="0" t="s">
        <v>216</v>
      </c>
      <c r="C330" s="0" t="s">
        <v>364</v>
      </c>
      <c r="D330" s="0" t="s">
        <v>48</v>
      </c>
      <c r="E330" s="0" t="str">
        <f aca="false">$B330&amp;"|"&amp;$C330&amp;"|"&amp;$D330</f>
        <v>Mulanje District [umc2n1Z4wNv]|10-14|Male</v>
      </c>
      <c r="G330" s="10" t="n">
        <v>732</v>
      </c>
      <c r="H330" s="10" t="n">
        <v>239</v>
      </c>
      <c r="I330" s="88" t="n">
        <f aca="false">IF(SUM($H330)=0,"",0%)</f>
        <v>0</v>
      </c>
      <c r="J330" s="88"/>
      <c r="K330" s="88"/>
      <c r="L330" s="88" t="n">
        <f aca="false">1-IF(NOT(AND($D330="Female",OR($C330="10-14",$C330="15-17",$F330="Y"))),0,$J330)-IF(NOT(OR($C330="05-09",$C330="10-14")),0,$K330)</f>
        <v>1</v>
      </c>
      <c r="M330" s="88" t="n">
        <f aca="false">IF(SUM($L330)=0,"",20%)</f>
        <v>0.2</v>
      </c>
      <c r="N330" s="10" t="n">
        <f aca="false">IF(SUM($H330)=0,"",ROUND($H330*(1+$I330),0))</f>
        <v>239</v>
      </c>
      <c r="O330" s="39" t="str">
        <f aca="false">IF(OR(SUM($N330)=0,SUM($J330)=0,NOT(AND($D330="Female",$F330="Y",OR($C330="10-14",$C330="15-17")))),"",ROUND($N330*$J330,0))</f>
        <v/>
      </c>
      <c r="P330" s="39" t="str">
        <f aca="false">IF(OR(SUM($N330)=0,SUM($K330)=0,NOT(OR($C330="10-14",$C330="05-09"))),"",ROUND($N330*$K330,0))</f>
        <v/>
      </c>
      <c r="Q330" s="39" t="n">
        <f aca="false">IFERROR(1/(1/ROUND($N330*$L330*$M330,0)),"")</f>
        <v>48</v>
      </c>
      <c r="R330" s="39" t="n">
        <f aca="false">IFERROR(1/(1/(ROUND($N330*$L330,0)-$Q330)),"")</f>
        <v>191</v>
      </c>
      <c r="S330" s="88" t="n">
        <f aca="false">IF(OR($C330="18+",$C330="18-20",SUM($Q330,$R330)=0),"",100%)</f>
        <v>1</v>
      </c>
      <c r="T330" s="39" t="n">
        <f aca="false">IF(OR($C330="18+",$C330="18-20",SUM($Q330,$R330)=0),"",ROUND(SUM($Q330,$R330)*$S330,0))</f>
        <v>239</v>
      </c>
    </row>
    <row r="331" customFormat="false" ht="15" hidden="false" customHeight="false" outlineLevel="0" collapsed="false">
      <c r="A331" s="0" t="str">
        <f aca="false">INDEX(Prioritization!$D:$D,MATCH($B331,Prioritization!$A:$A,0))</f>
        <v>INVALID</v>
      </c>
      <c r="B331" s="0" t="s">
        <v>216</v>
      </c>
      <c r="C331" s="0" t="s">
        <v>812</v>
      </c>
      <c r="D331" s="0" t="s">
        <v>30</v>
      </c>
      <c r="E331" s="0" t="str">
        <f aca="false">$B331&amp;"|"&amp;$C331&amp;"|"&amp;$D331</f>
        <v>Mulanje District [umc2n1Z4wNv]|15-17|Female</v>
      </c>
      <c r="G331" s="10" t="n">
        <v>874</v>
      </c>
      <c r="H331" s="10" t="n">
        <v>31</v>
      </c>
      <c r="I331" s="88" t="n">
        <f aca="false">IF(SUM($H331)=0,"",0%)</f>
        <v>0</v>
      </c>
      <c r="J331" s="88"/>
      <c r="K331" s="88"/>
      <c r="L331" s="88" t="n">
        <f aca="false">1-IF(NOT(AND($D331="Female",OR($C331="10-14",$C331="15-17",$F331="Y"))),0,$J331)-IF(NOT(OR($C331="05-09",$C331="10-14")),0,$K331)</f>
        <v>1</v>
      </c>
      <c r="M331" s="88" t="n">
        <f aca="false">IF(SUM($L331)=0,"",20%)</f>
        <v>0.2</v>
      </c>
      <c r="N331" s="10" t="n">
        <f aca="false">IF(SUM($H331)=0,"",ROUND($H331*(1+$I331),0))</f>
        <v>31</v>
      </c>
      <c r="O331" s="39" t="str">
        <f aca="false">IF(OR(SUM($N331)=0,SUM($J331)=0,NOT(AND($D331="Female",$F331="Y",OR($C331="10-14",$C331="15-17")))),"",ROUND($N331*$J331,0))</f>
        <v/>
      </c>
      <c r="P331" s="39" t="str">
        <f aca="false">IF(OR(SUM($N331)=0,SUM($K331)=0,NOT(OR($C331="10-14",$C331="05-09"))),"",ROUND($N331*$K331,0))</f>
        <v/>
      </c>
      <c r="Q331" s="39" t="n">
        <f aca="false">IFERROR(1/(1/ROUND($N331*$L331*$M331,0)),"")</f>
        <v>6</v>
      </c>
      <c r="R331" s="39" t="n">
        <f aca="false">IFERROR(1/(1/(ROUND($N331*$L331,0)-$Q331)),"")</f>
        <v>25</v>
      </c>
      <c r="S331" s="88" t="n">
        <f aca="false">IF(OR($C331="18+",$C331="18-20",SUM($Q331,$R331)=0),"",100%)</f>
        <v>1</v>
      </c>
      <c r="T331" s="39" t="n">
        <f aca="false">IF(OR($C331="18+",$C331="18-20",SUM($Q331,$R331)=0),"",ROUND(SUM($Q331,$R331)*$S331,0))</f>
        <v>31</v>
      </c>
    </row>
    <row r="332" customFormat="false" ht="15" hidden="false" customHeight="false" outlineLevel="0" collapsed="false">
      <c r="A332" s="0" t="str">
        <f aca="false">INDEX(Prioritization!$D:$D,MATCH($B332,Prioritization!$A:$A,0))</f>
        <v>INVALID</v>
      </c>
      <c r="B332" s="0" t="s">
        <v>216</v>
      </c>
      <c r="C332" s="0" t="s">
        <v>812</v>
      </c>
      <c r="D332" s="0" t="s">
        <v>48</v>
      </c>
      <c r="E332" s="0" t="str">
        <f aca="false">$B332&amp;"|"&amp;$C332&amp;"|"&amp;$D332</f>
        <v>Mulanje District [umc2n1Z4wNv]|15-17|Male</v>
      </c>
      <c r="G332" s="10" t="n">
        <v>92</v>
      </c>
      <c r="H332" s="10" t="n">
        <v>62</v>
      </c>
      <c r="I332" s="88" t="n">
        <f aca="false">IF(SUM($H332)=0,"",0%)</f>
        <v>0</v>
      </c>
      <c r="J332" s="88"/>
      <c r="K332" s="88"/>
      <c r="L332" s="88" t="n">
        <f aca="false">1-IF(NOT(AND($D332="Female",OR($C332="10-14",$C332="15-17",$F332="Y"))),0,$J332)-IF(NOT(OR($C332="05-09",$C332="10-14")),0,$K332)</f>
        <v>1</v>
      </c>
      <c r="M332" s="88" t="n">
        <f aca="false">IF(SUM($L332)=0,"",20%)</f>
        <v>0.2</v>
      </c>
      <c r="N332" s="10" t="n">
        <f aca="false">IF(SUM($H332)=0,"",ROUND($H332*(1+$I332),0))</f>
        <v>62</v>
      </c>
      <c r="O332" s="39" t="str">
        <f aca="false">IF(OR(SUM($N332)=0,SUM($J332)=0,NOT(AND($D332="Female",$F332="Y",OR($C332="10-14",$C332="15-17")))),"",ROUND($N332*$J332,0))</f>
        <v/>
      </c>
      <c r="P332" s="39" t="str">
        <f aca="false">IF(OR(SUM($N332)=0,SUM($K332)=0,NOT(OR($C332="10-14",$C332="05-09"))),"",ROUND($N332*$K332,0))</f>
        <v/>
      </c>
      <c r="Q332" s="39" t="n">
        <f aca="false">IFERROR(1/(1/ROUND($N332*$L332*$M332,0)),"")</f>
        <v>12</v>
      </c>
      <c r="R332" s="39" t="n">
        <f aca="false">IFERROR(1/(1/(ROUND($N332*$L332,0)-$Q332)),"")</f>
        <v>50</v>
      </c>
      <c r="S332" s="88" t="n">
        <f aca="false">IF(OR($C332="18+",$C332="18-20",SUM($Q332,$R332)=0),"",100%)</f>
        <v>1</v>
      </c>
      <c r="T332" s="39" t="n">
        <f aca="false">IF(OR($C332="18+",$C332="18-20",SUM($Q332,$R332)=0),"",ROUND(SUM($Q332,$R332)*$S332,0))</f>
        <v>62</v>
      </c>
    </row>
    <row r="333" customFormat="false" ht="15" hidden="false" customHeight="false" outlineLevel="0" collapsed="false">
      <c r="A333" s="0" t="str">
        <f aca="false">INDEX(Prioritization!$D:$D,MATCH($B333,Prioritization!$A:$A,0))</f>
        <v>INVALID</v>
      </c>
      <c r="B333" s="0" t="s">
        <v>216</v>
      </c>
      <c r="C333" s="0" t="s">
        <v>813</v>
      </c>
      <c r="D333" s="0" t="s">
        <v>30</v>
      </c>
      <c r="E333" s="0" t="str">
        <f aca="false">$B333&amp;"|"&amp;$C333&amp;"|"&amp;$D333</f>
        <v>Mulanje District [umc2n1Z4wNv]|18-20|Female</v>
      </c>
      <c r="G333" s="10"/>
      <c r="H333" s="10" t="n">
        <v>10</v>
      </c>
      <c r="I333" s="88" t="n">
        <f aca="false">IF(SUM($H333)=0,"",0%)</f>
        <v>0</v>
      </c>
      <c r="J333" s="88"/>
      <c r="K333" s="88"/>
      <c r="L333" s="88" t="n">
        <f aca="false">1-IF(NOT(AND($D333="Female",OR($C333="10-14",$C333="15-17",$F333="Y"))),0,$J333)-IF(NOT(OR($C333="05-09",$C333="10-14")),0,$K333)</f>
        <v>1</v>
      </c>
      <c r="M333" s="88" t="n">
        <f aca="false">IF(SUM($L333)=0,"",20%)</f>
        <v>0.2</v>
      </c>
      <c r="N333" s="10" t="n">
        <f aca="false">IF(SUM($H333)=0,"",ROUND($H333*(1+$I333),0))</f>
        <v>10</v>
      </c>
      <c r="O333" s="39" t="str">
        <f aca="false">IF(OR(SUM($N333)=0,SUM($J333)=0,NOT(AND($D333="Female",$F333="Y",OR($C333="10-14",$C333="15-17")))),"",ROUND($N333*$J333,0))</f>
        <v/>
      </c>
      <c r="P333" s="39" t="str">
        <f aca="false">IF(OR(SUM($N333)=0,SUM($K333)=0,NOT(OR($C333="10-14",$C333="05-09"))),"",ROUND($N333*$K333,0))</f>
        <v/>
      </c>
      <c r="Q333" s="39" t="n">
        <f aca="false">IFERROR(1/(1/ROUND($N333*$L333*$M333,0)),"")</f>
        <v>2</v>
      </c>
      <c r="R333" s="39" t="n">
        <f aca="false">IFERROR(1/(1/(ROUND($N333*$L333,0)-$Q333)),"")</f>
        <v>8</v>
      </c>
      <c r="S333" s="88" t="str">
        <f aca="false">IF(OR($C333="18+",$C333="18-20",SUM($Q333,$R333)=0),"",100%)</f>
        <v/>
      </c>
      <c r="T333" s="39" t="str">
        <f aca="false">IF(OR($C333="18+",$C333="18-20",SUM($Q333,$R333)=0),"",ROUND(SUM($Q333,$R333)*$S333,0))</f>
        <v/>
      </c>
    </row>
    <row r="334" customFormat="false" ht="15" hidden="false" customHeight="false" outlineLevel="0" collapsed="false">
      <c r="A334" s="0" t="str">
        <f aca="false">INDEX(Prioritization!$D:$D,MATCH($B334,Prioritization!$A:$A,0))</f>
        <v>INVALID</v>
      </c>
      <c r="B334" s="0" t="s">
        <v>216</v>
      </c>
      <c r="C334" s="0" t="s">
        <v>813</v>
      </c>
      <c r="D334" s="0" t="s">
        <v>48</v>
      </c>
      <c r="E334" s="0" t="str">
        <f aca="false">$B334&amp;"|"&amp;$C334&amp;"|"&amp;$D334</f>
        <v>Mulanje District [umc2n1Z4wNv]|18-20|Male</v>
      </c>
      <c r="G334" s="10"/>
      <c r="H334" s="10" t="n">
        <v>2</v>
      </c>
      <c r="I334" s="88" t="n">
        <f aca="false">IF(SUM($H334)=0,"",0%)</f>
        <v>0</v>
      </c>
      <c r="J334" s="88"/>
      <c r="K334" s="88"/>
      <c r="L334" s="88" t="n">
        <f aca="false">1-IF(NOT(AND($D334="Female",OR($C334="10-14",$C334="15-17",$F334="Y"))),0,$J334)-IF(NOT(OR($C334="05-09",$C334="10-14")),0,$K334)</f>
        <v>1</v>
      </c>
      <c r="M334" s="88" t="n">
        <f aca="false">IF(SUM($L334)=0,"",20%)</f>
        <v>0.2</v>
      </c>
      <c r="N334" s="10" t="n">
        <f aca="false">IF(SUM($H334)=0,"",ROUND($H334*(1+$I334),0))</f>
        <v>2</v>
      </c>
      <c r="O334" s="39" t="str">
        <f aca="false">IF(OR(SUM($N334)=0,SUM($J334)=0,NOT(AND($D334="Female",$F334="Y",OR($C334="10-14",$C334="15-17")))),"",ROUND($N334*$J334,0))</f>
        <v/>
      </c>
      <c r="P334" s="39" t="str">
        <f aca="false">IF(OR(SUM($N334)=0,SUM($K334)=0,NOT(OR($C334="10-14",$C334="05-09"))),"",ROUND($N334*$K334,0))</f>
        <v/>
      </c>
      <c r="Q334" s="39" t="str">
        <f aca="false">IFERROR(1/(1/ROUND($N334*$L334*$M334,0)),"")</f>
        <v/>
      </c>
      <c r="R334" s="39" t="str">
        <f aca="false">IFERROR(1/(1/(ROUND($N334*$L334,0)-$Q334)),"")</f>
        <v/>
      </c>
      <c r="S334" s="88" t="str">
        <f aca="false">IF(OR($C334="18+",$C334="18-20",SUM($Q334,$R334)=0),"",100%)</f>
        <v/>
      </c>
      <c r="T334" s="39" t="str">
        <f aca="false">IF(OR($C334="18+",$C334="18-20",SUM($Q334,$R334)=0),"",ROUND(SUM($Q334,$R334)*$S334,0))</f>
        <v/>
      </c>
    </row>
    <row r="335" customFormat="false" ht="15" hidden="false" customHeight="false" outlineLevel="0" collapsed="false">
      <c r="A335" s="0" t="str">
        <f aca="false">INDEX(Prioritization!$D:$D,MATCH($B335,Prioritization!$A:$A,0))</f>
        <v>INVALID</v>
      </c>
      <c r="B335" s="0" t="s">
        <v>216</v>
      </c>
      <c r="C335" s="0" t="s">
        <v>814</v>
      </c>
      <c r="D335" s="0" t="s">
        <v>30</v>
      </c>
      <c r="E335" s="0" t="str">
        <f aca="false">$B335&amp;"|"&amp;$C335&amp;"|"&amp;$D335</f>
        <v>Mulanje District [umc2n1Z4wNv]|18+|Female</v>
      </c>
      <c r="G335" s="10" t="n">
        <v>956</v>
      </c>
      <c r="H335" s="10" t="n">
        <v>801</v>
      </c>
      <c r="I335" s="88" t="n">
        <f aca="false">IF(SUM($H335)=0,"",0%)</f>
        <v>0</v>
      </c>
      <c r="J335" s="88"/>
      <c r="K335" s="88"/>
      <c r="L335" s="88" t="n">
        <f aca="false">1-IF(NOT(AND($D335="Female",OR($C335="10-14",$C335="15-17",$F335="Y"))),0,$J335)-IF(NOT(OR($C335="05-09",$C335="10-14")),0,$K335)</f>
        <v>1</v>
      </c>
      <c r="M335" s="88" t="n">
        <f aca="false">IF(SUM($L335)=0,"",20%)</f>
        <v>0.2</v>
      </c>
      <c r="N335" s="10" t="n">
        <f aca="false">IF(SUM($H335)=0,"",ROUND($H335*(1+$I335),0))</f>
        <v>801</v>
      </c>
      <c r="O335" s="39" t="str">
        <f aca="false">IF(OR(SUM($N335)=0,SUM($J335)=0,NOT(AND($D335="Female",$F335="Y",OR($C335="10-14",$C335="15-17")))),"",ROUND($N335*$J335,0))</f>
        <v/>
      </c>
      <c r="P335" s="39" t="str">
        <f aca="false">IF(OR(SUM($N335)=0,SUM($K335)=0,NOT(OR($C335="10-14",$C335="05-09"))),"",ROUND($N335*$K335,0))</f>
        <v/>
      </c>
      <c r="Q335" s="39" t="n">
        <f aca="false">IFERROR(1/(1/ROUND($N335*$L335*$M335,0)),"")</f>
        <v>160</v>
      </c>
      <c r="R335" s="39" t="n">
        <f aca="false">IFERROR(1/(1/(ROUND($N335*$L335,0)-$Q335)),"")</f>
        <v>641</v>
      </c>
      <c r="S335" s="88" t="str">
        <f aca="false">IF(OR($C335="18+",$C335="18-20",SUM($Q335,$R335)=0),"",100%)</f>
        <v/>
      </c>
      <c r="T335" s="39" t="str">
        <f aca="false">IF(OR($C335="18+",$C335="18-20",SUM($Q335,$R335)=0),"",ROUND(SUM($Q335,$R335)*$S335,0))</f>
        <v/>
      </c>
    </row>
    <row r="336" customFormat="false" ht="15" hidden="false" customHeight="false" outlineLevel="0" collapsed="false">
      <c r="A336" s="0" t="str">
        <f aca="false">INDEX(Prioritization!$D:$D,MATCH($B336,Prioritization!$A:$A,0))</f>
        <v>INVALID</v>
      </c>
      <c r="B336" s="0" t="s">
        <v>216</v>
      </c>
      <c r="C336" s="0" t="s">
        <v>814</v>
      </c>
      <c r="D336" s="0" t="s">
        <v>48</v>
      </c>
      <c r="E336" s="0" t="str">
        <f aca="false">$B336&amp;"|"&amp;$C336&amp;"|"&amp;$D336</f>
        <v>Mulanje District [umc2n1Z4wNv]|18+|Male</v>
      </c>
      <c r="G336" s="10" t="n">
        <v>28</v>
      </c>
      <c r="H336" s="10" t="n">
        <v>81</v>
      </c>
      <c r="I336" s="88" t="n">
        <f aca="false">IF(SUM($H336)=0,"",0%)</f>
        <v>0</v>
      </c>
      <c r="J336" s="88"/>
      <c r="K336" s="88"/>
      <c r="L336" s="88" t="n">
        <f aca="false">1-IF(NOT(AND($D336="Female",OR($C336="10-14",$C336="15-17",$F336="Y"))),0,$J336)-IF(NOT(OR($C336="05-09",$C336="10-14")),0,$K336)</f>
        <v>1</v>
      </c>
      <c r="M336" s="88" t="n">
        <f aca="false">IF(SUM($L336)=0,"",20%)</f>
        <v>0.2</v>
      </c>
      <c r="N336" s="10" t="n">
        <f aca="false">IF(SUM($H336)=0,"",ROUND($H336*(1+$I336),0))</f>
        <v>81</v>
      </c>
      <c r="O336" s="39" t="str">
        <f aca="false">IF(OR(SUM($N336)=0,SUM($J336)=0,NOT(AND($D336="Female",$F336="Y",OR($C336="10-14",$C336="15-17")))),"",ROUND($N336*$J336,0))</f>
        <v/>
      </c>
      <c r="P336" s="39" t="str">
        <f aca="false">IF(OR(SUM($N336)=0,SUM($K336)=0,NOT(OR($C336="10-14",$C336="05-09"))),"",ROUND($N336*$K336,0))</f>
        <v/>
      </c>
      <c r="Q336" s="39" t="n">
        <f aca="false">IFERROR(1/(1/ROUND($N336*$L336*$M336,0)),"")</f>
        <v>16</v>
      </c>
      <c r="R336" s="39" t="n">
        <f aca="false">IFERROR(1/(1/(ROUND($N336*$L336,0)-$Q336)),"")</f>
        <v>65</v>
      </c>
      <c r="S336" s="88" t="str">
        <f aca="false">IF(OR($C336="18+",$C336="18-20",SUM($Q336,$R336)=0),"",100%)</f>
        <v/>
      </c>
      <c r="T336" s="39" t="str">
        <f aca="false">IF(OR($C336="18+",$C336="18-20",SUM($Q336,$R336)=0),"",ROUND(SUM($Q336,$R336)*$S336,0))</f>
        <v/>
      </c>
    </row>
    <row r="337" customFormat="false" ht="15" hidden="false" customHeight="false" outlineLevel="0" collapsed="false">
      <c r="A337" s="0" t="str">
        <f aca="false">INDEX(Prioritization!$D:$D,MATCH($B337,Prioritization!$A:$A,0))</f>
        <v>INVALID</v>
      </c>
      <c r="B337" s="0" t="s">
        <v>217</v>
      </c>
      <c r="C337" s="0" t="s">
        <v>316</v>
      </c>
      <c r="D337" s="0" t="s">
        <v>30</v>
      </c>
      <c r="E337" s="0" t="str">
        <f aca="false">$B337&amp;"|"&amp;$C337&amp;"|"&amp;$D337</f>
        <v>Mwanza District [wNqJp8oRIcF]|&lt;01|Female</v>
      </c>
      <c r="G337" s="10"/>
      <c r="H337" s="10"/>
      <c r="I337" s="88" t="str">
        <f aca="false">IF(SUM($H337)=0,"",0%)</f>
        <v/>
      </c>
      <c r="J337" s="88"/>
      <c r="K337" s="88"/>
      <c r="L337" s="88" t="n">
        <f aca="false">1-IF(NOT(AND($D337="Female",OR($C337="10-14",$C337="15-17",$F337="Y"))),0,$J337)-IF(NOT(OR($C337="05-09",$C337="10-14")),0,$K337)</f>
        <v>1</v>
      </c>
      <c r="M337" s="88" t="n">
        <f aca="false">IF(SUM($L337)=0,"",20%)</f>
        <v>0.2</v>
      </c>
      <c r="N337" s="10" t="str">
        <f aca="false">IF(SUM($H337)=0,"",ROUND($H337*(1+$I337),0))</f>
        <v/>
      </c>
      <c r="O337" s="39" t="str">
        <f aca="false">IF(OR(SUM($N337)=0,SUM($J337)=0,NOT(AND($D337="Female",$F337="Y",OR($C337="10-14",$C337="15-17")))),"",ROUND($N337*$J337,0))</f>
        <v/>
      </c>
      <c r="P337" s="39" t="str">
        <f aca="false">IF(OR(SUM($N337)=0,SUM($K337)=0,NOT(OR($C337="10-14",$C337="05-09"))),"",ROUND($N337*$K337,0))</f>
        <v/>
      </c>
      <c r="Q337" s="39" t="str">
        <f aca="false">IFERROR(1/(1/ROUND($N337*$L337*$M337,0)),"")</f>
        <v/>
      </c>
      <c r="R337" s="39" t="str">
        <f aca="false">IFERROR(1/(1/(ROUND($N337*$L337,0)-$Q337)),"")</f>
        <v/>
      </c>
      <c r="S337" s="88" t="str">
        <f aca="false">IF(OR($C337="18+",$C337="18-20",SUM($Q337,$R337)=0),"",100%)</f>
        <v/>
      </c>
      <c r="T337" s="39" t="str">
        <f aca="false">IF(OR($C337="18+",$C337="18-20",SUM($Q337,$R337)=0),"",ROUND(SUM($Q337,$R337)*$S337,0))</f>
        <v/>
      </c>
    </row>
    <row r="338" customFormat="false" ht="15" hidden="false" customHeight="false" outlineLevel="0" collapsed="false">
      <c r="A338" s="0" t="str">
        <f aca="false">INDEX(Prioritization!$D:$D,MATCH($B338,Prioritization!$A:$A,0))</f>
        <v>INVALID</v>
      </c>
      <c r="B338" s="0" t="s">
        <v>217</v>
      </c>
      <c r="C338" s="0" t="s">
        <v>316</v>
      </c>
      <c r="D338" s="0" t="s">
        <v>48</v>
      </c>
      <c r="E338" s="0" t="str">
        <f aca="false">$B338&amp;"|"&amp;$C338&amp;"|"&amp;$D338</f>
        <v>Mwanza District [wNqJp8oRIcF]|&lt;01|Male</v>
      </c>
      <c r="G338" s="10"/>
      <c r="H338" s="10"/>
      <c r="I338" s="88" t="str">
        <f aca="false">IF(SUM($H338)=0,"",0%)</f>
        <v/>
      </c>
      <c r="J338" s="88"/>
      <c r="K338" s="88"/>
      <c r="L338" s="88" t="n">
        <f aca="false">1-IF(NOT(AND($D338="Female",OR($C338="10-14",$C338="15-17",$F338="Y"))),0,$J338)-IF(NOT(OR($C338="05-09",$C338="10-14")),0,$K338)</f>
        <v>1</v>
      </c>
      <c r="M338" s="88" t="n">
        <f aca="false">IF(SUM($L338)=0,"",20%)</f>
        <v>0.2</v>
      </c>
      <c r="N338" s="10" t="str">
        <f aca="false">IF(SUM($H338)=0,"",ROUND($H338*(1+$I338),0))</f>
        <v/>
      </c>
      <c r="O338" s="39" t="str">
        <f aca="false">IF(OR(SUM($N338)=0,SUM($J338)=0,NOT(AND($D338="Female",$F338="Y",OR($C338="10-14",$C338="15-17")))),"",ROUND($N338*$J338,0))</f>
        <v/>
      </c>
      <c r="P338" s="39" t="str">
        <f aca="false">IF(OR(SUM($N338)=0,SUM($K338)=0,NOT(OR($C338="10-14",$C338="05-09"))),"",ROUND($N338*$K338,0))</f>
        <v/>
      </c>
      <c r="Q338" s="39" t="str">
        <f aca="false">IFERROR(1/(1/ROUND($N338*$L338*$M338,0)),"")</f>
        <v/>
      </c>
      <c r="R338" s="39" t="str">
        <f aca="false">IFERROR(1/(1/(ROUND($N338*$L338,0)-$Q338)),"")</f>
        <v/>
      </c>
      <c r="S338" s="88" t="str">
        <f aca="false">IF(OR($C338="18+",$C338="18-20",SUM($Q338,$R338)=0),"",100%)</f>
        <v/>
      </c>
      <c r="T338" s="39" t="str">
        <f aca="false">IF(OR($C338="18+",$C338="18-20",SUM($Q338,$R338)=0),"",ROUND(SUM($Q338,$R338)*$S338,0))</f>
        <v/>
      </c>
    </row>
    <row r="339" customFormat="false" ht="15" hidden="false" customHeight="false" outlineLevel="0" collapsed="false">
      <c r="A339" s="0" t="str">
        <f aca="false">INDEX(Prioritization!$D:$D,MATCH($B339,Prioritization!$A:$A,0))</f>
        <v>INVALID</v>
      </c>
      <c r="B339" s="0" t="s">
        <v>217</v>
      </c>
      <c r="C339" s="0" t="s">
        <v>810</v>
      </c>
      <c r="D339" s="0" t="s">
        <v>30</v>
      </c>
      <c r="E339" s="0" t="str">
        <f aca="false">$B339&amp;"|"&amp;$C339&amp;"|"&amp;$D339</f>
        <v>Mwanza District [wNqJp8oRIcF]|01-04|Female</v>
      </c>
      <c r="G339" s="10"/>
      <c r="H339" s="10"/>
      <c r="I339" s="88" t="str">
        <f aca="false">IF(SUM($H339)=0,"",0%)</f>
        <v/>
      </c>
      <c r="J339" s="88"/>
      <c r="K339" s="88"/>
      <c r="L339" s="88" t="n">
        <f aca="false">1-IF(NOT(AND($D339="Female",OR($C339="10-14",$C339="15-17",$F339="Y"))),0,$J339)-IF(NOT(OR($C339="05-09",$C339="10-14")),0,$K339)</f>
        <v>1</v>
      </c>
      <c r="M339" s="88" t="n">
        <f aca="false">IF(SUM($L339)=0,"",20%)</f>
        <v>0.2</v>
      </c>
      <c r="N339" s="10" t="str">
        <f aca="false">IF(SUM($H339)=0,"",ROUND($H339*(1+$I339),0))</f>
        <v/>
      </c>
      <c r="O339" s="39" t="str">
        <f aca="false">IF(OR(SUM($N339)=0,SUM($J339)=0,NOT(AND($D339="Female",$F339="Y",OR($C339="10-14",$C339="15-17")))),"",ROUND($N339*$J339,0))</f>
        <v/>
      </c>
      <c r="P339" s="39" t="str">
        <f aca="false">IF(OR(SUM($N339)=0,SUM($K339)=0,NOT(OR($C339="10-14",$C339="05-09"))),"",ROUND($N339*$K339,0))</f>
        <v/>
      </c>
      <c r="Q339" s="39" t="str">
        <f aca="false">IFERROR(1/(1/ROUND($N339*$L339*$M339,0)),"")</f>
        <v/>
      </c>
      <c r="R339" s="39" t="str">
        <f aca="false">IFERROR(1/(1/(ROUND($N339*$L339,0)-$Q339)),"")</f>
        <v/>
      </c>
      <c r="S339" s="88" t="str">
        <f aca="false">IF(OR($C339="18+",$C339="18-20",SUM($Q339,$R339)=0),"",100%)</f>
        <v/>
      </c>
      <c r="T339" s="39" t="str">
        <f aca="false">IF(OR($C339="18+",$C339="18-20",SUM($Q339,$R339)=0),"",ROUND(SUM($Q339,$R339)*$S339,0))</f>
        <v/>
      </c>
    </row>
    <row r="340" customFormat="false" ht="15" hidden="false" customHeight="false" outlineLevel="0" collapsed="false">
      <c r="A340" s="0" t="str">
        <f aca="false">INDEX(Prioritization!$D:$D,MATCH($B340,Prioritization!$A:$A,0))</f>
        <v>INVALID</v>
      </c>
      <c r="B340" s="0" t="s">
        <v>217</v>
      </c>
      <c r="C340" s="0" t="s">
        <v>810</v>
      </c>
      <c r="D340" s="0" t="s">
        <v>48</v>
      </c>
      <c r="E340" s="0" t="str">
        <f aca="false">$B340&amp;"|"&amp;$C340&amp;"|"&amp;$D340</f>
        <v>Mwanza District [wNqJp8oRIcF]|01-04|Male</v>
      </c>
      <c r="G340" s="10"/>
      <c r="H340" s="10"/>
      <c r="I340" s="88" t="str">
        <f aca="false">IF(SUM($H340)=0,"",0%)</f>
        <v/>
      </c>
      <c r="J340" s="88"/>
      <c r="K340" s="88"/>
      <c r="L340" s="88" t="n">
        <f aca="false">1-IF(NOT(AND($D340="Female",OR($C340="10-14",$C340="15-17",$F340="Y"))),0,$J340)-IF(NOT(OR($C340="05-09",$C340="10-14")),0,$K340)</f>
        <v>1</v>
      </c>
      <c r="M340" s="88" t="n">
        <f aca="false">IF(SUM($L340)=0,"",20%)</f>
        <v>0.2</v>
      </c>
      <c r="N340" s="10" t="str">
        <f aca="false">IF(SUM($H340)=0,"",ROUND($H340*(1+$I340),0))</f>
        <v/>
      </c>
      <c r="O340" s="39" t="str">
        <f aca="false">IF(OR(SUM($N340)=0,SUM($J340)=0,NOT(AND($D340="Female",$F340="Y",OR($C340="10-14",$C340="15-17")))),"",ROUND($N340*$J340,0))</f>
        <v/>
      </c>
      <c r="P340" s="39" t="str">
        <f aca="false">IF(OR(SUM($N340)=0,SUM($K340)=0,NOT(OR($C340="10-14",$C340="05-09"))),"",ROUND($N340*$K340,0))</f>
        <v/>
      </c>
      <c r="Q340" s="39" t="str">
        <f aca="false">IFERROR(1/(1/ROUND($N340*$L340*$M340,0)),"")</f>
        <v/>
      </c>
      <c r="R340" s="39" t="str">
        <f aca="false">IFERROR(1/(1/(ROUND($N340*$L340,0)-$Q340)),"")</f>
        <v/>
      </c>
      <c r="S340" s="88" t="str">
        <f aca="false">IF(OR($C340="18+",$C340="18-20",SUM($Q340,$R340)=0),"",100%)</f>
        <v/>
      </c>
      <c r="T340" s="39" t="str">
        <f aca="false">IF(OR($C340="18+",$C340="18-20",SUM($Q340,$R340)=0),"",ROUND(SUM($Q340,$R340)*$S340,0))</f>
        <v/>
      </c>
    </row>
    <row r="341" customFormat="false" ht="15" hidden="false" customHeight="false" outlineLevel="0" collapsed="false">
      <c r="A341" s="0" t="str">
        <f aca="false">INDEX(Prioritization!$D:$D,MATCH($B341,Prioritization!$A:$A,0))</f>
        <v>INVALID</v>
      </c>
      <c r="B341" s="0" t="s">
        <v>217</v>
      </c>
      <c r="C341" s="0" t="s">
        <v>811</v>
      </c>
      <c r="D341" s="0" t="s">
        <v>30</v>
      </c>
      <c r="E341" s="0" t="str">
        <f aca="false">$B341&amp;"|"&amp;$C341&amp;"|"&amp;$D341</f>
        <v>Mwanza District [wNqJp8oRIcF]|05-09|Female</v>
      </c>
      <c r="G341" s="10"/>
      <c r="H341" s="10"/>
      <c r="I341" s="88" t="str">
        <f aca="false">IF(SUM($H341)=0,"",0%)</f>
        <v/>
      </c>
      <c r="J341" s="88"/>
      <c r="K341" s="88"/>
      <c r="L341" s="88" t="n">
        <f aca="false">1-IF(NOT(AND($D341="Female",OR($C341="10-14",$C341="15-17",$F341="Y"))),0,$J341)-IF(NOT(OR($C341="05-09",$C341="10-14")),0,$K341)</f>
        <v>1</v>
      </c>
      <c r="M341" s="88" t="n">
        <f aca="false">IF(SUM($L341)=0,"",20%)</f>
        <v>0.2</v>
      </c>
      <c r="N341" s="10" t="str">
        <f aca="false">IF(SUM($H341)=0,"",ROUND($H341*(1+$I341),0))</f>
        <v/>
      </c>
      <c r="O341" s="39" t="str">
        <f aca="false">IF(OR(SUM($N341)=0,SUM($J341)=0,NOT(AND($D341="Female",$F341="Y",OR($C341="10-14",$C341="15-17")))),"",ROUND($N341*$J341,0))</f>
        <v/>
      </c>
      <c r="P341" s="39" t="str">
        <f aca="false">IF(OR(SUM($N341)=0,SUM($K341)=0,NOT(OR($C341="10-14",$C341="05-09"))),"",ROUND($N341*$K341,0))</f>
        <v/>
      </c>
      <c r="Q341" s="39" t="str">
        <f aca="false">IFERROR(1/(1/ROUND($N341*$L341*$M341,0)),"")</f>
        <v/>
      </c>
      <c r="R341" s="39" t="str">
        <f aca="false">IFERROR(1/(1/(ROUND($N341*$L341,0)-$Q341)),"")</f>
        <v/>
      </c>
      <c r="S341" s="88" t="str">
        <f aca="false">IF(OR($C341="18+",$C341="18-20",SUM($Q341,$R341)=0),"",100%)</f>
        <v/>
      </c>
      <c r="T341" s="39" t="str">
        <f aca="false">IF(OR($C341="18+",$C341="18-20",SUM($Q341,$R341)=0),"",ROUND(SUM($Q341,$R341)*$S341,0))</f>
        <v/>
      </c>
    </row>
    <row r="342" customFormat="false" ht="15" hidden="false" customHeight="false" outlineLevel="0" collapsed="false">
      <c r="A342" s="0" t="str">
        <f aca="false">INDEX(Prioritization!$D:$D,MATCH($B342,Prioritization!$A:$A,0))</f>
        <v>INVALID</v>
      </c>
      <c r="B342" s="0" t="s">
        <v>217</v>
      </c>
      <c r="C342" s="0" t="s">
        <v>811</v>
      </c>
      <c r="D342" s="0" t="s">
        <v>48</v>
      </c>
      <c r="E342" s="0" t="str">
        <f aca="false">$B342&amp;"|"&amp;$C342&amp;"|"&amp;$D342</f>
        <v>Mwanza District [wNqJp8oRIcF]|05-09|Male</v>
      </c>
      <c r="G342" s="10"/>
      <c r="H342" s="10"/>
      <c r="I342" s="88" t="str">
        <f aca="false">IF(SUM($H342)=0,"",0%)</f>
        <v/>
      </c>
      <c r="J342" s="88"/>
      <c r="K342" s="88"/>
      <c r="L342" s="88" t="n">
        <f aca="false">1-IF(NOT(AND($D342="Female",OR($C342="10-14",$C342="15-17",$F342="Y"))),0,$J342)-IF(NOT(OR($C342="05-09",$C342="10-14")),0,$K342)</f>
        <v>1</v>
      </c>
      <c r="M342" s="88" t="n">
        <f aca="false">IF(SUM($L342)=0,"",20%)</f>
        <v>0.2</v>
      </c>
      <c r="N342" s="10" t="str">
        <f aca="false">IF(SUM($H342)=0,"",ROUND($H342*(1+$I342),0))</f>
        <v/>
      </c>
      <c r="O342" s="39" t="str">
        <f aca="false">IF(OR(SUM($N342)=0,SUM($J342)=0,NOT(AND($D342="Female",$F342="Y",OR($C342="10-14",$C342="15-17")))),"",ROUND($N342*$J342,0))</f>
        <v/>
      </c>
      <c r="P342" s="39" t="str">
        <f aca="false">IF(OR(SUM($N342)=0,SUM($K342)=0,NOT(OR($C342="10-14",$C342="05-09"))),"",ROUND($N342*$K342,0))</f>
        <v/>
      </c>
      <c r="Q342" s="39" t="str">
        <f aca="false">IFERROR(1/(1/ROUND($N342*$L342*$M342,0)),"")</f>
        <v/>
      </c>
      <c r="R342" s="39" t="str">
        <f aca="false">IFERROR(1/(1/(ROUND($N342*$L342,0)-$Q342)),"")</f>
        <v/>
      </c>
      <c r="S342" s="88" t="str">
        <f aca="false">IF(OR($C342="18+",$C342="18-20",SUM($Q342,$R342)=0),"",100%)</f>
        <v/>
      </c>
      <c r="T342" s="39" t="str">
        <f aca="false">IF(OR($C342="18+",$C342="18-20",SUM($Q342,$R342)=0),"",ROUND(SUM($Q342,$R342)*$S342,0))</f>
        <v/>
      </c>
    </row>
    <row r="343" customFormat="false" ht="15" hidden="false" customHeight="false" outlineLevel="0" collapsed="false">
      <c r="A343" s="0" t="str">
        <f aca="false">INDEX(Prioritization!$D:$D,MATCH($B343,Prioritization!$A:$A,0))</f>
        <v>INVALID</v>
      </c>
      <c r="B343" s="0" t="s">
        <v>217</v>
      </c>
      <c r="C343" s="0" t="s">
        <v>364</v>
      </c>
      <c r="D343" s="0" t="s">
        <v>30</v>
      </c>
      <c r="E343" s="0" t="str">
        <f aca="false">$B343&amp;"|"&amp;$C343&amp;"|"&amp;$D343</f>
        <v>Mwanza District [wNqJp8oRIcF]|10-14|Female</v>
      </c>
      <c r="G343" s="10"/>
      <c r="H343" s="10"/>
      <c r="I343" s="88" t="str">
        <f aca="false">IF(SUM($H343)=0,"",0%)</f>
        <v/>
      </c>
      <c r="J343" s="88"/>
      <c r="K343" s="88"/>
      <c r="L343" s="88" t="n">
        <f aca="false">1-IF(NOT(AND($D343="Female",OR($C343="10-14",$C343="15-17",$F343="Y"))),0,$J343)-IF(NOT(OR($C343="05-09",$C343="10-14")),0,$K343)</f>
        <v>1</v>
      </c>
      <c r="M343" s="88" t="n">
        <f aca="false">IF(SUM($L343)=0,"",20%)</f>
        <v>0.2</v>
      </c>
      <c r="N343" s="10" t="str">
        <f aca="false">IF(SUM($H343)=0,"",ROUND($H343*(1+$I343),0))</f>
        <v/>
      </c>
      <c r="O343" s="39" t="str">
        <f aca="false">IF(OR(SUM($N343)=0,SUM($J343)=0,NOT(AND($D343="Female",$F343="Y",OR($C343="10-14",$C343="15-17")))),"",ROUND($N343*$J343,0))</f>
        <v/>
      </c>
      <c r="P343" s="39" t="str">
        <f aca="false">IF(OR(SUM($N343)=0,SUM($K343)=0,NOT(OR($C343="10-14",$C343="05-09"))),"",ROUND($N343*$K343,0))</f>
        <v/>
      </c>
      <c r="Q343" s="39" t="str">
        <f aca="false">IFERROR(1/(1/ROUND($N343*$L343*$M343,0)),"")</f>
        <v/>
      </c>
      <c r="R343" s="39" t="str">
        <f aca="false">IFERROR(1/(1/(ROUND($N343*$L343,0)-$Q343)),"")</f>
        <v/>
      </c>
      <c r="S343" s="88" t="str">
        <f aca="false">IF(OR($C343="18+",$C343="18-20",SUM($Q343,$R343)=0),"",100%)</f>
        <v/>
      </c>
      <c r="T343" s="39" t="str">
        <f aca="false">IF(OR($C343="18+",$C343="18-20",SUM($Q343,$R343)=0),"",ROUND(SUM($Q343,$R343)*$S343,0))</f>
        <v/>
      </c>
    </row>
    <row r="344" customFormat="false" ht="15" hidden="false" customHeight="false" outlineLevel="0" collapsed="false">
      <c r="A344" s="0" t="str">
        <f aca="false">INDEX(Prioritization!$D:$D,MATCH($B344,Prioritization!$A:$A,0))</f>
        <v>INVALID</v>
      </c>
      <c r="B344" s="0" t="s">
        <v>217</v>
      </c>
      <c r="C344" s="0" t="s">
        <v>364</v>
      </c>
      <c r="D344" s="0" t="s">
        <v>48</v>
      </c>
      <c r="E344" s="0" t="str">
        <f aca="false">$B344&amp;"|"&amp;$C344&amp;"|"&amp;$D344</f>
        <v>Mwanza District [wNqJp8oRIcF]|10-14|Male</v>
      </c>
      <c r="G344" s="10"/>
      <c r="H344" s="10"/>
      <c r="I344" s="88" t="str">
        <f aca="false">IF(SUM($H344)=0,"",0%)</f>
        <v/>
      </c>
      <c r="J344" s="88"/>
      <c r="K344" s="88"/>
      <c r="L344" s="88" t="n">
        <f aca="false">1-IF(NOT(AND($D344="Female",OR($C344="10-14",$C344="15-17",$F344="Y"))),0,$J344)-IF(NOT(OR($C344="05-09",$C344="10-14")),0,$K344)</f>
        <v>1</v>
      </c>
      <c r="M344" s="88" t="n">
        <f aca="false">IF(SUM($L344)=0,"",20%)</f>
        <v>0.2</v>
      </c>
      <c r="N344" s="10" t="str">
        <f aca="false">IF(SUM($H344)=0,"",ROUND($H344*(1+$I344),0))</f>
        <v/>
      </c>
      <c r="O344" s="39" t="str">
        <f aca="false">IF(OR(SUM($N344)=0,SUM($J344)=0,NOT(AND($D344="Female",$F344="Y",OR($C344="10-14",$C344="15-17")))),"",ROUND($N344*$J344,0))</f>
        <v/>
      </c>
      <c r="P344" s="39" t="str">
        <f aca="false">IF(OR(SUM($N344)=0,SUM($K344)=0,NOT(OR($C344="10-14",$C344="05-09"))),"",ROUND($N344*$K344,0))</f>
        <v/>
      </c>
      <c r="Q344" s="39" t="str">
        <f aca="false">IFERROR(1/(1/ROUND($N344*$L344*$M344,0)),"")</f>
        <v/>
      </c>
      <c r="R344" s="39" t="str">
        <f aca="false">IFERROR(1/(1/(ROUND($N344*$L344,0)-$Q344)),"")</f>
        <v/>
      </c>
      <c r="S344" s="88" t="str">
        <f aca="false">IF(OR($C344="18+",$C344="18-20",SUM($Q344,$R344)=0),"",100%)</f>
        <v/>
      </c>
      <c r="T344" s="39" t="str">
        <f aca="false">IF(OR($C344="18+",$C344="18-20",SUM($Q344,$R344)=0),"",ROUND(SUM($Q344,$R344)*$S344,0))</f>
        <v/>
      </c>
    </row>
    <row r="345" customFormat="false" ht="15" hidden="false" customHeight="false" outlineLevel="0" collapsed="false">
      <c r="A345" s="0" t="str">
        <f aca="false">INDEX(Prioritization!$D:$D,MATCH($B345,Prioritization!$A:$A,0))</f>
        <v>INVALID</v>
      </c>
      <c r="B345" s="0" t="s">
        <v>217</v>
      </c>
      <c r="C345" s="0" t="s">
        <v>812</v>
      </c>
      <c r="D345" s="0" t="s">
        <v>30</v>
      </c>
      <c r="E345" s="0" t="str">
        <f aca="false">$B345&amp;"|"&amp;$C345&amp;"|"&amp;$D345</f>
        <v>Mwanza District [wNqJp8oRIcF]|15-17|Female</v>
      </c>
      <c r="G345" s="10"/>
      <c r="H345" s="10"/>
      <c r="I345" s="88" t="str">
        <f aca="false">IF(SUM($H345)=0,"",0%)</f>
        <v/>
      </c>
      <c r="J345" s="88"/>
      <c r="K345" s="88"/>
      <c r="L345" s="88" t="n">
        <f aca="false">1-IF(NOT(AND($D345="Female",OR($C345="10-14",$C345="15-17",$F345="Y"))),0,$J345)-IF(NOT(OR($C345="05-09",$C345="10-14")),0,$K345)</f>
        <v>1</v>
      </c>
      <c r="M345" s="88" t="n">
        <f aca="false">IF(SUM($L345)=0,"",20%)</f>
        <v>0.2</v>
      </c>
      <c r="N345" s="10" t="str">
        <f aca="false">IF(SUM($H345)=0,"",ROUND($H345*(1+$I345),0))</f>
        <v/>
      </c>
      <c r="O345" s="39" t="str">
        <f aca="false">IF(OR(SUM($N345)=0,SUM($J345)=0,NOT(AND($D345="Female",$F345="Y",OR($C345="10-14",$C345="15-17")))),"",ROUND($N345*$J345,0))</f>
        <v/>
      </c>
      <c r="P345" s="39" t="str">
        <f aca="false">IF(OR(SUM($N345)=0,SUM($K345)=0,NOT(OR($C345="10-14",$C345="05-09"))),"",ROUND($N345*$K345,0))</f>
        <v/>
      </c>
      <c r="Q345" s="39" t="str">
        <f aca="false">IFERROR(1/(1/ROUND($N345*$L345*$M345,0)),"")</f>
        <v/>
      </c>
      <c r="R345" s="39" t="str">
        <f aca="false">IFERROR(1/(1/(ROUND($N345*$L345,0)-$Q345)),"")</f>
        <v/>
      </c>
      <c r="S345" s="88" t="str">
        <f aca="false">IF(OR($C345="18+",$C345="18-20",SUM($Q345,$R345)=0),"",100%)</f>
        <v/>
      </c>
      <c r="T345" s="39" t="str">
        <f aca="false">IF(OR($C345="18+",$C345="18-20",SUM($Q345,$R345)=0),"",ROUND(SUM($Q345,$R345)*$S345,0))</f>
        <v/>
      </c>
    </row>
    <row r="346" customFormat="false" ht="15" hidden="false" customHeight="false" outlineLevel="0" collapsed="false">
      <c r="A346" s="0" t="str">
        <f aca="false">INDEX(Prioritization!$D:$D,MATCH($B346,Prioritization!$A:$A,0))</f>
        <v>INVALID</v>
      </c>
      <c r="B346" s="0" t="s">
        <v>217</v>
      </c>
      <c r="C346" s="0" t="s">
        <v>812</v>
      </c>
      <c r="D346" s="0" t="s">
        <v>48</v>
      </c>
      <c r="E346" s="0" t="str">
        <f aca="false">$B346&amp;"|"&amp;$C346&amp;"|"&amp;$D346</f>
        <v>Mwanza District [wNqJp8oRIcF]|15-17|Male</v>
      </c>
      <c r="G346" s="10"/>
      <c r="H346" s="10"/>
      <c r="I346" s="88" t="str">
        <f aca="false">IF(SUM($H346)=0,"",0%)</f>
        <v/>
      </c>
      <c r="J346" s="88"/>
      <c r="K346" s="88"/>
      <c r="L346" s="88" t="n">
        <f aca="false">1-IF(NOT(AND($D346="Female",OR($C346="10-14",$C346="15-17",$F346="Y"))),0,$J346)-IF(NOT(OR($C346="05-09",$C346="10-14")),0,$K346)</f>
        <v>1</v>
      </c>
      <c r="M346" s="88" t="n">
        <f aca="false">IF(SUM($L346)=0,"",20%)</f>
        <v>0.2</v>
      </c>
      <c r="N346" s="10" t="str">
        <f aca="false">IF(SUM($H346)=0,"",ROUND($H346*(1+$I346),0))</f>
        <v/>
      </c>
      <c r="O346" s="39" t="str">
        <f aca="false">IF(OR(SUM($N346)=0,SUM($J346)=0,NOT(AND($D346="Female",$F346="Y",OR($C346="10-14",$C346="15-17")))),"",ROUND($N346*$J346,0))</f>
        <v/>
      </c>
      <c r="P346" s="39" t="str">
        <f aca="false">IF(OR(SUM($N346)=0,SUM($K346)=0,NOT(OR($C346="10-14",$C346="05-09"))),"",ROUND($N346*$K346,0))</f>
        <v/>
      </c>
      <c r="Q346" s="39" t="str">
        <f aca="false">IFERROR(1/(1/ROUND($N346*$L346*$M346,0)),"")</f>
        <v/>
      </c>
      <c r="R346" s="39" t="str">
        <f aca="false">IFERROR(1/(1/(ROUND($N346*$L346,0)-$Q346)),"")</f>
        <v/>
      </c>
      <c r="S346" s="88" t="str">
        <f aca="false">IF(OR($C346="18+",$C346="18-20",SUM($Q346,$R346)=0),"",100%)</f>
        <v/>
      </c>
      <c r="T346" s="39" t="str">
        <f aca="false">IF(OR($C346="18+",$C346="18-20",SUM($Q346,$R346)=0),"",ROUND(SUM($Q346,$R346)*$S346,0))</f>
        <v/>
      </c>
    </row>
    <row r="347" customFormat="false" ht="15" hidden="false" customHeight="false" outlineLevel="0" collapsed="false">
      <c r="A347" s="0" t="str">
        <f aca="false">INDEX(Prioritization!$D:$D,MATCH($B347,Prioritization!$A:$A,0))</f>
        <v>INVALID</v>
      </c>
      <c r="B347" s="0" t="s">
        <v>217</v>
      </c>
      <c r="C347" s="0" t="s">
        <v>813</v>
      </c>
      <c r="D347" s="0" t="s">
        <v>30</v>
      </c>
      <c r="E347" s="0" t="str">
        <f aca="false">$B347&amp;"|"&amp;$C347&amp;"|"&amp;$D347</f>
        <v>Mwanza District [wNqJp8oRIcF]|18-20|Female</v>
      </c>
      <c r="G347" s="10"/>
      <c r="H347" s="10"/>
      <c r="I347" s="88" t="str">
        <f aca="false">IF(SUM($H347)=0,"",0%)</f>
        <v/>
      </c>
      <c r="J347" s="88"/>
      <c r="K347" s="88"/>
      <c r="L347" s="88" t="n">
        <f aca="false">1-IF(NOT(AND($D347="Female",OR($C347="10-14",$C347="15-17",$F347="Y"))),0,$J347)-IF(NOT(OR($C347="05-09",$C347="10-14")),0,$K347)</f>
        <v>1</v>
      </c>
      <c r="M347" s="88" t="n">
        <f aca="false">IF(SUM($L347)=0,"",20%)</f>
        <v>0.2</v>
      </c>
      <c r="N347" s="10" t="str">
        <f aca="false">IF(SUM($H347)=0,"",ROUND($H347*(1+$I347),0))</f>
        <v/>
      </c>
      <c r="O347" s="39" t="str">
        <f aca="false">IF(OR(SUM($N347)=0,SUM($J347)=0,NOT(AND($D347="Female",$F347="Y",OR($C347="10-14",$C347="15-17")))),"",ROUND($N347*$J347,0))</f>
        <v/>
      </c>
      <c r="P347" s="39" t="str">
        <f aca="false">IF(OR(SUM($N347)=0,SUM($K347)=0,NOT(OR($C347="10-14",$C347="05-09"))),"",ROUND($N347*$K347,0))</f>
        <v/>
      </c>
      <c r="Q347" s="39" t="str">
        <f aca="false">IFERROR(1/(1/ROUND($N347*$L347*$M347,0)),"")</f>
        <v/>
      </c>
      <c r="R347" s="39" t="str">
        <f aca="false">IFERROR(1/(1/(ROUND($N347*$L347,0)-$Q347)),"")</f>
        <v/>
      </c>
      <c r="S347" s="88" t="str">
        <f aca="false">IF(OR($C347="18+",$C347="18-20",SUM($Q347,$R347)=0),"",100%)</f>
        <v/>
      </c>
      <c r="T347" s="39" t="str">
        <f aca="false">IF(OR($C347="18+",$C347="18-20",SUM($Q347,$R347)=0),"",ROUND(SUM($Q347,$R347)*$S347,0))</f>
        <v/>
      </c>
    </row>
    <row r="348" customFormat="false" ht="15" hidden="false" customHeight="false" outlineLevel="0" collapsed="false">
      <c r="A348" s="0" t="str">
        <f aca="false">INDEX(Prioritization!$D:$D,MATCH($B348,Prioritization!$A:$A,0))</f>
        <v>INVALID</v>
      </c>
      <c r="B348" s="0" t="s">
        <v>217</v>
      </c>
      <c r="C348" s="0" t="s">
        <v>813</v>
      </c>
      <c r="D348" s="0" t="s">
        <v>48</v>
      </c>
      <c r="E348" s="0" t="str">
        <f aca="false">$B348&amp;"|"&amp;$C348&amp;"|"&amp;$D348</f>
        <v>Mwanza District [wNqJp8oRIcF]|18-20|Male</v>
      </c>
      <c r="G348" s="10"/>
      <c r="H348" s="10"/>
      <c r="I348" s="88" t="str">
        <f aca="false">IF(SUM($H348)=0,"",0%)</f>
        <v/>
      </c>
      <c r="J348" s="88"/>
      <c r="K348" s="88"/>
      <c r="L348" s="88" t="n">
        <f aca="false">1-IF(NOT(AND($D348="Female",OR($C348="10-14",$C348="15-17",$F348="Y"))),0,$J348)-IF(NOT(OR($C348="05-09",$C348="10-14")),0,$K348)</f>
        <v>1</v>
      </c>
      <c r="M348" s="88" t="n">
        <f aca="false">IF(SUM($L348)=0,"",20%)</f>
        <v>0.2</v>
      </c>
      <c r="N348" s="10" t="str">
        <f aca="false">IF(SUM($H348)=0,"",ROUND($H348*(1+$I348),0))</f>
        <v/>
      </c>
      <c r="O348" s="39" t="str">
        <f aca="false">IF(OR(SUM($N348)=0,SUM($J348)=0,NOT(AND($D348="Female",$F348="Y",OR($C348="10-14",$C348="15-17")))),"",ROUND($N348*$J348,0))</f>
        <v/>
      </c>
      <c r="P348" s="39" t="str">
        <f aca="false">IF(OR(SUM($N348)=0,SUM($K348)=0,NOT(OR($C348="10-14",$C348="05-09"))),"",ROUND($N348*$K348,0))</f>
        <v/>
      </c>
      <c r="Q348" s="39" t="str">
        <f aca="false">IFERROR(1/(1/ROUND($N348*$L348*$M348,0)),"")</f>
        <v/>
      </c>
      <c r="R348" s="39" t="str">
        <f aca="false">IFERROR(1/(1/(ROUND($N348*$L348,0)-$Q348)),"")</f>
        <v/>
      </c>
      <c r="S348" s="88" t="str">
        <f aca="false">IF(OR($C348="18+",$C348="18-20",SUM($Q348,$R348)=0),"",100%)</f>
        <v/>
      </c>
      <c r="T348" s="39" t="str">
        <f aca="false">IF(OR($C348="18+",$C348="18-20",SUM($Q348,$R348)=0),"",ROUND(SUM($Q348,$R348)*$S348,0))</f>
        <v/>
      </c>
    </row>
    <row r="349" customFormat="false" ht="15" hidden="false" customHeight="false" outlineLevel="0" collapsed="false">
      <c r="A349" s="0" t="str">
        <f aca="false">INDEX(Prioritization!$D:$D,MATCH($B349,Prioritization!$A:$A,0))</f>
        <v>INVALID</v>
      </c>
      <c r="B349" s="0" t="s">
        <v>217</v>
      </c>
      <c r="C349" s="0" t="s">
        <v>814</v>
      </c>
      <c r="D349" s="0" t="s">
        <v>30</v>
      </c>
      <c r="E349" s="0" t="str">
        <f aca="false">$B349&amp;"|"&amp;$C349&amp;"|"&amp;$D349</f>
        <v>Mwanza District [wNqJp8oRIcF]|18+|Female</v>
      </c>
      <c r="G349" s="10"/>
      <c r="H349" s="10"/>
      <c r="I349" s="88" t="str">
        <f aca="false">IF(SUM($H349)=0,"",0%)</f>
        <v/>
      </c>
      <c r="J349" s="88"/>
      <c r="K349" s="88"/>
      <c r="L349" s="88" t="n">
        <f aca="false">1-IF(NOT(AND($D349="Female",OR($C349="10-14",$C349="15-17",$F349="Y"))),0,$J349)-IF(NOT(OR($C349="05-09",$C349="10-14")),0,$K349)</f>
        <v>1</v>
      </c>
      <c r="M349" s="88" t="n">
        <f aca="false">IF(SUM($L349)=0,"",20%)</f>
        <v>0.2</v>
      </c>
      <c r="N349" s="10" t="str">
        <f aca="false">IF(SUM($H349)=0,"",ROUND($H349*(1+$I349),0))</f>
        <v/>
      </c>
      <c r="O349" s="39" t="str">
        <f aca="false">IF(OR(SUM($N349)=0,SUM($J349)=0,NOT(AND($D349="Female",$F349="Y",OR($C349="10-14",$C349="15-17")))),"",ROUND($N349*$J349,0))</f>
        <v/>
      </c>
      <c r="P349" s="39" t="str">
        <f aca="false">IF(OR(SUM($N349)=0,SUM($K349)=0,NOT(OR($C349="10-14",$C349="05-09"))),"",ROUND($N349*$K349,0))</f>
        <v/>
      </c>
      <c r="Q349" s="39" t="str">
        <f aca="false">IFERROR(1/(1/ROUND($N349*$L349*$M349,0)),"")</f>
        <v/>
      </c>
      <c r="R349" s="39" t="str">
        <f aca="false">IFERROR(1/(1/(ROUND($N349*$L349,0)-$Q349)),"")</f>
        <v/>
      </c>
      <c r="S349" s="88" t="str">
        <f aca="false">IF(OR($C349="18+",$C349="18-20",SUM($Q349,$R349)=0),"",100%)</f>
        <v/>
      </c>
      <c r="T349" s="39" t="str">
        <f aca="false">IF(OR($C349="18+",$C349="18-20",SUM($Q349,$R349)=0),"",ROUND(SUM($Q349,$R349)*$S349,0))</f>
        <v/>
      </c>
    </row>
    <row r="350" customFormat="false" ht="15" hidden="false" customHeight="false" outlineLevel="0" collapsed="false">
      <c r="A350" s="0" t="str">
        <f aca="false">INDEX(Prioritization!$D:$D,MATCH($B350,Prioritization!$A:$A,0))</f>
        <v>INVALID</v>
      </c>
      <c r="B350" s="0" t="s">
        <v>217</v>
      </c>
      <c r="C350" s="0" t="s">
        <v>814</v>
      </c>
      <c r="D350" s="0" t="s">
        <v>48</v>
      </c>
      <c r="E350" s="0" t="str">
        <f aca="false">$B350&amp;"|"&amp;$C350&amp;"|"&amp;$D350</f>
        <v>Mwanza District [wNqJp8oRIcF]|18+|Male</v>
      </c>
      <c r="G350" s="10"/>
      <c r="H350" s="10"/>
      <c r="I350" s="88" t="str">
        <f aca="false">IF(SUM($H350)=0,"",0%)</f>
        <v/>
      </c>
      <c r="J350" s="88"/>
      <c r="K350" s="88"/>
      <c r="L350" s="88" t="n">
        <f aca="false">1-IF(NOT(AND($D350="Female",OR($C350="10-14",$C350="15-17",$F350="Y"))),0,$J350)-IF(NOT(OR($C350="05-09",$C350="10-14")),0,$K350)</f>
        <v>1</v>
      </c>
      <c r="M350" s="88" t="n">
        <f aca="false">IF(SUM($L350)=0,"",20%)</f>
        <v>0.2</v>
      </c>
      <c r="N350" s="10" t="str">
        <f aca="false">IF(SUM($H350)=0,"",ROUND($H350*(1+$I350),0))</f>
        <v/>
      </c>
      <c r="O350" s="39" t="str">
        <f aca="false">IF(OR(SUM($N350)=0,SUM($J350)=0,NOT(AND($D350="Female",$F350="Y",OR($C350="10-14",$C350="15-17")))),"",ROUND($N350*$J350,0))</f>
        <v/>
      </c>
      <c r="P350" s="39" t="str">
        <f aca="false">IF(OR(SUM($N350)=0,SUM($K350)=0,NOT(OR($C350="10-14",$C350="05-09"))),"",ROUND($N350*$K350,0))</f>
        <v/>
      </c>
      <c r="Q350" s="39" t="str">
        <f aca="false">IFERROR(1/(1/ROUND($N350*$L350*$M350,0)),"")</f>
        <v/>
      </c>
      <c r="R350" s="39" t="str">
        <f aca="false">IFERROR(1/(1/(ROUND($N350*$L350,0)-$Q350)),"")</f>
        <v/>
      </c>
      <c r="S350" s="88" t="str">
        <f aca="false">IF(OR($C350="18+",$C350="18-20",SUM($Q350,$R350)=0),"",100%)</f>
        <v/>
      </c>
      <c r="T350" s="39" t="str">
        <f aca="false">IF(OR($C350="18+",$C350="18-20",SUM($Q350,$R350)=0),"",ROUND(SUM($Q350,$R350)*$S350,0))</f>
        <v/>
      </c>
    </row>
    <row r="351" customFormat="false" ht="15" hidden="false" customHeight="false" outlineLevel="0" collapsed="false">
      <c r="A351" s="0" t="str">
        <f aca="false">INDEX(Prioritization!$D:$D,MATCH($B351,Prioritization!$A:$A,0))</f>
        <v>INVALID</v>
      </c>
      <c r="B351" s="0" t="s">
        <v>218</v>
      </c>
      <c r="C351" s="0" t="s">
        <v>316</v>
      </c>
      <c r="D351" s="0" t="s">
        <v>30</v>
      </c>
      <c r="E351" s="0" t="str">
        <f aca="false">$B351&amp;"|"&amp;$C351&amp;"|"&amp;$D351</f>
        <v>Neno District [gwVYinjBAe9]|&lt;01|Female</v>
      </c>
      <c r="G351" s="10"/>
      <c r="H351" s="10"/>
      <c r="I351" s="88" t="str">
        <f aca="false">IF(SUM($H351)=0,"",0%)</f>
        <v/>
      </c>
      <c r="J351" s="88"/>
      <c r="K351" s="88"/>
      <c r="L351" s="88" t="n">
        <f aca="false">1-IF(NOT(AND($D351="Female",OR($C351="10-14",$C351="15-17",$F351="Y"))),0,$J351)-IF(NOT(OR($C351="05-09",$C351="10-14")),0,$K351)</f>
        <v>1</v>
      </c>
      <c r="M351" s="88" t="n">
        <f aca="false">IF(SUM($L351)=0,"",20%)</f>
        <v>0.2</v>
      </c>
      <c r="N351" s="10" t="str">
        <f aca="false">IF(SUM($H351)=0,"",ROUND($H351*(1+$I351),0))</f>
        <v/>
      </c>
      <c r="O351" s="39" t="str">
        <f aca="false">IF(OR(SUM($N351)=0,SUM($J351)=0,NOT(AND($D351="Female",$F351="Y",OR($C351="10-14",$C351="15-17")))),"",ROUND($N351*$J351,0))</f>
        <v/>
      </c>
      <c r="P351" s="39" t="str">
        <f aca="false">IF(OR(SUM($N351)=0,SUM($K351)=0,NOT(OR($C351="10-14",$C351="05-09"))),"",ROUND($N351*$K351,0))</f>
        <v/>
      </c>
      <c r="Q351" s="39" t="str">
        <f aca="false">IFERROR(1/(1/ROUND($N351*$L351*$M351,0)),"")</f>
        <v/>
      </c>
      <c r="R351" s="39" t="str">
        <f aca="false">IFERROR(1/(1/(ROUND($N351*$L351,0)-$Q351)),"")</f>
        <v/>
      </c>
      <c r="S351" s="88" t="str">
        <f aca="false">IF(OR($C351="18+",$C351="18-20",SUM($Q351,$R351)=0),"",100%)</f>
        <v/>
      </c>
      <c r="T351" s="39" t="str">
        <f aca="false">IF(OR($C351="18+",$C351="18-20",SUM($Q351,$R351)=0),"",ROUND(SUM($Q351,$R351)*$S351,0))</f>
        <v/>
      </c>
    </row>
    <row r="352" customFormat="false" ht="15" hidden="false" customHeight="false" outlineLevel="0" collapsed="false">
      <c r="A352" s="0" t="str">
        <f aca="false">INDEX(Prioritization!$D:$D,MATCH($B352,Prioritization!$A:$A,0))</f>
        <v>INVALID</v>
      </c>
      <c r="B352" s="0" t="s">
        <v>218</v>
      </c>
      <c r="C352" s="0" t="s">
        <v>316</v>
      </c>
      <c r="D352" s="0" t="s">
        <v>48</v>
      </c>
      <c r="E352" s="0" t="str">
        <f aca="false">$B352&amp;"|"&amp;$C352&amp;"|"&amp;$D352</f>
        <v>Neno District [gwVYinjBAe9]|&lt;01|Male</v>
      </c>
      <c r="G352" s="10"/>
      <c r="H352" s="10"/>
      <c r="I352" s="88" t="str">
        <f aca="false">IF(SUM($H352)=0,"",0%)</f>
        <v/>
      </c>
      <c r="J352" s="88"/>
      <c r="K352" s="88"/>
      <c r="L352" s="88" t="n">
        <f aca="false">1-IF(NOT(AND($D352="Female",OR($C352="10-14",$C352="15-17",$F352="Y"))),0,$J352)-IF(NOT(OR($C352="05-09",$C352="10-14")),0,$K352)</f>
        <v>1</v>
      </c>
      <c r="M352" s="88" t="n">
        <f aca="false">IF(SUM($L352)=0,"",20%)</f>
        <v>0.2</v>
      </c>
      <c r="N352" s="10" t="str">
        <f aca="false">IF(SUM($H352)=0,"",ROUND($H352*(1+$I352),0))</f>
        <v/>
      </c>
      <c r="O352" s="39" t="str">
        <f aca="false">IF(OR(SUM($N352)=0,SUM($J352)=0,NOT(AND($D352="Female",$F352="Y",OR($C352="10-14",$C352="15-17")))),"",ROUND($N352*$J352,0))</f>
        <v/>
      </c>
      <c r="P352" s="39" t="str">
        <f aca="false">IF(OR(SUM($N352)=0,SUM($K352)=0,NOT(OR($C352="10-14",$C352="05-09"))),"",ROUND($N352*$K352,0))</f>
        <v/>
      </c>
      <c r="Q352" s="39" t="str">
        <f aca="false">IFERROR(1/(1/ROUND($N352*$L352*$M352,0)),"")</f>
        <v/>
      </c>
      <c r="R352" s="39" t="str">
        <f aca="false">IFERROR(1/(1/(ROUND($N352*$L352,0)-$Q352)),"")</f>
        <v/>
      </c>
      <c r="S352" s="88" t="str">
        <f aca="false">IF(OR($C352="18+",$C352="18-20",SUM($Q352,$R352)=0),"",100%)</f>
        <v/>
      </c>
      <c r="T352" s="39" t="str">
        <f aca="false">IF(OR($C352="18+",$C352="18-20",SUM($Q352,$R352)=0),"",ROUND(SUM($Q352,$R352)*$S352,0))</f>
        <v/>
      </c>
    </row>
    <row r="353" customFormat="false" ht="15" hidden="false" customHeight="false" outlineLevel="0" collapsed="false">
      <c r="A353" s="0" t="str">
        <f aca="false">INDEX(Prioritization!$D:$D,MATCH($B353,Prioritization!$A:$A,0))</f>
        <v>INVALID</v>
      </c>
      <c r="B353" s="0" t="s">
        <v>218</v>
      </c>
      <c r="C353" s="0" t="s">
        <v>810</v>
      </c>
      <c r="D353" s="0" t="s">
        <v>30</v>
      </c>
      <c r="E353" s="0" t="str">
        <f aca="false">$B353&amp;"|"&amp;$C353&amp;"|"&amp;$D353</f>
        <v>Neno District [gwVYinjBAe9]|01-04|Female</v>
      </c>
      <c r="G353" s="10"/>
      <c r="H353" s="10"/>
      <c r="I353" s="88" t="str">
        <f aca="false">IF(SUM($H353)=0,"",0%)</f>
        <v/>
      </c>
      <c r="J353" s="88"/>
      <c r="K353" s="88"/>
      <c r="L353" s="88" t="n">
        <f aca="false">1-IF(NOT(AND($D353="Female",OR($C353="10-14",$C353="15-17",$F353="Y"))),0,$J353)-IF(NOT(OR($C353="05-09",$C353="10-14")),0,$K353)</f>
        <v>1</v>
      </c>
      <c r="M353" s="88" t="n">
        <f aca="false">IF(SUM($L353)=0,"",20%)</f>
        <v>0.2</v>
      </c>
      <c r="N353" s="10" t="str">
        <f aca="false">IF(SUM($H353)=0,"",ROUND($H353*(1+$I353),0))</f>
        <v/>
      </c>
      <c r="O353" s="39" t="str">
        <f aca="false">IF(OR(SUM($N353)=0,SUM($J353)=0,NOT(AND($D353="Female",$F353="Y",OR($C353="10-14",$C353="15-17")))),"",ROUND($N353*$J353,0))</f>
        <v/>
      </c>
      <c r="P353" s="39" t="str">
        <f aca="false">IF(OR(SUM($N353)=0,SUM($K353)=0,NOT(OR($C353="10-14",$C353="05-09"))),"",ROUND($N353*$K353,0))</f>
        <v/>
      </c>
      <c r="Q353" s="39" t="str">
        <f aca="false">IFERROR(1/(1/ROUND($N353*$L353*$M353,0)),"")</f>
        <v/>
      </c>
      <c r="R353" s="39" t="str">
        <f aca="false">IFERROR(1/(1/(ROUND($N353*$L353,0)-$Q353)),"")</f>
        <v/>
      </c>
      <c r="S353" s="88" t="str">
        <f aca="false">IF(OR($C353="18+",$C353="18-20",SUM($Q353,$R353)=0),"",100%)</f>
        <v/>
      </c>
      <c r="T353" s="39" t="str">
        <f aca="false">IF(OR($C353="18+",$C353="18-20",SUM($Q353,$R353)=0),"",ROUND(SUM($Q353,$R353)*$S353,0))</f>
        <v/>
      </c>
    </row>
    <row r="354" customFormat="false" ht="15" hidden="false" customHeight="false" outlineLevel="0" collapsed="false">
      <c r="A354" s="0" t="str">
        <f aca="false">INDEX(Prioritization!$D:$D,MATCH($B354,Prioritization!$A:$A,0))</f>
        <v>INVALID</v>
      </c>
      <c r="B354" s="0" t="s">
        <v>218</v>
      </c>
      <c r="C354" s="0" t="s">
        <v>810</v>
      </c>
      <c r="D354" s="0" t="s">
        <v>48</v>
      </c>
      <c r="E354" s="0" t="str">
        <f aca="false">$B354&amp;"|"&amp;$C354&amp;"|"&amp;$D354</f>
        <v>Neno District [gwVYinjBAe9]|01-04|Male</v>
      </c>
      <c r="G354" s="10"/>
      <c r="H354" s="10"/>
      <c r="I354" s="88" t="str">
        <f aca="false">IF(SUM($H354)=0,"",0%)</f>
        <v/>
      </c>
      <c r="J354" s="88"/>
      <c r="K354" s="88"/>
      <c r="L354" s="88" t="n">
        <f aca="false">1-IF(NOT(AND($D354="Female",OR($C354="10-14",$C354="15-17",$F354="Y"))),0,$J354)-IF(NOT(OR($C354="05-09",$C354="10-14")),0,$K354)</f>
        <v>1</v>
      </c>
      <c r="M354" s="88" t="n">
        <f aca="false">IF(SUM($L354)=0,"",20%)</f>
        <v>0.2</v>
      </c>
      <c r="N354" s="10" t="str">
        <f aca="false">IF(SUM($H354)=0,"",ROUND($H354*(1+$I354),0))</f>
        <v/>
      </c>
      <c r="O354" s="39" t="str">
        <f aca="false">IF(OR(SUM($N354)=0,SUM($J354)=0,NOT(AND($D354="Female",$F354="Y",OR($C354="10-14",$C354="15-17")))),"",ROUND($N354*$J354,0))</f>
        <v/>
      </c>
      <c r="P354" s="39" t="str">
        <f aca="false">IF(OR(SUM($N354)=0,SUM($K354)=0,NOT(OR($C354="10-14",$C354="05-09"))),"",ROUND($N354*$K354,0))</f>
        <v/>
      </c>
      <c r="Q354" s="39" t="str">
        <f aca="false">IFERROR(1/(1/ROUND($N354*$L354*$M354,0)),"")</f>
        <v/>
      </c>
      <c r="R354" s="39" t="str">
        <f aca="false">IFERROR(1/(1/(ROUND($N354*$L354,0)-$Q354)),"")</f>
        <v/>
      </c>
      <c r="S354" s="88" t="str">
        <f aca="false">IF(OR($C354="18+",$C354="18-20",SUM($Q354,$R354)=0),"",100%)</f>
        <v/>
      </c>
      <c r="T354" s="39" t="str">
        <f aca="false">IF(OR($C354="18+",$C354="18-20",SUM($Q354,$R354)=0),"",ROUND(SUM($Q354,$R354)*$S354,0))</f>
        <v/>
      </c>
    </row>
    <row r="355" customFormat="false" ht="15" hidden="false" customHeight="false" outlineLevel="0" collapsed="false">
      <c r="A355" s="0" t="str">
        <f aca="false">INDEX(Prioritization!$D:$D,MATCH($B355,Prioritization!$A:$A,0))</f>
        <v>INVALID</v>
      </c>
      <c r="B355" s="0" t="s">
        <v>218</v>
      </c>
      <c r="C355" s="0" t="s">
        <v>811</v>
      </c>
      <c r="D355" s="0" t="s">
        <v>30</v>
      </c>
      <c r="E355" s="0" t="str">
        <f aca="false">$B355&amp;"|"&amp;$C355&amp;"|"&amp;$D355</f>
        <v>Neno District [gwVYinjBAe9]|05-09|Female</v>
      </c>
      <c r="G355" s="10"/>
      <c r="H355" s="10"/>
      <c r="I355" s="88" t="str">
        <f aca="false">IF(SUM($H355)=0,"",0%)</f>
        <v/>
      </c>
      <c r="J355" s="88"/>
      <c r="K355" s="88"/>
      <c r="L355" s="88" t="n">
        <f aca="false">1-IF(NOT(AND($D355="Female",OR($C355="10-14",$C355="15-17",$F355="Y"))),0,$J355)-IF(NOT(OR($C355="05-09",$C355="10-14")),0,$K355)</f>
        <v>1</v>
      </c>
      <c r="M355" s="88" t="n">
        <f aca="false">IF(SUM($L355)=0,"",20%)</f>
        <v>0.2</v>
      </c>
      <c r="N355" s="10" t="str">
        <f aca="false">IF(SUM($H355)=0,"",ROUND($H355*(1+$I355),0))</f>
        <v/>
      </c>
      <c r="O355" s="39" t="str">
        <f aca="false">IF(OR(SUM($N355)=0,SUM($J355)=0,NOT(AND($D355="Female",$F355="Y",OR($C355="10-14",$C355="15-17")))),"",ROUND($N355*$J355,0))</f>
        <v/>
      </c>
      <c r="P355" s="39" t="str">
        <f aca="false">IF(OR(SUM($N355)=0,SUM($K355)=0,NOT(OR($C355="10-14",$C355="05-09"))),"",ROUND($N355*$K355,0))</f>
        <v/>
      </c>
      <c r="Q355" s="39" t="str">
        <f aca="false">IFERROR(1/(1/ROUND($N355*$L355*$M355,0)),"")</f>
        <v/>
      </c>
      <c r="R355" s="39" t="str">
        <f aca="false">IFERROR(1/(1/(ROUND($N355*$L355,0)-$Q355)),"")</f>
        <v/>
      </c>
      <c r="S355" s="88" t="str">
        <f aca="false">IF(OR($C355="18+",$C355="18-20",SUM($Q355,$R355)=0),"",100%)</f>
        <v/>
      </c>
      <c r="T355" s="39" t="str">
        <f aca="false">IF(OR($C355="18+",$C355="18-20",SUM($Q355,$R355)=0),"",ROUND(SUM($Q355,$R355)*$S355,0))</f>
        <v/>
      </c>
    </row>
    <row r="356" customFormat="false" ht="15" hidden="false" customHeight="false" outlineLevel="0" collapsed="false">
      <c r="A356" s="0" t="str">
        <f aca="false">INDEX(Prioritization!$D:$D,MATCH($B356,Prioritization!$A:$A,0))</f>
        <v>INVALID</v>
      </c>
      <c r="B356" s="0" t="s">
        <v>218</v>
      </c>
      <c r="C356" s="0" t="s">
        <v>811</v>
      </c>
      <c r="D356" s="0" t="s">
        <v>48</v>
      </c>
      <c r="E356" s="0" t="str">
        <f aca="false">$B356&amp;"|"&amp;$C356&amp;"|"&amp;$D356</f>
        <v>Neno District [gwVYinjBAe9]|05-09|Male</v>
      </c>
      <c r="G356" s="10"/>
      <c r="H356" s="10"/>
      <c r="I356" s="88" t="str">
        <f aca="false">IF(SUM($H356)=0,"",0%)</f>
        <v/>
      </c>
      <c r="J356" s="88"/>
      <c r="K356" s="88"/>
      <c r="L356" s="88" t="n">
        <f aca="false">1-IF(NOT(AND($D356="Female",OR($C356="10-14",$C356="15-17",$F356="Y"))),0,$J356)-IF(NOT(OR($C356="05-09",$C356="10-14")),0,$K356)</f>
        <v>1</v>
      </c>
      <c r="M356" s="88" t="n">
        <f aca="false">IF(SUM($L356)=0,"",20%)</f>
        <v>0.2</v>
      </c>
      <c r="N356" s="10" t="str">
        <f aca="false">IF(SUM($H356)=0,"",ROUND($H356*(1+$I356),0))</f>
        <v/>
      </c>
      <c r="O356" s="39" t="str">
        <f aca="false">IF(OR(SUM($N356)=0,SUM($J356)=0,NOT(AND($D356="Female",$F356="Y",OR($C356="10-14",$C356="15-17")))),"",ROUND($N356*$J356,0))</f>
        <v/>
      </c>
      <c r="P356" s="39" t="str">
        <f aca="false">IF(OR(SUM($N356)=0,SUM($K356)=0,NOT(OR($C356="10-14",$C356="05-09"))),"",ROUND($N356*$K356,0))</f>
        <v/>
      </c>
      <c r="Q356" s="39" t="str">
        <f aca="false">IFERROR(1/(1/ROUND($N356*$L356*$M356,0)),"")</f>
        <v/>
      </c>
      <c r="R356" s="39" t="str">
        <f aca="false">IFERROR(1/(1/(ROUND($N356*$L356,0)-$Q356)),"")</f>
        <v/>
      </c>
      <c r="S356" s="88" t="str">
        <f aca="false">IF(OR($C356="18+",$C356="18-20",SUM($Q356,$R356)=0),"",100%)</f>
        <v/>
      </c>
      <c r="T356" s="39" t="str">
        <f aca="false">IF(OR($C356="18+",$C356="18-20",SUM($Q356,$R356)=0),"",ROUND(SUM($Q356,$R356)*$S356,0))</f>
        <v/>
      </c>
    </row>
    <row r="357" customFormat="false" ht="15" hidden="false" customHeight="false" outlineLevel="0" collapsed="false">
      <c r="A357" s="0" t="str">
        <f aca="false">INDEX(Prioritization!$D:$D,MATCH($B357,Prioritization!$A:$A,0))</f>
        <v>INVALID</v>
      </c>
      <c r="B357" s="0" t="s">
        <v>218</v>
      </c>
      <c r="C357" s="0" t="s">
        <v>364</v>
      </c>
      <c r="D357" s="0" t="s">
        <v>30</v>
      </c>
      <c r="E357" s="0" t="str">
        <f aca="false">$B357&amp;"|"&amp;$C357&amp;"|"&amp;$D357</f>
        <v>Neno District [gwVYinjBAe9]|10-14|Female</v>
      </c>
      <c r="G357" s="10"/>
      <c r="H357" s="10" t="n">
        <v>5</v>
      </c>
      <c r="I357" s="88" t="n">
        <f aca="false">IF(SUM($H357)=0,"",0%)</f>
        <v>0</v>
      </c>
      <c r="J357" s="88"/>
      <c r="K357" s="88"/>
      <c r="L357" s="88" t="n">
        <f aca="false">1-IF(NOT(AND($D357="Female",OR($C357="10-14",$C357="15-17",$F357="Y"))),0,$J357)-IF(NOT(OR($C357="05-09",$C357="10-14")),0,$K357)</f>
        <v>1</v>
      </c>
      <c r="M357" s="88" t="n">
        <f aca="false">IF(SUM($L357)=0,"",20%)</f>
        <v>0.2</v>
      </c>
      <c r="N357" s="10" t="n">
        <f aca="false">IF(SUM($H357)=0,"",ROUND($H357*(1+$I357),0))</f>
        <v>5</v>
      </c>
      <c r="O357" s="39" t="str">
        <f aca="false">IF(OR(SUM($N357)=0,SUM($J357)=0,NOT(AND($D357="Female",$F357="Y",OR($C357="10-14",$C357="15-17")))),"",ROUND($N357*$J357,0))</f>
        <v/>
      </c>
      <c r="P357" s="39" t="str">
        <f aca="false">IF(OR(SUM($N357)=0,SUM($K357)=0,NOT(OR($C357="10-14",$C357="05-09"))),"",ROUND($N357*$K357,0))</f>
        <v/>
      </c>
      <c r="Q357" s="39" t="n">
        <f aca="false">IFERROR(1/(1/ROUND($N357*$L357*$M357,0)),"")</f>
        <v>1</v>
      </c>
      <c r="R357" s="39" t="n">
        <f aca="false">IFERROR(1/(1/(ROUND($N357*$L357,0)-$Q357)),"")</f>
        <v>4</v>
      </c>
      <c r="S357" s="88" t="n">
        <f aca="false">IF(OR($C357="18+",$C357="18-20",SUM($Q357,$R357)=0),"",100%)</f>
        <v>1</v>
      </c>
      <c r="T357" s="39" t="n">
        <f aca="false">IF(OR($C357="18+",$C357="18-20",SUM($Q357,$R357)=0),"",ROUND(SUM($Q357,$R357)*$S357,0))</f>
        <v>5</v>
      </c>
    </row>
    <row r="358" customFormat="false" ht="15" hidden="false" customHeight="false" outlineLevel="0" collapsed="false">
      <c r="A358" s="0" t="str">
        <f aca="false">INDEX(Prioritization!$D:$D,MATCH($B358,Prioritization!$A:$A,0))</f>
        <v>INVALID</v>
      </c>
      <c r="B358" s="0" t="s">
        <v>218</v>
      </c>
      <c r="C358" s="0" t="s">
        <v>364</v>
      </c>
      <c r="D358" s="0" t="s">
        <v>48</v>
      </c>
      <c r="E358" s="0" t="str">
        <f aca="false">$B358&amp;"|"&amp;$C358&amp;"|"&amp;$D358</f>
        <v>Neno District [gwVYinjBAe9]|10-14|Male</v>
      </c>
      <c r="G358" s="10"/>
      <c r="H358" s="10" t="n">
        <v>3</v>
      </c>
      <c r="I358" s="88" t="n">
        <f aca="false">IF(SUM($H358)=0,"",0%)</f>
        <v>0</v>
      </c>
      <c r="J358" s="88"/>
      <c r="K358" s="88"/>
      <c r="L358" s="88" t="n">
        <f aca="false">1-IF(NOT(AND($D358="Female",OR($C358="10-14",$C358="15-17",$F358="Y"))),0,$J358)-IF(NOT(OR($C358="05-09",$C358="10-14")),0,$K358)</f>
        <v>1</v>
      </c>
      <c r="M358" s="88" t="n">
        <f aca="false">IF(SUM($L358)=0,"",20%)</f>
        <v>0.2</v>
      </c>
      <c r="N358" s="10" t="n">
        <f aca="false">IF(SUM($H358)=0,"",ROUND($H358*(1+$I358),0))</f>
        <v>3</v>
      </c>
      <c r="O358" s="39" t="str">
        <f aca="false">IF(OR(SUM($N358)=0,SUM($J358)=0,NOT(AND($D358="Female",$F358="Y",OR($C358="10-14",$C358="15-17")))),"",ROUND($N358*$J358,0))</f>
        <v/>
      </c>
      <c r="P358" s="39" t="str">
        <f aca="false">IF(OR(SUM($N358)=0,SUM($K358)=0,NOT(OR($C358="10-14",$C358="05-09"))),"",ROUND($N358*$K358,0))</f>
        <v/>
      </c>
      <c r="Q358" s="39" t="n">
        <f aca="false">IFERROR(1/(1/ROUND($N358*$L358*$M358,0)),"")</f>
        <v>1</v>
      </c>
      <c r="R358" s="39" t="n">
        <f aca="false">IFERROR(1/(1/(ROUND($N358*$L358,0)-$Q358)),"")</f>
        <v>2</v>
      </c>
      <c r="S358" s="88" t="n">
        <f aca="false">IF(OR($C358="18+",$C358="18-20",SUM($Q358,$R358)=0),"",100%)</f>
        <v>1</v>
      </c>
      <c r="T358" s="39" t="n">
        <f aca="false">IF(OR($C358="18+",$C358="18-20",SUM($Q358,$R358)=0),"",ROUND(SUM($Q358,$R358)*$S358,0))</f>
        <v>3</v>
      </c>
    </row>
    <row r="359" customFormat="false" ht="15" hidden="false" customHeight="false" outlineLevel="0" collapsed="false">
      <c r="A359" s="0" t="str">
        <f aca="false">INDEX(Prioritization!$D:$D,MATCH($B359,Prioritization!$A:$A,0))</f>
        <v>INVALID</v>
      </c>
      <c r="B359" s="0" t="s">
        <v>218</v>
      </c>
      <c r="C359" s="0" t="s">
        <v>812</v>
      </c>
      <c r="D359" s="0" t="s">
        <v>30</v>
      </c>
      <c r="E359" s="0" t="str">
        <f aca="false">$B359&amp;"|"&amp;$C359&amp;"|"&amp;$D359</f>
        <v>Neno District [gwVYinjBAe9]|15-17|Female</v>
      </c>
      <c r="G359" s="10"/>
      <c r="H359" s="10"/>
      <c r="I359" s="88" t="str">
        <f aca="false">IF(SUM($H359)=0,"",0%)</f>
        <v/>
      </c>
      <c r="J359" s="88"/>
      <c r="K359" s="88"/>
      <c r="L359" s="88" t="n">
        <f aca="false">1-IF(NOT(AND($D359="Female",OR($C359="10-14",$C359="15-17",$F359="Y"))),0,$J359)-IF(NOT(OR($C359="05-09",$C359="10-14")),0,$K359)</f>
        <v>1</v>
      </c>
      <c r="M359" s="88" t="n">
        <f aca="false">IF(SUM($L359)=0,"",20%)</f>
        <v>0.2</v>
      </c>
      <c r="N359" s="10" t="str">
        <f aca="false">IF(SUM($H359)=0,"",ROUND($H359*(1+$I359),0))</f>
        <v/>
      </c>
      <c r="O359" s="39" t="str">
        <f aca="false">IF(OR(SUM($N359)=0,SUM($J359)=0,NOT(AND($D359="Female",$F359="Y",OR($C359="10-14",$C359="15-17")))),"",ROUND($N359*$J359,0))</f>
        <v/>
      </c>
      <c r="P359" s="39" t="str">
        <f aca="false">IF(OR(SUM($N359)=0,SUM($K359)=0,NOT(OR($C359="10-14",$C359="05-09"))),"",ROUND($N359*$K359,0))</f>
        <v/>
      </c>
      <c r="Q359" s="39" t="str">
        <f aca="false">IFERROR(1/(1/ROUND($N359*$L359*$M359,0)),"")</f>
        <v/>
      </c>
      <c r="R359" s="39" t="str">
        <f aca="false">IFERROR(1/(1/(ROUND($N359*$L359,0)-$Q359)),"")</f>
        <v/>
      </c>
      <c r="S359" s="88" t="str">
        <f aca="false">IF(OR($C359="18+",$C359="18-20",SUM($Q359,$R359)=0),"",100%)</f>
        <v/>
      </c>
      <c r="T359" s="39" t="str">
        <f aca="false">IF(OR($C359="18+",$C359="18-20",SUM($Q359,$R359)=0),"",ROUND(SUM($Q359,$R359)*$S359,0))</f>
        <v/>
      </c>
    </row>
    <row r="360" customFormat="false" ht="15" hidden="false" customHeight="false" outlineLevel="0" collapsed="false">
      <c r="A360" s="0" t="str">
        <f aca="false">INDEX(Prioritization!$D:$D,MATCH($B360,Prioritization!$A:$A,0))</f>
        <v>INVALID</v>
      </c>
      <c r="B360" s="0" t="s">
        <v>218</v>
      </c>
      <c r="C360" s="0" t="s">
        <v>812</v>
      </c>
      <c r="D360" s="0" t="s">
        <v>48</v>
      </c>
      <c r="E360" s="0" t="str">
        <f aca="false">$B360&amp;"|"&amp;$C360&amp;"|"&amp;$D360</f>
        <v>Neno District [gwVYinjBAe9]|15-17|Male</v>
      </c>
      <c r="G360" s="10"/>
      <c r="H360" s="10"/>
      <c r="I360" s="88" t="str">
        <f aca="false">IF(SUM($H360)=0,"",0%)</f>
        <v/>
      </c>
      <c r="J360" s="88"/>
      <c r="K360" s="88"/>
      <c r="L360" s="88" t="n">
        <f aca="false">1-IF(NOT(AND($D360="Female",OR($C360="10-14",$C360="15-17",$F360="Y"))),0,$J360)-IF(NOT(OR($C360="05-09",$C360="10-14")),0,$K360)</f>
        <v>1</v>
      </c>
      <c r="M360" s="88" t="n">
        <f aca="false">IF(SUM($L360)=0,"",20%)</f>
        <v>0.2</v>
      </c>
      <c r="N360" s="10" t="str">
        <f aca="false">IF(SUM($H360)=0,"",ROUND($H360*(1+$I360),0))</f>
        <v/>
      </c>
      <c r="O360" s="39" t="str">
        <f aca="false">IF(OR(SUM($N360)=0,SUM($J360)=0,NOT(AND($D360="Female",$F360="Y",OR($C360="10-14",$C360="15-17")))),"",ROUND($N360*$J360,0))</f>
        <v/>
      </c>
      <c r="P360" s="39" t="str">
        <f aca="false">IF(OR(SUM($N360)=0,SUM($K360)=0,NOT(OR($C360="10-14",$C360="05-09"))),"",ROUND($N360*$K360,0))</f>
        <v/>
      </c>
      <c r="Q360" s="39" t="str">
        <f aca="false">IFERROR(1/(1/ROUND($N360*$L360*$M360,0)),"")</f>
        <v/>
      </c>
      <c r="R360" s="39" t="str">
        <f aca="false">IFERROR(1/(1/(ROUND($N360*$L360,0)-$Q360)),"")</f>
        <v/>
      </c>
      <c r="S360" s="88" t="str">
        <f aca="false">IF(OR($C360="18+",$C360="18-20",SUM($Q360,$R360)=0),"",100%)</f>
        <v/>
      </c>
      <c r="T360" s="39" t="str">
        <f aca="false">IF(OR($C360="18+",$C360="18-20",SUM($Q360,$R360)=0),"",ROUND(SUM($Q360,$R360)*$S360,0))</f>
        <v/>
      </c>
    </row>
    <row r="361" customFormat="false" ht="15" hidden="false" customHeight="false" outlineLevel="0" collapsed="false">
      <c r="A361" s="0" t="str">
        <f aca="false">INDEX(Prioritization!$D:$D,MATCH($B361,Prioritization!$A:$A,0))</f>
        <v>INVALID</v>
      </c>
      <c r="B361" s="0" t="s">
        <v>218</v>
      </c>
      <c r="C361" s="0" t="s">
        <v>813</v>
      </c>
      <c r="D361" s="0" t="s">
        <v>30</v>
      </c>
      <c r="E361" s="0" t="str">
        <f aca="false">$B361&amp;"|"&amp;$C361&amp;"|"&amp;$D361</f>
        <v>Neno District [gwVYinjBAe9]|18-20|Female</v>
      </c>
      <c r="G361" s="10"/>
      <c r="H361" s="10"/>
      <c r="I361" s="88" t="str">
        <f aca="false">IF(SUM($H361)=0,"",0%)</f>
        <v/>
      </c>
      <c r="J361" s="88"/>
      <c r="K361" s="88"/>
      <c r="L361" s="88" t="n">
        <f aca="false">1-IF(NOT(AND($D361="Female",OR($C361="10-14",$C361="15-17",$F361="Y"))),0,$J361)-IF(NOT(OR($C361="05-09",$C361="10-14")),0,$K361)</f>
        <v>1</v>
      </c>
      <c r="M361" s="88" t="n">
        <f aca="false">IF(SUM($L361)=0,"",20%)</f>
        <v>0.2</v>
      </c>
      <c r="N361" s="10" t="str">
        <f aca="false">IF(SUM($H361)=0,"",ROUND($H361*(1+$I361),0))</f>
        <v/>
      </c>
      <c r="O361" s="39" t="str">
        <f aca="false">IF(OR(SUM($N361)=0,SUM($J361)=0,NOT(AND($D361="Female",$F361="Y",OR($C361="10-14",$C361="15-17")))),"",ROUND($N361*$J361,0))</f>
        <v/>
      </c>
      <c r="P361" s="39" t="str">
        <f aca="false">IF(OR(SUM($N361)=0,SUM($K361)=0,NOT(OR($C361="10-14",$C361="05-09"))),"",ROUND($N361*$K361,0))</f>
        <v/>
      </c>
      <c r="Q361" s="39" t="str">
        <f aca="false">IFERROR(1/(1/ROUND($N361*$L361*$M361,0)),"")</f>
        <v/>
      </c>
      <c r="R361" s="39" t="str">
        <f aca="false">IFERROR(1/(1/(ROUND($N361*$L361,0)-$Q361)),"")</f>
        <v/>
      </c>
      <c r="S361" s="88" t="str">
        <f aca="false">IF(OR($C361="18+",$C361="18-20",SUM($Q361,$R361)=0),"",100%)</f>
        <v/>
      </c>
      <c r="T361" s="39" t="str">
        <f aca="false">IF(OR($C361="18+",$C361="18-20",SUM($Q361,$R361)=0),"",ROUND(SUM($Q361,$R361)*$S361,0))</f>
        <v/>
      </c>
    </row>
    <row r="362" customFormat="false" ht="15" hidden="false" customHeight="false" outlineLevel="0" collapsed="false">
      <c r="A362" s="0" t="str">
        <f aca="false">INDEX(Prioritization!$D:$D,MATCH($B362,Prioritization!$A:$A,0))</f>
        <v>INVALID</v>
      </c>
      <c r="B362" s="0" t="s">
        <v>218</v>
      </c>
      <c r="C362" s="0" t="s">
        <v>813</v>
      </c>
      <c r="D362" s="0" t="s">
        <v>48</v>
      </c>
      <c r="E362" s="0" t="str">
        <f aca="false">$B362&amp;"|"&amp;$C362&amp;"|"&amp;$D362</f>
        <v>Neno District [gwVYinjBAe9]|18-20|Male</v>
      </c>
      <c r="G362" s="10"/>
      <c r="H362" s="10"/>
      <c r="I362" s="88" t="str">
        <f aca="false">IF(SUM($H362)=0,"",0%)</f>
        <v/>
      </c>
      <c r="J362" s="88"/>
      <c r="K362" s="88"/>
      <c r="L362" s="88" t="n">
        <f aca="false">1-IF(NOT(AND($D362="Female",OR($C362="10-14",$C362="15-17",$F362="Y"))),0,$J362)-IF(NOT(OR($C362="05-09",$C362="10-14")),0,$K362)</f>
        <v>1</v>
      </c>
      <c r="M362" s="88" t="n">
        <f aca="false">IF(SUM($L362)=0,"",20%)</f>
        <v>0.2</v>
      </c>
      <c r="N362" s="10" t="str">
        <f aca="false">IF(SUM($H362)=0,"",ROUND($H362*(1+$I362),0))</f>
        <v/>
      </c>
      <c r="O362" s="39" t="str">
        <f aca="false">IF(OR(SUM($N362)=0,SUM($J362)=0,NOT(AND($D362="Female",$F362="Y",OR($C362="10-14",$C362="15-17")))),"",ROUND($N362*$J362,0))</f>
        <v/>
      </c>
      <c r="P362" s="39" t="str">
        <f aca="false">IF(OR(SUM($N362)=0,SUM($K362)=0,NOT(OR($C362="10-14",$C362="05-09"))),"",ROUND($N362*$K362,0))</f>
        <v/>
      </c>
      <c r="Q362" s="39" t="str">
        <f aca="false">IFERROR(1/(1/ROUND($N362*$L362*$M362,0)),"")</f>
        <v/>
      </c>
      <c r="R362" s="39" t="str">
        <f aca="false">IFERROR(1/(1/(ROUND($N362*$L362,0)-$Q362)),"")</f>
        <v/>
      </c>
      <c r="S362" s="88" t="str">
        <f aca="false">IF(OR($C362="18+",$C362="18-20",SUM($Q362,$R362)=0),"",100%)</f>
        <v/>
      </c>
      <c r="T362" s="39" t="str">
        <f aca="false">IF(OR($C362="18+",$C362="18-20",SUM($Q362,$R362)=0),"",ROUND(SUM($Q362,$R362)*$S362,0))</f>
        <v/>
      </c>
    </row>
    <row r="363" customFormat="false" ht="15" hidden="false" customHeight="false" outlineLevel="0" collapsed="false">
      <c r="A363" s="0" t="str">
        <f aca="false">INDEX(Prioritization!$D:$D,MATCH($B363,Prioritization!$A:$A,0))</f>
        <v>INVALID</v>
      </c>
      <c r="B363" s="0" t="s">
        <v>218</v>
      </c>
      <c r="C363" s="0" t="s">
        <v>814</v>
      </c>
      <c r="D363" s="0" t="s">
        <v>30</v>
      </c>
      <c r="E363" s="0" t="str">
        <f aca="false">$B363&amp;"|"&amp;$C363&amp;"|"&amp;$D363</f>
        <v>Neno District [gwVYinjBAe9]|18+|Female</v>
      </c>
      <c r="G363" s="10"/>
      <c r="H363" s="10"/>
      <c r="I363" s="88" t="str">
        <f aca="false">IF(SUM($H363)=0,"",0%)</f>
        <v/>
      </c>
      <c r="J363" s="88"/>
      <c r="K363" s="88"/>
      <c r="L363" s="88" t="n">
        <f aca="false">1-IF(NOT(AND($D363="Female",OR($C363="10-14",$C363="15-17",$F363="Y"))),0,$J363)-IF(NOT(OR($C363="05-09",$C363="10-14")),0,$K363)</f>
        <v>1</v>
      </c>
      <c r="M363" s="88" t="n">
        <f aca="false">IF(SUM($L363)=0,"",20%)</f>
        <v>0.2</v>
      </c>
      <c r="N363" s="10" t="str">
        <f aca="false">IF(SUM($H363)=0,"",ROUND($H363*(1+$I363),0))</f>
        <v/>
      </c>
      <c r="O363" s="39" t="str">
        <f aca="false">IF(OR(SUM($N363)=0,SUM($J363)=0,NOT(AND($D363="Female",$F363="Y",OR($C363="10-14",$C363="15-17")))),"",ROUND($N363*$J363,0))</f>
        <v/>
      </c>
      <c r="P363" s="39" t="str">
        <f aca="false">IF(OR(SUM($N363)=0,SUM($K363)=0,NOT(OR($C363="10-14",$C363="05-09"))),"",ROUND($N363*$K363,0))</f>
        <v/>
      </c>
      <c r="Q363" s="39" t="str">
        <f aca="false">IFERROR(1/(1/ROUND($N363*$L363*$M363,0)),"")</f>
        <v/>
      </c>
      <c r="R363" s="39" t="str">
        <f aca="false">IFERROR(1/(1/(ROUND($N363*$L363,0)-$Q363)),"")</f>
        <v/>
      </c>
      <c r="S363" s="88" t="str">
        <f aca="false">IF(OR($C363="18+",$C363="18-20",SUM($Q363,$R363)=0),"",100%)</f>
        <v/>
      </c>
      <c r="T363" s="39" t="str">
        <f aca="false">IF(OR($C363="18+",$C363="18-20",SUM($Q363,$R363)=0),"",ROUND(SUM($Q363,$R363)*$S363,0))</f>
        <v/>
      </c>
    </row>
    <row r="364" customFormat="false" ht="15" hidden="false" customHeight="false" outlineLevel="0" collapsed="false">
      <c r="A364" s="0" t="str">
        <f aca="false">INDEX(Prioritization!$D:$D,MATCH($B364,Prioritization!$A:$A,0))</f>
        <v>INVALID</v>
      </c>
      <c r="B364" s="0" t="s">
        <v>218</v>
      </c>
      <c r="C364" s="0" t="s">
        <v>814</v>
      </c>
      <c r="D364" s="0" t="s">
        <v>48</v>
      </c>
      <c r="E364" s="0" t="str">
        <f aca="false">$B364&amp;"|"&amp;$C364&amp;"|"&amp;$D364</f>
        <v>Neno District [gwVYinjBAe9]|18+|Male</v>
      </c>
      <c r="G364" s="10"/>
      <c r="H364" s="10"/>
      <c r="I364" s="88" t="str">
        <f aca="false">IF(SUM($H364)=0,"",0%)</f>
        <v/>
      </c>
      <c r="J364" s="88"/>
      <c r="K364" s="88"/>
      <c r="L364" s="88" t="n">
        <f aca="false">1-IF(NOT(AND($D364="Female",OR($C364="10-14",$C364="15-17",$F364="Y"))),0,$J364)-IF(NOT(OR($C364="05-09",$C364="10-14")),0,$K364)</f>
        <v>1</v>
      </c>
      <c r="M364" s="88" t="n">
        <f aca="false">IF(SUM($L364)=0,"",20%)</f>
        <v>0.2</v>
      </c>
      <c r="N364" s="10" t="str">
        <f aca="false">IF(SUM($H364)=0,"",ROUND($H364*(1+$I364),0))</f>
        <v/>
      </c>
      <c r="O364" s="39" t="str">
        <f aca="false">IF(OR(SUM($N364)=0,SUM($J364)=0,NOT(AND($D364="Female",$F364="Y",OR($C364="10-14",$C364="15-17")))),"",ROUND($N364*$J364,0))</f>
        <v/>
      </c>
      <c r="P364" s="39" t="str">
        <f aca="false">IF(OR(SUM($N364)=0,SUM($K364)=0,NOT(OR($C364="10-14",$C364="05-09"))),"",ROUND($N364*$K364,0))</f>
        <v/>
      </c>
      <c r="Q364" s="39" t="str">
        <f aca="false">IFERROR(1/(1/ROUND($N364*$L364*$M364,0)),"")</f>
        <v/>
      </c>
      <c r="R364" s="39" t="str">
        <f aca="false">IFERROR(1/(1/(ROUND($N364*$L364,0)-$Q364)),"")</f>
        <v/>
      </c>
      <c r="S364" s="88" t="str">
        <f aca="false">IF(OR($C364="18+",$C364="18-20",SUM($Q364,$R364)=0),"",100%)</f>
        <v/>
      </c>
      <c r="T364" s="39" t="str">
        <f aca="false">IF(OR($C364="18+",$C364="18-20",SUM($Q364,$R364)=0),"",ROUND(SUM($Q364,$R364)*$S364,0))</f>
        <v/>
      </c>
    </row>
    <row r="365" customFormat="false" ht="15" hidden="false" customHeight="false" outlineLevel="0" collapsed="false">
      <c r="A365" s="0" t="str">
        <f aca="false">INDEX(Prioritization!$D:$D,MATCH($B365,Prioritization!$A:$A,0))</f>
        <v>INVALID</v>
      </c>
      <c r="B365" s="0" t="s">
        <v>219</v>
      </c>
      <c r="C365" s="0" t="s">
        <v>316</v>
      </c>
      <c r="D365" s="0" t="s">
        <v>30</v>
      </c>
      <c r="E365" s="0" t="str">
        <f aca="false">$B365&amp;"|"&amp;$C365&amp;"|"&amp;$D365</f>
        <v>Nsanje District [rpw540fmNUz]|&lt;01|Female</v>
      </c>
      <c r="G365" s="10"/>
      <c r="H365" s="10"/>
      <c r="I365" s="88" t="str">
        <f aca="false">IF(SUM($H365)=0,"",0%)</f>
        <v/>
      </c>
      <c r="J365" s="88"/>
      <c r="K365" s="88"/>
      <c r="L365" s="88" t="n">
        <f aca="false">1-IF(NOT(AND($D365="Female",OR($C365="10-14",$C365="15-17",$F365="Y"))),0,$J365)-IF(NOT(OR($C365="05-09",$C365="10-14")),0,$K365)</f>
        <v>1</v>
      </c>
      <c r="M365" s="88" t="n">
        <f aca="false">IF(SUM($L365)=0,"",20%)</f>
        <v>0.2</v>
      </c>
      <c r="N365" s="10" t="str">
        <f aca="false">IF(SUM($H365)=0,"",ROUND($H365*(1+$I365),0))</f>
        <v/>
      </c>
      <c r="O365" s="39" t="str">
        <f aca="false">IF(OR(SUM($N365)=0,SUM($J365)=0,NOT(AND($D365="Female",$F365="Y",OR($C365="10-14",$C365="15-17")))),"",ROUND($N365*$J365,0))</f>
        <v/>
      </c>
      <c r="P365" s="39" t="str">
        <f aca="false">IF(OR(SUM($N365)=0,SUM($K365)=0,NOT(OR($C365="10-14",$C365="05-09"))),"",ROUND($N365*$K365,0))</f>
        <v/>
      </c>
      <c r="Q365" s="39" t="str">
        <f aca="false">IFERROR(1/(1/ROUND($N365*$L365*$M365,0)),"")</f>
        <v/>
      </c>
      <c r="R365" s="39" t="str">
        <f aca="false">IFERROR(1/(1/(ROUND($N365*$L365,0)-$Q365)),"")</f>
        <v/>
      </c>
      <c r="S365" s="88" t="str">
        <f aca="false">IF(OR($C365="18+",$C365="18-20",SUM($Q365,$R365)=0),"",100%)</f>
        <v/>
      </c>
      <c r="T365" s="39" t="str">
        <f aca="false">IF(OR($C365="18+",$C365="18-20",SUM($Q365,$R365)=0),"",ROUND(SUM($Q365,$R365)*$S365,0))</f>
        <v/>
      </c>
    </row>
    <row r="366" customFormat="false" ht="15" hidden="false" customHeight="false" outlineLevel="0" collapsed="false">
      <c r="A366" s="0" t="str">
        <f aca="false">INDEX(Prioritization!$D:$D,MATCH($B366,Prioritization!$A:$A,0))</f>
        <v>INVALID</v>
      </c>
      <c r="B366" s="0" t="s">
        <v>219</v>
      </c>
      <c r="C366" s="0" t="s">
        <v>316</v>
      </c>
      <c r="D366" s="0" t="s">
        <v>48</v>
      </c>
      <c r="E366" s="0" t="str">
        <f aca="false">$B366&amp;"|"&amp;$C366&amp;"|"&amp;$D366</f>
        <v>Nsanje District [rpw540fmNUz]|&lt;01|Male</v>
      </c>
      <c r="G366" s="10"/>
      <c r="H366" s="10"/>
      <c r="I366" s="88" t="str">
        <f aca="false">IF(SUM($H366)=0,"",0%)</f>
        <v/>
      </c>
      <c r="J366" s="88"/>
      <c r="K366" s="88"/>
      <c r="L366" s="88" t="n">
        <f aca="false">1-IF(NOT(AND($D366="Female",OR($C366="10-14",$C366="15-17",$F366="Y"))),0,$J366)-IF(NOT(OR($C366="05-09",$C366="10-14")),0,$K366)</f>
        <v>1</v>
      </c>
      <c r="M366" s="88" t="n">
        <f aca="false">IF(SUM($L366)=0,"",20%)</f>
        <v>0.2</v>
      </c>
      <c r="N366" s="10" t="str">
        <f aca="false">IF(SUM($H366)=0,"",ROUND($H366*(1+$I366),0))</f>
        <v/>
      </c>
      <c r="O366" s="39" t="str">
        <f aca="false">IF(OR(SUM($N366)=0,SUM($J366)=0,NOT(AND($D366="Female",$F366="Y",OR($C366="10-14",$C366="15-17")))),"",ROUND($N366*$J366,0))</f>
        <v/>
      </c>
      <c r="P366" s="39" t="str">
        <f aca="false">IF(OR(SUM($N366)=0,SUM($K366)=0,NOT(OR($C366="10-14",$C366="05-09"))),"",ROUND($N366*$K366,0))</f>
        <v/>
      </c>
      <c r="Q366" s="39" t="str">
        <f aca="false">IFERROR(1/(1/ROUND($N366*$L366*$M366,0)),"")</f>
        <v/>
      </c>
      <c r="R366" s="39" t="str">
        <f aca="false">IFERROR(1/(1/(ROUND($N366*$L366,0)-$Q366)),"")</f>
        <v/>
      </c>
      <c r="S366" s="88" t="str">
        <f aca="false">IF(OR($C366="18+",$C366="18-20",SUM($Q366,$R366)=0),"",100%)</f>
        <v/>
      </c>
      <c r="T366" s="39" t="str">
        <f aca="false">IF(OR($C366="18+",$C366="18-20",SUM($Q366,$R366)=0),"",ROUND(SUM($Q366,$R366)*$S366,0))</f>
        <v/>
      </c>
    </row>
    <row r="367" customFormat="false" ht="15" hidden="false" customHeight="false" outlineLevel="0" collapsed="false">
      <c r="A367" s="0" t="str">
        <f aca="false">INDEX(Prioritization!$D:$D,MATCH($B367,Prioritization!$A:$A,0))</f>
        <v>INVALID</v>
      </c>
      <c r="B367" s="0" t="s">
        <v>219</v>
      </c>
      <c r="C367" s="0" t="s">
        <v>810</v>
      </c>
      <c r="D367" s="0" t="s">
        <v>30</v>
      </c>
      <c r="E367" s="0" t="str">
        <f aca="false">$B367&amp;"|"&amp;$C367&amp;"|"&amp;$D367</f>
        <v>Nsanje District [rpw540fmNUz]|01-04|Female</v>
      </c>
      <c r="G367" s="10"/>
      <c r="H367" s="10"/>
      <c r="I367" s="88" t="str">
        <f aca="false">IF(SUM($H367)=0,"",0%)</f>
        <v/>
      </c>
      <c r="J367" s="88"/>
      <c r="K367" s="88"/>
      <c r="L367" s="88" t="n">
        <f aca="false">1-IF(NOT(AND($D367="Female",OR($C367="10-14",$C367="15-17",$F367="Y"))),0,$J367)-IF(NOT(OR($C367="05-09",$C367="10-14")),0,$K367)</f>
        <v>1</v>
      </c>
      <c r="M367" s="88" t="n">
        <f aca="false">IF(SUM($L367)=0,"",20%)</f>
        <v>0.2</v>
      </c>
      <c r="N367" s="10" t="str">
        <f aca="false">IF(SUM($H367)=0,"",ROUND($H367*(1+$I367),0))</f>
        <v/>
      </c>
      <c r="O367" s="39" t="str">
        <f aca="false">IF(OR(SUM($N367)=0,SUM($J367)=0,NOT(AND($D367="Female",$F367="Y",OR($C367="10-14",$C367="15-17")))),"",ROUND($N367*$J367,0))</f>
        <v/>
      </c>
      <c r="P367" s="39" t="str">
        <f aca="false">IF(OR(SUM($N367)=0,SUM($K367)=0,NOT(OR($C367="10-14",$C367="05-09"))),"",ROUND($N367*$K367,0))</f>
        <v/>
      </c>
      <c r="Q367" s="39" t="str">
        <f aca="false">IFERROR(1/(1/ROUND($N367*$L367*$M367,0)),"")</f>
        <v/>
      </c>
      <c r="R367" s="39" t="str">
        <f aca="false">IFERROR(1/(1/(ROUND($N367*$L367,0)-$Q367)),"")</f>
        <v/>
      </c>
      <c r="S367" s="88" t="str">
        <f aca="false">IF(OR($C367="18+",$C367="18-20",SUM($Q367,$R367)=0),"",100%)</f>
        <v/>
      </c>
      <c r="T367" s="39" t="str">
        <f aca="false">IF(OR($C367="18+",$C367="18-20",SUM($Q367,$R367)=0),"",ROUND(SUM($Q367,$R367)*$S367,0))</f>
        <v/>
      </c>
    </row>
    <row r="368" customFormat="false" ht="15" hidden="false" customHeight="false" outlineLevel="0" collapsed="false">
      <c r="A368" s="0" t="str">
        <f aca="false">INDEX(Prioritization!$D:$D,MATCH($B368,Prioritization!$A:$A,0))</f>
        <v>INVALID</v>
      </c>
      <c r="B368" s="0" t="s">
        <v>219</v>
      </c>
      <c r="C368" s="0" t="s">
        <v>810</v>
      </c>
      <c r="D368" s="0" t="s">
        <v>48</v>
      </c>
      <c r="E368" s="0" t="str">
        <f aca="false">$B368&amp;"|"&amp;$C368&amp;"|"&amp;$D368</f>
        <v>Nsanje District [rpw540fmNUz]|01-04|Male</v>
      </c>
      <c r="G368" s="10"/>
      <c r="H368" s="10"/>
      <c r="I368" s="88" t="str">
        <f aca="false">IF(SUM($H368)=0,"",0%)</f>
        <v/>
      </c>
      <c r="J368" s="88"/>
      <c r="K368" s="88"/>
      <c r="L368" s="88" t="n">
        <f aca="false">1-IF(NOT(AND($D368="Female",OR($C368="10-14",$C368="15-17",$F368="Y"))),0,$J368)-IF(NOT(OR($C368="05-09",$C368="10-14")),0,$K368)</f>
        <v>1</v>
      </c>
      <c r="M368" s="88" t="n">
        <f aca="false">IF(SUM($L368)=0,"",20%)</f>
        <v>0.2</v>
      </c>
      <c r="N368" s="10" t="str">
        <f aca="false">IF(SUM($H368)=0,"",ROUND($H368*(1+$I368),0))</f>
        <v/>
      </c>
      <c r="O368" s="39" t="str">
        <f aca="false">IF(OR(SUM($N368)=0,SUM($J368)=0,NOT(AND($D368="Female",$F368="Y",OR($C368="10-14",$C368="15-17")))),"",ROUND($N368*$J368,0))</f>
        <v/>
      </c>
      <c r="P368" s="39" t="str">
        <f aca="false">IF(OR(SUM($N368)=0,SUM($K368)=0,NOT(OR($C368="10-14",$C368="05-09"))),"",ROUND($N368*$K368,0))</f>
        <v/>
      </c>
      <c r="Q368" s="39" t="str">
        <f aca="false">IFERROR(1/(1/ROUND($N368*$L368*$M368,0)),"")</f>
        <v/>
      </c>
      <c r="R368" s="39" t="str">
        <f aca="false">IFERROR(1/(1/(ROUND($N368*$L368,0)-$Q368)),"")</f>
        <v/>
      </c>
      <c r="S368" s="88" t="str">
        <f aca="false">IF(OR($C368="18+",$C368="18-20",SUM($Q368,$R368)=0),"",100%)</f>
        <v/>
      </c>
      <c r="T368" s="39" t="str">
        <f aca="false">IF(OR($C368="18+",$C368="18-20",SUM($Q368,$R368)=0),"",ROUND(SUM($Q368,$R368)*$S368,0))</f>
        <v/>
      </c>
    </row>
    <row r="369" customFormat="false" ht="15" hidden="false" customHeight="false" outlineLevel="0" collapsed="false">
      <c r="A369" s="0" t="str">
        <f aca="false">INDEX(Prioritization!$D:$D,MATCH($B369,Prioritization!$A:$A,0))</f>
        <v>INVALID</v>
      </c>
      <c r="B369" s="0" t="s">
        <v>219</v>
      </c>
      <c r="C369" s="0" t="s">
        <v>811</v>
      </c>
      <c r="D369" s="0" t="s">
        <v>30</v>
      </c>
      <c r="E369" s="0" t="str">
        <f aca="false">$B369&amp;"|"&amp;$C369&amp;"|"&amp;$D369</f>
        <v>Nsanje District [rpw540fmNUz]|05-09|Female</v>
      </c>
      <c r="G369" s="10"/>
      <c r="H369" s="10"/>
      <c r="I369" s="88" t="str">
        <f aca="false">IF(SUM($H369)=0,"",0%)</f>
        <v/>
      </c>
      <c r="J369" s="88"/>
      <c r="K369" s="88"/>
      <c r="L369" s="88" t="n">
        <f aca="false">1-IF(NOT(AND($D369="Female",OR($C369="10-14",$C369="15-17",$F369="Y"))),0,$J369)-IF(NOT(OR($C369="05-09",$C369="10-14")),0,$K369)</f>
        <v>1</v>
      </c>
      <c r="M369" s="88" t="n">
        <f aca="false">IF(SUM($L369)=0,"",20%)</f>
        <v>0.2</v>
      </c>
      <c r="N369" s="10" t="str">
        <f aca="false">IF(SUM($H369)=0,"",ROUND($H369*(1+$I369),0))</f>
        <v/>
      </c>
      <c r="O369" s="39" t="str">
        <f aca="false">IF(OR(SUM($N369)=0,SUM($J369)=0,NOT(AND($D369="Female",$F369="Y",OR($C369="10-14",$C369="15-17")))),"",ROUND($N369*$J369,0))</f>
        <v/>
      </c>
      <c r="P369" s="39" t="str">
        <f aca="false">IF(OR(SUM($N369)=0,SUM($K369)=0,NOT(OR($C369="10-14",$C369="05-09"))),"",ROUND($N369*$K369,0))</f>
        <v/>
      </c>
      <c r="Q369" s="39" t="str">
        <f aca="false">IFERROR(1/(1/ROUND($N369*$L369*$M369,0)),"")</f>
        <v/>
      </c>
      <c r="R369" s="39" t="str">
        <f aca="false">IFERROR(1/(1/(ROUND($N369*$L369,0)-$Q369)),"")</f>
        <v/>
      </c>
      <c r="S369" s="88" t="str">
        <f aca="false">IF(OR($C369="18+",$C369="18-20",SUM($Q369,$R369)=0),"",100%)</f>
        <v/>
      </c>
      <c r="T369" s="39" t="str">
        <f aca="false">IF(OR($C369="18+",$C369="18-20",SUM($Q369,$R369)=0),"",ROUND(SUM($Q369,$R369)*$S369,0))</f>
        <v/>
      </c>
    </row>
    <row r="370" customFormat="false" ht="15" hidden="false" customHeight="false" outlineLevel="0" collapsed="false">
      <c r="A370" s="0" t="str">
        <f aca="false">INDEX(Prioritization!$D:$D,MATCH($B370,Prioritization!$A:$A,0))</f>
        <v>INVALID</v>
      </c>
      <c r="B370" s="0" t="s">
        <v>219</v>
      </c>
      <c r="C370" s="0" t="s">
        <v>811</v>
      </c>
      <c r="D370" s="0" t="s">
        <v>48</v>
      </c>
      <c r="E370" s="0" t="str">
        <f aca="false">$B370&amp;"|"&amp;$C370&amp;"|"&amp;$D370</f>
        <v>Nsanje District [rpw540fmNUz]|05-09|Male</v>
      </c>
      <c r="G370" s="10"/>
      <c r="H370" s="10"/>
      <c r="I370" s="88" t="str">
        <f aca="false">IF(SUM($H370)=0,"",0%)</f>
        <v/>
      </c>
      <c r="J370" s="88"/>
      <c r="K370" s="88"/>
      <c r="L370" s="88" t="n">
        <f aca="false">1-IF(NOT(AND($D370="Female",OR($C370="10-14",$C370="15-17",$F370="Y"))),0,$J370)-IF(NOT(OR($C370="05-09",$C370="10-14")),0,$K370)</f>
        <v>1</v>
      </c>
      <c r="M370" s="88" t="n">
        <f aca="false">IF(SUM($L370)=0,"",20%)</f>
        <v>0.2</v>
      </c>
      <c r="N370" s="10" t="str">
        <f aca="false">IF(SUM($H370)=0,"",ROUND($H370*(1+$I370),0))</f>
        <v/>
      </c>
      <c r="O370" s="39" t="str">
        <f aca="false">IF(OR(SUM($N370)=0,SUM($J370)=0,NOT(AND($D370="Female",$F370="Y",OR($C370="10-14",$C370="15-17")))),"",ROUND($N370*$J370,0))</f>
        <v/>
      </c>
      <c r="P370" s="39" t="str">
        <f aca="false">IF(OR(SUM($N370)=0,SUM($K370)=0,NOT(OR($C370="10-14",$C370="05-09"))),"",ROUND($N370*$K370,0))</f>
        <v/>
      </c>
      <c r="Q370" s="39" t="str">
        <f aca="false">IFERROR(1/(1/ROUND($N370*$L370*$M370,0)),"")</f>
        <v/>
      </c>
      <c r="R370" s="39" t="str">
        <f aca="false">IFERROR(1/(1/(ROUND($N370*$L370,0)-$Q370)),"")</f>
        <v/>
      </c>
      <c r="S370" s="88" t="str">
        <f aca="false">IF(OR($C370="18+",$C370="18-20",SUM($Q370,$R370)=0),"",100%)</f>
        <v/>
      </c>
      <c r="T370" s="39" t="str">
        <f aca="false">IF(OR($C370="18+",$C370="18-20",SUM($Q370,$R370)=0),"",ROUND(SUM($Q370,$R370)*$S370,0))</f>
        <v/>
      </c>
    </row>
    <row r="371" customFormat="false" ht="15" hidden="false" customHeight="false" outlineLevel="0" collapsed="false">
      <c r="A371" s="0" t="str">
        <f aca="false">INDEX(Prioritization!$D:$D,MATCH($B371,Prioritization!$A:$A,0))</f>
        <v>INVALID</v>
      </c>
      <c r="B371" s="0" t="s">
        <v>219</v>
      </c>
      <c r="C371" s="0" t="s">
        <v>364</v>
      </c>
      <c r="D371" s="0" t="s">
        <v>30</v>
      </c>
      <c r="E371" s="0" t="str">
        <f aca="false">$B371&amp;"|"&amp;$C371&amp;"|"&amp;$D371</f>
        <v>Nsanje District [rpw540fmNUz]|10-14|Female</v>
      </c>
      <c r="G371" s="10"/>
      <c r="H371" s="10"/>
      <c r="I371" s="88" t="str">
        <f aca="false">IF(SUM($H371)=0,"",0%)</f>
        <v/>
      </c>
      <c r="J371" s="88"/>
      <c r="K371" s="88"/>
      <c r="L371" s="88" t="n">
        <f aca="false">1-IF(NOT(AND($D371="Female",OR($C371="10-14",$C371="15-17",$F371="Y"))),0,$J371)-IF(NOT(OR($C371="05-09",$C371="10-14")),0,$K371)</f>
        <v>1</v>
      </c>
      <c r="M371" s="88" t="n">
        <f aca="false">IF(SUM($L371)=0,"",20%)</f>
        <v>0.2</v>
      </c>
      <c r="N371" s="10" t="str">
        <f aca="false">IF(SUM($H371)=0,"",ROUND($H371*(1+$I371),0))</f>
        <v/>
      </c>
      <c r="O371" s="39" t="str">
        <f aca="false">IF(OR(SUM($N371)=0,SUM($J371)=0,NOT(AND($D371="Female",$F371="Y",OR($C371="10-14",$C371="15-17")))),"",ROUND($N371*$J371,0))</f>
        <v/>
      </c>
      <c r="P371" s="39" t="str">
        <f aca="false">IF(OR(SUM($N371)=0,SUM($K371)=0,NOT(OR($C371="10-14",$C371="05-09"))),"",ROUND($N371*$K371,0))</f>
        <v/>
      </c>
      <c r="Q371" s="39" t="str">
        <f aca="false">IFERROR(1/(1/ROUND($N371*$L371*$M371,0)),"")</f>
        <v/>
      </c>
      <c r="R371" s="39" t="str">
        <f aca="false">IFERROR(1/(1/(ROUND($N371*$L371,0)-$Q371)),"")</f>
        <v/>
      </c>
      <c r="S371" s="88" t="str">
        <f aca="false">IF(OR($C371="18+",$C371="18-20",SUM($Q371,$R371)=0),"",100%)</f>
        <v/>
      </c>
      <c r="T371" s="39" t="str">
        <f aca="false">IF(OR($C371="18+",$C371="18-20",SUM($Q371,$R371)=0),"",ROUND(SUM($Q371,$R371)*$S371,0))</f>
        <v/>
      </c>
    </row>
    <row r="372" customFormat="false" ht="15" hidden="false" customHeight="false" outlineLevel="0" collapsed="false">
      <c r="A372" s="0" t="str">
        <f aca="false">INDEX(Prioritization!$D:$D,MATCH($B372,Prioritization!$A:$A,0))</f>
        <v>INVALID</v>
      </c>
      <c r="B372" s="0" t="s">
        <v>219</v>
      </c>
      <c r="C372" s="0" t="s">
        <v>364</v>
      </c>
      <c r="D372" s="0" t="s">
        <v>48</v>
      </c>
      <c r="E372" s="0" t="str">
        <f aca="false">$B372&amp;"|"&amp;$C372&amp;"|"&amp;$D372</f>
        <v>Nsanje District [rpw540fmNUz]|10-14|Male</v>
      </c>
      <c r="G372" s="10"/>
      <c r="H372" s="10"/>
      <c r="I372" s="88" t="str">
        <f aca="false">IF(SUM($H372)=0,"",0%)</f>
        <v/>
      </c>
      <c r="J372" s="88"/>
      <c r="K372" s="88"/>
      <c r="L372" s="88" t="n">
        <f aca="false">1-IF(NOT(AND($D372="Female",OR($C372="10-14",$C372="15-17",$F372="Y"))),0,$J372)-IF(NOT(OR($C372="05-09",$C372="10-14")),0,$K372)</f>
        <v>1</v>
      </c>
      <c r="M372" s="88" t="n">
        <f aca="false">IF(SUM($L372)=0,"",20%)</f>
        <v>0.2</v>
      </c>
      <c r="N372" s="10" t="str">
        <f aca="false">IF(SUM($H372)=0,"",ROUND($H372*(1+$I372),0))</f>
        <v/>
      </c>
      <c r="O372" s="39" t="str">
        <f aca="false">IF(OR(SUM($N372)=0,SUM($J372)=0,NOT(AND($D372="Female",$F372="Y",OR($C372="10-14",$C372="15-17")))),"",ROUND($N372*$J372,0))</f>
        <v/>
      </c>
      <c r="P372" s="39" t="str">
        <f aca="false">IF(OR(SUM($N372)=0,SUM($K372)=0,NOT(OR($C372="10-14",$C372="05-09"))),"",ROUND($N372*$K372,0))</f>
        <v/>
      </c>
      <c r="Q372" s="39" t="str">
        <f aca="false">IFERROR(1/(1/ROUND($N372*$L372*$M372,0)),"")</f>
        <v/>
      </c>
      <c r="R372" s="39" t="str">
        <f aca="false">IFERROR(1/(1/(ROUND($N372*$L372,0)-$Q372)),"")</f>
        <v/>
      </c>
      <c r="S372" s="88" t="str">
        <f aca="false">IF(OR($C372="18+",$C372="18-20",SUM($Q372,$R372)=0),"",100%)</f>
        <v/>
      </c>
      <c r="T372" s="39" t="str">
        <f aca="false">IF(OR($C372="18+",$C372="18-20",SUM($Q372,$R372)=0),"",ROUND(SUM($Q372,$R372)*$S372,0))</f>
        <v/>
      </c>
    </row>
    <row r="373" customFormat="false" ht="15" hidden="false" customHeight="false" outlineLevel="0" collapsed="false">
      <c r="A373" s="0" t="str">
        <f aca="false">INDEX(Prioritization!$D:$D,MATCH($B373,Prioritization!$A:$A,0))</f>
        <v>INVALID</v>
      </c>
      <c r="B373" s="0" t="s">
        <v>219</v>
      </c>
      <c r="C373" s="0" t="s">
        <v>812</v>
      </c>
      <c r="D373" s="0" t="s">
        <v>30</v>
      </c>
      <c r="E373" s="0" t="str">
        <f aca="false">$B373&amp;"|"&amp;$C373&amp;"|"&amp;$D373</f>
        <v>Nsanje District [rpw540fmNUz]|15-17|Female</v>
      </c>
      <c r="G373" s="10"/>
      <c r="H373" s="10"/>
      <c r="I373" s="88" t="str">
        <f aca="false">IF(SUM($H373)=0,"",0%)</f>
        <v/>
      </c>
      <c r="J373" s="88"/>
      <c r="K373" s="88"/>
      <c r="L373" s="88" t="n">
        <f aca="false">1-IF(NOT(AND($D373="Female",OR($C373="10-14",$C373="15-17",$F373="Y"))),0,$J373)-IF(NOT(OR($C373="05-09",$C373="10-14")),0,$K373)</f>
        <v>1</v>
      </c>
      <c r="M373" s="88" t="n">
        <f aca="false">IF(SUM($L373)=0,"",20%)</f>
        <v>0.2</v>
      </c>
      <c r="N373" s="10" t="str">
        <f aca="false">IF(SUM($H373)=0,"",ROUND($H373*(1+$I373),0))</f>
        <v/>
      </c>
      <c r="O373" s="39" t="str">
        <f aca="false">IF(OR(SUM($N373)=0,SUM($J373)=0,NOT(AND($D373="Female",$F373="Y",OR($C373="10-14",$C373="15-17")))),"",ROUND($N373*$J373,0))</f>
        <v/>
      </c>
      <c r="P373" s="39" t="str">
        <f aca="false">IF(OR(SUM($N373)=0,SUM($K373)=0,NOT(OR($C373="10-14",$C373="05-09"))),"",ROUND($N373*$K373,0))</f>
        <v/>
      </c>
      <c r="Q373" s="39" t="str">
        <f aca="false">IFERROR(1/(1/ROUND($N373*$L373*$M373,0)),"")</f>
        <v/>
      </c>
      <c r="R373" s="39" t="str">
        <f aca="false">IFERROR(1/(1/(ROUND($N373*$L373,0)-$Q373)),"")</f>
        <v/>
      </c>
      <c r="S373" s="88" t="str">
        <f aca="false">IF(OR($C373="18+",$C373="18-20",SUM($Q373,$R373)=0),"",100%)</f>
        <v/>
      </c>
      <c r="T373" s="39" t="str">
        <f aca="false">IF(OR($C373="18+",$C373="18-20",SUM($Q373,$R373)=0),"",ROUND(SUM($Q373,$R373)*$S373,0))</f>
        <v/>
      </c>
    </row>
    <row r="374" customFormat="false" ht="15" hidden="false" customHeight="false" outlineLevel="0" collapsed="false">
      <c r="A374" s="0" t="str">
        <f aca="false">INDEX(Prioritization!$D:$D,MATCH($B374,Prioritization!$A:$A,0))</f>
        <v>INVALID</v>
      </c>
      <c r="B374" s="0" t="s">
        <v>219</v>
      </c>
      <c r="C374" s="0" t="s">
        <v>812</v>
      </c>
      <c r="D374" s="0" t="s">
        <v>48</v>
      </c>
      <c r="E374" s="0" t="str">
        <f aca="false">$B374&amp;"|"&amp;$C374&amp;"|"&amp;$D374</f>
        <v>Nsanje District [rpw540fmNUz]|15-17|Male</v>
      </c>
      <c r="G374" s="10"/>
      <c r="H374" s="10"/>
      <c r="I374" s="88" t="str">
        <f aca="false">IF(SUM($H374)=0,"",0%)</f>
        <v/>
      </c>
      <c r="J374" s="88"/>
      <c r="K374" s="88"/>
      <c r="L374" s="88" t="n">
        <f aca="false">1-IF(NOT(AND($D374="Female",OR($C374="10-14",$C374="15-17",$F374="Y"))),0,$J374)-IF(NOT(OR($C374="05-09",$C374="10-14")),0,$K374)</f>
        <v>1</v>
      </c>
      <c r="M374" s="88" t="n">
        <f aca="false">IF(SUM($L374)=0,"",20%)</f>
        <v>0.2</v>
      </c>
      <c r="N374" s="10" t="str">
        <f aca="false">IF(SUM($H374)=0,"",ROUND($H374*(1+$I374),0))</f>
        <v/>
      </c>
      <c r="O374" s="39" t="str">
        <f aca="false">IF(OR(SUM($N374)=0,SUM($J374)=0,NOT(AND($D374="Female",$F374="Y",OR($C374="10-14",$C374="15-17")))),"",ROUND($N374*$J374,0))</f>
        <v/>
      </c>
      <c r="P374" s="39" t="str">
        <f aca="false">IF(OR(SUM($N374)=0,SUM($K374)=0,NOT(OR($C374="10-14",$C374="05-09"))),"",ROUND($N374*$K374,0))</f>
        <v/>
      </c>
      <c r="Q374" s="39" t="str">
        <f aca="false">IFERROR(1/(1/ROUND($N374*$L374*$M374,0)),"")</f>
        <v/>
      </c>
      <c r="R374" s="39" t="str">
        <f aca="false">IFERROR(1/(1/(ROUND($N374*$L374,0)-$Q374)),"")</f>
        <v/>
      </c>
      <c r="S374" s="88" t="str">
        <f aca="false">IF(OR($C374="18+",$C374="18-20",SUM($Q374,$R374)=0),"",100%)</f>
        <v/>
      </c>
      <c r="T374" s="39" t="str">
        <f aca="false">IF(OR($C374="18+",$C374="18-20",SUM($Q374,$R374)=0),"",ROUND(SUM($Q374,$R374)*$S374,0))</f>
        <v/>
      </c>
    </row>
    <row r="375" customFormat="false" ht="15" hidden="false" customHeight="false" outlineLevel="0" collapsed="false">
      <c r="A375" s="0" t="str">
        <f aca="false">INDEX(Prioritization!$D:$D,MATCH($B375,Prioritization!$A:$A,0))</f>
        <v>INVALID</v>
      </c>
      <c r="B375" s="0" t="s">
        <v>219</v>
      </c>
      <c r="C375" s="0" t="s">
        <v>813</v>
      </c>
      <c r="D375" s="0" t="s">
        <v>30</v>
      </c>
      <c r="E375" s="0" t="str">
        <f aca="false">$B375&amp;"|"&amp;$C375&amp;"|"&amp;$D375</f>
        <v>Nsanje District [rpw540fmNUz]|18-20|Female</v>
      </c>
      <c r="G375" s="10"/>
      <c r="H375" s="10"/>
      <c r="I375" s="88" t="str">
        <f aca="false">IF(SUM($H375)=0,"",0%)</f>
        <v/>
      </c>
      <c r="J375" s="88"/>
      <c r="K375" s="88"/>
      <c r="L375" s="88" t="n">
        <f aca="false">1-IF(NOT(AND($D375="Female",OR($C375="10-14",$C375="15-17",$F375="Y"))),0,$J375)-IF(NOT(OR($C375="05-09",$C375="10-14")),0,$K375)</f>
        <v>1</v>
      </c>
      <c r="M375" s="88" t="n">
        <f aca="false">IF(SUM($L375)=0,"",20%)</f>
        <v>0.2</v>
      </c>
      <c r="N375" s="10" t="str">
        <f aca="false">IF(SUM($H375)=0,"",ROUND($H375*(1+$I375),0))</f>
        <v/>
      </c>
      <c r="O375" s="39" t="str">
        <f aca="false">IF(OR(SUM($N375)=0,SUM($J375)=0,NOT(AND($D375="Female",$F375="Y",OR($C375="10-14",$C375="15-17")))),"",ROUND($N375*$J375,0))</f>
        <v/>
      </c>
      <c r="P375" s="39" t="str">
        <f aca="false">IF(OR(SUM($N375)=0,SUM($K375)=0,NOT(OR($C375="10-14",$C375="05-09"))),"",ROUND($N375*$K375,0))</f>
        <v/>
      </c>
      <c r="Q375" s="39" t="str">
        <f aca="false">IFERROR(1/(1/ROUND($N375*$L375*$M375,0)),"")</f>
        <v/>
      </c>
      <c r="R375" s="39" t="str">
        <f aca="false">IFERROR(1/(1/(ROUND($N375*$L375,0)-$Q375)),"")</f>
        <v/>
      </c>
      <c r="S375" s="88" t="str">
        <f aca="false">IF(OR($C375="18+",$C375="18-20",SUM($Q375,$R375)=0),"",100%)</f>
        <v/>
      </c>
      <c r="T375" s="39" t="str">
        <f aca="false">IF(OR($C375="18+",$C375="18-20",SUM($Q375,$R375)=0),"",ROUND(SUM($Q375,$R375)*$S375,0))</f>
        <v/>
      </c>
    </row>
    <row r="376" customFormat="false" ht="15" hidden="false" customHeight="false" outlineLevel="0" collapsed="false">
      <c r="A376" s="0" t="str">
        <f aca="false">INDEX(Prioritization!$D:$D,MATCH($B376,Prioritization!$A:$A,0))</f>
        <v>INVALID</v>
      </c>
      <c r="B376" s="0" t="s">
        <v>219</v>
      </c>
      <c r="C376" s="0" t="s">
        <v>813</v>
      </c>
      <c r="D376" s="0" t="s">
        <v>48</v>
      </c>
      <c r="E376" s="0" t="str">
        <f aca="false">$B376&amp;"|"&amp;$C376&amp;"|"&amp;$D376</f>
        <v>Nsanje District [rpw540fmNUz]|18-20|Male</v>
      </c>
      <c r="G376" s="10"/>
      <c r="H376" s="10"/>
      <c r="I376" s="88" t="str">
        <f aca="false">IF(SUM($H376)=0,"",0%)</f>
        <v/>
      </c>
      <c r="J376" s="88"/>
      <c r="K376" s="88"/>
      <c r="L376" s="88" t="n">
        <f aca="false">1-IF(NOT(AND($D376="Female",OR($C376="10-14",$C376="15-17",$F376="Y"))),0,$J376)-IF(NOT(OR($C376="05-09",$C376="10-14")),0,$K376)</f>
        <v>1</v>
      </c>
      <c r="M376" s="88" t="n">
        <f aca="false">IF(SUM($L376)=0,"",20%)</f>
        <v>0.2</v>
      </c>
      <c r="N376" s="10" t="str">
        <f aca="false">IF(SUM($H376)=0,"",ROUND($H376*(1+$I376),0))</f>
        <v/>
      </c>
      <c r="O376" s="39" t="str">
        <f aca="false">IF(OR(SUM($N376)=0,SUM($J376)=0,NOT(AND($D376="Female",$F376="Y",OR($C376="10-14",$C376="15-17")))),"",ROUND($N376*$J376,0))</f>
        <v/>
      </c>
      <c r="P376" s="39" t="str">
        <f aca="false">IF(OR(SUM($N376)=0,SUM($K376)=0,NOT(OR($C376="10-14",$C376="05-09"))),"",ROUND($N376*$K376,0))</f>
        <v/>
      </c>
      <c r="Q376" s="39" t="str">
        <f aca="false">IFERROR(1/(1/ROUND($N376*$L376*$M376,0)),"")</f>
        <v/>
      </c>
      <c r="R376" s="39" t="str">
        <f aca="false">IFERROR(1/(1/(ROUND($N376*$L376,0)-$Q376)),"")</f>
        <v/>
      </c>
      <c r="S376" s="88" t="str">
        <f aca="false">IF(OR($C376="18+",$C376="18-20",SUM($Q376,$R376)=0),"",100%)</f>
        <v/>
      </c>
      <c r="T376" s="39" t="str">
        <f aca="false">IF(OR($C376="18+",$C376="18-20",SUM($Q376,$R376)=0),"",ROUND(SUM($Q376,$R376)*$S376,0))</f>
        <v/>
      </c>
    </row>
    <row r="377" customFormat="false" ht="15" hidden="false" customHeight="false" outlineLevel="0" collapsed="false">
      <c r="A377" s="0" t="str">
        <f aca="false">INDEX(Prioritization!$D:$D,MATCH($B377,Prioritization!$A:$A,0))</f>
        <v>INVALID</v>
      </c>
      <c r="B377" s="0" t="s">
        <v>219</v>
      </c>
      <c r="C377" s="0" t="s">
        <v>814</v>
      </c>
      <c r="D377" s="0" t="s">
        <v>30</v>
      </c>
      <c r="E377" s="0" t="str">
        <f aca="false">$B377&amp;"|"&amp;$C377&amp;"|"&amp;$D377</f>
        <v>Nsanje District [rpw540fmNUz]|18+|Female</v>
      </c>
      <c r="G377" s="10"/>
      <c r="H377" s="10"/>
      <c r="I377" s="88" t="str">
        <f aca="false">IF(SUM($H377)=0,"",0%)</f>
        <v/>
      </c>
      <c r="J377" s="88"/>
      <c r="K377" s="88"/>
      <c r="L377" s="88" t="n">
        <f aca="false">1-IF(NOT(AND($D377="Female",OR($C377="10-14",$C377="15-17",$F377="Y"))),0,$J377)-IF(NOT(OR($C377="05-09",$C377="10-14")),0,$K377)</f>
        <v>1</v>
      </c>
      <c r="M377" s="88" t="n">
        <f aca="false">IF(SUM($L377)=0,"",20%)</f>
        <v>0.2</v>
      </c>
      <c r="N377" s="10" t="str">
        <f aca="false">IF(SUM($H377)=0,"",ROUND($H377*(1+$I377),0))</f>
        <v/>
      </c>
      <c r="O377" s="39" t="str">
        <f aca="false">IF(OR(SUM($N377)=0,SUM($J377)=0,NOT(AND($D377="Female",$F377="Y",OR($C377="10-14",$C377="15-17")))),"",ROUND($N377*$J377,0))</f>
        <v/>
      </c>
      <c r="P377" s="39" t="str">
        <f aca="false">IF(OR(SUM($N377)=0,SUM($K377)=0,NOT(OR($C377="10-14",$C377="05-09"))),"",ROUND($N377*$K377,0))</f>
        <v/>
      </c>
      <c r="Q377" s="39" t="str">
        <f aca="false">IFERROR(1/(1/ROUND($N377*$L377*$M377,0)),"")</f>
        <v/>
      </c>
      <c r="R377" s="39" t="str">
        <f aca="false">IFERROR(1/(1/(ROUND($N377*$L377,0)-$Q377)),"")</f>
        <v/>
      </c>
      <c r="S377" s="88" t="str">
        <f aca="false">IF(OR($C377="18+",$C377="18-20",SUM($Q377,$R377)=0),"",100%)</f>
        <v/>
      </c>
      <c r="T377" s="39" t="str">
        <f aca="false">IF(OR($C377="18+",$C377="18-20",SUM($Q377,$R377)=0),"",ROUND(SUM($Q377,$R377)*$S377,0))</f>
        <v/>
      </c>
    </row>
    <row r="378" customFormat="false" ht="15" hidden="false" customHeight="false" outlineLevel="0" collapsed="false">
      <c r="A378" s="0" t="str">
        <f aca="false">INDEX(Prioritization!$D:$D,MATCH($B378,Prioritization!$A:$A,0))</f>
        <v>INVALID</v>
      </c>
      <c r="B378" s="0" t="s">
        <v>219</v>
      </c>
      <c r="C378" s="0" t="s">
        <v>814</v>
      </c>
      <c r="D378" s="0" t="s">
        <v>48</v>
      </c>
      <c r="E378" s="0" t="str">
        <f aca="false">$B378&amp;"|"&amp;$C378&amp;"|"&amp;$D378</f>
        <v>Nsanje District [rpw540fmNUz]|18+|Male</v>
      </c>
      <c r="G378" s="10"/>
      <c r="H378" s="10"/>
      <c r="I378" s="88" t="str">
        <f aca="false">IF(SUM($H378)=0,"",0%)</f>
        <v/>
      </c>
      <c r="J378" s="88"/>
      <c r="K378" s="88"/>
      <c r="L378" s="88" t="n">
        <f aca="false">1-IF(NOT(AND($D378="Female",OR($C378="10-14",$C378="15-17",$F378="Y"))),0,$J378)-IF(NOT(OR($C378="05-09",$C378="10-14")),0,$K378)</f>
        <v>1</v>
      </c>
      <c r="M378" s="88" t="n">
        <f aca="false">IF(SUM($L378)=0,"",20%)</f>
        <v>0.2</v>
      </c>
      <c r="N378" s="10" t="str">
        <f aca="false">IF(SUM($H378)=0,"",ROUND($H378*(1+$I378),0))</f>
        <v/>
      </c>
      <c r="O378" s="39" t="str">
        <f aca="false">IF(OR(SUM($N378)=0,SUM($J378)=0,NOT(AND($D378="Female",$F378="Y",OR($C378="10-14",$C378="15-17")))),"",ROUND($N378*$J378,0))</f>
        <v/>
      </c>
      <c r="P378" s="39" t="str">
        <f aca="false">IF(OR(SUM($N378)=0,SUM($K378)=0,NOT(OR($C378="10-14",$C378="05-09"))),"",ROUND($N378*$K378,0))</f>
        <v/>
      </c>
      <c r="Q378" s="39" t="str">
        <f aca="false">IFERROR(1/(1/ROUND($N378*$L378*$M378,0)),"")</f>
        <v/>
      </c>
      <c r="R378" s="39" t="str">
        <f aca="false">IFERROR(1/(1/(ROUND($N378*$L378,0)-$Q378)),"")</f>
        <v/>
      </c>
      <c r="S378" s="88" t="str">
        <f aca="false">IF(OR($C378="18+",$C378="18-20",SUM($Q378,$R378)=0),"",100%)</f>
        <v/>
      </c>
      <c r="T378" s="39" t="str">
        <f aca="false">IF(OR($C378="18+",$C378="18-20",SUM($Q378,$R378)=0),"",ROUND(SUM($Q378,$R378)*$S378,0))</f>
        <v/>
      </c>
    </row>
    <row r="379" customFormat="false" ht="15" hidden="false" customHeight="false" outlineLevel="0" collapsed="false">
      <c r="A379" s="0" t="str">
        <f aca="false">INDEX(Prioritization!$D:$D,MATCH($B379,Prioritization!$A:$A,0))</f>
        <v>INVALID</v>
      </c>
      <c r="B379" s="0" t="s">
        <v>220</v>
      </c>
      <c r="C379" s="0" t="s">
        <v>316</v>
      </c>
      <c r="D379" s="0" t="s">
        <v>30</v>
      </c>
      <c r="E379" s="0" t="str">
        <f aca="false">$B379&amp;"|"&amp;$C379&amp;"|"&amp;$D379</f>
        <v>Phalombe District [AZyWpGzhcaA]|&lt;01|Female</v>
      </c>
      <c r="F379" s="0" t="s">
        <v>1247</v>
      </c>
      <c r="G379" s="10" t="n">
        <v>23</v>
      </c>
      <c r="H379" s="10" t="n">
        <v>59</v>
      </c>
      <c r="I379" s="88" t="n">
        <f aca="false">IF(SUM($H379)=0,"",0%)</f>
        <v>0</v>
      </c>
      <c r="J379" s="88"/>
      <c r="K379" s="88"/>
      <c r="L379" s="88" t="n">
        <f aca="false">1-IF(NOT(AND($D379="Female",OR($C379="10-14",$C379="15-17",$F379="Y"))),0,$J379)-IF(NOT(OR($C379="05-09",$C379="10-14")),0,$K379)</f>
        <v>1</v>
      </c>
      <c r="M379" s="88" t="n">
        <f aca="false">IF(SUM($L379)=0,"",20%)</f>
        <v>0.2</v>
      </c>
      <c r="N379" s="10" t="n">
        <f aca="false">IF(SUM($H379)=0,"",ROUND($H379*(1+$I379),0))</f>
        <v>59</v>
      </c>
      <c r="O379" s="39" t="str">
        <f aca="false">IF(OR(SUM($N379)=0,SUM($J379)=0,NOT(AND($D379="Female",$F379="Y",OR($C379="10-14",$C379="15-17")))),"",ROUND($N379*$J379,0))</f>
        <v/>
      </c>
      <c r="P379" s="39" t="str">
        <f aca="false">IF(OR(SUM($N379)=0,SUM($K379)=0,NOT(OR($C379="10-14",$C379="05-09"))),"",ROUND($N379*$K379,0))</f>
        <v/>
      </c>
      <c r="Q379" s="39" t="n">
        <f aca="false">IFERROR(1/(1/ROUND($N379*$L379*$M379,0)),"")</f>
        <v>12</v>
      </c>
      <c r="R379" s="39" t="n">
        <f aca="false">IFERROR(1/(1/(ROUND($N379*$L379,0)-$Q379)),"")</f>
        <v>47</v>
      </c>
      <c r="S379" s="88" t="n">
        <f aca="false">IF(OR($C379="18+",$C379="18-20",SUM($Q379,$R379)=0),"",100%)</f>
        <v>1</v>
      </c>
      <c r="T379" s="39" t="n">
        <f aca="false">IF(OR($C379="18+",$C379="18-20",SUM($Q379,$R379)=0),"",ROUND(SUM($Q379,$R379)*$S379,0))</f>
        <v>59</v>
      </c>
    </row>
    <row r="380" customFormat="false" ht="15" hidden="false" customHeight="false" outlineLevel="0" collapsed="false">
      <c r="A380" s="0" t="str">
        <f aca="false">INDEX(Prioritization!$D:$D,MATCH($B380,Prioritization!$A:$A,0))</f>
        <v>INVALID</v>
      </c>
      <c r="B380" s="0" t="s">
        <v>220</v>
      </c>
      <c r="C380" s="0" t="s">
        <v>316</v>
      </c>
      <c r="D380" s="0" t="s">
        <v>48</v>
      </c>
      <c r="E380" s="0" t="str">
        <f aca="false">$B380&amp;"|"&amp;$C380&amp;"|"&amp;$D380</f>
        <v>Phalombe District [AZyWpGzhcaA]|&lt;01|Male</v>
      </c>
      <c r="F380" s="0" t="s">
        <v>1247</v>
      </c>
      <c r="G380" s="10" t="n">
        <v>62</v>
      </c>
      <c r="H380" s="10" t="n">
        <v>98</v>
      </c>
      <c r="I380" s="88" t="n">
        <f aca="false">IF(SUM($H380)=0,"",0%)</f>
        <v>0</v>
      </c>
      <c r="J380" s="88"/>
      <c r="K380" s="88"/>
      <c r="L380" s="88" t="n">
        <f aca="false">1-IF(NOT(AND($D380="Female",OR($C380="10-14",$C380="15-17",$F380="Y"))),0,$J380)-IF(NOT(OR($C380="05-09",$C380="10-14")),0,$K380)</f>
        <v>1</v>
      </c>
      <c r="M380" s="88" t="n">
        <f aca="false">IF(SUM($L380)=0,"",20%)</f>
        <v>0.2</v>
      </c>
      <c r="N380" s="10" t="n">
        <f aca="false">IF(SUM($H380)=0,"",ROUND($H380*(1+$I380),0))</f>
        <v>98</v>
      </c>
      <c r="O380" s="39" t="str">
        <f aca="false">IF(OR(SUM($N380)=0,SUM($J380)=0,NOT(AND($D380="Female",$F380="Y",OR($C380="10-14",$C380="15-17")))),"",ROUND($N380*$J380,0))</f>
        <v/>
      </c>
      <c r="P380" s="39" t="str">
        <f aca="false">IF(OR(SUM($N380)=0,SUM($K380)=0,NOT(OR($C380="10-14",$C380="05-09"))),"",ROUND($N380*$K380,0))</f>
        <v/>
      </c>
      <c r="Q380" s="39" t="n">
        <f aca="false">IFERROR(1/(1/ROUND($N380*$L380*$M380,0)),"")</f>
        <v>20</v>
      </c>
      <c r="R380" s="39" t="n">
        <f aca="false">IFERROR(1/(1/(ROUND($N380*$L380,0)-$Q380)),"")</f>
        <v>78</v>
      </c>
      <c r="S380" s="88" t="n">
        <f aca="false">IF(OR($C380="18+",$C380="18-20",SUM($Q380,$R380)=0),"",100%)</f>
        <v>1</v>
      </c>
      <c r="T380" s="39" t="n">
        <f aca="false">IF(OR($C380="18+",$C380="18-20",SUM($Q380,$R380)=0),"",ROUND(SUM($Q380,$R380)*$S380,0))</f>
        <v>98</v>
      </c>
    </row>
    <row r="381" customFormat="false" ht="15" hidden="false" customHeight="false" outlineLevel="0" collapsed="false">
      <c r="A381" s="0" t="str">
        <f aca="false">INDEX(Prioritization!$D:$D,MATCH($B381,Prioritization!$A:$A,0))</f>
        <v>INVALID</v>
      </c>
      <c r="B381" s="0" t="s">
        <v>220</v>
      </c>
      <c r="C381" s="0" t="s">
        <v>810</v>
      </c>
      <c r="D381" s="0" t="s">
        <v>30</v>
      </c>
      <c r="E381" s="0" t="str">
        <f aca="false">$B381&amp;"|"&amp;$C381&amp;"|"&amp;$D381</f>
        <v>Phalombe District [AZyWpGzhcaA]|01-04|Female</v>
      </c>
      <c r="F381" s="0" t="s">
        <v>1247</v>
      </c>
      <c r="G381" s="10" t="n">
        <v>782</v>
      </c>
      <c r="H381" s="10" t="n">
        <v>20</v>
      </c>
      <c r="I381" s="88" t="n">
        <f aca="false">IF(SUM($H381)=0,"",0%)</f>
        <v>0</v>
      </c>
      <c r="J381" s="88"/>
      <c r="K381" s="88"/>
      <c r="L381" s="88" t="n">
        <f aca="false">1-IF(NOT(AND($D381="Female",OR($C381="10-14",$C381="15-17",$F381="Y"))),0,$J381)-IF(NOT(OR($C381="05-09",$C381="10-14")),0,$K381)</f>
        <v>1</v>
      </c>
      <c r="M381" s="88" t="n">
        <f aca="false">IF(SUM($L381)=0,"",20%)</f>
        <v>0.2</v>
      </c>
      <c r="N381" s="10" t="n">
        <f aca="false">IF(SUM($H381)=0,"",ROUND($H381*(1+$I381),0))</f>
        <v>20</v>
      </c>
      <c r="O381" s="39" t="str">
        <f aca="false">IF(OR(SUM($N381)=0,SUM($J381)=0,NOT(AND($D381="Female",$F381="Y",OR($C381="10-14",$C381="15-17")))),"",ROUND($N381*$J381,0))</f>
        <v/>
      </c>
      <c r="P381" s="39" t="str">
        <f aca="false">IF(OR(SUM($N381)=0,SUM($K381)=0,NOT(OR($C381="10-14",$C381="05-09"))),"",ROUND($N381*$K381,0))</f>
        <v/>
      </c>
      <c r="Q381" s="39" t="n">
        <f aca="false">IFERROR(1/(1/ROUND($N381*$L381*$M381,0)),"")</f>
        <v>4</v>
      </c>
      <c r="R381" s="39" t="n">
        <f aca="false">IFERROR(1/(1/(ROUND($N381*$L381,0)-$Q381)),"")</f>
        <v>16</v>
      </c>
      <c r="S381" s="88" t="n">
        <f aca="false">IF(OR($C381="18+",$C381="18-20",SUM($Q381,$R381)=0),"",100%)</f>
        <v>1</v>
      </c>
      <c r="T381" s="39" t="n">
        <f aca="false">IF(OR($C381="18+",$C381="18-20",SUM($Q381,$R381)=0),"",ROUND(SUM($Q381,$R381)*$S381,0))</f>
        <v>20</v>
      </c>
    </row>
    <row r="382" customFormat="false" ht="15" hidden="false" customHeight="false" outlineLevel="0" collapsed="false">
      <c r="A382" s="0" t="str">
        <f aca="false">INDEX(Prioritization!$D:$D,MATCH($B382,Prioritization!$A:$A,0))</f>
        <v>INVALID</v>
      </c>
      <c r="B382" s="0" t="s">
        <v>220</v>
      </c>
      <c r="C382" s="0" t="s">
        <v>810</v>
      </c>
      <c r="D382" s="0" t="s">
        <v>48</v>
      </c>
      <c r="E382" s="0" t="str">
        <f aca="false">$B382&amp;"|"&amp;$C382&amp;"|"&amp;$D382</f>
        <v>Phalombe District [AZyWpGzhcaA]|01-04|Male</v>
      </c>
      <c r="F382" s="0" t="s">
        <v>1247</v>
      </c>
      <c r="G382" s="10" t="n">
        <v>802</v>
      </c>
      <c r="H382" s="10" t="n">
        <v>81</v>
      </c>
      <c r="I382" s="88" t="n">
        <f aca="false">IF(SUM($H382)=0,"",0%)</f>
        <v>0</v>
      </c>
      <c r="J382" s="88"/>
      <c r="K382" s="88"/>
      <c r="L382" s="88" t="n">
        <f aca="false">1-IF(NOT(AND($D382="Female",OR($C382="10-14",$C382="15-17",$F382="Y"))),0,$J382)-IF(NOT(OR($C382="05-09",$C382="10-14")),0,$K382)</f>
        <v>1</v>
      </c>
      <c r="M382" s="88" t="n">
        <f aca="false">IF(SUM($L382)=0,"",20%)</f>
        <v>0.2</v>
      </c>
      <c r="N382" s="10" t="n">
        <f aca="false">IF(SUM($H382)=0,"",ROUND($H382*(1+$I382),0))</f>
        <v>81</v>
      </c>
      <c r="O382" s="39" t="str">
        <f aca="false">IF(OR(SUM($N382)=0,SUM($J382)=0,NOT(AND($D382="Female",$F382="Y",OR($C382="10-14",$C382="15-17")))),"",ROUND($N382*$J382,0))</f>
        <v/>
      </c>
      <c r="P382" s="39" t="str">
        <f aca="false">IF(OR(SUM($N382)=0,SUM($K382)=0,NOT(OR($C382="10-14",$C382="05-09"))),"",ROUND($N382*$K382,0))</f>
        <v/>
      </c>
      <c r="Q382" s="39" t="n">
        <f aca="false">IFERROR(1/(1/ROUND($N382*$L382*$M382,0)),"")</f>
        <v>16</v>
      </c>
      <c r="R382" s="39" t="n">
        <f aca="false">IFERROR(1/(1/(ROUND($N382*$L382,0)-$Q382)),"")</f>
        <v>65</v>
      </c>
      <c r="S382" s="88" t="n">
        <f aca="false">IF(OR($C382="18+",$C382="18-20",SUM($Q382,$R382)=0),"",100%)</f>
        <v>1</v>
      </c>
      <c r="T382" s="39" t="n">
        <f aca="false">IF(OR($C382="18+",$C382="18-20",SUM($Q382,$R382)=0),"",ROUND(SUM($Q382,$R382)*$S382,0))</f>
        <v>81</v>
      </c>
    </row>
    <row r="383" customFormat="false" ht="15" hidden="false" customHeight="false" outlineLevel="0" collapsed="false">
      <c r="A383" s="0" t="str">
        <f aca="false">INDEX(Prioritization!$D:$D,MATCH($B383,Prioritization!$A:$A,0))</f>
        <v>INVALID</v>
      </c>
      <c r="B383" s="0" t="s">
        <v>220</v>
      </c>
      <c r="C383" s="0" t="s">
        <v>811</v>
      </c>
      <c r="D383" s="0" t="s">
        <v>30</v>
      </c>
      <c r="E383" s="0" t="str">
        <f aca="false">$B383&amp;"|"&amp;$C383&amp;"|"&amp;$D383</f>
        <v>Phalombe District [AZyWpGzhcaA]|05-09|Female</v>
      </c>
      <c r="F383" s="0" t="s">
        <v>1247</v>
      </c>
      <c r="G383" s="10" t="n">
        <v>880</v>
      </c>
      <c r="H383" s="10" t="n">
        <v>27</v>
      </c>
      <c r="I383" s="88" t="n">
        <f aca="false">IF(SUM($H383)=0,"",0%)</f>
        <v>0</v>
      </c>
      <c r="J383" s="88"/>
      <c r="K383" s="88"/>
      <c r="L383" s="88" t="n">
        <f aca="false">1-IF(NOT(AND($D383="Female",OR($C383="10-14",$C383="15-17",$F383="Y"))),0,$J383)-IF(NOT(OR($C383="05-09",$C383="10-14")),0,$K383)</f>
        <v>1</v>
      </c>
      <c r="M383" s="88" t="n">
        <f aca="false">IF(SUM($L383)=0,"",20%)</f>
        <v>0.2</v>
      </c>
      <c r="N383" s="10" t="n">
        <f aca="false">IF(SUM($H383)=0,"",ROUND($H383*(1+$I383),0))</f>
        <v>27</v>
      </c>
      <c r="O383" s="39" t="str">
        <f aca="false">IF(OR(SUM($N383)=0,SUM($J383)=0,NOT(AND($D383="Female",$F383="Y",OR($C383="10-14",$C383="15-17")))),"",ROUND($N383*$J383,0))</f>
        <v/>
      </c>
      <c r="P383" s="39" t="str">
        <f aca="false">IF(OR(SUM($N383)=0,SUM($K383)=0,NOT(OR($C383="10-14",$C383="05-09"))),"",ROUND($N383*$K383,0))</f>
        <v/>
      </c>
      <c r="Q383" s="39" t="n">
        <f aca="false">IFERROR(1/(1/ROUND($N383*$L383*$M383,0)),"")</f>
        <v>5</v>
      </c>
      <c r="R383" s="39" t="n">
        <f aca="false">IFERROR(1/(1/(ROUND($N383*$L383,0)-$Q383)),"")</f>
        <v>22</v>
      </c>
      <c r="S383" s="88" t="n">
        <f aca="false">IF(OR($C383="18+",$C383="18-20",SUM($Q383,$R383)=0),"",100%)</f>
        <v>1</v>
      </c>
      <c r="T383" s="39" t="n">
        <f aca="false">IF(OR($C383="18+",$C383="18-20",SUM($Q383,$R383)=0),"",ROUND(SUM($Q383,$R383)*$S383,0))</f>
        <v>27</v>
      </c>
    </row>
    <row r="384" customFormat="false" ht="15" hidden="false" customHeight="false" outlineLevel="0" collapsed="false">
      <c r="A384" s="0" t="str">
        <f aca="false">INDEX(Prioritization!$D:$D,MATCH($B384,Prioritization!$A:$A,0))</f>
        <v>INVALID</v>
      </c>
      <c r="B384" s="0" t="s">
        <v>220</v>
      </c>
      <c r="C384" s="0" t="s">
        <v>811</v>
      </c>
      <c r="D384" s="0" t="s">
        <v>48</v>
      </c>
      <c r="E384" s="0" t="str">
        <f aca="false">$B384&amp;"|"&amp;$C384&amp;"|"&amp;$D384</f>
        <v>Phalombe District [AZyWpGzhcaA]|05-09|Male</v>
      </c>
      <c r="F384" s="0" t="s">
        <v>1247</v>
      </c>
      <c r="G384" s="10" t="n">
        <v>105</v>
      </c>
      <c r="H384" s="10" t="n">
        <v>20</v>
      </c>
      <c r="I384" s="88" t="n">
        <f aca="false">IF(SUM($H384)=0,"",0%)</f>
        <v>0</v>
      </c>
      <c r="J384" s="88"/>
      <c r="K384" s="88"/>
      <c r="L384" s="88" t="n">
        <f aca="false">1-IF(NOT(AND($D384="Female",OR($C384="10-14",$C384="15-17",$F384="Y"))),0,$J384)-IF(NOT(OR($C384="05-09",$C384="10-14")),0,$K384)</f>
        <v>1</v>
      </c>
      <c r="M384" s="88" t="n">
        <f aca="false">IF(SUM($L384)=0,"",20%)</f>
        <v>0.2</v>
      </c>
      <c r="N384" s="10" t="n">
        <f aca="false">IF(SUM($H384)=0,"",ROUND($H384*(1+$I384),0))</f>
        <v>20</v>
      </c>
      <c r="O384" s="39" t="str">
        <f aca="false">IF(OR(SUM($N384)=0,SUM($J384)=0,NOT(AND($D384="Female",$F384="Y",OR($C384="10-14",$C384="15-17")))),"",ROUND($N384*$J384,0))</f>
        <v/>
      </c>
      <c r="P384" s="39" t="str">
        <f aca="false">IF(OR(SUM($N384)=0,SUM($K384)=0,NOT(OR($C384="10-14",$C384="05-09"))),"",ROUND($N384*$K384,0))</f>
        <v/>
      </c>
      <c r="Q384" s="39" t="n">
        <f aca="false">IFERROR(1/(1/ROUND($N384*$L384*$M384,0)),"")</f>
        <v>4</v>
      </c>
      <c r="R384" s="39" t="n">
        <f aca="false">IFERROR(1/(1/(ROUND($N384*$L384,0)-$Q384)),"")</f>
        <v>16</v>
      </c>
      <c r="S384" s="88" t="n">
        <f aca="false">IF(OR($C384="18+",$C384="18-20",SUM($Q384,$R384)=0),"",100%)</f>
        <v>1</v>
      </c>
      <c r="T384" s="39" t="n">
        <f aca="false">IF(OR($C384="18+",$C384="18-20",SUM($Q384,$R384)=0),"",ROUND(SUM($Q384,$R384)*$S384,0))</f>
        <v>20</v>
      </c>
    </row>
    <row r="385" customFormat="false" ht="15" hidden="false" customHeight="false" outlineLevel="0" collapsed="false">
      <c r="A385" s="0" t="str">
        <f aca="false">INDEX(Prioritization!$D:$D,MATCH($B385,Prioritization!$A:$A,0))</f>
        <v>INVALID</v>
      </c>
      <c r="B385" s="0" t="s">
        <v>220</v>
      </c>
      <c r="C385" s="0" t="s">
        <v>364</v>
      </c>
      <c r="D385" s="0" t="s">
        <v>30</v>
      </c>
      <c r="E385" s="0" t="str">
        <f aca="false">$B385&amp;"|"&amp;$C385&amp;"|"&amp;$D385</f>
        <v>Phalombe District [AZyWpGzhcaA]|10-14|Female</v>
      </c>
      <c r="F385" s="0" t="s">
        <v>1247</v>
      </c>
      <c r="G385" s="10" t="n">
        <v>217</v>
      </c>
      <c r="H385" s="10" t="n">
        <v>933</v>
      </c>
      <c r="I385" s="88" t="n">
        <f aca="false">IF(SUM($H385)=0,"",0%)</f>
        <v>0</v>
      </c>
      <c r="J385" s="88"/>
      <c r="K385" s="88"/>
      <c r="L385" s="88" t="n">
        <f aca="false">1-IF(NOT(AND($D385="Female",OR($C385="10-14",$C385="15-17",$F385="Y"))),0,$J385)-IF(NOT(OR($C385="05-09",$C385="10-14")),0,$K385)</f>
        <v>1</v>
      </c>
      <c r="M385" s="88" t="n">
        <f aca="false">IF(SUM($L385)=0,"",20%)</f>
        <v>0.2</v>
      </c>
      <c r="N385" s="10" t="n">
        <f aca="false">IF(SUM($H385)=0,"",ROUND($H385*(1+$I385),0))</f>
        <v>933</v>
      </c>
      <c r="O385" s="39" t="str">
        <f aca="false">IF(OR(SUM($N385)=0,SUM($J385)=0,NOT(AND($D385="Female",$F385="Y",OR($C385="10-14",$C385="15-17")))),"",ROUND($N385*$J385,0))</f>
        <v/>
      </c>
      <c r="P385" s="39" t="str">
        <f aca="false">IF(OR(SUM($N385)=0,SUM($K385)=0,NOT(OR($C385="10-14",$C385="05-09"))),"",ROUND($N385*$K385,0))</f>
        <v/>
      </c>
      <c r="Q385" s="39" t="n">
        <f aca="false">IFERROR(1/(1/ROUND($N385*$L385*$M385,0)),"")</f>
        <v>187</v>
      </c>
      <c r="R385" s="39" t="n">
        <f aca="false">IFERROR(1/(1/(ROUND($N385*$L385,0)-$Q385)),"")</f>
        <v>746</v>
      </c>
      <c r="S385" s="88" t="n">
        <f aca="false">IF(OR($C385="18+",$C385="18-20",SUM($Q385,$R385)=0),"",100%)</f>
        <v>1</v>
      </c>
      <c r="T385" s="39" t="n">
        <f aca="false">IF(OR($C385="18+",$C385="18-20",SUM($Q385,$R385)=0),"",ROUND(SUM($Q385,$R385)*$S385,0))</f>
        <v>933</v>
      </c>
    </row>
    <row r="386" customFormat="false" ht="15" hidden="false" customHeight="false" outlineLevel="0" collapsed="false">
      <c r="A386" s="0" t="str">
        <f aca="false">INDEX(Prioritization!$D:$D,MATCH($B386,Prioritization!$A:$A,0))</f>
        <v>INVALID</v>
      </c>
      <c r="B386" s="0" t="s">
        <v>220</v>
      </c>
      <c r="C386" s="0" t="s">
        <v>364</v>
      </c>
      <c r="D386" s="0" t="s">
        <v>48</v>
      </c>
      <c r="E386" s="0" t="str">
        <f aca="false">$B386&amp;"|"&amp;$C386&amp;"|"&amp;$D386</f>
        <v>Phalombe District [AZyWpGzhcaA]|10-14|Male</v>
      </c>
      <c r="F386" s="0" t="s">
        <v>1247</v>
      </c>
      <c r="G386" s="10" t="n">
        <v>714</v>
      </c>
      <c r="H386" s="10" t="n">
        <v>163</v>
      </c>
      <c r="I386" s="88" t="n">
        <f aca="false">IF(SUM($H386)=0,"",0%)</f>
        <v>0</v>
      </c>
      <c r="J386" s="88"/>
      <c r="K386" s="88"/>
      <c r="L386" s="88" t="n">
        <f aca="false">1-IF(NOT(AND($D386="Female",OR($C386="10-14",$C386="15-17",$F386="Y"))),0,$J386)-IF(NOT(OR($C386="05-09",$C386="10-14")),0,$K386)</f>
        <v>1</v>
      </c>
      <c r="M386" s="88" t="n">
        <f aca="false">IF(SUM($L386)=0,"",20%)</f>
        <v>0.2</v>
      </c>
      <c r="N386" s="10" t="n">
        <f aca="false">IF(SUM($H386)=0,"",ROUND($H386*(1+$I386),0))</f>
        <v>163</v>
      </c>
      <c r="O386" s="39" t="str">
        <f aca="false">IF(OR(SUM($N386)=0,SUM($J386)=0,NOT(AND($D386="Female",$F386="Y",OR($C386="10-14",$C386="15-17")))),"",ROUND($N386*$J386,0))</f>
        <v/>
      </c>
      <c r="P386" s="39" t="str">
        <f aca="false">IF(OR(SUM($N386)=0,SUM($K386)=0,NOT(OR($C386="10-14",$C386="05-09"))),"",ROUND($N386*$K386,0))</f>
        <v/>
      </c>
      <c r="Q386" s="39" t="n">
        <f aca="false">IFERROR(1/(1/ROUND($N386*$L386*$M386,0)),"")</f>
        <v>33</v>
      </c>
      <c r="R386" s="39" t="n">
        <f aca="false">IFERROR(1/(1/(ROUND($N386*$L386,0)-$Q386)),"")</f>
        <v>130</v>
      </c>
      <c r="S386" s="88" t="n">
        <f aca="false">IF(OR($C386="18+",$C386="18-20",SUM($Q386,$R386)=0),"",100%)</f>
        <v>1</v>
      </c>
      <c r="T386" s="39" t="n">
        <f aca="false">IF(OR($C386="18+",$C386="18-20",SUM($Q386,$R386)=0),"",ROUND(SUM($Q386,$R386)*$S386,0))</f>
        <v>163</v>
      </c>
    </row>
    <row r="387" customFormat="false" ht="15" hidden="false" customHeight="false" outlineLevel="0" collapsed="false">
      <c r="A387" s="0" t="str">
        <f aca="false">INDEX(Prioritization!$D:$D,MATCH($B387,Prioritization!$A:$A,0))</f>
        <v>INVALID</v>
      </c>
      <c r="B387" s="0" t="s">
        <v>220</v>
      </c>
      <c r="C387" s="0" t="s">
        <v>812</v>
      </c>
      <c r="D387" s="0" t="s">
        <v>30</v>
      </c>
      <c r="E387" s="0" t="str">
        <f aca="false">$B387&amp;"|"&amp;$C387&amp;"|"&amp;$D387</f>
        <v>Phalombe District [AZyWpGzhcaA]|15-17|Female</v>
      </c>
      <c r="F387" s="0" t="s">
        <v>1247</v>
      </c>
      <c r="G387" s="10" t="n">
        <v>20</v>
      </c>
      <c r="H387" s="10" t="n">
        <v>79</v>
      </c>
      <c r="I387" s="88" t="n">
        <f aca="false">IF(SUM($H387)=0,"",0%)</f>
        <v>0</v>
      </c>
      <c r="J387" s="88"/>
      <c r="K387" s="88"/>
      <c r="L387" s="88" t="n">
        <f aca="false">1-IF(NOT(AND($D387="Female",OR($C387="10-14",$C387="15-17",$F387="Y"))),0,$J387)-IF(NOT(OR($C387="05-09",$C387="10-14")),0,$K387)</f>
        <v>1</v>
      </c>
      <c r="M387" s="88" t="n">
        <f aca="false">IF(SUM($L387)=0,"",20%)</f>
        <v>0.2</v>
      </c>
      <c r="N387" s="10" t="n">
        <f aca="false">IF(SUM($H387)=0,"",ROUND($H387*(1+$I387),0))</f>
        <v>79</v>
      </c>
      <c r="O387" s="39" t="str">
        <f aca="false">IF(OR(SUM($N387)=0,SUM($J387)=0,NOT(AND($D387="Female",$F387="Y",OR($C387="10-14",$C387="15-17")))),"",ROUND($N387*$J387,0))</f>
        <v/>
      </c>
      <c r="P387" s="39" t="str">
        <f aca="false">IF(OR(SUM($N387)=0,SUM($K387)=0,NOT(OR($C387="10-14",$C387="05-09"))),"",ROUND($N387*$K387,0))</f>
        <v/>
      </c>
      <c r="Q387" s="39" t="n">
        <f aca="false">IFERROR(1/(1/ROUND($N387*$L387*$M387,0)),"")</f>
        <v>16</v>
      </c>
      <c r="R387" s="39" t="n">
        <f aca="false">IFERROR(1/(1/(ROUND($N387*$L387,0)-$Q387)),"")</f>
        <v>63</v>
      </c>
      <c r="S387" s="88" t="n">
        <f aca="false">IF(OR($C387="18+",$C387="18-20",SUM($Q387,$R387)=0),"",100%)</f>
        <v>1</v>
      </c>
      <c r="T387" s="39" t="n">
        <f aca="false">IF(OR($C387="18+",$C387="18-20",SUM($Q387,$R387)=0),"",ROUND(SUM($Q387,$R387)*$S387,0))</f>
        <v>79</v>
      </c>
    </row>
    <row r="388" customFormat="false" ht="15" hidden="false" customHeight="false" outlineLevel="0" collapsed="false">
      <c r="A388" s="0" t="str">
        <f aca="false">INDEX(Prioritization!$D:$D,MATCH($B388,Prioritization!$A:$A,0))</f>
        <v>INVALID</v>
      </c>
      <c r="B388" s="0" t="s">
        <v>220</v>
      </c>
      <c r="C388" s="0" t="s">
        <v>812</v>
      </c>
      <c r="D388" s="0" t="s">
        <v>48</v>
      </c>
      <c r="E388" s="0" t="str">
        <f aca="false">$B388&amp;"|"&amp;$C388&amp;"|"&amp;$D388</f>
        <v>Phalombe District [AZyWpGzhcaA]|15-17|Male</v>
      </c>
      <c r="F388" s="0" t="s">
        <v>1247</v>
      </c>
      <c r="G388" s="10" t="n">
        <v>78</v>
      </c>
      <c r="H388" s="10" t="n">
        <v>13</v>
      </c>
      <c r="I388" s="88" t="n">
        <f aca="false">IF(SUM($H388)=0,"",0%)</f>
        <v>0</v>
      </c>
      <c r="J388" s="88"/>
      <c r="K388" s="88"/>
      <c r="L388" s="88" t="n">
        <f aca="false">1-IF(NOT(AND($D388="Female",OR($C388="10-14",$C388="15-17",$F388="Y"))),0,$J388)-IF(NOT(OR($C388="05-09",$C388="10-14")),0,$K388)</f>
        <v>1</v>
      </c>
      <c r="M388" s="88" t="n">
        <f aca="false">IF(SUM($L388)=0,"",20%)</f>
        <v>0.2</v>
      </c>
      <c r="N388" s="10" t="n">
        <f aca="false">IF(SUM($H388)=0,"",ROUND($H388*(1+$I388),0))</f>
        <v>13</v>
      </c>
      <c r="O388" s="39" t="str">
        <f aca="false">IF(OR(SUM($N388)=0,SUM($J388)=0,NOT(AND($D388="Female",$F388="Y",OR($C388="10-14",$C388="15-17")))),"",ROUND($N388*$J388,0))</f>
        <v/>
      </c>
      <c r="P388" s="39" t="str">
        <f aca="false">IF(OR(SUM($N388)=0,SUM($K388)=0,NOT(OR($C388="10-14",$C388="05-09"))),"",ROUND($N388*$K388,0))</f>
        <v/>
      </c>
      <c r="Q388" s="39" t="n">
        <f aca="false">IFERROR(1/(1/ROUND($N388*$L388*$M388,0)),"")</f>
        <v>3</v>
      </c>
      <c r="R388" s="39" t="n">
        <f aca="false">IFERROR(1/(1/(ROUND($N388*$L388,0)-$Q388)),"")</f>
        <v>10</v>
      </c>
      <c r="S388" s="88" t="n">
        <f aca="false">IF(OR($C388="18+",$C388="18-20",SUM($Q388,$R388)=0),"",100%)</f>
        <v>1</v>
      </c>
      <c r="T388" s="39" t="n">
        <f aca="false">IF(OR($C388="18+",$C388="18-20",SUM($Q388,$R388)=0),"",ROUND(SUM($Q388,$R388)*$S388,0))</f>
        <v>13</v>
      </c>
    </row>
    <row r="389" customFormat="false" ht="15" hidden="false" customHeight="false" outlineLevel="0" collapsed="false">
      <c r="A389" s="0" t="str">
        <f aca="false">INDEX(Prioritization!$D:$D,MATCH($B389,Prioritization!$A:$A,0))</f>
        <v>INVALID</v>
      </c>
      <c r="B389" s="0" t="s">
        <v>220</v>
      </c>
      <c r="C389" s="0" t="s">
        <v>813</v>
      </c>
      <c r="D389" s="0" t="s">
        <v>30</v>
      </c>
      <c r="E389" s="0" t="str">
        <f aca="false">$B389&amp;"|"&amp;$C389&amp;"|"&amp;$D389</f>
        <v>Phalombe District [AZyWpGzhcaA]|18-20|Female</v>
      </c>
      <c r="F389" s="0" t="s">
        <v>1247</v>
      </c>
      <c r="G389" s="10"/>
      <c r="H389" s="10" t="n">
        <v>3</v>
      </c>
      <c r="I389" s="88" t="n">
        <f aca="false">IF(SUM($H389)=0,"",0%)</f>
        <v>0</v>
      </c>
      <c r="J389" s="88"/>
      <c r="K389" s="88"/>
      <c r="L389" s="88" t="n">
        <f aca="false">1-IF(NOT(AND($D389="Female",OR($C389="10-14",$C389="15-17",$F389="Y"))),0,$J389)-IF(NOT(OR($C389="05-09",$C389="10-14")),0,$K389)</f>
        <v>1</v>
      </c>
      <c r="M389" s="88" t="n">
        <f aca="false">IF(SUM($L389)=0,"",20%)</f>
        <v>0.2</v>
      </c>
      <c r="N389" s="10" t="n">
        <f aca="false">IF(SUM($H389)=0,"",ROUND($H389*(1+$I389),0))</f>
        <v>3</v>
      </c>
      <c r="O389" s="39" t="str">
        <f aca="false">IF(OR(SUM($N389)=0,SUM($J389)=0,NOT(AND($D389="Female",$F389="Y",OR($C389="10-14",$C389="15-17")))),"",ROUND($N389*$J389,0))</f>
        <v/>
      </c>
      <c r="P389" s="39" t="str">
        <f aca="false">IF(OR(SUM($N389)=0,SUM($K389)=0,NOT(OR($C389="10-14",$C389="05-09"))),"",ROUND($N389*$K389,0))</f>
        <v/>
      </c>
      <c r="Q389" s="39" t="n">
        <f aca="false">IFERROR(1/(1/ROUND($N389*$L389*$M389,0)),"")</f>
        <v>1</v>
      </c>
      <c r="R389" s="39" t="n">
        <f aca="false">IFERROR(1/(1/(ROUND($N389*$L389,0)-$Q389)),"")</f>
        <v>2</v>
      </c>
      <c r="S389" s="88" t="str">
        <f aca="false">IF(OR($C389="18+",$C389="18-20",SUM($Q389,$R389)=0),"",100%)</f>
        <v/>
      </c>
      <c r="T389" s="39" t="str">
        <f aca="false">IF(OR($C389="18+",$C389="18-20",SUM($Q389,$R389)=0),"",ROUND(SUM($Q389,$R389)*$S389,0))</f>
        <v/>
      </c>
    </row>
    <row r="390" customFormat="false" ht="15" hidden="false" customHeight="false" outlineLevel="0" collapsed="false">
      <c r="A390" s="0" t="str">
        <f aca="false">INDEX(Prioritization!$D:$D,MATCH($B390,Prioritization!$A:$A,0))</f>
        <v>INVALID</v>
      </c>
      <c r="B390" s="0" t="s">
        <v>220</v>
      </c>
      <c r="C390" s="0" t="s">
        <v>813</v>
      </c>
      <c r="D390" s="0" t="s">
        <v>48</v>
      </c>
      <c r="E390" s="0" t="str">
        <f aca="false">$B390&amp;"|"&amp;$C390&amp;"|"&amp;$D390</f>
        <v>Phalombe District [AZyWpGzhcaA]|18-20|Male</v>
      </c>
      <c r="F390" s="0" t="s">
        <v>1247</v>
      </c>
      <c r="G390" s="10"/>
      <c r="H390" s="10" t="n">
        <v>10</v>
      </c>
      <c r="I390" s="88" t="n">
        <f aca="false">IF(SUM($H390)=0,"",0%)</f>
        <v>0</v>
      </c>
      <c r="J390" s="88"/>
      <c r="K390" s="88"/>
      <c r="L390" s="88" t="n">
        <f aca="false">1-IF(NOT(AND($D390="Female",OR($C390="10-14",$C390="15-17",$F390="Y"))),0,$J390)-IF(NOT(OR($C390="05-09",$C390="10-14")),0,$K390)</f>
        <v>1</v>
      </c>
      <c r="M390" s="88" t="n">
        <f aca="false">IF(SUM($L390)=0,"",20%)</f>
        <v>0.2</v>
      </c>
      <c r="N390" s="10" t="n">
        <f aca="false">IF(SUM($H390)=0,"",ROUND($H390*(1+$I390),0))</f>
        <v>10</v>
      </c>
      <c r="O390" s="39" t="str">
        <f aca="false">IF(OR(SUM($N390)=0,SUM($J390)=0,NOT(AND($D390="Female",$F390="Y",OR($C390="10-14",$C390="15-17")))),"",ROUND($N390*$J390,0))</f>
        <v/>
      </c>
      <c r="P390" s="39" t="str">
        <f aca="false">IF(OR(SUM($N390)=0,SUM($K390)=0,NOT(OR($C390="10-14",$C390="05-09"))),"",ROUND($N390*$K390,0))</f>
        <v/>
      </c>
      <c r="Q390" s="39" t="n">
        <f aca="false">IFERROR(1/(1/ROUND($N390*$L390*$M390,0)),"")</f>
        <v>2</v>
      </c>
      <c r="R390" s="39" t="n">
        <f aca="false">IFERROR(1/(1/(ROUND($N390*$L390,0)-$Q390)),"")</f>
        <v>8</v>
      </c>
      <c r="S390" s="88" t="str">
        <f aca="false">IF(OR($C390="18+",$C390="18-20",SUM($Q390,$R390)=0),"",100%)</f>
        <v/>
      </c>
      <c r="T390" s="39" t="str">
        <f aca="false">IF(OR($C390="18+",$C390="18-20",SUM($Q390,$R390)=0),"",ROUND(SUM($Q390,$R390)*$S390,0))</f>
        <v/>
      </c>
    </row>
    <row r="391" customFormat="false" ht="15" hidden="false" customHeight="false" outlineLevel="0" collapsed="false">
      <c r="A391" s="0" t="str">
        <f aca="false">INDEX(Prioritization!$D:$D,MATCH($B391,Prioritization!$A:$A,0))</f>
        <v>INVALID</v>
      </c>
      <c r="B391" s="0" t="s">
        <v>220</v>
      </c>
      <c r="C391" s="0" t="s">
        <v>814</v>
      </c>
      <c r="D391" s="0" t="s">
        <v>30</v>
      </c>
      <c r="E391" s="0" t="str">
        <f aca="false">$B391&amp;"|"&amp;$C391&amp;"|"&amp;$D391</f>
        <v>Phalombe District [AZyWpGzhcaA]|18+|Female</v>
      </c>
      <c r="F391" s="0" t="s">
        <v>1247</v>
      </c>
      <c r="G391" s="10" t="n">
        <v>356</v>
      </c>
      <c r="H391" s="10" t="n">
        <v>563</v>
      </c>
      <c r="I391" s="88" t="n">
        <f aca="false">IF(SUM($H391)=0,"",0%)</f>
        <v>0</v>
      </c>
      <c r="J391" s="88"/>
      <c r="K391" s="88"/>
      <c r="L391" s="88" t="n">
        <f aca="false">1-IF(NOT(AND($D391="Female",OR($C391="10-14",$C391="15-17",$F391="Y"))),0,$J391)-IF(NOT(OR($C391="05-09",$C391="10-14")),0,$K391)</f>
        <v>1</v>
      </c>
      <c r="M391" s="88" t="n">
        <f aca="false">IF(SUM($L391)=0,"",20%)</f>
        <v>0.2</v>
      </c>
      <c r="N391" s="10" t="n">
        <f aca="false">IF(SUM($H391)=0,"",ROUND($H391*(1+$I391),0))</f>
        <v>563</v>
      </c>
      <c r="O391" s="39" t="str">
        <f aca="false">IF(OR(SUM($N391)=0,SUM($J391)=0,NOT(AND($D391="Female",$F391="Y",OR($C391="10-14",$C391="15-17")))),"",ROUND($N391*$J391,0))</f>
        <v/>
      </c>
      <c r="P391" s="39" t="str">
        <f aca="false">IF(OR(SUM($N391)=0,SUM($K391)=0,NOT(OR($C391="10-14",$C391="05-09"))),"",ROUND($N391*$K391,0))</f>
        <v/>
      </c>
      <c r="Q391" s="39" t="n">
        <f aca="false">IFERROR(1/(1/ROUND($N391*$L391*$M391,0)),"")</f>
        <v>113</v>
      </c>
      <c r="R391" s="39" t="n">
        <f aca="false">IFERROR(1/(1/(ROUND($N391*$L391,0)-$Q391)),"")</f>
        <v>450</v>
      </c>
      <c r="S391" s="88" t="str">
        <f aca="false">IF(OR($C391="18+",$C391="18-20",SUM($Q391,$R391)=0),"",100%)</f>
        <v/>
      </c>
      <c r="T391" s="39" t="str">
        <f aca="false">IF(OR($C391="18+",$C391="18-20",SUM($Q391,$R391)=0),"",ROUND(SUM($Q391,$R391)*$S391,0))</f>
        <v/>
      </c>
    </row>
    <row r="392" customFormat="false" ht="15" hidden="false" customHeight="false" outlineLevel="0" collapsed="false">
      <c r="A392" s="0" t="str">
        <f aca="false">INDEX(Prioritization!$D:$D,MATCH($B392,Prioritization!$A:$A,0))</f>
        <v>INVALID</v>
      </c>
      <c r="B392" s="0" t="s">
        <v>220</v>
      </c>
      <c r="C392" s="0" t="s">
        <v>814</v>
      </c>
      <c r="D392" s="0" t="s">
        <v>48</v>
      </c>
      <c r="E392" s="0" t="str">
        <f aca="false">$B392&amp;"|"&amp;$C392&amp;"|"&amp;$D392</f>
        <v>Phalombe District [AZyWpGzhcaA]|18+|Male</v>
      </c>
      <c r="F392" s="0" t="s">
        <v>1247</v>
      </c>
      <c r="G392" s="10" t="n">
        <v>26</v>
      </c>
      <c r="H392" s="10" t="n">
        <v>31</v>
      </c>
      <c r="I392" s="88" t="n">
        <f aca="false">IF(SUM($H392)=0,"",0%)</f>
        <v>0</v>
      </c>
      <c r="J392" s="88"/>
      <c r="K392" s="88"/>
      <c r="L392" s="88" t="n">
        <f aca="false">1-IF(NOT(AND($D392="Female",OR($C392="10-14",$C392="15-17",$F392="Y"))),0,$J392)-IF(NOT(OR($C392="05-09",$C392="10-14")),0,$K392)</f>
        <v>1</v>
      </c>
      <c r="M392" s="88" t="n">
        <f aca="false">IF(SUM($L392)=0,"",20%)</f>
        <v>0.2</v>
      </c>
      <c r="N392" s="10" t="n">
        <f aca="false">IF(SUM($H392)=0,"",ROUND($H392*(1+$I392),0))</f>
        <v>31</v>
      </c>
      <c r="O392" s="39" t="str">
        <f aca="false">IF(OR(SUM($N392)=0,SUM($J392)=0,NOT(AND($D392="Female",$F392="Y",OR($C392="10-14",$C392="15-17")))),"",ROUND($N392*$J392,0))</f>
        <v/>
      </c>
      <c r="P392" s="39" t="str">
        <f aca="false">IF(OR(SUM($N392)=0,SUM($K392)=0,NOT(OR($C392="10-14",$C392="05-09"))),"",ROUND($N392*$K392,0))</f>
        <v/>
      </c>
      <c r="Q392" s="39" t="n">
        <f aca="false">IFERROR(1/(1/ROUND($N392*$L392*$M392,0)),"")</f>
        <v>6</v>
      </c>
      <c r="R392" s="39" t="n">
        <f aca="false">IFERROR(1/(1/(ROUND($N392*$L392,0)-$Q392)),"")</f>
        <v>25</v>
      </c>
      <c r="S392" s="88" t="str">
        <f aca="false">IF(OR($C392="18+",$C392="18-20",SUM($Q392,$R392)=0),"",100%)</f>
        <v/>
      </c>
      <c r="T392" s="39" t="str">
        <f aca="false">IF(OR($C392="18+",$C392="18-20",SUM($Q392,$R392)=0),"",ROUND(SUM($Q392,$R392)*$S392,0))</f>
        <v/>
      </c>
    </row>
    <row r="393" customFormat="false" ht="15" hidden="false" customHeight="false" outlineLevel="0" collapsed="false">
      <c r="A393" s="0" t="str">
        <f aca="false">INDEX(Prioritization!$D:$D,MATCH($B393,Prioritization!$A:$A,0))</f>
        <v>1 - Scale-up: Saturation</v>
      </c>
      <c r="B393" s="0" t="s">
        <v>221</v>
      </c>
      <c r="C393" s="0" t="s">
        <v>316</v>
      </c>
      <c r="D393" s="0" t="s">
        <v>30</v>
      </c>
      <c r="E393" s="0" t="str">
        <f aca="false">$B393&amp;"|"&amp;$C393&amp;"|"&amp;$D393</f>
        <v>Thyolo District [ul0y9diGujK]|&lt;01|Female</v>
      </c>
      <c r="G393" s="10" t="n">
        <v>16</v>
      </c>
      <c r="H393" s="10" t="n">
        <v>40</v>
      </c>
      <c r="I393" s="88" t="n">
        <f aca="false">IF(SUM($H393)=0,"",0%)</f>
        <v>0</v>
      </c>
      <c r="J393" s="88"/>
      <c r="K393" s="88"/>
      <c r="L393" s="88" t="n">
        <f aca="false">1-IF(NOT(AND($D393="Female",OR($C393="10-14",$C393="15-17",$F393="Y"))),0,$J393)-IF(NOT(OR($C393="05-09",$C393="10-14")),0,$K393)</f>
        <v>1</v>
      </c>
      <c r="M393" s="88" t="n">
        <f aca="false">IF(SUM($L393)=0,"",20%)</f>
        <v>0.2</v>
      </c>
      <c r="N393" s="10" t="n">
        <f aca="false">IF(SUM($H393)=0,"",ROUND($H393*(1+$I393),0))</f>
        <v>40</v>
      </c>
      <c r="O393" s="39" t="str">
        <f aca="false">IF(OR(SUM($N393)=0,SUM($J393)=0,NOT(AND($D393="Female",$F393="Y",OR($C393="10-14",$C393="15-17")))),"",ROUND($N393*$J393,0))</f>
        <v/>
      </c>
      <c r="P393" s="39" t="str">
        <f aca="false">IF(OR(SUM($N393)=0,SUM($K393)=0,NOT(OR($C393="10-14",$C393="05-09"))),"",ROUND($N393*$K393,0))</f>
        <v/>
      </c>
      <c r="Q393" s="39" t="n">
        <f aca="false">IFERROR(1/(1/ROUND($N393*$L393*$M393,0)),"")</f>
        <v>8</v>
      </c>
      <c r="R393" s="39" t="n">
        <f aca="false">IFERROR(1/(1/(ROUND($N393*$L393,0)-$Q393)),"")</f>
        <v>32</v>
      </c>
      <c r="S393" s="88" t="n">
        <f aca="false">IF(OR($C393="18+",$C393="18-20",SUM($Q393,$R393)=0),"",100%)</f>
        <v>1</v>
      </c>
      <c r="T393" s="39" t="n">
        <f aca="false">IF(OR($C393="18+",$C393="18-20",SUM($Q393,$R393)=0),"",ROUND(SUM($Q393,$R393)*$S393,0))</f>
        <v>40</v>
      </c>
    </row>
    <row r="394" customFormat="false" ht="15" hidden="false" customHeight="false" outlineLevel="0" collapsed="false">
      <c r="A394" s="0" t="str">
        <f aca="false">INDEX(Prioritization!$D:$D,MATCH($B394,Prioritization!$A:$A,0))</f>
        <v>1 - Scale-up: Saturation</v>
      </c>
      <c r="B394" s="0" t="s">
        <v>221</v>
      </c>
      <c r="C394" s="0" t="s">
        <v>316</v>
      </c>
      <c r="D394" s="0" t="s">
        <v>48</v>
      </c>
      <c r="E394" s="0" t="str">
        <f aca="false">$B394&amp;"|"&amp;$C394&amp;"|"&amp;$D394</f>
        <v>Thyolo District [ul0y9diGujK]|&lt;01|Male</v>
      </c>
      <c r="G394" s="10" t="n">
        <v>99</v>
      </c>
      <c r="H394" s="10" t="n">
        <v>49</v>
      </c>
      <c r="I394" s="88" t="n">
        <f aca="false">IF(SUM($H394)=0,"",0%)</f>
        <v>0</v>
      </c>
      <c r="J394" s="88"/>
      <c r="K394" s="88"/>
      <c r="L394" s="88" t="n">
        <f aca="false">1-IF(NOT(AND($D394="Female",OR($C394="10-14",$C394="15-17",$F394="Y"))),0,$J394)-IF(NOT(OR($C394="05-09",$C394="10-14")),0,$K394)</f>
        <v>1</v>
      </c>
      <c r="M394" s="88" t="n">
        <f aca="false">IF(SUM($L394)=0,"",20%)</f>
        <v>0.2</v>
      </c>
      <c r="N394" s="10" t="n">
        <f aca="false">IF(SUM($H394)=0,"",ROUND($H394*(1+$I394),0))</f>
        <v>49</v>
      </c>
      <c r="O394" s="39" t="str">
        <f aca="false">IF(OR(SUM($N394)=0,SUM($J394)=0,NOT(AND($D394="Female",$F394="Y",OR($C394="10-14",$C394="15-17")))),"",ROUND($N394*$J394,0))</f>
        <v/>
      </c>
      <c r="P394" s="39" t="str">
        <f aca="false">IF(OR(SUM($N394)=0,SUM($K394)=0,NOT(OR($C394="10-14",$C394="05-09"))),"",ROUND($N394*$K394,0))</f>
        <v/>
      </c>
      <c r="Q394" s="39" t="n">
        <f aca="false">IFERROR(1/(1/ROUND($N394*$L394*$M394,0)),"")</f>
        <v>10</v>
      </c>
      <c r="R394" s="39" t="n">
        <f aca="false">IFERROR(1/(1/(ROUND($N394*$L394,0)-$Q394)),"")</f>
        <v>39</v>
      </c>
      <c r="S394" s="88" t="n">
        <f aca="false">IF(OR($C394="18+",$C394="18-20",SUM($Q394,$R394)=0),"",100%)</f>
        <v>1</v>
      </c>
      <c r="T394" s="39" t="n">
        <f aca="false">IF(OR($C394="18+",$C394="18-20",SUM($Q394,$R394)=0),"",ROUND(SUM($Q394,$R394)*$S394,0))</f>
        <v>49</v>
      </c>
    </row>
    <row r="395" customFormat="false" ht="15" hidden="false" customHeight="false" outlineLevel="0" collapsed="false">
      <c r="A395" s="0" t="str">
        <f aca="false">INDEX(Prioritization!$D:$D,MATCH($B395,Prioritization!$A:$A,0))</f>
        <v>1 - Scale-up: Saturation</v>
      </c>
      <c r="B395" s="0" t="s">
        <v>221</v>
      </c>
      <c r="C395" s="0" t="s">
        <v>810</v>
      </c>
      <c r="D395" s="0" t="s">
        <v>30</v>
      </c>
      <c r="E395" s="0" t="str">
        <f aca="false">$B395&amp;"|"&amp;$C395&amp;"|"&amp;$D395</f>
        <v>Thyolo District [ul0y9diGujK]|01-04|Female</v>
      </c>
      <c r="G395" s="10" t="n">
        <v>418</v>
      </c>
      <c r="H395" s="10" t="n">
        <v>13</v>
      </c>
      <c r="I395" s="88" t="n">
        <f aca="false">IF(SUM($H395)=0,"",0%)</f>
        <v>0</v>
      </c>
      <c r="J395" s="88"/>
      <c r="K395" s="88"/>
      <c r="L395" s="88" t="n">
        <f aca="false">1-IF(NOT(AND($D395="Female",OR($C395="10-14",$C395="15-17",$F395="Y"))),0,$J395)-IF(NOT(OR($C395="05-09",$C395="10-14")),0,$K395)</f>
        <v>1</v>
      </c>
      <c r="M395" s="88" t="n">
        <f aca="false">IF(SUM($L395)=0,"",20%)</f>
        <v>0.2</v>
      </c>
      <c r="N395" s="10" t="n">
        <f aca="false">IF(SUM($H395)=0,"",ROUND($H395*(1+$I395),0))</f>
        <v>13</v>
      </c>
      <c r="O395" s="39" t="str">
        <f aca="false">IF(OR(SUM($N395)=0,SUM($J395)=0,NOT(AND($D395="Female",$F395="Y",OR($C395="10-14",$C395="15-17")))),"",ROUND($N395*$J395,0))</f>
        <v/>
      </c>
      <c r="P395" s="39" t="str">
        <f aca="false">IF(OR(SUM($N395)=0,SUM($K395)=0,NOT(OR($C395="10-14",$C395="05-09"))),"",ROUND($N395*$K395,0))</f>
        <v/>
      </c>
      <c r="Q395" s="39" t="n">
        <f aca="false">IFERROR(1/(1/ROUND($N395*$L395*$M395,0)),"")</f>
        <v>3</v>
      </c>
      <c r="R395" s="39" t="n">
        <f aca="false">IFERROR(1/(1/(ROUND($N395*$L395,0)-$Q395)),"")</f>
        <v>10</v>
      </c>
      <c r="S395" s="88" t="n">
        <f aca="false">IF(OR($C395="18+",$C395="18-20",SUM($Q395,$R395)=0),"",100%)</f>
        <v>1</v>
      </c>
      <c r="T395" s="39" t="n">
        <f aca="false">IF(OR($C395="18+",$C395="18-20",SUM($Q395,$R395)=0),"",ROUND(SUM($Q395,$R395)*$S395,0))</f>
        <v>13</v>
      </c>
    </row>
    <row r="396" customFormat="false" ht="15" hidden="false" customHeight="false" outlineLevel="0" collapsed="false">
      <c r="A396" s="0" t="str">
        <f aca="false">INDEX(Prioritization!$D:$D,MATCH($B396,Prioritization!$A:$A,0))</f>
        <v>1 - Scale-up: Saturation</v>
      </c>
      <c r="B396" s="0" t="s">
        <v>221</v>
      </c>
      <c r="C396" s="0" t="s">
        <v>810</v>
      </c>
      <c r="D396" s="0" t="s">
        <v>48</v>
      </c>
      <c r="E396" s="0" t="str">
        <f aca="false">$B396&amp;"|"&amp;$C396&amp;"|"&amp;$D396</f>
        <v>Thyolo District [ul0y9diGujK]|01-04|Male</v>
      </c>
      <c r="G396" s="10" t="n">
        <v>389</v>
      </c>
      <c r="H396" s="10" t="n">
        <v>30</v>
      </c>
      <c r="I396" s="88" t="n">
        <f aca="false">IF(SUM($H396)=0,"",0%)</f>
        <v>0</v>
      </c>
      <c r="J396" s="88"/>
      <c r="K396" s="88"/>
      <c r="L396" s="88" t="n">
        <f aca="false">1-IF(NOT(AND($D396="Female",OR($C396="10-14",$C396="15-17",$F396="Y"))),0,$J396)-IF(NOT(OR($C396="05-09",$C396="10-14")),0,$K396)</f>
        <v>1</v>
      </c>
      <c r="M396" s="88" t="n">
        <f aca="false">IF(SUM($L396)=0,"",20%)</f>
        <v>0.2</v>
      </c>
      <c r="N396" s="10" t="n">
        <f aca="false">IF(SUM($H396)=0,"",ROUND($H396*(1+$I396),0))</f>
        <v>30</v>
      </c>
      <c r="O396" s="39" t="str">
        <f aca="false">IF(OR(SUM($N396)=0,SUM($J396)=0,NOT(AND($D396="Female",$F396="Y",OR($C396="10-14",$C396="15-17")))),"",ROUND($N396*$J396,0))</f>
        <v/>
      </c>
      <c r="P396" s="39" t="str">
        <f aca="false">IF(OR(SUM($N396)=0,SUM($K396)=0,NOT(OR($C396="10-14",$C396="05-09"))),"",ROUND($N396*$K396,0))</f>
        <v/>
      </c>
      <c r="Q396" s="39" t="n">
        <f aca="false">IFERROR(1/(1/ROUND($N396*$L396*$M396,0)),"")</f>
        <v>6</v>
      </c>
      <c r="R396" s="39" t="n">
        <f aca="false">IFERROR(1/(1/(ROUND($N396*$L396,0)-$Q396)),"")</f>
        <v>24</v>
      </c>
      <c r="S396" s="88" t="n">
        <f aca="false">IF(OR($C396="18+",$C396="18-20",SUM($Q396,$R396)=0),"",100%)</f>
        <v>1</v>
      </c>
      <c r="T396" s="39" t="n">
        <f aca="false">IF(OR($C396="18+",$C396="18-20",SUM($Q396,$R396)=0),"",ROUND(SUM($Q396,$R396)*$S396,0))</f>
        <v>30</v>
      </c>
    </row>
    <row r="397" customFormat="false" ht="15" hidden="false" customHeight="false" outlineLevel="0" collapsed="false">
      <c r="A397" s="0" t="str">
        <f aca="false">INDEX(Prioritization!$D:$D,MATCH($B397,Prioritization!$A:$A,0))</f>
        <v>1 - Scale-up: Saturation</v>
      </c>
      <c r="B397" s="0" t="s">
        <v>221</v>
      </c>
      <c r="C397" s="0" t="s">
        <v>811</v>
      </c>
      <c r="D397" s="0" t="s">
        <v>30</v>
      </c>
      <c r="E397" s="0" t="str">
        <f aca="false">$B397&amp;"|"&amp;$C397&amp;"|"&amp;$D397</f>
        <v>Thyolo District [ul0y9diGujK]|05-09|Female</v>
      </c>
      <c r="G397" s="10" t="n">
        <v>99</v>
      </c>
      <c r="H397" s="10" t="n">
        <v>71</v>
      </c>
      <c r="I397" s="88" t="n">
        <f aca="false">IF(SUM($H397)=0,"",0%)</f>
        <v>0</v>
      </c>
      <c r="J397" s="88"/>
      <c r="K397" s="88"/>
      <c r="L397" s="88" t="n">
        <f aca="false">1-IF(NOT(AND($D397="Female",OR($C397="10-14",$C397="15-17",$F397="Y"))),0,$J397)-IF(NOT(OR($C397="05-09",$C397="10-14")),0,$K397)</f>
        <v>1</v>
      </c>
      <c r="M397" s="88" t="n">
        <f aca="false">IF(SUM($L397)=0,"",20%)</f>
        <v>0.2</v>
      </c>
      <c r="N397" s="10" t="n">
        <f aca="false">IF(SUM($H397)=0,"",ROUND($H397*(1+$I397),0))</f>
        <v>71</v>
      </c>
      <c r="O397" s="39" t="str">
        <f aca="false">IF(OR(SUM($N397)=0,SUM($J397)=0,NOT(AND($D397="Female",$F397="Y",OR($C397="10-14",$C397="15-17")))),"",ROUND($N397*$J397,0))</f>
        <v/>
      </c>
      <c r="P397" s="39" t="str">
        <f aca="false">IF(OR(SUM($N397)=0,SUM($K397)=0,NOT(OR($C397="10-14",$C397="05-09"))),"",ROUND($N397*$K397,0))</f>
        <v/>
      </c>
      <c r="Q397" s="39" t="n">
        <f aca="false">IFERROR(1/(1/ROUND($N397*$L397*$M397,0)),"")</f>
        <v>14</v>
      </c>
      <c r="R397" s="39" t="n">
        <f aca="false">IFERROR(1/(1/(ROUND($N397*$L397,0)-$Q397)),"")</f>
        <v>57</v>
      </c>
      <c r="S397" s="88" t="n">
        <f aca="false">IF(OR($C397="18+",$C397="18-20",SUM($Q397,$R397)=0),"",100%)</f>
        <v>1</v>
      </c>
      <c r="T397" s="39" t="n">
        <f aca="false">IF(OR($C397="18+",$C397="18-20",SUM($Q397,$R397)=0),"",ROUND(SUM($Q397,$R397)*$S397,0))</f>
        <v>71</v>
      </c>
    </row>
    <row r="398" customFormat="false" ht="15" hidden="false" customHeight="false" outlineLevel="0" collapsed="false">
      <c r="A398" s="0" t="str">
        <f aca="false">INDEX(Prioritization!$D:$D,MATCH($B398,Prioritization!$A:$A,0))</f>
        <v>1 - Scale-up: Saturation</v>
      </c>
      <c r="B398" s="0" t="s">
        <v>221</v>
      </c>
      <c r="C398" s="0" t="s">
        <v>811</v>
      </c>
      <c r="D398" s="0" t="s">
        <v>48</v>
      </c>
      <c r="E398" s="0" t="str">
        <f aca="false">$B398&amp;"|"&amp;$C398&amp;"|"&amp;$D398</f>
        <v>Thyolo District [ul0y9diGujK]|05-09|Male</v>
      </c>
      <c r="G398" s="10" t="n">
        <v>26</v>
      </c>
      <c r="H398" s="10" t="n">
        <v>68</v>
      </c>
      <c r="I398" s="88" t="n">
        <f aca="false">IF(SUM($H398)=0,"",0%)</f>
        <v>0</v>
      </c>
      <c r="J398" s="88"/>
      <c r="K398" s="88"/>
      <c r="L398" s="88" t="n">
        <f aca="false">1-IF(NOT(AND($D398="Female",OR($C398="10-14",$C398="15-17",$F398="Y"))),0,$J398)-IF(NOT(OR($C398="05-09",$C398="10-14")),0,$K398)</f>
        <v>1</v>
      </c>
      <c r="M398" s="88" t="n">
        <f aca="false">IF(SUM($L398)=0,"",20%)</f>
        <v>0.2</v>
      </c>
      <c r="N398" s="10" t="n">
        <f aca="false">IF(SUM($H398)=0,"",ROUND($H398*(1+$I398),0))</f>
        <v>68</v>
      </c>
      <c r="O398" s="39" t="str">
        <f aca="false">IF(OR(SUM($N398)=0,SUM($J398)=0,NOT(AND($D398="Female",$F398="Y",OR($C398="10-14",$C398="15-17")))),"",ROUND($N398*$J398,0))</f>
        <v/>
      </c>
      <c r="P398" s="39" t="str">
        <f aca="false">IF(OR(SUM($N398)=0,SUM($K398)=0,NOT(OR($C398="10-14",$C398="05-09"))),"",ROUND($N398*$K398,0))</f>
        <v/>
      </c>
      <c r="Q398" s="39" t="n">
        <f aca="false">IFERROR(1/(1/ROUND($N398*$L398*$M398,0)),"")</f>
        <v>14</v>
      </c>
      <c r="R398" s="39" t="n">
        <f aca="false">IFERROR(1/(1/(ROUND($N398*$L398,0)-$Q398)),"")</f>
        <v>54</v>
      </c>
      <c r="S398" s="88" t="n">
        <f aca="false">IF(OR($C398="18+",$C398="18-20",SUM($Q398,$R398)=0),"",100%)</f>
        <v>1</v>
      </c>
      <c r="T398" s="39" t="n">
        <f aca="false">IF(OR($C398="18+",$C398="18-20",SUM($Q398,$R398)=0),"",ROUND(SUM($Q398,$R398)*$S398,0))</f>
        <v>68</v>
      </c>
    </row>
    <row r="399" customFormat="false" ht="15" hidden="false" customHeight="false" outlineLevel="0" collapsed="false">
      <c r="A399" s="0" t="str">
        <f aca="false">INDEX(Prioritization!$D:$D,MATCH($B399,Prioritization!$A:$A,0))</f>
        <v>1 - Scale-up: Saturation</v>
      </c>
      <c r="B399" s="0" t="s">
        <v>221</v>
      </c>
      <c r="C399" s="0" t="s">
        <v>364</v>
      </c>
      <c r="D399" s="0" t="s">
        <v>30</v>
      </c>
      <c r="E399" s="0" t="str">
        <f aca="false">$B399&amp;"|"&amp;$C399&amp;"|"&amp;$D399</f>
        <v>Thyolo District [ul0y9diGujK]|10-14|Female</v>
      </c>
      <c r="G399" s="10" t="n">
        <v>880</v>
      </c>
      <c r="H399" s="10" t="n">
        <v>245</v>
      </c>
      <c r="I399" s="88" t="n">
        <f aca="false">IF(SUM($H399)=0,"",0%)</f>
        <v>0</v>
      </c>
      <c r="J399" s="88"/>
      <c r="K399" s="88"/>
      <c r="L399" s="88" t="n">
        <f aca="false">1-IF(NOT(AND($D399="Female",OR($C399="10-14",$C399="15-17",$F399="Y"))),0,$J399)-IF(NOT(OR($C399="05-09",$C399="10-14")),0,$K399)</f>
        <v>1</v>
      </c>
      <c r="M399" s="88" t="n">
        <f aca="false">IF(SUM($L399)=0,"",20%)</f>
        <v>0.2</v>
      </c>
      <c r="N399" s="10" t="n">
        <f aca="false">IF(SUM($H399)=0,"",ROUND($H399*(1+$I399),0))</f>
        <v>245</v>
      </c>
      <c r="O399" s="39" t="str">
        <f aca="false">IF(OR(SUM($N399)=0,SUM($J399)=0,NOT(AND($D399="Female",$F399="Y",OR($C399="10-14",$C399="15-17")))),"",ROUND($N399*$J399,0))</f>
        <v/>
      </c>
      <c r="P399" s="39" t="str">
        <f aca="false">IF(OR(SUM($N399)=0,SUM($K399)=0,NOT(OR($C399="10-14",$C399="05-09"))),"",ROUND($N399*$K399,0))</f>
        <v/>
      </c>
      <c r="Q399" s="39" t="n">
        <f aca="false">IFERROR(1/(1/ROUND($N399*$L399*$M399,0)),"")</f>
        <v>49</v>
      </c>
      <c r="R399" s="39" t="n">
        <f aca="false">IFERROR(1/(1/(ROUND($N399*$L399,0)-$Q399)),"")</f>
        <v>196</v>
      </c>
      <c r="S399" s="88" t="n">
        <f aca="false">IF(OR($C399="18+",$C399="18-20",SUM($Q399,$R399)=0),"",100%)</f>
        <v>1</v>
      </c>
      <c r="T399" s="39" t="n">
        <f aca="false">IF(OR($C399="18+",$C399="18-20",SUM($Q399,$R399)=0),"",ROUND(SUM($Q399,$R399)*$S399,0))</f>
        <v>245</v>
      </c>
    </row>
    <row r="400" customFormat="false" ht="15" hidden="false" customHeight="false" outlineLevel="0" collapsed="false">
      <c r="A400" s="0" t="str">
        <f aca="false">INDEX(Prioritization!$D:$D,MATCH($B400,Prioritization!$A:$A,0))</f>
        <v>1 - Scale-up: Saturation</v>
      </c>
      <c r="B400" s="0" t="s">
        <v>221</v>
      </c>
      <c r="C400" s="0" t="s">
        <v>364</v>
      </c>
      <c r="D400" s="0" t="s">
        <v>48</v>
      </c>
      <c r="E400" s="0" t="str">
        <f aca="false">$B400&amp;"|"&amp;$C400&amp;"|"&amp;$D400</f>
        <v>Thyolo District [ul0y9diGujK]|10-14|Male</v>
      </c>
      <c r="G400" s="10" t="n">
        <v>110</v>
      </c>
      <c r="H400" s="10" t="n">
        <v>784</v>
      </c>
      <c r="I400" s="88" t="n">
        <f aca="false">IF(SUM($H400)=0,"",0%)</f>
        <v>0</v>
      </c>
      <c r="J400" s="88"/>
      <c r="K400" s="88"/>
      <c r="L400" s="88" t="n">
        <f aca="false">1-IF(NOT(AND($D400="Female",OR($C400="10-14",$C400="15-17",$F400="Y"))),0,$J400)-IF(NOT(OR($C400="05-09",$C400="10-14")),0,$K400)</f>
        <v>1</v>
      </c>
      <c r="M400" s="88" t="n">
        <f aca="false">IF(SUM($L400)=0,"",20%)</f>
        <v>0.2</v>
      </c>
      <c r="N400" s="10" t="n">
        <f aca="false">IF(SUM($H400)=0,"",ROUND($H400*(1+$I400),0))</f>
        <v>784</v>
      </c>
      <c r="O400" s="39" t="str">
        <f aca="false">IF(OR(SUM($N400)=0,SUM($J400)=0,NOT(AND($D400="Female",$F400="Y",OR($C400="10-14",$C400="15-17")))),"",ROUND($N400*$J400,0))</f>
        <v/>
      </c>
      <c r="P400" s="39" t="str">
        <f aca="false">IF(OR(SUM($N400)=0,SUM($K400)=0,NOT(OR($C400="10-14",$C400="05-09"))),"",ROUND($N400*$K400,0))</f>
        <v/>
      </c>
      <c r="Q400" s="39" t="n">
        <f aca="false">IFERROR(1/(1/ROUND($N400*$L400*$M400,0)),"")</f>
        <v>157</v>
      </c>
      <c r="R400" s="39" t="n">
        <f aca="false">IFERROR(1/(1/(ROUND($N400*$L400,0)-$Q400)),"")</f>
        <v>627</v>
      </c>
      <c r="S400" s="88" t="n">
        <f aca="false">IF(OR($C400="18+",$C400="18-20",SUM($Q400,$R400)=0),"",100%)</f>
        <v>1</v>
      </c>
      <c r="T400" s="39" t="n">
        <f aca="false">IF(OR($C400="18+",$C400="18-20",SUM($Q400,$R400)=0),"",ROUND(SUM($Q400,$R400)*$S400,0))</f>
        <v>784</v>
      </c>
    </row>
    <row r="401" customFormat="false" ht="15" hidden="false" customHeight="false" outlineLevel="0" collapsed="false">
      <c r="A401" s="0" t="str">
        <f aca="false">INDEX(Prioritization!$D:$D,MATCH($B401,Prioritization!$A:$A,0))</f>
        <v>1 - Scale-up: Saturation</v>
      </c>
      <c r="B401" s="0" t="s">
        <v>221</v>
      </c>
      <c r="C401" s="0" t="s">
        <v>812</v>
      </c>
      <c r="D401" s="0" t="s">
        <v>30</v>
      </c>
      <c r="E401" s="0" t="str">
        <f aca="false">$B401&amp;"|"&amp;$C401&amp;"|"&amp;$D401</f>
        <v>Thyolo District [ul0y9diGujK]|15-17|Female</v>
      </c>
      <c r="G401" s="10" t="n">
        <v>98</v>
      </c>
      <c r="H401" s="10" t="n">
        <v>13</v>
      </c>
      <c r="I401" s="88" t="n">
        <f aca="false">IF(SUM($H401)=0,"",0%)</f>
        <v>0</v>
      </c>
      <c r="J401" s="88"/>
      <c r="K401" s="88"/>
      <c r="L401" s="88" t="n">
        <f aca="false">1-IF(NOT(AND($D401="Female",OR($C401="10-14",$C401="15-17",$F401="Y"))),0,$J401)-IF(NOT(OR($C401="05-09",$C401="10-14")),0,$K401)</f>
        <v>1</v>
      </c>
      <c r="M401" s="88" t="n">
        <f aca="false">IF(SUM($L401)=0,"",20%)</f>
        <v>0.2</v>
      </c>
      <c r="N401" s="10" t="n">
        <f aca="false">IF(SUM($H401)=0,"",ROUND($H401*(1+$I401),0))</f>
        <v>13</v>
      </c>
      <c r="O401" s="39" t="str">
        <f aca="false">IF(OR(SUM($N401)=0,SUM($J401)=0,NOT(AND($D401="Female",$F401="Y",OR($C401="10-14",$C401="15-17")))),"",ROUND($N401*$J401,0))</f>
        <v/>
      </c>
      <c r="P401" s="39" t="str">
        <f aca="false">IF(OR(SUM($N401)=0,SUM($K401)=0,NOT(OR($C401="10-14",$C401="05-09"))),"",ROUND($N401*$K401,0))</f>
        <v/>
      </c>
      <c r="Q401" s="39" t="n">
        <f aca="false">IFERROR(1/(1/ROUND($N401*$L401*$M401,0)),"")</f>
        <v>3</v>
      </c>
      <c r="R401" s="39" t="n">
        <f aca="false">IFERROR(1/(1/(ROUND($N401*$L401,0)-$Q401)),"")</f>
        <v>10</v>
      </c>
      <c r="S401" s="88" t="n">
        <f aca="false">IF(OR($C401="18+",$C401="18-20",SUM($Q401,$R401)=0),"",100%)</f>
        <v>1</v>
      </c>
      <c r="T401" s="39" t="n">
        <f aca="false">IF(OR($C401="18+",$C401="18-20",SUM($Q401,$R401)=0),"",ROUND(SUM($Q401,$R401)*$S401,0))</f>
        <v>13</v>
      </c>
    </row>
    <row r="402" customFormat="false" ht="15" hidden="false" customHeight="false" outlineLevel="0" collapsed="false">
      <c r="A402" s="0" t="str">
        <f aca="false">INDEX(Prioritization!$D:$D,MATCH($B402,Prioritization!$A:$A,0))</f>
        <v>1 - Scale-up: Saturation</v>
      </c>
      <c r="B402" s="0" t="s">
        <v>221</v>
      </c>
      <c r="C402" s="0" t="s">
        <v>812</v>
      </c>
      <c r="D402" s="0" t="s">
        <v>48</v>
      </c>
      <c r="E402" s="0" t="str">
        <f aca="false">$B402&amp;"|"&amp;$C402&amp;"|"&amp;$D402</f>
        <v>Thyolo District [ul0y9diGujK]|15-17|Male</v>
      </c>
      <c r="G402" s="10" t="n">
        <v>66</v>
      </c>
      <c r="H402" s="10" t="n">
        <v>54</v>
      </c>
      <c r="I402" s="88" t="n">
        <f aca="false">IF(SUM($H402)=0,"",0%)</f>
        <v>0</v>
      </c>
      <c r="J402" s="88"/>
      <c r="K402" s="88"/>
      <c r="L402" s="88" t="n">
        <f aca="false">1-IF(NOT(AND($D402="Female",OR($C402="10-14",$C402="15-17",$F402="Y"))),0,$J402)-IF(NOT(OR($C402="05-09",$C402="10-14")),0,$K402)</f>
        <v>1</v>
      </c>
      <c r="M402" s="88" t="n">
        <f aca="false">IF(SUM($L402)=0,"",20%)</f>
        <v>0.2</v>
      </c>
      <c r="N402" s="10" t="n">
        <f aca="false">IF(SUM($H402)=0,"",ROUND($H402*(1+$I402),0))</f>
        <v>54</v>
      </c>
      <c r="O402" s="39" t="str">
        <f aca="false">IF(OR(SUM($N402)=0,SUM($J402)=0,NOT(AND($D402="Female",$F402="Y",OR($C402="10-14",$C402="15-17")))),"",ROUND($N402*$J402,0))</f>
        <v/>
      </c>
      <c r="P402" s="39" t="str">
        <f aca="false">IF(OR(SUM($N402)=0,SUM($K402)=0,NOT(OR($C402="10-14",$C402="05-09"))),"",ROUND($N402*$K402,0))</f>
        <v/>
      </c>
      <c r="Q402" s="39" t="n">
        <f aca="false">IFERROR(1/(1/ROUND($N402*$L402*$M402,0)),"")</f>
        <v>11</v>
      </c>
      <c r="R402" s="39" t="n">
        <f aca="false">IFERROR(1/(1/(ROUND($N402*$L402,0)-$Q402)),"")</f>
        <v>43</v>
      </c>
      <c r="S402" s="88" t="n">
        <f aca="false">IF(OR($C402="18+",$C402="18-20",SUM($Q402,$R402)=0),"",100%)</f>
        <v>1</v>
      </c>
      <c r="T402" s="39" t="n">
        <f aca="false">IF(OR($C402="18+",$C402="18-20",SUM($Q402,$R402)=0),"",ROUND(SUM($Q402,$R402)*$S402,0))</f>
        <v>54</v>
      </c>
    </row>
    <row r="403" customFormat="false" ht="15" hidden="false" customHeight="false" outlineLevel="0" collapsed="false">
      <c r="A403" s="0" t="str">
        <f aca="false">INDEX(Prioritization!$D:$D,MATCH($B403,Prioritization!$A:$A,0))</f>
        <v>1 - Scale-up: Saturation</v>
      </c>
      <c r="B403" s="0" t="s">
        <v>221</v>
      </c>
      <c r="C403" s="0" t="s">
        <v>813</v>
      </c>
      <c r="D403" s="0" t="s">
        <v>30</v>
      </c>
      <c r="E403" s="0" t="str">
        <f aca="false">$B403&amp;"|"&amp;$C403&amp;"|"&amp;$D403</f>
        <v>Thyolo District [ul0y9diGujK]|18-20|Female</v>
      </c>
      <c r="G403" s="10"/>
      <c r="H403" s="10" t="n">
        <v>4</v>
      </c>
      <c r="I403" s="88" t="n">
        <f aca="false">IF(SUM($H403)=0,"",0%)</f>
        <v>0</v>
      </c>
      <c r="J403" s="88"/>
      <c r="K403" s="88"/>
      <c r="L403" s="88" t="n">
        <f aca="false">1-IF(NOT(AND($D403="Female",OR($C403="10-14",$C403="15-17",$F403="Y"))),0,$J403)-IF(NOT(OR($C403="05-09",$C403="10-14")),0,$K403)</f>
        <v>1</v>
      </c>
      <c r="M403" s="88" t="n">
        <f aca="false">IF(SUM($L403)=0,"",20%)</f>
        <v>0.2</v>
      </c>
      <c r="N403" s="10" t="n">
        <f aca="false">IF(SUM($H403)=0,"",ROUND($H403*(1+$I403),0))</f>
        <v>4</v>
      </c>
      <c r="O403" s="39" t="str">
        <f aca="false">IF(OR(SUM($N403)=0,SUM($J403)=0,NOT(AND($D403="Female",$F403="Y",OR($C403="10-14",$C403="15-17")))),"",ROUND($N403*$J403,0))</f>
        <v/>
      </c>
      <c r="P403" s="39" t="str">
        <f aca="false">IF(OR(SUM($N403)=0,SUM($K403)=0,NOT(OR($C403="10-14",$C403="05-09"))),"",ROUND($N403*$K403,0))</f>
        <v/>
      </c>
      <c r="Q403" s="39" t="n">
        <f aca="false">IFERROR(1/(1/ROUND($N403*$L403*$M403,0)),"")</f>
        <v>1</v>
      </c>
      <c r="R403" s="39" t="n">
        <f aca="false">IFERROR(1/(1/(ROUND($N403*$L403,0)-$Q403)),"")</f>
        <v>3</v>
      </c>
      <c r="S403" s="88" t="str">
        <f aca="false">IF(OR($C403="18+",$C403="18-20",SUM($Q403,$R403)=0),"",100%)</f>
        <v/>
      </c>
      <c r="T403" s="39" t="str">
        <f aca="false">IF(OR($C403="18+",$C403="18-20",SUM($Q403,$R403)=0),"",ROUND(SUM($Q403,$R403)*$S403,0))</f>
        <v/>
      </c>
    </row>
    <row r="404" customFormat="false" ht="15" hidden="false" customHeight="false" outlineLevel="0" collapsed="false">
      <c r="A404" s="0" t="str">
        <f aca="false">INDEX(Prioritization!$D:$D,MATCH($B404,Prioritization!$A:$A,0))</f>
        <v>1 - Scale-up: Saturation</v>
      </c>
      <c r="B404" s="0" t="s">
        <v>221</v>
      </c>
      <c r="C404" s="0" t="s">
        <v>813</v>
      </c>
      <c r="D404" s="0" t="s">
        <v>48</v>
      </c>
      <c r="E404" s="0" t="str">
        <f aca="false">$B404&amp;"|"&amp;$C404&amp;"|"&amp;$D404</f>
        <v>Thyolo District [ul0y9diGujK]|18-20|Male</v>
      </c>
      <c r="G404" s="10"/>
      <c r="H404" s="10" t="n">
        <v>4</v>
      </c>
      <c r="I404" s="88" t="n">
        <f aca="false">IF(SUM($H404)=0,"",0%)</f>
        <v>0</v>
      </c>
      <c r="J404" s="88"/>
      <c r="K404" s="88"/>
      <c r="L404" s="88" t="n">
        <f aca="false">1-IF(NOT(AND($D404="Female",OR($C404="10-14",$C404="15-17",$F404="Y"))),0,$J404)-IF(NOT(OR($C404="05-09",$C404="10-14")),0,$K404)</f>
        <v>1</v>
      </c>
      <c r="M404" s="88" t="n">
        <f aca="false">IF(SUM($L404)=0,"",20%)</f>
        <v>0.2</v>
      </c>
      <c r="N404" s="10" t="n">
        <f aca="false">IF(SUM($H404)=0,"",ROUND($H404*(1+$I404),0))</f>
        <v>4</v>
      </c>
      <c r="O404" s="39" t="str">
        <f aca="false">IF(OR(SUM($N404)=0,SUM($J404)=0,NOT(AND($D404="Female",$F404="Y",OR($C404="10-14",$C404="15-17")))),"",ROUND($N404*$J404,0))</f>
        <v/>
      </c>
      <c r="P404" s="39" t="str">
        <f aca="false">IF(OR(SUM($N404)=0,SUM($K404)=0,NOT(OR($C404="10-14",$C404="05-09"))),"",ROUND($N404*$K404,0))</f>
        <v/>
      </c>
      <c r="Q404" s="39" t="n">
        <f aca="false">IFERROR(1/(1/ROUND($N404*$L404*$M404,0)),"")</f>
        <v>1</v>
      </c>
      <c r="R404" s="39" t="n">
        <f aca="false">IFERROR(1/(1/(ROUND($N404*$L404,0)-$Q404)),"")</f>
        <v>3</v>
      </c>
      <c r="S404" s="88" t="str">
        <f aca="false">IF(OR($C404="18+",$C404="18-20",SUM($Q404,$R404)=0),"",100%)</f>
        <v/>
      </c>
      <c r="T404" s="39" t="str">
        <f aca="false">IF(OR($C404="18+",$C404="18-20",SUM($Q404,$R404)=0),"",ROUND(SUM($Q404,$R404)*$S404,0))</f>
        <v/>
      </c>
    </row>
    <row r="405" customFormat="false" ht="15" hidden="false" customHeight="false" outlineLevel="0" collapsed="false">
      <c r="A405" s="0" t="str">
        <f aca="false">INDEX(Prioritization!$D:$D,MATCH($B405,Prioritization!$A:$A,0))</f>
        <v>1 - Scale-up: Saturation</v>
      </c>
      <c r="B405" s="0" t="s">
        <v>221</v>
      </c>
      <c r="C405" s="0" t="s">
        <v>814</v>
      </c>
      <c r="D405" s="0" t="s">
        <v>30</v>
      </c>
      <c r="E405" s="0" t="str">
        <f aca="false">$B405&amp;"|"&amp;$C405&amp;"|"&amp;$D405</f>
        <v>Thyolo District [ul0y9diGujK]|18+|Female</v>
      </c>
      <c r="G405" s="10" t="n">
        <v>343</v>
      </c>
      <c r="H405" s="10" t="n">
        <v>295</v>
      </c>
      <c r="I405" s="88" t="n">
        <f aca="false">IF(SUM($H405)=0,"",0%)</f>
        <v>0</v>
      </c>
      <c r="J405" s="88"/>
      <c r="K405" s="88"/>
      <c r="L405" s="88" t="n">
        <f aca="false">1-IF(NOT(AND($D405="Female",OR($C405="10-14",$C405="15-17",$F405="Y"))),0,$J405)-IF(NOT(OR($C405="05-09",$C405="10-14")),0,$K405)</f>
        <v>1</v>
      </c>
      <c r="M405" s="88" t="n">
        <f aca="false">IF(SUM($L405)=0,"",20%)</f>
        <v>0.2</v>
      </c>
      <c r="N405" s="10" t="n">
        <f aca="false">IF(SUM($H405)=0,"",ROUND($H405*(1+$I405),0))</f>
        <v>295</v>
      </c>
      <c r="O405" s="39" t="str">
        <f aca="false">IF(OR(SUM($N405)=0,SUM($J405)=0,NOT(AND($D405="Female",$F405="Y",OR($C405="10-14",$C405="15-17")))),"",ROUND($N405*$J405,0))</f>
        <v/>
      </c>
      <c r="P405" s="39" t="str">
        <f aca="false">IF(OR(SUM($N405)=0,SUM($K405)=0,NOT(OR($C405="10-14",$C405="05-09"))),"",ROUND($N405*$K405,0))</f>
        <v/>
      </c>
      <c r="Q405" s="39" t="n">
        <f aca="false">IFERROR(1/(1/ROUND($N405*$L405*$M405,0)),"")</f>
        <v>59</v>
      </c>
      <c r="R405" s="39" t="n">
        <f aca="false">IFERROR(1/(1/(ROUND($N405*$L405,0)-$Q405)),"")</f>
        <v>236</v>
      </c>
      <c r="S405" s="88" t="str">
        <f aca="false">IF(OR($C405="18+",$C405="18-20",SUM($Q405,$R405)=0),"",100%)</f>
        <v/>
      </c>
      <c r="T405" s="39" t="str">
        <f aca="false">IF(OR($C405="18+",$C405="18-20",SUM($Q405,$R405)=0),"",ROUND(SUM($Q405,$R405)*$S405,0))</f>
        <v/>
      </c>
    </row>
    <row r="406" customFormat="false" ht="15" hidden="false" customHeight="false" outlineLevel="0" collapsed="false">
      <c r="A406" s="0" t="str">
        <f aca="false">INDEX(Prioritization!$D:$D,MATCH($B406,Prioritization!$A:$A,0))</f>
        <v>1 - Scale-up: Saturation</v>
      </c>
      <c r="B406" s="0" t="s">
        <v>221</v>
      </c>
      <c r="C406" s="0" t="s">
        <v>814</v>
      </c>
      <c r="D406" s="0" t="s">
        <v>48</v>
      </c>
      <c r="E406" s="0" t="str">
        <f aca="false">$B406&amp;"|"&amp;$C406&amp;"|"&amp;$D406</f>
        <v>Thyolo District [ul0y9diGujK]|18+|Male</v>
      </c>
      <c r="G406" s="10" t="n">
        <v>22</v>
      </c>
      <c r="H406" s="10" t="n">
        <v>60</v>
      </c>
      <c r="I406" s="88" t="n">
        <f aca="false">IF(SUM($H406)=0,"",0%)</f>
        <v>0</v>
      </c>
      <c r="J406" s="88"/>
      <c r="K406" s="88"/>
      <c r="L406" s="88" t="n">
        <f aca="false">1-IF(NOT(AND($D406="Female",OR($C406="10-14",$C406="15-17",$F406="Y"))),0,$J406)-IF(NOT(OR($C406="05-09",$C406="10-14")),0,$K406)</f>
        <v>1</v>
      </c>
      <c r="M406" s="88" t="n">
        <f aca="false">IF(SUM($L406)=0,"",20%)</f>
        <v>0.2</v>
      </c>
      <c r="N406" s="10" t="n">
        <f aca="false">IF(SUM($H406)=0,"",ROUND($H406*(1+$I406),0))</f>
        <v>60</v>
      </c>
      <c r="O406" s="39" t="str">
        <f aca="false">IF(OR(SUM($N406)=0,SUM($J406)=0,NOT(AND($D406="Female",$F406="Y",OR($C406="10-14",$C406="15-17")))),"",ROUND($N406*$J406,0))</f>
        <v/>
      </c>
      <c r="P406" s="39" t="str">
        <f aca="false">IF(OR(SUM($N406)=0,SUM($K406)=0,NOT(OR($C406="10-14",$C406="05-09"))),"",ROUND($N406*$K406,0))</f>
        <v/>
      </c>
      <c r="Q406" s="39" t="n">
        <f aca="false">IFERROR(1/(1/ROUND($N406*$L406*$M406,0)),"")</f>
        <v>12</v>
      </c>
      <c r="R406" s="39" t="n">
        <f aca="false">IFERROR(1/(1/(ROUND($N406*$L406,0)-$Q406)),"")</f>
        <v>48</v>
      </c>
      <c r="S406" s="88" t="str">
        <f aca="false">IF(OR($C406="18+",$C406="18-20",SUM($Q406,$R406)=0),"",100%)</f>
        <v/>
      </c>
      <c r="T406" s="39" t="str">
        <f aca="false">IF(OR($C406="18+",$C406="18-20",SUM($Q406,$R406)=0),"",ROUND(SUM($Q406,$R406)*$S406,0))</f>
        <v/>
      </c>
    </row>
    <row r="407" customFormat="false" ht="15" hidden="false" customHeight="false" outlineLevel="0" collapsed="false">
      <c r="A407" s="0" t="str">
        <f aca="false">INDEX(Prioritization!$D:$D,MATCH($B407,Prioritization!$A:$A,0))</f>
        <v>1 - Scale-up: Saturation</v>
      </c>
      <c r="B407" s="0" t="s">
        <v>222</v>
      </c>
      <c r="C407" s="0" t="s">
        <v>316</v>
      </c>
      <c r="D407" s="0" t="s">
        <v>30</v>
      </c>
      <c r="E407" s="0" t="str">
        <f aca="false">$B407&amp;"|"&amp;$C407&amp;"|"&amp;$D407</f>
        <v>Zomba District [fyEoGEPERdI]|&lt;01|Female</v>
      </c>
      <c r="F407" s="0" t="s">
        <v>1247</v>
      </c>
      <c r="G407" s="10" t="n">
        <v>96</v>
      </c>
      <c r="H407" s="10" t="n">
        <v>65</v>
      </c>
      <c r="I407" s="88" t="n">
        <f aca="false">IF(SUM($H407)=0,"",0%)</f>
        <v>0</v>
      </c>
      <c r="J407" s="88"/>
      <c r="K407" s="88"/>
      <c r="L407" s="88" t="n">
        <f aca="false">1-IF(NOT(AND($D407="Female",OR($C407="10-14",$C407="15-17",$F407="Y"))),0,$J407)-IF(NOT(OR($C407="05-09",$C407="10-14")),0,$K407)</f>
        <v>1</v>
      </c>
      <c r="M407" s="88" t="n">
        <f aca="false">IF(SUM($L407)=0,"",20%)</f>
        <v>0.2</v>
      </c>
      <c r="N407" s="10" t="n">
        <f aca="false">IF(SUM($H407)=0,"",ROUND($H407*(1+$I407),0))</f>
        <v>65</v>
      </c>
      <c r="O407" s="39" t="str">
        <f aca="false">IF(OR(SUM($N407)=0,SUM($J407)=0,NOT(AND($D407="Female",$F407="Y",OR($C407="10-14",$C407="15-17")))),"",ROUND($N407*$J407,0))</f>
        <v/>
      </c>
      <c r="P407" s="39" t="str">
        <f aca="false">IF(OR(SUM($N407)=0,SUM($K407)=0,NOT(OR($C407="10-14",$C407="05-09"))),"",ROUND($N407*$K407,0))</f>
        <v/>
      </c>
      <c r="Q407" s="39" t="n">
        <f aca="false">IFERROR(1/(1/ROUND($N407*$L407*$M407,0)),"")</f>
        <v>13</v>
      </c>
      <c r="R407" s="39" t="n">
        <f aca="false">IFERROR(1/(1/(ROUND($N407*$L407,0)-$Q407)),"")</f>
        <v>52</v>
      </c>
      <c r="S407" s="88" t="n">
        <f aca="false">IF(OR($C407="18+",$C407="18-20",SUM($Q407,$R407)=0),"",100%)</f>
        <v>1</v>
      </c>
      <c r="T407" s="39" t="n">
        <f aca="false">IF(OR($C407="18+",$C407="18-20",SUM($Q407,$R407)=0),"",ROUND(SUM($Q407,$R407)*$S407,0))</f>
        <v>65</v>
      </c>
    </row>
    <row r="408" customFormat="false" ht="15" hidden="false" customHeight="false" outlineLevel="0" collapsed="false">
      <c r="A408" s="0" t="str">
        <f aca="false">INDEX(Prioritization!$D:$D,MATCH($B408,Prioritization!$A:$A,0))</f>
        <v>1 - Scale-up: Saturation</v>
      </c>
      <c r="B408" s="0" t="s">
        <v>222</v>
      </c>
      <c r="C408" s="0" t="s">
        <v>316</v>
      </c>
      <c r="D408" s="0" t="s">
        <v>48</v>
      </c>
      <c r="E408" s="0" t="str">
        <f aca="false">$B408&amp;"|"&amp;$C408&amp;"|"&amp;$D408</f>
        <v>Zomba District [fyEoGEPERdI]|&lt;01|Male</v>
      </c>
      <c r="F408" s="0" t="s">
        <v>1247</v>
      </c>
      <c r="G408" s="10" t="n">
        <v>23</v>
      </c>
      <c r="H408" s="10" t="n">
        <v>85</v>
      </c>
      <c r="I408" s="88" t="n">
        <f aca="false">IF(SUM($H408)=0,"",0%)</f>
        <v>0</v>
      </c>
      <c r="J408" s="88"/>
      <c r="K408" s="88"/>
      <c r="L408" s="88" t="n">
        <f aca="false">1-IF(NOT(AND($D408="Female",OR($C408="10-14",$C408="15-17",$F408="Y"))),0,$J408)-IF(NOT(OR($C408="05-09",$C408="10-14")),0,$K408)</f>
        <v>1</v>
      </c>
      <c r="M408" s="88" t="n">
        <f aca="false">IF(SUM($L408)=0,"",20%)</f>
        <v>0.2</v>
      </c>
      <c r="N408" s="10" t="n">
        <f aca="false">IF(SUM($H408)=0,"",ROUND($H408*(1+$I408),0))</f>
        <v>85</v>
      </c>
      <c r="O408" s="39" t="str">
        <f aca="false">IF(OR(SUM($N408)=0,SUM($J408)=0,NOT(AND($D408="Female",$F408="Y",OR($C408="10-14",$C408="15-17")))),"",ROUND($N408*$J408,0))</f>
        <v/>
      </c>
      <c r="P408" s="39" t="str">
        <f aca="false">IF(OR(SUM($N408)=0,SUM($K408)=0,NOT(OR($C408="10-14",$C408="05-09"))),"",ROUND($N408*$K408,0))</f>
        <v/>
      </c>
      <c r="Q408" s="39" t="n">
        <f aca="false">IFERROR(1/(1/ROUND($N408*$L408*$M408,0)),"")</f>
        <v>17</v>
      </c>
      <c r="R408" s="39" t="n">
        <f aca="false">IFERROR(1/(1/(ROUND($N408*$L408,0)-$Q408)),"")</f>
        <v>68</v>
      </c>
      <c r="S408" s="88" t="n">
        <f aca="false">IF(OR($C408="18+",$C408="18-20",SUM($Q408,$R408)=0),"",100%)</f>
        <v>1</v>
      </c>
      <c r="T408" s="39" t="n">
        <f aca="false">IF(OR($C408="18+",$C408="18-20",SUM($Q408,$R408)=0),"",ROUND(SUM($Q408,$R408)*$S408,0))</f>
        <v>85</v>
      </c>
    </row>
    <row r="409" customFormat="false" ht="15" hidden="false" customHeight="false" outlineLevel="0" collapsed="false">
      <c r="A409" s="0" t="str">
        <f aca="false">INDEX(Prioritization!$D:$D,MATCH($B409,Prioritization!$A:$A,0))</f>
        <v>1 - Scale-up: Saturation</v>
      </c>
      <c r="B409" s="0" t="s">
        <v>222</v>
      </c>
      <c r="C409" s="0" t="s">
        <v>810</v>
      </c>
      <c r="D409" s="0" t="s">
        <v>30</v>
      </c>
      <c r="E409" s="0" t="str">
        <f aca="false">$B409&amp;"|"&amp;$C409&amp;"|"&amp;$D409</f>
        <v>Zomba District [fyEoGEPERdI]|01-04|Female</v>
      </c>
      <c r="F409" s="0" t="s">
        <v>1247</v>
      </c>
      <c r="G409" s="10" t="n">
        <v>58</v>
      </c>
      <c r="H409" s="10" t="n">
        <v>78</v>
      </c>
      <c r="I409" s="88" t="n">
        <f aca="false">IF(SUM($H409)=0,"",0%)</f>
        <v>0</v>
      </c>
      <c r="J409" s="88"/>
      <c r="K409" s="88"/>
      <c r="L409" s="88" t="n">
        <f aca="false">1-IF(NOT(AND($D409="Female",OR($C409="10-14",$C409="15-17",$F409="Y"))),0,$J409)-IF(NOT(OR($C409="05-09",$C409="10-14")),0,$K409)</f>
        <v>1</v>
      </c>
      <c r="M409" s="88" t="n">
        <f aca="false">IF(SUM($L409)=0,"",20%)</f>
        <v>0.2</v>
      </c>
      <c r="N409" s="10" t="n">
        <f aca="false">IF(SUM($H409)=0,"",ROUND($H409*(1+$I409),0))</f>
        <v>78</v>
      </c>
      <c r="O409" s="39" t="str">
        <f aca="false">IF(OR(SUM($N409)=0,SUM($J409)=0,NOT(AND($D409="Female",$F409="Y",OR($C409="10-14",$C409="15-17")))),"",ROUND($N409*$J409,0))</f>
        <v/>
      </c>
      <c r="P409" s="39" t="str">
        <f aca="false">IF(OR(SUM($N409)=0,SUM($K409)=0,NOT(OR($C409="10-14",$C409="05-09"))),"",ROUND($N409*$K409,0))</f>
        <v/>
      </c>
      <c r="Q409" s="39" t="n">
        <f aca="false">IFERROR(1/(1/ROUND($N409*$L409*$M409,0)),"")</f>
        <v>16</v>
      </c>
      <c r="R409" s="39" t="n">
        <f aca="false">IFERROR(1/(1/(ROUND($N409*$L409,0)-$Q409)),"")</f>
        <v>62</v>
      </c>
      <c r="S409" s="88" t="n">
        <f aca="false">IF(OR($C409="18+",$C409="18-20",SUM($Q409,$R409)=0),"",100%)</f>
        <v>1</v>
      </c>
      <c r="T409" s="39" t="n">
        <f aca="false">IF(OR($C409="18+",$C409="18-20",SUM($Q409,$R409)=0),"",ROUND(SUM($Q409,$R409)*$S409,0))</f>
        <v>78</v>
      </c>
    </row>
    <row r="410" customFormat="false" ht="15" hidden="false" customHeight="false" outlineLevel="0" collapsed="false">
      <c r="A410" s="0" t="str">
        <f aca="false">INDEX(Prioritization!$D:$D,MATCH($B410,Prioritization!$A:$A,0))</f>
        <v>1 - Scale-up: Saturation</v>
      </c>
      <c r="B410" s="0" t="s">
        <v>222</v>
      </c>
      <c r="C410" s="0" t="s">
        <v>810</v>
      </c>
      <c r="D410" s="0" t="s">
        <v>48</v>
      </c>
      <c r="E410" s="0" t="str">
        <f aca="false">$B410&amp;"|"&amp;$C410&amp;"|"&amp;$D410</f>
        <v>Zomba District [fyEoGEPERdI]|01-04|Male</v>
      </c>
      <c r="F410" s="0" t="s">
        <v>1247</v>
      </c>
      <c r="G410" s="10" t="n">
        <v>14</v>
      </c>
      <c r="H410" s="10" t="n">
        <v>99</v>
      </c>
      <c r="I410" s="88" t="n">
        <f aca="false">IF(SUM($H410)=0,"",0%)</f>
        <v>0</v>
      </c>
      <c r="J410" s="88"/>
      <c r="K410" s="88"/>
      <c r="L410" s="88" t="n">
        <f aca="false">1-IF(NOT(AND($D410="Female",OR($C410="10-14",$C410="15-17",$F410="Y"))),0,$J410)-IF(NOT(OR($C410="05-09",$C410="10-14")),0,$K410)</f>
        <v>1</v>
      </c>
      <c r="M410" s="88" t="n">
        <f aca="false">IF(SUM($L410)=0,"",20%)</f>
        <v>0.2</v>
      </c>
      <c r="N410" s="10" t="n">
        <f aca="false">IF(SUM($H410)=0,"",ROUND($H410*(1+$I410),0))</f>
        <v>99</v>
      </c>
      <c r="O410" s="39" t="str">
        <f aca="false">IF(OR(SUM($N410)=0,SUM($J410)=0,NOT(AND($D410="Female",$F410="Y",OR($C410="10-14",$C410="15-17")))),"",ROUND($N410*$J410,0))</f>
        <v/>
      </c>
      <c r="P410" s="39" t="str">
        <f aca="false">IF(OR(SUM($N410)=0,SUM($K410)=0,NOT(OR($C410="10-14",$C410="05-09"))),"",ROUND($N410*$K410,0))</f>
        <v/>
      </c>
      <c r="Q410" s="39" t="n">
        <f aca="false">IFERROR(1/(1/ROUND($N410*$L410*$M410,0)),"")</f>
        <v>20</v>
      </c>
      <c r="R410" s="39" t="n">
        <f aca="false">IFERROR(1/(1/(ROUND($N410*$L410,0)-$Q410)),"")</f>
        <v>79</v>
      </c>
      <c r="S410" s="88" t="n">
        <f aca="false">IF(OR($C410="18+",$C410="18-20",SUM($Q410,$R410)=0),"",100%)</f>
        <v>1</v>
      </c>
      <c r="T410" s="39" t="n">
        <f aca="false">IF(OR($C410="18+",$C410="18-20",SUM($Q410,$R410)=0),"",ROUND(SUM($Q410,$R410)*$S410,0))</f>
        <v>99</v>
      </c>
    </row>
    <row r="411" customFormat="false" ht="15" hidden="false" customHeight="false" outlineLevel="0" collapsed="false">
      <c r="A411" s="0" t="str">
        <f aca="false">INDEX(Prioritization!$D:$D,MATCH($B411,Prioritization!$A:$A,0))</f>
        <v>1 - Scale-up: Saturation</v>
      </c>
      <c r="B411" s="0" t="s">
        <v>222</v>
      </c>
      <c r="C411" s="0" t="s">
        <v>811</v>
      </c>
      <c r="D411" s="0" t="s">
        <v>30</v>
      </c>
      <c r="E411" s="0" t="str">
        <f aca="false">$B411&amp;"|"&amp;$C411&amp;"|"&amp;$D411</f>
        <v>Zomba District [fyEoGEPERdI]|05-09|Female</v>
      </c>
      <c r="F411" s="0" t="s">
        <v>1247</v>
      </c>
      <c r="G411" s="10" t="n">
        <v>201</v>
      </c>
      <c r="H411" s="10" t="n">
        <v>965</v>
      </c>
      <c r="I411" s="88" t="n">
        <f aca="false">IF(SUM($H411)=0,"",0%)</f>
        <v>0</v>
      </c>
      <c r="J411" s="88"/>
      <c r="K411" s="88"/>
      <c r="L411" s="88" t="n">
        <f aca="false">1-IF(NOT(AND($D411="Female",OR($C411="10-14",$C411="15-17",$F411="Y"))),0,$J411)-IF(NOT(OR($C411="05-09",$C411="10-14")),0,$K411)</f>
        <v>1</v>
      </c>
      <c r="M411" s="88" t="n">
        <f aca="false">IF(SUM($L411)=0,"",20%)</f>
        <v>0.2</v>
      </c>
      <c r="N411" s="10" t="n">
        <f aca="false">IF(SUM($H411)=0,"",ROUND($H411*(1+$I411),0))</f>
        <v>965</v>
      </c>
      <c r="O411" s="39" t="str">
        <f aca="false">IF(OR(SUM($N411)=0,SUM($J411)=0,NOT(AND($D411="Female",$F411="Y",OR($C411="10-14",$C411="15-17")))),"",ROUND($N411*$J411,0))</f>
        <v/>
      </c>
      <c r="P411" s="39" t="str">
        <f aca="false">IF(OR(SUM($N411)=0,SUM($K411)=0,NOT(OR($C411="10-14",$C411="05-09"))),"",ROUND($N411*$K411,0))</f>
        <v/>
      </c>
      <c r="Q411" s="39" t="n">
        <f aca="false">IFERROR(1/(1/ROUND($N411*$L411*$M411,0)),"")</f>
        <v>193</v>
      </c>
      <c r="R411" s="39" t="n">
        <f aca="false">IFERROR(1/(1/(ROUND($N411*$L411,0)-$Q411)),"")</f>
        <v>772</v>
      </c>
      <c r="S411" s="88" t="n">
        <f aca="false">IF(OR($C411="18+",$C411="18-20",SUM($Q411,$R411)=0),"",100%)</f>
        <v>1</v>
      </c>
      <c r="T411" s="39" t="n">
        <f aca="false">IF(OR($C411="18+",$C411="18-20",SUM($Q411,$R411)=0),"",ROUND(SUM($Q411,$R411)*$S411,0))</f>
        <v>965</v>
      </c>
    </row>
    <row r="412" customFormat="false" ht="15" hidden="false" customHeight="false" outlineLevel="0" collapsed="false">
      <c r="A412" s="0" t="str">
        <f aca="false">INDEX(Prioritization!$D:$D,MATCH($B412,Prioritization!$A:$A,0))</f>
        <v>1 - Scale-up: Saturation</v>
      </c>
      <c r="B412" s="0" t="s">
        <v>222</v>
      </c>
      <c r="C412" s="0" t="s">
        <v>811</v>
      </c>
      <c r="D412" s="0" t="s">
        <v>48</v>
      </c>
      <c r="E412" s="0" t="str">
        <f aca="false">$B412&amp;"|"&amp;$C412&amp;"|"&amp;$D412</f>
        <v>Zomba District [fyEoGEPERdI]|05-09|Male</v>
      </c>
      <c r="F412" s="0" t="s">
        <v>1247</v>
      </c>
      <c r="G412" s="10" t="n">
        <v>356</v>
      </c>
      <c r="H412" s="10" t="n">
        <v>397</v>
      </c>
      <c r="I412" s="88" t="n">
        <f aca="false">IF(SUM($H412)=0,"",0%)</f>
        <v>0</v>
      </c>
      <c r="J412" s="88"/>
      <c r="K412" s="88"/>
      <c r="L412" s="88" t="n">
        <f aca="false">1-IF(NOT(AND($D412="Female",OR($C412="10-14",$C412="15-17",$F412="Y"))),0,$J412)-IF(NOT(OR($C412="05-09",$C412="10-14")),0,$K412)</f>
        <v>1</v>
      </c>
      <c r="M412" s="88" t="n">
        <f aca="false">IF(SUM($L412)=0,"",20%)</f>
        <v>0.2</v>
      </c>
      <c r="N412" s="10" t="n">
        <f aca="false">IF(SUM($H412)=0,"",ROUND($H412*(1+$I412),0))</f>
        <v>397</v>
      </c>
      <c r="O412" s="39" t="str">
        <f aca="false">IF(OR(SUM($N412)=0,SUM($J412)=0,NOT(AND($D412="Female",$F412="Y",OR($C412="10-14",$C412="15-17")))),"",ROUND($N412*$J412,0))</f>
        <v/>
      </c>
      <c r="P412" s="39" t="str">
        <f aca="false">IF(OR(SUM($N412)=0,SUM($K412)=0,NOT(OR($C412="10-14",$C412="05-09"))),"",ROUND($N412*$K412,0))</f>
        <v/>
      </c>
      <c r="Q412" s="39" t="n">
        <f aca="false">IFERROR(1/(1/ROUND($N412*$L412*$M412,0)),"")</f>
        <v>79</v>
      </c>
      <c r="R412" s="39" t="n">
        <f aca="false">IFERROR(1/(1/(ROUND($N412*$L412,0)-$Q412)),"")</f>
        <v>318</v>
      </c>
      <c r="S412" s="88" t="n">
        <f aca="false">IF(OR($C412="18+",$C412="18-20",SUM($Q412,$R412)=0),"",100%)</f>
        <v>1</v>
      </c>
      <c r="T412" s="39" t="n">
        <f aca="false">IF(OR($C412="18+",$C412="18-20",SUM($Q412,$R412)=0),"",ROUND(SUM($Q412,$R412)*$S412,0))</f>
        <v>397</v>
      </c>
    </row>
    <row r="413" customFormat="false" ht="15" hidden="false" customHeight="false" outlineLevel="0" collapsed="false">
      <c r="A413" s="0" t="str">
        <f aca="false">INDEX(Prioritization!$D:$D,MATCH($B413,Prioritization!$A:$A,0))</f>
        <v>1 - Scale-up: Saturation</v>
      </c>
      <c r="B413" s="0" t="s">
        <v>222</v>
      </c>
      <c r="C413" s="0" t="s">
        <v>364</v>
      </c>
      <c r="D413" s="0" t="s">
        <v>30</v>
      </c>
      <c r="E413" s="0" t="str">
        <f aca="false">$B413&amp;"|"&amp;$C413&amp;"|"&amp;$D413</f>
        <v>Zomba District [fyEoGEPERdI]|10-14|Female</v>
      </c>
      <c r="F413" s="0" t="s">
        <v>1247</v>
      </c>
      <c r="G413" s="10" t="n">
        <v>1619</v>
      </c>
      <c r="H413" s="10" t="n">
        <v>568</v>
      </c>
      <c r="I413" s="88" t="n">
        <f aca="false">IF(SUM($H413)=0,"",0%)</f>
        <v>0</v>
      </c>
      <c r="J413" s="88"/>
      <c r="K413" s="88"/>
      <c r="L413" s="88" t="n">
        <f aca="false">1-IF(NOT(AND($D413="Female",OR($C413="10-14",$C413="15-17",$F413="Y"))),0,$J413)-IF(NOT(OR($C413="05-09",$C413="10-14")),0,$K413)</f>
        <v>1</v>
      </c>
      <c r="M413" s="88" t="n">
        <f aca="false">IF(SUM($L413)=0,"",20%)</f>
        <v>0.2</v>
      </c>
      <c r="N413" s="10" t="n">
        <f aca="false">IF(SUM($H413)=0,"",ROUND($H413*(1+$I413),0))</f>
        <v>568</v>
      </c>
      <c r="O413" s="39" t="str">
        <f aca="false">IF(OR(SUM($N413)=0,SUM($J413)=0,NOT(AND($D413="Female",$F413="Y",OR($C413="10-14",$C413="15-17")))),"",ROUND($N413*$J413,0))</f>
        <v/>
      </c>
      <c r="P413" s="39" t="str">
        <f aca="false">IF(OR(SUM($N413)=0,SUM($K413)=0,NOT(OR($C413="10-14",$C413="05-09"))),"",ROUND($N413*$K413,0))</f>
        <v/>
      </c>
      <c r="Q413" s="39" t="n">
        <f aca="false">IFERROR(1/(1/ROUND($N413*$L413*$M413,0)),"")</f>
        <v>114</v>
      </c>
      <c r="R413" s="39" t="n">
        <f aca="false">IFERROR(1/(1/(ROUND($N413*$L413,0)-$Q413)),"")</f>
        <v>454</v>
      </c>
      <c r="S413" s="88" t="n">
        <f aca="false">IF(OR($C413="18+",$C413="18-20",SUM($Q413,$R413)=0),"",100%)</f>
        <v>1</v>
      </c>
      <c r="T413" s="39" t="n">
        <f aca="false">IF(OR($C413="18+",$C413="18-20",SUM($Q413,$R413)=0),"",ROUND(SUM($Q413,$R413)*$S413,0))</f>
        <v>568</v>
      </c>
    </row>
    <row r="414" customFormat="false" ht="15" hidden="false" customHeight="false" outlineLevel="0" collapsed="false">
      <c r="A414" s="0" t="str">
        <f aca="false">INDEX(Prioritization!$D:$D,MATCH($B414,Prioritization!$A:$A,0))</f>
        <v>1 - Scale-up: Saturation</v>
      </c>
      <c r="B414" s="0" t="s">
        <v>222</v>
      </c>
      <c r="C414" s="0" t="s">
        <v>364</v>
      </c>
      <c r="D414" s="0" t="s">
        <v>48</v>
      </c>
      <c r="E414" s="0" t="str">
        <f aca="false">$B414&amp;"|"&amp;$C414&amp;"|"&amp;$D414</f>
        <v>Zomba District [fyEoGEPERdI]|10-14|Male</v>
      </c>
      <c r="F414" s="0" t="s">
        <v>1247</v>
      </c>
      <c r="G414" s="10" t="n">
        <v>906</v>
      </c>
      <c r="H414" s="10" t="n">
        <v>593</v>
      </c>
      <c r="I414" s="88" t="n">
        <f aca="false">IF(SUM($H414)=0,"",0%)</f>
        <v>0</v>
      </c>
      <c r="J414" s="88"/>
      <c r="K414" s="88"/>
      <c r="L414" s="88" t="n">
        <f aca="false">1-IF(NOT(AND($D414="Female",OR($C414="10-14",$C414="15-17",$F414="Y"))),0,$J414)-IF(NOT(OR($C414="05-09",$C414="10-14")),0,$K414)</f>
        <v>1</v>
      </c>
      <c r="M414" s="88" t="n">
        <f aca="false">IF(SUM($L414)=0,"",20%)</f>
        <v>0.2</v>
      </c>
      <c r="N414" s="10" t="n">
        <f aca="false">IF(SUM($H414)=0,"",ROUND($H414*(1+$I414),0))</f>
        <v>593</v>
      </c>
      <c r="O414" s="39" t="str">
        <f aca="false">IF(OR(SUM($N414)=0,SUM($J414)=0,NOT(AND($D414="Female",$F414="Y",OR($C414="10-14",$C414="15-17")))),"",ROUND($N414*$J414,0))</f>
        <v/>
      </c>
      <c r="P414" s="39" t="str">
        <f aca="false">IF(OR(SUM($N414)=0,SUM($K414)=0,NOT(OR($C414="10-14",$C414="05-09"))),"",ROUND($N414*$K414,0))</f>
        <v/>
      </c>
      <c r="Q414" s="39" t="n">
        <f aca="false">IFERROR(1/(1/ROUND($N414*$L414*$M414,0)),"")</f>
        <v>119</v>
      </c>
      <c r="R414" s="39" t="n">
        <f aca="false">IFERROR(1/(1/(ROUND($N414*$L414,0)-$Q414)),"")</f>
        <v>474</v>
      </c>
      <c r="S414" s="88" t="n">
        <f aca="false">IF(OR($C414="18+",$C414="18-20",SUM($Q414,$R414)=0),"",100%)</f>
        <v>1</v>
      </c>
      <c r="T414" s="39" t="n">
        <f aca="false">IF(OR($C414="18+",$C414="18-20",SUM($Q414,$R414)=0),"",ROUND(SUM($Q414,$R414)*$S414,0))</f>
        <v>593</v>
      </c>
    </row>
    <row r="415" customFormat="false" ht="15" hidden="false" customHeight="false" outlineLevel="0" collapsed="false">
      <c r="A415" s="0" t="str">
        <f aca="false">INDEX(Prioritization!$D:$D,MATCH($B415,Prioritization!$A:$A,0))</f>
        <v>1 - Scale-up: Saturation</v>
      </c>
      <c r="B415" s="0" t="s">
        <v>222</v>
      </c>
      <c r="C415" s="0" t="s">
        <v>812</v>
      </c>
      <c r="D415" s="0" t="s">
        <v>30</v>
      </c>
      <c r="E415" s="0" t="str">
        <f aca="false">$B415&amp;"|"&amp;$C415&amp;"|"&amp;$D415</f>
        <v>Zomba District [fyEoGEPERdI]|15-17|Female</v>
      </c>
      <c r="F415" s="0" t="s">
        <v>1247</v>
      </c>
      <c r="G415" s="10" t="n">
        <v>847</v>
      </c>
      <c r="H415" s="10" t="n">
        <v>574</v>
      </c>
      <c r="I415" s="88" t="n">
        <f aca="false">IF(SUM($H415)=0,"",0%)</f>
        <v>0</v>
      </c>
      <c r="J415" s="88"/>
      <c r="K415" s="88"/>
      <c r="L415" s="88" t="n">
        <f aca="false">1-IF(NOT(AND($D415="Female",OR($C415="10-14",$C415="15-17",$F415="Y"))),0,$J415)-IF(NOT(OR($C415="05-09",$C415="10-14")),0,$K415)</f>
        <v>1</v>
      </c>
      <c r="M415" s="88" t="n">
        <f aca="false">IF(SUM($L415)=0,"",20%)</f>
        <v>0.2</v>
      </c>
      <c r="N415" s="10" t="n">
        <f aca="false">IF(SUM($H415)=0,"",ROUND($H415*(1+$I415),0))</f>
        <v>574</v>
      </c>
      <c r="O415" s="39" t="str">
        <f aca="false">IF(OR(SUM($N415)=0,SUM($J415)=0,NOT(AND($D415="Female",$F415="Y",OR($C415="10-14",$C415="15-17")))),"",ROUND($N415*$J415,0))</f>
        <v/>
      </c>
      <c r="P415" s="39" t="str">
        <f aca="false">IF(OR(SUM($N415)=0,SUM($K415)=0,NOT(OR($C415="10-14",$C415="05-09"))),"",ROUND($N415*$K415,0))</f>
        <v/>
      </c>
      <c r="Q415" s="39" t="n">
        <f aca="false">IFERROR(1/(1/ROUND($N415*$L415*$M415,0)),"")</f>
        <v>115</v>
      </c>
      <c r="R415" s="39" t="n">
        <f aca="false">IFERROR(1/(1/(ROUND($N415*$L415,0)-$Q415)),"")</f>
        <v>459</v>
      </c>
      <c r="S415" s="88" t="n">
        <f aca="false">IF(OR($C415="18+",$C415="18-20",SUM($Q415,$R415)=0),"",100%)</f>
        <v>1</v>
      </c>
      <c r="T415" s="39" t="n">
        <f aca="false">IF(OR($C415="18+",$C415="18-20",SUM($Q415,$R415)=0),"",ROUND(SUM($Q415,$R415)*$S415,0))</f>
        <v>574</v>
      </c>
    </row>
    <row r="416" customFormat="false" ht="15" hidden="false" customHeight="false" outlineLevel="0" collapsed="false">
      <c r="A416" s="0" t="str">
        <f aca="false">INDEX(Prioritization!$D:$D,MATCH($B416,Prioritization!$A:$A,0))</f>
        <v>1 - Scale-up: Saturation</v>
      </c>
      <c r="B416" s="0" t="s">
        <v>222</v>
      </c>
      <c r="C416" s="0" t="s">
        <v>812</v>
      </c>
      <c r="D416" s="0" t="s">
        <v>48</v>
      </c>
      <c r="E416" s="0" t="str">
        <f aca="false">$B416&amp;"|"&amp;$C416&amp;"|"&amp;$D416</f>
        <v>Zomba District [fyEoGEPERdI]|15-17|Male</v>
      </c>
      <c r="F416" s="0" t="s">
        <v>1247</v>
      </c>
      <c r="G416" s="10" t="n">
        <v>81</v>
      </c>
      <c r="H416" s="10" t="n">
        <v>48</v>
      </c>
      <c r="I416" s="88" t="n">
        <f aca="false">IF(SUM($H416)=0,"",0%)</f>
        <v>0</v>
      </c>
      <c r="J416" s="88"/>
      <c r="K416" s="88"/>
      <c r="L416" s="88" t="n">
        <f aca="false">1-IF(NOT(AND($D416="Female",OR($C416="10-14",$C416="15-17",$F416="Y"))),0,$J416)-IF(NOT(OR($C416="05-09",$C416="10-14")),0,$K416)</f>
        <v>1</v>
      </c>
      <c r="M416" s="88" t="n">
        <f aca="false">IF(SUM($L416)=0,"",20%)</f>
        <v>0.2</v>
      </c>
      <c r="N416" s="10" t="n">
        <f aca="false">IF(SUM($H416)=0,"",ROUND($H416*(1+$I416),0))</f>
        <v>48</v>
      </c>
      <c r="O416" s="39" t="str">
        <f aca="false">IF(OR(SUM($N416)=0,SUM($J416)=0,NOT(AND($D416="Female",$F416="Y",OR($C416="10-14",$C416="15-17")))),"",ROUND($N416*$J416,0))</f>
        <v/>
      </c>
      <c r="P416" s="39" t="str">
        <f aca="false">IF(OR(SUM($N416)=0,SUM($K416)=0,NOT(OR($C416="10-14",$C416="05-09"))),"",ROUND($N416*$K416,0))</f>
        <v/>
      </c>
      <c r="Q416" s="39" t="n">
        <f aca="false">IFERROR(1/(1/ROUND($N416*$L416*$M416,0)),"")</f>
        <v>10</v>
      </c>
      <c r="R416" s="39" t="n">
        <f aca="false">IFERROR(1/(1/(ROUND($N416*$L416,0)-$Q416)),"")</f>
        <v>38</v>
      </c>
      <c r="S416" s="88" t="n">
        <f aca="false">IF(OR($C416="18+",$C416="18-20",SUM($Q416,$R416)=0),"",100%)</f>
        <v>1</v>
      </c>
      <c r="T416" s="39" t="n">
        <f aca="false">IF(OR($C416="18+",$C416="18-20",SUM($Q416,$R416)=0),"",ROUND(SUM($Q416,$R416)*$S416,0))</f>
        <v>48</v>
      </c>
    </row>
    <row r="417" customFormat="false" ht="15" hidden="false" customHeight="false" outlineLevel="0" collapsed="false">
      <c r="A417" s="0" t="str">
        <f aca="false">INDEX(Prioritization!$D:$D,MATCH($B417,Prioritization!$A:$A,0))</f>
        <v>1 - Scale-up: Saturation</v>
      </c>
      <c r="B417" s="0" t="s">
        <v>222</v>
      </c>
      <c r="C417" s="0" t="s">
        <v>813</v>
      </c>
      <c r="D417" s="0" t="s">
        <v>30</v>
      </c>
      <c r="E417" s="0" t="str">
        <f aca="false">$B417&amp;"|"&amp;$C417&amp;"|"&amp;$D417</f>
        <v>Zomba District [fyEoGEPERdI]|18-20|Female</v>
      </c>
      <c r="F417" s="0" t="s">
        <v>1247</v>
      </c>
      <c r="G417" s="10"/>
      <c r="H417" s="10" t="n">
        <v>9</v>
      </c>
      <c r="I417" s="88" t="n">
        <f aca="false">IF(SUM($H417)=0,"",0%)</f>
        <v>0</v>
      </c>
      <c r="J417" s="88"/>
      <c r="K417" s="88"/>
      <c r="L417" s="88" t="n">
        <f aca="false">1-IF(NOT(AND($D417="Female",OR($C417="10-14",$C417="15-17",$F417="Y"))),0,$J417)-IF(NOT(OR($C417="05-09",$C417="10-14")),0,$K417)</f>
        <v>1</v>
      </c>
      <c r="M417" s="88" t="n">
        <f aca="false">IF(SUM($L417)=0,"",20%)</f>
        <v>0.2</v>
      </c>
      <c r="N417" s="10" t="n">
        <f aca="false">IF(SUM($H417)=0,"",ROUND($H417*(1+$I417),0))</f>
        <v>9</v>
      </c>
      <c r="O417" s="39" t="str">
        <f aca="false">IF(OR(SUM($N417)=0,SUM($J417)=0,NOT(AND($D417="Female",$F417="Y",OR($C417="10-14",$C417="15-17")))),"",ROUND($N417*$J417,0))</f>
        <v/>
      </c>
      <c r="P417" s="39" t="str">
        <f aca="false">IF(OR(SUM($N417)=0,SUM($K417)=0,NOT(OR($C417="10-14",$C417="05-09"))),"",ROUND($N417*$K417,0))</f>
        <v/>
      </c>
      <c r="Q417" s="39" t="n">
        <f aca="false">IFERROR(1/(1/ROUND($N417*$L417*$M417,0)),"")</f>
        <v>2</v>
      </c>
      <c r="R417" s="39" t="n">
        <f aca="false">IFERROR(1/(1/(ROUND($N417*$L417,0)-$Q417)),"")</f>
        <v>7</v>
      </c>
      <c r="S417" s="88" t="str">
        <f aca="false">IF(OR($C417="18+",$C417="18-20",SUM($Q417,$R417)=0),"",100%)</f>
        <v/>
      </c>
      <c r="T417" s="39" t="str">
        <f aca="false">IF(OR($C417="18+",$C417="18-20",SUM($Q417,$R417)=0),"",ROUND(SUM($Q417,$R417)*$S417,0))</f>
        <v/>
      </c>
    </row>
    <row r="418" customFormat="false" ht="15" hidden="false" customHeight="false" outlineLevel="0" collapsed="false">
      <c r="A418" s="0" t="str">
        <f aca="false">INDEX(Prioritization!$D:$D,MATCH($B418,Prioritization!$A:$A,0))</f>
        <v>1 - Scale-up: Saturation</v>
      </c>
      <c r="B418" s="0" t="s">
        <v>222</v>
      </c>
      <c r="C418" s="0" t="s">
        <v>813</v>
      </c>
      <c r="D418" s="0" t="s">
        <v>48</v>
      </c>
      <c r="E418" s="0" t="str">
        <f aca="false">$B418&amp;"|"&amp;$C418&amp;"|"&amp;$D418</f>
        <v>Zomba District [fyEoGEPERdI]|18-20|Male</v>
      </c>
      <c r="F418" s="0" t="s">
        <v>1247</v>
      </c>
      <c r="G418" s="10"/>
      <c r="H418" s="10" t="n">
        <v>7</v>
      </c>
      <c r="I418" s="88" t="n">
        <f aca="false">IF(SUM($H418)=0,"",0%)</f>
        <v>0</v>
      </c>
      <c r="J418" s="88"/>
      <c r="K418" s="88"/>
      <c r="L418" s="88" t="n">
        <f aca="false">1-IF(NOT(AND($D418="Female",OR($C418="10-14",$C418="15-17",$F418="Y"))),0,$J418)-IF(NOT(OR($C418="05-09",$C418="10-14")),0,$K418)</f>
        <v>1</v>
      </c>
      <c r="M418" s="88" t="n">
        <f aca="false">IF(SUM($L418)=0,"",20%)</f>
        <v>0.2</v>
      </c>
      <c r="N418" s="10" t="n">
        <f aca="false">IF(SUM($H418)=0,"",ROUND($H418*(1+$I418),0))</f>
        <v>7</v>
      </c>
      <c r="O418" s="39" t="str">
        <f aca="false">IF(OR(SUM($N418)=0,SUM($J418)=0,NOT(AND($D418="Female",$F418="Y",OR($C418="10-14",$C418="15-17")))),"",ROUND($N418*$J418,0))</f>
        <v/>
      </c>
      <c r="P418" s="39" t="str">
        <f aca="false">IF(OR(SUM($N418)=0,SUM($K418)=0,NOT(OR($C418="10-14",$C418="05-09"))),"",ROUND($N418*$K418,0))</f>
        <v/>
      </c>
      <c r="Q418" s="39" t="n">
        <f aca="false">IFERROR(1/(1/ROUND($N418*$L418*$M418,0)),"")</f>
        <v>1</v>
      </c>
      <c r="R418" s="39" t="n">
        <f aca="false">IFERROR(1/(1/(ROUND($N418*$L418,0)-$Q418)),"")</f>
        <v>6</v>
      </c>
      <c r="S418" s="88" t="str">
        <f aca="false">IF(OR($C418="18+",$C418="18-20",SUM($Q418,$R418)=0),"",100%)</f>
        <v/>
      </c>
      <c r="T418" s="39" t="str">
        <f aca="false">IF(OR($C418="18+",$C418="18-20",SUM($Q418,$R418)=0),"",ROUND(SUM($Q418,$R418)*$S418,0))</f>
        <v/>
      </c>
    </row>
    <row r="419" customFormat="false" ht="15" hidden="false" customHeight="false" outlineLevel="0" collapsed="false">
      <c r="A419" s="0" t="str">
        <f aca="false">INDEX(Prioritization!$D:$D,MATCH($B419,Prioritization!$A:$A,0))</f>
        <v>1 - Scale-up: Saturation</v>
      </c>
      <c r="B419" s="0" t="s">
        <v>222</v>
      </c>
      <c r="C419" s="0" t="s">
        <v>814</v>
      </c>
      <c r="D419" s="0" t="s">
        <v>30</v>
      </c>
      <c r="E419" s="0" t="str">
        <f aca="false">$B419&amp;"|"&amp;$C419&amp;"|"&amp;$D419</f>
        <v>Zomba District [fyEoGEPERdI]|18+|Female</v>
      </c>
      <c r="F419" s="0" t="s">
        <v>1247</v>
      </c>
      <c r="G419" s="10" t="n">
        <v>317</v>
      </c>
      <c r="H419" s="10" t="n">
        <v>409</v>
      </c>
      <c r="I419" s="88" t="n">
        <f aca="false">IF(SUM($H419)=0,"",0%)</f>
        <v>0</v>
      </c>
      <c r="J419" s="88"/>
      <c r="K419" s="88"/>
      <c r="L419" s="88" t="n">
        <f aca="false">1-IF(NOT(AND($D419="Female",OR($C419="10-14",$C419="15-17",$F419="Y"))),0,$J419)-IF(NOT(OR($C419="05-09",$C419="10-14")),0,$K419)</f>
        <v>1</v>
      </c>
      <c r="M419" s="88" t="n">
        <f aca="false">IF(SUM($L419)=0,"",20%)</f>
        <v>0.2</v>
      </c>
      <c r="N419" s="10" t="n">
        <f aca="false">IF(SUM($H419)=0,"",ROUND($H419*(1+$I419),0))</f>
        <v>409</v>
      </c>
      <c r="O419" s="39" t="str">
        <f aca="false">IF(OR(SUM($N419)=0,SUM($J419)=0,NOT(AND($D419="Female",$F419="Y",OR($C419="10-14",$C419="15-17")))),"",ROUND($N419*$J419,0))</f>
        <v/>
      </c>
      <c r="P419" s="39" t="str">
        <f aca="false">IF(OR(SUM($N419)=0,SUM($K419)=0,NOT(OR($C419="10-14",$C419="05-09"))),"",ROUND($N419*$K419,0))</f>
        <v/>
      </c>
      <c r="Q419" s="39" t="n">
        <f aca="false">IFERROR(1/(1/ROUND($N419*$L419*$M419,0)),"")</f>
        <v>82</v>
      </c>
      <c r="R419" s="39" t="n">
        <f aca="false">IFERROR(1/(1/(ROUND($N419*$L419,0)-$Q419)),"")</f>
        <v>327</v>
      </c>
      <c r="S419" s="88" t="str">
        <f aca="false">IF(OR($C419="18+",$C419="18-20",SUM($Q419,$R419)=0),"",100%)</f>
        <v/>
      </c>
      <c r="T419" s="39" t="str">
        <f aca="false">IF(OR($C419="18+",$C419="18-20",SUM($Q419,$R419)=0),"",ROUND(SUM($Q419,$R419)*$S419,0))</f>
        <v/>
      </c>
    </row>
    <row r="420" customFormat="false" ht="15" hidden="false" customHeight="false" outlineLevel="0" collapsed="false">
      <c r="A420" s="0" t="str">
        <f aca="false">INDEX(Prioritization!$D:$D,MATCH($B420,Prioritization!$A:$A,0))</f>
        <v>1 - Scale-up: Saturation</v>
      </c>
      <c r="B420" s="0" t="s">
        <v>222</v>
      </c>
      <c r="C420" s="0" t="s">
        <v>814</v>
      </c>
      <c r="D420" s="0" t="s">
        <v>48</v>
      </c>
      <c r="E420" s="0" t="str">
        <f aca="false">$B420&amp;"|"&amp;$C420&amp;"|"&amp;$D420</f>
        <v>Zomba District [fyEoGEPERdI]|18+|Male</v>
      </c>
      <c r="F420" s="0" t="s">
        <v>1247</v>
      </c>
      <c r="G420" s="10" t="n">
        <v>38</v>
      </c>
      <c r="H420" s="10" t="n">
        <v>18</v>
      </c>
      <c r="I420" s="88" t="n">
        <f aca="false">IF(SUM($H420)=0,"",0%)</f>
        <v>0</v>
      </c>
      <c r="J420" s="88"/>
      <c r="K420" s="88"/>
      <c r="L420" s="88" t="n">
        <f aca="false">1-IF(NOT(AND($D420="Female",OR($C420="10-14",$C420="15-17",$F420="Y"))),0,$J420)-IF(NOT(OR($C420="05-09",$C420="10-14")),0,$K420)</f>
        <v>1</v>
      </c>
      <c r="M420" s="88" t="n">
        <f aca="false">IF(SUM($L420)=0,"",20%)</f>
        <v>0.2</v>
      </c>
      <c r="N420" s="10" t="n">
        <f aca="false">IF(SUM($H420)=0,"",ROUND($H420*(1+$I420),0))</f>
        <v>18</v>
      </c>
      <c r="O420" s="39" t="str">
        <f aca="false">IF(OR(SUM($N420)=0,SUM($J420)=0,NOT(AND($D420="Female",$F420="Y",OR($C420="10-14",$C420="15-17")))),"",ROUND($N420*$J420,0))</f>
        <v/>
      </c>
      <c r="P420" s="39" t="str">
        <f aca="false">IF(OR(SUM($N420)=0,SUM($K420)=0,NOT(OR($C420="10-14",$C420="05-09"))),"",ROUND($N420*$K420,0))</f>
        <v/>
      </c>
      <c r="Q420" s="39" t="n">
        <f aca="false">IFERROR(1/(1/ROUND($N420*$L420*$M420,0)),"")</f>
        <v>4</v>
      </c>
      <c r="R420" s="39" t="n">
        <f aca="false">IFERROR(1/(1/(ROUND($N420*$L420,0)-$Q420)),"")</f>
        <v>14</v>
      </c>
      <c r="S420" s="88" t="str">
        <f aca="false">IF(OR($C420="18+",$C420="18-20",SUM($Q420,$R420)=0),"",100%)</f>
        <v/>
      </c>
      <c r="T420" s="39" t="str">
        <f aca="false">IF(OR($C420="18+",$C420="18-20",SUM($Q420,$R420)=0),"",ROUND(SUM($Q420,$R420)*$S420,0))</f>
        <v/>
      </c>
    </row>
  </sheetData>
  <conditionalFormatting sqref="S1:T1048576">
    <cfRule type="expression" priority="2" aboveAverage="0" equalAverage="0" bottom="0" percent="0" rank="0" text="" dxfId="108">
      <formula>OR($C1="18-20",$C1="18+")</formula>
    </cfRule>
  </conditionalFormatting>
  <conditionalFormatting sqref="M1:M1048576">
    <cfRule type="expression" priority="3" aboveAverage="0" equalAverage="0" bottom="0" percent="0" rank="0" text="" dxfId="109">
      <formula>AND(ISNUMBER($M1),ROUND(SUM($M1),2)&lt;20%)</formula>
    </cfRule>
  </conditionalFormatting>
  <conditionalFormatting sqref="P1:P1048576 K1:K1048576">
    <cfRule type="expression" priority="4" aboveAverage="0" equalAverage="0" bottom="0" percent="0" rank="0" text="" dxfId="110">
      <formula>AND($E1&lt;&gt;"",ROW(K1)&gt;14,NOT(OR($C1="05-09",$C1="10-14")))</formula>
    </cfRule>
  </conditionalFormatting>
  <conditionalFormatting sqref="J1:T1048576 F1:H1048576">
    <cfRule type="expression" priority="5" aboveAverage="0" equalAverage="0" bottom="0" percent="0" rank="0" text="" dxfId="111">
      <formula>AND(ISNUMBER(F1),F1&lt;0)</formula>
    </cfRule>
  </conditionalFormatting>
  <conditionalFormatting sqref="J1:M1048576 S1:S1048576">
    <cfRule type="expression" priority="6" aboveAverage="0" equalAverage="0" bottom="0" percent="0" rank="0" text="" dxfId="112">
      <formula>AND(ISNUMBER(J1),OR(ROUND(SUM(J1),2)&lt;0,ROUND(SUM(J1),2)&gt;1))</formula>
    </cfRule>
  </conditionalFormatting>
  <conditionalFormatting sqref="S1:S1048576">
    <cfRule type="expression" priority="7" aboveAverage="0" equalAverage="0" bottom="0" percent="0" rank="0" text="" dxfId="113">
      <formula>AND(ISNUMBER($S1),SUM($Q1,$R1)&gt;0,ROUND(SUM($S1),2)&lt;1)</formula>
    </cfRule>
  </conditionalFormatting>
  <conditionalFormatting sqref="J1:J1048576 O1:O1048576">
    <cfRule type="expression" priority="8" aboveAverage="0" equalAverage="0" bottom="0" percent="0" rank="0" text="" dxfId="114">
      <formula>AND($B1&lt;&gt;"",ROW(J1)&gt;14,NOT(AND($D1="Female",$F1="Y",OR($C1="10-14",$C1="15-17"))))</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4" topLeftCell="C15" activePane="bottomRight" state="frozen"/>
      <selection pane="topLeft" activeCell="A1" activeCellId="0" sqref="A1"/>
      <selection pane="topRight" activeCell="C1" activeCellId="0" sqref="C1"/>
      <selection pane="bottomLeft" activeCell="A15" activeCellId="0" sqref="A15"/>
      <selection pane="bottomRight" activeCell="A1" activeCellId="0" sqref="A1"/>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41.33"/>
    <col collapsed="false" customWidth="true" hidden="false" outlineLevel="0" max="8" min="3" style="0" width="11.83"/>
  </cols>
  <sheetData>
    <row r="1" customFormat="false" ht="30.75" hidden="false" customHeight="true" outlineLevel="0" collapsed="false">
      <c r="A1" s="175" t="s">
        <v>819</v>
      </c>
      <c r="B1" s="176"/>
      <c r="C1" s="16" t="s">
        <v>499</v>
      </c>
      <c r="D1" s="17"/>
      <c r="E1" s="177"/>
      <c r="F1" s="177"/>
      <c r="G1" s="17"/>
      <c r="H1" s="17"/>
    </row>
    <row r="2" customFormat="false" ht="18.75" hidden="false" customHeight="true" outlineLevel="0" collapsed="false">
      <c r="B2" s="19"/>
      <c r="C2" s="50"/>
      <c r="D2" s="22"/>
      <c r="E2" s="52"/>
      <c r="F2" s="52"/>
      <c r="G2" s="21" t="s">
        <v>177</v>
      </c>
      <c r="H2" s="21" t="s">
        <v>177</v>
      </c>
    </row>
    <row r="3" customFormat="false" ht="117" hidden="false" customHeight="true" outlineLevel="0" collapsed="false">
      <c r="C3" s="24" t="s">
        <v>1248</v>
      </c>
      <c r="D3" s="69" t="s">
        <v>1249</v>
      </c>
      <c r="E3" s="160" t="s">
        <v>1250</v>
      </c>
      <c r="F3" s="160" t="s">
        <v>1251</v>
      </c>
      <c r="G3" s="72" t="s">
        <v>1252</v>
      </c>
      <c r="H3" s="72" t="s">
        <v>1253</v>
      </c>
    </row>
    <row r="4" customFormat="false" ht="15" hidden="false" customHeight="false" outlineLevel="0" collapsed="false">
      <c r="A4" s="73"/>
      <c r="B4" s="27" t="s">
        <v>288</v>
      </c>
      <c r="C4" s="85" t="n">
        <f aca="false">SUBTOTAL(109,C$15:INDEX(C:C,COUNTA($B:$B)+14-COUNTA($B$1:$B$14)))</f>
        <v>0</v>
      </c>
      <c r="D4" s="10" t="n">
        <f aca="false">SUBTOTAL(109,D$15:INDEX(D:D,COUNTA($B:$B)+14-COUNTA($B$1:$B$14)))</f>
        <v>0</v>
      </c>
      <c r="E4" s="88" t="str">
        <f aca="false">IF($C$4=0,"",$G$4/$C$4-1)</f>
        <v/>
      </c>
      <c r="F4" s="88" t="str">
        <f aca="false">IF($D$4=0,"",$H$4/$D$4-1)</f>
        <v/>
      </c>
      <c r="G4" s="5" t="n">
        <f aca="false">SUBTOTAL(109,G$15:INDEX(G:G,COUNTA($B:$B)+14-COUNTA($B$1:$B$14)))</f>
        <v>0</v>
      </c>
      <c r="H4" s="5" t="n">
        <f aca="false">SUBTOTAL(109,H$15:INDEX(H:H,COUNTA($B:$B)+14-COUNTA($B$1:$B$14)))</f>
        <v>0</v>
      </c>
    </row>
    <row r="5" customFormat="false" ht="12.8" hidden="false" customHeight="false" outlineLevel="0" collapsed="false">
      <c r="A5" s="73" t="s">
        <v>181</v>
      </c>
      <c r="B5" s="27" t="s">
        <v>181</v>
      </c>
      <c r="C5" s="85" t="s">
        <v>289</v>
      </c>
      <c r="D5" s="10" t="s">
        <v>289</v>
      </c>
      <c r="E5" s="88" t="s">
        <v>181</v>
      </c>
      <c r="F5" s="88" t="s">
        <v>181</v>
      </c>
      <c r="G5" s="5" t="s">
        <v>289</v>
      </c>
      <c r="H5" s="5" t="s">
        <v>289</v>
      </c>
    </row>
    <row r="6" customFormat="false" ht="12.8" hidden="false" customHeight="false" outlineLevel="0" collapsed="false">
      <c r="A6" s="73" t="s">
        <v>183</v>
      </c>
      <c r="B6" s="27" t="s">
        <v>183</v>
      </c>
      <c r="C6" s="85" t="s">
        <v>184</v>
      </c>
      <c r="D6" s="10" t="s">
        <v>184</v>
      </c>
      <c r="E6" s="88" t="s">
        <v>291</v>
      </c>
      <c r="F6" s="88" t="s">
        <v>291</v>
      </c>
      <c r="G6" s="5" t="s">
        <v>185</v>
      </c>
      <c r="H6" s="5" t="s">
        <v>185</v>
      </c>
    </row>
    <row r="7" customFormat="false" ht="12.8" hidden="false" customHeight="false" outlineLevel="0" collapsed="false">
      <c r="A7" s="73" t="s">
        <v>187</v>
      </c>
      <c r="B7" s="27" t="s">
        <v>187</v>
      </c>
      <c r="C7" s="85" t="s">
        <v>188</v>
      </c>
      <c r="D7" s="10" t="s">
        <v>188</v>
      </c>
      <c r="E7" s="88" t="s">
        <v>294</v>
      </c>
      <c r="F7" s="88" t="s">
        <v>294</v>
      </c>
      <c r="G7" s="5" t="s">
        <v>188</v>
      </c>
      <c r="H7" s="5" t="s">
        <v>188</v>
      </c>
    </row>
    <row r="8" customFormat="false" ht="12.8" hidden="false" customHeight="false" outlineLevel="0" collapsed="false">
      <c r="A8" s="73"/>
      <c r="B8" s="27"/>
      <c r="C8" s="93" t="s">
        <v>668</v>
      </c>
      <c r="D8" s="94" t="s">
        <v>668</v>
      </c>
      <c r="E8" s="88"/>
      <c r="F8" s="88"/>
      <c r="G8" s="97" t="s">
        <v>668</v>
      </c>
      <c r="H8" s="97" t="s">
        <v>668</v>
      </c>
    </row>
    <row r="9" customFormat="false" ht="12.8" hidden="false" customHeight="false" outlineLevel="0" collapsed="false">
      <c r="A9" s="73"/>
      <c r="B9" s="27"/>
      <c r="C9" s="93" t="s">
        <v>1254</v>
      </c>
      <c r="D9" s="94" t="s">
        <v>1254</v>
      </c>
      <c r="E9" s="88"/>
      <c r="F9" s="88"/>
      <c r="G9" s="97" t="s">
        <v>1254</v>
      </c>
      <c r="H9" s="97" t="s">
        <v>1254</v>
      </c>
    </row>
    <row r="10" customFormat="false" ht="12.8" hidden="false" customHeight="false" outlineLevel="0" collapsed="false">
      <c r="A10" s="73"/>
      <c r="B10" s="27"/>
      <c r="C10" s="93" t="s">
        <v>1255</v>
      </c>
      <c r="D10" s="94" t="s">
        <v>1256</v>
      </c>
      <c r="E10" s="88"/>
      <c r="F10" s="88"/>
      <c r="G10" s="97" t="s">
        <v>1255</v>
      </c>
      <c r="H10" s="97" t="s">
        <v>1256</v>
      </c>
    </row>
    <row r="11" customFormat="false" ht="12.8" hidden="false" customHeight="false" outlineLevel="0" collapsed="false">
      <c r="A11" s="73"/>
      <c r="B11" s="27"/>
    </row>
    <row r="12" customFormat="false" ht="12.8" hidden="false" customHeight="false" outlineLevel="0" collapsed="false">
      <c r="A12" s="73"/>
      <c r="B12" s="27"/>
    </row>
    <row r="13" customFormat="false" ht="12.8" hidden="false" customHeight="false" outlineLevel="0" collapsed="false">
      <c r="A13" s="73"/>
      <c r="B13" s="27"/>
    </row>
    <row r="14" customFormat="false" ht="15" hidden="false" customHeight="false" outlineLevel="0" collapsed="false">
      <c r="A14" s="100" t="s">
        <v>176</v>
      </c>
      <c r="B14" s="33" t="s">
        <v>190</v>
      </c>
      <c r="C14" s="101" t="s">
        <v>1257</v>
      </c>
      <c r="D14" s="36" t="s">
        <v>1258</v>
      </c>
      <c r="E14" s="103" t="s">
        <v>1259</v>
      </c>
      <c r="F14" s="103" t="s">
        <v>1260</v>
      </c>
      <c r="G14" s="107" t="s">
        <v>1261</v>
      </c>
      <c r="H14" s="107" t="s">
        <v>1262</v>
      </c>
    </row>
    <row r="15" customFormat="false" ht="15" hidden="false" customHeight="false" outlineLevel="0" collapsed="false">
      <c r="A15" s="0" t="str">
        <f aca="false">INDEX(Prioritization!$D:$D,MATCH($B15,Prioritization!$A:$A,0))</f>
        <v>Military</v>
      </c>
      <c r="B15" s="0" t="s">
        <v>194</v>
      </c>
      <c r="C15" s="10"/>
      <c r="D15" s="10"/>
      <c r="E15" s="88" t="str">
        <f aca="false">IF(SUM($C15)=0,"",0%)</f>
        <v/>
      </c>
      <c r="F15" s="88" t="str">
        <f aca="false">IF(SUM($D15)=0,"",0%)</f>
        <v/>
      </c>
      <c r="G15" s="5" t="str">
        <f aca="false">IF(SUM($C15)=0,"",ROUND($C15*(1+$E15),0))</f>
        <v/>
      </c>
      <c r="H15" s="5" t="str">
        <f aca="false">IF(SUM($D15)=0,"",ROUND($D15*(1+$F15),0))</f>
        <v/>
      </c>
    </row>
    <row r="16" customFormat="false" ht="15" hidden="false" customHeight="false" outlineLevel="0" collapsed="false">
      <c r="A16" s="0" t="str">
        <f aca="false">INDEX(Prioritization!$D:$D,MATCH($B16,Prioritization!$A:$A,0))</f>
        <v>1 - Scale-up: Saturation</v>
      </c>
      <c r="B16" s="0" t="s">
        <v>195</v>
      </c>
      <c r="C16" s="10"/>
      <c r="D16" s="10"/>
      <c r="E16" s="88" t="str">
        <f aca="false">IF(SUM($C16)=0,"",0%)</f>
        <v/>
      </c>
      <c r="F16" s="88" t="str">
        <f aca="false">IF(SUM($D16)=0,"",0%)</f>
        <v/>
      </c>
      <c r="G16" s="39" t="str">
        <f aca="false">IF(SUM($C16)=0,"",ROUND($C16*(1+$E16),0))</f>
        <v/>
      </c>
      <c r="H16" s="39" t="str">
        <f aca="false">IF(SUM($D16)=0,"",ROUND($D16*(1+$F16),0))</f>
        <v/>
      </c>
    </row>
    <row r="17" customFormat="false" ht="15" hidden="false" customHeight="false" outlineLevel="0" collapsed="false">
      <c r="A17" s="0" t="str">
        <f aca="false">INDEX(Prioritization!$D:$D,MATCH($B17,Prioritization!$A:$A,0))</f>
        <v>1 - Scale-up: Saturation</v>
      </c>
      <c r="B17" s="0" t="s">
        <v>196</v>
      </c>
      <c r="C17" s="10"/>
      <c r="D17" s="10"/>
      <c r="E17" s="88" t="str">
        <f aca="false">IF(SUM($C17)=0,"",0%)</f>
        <v/>
      </c>
      <c r="F17" s="88" t="str">
        <f aca="false">IF(SUM($D17)=0,"",0%)</f>
        <v/>
      </c>
      <c r="G17" s="39" t="str">
        <f aca="false">IF(SUM($C17)=0,"",ROUND($C17*(1+$E17),0))</f>
        <v/>
      </c>
      <c r="H17" s="39" t="str">
        <f aca="false">IF(SUM($D17)=0,"",ROUND($D17*(1+$F17),0))</f>
        <v/>
      </c>
    </row>
    <row r="18" customFormat="false" ht="15" hidden="false" customHeight="false" outlineLevel="0" collapsed="false">
      <c r="A18" s="0" t="str">
        <f aca="false">INDEX(Prioritization!$D:$D,MATCH($B18,Prioritization!$A:$A,0))</f>
        <v>INVALID</v>
      </c>
      <c r="B18" s="0" t="s">
        <v>197</v>
      </c>
      <c r="C18" s="10"/>
      <c r="D18" s="10"/>
      <c r="E18" s="88" t="str">
        <f aca="false">IF(SUM($C18)=0,"",0%)</f>
        <v/>
      </c>
      <c r="F18" s="88" t="str">
        <f aca="false">IF(SUM($D18)=0,"",0%)</f>
        <v/>
      </c>
      <c r="G18" s="39" t="str">
        <f aca="false">IF(SUM($C18)=0,"",ROUND($C18*(1+$E18),0))</f>
        <v/>
      </c>
      <c r="H18" s="39" t="str">
        <f aca="false">IF(SUM($D18)=0,"",ROUND($D18*(1+$F18),0))</f>
        <v/>
      </c>
    </row>
    <row r="19" customFormat="false" ht="15" hidden="false" customHeight="false" outlineLevel="0" collapsed="false">
      <c r="A19" s="0" t="str">
        <f aca="false">INDEX(Prioritization!$D:$D,MATCH($B19,Prioritization!$A:$A,0))</f>
        <v>1 - Scale-up: Saturation</v>
      </c>
      <c r="B19" s="0" t="s">
        <v>198</v>
      </c>
      <c r="C19" s="10" t="n">
        <v>82</v>
      </c>
      <c r="D19" s="10" t="n">
        <v>55</v>
      </c>
      <c r="E19" s="88" t="n">
        <f aca="false">IF(SUM($C19)=0,"",0%)</f>
        <v>0</v>
      </c>
      <c r="F19" s="88" t="n">
        <f aca="false">IF(SUM($D19)=0,"",0%)</f>
        <v>0</v>
      </c>
      <c r="G19" s="39" t="n">
        <f aca="false">IF(SUM($C19)=0,"",ROUND($C19*(1+$E19),0))</f>
        <v>82</v>
      </c>
      <c r="H19" s="39" t="n">
        <f aca="false">IF(SUM($D19)=0,"",ROUND($D19*(1+$F19),0))</f>
        <v>55</v>
      </c>
    </row>
    <row r="20" customFormat="false" ht="15" hidden="false" customHeight="false" outlineLevel="0" collapsed="false">
      <c r="A20" s="0" t="str">
        <f aca="false">INDEX(Prioritization!$D:$D,MATCH($B20,Prioritization!$A:$A,0))</f>
        <v>1 - Scale-up: Saturation</v>
      </c>
      <c r="B20" s="0" t="s">
        <v>199</v>
      </c>
      <c r="C20" s="10"/>
      <c r="D20" s="10"/>
      <c r="E20" s="88" t="str">
        <f aca="false">IF(SUM($C20)=0,"",0%)</f>
        <v/>
      </c>
      <c r="F20" s="88" t="str">
        <f aca="false">IF(SUM($D20)=0,"",0%)</f>
        <v/>
      </c>
      <c r="G20" s="39" t="str">
        <f aca="false">IF(SUM($C20)=0,"",ROUND($C20*(1+$E20),0))</f>
        <v/>
      </c>
      <c r="H20" s="39" t="str">
        <f aca="false">IF(SUM($D20)=0,"",ROUND($D20*(1+$F20),0))</f>
        <v/>
      </c>
    </row>
    <row r="21" customFormat="false" ht="15" hidden="false" customHeight="false" outlineLevel="0" collapsed="false">
      <c r="A21" s="0" t="str">
        <f aca="false">INDEX(Prioritization!$D:$D,MATCH($B21,Prioritization!$A:$A,0))</f>
        <v>1 - Scale-up: Saturation</v>
      </c>
      <c r="B21" s="0" t="s">
        <v>200</v>
      </c>
      <c r="C21" s="10"/>
      <c r="D21" s="10"/>
      <c r="E21" s="88" t="str">
        <f aca="false">IF(SUM($C21)=0,"",0%)</f>
        <v/>
      </c>
      <c r="F21" s="88" t="str">
        <f aca="false">IF(SUM($D21)=0,"",0%)</f>
        <v/>
      </c>
      <c r="G21" s="39" t="str">
        <f aca="false">IF(SUM($C21)=0,"",ROUND($C21*(1+$E21),0))</f>
        <v/>
      </c>
      <c r="H21" s="39" t="str">
        <f aca="false">IF(SUM($D21)=0,"",ROUND($D21*(1+$F21),0))</f>
        <v/>
      </c>
    </row>
    <row r="22" customFormat="false" ht="15" hidden="false" customHeight="false" outlineLevel="0" collapsed="false">
      <c r="A22" s="0" t="str">
        <f aca="false">INDEX(Prioritization!$D:$D,MATCH($B22,Prioritization!$A:$A,0))</f>
        <v>INVALID</v>
      </c>
      <c r="B22" s="0" t="s">
        <v>201</v>
      </c>
      <c r="C22" s="10"/>
      <c r="D22" s="10"/>
      <c r="E22" s="88" t="str">
        <f aca="false">IF(SUM($C22)=0,"",0%)</f>
        <v/>
      </c>
      <c r="F22" s="88" t="str">
        <f aca="false">IF(SUM($D22)=0,"",0%)</f>
        <v/>
      </c>
      <c r="G22" s="39" t="str">
        <f aca="false">IF(SUM($C22)=0,"",ROUND($C22*(1+$E22),0))</f>
        <v/>
      </c>
      <c r="H22" s="39" t="str">
        <f aca="false">IF(SUM($D22)=0,"",ROUND($D22*(1+$F22),0))</f>
        <v/>
      </c>
    </row>
    <row r="23" customFormat="false" ht="15" hidden="false" customHeight="false" outlineLevel="0" collapsed="false">
      <c r="A23" s="0" t="str">
        <f aca="false">INDEX(Prioritization!$D:$D,MATCH($B23,Prioritization!$A:$A,0))</f>
        <v>INVALID</v>
      </c>
      <c r="B23" s="0" t="s">
        <v>202</v>
      </c>
      <c r="C23" s="10"/>
      <c r="D23" s="10"/>
      <c r="E23" s="88" t="str">
        <f aca="false">IF(SUM($C23)=0,"",0%)</f>
        <v/>
      </c>
      <c r="F23" s="88" t="str">
        <f aca="false">IF(SUM($D23)=0,"",0%)</f>
        <v/>
      </c>
      <c r="G23" s="39" t="str">
        <f aca="false">IF(SUM($C23)=0,"",ROUND($C23*(1+$E23),0))</f>
        <v/>
      </c>
      <c r="H23" s="39" t="str">
        <f aca="false">IF(SUM($D23)=0,"",ROUND($D23*(1+$F23),0))</f>
        <v/>
      </c>
    </row>
    <row r="24" customFormat="false" ht="15" hidden="false" customHeight="false" outlineLevel="0" collapsed="false">
      <c r="A24" s="0" t="str">
        <f aca="false">INDEX(Prioritization!$D:$D,MATCH($B24,Prioritization!$A:$A,0))</f>
        <v>INVALID</v>
      </c>
      <c r="B24" s="0" t="s">
        <v>203</v>
      </c>
      <c r="C24" s="10"/>
      <c r="D24" s="10"/>
      <c r="E24" s="88" t="str">
        <f aca="false">IF(SUM($C24)=0,"",0%)</f>
        <v/>
      </c>
      <c r="F24" s="88" t="str">
        <f aca="false">IF(SUM($D24)=0,"",0%)</f>
        <v/>
      </c>
      <c r="G24" s="39" t="str">
        <f aca="false">IF(SUM($C24)=0,"",ROUND($C24*(1+$E24),0))</f>
        <v/>
      </c>
      <c r="H24" s="39" t="str">
        <f aca="false">IF(SUM($D24)=0,"",ROUND($D24*(1+$F24),0))</f>
        <v/>
      </c>
    </row>
    <row r="25" customFormat="false" ht="15" hidden="false" customHeight="false" outlineLevel="0" collapsed="false">
      <c r="A25" s="0" t="str">
        <f aca="false">INDEX(Prioritization!$D:$D,MATCH($B25,Prioritization!$A:$A,0))</f>
        <v>1 - Scale-up: Saturation</v>
      </c>
      <c r="B25" s="0" t="s">
        <v>204</v>
      </c>
      <c r="C25" s="10"/>
      <c r="D25" s="10"/>
      <c r="E25" s="88" t="str">
        <f aca="false">IF(SUM($C25)=0,"",0%)</f>
        <v/>
      </c>
      <c r="F25" s="88" t="str">
        <f aca="false">IF(SUM($D25)=0,"",0%)</f>
        <v/>
      </c>
      <c r="G25" s="39" t="str">
        <f aca="false">IF(SUM($C25)=0,"",ROUND($C25*(1+$E25),0))</f>
        <v/>
      </c>
      <c r="H25" s="39" t="str">
        <f aca="false">IF(SUM($D25)=0,"",ROUND($D25*(1+$F25),0))</f>
        <v/>
      </c>
    </row>
    <row r="26" customFormat="false" ht="15" hidden="false" customHeight="false" outlineLevel="0" collapsed="false">
      <c r="A26" s="0" t="str">
        <f aca="false">INDEX(Prioritization!$D:$D,MATCH($B26,Prioritization!$A:$A,0))</f>
        <v>INVALID</v>
      </c>
      <c r="B26" s="0" t="s">
        <v>205</v>
      </c>
      <c r="C26" s="10"/>
      <c r="D26" s="10"/>
      <c r="E26" s="88" t="str">
        <f aca="false">IF(SUM($C26)=0,"",0%)</f>
        <v/>
      </c>
      <c r="F26" s="88" t="str">
        <f aca="false">IF(SUM($D26)=0,"",0%)</f>
        <v/>
      </c>
      <c r="G26" s="39" t="str">
        <f aca="false">IF(SUM($C26)=0,"",ROUND($C26*(1+$E26),0))</f>
        <v/>
      </c>
      <c r="H26" s="39" t="str">
        <f aca="false">IF(SUM($D26)=0,"",ROUND($D26*(1+$F26),0))</f>
        <v/>
      </c>
    </row>
    <row r="27" customFormat="false" ht="15" hidden="false" customHeight="false" outlineLevel="0" collapsed="false">
      <c r="A27" s="0" t="str">
        <f aca="false">INDEX(Prioritization!$D:$D,MATCH($B27,Prioritization!$A:$A,0))</f>
        <v>INVALID</v>
      </c>
      <c r="B27" s="0" t="s">
        <v>206</v>
      </c>
      <c r="C27" s="10"/>
      <c r="D27" s="10"/>
      <c r="E27" s="88" t="str">
        <f aca="false">IF(SUM($C27)=0,"",0%)</f>
        <v/>
      </c>
      <c r="F27" s="88" t="str">
        <f aca="false">IF(SUM($D27)=0,"",0%)</f>
        <v/>
      </c>
      <c r="G27" s="39" t="str">
        <f aca="false">IF(SUM($C27)=0,"",ROUND($C27*(1+$E27),0))</f>
        <v/>
      </c>
      <c r="H27" s="39" t="str">
        <f aca="false">IF(SUM($D27)=0,"",ROUND($D27*(1+$F27),0))</f>
        <v/>
      </c>
    </row>
    <row r="28" customFormat="false" ht="15" hidden="false" customHeight="false" outlineLevel="0" collapsed="false">
      <c r="A28" s="0" t="str">
        <f aca="false">INDEX(Prioritization!$D:$D,MATCH($B28,Prioritization!$A:$A,0))</f>
        <v>1 - Scale-up: Saturation</v>
      </c>
      <c r="B28" s="0" t="s">
        <v>207</v>
      </c>
      <c r="C28" s="10" t="n">
        <v>10</v>
      </c>
      <c r="D28" s="10" t="n">
        <v>2</v>
      </c>
      <c r="E28" s="88" t="n">
        <f aca="false">IF(SUM($C28)=0,"",0%)</f>
        <v>0</v>
      </c>
      <c r="F28" s="88" t="n">
        <f aca="false">IF(SUM($D28)=0,"",0%)</f>
        <v>0</v>
      </c>
      <c r="G28" s="39" t="n">
        <f aca="false">IF(SUM($C28)=0,"",ROUND($C28*(1+$E28),0))</f>
        <v>10</v>
      </c>
      <c r="H28" s="39" t="n">
        <f aca="false">IF(SUM($D28)=0,"",ROUND($D28*(1+$F28),0))</f>
        <v>2</v>
      </c>
    </row>
    <row r="29" customFormat="false" ht="15" hidden="false" customHeight="false" outlineLevel="0" collapsed="false">
      <c r="A29" s="0" t="str">
        <f aca="false">INDEX(Prioritization!$D:$D,MATCH($B29,Prioritization!$A:$A,0))</f>
        <v>INVALID</v>
      </c>
      <c r="B29" s="0" t="s">
        <v>208</v>
      </c>
      <c r="C29" s="10"/>
      <c r="D29" s="10"/>
      <c r="E29" s="88" t="str">
        <f aca="false">IF(SUM($C29)=0,"",0%)</f>
        <v/>
      </c>
      <c r="F29" s="88" t="str">
        <f aca="false">IF(SUM($D29)=0,"",0%)</f>
        <v/>
      </c>
      <c r="G29" s="39" t="str">
        <f aca="false">IF(SUM($C29)=0,"",ROUND($C29*(1+$E29),0))</f>
        <v/>
      </c>
      <c r="H29" s="39" t="str">
        <f aca="false">IF(SUM($D29)=0,"",ROUND($D29*(1+$F29),0))</f>
        <v/>
      </c>
    </row>
    <row r="30" customFormat="false" ht="15" hidden="false" customHeight="false" outlineLevel="0" collapsed="false">
      <c r="A30" s="0" t="str">
        <f aca="false">INDEX(Prioritization!$D:$D,MATCH($B30,Prioritization!$A:$A,0))</f>
        <v>INVALID</v>
      </c>
      <c r="B30" s="0" t="s">
        <v>209</v>
      </c>
      <c r="C30" s="10"/>
      <c r="D30" s="10"/>
      <c r="E30" s="88" t="str">
        <f aca="false">IF(SUM($C30)=0,"",0%)</f>
        <v/>
      </c>
      <c r="F30" s="88" t="str">
        <f aca="false">IF(SUM($D30)=0,"",0%)</f>
        <v/>
      </c>
      <c r="G30" s="39" t="str">
        <f aca="false">IF(SUM($C30)=0,"",ROUND($C30*(1+$E30),0))</f>
        <v/>
      </c>
      <c r="H30" s="39" t="str">
        <f aca="false">IF(SUM($D30)=0,"",ROUND($D30*(1+$F30),0))</f>
        <v/>
      </c>
    </row>
    <row r="31" customFormat="false" ht="15" hidden="false" customHeight="false" outlineLevel="0" collapsed="false">
      <c r="A31" s="0" t="str">
        <f aca="false">INDEX(Prioritization!$D:$D,MATCH($B31,Prioritization!$A:$A,0))</f>
        <v>1 - Scale-up: Saturation</v>
      </c>
      <c r="B31" s="0" t="s">
        <v>210</v>
      </c>
      <c r="C31" s="10"/>
      <c r="D31" s="10"/>
      <c r="E31" s="88" t="str">
        <f aca="false">IF(SUM($C31)=0,"",0%)</f>
        <v/>
      </c>
      <c r="F31" s="88" t="str">
        <f aca="false">IF(SUM($D31)=0,"",0%)</f>
        <v/>
      </c>
      <c r="G31" s="39" t="str">
        <f aca="false">IF(SUM($C31)=0,"",ROUND($C31*(1+$E31),0))</f>
        <v/>
      </c>
      <c r="H31" s="39" t="str">
        <f aca="false">IF(SUM($D31)=0,"",ROUND($D31*(1+$F31),0))</f>
        <v/>
      </c>
    </row>
    <row r="32" customFormat="false" ht="15" hidden="false" customHeight="false" outlineLevel="0" collapsed="false">
      <c r="A32" s="0" t="str">
        <f aca="false">INDEX(Prioritization!$D:$D,MATCH($B32,Prioritization!$A:$A,0))</f>
        <v>1 - Scale-up: Saturation</v>
      </c>
      <c r="B32" s="0" t="s">
        <v>211</v>
      </c>
      <c r="C32" s="10" t="n">
        <v>811</v>
      </c>
      <c r="D32" s="10" t="n">
        <v>59</v>
      </c>
      <c r="E32" s="88" t="n">
        <f aca="false">IF(SUM($C32)=0,"",0%)</f>
        <v>0</v>
      </c>
      <c r="F32" s="88" t="n">
        <f aca="false">IF(SUM($D32)=0,"",0%)</f>
        <v>0</v>
      </c>
      <c r="G32" s="39" t="n">
        <f aca="false">IF(SUM($C32)=0,"",ROUND($C32*(1+$E32),0))</f>
        <v>811</v>
      </c>
      <c r="H32" s="39" t="n">
        <f aca="false">IF(SUM($D32)=0,"",ROUND($D32*(1+$F32),0))</f>
        <v>59</v>
      </c>
    </row>
    <row r="33" customFormat="false" ht="15" hidden="false" customHeight="false" outlineLevel="0" collapsed="false">
      <c r="A33" s="0" t="str">
        <f aca="false">INDEX(Prioritization!$D:$D,MATCH($B33,Prioritization!$A:$A,0))</f>
        <v>1 - Scale-up: Saturation</v>
      </c>
      <c r="B33" s="0" t="s">
        <v>212</v>
      </c>
      <c r="C33" s="10"/>
      <c r="D33" s="10"/>
      <c r="E33" s="88" t="str">
        <f aca="false">IF(SUM($C33)=0,"",0%)</f>
        <v/>
      </c>
      <c r="F33" s="88" t="str">
        <f aca="false">IF(SUM($D33)=0,"",0%)</f>
        <v/>
      </c>
      <c r="G33" s="39" t="str">
        <f aca="false">IF(SUM($C33)=0,"",ROUND($C33*(1+$E33),0))</f>
        <v/>
      </c>
      <c r="H33" s="39" t="str">
        <f aca="false">IF(SUM($D33)=0,"",ROUND($D33*(1+$F33),0))</f>
        <v/>
      </c>
    </row>
    <row r="34" customFormat="false" ht="15" hidden="false" customHeight="false" outlineLevel="0" collapsed="false">
      <c r="A34" s="0" t="str">
        <f aca="false">INDEX(Prioritization!$D:$D,MATCH($B34,Prioritization!$A:$A,0))</f>
        <v>1 - Scale-up: Saturation</v>
      </c>
      <c r="B34" s="0" t="s">
        <v>213</v>
      </c>
      <c r="C34" s="10"/>
      <c r="D34" s="10"/>
      <c r="E34" s="88" t="str">
        <f aca="false">IF(SUM($C34)=0,"",0%)</f>
        <v/>
      </c>
      <c r="F34" s="88" t="str">
        <f aca="false">IF(SUM($D34)=0,"",0%)</f>
        <v/>
      </c>
      <c r="G34" s="39" t="str">
        <f aca="false">IF(SUM($C34)=0,"",ROUND($C34*(1+$E34),0))</f>
        <v/>
      </c>
      <c r="H34" s="39" t="str">
        <f aca="false">IF(SUM($D34)=0,"",ROUND($D34*(1+$F34),0))</f>
        <v/>
      </c>
    </row>
    <row r="35" customFormat="false" ht="15" hidden="false" customHeight="false" outlineLevel="0" collapsed="false">
      <c r="A35" s="0" t="str">
        <f aca="false">INDEX(Prioritization!$D:$D,MATCH($B35,Prioritization!$A:$A,0))</f>
        <v>1 - Scale-up: Saturation</v>
      </c>
      <c r="B35" s="0" t="s">
        <v>214</v>
      </c>
      <c r="C35" s="10" t="n">
        <v>385</v>
      </c>
      <c r="D35" s="10" t="n">
        <v>66</v>
      </c>
      <c r="E35" s="88" t="n">
        <f aca="false">IF(SUM($C35)=0,"",0%)</f>
        <v>0</v>
      </c>
      <c r="F35" s="88" t="n">
        <f aca="false">IF(SUM($D35)=0,"",0%)</f>
        <v>0</v>
      </c>
      <c r="G35" s="39" t="n">
        <f aca="false">IF(SUM($C35)=0,"",ROUND($C35*(1+$E35),0))</f>
        <v>385</v>
      </c>
      <c r="H35" s="39" t="n">
        <f aca="false">IF(SUM($D35)=0,"",ROUND($D35*(1+$F35),0))</f>
        <v>66</v>
      </c>
    </row>
    <row r="36" customFormat="false" ht="15" hidden="false" customHeight="false" outlineLevel="0" collapsed="false">
      <c r="A36" s="0" t="str">
        <f aca="false">INDEX(Prioritization!$D:$D,MATCH($B36,Prioritization!$A:$A,0))</f>
        <v>INVALID</v>
      </c>
      <c r="B36" s="0" t="s">
        <v>215</v>
      </c>
      <c r="C36" s="10" t="n">
        <v>34</v>
      </c>
      <c r="D36" s="10" t="n">
        <v>8</v>
      </c>
      <c r="E36" s="88" t="n">
        <f aca="false">IF(SUM($C36)=0,"",0%)</f>
        <v>0</v>
      </c>
      <c r="F36" s="88" t="n">
        <f aca="false">IF(SUM($D36)=0,"",0%)</f>
        <v>0</v>
      </c>
      <c r="G36" s="39" t="n">
        <f aca="false">IF(SUM($C36)=0,"",ROUND($C36*(1+$E36),0))</f>
        <v>34</v>
      </c>
      <c r="H36" s="39" t="n">
        <f aca="false">IF(SUM($D36)=0,"",ROUND($D36*(1+$F36),0))</f>
        <v>8</v>
      </c>
    </row>
    <row r="37" customFormat="false" ht="15" hidden="false" customHeight="false" outlineLevel="0" collapsed="false">
      <c r="A37" s="0" t="str">
        <f aca="false">INDEX(Prioritization!$D:$D,MATCH($B37,Prioritization!$A:$A,0))</f>
        <v>INVALID</v>
      </c>
      <c r="B37" s="0" t="s">
        <v>216</v>
      </c>
      <c r="C37" s="10"/>
      <c r="D37" s="10"/>
      <c r="E37" s="88" t="str">
        <f aca="false">IF(SUM($C37)=0,"",0%)</f>
        <v/>
      </c>
      <c r="F37" s="88" t="str">
        <f aca="false">IF(SUM($D37)=0,"",0%)</f>
        <v/>
      </c>
      <c r="G37" s="39" t="str">
        <f aca="false">IF(SUM($C37)=0,"",ROUND($C37*(1+$E37),0))</f>
        <v/>
      </c>
      <c r="H37" s="39" t="str">
        <f aca="false">IF(SUM($D37)=0,"",ROUND($D37*(1+$F37),0))</f>
        <v/>
      </c>
    </row>
    <row r="38" customFormat="false" ht="15" hidden="false" customHeight="false" outlineLevel="0" collapsed="false">
      <c r="A38" s="0" t="str">
        <f aca="false">INDEX(Prioritization!$D:$D,MATCH($B38,Prioritization!$A:$A,0))</f>
        <v>INVALID</v>
      </c>
      <c r="B38" s="0" t="s">
        <v>217</v>
      </c>
      <c r="C38" s="10"/>
      <c r="D38" s="10"/>
      <c r="E38" s="88" t="str">
        <f aca="false">IF(SUM($C38)=0,"",0%)</f>
        <v/>
      </c>
      <c r="F38" s="88" t="str">
        <f aca="false">IF(SUM($D38)=0,"",0%)</f>
        <v/>
      </c>
      <c r="G38" s="39" t="str">
        <f aca="false">IF(SUM($C38)=0,"",ROUND($C38*(1+$E38),0))</f>
        <v/>
      </c>
      <c r="H38" s="39" t="str">
        <f aca="false">IF(SUM($D38)=0,"",ROUND($D38*(1+$F38),0))</f>
        <v/>
      </c>
    </row>
    <row r="39" customFormat="false" ht="15" hidden="false" customHeight="false" outlineLevel="0" collapsed="false">
      <c r="A39" s="0" t="str">
        <f aca="false">INDEX(Prioritization!$D:$D,MATCH($B39,Prioritization!$A:$A,0))</f>
        <v>INVALID</v>
      </c>
      <c r="B39" s="0" t="s">
        <v>218</v>
      </c>
      <c r="C39" s="10"/>
      <c r="D39" s="10"/>
      <c r="E39" s="88" t="str">
        <f aca="false">IF(SUM($C39)=0,"",0%)</f>
        <v/>
      </c>
      <c r="F39" s="88" t="str">
        <f aca="false">IF(SUM($D39)=0,"",0%)</f>
        <v/>
      </c>
      <c r="G39" s="39" t="str">
        <f aca="false">IF(SUM($C39)=0,"",ROUND($C39*(1+$E39),0))</f>
        <v/>
      </c>
      <c r="H39" s="39" t="str">
        <f aca="false">IF(SUM($D39)=0,"",ROUND($D39*(1+$F39),0))</f>
        <v/>
      </c>
    </row>
    <row r="40" customFormat="false" ht="15" hidden="false" customHeight="false" outlineLevel="0" collapsed="false">
      <c r="A40" s="0" t="str">
        <f aca="false">INDEX(Prioritization!$D:$D,MATCH($B40,Prioritization!$A:$A,0))</f>
        <v>INVALID</v>
      </c>
      <c r="B40" s="0" t="s">
        <v>219</v>
      </c>
      <c r="C40" s="10"/>
      <c r="D40" s="10"/>
      <c r="E40" s="88" t="str">
        <f aca="false">IF(SUM($C40)=0,"",0%)</f>
        <v/>
      </c>
      <c r="F40" s="88" t="str">
        <f aca="false">IF(SUM($D40)=0,"",0%)</f>
        <v/>
      </c>
      <c r="G40" s="39" t="str">
        <f aca="false">IF(SUM($C40)=0,"",ROUND($C40*(1+$E40),0))</f>
        <v/>
      </c>
      <c r="H40" s="39" t="str">
        <f aca="false">IF(SUM($D40)=0,"",ROUND($D40*(1+$F40),0))</f>
        <v/>
      </c>
    </row>
    <row r="41" customFormat="false" ht="15" hidden="false" customHeight="false" outlineLevel="0" collapsed="false">
      <c r="A41" s="0" t="str">
        <f aca="false">INDEX(Prioritization!$D:$D,MATCH($B41,Prioritization!$A:$A,0))</f>
        <v>INVALID</v>
      </c>
      <c r="B41" s="0" t="s">
        <v>220</v>
      </c>
      <c r="C41" s="10"/>
      <c r="D41" s="10"/>
      <c r="E41" s="88" t="str">
        <f aca="false">IF(SUM($C41)=0,"",0%)</f>
        <v/>
      </c>
      <c r="F41" s="88" t="str">
        <f aca="false">IF(SUM($D41)=0,"",0%)</f>
        <v/>
      </c>
      <c r="G41" s="39" t="str">
        <f aca="false">IF(SUM($C41)=0,"",ROUND($C41*(1+$E41),0))</f>
        <v/>
      </c>
      <c r="H41" s="39" t="str">
        <f aca="false">IF(SUM($D41)=0,"",ROUND($D41*(1+$F41),0))</f>
        <v/>
      </c>
    </row>
    <row r="42" customFormat="false" ht="15" hidden="false" customHeight="false" outlineLevel="0" collapsed="false">
      <c r="A42" s="0" t="str">
        <f aca="false">INDEX(Prioritization!$D:$D,MATCH($B42,Prioritization!$A:$A,0))</f>
        <v>1 - Scale-up: Saturation</v>
      </c>
      <c r="B42" s="0" t="s">
        <v>221</v>
      </c>
      <c r="C42" s="10"/>
      <c r="D42" s="10"/>
      <c r="E42" s="88" t="str">
        <f aca="false">IF(SUM($C42)=0,"",0%)</f>
        <v/>
      </c>
      <c r="F42" s="88" t="str">
        <f aca="false">IF(SUM($D42)=0,"",0%)</f>
        <v/>
      </c>
      <c r="G42" s="39" t="str">
        <f aca="false">IF(SUM($C42)=0,"",ROUND($C42*(1+$E42),0))</f>
        <v/>
      </c>
      <c r="H42" s="39" t="str">
        <f aca="false">IF(SUM($D42)=0,"",ROUND($D42*(1+$F42),0))</f>
        <v/>
      </c>
    </row>
    <row r="43" customFormat="false" ht="15" hidden="false" customHeight="false" outlineLevel="0" collapsed="false">
      <c r="A43" s="0" t="str">
        <f aca="false">INDEX(Prioritization!$D:$D,MATCH($B43,Prioritization!$A:$A,0))</f>
        <v>1 - Scale-up: Saturation</v>
      </c>
      <c r="B43" s="0" t="s">
        <v>222</v>
      </c>
      <c r="C43" s="10" t="n">
        <v>483</v>
      </c>
      <c r="D43" s="10" t="n">
        <v>21</v>
      </c>
      <c r="E43" s="88" t="n">
        <f aca="false">IF(SUM($C43)=0,"",0%)</f>
        <v>0</v>
      </c>
      <c r="F43" s="88" t="n">
        <f aca="false">IF(SUM($D43)=0,"",0%)</f>
        <v>0</v>
      </c>
      <c r="G43" s="39" t="n">
        <f aca="false">IF(SUM($C43)=0,"",ROUND($C43*(1+$E43),0))</f>
        <v>483</v>
      </c>
      <c r="H43" s="39" t="n">
        <f aca="false">IF(SUM($D43)=0,"",ROUND($D43*(1+$F43),0))</f>
        <v>21</v>
      </c>
    </row>
  </sheetData>
  <conditionalFormatting sqref="G1:H1048576 C1:D1048576">
    <cfRule type="expression" priority="2" aboveAverage="0" equalAverage="0" bottom="0" percent="0" rank="0" text="" dxfId="115">
      <formula>AND(ISNUMBER(C1),C1&lt;0)</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4" topLeftCell="F15" activePane="bottomRight" state="frozen"/>
      <selection pane="topLeft" activeCell="A1" activeCellId="0" sqref="A1"/>
      <selection pane="topRight" activeCell="F1" activeCellId="0" sqref="F1"/>
      <selection pane="bottomLeft" activeCell="A15" activeCellId="0" sqref="A15"/>
      <selection pane="bottomRight" activeCell="H15" activeCellId="0" sqref="H15"/>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10.83"/>
    <col collapsed="false" customWidth="true" hidden="false" outlineLevel="0" max="4" min="4" style="0" width="7.83"/>
    <col collapsed="false" customWidth="true" hidden="true" outlineLevel="0" max="5" min="5" style="0" width="7.34"/>
    <col collapsed="false" customWidth="true" hidden="false" outlineLevel="0" max="18" min="6" style="0" width="11.83"/>
    <col collapsed="false" customWidth="true" hidden="false" outlineLevel="0" max="20" min="19" style="0" width="12.66"/>
  </cols>
  <sheetData>
    <row r="1" customFormat="false" ht="30.75" hidden="false" customHeight="true" outlineLevel="0" collapsed="false">
      <c r="A1" s="41" t="s">
        <v>815</v>
      </c>
      <c r="B1" s="15"/>
      <c r="C1" s="15"/>
      <c r="D1" s="15"/>
      <c r="E1" s="15"/>
      <c r="F1" s="42" t="s">
        <v>497</v>
      </c>
      <c r="G1" s="18"/>
      <c r="H1" s="18"/>
      <c r="I1" s="18"/>
      <c r="J1" s="18"/>
      <c r="K1" s="18"/>
      <c r="L1" s="18"/>
      <c r="M1" s="18"/>
      <c r="N1" s="18"/>
      <c r="O1" s="18"/>
      <c r="P1" s="45"/>
      <c r="Q1" s="45"/>
      <c r="R1" s="45"/>
      <c r="S1" s="43"/>
      <c r="T1" s="43"/>
    </row>
    <row r="2" customFormat="false" ht="18.75" hidden="false" customHeight="true" outlineLevel="0" collapsed="false">
      <c r="A2" s="158" t="s">
        <v>1263</v>
      </c>
      <c r="B2" s="158"/>
      <c r="C2" s="19"/>
      <c r="D2" s="19"/>
      <c r="E2" s="19"/>
      <c r="F2" s="50"/>
      <c r="G2" s="22"/>
      <c r="H2" s="22"/>
      <c r="I2" s="22"/>
      <c r="J2" s="22"/>
      <c r="K2" s="22"/>
      <c r="L2" s="22"/>
      <c r="M2" s="22"/>
      <c r="N2" s="22"/>
      <c r="O2" s="22"/>
      <c r="P2" s="52"/>
      <c r="Q2" s="52"/>
      <c r="R2" s="52"/>
      <c r="S2" s="21" t="s">
        <v>177</v>
      </c>
      <c r="T2" s="21" t="s">
        <v>177</v>
      </c>
    </row>
    <row r="3" customFormat="false" ht="117" hidden="false" customHeight="true" outlineLevel="0" collapsed="false">
      <c r="A3" s="158"/>
      <c r="B3" s="158"/>
      <c r="C3" s="23"/>
      <c r="D3" s="23"/>
      <c r="E3" s="23"/>
      <c r="F3" s="137" t="s">
        <v>830</v>
      </c>
      <c r="G3" s="67" t="s">
        <v>1264</v>
      </c>
      <c r="H3" s="67"/>
      <c r="I3" s="67"/>
      <c r="J3" s="67"/>
      <c r="K3" s="69" t="s">
        <v>1265</v>
      </c>
      <c r="L3" s="69" t="s">
        <v>1266</v>
      </c>
      <c r="M3" s="69" t="s">
        <v>1267</v>
      </c>
      <c r="N3" s="69" t="s">
        <v>1268</v>
      </c>
      <c r="O3" s="69" t="s">
        <v>1269</v>
      </c>
      <c r="P3" s="71" t="s">
        <v>1270</v>
      </c>
      <c r="Q3" s="65" t="s">
        <v>1271</v>
      </c>
      <c r="R3" s="65" t="s">
        <v>1272</v>
      </c>
      <c r="S3" s="25" t="s">
        <v>1273</v>
      </c>
      <c r="T3" s="25" t="s">
        <v>1274</v>
      </c>
    </row>
    <row r="4" customFormat="false" ht="15" hidden="false" customHeight="false" outlineLevel="0" collapsed="false">
      <c r="A4" s="73"/>
      <c r="B4" s="27"/>
      <c r="C4" s="27"/>
      <c r="D4" s="27" t="s">
        <v>288</v>
      </c>
      <c r="E4" s="27"/>
      <c r="F4" s="74" t="n">
        <f aca="false">SUBTOTAL(109,F$15:INDEX(F:F,COUNTA($B:$B)+14-COUNTA($B$1:$B$14)))</f>
        <v>0</v>
      </c>
      <c r="G4" s="73" t="n">
        <f aca="false">SUBTOTAL(109,G$15:INDEX(G:G,COUNTA($B:$B)+14-COUNTA($B$1:$B$14)))</f>
        <v>0</v>
      </c>
      <c r="H4" s="73"/>
      <c r="I4" s="73"/>
      <c r="J4" s="73"/>
      <c r="K4" s="73" t="n">
        <f aca="false">SUBTOTAL(109,K$15:INDEX(K:K,COUNTA($B:$B)+14-COUNTA($B$1:$B$14)))</f>
        <v>0</v>
      </c>
      <c r="L4" s="73" t="n">
        <f aca="false">SUBTOTAL(109,L$15:INDEX(L:L,COUNTA($B:$B)+14-COUNTA($B$1:$B$14)))</f>
        <v>0</v>
      </c>
      <c r="M4" s="73" t="n">
        <f aca="false">SUBTOTAL(109,M$15:INDEX(M:M,COUNTA($B:$B)+14-COUNTA($B$1:$B$14)))</f>
        <v>0</v>
      </c>
      <c r="N4" s="73" t="n">
        <f aca="false">SUBTOTAL(109,N$15:INDEX(N:N,COUNTA($B:$B)+14-COUNTA($B$1:$B$14)))</f>
        <v>0</v>
      </c>
      <c r="O4" s="73" t="n">
        <f aca="false">SUBTOTAL(109,O$15:INDEX(O:O,COUNTA($B:$B)+14-COUNTA($B$1:$B$14)))</f>
        <v>0</v>
      </c>
      <c r="P4" s="78" t="str">
        <f aca="false">IF($O$4=0,"",SUM($M$4,$N$4)/$O$4)</f>
        <v/>
      </c>
      <c r="Q4" s="78" t="str">
        <f aca="false">IF($S$4=0,"",$T$4/$S$4)</f>
        <v/>
      </c>
      <c r="R4" s="78" t="str">
        <f aca="false">IF($O$4=0,"",$S$4/$O$4-1)</f>
        <v/>
      </c>
      <c r="S4" s="82" t="n">
        <f aca="false">SUBTOTAL(109,S$15:INDEX(S:S,COUNTA($B:$B)+14-COUNTA($B$1:$B$14)))</f>
        <v>0</v>
      </c>
      <c r="T4" s="82" t="n">
        <f aca="false">SUBTOTAL(109,T$15:INDEX(T:T,COUNTA($B:$B)+14-COUNTA($B$1:$B$14)))</f>
        <v>0</v>
      </c>
    </row>
    <row r="5" customFormat="false" ht="12.8" hidden="false" customHeight="false" outlineLevel="0" collapsed="false">
      <c r="A5" s="0" t="s">
        <v>181</v>
      </c>
      <c r="B5" s="9" t="s">
        <v>181</v>
      </c>
      <c r="C5" s="9" t="s">
        <v>181</v>
      </c>
      <c r="D5" s="9" t="s">
        <v>181</v>
      </c>
      <c r="E5" s="9" t="s">
        <v>181</v>
      </c>
      <c r="F5" s="85" t="s">
        <v>181</v>
      </c>
      <c r="G5" s="10" t="s">
        <v>181</v>
      </c>
      <c r="K5" s="10" t="s">
        <v>289</v>
      </c>
      <c r="L5" s="10" t="s">
        <v>289</v>
      </c>
      <c r="M5" s="10" t="s">
        <v>289</v>
      </c>
      <c r="N5" s="10" t="s">
        <v>289</v>
      </c>
      <c r="O5" s="10" t="s">
        <v>181</v>
      </c>
      <c r="P5" s="87" t="s">
        <v>181</v>
      </c>
      <c r="Q5" s="87" t="s">
        <v>181</v>
      </c>
      <c r="R5" s="87" t="s">
        <v>181</v>
      </c>
      <c r="S5" s="5" t="s">
        <v>289</v>
      </c>
      <c r="T5" s="5" t="s">
        <v>289</v>
      </c>
    </row>
    <row r="6" customFormat="false" ht="12.8" hidden="false" customHeight="false" outlineLevel="0" collapsed="false">
      <c r="A6" s="0" t="s">
        <v>183</v>
      </c>
      <c r="B6" s="9" t="s">
        <v>183</v>
      </c>
      <c r="C6" s="9" t="s">
        <v>183</v>
      </c>
      <c r="D6" s="9" t="s">
        <v>183</v>
      </c>
      <c r="E6" s="9" t="s">
        <v>183</v>
      </c>
      <c r="F6" s="85" t="s">
        <v>186</v>
      </c>
      <c r="G6" s="10" t="s">
        <v>291</v>
      </c>
      <c r="K6" s="10" t="s">
        <v>184</v>
      </c>
      <c r="L6" s="10" t="s">
        <v>184</v>
      </c>
      <c r="M6" s="10" t="s">
        <v>184</v>
      </c>
      <c r="N6" s="10" t="s">
        <v>184</v>
      </c>
      <c r="O6" s="10" t="s">
        <v>186</v>
      </c>
      <c r="P6" s="87" t="s">
        <v>186</v>
      </c>
      <c r="Q6" s="87" t="s">
        <v>291</v>
      </c>
      <c r="R6" s="87" t="s">
        <v>291</v>
      </c>
      <c r="S6" s="5" t="s">
        <v>185</v>
      </c>
      <c r="T6" s="5" t="s">
        <v>185</v>
      </c>
    </row>
    <row r="7" customFormat="false" ht="12.8" hidden="false" customHeight="false" outlineLevel="0" collapsed="false">
      <c r="A7" s="0" t="s">
        <v>187</v>
      </c>
      <c r="B7" s="9" t="s">
        <v>187</v>
      </c>
      <c r="C7" s="9" t="s">
        <v>187</v>
      </c>
      <c r="D7" s="9" t="s">
        <v>187</v>
      </c>
      <c r="E7" s="9" t="s">
        <v>187</v>
      </c>
      <c r="F7" s="85" t="s">
        <v>188</v>
      </c>
      <c r="G7" s="10" t="s">
        <v>188</v>
      </c>
      <c r="K7" s="10" t="s">
        <v>188</v>
      </c>
      <c r="L7" s="10" t="s">
        <v>188</v>
      </c>
      <c r="M7" s="10" t="s">
        <v>188</v>
      </c>
      <c r="N7" s="10" t="s">
        <v>188</v>
      </c>
      <c r="O7" s="10" t="s">
        <v>188</v>
      </c>
      <c r="P7" s="87" t="s">
        <v>294</v>
      </c>
      <c r="Q7" s="87" t="s">
        <v>294</v>
      </c>
      <c r="R7" s="87" t="s">
        <v>294</v>
      </c>
      <c r="S7" s="5" t="s">
        <v>188</v>
      </c>
      <c r="T7" s="5" t="s">
        <v>188</v>
      </c>
    </row>
    <row r="8" customFormat="false" ht="12.8" hidden="false" customHeight="false" outlineLevel="0" collapsed="false">
      <c r="K8" s="94" t="s">
        <v>1275</v>
      </c>
      <c r="L8" s="94" t="s">
        <v>1276</v>
      </c>
      <c r="M8" s="94" t="s">
        <v>1277</v>
      </c>
      <c r="N8" s="94" t="s">
        <v>1278</v>
      </c>
      <c r="P8" s="87"/>
      <c r="Q8" s="87"/>
      <c r="R8" s="87"/>
      <c r="S8" s="97" t="s">
        <v>665</v>
      </c>
      <c r="T8" s="97" t="s">
        <v>666</v>
      </c>
    </row>
    <row r="9" customFormat="false" ht="12.8" hidden="false" customHeight="false" outlineLevel="0" collapsed="false">
      <c r="K9" s="126"/>
      <c r="L9" s="126"/>
      <c r="M9" s="126"/>
      <c r="N9" s="126"/>
      <c r="O9" s="91"/>
      <c r="P9" s="87"/>
      <c r="Q9" s="87"/>
      <c r="R9" s="87"/>
      <c r="S9" s="97"/>
      <c r="T9" s="97"/>
    </row>
    <row r="10" customFormat="false" ht="12.8" hidden="false" customHeight="false" outlineLevel="0" collapsed="false">
      <c r="K10" s="94" t="s">
        <v>1279</v>
      </c>
      <c r="L10" s="94" t="s">
        <v>1280</v>
      </c>
      <c r="M10" s="94" t="s">
        <v>1281</v>
      </c>
      <c r="N10" s="94" t="s">
        <v>1282</v>
      </c>
      <c r="P10" s="87"/>
      <c r="Q10" s="87"/>
      <c r="R10" s="87"/>
      <c r="S10" s="97" t="s">
        <v>681</v>
      </c>
      <c r="T10" s="97" t="s">
        <v>682</v>
      </c>
    </row>
    <row r="11" customFormat="false" ht="12.8" hidden="false" customHeight="false" outlineLevel="0" collapsed="false">
      <c r="F11" s="85" t="s">
        <v>689</v>
      </c>
      <c r="G11" s="10" t="s">
        <v>689</v>
      </c>
      <c r="K11" s="10" t="s">
        <v>689</v>
      </c>
      <c r="L11" s="10" t="s">
        <v>689</v>
      </c>
      <c r="M11" s="10" t="s">
        <v>689</v>
      </c>
      <c r="N11" s="10" t="s">
        <v>689</v>
      </c>
      <c r="O11" s="10" t="s">
        <v>689</v>
      </c>
      <c r="P11" s="87" t="s">
        <v>689</v>
      </c>
      <c r="Q11" s="88" t="s">
        <v>689</v>
      </c>
      <c r="R11" s="88" t="s">
        <v>689</v>
      </c>
      <c r="S11" s="5" t="s">
        <v>689</v>
      </c>
      <c r="T11" s="5" t="s">
        <v>689</v>
      </c>
    </row>
    <row r="12" customFormat="false" ht="12.8" hidden="false" customHeight="false" outlineLevel="0" collapsed="false">
      <c r="F12" s="85" t="s">
        <v>690</v>
      </c>
      <c r="G12" s="10" t="s">
        <v>690</v>
      </c>
      <c r="K12" s="10" t="s">
        <v>690</v>
      </c>
      <c r="L12" s="10" t="s">
        <v>690</v>
      </c>
      <c r="M12" s="10" t="s">
        <v>690</v>
      </c>
      <c r="N12" s="10" t="s">
        <v>690</v>
      </c>
      <c r="O12" s="10" t="s">
        <v>690</v>
      </c>
      <c r="P12" s="87" t="s">
        <v>690</v>
      </c>
      <c r="Q12" s="88" t="s">
        <v>690</v>
      </c>
      <c r="R12" s="88" t="s">
        <v>690</v>
      </c>
      <c r="S12" s="5" t="s">
        <v>690</v>
      </c>
      <c r="T12" s="5" t="s">
        <v>690</v>
      </c>
    </row>
    <row r="13" customFormat="false" ht="12.8" hidden="false" customHeight="false" outlineLevel="0" collapsed="false"/>
    <row r="14" customFormat="false" ht="15" hidden="false" customHeight="false" outlineLevel="0" collapsed="false">
      <c r="A14" s="100" t="s">
        <v>176</v>
      </c>
      <c r="B14" s="33" t="s">
        <v>190</v>
      </c>
      <c r="C14" s="33" t="s">
        <v>318</v>
      </c>
      <c r="D14" s="33" t="s">
        <v>319</v>
      </c>
      <c r="E14" s="33" t="s">
        <v>20</v>
      </c>
      <c r="F14" s="101" t="s">
        <v>138</v>
      </c>
      <c r="G14" s="36" t="s">
        <v>1283</v>
      </c>
      <c r="H14" s="36" t="s">
        <v>1284</v>
      </c>
      <c r="I14" s="36" t="s">
        <v>1285</v>
      </c>
      <c r="J14" s="36" t="s">
        <v>1286</v>
      </c>
      <c r="K14" s="36" t="s">
        <v>1287</v>
      </c>
      <c r="L14" s="36" t="s">
        <v>1288</v>
      </c>
      <c r="M14" s="36" t="s">
        <v>1289</v>
      </c>
      <c r="N14" s="36" t="s">
        <v>1290</v>
      </c>
      <c r="O14" s="36" t="s">
        <v>1291</v>
      </c>
      <c r="P14" s="103" t="s">
        <v>794</v>
      </c>
      <c r="Q14" s="103" t="s">
        <v>795</v>
      </c>
      <c r="R14" s="103" t="s">
        <v>1291</v>
      </c>
      <c r="S14" s="107" t="s">
        <v>794</v>
      </c>
      <c r="T14" s="107" t="s">
        <v>795</v>
      </c>
    </row>
    <row r="15" customFormat="false" ht="15" hidden="false" customHeight="false" outlineLevel="0" collapsed="false">
      <c r="A15" s="0" t="str">
        <f aca="false">INDEX(Prioritization!$D:$D,MATCH($B15,Prioritization!$A:$A,0))</f>
        <v>1 - Scale-up: Saturation</v>
      </c>
      <c r="B15" s="0" t="s">
        <v>211</v>
      </c>
      <c r="C15" s="0" t="s">
        <v>364</v>
      </c>
      <c r="D15" s="0" t="s">
        <v>30</v>
      </c>
      <c r="E15" s="9" t="str">
        <f aca="false">B15&amp;"|"&amp;C15&amp;"|"&amp;D15</f>
        <v>Blantyre District [mxqa3CDFmIT]|10-14|Female</v>
      </c>
      <c r="F15" s="85" t="n">
        <f aca="false">IF(LEFT($B15,4)="_Mil","",INDEX(Cascade!$T:$T,MATCH($E15,Cascade!$E:$E,0)))</f>
        <v>1508</v>
      </c>
      <c r="G15" s="10"/>
      <c r="I15" s="10" t="n">
        <v>8685</v>
      </c>
      <c r="J15" s="10" t="n">
        <v>643</v>
      </c>
      <c r="K15" s="10" t="n">
        <v>110</v>
      </c>
      <c r="L15" s="10" t="e">
        <f aca="false">IF(SUM($K15:$N15)=0,"",SUM($K15:$N15))</f>
        <v>#VALUE!</v>
      </c>
      <c r="M15" s="10" t="e">
        <f aca="false">IF(SUM($O15)=0,"",SUM($M15,$N15)/SUM($O15))</f>
        <v>#VALUE!</v>
      </c>
      <c r="N15" s="10" t="e">
        <f aca="false">IF(SUM($O15)=0,"",MAX(60%,SUM($P15)))</f>
        <v>#VALUE!</v>
      </c>
      <c r="O15" s="10" t="e">
        <f aca="false">IF(SUM($O15)=0,"",0%)</f>
        <v>#VALUE!</v>
      </c>
      <c r="P15" s="87" t="e">
        <f aca="false">IF(SUM($O15)=0,"",ROUND(SUM($O15)*(1+$R15),0))</f>
        <v>#VALUE!</v>
      </c>
      <c r="Q15" s="87" t="e">
        <f aca="false">IF(SUM($S15)=0,"",ROUND(SUM($S15)*Q15,0))</f>
        <v>#VALUE!</v>
      </c>
      <c r="R15" s="87" t="e">
        <f aca="false">IF(SUM($O15)=0,"",0%)</f>
        <v>#VALUE!</v>
      </c>
      <c r="S15" s="5" t="e">
        <f aca="false">IF(SUM($O15)=0,"",ROUND(SUM($O15)*(1+$R15),0))</f>
        <v>#VALUE!</v>
      </c>
      <c r="T15" s="5" t="e">
        <f aca="false">IF(SUM($S15)=0,"",ROUND(SUM($S15)*Q15,0))</f>
        <v>#VALUE!</v>
      </c>
    </row>
    <row r="16" customFormat="false" ht="15" hidden="false" customHeight="false" outlineLevel="0" collapsed="false">
      <c r="A16" s="0" t="str">
        <f aca="false">INDEX(Prioritization!$D:$D,MATCH($B16,Prioritization!$A:$A,0))</f>
        <v>1 - Scale-up: Saturation</v>
      </c>
      <c r="B16" s="0" t="s">
        <v>211</v>
      </c>
      <c r="C16" s="0" t="s">
        <v>816</v>
      </c>
      <c r="D16" s="0" t="s">
        <v>30</v>
      </c>
      <c r="E16" s="0" t="str">
        <f aca="false">B16&amp;"|"&amp;C16&amp;"|"&amp;D16</f>
        <v>Blantyre District [mxqa3CDFmIT]|15-19|Female</v>
      </c>
      <c r="F16" s="10" t="e">
        <f aca="false">IF(LEFT($B16,4)="_Mil","",INDEX(Cascade!$T:$T,MATCH($E16,Cascade!$E:$E,0)))</f>
        <v>#N/A</v>
      </c>
      <c r="G16" s="10"/>
      <c r="I16" s="10" t="n">
        <v>479</v>
      </c>
      <c r="J16" s="10" t="n">
        <v>735</v>
      </c>
      <c r="K16" s="10" t="n">
        <v>438</v>
      </c>
      <c r="L16" s="10" t="e">
        <f aca="false">IF(SUM($K16:$N16)=0,"",SUM($K16:$N16))</f>
        <v>#VALUE!</v>
      </c>
      <c r="M16" s="10" t="e">
        <f aca="false">IF(SUM($O16)=0,"",SUM($M16,$N16)/SUM($O16))</f>
        <v>#VALUE!</v>
      </c>
      <c r="N16" s="10" t="e">
        <f aca="false">IF(SUM($O16)=0,"",MAX(60%,SUM($P16)))</f>
        <v>#VALUE!</v>
      </c>
      <c r="O16" s="10" t="e">
        <f aca="false">IF(SUM($O16)=0,"",0%)</f>
        <v>#VALUE!</v>
      </c>
      <c r="P16" s="88" t="e">
        <f aca="false">IF(SUM($O16)=0,"",ROUND(SUM($O16)*(1+$R16),0))</f>
        <v>#VALUE!</v>
      </c>
      <c r="Q16" s="88" t="str">
        <f aca="false">IF(SUM($S16)=0,"",ROUND(SUM($S16)*Q16,0))</f>
        <v/>
      </c>
      <c r="R16" s="88"/>
      <c r="S16" s="39"/>
      <c r="T16" s="39"/>
    </row>
    <row r="17" customFormat="false" ht="15" hidden="false" customHeight="false" outlineLevel="0" collapsed="false">
      <c r="A17" s="0" t="str">
        <f aca="false">INDEX(Prioritization!$D:$D,MATCH($B17,Prioritization!$A:$A,0))</f>
        <v>1 - Scale-up: Saturation</v>
      </c>
      <c r="B17" s="0" t="s">
        <v>211</v>
      </c>
      <c r="C17" s="0" t="s">
        <v>817</v>
      </c>
      <c r="D17" s="0" t="s">
        <v>30</v>
      </c>
      <c r="E17" s="0" t="str">
        <f aca="false">B17&amp;"|"&amp;C17&amp;"|"&amp;D17</f>
        <v>Blantyre District [mxqa3CDFmIT]|20-24|Female</v>
      </c>
      <c r="F17" s="10" t="e">
        <f aca="false">IF(LEFT($B17,4)="_Mil","",INDEX(Cascade!$T:$T,MATCH($E17,Cascade!$E:$E,0)))</f>
        <v>#N/A</v>
      </c>
      <c r="G17" s="10"/>
      <c r="I17" s="10" t="n">
        <v>221</v>
      </c>
      <c r="J17" s="10" t="n">
        <v>108</v>
      </c>
      <c r="K17" s="10" t="n">
        <v>95</v>
      </c>
      <c r="L17" s="10" t="e">
        <f aca="false">IF(SUM($K17:$N17)=0,"",SUM($K17:$N17))</f>
        <v>#VALUE!</v>
      </c>
      <c r="M17" s="10" t="e">
        <f aca="false">IF(SUM($O17)=0,"",SUM($M17,$N17)/SUM($O17))</f>
        <v>#VALUE!</v>
      </c>
      <c r="N17" s="10" t="e">
        <f aca="false">IF(SUM($O17)=0,"",MAX(60%,SUM($P17)))</f>
        <v>#VALUE!</v>
      </c>
      <c r="O17" s="10" t="e">
        <f aca="false">IF(SUM($O17)=0,"",0%)</f>
        <v>#VALUE!</v>
      </c>
      <c r="P17" s="88" t="e">
        <f aca="false">IF(SUM($O17)=0,"",ROUND(SUM($O17)*(1+$R17),0))</f>
        <v>#VALUE!</v>
      </c>
      <c r="Q17" s="88" t="str">
        <f aca="false">IF(SUM($S17)=0,"",ROUND(SUM($S17)*Q17,0))</f>
        <v/>
      </c>
      <c r="R17" s="88"/>
      <c r="S17" s="39"/>
      <c r="T17" s="39"/>
    </row>
    <row r="18" customFormat="false" ht="15" hidden="false" customHeight="false" outlineLevel="0" collapsed="false">
      <c r="A18" s="0" t="str">
        <f aca="false">INDEX(Prioritization!$D:$D,MATCH($B18,Prioritization!$A:$A,0))</f>
        <v>1 - Scale-up: Saturation</v>
      </c>
      <c r="B18" s="0" t="s">
        <v>211</v>
      </c>
      <c r="C18" s="0" t="s">
        <v>818</v>
      </c>
      <c r="D18" s="0" t="s">
        <v>30</v>
      </c>
      <c r="E18" s="0" t="str">
        <f aca="false">B18&amp;"|"&amp;C18&amp;"|"&amp;D18</f>
        <v>Blantyre District [mxqa3CDFmIT]|25-29|Female</v>
      </c>
      <c r="F18" s="10" t="e">
        <f aca="false">IF(LEFT($B18,4)="_Mil","",INDEX(Cascade!$T:$T,MATCH($E18,Cascade!$E:$E,0)))</f>
        <v>#N/A</v>
      </c>
      <c r="G18" s="10"/>
      <c r="I18" s="10" t="n">
        <v>5</v>
      </c>
      <c r="J18" s="10" t="n">
        <v>8</v>
      </c>
      <c r="K18" s="10" t="n">
        <v>3</v>
      </c>
      <c r="L18" s="10" t="e">
        <f aca="false">IF(SUM($K18:$N18)=0,"",SUM($K18:$N18))</f>
        <v>#VALUE!</v>
      </c>
      <c r="M18" s="10" t="e">
        <f aca="false">IF(SUM($O18)=0,"",SUM($M18,$N18)/SUM($O18))</f>
        <v>#VALUE!</v>
      </c>
      <c r="N18" s="10" t="e">
        <f aca="false">IF(SUM($O18)=0,"",MAX(60%,SUM($P18)))</f>
        <v>#VALUE!</v>
      </c>
      <c r="O18" s="10" t="e">
        <f aca="false">IF(SUM($O18)=0,"",0%)</f>
        <v>#VALUE!</v>
      </c>
      <c r="P18" s="88" t="e">
        <f aca="false">IF(SUM($O18)=0,"",ROUND(SUM($O18)*(1+$R18),0))</f>
        <v>#VALUE!</v>
      </c>
      <c r="Q18" s="88" t="str">
        <f aca="false">IF(SUM($S18)=0,"",ROUND(SUM($S18)*Q18,0))</f>
        <v/>
      </c>
      <c r="R18" s="88"/>
      <c r="S18" s="39"/>
      <c r="T18" s="39"/>
    </row>
    <row r="19" customFormat="false" ht="15" hidden="false" customHeight="false" outlineLevel="0" collapsed="false">
      <c r="A19" s="0" t="str">
        <f aca="false">INDEX(Prioritization!$D:$D,MATCH($B19,Prioritization!$A:$A,0))</f>
        <v>1 - Scale-up: Saturation</v>
      </c>
      <c r="B19" s="0" t="s">
        <v>213</v>
      </c>
      <c r="C19" s="0" t="s">
        <v>364</v>
      </c>
      <c r="D19" s="0" t="s">
        <v>30</v>
      </c>
      <c r="E19" s="0" t="str">
        <f aca="false">B19&amp;"|"&amp;C19&amp;"|"&amp;D19</f>
        <v>Chiradzulu District [oiPR2CiVJbf]|10-14|Female</v>
      </c>
      <c r="F19" s="10" t="n">
        <f aca="false">IF(LEFT($B19,4)="_Mil","",INDEX(Cascade!$T:$T,MATCH($E19,Cascade!$E:$E,0)))</f>
        <v>1439</v>
      </c>
      <c r="G19" s="10"/>
      <c r="I19" s="10"/>
      <c r="J19" s="10"/>
      <c r="K19" s="10"/>
      <c r="L19" s="10" t="e">
        <f aca="false">IF(SUM($K19:$N19)=0,"",SUM($K19:$N19))</f>
        <v>#VALUE!</v>
      </c>
      <c r="M19" s="10" t="e">
        <f aca="false">IF(SUM($O19)=0,"",SUM($M19,$N19)/SUM($O19))</f>
        <v>#VALUE!</v>
      </c>
      <c r="N19" s="10" t="e">
        <f aca="false">IF(SUM($O19)=0,"",MAX(60%,SUM($P19)))</f>
        <v>#VALUE!</v>
      </c>
      <c r="O19" s="10" t="e">
        <f aca="false">IF(SUM($O19)=0,"",0%)</f>
        <v>#VALUE!</v>
      </c>
      <c r="P19" s="88" t="e">
        <f aca="false">IF(SUM($O19)=0,"",ROUND(SUM($O19)*(1+$R19),0))</f>
        <v>#VALUE!</v>
      </c>
      <c r="Q19" s="88" t="str">
        <f aca="false">IF(SUM($S19)=0,"",ROUND(SUM($S19)*Q19,0))</f>
        <v/>
      </c>
      <c r="R19" s="88"/>
      <c r="S19" s="39"/>
      <c r="T19" s="39"/>
    </row>
    <row r="20" customFormat="false" ht="15" hidden="false" customHeight="false" outlineLevel="0" collapsed="false">
      <c r="A20" s="0" t="str">
        <f aca="false">INDEX(Prioritization!$D:$D,MATCH($B20,Prioritization!$A:$A,0))</f>
        <v>1 - Scale-up: Saturation</v>
      </c>
      <c r="B20" s="0" t="s">
        <v>213</v>
      </c>
      <c r="C20" s="0" t="s">
        <v>816</v>
      </c>
      <c r="D20" s="0" t="s">
        <v>30</v>
      </c>
      <c r="E20" s="0" t="str">
        <f aca="false">B20&amp;"|"&amp;C20&amp;"|"&amp;D20</f>
        <v>Chiradzulu District [oiPR2CiVJbf]|15-19|Female</v>
      </c>
      <c r="F20" s="10" t="e">
        <f aca="false">IF(LEFT($B20,4)="_Mil","",INDEX(Cascade!$T:$T,MATCH($E20,Cascade!$E:$E,0)))</f>
        <v>#N/A</v>
      </c>
      <c r="G20" s="10"/>
      <c r="I20" s="10"/>
      <c r="J20" s="10"/>
      <c r="K20" s="10"/>
      <c r="L20" s="10" t="e">
        <f aca="false">IF(SUM($K20:$N20)=0,"",SUM($K20:$N20))</f>
        <v>#VALUE!</v>
      </c>
      <c r="M20" s="10" t="e">
        <f aca="false">IF(SUM($O20)=0,"",SUM($M20,$N20)/SUM($O20))</f>
        <v>#VALUE!</v>
      </c>
      <c r="N20" s="10" t="e">
        <f aca="false">IF(SUM($O20)=0,"",MAX(60%,SUM($P20)))</f>
        <v>#VALUE!</v>
      </c>
      <c r="O20" s="10" t="e">
        <f aca="false">IF(SUM($O20)=0,"",0%)</f>
        <v>#VALUE!</v>
      </c>
      <c r="P20" s="88" t="e">
        <f aca="false">IF(SUM($O20)=0,"",ROUND(SUM($O20)*(1+$R20),0))</f>
        <v>#VALUE!</v>
      </c>
      <c r="Q20" s="88" t="str">
        <f aca="false">IF(SUM($S20)=0,"",ROUND(SUM($S20)*Q20,0))</f>
        <v/>
      </c>
      <c r="R20" s="88"/>
      <c r="S20" s="39"/>
      <c r="T20" s="39"/>
    </row>
    <row r="21" customFormat="false" ht="15" hidden="false" customHeight="false" outlineLevel="0" collapsed="false">
      <c r="A21" s="0" t="str">
        <f aca="false">INDEX(Prioritization!$D:$D,MATCH($B21,Prioritization!$A:$A,0))</f>
        <v>1 - Scale-up: Saturation</v>
      </c>
      <c r="B21" s="0" t="s">
        <v>213</v>
      </c>
      <c r="C21" s="0" t="s">
        <v>817</v>
      </c>
      <c r="D21" s="0" t="s">
        <v>30</v>
      </c>
      <c r="E21" s="0" t="str">
        <f aca="false">B21&amp;"|"&amp;C21&amp;"|"&amp;D21</f>
        <v>Chiradzulu District [oiPR2CiVJbf]|20-24|Female</v>
      </c>
      <c r="F21" s="10" t="e">
        <f aca="false">IF(LEFT($B21,4)="_Mil","",INDEX(Cascade!$T:$T,MATCH($E21,Cascade!$E:$E,0)))</f>
        <v>#N/A</v>
      </c>
      <c r="G21" s="10"/>
      <c r="I21" s="10"/>
      <c r="J21" s="10"/>
      <c r="K21" s="10"/>
      <c r="L21" s="10" t="e">
        <f aca="false">IF(SUM($K21:$N21)=0,"",SUM($K21:$N21))</f>
        <v>#VALUE!</v>
      </c>
      <c r="M21" s="10" t="e">
        <f aca="false">IF(SUM($O21)=0,"",SUM($M21,$N21)/SUM($O21))</f>
        <v>#VALUE!</v>
      </c>
      <c r="N21" s="10" t="e">
        <f aca="false">IF(SUM($O21)=0,"",MAX(60%,SUM($P21)))</f>
        <v>#VALUE!</v>
      </c>
      <c r="O21" s="10" t="e">
        <f aca="false">IF(SUM($O21)=0,"",0%)</f>
        <v>#VALUE!</v>
      </c>
      <c r="P21" s="88" t="e">
        <f aca="false">IF(SUM($O21)=0,"",ROUND(SUM($O21)*(1+$R21),0))</f>
        <v>#VALUE!</v>
      </c>
      <c r="Q21" s="88" t="str">
        <f aca="false">IF(SUM($S21)=0,"",ROUND(SUM($S21)*Q21,0))</f>
        <v/>
      </c>
      <c r="R21" s="88"/>
      <c r="S21" s="39"/>
      <c r="T21" s="39"/>
    </row>
    <row r="22" customFormat="false" ht="15" hidden="false" customHeight="false" outlineLevel="0" collapsed="false">
      <c r="A22" s="0" t="str">
        <f aca="false">INDEX(Prioritization!$D:$D,MATCH($B22,Prioritization!$A:$A,0))</f>
        <v>1 - Scale-up: Saturation</v>
      </c>
      <c r="B22" s="0" t="s">
        <v>213</v>
      </c>
      <c r="C22" s="0" t="s">
        <v>818</v>
      </c>
      <c r="D22" s="0" t="s">
        <v>30</v>
      </c>
      <c r="E22" s="0" t="str">
        <f aca="false">B22&amp;"|"&amp;C22&amp;"|"&amp;D22</f>
        <v>Chiradzulu District [oiPR2CiVJbf]|25-29|Female</v>
      </c>
      <c r="F22" s="10" t="e">
        <f aca="false">IF(LEFT($B22,4)="_Mil","",INDEX(Cascade!$T:$T,MATCH($E22,Cascade!$E:$E,0)))</f>
        <v>#N/A</v>
      </c>
      <c r="G22" s="10"/>
      <c r="I22" s="10"/>
      <c r="J22" s="10"/>
      <c r="K22" s="10"/>
      <c r="L22" s="10" t="e">
        <f aca="false">IF(SUM($K22:$N22)=0,"",SUM($K22:$N22))</f>
        <v>#VALUE!</v>
      </c>
      <c r="M22" s="10" t="e">
        <f aca="false">IF(SUM($O22)=0,"",SUM($M22,$N22)/SUM($O22))</f>
        <v>#VALUE!</v>
      </c>
      <c r="N22" s="10" t="e">
        <f aca="false">IF(SUM($O22)=0,"",MAX(60%,SUM($P22)))</f>
        <v>#VALUE!</v>
      </c>
      <c r="O22" s="10" t="e">
        <f aca="false">IF(SUM($O22)=0,"",0%)</f>
        <v>#VALUE!</v>
      </c>
      <c r="P22" s="88" t="e">
        <f aca="false">IF(SUM($O22)=0,"",ROUND(SUM($O22)*(1+$R22),0))</f>
        <v>#VALUE!</v>
      </c>
      <c r="Q22" s="88" t="str">
        <f aca="false">IF(SUM($S22)=0,"",ROUND(SUM($S22)*Q22,0))</f>
        <v/>
      </c>
      <c r="R22" s="88"/>
      <c r="S22" s="39"/>
      <c r="T22" s="39"/>
    </row>
    <row r="23" customFormat="false" ht="15" hidden="false" customHeight="false" outlineLevel="0" collapsed="false">
      <c r="A23" s="0" t="str">
        <f aca="false">INDEX(Prioritization!$D:$D,MATCH($B23,Prioritization!$A:$A,0))</f>
        <v>1 - Scale-up: Saturation</v>
      </c>
      <c r="B23" s="0" t="s">
        <v>214</v>
      </c>
      <c r="C23" s="0" t="s">
        <v>364</v>
      </c>
      <c r="D23" s="0" t="s">
        <v>30</v>
      </c>
      <c r="E23" s="0" t="str">
        <f aca="false">B23&amp;"|"&amp;C23&amp;"|"&amp;D23</f>
        <v>Machinga District [TYnMSwzko3z]|10-14|Female</v>
      </c>
      <c r="F23" s="10" t="n">
        <f aca="false">IF(LEFT($B23,4)="_Mil","",INDEX(Cascade!$T:$T,MATCH($E23,Cascade!$E:$E,0)))</f>
        <v>1048</v>
      </c>
      <c r="G23" s="10"/>
      <c r="I23" s="10" t="n">
        <v>137</v>
      </c>
      <c r="J23" s="10" t="n">
        <v>878</v>
      </c>
      <c r="K23" s="10" t="n">
        <v>659</v>
      </c>
      <c r="L23" s="10" t="e">
        <f aca="false">IF(SUM($K23:$N23)=0,"",SUM($K23:$N23))</f>
        <v>#VALUE!</v>
      </c>
      <c r="M23" s="10" t="e">
        <f aca="false">IF(SUM($O23)=0,"",SUM($M23,$N23)/SUM($O23))</f>
        <v>#VALUE!</v>
      </c>
      <c r="N23" s="10" t="e">
        <f aca="false">IF(SUM($O23)=0,"",MAX(60%,SUM($P23)))</f>
        <v>#VALUE!</v>
      </c>
      <c r="O23" s="10" t="e">
        <f aca="false">IF(SUM($O23)=0,"",0%)</f>
        <v>#VALUE!</v>
      </c>
      <c r="P23" s="88" t="e">
        <f aca="false">IF(SUM($O23)=0,"",ROUND(SUM($O23)*(1+$R23),0))</f>
        <v>#VALUE!</v>
      </c>
      <c r="Q23" s="88" t="str">
        <f aca="false">IF(SUM($S23)=0,"",ROUND(SUM($S23)*Q23,0))</f>
        <v/>
      </c>
      <c r="R23" s="88"/>
      <c r="S23" s="39"/>
      <c r="T23" s="39"/>
    </row>
    <row r="24" customFormat="false" ht="15" hidden="false" customHeight="false" outlineLevel="0" collapsed="false">
      <c r="A24" s="0" t="str">
        <f aca="false">INDEX(Prioritization!$D:$D,MATCH($B24,Prioritization!$A:$A,0))</f>
        <v>1 - Scale-up: Saturation</v>
      </c>
      <c r="B24" s="0" t="s">
        <v>214</v>
      </c>
      <c r="C24" s="0" t="s">
        <v>816</v>
      </c>
      <c r="D24" s="0" t="s">
        <v>30</v>
      </c>
      <c r="E24" s="0" t="str">
        <f aca="false">B24&amp;"|"&amp;C24&amp;"|"&amp;D24</f>
        <v>Machinga District [TYnMSwzko3z]|15-19|Female</v>
      </c>
      <c r="F24" s="10" t="e">
        <f aca="false">IF(LEFT($B24,4)="_Mil","",INDEX(Cascade!$T:$T,MATCH($E24,Cascade!$E:$E,0)))</f>
        <v>#N/A</v>
      </c>
      <c r="G24" s="10"/>
      <c r="I24" s="10" t="n">
        <v>415</v>
      </c>
      <c r="J24" s="10" t="n">
        <v>228</v>
      </c>
      <c r="K24" s="10" t="n">
        <v>442</v>
      </c>
      <c r="L24" s="10" t="e">
        <f aca="false">IF(SUM($K24:$N24)=0,"",SUM($K24:$N24))</f>
        <v>#VALUE!</v>
      </c>
      <c r="M24" s="10" t="e">
        <f aca="false">IF(SUM($O24)=0,"",SUM($M24,$N24)/SUM($O24))</f>
        <v>#VALUE!</v>
      </c>
      <c r="N24" s="10" t="e">
        <f aca="false">IF(SUM($O24)=0,"",MAX(60%,SUM($P24)))</f>
        <v>#VALUE!</v>
      </c>
      <c r="O24" s="10" t="e">
        <f aca="false">IF(SUM($O24)=0,"",0%)</f>
        <v>#VALUE!</v>
      </c>
      <c r="P24" s="88" t="e">
        <f aca="false">IF(SUM($O24)=0,"",ROUND(SUM($O24)*(1+$R24),0))</f>
        <v>#VALUE!</v>
      </c>
      <c r="Q24" s="88" t="str">
        <f aca="false">IF(SUM($S24)=0,"",ROUND(SUM($S24)*Q24,0))</f>
        <v/>
      </c>
      <c r="R24" s="88"/>
      <c r="S24" s="39"/>
      <c r="T24" s="39"/>
    </row>
    <row r="25" customFormat="false" ht="15" hidden="false" customHeight="false" outlineLevel="0" collapsed="false">
      <c r="A25" s="0" t="str">
        <f aca="false">INDEX(Prioritization!$D:$D,MATCH($B25,Prioritization!$A:$A,0))</f>
        <v>1 - Scale-up: Saturation</v>
      </c>
      <c r="B25" s="0" t="s">
        <v>214</v>
      </c>
      <c r="C25" s="0" t="s">
        <v>817</v>
      </c>
      <c r="D25" s="0" t="s">
        <v>30</v>
      </c>
      <c r="E25" s="0" t="str">
        <f aca="false">B25&amp;"|"&amp;C25&amp;"|"&amp;D25</f>
        <v>Machinga District [TYnMSwzko3z]|20-24|Female</v>
      </c>
      <c r="F25" s="10" t="e">
        <f aca="false">IF(LEFT($B25,4)="_Mil","",INDEX(Cascade!$T:$T,MATCH($E25,Cascade!$E:$E,0)))</f>
        <v>#N/A</v>
      </c>
      <c r="G25" s="10"/>
      <c r="I25" s="10" t="n">
        <v>532</v>
      </c>
      <c r="J25" s="10" t="n">
        <v>18</v>
      </c>
      <c r="K25" s="10" t="n">
        <v>31</v>
      </c>
      <c r="L25" s="10" t="e">
        <f aca="false">IF(SUM($K25:$N25)=0,"",SUM($K25:$N25))</f>
        <v>#VALUE!</v>
      </c>
      <c r="M25" s="10" t="e">
        <f aca="false">IF(SUM($O25)=0,"",SUM($M25,$N25)/SUM($O25))</f>
        <v>#VALUE!</v>
      </c>
      <c r="N25" s="10" t="e">
        <f aca="false">IF(SUM($O25)=0,"",MAX(60%,SUM($P25)))</f>
        <v>#VALUE!</v>
      </c>
      <c r="O25" s="10" t="e">
        <f aca="false">IF(SUM($O25)=0,"",0%)</f>
        <v>#VALUE!</v>
      </c>
      <c r="P25" s="88" t="e">
        <f aca="false">IF(SUM($O25)=0,"",ROUND(SUM($O25)*(1+$R25),0))</f>
        <v>#VALUE!</v>
      </c>
      <c r="Q25" s="88" t="str">
        <f aca="false">IF(SUM($S25)=0,"",ROUND(SUM($S25)*Q25,0))</f>
        <v/>
      </c>
      <c r="R25" s="88"/>
      <c r="S25" s="39"/>
      <c r="T25" s="39"/>
    </row>
    <row r="26" customFormat="false" ht="15" hidden="false" customHeight="false" outlineLevel="0" collapsed="false">
      <c r="A26" s="0" t="str">
        <f aca="false">INDEX(Prioritization!$D:$D,MATCH($B26,Prioritization!$A:$A,0))</f>
        <v>1 - Scale-up: Saturation</v>
      </c>
      <c r="B26" s="0" t="s">
        <v>214</v>
      </c>
      <c r="C26" s="0" t="s">
        <v>818</v>
      </c>
      <c r="D26" s="0" t="s">
        <v>30</v>
      </c>
      <c r="E26" s="0" t="str">
        <f aca="false">B26&amp;"|"&amp;C26&amp;"|"&amp;D26</f>
        <v>Machinga District [TYnMSwzko3z]|25-29|Female</v>
      </c>
      <c r="F26" s="10" t="e">
        <f aca="false">IF(LEFT($B26,4)="_Mil","",INDEX(Cascade!$T:$T,MATCH($E26,Cascade!$E:$E,0)))</f>
        <v>#N/A</v>
      </c>
      <c r="G26" s="10"/>
      <c r="I26" s="10" t="n">
        <v>8</v>
      </c>
      <c r="J26" s="10" t="n">
        <v>1</v>
      </c>
      <c r="K26" s="10" t="n">
        <v>2</v>
      </c>
      <c r="L26" s="10" t="e">
        <f aca="false">IF(SUM($K26:$N26)=0,"",SUM($K26:$N26))</f>
        <v>#VALUE!</v>
      </c>
      <c r="M26" s="10" t="e">
        <f aca="false">IF(SUM($O26)=0,"",SUM($M26,$N26)/SUM($O26))</f>
        <v>#VALUE!</v>
      </c>
      <c r="N26" s="10" t="e">
        <f aca="false">IF(SUM($O26)=0,"",MAX(60%,SUM($P26)))</f>
        <v>#VALUE!</v>
      </c>
      <c r="O26" s="10" t="e">
        <f aca="false">IF(SUM($O26)=0,"",0%)</f>
        <v>#VALUE!</v>
      </c>
      <c r="P26" s="88" t="e">
        <f aca="false">IF(SUM($O26)=0,"",ROUND(SUM($O26)*(1+$R26),0))</f>
        <v>#VALUE!</v>
      </c>
      <c r="Q26" s="88" t="str">
        <f aca="false">IF(SUM($S26)=0,"",ROUND(SUM($S26)*Q26,0))</f>
        <v/>
      </c>
      <c r="R26" s="88"/>
      <c r="S26" s="39"/>
      <c r="T26" s="39"/>
    </row>
    <row r="27" customFormat="false" ht="15" hidden="false" customHeight="false" outlineLevel="0" collapsed="false">
      <c r="A27" s="0" t="str">
        <f aca="false">INDEX(Prioritization!$D:$D,MATCH($B27,Prioritization!$A:$A,0))</f>
        <v>INVALID</v>
      </c>
      <c r="B27" s="0" t="s">
        <v>220</v>
      </c>
      <c r="C27" s="0" t="s">
        <v>364</v>
      </c>
      <c r="D27" s="0" t="s">
        <v>30</v>
      </c>
      <c r="E27" s="0" t="str">
        <f aca="false">B27&amp;"|"&amp;C27&amp;"|"&amp;D27</f>
        <v>Phalombe District [AZyWpGzhcaA]|10-14|Female</v>
      </c>
      <c r="F27" s="10" t="n">
        <f aca="false">IF(LEFT($B27,4)="_Mil","",INDEX(Cascade!$T:$T,MATCH($E27,Cascade!$E:$E,0)))</f>
        <v>678</v>
      </c>
      <c r="G27" s="10"/>
      <c r="I27" s="10"/>
      <c r="J27" s="10"/>
      <c r="K27" s="10"/>
      <c r="L27" s="10" t="e">
        <f aca="false">IF(SUM($K27:$N27)=0,"",SUM($K27:$N27))</f>
        <v>#VALUE!</v>
      </c>
      <c r="M27" s="10" t="e">
        <f aca="false">IF(SUM($O27)=0,"",SUM($M27,$N27)/SUM($O27))</f>
        <v>#VALUE!</v>
      </c>
      <c r="N27" s="10" t="e">
        <f aca="false">IF(SUM($O27)=0,"",MAX(60%,SUM($P27)))</f>
        <v>#VALUE!</v>
      </c>
      <c r="O27" s="10" t="e">
        <f aca="false">IF(SUM($O27)=0,"",0%)</f>
        <v>#VALUE!</v>
      </c>
      <c r="P27" s="88" t="e">
        <f aca="false">IF(SUM($O27)=0,"",ROUND(SUM($O27)*(1+$R27),0))</f>
        <v>#VALUE!</v>
      </c>
      <c r="Q27" s="88" t="str">
        <f aca="false">IF(SUM($S27)=0,"",ROUND(SUM($S27)*Q27,0))</f>
        <v/>
      </c>
      <c r="R27" s="88"/>
      <c r="S27" s="39"/>
      <c r="T27" s="39"/>
    </row>
    <row r="28" customFormat="false" ht="15" hidden="false" customHeight="false" outlineLevel="0" collapsed="false">
      <c r="A28" s="0" t="str">
        <f aca="false">INDEX(Prioritization!$D:$D,MATCH($B28,Prioritization!$A:$A,0))</f>
        <v>INVALID</v>
      </c>
      <c r="B28" s="0" t="s">
        <v>220</v>
      </c>
      <c r="C28" s="0" t="s">
        <v>816</v>
      </c>
      <c r="D28" s="0" t="s">
        <v>30</v>
      </c>
      <c r="E28" s="0" t="str">
        <f aca="false">B28&amp;"|"&amp;C28&amp;"|"&amp;D28</f>
        <v>Phalombe District [AZyWpGzhcaA]|15-19|Female</v>
      </c>
      <c r="F28" s="10" t="e">
        <f aca="false">IF(LEFT($B28,4)="_Mil","",INDEX(Cascade!$T:$T,MATCH($E28,Cascade!$E:$E,0)))</f>
        <v>#N/A</v>
      </c>
      <c r="G28" s="10"/>
      <c r="I28" s="10"/>
      <c r="J28" s="10"/>
      <c r="K28" s="10"/>
      <c r="L28" s="10" t="e">
        <f aca="false">IF(SUM($K28:$N28)=0,"",SUM($K28:$N28))</f>
        <v>#VALUE!</v>
      </c>
      <c r="M28" s="10" t="e">
        <f aca="false">IF(SUM($O28)=0,"",SUM($M28,$N28)/SUM($O28))</f>
        <v>#VALUE!</v>
      </c>
      <c r="N28" s="10" t="e">
        <f aca="false">IF(SUM($O28)=0,"",MAX(60%,SUM($P28)))</f>
        <v>#VALUE!</v>
      </c>
      <c r="O28" s="10" t="e">
        <f aca="false">IF(SUM($O28)=0,"",0%)</f>
        <v>#VALUE!</v>
      </c>
      <c r="P28" s="88" t="e">
        <f aca="false">IF(SUM($O28)=0,"",ROUND(SUM($O28)*(1+$R28),0))</f>
        <v>#VALUE!</v>
      </c>
      <c r="Q28" s="88" t="str">
        <f aca="false">IF(SUM($S28)=0,"",ROUND(SUM($S28)*Q28,0))</f>
        <v/>
      </c>
      <c r="R28" s="88"/>
      <c r="S28" s="39"/>
      <c r="T28" s="39"/>
    </row>
    <row r="29" customFormat="false" ht="15" hidden="false" customHeight="false" outlineLevel="0" collapsed="false">
      <c r="A29" s="0" t="str">
        <f aca="false">INDEX(Prioritization!$D:$D,MATCH($B29,Prioritization!$A:$A,0))</f>
        <v>INVALID</v>
      </c>
      <c r="B29" s="0" t="s">
        <v>220</v>
      </c>
      <c r="C29" s="0" t="s">
        <v>817</v>
      </c>
      <c r="D29" s="0" t="s">
        <v>30</v>
      </c>
      <c r="E29" s="0" t="str">
        <f aca="false">B29&amp;"|"&amp;C29&amp;"|"&amp;D29</f>
        <v>Phalombe District [AZyWpGzhcaA]|20-24|Female</v>
      </c>
      <c r="F29" s="10" t="e">
        <f aca="false">IF(LEFT($B29,4)="_Mil","",INDEX(Cascade!$T:$T,MATCH($E29,Cascade!$E:$E,0)))</f>
        <v>#N/A</v>
      </c>
      <c r="G29" s="10"/>
      <c r="I29" s="10"/>
      <c r="J29" s="10"/>
      <c r="K29" s="10"/>
      <c r="L29" s="10" t="e">
        <f aca="false">IF(SUM($K29:$N29)=0,"",SUM($K29:$N29))</f>
        <v>#VALUE!</v>
      </c>
      <c r="M29" s="10" t="e">
        <f aca="false">IF(SUM($O29)=0,"",SUM($M29,$N29)/SUM($O29))</f>
        <v>#VALUE!</v>
      </c>
      <c r="N29" s="10" t="e">
        <f aca="false">IF(SUM($O29)=0,"",MAX(60%,SUM($P29)))</f>
        <v>#VALUE!</v>
      </c>
      <c r="O29" s="10" t="e">
        <f aca="false">IF(SUM($O29)=0,"",0%)</f>
        <v>#VALUE!</v>
      </c>
      <c r="P29" s="88" t="e">
        <f aca="false">IF(SUM($O29)=0,"",ROUND(SUM($O29)*(1+$R29),0))</f>
        <v>#VALUE!</v>
      </c>
      <c r="Q29" s="88" t="str">
        <f aca="false">IF(SUM($S29)=0,"",ROUND(SUM($S29)*Q29,0))</f>
        <v/>
      </c>
      <c r="R29" s="88"/>
      <c r="S29" s="39"/>
      <c r="T29" s="39"/>
    </row>
    <row r="30" customFormat="false" ht="15" hidden="false" customHeight="false" outlineLevel="0" collapsed="false">
      <c r="A30" s="0" t="str">
        <f aca="false">INDEX(Prioritization!$D:$D,MATCH($B30,Prioritization!$A:$A,0))</f>
        <v>INVALID</v>
      </c>
      <c r="B30" s="0" t="s">
        <v>220</v>
      </c>
      <c r="C30" s="0" t="s">
        <v>818</v>
      </c>
      <c r="D30" s="0" t="s">
        <v>30</v>
      </c>
      <c r="E30" s="0" t="str">
        <f aca="false">B30&amp;"|"&amp;C30&amp;"|"&amp;D30</f>
        <v>Phalombe District [AZyWpGzhcaA]|25-29|Female</v>
      </c>
      <c r="F30" s="10" t="e">
        <f aca="false">IF(LEFT($B30,4)="_Mil","",INDEX(Cascade!$T:$T,MATCH($E30,Cascade!$E:$E,0)))</f>
        <v>#N/A</v>
      </c>
      <c r="G30" s="10"/>
      <c r="I30" s="10"/>
      <c r="J30" s="10"/>
      <c r="K30" s="10"/>
      <c r="L30" s="10" t="e">
        <f aca="false">IF(SUM($K30:$N30)=0,"",SUM($K30:$N30))</f>
        <v>#VALUE!</v>
      </c>
      <c r="M30" s="10" t="e">
        <f aca="false">IF(SUM($O30)=0,"",SUM($M30,$N30)/SUM($O30))</f>
        <v>#VALUE!</v>
      </c>
      <c r="N30" s="10" t="e">
        <f aca="false">IF(SUM($O30)=0,"",MAX(60%,SUM($P30)))</f>
        <v>#VALUE!</v>
      </c>
      <c r="O30" s="10" t="e">
        <f aca="false">IF(SUM($O30)=0,"",0%)</f>
        <v>#VALUE!</v>
      </c>
      <c r="P30" s="88" t="e">
        <f aca="false">IF(SUM($O30)=0,"",ROUND(SUM($O30)*(1+$R30),0))</f>
        <v>#VALUE!</v>
      </c>
      <c r="Q30" s="88" t="str">
        <f aca="false">IF(SUM($S30)=0,"",ROUND(SUM($S30)*Q30,0))</f>
        <v/>
      </c>
      <c r="R30" s="88"/>
      <c r="S30" s="39"/>
      <c r="T30" s="39"/>
    </row>
    <row r="31" customFormat="false" ht="15" hidden="false" customHeight="false" outlineLevel="0" collapsed="false">
      <c r="A31" s="0" t="str">
        <f aca="false">INDEX(Prioritization!$D:$D,MATCH($B31,Prioritization!$A:$A,0))</f>
        <v>1 - Scale-up: Saturation</v>
      </c>
      <c r="B31" s="0" t="s">
        <v>222</v>
      </c>
      <c r="C31" s="0" t="s">
        <v>364</v>
      </c>
      <c r="D31" s="0" t="s">
        <v>30</v>
      </c>
      <c r="E31" s="0" t="str">
        <f aca="false">B31&amp;"|"&amp;C31&amp;"|"&amp;D31</f>
        <v>Zomba District [fyEoGEPERdI]|10-14|Female</v>
      </c>
      <c r="F31" s="10" t="n">
        <f aca="false">IF(LEFT($B31,4)="_Mil","",INDEX(Cascade!$T:$T,MATCH($E31,Cascade!$E:$E,0)))</f>
        <v>1899</v>
      </c>
      <c r="G31" s="10"/>
      <c r="I31" s="10" t="n">
        <v>666</v>
      </c>
      <c r="J31" s="10" t="n">
        <v>930</v>
      </c>
      <c r="K31" s="10" t="n">
        <v>559</v>
      </c>
      <c r="L31" s="10" t="e">
        <f aca="false">IF(SUM($K31:$N31)=0,"",SUM($K31:$N31))</f>
        <v>#VALUE!</v>
      </c>
      <c r="M31" s="10" t="e">
        <f aca="false">IF(SUM($O31)=0,"",SUM($M31,$N31)/SUM($O31))</f>
        <v>#VALUE!</v>
      </c>
      <c r="N31" s="10" t="e">
        <f aca="false">IF(SUM($O31)=0,"",MAX(60%,SUM($P31)))</f>
        <v>#VALUE!</v>
      </c>
      <c r="O31" s="10" t="e">
        <f aca="false">IF(SUM($O31)=0,"",0%)</f>
        <v>#VALUE!</v>
      </c>
      <c r="P31" s="88" t="e">
        <f aca="false">IF(SUM($O31)=0,"",ROUND(SUM($O31)*(1+$R31),0))</f>
        <v>#VALUE!</v>
      </c>
      <c r="Q31" s="88" t="str">
        <f aca="false">IF(SUM($S31)=0,"",ROUND(SUM($S31)*Q31,0))</f>
        <v/>
      </c>
      <c r="R31" s="88"/>
      <c r="S31" s="39"/>
      <c r="T31" s="39"/>
    </row>
    <row r="32" customFormat="false" ht="15" hidden="false" customHeight="false" outlineLevel="0" collapsed="false">
      <c r="A32" s="0" t="str">
        <f aca="false">INDEX(Prioritization!$D:$D,MATCH($B32,Prioritization!$A:$A,0))</f>
        <v>1 - Scale-up: Saturation</v>
      </c>
      <c r="B32" s="0" t="s">
        <v>222</v>
      </c>
      <c r="C32" s="0" t="s">
        <v>816</v>
      </c>
      <c r="D32" s="0" t="s">
        <v>30</v>
      </c>
      <c r="E32" s="0" t="str">
        <f aca="false">B32&amp;"|"&amp;C32&amp;"|"&amp;D32</f>
        <v>Zomba District [fyEoGEPERdI]|15-19|Female</v>
      </c>
      <c r="F32" s="10" t="e">
        <f aca="false">IF(LEFT($B32,4)="_Mil","",INDEX(Cascade!$T:$T,MATCH($E32,Cascade!$E:$E,0)))</f>
        <v>#N/A</v>
      </c>
      <c r="G32" s="10"/>
      <c r="I32" s="10" t="n">
        <v>617</v>
      </c>
      <c r="J32" s="10" t="n">
        <v>718</v>
      </c>
      <c r="K32" s="10" t="n">
        <v>440</v>
      </c>
      <c r="L32" s="10" t="e">
        <f aca="false">IF(SUM($K32:$N32)=0,"",SUM($K32:$N32))</f>
        <v>#VALUE!</v>
      </c>
      <c r="M32" s="10" t="e">
        <f aca="false">IF(SUM($O32)=0,"",SUM($M32,$N32)/SUM($O32))</f>
        <v>#VALUE!</v>
      </c>
      <c r="N32" s="10" t="e">
        <f aca="false">IF(SUM($O32)=0,"",MAX(60%,SUM($P32)))</f>
        <v>#VALUE!</v>
      </c>
      <c r="O32" s="10" t="e">
        <f aca="false">IF(SUM($O32)=0,"",0%)</f>
        <v>#VALUE!</v>
      </c>
      <c r="P32" s="88" t="e">
        <f aca="false">IF(SUM($O32)=0,"",ROUND(SUM($O32)*(1+$R32),0))</f>
        <v>#VALUE!</v>
      </c>
      <c r="Q32" s="88" t="str">
        <f aca="false">IF(SUM($S32)=0,"",ROUND(SUM($S32)*Q32,0))</f>
        <v/>
      </c>
      <c r="R32" s="88"/>
      <c r="S32" s="39"/>
      <c r="T32" s="39"/>
    </row>
    <row r="33" customFormat="false" ht="15" hidden="false" customHeight="false" outlineLevel="0" collapsed="false">
      <c r="A33" s="0" t="str">
        <f aca="false">INDEX(Prioritization!$D:$D,MATCH($B33,Prioritization!$A:$A,0))</f>
        <v>1 - Scale-up: Saturation</v>
      </c>
      <c r="B33" s="0" t="s">
        <v>222</v>
      </c>
      <c r="C33" s="0" t="s">
        <v>817</v>
      </c>
      <c r="D33" s="0" t="s">
        <v>30</v>
      </c>
      <c r="E33" s="0" t="str">
        <f aca="false">B33&amp;"|"&amp;C33&amp;"|"&amp;D33</f>
        <v>Zomba District [fyEoGEPERdI]|20-24|Female</v>
      </c>
      <c r="F33" s="10" t="e">
        <f aca="false">IF(LEFT($B33,4)="_Mil","",INDEX(Cascade!$T:$T,MATCH($E33,Cascade!$E:$E,0)))</f>
        <v>#N/A</v>
      </c>
      <c r="G33" s="10"/>
      <c r="I33" s="10" t="n">
        <v>163</v>
      </c>
      <c r="J33" s="10" t="n">
        <v>64</v>
      </c>
      <c r="K33" s="10" t="n">
        <v>33</v>
      </c>
      <c r="L33" s="10" t="e">
        <f aca="false">IF(SUM($K33:$N33)=0,"",SUM($K33:$N33))</f>
        <v>#VALUE!</v>
      </c>
      <c r="M33" s="10" t="e">
        <f aca="false">IF(SUM($O33)=0,"",SUM($M33,$N33)/SUM($O33))</f>
        <v>#VALUE!</v>
      </c>
      <c r="N33" s="10" t="e">
        <f aca="false">IF(SUM($O33)=0,"",MAX(60%,SUM($P33)))</f>
        <v>#VALUE!</v>
      </c>
      <c r="O33" s="10" t="e">
        <f aca="false">IF(SUM($O33)=0,"",0%)</f>
        <v>#VALUE!</v>
      </c>
      <c r="P33" s="88" t="e">
        <f aca="false">IF(SUM($O33)=0,"",ROUND(SUM($O33)*(1+$R33),0))</f>
        <v>#VALUE!</v>
      </c>
      <c r="Q33" s="88" t="str">
        <f aca="false">IF(SUM($S33)=0,"",ROUND(SUM($S33)*Q33,0))</f>
        <v/>
      </c>
      <c r="R33" s="88"/>
      <c r="S33" s="39"/>
      <c r="T33" s="39"/>
    </row>
    <row r="34" customFormat="false" ht="15" hidden="false" customHeight="false" outlineLevel="0" collapsed="false">
      <c r="A34" s="0" t="str">
        <f aca="false">INDEX(Prioritization!$D:$D,MATCH($B34,Prioritization!$A:$A,0))</f>
        <v>1 - Scale-up: Saturation</v>
      </c>
      <c r="B34" s="0" t="s">
        <v>222</v>
      </c>
      <c r="C34" s="0" t="s">
        <v>818</v>
      </c>
      <c r="D34" s="0" t="s">
        <v>30</v>
      </c>
      <c r="E34" s="0" t="str">
        <f aca="false">B34&amp;"|"&amp;C34&amp;"|"&amp;D34</f>
        <v>Zomba District [fyEoGEPERdI]|25-29|Female</v>
      </c>
      <c r="F34" s="10" t="e">
        <f aca="false">IF(LEFT($B34,4)="_Mil","",INDEX(Cascade!$T:$T,MATCH($E34,Cascade!$E:$E,0)))</f>
        <v>#N/A</v>
      </c>
      <c r="G34" s="10"/>
      <c r="I34" s="10" t="n">
        <v>3</v>
      </c>
      <c r="J34" s="10" t="n">
        <v>5</v>
      </c>
      <c r="K34" s="10" t="n">
        <v>37</v>
      </c>
      <c r="L34" s="10" t="e">
        <f aca="false">IF(SUM($K34:$N34)=0,"",SUM($K34:$N34))</f>
        <v>#VALUE!</v>
      </c>
      <c r="M34" s="10" t="e">
        <f aca="false">IF(SUM($O34)=0,"",SUM($M34,$N34)/SUM($O34))</f>
        <v>#VALUE!</v>
      </c>
      <c r="N34" s="10" t="e">
        <f aca="false">IF(SUM($O34)=0,"",MAX(60%,SUM($P34)))</f>
        <v>#VALUE!</v>
      </c>
      <c r="O34" s="10" t="e">
        <f aca="false">IF(SUM($O34)=0,"",0%)</f>
        <v>#VALUE!</v>
      </c>
      <c r="P34" s="88" t="e">
        <f aca="false">IF(SUM($O34)=0,"",ROUND(SUM($O34)*(1+$R34),0))</f>
        <v>#VALUE!</v>
      </c>
      <c r="Q34" s="88" t="str">
        <f aca="false">IF(SUM($S34)=0,"",ROUND(SUM($S34)*Q34,0))</f>
        <v/>
      </c>
      <c r="R34" s="88"/>
      <c r="S34" s="39"/>
      <c r="T34" s="39"/>
    </row>
  </sheetData>
  <mergeCells count="1">
    <mergeCell ref="A2:B3"/>
  </mergeCells>
  <conditionalFormatting sqref="S1:T1048576">
    <cfRule type="expression" priority="2" aboveAverage="0" equalAverage="0" bottom="0" percent="0" rank="0" text="" dxfId="116">
      <formula>AND(ISNUMBER(S1),SUM($T1)&gt;SUM($S1))</formula>
    </cfRule>
  </conditionalFormatting>
  <conditionalFormatting sqref="F1:H1048576">
    <cfRule type="expression" priority="3" aboveAverage="0" equalAverage="0" bottom="0" percent="0" rank="0" text="" dxfId="117">
      <formula>AND(ROW(F1)&gt;14,LEFT(B1,4)="_Mil")</formula>
    </cfRule>
  </conditionalFormatting>
  <conditionalFormatting sqref="F1:Q1048576 S1:T1048576">
    <cfRule type="expression" priority="4" aboveAverage="0" equalAverage="0" bottom="0" percent="0" rank="0" text="" dxfId="118">
      <formula>AND(ISNUMBER(F1),F1&lt;0)</formula>
    </cfRule>
  </conditionalFormatting>
  <conditionalFormatting sqref="P1:Q1048576">
    <cfRule type="expression" priority="5" aboveAverage="0" equalAverage="0" bottom="0" percent="0" rank="0" text="" dxfId="119">
      <formula>AND(ISNUMBER(P1),P1&gt;1)</formula>
    </cfRule>
  </conditionalFormatting>
  <conditionalFormatting sqref="Q1:Q1048576">
    <cfRule type="expression" priority="6" aboveAverage="0" equalAverage="0" bottom="0" percent="0" rank="0" text="" dxfId="120">
      <formula>AND(ROUND(SUM($Q1),2)&lt;60%,SUM($S1)&gt;0)</formula>
    </cfRule>
  </conditionalFormatting>
  <conditionalFormatting sqref="J1:J1048576">
    <cfRule type="expression" priority="7" aboveAverage="0" equalAverage="0" bottom="0" percent="0" rank="0" text="" dxfId="121">
      <formula>AND(ROW(J1)&gt;14,LEFT(D1,4)="_Mil")</formula>
    </cfRule>
  </conditionalFormatting>
  <conditionalFormatting sqref="I1:I1048576">
    <cfRule type="expression" priority="8" aboveAverage="0" equalAverage="0" bottom="0" percent="0" rank="0" text="" dxfId="122">
      <formula>AND(ROW(I1)&gt;14,LEFT(D1,4)="_Mil")</formula>
    </cfRule>
  </conditionalFormatting>
  <hyperlinks>
    <hyperlink ref="F3" location="Cascade!T:T" display="P.C. Est. Female Population (FY23)"/>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14" topLeftCell="E15" activePane="bottomRight" state="frozen"/>
      <selection pane="topLeft" activeCell="A1" activeCellId="0" sqref="A1"/>
      <selection pane="topRight" activeCell="E1" activeCellId="0" sqref="E1"/>
      <selection pane="bottomLeft" activeCell="A15" activeCellId="0" sqref="A15"/>
      <selection pane="bottomRight" activeCell="A1" activeCellId="0" sqref="A1"/>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3" min="3" style="0" width="7.83"/>
    <col collapsed="false" customWidth="true" hidden="true" outlineLevel="0" max="4" min="4" style="0" width="7.83"/>
    <col collapsed="false" customWidth="true" hidden="false" outlineLevel="0" max="5" min="5" style="0" width="12.33"/>
    <col collapsed="false" customWidth="true" hidden="false" outlineLevel="0" max="11" min="6" style="0" width="11.83"/>
  </cols>
  <sheetData>
    <row r="1" customFormat="false" ht="30.75" hidden="false" customHeight="true" outlineLevel="0" collapsed="false">
      <c r="A1" s="41" t="s">
        <v>498</v>
      </c>
      <c r="B1" s="15"/>
      <c r="C1" s="15"/>
      <c r="D1" s="15"/>
      <c r="E1" s="42" t="s">
        <v>498</v>
      </c>
      <c r="F1" s="43"/>
      <c r="G1" s="47"/>
      <c r="H1" s="47"/>
      <c r="I1" s="47"/>
      <c r="J1" s="43"/>
      <c r="K1" s="43"/>
    </row>
    <row r="2" customFormat="false" ht="18.75" hidden="false" customHeight="true" outlineLevel="0" collapsed="false">
      <c r="A2" s="22"/>
      <c r="B2" s="19"/>
      <c r="C2" s="19"/>
      <c r="D2" s="19"/>
      <c r="E2" s="50"/>
      <c r="F2" s="22"/>
      <c r="G2" s="52"/>
      <c r="H2" s="52"/>
      <c r="I2" s="52"/>
      <c r="J2" s="21" t="s">
        <v>177</v>
      </c>
      <c r="K2" s="21" t="s">
        <v>177</v>
      </c>
    </row>
    <row r="3" customFormat="false" ht="117" hidden="false" customHeight="true" outlineLevel="0" collapsed="false">
      <c r="D3" s="117"/>
      <c r="E3" s="63" t="s">
        <v>1292</v>
      </c>
      <c r="F3" s="26" t="s">
        <v>1293</v>
      </c>
      <c r="G3" s="71" t="s">
        <v>1294</v>
      </c>
      <c r="H3" s="65" t="s">
        <v>1295</v>
      </c>
      <c r="I3" s="65" t="s">
        <v>1296</v>
      </c>
      <c r="J3" s="25" t="s">
        <v>629</v>
      </c>
      <c r="K3" s="25" t="s">
        <v>1297</v>
      </c>
    </row>
    <row r="4" customFormat="false" ht="15" hidden="false" customHeight="false" outlineLevel="0" collapsed="false">
      <c r="A4" s="75"/>
      <c r="B4" s="120"/>
      <c r="C4" s="120" t="s">
        <v>288</v>
      </c>
      <c r="D4" s="120"/>
      <c r="E4" s="74" t="n">
        <f aca="false">SUBTOTAL(109,E$15:INDEX(E:E,COUNTA($B:$B)+14-COUNTA($B$1:$B$14)))</f>
        <v>0</v>
      </c>
      <c r="F4" s="75" t="n">
        <f aca="false">SUBTOTAL(109,F$15:INDEX(F:F,COUNTA($B:$B)+14-COUNTA($B$1:$B$14)))</f>
        <v>0</v>
      </c>
      <c r="G4" s="78" t="str">
        <f aca="false">IF($E$4=0,"",$F$4/$E$4)</f>
        <v/>
      </c>
      <c r="H4" s="78" t="str">
        <f aca="false">IF($K$4=0,"",$J$4/$K$4)</f>
        <v/>
      </c>
      <c r="I4" s="78" t="str">
        <f aca="false">IF($F$4=0,"",$J$4/$F$4-1)</f>
        <v/>
      </c>
      <c r="J4" s="82" t="n">
        <f aca="false">SUBTOTAL(109,J$15:INDEX(J:J,COUNTA($B:$B)+14-COUNTA($B$1:$B$14)))</f>
        <v>0</v>
      </c>
      <c r="K4" s="82" t="n">
        <f aca="false">SUBTOTAL(109,K$15:INDEX(K:K,COUNTA($B:$B)+14-COUNTA($B$1:$B$14)))</f>
        <v>0</v>
      </c>
    </row>
    <row r="5" customFormat="false" ht="12.8" hidden="false" customHeight="false" outlineLevel="0" collapsed="false">
      <c r="A5" s="91" t="s">
        <v>181</v>
      </c>
      <c r="B5" s="40" t="s">
        <v>181</v>
      </c>
      <c r="C5" s="40" t="s">
        <v>181</v>
      </c>
      <c r="D5" s="40" t="s">
        <v>181</v>
      </c>
      <c r="E5" s="85" t="s">
        <v>290</v>
      </c>
      <c r="F5" s="91" t="s">
        <v>289</v>
      </c>
      <c r="G5" s="87" t="s">
        <v>181</v>
      </c>
      <c r="H5" s="87" t="s">
        <v>181</v>
      </c>
      <c r="I5" s="87" t="s">
        <v>181</v>
      </c>
      <c r="J5" s="5" t="s">
        <v>289</v>
      </c>
      <c r="K5" s="5" t="s">
        <v>290</v>
      </c>
    </row>
    <row r="6" customFormat="false" ht="12.8" hidden="false" customHeight="false" outlineLevel="0" collapsed="false">
      <c r="A6" s="91" t="s">
        <v>183</v>
      </c>
      <c r="B6" s="40" t="s">
        <v>183</v>
      </c>
      <c r="C6" s="40" t="s">
        <v>183</v>
      </c>
      <c r="D6" s="40" t="s">
        <v>183</v>
      </c>
      <c r="E6" s="85" t="s">
        <v>185</v>
      </c>
      <c r="F6" s="91" t="s">
        <v>184</v>
      </c>
      <c r="G6" s="87" t="s">
        <v>186</v>
      </c>
      <c r="H6" s="87" t="s">
        <v>291</v>
      </c>
      <c r="I6" s="87" t="s">
        <v>291</v>
      </c>
      <c r="J6" s="5" t="s">
        <v>185</v>
      </c>
      <c r="K6" s="5" t="s">
        <v>185</v>
      </c>
    </row>
    <row r="7" customFormat="false" ht="12.8" hidden="false" customHeight="false" outlineLevel="0" collapsed="false">
      <c r="A7" s="91" t="s">
        <v>187</v>
      </c>
      <c r="B7" s="40" t="s">
        <v>187</v>
      </c>
      <c r="C7" s="40" t="s">
        <v>187</v>
      </c>
      <c r="D7" s="40" t="s">
        <v>187</v>
      </c>
      <c r="E7" s="85" t="s">
        <v>188</v>
      </c>
      <c r="F7" s="91" t="s">
        <v>188</v>
      </c>
      <c r="G7" s="87" t="s">
        <v>294</v>
      </c>
      <c r="H7" s="87" t="s">
        <v>294</v>
      </c>
      <c r="I7" s="87" t="s">
        <v>294</v>
      </c>
      <c r="J7" s="5" t="s">
        <v>188</v>
      </c>
      <c r="K7" s="5" t="s">
        <v>188</v>
      </c>
    </row>
    <row r="8" customFormat="false" ht="12.8" hidden="false" customHeight="false" outlineLevel="0" collapsed="false">
      <c r="A8" s="91"/>
      <c r="B8" s="40"/>
      <c r="C8" s="40"/>
      <c r="D8" s="40"/>
      <c r="E8" s="93" t="s">
        <v>1298</v>
      </c>
      <c r="F8" s="126" t="s">
        <v>667</v>
      </c>
      <c r="G8" s="87"/>
      <c r="H8" s="87"/>
      <c r="I8" s="87"/>
      <c r="J8" s="97" t="s">
        <v>667</v>
      </c>
      <c r="K8" s="97" t="s">
        <v>1298</v>
      </c>
    </row>
    <row r="9" customFormat="false" ht="12.8" hidden="false" customHeight="false" outlineLevel="0" collapsed="false">
      <c r="A9" s="91"/>
      <c r="B9" s="40"/>
      <c r="C9" s="40"/>
      <c r="D9" s="40"/>
      <c r="E9" s="93"/>
      <c r="F9" s="126" t="s">
        <v>1299</v>
      </c>
      <c r="G9" s="87"/>
      <c r="H9" s="87"/>
      <c r="I9" s="87"/>
      <c r="J9" s="97" t="s">
        <v>1299</v>
      </c>
      <c r="K9" s="97"/>
    </row>
    <row r="10" customFormat="false" ht="12.8" hidden="false" customHeight="false" outlineLevel="0" collapsed="false">
      <c r="A10" s="91"/>
      <c r="B10" s="40"/>
      <c r="C10" s="40"/>
      <c r="D10" s="40"/>
      <c r="E10" s="93"/>
      <c r="F10" s="126"/>
      <c r="G10" s="87"/>
      <c r="H10" s="87"/>
      <c r="I10" s="87"/>
      <c r="J10" s="97"/>
      <c r="K10" s="97"/>
    </row>
    <row r="11" customFormat="false" ht="12.8" hidden="false" customHeight="false" outlineLevel="0" collapsed="false">
      <c r="A11" s="91"/>
      <c r="B11" s="40"/>
      <c r="C11" s="40"/>
      <c r="D11" s="40"/>
      <c r="F11" s="91"/>
      <c r="G11" s="87"/>
      <c r="H11" s="87"/>
      <c r="I11" s="87"/>
    </row>
    <row r="12" customFormat="false" ht="12.8" hidden="false" customHeight="false" outlineLevel="0" collapsed="false">
      <c r="A12" s="91"/>
      <c r="B12" s="40"/>
      <c r="C12" s="40"/>
      <c r="D12" s="40"/>
      <c r="E12" s="85" t="s">
        <v>317</v>
      </c>
      <c r="F12" s="91" t="s">
        <v>317</v>
      </c>
      <c r="G12" s="87" t="s">
        <v>317</v>
      </c>
      <c r="H12" s="87" t="s">
        <v>317</v>
      </c>
      <c r="I12" s="87" t="s">
        <v>317</v>
      </c>
      <c r="J12" s="5" t="s">
        <v>317</v>
      </c>
      <c r="K12" s="5" t="s">
        <v>317</v>
      </c>
    </row>
    <row r="13" customFormat="false" ht="12.8" hidden="false" customHeight="false" outlineLevel="0" collapsed="false">
      <c r="A13" s="91"/>
      <c r="B13" s="40"/>
      <c r="C13" s="40"/>
      <c r="D13" s="40"/>
      <c r="F13" s="91"/>
      <c r="G13" s="87"/>
      <c r="H13" s="87"/>
      <c r="I13" s="87"/>
    </row>
    <row r="14" customFormat="false" ht="15" hidden="false" customHeight="false" outlineLevel="0" collapsed="false">
      <c r="A14" s="100" t="s">
        <v>176</v>
      </c>
      <c r="B14" s="33" t="s">
        <v>190</v>
      </c>
      <c r="C14" s="33" t="s">
        <v>319</v>
      </c>
      <c r="D14" s="33" t="s">
        <v>20</v>
      </c>
      <c r="E14" s="101" t="s">
        <v>1300</v>
      </c>
      <c r="F14" s="36" t="s">
        <v>1301</v>
      </c>
      <c r="G14" s="103" t="s">
        <v>1302</v>
      </c>
      <c r="H14" s="103" t="s">
        <v>1303</v>
      </c>
      <c r="I14" s="103" t="s">
        <v>1304</v>
      </c>
      <c r="J14" s="107" t="s">
        <v>800</v>
      </c>
      <c r="K14" s="107" t="s">
        <v>1305</v>
      </c>
    </row>
    <row r="15" customFormat="false" ht="15" hidden="false" customHeight="false" outlineLevel="0" collapsed="false">
      <c r="A15" s="91" t="str">
        <f aca="false">INDEX(Prioritization!$D:$D,MATCH($B15,Prioritization!$A:$A,0))</f>
        <v>Military</v>
      </c>
      <c r="B15" s="40" t="s">
        <v>194</v>
      </c>
      <c r="C15" s="40" t="s">
        <v>30</v>
      </c>
      <c r="D15" s="40" t="str">
        <f aca="false">B15&amp;"|"&amp;C15</f>
        <v>_Military Malawi [PQZgU9dagaH]|Female</v>
      </c>
      <c r="E15" s="178"/>
      <c r="F15" s="10"/>
      <c r="G15" s="88" t="str">
        <f aca="false">IF(SUM($E15,$F15)=0,"",SUM($F15)/IF(SUM($E15)=0,SUM($F15),$E15))</f>
        <v/>
      </c>
      <c r="H15" s="88" t="str">
        <f aca="false">IF(SUM($G15)=0,"",$G15)</f>
        <v/>
      </c>
      <c r="I15" s="88" t="str">
        <f aca="false">IF(SUM($F15)=0,"",0%)</f>
        <v/>
      </c>
      <c r="J15" s="5" t="str">
        <f aca="false">IF(SUM($F15)=0,"",ROUND($F15*(1+SUM($I15)),0))</f>
        <v/>
      </c>
      <c r="K15" s="5" t="str">
        <f aca="false">IF(SUM($J15)=0,IF(SUM($E15)=0,"",$E15),ROUND($J15/IF(OR(SUM($H15)=0,$H15&gt;1),1,$H15),0))</f>
        <v/>
      </c>
    </row>
    <row r="16" customFormat="false" ht="15" hidden="false" customHeight="false" outlineLevel="0" collapsed="false">
      <c r="A16" s="0" t="str">
        <f aca="false">INDEX(Prioritization!$D:$D,MATCH($B16,Prioritization!$A:$A,0))</f>
        <v>Military</v>
      </c>
      <c r="B16" s="0" t="s">
        <v>194</v>
      </c>
      <c r="C16" s="0" t="s">
        <v>48</v>
      </c>
      <c r="D16" s="0" t="str">
        <f aca="false">B16&amp;"|"&amp;C16</f>
        <v>_Military Malawi [PQZgU9dagaH]|Male</v>
      </c>
      <c r="E16" s="39"/>
      <c r="F16" s="10"/>
      <c r="G16" s="88" t="str">
        <f aca="false">IF(SUM($E16,$F16)=0,"",SUM($F16)/IF(SUM($E16)=0,SUM($F16),$E16))</f>
        <v/>
      </c>
      <c r="H16" s="88" t="str">
        <f aca="false">IF(SUM($G16)=0,"",$G16)</f>
        <v/>
      </c>
      <c r="I16" s="88" t="str">
        <f aca="false">IF(SUM($F16)=0,"",0%)</f>
        <v/>
      </c>
      <c r="J16" s="39" t="str">
        <f aca="false">IF(SUM($F16)=0,"",ROUND($F16*(1+SUM($I16)),0))</f>
        <v/>
      </c>
      <c r="K16" s="39" t="str">
        <f aca="false">IF(SUM($J16)=0,IF(SUM($E16)=0,"",$E16),ROUND($J16/IF(OR(SUM($H16)=0,$H16&gt;1),1,$H16),0))</f>
        <v/>
      </c>
    </row>
    <row r="17" customFormat="false" ht="15" hidden="false" customHeight="false" outlineLevel="0" collapsed="false">
      <c r="A17" s="0" t="str">
        <f aca="false">INDEX(Prioritization!$D:$D,MATCH($B17,Prioritization!$A:$A,0))</f>
        <v>1 - Scale-up: Saturation</v>
      </c>
      <c r="B17" s="0" t="s">
        <v>195</v>
      </c>
      <c r="C17" s="0" t="s">
        <v>30</v>
      </c>
      <c r="D17" s="0" t="str">
        <f aca="false">B17&amp;"|"&amp;C17</f>
        <v>Dedza District [PekKUkKHAzY]|Female</v>
      </c>
      <c r="E17" s="39"/>
      <c r="F17" s="10"/>
      <c r="G17" s="88" t="str">
        <f aca="false">IF(SUM($E17,$F17)=0,"",SUM($F17)/IF(SUM($E17)=0,SUM($F17),$E17))</f>
        <v/>
      </c>
      <c r="H17" s="88" t="str">
        <f aca="false">IF(SUM($G17)=0,"",$G17)</f>
        <v/>
      </c>
      <c r="I17" s="88" t="str">
        <f aca="false">IF(SUM($F17)=0,"",0%)</f>
        <v/>
      </c>
      <c r="J17" s="39" t="str">
        <f aca="false">IF(SUM($F17)=0,"",ROUND($F17*(1+SUM($I17)),0))</f>
        <v/>
      </c>
      <c r="K17" s="39" t="str">
        <f aca="false">IF(SUM($J17)=0,IF(SUM($E17)=0,"",$E17),ROUND($J17/IF(OR(SUM($H17)=0,$H17&gt;1),1,$H17),0))</f>
        <v/>
      </c>
    </row>
    <row r="18" customFormat="false" ht="15" hidden="false" customHeight="false" outlineLevel="0" collapsed="false">
      <c r="A18" s="0" t="str">
        <f aca="false">INDEX(Prioritization!$D:$D,MATCH($B18,Prioritization!$A:$A,0))</f>
        <v>1 - Scale-up: Saturation</v>
      </c>
      <c r="B18" s="0" t="s">
        <v>195</v>
      </c>
      <c r="C18" s="0" t="s">
        <v>48</v>
      </c>
      <c r="D18" s="0" t="str">
        <f aca="false">B18&amp;"|"&amp;C18</f>
        <v>Dedza District [PekKUkKHAzY]|Male</v>
      </c>
      <c r="E18" s="39"/>
      <c r="F18" s="10"/>
      <c r="G18" s="88" t="str">
        <f aca="false">IF(SUM($E18,$F18)=0,"",SUM($F18)/IF(SUM($E18)=0,SUM($F18),$E18))</f>
        <v/>
      </c>
      <c r="H18" s="88" t="str">
        <f aca="false">IF(SUM($G18)=0,"",$G18)</f>
        <v/>
      </c>
      <c r="I18" s="88" t="str">
        <f aca="false">IF(SUM($F18)=0,"",0%)</f>
        <v/>
      </c>
      <c r="J18" s="39" t="str">
        <f aca="false">IF(SUM($F18)=0,"",ROUND($F18*(1+SUM($I18)),0))</f>
        <v/>
      </c>
      <c r="K18" s="39" t="str">
        <f aca="false">IF(SUM($J18)=0,IF(SUM($E18)=0,"",$E18),ROUND($J18/IF(OR(SUM($H18)=0,$H18&gt;1),1,$H18),0))</f>
        <v/>
      </c>
    </row>
    <row r="19" customFormat="false" ht="15" hidden="false" customHeight="false" outlineLevel="0" collapsed="false">
      <c r="A19" s="0" t="str">
        <f aca="false">INDEX(Prioritization!$D:$D,MATCH($B19,Prioritization!$A:$A,0))</f>
        <v>1 - Scale-up: Saturation</v>
      </c>
      <c r="B19" s="0" t="s">
        <v>196</v>
      </c>
      <c r="C19" s="0" t="s">
        <v>30</v>
      </c>
      <c r="D19" s="0" t="str">
        <f aca="false">B19&amp;"|"&amp;C19</f>
        <v>Dowa District [zphK9WV8JB4]|Female</v>
      </c>
      <c r="E19" s="39"/>
      <c r="F19" s="10"/>
      <c r="G19" s="88" t="str">
        <f aca="false">IF(SUM($E19,$F19)=0,"",SUM($F19)/IF(SUM($E19)=0,SUM($F19),$E19))</f>
        <v/>
      </c>
      <c r="H19" s="88" t="str">
        <f aca="false">IF(SUM($G19)=0,"",$G19)</f>
        <v/>
      </c>
      <c r="I19" s="88" t="str">
        <f aca="false">IF(SUM($F19)=0,"",0%)</f>
        <v/>
      </c>
      <c r="J19" s="39" t="str">
        <f aca="false">IF(SUM($F19)=0,"",ROUND($F19*(1+SUM($I19)),0))</f>
        <v/>
      </c>
      <c r="K19" s="39" t="str">
        <f aca="false">IF(SUM($J19)=0,IF(SUM($E19)=0,"",$E19),ROUND($J19/IF(OR(SUM($H19)=0,$H19&gt;1),1,$H19),0))</f>
        <v/>
      </c>
    </row>
    <row r="20" customFormat="false" ht="15" hidden="false" customHeight="false" outlineLevel="0" collapsed="false">
      <c r="A20" s="0" t="str">
        <f aca="false">INDEX(Prioritization!$D:$D,MATCH($B20,Prioritization!$A:$A,0))</f>
        <v>1 - Scale-up: Saturation</v>
      </c>
      <c r="B20" s="0" t="s">
        <v>196</v>
      </c>
      <c r="C20" s="0" t="s">
        <v>48</v>
      </c>
      <c r="D20" s="0" t="str">
        <f aca="false">B20&amp;"|"&amp;C20</f>
        <v>Dowa District [zphK9WV8JB4]|Male</v>
      </c>
      <c r="E20" s="39"/>
      <c r="F20" s="10"/>
      <c r="G20" s="88" t="str">
        <f aca="false">IF(SUM($E20,$F20)=0,"",SUM($F20)/IF(SUM($E20)=0,SUM($F20),$E20))</f>
        <v/>
      </c>
      <c r="H20" s="88" t="str">
        <f aca="false">IF(SUM($G20)=0,"",$G20)</f>
        <v/>
      </c>
      <c r="I20" s="88" t="str">
        <f aca="false">IF(SUM($F20)=0,"",0%)</f>
        <v/>
      </c>
      <c r="J20" s="39" t="str">
        <f aca="false">IF(SUM($F20)=0,"",ROUND($F20*(1+SUM($I20)),0))</f>
        <v/>
      </c>
      <c r="K20" s="39" t="str">
        <f aca="false">IF(SUM($J20)=0,IF(SUM($E20)=0,"",$E20),ROUND($J20/IF(OR(SUM($H20)=0,$H20&gt;1),1,$H20),0))</f>
        <v/>
      </c>
    </row>
    <row r="21" customFormat="false" ht="15" hidden="false" customHeight="false" outlineLevel="0" collapsed="false">
      <c r="A21" s="0" t="str">
        <f aca="false">INDEX(Prioritization!$D:$D,MATCH($B21,Prioritization!$A:$A,0))</f>
        <v>INVALID</v>
      </c>
      <c r="B21" s="0" t="s">
        <v>197</v>
      </c>
      <c r="C21" s="0" t="s">
        <v>30</v>
      </c>
      <c r="D21" s="0" t="str">
        <f aca="false">B21&amp;"|"&amp;C21</f>
        <v>Kasungu District [JQKLKuVuY61]|Female</v>
      </c>
      <c r="E21" s="39"/>
      <c r="F21" s="10"/>
      <c r="G21" s="88" t="str">
        <f aca="false">IF(SUM($E21,$F21)=0,"",SUM($F21)/IF(SUM($E21)=0,SUM($F21),$E21))</f>
        <v/>
      </c>
      <c r="H21" s="88" t="str">
        <f aca="false">IF(SUM($G21)=0,"",$G21)</f>
        <v/>
      </c>
      <c r="I21" s="88" t="str">
        <f aca="false">IF(SUM($F21)=0,"",0%)</f>
        <v/>
      </c>
      <c r="J21" s="39" t="str">
        <f aca="false">IF(SUM($F21)=0,"",ROUND($F21*(1+SUM($I21)),0))</f>
        <v/>
      </c>
      <c r="K21" s="39" t="str">
        <f aca="false">IF(SUM($J21)=0,IF(SUM($E21)=0,"",$E21),ROUND($J21/IF(OR(SUM($H21)=0,$H21&gt;1),1,$H21),0))</f>
        <v/>
      </c>
    </row>
    <row r="22" customFormat="false" ht="15" hidden="false" customHeight="false" outlineLevel="0" collapsed="false">
      <c r="A22" s="0" t="str">
        <f aca="false">INDEX(Prioritization!$D:$D,MATCH($B22,Prioritization!$A:$A,0))</f>
        <v>INVALID</v>
      </c>
      <c r="B22" s="0" t="s">
        <v>197</v>
      </c>
      <c r="C22" s="0" t="s">
        <v>48</v>
      </c>
      <c r="D22" s="0" t="str">
        <f aca="false">B22&amp;"|"&amp;C22</f>
        <v>Kasungu District [JQKLKuVuY61]|Male</v>
      </c>
      <c r="E22" s="39"/>
      <c r="F22" s="10"/>
      <c r="G22" s="88" t="str">
        <f aca="false">IF(SUM($E22,$F22)=0,"",SUM($F22)/IF(SUM($E22)=0,SUM($F22),$E22))</f>
        <v/>
      </c>
      <c r="H22" s="88" t="str">
        <f aca="false">IF(SUM($G22)=0,"",$G22)</f>
        <v/>
      </c>
      <c r="I22" s="88" t="str">
        <f aca="false">IF(SUM($F22)=0,"",0%)</f>
        <v/>
      </c>
      <c r="J22" s="39" t="str">
        <f aca="false">IF(SUM($F22)=0,"",ROUND($F22*(1+SUM($I22)),0))</f>
        <v/>
      </c>
      <c r="K22" s="39" t="str">
        <f aca="false">IF(SUM($J22)=0,IF(SUM($E22)=0,"",$E22),ROUND($J22/IF(OR(SUM($H22)=0,$H22&gt;1),1,$H22),0))</f>
        <v/>
      </c>
    </row>
    <row r="23" customFormat="false" ht="15" hidden="false" customHeight="false" outlineLevel="0" collapsed="false">
      <c r="A23" s="0" t="str">
        <f aca="false">INDEX(Prioritization!$D:$D,MATCH($B23,Prioritization!$A:$A,0))</f>
        <v>1 - Scale-up: Saturation</v>
      </c>
      <c r="B23" s="0" t="s">
        <v>198</v>
      </c>
      <c r="C23" s="0" t="s">
        <v>30</v>
      </c>
      <c r="D23" s="0" t="str">
        <f aca="false">B23&amp;"|"&amp;C23</f>
        <v>Lilongwe District [ScR9iFKAasW]|Female</v>
      </c>
      <c r="E23" s="39"/>
      <c r="F23" s="10"/>
      <c r="G23" s="88" t="str">
        <f aca="false">IF(SUM($E23,$F23)=0,"",SUM($F23)/IF(SUM($E23)=0,SUM($F23),$E23))</f>
        <v/>
      </c>
      <c r="H23" s="88" t="str">
        <f aca="false">IF(SUM($G23)=0,"",$G23)</f>
        <v/>
      </c>
      <c r="I23" s="88" t="str">
        <f aca="false">IF(SUM($F23)=0,"",0%)</f>
        <v/>
      </c>
      <c r="J23" s="39" t="str">
        <f aca="false">IF(SUM($F23)=0,"",ROUND($F23*(1+SUM($I23)),0))</f>
        <v/>
      </c>
      <c r="K23" s="39" t="str">
        <f aca="false">IF(SUM($J23)=0,IF(SUM($E23)=0,"",$E23),ROUND($J23/IF(OR(SUM($H23)=0,$H23&gt;1),1,$H23),0))</f>
        <v/>
      </c>
    </row>
    <row r="24" customFormat="false" ht="15" hidden="false" customHeight="false" outlineLevel="0" collapsed="false">
      <c r="A24" s="0" t="str">
        <f aca="false">INDEX(Prioritization!$D:$D,MATCH($B24,Prioritization!$A:$A,0))</f>
        <v>1 - Scale-up: Saturation</v>
      </c>
      <c r="B24" s="0" t="s">
        <v>198</v>
      </c>
      <c r="C24" s="0" t="s">
        <v>48</v>
      </c>
      <c r="D24" s="0" t="str">
        <f aca="false">B24&amp;"|"&amp;C24</f>
        <v>Lilongwe District [ScR9iFKAasW]|Male</v>
      </c>
      <c r="E24" s="39"/>
      <c r="F24" s="10"/>
      <c r="G24" s="88" t="str">
        <f aca="false">IF(SUM($E24,$F24)=0,"",SUM($F24)/IF(SUM($E24)=0,SUM($F24),$E24))</f>
        <v/>
      </c>
      <c r="H24" s="88" t="str">
        <f aca="false">IF(SUM($G24)=0,"",$G24)</f>
        <v/>
      </c>
      <c r="I24" s="88" t="str">
        <f aca="false">IF(SUM($F24)=0,"",0%)</f>
        <v/>
      </c>
      <c r="J24" s="39" t="str">
        <f aca="false">IF(SUM($F24)=0,"",ROUND($F24*(1+SUM($I24)),0))</f>
        <v/>
      </c>
      <c r="K24" s="39" t="str">
        <f aca="false">IF(SUM($J24)=0,IF(SUM($E24)=0,"",$E24),ROUND($J24/IF(OR(SUM($H24)=0,$H24&gt;1),1,$H24),0))</f>
        <v/>
      </c>
    </row>
    <row r="25" customFormat="false" ht="15" hidden="false" customHeight="false" outlineLevel="0" collapsed="false">
      <c r="A25" s="0" t="str">
        <f aca="false">INDEX(Prioritization!$D:$D,MATCH($B25,Prioritization!$A:$A,0))</f>
        <v>1 - Scale-up: Saturation</v>
      </c>
      <c r="B25" s="0" t="s">
        <v>199</v>
      </c>
      <c r="C25" s="0" t="s">
        <v>30</v>
      </c>
      <c r="D25" s="0" t="str">
        <f aca="false">B25&amp;"|"&amp;C25</f>
        <v>Mchinji District [kxuuIFpOXyO]|Female</v>
      </c>
      <c r="E25" s="39"/>
      <c r="F25" s="10"/>
      <c r="G25" s="88" t="str">
        <f aca="false">IF(SUM($E25,$F25)=0,"",SUM($F25)/IF(SUM($E25)=0,SUM($F25),$E25))</f>
        <v/>
      </c>
      <c r="H25" s="88" t="str">
        <f aca="false">IF(SUM($G25)=0,"",$G25)</f>
        <v/>
      </c>
      <c r="I25" s="88" t="str">
        <f aca="false">IF(SUM($F25)=0,"",0%)</f>
        <v/>
      </c>
      <c r="J25" s="39" t="str">
        <f aca="false">IF(SUM($F25)=0,"",ROUND($F25*(1+SUM($I25)),0))</f>
        <v/>
      </c>
      <c r="K25" s="39" t="str">
        <f aca="false">IF(SUM($J25)=0,IF(SUM($E25)=0,"",$E25),ROUND($J25/IF(OR(SUM($H25)=0,$H25&gt;1),1,$H25),0))</f>
        <v/>
      </c>
    </row>
    <row r="26" customFormat="false" ht="15" hidden="false" customHeight="false" outlineLevel="0" collapsed="false">
      <c r="A26" s="0" t="str">
        <f aca="false">INDEX(Prioritization!$D:$D,MATCH($B26,Prioritization!$A:$A,0))</f>
        <v>1 - Scale-up: Saturation</v>
      </c>
      <c r="B26" s="0" t="s">
        <v>199</v>
      </c>
      <c r="C26" s="0" t="s">
        <v>48</v>
      </c>
      <c r="D26" s="0" t="str">
        <f aca="false">B26&amp;"|"&amp;C26</f>
        <v>Mchinji District [kxuuIFpOXyO]|Male</v>
      </c>
      <c r="E26" s="39"/>
      <c r="F26" s="10"/>
      <c r="G26" s="88" t="str">
        <f aca="false">IF(SUM($E26,$F26)=0,"",SUM($F26)/IF(SUM($E26)=0,SUM($F26),$E26))</f>
        <v/>
      </c>
      <c r="H26" s="88" t="str">
        <f aca="false">IF(SUM($G26)=0,"",$G26)</f>
        <v/>
      </c>
      <c r="I26" s="88" t="str">
        <f aca="false">IF(SUM($F26)=0,"",0%)</f>
        <v/>
      </c>
      <c r="J26" s="39" t="str">
        <f aca="false">IF(SUM($F26)=0,"",ROUND($F26*(1+SUM($I26)),0))</f>
        <v/>
      </c>
      <c r="K26" s="39" t="str">
        <f aca="false">IF(SUM($J26)=0,IF(SUM($E26)=0,"",$E26),ROUND($J26/IF(OR(SUM($H26)=0,$H26&gt;1),1,$H26),0))</f>
        <v/>
      </c>
    </row>
    <row r="27" customFormat="false" ht="15" hidden="false" customHeight="false" outlineLevel="0" collapsed="false">
      <c r="A27" s="0" t="str">
        <f aca="false">INDEX(Prioritization!$D:$D,MATCH($B27,Prioritization!$A:$A,0))</f>
        <v>1 - Scale-up: Saturation</v>
      </c>
      <c r="B27" s="0" t="s">
        <v>200</v>
      </c>
      <c r="C27" s="0" t="s">
        <v>30</v>
      </c>
      <c r="D27" s="0" t="str">
        <f aca="false">B27&amp;"|"&amp;C27</f>
        <v>Nkhotakota District [YCKiBAp8QAg]|Female</v>
      </c>
      <c r="E27" s="39"/>
      <c r="F27" s="10"/>
      <c r="G27" s="88" t="str">
        <f aca="false">IF(SUM($E27,$F27)=0,"",SUM($F27)/IF(SUM($E27)=0,SUM($F27),$E27))</f>
        <v/>
      </c>
      <c r="H27" s="88" t="str">
        <f aca="false">IF(SUM($G27)=0,"",$G27)</f>
        <v/>
      </c>
      <c r="I27" s="88" t="str">
        <f aca="false">IF(SUM($F27)=0,"",0%)</f>
        <v/>
      </c>
      <c r="J27" s="39" t="str">
        <f aca="false">IF(SUM($F27)=0,"",ROUND($F27*(1+SUM($I27)),0))</f>
        <v/>
      </c>
      <c r="K27" s="39" t="str">
        <f aca="false">IF(SUM($J27)=0,IF(SUM($E27)=0,"",$E27),ROUND($J27/IF(OR(SUM($H27)=0,$H27&gt;1),1,$H27),0))</f>
        <v/>
      </c>
    </row>
    <row r="28" customFormat="false" ht="15" hidden="false" customHeight="false" outlineLevel="0" collapsed="false">
      <c r="A28" s="0" t="str">
        <f aca="false">INDEX(Prioritization!$D:$D,MATCH($B28,Prioritization!$A:$A,0))</f>
        <v>1 - Scale-up: Saturation</v>
      </c>
      <c r="B28" s="0" t="s">
        <v>200</v>
      </c>
      <c r="C28" s="0" t="s">
        <v>48</v>
      </c>
      <c r="D28" s="0" t="str">
        <f aca="false">B28&amp;"|"&amp;C28</f>
        <v>Nkhotakota District [YCKiBAp8QAg]|Male</v>
      </c>
      <c r="E28" s="39"/>
      <c r="F28" s="10"/>
      <c r="G28" s="88" t="str">
        <f aca="false">IF(SUM($E28,$F28)=0,"",SUM($F28)/IF(SUM($E28)=0,SUM($F28),$E28))</f>
        <v/>
      </c>
      <c r="H28" s="88" t="str">
        <f aca="false">IF(SUM($G28)=0,"",$G28)</f>
        <v/>
      </c>
      <c r="I28" s="88" t="str">
        <f aca="false">IF(SUM($F28)=0,"",0%)</f>
        <v/>
      </c>
      <c r="J28" s="39" t="str">
        <f aca="false">IF(SUM($F28)=0,"",ROUND($F28*(1+SUM($I28)),0))</f>
        <v/>
      </c>
      <c r="K28" s="39" t="str">
        <f aca="false">IF(SUM($J28)=0,IF(SUM($E28)=0,"",$E28),ROUND($J28/IF(OR(SUM($H28)=0,$H28&gt;1),1,$H28),0))</f>
        <v/>
      </c>
    </row>
    <row r="29" customFormat="false" ht="15" hidden="false" customHeight="false" outlineLevel="0" collapsed="false">
      <c r="A29" s="0" t="str">
        <f aca="false">INDEX(Prioritization!$D:$D,MATCH($B29,Prioritization!$A:$A,0))</f>
        <v>INVALID</v>
      </c>
      <c r="B29" s="0" t="s">
        <v>201</v>
      </c>
      <c r="C29" s="0" t="s">
        <v>30</v>
      </c>
      <c r="D29" s="0" t="str">
        <f aca="false">B29&amp;"|"&amp;C29</f>
        <v>Ntcheu District [am530wpaGvr]|Female</v>
      </c>
      <c r="E29" s="39"/>
      <c r="F29" s="10"/>
      <c r="G29" s="88" t="str">
        <f aca="false">IF(SUM($E29,$F29)=0,"",SUM($F29)/IF(SUM($E29)=0,SUM($F29),$E29))</f>
        <v/>
      </c>
      <c r="H29" s="88" t="str">
        <f aca="false">IF(SUM($G29)=0,"",$G29)</f>
        <v/>
      </c>
      <c r="I29" s="88" t="str">
        <f aca="false">IF(SUM($F29)=0,"",0%)</f>
        <v/>
      </c>
      <c r="J29" s="39" t="str">
        <f aca="false">IF(SUM($F29)=0,"",ROUND($F29*(1+SUM($I29)),0))</f>
        <v/>
      </c>
      <c r="K29" s="39" t="str">
        <f aca="false">IF(SUM($J29)=0,IF(SUM($E29)=0,"",$E29),ROUND($J29/IF(OR(SUM($H29)=0,$H29&gt;1),1,$H29),0))</f>
        <v/>
      </c>
    </row>
    <row r="30" customFormat="false" ht="15" hidden="false" customHeight="false" outlineLevel="0" collapsed="false">
      <c r="A30" s="0" t="str">
        <f aca="false">INDEX(Prioritization!$D:$D,MATCH($B30,Prioritization!$A:$A,0))</f>
        <v>INVALID</v>
      </c>
      <c r="B30" s="0" t="s">
        <v>201</v>
      </c>
      <c r="C30" s="0" t="s">
        <v>48</v>
      </c>
      <c r="D30" s="0" t="str">
        <f aca="false">B30&amp;"|"&amp;C30</f>
        <v>Ntcheu District [am530wpaGvr]|Male</v>
      </c>
      <c r="E30" s="39"/>
      <c r="F30" s="10"/>
      <c r="G30" s="88" t="str">
        <f aca="false">IF(SUM($E30,$F30)=0,"",SUM($F30)/IF(SUM($E30)=0,SUM($F30),$E30))</f>
        <v/>
      </c>
      <c r="H30" s="88" t="str">
        <f aca="false">IF(SUM($G30)=0,"",$G30)</f>
        <v/>
      </c>
      <c r="I30" s="88" t="str">
        <f aca="false">IF(SUM($F30)=0,"",0%)</f>
        <v/>
      </c>
      <c r="J30" s="39" t="str">
        <f aca="false">IF(SUM($F30)=0,"",ROUND($F30*(1+SUM($I30)),0))</f>
        <v/>
      </c>
      <c r="K30" s="39" t="str">
        <f aca="false">IF(SUM($J30)=0,IF(SUM($E30)=0,"",$E30),ROUND($J30/IF(OR(SUM($H30)=0,$H30&gt;1),1,$H30),0))</f>
        <v/>
      </c>
    </row>
    <row r="31" customFormat="false" ht="15" hidden="false" customHeight="false" outlineLevel="0" collapsed="false">
      <c r="A31" s="0" t="str">
        <f aca="false">INDEX(Prioritization!$D:$D,MATCH($B31,Prioritization!$A:$A,0))</f>
        <v>INVALID</v>
      </c>
      <c r="B31" s="0" t="s">
        <v>202</v>
      </c>
      <c r="C31" s="0" t="s">
        <v>30</v>
      </c>
      <c r="D31" s="0" t="str">
        <f aca="false">B31&amp;"|"&amp;C31</f>
        <v>Ntchisi District [fiRkU6gEjLz]|Female</v>
      </c>
      <c r="E31" s="39"/>
      <c r="F31" s="10"/>
      <c r="G31" s="88" t="str">
        <f aca="false">IF(SUM($E31,$F31)=0,"",SUM($F31)/IF(SUM($E31)=0,SUM($F31),$E31))</f>
        <v/>
      </c>
      <c r="H31" s="88" t="str">
        <f aca="false">IF(SUM($G31)=0,"",$G31)</f>
        <v/>
      </c>
      <c r="I31" s="88" t="str">
        <f aca="false">IF(SUM($F31)=0,"",0%)</f>
        <v/>
      </c>
      <c r="J31" s="39" t="str">
        <f aca="false">IF(SUM($F31)=0,"",ROUND($F31*(1+SUM($I31)),0))</f>
        <v/>
      </c>
      <c r="K31" s="39" t="str">
        <f aca="false">IF(SUM($J31)=0,IF(SUM($E31)=0,"",$E31),ROUND($J31/IF(OR(SUM($H31)=0,$H31&gt;1),1,$H31),0))</f>
        <v/>
      </c>
    </row>
    <row r="32" customFormat="false" ht="15" hidden="false" customHeight="false" outlineLevel="0" collapsed="false">
      <c r="A32" s="0" t="str">
        <f aca="false">INDEX(Prioritization!$D:$D,MATCH($B32,Prioritization!$A:$A,0))</f>
        <v>INVALID</v>
      </c>
      <c r="B32" s="0" t="s">
        <v>202</v>
      </c>
      <c r="C32" s="0" t="s">
        <v>48</v>
      </c>
      <c r="D32" s="0" t="str">
        <f aca="false">B32&amp;"|"&amp;C32</f>
        <v>Ntchisi District [fiRkU6gEjLz]|Male</v>
      </c>
      <c r="E32" s="39"/>
      <c r="F32" s="10"/>
      <c r="G32" s="88" t="str">
        <f aca="false">IF(SUM($E32,$F32)=0,"",SUM($F32)/IF(SUM($E32)=0,SUM($F32),$E32))</f>
        <v/>
      </c>
      <c r="H32" s="88" t="str">
        <f aca="false">IF(SUM($G32)=0,"",$G32)</f>
        <v/>
      </c>
      <c r="I32" s="88" t="str">
        <f aca="false">IF(SUM($F32)=0,"",0%)</f>
        <v/>
      </c>
      <c r="J32" s="39" t="str">
        <f aca="false">IF(SUM($F32)=0,"",ROUND($F32*(1+SUM($I32)),0))</f>
        <v/>
      </c>
      <c r="K32" s="39" t="str">
        <f aca="false">IF(SUM($J32)=0,IF(SUM($E32)=0,"",$E32),ROUND($J32/IF(OR(SUM($H32)=0,$H32&gt;1),1,$H32),0))</f>
        <v/>
      </c>
    </row>
    <row r="33" customFormat="false" ht="15" hidden="false" customHeight="false" outlineLevel="0" collapsed="false">
      <c r="A33" s="0" t="str">
        <f aca="false">INDEX(Prioritization!$D:$D,MATCH($B33,Prioritization!$A:$A,0))</f>
        <v>INVALID</v>
      </c>
      <c r="B33" s="0" t="s">
        <v>203</v>
      </c>
      <c r="C33" s="0" t="s">
        <v>30</v>
      </c>
      <c r="D33" s="0" t="str">
        <f aca="false">B33&amp;"|"&amp;C33</f>
        <v>Salima District [msW2zpIN7up]|Female</v>
      </c>
      <c r="E33" s="39"/>
      <c r="F33" s="10"/>
      <c r="G33" s="88" t="str">
        <f aca="false">IF(SUM($E33,$F33)=0,"",SUM($F33)/IF(SUM($E33)=0,SUM($F33),$E33))</f>
        <v/>
      </c>
      <c r="H33" s="88" t="str">
        <f aca="false">IF(SUM($G33)=0,"",$G33)</f>
        <v/>
      </c>
      <c r="I33" s="88" t="str">
        <f aca="false">IF(SUM($F33)=0,"",0%)</f>
        <v/>
      </c>
      <c r="J33" s="39" t="str">
        <f aca="false">IF(SUM($F33)=0,"",ROUND($F33*(1+SUM($I33)),0))</f>
        <v/>
      </c>
      <c r="K33" s="39" t="str">
        <f aca="false">IF(SUM($J33)=0,IF(SUM($E33)=0,"",$E33),ROUND($J33/IF(OR(SUM($H33)=0,$H33&gt;1),1,$H33),0))</f>
        <v/>
      </c>
    </row>
    <row r="34" customFormat="false" ht="15" hidden="false" customHeight="false" outlineLevel="0" collapsed="false">
      <c r="A34" s="0" t="str">
        <f aca="false">INDEX(Prioritization!$D:$D,MATCH($B34,Prioritization!$A:$A,0))</f>
        <v>INVALID</v>
      </c>
      <c r="B34" s="0" t="s">
        <v>203</v>
      </c>
      <c r="C34" s="0" t="s">
        <v>48</v>
      </c>
      <c r="D34" s="0" t="str">
        <f aca="false">B34&amp;"|"&amp;C34</f>
        <v>Salima District [msW2zpIN7up]|Male</v>
      </c>
      <c r="E34" s="39"/>
      <c r="F34" s="10"/>
      <c r="G34" s="88" t="str">
        <f aca="false">IF(SUM($E34,$F34)=0,"",SUM($F34)/IF(SUM($E34)=0,SUM($F34),$E34))</f>
        <v/>
      </c>
      <c r="H34" s="88" t="str">
        <f aca="false">IF(SUM($G34)=0,"",$G34)</f>
        <v/>
      </c>
      <c r="I34" s="88" t="str">
        <f aca="false">IF(SUM($F34)=0,"",0%)</f>
        <v/>
      </c>
      <c r="J34" s="39" t="str">
        <f aca="false">IF(SUM($F34)=0,"",ROUND($F34*(1+SUM($I34)),0))</f>
        <v/>
      </c>
      <c r="K34" s="39" t="str">
        <f aca="false">IF(SUM($J34)=0,IF(SUM($E34)=0,"",$E34),ROUND($J34/IF(OR(SUM($H34)=0,$H34&gt;1),1,$H34),0))</f>
        <v/>
      </c>
    </row>
    <row r="35" customFormat="false" ht="15" hidden="false" customHeight="false" outlineLevel="0" collapsed="false">
      <c r="A35" s="0" t="str">
        <f aca="false">INDEX(Prioritization!$D:$D,MATCH($B35,Prioritization!$A:$A,0))</f>
        <v>1 - Scale-up: Saturation</v>
      </c>
      <c r="B35" s="0" t="s">
        <v>204</v>
      </c>
      <c r="C35" s="0" t="s">
        <v>30</v>
      </c>
      <c r="D35" s="0" t="str">
        <f aca="false">B35&amp;"|"&amp;C35</f>
        <v>Chitipa District [GkIwZrXy1h2]|Female</v>
      </c>
      <c r="E35" s="39"/>
      <c r="F35" s="10"/>
      <c r="G35" s="88" t="str">
        <f aca="false">IF(SUM($E35,$F35)=0,"",SUM($F35)/IF(SUM($E35)=0,SUM($F35),$E35))</f>
        <v/>
      </c>
      <c r="H35" s="88" t="str">
        <f aca="false">IF(SUM($G35)=0,"",$G35)</f>
        <v/>
      </c>
      <c r="I35" s="88" t="str">
        <f aca="false">IF(SUM($F35)=0,"",0%)</f>
        <v/>
      </c>
      <c r="J35" s="39" t="str">
        <f aca="false">IF(SUM($F35)=0,"",ROUND($F35*(1+SUM($I35)),0))</f>
        <v/>
      </c>
      <c r="K35" s="39" t="str">
        <f aca="false">IF(SUM($J35)=0,IF(SUM($E35)=0,"",$E35),ROUND($J35/IF(OR(SUM($H35)=0,$H35&gt;1),1,$H35),0))</f>
        <v/>
      </c>
    </row>
    <row r="36" customFormat="false" ht="15" hidden="false" customHeight="false" outlineLevel="0" collapsed="false">
      <c r="A36" s="0" t="str">
        <f aca="false">INDEX(Prioritization!$D:$D,MATCH($B36,Prioritization!$A:$A,0))</f>
        <v>1 - Scale-up: Saturation</v>
      </c>
      <c r="B36" s="0" t="s">
        <v>204</v>
      </c>
      <c r="C36" s="0" t="s">
        <v>48</v>
      </c>
      <c r="D36" s="0" t="str">
        <f aca="false">B36&amp;"|"&amp;C36</f>
        <v>Chitipa District [GkIwZrXy1h2]|Male</v>
      </c>
      <c r="E36" s="39"/>
      <c r="F36" s="10"/>
      <c r="G36" s="88" t="str">
        <f aca="false">IF(SUM($E36,$F36)=0,"",SUM($F36)/IF(SUM($E36)=0,SUM($F36),$E36))</f>
        <v/>
      </c>
      <c r="H36" s="88" t="str">
        <f aca="false">IF(SUM($G36)=0,"",$G36)</f>
        <v/>
      </c>
      <c r="I36" s="88" t="str">
        <f aca="false">IF(SUM($F36)=0,"",0%)</f>
        <v/>
      </c>
      <c r="J36" s="39" t="str">
        <f aca="false">IF(SUM($F36)=0,"",ROUND($F36*(1+SUM($I36)),0))</f>
        <v/>
      </c>
      <c r="K36" s="39" t="str">
        <f aca="false">IF(SUM($J36)=0,IF(SUM($E36)=0,"",$E36),ROUND($J36/IF(OR(SUM($H36)=0,$H36&gt;1),1,$H36),0))</f>
        <v/>
      </c>
    </row>
    <row r="37" customFormat="false" ht="15" hidden="false" customHeight="false" outlineLevel="0" collapsed="false">
      <c r="A37" s="0" t="str">
        <f aca="false">INDEX(Prioritization!$D:$D,MATCH($B37,Prioritization!$A:$A,0))</f>
        <v>INVALID</v>
      </c>
      <c r="B37" s="0" t="s">
        <v>205</v>
      </c>
      <c r="C37" s="0" t="s">
        <v>30</v>
      </c>
      <c r="D37" s="0" t="str">
        <f aca="false">B37&amp;"|"&amp;C37</f>
        <v>Karonga District [cPtvxaZqXIH]|Female</v>
      </c>
      <c r="E37" s="39"/>
      <c r="F37" s="10"/>
      <c r="G37" s="88" t="str">
        <f aca="false">IF(SUM($E37,$F37)=0,"",SUM($F37)/IF(SUM($E37)=0,SUM($F37),$E37))</f>
        <v/>
      </c>
      <c r="H37" s="88" t="str">
        <f aca="false">IF(SUM($G37)=0,"",$G37)</f>
        <v/>
      </c>
      <c r="I37" s="88" t="str">
        <f aca="false">IF(SUM($F37)=0,"",0%)</f>
        <v/>
      </c>
      <c r="J37" s="39" t="str">
        <f aca="false">IF(SUM($F37)=0,"",ROUND($F37*(1+SUM($I37)),0))</f>
        <v/>
      </c>
      <c r="K37" s="39" t="str">
        <f aca="false">IF(SUM($J37)=0,IF(SUM($E37)=0,"",$E37),ROUND($J37/IF(OR(SUM($H37)=0,$H37&gt;1),1,$H37),0))</f>
        <v/>
      </c>
    </row>
    <row r="38" customFormat="false" ht="15" hidden="false" customHeight="false" outlineLevel="0" collapsed="false">
      <c r="A38" s="0" t="str">
        <f aca="false">INDEX(Prioritization!$D:$D,MATCH($B38,Prioritization!$A:$A,0))</f>
        <v>INVALID</v>
      </c>
      <c r="B38" s="0" t="s">
        <v>205</v>
      </c>
      <c r="C38" s="0" t="s">
        <v>48</v>
      </c>
      <c r="D38" s="0" t="str">
        <f aca="false">B38&amp;"|"&amp;C38</f>
        <v>Karonga District [cPtvxaZqXIH]|Male</v>
      </c>
      <c r="E38" s="39"/>
      <c r="F38" s="10"/>
      <c r="G38" s="88" t="str">
        <f aca="false">IF(SUM($E38,$F38)=0,"",SUM($F38)/IF(SUM($E38)=0,SUM($F38),$E38))</f>
        <v/>
      </c>
      <c r="H38" s="88" t="str">
        <f aca="false">IF(SUM($G38)=0,"",$G38)</f>
        <v/>
      </c>
      <c r="I38" s="88" t="str">
        <f aca="false">IF(SUM($F38)=0,"",0%)</f>
        <v/>
      </c>
      <c r="J38" s="39" t="str">
        <f aca="false">IF(SUM($F38)=0,"",ROUND($F38*(1+SUM($I38)),0))</f>
        <v/>
      </c>
      <c r="K38" s="39" t="str">
        <f aca="false">IF(SUM($J38)=0,IF(SUM($E38)=0,"",$E38),ROUND($J38/IF(OR(SUM($H38)=0,$H38&gt;1),1,$H38),0))</f>
        <v/>
      </c>
    </row>
    <row r="39" customFormat="false" ht="15" hidden="false" customHeight="false" outlineLevel="0" collapsed="false">
      <c r="A39" s="0" t="str">
        <f aca="false">INDEX(Prioritization!$D:$D,MATCH($B39,Prioritization!$A:$A,0))</f>
        <v>INVALID</v>
      </c>
      <c r="B39" s="0" t="s">
        <v>206</v>
      </c>
      <c r="C39" s="0" t="s">
        <v>30</v>
      </c>
      <c r="D39" s="0" t="str">
        <f aca="false">B39&amp;"|"&amp;C39</f>
        <v>Likoma District [ZCjuwgaMB9u]|Female</v>
      </c>
      <c r="E39" s="39"/>
      <c r="F39" s="10"/>
      <c r="G39" s="88" t="str">
        <f aca="false">IF(SUM($E39,$F39)=0,"",SUM($F39)/IF(SUM($E39)=0,SUM($F39),$E39))</f>
        <v/>
      </c>
      <c r="H39" s="88" t="str">
        <f aca="false">IF(SUM($G39)=0,"",$G39)</f>
        <v/>
      </c>
      <c r="I39" s="88" t="str">
        <f aca="false">IF(SUM($F39)=0,"",0%)</f>
        <v/>
      </c>
      <c r="J39" s="39" t="str">
        <f aca="false">IF(SUM($F39)=0,"",ROUND($F39*(1+SUM($I39)),0))</f>
        <v/>
      </c>
      <c r="K39" s="39" t="str">
        <f aca="false">IF(SUM($J39)=0,IF(SUM($E39)=0,"",$E39),ROUND($J39/IF(OR(SUM($H39)=0,$H39&gt;1),1,$H39),0))</f>
        <v/>
      </c>
    </row>
    <row r="40" customFormat="false" ht="15" hidden="false" customHeight="false" outlineLevel="0" collapsed="false">
      <c r="A40" s="0" t="str">
        <f aca="false">INDEX(Prioritization!$D:$D,MATCH($B40,Prioritization!$A:$A,0))</f>
        <v>INVALID</v>
      </c>
      <c r="B40" s="0" t="s">
        <v>206</v>
      </c>
      <c r="C40" s="0" t="s">
        <v>48</v>
      </c>
      <c r="D40" s="0" t="str">
        <f aca="false">B40&amp;"|"&amp;C40</f>
        <v>Likoma District [ZCjuwgaMB9u]|Male</v>
      </c>
      <c r="E40" s="39"/>
      <c r="F40" s="10"/>
      <c r="G40" s="88" t="str">
        <f aca="false">IF(SUM($E40,$F40)=0,"",SUM($F40)/IF(SUM($E40)=0,SUM($F40),$E40))</f>
        <v/>
      </c>
      <c r="H40" s="88" t="str">
        <f aca="false">IF(SUM($G40)=0,"",$G40)</f>
        <v/>
      </c>
      <c r="I40" s="88" t="str">
        <f aca="false">IF(SUM($F40)=0,"",0%)</f>
        <v/>
      </c>
      <c r="J40" s="39" t="str">
        <f aca="false">IF(SUM($F40)=0,"",ROUND($F40*(1+SUM($I40)),0))</f>
        <v/>
      </c>
      <c r="K40" s="39" t="str">
        <f aca="false">IF(SUM($J40)=0,IF(SUM($E40)=0,"",$E40),ROUND($J40/IF(OR(SUM($H40)=0,$H40&gt;1),1,$H40),0))</f>
        <v/>
      </c>
    </row>
    <row r="41" customFormat="false" ht="15" hidden="false" customHeight="false" outlineLevel="0" collapsed="false">
      <c r="A41" s="0" t="str">
        <f aca="false">INDEX(Prioritization!$D:$D,MATCH($B41,Prioritization!$A:$A,0))</f>
        <v>1 - Scale-up: Saturation</v>
      </c>
      <c r="B41" s="0" t="s">
        <v>207</v>
      </c>
      <c r="C41" s="0" t="s">
        <v>30</v>
      </c>
      <c r="D41" s="0" t="str">
        <f aca="false">B41&amp;"|"&amp;C41</f>
        <v>Mzimba District [vA4NcHxfMBq]|Female</v>
      </c>
      <c r="E41" s="39"/>
      <c r="F41" s="10"/>
      <c r="G41" s="88" t="str">
        <f aca="false">IF(SUM($E41,$F41)=0,"",SUM($F41)/IF(SUM($E41)=0,SUM($F41),$E41))</f>
        <v/>
      </c>
      <c r="H41" s="88" t="str">
        <f aca="false">IF(SUM($G41)=0,"",$G41)</f>
        <v/>
      </c>
      <c r="I41" s="88" t="str">
        <f aca="false">IF(SUM($F41)=0,"",0%)</f>
        <v/>
      </c>
      <c r="J41" s="39" t="str">
        <f aca="false">IF(SUM($F41)=0,"",ROUND($F41*(1+SUM($I41)),0))</f>
        <v/>
      </c>
      <c r="K41" s="39" t="str">
        <f aca="false">IF(SUM($J41)=0,IF(SUM($E41)=0,"",$E41),ROUND($J41/IF(OR(SUM($H41)=0,$H41&gt;1),1,$H41),0))</f>
        <v/>
      </c>
    </row>
    <row r="42" customFormat="false" ht="15" hidden="false" customHeight="false" outlineLevel="0" collapsed="false">
      <c r="A42" s="0" t="str">
        <f aca="false">INDEX(Prioritization!$D:$D,MATCH($B42,Prioritization!$A:$A,0))</f>
        <v>1 - Scale-up: Saturation</v>
      </c>
      <c r="B42" s="0" t="s">
        <v>207</v>
      </c>
      <c r="C42" s="0" t="s">
        <v>48</v>
      </c>
      <c r="D42" s="0" t="str">
        <f aca="false">B42&amp;"|"&amp;C42</f>
        <v>Mzimba District [vA4NcHxfMBq]|Male</v>
      </c>
      <c r="E42" s="39"/>
      <c r="F42" s="10"/>
      <c r="G42" s="88" t="str">
        <f aca="false">IF(SUM($E42,$F42)=0,"",SUM($F42)/IF(SUM($E42)=0,SUM($F42),$E42))</f>
        <v/>
      </c>
      <c r="H42" s="88" t="str">
        <f aca="false">IF(SUM($G42)=0,"",$G42)</f>
        <v/>
      </c>
      <c r="I42" s="88" t="str">
        <f aca="false">IF(SUM($F42)=0,"",0%)</f>
        <v/>
      </c>
      <c r="J42" s="39" t="str">
        <f aca="false">IF(SUM($F42)=0,"",ROUND($F42*(1+SUM($I42)),0))</f>
        <v/>
      </c>
      <c r="K42" s="39" t="str">
        <f aca="false">IF(SUM($J42)=0,IF(SUM($E42)=0,"",$E42),ROUND($J42/IF(OR(SUM($H42)=0,$H42&gt;1),1,$H42),0))</f>
        <v/>
      </c>
    </row>
    <row r="43" customFormat="false" ht="15" hidden="false" customHeight="false" outlineLevel="0" collapsed="false">
      <c r="A43" s="0" t="str">
        <f aca="false">INDEX(Prioritization!$D:$D,MATCH($B43,Prioritization!$A:$A,0))</f>
        <v>INVALID</v>
      </c>
      <c r="B43" s="0" t="s">
        <v>208</v>
      </c>
      <c r="C43" s="0" t="s">
        <v>30</v>
      </c>
      <c r="D43" s="0" t="str">
        <f aca="false">B43&amp;"|"&amp;C43</f>
        <v>Nkhata Bay District [E7zpfyBt7Tw]|Female</v>
      </c>
      <c r="E43" s="39"/>
      <c r="F43" s="10"/>
      <c r="G43" s="88" t="str">
        <f aca="false">IF(SUM($E43,$F43)=0,"",SUM($F43)/IF(SUM($E43)=0,SUM($F43),$E43))</f>
        <v/>
      </c>
      <c r="H43" s="88" t="str">
        <f aca="false">IF(SUM($G43)=0,"",$G43)</f>
        <v/>
      </c>
      <c r="I43" s="88" t="str">
        <f aca="false">IF(SUM($F43)=0,"",0%)</f>
        <v/>
      </c>
      <c r="J43" s="39" t="str">
        <f aca="false">IF(SUM($F43)=0,"",ROUND($F43*(1+SUM($I43)),0))</f>
        <v/>
      </c>
      <c r="K43" s="39" t="str">
        <f aca="false">IF(SUM($J43)=0,IF(SUM($E43)=0,"",$E43),ROUND($J43/IF(OR(SUM($H43)=0,$H43&gt;1),1,$H43),0))</f>
        <v/>
      </c>
    </row>
    <row r="44" customFormat="false" ht="15" hidden="false" customHeight="false" outlineLevel="0" collapsed="false">
      <c r="A44" s="0" t="str">
        <f aca="false">INDEX(Prioritization!$D:$D,MATCH($B44,Prioritization!$A:$A,0))</f>
        <v>INVALID</v>
      </c>
      <c r="B44" s="0" t="s">
        <v>208</v>
      </c>
      <c r="C44" s="0" t="s">
        <v>48</v>
      </c>
      <c r="D44" s="0" t="str">
        <f aca="false">B44&amp;"|"&amp;C44</f>
        <v>Nkhata Bay District [E7zpfyBt7Tw]|Male</v>
      </c>
      <c r="E44" s="39"/>
      <c r="F44" s="10"/>
      <c r="G44" s="88" t="str">
        <f aca="false">IF(SUM($E44,$F44)=0,"",SUM($F44)/IF(SUM($E44)=0,SUM($F44),$E44))</f>
        <v/>
      </c>
      <c r="H44" s="88" t="str">
        <f aca="false">IF(SUM($G44)=0,"",$G44)</f>
        <v/>
      </c>
      <c r="I44" s="88" t="str">
        <f aca="false">IF(SUM($F44)=0,"",0%)</f>
        <v/>
      </c>
      <c r="J44" s="39" t="str">
        <f aca="false">IF(SUM($F44)=0,"",ROUND($F44*(1+SUM($I44)),0))</f>
        <v/>
      </c>
      <c r="K44" s="39" t="str">
        <f aca="false">IF(SUM($J44)=0,IF(SUM($E44)=0,"",$E44),ROUND($J44/IF(OR(SUM($H44)=0,$H44&gt;1),1,$H44),0))</f>
        <v/>
      </c>
    </row>
    <row r="45" customFormat="false" ht="15" hidden="false" customHeight="false" outlineLevel="0" collapsed="false">
      <c r="A45" s="0" t="str">
        <f aca="false">INDEX(Prioritization!$D:$D,MATCH($B45,Prioritization!$A:$A,0))</f>
        <v>INVALID</v>
      </c>
      <c r="B45" s="0" t="s">
        <v>209</v>
      </c>
      <c r="C45" s="0" t="s">
        <v>30</v>
      </c>
      <c r="D45" s="0" t="str">
        <f aca="false">B45&amp;"|"&amp;C45</f>
        <v>Rumphi District [lPTyjLi4w3d]|Female</v>
      </c>
      <c r="E45" s="39"/>
      <c r="F45" s="10"/>
      <c r="G45" s="88" t="str">
        <f aca="false">IF(SUM($E45,$F45)=0,"",SUM($F45)/IF(SUM($E45)=0,SUM($F45),$E45))</f>
        <v/>
      </c>
      <c r="H45" s="88" t="str">
        <f aca="false">IF(SUM($G45)=0,"",$G45)</f>
        <v/>
      </c>
      <c r="I45" s="88" t="str">
        <f aca="false">IF(SUM($F45)=0,"",0%)</f>
        <v/>
      </c>
      <c r="J45" s="39" t="str">
        <f aca="false">IF(SUM($F45)=0,"",ROUND($F45*(1+SUM($I45)),0))</f>
        <v/>
      </c>
      <c r="K45" s="39" t="str">
        <f aca="false">IF(SUM($J45)=0,IF(SUM($E45)=0,"",$E45),ROUND($J45/IF(OR(SUM($H45)=0,$H45&gt;1),1,$H45),0))</f>
        <v/>
      </c>
    </row>
    <row r="46" customFormat="false" ht="15" hidden="false" customHeight="false" outlineLevel="0" collapsed="false">
      <c r="A46" s="0" t="str">
        <f aca="false">INDEX(Prioritization!$D:$D,MATCH($B46,Prioritization!$A:$A,0))</f>
        <v>INVALID</v>
      </c>
      <c r="B46" s="0" t="s">
        <v>209</v>
      </c>
      <c r="C46" s="0" t="s">
        <v>48</v>
      </c>
      <c r="D46" s="0" t="str">
        <f aca="false">B46&amp;"|"&amp;C46</f>
        <v>Rumphi District [lPTyjLi4w3d]|Male</v>
      </c>
      <c r="E46" s="39"/>
      <c r="F46" s="10"/>
      <c r="G46" s="88" t="str">
        <f aca="false">IF(SUM($E46,$F46)=0,"",SUM($F46)/IF(SUM($E46)=0,SUM($F46),$E46))</f>
        <v/>
      </c>
      <c r="H46" s="88" t="str">
        <f aca="false">IF(SUM($G46)=0,"",$G46)</f>
        <v/>
      </c>
      <c r="I46" s="88" t="str">
        <f aca="false">IF(SUM($F46)=0,"",0%)</f>
        <v/>
      </c>
      <c r="J46" s="39" t="str">
        <f aca="false">IF(SUM($F46)=0,"",ROUND($F46*(1+SUM($I46)),0))</f>
        <v/>
      </c>
      <c r="K46" s="39" t="str">
        <f aca="false">IF(SUM($J46)=0,IF(SUM($E46)=0,"",$E46),ROUND($J46/IF(OR(SUM($H46)=0,$H46&gt;1),1,$H46),0))</f>
        <v/>
      </c>
    </row>
    <row r="47" customFormat="false" ht="15" hidden="false" customHeight="false" outlineLevel="0" collapsed="false">
      <c r="A47" s="0" t="str">
        <f aca="false">INDEX(Prioritization!$D:$D,MATCH($B47,Prioritization!$A:$A,0))</f>
        <v>1 - Scale-up: Saturation</v>
      </c>
      <c r="B47" s="0" t="s">
        <v>210</v>
      </c>
      <c r="C47" s="0" t="s">
        <v>30</v>
      </c>
      <c r="D47" s="0" t="str">
        <f aca="false">B47&amp;"|"&amp;C47</f>
        <v>Balaka District [ir8wuHHzoSs]|Female</v>
      </c>
      <c r="E47" s="39"/>
      <c r="F47" s="10"/>
      <c r="G47" s="88" t="str">
        <f aca="false">IF(SUM($E47,$F47)=0,"",SUM($F47)/IF(SUM($E47)=0,SUM($F47),$E47))</f>
        <v/>
      </c>
      <c r="H47" s="88" t="str">
        <f aca="false">IF(SUM($G47)=0,"",$G47)</f>
        <v/>
      </c>
      <c r="I47" s="88" t="str">
        <f aca="false">IF(SUM($F47)=0,"",0%)</f>
        <v/>
      </c>
      <c r="J47" s="39" t="str">
        <f aca="false">IF(SUM($F47)=0,"",ROUND($F47*(1+SUM($I47)),0))</f>
        <v/>
      </c>
      <c r="K47" s="39" t="str">
        <f aca="false">IF(SUM($J47)=0,IF(SUM($E47)=0,"",$E47),ROUND($J47/IF(OR(SUM($H47)=0,$H47&gt;1),1,$H47),0))</f>
        <v/>
      </c>
    </row>
    <row r="48" customFormat="false" ht="15" hidden="false" customHeight="false" outlineLevel="0" collapsed="false">
      <c r="A48" s="0" t="str">
        <f aca="false">INDEX(Prioritization!$D:$D,MATCH($B48,Prioritization!$A:$A,0))</f>
        <v>1 - Scale-up: Saturation</v>
      </c>
      <c r="B48" s="0" t="s">
        <v>210</v>
      </c>
      <c r="C48" s="0" t="s">
        <v>48</v>
      </c>
      <c r="D48" s="0" t="str">
        <f aca="false">B48&amp;"|"&amp;C48</f>
        <v>Balaka District [ir8wuHHzoSs]|Male</v>
      </c>
      <c r="E48" s="39"/>
      <c r="F48" s="10"/>
      <c r="G48" s="88" t="str">
        <f aca="false">IF(SUM($E48,$F48)=0,"",SUM($F48)/IF(SUM($E48)=0,SUM($F48),$E48))</f>
        <v/>
      </c>
      <c r="H48" s="88" t="str">
        <f aca="false">IF(SUM($G48)=0,"",$G48)</f>
        <v/>
      </c>
      <c r="I48" s="88" t="str">
        <f aca="false">IF(SUM($F48)=0,"",0%)</f>
        <v/>
      </c>
      <c r="J48" s="39" t="str">
        <f aca="false">IF(SUM($F48)=0,"",ROUND($F48*(1+SUM($I48)),0))</f>
        <v/>
      </c>
      <c r="K48" s="39" t="str">
        <f aca="false">IF(SUM($J48)=0,IF(SUM($E48)=0,"",$E48),ROUND($J48/IF(OR(SUM($H48)=0,$H48&gt;1),1,$H48),0))</f>
        <v/>
      </c>
    </row>
    <row r="49" customFormat="false" ht="15" hidden="false" customHeight="false" outlineLevel="0" collapsed="false">
      <c r="A49" s="0" t="str">
        <f aca="false">INDEX(Prioritization!$D:$D,MATCH($B49,Prioritization!$A:$A,0))</f>
        <v>1 - Scale-up: Saturation</v>
      </c>
      <c r="B49" s="0" t="s">
        <v>211</v>
      </c>
      <c r="C49" s="0" t="s">
        <v>30</v>
      </c>
      <c r="D49" s="0" t="str">
        <f aca="false">B49&amp;"|"&amp;C49</f>
        <v>Blantyre District [mxqa3CDFmIT]|Female</v>
      </c>
      <c r="E49" s="39"/>
      <c r="F49" s="10"/>
      <c r="G49" s="88" t="str">
        <f aca="false">IF(SUM($E49,$F49)=0,"",SUM($F49)/IF(SUM($E49)=0,SUM($F49),$E49))</f>
        <v/>
      </c>
      <c r="H49" s="88" t="str">
        <f aca="false">IF(SUM($G49)=0,"",$G49)</f>
        <v/>
      </c>
      <c r="I49" s="88" t="str">
        <f aca="false">IF(SUM($F49)=0,"",0%)</f>
        <v/>
      </c>
      <c r="J49" s="39" t="str">
        <f aca="false">IF(SUM($F49)=0,"",ROUND($F49*(1+SUM($I49)),0))</f>
        <v/>
      </c>
      <c r="K49" s="39" t="str">
        <f aca="false">IF(SUM($J49)=0,IF(SUM($E49)=0,"",$E49),ROUND($J49/IF(OR(SUM($H49)=0,$H49&gt;1),1,$H49),0))</f>
        <v/>
      </c>
    </row>
    <row r="50" customFormat="false" ht="15" hidden="false" customHeight="false" outlineLevel="0" collapsed="false">
      <c r="A50" s="0" t="str">
        <f aca="false">INDEX(Prioritization!$D:$D,MATCH($B50,Prioritization!$A:$A,0))</f>
        <v>1 - Scale-up: Saturation</v>
      </c>
      <c r="B50" s="0" t="s">
        <v>211</v>
      </c>
      <c r="C50" s="0" t="s">
        <v>48</v>
      </c>
      <c r="D50" s="0" t="str">
        <f aca="false">B50&amp;"|"&amp;C50</f>
        <v>Blantyre District [mxqa3CDFmIT]|Male</v>
      </c>
      <c r="E50" s="39"/>
      <c r="F50" s="10"/>
      <c r="G50" s="88" t="str">
        <f aca="false">IF(SUM($E50,$F50)=0,"",SUM($F50)/IF(SUM($E50)=0,SUM($F50),$E50))</f>
        <v/>
      </c>
      <c r="H50" s="88" t="str">
        <f aca="false">IF(SUM($G50)=0,"",$G50)</f>
        <v/>
      </c>
      <c r="I50" s="88" t="str">
        <f aca="false">IF(SUM($F50)=0,"",0%)</f>
        <v/>
      </c>
      <c r="J50" s="39" t="str">
        <f aca="false">IF(SUM($F50)=0,"",ROUND($F50*(1+SUM($I50)),0))</f>
        <v/>
      </c>
      <c r="K50" s="39" t="str">
        <f aca="false">IF(SUM($J50)=0,IF(SUM($E50)=0,"",$E50),ROUND($J50/IF(OR(SUM($H50)=0,$H50&gt;1),1,$H50),0))</f>
        <v/>
      </c>
    </row>
    <row r="51" customFormat="false" ht="15" hidden="false" customHeight="false" outlineLevel="0" collapsed="false">
      <c r="A51" s="0" t="str">
        <f aca="false">INDEX(Prioritization!$D:$D,MATCH($B51,Prioritization!$A:$A,0))</f>
        <v>1 - Scale-up: Saturation</v>
      </c>
      <c r="B51" s="0" t="s">
        <v>212</v>
      </c>
      <c r="C51" s="0" t="s">
        <v>30</v>
      </c>
      <c r="D51" s="0" t="str">
        <f aca="false">B51&amp;"|"&amp;C51</f>
        <v>Chikwawa District [U8c0so51kT6]|Female</v>
      </c>
      <c r="E51" s="39"/>
      <c r="F51" s="10"/>
      <c r="G51" s="88" t="str">
        <f aca="false">IF(SUM($E51,$F51)=0,"",SUM($F51)/IF(SUM($E51)=0,SUM($F51),$E51))</f>
        <v/>
      </c>
      <c r="H51" s="88" t="str">
        <f aca="false">IF(SUM($G51)=0,"",$G51)</f>
        <v/>
      </c>
      <c r="I51" s="88" t="str">
        <f aca="false">IF(SUM($F51)=0,"",0%)</f>
        <v/>
      </c>
      <c r="J51" s="39" t="str">
        <f aca="false">IF(SUM($F51)=0,"",ROUND($F51*(1+SUM($I51)),0))</f>
        <v/>
      </c>
      <c r="K51" s="39" t="str">
        <f aca="false">IF(SUM($J51)=0,IF(SUM($E51)=0,"",$E51),ROUND($J51/IF(OR(SUM($H51)=0,$H51&gt;1),1,$H51),0))</f>
        <v/>
      </c>
    </row>
    <row r="52" customFormat="false" ht="15" hidden="false" customHeight="false" outlineLevel="0" collapsed="false">
      <c r="A52" s="0" t="str">
        <f aca="false">INDEX(Prioritization!$D:$D,MATCH($B52,Prioritization!$A:$A,0))</f>
        <v>1 - Scale-up: Saturation</v>
      </c>
      <c r="B52" s="0" t="s">
        <v>212</v>
      </c>
      <c r="C52" s="0" t="s">
        <v>48</v>
      </c>
      <c r="D52" s="0" t="str">
        <f aca="false">B52&amp;"|"&amp;C52</f>
        <v>Chikwawa District [U8c0so51kT6]|Male</v>
      </c>
      <c r="E52" s="39"/>
      <c r="F52" s="10"/>
      <c r="G52" s="88" t="str">
        <f aca="false">IF(SUM($E52,$F52)=0,"",SUM($F52)/IF(SUM($E52)=0,SUM($F52),$E52))</f>
        <v/>
      </c>
      <c r="H52" s="88" t="str">
        <f aca="false">IF(SUM($G52)=0,"",$G52)</f>
        <v/>
      </c>
      <c r="I52" s="88" t="str">
        <f aca="false">IF(SUM($F52)=0,"",0%)</f>
        <v/>
      </c>
      <c r="J52" s="39" t="str">
        <f aca="false">IF(SUM($F52)=0,"",ROUND($F52*(1+SUM($I52)),0))</f>
        <v/>
      </c>
      <c r="K52" s="39" t="str">
        <f aca="false">IF(SUM($J52)=0,IF(SUM($E52)=0,"",$E52),ROUND($J52/IF(OR(SUM($H52)=0,$H52&gt;1),1,$H52),0))</f>
        <v/>
      </c>
    </row>
    <row r="53" customFormat="false" ht="15" hidden="false" customHeight="false" outlineLevel="0" collapsed="false">
      <c r="A53" s="0" t="str">
        <f aca="false">INDEX(Prioritization!$D:$D,MATCH($B53,Prioritization!$A:$A,0))</f>
        <v>1 - Scale-up: Saturation</v>
      </c>
      <c r="B53" s="0" t="s">
        <v>213</v>
      </c>
      <c r="C53" s="0" t="s">
        <v>30</v>
      </c>
      <c r="D53" s="0" t="str">
        <f aca="false">B53&amp;"|"&amp;C53</f>
        <v>Chiradzulu District [oiPR2CiVJbf]|Female</v>
      </c>
      <c r="E53" s="39"/>
      <c r="F53" s="10"/>
      <c r="G53" s="88" t="str">
        <f aca="false">IF(SUM($E53,$F53)=0,"",SUM($F53)/IF(SUM($E53)=0,SUM($F53),$E53))</f>
        <v/>
      </c>
      <c r="H53" s="88" t="str">
        <f aca="false">IF(SUM($G53)=0,"",$G53)</f>
        <v/>
      </c>
      <c r="I53" s="88" t="str">
        <f aca="false">IF(SUM($F53)=0,"",0%)</f>
        <v/>
      </c>
      <c r="J53" s="39" t="str">
        <f aca="false">IF(SUM($F53)=0,"",ROUND($F53*(1+SUM($I53)),0))</f>
        <v/>
      </c>
      <c r="K53" s="39" t="str">
        <f aca="false">IF(SUM($J53)=0,IF(SUM($E53)=0,"",$E53),ROUND($J53/IF(OR(SUM($H53)=0,$H53&gt;1),1,$H53),0))</f>
        <v/>
      </c>
    </row>
    <row r="54" customFormat="false" ht="15" hidden="false" customHeight="false" outlineLevel="0" collapsed="false">
      <c r="A54" s="0" t="str">
        <f aca="false">INDEX(Prioritization!$D:$D,MATCH($B54,Prioritization!$A:$A,0))</f>
        <v>1 - Scale-up: Saturation</v>
      </c>
      <c r="B54" s="0" t="s">
        <v>213</v>
      </c>
      <c r="C54" s="0" t="s">
        <v>48</v>
      </c>
      <c r="D54" s="0" t="str">
        <f aca="false">B54&amp;"|"&amp;C54</f>
        <v>Chiradzulu District [oiPR2CiVJbf]|Male</v>
      </c>
      <c r="E54" s="39"/>
      <c r="F54" s="10"/>
      <c r="G54" s="88" t="str">
        <f aca="false">IF(SUM($E54,$F54)=0,"",SUM($F54)/IF(SUM($E54)=0,SUM($F54),$E54))</f>
        <v/>
      </c>
      <c r="H54" s="88" t="str">
        <f aca="false">IF(SUM($G54)=0,"",$G54)</f>
        <v/>
      </c>
      <c r="I54" s="88" t="str">
        <f aca="false">IF(SUM($F54)=0,"",0%)</f>
        <v/>
      </c>
      <c r="J54" s="39" t="str">
        <f aca="false">IF(SUM($F54)=0,"",ROUND($F54*(1+SUM($I54)),0))</f>
        <v/>
      </c>
      <c r="K54" s="39" t="str">
        <f aca="false">IF(SUM($J54)=0,IF(SUM($E54)=0,"",$E54),ROUND($J54/IF(OR(SUM($H54)=0,$H54&gt;1),1,$H54),0))</f>
        <v/>
      </c>
    </row>
    <row r="55" customFormat="false" ht="15" hidden="false" customHeight="false" outlineLevel="0" collapsed="false">
      <c r="A55" s="0" t="str">
        <f aca="false">INDEX(Prioritization!$D:$D,MATCH($B55,Prioritization!$A:$A,0))</f>
        <v>1 - Scale-up: Saturation</v>
      </c>
      <c r="B55" s="0" t="s">
        <v>214</v>
      </c>
      <c r="C55" s="0" t="s">
        <v>30</v>
      </c>
      <c r="D55" s="0" t="str">
        <f aca="false">B55&amp;"|"&amp;C55</f>
        <v>Machinga District [TYnMSwzko3z]|Female</v>
      </c>
      <c r="E55" s="39"/>
      <c r="F55" s="10"/>
      <c r="G55" s="88" t="str">
        <f aca="false">IF(SUM($E55,$F55)=0,"",SUM($F55)/IF(SUM($E55)=0,SUM($F55),$E55))</f>
        <v/>
      </c>
      <c r="H55" s="88" t="str">
        <f aca="false">IF(SUM($G55)=0,"",$G55)</f>
        <v/>
      </c>
      <c r="I55" s="88" t="str">
        <f aca="false">IF(SUM($F55)=0,"",0%)</f>
        <v/>
      </c>
      <c r="J55" s="39" t="str">
        <f aca="false">IF(SUM($F55)=0,"",ROUND($F55*(1+SUM($I55)),0))</f>
        <v/>
      </c>
      <c r="K55" s="39" t="str">
        <f aca="false">IF(SUM($J55)=0,IF(SUM($E55)=0,"",$E55),ROUND($J55/IF(OR(SUM($H55)=0,$H55&gt;1),1,$H55),0))</f>
        <v/>
      </c>
    </row>
    <row r="56" customFormat="false" ht="15" hidden="false" customHeight="false" outlineLevel="0" collapsed="false">
      <c r="A56" s="0" t="str">
        <f aca="false">INDEX(Prioritization!$D:$D,MATCH($B56,Prioritization!$A:$A,0))</f>
        <v>1 - Scale-up: Saturation</v>
      </c>
      <c r="B56" s="0" t="s">
        <v>214</v>
      </c>
      <c r="C56" s="0" t="s">
        <v>48</v>
      </c>
      <c r="D56" s="0" t="str">
        <f aca="false">B56&amp;"|"&amp;C56</f>
        <v>Machinga District [TYnMSwzko3z]|Male</v>
      </c>
      <c r="E56" s="39"/>
      <c r="F56" s="10"/>
      <c r="G56" s="88" t="str">
        <f aca="false">IF(SUM($E56,$F56)=0,"",SUM($F56)/IF(SUM($E56)=0,SUM($F56),$E56))</f>
        <v/>
      </c>
      <c r="H56" s="88" t="str">
        <f aca="false">IF(SUM($G56)=0,"",$G56)</f>
        <v/>
      </c>
      <c r="I56" s="88" t="str">
        <f aca="false">IF(SUM($F56)=0,"",0%)</f>
        <v/>
      </c>
      <c r="J56" s="39" t="str">
        <f aca="false">IF(SUM($F56)=0,"",ROUND($F56*(1+SUM($I56)),0))</f>
        <v/>
      </c>
      <c r="K56" s="39" t="str">
        <f aca="false">IF(SUM($J56)=0,IF(SUM($E56)=0,"",$E56),ROUND($J56/IF(OR(SUM($H56)=0,$H56&gt;1),1,$H56),0))</f>
        <v/>
      </c>
    </row>
    <row r="57" customFormat="false" ht="15" hidden="false" customHeight="false" outlineLevel="0" collapsed="false">
      <c r="A57" s="0" t="str">
        <f aca="false">INDEX(Prioritization!$D:$D,MATCH($B57,Prioritization!$A:$A,0))</f>
        <v>INVALID</v>
      </c>
      <c r="B57" s="0" t="s">
        <v>215</v>
      </c>
      <c r="C57" s="0" t="s">
        <v>30</v>
      </c>
      <c r="D57" s="0" t="str">
        <f aca="false">B57&amp;"|"&amp;C57</f>
        <v>Mangochi District [lLDyBx5XyUi]|Female</v>
      </c>
      <c r="E57" s="39"/>
      <c r="F57" s="10"/>
      <c r="G57" s="88" t="str">
        <f aca="false">IF(SUM($E57,$F57)=0,"",SUM($F57)/IF(SUM($E57)=0,SUM($F57),$E57))</f>
        <v/>
      </c>
      <c r="H57" s="88" t="str">
        <f aca="false">IF(SUM($G57)=0,"",$G57)</f>
        <v/>
      </c>
      <c r="I57" s="88" t="str">
        <f aca="false">IF(SUM($F57)=0,"",0%)</f>
        <v/>
      </c>
      <c r="J57" s="39" t="str">
        <f aca="false">IF(SUM($F57)=0,"",ROUND($F57*(1+SUM($I57)),0))</f>
        <v/>
      </c>
      <c r="K57" s="39" t="str">
        <f aca="false">IF(SUM($J57)=0,IF(SUM($E57)=0,"",$E57),ROUND($J57/IF(OR(SUM($H57)=0,$H57&gt;1),1,$H57),0))</f>
        <v/>
      </c>
    </row>
    <row r="58" customFormat="false" ht="15" hidden="false" customHeight="false" outlineLevel="0" collapsed="false">
      <c r="A58" s="0" t="str">
        <f aca="false">INDEX(Prioritization!$D:$D,MATCH($B58,Prioritization!$A:$A,0))</f>
        <v>INVALID</v>
      </c>
      <c r="B58" s="0" t="s">
        <v>215</v>
      </c>
      <c r="C58" s="0" t="s">
        <v>48</v>
      </c>
      <c r="D58" s="0" t="str">
        <f aca="false">B58&amp;"|"&amp;C58</f>
        <v>Mangochi District [lLDyBx5XyUi]|Male</v>
      </c>
      <c r="E58" s="39"/>
      <c r="F58" s="10"/>
      <c r="G58" s="88" t="str">
        <f aca="false">IF(SUM($E58,$F58)=0,"",SUM($F58)/IF(SUM($E58)=0,SUM($F58),$E58))</f>
        <v/>
      </c>
      <c r="H58" s="88" t="str">
        <f aca="false">IF(SUM($G58)=0,"",$G58)</f>
        <v/>
      </c>
      <c r="I58" s="88" t="str">
        <f aca="false">IF(SUM($F58)=0,"",0%)</f>
        <v/>
      </c>
      <c r="J58" s="39" t="str">
        <f aca="false">IF(SUM($F58)=0,"",ROUND($F58*(1+SUM($I58)),0))</f>
        <v/>
      </c>
      <c r="K58" s="39" t="str">
        <f aca="false">IF(SUM($J58)=0,IF(SUM($E58)=0,"",$E58),ROUND($J58/IF(OR(SUM($H58)=0,$H58&gt;1),1,$H58),0))</f>
        <v/>
      </c>
    </row>
    <row r="59" customFormat="false" ht="15" hidden="false" customHeight="false" outlineLevel="0" collapsed="false">
      <c r="A59" s="0" t="str">
        <f aca="false">INDEX(Prioritization!$D:$D,MATCH($B59,Prioritization!$A:$A,0))</f>
        <v>INVALID</v>
      </c>
      <c r="B59" s="0" t="s">
        <v>216</v>
      </c>
      <c r="C59" s="0" t="s">
        <v>30</v>
      </c>
      <c r="D59" s="0" t="str">
        <f aca="false">B59&amp;"|"&amp;C59</f>
        <v>Mulanje District [umc2n1Z4wNv]|Female</v>
      </c>
      <c r="E59" s="39"/>
      <c r="F59" s="10"/>
      <c r="G59" s="88" t="str">
        <f aca="false">IF(SUM($E59,$F59)=0,"",SUM($F59)/IF(SUM($E59)=0,SUM($F59),$E59))</f>
        <v/>
      </c>
      <c r="H59" s="88" t="str">
        <f aca="false">IF(SUM($G59)=0,"",$G59)</f>
        <v/>
      </c>
      <c r="I59" s="88" t="str">
        <f aca="false">IF(SUM($F59)=0,"",0%)</f>
        <v/>
      </c>
      <c r="J59" s="39" t="str">
        <f aca="false">IF(SUM($F59)=0,"",ROUND($F59*(1+SUM($I59)),0))</f>
        <v/>
      </c>
      <c r="K59" s="39" t="str">
        <f aca="false">IF(SUM($J59)=0,IF(SUM($E59)=0,"",$E59),ROUND($J59/IF(OR(SUM($H59)=0,$H59&gt;1),1,$H59),0))</f>
        <v/>
      </c>
    </row>
    <row r="60" customFormat="false" ht="15" hidden="false" customHeight="false" outlineLevel="0" collapsed="false">
      <c r="A60" s="0" t="str">
        <f aca="false">INDEX(Prioritization!$D:$D,MATCH($B60,Prioritization!$A:$A,0))</f>
        <v>INVALID</v>
      </c>
      <c r="B60" s="0" t="s">
        <v>216</v>
      </c>
      <c r="C60" s="0" t="s">
        <v>48</v>
      </c>
      <c r="D60" s="0" t="str">
        <f aca="false">B60&amp;"|"&amp;C60</f>
        <v>Mulanje District [umc2n1Z4wNv]|Male</v>
      </c>
      <c r="E60" s="39"/>
      <c r="F60" s="10"/>
      <c r="G60" s="88" t="str">
        <f aca="false">IF(SUM($E60,$F60)=0,"",SUM($F60)/IF(SUM($E60)=0,SUM($F60),$E60))</f>
        <v/>
      </c>
      <c r="H60" s="88" t="str">
        <f aca="false">IF(SUM($G60)=0,"",$G60)</f>
        <v/>
      </c>
      <c r="I60" s="88" t="str">
        <f aca="false">IF(SUM($F60)=0,"",0%)</f>
        <v/>
      </c>
      <c r="J60" s="39" t="str">
        <f aca="false">IF(SUM($F60)=0,"",ROUND($F60*(1+SUM($I60)),0))</f>
        <v/>
      </c>
      <c r="K60" s="39" t="str">
        <f aca="false">IF(SUM($J60)=0,IF(SUM($E60)=0,"",$E60),ROUND($J60/IF(OR(SUM($H60)=0,$H60&gt;1),1,$H60),0))</f>
        <v/>
      </c>
    </row>
    <row r="61" customFormat="false" ht="15" hidden="false" customHeight="false" outlineLevel="0" collapsed="false">
      <c r="A61" s="0" t="str">
        <f aca="false">INDEX(Prioritization!$D:$D,MATCH($B61,Prioritization!$A:$A,0))</f>
        <v>INVALID</v>
      </c>
      <c r="B61" s="0" t="s">
        <v>217</v>
      </c>
      <c r="C61" s="0" t="s">
        <v>30</v>
      </c>
      <c r="D61" s="0" t="str">
        <f aca="false">B61&amp;"|"&amp;C61</f>
        <v>Mwanza District [wNqJp8oRIcF]|Female</v>
      </c>
      <c r="E61" s="39"/>
      <c r="F61" s="10"/>
      <c r="G61" s="88" t="str">
        <f aca="false">IF(SUM($E61,$F61)=0,"",SUM($F61)/IF(SUM($E61)=0,SUM($F61),$E61))</f>
        <v/>
      </c>
      <c r="H61" s="88" t="str">
        <f aca="false">IF(SUM($G61)=0,"",$G61)</f>
        <v/>
      </c>
      <c r="I61" s="88" t="str">
        <f aca="false">IF(SUM($F61)=0,"",0%)</f>
        <v/>
      </c>
      <c r="J61" s="39" t="str">
        <f aca="false">IF(SUM($F61)=0,"",ROUND($F61*(1+SUM($I61)),0))</f>
        <v/>
      </c>
      <c r="K61" s="39" t="str">
        <f aca="false">IF(SUM($J61)=0,IF(SUM($E61)=0,"",$E61),ROUND($J61/IF(OR(SUM($H61)=0,$H61&gt;1),1,$H61),0))</f>
        <v/>
      </c>
    </row>
    <row r="62" customFormat="false" ht="15" hidden="false" customHeight="false" outlineLevel="0" collapsed="false">
      <c r="A62" s="0" t="str">
        <f aca="false">INDEX(Prioritization!$D:$D,MATCH($B62,Prioritization!$A:$A,0))</f>
        <v>INVALID</v>
      </c>
      <c r="B62" s="0" t="s">
        <v>217</v>
      </c>
      <c r="C62" s="0" t="s">
        <v>48</v>
      </c>
      <c r="D62" s="0" t="str">
        <f aca="false">B62&amp;"|"&amp;C62</f>
        <v>Mwanza District [wNqJp8oRIcF]|Male</v>
      </c>
      <c r="E62" s="39"/>
      <c r="F62" s="10"/>
      <c r="G62" s="88" t="str">
        <f aca="false">IF(SUM($E62,$F62)=0,"",SUM($F62)/IF(SUM($E62)=0,SUM($F62),$E62))</f>
        <v/>
      </c>
      <c r="H62" s="88" t="str">
        <f aca="false">IF(SUM($G62)=0,"",$G62)</f>
        <v/>
      </c>
      <c r="I62" s="88" t="str">
        <f aca="false">IF(SUM($F62)=0,"",0%)</f>
        <v/>
      </c>
      <c r="J62" s="39" t="str">
        <f aca="false">IF(SUM($F62)=0,"",ROUND($F62*(1+SUM($I62)),0))</f>
        <v/>
      </c>
      <c r="K62" s="39" t="str">
        <f aca="false">IF(SUM($J62)=0,IF(SUM($E62)=0,"",$E62),ROUND($J62/IF(OR(SUM($H62)=0,$H62&gt;1),1,$H62),0))</f>
        <v/>
      </c>
    </row>
    <row r="63" customFormat="false" ht="15" hidden="false" customHeight="false" outlineLevel="0" collapsed="false">
      <c r="A63" s="0" t="str">
        <f aca="false">INDEX(Prioritization!$D:$D,MATCH($B63,Prioritization!$A:$A,0))</f>
        <v>INVALID</v>
      </c>
      <c r="B63" s="0" t="s">
        <v>218</v>
      </c>
      <c r="C63" s="0" t="s">
        <v>30</v>
      </c>
      <c r="D63" s="0" t="str">
        <f aca="false">B63&amp;"|"&amp;C63</f>
        <v>Neno District [gwVYinjBAe9]|Female</v>
      </c>
      <c r="E63" s="39"/>
      <c r="F63" s="10"/>
      <c r="G63" s="88" t="str">
        <f aca="false">IF(SUM($E63,$F63)=0,"",SUM($F63)/IF(SUM($E63)=0,SUM($F63),$E63))</f>
        <v/>
      </c>
      <c r="H63" s="88" t="str">
        <f aca="false">IF(SUM($G63)=0,"",$G63)</f>
        <v/>
      </c>
      <c r="I63" s="88" t="str">
        <f aca="false">IF(SUM($F63)=0,"",0%)</f>
        <v/>
      </c>
      <c r="J63" s="39" t="str">
        <f aca="false">IF(SUM($F63)=0,"",ROUND($F63*(1+SUM($I63)),0))</f>
        <v/>
      </c>
      <c r="K63" s="39" t="str">
        <f aca="false">IF(SUM($J63)=0,IF(SUM($E63)=0,"",$E63),ROUND($J63/IF(OR(SUM($H63)=0,$H63&gt;1),1,$H63),0))</f>
        <v/>
      </c>
    </row>
    <row r="64" customFormat="false" ht="15" hidden="false" customHeight="false" outlineLevel="0" collapsed="false">
      <c r="A64" s="0" t="str">
        <f aca="false">INDEX(Prioritization!$D:$D,MATCH($B64,Prioritization!$A:$A,0))</f>
        <v>INVALID</v>
      </c>
      <c r="B64" s="0" t="s">
        <v>218</v>
      </c>
      <c r="C64" s="0" t="s">
        <v>48</v>
      </c>
      <c r="D64" s="0" t="str">
        <f aca="false">B64&amp;"|"&amp;C64</f>
        <v>Neno District [gwVYinjBAe9]|Male</v>
      </c>
      <c r="E64" s="39"/>
      <c r="F64" s="10"/>
      <c r="G64" s="88" t="str">
        <f aca="false">IF(SUM($E64,$F64)=0,"",SUM($F64)/IF(SUM($E64)=0,SUM($F64),$E64))</f>
        <v/>
      </c>
      <c r="H64" s="88" t="str">
        <f aca="false">IF(SUM($G64)=0,"",$G64)</f>
        <v/>
      </c>
      <c r="I64" s="88" t="str">
        <f aca="false">IF(SUM($F64)=0,"",0%)</f>
        <v/>
      </c>
      <c r="J64" s="39" t="str">
        <f aca="false">IF(SUM($F64)=0,"",ROUND($F64*(1+SUM($I64)),0))</f>
        <v/>
      </c>
      <c r="K64" s="39" t="str">
        <f aca="false">IF(SUM($J64)=0,IF(SUM($E64)=0,"",$E64),ROUND($J64/IF(OR(SUM($H64)=0,$H64&gt;1),1,$H64),0))</f>
        <v/>
      </c>
    </row>
    <row r="65" customFormat="false" ht="15" hidden="false" customHeight="false" outlineLevel="0" collapsed="false">
      <c r="A65" s="0" t="str">
        <f aca="false">INDEX(Prioritization!$D:$D,MATCH($B65,Prioritization!$A:$A,0))</f>
        <v>INVALID</v>
      </c>
      <c r="B65" s="0" t="s">
        <v>219</v>
      </c>
      <c r="C65" s="0" t="s">
        <v>30</v>
      </c>
      <c r="D65" s="0" t="str">
        <f aca="false">B65&amp;"|"&amp;C65</f>
        <v>Nsanje District [rpw540fmNUz]|Female</v>
      </c>
      <c r="E65" s="39"/>
      <c r="F65" s="10"/>
      <c r="G65" s="88" t="str">
        <f aca="false">IF(SUM($E65,$F65)=0,"",SUM($F65)/IF(SUM($E65)=0,SUM($F65),$E65))</f>
        <v/>
      </c>
      <c r="H65" s="88" t="str">
        <f aca="false">IF(SUM($G65)=0,"",$G65)</f>
        <v/>
      </c>
      <c r="I65" s="88" t="str">
        <f aca="false">IF(SUM($F65)=0,"",0%)</f>
        <v/>
      </c>
      <c r="J65" s="39" t="str">
        <f aca="false">IF(SUM($F65)=0,"",ROUND($F65*(1+SUM($I65)),0))</f>
        <v/>
      </c>
      <c r="K65" s="39" t="str">
        <f aca="false">IF(SUM($J65)=0,IF(SUM($E65)=0,"",$E65),ROUND($J65/IF(OR(SUM($H65)=0,$H65&gt;1),1,$H65),0))</f>
        <v/>
      </c>
    </row>
    <row r="66" customFormat="false" ht="15" hidden="false" customHeight="false" outlineLevel="0" collapsed="false">
      <c r="A66" s="0" t="str">
        <f aca="false">INDEX(Prioritization!$D:$D,MATCH($B66,Prioritization!$A:$A,0))</f>
        <v>INVALID</v>
      </c>
      <c r="B66" s="0" t="s">
        <v>219</v>
      </c>
      <c r="C66" s="0" t="s">
        <v>48</v>
      </c>
      <c r="D66" s="0" t="str">
        <f aca="false">B66&amp;"|"&amp;C66</f>
        <v>Nsanje District [rpw540fmNUz]|Male</v>
      </c>
      <c r="E66" s="39"/>
      <c r="F66" s="10"/>
      <c r="G66" s="88" t="str">
        <f aca="false">IF(SUM($E66,$F66)=0,"",SUM($F66)/IF(SUM($E66)=0,SUM($F66),$E66))</f>
        <v/>
      </c>
      <c r="H66" s="88" t="str">
        <f aca="false">IF(SUM($G66)=0,"",$G66)</f>
        <v/>
      </c>
      <c r="I66" s="88" t="str">
        <f aca="false">IF(SUM($F66)=0,"",0%)</f>
        <v/>
      </c>
      <c r="J66" s="39" t="str">
        <f aca="false">IF(SUM($F66)=0,"",ROUND($F66*(1+SUM($I66)),0))</f>
        <v/>
      </c>
      <c r="K66" s="39" t="str">
        <f aca="false">IF(SUM($J66)=0,IF(SUM($E66)=0,"",$E66),ROUND($J66/IF(OR(SUM($H66)=0,$H66&gt;1),1,$H66),0))</f>
        <v/>
      </c>
    </row>
    <row r="67" customFormat="false" ht="15" hidden="false" customHeight="false" outlineLevel="0" collapsed="false">
      <c r="A67" s="0" t="str">
        <f aca="false">INDEX(Prioritization!$D:$D,MATCH($B67,Prioritization!$A:$A,0))</f>
        <v>INVALID</v>
      </c>
      <c r="B67" s="0" t="s">
        <v>220</v>
      </c>
      <c r="C67" s="0" t="s">
        <v>30</v>
      </c>
      <c r="D67" s="0" t="str">
        <f aca="false">B67&amp;"|"&amp;C67</f>
        <v>Phalombe District [AZyWpGzhcaA]|Female</v>
      </c>
      <c r="E67" s="39"/>
      <c r="F67" s="10"/>
      <c r="G67" s="88" t="str">
        <f aca="false">IF(SUM($E67,$F67)=0,"",SUM($F67)/IF(SUM($E67)=0,SUM($F67),$E67))</f>
        <v/>
      </c>
      <c r="H67" s="88" t="str">
        <f aca="false">IF(SUM($G67)=0,"",$G67)</f>
        <v/>
      </c>
      <c r="I67" s="88" t="str">
        <f aca="false">IF(SUM($F67)=0,"",0%)</f>
        <v/>
      </c>
      <c r="J67" s="39" t="str">
        <f aca="false">IF(SUM($F67)=0,"",ROUND($F67*(1+SUM($I67)),0))</f>
        <v/>
      </c>
      <c r="K67" s="39" t="str">
        <f aca="false">IF(SUM($J67)=0,IF(SUM($E67)=0,"",$E67),ROUND($J67/IF(OR(SUM($H67)=0,$H67&gt;1),1,$H67),0))</f>
        <v/>
      </c>
    </row>
    <row r="68" customFormat="false" ht="15" hidden="false" customHeight="false" outlineLevel="0" collapsed="false">
      <c r="A68" s="0" t="str">
        <f aca="false">INDEX(Prioritization!$D:$D,MATCH($B68,Prioritization!$A:$A,0))</f>
        <v>INVALID</v>
      </c>
      <c r="B68" s="0" t="s">
        <v>220</v>
      </c>
      <c r="C68" s="0" t="s">
        <v>48</v>
      </c>
      <c r="D68" s="0" t="str">
        <f aca="false">B68&amp;"|"&amp;C68</f>
        <v>Phalombe District [AZyWpGzhcaA]|Male</v>
      </c>
      <c r="E68" s="39"/>
      <c r="F68" s="10"/>
      <c r="G68" s="88" t="str">
        <f aca="false">IF(SUM($E68,$F68)=0,"",SUM($F68)/IF(SUM($E68)=0,SUM($F68),$E68))</f>
        <v/>
      </c>
      <c r="H68" s="88" t="str">
        <f aca="false">IF(SUM($G68)=0,"",$G68)</f>
        <v/>
      </c>
      <c r="I68" s="88" t="str">
        <f aca="false">IF(SUM($F68)=0,"",0%)</f>
        <v/>
      </c>
      <c r="J68" s="39" t="str">
        <f aca="false">IF(SUM($F68)=0,"",ROUND($F68*(1+SUM($I68)),0))</f>
        <v/>
      </c>
      <c r="K68" s="39" t="str">
        <f aca="false">IF(SUM($J68)=0,IF(SUM($E68)=0,"",$E68),ROUND($J68/IF(OR(SUM($H68)=0,$H68&gt;1),1,$H68),0))</f>
        <v/>
      </c>
    </row>
    <row r="69" customFormat="false" ht="15" hidden="false" customHeight="false" outlineLevel="0" collapsed="false">
      <c r="A69" s="0" t="str">
        <f aca="false">INDEX(Prioritization!$D:$D,MATCH($B69,Prioritization!$A:$A,0))</f>
        <v>1 - Scale-up: Saturation</v>
      </c>
      <c r="B69" s="0" t="s">
        <v>221</v>
      </c>
      <c r="C69" s="0" t="s">
        <v>30</v>
      </c>
      <c r="D69" s="0" t="str">
        <f aca="false">B69&amp;"|"&amp;C69</f>
        <v>Thyolo District [ul0y9diGujK]|Female</v>
      </c>
      <c r="E69" s="39"/>
      <c r="F69" s="10"/>
      <c r="G69" s="88" t="str">
        <f aca="false">IF(SUM($E69,$F69)=0,"",SUM($F69)/IF(SUM($E69)=0,SUM($F69),$E69))</f>
        <v/>
      </c>
      <c r="H69" s="88" t="str">
        <f aca="false">IF(SUM($G69)=0,"",$G69)</f>
        <v/>
      </c>
      <c r="I69" s="88" t="str">
        <f aca="false">IF(SUM($F69)=0,"",0%)</f>
        <v/>
      </c>
      <c r="J69" s="39" t="str">
        <f aca="false">IF(SUM($F69)=0,"",ROUND($F69*(1+SUM($I69)),0))</f>
        <v/>
      </c>
      <c r="K69" s="39" t="str">
        <f aca="false">IF(SUM($J69)=0,IF(SUM($E69)=0,"",$E69),ROUND($J69/IF(OR(SUM($H69)=0,$H69&gt;1),1,$H69),0))</f>
        <v/>
      </c>
    </row>
    <row r="70" customFormat="false" ht="15" hidden="false" customHeight="false" outlineLevel="0" collapsed="false">
      <c r="A70" s="0" t="str">
        <f aca="false">INDEX(Prioritization!$D:$D,MATCH($B70,Prioritization!$A:$A,0))</f>
        <v>1 - Scale-up: Saturation</v>
      </c>
      <c r="B70" s="0" t="s">
        <v>221</v>
      </c>
      <c r="C70" s="0" t="s">
        <v>48</v>
      </c>
      <c r="D70" s="0" t="str">
        <f aca="false">B70&amp;"|"&amp;C70</f>
        <v>Thyolo District [ul0y9diGujK]|Male</v>
      </c>
      <c r="E70" s="39"/>
      <c r="F70" s="10"/>
      <c r="G70" s="88" t="str">
        <f aca="false">IF(SUM($E70,$F70)=0,"",SUM($F70)/IF(SUM($E70)=0,SUM($F70),$E70))</f>
        <v/>
      </c>
      <c r="H70" s="88" t="str">
        <f aca="false">IF(SUM($G70)=0,"",$G70)</f>
        <v/>
      </c>
      <c r="I70" s="88" t="str">
        <f aca="false">IF(SUM($F70)=0,"",0%)</f>
        <v/>
      </c>
      <c r="J70" s="39" t="str">
        <f aca="false">IF(SUM($F70)=0,"",ROUND($F70*(1+SUM($I70)),0))</f>
        <v/>
      </c>
      <c r="K70" s="39" t="str">
        <f aca="false">IF(SUM($J70)=0,IF(SUM($E70)=0,"",$E70),ROUND($J70/IF(OR(SUM($H70)=0,$H70&gt;1),1,$H70),0))</f>
        <v/>
      </c>
    </row>
    <row r="71" customFormat="false" ht="15" hidden="false" customHeight="false" outlineLevel="0" collapsed="false">
      <c r="A71" s="0" t="str">
        <f aca="false">INDEX(Prioritization!$D:$D,MATCH($B71,Prioritization!$A:$A,0))</f>
        <v>1 - Scale-up: Saturation</v>
      </c>
      <c r="B71" s="0" t="s">
        <v>222</v>
      </c>
      <c r="C71" s="0" t="s">
        <v>30</v>
      </c>
      <c r="D71" s="0" t="str">
        <f aca="false">B71&amp;"|"&amp;C71</f>
        <v>Zomba District [fyEoGEPERdI]|Female</v>
      </c>
      <c r="E71" s="39"/>
      <c r="F71" s="10"/>
      <c r="G71" s="88" t="str">
        <f aca="false">IF(SUM($E71,$F71)=0,"",SUM($F71)/IF(SUM($E71)=0,SUM($F71),$E71))</f>
        <v/>
      </c>
      <c r="H71" s="88" t="str">
        <f aca="false">IF(SUM($G71)=0,"",$G71)</f>
        <v/>
      </c>
      <c r="I71" s="88" t="str">
        <f aca="false">IF(SUM($F71)=0,"",0%)</f>
        <v/>
      </c>
      <c r="J71" s="39" t="str">
        <f aca="false">IF(SUM($F71)=0,"",ROUND($F71*(1+SUM($I71)),0))</f>
        <v/>
      </c>
      <c r="K71" s="39" t="str">
        <f aca="false">IF(SUM($J71)=0,IF(SUM($E71)=0,"",$E71),ROUND($J71/IF(OR(SUM($H71)=0,$H71&gt;1),1,$H71),0))</f>
        <v/>
      </c>
    </row>
    <row r="72" customFormat="false" ht="15" hidden="false" customHeight="false" outlineLevel="0" collapsed="false">
      <c r="A72" s="0" t="str">
        <f aca="false">INDEX(Prioritization!$D:$D,MATCH($B72,Prioritization!$A:$A,0))</f>
        <v>1 - Scale-up: Saturation</v>
      </c>
      <c r="B72" s="0" t="s">
        <v>222</v>
      </c>
      <c r="C72" s="0" t="s">
        <v>48</v>
      </c>
      <c r="D72" s="0" t="str">
        <f aca="false">B72&amp;"|"&amp;C72</f>
        <v>Zomba District [fyEoGEPERdI]|Male</v>
      </c>
      <c r="E72" s="39"/>
      <c r="F72" s="10"/>
      <c r="G72" s="88" t="str">
        <f aca="false">IF(SUM($E72,$F72)=0,"",SUM($F72)/IF(SUM($E72)=0,SUM($F72),$E72))</f>
        <v/>
      </c>
      <c r="H72" s="88" t="str">
        <f aca="false">IF(SUM($G72)=0,"",$G72)</f>
        <v/>
      </c>
      <c r="I72" s="88" t="str">
        <f aca="false">IF(SUM($F72)=0,"",0%)</f>
        <v/>
      </c>
      <c r="J72" s="39" t="str">
        <f aca="false">IF(SUM($F72)=0,"",ROUND($F72*(1+SUM($I72)),0))</f>
        <v/>
      </c>
      <c r="K72" s="39" t="str">
        <f aca="false">IF(SUM($J72)=0,IF(SUM($E72)=0,"",$E72),ROUND($J72/IF(OR(SUM($H72)=0,$H72&gt;1),1,$H72),0))</f>
        <v/>
      </c>
    </row>
  </sheetData>
  <conditionalFormatting sqref="E1:E1048576 G1:H1048576 K1:K1048576">
    <cfRule type="expression" priority="2" aboveAverage="0" equalAverage="0" bottom="0" percent="0" rank="0" text="" dxfId="123">
      <formula>LEFT($B1,4)="_Mil"</formula>
    </cfRule>
  </conditionalFormatting>
  <conditionalFormatting sqref="H1:H1048576">
    <cfRule type="expression" priority="3" aboveAverage="0" equalAverage="0" bottom="0" percent="0" rank="0" text="" dxfId="124">
      <formula>AND(ISNUMBER(H1),H1&lt;&gt;G1)</formula>
    </cfRule>
  </conditionalFormatting>
  <conditionalFormatting sqref="E1:H1048576 J1:K1048576">
    <cfRule type="expression" priority="4" aboveAverage="0" equalAverage="0" bottom="0" percent="0" rank="0" text="" dxfId="125">
      <formula>AND(ISNUMBER(E1),E1&lt;0)</formula>
    </cfRule>
  </conditionalFormatting>
  <conditionalFormatting sqref="G1:H1048576">
    <cfRule type="expression" priority="5" aboveAverage="0" equalAverage="0" bottom="0" percent="0" rank="0" text="" dxfId="126">
      <formula>AND(ISNUMBER(G1),G1&gt;1)</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V6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14" topLeftCell="C15" activePane="bottomRight" state="frozen"/>
      <selection pane="topLeft" activeCell="A1" activeCellId="0" sqref="A1"/>
      <selection pane="topRight" activeCell="C1" activeCellId="0" sqref="C1"/>
      <selection pane="bottomLeft" activeCell="A15" activeCellId="0" sqref="A15"/>
      <selection pane="bottomRight" activeCell="A1" activeCellId="0" sqref="A1"/>
    </sheetView>
  </sheetViews>
  <sheetFormatPr defaultColWidth="10.5" defaultRowHeight="15" zeroHeight="false" outlineLevelRow="0" outlineLevelCol="0"/>
  <cols>
    <col collapsed="false" customWidth="true" hidden="false" outlineLevel="0" max="1" min="1" style="0" width="16.16"/>
    <col collapsed="false" customWidth="true" hidden="false" outlineLevel="0" max="2" min="2" style="0" width="30.84"/>
    <col collapsed="false" customWidth="true" hidden="false" outlineLevel="0" max="74" min="3" style="0" width="11.83"/>
  </cols>
  <sheetData>
    <row r="1" customFormat="false" ht="30.75" hidden="false" customHeight="true" outlineLevel="0" collapsed="false">
      <c r="A1" s="41" t="s">
        <v>1306</v>
      </c>
      <c r="B1" s="15"/>
      <c r="C1" s="42" t="s">
        <v>371</v>
      </c>
      <c r="D1" s="43"/>
      <c r="E1" s="179"/>
      <c r="F1" s="180"/>
      <c r="G1" s="43"/>
      <c r="H1" s="43"/>
      <c r="I1" s="43"/>
      <c r="J1" s="43"/>
      <c r="K1" s="42" t="s">
        <v>372</v>
      </c>
      <c r="L1" s="43"/>
      <c r="M1" s="179"/>
      <c r="N1" s="180"/>
      <c r="O1" s="43"/>
      <c r="P1" s="43"/>
      <c r="Q1" s="43"/>
      <c r="R1" s="43"/>
      <c r="S1" s="42" t="s">
        <v>242</v>
      </c>
      <c r="T1" s="179"/>
      <c r="U1" s="180"/>
      <c r="V1" s="43"/>
      <c r="W1" s="43"/>
      <c r="X1" s="43"/>
      <c r="Y1" s="43"/>
      <c r="Z1" s="42" t="s">
        <v>241</v>
      </c>
      <c r="AA1" s="179"/>
      <c r="AB1" s="180"/>
      <c r="AC1" s="43"/>
      <c r="AD1" s="43"/>
      <c r="AE1" s="43"/>
      <c r="AF1" s="43"/>
      <c r="AG1" s="42" t="s">
        <v>243</v>
      </c>
      <c r="AH1" s="179"/>
      <c r="AI1" s="180"/>
      <c r="AJ1" s="43"/>
      <c r="AK1" s="43"/>
      <c r="AL1" s="43"/>
      <c r="AM1" s="43"/>
      <c r="AN1" s="42" t="s">
        <v>244</v>
      </c>
      <c r="AO1" s="179"/>
      <c r="AP1" s="180"/>
      <c r="AQ1" s="43"/>
      <c r="AR1" s="43"/>
      <c r="AS1" s="43"/>
      <c r="AT1" s="43"/>
      <c r="AU1" s="42" t="s">
        <v>1307</v>
      </c>
      <c r="AV1" s="179"/>
      <c r="AW1" s="180"/>
      <c r="AX1" s="43"/>
      <c r="AY1" s="43"/>
      <c r="AZ1" s="43"/>
      <c r="BA1" s="43"/>
      <c r="BB1" s="42" t="s">
        <v>1308</v>
      </c>
      <c r="BC1" s="179"/>
      <c r="BD1" s="180"/>
      <c r="BE1" s="43"/>
      <c r="BF1" s="43"/>
      <c r="BG1" s="43"/>
      <c r="BH1" s="43"/>
      <c r="BI1" s="42" t="s">
        <v>375</v>
      </c>
      <c r="BJ1" s="179"/>
      <c r="BK1" s="180"/>
      <c r="BL1" s="43"/>
      <c r="BM1" s="43"/>
      <c r="BN1" s="43"/>
      <c r="BO1" s="43"/>
      <c r="BP1" s="42" t="s">
        <v>376</v>
      </c>
      <c r="BQ1" s="179"/>
      <c r="BR1" s="180"/>
      <c r="BS1" s="43"/>
      <c r="BT1" s="43"/>
      <c r="BU1" s="43"/>
      <c r="BV1" s="43"/>
    </row>
    <row r="2" customFormat="false" ht="18.75" hidden="false" customHeight="true" outlineLevel="0" collapsed="false">
      <c r="A2" s="158" t="s">
        <v>1309</v>
      </c>
      <c r="B2" s="158"/>
      <c r="C2" s="50" t="s">
        <v>1310</v>
      </c>
      <c r="D2" s="22"/>
      <c r="E2" s="181"/>
      <c r="F2" s="182" t="s">
        <v>1311</v>
      </c>
      <c r="G2" s="133"/>
      <c r="H2" s="133"/>
      <c r="I2" s="183"/>
      <c r="J2" s="133"/>
      <c r="K2" s="50" t="s">
        <v>1310</v>
      </c>
      <c r="L2" s="22"/>
      <c r="M2" s="181"/>
      <c r="N2" s="182" t="s">
        <v>1311</v>
      </c>
      <c r="O2" s="133"/>
      <c r="P2" s="133"/>
      <c r="Q2" s="183"/>
      <c r="R2" s="133"/>
      <c r="S2" s="50" t="s">
        <v>1310</v>
      </c>
      <c r="T2" s="181"/>
      <c r="U2" s="182" t="s">
        <v>1311</v>
      </c>
      <c r="V2" s="133"/>
      <c r="W2" s="133"/>
      <c r="X2" s="183"/>
      <c r="Y2" s="133"/>
      <c r="Z2" s="50" t="s">
        <v>1310</v>
      </c>
      <c r="AA2" s="181"/>
      <c r="AB2" s="182" t="s">
        <v>1311</v>
      </c>
      <c r="AC2" s="133"/>
      <c r="AD2" s="133"/>
      <c r="AE2" s="183"/>
      <c r="AF2" s="133"/>
      <c r="AG2" s="50" t="s">
        <v>1310</v>
      </c>
      <c r="AH2" s="181"/>
      <c r="AI2" s="182" t="s">
        <v>1311</v>
      </c>
      <c r="AJ2" s="133"/>
      <c r="AK2" s="133"/>
      <c r="AL2" s="183"/>
      <c r="AM2" s="133"/>
      <c r="AN2" s="50" t="s">
        <v>1310</v>
      </c>
      <c r="AO2" s="181"/>
      <c r="AP2" s="182" t="s">
        <v>1311</v>
      </c>
      <c r="AQ2" s="133"/>
      <c r="AR2" s="133"/>
      <c r="AS2" s="183"/>
      <c r="AT2" s="133"/>
      <c r="AU2" s="50" t="s">
        <v>1310</v>
      </c>
      <c r="AV2" s="181"/>
      <c r="AW2" s="182" t="s">
        <v>1311</v>
      </c>
      <c r="AX2" s="133"/>
      <c r="AY2" s="133"/>
      <c r="AZ2" s="183"/>
      <c r="BA2" s="133"/>
      <c r="BB2" s="50" t="s">
        <v>1310</v>
      </c>
      <c r="BC2" s="181"/>
      <c r="BD2" s="182" t="s">
        <v>1311</v>
      </c>
      <c r="BE2" s="133"/>
      <c r="BF2" s="133"/>
      <c r="BG2" s="183"/>
      <c r="BH2" s="133"/>
      <c r="BI2" s="50" t="s">
        <v>1310</v>
      </c>
      <c r="BJ2" s="181"/>
      <c r="BK2" s="182" t="s">
        <v>1311</v>
      </c>
      <c r="BL2" s="133"/>
      <c r="BM2" s="133"/>
      <c r="BN2" s="183"/>
      <c r="BO2" s="133"/>
      <c r="BP2" s="50" t="s">
        <v>1310</v>
      </c>
      <c r="BQ2" s="181"/>
      <c r="BR2" s="182" t="s">
        <v>1311</v>
      </c>
      <c r="BS2" s="133"/>
      <c r="BT2" s="133"/>
      <c r="BU2" s="183"/>
      <c r="BV2" s="133"/>
    </row>
    <row r="3" customFormat="false" ht="117" hidden="false" customHeight="true" outlineLevel="0" collapsed="false">
      <c r="A3" s="158"/>
      <c r="B3" s="158"/>
      <c r="C3" s="137" t="s">
        <v>1312</v>
      </c>
      <c r="D3" s="138" t="s">
        <v>1313</v>
      </c>
      <c r="E3" s="184" t="s">
        <v>1314</v>
      </c>
      <c r="F3" s="185" t="s">
        <v>470</v>
      </c>
      <c r="G3" s="167" t="s">
        <v>471</v>
      </c>
      <c r="H3" s="167" t="s">
        <v>472</v>
      </c>
      <c r="I3" s="167" t="s">
        <v>473</v>
      </c>
      <c r="J3" s="167" t="s">
        <v>474</v>
      </c>
      <c r="K3" s="137" t="s">
        <v>1312</v>
      </c>
      <c r="L3" s="138" t="s">
        <v>1313</v>
      </c>
      <c r="M3" s="184" t="s">
        <v>1314</v>
      </c>
      <c r="N3" s="185" t="s">
        <v>470</v>
      </c>
      <c r="O3" s="167" t="s">
        <v>471</v>
      </c>
      <c r="P3" s="167" t="s">
        <v>472</v>
      </c>
      <c r="Q3" s="167" t="s">
        <v>473</v>
      </c>
      <c r="R3" s="167" t="s">
        <v>474</v>
      </c>
      <c r="S3" s="137" t="s">
        <v>1312</v>
      </c>
      <c r="T3" s="184" t="s">
        <v>1314</v>
      </c>
      <c r="U3" s="185" t="s">
        <v>470</v>
      </c>
      <c r="V3" s="167" t="s">
        <v>471</v>
      </c>
      <c r="W3" s="167" t="s">
        <v>472</v>
      </c>
      <c r="X3" s="167" t="s">
        <v>473</v>
      </c>
      <c r="Y3" s="167" t="s">
        <v>474</v>
      </c>
      <c r="Z3" s="137" t="s">
        <v>1312</v>
      </c>
      <c r="AA3" s="184" t="s">
        <v>1314</v>
      </c>
      <c r="AB3" s="185" t="s">
        <v>470</v>
      </c>
      <c r="AC3" s="167" t="s">
        <v>471</v>
      </c>
      <c r="AD3" s="167" t="s">
        <v>472</v>
      </c>
      <c r="AE3" s="167" t="s">
        <v>473</v>
      </c>
      <c r="AF3" s="167" t="s">
        <v>474</v>
      </c>
      <c r="AG3" s="137" t="s">
        <v>1312</v>
      </c>
      <c r="AH3" s="184" t="s">
        <v>1314</v>
      </c>
      <c r="AI3" s="185" t="s">
        <v>470</v>
      </c>
      <c r="AJ3" s="167" t="s">
        <v>471</v>
      </c>
      <c r="AK3" s="167" t="s">
        <v>472</v>
      </c>
      <c r="AL3" s="167" t="s">
        <v>473</v>
      </c>
      <c r="AM3" s="167" t="s">
        <v>474</v>
      </c>
      <c r="AN3" s="137" t="s">
        <v>1312</v>
      </c>
      <c r="AO3" s="184" t="s">
        <v>1314</v>
      </c>
      <c r="AP3" s="185" t="s">
        <v>470</v>
      </c>
      <c r="AQ3" s="167" t="s">
        <v>471</v>
      </c>
      <c r="AR3" s="167" t="s">
        <v>472</v>
      </c>
      <c r="AS3" s="167" t="s">
        <v>473</v>
      </c>
      <c r="AT3" s="167" t="s">
        <v>474</v>
      </c>
      <c r="AU3" s="137" t="s">
        <v>1312</v>
      </c>
      <c r="AV3" s="184" t="s">
        <v>1314</v>
      </c>
      <c r="AW3" s="185" t="s">
        <v>470</v>
      </c>
      <c r="AX3" s="167" t="s">
        <v>471</v>
      </c>
      <c r="AY3" s="167" t="s">
        <v>472</v>
      </c>
      <c r="AZ3" s="167" t="s">
        <v>473</v>
      </c>
      <c r="BA3" s="167" t="s">
        <v>474</v>
      </c>
      <c r="BB3" s="137" t="s">
        <v>1312</v>
      </c>
      <c r="BC3" s="184" t="s">
        <v>1314</v>
      </c>
      <c r="BD3" s="185" t="s">
        <v>470</v>
      </c>
      <c r="BE3" s="167" t="s">
        <v>471</v>
      </c>
      <c r="BF3" s="167" t="s">
        <v>472</v>
      </c>
      <c r="BG3" s="167" t="s">
        <v>473</v>
      </c>
      <c r="BH3" s="167" t="s">
        <v>474</v>
      </c>
      <c r="BI3" s="137" t="s">
        <v>1312</v>
      </c>
      <c r="BJ3" s="184" t="s">
        <v>1314</v>
      </c>
      <c r="BK3" s="185" t="s">
        <v>470</v>
      </c>
      <c r="BL3" s="167" t="s">
        <v>471</v>
      </c>
      <c r="BM3" s="167" t="s">
        <v>472</v>
      </c>
      <c r="BN3" s="167" t="s">
        <v>473</v>
      </c>
      <c r="BO3" s="167" t="s">
        <v>474</v>
      </c>
      <c r="BP3" s="137" t="s">
        <v>1312</v>
      </c>
      <c r="BQ3" s="184" t="s">
        <v>1314</v>
      </c>
      <c r="BR3" s="185" t="s">
        <v>470</v>
      </c>
      <c r="BS3" s="167" t="s">
        <v>471</v>
      </c>
      <c r="BT3" s="167" t="s">
        <v>472</v>
      </c>
      <c r="BU3" s="167" t="s">
        <v>473</v>
      </c>
      <c r="BV3" s="167" t="s">
        <v>474</v>
      </c>
    </row>
    <row r="4" customFormat="false" ht="15" hidden="false" customHeight="false" outlineLevel="0" collapsed="false">
      <c r="A4" s="75"/>
      <c r="B4" s="120" t="s">
        <v>288</v>
      </c>
      <c r="C4" s="76" t="n">
        <f aca="false">SUBTOTAL(109,C$15:INDEX(C:C,COUNTA($B:$B)+14-COUNTA($B$1:$B$14)))</f>
        <v>0</v>
      </c>
      <c r="D4" s="75" t="n">
        <f aca="false">SUBTOTAL(109,D$15:INDEX(D:D,COUNTA($B:$B)+14-COUNTA($B$1:$B$14)))</f>
        <v>0</v>
      </c>
      <c r="E4" s="186" t="n">
        <f aca="false">SUBTOTAL(109,E$15:INDEX(E:E,COUNTA($B:$B)+14-COUNTA($B$1:$B$14)))</f>
        <v>0</v>
      </c>
      <c r="F4" s="187" t="n">
        <f aca="false">SUBTOTAL(109,F$15:INDEX(F:F,COUNTA($B:$B)+14-COUNTA($B$1:$B$14)))</f>
        <v>0</v>
      </c>
      <c r="G4" s="82" t="n">
        <f aca="false">SUBTOTAL(109,G$15:INDEX(G:G,COUNTA($B:$B)+14-COUNTA($B$1:$B$14)))</f>
        <v>0</v>
      </c>
      <c r="H4" s="82" t="n">
        <f aca="false">SUBTOTAL(109,H$15:INDEX(H:H,COUNTA($B:$B)+14-COUNTA($B$1:$B$14)))</f>
        <v>0</v>
      </c>
      <c r="I4" s="82" t="n">
        <f aca="false">SUBTOTAL(109,I$15:INDEX(I:I,COUNTA($B:$B)+14-COUNTA($B$1:$B$14)))</f>
        <v>0</v>
      </c>
      <c r="J4" s="82" t="n">
        <f aca="false">SUBTOTAL(109,J$15:INDEX(J:J,COUNTA($B:$B)+14-COUNTA($B$1:$B$14)))</f>
        <v>0</v>
      </c>
      <c r="K4" s="76" t="n">
        <f aca="false">SUBTOTAL(109,K$15:INDEX(K:K,COUNTA($B:$B)+14-COUNTA($B$1:$B$14)))</f>
        <v>0</v>
      </c>
      <c r="L4" s="75" t="n">
        <f aca="false">SUBTOTAL(109,L$15:INDEX(L:L,COUNTA($B:$B)+14-COUNTA($B$1:$B$14)))</f>
        <v>0</v>
      </c>
      <c r="M4" s="186" t="n">
        <f aca="false">SUBTOTAL(109,M$15:INDEX(M:M,COUNTA($B:$B)+14-COUNTA($B$1:$B$14)))</f>
        <v>0</v>
      </c>
      <c r="N4" s="187" t="n">
        <f aca="false">SUBTOTAL(109,N$15:INDEX(N:N,COUNTA($B:$B)+14-COUNTA($B$1:$B$14)))</f>
        <v>0</v>
      </c>
      <c r="O4" s="82" t="n">
        <f aca="false">SUBTOTAL(109,O$15:INDEX(O:O,COUNTA($B:$B)+14-COUNTA($B$1:$B$14)))</f>
        <v>0</v>
      </c>
      <c r="P4" s="82" t="n">
        <f aca="false">SUBTOTAL(109,P$15:INDEX(P:P,COUNTA($B:$B)+14-COUNTA($B$1:$B$14)))</f>
        <v>0</v>
      </c>
      <c r="Q4" s="82" t="n">
        <f aca="false">SUBTOTAL(109,Q$15:INDEX(Q:Q,COUNTA($B:$B)+14-COUNTA($B$1:$B$14)))</f>
        <v>0</v>
      </c>
      <c r="R4" s="82" t="n">
        <f aca="false">SUBTOTAL(109,R$15:INDEX(R:R,COUNTA($B:$B)+14-COUNTA($B$1:$B$14)))</f>
        <v>0</v>
      </c>
      <c r="S4" s="76" t="n">
        <f aca="false">SUBTOTAL(109,S$15:INDEX(S:S,COUNTA($B:$B)+14-COUNTA($B$1:$B$14)))</f>
        <v>0</v>
      </c>
      <c r="T4" s="186" t="n">
        <f aca="false">SUBTOTAL(109,T$15:INDEX(T:T,COUNTA($B:$B)+14-COUNTA($B$1:$B$14)))</f>
        <v>0</v>
      </c>
      <c r="U4" s="187" t="n">
        <f aca="false">SUBTOTAL(109,U$15:INDEX(U:U,COUNTA($B:$B)+14-COUNTA($B$1:$B$14)))</f>
        <v>0</v>
      </c>
      <c r="V4" s="82" t="n">
        <f aca="false">SUBTOTAL(109,V$15:INDEX(V:V,COUNTA($B:$B)+14-COUNTA($B$1:$B$14)))</f>
        <v>0</v>
      </c>
      <c r="W4" s="82" t="n">
        <f aca="false">SUBTOTAL(109,W$15:INDEX(W:W,COUNTA($B:$B)+14-COUNTA($B$1:$B$14)))</f>
        <v>0</v>
      </c>
      <c r="X4" s="82" t="n">
        <f aca="false">SUBTOTAL(109,X$15:INDEX(X:X,COUNTA($B:$B)+14-COUNTA($B$1:$B$14)))</f>
        <v>0</v>
      </c>
      <c r="Y4" s="82" t="n">
        <f aca="false">SUBTOTAL(109,Y$15:INDEX(Y:Y,COUNTA($B:$B)+14-COUNTA($B$1:$B$14)))</f>
        <v>0</v>
      </c>
      <c r="Z4" s="76" t="n">
        <f aca="false">SUBTOTAL(109,Z$15:INDEX(Z:Z,COUNTA($B:$B)+14-COUNTA($B$1:$B$14)))</f>
        <v>0</v>
      </c>
      <c r="AA4" s="186" t="n">
        <f aca="false">SUBTOTAL(109,AA$15:INDEX(AA:AA,COUNTA($B:$B)+14-COUNTA($B$1:$B$14)))</f>
        <v>0</v>
      </c>
      <c r="AB4" s="187" t="n">
        <f aca="false">SUBTOTAL(109,AB$15:INDEX(AB:AB,COUNTA($B:$B)+14-COUNTA($B$1:$B$14)))</f>
        <v>0</v>
      </c>
      <c r="AC4" s="82" t="n">
        <f aca="false">SUBTOTAL(109,AC$15:INDEX(AC:AC,COUNTA($B:$B)+14-COUNTA($B$1:$B$14)))</f>
        <v>0</v>
      </c>
      <c r="AD4" s="82" t="n">
        <f aca="false">SUBTOTAL(109,AD$15:INDEX(AD:AD,COUNTA($B:$B)+14-COUNTA($B$1:$B$14)))</f>
        <v>0</v>
      </c>
      <c r="AE4" s="82" t="n">
        <f aca="false">SUBTOTAL(109,AE$15:INDEX(AE:AE,COUNTA($B:$B)+14-COUNTA($B$1:$B$14)))</f>
        <v>0</v>
      </c>
      <c r="AF4" s="82" t="n">
        <f aca="false">SUBTOTAL(109,AF$15:INDEX(AF:AF,COUNTA($B:$B)+14-COUNTA($B$1:$B$14)))</f>
        <v>0</v>
      </c>
      <c r="AG4" s="76" t="n">
        <f aca="false">SUBTOTAL(109,AG$15:INDEX(AG:AG,COUNTA($B:$B)+14-COUNTA($B$1:$B$14)))</f>
        <v>0</v>
      </c>
      <c r="AH4" s="186" t="n">
        <f aca="false">SUBTOTAL(109,AH$15:INDEX(AH:AH,COUNTA($B:$B)+14-COUNTA($B$1:$B$14)))</f>
        <v>0</v>
      </c>
      <c r="AI4" s="187" t="n">
        <f aca="false">SUBTOTAL(109,AI$15:INDEX(AI:AI,COUNTA($B:$B)+14-COUNTA($B$1:$B$14)))</f>
        <v>0</v>
      </c>
      <c r="AJ4" s="82" t="n">
        <f aca="false">SUBTOTAL(109,AJ$15:INDEX(AJ:AJ,COUNTA($B:$B)+14-COUNTA($B$1:$B$14)))</f>
        <v>0</v>
      </c>
      <c r="AK4" s="82" t="n">
        <f aca="false">SUBTOTAL(109,AK$15:INDEX(AK:AK,COUNTA($B:$B)+14-COUNTA($B$1:$B$14)))</f>
        <v>0</v>
      </c>
      <c r="AL4" s="82" t="n">
        <f aca="false">SUBTOTAL(109,AL$15:INDEX(AL:AL,COUNTA($B:$B)+14-COUNTA($B$1:$B$14)))</f>
        <v>0</v>
      </c>
      <c r="AM4" s="82" t="n">
        <f aca="false">SUBTOTAL(109,AM$15:INDEX(AM:AM,COUNTA($B:$B)+14-COUNTA($B$1:$B$14)))</f>
        <v>0</v>
      </c>
      <c r="AN4" s="76" t="n">
        <f aca="false">SUBTOTAL(109,AN$15:INDEX(AN:AN,COUNTA($B:$B)+14-COUNTA($B$1:$B$14)))</f>
        <v>0</v>
      </c>
      <c r="AO4" s="186" t="n">
        <f aca="false">SUBTOTAL(109,AO$15:INDEX(AO:AO,COUNTA($B:$B)+14-COUNTA($B$1:$B$14)))</f>
        <v>0</v>
      </c>
      <c r="AP4" s="187" t="n">
        <f aca="false">SUBTOTAL(109,AP$15:INDEX(AP:AP,COUNTA($B:$B)+14-COUNTA($B$1:$B$14)))</f>
        <v>0</v>
      </c>
      <c r="AQ4" s="82" t="n">
        <f aca="false">SUBTOTAL(109,AQ$15:INDEX(AQ:AQ,COUNTA($B:$B)+14-COUNTA($B$1:$B$14)))</f>
        <v>0</v>
      </c>
      <c r="AR4" s="82" t="n">
        <f aca="false">SUBTOTAL(109,AR$15:INDEX(AR:AR,COUNTA($B:$B)+14-COUNTA($B$1:$B$14)))</f>
        <v>0</v>
      </c>
      <c r="AS4" s="82" t="n">
        <f aca="false">SUBTOTAL(109,AS$15:INDEX(AS:AS,COUNTA($B:$B)+14-COUNTA($B$1:$B$14)))</f>
        <v>0</v>
      </c>
      <c r="AT4" s="82" t="n">
        <f aca="false">SUBTOTAL(109,AT$15:INDEX(AT:AT,COUNTA($B:$B)+14-COUNTA($B$1:$B$14)))</f>
        <v>0</v>
      </c>
      <c r="AU4" s="76" t="n">
        <f aca="false">SUBTOTAL(109,AU$15:INDEX(AU:AU,COUNTA($B:$B)+14-COUNTA($B$1:$B$14)))</f>
        <v>0</v>
      </c>
      <c r="AV4" s="186" t="n">
        <f aca="false">SUBTOTAL(109,AV$15:INDEX(AV:AV,COUNTA($B:$B)+14-COUNTA($B$1:$B$14)))</f>
        <v>0</v>
      </c>
      <c r="AW4" s="187" t="n">
        <f aca="false">SUBTOTAL(109,AW$15:INDEX(AW:AW,COUNTA($B:$B)+14-COUNTA($B$1:$B$14)))</f>
        <v>0</v>
      </c>
      <c r="AX4" s="82" t="n">
        <f aca="false">SUBTOTAL(109,AX$15:INDEX(AX:AX,COUNTA($B:$B)+14-COUNTA($B$1:$B$14)))</f>
        <v>0</v>
      </c>
      <c r="AY4" s="82" t="n">
        <f aca="false">SUBTOTAL(109,AY$15:INDEX(AY:AY,COUNTA($B:$B)+14-COUNTA($B$1:$B$14)))</f>
        <v>0</v>
      </c>
      <c r="AZ4" s="82" t="n">
        <f aca="false">SUBTOTAL(109,AZ$15:INDEX(AZ:AZ,COUNTA($B:$B)+14-COUNTA($B$1:$B$14)))</f>
        <v>0</v>
      </c>
      <c r="BA4" s="82" t="n">
        <f aca="false">SUBTOTAL(109,BA$15:INDEX(BA:BA,COUNTA($B:$B)+14-COUNTA($B$1:$B$14)))</f>
        <v>0</v>
      </c>
      <c r="BB4" s="76" t="n">
        <f aca="false">SUBTOTAL(109,BB$15:INDEX(BB:BB,COUNTA($B:$B)+14-COUNTA($B$1:$B$14)))</f>
        <v>0</v>
      </c>
      <c r="BC4" s="186" t="n">
        <f aca="false">SUBTOTAL(109,BC$15:INDEX(BC:BC,COUNTA($B:$B)+14-COUNTA($B$1:$B$14)))</f>
        <v>0</v>
      </c>
      <c r="BD4" s="187" t="n">
        <f aca="false">SUBTOTAL(109,BD$15:INDEX(BD:BD,COUNTA($B:$B)+14-COUNTA($B$1:$B$14)))</f>
        <v>0</v>
      </c>
      <c r="BE4" s="82" t="n">
        <f aca="false">SUBTOTAL(109,BE$15:INDEX(BE:BE,COUNTA($B:$B)+14-COUNTA($B$1:$B$14)))</f>
        <v>0</v>
      </c>
      <c r="BF4" s="82" t="n">
        <f aca="false">SUBTOTAL(109,BF$15:INDEX(BF:BF,COUNTA($B:$B)+14-COUNTA($B$1:$B$14)))</f>
        <v>0</v>
      </c>
      <c r="BG4" s="82" t="n">
        <f aca="false">SUBTOTAL(109,BG$15:INDEX(BG:BG,COUNTA($B:$B)+14-COUNTA($B$1:$B$14)))</f>
        <v>0</v>
      </c>
      <c r="BH4" s="82" t="n">
        <f aca="false">SUBTOTAL(109,BH$15:INDEX(BH:BH,COUNTA($B:$B)+14-COUNTA($B$1:$B$14)))</f>
        <v>0</v>
      </c>
      <c r="BI4" s="76" t="n">
        <f aca="false">SUBTOTAL(109,BI$15:INDEX(BI:BI,COUNTA($B:$B)+14-COUNTA($B$1:$B$14)))</f>
        <v>0</v>
      </c>
      <c r="BJ4" s="186" t="n">
        <f aca="false">SUBTOTAL(109,BJ$15:INDEX(BJ:BJ,COUNTA($B:$B)+14-COUNTA($B$1:$B$14)))</f>
        <v>0</v>
      </c>
      <c r="BK4" s="187" t="n">
        <f aca="false">SUBTOTAL(109,BK$15:INDEX(BK:BK,COUNTA($B:$B)+14-COUNTA($B$1:$B$14)))</f>
        <v>0</v>
      </c>
      <c r="BL4" s="82" t="n">
        <f aca="false">SUBTOTAL(109,BL$15:INDEX(BL:BL,COUNTA($B:$B)+14-COUNTA($B$1:$B$14)))</f>
        <v>0</v>
      </c>
      <c r="BM4" s="82" t="n">
        <f aca="false">SUBTOTAL(109,BM$15:INDEX(BM:BM,COUNTA($B:$B)+14-COUNTA($B$1:$B$14)))</f>
        <v>0</v>
      </c>
      <c r="BN4" s="82" t="n">
        <f aca="false">SUBTOTAL(109,BN$15:INDEX(BN:BN,COUNTA($B:$B)+14-COUNTA($B$1:$B$14)))</f>
        <v>0</v>
      </c>
      <c r="BO4" s="82" t="n">
        <f aca="false">SUBTOTAL(109,BO$15:INDEX(BO:BO,COUNTA($B:$B)+14-COUNTA($B$1:$B$14)))</f>
        <v>0</v>
      </c>
      <c r="BP4" s="76" t="n">
        <f aca="false">SUBTOTAL(109,BP$15:INDEX(BP:BP,COUNTA($B:$B)+14-COUNTA($B$1:$B$14)))</f>
        <v>0</v>
      </c>
      <c r="BQ4" s="186" t="n">
        <f aca="false">SUBTOTAL(109,BQ$15:INDEX(BQ:BQ,COUNTA($B:$B)+14-COUNTA($B$1:$B$14)))</f>
        <v>0</v>
      </c>
      <c r="BR4" s="187" t="n">
        <f aca="false">SUBTOTAL(109,BR$15:INDEX(BR:BR,COUNTA($B:$B)+14-COUNTA($B$1:$B$14)))</f>
        <v>0</v>
      </c>
      <c r="BS4" s="82" t="n">
        <f aca="false">SUBTOTAL(109,BS$15:INDEX(BS:BS,COUNTA($B:$B)+14-COUNTA($B$1:$B$14)))</f>
        <v>0</v>
      </c>
      <c r="BT4" s="82" t="n">
        <f aca="false">SUBTOTAL(109,BT$15:INDEX(BT:BT,COUNTA($B:$B)+14-COUNTA($B$1:$B$14)))</f>
        <v>0</v>
      </c>
      <c r="BU4" s="82" t="n">
        <f aca="false">SUBTOTAL(109,BU$15:INDEX(BU:BU,COUNTA($B:$B)+14-COUNTA($B$1:$B$14)))</f>
        <v>0</v>
      </c>
      <c r="BV4" s="82" t="n">
        <f aca="false">SUBTOTAL(109,BV$15:INDEX(BV:BV,COUNTA($B:$B)+14-COUNTA($B$1:$B$14)))</f>
        <v>0</v>
      </c>
    </row>
    <row r="5" customFormat="false" ht="12.8" hidden="false" customHeight="false" outlineLevel="0" collapsed="false">
      <c r="A5" s="91" t="s">
        <v>181</v>
      </c>
      <c r="B5" s="40" t="s">
        <v>181</v>
      </c>
      <c r="C5" s="112" t="s">
        <v>181</v>
      </c>
      <c r="D5" s="91" t="s">
        <v>181</v>
      </c>
      <c r="E5" s="188" t="s">
        <v>181</v>
      </c>
      <c r="F5" s="189" t="s">
        <v>181</v>
      </c>
      <c r="G5" s="5" t="s">
        <v>181</v>
      </c>
      <c r="H5" s="5" t="s">
        <v>181</v>
      </c>
      <c r="I5" s="5" t="s">
        <v>181</v>
      </c>
      <c r="J5" s="5" t="s">
        <v>181</v>
      </c>
      <c r="K5" s="112" t="s">
        <v>181</v>
      </c>
      <c r="L5" s="91" t="s">
        <v>181</v>
      </c>
      <c r="M5" s="188" t="s">
        <v>181</v>
      </c>
      <c r="N5" s="189" t="s">
        <v>181</v>
      </c>
      <c r="O5" s="5" t="s">
        <v>181</v>
      </c>
      <c r="P5" s="5" t="s">
        <v>181</v>
      </c>
      <c r="Q5" s="5" t="s">
        <v>181</v>
      </c>
      <c r="R5" s="5" t="s">
        <v>181</v>
      </c>
      <c r="S5" s="112" t="s">
        <v>181</v>
      </c>
      <c r="T5" s="188" t="s">
        <v>181</v>
      </c>
      <c r="U5" s="189" t="s">
        <v>181</v>
      </c>
      <c r="V5" s="5" t="s">
        <v>181</v>
      </c>
      <c r="W5" s="5" t="s">
        <v>181</v>
      </c>
      <c r="X5" s="5" t="s">
        <v>181</v>
      </c>
      <c r="Y5" s="5" t="s">
        <v>181</v>
      </c>
      <c r="Z5" s="112" t="s">
        <v>181</v>
      </c>
      <c r="AA5" s="188" t="s">
        <v>181</v>
      </c>
      <c r="AB5" s="189" t="s">
        <v>181</v>
      </c>
      <c r="AC5" s="5" t="s">
        <v>181</v>
      </c>
      <c r="AD5" s="5" t="s">
        <v>181</v>
      </c>
      <c r="AE5" s="5" t="s">
        <v>181</v>
      </c>
      <c r="AF5" s="5" t="s">
        <v>181</v>
      </c>
      <c r="AG5" s="112" t="s">
        <v>181</v>
      </c>
      <c r="AH5" s="188" t="s">
        <v>181</v>
      </c>
      <c r="AI5" s="189" t="s">
        <v>181</v>
      </c>
      <c r="AJ5" s="5" t="s">
        <v>181</v>
      </c>
      <c r="AK5" s="5" t="s">
        <v>181</v>
      </c>
      <c r="AL5" s="5" t="s">
        <v>181</v>
      </c>
      <c r="AM5" s="5" t="s">
        <v>181</v>
      </c>
      <c r="AN5" s="112" t="s">
        <v>181</v>
      </c>
      <c r="AO5" s="188" t="s">
        <v>181</v>
      </c>
      <c r="AP5" s="189" t="s">
        <v>181</v>
      </c>
      <c r="AQ5" s="5" t="s">
        <v>181</v>
      </c>
      <c r="AR5" s="5" t="s">
        <v>181</v>
      </c>
      <c r="AS5" s="5" t="s">
        <v>181</v>
      </c>
      <c r="AT5" s="5" t="s">
        <v>181</v>
      </c>
      <c r="AU5" s="112" t="s">
        <v>181</v>
      </c>
      <c r="AV5" s="188" t="s">
        <v>181</v>
      </c>
      <c r="AW5" s="189" t="s">
        <v>181</v>
      </c>
      <c r="AX5" s="5" t="s">
        <v>181</v>
      </c>
      <c r="AY5" s="5" t="s">
        <v>181</v>
      </c>
      <c r="AZ5" s="5" t="s">
        <v>181</v>
      </c>
      <c r="BA5" s="5" t="s">
        <v>181</v>
      </c>
      <c r="BB5" s="112" t="s">
        <v>181</v>
      </c>
      <c r="BC5" s="188" t="s">
        <v>181</v>
      </c>
      <c r="BD5" s="189" t="s">
        <v>181</v>
      </c>
      <c r="BE5" s="5" t="s">
        <v>181</v>
      </c>
      <c r="BF5" s="5" t="s">
        <v>181</v>
      </c>
      <c r="BG5" s="5" t="s">
        <v>181</v>
      </c>
      <c r="BH5" s="5" t="s">
        <v>181</v>
      </c>
      <c r="BI5" s="112" t="s">
        <v>181</v>
      </c>
      <c r="BJ5" s="188" t="s">
        <v>181</v>
      </c>
      <c r="BK5" s="189" t="s">
        <v>181</v>
      </c>
      <c r="BL5" s="5" t="s">
        <v>181</v>
      </c>
      <c r="BM5" s="5" t="s">
        <v>181</v>
      </c>
      <c r="BN5" s="5" t="s">
        <v>181</v>
      </c>
      <c r="BO5" s="5" t="s">
        <v>181</v>
      </c>
      <c r="BP5" s="112" t="s">
        <v>181</v>
      </c>
      <c r="BQ5" s="188" t="s">
        <v>181</v>
      </c>
      <c r="BR5" s="189" t="s">
        <v>181</v>
      </c>
      <c r="BS5" s="5" t="s">
        <v>181</v>
      </c>
      <c r="BT5" s="5" t="s">
        <v>181</v>
      </c>
      <c r="BU5" s="5" t="s">
        <v>181</v>
      </c>
      <c r="BV5" s="5" t="s">
        <v>181</v>
      </c>
    </row>
    <row r="6" customFormat="false" ht="12.8" hidden="false" customHeight="false" outlineLevel="0" collapsed="false">
      <c r="A6" s="91" t="s">
        <v>183</v>
      </c>
      <c r="B6" s="40" t="s">
        <v>183</v>
      </c>
      <c r="C6" s="112" t="s">
        <v>186</v>
      </c>
      <c r="D6" s="91" t="s">
        <v>186</v>
      </c>
      <c r="E6" s="188" t="s">
        <v>186</v>
      </c>
      <c r="F6" s="189" t="s">
        <v>186</v>
      </c>
      <c r="G6" s="5" t="s">
        <v>186</v>
      </c>
      <c r="H6" s="5" t="s">
        <v>186</v>
      </c>
      <c r="I6" s="5" t="s">
        <v>186</v>
      </c>
      <c r="J6" s="5" t="s">
        <v>186</v>
      </c>
      <c r="K6" s="112" t="s">
        <v>186</v>
      </c>
      <c r="L6" s="91" t="s">
        <v>186</v>
      </c>
      <c r="M6" s="188" t="s">
        <v>186</v>
      </c>
      <c r="N6" s="189" t="s">
        <v>186</v>
      </c>
      <c r="O6" s="5" t="s">
        <v>186</v>
      </c>
      <c r="P6" s="5" t="s">
        <v>186</v>
      </c>
      <c r="Q6" s="5" t="s">
        <v>186</v>
      </c>
      <c r="R6" s="5" t="s">
        <v>186</v>
      </c>
      <c r="S6" s="112" t="s">
        <v>186</v>
      </c>
      <c r="T6" s="188" t="s">
        <v>186</v>
      </c>
      <c r="U6" s="189" t="s">
        <v>186</v>
      </c>
      <c r="V6" s="5" t="s">
        <v>186</v>
      </c>
      <c r="W6" s="5" t="s">
        <v>186</v>
      </c>
      <c r="X6" s="5" t="s">
        <v>186</v>
      </c>
      <c r="Y6" s="5" t="s">
        <v>186</v>
      </c>
      <c r="Z6" s="112" t="s">
        <v>186</v>
      </c>
      <c r="AA6" s="188" t="s">
        <v>186</v>
      </c>
      <c r="AB6" s="189" t="s">
        <v>186</v>
      </c>
      <c r="AC6" s="5" t="s">
        <v>186</v>
      </c>
      <c r="AD6" s="5" t="s">
        <v>186</v>
      </c>
      <c r="AE6" s="5" t="s">
        <v>186</v>
      </c>
      <c r="AF6" s="5" t="s">
        <v>186</v>
      </c>
      <c r="AG6" s="112" t="s">
        <v>186</v>
      </c>
      <c r="AH6" s="188" t="s">
        <v>186</v>
      </c>
      <c r="AI6" s="189" t="s">
        <v>186</v>
      </c>
      <c r="AJ6" s="5" t="s">
        <v>186</v>
      </c>
      <c r="AK6" s="5" t="s">
        <v>186</v>
      </c>
      <c r="AL6" s="5" t="s">
        <v>186</v>
      </c>
      <c r="AM6" s="5" t="s">
        <v>186</v>
      </c>
      <c r="AN6" s="112" t="s">
        <v>186</v>
      </c>
      <c r="AO6" s="188" t="s">
        <v>186</v>
      </c>
      <c r="AP6" s="189" t="s">
        <v>186</v>
      </c>
      <c r="AQ6" s="5" t="s">
        <v>186</v>
      </c>
      <c r="AR6" s="5" t="s">
        <v>186</v>
      </c>
      <c r="AS6" s="5" t="s">
        <v>186</v>
      </c>
      <c r="AT6" s="5" t="s">
        <v>186</v>
      </c>
      <c r="AU6" s="112" t="s">
        <v>186</v>
      </c>
      <c r="AV6" s="188" t="s">
        <v>186</v>
      </c>
      <c r="AW6" s="189" t="s">
        <v>186</v>
      </c>
      <c r="AX6" s="5" t="s">
        <v>186</v>
      </c>
      <c r="AY6" s="5" t="s">
        <v>186</v>
      </c>
      <c r="AZ6" s="5" t="s">
        <v>186</v>
      </c>
      <c r="BA6" s="5" t="s">
        <v>186</v>
      </c>
      <c r="BB6" s="112" t="s">
        <v>186</v>
      </c>
      <c r="BC6" s="188" t="s">
        <v>186</v>
      </c>
      <c r="BD6" s="189" t="s">
        <v>186</v>
      </c>
      <c r="BE6" s="5" t="s">
        <v>186</v>
      </c>
      <c r="BF6" s="5" t="s">
        <v>186</v>
      </c>
      <c r="BG6" s="5" t="s">
        <v>186</v>
      </c>
      <c r="BH6" s="5" t="s">
        <v>186</v>
      </c>
      <c r="BI6" s="112" t="s">
        <v>186</v>
      </c>
      <c r="BJ6" s="188" t="s">
        <v>186</v>
      </c>
      <c r="BK6" s="189" t="s">
        <v>186</v>
      </c>
      <c r="BL6" s="5" t="s">
        <v>186</v>
      </c>
      <c r="BM6" s="5" t="s">
        <v>186</v>
      </c>
      <c r="BN6" s="5" t="s">
        <v>186</v>
      </c>
      <c r="BO6" s="5" t="s">
        <v>186</v>
      </c>
      <c r="BP6" s="112" t="s">
        <v>186</v>
      </c>
      <c r="BQ6" s="188" t="s">
        <v>186</v>
      </c>
      <c r="BR6" s="189" t="s">
        <v>186</v>
      </c>
      <c r="BS6" s="5" t="s">
        <v>186</v>
      </c>
      <c r="BT6" s="5" t="s">
        <v>186</v>
      </c>
      <c r="BU6" s="5" t="s">
        <v>186</v>
      </c>
      <c r="BV6" s="5" t="s">
        <v>186</v>
      </c>
    </row>
    <row r="7" customFormat="false" ht="12.8" hidden="false" customHeight="false" outlineLevel="0" collapsed="false">
      <c r="A7" s="91" t="s">
        <v>187</v>
      </c>
      <c r="B7" s="40" t="s">
        <v>187</v>
      </c>
      <c r="C7" s="112" t="s">
        <v>188</v>
      </c>
      <c r="D7" s="91" t="s">
        <v>188</v>
      </c>
      <c r="E7" s="188" t="s">
        <v>188</v>
      </c>
      <c r="F7" s="189" t="s">
        <v>188</v>
      </c>
      <c r="G7" s="5" t="s">
        <v>188</v>
      </c>
      <c r="H7" s="5" t="s">
        <v>188</v>
      </c>
      <c r="I7" s="5" t="s">
        <v>188</v>
      </c>
      <c r="J7" s="5" t="s">
        <v>188</v>
      </c>
      <c r="K7" s="112" t="s">
        <v>188</v>
      </c>
      <c r="L7" s="91" t="s">
        <v>188</v>
      </c>
      <c r="M7" s="188" t="s">
        <v>188</v>
      </c>
      <c r="N7" s="189" t="s">
        <v>188</v>
      </c>
      <c r="O7" s="5" t="s">
        <v>188</v>
      </c>
      <c r="P7" s="5" t="s">
        <v>188</v>
      </c>
      <c r="Q7" s="5" t="s">
        <v>188</v>
      </c>
      <c r="R7" s="5" t="s">
        <v>188</v>
      </c>
      <c r="S7" s="112" t="s">
        <v>188</v>
      </c>
      <c r="T7" s="188" t="s">
        <v>188</v>
      </c>
      <c r="U7" s="189" t="s">
        <v>188</v>
      </c>
      <c r="V7" s="5" t="s">
        <v>188</v>
      </c>
      <c r="W7" s="5" t="s">
        <v>188</v>
      </c>
      <c r="X7" s="5" t="s">
        <v>188</v>
      </c>
      <c r="Y7" s="5" t="s">
        <v>188</v>
      </c>
      <c r="Z7" s="112" t="s">
        <v>188</v>
      </c>
      <c r="AA7" s="188" t="s">
        <v>188</v>
      </c>
      <c r="AB7" s="189" t="s">
        <v>188</v>
      </c>
      <c r="AC7" s="5" t="s">
        <v>188</v>
      </c>
      <c r="AD7" s="5" t="s">
        <v>188</v>
      </c>
      <c r="AE7" s="5" t="s">
        <v>188</v>
      </c>
      <c r="AF7" s="5" t="s">
        <v>188</v>
      </c>
      <c r="AG7" s="112" t="s">
        <v>188</v>
      </c>
      <c r="AH7" s="188" t="s">
        <v>188</v>
      </c>
      <c r="AI7" s="189" t="s">
        <v>188</v>
      </c>
      <c r="AJ7" s="5" t="s">
        <v>188</v>
      </c>
      <c r="AK7" s="5" t="s">
        <v>188</v>
      </c>
      <c r="AL7" s="5" t="s">
        <v>188</v>
      </c>
      <c r="AM7" s="5" t="s">
        <v>188</v>
      </c>
      <c r="AN7" s="112" t="s">
        <v>188</v>
      </c>
      <c r="AO7" s="188" t="s">
        <v>188</v>
      </c>
      <c r="AP7" s="189" t="s">
        <v>188</v>
      </c>
      <c r="AQ7" s="5" t="s">
        <v>188</v>
      </c>
      <c r="AR7" s="5" t="s">
        <v>188</v>
      </c>
      <c r="AS7" s="5" t="s">
        <v>188</v>
      </c>
      <c r="AT7" s="5" t="s">
        <v>188</v>
      </c>
      <c r="AU7" s="112" t="s">
        <v>188</v>
      </c>
      <c r="AV7" s="188" t="s">
        <v>188</v>
      </c>
      <c r="AW7" s="189" t="s">
        <v>188</v>
      </c>
      <c r="AX7" s="5" t="s">
        <v>188</v>
      </c>
      <c r="AY7" s="5" t="s">
        <v>188</v>
      </c>
      <c r="AZ7" s="5" t="s">
        <v>188</v>
      </c>
      <c r="BA7" s="5" t="s">
        <v>188</v>
      </c>
      <c r="BB7" s="112" t="s">
        <v>188</v>
      </c>
      <c r="BC7" s="188" t="s">
        <v>188</v>
      </c>
      <c r="BD7" s="189" t="s">
        <v>188</v>
      </c>
      <c r="BE7" s="5" t="s">
        <v>188</v>
      </c>
      <c r="BF7" s="5" t="s">
        <v>188</v>
      </c>
      <c r="BG7" s="5" t="s">
        <v>188</v>
      </c>
      <c r="BH7" s="5" t="s">
        <v>188</v>
      </c>
      <c r="BI7" s="112" t="s">
        <v>188</v>
      </c>
      <c r="BJ7" s="188" t="s">
        <v>188</v>
      </c>
      <c r="BK7" s="189" t="s">
        <v>188</v>
      </c>
      <c r="BL7" s="5" t="s">
        <v>188</v>
      </c>
      <c r="BM7" s="5" t="s">
        <v>188</v>
      </c>
      <c r="BN7" s="5" t="s">
        <v>188</v>
      </c>
      <c r="BO7" s="5" t="s">
        <v>188</v>
      </c>
      <c r="BP7" s="112" t="s">
        <v>188</v>
      </c>
      <c r="BQ7" s="188" t="s">
        <v>188</v>
      </c>
      <c r="BR7" s="189" t="s">
        <v>188</v>
      </c>
      <c r="BS7" s="5" t="s">
        <v>188</v>
      </c>
      <c r="BT7" s="5" t="s">
        <v>188</v>
      </c>
      <c r="BU7" s="5" t="s">
        <v>188</v>
      </c>
      <c r="BV7" s="5" t="s">
        <v>188</v>
      </c>
    </row>
    <row r="8" customFormat="false" ht="12.8" hidden="false" customHeight="false" outlineLevel="0" collapsed="false">
      <c r="C8" s="112"/>
      <c r="D8" s="91"/>
      <c r="E8" s="188"/>
      <c r="K8" s="112"/>
      <c r="L8" s="91"/>
      <c r="M8" s="188"/>
      <c r="S8" s="112"/>
      <c r="T8" s="188"/>
      <c r="Z8" s="112"/>
      <c r="AA8" s="188"/>
      <c r="AG8" s="112"/>
      <c r="AH8" s="188"/>
      <c r="AN8" s="112"/>
      <c r="AO8" s="188"/>
      <c r="AU8" s="112"/>
      <c r="AV8" s="188"/>
      <c r="BB8" s="112"/>
      <c r="BC8" s="188"/>
      <c r="BI8" s="112"/>
      <c r="BJ8" s="188"/>
      <c r="BP8" s="112"/>
      <c r="BQ8" s="188"/>
    </row>
    <row r="9" customFormat="false" ht="12.8" hidden="false" customHeight="false" outlineLevel="0" collapsed="false">
      <c r="C9" s="112"/>
      <c r="D9" s="91"/>
      <c r="E9" s="188"/>
      <c r="K9" s="112"/>
      <c r="L9" s="91"/>
      <c r="M9" s="188"/>
      <c r="S9" s="112"/>
      <c r="T9" s="188"/>
      <c r="Z9" s="112"/>
      <c r="AA9" s="188"/>
      <c r="AG9" s="112"/>
      <c r="AH9" s="188"/>
      <c r="AN9" s="112"/>
      <c r="AO9" s="188"/>
      <c r="AU9" s="112"/>
      <c r="AV9" s="188"/>
      <c r="BB9" s="112"/>
      <c r="BC9" s="188"/>
      <c r="BI9" s="112"/>
      <c r="BJ9" s="188"/>
      <c r="BP9" s="112"/>
      <c r="BQ9" s="188"/>
    </row>
    <row r="10" customFormat="false" ht="12.8" hidden="false" customHeight="false" outlineLevel="0" collapsed="false">
      <c r="C10" s="112"/>
      <c r="D10" s="91"/>
      <c r="E10" s="188"/>
      <c r="K10" s="112"/>
      <c r="L10" s="91"/>
      <c r="M10" s="188"/>
      <c r="S10" s="112"/>
      <c r="T10" s="188"/>
      <c r="Z10" s="112"/>
      <c r="AA10" s="188"/>
      <c r="AG10" s="112"/>
      <c r="AH10" s="188"/>
      <c r="AN10" s="112"/>
      <c r="AO10" s="188"/>
      <c r="AU10" s="112"/>
      <c r="AV10" s="188"/>
      <c r="BB10" s="112"/>
      <c r="BC10" s="188"/>
      <c r="BI10" s="112"/>
      <c r="BJ10" s="188"/>
      <c r="BP10" s="112"/>
      <c r="BQ10" s="188"/>
    </row>
    <row r="11" customFormat="false" ht="12.8" hidden="false" customHeight="false" outlineLevel="0" collapsed="false">
      <c r="C11" s="112"/>
      <c r="D11" s="91"/>
      <c r="E11" s="188"/>
      <c r="K11" s="112"/>
      <c r="L11" s="91"/>
      <c r="M11" s="188"/>
      <c r="S11" s="112"/>
      <c r="T11" s="188"/>
      <c r="Z11" s="112"/>
      <c r="AA11" s="188"/>
      <c r="AG11" s="112"/>
      <c r="AH11" s="188"/>
      <c r="AN11" s="112"/>
      <c r="AO11" s="188"/>
      <c r="AU11" s="112"/>
      <c r="AV11" s="188"/>
      <c r="BB11" s="112"/>
      <c r="BC11" s="188"/>
      <c r="BI11" s="112"/>
      <c r="BJ11" s="188"/>
      <c r="BP11" s="112"/>
      <c r="BQ11" s="188"/>
    </row>
    <row r="12" customFormat="false" ht="12.8" hidden="false" customHeight="false" outlineLevel="0" collapsed="false"/>
    <row r="13" customFormat="false" ht="12.8" hidden="false" customHeight="false" outlineLevel="0" collapsed="false"/>
    <row r="14" customFormat="false" ht="15" hidden="false" customHeight="false" outlineLevel="0" collapsed="false">
      <c r="A14" s="100" t="s">
        <v>176</v>
      </c>
      <c r="B14" s="33" t="s">
        <v>190</v>
      </c>
      <c r="C14" s="101" t="s">
        <v>1315</v>
      </c>
      <c r="D14" s="36" t="s">
        <v>1316</v>
      </c>
      <c r="E14" s="190" t="s">
        <v>1317</v>
      </c>
      <c r="F14" s="191" t="s">
        <v>1318</v>
      </c>
      <c r="G14" s="107" t="s">
        <v>1319</v>
      </c>
      <c r="H14" s="107" t="s">
        <v>1320</v>
      </c>
      <c r="I14" s="107" t="s">
        <v>1321</v>
      </c>
      <c r="J14" s="107" t="s">
        <v>1322</v>
      </c>
      <c r="K14" s="101" t="s">
        <v>1323</v>
      </c>
      <c r="L14" s="36" t="s">
        <v>1324</v>
      </c>
      <c r="M14" s="190" t="s">
        <v>1325</v>
      </c>
      <c r="N14" s="191" t="s">
        <v>1326</v>
      </c>
      <c r="O14" s="107" t="s">
        <v>1327</v>
      </c>
      <c r="P14" s="107" t="s">
        <v>1328</v>
      </c>
      <c r="Q14" s="107" t="s">
        <v>1329</v>
      </c>
      <c r="R14" s="107" t="s">
        <v>1330</v>
      </c>
      <c r="S14" s="101" t="s">
        <v>1331</v>
      </c>
      <c r="T14" s="190" t="s">
        <v>1332</v>
      </c>
      <c r="U14" s="191" t="s">
        <v>1333</v>
      </c>
      <c r="V14" s="107" t="s">
        <v>1334</v>
      </c>
      <c r="W14" s="107" t="s">
        <v>1335</v>
      </c>
      <c r="X14" s="107" t="s">
        <v>1336</v>
      </c>
      <c r="Y14" s="107" t="s">
        <v>1337</v>
      </c>
      <c r="Z14" s="101" t="s">
        <v>1338</v>
      </c>
      <c r="AA14" s="190" t="s">
        <v>1339</v>
      </c>
      <c r="AB14" s="191" t="s">
        <v>1340</v>
      </c>
      <c r="AC14" s="107" t="s">
        <v>1341</v>
      </c>
      <c r="AD14" s="107" t="s">
        <v>1342</v>
      </c>
      <c r="AE14" s="107" t="s">
        <v>1343</v>
      </c>
      <c r="AF14" s="107" t="s">
        <v>1344</v>
      </c>
      <c r="AG14" s="101" t="s">
        <v>1345</v>
      </c>
      <c r="AH14" s="190" t="s">
        <v>1346</v>
      </c>
      <c r="AI14" s="191" t="s">
        <v>1347</v>
      </c>
      <c r="AJ14" s="107" t="s">
        <v>1348</v>
      </c>
      <c r="AK14" s="107" t="s">
        <v>1349</v>
      </c>
      <c r="AL14" s="107" t="s">
        <v>1350</v>
      </c>
      <c r="AM14" s="107" t="s">
        <v>1351</v>
      </c>
      <c r="AN14" s="101" t="s">
        <v>1352</v>
      </c>
      <c r="AO14" s="190" t="s">
        <v>1353</v>
      </c>
      <c r="AP14" s="191" t="s">
        <v>1354</v>
      </c>
      <c r="AQ14" s="107" t="s">
        <v>1355</v>
      </c>
      <c r="AR14" s="107" t="s">
        <v>1356</v>
      </c>
      <c r="AS14" s="107" t="s">
        <v>1357</v>
      </c>
      <c r="AT14" s="107" t="s">
        <v>1358</v>
      </c>
      <c r="AU14" s="101" t="s">
        <v>1359</v>
      </c>
      <c r="AV14" s="190" t="s">
        <v>1360</v>
      </c>
      <c r="AW14" s="191" t="s">
        <v>1361</v>
      </c>
      <c r="AX14" s="107" t="s">
        <v>1362</v>
      </c>
      <c r="AY14" s="107" t="s">
        <v>1363</v>
      </c>
      <c r="AZ14" s="107" t="s">
        <v>1364</v>
      </c>
      <c r="BA14" s="107" t="s">
        <v>1365</v>
      </c>
      <c r="BB14" s="101" t="s">
        <v>1366</v>
      </c>
      <c r="BC14" s="190" t="s">
        <v>1367</v>
      </c>
      <c r="BD14" s="191" t="s">
        <v>1368</v>
      </c>
      <c r="BE14" s="107" t="s">
        <v>1369</v>
      </c>
      <c r="BF14" s="107" t="s">
        <v>1370</v>
      </c>
      <c r="BG14" s="107" t="s">
        <v>1371</v>
      </c>
      <c r="BH14" s="107" t="s">
        <v>1372</v>
      </c>
      <c r="BI14" s="101" t="s">
        <v>1373</v>
      </c>
      <c r="BJ14" s="190" t="s">
        <v>1374</v>
      </c>
      <c r="BK14" s="191" t="s">
        <v>1375</v>
      </c>
      <c r="BL14" s="107" t="s">
        <v>1376</v>
      </c>
      <c r="BM14" s="107" t="s">
        <v>1377</v>
      </c>
      <c r="BN14" s="107" t="s">
        <v>1378</v>
      </c>
      <c r="BO14" s="107" t="s">
        <v>1379</v>
      </c>
      <c r="BP14" s="101" t="s">
        <v>1380</v>
      </c>
      <c r="BQ14" s="190" t="s">
        <v>1381</v>
      </c>
      <c r="BR14" s="191" t="s">
        <v>1382</v>
      </c>
      <c r="BS14" s="107" t="s">
        <v>1383</v>
      </c>
      <c r="BT14" s="107" t="s">
        <v>1384</v>
      </c>
      <c r="BU14" s="107" t="s">
        <v>1385</v>
      </c>
      <c r="BV14" s="107" t="s">
        <v>1386</v>
      </c>
    </row>
    <row r="15" customFormat="false" ht="15" hidden="false" customHeight="false" outlineLevel="0" collapsed="false">
      <c r="A15" s="91" t="str">
        <f aca="false">INDEX(Prioritization!$D:$D,MATCH($B15,Prioritization!$A:$A,0))</f>
        <v>Military</v>
      </c>
      <c r="B15" s="40" t="s">
        <v>194</v>
      </c>
      <c r="C15" s="85" t="n">
        <f aca="false">SUM(SUMIFS(PrEP!$O:$O,PrEP!$B:$B,$B15,PrEP!$C:$C,{"15-24","25-34","35-49","50+"},PrEP!$D:$D,"Female"))</f>
        <v>0</v>
      </c>
      <c r="D15" s="10" t="n">
        <f aca="false">SUM(SUMIFS(PrEP!$O:$O,PrEP!$B:$B,$B15,PrEP!$C:$C,{"15-24","25-34"},PrEP!$D:$D,"Female"))</f>
        <v>0</v>
      </c>
      <c r="E15" s="192" t="n">
        <f aca="false">SUM(SUMIFS(PrEP!$O:$O,PrEP!$B:$B,$B15,PrEP!$C:$C,{"15-24","25-34","35-49","50+"},PrEP!$D:$D,"Male"))</f>
        <v>0</v>
      </c>
      <c r="F15" s="189" t="n">
        <f aca="false">_xlfn.IFNA(INDEX(KP!$I:$I,MATCH(($B15&amp;"|"&amp;F$3),KP!$D:$D,0)),"")</f>
        <v>0</v>
      </c>
      <c r="G15" s="5" t="n">
        <f aca="false">_xlfn.IFNA(INDEX(KP!$I:$I,MATCH(($B15&amp;"|"&amp;G$3),KP!$D:$D,0)),"")</f>
        <v>0</v>
      </c>
      <c r="H15" s="5" t="n">
        <f aca="false">_xlfn.IFNA(INDEX(KP!$I:$I,MATCH(($B15&amp;"|"&amp;H$3),KP!$D:$D,0)),"")</f>
        <v>0</v>
      </c>
      <c r="I15" s="5" t="n">
        <f aca="false">_xlfn.IFNA(INDEX(KP!$I:$I,MATCH(($B15&amp;"|"&amp;I$3),KP!$D:$D,0)),"")</f>
        <v>0</v>
      </c>
      <c r="J15" s="5" t="n">
        <f aca="false">_xlfn.IFNA(INDEX(KP!$I:$I,MATCH(($B15&amp;"|"&amp;J$3),KP!$D:$D,0)),"")</f>
        <v>0</v>
      </c>
      <c r="K15" s="85" t="n">
        <f aca="false">SUM(SUMIFS(PrEP!$L:$L,PrEP!$B:$B,$B15,PrEP!$C:$C,{"15-24","25-34","35-49","50+"},PrEP!$D:$D,"Female"))</f>
        <v>0</v>
      </c>
      <c r="L15" s="10" t="n">
        <f aca="false">SUM(SUMIFS(PrEP!$L:$L,PrEP!$B:$B,$B15,PrEP!$C:$C,{"15-24","25-34"},PrEP!$D:$D,"Female"))</f>
        <v>0</v>
      </c>
      <c r="M15" s="192" t="n">
        <f aca="false">SUM(SUMIFS(PrEP!$L:$L,PrEP!$B:$B,$B15,PrEP!$C:$C,{"15-24","25-34","35-49","50+"},PrEP!$D:$D,"Male"))</f>
        <v>0</v>
      </c>
      <c r="N15" s="189" t="n">
        <f aca="false">_xlfn.IFNA(INDEX(KP!$K:$K,MATCH(($B15&amp;"|"&amp;N$3),KP!$D:$D,0)),"")</f>
        <v>0</v>
      </c>
      <c r="O15" s="5" t="n">
        <f aca="false">_xlfn.IFNA(INDEX(KP!$K:$K,MATCH(($B15&amp;"|"&amp;O$3),KP!$D:$D,0)),"")</f>
        <v>0</v>
      </c>
      <c r="P15" s="5" t="n">
        <f aca="false">_xlfn.IFNA(INDEX(KP!$K:$K,MATCH(($B15&amp;"|"&amp;P$3),KP!$D:$D,0)),"")</f>
        <v>0</v>
      </c>
      <c r="Q15" s="5" t="n">
        <f aca="false">_xlfn.IFNA(INDEX(KP!$K:$K,MATCH(($B15&amp;"|"&amp;Q$3),KP!$D:$D,0)),"")</f>
        <v>0</v>
      </c>
      <c r="R15" s="5" t="n">
        <f aca="false">_xlfn.IFNA(INDEX(KP!$K:$K,MATCH(($B15&amp;"|"&amp;R$3),KP!$D:$D,0)),"")</f>
        <v>0</v>
      </c>
      <c r="S15" s="85" t="n">
        <f aca="false">SUM(SUMIFS(Cascade!$AP:$AP,Cascade!$B:$B,$B15,Cascade!$C:$C,{"15-24","25-34","35-49","50+"},Cascade!$D:$D,"Female"))</f>
        <v>0</v>
      </c>
      <c r="T15" s="192" t="n">
        <f aca="false">SUM(SUMIFS(Cascade!$AP:$AP,Cascade!$B:$B,$B15,Cascade!$C:$C,{"15-24","25-34","35-49","50+"},Cascade!$D:$D,"Male"))</f>
        <v>0</v>
      </c>
      <c r="U15" s="189" t="str">
        <f aca="false">_xlfn.IFNA(INDEX(KP!$Q:$Q,MATCH(($B15&amp;"|"&amp;U$3),KP!$D:$D,0)),"")</f>
        <v/>
      </c>
      <c r="V15" s="5" t="str">
        <f aca="false">_xlfn.IFNA(INDEX(KP!$Q:$Q,MATCH(($B15&amp;"|"&amp;V$3),KP!$D:$D,0)),"")</f>
        <v/>
      </c>
      <c r="W15" s="5" t="str">
        <f aca="false">_xlfn.IFNA(INDEX(KP!$Q:$Q,MATCH(($B15&amp;"|"&amp;W$3),KP!$D:$D,0)),"")</f>
        <v/>
      </c>
      <c r="X15" s="5" t="str">
        <f aca="false">_xlfn.IFNA(INDEX(KP!$Q:$Q,MATCH(($B15&amp;"|"&amp;X$3),KP!$D:$D,0)),"")</f>
        <v/>
      </c>
      <c r="Y15" s="5" t="str">
        <f aca="false">_xlfn.IFNA(INDEX(KP!$Q:$Q,MATCH(($B15&amp;"|"&amp;Y$3),KP!$D:$D,0)),"")</f>
        <v/>
      </c>
      <c r="Z15" s="85" t="n">
        <f aca="false">SUM(SUMIFS(Cascade!$AX:$AX,Cascade!$B:$B,$B15,Cascade!$C:$C,{"15-24","25-34","35-49","50+"},Cascade!$D:$D,"Female"))</f>
        <v>0</v>
      </c>
      <c r="AA15" s="192" t="n">
        <f aca="false">SUM(SUMIFS(Cascade!$AX:$AX,Cascade!$B:$B,$B15,Cascade!$C:$C,{"15-24","25-34","35-49","50+"},Cascade!$D:$D,"Male"))</f>
        <v>0</v>
      </c>
      <c r="AB15" s="189" t="str">
        <f aca="false">_xlfn.IFNA(INDEX(KP!$Z:$Z,MATCH(($B15&amp;"|"&amp;AB$3),KP!$D:$D,0)),"")</f>
        <v/>
      </c>
      <c r="AC15" s="5" t="str">
        <f aca="false">_xlfn.IFNA(INDEX(KP!$Z:$Z,MATCH(($B15&amp;"|"&amp;AC$3),KP!$D:$D,0)),"")</f>
        <v/>
      </c>
      <c r="AD15" s="5" t="str">
        <f aca="false">_xlfn.IFNA(INDEX(KP!$Z:$Z,MATCH(($B15&amp;"|"&amp;AD$3),KP!$D:$D,0)),"")</f>
        <v/>
      </c>
      <c r="AE15" s="5" t="str">
        <f aca="false">_xlfn.IFNA(INDEX(KP!$Z:$Z,MATCH(($B15&amp;"|"&amp;AE$3),KP!$D:$D,0)),"")</f>
        <v/>
      </c>
      <c r="AF15" s="5" t="str">
        <f aca="false">_xlfn.IFNA(INDEX(KP!$Z:$Z,MATCH(($B15&amp;"|"&amp;AF$3),KP!$D:$D,0)),"")</f>
        <v/>
      </c>
      <c r="AG15" s="85" t="n">
        <f aca="false">SUM(SUMIFS(Cascade!$BB:$BB,Cascade!$B:$B,$B15,Cascade!$C:$C,{"15-24","25-34","35-49","50+"},Cascade!$D:$D,"Female"))</f>
        <v>0</v>
      </c>
      <c r="AH15" s="192" t="n">
        <f aca="false">SUM(SUMIFS(Cascade!$BB:$BB,Cascade!$B:$B,$B15,Cascade!$C:$C,{"15-24","25-34","35-49","50+"},Cascade!$D:$D,"Male"))</f>
        <v>0</v>
      </c>
      <c r="AI15" s="189" t="str">
        <f aca="false">_xlfn.IFNA(INDEX(KP!$AD:$AD,MATCH(($B15&amp;"|"&amp;AI$3),KP!$D:$D,0)),"")</f>
        <v/>
      </c>
      <c r="AJ15" s="5" t="str">
        <f aca="false">_xlfn.IFNA(INDEX(KP!$AD:$AD,MATCH(($B15&amp;"|"&amp;AJ$3),KP!$D:$D,0)),"")</f>
        <v/>
      </c>
      <c r="AK15" s="5" t="str">
        <f aca="false">_xlfn.IFNA(INDEX(KP!$AD:$AD,MATCH(($B15&amp;"|"&amp;AK$3),KP!$D:$D,0)),"")</f>
        <v/>
      </c>
      <c r="AL15" s="5" t="str">
        <f aca="false">_xlfn.IFNA(INDEX(KP!$AD:$AD,MATCH(($B15&amp;"|"&amp;AL$3),KP!$D:$D,0)),"")</f>
        <v/>
      </c>
      <c r="AM15" s="5" t="str">
        <f aca="false">_xlfn.IFNA(INDEX(KP!$AD:$AD,MATCH(($B15&amp;"|"&amp;AM$3),KP!$D:$D,0)),"")</f>
        <v/>
      </c>
      <c r="AN15" s="85" t="n">
        <f aca="false">SUM(SUMIFS(Cascade!$BE:$BE,Cascade!$B:$B,$B15,Cascade!$C:$C,{"15-24","25-34","35-49","50+"},Cascade!$D:$D,"Female"))</f>
        <v>0</v>
      </c>
      <c r="AO15" s="192" t="n">
        <f aca="false">SUM(SUMIFS(Cascade!$BE:$BE,Cascade!$B:$B,$B15,Cascade!$C:$C,{"15-24","25-34","35-49","50+"},Cascade!$D:$D,"Male"))</f>
        <v>0</v>
      </c>
      <c r="AP15" s="189" t="str">
        <f aca="false">_xlfn.IFNA(INDEX(KP!$AF:$AF,MATCH(($B15&amp;"|"&amp;AP$3),KP!$D:$D,0)),"")</f>
        <v/>
      </c>
      <c r="AQ15" s="5" t="str">
        <f aca="false">_xlfn.IFNA(INDEX(KP!$AF:$AF,MATCH(($B15&amp;"|"&amp;AQ$3),KP!$D:$D,0)),"")</f>
        <v/>
      </c>
      <c r="AR15" s="5" t="str">
        <f aca="false">_xlfn.IFNA(INDEX(KP!$AF:$AF,MATCH(($B15&amp;"|"&amp;AR$3),KP!$D:$D,0)),"")</f>
        <v/>
      </c>
      <c r="AS15" s="5" t="str">
        <f aca="false">_xlfn.IFNA(INDEX(KP!$AF:$AF,MATCH(($B15&amp;"|"&amp;AS$3),KP!$D:$D,0)),"")</f>
        <v/>
      </c>
      <c r="AT15" s="5" t="str">
        <f aca="false">_xlfn.IFNA(INDEX(KP!$AF:$AF,MATCH(($B15&amp;"|"&amp;AT$3),KP!$D:$D,0)),"")</f>
        <v/>
      </c>
      <c r="AU15" s="85" t="n">
        <f aca="false">SUM(SUMIFS(HTS!$AM:$AM,HTS!$B:$B,$B15,HTS!$C:$C,{"15-24","25-34","35-49","50+"},HTS!$D:$D,"Female"))</f>
        <v>0</v>
      </c>
      <c r="AV15" s="192" t="n">
        <f aca="false">SUM(SUMIFS(HTS!$AM:$AM,HTS!$B:$B,$B15,HTS!$C:$C,{"15-24","25-34","35-49","50+"},HTS!$D:$D,"Male"))</f>
        <v>0</v>
      </c>
      <c r="AW15" s="189" t="str">
        <f aca="false">_xlfn.IFNA(INDEX(KP!$AK:$AK,MATCH(($B15&amp;"|"&amp;AW$3),KP!$D:$D,0)),"")</f>
        <v/>
      </c>
      <c r="AX15" s="5" t="str">
        <f aca="false">_xlfn.IFNA(INDEX(KP!$AK:$AK,MATCH(($B15&amp;"|"&amp;AX$3),KP!$D:$D,0)),"")</f>
        <v/>
      </c>
      <c r="AY15" s="5" t="str">
        <f aca="false">_xlfn.IFNA(INDEX(KP!$AK:$AK,MATCH(($B15&amp;"|"&amp;AY$3),KP!$D:$D,0)),"")</f>
        <v/>
      </c>
      <c r="AZ15" s="5" t="str">
        <f aca="false">_xlfn.IFNA(INDEX(KP!$AK:$AK,MATCH(($B15&amp;"|"&amp;AZ$3),KP!$D:$D,0)),"")</f>
        <v/>
      </c>
      <c r="BA15" s="5" t="str">
        <f aca="false">_xlfn.IFNA(INDEX(KP!$AK:$AK,MATCH(($B15&amp;"|"&amp;BA$3),KP!$D:$D,0)),"")</f>
        <v/>
      </c>
      <c r="BB15" s="85" t="n">
        <f aca="false">SUM(SUMIFS(HTS!$AT:$AT,HTS!$B:$B,$B15,HTS!$C:$C,{"15-24","25-34","35-49","50+"},HTS!$D:$D,"Female"))</f>
        <v>0</v>
      </c>
      <c r="BC15" s="192" t="n">
        <f aca="false">SUM(SUMIFS(HTS!$AT:$AT,HTS!$B:$B,$B15,HTS!$C:$C,{"15-24","25-34","35-49","50+"},HTS!$D:$D,"Male"))</f>
        <v>0</v>
      </c>
      <c r="BD15" s="189" t="str">
        <f aca="false">_xlfn.IFNA(INDEX(KP!$AL:$AL,MATCH(($B15&amp;"|"&amp;BD$3),KP!$D:$D,0)),"")</f>
        <v/>
      </c>
      <c r="BE15" s="5" t="str">
        <f aca="false">_xlfn.IFNA(INDEX(KP!$AL:$AL,MATCH(($B15&amp;"|"&amp;BE$3),KP!$D:$D,0)),"")</f>
        <v/>
      </c>
      <c r="BF15" s="5" t="str">
        <f aca="false">_xlfn.IFNA(INDEX(KP!$AL:$AL,MATCH(($B15&amp;"|"&amp;BF$3),KP!$D:$D,0)),"")</f>
        <v/>
      </c>
      <c r="BG15" s="5" t="str">
        <f aca="false">_xlfn.IFNA(INDEX(KP!$AL:$AL,MATCH(($B15&amp;"|"&amp;BG$3),KP!$D:$D,0)),"")</f>
        <v/>
      </c>
      <c r="BH15" s="5" t="str">
        <f aca="false">_xlfn.IFNA(INDEX(KP!$AL:$AL,MATCH(($B15&amp;"|"&amp;BH$3),KP!$D:$D,0)),"")</f>
        <v/>
      </c>
      <c r="BI15" s="85" t="n">
        <f aca="false">SUM(SUMIFS(HTS!$BA:$BA,HTS!$B:$B,$B15,HTS!$C:$C,{"15-24","25-34","35-49","50+"},HTS!$D:$D,"Female"))</f>
        <v>0</v>
      </c>
      <c r="BJ15" s="192" t="n">
        <f aca="false">SUM(SUMIFS(HTS!$BA:$BA,HTS!$B:$B,$B15,HTS!$C:$C,{"15-24","25-34","35-49","50+"},HTS!$D:$D,"Male"))</f>
        <v>0</v>
      </c>
      <c r="BK15" s="189" t="str">
        <f aca="false">_xlfn.IFNA(INDEX(KP!$AN:$AN,MATCH(($B15&amp;"|"&amp;BK$3),KP!$D:$D,0)),"")</f>
        <v/>
      </c>
      <c r="BL15" s="5" t="str">
        <f aca="false">_xlfn.IFNA(INDEX(KP!$AN:$AN,MATCH(($B15&amp;"|"&amp;BL$3),KP!$D:$D,0)),"")</f>
        <v/>
      </c>
      <c r="BM15" s="5" t="str">
        <f aca="false">_xlfn.IFNA(INDEX(KP!$AN:$AN,MATCH(($B15&amp;"|"&amp;BM$3),KP!$D:$D,0)),"")</f>
        <v/>
      </c>
      <c r="BN15" s="5" t="str">
        <f aca="false">_xlfn.IFNA(INDEX(KP!$AN:$AN,MATCH(($B15&amp;"|"&amp;BN$3),KP!$D:$D,0)),"")</f>
        <v/>
      </c>
      <c r="BO15" s="5" t="str">
        <f aca="false">_xlfn.IFNA(INDEX(KP!$AN:$AN,MATCH(($B15&amp;"|"&amp;BO$3),KP!$D:$D,0)),"")</f>
        <v/>
      </c>
      <c r="BP15" s="85" t="n">
        <f aca="false">SUM(SUMIFS(HTS!$AY:$AY,HTS!$B:$B,$B15,HTS!$C:$C,{"15-24","25-34","35-49","50+"},HTS!$D:$D,"Female"))</f>
        <v>79</v>
      </c>
      <c r="BQ15" s="192" t="n">
        <f aca="false">SUM(SUMIFS(HTS!$AY:$AY,HTS!$B:$B,$B15,HTS!$C:$C,{"15-24","25-34","35-49","50+"},HTS!$D:$D,"Male"))</f>
        <v>13</v>
      </c>
      <c r="BR15" s="189" t="n">
        <f aca="false">_xlfn.IFNA(INDEX(KP!$AP:$AP,MATCH(($B15&amp;"|"&amp;BR$3),KP!$D:$D,0)),"")</f>
        <v>0</v>
      </c>
      <c r="BS15" s="5" t="n">
        <f aca="false">_xlfn.IFNA(INDEX(KP!$AP:$AP,MATCH(($B15&amp;"|"&amp;BS$3),KP!$D:$D,0)),"")</f>
        <v>0</v>
      </c>
      <c r="BT15" s="5" t="n">
        <f aca="false">_xlfn.IFNA(INDEX(KP!$AP:$AP,MATCH(($B15&amp;"|"&amp;BT$3),KP!$D:$D,0)),"")</f>
        <v>0</v>
      </c>
      <c r="BU15" s="5" t="n">
        <f aca="false">_xlfn.IFNA(INDEX(KP!$AP:$AP,MATCH(($B15&amp;"|"&amp;BU$3),KP!$D:$D,0)),"")</f>
        <v>0</v>
      </c>
      <c r="BV15" s="5" t="n">
        <f aca="false">_xlfn.IFNA(INDEX(KP!$AP:$AP,MATCH(($B15&amp;"|"&amp;BV$3),KP!$D:$D,0)),"")</f>
        <v>0</v>
      </c>
    </row>
    <row r="16" customFormat="false" ht="15" hidden="false" customHeight="false" outlineLevel="0" collapsed="false">
      <c r="A16" s="91" t="str">
        <f aca="false">INDEX(Prioritization!$D:$D,MATCH($B16,Prioritization!$A:$A,0))</f>
        <v>1 - Scale-up: Saturation</v>
      </c>
      <c r="B16" s="40" t="s">
        <v>195</v>
      </c>
      <c r="C16" s="10" t="n">
        <f aca="false">SUM(SUMIFS(PrEP!$O:$O,PrEP!$B:$B,$B16,PrEP!$C:$C,{"15-24","25-34","35-49","50+"},PrEP!$D:$D,"Female"))</f>
        <v>0</v>
      </c>
      <c r="D16" s="10" t="n">
        <f aca="false">SUM(SUMIFS(PrEP!$O:$O,PrEP!$B:$B,$B16,PrEP!$C:$C,{"15-24","25-34"},PrEP!$D:$D,"Female"))</f>
        <v>0</v>
      </c>
      <c r="E16" s="10" t="n">
        <f aca="false">SUM(SUMIFS(PrEP!$O:$O,PrEP!$B:$B,$B16,PrEP!$C:$C,{"15-24","25-34","35-49","50+"},PrEP!$D:$D,"Male"))</f>
        <v>0</v>
      </c>
      <c r="F16" s="10" t="n">
        <f aca="false">_xlfn.IFNA(INDEX(KP!$I:$I,MATCH(($B16&amp;"|"&amp;F$3),KP!$D:$D,0)),"")</f>
        <v>0</v>
      </c>
      <c r="G16" s="10" t="n">
        <f aca="false">_xlfn.IFNA(INDEX(KP!$I:$I,MATCH(($B16&amp;"|"&amp;G$3),KP!$D:$D,0)),"")</f>
        <v>0</v>
      </c>
      <c r="H16" s="10" t="n">
        <f aca="false">_xlfn.IFNA(INDEX(KP!$I:$I,MATCH(($B16&amp;"|"&amp;H$3),KP!$D:$D,0)),"")</f>
        <v>0</v>
      </c>
      <c r="I16" s="10" t="n">
        <f aca="false">_xlfn.IFNA(INDEX(KP!$I:$I,MATCH(($B16&amp;"|"&amp;I$3),KP!$D:$D,0)),"")</f>
        <v>0</v>
      </c>
      <c r="J16" s="10" t="n">
        <f aca="false">_xlfn.IFNA(INDEX(KP!$I:$I,MATCH(($B16&amp;"|"&amp;J$3),KP!$D:$D,0)),"")</f>
        <v>0</v>
      </c>
      <c r="K16" s="10" t="n">
        <f aca="false">SUM(SUMIFS(PrEP!$L:$L,PrEP!$B:$B,$B16,PrEP!$C:$C,{"15-24","25-34","35-49","50+"},PrEP!$D:$D,"Female"))</f>
        <v>0</v>
      </c>
      <c r="L16" s="10" t="n">
        <f aca="false">SUM(SUMIFS(PrEP!$L:$L,PrEP!$B:$B,$B16,PrEP!$C:$C,{"15-24","25-34"},PrEP!$D:$D,"Female"))</f>
        <v>0</v>
      </c>
      <c r="M16" s="10" t="n">
        <f aca="false">SUM(SUMIFS(PrEP!$L:$L,PrEP!$B:$B,$B16,PrEP!$C:$C,{"15-24","25-34","35-49","50+"},PrEP!$D:$D,"Male"))</f>
        <v>0</v>
      </c>
      <c r="N16" s="10" t="n">
        <f aca="false">_xlfn.IFNA(INDEX(KP!$K:$K,MATCH(($B16&amp;"|"&amp;N$3),KP!$D:$D,0)),"")</f>
        <v>0</v>
      </c>
      <c r="O16" s="10" t="n">
        <f aca="false">_xlfn.IFNA(INDEX(KP!$K:$K,MATCH(($B16&amp;"|"&amp;O$3),KP!$D:$D,0)),"")</f>
        <v>0</v>
      </c>
      <c r="P16" s="10" t="n">
        <f aca="false">_xlfn.IFNA(INDEX(KP!$K:$K,MATCH(($B16&amp;"|"&amp;P$3),KP!$D:$D,0)),"")</f>
        <v>0</v>
      </c>
      <c r="Q16" s="10" t="n">
        <f aca="false">_xlfn.IFNA(INDEX(KP!$K:$K,MATCH(($B16&amp;"|"&amp;Q$3),KP!$D:$D,0)),"")</f>
        <v>0</v>
      </c>
      <c r="R16" s="10" t="n">
        <f aca="false">_xlfn.IFNA(INDEX(KP!$K:$K,MATCH(($B16&amp;"|"&amp;R$3),KP!$D:$D,0)),"")</f>
        <v>0</v>
      </c>
      <c r="S16" s="10" t="n">
        <f aca="false">SUM(SUMIFS(Cascade!$AP:$AP,Cascade!$B:$B,$B16,Cascade!$C:$C,{"15-24","25-34","35-49","50+"},Cascade!$D:$D,"Female"))</f>
        <v>0</v>
      </c>
      <c r="T16" s="10" t="n">
        <f aca="false">SUM(SUMIFS(Cascade!$AP:$AP,Cascade!$B:$B,$B16,Cascade!$C:$C,{"15-24","25-34","35-49","50+"},Cascade!$D:$D,"Male"))</f>
        <v>0</v>
      </c>
      <c r="U16" s="10" t="str">
        <f aca="false">_xlfn.IFNA(INDEX(KP!$Q:$Q,MATCH(($B16&amp;"|"&amp;U$3),KP!$D:$D,0)),"")</f>
        <v/>
      </c>
      <c r="V16" s="10" t="str">
        <f aca="false">_xlfn.IFNA(INDEX(KP!$Q:$Q,MATCH(($B16&amp;"|"&amp;V$3),KP!$D:$D,0)),"")</f>
        <v/>
      </c>
      <c r="W16" s="10" t="n">
        <f aca="false">_xlfn.IFNA(INDEX(KP!$Q:$Q,MATCH(($B16&amp;"|"&amp;W$3),KP!$D:$D,0)),"")</f>
        <v>7</v>
      </c>
      <c r="X16" s="10" t="str">
        <f aca="false">_xlfn.IFNA(INDEX(KP!$Q:$Q,MATCH(($B16&amp;"|"&amp;X$3),KP!$D:$D,0)),"")</f>
        <v/>
      </c>
      <c r="Y16" s="10" t="str">
        <f aca="false">_xlfn.IFNA(INDEX(KP!$Q:$Q,MATCH(($B16&amp;"|"&amp;Y$3),KP!$D:$D,0)),"")</f>
        <v/>
      </c>
      <c r="Z16" s="10" t="n">
        <f aca="false">SUM(SUMIFS(Cascade!$AX:$AX,Cascade!$B:$B,$B16,Cascade!$C:$C,{"15-24","25-34","35-49","50+"},Cascade!$D:$D,"Female"))</f>
        <v>0</v>
      </c>
      <c r="AA16" s="10" t="n">
        <f aca="false">SUM(SUMIFS(Cascade!$AX:$AX,Cascade!$B:$B,$B16,Cascade!$C:$C,{"15-24","25-34","35-49","50+"},Cascade!$D:$D,"Male"))</f>
        <v>0</v>
      </c>
      <c r="AB16" s="10" t="str">
        <f aca="false">_xlfn.IFNA(INDEX(KP!$Z:$Z,MATCH(($B16&amp;"|"&amp;AB$3),KP!$D:$D,0)),"")</f>
        <v/>
      </c>
      <c r="AC16" s="10" t="str">
        <f aca="false">_xlfn.IFNA(INDEX(KP!$Z:$Z,MATCH(($B16&amp;"|"&amp;AC$3),KP!$D:$D,0)),"")</f>
        <v/>
      </c>
      <c r="AD16" s="10" t="str">
        <f aca="false">_xlfn.IFNA(INDEX(KP!$Z:$Z,MATCH(($B16&amp;"|"&amp;AD$3),KP!$D:$D,0)),"")</f>
        <v/>
      </c>
      <c r="AE16" s="10" t="str">
        <f aca="false">_xlfn.IFNA(INDEX(KP!$Z:$Z,MATCH(($B16&amp;"|"&amp;AE$3),KP!$D:$D,0)),"")</f>
        <v/>
      </c>
      <c r="AF16" s="10" t="str">
        <f aca="false">_xlfn.IFNA(INDEX(KP!$Z:$Z,MATCH(($B16&amp;"|"&amp;AF$3),KP!$D:$D,0)),"")</f>
        <v/>
      </c>
      <c r="AG16" s="10" t="n">
        <f aca="false">SUM(SUMIFS(Cascade!$BB:$BB,Cascade!$B:$B,$B16,Cascade!$C:$C,{"15-24","25-34","35-49","50+"},Cascade!$D:$D,"Female"))</f>
        <v>0</v>
      </c>
      <c r="AH16" s="10" t="n">
        <f aca="false">SUM(SUMIFS(Cascade!$BB:$BB,Cascade!$B:$B,$B16,Cascade!$C:$C,{"15-24","25-34","35-49","50+"},Cascade!$D:$D,"Male"))</f>
        <v>0</v>
      </c>
      <c r="AI16" s="10" t="str">
        <f aca="false">_xlfn.IFNA(INDEX(KP!$AD:$AD,MATCH(($B16&amp;"|"&amp;AI$3),KP!$D:$D,0)),"")</f>
        <v/>
      </c>
      <c r="AJ16" s="10" t="str">
        <f aca="false">_xlfn.IFNA(INDEX(KP!$AD:$AD,MATCH(($B16&amp;"|"&amp;AJ$3),KP!$D:$D,0)),"")</f>
        <v/>
      </c>
      <c r="AK16" s="10" t="n">
        <f aca="false">_xlfn.IFNA(INDEX(KP!$AD:$AD,MATCH(($B16&amp;"|"&amp;AK$3),KP!$D:$D,0)),"")</f>
        <v>7</v>
      </c>
      <c r="AL16" s="10" t="str">
        <f aca="false">_xlfn.IFNA(INDEX(KP!$AD:$AD,MATCH(($B16&amp;"|"&amp;AL$3),KP!$D:$D,0)),"")</f>
        <v/>
      </c>
      <c r="AM16" s="10" t="str">
        <f aca="false">_xlfn.IFNA(INDEX(KP!$AD:$AD,MATCH(($B16&amp;"|"&amp;AM$3),KP!$D:$D,0)),"")</f>
        <v/>
      </c>
      <c r="AN16" s="10" t="n">
        <f aca="false">SUM(SUMIFS(Cascade!$BE:$BE,Cascade!$B:$B,$B16,Cascade!$C:$C,{"15-24","25-34","35-49","50+"},Cascade!$D:$D,"Female"))</f>
        <v>0</v>
      </c>
      <c r="AO16" s="10" t="n">
        <f aca="false">SUM(SUMIFS(Cascade!$BE:$BE,Cascade!$B:$B,$B16,Cascade!$C:$C,{"15-24","25-34","35-49","50+"},Cascade!$D:$D,"Male"))</f>
        <v>0</v>
      </c>
      <c r="AP16" s="10" t="str">
        <f aca="false">_xlfn.IFNA(INDEX(KP!$AF:$AF,MATCH(($B16&amp;"|"&amp;AP$3),KP!$D:$D,0)),"")</f>
        <v/>
      </c>
      <c r="AQ16" s="10" t="str">
        <f aca="false">_xlfn.IFNA(INDEX(KP!$AF:$AF,MATCH(($B16&amp;"|"&amp;AQ$3),KP!$D:$D,0)),"")</f>
        <v/>
      </c>
      <c r="AR16" s="10" t="n">
        <f aca="false">_xlfn.IFNA(INDEX(KP!$AF:$AF,MATCH(($B16&amp;"|"&amp;AR$3),KP!$D:$D,0)),"")</f>
        <v>7</v>
      </c>
      <c r="AS16" s="10" t="str">
        <f aca="false">_xlfn.IFNA(INDEX(KP!$AF:$AF,MATCH(($B16&amp;"|"&amp;AS$3),KP!$D:$D,0)),"")</f>
        <v/>
      </c>
      <c r="AT16" s="10" t="str">
        <f aca="false">_xlfn.IFNA(INDEX(KP!$AF:$AF,MATCH(($B16&amp;"|"&amp;AT$3),KP!$D:$D,0)),"")</f>
        <v/>
      </c>
      <c r="AU16" s="10" t="n">
        <f aca="false">SUM(SUMIFS(HTS!$AM:$AM,HTS!$B:$B,$B16,HTS!$C:$C,{"15-24","25-34","35-49","50+"},HTS!$D:$D,"Female"))</f>
        <v>0</v>
      </c>
      <c r="AV16" s="10" t="n">
        <f aca="false">SUM(SUMIFS(HTS!$AM:$AM,HTS!$B:$B,$B16,HTS!$C:$C,{"15-24","25-34","35-49","50+"},HTS!$D:$D,"Male"))</f>
        <v>0</v>
      </c>
      <c r="AW16" s="10" t="str">
        <f aca="false">_xlfn.IFNA(INDEX(KP!$AK:$AK,MATCH(($B16&amp;"|"&amp;AW$3),KP!$D:$D,0)),"")</f>
        <v/>
      </c>
      <c r="AX16" s="10" t="str">
        <f aca="false">_xlfn.IFNA(INDEX(KP!$AK:$AK,MATCH(($B16&amp;"|"&amp;AX$3),KP!$D:$D,0)),"")</f>
        <v/>
      </c>
      <c r="AY16" s="10" t="str">
        <f aca="false">_xlfn.IFNA(INDEX(KP!$AK:$AK,MATCH(($B16&amp;"|"&amp;AY$3),KP!$D:$D,0)),"")</f>
        <v/>
      </c>
      <c r="AZ16" s="10" t="str">
        <f aca="false">_xlfn.IFNA(INDEX(KP!$AK:$AK,MATCH(($B16&amp;"|"&amp;AZ$3),KP!$D:$D,0)),"")</f>
        <v/>
      </c>
      <c r="BA16" s="10" t="str">
        <f aca="false">_xlfn.IFNA(INDEX(KP!$AK:$AK,MATCH(($B16&amp;"|"&amp;BA$3),KP!$D:$D,0)),"")</f>
        <v/>
      </c>
      <c r="BB16" s="10" t="n">
        <f aca="false">SUM(SUMIFS(HTS!$AT:$AT,HTS!$B:$B,$B16,HTS!$C:$C,{"15-24","25-34","35-49","50+"},HTS!$D:$D,"Female"))</f>
        <v>0</v>
      </c>
      <c r="BC16" s="10" t="n">
        <f aca="false">SUM(SUMIFS(HTS!$AT:$AT,HTS!$B:$B,$B16,HTS!$C:$C,{"15-24","25-34","35-49","50+"},HTS!$D:$D,"Male"))</f>
        <v>0</v>
      </c>
      <c r="BD16" s="10" t="str">
        <f aca="false">_xlfn.IFNA(INDEX(KP!$AL:$AL,MATCH(($B16&amp;"|"&amp;BD$3),KP!$D:$D,0)),"")</f>
        <v/>
      </c>
      <c r="BE16" s="10" t="str">
        <f aca="false">_xlfn.IFNA(INDEX(KP!$AL:$AL,MATCH(($B16&amp;"|"&amp;BE$3),KP!$D:$D,0)),"")</f>
        <v/>
      </c>
      <c r="BF16" s="10" t="str">
        <f aca="false">_xlfn.IFNA(INDEX(KP!$AL:$AL,MATCH(($B16&amp;"|"&amp;BF$3),KP!$D:$D,0)),"")</f>
        <v/>
      </c>
      <c r="BG16" s="10" t="str">
        <f aca="false">_xlfn.IFNA(INDEX(KP!$AL:$AL,MATCH(($B16&amp;"|"&amp;BG$3),KP!$D:$D,0)),"")</f>
        <v/>
      </c>
      <c r="BH16" s="10" t="str">
        <f aca="false">_xlfn.IFNA(INDEX(KP!$AL:$AL,MATCH(($B16&amp;"|"&amp;BH$3),KP!$D:$D,0)),"")</f>
        <v/>
      </c>
      <c r="BI16" s="10" t="n">
        <f aca="false">SUM(SUMIFS(HTS!$BA:$BA,HTS!$B:$B,$B16,HTS!$C:$C,{"15-24","25-34","35-49","50+"},HTS!$D:$D,"Female"))</f>
        <v>0</v>
      </c>
      <c r="BJ16" s="10" t="n">
        <f aca="false">SUM(SUMIFS(HTS!$BA:$BA,HTS!$B:$B,$B16,HTS!$C:$C,{"15-24","25-34","35-49","50+"},HTS!$D:$D,"Male"))</f>
        <v>0</v>
      </c>
      <c r="BK16" s="10" t="str">
        <f aca="false">_xlfn.IFNA(INDEX(KP!$AN:$AN,MATCH(($B16&amp;"|"&amp;BK$3),KP!$D:$D,0)),"")</f>
        <v/>
      </c>
      <c r="BL16" s="10" t="str">
        <f aca="false">_xlfn.IFNA(INDEX(KP!$AN:$AN,MATCH(($B16&amp;"|"&amp;BL$3),KP!$D:$D,0)),"")</f>
        <v/>
      </c>
      <c r="BM16" s="10" t="str">
        <f aca="false">_xlfn.IFNA(INDEX(KP!$AN:$AN,MATCH(($B16&amp;"|"&amp;BM$3),KP!$D:$D,0)),"")</f>
        <v/>
      </c>
      <c r="BN16" s="10" t="str">
        <f aca="false">_xlfn.IFNA(INDEX(KP!$AN:$AN,MATCH(($B16&amp;"|"&amp;BN$3),KP!$D:$D,0)),"")</f>
        <v/>
      </c>
      <c r="BO16" s="10" t="str">
        <f aca="false">_xlfn.IFNA(INDEX(KP!$AN:$AN,MATCH(($B16&amp;"|"&amp;BO$3),KP!$D:$D,0)),"")</f>
        <v/>
      </c>
      <c r="BP16" s="10" t="n">
        <f aca="false">SUM(SUMIFS(HTS!$AY:$AY,HTS!$B:$B,$B16,HTS!$C:$C,{"15-24","25-34","35-49","50+"},HTS!$D:$D,"Female"))</f>
        <v>7</v>
      </c>
      <c r="BQ16" s="10" t="n">
        <f aca="false">SUM(SUMIFS(HTS!$AY:$AY,HTS!$B:$B,$B16,HTS!$C:$C,{"15-24","25-34","35-49","50+"},HTS!$D:$D,"Male"))</f>
        <v>5</v>
      </c>
      <c r="BR16" s="10" t="n">
        <f aca="false">_xlfn.IFNA(INDEX(KP!$AP:$AP,MATCH(($B16&amp;"|"&amp;BR$3),KP!$D:$D,0)),"")</f>
        <v>0</v>
      </c>
      <c r="BS16" s="10" t="n">
        <f aca="false">_xlfn.IFNA(INDEX(KP!$AP:$AP,MATCH(($B16&amp;"|"&amp;BS$3),KP!$D:$D,0)),"")</f>
        <v>0</v>
      </c>
      <c r="BT16" s="10" t="n">
        <f aca="false">_xlfn.IFNA(INDEX(KP!$AP:$AP,MATCH(($B16&amp;"|"&amp;BT$3),KP!$D:$D,0)),"")</f>
        <v>0</v>
      </c>
      <c r="BU16" s="10" t="n">
        <f aca="false">_xlfn.IFNA(INDEX(KP!$AP:$AP,MATCH(($B16&amp;"|"&amp;BU$3),KP!$D:$D,0)),"")</f>
        <v>0</v>
      </c>
      <c r="BV16" s="10" t="n">
        <f aca="false">_xlfn.IFNA(INDEX(KP!$AP:$AP,MATCH(($B16&amp;"|"&amp;BV$3),KP!$D:$D,0)),"")</f>
        <v>0</v>
      </c>
    </row>
    <row r="17" customFormat="false" ht="15" hidden="false" customHeight="false" outlineLevel="0" collapsed="false">
      <c r="A17" s="91" t="str">
        <f aca="false">INDEX(Prioritization!$D:$D,MATCH($B17,Prioritization!$A:$A,0))</f>
        <v>1 - Scale-up: Saturation</v>
      </c>
      <c r="B17" s="40" t="s">
        <v>196</v>
      </c>
      <c r="C17" s="10" t="n">
        <f aca="false">SUM(SUMIFS(PrEP!$O:$O,PrEP!$B:$B,$B17,PrEP!$C:$C,{"15-24","25-34","35-49","50+"},PrEP!$D:$D,"Female"))</f>
        <v>0</v>
      </c>
      <c r="D17" s="10" t="n">
        <f aca="false">SUM(SUMIFS(PrEP!$O:$O,PrEP!$B:$B,$B17,PrEP!$C:$C,{"15-24","25-34"},PrEP!$D:$D,"Female"))</f>
        <v>0</v>
      </c>
      <c r="E17" s="10" t="n">
        <f aca="false">SUM(SUMIFS(PrEP!$O:$O,PrEP!$B:$B,$B17,PrEP!$C:$C,{"15-24","25-34","35-49","50+"},PrEP!$D:$D,"Male"))</f>
        <v>0</v>
      </c>
      <c r="F17" s="10" t="n">
        <f aca="false">_xlfn.IFNA(INDEX(KP!$I:$I,MATCH(($B17&amp;"|"&amp;F$3),KP!$D:$D,0)),"")</f>
        <v>0</v>
      </c>
      <c r="G17" s="10" t="n">
        <f aca="false">_xlfn.IFNA(INDEX(KP!$I:$I,MATCH(($B17&amp;"|"&amp;G$3),KP!$D:$D,0)),"")</f>
        <v>0</v>
      </c>
      <c r="H17" s="10" t="n">
        <f aca="false">_xlfn.IFNA(INDEX(KP!$I:$I,MATCH(($B17&amp;"|"&amp;H$3),KP!$D:$D,0)),"")</f>
        <v>0</v>
      </c>
      <c r="I17" s="10" t="n">
        <f aca="false">_xlfn.IFNA(INDEX(KP!$I:$I,MATCH(($B17&amp;"|"&amp;I$3),KP!$D:$D,0)),"")</f>
        <v>0</v>
      </c>
      <c r="J17" s="10" t="n">
        <f aca="false">_xlfn.IFNA(INDEX(KP!$I:$I,MATCH(($B17&amp;"|"&amp;J$3),KP!$D:$D,0)),"")</f>
        <v>0</v>
      </c>
      <c r="K17" s="10" t="n">
        <f aca="false">SUM(SUMIFS(PrEP!$L:$L,PrEP!$B:$B,$B17,PrEP!$C:$C,{"15-24","25-34","35-49","50+"},PrEP!$D:$D,"Female"))</f>
        <v>0</v>
      </c>
      <c r="L17" s="10" t="n">
        <f aca="false">SUM(SUMIFS(PrEP!$L:$L,PrEP!$B:$B,$B17,PrEP!$C:$C,{"15-24","25-34"},PrEP!$D:$D,"Female"))</f>
        <v>0</v>
      </c>
      <c r="M17" s="10" t="n">
        <f aca="false">SUM(SUMIFS(PrEP!$L:$L,PrEP!$B:$B,$B17,PrEP!$C:$C,{"15-24","25-34","35-49","50+"},PrEP!$D:$D,"Male"))</f>
        <v>0</v>
      </c>
      <c r="N17" s="10" t="n">
        <f aca="false">_xlfn.IFNA(INDEX(KP!$K:$K,MATCH(($B17&amp;"|"&amp;N$3),KP!$D:$D,0)),"")</f>
        <v>0</v>
      </c>
      <c r="O17" s="10" t="n">
        <f aca="false">_xlfn.IFNA(INDEX(KP!$K:$K,MATCH(($B17&amp;"|"&amp;O$3),KP!$D:$D,0)),"")</f>
        <v>0</v>
      </c>
      <c r="P17" s="10" t="n">
        <f aca="false">_xlfn.IFNA(INDEX(KP!$K:$K,MATCH(($B17&amp;"|"&amp;P$3),KP!$D:$D,0)),"")</f>
        <v>0</v>
      </c>
      <c r="Q17" s="10" t="n">
        <f aca="false">_xlfn.IFNA(INDEX(KP!$K:$K,MATCH(($B17&amp;"|"&amp;Q$3),KP!$D:$D,0)),"")</f>
        <v>0</v>
      </c>
      <c r="R17" s="10" t="n">
        <f aca="false">_xlfn.IFNA(INDEX(KP!$K:$K,MATCH(($B17&amp;"|"&amp;R$3),KP!$D:$D,0)),"")</f>
        <v>0</v>
      </c>
      <c r="S17" s="10" t="n">
        <f aca="false">SUM(SUMIFS(Cascade!$AP:$AP,Cascade!$B:$B,$B17,Cascade!$C:$C,{"15-24","25-34","35-49","50+"},Cascade!$D:$D,"Female"))</f>
        <v>0</v>
      </c>
      <c r="T17" s="10" t="n">
        <f aca="false">SUM(SUMIFS(Cascade!$AP:$AP,Cascade!$B:$B,$B17,Cascade!$C:$C,{"15-24","25-34","35-49","50+"},Cascade!$D:$D,"Male"))</f>
        <v>0</v>
      </c>
      <c r="U17" s="10" t="str">
        <f aca="false">_xlfn.IFNA(INDEX(KP!$Q:$Q,MATCH(($B17&amp;"|"&amp;U$3),KP!$D:$D,0)),"")</f>
        <v/>
      </c>
      <c r="V17" s="10" t="str">
        <f aca="false">_xlfn.IFNA(INDEX(KP!$Q:$Q,MATCH(($B17&amp;"|"&amp;V$3),KP!$D:$D,0)),"")</f>
        <v/>
      </c>
      <c r="W17" s="10" t="str">
        <f aca="false">_xlfn.IFNA(INDEX(KP!$Q:$Q,MATCH(($B17&amp;"|"&amp;W$3),KP!$D:$D,0)),"")</f>
        <v/>
      </c>
      <c r="X17" s="10" t="str">
        <f aca="false">_xlfn.IFNA(INDEX(KP!$Q:$Q,MATCH(($B17&amp;"|"&amp;X$3),KP!$D:$D,0)),"")</f>
        <v/>
      </c>
      <c r="Y17" s="10" t="str">
        <f aca="false">_xlfn.IFNA(INDEX(KP!$Q:$Q,MATCH(($B17&amp;"|"&amp;Y$3),KP!$D:$D,0)),"")</f>
        <v/>
      </c>
      <c r="Z17" s="10" t="n">
        <f aca="false">SUM(SUMIFS(Cascade!$AX:$AX,Cascade!$B:$B,$B17,Cascade!$C:$C,{"15-24","25-34","35-49","50+"},Cascade!$D:$D,"Female"))</f>
        <v>0</v>
      </c>
      <c r="AA17" s="10" t="n">
        <f aca="false">SUM(SUMIFS(Cascade!$AX:$AX,Cascade!$B:$B,$B17,Cascade!$C:$C,{"15-24","25-34","35-49","50+"},Cascade!$D:$D,"Male"))</f>
        <v>0</v>
      </c>
      <c r="AB17" s="10" t="str">
        <f aca="false">_xlfn.IFNA(INDEX(KP!$Z:$Z,MATCH(($B17&amp;"|"&amp;AB$3),KP!$D:$D,0)),"")</f>
        <v/>
      </c>
      <c r="AC17" s="10" t="str">
        <f aca="false">_xlfn.IFNA(INDEX(KP!$Z:$Z,MATCH(($B17&amp;"|"&amp;AC$3),KP!$D:$D,0)),"")</f>
        <v/>
      </c>
      <c r="AD17" s="10" t="str">
        <f aca="false">_xlfn.IFNA(INDEX(KP!$Z:$Z,MATCH(($B17&amp;"|"&amp;AD$3),KP!$D:$D,0)),"")</f>
        <v/>
      </c>
      <c r="AE17" s="10" t="str">
        <f aca="false">_xlfn.IFNA(INDEX(KP!$Z:$Z,MATCH(($B17&amp;"|"&amp;AE$3),KP!$D:$D,0)),"")</f>
        <v/>
      </c>
      <c r="AF17" s="10" t="str">
        <f aca="false">_xlfn.IFNA(INDEX(KP!$Z:$Z,MATCH(($B17&amp;"|"&amp;AF$3),KP!$D:$D,0)),"")</f>
        <v/>
      </c>
      <c r="AG17" s="10" t="n">
        <f aca="false">SUM(SUMIFS(Cascade!$BB:$BB,Cascade!$B:$B,$B17,Cascade!$C:$C,{"15-24","25-34","35-49","50+"},Cascade!$D:$D,"Female"))</f>
        <v>0</v>
      </c>
      <c r="AH17" s="10" t="n">
        <f aca="false">SUM(SUMIFS(Cascade!$BB:$BB,Cascade!$B:$B,$B17,Cascade!$C:$C,{"15-24","25-34","35-49","50+"},Cascade!$D:$D,"Male"))</f>
        <v>0</v>
      </c>
      <c r="AI17" s="10" t="str">
        <f aca="false">_xlfn.IFNA(INDEX(KP!$AD:$AD,MATCH(($B17&amp;"|"&amp;AI$3),KP!$D:$D,0)),"")</f>
        <v/>
      </c>
      <c r="AJ17" s="10" t="str">
        <f aca="false">_xlfn.IFNA(INDEX(KP!$AD:$AD,MATCH(($B17&amp;"|"&amp;AJ$3),KP!$D:$D,0)),"")</f>
        <v/>
      </c>
      <c r="AK17" s="10" t="str">
        <f aca="false">_xlfn.IFNA(INDEX(KP!$AD:$AD,MATCH(($B17&amp;"|"&amp;AK$3),KP!$D:$D,0)),"")</f>
        <v/>
      </c>
      <c r="AL17" s="10" t="str">
        <f aca="false">_xlfn.IFNA(INDEX(KP!$AD:$AD,MATCH(($B17&amp;"|"&amp;AL$3),KP!$D:$D,0)),"")</f>
        <v/>
      </c>
      <c r="AM17" s="10" t="str">
        <f aca="false">_xlfn.IFNA(INDEX(KP!$AD:$AD,MATCH(($B17&amp;"|"&amp;AM$3),KP!$D:$D,0)),"")</f>
        <v/>
      </c>
      <c r="AN17" s="10" t="n">
        <f aca="false">SUM(SUMIFS(Cascade!$BE:$BE,Cascade!$B:$B,$B17,Cascade!$C:$C,{"15-24","25-34","35-49","50+"},Cascade!$D:$D,"Female"))</f>
        <v>0</v>
      </c>
      <c r="AO17" s="10" t="n">
        <f aca="false">SUM(SUMIFS(Cascade!$BE:$BE,Cascade!$B:$B,$B17,Cascade!$C:$C,{"15-24","25-34","35-49","50+"},Cascade!$D:$D,"Male"))</f>
        <v>0</v>
      </c>
      <c r="AP17" s="10" t="str">
        <f aca="false">_xlfn.IFNA(INDEX(KP!$AF:$AF,MATCH(($B17&amp;"|"&amp;AP$3),KP!$D:$D,0)),"")</f>
        <v/>
      </c>
      <c r="AQ17" s="10" t="str">
        <f aca="false">_xlfn.IFNA(INDEX(KP!$AF:$AF,MATCH(($B17&amp;"|"&amp;AQ$3),KP!$D:$D,0)),"")</f>
        <v/>
      </c>
      <c r="AR17" s="10" t="str">
        <f aca="false">_xlfn.IFNA(INDEX(KP!$AF:$AF,MATCH(($B17&amp;"|"&amp;AR$3),KP!$D:$D,0)),"")</f>
        <v/>
      </c>
      <c r="AS17" s="10" t="str">
        <f aca="false">_xlfn.IFNA(INDEX(KP!$AF:$AF,MATCH(($B17&amp;"|"&amp;AS$3),KP!$D:$D,0)),"")</f>
        <v/>
      </c>
      <c r="AT17" s="10" t="str">
        <f aca="false">_xlfn.IFNA(INDEX(KP!$AF:$AF,MATCH(($B17&amp;"|"&amp;AT$3),KP!$D:$D,0)),"")</f>
        <v/>
      </c>
      <c r="AU17" s="10" t="n">
        <f aca="false">SUM(SUMIFS(HTS!$AM:$AM,HTS!$B:$B,$B17,HTS!$C:$C,{"15-24","25-34","35-49","50+"},HTS!$D:$D,"Female"))</f>
        <v>0</v>
      </c>
      <c r="AV17" s="10" t="n">
        <f aca="false">SUM(SUMIFS(HTS!$AM:$AM,HTS!$B:$B,$B17,HTS!$C:$C,{"15-24","25-34","35-49","50+"},HTS!$D:$D,"Male"))</f>
        <v>0</v>
      </c>
      <c r="AW17" s="10" t="str">
        <f aca="false">_xlfn.IFNA(INDEX(KP!$AK:$AK,MATCH(($B17&amp;"|"&amp;AW$3),KP!$D:$D,0)),"")</f>
        <v/>
      </c>
      <c r="AX17" s="10" t="str">
        <f aca="false">_xlfn.IFNA(INDEX(KP!$AK:$AK,MATCH(($B17&amp;"|"&amp;AX$3),KP!$D:$D,0)),"")</f>
        <v/>
      </c>
      <c r="AY17" s="10" t="str">
        <f aca="false">_xlfn.IFNA(INDEX(KP!$AK:$AK,MATCH(($B17&amp;"|"&amp;AY$3),KP!$D:$D,0)),"")</f>
        <v/>
      </c>
      <c r="AZ17" s="10" t="str">
        <f aca="false">_xlfn.IFNA(INDEX(KP!$AK:$AK,MATCH(($B17&amp;"|"&amp;AZ$3),KP!$D:$D,0)),"")</f>
        <v/>
      </c>
      <c r="BA17" s="10" t="str">
        <f aca="false">_xlfn.IFNA(INDEX(KP!$AK:$AK,MATCH(($B17&amp;"|"&amp;BA$3),KP!$D:$D,0)),"")</f>
        <v/>
      </c>
      <c r="BB17" s="10" t="n">
        <f aca="false">SUM(SUMIFS(HTS!$AT:$AT,HTS!$B:$B,$B17,HTS!$C:$C,{"15-24","25-34","35-49","50+"},HTS!$D:$D,"Female"))</f>
        <v>0</v>
      </c>
      <c r="BC17" s="10" t="n">
        <f aca="false">SUM(SUMIFS(HTS!$AT:$AT,HTS!$B:$B,$B17,HTS!$C:$C,{"15-24","25-34","35-49","50+"},HTS!$D:$D,"Male"))</f>
        <v>0</v>
      </c>
      <c r="BD17" s="10" t="str">
        <f aca="false">_xlfn.IFNA(INDEX(KP!$AL:$AL,MATCH(($B17&amp;"|"&amp;BD$3),KP!$D:$D,0)),"")</f>
        <v/>
      </c>
      <c r="BE17" s="10" t="str">
        <f aca="false">_xlfn.IFNA(INDEX(KP!$AL:$AL,MATCH(($B17&amp;"|"&amp;BE$3),KP!$D:$D,0)),"")</f>
        <v/>
      </c>
      <c r="BF17" s="10" t="str">
        <f aca="false">_xlfn.IFNA(INDEX(KP!$AL:$AL,MATCH(($B17&amp;"|"&amp;BF$3),KP!$D:$D,0)),"")</f>
        <v/>
      </c>
      <c r="BG17" s="10" t="str">
        <f aca="false">_xlfn.IFNA(INDEX(KP!$AL:$AL,MATCH(($B17&amp;"|"&amp;BG$3),KP!$D:$D,0)),"")</f>
        <v/>
      </c>
      <c r="BH17" s="10" t="str">
        <f aca="false">_xlfn.IFNA(INDEX(KP!$AL:$AL,MATCH(($B17&amp;"|"&amp;BH$3),KP!$D:$D,0)),"")</f>
        <v/>
      </c>
      <c r="BI17" s="10" t="n">
        <f aca="false">SUM(SUMIFS(HTS!$BA:$BA,HTS!$B:$B,$B17,HTS!$C:$C,{"15-24","25-34","35-49","50+"},HTS!$D:$D,"Female"))</f>
        <v>0</v>
      </c>
      <c r="BJ17" s="10" t="n">
        <f aca="false">SUM(SUMIFS(HTS!$BA:$BA,HTS!$B:$B,$B17,HTS!$C:$C,{"15-24","25-34","35-49","50+"},HTS!$D:$D,"Male"))</f>
        <v>0</v>
      </c>
      <c r="BK17" s="10" t="str">
        <f aca="false">_xlfn.IFNA(INDEX(KP!$AN:$AN,MATCH(($B17&amp;"|"&amp;BK$3),KP!$D:$D,0)),"")</f>
        <v/>
      </c>
      <c r="BL17" s="10" t="str">
        <f aca="false">_xlfn.IFNA(INDEX(KP!$AN:$AN,MATCH(($B17&amp;"|"&amp;BL$3),KP!$D:$D,0)),"")</f>
        <v/>
      </c>
      <c r="BM17" s="10" t="str">
        <f aca="false">_xlfn.IFNA(INDEX(KP!$AN:$AN,MATCH(($B17&amp;"|"&amp;BM$3),KP!$D:$D,0)),"")</f>
        <v/>
      </c>
      <c r="BN17" s="10" t="str">
        <f aca="false">_xlfn.IFNA(INDEX(KP!$AN:$AN,MATCH(($B17&amp;"|"&amp;BN$3),KP!$D:$D,0)),"")</f>
        <v/>
      </c>
      <c r="BO17" s="10" t="str">
        <f aca="false">_xlfn.IFNA(INDEX(KP!$AN:$AN,MATCH(($B17&amp;"|"&amp;BO$3),KP!$D:$D,0)),"")</f>
        <v/>
      </c>
      <c r="BP17" s="10" t="n">
        <f aca="false">SUM(SUMIFS(HTS!$AY:$AY,HTS!$B:$B,$B17,HTS!$C:$C,{"15-24","25-34","35-49","50+"},HTS!$D:$D,"Female"))</f>
        <v>2</v>
      </c>
      <c r="BQ17" s="10" t="n">
        <f aca="false">SUM(SUMIFS(HTS!$AY:$AY,HTS!$B:$B,$B17,HTS!$C:$C,{"15-24","25-34","35-49","50+"},HTS!$D:$D,"Male"))</f>
        <v>9</v>
      </c>
      <c r="BR17" s="10" t="n">
        <f aca="false">_xlfn.IFNA(INDEX(KP!$AP:$AP,MATCH(($B17&amp;"|"&amp;BR$3),KP!$D:$D,0)),"")</f>
        <v>0</v>
      </c>
      <c r="BS17" s="10" t="n">
        <f aca="false">_xlfn.IFNA(INDEX(KP!$AP:$AP,MATCH(($B17&amp;"|"&amp;BS$3),KP!$D:$D,0)),"")</f>
        <v>0</v>
      </c>
      <c r="BT17" s="10" t="n">
        <f aca="false">_xlfn.IFNA(INDEX(KP!$AP:$AP,MATCH(($B17&amp;"|"&amp;BT$3),KP!$D:$D,0)),"")</f>
        <v>0</v>
      </c>
      <c r="BU17" s="10" t="n">
        <f aca="false">_xlfn.IFNA(INDEX(KP!$AP:$AP,MATCH(($B17&amp;"|"&amp;BU$3),KP!$D:$D,0)),"")</f>
        <v>0</v>
      </c>
      <c r="BV17" s="10" t="n">
        <f aca="false">_xlfn.IFNA(INDEX(KP!$AP:$AP,MATCH(($B17&amp;"|"&amp;BV$3),KP!$D:$D,0)),"")</f>
        <v>0</v>
      </c>
    </row>
    <row r="18" customFormat="false" ht="15" hidden="false" customHeight="false" outlineLevel="0" collapsed="false">
      <c r="A18" s="91" t="str">
        <f aca="false">INDEX(Prioritization!$D:$D,MATCH($B18,Prioritization!$A:$A,0))</f>
        <v>INVALID</v>
      </c>
      <c r="B18" s="40" t="s">
        <v>197</v>
      </c>
      <c r="C18" s="10" t="n">
        <f aca="false">SUM(SUMIFS(PrEP!$O:$O,PrEP!$B:$B,$B18,PrEP!$C:$C,{"15-24","25-34","35-49","50+"},PrEP!$D:$D,"Female"))</f>
        <v>0</v>
      </c>
      <c r="D18" s="10" t="n">
        <f aca="false">SUM(SUMIFS(PrEP!$O:$O,PrEP!$B:$B,$B18,PrEP!$C:$C,{"15-24","25-34"},PrEP!$D:$D,"Female"))</f>
        <v>0</v>
      </c>
      <c r="E18" s="10" t="n">
        <f aca="false">SUM(SUMIFS(PrEP!$O:$O,PrEP!$B:$B,$B18,PrEP!$C:$C,{"15-24","25-34","35-49","50+"},PrEP!$D:$D,"Male"))</f>
        <v>0</v>
      </c>
      <c r="F18" s="10" t="n">
        <f aca="false">_xlfn.IFNA(INDEX(KP!$I:$I,MATCH(($B18&amp;"|"&amp;F$3),KP!$D:$D,0)),"")</f>
        <v>0</v>
      </c>
      <c r="G18" s="10" t="n">
        <f aca="false">_xlfn.IFNA(INDEX(KP!$I:$I,MATCH(($B18&amp;"|"&amp;G$3),KP!$D:$D,0)),"")</f>
        <v>0</v>
      </c>
      <c r="H18" s="10" t="n">
        <f aca="false">_xlfn.IFNA(INDEX(KP!$I:$I,MATCH(($B18&amp;"|"&amp;H$3),KP!$D:$D,0)),"")</f>
        <v>0</v>
      </c>
      <c r="I18" s="10" t="n">
        <f aca="false">_xlfn.IFNA(INDEX(KP!$I:$I,MATCH(($B18&amp;"|"&amp;I$3),KP!$D:$D,0)),"")</f>
        <v>0</v>
      </c>
      <c r="J18" s="10" t="n">
        <f aca="false">_xlfn.IFNA(INDEX(KP!$I:$I,MATCH(($B18&amp;"|"&amp;J$3),KP!$D:$D,0)),"")</f>
        <v>0</v>
      </c>
      <c r="K18" s="10" t="n">
        <f aca="false">SUM(SUMIFS(PrEP!$L:$L,PrEP!$B:$B,$B18,PrEP!$C:$C,{"15-24","25-34","35-49","50+"},PrEP!$D:$D,"Female"))</f>
        <v>0</v>
      </c>
      <c r="L18" s="10" t="n">
        <f aca="false">SUM(SUMIFS(PrEP!$L:$L,PrEP!$B:$B,$B18,PrEP!$C:$C,{"15-24","25-34"},PrEP!$D:$D,"Female"))</f>
        <v>0</v>
      </c>
      <c r="M18" s="10" t="n">
        <f aca="false">SUM(SUMIFS(PrEP!$L:$L,PrEP!$B:$B,$B18,PrEP!$C:$C,{"15-24","25-34","35-49","50+"},PrEP!$D:$D,"Male"))</f>
        <v>0</v>
      </c>
      <c r="N18" s="10" t="n">
        <f aca="false">_xlfn.IFNA(INDEX(KP!$K:$K,MATCH(($B18&amp;"|"&amp;N$3),KP!$D:$D,0)),"")</f>
        <v>0</v>
      </c>
      <c r="O18" s="10" t="n">
        <f aca="false">_xlfn.IFNA(INDEX(KP!$K:$K,MATCH(($B18&amp;"|"&amp;O$3),KP!$D:$D,0)),"")</f>
        <v>0</v>
      </c>
      <c r="P18" s="10" t="n">
        <f aca="false">_xlfn.IFNA(INDEX(KP!$K:$K,MATCH(($B18&amp;"|"&amp;P$3),KP!$D:$D,0)),"")</f>
        <v>0</v>
      </c>
      <c r="Q18" s="10" t="n">
        <f aca="false">_xlfn.IFNA(INDEX(KP!$K:$K,MATCH(($B18&amp;"|"&amp;Q$3),KP!$D:$D,0)),"")</f>
        <v>0</v>
      </c>
      <c r="R18" s="10" t="n">
        <f aca="false">_xlfn.IFNA(INDEX(KP!$K:$K,MATCH(($B18&amp;"|"&amp;R$3),KP!$D:$D,0)),"")</f>
        <v>0</v>
      </c>
      <c r="S18" s="10" t="n">
        <f aca="false">SUM(SUMIFS(Cascade!$AP:$AP,Cascade!$B:$B,$B18,Cascade!$C:$C,{"15-24","25-34","35-49","50+"},Cascade!$D:$D,"Female"))</f>
        <v>0</v>
      </c>
      <c r="T18" s="10" t="n">
        <f aca="false">SUM(SUMIFS(Cascade!$AP:$AP,Cascade!$B:$B,$B18,Cascade!$C:$C,{"15-24","25-34","35-49","50+"},Cascade!$D:$D,"Male"))</f>
        <v>0</v>
      </c>
      <c r="U18" s="10" t="str">
        <f aca="false">_xlfn.IFNA(INDEX(KP!$Q:$Q,MATCH(($B18&amp;"|"&amp;U$3),KP!$D:$D,0)),"")</f>
        <v/>
      </c>
      <c r="V18" s="10" t="str">
        <f aca="false">_xlfn.IFNA(INDEX(KP!$Q:$Q,MATCH(($B18&amp;"|"&amp;V$3),KP!$D:$D,0)),"")</f>
        <v/>
      </c>
      <c r="W18" s="10" t="str">
        <f aca="false">_xlfn.IFNA(INDEX(KP!$Q:$Q,MATCH(($B18&amp;"|"&amp;W$3),KP!$D:$D,0)),"")</f>
        <v/>
      </c>
      <c r="X18" s="10" t="str">
        <f aca="false">_xlfn.IFNA(INDEX(KP!$Q:$Q,MATCH(($B18&amp;"|"&amp;X$3),KP!$D:$D,0)),"")</f>
        <v/>
      </c>
      <c r="Y18" s="10" t="str">
        <f aca="false">_xlfn.IFNA(INDEX(KP!$Q:$Q,MATCH(($B18&amp;"|"&amp;Y$3),KP!$D:$D,0)),"")</f>
        <v/>
      </c>
      <c r="Z18" s="10" t="n">
        <f aca="false">SUM(SUMIFS(Cascade!$AX:$AX,Cascade!$B:$B,$B18,Cascade!$C:$C,{"15-24","25-34","35-49","50+"},Cascade!$D:$D,"Female"))</f>
        <v>0</v>
      </c>
      <c r="AA18" s="10" t="n">
        <f aca="false">SUM(SUMIFS(Cascade!$AX:$AX,Cascade!$B:$B,$B18,Cascade!$C:$C,{"15-24","25-34","35-49","50+"},Cascade!$D:$D,"Male"))</f>
        <v>0</v>
      </c>
      <c r="AB18" s="10" t="str">
        <f aca="false">_xlfn.IFNA(INDEX(KP!$Z:$Z,MATCH(($B18&amp;"|"&amp;AB$3),KP!$D:$D,0)),"")</f>
        <v/>
      </c>
      <c r="AC18" s="10" t="str">
        <f aca="false">_xlfn.IFNA(INDEX(KP!$Z:$Z,MATCH(($B18&amp;"|"&amp;AC$3),KP!$D:$D,0)),"")</f>
        <v/>
      </c>
      <c r="AD18" s="10" t="str">
        <f aca="false">_xlfn.IFNA(INDEX(KP!$Z:$Z,MATCH(($B18&amp;"|"&amp;AD$3),KP!$D:$D,0)),"")</f>
        <v/>
      </c>
      <c r="AE18" s="10" t="str">
        <f aca="false">_xlfn.IFNA(INDEX(KP!$Z:$Z,MATCH(($B18&amp;"|"&amp;AE$3),KP!$D:$D,0)),"")</f>
        <v/>
      </c>
      <c r="AF18" s="10" t="str">
        <f aca="false">_xlfn.IFNA(INDEX(KP!$Z:$Z,MATCH(($B18&amp;"|"&amp;AF$3),KP!$D:$D,0)),"")</f>
        <v/>
      </c>
      <c r="AG18" s="10" t="n">
        <f aca="false">SUM(SUMIFS(Cascade!$BB:$BB,Cascade!$B:$B,$B18,Cascade!$C:$C,{"15-24","25-34","35-49","50+"},Cascade!$D:$D,"Female"))</f>
        <v>0</v>
      </c>
      <c r="AH18" s="10" t="n">
        <f aca="false">SUM(SUMIFS(Cascade!$BB:$BB,Cascade!$B:$B,$B18,Cascade!$C:$C,{"15-24","25-34","35-49","50+"},Cascade!$D:$D,"Male"))</f>
        <v>0</v>
      </c>
      <c r="AI18" s="10" t="str">
        <f aca="false">_xlfn.IFNA(INDEX(KP!$AD:$AD,MATCH(($B18&amp;"|"&amp;AI$3),KP!$D:$D,0)),"")</f>
        <v/>
      </c>
      <c r="AJ18" s="10" t="str">
        <f aca="false">_xlfn.IFNA(INDEX(KP!$AD:$AD,MATCH(($B18&amp;"|"&amp;AJ$3),KP!$D:$D,0)),"")</f>
        <v/>
      </c>
      <c r="AK18" s="10" t="str">
        <f aca="false">_xlfn.IFNA(INDEX(KP!$AD:$AD,MATCH(($B18&amp;"|"&amp;AK$3),KP!$D:$D,0)),"")</f>
        <v/>
      </c>
      <c r="AL18" s="10" t="str">
        <f aca="false">_xlfn.IFNA(INDEX(KP!$AD:$AD,MATCH(($B18&amp;"|"&amp;AL$3),KP!$D:$D,0)),"")</f>
        <v/>
      </c>
      <c r="AM18" s="10" t="str">
        <f aca="false">_xlfn.IFNA(INDEX(KP!$AD:$AD,MATCH(($B18&amp;"|"&amp;AM$3),KP!$D:$D,0)),"")</f>
        <v/>
      </c>
      <c r="AN18" s="10" t="n">
        <f aca="false">SUM(SUMIFS(Cascade!$BE:$BE,Cascade!$B:$B,$B18,Cascade!$C:$C,{"15-24","25-34","35-49","50+"},Cascade!$D:$D,"Female"))</f>
        <v>0</v>
      </c>
      <c r="AO18" s="10" t="n">
        <f aca="false">SUM(SUMIFS(Cascade!$BE:$BE,Cascade!$B:$B,$B18,Cascade!$C:$C,{"15-24","25-34","35-49","50+"},Cascade!$D:$D,"Male"))</f>
        <v>0</v>
      </c>
      <c r="AP18" s="10" t="str">
        <f aca="false">_xlfn.IFNA(INDEX(KP!$AF:$AF,MATCH(($B18&amp;"|"&amp;AP$3),KP!$D:$D,0)),"")</f>
        <v/>
      </c>
      <c r="AQ18" s="10" t="str">
        <f aca="false">_xlfn.IFNA(INDEX(KP!$AF:$AF,MATCH(($B18&amp;"|"&amp;AQ$3),KP!$D:$D,0)),"")</f>
        <v/>
      </c>
      <c r="AR18" s="10" t="str">
        <f aca="false">_xlfn.IFNA(INDEX(KP!$AF:$AF,MATCH(($B18&amp;"|"&amp;AR$3),KP!$D:$D,0)),"")</f>
        <v/>
      </c>
      <c r="AS18" s="10" t="str">
        <f aca="false">_xlfn.IFNA(INDEX(KP!$AF:$AF,MATCH(($B18&amp;"|"&amp;AS$3),KP!$D:$D,0)),"")</f>
        <v/>
      </c>
      <c r="AT18" s="10" t="str">
        <f aca="false">_xlfn.IFNA(INDEX(KP!$AF:$AF,MATCH(($B18&amp;"|"&amp;AT$3),KP!$D:$D,0)),"")</f>
        <v/>
      </c>
      <c r="AU18" s="10" t="n">
        <f aca="false">SUM(SUMIFS(HTS!$AM:$AM,HTS!$B:$B,$B18,HTS!$C:$C,{"15-24","25-34","35-49","50+"},HTS!$D:$D,"Female"))</f>
        <v>0</v>
      </c>
      <c r="AV18" s="10" t="n">
        <f aca="false">SUM(SUMIFS(HTS!$AM:$AM,HTS!$B:$B,$B18,HTS!$C:$C,{"15-24","25-34","35-49","50+"},HTS!$D:$D,"Male"))</f>
        <v>0</v>
      </c>
      <c r="AW18" s="10" t="str">
        <f aca="false">_xlfn.IFNA(INDEX(KP!$AK:$AK,MATCH(($B18&amp;"|"&amp;AW$3),KP!$D:$D,0)),"")</f>
        <v/>
      </c>
      <c r="AX18" s="10" t="str">
        <f aca="false">_xlfn.IFNA(INDEX(KP!$AK:$AK,MATCH(($B18&amp;"|"&amp;AX$3),KP!$D:$D,0)),"")</f>
        <v/>
      </c>
      <c r="AY18" s="10" t="str">
        <f aca="false">_xlfn.IFNA(INDEX(KP!$AK:$AK,MATCH(($B18&amp;"|"&amp;AY$3),KP!$D:$D,0)),"")</f>
        <v/>
      </c>
      <c r="AZ18" s="10" t="str">
        <f aca="false">_xlfn.IFNA(INDEX(KP!$AK:$AK,MATCH(($B18&amp;"|"&amp;AZ$3),KP!$D:$D,0)),"")</f>
        <v/>
      </c>
      <c r="BA18" s="10" t="str">
        <f aca="false">_xlfn.IFNA(INDEX(KP!$AK:$AK,MATCH(($B18&amp;"|"&amp;BA$3),KP!$D:$D,0)),"")</f>
        <v/>
      </c>
      <c r="BB18" s="10" t="n">
        <f aca="false">SUM(SUMIFS(HTS!$AT:$AT,HTS!$B:$B,$B18,HTS!$C:$C,{"15-24","25-34","35-49","50+"},HTS!$D:$D,"Female"))</f>
        <v>0</v>
      </c>
      <c r="BC18" s="10" t="n">
        <f aca="false">SUM(SUMIFS(HTS!$AT:$AT,HTS!$B:$B,$B18,HTS!$C:$C,{"15-24","25-34","35-49","50+"},HTS!$D:$D,"Male"))</f>
        <v>0</v>
      </c>
      <c r="BD18" s="10" t="str">
        <f aca="false">_xlfn.IFNA(INDEX(KP!$AL:$AL,MATCH(($B18&amp;"|"&amp;BD$3),KP!$D:$D,0)),"")</f>
        <v/>
      </c>
      <c r="BE18" s="10" t="str">
        <f aca="false">_xlfn.IFNA(INDEX(KP!$AL:$AL,MATCH(($B18&amp;"|"&amp;BE$3),KP!$D:$D,0)),"")</f>
        <v/>
      </c>
      <c r="BF18" s="10" t="str">
        <f aca="false">_xlfn.IFNA(INDEX(KP!$AL:$AL,MATCH(($B18&amp;"|"&amp;BF$3),KP!$D:$D,0)),"")</f>
        <v/>
      </c>
      <c r="BG18" s="10" t="str">
        <f aca="false">_xlfn.IFNA(INDEX(KP!$AL:$AL,MATCH(($B18&amp;"|"&amp;BG$3),KP!$D:$D,0)),"")</f>
        <v/>
      </c>
      <c r="BH18" s="10" t="str">
        <f aca="false">_xlfn.IFNA(INDEX(KP!$AL:$AL,MATCH(($B18&amp;"|"&amp;BH$3),KP!$D:$D,0)),"")</f>
        <v/>
      </c>
      <c r="BI18" s="10" t="n">
        <f aca="false">SUM(SUMIFS(HTS!$BA:$BA,HTS!$B:$B,$B18,HTS!$C:$C,{"15-24","25-34","35-49","50+"},HTS!$D:$D,"Female"))</f>
        <v>0</v>
      </c>
      <c r="BJ18" s="10" t="n">
        <f aca="false">SUM(SUMIFS(HTS!$BA:$BA,HTS!$B:$B,$B18,HTS!$C:$C,{"15-24","25-34","35-49","50+"},HTS!$D:$D,"Male"))</f>
        <v>0</v>
      </c>
      <c r="BK18" s="10" t="str">
        <f aca="false">_xlfn.IFNA(INDEX(KP!$AN:$AN,MATCH(($B18&amp;"|"&amp;BK$3),KP!$D:$D,0)),"")</f>
        <v/>
      </c>
      <c r="BL18" s="10" t="str">
        <f aca="false">_xlfn.IFNA(INDEX(KP!$AN:$AN,MATCH(($B18&amp;"|"&amp;BL$3),KP!$D:$D,0)),"")</f>
        <v/>
      </c>
      <c r="BM18" s="10" t="str">
        <f aca="false">_xlfn.IFNA(INDEX(KP!$AN:$AN,MATCH(($B18&amp;"|"&amp;BM$3),KP!$D:$D,0)),"")</f>
        <v/>
      </c>
      <c r="BN18" s="10" t="str">
        <f aca="false">_xlfn.IFNA(INDEX(KP!$AN:$AN,MATCH(($B18&amp;"|"&amp;BN$3),KP!$D:$D,0)),"")</f>
        <v/>
      </c>
      <c r="BO18" s="10" t="str">
        <f aca="false">_xlfn.IFNA(INDEX(KP!$AN:$AN,MATCH(($B18&amp;"|"&amp;BO$3),KP!$D:$D,0)),"")</f>
        <v/>
      </c>
      <c r="BP18" s="10" t="n">
        <f aca="false">SUM(SUMIFS(HTS!$AY:$AY,HTS!$B:$B,$B18,HTS!$C:$C,{"15-24","25-34","35-49","50+"},HTS!$D:$D,"Female"))</f>
        <v>9</v>
      </c>
      <c r="BQ18" s="10" t="n">
        <f aca="false">SUM(SUMIFS(HTS!$AY:$AY,HTS!$B:$B,$B18,HTS!$C:$C,{"15-24","25-34","35-49","50+"},HTS!$D:$D,"Male"))</f>
        <v>2</v>
      </c>
      <c r="BR18" s="10" t="n">
        <f aca="false">_xlfn.IFNA(INDEX(KP!$AP:$AP,MATCH(($B18&amp;"|"&amp;BR$3),KP!$D:$D,0)),"")</f>
        <v>0</v>
      </c>
      <c r="BS18" s="10" t="n">
        <f aca="false">_xlfn.IFNA(INDEX(KP!$AP:$AP,MATCH(($B18&amp;"|"&amp;BS$3),KP!$D:$D,0)),"")</f>
        <v>0</v>
      </c>
      <c r="BT18" s="10" t="n">
        <f aca="false">_xlfn.IFNA(INDEX(KP!$AP:$AP,MATCH(($B18&amp;"|"&amp;BT$3),KP!$D:$D,0)),"")</f>
        <v>0</v>
      </c>
      <c r="BU18" s="10" t="n">
        <f aca="false">_xlfn.IFNA(INDEX(KP!$AP:$AP,MATCH(($B18&amp;"|"&amp;BU$3),KP!$D:$D,0)),"")</f>
        <v>0</v>
      </c>
      <c r="BV18" s="10" t="n">
        <f aca="false">_xlfn.IFNA(INDEX(KP!$AP:$AP,MATCH(($B18&amp;"|"&amp;BV$3),KP!$D:$D,0)),"")</f>
        <v>0</v>
      </c>
    </row>
    <row r="19" customFormat="false" ht="15" hidden="false" customHeight="false" outlineLevel="0" collapsed="false">
      <c r="A19" s="91" t="str">
        <f aca="false">INDEX(Prioritization!$D:$D,MATCH($B19,Prioritization!$A:$A,0))</f>
        <v>1 - Scale-up: Saturation</v>
      </c>
      <c r="B19" s="40" t="s">
        <v>198</v>
      </c>
      <c r="C19" s="10" t="n">
        <f aca="false">SUM(SUMIFS(PrEP!$O:$O,PrEP!$B:$B,$B19,PrEP!$C:$C,{"15-24","25-34","35-49","50+"},PrEP!$D:$D,"Female"))</f>
        <v>0</v>
      </c>
      <c r="D19" s="10" t="n">
        <f aca="false">SUM(SUMIFS(PrEP!$O:$O,PrEP!$B:$B,$B19,PrEP!$C:$C,{"15-24","25-34"},PrEP!$D:$D,"Female"))</f>
        <v>0</v>
      </c>
      <c r="E19" s="10" t="n">
        <f aca="false">SUM(SUMIFS(PrEP!$O:$O,PrEP!$B:$B,$B19,PrEP!$C:$C,{"15-24","25-34","35-49","50+"},PrEP!$D:$D,"Male"))</f>
        <v>0</v>
      </c>
      <c r="F19" s="10" t="n">
        <f aca="false">_xlfn.IFNA(INDEX(KP!$I:$I,MATCH(($B19&amp;"|"&amp;F$3),KP!$D:$D,0)),"")</f>
        <v>0</v>
      </c>
      <c r="G19" s="10" t="n">
        <f aca="false">_xlfn.IFNA(INDEX(KP!$I:$I,MATCH(($B19&amp;"|"&amp;G$3),KP!$D:$D,0)),"")</f>
        <v>0</v>
      </c>
      <c r="H19" s="10" t="n">
        <f aca="false">_xlfn.IFNA(INDEX(KP!$I:$I,MATCH(($B19&amp;"|"&amp;H$3),KP!$D:$D,0)),"")</f>
        <v>0</v>
      </c>
      <c r="I19" s="10" t="n">
        <f aca="false">_xlfn.IFNA(INDEX(KP!$I:$I,MATCH(($B19&amp;"|"&amp;I$3),KP!$D:$D,0)),"")</f>
        <v>0</v>
      </c>
      <c r="J19" s="10" t="n">
        <f aca="false">_xlfn.IFNA(INDEX(KP!$I:$I,MATCH(($B19&amp;"|"&amp;J$3),KP!$D:$D,0)),"")</f>
        <v>0</v>
      </c>
      <c r="K19" s="10" t="n">
        <f aca="false">SUM(SUMIFS(PrEP!$L:$L,PrEP!$B:$B,$B19,PrEP!$C:$C,{"15-24","25-34","35-49","50+"},PrEP!$D:$D,"Female"))</f>
        <v>7</v>
      </c>
      <c r="L19" s="10" t="n">
        <f aca="false">SUM(SUMIFS(PrEP!$L:$L,PrEP!$B:$B,$B19,PrEP!$C:$C,{"15-24","25-34"},PrEP!$D:$D,"Female"))</f>
        <v>0</v>
      </c>
      <c r="M19" s="10" t="n">
        <f aca="false">SUM(SUMIFS(PrEP!$L:$L,PrEP!$B:$B,$B19,PrEP!$C:$C,{"15-24","25-34","35-49","50+"},PrEP!$D:$D,"Male"))</f>
        <v>68</v>
      </c>
      <c r="N19" s="10" t="n">
        <f aca="false">_xlfn.IFNA(INDEX(KP!$K:$K,MATCH(($B19&amp;"|"&amp;N$3),KP!$D:$D,0)),"")</f>
        <v>0</v>
      </c>
      <c r="O19" s="10" t="n">
        <f aca="false">_xlfn.IFNA(INDEX(KP!$K:$K,MATCH(($B19&amp;"|"&amp;O$3),KP!$D:$D,0)),"")</f>
        <v>0</v>
      </c>
      <c r="P19" s="10" t="n">
        <f aca="false">_xlfn.IFNA(INDEX(KP!$K:$K,MATCH(($B19&amp;"|"&amp;P$3),KP!$D:$D,0)),"")</f>
        <v>0</v>
      </c>
      <c r="Q19" s="10" t="n">
        <f aca="false">_xlfn.IFNA(INDEX(KP!$K:$K,MATCH(($B19&amp;"|"&amp;Q$3),KP!$D:$D,0)),"")</f>
        <v>0</v>
      </c>
      <c r="R19" s="10" t="n">
        <f aca="false">_xlfn.IFNA(INDEX(KP!$K:$K,MATCH(($B19&amp;"|"&amp;R$3),KP!$D:$D,0)),"")</f>
        <v>0</v>
      </c>
      <c r="S19" s="10" t="n">
        <f aca="false">SUM(SUMIFS(Cascade!$AP:$AP,Cascade!$B:$B,$B19,Cascade!$C:$C,{"15-24","25-34","35-49","50+"},Cascade!$D:$D,"Female"))</f>
        <v>0</v>
      </c>
      <c r="T19" s="10" t="n">
        <f aca="false">SUM(SUMIFS(Cascade!$AP:$AP,Cascade!$B:$B,$B19,Cascade!$C:$C,{"15-24","25-34","35-49","50+"},Cascade!$D:$D,"Male"))</f>
        <v>0</v>
      </c>
      <c r="U19" s="10" t="n">
        <f aca="false">_xlfn.IFNA(INDEX(KP!$Q:$Q,MATCH(($B19&amp;"|"&amp;U$3),KP!$D:$D,0)),"")</f>
        <v>631</v>
      </c>
      <c r="V19" s="10" t="n">
        <f aca="false">_xlfn.IFNA(INDEX(KP!$Q:$Q,MATCH(($B19&amp;"|"&amp;V$3),KP!$D:$D,0)),"")</f>
        <v>76</v>
      </c>
      <c r="W19" s="10" t="n">
        <f aca="false">_xlfn.IFNA(INDEX(KP!$Q:$Q,MATCH(($B19&amp;"|"&amp;W$3),KP!$D:$D,0)),"")</f>
        <v>81</v>
      </c>
      <c r="X19" s="10" t="str">
        <f aca="false">_xlfn.IFNA(INDEX(KP!$Q:$Q,MATCH(($B19&amp;"|"&amp;X$3),KP!$D:$D,0)),"")</f>
        <v/>
      </c>
      <c r="Y19" s="10" t="n">
        <f aca="false">_xlfn.IFNA(INDEX(KP!$Q:$Q,MATCH(($B19&amp;"|"&amp;Y$3),KP!$D:$D,0)),"")</f>
        <v>5</v>
      </c>
      <c r="Z19" s="10" t="n">
        <f aca="false">SUM(SUMIFS(Cascade!$AX:$AX,Cascade!$B:$B,$B19,Cascade!$C:$C,{"15-24","25-34","35-49","50+"},Cascade!$D:$D,"Female"))</f>
        <v>0</v>
      </c>
      <c r="AA19" s="10" t="n">
        <f aca="false">SUM(SUMIFS(Cascade!$AX:$AX,Cascade!$B:$B,$B19,Cascade!$C:$C,{"15-24","25-34","35-49","50+"},Cascade!$D:$D,"Male"))</f>
        <v>0</v>
      </c>
      <c r="AB19" s="10" t="n">
        <f aca="false">_xlfn.IFNA(INDEX(KP!$Z:$Z,MATCH(($B19&amp;"|"&amp;AB$3),KP!$D:$D,0)),"")</f>
        <v>13</v>
      </c>
      <c r="AC19" s="10" t="n">
        <f aca="false">_xlfn.IFNA(INDEX(KP!$Z:$Z,MATCH(($B19&amp;"|"&amp;AC$3),KP!$D:$D,0)),"")</f>
        <v>2</v>
      </c>
      <c r="AD19" s="10" t="n">
        <f aca="false">_xlfn.IFNA(INDEX(KP!$Z:$Z,MATCH(($B19&amp;"|"&amp;AD$3),KP!$D:$D,0)),"")</f>
        <v>2</v>
      </c>
      <c r="AE19" s="10" t="str">
        <f aca="false">_xlfn.IFNA(INDEX(KP!$Z:$Z,MATCH(($B19&amp;"|"&amp;AE$3),KP!$D:$D,0)),"")</f>
        <v/>
      </c>
      <c r="AF19" s="10" t="str">
        <f aca="false">_xlfn.IFNA(INDEX(KP!$Z:$Z,MATCH(($B19&amp;"|"&amp;AF$3),KP!$D:$D,0)),"")</f>
        <v/>
      </c>
      <c r="AG19" s="10" t="n">
        <f aca="false">SUM(SUMIFS(Cascade!$BB:$BB,Cascade!$B:$B,$B19,Cascade!$C:$C,{"15-24","25-34","35-49","50+"},Cascade!$D:$D,"Female"))</f>
        <v>0</v>
      </c>
      <c r="AH19" s="10" t="n">
        <f aca="false">SUM(SUMIFS(Cascade!$BB:$BB,Cascade!$B:$B,$B19,Cascade!$C:$C,{"15-24","25-34","35-49","50+"},Cascade!$D:$D,"Male"))</f>
        <v>0</v>
      </c>
      <c r="AI19" s="10" t="n">
        <f aca="false">_xlfn.IFNA(INDEX(KP!$AD:$AD,MATCH(($B19&amp;"|"&amp;AI$3),KP!$D:$D,0)),"")</f>
        <v>608</v>
      </c>
      <c r="AJ19" s="10" t="n">
        <f aca="false">_xlfn.IFNA(INDEX(KP!$AD:$AD,MATCH(($B19&amp;"|"&amp;AJ$3),KP!$D:$D,0)),"")</f>
        <v>73</v>
      </c>
      <c r="AK19" s="10" t="n">
        <f aca="false">_xlfn.IFNA(INDEX(KP!$AD:$AD,MATCH(($B19&amp;"|"&amp;AK$3),KP!$D:$D,0)),"")</f>
        <v>78</v>
      </c>
      <c r="AL19" s="10" t="str">
        <f aca="false">_xlfn.IFNA(INDEX(KP!$AD:$AD,MATCH(($B19&amp;"|"&amp;AL$3),KP!$D:$D,0)),"")</f>
        <v/>
      </c>
      <c r="AM19" s="10" t="n">
        <f aca="false">_xlfn.IFNA(INDEX(KP!$AD:$AD,MATCH(($B19&amp;"|"&amp;AM$3),KP!$D:$D,0)),"")</f>
        <v>5</v>
      </c>
      <c r="AN19" s="10" t="n">
        <f aca="false">SUM(SUMIFS(Cascade!$BE:$BE,Cascade!$B:$B,$B19,Cascade!$C:$C,{"15-24","25-34","35-49","50+"},Cascade!$D:$D,"Female"))</f>
        <v>0</v>
      </c>
      <c r="AO19" s="10" t="n">
        <f aca="false">SUM(SUMIFS(Cascade!$BE:$BE,Cascade!$B:$B,$B19,Cascade!$C:$C,{"15-24","25-34","35-49","50+"},Cascade!$D:$D,"Male"))</f>
        <v>0</v>
      </c>
      <c r="AP19" s="10" t="n">
        <f aca="false">_xlfn.IFNA(INDEX(KP!$AF:$AF,MATCH(($B19&amp;"|"&amp;AP$3),KP!$D:$D,0)),"")</f>
        <v>578</v>
      </c>
      <c r="AQ19" s="10" t="n">
        <f aca="false">_xlfn.IFNA(INDEX(KP!$AF:$AF,MATCH(($B19&amp;"|"&amp;AQ$3),KP!$D:$D,0)),"")</f>
        <v>69</v>
      </c>
      <c r="AR19" s="10" t="n">
        <f aca="false">_xlfn.IFNA(INDEX(KP!$AF:$AF,MATCH(($B19&amp;"|"&amp;AR$3),KP!$D:$D,0)),"")</f>
        <v>74</v>
      </c>
      <c r="AS19" s="10" t="str">
        <f aca="false">_xlfn.IFNA(INDEX(KP!$AF:$AF,MATCH(($B19&amp;"|"&amp;AS$3),KP!$D:$D,0)),"")</f>
        <v/>
      </c>
      <c r="AT19" s="10" t="n">
        <f aca="false">_xlfn.IFNA(INDEX(KP!$AF:$AF,MATCH(($B19&amp;"|"&amp;AT$3),KP!$D:$D,0)),"")</f>
        <v>5</v>
      </c>
      <c r="AU19" s="10" t="n">
        <f aca="false">SUM(SUMIFS(HTS!$AM:$AM,HTS!$B:$B,$B19,HTS!$C:$C,{"15-24","25-34","35-49","50+"},HTS!$D:$D,"Female"))</f>
        <v>0</v>
      </c>
      <c r="AV19" s="10" t="n">
        <f aca="false">SUM(SUMIFS(HTS!$AM:$AM,HTS!$B:$B,$B19,HTS!$C:$C,{"15-24","25-34","35-49","50+"},HTS!$D:$D,"Male"))</f>
        <v>0</v>
      </c>
      <c r="AW19" s="10" t="n">
        <f aca="false">_xlfn.IFNA(INDEX(KP!$AK:$AK,MATCH(($B19&amp;"|"&amp;AW$3),KP!$D:$D,0)),"")</f>
        <v>14</v>
      </c>
      <c r="AX19" s="10" t="n">
        <f aca="false">_xlfn.IFNA(INDEX(KP!$AK:$AK,MATCH(($B19&amp;"|"&amp;AX$3),KP!$D:$D,0)),"")</f>
        <v>2</v>
      </c>
      <c r="AY19" s="10" t="n">
        <f aca="false">_xlfn.IFNA(INDEX(KP!$AK:$AK,MATCH(($B19&amp;"|"&amp;AY$3),KP!$D:$D,0)),"")</f>
        <v>2</v>
      </c>
      <c r="AZ19" s="10" t="str">
        <f aca="false">_xlfn.IFNA(INDEX(KP!$AK:$AK,MATCH(($B19&amp;"|"&amp;AZ$3),KP!$D:$D,0)),"")</f>
        <v/>
      </c>
      <c r="BA19" s="10" t="str">
        <f aca="false">_xlfn.IFNA(INDEX(KP!$AK:$AK,MATCH(($B19&amp;"|"&amp;BA$3),KP!$D:$D,0)),"")</f>
        <v/>
      </c>
      <c r="BB19" s="10" t="n">
        <f aca="false">SUM(SUMIFS(HTS!$AT:$AT,HTS!$B:$B,$B19,HTS!$C:$C,{"15-24","25-34","35-49","50+"},HTS!$D:$D,"Female"))</f>
        <v>0</v>
      </c>
      <c r="BC19" s="10" t="n">
        <f aca="false">SUM(SUMIFS(HTS!$AT:$AT,HTS!$B:$B,$B19,HTS!$C:$C,{"15-24","25-34","35-49","50+"},HTS!$D:$D,"Male"))</f>
        <v>0</v>
      </c>
      <c r="BD19" s="10" t="str">
        <f aca="false">_xlfn.IFNA(INDEX(KP!$AL:$AL,MATCH(($B19&amp;"|"&amp;BD$3),KP!$D:$D,0)),"")</f>
        <v>ENTER YIELD RATE</v>
      </c>
      <c r="BE19" s="10" t="str">
        <f aca="false">_xlfn.IFNA(INDEX(KP!$AL:$AL,MATCH(($B19&amp;"|"&amp;BE$3),KP!$D:$D,0)),"")</f>
        <v>ENTER YIELD RATE</v>
      </c>
      <c r="BF19" s="10" t="str">
        <f aca="false">_xlfn.IFNA(INDEX(KP!$AL:$AL,MATCH(($B19&amp;"|"&amp;BF$3),KP!$D:$D,0)),"")</f>
        <v>ENTER YIELD RATE</v>
      </c>
      <c r="BG19" s="10" t="str">
        <f aca="false">_xlfn.IFNA(INDEX(KP!$AL:$AL,MATCH(($B19&amp;"|"&amp;BG$3),KP!$D:$D,0)),"")</f>
        <v/>
      </c>
      <c r="BH19" s="10" t="str">
        <f aca="false">_xlfn.IFNA(INDEX(KP!$AL:$AL,MATCH(($B19&amp;"|"&amp;BH$3),KP!$D:$D,0)),"")</f>
        <v/>
      </c>
      <c r="BI19" s="10" t="n">
        <f aca="false">SUM(SUMIFS(HTS!$BA:$BA,HTS!$B:$B,$B19,HTS!$C:$C,{"15-24","25-34","35-49","50+"},HTS!$D:$D,"Female"))</f>
        <v>0</v>
      </c>
      <c r="BJ19" s="10" t="n">
        <f aca="false">SUM(SUMIFS(HTS!$BA:$BA,HTS!$B:$B,$B19,HTS!$C:$C,{"15-24","25-34","35-49","50+"},HTS!$D:$D,"Male"))</f>
        <v>0</v>
      </c>
      <c r="BK19" s="10" t="n">
        <f aca="false">_xlfn.IFNA(INDEX(KP!$AN:$AN,MATCH(($B19&amp;"|"&amp;BK$3),KP!$D:$D,0)),"")</f>
        <v>14</v>
      </c>
      <c r="BL19" s="10" t="n">
        <f aca="false">_xlfn.IFNA(INDEX(KP!$AN:$AN,MATCH(($B19&amp;"|"&amp;BL$3),KP!$D:$D,0)),"")</f>
        <v>2</v>
      </c>
      <c r="BM19" s="10" t="n">
        <f aca="false">_xlfn.IFNA(INDEX(KP!$AN:$AN,MATCH(($B19&amp;"|"&amp;BM$3),KP!$D:$D,0)),"")</f>
        <v>2</v>
      </c>
      <c r="BN19" s="10" t="str">
        <f aca="false">_xlfn.IFNA(INDEX(KP!$AN:$AN,MATCH(($B19&amp;"|"&amp;BN$3),KP!$D:$D,0)),"")</f>
        <v/>
      </c>
      <c r="BO19" s="10" t="str">
        <f aca="false">_xlfn.IFNA(INDEX(KP!$AN:$AN,MATCH(($B19&amp;"|"&amp;BO$3),KP!$D:$D,0)),"")</f>
        <v/>
      </c>
      <c r="BP19" s="10" t="n">
        <f aca="false">SUM(SUMIFS(HTS!$AY:$AY,HTS!$B:$B,$B19,HTS!$C:$C,{"15-24","25-34","35-49","50+"},HTS!$D:$D,"Female"))</f>
        <v>41</v>
      </c>
      <c r="BQ19" s="10" t="n">
        <f aca="false">SUM(SUMIFS(HTS!$AY:$AY,HTS!$B:$B,$B19,HTS!$C:$C,{"15-24","25-34","35-49","50+"},HTS!$D:$D,"Male"))</f>
        <v>942</v>
      </c>
      <c r="BR19" s="10" t="n">
        <f aca="false">_xlfn.IFNA(INDEX(KP!$AP:$AP,MATCH(($B19&amp;"|"&amp;BR$3),KP!$D:$D,0)),"")</f>
        <v>0</v>
      </c>
      <c r="BS19" s="10" t="n">
        <f aca="false">_xlfn.IFNA(INDEX(KP!$AP:$AP,MATCH(($B19&amp;"|"&amp;BS$3),KP!$D:$D,0)),"")</f>
        <v>0</v>
      </c>
      <c r="BT19" s="10" t="n">
        <f aca="false">_xlfn.IFNA(INDEX(KP!$AP:$AP,MATCH(($B19&amp;"|"&amp;BT$3),KP!$D:$D,0)),"")</f>
        <v>0</v>
      </c>
      <c r="BU19" s="10" t="n">
        <f aca="false">_xlfn.IFNA(INDEX(KP!$AP:$AP,MATCH(($B19&amp;"|"&amp;BU$3),KP!$D:$D,0)),"")</f>
        <v>0</v>
      </c>
      <c r="BV19" s="10" t="n">
        <f aca="false">_xlfn.IFNA(INDEX(KP!$AP:$AP,MATCH(($B19&amp;"|"&amp;BV$3),KP!$D:$D,0)),"")</f>
        <v>0</v>
      </c>
    </row>
    <row r="20" customFormat="false" ht="15" hidden="false" customHeight="false" outlineLevel="0" collapsed="false">
      <c r="A20" s="91" t="str">
        <f aca="false">INDEX(Prioritization!$D:$D,MATCH($B20,Prioritization!$A:$A,0))</f>
        <v>1 - Scale-up: Saturation</v>
      </c>
      <c r="B20" s="40" t="s">
        <v>199</v>
      </c>
      <c r="C20" s="10" t="n">
        <f aca="false">SUM(SUMIFS(PrEP!$O:$O,PrEP!$B:$B,$B20,PrEP!$C:$C,{"15-24","25-34","35-49","50+"},PrEP!$D:$D,"Female"))</f>
        <v>0</v>
      </c>
      <c r="D20" s="10" t="n">
        <f aca="false">SUM(SUMIFS(PrEP!$O:$O,PrEP!$B:$B,$B20,PrEP!$C:$C,{"15-24","25-34"},PrEP!$D:$D,"Female"))</f>
        <v>0</v>
      </c>
      <c r="E20" s="10" t="n">
        <f aca="false">SUM(SUMIFS(PrEP!$O:$O,PrEP!$B:$B,$B20,PrEP!$C:$C,{"15-24","25-34","35-49","50+"},PrEP!$D:$D,"Male"))</f>
        <v>0</v>
      </c>
      <c r="F20" s="10" t="n">
        <f aca="false">_xlfn.IFNA(INDEX(KP!$I:$I,MATCH(($B20&amp;"|"&amp;F$3),KP!$D:$D,0)),"")</f>
        <v>0</v>
      </c>
      <c r="G20" s="10" t="n">
        <f aca="false">_xlfn.IFNA(INDEX(KP!$I:$I,MATCH(($B20&amp;"|"&amp;G$3),KP!$D:$D,0)),"")</f>
        <v>0</v>
      </c>
      <c r="H20" s="10" t="n">
        <f aca="false">_xlfn.IFNA(INDEX(KP!$I:$I,MATCH(($B20&amp;"|"&amp;H$3),KP!$D:$D,0)),"")</f>
        <v>0</v>
      </c>
      <c r="I20" s="10" t="n">
        <f aca="false">_xlfn.IFNA(INDEX(KP!$I:$I,MATCH(($B20&amp;"|"&amp;I$3),KP!$D:$D,0)),"")</f>
        <v>0</v>
      </c>
      <c r="J20" s="10" t="n">
        <f aca="false">_xlfn.IFNA(INDEX(KP!$I:$I,MATCH(($B20&amp;"|"&amp;J$3),KP!$D:$D,0)),"")</f>
        <v>0</v>
      </c>
      <c r="K20" s="10" t="n">
        <f aca="false">SUM(SUMIFS(PrEP!$L:$L,PrEP!$B:$B,$B20,PrEP!$C:$C,{"15-24","25-34","35-49","50+"},PrEP!$D:$D,"Female"))</f>
        <v>0</v>
      </c>
      <c r="L20" s="10" t="n">
        <f aca="false">SUM(SUMIFS(PrEP!$L:$L,PrEP!$B:$B,$B20,PrEP!$C:$C,{"15-24","25-34"},PrEP!$D:$D,"Female"))</f>
        <v>0</v>
      </c>
      <c r="M20" s="10" t="n">
        <f aca="false">SUM(SUMIFS(PrEP!$L:$L,PrEP!$B:$B,$B20,PrEP!$C:$C,{"15-24","25-34","35-49","50+"},PrEP!$D:$D,"Male"))</f>
        <v>0</v>
      </c>
      <c r="N20" s="10" t="n">
        <f aca="false">_xlfn.IFNA(INDEX(KP!$K:$K,MATCH(($B20&amp;"|"&amp;N$3),KP!$D:$D,0)),"")</f>
        <v>0</v>
      </c>
      <c r="O20" s="10" t="n">
        <f aca="false">_xlfn.IFNA(INDEX(KP!$K:$K,MATCH(($B20&amp;"|"&amp;O$3),KP!$D:$D,0)),"")</f>
        <v>0</v>
      </c>
      <c r="P20" s="10" t="n">
        <f aca="false">_xlfn.IFNA(INDEX(KP!$K:$K,MATCH(($B20&amp;"|"&amp;P$3),KP!$D:$D,0)),"")</f>
        <v>0</v>
      </c>
      <c r="Q20" s="10" t="n">
        <f aca="false">_xlfn.IFNA(INDEX(KP!$K:$K,MATCH(($B20&amp;"|"&amp;Q$3),KP!$D:$D,0)),"")</f>
        <v>0</v>
      </c>
      <c r="R20" s="10" t="n">
        <f aca="false">_xlfn.IFNA(INDEX(KP!$K:$K,MATCH(($B20&amp;"|"&amp;R$3),KP!$D:$D,0)),"")</f>
        <v>0</v>
      </c>
      <c r="S20" s="10" t="n">
        <f aca="false">SUM(SUMIFS(Cascade!$AP:$AP,Cascade!$B:$B,$B20,Cascade!$C:$C,{"15-24","25-34","35-49","50+"},Cascade!$D:$D,"Female"))</f>
        <v>0</v>
      </c>
      <c r="T20" s="10" t="n">
        <f aca="false">SUM(SUMIFS(Cascade!$AP:$AP,Cascade!$B:$B,$B20,Cascade!$C:$C,{"15-24","25-34","35-49","50+"},Cascade!$D:$D,"Male"))</f>
        <v>0</v>
      </c>
      <c r="U20" s="10" t="str">
        <f aca="false">_xlfn.IFNA(INDEX(KP!$Q:$Q,MATCH(($B20&amp;"|"&amp;U$3),KP!$D:$D,0)),"")</f>
        <v/>
      </c>
      <c r="V20" s="10" t="str">
        <f aca="false">_xlfn.IFNA(INDEX(KP!$Q:$Q,MATCH(($B20&amp;"|"&amp;V$3),KP!$D:$D,0)),"")</f>
        <v/>
      </c>
      <c r="W20" s="10" t="str">
        <f aca="false">_xlfn.IFNA(INDEX(KP!$Q:$Q,MATCH(($B20&amp;"|"&amp;W$3),KP!$D:$D,0)),"")</f>
        <v/>
      </c>
      <c r="X20" s="10" t="str">
        <f aca="false">_xlfn.IFNA(INDEX(KP!$Q:$Q,MATCH(($B20&amp;"|"&amp;X$3),KP!$D:$D,0)),"")</f>
        <v/>
      </c>
      <c r="Y20" s="10" t="str">
        <f aca="false">_xlfn.IFNA(INDEX(KP!$Q:$Q,MATCH(($B20&amp;"|"&amp;Y$3),KP!$D:$D,0)),"")</f>
        <v/>
      </c>
      <c r="Z20" s="10" t="n">
        <f aca="false">SUM(SUMIFS(Cascade!$AX:$AX,Cascade!$B:$B,$B20,Cascade!$C:$C,{"15-24","25-34","35-49","50+"},Cascade!$D:$D,"Female"))</f>
        <v>0</v>
      </c>
      <c r="AA20" s="10" t="n">
        <f aca="false">SUM(SUMIFS(Cascade!$AX:$AX,Cascade!$B:$B,$B20,Cascade!$C:$C,{"15-24","25-34","35-49","50+"},Cascade!$D:$D,"Male"))</f>
        <v>0</v>
      </c>
      <c r="AB20" s="10" t="str">
        <f aca="false">_xlfn.IFNA(INDEX(KP!$Z:$Z,MATCH(($B20&amp;"|"&amp;AB$3),KP!$D:$D,0)),"")</f>
        <v/>
      </c>
      <c r="AC20" s="10" t="str">
        <f aca="false">_xlfn.IFNA(INDEX(KP!$Z:$Z,MATCH(($B20&amp;"|"&amp;AC$3),KP!$D:$D,0)),"")</f>
        <v/>
      </c>
      <c r="AD20" s="10" t="str">
        <f aca="false">_xlfn.IFNA(INDEX(KP!$Z:$Z,MATCH(($B20&amp;"|"&amp;AD$3),KP!$D:$D,0)),"")</f>
        <v/>
      </c>
      <c r="AE20" s="10" t="str">
        <f aca="false">_xlfn.IFNA(INDEX(KP!$Z:$Z,MATCH(($B20&amp;"|"&amp;AE$3),KP!$D:$D,0)),"")</f>
        <v/>
      </c>
      <c r="AF20" s="10" t="str">
        <f aca="false">_xlfn.IFNA(INDEX(KP!$Z:$Z,MATCH(($B20&amp;"|"&amp;AF$3),KP!$D:$D,0)),"")</f>
        <v/>
      </c>
      <c r="AG20" s="10" t="n">
        <f aca="false">SUM(SUMIFS(Cascade!$BB:$BB,Cascade!$B:$B,$B20,Cascade!$C:$C,{"15-24","25-34","35-49","50+"},Cascade!$D:$D,"Female"))</f>
        <v>0</v>
      </c>
      <c r="AH20" s="10" t="n">
        <f aca="false">SUM(SUMIFS(Cascade!$BB:$BB,Cascade!$B:$B,$B20,Cascade!$C:$C,{"15-24","25-34","35-49","50+"},Cascade!$D:$D,"Male"))</f>
        <v>0</v>
      </c>
      <c r="AI20" s="10" t="str">
        <f aca="false">_xlfn.IFNA(INDEX(KP!$AD:$AD,MATCH(($B20&amp;"|"&amp;AI$3),KP!$D:$D,0)),"")</f>
        <v/>
      </c>
      <c r="AJ20" s="10" t="str">
        <f aca="false">_xlfn.IFNA(INDEX(KP!$AD:$AD,MATCH(($B20&amp;"|"&amp;AJ$3),KP!$D:$D,0)),"")</f>
        <v/>
      </c>
      <c r="AK20" s="10" t="str">
        <f aca="false">_xlfn.IFNA(INDEX(KP!$AD:$AD,MATCH(($B20&amp;"|"&amp;AK$3),KP!$D:$D,0)),"")</f>
        <v/>
      </c>
      <c r="AL20" s="10" t="str">
        <f aca="false">_xlfn.IFNA(INDEX(KP!$AD:$AD,MATCH(($B20&amp;"|"&amp;AL$3),KP!$D:$D,0)),"")</f>
        <v/>
      </c>
      <c r="AM20" s="10" t="str">
        <f aca="false">_xlfn.IFNA(INDEX(KP!$AD:$AD,MATCH(($B20&amp;"|"&amp;AM$3),KP!$D:$D,0)),"")</f>
        <v/>
      </c>
      <c r="AN20" s="10" t="n">
        <f aca="false">SUM(SUMIFS(Cascade!$BE:$BE,Cascade!$B:$B,$B20,Cascade!$C:$C,{"15-24","25-34","35-49","50+"},Cascade!$D:$D,"Female"))</f>
        <v>0</v>
      </c>
      <c r="AO20" s="10" t="n">
        <f aca="false">SUM(SUMIFS(Cascade!$BE:$BE,Cascade!$B:$B,$B20,Cascade!$C:$C,{"15-24","25-34","35-49","50+"},Cascade!$D:$D,"Male"))</f>
        <v>0</v>
      </c>
      <c r="AP20" s="10" t="str">
        <f aca="false">_xlfn.IFNA(INDEX(KP!$AF:$AF,MATCH(($B20&amp;"|"&amp;AP$3),KP!$D:$D,0)),"")</f>
        <v/>
      </c>
      <c r="AQ20" s="10" t="str">
        <f aca="false">_xlfn.IFNA(INDEX(KP!$AF:$AF,MATCH(($B20&amp;"|"&amp;AQ$3),KP!$D:$D,0)),"")</f>
        <v/>
      </c>
      <c r="AR20" s="10" t="str">
        <f aca="false">_xlfn.IFNA(INDEX(KP!$AF:$AF,MATCH(($B20&amp;"|"&amp;AR$3),KP!$D:$D,0)),"")</f>
        <v/>
      </c>
      <c r="AS20" s="10" t="str">
        <f aca="false">_xlfn.IFNA(INDEX(KP!$AF:$AF,MATCH(($B20&amp;"|"&amp;AS$3),KP!$D:$D,0)),"")</f>
        <v/>
      </c>
      <c r="AT20" s="10" t="str">
        <f aca="false">_xlfn.IFNA(INDEX(KP!$AF:$AF,MATCH(($B20&amp;"|"&amp;AT$3),KP!$D:$D,0)),"")</f>
        <v/>
      </c>
      <c r="AU20" s="10" t="n">
        <f aca="false">SUM(SUMIFS(HTS!$AM:$AM,HTS!$B:$B,$B20,HTS!$C:$C,{"15-24","25-34","35-49","50+"},HTS!$D:$D,"Female"))</f>
        <v>0</v>
      </c>
      <c r="AV20" s="10" t="n">
        <f aca="false">SUM(SUMIFS(HTS!$AM:$AM,HTS!$B:$B,$B20,HTS!$C:$C,{"15-24","25-34","35-49","50+"},HTS!$D:$D,"Male"))</f>
        <v>0</v>
      </c>
      <c r="AW20" s="10" t="str">
        <f aca="false">_xlfn.IFNA(INDEX(KP!$AK:$AK,MATCH(($B20&amp;"|"&amp;AW$3),KP!$D:$D,0)),"")</f>
        <v/>
      </c>
      <c r="AX20" s="10" t="str">
        <f aca="false">_xlfn.IFNA(INDEX(KP!$AK:$AK,MATCH(($B20&amp;"|"&amp;AX$3),KP!$D:$D,0)),"")</f>
        <v/>
      </c>
      <c r="AY20" s="10" t="str">
        <f aca="false">_xlfn.IFNA(INDEX(KP!$AK:$AK,MATCH(($B20&amp;"|"&amp;AY$3),KP!$D:$D,0)),"")</f>
        <v/>
      </c>
      <c r="AZ20" s="10" t="str">
        <f aca="false">_xlfn.IFNA(INDEX(KP!$AK:$AK,MATCH(($B20&amp;"|"&amp;AZ$3),KP!$D:$D,0)),"")</f>
        <v/>
      </c>
      <c r="BA20" s="10" t="str">
        <f aca="false">_xlfn.IFNA(INDEX(KP!$AK:$AK,MATCH(($B20&amp;"|"&amp;BA$3),KP!$D:$D,0)),"")</f>
        <v/>
      </c>
      <c r="BB20" s="10" t="n">
        <f aca="false">SUM(SUMIFS(HTS!$AT:$AT,HTS!$B:$B,$B20,HTS!$C:$C,{"15-24","25-34","35-49","50+"},HTS!$D:$D,"Female"))</f>
        <v>0</v>
      </c>
      <c r="BC20" s="10" t="n">
        <f aca="false">SUM(SUMIFS(HTS!$AT:$AT,HTS!$B:$B,$B20,HTS!$C:$C,{"15-24","25-34","35-49","50+"},HTS!$D:$D,"Male"))</f>
        <v>0</v>
      </c>
      <c r="BD20" s="10" t="str">
        <f aca="false">_xlfn.IFNA(INDEX(KP!$AL:$AL,MATCH(($B20&amp;"|"&amp;BD$3),KP!$D:$D,0)),"")</f>
        <v/>
      </c>
      <c r="BE20" s="10" t="str">
        <f aca="false">_xlfn.IFNA(INDEX(KP!$AL:$AL,MATCH(($B20&amp;"|"&amp;BE$3),KP!$D:$D,0)),"")</f>
        <v/>
      </c>
      <c r="BF20" s="10" t="str">
        <f aca="false">_xlfn.IFNA(INDEX(KP!$AL:$AL,MATCH(($B20&amp;"|"&amp;BF$3),KP!$D:$D,0)),"")</f>
        <v/>
      </c>
      <c r="BG20" s="10" t="str">
        <f aca="false">_xlfn.IFNA(INDEX(KP!$AL:$AL,MATCH(($B20&amp;"|"&amp;BG$3),KP!$D:$D,0)),"")</f>
        <v/>
      </c>
      <c r="BH20" s="10" t="str">
        <f aca="false">_xlfn.IFNA(INDEX(KP!$AL:$AL,MATCH(($B20&amp;"|"&amp;BH$3),KP!$D:$D,0)),"")</f>
        <v/>
      </c>
      <c r="BI20" s="10" t="n">
        <f aca="false">SUM(SUMIFS(HTS!$BA:$BA,HTS!$B:$B,$B20,HTS!$C:$C,{"15-24","25-34","35-49","50+"},HTS!$D:$D,"Female"))</f>
        <v>0</v>
      </c>
      <c r="BJ20" s="10" t="n">
        <f aca="false">SUM(SUMIFS(HTS!$BA:$BA,HTS!$B:$B,$B20,HTS!$C:$C,{"15-24","25-34","35-49","50+"},HTS!$D:$D,"Male"))</f>
        <v>0</v>
      </c>
      <c r="BK20" s="10" t="str">
        <f aca="false">_xlfn.IFNA(INDEX(KP!$AN:$AN,MATCH(($B20&amp;"|"&amp;BK$3),KP!$D:$D,0)),"")</f>
        <v/>
      </c>
      <c r="BL20" s="10" t="str">
        <f aca="false">_xlfn.IFNA(INDEX(KP!$AN:$AN,MATCH(($B20&amp;"|"&amp;BL$3),KP!$D:$D,0)),"")</f>
        <v/>
      </c>
      <c r="BM20" s="10" t="str">
        <f aca="false">_xlfn.IFNA(INDEX(KP!$AN:$AN,MATCH(($B20&amp;"|"&amp;BM$3),KP!$D:$D,0)),"")</f>
        <v/>
      </c>
      <c r="BN20" s="10" t="str">
        <f aca="false">_xlfn.IFNA(INDEX(KP!$AN:$AN,MATCH(($B20&amp;"|"&amp;BN$3),KP!$D:$D,0)),"")</f>
        <v/>
      </c>
      <c r="BO20" s="10" t="str">
        <f aca="false">_xlfn.IFNA(INDEX(KP!$AN:$AN,MATCH(($B20&amp;"|"&amp;BO$3),KP!$D:$D,0)),"")</f>
        <v/>
      </c>
      <c r="BP20" s="10" t="n">
        <f aca="false">SUM(SUMIFS(HTS!$AY:$AY,HTS!$B:$B,$B20,HTS!$C:$C,{"15-24","25-34","35-49","50+"},HTS!$D:$D,"Female"))</f>
        <v>4</v>
      </c>
      <c r="BQ20" s="10" t="n">
        <f aca="false">SUM(SUMIFS(HTS!$AY:$AY,HTS!$B:$B,$B20,HTS!$C:$C,{"15-24","25-34","35-49","50+"},HTS!$D:$D,"Male"))</f>
        <v>8</v>
      </c>
      <c r="BR20" s="10" t="n">
        <f aca="false">_xlfn.IFNA(INDEX(KP!$AP:$AP,MATCH(($B20&amp;"|"&amp;BR$3),KP!$D:$D,0)),"")</f>
        <v>0</v>
      </c>
      <c r="BS20" s="10" t="n">
        <f aca="false">_xlfn.IFNA(INDEX(KP!$AP:$AP,MATCH(($B20&amp;"|"&amp;BS$3),KP!$D:$D,0)),"")</f>
        <v>0</v>
      </c>
      <c r="BT20" s="10" t="n">
        <f aca="false">_xlfn.IFNA(INDEX(KP!$AP:$AP,MATCH(($B20&amp;"|"&amp;BT$3),KP!$D:$D,0)),"")</f>
        <v>0</v>
      </c>
      <c r="BU20" s="10" t="n">
        <f aca="false">_xlfn.IFNA(INDEX(KP!$AP:$AP,MATCH(($B20&amp;"|"&amp;BU$3),KP!$D:$D,0)),"")</f>
        <v>0</v>
      </c>
      <c r="BV20" s="10" t="n">
        <f aca="false">_xlfn.IFNA(INDEX(KP!$AP:$AP,MATCH(($B20&amp;"|"&amp;BV$3),KP!$D:$D,0)),"")</f>
        <v>0</v>
      </c>
    </row>
    <row r="21" customFormat="false" ht="15" hidden="false" customHeight="false" outlineLevel="0" collapsed="false">
      <c r="A21" s="91" t="str">
        <f aca="false">INDEX(Prioritization!$D:$D,MATCH($B21,Prioritization!$A:$A,0))</f>
        <v>1 - Scale-up: Saturation</v>
      </c>
      <c r="B21" s="40" t="s">
        <v>200</v>
      </c>
      <c r="C21" s="10" t="n">
        <f aca="false">SUM(SUMIFS(PrEP!$O:$O,PrEP!$B:$B,$B21,PrEP!$C:$C,{"15-24","25-34","35-49","50+"},PrEP!$D:$D,"Female"))</f>
        <v>0</v>
      </c>
      <c r="D21" s="10" t="n">
        <f aca="false">SUM(SUMIFS(PrEP!$O:$O,PrEP!$B:$B,$B21,PrEP!$C:$C,{"15-24","25-34"},PrEP!$D:$D,"Female"))</f>
        <v>0</v>
      </c>
      <c r="E21" s="10" t="n">
        <f aca="false">SUM(SUMIFS(PrEP!$O:$O,PrEP!$B:$B,$B21,PrEP!$C:$C,{"15-24","25-34","35-49","50+"},PrEP!$D:$D,"Male"))</f>
        <v>0</v>
      </c>
      <c r="F21" s="10" t="n">
        <f aca="false">_xlfn.IFNA(INDEX(KP!$I:$I,MATCH(($B21&amp;"|"&amp;F$3),KP!$D:$D,0)),"")</f>
        <v>0</v>
      </c>
      <c r="G21" s="10" t="n">
        <f aca="false">_xlfn.IFNA(INDEX(KP!$I:$I,MATCH(($B21&amp;"|"&amp;G$3),KP!$D:$D,0)),"")</f>
        <v>0</v>
      </c>
      <c r="H21" s="10" t="n">
        <f aca="false">_xlfn.IFNA(INDEX(KP!$I:$I,MATCH(($B21&amp;"|"&amp;H$3),KP!$D:$D,0)),"")</f>
        <v>0</v>
      </c>
      <c r="I21" s="10" t="n">
        <f aca="false">_xlfn.IFNA(INDEX(KP!$I:$I,MATCH(($B21&amp;"|"&amp;I$3),KP!$D:$D,0)),"")</f>
        <v>0</v>
      </c>
      <c r="J21" s="10" t="n">
        <f aca="false">_xlfn.IFNA(INDEX(KP!$I:$I,MATCH(($B21&amp;"|"&amp;J$3),KP!$D:$D,0)),"")</f>
        <v>0</v>
      </c>
      <c r="K21" s="10" t="n">
        <f aca="false">SUM(SUMIFS(PrEP!$L:$L,PrEP!$B:$B,$B21,PrEP!$C:$C,{"15-24","25-34","35-49","50+"},PrEP!$D:$D,"Female"))</f>
        <v>0</v>
      </c>
      <c r="L21" s="10" t="n">
        <f aca="false">SUM(SUMIFS(PrEP!$L:$L,PrEP!$B:$B,$B21,PrEP!$C:$C,{"15-24","25-34"},PrEP!$D:$D,"Female"))</f>
        <v>0</v>
      </c>
      <c r="M21" s="10" t="n">
        <f aca="false">SUM(SUMIFS(PrEP!$L:$L,PrEP!$B:$B,$B21,PrEP!$C:$C,{"15-24","25-34","35-49","50+"},PrEP!$D:$D,"Male"))</f>
        <v>0</v>
      </c>
      <c r="N21" s="10" t="n">
        <f aca="false">_xlfn.IFNA(INDEX(KP!$K:$K,MATCH(($B21&amp;"|"&amp;N$3),KP!$D:$D,0)),"")</f>
        <v>0</v>
      </c>
      <c r="O21" s="10" t="n">
        <f aca="false">_xlfn.IFNA(INDEX(KP!$K:$K,MATCH(($B21&amp;"|"&amp;O$3),KP!$D:$D,0)),"")</f>
        <v>0</v>
      </c>
      <c r="P21" s="10" t="n">
        <f aca="false">_xlfn.IFNA(INDEX(KP!$K:$K,MATCH(($B21&amp;"|"&amp;P$3),KP!$D:$D,0)),"")</f>
        <v>0</v>
      </c>
      <c r="Q21" s="10" t="n">
        <f aca="false">_xlfn.IFNA(INDEX(KP!$K:$K,MATCH(($B21&amp;"|"&amp;Q$3),KP!$D:$D,0)),"")</f>
        <v>0</v>
      </c>
      <c r="R21" s="10" t="n">
        <f aca="false">_xlfn.IFNA(INDEX(KP!$K:$K,MATCH(($B21&amp;"|"&amp;R$3),KP!$D:$D,0)),"")</f>
        <v>0</v>
      </c>
      <c r="S21" s="10" t="n">
        <f aca="false">SUM(SUMIFS(Cascade!$AP:$AP,Cascade!$B:$B,$B21,Cascade!$C:$C,{"15-24","25-34","35-49","50+"},Cascade!$D:$D,"Female"))</f>
        <v>0</v>
      </c>
      <c r="T21" s="10" t="n">
        <f aca="false">SUM(SUMIFS(Cascade!$AP:$AP,Cascade!$B:$B,$B21,Cascade!$C:$C,{"15-24","25-34","35-49","50+"},Cascade!$D:$D,"Male"))</f>
        <v>0</v>
      </c>
      <c r="U21" s="10" t="str">
        <f aca="false">_xlfn.IFNA(INDEX(KP!$Q:$Q,MATCH(($B21&amp;"|"&amp;U$3),KP!$D:$D,0)),"")</f>
        <v/>
      </c>
      <c r="V21" s="10" t="str">
        <f aca="false">_xlfn.IFNA(INDEX(KP!$Q:$Q,MATCH(($B21&amp;"|"&amp;V$3),KP!$D:$D,0)),"")</f>
        <v/>
      </c>
      <c r="W21" s="10" t="str">
        <f aca="false">_xlfn.IFNA(INDEX(KP!$Q:$Q,MATCH(($B21&amp;"|"&amp;W$3),KP!$D:$D,0)),"")</f>
        <v/>
      </c>
      <c r="X21" s="10" t="str">
        <f aca="false">_xlfn.IFNA(INDEX(KP!$Q:$Q,MATCH(($B21&amp;"|"&amp;X$3),KP!$D:$D,0)),"")</f>
        <v/>
      </c>
      <c r="Y21" s="10" t="str">
        <f aca="false">_xlfn.IFNA(INDEX(KP!$Q:$Q,MATCH(($B21&amp;"|"&amp;Y$3),KP!$D:$D,0)),"")</f>
        <v/>
      </c>
      <c r="Z21" s="10" t="n">
        <f aca="false">SUM(SUMIFS(Cascade!$AX:$AX,Cascade!$B:$B,$B21,Cascade!$C:$C,{"15-24","25-34","35-49","50+"},Cascade!$D:$D,"Female"))</f>
        <v>0</v>
      </c>
      <c r="AA21" s="10" t="n">
        <f aca="false">SUM(SUMIFS(Cascade!$AX:$AX,Cascade!$B:$B,$B21,Cascade!$C:$C,{"15-24","25-34","35-49","50+"},Cascade!$D:$D,"Male"))</f>
        <v>0</v>
      </c>
      <c r="AB21" s="10" t="str">
        <f aca="false">_xlfn.IFNA(INDEX(KP!$Z:$Z,MATCH(($B21&amp;"|"&amp;AB$3),KP!$D:$D,0)),"")</f>
        <v/>
      </c>
      <c r="AC21" s="10" t="str">
        <f aca="false">_xlfn.IFNA(INDEX(KP!$Z:$Z,MATCH(($B21&amp;"|"&amp;AC$3),KP!$D:$D,0)),"")</f>
        <v/>
      </c>
      <c r="AD21" s="10" t="str">
        <f aca="false">_xlfn.IFNA(INDEX(KP!$Z:$Z,MATCH(($B21&amp;"|"&amp;AD$3),KP!$D:$D,0)),"")</f>
        <v/>
      </c>
      <c r="AE21" s="10" t="str">
        <f aca="false">_xlfn.IFNA(INDEX(KP!$Z:$Z,MATCH(($B21&amp;"|"&amp;AE$3),KP!$D:$D,0)),"")</f>
        <v/>
      </c>
      <c r="AF21" s="10" t="str">
        <f aca="false">_xlfn.IFNA(INDEX(KP!$Z:$Z,MATCH(($B21&amp;"|"&amp;AF$3),KP!$D:$D,0)),"")</f>
        <v/>
      </c>
      <c r="AG21" s="10" t="n">
        <f aca="false">SUM(SUMIFS(Cascade!$BB:$BB,Cascade!$B:$B,$B21,Cascade!$C:$C,{"15-24","25-34","35-49","50+"},Cascade!$D:$D,"Female"))</f>
        <v>0</v>
      </c>
      <c r="AH21" s="10" t="n">
        <f aca="false">SUM(SUMIFS(Cascade!$BB:$BB,Cascade!$B:$B,$B21,Cascade!$C:$C,{"15-24","25-34","35-49","50+"},Cascade!$D:$D,"Male"))</f>
        <v>0</v>
      </c>
      <c r="AI21" s="10" t="str">
        <f aca="false">_xlfn.IFNA(INDEX(KP!$AD:$AD,MATCH(($B21&amp;"|"&amp;AI$3),KP!$D:$D,0)),"")</f>
        <v/>
      </c>
      <c r="AJ21" s="10" t="str">
        <f aca="false">_xlfn.IFNA(INDEX(KP!$AD:$AD,MATCH(($B21&amp;"|"&amp;AJ$3),KP!$D:$D,0)),"")</f>
        <v/>
      </c>
      <c r="AK21" s="10" t="str">
        <f aca="false">_xlfn.IFNA(INDEX(KP!$AD:$AD,MATCH(($B21&amp;"|"&amp;AK$3),KP!$D:$D,0)),"")</f>
        <v/>
      </c>
      <c r="AL21" s="10" t="str">
        <f aca="false">_xlfn.IFNA(INDEX(KP!$AD:$AD,MATCH(($B21&amp;"|"&amp;AL$3),KP!$D:$D,0)),"")</f>
        <v/>
      </c>
      <c r="AM21" s="10" t="str">
        <f aca="false">_xlfn.IFNA(INDEX(KP!$AD:$AD,MATCH(($B21&amp;"|"&amp;AM$3),KP!$D:$D,0)),"")</f>
        <v/>
      </c>
      <c r="AN21" s="10" t="n">
        <f aca="false">SUM(SUMIFS(Cascade!$BE:$BE,Cascade!$B:$B,$B21,Cascade!$C:$C,{"15-24","25-34","35-49","50+"},Cascade!$D:$D,"Female"))</f>
        <v>0</v>
      </c>
      <c r="AO21" s="10" t="n">
        <f aca="false">SUM(SUMIFS(Cascade!$BE:$BE,Cascade!$B:$B,$B21,Cascade!$C:$C,{"15-24","25-34","35-49","50+"},Cascade!$D:$D,"Male"))</f>
        <v>0</v>
      </c>
      <c r="AP21" s="10" t="str">
        <f aca="false">_xlfn.IFNA(INDEX(KP!$AF:$AF,MATCH(($B21&amp;"|"&amp;AP$3),KP!$D:$D,0)),"")</f>
        <v/>
      </c>
      <c r="AQ21" s="10" t="str">
        <f aca="false">_xlfn.IFNA(INDEX(KP!$AF:$AF,MATCH(($B21&amp;"|"&amp;AQ$3),KP!$D:$D,0)),"")</f>
        <v/>
      </c>
      <c r="AR21" s="10" t="str">
        <f aca="false">_xlfn.IFNA(INDEX(KP!$AF:$AF,MATCH(($B21&amp;"|"&amp;AR$3),KP!$D:$D,0)),"")</f>
        <v/>
      </c>
      <c r="AS21" s="10" t="str">
        <f aca="false">_xlfn.IFNA(INDEX(KP!$AF:$AF,MATCH(($B21&amp;"|"&amp;AS$3),KP!$D:$D,0)),"")</f>
        <v/>
      </c>
      <c r="AT21" s="10" t="str">
        <f aca="false">_xlfn.IFNA(INDEX(KP!$AF:$AF,MATCH(($B21&amp;"|"&amp;AT$3),KP!$D:$D,0)),"")</f>
        <v/>
      </c>
      <c r="AU21" s="10" t="n">
        <f aca="false">SUM(SUMIFS(HTS!$AM:$AM,HTS!$B:$B,$B21,HTS!$C:$C,{"15-24","25-34","35-49","50+"},HTS!$D:$D,"Female"))</f>
        <v>0</v>
      </c>
      <c r="AV21" s="10" t="n">
        <f aca="false">SUM(SUMIFS(HTS!$AM:$AM,HTS!$B:$B,$B21,HTS!$C:$C,{"15-24","25-34","35-49","50+"},HTS!$D:$D,"Male"))</f>
        <v>0</v>
      </c>
      <c r="AW21" s="10" t="str">
        <f aca="false">_xlfn.IFNA(INDEX(KP!$AK:$AK,MATCH(($B21&amp;"|"&amp;AW$3),KP!$D:$D,0)),"")</f>
        <v/>
      </c>
      <c r="AX21" s="10" t="str">
        <f aca="false">_xlfn.IFNA(INDEX(KP!$AK:$AK,MATCH(($B21&amp;"|"&amp;AX$3),KP!$D:$D,0)),"")</f>
        <v/>
      </c>
      <c r="AY21" s="10" t="str">
        <f aca="false">_xlfn.IFNA(INDEX(KP!$AK:$AK,MATCH(($B21&amp;"|"&amp;AY$3),KP!$D:$D,0)),"")</f>
        <v/>
      </c>
      <c r="AZ21" s="10" t="str">
        <f aca="false">_xlfn.IFNA(INDEX(KP!$AK:$AK,MATCH(($B21&amp;"|"&amp;AZ$3),KP!$D:$D,0)),"")</f>
        <v/>
      </c>
      <c r="BA21" s="10" t="str">
        <f aca="false">_xlfn.IFNA(INDEX(KP!$AK:$AK,MATCH(($B21&amp;"|"&amp;BA$3),KP!$D:$D,0)),"")</f>
        <v/>
      </c>
      <c r="BB21" s="10" t="n">
        <f aca="false">SUM(SUMIFS(HTS!$AT:$AT,HTS!$B:$B,$B21,HTS!$C:$C,{"15-24","25-34","35-49","50+"},HTS!$D:$D,"Female"))</f>
        <v>0</v>
      </c>
      <c r="BC21" s="10" t="n">
        <f aca="false">SUM(SUMIFS(HTS!$AT:$AT,HTS!$B:$B,$B21,HTS!$C:$C,{"15-24","25-34","35-49","50+"},HTS!$D:$D,"Male"))</f>
        <v>0</v>
      </c>
      <c r="BD21" s="10" t="str">
        <f aca="false">_xlfn.IFNA(INDEX(KP!$AL:$AL,MATCH(($B21&amp;"|"&amp;BD$3),KP!$D:$D,0)),"")</f>
        <v/>
      </c>
      <c r="BE21" s="10" t="str">
        <f aca="false">_xlfn.IFNA(INDEX(KP!$AL:$AL,MATCH(($B21&amp;"|"&amp;BE$3),KP!$D:$D,0)),"")</f>
        <v/>
      </c>
      <c r="BF21" s="10" t="str">
        <f aca="false">_xlfn.IFNA(INDEX(KP!$AL:$AL,MATCH(($B21&amp;"|"&amp;BF$3),KP!$D:$D,0)),"")</f>
        <v/>
      </c>
      <c r="BG21" s="10" t="str">
        <f aca="false">_xlfn.IFNA(INDEX(KP!$AL:$AL,MATCH(($B21&amp;"|"&amp;BG$3),KP!$D:$D,0)),"")</f>
        <v/>
      </c>
      <c r="BH21" s="10" t="str">
        <f aca="false">_xlfn.IFNA(INDEX(KP!$AL:$AL,MATCH(($B21&amp;"|"&amp;BH$3),KP!$D:$D,0)),"")</f>
        <v/>
      </c>
      <c r="BI21" s="10" t="n">
        <f aca="false">SUM(SUMIFS(HTS!$BA:$BA,HTS!$B:$B,$B21,HTS!$C:$C,{"15-24","25-34","35-49","50+"},HTS!$D:$D,"Female"))</f>
        <v>0</v>
      </c>
      <c r="BJ21" s="10" t="n">
        <f aca="false">SUM(SUMIFS(HTS!$BA:$BA,HTS!$B:$B,$B21,HTS!$C:$C,{"15-24","25-34","35-49","50+"},HTS!$D:$D,"Male"))</f>
        <v>0</v>
      </c>
      <c r="BK21" s="10" t="str">
        <f aca="false">_xlfn.IFNA(INDEX(KP!$AN:$AN,MATCH(($B21&amp;"|"&amp;BK$3),KP!$D:$D,0)),"")</f>
        <v/>
      </c>
      <c r="BL21" s="10" t="str">
        <f aca="false">_xlfn.IFNA(INDEX(KP!$AN:$AN,MATCH(($B21&amp;"|"&amp;BL$3),KP!$D:$D,0)),"")</f>
        <v/>
      </c>
      <c r="BM21" s="10" t="str">
        <f aca="false">_xlfn.IFNA(INDEX(KP!$AN:$AN,MATCH(($B21&amp;"|"&amp;BM$3),KP!$D:$D,0)),"")</f>
        <v/>
      </c>
      <c r="BN21" s="10" t="str">
        <f aca="false">_xlfn.IFNA(INDEX(KP!$AN:$AN,MATCH(($B21&amp;"|"&amp;BN$3),KP!$D:$D,0)),"")</f>
        <v/>
      </c>
      <c r="BO21" s="10" t="str">
        <f aca="false">_xlfn.IFNA(INDEX(KP!$AN:$AN,MATCH(($B21&amp;"|"&amp;BO$3),KP!$D:$D,0)),"")</f>
        <v/>
      </c>
      <c r="BP21" s="10" t="n">
        <f aca="false">SUM(SUMIFS(HTS!$AY:$AY,HTS!$B:$B,$B21,HTS!$C:$C,{"15-24","25-34","35-49","50+"},HTS!$D:$D,"Female"))</f>
        <v>6</v>
      </c>
      <c r="BQ21" s="10" t="n">
        <f aca="false">SUM(SUMIFS(HTS!$AY:$AY,HTS!$B:$B,$B21,HTS!$C:$C,{"15-24","25-34","35-49","50+"},HTS!$D:$D,"Male"))</f>
        <v>2</v>
      </c>
      <c r="BR21" s="10" t="n">
        <f aca="false">_xlfn.IFNA(INDEX(KP!$AP:$AP,MATCH(($B21&amp;"|"&amp;BR$3),KP!$D:$D,0)),"")</f>
        <v>0</v>
      </c>
      <c r="BS21" s="10" t="n">
        <f aca="false">_xlfn.IFNA(INDEX(KP!$AP:$AP,MATCH(($B21&amp;"|"&amp;BS$3),KP!$D:$D,0)),"")</f>
        <v>0</v>
      </c>
      <c r="BT21" s="10" t="n">
        <f aca="false">_xlfn.IFNA(INDEX(KP!$AP:$AP,MATCH(($B21&amp;"|"&amp;BT$3),KP!$D:$D,0)),"")</f>
        <v>0</v>
      </c>
      <c r="BU21" s="10" t="n">
        <f aca="false">_xlfn.IFNA(INDEX(KP!$AP:$AP,MATCH(($B21&amp;"|"&amp;BU$3),KP!$D:$D,0)),"")</f>
        <v>0</v>
      </c>
      <c r="BV21" s="10" t="n">
        <f aca="false">_xlfn.IFNA(INDEX(KP!$AP:$AP,MATCH(($B21&amp;"|"&amp;BV$3),KP!$D:$D,0)),"")</f>
        <v>0</v>
      </c>
    </row>
    <row r="22" customFormat="false" ht="15" hidden="false" customHeight="false" outlineLevel="0" collapsed="false">
      <c r="A22" s="91" t="str">
        <f aca="false">INDEX(Prioritization!$D:$D,MATCH($B22,Prioritization!$A:$A,0))</f>
        <v>INVALID</v>
      </c>
      <c r="B22" s="40" t="s">
        <v>201</v>
      </c>
      <c r="C22" s="10" t="n">
        <f aca="false">SUM(SUMIFS(PrEP!$O:$O,PrEP!$B:$B,$B22,PrEP!$C:$C,{"15-24","25-34","35-49","50+"},PrEP!$D:$D,"Female"))</f>
        <v>0</v>
      </c>
      <c r="D22" s="10" t="n">
        <f aca="false">SUM(SUMIFS(PrEP!$O:$O,PrEP!$B:$B,$B22,PrEP!$C:$C,{"15-24","25-34"},PrEP!$D:$D,"Female"))</f>
        <v>0</v>
      </c>
      <c r="E22" s="10" t="n">
        <f aca="false">SUM(SUMIFS(PrEP!$O:$O,PrEP!$B:$B,$B22,PrEP!$C:$C,{"15-24","25-34","35-49","50+"},PrEP!$D:$D,"Male"))</f>
        <v>0</v>
      </c>
      <c r="F22" s="10" t="n">
        <f aca="false">_xlfn.IFNA(INDEX(KP!$I:$I,MATCH(($B22&amp;"|"&amp;F$3),KP!$D:$D,0)),"")</f>
        <v>0</v>
      </c>
      <c r="G22" s="10" t="n">
        <f aca="false">_xlfn.IFNA(INDEX(KP!$I:$I,MATCH(($B22&amp;"|"&amp;G$3),KP!$D:$D,0)),"")</f>
        <v>0</v>
      </c>
      <c r="H22" s="10" t="n">
        <f aca="false">_xlfn.IFNA(INDEX(KP!$I:$I,MATCH(($B22&amp;"|"&amp;H$3),KP!$D:$D,0)),"")</f>
        <v>0</v>
      </c>
      <c r="I22" s="10" t="n">
        <f aca="false">_xlfn.IFNA(INDEX(KP!$I:$I,MATCH(($B22&amp;"|"&amp;I$3),KP!$D:$D,0)),"")</f>
        <v>0</v>
      </c>
      <c r="J22" s="10" t="n">
        <f aca="false">_xlfn.IFNA(INDEX(KP!$I:$I,MATCH(($B22&amp;"|"&amp;J$3),KP!$D:$D,0)),"")</f>
        <v>0</v>
      </c>
      <c r="K22" s="10" t="n">
        <f aca="false">SUM(SUMIFS(PrEP!$L:$L,PrEP!$B:$B,$B22,PrEP!$C:$C,{"15-24","25-34","35-49","50+"},PrEP!$D:$D,"Female"))</f>
        <v>0</v>
      </c>
      <c r="L22" s="10" t="n">
        <f aca="false">SUM(SUMIFS(PrEP!$L:$L,PrEP!$B:$B,$B22,PrEP!$C:$C,{"15-24","25-34"},PrEP!$D:$D,"Female"))</f>
        <v>0</v>
      </c>
      <c r="M22" s="10" t="n">
        <f aca="false">SUM(SUMIFS(PrEP!$L:$L,PrEP!$B:$B,$B22,PrEP!$C:$C,{"15-24","25-34","35-49","50+"},PrEP!$D:$D,"Male"))</f>
        <v>0</v>
      </c>
      <c r="N22" s="10" t="n">
        <f aca="false">_xlfn.IFNA(INDEX(KP!$K:$K,MATCH(($B22&amp;"|"&amp;N$3),KP!$D:$D,0)),"")</f>
        <v>0</v>
      </c>
      <c r="O22" s="10" t="n">
        <f aca="false">_xlfn.IFNA(INDEX(KP!$K:$K,MATCH(($B22&amp;"|"&amp;O$3),KP!$D:$D,0)),"")</f>
        <v>0</v>
      </c>
      <c r="P22" s="10" t="n">
        <f aca="false">_xlfn.IFNA(INDEX(KP!$K:$K,MATCH(($B22&amp;"|"&amp;P$3),KP!$D:$D,0)),"")</f>
        <v>0</v>
      </c>
      <c r="Q22" s="10" t="n">
        <f aca="false">_xlfn.IFNA(INDEX(KP!$K:$K,MATCH(($B22&amp;"|"&amp;Q$3),KP!$D:$D,0)),"")</f>
        <v>0</v>
      </c>
      <c r="R22" s="10" t="n">
        <f aca="false">_xlfn.IFNA(INDEX(KP!$K:$K,MATCH(($B22&amp;"|"&amp;R$3),KP!$D:$D,0)),"")</f>
        <v>0</v>
      </c>
      <c r="S22" s="10" t="n">
        <f aca="false">SUM(SUMIFS(Cascade!$AP:$AP,Cascade!$B:$B,$B22,Cascade!$C:$C,{"15-24","25-34","35-49","50+"},Cascade!$D:$D,"Female"))</f>
        <v>0</v>
      </c>
      <c r="T22" s="10" t="n">
        <f aca="false">SUM(SUMIFS(Cascade!$AP:$AP,Cascade!$B:$B,$B22,Cascade!$C:$C,{"15-24","25-34","35-49","50+"},Cascade!$D:$D,"Male"))</f>
        <v>0</v>
      </c>
      <c r="U22" s="10" t="str">
        <f aca="false">_xlfn.IFNA(INDEX(KP!$Q:$Q,MATCH(($B22&amp;"|"&amp;U$3),KP!$D:$D,0)),"")</f>
        <v/>
      </c>
      <c r="V22" s="10" t="str">
        <f aca="false">_xlfn.IFNA(INDEX(KP!$Q:$Q,MATCH(($B22&amp;"|"&amp;V$3),KP!$D:$D,0)),"")</f>
        <v/>
      </c>
      <c r="W22" s="10" t="n">
        <f aca="false">_xlfn.IFNA(INDEX(KP!$Q:$Q,MATCH(($B22&amp;"|"&amp;W$3),KP!$D:$D,0)),"")</f>
        <v>7</v>
      </c>
      <c r="X22" s="10" t="str">
        <f aca="false">_xlfn.IFNA(INDEX(KP!$Q:$Q,MATCH(($B22&amp;"|"&amp;X$3),KP!$D:$D,0)),"")</f>
        <v/>
      </c>
      <c r="Y22" s="10" t="str">
        <f aca="false">_xlfn.IFNA(INDEX(KP!$Q:$Q,MATCH(($B22&amp;"|"&amp;Y$3),KP!$D:$D,0)),"")</f>
        <v/>
      </c>
      <c r="Z22" s="10" t="n">
        <f aca="false">SUM(SUMIFS(Cascade!$AX:$AX,Cascade!$B:$B,$B22,Cascade!$C:$C,{"15-24","25-34","35-49","50+"},Cascade!$D:$D,"Female"))</f>
        <v>0</v>
      </c>
      <c r="AA22" s="10" t="n">
        <f aca="false">SUM(SUMIFS(Cascade!$AX:$AX,Cascade!$B:$B,$B22,Cascade!$C:$C,{"15-24","25-34","35-49","50+"},Cascade!$D:$D,"Male"))</f>
        <v>0</v>
      </c>
      <c r="AB22" s="10" t="str">
        <f aca="false">_xlfn.IFNA(INDEX(KP!$Z:$Z,MATCH(($B22&amp;"|"&amp;AB$3),KP!$D:$D,0)),"")</f>
        <v/>
      </c>
      <c r="AC22" s="10" t="str">
        <f aca="false">_xlfn.IFNA(INDEX(KP!$Z:$Z,MATCH(($B22&amp;"|"&amp;AC$3),KP!$D:$D,0)),"")</f>
        <v/>
      </c>
      <c r="AD22" s="10" t="str">
        <f aca="false">_xlfn.IFNA(INDEX(KP!$Z:$Z,MATCH(($B22&amp;"|"&amp;AD$3),KP!$D:$D,0)),"")</f>
        <v/>
      </c>
      <c r="AE22" s="10" t="str">
        <f aca="false">_xlfn.IFNA(INDEX(KP!$Z:$Z,MATCH(($B22&amp;"|"&amp;AE$3),KP!$D:$D,0)),"")</f>
        <v/>
      </c>
      <c r="AF22" s="10" t="str">
        <f aca="false">_xlfn.IFNA(INDEX(KP!$Z:$Z,MATCH(($B22&amp;"|"&amp;AF$3),KP!$D:$D,0)),"")</f>
        <v/>
      </c>
      <c r="AG22" s="10" t="n">
        <f aca="false">SUM(SUMIFS(Cascade!$BB:$BB,Cascade!$B:$B,$B22,Cascade!$C:$C,{"15-24","25-34","35-49","50+"},Cascade!$D:$D,"Female"))</f>
        <v>0</v>
      </c>
      <c r="AH22" s="10" t="n">
        <f aca="false">SUM(SUMIFS(Cascade!$BB:$BB,Cascade!$B:$B,$B22,Cascade!$C:$C,{"15-24","25-34","35-49","50+"},Cascade!$D:$D,"Male"))</f>
        <v>0</v>
      </c>
      <c r="AI22" s="10" t="str">
        <f aca="false">_xlfn.IFNA(INDEX(KP!$AD:$AD,MATCH(($B22&amp;"|"&amp;AI$3),KP!$D:$D,0)),"")</f>
        <v/>
      </c>
      <c r="AJ22" s="10" t="str">
        <f aca="false">_xlfn.IFNA(INDEX(KP!$AD:$AD,MATCH(($B22&amp;"|"&amp;AJ$3),KP!$D:$D,0)),"")</f>
        <v/>
      </c>
      <c r="AK22" s="10" t="n">
        <f aca="false">_xlfn.IFNA(INDEX(KP!$AD:$AD,MATCH(($B22&amp;"|"&amp;AK$3),KP!$D:$D,0)),"")</f>
        <v>7</v>
      </c>
      <c r="AL22" s="10" t="str">
        <f aca="false">_xlfn.IFNA(INDEX(KP!$AD:$AD,MATCH(($B22&amp;"|"&amp;AL$3),KP!$D:$D,0)),"")</f>
        <v/>
      </c>
      <c r="AM22" s="10" t="str">
        <f aca="false">_xlfn.IFNA(INDEX(KP!$AD:$AD,MATCH(($B22&amp;"|"&amp;AM$3),KP!$D:$D,0)),"")</f>
        <v/>
      </c>
      <c r="AN22" s="10" t="n">
        <f aca="false">SUM(SUMIFS(Cascade!$BE:$BE,Cascade!$B:$B,$B22,Cascade!$C:$C,{"15-24","25-34","35-49","50+"},Cascade!$D:$D,"Female"))</f>
        <v>0</v>
      </c>
      <c r="AO22" s="10" t="n">
        <f aca="false">SUM(SUMIFS(Cascade!$BE:$BE,Cascade!$B:$B,$B22,Cascade!$C:$C,{"15-24","25-34","35-49","50+"},Cascade!$D:$D,"Male"))</f>
        <v>0</v>
      </c>
      <c r="AP22" s="10" t="str">
        <f aca="false">_xlfn.IFNA(INDEX(KP!$AF:$AF,MATCH(($B22&amp;"|"&amp;AP$3),KP!$D:$D,0)),"")</f>
        <v/>
      </c>
      <c r="AQ22" s="10" t="str">
        <f aca="false">_xlfn.IFNA(INDEX(KP!$AF:$AF,MATCH(($B22&amp;"|"&amp;AQ$3),KP!$D:$D,0)),"")</f>
        <v/>
      </c>
      <c r="AR22" s="10" t="n">
        <f aca="false">_xlfn.IFNA(INDEX(KP!$AF:$AF,MATCH(($B22&amp;"|"&amp;AR$3),KP!$D:$D,0)),"")</f>
        <v>7</v>
      </c>
      <c r="AS22" s="10" t="str">
        <f aca="false">_xlfn.IFNA(INDEX(KP!$AF:$AF,MATCH(($B22&amp;"|"&amp;AS$3),KP!$D:$D,0)),"")</f>
        <v/>
      </c>
      <c r="AT22" s="10" t="str">
        <f aca="false">_xlfn.IFNA(INDEX(KP!$AF:$AF,MATCH(($B22&amp;"|"&amp;AT$3),KP!$D:$D,0)),"")</f>
        <v/>
      </c>
      <c r="AU22" s="10" t="n">
        <f aca="false">SUM(SUMIFS(HTS!$AM:$AM,HTS!$B:$B,$B22,HTS!$C:$C,{"15-24","25-34","35-49","50+"},HTS!$D:$D,"Female"))</f>
        <v>0</v>
      </c>
      <c r="AV22" s="10" t="n">
        <f aca="false">SUM(SUMIFS(HTS!$AM:$AM,HTS!$B:$B,$B22,HTS!$C:$C,{"15-24","25-34","35-49","50+"},HTS!$D:$D,"Male"))</f>
        <v>0</v>
      </c>
      <c r="AW22" s="10" t="str">
        <f aca="false">_xlfn.IFNA(INDEX(KP!$AK:$AK,MATCH(($B22&amp;"|"&amp;AW$3),KP!$D:$D,0)),"")</f>
        <v/>
      </c>
      <c r="AX22" s="10" t="str">
        <f aca="false">_xlfn.IFNA(INDEX(KP!$AK:$AK,MATCH(($B22&amp;"|"&amp;AX$3),KP!$D:$D,0)),"")</f>
        <v/>
      </c>
      <c r="AY22" s="10" t="str">
        <f aca="false">_xlfn.IFNA(INDEX(KP!$AK:$AK,MATCH(($B22&amp;"|"&amp;AY$3),KP!$D:$D,0)),"")</f>
        <v/>
      </c>
      <c r="AZ22" s="10" t="str">
        <f aca="false">_xlfn.IFNA(INDEX(KP!$AK:$AK,MATCH(($B22&amp;"|"&amp;AZ$3),KP!$D:$D,0)),"")</f>
        <v/>
      </c>
      <c r="BA22" s="10" t="str">
        <f aca="false">_xlfn.IFNA(INDEX(KP!$AK:$AK,MATCH(($B22&amp;"|"&amp;BA$3),KP!$D:$D,0)),"")</f>
        <v/>
      </c>
      <c r="BB22" s="10" t="n">
        <f aca="false">SUM(SUMIFS(HTS!$AT:$AT,HTS!$B:$B,$B22,HTS!$C:$C,{"15-24","25-34","35-49","50+"},HTS!$D:$D,"Female"))</f>
        <v>0</v>
      </c>
      <c r="BC22" s="10" t="n">
        <f aca="false">SUM(SUMIFS(HTS!$AT:$AT,HTS!$B:$B,$B22,HTS!$C:$C,{"15-24","25-34","35-49","50+"},HTS!$D:$D,"Male"))</f>
        <v>0</v>
      </c>
      <c r="BD22" s="10" t="str">
        <f aca="false">_xlfn.IFNA(INDEX(KP!$AL:$AL,MATCH(($B22&amp;"|"&amp;BD$3),KP!$D:$D,0)),"")</f>
        <v/>
      </c>
      <c r="BE22" s="10" t="str">
        <f aca="false">_xlfn.IFNA(INDEX(KP!$AL:$AL,MATCH(($B22&amp;"|"&amp;BE$3),KP!$D:$D,0)),"")</f>
        <v/>
      </c>
      <c r="BF22" s="10" t="str">
        <f aca="false">_xlfn.IFNA(INDEX(KP!$AL:$AL,MATCH(($B22&amp;"|"&amp;BF$3),KP!$D:$D,0)),"")</f>
        <v/>
      </c>
      <c r="BG22" s="10" t="str">
        <f aca="false">_xlfn.IFNA(INDEX(KP!$AL:$AL,MATCH(($B22&amp;"|"&amp;BG$3),KP!$D:$D,0)),"")</f>
        <v/>
      </c>
      <c r="BH22" s="10" t="str">
        <f aca="false">_xlfn.IFNA(INDEX(KP!$AL:$AL,MATCH(($B22&amp;"|"&amp;BH$3),KP!$D:$D,0)),"")</f>
        <v/>
      </c>
      <c r="BI22" s="10" t="n">
        <f aca="false">SUM(SUMIFS(HTS!$BA:$BA,HTS!$B:$B,$B22,HTS!$C:$C,{"15-24","25-34","35-49","50+"},HTS!$D:$D,"Female"))</f>
        <v>0</v>
      </c>
      <c r="BJ22" s="10" t="n">
        <f aca="false">SUM(SUMIFS(HTS!$BA:$BA,HTS!$B:$B,$B22,HTS!$C:$C,{"15-24","25-34","35-49","50+"},HTS!$D:$D,"Male"))</f>
        <v>0</v>
      </c>
      <c r="BK22" s="10" t="str">
        <f aca="false">_xlfn.IFNA(INDEX(KP!$AN:$AN,MATCH(($B22&amp;"|"&amp;BK$3),KP!$D:$D,0)),"")</f>
        <v/>
      </c>
      <c r="BL22" s="10" t="str">
        <f aca="false">_xlfn.IFNA(INDEX(KP!$AN:$AN,MATCH(($B22&amp;"|"&amp;BL$3),KP!$D:$D,0)),"")</f>
        <v/>
      </c>
      <c r="BM22" s="10" t="str">
        <f aca="false">_xlfn.IFNA(INDEX(KP!$AN:$AN,MATCH(($B22&amp;"|"&amp;BM$3),KP!$D:$D,0)),"")</f>
        <v/>
      </c>
      <c r="BN22" s="10" t="str">
        <f aca="false">_xlfn.IFNA(INDEX(KP!$AN:$AN,MATCH(($B22&amp;"|"&amp;BN$3),KP!$D:$D,0)),"")</f>
        <v/>
      </c>
      <c r="BO22" s="10" t="str">
        <f aca="false">_xlfn.IFNA(INDEX(KP!$AN:$AN,MATCH(($B22&amp;"|"&amp;BO$3),KP!$D:$D,0)),"")</f>
        <v/>
      </c>
      <c r="BP22" s="10" t="n">
        <f aca="false">SUM(SUMIFS(HTS!$AY:$AY,HTS!$B:$B,$B22,HTS!$C:$C,{"15-24","25-34","35-49","50+"},HTS!$D:$D,"Female"))</f>
        <v>6</v>
      </c>
      <c r="BQ22" s="10" t="n">
        <f aca="false">SUM(SUMIFS(HTS!$AY:$AY,HTS!$B:$B,$B22,HTS!$C:$C,{"15-24","25-34","35-49","50+"},HTS!$D:$D,"Male"))</f>
        <v>9</v>
      </c>
      <c r="BR22" s="10" t="n">
        <f aca="false">_xlfn.IFNA(INDEX(KP!$AP:$AP,MATCH(($B22&amp;"|"&amp;BR$3),KP!$D:$D,0)),"")</f>
        <v>0</v>
      </c>
      <c r="BS22" s="10" t="n">
        <f aca="false">_xlfn.IFNA(INDEX(KP!$AP:$AP,MATCH(($B22&amp;"|"&amp;BS$3),KP!$D:$D,0)),"")</f>
        <v>0</v>
      </c>
      <c r="BT22" s="10" t="n">
        <f aca="false">_xlfn.IFNA(INDEX(KP!$AP:$AP,MATCH(($B22&amp;"|"&amp;BT$3),KP!$D:$D,0)),"")</f>
        <v>0</v>
      </c>
      <c r="BU22" s="10" t="n">
        <f aca="false">_xlfn.IFNA(INDEX(KP!$AP:$AP,MATCH(($B22&amp;"|"&amp;BU$3),KP!$D:$D,0)),"")</f>
        <v>0</v>
      </c>
      <c r="BV22" s="10" t="n">
        <f aca="false">_xlfn.IFNA(INDEX(KP!$AP:$AP,MATCH(($B22&amp;"|"&amp;BV$3),KP!$D:$D,0)),"")</f>
        <v>0</v>
      </c>
    </row>
    <row r="23" customFormat="false" ht="15" hidden="false" customHeight="false" outlineLevel="0" collapsed="false">
      <c r="A23" s="91" t="str">
        <f aca="false">INDEX(Prioritization!$D:$D,MATCH($B23,Prioritization!$A:$A,0))</f>
        <v>INVALID</v>
      </c>
      <c r="B23" s="40" t="s">
        <v>202</v>
      </c>
      <c r="C23" s="10" t="n">
        <f aca="false">SUM(SUMIFS(PrEP!$O:$O,PrEP!$B:$B,$B23,PrEP!$C:$C,{"15-24","25-34","35-49","50+"},PrEP!$D:$D,"Female"))</f>
        <v>0</v>
      </c>
      <c r="D23" s="10" t="n">
        <f aca="false">SUM(SUMIFS(PrEP!$O:$O,PrEP!$B:$B,$B23,PrEP!$C:$C,{"15-24","25-34"},PrEP!$D:$D,"Female"))</f>
        <v>0</v>
      </c>
      <c r="E23" s="10" t="n">
        <f aca="false">SUM(SUMIFS(PrEP!$O:$O,PrEP!$B:$B,$B23,PrEP!$C:$C,{"15-24","25-34","35-49","50+"},PrEP!$D:$D,"Male"))</f>
        <v>0</v>
      </c>
      <c r="F23" s="10" t="n">
        <f aca="false">_xlfn.IFNA(INDEX(KP!$I:$I,MATCH(($B23&amp;"|"&amp;F$3),KP!$D:$D,0)),"")</f>
        <v>0</v>
      </c>
      <c r="G23" s="10" t="n">
        <f aca="false">_xlfn.IFNA(INDEX(KP!$I:$I,MATCH(($B23&amp;"|"&amp;G$3),KP!$D:$D,0)),"")</f>
        <v>0</v>
      </c>
      <c r="H23" s="10" t="n">
        <f aca="false">_xlfn.IFNA(INDEX(KP!$I:$I,MATCH(($B23&amp;"|"&amp;H$3),KP!$D:$D,0)),"")</f>
        <v>0</v>
      </c>
      <c r="I23" s="10" t="n">
        <f aca="false">_xlfn.IFNA(INDEX(KP!$I:$I,MATCH(($B23&amp;"|"&amp;I$3),KP!$D:$D,0)),"")</f>
        <v>0</v>
      </c>
      <c r="J23" s="10" t="n">
        <f aca="false">_xlfn.IFNA(INDEX(KP!$I:$I,MATCH(($B23&amp;"|"&amp;J$3),KP!$D:$D,0)),"")</f>
        <v>0</v>
      </c>
      <c r="K23" s="10" t="n">
        <f aca="false">SUM(SUMIFS(PrEP!$L:$L,PrEP!$B:$B,$B23,PrEP!$C:$C,{"15-24","25-34","35-49","50+"},PrEP!$D:$D,"Female"))</f>
        <v>0</v>
      </c>
      <c r="L23" s="10" t="n">
        <f aca="false">SUM(SUMIFS(PrEP!$L:$L,PrEP!$B:$B,$B23,PrEP!$C:$C,{"15-24","25-34"},PrEP!$D:$D,"Female"))</f>
        <v>0</v>
      </c>
      <c r="M23" s="10" t="n">
        <f aca="false">SUM(SUMIFS(PrEP!$L:$L,PrEP!$B:$B,$B23,PrEP!$C:$C,{"15-24","25-34","35-49","50+"},PrEP!$D:$D,"Male"))</f>
        <v>0</v>
      </c>
      <c r="N23" s="10" t="n">
        <f aca="false">_xlfn.IFNA(INDEX(KP!$K:$K,MATCH(($B23&amp;"|"&amp;N$3),KP!$D:$D,0)),"")</f>
        <v>0</v>
      </c>
      <c r="O23" s="10" t="n">
        <f aca="false">_xlfn.IFNA(INDEX(KP!$K:$K,MATCH(($B23&amp;"|"&amp;O$3),KP!$D:$D,0)),"")</f>
        <v>0</v>
      </c>
      <c r="P23" s="10" t="n">
        <f aca="false">_xlfn.IFNA(INDEX(KP!$K:$K,MATCH(($B23&amp;"|"&amp;P$3),KP!$D:$D,0)),"")</f>
        <v>0</v>
      </c>
      <c r="Q23" s="10" t="n">
        <f aca="false">_xlfn.IFNA(INDEX(KP!$K:$K,MATCH(($B23&amp;"|"&amp;Q$3),KP!$D:$D,0)),"")</f>
        <v>0</v>
      </c>
      <c r="R23" s="10" t="n">
        <f aca="false">_xlfn.IFNA(INDEX(KP!$K:$K,MATCH(($B23&amp;"|"&amp;R$3),KP!$D:$D,0)),"")</f>
        <v>0</v>
      </c>
      <c r="S23" s="10" t="n">
        <f aca="false">SUM(SUMIFS(Cascade!$AP:$AP,Cascade!$B:$B,$B23,Cascade!$C:$C,{"15-24","25-34","35-49","50+"},Cascade!$D:$D,"Female"))</f>
        <v>0</v>
      </c>
      <c r="T23" s="10" t="n">
        <f aca="false">SUM(SUMIFS(Cascade!$AP:$AP,Cascade!$B:$B,$B23,Cascade!$C:$C,{"15-24","25-34","35-49","50+"},Cascade!$D:$D,"Male"))</f>
        <v>0</v>
      </c>
      <c r="U23" s="10" t="str">
        <f aca="false">_xlfn.IFNA(INDEX(KP!$Q:$Q,MATCH(($B23&amp;"|"&amp;U$3),KP!$D:$D,0)),"")</f>
        <v/>
      </c>
      <c r="V23" s="10" t="str">
        <f aca="false">_xlfn.IFNA(INDEX(KP!$Q:$Q,MATCH(($B23&amp;"|"&amp;V$3),KP!$D:$D,0)),"")</f>
        <v/>
      </c>
      <c r="W23" s="10" t="n">
        <f aca="false">_xlfn.IFNA(INDEX(KP!$Q:$Q,MATCH(($B23&amp;"|"&amp;W$3),KP!$D:$D,0)),"")</f>
        <v>8</v>
      </c>
      <c r="X23" s="10" t="str">
        <f aca="false">_xlfn.IFNA(INDEX(KP!$Q:$Q,MATCH(($B23&amp;"|"&amp;X$3),KP!$D:$D,0)),"")</f>
        <v/>
      </c>
      <c r="Y23" s="10" t="str">
        <f aca="false">_xlfn.IFNA(INDEX(KP!$Q:$Q,MATCH(($B23&amp;"|"&amp;Y$3),KP!$D:$D,0)),"")</f>
        <v/>
      </c>
      <c r="Z23" s="10" t="n">
        <f aca="false">SUM(SUMIFS(Cascade!$AX:$AX,Cascade!$B:$B,$B23,Cascade!$C:$C,{"15-24","25-34","35-49","50+"},Cascade!$D:$D,"Female"))</f>
        <v>0</v>
      </c>
      <c r="AA23" s="10" t="n">
        <f aca="false">SUM(SUMIFS(Cascade!$AX:$AX,Cascade!$B:$B,$B23,Cascade!$C:$C,{"15-24","25-34","35-49","50+"},Cascade!$D:$D,"Male"))</f>
        <v>0</v>
      </c>
      <c r="AB23" s="10" t="str">
        <f aca="false">_xlfn.IFNA(INDEX(KP!$Z:$Z,MATCH(($B23&amp;"|"&amp;AB$3),KP!$D:$D,0)),"")</f>
        <v/>
      </c>
      <c r="AC23" s="10" t="str">
        <f aca="false">_xlfn.IFNA(INDEX(KP!$Z:$Z,MATCH(($B23&amp;"|"&amp;AC$3),KP!$D:$D,0)),"")</f>
        <v/>
      </c>
      <c r="AD23" s="10" t="str">
        <f aca="false">_xlfn.IFNA(INDEX(KP!$Z:$Z,MATCH(($B23&amp;"|"&amp;AD$3),KP!$D:$D,0)),"")</f>
        <v/>
      </c>
      <c r="AE23" s="10" t="str">
        <f aca="false">_xlfn.IFNA(INDEX(KP!$Z:$Z,MATCH(($B23&amp;"|"&amp;AE$3),KP!$D:$D,0)),"")</f>
        <v/>
      </c>
      <c r="AF23" s="10" t="str">
        <f aca="false">_xlfn.IFNA(INDEX(KP!$Z:$Z,MATCH(($B23&amp;"|"&amp;AF$3),KP!$D:$D,0)),"")</f>
        <v/>
      </c>
      <c r="AG23" s="10" t="n">
        <f aca="false">SUM(SUMIFS(Cascade!$BB:$BB,Cascade!$B:$B,$B23,Cascade!$C:$C,{"15-24","25-34","35-49","50+"},Cascade!$D:$D,"Female"))</f>
        <v>0</v>
      </c>
      <c r="AH23" s="10" t="n">
        <f aca="false">SUM(SUMIFS(Cascade!$BB:$BB,Cascade!$B:$B,$B23,Cascade!$C:$C,{"15-24","25-34","35-49","50+"},Cascade!$D:$D,"Male"))</f>
        <v>0</v>
      </c>
      <c r="AI23" s="10" t="str">
        <f aca="false">_xlfn.IFNA(INDEX(KP!$AD:$AD,MATCH(($B23&amp;"|"&amp;AI$3),KP!$D:$D,0)),"")</f>
        <v/>
      </c>
      <c r="AJ23" s="10" t="str">
        <f aca="false">_xlfn.IFNA(INDEX(KP!$AD:$AD,MATCH(($B23&amp;"|"&amp;AJ$3),KP!$D:$D,0)),"")</f>
        <v/>
      </c>
      <c r="AK23" s="10" t="n">
        <f aca="false">_xlfn.IFNA(INDEX(KP!$AD:$AD,MATCH(($B23&amp;"|"&amp;AK$3),KP!$D:$D,0)),"")</f>
        <v>8</v>
      </c>
      <c r="AL23" s="10" t="str">
        <f aca="false">_xlfn.IFNA(INDEX(KP!$AD:$AD,MATCH(($B23&amp;"|"&amp;AL$3),KP!$D:$D,0)),"")</f>
        <v/>
      </c>
      <c r="AM23" s="10" t="str">
        <f aca="false">_xlfn.IFNA(INDEX(KP!$AD:$AD,MATCH(($B23&amp;"|"&amp;AM$3),KP!$D:$D,0)),"")</f>
        <v/>
      </c>
      <c r="AN23" s="10" t="n">
        <f aca="false">SUM(SUMIFS(Cascade!$BE:$BE,Cascade!$B:$B,$B23,Cascade!$C:$C,{"15-24","25-34","35-49","50+"},Cascade!$D:$D,"Female"))</f>
        <v>0</v>
      </c>
      <c r="AO23" s="10" t="n">
        <f aca="false">SUM(SUMIFS(Cascade!$BE:$BE,Cascade!$B:$B,$B23,Cascade!$C:$C,{"15-24","25-34","35-49","50+"},Cascade!$D:$D,"Male"))</f>
        <v>0</v>
      </c>
      <c r="AP23" s="10" t="str">
        <f aca="false">_xlfn.IFNA(INDEX(KP!$AF:$AF,MATCH(($B23&amp;"|"&amp;AP$3),KP!$D:$D,0)),"")</f>
        <v/>
      </c>
      <c r="AQ23" s="10" t="str">
        <f aca="false">_xlfn.IFNA(INDEX(KP!$AF:$AF,MATCH(($B23&amp;"|"&amp;AQ$3),KP!$D:$D,0)),"")</f>
        <v/>
      </c>
      <c r="AR23" s="10" t="n">
        <f aca="false">_xlfn.IFNA(INDEX(KP!$AF:$AF,MATCH(($B23&amp;"|"&amp;AR$3),KP!$D:$D,0)),"")</f>
        <v>8</v>
      </c>
      <c r="AS23" s="10" t="str">
        <f aca="false">_xlfn.IFNA(INDEX(KP!$AF:$AF,MATCH(($B23&amp;"|"&amp;AS$3),KP!$D:$D,0)),"")</f>
        <v/>
      </c>
      <c r="AT23" s="10" t="str">
        <f aca="false">_xlfn.IFNA(INDEX(KP!$AF:$AF,MATCH(($B23&amp;"|"&amp;AT$3),KP!$D:$D,0)),"")</f>
        <v/>
      </c>
      <c r="AU23" s="10" t="n">
        <f aca="false">SUM(SUMIFS(HTS!$AM:$AM,HTS!$B:$B,$B23,HTS!$C:$C,{"15-24","25-34","35-49","50+"},HTS!$D:$D,"Female"))</f>
        <v>0</v>
      </c>
      <c r="AV23" s="10" t="n">
        <f aca="false">SUM(SUMIFS(HTS!$AM:$AM,HTS!$B:$B,$B23,HTS!$C:$C,{"15-24","25-34","35-49","50+"},HTS!$D:$D,"Male"))</f>
        <v>0</v>
      </c>
      <c r="AW23" s="10" t="str">
        <f aca="false">_xlfn.IFNA(INDEX(KP!$AK:$AK,MATCH(($B23&amp;"|"&amp;AW$3),KP!$D:$D,0)),"")</f>
        <v/>
      </c>
      <c r="AX23" s="10" t="str">
        <f aca="false">_xlfn.IFNA(INDEX(KP!$AK:$AK,MATCH(($B23&amp;"|"&amp;AX$3),KP!$D:$D,0)),"")</f>
        <v/>
      </c>
      <c r="AY23" s="10" t="str">
        <f aca="false">_xlfn.IFNA(INDEX(KP!$AK:$AK,MATCH(($B23&amp;"|"&amp;AY$3),KP!$D:$D,0)),"")</f>
        <v/>
      </c>
      <c r="AZ23" s="10" t="str">
        <f aca="false">_xlfn.IFNA(INDEX(KP!$AK:$AK,MATCH(($B23&amp;"|"&amp;AZ$3),KP!$D:$D,0)),"")</f>
        <v/>
      </c>
      <c r="BA23" s="10" t="str">
        <f aca="false">_xlfn.IFNA(INDEX(KP!$AK:$AK,MATCH(($B23&amp;"|"&amp;BA$3),KP!$D:$D,0)),"")</f>
        <v/>
      </c>
      <c r="BB23" s="10" t="n">
        <f aca="false">SUM(SUMIFS(HTS!$AT:$AT,HTS!$B:$B,$B23,HTS!$C:$C,{"15-24","25-34","35-49","50+"},HTS!$D:$D,"Female"))</f>
        <v>0</v>
      </c>
      <c r="BC23" s="10" t="n">
        <f aca="false">SUM(SUMIFS(HTS!$AT:$AT,HTS!$B:$B,$B23,HTS!$C:$C,{"15-24","25-34","35-49","50+"},HTS!$D:$D,"Male"))</f>
        <v>0</v>
      </c>
      <c r="BD23" s="10" t="str">
        <f aca="false">_xlfn.IFNA(INDEX(KP!$AL:$AL,MATCH(($B23&amp;"|"&amp;BD$3),KP!$D:$D,0)),"")</f>
        <v/>
      </c>
      <c r="BE23" s="10" t="str">
        <f aca="false">_xlfn.IFNA(INDEX(KP!$AL:$AL,MATCH(($B23&amp;"|"&amp;BE$3),KP!$D:$D,0)),"")</f>
        <v/>
      </c>
      <c r="BF23" s="10" t="str">
        <f aca="false">_xlfn.IFNA(INDEX(KP!$AL:$AL,MATCH(($B23&amp;"|"&amp;BF$3),KP!$D:$D,0)),"")</f>
        <v/>
      </c>
      <c r="BG23" s="10" t="str">
        <f aca="false">_xlfn.IFNA(INDEX(KP!$AL:$AL,MATCH(($B23&amp;"|"&amp;BG$3),KP!$D:$D,0)),"")</f>
        <v/>
      </c>
      <c r="BH23" s="10" t="str">
        <f aca="false">_xlfn.IFNA(INDEX(KP!$AL:$AL,MATCH(($B23&amp;"|"&amp;BH$3),KP!$D:$D,0)),"")</f>
        <v/>
      </c>
      <c r="BI23" s="10" t="n">
        <f aca="false">SUM(SUMIFS(HTS!$BA:$BA,HTS!$B:$B,$B23,HTS!$C:$C,{"15-24","25-34","35-49","50+"},HTS!$D:$D,"Female"))</f>
        <v>0</v>
      </c>
      <c r="BJ23" s="10" t="n">
        <f aca="false">SUM(SUMIFS(HTS!$BA:$BA,HTS!$B:$B,$B23,HTS!$C:$C,{"15-24","25-34","35-49","50+"},HTS!$D:$D,"Male"))</f>
        <v>0</v>
      </c>
      <c r="BK23" s="10" t="str">
        <f aca="false">_xlfn.IFNA(INDEX(KP!$AN:$AN,MATCH(($B23&amp;"|"&amp;BK$3),KP!$D:$D,0)),"")</f>
        <v/>
      </c>
      <c r="BL23" s="10" t="str">
        <f aca="false">_xlfn.IFNA(INDEX(KP!$AN:$AN,MATCH(($B23&amp;"|"&amp;BL$3),KP!$D:$D,0)),"")</f>
        <v/>
      </c>
      <c r="BM23" s="10" t="str">
        <f aca="false">_xlfn.IFNA(INDEX(KP!$AN:$AN,MATCH(($B23&amp;"|"&amp;BM$3),KP!$D:$D,0)),"")</f>
        <v/>
      </c>
      <c r="BN23" s="10" t="str">
        <f aca="false">_xlfn.IFNA(INDEX(KP!$AN:$AN,MATCH(($B23&amp;"|"&amp;BN$3),KP!$D:$D,0)),"")</f>
        <v/>
      </c>
      <c r="BO23" s="10" t="str">
        <f aca="false">_xlfn.IFNA(INDEX(KP!$AN:$AN,MATCH(($B23&amp;"|"&amp;BO$3),KP!$D:$D,0)),"")</f>
        <v/>
      </c>
      <c r="BP23" s="10" t="n">
        <f aca="false">SUM(SUMIFS(HTS!$AY:$AY,HTS!$B:$B,$B23,HTS!$C:$C,{"15-24","25-34","35-49","50+"},HTS!$D:$D,"Female"))</f>
        <v>3</v>
      </c>
      <c r="BQ23" s="10" t="n">
        <f aca="false">SUM(SUMIFS(HTS!$AY:$AY,HTS!$B:$B,$B23,HTS!$C:$C,{"15-24","25-34","35-49","50+"},HTS!$D:$D,"Male"))</f>
        <v>8</v>
      </c>
      <c r="BR23" s="10" t="n">
        <f aca="false">_xlfn.IFNA(INDEX(KP!$AP:$AP,MATCH(($B23&amp;"|"&amp;BR$3),KP!$D:$D,0)),"")</f>
        <v>0</v>
      </c>
      <c r="BS23" s="10" t="n">
        <f aca="false">_xlfn.IFNA(INDEX(KP!$AP:$AP,MATCH(($B23&amp;"|"&amp;BS$3),KP!$D:$D,0)),"")</f>
        <v>0</v>
      </c>
      <c r="BT23" s="10" t="n">
        <f aca="false">_xlfn.IFNA(INDEX(KP!$AP:$AP,MATCH(($B23&amp;"|"&amp;BT$3),KP!$D:$D,0)),"")</f>
        <v>0</v>
      </c>
      <c r="BU23" s="10" t="n">
        <f aca="false">_xlfn.IFNA(INDEX(KP!$AP:$AP,MATCH(($B23&amp;"|"&amp;BU$3),KP!$D:$D,0)),"")</f>
        <v>0</v>
      </c>
      <c r="BV23" s="10" t="n">
        <f aca="false">_xlfn.IFNA(INDEX(KP!$AP:$AP,MATCH(($B23&amp;"|"&amp;BV$3),KP!$D:$D,0)),"")</f>
        <v>0</v>
      </c>
    </row>
    <row r="24" customFormat="false" ht="15" hidden="false" customHeight="false" outlineLevel="0" collapsed="false">
      <c r="A24" s="91" t="str">
        <f aca="false">INDEX(Prioritization!$D:$D,MATCH($B24,Prioritization!$A:$A,0))</f>
        <v>INVALID</v>
      </c>
      <c r="B24" s="40" t="s">
        <v>203</v>
      </c>
      <c r="C24" s="10" t="n">
        <f aca="false">SUM(SUMIFS(PrEP!$O:$O,PrEP!$B:$B,$B24,PrEP!$C:$C,{"15-24","25-34","35-49","50+"},PrEP!$D:$D,"Female"))</f>
        <v>0</v>
      </c>
      <c r="D24" s="10" t="n">
        <f aca="false">SUM(SUMIFS(PrEP!$O:$O,PrEP!$B:$B,$B24,PrEP!$C:$C,{"15-24","25-34"},PrEP!$D:$D,"Female"))</f>
        <v>0</v>
      </c>
      <c r="E24" s="10" t="n">
        <f aca="false">SUM(SUMIFS(PrEP!$O:$O,PrEP!$B:$B,$B24,PrEP!$C:$C,{"15-24","25-34","35-49","50+"},PrEP!$D:$D,"Male"))</f>
        <v>0</v>
      </c>
      <c r="F24" s="10" t="n">
        <f aca="false">_xlfn.IFNA(INDEX(KP!$I:$I,MATCH(($B24&amp;"|"&amp;F$3),KP!$D:$D,0)),"")</f>
        <v>0</v>
      </c>
      <c r="G24" s="10" t="n">
        <f aca="false">_xlfn.IFNA(INDEX(KP!$I:$I,MATCH(($B24&amp;"|"&amp;G$3),KP!$D:$D,0)),"")</f>
        <v>0</v>
      </c>
      <c r="H24" s="10" t="n">
        <f aca="false">_xlfn.IFNA(INDEX(KP!$I:$I,MATCH(($B24&amp;"|"&amp;H$3),KP!$D:$D,0)),"")</f>
        <v>0</v>
      </c>
      <c r="I24" s="10" t="n">
        <f aca="false">_xlfn.IFNA(INDEX(KP!$I:$I,MATCH(($B24&amp;"|"&amp;I$3),KP!$D:$D,0)),"")</f>
        <v>0</v>
      </c>
      <c r="J24" s="10" t="n">
        <f aca="false">_xlfn.IFNA(INDEX(KP!$I:$I,MATCH(($B24&amp;"|"&amp;J$3),KP!$D:$D,0)),"")</f>
        <v>0</v>
      </c>
      <c r="K24" s="10" t="n">
        <f aca="false">SUM(SUMIFS(PrEP!$L:$L,PrEP!$B:$B,$B24,PrEP!$C:$C,{"15-24","25-34","35-49","50+"},PrEP!$D:$D,"Female"))</f>
        <v>0</v>
      </c>
      <c r="L24" s="10" t="n">
        <f aca="false">SUM(SUMIFS(PrEP!$L:$L,PrEP!$B:$B,$B24,PrEP!$C:$C,{"15-24","25-34"},PrEP!$D:$D,"Female"))</f>
        <v>0</v>
      </c>
      <c r="M24" s="10" t="n">
        <f aca="false">SUM(SUMIFS(PrEP!$L:$L,PrEP!$B:$B,$B24,PrEP!$C:$C,{"15-24","25-34","35-49","50+"},PrEP!$D:$D,"Male"))</f>
        <v>0</v>
      </c>
      <c r="N24" s="10" t="n">
        <f aca="false">_xlfn.IFNA(INDEX(KP!$K:$K,MATCH(($B24&amp;"|"&amp;N$3),KP!$D:$D,0)),"")</f>
        <v>0</v>
      </c>
      <c r="O24" s="10" t="n">
        <f aca="false">_xlfn.IFNA(INDEX(KP!$K:$K,MATCH(($B24&amp;"|"&amp;O$3),KP!$D:$D,0)),"")</f>
        <v>0</v>
      </c>
      <c r="P24" s="10" t="n">
        <f aca="false">_xlfn.IFNA(INDEX(KP!$K:$K,MATCH(($B24&amp;"|"&amp;P$3),KP!$D:$D,0)),"")</f>
        <v>0</v>
      </c>
      <c r="Q24" s="10" t="n">
        <f aca="false">_xlfn.IFNA(INDEX(KP!$K:$K,MATCH(($B24&amp;"|"&amp;Q$3),KP!$D:$D,0)),"")</f>
        <v>0</v>
      </c>
      <c r="R24" s="10" t="n">
        <f aca="false">_xlfn.IFNA(INDEX(KP!$K:$K,MATCH(($B24&amp;"|"&amp;R$3),KP!$D:$D,0)),"")</f>
        <v>0</v>
      </c>
      <c r="S24" s="10" t="n">
        <f aca="false">SUM(SUMIFS(Cascade!$AP:$AP,Cascade!$B:$B,$B24,Cascade!$C:$C,{"15-24","25-34","35-49","50+"},Cascade!$D:$D,"Female"))</f>
        <v>0</v>
      </c>
      <c r="T24" s="10" t="n">
        <f aca="false">SUM(SUMIFS(Cascade!$AP:$AP,Cascade!$B:$B,$B24,Cascade!$C:$C,{"15-24","25-34","35-49","50+"},Cascade!$D:$D,"Male"))</f>
        <v>0</v>
      </c>
      <c r="U24" s="10" t="str">
        <f aca="false">_xlfn.IFNA(INDEX(KP!$Q:$Q,MATCH(($B24&amp;"|"&amp;U$3),KP!$D:$D,0)),"")</f>
        <v/>
      </c>
      <c r="V24" s="10" t="str">
        <f aca="false">_xlfn.IFNA(INDEX(KP!$Q:$Q,MATCH(($B24&amp;"|"&amp;V$3),KP!$D:$D,0)),"")</f>
        <v/>
      </c>
      <c r="W24" s="10" t="str">
        <f aca="false">_xlfn.IFNA(INDEX(KP!$Q:$Q,MATCH(($B24&amp;"|"&amp;W$3),KP!$D:$D,0)),"")</f>
        <v/>
      </c>
      <c r="X24" s="10" t="str">
        <f aca="false">_xlfn.IFNA(INDEX(KP!$Q:$Q,MATCH(($B24&amp;"|"&amp;X$3),KP!$D:$D,0)),"")</f>
        <v/>
      </c>
      <c r="Y24" s="10" t="str">
        <f aca="false">_xlfn.IFNA(INDEX(KP!$Q:$Q,MATCH(($B24&amp;"|"&amp;Y$3),KP!$D:$D,0)),"")</f>
        <v/>
      </c>
      <c r="Z24" s="10" t="n">
        <f aca="false">SUM(SUMIFS(Cascade!$AX:$AX,Cascade!$B:$B,$B24,Cascade!$C:$C,{"15-24","25-34","35-49","50+"},Cascade!$D:$D,"Female"))</f>
        <v>0</v>
      </c>
      <c r="AA24" s="10" t="n">
        <f aca="false">SUM(SUMIFS(Cascade!$AX:$AX,Cascade!$B:$B,$B24,Cascade!$C:$C,{"15-24","25-34","35-49","50+"},Cascade!$D:$D,"Male"))</f>
        <v>0</v>
      </c>
      <c r="AB24" s="10" t="str">
        <f aca="false">_xlfn.IFNA(INDEX(KP!$Z:$Z,MATCH(($B24&amp;"|"&amp;AB$3),KP!$D:$D,0)),"")</f>
        <v/>
      </c>
      <c r="AC24" s="10" t="str">
        <f aca="false">_xlfn.IFNA(INDEX(KP!$Z:$Z,MATCH(($B24&amp;"|"&amp;AC$3),KP!$D:$D,0)),"")</f>
        <v/>
      </c>
      <c r="AD24" s="10" t="str">
        <f aca="false">_xlfn.IFNA(INDEX(KP!$Z:$Z,MATCH(($B24&amp;"|"&amp;AD$3),KP!$D:$D,0)),"")</f>
        <v/>
      </c>
      <c r="AE24" s="10" t="str">
        <f aca="false">_xlfn.IFNA(INDEX(KP!$Z:$Z,MATCH(($B24&amp;"|"&amp;AE$3),KP!$D:$D,0)),"")</f>
        <v/>
      </c>
      <c r="AF24" s="10" t="str">
        <f aca="false">_xlfn.IFNA(INDEX(KP!$Z:$Z,MATCH(($B24&amp;"|"&amp;AF$3),KP!$D:$D,0)),"")</f>
        <v/>
      </c>
      <c r="AG24" s="10" t="n">
        <f aca="false">SUM(SUMIFS(Cascade!$BB:$BB,Cascade!$B:$B,$B24,Cascade!$C:$C,{"15-24","25-34","35-49","50+"},Cascade!$D:$D,"Female"))</f>
        <v>0</v>
      </c>
      <c r="AH24" s="10" t="n">
        <f aca="false">SUM(SUMIFS(Cascade!$BB:$BB,Cascade!$B:$B,$B24,Cascade!$C:$C,{"15-24","25-34","35-49","50+"},Cascade!$D:$D,"Male"))</f>
        <v>0</v>
      </c>
      <c r="AI24" s="10" t="str">
        <f aca="false">_xlfn.IFNA(INDEX(KP!$AD:$AD,MATCH(($B24&amp;"|"&amp;AI$3),KP!$D:$D,0)),"")</f>
        <v/>
      </c>
      <c r="AJ24" s="10" t="str">
        <f aca="false">_xlfn.IFNA(INDEX(KP!$AD:$AD,MATCH(($B24&amp;"|"&amp;AJ$3),KP!$D:$D,0)),"")</f>
        <v/>
      </c>
      <c r="AK24" s="10" t="str">
        <f aca="false">_xlfn.IFNA(INDEX(KP!$AD:$AD,MATCH(($B24&amp;"|"&amp;AK$3),KP!$D:$D,0)),"")</f>
        <v/>
      </c>
      <c r="AL24" s="10" t="str">
        <f aca="false">_xlfn.IFNA(INDEX(KP!$AD:$AD,MATCH(($B24&amp;"|"&amp;AL$3),KP!$D:$D,0)),"")</f>
        <v/>
      </c>
      <c r="AM24" s="10" t="str">
        <f aca="false">_xlfn.IFNA(INDEX(KP!$AD:$AD,MATCH(($B24&amp;"|"&amp;AM$3),KP!$D:$D,0)),"")</f>
        <v/>
      </c>
      <c r="AN24" s="10" t="n">
        <f aca="false">SUM(SUMIFS(Cascade!$BE:$BE,Cascade!$B:$B,$B24,Cascade!$C:$C,{"15-24","25-34","35-49","50+"},Cascade!$D:$D,"Female"))</f>
        <v>0</v>
      </c>
      <c r="AO24" s="10" t="n">
        <f aca="false">SUM(SUMIFS(Cascade!$BE:$BE,Cascade!$B:$B,$B24,Cascade!$C:$C,{"15-24","25-34","35-49","50+"},Cascade!$D:$D,"Male"))</f>
        <v>0</v>
      </c>
      <c r="AP24" s="10" t="str">
        <f aca="false">_xlfn.IFNA(INDEX(KP!$AF:$AF,MATCH(($B24&amp;"|"&amp;AP$3),KP!$D:$D,0)),"")</f>
        <v/>
      </c>
      <c r="AQ24" s="10" t="str">
        <f aca="false">_xlfn.IFNA(INDEX(KP!$AF:$AF,MATCH(($B24&amp;"|"&amp;AQ$3),KP!$D:$D,0)),"")</f>
        <v/>
      </c>
      <c r="AR24" s="10" t="str">
        <f aca="false">_xlfn.IFNA(INDEX(KP!$AF:$AF,MATCH(($B24&amp;"|"&amp;AR$3),KP!$D:$D,0)),"")</f>
        <v/>
      </c>
      <c r="AS24" s="10" t="str">
        <f aca="false">_xlfn.IFNA(INDEX(KP!$AF:$AF,MATCH(($B24&amp;"|"&amp;AS$3),KP!$D:$D,0)),"")</f>
        <v/>
      </c>
      <c r="AT24" s="10" t="str">
        <f aca="false">_xlfn.IFNA(INDEX(KP!$AF:$AF,MATCH(($B24&amp;"|"&amp;AT$3),KP!$D:$D,0)),"")</f>
        <v/>
      </c>
      <c r="AU24" s="10" t="n">
        <f aca="false">SUM(SUMIFS(HTS!$AM:$AM,HTS!$B:$B,$B24,HTS!$C:$C,{"15-24","25-34","35-49","50+"},HTS!$D:$D,"Female"))</f>
        <v>0</v>
      </c>
      <c r="AV24" s="10" t="n">
        <f aca="false">SUM(SUMIFS(HTS!$AM:$AM,HTS!$B:$B,$B24,HTS!$C:$C,{"15-24","25-34","35-49","50+"},HTS!$D:$D,"Male"))</f>
        <v>0</v>
      </c>
      <c r="AW24" s="10" t="str">
        <f aca="false">_xlfn.IFNA(INDEX(KP!$AK:$AK,MATCH(($B24&amp;"|"&amp;AW$3),KP!$D:$D,0)),"")</f>
        <v/>
      </c>
      <c r="AX24" s="10" t="str">
        <f aca="false">_xlfn.IFNA(INDEX(KP!$AK:$AK,MATCH(($B24&amp;"|"&amp;AX$3),KP!$D:$D,0)),"")</f>
        <v/>
      </c>
      <c r="AY24" s="10" t="str">
        <f aca="false">_xlfn.IFNA(INDEX(KP!$AK:$AK,MATCH(($B24&amp;"|"&amp;AY$3),KP!$D:$D,0)),"")</f>
        <v/>
      </c>
      <c r="AZ24" s="10" t="str">
        <f aca="false">_xlfn.IFNA(INDEX(KP!$AK:$AK,MATCH(($B24&amp;"|"&amp;AZ$3),KP!$D:$D,0)),"")</f>
        <v/>
      </c>
      <c r="BA24" s="10" t="str">
        <f aca="false">_xlfn.IFNA(INDEX(KP!$AK:$AK,MATCH(($B24&amp;"|"&amp;BA$3),KP!$D:$D,0)),"")</f>
        <v/>
      </c>
      <c r="BB24" s="10" t="n">
        <f aca="false">SUM(SUMIFS(HTS!$AT:$AT,HTS!$B:$B,$B24,HTS!$C:$C,{"15-24","25-34","35-49","50+"},HTS!$D:$D,"Female"))</f>
        <v>0</v>
      </c>
      <c r="BC24" s="10" t="n">
        <f aca="false">SUM(SUMIFS(HTS!$AT:$AT,HTS!$B:$B,$B24,HTS!$C:$C,{"15-24","25-34","35-49","50+"},HTS!$D:$D,"Male"))</f>
        <v>0</v>
      </c>
      <c r="BD24" s="10" t="str">
        <f aca="false">_xlfn.IFNA(INDEX(KP!$AL:$AL,MATCH(($B24&amp;"|"&amp;BD$3),KP!$D:$D,0)),"")</f>
        <v/>
      </c>
      <c r="BE24" s="10" t="str">
        <f aca="false">_xlfn.IFNA(INDEX(KP!$AL:$AL,MATCH(($B24&amp;"|"&amp;BE$3),KP!$D:$D,0)),"")</f>
        <v/>
      </c>
      <c r="BF24" s="10" t="str">
        <f aca="false">_xlfn.IFNA(INDEX(KP!$AL:$AL,MATCH(($B24&amp;"|"&amp;BF$3),KP!$D:$D,0)),"")</f>
        <v/>
      </c>
      <c r="BG24" s="10" t="str">
        <f aca="false">_xlfn.IFNA(INDEX(KP!$AL:$AL,MATCH(($B24&amp;"|"&amp;BG$3),KP!$D:$D,0)),"")</f>
        <v/>
      </c>
      <c r="BH24" s="10" t="str">
        <f aca="false">_xlfn.IFNA(INDEX(KP!$AL:$AL,MATCH(($B24&amp;"|"&amp;BH$3),KP!$D:$D,0)),"")</f>
        <v/>
      </c>
      <c r="BI24" s="10" t="n">
        <f aca="false">SUM(SUMIFS(HTS!$BA:$BA,HTS!$B:$B,$B24,HTS!$C:$C,{"15-24","25-34","35-49","50+"},HTS!$D:$D,"Female"))</f>
        <v>0</v>
      </c>
      <c r="BJ24" s="10" t="n">
        <f aca="false">SUM(SUMIFS(HTS!$BA:$BA,HTS!$B:$B,$B24,HTS!$C:$C,{"15-24","25-34","35-49","50+"},HTS!$D:$D,"Male"))</f>
        <v>0</v>
      </c>
      <c r="BK24" s="10" t="str">
        <f aca="false">_xlfn.IFNA(INDEX(KP!$AN:$AN,MATCH(($B24&amp;"|"&amp;BK$3),KP!$D:$D,0)),"")</f>
        <v/>
      </c>
      <c r="BL24" s="10" t="str">
        <f aca="false">_xlfn.IFNA(INDEX(KP!$AN:$AN,MATCH(($B24&amp;"|"&amp;BL$3),KP!$D:$D,0)),"")</f>
        <v/>
      </c>
      <c r="BM24" s="10" t="str">
        <f aca="false">_xlfn.IFNA(INDEX(KP!$AN:$AN,MATCH(($B24&amp;"|"&amp;BM$3),KP!$D:$D,0)),"")</f>
        <v/>
      </c>
      <c r="BN24" s="10" t="str">
        <f aca="false">_xlfn.IFNA(INDEX(KP!$AN:$AN,MATCH(($B24&amp;"|"&amp;BN$3),KP!$D:$D,0)),"")</f>
        <v/>
      </c>
      <c r="BO24" s="10" t="str">
        <f aca="false">_xlfn.IFNA(INDEX(KP!$AN:$AN,MATCH(($B24&amp;"|"&amp;BO$3),KP!$D:$D,0)),"")</f>
        <v/>
      </c>
      <c r="BP24" s="10" t="n">
        <f aca="false">SUM(SUMIFS(HTS!$AY:$AY,HTS!$B:$B,$B24,HTS!$C:$C,{"15-24","25-34","35-49","50+"},HTS!$D:$D,"Female"))</f>
        <v>81</v>
      </c>
      <c r="BQ24" s="10" t="n">
        <f aca="false">SUM(SUMIFS(HTS!$AY:$AY,HTS!$B:$B,$B24,HTS!$C:$C,{"15-24","25-34","35-49","50+"},HTS!$D:$D,"Male"))</f>
        <v>11</v>
      </c>
      <c r="BR24" s="10" t="n">
        <f aca="false">_xlfn.IFNA(INDEX(KP!$AP:$AP,MATCH(($B24&amp;"|"&amp;BR$3),KP!$D:$D,0)),"")</f>
        <v>0</v>
      </c>
      <c r="BS24" s="10" t="n">
        <f aca="false">_xlfn.IFNA(INDEX(KP!$AP:$AP,MATCH(($B24&amp;"|"&amp;BS$3),KP!$D:$D,0)),"")</f>
        <v>0</v>
      </c>
      <c r="BT24" s="10" t="n">
        <f aca="false">_xlfn.IFNA(INDEX(KP!$AP:$AP,MATCH(($B24&amp;"|"&amp;BT$3),KP!$D:$D,0)),"")</f>
        <v>0</v>
      </c>
      <c r="BU24" s="10" t="n">
        <f aca="false">_xlfn.IFNA(INDEX(KP!$AP:$AP,MATCH(($B24&amp;"|"&amp;BU$3),KP!$D:$D,0)),"")</f>
        <v>0</v>
      </c>
      <c r="BV24" s="10" t="n">
        <f aca="false">_xlfn.IFNA(INDEX(KP!$AP:$AP,MATCH(($B24&amp;"|"&amp;BV$3),KP!$D:$D,0)),"")</f>
        <v>0</v>
      </c>
    </row>
    <row r="25" customFormat="false" ht="15" hidden="false" customHeight="false" outlineLevel="0" collapsed="false">
      <c r="A25" s="91" t="str">
        <f aca="false">INDEX(Prioritization!$D:$D,MATCH($B25,Prioritization!$A:$A,0))</f>
        <v>1 - Scale-up: Saturation</v>
      </c>
      <c r="B25" s="40" t="s">
        <v>204</v>
      </c>
      <c r="C25" s="10" t="n">
        <f aca="false">SUM(SUMIFS(PrEP!$O:$O,PrEP!$B:$B,$B25,PrEP!$C:$C,{"15-24","25-34","35-49","50+"},PrEP!$D:$D,"Female"))</f>
        <v>0</v>
      </c>
      <c r="D25" s="10" t="n">
        <f aca="false">SUM(SUMIFS(PrEP!$O:$O,PrEP!$B:$B,$B25,PrEP!$C:$C,{"15-24","25-34"},PrEP!$D:$D,"Female"))</f>
        <v>0</v>
      </c>
      <c r="E25" s="10" t="n">
        <f aca="false">SUM(SUMIFS(PrEP!$O:$O,PrEP!$B:$B,$B25,PrEP!$C:$C,{"15-24","25-34","35-49","50+"},PrEP!$D:$D,"Male"))</f>
        <v>0</v>
      </c>
      <c r="F25" s="10" t="n">
        <f aca="false">_xlfn.IFNA(INDEX(KP!$I:$I,MATCH(($B25&amp;"|"&amp;F$3),KP!$D:$D,0)),"")</f>
        <v>0</v>
      </c>
      <c r="G25" s="10" t="n">
        <f aca="false">_xlfn.IFNA(INDEX(KP!$I:$I,MATCH(($B25&amp;"|"&amp;G$3),KP!$D:$D,0)),"")</f>
        <v>0</v>
      </c>
      <c r="H25" s="10" t="n">
        <f aca="false">_xlfn.IFNA(INDEX(KP!$I:$I,MATCH(($B25&amp;"|"&amp;H$3),KP!$D:$D,0)),"")</f>
        <v>0</v>
      </c>
      <c r="I25" s="10" t="n">
        <f aca="false">_xlfn.IFNA(INDEX(KP!$I:$I,MATCH(($B25&amp;"|"&amp;I$3),KP!$D:$D,0)),"")</f>
        <v>0</v>
      </c>
      <c r="J25" s="10" t="n">
        <f aca="false">_xlfn.IFNA(INDEX(KP!$I:$I,MATCH(($B25&amp;"|"&amp;J$3),KP!$D:$D,0)),"")</f>
        <v>0</v>
      </c>
      <c r="K25" s="10" t="n">
        <f aca="false">SUM(SUMIFS(PrEP!$L:$L,PrEP!$B:$B,$B25,PrEP!$C:$C,{"15-24","25-34","35-49","50+"},PrEP!$D:$D,"Female"))</f>
        <v>0</v>
      </c>
      <c r="L25" s="10" t="n">
        <f aca="false">SUM(SUMIFS(PrEP!$L:$L,PrEP!$B:$B,$B25,PrEP!$C:$C,{"15-24","25-34"},PrEP!$D:$D,"Female"))</f>
        <v>0</v>
      </c>
      <c r="M25" s="10" t="n">
        <f aca="false">SUM(SUMIFS(PrEP!$L:$L,PrEP!$B:$B,$B25,PrEP!$C:$C,{"15-24","25-34","35-49","50+"},PrEP!$D:$D,"Male"))</f>
        <v>0</v>
      </c>
      <c r="N25" s="10" t="n">
        <f aca="false">_xlfn.IFNA(INDEX(KP!$K:$K,MATCH(($B25&amp;"|"&amp;N$3),KP!$D:$D,0)),"")</f>
        <v>0</v>
      </c>
      <c r="O25" s="10" t="n">
        <f aca="false">_xlfn.IFNA(INDEX(KP!$K:$K,MATCH(($B25&amp;"|"&amp;O$3),KP!$D:$D,0)),"")</f>
        <v>0</v>
      </c>
      <c r="P25" s="10" t="n">
        <f aca="false">_xlfn.IFNA(INDEX(KP!$K:$K,MATCH(($B25&amp;"|"&amp;P$3),KP!$D:$D,0)),"")</f>
        <v>0</v>
      </c>
      <c r="Q25" s="10" t="n">
        <f aca="false">_xlfn.IFNA(INDEX(KP!$K:$K,MATCH(($B25&amp;"|"&amp;Q$3),KP!$D:$D,0)),"")</f>
        <v>0</v>
      </c>
      <c r="R25" s="10" t="n">
        <f aca="false">_xlfn.IFNA(INDEX(KP!$K:$K,MATCH(($B25&amp;"|"&amp;R$3),KP!$D:$D,0)),"")</f>
        <v>0</v>
      </c>
      <c r="S25" s="10" t="n">
        <f aca="false">SUM(SUMIFS(Cascade!$AP:$AP,Cascade!$B:$B,$B25,Cascade!$C:$C,{"15-24","25-34","35-49","50+"},Cascade!$D:$D,"Female"))</f>
        <v>0</v>
      </c>
      <c r="T25" s="10" t="n">
        <f aca="false">SUM(SUMIFS(Cascade!$AP:$AP,Cascade!$B:$B,$B25,Cascade!$C:$C,{"15-24","25-34","35-49","50+"},Cascade!$D:$D,"Male"))</f>
        <v>0</v>
      </c>
      <c r="U25" s="10" t="str">
        <f aca="false">_xlfn.IFNA(INDEX(KP!$Q:$Q,MATCH(($B25&amp;"|"&amp;U$3),KP!$D:$D,0)),"")</f>
        <v/>
      </c>
      <c r="V25" s="10" t="str">
        <f aca="false">_xlfn.IFNA(INDEX(KP!$Q:$Q,MATCH(($B25&amp;"|"&amp;V$3),KP!$D:$D,0)),"")</f>
        <v/>
      </c>
      <c r="W25" s="10" t="str">
        <f aca="false">_xlfn.IFNA(INDEX(KP!$Q:$Q,MATCH(($B25&amp;"|"&amp;W$3),KP!$D:$D,0)),"")</f>
        <v/>
      </c>
      <c r="X25" s="10" t="str">
        <f aca="false">_xlfn.IFNA(INDEX(KP!$Q:$Q,MATCH(($B25&amp;"|"&amp;X$3),KP!$D:$D,0)),"")</f>
        <v/>
      </c>
      <c r="Y25" s="10" t="str">
        <f aca="false">_xlfn.IFNA(INDEX(KP!$Q:$Q,MATCH(($B25&amp;"|"&amp;Y$3),KP!$D:$D,0)),"")</f>
        <v/>
      </c>
      <c r="Z25" s="10" t="n">
        <f aca="false">SUM(SUMIFS(Cascade!$AX:$AX,Cascade!$B:$B,$B25,Cascade!$C:$C,{"15-24","25-34","35-49","50+"},Cascade!$D:$D,"Female"))</f>
        <v>0</v>
      </c>
      <c r="AA25" s="10" t="n">
        <f aca="false">SUM(SUMIFS(Cascade!$AX:$AX,Cascade!$B:$B,$B25,Cascade!$C:$C,{"15-24","25-34","35-49","50+"},Cascade!$D:$D,"Male"))</f>
        <v>0</v>
      </c>
      <c r="AB25" s="10" t="str">
        <f aca="false">_xlfn.IFNA(INDEX(KP!$Z:$Z,MATCH(($B25&amp;"|"&amp;AB$3),KP!$D:$D,0)),"")</f>
        <v/>
      </c>
      <c r="AC25" s="10" t="str">
        <f aca="false">_xlfn.IFNA(INDEX(KP!$Z:$Z,MATCH(($B25&amp;"|"&amp;AC$3),KP!$D:$D,0)),"")</f>
        <v/>
      </c>
      <c r="AD25" s="10" t="str">
        <f aca="false">_xlfn.IFNA(INDEX(KP!$Z:$Z,MATCH(($B25&amp;"|"&amp;AD$3),KP!$D:$D,0)),"")</f>
        <v/>
      </c>
      <c r="AE25" s="10" t="str">
        <f aca="false">_xlfn.IFNA(INDEX(KP!$Z:$Z,MATCH(($B25&amp;"|"&amp;AE$3),KP!$D:$D,0)),"")</f>
        <v/>
      </c>
      <c r="AF25" s="10" t="str">
        <f aca="false">_xlfn.IFNA(INDEX(KP!$Z:$Z,MATCH(($B25&amp;"|"&amp;AF$3),KP!$D:$D,0)),"")</f>
        <v/>
      </c>
      <c r="AG25" s="10" t="n">
        <f aca="false">SUM(SUMIFS(Cascade!$BB:$BB,Cascade!$B:$B,$B25,Cascade!$C:$C,{"15-24","25-34","35-49","50+"},Cascade!$D:$D,"Female"))</f>
        <v>0</v>
      </c>
      <c r="AH25" s="10" t="n">
        <f aca="false">SUM(SUMIFS(Cascade!$BB:$BB,Cascade!$B:$B,$B25,Cascade!$C:$C,{"15-24","25-34","35-49","50+"},Cascade!$D:$D,"Male"))</f>
        <v>0</v>
      </c>
      <c r="AI25" s="10" t="str">
        <f aca="false">_xlfn.IFNA(INDEX(KP!$AD:$AD,MATCH(($B25&amp;"|"&amp;AI$3),KP!$D:$D,0)),"")</f>
        <v/>
      </c>
      <c r="AJ25" s="10" t="str">
        <f aca="false">_xlfn.IFNA(INDEX(KP!$AD:$AD,MATCH(($B25&amp;"|"&amp;AJ$3),KP!$D:$D,0)),"")</f>
        <v/>
      </c>
      <c r="AK25" s="10" t="str">
        <f aca="false">_xlfn.IFNA(INDEX(KP!$AD:$AD,MATCH(($B25&amp;"|"&amp;AK$3),KP!$D:$D,0)),"")</f>
        <v/>
      </c>
      <c r="AL25" s="10" t="str">
        <f aca="false">_xlfn.IFNA(INDEX(KP!$AD:$AD,MATCH(($B25&amp;"|"&amp;AL$3),KP!$D:$D,0)),"")</f>
        <v/>
      </c>
      <c r="AM25" s="10" t="str">
        <f aca="false">_xlfn.IFNA(INDEX(KP!$AD:$AD,MATCH(($B25&amp;"|"&amp;AM$3),KP!$D:$D,0)),"")</f>
        <v/>
      </c>
      <c r="AN25" s="10" t="n">
        <f aca="false">SUM(SUMIFS(Cascade!$BE:$BE,Cascade!$B:$B,$B25,Cascade!$C:$C,{"15-24","25-34","35-49","50+"},Cascade!$D:$D,"Female"))</f>
        <v>0</v>
      </c>
      <c r="AO25" s="10" t="n">
        <f aca="false">SUM(SUMIFS(Cascade!$BE:$BE,Cascade!$B:$B,$B25,Cascade!$C:$C,{"15-24","25-34","35-49","50+"},Cascade!$D:$D,"Male"))</f>
        <v>0</v>
      </c>
      <c r="AP25" s="10" t="str">
        <f aca="false">_xlfn.IFNA(INDEX(KP!$AF:$AF,MATCH(($B25&amp;"|"&amp;AP$3),KP!$D:$D,0)),"")</f>
        <v/>
      </c>
      <c r="AQ25" s="10" t="str">
        <f aca="false">_xlfn.IFNA(INDEX(KP!$AF:$AF,MATCH(($B25&amp;"|"&amp;AQ$3),KP!$D:$D,0)),"")</f>
        <v/>
      </c>
      <c r="AR25" s="10" t="str">
        <f aca="false">_xlfn.IFNA(INDEX(KP!$AF:$AF,MATCH(($B25&amp;"|"&amp;AR$3),KP!$D:$D,0)),"")</f>
        <v/>
      </c>
      <c r="AS25" s="10" t="str">
        <f aca="false">_xlfn.IFNA(INDEX(KP!$AF:$AF,MATCH(($B25&amp;"|"&amp;AS$3),KP!$D:$D,0)),"")</f>
        <v/>
      </c>
      <c r="AT25" s="10" t="str">
        <f aca="false">_xlfn.IFNA(INDEX(KP!$AF:$AF,MATCH(($B25&amp;"|"&amp;AT$3),KP!$D:$D,0)),"")</f>
        <v/>
      </c>
      <c r="AU25" s="10" t="n">
        <f aca="false">SUM(SUMIFS(HTS!$AM:$AM,HTS!$B:$B,$B25,HTS!$C:$C,{"15-24","25-34","35-49","50+"},HTS!$D:$D,"Female"))</f>
        <v>0</v>
      </c>
      <c r="AV25" s="10" t="n">
        <f aca="false">SUM(SUMIFS(HTS!$AM:$AM,HTS!$B:$B,$B25,HTS!$C:$C,{"15-24","25-34","35-49","50+"},HTS!$D:$D,"Male"))</f>
        <v>0</v>
      </c>
      <c r="AW25" s="10" t="str">
        <f aca="false">_xlfn.IFNA(INDEX(KP!$AK:$AK,MATCH(($B25&amp;"|"&amp;AW$3),KP!$D:$D,0)),"")</f>
        <v/>
      </c>
      <c r="AX25" s="10" t="str">
        <f aca="false">_xlfn.IFNA(INDEX(KP!$AK:$AK,MATCH(($B25&amp;"|"&amp;AX$3),KP!$D:$D,0)),"")</f>
        <v/>
      </c>
      <c r="AY25" s="10" t="str">
        <f aca="false">_xlfn.IFNA(INDEX(KP!$AK:$AK,MATCH(($B25&amp;"|"&amp;AY$3),KP!$D:$D,0)),"")</f>
        <v/>
      </c>
      <c r="AZ25" s="10" t="str">
        <f aca="false">_xlfn.IFNA(INDEX(KP!$AK:$AK,MATCH(($B25&amp;"|"&amp;AZ$3),KP!$D:$D,0)),"")</f>
        <v/>
      </c>
      <c r="BA25" s="10" t="str">
        <f aca="false">_xlfn.IFNA(INDEX(KP!$AK:$AK,MATCH(($B25&amp;"|"&amp;BA$3),KP!$D:$D,0)),"")</f>
        <v/>
      </c>
      <c r="BB25" s="10" t="n">
        <f aca="false">SUM(SUMIFS(HTS!$AT:$AT,HTS!$B:$B,$B25,HTS!$C:$C,{"15-24","25-34","35-49","50+"},HTS!$D:$D,"Female"))</f>
        <v>0</v>
      </c>
      <c r="BC25" s="10" t="n">
        <f aca="false">SUM(SUMIFS(HTS!$AT:$AT,HTS!$B:$B,$B25,HTS!$C:$C,{"15-24","25-34","35-49","50+"},HTS!$D:$D,"Male"))</f>
        <v>0</v>
      </c>
      <c r="BD25" s="10" t="str">
        <f aca="false">_xlfn.IFNA(INDEX(KP!$AL:$AL,MATCH(($B25&amp;"|"&amp;BD$3),KP!$D:$D,0)),"")</f>
        <v/>
      </c>
      <c r="BE25" s="10" t="str">
        <f aca="false">_xlfn.IFNA(INDEX(KP!$AL:$AL,MATCH(($B25&amp;"|"&amp;BE$3),KP!$D:$D,0)),"")</f>
        <v/>
      </c>
      <c r="BF25" s="10" t="str">
        <f aca="false">_xlfn.IFNA(INDEX(KP!$AL:$AL,MATCH(($B25&amp;"|"&amp;BF$3),KP!$D:$D,0)),"")</f>
        <v/>
      </c>
      <c r="BG25" s="10" t="str">
        <f aca="false">_xlfn.IFNA(INDEX(KP!$AL:$AL,MATCH(($B25&amp;"|"&amp;BG$3),KP!$D:$D,0)),"")</f>
        <v/>
      </c>
      <c r="BH25" s="10" t="str">
        <f aca="false">_xlfn.IFNA(INDEX(KP!$AL:$AL,MATCH(($B25&amp;"|"&amp;BH$3),KP!$D:$D,0)),"")</f>
        <v/>
      </c>
      <c r="BI25" s="10" t="n">
        <f aca="false">SUM(SUMIFS(HTS!$BA:$BA,HTS!$B:$B,$B25,HTS!$C:$C,{"15-24","25-34","35-49","50+"},HTS!$D:$D,"Female"))</f>
        <v>0</v>
      </c>
      <c r="BJ25" s="10" t="n">
        <f aca="false">SUM(SUMIFS(HTS!$BA:$BA,HTS!$B:$B,$B25,HTS!$C:$C,{"15-24","25-34","35-49","50+"},HTS!$D:$D,"Male"))</f>
        <v>0</v>
      </c>
      <c r="BK25" s="10" t="str">
        <f aca="false">_xlfn.IFNA(INDEX(KP!$AN:$AN,MATCH(($B25&amp;"|"&amp;BK$3),KP!$D:$D,0)),"")</f>
        <v/>
      </c>
      <c r="BL25" s="10" t="str">
        <f aca="false">_xlfn.IFNA(INDEX(KP!$AN:$AN,MATCH(($B25&amp;"|"&amp;BL$3),KP!$D:$D,0)),"")</f>
        <v/>
      </c>
      <c r="BM25" s="10" t="str">
        <f aca="false">_xlfn.IFNA(INDEX(KP!$AN:$AN,MATCH(($B25&amp;"|"&amp;BM$3),KP!$D:$D,0)),"")</f>
        <v/>
      </c>
      <c r="BN25" s="10" t="str">
        <f aca="false">_xlfn.IFNA(INDEX(KP!$AN:$AN,MATCH(($B25&amp;"|"&amp;BN$3),KP!$D:$D,0)),"")</f>
        <v/>
      </c>
      <c r="BO25" s="10" t="str">
        <f aca="false">_xlfn.IFNA(INDEX(KP!$AN:$AN,MATCH(($B25&amp;"|"&amp;BO$3),KP!$D:$D,0)),"")</f>
        <v/>
      </c>
      <c r="BP25" s="10" t="n">
        <f aca="false">SUM(SUMIFS(HTS!$AY:$AY,HTS!$B:$B,$B25,HTS!$C:$C,{"15-24","25-34","35-49","50+"},HTS!$D:$D,"Female"))</f>
        <v>1</v>
      </c>
      <c r="BQ25" s="10" t="n">
        <f aca="false">SUM(SUMIFS(HTS!$AY:$AY,HTS!$B:$B,$B25,HTS!$C:$C,{"15-24","25-34","35-49","50+"},HTS!$D:$D,"Male"))</f>
        <v>0</v>
      </c>
      <c r="BR25" s="10" t="n">
        <f aca="false">_xlfn.IFNA(INDEX(KP!$AP:$AP,MATCH(($B25&amp;"|"&amp;BR$3),KP!$D:$D,0)),"")</f>
        <v>0</v>
      </c>
      <c r="BS25" s="10" t="n">
        <f aca="false">_xlfn.IFNA(INDEX(KP!$AP:$AP,MATCH(($B25&amp;"|"&amp;BS$3),KP!$D:$D,0)),"")</f>
        <v>0</v>
      </c>
      <c r="BT25" s="10" t="n">
        <f aca="false">_xlfn.IFNA(INDEX(KP!$AP:$AP,MATCH(($B25&amp;"|"&amp;BT$3),KP!$D:$D,0)),"")</f>
        <v>0</v>
      </c>
      <c r="BU25" s="10" t="n">
        <f aca="false">_xlfn.IFNA(INDEX(KP!$AP:$AP,MATCH(($B25&amp;"|"&amp;BU$3),KP!$D:$D,0)),"")</f>
        <v>0</v>
      </c>
      <c r="BV25" s="10" t="n">
        <f aca="false">_xlfn.IFNA(INDEX(KP!$AP:$AP,MATCH(($B25&amp;"|"&amp;BV$3),KP!$D:$D,0)),"")</f>
        <v>0</v>
      </c>
    </row>
    <row r="26" customFormat="false" ht="15" hidden="false" customHeight="false" outlineLevel="0" collapsed="false">
      <c r="A26" s="91" t="str">
        <f aca="false">INDEX(Prioritization!$D:$D,MATCH($B26,Prioritization!$A:$A,0))</f>
        <v>INVALID</v>
      </c>
      <c r="B26" s="40" t="s">
        <v>205</v>
      </c>
      <c r="C26" s="10" t="n">
        <f aca="false">SUM(SUMIFS(PrEP!$O:$O,PrEP!$B:$B,$B26,PrEP!$C:$C,{"15-24","25-34","35-49","50+"},PrEP!$D:$D,"Female"))</f>
        <v>0</v>
      </c>
      <c r="D26" s="10" t="n">
        <f aca="false">SUM(SUMIFS(PrEP!$O:$O,PrEP!$B:$B,$B26,PrEP!$C:$C,{"15-24","25-34"},PrEP!$D:$D,"Female"))</f>
        <v>0</v>
      </c>
      <c r="E26" s="10" t="n">
        <f aca="false">SUM(SUMIFS(PrEP!$O:$O,PrEP!$B:$B,$B26,PrEP!$C:$C,{"15-24","25-34","35-49","50+"},PrEP!$D:$D,"Male"))</f>
        <v>0</v>
      </c>
      <c r="F26" s="10" t="n">
        <f aca="false">_xlfn.IFNA(INDEX(KP!$I:$I,MATCH(($B26&amp;"|"&amp;F$3),KP!$D:$D,0)),"")</f>
        <v>0</v>
      </c>
      <c r="G26" s="10" t="n">
        <f aca="false">_xlfn.IFNA(INDEX(KP!$I:$I,MATCH(($B26&amp;"|"&amp;G$3),KP!$D:$D,0)),"")</f>
        <v>0</v>
      </c>
      <c r="H26" s="10" t="n">
        <f aca="false">_xlfn.IFNA(INDEX(KP!$I:$I,MATCH(($B26&amp;"|"&amp;H$3),KP!$D:$D,0)),"")</f>
        <v>0</v>
      </c>
      <c r="I26" s="10" t="n">
        <f aca="false">_xlfn.IFNA(INDEX(KP!$I:$I,MATCH(($B26&amp;"|"&amp;I$3),KP!$D:$D,0)),"")</f>
        <v>0</v>
      </c>
      <c r="J26" s="10" t="n">
        <f aca="false">_xlfn.IFNA(INDEX(KP!$I:$I,MATCH(($B26&amp;"|"&amp;J$3),KP!$D:$D,0)),"")</f>
        <v>0</v>
      </c>
      <c r="K26" s="10" t="n">
        <f aca="false">SUM(SUMIFS(PrEP!$L:$L,PrEP!$B:$B,$B26,PrEP!$C:$C,{"15-24","25-34","35-49","50+"},PrEP!$D:$D,"Female"))</f>
        <v>0</v>
      </c>
      <c r="L26" s="10" t="n">
        <f aca="false">SUM(SUMIFS(PrEP!$L:$L,PrEP!$B:$B,$B26,PrEP!$C:$C,{"15-24","25-34"},PrEP!$D:$D,"Female"))</f>
        <v>0</v>
      </c>
      <c r="M26" s="10" t="n">
        <f aca="false">SUM(SUMIFS(PrEP!$L:$L,PrEP!$B:$B,$B26,PrEP!$C:$C,{"15-24","25-34","35-49","50+"},PrEP!$D:$D,"Male"))</f>
        <v>0</v>
      </c>
      <c r="N26" s="10" t="n">
        <f aca="false">_xlfn.IFNA(INDEX(KP!$K:$K,MATCH(($B26&amp;"|"&amp;N$3),KP!$D:$D,0)),"")</f>
        <v>0</v>
      </c>
      <c r="O26" s="10" t="n">
        <f aca="false">_xlfn.IFNA(INDEX(KP!$K:$K,MATCH(($B26&amp;"|"&amp;O$3),KP!$D:$D,0)),"")</f>
        <v>0</v>
      </c>
      <c r="P26" s="10" t="n">
        <f aca="false">_xlfn.IFNA(INDEX(KP!$K:$K,MATCH(($B26&amp;"|"&amp;P$3),KP!$D:$D,0)),"")</f>
        <v>0</v>
      </c>
      <c r="Q26" s="10" t="n">
        <f aca="false">_xlfn.IFNA(INDEX(KP!$K:$K,MATCH(($B26&amp;"|"&amp;Q$3),KP!$D:$D,0)),"")</f>
        <v>0</v>
      </c>
      <c r="R26" s="10" t="n">
        <f aca="false">_xlfn.IFNA(INDEX(KP!$K:$K,MATCH(($B26&amp;"|"&amp;R$3),KP!$D:$D,0)),"")</f>
        <v>0</v>
      </c>
      <c r="S26" s="10" t="n">
        <f aca="false">SUM(SUMIFS(Cascade!$AP:$AP,Cascade!$B:$B,$B26,Cascade!$C:$C,{"15-24","25-34","35-49","50+"},Cascade!$D:$D,"Female"))</f>
        <v>0</v>
      </c>
      <c r="T26" s="10" t="n">
        <f aca="false">SUM(SUMIFS(Cascade!$AP:$AP,Cascade!$B:$B,$B26,Cascade!$C:$C,{"15-24","25-34","35-49","50+"},Cascade!$D:$D,"Male"))</f>
        <v>0</v>
      </c>
      <c r="U26" s="10" t="str">
        <f aca="false">_xlfn.IFNA(INDEX(KP!$Q:$Q,MATCH(($B26&amp;"|"&amp;U$3),KP!$D:$D,0)),"")</f>
        <v/>
      </c>
      <c r="V26" s="10" t="str">
        <f aca="false">_xlfn.IFNA(INDEX(KP!$Q:$Q,MATCH(($B26&amp;"|"&amp;V$3),KP!$D:$D,0)),"")</f>
        <v/>
      </c>
      <c r="W26" s="10" t="str">
        <f aca="false">_xlfn.IFNA(INDEX(KP!$Q:$Q,MATCH(($B26&amp;"|"&amp;W$3),KP!$D:$D,0)),"")</f>
        <v/>
      </c>
      <c r="X26" s="10" t="str">
        <f aca="false">_xlfn.IFNA(INDEX(KP!$Q:$Q,MATCH(($B26&amp;"|"&amp;X$3),KP!$D:$D,0)),"")</f>
        <v/>
      </c>
      <c r="Y26" s="10" t="str">
        <f aca="false">_xlfn.IFNA(INDEX(KP!$Q:$Q,MATCH(($B26&amp;"|"&amp;Y$3),KP!$D:$D,0)),"")</f>
        <v/>
      </c>
      <c r="Z26" s="10" t="n">
        <f aca="false">SUM(SUMIFS(Cascade!$AX:$AX,Cascade!$B:$B,$B26,Cascade!$C:$C,{"15-24","25-34","35-49","50+"},Cascade!$D:$D,"Female"))</f>
        <v>0</v>
      </c>
      <c r="AA26" s="10" t="n">
        <f aca="false">SUM(SUMIFS(Cascade!$AX:$AX,Cascade!$B:$B,$B26,Cascade!$C:$C,{"15-24","25-34","35-49","50+"},Cascade!$D:$D,"Male"))</f>
        <v>0</v>
      </c>
      <c r="AB26" s="10" t="str">
        <f aca="false">_xlfn.IFNA(INDEX(KP!$Z:$Z,MATCH(($B26&amp;"|"&amp;AB$3),KP!$D:$D,0)),"")</f>
        <v/>
      </c>
      <c r="AC26" s="10" t="str">
        <f aca="false">_xlfn.IFNA(INDEX(KP!$Z:$Z,MATCH(($B26&amp;"|"&amp;AC$3),KP!$D:$D,0)),"")</f>
        <v/>
      </c>
      <c r="AD26" s="10" t="str">
        <f aca="false">_xlfn.IFNA(INDEX(KP!$Z:$Z,MATCH(($B26&amp;"|"&amp;AD$3),KP!$D:$D,0)),"")</f>
        <v/>
      </c>
      <c r="AE26" s="10" t="str">
        <f aca="false">_xlfn.IFNA(INDEX(KP!$Z:$Z,MATCH(($B26&amp;"|"&amp;AE$3),KP!$D:$D,0)),"")</f>
        <v/>
      </c>
      <c r="AF26" s="10" t="str">
        <f aca="false">_xlfn.IFNA(INDEX(KP!$Z:$Z,MATCH(($B26&amp;"|"&amp;AF$3),KP!$D:$D,0)),"")</f>
        <v/>
      </c>
      <c r="AG26" s="10" t="n">
        <f aca="false">SUM(SUMIFS(Cascade!$BB:$BB,Cascade!$B:$B,$B26,Cascade!$C:$C,{"15-24","25-34","35-49","50+"},Cascade!$D:$D,"Female"))</f>
        <v>0</v>
      </c>
      <c r="AH26" s="10" t="n">
        <f aca="false">SUM(SUMIFS(Cascade!$BB:$BB,Cascade!$B:$B,$B26,Cascade!$C:$C,{"15-24","25-34","35-49","50+"},Cascade!$D:$D,"Male"))</f>
        <v>0</v>
      </c>
      <c r="AI26" s="10" t="str">
        <f aca="false">_xlfn.IFNA(INDEX(KP!$AD:$AD,MATCH(($B26&amp;"|"&amp;AI$3),KP!$D:$D,0)),"")</f>
        <v/>
      </c>
      <c r="AJ26" s="10" t="str">
        <f aca="false">_xlfn.IFNA(INDEX(KP!$AD:$AD,MATCH(($B26&amp;"|"&amp;AJ$3),KP!$D:$D,0)),"")</f>
        <v/>
      </c>
      <c r="AK26" s="10" t="str">
        <f aca="false">_xlfn.IFNA(INDEX(KP!$AD:$AD,MATCH(($B26&amp;"|"&amp;AK$3),KP!$D:$D,0)),"")</f>
        <v/>
      </c>
      <c r="AL26" s="10" t="str">
        <f aca="false">_xlfn.IFNA(INDEX(KP!$AD:$AD,MATCH(($B26&amp;"|"&amp;AL$3),KP!$D:$D,0)),"")</f>
        <v/>
      </c>
      <c r="AM26" s="10" t="str">
        <f aca="false">_xlfn.IFNA(INDEX(KP!$AD:$AD,MATCH(($B26&amp;"|"&amp;AM$3),KP!$D:$D,0)),"")</f>
        <v/>
      </c>
      <c r="AN26" s="10" t="n">
        <f aca="false">SUM(SUMIFS(Cascade!$BE:$BE,Cascade!$B:$B,$B26,Cascade!$C:$C,{"15-24","25-34","35-49","50+"},Cascade!$D:$D,"Female"))</f>
        <v>0</v>
      </c>
      <c r="AO26" s="10" t="n">
        <f aca="false">SUM(SUMIFS(Cascade!$BE:$BE,Cascade!$B:$B,$B26,Cascade!$C:$C,{"15-24","25-34","35-49","50+"},Cascade!$D:$D,"Male"))</f>
        <v>0</v>
      </c>
      <c r="AP26" s="10" t="str">
        <f aca="false">_xlfn.IFNA(INDEX(KP!$AF:$AF,MATCH(($B26&amp;"|"&amp;AP$3),KP!$D:$D,0)),"")</f>
        <v/>
      </c>
      <c r="AQ26" s="10" t="str">
        <f aca="false">_xlfn.IFNA(INDEX(KP!$AF:$AF,MATCH(($B26&amp;"|"&amp;AQ$3),KP!$D:$D,0)),"")</f>
        <v/>
      </c>
      <c r="AR26" s="10" t="str">
        <f aca="false">_xlfn.IFNA(INDEX(KP!$AF:$AF,MATCH(($B26&amp;"|"&amp;AR$3),KP!$D:$D,0)),"")</f>
        <v/>
      </c>
      <c r="AS26" s="10" t="str">
        <f aca="false">_xlfn.IFNA(INDEX(KP!$AF:$AF,MATCH(($B26&amp;"|"&amp;AS$3),KP!$D:$D,0)),"")</f>
        <v/>
      </c>
      <c r="AT26" s="10" t="str">
        <f aca="false">_xlfn.IFNA(INDEX(KP!$AF:$AF,MATCH(($B26&amp;"|"&amp;AT$3),KP!$D:$D,0)),"")</f>
        <v/>
      </c>
      <c r="AU26" s="10" t="n">
        <f aca="false">SUM(SUMIFS(HTS!$AM:$AM,HTS!$B:$B,$B26,HTS!$C:$C,{"15-24","25-34","35-49","50+"},HTS!$D:$D,"Female"))</f>
        <v>0</v>
      </c>
      <c r="AV26" s="10" t="n">
        <f aca="false">SUM(SUMIFS(HTS!$AM:$AM,HTS!$B:$B,$B26,HTS!$C:$C,{"15-24","25-34","35-49","50+"},HTS!$D:$D,"Male"))</f>
        <v>0</v>
      </c>
      <c r="AW26" s="10" t="str">
        <f aca="false">_xlfn.IFNA(INDEX(KP!$AK:$AK,MATCH(($B26&amp;"|"&amp;AW$3),KP!$D:$D,0)),"")</f>
        <v/>
      </c>
      <c r="AX26" s="10" t="str">
        <f aca="false">_xlfn.IFNA(INDEX(KP!$AK:$AK,MATCH(($B26&amp;"|"&amp;AX$3),KP!$D:$D,0)),"")</f>
        <v/>
      </c>
      <c r="AY26" s="10" t="str">
        <f aca="false">_xlfn.IFNA(INDEX(KP!$AK:$AK,MATCH(($B26&amp;"|"&amp;AY$3),KP!$D:$D,0)),"")</f>
        <v/>
      </c>
      <c r="AZ26" s="10" t="str">
        <f aca="false">_xlfn.IFNA(INDEX(KP!$AK:$AK,MATCH(($B26&amp;"|"&amp;AZ$3),KP!$D:$D,0)),"")</f>
        <v/>
      </c>
      <c r="BA26" s="10" t="str">
        <f aca="false">_xlfn.IFNA(INDEX(KP!$AK:$AK,MATCH(($B26&amp;"|"&amp;BA$3),KP!$D:$D,0)),"")</f>
        <v/>
      </c>
      <c r="BB26" s="10" t="n">
        <f aca="false">SUM(SUMIFS(HTS!$AT:$AT,HTS!$B:$B,$B26,HTS!$C:$C,{"15-24","25-34","35-49","50+"},HTS!$D:$D,"Female"))</f>
        <v>0</v>
      </c>
      <c r="BC26" s="10" t="n">
        <f aca="false">SUM(SUMIFS(HTS!$AT:$AT,HTS!$B:$B,$B26,HTS!$C:$C,{"15-24","25-34","35-49","50+"},HTS!$D:$D,"Male"))</f>
        <v>0</v>
      </c>
      <c r="BD26" s="10" t="str">
        <f aca="false">_xlfn.IFNA(INDEX(KP!$AL:$AL,MATCH(($B26&amp;"|"&amp;BD$3),KP!$D:$D,0)),"")</f>
        <v/>
      </c>
      <c r="BE26" s="10" t="str">
        <f aca="false">_xlfn.IFNA(INDEX(KP!$AL:$AL,MATCH(($B26&amp;"|"&amp;BE$3),KP!$D:$D,0)),"")</f>
        <v/>
      </c>
      <c r="BF26" s="10" t="str">
        <f aca="false">_xlfn.IFNA(INDEX(KP!$AL:$AL,MATCH(($B26&amp;"|"&amp;BF$3),KP!$D:$D,0)),"")</f>
        <v/>
      </c>
      <c r="BG26" s="10" t="str">
        <f aca="false">_xlfn.IFNA(INDEX(KP!$AL:$AL,MATCH(($B26&amp;"|"&amp;BG$3),KP!$D:$D,0)),"")</f>
        <v/>
      </c>
      <c r="BH26" s="10" t="str">
        <f aca="false">_xlfn.IFNA(INDEX(KP!$AL:$AL,MATCH(($B26&amp;"|"&amp;BH$3),KP!$D:$D,0)),"")</f>
        <v/>
      </c>
      <c r="BI26" s="10" t="n">
        <f aca="false">SUM(SUMIFS(HTS!$BA:$BA,HTS!$B:$B,$B26,HTS!$C:$C,{"15-24","25-34","35-49","50+"},HTS!$D:$D,"Female"))</f>
        <v>0</v>
      </c>
      <c r="BJ26" s="10" t="n">
        <f aca="false">SUM(SUMIFS(HTS!$BA:$BA,HTS!$B:$B,$B26,HTS!$C:$C,{"15-24","25-34","35-49","50+"},HTS!$D:$D,"Male"))</f>
        <v>0</v>
      </c>
      <c r="BK26" s="10" t="str">
        <f aca="false">_xlfn.IFNA(INDEX(KP!$AN:$AN,MATCH(($B26&amp;"|"&amp;BK$3),KP!$D:$D,0)),"")</f>
        <v/>
      </c>
      <c r="BL26" s="10" t="str">
        <f aca="false">_xlfn.IFNA(INDEX(KP!$AN:$AN,MATCH(($B26&amp;"|"&amp;BL$3),KP!$D:$D,0)),"")</f>
        <v/>
      </c>
      <c r="BM26" s="10" t="str">
        <f aca="false">_xlfn.IFNA(INDEX(KP!$AN:$AN,MATCH(($B26&amp;"|"&amp;BM$3),KP!$D:$D,0)),"")</f>
        <v/>
      </c>
      <c r="BN26" s="10" t="str">
        <f aca="false">_xlfn.IFNA(INDEX(KP!$AN:$AN,MATCH(($B26&amp;"|"&amp;BN$3),KP!$D:$D,0)),"")</f>
        <v/>
      </c>
      <c r="BO26" s="10" t="str">
        <f aca="false">_xlfn.IFNA(INDEX(KP!$AN:$AN,MATCH(($B26&amp;"|"&amp;BO$3),KP!$D:$D,0)),"")</f>
        <v/>
      </c>
      <c r="BP26" s="10" t="n">
        <f aca="false">SUM(SUMIFS(HTS!$AY:$AY,HTS!$B:$B,$B26,HTS!$C:$C,{"15-24","25-34","35-49","50+"},HTS!$D:$D,"Female"))</f>
        <v>7</v>
      </c>
      <c r="BQ26" s="10" t="n">
        <f aca="false">SUM(SUMIFS(HTS!$AY:$AY,HTS!$B:$B,$B26,HTS!$C:$C,{"15-24","25-34","35-49","50+"},HTS!$D:$D,"Male"))</f>
        <v>4</v>
      </c>
      <c r="BR26" s="10" t="n">
        <f aca="false">_xlfn.IFNA(INDEX(KP!$AP:$AP,MATCH(($B26&amp;"|"&amp;BR$3),KP!$D:$D,0)),"")</f>
        <v>0</v>
      </c>
      <c r="BS26" s="10" t="n">
        <f aca="false">_xlfn.IFNA(INDEX(KP!$AP:$AP,MATCH(($B26&amp;"|"&amp;BS$3),KP!$D:$D,0)),"")</f>
        <v>0</v>
      </c>
      <c r="BT26" s="10" t="n">
        <f aca="false">_xlfn.IFNA(INDEX(KP!$AP:$AP,MATCH(($B26&amp;"|"&amp;BT$3),KP!$D:$D,0)),"")</f>
        <v>0</v>
      </c>
      <c r="BU26" s="10" t="n">
        <f aca="false">_xlfn.IFNA(INDEX(KP!$AP:$AP,MATCH(($B26&amp;"|"&amp;BU$3),KP!$D:$D,0)),"")</f>
        <v>0</v>
      </c>
      <c r="BV26" s="10" t="n">
        <f aca="false">_xlfn.IFNA(INDEX(KP!$AP:$AP,MATCH(($B26&amp;"|"&amp;BV$3),KP!$D:$D,0)),"")</f>
        <v>0</v>
      </c>
    </row>
    <row r="27" customFormat="false" ht="15" hidden="false" customHeight="false" outlineLevel="0" collapsed="false">
      <c r="A27" s="91" t="str">
        <f aca="false">INDEX(Prioritization!$D:$D,MATCH($B27,Prioritization!$A:$A,0))</f>
        <v>INVALID</v>
      </c>
      <c r="B27" s="40" t="s">
        <v>206</v>
      </c>
      <c r="C27" s="10" t="n">
        <f aca="false">SUM(SUMIFS(PrEP!$O:$O,PrEP!$B:$B,$B27,PrEP!$C:$C,{"15-24","25-34","35-49","50+"},PrEP!$D:$D,"Female"))</f>
        <v>0</v>
      </c>
      <c r="D27" s="10" t="n">
        <f aca="false">SUM(SUMIFS(PrEP!$O:$O,PrEP!$B:$B,$B27,PrEP!$C:$C,{"15-24","25-34"},PrEP!$D:$D,"Female"))</f>
        <v>0</v>
      </c>
      <c r="E27" s="10" t="n">
        <f aca="false">SUM(SUMIFS(PrEP!$O:$O,PrEP!$B:$B,$B27,PrEP!$C:$C,{"15-24","25-34","35-49","50+"},PrEP!$D:$D,"Male"))</f>
        <v>0</v>
      </c>
      <c r="F27" s="10" t="n">
        <f aca="false">_xlfn.IFNA(INDEX(KP!$I:$I,MATCH(($B27&amp;"|"&amp;F$3),KP!$D:$D,0)),"")</f>
        <v>0</v>
      </c>
      <c r="G27" s="10" t="n">
        <f aca="false">_xlfn.IFNA(INDEX(KP!$I:$I,MATCH(($B27&amp;"|"&amp;G$3),KP!$D:$D,0)),"")</f>
        <v>0</v>
      </c>
      <c r="H27" s="10" t="n">
        <f aca="false">_xlfn.IFNA(INDEX(KP!$I:$I,MATCH(($B27&amp;"|"&amp;H$3),KP!$D:$D,0)),"")</f>
        <v>0</v>
      </c>
      <c r="I27" s="10" t="n">
        <f aca="false">_xlfn.IFNA(INDEX(KP!$I:$I,MATCH(($B27&amp;"|"&amp;I$3),KP!$D:$D,0)),"")</f>
        <v>0</v>
      </c>
      <c r="J27" s="10" t="n">
        <f aca="false">_xlfn.IFNA(INDEX(KP!$I:$I,MATCH(($B27&amp;"|"&amp;J$3),KP!$D:$D,0)),"")</f>
        <v>0</v>
      </c>
      <c r="K27" s="10" t="n">
        <f aca="false">SUM(SUMIFS(PrEP!$L:$L,PrEP!$B:$B,$B27,PrEP!$C:$C,{"15-24","25-34","35-49","50+"},PrEP!$D:$D,"Female"))</f>
        <v>0</v>
      </c>
      <c r="L27" s="10" t="n">
        <f aca="false">SUM(SUMIFS(PrEP!$L:$L,PrEP!$B:$B,$B27,PrEP!$C:$C,{"15-24","25-34"},PrEP!$D:$D,"Female"))</f>
        <v>0</v>
      </c>
      <c r="M27" s="10" t="n">
        <f aca="false">SUM(SUMIFS(PrEP!$L:$L,PrEP!$B:$B,$B27,PrEP!$C:$C,{"15-24","25-34","35-49","50+"},PrEP!$D:$D,"Male"))</f>
        <v>0</v>
      </c>
      <c r="N27" s="10" t="n">
        <f aca="false">_xlfn.IFNA(INDEX(KP!$K:$K,MATCH(($B27&amp;"|"&amp;N$3),KP!$D:$D,0)),"")</f>
        <v>0</v>
      </c>
      <c r="O27" s="10" t="n">
        <f aca="false">_xlfn.IFNA(INDEX(KP!$K:$K,MATCH(($B27&amp;"|"&amp;O$3),KP!$D:$D,0)),"")</f>
        <v>0</v>
      </c>
      <c r="P27" s="10" t="n">
        <f aca="false">_xlfn.IFNA(INDEX(KP!$K:$K,MATCH(($B27&amp;"|"&amp;P$3),KP!$D:$D,0)),"")</f>
        <v>0</v>
      </c>
      <c r="Q27" s="10" t="n">
        <f aca="false">_xlfn.IFNA(INDEX(KP!$K:$K,MATCH(($B27&amp;"|"&amp;Q$3),KP!$D:$D,0)),"")</f>
        <v>0</v>
      </c>
      <c r="R27" s="10" t="n">
        <f aca="false">_xlfn.IFNA(INDEX(KP!$K:$K,MATCH(($B27&amp;"|"&amp;R$3),KP!$D:$D,0)),"")</f>
        <v>0</v>
      </c>
      <c r="S27" s="10" t="n">
        <f aca="false">SUM(SUMIFS(Cascade!$AP:$AP,Cascade!$B:$B,$B27,Cascade!$C:$C,{"15-24","25-34","35-49","50+"},Cascade!$D:$D,"Female"))</f>
        <v>0</v>
      </c>
      <c r="T27" s="10" t="n">
        <f aca="false">SUM(SUMIFS(Cascade!$AP:$AP,Cascade!$B:$B,$B27,Cascade!$C:$C,{"15-24","25-34","35-49","50+"},Cascade!$D:$D,"Male"))</f>
        <v>0</v>
      </c>
      <c r="U27" s="10" t="str">
        <f aca="false">_xlfn.IFNA(INDEX(KP!$Q:$Q,MATCH(($B27&amp;"|"&amp;U$3),KP!$D:$D,0)),"")</f>
        <v/>
      </c>
      <c r="V27" s="10" t="str">
        <f aca="false">_xlfn.IFNA(INDEX(KP!$Q:$Q,MATCH(($B27&amp;"|"&amp;V$3),KP!$D:$D,0)),"")</f>
        <v/>
      </c>
      <c r="W27" s="10" t="str">
        <f aca="false">_xlfn.IFNA(INDEX(KP!$Q:$Q,MATCH(($B27&amp;"|"&amp;W$3),KP!$D:$D,0)),"")</f>
        <v/>
      </c>
      <c r="X27" s="10" t="str">
        <f aca="false">_xlfn.IFNA(INDEX(KP!$Q:$Q,MATCH(($B27&amp;"|"&amp;X$3),KP!$D:$D,0)),"")</f>
        <v/>
      </c>
      <c r="Y27" s="10" t="str">
        <f aca="false">_xlfn.IFNA(INDEX(KP!$Q:$Q,MATCH(($B27&amp;"|"&amp;Y$3),KP!$D:$D,0)),"")</f>
        <v/>
      </c>
      <c r="Z27" s="10" t="n">
        <f aca="false">SUM(SUMIFS(Cascade!$AX:$AX,Cascade!$B:$B,$B27,Cascade!$C:$C,{"15-24","25-34","35-49","50+"},Cascade!$D:$D,"Female"))</f>
        <v>0</v>
      </c>
      <c r="AA27" s="10" t="n">
        <f aca="false">SUM(SUMIFS(Cascade!$AX:$AX,Cascade!$B:$B,$B27,Cascade!$C:$C,{"15-24","25-34","35-49","50+"},Cascade!$D:$D,"Male"))</f>
        <v>0</v>
      </c>
      <c r="AB27" s="10" t="str">
        <f aca="false">_xlfn.IFNA(INDEX(KP!$Z:$Z,MATCH(($B27&amp;"|"&amp;AB$3),KP!$D:$D,0)),"")</f>
        <v/>
      </c>
      <c r="AC27" s="10" t="str">
        <f aca="false">_xlfn.IFNA(INDEX(KP!$Z:$Z,MATCH(($B27&amp;"|"&amp;AC$3),KP!$D:$D,0)),"")</f>
        <v/>
      </c>
      <c r="AD27" s="10" t="str">
        <f aca="false">_xlfn.IFNA(INDEX(KP!$Z:$Z,MATCH(($B27&amp;"|"&amp;AD$3),KP!$D:$D,0)),"")</f>
        <v/>
      </c>
      <c r="AE27" s="10" t="str">
        <f aca="false">_xlfn.IFNA(INDEX(KP!$Z:$Z,MATCH(($B27&amp;"|"&amp;AE$3),KP!$D:$D,0)),"")</f>
        <v/>
      </c>
      <c r="AF27" s="10" t="str">
        <f aca="false">_xlfn.IFNA(INDEX(KP!$Z:$Z,MATCH(($B27&amp;"|"&amp;AF$3),KP!$D:$D,0)),"")</f>
        <v/>
      </c>
      <c r="AG27" s="10" t="n">
        <f aca="false">SUM(SUMIFS(Cascade!$BB:$BB,Cascade!$B:$B,$B27,Cascade!$C:$C,{"15-24","25-34","35-49","50+"},Cascade!$D:$D,"Female"))</f>
        <v>0</v>
      </c>
      <c r="AH27" s="10" t="n">
        <f aca="false">SUM(SUMIFS(Cascade!$BB:$BB,Cascade!$B:$B,$B27,Cascade!$C:$C,{"15-24","25-34","35-49","50+"},Cascade!$D:$D,"Male"))</f>
        <v>0</v>
      </c>
      <c r="AI27" s="10" t="str">
        <f aca="false">_xlfn.IFNA(INDEX(KP!$AD:$AD,MATCH(($B27&amp;"|"&amp;AI$3),KP!$D:$D,0)),"")</f>
        <v/>
      </c>
      <c r="AJ27" s="10" t="str">
        <f aca="false">_xlfn.IFNA(INDEX(KP!$AD:$AD,MATCH(($B27&amp;"|"&amp;AJ$3),KP!$D:$D,0)),"")</f>
        <v/>
      </c>
      <c r="AK27" s="10" t="str">
        <f aca="false">_xlfn.IFNA(INDEX(KP!$AD:$AD,MATCH(($B27&amp;"|"&amp;AK$3),KP!$D:$D,0)),"")</f>
        <v/>
      </c>
      <c r="AL27" s="10" t="str">
        <f aca="false">_xlfn.IFNA(INDEX(KP!$AD:$AD,MATCH(($B27&amp;"|"&amp;AL$3),KP!$D:$D,0)),"")</f>
        <v/>
      </c>
      <c r="AM27" s="10" t="str">
        <f aca="false">_xlfn.IFNA(INDEX(KP!$AD:$AD,MATCH(($B27&amp;"|"&amp;AM$3),KP!$D:$D,0)),"")</f>
        <v/>
      </c>
      <c r="AN27" s="10" t="n">
        <f aca="false">SUM(SUMIFS(Cascade!$BE:$BE,Cascade!$B:$B,$B27,Cascade!$C:$C,{"15-24","25-34","35-49","50+"},Cascade!$D:$D,"Female"))</f>
        <v>0</v>
      </c>
      <c r="AO27" s="10" t="n">
        <f aca="false">SUM(SUMIFS(Cascade!$BE:$BE,Cascade!$B:$B,$B27,Cascade!$C:$C,{"15-24","25-34","35-49","50+"},Cascade!$D:$D,"Male"))</f>
        <v>0</v>
      </c>
      <c r="AP27" s="10" t="str">
        <f aca="false">_xlfn.IFNA(INDEX(KP!$AF:$AF,MATCH(($B27&amp;"|"&amp;AP$3),KP!$D:$D,0)),"")</f>
        <v/>
      </c>
      <c r="AQ27" s="10" t="str">
        <f aca="false">_xlfn.IFNA(INDEX(KP!$AF:$AF,MATCH(($B27&amp;"|"&amp;AQ$3),KP!$D:$D,0)),"")</f>
        <v/>
      </c>
      <c r="AR27" s="10" t="str">
        <f aca="false">_xlfn.IFNA(INDEX(KP!$AF:$AF,MATCH(($B27&amp;"|"&amp;AR$3),KP!$D:$D,0)),"")</f>
        <v/>
      </c>
      <c r="AS27" s="10" t="str">
        <f aca="false">_xlfn.IFNA(INDEX(KP!$AF:$AF,MATCH(($B27&amp;"|"&amp;AS$3),KP!$D:$D,0)),"")</f>
        <v/>
      </c>
      <c r="AT27" s="10" t="str">
        <f aca="false">_xlfn.IFNA(INDEX(KP!$AF:$AF,MATCH(($B27&amp;"|"&amp;AT$3),KP!$D:$D,0)),"")</f>
        <v/>
      </c>
      <c r="AU27" s="10" t="n">
        <f aca="false">SUM(SUMIFS(HTS!$AM:$AM,HTS!$B:$B,$B27,HTS!$C:$C,{"15-24","25-34","35-49","50+"},HTS!$D:$D,"Female"))</f>
        <v>0</v>
      </c>
      <c r="AV27" s="10" t="n">
        <f aca="false">SUM(SUMIFS(HTS!$AM:$AM,HTS!$B:$B,$B27,HTS!$C:$C,{"15-24","25-34","35-49","50+"},HTS!$D:$D,"Male"))</f>
        <v>0</v>
      </c>
      <c r="AW27" s="10" t="str">
        <f aca="false">_xlfn.IFNA(INDEX(KP!$AK:$AK,MATCH(($B27&amp;"|"&amp;AW$3),KP!$D:$D,0)),"")</f>
        <v/>
      </c>
      <c r="AX27" s="10" t="str">
        <f aca="false">_xlfn.IFNA(INDEX(KP!$AK:$AK,MATCH(($B27&amp;"|"&amp;AX$3),KP!$D:$D,0)),"")</f>
        <v/>
      </c>
      <c r="AY27" s="10" t="str">
        <f aca="false">_xlfn.IFNA(INDEX(KP!$AK:$AK,MATCH(($B27&amp;"|"&amp;AY$3),KP!$D:$D,0)),"")</f>
        <v/>
      </c>
      <c r="AZ27" s="10" t="str">
        <f aca="false">_xlfn.IFNA(INDEX(KP!$AK:$AK,MATCH(($B27&amp;"|"&amp;AZ$3),KP!$D:$D,0)),"")</f>
        <v/>
      </c>
      <c r="BA27" s="10" t="str">
        <f aca="false">_xlfn.IFNA(INDEX(KP!$AK:$AK,MATCH(($B27&amp;"|"&amp;BA$3),KP!$D:$D,0)),"")</f>
        <v/>
      </c>
      <c r="BB27" s="10" t="n">
        <f aca="false">SUM(SUMIFS(HTS!$AT:$AT,HTS!$B:$B,$B27,HTS!$C:$C,{"15-24","25-34","35-49","50+"},HTS!$D:$D,"Female"))</f>
        <v>0</v>
      </c>
      <c r="BC27" s="10" t="n">
        <f aca="false">SUM(SUMIFS(HTS!$AT:$AT,HTS!$B:$B,$B27,HTS!$C:$C,{"15-24","25-34","35-49","50+"},HTS!$D:$D,"Male"))</f>
        <v>0</v>
      </c>
      <c r="BD27" s="10" t="str">
        <f aca="false">_xlfn.IFNA(INDEX(KP!$AL:$AL,MATCH(($B27&amp;"|"&amp;BD$3),KP!$D:$D,0)),"")</f>
        <v/>
      </c>
      <c r="BE27" s="10" t="str">
        <f aca="false">_xlfn.IFNA(INDEX(KP!$AL:$AL,MATCH(($B27&amp;"|"&amp;BE$3),KP!$D:$D,0)),"")</f>
        <v/>
      </c>
      <c r="BF27" s="10" t="str">
        <f aca="false">_xlfn.IFNA(INDEX(KP!$AL:$AL,MATCH(($B27&amp;"|"&amp;BF$3),KP!$D:$D,0)),"")</f>
        <v/>
      </c>
      <c r="BG27" s="10" t="str">
        <f aca="false">_xlfn.IFNA(INDEX(KP!$AL:$AL,MATCH(($B27&amp;"|"&amp;BG$3),KP!$D:$D,0)),"")</f>
        <v/>
      </c>
      <c r="BH27" s="10" t="str">
        <f aca="false">_xlfn.IFNA(INDEX(KP!$AL:$AL,MATCH(($B27&amp;"|"&amp;BH$3),KP!$D:$D,0)),"")</f>
        <v/>
      </c>
      <c r="BI27" s="10" t="n">
        <f aca="false">SUM(SUMIFS(HTS!$BA:$BA,HTS!$B:$B,$B27,HTS!$C:$C,{"15-24","25-34","35-49","50+"},HTS!$D:$D,"Female"))</f>
        <v>0</v>
      </c>
      <c r="BJ27" s="10" t="n">
        <f aca="false">SUM(SUMIFS(HTS!$BA:$BA,HTS!$B:$B,$B27,HTS!$C:$C,{"15-24","25-34","35-49","50+"},HTS!$D:$D,"Male"))</f>
        <v>0</v>
      </c>
      <c r="BK27" s="10" t="str">
        <f aca="false">_xlfn.IFNA(INDEX(KP!$AN:$AN,MATCH(($B27&amp;"|"&amp;BK$3),KP!$D:$D,0)),"")</f>
        <v/>
      </c>
      <c r="BL27" s="10" t="str">
        <f aca="false">_xlfn.IFNA(INDEX(KP!$AN:$AN,MATCH(($B27&amp;"|"&amp;BL$3),KP!$D:$D,0)),"")</f>
        <v/>
      </c>
      <c r="BM27" s="10" t="str">
        <f aca="false">_xlfn.IFNA(INDEX(KP!$AN:$AN,MATCH(($B27&amp;"|"&amp;BM$3),KP!$D:$D,0)),"")</f>
        <v/>
      </c>
      <c r="BN27" s="10" t="str">
        <f aca="false">_xlfn.IFNA(INDEX(KP!$AN:$AN,MATCH(($B27&amp;"|"&amp;BN$3),KP!$D:$D,0)),"")</f>
        <v/>
      </c>
      <c r="BO27" s="10" t="str">
        <f aca="false">_xlfn.IFNA(INDEX(KP!$AN:$AN,MATCH(($B27&amp;"|"&amp;BO$3),KP!$D:$D,0)),"")</f>
        <v/>
      </c>
      <c r="BP27" s="10" t="n">
        <f aca="false">SUM(SUMIFS(HTS!$AY:$AY,HTS!$B:$B,$B27,HTS!$C:$C,{"15-24","25-34","35-49","50+"},HTS!$D:$D,"Female"))</f>
        <v>1</v>
      </c>
      <c r="BQ27" s="10" t="n">
        <f aca="false">SUM(SUMIFS(HTS!$AY:$AY,HTS!$B:$B,$B27,HTS!$C:$C,{"15-24","25-34","35-49","50+"},HTS!$D:$D,"Male"))</f>
        <v>1</v>
      </c>
      <c r="BR27" s="10" t="n">
        <f aca="false">_xlfn.IFNA(INDEX(KP!$AP:$AP,MATCH(($B27&amp;"|"&amp;BR$3),KP!$D:$D,0)),"")</f>
        <v>0</v>
      </c>
      <c r="BS27" s="10" t="n">
        <f aca="false">_xlfn.IFNA(INDEX(KP!$AP:$AP,MATCH(($B27&amp;"|"&amp;BS$3),KP!$D:$D,0)),"")</f>
        <v>0</v>
      </c>
      <c r="BT27" s="10" t="n">
        <f aca="false">_xlfn.IFNA(INDEX(KP!$AP:$AP,MATCH(($B27&amp;"|"&amp;BT$3),KP!$D:$D,0)),"")</f>
        <v>0</v>
      </c>
      <c r="BU27" s="10" t="n">
        <f aca="false">_xlfn.IFNA(INDEX(KP!$AP:$AP,MATCH(($B27&amp;"|"&amp;BU$3),KP!$D:$D,0)),"")</f>
        <v>0</v>
      </c>
      <c r="BV27" s="10" t="n">
        <f aca="false">_xlfn.IFNA(INDEX(KP!$AP:$AP,MATCH(($B27&amp;"|"&amp;BV$3),KP!$D:$D,0)),"")</f>
        <v>0</v>
      </c>
    </row>
    <row r="28" customFormat="false" ht="15" hidden="false" customHeight="false" outlineLevel="0" collapsed="false">
      <c r="A28" s="91" t="str">
        <f aca="false">INDEX(Prioritization!$D:$D,MATCH($B28,Prioritization!$A:$A,0))</f>
        <v>1 - Scale-up: Saturation</v>
      </c>
      <c r="B28" s="40" t="s">
        <v>207</v>
      </c>
      <c r="C28" s="10" t="n">
        <f aca="false">SUM(SUMIFS(PrEP!$O:$O,PrEP!$B:$B,$B28,PrEP!$C:$C,{"15-24","25-34","35-49","50+"},PrEP!$D:$D,"Female"))</f>
        <v>0</v>
      </c>
      <c r="D28" s="10" t="n">
        <f aca="false">SUM(SUMIFS(PrEP!$O:$O,PrEP!$B:$B,$B28,PrEP!$C:$C,{"15-24","25-34"},PrEP!$D:$D,"Female"))</f>
        <v>0</v>
      </c>
      <c r="E28" s="10" t="n">
        <f aca="false">SUM(SUMIFS(PrEP!$O:$O,PrEP!$B:$B,$B28,PrEP!$C:$C,{"15-24","25-34","35-49","50+"},PrEP!$D:$D,"Male"))</f>
        <v>0</v>
      </c>
      <c r="F28" s="10" t="n">
        <f aca="false">_xlfn.IFNA(INDEX(KP!$I:$I,MATCH(($B28&amp;"|"&amp;F$3),KP!$D:$D,0)),"")</f>
        <v>0</v>
      </c>
      <c r="G28" s="10" t="n">
        <f aca="false">_xlfn.IFNA(INDEX(KP!$I:$I,MATCH(($B28&amp;"|"&amp;G$3),KP!$D:$D,0)),"")</f>
        <v>0</v>
      </c>
      <c r="H28" s="10" t="n">
        <f aca="false">_xlfn.IFNA(INDEX(KP!$I:$I,MATCH(($B28&amp;"|"&amp;H$3),KP!$D:$D,0)),"")</f>
        <v>0</v>
      </c>
      <c r="I28" s="10" t="n">
        <f aca="false">_xlfn.IFNA(INDEX(KP!$I:$I,MATCH(($B28&amp;"|"&amp;I$3),KP!$D:$D,0)),"")</f>
        <v>0</v>
      </c>
      <c r="J28" s="10" t="n">
        <f aca="false">_xlfn.IFNA(INDEX(KP!$I:$I,MATCH(($B28&amp;"|"&amp;J$3),KP!$D:$D,0)),"")</f>
        <v>0</v>
      </c>
      <c r="K28" s="10" t="n">
        <f aca="false">SUM(SUMIFS(PrEP!$L:$L,PrEP!$B:$B,$B28,PrEP!$C:$C,{"15-24","25-34","35-49","50+"},PrEP!$D:$D,"Female"))</f>
        <v>7</v>
      </c>
      <c r="L28" s="10" t="n">
        <f aca="false">SUM(SUMIFS(PrEP!$L:$L,PrEP!$B:$B,$B28,PrEP!$C:$C,{"15-24","25-34"},PrEP!$D:$D,"Female"))</f>
        <v>0</v>
      </c>
      <c r="M28" s="10" t="n">
        <f aca="false">SUM(SUMIFS(PrEP!$L:$L,PrEP!$B:$B,$B28,PrEP!$C:$C,{"15-24","25-34","35-49","50+"},PrEP!$D:$D,"Male"))</f>
        <v>7</v>
      </c>
      <c r="N28" s="10" t="n">
        <f aca="false">_xlfn.IFNA(INDEX(KP!$K:$K,MATCH(($B28&amp;"|"&amp;N$3),KP!$D:$D,0)),"")</f>
        <v>0</v>
      </c>
      <c r="O28" s="10" t="n">
        <f aca="false">_xlfn.IFNA(INDEX(KP!$K:$K,MATCH(($B28&amp;"|"&amp;O$3),KP!$D:$D,0)),"")</f>
        <v>0</v>
      </c>
      <c r="P28" s="10" t="n">
        <f aca="false">_xlfn.IFNA(INDEX(KP!$K:$K,MATCH(($B28&amp;"|"&amp;P$3),KP!$D:$D,0)),"")</f>
        <v>0</v>
      </c>
      <c r="Q28" s="10" t="n">
        <f aca="false">_xlfn.IFNA(INDEX(KP!$K:$K,MATCH(($B28&amp;"|"&amp;Q$3),KP!$D:$D,0)),"")</f>
        <v>0</v>
      </c>
      <c r="R28" s="10" t="n">
        <f aca="false">_xlfn.IFNA(INDEX(KP!$K:$K,MATCH(($B28&amp;"|"&amp;R$3),KP!$D:$D,0)),"")</f>
        <v>0</v>
      </c>
      <c r="S28" s="10" t="n">
        <f aca="false">SUM(SUMIFS(Cascade!$AP:$AP,Cascade!$B:$B,$B28,Cascade!$C:$C,{"15-24","25-34","35-49","50+"},Cascade!$D:$D,"Female"))</f>
        <v>0</v>
      </c>
      <c r="T28" s="10" t="n">
        <f aca="false">SUM(SUMIFS(Cascade!$AP:$AP,Cascade!$B:$B,$B28,Cascade!$C:$C,{"15-24","25-34","35-49","50+"},Cascade!$D:$D,"Male"))</f>
        <v>0</v>
      </c>
      <c r="U28" s="10" t="n">
        <f aca="false">_xlfn.IFNA(INDEX(KP!$Q:$Q,MATCH(($B28&amp;"|"&amp;U$3),KP!$D:$D,0)),"")</f>
        <v>70</v>
      </c>
      <c r="V28" s="10" t="n">
        <f aca="false">_xlfn.IFNA(INDEX(KP!$Q:$Q,MATCH(($B28&amp;"|"&amp;V$3),KP!$D:$D,0)),"")</f>
        <v>77</v>
      </c>
      <c r="W28" s="10" t="n">
        <f aca="false">_xlfn.IFNA(INDEX(KP!$Q:$Q,MATCH(($B28&amp;"|"&amp;W$3),KP!$D:$D,0)),"")</f>
        <v>86</v>
      </c>
      <c r="X28" s="10" t="str">
        <f aca="false">_xlfn.IFNA(INDEX(KP!$Q:$Q,MATCH(($B28&amp;"|"&amp;X$3),KP!$D:$D,0)),"")</f>
        <v/>
      </c>
      <c r="Y28" s="10" t="n">
        <f aca="false">_xlfn.IFNA(INDEX(KP!$Q:$Q,MATCH(($B28&amp;"|"&amp;Y$3),KP!$D:$D,0)),"")</f>
        <v>6</v>
      </c>
      <c r="Z28" s="10" t="n">
        <f aca="false">SUM(SUMIFS(Cascade!$AX:$AX,Cascade!$B:$B,$B28,Cascade!$C:$C,{"15-24","25-34","35-49","50+"},Cascade!$D:$D,"Female"))</f>
        <v>0</v>
      </c>
      <c r="AA28" s="10" t="n">
        <f aca="false">SUM(SUMIFS(Cascade!$AX:$AX,Cascade!$B:$B,$B28,Cascade!$C:$C,{"15-24","25-34","35-49","50+"},Cascade!$D:$D,"Male"))</f>
        <v>0</v>
      </c>
      <c r="AB28" s="10" t="n">
        <f aca="false">_xlfn.IFNA(INDEX(KP!$Z:$Z,MATCH(($B28&amp;"|"&amp;AB$3),KP!$D:$D,0)),"")</f>
        <v>1</v>
      </c>
      <c r="AC28" s="10" t="n">
        <f aca="false">_xlfn.IFNA(INDEX(KP!$Z:$Z,MATCH(($B28&amp;"|"&amp;AC$3),KP!$D:$D,0)),"")</f>
        <v>2</v>
      </c>
      <c r="AD28" s="10" t="n">
        <f aca="false">_xlfn.IFNA(INDEX(KP!$Z:$Z,MATCH(($B28&amp;"|"&amp;AD$3),KP!$D:$D,0)),"")</f>
        <v>2</v>
      </c>
      <c r="AE28" s="10" t="str">
        <f aca="false">_xlfn.IFNA(INDEX(KP!$Z:$Z,MATCH(($B28&amp;"|"&amp;AE$3),KP!$D:$D,0)),"")</f>
        <v/>
      </c>
      <c r="AF28" s="10" t="str">
        <f aca="false">_xlfn.IFNA(INDEX(KP!$Z:$Z,MATCH(($B28&amp;"|"&amp;AF$3),KP!$D:$D,0)),"")</f>
        <v/>
      </c>
      <c r="AG28" s="10" t="n">
        <f aca="false">SUM(SUMIFS(Cascade!$BB:$BB,Cascade!$B:$B,$B28,Cascade!$C:$C,{"15-24","25-34","35-49","50+"},Cascade!$D:$D,"Female"))</f>
        <v>0</v>
      </c>
      <c r="AH28" s="10" t="n">
        <f aca="false">SUM(SUMIFS(Cascade!$BB:$BB,Cascade!$B:$B,$B28,Cascade!$C:$C,{"15-24","25-34","35-49","50+"},Cascade!$D:$D,"Male"))</f>
        <v>0</v>
      </c>
      <c r="AI28" s="10" t="n">
        <f aca="false">_xlfn.IFNA(INDEX(KP!$AD:$AD,MATCH(($B28&amp;"|"&amp;AI$3),KP!$D:$D,0)),"")</f>
        <v>67</v>
      </c>
      <c r="AJ28" s="10" t="n">
        <f aca="false">_xlfn.IFNA(INDEX(KP!$AD:$AD,MATCH(($B28&amp;"|"&amp;AJ$3),KP!$D:$D,0)),"")</f>
        <v>74</v>
      </c>
      <c r="AK28" s="10" t="n">
        <f aca="false">_xlfn.IFNA(INDEX(KP!$AD:$AD,MATCH(($B28&amp;"|"&amp;AK$3),KP!$D:$D,0)),"")</f>
        <v>83</v>
      </c>
      <c r="AL28" s="10" t="str">
        <f aca="false">_xlfn.IFNA(INDEX(KP!$AD:$AD,MATCH(($B28&amp;"|"&amp;AL$3),KP!$D:$D,0)),"")</f>
        <v/>
      </c>
      <c r="AM28" s="10" t="n">
        <f aca="false">_xlfn.IFNA(INDEX(KP!$AD:$AD,MATCH(($B28&amp;"|"&amp;AM$3),KP!$D:$D,0)),"")</f>
        <v>6</v>
      </c>
      <c r="AN28" s="10" t="n">
        <f aca="false">SUM(SUMIFS(Cascade!$BE:$BE,Cascade!$B:$B,$B28,Cascade!$C:$C,{"15-24","25-34","35-49","50+"},Cascade!$D:$D,"Female"))</f>
        <v>0</v>
      </c>
      <c r="AO28" s="10" t="n">
        <f aca="false">SUM(SUMIFS(Cascade!$BE:$BE,Cascade!$B:$B,$B28,Cascade!$C:$C,{"15-24","25-34","35-49","50+"},Cascade!$D:$D,"Male"))</f>
        <v>0</v>
      </c>
      <c r="AP28" s="10" t="n">
        <f aca="false">_xlfn.IFNA(INDEX(KP!$AF:$AF,MATCH(($B28&amp;"|"&amp;AP$3),KP!$D:$D,0)),"")</f>
        <v>64</v>
      </c>
      <c r="AQ28" s="10" t="n">
        <f aca="false">_xlfn.IFNA(INDEX(KP!$AF:$AF,MATCH(($B28&amp;"|"&amp;AQ$3),KP!$D:$D,0)),"")</f>
        <v>70</v>
      </c>
      <c r="AR28" s="10" t="n">
        <f aca="false">_xlfn.IFNA(INDEX(KP!$AF:$AF,MATCH(($B28&amp;"|"&amp;AR$3),KP!$D:$D,0)),"")</f>
        <v>79</v>
      </c>
      <c r="AS28" s="10" t="str">
        <f aca="false">_xlfn.IFNA(INDEX(KP!$AF:$AF,MATCH(($B28&amp;"|"&amp;AS$3),KP!$D:$D,0)),"")</f>
        <v/>
      </c>
      <c r="AT28" s="10" t="n">
        <f aca="false">_xlfn.IFNA(INDEX(KP!$AF:$AF,MATCH(($B28&amp;"|"&amp;AT$3),KP!$D:$D,0)),"")</f>
        <v>6</v>
      </c>
      <c r="AU28" s="10" t="n">
        <f aca="false">SUM(SUMIFS(HTS!$AM:$AM,HTS!$B:$B,$B28,HTS!$C:$C,{"15-24","25-34","35-49","50+"},HTS!$D:$D,"Female"))</f>
        <v>0</v>
      </c>
      <c r="AV28" s="10" t="n">
        <f aca="false">SUM(SUMIFS(HTS!$AM:$AM,HTS!$B:$B,$B28,HTS!$C:$C,{"15-24","25-34","35-49","50+"},HTS!$D:$D,"Male"))</f>
        <v>0</v>
      </c>
      <c r="AW28" s="10" t="n">
        <f aca="false">_xlfn.IFNA(INDEX(KP!$AK:$AK,MATCH(($B28&amp;"|"&amp;AW$3),KP!$D:$D,0)),"")</f>
        <v>1</v>
      </c>
      <c r="AX28" s="10" t="n">
        <f aca="false">_xlfn.IFNA(INDEX(KP!$AK:$AK,MATCH(($B28&amp;"|"&amp;AX$3),KP!$D:$D,0)),"")</f>
        <v>2</v>
      </c>
      <c r="AY28" s="10" t="n">
        <f aca="false">_xlfn.IFNA(INDEX(KP!$AK:$AK,MATCH(($B28&amp;"|"&amp;AY$3),KP!$D:$D,0)),"")</f>
        <v>2</v>
      </c>
      <c r="AZ28" s="10" t="str">
        <f aca="false">_xlfn.IFNA(INDEX(KP!$AK:$AK,MATCH(($B28&amp;"|"&amp;AZ$3),KP!$D:$D,0)),"")</f>
        <v/>
      </c>
      <c r="BA28" s="10" t="str">
        <f aca="false">_xlfn.IFNA(INDEX(KP!$AK:$AK,MATCH(($B28&amp;"|"&amp;BA$3),KP!$D:$D,0)),"")</f>
        <v/>
      </c>
      <c r="BB28" s="10" t="n">
        <f aca="false">SUM(SUMIFS(HTS!$AT:$AT,HTS!$B:$B,$B28,HTS!$C:$C,{"15-24","25-34","35-49","50+"},HTS!$D:$D,"Female"))</f>
        <v>0</v>
      </c>
      <c r="BC28" s="10" t="n">
        <f aca="false">SUM(SUMIFS(HTS!$AT:$AT,HTS!$B:$B,$B28,HTS!$C:$C,{"15-24","25-34","35-49","50+"},HTS!$D:$D,"Male"))</f>
        <v>0</v>
      </c>
      <c r="BD28" s="10" t="str">
        <f aca="false">_xlfn.IFNA(INDEX(KP!$AL:$AL,MATCH(($B28&amp;"|"&amp;BD$3),KP!$D:$D,0)),"")</f>
        <v>ENTER YIELD RATE</v>
      </c>
      <c r="BE28" s="10" t="str">
        <f aca="false">_xlfn.IFNA(INDEX(KP!$AL:$AL,MATCH(($B28&amp;"|"&amp;BE$3),KP!$D:$D,0)),"")</f>
        <v>ENTER YIELD RATE</v>
      </c>
      <c r="BF28" s="10" t="str">
        <f aca="false">_xlfn.IFNA(INDEX(KP!$AL:$AL,MATCH(($B28&amp;"|"&amp;BF$3),KP!$D:$D,0)),"")</f>
        <v>ENTER YIELD RATE</v>
      </c>
      <c r="BG28" s="10" t="str">
        <f aca="false">_xlfn.IFNA(INDEX(KP!$AL:$AL,MATCH(($B28&amp;"|"&amp;BG$3),KP!$D:$D,0)),"")</f>
        <v/>
      </c>
      <c r="BH28" s="10" t="str">
        <f aca="false">_xlfn.IFNA(INDEX(KP!$AL:$AL,MATCH(($B28&amp;"|"&amp;BH$3),KP!$D:$D,0)),"")</f>
        <v/>
      </c>
      <c r="BI28" s="10" t="n">
        <f aca="false">SUM(SUMIFS(HTS!$BA:$BA,HTS!$B:$B,$B28,HTS!$C:$C,{"15-24","25-34","35-49","50+"},HTS!$D:$D,"Female"))</f>
        <v>0</v>
      </c>
      <c r="BJ28" s="10" t="n">
        <f aca="false">SUM(SUMIFS(HTS!$BA:$BA,HTS!$B:$B,$B28,HTS!$C:$C,{"15-24","25-34","35-49","50+"},HTS!$D:$D,"Male"))</f>
        <v>0</v>
      </c>
      <c r="BK28" s="10" t="n">
        <f aca="false">_xlfn.IFNA(INDEX(KP!$AN:$AN,MATCH(($B28&amp;"|"&amp;BK$3),KP!$D:$D,0)),"")</f>
        <v>1</v>
      </c>
      <c r="BL28" s="10" t="n">
        <f aca="false">_xlfn.IFNA(INDEX(KP!$AN:$AN,MATCH(($B28&amp;"|"&amp;BL$3),KP!$D:$D,0)),"")</f>
        <v>2</v>
      </c>
      <c r="BM28" s="10" t="n">
        <f aca="false">_xlfn.IFNA(INDEX(KP!$AN:$AN,MATCH(($B28&amp;"|"&amp;BM$3),KP!$D:$D,0)),"")</f>
        <v>2</v>
      </c>
      <c r="BN28" s="10" t="str">
        <f aca="false">_xlfn.IFNA(INDEX(KP!$AN:$AN,MATCH(($B28&amp;"|"&amp;BN$3),KP!$D:$D,0)),"")</f>
        <v/>
      </c>
      <c r="BO28" s="10" t="str">
        <f aca="false">_xlfn.IFNA(INDEX(KP!$AN:$AN,MATCH(($B28&amp;"|"&amp;BO$3),KP!$D:$D,0)),"")</f>
        <v/>
      </c>
      <c r="BP28" s="10" t="n">
        <f aca="false">SUM(SUMIFS(HTS!$AY:$AY,HTS!$B:$B,$B28,HTS!$C:$C,{"15-24","25-34","35-49","50+"},HTS!$D:$D,"Female"))</f>
        <v>72</v>
      </c>
      <c r="BQ28" s="10" t="n">
        <f aca="false">SUM(SUMIFS(HTS!$AY:$AY,HTS!$B:$B,$B28,HTS!$C:$C,{"15-24","25-34","35-49","50+"},HTS!$D:$D,"Male"))</f>
        <v>55</v>
      </c>
      <c r="BR28" s="10" t="n">
        <f aca="false">_xlfn.IFNA(INDEX(KP!$AP:$AP,MATCH(($B28&amp;"|"&amp;BR$3),KP!$D:$D,0)),"")</f>
        <v>0</v>
      </c>
      <c r="BS28" s="10" t="n">
        <f aca="false">_xlfn.IFNA(INDEX(KP!$AP:$AP,MATCH(($B28&amp;"|"&amp;BS$3),KP!$D:$D,0)),"")</f>
        <v>0</v>
      </c>
      <c r="BT28" s="10" t="n">
        <f aca="false">_xlfn.IFNA(INDEX(KP!$AP:$AP,MATCH(($B28&amp;"|"&amp;BT$3),KP!$D:$D,0)),"")</f>
        <v>0</v>
      </c>
      <c r="BU28" s="10" t="n">
        <f aca="false">_xlfn.IFNA(INDEX(KP!$AP:$AP,MATCH(($B28&amp;"|"&amp;BU$3),KP!$D:$D,0)),"")</f>
        <v>0</v>
      </c>
      <c r="BV28" s="10" t="n">
        <f aca="false">_xlfn.IFNA(INDEX(KP!$AP:$AP,MATCH(($B28&amp;"|"&amp;BV$3),KP!$D:$D,0)),"")</f>
        <v>0</v>
      </c>
    </row>
    <row r="29" customFormat="false" ht="15" hidden="false" customHeight="false" outlineLevel="0" collapsed="false">
      <c r="A29" s="91" t="str">
        <f aca="false">INDEX(Prioritization!$D:$D,MATCH($B29,Prioritization!$A:$A,0))</f>
        <v>INVALID</v>
      </c>
      <c r="B29" s="40" t="s">
        <v>208</v>
      </c>
      <c r="C29" s="10" t="n">
        <f aca="false">SUM(SUMIFS(PrEP!$O:$O,PrEP!$B:$B,$B29,PrEP!$C:$C,{"15-24","25-34","35-49","50+"},PrEP!$D:$D,"Female"))</f>
        <v>0</v>
      </c>
      <c r="D29" s="10" t="n">
        <f aca="false">SUM(SUMIFS(PrEP!$O:$O,PrEP!$B:$B,$B29,PrEP!$C:$C,{"15-24","25-34"},PrEP!$D:$D,"Female"))</f>
        <v>0</v>
      </c>
      <c r="E29" s="10" t="n">
        <f aca="false">SUM(SUMIFS(PrEP!$O:$O,PrEP!$B:$B,$B29,PrEP!$C:$C,{"15-24","25-34","35-49","50+"},PrEP!$D:$D,"Male"))</f>
        <v>0</v>
      </c>
      <c r="F29" s="10" t="n">
        <f aca="false">_xlfn.IFNA(INDEX(KP!$I:$I,MATCH(($B29&amp;"|"&amp;F$3),KP!$D:$D,0)),"")</f>
        <v>0</v>
      </c>
      <c r="G29" s="10" t="n">
        <f aca="false">_xlfn.IFNA(INDEX(KP!$I:$I,MATCH(($B29&amp;"|"&amp;G$3),KP!$D:$D,0)),"")</f>
        <v>0</v>
      </c>
      <c r="H29" s="10" t="n">
        <f aca="false">_xlfn.IFNA(INDEX(KP!$I:$I,MATCH(($B29&amp;"|"&amp;H$3),KP!$D:$D,0)),"")</f>
        <v>0</v>
      </c>
      <c r="I29" s="10" t="n">
        <f aca="false">_xlfn.IFNA(INDEX(KP!$I:$I,MATCH(($B29&amp;"|"&amp;I$3),KP!$D:$D,0)),"")</f>
        <v>0</v>
      </c>
      <c r="J29" s="10" t="n">
        <f aca="false">_xlfn.IFNA(INDEX(KP!$I:$I,MATCH(($B29&amp;"|"&amp;J$3),KP!$D:$D,0)),"")</f>
        <v>0</v>
      </c>
      <c r="K29" s="10" t="n">
        <f aca="false">SUM(SUMIFS(PrEP!$L:$L,PrEP!$B:$B,$B29,PrEP!$C:$C,{"15-24","25-34","35-49","50+"},PrEP!$D:$D,"Female"))</f>
        <v>0</v>
      </c>
      <c r="L29" s="10" t="n">
        <f aca="false">SUM(SUMIFS(PrEP!$L:$L,PrEP!$B:$B,$B29,PrEP!$C:$C,{"15-24","25-34"},PrEP!$D:$D,"Female"))</f>
        <v>0</v>
      </c>
      <c r="M29" s="10" t="n">
        <f aca="false">SUM(SUMIFS(PrEP!$L:$L,PrEP!$B:$B,$B29,PrEP!$C:$C,{"15-24","25-34","35-49","50+"},PrEP!$D:$D,"Male"))</f>
        <v>0</v>
      </c>
      <c r="N29" s="10" t="n">
        <f aca="false">_xlfn.IFNA(INDEX(KP!$K:$K,MATCH(($B29&amp;"|"&amp;N$3),KP!$D:$D,0)),"")</f>
        <v>0</v>
      </c>
      <c r="O29" s="10" t="n">
        <f aca="false">_xlfn.IFNA(INDEX(KP!$K:$K,MATCH(($B29&amp;"|"&amp;O$3),KP!$D:$D,0)),"")</f>
        <v>0</v>
      </c>
      <c r="P29" s="10" t="n">
        <f aca="false">_xlfn.IFNA(INDEX(KP!$K:$K,MATCH(($B29&amp;"|"&amp;P$3),KP!$D:$D,0)),"")</f>
        <v>0</v>
      </c>
      <c r="Q29" s="10" t="n">
        <f aca="false">_xlfn.IFNA(INDEX(KP!$K:$K,MATCH(($B29&amp;"|"&amp;Q$3),KP!$D:$D,0)),"")</f>
        <v>0</v>
      </c>
      <c r="R29" s="10" t="n">
        <f aca="false">_xlfn.IFNA(INDEX(KP!$K:$K,MATCH(($B29&amp;"|"&amp;R$3),KP!$D:$D,0)),"")</f>
        <v>0</v>
      </c>
      <c r="S29" s="10" t="n">
        <f aca="false">SUM(SUMIFS(Cascade!$AP:$AP,Cascade!$B:$B,$B29,Cascade!$C:$C,{"15-24","25-34","35-49","50+"},Cascade!$D:$D,"Female"))</f>
        <v>0</v>
      </c>
      <c r="T29" s="10" t="n">
        <f aca="false">SUM(SUMIFS(Cascade!$AP:$AP,Cascade!$B:$B,$B29,Cascade!$C:$C,{"15-24","25-34","35-49","50+"},Cascade!$D:$D,"Male"))</f>
        <v>0</v>
      </c>
      <c r="U29" s="10" t="str">
        <f aca="false">_xlfn.IFNA(INDEX(KP!$Q:$Q,MATCH(($B29&amp;"|"&amp;U$3),KP!$D:$D,0)),"")</f>
        <v/>
      </c>
      <c r="V29" s="10" t="str">
        <f aca="false">_xlfn.IFNA(INDEX(KP!$Q:$Q,MATCH(($B29&amp;"|"&amp;V$3),KP!$D:$D,0)),"")</f>
        <v/>
      </c>
      <c r="W29" s="10" t="n">
        <f aca="false">_xlfn.IFNA(INDEX(KP!$Q:$Q,MATCH(($B29&amp;"|"&amp;W$3),KP!$D:$D,0)),"")</f>
        <v>7</v>
      </c>
      <c r="X29" s="10" t="str">
        <f aca="false">_xlfn.IFNA(INDEX(KP!$Q:$Q,MATCH(($B29&amp;"|"&amp;X$3),KP!$D:$D,0)),"")</f>
        <v/>
      </c>
      <c r="Y29" s="10" t="str">
        <f aca="false">_xlfn.IFNA(INDEX(KP!$Q:$Q,MATCH(($B29&amp;"|"&amp;Y$3),KP!$D:$D,0)),"")</f>
        <v/>
      </c>
      <c r="Z29" s="10" t="n">
        <f aca="false">SUM(SUMIFS(Cascade!$AX:$AX,Cascade!$B:$B,$B29,Cascade!$C:$C,{"15-24","25-34","35-49","50+"},Cascade!$D:$D,"Female"))</f>
        <v>0</v>
      </c>
      <c r="AA29" s="10" t="n">
        <f aca="false">SUM(SUMIFS(Cascade!$AX:$AX,Cascade!$B:$B,$B29,Cascade!$C:$C,{"15-24","25-34","35-49","50+"},Cascade!$D:$D,"Male"))</f>
        <v>0</v>
      </c>
      <c r="AB29" s="10" t="str">
        <f aca="false">_xlfn.IFNA(INDEX(KP!$Z:$Z,MATCH(($B29&amp;"|"&amp;AB$3),KP!$D:$D,0)),"")</f>
        <v/>
      </c>
      <c r="AC29" s="10" t="str">
        <f aca="false">_xlfn.IFNA(INDEX(KP!$Z:$Z,MATCH(($B29&amp;"|"&amp;AC$3),KP!$D:$D,0)),"")</f>
        <v/>
      </c>
      <c r="AD29" s="10" t="str">
        <f aca="false">_xlfn.IFNA(INDEX(KP!$Z:$Z,MATCH(($B29&amp;"|"&amp;AD$3),KP!$D:$D,0)),"")</f>
        <v/>
      </c>
      <c r="AE29" s="10" t="str">
        <f aca="false">_xlfn.IFNA(INDEX(KP!$Z:$Z,MATCH(($B29&amp;"|"&amp;AE$3),KP!$D:$D,0)),"")</f>
        <v/>
      </c>
      <c r="AF29" s="10" t="str">
        <f aca="false">_xlfn.IFNA(INDEX(KP!$Z:$Z,MATCH(($B29&amp;"|"&amp;AF$3),KP!$D:$D,0)),"")</f>
        <v/>
      </c>
      <c r="AG29" s="10" t="n">
        <f aca="false">SUM(SUMIFS(Cascade!$BB:$BB,Cascade!$B:$B,$B29,Cascade!$C:$C,{"15-24","25-34","35-49","50+"},Cascade!$D:$D,"Female"))</f>
        <v>0</v>
      </c>
      <c r="AH29" s="10" t="n">
        <f aca="false">SUM(SUMIFS(Cascade!$BB:$BB,Cascade!$B:$B,$B29,Cascade!$C:$C,{"15-24","25-34","35-49","50+"},Cascade!$D:$D,"Male"))</f>
        <v>0</v>
      </c>
      <c r="AI29" s="10" t="str">
        <f aca="false">_xlfn.IFNA(INDEX(KP!$AD:$AD,MATCH(($B29&amp;"|"&amp;AI$3),KP!$D:$D,0)),"")</f>
        <v/>
      </c>
      <c r="AJ29" s="10" t="str">
        <f aca="false">_xlfn.IFNA(INDEX(KP!$AD:$AD,MATCH(($B29&amp;"|"&amp;AJ$3),KP!$D:$D,0)),"")</f>
        <v/>
      </c>
      <c r="AK29" s="10" t="n">
        <f aca="false">_xlfn.IFNA(INDEX(KP!$AD:$AD,MATCH(($B29&amp;"|"&amp;AK$3),KP!$D:$D,0)),"")</f>
        <v>7</v>
      </c>
      <c r="AL29" s="10" t="str">
        <f aca="false">_xlfn.IFNA(INDEX(KP!$AD:$AD,MATCH(($B29&amp;"|"&amp;AL$3),KP!$D:$D,0)),"")</f>
        <v/>
      </c>
      <c r="AM29" s="10" t="str">
        <f aca="false">_xlfn.IFNA(INDEX(KP!$AD:$AD,MATCH(($B29&amp;"|"&amp;AM$3),KP!$D:$D,0)),"")</f>
        <v/>
      </c>
      <c r="AN29" s="10" t="n">
        <f aca="false">SUM(SUMIFS(Cascade!$BE:$BE,Cascade!$B:$B,$B29,Cascade!$C:$C,{"15-24","25-34","35-49","50+"},Cascade!$D:$D,"Female"))</f>
        <v>0</v>
      </c>
      <c r="AO29" s="10" t="n">
        <f aca="false">SUM(SUMIFS(Cascade!$BE:$BE,Cascade!$B:$B,$B29,Cascade!$C:$C,{"15-24","25-34","35-49","50+"},Cascade!$D:$D,"Male"))</f>
        <v>0</v>
      </c>
      <c r="AP29" s="10" t="str">
        <f aca="false">_xlfn.IFNA(INDEX(KP!$AF:$AF,MATCH(($B29&amp;"|"&amp;AP$3),KP!$D:$D,0)),"")</f>
        <v/>
      </c>
      <c r="AQ29" s="10" t="str">
        <f aca="false">_xlfn.IFNA(INDEX(KP!$AF:$AF,MATCH(($B29&amp;"|"&amp;AQ$3),KP!$D:$D,0)),"")</f>
        <v/>
      </c>
      <c r="AR29" s="10" t="n">
        <f aca="false">_xlfn.IFNA(INDEX(KP!$AF:$AF,MATCH(($B29&amp;"|"&amp;AR$3),KP!$D:$D,0)),"")</f>
        <v>7</v>
      </c>
      <c r="AS29" s="10" t="str">
        <f aca="false">_xlfn.IFNA(INDEX(KP!$AF:$AF,MATCH(($B29&amp;"|"&amp;AS$3),KP!$D:$D,0)),"")</f>
        <v/>
      </c>
      <c r="AT29" s="10" t="str">
        <f aca="false">_xlfn.IFNA(INDEX(KP!$AF:$AF,MATCH(($B29&amp;"|"&amp;AT$3),KP!$D:$D,0)),"")</f>
        <v/>
      </c>
      <c r="AU29" s="10" t="n">
        <f aca="false">SUM(SUMIFS(HTS!$AM:$AM,HTS!$B:$B,$B29,HTS!$C:$C,{"15-24","25-34","35-49","50+"},HTS!$D:$D,"Female"))</f>
        <v>0</v>
      </c>
      <c r="AV29" s="10" t="n">
        <f aca="false">SUM(SUMIFS(HTS!$AM:$AM,HTS!$B:$B,$B29,HTS!$C:$C,{"15-24","25-34","35-49","50+"},HTS!$D:$D,"Male"))</f>
        <v>0</v>
      </c>
      <c r="AW29" s="10" t="str">
        <f aca="false">_xlfn.IFNA(INDEX(KP!$AK:$AK,MATCH(($B29&amp;"|"&amp;AW$3),KP!$D:$D,0)),"")</f>
        <v/>
      </c>
      <c r="AX29" s="10" t="str">
        <f aca="false">_xlfn.IFNA(INDEX(KP!$AK:$AK,MATCH(($B29&amp;"|"&amp;AX$3),KP!$D:$D,0)),"")</f>
        <v/>
      </c>
      <c r="AY29" s="10" t="str">
        <f aca="false">_xlfn.IFNA(INDEX(KP!$AK:$AK,MATCH(($B29&amp;"|"&amp;AY$3),KP!$D:$D,0)),"")</f>
        <v/>
      </c>
      <c r="AZ29" s="10" t="str">
        <f aca="false">_xlfn.IFNA(INDEX(KP!$AK:$AK,MATCH(($B29&amp;"|"&amp;AZ$3),KP!$D:$D,0)),"")</f>
        <v/>
      </c>
      <c r="BA29" s="10" t="str">
        <f aca="false">_xlfn.IFNA(INDEX(KP!$AK:$AK,MATCH(($B29&amp;"|"&amp;BA$3),KP!$D:$D,0)),"")</f>
        <v/>
      </c>
      <c r="BB29" s="10" t="n">
        <f aca="false">SUM(SUMIFS(HTS!$AT:$AT,HTS!$B:$B,$B29,HTS!$C:$C,{"15-24","25-34","35-49","50+"},HTS!$D:$D,"Female"))</f>
        <v>0</v>
      </c>
      <c r="BC29" s="10" t="n">
        <f aca="false">SUM(SUMIFS(HTS!$AT:$AT,HTS!$B:$B,$B29,HTS!$C:$C,{"15-24","25-34","35-49","50+"},HTS!$D:$D,"Male"))</f>
        <v>0</v>
      </c>
      <c r="BD29" s="10" t="str">
        <f aca="false">_xlfn.IFNA(INDEX(KP!$AL:$AL,MATCH(($B29&amp;"|"&amp;BD$3),KP!$D:$D,0)),"")</f>
        <v/>
      </c>
      <c r="BE29" s="10" t="str">
        <f aca="false">_xlfn.IFNA(INDEX(KP!$AL:$AL,MATCH(($B29&amp;"|"&amp;BE$3),KP!$D:$D,0)),"")</f>
        <v/>
      </c>
      <c r="BF29" s="10" t="str">
        <f aca="false">_xlfn.IFNA(INDEX(KP!$AL:$AL,MATCH(($B29&amp;"|"&amp;BF$3),KP!$D:$D,0)),"")</f>
        <v/>
      </c>
      <c r="BG29" s="10" t="str">
        <f aca="false">_xlfn.IFNA(INDEX(KP!$AL:$AL,MATCH(($B29&amp;"|"&amp;BG$3),KP!$D:$D,0)),"")</f>
        <v/>
      </c>
      <c r="BH29" s="10" t="str">
        <f aca="false">_xlfn.IFNA(INDEX(KP!$AL:$AL,MATCH(($B29&amp;"|"&amp;BH$3),KP!$D:$D,0)),"")</f>
        <v/>
      </c>
      <c r="BI29" s="10" t="n">
        <f aca="false">SUM(SUMIFS(HTS!$BA:$BA,HTS!$B:$B,$B29,HTS!$C:$C,{"15-24","25-34","35-49","50+"},HTS!$D:$D,"Female"))</f>
        <v>0</v>
      </c>
      <c r="BJ29" s="10" t="n">
        <f aca="false">SUM(SUMIFS(HTS!$BA:$BA,HTS!$B:$B,$B29,HTS!$C:$C,{"15-24","25-34","35-49","50+"},HTS!$D:$D,"Male"))</f>
        <v>0</v>
      </c>
      <c r="BK29" s="10" t="str">
        <f aca="false">_xlfn.IFNA(INDEX(KP!$AN:$AN,MATCH(($B29&amp;"|"&amp;BK$3),KP!$D:$D,0)),"")</f>
        <v/>
      </c>
      <c r="BL29" s="10" t="str">
        <f aca="false">_xlfn.IFNA(INDEX(KP!$AN:$AN,MATCH(($B29&amp;"|"&amp;BL$3),KP!$D:$D,0)),"")</f>
        <v/>
      </c>
      <c r="BM29" s="10" t="str">
        <f aca="false">_xlfn.IFNA(INDEX(KP!$AN:$AN,MATCH(($B29&amp;"|"&amp;BM$3),KP!$D:$D,0)),"")</f>
        <v/>
      </c>
      <c r="BN29" s="10" t="str">
        <f aca="false">_xlfn.IFNA(INDEX(KP!$AN:$AN,MATCH(($B29&amp;"|"&amp;BN$3),KP!$D:$D,0)),"")</f>
        <v/>
      </c>
      <c r="BO29" s="10" t="str">
        <f aca="false">_xlfn.IFNA(INDEX(KP!$AN:$AN,MATCH(($B29&amp;"|"&amp;BO$3),KP!$D:$D,0)),"")</f>
        <v/>
      </c>
      <c r="BP29" s="10" t="n">
        <f aca="false">SUM(SUMIFS(HTS!$AY:$AY,HTS!$B:$B,$B29,HTS!$C:$C,{"15-24","25-34","35-49","50+"},HTS!$D:$D,"Female"))</f>
        <v>7</v>
      </c>
      <c r="BQ29" s="10" t="n">
        <f aca="false">SUM(SUMIFS(HTS!$AY:$AY,HTS!$B:$B,$B29,HTS!$C:$C,{"15-24","25-34","35-49","50+"},HTS!$D:$D,"Male"))</f>
        <v>6</v>
      </c>
      <c r="BR29" s="10" t="n">
        <f aca="false">_xlfn.IFNA(INDEX(KP!$AP:$AP,MATCH(($B29&amp;"|"&amp;BR$3),KP!$D:$D,0)),"")</f>
        <v>0</v>
      </c>
      <c r="BS29" s="10" t="n">
        <f aca="false">_xlfn.IFNA(INDEX(KP!$AP:$AP,MATCH(($B29&amp;"|"&amp;BS$3),KP!$D:$D,0)),"")</f>
        <v>0</v>
      </c>
      <c r="BT29" s="10" t="n">
        <f aca="false">_xlfn.IFNA(INDEX(KP!$AP:$AP,MATCH(($B29&amp;"|"&amp;BT$3),KP!$D:$D,0)),"")</f>
        <v>0</v>
      </c>
      <c r="BU29" s="10" t="n">
        <f aca="false">_xlfn.IFNA(INDEX(KP!$AP:$AP,MATCH(($B29&amp;"|"&amp;BU$3),KP!$D:$D,0)),"")</f>
        <v>0</v>
      </c>
      <c r="BV29" s="10" t="n">
        <f aca="false">_xlfn.IFNA(INDEX(KP!$AP:$AP,MATCH(($B29&amp;"|"&amp;BV$3),KP!$D:$D,0)),"")</f>
        <v>0</v>
      </c>
    </row>
    <row r="30" customFormat="false" ht="15" hidden="false" customHeight="false" outlineLevel="0" collapsed="false">
      <c r="A30" s="91" t="str">
        <f aca="false">INDEX(Prioritization!$D:$D,MATCH($B30,Prioritization!$A:$A,0))</f>
        <v>INVALID</v>
      </c>
      <c r="B30" s="40" t="s">
        <v>209</v>
      </c>
      <c r="C30" s="10" t="n">
        <f aca="false">SUM(SUMIFS(PrEP!$O:$O,PrEP!$B:$B,$B30,PrEP!$C:$C,{"15-24","25-34","35-49","50+"},PrEP!$D:$D,"Female"))</f>
        <v>0</v>
      </c>
      <c r="D30" s="10" t="n">
        <f aca="false">SUM(SUMIFS(PrEP!$O:$O,PrEP!$B:$B,$B30,PrEP!$C:$C,{"15-24","25-34"},PrEP!$D:$D,"Female"))</f>
        <v>0</v>
      </c>
      <c r="E30" s="10" t="n">
        <f aca="false">SUM(SUMIFS(PrEP!$O:$O,PrEP!$B:$B,$B30,PrEP!$C:$C,{"15-24","25-34","35-49","50+"},PrEP!$D:$D,"Male"))</f>
        <v>0</v>
      </c>
      <c r="F30" s="10" t="n">
        <f aca="false">_xlfn.IFNA(INDEX(KP!$I:$I,MATCH(($B30&amp;"|"&amp;F$3),KP!$D:$D,0)),"")</f>
        <v>0</v>
      </c>
      <c r="G30" s="10" t="n">
        <f aca="false">_xlfn.IFNA(INDEX(KP!$I:$I,MATCH(($B30&amp;"|"&amp;G$3),KP!$D:$D,0)),"")</f>
        <v>0</v>
      </c>
      <c r="H30" s="10" t="n">
        <f aca="false">_xlfn.IFNA(INDEX(KP!$I:$I,MATCH(($B30&amp;"|"&amp;H$3),KP!$D:$D,0)),"")</f>
        <v>0</v>
      </c>
      <c r="I30" s="10" t="n">
        <f aca="false">_xlfn.IFNA(INDEX(KP!$I:$I,MATCH(($B30&amp;"|"&amp;I$3),KP!$D:$D,0)),"")</f>
        <v>0</v>
      </c>
      <c r="J30" s="10" t="n">
        <f aca="false">_xlfn.IFNA(INDEX(KP!$I:$I,MATCH(($B30&amp;"|"&amp;J$3),KP!$D:$D,0)),"")</f>
        <v>0</v>
      </c>
      <c r="K30" s="10" t="n">
        <f aca="false">SUM(SUMIFS(PrEP!$L:$L,PrEP!$B:$B,$B30,PrEP!$C:$C,{"15-24","25-34","35-49","50+"},PrEP!$D:$D,"Female"))</f>
        <v>0</v>
      </c>
      <c r="L30" s="10" t="n">
        <f aca="false">SUM(SUMIFS(PrEP!$L:$L,PrEP!$B:$B,$B30,PrEP!$C:$C,{"15-24","25-34"},PrEP!$D:$D,"Female"))</f>
        <v>0</v>
      </c>
      <c r="M30" s="10" t="n">
        <f aca="false">SUM(SUMIFS(PrEP!$L:$L,PrEP!$B:$B,$B30,PrEP!$C:$C,{"15-24","25-34","35-49","50+"},PrEP!$D:$D,"Male"))</f>
        <v>0</v>
      </c>
      <c r="N30" s="10" t="n">
        <f aca="false">_xlfn.IFNA(INDEX(KP!$K:$K,MATCH(($B30&amp;"|"&amp;N$3),KP!$D:$D,0)),"")</f>
        <v>0</v>
      </c>
      <c r="O30" s="10" t="n">
        <f aca="false">_xlfn.IFNA(INDEX(KP!$K:$K,MATCH(($B30&amp;"|"&amp;O$3),KP!$D:$D,0)),"")</f>
        <v>0</v>
      </c>
      <c r="P30" s="10" t="n">
        <f aca="false">_xlfn.IFNA(INDEX(KP!$K:$K,MATCH(($B30&amp;"|"&amp;P$3),KP!$D:$D,0)),"")</f>
        <v>0</v>
      </c>
      <c r="Q30" s="10" t="n">
        <f aca="false">_xlfn.IFNA(INDEX(KP!$K:$K,MATCH(($B30&amp;"|"&amp;Q$3),KP!$D:$D,0)),"")</f>
        <v>0</v>
      </c>
      <c r="R30" s="10" t="n">
        <f aca="false">_xlfn.IFNA(INDEX(KP!$K:$K,MATCH(($B30&amp;"|"&amp;R$3),KP!$D:$D,0)),"")</f>
        <v>0</v>
      </c>
      <c r="S30" s="10" t="n">
        <f aca="false">SUM(SUMIFS(Cascade!$AP:$AP,Cascade!$B:$B,$B30,Cascade!$C:$C,{"15-24","25-34","35-49","50+"},Cascade!$D:$D,"Female"))</f>
        <v>0</v>
      </c>
      <c r="T30" s="10" t="n">
        <f aca="false">SUM(SUMIFS(Cascade!$AP:$AP,Cascade!$B:$B,$B30,Cascade!$C:$C,{"15-24","25-34","35-49","50+"},Cascade!$D:$D,"Male"))</f>
        <v>0</v>
      </c>
      <c r="U30" s="10" t="str">
        <f aca="false">_xlfn.IFNA(INDEX(KP!$Q:$Q,MATCH(($B30&amp;"|"&amp;U$3),KP!$D:$D,0)),"")</f>
        <v/>
      </c>
      <c r="V30" s="10" t="str">
        <f aca="false">_xlfn.IFNA(INDEX(KP!$Q:$Q,MATCH(($B30&amp;"|"&amp;V$3),KP!$D:$D,0)),"")</f>
        <v/>
      </c>
      <c r="W30" s="10" t="n">
        <f aca="false">_xlfn.IFNA(INDEX(KP!$Q:$Q,MATCH(($B30&amp;"|"&amp;W$3),KP!$D:$D,0)),"")</f>
        <v>8</v>
      </c>
      <c r="X30" s="10" t="str">
        <f aca="false">_xlfn.IFNA(INDEX(KP!$Q:$Q,MATCH(($B30&amp;"|"&amp;X$3),KP!$D:$D,0)),"")</f>
        <v/>
      </c>
      <c r="Y30" s="10" t="str">
        <f aca="false">_xlfn.IFNA(INDEX(KP!$Q:$Q,MATCH(($B30&amp;"|"&amp;Y$3),KP!$D:$D,0)),"")</f>
        <v/>
      </c>
      <c r="Z30" s="10" t="n">
        <f aca="false">SUM(SUMIFS(Cascade!$AX:$AX,Cascade!$B:$B,$B30,Cascade!$C:$C,{"15-24","25-34","35-49","50+"},Cascade!$D:$D,"Female"))</f>
        <v>0</v>
      </c>
      <c r="AA30" s="10" t="n">
        <f aca="false">SUM(SUMIFS(Cascade!$AX:$AX,Cascade!$B:$B,$B30,Cascade!$C:$C,{"15-24","25-34","35-49","50+"},Cascade!$D:$D,"Male"))</f>
        <v>0</v>
      </c>
      <c r="AB30" s="10" t="str">
        <f aca="false">_xlfn.IFNA(INDEX(KP!$Z:$Z,MATCH(($B30&amp;"|"&amp;AB$3),KP!$D:$D,0)),"")</f>
        <v/>
      </c>
      <c r="AC30" s="10" t="str">
        <f aca="false">_xlfn.IFNA(INDEX(KP!$Z:$Z,MATCH(($B30&amp;"|"&amp;AC$3),KP!$D:$D,0)),"")</f>
        <v/>
      </c>
      <c r="AD30" s="10" t="str">
        <f aca="false">_xlfn.IFNA(INDEX(KP!$Z:$Z,MATCH(($B30&amp;"|"&amp;AD$3),KP!$D:$D,0)),"")</f>
        <v/>
      </c>
      <c r="AE30" s="10" t="str">
        <f aca="false">_xlfn.IFNA(INDEX(KP!$Z:$Z,MATCH(($B30&amp;"|"&amp;AE$3),KP!$D:$D,0)),"")</f>
        <v/>
      </c>
      <c r="AF30" s="10" t="str">
        <f aca="false">_xlfn.IFNA(INDEX(KP!$Z:$Z,MATCH(($B30&amp;"|"&amp;AF$3),KP!$D:$D,0)),"")</f>
        <v/>
      </c>
      <c r="AG30" s="10" t="n">
        <f aca="false">SUM(SUMIFS(Cascade!$BB:$BB,Cascade!$B:$B,$B30,Cascade!$C:$C,{"15-24","25-34","35-49","50+"},Cascade!$D:$D,"Female"))</f>
        <v>0</v>
      </c>
      <c r="AH30" s="10" t="n">
        <f aca="false">SUM(SUMIFS(Cascade!$BB:$BB,Cascade!$B:$B,$B30,Cascade!$C:$C,{"15-24","25-34","35-49","50+"},Cascade!$D:$D,"Male"))</f>
        <v>0</v>
      </c>
      <c r="AI30" s="10" t="str">
        <f aca="false">_xlfn.IFNA(INDEX(KP!$AD:$AD,MATCH(($B30&amp;"|"&amp;AI$3),KP!$D:$D,0)),"")</f>
        <v/>
      </c>
      <c r="AJ30" s="10" t="str">
        <f aca="false">_xlfn.IFNA(INDEX(KP!$AD:$AD,MATCH(($B30&amp;"|"&amp;AJ$3),KP!$D:$D,0)),"")</f>
        <v/>
      </c>
      <c r="AK30" s="10" t="n">
        <f aca="false">_xlfn.IFNA(INDEX(KP!$AD:$AD,MATCH(($B30&amp;"|"&amp;AK$3),KP!$D:$D,0)),"")</f>
        <v>8</v>
      </c>
      <c r="AL30" s="10" t="str">
        <f aca="false">_xlfn.IFNA(INDEX(KP!$AD:$AD,MATCH(($B30&amp;"|"&amp;AL$3),KP!$D:$D,0)),"")</f>
        <v/>
      </c>
      <c r="AM30" s="10" t="str">
        <f aca="false">_xlfn.IFNA(INDEX(KP!$AD:$AD,MATCH(($B30&amp;"|"&amp;AM$3),KP!$D:$D,0)),"")</f>
        <v/>
      </c>
      <c r="AN30" s="10" t="n">
        <f aca="false">SUM(SUMIFS(Cascade!$BE:$BE,Cascade!$B:$B,$B30,Cascade!$C:$C,{"15-24","25-34","35-49","50+"},Cascade!$D:$D,"Female"))</f>
        <v>0</v>
      </c>
      <c r="AO30" s="10" t="n">
        <f aca="false">SUM(SUMIFS(Cascade!$BE:$BE,Cascade!$B:$B,$B30,Cascade!$C:$C,{"15-24","25-34","35-49","50+"},Cascade!$D:$D,"Male"))</f>
        <v>0</v>
      </c>
      <c r="AP30" s="10" t="str">
        <f aca="false">_xlfn.IFNA(INDEX(KP!$AF:$AF,MATCH(($B30&amp;"|"&amp;AP$3),KP!$D:$D,0)),"")</f>
        <v/>
      </c>
      <c r="AQ30" s="10" t="str">
        <f aca="false">_xlfn.IFNA(INDEX(KP!$AF:$AF,MATCH(($B30&amp;"|"&amp;AQ$3),KP!$D:$D,0)),"")</f>
        <v/>
      </c>
      <c r="AR30" s="10" t="n">
        <f aca="false">_xlfn.IFNA(INDEX(KP!$AF:$AF,MATCH(($B30&amp;"|"&amp;AR$3),KP!$D:$D,0)),"")</f>
        <v>8</v>
      </c>
      <c r="AS30" s="10" t="str">
        <f aca="false">_xlfn.IFNA(INDEX(KP!$AF:$AF,MATCH(($B30&amp;"|"&amp;AS$3),KP!$D:$D,0)),"")</f>
        <v/>
      </c>
      <c r="AT30" s="10" t="str">
        <f aca="false">_xlfn.IFNA(INDEX(KP!$AF:$AF,MATCH(($B30&amp;"|"&amp;AT$3),KP!$D:$D,0)),"")</f>
        <v/>
      </c>
      <c r="AU30" s="10" t="n">
        <f aca="false">SUM(SUMIFS(HTS!$AM:$AM,HTS!$B:$B,$B30,HTS!$C:$C,{"15-24","25-34","35-49","50+"},HTS!$D:$D,"Female"))</f>
        <v>0</v>
      </c>
      <c r="AV30" s="10" t="n">
        <f aca="false">SUM(SUMIFS(HTS!$AM:$AM,HTS!$B:$B,$B30,HTS!$C:$C,{"15-24","25-34","35-49","50+"},HTS!$D:$D,"Male"))</f>
        <v>0</v>
      </c>
      <c r="AW30" s="10" t="str">
        <f aca="false">_xlfn.IFNA(INDEX(KP!$AK:$AK,MATCH(($B30&amp;"|"&amp;AW$3),KP!$D:$D,0)),"")</f>
        <v/>
      </c>
      <c r="AX30" s="10" t="str">
        <f aca="false">_xlfn.IFNA(INDEX(KP!$AK:$AK,MATCH(($B30&amp;"|"&amp;AX$3),KP!$D:$D,0)),"")</f>
        <v/>
      </c>
      <c r="AY30" s="10" t="str">
        <f aca="false">_xlfn.IFNA(INDEX(KP!$AK:$AK,MATCH(($B30&amp;"|"&amp;AY$3),KP!$D:$D,0)),"")</f>
        <v/>
      </c>
      <c r="AZ30" s="10" t="str">
        <f aca="false">_xlfn.IFNA(INDEX(KP!$AK:$AK,MATCH(($B30&amp;"|"&amp;AZ$3),KP!$D:$D,0)),"")</f>
        <v/>
      </c>
      <c r="BA30" s="10" t="str">
        <f aca="false">_xlfn.IFNA(INDEX(KP!$AK:$AK,MATCH(($B30&amp;"|"&amp;BA$3),KP!$D:$D,0)),"")</f>
        <v/>
      </c>
      <c r="BB30" s="10" t="n">
        <f aca="false">SUM(SUMIFS(HTS!$AT:$AT,HTS!$B:$B,$B30,HTS!$C:$C,{"15-24","25-34","35-49","50+"},HTS!$D:$D,"Female"))</f>
        <v>0</v>
      </c>
      <c r="BC30" s="10" t="n">
        <f aca="false">SUM(SUMIFS(HTS!$AT:$AT,HTS!$B:$B,$B30,HTS!$C:$C,{"15-24","25-34","35-49","50+"},HTS!$D:$D,"Male"))</f>
        <v>0</v>
      </c>
      <c r="BD30" s="10" t="str">
        <f aca="false">_xlfn.IFNA(INDEX(KP!$AL:$AL,MATCH(($B30&amp;"|"&amp;BD$3),KP!$D:$D,0)),"")</f>
        <v/>
      </c>
      <c r="BE30" s="10" t="str">
        <f aca="false">_xlfn.IFNA(INDEX(KP!$AL:$AL,MATCH(($B30&amp;"|"&amp;BE$3),KP!$D:$D,0)),"")</f>
        <v/>
      </c>
      <c r="BF30" s="10" t="str">
        <f aca="false">_xlfn.IFNA(INDEX(KP!$AL:$AL,MATCH(($B30&amp;"|"&amp;BF$3),KP!$D:$D,0)),"")</f>
        <v/>
      </c>
      <c r="BG30" s="10" t="str">
        <f aca="false">_xlfn.IFNA(INDEX(KP!$AL:$AL,MATCH(($B30&amp;"|"&amp;BG$3),KP!$D:$D,0)),"")</f>
        <v/>
      </c>
      <c r="BH30" s="10" t="str">
        <f aca="false">_xlfn.IFNA(INDEX(KP!$AL:$AL,MATCH(($B30&amp;"|"&amp;BH$3),KP!$D:$D,0)),"")</f>
        <v/>
      </c>
      <c r="BI30" s="10" t="n">
        <f aca="false">SUM(SUMIFS(HTS!$BA:$BA,HTS!$B:$B,$B30,HTS!$C:$C,{"15-24","25-34","35-49","50+"},HTS!$D:$D,"Female"))</f>
        <v>0</v>
      </c>
      <c r="BJ30" s="10" t="n">
        <f aca="false">SUM(SUMIFS(HTS!$BA:$BA,HTS!$B:$B,$B30,HTS!$C:$C,{"15-24","25-34","35-49","50+"},HTS!$D:$D,"Male"))</f>
        <v>0</v>
      </c>
      <c r="BK30" s="10" t="str">
        <f aca="false">_xlfn.IFNA(INDEX(KP!$AN:$AN,MATCH(($B30&amp;"|"&amp;BK$3),KP!$D:$D,0)),"")</f>
        <v/>
      </c>
      <c r="BL30" s="10" t="str">
        <f aca="false">_xlfn.IFNA(INDEX(KP!$AN:$AN,MATCH(($B30&amp;"|"&amp;BL$3),KP!$D:$D,0)),"")</f>
        <v/>
      </c>
      <c r="BM30" s="10" t="str">
        <f aca="false">_xlfn.IFNA(INDEX(KP!$AN:$AN,MATCH(($B30&amp;"|"&amp;BM$3),KP!$D:$D,0)),"")</f>
        <v/>
      </c>
      <c r="BN30" s="10" t="str">
        <f aca="false">_xlfn.IFNA(INDEX(KP!$AN:$AN,MATCH(($B30&amp;"|"&amp;BN$3),KP!$D:$D,0)),"")</f>
        <v/>
      </c>
      <c r="BO30" s="10" t="str">
        <f aca="false">_xlfn.IFNA(INDEX(KP!$AN:$AN,MATCH(($B30&amp;"|"&amp;BO$3),KP!$D:$D,0)),"")</f>
        <v/>
      </c>
      <c r="BP30" s="10" t="n">
        <f aca="false">SUM(SUMIFS(HTS!$AY:$AY,HTS!$B:$B,$B30,HTS!$C:$C,{"15-24","25-34","35-49","50+"},HTS!$D:$D,"Female"))</f>
        <v>2</v>
      </c>
      <c r="BQ30" s="10" t="n">
        <f aca="false">SUM(SUMIFS(HTS!$AY:$AY,HTS!$B:$B,$B30,HTS!$C:$C,{"15-24","25-34","35-49","50+"},HTS!$D:$D,"Male"))</f>
        <v>9</v>
      </c>
      <c r="BR30" s="10" t="n">
        <f aca="false">_xlfn.IFNA(INDEX(KP!$AP:$AP,MATCH(($B30&amp;"|"&amp;BR$3),KP!$D:$D,0)),"")</f>
        <v>0</v>
      </c>
      <c r="BS30" s="10" t="n">
        <f aca="false">_xlfn.IFNA(INDEX(KP!$AP:$AP,MATCH(($B30&amp;"|"&amp;BS$3),KP!$D:$D,0)),"")</f>
        <v>0</v>
      </c>
      <c r="BT30" s="10" t="n">
        <f aca="false">_xlfn.IFNA(INDEX(KP!$AP:$AP,MATCH(($B30&amp;"|"&amp;BT$3),KP!$D:$D,0)),"")</f>
        <v>0</v>
      </c>
      <c r="BU30" s="10" t="n">
        <f aca="false">_xlfn.IFNA(INDEX(KP!$AP:$AP,MATCH(($B30&amp;"|"&amp;BU$3),KP!$D:$D,0)),"")</f>
        <v>0</v>
      </c>
      <c r="BV30" s="10" t="n">
        <f aca="false">_xlfn.IFNA(INDEX(KP!$AP:$AP,MATCH(($B30&amp;"|"&amp;BV$3),KP!$D:$D,0)),"")</f>
        <v>0</v>
      </c>
    </row>
    <row r="31" customFormat="false" ht="15" hidden="false" customHeight="false" outlineLevel="0" collapsed="false">
      <c r="A31" s="91" t="str">
        <f aca="false">INDEX(Prioritization!$D:$D,MATCH($B31,Prioritization!$A:$A,0))</f>
        <v>1 - Scale-up: Saturation</v>
      </c>
      <c r="B31" s="40" t="s">
        <v>210</v>
      </c>
      <c r="C31" s="10" t="n">
        <f aca="false">SUM(SUMIFS(PrEP!$O:$O,PrEP!$B:$B,$B31,PrEP!$C:$C,{"15-24","25-34","35-49","50+"},PrEP!$D:$D,"Female"))</f>
        <v>0</v>
      </c>
      <c r="D31" s="10" t="n">
        <f aca="false">SUM(SUMIFS(PrEP!$O:$O,PrEP!$B:$B,$B31,PrEP!$C:$C,{"15-24","25-34"},PrEP!$D:$D,"Female"))</f>
        <v>0</v>
      </c>
      <c r="E31" s="10" t="n">
        <f aca="false">SUM(SUMIFS(PrEP!$O:$O,PrEP!$B:$B,$B31,PrEP!$C:$C,{"15-24","25-34","35-49","50+"},PrEP!$D:$D,"Male"))</f>
        <v>0</v>
      </c>
      <c r="F31" s="10" t="n">
        <f aca="false">_xlfn.IFNA(INDEX(KP!$I:$I,MATCH(($B31&amp;"|"&amp;F$3),KP!$D:$D,0)),"")</f>
        <v>0</v>
      </c>
      <c r="G31" s="10" t="n">
        <f aca="false">_xlfn.IFNA(INDEX(KP!$I:$I,MATCH(($B31&amp;"|"&amp;G$3),KP!$D:$D,0)),"")</f>
        <v>0</v>
      </c>
      <c r="H31" s="10" t="n">
        <f aca="false">_xlfn.IFNA(INDEX(KP!$I:$I,MATCH(($B31&amp;"|"&amp;H$3),KP!$D:$D,0)),"")</f>
        <v>0</v>
      </c>
      <c r="I31" s="10" t="n">
        <f aca="false">_xlfn.IFNA(INDEX(KP!$I:$I,MATCH(($B31&amp;"|"&amp;I$3),KP!$D:$D,0)),"")</f>
        <v>0</v>
      </c>
      <c r="J31" s="10" t="n">
        <f aca="false">_xlfn.IFNA(INDEX(KP!$I:$I,MATCH(($B31&amp;"|"&amp;J$3),KP!$D:$D,0)),"")</f>
        <v>0</v>
      </c>
      <c r="K31" s="10" t="n">
        <f aca="false">SUM(SUMIFS(PrEP!$L:$L,PrEP!$B:$B,$B31,PrEP!$C:$C,{"15-24","25-34","35-49","50+"},PrEP!$D:$D,"Female"))</f>
        <v>0</v>
      </c>
      <c r="L31" s="10" t="n">
        <f aca="false">SUM(SUMIFS(PrEP!$L:$L,PrEP!$B:$B,$B31,PrEP!$C:$C,{"15-24","25-34"},PrEP!$D:$D,"Female"))</f>
        <v>0</v>
      </c>
      <c r="M31" s="10" t="n">
        <f aca="false">SUM(SUMIFS(PrEP!$L:$L,PrEP!$B:$B,$B31,PrEP!$C:$C,{"15-24","25-34","35-49","50+"},PrEP!$D:$D,"Male"))</f>
        <v>10</v>
      </c>
      <c r="N31" s="10" t="n">
        <f aca="false">_xlfn.IFNA(INDEX(KP!$K:$K,MATCH(($B31&amp;"|"&amp;N$3),KP!$D:$D,0)),"")</f>
        <v>0</v>
      </c>
      <c r="O31" s="10" t="n">
        <f aca="false">_xlfn.IFNA(INDEX(KP!$K:$K,MATCH(($B31&amp;"|"&amp;O$3),KP!$D:$D,0)),"")</f>
        <v>0</v>
      </c>
      <c r="P31" s="10" t="n">
        <f aca="false">_xlfn.IFNA(INDEX(KP!$K:$K,MATCH(($B31&amp;"|"&amp;P$3),KP!$D:$D,0)),"")</f>
        <v>0</v>
      </c>
      <c r="Q31" s="10" t="n">
        <f aca="false">_xlfn.IFNA(INDEX(KP!$K:$K,MATCH(($B31&amp;"|"&amp;Q$3),KP!$D:$D,0)),"")</f>
        <v>0</v>
      </c>
      <c r="R31" s="10" t="n">
        <f aca="false">_xlfn.IFNA(INDEX(KP!$K:$K,MATCH(($B31&amp;"|"&amp;R$3),KP!$D:$D,0)),"")</f>
        <v>0</v>
      </c>
      <c r="S31" s="10" t="n">
        <f aca="false">SUM(SUMIFS(Cascade!$AP:$AP,Cascade!$B:$B,$B31,Cascade!$C:$C,{"15-24","25-34","35-49","50+"},Cascade!$D:$D,"Female"))</f>
        <v>0</v>
      </c>
      <c r="T31" s="10" t="n">
        <f aca="false">SUM(SUMIFS(Cascade!$AP:$AP,Cascade!$B:$B,$B31,Cascade!$C:$C,{"15-24","25-34","35-49","50+"},Cascade!$D:$D,"Male"))</f>
        <v>0</v>
      </c>
      <c r="U31" s="10" t="n">
        <f aca="false">_xlfn.IFNA(INDEX(KP!$Q:$Q,MATCH(($B31&amp;"|"&amp;U$3),KP!$D:$D,0)),"")</f>
        <v>94</v>
      </c>
      <c r="V31" s="10" t="n">
        <f aca="false">_xlfn.IFNA(INDEX(KP!$Q:$Q,MATCH(($B31&amp;"|"&amp;V$3),KP!$D:$D,0)),"")</f>
        <v>9</v>
      </c>
      <c r="W31" s="10" t="str">
        <f aca="false">_xlfn.IFNA(INDEX(KP!$Q:$Q,MATCH(($B31&amp;"|"&amp;W$3),KP!$D:$D,0)),"")</f>
        <v/>
      </c>
      <c r="X31" s="10" t="str">
        <f aca="false">_xlfn.IFNA(INDEX(KP!$Q:$Q,MATCH(($B31&amp;"|"&amp;X$3),KP!$D:$D,0)),"")</f>
        <v/>
      </c>
      <c r="Y31" s="10" t="str">
        <f aca="false">_xlfn.IFNA(INDEX(KP!$Q:$Q,MATCH(($B31&amp;"|"&amp;Y$3),KP!$D:$D,0)),"")</f>
        <v/>
      </c>
      <c r="Z31" s="10" t="n">
        <f aca="false">SUM(SUMIFS(Cascade!$AX:$AX,Cascade!$B:$B,$B31,Cascade!$C:$C,{"15-24","25-34","35-49","50+"},Cascade!$D:$D,"Female"))</f>
        <v>0</v>
      </c>
      <c r="AA31" s="10" t="n">
        <f aca="false">SUM(SUMIFS(Cascade!$AX:$AX,Cascade!$B:$B,$B31,Cascade!$C:$C,{"15-24","25-34","35-49","50+"},Cascade!$D:$D,"Male"))</f>
        <v>0</v>
      </c>
      <c r="AB31" s="10" t="n">
        <f aca="false">_xlfn.IFNA(INDEX(KP!$Z:$Z,MATCH(($B31&amp;"|"&amp;AB$3),KP!$D:$D,0)),"")</f>
        <v>2</v>
      </c>
      <c r="AC31" s="10" t="str">
        <f aca="false">_xlfn.IFNA(INDEX(KP!$Z:$Z,MATCH(($B31&amp;"|"&amp;AC$3),KP!$D:$D,0)),"")</f>
        <v/>
      </c>
      <c r="AD31" s="10" t="str">
        <f aca="false">_xlfn.IFNA(INDEX(KP!$Z:$Z,MATCH(($B31&amp;"|"&amp;AD$3),KP!$D:$D,0)),"")</f>
        <v/>
      </c>
      <c r="AE31" s="10" t="str">
        <f aca="false">_xlfn.IFNA(INDEX(KP!$Z:$Z,MATCH(($B31&amp;"|"&amp;AE$3),KP!$D:$D,0)),"")</f>
        <v/>
      </c>
      <c r="AF31" s="10" t="str">
        <f aca="false">_xlfn.IFNA(INDEX(KP!$Z:$Z,MATCH(($B31&amp;"|"&amp;AF$3),KP!$D:$D,0)),"")</f>
        <v/>
      </c>
      <c r="AG31" s="10" t="n">
        <f aca="false">SUM(SUMIFS(Cascade!$BB:$BB,Cascade!$B:$B,$B31,Cascade!$C:$C,{"15-24","25-34","35-49","50+"},Cascade!$D:$D,"Female"))</f>
        <v>0</v>
      </c>
      <c r="AH31" s="10" t="n">
        <f aca="false">SUM(SUMIFS(Cascade!$BB:$BB,Cascade!$B:$B,$B31,Cascade!$C:$C,{"15-24","25-34","35-49","50+"},Cascade!$D:$D,"Male"))</f>
        <v>0</v>
      </c>
      <c r="AI31" s="10" t="n">
        <f aca="false">_xlfn.IFNA(INDEX(KP!$AD:$AD,MATCH(($B31&amp;"|"&amp;AI$3),KP!$D:$D,0)),"")</f>
        <v>90</v>
      </c>
      <c r="AJ31" s="10" t="n">
        <f aca="false">_xlfn.IFNA(INDEX(KP!$AD:$AD,MATCH(($B31&amp;"|"&amp;AJ$3),KP!$D:$D,0)),"")</f>
        <v>9</v>
      </c>
      <c r="AK31" s="10" t="str">
        <f aca="false">_xlfn.IFNA(INDEX(KP!$AD:$AD,MATCH(($B31&amp;"|"&amp;AK$3),KP!$D:$D,0)),"")</f>
        <v/>
      </c>
      <c r="AL31" s="10" t="str">
        <f aca="false">_xlfn.IFNA(INDEX(KP!$AD:$AD,MATCH(($B31&amp;"|"&amp;AL$3),KP!$D:$D,0)),"")</f>
        <v/>
      </c>
      <c r="AM31" s="10" t="str">
        <f aca="false">_xlfn.IFNA(INDEX(KP!$AD:$AD,MATCH(($B31&amp;"|"&amp;AM$3),KP!$D:$D,0)),"")</f>
        <v/>
      </c>
      <c r="AN31" s="10" t="n">
        <f aca="false">SUM(SUMIFS(Cascade!$BE:$BE,Cascade!$B:$B,$B31,Cascade!$C:$C,{"15-24","25-34","35-49","50+"},Cascade!$D:$D,"Female"))</f>
        <v>0</v>
      </c>
      <c r="AO31" s="10" t="n">
        <f aca="false">SUM(SUMIFS(Cascade!$BE:$BE,Cascade!$B:$B,$B31,Cascade!$C:$C,{"15-24","25-34","35-49","50+"},Cascade!$D:$D,"Male"))</f>
        <v>0</v>
      </c>
      <c r="AP31" s="10" t="n">
        <f aca="false">_xlfn.IFNA(INDEX(KP!$AF:$AF,MATCH(($B31&amp;"|"&amp;AP$3),KP!$D:$D,0)),"")</f>
        <v>86</v>
      </c>
      <c r="AQ31" s="10" t="n">
        <f aca="false">_xlfn.IFNA(INDEX(KP!$AF:$AF,MATCH(($B31&amp;"|"&amp;AQ$3),KP!$D:$D,0)),"")</f>
        <v>9</v>
      </c>
      <c r="AR31" s="10" t="str">
        <f aca="false">_xlfn.IFNA(INDEX(KP!$AF:$AF,MATCH(($B31&amp;"|"&amp;AR$3),KP!$D:$D,0)),"")</f>
        <v/>
      </c>
      <c r="AS31" s="10" t="str">
        <f aca="false">_xlfn.IFNA(INDEX(KP!$AF:$AF,MATCH(($B31&amp;"|"&amp;AS$3),KP!$D:$D,0)),"")</f>
        <v/>
      </c>
      <c r="AT31" s="10" t="str">
        <f aca="false">_xlfn.IFNA(INDEX(KP!$AF:$AF,MATCH(($B31&amp;"|"&amp;AT$3),KP!$D:$D,0)),"")</f>
        <v/>
      </c>
      <c r="AU31" s="10" t="n">
        <f aca="false">SUM(SUMIFS(HTS!$AM:$AM,HTS!$B:$B,$B31,HTS!$C:$C,{"15-24","25-34","35-49","50+"},HTS!$D:$D,"Female"))</f>
        <v>0</v>
      </c>
      <c r="AV31" s="10" t="n">
        <f aca="false">SUM(SUMIFS(HTS!$AM:$AM,HTS!$B:$B,$B31,HTS!$C:$C,{"15-24","25-34","35-49","50+"},HTS!$D:$D,"Male"))</f>
        <v>0</v>
      </c>
      <c r="AW31" s="10" t="n">
        <f aca="false">_xlfn.IFNA(INDEX(KP!$AK:$AK,MATCH(($B31&amp;"|"&amp;AW$3),KP!$D:$D,0)),"")</f>
        <v>2</v>
      </c>
      <c r="AX31" s="10" t="str">
        <f aca="false">_xlfn.IFNA(INDEX(KP!$AK:$AK,MATCH(($B31&amp;"|"&amp;AX$3),KP!$D:$D,0)),"")</f>
        <v/>
      </c>
      <c r="AY31" s="10" t="str">
        <f aca="false">_xlfn.IFNA(INDEX(KP!$AK:$AK,MATCH(($B31&amp;"|"&amp;AY$3),KP!$D:$D,0)),"")</f>
        <v/>
      </c>
      <c r="AZ31" s="10" t="str">
        <f aca="false">_xlfn.IFNA(INDEX(KP!$AK:$AK,MATCH(($B31&amp;"|"&amp;AZ$3),KP!$D:$D,0)),"")</f>
        <v/>
      </c>
      <c r="BA31" s="10" t="str">
        <f aca="false">_xlfn.IFNA(INDEX(KP!$AK:$AK,MATCH(($B31&amp;"|"&amp;BA$3),KP!$D:$D,0)),"")</f>
        <v/>
      </c>
      <c r="BB31" s="10" t="n">
        <f aca="false">SUM(SUMIFS(HTS!$AT:$AT,HTS!$B:$B,$B31,HTS!$C:$C,{"15-24","25-34","35-49","50+"},HTS!$D:$D,"Female"))</f>
        <v>0</v>
      </c>
      <c r="BC31" s="10" t="n">
        <f aca="false">SUM(SUMIFS(HTS!$AT:$AT,HTS!$B:$B,$B31,HTS!$C:$C,{"15-24","25-34","35-49","50+"},HTS!$D:$D,"Male"))</f>
        <v>0</v>
      </c>
      <c r="BD31" s="10" t="str">
        <f aca="false">_xlfn.IFNA(INDEX(KP!$AL:$AL,MATCH(($B31&amp;"|"&amp;BD$3),KP!$D:$D,0)),"")</f>
        <v>ENTER YIELD RATE</v>
      </c>
      <c r="BE31" s="10" t="str">
        <f aca="false">_xlfn.IFNA(INDEX(KP!$AL:$AL,MATCH(($B31&amp;"|"&amp;BE$3),KP!$D:$D,0)),"")</f>
        <v/>
      </c>
      <c r="BF31" s="10" t="str">
        <f aca="false">_xlfn.IFNA(INDEX(KP!$AL:$AL,MATCH(($B31&amp;"|"&amp;BF$3),KP!$D:$D,0)),"")</f>
        <v/>
      </c>
      <c r="BG31" s="10" t="str">
        <f aca="false">_xlfn.IFNA(INDEX(KP!$AL:$AL,MATCH(($B31&amp;"|"&amp;BG$3),KP!$D:$D,0)),"")</f>
        <v/>
      </c>
      <c r="BH31" s="10" t="str">
        <f aca="false">_xlfn.IFNA(INDEX(KP!$AL:$AL,MATCH(($B31&amp;"|"&amp;BH$3),KP!$D:$D,0)),"")</f>
        <v/>
      </c>
      <c r="BI31" s="10" t="n">
        <f aca="false">SUM(SUMIFS(HTS!$BA:$BA,HTS!$B:$B,$B31,HTS!$C:$C,{"15-24","25-34","35-49","50+"},HTS!$D:$D,"Female"))</f>
        <v>0</v>
      </c>
      <c r="BJ31" s="10" t="n">
        <f aca="false">SUM(SUMIFS(HTS!$BA:$BA,HTS!$B:$B,$B31,HTS!$C:$C,{"15-24","25-34","35-49","50+"},HTS!$D:$D,"Male"))</f>
        <v>0</v>
      </c>
      <c r="BK31" s="10" t="n">
        <f aca="false">_xlfn.IFNA(INDEX(KP!$AN:$AN,MATCH(($B31&amp;"|"&amp;BK$3),KP!$D:$D,0)),"")</f>
        <v>2</v>
      </c>
      <c r="BL31" s="10" t="str">
        <f aca="false">_xlfn.IFNA(INDEX(KP!$AN:$AN,MATCH(($B31&amp;"|"&amp;BL$3),KP!$D:$D,0)),"")</f>
        <v/>
      </c>
      <c r="BM31" s="10" t="str">
        <f aca="false">_xlfn.IFNA(INDEX(KP!$AN:$AN,MATCH(($B31&amp;"|"&amp;BM$3),KP!$D:$D,0)),"")</f>
        <v/>
      </c>
      <c r="BN31" s="10" t="str">
        <f aca="false">_xlfn.IFNA(INDEX(KP!$AN:$AN,MATCH(($B31&amp;"|"&amp;BN$3),KP!$D:$D,0)),"")</f>
        <v/>
      </c>
      <c r="BO31" s="10" t="str">
        <f aca="false">_xlfn.IFNA(INDEX(KP!$AN:$AN,MATCH(($B31&amp;"|"&amp;BO$3),KP!$D:$D,0)),"")</f>
        <v/>
      </c>
      <c r="BP31" s="10" t="n">
        <f aca="false">SUM(SUMIFS(HTS!$AY:$AY,HTS!$B:$B,$B31,HTS!$C:$C,{"15-24","25-34","35-49","50+"},HTS!$D:$D,"Female"))</f>
        <v>45</v>
      </c>
      <c r="BQ31" s="10" t="n">
        <f aca="false">SUM(SUMIFS(HTS!$AY:$AY,HTS!$B:$B,$B31,HTS!$C:$C,{"15-24","25-34","35-49","50+"},HTS!$D:$D,"Male"))</f>
        <v>72</v>
      </c>
      <c r="BR31" s="10" t="n">
        <f aca="false">_xlfn.IFNA(INDEX(KP!$AP:$AP,MATCH(($B31&amp;"|"&amp;BR$3),KP!$D:$D,0)),"")</f>
        <v>0</v>
      </c>
      <c r="BS31" s="10" t="n">
        <f aca="false">_xlfn.IFNA(INDEX(KP!$AP:$AP,MATCH(($B31&amp;"|"&amp;BS$3),KP!$D:$D,0)),"")</f>
        <v>0</v>
      </c>
      <c r="BT31" s="10" t="n">
        <f aca="false">_xlfn.IFNA(INDEX(KP!$AP:$AP,MATCH(($B31&amp;"|"&amp;BT$3),KP!$D:$D,0)),"")</f>
        <v>0</v>
      </c>
      <c r="BU31" s="10" t="n">
        <f aca="false">_xlfn.IFNA(INDEX(KP!$AP:$AP,MATCH(($B31&amp;"|"&amp;BU$3),KP!$D:$D,0)),"")</f>
        <v>0</v>
      </c>
      <c r="BV31" s="10" t="n">
        <f aca="false">_xlfn.IFNA(INDEX(KP!$AP:$AP,MATCH(($B31&amp;"|"&amp;BV$3),KP!$D:$D,0)),"")</f>
        <v>0</v>
      </c>
    </row>
    <row r="32" customFormat="false" ht="15" hidden="false" customHeight="false" outlineLevel="0" collapsed="false">
      <c r="A32" s="91" t="str">
        <f aca="false">INDEX(Prioritization!$D:$D,MATCH($B32,Prioritization!$A:$A,0))</f>
        <v>1 - Scale-up: Saturation</v>
      </c>
      <c r="B32" s="40" t="s">
        <v>211</v>
      </c>
      <c r="C32" s="10" t="n">
        <f aca="false">SUM(SUMIFS(PrEP!$O:$O,PrEP!$B:$B,$B32,PrEP!$C:$C,{"15-24","25-34","35-49","50+"},PrEP!$D:$D,"Female"))</f>
        <v>0</v>
      </c>
      <c r="D32" s="10" t="n">
        <f aca="false">SUM(SUMIFS(PrEP!$O:$O,PrEP!$B:$B,$B32,PrEP!$C:$C,{"15-24","25-34"},PrEP!$D:$D,"Female"))</f>
        <v>0</v>
      </c>
      <c r="E32" s="10" t="n">
        <f aca="false">SUM(SUMIFS(PrEP!$O:$O,PrEP!$B:$B,$B32,PrEP!$C:$C,{"15-24","25-34","35-49","50+"},PrEP!$D:$D,"Male"))</f>
        <v>0</v>
      </c>
      <c r="F32" s="10" t="n">
        <f aca="false">_xlfn.IFNA(INDEX(KP!$I:$I,MATCH(($B32&amp;"|"&amp;F$3),KP!$D:$D,0)),"")</f>
        <v>0</v>
      </c>
      <c r="G32" s="10" t="n">
        <f aca="false">_xlfn.IFNA(INDEX(KP!$I:$I,MATCH(($B32&amp;"|"&amp;G$3),KP!$D:$D,0)),"")</f>
        <v>0</v>
      </c>
      <c r="H32" s="10" t="n">
        <f aca="false">_xlfn.IFNA(INDEX(KP!$I:$I,MATCH(($B32&amp;"|"&amp;H$3),KP!$D:$D,0)),"")</f>
        <v>0</v>
      </c>
      <c r="I32" s="10" t="n">
        <f aca="false">_xlfn.IFNA(INDEX(KP!$I:$I,MATCH(($B32&amp;"|"&amp;I$3),KP!$D:$D,0)),"")</f>
        <v>0</v>
      </c>
      <c r="J32" s="10" t="n">
        <f aca="false">_xlfn.IFNA(INDEX(KP!$I:$I,MATCH(($B32&amp;"|"&amp;J$3),KP!$D:$D,0)),"")</f>
        <v>0</v>
      </c>
      <c r="K32" s="10" t="n">
        <f aca="false">SUM(SUMIFS(PrEP!$L:$L,PrEP!$B:$B,$B32,PrEP!$C:$C,{"15-24","25-34","35-49","50+"},PrEP!$D:$D,"Female"))</f>
        <v>1</v>
      </c>
      <c r="L32" s="10" t="n">
        <f aca="false">SUM(SUMIFS(PrEP!$L:$L,PrEP!$B:$B,$B32,PrEP!$C:$C,{"15-24","25-34"},PrEP!$D:$D,"Female"))</f>
        <v>0</v>
      </c>
      <c r="M32" s="10" t="n">
        <f aca="false">SUM(SUMIFS(PrEP!$L:$L,PrEP!$B:$B,$B32,PrEP!$C:$C,{"15-24","25-34","35-49","50+"},PrEP!$D:$D,"Male"))</f>
        <v>9</v>
      </c>
      <c r="N32" s="10" t="n">
        <f aca="false">_xlfn.IFNA(INDEX(KP!$K:$K,MATCH(($B32&amp;"|"&amp;N$3),KP!$D:$D,0)),"")</f>
        <v>0</v>
      </c>
      <c r="O32" s="10" t="n">
        <f aca="false">_xlfn.IFNA(INDEX(KP!$K:$K,MATCH(($B32&amp;"|"&amp;O$3),KP!$D:$D,0)),"")</f>
        <v>0</v>
      </c>
      <c r="P32" s="10" t="n">
        <f aca="false">_xlfn.IFNA(INDEX(KP!$K:$K,MATCH(($B32&amp;"|"&amp;P$3),KP!$D:$D,0)),"")</f>
        <v>0</v>
      </c>
      <c r="Q32" s="10" t="n">
        <f aca="false">_xlfn.IFNA(INDEX(KP!$K:$K,MATCH(($B32&amp;"|"&amp;Q$3),KP!$D:$D,0)),"")</f>
        <v>0</v>
      </c>
      <c r="R32" s="10" t="n">
        <f aca="false">_xlfn.IFNA(INDEX(KP!$K:$K,MATCH(($B32&amp;"|"&amp;R$3),KP!$D:$D,0)),"")</f>
        <v>0</v>
      </c>
      <c r="S32" s="10" t="n">
        <f aca="false">SUM(SUMIFS(Cascade!$AP:$AP,Cascade!$B:$B,$B32,Cascade!$C:$C,{"15-24","25-34","35-49","50+"},Cascade!$D:$D,"Female"))</f>
        <v>0</v>
      </c>
      <c r="T32" s="10" t="n">
        <f aca="false">SUM(SUMIFS(Cascade!$AP:$AP,Cascade!$B:$B,$B32,Cascade!$C:$C,{"15-24","25-34","35-49","50+"},Cascade!$D:$D,"Male"))</f>
        <v>0</v>
      </c>
      <c r="U32" s="10" t="n">
        <f aca="false">_xlfn.IFNA(INDEX(KP!$Q:$Q,MATCH(($B32&amp;"|"&amp;U$3),KP!$D:$D,0)),"")</f>
        <v>47</v>
      </c>
      <c r="V32" s="10" t="n">
        <f aca="false">_xlfn.IFNA(INDEX(KP!$Q:$Q,MATCH(($B32&amp;"|"&amp;V$3),KP!$D:$D,0)),"")</f>
        <v>24</v>
      </c>
      <c r="W32" s="10" t="n">
        <f aca="false">_xlfn.IFNA(INDEX(KP!$Q:$Q,MATCH(($B32&amp;"|"&amp;W$3),KP!$D:$D,0)),"")</f>
        <v>79</v>
      </c>
      <c r="X32" s="10" t="str">
        <f aca="false">_xlfn.IFNA(INDEX(KP!$Q:$Q,MATCH(($B32&amp;"|"&amp;X$3),KP!$D:$D,0)),"")</f>
        <v/>
      </c>
      <c r="Y32" s="10" t="n">
        <f aca="false">_xlfn.IFNA(INDEX(KP!$Q:$Q,MATCH(($B32&amp;"|"&amp;Y$3),KP!$D:$D,0)),"")</f>
        <v>6</v>
      </c>
      <c r="Z32" s="10" t="n">
        <f aca="false">SUM(SUMIFS(Cascade!$AX:$AX,Cascade!$B:$B,$B32,Cascade!$C:$C,{"15-24","25-34","35-49","50+"},Cascade!$D:$D,"Female"))</f>
        <v>0</v>
      </c>
      <c r="AA32" s="10" t="n">
        <f aca="false">SUM(SUMIFS(Cascade!$AX:$AX,Cascade!$B:$B,$B32,Cascade!$C:$C,{"15-24","25-34","35-49","50+"},Cascade!$D:$D,"Male"))</f>
        <v>0</v>
      </c>
      <c r="AB32" s="10" t="n">
        <f aca="false">_xlfn.IFNA(INDEX(KP!$Z:$Z,MATCH(($B32&amp;"|"&amp;AB$3),KP!$D:$D,0)),"")</f>
        <v>1</v>
      </c>
      <c r="AC32" s="10" t="str">
        <f aca="false">_xlfn.IFNA(INDEX(KP!$Z:$Z,MATCH(($B32&amp;"|"&amp;AC$3),KP!$D:$D,0)),"")</f>
        <v/>
      </c>
      <c r="AD32" s="10" t="n">
        <f aca="false">_xlfn.IFNA(INDEX(KP!$Z:$Z,MATCH(($B32&amp;"|"&amp;AD$3),KP!$D:$D,0)),"")</f>
        <v>2</v>
      </c>
      <c r="AE32" s="10" t="str">
        <f aca="false">_xlfn.IFNA(INDEX(KP!$Z:$Z,MATCH(($B32&amp;"|"&amp;AE$3),KP!$D:$D,0)),"")</f>
        <v/>
      </c>
      <c r="AF32" s="10" t="str">
        <f aca="false">_xlfn.IFNA(INDEX(KP!$Z:$Z,MATCH(($B32&amp;"|"&amp;AF$3),KP!$D:$D,0)),"")</f>
        <v/>
      </c>
      <c r="AG32" s="10" t="n">
        <f aca="false">SUM(SUMIFS(Cascade!$BB:$BB,Cascade!$B:$B,$B32,Cascade!$C:$C,{"15-24","25-34","35-49","50+"},Cascade!$D:$D,"Female"))</f>
        <v>0</v>
      </c>
      <c r="AH32" s="10" t="n">
        <f aca="false">SUM(SUMIFS(Cascade!$BB:$BB,Cascade!$B:$B,$B32,Cascade!$C:$C,{"15-24","25-34","35-49","50+"},Cascade!$D:$D,"Male"))</f>
        <v>0</v>
      </c>
      <c r="AI32" s="10" t="n">
        <f aca="false">_xlfn.IFNA(INDEX(KP!$AD:$AD,MATCH(($B32&amp;"|"&amp;AI$3),KP!$D:$D,0)),"")</f>
        <v>46</v>
      </c>
      <c r="AJ32" s="10" t="n">
        <f aca="false">_xlfn.IFNA(INDEX(KP!$AD:$AD,MATCH(($B32&amp;"|"&amp;AJ$3),KP!$D:$D,0)),"")</f>
        <v>23</v>
      </c>
      <c r="AK32" s="10" t="n">
        <f aca="false">_xlfn.IFNA(INDEX(KP!$AD:$AD,MATCH(($B32&amp;"|"&amp;AK$3),KP!$D:$D,0)),"")</f>
        <v>76</v>
      </c>
      <c r="AL32" s="10" t="str">
        <f aca="false">_xlfn.IFNA(INDEX(KP!$AD:$AD,MATCH(($B32&amp;"|"&amp;AL$3),KP!$D:$D,0)),"")</f>
        <v/>
      </c>
      <c r="AM32" s="10" t="n">
        <f aca="false">_xlfn.IFNA(INDEX(KP!$AD:$AD,MATCH(($B32&amp;"|"&amp;AM$3),KP!$D:$D,0)),"")</f>
        <v>6</v>
      </c>
      <c r="AN32" s="10" t="n">
        <f aca="false">SUM(SUMIFS(Cascade!$BE:$BE,Cascade!$B:$B,$B32,Cascade!$C:$C,{"15-24","25-34","35-49","50+"},Cascade!$D:$D,"Female"))</f>
        <v>0</v>
      </c>
      <c r="AO32" s="10" t="n">
        <f aca="false">SUM(SUMIFS(Cascade!$BE:$BE,Cascade!$B:$B,$B32,Cascade!$C:$C,{"15-24","25-34","35-49","50+"},Cascade!$D:$D,"Male"))</f>
        <v>0</v>
      </c>
      <c r="AP32" s="10" t="n">
        <f aca="false">_xlfn.IFNA(INDEX(KP!$AF:$AF,MATCH(($B32&amp;"|"&amp;AP$3),KP!$D:$D,0)),"")</f>
        <v>44</v>
      </c>
      <c r="AQ32" s="10" t="n">
        <f aca="false">_xlfn.IFNA(INDEX(KP!$AF:$AF,MATCH(($B32&amp;"|"&amp;AQ$3),KP!$D:$D,0)),"")</f>
        <v>22</v>
      </c>
      <c r="AR32" s="10" t="n">
        <f aca="false">_xlfn.IFNA(INDEX(KP!$AF:$AF,MATCH(($B32&amp;"|"&amp;AR$3),KP!$D:$D,0)),"")</f>
        <v>72</v>
      </c>
      <c r="AS32" s="10" t="str">
        <f aca="false">_xlfn.IFNA(INDEX(KP!$AF:$AF,MATCH(($B32&amp;"|"&amp;AS$3),KP!$D:$D,0)),"")</f>
        <v/>
      </c>
      <c r="AT32" s="10" t="n">
        <f aca="false">_xlfn.IFNA(INDEX(KP!$AF:$AF,MATCH(($B32&amp;"|"&amp;AT$3),KP!$D:$D,0)),"")</f>
        <v>6</v>
      </c>
      <c r="AU32" s="10" t="n">
        <f aca="false">SUM(SUMIFS(HTS!$AM:$AM,HTS!$B:$B,$B32,HTS!$C:$C,{"15-24","25-34","35-49","50+"},HTS!$D:$D,"Female"))</f>
        <v>0</v>
      </c>
      <c r="AV32" s="10" t="n">
        <f aca="false">SUM(SUMIFS(HTS!$AM:$AM,HTS!$B:$B,$B32,HTS!$C:$C,{"15-24","25-34","35-49","50+"},HTS!$D:$D,"Male"))</f>
        <v>0</v>
      </c>
      <c r="AW32" s="10" t="n">
        <f aca="false">_xlfn.IFNA(INDEX(KP!$AK:$AK,MATCH(($B32&amp;"|"&amp;AW$3),KP!$D:$D,0)),"")</f>
        <v>1</v>
      </c>
      <c r="AX32" s="10" t="str">
        <f aca="false">_xlfn.IFNA(INDEX(KP!$AK:$AK,MATCH(($B32&amp;"|"&amp;AX$3),KP!$D:$D,0)),"")</f>
        <v/>
      </c>
      <c r="AY32" s="10" t="n">
        <f aca="false">_xlfn.IFNA(INDEX(KP!$AK:$AK,MATCH(($B32&amp;"|"&amp;AY$3),KP!$D:$D,0)),"")</f>
        <v>2</v>
      </c>
      <c r="AZ32" s="10" t="str">
        <f aca="false">_xlfn.IFNA(INDEX(KP!$AK:$AK,MATCH(($B32&amp;"|"&amp;AZ$3),KP!$D:$D,0)),"")</f>
        <v/>
      </c>
      <c r="BA32" s="10" t="str">
        <f aca="false">_xlfn.IFNA(INDEX(KP!$AK:$AK,MATCH(($B32&amp;"|"&amp;BA$3),KP!$D:$D,0)),"")</f>
        <v/>
      </c>
      <c r="BB32" s="10" t="n">
        <f aca="false">SUM(SUMIFS(HTS!$AT:$AT,HTS!$B:$B,$B32,HTS!$C:$C,{"15-24","25-34","35-49","50+"},HTS!$D:$D,"Female"))</f>
        <v>0</v>
      </c>
      <c r="BC32" s="10" t="n">
        <f aca="false">SUM(SUMIFS(HTS!$AT:$AT,HTS!$B:$B,$B32,HTS!$C:$C,{"15-24","25-34","35-49","50+"},HTS!$D:$D,"Male"))</f>
        <v>0</v>
      </c>
      <c r="BD32" s="10" t="str">
        <f aca="false">_xlfn.IFNA(INDEX(KP!$AL:$AL,MATCH(($B32&amp;"|"&amp;BD$3),KP!$D:$D,0)),"")</f>
        <v>ENTER YIELD RATE</v>
      </c>
      <c r="BE32" s="10" t="str">
        <f aca="false">_xlfn.IFNA(INDEX(KP!$AL:$AL,MATCH(($B32&amp;"|"&amp;BE$3),KP!$D:$D,0)),"")</f>
        <v/>
      </c>
      <c r="BF32" s="10" t="str">
        <f aca="false">_xlfn.IFNA(INDEX(KP!$AL:$AL,MATCH(($B32&amp;"|"&amp;BF$3),KP!$D:$D,0)),"")</f>
        <v>ENTER YIELD RATE</v>
      </c>
      <c r="BG32" s="10" t="str">
        <f aca="false">_xlfn.IFNA(INDEX(KP!$AL:$AL,MATCH(($B32&amp;"|"&amp;BG$3),KP!$D:$D,0)),"")</f>
        <v/>
      </c>
      <c r="BH32" s="10" t="str">
        <f aca="false">_xlfn.IFNA(INDEX(KP!$AL:$AL,MATCH(($B32&amp;"|"&amp;BH$3),KP!$D:$D,0)),"")</f>
        <v/>
      </c>
      <c r="BI32" s="10" t="n">
        <f aca="false">SUM(SUMIFS(HTS!$BA:$BA,HTS!$B:$B,$B32,HTS!$C:$C,{"15-24","25-34","35-49","50+"},HTS!$D:$D,"Female"))</f>
        <v>0</v>
      </c>
      <c r="BJ32" s="10" t="n">
        <f aca="false">SUM(SUMIFS(HTS!$BA:$BA,HTS!$B:$B,$B32,HTS!$C:$C,{"15-24","25-34","35-49","50+"},HTS!$D:$D,"Male"))</f>
        <v>0</v>
      </c>
      <c r="BK32" s="10" t="n">
        <f aca="false">_xlfn.IFNA(INDEX(KP!$AN:$AN,MATCH(($B32&amp;"|"&amp;BK$3),KP!$D:$D,0)),"")</f>
        <v>1</v>
      </c>
      <c r="BL32" s="10" t="str">
        <f aca="false">_xlfn.IFNA(INDEX(KP!$AN:$AN,MATCH(($B32&amp;"|"&amp;BL$3),KP!$D:$D,0)),"")</f>
        <v/>
      </c>
      <c r="BM32" s="10" t="n">
        <f aca="false">_xlfn.IFNA(INDEX(KP!$AN:$AN,MATCH(($B32&amp;"|"&amp;BM$3),KP!$D:$D,0)),"")</f>
        <v>2</v>
      </c>
      <c r="BN32" s="10" t="str">
        <f aca="false">_xlfn.IFNA(INDEX(KP!$AN:$AN,MATCH(($B32&amp;"|"&amp;BN$3),KP!$D:$D,0)),"")</f>
        <v/>
      </c>
      <c r="BO32" s="10" t="str">
        <f aca="false">_xlfn.IFNA(INDEX(KP!$AN:$AN,MATCH(($B32&amp;"|"&amp;BO$3),KP!$D:$D,0)),"")</f>
        <v/>
      </c>
      <c r="BP32" s="10" t="n">
        <f aca="false">SUM(SUMIFS(HTS!$AY:$AY,HTS!$B:$B,$B32,HTS!$C:$C,{"15-24","25-34","35-49","50+"},HTS!$D:$D,"Female"))</f>
        <v>945</v>
      </c>
      <c r="BQ32" s="10" t="n">
        <f aca="false">SUM(SUMIFS(HTS!$AY:$AY,HTS!$B:$B,$B32,HTS!$C:$C,{"15-24","25-34","35-49","50+"},HTS!$D:$D,"Male"))</f>
        <v>513</v>
      </c>
      <c r="BR32" s="10" t="n">
        <f aca="false">_xlfn.IFNA(INDEX(KP!$AP:$AP,MATCH(($B32&amp;"|"&amp;BR$3),KP!$D:$D,0)),"")</f>
        <v>0</v>
      </c>
      <c r="BS32" s="10" t="n">
        <f aca="false">_xlfn.IFNA(INDEX(KP!$AP:$AP,MATCH(($B32&amp;"|"&amp;BS$3),KP!$D:$D,0)),"")</f>
        <v>0</v>
      </c>
      <c r="BT32" s="10" t="n">
        <f aca="false">_xlfn.IFNA(INDEX(KP!$AP:$AP,MATCH(($B32&amp;"|"&amp;BT$3),KP!$D:$D,0)),"")</f>
        <v>0</v>
      </c>
      <c r="BU32" s="10" t="n">
        <f aca="false">_xlfn.IFNA(INDEX(KP!$AP:$AP,MATCH(($B32&amp;"|"&amp;BU$3),KP!$D:$D,0)),"")</f>
        <v>0</v>
      </c>
      <c r="BV32" s="10" t="n">
        <f aca="false">_xlfn.IFNA(INDEX(KP!$AP:$AP,MATCH(($B32&amp;"|"&amp;BV$3),KP!$D:$D,0)),"")</f>
        <v>0</v>
      </c>
    </row>
    <row r="33" customFormat="false" ht="15" hidden="false" customHeight="false" outlineLevel="0" collapsed="false">
      <c r="A33" s="91" t="str">
        <f aca="false">INDEX(Prioritization!$D:$D,MATCH($B33,Prioritization!$A:$A,0))</f>
        <v>1 - Scale-up: Saturation</v>
      </c>
      <c r="B33" s="40" t="s">
        <v>212</v>
      </c>
      <c r="C33" s="10" t="n">
        <f aca="false">SUM(SUMIFS(PrEP!$O:$O,PrEP!$B:$B,$B33,PrEP!$C:$C,{"15-24","25-34","35-49","50+"},PrEP!$D:$D,"Female"))</f>
        <v>0</v>
      </c>
      <c r="D33" s="10" t="n">
        <f aca="false">SUM(SUMIFS(PrEP!$O:$O,PrEP!$B:$B,$B33,PrEP!$C:$C,{"15-24","25-34"},PrEP!$D:$D,"Female"))</f>
        <v>0</v>
      </c>
      <c r="E33" s="10" t="n">
        <f aca="false">SUM(SUMIFS(PrEP!$O:$O,PrEP!$B:$B,$B33,PrEP!$C:$C,{"15-24","25-34","35-49","50+"},PrEP!$D:$D,"Male"))</f>
        <v>0</v>
      </c>
      <c r="F33" s="10" t="n">
        <f aca="false">_xlfn.IFNA(INDEX(KP!$I:$I,MATCH(($B33&amp;"|"&amp;F$3),KP!$D:$D,0)),"")</f>
        <v>0</v>
      </c>
      <c r="G33" s="10" t="n">
        <f aca="false">_xlfn.IFNA(INDEX(KP!$I:$I,MATCH(($B33&amp;"|"&amp;G$3),KP!$D:$D,0)),"")</f>
        <v>0</v>
      </c>
      <c r="H33" s="10" t="n">
        <f aca="false">_xlfn.IFNA(INDEX(KP!$I:$I,MATCH(($B33&amp;"|"&amp;H$3),KP!$D:$D,0)),"")</f>
        <v>0</v>
      </c>
      <c r="I33" s="10" t="n">
        <f aca="false">_xlfn.IFNA(INDEX(KP!$I:$I,MATCH(($B33&amp;"|"&amp;I$3),KP!$D:$D,0)),"")</f>
        <v>0</v>
      </c>
      <c r="J33" s="10" t="n">
        <f aca="false">_xlfn.IFNA(INDEX(KP!$I:$I,MATCH(($B33&amp;"|"&amp;J$3),KP!$D:$D,0)),"")</f>
        <v>0</v>
      </c>
      <c r="K33" s="10" t="n">
        <f aca="false">SUM(SUMIFS(PrEP!$L:$L,PrEP!$B:$B,$B33,PrEP!$C:$C,{"15-24","25-34","35-49","50+"},PrEP!$D:$D,"Female"))</f>
        <v>9</v>
      </c>
      <c r="L33" s="10" t="n">
        <f aca="false">SUM(SUMIFS(PrEP!$L:$L,PrEP!$B:$B,$B33,PrEP!$C:$C,{"15-24","25-34"},PrEP!$D:$D,"Female"))</f>
        <v>0</v>
      </c>
      <c r="M33" s="10" t="n">
        <f aca="false">SUM(SUMIFS(PrEP!$L:$L,PrEP!$B:$B,$B33,PrEP!$C:$C,{"15-24","25-34","35-49","50+"},PrEP!$D:$D,"Male"))</f>
        <v>3</v>
      </c>
      <c r="N33" s="10" t="n">
        <f aca="false">_xlfn.IFNA(INDEX(KP!$K:$K,MATCH(($B33&amp;"|"&amp;N$3),KP!$D:$D,0)),"")</f>
        <v>0</v>
      </c>
      <c r="O33" s="10" t="n">
        <f aca="false">_xlfn.IFNA(INDEX(KP!$K:$K,MATCH(($B33&amp;"|"&amp;O$3),KP!$D:$D,0)),"")</f>
        <v>0</v>
      </c>
      <c r="P33" s="10" t="n">
        <f aca="false">_xlfn.IFNA(INDEX(KP!$K:$K,MATCH(($B33&amp;"|"&amp;P$3),KP!$D:$D,0)),"")</f>
        <v>0</v>
      </c>
      <c r="Q33" s="10" t="n">
        <f aca="false">_xlfn.IFNA(INDEX(KP!$K:$K,MATCH(($B33&amp;"|"&amp;Q$3),KP!$D:$D,0)),"")</f>
        <v>0</v>
      </c>
      <c r="R33" s="10" t="n">
        <f aca="false">_xlfn.IFNA(INDEX(KP!$K:$K,MATCH(($B33&amp;"|"&amp;R$3),KP!$D:$D,0)),"")</f>
        <v>0</v>
      </c>
      <c r="S33" s="10" t="n">
        <f aca="false">SUM(SUMIFS(Cascade!$AP:$AP,Cascade!$B:$B,$B33,Cascade!$C:$C,{"15-24","25-34","35-49","50+"},Cascade!$D:$D,"Female"))</f>
        <v>0</v>
      </c>
      <c r="T33" s="10" t="n">
        <f aca="false">SUM(SUMIFS(Cascade!$AP:$AP,Cascade!$B:$B,$B33,Cascade!$C:$C,{"15-24","25-34","35-49","50+"},Cascade!$D:$D,"Male"))</f>
        <v>0</v>
      </c>
      <c r="U33" s="10" t="n">
        <f aca="false">_xlfn.IFNA(INDEX(KP!$Q:$Q,MATCH(($B33&amp;"|"&amp;U$3),KP!$D:$D,0)),"")</f>
        <v>86</v>
      </c>
      <c r="V33" s="10" t="n">
        <f aca="false">_xlfn.IFNA(INDEX(KP!$Q:$Q,MATCH(($B33&amp;"|"&amp;V$3),KP!$D:$D,0)),"")</f>
        <v>53</v>
      </c>
      <c r="W33" s="10" t="str">
        <f aca="false">_xlfn.IFNA(INDEX(KP!$Q:$Q,MATCH(($B33&amp;"|"&amp;W$3),KP!$D:$D,0)),"")</f>
        <v/>
      </c>
      <c r="X33" s="10" t="str">
        <f aca="false">_xlfn.IFNA(INDEX(KP!$Q:$Q,MATCH(($B33&amp;"|"&amp;X$3),KP!$D:$D,0)),"")</f>
        <v/>
      </c>
      <c r="Y33" s="10" t="str">
        <f aca="false">_xlfn.IFNA(INDEX(KP!$Q:$Q,MATCH(($B33&amp;"|"&amp;Y$3),KP!$D:$D,0)),"")</f>
        <v/>
      </c>
      <c r="Z33" s="10" t="n">
        <f aca="false">SUM(SUMIFS(Cascade!$AX:$AX,Cascade!$B:$B,$B33,Cascade!$C:$C,{"15-24","25-34","35-49","50+"},Cascade!$D:$D,"Female"))</f>
        <v>0</v>
      </c>
      <c r="AA33" s="10" t="n">
        <f aca="false">SUM(SUMIFS(Cascade!$AX:$AX,Cascade!$B:$B,$B33,Cascade!$C:$C,{"15-24","25-34","35-49","50+"},Cascade!$D:$D,"Male"))</f>
        <v>0</v>
      </c>
      <c r="AB33" s="10" t="n">
        <f aca="false">_xlfn.IFNA(INDEX(KP!$Z:$Z,MATCH(($B33&amp;"|"&amp;AB$3),KP!$D:$D,0)),"")</f>
        <v>2</v>
      </c>
      <c r="AC33" s="10" t="n">
        <f aca="false">_xlfn.IFNA(INDEX(KP!$Z:$Z,MATCH(($B33&amp;"|"&amp;AC$3),KP!$D:$D,0)),"")</f>
        <v>1</v>
      </c>
      <c r="AD33" s="10" t="str">
        <f aca="false">_xlfn.IFNA(INDEX(KP!$Z:$Z,MATCH(($B33&amp;"|"&amp;AD$3),KP!$D:$D,0)),"")</f>
        <v/>
      </c>
      <c r="AE33" s="10" t="str">
        <f aca="false">_xlfn.IFNA(INDEX(KP!$Z:$Z,MATCH(($B33&amp;"|"&amp;AE$3),KP!$D:$D,0)),"")</f>
        <v/>
      </c>
      <c r="AF33" s="10" t="str">
        <f aca="false">_xlfn.IFNA(INDEX(KP!$Z:$Z,MATCH(($B33&amp;"|"&amp;AF$3),KP!$D:$D,0)),"")</f>
        <v/>
      </c>
      <c r="AG33" s="10" t="n">
        <f aca="false">SUM(SUMIFS(Cascade!$BB:$BB,Cascade!$B:$B,$B33,Cascade!$C:$C,{"15-24","25-34","35-49","50+"},Cascade!$D:$D,"Female"))</f>
        <v>0</v>
      </c>
      <c r="AH33" s="10" t="n">
        <f aca="false">SUM(SUMIFS(Cascade!$BB:$BB,Cascade!$B:$B,$B33,Cascade!$C:$C,{"15-24","25-34","35-49","50+"},Cascade!$D:$D,"Male"))</f>
        <v>0</v>
      </c>
      <c r="AI33" s="10" t="n">
        <f aca="false">_xlfn.IFNA(INDEX(KP!$AD:$AD,MATCH(($B33&amp;"|"&amp;AI$3),KP!$D:$D,0)),"")</f>
        <v>83</v>
      </c>
      <c r="AJ33" s="10" t="n">
        <f aca="false">_xlfn.IFNA(INDEX(KP!$AD:$AD,MATCH(($B33&amp;"|"&amp;AJ$3),KP!$D:$D,0)),"")</f>
        <v>51</v>
      </c>
      <c r="AK33" s="10" t="str">
        <f aca="false">_xlfn.IFNA(INDEX(KP!$AD:$AD,MATCH(($B33&amp;"|"&amp;AK$3),KP!$D:$D,0)),"")</f>
        <v/>
      </c>
      <c r="AL33" s="10" t="str">
        <f aca="false">_xlfn.IFNA(INDEX(KP!$AD:$AD,MATCH(($B33&amp;"|"&amp;AL$3),KP!$D:$D,0)),"")</f>
        <v/>
      </c>
      <c r="AM33" s="10" t="str">
        <f aca="false">_xlfn.IFNA(INDEX(KP!$AD:$AD,MATCH(($B33&amp;"|"&amp;AM$3),KP!$D:$D,0)),"")</f>
        <v/>
      </c>
      <c r="AN33" s="10" t="n">
        <f aca="false">SUM(SUMIFS(Cascade!$BE:$BE,Cascade!$B:$B,$B33,Cascade!$C:$C,{"15-24","25-34","35-49","50+"},Cascade!$D:$D,"Female"))</f>
        <v>0</v>
      </c>
      <c r="AO33" s="10" t="n">
        <f aca="false">SUM(SUMIFS(Cascade!$BE:$BE,Cascade!$B:$B,$B33,Cascade!$C:$C,{"15-24","25-34","35-49","50+"},Cascade!$D:$D,"Male"))</f>
        <v>0</v>
      </c>
      <c r="AP33" s="10" t="n">
        <f aca="false">_xlfn.IFNA(INDEX(KP!$AF:$AF,MATCH(($B33&amp;"|"&amp;AP$3),KP!$D:$D,0)),"")</f>
        <v>79</v>
      </c>
      <c r="AQ33" s="10" t="n">
        <f aca="false">_xlfn.IFNA(INDEX(KP!$AF:$AF,MATCH(($B33&amp;"|"&amp;AQ$3),KP!$D:$D,0)),"")</f>
        <v>48</v>
      </c>
      <c r="AR33" s="10" t="str">
        <f aca="false">_xlfn.IFNA(INDEX(KP!$AF:$AF,MATCH(($B33&amp;"|"&amp;AR$3),KP!$D:$D,0)),"")</f>
        <v/>
      </c>
      <c r="AS33" s="10" t="str">
        <f aca="false">_xlfn.IFNA(INDEX(KP!$AF:$AF,MATCH(($B33&amp;"|"&amp;AS$3),KP!$D:$D,0)),"")</f>
        <v/>
      </c>
      <c r="AT33" s="10" t="str">
        <f aca="false">_xlfn.IFNA(INDEX(KP!$AF:$AF,MATCH(($B33&amp;"|"&amp;AT$3),KP!$D:$D,0)),"")</f>
        <v/>
      </c>
      <c r="AU33" s="10" t="n">
        <f aca="false">SUM(SUMIFS(HTS!$AM:$AM,HTS!$B:$B,$B33,HTS!$C:$C,{"15-24","25-34","35-49","50+"},HTS!$D:$D,"Female"))</f>
        <v>0</v>
      </c>
      <c r="AV33" s="10" t="n">
        <f aca="false">SUM(SUMIFS(HTS!$AM:$AM,HTS!$B:$B,$B33,HTS!$C:$C,{"15-24","25-34","35-49","50+"},HTS!$D:$D,"Male"))</f>
        <v>0</v>
      </c>
      <c r="AW33" s="10" t="n">
        <f aca="false">_xlfn.IFNA(INDEX(KP!$AK:$AK,MATCH(($B33&amp;"|"&amp;AW$3),KP!$D:$D,0)),"")</f>
        <v>2</v>
      </c>
      <c r="AX33" s="10" t="n">
        <f aca="false">_xlfn.IFNA(INDEX(KP!$AK:$AK,MATCH(($B33&amp;"|"&amp;AX$3),KP!$D:$D,0)),"")</f>
        <v>1</v>
      </c>
      <c r="AY33" s="10" t="str">
        <f aca="false">_xlfn.IFNA(INDEX(KP!$AK:$AK,MATCH(($B33&amp;"|"&amp;AY$3),KP!$D:$D,0)),"")</f>
        <v/>
      </c>
      <c r="AZ33" s="10" t="str">
        <f aca="false">_xlfn.IFNA(INDEX(KP!$AK:$AK,MATCH(($B33&amp;"|"&amp;AZ$3),KP!$D:$D,0)),"")</f>
        <v/>
      </c>
      <c r="BA33" s="10" t="str">
        <f aca="false">_xlfn.IFNA(INDEX(KP!$AK:$AK,MATCH(($B33&amp;"|"&amp;BA$3),KP!$D:$D,0)),"")</f>
        <v/>
      </c>
      <c r="BB33" s="10" t="n">
        <f aca="false">SUM(SUMIFS(HTS!$AT:$AT,HTS!$B:$B,$B33,HTS!$C:$C,{"15-24","25-34","35-49","50+"},HTS!$D:$D,"Female"))</f>
        <v>0</v>
      </c>
      <c r="BC33" s="10" t="n">
        <f aca="false">SUM(SUMIFS(HTS!$AT:$AT,HTS!$B:$B,$B33,HTS!$C:$C,{"15-24","25-34","35-49","50+"},HTS!$D:$D,"Male"))</f>
        <v>0</v>
      </c>
      <c r="BD33" s="10" t="str">
        <f aca="false">_xlfn.IFNA(INDEX(KP!$AL:$AL,MATCH(($B33&amp;"|"&amp;BD$3),KP!$D:$D,0)),"")</f>
        <v>ENTER YIELD RATE</v>
      </c>
      <c r="BE33" s="10" t="str">
        <f aca="false">_xlfn.IFNA(INDEX(KP!$AL:$AL,MATCH(($B33&amp;"|"&amp;BE$3),KP!$D:$D,0)),"")</f>
        <v>ENTER YIELD RATE</v>
      </c>
      <c r="BF33" s="10" t="str">
        <f aca="false">_xlfn.IFNA(INDEX(KP!$AL:$AL,MATCH(($B33&amp;"|"&amp;BF$3),KP!$D:$D,0)),"")</f>
        <v/>
      </c>
      <c r="BG33" s="10" t="str">
        <f aca="false">_xlfn.IFNA(INDEX(KP!$AL:$AL,MATCH(($B33&amp;"|"&amp;BG$3),KP!$D:$D,0)),"")</f>
        <v/>
      </c>
      <c r="BH33" s="10" t="str">
        <f aca="false">_xlfn.IFNA(INDEX(KP!$AL:$AL,MATCH(($B33&amp;"|"&amp;BH$3),KP!$D:$D,0)),"")</f>
        <v/>
      </c>
      <c r="BI33" s="10" t="n">
        <f aca="false">SUM(SUMIFS(HTS!$BA:$BA,HTS!$B:$B,$B33,HTS!$C:$C,{"15-24","25-34","35-49","50+"},HTS!$D:$D,"Female"))</f>
        <v>0</v>
      </c>
      <c r="BJ33" s="10" t="n">
        <f aca="false">SUM(SUMIFS(HTS!$BA:$BA,HTS!$B:$B,$B33,HTS!$C:$C,{"15-24","25-34","35-49","50+"},HTS!$D:$D,"Male"))</f>
        <v>0</v>
      </c>
      <c r="BK33" s="10" t="n">
        <f aca="false">_xlfn.IFNA(INDEX(KP!$AN:$AN,MATCH(($B33&amp;"|"&amp;BK$3),KP!$D:$D,0)),"")</f>
        <v>2</v>
      </c>
      <c r="BL33" s="10" t="n">
        <f aca="false">_xlfn.IFNA(INDEX(KP!$AN:$AN,MATCH(($B33&amp;"|"&amp;BL$3),KP!$D:$D,0)),"")</f>
        <v>1</v>
      </c>
      <c r="BM33" s="10" t="str">
        <f aca="false">_xlfn.IFNA(INDEX(KP!$AN:$AN,MATCH(($B33&amp;"|"&amp;BM$3),KP!$D:$D,0)),"")</f>
        <v/>
      </c>
      <c r="BN33" s="10" t="str">
        <f aca="false">_xlfn.IFNA(INDEX(KP!$AN:$AN,MATCH(($B33&amp;"|"&amp;BN$3),KP!$D:$D,0)),"")</f>
        <v/>
      </c>
      <c r="BO33" s="10" t="str">
        <f aca="false">_xlfn.IFNA(INDEX(KP!$AN:$AN,MATCH(($B33&amp;"|"&amp;BO$3),KP!$D:$D,0)),"")</f>
        <v/>
      </c>
      <c r="BP33" s="10" t="n">
        <f aca="false">SUM(SUMIFS(HTS!$AY:$AY,HTS!$B:$B,$B33,HTS!$C:$C,{"15-24","25-34","35-49","50+"},HTS!$D:$D,"Female"))</f>
        <v>458</v>
      </c>
      <c r="BQ33" s="10" t="n">
        <f aca="false">SUM(SUMIFS(HTS!$AY:$AY,HTS!$B:$B,$B33,HTS!$C:$C,{"15-24","25-34","35-49","50+"},HTS!$D:$D,"Male"))</f>
        <v>890</v>
      </c>
      <c r="BR33" s="10" t="n">
        <f aca="false">_xlfn.IFNA(INDEX(KP!$AP:$AP,MATCH(($B33&amp;"|"&amp;BR$3),KP!$D:$D,0)),"")</f>
        <v>0</v>
      </c>
      <c r="BS33" s="10" t="n">
        <f aca="false">_xlfn.IFNA(INDEX(KP!$AP:$AP,MATCH(($B33&amp;"|"&amp;BS$3),KP!$D:$D,0)),"")</f>
        <v>0</v>
      </c>
      <c r="BT33" s="10" t="n">
        <f aca="false">_xlfn.IFNA(INDEX(KP!$AP:$AP,MATCH(($B33&amp;"|"&amp;BT$3),KP!$D:$D,0)),"")</f>
        <v>0</v>
      </c>
      <c r="BU33" s="10" t="n">
        <f aca="false">_xlfn.IFNA(INDEX(KP!$AP:$AP,MATCH(($B33&amp;"|"&amp;BU$3),KP!$D:$D,0)),"")</f>
        <v>0</v>
      </c>
      <c r="BV33" s="10" t="n">
        <f aca="false">_xlfn.IFNA(INDEX(KP!$AP:$AP,MATCH(($B33&amp;"|"&amp;BV$3),KP!$D:$D,0)),"")</f>
        <v>0</v>
      </c>
    </row>
    <row r="34" customFormat="false" ht="15" hidden="false" customHeight="false" outlineLevel="0" collapsed="false">
      <c r="A34" s="91" t="str">
        <f aca="false">INDEX(Prioritization!$D:$D,MATCH($B34,Prioritization!$A:$A,0))</f>
        <v>1 - Scale-up: Saturation</v>
      </c>
      <c r="B34" s="40" t="s">
        <v>213</v>
      </c>
      <c r="C34" s="10" t="n">
        <f aca="false">SUM(SUMIFS(PrEP!$O:$O,PrEP!$B:$B,$B34,PrEP!$C:$C,{"15-24","25-34","35-49","50+"},PrEP!$D:$D,"Female"))</f>
        <v>0</v>
      </c>
      <c r="D34" s="10" t="n">
        <f aca="false">SUM(SUMIFS(PrEP!$O:$O,PrEP!$B:$B,$B34,PrEP!$C:$C,{"15-24","25-34"},PrEP!$D:$D,"Female"))</f>
        <v>0</v>
      </c>
      <c r="E34" s="10" t="n">
        <f aca="false">SUM(SUMIFS(PrEP!$O:$O,PrEP!$B:$B,$B34,PrEP!$C:$C,{"15-24","25-34","35-49","50+"},PrEP!$D:$D,"Male"))</f>
        <v>0</v>
      </c>
      <c r="F34" s="10" t="n">
        <f aca="false">_xlfn.IFNA(INDEX(KP!$I:$I,MATCH(($B34&amp;"|"&amp;F$3),KP!$D:$D,0)),"")</f>
        <v>0</v>
      </c>
      <c r="G34" s="10" t="n">
        <f aca="false">_xlfn.IFNA(INDEX(KP!$I:$I,MATCH(($B34&amp;"|"&amp;G$3),KP!$D:$D,0)),"")</f>
        <v>0</v>
      </c>
      <c r="H34" s="10" t="n">
        <f aca="false">_xlfn.IFNA(INDEX(KP!$I:$I,MATCH(($B34&amp;"|"&amp;H$3),KP!$D:$D,0)),"")</f>
        <v>0</v>
      </c>
      <c r="I34" s="10" t="n">
        <f aca="false">_xlfn.IFNA(INDEX(KP!$I:$I,MATCH(($B34&amp;"|"&amp;I$3),KP!$D:$D,0)),"")</f>
        <v>0</v>
      </c>
      <c r="J34" s="10" t="n">
        <f aca="false">_xlfn.IFNA(INDEX(KP!$I:$I,MATCH(($B34&amp;"|"&amp;J$3),KP!$D:$D,0)),"")</f>
        <v>0</v>
      </c>
      <c r="K34" s="10" t="n">
        <f aca="false">SUM(SUMIFS(PrEP!$L:$L,PrEP!$B:$B,$B34,PrEP!$C:$C,{"15-24","25-34","35-49","50+"},PrEP!$D:$D,"Female"))</f>
        <v>0</v>
      </c>
      <c r="L34" s="10" t="n">
        <f aca="false">SUM(SUMIFS(PrEP!$L:$L,PrEP!$B:$B,$B34,PrEP!$C:$C,{"15-24","25-34"},PrEP!$D:$D,"Female"))</f>
        <v>0</v>
      </c>
      <c r="M34" s="10" t="n">
        <f aca="false">SUM(SUMIFS(PrEP!$L:$L,PrEP!$B:$B,$B34,PrEP!$C:$C,{"15-24","25-34","35-49","50+"},PrEP!$D:$D,"Male"))</f>
        <v>6</v>
      </c>
      <c r="N34" s="10" t="n">
        <f aca="false">_xlfn.IFNA(INDEX(KP!$K:$K,MATCH(($B34&amp;"|"&amp;N$3),KP!$D:$D,0)),"")</f>
        <v>0</v>
      </c>
      <c r="O34" s="10" t="n">
        <f aca="false">_xlfn.IFNA(INDEX(KP!$K:$K,MATCH(($B34&amp;"|"&amp;O$3),KP!$D:$D,0)),"")</f>
        <v>0</v>
      </c>
      <c r="P34" s="10" t="n">
        <f aca="false">_xlfn.IFNA(INDEX(KP!$K:$K,MATCH(($B34&amp;"|"&amp;P$3),KP!$D:$D,0)),"")</f>
        <v>0</v>
      </c>
      <c r="Q34" s="10" t="n">
        <f aca="false">_xlfn.IFNA(INDEX(KP!$K:$K,MATCH(($B34&amp;"|"&amp;Q$3),KP!$D:$D,0)),"")</f>
        <v>0</v>
      </c>
      <c r="R34" s="10" t="n">
        <f aca="false">_xlfn.IFNA(INDEX(KP!$K:$K,MATCH(($B34&amp;"|"&amp;R$3),KP!$D:$D,0)),"")</f>
        <v>0</v>
      </c>
      <c r="S34" s="10" t="n">
        <f aca="false">SUM(SUMIFS(Cascade!$AP:$AP,Cascade!$B:$B,$B34,Cascade!$C:$C,{"15-24","25-34","35-49","50+"},Cascade!$D:$D,"Female"))</f>
        <v>0</v>
      </c>
      <c r="T34" s="10" t="n">
        <f aca="false">SUM(SUMIFS(Cascade!$AP:$AP,Cascade!$B:$B,$B34,Cascade!$C:$C,{"15-24","25-34","35-49","50+"},Cascade!$D:$D,"Male"))</f>
        <v>0</v>
      </c>
      <c r="U34" s="10" t="n">
        <f aca="false">_xlfn.IFNA(INDEX(KP!$Q:$Q,MATCH(($B34&amp;"|"&amp;U$3),KP!$D:$D,0)),"")</f>
        <v>99</v>
      </c>
      <c r="V34" s="10" t="n">
        <f aca="false">_xlfn.IFNA(INDEX(KP!$Q:$Q,MATCH(($B34&amp;"|"&amp;V$3),KP!$D:$D,0)),"")</f>
        <v>10</v>
      </c>
      <c r="W34" s="10" t="str">
        <f aca="false">_xlfn.IFNA(INDEX(KP!$Q:$Q,MATCH(($B34&amp;"|"&amp;W$3),KP!$D:$D,0)),"")</f>
        <v/>
      </c>
      <c r="X34" s="10" t="str">
        <f aca="false">_xlfn.IFNA(INDEX(KP!$Q:$Q,MATCH(($B34&amp;"|"&amp;X$3),KP!$D:$D,0)),"")</f>
        <v/>
      </c>
      <c r="Y34" s="10" t="str">
        <f aca="false">_xlfn.IFNA(INDEX(KP!$Q:$Q,MATCH(($B34&amp;"|"&amp;Y$3),KP!$D:$D,0)),"")</f>
        <v/>
      </c>
      <c r="Z34" s="10" t="n">
        <f aca="false">SUM(SUMIFS(Cascade!$AX:$AX,Cascade!$B:$B,$B34,Cascade!$C:$C,{"15-24","25-34","35-49","50+"},Cascade!$D:$D,"Female"))</f>
        <v>0</v>
      </c>
      <c r="AA34" s="10" t="n">
        <f aca="false">SUM(SUMIFS(Cascade!$AX:$AX,Cascade!$B:$B,$B34,Cascade!$C:$C,{"15-24","25-34","35-49","50+"},Cascade!$D:$D,"Male"))</f>
        <v>0</v>
      </c>
      <c r="AB34" s="10" t="n">
        <f aca="false">_xlfn.IFNA(INDEX(KP!$Z:$Z,MATCH(($B34&amp;"|"&amp;AB$3),KP!$D:$D,0)),"")</f>
        <v>2</v>
      </c>
      <c r="AC34" s="10" t="str">
        <f aca="false">_xlfn.IFNA(INDEX(KP!$Z:$Z,MATCH(($B34&amp;"|"&amp;AC$3),KP!$D:$D,0)),"")</f>
        <v/>
      </c>
      <c r="AD34" s="10" t="str">
        <f aca="false">_xlfn.IFNA(INDEX(KP!$Z:$Z,MATCH(($B34&amp;"|"&amp;AD$3),KP!$D:$D,0)),"")</f>
        <v/>
      </c>
      <c r="AE34" s="10" t="str">
        <f aca="false">_xlfn.IFNA(INDEX(KP!$Z:$Z,MATCH(($B34&amp;"|"&amp;AE$3),KP!$D:$D,0)),"")</f>
        <v/>
      </c>
      <c r="AF34" s="10" t="str">
        <f aca="false">_xlfn.IFNA(INDEX(KP!$Z:$Z,MATCH(($B34&amp;"|"&amp;AF$3),KP!$D:$D,0)),"")</f>
        <v/>
      </c>
      <c r="AG34" s="10" t="n">
        <f aca="false">SUM(SUMIFS(Cascade!$BB:$BB,Cascade!$B:$B,$B34,Cascade!$C:$C,{"15-24","25-34","35-49","50+"},Cascade!$D:$D,"Female"))</f>
        <v>0</v>
      </c>
      <c r="AH34" s="10" t="n">
        <f aca="false">SUM(SUMIFS(Cascade!$BB:$BB,Cascade!$B:$B,$B34,Cascade!$C:$C,{"15-24","25-34","35-49","50+"},Cascade!$D:$D,"Male"))</f>
        <v>0</v>
      </c>
      <c r="AI34" s="10" t="n">
        <f aca="false">_xlfn.IFNA(INDEX(KP!$AD:$AD,MATCH(($B34&amp;"|"&amp;AI$3),KP!$D:$D,0)),"")</f>
        <v>95</v>
      </c>
      <c r="AJ34" s="10" t="n">
        <f aca="false">_xlfn.IFNA(INDEX(KP!$AD:$AD,MATCH(($B34&amp;"|"&amp;AJ$3),KP!$D:$D,0)),"")</f>
        <v>10</v>
      </c>
      <c r="AK34" s="10" t="str">
        <f aca="false">_xlfn.IFNA(INDEX(KP!$AD:$AD,MATCH(($B34&amp;"|"&amp;AK$3),KP!$D:$D,0)),"")</f>
        <v/>
      </c>
      <c r="AL34" s="10" t="str">
        <f aca="false">_xlfn.IFNA(INDEX(KP!$AD:$AD,MATCH(($B34&amp;"|"&amp;AL$3),KP!$D:$D,0)),"")</f>
        <v/>
      </c>
      <c r="AM34" s="10" t="str">
        <f aca="false">_xlfn.IFNA(INDEX(KP!$AD:$AD,MATCH(($B34&amp;"|"&amp;AM$3),KP!$D:$D,0)),"")</f>
        <v/>
      </c>
      <c r="AN34" s="10" t="n">
        <f aca="false">SUM(SUMIFS(Cascade!$BE:$BE,Cascade!$B:$B,$B34,Cascade!$C:$C,{"15-24","25-34","35-49","50+"},Cascade!$D:$D,"Female"))</f>
        <v>0</v>
      </c>
      <c r="AO34" s="10" t="n">
        <f aca="false">SUM(SUMIFS(Cascade!$BE:$BE,Cascade!$B:$B,$B34,Cascade!$C:$C,{"15-24","25-34","35-49","50+"},Cascade!$D:$D,"Male"))</f>
        <v>0</v>
      </c>
      <c r="AP34" s="10" t="n">
        <f aca="false">_xlfn.IFNA(INDEX(KP!$AF:$AF,MATCH(($B34&amp;"|"&amp;AP$3),KP!$D:$D,0)),"")</f>
        <v>90</v>
      </c>
      <c r="AQ34" s="10" t="n">
        <f aca="false">_xlfn.IFNA(INDEX(KP!$AF:$AF,MATCH(($B34&amp;"|"&amp;AQ$3),KP!$D:$D,0)),"")</f>
        <v>10</v>
      </c>
      <c r="AR34" s="10" t="str">
        <f aca="false">_xlfn.IFNA(INDEX(KP!$AF:$AF,MATCH(($B34&amp;"|"&amp;AR$3),KP!$D:$D,0)),"")</f>
        <v/>
      </c>
      <c r="AS34" s="10" t="str">
        <f aca="false">_xlfn.IFNA(INDEX(KP!$AF:$AF,MATCH(($B34&amp;"|"&amp;AS$3),KP!$D:$D,0)),"")</f>
        <v/>
      </c>
      <c r="AT34" s="10" t="str">
        <f aca="false">_xlfn.IFNA(INDEX(KP!$AF:$AF,MATCH(($B34&amp;"|"&amp;AT$3),KP!$D:$D,0)),"")</f>
        <v/>
      </c>
      <c r="AU34" s="10" t="n">
        <f aca="false">SUM(SUMIFS(HTS!$AM:$AM,HTS!$B:$B,$B34,HTS!$C:$C,{"15-24","25-34","35-49","50+"},HTS!$D:$D,"Female"))</f>
        <v>0</v>
      </c>
      <c r="AV34" s="10" t="n">
        <f aca="false">SUM(SUMIFS(HTS!$AM:$AM,HTS!$B:$B,$B34,HTS!$C:$C,{"15-24","25-34","35-49","50+"},HTS!$D:$D,"Male"))</f>
        <v>0</v>
      </c>
      <c r="AW34" s="10" t="n">
        <f aca="false">_xlfn.IFNA(INDEX(KP!$AK:$AK,MATCH(($B34&amp;"|"&amp;AW$3),KP!$D:$D,0)),"")</f>
        <v>2</v>
      </c>
      <c r="AX34" s="10" t="str">
        <f aca="false">_xlfn.IFNA(INDEX(KP!$AK:$AK,MATCH(($B34&amp;"|"&amp;AX$3),KP!$D:$D,0)),"")</f>
        <v/>
      </c>
      <c r="AY34" s="10" t="str">
        <f aca="false">_xlfn.IFNA(INDEX(KP!$AK:$AK,MATCH(($B34&amp;"|"&amp;AY$3),KP!$D:$D,0)),"")</f>
        <v/>
      </c>
      <c r="AZ34" s="10" t="str">
        <f aca="false">_xlfn.IFNA(INDEX(KP!$AK:$AK,MATCH(($B34&amp;"|"&amp;AZ$3),KP!$D:$D,0)),"")</f>
        <v/>
      </c>
      <c r="BA34" s="10" t="str">
        <f aca="false">_xlfn.IFNA(INDEX(KP!$AK:$AK,MATCH(($B34&amp;"|"&amp;BA$3),KP!$D:$D,0)),"")</f>
        <v/>
      </c>
      <c r="BB34" s="10" t="n">
        <f aca="false">SUM(SUMIFS(HTS!$AT:$AT,HTS!$B:$B,$B34,HTS!$C:$C,{"15-24","25-34","35-49","50+"},HTS!$D:$D,"Female"))</f>
        <v>0</v>
      </c>
      <c r="BC34" s="10" t="n">
        <f aca="false">SUM(SUMIFS(HTS!$AT:$AT,HTS!$B:$B,$B34,HTS!$C:$C,{"15-24","25-34","35-49","50+"},HTS!$D:$D,"Male"))</f>
        <v>0</v>
      </c>
      <c r="BD34" s="10" t="str">
        <f aca="false">_xlfn.IFNA(INDEX(KP!$AL:$AL,MATCH(($B34&amp;"|"&amp;BD$3),KP!$D:$D,0)),"")</f>
        <v>ENTER YIELD RATE</v>
      </c>
      <c r="BE34" s="10" t="str">
        <f aca="false">_xlfn.IFNA(INDEX(KP!$AL:$AL,MATCH(($B34&amp;"|"&amp;BE$3),KP!$D:$D,0)),"")</f>
        <v/>
      </c>
      <c r="BF34" s="10" t="str">
        <f aca="false">_xlfn.IFNA(INDEX(KP!$AL:$AL,MATCH(($B34&amp;"|"&amp;BF$3),KP!$D:$D,0)),"")</f>
        <v/>
      </c>
      <c r="BG34" s="10" t="str">
        <f aca="false">_xlfn.IFNA(INDEX(KP!$AL:$AL,MATCH(($B34&amp;"|"&amp;BG$3),KP!$D:$D,0)),"")</f>
        <v/>
      </c>
      <c r="BH34" s="10" t="str">
        <f aca="false">_xlfn.IFNA(INDEX(KP!$AL:$AL,MATCH(($B34&amp;"|"&amp;BH$3),KP!$D:$D,0)),"")</f>
        <v/>
      </c>
      <c r="BI34" s="10" t="n">
        <f aca="false">SUM(SUMIFS(HTS!$BA:$BA,HTS!$B:$B,$B34,HTS!$C:$C,{"15-24","25-34","35-49","50+"},HTS!$D:$D,"Female"))</f>
        <v>0</v>
      </c>
      <c r="BJ34" s="10" t="n">
        <f aca="false">SUM(SUMIFS(HTS!$BA:$BA,HTS!$B:$B,$B34,HTS!$C:$C,{"15-24","25-34","35-49","50+"},HTS!$D:$D,"Male"))</f>
        <v>0</v>
      </c>
      <c r="BK34" s="10" t="n">
        <f aca="false">_xlfn.IFNA(INDEX(KP!$AN:$AN,MATCH(($B34&amp;"|"&amp;BK$3),KP!$D:$D,0)),"")</f>
        <v>2</v>
      </c>
      <c r="BL34" s="10" t="str">
        <f aca="false">_xlfn.IFNA(INDEX(KP!$AN:$AN,MATCH(($B34&amp;"|"&amp;BL$3),KP!$D:$D,0)),"")</f>
        <v/>
      </c>
      <c r="BM34" s="10" t="str">
        <f aca="false">_xlfn.IFNA(INDEX(KP!$AN:$AN,MATCH(($B34&amp;"|"&amp;BM$3),KP!$D:$D,0)),"")</f>
        <v/>
      </c>
      <c r="BN34" s="10" t="str">
        <f aca="false">_xlfn.IFNA(INDEX(KP!$AN:$AN,MATCH(($B34&amp;"|"&amp;BN$3),KP!$D:$D,0)),"")</f>
        <v/>
      </c>
      <c r="BO34" s="10" t="str">
        <f aca="false">_xlfn.IFNA(INDEX(KP!$AN:$AN,MATCH(($B34&amp;"|"&amp;BO$3),KP!$D:$D,0)),"")</f>
        <v/>
      </c>
      <c r="BP34" s="10" t="n">
        <f aca="false">SUM(SUMIFS(HTS!$AY:$AY,HTS!$B:$B,$B34,HTS!$C:$C,{"15-24","25-34","35-49","50+"},HTS!$D:$D,"Female"))</f>
        <v>54</v>
      </c>
      <c r="BQ34" s="10" t="n">
        <f aca="false">SUM(SUMIFS(HTS!$AY:$AY,HTS!$B:$B,$B34,HTS!$C:$C,{"15-24","25-34","35-49","50+"},HTS!$D:$D,"Male"))</f>
        <v>68</v>
      </c>
      <c r="BR34" s="10" t="n">
        <f aca="false">_xlfn.IFNA(INDEX(KP!$AP:$AP,MATCH(($B34&amp;"|"&amp;BR$3),KP!$D:$D,0)),"")</f>
        <v>0</v>
      </c>
      <c r="BS34" s="10" t="n">
        <f aca="false">_xlfn.IFNA(INDEX(KP!$AP:$AP,MATCH(($B34&amp;"|"&amp;BS$3),KP!$D:$D,0)),"")</f>
        <v>0</v>
      </c>
      <c r="BT34" s="10" t="n">
        <f aca="false">_xlfn.IFNA(INDEX(KP!$AP:$AP,MATCH(($B34&amp;"|"&amp;BT$3),KP!$D:$D,0)),"")</f>
        <v>0</v>
      </c>
      <c r="BU34" s="10" t="n">
        <f aca="false">_xlfn.IFNA(INDEX(KP!$AP:$AP,MATCH(($B34&amp;"|"&amp;BU$3),KP!$D:$D,0)),"")</f>
        <v>0</v>
      </c>
      <c r="BV34" s="10" t="n">
        <f aca="false">_xlfn.IFNA(INDEX(KP!$AP:$AP,MATCH(($B34&amp;"|"&amp;BV$3),KP!$D:$D,0)),"")</f>
        <v>0</v>
      </c>
    </row>
    <row r="35" customFormat="false" ht="15" hidden="false" customHeight="false" outlineLevel="0" collapsed="false">
      <c r="A35" s="91" t="str">
        <f aca="false">INDEX(Prioritization!$D:$D,MATCH($B35,Prioritization!$A:$A,0))</f>
        <v>1 - Scale-up: Saturation</v>
      </c>
      <c r="B35" s="40" t="s">
        <v>214</v>
      </c>
      <c r="C35" s="10" t="n">
        <f aca="false">SUM(SUMIFS(PrEP!$O:$O,PrEP!$B:$B,$B35,PrEP!$C:$C,{"15-24","25-34","35-49","50+"},PrEP!$D:$D,"Female"))</f>
        <v>0</v>
      </c>
      <c r="D35" s="10" t="n">
        <f aca="false">SUM(SUMIFS(PrEP!$O:$O,PrEP!$B:$B,$B35,PrEP!$C:$C,{"15-24","25-34"},PrEP!$D:$D,"Female"))</f>
        <v>0</v>
      </c>
      <c r="E35" s="10" t="n">
        <f aca="false">SUM(SUMIFS(PrEP!$O:$O,PrEP!$B:$B,$B35,PrEP!$C:$C,{"15-24","25-34","35-49","50+"},PrEP!$D:$D,"Male"))</f>
        <v>0</v>
      </c>
      <c r="F35" s="10" t="n">
        <f aca="false">_xlfn.IFNA(INDEX(KP!$I:$I,MATCH(($B35&amp;"|"&amp;F$3),KP!$D:$D,0)),"")</f>
        <v>0</v>
      </c>
      <c r="G35" s="10" t="n">
        <f aca="false">_xlfn.IFNA(INDEX(KP!$I:$I,MATCH(($B35&amp;"|"&amp;G$3),KP!$D:$D,0)),"")</f>
        <v>0</v>
      </c>
      <c r="H35" s="10" t="n">
        <f aca="false">_xlfn.IFNA(INDEX(KP!$I:$I,MATCH(($B35&amp;"|"&amp;H$3),KP!$D:$D,0)),"")</f>
        <v>0</v>
      </c>
      <c r="I35" s="10" t="n">
        <f aca="false">_xlfn.IFNA(INDEX(KP!$I:$I,MATCH(($B35&amp;"|"&amp;I$3),KP!$D:$D,0)),"")</f>
        <v>0</v>
      </c>
      <c r="J35" s="10" t="n">
        <f aca="false">_xlfn.IFNA(INDEX(KP!$I:$I,MATCH(($B35&amp;"|"&amp;J$3),KP!$D:$D,0)),"")</f>
        <v>0</v>
      </c>
      <c r="K35" s="10" t="n">
        <f aca="false">SUM(SUMIFS(PrEP!$L:$L,PrEP!$B:$B,$B35,PrEP!$C:$C,{"15-24","25-34","35-49","50+"},PrEP!$D:$D,"Female"))</f>
        <v>1</v>
      </c>
      <c r="L35" s="10" t="n">
        <f aca="false">SUM(SUMIFS(PrEP!$L:$L,PrEP!$B:$B,$B35,PrEP!$C:$C,{"15-24","25-34"},PrEP!$D:$D,"Female"))</f>
        <v>0</v>
      </c>
      <c r="M35" s="10" t="n">
        <f aca="false">SUM(SUMIFS(PrEP!$L:$L,PrEP!$B:$B,$B35,PrEP!$C:$C,{"15-24","25-34","35-49","50+"},PrEP!$D:$D,"Male"))</f>
        <v>4</v>
      </c>
      <c r="N35" s="10" t="n">
        <f aca="false">_xlfn.IFNA(INDEX(KP!$K:$K,MATCH(($B35&amp;"|"&amp;N$3),KP!$D:$D,0)),"")</f>
        <v>0</v>
      </c>
      <c r="O35" s="10" t="n">
        <f aca="false">_xlfn.IFNA(INDEX(KP!$K:$K,MATCH(($B35&amp;"|"&amp;O$3),KP!$D:$D,0)),"")</f>
        <v>0</v>
      </c>
      <c r="P35" s="10" t="n">
        <f aca="false">_xlfn.IFNA(INDEX(KP!$K:$K,MATCH(($B35&amp;"|"&amp;P$3),KP!$D:$D,0)),"")</f>
        <v>0</v>
      </c>
      <c r="Q35" s="10" t="n">
        <f aca="false">_xlfn.IFNA(INDEX(KP!$K:$K,MATCH(($B35&amp;"|"&amp;Q$3),KP!$D:$D,0)),"")</f>
        <v>0</v>
      </c>
      <c r="R35" s="10" t="n">
        <f aca="false">_xlfn.IFNA(INDEX(KP!$K:$K,MATCH(($B35&amp;"|"&amp;R$3),KP!$D:$D,0)),"")</f>
        <v>0</v>
      </c>
      <c r="S35" s="10" t="n">
        <f aca="false">SUM(SUMIFS(Cascade!$AP:$AP,Cascade!$B:$B,$B35,Cascade!$C:$C,{"15-24","25-34","35-49","50+"},Cascade!$D:$D,"Female"))</f>
        <v>0</v>
      </c>
      <c r="T35" s="10" t="n">
        <f aca="false">SUM(SUMIFS(Cascade!$AP:$AP,Cascade!$B:$B,$B35,Cascade!$C:$C,{"15-24","25-34","35-49","50+"},Cascade!$D:$D,"Male"))</f>
        <v>0</v>
      </c>
      <c r="U35" s="10" t="n">
        <f aca="false">_xlfn.IFNA(INDEX(KP!$Q:$Q,MATCH(($B35&amp;"|"&amp;U$3),KP!$D:$D,0)),"")</f>
        <v>61</v>
      </c>
      <c r="V35" s="10" t="n">
        <f aca="false">_xlfn.IFNA(INDEX(KP!$Q:$Q,MATCH(($B35&amp;"|"&amp;V$3),KP!$D:$D,0)),"")</f>
        <v>5</v>
      </c>
      <c r="W35" s="10" t="str">
        <f aca="false">_xlfn.IFNA(INDEX(KP!$Q:$Q,MATCH(($B35&amp;"|"&amp;W$3),KP!$D:$D,0)),"")</f>
        <v/>
      </c>
      <c r="X35" s="10" t="str">
        <f aca="false">_xlfn.IFNA(INDEX(KP!$Q:$Q,MATCH(($B35&amp;"|"&amp;X$3),KP!$D:$D,0)),"")</f>
        <v/>
      </c>
      <c r="Y35" s="10" t="str">
        <f aca="false">_xlfn.IFNA(INDEX(KP!$Q:$Q,MATCH(($B35&amp;"|"&amp;Y$3),KP!$D:$D,0)),"")</f>
        <v/>
      </c>
      <c r="Z35" s="10" t="n">
        <f aca="false">SUM(SUMIFS(Cascade!$AX:$AX,Cascade!$B:$B,$B35,Cascade!$C:$C,{"15-24","25-34","35-49","50+"},Cascade!$D:$D,"Female"))</f>
        <v>0</v>
      </c>
      <c r="AA35" s="10" t="n">
        <f aca="false">SUM(SUMIFS(Cascade!$AX:$AX,Cascade!$B:$B,$B35,Cascade!$C:$C,{"15-24","25-34","35-49","50+"},Cascade!$D:$D,"Male"))</f>
        <v>0</v>
      </c>
      <c r="AB35" s="10" t="n">
        <f aca="false">_xlfn.IFNA(INDEX(KP!$Z:$Z,MATCH(($B35&amp;"|"&amp;AB$3),KP!$D:$D,0)),"")</f>
        <v>1</v>
      </c>
      <c r="AC35" s="10" t="str">
        <f aca="false">_xlfn.IFNA(INDEX(KP!$Z:$Z,MATCH(($B35&amp;"|"&amp;AC$3),KP!$D:$D,0)),"")</f>
        <v/>
      </c>
      <c r="AD35" s="10" t="str">
        <f aca="false">_xlfn.IFNA(INDEX(KP!$Z:$Z,MATCH(($B35&amp;"|"&amp;AD$3),KP!$D:$D,0)),"")</f>
        <v/>
      </c>
      <c r="AE35" s="10" t="str">
        <f aca="false">_xlfn.IFNA(INDEX(KP!$Z:$Z,MATCH(($B35&amp;"|"&amp;AE$3),KP!$D:$D,0)),"")</f>
        <v/>
      </c>
      <c r="AF35" s="10" t="str">
        <f aca="false">_xlfn.IFNA(INDEX(KP!$Z:$Z,MATCH(($B35&amp;"|"&amp;AF$3),KP!$D:$D,0)),"")</f>
        <v/>
      </c>
      <c r="AG35" s="10" t="n">
        <f aca="false">SUM(SUMIFS(Cascade!$BB:$BB,Cascade!$B:$B,$B35,Cascade!$C:$C,{"15-24","25-34","35-49","50+"},Cascade!$D:$D,"Female"))</f>
        <v>0</v>
      </c>
      <c r="AH35" s="10" t="n">
        <f aca="false">SUM(SUMIFS(Cascade!$BB:$BB,Cascade!$B:$B,$B35,Cascade!$C:$C,{"15-24","25-34","35-49","50+"},Cascade!$D:$D,"Male"))</f>
        <v>0</v>
      </c>
      <c r="AI35" s="10" t="n">
        <f aca="false">_xlfn.IFNA(INDEX(KP!$AD:$AD,MATCH(($B35&amp;"|"&amp;AI$3),KP!$D:$D,0)),"")</f>
        <v>59</v>
      </c>
      <c r="AJ35" s="10" t="n">
        <f aca="false">_xlfn.IFNA(INDEX(KP!$AD:$AD,MATCH(($B35&amp;"|"&amp;AJ$3),KP!$D:$D,0)),"")</f>
        <v>5</v>
      </c>
      <c r="AK35" s="10" t="str">
        <f aca="false">_xlfn.IFNA(INDEX(KP!$AD:$AD,MATCH(($B35&amp;"|"&amp;AK$3),KP!$D:$D,0)),"")</f>
        <v/>
      </c>
      <c r="AL35" s="10" t="str">
        <f aca="false">_xlfn.IFNA(INDEX(KP!$AD:$AD,MATCH(($B35&amp;"|"&amp;AL$3),KP!$D:$D,0)),"")</f>
        <v/>
      </c>
      <c r="AM35" s="10" t="str">
        <f aca="false">_xlfn.IFNA(INDEX(KP!$AD:$AD,MATCH(($B35&amp;"|"&amp;AM$3),KP!$D:$D,0)),"")</f>
        <v/>
      </c>
      <c r="AN35" s="10" t="n">
        <f aca="false">SUM(SUMIFS(Cascade!$BE:$BE,Cascade!$B:$B,$B35,Cascade!$C:$C,{"15-24","25-34","35-49","50+"},Cascade!$D:$D,"Female"))</f>
        <v>0</v>
      </c>
      <c r="AO35" s="10" t="n">
        <f aca="false">SUM(SUMIFS(Cascade!$BE:$BE,Cascade!$B:$B,$B35,Cascade!$C:$C,{"15-24","25-34","35-49","50+"},Cascade!$D:$D,"Male"))</f>
        <v>0</v>
      </c>
      <c r="AP35" s="10" t="n">
        <f aca="false">_xlfn.IFNA(INDEX(KP!$AF:$AF,MATCH(($B35&amp;"|"&amp;AP$3),KP!$D:$D,0)),"")</f>
        <v>56</v>
      </c>
      <c r="AQ35" s="10" t="n">
        <f aca="false">_xlfn.IFNA(INDEX(KP!$AF:$AF,MATCH(($B35&amp;"|"&amp;AQ$3),KP!$D:$D,0)),"")</f>
        <v>5</v>
      </c>
      <c r="AR35" s="10" t="str">
        <f aca="false">_xlfn.IFNA(INDEX(KP!$AF:$AF,MATCH(($B35&amp;"|"&amp;AR$3),KP!$D:$D,0)),"")</f>
        <v/>
      </c>
      <c r="AS35" s="10" t="str">
        <f aca="false">_xlfn.IFNA(INDEX(KP!$AF:$AF,MATCH(($B35&amp;"|"&amp;AS$3),KP!$D:$D,0)),"")</f>
        <v/>
      </c>
      <c r="AT35" s="10" t="str">
        <f aca="false">_xlfn.IFNA(INDEX(KP!$AF:$AF,MATCH(($B35&amp;"|"&amp;AT$3),KP!$D:$D,0)),"")</f>
        <v/>
      </c>
      <c r="AU35" s="10" t="n">
        <f aca="false">SUM(SUMIFS(HTS!$AM:$AM,HTS!$B:$B,$B35,HTS!$C:$C,{"15-24","25-34","35-49","50+"},HTS!$D:$D,"Female"))</f>
        <v>0</v>
      </c>
      <c r="AV35" s="10" t="n">
        <f aca="false">SUM(SUMIFS(HTS!$AM:$AM,HTS!$B:$B,$B35,HTS!$C:$C,{"15-24","25-34","35-49","50+"},HTS!$D:$D,"Male"))</f>
        <v>0</v>
      </c>
      <c r="AW35" s="10" t="n">
        <f aca="false">_xlfn.IFNA(INDEX(KP!$AK:$AK,MATCH(($B35&amp;"|"&amp;AW$3),KP!$D:$D,0)),"")</f>
        <v>1</v>
      </c>
      <c r="AX35" s="10" t="str">
        <f aca="false">_xlfn.IFNA(INDEX(KP!$AK:$AK,MATCH(($B35&amp;"|"&amp;AX$3),KP!$D:$D,0)),"")</f>
        <v/>
      </c>
      <c r="AY35" s="10" t="str">
        <f aca="false">_xlfn.IFNA(INDEX(KP!$AK:$AK,MATCH(($B35&amp;"|"&amp;AY$3),KP!$D:$D,0)),"")</f>
        <v/>
      </c>
      <c r="AZ35" s="10" t="str">
        <f aca="false">_xlfn.IFNA(INDEX(KP!$AK:$AK,MATCH(($B35&amp;"|"&amp;AZ$3),KP!$D:$D,0)),"")</f>
        <v/>
      </c>
      <c r="BA35" s="10" t="str">
        <f aca="false">_xlfn.IFNA(INDEX(KP!$AK:$AK,MATCH(($B35&amp;"|"&amp;BA$3),KP!$D:$D,0)),"")</f>
        <v/>
      </c>
      <c r="BB35" s="10" t="n">
        <f aca="false">SUM(SUMIFS(HTS!$AT:$AT,HTS!$B:$B,$B35,HTS!$C:$C,{"15-24","25-34","35-49","50+"},HTS!$D:$D,"Female"))</f>
        <v>0</v>
      </c>
      <c r="BC35" s="10" t="n">
        <f aca="false">SUM(SUMIFS(HTS!$AT:$AT,HTS!$B:$B,$B35,HTS!$C:$C,{"15-24","25-34","35-49","50+"},HTS!$D:$D,"Male"))</f>
        <v>0</v>
      </c>
      <c r="BD35" s="10" t="str">
        <f aca="false">_xlfn.IFNA(INDEX(KP!$AL:$AL,MATCH(($B35&amp;"|"&amp;BD$3),KP!$D:$D,0)),"")</f>
        <v>ENTER YIELD RATE</v>
      </c>
      <c r="BE35" s="10" t="str">
        <f aca="false">_xlfn.IFNA(INDEX(KP!$AL:$AL,MATCH(($B35&amp;"|"&amp;BE$3),KP!$D:$D,0)),"")</f>
        <v/>
      </c>
      <c r="BF35" s="10" t="str">
        <f aca="false">_xlfn.IFNA(INDEX(KP!$AL:$AL,MATCH(($B35&amp;"|"&amp;BF$3),KP!$D:$D,0)),"")</f>
        <v/>
      </c>
      <c r="BG35" s="10" t="str">
        <f aca="false">_xlfn.IFNA(INDEX(KP!$AL:$AL,MATCH(($B35&amp;"|"&amp;BG$3),KP!$D:$D,0)),"")</f>
        <v/>
      </c>
      <c r="BH35" s="10" t="str">
        <f aca="false">_xlfn.IFNA(INDEX(KP!$AL:$AL,MATCH(($B35&amp;"|"&amp;BH$3),KP!$D:$D,0)),"")</f>
        <v/>
      </c>
      <c r="BI35" s="10" t="n">
        <f aca="false">SUM(SUMIFS(HTS!$BA:$BA,HTS!$B:$B,$B35,HTS!$C:$C,{"15-24","25-34","35-49","50+"},HTS!$D:$D,"Female"))</f>
        <v>0</v>
      </c>
      <c r="BJ35" s="10" t="n">
        <f aca="false">SUM(SUMIFS(HTS!$BA:$BA,HTS!$B:$B,$B35,HTS!$C:$C,{"15-24","25-34","35-49","50+"},HTS!$D:$D,"Male"))</f>
        <v>0</v>
      </c>
      <c r="BK35" s="10" t="n">
        <f aca="false">_xlfn.IFNA(INDEX(KP!$AN:$AN,MATCH(($B35&amp;"|"&amp;BK$3),KP!$D:$D,0)),"")</f>
        <v>1</v>
      </c>
      <c r="BL35" s="10" t="str">
        <f aca="false">_xlfn.IFNA(INDEX(KP!$AN:$AN,MATCH(($B35&amp;"|"&amp;BL$3),KP!$D:$D,0)),"")</f>
        <v/>
      </c>
      <c r="BM35" s="10" t="str">
        <f aca="false">_xlfn.IFNA(INDEX(KP!$AN:$AN,MATCH(($B35&amp;"|"&amp;BM$3),KP!$D:$D,0)),"")</f>
        <v/>
      </c>
      <c r="BN35" s="10" t="str">
        <f aca="false">_xlfn.IFNA(INDEX(KP!$AN:$AN,MATCH(($B35&amp;"|"&amp;BN$3),KP!$D:$D,0)),"")</f>
        <v/>
      </c>
      <c r="BO35" s="10" t="str">
        <f aca="false">_xlfn.IFNA(INDEX(KP!$AN:$AN,MATCH(($B35&amp;"|"&amp;BO$3),KP!$D:$D,0)),"")</f>
        <v/>
      </c>
      <c r="BP35" s="10" t="n">
        <f aca="false">SUM(SUMIFS(HTS!$AY:$AY,HTS!$B:$B,$B35,HTS!$C:$C,{"15-24","25-34","35-49","50+"},HTS!$D:$D,"Female"))</f>
        <v>971</v>
      </c>
      <c r="BQ35" s="10" t="n">
        <f aca="false">SUM(SUMIFS(HTS!$AY:$AY,HTS!$B:$B,$B35,HTS!$C:$C,{"15-24","25-34","35-49","50+"},HTS!$D:$D,"Male"))</f>
        <v>163</v>
      </c>
      <c r="BR35" s="10" t="n">
        <f aca="false">_xlfn.IFNA(INDEX(KP!$AP:$AP,MATCH(($B35&amp;"|"&amp;BR$3),KP!$D:$D,0)),"")</f>
        <v>0</v>
      </c>
      <c r="BS35" s="10" t="n">
        <f aca="false">_xlfn.IFNA(INDEX(KP!$AP:$AP,MATCH(($B35&amp;"|"&amp;BS$3),KP!$D:$D,0)),"")</f>
        <v>0</v>
      </c>
      <c r="BT35" s="10" t="n">
        <f aca="false">_xlfn.IFNA(INDEX(KP!$AP:$AP,MATCH(($B35&amp;"|"&amp;BT$3),KP!$D:$D,0)),"")</f>
        <v>0</v>
      </c>
      <c r="BU35" s="10" t="n">
        <f aca="false">_xlfn.IFNA(INDEX(KP!$AP:$AP,MATCH(($B35&amp;"|"&amp;BU$3),KP!$D:$D,0)),"")</f>
        <v>0</v>
      </c>
      <c r="BV35" s="10" t="n">
        <f aca="false">_xlfn.IFNA(INDEX(KP!$AP:$AP,MATCH(($B35&amp;"|"&amp;BV$3),KP!$D:$D,0)),"")</f>
        <v>0</v>
      </c>
    </row>
    <row r="36" customFormat="false" ht="15" hidden="false" customHeight="false" outlineLevel="0" collapsed="false">
      <c r="A36" s="91" t="str">
        <f aca="false">INDEX(Prioritization!$D:$D,MATCH($B36,Prioritization!$A:$A,0))</f>
        <v>INVALID</v>
      </c>
      <c r="B36" s="40" t="s">
        <v>215</v>
      </c>
      <c r="C36" s="10" t="n">
        <f aca="false">SUM(SUMIFS(PrEP!$O:$O,PrEP!$B:$B,$B36,PrEP!$C:$C,{"15-24","25-34","35-49","50+"},PrEP!$D:$D,"Female"))</f>
        <v>0</v>
      </c>
      <c r="D36" s="10" t="n">
        <f aca="false">SUM(SUMIFS(PrEP!$O:$O,PrEP!$B:$B,$B36,PrEP!$C:$C,{"15-24","25-34"},PrEP!$D:$D,"Female"))</f>
        <v>0</v>
      </c>
      <c r="E36" s="10" t="n">
        <f aca="false">SUM(SUMIFS(PrEP!$O:$O,PrEP!$B:$B,$B36,PrEP!$C:$C,{"15-24","25-34","35-49","50+"},PrEP!$D:$D,"Male"))</f>
        <v>0</v>
      </c>
      <c r="F36" s="10" t="n">
        <f aca="false">_xlfn.IFNA(INDEX(KP!$I:$I,MATCH(($B36&amp;"|"&amp;F$3),KP!$D:$D,0)),"")</f>
        <v>0</v>
      </c>
      <c r="G36" s="10" t="n">
        <f aca="false">_xlfn.IFNA(INDEX(KP!$I:$I,MATCH(($B36&amp;"|"&amp;G$3),KP!$D:$D,0)),"")</f>
        <v>0</v>
      </c>
      <c r="H36" s="10" t="n">
        <f aca="false">_xlfn.IFNA(INDEX(KP!$I:$I,MATCH(($B36&amp;"|"&amp;H$3),KP!$D:$D,0)),"")</f>
        <v>0</v>
      </c>
      <c r="I36" s="10" t="n">
        <f aca="false">_xlfn.IFNA(INDEX(KP!$I:$I,MATCH(($B36&amp;"|"&amp;I$3),KP!$D:$D,0)),"")</f>
        <v>0</v>
      </c>
      <c r="J36" s="10" t="n">
        <f aca="false">_xlfn.IFNA(INDEX(KP!$I:$I,MATCH(($B36&amp;"|"&amp;J$3),KP!$D:$D,0)),"")</f>
        <v>0</v>
      </c>
      <c r="K36" s="10" t="n">
        <f aca="false">SUM(SUMIFS(PrEP!$L:$L,PrEP!$B:$B,$B36,PrEP!$C:$C,{"15-24","25-34","35-49","50+"},PrEP!$D:$D,"Female"))</f>
        <v>4</v>
      </c>
      <c r="L36" s="10" t="n">
        <f aca="false">SUM(SUMIFS(PrEP!$L:$L,PrEP!$B:$B,$B36,PrEP!$C:$C,{"15-24","25-34"},PrEP!$D:$D,"Female"))</f>
        <v>0</v>
      </c>
      <c r="M36" s="10" t="n">
        <f aca="false">SUM(SUMIFS(PrEP!$L:$L,PrEP!$B:$B,$B36,PrEP!$C:$C,{"15-24","25-34","35-49","50+"},PrEP!$D:$D,"Male"))</f>
        <v>4</v>
      </c>
      <c r="N36" s="10" t="n">
        <f aca="false">_xlfn.IFNA(INDEX(KP!$K:$K,MATCH(($B36&amp;"|"&amp;N$3),KP!$D:$D,0)),"")</f>
        <v>0</v>
      </c>
      <c r="O36" s="10" t="n">
        <f aca="false">_xlfn.IFNA(INDEX(KP!$K:$K,MATCH(($B36&amp;"|"&amp;O$3),KP!$D:$D,0)),"")</f>
        <v>0</v>
      </c>
      <c r="P36" s="10" t="n">
        <f aca="false">_xlfn.IFNA(INDEX(KP!$K:$K,MATCH(($B36&amp;"|"&amp;P$3),KP!$D:$D,0)),"")</f>
        <v>0</v>
      </c>
      <c r="Q36" s="10" t="n">
        <f aca="false">_xlfn.IFNA(INDEX(KP!$K:$K,MATCH(($B36&amp;"|"&amp;Q$3),KP!$D:$D,0)),"")</f>
        <v>0</v>
      </c>
      <c r="R36" s="10" t="n">
        <f aca="false">_xlfn.IFNA(INDEX(KP!$K:$K,MATCH(($B36&amp;"|"&amp;R$3),KP!$D:$D,0)),"")</f>
        <v>0</v>
      </c>
      <c r="S36" s="10" t="n">
        <f aca="false">SUM(SUMIFS(Cascade!$AP:$AP,Cascade!$B:$B,$B36,Cascade!$C:$C,{"15-24","25-34","35-49","50+"},Cascade!$D:$D,"Female"))</f>
        <v>0</v>
      </c>
      <c r="T36" s="10" t="n">
        <f aca="false">SUM(SUMIFS(Cascade!$AP:$AP,Cascade!$B:$B,$B36,Cascade!$C:$C,{"15-24","25-34","35-49","50+"},Cascade!$D:$D,"Male"))</f>
        <v>0</v>
      </c>
      <c r="U36" s="10" t="n">
        <f aca="false">_xlfn.IFNA(INDEX(KP!$Q:$Q,MATCH(($B36&amp;"|"&amp;U$3),KP!$D:$D,0)),"")</f>
        <v>148</v>
      </c>
      <c r="V36" s="10" t="n">
        <f aca="false">_xlfn.IFNA(INDEX(KP!$Q:$Q,MATCH(($B36&amp;"|"&amp;V$3),KP!$D:$D,0)),"")</f>
        <v>76</v>
      </c>
      <c r="W36" s="10" t="str">
        <f aca="false">_xlfn.IFNA(INDEX(KP!$Q:$Q,MATCH(($B36&amp;"|"&amp;W$3),KP!$D:$D,0)),"")</f>
        <v/>
      </c>
      <c r="X36" s="10" t="str">
        <f aca="false">_xlfn.IFNA(INDEX(KP!$Q:$Q,MATCH(($B36&amp;"|"&amp;X$3),KP!$D:$D,0)),"")</f>
        <v/>
      </c>
      <c r="Y36" s="10" t="n">
        <f aca="false">_xlfn.IFNA(INDEX(KP!$Q:$Q,MATCH(($B36&amp;"|"&amp;Y$3),KP!$D:$D,0)),"")</f>
        <v>5</v>
      </c>
      <c r="Z36" s="10" t="n">
        <f aca="false">SUM(SUMIFS(Cascade!$AX:$AX,Cascade!$B:$B,$B36,Cascade!$C:$C,{"15-24","25-34","35-49","50+"},Cascade!$D:$D,"Female"))</f>
        <v>0</v>
      </c>
      <c r="AA36" s="10" t="n">
        <f aca="false">SUM(SUMIFS(Cascade!$AX:$AX,Cascade!$B:$B,$B36,Cascade!$C:$C,{"15-24","25-34","35-49","50+"},Cascade!$D:$D,"Male"))</f>
        <v>0</v>
      </c>
      <c r="AB36" s="10" t="n">
        <f aca="false">_xlfn.IFNA(INDEX(KP!$Z:$Z,MATCH(($B36&amp;"|"&amp;AB$3),KP!$D:$D,0)),"")</f>
        <v>3</v>
      </c>
      <c r="AC36" s="10" t="n">
        <f aca="false">_xlfn.IFNA(INDEX(KP!$Z:$Z,MATCH(($B36&amp;"|"&amp;AC$3),KP!$D:$D,0)),"")</f>
        <v>2</v>
      </c>
      <c r="AD36" s="10" t="str">
        <f aca="false">_xlfn.IFNA(INDEX(KP!$Z:$Z,MATCH(($B36&amp;"|"&amp;AD$3),KP!$D:$D,0)),"")</f>
        <v/>
      </c>
      <c r="AE36" s="10" t="str">
        <f aca="false">_xlfn.IFNA(INDEX(KP!$Z:$Z,MATCH(($B36&amp;"|"&amp;AE$3),KP!$D:$D,0)),"")</f>
        <v/>
      </c>
      <c r="AF36" s="10" t="str">
        <f aca="false">_xlfn.IFNA(INDEX(KP!$Z:$Z,MATCH(($B36&amp;"|"&amp;AF$3),KP!$D:$D,0)),"")</f>
        <v/>
      </c>
      <c r="AG36" s="10" t="n">
        <f aca="false">SUM(SUMIFS(Cascade!$BB:$BB,Cascade!$B:$B,$B36,Cascade!$C:$C,{"15-24","25-34","35-49","50+"},Cascade!$D:$D,"Female"))</f>
        <v>0</v>
      </c>
      <c r="AH36" s="10" t="n">
        <f aca="false">SUM(SUMIFS(Cascade!$BB:$BB,Cascade!$B:$B,$B36,Cascade!$C:$C,{"15-24","25-34","35-49","50+"},Cascade!$D:$D,"Male"))</f>
        <v>0</v>
      </c>
      <c r="AI36" s="10" t="n">
        <f aca="false">_xlfn.IFNA(INDEX(KP!$AD:$AD,MATCH(($B36&amp;"|"&amp;AI$3),KP!$D:$D,0)),"")</f>
        <v>143</v>
      </c>
      <c r="AJ36" s="10" t="n">
        <f aca="false">_xlfn.IFNA(INDEX(KP!$AD:$AD,MATCH(($B36&amp;"|"&amp;AJ$3),KP!$D:$D,0)),"")</f>
        <v>73</v>
      </c>
      <c r="AK36" s="10" t="str">
        <f aca="false">_xlfn.IFNA(INDEX(KP!$AD:$AD,MATCH(($B36&amp;"|"&amp;AK$3),KP!$D:$D,0)),"")</f>
        <v/>
      </c>
      <c r="AL36" s="10" t="str">
        <f aca="false">_xlfn.IFNA(INDEX(KP!$AD:$AD,MATCH(($B36&amp;"|"&amp;AL$3),KP!$D:$D,0)),"")</f>
        <v/>
      </c>
      <c r="AM36" s="10" t="n">
        <f aca="false">_xlfn.IFNA(INDEX(KP!$AD:$AD,MATCH(($B36&amp;"|"&amp;AM$3),KP!$D:$D,0)),"")</f>
        <v>5</v>
      </c>
      <c r="AN36" s="10" t="n">
        <f aca="false">SUM(SUMIFS(Cascade!$BE:$BE,Cascade!$B:$B,$B36,Cascade!$C:$C,{"15-24","25-34","35-49","50+"},Cascade!$D:$D,"Female"))</f>
        <v>0</v>
      </c>
      <c r="AO36" s="10" t="n">
        <f aca="false">SUM(SUMIFS(Cascade!$BE:$BE,Cascade!$B:$B,$B36,Cascade!$C:$C,{"15-24","25-34","35-49","50+"},Cascade!$D:$D,"Male"))</f>
        <v>0</v>
      </c>
      <c r="AP36" s="10" t="n">
        <f aca="false">_xlfn.IFNA(INDEX(KP!$AF:$AF,MATCH(($B36&amp;"|"&amp;AP$3),KP!$D:$D,0)),"")</f>
        <v>136</v>
      </c>
      <c r="AQ36" s="10" t="n">
        <f aca="false">_xlfn.IFNA(INDEX(KP!$AF:$AF,MATCH(($B36&amp;"|"&amp;AQ$3),KP!$D:$D,0)),"")</f>
        <v>69</v>
      </c>
      <c r="AR36" s="10" t="str">
        <f aca="false">_xlfn.IFNA(INDEX(KP!$AF:$AF,MATCH(($B36&amp;"|"&amp;AR$3),KP!$D:$D,0)),"")</f>
        <v/>
      </c>
      <c r="AS36" s="10" t="str">
        <f aca="false">_xlfn.IFNA(INDEX(KP!$AF:$AF,MATCH(($B36&amp;"|"&amp;AS$3),KP!$D:$D,0)),"")</f>
        <v/>
      </c>
      <c r="AT36" s="10" t="n">
        <f aca="false">_xlfn.IFNA(INDEX(KP!$AF:$AF,MATCH(($B36&amp;"|"&amp;AT$3),KP!$D:$D,0)),"")</f>
        <v>5</v>
      </c>
      <c r="AU36" s="10" t="n">
        <f aca="false">SUM(SUMIFS(HTS!$AM:$AM,HTS!$B:$B,$B36,HTS!$C:$C,{"15-24","25-34","35-49","50+"},HTS!$D:$D,"Female"))</f>
        <v>0</v>
      </c>
      <c r="AV36" s="10" t="n">
        <f aca="false">SUM(SUMIFS(HTS!$AM:$AM,HTS!$B:$B,$B36,HTS!$C:$C,{"15-24","25-34","35-49","50+"},HTS!$D:$D,"Male"))</f>
        <v>0</v>
      </c>
      <c r="AW36" s="10" t="n">
        <f aca="false">_xlfn.IFNA(INDEX(KP!$AK:$AK,MATCH(($B36&amp;"|"&amp;AW$3),KP!$D:$D,0)),"")</f>
        <v>3</v>
      </c>
      <c r="AX36" s="10" t="n">
        <f aca="false">_xlfn.IFNA(INDEX(KP!$AK:$AK,MATCH(($B36&amp;"|"&amp;AX$3),KP!$D:$D,0)),"")</f>
        <v>2</v>
      </c>
      <c r="AY36" s="10" t="str">
        <f aca="false">_xlfn.IFNA(INDEX(KP!$AK:$AK,MATCH(($B36&amp;"|"&amp;AY$3),KP!$D:$D,0)),"")</f>
        <v/>
      </c>
      <c r="AZ36" s="10" t="str">
        <f aca="false">_xlfn.IFNA(INDEX(KP!$AK:$AK,MATCH(($B36&amp;"|"&amp;AZ$3),KP!$D:$D,0)),"")</f>
        <v/>
      </c>
      <c r="BA36" s="10" t="str">
        <f aca="false">_xlfn.IFNA(INDEX(KP!$AK:$AK,MATCH(($B36&amp;"|"&amp;BA$3),KP!$D:$D,0)),"")</f>
        <v/>
      </c>
      <c r="BB36" s="10" t="n">
        <f aca="false">SUM(SUMIFS(HTS!$AT:$AT,HTS!$B:$B,$B36,HTS!$C:$C,{"15-24","25-34","35-49","50+"},HTS!$D:$D,"Female"))</f>
        <v>0</v>
      </c>
      <c r="BC36" s="10" t="n">
        <f aca="false">SUM(SUMIFS(HTS!$AT:$AT,HTS!$B:$B,$B36,HTS!$C:$C,{"15-24","25-34","35-49","50+"},HTS!$D:$D,"Male"))</f>
        <v>0</v>
      </c>
      <c r="BD36" s="10" t="str">
        <f aca="false">_xlfn.IFNA(INDEX(KP!$AL:$AL,MATCH(($B36&amp;"|"&amp;BD$3),KP!$D:$D,0)),"")</f>
        <v>ENTER YIELD RATE</v>
      </c>
      <c r="BE36" s="10" t="str">
        <f aca="false">_xlfn.IFNA(INDEX(KP!$AL:$AL,MATCH(($B36&amp;"|"&amp;BE$3),KP!$D:$D,0)),"")</f>
        <v>ENTER YIELD RATE</v>
      </c>
      <c r="BF36" s="10" t="str">
        <f aca="false">_xlfn.IFNA(INDEX(KP!$AL:$AL,MATCH(($B36&amp;"|"&amp;BF$3),KP!$D:$D,0)),"")</f>
        <v/>
      </c>
      <c r="BG36" s="10" t="str">
        <f aca="false">_xlfn.IFNA(INDEX(KP!$AL:$AL,MATCH(($B36&amp;"|"&amp;BG$3),KP!$D:$D,0)),"")</f>
        <v/>
      </c>
      <c r="BH36" s="10" t="str">
        <f aca="false">_xlfn.IFNA(INDEX(KP!$AL:$AL,MATCH(($B36&amp;"|"&amp;BH$3),KP!$D:$D,0)),"")</f>
        <v/>
      </c>
      <c r="BI36" s="10" t="n">
        <f aca="false">SUM(SUMIFS(HTS!$BA:$BA,HTS!$B:$B,$B36,HTS!$C:$C,{"15-24","25-34","35-49","50+"},HTS!$D:$D,"Female"))</f>
        <v>0</v>
      </c>
      <c r="BJ36" s="10" t="n">
        <f aca="false">SUM(SUMIFS(HTS!$BA:$BA,HTS!$B:$B,$B36,HTS!$C:$C,{"15-24","25-34","35-49","50+"},HTS!$D:$D,"Male"))</f>
        <v>0</v>
      </c>
      <c r="BK36" s="10" t="n">
        <f aca="false">_xlfn.IFNA(INDEX(KP!$AN:$AN,MATCH(($B36&amp;"|"&amp;BK$3),KP!$D:$D,0)),"")</f>
        <v>3</v>
      </c>
      <c r="BL36" s="10" t="n">
        <f aca="false">_xlfn.IFNA(INDEX(KP!$AN:$AN,MATCH(($B36&amp;"|"&amp;BL$3),KP!$D:$D,0)),"")</f>
        <v>2</v>
      </c>
      <c r="BM36" s="10" t="str">
        <f aca="false">_xlfn.IFNA(INDEX(KP!$AN:$AN,MATCH(($B36&amp;"|"&amp;BM$3),KP!$D:$D,0)),"")</f>
        <v/>
      </c>
      <c r="BN36" s="10" t="str">
        <f aca="false">_xlfn.IFNA(INDEX(KP!$AN:$AN,MATCH(($B36&amp;"|"&amp;BN$3),KP!$D:$D,0)),"")</f>
        <v/>
      </c>
      <c r="BO36" s="10" t="str">
        <f aca="false">_xlfn.IFNA(INDEX(KP!$AN:$AN,MATCH(($B36&amp;"|"&amp;BO$3),KP!$D:$D,0)),"")</f>
        <v/>
      </c>
      <c r="BP36" s="10" t="n">
        <f aca="false">SUM(SUMIFS(HTS!$AY:$AY,HTS!$B:$B,$B36,HTS!$C:$C,{"15-24","25-34","35-49","50+"},HTS!$D:$D,"Female"))</f>
        <v>78</v>
      </c>
      <c r="BQ36" s="10" t="n">
        <f aca="false">SUM(SUMIFS(HTS!$AY:$AY,HTS!$B:$B,$B36,HTS!$C:$C,{"15-24","25-34","35-49","50+"},HTS!$D:$D,"Male"))</f>
        <v>45</v>
      </c>
      <c r="BR36" s="10" t="n">
        <f aca="false">_xlfn.IFNA(INDEX(KP!$AP:$AP,MATCH(($B36&amp;"|"&amp;BR$3),KP!$D:$D,0)),"")</f>
        <v>0</v>
      </c>
      <c r="BS36" s="10" t="n">
        <f aca="false">_xlfn.IFNA(INDEX(KP!$AP:$AP,MATCH(($B36&amp;"|"&amp;BS$3),KP!$D:$D,0)),"")</f>
        <v>0</v>
      </c>
      <c r="BT36" s="10" t="n">
        <f aca="false">_xlfn.IFNA(INDEX(KP!$AP:$AP,MATCH(($B36&amp;"|"&amp;BT$3),KP!$D:$D,0)),"")</f>
        <v>0</v>
      </c>
      <c r="BU36" s="10" t="n">
        <f aca="false">_xlfn.IFNA(INDEX(KP!$AP:$AP,MATCH(($B36&amp;"|"&amp;BU$3),KP!$D:$D,0)),"")</f>
        <v>0</v>
      </c>
      <c r="BV36" s="10" t="n">
        <f aca="false">_xlfn.IFNA(INDEX(KP!$AP:$AP,MATCH(($B36&amp;"|"&amp;BV$3),KP!$D:$D,0)),"")</f>
        <v>0</v>
      </c>
    </row>
    <row r="37" customFormat="false" ht="15" hidden="false" customHeight="false" outlineLevel="0" collapsed="false">
      <c r="A37" s="91" t="str">
        <f aca="false">INDEX(Prioritization!$D:$D,MATCH($B37,Prioritization!$A:$A,0))</f>
        <v>INVALID</v>
      </c>
      <c r="B37" s="40" t="s">
        <v>216</v>
      </c>
      <c r="C37" s="10" t="n">
        <f aca="false">SUM(SUMIFS(PrEP!$O:$O,PrEP!$B:$B,$B37,PrEP!$C:$C,{"15-24","25-34","35-49","50+"},PrEP!$D:$D,"Female"))</f>
        <v>0</v>
      </c>
      <c r="D37" s="10" t="n">
        <f aca="false">SUM(SUMIFS(PrEP!$O:$O,PrEP!$B:$B,$B37,PrEP!$C:$C,{"15-24","25-34"},PrEP!$D:$D,"Female"))</f>
        <v>0</v>
      </c>
      <c r="E37" s="10" t="n">
        <f aca="false">SUM(SUMIFS(PrEP!$O:$O,PrEP!$B:$B,$B37,PrEP!$C:$C,{"15-24","25-34","35-49","50+"},PrEP!$D:$D,"Male"))</f>
        <v>0</v>
      </c>
      <c r="F37" s="10" t="n">
        <f aca="false">_xlfn.IFNA(INDEX(KP!$I:$I,MATCH(($B37&amp;"|"&amp;F$3),KP!$D:$D,0)),"")</f>
        <v>0</v>
      </c>
      <c r="G37" s="10" t="n">
        <f aca="false">_xlfn.IFNA(INDEX(KP!$I:$I,MATCH(($B37&amp;"|"&amp;G$3),KP!$D:$D,0)),"")</f>
        <v>0</v>
      </c>
      <c r="H37" s="10" t="n">
        <f aca="false">_xlfn.IFNA(INDEX(KP!$I:$I,MATCH(($B37&amp;"|"&amp;H$3),KP!$D:$D,0)),"")</f>
        <v>0</v>
      </c>
      <c r="I37" s="10" t="n">
        <f aca="false">_xlfn.IFNA(INDEX(KP!$I:$I,MATCH(($B37&amp;"|"&amp;I$3),KP!$D:$D,0)),"")</f>
        <v>0</v>
      </c>
      <c r="J37" s="10" t="n">
        <f aca="false">_xlfn.IFNA(INDEX(KP!$I:$I,MATCH(($B37&amp;"|"&amp;J$3),KP!$D:$D,0)),"")</f>
        <v>0</v>
      </c>
      <c r="K37" s="10" t="n">
        <f aca="false">SUM(SUMIFS(PrEP!$L:$L,PrEP!$B:$B,$B37,PrEP!$C:$C,{"15-24","25-34","35-49","50+"},PrEP!$D:$D,"Female"))</f>
        <v>0</v>
      </c>
      <c r="L37" s="10" t="n">
        <f aca="false">SUM(SUMIFS(PrEP!$L:$L,PrEP!$B:$B,$B37,PrEP!$C:$C,{"15-24","25-34"},PrEP!$D:$D,"Female"))</f>
        <v>0</v>
      </c>
      <c r="M37" s="10" t="n">
        <f aca="false">SUM(SUMIFS(PrEP!$L:$L,PrEP!$B:$B,$B37,PrEP!$C:$C,{"15-24","25-34","35-49","50+"},PrEP!$D:$D,"Male"))</f>
        <v>0</v>
      </c>
      <c r="N37" s="10" t="n">
        <f aca="false">_xlfn.IFNA(INDEX(KP!$K:$K,MATCH(($B37&amp;"|"&amp;N$3),KP!$D:$D,0)),"")</f>
        <v>0</v>
      </c>
      <c r="O37" s="10" t="n">
        <f aca="false">_xlfn.IFNA(INDEX(KP!$K:$K,MATCH(($B37&amp;"|"&amp;O$3),KP!$D:$D,0)),"")</f>
        <v>0</v>
      </c>
      <c r="P37" s="10" t="n">
        <f aca="false">_xlfn.IFNA(INDEX(KP!$K:$K,MATCH(($B37&amp;"|"&amp;P$3),KP!$D:$D,0)),"")</f>
        <v>0</v>
      </c>
      <c r="Q37" s="10" t="n">
        <f aca="false">_xlfn.IFNA(INDEX(KP!$K:$K,MATCH(($B37&amp;"|"&amp;Q$3),KP!$D:$D,0)),"")</f>
        <v>0</v>
      </c>
      <c r="R37" s="10" t="n">
        <f aca="false">_xlfn.IFNA(INDEX(KP!$K:$K,MATCH(($B37&amp;"|"&amp;R$3),KP!$D:$D,0)),"")</f>
        <v>0</v>
      </c>
      <c r="S37" s="10" t="n">
        <f aca="false">SUM(SUMIFS(Cascade!$AP:$AP,Cascade!$B:$B,$B37,Cascade!$C:$C,{"15-24","25-34","35-49","50+"},Cascade!$D:$D,"Female"))</f>
        <v>0</v>
      </c>
      <c r="T37" s="10" t="n">
        <f aca="false">SUM(SUMIFS(Cascade!$AP:$AP,Cascade!$B:$B,$B37,Cascade!$C:$C,{"15-24","25-34","35-49","50+"},Cascade!$D:$D,"Male"))</f>
        <v>0</v>
      </c>
      <c r="U37" s="10" t="str">
        <f aca="false">_xlfn.IFNA(INDEX(KP!$Q:$Q,MATCH(($B37&amp;"|"&amp;U$3),KP!$D:$D,0)),"")</f>
        <v/>
      </c>
      <c r="V37" s="10" t="str">
        <f aca="false">_xlfn.IFNA(INDEX(KP!$Q:$Q,MATCH(($B37&amp;"|"&amp;V$3),KP!$D:$D,0)),"")</f>
        <v/>
      </c>
      <c r="W37" s="10" t="str">
        <f aca="false">_xlfn.IFNA(INDEX(KP!$Q:$Q,MATCH(($B37&amp;"|"&amp;W$3),KP!$D:$D,0)),"")</f>
        <v/>
      </c>
      <c r="X37" s="10" t="str">
        <f aca="false">_xlfn.IFNA(INDEX(KP!$Q:$Q,MATCH(($B37&amp;"|"&amp;X$3),KP!$D:$D,0)),"")</f>
        <v/>
      </c>
      <c r="Y37" s="10" t="str">
        <f aca="false">_xlfn.IFNA(INDEX(KP!$Q:$Q,MATCH(($B37&amp;"|"&amp;Y$3),KP!$D:$D,0)),"")</f>
        <v/>
      </c>
      <c r="Z37" s="10" t="n">
        <f aca="false">SUM(SUMIFS(Cascade!$AX:$AX,Cascade!$B:$B,$B37,Cascade!$C:$C,{"15-24","25-34","35-49","50+"},Cascade!$D:$D,"Female"))</f>
        <v>0</v>
      </c>
      <c r="AA37" s="10" t="n">
        <f aca="false">SUM(SUMIFS(Cascade!$AX:$AX,Cascade!$B:$B,$B37,Cascade!$C:$C,{"15-24","25-34","35-49","50+"},Cascade!$D:$D,"Male"))</f>
        <v>0</v>
      </c>
      <c r="AB37" s="10" t="str">
        <f aca="false">_xlfn.IFNA(INDEX(KP!$Z:$Z,MATCH(($B37&amp;"|"&amp;AB$3),KP!$D:$D,0)),"")</f>
        <v/>
      </c>
      <c r="AC37" s="10" t="str">
        <f aca="false">_xlfn.IFNA(INDEX(KP!$Z:$Z,MATCH(($B37&amp;"|"&amp;AC$3),KP!$D:$D,0)),"")</f>
        <v/>
      </c>
      <c r="AD37" s="10" t="str">
        <f aca="false">_xlfn.IFNA(INDEX(KP!$Z:$Z,MATCH(($B37&amp;"|"&amp;AD$3),KP!$D:$D,0)),"")</f>
        <v/>
      </c>
      <c r="AE37" s="10" t="str">
        <f aca="false">_xlfn.IFNA(INDEX(KP!$Z:$Z,MATCH(($B37&amp;"|"&amp;AE$3),KP!$D:$D,0)),"")</f>
        <v/>
      </c>
      <c r="AF37" s="10" t="str">
        <f aca="false">_xlfn.IFNA(INDEX(KP!$Z:$Z,MATCH(($B37&amp;"|"&amp;AF$3),KP!$D:$D,0)),"")</f>
        <v/>
      </c>
      <c r="AG37" s="10" t="n">
        <f aca="false">SUM(SUMIFS(Cascade!$BB:$BB,Cascade!$B:$B,$B37,Cascade!$C:$C,{"15-24","25-34","35-49","50+"},Cascade!$D:$D,"Female"))</f>
        <v>0</v>
      </c>
      <c r="AH37" s="10" t="n">
        <f aca="false">SUM(SUMIFS(Cascade!$BB:$BB,Cascade!$B:$B,$B37,Cascade!$C:$C,{"15-24","25-34","35-49","50+"},Cascade!$D:$D,"Male"))</f>
        <v>0</v>
      </c>
      <c r="AI37" s="10" t="str">
        <f aca="false">_xlfn.IFNA(INDEX(KP!$AD:$AD,MATCH(($B37&amp;"|"&amp;AI$3),KP!$D:$D,0)),"")</f>
        <v/>
      </c>
      <c r="AJ37" s="10" t="str">
        <f aca="false">_xlfn.IFNA(INDEX(KP!$AD:$AD,MATCH(($B37&amp;"|"&amp;AJ$3),KP!$D:$D,0)),"")</f>
        <v/>
      </c>
      <c r="AK37" s="10" t="str">
        <f aca="false">_xlfn.IFNA(INDEX(KP!$AD:$AD,MATCH(($B37&amp;"|"&amp;AK$3),KP!$D:$D,0)),"")</f>
        <v/>
      </c>
      <c r="AL37" s="10" t="str">
        <f aca="false">_xlfn.IFNA(INDEX(KP!$AD:$AD,MATCH(($B37&amp;"|"&amp;AL$3),KP!$D:$D,0)),"")</f>
        <v/>
      </c>
      <c r="AM37" s="10" t="str">
        <f aca="false">_xlfn.IFNA(INDEX(KP!$AD:$AD,MATCH(($B37&amp;"|"&amp;AM$3),KP!$D:$D,0)),"")</f>
        <v/>
      </c>
      <c r="AN37" s="10" t="n">
        <f aca="false">SUM(SUMIFS(Cascade!$BE:$BE,Cascade!$B:$B,$B37,Cascade!$C:$C,{"15-24","25-34","35-49","50+"},Cascade!$D:$D,"Female"))</f>
        <v>0</v>
      </c>
      <c r="AO37" s="10" t="n">
        <f aca="false">SUM(SUMIFS(Cascade!$BE:$BE,Cascade!$B:$B,$B37,Cascade!$C:$C,{"15-24","25-34","35-49","50+"},Cascade!$D:$D,"Male"))</f>
        <v>0</v>
      </c>
      <c r="AP37" s="10" t="str">
        <f aca="false">_xlfn.IFNA(INDEX(KP!$AF:$AF,MATCH(($B37&amp;"|"&amp;AP$3),KP!$D:$D,0)),"")</f>
        <v/>
      </c>
      <c r="AQ37" s="10" t="str">
        <f aca="false">_xlfn.IFNA(INDEX(KP!$AF:$AF,MATCH(($B37&amp;"|"&amp;AQ$3),KP!$D:$D,0)),"")</f>
        <v/>
      </c>
      <c r="AR37" s="10" t="str">
        <f aca="false">_xlfn.IFNA(INDEX(KP!$AF:$AF,MATCH(($B37&amp;"|"&amp;AR$3),KP!$D:$D,0)),"")</f>
        <v/>
      </c>
      <c r="AS37" s="10" t="str">
        <f aca="false">_xlfn.IFNA(INDEX(KP!$AF:$AF,MATCH(($B37&amp;"|"&amp;AS$3),KP!$D:$D,0)),"")</f>
        <v/>
      </c>
      <c r="AT37" s="10" t="str">
        <f aca="false">_xlfn.IFNA(INDEX(KP!$AF:$AF,MATCH(($B37&amp;"|"&amp;AT$3),KP!$D:$D,0)),"")</f>
        <v/>
      </c>
      <c r="AU37" s="10" t="n">
        <f aca="false">SUM(SUMIFS(HTS!$AM:$AM,HTS!$B:$B,$B37,HTS!$C:$C,{"15-24","25-34","35-49","50+"},HTS!$D:$D,"Female"))</f>
        <v>0</v>
      </c>
      <c r="AV37" s="10" t="n">
        <f aca="false">SUM(SUMIFS(HTS!$AM:$AM,HTS!$B:$B,$B37,HTS!$C:$C,{"15-24","25-34","35-49","50+"},HTS!$D:$D,"Male"))</f>
        <v>0</v>
      </c>
      <c r="AW37" s="10" t="str">
        <f aca="false">_xlfn.IFNA(INDEX(KP!$AK:$AK,MATCH(($B37&amp;"|"&amp;AW$3),KP!$D:$D,0)),"")</f>
        <v/>
      </c>
      <c r="AX37" s="10" t="str">
        <f aca="false">_xlfn.IFNA(INDEX(KP!$AK:$AK,MATCH(($B37&amp;"|"&amp;AX$3),KP!$D:$D,0)),"")</f>
        <v/>
      </c>
      <c r="AY37" s="10" t="str">
        <f aca="false">_xlfn.IFNA(INDEX(KP!$AK:$AK,MATCH(($B37&amp;"|"&amp;AY$3),KP!$D:$D,0)),"")</f>
        <v/>
      </c>
      <c r="AZ37" s="10" t="str">
        <f aca="false">_xlfn.IFNA(INDEX(KP!$AK:$AK,MATCH(($B37&amp;"|"&amp;AZ$3),KP!$D:$D,0)),"")</f>
        <v/>
      </c>
      <c r="BA37" s="10" t="str">
        <f aca="false">_xlfn.IFNA(INDEX(KP!$AK:$AK,MATCH(($B37&amp;"|"&amp;BA$3),KP!$D:$D,0)),"")</f>
        <v/>
      </c>
      <c r="BB37" s="10" t="n">
        <f aca="false">SUM(SUMIFS(HTS!$AT:$AT,HTS!$B:$B,$B37,HTS!$C:$C,{"15-24","25-34","35-49","50+"},HTS!$D:$D,"Female"))</f>
        <v>0</v>
      </c>
      <c r="BC37" s="10" t="n">
        <f aca="false">SUM(SUMIFS(HTS!$AT:$AT,HTS!$B:$B,$B37,HTS!$C:$C,{"15-24","25-34","35-49","50+"},HTS!$D:$D,"Male"))</f>
        <v>0</v>
      </c>
      <c r="BD37" s="10" t="str">
        <f aca="false">_xlfn.IFNA(INDEX(KP!$AL:$AL,MATCH(($B37&amp;"|"&amp;BD$3),KP!$D:$D,0)),"")</f>
        <v/>
      </c>
      <c r="BE37" s="10" t="str">
        <f aca="false">_xlfn.IFNA(INDEX(KP!$AL:$AL,MATCH(($B37&amp;"|"&amp;BE$3),KP!$D:$D,0)),"")</f>
        <v/>
      </c>
      <c r="BF37" s="10" t="str">
        <f aca="false">_xlfn.IFNA(INDEX(KP!$AL:$AL,MATCH(($B37&amp;"|"&amp;BF$3),KP!$D:$D,0)),"")</f>
        <v/>
      </c>
      <c r="BG37" s="10" t="str">
        <f aca="false">_xlfn.IFNA(INDEX(KP!$AL:$AL,MATCH(($B37&amp;"|"&amp;BG$3),KP!$D:$D,0)),"")</f>
        <v/>
      </c>
      <c r="BH37" s="10" t="str">
        <f aca="false">_xlfn.IFNA(INDEX(KP!$AL:$AL,MATCH(($B37&amp;"|"&amp;BH$3),KP!$D:$D,0)),"")</f>
        <v/>
      </c>
      <c r="BI37" s="10" t="n">
        <f aca="false">SUM(SUMIFS(HTS!$BA:$BA,HTS!$B:$B,$B37,HTS!$C:$C,{"15-24","25-34","35-49","50+"},HTS!$D:$D,"Female"))</f>
        <v>0</v>
      </c>
      <c r="BJ37" s="10" t="n">
        <f aca="false">SUM(SUMIFS(HTS!$BA:$BA,HTS!$B:$B,$B37,HTS!$C:$C,{"15-24","25-34","35-49","50+"},HTS!$D:$D,"Male"))</f>
        <v>0</v>
      </c>
      <c r="BK37" s="10" t="str">
        <f aca="false">_xlfn.IFNA(INDEX(KP!$AN:$AN,MATCH(($B37&amp;"|"&amp;BK$3),KP!$D:$D,0)),"")</f>
        <v/>
      </c>
      <c r="BL37" s="10" t="str">
        <f aca="false">_xlfn.IFNA(INDEX(KP!$AN:$AN,MATCH(($B37&amp;"|"&amp;BL$3),KP!$D:$D,0)),"")</f>
        <v/>
      </c>
      <c r="BM37" s="10" t="str">
        <f aca="false">_xlfn.IFNA(INDEX(KP!$AN:$AN,MATCH(($B37&amp;"|"&amp;BM$3),KP!$D:$D,0)),"")</f>
        <v/>
      </c>
      <c r="BN37" s="10" t="str">
        <f aca="false">_xlfn.IFNA(INDEX(KP!$AN:$AN,MATCH(($B37&amp;"|"&amp;BN$3),KP!$D:$D,0)),"")</f>
        <v/>
      </c>
      <c r="BO37" s="10" t="str">
        <f aca="false">_xlfn.IFNA(INDEX(KP!$AN:$AN,MATCH(($B37&amp;"|"&amp;BO$3),KP!$D:$D,0)),"")</f>
        <v/>
      </c>
      <c r="BP37" s="10" t="n">
        <f aca="false">SUM(SUMIFS(HTS!$AY:$AY,HTS!$B:$B,$B37,HTS!$C:$C,{"15-24","25-34","35-49","50+"},HTS!$D:$D,"Female"))</f>
        <v>287</v>
      </c>
      <c r="BQ37" s="10" t="n">
        <f aca="false">SUM(SUMIFS(HTS!$AY:$AY,HTS!$B:$B,$B37,HTS!$C:$C,{"15-24","25-34","35-49","50+"},HTS!$D:$D,"Male"))</f>
        <v>774</v>
      </c>
      <c r="BR37" s="10" t="n">
        <f aca="false">_xlfn.IFNA(INDEX(KP!$AP:$AP,MATCH(($B37&amp;"|"&amp;BR$3),KP!$D:$D,0)),"")</f>
        <v>0</v>
      </c>
      <c r="BS37" s="10" t="n">
        <f aca="false">_xlfn.IFNA(INDEX(KP!$AP:$AP,MATCH(($B37&amp;"|"&amp;BS$3),KP!$D:$D,0)),"")</f>
        <v>0</v>
      </c>
      <c r="BT37" s="10" t="n">
        <f aca="false">_xlfn.IFNA(INDEX(KP!$AP:$AP,MATCH(($B37&amp;"|"&amp;BT$3),KP!$D:$D,0)),"")</f>
        <v>0</v>
      </c>
      <c r="BU37" s="10" t="n">
        <f aca="false">_xlfn.IFNA(INDEX(KP!$AP:$AP,MATCH(($B37&amp;"|"&amp;BU$3),KP!$D:$D,0)),"")</f>
        <v>0</v>
      </c>
      <c r="BV37" s="10" t="n">
        <f aca="false">_xlfn.IFNA(INDEX(KP!$AP:$AP,MATCH(($B37&amp;"|"&amp;BV$3),KP!$D:$D,0)),"")</f>
        <v>0</v>
      </c>
    </row>
    <row r="38" customFormat="false" ht="15" hidden="false" customHeight="false" outlineLevel="0" collapsed="false">
      <c r="A38" s="91" t="str">
        <f aca="false">INDEX(Prioritization!$D:$D,MATCH($B38,Prioritization!$A:$A,0))</f>
        <v>INVALID</v>
      </c>
      <c r="B38" s="40" t="s">
        <v>217</v>
      </c>
      <c r="C38" s="10" t="n">
        <f aca="false">SUM(SUMIFS(PrEP!$O:$O,PrEP!$B:$B,$B38,PrEP!$C:$C,{"15-24","25-34","35-49","50+"},PrEP!$D:$D,"Female"))</f>
        <v>0</v>
      </c>
      <c r="D38" s="10" t="n">
        <f aca="false">SUM(SUMIFS(PrEP!$O:$O,PrEP!$B:$B,$B38,PrEP!$C:$C,{"15-24","25-34"},PrEP!$D:$D,"Female"))</f>
        <v>0</v>
      </c>
      <c r="E38" s="10" t="n">
        <f aca="false">SUM(SUMIFS(PrEP!$O:$O,PrEP!$B:$B,$B38,PrEP!$C:$C,{"15-24","25-34","35-49","50+"},PrEP!$D:$D,"Male"))</f>
        <v>0</v>
      </c>
      <c r="F38" s="10" t="n">
        <f aca="false">_xlfn.IFNA(INDEX(KP!$I:$I,MATCH(($B38&amp;"|"&amp;F$3),KP!$D:$D,0)),"")</f>
        <v>0</v>
      </c>
      <c r="G38" s="10" t="n">
        <f aca="false">_xlfn.IFNA(INDEX(KP!$I:$I,MATCH(($B38&amp;"|"&amp;G$3),KP!$D:$D,0)),"")</f>
        <v>0</v>
      </c>
      <c r="H38" s="10" t="n">
        <f aca="false">_xlfn.IFNA(INDEX(KP!$I:$I,MATCH(($B38&amp;"|"&amp;H$3),KP!$D:$D,0)),"")</f>
        <v>0</v>
      </c>
      <c r="I38" s="10" t="n">
        <f aca="false">_xlfn.IFNA(INDEX(KP!$I:$I,MATCH(($B38&amp;"|"&amp;I$3),KP!$D:$D,0)),"")</f>
        <v>0</v>
      </c>
      <c r="J38" s="10" t="n">
        <f aca="false">_xlfn.IFNA(INDEX(KP!$I:$I,MATCH(($B38&amp;"|"&amp;J$3),KP!$D:$D,0)),"")</f>
        <v>0</v>
      </c>
      <c r="K38" s="10" t="n">
        <f aca="false">SUM(SUMIFS(PrEP!$L:$L,PrEP!$B:$B,$B38,PrEP!$C:$C,{"15-24","25-34","35-49","50+"},PrEP!$D:$D,"Female"))</f>
        <v>1</v>
      </c>
      <c r="L38" s="10" t="n">
        <f aca="false">SUM(SUMIFS(PrEP!$L:$L,PrEP!$B:$B,$B38,PrEP!$C:$C,{"15-24","25-34"},PrEP!$D:$D,"Female"))</f>
        <v>0</v>
      </c>
      <c r="M38" s="10" t="n">
        <f aca="false">SUM(SUMIFS(PrEP!$L:$L,PrEP!$B:$B,$B38,PrEP!$C:$C,{"15-24","25-34","35-49","50+"},PrEP!$D:$D,"Male"))</f>
        <v>1</v>
      </c>
      <c r="N38" s="10" t="n">
        <f aca="false">_xlfn.IFNA(INDEX(KP!$K:$K,MATCH(($B38&amp;"|"&amp;N$3),KP!$D:$D,0)),"")</f>
        <v>0</v>
      </c>
      <c r="O38" s="10" t="n">
        <f aca="false">_xlfn.IFNA(INDEX(KP!$K:$K,MATCH(($B38&amp;"|"&amp;O$3),KP!$D:$D,0)),"")</f>
        <v>0</v>
      </c>
      <c r="P38" s="10" t="n">
        <f aca="false">_xlfn.IFNA(INDEX(KP!$K:$K,MATCH(($B38&amp;"|"&amp;P$3),KP!$D:$D,0)),"")</f>
        <v>0</v>
      </c>
      <c r="Q38" s="10" t="n">
        <f aca="false">_xlfn.IFNA(INDEX(KP!$K:$K,MATCH(($B38&amp;"|"&amp;Q$3),KP!$D:$D,0)),"")</f>
        <v>0</v>
      </c>
      <c r="R38" s="10" t="n">
        <f aca="false">_xlfn.IFNA(INDEX(KP!$K:$K,MATCH(($B38&amp;"|"&amp;R$3),KP!$D:$D,0)),"")</f>
        <v>0</v>
      </c>
      <c r="S38" s="10" t="n">
        <f aca="false">SUM(SUMIFS(Cascade!$AP:$AP,Cascade!$B:$B,$B38,Cascade!$C:$C,{"15-24","25-34","35-49","50+"},Cascade!$D:$D,"Female"))</f>
        <v>0</v>
      </c>
      <c r="T38" s="10" t="n">
        <f aca="false">SUM(SUMIFS(Cascade!$AP:$AP,Cascade!$B:$B,$B38,Cascade!$C:$C,{"15-24","25-34","35-49","50+"},Cascade!$D:$D,"Male"))</f>
        <v>0</v>
      </c>
      <c r="U38" s="10" t="n">
        <f aca="false">_xlfn.IFNA(INDEX(KP!$Q:$Q,MATCH(($B38&amp;"|"&amp;U$3),KP!$D:$D,0)),"")</f>
        <v>56</v>
      </c>
      <c r="V38" s="10" t="n">
        <f aca="false">_xlfn.IFNA(INDEX(KP!$Q:$Q,MATCH(($B38&amp;"|"&amp;V$3),KP!$D:$D,0)),"")</f>
        <v>8</v>
      </c>
      <c r="W38" s="10" t="n">
        <f aca="false">_xlfn.IFNA(INDEX(KP!$Q:$Q,MATCH(($B38&amp;"|"&amp;W$3),KP!$D:$D,0)),"")</f>
        <v>6</v>
      </c>
      <c r="X38" s="10" t="str">
        <f aca="false">_xlfn.IFNA(INDEX(KP!$Q:$Q,MATCH(($B38&amp;"|"&amp;X$3),KP!$D:$D,0)),"")</f>
        <v/>
      </c>
      <c r="Y38" s="10" t="str">
        <f aca="false">_xlfn.IFNA(INDEX(KP!$Q:$Q,MATCH(($B38&amp;"|"&amp;Y$3),KP!$D:$D,0)),"")</f>
        <v/>
      </c>
      <c r="Z38" s="10" t="n">
        <f aca="false">SUM(SUMIFS(Cascade!$AX:$AX,Cascade!$B:$B,$B38,Cascade!$C:$C,{"15-24","25-34","35-49","50+"},Cascade!$D:$D,"Female"))</f>
        <v>0</v>
      </c>
      <c r="AA38" s="10" t="n">
        <f aca="false">SUM(SUMIFS(Cascade!$AX:$AX,Cascade!$B:$B,$B38,Cascade!$C:$C,{"15-24","25-34","35-49","50+"},Cascade!$D:$D,"Male"))</f>
        <v>0</v>
      </c>
      <c r="AB38" s="10" t="n">
        <f aca="false">_xlfn.IFNA(INDEX(KP!$Z:$Z,MATCH(($B38&amp;"|"&amp;AB$3),KP!$D:$D,0)),"")</f>
        <v>1</v>
      </c>
      <c r="AC38" s="10" t="str">
        <f aca="false">_xlfn.IFNA(INDEX(KP!$Z:$Z,MATCH(($B38&amp;"|"&amp;AC$3),KP!$D:$D,0)),"")</f>
        <v/>
      </c>
      <c r="AD38" s="10" t="str">
        <f aca="false">_xlfn.IFNA(INDEX(KP!$Z:$Z,MATCH(($B38&amp;"|"&amp;AD$3),KP!$D:$D,0)),"")</f>
        <v/>
      </c>
      <c r="AE38" s="10" t="str">
        <f aca="false">_xlfn.IFNA(INDEX(KP!$Z:$Z,MATCH(($B38&amp;"|"&amp;AE$3),KP!$D:$D,0)),"")</f>
        <v/>
      </c>
      <c r="AF38" s="10" t="str">
        <f aca="false">_xlfn.IFNA(INDEX(KP!$Z:$Z,MATCH(($B38&amp;"|"&amp;AF$3),KP!$D:$D,0)),"")</f>
        <v/>
      </c>
      <c r="AG38" s="10" t="n">
        <f aca="false">SUM(SUMIFS(Cascade!$BB:$BB,Cascade!$B:$B,$B38,Cascade!$C:$C,{"15-24","25-34","35-49","50+"},Cascade!$D:$D,"Female"))</f>
        <v>0</v>
      </c>
      <c r="AH38" s="10" t="n">
        <f aca="false">SUM(SUMIFS(Cascade!$BB:$BB,Cascade!$B:$B,$B38,Cascade!$C:$C,{"15-24","25-34","35-49","50+"},Cascade!$D:$D,"Male"))</f>
        <v>0</v>
      </c>
      <c r="AI38" s="10" t="n">
        <f aca="false">_xlfn.IFNA(INDEX(KP!$AD:$AD,MATCH(($B38&amp;"|"&amp;AI$3),KP!$D:$D,0)),"")</f>
        <v>54</v>
      </c>
      <c r="AJ38" s="10" t="n">
        <f aca="false">_xlfn.IFNA(INDEX(KP!$AD:$AD,MATCH(($B38&amp;"|"&amp;AJ$3),KP!$D:$D,0)),"")</f>
        <v>8</v>
      </c>
      <c r="AK38" s="10" t="n">
        <f aca="false">_xlfn.IFNA(INDEX(KP!$AD:$AD,MATCH(($B38&amp;"|"&amp;AK$3),KP!$D:$D,0)),"")</f>
        <v>6</v>
      </c>
      <c r="AL38" s="10" t="str">
        <f aca="false">_xlfn.IFNA(INDEX(KP!$AD:$AD,MATCH(($B38&amp;"|"&amp;AL$3),KP!$D:$D,0)),"")</f>
        <v/>
      </c>
      <c r="AM38" s="10" t="str">
        <f aca="false">_xlfn.IFNA(INDEX(KP!$AD:$AD,MATCH(($B38&amp;"|"&amp;AM$3),KP!$D:$D,0)),"")</f>
        <v/>
      </c>
      <c r="AN38" s="10" t="n">
        <f aca="false">SUM(SUMIFS(Cascade!$BE:$BE,Cascade!$B:$B,$B38,Cascade!$C:$C,{"15-24","25-34","35-49","50+"},Cascade!$D:$D,"Female"))</f>
        <v>0</v>
      </c>
      <c r="AO38" s="10" t="n">
        <f aca="false">SUM(SUMIFS(Cascade!$BE:$BE,Cascade!$B:$B,$B38,Cascade!$C:$C,{"15-24","25-34","35-49","50+"},Cascade!$D:$D,"Male"))</f>
        <v>0</v>
      </c>
      <c r="AP38" s="10" t="n">
        <f aca="false">_xlfn.IFNA(INDEX(KP!$AF:$AF,MATCH(($B38&amp;"|"&amp;AP$3),KP!$D:$D,0)),"")</f>
        <v>51</v>
      </c>
      <c r="AQ38" s="10" t="n">
        <f aca="false">_xlfn.IFNA(INDEX(KP!$AF:$AF,MATCH(($B38&amp;"|"&amp;AQ$3),KP!$D:$D,0)),"")</f>
        <v>8</v>
      </c>
      <c r="AR38" s="10" t="n">
        <f aca="false">_xlfn.IFNA(INDEX(KP!$AF:$AF,MATCH(($B38&amp;"|"&amp;AR$3),KP!$D:$D,0)),"")</f>
        <v>6</v>
      </c>
      <c r="AS38" s="10" t="str">
        <f aca="false">_xlfn.IFNA(INDEX(KP!$AF:$AF,MATCH(($B38&amp;"|"&amp;AS$3),KP!$D:$D,0)),"")</f>
        <v/>
      </c>
      <c r="AT38" s="10" t="str">
        <f aca="false">_xlfn.IFNA(INDEX(KP!$AF:$AF,MATCH(($B38&amp;"|"&amp;AT$3),KP!$D:$D,0)),"")</f>
        <v/>
      </c>
      <c r="AU38" s="10" t="n">
        <f aca="false">SUM(SUMIFS(HTS!$AM:$AM,HTS!$B:$B,$B38,HTS!$C:$C,{"15-24","25-34","35-49","50+"},HTS!$D:$D,"Female"))</f>
        <v>0</v>
      </c>
      <c r="AV38" s="10" t="n">
        <f aca="false">SUM(SUMIFS(HTS!$AM:$AM,HTS!$B:$B,$B38,HTS!$C:$C,{"15-24","25-34","35-49","50+"},HTS!$D:$D,"Male"))</f>
        <v>0</v>
      </c>
      <c r="AW38" s="10" t="n">
        <f aca="false">_xlfn.IFNA(INDEX(KP!$AK:$AK,MATCH(($B38&amp;"|"&amp;AW$3),KP!$D:$D,0)),"")</f>
        <v>1</v>
      </c>
      <c r="AX38" s="10" t="str">
        <f aca="false">_xlfn.IFNA(INDEX(KP!$AK:$AK,MATCH(($B38&amp;"|"&amp;AX$3),KP!$D:$D,0)),"")</f>
        <v/>
      </c>
      <c r="AY38" s="10" t="str">
        <f aca="false">_xlfn.IFNA(INDEX(KP!$AK:$AK,MATCH(($B38&amp;"|"&amp;AY$3),KP!$D:$D,0)),"")</f>
        <v/>
      </c>
      <c r="AZ38" s="10" t="str">
        <f aca="false">_xlfn.IFNA(INDEX(KP!$AK:$AK,MATCH(($B38&amp;"|"&amp;AZ$3),KP!$D:$D,0)),"")</f>
        <v/>
      </c>
      <c r="BA38" s="10" t="str">
        <f aca="false">_xlfn.IFNA(INDEX(KP!$AK:$AK,MATCH(($B38&amp;"|"&amp;BA$3),KP!$D:$D,0)),"")</f>
        <v/>
      </c>
      <c r="BB38" s="10" t="n">
        <f aca="false">SUM(SUMIFS(HTS!$AT:$AT,HTS!$B:$B,$B38,HTS!$C:$C,{"15-24","25-34","35-49","50+"},HTS!$D:$D,"Female"))</f>
        <v>0</v>
      </c>
      <c r="BC38" s="10" t="n">
        <f aca="false">SUM(SUMIFS(HTS!$AT:$AT,HTS!$B:$B,$B38,HTS!$C:$C,{"15-24","25-34","35-49","50+"},HTS!$D:$D,"Male"))</f>
        <v>0</v>
      </c>
      <c r="BD38" s="10" t="str">
        <f aca="false">_xlfn.IFNA(INDEX(KP!$AL:$AL,MATCH(($B38&amp;"|"&amp;BD$3),KP!$D:$D,0)),"")</f>
        <v>ENTER YIELD RATE</v>
      </c>
      <c r="BE38" s="10" t="str">
        <f aca="false">_xlfn.IFNA(INDEX(KP!$AL:$AL,MATCH(($B38&amp;"|"&amp;BE$3),KP!$D:$D,0)),"")</f>
        <v/>
      </c>
      <c r="BF38" s="10" t="str">
        <f aca="false">_xlfn.IFNA(INDEX(KP!$AL:$AL,MATCH(($B38&amp;"|"&amp;BF$3),KP!$D:$D,0)),"")</f>
        <v/>
      </c>
      <c r="BG38" s="10" t="str">
        <f aca="false">_xlfn.IFNA(INDEX(KP!$AL:$AL,MATCH(($B38&amp;"|"&amp;BG$3),KP!$D:$D,0)),"")</f>
        <v/>
      </c>
      <c r="BH38" s="10" t="str">
        <f aca="false">_xlfn.IFNA(INDEX(KP!$AL:$AL,MATCH(($B38&amp;"|"&amp;BH$3),KP!$D:$D,0)),"")</f>
        <v/>
      </c>
      <c r="BI38" s="10" t="n">
        <f aca="false">SUM(SUMIFS(HTS!$BA:$BA,HTS!$B:$B,$B38,HTS!$C:$C,{"15-24","25-34","35-49","50+"},HTS!$D:$D,"Female"))</f>
        <v>0</v>
      </c>
      <c r="BJ38" s="10" t="n">
        <f aca="false">SUM(SUMIFS(HTS!$BA:$BA,HTS!$B:$B,$B38,HTS!$C:$C,{"15-24","25-34","35-49","50+"},HTS!$D:$D,"Male"))</f>
        <v>0</v>
      </c>
      <c r="BK38" s="10" t="n">
        <f aca="false">_xlfn.IFNA(INDEX(KP!$AN:$AN,MATCH(($B38&amp;"|"&amp;BK$3),KP!$D:$D,0)),"")</f>
        <v>1</v>
      </c>
      <c r="BL38" s="10" t="str">
        <f aca="false">_xlfn.IFNA(INDEX(KP!$AN:$AN,MATCH(($B38&amp;"|"&amp;BL$3),KP!$D:$D,0)),"")</f>
        <v/>
      </c>
      <c r="BM38" s="10" t="str">
        <f aca="false">_xlfn.IFNA(INDEX(KP!$AN:$AN,MATCH(($B38&amp;"|"&amp;BM$3),KP!$D:$D,0)),"")</f>
        <v/>
      </c>
      <c r="BN38" s="10" t="str">
        <f aca="false">_xlfn.IFNA(INDEX(KP!$AN:$AN,MATCH(($B38&amp;"|"&amp;BN$3),KP!$D:$D,0)),"")</f>
        <v/>
      </c>
      <c r="BO38" s="10" t="str">
        <f aca="false">_xlfn.IFNA(INDEX(KP!$AN:$AN,MATCH(($B38&amp;"|"&amp;BO$3),KP!$D:$D,0)),"")</f>
        <v/>
      </c>
      <c r="BP38" s="10" t="n">
        <f aca="false">SUM(SUMIFS(HTS!$AY:$AY,HTS!$B:$B,$B38,HTS!$C:$C,{"15-24","25-34","35-49","50+"},HTS!$D:$D,"Female"))</f>
        <v>6</v>
      </c>
      <c r="BQ38" s="10" t="n">
        <f aca="false">SUM(SUMIFS(HTS!$AY:$AY,HTS!$B:$B,$B38,HTS!$C:$C,{"15-24","25-34","35-49","50+"},HTS!$D:$D,"Male"))</f>
        <v>58</v>
      </c>
      <c r="BR38" s="10" t="n">
        <f aca="false">_xlfn.IFNA(INDEX(KP!$AP:$AP,MATCH(($B38&amp;"|"&amp;BR$3),KP!$D:$D,0)),"")</f>
        <v>0</v>
      </c>
      <c r="BS38" s="10" t="n">
        <f aca="false">_xlfn.IFNA(INDEX(KP!$AP:$AP,MATCH(($B38&amp;"|"&amp;BS$3),KP!$D:$D,0)),"")</f>
        <v>0</v>
      </c>
      <c r="BT38" s="10" t="n">
        <f aca="false">_xlfn.IFNA(INDEX(KP!$AP:$AP,MATCH(($B38&amp;"|"&amp;BT$3),KP!$D:$D,0)),"")</f>
        <v>0</v>
      </c>
      <c r="BU38" s="10" t="n">
        <f aca="false">_xlfn.IFNA(INDEX(KP!$AP:$AP,MATCH(($B38&amp;"|"&amp;BU$3),KP!$D:$D,0)),"")</f>
        <v>0</v>
      </c>
      <c r="BV38" s="10" t="n">
        <f aca="false">_xlfn.IFNA(INDEX(KP!$AP:$AP,MATCH(($B38&amp;"|"&amp;BV$3),KP!$D:$D,0)),"")</f>
        <v>0</v>
      </c>
    </row>
    <row r="39" customFormat="false" ht="15" hidden="false" customHeight="false" outlineLevel="0" collapsed="false">
      <c r="A39" s="91" t="str">
        <f aca="false">INDEX(Prioritization!$D:$D,MATCH($B39,Prioritization!$A:$A,0))</f>
        <v>INVALID</v>
      </c>
      <c r="B39" s="40" t="s">
        <v>218</v>
      </c>
      <c r="C39" s="10" t="n">
        <f aca="false">SUM(SUMIFS(PrEP!$O:$O,PrEP!$B:$B,$B39,PrEP!$C:$C,{"15-24","25-34","35-49","50+"},PrEP!$D:$D,"Female"))</f>
        <v>0</v>
      </c>
      <c r="D39" s="10" t="n">
        <f aca="false">SUM(SUMIFS(PrEP!$O:$O,PrEP!$B:$B,$B39,PrEP!$C:$C,{"15-24","25-34"},PrEP!$D:$D,"Female"))</f>
        <v>0</v>
      </c>
      <c r="E39" s="10" t="n">
        <f aca="false">SUM(SUMIFS(PrEP!$O:$O,PrEP!$B:$B,$B39,PrEP!$C:$C,{"15-24","25-34","35-49","50+"},PrEP!$D:$D,"Male"))</f>
        <v>0</v>
      </c>
      <c r="F39" s="10" t="n">
        <f aca="false">_xlfn.IFNA(INDEX(KP!$I:$I,MATCH(($B39&amp;"|"&amp;F$3),KP!$D:$D,0)),"")</f>
        <v>0</v>
      </c>
      <c r="G39" s="10" t="n">
        <f aca="false">_xlfn.IFNA(INDEX(KP!$I:$I,MATCH(($B39&amp;"|"&amp;G$3),KP!$D:$D,0)),"")</f>
        <v>0</v>
      </c>
      <c r="H39" s="10" t="n">
        <f aca="false">_xlfn.IFNA(INDEX(KP!$I:$I,MATCH(($B39&amp;"|"&amp;H$3),KP!$D:$D,0)),"")</f>
        <v>0</v>
      </c>
      <c r="I39" s="10" t="n">
        <f aca="false">_xlfn.IFNA(INDEX(KP!$I:$I,MATCH(($B39&amp;"|"&amp;I$3),KP!$D:$D,0)),"")</f>
        <v>0</v>
      </c>
      <c r="J39" s="10" t="n">
        <f aca="false">_xlfn.IFNA(INDEX(KP!$I:$I,MATCH(($B39&amp;"|"&amp;J$3),KP!$D:$D,0)),"")</f>
        <v>0</v>
      </c>
      <c r="K39" s="10" t="n">
        <f aca="false">SUM(SUMIFS(PrEP!$L:$L,PrEP!$B:$B,$B39,PrEP!$C:$C,{"15-24","25-34","35-49","50+"},PrEP!$D:$D,"Female"))</f>
        <v>0</v>
      </c>
      <c r="L39" s="10" t="n">
        <f aca="false">SUM(SUMIFS(PrEP!$L:$L,PrEP!$B:$B,$B39,PrEP!$C:$C,{"15-24","25-34"},PrEP!$D:$D,"Female"))</f>
        <v>0</v>
      </c>
      <c r="M39" s="10" t="n">
        <f aca="false">SUM(SUMIFS(PrEP!$L:$L,PrEP!$B:$B,$B39,PrEP!$C:$C,{"15-24","25-34","35-49","50+"},PrEP!$D:$D,"Male"))</f>
        <v>0</v>
      </c>
      <c r="N39" s="10" t="n">
        <f aca="false">_xlfn.IFNA(INDEX(KP!$K:$K,MATCH(($B39&amp;"|"&amp;N$3),KP!$D:$D,0)),"")</f>
        <v>0</v>
      </c>
      <c r="O39" s="10" t="n">
        <f aca="false">_xlfn.IFNA(INDEX(KP!$K:$K,MATCH(($B39&amp;"|"&amp;O$3),KP!$D:$D,0)),"")</f>
        <v>0</v>
      </c>
      <c r="P39" s="10" t="n">
        <f aca="false">_xlfn.IFNA(INDEX(KP!$K:$K,MATCH(($B39&amp;"|"&amp;P$3),KP!$D:$D,0)),"")</f>
        <v>0</v>
      </c>
      <c r="Q39" s="10" t="n">
        <f aca="false">_xlfn.IFNA(INDEX(KP!$K:$K,MATCH(($B39&amp;"|"&amp;Q$3),KP!$D:$D,0)),"")</f>
        <v>0</v>
      </c>
      <c r="R39" s="10" t="n">
        <f aca="false">_xlfn.IFNA(INDEX(KP!$K:$K,MATCH(($B39&amp;"|"&amp;R$3),KP!$D:$D,0)),"")</f>
        <v>0</v>
      </c>
      <c r="S39" s="10" t="n">
        <f aca="false">SUM(SUMIFS(Cascade!$AP:$AP,Cascade!$B:$B,$B39,Cascade!$C:$C,{"15-24","25-34","35-49","50+"},Cascade!$D:$D,"Female"))</f>
        <v>0</v>
      </c>
      <c r="T39" s="10" t="n">
        <f aca="false">SUM(SUMIFS(Cascade!$AP:$AP,Cascade!$B:$B,$B39,Cascade!$C:$C,{"15-24","25-34","35-49","50+"},Cascade!$D:$D,"Male"))</f>
        <v>0</v>
      </c>
      <c r="U39" s="10" t="str">
        <f aca="false">_xlfn.IFNA(INDEX(KP!$Q:$Q,MATCH(($B39&amp;"|"&amp;U$3),KP!$D:$D,0)),"")</f>
        <v/>
      </c>
      <c r="V39" s="10" t="str">
        <f aca="false">_xlfn.IFNA(INDEX(KP!$Q:$Q,MATCH(($B39&amp;"|"&amp;V$3),KP!$D:$D,0)),"")</f>
        <v/>
      </c>
      <c r="W39" s="10" t="n">
        <f aca="false">_xlfn.IFNA(INDEX(KP!$Q:$Q,MATCH(($B39&amp;"|"&amp;W$3),KP!$D:$D,0)),"")</f>
        <v>4</v>
      </c>
      <c r="X39" s="10" t="str">
        <f aca="false">_xlfn.IFNA(INDEX(KP!$Q:$Q,MATCH(($B39&amp;"|"&amp;X$3),KP!$D:$D,0)),"")</f>
        <v/>
      </c>
      <c r="Y39" s="10" t="str">
        <f aca="false">_xlfn.IFNA(INDEX(KP!$Q:$Q,MATCH(($B39&amp;"|"&amp;Y$3),KP!$D:$D,0)),"")</f>
        <v/>
      </c>
      <c r="Z39" s="10" t="n">
        <f aca="false">SUM(SUMIFS(Cascade!$AX:$AX,Cascade!$B:$B,$B39,Cascade!$C:$C,{"15-24","25-34","35-49","50+"},Cascade!$D:$D,"Female"))</f>
        <v>0</v>
      </c>
      <c r="AA39" s="10" t="n">
        <f aca="false">SUM(SUMIFS(Cascade!$AX:$AX,Cascade!$B:$B,$B39,Cascade!$C:$C,{"15-24","25-34","35-49","50+"},Cascade!$D:$D,"Male"))</f>
        <v>0</v>
      </c>
      <c r="AB39" s="10" t="str">
        <f aca="false">_xlfn.IFNA(INDEX(KP!$Z:$Z,MATCH(($B39&amp;"|"&amp;AB$3),KP!$D:$D,0)),"")</f>
        <v/>
      </c>
      <c r="AC39" s="10" t="str">
        <f aca="false">_xlfn.IFNA(INDEX(KP!$Z:$Z,MATCH(($B39&amp;"|"&amp;AC$3),KP!$D:$D,0)),"")</f>
        <v/>
      </c>
      <c r="AD39" s="10" t="str">
        <f aca="false">_xlfn.IFNA(INDEX(KP!$Z:$Z,MATCH(($B39&amp;"|"&amp;AD$3),KP!$D:$D,0)),"")</f>
        <v/>
      </c>
      <c r="AE39" s="10" t="str">
        <f aca="false">_xlfn.IFNA(INDEX(KP!$Z:$Z,MATCH(($B39&amp;"|"&amp;AE$3),KP!$D:$D,0)),"")</f>
        <v/>
      </c>
      <c r="AF39" s="10" t="str">
        <f aca="false">_xlfn.IFNA(INDEX(KP!$Z:$Z,MATCH(($B39&amp;"|"&amp;AF$3),KP!$D:$D,0)),"")</f>
        <v/>
      </c>
      <c r="AG39" s="10" t="n">
        <f aca="false">SUM(SUMIFS(Cascade!$BB:$BB,Cascade!$B:$B,$B39,Cascade!$C:$C,{"15-24","25-34","35-49","50+"},Cascade!$D:$D,"Female"))</f>
        <v>0</v>
      </c>
      <c r="AH39" s="10" t="n">
        <f aca="false">SUM(SUMIFS(Cascade!$BB:$BB,Cascade!$B:$B,$B39,Cascade!$C:$C,{"15-24","25-34","35-49","50+"},Cascade!$D:$D,"Male"))</f>
        <v>0</v>
      </c>
      <c r="AI39" s="10" t="str">
        <f aca="false">_xlfn.IFNA(INDEX(KP!$AD:$AD,MATCH(($B39&amp;"|"&amp;AI$3),KP!$D:$D,0)),"")</f>
        <v/>
      </c>
      <c r="AJ39" s="10" t="str">
        <f aca="false">_xlfn.IFNA(INDEX(KP!$AD:$AD,MATCH(($B39&amp;"|"&amp;AJ$3),KP!$D:$D,0)),"")</f>
        <v/>
      </c>
      <c r="AK39" s="10" t="n">
        <f aca="false">_xlfn.IFNA(INDEX(KP!$AD:$AD,MATCH(($B39&amp;"|"&amp;AK$3),KP!$D:$D,0)),"")</f>
        <v>4</v>
      </c>
      <c r="AL39" s="10" t="str">
        <f aca="false">_xlfn.IFNA(INDEX(KP!$AD:$AD,MATCH(($B39&amp;"|"&amp;AL$3),KP!$D:$D,0)),"")</f>
        <v/>
      </c>
      <c r="AM39" s="10" t="str">
        <f aca="false">_xlfn.IFNA(INDEX(KP!$AD:$AD,MATCH(($B39&amp;"|"&amp;AM$3),KP!$D:$D,0)),"")</f>
        <v/>
      </c>
      <c r="AN39" s="10" t="n">
        <f aca="false">SUM(SUMIFS(Cascade!$BE:$BE,Cascade!$B:$B,$B39,Cascade!$C:$C,{"15-24","25-34","35-49","50+"},Cascade!$D:$D,"Female"))</f>
        <v>0</v>
      </c>
      <c r="AO39" s="10" t="n">
        <f aca="false">SUM(SUMIFS(Cascade!$BE:$BE,Cascade!$B:$B,$B39,Cascade!$C:$C,{"15-24","25-34","35-49","50+"},Cascade!$D:$D,"Male"))</f>
        <v>0</v>
      </c>
      <c r="AP39" s="10" t="str">
        <f aca="false">_xlfn.IFNA(INDEX(KP!$AF:$AF,MATCH(($B39&amp;"|"&amp;AP$3),KP!$D:$D,0)),"")</f>
        <v/>
      </c>
      <c r="AQ39" s="10" t="str">
        <f aca="false">_xlfn.IFNA(INDEX(KP!$AF:$AF,MATCH(($B39&amp;"|"&amp;AQ$3),KP!$D:$D,0)),"")</f>
        <v/>
      </c>
      <c r="AR39" s="10" t="n">
        <f aca="false">_xlfn.IFNA(INDEX(KP!$AF:$AF,MATCH(($B39&amp;"|"&amp;AR$3),KP!$D:$D,0)),"")</f>
        <v>4</v>
      </c>
      <c r="AS39" s="10" t="str">
        <f aca="false">_xlfn.IFNA(INDEX(KP!$AF:$AF,MATCH(($B39&amp;"|"&amp;AS$3),KP!$D:$D,0)),"")</f>
        <v/>
      </c>
      <c r="AT39" s="10" t="str">
        <f aca="false">_xlfn.IFNA(INDEX(KP!$AF:$AF,MATCH(($B39&amp;"|"&amp;AT$3),KP!$D:$D,0)),"")</f>
        <v/>
      </c>
      <c r="AU39" s="10" t="n">
        <f aca="false">SUM(SUMIFS(HTS!$AM:$AM,HTS!$B:$B,$B39,HTS!$C:$C,{"15-24","25-34","35-49","50+"},HTS!$D:$D,"Female"))</f>
        <v>0</v>
      </c>
      <c r="AV39" s="10" t="n">
        <f aca="false">SUM(SUMIFS(HTS!$AM:$AM,HTS!$B:$B,$B39,HTS!$C:$C,{"15-24","25-34","35-49","50+"},HTS!$D:$D,"Male"))</f>
        <v>0</v>
      </c>
      <c r="AW39" s="10" t="str">
        <f aca="false">_xlfn.IFNA(INDEX(KP!$AK:$AK,MATCH(($B39&amp;"|"&amp;AW$3),KP!$D:$D,0)),"")</f>
        <v/>
      </c>
      <c r="AX39" s="10" t="str">
        <f aca="false">_xlfn.IFNA(INDEX(KP!$AK:$AK,MATCH(($B39&amp;"|"&amp;AX$3),KP!$D:$D,0)),"")</f>
        <v/>
      </c>
      <c r="AY39" s="10" t="str">
        <f aca="false">_xlfn.IFNA(INDEX(KP!$AK:$AK,MATCH(($B39&amp;"|"&amp;AY$3),KP!$D:$D,0)),"")</f>
        <v/>
      </c>
      <c r="AZ39" s="10" t="str">
        <f aca="false">_xlfn.IFNA(INDEX(KP!$AK:$AK,MATCH(($B39&amp;"|"&amp;AZ$3),KP!$D:$D,0)),"")</f>
        <v/>
      </c>
      <c r="BA39" s="10" t="str">
        <f aca="false">_xlfn.IFNA(INDEX(KP!$AK:$AK,MATCH(($B39&amp;"|"&amp;BA$3),KP!$D:$D,0)),"")</f>
        <v/>
      </c>
      <c r="BB39" s="10" t="n">
        <f aca="false">SUM(SUMIFS(HTS!$AT:$AT,HTS!$B:$B,$B39,HTS!$C:$C,{"15-24","25-34","35-49","50+"},HTS!$D:$D,"Female"))</f>
        <v>0</v>
      </c>
      <c r="BC39" s="10" t="n">
        <f aca="false">SUM(SUMIFS(HTS!$AT:$AT,HTS!$B:$B,$B39,HTS!$C:$C,{"15-24","25-34","35-49","50+"},HTS!$D:$D,"Male"))</f>
        <v>0</v>
      </c>
      <c r="BD39" s="10" t="str">
        <f aca="false">_xlfn.IFNA(INDEX(KP!$AL:$AL,MATCH(($B39&amp;"|"&amp;BD$3),KP!$D:$D,0)),"")</f>
        <v/>
      </c>
      <c r="BE39" s="10" t="str">
        <f aca="false">_xlfn.IFNA(INDEX(KP!$AL:$AL,MATCH(($B39&amp;"|"&amp;BE$3),KP!$D:$D,0)),"")</f>
        <v/>
      </c>
      <c r="BF39" s="10" t="str">
        <f aca="false">_xlfn.IFNA(INDEX(KP!$AL:$AL,MATCH(($B39&amp;"|"&amp;BF$3),KP!$D:$D,0)),"")</f>
        <v/>
      </c>
      <c r="BG39" s="10" t="str">
        <f aca="false">_xlfn.IFNA(INDEX(KP!$AL:$AL,MATCH(($B39&amp;"|"&amp;BG$3),KP!$D:$D,0)),"")</f>
        <v/>
      </c>
      <c r="BH39" s="10" t="str">
        <f aca="false">_xlfn.IFNA(INDEX(KP!$AL:$AL,MATCH(($B39&amp;"|"&amp;BH$3),KP!$D:$D,0)),"")</f>
        <v/>
      </c>
      <c r="BI39" s="10" t="n">
        <f aca="false">SUM(SUMIFS(HTS!$BA:$BA,HTS!$B:$B,$B39,HTS!$C:$C,{"15-24","25-34","35-49","50+"},HTS!$D:$D,"Female"))</f>
        <v>0</v>
      </c>
      <c r="BJ39" s="10" t="n">
        <f aca="false">SUM(SUMIFS(HTS!$BA:$BA,HTS!$B:$B,$B39,HTS!$C:$C,{"15-24","25-34","35-49","50+"},HTS!$D:$D,"Male"))</f>
        <v>0</v>
      </c>
      <c r="BK39" s="10" t="str">
        <f aca="false">_xlfn.IFNA(INDEX(KP!$AN:$AN,MATCH(($B39&amp;"|"&amp;BK$3),KP!$D:$D,0)),"")</f>
        <v/>
      </c>
      <c r="BL39" s="10" t="str">
        <f aca="false">_xlfn.IFNA(INDEX(KP!$AN:$AN,MATCH(($B39&amp;"|"&amp;BL$3),KP!$D:$D,0)),"")</f>
        <v/>
      </c>
      <c r="BM39" s="10" t="str">
        <f aca="false">_xlfn.IFNA(INDEX(KP!$AN:$AN,MATCH(($B39&amp;"|"&amp;BM$3),KP!$D:$D,0)),"")</f>
        <v/>
      </c>
      <c r="BN39" s="10" t="str">
        <f aca="false">_xlfn.IFNA(INDEX(KP!$AN:$AN,MATCH(($B39&amp;"|"&amp;BN$3),KP!$D:$D,0)),"")</f>
        <v/>
      </c>
      <c r="BO39" s="10" t="str">
        <f aca="false">_xlfn.IFNA(INDEX(KP!$AN:$AN,MATCH(($B39&amp;"|"&amp;BO$3),KP!$D:$D,0)),"")</f>
        <v/>
      </c>
      <c r="BP39" s="10" t="n">
        <f aca="false">SUM(SUMIFS(HTS!$AY:$AY,HTS!$B:$B,$B39,HTS!$C:$C,{"15-24","25-34","35-49","50+"},HTS!$D:$D,"Female"))</f>
        <v>4</v>
      </c>
      <c r="BQ39" s="10" t="n">
        <f aca="false">SUM(SUMIFS(HTS!$AY:$AY,HTS!$B:$B,$B39,HTS!$C:$C,{"15-24","25-34","35-49","50+"},HTS!$D:$D,"Male"))</f>
        <v>0</v>
      </c>
      <c r="BR39" s="10" t="n">
        <f aca="false">_xlfn.IFNA(INDEX(KP!$AP:$AP,MATCH(($B39&amp;"|"&amp;BR$3),KP!$D:$D,0)),"")</f>
        <v>0</v>
      </c>
      <c r="BS39" s="10" t="n">
        <f aca="false">_xlfn.IFNA(INDEX(KP!$AP:$AP,MATCH(($B39&amp;"|"&amp;BS$3),KP!$D:$D,0)),"")</f>
        <v>0</v>
      </c>
      <c r="BT39" s="10" t="n">
        <f aca="false">_xlfn.IFNA(INDEX(KP!$AP:$AP,MATCH(($B39&amp;"|"&amp;BT$3),KP!$D:$D,0)),"")</f>
        <v>0</v>
      </c>
      <c r="BU39" s="10" t="n">
        <f aca="false">_xlfn.IFNA(INDEX(KP!$AP:$AP,MATCH(($B39&amp;"|"&amp;BU$3),KP!$D:$D,0)),"")</f>
        <v>0</v>
      </c>
      <c r="BV39" s="10" t="n">
        <f aca="false">_xlfn.IFNA(INDEX(KP!$AP:$AP,MATCH(($B39&amp;"|"&amp;BV$3),KP!$D:$D,0)),"")</f>
        <v>0</v>
      </c>
    </row>
    <row r="40" customFormat="false" ht="15" hidden="false" customHeight="false" outlineLevel="0" collapsed="false">
      <c r="A40" s="91" t="str">
        <f aca="false">INDEX(Prioritization!$D:$D,MATCH($B40,Prioritization!$A:$A,0))</f>
        <v>INVALID</v>
      </c>
      <c r="B40" s="40" t="s">
        <v>219</v>
      </c>
      <c r="C40" s="10" t="n">
        <f aca="false">SUM(SUMIFS(PrEP!$O:$O,PrEP!$B:$B,$B40,PrEP!$C:$C,{"15-24","25-34","35-49","50+"},PrEP!$D:$D,"Female"))</f>
        <v>0</v>
      </c>
      <c r="D40" s="10" t="n">
        <f aca="false">SUM(SUMIFS(PrEP!$O:$O,PrEP!$B:$B,$B40,PrEP!$C:$C,{"15-24","25-34"},PrEP!$D:$D,"Female"))</f>
        <v>0</v>
      </c>
      <c r="E40" s="10" t="n">
        <f aca="false">SUM(SUMIFS(PrEP!$O:$O,PrEP!$B:$B,$B40,PrEP!$C:$C,{"15-24","25-34","35-49","50+"},PrEP!$D:$D,"Male"))</f>
        <v>0</v>
      </c>
      <c r="F40" s="10" t="n">
        <f aca="false">_xlfn.IFNA(INDEX(KP!$I:$I,MATCH(($B40&amp;"|"&amp;F$3),KP!$D:$D,0)),"")</f>
        <v>0</v>
      </c>
      <c r="G40" s="10" t="n">
        <f aca="false">_xlfn.IFNA(INDEX(KP!$I:$I,MATCH(($B40&amp;"|"&amp;G$3),KP!$D:$D,0)),"")</f>
        <v>0</v>
      </c>
      <c r="H40" s="10" t="n">
        <f aca="false">_xlfn.IFNA(INDEX(KP!$I:$I,MATCH(($B40&amp;"|"&amp;H$3),KP!$D:$D,0)),"")</f>
        <v>0</v>
      </c>
      <c r="I40" s="10" t="n">
        <f aca="false">_xlfn.IFNA(INDEX(KP!$I:$I,MATCH(($B40&amp;"|"&amp;I$3),KP!$D:$D,0)),"")</f>
        <v>0</v>
      </c>
      <c r="J40" s="10" t="n">
        <f aca="false">_xlfn.IFNA(INDEX(KP!$I:$I,MATCH(($B40&amp;"|"&amp;J$3),KP!$D:$D,0)),"")</f>
        <v>0</v>
      </c>
      <c r="K40" s="10" t="n">
        <f aca="false">SUM(SUMIFS(PrEP!$L:$L,PrEP!$B:$B,$B40,PrEP!$C:$C,{"15-24","25-34","35-49","50+"},PrEP!$D:$D,"Female"))</f>
        <v>0</v>
      </c>
      <c r="L40" s="10" t="n">
        <f aca="false">SUM(SUMIFS(PrEP!$L:$L,PrEP!$B:$B,$B40,PrEP!$C:$C,{"15-24","25-34"},PrEP!$D:$D,"Female"))</f>
        <v>0</v>
      </c>
      <c r="M40" s="10" t="n">
        <f aca="false">SUM(SUMIFS(PrEP!$L:$L,PrEP!$B:$B,$B40,PrEP!$C:$C,{"15-24","25-34","35-49","50+"},PrEP!$D:$D,"Male"))</f>
        <v>0</v>
      </c>
      <c r="N40" s="10" t="n">
        <f aca="false">_xlfn.IFNA(INDEX(KP!$K:$K,MATCH(($B40&amp;"|"&amp;N$3),KP!$D:$D,0)),"")</f>
        <v>0</v>
      </c>
      <c r="O40" s="10" t="n">
        <f aca="false">_xlfn.IFNA(INDEX(KP!$K:$K,MATCH(($B40&amp;"|"&amp;O$3),KP!$D:$D,0)),"")</f>
        <v>0</v>
      </c>
      <c r="P40" s="10" t="n">
        <f aca="false">_xlfn.IFNA(INDEX(KP!$K:$K,MATCH(($B40&amp;"|"&amp;P$3),KP!$D:$D,0)),"")</f>
        <v>0</v>
      </c>
      <c r="Q40" s="10" t="n">
        <f aca="false">_xlfn.IFNA(INDEX(KP!$K:$K,MATCH(($B40&amp;"|"&amp;Q$3),KP!$D:$D,0)),"")</f>
        <v>0</v>
      </c>
      <c r="R40" s="10" t="n">
        <f aca="false">_xlfn.IFNA(INDEX(KP!$K:$K,MATCH(($B40&amp;"|"&amp;R$3),KP!$D:$D,0)),"")</f>
        <v>0</v>
      </c>
      <c r="S40" s="10" t="n">
        <f aca="false">SUM(SUMIFS(Cascade!$AP:$AP,Cascade!$B:$B,$B40,Cascade!$C:$C,{"15-24","25-34","35-49","50+"},Cascade!$D:$D,"Female"))</f>
        <v>0</v>
      </c>
      <c r="T40" s="10" t="n">
        <f aca="false">SUM(SUMIFS(Cascade!$AP:$AP,Cascade!$B:$B,$B40,Cascade!$C:$C,{"15-24","25-34","35-49","50+"},Cascade!$D:$D,"Male"))</f>
        <v>0</v>
      </c>
      <c r="U40" s="10" t="str">
        <f aca="false">_xlfn.IFNA(INDEX(KP!$Q:$Q,MATCH(($B40&amp;"|"&amp;U$3),KP!$D:$D,0)),"")</f>
        <v/>
      </c>
      <c r="V40" s="10" t="str">
        <f aca="false">_xlfn.IFNA(INDEX(KP!$Q:$Q,MATCH(($B40&amp;"|"&amp;V$3),KP!$D:$D,0)),"")</f>
        <v/>
      </c>
      <c r="W40" s="10" t="str">
        <f aca="false">_xlfn.IFNA(INDEX(KP!$Q:$Q,MATCH(($B40&amp;"|"&amp;W$3),KP!$D:$D,0)),"")</f>
        <v/>
      </c>
      <c r="X40" s="10" t="str">
        <f aca="false">_xlfn.IFNA(INDEX(KP!$Q:$Q,MATCH(($B40&amp;"|"&amp;X$3),KP!$D:$D,0)),"")</f>
        <v/>
      </c>
      <c r="Y40" s="10" t="str">
        <f aca="false">_xlfn.IFNA(INDEX(KP!$Q:$Q,MATCH(($B40&amp;"|"&amp;Y$3),KP!$D:$D,0)),"")</f>
        <v/>
      </c>
      <c r="Z40" s="10" t="n">
        <f aca="false">SUM(SUMIFS(Cascade!$AX:$AX,Cascade!$B:$B,$B40,Cascade!$C:$C,{"15-24","25-34","35-49","50+"},Cascade!$D:$D,"Female"))</f>
        <v>0</v>
      </c>
      <c r="AA40" s="10" t="n">
        <f aca="false">SUM(SUMIFS(Cascade!$AX:$AX,Cascade!$B:$B,$B40,Cascade!$C:$C,{"15-24","25-34","35-49","50+"},Cascade!$D:$D,"Male"))</f>
        <v>0</v>
      </c>
      <c r="AB40" s="10" t="str">
        <f aca="false">_xlfn.IFNA(INDEX(KP!$Z:$Z,MATCH(($B40&amp;"|"&amp;AB$3),KP!$D:$D,0)),"")</f>
        <v/>
      </c>
      <c r="AC40" s="10" t="str">
        <f aca="false">_xlfn.IFNA(INDEX(KP!$Z:$Z,MATCH(($B40&amp;"|"&amp;AC$3),KP!$D:$D,0)),"")</f>
        <v/>
      </c>
      <c r="AD40" s="10" t="str">
        <f aca="false">_xlfn.IFNA(INDEX(KP!$Z:$Z,MATCH(($B40&amp;"|"&amp;AD$3),KP!$D:$D,0)),"")</f>
        <v/>
      </c>
      <c r="AE40" s="10" t="str">
        <f aca="false">_xlfn.IFNA(INDEX(KP!$Z:$Z,MATCH(($B40&amp;"|"&amp;AE$3),KP!$D:$D,0)),"")</f>
        <v/>
      </c>
      <c r="AF40" s="10" t="str">
        <f aca="false">_xlfn.IFNA(INDEX(KP!$Z:$Z,MATCH(($B40&amp;"|"&amp;AF$3),KP!$D:$D,0)),"")</f>
        <v/>
      </c>
      <c r="AG40" s="10" t="n">
        <f aca="false">SUM(SUMIFS(Cascade!$BB:$BB,Cascade!$B:$B,$B40,Cascade!$C:$C,{"15-24","25-34","35-49","50+"},Cascade!$D:$D,"Female"))</f>
        <v>0</v>
      </c>
      <c r="AH40" s="10" t="n">
        <f aca="false">SUM(SUMIFS(Cascade!$BB:$BB,Cascade!$B:$B,$B40,Cascade!$C:$C,{"15-24","25-34","35-49","50+"},Cascade!$D:$D,"Male"))</f>
        <v>0</v>
      </c>
      <c r="AI40" s="10" t="str">
        <f aca="false">_xlfn.IFNA(INDEX(KP!$AD:$AD,MATCH(($B40&amp;"|"&amp;AI$3),KP!$D:$D,0)),"")</f>
        <v/>
      </c>
      <c r="AJ40" s="10" t="str">
        <f aca="false">_xlfn.IFNA(INDEX(KP!$AD:$AD,MATCH(($B40&amp;"|"&amp;AJ$3),KP!$D:$D,0)),"")</f>
        <v/>
      </c>
      <c r="AK40" s="10" t="str">
        <f aca="false">_xlfn.IFNA(INDEX(KP!$AD:$AD,MATCH(($B40&amp;"|"&amp;AK$3),KP!$D:$D,0)),"")</f>
        <v/>
      </c>
      <c r="AL40" s="10" t="str">
        <f aca="false">_xlfn.IFNA(INDEX(KP!$AD:$AD,MATCH(($B40&amp;"|"&amp;AL$3),KP!$D:$D,0)),"")</f>
        <v/>
      </c>
      <c r="AM40" s="10" t="str">
        <f aca="false">_xlfn.IFNA(INDEX(KP!$AD:$AD,MATCH(($B40&amp;"|"&amp;AM$3),KP!$D:$D,0)),"")</f>
        <v/>
      </c>
      <c r="AN40" s="10" t="n">
        <f aca="false">SUM(SUMIFS(Cascade!$BE:$BE,Cascade!$B:$B,$B40,Cascade!$C:$C,{"15-24","25-34","35-49","50+"},Cascade!$D:$D,"Female"))</f>
        <v>0</v>
      </c>
      <c r="AO40" s="10" t="n">
        <f aca="false">SUM(SUMIFS(Cascade!$BE:$BE,Cascade!$B:$B,$B40,Cascade!$C:$C,{"15-24","25-34","35-49","50+"},Cascade!$D:$D,"Male"))</f>
        <v>0</v>
      </c>
      <c r="AP40" s="10" t="str">
        <f aca="false">_xlfn.IFNA(INDEX(KP!$AF:$AF,MATCH(($B40&amp;"|"&amp;AP$3),KP!$D:$D,0)),"")</f>
        <v/>
      </c>
      <c r="AQ40" s="10" t="str">
        <f aca="false">_xlfn.IFNA(INDEX(KP!$AF:$AF,MATCH(($B40&amp;"|"&amp;AQ$3),KP!$D:$D,0)),"")</f>
        <v/>
      </c>
      <c r="AR40" s="10" t="str">
        <f aca="false">_xlfn.IFNA(INDEX(KP!$AF:$AF,MATCH(($B40&amp;"|"&amp;AR$3),KP!$D:$D,0)),"")</f>
        <v/>
      </c>
      <c r="AS40" s="10" t="str">
        <f aca="false">_xlfn.IFNA(INDEX(KP!$AF:$AF,MATCH(($B40&amp;"|"&amp;AS$3),KP!$D:$D,0)),"")</f>
        <v/>
      </c>
      <c r="AT40" s="10" t="str">
        <f aca="false">_xlfn.IFNA(INDEX(KP!$AF:$AF,MATCH(($B40&amp;"|"&amp;AT$3),KP!$D:$D,0)),"")</f>
        <v/>
      </c>
      <c r="AU40" s="10" t="n">
        <f aca="false">SUM(SUMIFS(HTS!$AM:$AM,HTS!$B:$B,$B40,HTS!$C:$C,{"15-24","25-34","35-49","50+"},HTS!$D:$D,"Female"))</f>
        <v>0</v>
      </c>
      <c r="AV40" s="10" t="n">
        <f aca="false">SUM(SUMIFS(HTS!$AM:$AM,HTS!$B:$B,$B40,HTS!$C:$C,{"15-24","25-34","35-49","50+"},HTS!$D:$D,"Male"))</f>
        <v>0</v>
      </c>
      <c r="AW40" s="10" t="str">
        <f aca="false">_xlfn.IFNA(INDEX(KP!$AK:$AK,MATCH(($B40&amp;"|"&amp;AW$3),KP!$D:$D,0)),"")</f>
        <v/>
      </c>
      <c r="AX40" s="10" t="str">
        <f aca="false">_xlfn.IFNA(INDEX(KP!$AK:$AK,MATCH(($B40&amp;"|"&amp;AX$3),KP!$D:$D,0)),"")</f>
        <v/>
      </c>
      <c r="AY40" s="10" t="str">
        <f aca="false">_xlfn.IFNA(INDEX(KP!$AK:$AK,MATCH(($B40&amp;"|"&amp;AY$3),KP!$D:$D,0)),"")</f>
        <v/>
      </c>
      <c r="AZ40" s="10" t="str">
        <f aca="false">_xlfn.IFNA(INDEX(KP!$AK:$AK,MATCH(($B40&amp;"|"&amp;AZ$3),KP!$D:$D,0)),"")</f>
        <v/>
      </c>
      <c r="BA40" s="10" t="str">
        <f aca="false">_xlfn.IFNA(INDEX(KP!$AK:$AK,MATCH(($B40&amp;"|"&amp;BA$3),KP!$D:$D,0)),"")</f>
        <v/>
      </c>
      <c r="BB40" s="10" t="n">
        <f aca="false">SUM(SUMIFS(HTS!$AT:$AT,HTS!$B:$B,$B40,HTS!$C:$C,{"15-24","25-34","35-49","50+"},HTS!$D:$D,"Female"))</f>
        <v>0</v>
      </c>
      <c r="BC40" s="10" t="n">
        <f aca="false">SUM(SUMIFS(HTS!$AT:$AT,HTS!$B:$B,$B40,HTS!$C:$C,{"15-24","25-34","35-49","50+"},HTS!$D:$D,"Male"))</f>
        <v>0</v>
      </c>
      <c r="BD40" s="10" t="str">
        <f aca="false">_xlfn.IFNA(INDEX(KP!$AL:$AL,MATCH(($B40&amp;"|"&amp;BD$3),KP!$D:$D,0)),"")</f>
        <v/>
      </c>
      <c r="BE40" s="10" t="str">
        <f aca="false">_xlfn.IFNA(INDEX(KP!$AL:$AL,MATCH(($B40&amp;"|"&amp;BE$3),KP!$D:$D,0)),"")</f>
        <v/>
      </c>
      <c r="BF40" s="10" t="str">
        <f aca="false">_xlfn.IFNA(INDEX(KP!$AL:$AL,MATCH(($B40&amp;"|"&amp;BF$3),KP!$D:$D,0)),"")</f>
        <v/>
      </c>
      <c r="BG40" s="10" t="str">
        <f aca="false">_xlfn.IFNA(INDEX(KP!$AL:$AL,MATCH(($B40&amp;"|"&amp;BG$3),KP!$D:$D,0)),"")</f>
        <v/>
      </c>
      <c r="BH40" s="10" t="str">
        <f aca="false">_xlfn.IFNA(INDEX(KP!$AL:$AL,MATCH(($B40&amp;"|"&amp;BH$3),KP!$D:$D,0)),"")</f>
        <v/>
      </c>
      <c r="BI40" s="10" t="n">
        <f aca="false">SUM(SUMIFS(HTS!$BA:$BA,HTS!$B:$B,$B40,HTS!$C:$C,{"15-24","25-34","35-49","50+"},HTS!$D:$D,"Female"))</f>
        <v>0</v>
      </c>
      <c r="BJ40" s="10" t="n">
        <f aca="false">SUM(SUMIFS(HTS!$BA:$BA,HTS!$B:$B,$B40,HTS!$C:$C,{"15-24","25-34","35-49","50+"},HTS!$D:$D,"Male"))</f>
        <v>0</v>
      </c>
      <c r="BK40" s="10" t="str">
        <f aca="false">_xlfn.IFNA(INDEX(KP!$AN:$AN,MATCH(($B40&amp;"|"&amp;BK$3),KP!$D:$D,0)),"")</f>
        <v/>
      </c>
      <c r="BL40" s="10" t="str">
        <f aca="false">_xlfn.IFNA(INDEX(KP!$AN:$AN,MATCH(($B40&amp;"|"&amp;BL$3),KP!$D:$D,0)),"")</f>
        <v/>
      </c>
      <c r="BM40" s="10" t="str">
        <f aca="false">_xlfn.IFNA(INDEX(KP!$AN:$AN,MATCH(($B40&amp;"|"&amp;BM$3),KP!$D:$D,0)),"")</f>
        <v/>
      </c>
      <c r="BN40" s="10" t="str">
        <f aca="false">_xlfn.IFNA(INDEX(KP!$AN:$AN,MATCH(($B40&amp;"|"&amp;BN$3),KP!$D:$D,0)),"")</f>
        <v/>
      </c>
      <c r="BO40" s="10" t="str">
        <f aca="false">_xlfn.IFNA(INDEX(KP!$AN:$AN,MATCH(($B40&amp;"|"&amp;BO$3),KP!$D:$D,0)),"")</f>
        <v/>
      </c>
      <c r="BP40" s="10" t="n">
        <f aca="false">SUM(SUMIFS(HTS!$AY:$AY,HTS!$B:$B,$B40,HTS!$C:$C,{"15-24","25-34","35-49","50+"},HTS!$D:$D,"Female"))</f>
        <v>9</v>
      </c>
      <c r="BQ40" s="10" t="n">
        <f aca="false">SUM(SUMIFS(HTS!$AY:$AY,HTS!$B:$B,$B40,HTS!$C:$C,{"15-24","25-34","35-49","50+"},HTS!$D:$D,"Male"))</f>
        <v>9</v>
      </c>
      <c r="BR40" s="10" t="n">
        <f aca="false">_xlfn.IFNA(INDEX(KP!$AP:$AP,MATCH(($B40&amp;"|"&amp;BR$3),KP!$D:$D,0)),"")</f>
        <v>0</v>
      </c>
      <c r="BS40" s="10" t="n">
        <f aca="false">_xlfn.IFNA(INDEX(KP!$AP:$AP,MATCH(($B40&amp;"|"&amp;BS$3),KP!$D:$D,0)),"")</f>
        <v>0</v>
      </c>
      <c r="BT40" s="10" t="n">
        <f aca="false">_xlfn.IFNA(INDEX(KP!$AP:$AP,MATCH(($B40&amp;"|"&amp;BT$3),KP!$D:$D,0)),"")</f>
        <v>0</v>
      </c>
      <c r="BU40" s="10" t="n">
        <f aca="false">_xlfn.IFNA(INDEX(KP!$AP:$AP,MATCH(($B40&amp;"|"&amp;BU$3),KP!$D:$D,0)),"")</f>
        <v>0</v>
      </c>
      <c r="BV40" s="10" t="n">
        <f aca="false">_xlfn.IFNA(INDEX(KP!$AP:$AP,MATCH(($B40&amp;"|"&amp;BV$3),KP!$D:$D,0)),"")</f>
        <v>0</v>
      </c>
    </row>
    <row r="41" customFormat="false" ht="15" hidden="false" customHeight="false" outlineLevel="0" collapsed="false">
      <c r="A41" s="91" t="str">
        <f aca="false">INDEX(Prioritization!$D:$D,MATCH($B41,Prioritization!$A:$A,0))</f>
        <v>INVALID</v>
      </c>
      <c r="B41" s="40" t="s">
        <v>220</v>
      </c>
      <c r="C41" s="10" t="n">
        <f aca="false">SUM(SUMIFS(PrEP!$O:$O,PrEP!$B:$B,$B41,PrEP!$C:$C,{"15-24","25-34","35-49","50+"},PrEP!$D:$D,"Female"))</f>
        <v>0</v>
      </c>
      <c r="D41" s="10" t="n">
        <f aca="false">SUM(SUMIFS(PrEP!$O:$O,PrEP!$B:$B,$B41,PrEP!$C:$C,{"15-24","25-34"},PrEP!$D:$D,"Female"))</f>
        <v>0</v>
      </c>
      <c r="E41" s="10" t="n">
        <f aca="false">SUM(SUMIFS(PrEP!$O:$O,PrEP!$B:$B,$B41,PrEP!$C:$C,{"15-24","25-34","35-49","50+"},PrEP!$D:$D,"Male"))</f>
        <v>0</v>
      </c>
      <c r="F41" s="10" t="n">
        <f aca="false">_xlfn.IFNA(INDEX(KP!$I:$I,MATCH(($B41&amp;"|"&amp;F$3),KP!$D:$D,0)),"")</f>
        <v>0</v>
      </c>
      <c r="G41" s="10" t="n">
        <f aca="false">_xlfn.IFNA(INDEX(KP!$I:$I,MATCH(($B41&amp;"|"&amp;G$3),KP!$D:$D,0)),"")</f>
        <v>0</v>
      </c>
      <c r="H41" s="10" t="n">
        <f aca="false">_xlfn.IFNA(INDEX(KP!$I:$I,MATCH(($B41&amp;"|"&amp;H$3),KP!$D:$D,0)),"")</f>
        <v>0</v>
      </c>
      <c r="I41" s="10" t="n">
        <f aca="false">_xlfn.IFNA(INDEX(KP!$I:$I,MATCH(($B41&amp;"|"&amp;I$3),KP!$D:$D,0)),"")</f>
        <v>0</v>
      </c>
      <c r="J41" s="10" t="n">
        <f aca="false">_xlfn.IFNA(INDEX(KP!$I:$I,MATCH(($B41&amp;"|"&amp;J$3),KP!$D:$D,0)),"")</f>
        <v>0</v>
      </c>
      <c r="K41" s="10" t="n">
        <f aca="false">SUM(SUMIFS(PrEP!$L:$L,PrEP!$B:$B,$B41,PrEP!$C:$C,{"15-24","25-34","35-49","50+"},PrEP!$D:$D,"Female"))</f>
        <v>1</v>
      </c>
      <c r="L41" s="10" t="n">
        <f aca="false">SUM(SUMIFS(PrEP!$L:$L,PrEP!$B:$B,$B41,PrEP!$C:$C,{"15-24","25-34"},PrEP!$D:$D,"Female"))</f>
        <v>0</v>
      </c>
      <c r="M41" s="10" t="n">
        <f aca="false">SUM(SUMIFS(PrEP!$L:$L,PrEP!$B:$B,$B41,PrEP!$C:$C,{"15-24","25-34","35-49","50+"},PrEP!$D:$D,"Male"))</f>
        <v>0</v>
      </c>
      <c r="N41" s="10" t="n">
        <f aca="false">_xlfn.IFNA(INDEX(KP!$K:$K,MATCH(($B41&amp;"|"&amp;N$3),KP!$D:$D,0)),"")</f>
        <v>0</v>
      </c>
      <c r="O41" s="10" t="n">
        <f aca="false">_xlfn.IFNA(INDEX(KP!$K:$K,MATCH(($B41&amp;"|"&amp;O$3),KP!$D:$D,0)),"")</f>
        <v>0</v>
      </c>
      <c r="P41" s="10" t="n">
        <f aca="false">_xlfn.IFNA(INDEX(KP!$K:$K,MATCH(($B41&amp;"|"&amp;P$3),KP!$D:$D,0)),"")</f>
        <v>0</v>
      </c>
      <c r="Q41" s="10" t="n">
        <f aca="false">_xlfn.IFNA(INDEX(KP!$K:$K,MATCH(($B41&amp;"|"&amp;Q$3),KP!$D:$D,0)),"")</f>
        <v>0</v>
      </c>
      <c r="R41" s="10" t="n">
        <f aca="false">_xlfn.IFNA(INDEX(KP!$K:$K,MATCH(($B41&amp;"|"&amp;R$3),KP!$D:$D,0)),"")</f>
        <v>0</v>
      </c>
      <c r="S41" s="10" t="n">
        <f aca="false">SUM(SUMIFS(Cascade!$AP:$AP,Cascade!$B:$B,$B41,Cascade!$C:$C,{"15-24","25-34","35-49","50+"},Cascade!$D:$D,"Female"))</f>
        <v>0</v>
      </c>
      <c r="T41" s="10" t="n">
        <f aca="false">SUM(SUMIFS(Cascade!$AP:$AP,Cascade!$B:$B,$B41,Cascade!$C:$C,{"15-24","25-34","35-49","50+"},Cascade!$D:$D,"Male"))</f>
        <v>0</v>
      </c>
      <c r="U41" s="10" t="n">
        <f aca="false">_xlfn.IFNA(INDEX(KP!$Q:$Q,MATCH(($B41&amp;"|"&amp;U$3),KP!$D:$D,0)),"")</f>
        <v>36</v>
      </c>
      <c r="V41" s="10" t="n">
        <f aca="false">_xlfn.IFNA(INDEX(KP!$Q:$Q,MATCH(($B41&amp;"|"&amp;V$3),KP!$D:$D,0)),"")</f>
        <v>8</v>
      </c>
      <c r="W41" s="10" t="str">
        <f aca="false">_xlfn.IFNA(INDEX(KP!$Q:$Q,MATCH(($B41&amp;"|"&amp;W$3),KP!$D:$D,0)),"")</f>
        <v/>
      </c>
      <c r="X41" s="10" t="str">
        <f aca="false">_xlfn.IFNA(INDEX(KP!$Q:$Q,MATCH(($B41&amp;"|"&amp;X$3),KP!$D:$D,0)),"")</f>
        <v/>
      </c>
      <c r="Y41" s="10" t="str">
        <f aca="false">_xlfn.IFNA(INDEX(KP!$Q:$Q,MATCH(($B41&amp;"|"&amp;Y$3),KP!$D:$D,0)),"")</f>
        <v/>
      </c>
      <c r="Z41" s="10" t="n">
        <f aca="false">SUM(SUMIFS(Cascade!$AX:$AX,Cascade!$B:$B,$B41,Cascade!$C:$C,{"15-24","25-34","35-49","50+"},Cascade!$D:$D,"Female"))</f>
        <v>0</v>
      </c>
      <c r="AA41" s="10" t="n">
        <f aca="false">SUM(SUMIFS(Cascade!$AX:$AX,Cascade!$B:$B,$B41,Cascade!$C:$C,{"15-24","25-34","35-49","50+"},Cascade!$D:$D,"Male"))</f>
        <v>0</v>
      </c>
      <c r="AB41" s="10" t="n">
        <f aca="false">_xlfn.IFNA(INDEX(KP!$Z:$Z,MATCH(($B41&amp;"|"&amp;AB$3),KP!$D:$D,0)),"")</f>
        <v>1</v>
      </c>
      <c r="AC41" s="10" t="str">
        <f aca="false">_xlfn.IFNA(INDEX(KP!$Z:$Z,MATCH(($B41&amp;"|"&amp;AC$3),KP!$D:$D,0)),"")</f>
        <v/>
      </c>
      <c r="AD41" s="10" t="str">
        <f aca="false">_xlfn.IFNA(INDEX(KP!$Z:$Z,MATCH(($B41&amp;"|"&amp;AD$3),KP!$D:$D,0)),"")</f>
        <v/>
      </c>
      <c r="AE41" s="10" t="str">
        <f aca="false">_xlfn.IFNA(INDEX(KP!$Z:$Z,MATCH(($B41&amp;"|"&amp;AE$3),KP!$D:$D,0)),"")</f>
        <v/>
      </c>
      <c r="AF41" s="10" t="str">
        <f aca="false">_xlfn.IFNA(INDEX(KP!$Z:$Z,MATCH(($B41&amp;"|"&amp;AF$3),KP!$D:$D,0)),"")</f>
        <v/>
      </c>
      <c r="AG41" s="10" t="n">
        <f aca="false">SUM(SUMIFS(Cascade!$BB:$BB,Cascade!$B:$B,$B41,Cascade!$C:$C,{"15-24","25-34","35-49","50+"},Cascade!$D:$D,"Female"))</f>
        <v>0</v>
      </c>
      <c r="AH41" s="10" t="n">
        <f aca="false">SUM(SUMIFS(Cascade!$BB:$BB,Cascade!$B:$B,$B41,Cascade!$C:$C,{"15-24","25-34","35-49","50+"},Cascade!$D:$D,"Male"))</f>
        <v>0</v>
      </c>
      <c r="AI41" s="10" t="n">
        <f aca="false">_xlfn.IFNA(INDEX(KP!$AD:$AD,MATCH(($B41&amp;"|"&amp;AI$3),KP!$D:$D,0)),"")</f>
        <v>35</v>
      </c>
      <c r="AJ41" s="10" t="n">
        <f aca="false">_xlfn.IFNA(INDEX(KP!$AD:$AD,MATCH(($B41&amp;"|"&amp;AJ$3),KP!$D:$D,0)),"")</f>
        <v>8</v>
      </c>
      <c r="AK41" s="10" t="str">
        <f aca="false">_xlfn.IFNA(INDEX(KP!$AD:$AD,MATCH(($B41&amp;"|"&amp;AK$3),KP!$D:$D,0)),"")</f>
        <v/>
      </c>
      <c r="AL41" s="10" t="str">
        <f aca="false">_xlfn.IFNA(INDEX(KP!$AD:$AD,MATCH(($B41&amp;"|"&amp;AL$3),KP!$D:$D,0)),"")</f>
        <v/>
      </c>
      <c r="AM41" s="10" t="str">
        <f aca="false">_xlfn.IFNA(INDEX(KP!$AD:$AD,MATCH(($B41&amp;"|"&amp;AM$3),KP!$D:$D,0)),"")</f>
        <v/>
      </c>
      <c r="AN41" s="10" t="n">
        <f aca="false">SUM(SUMIFS(Cascade!$BE:$BE,Cascade!$B:$B,$B41,Cascade!$C:$C,{"15-24","25-34","35-49","50+"},Cascade!$D:$D,"Female"))</f>
        <v>0</v>
      </c>
      <c r="AO41" s="10" t="n">
        <f aca="false">SUM(SUMIFS(Cascade!$BE:$BE,Cascade!$B:$B,$B41,Cascade!$C:$C,{"15-24","25-34","35-49","50+"},Cascade!$D:$D,"Male"))</f>
        <v>0</v>
      </c>
      <c r="AP41" s="10" t="n">
        <f aca="false">_xlfn.IFNA(INDEX(KP!$AF:$AF,MATCH(($B41&amp;"|"&amp;AP$3),KP!$D:$D,0)),"")</f>
        <v>33</v>
      </c>
      <c r="AQ41" s="10" t="n">
        <f aca="false">_xlfn.IFNA(INDEX(KP!$AF:$AF,MATCH(($B41&amp;"|"&amp;AQ$3),KP!$D:$D,0)),"")</f>
        <v>8</v>
      </c>
      <c r="AR41" s="10" t="str">
        <f aca="false">_xlfn.IFNA(INDEX(KP!$AF:$AF,MATCH(($B41&amp;"|"&amp;AR$3),KP!$D:$D,0)),"")</f>
        <v/>
      </c>
      <c r="AS41" s="10" t="str">
        <f aca="false">_xlfn.IFNA(INDEX(KP!$AF:$AF,MATCH(($B41&amp;"|"&amp;AS$3),KP!$D:$D,0)),"")</f>
        <v/>
      </c>
      <c r="AT41" s="10" t="str">
        <f aca="false">_xlfn.IFNA(INDEX(KP!$AF:$AF,MATCH(($B41&amp;"|"&amp;AT$3),KP!$D:$D,0)),"")</f>
        <v/>
      </c>
      <c r="AU41" s="10" t="n">
        <f aca="false">SUM(SUMIFS(HTS!$AM:$AM,HTS!$B:$B,$B41,HTS!$C:$C,{"15-24","25-34","35-49","50+"},HTS!$D:$D,"Female"))</f>
        <v>0</v>
      </c>
      <c r="AV41" s="10" t="n">
        <f aca="false">SUM(SUMIFS(HTS!$AM:$AM,HTS!$B:$B,$B41,HTS!$C:$C,{"15-24","25-34","35-49","50+"},HTS!$D:$D,"Male"))</f>
        <v>0</v>
      </c>
      <c r="AW41" s="10" t="n">
        <f aca="false">_xlfn.IFNA(INDEX(KP!$AK:$AK,MATCH(($B41&amp;"|"&amp;AW$3),KP!$D:$D,0)),"")</f>
        <v>1</v>
      </c>
      <c r="AX41" s="10" t="str">
        <f aca="false">_xlfn.IFNA(INDEX(KP!$AK:$AK,MATCH(($B41&amp;"|"&amp;AX$3),KP!$D:$D,0)),"")</f>
        <v/>
      </c>
      <c r="AY41" s="10" t="str">
        <f aca="false">_xlfn.IFNA(INDEX(KP!$AK:$AK,MATCH(($B41&amp;"|"&amp;AY$3),KP!$D:$D,0)),"")</f>
        <v/>
      </c>
      <c r="AZ41" s="10" t="str">
        <f aca="false">_xlfn.IFNA(INDEX(KP!$AK:$AK,MATCH(($B41&amp;"|"&amp;AZ$3),KP!$D:$D,0)),"")</f>
        <v/>
      </c>
      <c r="BA41" s="10" t="str">
        <f aca="false">_xlfn.IFNA(INDEX(KP!$AK:$AK,MATCH(($B41&amp;"|"&amp;BA$3),KP!$D:$D,0)),"")</f>
        <v/>
      </c>
      <c r="BB41" s="10" t="n">
        <f aca="false">SUM(SUMIFS(HTS!$AT:$AT,HTS!$B:$B,$B41,HTS!$C:$C,{"15-24","25-34","35-49","50+"},HTS!$D:$D,"Female"))</f>
        <v>0</v>
      </c>
      <c r="BC41" s="10" t="n">
        <f aca="false">SUM(SUMIFS(HTS!$AT:$AT,HTS!$B:$B,$B41,HTS!$C:$C,{"15-24","25-34","35-49","50+"},HTS!$D:$D,"Male"))</f>
        <v>0</v>
      </c>
      <c r="BD41" s="10" t="str">
        <f aca="false">_xlfn.IFNA(INDEX(KP!$AL:$AL,MATCH(($B41&amp;"|"&amp;BD$3),KP!$D:$D,0)),"")</f>
        <v>ENTER YIELD RATE</v>
      </c>
      <c r="BE41" s="10" t="str">
        <f aca="false">_xlfn.IFNA(INDEX(KP!$AL:$AL,MATCH(($B41&amp;"|"&amp;BE$3),KP!$D:$D,0)),"")</f>
        <v/>
      </c>
      <c r="BF41" s="10" t="str">
        <f aca="false">_xlfn.IFNA(INDEX(KP!$AL:$AL,MATCH(($B41&amp;"|"&amp;BF$3),KP!$D:$D,0)),"")</f>
        <v/>
      </c>
      <c r="BG41" s="10" t="str">
        <f aca="false">_xlfn.IFNA(INDEX(KP!$AL:$AL,MATCH(($B41&amp;"|"&amp;BG$3),KP!$D:$D,0)),"")</f>
        <v/>
      </c>
      <c r="BH41" s="10" t="str">
        <f aca="false">_xlfn.IFNA(INDEX(KP!$AL:$AL,MATCH(($B41&amp;"|"&amp;BH$3),KP!$D:$D,0)),"")</f>
        <v/>
      </c>
      <c r="BI41" s="10" t="n">
        <f aca="false">SUM(SUMIFS(HTS!$BA:$BA,HTS!$B:$B,$B41,HTS!$C:$C,{"15-24","25-34","35-49","50+"},HTS!$D:$D,"Female"))</f>
        <v>0</v>
      </c>
      <c r="BJ41" s="10" t="n">
        <f aca="false">SUM(SUMIFS(HTS!$BA:$BA,HTS!$B:$B,$B41,HTS!$C:$C,{"15-24","25-34","35-49","50+"},HTS!$D:$D,"Male"))</f>
        <v>0</v>
      </c>
      <c r="BK41" s="10" t="n">
        <f aca="false">_xlfn.IFNA(INDEX(KP!$AN:$AN,MATCH(($B41&amp;"|"&amp;BK$3),KP!$D:$D,0)),"")</f>
        <v>1</v>
      </c>
      <c r="BL41" s="10" t="str">
        <f aca="false">_xlfn.IFNA(INDEX(KP!$AN:$AN,MATCH(($B41&amp;"|"&amp;BL$3),KP!$D:$D,0)),"")</f>
        <v/>
      </c>
      <c r="BM41" s="10" t="str">
        <f aca="false">_xlfn.IFNA(INDEX(KP!$AN:$AN,MATCH(($B41&amp;"|"&amp;BM$3),KP!$D:$D,0)),"")</f>
        <v/>
      </c>
      <c r="BN41" s="10" t="str">
        <f aca="false">_xlfn.IFNA(INDEX(KP!$AN:$AN,MATCH(($B41&amp;"|"&amp;BN$3),KP!$D:$D,0)),"")</f>
        <v/>
      </c>
      <c r="BO41" s="10" t="str">
        <f aca="false">_xlfn.IFNA(INDEX(KP!$AN:$AN,MATCH(($B41&amp;"|"&amp;BO$3),KP!$D:$D,0)),"")</f>
        <v/>
      </c>
      <c r="BP41" s="10" t="n">
        <f aca="false">SUM(SUMIFS(HTS!$AY:$AY,HTS!$B:$B,$B41,HTS!$C:$C,{"15-24","25-34","35-49","50+"},HTS!$D:$D,"Female"))</f>
        <v>66</v>
      </c>
      <c r="BQ41" s="10" t="n">
        <f aca="false">SUM(SUMIFS(HTS!$AY:$AY,HTS!$B:$B,$B41,HTS!$C:$C,{"15-24","25-34","35-49","50+"},HTS!$D:$D,"Male"))</f>
        <v>73</v>
      </c>
      <c r="BR41" s="10" t="n">
        <f aca="false">_xlfn.IFNA(INDEX(KP!$AP:$AP,MATCH(($B41&amp;"|"&amp;BR$3),KP!$D:$D,0)),"")</f>
        <v>0</v>
      </c>
      <c r="BS41" s="10" t="n">
        <f aca="false">_xlfn.IFNA(INDEX(KP!$AP:$AP,MATCH(($B41&amp;"|"&amp;BS$3),KP!$D:$D,0)),"")</f>
        <v>0</v>
      </c>
      <c r="BT41" s="10" t="n">
        <f aca="false">_xlfn.IFNA(INDEX(KP!$AP:$AP,MATCH(($B41&amp;"|"&amp;BT$3),KP!$D:$D,0)),"")</f>
        <v>0</v>
      </c>
      <c r="BU41" s="10" t="n">
        <f aca="false">_xlfn.IFNA(INDEX(KP!$AP:$AP,MATCH(($B41&amp;"|"&amp;BU$3),KP!$D:$D,0)),"")</f>
        <v>0</v>
      </c>
      <c r="BV41" s="10" t="n">
        <f aca="false">_xlfn.IFNA(INDEX(KP!$AP:$AP,MATCH(($B41&amp;"|"&amp;BV$3),KP!$D:$D,0)),"")</f>
        <v>0</v>
      </c>
    </row>
    <row r="42" customFormat="false" ht="15" hidden="false" customHeight="false" outlineLevel="0" collapsed="false">
      <c r="A42" s="91" t="str">
        <f aca="false">INDEX(Prioritization!$D:$D,MATCH($B42,Prioritization!$A:$A,0))</f>
        <v>1 - Scale-up: Saturation</v>
      </c>
      <c r="B42" s="40" t="s">
        <v>221</v>
      </c>
      <c r="C42" s="10" t="n">
        <f aca="false">SUM(SUMIFS(PrEP!$O:$O,PrEP!$B:$B,$B42,PrEP!$C:$C,{"15-24","25-34","35-49","50+"},PrEP!$D:$D,"Female"))</f>
        <v>0</v>
      </c>
      <c r="D42" s="10" t="n">
        <f aca="false">SUM(SUMIFS(PrEP!$O:$O,PrEP!$B:$B,$B42,PrEP!$C:$C,{"15-24","25-34"},PrEP!$D:$D,"Female"))</f>
        <v>0</v>
      </c>
      <c r="E42" s="10" t="n">
        <f aca="false">SUM(SUMIFS(PrEP!$O:$O,PrEP!$B:$B,$B42,PrEP!$C:$C,{"15-24","25-34","35-49","50+"},PrEP!$D:$D,"Male"))</f>
        <v>0</v>
      </c>
      <c r="F42" s="10" t="n">
        <f aca="false">_xlfn.IFNA(INDEX(KP!$I:$I,MATCH(($B42&amp;"|"&amp;F$3),KP!$D:$D,0)),"")</f>
        <v>0</v>
      </c>
      <c r="G42" s="10" t="n">
        <f aca="false">_xlfn.IFNA(INDEX(KP!$I:$I,MATCH(($B42&amp;"|"&amp;G$3),KP!$D:$D,0)),"")</f>
        <v>0</v>
      </c>
      <c r="H42" s="10" t="n">
        <f aca="false">_xlfn.IFNA(INDEX(KP!$I:$I,MATCH(($B42&amp;"|"&amp;H$3),KP!$D:$D,0)),"")</f>
        <v>0</v>
      </c>
      <c r="I42" s="10" t="n">
        <f aca="false">_xlfn.IFNA(INDEX(KP!$I:$I,MATCH(($B42&amp;"|"&amp;I$3),KP!$D:$D,0)),"")</f>
        <v>0</v>
      </c>
      <c r="J42" s="10" t="n">
        <f aca="false">_xlfn.IFNA(INDEX(KP!$I:$I,MATCH(($B42&amp;"|"&amp;J$3),KP!$D:$D,0)),"")</f>
        <v>0</v>
      </c>
      <c r="K42" s="10" t="n">
        <f aca="false">SUM(SUMIFS(PrEP!$L:$L,PrEP!$B:$B,$B42,PrEP!$C:$C,{"15-24","25-34","35-49","50+"},PrEP!$D:$D,"Female"))</f>
        <v>0</v>
      </c>
      <c r="L42" s="10" t="n">
        <f aca="false">SUM(SUMIFS(PrEP!$L:$L,PrEP!$B:$B,$B42,PrEP!$C:$C,{"15-24","25-34"},PrEP!$D:$D,"Female"))</f>
        <v>0</v>
      </c>
      <c r="M42" s="10" t="n">
        <f aca="false">SUM(SUMIFS(PrEP!$L:$L,PrEP!$B:$B,$B42,PrEP!$C:$C,{"15-24","25-34","35-49","50+"},PrEP!$D:$D,"Male"))</f>
        <v>0</v>
      </c>
      <c r="N42" s="10" t="n">
        <f aca="false">_xlfn.IFNA(INDEX(KP!$K:$K,MATCH(($B42&amp;"|"&amp;N$3),KP!$D:$D,0)),"")</f>
        <v>0</v>
      </c>
      <c r="O42" s="10" t="n">
        <f aca="false">_xlfn.IFNA(INDEX(KP!$K:$K,MATCH(($B42&amp;"|"&amp;O$3),KP!$D:$D,0)),"")</f>
        <v>0</v>
      </c>
      <c r="P42" s="10" t="n">
        <f aca="false">_xlfn.IFNA(INDEX(KP!$K:$K,MATCH(($B42&amp;"|"&amp;P$3),KP!$D:$D,0)),"")</f>
        <v>0</v>
      </c>
      <c r="Q42" s="10" t="n">
        <f aca="false">_xlfn.IFNA(INDEX(KP!$K:$K,MATCH(($B42&amp;"|"&amp;Q$3),KP!$D:$D,0)),"")</f>
        <v>0</v>
      </c>
      <c r="R42" s="10" t="n">
        <f aca="false">_xlfn.IFNA(INDEX(KP!$K:$K,MATCH(($B42&amp;"|"&amp;R$3),KP!$D:$D,0)),"")</f>
        <v>0</v>
      </c>
      <c r="S42" s="10" t="n">
        <f aca="false">SUM(SUMIFS(Cascade!$AP:$AP,Cascade!$B:$B,$B42,Cascade!$C:$C,{"15-24","25-34","35-49","50+"},Cascade!$D:$D,"Female"))</f>
        <v>0</v>
      </c>
      <c r="T42" s="10" t="n">
        <f aca="false">SUM(SUMIFS(Cascade!$AP:$AP,Cascade!$B:$B,$B42,Cascade!$C:$C,{"15-24","25-34","35-49","50+"},Cascade!$D:$D,"Male"))</f>
        <v>0</v>
      </c>
      <c r="U42" s="10" t="str">
        <f aca="false">_xlfn.IFNA(INDEX(KP!$Q:$Q,MATCH(($B42&amp;"|"&amp;U$3),KP!$D:$D,0)),"")</f>
        <v/>
      </c>
      <c r="V42" s="10" t="str">
        <f aca="false">_xlfn.IFNA(INDEX(KP!$Q:$Q,MATCH(($B42&amp;"|"&amp;V$3),KP!$D:$D,0)),"")</f>
        <v/>
      </c>
      <c r="W42" s="10" t="n">
        <f aca="false">_xlfn.IFNA(INDEX(KP!$Q:$Q,MATCH(($B42&amp;"|"&amp;W$3),KP!$D:$D,0)),"")</f>
        <v>6</v>
      </c>
      <c r="X42" s="10" t="str">
        <f aca="false">_xlfn.IFNA(INDEX(KP!$Q:$Q,MATCH(($B42&amp;"|"&amp;X$3),KP!$D:$D,0)),"")</f>
        <v/>
      </c>
      <c r="Y42" s="10" t="str">
        <f aca="false">_xlfn.IFNA(INDEX(KP!$Q:$Q,MATCH(($B42&amp;"|"&amp;Y$3),KP!$D:$D,0)),"")</f>
        <v/>
      </c>
      <c r="Z42" s="10" t="n">
        <f aca="false">SUM(SUMIFS(Cascade!$AX:$AX,Cascade!$B:$B,$B42,Cascade!$C:$C,{"15-24","25-34","35-49","50+"},Cascade!$D:$D,"Female"))</f>
        <v>0</v>
      </c>
      <c r="AA42" s="10" t="n">
        <f aca="false">SUM(SUMIFS(Cascade!$AX:$AX,Cascade!$B:$B,$B42,Cascade!$C:$C,{"15-24","25-34","35-49","50+"},Cascade!$D:$D,"Male"))</f>
        <v>0</v>
      </c>
      <c r="AB42" s="10" t="str">
        <f aca="false">_xlfn.IFNA(INDEX(KP!$Z:$Z,MATCH(($B42&amp;"|"&amp;AB$3),KP!$D:$D,0)),"")</f>
        <v/>
      </c>
      <c r="AC42" s="10" t="str">
        <f aca="false">_xlfn.IFNA(INDEX(KP!$Z:$Z,MATCH(($B42&amp;"|"&amp;AC$3),KP!$D:$D,0)),"")</f>
        <v/>
      </c>
      <c r="AD42" s="10" t="str">
        <f aca="false">_xlfn.IFNA(INDEX(KP!$Z:$Z,MATCH(($B42&amp;"|"&amp;AD$3),KP!$D:$D,0)),"")</f>
        <v/>
      </c>
      <c r="AE42" s="10" t="str">
        <f aca="false">_xlfn.IFNA(INDEX(KP!$Z:$Z,MATCH(($B42&amp;"|"&amp;AE$3),KP!$D:$D,0)),"")</f>
        <v/>
      </c>
      <c r="AF42" s="10" t="str">
        <f aca="false">_xlfn.IFNA(INDEX(KP!$Z:$Z,MATCH(($B42&amp;"|"&amp;AF$3),KP!$D:$D,0)),"")</f>
        <v/>
      </c>
      <c r="AG42" s="10" t="n">
        <f aca="false">SUM(SUMIFS(Cascade!$BB:$BB,Cascade!$B:$B,$B42,Cascade!$C:$C,{"15-24","25-34","35-49","50+"},Cascade!$D:$D,"Female"))</f>
        <v>0</v>
      </c>
      <c r="AH42" s="10" t="n">
        <f aca="false">SUM(SUMIFS(Cascade!$BB:$BB,Cascade!$B:$B,$B42,Cascade!$C:$C,{"15-24","25-34","35-49","50+"},Cascade!$D:$D,"Male"))</f>
        <v>0</v>
      </c>
      <c r="AI42" s="10" t="str">
        <f aca="false">_xlfn.IFNA(INDEX(KP!$AD:$AD,MATCH(($B42&amp;"|"&amp;AI$3),KP!$D:$D,0)),"")</f>
        <v/>
      </c>
      <c r="AJ42" s="10" t="str">
        <f aca="false">_xlfn.IFNA(INDEX(KP!$AD:$AD,MATCH(($B42&amp;"|"&amp;AJ$3),KP!$D:$D,0)),"")</f>
        <v/>
      </c>
      <c r="AK42" s="10" t="n">
        <f aca="false">_xlfn.IFNA(INDEX(KP!$AD:$AD,MATCH(($B42&amp;"|"&amp;AK$3),KP!$D:$D,0)),"")</f>
        <v>6</v>
      </c>
      <c r="AL42" s="10" t="str">
        <f aca="false">_xlfn.IFNA(INDEX(KP!$AD:$AD,MATCH(($B42&amp;"|"&amp;AL$3),KP!$D:$D,0)),"")</f>
        <v/>
      </c>
      <c r="AM42" s="10" t="str">
        <f aca="false">_xlfn.IFNA(INDEX(KP!$AD:$AD,MATCH(($B42&amp;"|"&amp;AM$3),KP!$D:$D,0)),"")</f>
        <v/>
      </c>
      <c r="AN42" s="10" t="n">
        <f aca="false">SUM(SUMIFS(Cascade!$BE:$BE,Cascade!$B:$B,$B42,Cascade!$C:$C,{"15-24","25-34","35-49","50+"},Cascade!$D:$D,"Female"))</f>
        <v>0</v>
      </c>
      <c r="AO42" s="10" t="n">
        <f aca="false">SUM(SUMIFS(Cascade!$BE:$BE,Cascade!$B:$B,$B42,Cascade!$C:$C,{"15-24","25-34","35-49","50+"},Cascade!$D:$D,"Male"))</f>
        <v>0</v>
      </c>
      <c r="AP42" s="10" t="str">
        <f aca="false">_xlfn.IFNA(INDEX(KP!$AF:$AF,MATCH(($B42&amp;"|"&amp;AP$3),KP!$D:$D,0)),"")</f>
        <v/>
      </c>
      <c r="AQ42" s="10" t="str">
        <f aca="false">_xlfn.IFNA(INDEX(KP!$AF:$AF,MATCH(($B42&amp;"|"&amp;AQ$3),KP!$D:$D,0)),"")</f>
        <v/>
      </c>
      <c r="AR42" s="10" t="n">
        <f aca="false">_xlfn.IFNA(INDEX(KP!$AF:$AF,MATCH(($B42&amp;"|"&amp;AR$3),KP!$D:$D,0)),"")</f>
        <v>6</v>
      </c>
      <c r="AS42" s="10" t="str">
        <f aca="false">_xlfn.IFNA(INDEX(KP!$AF:$AF,MATCH(($B42&amp;"|"&amp;AS$3),KP!$D:$D,0)),"")</f>
        <v/>
      </c>
      <c r="AT42" s="10" t="str">
        <f aca="false">_xlfn.IFNA(INDEX(KP!$AF:$AF,MATCH(($B42&amp;"|"&amp;AT$3),KP!$D:$D,0)),"")</f>
        <v/>
      </c>
      <c r="AU42" s="10" t="n">
        <f aca="false">SUM(SUMIFS(HTS!$AM:$AM,HTS!$B:$B,$B42,HTS!$C:$C,{"15-24","25-34","35-49","50+"},HTS!$D:$D,"Female"))</f>
        <v>0</v>
      </c>
      <c r="AV42" s="10" t="n">
        <f aca="false">SUM(SUMIFS(HTS!$AM:$AM,HTS!$B:$B,$B42,HTS!$C:$C,{"15-24","25-34","35-49","50+"},HTS!$D:$D,"Male"))</f>
        <v>0</v>
      </c>
      <c r="AW42" s="10" t="str">
        <f aca="false">_xlfn.IFNA(INDEX(KP!$AK:$AK,MATCH(($B42&amp;"|"&amp;AW$3),KP!$D:$D,0)),"")</f>
        <v/>
      </c>
      <c r="AX42" s="10" t="str">
        <f aca="false">_xlfn.IFNA(INDEX(KP!$AK:$AK,MATCH(($B42&amp;"|"&amp;AX$3),KP!$D:$D,0)),"")</f>
        <v/>
      </c>
      <c r="AY42" s="10" t="str">
        <f aca="false">_xlfn.IFNA(INDEX(KP!$AK:$AK,MATCH(($B42&amp;"|"&amp;AY$3),KP!$D:$D,0)),"")</f>
        <v/>
      </c>
      <c r="AZ42" s="10" t="str">
        <f aca="false">_xlfn.IFNA(INDEX(KP!$AK:$AK,MATCH(($B42&amp;"|"&amp;AZ$3),KP!$D:$D,0)),"")</f>
        <v/>
      </c>
      <c r="BA42" s="10" t="str">
        <f aca="false">_xlfn.IFNA(INDEX(KP!$AK:$AK,MATCH(($B42&amp;"|"&amp;BA$3),KP!$D:$D,0)),"")</f>
        <v/>
      </c>
      <c r="BB42" s="10" t="n">
        <f aca="false">SUM(SUMIFS(HTS!$AT:$AT,HTS!$B:$B,$B42,HTS!$C:$C,{"15-24","25-34","35-49","50+"},HTS!$D:$D,"Female"))</f>
        <v>0</v>
      </c>
      <c r="BC42" s="10" t="n">
        <f aca="false">SUM(SUMIFS(HTS!$AT:$AT,HTS!$B:$B,$B42,HTS!$C:$C,{"15-24","25-34","35-49","50+"},HTS!$D:$D,"Male"))</f>
        <v>0</v>
      </c>
      <c r="BD42" s="10" t="str">
        <f aca="false">_xlfn.IFNA(INDEX(KP!$AL:$AL,MATCH(($B42&amp;"|"&amp;BD$3),KP!$D:$D,0)),"")</f>
        <v/>
      </c>
      <c r="BE42" s="10" t="str">
        <f aca="false">_xlfn.IFNA(INDEX(KP!$AL:$AL,MATCH(($B42&amp;"|"&amp;BE$3),KP!$D:$D,0)),"")</f>
        <v/>
      </c>
      <c r="BF42" s="10" t="str">
        <f aca="false">_xlfn.IFNA(INDEX(KP!$AL:$AL,MATCH(($B42&amp;"|"&amp;BF$3),KP!$D:$D,0)),"")</f>
        <v/>
      </c>
      <c r="BG42" s="10" t="str">
        <f aca="false">_xlfn.IFNA(INDEX(KP!$AL:$AL,MATCH(($B42&amp;"|"&amp;BG$3),KP!$D:$D,0)),"")</f>
        <v/>
      </c>
      <c r="BH42" s="10" t="str">
        <f aca="false">_xlfn.IFNA(INDEX(KP!$AL:$AL,MATCH(($B42&amp;"|"&amp;BH$3),KP!$D:$D,0)),"")</f>
        <v/>
      </c>
      <c r="BI42" s="10" t="n">
        <f aca="false">SUM(SUMIFS(HTS!$BA:$BA,HTS!$B:$B,$B42,HTS!$C:$C,{"15-24","25-34","35-49","50+"},HTS!$D:$D,"Female"))</f>
        <v>0</v>
      </c>
      <c r="BJ42" s="10" t="n">
        <f aca="false">SUM(SUMIFS(HTS!$BA:$BA,HTS!$B:$B,$B42,HTS!$C:$C,{"15-24","25-34","35-49","50+"},HTS!$D:$D,"Male"))</f>
        <v>0</v>
      </c>
      <c r="BK42" s="10" t="str">
        <f aca="false">_xlfn.IFNA(INDEX(KP!$AN:$AN,MATCH(($B42&amp;"|"&amp;BK$3),KP!$D:$D,0)),"")</f>
        <v/>
      </c>
      <c r="BL42" s="10" t="str">
        <f aca="false">_xlfn.IFNA(INDEX(KP!$AN:$AN,MATCH(($B42&amp;"|"&amp;BL$3),KP!$D:$D,0)),"")</f>
        <v/>
      </c>
      <c r="BM42" s="10" t="str">
        <f aca="false">_xlfn.IFNA(INDEX(KP!$AN:$AN,MATCH(($B42&amp;"|"&amp;BM$3),KP!$D:$D,0)),"")</f>
        <v/>
      </c>
      <c r="BN42" s="10" t="str">
        <f aca="false">_xlfn.IFNA(INDEX(KP!$AN:$AN,MATCH(($B42&amp;"|"&amp;BN$3),KP!$D:$D,0)),"")</f>
        <v/>
      </c>
      <c r="BO42" s="10" t="str">
        <f aca="false">_xlfn.IFNA(INDEX(KP!$AN:$AN,MATCH(($B42&amp;"|"&amp;BO$3),KP!$D:$D,0)),"")</f>
        <v/>
      </c>
      <c r="BP42" s="10" t="n">
        <f aca="false">SUM(SUMIFS(HTS!$AY:$AY,HTS!$B:$B,$B42,HTS!$C:$C,{"15-24","25-34","35-49","50+"},HTS!$D:$D,"Female"))</f>
        <v>64</v>
      </c>
      <c r="BQ42" s="10" t="n">
        <f aca="false">SUM(SUMIFS(HTS!$AY:$AY,HTS!$B:$B,$B42,HTS!$C:$C,{"15-24","25-34","35-49","50+"},HTS!$D:$D,"Male"))</f>
        <v>50</v>
      </c>
      <c r="BR42" s="10" t="n">
        <f aca="false">_xlfn.IFNA(INDEX(KP!$AP:$AP,MATCH(($B42&amp;"|"&amp;BR$3),KP!$D:$D,0)),"")</f>
        <v>0</v>
      </c>
      <c r="BS42" s="10" t="n">
        <f aca="false">_xlfn.IFNA(INDEX(KP!$AP:$AP,MATCH(($B42&amp;"|"&amp;BS$3),KP!$D:$D,0)),"")</f>
        <v>0</v>
      </c>
      <c r="BT42" s="10" t="n">
        <f aca="false">_xlfn.IFNA(INDEX(KP!$AP:$AP,MATCH(($B42&amp;"|"&amp;BT$3),KP!$D:$D,0)),"")</f>
        <v>0</v>
      </c>
      <c r="BU42" s="10" t="n">
        <f aca="false">_xlfn.IFNA(INDEX(KP!$AP:$AP,MATCH(($B42&amp;"|"&amp;BU$3),KP!$D:$D,0)),"")</f>
        <v>0</v>
      </c>
      <c r="BV42" s="10" t="n">
        <f aca="false">_xlfn.IFNA(INDEX(KP!$AP:$AP,MATCH(($B42&amp;"|"&amp;BV$3),KP!$D:$D,0)),"")</f>
        <v>0</v>
      </c>
    </row>
    <row r="43" customFormat="false" ht="15" hidden="false" customHeight="false" outlineLevel="0" collapsed="false">
      <c r="A43" s="91" t="str">
        <f aca="false">INDEX(Prioritization!$D:$D,MATCH($B43,Prioritization!$A:$A,0))</f>
        <v>1 - Scale-up: Saturation</v>
      </c>
      <c r="B43" s="40" t="s">
        <v>222</v>
      </c>
      <c r="C43" s="10" t="n">
        <f aca="false">SUM(SUMIFS(PrEP!$O:$O,PrEP!$B:$B,$B43,PrEP!$C:$C,{"15-24","25-34","35-49","50+"},PrEP!$D:$D,"Female"))</f>
        <v>0</v>
      </c>
      <c r="D43" s="10" t="n">
        <f aca="false">SUM(SUMIFS(PrEP!$O:$O,PrEP!$B:$B,$B43,PrEP!$C:$C,{"15-24","25-34"},PrEP!$D:$D,"Female"))</f>
        <v>0</v>
      </c>
      <c r="E43" s="10" t="n">
        <f aca="false">SUM(SUMIFS(PrEP!$O:$O,PrEP!$B:$B,$B43,PrEP!$C:$C,{"15-24","25-34","35-49","50+"},PrEP!$D:$D,"Male"))</f>
        <v>0</v>
      </c>
      <c r="F43" s="10" t="n">
        <f aca="false">_xlfn.IFNA(INDEX(KP!$I:$I,MATCH(($B43&amp;"|"&amp;F$3),KP!$D:$D,0)),"")</f>
        <v>0</v>
      </c>
      <c r="G43" s="10" t="n">
        <f aca="false">_xlfn.IFNA(INDEX(KP!$I:$I,MATCH(($B43&amp;"|"&amp;G$3),KP!$D:$D,0)),"")</f>
        <v>0</v>
      </c>
      <c r="H43" s="10" t="n">
        <f aca="false">_xlfn.IFNA(INDEX(KP!$I:$I,MATCH(($B43&amp;"|"&amp;H$3),KP!$D:$D,0)),"")</f>
        <v>0</v>
      </c>
      <c r="I43" s="10" t="n">
        <f aca="false">_xlfn.IFNA(INDEX(KP!$I:$I,MATCH(($B43&amp;"|"&amp;I$3),KP!$D:$D,0)),"")</f>
        <v>0</v>
      </c>
      <c r="J43" s="10" t="n">
        <f aca="false">_xlfn.IFNA(INDEX(KP!$I:$I,MATCH(($B43&amp;"|"&amp;J$3),KP!$D:$D,0)),"")</f>
        <v>0</v>
      </c>
      <c r="K43" s="10" t="n">
        <f aca="false">SUM(SUMIFS(PrEP!$L:$L,PrEP!$B:$B,$B43,PrEP!$C:$C,{"15-24","25-34","35-49","50+"},PrEP!$D:$D,"Female"))</f>
        <v>3</v>
      </c>
      <c r="L43" s="10" t="n">
        <f aca="false">SUM(SUMIFS(PrEP!$L:$L,PrEP!$B:$B,$B43,PrEP!$C:$C,{"15-24","25-34"},PrEP!$D:$D,"Female"))</f>
        <v>0</v>
      </c>
      <c r="M43" s="10" t="n">
        <f aca="false">SUM(SUMIFS(PrEP!$L:$L,PrEP!$B:$B,$B43,PrEP!$C:$C,{"15-24","25-34","35-49","50+"},PrEP!$D:$D,"Male"))</f>
        <v>4</v>
      </c>
      <c r="N43" s="10" t="n">
        <f aca="false">_xlfn.IFNA(INDEX(KP!$K:$K,MATCH(($B43&amp;"|"&amp;N$3),KP!$D:$D,0)),"")</f>
        <v>0</v>
      </c>
      <c r="O43" s="10" t="n">
        <f aca="false">_xlfn.IFNA(INDEX(KP!$K:$K,MATCH(($B43&amp;"|"&amp;O$3),KP!$D:$D,0)),"")</f>
        <v>0</v>
      </c>
      <c r="P43" s="10" t="n">
        <f aca="false">_xlfn.IFNA(INDEX(KP!$K:$K,MATCH(($B43&amp;"|"&amp;P$3),KP!$D:$D,0)),"")</f>
        <v>0</v>
      </c>
      <c r="Q43" s="10" t="n">
        <f aca="false">_xlfn.IFNA(INDEX(KP!$K:$K,MATCH(($B43&amp;"|"&amp;Q$3),KP!$D:$D,0)),"")</f>
        <v>0</v>
      </c>
      <c r="R43" s="10" t="n">
        <f aca="false">_xlfn.IFNA(INDEX(KP!$K:$K,MATCH(($B43&amp;"|"&amp;R$3),KP!$D:$D,0)),"")</f>
        <v>0</v>
      </c>
      <c r="S43" s="10" t="n">
        <f aca="false">SUM(SUMIFS(Cascade!$AP:$AP,Cascade!$B:$B,$B43,Cascade!$C:$C,{"15-24","25-34","35-49","50+"},Cascade!$D:$D,"Female"))</f>
        <v>0</v>
      </c>
      <c r="T43" s="10" t="n">
        <f aca="false">SUM(SUMIFS(Cascade!$AP:$AP,Cascade!$B:$B,$B43,Cascade!$C:$C,{"15-24","25-34","35-49","50+"},Cascade!$D:$D,"Male"))</f>
        <v>0</v>
      </c>
      <c r="U43" s="10" t="n">
        <f aca="false">_xlfn.IFNA(INDEX(KP!$Q:$Q,MATCH(($B43&amp;"|"&amp;U$3),KP!$D:$D,0)),"")</f>
        <v>86</v>
      </c>
      <c r="V43" s="10" t="n">
        <f aca="false">_xlfn.IFNA(INDEX(KP!$Q:$Q,MATCH(($B43&amp;"|"&amp;V$3),KP!$D:$D,0)),"")</f>
        <v>52</v>
      </c>
      <c r="W43" s="10" t="n">
        <f aca="false">_xlfn.IFNA(INDEX(KP!$Q:$Q,MATCH(($B43&amp;"|"&amp;W$3),KP!$D:$D,0)),"")</f>
        <v>93</v>
      </c>
      <c r="X43" s="10" t="str">
        <f aca="false">_xlfn.IFNA(INDEX(KP!$Q:$Q,MATCH(($B43&amp;"|"&amp;X$3),KP!$D:$D,0)),"")</f>
        <v/>
      </c>
      <c r="Y43" s="10" t="n">
        <f aca="false">_xlfn.IFNA(INDEX(KP!$Q:$Q,MATCH(($B43&amp;"|"&amp;Y$3),KP!$D:$D,0)),"")</f>
        <v>5</v>
      </c>
      <c r="Z43" s="10" t="n">
        <f aca="false">SUM(SUMIFS(Cascade!$AX:$AX,Cascade!$B:$B,$B43,Cascade!$C:$C,{"15-24","25-34","35-49","50+"},Cascade!$D:$D,"Female"))</f>
        <v>0</v>
      </c>
      <c r="AA43" s="10" t="n">
        <f aca="false">SUM(SUMIFS(Cascade!$AX:$AX,Cascade!$B:$B,$B43,Cascade!$C:$C,{"15-24","25-34","35-49","50+"},Cascade!$D:$D,"Male"))</f>
        <v>0</v>
      </c>
      <c r="AB43" s="10" t="n">
        <f aca="false">_xlfn.IFNA(INDEX(KP!$Z:$Z,MATCH(($B43&amp;"|"&amp;AB$3),KP!$D:$D,0)),"")</f>
        <v>2</v>
      </c>
      <c r="AC43" s="10" t="n">
        <f aca="false">_xlfn.IFNA(INDEX(KP!$Z:$Z,MATCH(($B43&amp;"|"&amp;AC$3),KP!$D:$D,0)),"")</f>
        <v>1</v>
      </c>
      <c r="AD43" s="10" t="n">
        <f aca="false">_xlfn.IFNA(INDEX(KP!$Z:$Z,MATCH(($B43&amp;"|"&amp;AD$3),KP!$D:$D,0)),"")</f>
        <v>2</v>
      </c>
      <c r="AE43" s="10" t="str">
        <f aca="false">_xlfn.IFNA(INDEX(KP!$Z:$Z,MATCH(($B43&amp;"|"&amp;AE$3),KP!$D:$D,0)),"")</f>
        <v/>
      </c>
      <c r="AF43" s="10" t="str">
        <f aca="false">_xlfn.IFNA(INDEX(KP!$Z:$Z,MATCH(($B43&amp;"|"&amp;AF$3),KP!$D:$D,0)),"")</f>
        <v/>
      </c>
      <c r="AG43" s="10" t="n">
        <f aca="false">SUM(SUMIFS(Cascade!$BB:$BB,Cascade!$B:$B,$B43,Cascade!$C:$C,{"15-24","25-34","35-49","50+"},Cascade!$D:$D,"Female"))</f>
        <v>0</v>
      </c>
      <c r="AH43" s="10" t="n">
        <f aca="false">SUM(SUMIFS(Cascade!$BB:$BB,Cascade!$B:$B,$B43,Cascade!$C:$C,{"15-24","25-34","35-49","50+"},Cascade!$D:$D,"Male"))</f>
        <v>0</v>
      </c>
      <c r="AI43" s="10" t="n">
        <f aca="false">_xlfn.IFNA(INDEX(KP!$AD:$AD,MATCH(($B43&amp;"|"&amp;AI$3),KP!$D:$D,0)),"")</f>
        <v>83</v>
      </c>
      <c r="AJ43" s="10" t="n">
        <f aca="false">_xlfn.IFNA(INDEX(KP!$AD:$AD,MATCH(($B43&amp;"|"&amp;AJ$3),KP!$D:$D,0)),"")</f>
        <v>50</v>
      </c>
      <c r="AK43" s="10" t="n">
        <f aca="false">_xlfn.IFNA(INDEX(KP!$AD:$AD,MATCH(($B43&amp;"|"&amp;AK$3),KP!$D:$D,0)),"")</f>
        <v>89</v>
      </c>
      <c r="AL43" s="10" t="str">
        <f aca="false">_xlfn.IFNA(INDEX(KP!$AD:$AD,MATCH(($B43&amp;"|"&amp;AL$3),KP!$D:$D,0)),"")</f>
        <v/>
      </c>
      <c r="AM43" s="10" t="n">
        <f aca="false">_xlfn.IFNA(INDEX(KP!$AD:$AD,MATCH(($B43&amp;"|"&amp;AM$3),KP!$D:$D,0)),"")</f>
        <v>5</v>
      </c>
      <c r="AN43" s="10" t="n">
        <f aca="false">SUM(SUMIFS(Cascade!$BE:$BE,Cascade!$B:$B,$B43,Cascade!$C:$C,{"15-24","25-34","35-49","50+"},Cascade!$D:$D,"Female"))</f>
        <v>0</v>
      </c>
      <c r="AO43" s="10" t="n">
        <f aca="false">SUM(SUMIFS(Cascade!$BE:$BE,Cascade!$B:$B,$B43,Cascade!$C:$C,{"15-24","25-34","35-49","50+"},Cascade!$D:$D,"Male"))</f>
        <v>0</v>
      </c>
      <c r="AP43" s="10" t="n">
        <f aca="false">_xlfn.IFNA(INDEX(KP!$AF:$AF,MATCH(($B43&amp;"|"&amp;AP$3),KP!$D:$D,0)),"")</f>
        <v>79</v>
      </c>
      <c r="AQ43" s="10" t="n">
        <f aca="false">_xlfn.IFNA(INDEX(KP!$AF:$AF,MATCH(($B43&amp;"|"&amp;AQ$3),KP!$D:$D,0)),"")</f>
        <v>48</v>
      </c>
      <c r="AR43" s="10" t="n">
        <f aca="false">_xlfn.IFNA(INDEX(KP!$AF:$AF,MATCH(($B43&amp;"|"&amp;AR$3),KP!$D:$D,0)),"")</f>
        <v>85</v>
      </c>
      <c r="AS43" s="10" t="str">
        <f aca="false">_xlfn.IFNA(INDEX(KP!$AF:$AF,MATCH(($B43&amp;"|"&amp;AS$3),KP!$D:$D,0)),"")</f>
        <v/>
      </c>
      <c r="AT43" s="10" t="n">
        <f aca="false">_xlfn.IFNA(INDEX(KP!$AF:$AF,MATCH(($B43&amp;"|"&amp;AT$3),KP!$D:$D,0)),"")</f>
        <v>5</v>
      </c>
      <c r="AU43" s="10" t="n">
        <f aca="false">SUM(SUMIFS(HTS!$AM:$AM,HTS!$B:$B,$B43,HTS!$C:$C,{"15-24","25-34","35-49","50+"},HTS!$D:$D,"Female"))</f>
        <v>0</v>
      </c>
      <c r="AV43" s="10" t="n">
        <f aca="false">SUM(SUMIFS(HTS!$AM:$AM,HTS!$B:$B,$B43,HTS!$C:$C,{"15-24","25-34","35-49","50+"},HTS!$D:$D,"Male"))</f>
        <v>0</v>
      </c>
      <c r="AW43" s="10" t="n">
        <f aca="false">_xlfn.IFNA(INDEX(KP!$AK:$AK,MATCH(($B43&amp;"|"&amp;AW$3),KP!$D:$D,0)),"")</f>
        <v>2</v>
      </c>
      <c r="AX43" s="10" t="n">
        <f aca="false">_xlfn.IFNA(INDEX(KP!$AK:$AK,MATCH(($B43&amp;"|"&amp;AX$3),KP!$D:$D,0)),"")</f>
        <v>1</v>
      </c>
      <c r="AY43" s="10" t="n">
        <f aca="false">_xlfn.IFNA(INDEX(KP!$AK:$AK,MATCH(($B43&amp;"|"&amp;AY$3),KP!$D:$D,0)),"")</f>
        <v>2</v>
      </c>
      <c r="AZ43" s="10" t="str">
        <f aca="false">_xlfn.IFNA(INDEX(KP!$AK:$AK,MATCH(($B43&amp;"|"&amp;AZ$3),KP!$D:$D,0)),"")</f>
        <v/>
      </c>
      <c r="BA43" s="10" t="str">
        <f aca="false">_xlfn.IFNA(INDEX(KP!$AK:$AK,MATCH(($B43&amp;"|"&amp;BA$3),KP!$D:$D,0)),"")</f>
        <v/>
      </c>
      <c r="BB43" s="10" t="n">
        <f aca="false">SUM(SUMIFS(HTS!$AT:$AT,HTS!$B:$B,$B43,HTS!$C:$C,{"15-24","25-34","35-49","50+"},HTS!$D:$D,"Female"))</f>
        <v>0</v>
      </c>
      <c r="BC43" s="10" t="n">
        <f aca="false">SUM(SUMIFS(HTS!$AT:$AT,HTS!$B:$B,$B43,HTS!$C:$C,{"15-24","25-34","35-49","50+"},HTS!$D:$D,"Male"))</f>
        <v>0</v>
      </c>
      <c r="BD43" s="10" t="str">
        <f aca="false">_xlfn.IFNA(INDEX(KP!$AL:$AL,MATCH(($B43&amp;"|"&amp;BD$3),KP!$D:$D,0)),"")</f>
        <v>ENTER YIELD RATE</v>
      </c>
      <c r="BE43" s="10" t="str">
        <f aca="false">_xlfn.IFNA(INDEX(KP!$AL:$AL,MATCH(($B43&amp;"|"&amp;BE$3),KP!$D:$D,0)),"")</f>
        <v>ENTER YIELD RATE</v>
      </c>
      <c r="BF43" s="10" t="str">
        <f aca="false">_xlfn.IFNA(INDEX(KP!$AL:$AL,MATCH(($B43&amp;"|"&amp;BF$3),KP!$D:$D,0)),"")</f>
        <v>ENTER YIELD RATE</v>
      </c>
      <c r="BG43" s="10" t="str">
        <f aca="false">_xlfn.IFNA(INDEX(KP!$AL:$AL,MATCH(($B43&amp;"|"&amp;BG$3),KP!$D:$D,0)),"")</f>
        <v/>
      </c>
      <c r="BH43" s="10" t="str">
        <f aca="false">_xlfn.IFNA(INDEX(KP!$AL:$AL,MATCH(($B43&amp;"|"&amp;BH$3),KP!$D:$D,0)),"")</f>
        <v/>
      </c>
      <c r="BI43" s="10" t="n">
        <f aca="false">SUM(SUMIFS(HTS!$BA:$BA,HTS!$B:$B,$B43,HTS!$C:$C,{"15-24","25-34","35-49","50+"},HTS!$D:$D,"Female"))</f>
        <v>0</v>
      </c>
      <c r="BJ43" s="10" t="n">
        <f aca="false">SUM(SUMIFS(HTS!$BA:$BA,HTS!$B:$B,$B43,HTS!$C:$C,{"15-24","25-34","35-49","50+"},HTS!$D:$D,"Male"))</f>
        <v>0</v>
      </c>
      <c r="BK43" s="10" t="n">
        <f aca="false">_xlfn.IFNA(INDEX(KP!$AN:$AN,MATCH(($B43&amp;"|"&amp;BK$3),KP!$D:$D,0)),"")</f>
        <v>2</v>
      </c>
      <c r="BL43" s="10" t="n">
        <f aca="false">_xlfn.IFNA(INDEX(KP!$AN:$AN,MATCH(($B43&amp;"|"&amp;BL$3),KP!$D:$D,0)),"")</f>
        <v>1</v>
      </c>
      <c r="BM43" s="10" t="n">
        <f aca="false">_xlfn.IFNA(INDEX(KP!$AN:$AN,MATCH(($B43&amp;"|"&amp;BM$3),KP!$D:$D,0)),"")</f>
        <v>2</v>
      </c>
      <c r="BN43" s="10" t="str">
        <f aca="false">_xlfn.IFNA(INDEX(KP!$AN:$AN,MATCH(($B43&amp;"|"&amp;BN$3),KP!$D:$D,0)),"")</f>
        <v/>
      </c>
      <c r="BO43" s="10" t="str">
        <f aca="false">_xlfn.IFNA(INDEX(KP!$AN:$AN,MATCH(($B43&amp;"|"&amp;BO$3),KP!$D:$D,0)),"")</f>
        <v/>
      </c>
      <c r="BP43" s="10" t="n">
        <f aca="false">SUM(SUMIFS(HTS!$AY:$AY,HTS!$B:$B,$B43,HTS!$C:$C,{"15-24","25-34","35-49","50+"},HTS!$D:$D,"Female"))</f>
        <v>48</v>
      </c>
      <c r="BQ43" s="10" t="n">
        <f aca="false">SUM(SUMIFS(HTS!$AY:$AY,HTS!$B:$B,$B43,HTS!$C:$C,{"15-24","25-34","35-49","50+"},HTS!$D:$D,"Male"))</f>
        <v>56</v>
      </c>
      <c r="BR43" s="10" t="n">
        <f aca="false">_xlfn.IFNA(INDEX(KP!$AP:$AP,MATCH(($B43&amp;"|"&amp;BR$3),KP!$D:$D,0)),"")</f>
        <v>0</v>
      </c>
      <c r="BS43" s="10" t="n">
        <f aca="false">_xlfn.IFNA(INDEX(KP!$AP:$AP,MATCH(($B43&amp;"|"&amp;BS$3),KP!$D:$D,0)),"")</f>
        <v>0</v>
      </c>
      <c r="BT43" s="10" t="n">
        <f aca="false">_xlfn.IFNA(INDEX(KP!$AP:$AP,MATCH(($B43&amp;"|"&amp;BT$3),KP!$D:$D,0)),"")</f>
        <v>0</v>
      </c>
      <c r="BU43" s="10" t="n">
        <f aca="false">_xlfn.IFNA(INDEX(KP!$AP:$AP,MATCH(($B43&amp;"|"&amp;BU$3),KP!$D:$D,0)),"")</f>
        <v>0</v>
      </c>
      <c r="BV43" s="10" t="n">
        <f aca="false">_xlfn.IFNA(INDEX(KP!$AP:$AP,MATCH(($B43&amp;"|"&amp;BV$3),KP!$D:$D,0)),"")</f>
        <v>0</v>
      </c>
    </row>
    <row r="44" customFormat="false" ht="15" hidden="false" customHeight="false" outlineLevel="0" collapsed="false">
      <c r="A44" s="91"/>
      <c r="B44" s="40"/>
    </row>
    <row r="45" customFormat="false" ht="15" hidden="false" customHeight="false" outlineLevel="0" collapsed="false">
      <c r="A45" s="91"/>
      <c r="B45" s="40"/>
    </row>
    <row r="46" customFormat="false" ht="15" hidden="false" customHeight="false" outlineLevel="0" collapsed="false">
      <c r="A46" s="91"/>
      <c r="B46" s="40"/>
    </row>
    <row r="47" customFormat="false" ht="15" hidden="false" customHeight="false" outlineLevel="0" collapsed="false">
      <c r="A47" s="91"/>
      <c r="B47" s="40"/>
    </row>
    <row r="48" customFormat="false" ht="15" hidden="false" customHeight="false" outlineLevel="0" collapsed="false">
      <c r="A48" s="91"/>
      <c r="B48" s="40"/>
    </row>
    <row r="49" customFormat="false" ht="15" hidden="false" customHeight="false" outlineLevel="0" collapsed="false">
      <c r="A49" s="91"/>
      <c r="B49" s="40"/>
    </row>
    <row r="50" customFormat="false" ht="15" hidden="false" customHeight="false" outlineLevel="0" collapsed="false">
      <c r="A50" s="91"/>
      <c r="B50" s="40"/>
    </row>
    <row r="51" customFormat="false" ht="15" hidden="false" customHeight="false" outlineLevel="0" collapsed="false">
      <c r="A51" s="91"/>
      <c r="B51" s="40"/>
    </row>
    <row r="52" customFormat="false" ht="15" hidden="false" customHeight="false" outlineLevel="0" collapsed="false">
      <c r="A52" s="91"/>
      <c r="B52" s="40"/>
    </row>
    <row r="53" customFormat="false" ht="15" hidden="false" customHeight="false" outlineLevel="0" collapsed="false">
      <c r="A53" s="91"/>
      <c r="B53" s="40"/>
    </row>
    <row r="54" customFormat="false" ht="15" hidden="false" customHeight="false" outlineLevel="0" collapsed="false">
      <c r="A54" s="91"/>
      <c r="B54" s="40"/>
    </row>
    <row r="55" customFormat="false" ht="15" hidden="false" customHeight="false" outlineLevel="0" collapsed="false">
      <c r="A55" s="91"/>
      <c r="B55" s="40"/>
    </row>
    <row r="56" customFormat="false" ht="15" hidden="false" customHeight="false" outlineLevel="0" collapsed="false">
      <c r="A56" s="91"/>
      <c r="B56" s="40"/>
    </row>
    <row r="57" customFormat="false" ht="15" hidden="false" customHeight="false" outlineLevel="0" collapsed="false">
      <c r="A57" s="91"/>
      <c r="B57" s="40"/>
    </row>
    <row r="58" customFormat="false" ht="15" hidden="false" customHeight="false" outlineLevel="0" collapsed="false">
      <c r="A58" s="91"/>
      <c r="B58" s="40"/>
    </row>
    <row r="59" customFormat="false" ht="15" hidden="false" customHeight="false" outlineLevel="0" collapsed="false">
      <c r="A59" s="91"/>
      <c r="B59" s="40"/>
    </row>
    <row r="60" customFormat="false" ht="15" hidden="false" customHeight="false" outlineLevel="0" collapsed="false">
      <c r="A60" s="91"/>
      <c r="B60" s="40"/>
    </row>
    <row r="61" customFormat="false" ht="15" hidden="false" customHeight="false" outlineLevel="0" collapsed="false">
      <c r="A61" s="91"/>
      <c r="B61" s="40"/>
    </row>
    <row r="62" customFormat="false" ht="15" hidden="false" customHeight="false" outlineLevel="0" collapsed="false">
      <c r="A62" s="91"/>
      <c r="B62" s="40"/>
    </row>
    <row r="63" customFormat="false" ht="15" hidden="false" customHeight="false" outlineLevel="0" collapsed="false">
      <c r="A63" s="91"/>
      <c r="B63" s="40"/>
    </row>
  </sheetData>
  <mergeCells count="1">
    <mergeCell ref="A2:B3"/>
  </mergeCells>
  <conditionalFormatting sqref="S1:S1048576 U1:U1048576">
    <cfRule type="expression" priority="2" aboveAverage="0" equalAverage="0" bottom="0" percent="0" rank="0" text="" dxfId="127">
      <formula>AND(ROW($U1)&gt;14,SUM($U1)&gt;$S1)</formula>
    </cfRule>
  </conditionalFormatting>
  <conditionalFormatting sqref="T1:T1048576 V1:V1048576">
    <cfRule type="expression" priority="3" aboveAverage="0" equalAverage="0" bottom="0" percent="0" rank="0" text="" dxfId="128">
      <formula>AND(ROW($V1)&gt;14,SUM($V1)&gt;$T1)</formula>
    </cfRule>
  </conditionalFormatting>
  <conditionalFormatting sqref="S1:T1048576 W1:Y1048576">
    <cfRule type="expression" priority="4" aboveAverage="0" equalAverage="0" bottom="0" percent="0" rank="0" text="" dxfId="129">
      <formula>(($S1-$U1)+($T1-$V1))&lt;SUM($W1:$Y1)</formula>
    </cfRule>
  </conditionalFormatting>
  <conditionalFormatting sqref="Z1:Z1048576 AB1:AB1048576">
    <cfRule type="expression" priority="5" aboveAverage="0" equalAverage="0" bottom="0" percent="0" rank="0" text="" dxfId="130">
      <formula>AND(ROW($AB1)&gt;14,SUM($AB1)&gt;$Z1)</formula>
    </cfRule>
  </conditionalFormatting>
  <conditionalFormatting sqref="AA1:AA1048576 AC1:AC1048576">
    <cfRule type="expression" priority="6" aboveAverage="0" equalAverage="0" bottom="0" percent="0" rank="0" text="" dxfId="131">
      <formula>AND(ROW($AC1)&gt;14,SUM($AC1)&gt;$AA1)</formula>
    </cfRule>
  </conditionalFormatting>
  <conditionalFormatting sqref="Z1:AA1048576 AD1:AF1048576">
    <cfRule type="expression" priority="7" aboveAverage="0" equalAverage="0" bottom="0" percent="0" rank="0" text="" dxfId="132">
      <formula>(($Z1-$AB1)+($AA1-$AC1))&lt;SUM($AD1:$AF1)</formula>
    </cfRule>
  </conditionalFormatting>
  <conditionalFormatting sqref="AG1:AG1048576 AI1:AI1048576">
    <cfRule type="expression" priority="8" aboveAverage="0" equalAverage="0" bottom="0" percent="0" rank="0" text="" dxfId="133">
      <formula>AND(ROW($AI1)&gt;14,SUM($AI1)&gt;$AG1)</formula>
    </cfRule>
  </conditionalFormatting>
  <conditionalFormatting sqref="AH1:AH1048576 AJ1:AJ1048576">
    <cfRule type="expression" priority="9" aboveAverage="0" equalAverage="0" bottom="0" percent="0" rank="0" text="" dxfId="134">
      <formula>AND(ROW($AJ1)&gt;14,SUM($AJ1)&gt;$AH1)</formula>
    </cfRule>
  </conditionalFormatting>
  <conditionalFormatting sqref="AG1:AH1048576 AK1:AM1048576">
    <cfRule type="expression" priority="10" aboveAverage="0" equalAverage="0" bottom="0" percent="0" rank="0" text="" dxfId="135">
      <formula>(($AG1-$AI1)+($AH1-$AJ1))&lt;SUM($AK1:$AM1)</formula>
    </cfRule>
  </conditionalFormatting>
  <conditionalFormatting sqref="AN1:AN1048576 AP1:AP1048576">
    <cfRule type="expression" priority="11" aboveAverage="0" equalAverage="0" bottom="0" percent="0" rank="0" text="" dxfId="136">
      <formula>AND(ROW($AP1)&gt;14,SUM($AP1)&gt;$AN1)</formula>
    </cfRule>
  </conditionalFormatting>
  <conditionalFormatting sqref="AO1:AO1048576 AQ1:AQ1048576">
    <cfRule type="expression" priority="12" aboveAverage="0" equalAverage="0" bottom="0" percent="0" rank="0" text="" dxfId="137">
      <formula>AND(ROW($AQ1)&gt;14,SUM($AQ1)&gt;$AO1)</formula>
    </cfRule>
  </conditionalFormatting>
  <conditionalFormatting sqref="AN1:AO1048576 AR1:AT1048576">
    <cfRule type="expression" priority="13" aboveAverage="0" equalAverage="0" bottom="0" percent="0" rank="0" text="" dxfId="138">
      <formula>(($AN1-$AP1)+($AO1-$AQ1))&lt;SUM($AR1:$AT1)</formula>
    </cfRule>
  </conditionalFormatting>
  <conditionalFormatting sqref="AU1:AU1048576 AW1:AW1048576">
    <cfRule type="expression" priority="14" aboveAverage="0" equalAverage="0" bottom="0" percent="0" rank="0" text="" dxfId="139">
      <formula>AND(ROW($AW1)&gt;14,SUM($AW1)&gt;$AU1)</formula>
    </cfRule>
  </conditionalFormatting>
  <conditionalFormatting sqref="AV1:AV1048576 AX1:AX1048576">
    <cfRule type="expression" priority="15" aboveAverage="0" equalAverage="0" bottom="0" percent="0" rank="0" text="" dxfId="140">
      <formula>AND(ROW($AX1)&gt;14,SUM($AX1)&gt;$AV1)</formula>
    </cfRule>
  </conditionalFormatting>
  <conditionalFormatting sqref="AU1:AV1048576 AY1:BA1048576">
    <cfRule type="expression" priority="16" aboveAverage="0" equalAverage="0" bottom="0" percent="0" rank="0" text="" dxfId="141">
      <formula>(($AU1-$AW1)+($AV1-$AX1))&lt;SUM($AY1:$BA1)</formula>
    </cfRule>
  </conditionalFormatting>
  <conditionalFormatting sqref="BB1:BB1048576 BD1:BD1048576">
    <cfRule type="expression" priority="17" aboveAverage="0" equalAverage="0" bottom="0" percent="0" rank="0" text="" dxfId="142">
      <formula>AND(ROW($BD1)&gt;14,SUM($BD1)&gt;$BB1)</formula>
    </cfRule>
  </conditionalFormatting>
  <conditionalFormatting sqref="BC1:BC1048576 BE1:BE1048576">
    <cfRule type="expression" priority="18" aboveAverage="0" equalAverage="0" bottom="0" percent="0" rank="0" text="" dxfId="143">
      <formula>AND(ROW($BE1)&gt;14,SUM($BE1)&gt;$BC1)</formula>
    </cfRule>
  </conditionalFormatting>
  <conditionalFormatting sqref="BB1:BC1048576 BF1:BH1048576">
    <cfRule type="expression" priority="19" aboveAverage="0" equalAverage="0" bottom="0" percent="0" rank="0" text="" dxfId="144">
      <formula>(($BB1-$BD1)+($BC1-$BE1))&lt;SUM($BF1:$BH1)</formula>
    </cfRule>
  </conditionalFormatting>
  <conditionalFormatting sqref="BI1:BI1048576 BK1:BK1048576">
    <cfRule type="expression" priority="20" aboveAverage="0" equalAverage="0" bottom="0" percent="0" rank="0" text="" dxfId="145">
      <formula>AND(ROW($BK1)&gt;14,SUM($BK1)&gt;$BI1)</formula>
    </cfRule>
  </conditionalFormatting>
  <conditionalFormatting sqref="BL1:BL1048576 BJ1:BJ1048576">
    <cfRule type="expression" priority="21" aboveAverage="0" equalAverage="0" bottom="0" percent="0" rank="0" text="" dxfId="146">
      <formula>AND(ROW($BL1)&gt;14,SUM($BL1)&gt;$BJ1)</formula>
    </cfRule>
  </conditionalFormatting>
  <conditionalFormatting sqref="BI1:BJ1048576 BM1:BO1048576">
    <cfRule type="expression" priority="22" aboveAverage="0" equalAverage="0" bottom="0" percent="0" rank="0" text="" dxfId="147">
      <formula>(($BI1-$BK1)+($BJ1-$BL1))&lt;SUM($BM1:$BO1)</formula>
    </cfRule>
  </conditionalFormatting>
  <conditionalFormatting sqref="BP1:BP1048576 BR1:BR1048576">
    <cfRule type="expression" priority="23" aboveAverage="0" equalAverage="0" bottom="0" percent="0" rank="0" text="" dxfId="148">
      <formula>AND(ROW($BR1)&gt;14,SUM($BR1)&gt;$BP1)</formula>
    </cfRule>
  </conditionalFormatting>
  <conditionalFormatting sqref="BQ1:BQ1048576 BS1:BS1048576">
    <cfRule type="expression" priority="24" aboveAverage="0" equalAverage="0" bottom="0" percent="0" rank="0" text="" dxfId="149">
      <formula>AND(ROW($BS1)&gt;14,SUM($BS1)&gt;$BQ1)</formula>
    </cfRule>
  </conditionalFormatting>
  <conditionalFormatting sqref="BP1:BQ1048576 BT1:BV1048576">
    <cfRule type="expression" priority="25" aboveAverage="0" equalAverage="0" bottom="0" percent="0" rank="0" text="" dxfId="150">
      <formula>(($BP1-$BR1)+($BQ1-$BS1))&lt;SUM($BT1:$BV1)</formula>
    </cfRule>
  </conditionalFormatting>
  <conditionalFormatting sqref="C1:D1048576 F1:F1048576">
    <cfRule type="expression" priority="26" aboveAverage="0" equalAverage="0" bottom="0" percent="0" rank="0" text="" dxfId="151">
      <formula>AND(ISNUMBER($F1),SUM($F1)&gt;$C1)</formula>
    </cfRule>
  </conditionalFormatting>
  <conditionalFormatting sqref="G1:G1048576 E1:E1048576">
    <cfRule type="expression" priority="27" aboveAverage="0" equalAverage="0" bottom="0" percent="0" rank="0" text="" dxfId="152">
      <formula>AND(ISNUMBER($G1),SUM($G1)&gt;$E1)</formula>
    </cfRule>
  </conditionalFormatting>
  <conditionalFormatting sqref="H1:J1048576 C1:E1048576">
    <cfRule type="expression" priority="28" aboveAverage="0" equalAverage="0" bottom="0" percent="0" rank="0" text="" dxfId="153">
      <formula>(($C1-$F1)+($E1-$G1))&lt;SUM($H1:$J1)</formula>
    </cfRule>
  </conditionalFormatting>
  <conditionalFormatting sqref="K1:L1048576 N1:N1048576">
    <cfRule type="expression" priority="29" aboveAverage="0" equalAverage="0" bottom="0" percent="0" rank="0" text="" dxfId="154">
      <formula>AND(ROW($N1)&gt;14,SUM($N1)&gt;$K1)</formula>
    </cfRule>
  </conditionalFormatting>
  <conditionalFormatting sqref="M1:M1048576 O1:O1048576">
    <cfRule type="expression" priority="30" aboveAverage="0" equalAverage="0" bottom="0" percent="0" rank="0" text="" dxfId="155">
      <formula>AND(ROW($O1)&gt;14,SUM($O1)&gt;$M1)</formula>
    </cfRule>
  </conditionalFormatting>
  <conditionalFormatting sqref="K1:M1048576 P1:R1048576">
    <cfRule type="expression" priority="31" aboveAverage="0" equalAverage="0" bottom="0" percent="0" rank="0" text="" dxfId="156">
      <formula>(($K1-$N1)+($M1-$O1))&lt;SUM($P1:$R1)</formula>
    </cfRule>
  </conditionalFormatting>
  <hyperlinks>
    <hyperlink ref="C3" location="PrEP!O:O" display="Female, 15+ (FY24)"/>
    <hyperlink ref="D3" location="PrEP!O:O" display="AGYW, 15-34 (FY24)"/>
    <hyperlink ref="E3" location="PrEP!O:O" display="Male, 15+ (FY24)"/>
    <hyperlink ref="F3" location="KP!I:I" display="FSW"/>
    <hyperlink ref="G3" location="KP!I:I" display="MSM"/>
    <hyperlink ref="H3" location="KP!I:I" display="People in prisons and other enclosed settings"/>
    <hyperlink ref="I3" location="KP!I:I" display="PWID"/>
    <hyperlink ref="J3" location="KP!I:I" display="TG"/>
    <hyperlink ref="K3" location="PrEP!L:L" display="Female, 15+ (FY24)"/>
    <hyperlink ref="L3" location="PrEP!L:L" display="AGYW, 15-34 (FY24)"/>
    <hyperlink ref="M3" location="PrEP!L:L" display="Male, 15+ (FY24)"/>
    <hyperlink ref="N3" location="KP!K:K" display="FSW"/>
    <hyperlink ref="O3" location="KP!K:K" display="MSM"/>
    <hyperlink ref="P3" location="KP!K:K" display="People in prisons and other enclosed settings"/>
    <hyperlink ref="Q3" location="KP!K:K" display="PWID"/>
    <hyperlink ref="R3" location="KP!K:K" display="TG"/>
    <hyperlink ref="S3" location="Cascade!AM:AM" display="Female, 15+ (FY24)"/>
    <hyperlink ref="T3" location="Cascade!AM:AM" display="Male, 15+ (FY24)"/>
    <hyperlink ref="U3" location="KP!P:P" display="FSW"/>
    <hyperlink ref="V3" location="KP!P:P" display="MSM"/>
    <hyperlink ref="W3" location="KP!P:P" display="People in prisons and other enclosed settings"/>
    <hyperlink ref="X3" location="KP!P:P" display="PWID"/>
    <hyperlink ref="Y3" location="KP!P:P" display="TG"/>
    <hyperlink ref="Z3" location="Cascade!AV:AV" display="Female, 15+ (FY24)"/>
    <hyperlink ref="AA3" location="Cascade!AV:AV" display="Male, 15+ (FY24)"/>
    <hyperlink ref="AB3" location="KP!V:V" display="FSW"/>
    <hyperlink ref="AC3" location="KP!V:V" display="MSM"/>
    <hyperlink ref="AD3" location="KP!V:V" display="People in prisons and other enclosed settings"/>
    <hyperlink ref="AE3" location="KP!V:V" display="PWID"/>
    <hyperlink ref="AF3" location="KP!V:V" display="TG"/>
    <hyperlink ref="AG3" location="Cascade!AZ:AZ" display="Female, 15+ (FY24)"/>
    <hyperlink ref="AH3" location="Cascade!AZ:AZ" display="Male, 15+ (FY24)"/>
    <hyperlink ref="AI3" location="KP!Y:Y" display="FSW"/>
    <hyperlink ref="AJ3" location="KP!Y:Y" display="MSM"/>
    <hyperlink ref="AK3" location="KP!Y:Y" display="People in prisons and other enclosed settings"/>
    <hyperlink ref="AL3" location="KP!Y:Y" display="PWID"/>
    <hyperlink ref="AM3" location="KP!Y:Y" display="TG"/>
    <hyperlink ref="AN3" location="Cascade!BC:BC" display="Female, 15+ (FY24)"/>
    <hyperlink ref="AO3" location="Cascade!BC:BC" display="Male, 15+ (FY24)"/>
    <hyperlink ref="AP3" location="KP!AA:AA" display="FSW"/>
    <hyperlink ref="AQ3" location="KP!AA:AA" display="MSM"/>
    <hyperlink ref="AR3" location="KP!AA:AA" display="People in prisons and other enclosed settings"/>
    <hyperlink ref="AS3" location="KP!AA:AA" display="PWID"/>
    <hyperlink ref="AT3" location="KP!AA:AA" display="TG"/>
    <hyperlink ref="AU3" location="HTS!AK:AK" display="Female, 15+ (FY24)"/>
    <hyperlink ref="AV3" location="HTS!AK:AK" display="Male, 15+ (FY24)"/>
    <hyperlink ref="AW3" location="KP!AI:AI" display="FSW"/>
    <hyperlink ref="AX3" location="KP!AI:AI" display="MSM"/>
    <hyperlink ref="AY3" location="KP!AI:AI" display="People in prisons and other enclosed settings"/>
    <hyperlink ref="AZ3" location="KP!AI:AI" display="PWID"/>
    <hyperlink ref="BA3" location="KP!AI:AI" display="TG"/>
    <hyperlink ref="BB3" location="HTS!AR:AR" display="Female, 15+ (FY24)"/>
    <hyperlink ref="BC3" location="HTS!AR:AR" display="Male, 15+ (FY24)"/>
    <hyperlink ref="BD3" location="KP!AJ:AJ" display="FSW"/>
    <hyperlink ref="BE3" location="KP!AJ:AJ" display="MSM"/>
    <hyperlink ref="BF3" location="KP!AJ:AJ" display="People in prisons and other enclosed settings"/>
    <hyperlink ref="BG3" location="KP!AJ:AJ" display="PWID"/>
    <hyperlink ref="BH3" location="KP!AJ:AJ" display="TG"/>
    <hyperlink ref="BI3" location="HTS!AY:AY" display="Female, 15+ (FY24)"/>
    <hyperlink ref="BJ3" location="HTS!AY:AY" display="Male, 15+ (FY24)"/>
    <hyperlink ref="BK3" location="KP!AL:AL" display="FSW"/>
    <hyperlink ref="BL3" location="KP!AL:AL" display="MSM"/>
    <hyperlink ref="BM3" location="KP!AL:AL" display="People in prisons and other enclosed settings"/>
    <hyperlink ref="BN3" location="KP!AL:AL" display="PWID"/>
    <hyperlink ref="BO3" location="KP!AL:AL" display="TG"/>
    <hyperlink ref="BP3" location="HTS!AW:AW" display="Female, 15+ (FY24)"/>
    <hyperlink ref="BQ3" location="HTS!AW:AW" display="Male, 15+ (FY24)"/>
    <hyperlink ref="BR3" location="KP!AN:AN" display="FSW"/>
    <hyperlink ref="BS3" location="KP!AN:AN" display="MSM"/>
    <hyperlink ref="BT3" location="KP!AN:AN" display="People in prisons and other enclosed settings"/>
    <hyperlink ref="BU3" location="KP!AN:AN" display="PWID"/>
    <hyperlink ref="BV3" location="KP!AN:AN" display="T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2018-11-07T14:50:29Z</dcterms:created>
  <dc:creator>Scott Jackson</dc:creator>
  <dc:description/>
  <dc:language>en-US</dc:language>
  <cp:lastModifiedBy>Domaas, Christian [BAO Systems LLC]</cp:lastModifiedBy>
  <dcterms:modified xsi:type="dcterms:W3CDTF">2023-01-20T22:14:18Z</dcterms:modified>
  <cp:revision>0</cp:revision>
  <dc:subject/>
  <dc:title/>
</cp:coreProperties>
</file>